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360" yWindow="300" windowWidth="14895" windowHeight="7875"/>
  </bookViews>
  <sheets>
    <sheet name="COVER PAGE" sheetId="3" r:id="rId1"/>
    <sheet name="INDEX " sheetId="2" r:id="rId2"/>
    <sheet name="STERLING CATALOG - DRY " sheetId="1" r:id="rId3"/>
    <sheet name="STERLING CATALOG - FZN &amp; CHILL" sheetId="4" r:id="rId4"/>
    <sheet name="DV-IDENTITY-0" sheetId="5" state="veryHidden" r:id="rId5"/>
  </sheets>
  <calcPr calcId="125725"/>
</workbook>
</file>

<file path=xl/calcChain.xml><?xml version="1.0" encoding="utf-8"?>
<calcChain xmlns="http://schemas.openxmlformats.org/spreadsheetml/2006/main">
  <c r="A409" i="5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AE409"/>
  <c r="AF409"/>
  <c r="AG409"/>
  <c r="AH409"/>
  <c r="AI409"/>
  <c r="AJ409"/>
  <c r="AK409"/>
  <c r="AL409"/>
  <c r="AM409"/>
  <c r="AN409"/>
  <c r="AO409"/>
  <c r="AP409"/>
  <c r="AQ409"/>
  <c r="AR409"/>
  <c r="AS409"/>
  <c r="AT409"/>
  <c r="AU409"/>
  <c r="AV409"/>
  <c r="AW409"/>
  <c r="AX409"/>
  <c r="AY409"/>
  <c r="AZ409"/>
  <c r="BA409"/>
  <c r="BB409"/>
  <c r="BC409"/>
  <c r="BD409"/>
  <c r="BE409"/>
  <c r="BF409"/>
  <c r="BG409"/>
  <c r="BH409"/>
  <c r="BI409"/>
  <c r="BJ409"/>
  <c r="BK409"/>
  <c r="BL409"/>
  <c r="BM409"/>
  <c r="BN409"/>
  <c r="BO409"/>
  <c r="BP409"/>
  <c r="BQ409"/>
  <c r="A408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AE408"/>
  <c r="AF408"/>
  <c r="AG408"/>
  <c r="AH408"/>
  <c r="AI408"/>
  <c r="AJ408"/>
  <c r="AK408"/>
  <c r="AL408"/>
  <c r="AM408"/>
  <c r="AN408"/>
  <c r="AO408"/>
  <c r="AP408"/>
  <c r="AQ408"/>
  <c r="AR408"/>
  <c r="AS408"/>
  <c r="AT408"/>
  <c r="AU408"/>
  <c r="AV408"/>
  <c r="AW408"/>
  <c r="AX408"/>
  <c r="AY408"/>
  <c r="AZ408"/>
  <c r="BA408"/>
  <c r="BB408"/>
  <c r="BC408"/>
  <c r="BD408"/>
  <c r="BE408"/>
  <c r="BF408"/>
  <c r="BG408"/>
  <c r="BH408"/>
  <c r="BI408"/>
  <c r="BJ408"/>
  <c r="BK408"/>
  <c r="BL408"/>
  <c r="BM408"/>
  <c r="BN408"/>
  <c r="BO408"/>
  <c r="BP408"/>
  <c r="BQ408"/>
  <c r="BR408"/>
  <c r="BS408"/>
  <c r="BT408"/>
  <c r="BU408"/>
  <c r="BV408"/>
  <c r="BW408"/>
  <c r="BX408"/>
  <c r="BY408"/>
  <c r="BZ408"/>
  <c r="CA408"/>
  <c r="CB408"/>
  <c r="CC408"/>
  <c r="CD408"/>
  <c r="CE408"/>
  <c r="CF408"/>
  <c r="CG408"/>
  <c r="CH408"/>
  <c r="CI408"/>
  <c r="CJ408"/>
  <c r="CK408"/>
  <c r="CL408"/>
  <c r="CM408"/>
  <c r="CN408"/>
  <c r="CO408"/>
  <c r="CP408"/>
  <c r="CQ408"/>
  <c r="CR408"/>
  <c r="CS408"/>
  <c r="CT408"/>
  <c r="CU408"/>
  <c r="CV408"/>
  <c r="CW408"/>
  <c r="CX408"/>
  <c r="CY408"/>
  <c r="CZ408"/>
  <c r="DA408"/>
  <c r="DB408"/>
  <c r="DC408"/>
  <c r="DD408"/>
  <c r="DE408"/>
  <c r="DF408"/>
  <c r="DG408"/>
  <c r="DH408"/>
  <c r="DI408"/>
  <c r="DJ408"/>
  <c r="DK408"/>
  <c r="DL408"/>
  <c r="DM408"/>
  <c r="DN408"/>
  <c r="DO408"/>
  <c r="DP408"/>
  <c r="DQ408"/>
  <c r="DR408"/>
  <c r="DS408"/>
  <c r="DT408"/>
  <c r="DU408"/>
  <c r="DV408"/>
  <c r="DW408"/>
  <c r="DX408"/>
  <c r="DY408"/>
  <c r="DZ408"/>
  <c r="EA408"/>
  <c r="EB408"/>
  <c r="EC408"/>
  <c r="ED408"/>
  <c r="EE408"/>
  <c r="EF408"/>
  <c r="EG408"/>
  <c r="EH408"/>
  <c r="EI408"/>
  <c r="EJ408"/>
  <c r="EK408"/>
  <c r="EL408"/>
  <c r="EM408"/>
  <c r="EN408"/>
  <c r="EO408"/>
  <c r="EP408"/>
  <c r="EQ408"/>
  <c r="ER408"/>
  <c r="ES408"/>
  <c r="ET408"/>
  <c r="EU408"/>
  <c r="EV408"/>
  <c r="EW408"/>
  <c r="EX408"/>
  <c r="EY408"/>
  <c r="EZ408"/>
  <c r="FA408"/>
  <c r="FB408"/>
  <c r="FC408"/>
  <c r="FD408"/>
  <c r="FE408"/>
  <c r="FF408"/>
  <c r="FG408"/>
  <c r="FH408"/>
  <c r="FI408"/>
  <c r="FJ408"/>
  <c r="FK408"/>
  <c r="FL408"/>
  <c r="FM408"/>
  <c r="FN408"/>
  <c r="FO408"/>
  <c r="FP408"/>
  <c r="FQ408"/>
  <c r="FR408"/>
  <c r="FS408"/>
  <c r="FT408"/>
  <c r="FU408"/>
  <c r="FV408"/>
  <c r="FW408"/>
  <c r="FX408"/>
  <c r="FY408"/>
  <c r="FZ408"/>
  <c r="GA408"/>
  <c r="GB408"/>
  <c r="GC408"/>
  <c r="GD408"/>
  <c r="GE408"/>
  <c r="GF408"/>
  <c r="GG408"/>
  <c r="GH408"/>
  <c r="GI408"/>
  <c r="GJ408"/>
  <c r="GK408"/>
  <c r="GL408"/>
  <c r="GM408"/>
  <c r="GN408"/>
  <c r="GO408"/>
  <c r="GP408"/>
  <c r="GQ408"/>
  <c r="GR408"/>
  <c r="GS408"/>
  <c r="GT408"/>
  <c r="GU408"/>
  <c r="GV408"/>
  <c r="GW408"/>
  <c r="GX408"/>
  <c r="GY408"/>
  <c r="GZ408"/>
  <c r="HA408"/>
  <c r="HB408"/>
  <c r="HC408"/>
  <c r="HD408"/>
  <c r="HE408"/>
  <c r="HF408"/>
  <c r="HG408"/>
  <c r="HH408"/>
  <c r="HI408"/>
  <c r="HJ408"/>
  <c r="HK408"/>
  <c r="HL408"/>
  <c r="HM408"/>
  <c r="HN408"/>
  <c r="HO408"/>
  <c r="HP408"/>
  <c r="HQ408"/>
  <c r="HR408"/>
  <c r="HS408"/>
  <c r="HT408"/>
  <c r="HU408"/>
  <c r="HV408"/>
  <c r="HW408"/>
  <c r="HX408"/>
  <c r="HY408"/>
  <c r="HZ408"/>
  <c r="IA408"/>
  <c r="IB408"/>
  <c r="IC408"/>
  <c r="ID408"/>
  <c r="IE408"/>
  <c r="IF408"/>
  <c r="IG408"/>
  <c r="IH408"/>
  <c r="II408"/>
  <c r="IJ408"/>
  <c r="IK408"/>
  <c r="IL408"/>
  <c r="IM408"/>
  <c r="IN408"/>
  <c r="IO408"/>
  <c r="IP408"/>
  <c r="IQ408"/>
  <c r="IR408"/>
  <c r="IS408"/>
  <c r="IT408"/>
  <c r="IU408"/>
  <c r="IV408"/>
  <c r="A407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AE407"/>
  <c r="AF407"/>
  <c r="AG407"/>
  <c r="AH407"/>
  <c r="AI407"/>
  <c r="AJ407"/>
  <c r="AK407"/>
  <c r="AL407"/>
  <c r="AM407"/>
  <c r="AN407"/>
  <c r="AO407"/>
  <c r="AP407"/>
  <c r="AQ407"/>
  <c r="AR407"/>
  <c r="AS407"/>
  <c r="AT407"/>
  <c r="AU407"/>
  <c r="AV407"/>
  <c r="AW407"/>
  <c r="AX407"/>
  <c r="AY407"/>
  <c r="AZ407"/>
  <c r="BA407"/>
  <c r="BB407"/>
  <c r="BC407"/>
  <c r="BD407"/>
  <c r="BE407"/>
  <c r="BF407"/>
  <c r="BG407"/>
  <c r="BH407"/>
  <c r="BI407"/>
  <c r="BJ407"/>
  <c r="BK407"/>
  <c r="BL407"/>
  <c r="BM407"/>
  <c r="BN407"/>
  <c r="BO407"/>
  <c r="BP407"/>
  <c r="BQ407"/>
  <c r="BR407"/>
  <c r="BS407"/>
  <c r="BT407"/>
  <c r="BU407"/>
  <c r="BV407"/>
  <c r="BW407"/>
  <c r="BX407"/>
  <c r="BY407"/>
  <c r="BZ407"/>
  <c r="CA407"/>
  <c r="CB407"/>
  <c r="CC407"/>
  <c r="CD407"/>
  <c r="CE407"/>
  <c r="CF407"/>
  <c r="CG407"/>
  <c r="CH407"/>
  <c r="CI407"/>
  <c r="CJ407"/>
  <c r="CK407"/>
  <c r="CL407"/>
  <c r="CM407"/>
  <c r="CN407"/>
  <c r="CO407"/>
  <c r="CP407"/>
  <c r="CQ407"/>
  <c r="CR407"/>
  <c r="CS407"/>
  <c r="CT407"/>
  <c r="CU407"/>
  <c r="CV407"/>
  <c r="CW407"/>
  <c r="CX407"/>
  <c r="CY407"/>
  <c r="CZ407"/>
  <c r="DA407"/>
  <c r="DB407"/>
  <c r="DC407"/>
  <c r="DD407"/>
  <c r="DE407"/>
  <c r="DF407"/>
  <c r="DG407"/>
  <c r="DH407"/>
  <c r="DI407"/>
  <c r="DJ407"/>
  <c r="DK407"/>
  <c r="DL407"/>
  <c r="DM407"/>
  <c r="DN407"/>
  <c r="DO407"/>
  <c r="DP407"/>
  <c r="DQ407"/>
  <c r="DR407"/>
  <c r="DS407"/>
  <c r="DT407"/>
  <c r="DU407"/>
  <c r="DV407"/>
  <c r="DW407"/>
  <c r="DX407"/>
  <c r="DY407"/>
  <c r="DZ407"/>
  <c r="EA407"/>
  <c r="EB407"/>
  <c r="EC407"/>
  <c r="ED407"/>
  <c r="EE407"/>
  <c r="EF407"/>
  <c r="EG407"/>
  <c r="EH407"/>
  <c r="EI407"/>
  <c r="EJ407"/>
  <c r="EK407"/>
  <c r="EL407"/>
  <c r="EM407"/>
  <c r="EN407"/>
  <c r="EO407"/>
  <c r="EP407"/>
  <c r="EQ407"/>
  <c r="ER407"/>
  <c r="ES407"/>
  <c r="ET407"/>
  <c r="EU407"/>
  <c r="EV407"/>
  <c r="EW407"/>
  <c r="EX407"/>
  <c r="EY407"/>
  <c r="EZ407"/>
  <c r="FA407"/>
  <c r="FB407"/>
  <c r="FC407"/>
  <c r="FD407"/>
  <c r="FE407"/>
  <c r="FF407"/>
  <c r="FG407"/>
  <c r="FH407"/>
  <c r="FI407"/>
  <c r="FJ407"/>
  <c r="FK407"/>
  <c r="FL407"/>
  <c r="FM407"/>
  <c r="FN407"/>
  <c r="FO407"/>
  <c r="FP407"/>
  <c r="FQ407"/>
  <c r="FR407"/>
  <c r="FS407"/>
  <c r="FT407"/>
  <c r="FU407"/>
  <c r="FV407"/>
  <c r="FW407"/>
  <c r="FX407"/>
  <c r="FY407"/>
  <c r="FZ407"/>
  <c r="GA407"/>
  <c r="GB407"/>
  <c r="GC407"/>
  <c r="GD407"/>
  <c r="GE407"/>
  <c r="GF407"/>
  <c r="GG407"/>
  <c r="GH407"/>
  <c r="GI407"/>
  <c r="GJ407"/>
  <c r="GK407"/>
  <c r="GL407"/>
  <c r="GM407"/>
  <c r="GN407"/>
  <c r="GO407"/>
  <c r="GP407"/>
  <c r="GQ407"/>
  <c r="GR407"/>
  <c r="GS407"/>
  <c r="GT407"/>
  <c r="GU407"/>
  <c r="GV407"/>
  <c r="GW407"/>
  <c r="GX407"/>
  <c r="GY407"/>
  <c r="GZ407"/>
  <c r="HA407"/>
  <c r="HB407"/>
  <c r="HC407"/>
  <c r="HD407"/>
  <c r="HE407"/>
  <c r="HF407"/>
  <c r="HG407"/>
  <c r="HH407"/>
  <c r="HI407"/>
  <c r="HJ407"/>
  <c r="HK407"/>
  <c r="HL407"/>
  <c r="HM407"/>
  <c r="HN407"/>
  <c r="HO407"/>
  <c r="HP407"/>
  <c r="HQ407"/>
  <c r="HR407"/>
  <c r="HS407"/>
  <c r="HT407"/>
  <c r="HU407"/>
  <c r="HV407"/>
  <c r="HW407"/>
  <c r="HX407"/>
  <c r="HY407"/>
  <c r="HZ407"/>
  <c r="IA407"/>
  <c r="IB407"/>
  <c r="IC407"/>
  <c r="ID407"/>
  <c r="IE407"/>
  <c r="IF407"/>
  <c r="IG407"/>
  <c r="IH407"/>
  <c r="II407"/>
  <c r="IJ407"/>
  <c r="IK407"/>
  <c r="IL407"/>
  <c r="IM407"/>
  <c r="IN407"/>
  <c r="IO407"/>
  <c r="IP407"/>
  <c r="IQ407"/>
  <c r="IR407"/>
  <c r="IS407"/>
  <c r="IT407"/>
  <c r="IU407"/>
  <c r="IV407"/>
  <c r="A406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AT406"/>
  <c r="AU406"/>
  <c r="AV406"/>
  <c r="AW406"/>
  <c r="AX406"/>
  <c r="AY406"/>
  <c r="AZ406"/>
  <c r="BA406"/>
  <c r="BB406"/>
  <c r="BC406"/>
  <c r="BD406"/>
  <c r="BE406"/>
  <c r="BF406"/>
  <c r="BG406"/>
  <c r="BH406"/>
  <c r="BI406"/>
  <c r="BJ406"/>
  <c r="BK406"/>
  <c r="BL406"/>
  <c r="BM406"/>
  <c r="BN406"/>
  <c r="BO406"/>
  <c r="BP406"/>
  <c r="BQ406"/>
  <c r="BR406"/>
  <c r="BS406"/>
  <c r="BT406"/>
  <c r="BU406"/>
  <c r="BV406"/>
  <c r="BW406"/>
  <c r="BX406"/>
  <c r="BY406"/>
  <c r="BZ406"/>
  <c r="CA406"/>
  <c r="CB406"/>
  <c r="CC406"/>
  <c r="CD406"/>
  <c r="CE406"/>
  <c r="CF406"/>
  <c r="CG406"/>
  <c r="CH406"/>
  <c r="CI406"/>
  <c r="CJ406"/>
  <c r="CK406"/>
  <c r="CL406"/>
  <c r="CM406"/>
  <c r="CN406"/>
  <c r="CO406"/>
  <c r="CP406"/>
  <c r="CQ406"/>
  <c r="CR406"/>
  <c r="CS406"/>
  <c r="CT406"/>
  <c r="CU406"/>
  <c r="CV406"/>
  <c r="CW406"/>
  <c r="CX406"/>
  <c r="CY406"/>
  <c r="CZ406"/>
  <c r="DA406"/>
  <c r="DB406"/>
  <c r="DC406"/>
  <c r="DD406"/>
  <c r="DE406"/>
  <c r="DF406"/>
  <c r="DG406"/>
  <c r="DH406"/>
  <c r="DI406"/>
  <c r="DJ406"/>
  <c r="DK406"/>
  <c r="DL406"/>
  <c r="DM406"/>
  <c r="DN406"/>
  <c r="DO406"/>
  <c r="DP406"/>
  <c r="DQ406"/>
  <c r="DR406"/>
  <c r="DS406"/>
  <c r="DT406"/>
  <c r="DU406"/>
  <c r="DV406"/>
  <c r="DW406"/>
  <c r="DX406"/>
  <c r="DY406"/>
  <c r="DZ406"/>
  <c r="EA406"/>
  <c r="EB406"/>
  <c r="EC406"/>
  <c r="ED406"/>
  <c r="EE406"/>
  <c r="EF406"/>
  <c r="EG406"/>
  <c r="EH406"/>
  <c r="EI406"/>
  <c r="EJ406"/>
  <c r="EK406"/>
  <c r="EL406"/>
  <c r="EM406"/>
  <c r="EN406"/>
  <c r="EO406"/>
  <c r="EP406"/>
  <c r="EQ406"/>
  <c r="ER406"/>
  <c r="ES406"/>
  <c r="ET406"/>
  <c r="EU406"/>
  <c r="EV406"/>
  <c r="EW406"/>
  <c r="EX406"/>
  <c r="EY406"/>
  <c r="EZ406"/>
  <c r="FA406"/>
  <c r="FB406"/>
  <c r="FC406"/>
  <c r="FD406"/>
  <c r="FE406"/>
  <c r="FF406"/>
  <c r="FG406"/>
  <c r="FH406"/>
  <c r="FI406"/>
  <c r="FJ406"/>
  <c r="FK406"/>
  <c r="FL406"/>
  <c r="FM406"/>
  <c r="FN406"/>
  <c r="FO406"/>
  <c r="FP406"/>
  <c r="FQ406"/>
  <c r="FR406"/>
  <c r="FS406"/>
  <c r="FT406"/>
  <c r="FU406"/>
  <c r="FV406"/>
  <c r="FW406"/>
  <c r="FX406"/>
  <c r="FY406"/>
  <c r="FZ406"/>
  <c r="GA406"/>
  <c r="GB406"/>
  <c r="GC406"/>
  <c r="GD406"/>
  <c r="GE406"/>
  <c r="GF406"/>
  <c r="GG406"/>
  <c r="GH406"/>
  <c r="GI406"/>
  <c r="GJ406"/>
  <c r="GK406"/>
  <c r="GL406"/>
  <c r="GM406"/>
  <c r="GN406"/>
  <c r="GO406"/>
  <c r="GP406"/>
  <c r="GQ406"/>
  <c r="GR406"/>
  <c r="GS406"/>
  <c r="GT406"/>
  <c r="GU406"/>
  <c r="GV406"/>
  <c r="GW406"/>
  <c r="GX406"/>
  <c r="GY406"/>
  <c r="GZ406"/>
  <c r="HA406"/>
  <c r="HB406"/>
  <c r="HC406"/>
  <c r="HD406"/>
  <c r="HE406"/>
  <c r="HF406"/>
  <c r="HG406"/>
  <c r="HH406"/>
  <c r="HI406"/>
  <c r="HJ406"/>
  <c r="HK406"/>
  <c r="HL406"/>
  <c r="HM406"/>
  <c r="HN406"/>
  <c r="HO406"/>
  <c r="HP406"/>
  <c r="HQ406"/>
  <c r="HR406"/>
  <c r="HS406"/>
  <c r="HT406"/>
  <c r="HU406"/>
  <c r="HV406"/>
  <c r="HW406"/>
  <c r="HX406"/>
  <c r="HY406"/>
  <c r="HZ406"/>
  <c r="IA406"/>
  <c r="IB406"/>
  <c r="IC406"/>
  <c r="ID406"/>
  <c r="IE406"/>
  <c r="IF406"/>
  <c r="IG406"/>
  <c r="IH406"/>
  <c r="II406"/>
  <c r="IJ406"/>
  <c r="IK406"/>
  <c r="IL406"/>
  <c r="IM406"/>
  <c r="IN406"/>
  <c r="IO406"/>
  <c r="IP406"/>
  <c r="IQ406"/>
  <c r="IR406"/>
  <c r="IS406"/>
  <c r="IT406"/>
  <c r="IU406"/>
  <c r="IV406"/>
  <c r="A405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AE405"/>
  <c r="AF405"/>
  <c r="AG405"/>
  <c r="AH405"/>
  <c r="AI405"/>
  <c r="AJ405"/>
  <c r="AK405"/>
  <c r="AL405"/>
  <c r="AM405"/>
  <c r="AN405"/>
  <c r="AO405"/>
  <c r="AP405"/>
  <c r="AQ405"/>
  <c r="AR405"/>
  <c r="AS405"/>
  <c r="AT405"/>
  <c r="AU405"/>
  <c r="AV405"/>
  <c r="AW405"/>
  <c r="AX405"/>
  <c r="AY405"/>
  <c r="AZ405"/>
  <c r="BA405"/>
  <c r="BB405"/>
  <c r="BC405"/>
  <c r="BD405"/>
  <c r="BE405"/>
  <c r="BF405"/>
  <c r="BG405"/>
  <c r="BH405"/>
  <c r="BI405"/>
  <c r="BJ405"/>
  <c r="BK405"/>
  <c r="BL405"/>
  <c r="BM405"/>
  <c r="BN405"/>
  <c r="BO405"/>
  <c r="BP405"/>
  <c r="BQ405"/>
  <c r="BR405"/>
  <c r="BS405"/>
  <c r="BT405"/>
  <c r="BU405"/>
  <c r="BV405"/>
  <c r="BW405"/>
  <c r="BX405"/>
  <c r="BY405"/>
  <c r="BZ405"/>
  <c r="CA405"/>
  <c r="CB405"/>
  <c r="CC405"/>
  <c r="CD405"/>
  <c r="CE405"/>
  <c r="CF405"/>
  <c r="CG405"/>
  <c r="CH405"/>
  <c r="CI405"/>
  <c r="CJ405"/>
  <c r="CK405"/>
  <c r="CL405"/>
  <c r="CM405"/>
  <c r="CN405"/>
  <c r="CO405"/>
  <c r="CP405"/>
  <c r="CQ405"/>
  <c r="CR405"/>
  <c r="CS405"/>
  <c r="CT405"/>
  <c r="CU405"/>
  <c r="CV405"/>
  <c r="CW405"/>
  <c r="CX405"/>
  <c r="CY405"/>
  <c r="CZ405"/>
  <c r="DA405"/>
  <c r="DB405"/>
  <c r="DC405"/>
  <c r="DD405"/>
  <c r="DE405"/>
  <c r="DF405"/>
  <c r="DG405"/>
  <c r="DH405"/>
  <c r="DI405"/>
  <c r="DJ405"/>
  <c r="DK405"/>
  <c r="DL405"/>
  <c r="DM405"/>
  <c r="DN405"/>
  <c r="DO405"/>
  <c r="DP405"/>
  <c r="DQ405"/>
  <c r="DR405"/>
  <c r="DS405"/>
  <c r="DT405"/>
  <c r="DU405"/>
  <c r="DV405"/>
  <c r="DW405"/>
  <c r="DX405"/>
  <c r="DY405"/>
  <c r="DZ405"/>
  <c r="EA405"/>
  <c r="EB405"/>
  <c r="EC405"/>
  <c r="ED405"/>
  <c r="EE405"/>
  <c r="EF405"/>
  <c r="EG405"/>
  <c r="EH405"/>
  <c r="EI405"/>
  <c r="EJ405"/>
  <c r="EK405"/>
  <c r="EL405"/>
  <c r="EM405"/>
  <c r="EN405"/>
  <c r="EO405"/>
  <c r="EP405"/>
  <c r="EQ405"/>
  <c r="ER405"/>
  <c r="ES405"/>
  <c r="ET405"/>
  <c r="EU405"/>
  <c r="EV405"/>
  <c r="EW405"/>
  <c r="EX405"/>
  <c r="EY405"/>
  <c r="EZ405"/>
  <c r="FA405"/>
  <c r="FB405"/>
  <c r="FC405"/>
  <c r="FD405"/>
  <c r="FE405"/>
  <c r="FF405"/>
  <c r="FG405"/>
  <c r="FH405"/>
  <c r="FI405"/>
  <c r="FJ405"/>
  <c r="FK405"/>
  <c r="FL405"/>
  <c r="FM405"/>
  <c r="FN405"/>
  <c r="FO405"/>
  <c r="FP405"/>
  <c r="FQ405"/>
  <c r="FR405"/>
  <c r="FS405"/>
  <c r="FT405"/>
  <c r="FU405"/>
  <c r="FV405"/>
  <c r="FW405"/>
  <c r="FX405"/>
  <c r="FY405"/>
  <c r="FZ405"/>
  <c r="GA405"/>
  <c r="GB405"/>
  <c r="GC405"/>
  <c r="GD405"/>
  <c r="GE405"/>
  <c r="GF405"/>
  <c r="GG405"/>
  <c r="GH405"/>
  <c r="GI405"/>
  <c r="GJ405"/>
  <c r="GK405"/>
  <c r="GL405"/>
  <c r="GM405"/>
  <c r="GN405"/>
  <c r="GO405"/>
  <c r="GP405"/>
  <c r="GQ405"/>
  <c r="GR405"/>
  <c r="GS405"/>
  <c r="GT405"/>
  <c r="GU405"/>
  <c r="GV405"/>
  <c r="GW405"/>
  <c r="GX405"/>
  <c r="GY405"/>
  <c r="GZ405"/>
  <c r="HA405"/>
  <c r="HB405"/>
  <c r="HC405"/>
  <c r="HD405"/>
  <c r="HE405"/>
  <c r="HF405"/>
  <c r="HG405"/>
  <c r="HH405"/>
  <c r="HI405"/>
  <c r="HJ405"/>
  <c r="HK405"/>
  <c r="HL405"/>
  <c r="HM405"/>
  <c r="HN405"/>
  <c r="HO405"/>
  <c r="HP405"/>
  <c r="HQ405"/>
  <c r="HR405"/>
  <c r="HS405"/>
  <c r="HT405"/>
  <c r="HU405"/>
  <c r="HV405"/>
  <c r="HW405"/>
  <c r="HX405"/>
  <c r="HY405"/>
  <c r="HZ405"/>
  <c r="IA405"/>
  <c r="IB405"/>
  <c r="IC405"/>
  <c r="ID405"/>
  <c r="IE405"/>
  <c r="IF405"/>
  <c r="IG405"/>
  <c r="IH405"/>
  <c r="II405"/>
  <c r="IJ405"/>
  <c r="IK405"/>
  <c r="IL405"/>
  <c r="IM405"/>
  <c r="IN405"/>
  <c r="IO405"/>
  <c r="IP405"/>
  <c r="IQ405"/>
  <c r="IR405"/>
  <c r="IS405"/>
  <c r="IT405"/>
  <c r="IU405"/>
  <c r="IV405"/>
  <c r="A404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AE404"/>
  <c r="AF404"/>
  <c r="AG404"/>
  <c r="AH404"/>
  <c r="AI404"/>
  <c r="AJ404"/>
  <c r="AK404"/>
  <c r="AL404"/>
  <c r="AM404"/>
  <c r="AN404"/>
  <c r="AO404"/>
  <c r="AP404"/>
  <c r="AQ404"/>
  <c r="AR404"/>
  <c r="AS404"/>
  <c r="AT404"/>
  <c r="AU404"/>
  <c r="AV404"/>
  <c r="AW404"/>
  <c r="AX404"/>
  <c r="AY404"/>
  <c r="AZ404"/>
  <c r="BA404"/>
  <c r="BB404"/>
  <c r="BC404"/>
  <c r="BD404"/>
  <c r="BE404"/>
  <c r="BF404"/>
  <c r="BG404"/>
  <c r="BH404"/>
  <c r="BI404"/>
  <c r="BJ404"/>
  <c r="BK404"/>
  <c r="BL404"/>
  <c r="BM404"/>
  <c r="BN404"/>
  <c r="BO404"/>
  <c r="BP404"/>
  <c r="BQ404"/>
  <c r="BR404"/>
  <c r="BS404"/>
  <c r="BT404"/>
  <c r="BU404"/>
  <c r="BV404"/>
  <c r="BW404"/>
  <c r="BX404"/>
  <c r="BY404"/>
  <c r="BZ404"/>
  <c r="CA404"/>
  <c r="CB404"/>
  <c r="CC404"/>
  <c r="CD404"/>
  <c r="CE404"/>
  <c r="CF404"/>
  <c r="CG404"/>
  <c r="CH404"/>
  <c r="CI404"/>
  <c r="CJ404"/>
  <c r="CK404"/>
  <c r="CL404"/>
  <c r="CM404"/>
  <c r="CN404"/>
  <c r="CO404"/>
  <c r="CP404"/>
  <c r="CQ404"/>
  <c r="CR404"/>
  <c r="CS404"/>
  <c r="CT404"/>
  <c r="CU404"/>
  <c r="CV404"/>
  <c r="CW404"/>
  <c r="CX404"/>
  <c r="CY404"/>
  <c r="CZ404"/>
  <c r="DA404"/>
  <c r="DB404"/>
  <c r="DC404"/>
  <c r="DD404"/>
  <c r="DE404"/>
  <c r="DF404"/>
  <c r="DG404"/>
  <c r="DH404"/>
  <c r="DI404"/>
  <c r="DJ404"/>
  <c r="DK404"/>
  <c r="DL404"/>
  <c r="DM404"/>
  <c r="DN404"/>
  <c r="DO404"/>
  <c r="DP404"/>
  <c r="DQ404"/>
  <c r="DR404"/>
  <c r="DS404"/>
  <c r="DT404"/>
  <c r="DU404"/>
  <c r="DV404"/>
  <c r="DW404"/>
  <c r="DX404"/>
  <c r="DY404"/>
  <c r="DZ404"/>
  <c r="EA404"/>
  <c r="EB404"/>
  <c r="EC404"/>
  <c r="ED404"/>
  <c r="EE404"/>
  <c r="EF404"/>
  <c r="EG404"/>
  <c r="EH404"/>
  <c r="EI404"/>
  <c r="EJ404"/>
  <c r="EK404"/>
  <c r="EL404"/>
  <c r="EM404"/>
  <c r="EN404"/>
  <c r="EO404"/>
  <c r="EP404"/>
  <c r="EQ404"/>
  <c r="ER404"/>
  <c r="ES404"/>
  <c r="ET404"/>
  <c r="EU404"/>
  <c r="EV404"/>
  <c r="EW404"/>
  <c r="EX404"/>
  <c r="EY404"/>
  <c r="EZ404"/>
  <c r="FA404"/>
  <c r="FB404"/>
  <c r="FC404"/>
  <c r="FD404"/>
  <c r="FE404"/>
  <c r="FF404"/>
  <c r="FG404"/>
  <c r="FH404"/>
  <c r="FI404"/>
  <c r="FJ404"/>
  <c r="FK404"/>
  <c r="FL404"/>
  <c r="FM404"/>
  <c r="FN404"/>
  <c r="FO404"/>
  <c r="FP404"/>
  <c r="FQ404"/>
  <c r="FR404"/>
  <c r="FS404"/>
  <c r="FT404"/>
  <c r="FU404"/>
  <c r="FV404"/>
  <c r="FW404"/>
  <c r="FX404"/>
  <c r="FY404"/>
  <c r="FZ404"/>
  <c r="GA404"/>
  <c r="GB404"/>
  <c r="GC404"/>
  <c r="GD404"/>
  <c r="GE404"/>
  <c r="GF404"/>
  <c r="GG404"/>
  <c r="GH404"/>
  <c r="GI404"/>
  <c r="GJ404"/>
  <c r="GK404"/>
  <c r="GL404"/>
  <c r="GM404"/>
  <c r="GN404"/>
  <c r="GO404"/>
  <c r="GP404"/>
  <c r="GQ404"/>
  <c r="GR404"/>
  <c r="GS404"/>
  <c r="GT404"/>
  <c r="GU404"/>
  <c r="GV404"/>
  <c r="GW404"/>
  <c r="GX404"/>
  <c r="GY404"/>
  <c r="GZ404"/>
  <c r="HA404"/>
  <c r="HB404"/>
  <c r="HC404"/>
  <c r="HD404"/>
  <c r="HE404"/>
  <c r="HF404"/>
  <c r="HG404"/>
  <c r="HH404"/>
  <c r="HI404"/>
  <c r="HJ404"/>
  <c r="HK404"/>
  <c r="HL404"/>
  <c r="HM404"/>
  <c r="HN404"/>
  <c r="HO404"/>
  <c r="HP404"/>
  <c r="HQ404"/>
  <c r="HR404"/>
  <c r="HS404"/>
  <c r="HT404"/>
  <c r="HU404"/>
  <c r="HV404"/>
  <c r="HW404"/>
  <c r="HX404"/>
  <c r="HY404"/>
  <c r="HZ404"/>
  <c r="IA404"/>
  <c r="IB404"/>
  <c r="IC404"/>
  <c r="ID404"/>
  <c r="IE404"/>
  <c r="IF404"/>
  <c r="IG404"/>
  <c r="IH404"/>
  <c r="II404"/>
  <c r="IJ404"/>
  <c r="IK404"/>
  <c r="IL404"/>
  <c r="IM404"/>
  <c r="IN404"/>
  <c r="IO404"/>
  <c r="IP404"/>
  <c r="IQ404"/>
  <c r="IR404"/>
  <c r="IS404"/>
  <c r="IT404"/>
  <c r="IU404"/>
  <c r="IV404"/>
  <c r="A403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AE403"/>
  <c r="AF403"/>
  <c r="AG403"/>
  <c r="AH403"/>
  <c r="AI403"/>
  <c r="AJ403"/>
  <c r="AK403"/>
  <c r="AL403"/>
  <c r="AM403"/>
  <c r="AN403"/>
  <c r="AO403"/>
  <c r="AP403"/>
  <c r="AQ403"/>
  <c r="AR403"/>
  <c r="AS403"/>
  <c r="AT403"/>
  <c r="AU403"/>
  <c r="AV403"/>
  <c r="AW403"/>
  <c r="AX403"/>
  <c r="AY403"/>
  <c r="AZ403"/>
  <c r="BA403"/>
  <c r="BB403"/>
  <c r="BC403"/>
  <c r="BD403"/>
  <c r="BE403"/>
  <c r="BF403"/>
  <c r="BG403"/>
  <c r="BH403"/>
  <c r="BI403"/>
  <c r="BJ403"/>
  <c r="BK403"/>
  <c r="BL403"/>
  <c r="BM403"/>
  <c r="BN403"/>
  <c r="BO403"/>
  <c r="BP403"/>
  <c r="BQ403"/>
  <c r="BR403"/>
  <c r="BS403"/>
  <c r="BT403"/>
  <c r="BU403"/>
  <c r="BV403"/>
  <c r="BW403"/>
  <c r="BX403"/>
  <c r="BY403"/>
  <c r="BZ403"/>
  <c r="CA403"/>
  <c r="CB403"/>
  <c r="CC403"/>
  <c r="CD403"/>
  <c r="CE403"/>
  <c r="CF403"/>
  <c r="CG403"/>
  <c r="CH403"/>
  <c r="CI403"/>
  <c r="CJ403"/>
  <c r="CK403"/>
  <c r="CL403"/>
  <c r="CM403"/>
  <c r="CN403"/>
  <c r="CO403"/>
  <c r="CP403"/>
  <c r="CQ403"/>
  <c r="CR403"/>
  <c r="CS403"/>
  <c r="CT403"/>
  <c r="CU403"/>
  <c r="CV403"/>
  <c r="CW403"/>
  <c r="CX403"/>
  <c r="CY403"/>
  <c r="CZ403"/>
  <c r="DA403"/>
  <c r="DB403"/>
  <c r="DC403"/>
  <c r="DD403"/>
  <c r="DE403"/>
  <c r="DF403"/>
  <c r="DG403"/>
  <c r="DH403"/>
  <c r="DI403"/>
  <c r="DJ403"/>
  <c r="DK403"/>
  <c r="DL403"/>
  <c r="DM403"/>
  <c r="DN403"/>
  <c r="DO403"/>
  <c r="DP403"/>
  <c r="DQ403"/>
  <c r="DR403"/>
  <c r="DS403"/>
  <c r="DT403"/>
  <c r="DU403"/>
  <c r="DV403"/>
  <c r="DW403"/>
  <c r="DX403"/>
  <c r="DY403"/>
  <c r="DZ403"/>
  <c r="EA403"/>
  <c r="EB403"/>
  <c r="EC403"/>
  <c r="ED403"/>
  <c r="EE403"/>
  <c r="EF403"/>
  <c r="EG403"/>
  <c r="EH403"/>
  <c r="EI403"/>
  <c r="EJ403"/>
  <c r="EK403"/>
  <c r="EL403"/>
  <c r="EM403"/>
  <c r="EN403"/>
  <c r="EO403"/>
  <c r="EP403"/>
  <c r="EQ403"/>
  <c r="ER403"/>
  <c r="ES403"/>
  <c r="ET403"/>
  <c r="EU403"/>
  <c r="EV403"/>
  <c r="EW403"/>
  <c r="EX403"/>
  <c r="EY403"/>
  <c r="EZ403"/>
  <c r="FA403"/>
  <c r="FB403"/>
  <c r="FC403"/>
  <c r="FD403"/>
  <c r="FE403"/>
  <c r="FF403"/>
  <c r="FG403"/>
  <c r="FH403"/>
  <c r="FI403"/>
  <c r="FJ403"/>
  <c r="FK403"/>
  <c r="FL403"/>
  <c r="FM403"/>
  <c r="FN403"/>
  <c r="FO403"/>
  <c r="FP403"/>
  <c r="FQ403"/>
  <c r="FR403"/>
  <c r="FS403"/>
  <c r="FT403"/>
  <c r="FU403"/>
  <c r="FV403"/>
  <c r="FW403"/>
  <c r="FX403"/>
  <c r="FY403"/>
  <c r="FZ403"/>
  <c r="GA403"/>
  <c r="GB403"/>
  <c r="GC403"/>
  <c r="GD403"/>
  <c r="GE403"/>
  <c r="GF403"/>
  <c r="GG403"/>
  <c r="GH403"/>
  <c r="GI403"/>
  <c r="GJ403"/>
  <c r="GK403"/>
  <c r="GL403"/>
  <c r="GM403"/>
  <c r="GN403"/>
  <c r="GO403"/>
  <c r="GP403"/>
  <c r="GQ403"/>
  <c r="GR403"/>
  <c r="GS403"/>
  <c r="GT403"/>
  <c r="GU403"/>
  <c r="GV403"/>
  <c r="GW403"/>
  <c r="GX403"/>
  <c r="GY403"/>
  <c r="GZ403"/>
  <c r="HA403"/>
  <c r="HB403"/>
  <c r="HC403"/>
  <c r="HD403"/>
  <c r="HE403"/>
  <c r="HF403"/>
  <c r="HG403"/>
  <c r="HH403"/>
  <c r="HI403"/>
  <c r="HJ403"/>
  <c r="HK403"/>
  <c r="HL403"/>
  <c r="HM403"/>
  <c r="HN403"/>
  <c r="HO403"/>
  <c r="HP403"/>
  <c r="HQ403"/>
  <c r="HR403"/>
  <c r="HS403"/>
  <c r="HT403"/>
  <c r="HU403"/>
  <c r="HV403"/>
  <c r="HW403"/>
  <c r="HX403"/>
  <c r="HY403"/>
  <c r="HZ403"/>
  <c r="IA403"/>
  <c r="IB403"/>
  <c r="IC403"/>
  <c r="ID403"/>
  <c r="IE403"/>
  <c r="IF403"/>
  <c r="IG403"/>
  <c r="IH403"/>
  <c r="II403"/>
  <c r="IJ403"/>
  <c r="IK403"/>
  <c r="IL403"/>
  <c r="IM403"/>
  <c r="IN403"/>
  <c r="IO403"/>
  <c r="IP403"/>
  <c r="IQ403"/>
  <c r="IR403"/>
  <c r="IS403"/>
  <c r="IT403"/>
  <c r="IU403"/>
  <c r="IV403"/>
  <c r="A402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AE402"/>
  <c r="AF402"/>
  <c r="AG402"/>
  <c r="AH402"/>
  <c r="AI402"/>
  <c r="AJ402"/>
  <c r="AK402"/>
  <c r="AL402"/>
  <c r="AM402"/>
  <c r="AN402"/>
  <c r="AO402"/>
  <c r="AP402"/>
  <c r="AQ402"/>
  <c r="AR402"/>
  <c r="AS402"/>
  <c r="AT402"/>
  <c r="AU402"/>
  <c r="AV402"/>
  <c r="AW402"/>
  <c r="AX402"/>
  <c r="AY402"/>
  <c r="AZ402"/>
  <c r="BA402"/>
  <c r="BB402"/>
  <c r="BC402"/>
  <c r="BD402"/>
  <c r="BE402"/>
  <c r="BF402"/>
  <c r="BG402"/>
  <c r="BH402"/>
  <c r="BI402"/>
  <c r="BJ402"/>
  <c r="BK402"/>
  <c r="BL402"/>
  <c r="BM402"/>
  <c r="BN402"/>
  <c r="BO402"/>
  <c r="BP402"/>
  <c r="BQ402"/>
  <c r="BR402"/>
  <c r="BS402"/>
  <c r="BT402"/>
  <c r="BU402"/>
  <c r="BV402"/>
  <c r="BW402"/>
  <c r="BX402"/>
  <c r="BY402"/>
  <c r="BZ402"/>
  <c r="CA402"/>
  <c r="CB402"/>
  <c r="CC402"/>
  <c r="CD402"/>
  <c r="CE402"/>
  <c r="CF402"/>
  <c r="CG402"/>
  <c r="CH402"/>
  <c r="CI402"/>
  <c r="CJ402"/>
  <c r="CK402"/>
  <c r="CL402"/>
  <c r="CM402"/>
  <c r="CN402"/>
  <c r="CO402"/>
  <c r="CP402"/>
  <c r="CQ402"/>
  <c r="CR402"/>
  <c r="CS402"/>
  <c r="CT402"/>
  <c r="CU402"/>
  <c r="CV402"/>
  <c r="CW402"/>
  <c r="CX402"/>
  <c r="CY402"/>
  <c r="CZ402"/>
  <c r="DA402"/>
  <c r="DB402"/>
  <c r="DC402"/>
  <c r="DD402"/>
  <c r="DE402"/>
  <c r="DF402"/>
  <c r="DG402"/>
  <c r="DH402"/>
  <c r="DI402"/>
  <c r="DJ402"/>
  <c r="DK402"/>
  <c r="DL402"/>
  <c r="DM402"/>
  <c r="DN402"/>
  <c r="DO402"/>
  <c r="DP402"/>
  <c r="DQ402"/>
  <c r="DR402"/>
  <c r="DS402"/>
  <c r="DT402"/>
  <c r="DU402"/>
  <c r="DV402"/>
  <c r="DW402"/>
  <c r="DX402"/>
  <c r="DY402"/>
  <c r="DZ402"/>
  <c r="EA402"/>
  <c r="EB402"/>
  <c r="EC402"/>
  <c r="ED402"/>
  <c r="EE402"/>
  <c r="EF402"/>
  <c r="EG402"/>
  <c r="EH402"/>
  <c r="EI402"/>
  <c r="EJ402"/>
  <c r="EK402"/>
  <c r="EL402"/>
  <c r="EM402"/>
  <c r="EN402"/>
  <c r="EO402"/>
  <c r="EP402"/>
  <c r="EQ402"/>
  <c r="ER402"/>
  <c r="ES402"/>
  <c r="ET402"/>
  <c r="EU402"/>
  <c r="EV402"/>
  <c r="EW402"/>
  <c r="EX402"/>
  <c r="EY402"/>
  <c r="EZ402"/>
  <c r="FA402"/>
  <c r="FB402"/>
  <c r="FC402"/>
  <c r="FD402"/>
  <c r="FE402"/>
  <c r="FF402"/>
  <c r="FG402"/>
  <c r="FH402"/>
  <c r="FI402"/>
  <c r="FJ402"/>
  <c r="FK402"/>
  <c r="FL402"/>
  <c r="FM402"/>
  <c r="FN402"/>
  <c r="FO402"/>
  <c r="FP402"/>
  <c r="FQ402"/>
  <c r="FR402"/>
  <c r="FS402"/>
  <c r="FT402"/>
  <c r="FU402"/>
  <c r="FV402"/>
  <c r="FW402"/>
  <c r="FX402"/>
  <c r="FY402"/>
  <c r="FZ402"/>
  <c r="GA402"/>
  <c r="GB402"/>
  <c r="GC402"/>
  <c r="GD402"/>
  <c r="GE402"/>
  <c r="GF402"/>
  <c r="GG402"/>
  <c r="GH402"/>
  <c r="GI402"/>
  <c r="GJ402"/>
  <c r="GK402"/>
  <c r="GL402"/>
  <c r="GM402"/>
  <c r="GN402"/>
  <c r="GO402"/>
  <c r="GP402"/>
  <c r="GQ402"/>
  <c r="GR402"/>
  <c r="GS402"/>
  <c r="GT402"/>
  <c r="GU402"/>
  <c r="GV402"/>
  <c r="GW402"/>
  <c r="GX402"/>
  <c r="GY402"/>
  <c r="GZ402"/>
  <c r="HA402"/>
  <c r="HB402"/>
  <c r="HC402"/>
  <c r="HD402"/>
  <c r="HE402"/>
  <c r="HF402"/>
  <c r="HG402"/>
  <c r="HH402"/>
  <c r="HI402"/>
  <c r="HJ402"/>
  <c r="HK402"/>
  <c r="HL402"/>
  <c r="HM402"/>
  <c r="HN402"/>
  <c r="HO402"/>
  <c r="HP402"/>
  <c r="HQ402"/>
  <c r="HR402"/>
  <c r="HS402"/>
  <c r="HT402"/>
  <c r="HU402"/>
  <c r="HV402"/>
  <c r="HW402"/>
  <c r="HX402"/>
  <c r="HY402"/>
  <c r="HZ402"/>
  <c r="IA402"/>
  <c r="IB402"/>
  <c r="IC402"/>
  <c r="ID402"/>
  <c r="IE402"/>
  <c r="IF402"/>
  <c r="IG402"/>
  <c r="IH402"/>
  <c r="II402"/>
  <c r="IJ402"/>
  <c r="IK402"/>
  <c r="IL402"/>
  <c r="IM402"/>
  <c r="IN402"/>
  <c r="IO402"/>
  <c r="IP402"/>
  <c r="IQ402"/>
  <c r="IR402"/>
  <c r="IS402"/>
  <c r="IT402"/>
  <c r="IU402"/>
  <c r="IV402"/>
  <c r="A401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AE401"/>
  <c r="AF401"/>
  <c r="AG401"/>
  <c r="AH401"/>
  <c r="AI401"/>
  <c r="AJ401"/>
  <c r="AK401"/>
  <c r="AL401"/>
  <c r="AM401"/>
  <c r="AN401"/>
  <c r="AO401"/>
  <c r="AP401"/>
  <c r="AQ401"/>
  <c r="AR401"/>
  <c r="AS401"/>
  <c r="AT401"/>
  <c r="AU401"/>
  <c r="AV401"/>
  <c r="AW401"/>
  <c r="AX401"/>
  <c r="AY401"/>
  <c r="AZ401"/>
  <c r="BA401"/>
  <c r="BB401"/>
  <c r="BC401"/>
  <c r="BD401"/>
  <c r="BE401"/>
  <c r="BF401"/>
  <c r="BG401"/>
  <c r="BH401"/>
  <c r="BI401"/>
  <c r="BJ401"/>
  <c r="BK401"/>
  <c r="BL401"/>
  <c r="BM401"/>
  <c r="BN401"/>
  <c r="BO401"/>
  <c r="BP401"/>
  <c r="BQ401"/>
  <c r="BR401"/>
  <c r="BS401"/>
  <c r="BT401"/>
  <c r="BU401"/>
  <c r="BV401"/>
  <c r="BW401"/>
  <c r="BX401"/>
  <c r="BY401"/>
  <c r="BZ401"/>
  <c r="CA401"/>
  <c r="CB401"/>
  <c r="CC401"/>
  <c r="CD401"/>
  <c r="CE401"/>
  <c r="CF401"/>
  <c r="CG401"/>
  <c r="CH401"/>
  <c r="CI401"/>
  <c r="CJ401"/>
  <c r="CK401"/>
  <c r="CL401"/>
  <c r="CM401"/>
  <c r="CN401"/>
  <c r="CO401"/>
  <c r="CP401"/>
  <c r="CQ401"/>
  <c r="CR401"/>
  <c r="CS401"/>
  <c r="CT401"/>
  <c r="CU401"/>
  <c r="CV401"/>
  <c r="CW401"/>
  <c r="CX401"/>
  <c r="CY401"/>
  <c r="CZ401"/>
  <c r="DA401"/>
  <c r="DB401"/>
  <c r="DC401"/>
  <c r="DD401"/>
  <c r="DE401"/>
  <c r="DF401"/>
  <c r="DG401"/>
  <c r="DH401"/>
  <c r="DI401"/>
  <c r="DJ401"/>
  <c r="DK401"/>
  <c r="DL401"/>
  <c r="DM401"/>
  <c r="DN401"/>
  <c r="DO401"/>
  <c r="DP401"/>
  <c r="DQ401"/>
  <c r="DR401"/>
  <c r="DS401"/>
  <c r="DT401"/>
  <c r="DU401"/>
  <c r="DV401"/>
  <c r="DW401"/>
  <c r="DX401"/>
  <c r="DY401"/>
  <c r="DZ401"/>
  <c r="EA401"/>
  <c r="EB401"/>
  <c r="EC401"/>
  <c r="ED401"/>
  <c r="EE401"/>
  <c r="EF401"/>
  <c r="EG401"/>
  <c r="EH401"/>
  <c r="EI401"/>
  <c r="EJ401"/>
  <c r="EK401"/>
  <c r="EL401"/>
  <c r="EM401"/>
  <c r="EN401"/>
  <c r="EO401"/>
  <c r="EP401"/>
  <c r="EQ401"/>
  <c r="ER401"/>
  <c r="ES401"/>
  <c r="ET401"/>
  <c r="EU401"/>
  <c r="EV401"/>
  <c r="EW401"/>
  <c r="EX401"/>
  <c r="EY401"/>
  <c r="EZ401"/>
  <c r="FA401"/>
  <c r="FB401"/>
  <c r="FC401"/>
  <c r="FD401"/>
  <c r="FE401"/>
  <c r="FF401"/>
  <c r="FG401"/>
  <c r="FH401"/>
  <c r="FI401"/>
  <c r="FJ401"/>
  <c r="FK401"/>
  <c r="FL401"/>
  <c r="FM401"/>
  <c r="FN401"/>
  <c r="FO401"/>
  <c r="FP401"/>
  <c r="FQ401"/>
  <c r="FR401"/>
  <c r="FS401"/>
  <c r="FT401"/>
  <c r="FU401"/>
  <c r="FV401"/>
  <c r="FW401"/>
  <c r="FX401"/>
  <c r="FY401"/>
  <c r="FZ401"/>
  <c r="GA401"/>
  <c r="GB401"/>
  <c r="GC401"/>
  <c r="GD401"/>
  <c r="GE401"/>
  <c r="GF401"/>
  <c r="GG401"/>
  <c r="GH401"/>
  <c r="GI401"/>
  <c r="GJ401"/>
  <c r="GK401"/>
  <c r="GL401"/>
  <c r="GM401"/>
  <c r="GN401"/>
  <c r="GO401"/>
  <c r="GP401"/>
  <c r="GQ401"/>
  <c r="GR401"/>
  <c r="GS401"/>
  <c r="GT401"/>
  <c r="GU401"/>
  <c r="GV401"/>
  <c r="GW401"/>
  <c r="GX401"/>
  <c r="GY401"/>
  <c r="GZ401"/>
  <c r="HA401"/>
  <c r="HB401"/>
  <c r="HC401"/>
  <c r="HD401"/>
  <c r="HE401"/>
  <c r="HF401"/>
  <c r="HG401"/>
  <c r="HH401"/>
  <c r="HI401"/>
  <c r="HJ401"/>
  <c r="HK401"/>
  <c r="HL401"/>
  <c r="HM401"/>
  <c r="HN401"/>
  <c r="HO401"/>
  <c r="HP401"/>
  <c r="HQ401"/>
  <c r="HR401"/>
  <c r="HS401"/>
  <c r="HT401"/>
  <c r="HU401"/>
  <c r="HV401"/>
  <c r="HW401"/>
  <c r="HX401"/>
  <c r="HY401"/>
  <c r="HZ401"/>
  <c r="IA401"/>
  <c r="IB401"/>
  <c r="IC401"/>
  <c r="ID401"/>
  <c r="IE401"/>
  <c r="IF401"/>
  <c r="IG401"/>
  <c r="IH401"/>
  <c r="II401"/>
  <c r="IJ401"/>
  <c r="IK401"/>
  <c r="IL401"/>
  <c r="IM401"/>
  <c r="IN401"/>
  <c r="IO401"/>
  <c r="IP401"/>
  <c r="IQ401"/>
  <c r="IR401"/>
  <c r="IS401"/>
  <c r="IT401"/>
  <c r="IU401"/>
  <c r="IV401"/>
  <c r="A400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AT400"/>
  <c r="AU400"/>
  <c r="AV400"/>
  <c r="AW400"/>
  <c r="AX400"/>
  <c r="AY400"/>
  <c r="AZ400"/>
  <c r="BA400"/>
  <c r="BB400"/>
  <c r="BC400"/>
  <c r="BD400"/>
  <c r="BE400"/>
  <c r="BF400"/>
  <c r="BG400"/>
  <c r="BH400"/>
  <c r="BI400"/>
  <c r="BJ400"/>
  <c r="BK400"/>
  <c r="BL400"/>
  <c r="BM400"/>
  <c r="BN400"/>
  <c r="BO400"/>
  <c r="BP400"/>
  <c r="BQ400"/>
  <c r="BR400"/>
  <c r="BS400"/>
  <c r="BT400"/>
  <c r="BU400"/>
  <c r="BV400"/>
  <c r="BW400"/>
  <c r="BX400"/>
  <c r="BY400"/>
  <c r="BZ400"/>
  <c r="CA400"/>
  <c r="CB400"/>
  <c r="CC400"/>
  <c r="CD400"/>
  <c r="CE400"/>
  <c r="CF400"/>
  <c r="CG400"/>
  <c r="CH400"/>
  <c r="CI400"/>
  <c r="CJ400"/>
  <c r="CK400"/>
  <c r="CL400"/>
  <c r="CM400"/>
  <c r="CN400"/>
  <c r="CO400"/>
  <c r="CP400"/>
  <c r="CQ400"/>
  <c r="CR400"/>
  <c r="CS400"/>
  <c r="CT400"/>
  <c r="CU400"/>
  <c r="CV400"/>
  <c r="CW400"/>
  <c r="CX400"/>
  <c r="CY400"/>
  <c r="CZ400"/>
  <c r="DA400"/>
  <c r="DB400"/>
  <c r="DC400"/>
  <c r="DD400"/>
  <c r="DE400"/>
  <c r="DF400"/>
  <c r="DG400"/>
  <c r="DH400"/>
  <c r="DI400"/>
  <c r="DJ400"/>
  <c r="DK400"/>
  <c r="DL400"/>
  <c r="DM400"/>
  <c r="DN400"/>
  <c r="DO400"/>
  <c r="DP400"/>
  <c r="DQ400"/>
  <c r="DR400"/>
  <c r="DS400"/>
  <c r="DT400"/>
  <c r="DU400"/>
  <c r="DV400"/>
  <c r="DW400"/>
  <c r="DX400"/>
  <c r="DY400"/>
  <c r="DZ400"/>
  <c r="EA400"/>
  <c r="EB400"/>
  <c r="EC400"/>
  <c r="ED400"/>
  <c r="EE400"/>
  <c r="EF400"/>
  <c r="EG400"/>
  <c r="EH400"/>
  <c r="EI400"/>
  <c r="EJ400"/>
  <c r="EK400"/>
  <c r="EL400"/>
  <c r="EM400"/>
  <c r="EN400"/>
  <c r="EO400"/>
  <c r="EP400"/>
  <c r="EQ400"/>
  <c r="ER400"/>
  <c r="ES400"/>
  <c r="ET400"/>
  <c r="EU400"/>
  <c r="EV400"/>
  <c r="EW400"/>
  <c r="EX400"/>
  <c r="EY400"/>
  <c r="EZ400"/>
  <c r="FA400"/>
  <c r="FB400"/>
  <c r="FC400"/>
  <c r="FD400"/>
  <c r="FE400"/>
  <c r="FF400"/>
  <c r="FG400"/>
  <c r="FH400"/>
  <c r="FI400"/>
  <c r="FJ400"/>
  <c r="FK400"/>
  <c r="FL400"/>
  <c r="FM400"/>
  <c r="FN400"/>
  <c r="FO400"/>
  <c r="FP400"/>
  <c r="FQ400"/>
  <c r="FR400"/>
  <c r="FS400"/>
  <c r="FT400"/>
  <c r="FU400"/>
  <c r="FV400"/>
  <c r="FW400"/>
  <c r="FX400"/>
  <c r="FY400"/>
  <c r="FZ400"/>
  <c r="GA400"/>
  <c r="GB400"/>
  <c r="GC400"/>
  <c r="GD400"/>
  <c r="GE400"/>
  <c r="GF400"/>
  <c r="GG400"/>
  <c r="GH400"/>
  <c r="GI400"/>
  <c r="GJ400"/>
  <c r="GK400"/>
  <c r="GL400"/>
  <c r="GM400"/>
  <c r="GN400"/>
  <c r="GO400"/>
  <c r="GP400"/>
  <c r="GQ400"/>
  <c r="GR400"/>
  <c r="GS400"/>
  <c r="GT400"/>
  <c r="GU400"/>
  <c r="GV400"/>
  <c r="GW400"/>
  <c r="GX400"/>
  <c r="GY400"/>
  <c r="GZ400"/>
  <c r="HA400"/>
  <c r="HB400"/>
  <c r="HC400"/>
  <c r="HD400"/>
  <c r="HE400"/>
  <c r="HF400"/>
  <c r="HG400"/>
  <c r="HH400"/>
  <c r="HI400"/>
  <c r="HJ400"/>
  <c r="HK400"/>
  <c r="HL400"/>
  <c r="HM400"/>
  <c r="HN400"/>
  <c r="HO400"/>
  <c r="HP400"/>
  <c r="HQ400"/>
  <c r="HR400"/>
  <c r="HS400"/>
  <c r="HT400"/>
  <c r="HU400"/>
  <c r="HV400"/>
  <c r="HW400"/>
  <c r="HX400"/>
  <c r="HY400"/>
  <c r="HZ400"/>
  <c r="IA400"/>
  <c r="IB400"/>
  <c r="IC400"/>
  <c r="ID400"/>
  <c r="IE400"/>
  <c r="IF400"/>
  <c r="IG400"/>
  <c r="IH400"/>
  <c r="II400"/>
  <c r="IJ400"/>
  <c r="IK400"/>
  <c r="IL400"/>
  <c r="IM400"/>
  <c r="IN400"/>
  <c r="IO400"/>
  <c r="IP400"/>
  <c r="IQ400"/>
  <c r="IR400"/>
  <c r="IS400"/>
  <c r="IT400"/>
  <c r="IU400"/>
  <c r="IV400"/>
  <c r="A39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AE399"/>
  <c r="AF399"/>
  <c r="AG399"/>
  <c r="AH399"/>
  <c r="AI399"/>
  <c r="AJ399"/>
  <c r="AK399"/>
  <c r="AL399"/>
  <c r="AM399"/>
  <c r="AN399"/>
  <c r="AO399"/>
  <c r="AP399"/>
  <c r="AQ399"/>
  <c r="AR399"/>
  <c r="AS399"/>
  <c r="AT399"/>
  <c r="AU399"/>
  <c r="AV399"/>
  <c r="AW399"/>
  <c r="AX399"/>
  <c r="AY399"/>
  <c r="AZ399"/>
  <c r="BA399"/>
  <c r="BB399"/>
  <c r="BC399"/>
  <c r="BD399"/>
  <c r="BE399"/>
  <c r="BF399"/>
  <c r="BG399"/>
  <c r="BH399"/>
  <c r="BI399"/>
  <c r="BJ399"/>
  <c r="BK399"/>
  <c r="BL399"/>
  <c r="BM399"/>
  <c r="BN399"/>
  <c r="BO399"/>
  <c r="BP399"/>
  <c r="BQ399"/>
  <c r="BR399"/>
  <c r="BS399"/>
  <c r="BT399"/>
  <c r="BU399"/>
  <c r="BV399"/>
  <c r="BW399"/>
  <c r="BX399"/>
  <c r="BY399"/>
  <c r="BZ399"/>
  <c r="CA399"/>
  <c r="CB399"/>
  <c r="CC399"/>
  <c r="CD399"/>
  <c r="CE399"/>
  <c r="CF399"/>
  <c r="CG399"/>
  <c r="CH399"/>
  <c r="CI399"/>
  <c r="CJ399"/>
  <c r="CK399"/>
  <c r="CL399"/>
  <c r="CM399"/>
  <c r="CN399"/>
  <c r="CO399"/>
  <c r="CP399"/>
  <c r="CQ399"/>
  <c r="CR399"/>
  <c r="CS399"/>
  <c r="CT399"/>
  <c r="CU399"/>
  <c r="CV399"/>
  <c r="CW399"/>
  <c r="CX399"/>
  <c r="CY399"/>
  <c r="CZ399"/>
  <c r="DA399"/>
  <c r="DB399"/>
  <c r="DC399"/>
  <c r="DD399"/>
  <c r="DE399"/>
  <c r="DF399"/>
  <c r="DG399"/>
  <c r="DH399"/>
  <c r="DI399"/>
  <c r="DJ399"/>
  <c r="DK399"/>
  <c r="DL399"/>
  <c r="DM399"/>
  <c r="DN399"/>
  <c r="DO399"/>
  <c r="DP399"/>
  <c r="DQ399"/>
  <c r="DR399"/>
  <c r="DS399"/>
  <c r="DT399"/>
  <c r="DU399"/>
  <c r="DV399"/>
  <c r="DW399"/>
  <c r="DX399"/>
  <c r="DY399"/>
  <c r="DZ399"/>
  <c r="EA399"/>
  <c r="EB399"/>
  <c r="EC399"/>
  <c r="ED399"/>
  <c r="EE399"/>
  <c r="EF399"/>
  <c r="EG399"/>
  <c r="EH399"/>
  <c r="EI399"/>
  <c r="EJ399"/>
  <c r="EK399"/>
  <c r="EL399"/>
  <c r="EM399"/>
  <c r="EN399"/>
  <c r="EO399"/>
  <c r="EP399"/>
  <c r="EQ399"/>
  <c r="ER399"/>
  <c r="ES399"/>
  <c r="ET399"/>
  <c r="EU399"/>
  <c r="EV399"/>
  <c r="EW399"/>
  <c r="EX399"/>
  <c r="EY399"/>
  <c r="EZ399"/>
  <c r="FA399"/>
  <c r="FB399"/>
  <c r="FC399"/>
  <c r="FD399"/>
  <c r="FE399"/>
  <c r="FF399"/>
  <c r="FG399"/>
  <c r="FH399"/>
  <c r="FI399"/>
  <c r="FJ399"/>
  <c r="FK399"/>
  <c r="FL399"/>
  <c r="FM399"/>
  <c r="FN399"/>
  <c r="FO399"/>
  <c r="FP399"/>
  <c r="FQ399"/>
  <c r="FR399"/>
  <c r="FS399"/>
  <c r="FT399"/>
  <c r="FU399"/>
  <c r="FV399"/>
  <c r="FW399"/>
  <c r="FX399"/>
  <c r="FY399"/>
  <c r="FZ399"/>
  <c r="GA399"/>
  <c r="GB399"/>
  <c r="GC399"/>
  <c r="GD399"/>
  <c r="GE399"/>
  <c r="GF399"/>
  <c r="GG399"/>
  <c r="GH399"/>
  <c r="GI399"/>
  <c r="GJ399"/>
  <c r="GK399"/>
  <c r="GL399"/>
  <c r="GM399"/>
  <c r="GN399"/>
  <c r="GO399"/>
  <c r="GP399"/>
  <c r="GQ399"/>
  <c r="GR399"/>
  <c r="GS399"/>
  <c r="GT399"/>
  <c r="GU399"/>
  <c r="GV399"/>
  <c r="GW399"/>
  <c r="GX399"/>
  <c r="GY399"/>
  <c r="GZ399"/>
  <c r="HA399"/>
  <c r="HB399"/>
  <c r="HC399"/>
  <c r="HD399"/>
  <c r="HE399"/>
  <c r="HF399"/>
  <c r="HG399"/>
  <c r="HH399"/>
  <c r="HI399"/>
  <c r="HJ399"/>
  <c r="HK399"/>
  <c r="HL399"/>
  <c r="HM399"/>
  <c r="HN399"/>
  <c r="HO399"/>
  <c r="HP399"/>
  <c r="HQ399"/>
  <c r="HR399"/>
  <c r="HS399"/>
  <c r="HT399"/>
  <c r="HU399"/>
  <c r="HV399"/>
  <c r="HW399"/>
  <c r="HX399"/>
  <c r="HY399"/>
  <c r="HZ399"/>
  <c r="IA399"/>
  <c r="IB399"/>
  <c r="IC399"/>
  <c r="ID399"/>
  <c r="IE399"/>
  <c r="IF399"/>
  <c r="IG399"/>
  <c r="IH399"/>
  <c r="II399"/>
  <c r="IJ399"/>
  <c r="IK399"/>
  <c r="IL399"/>
  <c r="IM399"/>
  <c r="IN399"/>
  <c r="IO399"/>
  <c r="IP399"/>
  <c r="IQ399"/>
  <c r="IR399"/>
  <c r="IS399"/>
  <c r="IT399"/>
  <c r="IU399"/>
  <c r="IV399"/>
  <c r="A398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AE398"/>
  <c r="AF398"/>
  <c r="AG398"/>
  <c r="AH398"/>
  <c r="AI398"/>
  <c r="AJ398"/>
  <c r="AK398"/>
  <c r="AL398"/>
  <c r="AM398"/>
  <c r="AN398"/>
  <c r="AO398"/>
  <c r="AP398"/>
  <c r="AQ398"/>
  <c r="AR398"/>
  <c r="AS398"/>
  <c r="AT398"/>
  <c r="AU398"/>
  <c r="AV398"/>
  <c r="AW398"/>
  <c r="AX398"/>
  <c r="AY398"/>
  <c r="AZ398"/>
  <c r="BA398"/>
  <c r="BB398"/>
  <c r="BC398"/>
  <c r="BD398"/>
  <c r="BE398"/>
  <c r="BF398"/>
  <c r="BG398"/>
  <c r="BH398"/>
  <c r="BI398"/>
  <c r="BJ398"/>
  <c r="BK398"/>
  <c r="BL398"/>
  <c r="BM398"/>
  <c r="BN398"/>
  <c r="BO398"/>
  <c r="BP398"/>
  <c r="BQ398"/>
  <c r="BR398"/>
  <c r="BS398"/>
  <c r="BT398"/>
  <c r="BU398"/>
  <c r="BV398"/>
  <c r="BW398"/>
  <c r="BX398"/>
  <c r="BY398"/>
  <c r="BZ398"/>
  <c r="CA398"/>
  <c r="CB398"/>
  <c r="CC398"/>
  <c r="CD398"/>
  <c r="CE398"/>
  <c r="CF398"/>
  <c r="CG398"/>
  <c r="CH398"/>
  <c r="CI398"/>
  <c r="CJ398"/>
  <c r="CK398"/>
  <c r="CL398"/>
  <c r="CM398"/>
  <c r="CN398"/>
  <c r="CO398"/>
  <c r="CP398"/>
  <c r="CQ398"/>
  <c r="CR398"/>
  <c r="CS398"/>
  <c r="CT398"/>
  <c r="CU398"/>
  <c r="CV398"/>
  <c r="CW398"/>
  <c r="CX398"/>
  <c r="CY398"/>
  <c r="CZ398"/>
  <c r="DA398"/>
  <c r="DB398"/>
  <c r="DC398"/>
  <c r="DD398"/>
  <c r="DE398"/>
  <c r="DF398"/>
  <c r="DG398"/>
  <c r="DH398"/>
  <c r="DI398"/>
  <c r="DJ398"/>
  <c r="DK398"/>
  <c r="DL398"/>
  <c r="DM398"/>
  <c r="DN398"/>
  <c r="DO398"/>
  <c r="DP398"/>
  <c r="DQ398"/>
  <c r="DR398"/>
  <c r="DS398"/>
  <c r="DT398"/>
  <c r="DU398"/>
  <c r="DV398"/>
  <c r="DW398"/>
  <c r="DX398"/>
  <c r="DY398"/>
  <c r="DZ398"/>
  <c r="EA398"/>
  <c r="EB398"/>
  <c r="EC398"/>
  <c r="ED398"/>
  <c r="EE398"/>
  <c r="EF398"/>
  <c r="EG398"/>
  <c r="EH398"/>
  <c r="EI398"/>
  <c r="EJ398"/>
  <c r="EK398"/>
  <c r="EL398"/>
  <c r="EM398"/>
  <c r="EN398"/>
  <c r="EO398"/>
  <c r="EP398"/>
  <c r="EQ398"/>
  <c r="ER398"/>
  <c r="ES398"/>
  <c r="ET398"/>
  <c r="EU398"/>
  <c r="EV398"/>
  <c r="EW398"/>
  <c r="EX398"/>
  <c r="EY398"/>
  <c r="EZ398"/>
  <c r="FA398"/>
  <c r="FB398"/>
  <c r="FC398"/>
  <c r="FD398"/>
  <c r="FE398"/>
  <c r="FF398"/>
  <c r="FG398"/>
  <c r="FH398"/>
  <c r="FI398"/>
  <c r="FJ398"/>
  <c r="FK398"/>
  <c r="FL398"/>
  <c r="FM398"/>
  <c r="FN398"/>
  <c r="FO398"/>
  <c r="FP398"/>
  <c r="FQ398"/>
  <c r="FR398"/>
  <c r="FS398"/>
  <c r="FT398"/>
  <c r="FU398"/>
  <c r="FV398"/>
  <c r="FW398"/>
  <c r="FX398"/>
  <c r="FY398"/>
  <c r="FZ398"/>
  <c r="GA398"/>
  <c r="GB398"/>
  <c r="GC398"/>
  <c r="GD398"/>
  <c r="GE398"/>
  <c r="GF398"/>
  <c r="GG398"/>
  <c r="GH398"/>
  <c r="GI398"/>
  <c r="GJ398"/>
  <c r="GK398"/>
  <c r="GL398"/>
  <c r="GM398"/>
  <c r="GN398"/>
  <c r="GO398"/>
  <c r="GP398"/>
  <c r="GQ398"/>
  <c r="GR398"/>
  <c r="GS398"/>
  <c r="GT398"/>
  <c r="GU398"/>
  <c r="GV398"/>
  <c r="GW398"/>
  <c r="GX398"/>
  <c r="GY398"/>
  <c r="GZ398"/>
  <c r="HA398"/>
  <c r="HB398"/>
  <c r="HC398"/>
  <c r="HD398"/>
  <c r="HE398"/>
  <c r="HF398"/>
  <c r="HG398"/>
  <c r="HH398"/>
  <c r="HI398"/>
  <c r="HJ398"/>
  <c r="HK398"/>
  <c r="HL398"/>
  <c r="HM398"/>
  <c r="HN398"/>
  <c r="HO398"/>
  <c r="HP398"/>
  <c r="HQ398"/>
  <c r="HR398"/>
  <c r="HS398"/>
  <c r="HT398"/>
  <c r="HU398"/>
  <c r="HV398"/>
  <c r="HW398"/>
  <c r="HX398"/>
  <c r="HY398"/>
  <c r="HZ398"/>
  <c r="IA398"/>
  <c r="IB398"/>
  <c r="IC398"/>
  <c r="ID398"/>
  <c r="IE398"/>
  <c r="IF398"/>
  <c r="IG398"/>
  <c r="IH398"/>
  <c r="II398"/>
  <c r="IJ398"/>
  <c r="IK398"/>
  <c r="IL398"/>
  <c r="IM398"/>
  <c r="IN398"/>
  <c r="IO398"/>
  <c r="IP398"/>
  <c r="IQ398"/>
  <c r="IR398"/>
  <c r="IS398"/>
  <c r="IT398"/>
  <c r="IU398"/>
  <c r="IV398"/>
  <c r="A397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AE397"/>
  <c r="AF397"/>
  <c r="AG397"/>
  <c r="AH397"/>
  <c r="AI397"/>
  <c r="AJ397"/>
  <c r="AK397"/>
  <c r="AL397"/>
  <c r="AM397"/>
  <c r="AN397"/>
  <c r="AO397"/>
  <c r="AP397"/>
  <c r="AQ397"/>
  <c r="AR397"/>
  <c r="AS397"/>
  <c r="AT397"/>
  <c r="AU397"/>
  <c r="AV397"/>
  <c r="AW397"/>
  <c r="AX397"/>
  <c r="AY397"/>
  <c r="AZ397"/>
  <c r="BA397"/>
  <c r="BB397"/>
  <c r="BC397"/>
  <c r="BD397"/>
  <c r="BE397"/>
  <c r="BF397"/>
  <c r="BG397"/>
  <c r="BH397"/>
  <c r="BI397"/>
  <c r="BJ397"/>
  <c r="BK397"/>
  <c r="BL397"/>
  <c r="BM397"/>
  <c r="BN397"/>
  <c r="BO397"/>
  <c r="BP397"/>
  <c r="BQ397"/>
  <c r="BR397"/>
  <c r="BS397"/>
  <c r="BT397"/>
  <c r="BU397"/>
  <c r="BV397"/>
  <c r="BW397"/>
  <c r="BX397"/>
  <c r="BY397"/>
  <c r="BZ397"/>
  <c r="CA397"/>
  <c r="CB397"/>
  <c r="CC397"/>
  <c r="CD397"/>
  <c r="CE397"/>
  <c r="CF397"/>
  <c r="CG397"/>
  <c r="CH397"/>
  <c r="CI397"/>
  <c r="CJ397"/>
  <c r="CK397"/>
  <c r="CL397"/>
  <c r="CM397"/>
  <c r="CN397"/>
  <c r="CO397"/>
  <c r="CP397"/>
  <c r="CQ397"/>
  <c r="CR397"/>
  <c r="CS397"/>
  <c r="CT397"/>
  <c r="CU397"/>
  <c r="CV397"/>
  <c r="CW397"/>
  <c r="CX397"/>
  <c r="CY397"/>
  <c r="CZ397"/>
  <c r="DA397"/>
  <c r="DB397"/>
  <c r="DC397"/>
  <c r="DD397"/>
  <c r="DE397"/>
  <c r="DF397"/>
  <c r="DG397"/>
  <c r="DH397"/>
  <c r="DI397"/>
  <c r="DJ397"/>
  <c r="DK397"/>
  <c r="DL397"/>
  <c r="DM397"/>
  <c r="DN397"/>
  <c r="DO397"/>
  <c r="DP397"/>
  <c r="DQ397"/>
  <c r="DR397"/>
  <c r="DS397"/>
  <c r="DT397"/>
  <c r="DU397"/>
  <c r="DV397"/>
  <c r="DW397"/>
  <c r="DX397"/>
  <c r="DY397"/>
  <c r="DZ397"/>
  <c r="EA397"/>
  <c r="EB397"/>
  <c r="EC397"/>
  <c r="ED397"/>
  <c r="EE397"/>
  <c r="EF397"/>
  <c r="EG397"/>
  <c r="EH397"/>
  <c r="EI397"/>
  <c r="EJ397"/>
  <c r="EK397"/>
  <c r="EL397"/>
  <c r="EM397"/>
  <c r="EN397"/>
  <c r="EO397"/>
  <c r="EP397"/>
  <c r="EQ397"/>
  <c r="ER397"/>
  <c r="ES397"/>
  <c r="ET397"/>
  <c r="EU397"/>
  <c r="EV397"/>
  <c r="EW397"/>
  <c r="EX397"/>
  <c r="EY397"/>
  <c r="EZ397"/>
  <c r="FA397"/>
  <c r="FB397"/>
  <c r="FC397"/>
  <c r="FD397"/>
  <c r="FE397"/>
  <c r="FF397"/>
  <c r="FG397"/>
  <c r="FH397"/>
  <c r="FI397"/>
  <c r="FJ397"/>
  <c r="FK397"/>
  <c r="FL397"/>
  <c r="FM397"/>
  <c r="FN397"/>
  <c r="FO397"/>
  <c r="FP397"/>
  <c r="FQ397"/>
  <c r="FR397"/>
  <c r="FS397"/>
  <c r="FT397"/>
  <c r="FU397"/>
  <c r="FV397"/>
  <c r="FW397"/>
  <c r="FX397"/>
  <c r="FY397"/>
  <c r="FZ397"/>
  <c r="GA397"/>
  <c r="GB397"/>
  <c r="GC397"/>
  <c r="GD397"/>
  <c r="GE397"/>
  <c r="GF397"/>
  <c r="GG397"/>
  <c r="GH397"/>
  <c r="GI397"/>
  <c r="GJ397"/>
  <c r="GK397"/>
  <c r="GL397"/>
  <c r="GM397"/>
  <c r="GN397"/>
  <c r="GO397"/>
  <c r="GP397"/>
  <c r="GQ397"/>
  <c r="GR397"/>
  <c r="GS397"/>
  <c r="GT397"/>
  <c r="GU397"/>
  <c r="GV397"/>
  <c r="GW397"/>
  <c r="GX397"/>
  <c r="GY397"/>
  <c r="GZ397"/>
  <c r="HA397"/>
  <c r="HB397"/>
  <c r="HC397"/>
  <c r="HD397"/>
  <c r="HE397"/>
  <c r="HF397"/>
  <c r="HG397"/>
  <c r="HH397"/>
  <c r="HI397"/>
  <c r="HJ397"/>
  <c r="HK397"/>
  <c r="HL397"/>
  <c r="HM397"/>
  <c r="HN397"/>
  <c r="HO397"/>
  <c r="HP397"/>
  <c r="HQ397"/>
  <c r="HR397"/>
  <c r="HS397"/>
  <c r="HT397"/>
  <c r="HU397"/>
  <c r="HV397"/>
  <c r="HW397"/>
  <c r="HX397"/>
  <c r="HY397"/>
  <c r="HZ397"/>
  <c r="IA397"/>
  <c r="IB397"/>
  <c r="IC397"/>
  <c r="ID397"/>
  <c r="IE397"/>
  <c r="IF397"/>
  <c r="IG397"/>
  <c r="IH397"/>
  <c r="II397"/>
  <c r="IJ397"/>
  <c r="IK397"/>
  <c r="IL397"/>
  <c r="IM397"/>
  <c r="IN397"/>
  <c r="IO397"/>
  <c r="IP397"/>
  <c r="IQ397"/>
  <c r="IR397"/>
  <c r="IS397"/>
  <c r="IT397"/>
  <c r="IU397"/>
  <c r="IV397"/>
  <c r="A396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AE396"/>
  <c r="AF396"/>
  <c r="AG396"/>
  <c r="AH396"/>
  <c r="AI396"/>
  <c r="AJ396"/>
  <c r="AK396"/>
  <c r="AL396"/>
  <c r="AM396"/>
  <c r="AN396"/>
  <c r="AO396"/>
  <c r="AP396"/>
  <c r="AQ396"/>
  <c r="AR396"/>
  <c r="AS396"/>
  <c r="AT396"/>
  <c r="AU396"/>
  <c r="AV396"/>
  <c r="AW396"/>
  <c r="AX396"/>
  <c r="AY396"/>
  <c r="AZ396"/>
  <c r="BA396"/>
  <c r="BB396"/>
  <c r="BC396"/>
  <c r="BD396"/>
  <c r="BE396"/>
  <c r="BF396"/>
  <c r="BG396"/>
  <c r="BH396"/>
  <c r="BI396"/>
  <c r="BJ396"/>
  <c r="BK396"/>
  <c r="BL396"/>
  <c r="BM396"/>
  <c r="BN396"/>
  <c r="BO396"/>
  <c r="BP396"/>
  <c r="BQ396"/>
  <c r="BR396"/>
  <c r="BS396"/>
  <c r="BT396"/>
  <c r="BU396"/>
  <c r="BV396"/>
  <c r="BW396"/>
  <c r="BX396"/>
  <c r="BY396"/>
  <c r="BZ396"/>
  <c r="CA396"/>
  <c r="CB396"/>
  <c r="CC396"/>
  <c r="CD396"/>
  <c r="CE396"/>
  <c r="CF396"/>
  <c r="CG396"/>
  <c r="CH396"/>
  <c r="CI396"/>
  <c r="CJ396"/>
  <c r="CK396"/>
  <c r="CL396"/>
  <c r="CM396"/>
  <c r="CN396"/>
  <c r="CO396"/>
  <c r="CP396"/>
  <c r="CQ396"/>
  <c r="CR396"/>
  <c r="CS396"/>
  <c r="CT396"/>
  <c r="CU396"/>
  <c r="CV396"/>
  <c r="CW396"/>
  <c r="CX396"/>
  <c r="CY396"/>
  <c r="CZ396"/>
  <c r="DA396"/>
  <c r="DB396"/>
  <c r="DC396"/>
  <c r="DD396"/>
  <c r="DE396"/>
  <c r="DF396"/>
  <c r="DG396"/>
  <c r="DH396"/>
  <c r="DI396"/>
  <c r="DJ396"/>
  <c r="DK396"/>
  <c r="DL396"/>
  <c r="DM396"/>
  <c r="DN396"/>
  <c r="DO396"/>
  <c r="DP396"/>
  <c r="DQ396"/>
  <c r="DR396"/>
  <c r="DS396"/>
  <c r="DT396"/>
  <c r="DU396"/>
  <c r="DV396"/>
  <c r="DW396"/>
  <c r="DX396"/>
  <c r="DY396"/>
  <c r="DZ396"/>
  <c r="EA396"/>
  <c r="EB396"/>
  <c r="EC396"/>
  <c r="ED396"/>
  <c r="EE396"/>
  <c r="EF396"/>
  <c r="EG396"/>
  <c r="EH396"/>
  <c r="EI396"/>
  <c r="EJ396"/>
  <c r="EK396"/>
  <c r="EL396"/>
  <c r="EM396"/>
  <c r="EN396"/>
  <c r="EO396"/>
  <c r="EP396"/>
  <c r="EQ396"/>
  <c r="ER396"/>
  <c r="ES396"/>
  <c r="ET396"/>
  <c r="EU396"/>
  <c r="EV396"/>
  <c r="EW396"/>
  <c r="EX396"/>
  <c r="EY396"/>
  <c r="EZ396"/>
  <c r="FA396"/>
  <c r="FB396"/>
  <c r="FC396"/>
  <c r="FD396"/>
  <c r="FE396"/>
  <c r="FF396"/>
  <c r="FG396"/>
  <c r="FH396"/>
  <c r="FI396"/>
  <c r="FJ396"/>
  <c r="FK396"/>
  <c r="FL396"/>
  <c r="FM396"/>
  <c r="FN396"/>
  <c r="FO396"/>
  <c r="FP396"/>
  <c r="FQ396"/>
  <c r="FR396"/>
  <c r="FS396"/>
  <c r="FT396"/>
  <c r="FU396"/>
  <c r="FV396"/>
  <c r="FW396"/>
  <c r="FX396"/>
  <c r="FY396"/>
  <c r="FZ396"/>
  <c r="GA396"/>
  <c r="GB396"/>
  <c r="GC396"/>
  <c r="GD396"/>
  <c r="GE396"/>
  <c r="GF396"/>
  <c r="GG396"/>
  <c r="GH396"/>
  <c r="GI396"/>
  <c r="GJ396"/>
  <c r="GK396"/>
  <c r="GL396"/>
  <c r="GM396"/>
  <c r="GN396"/>
  <c r="GO396"/>
  <c r="GP396"/>
  <c r="GQ396"/>
  <c r="GR396"/>
  <c r="GS396"/>
  <c r="GT396"/>
  <c r="GU396"/>
  <c r="GV396"/>
  <c r="GW396"/>
  <c r="GX396"/>
  <c r="GY396"/>
  <c r="GZ396"/>
  <c r="HA396"/>
  <c r="HB396"/>
  <c r="HC396"/>
  <c r="HD396"/>
  <c r="HE396"/>
  <c r="HF396"/>
  <c r="HG396"/>
  <c r="HH396"/>
  <c r="HI396"/>
  <c r="HJ396"/>
  <c r="HK396"/>
  <c r="HL396"/>
  <c r="HM396"/>
  <c r="HN396"/>
  <c r="HO396"/>
  <c r="HP396"/>
  <c r="HQ396"/>
  <c r="HR396"/>
  <c r="HS396"/>
  <c r="HT396"/>
  <c r="HU396"/>
  <c r="HV396"/>
  <c r="HW396"/>
  <c r="HX396"/>
  <c r="HY396"/>
  <c r="HZ396"/>
  <c r="IA396"/>
  <c r="IB396"/>
  <c r="IC396"/>
  <c r="ID396"/>
  <c r="IE396"/>
  <c r="IF396"/>
  <c r="IG396"/>
  <c r="IH396"/>
  <c r="II396"/>
  <c r="IJ396"/>
  <c r="IK396"/>
  <c r="IL396"/>
  <c r="IM396"/>
  <c r="IN396"/>
  <c r="IO396"/>
  <c r="IP396"/>
  <c r="IQ396"/>
  <c r="IR396"/>
  <c r="IS396"/>
  <c r="IT396"/>
  <c r="IU396"/>
  <c r="IV396"/>
  <c r="A395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AE395"/>
  <c r="AF395"/>
  <c r="AG395"/>
  <c r="AH395"/>
  <c r="AI395"/>
  <c r="AJ395"/>
  <c r="AK395"/>
  <c r="AL395"/>
  <c r="AM395"/>
  <c r="AN395"/>
  <c r="AO395"/>
  <c r="AP395"/>
  <c r="AQ395"/>
  <c r="AR395"/>
  <c r="AS395"/>
  <c r="AT395"/>
  <c r="AU395"/>
  <c r="AV395"/>
  <c r="AW395"/>
  <c r="AX395"/>
  <c r="AY395"/>
  <c r="AZ395"/>
  <c r="BA395"/>
  <c r="BB395"/>
  <c r="BC395"/>
  <c r="BD395"/>
  <c r="BE395"/>
  <c r="BF395"/>
  <c r="BG395"/>
  <c r="BH395"/>
  <c r="BI395"/>
  <c r="BJ395"/>
  <c r="BK395"/>
  <c r="BL395"/>
  <c r="BM395"/>
  <c r="BN395"/>
  <c r="BO395"/>
  <c r="BP395"/>
  <c r="BQ395"/>
  <c r="BR395"/>
  <c r="BS395"/>
  <c r="BT395"/>
  <c r="BU395"/>
  <c r="BV395"/>
  <c r="BW395"/>
  <c r="BX395"/>
  <c r="BY395"/>
  <c r="BZ395"/>
  <c r="CA395"/>
  <c r="CB395"/>
  <c r="CC395"/>
  <c r="CD395"/>
  <c r="CE395"/>
  <c r="CF395"/>
  <c r="CG395"/>
  <c r="CH395"/>
  <c r="CI395"/>
  <c r="CJ395"/>
  <c r="CK395"/>
  <c r="CL395"/>
  <c r="CM395"/>
  <c r="CN395"/>
  <c r="CO395"/>
  <c r="CP395"/>
  <c r="CQ395"/>
  <c r="CR395"/>
  <c r="CS395"/>
  <c r="CT395"/>
  <c r="CU395"/>
  <c r="CV395"/>
  <c r="CW395"/>
  <c r="CX395"/>
  <c r="CY395"/>
  <c r="CZ395"/>
  <c r="DA395"/>
  <c r="DB395"/>
  <c r="DC395"/>
  <c r="DD395"/>
  <c r="DE395"/>
  <c r="DF395"/>
  <c r="DG395"/>
  <c r="DH395"/>
  <c r="DI395"/>
  <c r="DJ395"/>
  <c r="DK395"/>
  <c r="DL395"/>
  <c r="DM395"/>
  <c r="DN395"/>
  <c r="DO395"/>
  <c r="DP395"/>
  <c r="DQ395"/>
  <c r="DR395"/>
  <c r="DS395"/>
  <c r="DT395"/>
  <c r="DU395"/>
  <c r="DV395"/>
  <c r="DW395"/>
  <c r="DX395"/>
  <c r="DY395"/>
  <c r="DZ395"/>
  <c r="EA395"/>
  <c r="EB395"/>
  <c r="EC395"/>
  <c r="ED395"/>
  <c r="EE395"/>
  <c r="EF395"/>
  <c r="EG395"/>
  <c r="EH395"/>
  <c r="EI395"/>
  <c r="EJ395"/>
  <c r="EK395"/>
  <c r="EL395"/>
  <c r="EM395"/>
  <c r="EN395"/>
  <c r="EO395"/>
  <c r="EP395"/>
  <c r="EQ395"/>
  <c r="ER395"/>
  <c r="ES395"/>
  <c r="ET395"/>
  <c r="EU395"/>
  <c r="EV395"/>
  <c r="EW395"/>
  <c r="EX395"/>
  <c r="EY395"/>
  <c r="EZ395"/>
  <c r="FA395"/>
  <c r="FB395"/>
  <c r="FC395"/>
  <c r="FD395"/>
  <c r="FE395"/>
  <c r="FF395"/>
  <c r="FG395"/>
  <c r="FH395"/>
  <c r="FI395"/>
  <c r="FJ395"/>
  <c r="FK395"/>
  <c r="FL395"/>
  <c r="FM395"/>
  <c r="FN395"/>
  <c r="FO395"/>
  <c r="FP395"/>
  <c r="FQ395"/>
  <c r="FR395"/>
  <c r="FS395"/>
  <c r="FT395"/>
  <c r="FU395"/>
  <c r="FV395"/>
  <c r="FW395"/>
  <c r="FX395"/>
  <c r="FY395"/>
  <c r="FZ395"/>
  <c r="GA395"/>
  <c r="GB395"/>
  <c r="GC395"/>
  <c r="GD395"/>
  <c r="GE395"/>
  <c r="GF395"/>
  <c r="GG395"/>
  <c r="GH395"/>
  <c r="GI395"/>
  <c r="GJ395"/>
  <c r="GK395"/>
  <c r="GL395"/>
  <c r="GM395"/>
  <c r="GN395"/>
  <c r="GO395"/>
  <c r="GP395"/>
  <c r="GQ395"/>
  <c r="GR395"/>
  <c r="GS395"/>
  <c r="GT395"/>
  <c r="GU395"/>
  <c r="GV395"/>
  <c r="GW395"/>
  <c r="GX395"/>
  <c r="GY395"/>
  <c r="GZ395"/>
  <c r="HA395"/>
  <c r="HB395"/>
  <c r="HC395"/>
  <c r="HD395"/>
  <c r="HE395"/>
  <c r="HF395"/>
  <c r="HG395"/>
  <c r="HH395"/>
  <c r="HI395"/>
  <c r="HJ395"/>
  <c r="HK395"/>
  <c r="HL395"/>
  <c r="HM395"/>
  <c r="HN395"/>
  <c r="HO395"/>
  <c r="HP395"/>
  <c r="HQ395"/>
  <c r="HR395"/>
  <c r="HS395"/>
  <c r="HT395"/>
  <c r="HU395"/>
  <c r="HV395"/>
  <c r="HW395"/>
  <c r="HX395"/>
  <c r="HY395"/>
  <c r="HZ395"/>
  <c r="IA395"/>
  <c r="IB395"/>
  <c r="IC395"/>
  <c r="ID395"/>
  <c r="IE395"/>
  <c r="IF395"/>
  <c r="IG395"/>
  <c r="IH395"/>
  <c r="II395"/>
  <c r="IJ395"/>
  <c r="IK395"/>
  <c r="IL395"/>
  <c r="IM395"/>
  <c r="IN395"/>
  <c r="IO395"/>
  <c r="IP395"/>
  <c r="IQ395"/>
  <c r="IR395"/>
  <c r="IS395"/>
  <c r="IT395"/>
  <c r="IU395"/>
  <c r="IV395"/>
  <c r="A394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AT394"/>
  <c r="AU394"/>
  <c r="AV394"/>
  <c r="AW394"/>
  <c r="AX394"/>
  <c r="AY394"/>
  <c r="AZ394"/>
  <c r="BA394"/>
  <c r="BB394"/>
  <c r="BC394"/>
  <c r="BD394"/>
  <c r="BE394"/>
  <c r="BF394"/>
  <c r="BG394"/>
  <c r="BH394"/>
  <c r="BI394"/>
  <c r="BJ394"/>
  <c r="BK394"/>
  <c r="BL394"/>
  <c r="BM394"/>
  <c r="BN394"/>
  <c r="BO394"/>
  <c r="BP394"/>
  <c r="BQ394"/>
  <c r="BR394"/>
  <c r="BS394"/>
  <c r="BT394"/>
  <c r="BU394"/>
  <c r="BV394"/>
  <c r="BW394"/>
  <c r="BX394"/>
  <c r="BY394"/>
  <c r="BZ394"/>
  <c r="CA394"/>
  <c r="CB394"/>
  <c r="CC394"/>
  <c r="CD394"/>
  <c r="CE394"/>
  <c r="CF394"/>
  <c r="CG394"/>
  <c r="CH394"/>
  <c r="CI394"/>
  <c r="CJ394"/>
  <c r="CK394"/>
  <c r="CL394"/>
  <c r="CM394"/>
  <c r="CN394"/>
  <c r="CO394"/>
  <c r="CP394"/>
  <c r="CQ394"/>
  <c r="CR394"/>
  <c r="CS394"/>
  <c r="CT394"/>
  <c r="CU394"/>
  <c r="CV394"/>
  <c r="CW394"/>
  <c r="CX394"/>
  <c r="CY394"/>
  <c r="CZ394"/>
  <c r="DA394"/>
  <c r="DB394"/>
  <c r="DC394"/>
  <c r="DD394"/>
  <c r="DE394"/>
  <c r="DF394"/>
  <c r="DG394"/>
  <c r="DH394"/>
  <c r="DI394"/>
  <c r="DJ394"/>
  <c r="DK394"/>
  <c r="DL394"/>
  <c r="DM394"/>
  <c r="DN394"/>
  <c r="DO394"/>
  <c r="DP394"/>
  <c r="DQ394"/>
  <c r="DR394"/>
  <c r="DS394"/>
  <c r="DT394"/>
  <c r="DU394"/>
  <c r="DV394"/>
  <c r="DW394"/>
  <c r="DX394"/>
  <c r="DY394"/>
  <c r="DZ394"/>
  <c r="EA394"/>
  <c r="EB394"/>
  <c r="EC394"/>
  <c r="ED394"/>
  <c r="EE394"/>
  <c r="EF394"/>
  <c r="EG394"/>
  <c r="EH394"/>
  <c r="EI394"/>
  <c r="EJ394"/>
  <c r="EK394"/>
  <c r="EL394"/>
  <c r="EM394"/>
  <c r="EN394"/>
  <c r="EO394"/>
  <c r="EP394"/>
  <c r="EQ394"/>
  <c r="ER394"/>
  <c r="ES394"/>
  <c r="ET394"/>
  <c r="EU394"/>
  <c r="EV394"/>
  <c r="EW394"/>
  <c r="EX394"/>
  <c r="EY394"/>
  <c r="EZ394"/>
  <c r="FA394"/>
  <c r="FB394"/>
  <c r="FC394"/>
  <c r="FD394"/>
  <c r="FE394"/>
  <c r="FF394"/>
  <c r="FG394"/>
  <c r="FH394"/>
  <c r="FI394"/>
  <c r="FJ394"/>
  <c r="FK394"/>
  <c r="FL394"/>
  <c r="FM394"/>
  <c r="FN394"/>
  <c r="FO394"/>
  <c r="FP394"/>
  <c r="FQ394"/>
  <c r="FR394"/>
  <c r="FS394"/>
  <c r="FT394"/>
  <c r="FU394"/>
  <c r="FV394"/>
  <c r="FW394"/>
  <c r="FX394"/>
  <c r="FY394"/>
  <c r="FZ394"/>
  <c r="GA394"/>
  <c r="GB394"/>
  <c r="GC394"/>
  <c r="GD394"/>
  <c r="GE394"/>
  <c r="GF394"/>
  <c r="GG394"/>
  <c r="GH394"/>
  <c r="GI394"/>
  <c r="GJ394"/>
  <c r="GK394"/>
  <c r="GL394"/>
  <c r="GM394"/>
  <c r="GN394"/>
  <c r="GO394"/>
  <c r="GP394"/>
  <c r="GQ394"/>
  <c r="GR394"/>
  <c r="GS394"/>
  <c r="GT394"/>
  <c r="GU394"/>
  <c r="GV394"/>
  <c r="GW394"/>
  <c r="GX394"/>
  <c r="GY394"/>
  <c r="GZ394"/>
  <c r="HA394"/>
  <c r="HB394"/>
  <c r="HC394"/>
  <c r="HD394"/>
  <c r="HE394"/>
  <c r="HF394"/>
  <c r="HG394"/>
  <c r="HH394"/>
  <c r="HI394"/>
  <c r="HJ394"/>
  <c r="HK394"/>
  <c r="HL394"/>
  <c r="HM394"/>
  <c r="HN394"/>
  <c r="HO394"/>
  <c r="HP394"/>
  <c r="HQ394"/>
  <c r="HR394"/>
  <c r="HS394"/>
  <c r="HT394"/>
  <c r="HU394"/>
  <c r="HV394"/>
  <c r="HW394"/>
  <c r="HX394"/>
  <c r="HY394"/>
  <c r="HZ394"/>
  <c r="IA394"/>
  <c r="IB394"/>
  <c r="IC394"/>
  <c r="ID394"/>
  <c r="IE394"/>
  <c r="IF394"/>
  <c r="IG394"/>
  <c r="IH394"/>
  <c r="II394"/>
  <c r="IJ394"/>
  <c r="IK394"/>
  <c r="IL394"/>
  <c r="IM394"/>
  <c r="IN394"/>
  <c r="IO394"/>
  <c r="IP394"/>
  <c r="IQ394"/>
  <c r="IR394"/>
  <c r="IS394"/>
  <c r="IT394"/>
  <c r="IU394"/>
  <c r="IV394"/>
  <c r="A393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AE393"/>
  <c r="AF393"/>
  <c r="AG393"/>
  <c r="AH393"/>
  <c r="AI393"/>
  <c r="AJ393"/>
  <c r="AK393"/>
  <c r="AL393"/>
  <c r="AM393"/>
  <c r="AN393"/>
  <c r="AO393"/>
  <c r="AP393"/>
  <c r="AQ393"/>
  <c r="AR393"/>
  <c r="AS393"/>
  <c r="AT393"/>
  <c r="AU393"/>
  <c r="AV393"/>
  <c r="AW393"/>
  <c r="AX393"/>
  <c r="AY393"/>
  <c r="AZ393"/>
  <c r="BA393"/>
  <c r="BB393"/>
  <c r="BC393"/>
  <c r="BD393"/>
  <c r="BE393"/>
  <c r="BF393"/>
  <c r="BG393"/>
  <c r="BH393"/>
  <c r="BI393"/>
  <c r="BJ393"/>
  <c r="BK393"/>
  <c r="BL393"/>
  <c r="BM393"/>
  <c r="BN393"/>
  <c r="BO393"/>
  <c r="BP393"/>
  <c r="BQ393"/>
  <c r="BR393"/>
  <c r="BS393"/>
  <c r="BT393"/>
  <c r="BU393"/>
  <c r="BV393"/>
  <c r="BW393"/>
  <c r="BX393"/>
  <c r="BY393"/>
  <c r="BZ393"/>
  <c r="CA393"/>
  <c r="CB393"/>
  <c r="CC393"/>
  <c r="CD393"/>
  <c r="CE393"/>
  <c r="CF393"/>
  <c r="CG393"/>
  <c r="CH393"/>
  <c r="CI393"/>
  <c r="CJ393"/>
  <c r="CK393"/>
  <c r="CL393"/>
  <c r="CM393"/>
  <c r="CN393"/>
  <c r="CO393"/>
  <c r="CP393"/>
  <c r="CQ393"/>
  <c r="CR393"/>
  <c r="CS393"/>
  <c r="CT393"/>
  <c r="CU393"/>
  <c r="CV393"/>
  <c r="CW393"/>
  <c r="CX393"/>
  <c r="CY393"/>
  <c r="CZ393"/>
  <c r="DA393"/>
  <c r="DB393"/>
  <c r="DC393"/>
  <c r="DD393"/>
  <c r="DE393"/>
  <c r="DF393"/>
  <c r="DG393"/>
  <c r="DH393"/>
  <c r="DI393"/>
  <c r="DJ393"/>
  <c r="DK393"/>
  <c r="DL393"/>
  <c r="DM393"/>
  <c r="DN393"/>
  <c r="DO393"/>
  <c r="DP393"/>
  <c r="DQ393"/>
  <c r="DR393"/>
  <c r="DS393"/>
  <c r="DT393"/>
  <c r="DU393"/>
  <c r="DV393"/>
  <c r="DW393"/>
  <c r="DX393"/>
  <c r="DY393"/>
  <c r="DZ393"/>
  <c r="EA393"/>
  <c r="EB393"/>
  <c r="EC393"/>
  <c r="ED393"/>
  <c r="EE393"/>
  <c r="EF393"/>
  <c r="EG393"/>
  <c r="EH393"/>
  <c r="EI393"/>
  <c r="EJ393"/>
  <c r="EK393"/>
  <c r="EL393"/>
  <c r="EM393"/>
  <c r="EN393"/>
  <c r="EO393"/>
  <c r="EP393"/>
  <c r="EQ393"/>
  <c r="ER393"/>
  <c r="ES393"/>
  <c r="ET393"/>
  <c r="EU393"/>
  <c r="EV393"/>
  <c r="EW393"/>
  <c r="EX393"/>
  <c r="EY393"/>
  <c r="EZ393"/>
  <c r="FA393"/>
  <c r="FB393"/>
  <c r="FC393"/>
  <c r="FD393"/>
  <c r="FE393"/>
  <c r="FF393"/>
  <c r="FG393"/>
  <c r="FH393"/>
  <c r="FI393"/>
  <c r="FJ393"/>
  <c r="FK393"/>
  <c r="FL393"/>
  <c r="FM393"/>
  <c r="FN393"/>
  <c r="FO393"/>
  <c r="FP393"/>
  <c r="FQ393"/>
  <c r="FR393"/>
  <c r="FS393"/>
  <c r="FT393"/>
  <c r="FU393"/>
  <c r="FV393"/>
  <c r="FW393"/>
  <c r="FX393"/>
  <c r="FY393"/>
  <c r="FZ393"/>
  <c r="GA393"/>
  <c r="GB393"/>
  <c r="GC393"/>
  <c r="GD393"/>
  <c r="GE393"/>
  <c r="GF393"/>
  <c r="GG393"/>
  <c r="GH393"/>
  <c r="GI393"/>
  <c r="GJ393"/>
  <c r="GK393"/>
  <c r="GL393"/>
  <c r="GM393"/>
  <c r="GN393"/>
  <c r="GO393"/>
  <c r="GP393"/>
  <c r="GQ393"/>
  <c r="GR393"/>
  <c r="GS393"/>
  <c r="GT393"/>
  <c r="GU393"/>
  <c r="GV393"/>
  <c r="GW393"/>
  <c r="GX393"/>
  <c r="GY393"/>
  <c r="GZ393"/>
  <c r="HA393"/>
  <c r="HB393"/>
  <c r="HC393"/>
  <c r="HD393"/>
  <c r="HE393"/>
  <c r="HF393"/>
  <c r="HG393"/>
  <c r="HH393"/>
  <c r="HI393"/>
  <c r="HJ393"/>
  <c r="HK393"/>
  <c r="HL393"/>
  <c r="HM393"/>
  <c r="HN393"/>
  <c r="HO393"/>
  <c r="HP393"/>
  <c r="HQ393"/>
  <c r="HR393"/>
  <c r="HS393"/>
  <c r="HT393"/>
  <c r="HU393"/>
  <c r="HV393"/>
  <c r="HW393"/>
  <c r="HX393"/>
  <c r="HY393"/>
  <c r="HZ393"/>
  <c r="IA393"/>
  <c r="IB393"/>
  <c r="IC393"/>
  <c r="ID393"/>
  <c r="IE393"/>
  <c r="IF393"/>
  <c r="IG393"/>
  <c r="IH393"/>
  <c r="II393"/>
  <c r="IJ393"/>
  <c r="IK393"/>
  <c r="IL393"/>
  <c r="IM393"/>
  <c r="IN393"/>
  <c r="IO393"/>
  <c r="IP393"/>
  <c r="IQ393"/>
  <c r="IR393"/>
  <c r="IS393"/>
  <c r="IT393"/>
  <c r="IU393"/>
  <c r="IV393"/>
  <c r="A392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AE392"/>
  <c r="AF392"/>
  <c r="AG392"/>
  <c r="AH392"/>
  <c r="AI392"/>
  <c r="AJ392"/>
  <c r="AK392"/>
  <c r="AL392"/>
  <c r="AM392"/>
  <c r="AN392"/>
  <c r="AO392"/>
  <c r="AP392"/>
  <c r="AQ392"/>
  <c r="AR392"/>
  <c r="AS392"/>
  <c r="AT392"/>
  <c r="AU392"/>
  <c r="AV392"/>
  <c r="AW392"/>
  <c r="AX392"/>
  <c r="AY392"/>
  <c r="AZ392"/>
  <c r="BA392"/>
  <c r="BB392"/>
  <c r="BC392"/>
  <c r="BD392"/>
  <c r="BE392"/>
  <c r="BF392"/>
  <c r="BG392"/>
  <c r="BH392"/>
  <c r="BI392"/>
  <c r="BJ392"/>
  <c r="BK392"/>
  <c r="BL392"/>
  <c r="BM392"/>
  <c r="BN392"/>
  <c r="BO392"/>
  <c r="BP392"/>
  <c r="BQ392"/>
  <c r="BR392"/>
  <c r="BS392"/>
  <c r="BT392"/>
  <c r="BU392"/>
  <c r="BV392"/>
  <c r="BW392"/>
  <c r="BX392"/>
  <c r="BY392"/>
  <c r="BZ392"/>
  <c r="CA392"/>
  <c r="CB392"/>
  <c r="CC392"/>
  <c r="CD392"/>
  <c r="CE392"/>
  <c r="CF392"/>
  <c r="CG392"/>
  <c r="CH392"/>
  <c r="CI392"/>
  <c r="CJ392"/>
  <c r="CK392"/>
  <c r="CL392"/>
  <c r="CM392"/>
  <c r="CN392"/>
  <c r="CO392"/>
  <c r="CP392"/>
  <c r="CQ392"/>
  <c r="CR392"/>
  <c r="CS392"/>
  <c r="CT392"/>
  <c r="CU392"/>
  <c r="CV392"/>
  <c r="CW392"/>
  <c r="CX392"/>
  <c r="CY392"/>
  <c r="CZ392"/>
  <c r="DA392"/>
  <c r="DB392"/>
  <c r="DC392"/>
  <c r="DD392"/>
  <c r="DE392"/>
  <c r="DF392"/>
  <c r="DG392"/>
  <c r="DH392"/>
  <c r="DI392"/>
  <c r="DJ392"/>
  <c r="DK392"/>
  <c r="DL392"/>
  <c r="DM392"/>
  <c r="DN392"/>
  <c r="DO392"/>
  <c r="DP392"/>
  <c r="DQ392"/>
  <c r="DR392"/>
  <c r="DS392"/>
  <c r="DT392"/>
  <c r="DU392"/>
  <c r="DV392"/>
  <c r="DW392"/>
  <c r="DX392"/>
  <c r="DY392"/>
  <c r="DZ392"/>
  <c r="EA392"/>
  <c r="EB392"/>
  <c r="EC392"/>
  <c r="ED392"/>
  <c r="EE392"/>
  <c r="EF392"/>
  <c r="EG392"/>
  <c r="EH392"/>
  <c r="EI392"/>
  <c r="EJ392"/>
  <c r="EK392"/>
  <c r="EL392"/>
  <c r="EM392"/>
  <c r="EN392"/>
  <c r="EO392"/>
  <c r="EP392"/>
  <c r="EQ392"/>
  <c r="ER392"/>
  <c r="ES392"/>
  <c r="ET392"/>
  <c r="EU392"/>
  <c r="EV392"/>
  <c r="EW392"/>
  <c r="EX392"/>
  <c r="EY392"/>
  <c r="EZ392"/>
  <c r="FA392"/>
  <c r="FB392"/>
  <c r="FC392"/>
  <c r="FD392"/>
  <c r="FE392"/>
  <c r="FF392"/>
  <c r="FG392"/>
  <c r="FH392"/>
  <c r="FI392"/>
  <c r="FJ392"/>
  <c r="FK392"/>
  <c r="FL392"/>
  <c r="FM392"/>
  <c r="FN392"/>
  <c r="FO392"/>
  <c r="FP392"/>
  <c r="FQ392"/>
  <c r="FR392"/>
  <c r="FS392"/>
  <c r="FT392"/>
  <c r="FU392"/>
  <c r="FV392"/>
  <c r="FW392"/>
  <c r="FX392"/>
  <c r="FY392"/>
  <c r="FZ392"/>
  <c r="GA392"/>
  <c r="GB392"/>
  <c r="GC392"/>
  <c r="GD392"/>
  <c r="GE392"/>
  <c r="GF392"/>
  <c r="GG392"/>
  <c r="GH392"/>
  <c r="GI392"/>
  <c r="GJ392"/>
  <c r="GK392"/>
  <c r="GL392"/>
  <c r="GM392"/>
  <c r="GN392"/>
  <c r="GO392"/>
  <c r="GP392"/>
  <c r="GQ392"/>
  <c r="GR392"/>
  <c r="GS392"/>
  <c r="GT392"/>
  <c r="GU392"/>
  <c r="GV392"/>
  <c r="GW392"/>
  <c r="GX392"/>
  <c r="GY392"/>
  <c r="GZ392"/>
  <c r="HA392"/>
  <c r="HB392"/>
  <c r="HC392"/>
  <c r="HD392"/>
  <c r="HE392"/>
  <c r="HF392"/>
  <c r="HG392"/>
  <c r="HH392"/>
  <c r="HI392"/>
  <c r="HJ392"/>
  <c r="HK392"/>
  <c r="HL392"/>
  <c r="HM392"/>
  <c r="HN392"/>
  <c r="HO392"/>
  <c r="HP392"/>
  <c r="HQ392"/>
  <c r="HR392"/>
  <c r="HS392"/>
  <c r="HT392"/>
  <c r="HU392"/>
  <c r="HV392"/>
  <c r="HW392"/>
  <c r="HX392"/>
  <c r="HY392"/>
  <c r="HZ392"/>
  <c r="IA392"/>
  <c r="IB392"/>
  <c r="IC392"/>
  <c r="ID392"/>
  <c r="IE392"/>
  <c r="IF392"/>
  <c r="IG392"/>
  <c r="IH392"/>
  <c r="II392"/>
  <c r="IJ392"/>
  <c r="IK392"/>
  <c r="IL392"/>
  <c r="IM392"/>
  <c r="IN392"/>
  <c r="IO392"/>
  <c r="IP392"/>
  <c r="IQ392"/>
  <c r="IR392"/>
  <c r="IS392"/>
  <c r="IT392"/>
  <c r="IU392"/>
  <c r="IV392"/>
  <c r="A391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AE391"/>
  <c r="AF391"/>
  <c r="AG391"/>
  <c r="AH391"/>
  <c r="AI391"/>
  <c r="AJ391"/>
  <c r="AK391"/>
  <c r="AL391"/>
  <c r="AM391"/>
  <c r="AN391"/>
  <c r="AO391"/>
  <c r="AP391"/>
  <c r="AQ391"/>
  <c r="AR391"/>
  <c r="AS391"/>
  <c r="AT391"/>
  <c r="AU391"/>
  <c r="AV391"/>
  <c r="AW391"/>
  <c r="AX391"/>
  <c r="AY391"/>
  <c r="AZ391"/>
  <c r="BA391"/>
  <c r="BB391"/>
  <c r="BC391"/>
  <c r="BD391"/>
  <c r="BE391"/>
  <c r="BF391"/>
  <c r="BG391"/>
  <c r="BH391"/>
  <c r="BI391"/>
  <c r="BJ391"/>
  <c r="BK391"/>
  <c r="BL391"/>
  <c r="BM391"/>
  <c r="BN391"/>
  <c r="BO391"/>
  <c r="BP391"/>
  <c r="BQ391"/>
  <c r="BR391"/>
  <c r="BS391"/>
  <c r="BT391"/>
  <c r="BU391"/>
  <c r="BV391"/>
  <c r="BW391"/>
  <c r="BX391"/>
  <c r="BY391"/>
  <c r="BZ391"/>
  <c r="CA391"/>
  <c r="CB391"/>
  <c r="CC391"/>
  <c r="CD391"/>
  <c r="CE391"/>
  <c r="CF391"/>
  <c r="CG391"/>
  <c r="CH391"/>
  <c r="CI391"/>
  <c r="CJ391"/>
  <c r="CK391"/>
  <c r="CL391"/>
  <c r="CM391"/>
  <c r="CN391"/>
  <c r="CO391"/>
  <c r="CP391"/>
  <c r="CQ391"/>
  <c r="CR391"/>
  <c r="CS391"/>
  <c r="CT391"/>
  <c r="CU391"/>
  <c r="CV391"/>
  <c r="CW391"/>
  <c r="CX391"/>
  <c r="CY391"/>
  <c r="CZ391"/>
  <c r="DA391"/>
  <c r="DB391"/>
  <c r="DC391"/>
  <c r="DD391"/>
  <c r="DE391"/>
  <c r="DF391"/>
  <c r="DG391"/>
  <c r="DH391"/>
  <c r="DI391"/>
  <c r="DJ391"/>
  <c r="DK391"/>
  <c r="DL391"/>
  <c r="DM391"/>
  <c r="DN391"/>
  <c r="DO391"/>
  <c r="DP391"/>
  <c r="DQ391"/>
  <c r="DR391"/>
  <c r="DS391"/>
  <c r="DT391"/>
  <c r="DU391"/>
  <c r="DV391"/>
  <c r="DW391"/>
  <c r="DX391"/>
  <c r="DY391"/>
  <c r="DZ391"/>
  <c r="EA391"/>
  <c r="EB391"/>
  <c r="EC391"/>
  <c r="ED391"/>
  <c r="EE391"/>
  <c r="EF391"/>
  <c r="EG391"/>
  <c r="EH391"/>
  <c r="EI391"/>
  <c r="EJ391"/>
  <c r="EK391"/>
  <c r="EL391"/>
  <c r="EM391"/>
  <c r="EN391"/>
  <c r="EO391"/>
  <c r="EP391"/>
  <c r="EQ391"/>
  <c r="ER391"/>
  <c r="ES391"/>
  <c r="ET391"/>
  <c r="EU391"/>
  <c r="EV391"/>
  <c r="EW391"/>
  <c r="EX391"/>
  <c r="EY391"/>
  <c r="EZ391"/>
  <c r="FA391"/>
  <c r="FB391"/>
  <c r="FC391"/>
  <c r="FD391"/>
  <c r="FE391"/>
  <c r="FF391"/>
  <c r="FG391"/>
  <c r="FH391"/>
  <c r="FI391"/>
  <c r="FJ391"/>
  <c r="FK391"/>
  <c r="FL391"/>
  <c r="FM391"/>
  <c r="FN391"/>
  <c r="FO391"/>
  <c r="FP391"/>
  <c r="FQ391"/>
  <c r="FR391"/>
  <c r="FS391"/>
  <c r="FT391"/>
  <c r="FU391"/>
  <c r="FV391"/>
  <c r="FW391"/>
  <c r="FX391"/>
  <c r="FY391"/>
  <c r="FZ391"/>
  <c r="GA391"/>
  <c r="GB391"/>
  <c r="GC391"/>
  <c r="GD391"/>
  <c r="GE391"/>
  <c r="GF391"/>
  <c r="GG391"/>
  <c r="GH391"/>
  <c r="GI391"/>
  <c r="GJ391"/>
  <c r="GK391"/>
  <c r="GL391"/>
  <c r="GM391"/>
  <c r="GN391"/>
  <c r="GO391"/>
  <c r="GP391"/>
  <c r="GQ391"/>
  <c r="GR391"/>
  <c r="GS391"/>
  <c r="GT391"/>
  <c r="GU391"/>
  <c r="GV391"/>
  <c r="GW391"/>
  <c r="GX391"/>
  <c r="GY391"/>
  <c r="GZ391"/>
  <c r="HA391"/>
  <c r="HB391"/>
  <c r="HC391"/>
  <c r="HD391"/>
  <c r="HE391"/>
  <c r="HF391"/>
  <c r="HG391"/>
  <c r="HH391"/>
  <c r="HI391"/>
  <c r="HJ391"/>
  <c r="HK391"/>
  <c r="HL391"/>
  <c r="HM391"/>
  <c r="HN391"/>
  <c r="HO391"/>
  <c r="HP391"/>
  <c r="HQ391"/>
  <c r="HR391"/>
  <c r="HS391"/>
  <c r="HT391"/>
  <c r="HU391"/>
  <c r="HV391"/>
  <c r="HW391"/>
  <c r="HX391"/>
  <c r="HY391"/>
  <c r="HZ391"/>
  <c r="IA391"/>
  <c r="IB391"/>
  <c r="IC391"/>
  <c r="ID391"/>
  <c r="IE391"/>
  <c r="IF391"/>
  <c r="IG391"/>
  <c r="IH391"/>
  <c r="II391"/>
  <c r="IJ391"/>
  <c r="IK391"/>
  <c r="IL391"/>
  <c r="IM391"/>
  <c r="IN391"/>
  <c r="IO391"/>
  <c r="IP391"/>
  <c r="IQ391"/>
  <c r="IR391"/>
  <c r="IS391"/>
  <c r="IT391"/>
  <c r="IU391"/>
  <c r="IV391"/>
  <c r="A390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AE390"/>
  <c r="AF390"/>
  <c r="AG390"/>
  <c r="AH390"/>
  <c r="AI390"/>
  <c r="AJ390"/>
  <c r="AK390"/>
  <c r="AL390"/>
  <c r="AM390"/>
  <c r="AN390"/>
  <c r="AO390"/>
  <c r="AP390"/>
  <c r="AQ390"/>
  <c r="AR390"/>
  <c r="AS390"/>
  <c r="AT390"/>
  <c r="AU390"/>
  <c r="AV390"/>
  <c r="AW390"/>
  <c r="AX390"/>
  <c r="AY390"/>
  <c r="AZ390"/>
  <c r="BA390"/>
  <c r="BB390"/>
  <c r="BC390"/>
  <c r="BD390"/>
  <c r="BE390"/>
  <c r="BF390"/>
  <c r="BG390"/>
  <c r="BH390"/>
  <c r="BI390"/>
  <c r="BJ390"/>
  <c r="BK390"/>
  <c r="BL390"/>
  <c r="BM390"/>
  <c r="BN390"/>
  <c r="BO390"/>
  <c r="BP390"/>
  <c r="BQ390"/>
  <c r="BR390"/>
  <c r="BS390"/>
  <c r="BT390"/>
  <c r="BU390"/>
  <c r="BV390"/>
  <c r="BW390"/>
  <c r="BX390"/>
  <c r="BY390"/>
  <c r="BZ390"/>
  <c r="CA390"/>
  <c r="CB390"/>
  <c r="CC390"/>
  <c r="CD390"/>
  <c r="CE390"/>
  <c r="CF390"/>
  <c r="CG390"/>
  <c r="CH390"/>
  <c r="CI390"/>
  <c r="CJ390"/>
  <c r="CK390"/>
  <c r="CL390"/>
  <c r="CM390"/>
  <c r="CN390"/>
  <c r="CO390"/>
  <c r="CP390"/>
  <c r="CQ390"/>
  <c r="CR390"/>
  <c r="CS390"/>
  <c r="CT390"/>
  <c r="CU390"/>
  <c r="CV390"/>
  <c r="CW390"/>
  <c r="CX390"/>
  <c r="CY390"/>
  <c r="CZ390"/>
  <c r="DA390"/>
  <c r="DB390"/>
  <c r="DC390"/>
  <c r="DD390"/>
  <c r="DE390"/>
  <c r="DF390"/>
  <c r="DG390"/>
  <c r="DH390"/>
  <c r="DI390"/>
  <c r="DJ390"/>
  <c r="DK390"/>
  <c r="DL390"/>
  <c r="DM390"/>
  <c r="DN390"/>
  <c r="DO390"/>
  <c r="DP390"/>
  <c r="DQ390"/>
  <c r="DR390"/>
  <c r="DS390"/>
  <c r="DT390"/>
  <c r="DU390"/>
  <c r="DV390"/>
  <c r="DW390"/>
  <c r="DX390"/>
  <c r="DY390"/>
  <c r="DZ390"/>
  <c r="EA390"/>
  <c r="EB390"/>
  <c r="EC390"/>
  <c r="ED390"/>
  <c r="EE390"/>
  <c r="EF390"/>
  <c r="EG390"/>
  <c r="EH390"/>
  <c r="EI390"/>
  <c r="EJ390"/>
  <c r="EK390"/>
  <c r="EL390"/>
  <c r="EM390"/>
  <c r="EN390"/>
  <c r="EO390"/>
  <c r="EP390"/>
  <c r="EQ390"/>
  <c r="ER390"/>
  <c r="ES390"/>
  <c r="ET390"/>
  <c r="EU390"/>
  <c r="EV390"/>
  <c r="EW390"/>
  <c r="EX390"/>
  <c r="EY390"/>
  <c r="EZ390"/>
  <c r="FA390"/>
  <c r="FB390"/>
  <c r="FC390"/>
  <c r="FD390"/>
  <c r="FE390"/>
  <c r="FF390"/>
  <c r="FG390"/>
  <c r="FH390"/>
  <c r="FI390"/>
  <c r="FJ390"/>
  <c r="FK390"/>
  <c r="FL390"/>
  <c r="FM390"/>
  <c r="FN390"/>
  <c r="FO390"/>
  <c r="FP390"/>
  <c r="FQ390"/>
  <c r="FR390"/>
  <c r="FS390"/>
  <c r="FT390"/>
  <c r="FU390"/>
  <c r="FV390"/>
  <c r="FW390"/>
  <c r="FX390"/>
  <c r="FY390"/>
  <c r="FZ390"/>
  <c r="GA390"/>
  <c r="GB390"/>
  <c r="GC390"/>
  <c r="GD390"/>
  <c r="GE390"/>
  <c r="GF390"/>
  <c r="GG390"/>
  <c r="GH390"/>
  <c r="GI390"/>
  <c r="GJ390"/>
  <c r="GK390"/>
  <c r="GL390"/>
  <c r="GM390"/>
  <c r="GN390"/>
  <c r="GO390"/>
  <c r="GP390"/>
  <c r="GQ390"/>
  <c r="GR390"/>
  <c r="GS390"/>
  <c r="GT390"/>
  <c r="GU390"/>
  <c r="GV390"/>
  <c r="GW390"/>
  <c r="GX390"/>
  <c r="GY390"/>
  <c r="GZ390"/>
  <c r="HA390"/>
  <c r="HB390"/>
  <c r="HC390"/>
  <c r="HD390"/>
  <c r="HE390"/>
  <c r="HF390"/>
  <c r="HG390"/>
  <c r="HH390"/>
  <c r="HI390"/>
  <c r="HJ390"/>
  <c r="HK390"/>
  <c r="HL390"/>
  <c r="HM390"/>
  <c r="HN390"/>
  <c r="HO390"/>
  <c r="HP390"/>
  <c r="HQ390"/>
  <c r="HR390"/>
  <c r="HS390"/>
  <c r="HT390"/>
  <c r="HU390"/>
  <c r="HV390"/>
  <c r="HW390"/>
  <c r="HX390"/>
  <c r="HY390"/>
  <c r="HZ390"/>
  <c r="IA390"/>
  <c r="IB390"/>
  <c r="IC390"/>
  <c r="ID390"/>
  <c r="IE390"/>
  <c r="IF390"/>
  <c r="IG390"/>
  <c r="IH390"/>
  <c r="II390"/>
  <c r="IJ390"/>
  <c r="IK390"/>
  <c r="IL390"/>
  <c r="IM390"/>
  <c r="IN390"/>
  <c r="IO390"/>
  <c r="IP390"/>
  <c r="IQ390"/>
  <c r="IR390"/>
  <c r="IS390"/>
  <c r="IT390"/>
  <c r="IU390"/>
  <c r="IV390"/>
  <c r="A389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AE389"/>
  <c r="AF389"/>
  <c r="AG389"/>
  <c r="AH389"/>
  <c r="AI389"/>
  <c r="AJ389"/>
  <c r="AK389"/>
  <c r="AL389"/>
  <c r="AM389"/>
  <c r="AN389"/>
  <c r="AO389"/>
  <c r="AP389"/>
  <c r="AQ389"/>
  <c r="AR389"/>
  <c r="AS389"/>
  <c r="AT389"/>
  <c r="AU389"/>
  <c r="AV389"/>
  <c r="AW389"/>
  <c r="AX389"/>
  <c r="AY389"/>
  <c r="AZ389"/>
  <c r="BA389"/>
  <c r="BB389"/>
  <c r="BC389"/>
  <c r="BD389"/>
  <c r="BE389"/>
  <c r="BF389"/>
  <c r="BG389"/>
  <c r="BH389"/>
  <c r="BI389"/>
  <c r="BJ389"/>
  <c r="BK389"/>
  <c r="BL389"/>
  <c r="BM389"/>
  <c r="BN389"/>
  <c r="BO389"/>
  <c r="BP389"/>
  <c r="BQ389"/>
  <c r="BR389"/>
  <c r="BS389"/>
  <c r="BT389"/>
  <c r="BU389"/>
  <c r="BV389"/>
  <c r="BW389"/>
  <c r="BX389"/>
  <c r="BY389"/>
  <c r="BZ389"/>
  <c r="CA389"/>
  <c r="CB389"/>
  <c r="CC389"/>
  <c r="CD389"/>
  <c r="CE389"/>
  <c r="CF389"/>
  <c r="CG389"/>
  <c r="CH389"/>
  <c r="CI389"/>
  <c r="CJ389"/>
  <c r="CK389"/>
  <c r="CL389"/>
  <c r="CM389"/>
  <c r="CN389"/>
  <c r="CO389"/>
  <c r="CP389"/>
  <c r="CQ389"/>
  <c r="CR389"/>
  <c r="CS389"/>
  <c r="CT389"/>
  <c r="CU389"/>
  <c r="CV389"/>
  <c r="CW389"/>
  <c r="CX389"/>
  <c r="CY389"/>
  <c r="CZ389"/>
  <c r="DA389"/>
  <c r="DB389"/>
  <c r="DC389"/>
  <c r="DD389"/>
  <c r="DE389"/>
  <c r="DF389"/>
  <c r="DG389"/>
  <c r="DH389"/>
  <c r="DI389"/>
  <c r="DJ389"/>
  <c r="DK389"/>
  <c r="DL389"/>
  <c r="DM389"/>
  <c r="DN389"/>
  <c r="DO389"/>
  <c r="DP389"/>
  <c r="DQ389"/>
  <c r="DR389"/>
  <c r="DS389"/>
  <c r="DT389"/>
  <c r="DU389"/>
  <c r="DV389"/>
  <c r="DW389"/>
  <c r="DX389"/>
  <c r="DY389"/>
  <c r="DZ389"/>
  <c r="EA389"/>
  <c r="EB389"/>
  <c r="EC389"/>
  <c r="ED389"/>
  <c r="EE389"/>
  <c r="EF389"/>
  <c r="EG389"/>
  <c r="EH389"/>
  <c r="EI389"/>
  <c r="EJ389"/>
  <c r="EK389"/>
  <c r="EL389"/>
  <c r="EM389"/>
  <c r="EN389"/>
  <c r="EO389"/>
  <c r="EP389"/>
  <c r="EQ389"/>
  <c r="ER389"/>
  <c r="ES389"/>
  <c r="ET389"/>
  <c r="EU389"/>
  <c r="EV389"/>
  <c r="EW389"/>
  <c r="EX389"/>
  <c r="EY389"/>
  <c r="EZ389"/>
  <c r="FA389"/>
  <c r="FB389"/>
  <c r="FC389"/>
  <c r="FD389"/>
  <c r="FE389"/>
  <c r="FF389"/>
  <c r="FG389"/>
  <c r="FH389"/>
  <c r="FI389"/>
  <c r="FJ389"/>
  <c r="FK389"/>
  <c r="FL389"/>
  <c r="FM389"/>
  <c r="FN389"/>
  <c r="FO389"/>
  <c r="FP389"/>
  <c r="FQ389"/>
  <c r="FR389"/>
  <c r="FS389"/>
  <c r="FT389"/>
  <c r="FU389"/>
  <c r="FV389"/>
  <c r="FW389"/>
  <c r="FX389"/>
  <c r="FY389"/>
  <c r="FZ389"/>
  <c r="GA389"/>
  <c r="GB389"/>
  <c r="GC389"/>
  <c r="GD389"/>
  <c r="GE389"/>
  <c r="GF389"/>
  <c r="GG389"/>
  <c r="GH389"/>
  <c r="GI389"/>
  <c r="GJ389"/>
  <c r="GK389"/>
  <c r="GL389"/>
  <c r="GM389"/>
  <c r="GN389"/>
  <c r="GO389"/>
  <c r="GP389"/>
  <c r="GQ389"/>
  <c r="GR389"/>
  <c r="GS389"/>
  <c r="GT389"/>
  <c r="GU389"/>
  <c r="GV389"/>
  <c r="GW389"/>
  <c r="GX389"/>
  <c r="GY389"/>
  <c r="GZ389"/>
  <c r="HA389"/>
  <c r="HB389"/>
  <c r="HC389"/>
  <c r="HD389"/>
  <c r="HE389"/>
  <c r="HF389"/>
  <c r="HG389"/>
  <c r="HH389"/>
  <c r="HI389"/>
  <c r="HJ389"/>
  <c r="HK389"/>
  <c r="HL389"/>
  <c r="HM389"/>
  <c r="HN389"/>
  <c r="HO389"/>
  <c r="HP389"/>
  <c r="HQ389"/>
  <c r="HR389"/>
  <c r="HS389"/>
  <c r="HT389"/>
  <c r="HU389"/>
  <c r="HV389"/>
  <c r="HW389"/>
  <c r="HX389"/>
  <c r="HY389"/>
  <c r="HZ389"/>
  <c r="IA389"/>
  <c r="IB389"/>
  <c r="IC389"/>
  <c r="ID389"/>
  <c r="IE389"/>
  <c r="IF389"/>
  <c r="IG389"/>
  <c r="IH389"/>
  <c r="II389"/>
  <c r="IJ389"/>
  <c r="IK389"/>
  <c r="IL389"/>
  <c r="IM389"/>
  <c r="IN389"/>
  <c r="IO389"/>
  <c r="IP389"/>
  <c r="IQ389"/>
  <c r="IR389"/>
  <c r="IS389"/>
  <c r="IT389"/>
  <c r="IU389"/>
  <c r="IV389"/>
  <c r="A388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AT388"/>
  <c r="AU388"/>
  <c r="AV388"/>
  <c r="AW388"/>
  <c r="AX388"/>
  <c r="AY388"/>
  <c r="AZ388"/>
  <c r="BA388"/>
  <c r="BB388"/>
  <c r="BC388"/>
  <c r="BD388"/>
  <c r="BE388"/>
  <c r="BF388"/>
  <c r="BG388"/>
  <c r="BH388"/>
  <c r="BI388"/>
  <c r="BJ388"/>
  <c r="BK388"/>
  <c r="BL388"/>
  <c r="BM388"/>
  <c r="BN388"/>
  <c r="BO388"/>
  <c r="BP388"/>
  <c r="BQ388"/>
  <c r="BR388"/>
  <c r="BS388"/>
  <c r="BT388"/>
  <c r="BU388"/>
  <c r="BV388"/>
  <c r="BW388"/>
  <c r="BX388"/>
  <c r="BY388"/>
  <c r="BZ388"/>
  <c r="CA388"/>
  <c r="CB388"/>
  <c r="CC388"/>
  <c r="CD388"/>
  <c r="CE388"/>
  <c r="CF388"/>
  <c r="CG388"/>
  <c r="CH388"/>
  <c r="CI388"/>
  <c r="CJ388"/>
  <c r="CK388"/>
  <c r="CL388"/>
  <c r="CM388"/>
  <c r="CN388"/>
  <c r="CO388"/>
  <c r="CP388"/>
  <c r="CQ388"/>
  <c r="CR388"/>
  <c r="CS388"/>
  <c r="CT388"/>
  <c r="CU388"/>
  <c r="CV388"/>
  <c r="CW388"/>
  <c r="CX388"/>
  <c r="CY388"/>
  <c r="CZ388"/>
  <c r="DA388"/>
  <c r="DB388"/>
  <c r="DC388"/>
  <c r="DD388"/>
  <c r="DE388"/>
  <c r="DF388"/>
  <c r="DG388"/>
  <c r="DH388"/>
  <c r="DI388"/>
  <c r="DJ388"/>
  <c r="DK388"/>
  <c r="DL388"/>
  <c r="DM388"/>
  <c r="DN388"/>
  <c r="DO388"/>
  <c r="DP388"/>
  <c r="DQ388"/>
  <c r="DR388"/>
  <c r="DS388"/>
  <c r="DT388"/>
  <c r="DU388"/>
  <c r="DV388"/>
  <c r="DW388"/>
  <c r="DX388"/>
  <c r="DY388"/>
  <c r="DZ388"/>
  <c r="EA388"/>
  <c r="EB388"/>
  <c r="EC388"/>
  <c r="ED388"/>
  <c r="EE388"/>
  <c r="EF388"/>
  <c r="EG388"/>
  <c r="EH388"/>
  <c r="EI388"/>
  <c r="EJ388"/>
  <c r="EK388"/>
  <c r="EL388"/>
  <c r="EM388"/>
  <c r="EN388"/>
  <c r="EO388"/>
  <c r="EP388"/>
  <c r="EQ388"/>
  <c r="ER388"/>
  <c r="ES388"/>
  <c r="ET388"/>
  <c r="EU388"/>
  <c r="EV388"/>
  <c r="EW388"/>
  <c r="EX388"/>
  <c r="EY388"/>
  <c r="EZ388"/>
  <c r="FA388"/>
  <c r="FB388"/>
  <c r="FC388"/>
  <c r="FD388"/>
  <c r="FE388"/>
  <c r="FF388"/>
  <c r="FG388"/>
  <c r="FH388"/>
  <c r="FI388"/>
  <c r="FJ388"/>
  <c r="FK388"/>
  <c r="FL388"/>
  <c r="FM388"/>
  <c r="FN388"/>
  <c r="FO388"/>
  <c r="FP388"/>
  <c r="FQ388"/>
  <c r="FR388"/>
  <c r="FS388"/>
  <c r="FT388"/>
  <c r="FU388"/>
  <c r="FV388"/>
  <c r="FW388"/>
  <c r="FX388"/>
  <c r="FY388"/>
  <c r="FZ388"/>
  <c r="GA388"/>
  <c r="GB388"/>
  <c r="GC388"/>
  <c r="GD388"/>
  <c r="GE388"/>
  <c r="GF388"/>
  <c r="GG388"/>
  <c r="GH388"/>
  <c r="GI388"/>
  <c r="GJ388"/>
  <c r="GK388"/>
  <c r="GL388"/>
  <c r="GM388"/>
  <c r="GN388"/>
  <c r="GO388"/>
  <c r="GP388"/>
  <c r="GQ388"/>
  <c r="GR388"/>
  <c r="GS388"/>
  <c r="GT388"/>
  <c r="GU388"/>
  <c r="GV388"/>
  <c r="GW388"/>
  <c r="GX388"/>
  <c r="GY388"/>
  <c r="GZ388"/>
  <c r="HA388"/>
  <c r="HB388"/>
  <c r="HC388"/>
  <c r="HD388"/>
  <c r="HE388"/>
  <c r="HF388"/>
  <c r="HG388"/>
  <c r="HH388"/>
  <c r="HI388"/>
  <c r="HJ388"/>
  <c r="HK388"/>
  <c r="HL388"/>
  <c r="HM388"/>
  <c r="HN388"/>
  <c r="HO388"/>
  <c r="HP388"/>
  <c r="HQ388"/>
  <c r="HR388"/>
  <c r="HS388"/>
  <c r="HT388"/>
  <c r="HU388"/>
  <c r="HV388"/>
  <c r="HW388"/>
  <c r="HX388"/>
  <c r="HY388"/>
  <c r="HZ388"/>
  <c r="IA388"/>
  <c r="IB388"/>
  <c r="IC388"/>
  <c r="ID388"/>
  <c r="IE388"/>
  <c r="IF388"/>
  <c r="IG388"/>
  <c r="IH388"/>
  <c r="II388"/>
  <c r="IJ388"/>
  <c r="IK388"/>
  <c r="IL388"/>
  <c r="IM388"/>
  <c r="IN388"/>
  <c r="IO388"/>
  <c r="IP388"/>
  <c r="IQ388"/>
  <c r="IR388"/>
  <c r="IS388"/>
  <c r="IT388"/>
  <c r="IU388"/>
  <c r="IV388"/>
  <c r="A387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AE387"/>
  <c r="AF387"/>
  <c r="AG387"/>
  <c r="AH387"/>
  <c r="AI387"/>
  <c r="AJ387"/>
  <c r="AK387"/>
  <c r="AL387"/>
  <c r="AM387"/>
  <c r="AN387"/>
  <c r="AO387"/>
  <c r="AP387"/>
  <c r="AQ387"/>
  <c r="AR387"/>
  <c r="AS387"/>
  <c r="AT387"/>
  <c r="AU387"/>
  <c r="AV387"/>
  <c r="AW387"/>
  <c r="AX387"/>
  <c r="AY387"/>
  <c r="AZ387"/>
  <c r="BA387"/>
  <c r="BB387"/>
  <c r="BC387"/>
  <c r="BD387"/>
  <c r="BE387"/>
  <c r="BF387"/>
  <c r="BG387"/>
  <c r="BH387"/>
  <c r="BI387"/>
  <c r="BJ387"/>
  <c r="BK387"/>
  <c r="BL387"/>
  <c r="BM387"/>
  <c r="BN387"/>
  <c r="BO387"/>
  <c r="BP387"/>
  <c r="BQ387"/>
  <c r="BR387"/>
  <c r="BS387"/>
  <c r="BT387"/>
  <c r="BU387"/>
  <c r="BV387"/>
  <c r="BW387"/>
  <c r="BX387"/>
  <c r="BY387"/>
  <c r="BZ387"/>
  <c r="CA387"/>
  <c r="CB387"/>
  <c r="CC387"/>
  <c r="CD387"/>
  <c r="CE387"/>
  <c r="CF387"/>
  <c r="CG387"/>
  <c r="CH387"/>
  <c r="CI387"/>
  <c r="CJ387"/>
  <c r="CK387"/>
  <c r="CL387"/>
  <c r="CM387"/>
  <c r="CN387"/>
  <c r="CO387"/>
  <c r="CP387"/>
  <c r="CQ387"/>
  <c r="CR387"/>
  <c r="CS387"/>
  <c r="CT387"/>
  <c r="CU387"/>
  <c r="CV387"/>
  <c r="CW387"/>
  <c r="CX387"/>
  <c r="CY387"/>
  <c r="CZ387"/>
  <c r="DA387"/>
  <c r="DB387"/>
  <c r="DC387"/>
  <c r="DD387"/>
  <c r="DE387"/>
  <c r="DF387"/>
  <c r="DG387"/>
  <c r="DH387"/>
  <c r="DI387"/>
  <c r="DJ387"/>
  <c r="DK387"/>
  <c r="DL387"/>
  <c r="DM387"/>
  <c r="DN387"/>
  <c r="DO387"/>
  <c r="DP387"/>
  <c r="DQ387"/>
  <c r="DR387"/>
  <c r="DS387"/>
  <c r="DT387"/>
  <c r="DU387"/>
  <c r="DV387"/>
  <c r="DW387"/>
  <c r="DX387"/>
  <c r="DY387"/>
  <c r="DZ387"/>
  <c r="EA387"/>
  <c r="EB387"/>
  <c r="EC387"/>
  <c r="ED387"/>
  <c r="EE387"/>
  <c r="EF387"/>
  <c r="EG387"/>
  <c r="EH387"/>
  <c r="EI387"/>
  <c r="EJ387"/>
  <c r="EK387"/>
  <c r="EL387"/>
  <c r="EM387"/>
  <c r="EN387"/>
  <c r="EO387"/>
  <c r="EP387"/>
  <c r="EQ387"/>
  <c r="ER387"/>
  <c r="ES387"/>
  <c r="ET387"/>
  <c r="EU387"/>
  <c r="EV387"/>
  <c r="EW387"/>
  <c r="EX387"/>
  <c r="EY387"/>
  <c r="EZ387"/>
  <c r="FA387"/>
  <c r="FB387"/>
  <c r="FC387"/>
  <c r="FD387"/>
  <c r="FE387"/>
  <c r="FF387"/>
  <c r="FG387"/>
  <c r="FH387"/>
  <c r="FI387"/>
  <c r="FJ387"/>
  <c r="FK387"/>
  <c r="FL387"/>
  <c r="FM387"/>
  <c r="FN387"/>
  <c r="FO387"/>
  <c r="FP387"/>
  <c r="FQ387"/>
  <c r="FR387"/>
  <c r="FS387"/>
  <c r="FT387"/>
  <c r="FU387"/>
  <c r="FV387"/>
  <c r="FW387"/>
  <c r="FX387"/>
  <c r="FY387"/>
  <c r="FZ387"/>
  <c r="GA387"/>
  <c r="GB387"/>
  <c r="GC387"/>
  <c r="GD387"/>
  <c r="GE387"/>
  <c r="GF387"/>
  <c r="GG387"/>
  <c r="GH387"/>
  <c r="GI387"/>
  <c r="GJ387"/>
  <c r="GK387"/>
  <c r="GL387"/>
  <c r="GM387"/>
  <c r="GN387"/>
  <c r="GO387"/>
  <c r="GP387"/>
  <c r="GQ387"/>
  <c r="GR387"/>
  <c r="GS387"/>
  <c r="GT387"/>
  <c r="GU387"/>
  <c r="GV387"/>
  <c r="GW387"/>
  <c r="GX387"/>
  <c r="GY387"/>
  <c r="GZ387"/>
  <c r="HA387"/>
  <c r="HB387"/>
  <c r="HC387"/>
  <c r="HD387"/>
  <c r="HE387"/>
  <c r="HF387"/>
  <c r="HG387"/>
  <c r="HH387"/>
  <c r="HI387"/>
  <c r="HJ387"/>
  <c r="HK387"/>
  <c r="HL387"/>
  <c r="HM387"/>
  <c r="HN387"/>
  <c r="HO387"/>
  <c r="HP387"/>
  <c r="HQ387"/>
  <c r="HR387"/>
  <c r="HS387"/>
  <c r="HT387"/>
  <c r="HU387"/>
  <c r="HV387"/>
  <c r="HW387"/>
  <c r="HX387"/>
  <c r="HY387"/>
  <c r="HZ387"/>
  <c r="IA387"/>
  <c r="IB387"/>
  <c r="IC387"/>
  <c r="ID387"/>
  <c r="IE387"/>
  <c r="IF387"/>
  <c r="IG387"/>
  <c r="IH387"/>
  <c r="II387"/>
  <c r="IJ387"/>
  <c r="IK387"/>
  <c r="IL387"/>
  <c r="IM387"/>
  <c r="IN387"/>
  <c r="IO387"/>
  <c r="IP387"/>
  <c r="IQ387"/>
  <c r="IR387"/>
  <c r="IS387"/>
  <c r="IT387"/>
  <c r="IU387"/>
  <c r="IV387"/>
  <c r="A386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AE386"/>
  <c r="AF386"/>
  <c r="AG386"/>
  <c r="AH386"/>
  <c r="AI386"/>
  <c r="AJ386"/>
  <c r="AK386"/>
  <c r="AL386"/>
  <c r="AM386"/>
  <c r="AN386"/>
  <c r="AO386"/>
  <c r="AP386"/>
  <c r="AQ386"/>
  <c r="AR386"/>
  <c r="AS386"/>
  <c r="AT386"/>
  <c r="AU386"/>
  <c r="AV386"/>
  <c r="AW386"/>
  <c r="AX386"/>
  <c r="AY386"/>
  <c r="AZ386"/>
  <c r="BA386"/>
  <c r="BB386"/>
  <c r="BC386"/>
  <c r="BD386"/>
  <c r="BE386"/>
  <c r="BF386"/>
  <c r="BG386"/>
  <c r="BH386"/>
  <c r="BI386"/>
  <c r="BJ386"/>
  <c r="BK386"/>
  <c r="BL386"/>
  <c r="BM386"/>
  <c r="BN386"/>
  <c r="BO386"/>
  <c r="BP386"/>
  <c r="BQ386"/>
  <c r="BR386"/>
  <c r="BS386"/>
  <c r="BT386"/>
  <c r="BU386"/>
  <c r="BV386"/>
  <c r="BW386"/>
  <c r="BX386"/>
  <c r="BY386"/>
  <c r="BZ386"/>
  <c r="CA386"/>
  <c r="CB386"/>
  <c r="CC386"/>
  <c r="CD386"/>
  <c r="CE386"/>
  <c r="CF386"/>
  <c r="CG386"/>
  <c r="CH386"/>
  <c r="CI386"/>
  <c r="CJ386"/>
  <c r="CK386"/>
  <c r="CL386"/>
  <c r="CM386"/>
  <c r="CN386"/>
  <c r="CO386"/>
  <c r="CP386"/>
  <c r="CQ386"/>
  <c r="CR386"/>
  <c r="CS386"/>
  <c r="CT386"/>
  <c r="CU386"/>
  <c r="CV386"/>
  <c r="CW386"/>
  <c r="CX386"/>
  <c r="CY386"/>
  <c r="CZ386"/>
  <c r="DA386"/>
  <c r="DB386"/>
  <c r="DC386"/>
  <c r="DD386"/>
  <c r="DE386"/>
  <c r="DF386"/>
  <c r="DG386"/>
  <c r="DH386"/>
  <c r="DI386"/>
  <c r="DJ386"/>
  <c r="DK386"/>
  <c r="DL386"/>
  <c r="DM386"/>
  <c r="DN386"/>
  <c r="DO386"/>
  <c r="DP386"/>
  <c r="DQ386"/>
  <c r="DR386"/>
  <c r="DS386"/>
  <c r="DT386"/>
  <c r="DU386"/>
  <c r="DV386"/>
  <c r="DW386"/>
  <c r="DX386"/>
  <c r="DY386"/>
  <c r="DZ386"/>
  <c r="EA386"/>
  <c r="EB386"/>
  <c r="EC386"/>
  <c r="ED386"/>
  <c r="EE386"/>
  <c r="EF386"/>
  <c r="EG386"/>
  <c r="EH386"/>
  <c r="EI386"/>
  <c r="EJ386"/>
  <c r="EK386"/>
  <c r="EL386"/>
  <c r="EM386"/>
  <c r="EN386"/>
  <c r="EO386"/>
  <c r="EP386"/>
  <c r="EQ386"/>
  <c r="ER386"/>
  <c r="ES386"/>
  <c r="ET386"/>
  <c r="EU386"/>
  <c r="EV386"/>
  <c r="EW386"/>
  <c r="EX386"/>
  <c r="EY386"/>
  <c r="EZ386"/>
  <c r="FA386"/>
  <c r="FB386"/>
  <c r="FC386"/>
  <c r="FD386"/>
  <c r="FE386"/>
  <c r="FF386"/>
  <c r="FG386"/>
  <c r="FH386"/>
  <c r="FI386"/>
  <c r="FJ386"/>
  <c r="FK386"/>
  <c r="FL386"/>
  <c r="FM386"/>
  <c r="FN386"/>
  <c r="FO386"/>
  <c r="FP386"/>
  <c r="FQ386"/>
  <c r="FR386"/>
  <c r="FS386"/>
  <c r="FT386"/>
  <c r="FU386"/>
  <c r="FV386"/>
  <c r="FW386"/>
  <c r="FX386"/>
  <c r="FY386"/>
  <c r="FZ386"/>
  <c r="GA386"/>
  <c r="GB386"/>
  <c r="GC386"/>
  <c r="GD386"/>
  <c r="GE386"/>
  <c r="GF386"/>
  <c r="GG386"/>
  <c r="GH386"/>
  <c r="GI386"/>
  <c r="GJ386"/>
  <c r="GK386"/>
  <c r="GL386"/>
  <c r="GM386"/>
  <c r="GN386"/>
  <c r="GO386"/>
  <c r="GP386"/>
  <c r="GQ386"/>
  <c r="GR386"/>
  <c r="GS386"/>
  <c r="GT386"/>
  <c r="GU386"/>
  <c r="GV386"/>
  <c r="GW386"/>
  <c r="GX386"/>
  <c r="GY386"/>
  <c r="GZ386"/>
  <c r="HA386"/>
  <c r="HB386"/>
  <c r="HC386"/>
  <c r="HD386"/>
  <c r="HE386"/>
  <c r="HF386"/>
  <c r="HG386"/>
  <c r="HH386"/>
  <c r="HI386"/>
  <c r="HJ386"/>
  <c r="HK386"/>
  <c r="HL386"/>
  <c r="HM386"/>
  <c r="HN386"/>
  <c r="HO386"/>
  <c r="HP386"/>
  <c r="HQ386"/>
  <c r="HR386"/>
  <c r="HS386"/>
  <c r="HT386"/>
  <c r="HU386"/>
  <c r="HV386"/>
  <c r="HW386"/>
  <c r="HX386"/>
  <c r="HY386"/>
  <c r="HZ386"/>
  <c r="IA386"/>
  <c r="IB386"/>
  <c r="IC386"/>
  <c r="ID386"/>
  <c r="IE386"/>
  <c r="IF386"/>
  <c r="IG386"/>
  <c r="IH386"/>
  <c r="II386"/>
  <c r="IJ386"/>
  <c r="IK386"/>
  <c r="IL386"/>
  <c r="IM386"/>
  <c r="IN386"/>
  <c r="IO386"/>
  <c r="IP386"/>
  <c r="IQ386"/>
  <c r="IR386"/>
  <c r="IS386"/>
  <c r="IT386"/>
  <c r="IU386"/>
  <c r="IV386"/>
  <c r="A385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AE385"/>
  <c r="AF385"/>
  <c r="AG385"/>
  <c r="AH385"/>
  <c r="AI385"/>
  <c r="AJ385"/>
  <c r="AK385"/>
  <c r="AL385"/>
  <c r="AM385"/>
  <c r="AN385"/>
  <c r="AO385"/>
  <c r="AP385"/>
  <c r="AQ385"/>
  <c r="AR385"/>
  <c r="AS385"/>
  <c r="AT385"/>
  <c r="AU385"/>
  <c r="AV385"/>
  <c r="AW385"/>
  <c r="AX385"/>
  <c r="AY385"/>
  <c r="AZ385"/>
  <c r="BA385"/>
  <c r="BB385"/>
  <c r="BC385"/>
  <c r="BD385"/>
  <c r="BE385"/>
  <c r="BF385"/>
  <c r="BG385"/>
  <c r="BH385"/>
  <c r="BI385"/>
  <c r="BJ385"/>
  <c r="BK385"/>
  <c r="BL385"/>
  <c r="BM385"/>
  <c r="BN385"/>
  <c r="BO385"/>
  <c r="BP385"/>
  <c r="BQ385"/>
  <c r="BR385"/>
  <c r="BS385"/>
  <c r="BT385"/>
  <c r="BU385"/>
  <c r="BV385"/>
  <c r="BW385"/>
  <c r="BX385"/>
  <c r="BY385"/>
  <c r="BZ385"/>
  <c r="CA385"/>
  <c r="CB385"/>
  <c r="CC385"/>
  <c r="CD385"/>
  <c r="CE385"/>
  <c r="CF385"/>
  <c r="CG385"/>
  <c r="CH385"/>
  <c r="CI385"/>
  <c r="CJ385"/>
  <c r="CK385"/>
  <c r="CL385"/>
  <c r="CM385"/>
  <c r="CN385"/>
  <c r="CO385"/>
  <c r="CP385"/>
  <c r="CQ385"/>
  <c r="CR385"/>
  <c r="CS385"/>
  <c r="CT385"/>
  <c r="CU385"/>
  <c r="CV385"/>
  <c r="CW385"/>
  <c r="CX385"/>
  <c r="CY385"/>
  <c r="CZ385"/>
  <c r="DA385"/>
  <c r="DB385"/>
  <c r="DC385"/>
  <c r="DD385"/>
  <c r="DE385"/>
  <c r="DF385"/>
  <c r="DG385"/>
  <c r="DH385"/>
  <c r="DI385"/>
  <c r="DJ385"/>
  <c r="DK385"/>
  <c r="DL385"/>
  <c r="DM385"/>
  <c r="DN385"/>
  <c r="DO385"/>
  <c r="DP385"/>
  <c r="DQ385"/>
  <c r="DR385"/>
  <c r="DS385"/>
  <c r="DT385"/>
  <c r="DU385"/>
  <c r="DV385"/>
  <c r="DW385"/>
  <c r="DX385"/>
  <c r="DY385"/>
  <c r="DZ385"/>
  <c r="EA385"/>
  <c r="EB385"/>
  <c r="EC385"/>
  <c r="ED385"/>
  <c r="EE385"/>
  <c r="EF385"/>
  <c r="EG385"/>
  <c r="EH385"/>
  <c r="EI385"/>
  <c r="EJ385"/>
  <c r="EK385"/>
  <c r="EL385"/>
  <c r="EM385"/>
  <c r="EN385"/>
  <c r="EO385"/>
  <c r="EP385"/>
  <c r="EQ385"/>
  <c r="ER385"/>
  <c r="ES385"/>
  <c r="ET385"/>
  <c r="EU385"/>
  <c r="EV385"/>
  <c r="EW385"/>
  <c r="EX385"/>
  <c r="EY385"/>
  <c r="EZ385"/>
  <c r="FA385"/>
  <c r="FB385"/>
  <c r="FC385"/>
  <c r="FD385"/>
  <c r="FE385"/>
  <c r="FF385"/>
  <c r="FG385"/>
  <c r="FH385"/>
  <c r="FI385"/>
  <c r="FJ385"/>
  <c r="FK385"/>
  <c r="FL385"/>
  <c r="FM385"/>
  <c r="FN385"/>
  <c r="FO385"/>
  <c r="FP385"/>
  <c r="FQ385"/>
  <c r="FR385"/>
  <c r="FS385"/>
  <c r="FT385"/>
  <c r="FU385"/>
  <c r="FV385"/>
  <c r="FW385"/>
  <c r="FX385"/>
  <c r="FY385"/>
  <c r="FZ385"/>
  <c r="GA385"/>
  <c r="GB385"/>
  <c r="GC385"/>
  <c r="GD385"/>
  <c r="GE385"/>
  <c r="GF385"/>
  <c r="GG385"/>
  <c r="GH385"/>
  <c r="GI385"/>
  <c r="GJ385"/>
  <c r="GK385"/>
  <c r="GL385"/>
  <c r="GM385"/>
  <c r="GN385"/>
  <c r="GO385"/>
  <c r="GP385"/>
  <c r="GQ385"/>
  <c r="GR385"/>
  <c r="GS385"/>
  <c r="GT385"/>
  <c r="GU385"/>
  <c r="GV385"/>
  <c r="GW385"/>
  <c r="GX385"/>
  <c r="GY385"/>
  <c r="GZ385"/>
  <c r="HA385"/>
  <c r="HB385"/>
  <c r="HC385"/>
  <c r="HD385"/>
  <c r="HE385"/>
  <c r="HF385"/>
  <c r="HG385"/>
  <c r="HH385"/>
  <c r="HI385"/>
  <c r="HJ385"/>
  <c r="HK385"/>
  <c r="HL385"/>
  <c r="HM385"/>
  <c r="HN385"/>
  <c r="HO385"/>
  <c r="HP385"/>
  <c r="HQ385"/>
  <c r="HR385"/>
  <c r="HS385"/>
  <c r="HT385"/>
  <c r="HU385"/>
  <c r="HV385"/>
  <c r="HW385"/>
  <c r="HX385"/>
  <c r="HY385"/>
  <c r="HZ385"/>
  <c r="IA385"/>
  <c r="IB385"/>
  <c r="IC385"/>
  <c r="ID385"/>
  <c r="IE385"/>
  <c r="IF385"/>
  <c r="IG385"/>
  <c r="IH385"/>
  <c r="II385"/>
  <c r="IJ385"/>
  <c r="IK385"/>
  <c r="IL385"/>
  <c r="IM385"/>
  <c r="IN385"/>
  <c r="IO385"/>
  <c r="IP385"/>
  <c r="IQ385"/>
  <c r="IR385"/>
  <c r="IS385"/>
  <c r="IT385"/>
  <c r="IU385"/>
  <c r="IV385"/>
  <c r="A384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AE384"/>
  <c r="AF384"/>
  <c r="AG384"/>
  <c r="AH384"/>
  <c r="AI384"/>
  <c r="AJ384"/>
  <c r="AK384"/>
  <c r="AL384"/>
  <c r="AM384"/>
  <c r="AN384"/>
  <c r="AO384"/>
  <c r="AP384"/>
  <c r="AQ384"/>
  <c r="AR384"/>
  <c r="AS384"/>
  <c r="AT384"/>
  <c r="AU384"/>
  <c r="AV384"/>
  <c r="AW384"/>
  <c r="AX384"/>
  <c r="AY384"/>
  <c r="AZ384"/>
  <c r="BA384"/>
  <c r="BB384"/>
  <c r="BC384"/>
  <c r="BD384"/>
  <c r="BE384"/>
  <c r="BF384"/>
  <c r="BG384"/>
  <c r="BH384"/>
  <c r="BI384"/>
  <c r="BJ384"/>
  <c r="BK384"/>
  <c r="BL384"/>
  <c r="BM384"/>
  <c r="BN384"/>
  <c r="BO384"/>
  <c r="BP384"/>
  <c r="BQ384"/>
  <c r="BR384"/>
  <c r="BS384"/>
  <c r="BT384"/>
  <c r="BU384"/>
  <c r="BV384"/>
  <c r="BW384"/>
  <c r="BX384"/>
  <c r="BY384"/>
  <c r="BZ384"/>
  <c r="CA384"/>
  <c r="CB384"/>
  <c r="CC384"/>
  <c r="CD384"/>
  <c r="CE384"/>
  <c r="CF384"/>
  <c r="CG384"/>
  <c r="CH384"/>
  <c r="CI384"/>
  <c r="CJ384"/>
  <c r="CK384"/>
  <c r="CL384"/>
  <c r="CM384"/>
  <c r="CN384"/>
  <c r="CO384"/>
  <c r="CP384"/>
  <c r="CQ384"/>
  <c r="CR384"/>
  <c r="CS384"/>
  <c r="CT384"/>
  <c r="CU384"/>
  <c r="CV384"/>
  <c r="CW384"/>
  <c r="CX384"/>
  <c r="CY384"/>
  <c r="CZ384"/>
  <c r="DA384"/>
  <c r="DB384"/>
  <c r="DC384"/>
  <c r="DD384"/>
  <c r="DE384"/>
  <c r="DF384"/>
  <c r="DG384"/>
  <c r="DH384"/>
  <c r="DI384"/>
  <c r="DJ384"/>
  <c r="DK384"/>
  <c r="DL384"/>
  <c r="DM384"/>
  <c r="DN384"/>
  <c r="DO384"/>
  <c r="DP384"/>
  <c r="DQ384"/>
  <c r="DR384"/>
  <c r="DS384"/>
  <c r="DT384"/>
  <c r="DU384"/>
  <c r="DV384"/>
  <c r="DW384"/>
  <c r="DX384"/>
  <c r="DY384"/>
  <c r="DZ384"/>
  <c r="EA384"/>
  <c r="EB384"/>
  <c r="EC384"/>
  <c r="ED384"/>
  <c r="EE384"/>
  <c r="EF384"/>
  <c r="EG384"/>
  <c r="EH384"/>
  <c r="EI384"/>
  <c r="EJ384"/>
  <c r="EK384"/>
  <c r="EL384"/>
  <c r="EM384"/>
  <c r="EN384"/>
  <c r="EO384"/>
  <c r="EP384"/>
  <c r="EQ384"/>
  <c r="ER384"/>
  <c r="ES384"/>
  <c r="ET384"/>
  <c r="EU384"/>
  <c r="EV384"/>
  <c r="EW384"/>
  <c r="EX384"/>
  <c r="EY384"/>
  <c r="EZ384"/>
  <c r="FA384"/>
  <c r="FB384"/>
  <c r="FC384"/>
  <c r="FD384"/>
  <c r="FE384"/>
  <c r="FF384"/>
  <c r="FG384"/>
  <c r="FH384"/>
  <c r="FI384"/>
  <c r="FJ384"/>
  <c r="FK384"/>
  <c r="FL384"/>
  <c r="FM384"/>
  <c r="FN384"/>
  <c r="FO384"/>
  <c r="FP384"/>
  <c r="FQ384"/>
  <c r="FR384"/>
  <c r="FS384"/>
  <c r="FT384"/>
  <c r="FU384"/>
  <c r="FV384"/>
  <c r="FW384"/>
  <c r="FX384"/>
  <c r="FY384"/>
  <c r="FZ384"/>
  <c r="GA384"/>
  <c r="GB384"/>
  <c r="GC384"/>
  <c r="GD384"/>
  <c r="GE384"/>
  <c r="GF384"/>
  <c r="GG384"/>
  <c r="GH384"/>
  <c r="GI384"/>
  <c r="GJ384"/>
  <c r="GK384"/>
  <c r="GL384"/>
  <c r="GM384"/>
  <c r="GN384"/>
  <c r="GO384"/>
  <c r="GP384"/>
  <c r="GQ384"/>
  <c r="GR384"/>
  <c r="GS384"/>
  <c r="GT384"/>
  <c r="GU384"/>
  <c r="GV384"/>
  <c r="GW384"/>
  <c r="GX384"/>
  <c r="GY384"/>
  <c r="GZ384"/>
  <c r="HA384"/>
  <c r="HB384"/>
  <c r="HC384"/>
  <c r="HD384"/>
  <c r="HE384"/>
  <c r="HF384"/>
  <c r="HG384"/>
  <c r="HH384"/>
  <c r="HI384"/>
  <c r="HJ384"/>
  <c r="HK384"/>
  <c r="HL384"/>
  <c r="HM384"/>
  <c r="HN384"/>
  <c r="HO384"/>
  <c r="HP384"/>
  <c r="HQ384"/>
  <c r="HR384"/>
  <c r="HS384"/>
  <c r="HT384"/>
  <c r="HU384"/>
  <c r="HV384"/>
  <c r="HW384"/>
  <c r="HX384"/>
  <c r="HY384"/>
  <c r="HZ384"/>
  <c r="IA384"/>
  <c r="IB384"/>
  <c r="IC384"/>
  <c r="ID384"/>
  <c r="IE384"/>
  <c r="IF384"/>
  <c r="IG384"/>
  <c r="IH384"/>
  <c r="II384"/>
  <c r="IJ384"/>
  <c r="IK384"/>
  <c r="IL384"/>
  <c r="IM384"/>
  <c r="IN384"/>
  <c r="IO384"/>
  <c r="IP384"/>
  <c r="IQ384"/>
  <c r="IR384"/>
  <c r="IS384"/>
  <c r="IT384"/>
  <c r="IU384"/>
  <c r="IV384"/>
  <c r="A383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AE383"/>
  <c r="AF383"/>
  <c r="AG383"/>
  <c r="AH383"/>
  <c r="AI383"/>
  <c r="AJ383"/>
  <c r="AK383"/>
  <c r="AL383"/>
  <c r="AM383"/>
  <c r="AN383"/>
  <c r="AO383"/>
  <c r="AP383"/>
  <c r="AQ383"/>
  <c r="AR383"/>
  <c r="AS383"/>
  <c r="AT383"/>
  <c r="AU383"/>
  <c r="AV383"/>
  <c r="AW383"/>
  <c r="AX383"/>
  <c r="AY383"/>
  <c r="AZ383"/>
  <c r="BA383"/>
  <c r="BB383"/>
  <c r="BC383"/>
  <c r="BD383"/>
  <c r="BE383"/>
  <c r="BF383"/>
  <c r="BG383"/>
  <c r="BH383"/>
  <c r="BI383"/>
  <c r="BJ383"/>
  <c r="BK383"/>
  <c r="BL383"/>
  <c r="BM383"/>
  <c r="BN383"/>
  <c r="BO383"/>
  <c r="BP383"/>
  <c r="BQ383"/>
  <c r="BR383"/>
  <c r="BS383"/>
  <c r="BT383"/>
  <c r="BU383"/>
  <c r="BV383"/>
  <c r="BW383"/>
  <c r="BX383"/>
  <c r="BY383"/>
  <c r="BZ383"/>
  <c r="CA383"/>
  <c r="CB383"/>
  <c r="CC383"/>
  <c r="CD383"/>
  <c r="CE383"/>
  <c r="CF383"/>
  <c r="CG383"/>
  <c r="CH383"/>
  <c r="CI383"/>
  <c r="CJ383"/>
  <c r="CK383"/>
  <c r="CL383"/>
  <c r="CM383"/>
  <c r="CN383"/>
  <c r="CO383"/>
  <c r="CP383"/>
  <c r="CQ383"/>
  <c r="CR383"/>
  <c r="CS383"/>
  <c r="CT383"/>
  <c r="CU383"/>
  <c r="CV383"/>
  <c r="CW383"/>
  <c r="CX383"/>
  <c r="CY383"/>
  <c r="CZ383"/>
  <c r="DA383"/>
  <c r="DB383"/>
  <c r="DC383"/>
  <c r="DD383"/>
  <c r="DE383"/>
  <c r="DF383"/>
  <c r="DG383"/>
  <c r="DH383"/>
  <c r="DI383"/>
  <c r="DJ383"/>
  <c r="DK383"/>
  <c r="DL383"/>
  <c r="DM383"/>
  <c r="DN383"/>
  <c r="DO383"/>
  <c r="DP383"/>
  <c r="DQ383"/>
  <c r="DR383"/>
  <c r="DS383"/>
  <c r="DT383"/>
  <c r="DU383"/>
  <c r="DV383"/>
  <c r="DW383"/>
  <c r="DX383"/>
  <c r="DY383"/>
  <c r="DZ383"/>
  <c r="EA383"/>
  <c r="EB383"/>
  <c r="EC383"/>
  <c r="ED383"/>
  <c r="EE383"/>
  <c r="EF383"/>
  <c r="EG383"/>
  <c r="EH383"/>
  <c r="EI383"/>
  <c r="EJ383"/>
  <c r="EK383"/>
  <c r="EL383"/>
  <c r="EM383"/>
  <c r="EN383"/>
  <c r="EO383"/>
  <c r="EP383"/>
  <c r="EQ383"/>
  <c r="ER383"/>
  <c r="ES383"/>
  <c r="ET383"/>
  <c r="EU383"/>
  <c r="EV383"/>
  <c r="EW383"/>
  <c r="EX383"/>
  <c r="EY383"/>
  <c r="EZ383"/>
  <c r="FA383"/>
  <c r="FB383"/>
  <c r="FC383"/>
  <c r="FD383"/>
  <c r="FE383"/>
  <c r="FF383"/>
  <c r="FG383"/>
  <c r="FH383"/>
  <c r="FI383"/>
  <c r="FJ383"/>
  <c r="FK383"/>
  <c r="FL383"/>
  <c r="FM383"/>
  <c r="FN383"/>
  <c r="FO383"/>
  <c r="FP383"/>
  <c r="FQ383"/>
  <c r="FR383"/>
  <c r="FS383"/>
  <c r="FT383"/>
  <c r="FU383"/>
  <c r="FV383"/>
  <c r="FW383"/>
  <c r="FX383"/>
  <c r="FY383"/>
  <c r="FZ383"/>
  <c r="GA383"/>
  <c r="GB383"/>
  <c r="GC383"/>
  <c r="GD383"/>
  <c r="GE383"/>
  <c r="GF383"/>
  <c r="GG383"/>
  <c r="GH383"/>
  <c r="GI383"/>
  <c r="GJ383"/>
  <c r="GK383"/>
  <c r="GL383"/>
  <c r="GM383"/>
  <c r="GN383"/>
  <c r="GO383"/>
  <c r="GP383"/>
  <c r="GQ383"/>
  <c r="GR383"/>
  <c r="GS383"/>
  <c r="GT383"/>
  <c r="GU383"/>
  <c r="GV383"/>
  <c r="GW383"/>
  <c r="GX383"/>
  <c r="GY383"/>
  <c r="GZ383"/>
  <c r="HA383"/>
  <c r="HB383"/>
  <c r="HC383"/>
  <c r="HD383"/>
  <c r="HE383"/>
  <c r="HF383"/>
  <c r="HG383"/>
  <c r="HH383"/>
  <c r="HI383"/>
  <c r="HJ383"/>
  <c r="HK383"/>
  <c r="HL383"/>
  <c r="HM383"/>
  <c r="HN383"/>
  <c r="HO383"/>
  <c r="HP383"/>
  <c r="HQ383"/>
  <c r="HR383"/>
  <c r="HS383"/>
  <c r="HT383"/>
  <c r="HU383"/>
  <c r="HV383"/>
  <c r="HW383"/>
  <c r="HX383"/>
  <c r="HY383"/>
  <c r="HZ383"/>
  <c r="IA383"/>
  <c r="IB383"/>
  <c r="IC383"/>
  <c r="ID383"/>
  <c r="IE383"/>
  <c r="IF383"/>
  <c r="IG383"/>
  <c r="IH383"/>
  <c r="II383"/>
  <c r="IJ383"/>
  <c r="IK383"/>
  <c r="IL383"/>
  <c r="IM383"/>
  <c r="IN383"/>
  <c r="IO383"/>
  <c r="IP383"/>
  <c r="IQ383"/>
  <c r="IR383"/>
  <c r="IS383"/>
  <c r="IT383"/>
  <c r="IU383"/>
  <c r="IV383"/>
  <c r="A382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AE382"/>
  <c r="AF382"/>
  <c r="AG382"/>
  <c r="AH382"/>
  <c r="AI382"/>
  <c r="AJ382"/>
  <c r="AK382"/>
  <c r="AL382"/>
  <c r="AM382"/>
  <c r="AN382"/>
  <c r="AO382"/>
  <c r="AP382"/>
  <c r="AQ382"/>
  <c r="AR382"/>
  <c r="AS382"/>
  <c r="AT382"/>
  <c r="AU382"/>
  <c r="AV382"/>
  <c r="AW382"/>
  <c r="AX382"/>
  <c r="AY382"/>
  <c r="AZ382"/>
  <c r="BA382"/>
  <c r="BB382"/>
  <c r="BC382"/>
  <c r="BD382"/>
  <c r="BE382"/>
  <c r="BF382"/>
  <c r="BG382"/>
  <c r="BH382"/>
  <c r="BI382"/>
  <c r="BJ382"/>
  <c r="BK382"/>
  <c r="BL382"/>
  <c r="BM382"/>
  <c r="BN382"/>
  <c r="BO382"/>
  <c r="BP382"/>
  <c r="BQ382"/>
  <c r="BR382"/>
  <c r="BS382"/>
  <c r="BT382"/>
  <c r="BU382"/>
  <c r="BV382"/>
  <c r="BW382"/>
  <c r="BX382"/>
  <c r="BY382"/>
  <c r="BZ382"/>
  <c r="CA382"/>
  <c r="CB382"/>
  <c r="CC382"/>
  <c r="CD382"/>
  <c r="CE382"/>
  <c r="CF382"/>
  <c r="CG382"/>
  <c r="CH382"/>
  <c r="CI382"/>
  <c r="CJ382"/>
  <c r="CK382"/>
  <c r="CL382"/>
  <c r="CM382"/>
  <c r="CN382"/>
  <c r="CO382"/>
  <c r="CP382"/>
  <c r="CQ382"/>
  <c r="CR382"/>
  <c r="CS382"/>
  <c r="CT382"/>
  <c r="CU382"/>
  <c r="CV382"/>
  <c r="CW382"/>
  <c r="CX382"/>
  <c r="CY382"/>
  <c r="CZ382"/>
  <c r="DA382"/>
  <c r="DB382"/>
  <c r="DC382"/>
  <c r="DD382"/>
  <c r="DE382"/>
  <c r="DF382"/>
  <c r="DG382"/>
  <c r="DH382"/>
  <c r="DI382"/>
  <c r="DJ382"/>
  <c r="DK382"/>
  <c r="DL382"/>
  <c r="DM382"/>
  <c r="DN382"/>
  <c r="DO382"/>
  <c r="DP382"/>
  <c r="DQ382"/>
  <c r="DR382"/>
  <c r="DS382"/>
  <c r="DT382"/>
  <c r="DU382"/>
  <c r="DV382"/>
  <c r="DW382"/>
  <c r="DX382"/>
  <c r="DY382"/>
  <c r="DZ382"/>
  <c r="EA382"/>
  <c r="EB382"/>
  <c r="EC382"/>
  <c r="ED382"/>
  <c r="EE382"/>
  <c r="EF382"/>
  <c r="EG382"/>
  <c r="EH382"/>
  <c r="EI382"/>
  <c r="EJ382"/>
  <c r="EK382"/>
  <c r="EL382"/>
  <c r="EM382"/>
  <c r="EN382"/>
  <c r="EO382"/>
  <c r="EP382"/>
  <c r="EQ382"/>
  <c r="ER382"/>
  <c r="ES382"/>
  <c r="ET382"/>
  <c r="EU382"/>
  <c r="EV382"/>
  <c r="EW382"/>
  <c r="EX382"/>
  <c r="EY382"/>
  <c r="EZ382"/>
  <c r="FA382"/>
  <c r="FB382"/>
  <c r="FC382"/>
  <c r="FD382"/>
  <c r="FE382"/>
  <c r="FF382"/>
  <c r="FG382"/>
  <c r="FH382"/>
  <c r="FI382"/>
  <c r="FJ382"/>
  <c r="FK382"/>
  <c r="FL382"/>
  <c r="FM382"/>
  <c r="FN382"/>
  <c r="FO382"/>
  <c r="FP382"/>
  <c r="FQ382"/>
  <c r="FR382"/>
  <c r="FS382"/>
  <c r="FT382"/>
  <c r="FU382"/>
  <c r="FV382"/>
  <c r="FW382"/>
  <c r="FX382"/>
  <c r="FY382"/>
  <c r="FZ382"/>
  <c r="GA382"/>
  <c r="GB382"/>
  <c r="GC382"/>
  <c r="GD382"/>
  <c r="GE382"/>
  <c r="GF382"/>
  <c r="GG382"/>
  <c r="GH382"/>
  <c r="GI382"/>
  <c r="GJ382"/>
  <c r="GK382"/>
  <c r="GL382"/>
  <c r="GM382"/>
  <c r="GN382"/>
  <c r="GO382"/>
  <c r="GP382"/>
  <c r="GQ382"/>
  <c r="GR382"/>
  <c r="GS382"/>
  <c r="GT382"/>
  <c r="GU382"/>
  <c r="GV382"/>
  <c r="GW382"/>
  <c r="GX382"/>
  <c r="GY382"/>
  <c r="GZ382"/>
  <c r="HA382"/>
  <c r="HB382"/>
  <c r="HC382"/>
  <c r="HD382"/>
  <c r="HE382"/>
  <c r="HF382"/>
  <c r="HG382"/>
  <c r="HH382"/>
  <c r="HI382"/>
  <c r="HJ382"/>
  <c r="HK382"/>
  <c r="HL382"/>
  <c r="HM382"/>
  <c r="HN382"/>
  <c r="HO382"/>
  <c r="HP382"/>
  <c r="HQ382"/>
  <c r="HR382"/>
  <c r="HS382"/>
  <c r="HT382"/>
  <c r="HU382"/>
  <c r="HV382"/>
  <c r="HW382"/>
  <c r="HX382"/>
  <c r="HY382"/>
  <c r="HZ382"/>
  <c r="IA382"/>
  <c r="IB382"/>
  <c r="IC382"/>
  <c r="ID382"/>
  <c r="IE382"/>
  <c r="IF382"/>
  <c r="IG382"/>
  <c r="IH382"/>
  <c r="II382"/>
  <c r="IJ382"/>
  <c r="IK382"/>
  <c r="IL382"/>
  <c r="IM382"/>
  <c r="IN382"/>
  <c r="IO382"/>
  <c r="IP382"/>
  <c r="IQ382"/>
  <c r="IR382"/>
  <c r="IS382"/>
  <c r="IT382"/>
  <c r="IU382"/>
  <c r="IV382"/>
  <c r="A381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AE381"/>
  <c r="AF381"/>
  <c r="AG381"/>
  <c r="AH381"/>
  <c r="AI381"/>
  <c r="AJ381"/>
  <c r="AK381"/>
  <c r="AL381"/>
  <c r="AM381"/>
  <c r="AN381"/>
  <c r="AO381"/>
  <c r="AP381"/>
  <c r="AQ381"/>
  <c r="AR381"/>
  <c r="AS381"/>
  <c r="AT381"/>
  <c r="AU381"/>
  <c r="AV381"/>
  <c r="AW381"/>
  <c r="AX381"/>
  <c r="AY381"/>
  <c r="AZ381"/>
  <c r="BA381"/>
  <c r="BB381"/>
  <c r="BC381"/>
  <c r="BD381"/>
  <c r="BE381"/>
  <c r="BF381"/>
  <c r="BG381"/>
  <c r="BH381"/>
  <c r="BI381"/>
  <c r="BJ381"/>
  <c r="BK381"/>
  <c r="BL381"/>
  <c r="BM381"/>
  <c r="BN381"/>
  <c r="BO381"/>
  <c r="BP381"/>
  <c r="BQ381"/>
  <c r="BR381"/>
  <c r="BS381"/>
  <c r="BT381"/>
  <c r="BU381"/>
  <c r="BV381"/>
  <c r="BW381"/>
  <c r="BX381"/>
  <c r="BY381"/>
  <c r="BZ381"/>
  <c r="CA381"/>
  <c r="CB381"/>
  <c r="CC381"/>
  <c r="CD381"/>
  <c r="CE381"/>
  <c r="CF381"/>
  <c r="CG381"/>
  <c r="CH381"/>
  <c r="CI381"/>
  <c r="CJ381"/>
  <c r="CK381"/>
  <c r="CL381"/>
  <c r="CM381"/>
  <c r="CN381"/>
  <c r="CO381"/>
  <c r="CP381"/>
  <c r="CQ381"/>
  <c r="CR381"/>
  <c r="CS381"/>
  <c r="CT381"/>
  <c r="CU381"/>
  <c r="CV381"/>
  <c r="CW381"/>
  <c r="CX381"/>
  <c r="CY381"/>
  <c r="CZ381"/>
  <c r="DA381"/>
  <c r="DB381"/>
  <c r="DC381"/>
  <c r="DD381"/>
  <c r="DE381"/>
  <c r="DF381"/>
  <c r="DG381"/>
  <c r="DH381"/>
  <c r="DI381"/>
  <c r="DJ381"/>
  <c r="DK381"/>
  <c r="DL381"/>
  <c r="DM381"/>
  <c r="DN381"/>
  <c r="DO381"/>
  <c r="DP381"/>
  <c r="DQ381"/>
  <c r="DR381"/>
  <c r="DS381"/>
  <c r="DT381"/>
  <c r="DU381"/>
  <c r="DV381"/>
  <c r="DW381"/>
  <c r="DX381"/>
  <c r="DY381"/>
  <c r="DZ381"/>
  <c r="EA381"/>
  <c r="EB381"/>
  <c r="EC381"/>
  <c r="ED381"/>
  <c r="EE381"/>
  <c r="EF381"/>
  <c r="EG381"/>
  <c r="EH381"/>
  <c r="EI381"/>
  <c r="EJ381"/>
  <c r="EK381"/>
  <c r="EL381"/>
  <c r="EM381"/>
  <c r="EN381"/>
  <c r="EO381"/>
  <c r="EP381"/>
  <c r="EQ381"/>
  <c r="ER381"/>
  <c r="ES381"/>
  <c r="ET381"/>
  <c r="EU381"/>
  <c r="EV381"/>
  <c r="EW381"/>
  <c r="EX381"/>
  <c r="EY381"/>
  <c r="EZ381"/>
  <c r="FA381"/>
  <c r="FB381"/>
  <c r="FC381"/>
  <c r="FD381"/>
  <c r="FE381"/>
  <c r="FF381"/>
  <c r="FG381"/>
  <c r="FH381"/>
  <c r="FI381"/>
  <c r="FJ381"/>
  <c r="FK381"/>
  <c r="FL381"/>
  <c r="FM381"/>
  <c r="FN381"/>
  <c r="FO381"/>
  <c r="FP381"/>
  <c r="FQ381"/>
  <c r="FR381"/>
  <c r="FS381"/>
  <c r="FT381"/>
  <c r="FU381"/>
  <c r="FV381"/>
  <c r="FW381"/>
  <c r="FX381"/>
  <c r="FY381"/>
  <c r="FZ381"/>
  <c r="GA381"/>
  <c r="GB381"/>
  <c r="GC381"/>
  <c r="GD381"/>
  <c r="GE381"/>
  <c r="GF381"/>
  <c r="GG381"/>
  <c r="GH381"/>
  <c r="GI381"/>
  <c r="GJ381"/>
  <c r="GK381"/>
  <c r="GL381"/>
  <c r="GM381"/>
  <c r="GN381"/>
  <c r="GO381"/>
  <c r="GP381"/>
  <c r="GQ381"/>
  <c r="GR381"/>
  <c r="GS381"/>
  <c r="GT381"/>
  <c r="GU381"/>
  <c r="GV381"/>
  <c r="GW381"/>
  <c r="GX381"/>
  <c r="GY381"/>
  <c r="GZ381"/>
  <c r="HA381"/>
  <c r="HB381"/>
  <c r="HC381"/>
  <c r="HD381"/>
  <c r="HE381"/>
  <c r="HF381"/>
  <c r="HG381"/>
  <c r="HH381"/>
  <c r="HI381"/>
  <c r="HJ381"/>
  <c r="HK381"/>
  <c r="HL381"/>
  <c r="HM381"/>
  <c r="HN381"/>
  <c r="HO381"/>
  <c r="HP381"/>
  <c r="HQ381"/>
  <c r="HR381"/>
  <c r="HS381"/>
  <c r="HT381"/>
  <c r="HU381"/>
  <c r="HV381"/>
  <c r="HW381"/>
  <c r="HX381"/>
  <c r="HY381"/>
  <c r="HZ381"/>
  <c r="IA381"/>
  <c r="IB381"/>
  <c r="IC381"/>
  <c r="ID381"/>
  <c r="IE381"/>
  <c r="IF381"/>
  <c r="IG381"/>
  <c r="IH381"/>
  <c r="II381"/>
  <c r="IJ381"/>
  <c r="IK381"/>
  <c r="IL381"/>
  <c r="IM381"/>
  <c r="IN381"/>
  <c r="IO381"/>
  <c r="IP381"/>
  <c r="IQ381"/>
  <c r="IR381"/>
  <c r="IS381"/>
  <c r="IT381"/>
  <c r="IU381"/>
  <c r="IV381"/>
  <c r="A380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AE380"/>
  <c r="AF380"/>
  <c r="AG380"/>
  <c r="AH380"/>
  <c r="AI380"/>
  <c r="AJ380"/>
  <c r="AK380"/>
  <c r="AL380"/>
  <c r="AM380"/>
  <c r="AN380"/>
  <c r="AO380"/>
  <c r="AP380"/>
  <c r="AQ380"/>
  <c r="AR380"/>
  <c r="AS380"/>
  <c r="AT380"/>
  <c r="AU380"/>
  <c r="AV380"/>
  <c r="AW380"/>
  <c r="AX380"/>
  <c r="AY380"/>
  <c r="AZ380"/>
  <c r="BA380"/>
  <c r="BB380"/>
  <c r="BC380"/>
  <c r="BD380"/>
  <c r="BE380"/>
  <c r="BF380"/>
  <c r="BG380"/>
  <c r="BH380"/>
  <c r="BI380"/>
  <c r="BJ380"/>
  <c r="BK380"/>
  <c r="BL380"/>
  <c r="BM380"/>
  <c r="BN380"/>
  <c r="BO380"/>
  <c r="BP380"/>
  <c r="BQ380"/>
  <c r="BR380"/>
  <c r="BS380"/>
  <c r="BT380"/>
  <c r="BU380"/>
  <c r="BV380"/>
  <c r="BW380"/>
  <c r="BX380"/>
  <c r="BY380"/>
  <c r="BZ380"/>
  <c r="CA380"/>
  <c r="CB380"/>
  <c r="CC380"/>
  <c r="CD380"/>
  <c r="CE380"/>
  <c r="CF380"/>
  <c r="CG380"/>
  <c r="CH380"/>
  <c r="CI380"/>
  <c r="CJ380"/>
  <c r="CK380"/>
  <c r="CL380"/>
  <c r="CM380"/>
  <c r="CN380"/>
  <c r="CO380"/>
  <c r="CP380"/>
  <c r="CQ380"/>
  <c r="CR380"/>
  <c r="CS380"/>
  <c r="CT380"/>
  <c r="CU380"/>
  <c r="CV380"/>
  <c r="CW380"/>
  <c r="CX380"/>
  <c r="CY380"/>
  <c r="CZ380"/>
  <c r="DA380"/>
  <c r="DB380"/>
  <c r="DC380"/>
  <c r="DD380"/>
  <c r="DE380"/>
  <c r="DF380"/>
  <c r="DG380"/>
  <c r="DH380"/>
  <c r="DI380"/>
  <c r="DJ380"/>
  <c r="DK380"/>
  <c r="DL380"/>
  <c r="DM380"/>
  <c r="DN380"/>
  <c r="DO380"/>
  <c r="DP380"/>
  <c r="DQ380"/>
  <c r="DR380"/>
  <c r="DS380"/>
  <c r="DT380"/>
  <c r="DU380"/>
  <c r="DV380"/>
  <c r="DW380"/>
  <c r="DX380"/>
  <c r="DY380"/>
  <c r="DZ380"/>
  <c r="EA380"/>
  <c r="EB380"/>
  <c r="EC380"/>
  <c r="ED380"/>
  <c r="EE380"/>
  <c r="EF380"/>
  <c r="EG380"/>
  <c r="EH380"/>
  <c r="EI380"/>
  <c r="EJ380"/>
  <c r="EK380"/>
  <c r="EL380"/>
  <c r="EM380"/>
  <c r="EN380"/>
  <c r="EO380"/>
  <c r="EP380"/>
  <c r="EQ380"/>
  <c r="ER380"/>
  <c r="ES380"/>
  <c r="ET380"/>
  <c r="EU380"/>
  <c r="EV380"/>
  <c r="EW380"/>
  <c r="EX380"/>
  <c r="EY380"/>
  <c r="EZ380"/>
  <c r="FA380"/>
  <c r="FB380"/>
  <c r="FC380"/>
  <c r="FD380"/>
  <c r="FE380"/>
  <c r="FF380"/>
  <c r="FG380"/>
  <c r="FH380"/>
  <c r="FI380"/>
  <c r="FJ380"/>
  <c r="FK380"/>
  <c r="FL380"/>
  <c r="FM380"/>
  <c r="FN380"/>
  <c r="FO380"/>
  <c r="FP380"/>
  <c r="FQ380"/>
  <c r="FR380"/>
  <c r="FS380"/>
  <c r="FT380"/>
  <c r="FU380"/>
  <c r="FV380"/>
  <c r="FW380"/>
  <c r="FX380"/>
  <c r="FY380"/>
  <c r="FZ380"/>
  <c r="GA380"/>
  <c r="GB380"/>
  <c r="GC380"/>
  <c r="GD380"/>
  <c r="GE380"/>
  <c r="GF380"/>
  <c r="GG380"/>
  <c r="GH380"/>
  <c r="GI380"/>
  <c r="GJ380"/>
  <c r="GK380"/>
  <c r="GL380"/>
  <c r="GM380"/>
  <c r="GN380"/>
  <c r="GO380"/>
  <c r="GP380"/>
  <c r="GQ380"/>
  <c r="GR380"/>
  <c r="GS380"/>
  <c r="GT380"/>
  <c r="GU380"/>
  <c r="GV380"/>
  <c r="GW380"/>
  <c r="GX380"/>
  <c r="GY380"/>
  <c r="GZ380"/>
  <c r="HA380"/>
  <c r="HB380"/>
  <c r="HC380"/>
  <c r="HD380"/>
  <c r="HE380"/>
  <c r="HF380"/>
  <c r="HG380"/>
  <c r="HH380"/>
  <c r="HI380"/>
  <c r="HJ380"/>
  <c r="HK380"/>
  <c r="HL380"/>
  <c r="HM380"/>
  <c r="HN380"/>
  <c r="HO380"/>
  <c r="HP380"/>
  <c r="HQ380"/>
  <c r="HR380"/>
  <c r="HS380"/>
  <c r="HT380"/>
  <c r="HU380"/>
  <c r="HV380"/>
  <c r="HW380"/>
  <c r="HX380"/>
  <c r="HY380"/>
  <c r="HZ380"/>
  <c r="IA380"/>
  <c r="IB380"/>
  <c r="IC380"/>
  <c r="ID380"/>
  <c r="IE380"/>
  <c r="IF380"/>
  <c r="IG380"/>
  <c r="IH380"/>
  <c r="II380"/>
  <c r="IJ380"/>
  <c r="IK380"/>
  <c r="IL380"/>
  <c r="IM380"/>
  <c r="IN380"/>
  <c r="IO380"/>
  <c r="IP380"/>
  <c r="IQ380"/>
  <c r="IR380"/>
  <c r="IS380"/>
  <c r="IT380"/>
  <c r="IU380"/>
  <c r="IV380"/>
  <c r="A379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AE379"/>
  <c r="AF379"/>
  <c r="AG379"/>
  <c r="AH379"/>
  <c r="AI379"/>
  <c r="AJ379"/>
  <c r="AK379"/>
  <c r="AL379"/>
  <c r="AM379"/>
  <c r="AN379"/>
  <c r="AO379"/>
  <c r="AP379"/>
  <c r="AQ379"/>
  <c r="AR379"/>
  <c r="AS379"/>
  <c r="AT379"/>
  <c r="AU379"/>
  <c r="AV379"/>
  <c r="AW379"/>
  <c r="AX379"/>
  <c r="AY379"/>
  <c r="AZ379"/>
  <c r="BA379"/>
  <c r="BB379"/>
  <c r="BC379"/>
  <c r="BD379"/>
  <c r="BE379"/>
  <c r="BF379"/>
  <c r="BG379"/>
  <c r="BH379"/>
  <c r="BI379"/>
  <c r="BJ379"/>
  <c r="BK379"/>
  <c r="BL379"/>
  <c r="BM379"/>
  <c r="BN379"/>
  <c r="BO379"/>
  <c r="BP379"/>
  <c r="BQ379"/>
  <c r="BR379"/>
  <c r="BS379"/>
  <c r="BT379"/>
  <c r="BU379"/>
  <c r="BV379"/>
  <c r="BW379"/>
  <c r="BX379"/>
  <c r="BY379"/>
  <c r="BZ379"/>
  <c r="CA379"/>
  <c r="CB379"/>
  <c r="CC379"/>
  <c r="CD379"/>
  <c r="CE379"/>
  <c r="CF379"/>
  <c r="CG379"/>
  <c r="CH379"/>
  <c r="CI379"/>
  <c r="CJ379"/>
  <c r="CK379"/>
  <c r="CL379"/>
  <c r="CM379"/>
  <c r="CN379"/>
  <c r="CO379"/>
  <c r="CP379"/>
  <c r="CQ379"/>
  <c r="CR379"/>
  <c r="CS379"/>
  <c r="CT379"/>
  <c r="CU379"/>
  <c r="CV379"/>
  <c r="CW379"/>
  <c r="CX379"/>
  <c r="CY379"/>
  <c r="CZ379"/>
  <c r="DA379"/>
  <c r="DB379"/>
  <c r="DC379"/>
  <c r="DD379"/>
  <c r="DE379"/>
  <c r="DF379"/>
  <c r="DG379"/>
  <c r="DH379"/>
  <c r="DI379"/>
  <c r="DJ379"/>
  <c r="DK379"/>
  <c r="DL379"/>
  <c r="DM379"/>
  <c r="DN379"/>
  <c r="DO379"/>
  <c r="DP379"/>
  <c r="DQ379"/>
  <c r="DR379"/>
  <c r="DS379"/>
  <c r="DT379"/>
  <c r="DU379"/>
  <c r="DV379"/>
  <c r="DW379"/>
  <c r="DX379"/>
  <c r="DY379"/>
  <c r="DZ379"/>
  <c r="EA379"/>
  <c r="EB379"/>
  <c r="EC379"/>
  <c r="ED379"/>
  <c r="EE379"/>
  <c r="EF379"/>
  <c r="EG379"/>
  <c r="EH379"/>
  <c r="EI379"/>
  <c r="EJ379"/>
  <c r="EK379"/>
  <c r="EL379"/>
  <c r="EM379"/>
  <c r="EN379"/>
  <c r="EO379"/>
  <c r="EP379"/>
  <c r="EQ379"/>
  <c r="ER379"/>
  <c r="ES379"/>
  <c r="ET379"/>
  <c r="EU379"/>
  <c r="EV379"/>
  <c r="EW379"/>
  <c r="EX379"/>
  <c r="EY379"/>
  <c r="EZ379"/>
  <c r="FA379"/>
  <c r="FB379"/>
  <c r="FC379"/>
  <c r="FD379"/>
  <c r="FE379"/>
  <c r="FF379"/>
  <c r="FG379"/>
  <c r="FH379"/>
  <c r="FI379"/>
  <c r="FJ379"/>
  <c r="FK379"/>
  <c r="FL379"/>
  <c r="FM379"/>
  <c r="FN379"/>
  <c r="FO379"/>
  <c r="FP379"/>
  <c r="FQ379"/>
  <c r="FR379"/>
  <c r="FS379"/>
  <c r="FT379"/>
  <c r="FU379"/>
  <c r="FV379"/>
  <c r="FW379"/>
  <c r="FX379"/>
  <c r="FY379"/>
  <c r="FZ379"/>
  <c r="GA379"/>
  <c r="GB379"/>
  <c r="GC379"/>
  <c r="GD379"/>
  <c r="GE379"/>
  <c r="GF379"/>
  <c r="GG379"/>
  <c r="GH379"/>
  <c r="GI379"/>
  <c r="GJ379"/>
  <c r="GK379"/>
  <c r="GL379"/>
  <c r="GM379"/>
  <c r="GN379"/>
  <c r="GO379"/>
  <c r="GP379"/>
  <c r="GQ379"/>
  <c r="GR379"/>
  <c r="GS379"/>
  <c r="GT379"/>
  <c r="GU379"/>
  <c r="GV379"/>
  <c r="GW379"/>
  <c r="GX379"/>
  <c r="GY379"/>
  <c r="GZ379"/>
  <c r="HA379"/>
  <c r="HB379"/>
  <c r="HC379"/>
  <c r="HD379"/>
  <c r="HE379"/>
  <c r="HF379"/>
  <c r="HG379"/>
  <c r="HH379"/>
  <c r="HI379"/>
  <c r="HJ379"/>
  <c r="HK379"/>
  <c r="HL379"/>
  <c r="HM379"/>
  <c r="HN379"/>
  <c r="HO379"/>
  <c r="HP379"/>
  <c r="HQ379"/>
  <c r="HR379"/>
  <c r="HS379"/>
  <c r="HT379"/>
  <c r="HU379"/>
  <c r="HV379"/>
  <c r="HW379"/>
  <c r="HX379"/>
  <c r="HY379"/>
  <c r="HZ379"/>
  <c r="IA379"/>
  <c r="IB379"/>
  <c r="IC379"/>
  <c r="ID379"/>
  <c r="IE379"/>
  <c r="IF379"/>
  <c r="IG379"/>
  <c r="IH379"/>
  <c r="II379"/>
  <c r="IJ379"/>
  <c r="IK379"/>
  <c r="IL379"/>
  <c r="IM379"/>
  <c r="IN379"/>
  <c r="IO379"/>
  <c r="IP379"/>
  <c r="IQ379"/>
  <c r="IR379"/>
  <c r="IS379"/>
  <c r="IT379"/>
  <c r="IU379"/>
  <c r="IV379"/>
  <c r="A378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AE378"/>
  <c r="AF378"/>
  <c r="AG378"/>
  <c r="AH378"/>
  <c r="AI378"/>
  <c r="AJ378"/>
  <c r="AK378"/>
  <c r="AL378"/>
  <c r="AM378"/>
  <c r="AN378"/>
  <c r="AO378"/>
  <c r="AP378"/>
  <c r="AQ378"/>
  <c r="AR378"/>
  <c r="AS378"/>
  <c r="AT378"/>
  <c r="AU378"/>
  <c r="AV378"/>
  <c r="AW378"/>
  <c r="AX378"/>
  <c r="AY378"/>
  <c r="AZ378"/>
  <c r="BA378"/>
  <c r="BB378"/>
  <c r="BC378"/>
  <c r="BD378"/>
  <c r="BE378"/>
  <c r="BF378"/>
  <c r="BG378"/>
  <c r="BH378"/>
  <c r="BI378"/>
  <c r="BJ378"/>
  <c r="BK378"/>
  <c r="BL378"/>
  <c r="BM378"/>
  <c r="BN378"/>
  <c r="BO378"/>
  <c r="BP378"/>
  <c r="BQ378"/>
  <c r="BR378"/>
  <c r="BS378"/>
  <c r="BT378"/>
  <c r="BU378"/>
  <c r="BV378"/>
  <c r="BW378"/>
  <c r="BX378"/>
  <c r="BY378"/>
  <c r="BZ378"/>
  <c r="CA378"/>
  <c r="CB378"/>
  <c r="CC378"/>
  <c r="CD378"/>
  <c r="CE378"/>
  <c r="CF378"/>
  <c r="CG378"/>
  <c r="CH378"/>
  <c r="CI378"/>
  <c r="CJ378"/>
  <c r="CK378"/>
  <c r="CL378"/>
  <c r="CM378"/>
  <c r="CN378"/>
  <c r="CO378"/>
  <c r="CP378"/>
  <c r="CQ378"/>
  <c r="CR378"/>
  <c r="CS378"/>
  <c r="CT378"/>
  <c r="CU378"/>
  <c r="CV378"/>
  <c r="CW378"/>
  <c r="CX378"/>
  <c r="CY378"/>
  <c r="CZ378"/>
  <c r="DA378"/>
  <c r="DB378"/>
  <c r="DC378"/>
  <c r="DD378"/>
  <c r="DE378"/>
  <c r="DF378"/>
  <c r="DG378"/>
  <c r="DH378"/>
  <c r="DI378"/>
  <c r="DJ378"/>
  <c r="DK378"/>
  <c r="DL378"/>
  <c r="DM378"/>
  <c r="DN378"/>
  <c r="DO378"/>
  <c r="DP378"/>
  <c r="DQ378"/>
  <c r="DR378"/>
  <c r="DS378"/>
  <c r="DT378"/>
  <c r="DU378"/>
  <c r="DV378"/>
  <c r="DW378"/>
  <c r="DX378"/>
  <c r="DY378"/>
  <c r="DZ378"/>
  <c r="EA378"/>
  <c r="EB378"/>
  <c r="EC378"/>
  <c r="ED378"/>
  <c r="EE378"/>
  <c r="EF378"/>
  <c r="EG378"/>
  <c r="EH378"/>
  <c r="EI378"/>
  <c r="EJ378"/>
  <c r="EK378"/>
  <c r="EL378"/>
  <c r="EM378"/>
  <c r="EN378"/>
  <c r="EO378"/>
  <c r="EP378"/>
  <c r="EQ378"/>
  <c r="ER378"/>
  <c r="ES378"/>
  <c r="ET378"/>
  <c r="EU378"/>
  <c r="EV378"/>
  <c r="EW378"/>
  <c r="EX378"/>
  <c r="EY378"/>
  <c r="EZ378"/>
  <c r="FA378"/>
  <c r="FB378"/>
  <c r="FC378"/>
  <c r="FD378"/>
  <c r="FE378"/>
  <c r="FF378"/>
  <c r="FG378"/>
  <c r="FH378"/>
  <c r="FI378"/>
  <c r="FJ378"/>
  <c r="FK378"/>
  <c r="FL378"/>
  <c r="FM378"/>
  <c r="FN378"/>
  <c r="FO378"/>
  <c r="FP378"/>
  <c r="FQ378"/>
  <c r="FR378"/>
  <c r="FS378"/>
  <c r="FT378"/>
  <c r="FU378"/>
  <c r="FV378"/>
  <c r="FW378"/>
  <c r="FX378"/>
  <c r="FY378"/>
  <c r="FZ378"/>
  <c r="GA378"/>
  <c r="GB378"/>
  <c r="GC378"/>
  <c r="GD378"/>
  <c r="GE378"/>
  <c r="GF378"/>
  <c r="GG378"/>
  <c r="GH378"/>
  <c r="GI378"/>
  <c r="GJ378"/>
  <c r="GK378"/>
  <c r="GL378"/>
  <c r="GM378"/>
  <c r="GN378"/>
  <c r="GO378"/>
  <c r="GP378"/>
  <c r="GQ378"/>
  <c r="GR378"/>
  <c r="GS378"/>
  <c r="GT378"/>
  <c r="GU378"/>
  <c r="GV378"/>
  <c r="GW378"/>
  <c r="GX378"/>
  <c r="GY378"/>
  <c r="GZ378"/>
  <c r="HA378"/>
  <c r="HB378"/>
  <c r="HC378"/>
  <c r="HD378"/>
  <c r="HE378"/>
  <c r="HF378"/>
  <c r="HG378"/>
  <c r="HH378"/>
  <c r="HI378"/>
  <c r="HJ378"/>
  <c r="HK378"/>
  <c r="HL378"/>
  <c r="HM378"/>
  <c r="HN378"/>
  <c r="HO378"/>
  <c r="HP378"/>
  <c r="HQ378"/>
  <c r="HR378"/>
  <c r="HS378"/>
  <c r="HT378"/>
  <c r="HU378"/>
  <c r="HV378"/>
  <c r="HW378"/>
  <c r="HX378"/>
  <c r="HY378"/>
  <c r="HZ378"/>
  <c r="IA378"/>
  <c r="IB378"/>
  <c r="IC378"/>
  <c r="ID378"/>
  <c r="IE378"/>
  <c r="IF378"/>
  <c r="IG378"/>
  <c r="IH378"/>
  <c r="II378"/>
  <c r="IJ378"/>
  <c r="IK378"/>
  <c r="IL378"/>
  <c r="IM378"/>
  <c r="IN378"/>
  <c r="IO378"/>
  <c r="IP378"/>
  <c r="IQ378"/>
  <c r="IR378"/>
  <c r="IS378"/>
  <c r="IT378"/>
  <c r="IU378"/>
  <c r="IV378"/>
  <c r="A377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AE377"/>
  <c r="AF377"/>
  <c r="AG377"/>
  <c r="AH377"/>
  <c r="AI377"/>
  <c r="AJ377"/>
  <c r="AK377"/>
  <c r="AL377"/>
  <c r="AM377"/>
  <c r="AN377"/>
  <c r="AO377"/>
  <c r="AP377"/>
  <c r="AQ377"/>
  <c r="AR377"/>
  <c r="AS377"/>
  <c r="AT377"/>
  <c r="AU377"/>
  <c r="AV377"/>
  <c r="AW377"/>
  <c r="AX377"/>
  <c r="AY377"/>
  <c r="AZ377"/>
  <c r="BA377"/>
  <c r="BB377"/>
  <c r="BC377"/>
  <c r="BD377"/>
  <c r="BE377"/>
  <c r="BF377"/>
  <c r="BG377"/>
  <c r="BH377"/>
  <c r="BI377"/>
  <c r="BJ377"/>
  <c r="BK377"/>
  <c r="BL377"/>
  <c r="BM377"/>
  <c r="BN377"/>
  <c r="BO377"/>
  <c r="BP377"/>
  <c r="BQ377"/>
  <c r="BR377"/>
  <c r="BS377"/>
  <c r="BT377"/>
  <c r="BU377"/>
  <c r="BV377"/>
  <c r="BW377"/>
  <c r="BX377"/>
  <c r="BY377"/>
  <c r="BZ377"/>
  <c r="CA377"/>
  <c r="CB377"/>
  <c r="CC377"/>
  <c r="CD377"/>
  <c r="CE377"/>
  <c r="CF377"/>
  <c r="CG377"/>
  <c r="CH377"/>
  <c r="CI377"/>
  <c r="CJ377"/>
  <c r="CK377"/>
  <c r="CL377"/>
  <c r="CM377"/>
  <c r="CN377"/>
  <c r="CO377"/>
  <c r="CP377"/>
  <c r="CQ377"/>
  <c r="CR377"/>
  <c r="CS377"/>
  <c r="CT377"/>
  <c r="CU377"/>
  <c r="CV377"/>
  <c r="CW377"/>
  <c r="CX377"/>
  <c r="CY377"/>
  <c r="CZ377"/>
  <c r="DA377"/>
  <c r="DB377"/>
  <c r="DC377"/>
  <c r="DD377"/>
  <c r="DE377"/>
  <c r="DF377"/>
  <c r="DG377"/>
  <c r="DH377"/>
  <c r="DI377"/>
  <c r="DJ377"/>
  <c r="DK377"/>
  <c r="DL377"/>
  <c r="DM377"/>
  <c r="DN377"/>
  <c r="DO377"/>
  <c r="DP377"/>
  <c r="DQ377"/>
  <c r="DR377"/>
  <c r="DS377"/>
  <c r="DT377"/>
  <c r="DU377"/>
  <c r="DV377"/>
  <c r="DW377"/>
  <c r="DX377"/>
  <c r="DY377"/>
  <c r="DZ377"/>
  <c r="EA377"/>
  <c r="EB377"/>
  <c r="EC377"/>
  <c r="ED377"/>
  <c r="EE377"/>
  <c r="EF377"/>
  <c r="EG377"/>
  <c r="EH377"/>
  <c r="EI377"/>
  <c r="EJ377"/>
  <c r="EK377"/>
  <c r="EL377"/>
  <c r="EM377"/>
  <c r="EN377"/>
  <c r="EO377"/>
  <c r="EP377"/>
  <c r="EQ377"/>
  <c r="ER377"/>
  <c r="ES377"/>
  <c r="ET377"/>
  <c r="EU377"/>
  <c r="EV377"/>
  <c r="EW377"/>
  <c r="EX377"/>
  <c r="EY377"/>
  <c r="EZ377"/>
  <c r="FA377"/>
  <c r="FB377"/>
  <c r="FC377"/>
  <c r="FD377"/>
  <c r="FE377"/>
  <c r="FF377"/>
  <c r="FG377"/>
  <c r="FH377"/>
  <c r="FI377"/>
  <c r="FJ377"/>
  <c r="FK377"/>
  <c r="FL377"/>
  <c r="FM377"/>
  <c r="FN377"/>
  <c r="FO377"/>
  <c r="FP377"/>
  <c r="FQ377"/>
  <c r="FR377"/>
  <c r="FS377"/>
  <c r="FT377"/>
  <c r="FU377"/>
  <c r="FV377"/>
  <c r="FW377"/>
  <c r="FX377"/>
  <c r="FY377"/>
  <c r="FZ377"/>
  <c r="GA377"/>
  <c r="GB377"/>
  <c r="GC377"/>
  <c r="GD377"/>
  <c r="GE377"/>
  <c r="GF377"/>
  <c r="GG377"/>
  <c r="GH377"/>
  <c r="GI377"/>
  <c r="GJ377"/>
  <c r="GK377"/>
  <c r="GL377"/>
  <c r="GM377"/>
  <c r="GN377"/>
  <c r="GO377"/>
  <c r="GP377"/>
  <c r="GQ377"/>
  <c r="GR377"/>
  <c r="GS377"/>
  <c r="GT377"/>
  <c r="GU377"/>
  <c r="GV377"/>
  <c r="GW377"/>
  <c r="GX377"/>
  <c r="GY377"/>
  <c r="GZ377"/>
  <c r="HA377"/>
  <c r="HB377"/>
  <c r="HC377"/>
  <c r="HD377"/>
  <c r="HE377"/>
  <c r="HF377"/>
  <c r="HG377"/>
  <c r="HH377"/>
  <c r="HI377"/>
  <c r="HJ377"/>
  <c r="HK377"/>
  <c r="HL377"/>
  <c r="HM377"/>
  <c r="HN377"/>
  <c r="HO377"/>
  <c r="HP377"/>
  <c r="HQ377"/>
  <c r="HR377"/>
  <c r="HS377"/>
  <c r="HT377"/>
  <c r="HU377"/>
  <c r="HV377"/>
  <c r="HW377"/>
  <c r="HX377"/>
  <c r="HY377"/>
  <c r="HZ377"/>
  <c r="IA377"/>
  <c r="IB377"/>
  <c r="IC377"/>
  <c r="ID377"/>
  <c r="IE377"/>
  <c r="IF377"/>
  <c r="IG377"/>
  <c r="IH377"/>
  <c r="II377"/>
  <c r="IJ377"/>
  <c r="IK377"/>
  <c r="IL377"/>
  <c r="IM377"/>
  <c r="IN377"/>
  <c r="IO377"/>
  <c r="IP377"/>
  <c r="IQ377"/>
  <c r="IR377"/>
  <c r="IS377"/>
  <c r="IT377"/>
  <c r="IU377"/>
  <c r="IV377"/>
  <c r="A376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AE376"/>
  <c r="AF376"/>
  <c r="AG376"/>
  <c r="AH376"/>
  <c r="AI376"/>
  <c r="AJ376"/>
  <c r="AK376"/>
  <c r="AL376"/>
  <c r="AM376"/>
  <c r="AN376"/>
  <c r="AO376"/>
  <c r="AP376"/>
  <c r="AQ376"/>
  <c r="AR376"/>
  <c r="AS376"/>
  <c r="AT376"/>
  <c r="AU376"/>
  <c r="AV376"/>
  <c r="AW376"/>
  <c r="AX376"/>
  <c r="AY376"/>
  <c r="AZ376"/>
  <c r="BA376"/>
  <c r="BB376"/>
  <c r="BC376"/>
  <c r="BD376"/>
  <c r="BE376"/>
  <c r="BF376"/>
  <c r="BG376"/>
  <c r="BH376"/>
  <c r="BI376"/>
  <c r="BJ376"/>
  <c r="BK376"/>
  <c r="BL376"/>
  <c r="BM376"/>
  <c r="BN376"/>
  <c r="BO376"/>
  <c r="BP376"/>
  <c r="BQ376"/>
  <c r="BR376"/>
  <c r="BS376"/>
  <c r="BT376"/>
  <c r="BU376"/>
  <c r="BV376"/>
  <c r="BW376"/>
  <c r="BX376"/>
  <c r="BY376"/>
  <c r="BZ376"/>
  <c r="CA376"/>
  <c r="CB376"/>
  <c r="CC376"/>
  <c r="CD376"/>
  <c r="CE376"/>
  <c r="CF376"/>
  <c r="CG376"/>
  <c r="CH376"/>
  <c r="CI376"/>
  <c r="CJ376"/>
  <c r="CK376"/>
  <c r="CL376"/>
  <c r="CM376"/>
  <c r="CN376"/>
  <c r="CO376"/>
  <c r="CP376"/>
  <c r="CQ376"/>
  <c r="CR376"/>
  <c r="CS376"/>
  <c r="CT376"/>
  <c r="CU376"/>
  <c r="CV376"/>
  <c r="CW376"/>
  <c r="CX376"/>
  <c r="CY376"/>
  <c r="CZ376"/>
  <c r="DA376"/>
  <c r="DB376"/>
  <c r="DC376"/>
  <c r="DD376"/>
  <c r="DE376"/>
  <c r="DF376"/>
  <c r="DG376"/>
  <c r="DH376"/>
  <c r="DI376"/>
  <c r="DJ376"/>
  <c r="DK376"/>
  <c r="DL376"/>
  <c r="DM376"/>
  <c r="DN376"/>
  <c r="DO376"/>
  <c r="DP376"/>
  <c r="DQ376"/>
  <c r="DR376"/>
  <c r="DS376"/>
  <c r="DT376"/>
  <c r="DU376"/>
  <c r="DV376"/>
  <c r="DW376"/>
  <c r="DX376"/>
  <c r="DY376"/>
  <c r="DZ376"/>
  <c r="EA376"/>
  <c r="EB376"/>
  <c r="EC376"/>
  <c r="ED376"/>
  <c r="EE376"/>
  <c r="EF376"/>
  <c r="EG376"/>
  <c r="EH376"/>
  <c r="EI376"/>
  <c r="EJ376"/>
  <c r="EK376"/>
  <c r="EL376"/>
  <c r="EM376"/>
  <c r="EN376"/>
  <c r="EO376"/>
  <c r="EP376"/>
  <c r="EQ376"/>
  <c r="ER376"/>
  <c r="ES376"/>
  <c r="ET376"/>
  <c r="EU376"/>
  <c r="EV376"/>
  <c r="EW376"/>
  <c r="EX376"/>
  <c r="EY376"/>
  <c r="EZ376"/>
  <c r="FA376"/>
  <c r="FB376"/>
  <c r="FC376"/>
  <c r="FD376"/>
  <c r="FE376"/>
  <c r="FF376"/>
  <c r="FG376"/>
  <c r="FH376"/>
  <c r="FI376"/>
  <c r="FJ376"/>
  <c r="FK376"/>
  <c r="FL376"/>
  <c r="FM376"/>
  <c r="FN376"/>
  <c r="FO376"/>
  <c r="FP376"/>
  <c r="FQ376"/>
  <c r="FR376"/>
  <c r="FS376"/>
  <c r="FT376"/>
  <c r="FU376"/>
  <c r="FV376"/>
  <c r="FW376"/>
  <c r="FX376"/>
  <c r="FY376"/>
  <c r="FZ376"/>
  <c r="GA376"/>
  <c r="GB376"/>
  <c r="GC376"/>
  <c r="GD376"/>
  <c r="GE376"/>
  <c r="GF376"/>
  <c r="GG376"/>
  <c r="GH376"/>
  <c r="GI376"/>
  <c r="GJ376"/>
  <c r="GK376"/>
  <c r="GL376"/>
  <c r="GM376"/>
  <c r="GN376"/>
  <c r="GO376"/>
  <c r="GP376"/>
  <c r="GQ376"/>
  <c r="GR376"/>
  <c r="GS376"/>
  <c r="GT376"/>
  <c r="GU376"/>
  <c r="GV376"/>
  <c r="GW376"/>
  <c r="GX376"/>
  <c r="GY376"/>
  <c r="GZ376"/>
  <c r="HA376"/>
  <c r="HB376"/>
  <c r="HC376"/>
  <c r="HD376"/>
  <c r="HE376"/>
  <c r="HF376"/>
  <c r="HG376"/>
  <c r="HH376"/>
  <c r="HI376"/>
  <c r="HJ376"/>
  <c r="HK376"/>
  <c r="HL376"/>
  <c r="HM376"/>
  <c r="HN376"/>
  <c r="HO376"/>
  <c r="HP376"/>
  <c r="HQ376"/>
  <c r="HR376"/>
  <c r="HS376"/>
  <c r="HT376"/>
  <c r="HU376"/>
  <c r="HV376"/>
  <c r="HW376"/>
  <c r="HX376"/>
  <c r="HY376"/>
  <c r="HZ376"/>
  <c r="IA376"/>
  <c r="IB376"/>
  <c r="IC376"/>
  <c r="ID376"/>
  <c r="IE376"/>
  <c r="IF376"/>
  <c r="IG376"/>
  <c r="IH376"/>
  <c r="II376"/>
  <c r="IJ376"/>
  <c r="IK376"/>
  <c r="IL376"/>
  <c r="IM376"/>
  <c r="IN376"/>
  <c r="IO376"/>
  <c r="IP376"/>
  <c r="IQ376"/>
  <c r="IR376"/>
  <c r="IS376"/>
  <c r="IT376"/>
  <c r="IU376"/>
  <c r="IV376"/>
  <c r="A375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AE375"/>
  <c r="AF375"/>
  <c r="AG375"/>
  <c r="AH375"/>
  <c r="AI375"/>
  <c r="AJ375"/>
  <c r="AK375"/>
  <c r="AL375"/>
  <c r="AM375"/>
  <c r="AN375"/>
  <c r="AO375"/>
  <c r="AP375"/>
  <c r="AQ375"/>
  <c r="AR375"/>
  <c r="AS375"/>
  <c r="AT375"/>
  <c r="AU375"/>
  <c r="AV375"/>
  <c r="AW375"/>
  <c r="AX375"/>
  <c r="AY375"/>
  <c r="AZ375"/>
  <c r="BA375"/>
  <c r="BB375"/>
  <c r="BC375"/>
  <c r="BD375"/>
  <c r="BE375"/>
  <c r="BF375"/>
  <c r="BG375"/>
  <c r="BH375"/>
  <c r="BI375"/>
  <c r="BJ375"/>
  <c r="BK375"/>
  <c r="BL375"/>
  <c r="BM375"/>
  <c r="BN375"/>
  <c r="BO375"/>
  <c r="BP375"/>
  <c r="BQ375"/>
  <c r="BR375"/>
  <c r="BS375"/>
  <c r="BT375"/>
  <c r="BU375"/>
  <c r="BV375"/>
  <c r="BW375"/>
  <c r="BX375"/>
  <c r="BY375"/>
  <c r="BZ375"/>
  <c r="CA375"/>
  <c r="CB375"/>
  <c r="CC375"/>
  <c r="CD375"/>
  <c r="CE375"/>
  <c r="CF375"/>
  <c r="CG375"/>
  <c r="CH375"/>
  <c r="CI375"/>
  <c r="CJ375"/>
  <c r="CK375"/>
  <c r="CL375"/>
  <c r="CM375"/>
  <c r="CN375"/>
  <c r="CO375"/>
  <c r="CP375"/>
  <c r="CQ375"/>
  <c r="CR375"/>
  <c r="CS375"/>
  <c r="CT375"/>
  <c r="CU375"/>
  <c r="CV375"/>
  <c r="CW375"/>
  <c r="CX375"/>
  <c r="CY375"/>
  <c r="CZ375"/>
  <c r="DA375"/>
  <c r="DB375"/>
  <c r="DC375"/>
  <c r="DD375"/>
  <c r="DE375"/>
  <c r="DF375"/>
  <c r="DG375"/>
  <c r="DH375"/>
  <c r="DI375"/>
  <c r="DJ375"/>
  <c r="DK375"/>
  <c r="DL375"/>
  <c r="DM375"/>
  <c r="DN375"/>
  <c r="DO375"/>
  <c r="DP375"/>
  <c r="DQ375"/>
  <c r="DR375"/>
  <c r="DS375"/>
  <c r="DT375"/>
  <c r="DU375"/>
  <c r="DV375"/>
  <c r="DW375"/>
  <c r="DX375"/>
  <c r="DY375"/>
  <c r="DZ375"/>
  <c r="EA375"/>
  <c r="EB375"/>
  <c r="EC375"/>
  <c r="ED375"/>
  <c r="EE375"/>
  <c r="EF375"/>
  <c r="EG375"/>
  <c r="EH375"/>
  <c r="EI375"/>
  <c r="EJ375"/>
  <c r="EK375"/>
  <c r="EL375"/>
  <c r="EM375"/>
  <c r="EN375"/>
  <c r="EO375"/>
  <c r="EP375"/>
  <c r="EQ375"/>
  <c r="ER375"/>
  <c r="ES375"/>
  <c r="ET375"/>
  <c r="EU375"/>
  <c r="EV375"/>
  <c r="EW375"/>
  <c r="EX375"/>
  <c r="EY375"/>
  <c r="EZ375"/>
  <c r="FA375"/>
  <c r="FB375"/>
  <c r="FC375"/>
  <c r="FD375"/>
  <c r="FE375"/>
  <c r="FF375"/>
  <c r="FG375"/>
  <c r="FH375"/>
  <c r="FI375"/>
  <c r="FJ375"/>
  <c r="FK375"/>
  <c r="FL375"/>
  <c r="FM375"/>
  <c r="FN375"/>
  <c r="FO375"/>
  <c r="FP375"/>
  <c r="FQ375"/>
  <c r="FR375"/>
  <c r="FS375"/>
  <c r="FT375"/>
  <c r="FU375"/>
  <c r="FV375"/>
  <c r="FW375"/>
  <c r="FX375"/>
  <c r="FY375"/>
  <c r="FZ375"/>
  <c r="GA375"/>
  <c r="GB375"/>
  <c r="GC375"/>
  <c r="GD375"/>
  <c r="GE375"/>
  <c r="GF375"/>
  <c r="GG375"/>
  <c r="GH375"/>
  <c r="GI375"/>
  <c r="GJ375"/>
  <c r="GK375"/>
  <c r="GL375"/>
  <c r="GM375"/>
  <c r="GN375"/>
  <c r="GO375"/>
  <c r="GP375"/>
  <c r="GQ375"/>
  <c r="GR375"/>
  <c r="GS375"/>
  <c r="GT375"/>
  <c r="GU375"/>
  <c r="GV375"/>
  <c r="GW375"/>
  <c r="GX375"/>
  <c r="GY375"/>
  <c r="GZ375"/>
  <c r="HA375"/>
  <c r="HB375"/>
  <c r="HC375"/>
  <c r="HD375"/>
  <c r="HE375"/>
  <c r="HF375"/>
  <c r="HG375"/>
  <c r="HH375"/>
  <c r="HI375"/>
  <c r="HJ375"/>
  <c r="HK375"/>
  <c r="HL375"/>
  <c r="HM375"/>
  <c r="HN375"/>
  <c r="HO375"/>
  <c r="HP375"/>
  <c r="HQ375"/>
  <c r="HR375"/>
  <c r="HS375"/>
  <c r="HT375"/>
  <c r="HU375"/>
  <c r="HV375"/>
  <c r="HW375"/>
  <c r="HX375"/>
  <c r="HY375"/>
  <c r="HZ375"/>
  <c r="IA375"/>
  <c r="IB375"/>
  <c r="IC375"/>
  <c r="ID375"/>
  <c r="IE375"/>
  <c r="IF375"/>
  <c r="IG375"/>
  <c r="IH375"/>
  <c r="II375"/>
  <c r="IJ375"/>
  <c r="IK375"/>
  <c r="IL375"/>
  <c r="IM375"/>
  <c r="IN375"/>
  <c r="IO375"/>
  <c r="IP375"/>
  <c r="IQ375"/>
  <c r="IR375"/>
  <c r="IS375"/>
  <c r="IT375"/>
  <c r="IU375"/>
  <c r="IV375"/>
  <c r="A374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AE374"/>
  <c r="AF374"/>
  <c r="AG374"/>
  <c r="AH374"/>
  <c r="AI374"/>
  <c r="AJ374"/>
  <c r="AK374"/>
  <c r="AL374"/>
  <c r="AM374"/>
  <c r="AN374"/>
  <c r="AO374"/>
  <c r="AP374"/>
  <c r="AQ374"/>
  <c r="AR374"/>
  <c r="AS374"/>
  <c r="AT374"/>
  <c r="AU374"/>
  <c r="AV374"/>
  <c r="AW374"/>
  <c r="AX374"/>
  <c r="AY374"/>
  <c r="AZ374"/>
  <c r="BA374"/>
  <c r="BB374"/>
  <c r="BC374"/>
  <c r="BD374"/>
  <c r="BE374"/>
  <c r="BF374"/>
  <c r="BG374"/>
  <c r="BH374"/>
  <c r="BI374"/>
  <c r="BJ374"/>
  <c r="BK374"/>
  <c r="BL374"/>
  <c r="BM374"/>
  <c r="BN374"/>
  <c r="BO374"/>
  <c r="BP374"/>
  <c r="BQ374"/>
  <c r="BR374"/>
  <c r="BS374"/>
  <c r="BT374"/>
  <c r="BU374"/>
  <c r="BV374"/>
  <c r="BW374"/>
  <c r="BX374"/>
  <c r="BY374"/>
  <c r="BZ374"/>
  <c r="CA374"/>
  <c r="CB374"/>
  <c r="CC374"/>
  <c r="CD374"/>
  <c r="CE374"/>
  <c r="CF374"/>
  <c r="CG374"/>
  <c r="CH374"/>
  <c r="CI374"/>
  <c r="CJ374"/>
  <c r="CK374"/>
  <c r="CL374"/>
  <c r="CM374"/>
  <c r="CN374"/>
  <c r="CO374"/>
  <c r="CP374"/>
  <c r="CQ374"/>
  <c r="CR374"/>
  <c r="CS374"/>
  <c r="CT374"/>
  <c r="CU374"/>
  <c r="CV374"/>
  <c r="CW374"/>
  <c r="CX374"/>
  <c r="CY374"/>
  <c r="CZ374"/>
  <c r="DA374"/>
  <c r="DB374"/>
  <c r="DC374"/>
  <c r="DD374"/>
  <c r="DE374"/>
  <c r="DF374"/>
  <c r="DG374"/>
  <c r="DH374"/>
  <c r="DI374"/>
  <c r="DJ374"/>
  <c r="DK374"/>
  <c r="DL374"/>
  <c r="DM374"/>
  <c r="DN374"/>
  <c r="DO374"/>
  <c r="DP374"/>
  <c r="DQ374"/>
  <c r="DR374"/>
  <c r="DS374"/>
  <c r="DT374"/>
  <c r="DU374"/>
  <c r="DV374"/>
  <c r="DW374"/>
  <c r="DX374"/>
  <c r="DY374"/>
  <c r="DZ374"/>
  <c r="EA374"/>
  <c r="EB374"/>
  <c r="EC374"/>
  <c r="ED374"/>
  <c r="EE374"/>
  <c r="EF374"/>
  <c r="EG374"/>
  <c r="EH374"/>
  <c r="EI374"/>
  <c r="EJ374"/>
  <c r="EK374"/>
  <c r="EL374"/>
  <c r="EM374"/>
  <c r="EN374"/>
  <c r="EO374"/>
  <c r="EP374"/>
  <c r="EQ374"/>
  <c r="ER374"/>
  <c r="ES374"/>
  <c r="ET374"/>
  <c r="EU374"/>
  <c r="EV374"/>
  <c r="EW374"/>
  <c r="EX374"/>
  <c r="EY374"/>
  <c r="EZ374"/>
  <c r="FA374"/>
  <c r="FB374"/>
  <c r="FC374"/>
  <c r="FD374"/>
  <c r="FE374"/>
  <c r="FF374"/>
  <c r="FG374"/>
  <c r="FH374"/>
  <c r="FI374"/>
  <c r="FJ374"/>
  <c r="FK374"/>
  <c r="FL374"/>
  <c r="FM374"/>
  <c r="FN374"/>
  <c r="FO374"/>
  <c r="FP374"/>
  <c r="FQ374"/>
  <c r="FR374"/>
  <c r="FS374"/>
  <c r="FT374"/>
  <c r="FU374"/>
  <c r="FV374"/>
  <c r="FW374"/>
  <c r="FX374"/>
  <c r="FY374"/>
  <c r="FZ374"/>
  <c r="GA374"/>
  <c r="GB374"/>
  <c r="GC374"/>
  <c r="GD374"/>
  <c r="GE374"/>
  <c r="GF374"/>
  <c r="GG374"/>
  <c r="GH374"/>
  <c r="GI374"/>
  <c r="GJ374"/>
  <c r="GK374"/>
  <c r="GL374"/>
  <c r="GM374"/>
  <c r="GN374"/>
  <c r="GO374"/>
  <c r="GP374"/>
  <c r="GQ374"/>
  <c r="GR374"/>
  <c r="GS374"/>
  <c r="GT374"/>
  <c r="GU374"/>
  <c r="GV374"/>
  <c r="GW374"/>
  <c r="GX374"/>
  <c r="GY374"/>
  <c r="GZ374"/>
  <c r="HA374"/>
  <c r="HB374"/>
  <c r="HC374"/>
  <c r="HD374"/>
  <c r="HE374"/>
  <c r="HF374"/>
  <c r="HG374"/>
  <c r="HH374"/>
  <c r="HI374"/>
  <c r="HJ374"/>
  <c r="HK374"/>
  <c r="HL374"/>
  <c r="HM374"/>
  <c r="HN374"/>
  <c r="HO374"/>
  <c r="HP374"/>
  <c r="HQ374"/>
  <c r="HR374"/>
  <c r="HS374"/>
  <c r="HT374"/>
  <c r="HU374"/>
  <c r="HV374"/>
  <c r="HW374"/>
  <c r="HX374"/>
  <c r="HY374"/>
  <c r="HZ374"/>
  <c r="IA374"/>
  <c r="IB374"/>
  <c r="IC374"/>
  <c r="ID374"/>
  <c r="IE374"/>
  <c r="IF374"/>
  <c r="IG374"/>
  <c r="IH374"/>
  <c r="II374"/>
  <c r="IJ374"/>
  <c r="IK374"/>
  <c r="IL374"/>
  <c r="IM374"/>
  <c r="IN374"/>
  <c r="IO374"/>
  <c r="IP374"/>
  <c r="IQ374"/>
  <c r="IR374"/>
  <c r="IS374"/>
  <c r="IT374"/>
  <c r="IU374"/>
  <c r="IV374"/>
  <c r="A373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AT373"/>
  <c r="AU373"/>
  <c r="AV373"/>
  <c r="AW373"/>
  <c r="AX373"/>
  <c r="AY373"/>
  <c r="AZ373"/>
  <c r="BA373"/>
  <c r="BB373"/>
  <c r="BC373"/>
  <c r="BD373"/>
  <c r="BE373"/>
  <c r="BF373"/>
  <c r="BG373"/>
  <c r="BH373"/>
  <c r="BI373"/>
  <c r="BJ373"/>
  <c r="BK373"/>
  <c r="BL373"/>
  <c r="BM373"/>
  <c r="BN373"/>
  <c r="BO373"/>
  <c r="BP373"/>
  <c r="BQ373"/>
  <c r="BR373"/>
  <c r="BS373"/>
  <c r="BT373"/>
  <c r="BU373"/>
  <c r="BV373"/>
  <c r="BW373"/>
  <c r="BX373"/>
  <c r="BY373"/>
  <c r="BZ373"/>
  <c r="CA373"/>
  <c r="CB373"/>
  <c r="CC373"/>
  <c r="CD373"/>
  <c r="CE373"/>
  <c r="CF373"/>
  <c r="CG373"/>
  <c r="CH373"/>
  <c r="CI373"/>
  <c r="CJ373"/>
  <c r="CK373"/>
  <c r="CL373"/>
  <c r="CM373"/>
  <c r="CN373"/>
  <c r="CO373"/>
  <c r="CP373"/>
  <c r="CQ373"/>
  <c r="CR373"/>
  <c r="CS373"/>
  <c r="CT373"/>
  <c r="CU373"/>
  <c r="CV373"/>
  <c r="CW373"/>
  <c r="CX373"/>
  <c r="CY373"/>
  <c r="CZ373"/>
  <c r="DA373"/>
  <c r="DB373"/>
  <c r="DC373"/>
  <c r="DD373"/>
  <c r="DE373"/>
  <c r="DF373"/>
  <c r="DG373"/>
  <c r="DH373"/>
  <c r="DI373"/>
  <c r="DJ373"/>
  <c r="DK373"/>
  <c r="DL373"/>
  <c r="DM373"/>
  <c r="DN373"/>
  <c r="DO373"/>
  <c r="DP373"/>
  <c r="DQ373"/>
  <c r="DR373"/>
  <c r="DS373"/>
  <c r="DT373"/>
  <c r="DU373"/>
  <c r="DV373"/>
  <c r="DW373"/>
  <c r="DX373"/>
  <c r="DY373"/>
  <c r="DZ373"/>
  <c r="EA373"/>
  <c r="EB373"/>
  <c r="EC373"/>
  <c r="ED373"/>
  <c r="EE373"/>
  <c r="EF373"/>
  <c r="EG373"/>
  <c r="EH373"/>
  <c r="EI373"/>
  <c r="EJ373"/>
  <c r="EK373"/>
  <c r="EL373"/>
  <c r="EM373"/>
  <c r="EN373"/>
  <c r="EO373"/>
  <c r="EP373"/>
  <c r="EQ373"/>
  <c r="ER373"/>
  <c r="ES373"/>
  <c r="ET373"/>
  <c r="EU373"/>
  <c r="EV373"/>
  <c r="EW373"/>
  <c r="EX373"/>
  <c r="EY373"/>
  <c r="EZ373"/>
  <c r="FA373"/>
  <c r="FB373"/>
  <c r="FC373"/>
  <c r="FD373"/>
  <c r="FE373"/>
  <c r="FF373"/>
  <c r="FG373"/>
  <c r="FH373"/>
  <c r="FI373"/>
  <c r="FJ373"/>
  <c r="FK373"/>
  <c r="FL373"/>
  <c r="FM373"/>
  <c r="FN373"/>
  <c r="FO373"/>
  <c r="FP373"/>
  <c r="FQ373"/>
  <c r="FR373"/>
  <c r="FS373"/>
  <c r="FT373"/>
  <c r="FU373"/>
  <c r="FV373"/>
  <c r="FW373"/>
  <c r="FX373"/>
  <c r="FY373"/>
  <c r="FZ373"/>
  <c r="GA373"/>
  <c r="GB373"/>
  <c r="GC373"/>
  <c r="GD373"/>
  <c r="GE373"/>
  <c r="GF373"/>
  <c r="GG373"/>
  <c r="GH373"/>
  <c r="GI373"/>
  <c r="GJ373"/>
  <c r="GK373"/>
  <c r="GL373"/>
  <c r="GM373"/>
  <c r="GN373"/>
  <c r="GO373"/>
  <c r="GP373"/>
  <c r="GQ373"/>
  <c r="GR373"/>
  <c r="GS373"/>
  <c r="GT373"/>
  <c r="GU373"/>
  <c r="GV373"/>
  <c r="GW373"/>
  <c r="GX373"/>
  <c r="GY373"/>
  <c r="GZ373"/>
  <c r="HA373"/>
  <c r="HB373"/>
  <c r="HC373"/>
  <c r="HD373"/>
  <c r="HE373"/>
  <c r="HF373"/>
  <c r="HG373"/>
  <c r="HH373"/>
  <c r="HI373"/>
  <c r="HJ373"/>
  <c r="HK373"/>
  <c r="HL373"/>
  <c r="HM373"/>
  <c r="HN373"/>
  <c r="HO373"/>
  <c r="HP373"/>
  <c r="HQ373"/>
  <c r="HR373"/>
  <c r="HS373"/>
  <c r="HT373"/>
  <c r="HU373"/>
  <c r="HV373"/>
  <c r="HW373"/>
  <c r="HX373"/>
  <c r="HY373"/>
  <c r="HZ373"/>
  <c r="IA373"/>
  <c r="IB373"/>
  <c r="IC373"/>
  <c r="ID373"/>
  <c r="IE373"/>
  <c r="IF373"/>
  <c r="IG373"/>
  <c r="IH373"/>
  <c r="II373"/>
  <c r="IJ373"/>
  <c r="IK373"/>
  <c r="IL373"/>
  <c r="IM373"/>
  <c r="IN373"/>
  <c r="IO373"/>
  <c r="IP373"/>
  <c r="IQ373"/>
  <c r="IR373"/>
  <c r="IS373"/>
  <c r="IT373"/>
  <c r="IU373"/>
  <c r="IV373"/>
  <c r="A372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AE372"/>
  <c r="AF372"/>
  <c r="AG372"/>
  <c r="AH372"/>
  <c r="AI372"/>
  <c r="AJ372"/>
  <c r="AK372"/>
  <c r="AL372"/>
  <c r="AM372"/>
  <c r="AN372"/>
  <c r="AO372"/>
  <c r="AP372"/>
  <c r="AQ372"/>
  <c r="AR372"/>
  <c r="AS372"/>
  <c r="AT372"/>
  <c r="AU372"/>
  <c r="AV372"/>
  <c r="AW372"/>
  <c r="AX372"/>
  <c r="AY372"/>
  <c r="AZ372"/>
  <c r="BA372"/>
  <c r="BB372"/>
  <c r="BC372"/>
  <c r="BD372"/>
  <c r="BE372"/>
  <c r="BF372"/>
  <c r="BG372"/>
  <c r="BH372"/>
  <c r="BI372"/>
  <c r="BJ372"/>
  <c r="BK372"/>
  <c r="BL372"/>
  <c r="BM372"/>
  <c r="BN372"/>
  <c r="BO372"/>
  <c r="BP372"/>
  <c r="BQ372"/>
  <c r="BR372"/>
  <c r="BS372"/>
  <c r="BT372"/>
  <c r="BU372"/>
  <c r="BV372"/>
  <c r="BW372"/>
  <c r="BX372"/>
  <c r="BY372"/>
  <c r="BZ372"/>
  <c r="CA372"/>
  <c r="CB372"/>
  <c r="CC372"/>
  <c r="CD372"/>
  <c r="CE372"/>
  <c r="CF372"/>
  <c r="CG372"/>
  <c r="CH372"/>
  <c r="CI372"/>
  <c r="CJ372"/>
  <c r="CK372"/>
  <c r="CL372"/>
  <c r="CM372"/>
  <c r="CN372"/>
  <c r="CO372"/>
  <c r="CP372"/>
  <c r="CQ372"/>
  <c r="CR372"/>
  <c r="CS372"/>
  <c r="CT372"/>
  <c r="CU372"/>
  <c r="CV372"/>
  <c r="CW372"/>
  <c r="CX372"/>
  <c r="CY372"/>
  <c r="CZ372"/>
  <c r="DA372"/>
  <c r="DB372"/>
  <c r="DC372"/>
  <c r="DD372"/>
  <c r="DE372"/>
  <c r="DF372"/>
  <c r="DG372"/>
  <c r="DH372"/>
  <c r="DI372"/>
  <c r="DJ372"/>
  <c r="DK372"/>
  <c r="DL372"/>
  <c r="DM372"/>
  <c r="DN372"/>
  <c r="DO372"/>
  <c r="DP372"/>
  <c r="DQ372"/>
  <c r="DR372"/>
  <c r="DS372"/>
  <c r="DT372"/>
  <c r="DU372"/>
  <c r="DV372"/>
  <c r="DW372"/>
  <c r="DX372"/>
  <c r="DY372"/>
  <c r="DZ372"/>
  <c r="EA372"/>
  <c r="EB372"/>
  <c r="EC372"/>
  <c r="ED372"/>
  <c r="EE372"/>
  <c r="EF372"/>
  <c r="EG372"/>
  <c r="EH372"/>
  <c r="EI372"/>
  <c r="EJ372"/>
  <c r="EK372"/>
  <c r="EL372"/>
  <c r="EM372"/>
  <c r="EN372"/>
  <c r="EO372"/>
  <c r="EP372"/>
  <c r="EQ372"/>
  <c r="ER372"/>
  <c r="ES372"/>
  <c r="ET372"/>
  <c r="EU372"/>
  <c r="EV372"/>
  <c r="EW372"/>
  <c r="EX372"/>
  <c r="EY372"/>
  <c r="EZ372"/>
  <c r="FA372"/>
  <c r="FB372"/>
  <c r="FC372"/>
  <c r="FD372"/>
  <c r="FE372"/>
  <c r="FF372"/>
  <c r="FG372"/>
  <c r="FH372"/>
  <c r="FI372"/>
  <c r="FJ372"/>
  <c r="FK372"/>
  <c r="FL372"/>
  <c r="FM372"/>
  <c r="FN372"/>
  <c r="FO372"/>
  <c r="FP372"/>
  <c r="FQ372"/>
  <c r="FR372"/>
  <c r="FS372"/>
  <c r="FT372"/>
  <c r="FU372"/>
  <c r="FV372"/>
  <c r="FW372"/>
  <c r="FX372"/>
  <c r="FY372"/>
  <c r="FZ372"/>
  <c r="GA372"/>
  <c r="GB372"/>
  <c r="GC372"/>
  <c r="GD372"/>
  <c r="GE372"/>
  <c r="GF372"/>
  <c r="GG372"/>
  <c r="GH372"/>
  <c r="GI372"/>
  <c r="GJ372"/>
  <c r="GK372"/>
  <c r="GL372"/>
  <c r="GM372"/>
  <c r="GN372"/>
  <c r="GO372"/>
  <c r="GP372"/>
  <c r="GQ372"/>
  <c r="GR372"/>
  <c r="GS372"/>
  <c r="GT372"/>
  <c r="GU372"/>
  <c r="GV372"/>
  <c r="GW372"/>
  <c r="GX372"/>
  <c r="GY372"/>
  <c r="GZ372"/>
  <c r="HA372"/>
  <c r="HB372"/>
  <c r="HC372"/>
  <c r="HD372"/>
  <c r="HE372"/>
  <c r="HF372"/>
  <c r="HG372"/>
  <c r="HH372"/>
  <c r="HI372"/>
  <c r="HJ372"/>
  <c r="HK372"/>
  <c r="HL372"/>
  <c r="HM372"/>
  <c r="HN372"/>
  <c r="HO372"/>
  <c r="HP372"/>
  <c r="HQ372"/>
  <c r="HR372"/>
  <c r="HS372"/>
  <c r="HT372"/>
  <c r="HU372"/>
  <c r="HV372"/>
  <c r="HW372"/>
  <c r="HX372"/>
  <c r="HY372"/>
  <c r="HZ372"/>
  <c r="IA372"/>
  <c r="IB372"/>
  <c r="IC372"/>
  <c r="ID372"/>
  <c r="IE372"/>
  <c r="IF372"/>
  <c r="IG372"/>
  <c r="IH372"/>
  <c r="II372"/>
  <c r="IJ372"/>
  <c r="IK372"/>
  <c r="IL372"/>
  <c r="IM372"/>
  <c r="IN372"/>
  <c r="IO372"/>
  <c r="IP372"/>
  <c r="IQ372"/>
  <c r="IR372"/>
  <c r="IS372"/>
  <c r="IT372"/>
  <c r="IU372"/>
  <c r="IV372"/>
  <c r="A371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AE371"/>
  <c r="AF371"/>
  <c r="AG371"/>
  <c r="AH371"/>
  <c r="AI371"/>
  <c r="AJ371"/>
  <c r="AK371"/>
  <c r="AL371"/>
  <c r="AM371"/>
  <c r="AN371"/>
  <c r="AO371"/>
  <c r="AP371"/>
  <c r="AQ371"/>
  <c r="AR371"/>
  <c r="AS371"/>
  <c r="AT371"/>
  <c r="AU371"/>
  <c r="AV371"/>
  <c r="AW371"/>
  <c r="AX371"/>
  <c r="AY371"/>
  <c r="AZ371"/>
  <c r="BA371"/>
  <c r="BB371"/>
  <c r="BC371"/>
  <c r="BD371"/>
  <c r="BE371"/>
  <c r="BF371"/>
  <c r="BG371"/>
  <c r="BH371"/>
  <c r="BI371"/>
  <c r="BJ371"/>
  <c r="BK371"/>
  <c r="BL371"/>
  <c r="BM371"/>
  <c r="BN371"/>
  <c r="BO371"/>
  <c r="BP371"/>
  <c r="BQ371"/>
  <c r="BR371"/>
  <c r="BS371"/>
  <c r="BT371"/>
  <c r="BU371"/>
  <c r="BV371"/>
  <c r="BW371"/>
  <c r="BX371"/>
  <c r="BY371"/>
  <c r="BZ371"/>
  <c r="CA371"/>
  <c r="CB371"/>
  <c r="CC371"/>
  <c r="CD371"/>
  <c r="CE371"/>
  <c r="CF371"/>
  <c r="CG371"/>
  <c r="CH371"/>
  <c r="CI371"/>
  <c r="CJ371"/>
  <c r="CK371"/>
  <c r="CL371"/>
  <c r="CM371"/>
  <c r="CN371"/>
  <c r="CO371"/>
  <c r="CP371"/>
  <c r="CQ371"/>
  <c r="CR371"/>
  <c r="CS371"/>
  <c r="CT371"/>
  <c r="CU371"/>
  <c r="CV371"/>
  <c r="CW371"/>
  <c r="CX371"/>
  <c r="CY371"/>
  <c r="CZ371"/>
  <c r="DA371"/>
  <c r="DB371"/>
  <c r="DC371"/>
  <c r="DD371"/>
  <c r="DE371"/>
  <c r="DF371"/>
  <c r="DG371"/>
  <c r="DH371"/>
  <c r="DI371"/>
  <c r="DJ371"/>
  <c r="DK371"/>
  <c r="DL371"/>
  <c r="DM371"/>
  <c r="DN371"/>
  <c r="DO371"/>
  <c r="DP371"/>
  <c r="DQ371"/>
  <c r="DR371"/>
  <c r="DS371"/>
  <c r="DT371"/>
  <c r="DU371"/>
  <c r="DV371"/>
  <c r="DW371"/>
  <c r="DX371"/>
  <c r="DY371"/>
  <c r="DZ371"/>
  <c r="EA371"/>
  <c r="EB371"/>
  <c r="EC371"/>
  <c r="ED371"/>
  <c r="EE371"/>
  <c r="EF371"/>
  <c r="EG371"/>
  <c r="EH371"/>
  <c r="EI371"/>
  <c r="EJ371"/>
  <c r="EK371"/>
  <c r="EL371"/>
  <c r="EM371"/>
  <c r="EN371"/>
  <c r="EO371"/>
  <c r="EP371"/>
  <c r="EQ371"/>
  <c r="ER371"/>
  <c r="ES371"/>
  <c r="ET371"/>
  <c r="EU371"/>
  <c r="EV371"/>
  <c r="EW371"/>
  <c r="EX371"/>
  <c r="EY371"/>
  <c r="EZ371"/>
  <c r="FA371"/>
  <c r="FB371"/>
  <c r="FC371"/>
  <c r="FD371"/>
  <c r="FE371"/>
  <c r="FF371"/>
  <c r="FG371"/>
  <c r="FH371"/>
  <c r="FI371"/>
  <c r="FJ371"/>
  <c r="FK371"/>
  <c r="FL371"/>
  <c r="FM371"/>
  <c r="FN371"/>
  <c r="FO371"/>
  <c r="FP371"/>
  <c r="FQ371"/>
  <c r="FR371"/>
  <c r="FS371"/>
  <c r="FT371"/>
  <c r="FU371"/>
  <c r="FV371"/>
  <c r="FW371"/>
  <c r="FX371"/>
  <c r="FY371"/>
  <c r="FZ371"/>
  <c r="GA371"/>
  <c r="GB371"/>
  <c r="GC371"/>
  <c r="GD371"/>
  <c r="GE371"/>
  <c r="GF371"/>
  <c r="GG371"/>
  <c r="GH371"/>
  <c r="GI371"/>
  <c r="GJ371"/>
  <c r="GK371"/>
  <c r="GL371"/>
  <c r="GM371"/>
  <c r="GN371"/>
  <c r="GO371"/>
  <c r="GP371"/>
  <c r="GQ371"/>
  <c r="GR371"/>
  <c r="GS371"/>
  <c r="GT371"/>
  <c r="GU371"/>
  <c r="GV371"/>
  <c r="GW371"/>
  <c r="GX371"/>
  <c r="GY371"/>
  <c r="GZ371"/>
  <c r="HA371"/>
  <c r="HB371"/>
  <c r="HC371"/>
  <c r="HD371"/>
  <c r="HE371"/>
  <c r="HF371"/>
  <c r="HG371"/>
  <c r="HH371"/>
  <c r="HI371"/>
  <c r="HJ371"/>
  <c r="HK371"/>
  <c r="HL371"/>
  <c r="HM371"/>
  <c r="HN371"/>
  <c r="HO371"/>
  <c r="HP371"/>
  <c r="HQ371"/>
  <c r="HR371"/>
  <c r="HS371"/>
  <c r="HT371"/>
  <c r="HU371"/>
  <c r="HV371"/>
  <c r="HW371"/>
  <c r="HX371"/>
  <c r="HY371"/>
  <c r="HZ371"/>
  <c r="IA371"/>
  <c r="IB371"/>
  <c r="IC371"/>
  <c r="ID371"/>
  <c r="IE371"/>
  <c r="IF371"/>
  <c r="IG371"/>
  <c r="IH371"/>
  <c r="II371"/>
  <c r="IJ371"/>
  <c r="IK371"/>
  <c r="IL371"/>
  <c r="IM371"/>
  <c r="IN371"/>
  <c r="IO371"/>
  <c r="IP371"/>
  <c r="IQ371"/>
  <c r="IR371"/>
  <c r="IS371"/>
  <c r="IT371"/>
  <c r="IU371"/>
  <c r="IV371"/>
  <c r="A370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AE370"/>
  <c r="AF370"/>
  <c r="AG370"/>
  <c r="AH370"/>
  <c r="AI370"/>
  <c r="AJ370"/>
  <c r="AK370"/>
  <c r="AL370"/>
  <c r="AM370"/>
  <c r="AN370"/>
  <c r="AO370"/>
  <c r="AP370"/>
  <c r="AQ370"/>
  <c r="AR370"/>
  <c r="AS370"/>
  <c r="AT370"/>
  <c r="AU370"/>
  <c r="AV370"/>
  <c r="AW370"/>
  <c r="AX370"/>
  <c r="AY370"/>
  <c r="AZ370"/>
  <c r="BA370"/>
  <c r="BB370"/>
  <c r="BC370"/>
  <c r="BD370"/>
  <c r="BE370"/>
  <c r="BF370"/>
  <c r="BG370"/>
  <c r="BH370"/>
  <c r="BI370"/>
  <c r="BJ370"/>
  <c r="BK370"/>
  <c r="BL370"/>
  <c r="BM370"/>
  <c r="BN370"/>
  <c r="BO370"/>
  <c r="BP370"/>
  <c r="BQ370"/>
  <c r="BR370"/>
  <c r="BS370"/>
  <c r="BT370"/>
  <c r="BU370"/>
  <c r="BV370"/>
  <c r="BW370"/>
  <c r="BX370"/>
  <c r="BY370"/>
  <c r="BZ370"/>
  <c r="CA370"/>
  <c r="CB370"/>
  <c r="CC370"/>
  <c r="CD370"/>
  <c r="CE370"/>
  <c r="CF370"/>
  <c r="CG370"/>
  <c r="CH370"/>
  <c r="CI370"/>
  <c r="CJ370"/>
  <c r="CK370"/>
  <c r="CL370"/>
  <c r="CM370"/>
  <c r="CN370"/>
  <c r="CO370"/>
  <c r="CP370"/>
  <c r="CQ370"/>
  <c r="CR370"/>
  <c r="CS370"/>
  <c r="CT370"/>
  <c r="CU370"/>
  <c r="CV370"/>
  <c r="CW370"/>
  <c r="CX370"/>
  <c r="CY370"/>
  <c r="CZ370"/>
  <c r="DA370"/>
  <c r="DB370"/>
  <c r="DC370"/>
  <c r="DD370"/>
  <c r="DE370"/>
  <c r="DF370"/>
  <c r="DG370"/>
  <c r="DH370"/>
  <c r="DI370"/>
  <c r="DJ370"/>
  <c r="DK370"/>
  <c r="DL370"/>
  <c r="DM370"/>
  <c r="DN370"/>
  <c r="DO370"/>
  <c r="DP370"/>
  <c r="DQ370"/>
  <c r="DR370"/>
  <c r="DS370"/>
  <c r="DT370"/>
  <c r="DU370"/>
  <c r="DV370"/>
  <c r="DW370"/>
  <c r="DX370"/>
  <c r="DY370"/>
  <c r="DZ370"/>
  <c r="EA370"/>
  <c r="EB370"/>
  <c r="EC370"/>
  <c r="ED370"/>
  <c r="EE370"/>
  <c r="EF370"/>
  <c r="EG370"/>
  <c r="EH370"/>
  <c r="EI370"/>
  <c r="EJ370"/>
  <c r="EK370"/>
  <c r="EL370"/>
  <c r="EM370"/>
  <c r="EN370"/>
  <c r="EO370"/>
  <c r="EP370"/>
  <c r="EQ370"/>
  <c r="ER370"/>
  <c r="ES370"/>
  <c r="ET370"/>
  <c r="EU370"/>
  <c r="EV370"/>
  <c r="EW370"/>
  <c r="EX370"/>
  <c r="EY370"/>
  <c r="EZ370"/>
  <c r="FA370"/>
  <c r="FB370"/>
  <c r="FC370"/>
  <c r="FD370"/>
  <c r="FE370"/>
  <c r="FF370"/>
  <c r="FG370"/>
  <c r="FH370"/>
  <c r="FI370"/>
  <c r="FJ370"/>
  <c r="FK370"/>
  <c r="FL370"/>
  <c r="FM370"/>
  <c r="FN370"/>
  <c r="FO370"/>
  <c r="FP370"/>
  <c r="FQ370"/>
  <c r="FR370"/>
  <c r="FS370"/>
  <c r="FT370"/>
  <c r="FU370"/>
  <c r="FV370"/>
  <c r="FW370"/>
  <c r="FX370"/>
  <c r="FY370"/>
  <c r="FZ370"/>
  <c r="GA370"/>
  <c r="GB370"/>
  <c r="GC370"/>
  <c r="GD370"/>
  <c r="GE370"/>
  <c r="GF370"/>
  <c r="GG370"/>
  <c r="GH370"/>
  <c r="GI370"/>
  <c r="GJ370"/>
  <c r="GK370"/>
  <c r="GL370"/>
  <c r="GM370"/>
  <c r="GN370"/>
  <c r="GO370"/>
  <c r="GP370"/>
  <c r="GQ370"/>
  <c r="GR370"/>
  <c r="GS370"/>
  <c r="GT370"/>
  <c r="GU370"/>
  <c r="GV370"/>
  <c r="GW370"/>
  <c r="GX370"/>
  <c r="GY370"/>
  <c r="GZ370"/>
  <c r="HA370"/>
  <c r="HB370"/>
  <c r="HC370"/>
  <c r="HD370"/>
  <c r="HE370"/>
  <c r="HF370"/>
  <c r="HG370"/>
  <c r="HH370"/>
  <c r="HI370"/>
  <c r="HJ370"/>
  <c r="HK370"/>
  <c r="HL370"/>
  <c r="HM370"/>
  <c r="HN370"/>
  <c r="HO370"/>
  <c r="HP370"/>
  <c r="HQ370"/>
  <c r="HR370"/>
  <c r="HS370"/>
  <c r="HT370"/>
  <c r="HU370"/>
  <c r="HV370"/>
  <c r="HW370"/>
  <c r="HX370"/>
  <c r="HY370"/>
  <c r="HZ370"/>
  <c r="IA370"/>
  <c r="IB370"/>
  <c r="IC370"/>
  <c r="ID370"/>
  <c r="IE370"/>
  <c r="IF370"/>
  <c r="IG370"/>
  <c r="IH370"/>
  <c r="II370"/>
  <c r="IJ370"/>
  <c r="IK370"/>
  <c r="IL370"/>
  <c r="IM370"/>
  <c r="IN370"/>
  <c r="IO370"/>
  <c r="IP370"/>
  <c r="IQ370"/>
  <c r="IR370"/>
  <c r="IS370"/>
  <c r="IT370"/>
  <c r="IU370"/>
  <c r="IV370"/>
  <c r="A369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AE369"/>
  <c r="AF369"/>
  <c r="AG369"/>
  <c r="AH369"/>
  <c r="AI369"/>
  <c r="AJ369"/>
  <c r="AK369"/>
  <c r="AL369"/>
  <c r="AM369"/>
  <c r="AN369"/>
  <c r="AO369"/>
  <c r="AP369"/>
  <c r="AQ369"/>
  <c r="AR369"/>
  <c r="AS369"/>
  <c r="AT369"/>
  <c r="AU369"/>
  <c r="AV369"/>
  <c r="AW369"/>
  <c r="AX369"/>
  <c r="AY369"/>
  <c r="AZ369"/>
  <c r="BA369"/>
  <c r="BB369"/>
  <c r="BC369"/>
  <c r="BD369"/>
  <c r="BE369"/>
  <c r="BF369"/>
  <c r="BG369"/>
  <c r="BH369"/>
  <c r="BI369"/>
  <c r="BJ369"/>
  <c r="BK369"/>
  <c r="BL369"/>
  <c r="BM369"/>
  <c r="BN369"/>
  <c r="BO369"/>
  <c r="BP369"/>
  <c r="BQ369"/>
  <c r="BR369"/>
  <c r="BS369"/>
  <c r="BT369"/>
  <c r="BU369"/>
  <c r="BV369"/>
  <c r="BW369"/>
  <c r="BX369"/>
  <c r="BY369"/>
  <c r="BZ369"/>
  <c r="CA369"/>
  <c r="CB369"/>
  <c r="CC369"/>
  <c r="CD369"/>
  <c r="CE369"/>
  <c r="CF369"/>
  <c r="CG369"/>
  <c r="CH369"/>
  <c r="CI369"/>
  <c r="CJ369"/>
  <c r="CK369"/>
  <c r="CL369"/>
  <c r="CM369"/>
  <c r="CN369"/>
  <c r="CO369"/>
  <c r="CP369"/>
  <c r="CQ369"/>
  <c r="CR369"/>
  <c r="CS369"/>
  <c r="CT369"/>
  <c r="CU369"/>
  <c r="CV369"/>
  <c r="CW369"/>
  <c r="CX369"/>
  <c r="CY369"/>
  <c r="CZ369"/>
  <c r="DA369"/>
  <c r="DB369"/>
  <c r="DC369"/>
  <c r="DD369"/>
  <c r="DE369"/>
  <c r="DF369"/>
  <c r="DG369"/>
  <c r="DH369"/>
  <c r="DI369"/>
  <c r="DJ369"/>
  <c r="DK369"/>
  <c r="DL369"/>
  <c r="DM369"/>
  <c r="DN369"/>
  <c r="DO369"/>
  <c r="DP369"/>
  <c r="DQ369"/>
  <c r="DR369"/>
  <c r="DS369"/>
  <c r="DT369"/>
  <c r="DU369"/>
  <c r="DV369"/>
  <c r="DW369"/>
  <c r="DX369"/>
  <c r="DY369"/>
  <c r="DZ369"/>
  <c r="EA369"/>
  <c r="EB369"/>
  <c r="EC369"/>
  <c r="ED369"/>
  <c r="EE369"/>
  <c r="EF369"/>
  <c r="EG369"/>
  <c r="EH369"/>
  <c r="EI369"/>
  <c r="EJ369"/>
  <c r="EK369"/>
  <c r="EL369"/>
  <c r="EM369"/>
  <c r="EN369"/>
  <c r="EO369"/>
  <c r="EP369"/>
  <c r="EQ369"/>
  <c r="ER369"/>
  <c r="ES369"/>
  <c r="ET369"/>
  <c r="EU369"/>
  <c r="EV369"/>
  <c r="EW369"/>
  <c r="EX369"/>
  <c r="EY369"/>
  <c r="EZ369"/>
  <c r="FA369"/>
  <c r="FB369"/>
  <c r="FC369"/>
  <c r="FD369"/>
  <c r="FE369"/>
  <c r="FF369"/>
  <c r="FG369"/>
  <c r="FH369"/>
  <c r="FI369"/>
  <c r="FJ369"/>
  <c r="FK369"/>
  <c r="FL369"/>
  <c r="FM369"/>
  <c r="FN369"/>
  <c r="FO369"/>
  <c r="FP369"/>
  <c r="FQ369"/>
  <c r="FR369"/>
  <c r="FS369"/>
  <c r="FT369"/>
  <c r="FU369"/>
  <c r="FV369"/>
  <c r="FW369"/>
  <c r="FX369"/>
  <c r="FY369"/>
  <c r="FZ369"/>
  <c r="GA369"/>
  <c r="GB369"/>
  <c r="GC369"/>
  <c r="GD369"/>
  <c r="GE369"/>
  <c r="GF369"/>
  <c r="GG369"/>
  <c r="GH369"/>
  <c r="GI369"/>
  <c r="GJ369"/>
  <c r="GK369"/>
  <c r="GL369"/>
  <c r="GM369"/>
  <c r="GN369"/>
  <c r="GO369"/>
  <c r="GP369"/>
  <c r="GQ369"/>
  <c r="GR369"/>
  <c r="GS369"/>
  <c r="GT369"/>
  <c r="GU369"/>
  <c r="GV369"/>
  <c r="GW369"/>
  <c r="GX369"/>
  <c r="GY369"/>
  <c r="GZ369"/>
  <c r="HA369"/>
  <c r="HB369"/>
  <c r="HC369"/>
  <c r="HD369"/>
  <c r="HE369"/>
  <c r="HF369"/>
  <c r="HG369"/>
  <c r="HH369"/>
  <c r="HI369"/>
  <c r="HJ369"/>
  <c r="HK369"/>
  <c r="HL369"/>
  <c r="HM369"/>
  <c r="HN369"/>
  <c r="HO369"/>
  <c r="HP369"/>
  <c r="HQ369"/>
  <c r="HR369"/>
  <c r="HS369"/>
  <c r="HT369"/>
  <c r="HU369"/>
  <c r="HV369"/>
  <c r="HW369"/>
  <c r="HX369"/>
  <c r="HY369"/>
  <c r="HZ369"/>
  <c r="IA369"/>
  <c r="IB369"/>
  <c r="IC369"/>
  <c r="ID369"/>
  <c r="IE369"/>
  <c r="IF369"/>
  <c r="IG369"/>
  <c r="IH369"/>
  <c r="II369"/>
  <c r="IJ369"/>
  <c r="IK369"/>
  <c r="IL369"/>
  <c r="IM369"/>
  <c r="IN369"/>
  <c r="IO369"/>
  <c r="IP369"/>
  <c r="IQ369"/>
  <c r="IR369"/>
  <c r="IS369"/>
  <c r="IT369"/>
  <c r="IU369"/>
  <c r="IV369"/>
  <c r="A368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AE368"/>
  <c r="AF368"/>
  <c r="AG368"/>
  <c r="AH368"/>
  <c r="AI368"/>
  <c r="AJ368"/>
  <c r="AK368"/>
  <c r="AL368"/>
  <c r="AM368"/>
  <c r="AN368"/>
  <c r="AO368"/>
  <c r="AP368"/>
  <c r="AQ368"/>
  <c r="AR368"/>
  <c r="AS368"/>
  <c r="AT368"/>
  <c r="AU368"/>
  <c r="AV368"/>
  <c r="AW368"/>
  <c r="AX368"/>
  <c r="AY368"/>
  <c r="AZ368"/>
  <c r="BA368"/>
  <c r="BB368"/>
  <c r="BC368"/>
  <c r="BD368"/>
  <c r="BE368"/>
  <c r="BF368"/>
  <c r="BG368"/>
  <c r="BH368"/>
  <c r="BI368"/>
  <c r="BJ368"/>
  <c r="BK368"/>
  <c r="BL368"/>
  <c r="BM368"/>
  <c r="BN368"/>
  <c r="BO368"/>
  <c r="BP368"/>
  <c r="BQ368"/>
  <c r="BR368"/>
  <c r="BS368"/>
  <c r="BT368"/>
  <c r="BU368"/>
  <c r="BV368"/>
  <c r="BW368"/>
  <c r="BX368"/>
  <c r="BY368"/>
  <c r="BZ368"/>
  <c r="CA368"/>
  <c r="CB368"/>
  <c r="CC368"/>
  <c r="CD368"/>
  <c r="CE368"/>
  <c r="CF368"/>
  <c r="CG368"/>
  <c r="CH368"/>
  <c r="CI368"/>
  <c r="CJ368"/>
  <c r="CK368"/>
  <c r="CL368"/>
  <c r="CM368"/>
  <c r="CN368"/>
  <c r="CO368"/>
  <c r="CP368"/>
  <c r="CQ368"/>
  <c r="CR368"/>
  <c r="CS368"/>
  <c r="CT368"/>
  <c r="CU368"/>
  <c r="CV368"/>
  <c r="CW368"/>
  <c r="CX368"/>
  <c r="CY368"/>
  <c r="CZ368"/>
  <c r="DA368"/>
  <c r="DB368"/>
  <c r="DC368"/>
  <c r="DD368"/>
  <c r="DE368"/>
  <c r="DF368"/>
  <c r="DG368"/>
  <c r="DH368"/>
  <c r="DI368"/>
  <c r="DJ368"/>
  <c r="DK368"/>
  <c r="DL368"/>
  <c r="DM368"/>
  <c r="DN368"/>
  <c r="DO368"/>
  <c r="DP368"/>
  <c r="DQ368"/>
  <c r="DR368"/>
  <c r="DS368"/>
  <c r="DT368"/>
  <c r="DU368"/>
  <c r="DV368"/>
  <c r="DW368"/>
  <c r="DX368"/>
  <c r="DY368"/>
  <c r="DZ368"/>
  <c r="EA368"/>
  <c r="EB368"/>
  <c r="EC368"/>
  <c r="ED368"/>
  <c r="EE368"/>
  <c r="EF368"/>
  <c r="EG368"/>
  <c r="EH368"/>
  <c r="EI368"/>
  <c r="EJ368"/>
  <c r="EK368"/>
  <c r="EL368"/>
  <c r="EM368"/>
  <c r="EN368"/>
  <c r="EO368"/>
  <c r="EP368"/>
  <c r="EQ368"/>
  <c r="ER368"/>
  <c r="ES368"/>
  <c r="ET368"/>
  <c r="EU368"/>
  <c r="EV368"/>
  <c r="EW368"/>
  <c r="EX368"/>
  <c r="EY368"/>
  <c r="EZ368"/>
  <c r="FA368"/>
  <c r="FB368"/>
  <c r="FC368"/>
  <c r="FD368"/>
  <c r="FE368"/>
  <c r="FF368"/>
  <c r="FG368"/>
  <c r="FH368"/>
  <c r="FI368"/>
  <c r="FJ368"/>
  <c r="FK368"/>
  <c r="FL368"/>
  <c r="FM368"/>
  <c r="FN368"/>
  <c r="FO368"/>
  <c r="FP368"/>
  <c r="FQ368"/>
  <c r="FR368"/>
  <c r="FS368"/>
  <c r="FT368"/>
  <c r="FU368"/>
  <c r="FV368"/>
  <c r="FW368"/>
  <c r="FX368"/>
  <c r="FY368"/>
  <c r="FZ368"/>
  <c r="GA368"/>
  <c r="GB368"/>
  <c r="GC368"/>
  <c r="GD368"/>
  <c r="GE368"/>
  <c r="GF368"/>
  <c r="GG368"/>
  <c r="GH368"/>
  <c r="GI368"/>
  <c r="GJ368"/>
  <c r="GK368"/>
  <c r="GL368"/>
  <c r="GM368"/>
  <c r="GN368"/>
  <c r="GO368"/>
  <c r="GP368"/>
  <c r="GQ368"/>
  <c r="GR368"/>
  <c r="GS368"/>
  <c r="GT368"/>
  <c r="GU368"/>
  <c r="GV368"/>
  <c r="GW368"/>
  <c r="GX368"/>
  <c r="GY368"/>
  <c r="GZ368"/>
  <c r="HA368"/>
  <c r="HB368"/>
  <c r="HC368"/>
  <c r="HD368"/>
  <c r="HE368"/>
  <c r="HF368"/>
  <c r="HG368"/>
  <c r="HH368"/>
  <c r="HI368"/>
  <c r="HJ368"/>
  <c r="HK368"/>
  <c r="HL368"/>
  <c r="HM368"/>
  <c r="HN368"/>
  <c r="HO368"/>
  <c r="HP368"/>
  <c r="HQ368"/>
  <c r="HR368"/>
  <c r="HS368"/>
  <c r="HT368"/>
  <c r="HU368"/>
  <c r="HV368"/>
  <c r="HW368"/>
  <c r="HX368"/>
  <c r="HY368"/>
  <c r="HZ368"/>
  <c r="IA368"/>
  <c r="IB368"/>
  <c r="IC368"/>
  <c r="ID368"/>
  <c r="IE368"/>
  <c r="IF368"/>
  <c r="IG368"/>
  <c r="IH368"/>
  <c r="II368"/>
  <c r="IJ368"/>
  <c r="IK368"/>
  <c r="IL368"/>
  <c r="IM368"/>
  <c r="IN368"/>
  <c r="IO368"/>
  <c r="IP368"/>
  <c r="IQ368"/>
  <c r="IR368"/>
  <c r="IS368"/>
  <c r="IT368"/>
  <c r="IU368"/>
  <c r="IV368"/>
  <c r="A367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AE367"/>
  <c r="AF367"/>
  <c r="AG367"/>
  <c r="AH367"/>
  <c r="AI367"/>
  <c r="AJ367"/>
  <c r="AK367"/>
  <c r="AL367"/>
  <c r="AM367"/>
  <c r="AN367"/>
  <c r="AO367"/>
  <c r="AP367"/>
  <c r="AQ367"/>
  <c r="AR367"/>
  <c r="AS367"/>
  <c r="AT367"/>
  <c r="AU367"/>
  <c r="AV367"/>
  <c r="AW367"/>
  <c r="AX367"/>
  <c r="AY367"/>
  <c r="AZ367"/>
  <c r="BA367"/>
  <c r="BB367"/>
  <c r="BC367"/>
  <c r="BD367"/>
  <c r="BE367"/>
  <c r="BF367"/>
  <c r="BG367"/>
  <c r="BH367"/>
  <c r="BI367"/>
  <c r="BJ367"/>
  <c r="BK367"/>
  <c r="BL367"/>
  <c r="BM367"/>
  <c r="BN367"/>
  <c r="BO367"/>
  <c r="BP367"/>
  <c r="BQ367"/>
  <c r="BR367"/>
  <c r="BS367"/>
  <c r="BT367"/>
  <c r="BU367"/>
  <c r="BV367"/>
  <c r="BW367"/>
  <c r="BX367"/>
  <c r="BY367"/>
  <c r="BZ367"/>
  <c r="CA367"/>
  <c r="CB367"/>
  <c r="CC367"/>
  <c r="CD367"/>
  <c r="CE367"/>
  <c r="CF367"/>
  <c r="CG367"/>
  <c r="CH367"/>
  <c r="CI367"/>
  <c r="CJ367"/>
  <c r="CK367"/>
  <c r="CL367"/>
  <c r="CM367"/>
  <c r="CN367"/>
  <c r="CO367"/>
  <c r="CP367"/>
  <c r="CQ367"/>
  <c r="CR367"/>
  <c r="CS367"/>
  <c r="CT367"/>
  <c r="CU367"/>
  <c r="CV367"/>
  <c r="CW367"/>
  <c r="CX367"/>
  <c r="CY367"/>
  <c r="CZ367"/>
  <c r="DA367"/>
  <c r="DB367"/>
  <c r="DC367"/>
  <c r="DD367"/>
  <c r="DE367"/>
  <c r="DF367"/>
  <c r="DG367"/>
  <c r="DH367"/>
  <c r="DI367"/>
  <c r="DJ367"/>
  <c r="DK367"/>
  <c r="DL367"/>
  <c r="DM367"/>
  <c r="DN367"/>
  <c r="DO367"/>
  <c r="DP367"/>
  <c r="DQ367"/>
  <c r="DR367"/>
  <c r="DS367"/>
  <c r="DT367"/>
  <c r="DU367"/>
  <c r="DV367"/>
  <c r="DW367"/>
  <c r="DX367"/>
  <c r="DY367"/>
  <c r="DZ367"/>
  <c r="EA367"/>
  <c r="EB367"/>
  <c r="EC367"/>
  <c r="ED367"/>
  <c r="EE367"/>
  <c r="EF367"/>
  <c r="EG367"/>
  <c r="EH367"/>
  <c r="EI367"/>
  <c r="EJ367"/>
  <c r="EK367"/>
  <c r="EL367"/>
  <c r="EM367"/>
  <c r="EN367"/>
  <c r="EO367"/>
  <c r="EP367"/>
  <c r="EQ367"/>
  <c r="ER367"/>
  <c r="ES367"/>
  <c r="ET367"/>
  <c r="EU367"/>
  <c r="EV367"/>
  <c r="EW367"/>
  <c r="EX367"/>
  <c r="EY367"/>
  <c r="EZ367"/>
  <c r="FA367"/>
  <c r="FB367"/>
  <c r="FC367"/>
  <c r="FD367"/>
  <c r="FE367"/>
  <c r="FF367"/>
  <c r="FG367"/>
  <c r="FH367"/>
  <c r="FI367"/>
  <c r="FJ367"/>
  <c r="FK367"/>
  <c r="FL367"/>
  <c r="FM367"/>
  <c r="FN367"/>
  <c r="FO367"/>
  <c r="FP367"/>
  <c r="FQ367"/>
  <c r="FR367"/>
  <c r="FS367"/>
  <c r="FT367"/>
  <c r="FU367"/>
  <c r="FV367"/>
  <c r="FW367"/>
  <c r="FX367"/>
  <c r="FY367"/>
  <c r="FZ367"/>
  <c r="GA367"/>
  <c r="GB367"/>
  <c r="GC367"/>
  <c r="GD367"/>
  <c r="GE367"/>
  <c r="GF367"/>
  <c r="GG367"/>
  <c r="GH367"/>
  <c r="GI367"/>
  <c r="GJ367"/>
  <c r="GK367"/>
  <c r="GL367"/>
  <c r="GM367"/>
  <c r="GN367"/>
  <c r="GO367"/>
  <c r="GP367"/>
  <c r="GQ367"/>
  <c r="GR367"/>
  <c r="GS367"/>
  <c r="GT367"/>
  <c r="GU367"/>
  <c r="GV367"/>
  <c r="GW367"/>
  <c r="GX367"/>
  <c r="GY367"/>
  <c r="GZ367"/>
  <c r="HA367"/>
  <c r="HB367"/>
  <c r="HC367"/>
  <c r="HD367"/>
  <c r="HE367"/>
  <c r="HF367"/>
  <c r="HG367"/>
  <c r="HH367"/>
  <c r="HI367"/>
  <c r="HJ367"/>
  <c r="HK367"/>
  <c r="HL367"/>
  <c r="HM367"/>
  <c r="HN367"/>
  <c r="HO367"/>
  <c r="HP367"/>
  <c r="HQ367"/>
  <c r="HR367"/>
  <c r="HS367"/>
  <c r="HT367"/>
  <c r="HU367"/>
  <c r="HV367"/>
  <c r="HW367"/>
  <c r="HX367"/>
  <c r="HY367"/>
  <c r="HZ367"/>
  <c r="IA367"/>
  <c r="IB367"/>
  <c r="IC367"/>
  <c r="ID367"/>
  <c r="IE367"/>
  <c r="IF367"/>
  <c r="IG367"/>
  <c r="IH367"/>
  <c r="II367"/>
  <c r="IJ367"/>
  <c r="IK367"/>
  <c r="IL367"/>
  <c r="IM367"/>
  <c r="IN367"/>
  <c r="IO367"/>
  <c r="IP367"/>
  <c r="IQ367"/>
  <c r="IR367"/>
  <c r="IS367"/>
  <c r="IT367"/>
  <c r="IU367"/>
  <c r="IV367"/>
  <c r="A366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AE366"/>
  <c r="AF366"/>
  <c r="AG366"/>
  <c r="AH366"/>
  <c r="AI366"/>
  <c r="AJ366"/>
  <c r="AK366"/>
  <c r="AL366"/>
  <c r="AM366"/>
  <c r="AN366"/>
  <c r="AO366"/>
  <c r="AP366"/>
  <c r="AQ366"/>
  <c r="AR366"/>
  <c r="AS366"/>
  <c r="AT366"/>
  <c r="AU366"/>
  <c r="AV366"/>
  <c r="AW366"/>
  <c r="AX366"/>
  <c r="AY366"/>
  <c r="AZ366"/>
  <c r="BA366"/>
  <c r="BB366"/>
  <c r="BC366"/>
  <c r="BD366"/>
  <c r="BE366"/>
  <c r="BF366"/>
  <c r="BG366"/>
  <c r="BH366"/>
  <c r="BI366"/>
  <c r="BJ366"/>
  <c r="BK366"/>
  <c r="BL366"/>
  <c r="BM366"/>
  <c r="BN366"/>
  <c r="BO366"/>
  <c r="BP366"/>
  <c r="BQ366"/>
  <c r="BR366"/>
  <c r="BS366"/>
  <c r="BT366"/>
  <c r="BU366"/>
  <c r="BV366"/>
  <c r="BW366"/>
  <c r="BX366"/>
  <c r="BY366"/>
  <c r="BZ366"/>
  <c r="CA366"/>
  <c r="CB366"/>
  <c r="CC366"/>
  <c r="CD366"/>
  <c r="CE366"/>
  <c r="CF366"/>
  <c r="CG366"/>
  <c r="CH366"/>
  <c r="CI366"/>
  <c r="CJ366"/>
  <c r="CK366"/>
  <c r="CL366"/>
  <c r="CM366"/>
  <c r="CN366"/>
  <c r="CO366"/>
  <c r="CP366"/>
  <c r="CQ366"/>
  <c r="CR366"/>
  <c r="CS366"/>
  <c r="CT366"/>
  <c r="CU366"/>
  <c r="CV366"/>
  <c r="CW366"/>
  <c r="CX366"/>
  <c r="CY366"/>
  <c r="CZ366"/>
  <c r="DA366"/>
  <c r="DB366"/>
  <c r="DC366"/>
  <c r="DD366"/>
  <c r="DE366"/>
  <c r="DF366"/>
  <c r="DG366"/>
  <c r="DH366"/>
  <c r="DI366"/>
  <c r="DJ366"/>
  <c r="DK366"/>
  <c r="DL366"/>
  <c r="DM366"/>
  <c r="DN366"/>
  <c r="DO366"/>
  <c r="DP366"/>
  <c r="DQ366"/>
  <c r="DR366"/>
  <c r="DS366"/>
  <c r="DT366"/>
  <c r="DU366"/>
  <c r="DV366"/>
  <c r="DW366"/>
  <c r="DX366"/>
  <c r="DY366"/>
  <c r="DZ366"/>
  <c r="EA366"/>
  <c r="EB366"/>
  <c r="EC366"/>
  <c r="ED366"/>
  <c r="EE366"/>
  <c r="EF366"/>
  <c r="EG366"/>
  <c r="EH366"/>
  <c r="EI366"/>
  <c r="EJ366"/>
  <c r="EK366"/>
  <c r="EL366"/>
  <c r="EM366"/>
  <c r="EN366"/>
  <c r="EO366"/>
  <c r="EP366"/>
  <c r="EQ366"/>
  <c r="ER366"/>
  <c r="ES366"/>
  <c r="ET366"/>
  <c r="EU366"/>
  <c r="EV366"/>
  <c r="EW366"/>
  <c r="EX366"/>
  <c r="EY366"/>
  <c r="EZ366"/>
  <c r="FA366"/>
  <c r="FB366"/>
  <c r="FC366"/>
  <c r="FD366"/>
  <c r="FE366"/>
  <c r="FF366"/>
  <c r="FG366"/>
  <c r="FH366"/>
  <c r="FI366"/>
  <c r="FJ366"/>
  <c r="FK366"/>
  <c r="FL366"/>
  <c r="FM366"/>
  <c r="FN366"/>
  <c r="FO366"/>
  <c r="FP366"/>
  <c r="FQ366"/>
  <c r="FR366"/>
  <c r="FS366"/>
  <c r="FT366"/>
  <c r="FU366"/>
  <c r="FV366"/>
  <c r="FW366"/>
  <c r="FX366"/>
  <c r="FY366"/>
  <c r="FZ366"/>
  <c r="GA366"/>
  <c r="GB366"/>
  <c r="GC366"/>
  <c r="GD366"/>
  <c r="GE366"/>
  <c r="GF366"/>
  <c r="GG366"/>
  <c r="GH366"/>
  <c r="GI366"/>
  <c r="GJ366"/>
  <c r="GK366"/>
  <c r="GL366"/>
  <c r="GM366"/>
  <c r="GN366"/>
  <c r="GO366"/>
  <c r="GP366"/>
  <c r="GQ366"/>
  <c r="GR366"/>
  <c r="GS366"/>
  <c r="GT366"/>
  <c r="GU366"/>
  <c r="GV366"/>
  <c r="GW366"/>
  <c r="GX366"/>
  <c r="GY366"/>
  <c r="GZ366"/>
  <c r="HA366"/>
  <c r="HB366"/>
  <c r="HC366"/>
  <c r="HD366"/>
  <c r="HE366"/>
  <c r="HF366"/>
  <c r="HG366"/>
  <c r="HH366"/>
  <c r="HI366"/>
  <c r="HJ366"/>
  <c r="HK366"/>
  <c r="HL366"/>
  <c r="HM366"/>
  <c r="HN366"/>
  <c r="HO366"/>
  <c r="HP366"/>
  <c r="HQ366"/>
  <c r="HR366"/>
  <c r="HS366"/>
  <c r="HT366"/>
  <c r="HU366"/>
  <c r="HV366"/>
  <c r="HW366"/>
  <c r="HX366"/>
  <c r="HY366"/>
  <c r="HZ366"/>
  <c r="IA366"/>
  <c r="IB366"/>
  <c r="IC366"/>
  <c r="ID366"/>
  <c r="IE366"/>
  <c r="IF366"/>
  <c r="IG366"/>
  <c r="IH366"/>
  <c r="II366"/>
  <c r="IJ366"/>
  <c r="IK366"/>
  <c r="IL366"/>
  <c r="IM366"/>
  <c r="IN366"/>
  <c r="IO366"/>
  <c r="IP366"/>
  <c r="IQ366"/>
  <c r="IR366"/>
  <c r="IS366"/>
  <c r="IT366"/>
  <c r="IU366"/>
  <c r="IV366"/>
  <c r="A365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AE365"/>
  <c r="AF365"/>
  <c r="AG365"/>
  <c r="AH365"/>
  <c r="AI365"/>
  <c r="AJ365"/>
  <c r="AK365"/>
  <c r="AL365"/>
  <c r="AM365"/>
  <c r="AN365"/>
  <c r="AO365"/>
  <c r="AP365"/>
  <c r="AQ365"/>
  <c r="AR365"/>
  <c r="AS365"/>
  <c r="AT365"/>
  <c r="AU365"/>
  <c r="AV365"/>
  <c r="AW365"/>
  <c r="AX365"/>
  <c r="AY365"/>
  <c r="AZ365"/>
  <c r="BA365"/>
  <c r="BB365"/>
  <c r="BC365"/>
  <c r="BD365"/>
  <c r="BE365"/>
  <c r="BF365"/>
  <c r="BG365"/>
  <c r="BH365"/>
  <c r="BI365"/>
  <c r="BJ365"/>
  <c r="BK365"/>
  <c r="BL365"/>
  <c r="BM365"/>
  <c r="BN365"/>
  <c r="BO365"/>
  <c r="BP365"/>
  <c r="BQ365"/>
  <c r="BR365"/>
  <c r="BS365"/>
  <c r="BT365"/>
  <c r="BU365"/>
  <c r="BV365"/>
  <c r="BW365"/>
  <c r="BX365"/>
  <c r="BY365"/>
  <c r="BZ365"/>
  <c r="CA365"/>
  <c r="CB365"/>
  <c r="CC365"/>
  <c r="CD365"/>
  <c r="CE365"/>
  <c r="CF365"/>
  <c r="CG365"/>
  <c r="CH365"/>
  <c r="CI365"/>
  <c r="CJ365"/>
  <c r="CK365"/>
  <c r="CL365"/>
  <c r="CM365"/>
  <c r="CN365"/>
  <c r="CO365"/>
  <c r="CP365"/>
  <c r="CQ365"/>
  <c r="CR365"/>
  <c r="CS365"/>
  <c r="CT365"/>
  <c r="CU365"/>
  <c r="CV365"/>
  <c r="CW365"/>
  <c r="CX365"/>
  <c r="CY365"/>
  <c r="CZ365"/>
  <c r="DA365"/>
  <c r="DB365"/>
  <c r="DC365"/>
  <c r="DD365"/>
  <c r="DE365"/>
  <c r="DF365"/>
  <c r="DG365"/>
  <c r="DH365"/>
  <c r="DI365"/>
  <c r="DJ365"/>
  <c r="DK365"/>
  <c r="DL365"/>
  <c r="DM365"/>
  <c r="DN365"/>
  <c r="DO365"/>
  <c r="DP365"/>
  <c r="DQ365"/>
  <c r="DR365"/>
  <c r="DS365"/>
  <c r="DT365"/>
  <c r="DU365"/>
  <c r="DV365"/>
  <c r="DW365"/>
  <c r="DX365"/>
  <c r="DY365"/>
  <c r="DZ365"/>
  <c r="EA365"/>
  <c r="EB365"/>
  <c r="EC365"/>
  <c r="ED365"/>
  <c r="EE365"/>
  <c r="EF365"/>
  <c r="EG365"/>
  <c r="EH365"/>
  <c r="EI365"/>
  <c r="EJ365"/>
  <c r="EK365"/>
  <c r="EL365"/>
  <c r="EM365"/>
  <c r="EN365"/>
  <c r="EO365"/>
  <c r="EP365"/>
  <c r="EQ365"/>
  <c r="ER365"/>
  <c r="ES365"/>
  <c r="ET365"/>
  <c r="EU365"/>
  <c r="EV365"/>
  <c r="EW365"/>
  <c r="EX365"/>
  <c r="EY365"/>
  <c r="EZ365"/>
  <c r="FA365"/>
  <c r="FB365"/>
  <c r="FC365"/>
  <c r="FD365"/>
  <c r="FE365"/>
  <c r="FF365"/>
  <c r="FG365"/>
  <c r="FH365"/>
  <c r="FI365"/>
  <c r="FJ365"/>
  <c r="FK365"/>
  <c r="FL365"/>
  <c r="FM365"/>
  <c r="FN365"/>
  <c r="FO365"/>
  <c r="FP365"/>
  <c r="FQ365"/>
  <c r="FR365"/>
  <c r="FS365"/>
  <c r="FT365"/>
  <c r="FU365"/>
  <c r="FV365"/>
  <c r="FW365"/>
  <c r="FX365"/>
  <c r="FY365"/>
  <c r="FZ365"/>
  <c r="GA365"/>
  <c r="GB365"/>
  <c r="GC365"/>
  <c r="GD365"/>
  <c r="GE365"/>
  <c r="GF365"/>
  <c r="GG365"/>
  <c r="GH365"/>
  <c r="GI365"/>
  <c r="GJ365"/>
  <c r="GK365"/>
  <c r="GL365"/>
  <c r="GM365"/>
  <c r="GN365"/>
  <c r="GO365"/>
  <c r="GP365"/>
  <c r="GQ365"/>
  <c r="GR365"/>
  <c r="GS365"/>
  <c r="GT365"/>
  <c r="GU365"/>
  <c r="GV365"/>
  <c r="GW365"/>
  <c r="GX365"/>
  <c r="GY365"/>
  <c r="GZ365"/>
  <c r="HA365"/>
  <c r="HB365"/>
  <c r="HC365"/>
  <c r="HD365"/>
  <c r="HE365"/>
  <c r="HF365"/>
  <c r="HG365"/>
  <c r="HH365"/>
  <c r="HI365"/>
  <c r="HJ365"/>
  <c r="HK365"/>
  <c r="HL365"/>
  <c r="HM365"/>
  <c r="HN365"/>
  <c r="HO365"/>
  <c r="HP365"/>
  <c r="HQ365"/>
  <c r="HR365"/>
  <c r="HS365"/>
  <c r="HT365"/>
  <c r="HU365"/>
  <c r="HV365"/>
  <c r="HW365"/>
  <c r="HX365"/>
  <c r="HY365"/>
  <c r="HZ365"/>
  <c r="IA365"/>
  <c r="IB365"/>
  <c r="IC365"/>
  <c r="ID365"/>
  <c r="IE365"/>
  <c r="IF365"/>
  <c r="IG365"/>
  <c r="IH365"/>
  <c r="II365"/>
  <c r="IJ365"/>
  <c r="IK365"/>
  <c r="IL365"/>
  <c r="IM365"/>
  <c r="IN365"/>
  <c r="IO365"/>
  <c r="IP365"/>
  <c r="IQ365"/>
  <c r="IR365"/>
  <c r="IS365"/>
  <c r="IT365"/>
  <c r="IU365"/>
  <c r="IV365"/>
  <c r="A364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AE364"/>
  <c r="AF364"/>
  <c r="AG364"/>
  <c r="AH364"/>
  <c r="AI364"/>
  <c r="AJ364"/>
  <c r="AK364"/>
  <c r="AL364"/>
  <c r="AM364"/>
  <c r="AN364"/>
  <c r="AO364"/>
  <c r="AP364"/>
  <c r="AQ364"/>
  <c r="AR364"/>
  <c r="AS364"/>
  <c r="AT364"/>
  <c r="AU364"/>
  <c r="AV364"/>
  <c r="AW364"/>
  <c r="AX364"/>
  <c r="AY364"/>
  <c r="AZ364"/>
  <c r="BA364"/>
  <c r="BB364"/>
  <c r="BC364"/>
  <c r="BD364"/>
  <c r="BE364"/>
  <c r="BF364"/>
  <c r="BG364"/>
  <c r="BH364"/>
  <c r="BI364"/>
  <c r="BJ364"/>
  <c r="BK364"/>
  <c r="BL364"/>
  <c r="BM364"/>
  <c r="BN364"/>
  <c r="BO364"/>
  <c r="BP364"/>
  <c r="BQ364"/>
  <c r="BR364"/>
  <c r="BS364"/>
  <c r="BT364"/>
  <c r="BU364"/>
  <c r="BV364"/>
  <c r="BW364"/>
  <c r="BX364"/>
  <c r="BY364"/>
  <c r="BZ364"/>
  <c r="CA364"/>
  <c r="CB364"/>
  <c r="CC364"/>
  <c r="CD364"/>
  <c r="CE364"/>
  <c r="CF364"/>
  <c r="CG364"/>
  <c r="CH364"/>
  <c r="CI364"/>
  <c r="CJ364"/>
  <c r="CK364"/>
  <c r="CL364"/>
  <c r="CM364"/>
  <c r="CN364"/>
  <c r="CO364"/>
  <c r="CP364"/>
  <c r="CQ364"/>
  <c r="CR364"/>
  <c r="CS364"/>
  <c r="CT364"/>
  <c r="CU364"/>
  <c r="CV364"/>
  <c r="CW364"/>
  <c r="CX364"/>
  <c r="CY364"/>
  <c r="CZ364"/>
  <c r="DA364"/>
  <c r="DB364"/>
  <c r="DC364"/>
  <c r="DD364"/>
  <c r="DE364"/>
  <c r="DF364"/>
  <c r="DG364"/>
  <c r="DH364"/>
  <c r="DI364"/>
  <c r="DJ364"/>
  <c r="DK364"/>
  <c r="DL364"/>
  <c r="DM364"/>
  <c r="DN364"/>
  <c r="DO364"/>
  <c r="DP364"/>
  <c r="DQ364"/>
  <c r="DR364"/>
  <c r="DS364"/>
  <c r="DT364"/>
  <c r="DU364"/>
  <c r="DV364"/>
  <c r="DW364"/>
  <c r="DX364"/>
  <c r="DY364"/>
  <c r="DZ364"/>
  <c r="EA364"/>
  <c r="EB364"/>
  <c r="EC364"/>
  <c r="ED364"/>
  <c r="EE364"/>
  <c r="EF364"/>
  <c r="EG364"/>
  <c r="EH364"/>
  <c r="EI364"/>
  <c r="EJ364"/>
  <c r="EK364"/>
  <c r="EL364"/>
  <c r="EM364"/>
  <c r="EN364"/>
  <c r="EO364"/>
  <c r="EP364"/>
  <c r="EQ364"/>
  <c r="ER364"/>
  <c r="ES364"/>
  <c r="ET364"/>
  <c r="EU364"/>
  <c r="EV364"/>
  <c r="EW364"/>
  <c r="EX364"/>
  <c r="EY364"/>
  <c r="EZ364"/>
  <c r="FA364"/>
  <c r="FB364"/>
  <c r="FC364"/>
  <c r="FD364"/>
  <c r="FE364"/>
  <c r="FF364"/>
  <c r="FG364"/>
  <c r="FH364"/>
  <c r="FI364"/>
  <c r="FJ364"/>
  <c r="FK364"/>
  <c r="FL364"/>
  <c r="FM364"/>
  <c r="FN364"/>
  <c r="FO364"/>
  <c r="FP364"/>
  <c r="FQ364"/>
  <c r="FR364"/>
  <c r="FS364"/>
  <c r="FT364"/>
  <c r="FU364"/>
  <c r="FV364"/>
  <c r="FW364"/>
  <c r="FX364"/>
  <c r="FY364"/>
  <c r="FZ364"/>
  <c r="GA364"/>
  <c r="GB364"/>
  <c r="GC364"/>
  <c r="GD364"/>
  <c r="GE364"/>
  <c r="GF364"/>
  <c r="GG364"/>
  <c r="GH364"/>
  <c r="GI364"/>
  <c r="GJ364"/>
  <c r="GK364"/>
  <c r="GL364"/>
  <c r="GM364"/>
  <c r="GN364"/>
  <c r="GO364"/>
  <c r="GP364"/>
  <c r="GQ364"/>
  <c r="GR364"/>
  <c r="GS364"/>
  <c r="GT364"/>
  <c r="GU364"/>
  <c r="GV364"/>
  <c r="GW364"/>
  <c r="GX364"/>
  <c r="GY364"/>
  <c r="GZ364"/>
  <c r="HA364"/>
  <c r="HB364"/>
  <c r="HC364"/>
  <c r="HD364"/>
  <c r="HE364"/>
  <c r="HF364"/>
  <c r="HG364"/>
  <c r="HH364"/>
  <c r="HI364"/>
  <c r="HJ364"/>
  <c r="HK364"/>
  <c r="HL364"/>
  <c r="HM364"/>
  <c r="HN364"/>
  <c r="HO364"/>
  <c r="HP364"/>
  <c r="HQ364"/>
  <c r="HR364"/>
  <c r="HS364"/>
  <c r="HT364"/>
  <c r="HU364"/>
  <c r="HV364"/>
  <c r="HW364"/>
  <c r="HX364"/>
  <c r="HY364"/>
  <c r="HZ364"/>
  <c r="IA364"/>
  <c r="IB364"/>
  <c r="IC364"/>
  <c r="ID364"/>
  <c r="IE364"/>
  <c r="IF364"/>
  <c r="IG364"/>
  <c r="IH364"/>
  <c r="II364"/>
  <c r="IJ364"/>
  <c r="IK364"/>
  <c r="IL364"/>
  <c r="IM364"/>
  <c r="IN364"/>
  <c r="IO364"/>
  <c r="IP364"/>
  <c r="IQ364"/>
  <c r="IR364"/>
  <c r="IS364"/>
  <c r="IT364"/>
  <c r="IU364"/>
  <c r="IV364"/>
  <c r="A363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AE363"/>
  <c r="AF363"/>
  <c r="AG363"/>
  <c r="AH363"/>
  <c r="AI363"/>
  <c r="AJ363"/>
  <c r="AK363"/>
  <c r="AL363"/>
  <c r="AM363"/>
  <c r="AN363"/>
  <c r="AO363"/>
  <c r="AP363"/>
  <c r="AQ363"/>
  <c r="AR363"/>
  <c r="AS363"/>
  <c r="AT363"/>
  <c r="AU363"/>
  <c r="AV363"/>
  <c r="AW363"/>
  <c r="AX363"/>
  <c r="AY363"/>
  <c r="AZ363"/>
  <c r="BA363"/>
  <c r="BB363"/>
  <c r="BC363"/>
  <c r="BD363"/>
  <c r="BE363"/>
  <c r="BF363"/>
  <c r="BG363"/>
  <c r="BH363"/>
  <c r="BI363"/>
  <c r="BJ363"/>
  <c r="BK363"/>
  <c r="BL363"/>
  <c r="BM363"/>
  <c r="BN363"/>
  <c r="BO363"/>
  <c r="BP363"/>
  <c r="BQ363"/>
  <c r="BR363"/>
  <c r="BS363"/>
  <c r="BT363"/>
  <c r="BU363"/>
  <c r="BV363"/>
  <c r="BW363"/>
  <c r="BX363"/>
  <c r="BY363"/>
  <c r="BZ363"/>
  <c r="CA363"/>
  <c r="CB363"/>
  <c r="CC363"/>
  <c r="CD363"/>
  <c r="CE363"/>
  <c r="CF363"/>
  <c r="CG363"/>
  <c r="CH363"/>
  <c r="CI363"/>
  <c r="CJ363"/>
  <c r="CK363"/>
  <c r="CL363"/>
  <c r="CM363"/>
  <c r="CN363"/>
  <c r="CO363"/>
  <c r="CP363"/>
  <c r="CQ363"/>
  <c r="CR363"/>
  <c r="CS363"/>
  <c r="CT363"/>
  <c r="CU363"/>
  <c r="CV363"/>
  <c r="CW363"/>
  <c r="CX363"/>
  <c r="CY363"/>
  <c r="CZ363"/>
  <c r="DA363"/>
  <c r="DB363"/>
  <c r="DC363"/>
  <c r="DD363"/>
  <c r="DE363"/>
  <c r="DF363"/>
  <c r="DG363"/>
  <c r="DH363"/>
  <c r="DI363"/>
  <c r="DJ363"/>
  <c r="DK363"/>
  <c r="DL363"/>
  <c r="DM363"/>
  <c r="DN363"/>
  <c r="DO363"/>
  <c r="DP363"/>
  <c r="DQ363"/>
  <c r="DR363"/>
  <c r="DS363"/>
  <c r="DT363"/>
  <c r="DU363"/>
  <c r="DV363"/>
  <c r="DW363"/>
  <c r="DX363"/>
  <c r="DY363"/>
  <c r="DZ363"/>
  <c r="EA363"/>
  <c r="EB363"/>
  <c r="EC363"/>
  <c r="ED363"/>
  <c r="EE363"/>
  <c r="EF363"/>
  <c r="EG363"/>
  <c r="EH363"/>
  <c r="EI363"/>
  <c r="EJ363"/>
  <c r="EK363"/>
  <c r="EL363"/>
  <c r="EM363"/>
  <c r="EN363"/>
  <c r="EO363"/>
  <c r="EP363"/>
  <c r="EQ363"/>
  <c r="ER363"/>
  <c r="ES363"/>
  <c r="ET363"/>
  <c r="EU363"/>
  <c r="EV363"/>
  <c r="EW363"/>
  <c r="EX363"/>
  <c r="EY363"/>
  <c r="EZ363"/>
  <c r="FA363"/>
  <c r="FB363"/>
  <c r="FC363"/>
  <c r="FD363"/>
  <c r="FE363"/>
  <c r="FF363"/>
  <c r="FG363"/>
  <c r="FH363"/>
  <c r="FI363"/>
  <c r="FJ363"/>
  <c r="FK363"/>
  <c r="FL363"/>
  <c r="FM363"/>
  <c r="FN363"/>
  <c r="FO363"/>
  <c r="FP363"/>
  <c r="FQ363"/>
  <c r="FR363"/>
  <c r="FS363"/>
  <c r="FT363"/>
  <c r="FU363"/>
  <c r="FV363"/>
  <c r="FW363"/>
  <c r="FX363"/>
  <c r="FY363"/>
  <c r="FZ363"/>
  <c r="GA363"/>
  <c r="GB363"/>
  <c r="GC363"/>
  <c r="GD363"/>
  <c r="GE363"/>
  <c r="GF363"/>
  <c r="GG363"/>
  <c r="GH363"/>
  <c r="GI363"/>
  <c r="GJ363"/>
  <c r="GK363"/>
  <c r="GL363"/>
  <c r="GM363"/>
  <c r="GN363"/>
  <c r="GO363"/>
  <c r="GP363"/>
  <c r="GQ363"/>
  <c r="GR363"/>
  <c r="GS363"/>
  <c r="GT363"/>
  <c r="GU363"/>
  <c r="GV363"/>
  <c r="GW363"/>
  <c r="GX363"/>
  <c r="GY363"/>
  <c r="GZ363"/>
  <c r="HA363"/>
  <c r="HB363"/>
  <c r="HC363"/>
  <c r="HD363"/>
  <c r="HE363"/>
  <c r="HF363"/>
  <c r="HG363"/>
  <c r="HH363"/>
  <c r="HI363"/>
  <c r="HJ363"/>
  <c r="HK363"/>
  <c r="HL363"/>
  <c r="HM363"/>
  <c r="HN363"/>
  <c r="HO363"/>
  <c r="HP363"/>
  <c r="HQ363"/>
  <c r="HR363"/>
  <c r="HS363"/>
  <c r="HT363"/>
  <c r="HU363"/>
  <c r="HV363"/>
  <c r="HW363"/>
  <c r="HX363"/>
  <c r="HY363"/>
  <c r="HZ363"/>
  <c r="IA363"/>
  <c r="IB363"/>
  <c r="IC363"/>
  <c r="ID363"/>
  <c r="IE363"/>
  <c r="IF363"/>
  <c r="IG363"/>
  <c r="IH363"/>
  <c r="II363"/>
  <c r="IJ363"/>
  <c r="IK363"/>
  <c r="IL363"/>
  <c r="IM363"/>
  <c r="IN363"/>
  <c r="IO363"/>
  <c r="IP363"/>
  <c r="IQ363"/>
  <c r="IR363"/>
  <c r="IS363"/>
  <c r="IT363"/>
  <c r="IU363"/>
  <c r="IV363"/>
  <c r="A362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AT362"/>
  <c r="AU362"/>
  <c r="AV362"/>
  <c r="AW362"/>
  <c r="AX362"/>
  <c r="AY362"/>
  <c r="AZ362"/>
  <c r="BA362"/>
  <c r="BB362"/>
  <c r="BC362"/>
  <c r="BD362"/>
  <c r="BE362"/>
  <c r="BF362"/>
  <c r="BG362"/>
  <c r="BH362"/>
  <c r="BI362"/>
  <c r="BJ362"/>
  <c r="BK362"/>
  <c r="BL362"/>
  <c r="BM362"/>
  <c r="BN362"/>
  <c r="BO362"/>
  <c r="BP362"/>
  <c r="BQ362"/>
  <c r="BR362"/>
  <c r="BS362"/>
  <c r="BT362"/>
  <c r="BU362"/>
  <c r="BV362"/>
  <c r="BW362"/>
  <c r="BX362"/>
  <c r="BY362"/>
  <c r="BZ362"/>
  <c r="CA362"/>
  <c r="CB362"/>
  <c r="CC362"/>
  <c r="CD362"/>
  <c r="CE362"/>
  <c r="CF362"/>
  <c r="CG362"/>
  <c r="CH362"/>
  <c r="CI362"/>
  <c r="CJ362"/>
  <c r="CK362"/>
  <c r="CL362"/>
  <c r="CM362"/>
  <c r="CN362"/>
  <c r="CO362"/>
  <c r="CP362"/>
  <c r="CQ362"/>
  <c r="CR362"/>
  <c r="CS362"/>
  <c r="CT362"/>
  <c r="CU362"/>
  <c r="CV362"/>
  <c r="CW362"/>
  <c r="CX362"/>
  <c r="CY362"/>
  <c r="CZ362"/>
  <c r="DA362"/>
  <c r="DB362"/>
  <c r="DC362"/>
  <c r="DD362"/>
  <c r="DE362"/>
  <c r="DF362"/>
  <c r="DG362"/>
  <c r="DH362"/>
  <c r="DI362"/>
  <c r="DJ362"/>
  <c r="DK362"/>
  <c r="DL362"/>
  <c r="DM362"/>
  <c r="DN362"/>
  <c r="DO362"/>
  <c r="DP362"/>
  <c r="DQ362"/>
  <c r="DR362"/>
  <c r="DS362"/>
  <c r="DT362"/>
  <c r="DU362"/>
  <c r="DV362"/>
  <c r="DW362"/>
  <c r="DX362"/>
  <c r="DY362"/>
  <c r="DZ362"/>
  <c r="EA362"/>
  <c r="EB362"/>
  <c r="EC362"/>
  <c r="ED362"/>
  <c r="EE362"/>
  <c r="EF362"/>
  <c r="EG362"/>
  <c r="EH362"/>
  <c r="EI362"/>
  <c r="EJ362"/>
  <c r="EK362"/>
  <c r="EL362"/>
  <c r="EM362"/>
  <c r="EN362"/>
  <c r="EO362"/>
  <c r="EP362"/>
  <c r="EQ362"/>
  <c r="ER362"/>
  <c r="ES362"/>
  <c r="ET362"/>
  <c r="EU362"/>
  <c r="EV362"/>
  <c r="EW362"/>
  <c r="EX362"/>
  <c r="EY362"/>
  <c r="EZ362"/>
  <c r="FA362"/>
  <c r="FB362"/>
  <c r="FC362"/>
  <c r="FD362"/>
  <c r="FE362"/>
  <c r="FF362"/>
  <c r="FG362"/>
  <c r="FH362"/>
  <c r="FI362"/>
  <c r="FJ362"/>
  <c r="FK362"/>
  <c r="FL362"/>
  <c r="FM362"/>
  <c r="FN362"/>
  <c r="FO362"/>
  <c r="FP362"/>
  <c r="FQ362"/>
  <c r="FR362"/>
  <c r="FS362"/>
  <c r="FT362"/>
  <c r="FU362"/>
  <c r="FV362"/>
  <c r="FW362"/>
  <c r="FX362"/>
  <c r="FY362"/>
  <c r="FZ362"/>
  <c r="GA362"/>
  <c r="GB362"/>
  <c r="GC362"/>
  <c r="GD362"/>
  <c r="GE362"/>
  <c r="GF362"/>
  <c r="GG362"/>
  <c r="GH362"/>
  <c r="GI362"/>
  <c r="GJ362"/>
  <c r="GK362"/>
  <c r="GL362"/>
  <c r="GM362"/>
  <c r="GN362"/>
  <c r="GO362"/>
  <c r="GP362"/>
  <c r="GQ362"/>
  <c r="GR362"/>
  <c r="GS362"/>
  <c r="GT362"/>
  <c r="GU362"/>
  <c r="GV362"/>
  <c r="GW362"/>
  <c r="GX362"/>
  <c r="GY362"/>
  <c r="GZ362"/>
  <c r="HA362"/>
  <c r="HB362"/>
  <c r="HC362"/>
  <c r="HD362"/>
  <c r="HE362"/>
  <c r="HF362"/>
  <c r="HG362"/>
  <c r="HH362"/>
  <c r="HI362"/>
  <c r="HJ362"/>
  <c r="HK362"/>
  <c r="HL362"/>
  <c r="HM362"/>
  <c r="HN362"/>
  <c r="HO362"/>
  <c r="HP362"/>
  <c r="HQ362"/>
  <c r="HR362"/>
  <c r="HS362"/>
  <c r="HT362"/>
  <c r="HU362"/>
  <c r="HV362"/>
  <c r="HW362"/>
  <c r="HX362"/>
  <c r="HY362"/>
  <c r="HZ362"/>
  <c r="IA362"/>
  <c r="IB362"/>
  <c r="IC362"/>
  <c r="ID362"/>
  <c r="IE362"/>
  <c r="IF362"/>
  <c r="IG362"/>
  <c r="IH362"/>
  <c r="II362"/>
  <c r="IJ362"/>
  <c r="IK362"/>
  <c r="IL362"/>
  <c r="IM362"/>
  <c r="IN362"/>
  <c r="IO362"/>
  <c r="IP362"/>
  <c r="IQ362"/>
  <c r="IR362"/>
  <c r="IS362"/>
  <c r="IT362"/>
  <c r="IU362"/>
  <c r="IV362"/>
  <c r="A361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AT361"/>
  <c r="AU361"/>
  <c r="AV361"/>
  <c r="AW361"/>
  <c r="AX361"/>
  <c r="AY361"/>
  <c r="AZ361"/>
  <c r="BA361"/>
  <c r="BB361"/>
  <c r="BC361"/>
  <c r="BD361"/>
  <c r="BE361"/>
  <c r="BF361"/>
  <c r="BG361"/>
  <c r="BH361"/>
  <c r="BI361"/>
  <c r="BJ361"/>
  <c r="BK361"/>
  <c r="BL361"/>
  <c r="BM361"/>
  <c r="BN361"/>
  <c r="BO361"/>
  <c r="BP361"/>
  <c r="BQ361"/>
  <c r="BR361"/>
  <c r="BS361"/>
  <c r="BT361"/>
  <c r="BU361"/>
  <c r="BV361"/>
  <c r="BW361"/>
  <c r="BX361"/>
  <c r="BY361"/>
  <c r="BZ361"/>
  <c r="CA361"/>
  <c r="CB361"/>
  <c r="CC361"/>
  <c r="CD361"/>
  <c r="CE361"/>
  <c r="CF361"/>
  <c r="CG361"/>
  <c r="CH361"/>
  <c r="CI361"/>
  <c r="CJ361"/>
  <c r="CK361"/>
  <c r="CL361"/>
  <c r="CM361"/>
  <c r="CN361"/>
  <c r="CO361"/>
  <c r="CP361"/>
  <c r="CQ361"/>
  <c r="CR361"/>
  <c r="CS361"/>
  <c r="CT361"/>
  <c r="CU361"/>
  <c r="CV361"/>
  <c r="CW361"/>
  <c r="CX361"/>
  <c r="CY361"/>
  <c r="CZ361"/>
  <c r="DA361"/>
  <c r="DB361"/>
  <c r="DC361"/>
  <c r="DD361"/>
  <c r="DE361"/>
  <c r="DF361"/>
  <c r="DG361"/>
  <c r="DH361"/>
  <c r="DI361"/>
  <c r="DJ361"/>
  <c r="DK361"/>
  <c r="DL361"/>
  <c r="DM361"/>
  <c r="DN361"/>
  <c r="DO361"/>
  <c r="DP361"/>
  <c r="DQ361"/>
  <c r="DR361"/>
  <c r="DS361"/>
  <c r="DT361"/>
  <c r="DU361"/>
  <c r="DV361"/>
  <c r="DW361"/>
  <c r="DX361"/>
  <c r="DY361"/>
  <c r="DZ361"/>
  <c r="EA361"/>
  <c r="EB361"/>
  <c r="EC361"/>
  <c r="ED361"/>
  <c r="EE361"/>
  <c r="EF361"/>
  <c r="EG361"/>
  <c r="EH361"/>
  <c r="EI361"/>
  <c r="EJ361"/>
  <c r="EK361"/>
  <c r="EL361"/>
  <c r="EM361"/>
  <c r="EN361"/>
  <c r="EO361"/>
  <c r="EP361"/>
  <c r="EQ361"/>
  <c r="ER361"/>
  <c r="ES361"/>
  <c r="ET361"/>
  <c r="EU361"/>
  <c r="EV361"/>
  <c r="EW361"/>
  <c r="EX361"/>
  <c r="EY361"/>
  <c r="EZ361"/>
  <c r="FA361"/>
  <c r="FB361"/>
  <c r="FC361"/>
  <c r="FD361"/>
  <c r="FE361"/>
  <c r="FF361"/>
  <c r="FG361"/>
  <c r="FH361"/>
  <c r="FI361"/>
  <c r="FJ361"/>
  <c r="FK361"/>
  <c r="FL361"/>
  <c r="FM361"/>
  <c r="FN361"/>
  <c r="FO361"/>
  <c r="FP361"/>
  <c r="FQ361"/>
  <c r="FR361"/>
  <c r="FS361"/>
  <c r="FT361"/>
  <c r="FU361"/>
  <c r="FV361"/>
  <c r="FW361"/>
  <c r="FX361"/>
  <c r="FY361"/>
  <c r="FZ361"/>
  <c r="GA361"/>
  <c r="GB361"/>
  <c r="GC361"/>
  <c r="GD361"/>
  <c r="GE361"/>
  <c r="GF361"/>
  <c r="GG361"/>
  <c r="GH361"/>
  <c r="GI361"/>
  <c r="GJ361"/>
  <c r="GK361"/>
  <c r="GL361"/>
  <c r="GM361"/>
  <c r="GN361"/>
  <c r="GO361"/>
  <c r="GP361"/>
  <c r="GQ361"/>
  <c r="GR361"/>
  <c r="GS361"/>
  <c r="GT361"/>
  <c r="GU361"/>
  <c r="GV361"/>
  <c r="GW361"/>
  <c r="GX361"/>
  <c r="GY361"/>
  <c r="GZ361"/>
  <c r="HA361"/>
  <c r="HB361"/>
  <c r="HC361"/>
  <c r="HD361"/>
  <c r="HE361"/>
  <c r="HF361"/>
  <c r="HG361"/>
  <c r="HH361"/>
  <c r="HI361"/>
  <c r="HJ361"/>
  <c r="HK361"/>
  <c r="HL361"/>
  <c r="HM361"/>
  <c r="HN361"/>
  <c r="HO361"/>
  <c r="HP361"/>
  <c r="HQ361"/>
  <c r="HR361"/>
  <c r="HS361"/>
  <c r="HT361"/>
  <c r="HU361"/>
  <c r="HV361"/>
  <c r="HW361"/>
  <c r="HX361"/>
  <c r="HY361"/>
  <c r="HZ361"/>
  <c r="IA361"/>
  <c r="IB361"/>
  <c r="IC361"/>
  <c r="ID361"/>
  <c r="IE361"/>
  <c r="IF361"/>
  <c r="IG361"/>
  <c r="IH361"/>
  <c r="II361"/>
  <c r="IJ361"/>
  <c r="IK361"/>
  <c r="IL361"/>
  <c r="IM361"/>
  <c r="IN361"/>
  <c r="IO361"/>
  <c r="IP361"/>
  <c r="IQ361"/>
  <c r="IR361"/>
  <c r="IS361"/>
  <c r="IT361"/>
  <c r="IU361"/>
  <c r="IV361"/>
  <c r="A360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AE360"/>
  <c r="AF360"/>
  <c r="AG360"/>
  <c r="AH360"/>
  <c r="AI360"/>
  <c r="AJ360"/>
  <c r="AK360"/>
  <c r="AL360"/>
  <c r="AM360"/>
  <c r="AN360"/>
  <c r="AO360"/>
  <c r="AP360"/>
  <c r="AQ360"/>
  <c r="AR360"/>
  <c r="AS360"/>
  <c r="AT360"/>
  <c r="AU360"/>
  <c r="AV360"/>
  <c r="AW360"/>
  <c r="AX360"/>
  <c r="AY360"/>
  <c r="AZ360"/>
  <c r="BA360"/>
  <c r="BB360"/>
  <c r="BC360"/>
  <c r="BD360"/>
  <c r="BE360"/>
  <c r="BF360"/>
  <c r="BG360"/>
  <c r="BH360"/>
  <c r="BI360"/>
  <c r="BJ360"/>
  <c r="BK360"/>
  <c r="BL360"/>
  <c r="BM360"/>
  <c r="BN360"/>
  <c r="BO360"/>
  <c r="BP360"/>
  <c r="BQ360"/>
  <c r="BR360"/>
  <c r="BS360"/>
  <c r="BT360"/>
  <c r="BU360"/>
  <c r="BV360"/>
  <c r="BW360"/>
  <c r="BX360"/>
  <c r="BY360"/>
  <c r="BZ360"/>
  <c r="CA360"/>
  <c r="CB360"/>
  <c r="CC360"/>
  <c r="CD360"/>
  <c r="CE360"/>
  <c r="CF360"/>
  <c r="CG360"/>
  <c r="CH360"/>
  <c r="CI360"/>
  <c r="CJ360"/>
  <c r="CK360"/>
  <c r="CL360"/>
  <c r="CM360"/>
  <c r="CN360"/>
  <c r="CO360"/>
  <c r="CP360"/>
  <c r="CQ360"/>
  <c r="CR360"/>
  <c r="CS360"/>
  <c r="CT360"/>
  <c r="CU360"/>
  <c r="CV360"/>
  <c r="CW360"/>
  <c r="CX360"/>
  <c r="CY360"/>
  <c r="CZ360"/>
  <c r="DA360"/>
  <c r="DB360"/>
  <c r="DC360"/>
  <c r="DD360"/>
  <c r="DE360"/>
  <c r="DF360"/>
  <c r="DG360"/>
  <c r="DH360"/>
  <c r="DI360"/>
  <c r="DJ360"/>
  <c r="DK360"/>
  <c r="DL360"/>
  <c r="DM360"/>
  <c r="DN360"/>
  <c r="DO360"/>
  <c r="DP360"/>
  <c r="DQ360"/>
  <c r="DR360"/>
  <c r="DS360"/>
  <c r="DT360"/>
  <c r="DU360"/>
  <c r="DV360"/>
  <c r="DW360"/>
  <c r="DX360"/>
  <c r="DY360"/>
  <c r="DZ360"/>
  <c r="EA360"/>
  <c r="EB360"/>
  <c r="EC360"/>
  <c r="ED360"/>
  <c r="EE360"/>
  <c r="EF360"/>
  <c r="EG360"/>
  <c r="EH360"/>
  <c r="EI360"/>
  <c r="EJ360"/>
  <c r="EK360"/>
  <c r="EL360"/>
  <c r="EM360"/>
  <c r="EN360"/>
  <c r="EO360"/>
  <c r="EP360"/>
  <c r="EQ360"/>
  <c r="ER360"/>
  <c r="ES360"/>
  <c r="ET360"/>
  <c r="EU360"/>
  <c r="EV360"/>
  <c r="EW360"/>
  <c r="EX360"/>
  <c r="EY360"/>
  <c r="EZ360"/>
  <c r="FA360"/>
  <c r="FB360"/>
  <c r="FC360"/>
  <c r="FD360"/>
  <c r="FE360"/>
  <c r="FF360"/>
  <c r="FG360"/>
  <c r="FH360"/>
  <c r="FI360"/>
  <c r="FJ360"/>
  <c r="FK360"/>
  <c r="FL360"/>
  <c r="FM360"/>
  <c r="FN360"/>
  <c r="FO360"/>
  <c r="FP360"/>
  <c r="FQ360"/>
  <c r="FR360"/>
  <c r="FS360"/>
  <c r="FT360"/>
  <c r="FU360"/>
  <c r="FV360"/>
  <c r="FW360"/>
  <c r="FX360"/>
  <c r="FY360"/>
  <c r="FZ360"/>
  <c r="GA360"/>
  <c r="GB360"/>
  <c r="GC360"/>
  <c r="GD360"/>
  <c r="GE360"/>
  <c r="GF360"/>
  <c r="GG360"/>
  <c r="GH360"/>
  <c r="GI360"/>
  <c r="GJ360"/>
  <c r="GK360"/>
  <c r="GL360"/>
  <c r="GM360"/>
  <c r="GN360"/>
  <c r="GO360"/>
  <c r="GP360"/>
  <c r="GQ360"/>
  <c r="GR360"/>
  <c r="GS360"/>
  <c r="GT360"/>
  <c r="GU360"/>
  <c r="GV360"/>
  <c r="GW360"/>
  <c r="GX360"/>
  <c r="GY360"/>
  <c r="GZ360"/>
  <c r="HA360"/>
  <c r="HB360"/>
  <c r="HC360"/>
  <c r="HD360"/>
  <c r="HE360"/>
  <c r="HF360"/>
  <c r="HG360"/>
  <c r="HH360"/>
  <c r="HI360"/>
  <c r="HJ360"/>
  <c r="HK360"/>
  <c r="HL360"/>
  <c r="HM360"/>
  <c r="HN360"/>
  <c r="HO360"/>
  <c r="HP360"/>
  <c r="HQ360"/>
  <c r="HR360"/>
  <c r="HS360"/>
  <c r="HT360"/>
  <c r="HU360"/>
  <c r="HV360"/>
  <c r="HW360"/>
  <c r="HX360"/>
  <c r="HY360"/>
  <c r="HZ360"/>
  <c r="IA360"/>
  <c r="IB360"/>
  <c r="IC360"/>
  <c r="ID360"/>
  <c r="IE360"/>
  <c r="IF360"/>
  <c r="IG360"/>
  <c r="IH360"/>
  <c r="II360"/>
  <c r="IJ360"/>
  <c r="IK360"/>
  <c r="IL360"/>
  <c r="IM360"/>
  <c r="IN360"/>
  <c r="IO360"/>
  <c r="IP360"/>
  <c r="IQ360"/>
  <c r="IR360"/>
  <c r="IS360"/>
  <c r="IT360"/>
  <c r="IU360"/>
  <c r="IV360"/>
  <c r="A359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AE359"/>
  <c r="AF359"/>
  <c r="AG359"/>
  <c r="AH359"/>
  <c r="AI359"/>
  <c r="AJ359"/>
  <c r="AK359"/>
  <c r="AL359"/>
  <c r="AM359"/>
  <c r="AN359"/>
  <c r="AO359"/>
  <c r="AP359"/>
  <c r="AQ359"/>
  <c r="AR359"/>
  <c r="AS359"/>
  <c r="AT359"/>
  <c r="AU359"/>
  <c r="AV359"/>
  <c r="AW359"/>
  <c r="AX359"/>
  <c r="AY359"/>
  <c r="AZ359"/>
  <c r="BA359"/>
  <c r="BB359"/>
  <c r="BC359"/>
  <c r="BD359"/>
  <c r="BE359"/>
  <c r="BF359"/>
  <c r="BG359"/>
  <c r="BH359"/>
  <c r="BI359"/>
  <c r="BJ359"/>
  <c r="BK359"/>
  <c r="BL359"/>
  <c r="BM359"/>
  <c r="BN359"/>
  <c r="BO359"/>
  <c r="BP359"/>
  <c r="BQ359"/>
  <c r="BR359"/>
  <c r="BS359"/>
  <c r="BT359"/>
  <c r="BU359"/>
  <c r="BV359"/>
  <c r="BW359"/>
  <c r="BX359"/>
  <c r="BY359"/>
  <c r="BZ359"/>
  <c r="CA359"/>
  <c r="CB359"/>
  <c r="CC359"/>
  <c r="CD359"/>
  <c r="CE359"/>
  <c r="CF359"/>
  <c r="CG359"/>
  <c r="CH359"/>
  <c r="CI359"/>
  <c r="CJ359"/>
  <c r="CK359"/>
  <c r="CL359"/>
  <c r="CM359"/>
  <c r="CN359"/>
  <c r="CO359"/>
  <c r="CP359"/>
  <c r="CQ359"/>
  <c r="CR359"/>
  <c r="CS359"/>
  <c r="CT359"/>
  <c r="CU359"/>
  <c r="CV359"/>
  <c r="CW359"/>
  <c r="CX359"/>
  <c r="CY359"/>
  <c r="CZ359"/>
  <c r="DA359"/>
  <c r="DB359"/>
  <c r="DC359"/>
  <c r="DD359"/>
  <c r="DE359"/>
  <c r="DF359"/>
  <c r="DG359"/>
  <c r="DH359"/>
  <c r="DI359"/>
  <c r="DJ359"/>
  <c r="DK359"/>
  <c r="DL359"/>
  <c r="DM359"/>
  <c r="DN359"/>
  <c r="DO359"/>
  <c r="DP359"/>
  <c r="DQ359"/>
  <c r="DR359"/>
  <c r="DS359"/>
  <c r="DT359"/>
  <c r="DU359"/>
  <c r="DV359"/>
  <c r="DW359"/>
  <c r="DX359"/>
  <c r="DY359"/>
  <c r="DZ359"/>
  <c r="EA359"/>
  <c r="EB359"/>
  <c r="EC359"/>
  <c r="ED359"/>
  <c r="EE359"/>
  <c r="EF359"/>
  <c r="EG359"/>
  <c r="EH359"/>
  <c r="EI359"/>
  <c r="EJ359"/>
  <c r="EK359"/>
  <c r="EL359"/>
  <c r="EM359"/>
  <c r="EN359"/>
  <c r="EO359"/>
  <c r="EP359"/>
  <c r="EQ359"/>
  <c r="ER359"/>
  <c r="ES359"/>
  <c r="ET359"/>
  <c r="EU359"/>
  <c r="EV359"/>
  <c r="EW359"/>
  <c r="EX359"/>
  <c r="EY359"/>
  <c r="EZ359"/>
  <c r="FA359"/>
  <c r="FB359"/>
  <c r="FC359"/>
  <c r="FD359"/>
  <c r="FE359"/>
  <c r="FF359"/>
  <c r="FG359"/>
  <c r="FH359"/>
  <c r="FI359"/>
  <c r="FJ359"/>
  <c r="FK359"/>
  <c r="FL359"/>
  <c r="FM359"/>
  <c r="FN359"/>
  <c r="FO359"/>
  <c r="FP359"/>
  <c r="FQ359"/>
  <c r="FR359"/>
  <c r="FS359"/>
  <c r="FT359"/>
  <c r="FU359"/>
  <c r="FV359"/>
  <c r="FW359"/>
  <c r="FX359"/>
  <c r="FY359"/>
  <c r="FZ359"/>
  <c r="GA359"/>
  <c r="GB359"/>
  <c r="GC359"/>
  <c r="GD359"/>
  <c r="GE359"/>
  <c r="GF359"/>
  <c r="GG359"/>
  <c r="GH359"/>
  <c r="GI359"/>
  <c r="GJ359"/>
  <c r="GK359"/>
  <c r="GL359"/>
  <c r="GM359"/>
  <c r="GN359"/>
  <c r="GO359"/>
  <c r="GP359"/>
  <c r="GQ359"/>
  <c r="GR359"/>
  <c r="GS359"/>
  <c r="GT359"/>
  <c r="GU359"/>
  <c r="GV359"/>
  <c r="GW359"/>
  <c r="GX359"/>
  <c r="GY359"/>
  <c r="GZ359"/>
  <c r="HA359"/>
  <c r="HB359"/>
  <c r="HC359"/>
  <c r="HD359"/>
  <c r="HE359"/>
  <c r="HF359"/>
  <c r="HG359"/>
  <c r="HH359"/>
  <c r="HI359"/>
  <c r="HJ359"/>
  <c r="HK359"/>
  <c r="HL359"/>
  <c r="HM359"/>
  <c r="HN359"/>
  <c r="HO359"/>
  <c r="HP359"/>
  <c r="HQ359"/>
  <c r="HR359"/>
  <c r="HS359"/>
  <c r="HT359"/>
  <c r="HU359"/>
  <c r="HV359"/>
  <c r="HW359"/>
  <c r="HX359"/>
  <c r="HY359"/>
  <c r="HZ359"/>
  <c r="IA359"/>
  <c r="IB359"/>
  <c r="IC359"/>
  <c r="ID359"/>
  <c r="IE359"/>
  <c r="IF359"/>
  <c r="IG359"/>
  <c r="IH359"/>
  <c r="II359"/>
  <c r="IJ359"/>
  <c r="IK359"/>
  <c r="IL359"/>
  <c r="IM359"/>
  <c r="IN359"/>
  <c r="IO359"/>
  <c r="IP359"/>
  <c r="IQ359"/>
  <c r="IR359"/>
  <c r="IS359"/>
  <c r="IT359"/>
  <c r="IU359"/>
  <c r="IV359"/>
  <c r="A358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AE358"/>
  <c r="AF358"/>
  <c r="AG358"/>
  <c r="AH358"/>
  <c r="AI358"/>
  <c r="AJ358"/>
  <c r="AK358"/>
  <c r="AL358"/>
  <c r="AM358"/>
  <c r="AN358"/>
  <c r="AO358"/>
  <c r="AP358"/>
  <c r="AQ358"/>
  <c r="AR358"/>
  <c r="AS358"/>
  <c r="AT358"/>
  <c r="AU358"/>
  <c r="AV358"/>
  <c r="AW358"/>
  <c r="AX358"/>
  <c r="AY358"/>
  <c r="AZ358"/>
  <c r="BA358"/>
  <c r="BB358"/>
  <c r="BC358"/>
  <c r="BD358"/>
  <c r="BE358"/>
  <c r="BF358"/>
  <c r="BG358"/>
  <c r="BH358"/>
  <c r="BI358"/>
  <c r="BJ358"/>
  <c r="BK358"/>
  <c r="BL358"/>
  <c r="BM358"/>
  <c r="BN358"/>
  <c r="BO358"/>
  <c r="BP358"/>
  <c r="BQ358"/>
  <c r="BR358"/>
  <c r="BS358"/>
  <c r="BT358"/>
  <c r="BU358"/>
  <c r="BV358"/>
  <c r="BW358"/>
  <c r="BX358"/>
  <c r="BY358"/>
  <c r="BZ358"/>
  <c r="CA358"/>
  <c r="CB358"/>
  <c r="CC358"/>
  <c r="CD358"/>
  <c r="CE358"/>
  <c r="CF358"/>
  <c r="CG358"/>
  <c r="CH358"/>
  <c r="CI358"/>
  <c r="CJ358"/>
  <c r="CK358"/>
  <c r="CL358"/>
  <c r="CM358"/>
  <c r="CN358"/>
  <c r="CO358"/>
  <c r="CP358"/>
  <c r="CQ358"/>
  <c r="CR358"/>
  <c r="CS358"/>
  <c r="CT358"/>
  <c r="CU358"/>
  <c r="CV358"/>
  <c r="CW358"/>
  <c r="CX358"/>
  <c r="CY358"/>
  <c r="CZ358"/>
  <c r="DA358"/>
  <c r="DB358"/>
  <c r="DC358"/>
  <c r="DD358"/>
  <c r="DE358"/>
  <c r="DF358"/>
  <c r="DG358"/>
  <c r="DH358"/>
  <c r="DI358"/>
  <c r="DJ358"/>
  <c r="DK358"/>
  <c r="DL358"/>
  <c r="DM358"/>
  <c r="DN358"/>
  <c r="DO358"/>
  <c r="DP358"/>
  <c r="DQ358"/>
  <c r="DR358"/>
  <c r="DS358"/>
  <c r="DT358"/>
  <c r="DU358"/>
  <c r="DV358"/>
  <c r="DW358"/>
  <c r="DX358"/>
  <c r="DY358"/>
  <c r="DZ358"/>
  <c r="EA358"/>
  <c r="EB358"/>
  <c r="EC358"/>
  <c r="ED358"/>
  <c r="EE358"/>
  <c r="EF358"/>
  <c r="EG358"/>
  <c r="EH358"/>
  <c r="EI358"/>
  <c r="EJ358"/>
  <c r="EK358"/>
  <c r="EL358"/>
  <c r="EM358"/>
  <c r="EN358"/>
  <c r="EO358"/>
  <c r="EP358"/>
  <c r="EQ358"/>
  <c r="ER358"/>
  <c r="ES358"/>
  <c r="ET358"/>
  <c r="EU358"/>
  <c r="EV358"/>
  <c r="EW358"/>
  <c r="EX358"/>
  <c r="EY358"/>
  <c r="EZ358"/>
  <c r="FA358"/>
  <c r="FB358"/>
  <c r="FC358"/>
  <c r="FD358"/>
  <c r="FE358"/>
  <c r="FF358"/>
  <c r="FG358"/>
  <c r="FH358"/>
  <c r="FI358"/>
  <c r="FJ358"/>
  <c r="FK358"/>
  <c r="FL358"/>
  <c r="FM358"/>
  <c r="FN358"/>
  <c r="FO358"/>
  <c r="FP358"/>
  <c r="FQ358"/>
  <c r="FR358"/>
  <c r="FS358"/>
  <c r="FT358"/>
  <c r="FU358"/>
  <c r="FV358"/>
  <c r="FW358"/>
  <c r="FX358"/>
  <c r="FY358"/>
  <c r="FZ358"/>
  <c r="GA358"/>
  <c r="GB358"/>
  <c r="GC358"/>
  <c r="GD358"/>
  <c r="GE358"/>
  <c r="GF358"/>
  <c r="GG358"/>
  <c r="GH358"/>
  <c r="GI358"/>
  <c r="GJ358"/>
  <c r="GK358"/>
  <c r="GL358"/>
  <c r="GM358"/>
  <c r="GN358"/>
  <c r="GO358"/>
  <c r="GP358"/>
  <c r="GQ358"/>
  <c r="GR358"/>
  <c r="GS358"/>
  <c r="GT358"/>
  <c r="GU358"/>
  <c r="GV358"/>
  <c r="GW358"/>
  <c r="GX358"/>
  <c r="GY358"/>
  <c r="GZ358"/>
  <c r="HA358"/>
  <c r="HB358"/>
  <c r="HC358"/>
  <c r="HD358"/>
  <c r="HE358"/>
  <c r="HF358"/>
  <c r="HG358"/>
  <c r="HH358"/>
  <c r="HI358"/>
  <c r="HJ358"/>
  <c r="HK358"/>
  <c r="HL358"/>
  <c r="HM358"/>
  <c r="HN358"/>
  <c r="HO358"/>
  <c r="HP358"/>
  <c r="HQ358"/>
  <c r="HR358"/>
  <c r="HS358"/>
  <c r="HT358"/>
  <c r="HU358"/>
  <c r="HV358"/>
  <c r="HW358"/>
  <c r="HX358"/>
  <c r="HY358"/>
  <c r="HZ358"/>
  <c r="IA358"/>
  <c r="IB358"/>
  <c r="IC358"/>
  <c r="ID358"/>
  <c r="IE358"/>
  <c r="IF358"/>
  <c r="IG358"/>
  <c r="IH358"/>
  <c r="II358"/>
  <c r="IJ358"/>
  <c r="IK358"/>
  <c r="IL358"/>
  <c r="IM358"/>
  <c r="IN358"/>
  <c r="IO358"/>
  <c r="IP358"/>
  <c r="IQ358"/>
  <c r="IR358"/>
  <c r="IS358"/>
  <c r="IT358"/>
  <c r="IU358"/>
  <c r="IV358"/>
  <c r="A357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AE357"/>
  <c r="AF357"/>
  <c r="AG357"/>
  <c r="AH357"/>
  <c r="AI357"/>
  <c r="AJ357"/>
  <c r="AK357"/>
  <c r="AL357"/>
  <c r="AM357"/>
  <c r="AN357"/>
  <c r="AO357"/>
  <c r="AP357"/>
  <c r="AQ357"/>
  <c r="AR357"/>
  <c r="AS357"/>
  <c r="AT357"/>
  <c r="AU357"/>
  <c r="AV357"/>
  <c r="AW357"/>
  <c r="AX357"/>
  <c r="AY357"/>
  <c r="AZ357"/>
  <c r="BA357"/>
  <c r="BB357"/>
  <c r="BC357"/>
  <c r="BD357"/>
  <c r="BE357"/>
  <c r="BF357"/>
  <c r="BG357"/>
  <c r="BH357"/>
  <c r="BI357"/>
  <c r="BJ357"/>
  <c r="BK357"/>
  <c r="BL357"/>
  <c r="BM357"/>
  <c r="BN357"/>
  <c r="BO357"/>
  <c r="BP357"/>
  <c r="BQ357"/>
  <c r="BR357"/>
  <c r="BS357"/>
  <c r="BT357"/>
  <c r="BU357"/>
  <c r="BV357"/>
  <c r="BW357"/>
  <c r="BX357"/>
  <c r="BY357"/>
  <c r="BZ357"/>
  <c r="CA357"/>
  <c r="CB357"/>
  <c r="CC357"/>
  <c r="CD357"/>
  <c r="CE357"/>
  <c r="CF357"/>
  <c r="CG357"/>
  <c r="CH357"/>
  <c r="CI357"/>
  <c r="CJ357"/>
  <c r="CK357"/>
  <c r="CL357"/>
  <c r="CM357"/>
  <c r="CN357"/>
  <c r="CO357"/>
  <c r="CP357"/>
  <c r="CQ357"/>
  <c r="CR357"/>
  <c r="CS357"/>
  <c r="CT357"/>
  <c r="CU357"/>
  <c r="CV357"/>
  <c r="CW357"/>
  <c r="CX357"/>
  <c r="CY357"/>
  <c r="CZ357"/>
  <c r="DA357"/>
  <c r="DB357"/>
  <c r="DC357"/>
  <c r="DD357"/>
  <c r="DE357"/>
  <c r="DF357"/>
  <c r="DG357"/>
  <c r="DH357"/>
  <c r="DI357"/>
  <c r="DJ357"/>
  <c r="DK357"/>
  <c r="DL357"/>
  <c r="DM357"/>
  <c r="DN357"/>
  <c r="DO357"/>
  <c r="DP357"/>
  <c r="DQ357"/>
  <c r="DR357"/>
  <c r="DS357"/>
  <c r="DT357"/>
  <c r="DU357"/>
  <c r="DV357"/>
  <c r="DW357"/>
  <c r="DX357"/>
  <c r="DY357"/>
  <c r="DZ357"/>
  <c r="EA357"/>
  <c r="EB357"/>
  <c r="EC357"/>
  <c r="ED357"/>
  <c r="EE357"/>
  <c r="EF357"/>
  <c r="EG357"/>
  <c r="EH357"/>
  <c r="EI357"/>
  <c r="EJ357"/>
  <c r="EK357"/>
  <c r="EL357"/>
  <c r="EM357"/>
  <c r="EN357"/>
  <c r="EO357"/>
  <c r="EP357"/>
  <c r="EQ357"/>
  <c r="ER357"/>
  <c r="ES357"/>
  <c r="ET357"/>
  <c r="EU357"/>
  <c r="EV357"/>
  <c r="EW357"/>
  <c r="EX357"/>
  <c r="EY357"/>
  <c r="EZ357"/>
  <c r="FA357"/>
  <c r="FB357"/>
  <c r="FC357"/>
  <c r="FD357"/>
  <c r="FE357"/>
  <c r="FF357"/>
  <c r="FG357"/>
  <c r="FH357"/>
  <c r="FI357"/>
  <c r="FJ357"/>
  <c r="FK357"/>
  <c r="FL357"/>
  <c r="FM357"/>
  <c r="FN357"/>
  <c r="FO357"/>
  <c r="FP357"/>
  <c r="FQ357"/>
  <c r="FR357"/>
  <c r="FS357"/>
  <c r="FT357"/>
  <c r="FU357"/>
  <c r="FV357"/>
  <c r="FW357"/>
  <c r="FX357"/>
  <c r="FY357"/>
  <c r="FZ357"/>
  <c r="GA357"/>
  <c r="GB357"/>
  <c r="GC357"/>
  <c r="GD357"/>
  <c r="GE357"/>
  <c r="GF357"/>
  <c r="GG357"/>
  <c r="GH357"/>
  <c r="GI357"/>
  <c r="GJ357"/>
  <c r="GK357"/>
  <c r="GL357"/>
  <c r="GM357"/>
  <c r="GN357"/>
  <c r="GO357"/>
  <c r="GP357"/>
  <c r="GQ357"/>
  <c r="GR357"/>
  <c r="GS357"/>
  <c r="GT357"/>
  <c r="GU357"/>
  <c r="GV357"/>
  <c r="GW357"/>
  <c r="GX357"/>
  <c r="GY357"/>
  <c r="GZ357"/>
  <c r="HA357"/>
  <c r="HB357"/>
  <c r="HC357"/>
  <c r="HD357"/>
  <c r="HE357"/>
  <c r="HF357"/>
  <c r="HG357"/>
  <c r="HH357"/>
  <c r="HI357"/>
  <c r="HJ357"/>
  <c r="HK357"/>
  <c r="HL357"/>
  <c r="HM357"/>
  <c r="HN357"/>
  <c r="HO357"/>
  <c r="HP357"/>
  <c r="HQ357"/>
  <c r="HR357"/>
  <c r="HS357"/>
  <c r="HT357"/>
  <c r="HU357"/>
  <c r="HV357"/>
  <c r="HW357"/>
  <c r="HX357"/>
  <c r="HY357"/>
  <c r="HZ357"/>
  <c r="IA357"/>
  <c r="IB357"/>
  <c r="IC357"/>
  <c r="ID357"/>
  <c r="IE357"/>
  <c r="IF357"/>
  <c r="IG357"/>
  <c r="IH357"/>
  <c r="II357"/>
  <c r="IJ357"/>
  <c r="IK357"/>
  <c r="IL357"/>
  <c r="IM357"/>
  <c r="IN357"/>
  <c r="IO357"/>
  <c r="IP357"/>
  <c r="IQ357"/>
  <c r="IR357"/>
  <c r="IS357"/>
  <c r="IT357"/>
  <c r="IU357"/>
  <c r="IV357"/>
  <c r="A356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AE356"/>
  <c r="AF356"/>
  <c r="AG356"/>
  <c r="AH356"/>
  <c r="AI356"/>
  <c r="AJ356"/>
  <c r="AK356"/>
  <c r="AL356"/>
  <c r="AM356"/>
  <c r="AN356"/>
  <c r="AO356"/>
  <c r="AP356"/>
  <c r="AQ356"/>
  <c r="AR356"/>
  <c r="AS356"/>
  <c r="AT356"/>
  <c r="AU356"/>
  <c r="AV356"/>
  <c r="AW356"/>
  <c r="AX356"/>
  <c r="AY356"/>
  <c r="AZ356"/>
  <c r="BA356"/>
  <c r="BB356"/>
  <c r="BC356"/>
  <c r="BD356"/>
  <c r="BE356"/>
  <c r="BF356"/>
  <c r="BG356"/>
  <c r="BH356"/>
  <c r="BI356"/>
  <c r="BJ356"/>
  <c r="BK356"/>
  <c r="BL356"/>
  <c r="BM356"/>
  <c r="BN356"/>
  <c r="BO356"/>
  <c r="BP356"/>
  <c r="BQ356"/>
  <c r="BR356"/>
  <c r="BS356"/>
  <c r="BT356"/>
  <c r="BU356"/>
  <c r="BV356"/>
  <c r="BW356"/>
  <c r="BX356"/>
  <c r="BY356"/>
  <c r="BZ356"/>
  <c r="CA356"/>
  <c r="CB356"/>
  <c r="CC356"/>
  <c r="CD356"/>
  <c r="CE356"/>
  <c r="CF356"/>
  <c r="CG356"/>
  <c r="CH356"/>
  <c r="CI356"/>
  <c r="CJ356"/>
  <c r="CK356"/>
  <c r="CL356"/>
  <c r="CM356"/>
  <c r="CN356"/>
  <c r="CO356"/>
  <c r="CP356"/>
  <c r="CQ356"/>
  <c r="CR356"/>
  <c r="CS356"/>
  <c r="CT356"/>
  <c r="CU356"/>
  <c r="CV356"/>
  <c r="CW356"/>
  <c r="CX356"/>
  <c r="CY356"/>
  <c r="CZ356"/>
  <c r="DA356"/>
  <c r="DB356"/>
  <c r="DC356"/>
  <c r="DD356"/>
  <c r="DE356"/>
  <c r="DF356"/>
  <c r="DG356"/>
  <c r="DH356"/>
  <c r="DI356"/>
  <c r="DJ356"/>
  <c r="DK356"/>
  <c r="DL356"/>
  <c r="DM356"/>
  <c r="DN356"/>
  <c r="DO356"/>
  <c r="DP356"/>
  <c r="DQ356"/>
  <c r="DR356"/>
  <c r="DS356"/>
  <c r="DT356"/>
  <c r="DU356"/>
  <c r="DV356"/>
  <c r="DW356"/>
  <c r="DX356"/>
  <c r="DY356"/>
  <c r="DZ356"/>
  <c r="EA356"/>
  <c r="EB356"/>
  <c r="EC356"/>
  <c r="ED356"/>
  <c r="EE356"/>
  <c r="EF356"/>
  <c r="EG356"/>
  <c r="EH356"/>
  <c r="EI356"/>
  <c r="EJ356"/>
  <c r="EK356"/>
  <c r="EL356"/>
  <c r="EM356"/>
  <c r="EN356"/>
  <c r="EO356"/>
  <c r="EP356"/>
  <c r="EQ356"/>
  <c r="ER356"/>
  <c r="ES356"/>
  <c r="ET356"/>
  <c r="EU356"/>
  <c r="EV356"/>
  <c r="EW356"/>
  <c r="EX356"/>
  <c r="EY356"/>
  <c r="EZ356"/>
  <c r="FA356"/>
  <c r="FB356"/>
  <c r="FC356"/>
  <c r="FD356"/>
  <c r="FE356"/>
  <c r="FF356"/>
  <c r="FG356"/>
  <c r="FH356"/>
  <c r="FI356"/>
  <c r="FJ356"/>
  <c r="FK356"/>
  <c r="FL356"/>
  <c r="FM356"/>
  <c r="FN356"/>
  <c r="FO356"/>
  <c r="FP356"/>
  <c r="FQ356"/>
  <c r="FR356"/>
  <c r="FS356"/>
  <c r="FT356"/>
  <c r="FU356"/>
  <c r="FV356"/>
  <c r="FW356"/>
  <c r="FX356"/>
  <c r="FY356"/>
  <c r="FZ356"/>
  <c r="GA356"/>
  <c r="GB356"/>
  <c r="GC356"/>
  <c r="GD356"/>
  <c r="GE356"/>
  <c r="GF356"/>
  <c r="GG356"/>
  <c r="GH356"/>
  <c r="GI356"/>
  <c r="GJ356"/>
  <c r="GK356"/>
  <c r="GL356"/>
  <c r="GM356"/>
  <c r="GN356"/>
  <c r="GO356"/>
  <c r="GP356"/>
  <c r="GQ356"/>
  <c r="GR356"/>
  <c r="GS356"/>
  <c r="GT356"/>
  <c r="GU356"/>
  <c r="GV356"/>
  <c r="GW356"/>
  <c r="GX356"/>
  <c r="GY356"/>
  <c r="GZ356"/>
  <c r="HA356"/>
  <c r="HB356"/>
  <c r="HC356"/>
  <c r="HD356"/>
  <c r="HE356"/>
  <c r="HF356"/>
  <c r="HG356"/>
  <c r="HH356"/>
  <c r="HI356"/>
  <c r="HJ356"/>
  <c r="HK356"/>
  <c r="HL356"/>
  <c r="HM356"/>
  <c r="HN356"/>
  <c r="HO356"/>
  <c r="HP356"/>
  <c r="HQ356"/>
  <c r="HR356"/>
  <c r="HS356"/>
  <c r="HT356"/>
  <c r="HU356"/>
  <c r="HV356"/>
  <c r="HW356"/>
  <c r="HX356"/>
  <c r="HY356"/>
  <c r="HZ356"/>
  <c r="IA356"/>
  <c r="IB356"/>
  <c r="IC356"/>
  <c r="ID356"/>
  <c r="IE356"/>
  <c r="IF356"/>
  <c r="IG356"/>
  <c r="IH356"/>
  <c r="II356"/>
  <c r="IJ356"/>
  <c r="IK356"/>
  <c r="IL356"/>
  <c r="IM356"/>
  <c r="IN356"/>
  <c r="IO356"/>
  <c r="IP356"/>
  <c r="IQ356"/>
  <c r="IR356"/>
  <c r="IS356"/>
  <c r="IT356"/>
  <c r="IU356"/>
  <c r="IV356"/>
  <c r="A355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AT355"/>
  <c r="AU355"/>
  <c r="AV355"/>
  <c r="AW355"/>
  <c r="AX355"/>
  <c r="AY355"/>
  <c r="AZ355"/>
  <c r="BA355"/>
  <c r="BB355"/>
  <c r="BC355"/>
  <c r="BD355"/>
  <c r="BE355"/>
  <c r="BF355"/>
  <c r="BG355"/>
  <c r="BH355"/>
  <c r="BI355"/>
  <c r="BJ355"/>
  <c r="BK355"/>
  <c r="BL355"/>
  <c r="BM355"/>
  <c r="BN355"/>
  <c r="BO355"/>
  <c r="BP355"/>
  <c r="BQ355"/>
  <c r="BR355"/>
  <c r="BS355"/>
  <c r="BT355"/>
  <c r="BU355"/>
  <c r="BV355"/>
  <c r="BW355"/>
  <c r="BX355"/>
  <c r="BY355"/>
  <c r="BZ355"/>
  <c r="CA355"/>
  <c r="CB355"/>
  <c r="CC355"/>
  <c r="CD355"/>
  <c r="CE355"/>
  <c r="CF355"/>
  <c r="CG355"/>
  <c r="CH355"/>
  <c r="CI355"/>
  <c r="CJ355"/>
  <c r="CK355"/>
  <c r="CL355"/>
  <c r="CM355"/>
  <c r="CN355"/>
  <c r="CO355"/>
  <c r="CP355"/>
  <c r="CQ355"/>
  <c r="CR355"/>
  <c r="CS355"/>
  <c r="CT355"/>
  <c r="CU355"/>
  <c r="CV355"/>
  <c r="CW355"/>
  <c r="CX355"/>
  <c r="CY355"/>
  <c r="CZ355"/>
  <c r="DA355"/>
  <c r="DB355"/>
  <c r="DC355"/>
  <c r="DD355"/>
  <c r="DE355"/>
  <c r="DF355"/>
  <c r="DG355"/>
  <c r="DH355"/>
  <c r="DI355"/>
  <c r="DJ355"/>
  <c r="DK355"/>
  <c r="DL355"/>
  <c r="DM355"/>
  <c r="DN355"/>
  <c r="DO355"/>
  <c r="DP355"/>
  <c r="DQ355"/>
  <c r="DR355"/>
  <c r="DS355"/>
  <c r="DT355"/>
  <c r="DU355"/>
  <c r="DV355"/>
  <c r="DW355"/>
  <c r="DX355"/>
  <c r="DY355"/>
  <c r="DZ355"/>
  <c r="EA355"/>
  <c r="EB355"/>
  <c r="EC355"/>
  <c r="ED355"/>
  <c r="EE355"/>
  <c r="EF355"/>
  <c r="EG355"/>
  <c r="EH355"/>
  <c r="EI355"/>
  <c r="EJ355"/>
  <c r="EK355"/>
  <c r="EL355"/>
  <c r="EM355"/>
  <c r="EN355"/>
  <c r="EO355"/>
  <c r="EP355"/>
  <c r="EQ355"/>
  <c r="ER355"/>
  <c r="ES355"/>
  <c r="ET355"/>
  <c r="EU355"/>
  <c r="EV355"/>
  <c r="EW355"/>
  <c r="EX355"/>
  <c r="EY355"/>
  <c r="EZ355"/>
  <c r="FA355"/>
  <c r="FB355"/>
  <c r="FC355"/>
  <c r="FD355"/>
  <c r="FE355"/>
  <c r="FF355"/>
  <c r="FG355"/>
  <c r="FH355"/>
  <c r="FI355"/>
  <c r="FJ355"/>
  <c r="FK355"/>
  <c r="FL355"/>
  <c r="FM355"/>
  <c r="FN355"/>
  <c r="FO355"/>
  <c r="FP355"/>
  <c r="FQ355"/>
  <c r="FR355"/>
  <c r="FS355"/>
  <c r="FT355"/>
  <c r="FU355"/>
  <c r="FV355"/>
  <c r="FW355"/>
  <c r="FX355"/>
  <c r="FY355"/>
  <c r="FZ355"/>
  <c r="GA355"/>
  <c r="GB355"/>
  <c r="GC355"/>
  <c r="GD355"/>
  <c r="GE355"/>
  <c r="GF355"/>
  <c r="GG355"/>
  <c r="GH355"/>
  <c r="GI355"/>
  <c r="GJ355"/>
  <c r="GK355"/>
  <c r="GL355"/>
  <c r="GM355"/>
  <c r="GN355"/>
  <c r="GO355"/>
  <c r="GP355"/>
  <c r="GQ355"/>
  <c r="GR355"/>
  <c r="GS355"/>
  <c r="GT355"/>
  <c r="GU355"/>
  <c r="GV355"/>
  <c r="GW355"/>
  <c r="GX355"/>
  <c r="GY355"/>
  <c r="GZ355"/>
  <c r="HA355"/>
  <c r="HB355"/>
  <c r="HC355"/>
  <c r="HD355"/>
  <c r="HE355"/>
  <c r="HF355"/>
  <c r="HG355"/>
  <c r="HH355"/>
  <c r="HI355"/>
  <c r="HJ355"/>
  <c r="HK355"/>
  <c r="HL355"/>
  <c r="HM355"/>
  <c r="HN355"/>
  <c r="HO355"/>
  <c r="HP355"/>
  <c r="HQ355"/>
  <c r="HR355"/>
  <c r="HS355"/>
  <c r="HT355"/>
  <c r="HU355"/>
  <c r="HV355"/>
  <c r="HW355"/>
  <c r="HX355"/>
  <c r="HY355"/>
  <c r="HZ355"/>
  <c r="IA355"/>
  <c r="IB355"/>
  <c r="IC355"/>
  <c r="ID355"/>
  <c r="IE355"/>
  <c r="IF355"/>
  <c r="IG355"/>
  <c r="IH355"/>
  <c r="II355"/>
  <c r="IJ355"/>
  <c r="IK355"/>
  <c r="IL355"/>
  <c r="IM355"/>
  <c r="IN355"/>
  <c r="IO355"/>
  <c r="IP355"/>
  <c r="IQ355"/>
  <c r="IR355"/>
  <c r="IS355"/>
  <c r="IT355"/>
  <c r="IU355"/>
  <c r="IV355"/>
  <c r="A354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AE354"/>
  <c r="AF354"/>
  <c r="AG354"/>
  <c r="AH354"/>
  <c r="AI354"/>
  <c r="AJ354"/>
  <c r="AK354"/>
  <c r="AL354"/>
  <c r="AM354"/>
  <c r="AN354"/>
  <c r="AO354"/>
  <c r="AP354"/>
  <c r="AQ354"/>
  <c r="AR354"/>
  <c r="AS354"/>
  <c r="AT354"/>
  <c r="AU354"/>
  <c r="AV354"/>
  <c r="AW354"/>
  <c r="AX354"/>
  <c r="AY354"/>
  <c r="AZ354"/>
  <c r="BA354"/>
  <c r="BB354"/>
  <c r="BC354"/>
  <c r="BD354"/>
  <c r="BE354"/>
  <c r="BF354"/>
  <c r="BG354"/>
  <c r="BH354"/>
  <c r="BI354"/>
  <c r="BJ354"/>
  <c r="BK354"/>
  <c r="BL354"/>
  <c r="BM354"/>
  <c r="BN354"/>
  <c r="BO354"/>
  <c r="BP354"/>
  <c r="BQ354"/>
  <c r="BR354"/>
  <c r="BS354"/>
  <c r="BT354"/>
  <c r="BU354"/>
  <c r="BV354"/>
  <c r="BW354"/>
  <c r="BX354"/>
  <c r="BY354"/>
  <c r="BZ354"/>
  <c r="CA354"/>
  <c r="CB354"/>
  <c r="CC354"/>
  <c r="CD354"/>
  <c r="CE354"/>
  <c r="CF354"/>
  <c r="CG354"/>
  <c r="CH354"/>
  <c r="CI354"/>
  <c r="CJ354"/>
  <c r="CK354"/>
  <c r="CL354"/>
  <c r="CM354"/>
  <c r="CN354"/>
  <c r="CO354"/>
  <c r="CP354"/>
  <c r="CQ354"/>
  <c r="CR354"/>
  <c r="CS354"/>
  <c r="CT354"/>
  <c r="CU354"/>
  <c r="CV354"/>
  <c r="CW354"/>
  <c r="CX354"/>
  <c r="CY354"/>
  <c r="CZ354"/>
  <c r="DA354"/>
  <c r="DB354"/>
  <c r="DC354"/>
  <c r="DD354"/>
  <c r="DE354"/>
  <c r="DF354"/>
  <c r="DG354"/>
  <c r="DH354"/>
  <c r="DI354"/>
  <c r="DJ354"/>
  <c r="DK354"/>
  <c r="DL354"/>
  <c r="DM354"/>
  <c r="DN354"/>
  <c r="DO354"/>
  <c r="DP354"/>
  <c r="DQ354"/>
  <c r="DR354"/>
  <c r="DS354"/>
  <c r="DT354"/>
  <c r="DU354"/>
  <c r="DV354"/>
  <c r="DW354"/>
  <c r="DX354"/>
  <c r="DY354"/>
  <c r="DZ354"/>
  <c r="EA354"/>
  <c r="EB354"/>
  <c r="EC354"/>
  <c r="ED354"/>
  <c r="EE354"/>
  <c r="EF354"/>
  <c r="EG354"/>
  <c r="EH354"/>
  <c r="EI354"/>
  <c r="EJ354"/>
  <c r="EK354"/>
  <c r="EL354"/>
  <c r="EM354"/>
  <c r="EN354"/>
  <c r="EO354"/>
  <c r="EP354"/>
  <c r="EQ354"/>
  <c r="ER354"/>
  <c r="ES354"/>
  <c r="ET354"/>
  <c r="EU354"/>
  <c r="EV354"/>
  <c r="EW354"/>
  <c r="EX354"/>
  <c r="EY354"/>
  <c r="EZ354"/>
  <c r="FA354"/>
  <c r="FB354"/>
  <c r="FC354"/>
  <c r="FD354"/>
  <c r="FE354"/>
  <c r="FF354"/>
  <c r="FG354"/>
  <c r="FH354"/>
  <c r="FI354"/>
  <c r="FJ354"/>
  <c r="FK354"/>
  <c r="FL354"/>
  <c r="FM354"/>
  <c r="FN354"/>
  <c r="FO354"/>
  <c r="FP354"/>
  <c r="FQ354"/>
  <c r="FR354"/>
  <c r="FS354"/>
  <c r="FT354"/>
  <c r="FU354"/>
  <c r="FV354"/>
  <c r="FW354"/>
  <c r="FX354"/>
  <c r="FY354"/>
  <c r="FZ354"/>
  <c r="GA354"/>
  <c r="GB354"/>
  <c r="GC354"/>
  <c r="GD354"/>
  <c r="GE354"/>
  <c r="GF354"/>
  <c r="GG354"/>
  <c r="GH354"/>
  <c r="GI354"/>
  <c r="GJ354"/>
  <c r="GK354"/>
  <c r="GL354"/>
  <c r="GM354"/>
  <c r="GN354"/>
  <c r="GO354"/>
  <c r="GP354"/>
  <c r="GQ354"/>
  <c r="GR354"/>
  <c r="GS354"/>
  <c r="GT354"/>
  <c r="GU354"/>
  <c r="GV354"/>
  <c r="GW354"/>
  <c r="GX354"/>
  <c r="GY354"/>
  <c r="GZ354"/>
  <c r="HA354"/>
  <c r="HB354"/>
  <c r="HC354"/>
  <c r="HD354"/>
  <c r="HE354"/>
  <c r="HF354"/>
  <c r="HG354"/>
  <c r="HH354"/>
  <c r="HI354"/>
  <c r="HJ354"/>
  <c r="HK354"/>
  <c r="HL354"/>
  <c r="HM354"/>
  <c r="HN354"/>
  <c r="HO354"/>
  <c r="HP354"/>
  <c r="HQ354"/>
  <c r="HR354"/>
  <c r="HS354"/>
  <c r="HT354"/>
  <c r="HU354"/>
  <c r="HV354"/>
  <c r="HW354"/>
  <c r="HX354"/>
  <c r="HY354"/>
  <c r="HZ354"/>
  <c r="IA354"/>
  <c r="IB354"/>
  <c r="IC354"/>
  <c r="ID354"/>
  <c r="IE354"/>
  <c r="IF354"/>
  <c r="IG354"/>
  <c r="IH354"/>
  <c r="II354"/>
  <c r="IJ354"/>
  <c r="IK354"/>
  <c r="IL354"/>
  <c r="IM354"/>
  <c r="IN354"/>
  <c r="IO354"/>
  <c r="IP354"/>
  <c r="IQ354"/>
  <c r="IR354"/>
  <c r="IS354"/>
  <c r="IT354"/>
  <c r="IU354"/>
  <c r="IV354"/>
  <c r="A353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AE353"/>
  <c r="AF353"/>
  <c r="AG353"/>
  <c r="AH353"/>
  <c r="AI353"/>
  <c r="AJ353"/>
  <c r="AK353"/>
  <c r="AL353"/>
  <c r="AM353"/>
  <c r="AN353"/>
  <c r="AO353"/>
  <c r="AP353"/>
  <c r="AQ353"/>
  <c r="AR353"/>
  <c r="AS353"/>
  <c r="AT353"/>
  <c r="AU353"/>
  <c r="AV353"/>
  <c r="AW353"/>
  <c r="AX353"/>
  <c r="AY353"/>
  <c r="AZ353"/>
  <c r="BA353"/>
  <c r="BB353"/>
  <c r="BC353"/>
  <c r="BD353"/>
  <c r="BE353"/>
  <c r="BF353"/>
  <c r="BG353"/>
  <c r="BH353"/>
  <c r="BI353"/>
  <c r="BJ353"/>
  <c r="BK353"/>
  <c r="BL353"/>
  <c r="BM353"/>
  <c r="BN353"/>
  <c r="BO353"/>
  <c r="BP353"/>
  <c r="BQ353"/>
  <c r="BR353"/>
  <c r="BS353"/>
  <c r="BT353"/>
  <c r="BU353"/>
  <c r="BV353"/>
  <c r="BW353"/>
  <c r="BX353"/>
  <c r="BY353"/>
  <c r="BZ353"/>
  <c r="CA353"/>
  <c r="CB353"/>
  <c r="CC353"/>
  <c r="CD353"/>
  <c r="CE353"/>
  <c r="CF353"/>
  <c r="CG353"/>
  <c r="CH353"/>
  <c r="CI353"/>
  <c r="CJ353"/>
  <c r="CK353"/>
  <c r="CL353"/>
  <c r="CM353"/>
  <c r="CN353"/>
  <c r="CO353"/>
  <c r="CP353"/>
  <c r="CQ353"/>
  <c r="CR353"/>
  <c r="CS353"/>
  <c r="CT353"/>
  <c r="CU353"/>
  <c r="CV353"/>
  <c r="CW353"/>
  <c r="CX353"/>
  <c r="CY353"/>
  <c r="CZ353"/>
  <c r="DA353"/>
  <c r="DB353"/>
  <c r="DC353"/>
  <c r="DD353"/>
  <c r="DE353"/>
  <c r="DF353"/>
  <c r="DG353"/>
  <c r="DH353"/>
  <c r="DI353"/>
  <c r="DJ353"/>
  <c r="DK353"/>
  <c r="DL353"/>
  <c r="DM353"/>
  <c r="DN353"/>
  <c r="DO353"/>
  <c r="DP353"/>
  <c r="DQ353"/>
  <c r="DR353"/>
  <c r="DS353"/>
  <c r="DT353"/>
  <c r="DU353"/>
  <c r="DV353"/>
  <c r="DW353"/>
  <c r="DX353"/>
  <c r="DY353"/>
  <c r="DZ353"/>
  <c r="EA353"/>
  <c r="EB353"/>
  <c r="EC353"/>
  <c r="ED353"/>
  <c r="EE353"/>
  <c r="EF353"/>
  <c r="EG353"/>
  <c r="EH353"/>
  <c r="EI353"/>
  <c r="EJ353"/>
  <c r="EK353"/>
  <c r="EL353"/>
  <c r="EM353"/>
  <c r="EN353"/>
  <c r="EO353"/>
  <c r="EP353"/>
  <c r="EQ353"/>
  <c r="ER353"/>
  <c r="ES353"/>
  <c r="ET353"/>
  <c r="EU353"/>
  <c r="EV353"/>
  <c r="EW353"/>
  <c r="EX353"/>
  <c r="EY353"/>
  <c r="EZ353"/>
  <c r="FA353"/>
  <c r="FB353"/>
  <c r="FC353"/>
  <c r="FD353"/>
  <c r="FE353"/>
  <c r="FF353"/>
  <c r="FG353"/>
  <c r="FH353"/>
  <c r="FI353"/>
  <c r="FJ353"/>
  <c r="FK353"/>
  <c r="FL353"/>
  <c r="FM353"/>
  <c r="FN353"/>
  <c r="FO353"/>
  <c r="FP353"/>
  <c r="FQ353"/>
  <c r="FR353"/>
  <c r="FS353"/>
  <c r="FT353"/>
  <c r="FU353"/>
  <c r="FV353"/>
  <c r="FW353"/>
  <c r="FX353"/>
  <c r="FY353"/>
  <c r="FZ353"/>
  <c r="GA353"/>
  <c r="GB353"/>
  <c r="GC353"/>
  <c r="GD353"/>
  <c r="GE353"/>
  <c r="GF353"/>
  <c r="GG353"/>
  <c r="GH353"/>
  <c r="GI353"/>
  <c r="GJ353"/>
  <c r="GK353"/>
  <c r="GL353"/>
  <c r="GM353"/>
  <c r="GN353"/>
  <c r="GO353"/>
  <c r="GP353"/>
  <c r="GQ353"/>
  <c r="GR353"/>
  <c r="GS353"/>
  <c r="GT353"/>
  <c r="GU353"/>
  <c r="GV353"/>
  <c r="GW353"/>
  <c r="GX353"/>
  <c r="GY353"/>
  <c r="GZ353"/>
  <c r="HA353"/>
  <c r="HB353"/>
  <c r="HC353"/>
  <c r="HD353"/>
  <c r="HE353"/>
  <c r="HF353"/>
  <c r="HG353"/>
  <c r="HH353"/>
  <c r="HI353"/>
  <c r="HJ353"/>
  <c r="HK353"/>
  <c r="HL353"/>
  <c r="HM353"/>
  <c r="HN353"/>
  <c r="HO353"/>
  <c r="HP353"/>
  <c r="HQ353"/>
  <c r="HR353"/>
  <c r="HS353"/>
  <c r="HT353"/>
  <c r="HU353"/>
  <c r="HV353"/>
  <c r="HW353"/>
  <c r="HX353"/>
  <c r="HY353"/>
  <c r="HZ353"/>
  <c r="IA353"/>
  <c r="IB353"/>
  <c r="IC353"/>
  <c r="ID353"/>
  <c r="IE353"/>
  <c r="IF353"/>
  <c r="IG353"/>
  <c r="IH353"/>
  <c r="II353"/>
  <c r="IJ353"/>
  <c r="IK353"/>
  <c r="IL353"/>
  <c r="IM353"/>
  <c r="IN353"/>
  <c r="IO353"/>
  <c r="IP353"/>
  <c r="IQ353"/>
  <c r="IR353"/>
  <c r="IS353"/>
  <c r="IT353"/>
  <c r="IU353"/>
  <c r="IV353"/>
  <c r="A352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AE352"/>
  <c r="AF352"/>
  <c r="AG352"/>
  <c r="AH352"/>
  <c r="AI352"/>
  <c r="AJ352"/>
  <c r="AK352"/>
  <c r="AL352"/>
  <c r="AM352"/>
  <c r="AN352"/>
  <c r="AO352"/>
  <c r="AP352"/>
  <c r="AQ352"/>
  <c r="AR352"/>
  <c r="AS352"/>
  <c r="AT352"/>
  <c r="AU352"/>
  <c r="AV352"/>
  <c r="AW352"/>
  <c r="AX352"/>
  <c r="AY352"/>
  <c r="AZ352"/>
  <c r="BA352"/>
  <c r="BB352"/>
  <c r="BC352"/>
  <c r="BD352"/>
  <c r="BE352"/>
  <c r="BF352"/>
  <c r="BG352"/>
  <c r="BH352"/>
  <c r="BI352"/>
  <c r="BJ352"/>
  <c r="BK352"/>
  <c r="BL352"/>
  <c r="BM352"/>
  <c r="BN352"/>
  <c r="BO352"/>
  <c r="BP352"/>
  <c r="BQ352"/>
  <c r="BR352"/>
  <c r="BS352"/>
  <c r="BT352"/>
  <c r="BU352"/>
  <c r="BV352"/>
  <c r="BW352"/>
  <c r="BX352"/>
  <c r="BY352"/>
  <c r="BZ352"/>
  <c r="CA352"/>
  <c r="CB352"/>
  <c r="CC352"/>
  <c r="CD352"/>
  <c r="CE352"/>
  <c r="CF352"/>
  <c r="CG352"/>
  <c r="CH352"/>
  <c r="CI352"/>
  <c r="CJ352"/>
  <c r="CK352"/>
  <c r="CL352"/>
  <c r="CM352"/>
  <c r="CN352"/>
  <c r="CO352"/>
  <c r="CP352"/>
  <c r="CQ352"/>
  <c r="CR352"/>
  <c r="CS352"/>
  <c r="CT352"/>
  <c r="CU352"/>
  <c r="CV352"/>
  <c r="CW352"/>
  <c r="CX352"/>
  <c r="CY352"/>
  <c r="CZ352"/>
  <c r="DA352"/>
  <c r="DB352"/>
  <c r="DC352"/>
  <c r="DD352"/>
  <c r="DE352"/>
  <c r="DF352"/>
  <c r="DG352"/>
  <c r="DH352"/>
  <c r="DI352"/>
  <c r="DJ352"/>
  <c r="DK352"/>
  <c r="DL352"/>
  <c r="DM352"/>
  <c r="DN352"/>
  <c r="DO352"/>
  <c r="DP352"/>
  <c r="DQ352"/>
  <c r="DR352"/>
  <c r="DS352"/>
  <c r="DT352"/>
  <c r="DU352"/>
  <c r="DV352"/>
  <c r="DW352"/>
  <c r="DX352"/>
  <c r="DY352"/>
  <c r="DZ352"/>
  <c r="EA352"/>
  <c r="EB352"/>
  <c r="EC352"/>
  <c r="ED352"/>
  <c r="EE352"/>
  <c r="EF352"/>
  <c r="EG352"/>
  <c r="EH352"/>
  <c r="EI352"/>
  <c r="EJ352"/>
  <c r="EK352"/>
  <c r="EL352"/>
  <c r="EM352"/>
  <c r="EN352"/>
  <c r="EO352"/>
  <c r="EP352"/>
  <c r="EQ352"/>
  <c r="ER352"/>
  <c r="ES352"/>
  <c r="ET352"/>
  <c r="EU352"/>
  <c r="EV352"/>
  <c r="EW352"/>
  <c r="EX352"/>
  <c r="EY352"/>
  <c r="EZ352"/>
  <c r="FA352"/>
  <c r="FB352"/>
  <c r="FC352"/>
  <c r="FD352"/>
  <c r="FE352"/>
  <c r="FF352"/>
  <c r="FG352"/>
  <c r="FH352"/>
  <c r="FI352"/>
  <c r="FJ352"/>
  <c r="FK352"/>
  <c r="FL352"/>
  <c r="FM352"/>
  <c r="FN352"/>
  <c r="FO352"/>
  <c r="FP352"/>
  <c r="FQ352"/>
  <c r="FR352"/>
  <c r="FS352"/>
  <c r="FT352"/>
  <c r="FU352"/>
  <c r="FV352"/>
  <c r="FW352"/>
  <c r="FX352"/>
  <c r="FY352"/>
  <c r="FZ352"/>
  <c r="GA352"/>
  <c r="GB352"/>
  <c r="GC352"/>
  <c r="GD352"/>
  <c r="GE352"/>
  <c r="GF352"/>
  <c r="GG352"/>
  <c r="GH352"/>
  <c r="GI352"/>
  <c r="GJ352"/>
  <c r="GK352"/>
  <c r="GL352"/>
  <c r="GM352"/>
  <c r="GN352"/>
  <c r="GO352"/>
  <c r="GP352"/>
  <c r="GQ352"/>
  <c r="GR352"/>
  <c r="GS352"/>
  <c r="GT352"/>
  <c r="GU352"/>
  <c r="GV352"/>
  <c r="GW352"/>
  <c r="GX352"/>
  <c r="GY352"/>
  <c r="GZ352"/>
  <c r="HA352"/>
  <c r="HB352"/>
  <c r="HC352"/>
  <c r="HD352"/>
  <c r="HE352"/>
  <c r="HF352"/>
  <c r="HG352"/>
  <c r="HH352"/>
  <c r="HI352"/>
  <c r="HJ352"/>
  <c r="HK352"/>
  <c r="HL352"/>
  <c r="HM352"/>
  <c r="HN352"/>
  <c r="HO352"/>
  <c r="HP352"/>
  <c r="HQ352"/>
  <c r="HR352"/>
  <c r="HS352"/>
  <c r="HT352"/>
  <c r="HU352"/>
  <c r="HV352"/>
  <c r="HW352"/>
  <c r="HX352"/>
  <c r="HY352"/>
  <c r="HZ352"/>
  <c r="IA352"/>
  <c r="IB352"/>
  <c r="IC352"/>
  <c r="ID352"/>
  <c r="IE352"/>
  <c r="IF352"/>
  <c r="IG352"/>
  <c r="IH352"/>
  <c r="II352"/>
  <c r="IJ352"/>
  <c r="IK352"/>
  <c r="IL352"/>
  <c r="IM352"/>
  <c r="IN352"/>
  <c r="IO352"/>
  <c r="IP352"/>
  <c r="IQ352"/>
  <c r="IR352"/>
  <c r="IS352"/>
  <c r="IT352"/>
  <c r="IU352"/>
  <c r="IV352"/>
  <c r="A351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AE351"/>
  <c r="AF351"/>
  <c r="AG351"/>
  <c r="AH351"/>
  <c r="AI351"/>
  <c r="AJ351"/>
  <c r="AK351"/>
  <c r="AL351"/>
  <c r="AM351"/>
  <c r="AN351"/>
  <c r="AO351"/>
  <c r="AP351"/>
  <c r="AQ351"/>
  <c r="AR351"/>
  <c r="AS351"/>
  <c r="AT351"/>
  <c r="AU351"/>
  <c r="AV351"/>
  <c r="AW351"/>
  <c r="AX351"/>
  <c r="AY351"/>
  <c r="AZ351"/>
  <c r="BA351"/>
  <c r="BB351"/>
  <c r="BC351"/>
  <c r="BD351"/>
  <c r="BE351"/>
  <c r="BF351"/>
  <c r="BG351"/>
  <c r="BH351"/>
  <c r="BI351"/>
  <c r="BJ351"/>
  <c r="BK351"/>
  <c r="BL351"/>
  <c r="BM351"/>
  <c r="BN351"/>
  <c r="BO351"/>
  <c r="BP351"/>
  <c r="BQ351"/>
  <c r="BR351"/>
  <c r="BS351"/>
  <c r="BT351"/>
  <c r="BU351"/>
  <c r="BV351"/>
  <c r="BW351"/>
  <c r="BX351"/>
  <c r="BY351"/>
  <c r="BZ351"/>
  <c r="CA351"/>
  <c r="CB351"/>
  <c r="CC351"/>
  <c r="CD351"/>
  <c r="CE351"/>
  <c r="CF351"/>
  <c r="CG351"/>
  <c r="CH351"/>
  <c r="CI351"/>
  <c r="CJ351"/>
  <c r="CK351"/>
  <c r="CL351"/>
  <c r="CM351"/>
  <c r="CN351"/>
  <c r="CO351"/>
  <c r="CP351"/>
  <c r="CQ351"/>
  <c r="CR351"/>
  <c r="CS351"/>
  <c r="CT351"/>
  <c r="CU351"/>
  <c r="CV351"/>
  <c r="CW351"/>
  <c r="CX351"/>
  <c r="CY351"/>
  <c r="CZ351"/>
  <c r="DA351"/>
  <c r="DB351"/>
  <c r="DC351"/>
  <c r="DD351"/>
  <c r="DE351"/>
  <c r="DF351"/>
  <c r="DG351"/>
  <c r="DH351"/>
  <c r="DI351"/>
  <c r="DJ351"/>
  <c r="DK351"/>
  <c r="DL351"/>
  <c r="DM351"/>
  <c r="DN351"/>
  <c r="DO351"/>
  <c r="DP351"/>
  <c r="DQ351"/>
  <c r="DR351"/>
  <c r="DS351"/>
  <c r="DT351"/>
  <c r="DU351"/>
  <c r="DV351"/>
  <c r="DW351"/>
  <c r="DX351"/>
  <c r="DY351"/>
  <c r="DZ351"/>
  <c r="EA351"/>
  <c r="EB351"/>
  <c r="EC351"/>
  <c r="ED351"/>
  <c r="EE351"/>
  <c r="EF351"/>
  <c r="EG351"/>
  <c r="EH351"/>
  <c r="EI351"/>
  <c r="EJ351"/>
  <c r="EK351"/>
  <c r="EL351"/>
  <c r="EM351"/>
  <c r="EN351"/>
  <c r="EO351"/>
  <c r="EP351"/>
  <c r="EQ351"/>
  <c r="ER351"/>
  <c r="ES351"/>
  <c r="ET351"/>
  <c r="EU351"/>
  <c r="EV351"/>
  <c r="EW351"/>
  <c r="EX351"/>
  <c r="EY351"/>
  <c r="EZ351"/>
  <c r="FA351"/>
  <c r="FB351"/>
  <c r="FC351"/>
  <c r="FD351"/>
  <c r="FE351"/>
  <c r="FF351"/>
  <c r="FG351"/>
  <c r="FH351"/>
  <c r="FI351"/>
  <c r="FJ351"/>
  <c r="FK351"/>
  <c r="FL351"/>
  <c r="FM351"/>
  <c r="FN351"/>
  <c r="FO351"/>
  <c r="FP351"/>
  <c r="FQ351"/>
  <c r="FR351"/>
  <c r="FS351"/>
  <c r="FT351"/>
  <c r="FU351"/>
  <c r="FV351"/>
  <c r="FW351"/>
  <c r="FX351"/>
  <c r="FY351"/>
  <c r="FZ351"/>
  <c r="GA351"/>
  <c r="GB351"/>
  <c r="GC351"/>
  <c r="GD351"/>
  <c r="GE351"/>
  <c r="GF351"/>
  <c r="GG351"/>
  <c r="GH351"/>
  <c r="GI351"/>
  <c r="GJ351"/>
  <c r="GK351"/>
  <c r="GL351"/>
  <c r="GM351"/>
  <c r="GN351"/>
  <c r="GO351"/>
  <c r="GP351"/>
  <c r="GQ351"/>
  <c r="GR351"/>
  <c r="GS351"/>
  <c r="GT351"/>
  <c r="GU351"/>
  <c r="GV351"/>
  <c r="GW351"/>
  <c r="GX351"/>
  <c r="GY351"/>
  <c r="GZ351"/>
  <c r="HA351"/>
  <c r="HB351"/>
  <c r="HC351"/>
  <c r="HD351"/>
  <c r="HE351"/>
  <c r="HF351"/>
  <c r="HG351"/>
  <c r="HH351"/>
  <c r="HI351"/>
  <c r="HJ351"/>
  <c r="HK351"/>
  <c r="HL351"/>
  <c r="HM351"/>
  <c r="HN351"/>
  <c r="HO351"/>
  <c r="HP351"/>
  <c r="HQ351"/>
  <c r="HR351"/>
  <c r="HS351"/>
  <c r="HT351"/>
  <c r="HU351"/>
  <c r="HV351"/>
  <c r="HW351"/>
  <c r="HX351"/>
  <c r="HY351"/>
  <c r="HZ351"/>
  <c r="IA351"/>
  <c r="IB351"/>
  <c r="IC351"/>
  <c r="ID351"/>
  <c r="IE351"/>
  <c r="IF351"/>
  <c r="IG351"/>
  <c r="IH351"/>
  <c r="II351"/>
  <c r="IJ351"/>
  <c r="IK351"/>
  <c r="IL351"/>
  <c r="IM351"/>
  <c r="IN351"/>
  <c r="IO351"/>
  <c r="IP351"/>
  <c r="IQ351"/>
  <c r="IR351"/>
  <c r="IS351"/>
  <c r="IT351"/>
  <c r="IU351"/>
  <c r="IV351"/>
  <c r="A350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AE350"/>
  <c r="AF350"/>
  <c r="AG350"/>
  <c r="AH350"/>
  <c r="AI350"/>
  <c r="AJ350"/>
  <c r="AK350"/>
  <c r="AL350"/>
  <c r="AM350"/>
  <c r="AN350"/>
  <c r="AO350"/>
  <c r="AP350"/>
  <c r="AQ350"/>
  <c r="AR350"/>
  <c r="AS350"/>
  <c r="AT350"/>
  <c r="AU350"/>
  <c r="AV350"/>
  <c r="AW350"/>
  <c r="AX350"/>
  <c r="AY350"/>
  <c r="AZ350"/>
  <c r="BA350"/>
  <c r="BB350"/>
  <c r="BC350"/>
  <c r="BD350"/>
  <c r="BE350"/>
  <c r="BF350"/>
  <c r="BG350"/>
  <c r="BH350"/>
  <c r="BI350"/>
  <c r="BJ350"/>
  <c r="BK350"/>
  <c r="BL350"/>
  <c r="BM350"/>
  <c r="BN350"/>
  <c r="BO350"/>
  <c r="BP350"/>
  <c r="BQ350"/>
  <c r="BR350"/>
  <c r="BS350"/>
  <c r="BT350"/>
  <c r="BU350"/>
  <c r="BV350"/>
  <c r="BW350"/>
  <c r="BX350"/>
  <c r="BY350"/>
  <c r="BZ350"/>
  <c r="CA350"/>
  <c r="CB350"/>
  <c r="CC350"/>
  <c r="CD350"/>
  <c r="CE350"/>
  <c r="CF350"/>
  <c r="CG350"/>
  <c r="CH350"/>
  <c r="CI350"/>
  <c r="CJ350"/>
  <c r="CK350"/>
  <c r="CL350"/>
  <c r="CM350"/>
  <c r="CN350"/>
  <c r="CO350"/>
  <c r="CP350"/>
  <c r="CQ350"/>
  <c r="CR350"/>
  <c r="CS350"/>
  <c r="CT350"/>
  <c r="CU350"/>
  <c r="CV350"/>
  <c r="CW350"/>
  <c r="CX350"/>
  <c r="CY350"/>
  <c r="CZ350"/>
  <c r="DA350"/>
  <c r="DB350"/>
  <c r="DC350"/>
  <c r="DD350"/>
  <c r="DE350"/>
  <c r="DF350"/>
  <c r="DG350"/>
  <c r="DH350"/>
  <c r="DI350"/>
  <c r="DJ350"/>
  <c r="DK350"/>
  <c r="DL350"/>
  <c r="DM350"/>
  <c r="DN350"/>
  <c r="DO350"/>
  <c r="DP350"/>
  <c r="DQ350"/>
  <c r="DR350"/>
  <c r="DS350"/>
  <c r="DT350"/>
  <c r="DU350"/>
  <c r="DV350"/>
  <c r="DW350"/>
  <c r="DX350"/>
  <c r="DY350"/>
  <c r="DZ350"/>
  <c r="EA350"/>
  <c r="EB350"/>
  <c r="EC350"/>
  <c r="ED350"/>
  <c r="EE350"/>
  <c r="EF350"/>
  <c r="EG350"/>
  <c r="EH350"/>
  <c r="EI350"/>
  <c r="EJ350"/>
  <c r="EK350"/>
  <c r="EL350"/>
  <c r="EM350"/>
  <c r="EN350"/>
  <c r="EO350"/>
  <c r="EP350"/>
  <c r="EQ350"/>
  <c r="ER350"/>
  <c r="ES350"/>
  <c r="ET350"/>
  <c r="EU350"/>
  <c r="EV350"/>
  <c r="EW350"/>
  <c r="EX350"/>
  <c r="EY350"/>
  <c r="EZ350"/>
  <c r="FA350"/>
  <c r="FB350"/>
  <c r="FC350"/>
  <c r="FD350"/>
  <c r="FE350"/>
  <c r="FF350"/>
  <c r="FG350"/>
  <c r="FH350"/>
  <c r="FI350"/>
  <c r="FJ350"/>
  <c r="FK350"/>
  <c r="FL350"/>
  <c r="FM350"/>
  <c r="FN350"/>
  <c r="FO350"/>
  <c r="FP350"/>
  <c r="FQ350"/>
  <c r="FR350"/>
  <c r="FS350"/>
  <c r="FT350"/>
  <c r="FU350"/>
  <c r="FV350"/>
  <c r="FW350"/>
  <c r="FX350"/>
  <c r="FY350"/>
  <c r="FZ350"/>
  <c r="GA350"/>
  <c r="GB350"/>
  <c r="GC350"/>
  <c r="GD350"/>
  <c r="GE350"/>
  <c r="GF350"/>
  <c r="GG350"/>
  <c r="GH350"/>
  <c r="GI350"/>
  <c r="GJ350"/>
  <c r="GK350"/>
  <c r="GL350"/>
  <c r="GM350"/>
  <c r="GN350"/>
  <c r="GO350"/>
  <c r="GP350"/>
  <c r="GQ350"/>
  <c r="GR350"/>
  <c r="GS350"/>
  <c r="GT350"/>
  <c r="GU350"/>
  <c r="GV350"/>
  <c r="GW350"/>
  <c r="GX350"/>
  <c r="GY350"/>
  <c r="GZ350"/>
  <c r="HA350"/>
  <c r="HB350"/>
  <c r="HC350"/>
  <c r="HD350"/>
  <c r="HE350"/>
  <c r="HF350"/>
  <c r="HG350"/>
  <c r="HH350"/>
  <c r="HI350"/>
  <c r="HJ350"/>
  <c r="HK350"/>
  <c r="HL350"/>
  <c r="HM350"/>
  <c r="HN350"/>
  <c r="HO350"/>
  <c r="HP350"/>
  <c r="HQ350"/>
  <c r="HR350"/>
  <c r="HS350"/>
  <c r="HT350"/>
  <c r="HU350"/>
  <c r="HV350"/>
  <c r="HW350"/>
  <c r="HX350"/>
  <c r="HY350"/>
  <c r="HZ350"/>
  <c r="IA350"/>
  <c r="IB350"/>
  <c r="IC350"/>
  <c r="ID350"/>
  <c r="IE350"/>
  <c r="IF350"/>
  <c r="IG350"/>
  <c r="IH350"/>
  <c r="II350"/>
  <c r="IJ350"/>
  <c r="IK350"/>
  <c r="IL350"/>
  <c r="IM350"/>
  <c r="IN350"/>
  <c r="IO350"/>
  <c r="IP350"/>
  <c r="IQ350"/>
  <c r="IR350"/>
  <c r="IS350"/>
  <c r="IT350"/>
  <c r="IU350"/>
  <c r="IV350"/>
  <c r="A349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AE349"/>
  <c r="AF349"/>
  <c r="AG349"/>
  <c r="AH349"/>
  <c r="AI349"/>
  <c r="AJ349"/>
  <c r="AK349"/>
  <c r="AL349"/>
  <c r="AM349"/>
  <c r="AN349"/>
  <c r="AO349"/>
  <c r="AP349"/>
  <c r="AQ349"/>
  <c r="AR349"/>
  <c r="AS349"/>
  <c r="AT349"/>
  <c r="AU349"/>
  <c r="AV349"/>
  <c r="AW349"/>
  <c r="AX349"/>
  <c r="AY349"/>
  <c r="AZ349"/>
  <c r="BA349"/>
  <c r="BB349"/>
  <c r="BC349"/>
  <c r="BD349"/>
  <c r="BE349"/>
  <c r="BF349"/>
  <c r="BG349"/>
  <c r="BH349"/>
  <c r="BI349"/>
  <c r="BJ349"/>
  <c r="BK349"/>
  <c r="BL349"/>
  <c r="BM349"/>
  <c r="BN349"/>
  <c r="BO349"/>
  <c r="BP349"/>
  <c r="BQ349"/>
  <c r="BR349"/>
  <c r="BS349"/>
  <c r="BT349"/>
  <c r="BU349"/>
  <c r="BV349"/>
  <c r="BW349"/>
  <c r="BX349"/>
  <c r="BY349"/>
  <c r="BZ349"/>
  <c r="CA349"/>
  <c r="CB349"/>
  <c r="CC349"/>
  <c r="CD349"/>
  <c r="CE349"/>
  <c r="CF349"/>
  <c r="CG349"/>
  <c r="CH349"/>
  <c r="CI349"/>
  <c r="CJ349"/>
  <c r="CK349"/>
  <c r="CL349"/>
  <c r="CM349"/>
  <c r="CN349"/>
  <c r="CO349"/>
  <c r="CP349"/>
  <c r="CQ349"/>
  <c r="CR349"/>
  <c r="CS349"/>
  <c r="CT349"/>
  <c r="CU349"/>
  <c r="CV349"/>
  <c r="CW349"/>
  <c r="CX349"/>
  <c r="CY349"/>
  <c r="CZ349"/>
  <c r="DA349"/>
  <c r="DB349"/>
  <c r="DC349"/>
  <c r="DD349"/>
  <c r="DE349"/>
  <c r="DF349"/>
  <c r="DG349"/>
  <c r="DH349"/>
  <c r="DI349"/>
  <c r="DJ349"/>
  <c r="DK349"/>
  <c r="DL349"/>
  <c r="DM349"/>
  <c r="DN349"/>
  <c r="DO349"/>
  <c r="DP349"/>
  <c r="DQ349"/>
  <c r="DR349"/>
  <c r="DS349"/>
  <c r="DT349"/>
  <c r="DU349"/>
  <c r="DV349"/>
  <c r="DW349"/>
  <c r="DX349"/>
  <c r="DY349"/>
  <c r="DZ349"/>
  <c r="EA349"/>
  <c r="EB349"/>
  <c r="EC349"/>
  <c r="ED349"/>
  <c r="EE349"/>
  <c r="EF349"/>
  <c r="EG349"/>
  <c r="EH349"/>
  <c r="EI349"/>
  <c r="EJ349"/>
  <c r="EK349"/>
  <c r="EL349"/>
  <c r="EM349"/>
  <c r="EN349"/>
  <c r="EO349"/>
  <c r="EP349"/>
  <c r="EQ349"/>
  <c r="ER349"/>
  <c r="ES349"/>
  <c r="ET349"/>
  <c r="EU349"/>
  <c r="EV349"/>
  <c r="EW349"/>
  <c r="EX349"/>
  <c r="EY349"/>
  <c r="EZ349"/>
  <c r="FA349"/>
  <c r="FB349"/>
  <c r="FC349"/>
  <c r="FD349"/>
  <c r="FE349"/>
  <c r="FF349"/>
  <c r="FG349"/>
  <c r="FH349"/>
  <c r="FI349"/>
  <c r="FJ349"/>
  <c r="FK349"/>
  <c r="FL349"/>
  <c r="FM349"/>
  <c r="FN349"/>
  <c r="FO349"/>
  <c r="FP349"/>
  <c r="FQ349"/>
  <c r="FR349"/>
  <c r="FS349"/>
  <c r="FT349"/>
  <c r="FU349"/>
  <c r="FV349"/>
  <c r="FW349"/>
  <c r="FX349"/>
  <c r="FY349"/>
  <c r="FZ349"/>
  <c r="GA349"/>
  <c r="GB349"/>
  <c r="GC349"/>
  <c r="GD349"/>
  <c r="GE349"/>
  <c r="GF349"/>
  <c r="GG349"/>
  <c r="GH349"/>
  <c r="GI349"/>
  <c r="GJ349"/>
  <c r="GK349"/>
  <c r="GL349"/>
  <c r="GM349"/>
  <c r="GN349"/>
  <c r="GO349"/>
  <c r="GP349"/>
  <c r="GQ349"/>
  <c r="GR349"/>
  <c r="GS349"/>
  <c r="GT349"/>
  <c r="GU349"/>
  <c r="GV349"/>
  <c r="GW349"/>
  <c r="GX349"/>
  <c r="GY349"/>
  <c r="GZ349"/>
  <c r="HA349"/>
  <c r="HB349"/>
  <c r="HC349"/>
  <c r="HD349"/>
  <c r="HE349"/>
  <c r="HF349"/>
  <c r="HG349"/>
  <c r="HH349"/>
  <c r="HI349"/>
  <c r="HJ349"/>
  <c r="HK349"/>
  <c r="HL349"/>
  <c r="HM349"/>
  <c r="HN349"/>
  <c r="HO349"/>
  <c r="HP349"/>
  <c r="HQ349"/>
  <c r="HR349"/>
  <c r="HS349"/>
  <c r="HT349"/>
  <c r="HU349"/>
  <c r="HV349"/>
  <c r="HW349"/>
  <c r="HX349"/>
  <c r="HY349"/>
  <c r="HZ349"/>
  <c r="IA349"/>
  <c r="IB349"/>
  <c r="IC349"/>
  <c r="ID349"/>
  <c r="IE349"/>
  <c r="IF349"/>
  <c r="IG349"/>
  <c r="IH349"/>
  <c r="II349"/>
  <c r="IJ349"/>
  <c r="IK349"/>
  <c r="IL349"/>
  <c r="IM349"/>
  <c r="IN349"/>
  <c r="IO349"/>
  <c r="IP349"/>
  <c r="IQ349"/>
  <c r="IR349"/>
  <c r="IS349"/>
  <c r="IT349"/>
  <c r="IU349"/>
  <c r="IV349"/>
  <c r="A348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AE348"/>
  <c r="AF348"/>
  <c r="AG348"/>
  <c r="AH348"/>
  <c r="AI348"/>
  <c r="AJ348"/>
  <c r="AK348"/>
  <c r="AL348"/>
  <c r="AM348"/>
  <c r="AN348"/>
  <c r="AO348"/>
  <c r="AP348"/>
  <c r="AQ348"/>
  <c r="AR348"/>
  <c r="AS348"/>
  <c r="AT348"/>
  <c r="AU348"/>
  <c r="AV348"/>
  <c r="AW348"/>
  <c r="AX348"/>
  <c r="AY348"/>
  <c r="AZ348"/>
  <c r="BA348"/>
  <c r="BB348"/>
  <c r="BC348"/>
  <c r="BD348"/>
  <c r="BE348"/>
  <c r="BF348"/>
  <c r="BG348"/>
  <c r="BH348"/>
  <c r="BI348"/>
  <c r="BJ348"/>
  <c r="BK348"/>
  <c r="BL348"/>
  <c r="BM348"/>
  <c r="BN348"/>
  <c r="BO348"/>
  <c r="BP348"/>
  <c r="BQ348"/>
  <c r="BR348"/>
  <c r="BS348"/>
  <c r="BT348"/>
  <c r="BU348"/>
  <c r="BV348"/>
  <c r="BW348"/>
  <c r="BX348"/>
  <c r="BY348"/>
  <c r="BZ348"/>
  <c r="CA348"/>
  <c r="CB348"/>
  <c r="CC348"/>
  <c r="CD348"/>
  <c r="CE348"/>
  <c r="CF348"/>
  <c r="CG348"/>
  <c r="CH348"/>
  <c r="CI348"/>
  <c r="CJ348"/>
  <c r="CK348"/>
  <c r="CL348"/>
  <c r="CM348"/>
  <c r="CN348"/>
  <c r="CO348"/>
  <c r="CP348"/>
  <c r="CQ348"/>
  <c r="CR348"/>
  <c r="CS348"/>
  <c r="CT348"/>
  <c r="CU348"/>
  <c r="CV348"/>
  <c r="CW348"/>
  <c r="CX348"/>
  <c r="CY348"/>
  <c r="CZ348"/>
  <c r="DA348"/>
  <c r="DB348"/>
  <c r="DC348"/>
  <c r="DD348"/>
  <c r="DE348"/>
  <c r="DF348"/>
  <c r="DG348"/>
  <c r="DH348"/>
  <c r="DI348"/>
  <c r="DJ348"/>
  <c r="DK348"/>
  <c r="DL348"/>
  <c r="DM348"/>
  <c r="DN348"/>
  <c r="DO348"/>
  <c r="DP348"/>
  <c r="DQ348"/>
  <c r="DR348"/>
  <c r="DS348"/>
  <c r="DT348"/>
  <c r="DU348"/>
  <c r="DV348"/>
  <c r="DW348"/>
  <c r="DX348"/>
  <c r="DY348"/>
  <c r="DZ348"/>
  <c r="EA348"/>
  <c r="EB348"/>
  <c r="EC348"/>
  <c r="ED348"/>
  <c r="EE348"/>
  <c r="EF348"/>
  <c r="EG348"/>
  <c r="EH348"/>
  <c r="EI348"/>
  <c r="EJ348"/>
  <c r="EK348"/>
  <c r="EL348"/>
  <c r="EM348"/>
  <c r="EN348"/>
  <c r="EO348"/>
  <c r="EP348"/>
  <c r="EQ348"/>
  <c r="ER348"/>
  <c r="ES348"/>
  <c r="ET348"/>
  <c r="EU348"/>
  <c r="EV348"/>
  <c r="EW348"/>
  <c r="EX348"/>
  <c r="EY348"/>
  <c r="EZ348"/>
  <c r="FA348"/>
  <c r="FB348"/>
  <c r="FC348"/>
  <c r="FD348"/>
  <c r="FE348"/>
  <c r="FF348"/>
  <c r="FG348"/>
  <c r="FH348"/>
  <c r="FI348"/>
  <c r="FJ348"/>
  <c r="FK348"/>
  <c r="FL348"/>
  <c r="FM348"/>
  <c r="FN348"/>
  <c r="FO348"/>
  <c r="FP348"/>
  <c r="FQ348"/>
  <c r="FR348"/>
  <c r="FS348"/>
  <c r="FT348"/>
  <c r="FU348"/>
  <c r="FV348"/>
  <c r="FW348"/>
  <c r="FX348"/>
  <c r="FY348"/>
  <c r="FZ348"/>
  <c r="GA348"/>
  <c r="GB348"/>
  <c r="GC348"/>
  <c r="GD348"/>
  <c r="GE348"/>
  <c r="GF348"/>
  <c r="GG348"/>
  <c r="GH348"/>
  <c r="GI348"/>
  <c r="GJ348"/>
  <c r="GK348"/>
  <c r="GL348"/>
  <c r="GM348"/>
  <c r="GN348"/>
  <c r="GO348"/>
  <c r="GP348"/>
  <c r="GQ348"/>
  <c r="GR348"/>
  <c r="GS348"/>
  <c r="GT348"/>
  <c r="GU348"/>
  <c r="GV348"/>
  <c r="GW348"/>
  <c r="GX348"/>
  <c r="GY348"/>
  <c r="GZ348"/>
  <c r="HA348"/>
  <c r="HB348"/>
  <c r="HC348"/>
  <c r="HD348"/>
  <c r="HE348"/>
  <c r="HF348"/>
  <c r="HG348"/>
  <c r="HH348"/>
  <c r="HI348"/>
  <c r="HJ348"/>
  <c r="HK348"/>
  <c r="HL348"/>
  <c r="HM348"/>
  <c r="HN348"/>
  <c r="HO348"/>
  <c r="HP348"/>
  <c r="HQ348"/>
  <c r="HR348"/>
  <c r="HS348"/>
  <c r="HT348"/>
  <c r="HU348"/>
  <c r="HV348"/>
  <c r="HW348"/>
  <c r="HX348"/>
  <c r="HY348"/>
  <c r="HZ348"/>
  <c r="IA348"/>
  <c r="IB348"/>
  <c r="IC348"/>
  <c r="ID348"/>
  <c r="IE348"/>
  <c r="IF348"/>
  <c r="IG348"/>
  <c r="IH348"/>
  <c r="II348"/>
  <c r="IJ348"/>
  <c r="IK348"/>
  <c r="IL348"/>
  <c r="IM348"/>
  <c r="IN348"/>
  <c r="IO348"/>
  <c r="IP348"/>
  <c r="IQ348"/>
  <c r="IR348"/>
  <c r="IS348"/>
  <c r="IT348"/>
  <c r="IU348"/>
  <c r="IV348"/>
  <c r="A347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AE347"/>
  <c r="AF347"/>
  <c r="AG347"/>
  <c r="AH347"/>
  <c r="AI347"/>
  <c r="AJ347"/>
  <c r="AK347"/>
  <c r="AL347"/>
  <c r="AM347"/>
  <c r="AN347"/>
  <c r="AO347"/>
  <c r="AP347"/>
  <c r="AQ347"/>
  <c r="AR347"/>
  <c r="AS347"/>
  <c r="AT347"/>
  <c r="AU347"/>
  <c r="AV347"/>
  <c r="AW347"/>
  <c r="AX347"/>
  <c r="AY347"/>
  <c r="AZ347"/>
  <c r="BA347"/>
  <c r="BB347"/>
  <c r="BC347"/>
  <c r="BD347"/>
  <c r="BE347"/>
  <c r="BF347"/>
  <c r="BG347"/>
  <c r="BH347"/>
  <c r="BI347"/>
  <c r="BJ347"/>
  <c r="BK347"/>
  <c r="BL347"/>
  <c r="BM347"/>
  <c r="BN347"/>
  <c r="BO347"/>
  <c r="BP347"/>
  <c r="BQ347"/>
  <c r="BR347"/>
  <c r="BS347"/>
  <c r="BT347"/>
  <c r="BU347"/>
  <c r="BV347"/>
  <c r="BW347"/>
  <c r="BX347"/>
  <c r="BY347"/>
  <c r="BZ347"/>
  <c r="CA347"/>
  <c r="CB347"/>
  <c r="CC347"/>
  <c r="CD347"/>
  <c r="CE347"/>
  <c r="CF347"/>
  <c r="CG347"/>
  <c r="CH347"/>
  <c r="CI347"/>
  <c r="CJ347"/>
  <c r="CK347"/>
  <c r="CL347"/>
  <c r="CM347"/>
  <c r="CN347"/>
  <c r="CO347"/>
  <c r="CP347"/>
  <c r="CQ347"/>
  <c r="CR347"/>
  <c r="CS347"/>
  <c r="CT347"/>
  <c r="CU347"/>
  <c r="CV347"/>
  <c r="CW347"/>
  <c r="CX347"/>
  <c r="CY347"/>
  <c r="CZ347"/>
  <c r="DA347"/>
  <c r="DB347"/>
  <c r="DC347"/>
  <c r="DD347"/>
  <c r="DE347"/>
  <c r="DF347"/>
  <c r="DG347"/>
  <c r="DH347"/>
  <c r="DI347"/>
  <c r="DJ347"/>
  <c r="DK347"/>
  <c r="DL347"/>
  <c r="DM347"/>
  <c r="DN347"/>
  <c r="DO347"/>
  <c r="DP347"/>
  <c r="DQ347"/>
  <c r="DR347"/>
  <c r="DS347"/>
  <c r="DT347"/>
  <c r="DU347"/>
  <c r="DV347"/>
  <c r="DW347"/>
  <c r="DX347"/>
  <c r="DY347"/>
  <c r="DZ347"/>
  <c r="EA347"/>
  <c r="EB347"/>
  <c r="EC347"/>
  <c r="ED347"/>
  <c r="EE347"/>
  <c r="EF347"/>
  <c r="EG347"/>
  <c r="EH347"/>
  <c r="EI347"/>
  <c r="EJ347"/>
  <c r="EK347"/>
  <c r="EL347"/>
  <c r="EM347"/>
  <c r="EN347"/>
  <c r="EO347"/>
  <c r="EP347"/>
  <c r="EQ347"/>
  <c r="ER347"/>
  <c r="ES347"/>
  <c r="ET347"/>
  <c r="EU347"/>
  <c r="EV347"/>
  <c r="EW347"/>
  <c r="EX347"/>
  <c r="EY347"/>
  <c r="EZ347"/>
  <c r="FA347"/>
  <c r="FB347"/>
  <c r="FC347"/>
  <c r="FD347"/>
  <c r="FE347"/>
  <c r="FF347"/>
  <c r="FG347"/>
  <c r="FH347"/>
  <c r="FI347"/>
  <c r="FJ347"/>
  <c r="FK347"/>
  <c r="FL347"/>
  <c r="FM347"/>
  <c r="FN347"/>
  <c r="FO347"/>
  <c r="FP347"/>
  <c r="FQ347"/>
  <c r="FR347"/>
  <c r="FS347"/>
  <c r="FT347"/>
  <c r="FU347"/>
  <c r="FV347"/>
  <c r="FW347"/>
  <c r="FX347"/>
  <c r="FY347"/>
  <c r="FZ347"/>
  <c r="GA347"/>
  <c r="GB347"/>
  <c r="GC347"/>
  <c r="GD347"/>
  <c r="GE347"/>
  <c r="GF347"/>
  <c r="GG347"/>
  <c r="GH347"/>
  <c r="GI347"/>
  <c r="GJ347"/>
  <c r="GK347"/>
  <c r="GL347"/>
  <c r="GM347"/>
  <c r="GN347"/>
  <c r="GO347"/>
  <c r="GP347"/>
  <c r="GQ347"/>
  <c r="GR347"/>
  <c r="GS347"/>
  <c r="GT347"/>
  <c r="GU347"/>
  <c r="GV347"/>
  <c r="GW347"/>
  <c r="GX347"/>
  <c r="GY347"/>
  <c r="GZ347"/>
  <c r="HA347"/>
  <c r="HB347"/>
  <c r="HC347"/>
  <c r="HD347"/>
  <c r="HE347"/>
  <c r="HF347"/>
  <c r="HG347"/>
  <c r="HH347"/>
  <c r="HI347"/>
  <c r="HJ347"/>
  <c r="HK347"/>
  <c r="HL347"/>
  <c r="HM347"/>
  <c r="HN347"/>
  <c r="HO347"/>
  <c r="HP347"/>
  <c r="HQ347"/>
  <c r="HR347"/>
  <c r="HS347"/>
  <c r="HT347"/>
  <c r="HU347"/>
  <c r="HV347"/>
  <c r="HW347"/>
  <c r="HX347"/>
  <c r="HY347"/>
  <c r="HZ347"/>
  <c r="IA347"/>
  <c r="IB347"/>
  <c r="IC347"/>
  <c r="ID347"/>
  <c r="IE347"/>
  <c r="IF347"/>
  <c r="IG347"/>
  <c r="IH347"/>
  <c r="II347"/>
  <c r="IJ347"/>
  <c r="IK347"/>
  <c r="IL347"/>
  <c r="IM347"/>
  <c r="IN347"/>
  <c r="IO347"/>
  <c r="IP347"/>
  <c r="IQ347"/>
  <c r="IR347"/>
  <c r="IS347"/>
  <c r="IT347"/>
  <c r="IU347"/>
  <c r="IV347"/>
  <c r="A346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AE346"/>
  <c r="AF346"/>
  <c r="AG346"/>
  <c r="AH346"/>
  <c r="AI346"/>
  <c r="AJ346"/>
  <c r="AK346"/>
  <c r="AL346"/>
  <c r="AM346"/>
  <c r="AN346"/>
  <c r="AO346"/>
  <c r="AP346"/>
  <c r="AQ346"/>
  <c r="AR346"/>
  <c r="AS346"/>
  <c r="AT346"/>
  <c r="AU346"/>
  <c r="AV346"/>
  <c r="AW346"/>
  <c r="AX346"/>
  <c r="AY346"/>
  <c r="AZ346"/>
  <c r="BA346"/>
  <c r="BB346"/>
  <c r="BC346"/>
  <c r="BD346"/>
  <c r="BE346"/>
  <c r="BF346"/>
  <c r="BG346"/>
  <c r="BH346"/>
  <c r="BI346"/>
  <c r="BJ346"/>
  <c r="BK346"/>
  <c r="BL346"/>
  <c r="BM346"/>
  <c r="BN346"/>
  <c r="BO346"/>
  <c r="BP346"/>
  <c r="BQ346"/>
  <c r="BR346"/>
  <c r="BS346"/>
  <c r="BT346"/>
  <c r="BU346"/>
  <c r="BV346"/>
  <c r="BW346"/>
  <c r="BX346"/>
  <c r="BY346"/>
  <c r="BZ346"/>
  <c r="CA346"/>
  <c r="CB346"/>
  <c r="CC346"/>
  <c r="CD346"/>
  <c r="CE346"/>
  <c r="CF346"/>
  <c r="CG346"/>
  <c r="CH346"/>
  <c r="CI346"/>
  <c r="CJ346"/>
  <c r="CK346"/>
  <c r="CL346"/>
  <c r="CM346"/>
  <c r="CN346"/>
  <c r="CO346"/>
  <c r="CP346"/>
  <c r="CQ346"/>
  <c r="CR346"/>
  <c r="CS346"/>
  <c r="CT346"/>
  <c r="CU346"/>
  <c r="CV346"/>
  <c r="CW346"/>
  <c r="CX346"/>
  <c r="CY346"/>
  <c r="CZ346"/>
  <c r="DA346"/>
  <c r="DB346"/>
  <c r="DC346"/>
  <c r="DD346"/>
  <c r="DE346"/>
  <c r="DF346"/>
  <c r="DG346"/>
  <c r="DH346"/>
  <c r="DI346"/>
  <c r="DJ346"/>
  <c r="DK346"/>
  <c r="DL346"/>
  <c r="DM346"/>
  <c r="DN346"/>
  <c r="DO346"/>
  <c r="DP346"/>
  <c r="DQ346"/>
  <c r="DR346"/>
  <c r="DS346"/>
  <c r="DT346"/>
  <c r="DU346"/>
  <c r="DV346"/>
  <c r="DW346"/>
  <c r="DX346"/>
  <c r="DY346"/>
  <c r="DZ346"/>
  <c r="EA346"/>
  <c r="EB346"/>
  <c r="EC346"/>
  <c r="ED346"/>
  <c r="EE346"/>
  <c r="EF346"/>
  <c r="EG346"/>
  <c r="EH346"/>
  <c r="EI346"/>
  <c r="EJ346"/>
  <c r="EK346"/>
  <c r="EL346"/>
  <c r="EM346"/>
  <c r="EN346"/>
  <c r="EO346"/>
  <c r="EP346"/>
  <c r="EQ346"/>
  <c r="ER346"/>
  <c r="ES346"/>
  <c r="ET346"/>
  <c r="EU346"/>
  <c r="EV346"/>
  <c r="EW346"/>
  <c r="EX346"/>
  <c r="EY346"/>
  <c r="EZ346"/>
  <c r="FA346"/>
  <c r="FB346"/>
  <c r="FC346"/>
  <c r="FD346"/>
  <c r="FE346"/>
  <c r="FF346"/>
  <c r="FG346"/>
  <c r="FH346"/>
  <c r="FI346"/>
  <c r="FJ346"/>
  <c r="FK346"/>
  <c r="FL346"/>
  <c r="FM346"/>
  <c r="FN346"/>
  <c r="FO346"/>
  <c r="FP346"/>
  <c r="FQ346"/>
  <c r="FR346"/>
  <c r="FS346"/>
  <c r="FT346"/>
  <c r="FU346"/>
  <c r="FV346"/>
  <c r="FW346"/>
  <c r="FX346"/>
  <c r="FY346"/>
  <c r="FZ346"/>
  <c r="GA346"/>
  <c r="GB346"/>
  <c r="GC346"/>
  <c r="GD346"/>
  <c r="GE346"/>
  <c r="GF346"/>
  <c r="GG346"/>
  <c r="GH346"/>
  <c r="GI346"/>
  <c r="GJ346"/>
  <c r="GK346"/>
  <c r="GL346"/>
  <c r="GM346"/>
  <c r="GN346"/>
  <c r="GO346"/>
  <c r="GP346"/>
  <c r="GQ346"/>
  <c r="GR346"/>
  <c r="GS346"/>
  <c r="GT346"/>
  <c r="GU346"/>
  <c r="GV346"/>
  <c r="GW346"/>
  <c r="GX346"/>
  <c r="GY346"/>
  <c r="GZ346"/>
  <c r="HA346"/>
  <c r="HB346"/>
  <c r="HC346"/>
  <c r="HD346"/>
  <c r="HE346"/>
  <c r="HF346"/>
  <c r="HG346"/>
  <c r="HH346"/>
  <c r="HI346"/>
  <c r="HJ346"/>
  <c r="HK346"/>
  <c r="HL346"/>
  <c r="HM346"/>
  <c r="HN346"/>
  <c r="HO346"/>
  <c r="HP346"/>
  <c r="HQ346"/>
  <c r="HR346"/>
  <c r="HS346"/>
  <c r="HT346"/>
  <c r="HU346"/>
  <c r="HV346"/>
  <c r="HW346"/>
  <c r="HX346"/>
  <c r="HY346"/>
  <c r="HZ346"/>
  <c r="IA346"/>
  <c r="IB346"/>
  <c r="IC346"/>
  <c r="ID346"/>
  <c r="IE346"/>
  <c r="IF346"/>
  <c r="IG346"/>
  <c r="IH346"/>
  <c r="II346"/>
  <c r="IJ346"/>
  <c r="IK346"/>
  <c r="IL346"/>
  <c r="IM346"/>
  <c r="IN346"/>
  <c r="IO346"/>
  <c r="IP346"/>
  <c r="IQ346"/>
  <c r="IR346"/>
  <c r="IS346"/>
  <c r="IT346"/>
  <c r="IU346"/>
  <c r="IV346"/>
  <c r="A345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AE345"/>
  <c r="AF345"/>
  <c r="AG345"/>
  <c r="AH345"/>
  <c r="AI345"/>
  <c r="AJ345"/>
  <c r="AK345"/>
  <c r="AL345"/>
  <c r="AM345"/>
  <c r="AN345"/>
  <c r="AO345"/>
  <c r="AP345"/>
  <c r="AQ345"/>
  <c r="AR345"/>
  <c r="AS345"/>
  <c r="AT345"/>
  <c r="AU345"/>
  <c r="AV345"/>
  <c r="AW345"/>
  <c r="AX345"/>
  <c r="AY345"/>
  <c r="AZ345"/>
  <c r="BA345"/>
  <c r="BB345"/>
  <c r="BC345"/>
  <c r="BD345"/>
  <c r="BE345"/>
  <c r="BF345"/>
  <c r="BG345"/>
  <c r="BH345"/>
  <c r="BI345"/>
  <c r="BJ345"/>
  <c r="BK345"/>
  <c r="BL345"/>
  <c r="BM345"/>
  <c r="BN345"/>
  <c r="BO345"/>
  <c r="BP345"/>
  <c r="BQ345"/>
  <c r="BR345"/>
  <c r="BS345"/>
  <c r="BT345"/>
  <c r="BU345"/>
  <c r="BV345"/>
  <c r="BW345"/>
  <c r="BX345"/>
  <c r="BY345"/>
  <c r="BZ345"/>
  <c r="CA345"/>
  <c r="CB345"/>
  <c r="CC345"/>
  <c r="CD345"/>
  <c r="CE345"/>
  <c r="CF345"/>
  <c r="CG345"/>
  <c r="CH345"/>
  <c r="CI345"/>
  <c r="CJ345"/>
  <c r="CK345"/>
  <c r="CL345"/>
  <c r="CM345"/>
  <c r="CN345"/>
  <c r="CO345"/>
  <c r="CP345"/>
  <c r="CQ345"/>
  <c r="CR345"/>
  <c r="CS345"/>
  <c r="CT345"/>
  <c r="CU345"/>
  <c r="CV345"/>
  <c r="CW345"/>
  <c r="CX345"/>
  <c r="CY345"/>
  <c r="CZ345"/>
  <c r="DA345"/>
  <c r="DB345"/>
  <c r="DC345"/>
  <c r="DD345"/>
  <c r="DE345"/>
  <c r="DF345"/>
  <c r="DG345"/>
  <c r="DH345"/>
  <c r="DI345"/>
  <c r="DJ345"/>
  <c r="DK345"/>
  <c r="DL345"/>
  <c r="DM345"/>
  <c r="DN345"/>
  <c r="DO345"/>
  <c r="DP345"/>
  <c r="DQ345"/>
  <c r="DR345"/>
  <c r="DS345"/>
  <c r="DT345"/>
  <c r="DU345"/>
  <c r="DV345"/>
  <c r="DW345"/>
  <c r="DX345"/>
  <c r="DY345"/>
  <c r="DZ345"/>
  <c r="EA345"/>
  <c r="EB345"/>
  <c r="EC345"/>
  <c r="ED345"/>
  <c r="EE345"/>
  <c r="EF345"/>
  <c r="EG345"/>
  <c r="EH345"/>
  <c r="EI345"/>
  <c r="EJ345"/>
  <c r="EK345"/>
  <c r="EL345"/>
  <c r="EM345"/>
  <c r="EN345"/>
  <c r="EO345"/>
  <c r="EP345"/>
  <c r="EQ345"/>
  <c r="ER345"/>
  <c r="ES345"/>
  <c r="ET345"/>
  <c r="EU345"/>
  <c r="EV345"/>
  <c r="EW345"/>
  <c r="EX345"/>
  <c r="EY345"/>
  <c r="EZ345"/>
  <c r="FA345"/>
  <c r="FB345"/>
  <c r="FC345"/>
  <c r="FD345"/>
  <c r="FE345"/>
  <c r="FF345"/>
  <c r="FG345"/>
  <c r="FH345"/>
  <c r="FI345"/>
  <c r="FJ345"/>
  <c r="FK345"/>
  <c r="FL345"/>
  <c r="FM345"/>
  <c r="FN345"/>
  <c r="FO345"/>
  <c r="FP345"/>
  <c r="FQ345"/>
  <c r="FR345"/>
  <c r="FS345"/>
  <c r="FT345"/>
  <c r="FU345"/>
  <c r="FV345"/>
  <c r="FW345"/>
  <c r="FX345"/>
  <c r="FY345"/>
  <c r="FZ345"/>
  <c r="GA345"/>
  <c r="GB345"/>
  <c r="GC345"/>
  <c r="GD345"/>
  <c r="GE345"/>
  <c r="GF345"/>
  <c r="GG345"/>
  <c r="GH345"/>
  <c r="GI345"/>
  <c r="GJ345"/>
  <c r="GK345"/>
  <c r="GL345"/>
  <c r="GM345"/>
  <c r="GN345"/>
  <c r="GO345"/>
  <c r="GP345"/>
  <c r="GQ345"/>
  <c r="GR345"/>
  <c r="GS345"/>
  <c r="GT345"/>
  <c r="GU345"/>
  <c r="GV345"/>
  <c r="GW345"/>
  <c r="GX345"/>
  <c r="GY345"/>
  <c r="GZ345"/>
  <c r="HA345"/>
  <c r="HB345"/>
  <c r="HC345"/>
  <c r="HD345"/>
  <c r="HE345"/>
  <c r="HF345"/>
  <c r="HG345"/>
  <c r="HH345"/>
  <c r="HI345"/>
  <c r="HJ345"/>
  <c r="HK345"/>
  <c r="HL345"/>
  <c r="HM345"/>
  <c r="HN345"/>
  <c r="HO345"/>
  <c r="HP345"/>
  <c r="HQ345"/>
  <c r="HR345"/>
  <c r="HS345"/>
  <c r="HT345"/>
  <c r="HU345"/>
  <c r="HV345"/>
  <c r="HW345"/>
  <c r="HX345"/>
  <c r="HY345"/>
  <c r="HZ345"/>
  <c r="IA345"/>
  <c r="IB345"/>
  <c r="IC345"/>
  <c r="ID345"/>
  <c r="IE345"/>
  <c r="IF345"/>
  <c r="IG345"/>
  <c r="IH345"/>
  <c r="II345"/>
  <c r="IJ345"/>
  <c r="IK345"/>
  <c r="IL345"/>
  <c r="IM345"/>
  <c r="IN345"/>
  <c r="IO345"/>
  <c r="IP345"/>
  <c r="IQ345"/>
  <c r="IR345"/>
  <c r="IS345"/>
  <c r="IT345"/>
  <c r="IU345"/>
  <c r="IV345"/>
  <c r="A344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AT344"/>
  <c r="AU344"/>
  <c r="AV344"/>
  <c r="AW344"/>
  <c r="AX344"/>
  <c r="AY344"/>
  <c r="AZ344"/>
  <c r="BA344"/>
  <c r="BB344"/>
  <c r="BC344"/>
  <c r="BD344"/>
  <c r="BE344"/>
  <c r="BF344"/>
  <c r="BG344"/>
  <c r="BH344"/>
  <c r="BI344"/>
  <c r="BJ344"/>
  <c r="BK344"/>
  <c r="BL344"/>
  <c r="BM344"/>
  <c r="BN344"/>
  <c r="BO344"/>
  <c r="BP344"/>
  <c r="BQ344"/>
  <c r="BR344"/>
  <c r="BS344"/>
  <c r="BT344"/>
  <c r="BU344"/>
  <c r="BV344"/>
  <c r="BW344"/>
  <c r="BX344"/>
  <c r="BY344"/>
  <c r="BZ344"/>
  <c r="CA344"/>
  <c r="CB344"/>
  <c r="CC344"/>
  <c r="CD344"/>
  <c r="CE344"/>
  <c r="CF344"/>
  <c r="CG344"/>
  <c r="CH344"/>
  <c r="CI344"/>
  <c r="CJ344"/>
  <c r="CK344"/>
  <c r="CL344"/>
  <c r="CM344"/>
  <c r="CN344"/>
  <c r="CO344"/>
  <c r="CP344"/>
  <c r="CQ344"/>
  <c r="CR344"/>
  <c r="CS344"/>
  <c r="CT344"/>
  <c r="CU344"/>
  <c r="CV344"/>
  <c r="CW344"/>
  <c r="CX344"/>
  <c r="CY344"/>
  <c r="CZ344"/>
  <c r="DA344"/>
  <c r="DB344"/>
  <c r="DC344"/>
  <c r="DD344"/>
  <c r="DE344"/>
  <c r="DF344"/>
  <c r="DG344"/>
  <c r="DH344"/>
  <c r="DI344"/>
  <c r="DJ344"/>
  <c r="DK344"/>
  <c r="DL344"/>
  <c r="DM344"/>
  <c r="DN344"/>
  <c r="DO344"/>
  <c r="DP344"/>
  <c r="DQ344"/>
  <c r="DR344"/>
  <c r="DS344"/>
  <c r="DT344"/>
  <c r="DU344"/>
  <c r="DV344"/>
  <c r="DW344"/>
  <c r="DX344"/>
  <c r="DY344"/>
  <c r="DZ344"/>
  <c r="EA344"/>
  <c r="EB344"/>
  <c r="EC344"/>
  <c r="ED344"/>
  <c r="EE344"/>
  <c r="EF344"/>
  <c r="EG344"/>
  <c r="EH344"/>
  <c r="EI344"/>
  <c r="EJ344"/>
  <c r="EK344"/>
  <c r="EL344"/>
  <c r="EM344"/>
  <c r="EN344"/>
  <c r="EO344"/>
  <c r="EP344"/>
  <c r="EQ344"/>
  <c r="ER344"/>
  <c r="ES344"/>
  <c r="ET344"/>
  <c r="EU344"/>
  <c r="EV344"/>
  <c r="EW344"/>
  <c r="EX344"/>
  <c r="EY344"/>
  <c r="EZ344"/>
  <c r="FA344"/>
  <c r="FB344"/>
  <c r="FC344"/>
  <c r="FD344"/>
  <c r="FE344"/>
  <c r="FF344"/>
  <c r="FG344"/>
  <c r="FH344"/>
  <c r="FI344"/>
  <c r="FJ344"/>
  <c r="FK344"/>
  <c r="FL344"/>
  <c r="FM344"/>
  <c r="FN344"/>
  <c r="FO344"/>
  <c r="FP344"/>
  <c r="FQ344"/>
  <c r="FR344"/>
  <c r="FS344"/>
  <c r="FT344"/>
  <c r="FU344"/>
  <c r="FV344"/>
  <c r="FW344"/>
  <c r="FX344"/>
  <c r="FY344"/>
  <c r="FZ344"/>
  <c r="GA344"/>
  <c r="GB344"/>
  <c r="GC344"/>
  <c r="GD344"/>
  <c r="GE344"/>
  <c r="GF344"/>
  <c r="GG344"/>
  <c r="GH344"/>
  <c r="GI344"/>
  <c r="GJ344"/>
  <c r="GK344"/>
  <c r="GL344"/>
  <c r="GM344"/>
  <c r="GN344"/>
  <c r="GO344"/>
  <c r="GP344"/>
  <c r="GQ344"/>
  <c r="GR344"/>
  <c r="GS344"/>
  <c r="GT344"/>
  <c r="GU344"/>
  <c r="GV344"/>
  <c r="GW344"/>
  <c r="GX344"/>
  <c r="GY344"/>
  <c r="GZ344"/>
  <c r="HA344"/>
  <c r="HB344"/>
  <c r="HC344"/>
  <c r="HD344"/>
  <c r="HE344"/>
  <c r="HF344"/>
  <c r="HG344"/>
  <c r="HH344"/>
  <c r="HI344"/>
  <c r="HJ344"/>
  <c r="HK344"/>
  <c r="HL344"/>
  <c r="HM344"/>
  <c r="HN344"/>
  <c r="HO344"/>
  <c r="HP344"/>
  <c r="HQ344"/>
  <c r="HR344"/>
  <c r="HS344"/>
  <c r="HT344"/>
  <c r="HU344"/>
  <c r="HV344"/>
  <c r="HW344"/>
  <c r="HX344"/>
  <c r="HY344"/>
  <c r="HZ344"/>
  <c r="IA344"/>
  <c r="IB344"/>
  <c r="IC344"/>
  <c r="ID344"/>
  <c r="IE344"/>
  <c r="IF344"/>
  <c r="IG344"/>
  <c r="IH344"/>
  <c r="II344"/>
  <c r="IJ344"/>
  <c r="IK344"/>
  <c r="IL344"/>
  <c r="IM344"/>
  <c r="IN344"/>
  <c r="IO344"/>
  <c r="IP344"/>
  <c r="IQ344"/>
  <c r="IR344"/>
  <c r="IS344"/>
  <c r="IT344"/>
  <c r="IU344"/>
  <c r="IV344"/>
  <c r="A343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AT343"/>
  <c r="AU343"/>
  <c r="AV343"/>
  <c r="AW343"/>
  <c r="AX343"/>
  <c r="AY343"/>
  <c r="AZ343"/>
  <c r="BA343"/>
  <c r="BB343"/>
  <c r="BC343"/>
  <c r="BD343"/>
  <c r="BE343"/>
  <c r="BF343"/>
  <c r="BG343"/>
  <c r="BH343"/>
  <c r="BI343"/>
  <c r="BJ343"/>
  <c r="BK343"/>
  <c r="BL343"/>
  <c r="BM343"/>
  <c r="BN343"/>
  <c r="BO343"/>
  <c r="BP343"/>
  <c r="BQ343"/>
  <c r="BR343"/>
  <c r="BS343"/>
  <c r="BT343"/>
  <c r="BU343"/>
  <c r="BV343"/>
  <c r="BW343"/>
  <c r="BX343"/>
  <c r="BY343"/>
  <c r="BZ343"/>
  <c r="CA343"/>
  <c r="CB343"/>
  <c r="CC343"/>
  <c r="CD343"/>
  <c r="CE343"/>
  <c r="CF343"/>
  <c r="CG343"/>
  <c r="CH343"/>
  <c r="CI343"/>
  <c r="CJ343"/>
  <c r="CK343"/>
  <c r="CL343"/>
  <c r="CM343"/>
  <c r="CN343"/>
  <c r="CO343"/>
  <c r="CP343"/>
  <c r="CQ343"/>
  <c r="CR343"/>
  <c r="CS343"/>
  <c r="CT343"/>
  <c r="CU343"/>
  <c r="CV343"/>
  <c r="CW343"/>
  <c r="CX343"/>
  <c r="CY343"/>
  <c r="CZ343"/>
  <c r="DA343"/>
  <c r="DB343"/>
  <c r="DC343"/>
  <c r="DD343"/>
  <c r="DE343"/>
  <c r="DF343"/>
  <c r="DG343"/>
  <c r="DH343"/>
  <c r="DI343"/>
  <c r="DJ343"/>
  <c r="DK343"/>
  <c r="DL343"/>
  <c r="DM343"/>
  <c r="DN343"/>
  <c r="DO343"/>
  <c r="DP343"/>
  <c r="DQ343"/>
  <c r="DR343"/>
  <c r="DS343"/>
  <c r="DT343"/>
  <c r="DU343"/>
  <c r="DV343"/>
  <c r="DW343"/>
  <c r="DX343"/>
  <c r="DY343"/>
  <c r="DZ343"/>
  <c r="EA343"/>
  <c r="EB343"/>
  <c r="EC343"/>
  <c r="ED343"/>
  <c r="EE343"/>
  <c r="EF343"/>
  <c r="EG343"/>
  <c r="EH343"/>
  <c r="EI343"/>
  <c r="EJ343"/>
  <c r="EK343"/>
  <c r="EL343"/>
  <c r="EM343"/>
  <c r="EN343"/>
  <c r="EO343"/>
  <c r="EP343"/>
  <c r="EQ343"/>
  <c r="ER343"/>
  <c r="ES343"/>
  <c r="ET343"/>
  <c r="EU343"/>
  <c r="EV343"/>
  <c r="EW343"/>
  <c r="EX343"/>
  <c r="EY343"/>
  <c r="EZ343"/>
  <c r="FA343"/>
  <c r="FB343"/>
  <c r="FC343"/>
  <c r="FD343"/>
  <c r="FE343"/>
  <c r="FF343"/>
  <c r="FG343"/>
  <c r="FH343"/>
  <c r="FI343"/>
  <c r="FJ343"/>
  <c r="FK343"/>
  <c r="FL343"/>
  <c r="FM343"/>
  <c r="FN343"/>
  <c r="FO343"/>
  <c r="FP343"/>
  <c r="FQ343"/>
  <c r="FR343"/>
  <c r="FS343"/>
  <c r="FT343"/>
  <c r="FU343"/>
  <c r="FV343"/>
  <c r="FW343"/>
  <c r="FX343"/>
  <c r="FY343"/>
  <c r="FZ343"/>
  <c r="GA343"/>
  <c r="GB343"/>
  <c r="GC343"/>
  <c r="GD343"/>
  <c r="GE343"/>
  <c r="GF343"/>
  <c r="GG343"/>
  <c r="GH343"/>
  <c r="GI343"/>
  <c r="GJ343"/>
  <c r="GK343"/>
  <c r="GL343"/>
  <c r="GM343"/>
  <c r="GN343"/>
  <c r="GO343"/>
  <c r="GP343"/>
  <c r="GQ343"/>
  <c r="GR343"/>
  <c r="GS343"/>
  <c r="GT343"/>
  <c r="GU343"/>
  <c r="GV343"/>
  <c r="GW343"/>
  <c r="GX343"/>
  <c r="GY343"/>
  <c r="GZ343"/>
  <c r="HA343"/>
  <c r="HB343"/>
  <c r="HC343"/>
  <c r="HD343"/>
  <c r="HE343"/>
  <c r="HF343"/>
  <c r="HG343"/>
  <c r="HH343"/>
  <c r="HI343"/>
  <c r="HJ343"/>
  <c r="HK343"/>
  <c r="HL343"/>
  <c r="HM343"/>
  <c r="HN343"/>
  <c r="HO343"/>
  <c r="HP343"/>
  <c r="HQ343"/>
  <c r="HR343"/>
  <c r="HS343"/>
  <c r="HT343"/>
  <c r="HU343"/>
  <c r="HV343"/>
  <c r="HW343"/>
  <c r="HX343"/>
  <c r="HY343"/>
  <c r="HZ343"/>
  <c r="IA343"/>
  <c r="IB343"/>
  <c r="IC343"/>
  <c r="ID343"/>
  <c r="IE343"/>
  <c r="IF343"/>
  <c r="IG343"/>
  <c r="IH343"/>
  <c r="II343"/>
  <c r="IJ343"/>
  <c r="IK343"/>
  <c r="IL343"/>
  <c r="IM343"/>
  <c r="IN343"/>
  <c r="IO343"/>
  <c r="IP343"/>
  <c r="IQ343"/>
  <c r="IR343"/>
  <c r="IS343"/>
  <c r="IT343"/>
  <c r="IU343"/>
  <c r="IV343"/>
  <c r="A342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AT342"/>
  <c r="AU342"/>
  <c r="AV342"/>
  <c r="AW342"/>
  <c r="AX342"/>
  <c r="AY342"/>
  <c r="AZ342"/>
  <c r="BA342"/>
  <c r="BB342"/>
  <c r="BC342"/>
  <c r="BD342"/>
  <c r="BE342"/>
  <c r="BF342"/>
  <c r="BG342"/>
  <c r="BH342"/>
  <c r="BI342"/>
  <c r="BJ342"/>
  <c r="BK342"/>
  <c r="BL342"/>
  <c r="BM342"/>
  <c r="BN342"/>
  <c r="BO342"/>
  <c r="BP342"/>
  <c r="BQ342"/>
  <c r="BR342"/>
  <c r="BS342"/>
  <c r="BT342"/>
  <c r="BU342"/>
  <c r="BV342"/>
  <c r="BW342"/>
  <c r="BX342"/>
  <c r="BY342"/>
  <c r="BZ342"/>
  <c r="CA342"/>
  <c r="CB342"/>
  <c r="CC342"/>
  <c r="CD342"/>
  <c r="CE342"/>
  <c r="CF342"/>
  <c r="CG342"/>
  <c r="CH342"/>
  <c r="CI342"/>
  <c r="CJ342"/>
  <c r="CK342"/>
  <c r="CL342"/>
  <c r="CM342"/>
  <c r="CN342"/>
  <c r="CO342"/>
  <c r="CP342"/>
  <c r="CQ342"/>
  <c r="CR342"/>
  <c r="CS342"/>
  <c r="CT342"/>
  <c r="CU342"/>
  <c r="CV342"/>
  <c r="CW342"/>
  <c r="CX342"/>
  <c r="CY342"/>
  <c r="CZ342"/>
  <c r="DA342"/>
  <c r="DB342"/>
  <c r="DC342"/>
  <c r="DD342"/>
  <c r="DE342"/>
  <c r="DF342"/>
  <c r="DG342"/>
  <c r="DH342"/>
  <c r="DI342"/>
  <c r="DJ342"/>
  <c r="DK342"/>
  <c r="DL342"/>
  <c r="DM342"/>
  <c r="DN342"/>
  <c r="DO342"/>
  <c r="DP342"/>
  <c r="DQ342"/>
  <c r="DR342"/>
  <c r="DS342"/>
  <c r="DT342"/>
  <c r="DU342"/>
  <c r="DV342"/>
  <c r="DW342"/>
  <c r="DX342"/>
  <c r="DY342"/>
  <c r="DZ342"/>
  <c r="EA342"/>
  <c r="EB342"/>
  <c r="EC342"/>
  <c r="ED342"/>
  <c r="EE342"/>
  <c r="EF342"/>
  <c r="EG342"/>
  <c r="EH342"/>
  <c r="EI342"/>
  <c r="EJ342"/>
  <c r="EK342"/>
  <c r="EL342"/>
  <c r="EM342"/>
  <c r="EN342"/>
  <c r="EO342"/>
  <c r="EP342"/>
  <c r="EQ342"/>
  <c r="ER342"/>
  <c r="ES342"/>
  <c r="ET342"/>
  <c r="EU342"/>
  <c r="EV342"/>
  <c r="EW342"/>
  <c r="EX342"/>
  <c r="EY342"/>
  <c r="EZ342"/>
  <c r="FA342"/>
  <c r="FB342"/>
  <c r="FC342"/>
  <c r="FD342"/>
  <c r="FE342"/>
  <c r="FF342"/>
  <c r="FG342"/>
  <c r="FH342"/>
  <c r="FI342"/>
  <c r="FJ342"/>
  <c r="FK342"/>
  <c r="FL342"/>
  <c r="FM342"/>
  <c r="FN342"/>
  <c r="FO342"/>
  <c r="FP342"/>
  <c r="FQ342"/>
  <c r="FR342"/>
  <c r="FS342"/>
  <c r="FT342"/>
  <c r="FU342"/>
  <c r="FV342"/>
  <c r="FW342"/>
  <c r="FX342"/>
  <c r="FY342"/>
  <c r="FZ342"/>
  <c r="GA342"/>
  <c r="GB342"/>
  <c r="GC342"/>
  <c r="GD342"/>
  <c r="GE342"/>
  <c r="GF342"/>
  <c r="GG342"/>
  <c r="GH342"/>
  <c r="GI342"/>
  <c r="GJ342"/>
  <c r="GK342"/>
  <c r="GL342"/>
  <c r="GM342"/>
  <c r="GN342"/>
  <c r="GO342"/>
  <c r="GP342"/>
  <c r="GQ342"/>
  <c r="GR342"/>
  <c r="GS342"/>
  <c r="GT342"/>
  <c r="GU342"/>
  <c r="GV342"/>
  <c r="GW342"/>
  <c r="GX342"/>
  <c r="GY342"/>
  <c r="GZ342"/>
  <c r="HA342"/>
  <c r="HB342"/>
  <c r="HC342"/>
  <c r="HD342"/>
  <c r="HE342"/>
  <c r="HF342"/>
  <c r="HG342"/>
  <c r="HH342"/>
  <c r="HI342"/>
  <c r="HJ342"/>
  <c r="HK342"/>
  <c r="HL342"/>
  <c r="HM342"/>
  <c r="HN342"/>
  <c r="HO342"/>
  <c r="HP342"/>
  <c r="HQ342"/>
  <c r="HR342"/>
  <c r="HS342"/>
  <c r="HT342"/>
  <c r="HU342"/>
  <c r="HV342"/>
  <c r="HW342"/>
  <c r="HX342"/>
  <c r="HY342"/>
  <c r="HZ342"/>
  <c r="IA342"/>
  <c r="IB342"/>
  <c r="IC342"/>
  <c r="ID342"/>
  <c r="IE342"/>
  <c r="IF342"/>
  <c r="IG342"/>
  <c r="IH342"/>
  <c r="II342"/>
  <c r="IJ342"/>
  <c r="IK342"/>
  <c r="IL342"/>
  <c r="IM342"/>
  <c r="IN342"/>
  <c r="IO342"/>
  <c r="IP342"/>
  <c r="IQ342"/>
  <c r="IR342"/>
  <c r="IS342"/>
  <c r="IT342"/>
  <c r="IU342"/>
  <c r="IV342"/>
  <c r="A341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AT341"/>
  <c r="AU341"/>
  <c r="AV341"/>
  <c r="AW341"/>
  <c r="AX341"/>
  <c r="AY341"/>
  <c r="AZ341"/>
  <c r="BA341"/>
  <c r="BB341"/>
  <c r="BC341"/>
  <c r="BD341"/>
  <c r="BE341"/>
  <c r="BF341"/>
  <c r="BG341"/>
  <c r="BH341"/>
  <c r="BI341"/>
  <c r="BJ341"/>
  <c r="BK341"/>
  <c r="BL341"/>
  <c r="BM341"/>
  <c r="BN341"/>
  <c r="BO341"/>
  <c r="BP341"/>
  <c r="BQ341"/>
  <c r="BR341"/>
  <c r="BS341"/>
  <c r="BT341"/>
  <c r="BU341"/>
  <c r="BV341"/>
  <c r="BW341"/>
  <c r="BX341"/>
  <c r="BY341"/>
  <c r="BZ341"/>
  <c r="CA341"/>
  <c r="CB341"/>
  <c r="CC341"/>
  <c r="CD341"/>
  <c r="CE341"/>
  <c r="CF341"/>
  <c r="CG341"/>
  <c r="CH341"/>
  <c r="CI341"/>
  <c r="CJ341"/>
  <c r="CK341"/>
  <c r="CL341"/>
  <c r="CM341"/>
  <c r="CN341"/>
  <c r="CO341"/>
  <c r="CP341"/>
  <c r="CQ341"/>
  <c r="CR341"/>
  <c r="CS341"/>
  <c r="CT341"/>
  <c r="CU341"/>
  <c r="CV341"/>
  <c r="CW341"/>
  <c r="CX341"/>
  <c r="CY341"/>
  <c r="CZ341"/>
  <c r="DA341"/>
  <c r="DB341"/>
  <c r="DC341"/>
  <c r="DD341"/>
  <c r="DE341"/>
  <c r="DF341"/>
  <c r="DG341"/>
  <c r="DH341"/>
  <c r="DI341"/>
  <c r="DJ341"/>
  <c r="DK341"/>
  <c r="DL341"/>
  <c r="DM341"/>
  <c r="DN341"/>
  <c r="DO341"/>
  <c r="DP341"/>
  <c r="DQ341"/>
  <c r="DR341"/>
  <c r="DS341"/>
  <c r="DT341"/>
  <c r="DU341"/>
  <c r="DV341"/>
  <c r="DW341"/>
  <c r="DX341"/>
  <c r="DY341"/>
  <c r="DZ341"/>
  <c r="EA341"/>
  <c r="EB341"/>
  <c r="EC341"/>
  <c r="ED341"/>
  <c r="EE341"/>
  <c r="EF341"/>
  <c r="EG341"/>
  <c r="EH341"/>
  <c r="EI341"/>
  <c r="EJ341"/>
  <c r="EK341"/>
  <c r="EL341"/>
  <c r="EM341"/>
  <c r="EN341"/>
  <c r="EO341"/>
  <c r="EP341"/>
  <c r="EQ341"/>
  <c r="ER341"/>
  <c r="ES341"/>
  <c r="ET341"/>
  <c r="EU341"/>
  <c r="EV341"/>
  <c r="EW341"/>
  <c r="EX341"/>
  <c r="EY341"/>
  <c r="EZ341"/>
  <c r="FA341"/>
  <c r="FB341"/>
  <c r="FC341"/>
  <c r="FD341"/>
  <c r="FE341"/>
  <c r="FF341"/>
  <c r="FG341"/>
  <c r="FH341"/>
  <c r="FI341"/>
  <c r="FJ341"/>
  <c r="FK341"/>
  <c r="FL341"/>
  <c r="FM341"/>
  <c r="FN341"/>
  <c r="FO341"/>
  <c r="FP341"/>
  <c r="FQ341"/>
  <c r="FR341"/>
  <c r="FS341"/>
  <c r="FT341"/>
  <c r="FU341"/>
  <c r="FV341"/>
  <c r="FW341"/>
  <c r="FX341"/>
  <c r="FY341"/>
  <c r="FZ341"/>
  <c r="GA341"/>
  <c r="GB341"/>
  <c r="GC341"/>
  <c r="GD341"/>
  <c r="GE341"/>
  <c r="GF341"/>
  <c r="GG341"/>
  <c r="GH341"/>
  <c r="GI341"/>
  <c r="GJ341"/>
  <c r="GK341"/>
  <c r="GL341"/>
  <c r="GM341"/>
  <c r="GN341"/>
  <c r="GO341"/>
  <c r="GP341"/>
  <c r="GQ341"/>
  <c r="GR341"/>
  <c r="GS341"/>
  <c r="GT341"/>
  <c r="GU341"/>
  <c r="GV341"/>
  <c r="GW341"/>
  <c r="GX341"/>
  <c r="GY341"/>
  <c r="GZ341"/>
  <c r="HA341"/>
  <c r="HB341"/>
  <c r="HC341"/>
  <c r="HD341"/>
  <c r="HE341"/>
  <c r="HF341"/>
  <c r="HG341"/>
  <c r="HH341"/>
  <c r="HI341"/>
  <c r="HJ341"/>
  <c r="HK341"/>
  <c r="HL341"/>
  <c r="HM341"/>
  <c r="HN341"/>
  <c r="HO341"/>
  <c r="HP341"/>
  <c r="HQ341"/>
  <c r="HR341"/>
  <c r="HS341"/>
  <c r="HT341"/>
  <c r="HU341"/>
  <c r="HV341"/>
  <c r="HW341"/>
  <c r="HX341"/>
  <c r="HY341"/>
  <c r="HZ341"/>
  <c r="IA341"/>
  <c r="IB341"/>
  <c r="IC341"/>
  <c r="ID341"/>
  <c r="IE341"/>
  <c r="IF341"/>
  <c r="IG341"/>
  <c r="IH341"/>
  <c r="II341"/>
  <c r="IJ341"/>
  <c r="IK341"/>
  <c r="IL341"/>
  <c r="IM341"/>
  <c r="IN341"/>
  <c r="IO341"/>
  <c r="IP341"/>
  <c r="IQ341"/>
  <c r="IR341"/>
  <c r="IS341"/>
  <c r="IT341"/>
  <c r="IU341"/>
  <c r="IV341"/>
  <c r="A340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AT340"/>
  <c r="AU340"/>
  <c r="AV340"/>
  <c r="AW340"/>
  <c r="AX340"/>
  <c r="AY340"/>
  <c r="AZ340"/>
  <c r="BA340"/>
  <c r="BB340"/>
  <c r="BC340"/>
  <c r="BD340"/>
  <c r="BE340"/>
  <c r="BF340"/>
  <c r="BG340"/>
  <c r="BH340"/>
  <c r="BI340"/>
  <c r="BJ340"/>
  <c r="BK340"/>
  <c r="BL340"/>
  <c r="BM340"/>
  <c r="BN340"/>
  <c r="BO340"/>
  <c r="BP340"/>
  <c r="BQ340"/>
  <c r="BR340"/>
  <c r="BS340"/>
  <c r="BT340"/>
  <c r="BU340"/>
  <c r="BV340"/>
  <c r="BW340"/>
  <c r="BX340"/>
  <c r="BY340"/>
  <c r="BZ340"/>
  <c r="CA340"/>
  <c r="CB340"/>
  <c r="CC340"/>
  <c r="CD340"/>
  <c r="CE340"/>
  <c r="CF340"/>
  <c r="CG340"/>
  <c r="CH340"/>
  <c r="CI340"/>
  <c r="CJ340"/>
  <c r="CK340"/>
  <c r="CL340"/>
  <c r="CM340"/>
  <c r="CN340"/>
  <c r="CO340"/>
  <c r="CP340"/>
  <c r="CQ340"/>
  <c r="CR340"/>
  <c r="CS340"/>
  <c r="CT340"/>
  <c r="CU340"/>
  <c r="CV340"/>
  <c r="CW340"/>
  <c r="CX340"/>
  <c r="CY340"/>
  <c r="CZ340"/>
  <c r="DA340"/>
  <c r="DB340"/>
  <c r="DC340"/>
  <c r="DD340"/>
  <c r="DE340"/>
  <c r="DF340"/>
  <c r="DG340"/>
  <c r="DH340"/>
  <c r="DI340"/>
  <c r="DJ340"/>
  <c r="DK340"/>
  <c r="DL340"/>
  <c r="DM340"/>
  <c r="DN340"/>
  <c r="DO340"/>
  <c r="DP340"/>
  <c r="DQ340"/>
  <c r="DR340"/>
  <c r="DS340"/>
  <c r="DT340"/>
  <c r="DU340"/>
  <c r="DV340"/>
  <c r="DW340"/>
  <c r="DX340"/>
  <c r="DY340"/>
  <c r="DZ340"/>
  <c r="EA340"/>
  <c r="EB340"/>
  <c r="EC340"/>
  <c r="ED340"/>
  <c r="EE340"/>
  <c r="EF340"/>
  <c r="EG340"/>
  <c r="EH340"/>
  <c r="EI340"/>
  <c r="EJ340"/>
  <c r="EK340"/>
  <c r="EL340"/>
  <c r="EM340"/>
  <c r="EN340"/>
  <c r="EO340"/>
  <c r="EP340"/>
  <c r="EQ340"/>
  <c r="ER340"/>
  <c r="ES340"/>
  <c r="ET340"/>
  <c r="EU340"/>
  <c r="EV340"/>
  <c r="EW340"/>
  <c r="EX340"/>
  <c r="EY340"/>
  <c r="EZ340"/>
  <c r="FA340"/>
  <c r="FB340"/>
  <c r="FC340"/>
  <c r="FD340"/>
  <c r="FE340"/>
  <c r="FF340"/>
  <c r="FG340"/>
  <c r="FH340"/>
  <c r="FI340"/>
  <c r="FJ340"/>
  <c r="FK340"/>
  <c r="FL340"/>
  <c r="FM340"/>
  <c r="FN340"/>
  <c r="FO340"/>
  <c r="FP340"/>
  <c r="FQ340"/>
  <c r="FR340"/>
  <c r="FS340"/>
  <c r="FT340"/>
  <c r="FU340"/>
  <c r="FV340"/>
  <c r="FW340"/>
  <c r="FX340"/>
  <c r="FY340"/>
  <c r="FZ340"/>
  <c r="GA340"/>
  <c r="GB340"/>
  <c r="GC340"/>
  <c r="GD340"/>
  <c r="GE340"/>
  <c r="GF340"/>
  <c r="GG340"/>
  <c r="GH340"/>
  <c r="GI340"/>
  <c r="GJ340"/>
  <c r="GK340"/>
  <c r="GL340"/>
  <c r="GM340"/>
  <c r="GN340"/>
  <c r="GO340"/>
  <c r="GP340"/>
  <c r="GQ340"/>
  <c r="GR340"/>
  <c r="GS340"/>
  <c r="GT340"/>
  <c r="GU340"/>
  <c r="GV340"/>
  <c r="GW340"/>
  <c r="GX340"/>
  <c r="GY340"/>
  <c r="GZ340"/>
  <c r="HA340"/>
  <c r="HB340"/>
  <c r="HC340"/>
  <c r="HD340"/>
  <c r="HE340"/>
  <c r="HF340"/>
  <c r="HG340"/>
  <c r="HH340"/>
  <c r="HI340"/>
  <c r="HJ340"/>
  <c r="HK340"/>
  <c r="HL340"/>
  <c r="HM340"/>
  <c r="HN340"/>
  <c r="HO340"/>
  <c r="HP340"/>
  <c r="HQ340"/>
  <c r="HR340"/>
  <c r="HS340"/>
  <c r="HT340"/>
  <c r="HU340"/>
  <c r="HV340"/>
  <c r="HW340"/>
  <c r="HX340"/>
  <c r="HY340"/>
  <c r="HZ340"/>
  <c r="IA340"/>
  <c r="IB340"/>
  <c r="IC340"/>
  <c r="ID340"/>
  <c r="IE340"/>
  <c r="IF340"/>
  <c r="IG340"/>
  <c r="IH340"/>
  <c r="II340"/>
  <c r="IJ340"/>
  <c r="IK340"/>
  <c r="IL340"/>
  <c r="IM340"/>
  <c r="IN340"/>
  <c r="IO340"/>
  <c r="IP340"/>
  <c r="IQ340"/>
  <c r="IR340"/>
  <c r="IS340"/>
  <c r="IT340"/>
  <c r="IU340"/>
  <c r="IV340"/>
  <c r="A339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AT339"/>
  <c r="AU339"/>
  <c r="AV339"/>
  <c r="AW339"/>
  <c r="AX339"/>
  <c r="AY339"/>
  <c r="AZ339"/>
  <c r="BA339"/>
  <c r="BB339"/>
  <c r="BC339"/>
  <c r="BD339"/>
  <c r="BE339"/>
  <c r="BF339"/>
  <c r="BG339"/>
  <c r="BH339"/>
  <c r="BI339"/>
  <c r="BJ339"/>
  <c r="BK339"/>
  <c r="BL339"/>
  <c r="BM339"/>
  <c r="BN339"/>
  <c r="BO339"/>
  <c r="BP339"/>
  <c r="BQ339"/>
  <c r="BR339"/>
  <c r="BS339"/>
  <c r="BT339"/>
  <c r="BU339"/>
  <c r="BV339"/>
  <c r="BW339"/>
  <c r="BX339"/>
  <c r="BY339"/>
  <c r="BZ339"/>
  <c r="CA339"/>
  <c r="CB339"/>
  <c r="CC339"/>
  <c r="CD339"/>
  <c r="CE339"/>
  <c r="CF339"/>
  <c r="CG339"/>
  <c r="CH339"/>
  <c r="CI339"/>
  <c r="CJ339"/>
  <c r="CK339"/>
  <c r="CL339"/>
  <c r="CM339"/>
  <c r="CN339"/>
  <c r="CO339"/>
  <c r="CP339"/>
  <c r="CQ339"/>
  <c r="CR339"/>
  <c r="CS339"/>
  <c r="CT339"/>
  <c r="CU339"/>
  <c r="CV339"/>
  <c r="CW339"/>
  <c r="CX339"/>
  <c r="CY339"/>
  <c r="CZ339"/>
  <c r="DA339"/>
  <c r="DB339"/>
  <c r="DC339"/>
  <c r="DD339"/>
  <c r="DE339"/>
  <c r="DF339"/>
  <c r="DG339"/>
  <c r="DH339"/>
  <c r="DI339"/>
  <c r="DJ339"/>
  <c r="DK339"/>
  <c r="DL339"/>
  <c r="DM339"/>
  <c r="DN339"/>
  <c r="DO339"/>
  <c r="DP339"/>
  <c r="DQ339"/>
  <c r="DR339"/>
  <c r="DS339"/>
  <c r="DT339"/>
  <c r="DU339"/>
  <c r="DV339"/>
  <c r="DW339"/>
  <c r="DX339"/>
  <c r="DY339"/>
  <c r="DZ339"/>
  <c r="EA339"/>
  <c r="EB339"/>
  <c r="EC339"/>
  <c r="ED339"/>
  <c r="EE339"/>
  <c r="EF339"/>
  <c r="EG339"/>
  <c r="EH339"/>
  <c r="EI339"/>
  <c r="EJ339"/>
  <c r="EK339"/>
  <c r="EL339"/>
  <c r="EM339"/>
  <c r="EN339"/>
  <c r="EO339"/>
  <c r="EP339"/>
  <c r="EQ339"/>
  <c r="ER339"/>
  <c r="ES339"/>
  <c r="ET339"/>
  <c r="EU339"/>
  <c r="EV339"/>
  <c r="EW339"/>
  <c r="EX339"/>
  <c r="EY339"/>
  <c r="EZ339"/>
  <c r="FA339"/>
  <c r="FB339"/>
  <c r="FC339"/>
  <c r="FD339"/>
  <c r="FE339"/>
  <c r="FF339"/>
  <c r="FG339"/>
  <c r="FH339"/>
  <c r="FI339"/>
  <c r="FJ339"/>
  <c r="FK339"/>
  <c r="FL339"/>
  <c r="FM339"/>
  <c r="FN339"/>
  <c r="FO339"/>
  <c r="FP339"/>
  <c r="FQ339"/>
  <c r="FR339"/>
  <c r="FS339"/>
  <c r="FT339"/>
  <c r="FU339"/>
  <c r="FV339"/>
  <c r="FW339"/>
  <c r="FX339"/>
  <c r="FY339"/>
  <c r="FZ339"/>
  <c r="GA339"/>
  <c r="GB339"/>
  <c r="GC339"/>
  <c r="GD339"/>
  <c r="GE339"/>
  <c r="GF339"/>
  <c r="GG339"/>
  <c r="GH339"/>
  <c r="GI339"/>
  <c r="GJ339"/>
  <c r="GK339"/>
  <c r="GL339"/>
  <c r="GM339"/>
  <c r="GN339"/>
  <c r="GO339"/>
  <c r="GP339"/>
  <c r="GQ339"/>
  <c r="GR339"/>
  <c r="GS339"/>
  <c r="GT339"/>
  <c r="GU339"/>
  <c r="GV339"/>
  <c r="GW339"/>
  <c r="GX339"/>
  <c r="GY339"/>
  <c r="GZ339"/>
  <c r="HA339"/>
  <c r="HB339"/>
  <c r="HC339"/>
  <c r="HD339"/>
  <c r="HE339"/>
  <c r="HF339"/>
  <c r="HG339"/>
  <c r="HH339"/>
  <c r="HI339"/>
  <c r="HJ339"/>
  <c r="HK339"/>
  <c r="HL339"/>
  <c r="HM339"/>
  <c r="HN339"/>
  <c r="HO339"/>
  <c r="HP339"/>
  <c r="HQ339"/>
  <c r="HR339"/>
  <c r="HS339"/>
  <c r="HT339"/>
  <c r="HU339"/>
  <c r="HV339"/>
  <c r="HW339"/>
  <c r="HX339"/>
  <c r="HY339"/>
  <c r="HZ339"/>
  <c r="IA339"/>
  <c r="IB339"/>
  <c r="IC339"/>
  <c r="ID339"/>
  <c r="IE339"/>
  <c r="IF339"/>
  <c r="IG339"/>
  <c r="IH339"/>
  <c r="II339"/>
  <c r="IJ339"/>
  <c r="IK339"/>
  <c r="IL339"/>
  <c r="IM339"/>
  <c r="IN339"/>
  <c r="IO339"/>
  <c r="IP339"/>
  <c r="IQ339"/>
  <c r="IR339"/>
  <c r="IS339"/>
  <c r="IT339"/>
  <c r="IU339"/>
  <c r="IV339"/>
  <c r="A338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AT338"/>
  <c r="AU338"/>
  <c r="AV338"/>
  <c r="AW338"/>
  <c r="AX338"/>
  <c r="AY338"/>
  <c r="AZ338"/>
  <c r="BA338"/>
  <c r="BB338"/>
  <c r="BC338"/>
  <c r="BD338"/>
  <c r="BE338"/>
  <c r="BF338"/>
  <c r="BG338"/>
  <c r="BH338"/>
  <c r="BI338"/>
  <c r="BJ338"/>
  <c r="BK338"/>
  <c r="BL338"/>
  <c r="BM338"/>
  <c r="BN338"/>
  <c r="BO338"/>
  <c r="BP338"/>
  <c r="BQ338"/>
  <c r="BR338"/>
  <c r="BS338"/>
  <c r="BT338"/>
  <c r="BU338"/>
  <c r="BV338"/>
  <c r="BW338"/>
  <c r="BX338"/>
  <c r="BY338"/>
  <c r="BZ338"/>
  <c r="CA338"/>
  <c r="CB338"/>
  <c r="CC338"/>
  <c r="CD338"/>
  <c r="CE338"/>
  <c r="CF338"/>
  <c r="CG338"/>
  <c r="CH338"/>
  <c r="CI338"/>
  <c r="CJ338"/>
  <c r="CK338"/>
  <c r="CL338"/>
  <c r="CM338"/>
  <c r="CN338"/>
  <c r="CO338"/>
  <c r="CP338"/>
  <c r="CQ338"/>
  <c r="CR338"/>
  <c r="CS338"/>
  <c r="CT338"/>
  <c r="CU338"/>
  <c r="CV338"/>
  <c r="CW338"/>
  <c r="CX338"/>
  <c r="CY338"/>
  <c r="CZ338"/>
  <c r="DA338"/>
  <c r="DB338"/>
  <c r="DC338"/>
  <c r="DD338"/>
  <c r="DE338"/>
  <c r="DF338"/>
  <c r="DG338"/>
  <c r="DH338"/>
  <c r="DI338"/>
  <c r="DJ338"/>
  <c r="DK338"/>
  <c r="DL338"/>
  <c r="DM338"/>
  <c r="DN338"/>
  <c r="DO338"/>
  <c r="DP338"/>
  <c r="DQ338"/>
  <c r="DR338"/>
  <c r="DS338"/>
  <c r="DT338"/>
  <c r="DU338"/>
  <c r="DV338"/>
  <c r="DW338"/>
  <c r="DX338"/>
  <c r="DY338"/>
  <c r="DZ338"/>
  <c r="EA338"/>
  <c r="EB338"/>
  <c r="EC338"/>
  <c r="ED338"/>
  <c r="EE338"/>
  <c r="EF338"/>
  <c r="EG338"/>
  <c r="EH338"/>
  <c r="EI338"/>
  <c r="EJ338"/>
  <c r="EK338"/>
  <c r="EL338"/>
  <c r="EM338"/>
  <c r="EN338"/>
  <c r="EO338"/>
  <c r="EP338"/>
  <c r="EQ338"/>
  <c r="ER338"/>
  <c r="ES338"/>
  <c r="ET338"/>
  <c r="EU338"/>
  <c r="EV338"/>
  <c r="EW338"/>
  <c r="EX338"/>
  <c r="EY338"/>
  <c r="EZ338"/>
  <c r="FA338"/>
  <c r="FB338"/>
  <c r="FC338"/>
  <c r="FD338"/>
  <c r="FE338"/>
  <c r="FF338"/>
  <c r="FG338"/>
  <c r="FH338"/>
  <c r="FI338"/>
  <c r="FJ338"/>
  <c r="FK338"/>
  <c r="FL338"/>
  <c r="FM338"/>
  <c r="FN338"/>
  <c r="FO338"/>
  <c r="FP338"/>
  <c r="FQ338"/>
  <c r="FR338"/>
  <c r="FS338"/>
  <c r="FT338"/>
  <c r="FU338"/>
  <c r="FV338"/>
  <c r="FW338"/>
  <c r="FX338"/>
  <c r="FY338"/>
  <c r="FZ338"/>
  <c r="GA338"/>
  <c r="GB338"/>
  <c r="GC338"/>
  <c r="GD338"/>
  <c r="GE338"/>
  <c r="GF338"/>
  <c r="GG338"/>
  <c r="GH338"/>
  <c r="GI338"/>
  <c r="GJ338"/>
  <c r="GK338"/>
  <c r="GL338"/>
  <c r="GM338"/>
  <c r="GN338"/>
  <c r="GO338"/>
  <c r="GP338"/>
  <c r="GQ338"/>
  <c r="GR338"/>
  <c r="GS338"/>
  <c r="GT338"/>
  <c r="GU338"/>
  <c r="GV338"/>
  <c r="GW338"/>
  <c r="GX338"/>
  <c r="GY338"/>
  <c r="GZ338"/>
  <c r="HA338"/>
  <c r="HB338"/>
  <c r="HC338"/>
  <c r="HD338"/>
  <c r="HE338"/>
  <c r="HF338"/>
  <c r="HG338"/>
  <c r="HH338"/>
  <c r="HI338"/>
  <c r="HJ338"/>
  <c r="HK338"/>
  <c r="HL338"/>
  <c r="HM338"/>
  <c r="HN338"/>
  <c r="HO338"/>
  <c r="HP338"/>
  <c r="HQ338"/>
  <c r="HR338"/>
  <c r="HS338"/>
  <c r="HT338"/>
  <c r="HU338"/>
  <c r="HV338"/>
  <c r="HW338"/>
  <c r="HX338"/>
  <c r="HY338"/>
  <c r="HZ338"/>
  <c r="IA338"/>
  <c r="IB338"/>
  <c r="IC338"/>
  <c r="ID338"/>
  <c r="IE338"/>
  <c r="IF338"/>
  <c r="IG338"/>
  <c r="IH338"/>
  <c r="II338"/>
  <c r="IJ338"/>
  <c r="IK338"/>
  <c r="IL338"/>
  <c r="IM338"/>
  <c r="IN338"/>
  <c r="IO338"/>
  <c r="IP338"/>
  <c r="IQ338"/>
  <c r="IR338"/>
  <c r="IS338"/>
  <c r="IT338"/>
  <c r="IU338"/>
  <c r="IV338"/>
  <c r="A337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AV337"/>
  <c r="AW337"/>
  <c r="AX337"/>
  <c r="AY337"/>
  <c r="AZ337"/>
  <c r="BA337"/>
  <c r="BB337"/>
  <c r="BC337"/>
  <c r="BD337"/>
  <c r="BE337"/>
  <c r="BF337"/>
  <c r="BG337"/>
  <c r="BH337"/>
  <c r="BI337"/>
  <c r="BJ337"/>
  <c r="BK337"/>
  <c r="BL337"/>
  <c r="BM337"/>
  <c r="BN337"/>
  <c r="BO337"/>
  <c r="BP337"/>
  <c r="BQ337"/>
  <c r="BR337"/>
  <c r="BS337"/>
  <c r="BT337"/>
  <c r="BU337"/>
  <c r="BV337"/>
  <c r="BW337"/>
  <c r="BX337"/>
  <c r="BY337"/>
  <c r="BZ337"/>
  <c r="CA337"/>
  <c r="CB337"/>
  <c r="CC337"/>
  <c r="CD337"/>
  <c r="CE337"/>
  <c r="CF337"/>
  <c r="CG337"/>
  <c r="CH337"/>
  <c r="CI337"/>
  <c r="CJ337"/>
  <c r="CK337"/>
  <c r="CL337"/>
  <c r="CM337"/>
  <c r="CN337"/>
  <c r="CO337"/>
  <c r="CP337"/>
  <c r="CQ337"/>
  <c r="CR337"/>
  <c r="CS337"/>
  <c r="CT337"/>
  <c r="CU337"/>
  <c r="CV337"/>
  <c r="CW337"/>
  <c r="CX337"/>
  <c r="CY337"/>
  <c r="CZ337"/>
  <c r="DA337"/>
  <c r="DB337"/>
  <c r="DC337"/>
  <c r="DD337"/>
  <c r="DE337"/>
  <c r="DF337"/>
  <c r="DG337"/>
  <c r="DH337"/>
  <c r="DI337"/>
  <c r="DJ337"/>
  <c r="DK337"/>
  <c r="DL337"/>
  <c r="DM337"/>
  <c r="DN337"/>
  <c r="DO337"/>
  <c r="DP337"/>
  <c r="DQ337"/>
  <c r="DR337"/>
  <c r="DS337"/>
  <c r="DT337"/>
  <c r="DU337"/>
  <c r="DV337"/>
  <c r="DW337"/>
  <c r="DX337"/>
  <c r="DY337"/>
  <c r="DZ337"/>
  <c r="EA337"/>
  <c r="EB337"/>
  <c r="EC337"/>
  <c r="ED337"/>
  <c r="EE337"/>
  <c r="EF337"/>
  <c r="EG337"/>
  <c r="EH337"/>
  <c r="EI337"/>
  <c r="EJ337"/>
  <c r="EK337"/>
  <c r="EL337"/>
  <c r="EM337"/>
  <c r="EN337"/>
  <c r="EO337"/>
  <c r="EP337"/>
  <c r="EQ337"/>
  <c r="ER337"/>
  <c r="ES337"/>
  <c r="ET337"/>
  <c r="EU337"/>
  <c r="EV337"/>
  <c r="EW337"/>
  <c r="EX337"/>
  <c r="EY337"/>
  <c r="EZ337"/>
  <c r="FA337"/>
  <c r="FB337"/>
  <c r="FC337"/>
  <c r="FD337"/>
  <c r="FE337"/>
  <c r="FF337"/>
  <c r="FG337"/>
  <c r="FH337"/>
  <c r="FI337"/>
  <c r="FJ337"/>
  <c r="FK337"/>
  <c r="FL337"/>
  <c r="FM337"/>
  <c r="FN337"/>
  <c r="FO337"/>
  <c r="FP337"/>
  <c r="FQ337"/>
  <c r="FR337"/>
  <c r="FS337"/>
  <c r="FT337"/>
  <c r="FU337"/>
  <c r="FV337"/>
  <c r="FW337"/>
  <c r="FX337"/>
  <c r="FY337"/>
  <c r="FZ337"/>
  <c r="GA337"/>
  <c r="GB337"/>
  <c r="GC337"/>
  <c r="GD337"/>
  <c r="GE337"/>
  <c r="GF337"/>
  <c r="GG337"/>
  <c r="GH337"/>
  <c r="GI337"/>
  <c r="GJ337"/>
  <c r="GK337"/>
  <c r="GL337"/>
  <c r="GM337"/>
  <c r="GN337"/>
  <c r="GO337"/>
  <c r="GP337"/>
  <c r="GQ337"/>
  <c r="GR337"/>
  <c r="GS337"/>
  <c r="GT337"/>
  <c r="GU337"/>
  <c r="GV337"/>
  <c r="GW337"/>
  <c r="GX337"/>
  <c r="GY337"/>
  <c r="GZ337"/>
  <c r="HA337"/>
  <c r="HB337"/>
  <c r="HC337"/>
  <c r="HD337"/>
  <c r="HE337"/>
  <c r="HF337"/>
  <c r="HG337"/>
  <c r="HH337"/>
  <c r="HI337"/>
  <c r="HJ337"/>
  <c r="HK337"/>
  <c r="HL337"/>
  <c r="HM337"/>
  <c r="HN337"/>
  <c r="HO337"/>
  <c r="HP337"/>
  <c r="HQ337"/>
  <c r="HR337"/>
  <c r="HS337"/>
  <c r="HT337"/>
  <c r="HU337"/>
  <c r="HV337"/>
  <c r="HW337"/>
  <c r="HX337"/>
  <c r="HY337"/>
  <c r="HZ337"/>
  <c r="IA337"/>
  <c r="IB337"/>
  <c r="IC337"/>
  <c r="ID337"/>
  <c r="IE337"/>
  <c r="IF337"/>
  <c r="IG337"/>
  <c r="IH337"/>
  <c r="II337"/>
  <c r="IJ337"/>
  <c r="IK337"/>
  <c r="IL337"/>
  <c r="IM337"/>
  <c r="IN337"/>
  <c r="IO337"/>
  <c r="IP337"/>
  <c r="IQ337"/>
  <c r="IR337"/>
  <c r="IS337"/>
  <c r="IT337"/>
  <c r="IU337"/>
  <c r="IV337"/>
  <c r="A336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AV336"/>
  <c r="AW336"/>
  <c r="AX336"/>
  <c r="AY336"/>
  <c r="AZ336"/>
  <c r="BA336"/>
  <c r="BB336"/>
  <c r="BC336"/>
  <c r="BD336"/>
  <c r="BE336"/>
  <c r="BF336"/>
  <c r="BG336"/>
  <c r="BH336"/>
  <c r="BI336"/>
  <c r="BJ336"/>
  <c r="BK336"/>
  <c r="BL336"/>
  <c r="BM336"/>
  <c r="BN336"/>
  <c r="BO336"/>
  <c r="BP336"/>
  <c r="BQ336"/>
  <c r="BR336"/>
  <c r="BS336"/>
  <c r="BT336"/>
  <c r="BU336"/>
  <c r="BV336"/>
  <c r="BW336"/>
  <c r="BX336"/>
  <c r="BY336"/>
  <c r="BZ336"/>
  <c r="CA336"/>
  <c r="CB336"/>
  <c r="CC336"/>
  <c r="CD336"/>
  <c r="CE336"/>
  <c r="CF336"/>
  <c r="CG336"/>
  <c r="CH336"/>
  <c r="CI336"/>
  <c r="CJ336"/>
  <c r="CK336"/>
  <c r="CL336"/>
  <c r="CM336"/>
  <c r="CN336"/>
  <c r="CO336"/>
  <c r="CP336"/>
  <c r="CQ336"/>
  <c r="CR336"/>
  <c r="CS336"/>
  <c r="CT336"/>
  <c r="CU336"/>
  <c r="CV336"/>
  <c r="CW336"/>
  <c r="CX336"/>
  <c r="CY336"/>
  <c r="CZ336"/>
  <c r="DA336"/>
  <c r="DB336"/>
  <c r="DC336"/>
  <c r="DD336"/>
  <c r="DE336"/>
  <c r="DF336"/>
  <c r="DG336"/>
  <c r="DH336"/>
  <c r="DI336"/>
  <c r="DJ336"/>
  <c r="DK336"/>
  <c r="DL336"/>
  <c r="DM336"/>
  <c r="DN336"/>
  <c r="DO336"/>
  <c r="DP336"/>
  <c r="DQ336"/>
  <c r="DR336"/>
  <c r="DS336"/>
  <c r="DT336"/>
  <c r="DU336"/>
  <c r="DV336"/>
  <c r="DW336"/>
  <c r="DX336"/>
  <c r="DY336"/>
  <c r="DZ336"/>
  <c r="EA336"/>
  <c r="EB336"/>
  <c r="EC336"/>
  <c r="ED336"/>
  <c r="EE336"/>
  <c r="EF336"/>
  <c r="EG336"/>
  <c r="EH336"/>
  <c r="EI336"/>
  <c r="EJ336"/>
  <c r="EK336"/>
  <c r="EL336"/>
  <c r="EM336"/>
  <c r="EN336"/>
  <c r="EO336"/>
  <c r="EP336"/>
  <c r="EQ336"/>
  <c r="ER336"/>
  <c r="ES336"/>
  <c r="ET336"/>
  <c r="EU336"/>
  <c r="EV336"/>
  <c r="EW336"/>
  <c r="EX336"/>
  <c r="EY336"/>
  <c r="EZ336"/>
  <c r="FA336"/>
  <c r="FB336"/>
  <c r="FC336"/>
  <c r="FD336"/>
  <c r="FE336"/>
  <c r="FF336"/>
  <c r="FG336"/>
  <c r="FH336"/>
  <c r="FI336"/>
  <c r="FJ336"/>
  <c r="FK336"/>
  <c r="FL336"/>
  <c r="FM336"/>
  <c r="FN336"/>
  <c r="FO336"/>
  <c r="FP336"/>
  <c r="FQ336"/>
  <c r="FR336"/>
  <c r="FS336"/>
  <c r="FT336"/>
  <c r="FU336"/>
  <c r="FV336"/>
  <c r="FW336"/>
  <c r="FX336"/>
  <c r="FY336"/>
  <c r="FZ336"/>
  <c r="GA336"/>
  <c r="GB336"/>
  <c r="GC336"/>
  <c r="GD336"/>
  <c r="GE336"/>
  <c r="GF336"/>
  <c r="GG336"/>
  <c r="GH336"/>
  <c r="GI336"/>
  <c r="GJ336"/>
  <c r="GK336"/>
  <c r="GL336"/>
  <c r="GM336"/>
  <c r="GN336"/>
  <c r="GO336"/>
  <c r="GP336"/>
  <c r="GQ336"/>
  <c r="GR336"/>
  <c r="GS336"/>
  <c r="GT336"/>
  <c r="GU336"/>
  <c r="GV336"/>
  <c r="GW336"/>
  <c r="GX336"/>
  <c r="GY336"/>
  <c r="GZ336"/>
  <c r="HA336"/>
  <c r="HB336"/>
  <c r="HC336"/>
  <c r="HD336"/>
  <c r="HE336"/>
  <c r="HF336"/>
  <c r="HG336"/>
  <c r="HH336"/>
  <c r="HI336"/>
  <c r="HJ336"/>
  <c r="HK336"/>
  <c r="HL336"/>
  <c r="HM336"/>
  <c r="HN336"/>
  <c r="HO336"/>
  <c r="HP336"/>
  <c r="HQ336"/>
  <c r="HR336"/>
  <c r="HS336"/>
  <c r="HT336"/>
  <c r="HU336"/>
  <c r="HV336"/>
  <c r="HW336"/>
  <c r="HX336"/>
  <c r="HY336"/>
  <c r="HZ336"/>
  <c r="IA336"/>
  <c r="IB336"/>
  <c r="IC336"/>
  <c r="ID336"/>
  <c r="IE336"/>
  <c r="IF336"/>
  <c r="IG336"/>
  <c r="IH336"/>
  <c r="II336"/>
  <c r="IJ336"/>
  <c r="IK336"/>
  <c r="IL336"/>
  <c r="IM336"/>
  <c r="IN336"/>
  <c r="IO336"/>
  <c r="IP336"/>
  <c r="IQ336"/>
  <c r="IR336"/>
  <c r="IS336"/>
  <c r="IT336"/>
  <c r="IU336"/>
  <c r="IV336"/>
  <c r="A335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AT335"/>
  <c r="AU335"/>
  <c r="AV335"/>
  <c r="AW335"/>
  <c r="AX335"/>
  <c r="AY335"/>
  <c r="AZ335"/>
  <c r="BA335"/>
  <c r="BB335"/>
  <c r="BC335"/>
  <c r="BD335"/>
  <c r="BE335"/>
  <c r="BF335"/>
  <c r="BG335"/>
  <c r="BH335"/>
  <c r="BI335"/>
  <c r="BJ335"/>
  <c r="BK335"/>
  <c r="BL335"/>
  <c r="BM335"/>
  <c r="BN335"/>
  <c r="BO335"/>
  <c r="BP335"/>
  <c r="BQ335"/>
  <c r="BR335"/>
  <c r="BS335"/>
  <c r="BT335"/>
  <c r="BU335"/>
  <c r="BV335"/>
  <c r="BW335"/>
  <c r="BX335"/>
  <c r="BY335"/>
  <c r="BZ335"/>
  <c r="CA335"/>
  <c r="CB335"/>
  <c r="CC335"/>
  <c r="CD335"/>
  <c r="CE335"/>
  <c r="CF335"/>
  <c r="CG335"/>
  <c r="CH335"/>
  <c r="CI335"/>
  <c r="CJ335"/>
  <c r="CK335"/>
  <c r="CL335"/>
  <c r="CM335"/>
  <c r="CN335"/>
  <c r="CO335"/>
  <c r="CP335"/>
  <c r="CQ335"/>
  <c r="CR335"/>
  <c r="CS335"/>
  <c r="CT335"/>
  <c r="CU335"/>
  <c r="CV335"/>
  <c r="CW335"/>
  <c r="CX335"/>
  <c r="CY335"/>
  <c r="CZ335"/>
  <c r="DA335"/>
  <c r="DB335"/>
  <c r="DC335"/>
  <c r="DD335"/>
  <c r="DE335"/>
  <c r="DF335"/>
  <c r="DG335"/>
  <c r="DH335"/>
  <c r="DI335"/>
  <c r="DJ335"/>
  <c r="DK335"/>
  <c r="DL335"/>
  <c r="DM335"/>
  <c r="DN335"/>
  <c r="DO335"/>
  <c r="DP335"/>
  <c r="DQ335"/>
  <c r="DR335"/>
  <c r="DS335"/>
  <c r="DT335"/>
  <c r="DU335"/>
  <c r="DV335"/>
  <c r="DW335"/>
  <c r="DX335"/>
  <c r="DY335"/>
  <c r="DZ335"/>
  <c r="EA335"/>
  <c r="EB335"/>
  <c r="EC335"/>
  <c r="ED335"/>
  <c r="EE335"/>
  <c r="EF335"/>
  <c r="EG335"/>
  <c r="EH335"/>
  <c r="EI335"/>
  <c r="EJ335"/>
  <c r="EK335"/>
  <c r="EL335"/>
  <c r="EM335"/>
  <c r="EN335"/>
  <c r="EO335"/>
  <c r="EP335"/>
  <c r="EQ335"/>
  <c r="ER335"/>
  <c r="ES335"/>
  <c r="ET335"/>
  <c r="EU335"/>
  <c r="EV335"/>
  <c r="EW335"/>
  <c r="EX335"/>
  <c r="EY335"/>
  <c r="EZ335"/>
  <c r="FA335"/>
  <c r="FB335"/>
  <c r="FC335"/>
  <c r="FD335"/>
  <c r="FE335"/>
  <c r="FF335"/>
  <c r="FG335"/>
  <c r="FH335"/>
  <c r="FI335"/>
  <c r="FJ335"/>
  <c r="FK335"/>
  <c r="FL335"/>
  <c r="FM335"/>
  <c r="FN335"/>
  <c r="FO335"/>
  <c r="FP335"/>
  <c r="FQ335"/>
  <c r="FR335"/>
  <c r="FS335"/>
  <c r="FT335"/>
  <c r="FU335"/>
  <c r="FV335"/>
  <c r="FW335"/>
  <c r="FX335"/>
  <c r="FY335"/>
  <c r="FZ335"/>
  <c r="GA335"/>
  <c r="GB335"/>
  <c r="GC335"/>
  <c r="GD335"/>
  <c r="GE335"/>
  <c r="GF335"/>
  <c r="GG335"/>
  <c r="GH335"/>
  <c r="GI335"/>
  <c r="GJ335"/>
  <c r="GK335"/>
  <c r="GL335"/>
  <c r="GM335"/>
  <c r="GN335"/>
  <c r="GO335"/>
  <c r="GP335"/>
  <c r="GQ335"/>
  <c r="GR335"/>
  <c r="GS335"/>
  <c r="GT335"/>
  <c r="GU335"/>
  <c r="GV335"/>
  <c r="GW335"/>
  <c r="GX335"/>
  <c r="GY335"/>
  <c r="GZ335"/>
  <c r="HA335"/>
  <c r="HB335"/>
  <c r="HC335"/>
  <c r="HD335"/>
  <c r="HE335"/>
  <c r="HF335"/>
  <c r="HG335"/>
  <c r="HH335"/>
  <c r="HI335"/>
  <c r="HJ335"/>
  <c r="HK335"/>
  <c r="HL335"/>
  <c r="HM335"/>
  <c r="HN335"/>
  <c r="HO335"/>
  <c r="HP335"/>
  <c r="HQ335"/>
  <c r="HR335"/>
  <c r="HS335"/>
  <c r="HT335"/>
  <c r="HU335"/>
  <c r="HV335"/>
  <c r="HW335"/>
  <c r="HX335"/>
  <c r="HY335"/>
  <c r="HZ335"/>
  <c r="IA335"/>
  <c r="IB335"/>
  <c r="IC335"/>
  <c r="ID335"/>
  <c r="IE335"/>
  <c r="IF335"/>
  <c r="IG335"/>
  <c r="IH335"/>
  <c r="II335"/>
  <c r="IJ335"/>
  <c r="IK335"/>
  <c r="IL335"/>
  <c r="IM335"/>
  <c r="IN335"/>
  <c r="IO335"/>
  <c r="IP335"/>
  <c r="IQ335"/>
  <c r="IR335"/>
  <c r="IS335"/>
  <c r="IT335"/>
  <c r="IU335"/>
  <c r="IV335"/>
  <c r="A334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AT334"/>
  <c r="AU334"/>
  <c r="AV334"/>
  <c r="AW334"/>
  <c r="AX334"/>
  <c r="AY334"/>
  <c r="AZ334"/>
  <c r="BA334"/>
  <c r="BB334"/>
  <c r="BC334"/>
  <c r="BD334"/>
  <c r="BE334"/>
  <c r="BF334"/>
  <c r="BG334"/>
  <c r="BH334"/>
  <c r="BI334"/>
  <c r="BJ334"/>
  <c r="BK334"/>
  <c r="BL334"/>
  <c r="BM334"/>
  <c r="BN334"/>
  <c r="BO334"/>
  <c r="BP334"/>
  <c r="BQ334"/>
  <c r="BR334"/>
  <c r="BS334"/>
  <c r="BT334"/>
  <c r="BU334"/>
  <c r="BV334"/>
  <c r="BW334"/>
  <c r="BX334"/>
  <c r="BY334"/>
  <c r="BZ334"/>
  <c r="CA334"/>
  <c r="CB334"/>
  <c r="CC334"/>
  <c r="CD334"/>
  <c r="CE334"/>
  <c r="CF334"/>
  <c r="CG334"/>
  <c r="CH334"/>
  <c r="CI334"/>
  <c r="CJ334"/>
  <c r="CK334"/>
  <c r="CL334"/>
  <c r="CM334"/>
  <c r="CN334"/>
  <c r="CO334"/>
  <c r="CP334"/>
  <c r="CQ334"/>
  <c r="CR334"/>
  <c r="CS334"/>
  <c r="CT334"/>
  <c r="CU334"/>
  <c r="CV334"/>
  <c r="CW334"/>
  <c r="CX334"/>
  <c r="CY334"/>
  <c r="CZ334"/>
  <c r="DA334"/>
  <c r="DB334"/>
  <c r="DC334"/>
  <c r="DD334"/>
  <c r="DE334"/>
  <c r="DF334"/>
  <c r="DG334"/>
  <c r="DH334"/>
  <c r="DI334"/>
  <c r="DJ334"/>
  <c r="DK334"/>
  <c r="DL334"/>
  <c r="DM334"/>
  <c r="DN334"/>
  <c r="DO334"/>
  <c r="DP334"/>
  <c r="DQ334"/>
  <c r="DR334"/>
  <c r="DS334"/>
  <c r="DT334"/>
  <c r="DU334"/>
  <c r="DV334"/>
  <c r="DW334"/>
  <c r="DX334"/>
  <c r="DY334"/>
  <c r="DZ334"/>
  <c r="EA334"/>
  <c r="EB334"/>
  <c r="EC334"/>
  <c r="ED334"/>
  <c r="EE334"/>
  <c r="EF334"/>
  <c r="EG334"/>
  <c r="EH334"/>
  <c r="EI334"/>
  <c r="EJ334"/>
  <c r="EK334"/>
  <c r="EL334"/>
  <c r="EM334"/>
  <c r="EN334"/>
  <c r="EO334"/>
  <c r="EP334"/>
  <c r="EQ334"/>
  <c r="ER334"/>
  <c r="ES334"/>
  <c r="ET334"/>
  <c r="EU334"/>
  <c r="EV334"/>
  <c r="EW334"/>
  <c r="EX334"/>
  <c r="EY334"/>
  <c r="EZ334"/>
  <c r="FA334"/>
  <c r="FB334"/>
  <c r="FC334"/>
  <c r="FD334"/>
  <c r="FE334"/>
  <c r="FF334"/>
  <c r="FG334"/>
  <c r="FH334"/>
  <c r="FI334"/>
  <c r="FJ334"/>
  <c r="FK334"/>
  <c r="FL334"/>
  <c r="FM334"/>
  <c r="FN334"/>
  <c r="FO334"/>
  <c r="FP334"/>
  <c r="FQ334"/>
  <c r="FR334"/>
  <c r="FS334"/>
  <c r="FT334"/>
  <c r="FU334"/>
  <c r="FV334"/>
  <c r="FW334"/>
  <c r="FX334"/>
  <c r="FY334"/>
  <c r="FZ334"/>
  <c r="GA334"/>
  <c r="GB334"/>
  <c r="GC334"/>
  <c r="GD334"/>
  <c r="GE334"/>
  <c r="GF334"/>
  <c r="GG334"/>
  <c r="GH334"/>
  <c r="GI334"/>
  <c r="GJ334"/>
  <c r="GK334"/>
  <c r="GL334"/>
  <c r="GM334"/>
  <c r="GN334"/>
  <c r="GO334"/>
  <c r="GP334"/>
  <c r="GQ334"/>
  <c r="GR334"/>
  <c r="GS334"/>
  <c r="GT334"/>
  <c r="GU334"/>
  <c r="GV334"/>
  <c r="GW334"/>
  <c r="GX334"/>
  <c r="GY334"/>
  <c r="GZ334"/>
  <c r="HA334"/>
  <c r="HB334"/>
  <c r="HC334"/>
  <c r="HD334"/>
  <c r="HE334"/>
  <c r="HF334"/>
  <c r="HG334"/>
  <c r="HH334"/>
  <c r="HI334"/>
  <c r="HJ334"/>
  <c r="HK334"/>
  <c r="HL334"/>
  <c r="HM334"/>
  <c r="HN334"/>
  <c r="HO334"/>
  <c r="HP334"/>
  <c r="HQ334"/>
  <c r="HR334"/>
  <c r="HS334"/>
  <c r="HT334"/>
  <c r="HU334"/>
  <c r="HV334"/>
  <c r="HW334"/>
  <c r="HX334"/>
  <c r="HY334"/>
  <c r="HZ334"/>
  <c r="IA334"/>
  <c r="IB334"/>
  <c r="IC334"/>
  <c r="ID334"/>
  <c r="IE334"/>
  <c r="IF334"/>
  <c r="IG334"/>
  <c r="IH334"/>
  <c r="II334"/>
  <c r="IJ334"/>
  <c r="IK334"/>
  <c r="IL334"/>
  <c r="IM334"/>
  <c r="IN334"/>
  <c r="IO334"/>
  <c r="IP334"/>
  <c r="IQ334"/>
  <c r="IR334"/>
  <c r="IS334"/>
  <c r="IT334"/>
  <c r="IU334"/>
  <c r="IV334"/>
  <c r="A333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AT333"/>
  <c r="AU333"/>
  <c r="AV333"/>
  <c r="AW333"/>
  <c r="AX333"/>
  <c r="AY333"/>
  <c r="AZ333"/>
  <c r="BA333"/>
  <c r="BB333"/>
  <c r="BC333"/>
  <c r="BD333"/>
  <c r="BE333"/>
  <c r="BF333"/>
  <c r="BG333"/>
  <c r="BH333"/>
  <c r="BI333"/>
  <c r="BJ333"/>
  <c r="BK333"/>
  <c r="BL333"/>
  <c r="BM333"/>
  <c r="BN333"/>
  <c r="BO333"/>
  <c r="BP333"/>
  <c r="BQ333"/>
  <c r="BR333"/>
  <c r="BS333"/>
  <c r="BT333"/>
  <c r="BU333"/>
  <c r="BV333"/>
  <c r="BW333"/>
  <c r="BX333"/>
  <c r="BY333"/>
  <c r="BZ333"/>
  <c r="CA333"/>
  <c r="CB333"/>
  <c r="CC333"/>
  <c r="CD333"/>
  <c r="CE333"/>
  <c r="CF333"/>
  <c r="CG333"/>
  <c r="CH333"/>
  <c r="CI333"/>
  <c r="CJ333"/>
  <c r="CK333"/>
  <c r="CL333"/>
  <c r="CM333"/>
  <c r="CN333"/>
  <c r="CO333"/>
  <c r="CP333"/>
  <c r="CQ333"/>
  <c r="CR333"/>
  <c r="CS333"/>
  <c r="CT333"/>
  <c r="CU333"/>
  <c r="CV333"/>
  <c r="CW333"/>
  <c r="CX333"/>
  <c r="CY333"/>
  <c r="CZ333"/>
  <c r="DA333"/>
  <c r="DB333"/>
  <c r="DC333"/>
  <c r="DD333"/>
  <c r="DE333"/>
  <c r="DF333"/>
  <c r="DG333"/>
  <c r="DH333"/>
  <c r="DI333"/>
  <c r="DJ333"/>
  <c r="DK333"/>
  <c r="DL333"/>
  <c r="DM333"/>
  <c r="DN333"/>
  <c r="DO333"/>
  <c r="DP333"/>
  <c r="DQ333"/>
  <c r="DR333"/>
  <c r="DS333"/>
  <c r="DT333"/>
  <c r="DU333"/>
  <c r="DV333"/>
  <c r="DW333"/>
  <c r="DX333"/>
  <c r="DY333"/>
  <c r="DZ333"/>
  <c r="EA333"/>
  <c r="EB333"/>
  <c r="EC333"/>
  <c r="ED333"/>
  <c r="EE333"/>
  <c r="EF333"/>
  <c r="EG333"/>
  <c r="EH333"/>
  <c r="EI333"/>
  <c r="EJ333"/>
  <c r="EK333"/>
  <c r="EL333"/>
  <c r="EM333"/>
  <c r="EN333"/>
  <c r="EO333"/>
  <c r="EP333"/>
  <c r="EQ333"/>
  <c r="ER333"/>
  <c r="ES333"/>
  <c r="ET333"/>
  <c r="EU333"/>
  <c r="EV333"/>
  <c r="EW333"/>
  <c r="EX333"/>
  <c r="EY333"/>
  <c r="EZ333"/>
  <c r="FA333"/>
  <c r="FB333"/>
  <c r="FC333"/>
  <c r="FD333"/>
  <c r="FE333"/>
  <c r="FF333"/>
  <c r="FG333"/>
  <c r="FH333"/>
  <c r="FI333"/>
  <c r="FJ333"/>
  <c r="FK333"/>
  <c r="FL333"/>
  <c r="FM333"/>
  <c r="FN333"/>
  <c r="FO333"/>
  <c r="FP333"/>
  <c r="FQ333"/>
  <c r="FR333"/>
  <c r="FS333"/>
  <c r="FT333"/>
  <c r="FU333"/>
  <c r="FV333"/>
  <c r="FW333"/>
  <c r="FX333"/>
  <c r="FY333"/>
  <c r="FZ333"/>
  <c r="GA333"/>
  <c r="GB333"/>
  <c r="GC333"/>
  <c r="GD333"/>
  <c r="GE333"/>
  <c r="GF333"/>
  <c r="GG333"/>
  <c r="GH333"/>
  <c r="GI333"/>
  <c r="GJ333"/>
  <c r="GK333"/>
  <c r="GL333"/>
  <c r="GM333"/>
  <c r="GN333"/>
  <c r="GO333"/>
  <c r="GP333"/>
  <c r="GQ333"/>
  <c r="GR333"/>
  <c r="GS333"/>
  <c r="GT333"/>
  <c r="GU333"/>
  <c r="GV333"/>
  <c r="GW333"/>
  <c r="GX333"/>
  <c r="GY333"/>
  <c r="GZ333"/>
  <c r="HA333"/>
  <c r="HB333"/>
  <c r="HC333"/>
  <c r="HD333"/>
  <c r="HE333"/>
  <c r="HF333"/>
  <c r="HG333"/>
  <c r="HH333"/>
  <c r="HI333"/>
  <c r="HJ333"/>
  <c r="HK333"/>
  <c r="HL333"/>
  <c r="HM333"/>
  <c r="HN333"/>
  <c r="HO333"/>
  <c r="HP333"/>
  <c r="HQ333"/>
  <c r="HR333"/>
  <c r="HS333"/>
  <c r="HT333"/>
  <c r="HU333"/>
  <c r="HV333"/>
  <c r="HW333"/>
  <c r="HX333"/>
  <c r="HY333"/>
  <c r="HZ333"/>
  <c r="IA333"/>
  <c r="IB333"/>
  <c r="IC333"/>
  <c r="ID333"/>
  <c r="IE333"/>
  <c r="IF333"/>
  <c r="IG333"/>
  <c r="IH333"/>
  <c r="II333"/>
  <c r="IJ333"/>
  <c r="IK333"/>
  <c r="IL333"/>
  <c r="IM333"/>
  <c r="IN333"/>
  <c r="IO333"/>
  <c r="IP333"/>
  <c r="IQ333"/>
  <c r="IR333"/>
  <c r="IS333"/>
  <c r="IT333"/>
  <c r="IU333"/>
  <c r="IV333"/>
  <c r="A332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332"/>
  <c r="AV332"/>
  <c r="AW332"/>
  <c r="AX332"/>
  <c r="AY332"/>
  <c r="AZ332"/>
  <c r="BA332"/>
  <c r="BB332"/>
  <c r="BC332"/>
  <c r="BD332"/>
  <c r="BE332"/>
  <c r="BF332"/>
  <c r="BG332"/>
  <c r="BH332"/>
  <c r="BI332"/>
  <c r="BJ332"/>
  <c r="BK332"/>
  <c r="BL332"/>
  <c r="BM332"/>
  <c r="BN332"/>
  <c r="BO332"/>
  <c r="BP332"/>
  <c r="BQ332"/>
  <c r="BR332"/>
  <c r="BS332"/>
  <c r="BT332"/>
  <c r="BU332"/>
  <c r="BV332"/>
  <c r="BW332"/>
  <c r="BX332"/>
  <c r="BY332"/>
  <c r="BZ332"/>
  <c r="CA332"/>
  <c r="CB332"/>
  <c r="CC332"/>
  <c r="CD332"/>
  <c r="CE332"/>
  <c r="CF332"/>
  <c r="CG332"/>
  <c r="CH332"/>
  <c r="CI332"/>
  <c r="CJ332"/>
  <c r="CK332"/>
  <c r="CL332"/>
  <c r="CM332"/>
  <c r="CN332"/>
  <c r="CO332"/>
  <c r="CP332"/>
  <c r="CQ332"/>
  <c r="CR332"/>
  <c r="CS332"/>
  <c r="CT332"/>
  <c r="CU332"/>
  <c r="CV332"/>
  <c r="CW332"/>
  <c r="CX332"/>
  <c r="CY332"/>
  <c r="CZ332"/>
  <c r="DA332"/>
  <c r="DB332"/>
  <c r="DC332"/>
  <c r="DD332"/>
  <c r="DE332"/>
  <c r="DF332"/>
  <c r="DG332"/>
  <c r="DH332"/>
  <c r="DI332"/>
  <c r="DJ332"/>
  <c r="DK332"/>
  <c r="DL332"/>
  <c r="DM332"/>
  <c r="DN332"/>
  <c r="DO332"/>
  <c r="DP332"/>
  <c r="DQ332"/>
  <c r="DR332"/>
  <c r="DS332"/>
  <c r="DT332"/>
  <c r="DU332"/>
  <c r="DV332"/>
  <c r="DW332"/>
  <c r="DX332"/>
  <c r="DY332"/>
  <c r="DZ332"/>
  <c r="EA332"/>
  <c r="EB332"/>
  <c r="EC332"/>
  <c r="ED332"/>
  <c r="EE332"/>
  <c r="EF332"/>
  <c r="EG332"/>
  <c r="EH332"/>
  <c r="EI332"/>
  <c r="EJ332"/>
  <c r="EK332"/>
  <c r="EL332"/>
  <c r="EM332"/>
  <c r="EN332"/>
  <c r="EO332"/>
  <c r="EP332"/>
  <c r="EQ332"/>
  <c r="ER332"/>
  <c r="ES332"/>
  <c r="ET332"/>
  <c r="EU332"/>
  <c r="EV332"/>
  <c r="EW332"/>
  <c r="EX332"/>
  <c r="EY332"/>
  <c r="EZ332"/>
  <c r="FA332"/>
  <c r="FB332"/>
  <c r="FC332"/>
  <c r="FD332"/>
  <c r="FE332"/>
  <c r="FF332"/>
  <c r="FG332"/>
  <c r="FH332"/>
  <c r="FI332"/>
  <c r="FJ332"/>
  <c r="FK332"/>
  <c r="FL332"/>
  <c r="FM332"/>
  <c r="FN332"/>
  <c r="FO332"/>
  <c r="FP332"/>
  <c r="FQ332"/>
  <c r="FR332"/>
  <c r="FS332"/>
  <c r="FT332"/>
  <c r="FU332"/>
  <c r="FV332"/>
  <c r="FW332"/>
  <c r="FX332"/>
  <c r="FY332"/>
  <c r="FZ332"/>
  <c r="GA332"/>
  <c r="GB332"/>
  <c r="GC332"/>
  <c r="GD332"/>
  <c r="GE332"/>
  <c r="GF332"/>
  <c r="GG332"/>
  <c r="GH332"/>
  <c r="GI332"/>
  <c r="GJ332"/>
  <c r="GK332"/>
  <c r="GL332"/>
  <c r="GM332"/>
  <c r="GN332"/>
  <c r="GO332"/>
  <c r="GP332"/>
  <c r="GQ332"/>
  <c r="GR332"/>
  <c r="GS332"/>
  <c r="GT332"/>
  <c r="GU332"/>
  <c r="GV332"/>
  <c r="GW332"/>
  <c r="GX332"/>
  <c r="GY332"/>
  <c r="GZ332"/>
  <c r="HA332"/>
  <c r="HB332"/>
  <c r="HC332"/>
  <c r="HD332"/>
  <c r="HE332"/>
  <c r="HF332"/>
  <c r="HG332"/>
  <c r="HH332"/>
  <c r="HI332"/>
  <c r="HJ332"/>
  <c r="HK332"/>
  <c r="HL332"/>
  <c r="HM332"/>
  <c r="HN332"/>
  <c r="HO332"/>
  <c r="HP332"/>
  <c r="HQ332"/>
  <c r="HR332"/>
  <c r="HS332"/>
  <c r="HT332"/>
  <c r="HU332"/>
  <c r="HV332"/>
  <c r="HW332"/>
  <c r="HX332"/>
  <c r="HY332"/>
  <c r="HZ332"/>
  <c r="IA332"/>
  <c r="IB332"/>
  <c r="IC332"/>
  <c r="ID332"/>
  <c r="IE332"/>
  <c r="IF332"/>
  <c r="IG332"/>
  <c r="IH332"/>
  <c r="II332"/>
  <c r="IJ332"/>
  <c r="IK332"/>
  <c r="IL332"/>
  <c r="IM332"/>
  <c r="IN332"/>
  <c r="IO332"/>
  <c r="IP332"/>
  <c r="IQ332"/>
  <c r="IR332"/>
  <c r="IS332"/>
  <c r="IT332"/>
  <c r="IU332"/>
  <c r="IV332"/>
  <c r="A331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AT331"/>
  <c r="AU331"/>
  <c r="AV331"/>
  <c r="AW331"/>
  <c r="AX331"/>
  <c r="AY331"/>
  <c r="AZ331"/>
  <c r="BA331"/>
  <c r="BB331"/>
  <c r="BC331"/>
  <c r="BD331"/>
  <c r="BE331"/>
  <c r="BF331"/>
  <c r="BG331"/>
  <c r="BH331"/>
  <c r="BI331"/>
  <c r="BJ331"/>
  <c r="BK331"/>
  <c r="BL331"/>
  <c r="BM331"/>
  <c r="BN331"/>
  <c r="BO331"/>
  <c r="BP331"/>
  <c r="BQ331"/>
  <c r="BR331"/>
  <c r="BS331"/>
  <c r="BT331"/>
  <c r="BU331"/>
  <c r="BV331"/>
  <c r="BW331"/>
  <c r="BX331"/>
  <c r="BY331"/>
  <c r="BZ331"/>
  <c r="CA331"/>
  <c r="CB331"/>
  <c r="CC331"/>
  <c r="CD331"/>
  <c r="CE331"/>
  <c r="CF331"/>
  <c r="CG331"/>
  <c r="CH331"/>
  <c r="CI331"/>
  <c r="CJ331"/>
  <c r="CK331"/>
  <c r="CL331"/>
  <c r="CM331"/>
  <c r="CN331"/>
  <c r="CO331"/>
  <c r="CP331"/>
  <c r="CQ331"/>
  <c r="CR331"/>
  <c r="CS331"/>
  <c r="CT331"/>
  <c r="CU331"/>
  <c r="CV331"/>
  <c r="CW331"/>
  <c r="CX331"/>
  <c r="CY331"/>
  <c r="CZ331"/>
  <c r="DA331"/>
  <c r="DB331"/>
  <c r="DC331"/>
  <c r="DD331"/>
  <c r="DE331"/>
  <c r="DF331"/>
  <c r="DG331"/>
  <c r="DH331"/>
  <c r="DI331"/>
  <c r="DJ331"/>
  <c r="DK331"/>
  <c r="DL331"/>
  <c r="DM331"/>
  <c r="DN331"/>
  <c r="DO331"/>
  <c r="DP331"/>
  <c r="DQ331"/>
  <c r="DR331"/>
  <c r="DS331"/>
  <c r="DT331"/>
  <c r="DU331"/>
  <c r="DV331"/>
  <c r="DW331"/>
  <c r="DX331"/>
  <c r="DY331"/>
  <c r="DZ331"/>
  <c r="EA331"/>
  <c r="EB331"/>
  <c r="EC331"/>
  <c r="ED331"/>
  <c r="EE331"/>
  <c r="EF331"/>
  <c r="EG331"/>
  <c r="EH331"/>
  <c r="EI331"/>
  <c r="EJ331"/>
  <c r="EK331"/>
  <c r="EL331"/>
  <c r="EM331"/>
  <c r="EN331"/>
  <c r="EO331"/>
  <c r="EP331"/>
  <c r="EQ331"/>
  <c r="ER331"/>
  <c r="ES331"/>
  <c r="ET331"/>
  <c r="EU331"/>
  <c r="EV331"/>
  <c r="EW331"/>
  <c r="EX331"/>
  <c r="EY331"/>
  <c r="EZ331"/>
  <c r="FA331"/>
  <c r="FB331"/>
  <c r="FC331"/>
  <c r="FD331"/>
  <c r="FE331"/>
  <c r="FF331"/>
  <c r="FG331"/>
  <c r="FH331"/>
  <c r="FI331"/>
  <c r="FJ331"/>
  <c r="FK331"/>
  <c r="FL331"/>
  <c r="FM331"/>
  <c r="FN331"/>
  <c r="FO331"/>
  <c r="FP331"/>
  <c r="FQ331"/>
  <c r="FR331"/>
  <c r="FS331"/>
  <c r="FT331"/>
  <c r="FU331"/>
  <c r="FV331"/>
  <c r="FW331"/>
  <c r="FX331"/>
  <c r="FY331"/>
  <c r="FZ331"/>
  <c r="GA331"/>
  <c r="GB331"/>
  <c r="GC331"/>
  <c r="GD331"/>
  <c r="GE331"/>
  <c r="GF331"/>
  <c r="GG331"/>
  <c r="GH331"/>
  <c r="GI331"/>
  <c r="GJ331"/>
  <c r="GK331"/>
  <c r="GL331"/>
  <c r="GM331"/>
  <c r="GN331"/>
  <c r="GO331"/>
  <c r="GP331"/>
  <c r="GQ331"/>
  <c r="GR331"/>
  <c r="GS331"/>
  <c r="GT331"/>
  <c r="GU331"/>
  <c r="GV331"/>
  <c r="GW331"/>
  <c r="GX331"/>
  <c r="GY331"/>
  <c r="GZ331"/>
  <c r="HA331"/>
  <c r="HB331"/>
  <c r="HC331"/>
  <c r="HD331"/>
  <c r="HE331"/>
  <c r="HF331"/>
  <c r="HG331"/>
  <c r="HH331"/>
  <c r="HI331"/>
  <c r="HJ331"/>
  <c r="HK331"/>
  <c r="HL331"/>
  <c r="HM331"/>
  <c r="HN331"/>
  <c r="HO331"/>
  <c r="HP331"/>
  <c r="HQ331"/>
  <c r="HR331"/>
  <c r="HS331"/>
  <c r="HT331"/>
  <c r="HU331"/>
  <c r="HV331"/>
  <c r="HW331"/>
  <c r="HX331"/>
  <c r="HY331"/>
  <c r="HZ331"/>
  <c r="IA331"/>
  <c r="IB331"/>
  <c r="IC331"/>
  <c r="ID331"/>
  <c r="IE331"/>
  <c r="IF331"/>
  <c r="IG331"/>
  <c r="IH331"/>
  <c r="II331"/>
  <c r="IJ331"/>
  <c r="IK331"/>
  <c r="IL331"/>
  <c r="IM331"/>
  <c r="IN331"/>
  <c r="IO331"/>
  <c r="IP331"/>
  <c r="IQ331"/>
  <c r="IR331"/>
  <c r="IS331"/>
  <c r="IT331"/>
  <c r="IU331"/>
  <c r="IV331"/>
  <c r="A330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AT330"/>
  <c r="AU330"/>
  <c r="AV330"/>
  <c r="AW330"/>
  <c r="AX330"/>
  <c r="AY330"/>
  <c r="AZ330"/>
  <c r="BA330"/>
  <c r="BB330"/>
  <c r="BC330"/>
  <c r="BD330"/>
  <c r="BE330"/>
  <c r="BF330"/>
  <c r="BG330"/>
  <c r="BH330"/>
  <c r="BI330"/>
  <c r="BJ330"/>
  <c r="BK330"/>
  <c r="BL330"/>
  <c r="BM330"/>
  <c r="BN330"/>
  <c r="BO330"/>
  <c r="BP330"/>
  <c r="BQ330"/>
  <c r="BR330"/>
  <c r="BS330"/>
  <c r="BT330"/>
  <c r="BU330"/>
  <c r="BV330"/>
  <c r="BW330"/>
  <c r="BX330"/>
  <c r="BY330"/>
  <c r="BZ330"/>
  <c r="CA330"/>
  <c r="CB330"/>
  <c r="CC330"/>
  <c r="CD330"/>
  <c r="CE330"/>
  <c r="CF330"/>
  <c r="CG330"/>
  <c r="CH330"/>
  <c r="CI330"/>
  <c r="CJ330"/>
  <c r="CK330"/>
  <c r="CL330"/>
  <c r="CM330"/>
  <c r="CN330"/>
  <c r="CO330"/>
  <c r="CP330"/>
  <c r="CQ330"/>
  <c r="CR330"/>
  <c r="CS330"/>
  <c r="CT330"/>
  <c r="CU330"/>
  <c r="CV330"/>
  <c r="CW330"/>
  <c r="CX330"/>
  <c r="CY330"/>
  <c r="CZ330"/>
  <c r="DA330"/>
  <c r="DB330"/>
  <c r="DC330"/>
  <c r="DD330"/>
  <c r="DE330"/>
  <c r="DF330"/>
  <c r="DG330"/>
  <c r="DH330"/>
  <c r="DI330"/>
  <c r="DJ330"/>
  <c r="DK330"/>
  <c r="DL330"/>
  <c r="DM330"/>
  <c r="DN330"/>
  <c r="DO330"/>
  <c r="DP330"/>
  <c r="DQ330"/>
  <c r="DR330"/>
  <c r="DS330"/>
  <c r="DT330"/>
  <c r="DU330"/>
  <c r="DV330"/>
  <c r="DW330"/>
  <c r="DX330"/>
  <c r="DY330"/>
  <c r="DZ330"/>
  <c r="EA330"/>
  <c r="EB330"/>
  <c r="EC330"/>
  <c r="ED330"/>
  <c r="EE330"/>
  <c r="EF330"/>
  <c r="EG330"/>
  <c r="EH330"/>
  <c r="EI330"/>
  <c r="EJ330"/>
  <c r="EK330"/>
  <c r="EL330"/>
  <c r="EM330"/>
  <c r="EN330"/>
  <c r="EO330"/>
  <c r="EP330"/>
  <c r="EQ330"/>
  <c r="ER330"/>
  <c r="ES330"/>
  <c r="ET330"/>
  <c r="EU330"/>
  <c r="EV330"/>
  <c r="EW330"/>
  <c r="EX330"/>
  <c r="EY330"/>
  <c r="EZ330"/>
  <c r="FA330"/>
  <c r="FB330"/>
  <c r="FC330"/>
  <c r="FD330"/>
  <c r="FE330"/>
  <c r="FF330"/>
  <c r="FG330"/>
  <c r="FH330"/>
  <c r="FI330"/>
  <c r="FJ330"/>
  <c r="FK330"/>
  <c r="FL330"/>
  <c r="FM330"/>
  <c r="FN330"/>
  <c r="FO330"/>
  <c r="FP330"/>
  <c r="FQ330"/>
  <c r="FR330"/>
  <c r="FS330"/>
  <c r="FT330"/>
  <c r="FU330"/>
  <c r="FV330"/>
  <c r="FW330"/>
  <c r="FX330"/>
  <c r="FY330"/>
  <c r="FZ330"/>
  <c r="GA330"/>
  <c r="GB330"/>
  <c r="GC330"/>
  <c r="GD330"/>
  <c r="GE330"/>
  <c r="GF330"/>
  <c r="GG330"/>
  <c r="GH330"/>
  <c r="GI330"/>
  <c r="GJ330"/>
  <c r="GK330"/>
  <c r="GL330"/>
  <c r="GM330"/>
  <c r="GN330"/>
  <c r="GO330"/>
  <c r="GP330"/>
  <c r="GQ330"/>
  <c r="GR330"/>
  <c r="GS330"/>
  <c r="GT330"/>
  <c r="GU330"/>
  <c r="GV330"/>
  <c r="GW330"/>
  <c r="GX330"/>
  <c r="GY330"/>
  <c r="GZ330"/>
  <c r="HA330"/>
  <c r="HB330"/>
  <c r="HC330"/>
  <c r="HD330"/>
  <c r="HE330"/>
  <c r="HF330"/>
  <c r="HG330"/>
  <c r="HH330"/>
  <c r="HI330"/>
  <c r="HJ330"/>
  <c r="HK330"/>
  <c r="HL330"/>
  <c r="HM330"/>
  <c r="HN330"/>
  <c r="HO330"/>
  <c r="HP330"/>
  <c r="HQ330"/>
  <c r="HR330"/>
  <c r="HS330"/>
  <c r="HT330"/>
  <c r="HU330"/>
  <c r="HV330"/>
  <c r="HW330"/>
  <c r="HX330"/>
  <c r="HY330"/>
  <c r="HZ330"/>
  <c r="IA330"/>
  <c r="IB330"/>
  <c r="IC330"/>
  <c r="ID330"/>
  <c r="IE330"/>
  <c r="IF330"/>
  <c r="IG330"/>
  <c r="IH330"/>
  <c r="II330"/>
  <c r="IJ330"/>
  <c r="IK330"/>
  <c r="IL330"/>
  <c r="IM330"/>
  <c r="IN330"/>
  <c r="IO330"/>
  <c r="IP330"/>
  <c r="IQ330"/>
  <c r="IR330"/>
  <c r="IS330"/>
  <c r="IT330"/>
  <c r="IU330"/>
  <c r="IV330"/>
  <c r="A329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AV329"/>
  <c r="AW329"/>
  <c r="AX329"/>
  <c r="AY329"/>
  <c r="AZ329"/>
  <c r="BA329"/>
  <c r="BB329"/>
  <c r="BC329"/>
  <c r="BD329"/>
  <c r="BE329"/>
  <c r="BF329"/>
  <c r="BG329"/>
  <c r="BH329"/>
  <c r="BI329"/>
  <c r="BJ329"/>
  <c r="BK329"/>
  <c r="BL329"/>
  <c r="BM329"/>
  <c r="BN329"/>
  <c r="BO329"/>
  <c r="BP329"/>
  <c r="BQ329"/>
  <c r="BR329"/>
  <c r="BS329"/>
  <c r="BT329"/>
  <c r="BU329"/>
  <c r="BV329"/>
  <c r="BW329"/>
  <c r="BX329"/>
  <c r="BY329"/>
  <c r="BZ329"/>
  <c r="CA329"/>
  <c r="CB329"/>
  <c r="CC329"/>
  <c r="CD329"/>
  <c r="CE329"/>
  <c r="CF329"/>
  <c r="CG329"/>
  <c r="CH329"/>
  <c r="CI329"/>
  <c r="CJ329"/>
  <c r="CK329"/>
  <c r="CL329"/>
  <c r="CM329"/>
  <c r="CN329"/>
  <c r="CO329"/>
  <c r="CP329"/>
  <c r="CQ329"/>
  <c r="CR329"/>
  <c r="CS329"/>
  <c r="CT329"/>
  <c r="CU329"/>
  <c r="CV329"/>
  <c r="CW329"/>
  <c r="CX329"/>
  <c r="CY329"/>
  <c r="CZ329"/>
  <c r="DA329"/>
  <c r="DB329"/>
  <c r="DC329"/>
  <c r="DD329"/>
  <c r="DE329"/>
  <c r="DF329"/>
  <c r="DG329"/>
  <c r="DH329"/>
  <c r="DI329"/>
  <c r="DJ329"/>
  <c r="DK329"/>
  <c r="DL329"/>
  <c r="DM329"/>
  <c r="DN329"/>
  <c r="DO329"/>
  <c r="DP329"/>
  <c r="DQ329"/>
  <c r="DR329"/>
  <c r="DS329"/>
  <c r="DT329"/>
  <c r="DU329"/>
  <c r="DV329"/>
  <c r="DW329"/>
  <c r="DX329"/>
  <c r="DY329"/>
  <c r="DZ329"/>
  <c r="EA329"/>
  <c r="EB329"/>
  <c r="EC329"/>
  <c r="ED329"/>
  <c r="EE329"/>
  <c r="EF329"/>
  <c r="EG329"/>
  <c r="EH329"/>
  <c r="EI329"/>
  <c r="EJ329"/>
  <c r="EK329"/>
  <c r="EL329"/>
  <c r="EM329"/>
  <c r="EN329"/>
  <c r="EO329"/>
  <c r="EP329"/>
  <c r="EQ329"/>
  <c r="ER329"/>
  <c r="ES329"/>
  <c r="ET329"/>
  <c r="EU329"/>
  <c r="EV329"/>
  <c r="EW329"/>
  <c r="EX329"/>
  <c r="EY329"/>
  <c r="EZ329"/>
  <c r="FA329"/>
  <c r="FB329"/>
  <c r="FC329"/>
  <c r="FD329"/>
  <c r="FE329"/>
  <c r="FF329"/>
  <c r="FG329"/>
  <c r="FH329"/>
  <c r="FI329"/>
  <c r="FJ329"/>
  <c r="FK329"/>
  <c r="FL329"/>
  <c r="FM329"/>
  <c r="FN329"/>
  <c r="FO329"/>
  <c r="FP329"/>
  <c r="FQ329"/>
  <c r="FR329"/>
  <c r="FS329"/>
  <c r="FT329"/>
  <c r="FU329"/>
  <c r="FV329"/>
  <c r="FW329"/>
  <c r="FX329"/>
  <c r="FY329"/>
  <c r="FZ329"/>
  <c r="GA329"/>
  <c r="GB329"/>
  <c r="GC329"/>
  <c r="GD329"/>
  <c r="GE329"/>
  <c r="GF329"/>
  <c r="GG329"/>
  <c r="GH329"/>
  <c r="GI329"/>
  <c r="GJ329"/>
  <c r="GK329"/>
  <c r="GL329"/>
  <c r="GM329"/>
  <c r="GN329"/>
  <c r="GO329"/>
  <c r="GP329"/>
  <c r="GQ329"/>
  <c r="GR329"/>
  <c r="GS329"/>
  <c r="GT329"/>
  <c r="GU329"/>
  <c r="GV329"/>
  <c r="GW329"/>
  <c r="GX329"/>
  <c r="GY329"/>
  <c r="GZ329"/>
  <c r="HA329"/>
  <c r="HB329"/>
  <c r="HC329"/>
  <c r="HD329"/>
  <c r="HE329"/>
  <c r="HF329"/>
  <c r="HG329"/>
  <c r="HH329"/>
  <c r="HI329"/>
  <c r="HJ329"/>
  <c r="HK329"/>
  <c r="HL329"/>
  <c r="HM329"/>
  <c r="HN329"/>
  <c r="HO329"/>
  <c r="HP329"/>
  <c r="HQ329"/>
  <c r="HR329"/>
  <c r="HS329"/>
  <c r="HT329"/>
  <c r="HU329"/>
  <c r="HV329"/>
  <c r="HW329"/>
  <c r="HX329"/>
  <c r="HY329"/>
  <c r="HZ329"/>
  <c r="IA329"/>
  <c r="IB329"/>
  <c r="IC329"/>
  <c r="ID329"/>
  <c r="IE329"/>
  <c r="IF329"/>
  <c r="IG329"/>
  <c r="IH329"/>
  <c r="II329"/>
  <c r="IJ329"/>
  <c r="IK329"/>
  <c r="IL329"/>
  <c r="IM329"/>
  <c r="IN329"/>
  <c r="IO329"/>
  <c r="IP329"/>
  <c r="IQ329"/>
  <c r="IR329"/>
  <c r="IS329"/>
  <c r="IT329"/>
  <c r="IU329"/>
  <c r="IV329"/>
  <c r="A328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AV328"/>
  <c r="AW328"/>
  <c r="AX328"/>
  <c r="AY328"/>
  <c r="AZ328"/>
  <c r="BA328"/>
  <c r="BB328"/>
  <c r="BC328"/>
  <c r="BD328"/>
  <c r="BE328"/>
  <c r="BF328"/>
  <c r="BG328"/>
  <c r="BH328"/>
  <c r="BI328"/>
  <c r="BJ328"/>
  <c r="BK328"/>
  <c r="BL328"/>
  <c r="BM328"/>
  <c r="BN328"/>
  <c r="BO328"/>
  <c r="BP328"/>
  <c r="BQ328"/>
  <c r="BR328"/>
  <c r="BS328"/>
  <c r="BT328"/>
  <c r="BU328"/>
  <c r="BV328"/>
  <c r="BW328"/>
  <c r="BX328"/>
  <c r="BY328"/>
  <c r="BZ328"/>
  <c r="CA328"/>
  <c r="CB328"/>
  <c r="CC328"/>
  <c r="CD328"/>
  <c r="CE328"/>
  <c r="CF328"/>
  <c r="CG328"/>
  <c r="CH328"/>
  <c r="CI328"/>
  <c r="CJ328"/>
  <c r="CK328"/>
  <c r="CL328"/>
  <c r="CM328"/>
  <c r="CN328"/>
  <c r="CO328"/>
  <c r="CP328"/>
  <c r="CQ328"/>
  <c r="CR328"/>
  <c r="CS328"/>
  <c r="CT328"/>
  <c r="CU328"/>
  <c r="CV328"/>
  <c r="CW328"/>
  <c r="CX328"/>
  <c r="CY328"/>
  <c r="CZ328"/>
  <c r="DA328"/>
  <c r="DB328"/>
  <c r="DC328"/>
  <c r="DD328"/>
  <c r="DE328"/>
  <c r="DF328"/>
  <c r="DG328"/>
  <c r="DH328"/>
  <c r="DI328"/>
  <c r="DJ328"/>
  <c r="DK328"/>
  <c r="DL328"/>
  <c r="DM328"/>
  <c r="DN328"/>
  <c r="DO328"/>
  <c r="DP328"/>
  <c r="DQ328"/>
  <c r="DR328"/>
  <c r="DS328"/>
  <c r="DT328"/>
  <c r="DU328"/>
  <c r="DV328"/>
  <c r="DW328"/>
  <c r="DX328"/>
  <c r="DY328"/>
  <c r="DZ328"/>
  <c r="EA328"/>
  <c r="EB328"/>
  <c r="EC328"/>
  <c r="ED328"/>
  <c r="EE328"/>
  <c r="EF328"/>
  <c r="EG328"/>
  <c r="EH328"/>
  <c r="EI328"/>
  <c r="EJ328"/>
  <c r="EK328"/>
  <c r="EL328"/>
  <c r="EM328"/>
  <c r="EN328"/>
  <c r="EO328"/>
  <c r="EP328"/>
  <c r="EQ328"/>
  <c r="ER328"/>
  <c r="ES328"/>
  <c r="ET328"/>
  <c r="EU328"/>
  <c r="EV328"/>
  <c r="EW328"/>
  <c r="EX328"/>
  <c r="EY328"/>
  <c r="EZ328"/>
  <c r="FA328"/>
  <c r="FB328"/>
  <c r="FC328"/>
  <c r="FD328"/>
  <c r="FE328"/>
  <c r="FF328"/>
  <c r="FG328"/>
  <c r="FH328"/>
  <c r="FI328"/>
  <c r="FJ328"/>
  <c r="FK328"/>
  <c r="FL328"/>
  <c r="FM328"/>
  <c r="FN328"/>
  <c r="FO328"/>
  <c r="FP328"/>
  <c r="FQ328"/>
  <c r="FR328"/>
  <c r="FS328"/>
  <c r="FT328"/>
  <c r="FU328"/>
  <c r="FV328"/>
  <c r="FW328"/>
  <c r="FX328"/>
  <c r="FY328"/>
  <c r="FZ328"/>
  <c r="GA328"/>
  <c r="GB328"/>
  <c r="GC328"/>
  <c r="GD328"/>
  <c r="GE328"/>
  <c r="GF328"/>
  <c r="GG328"/>
  <c r="GH328"/>
  <c r="GI328"/>
  <c r="GJ328"/>
  <c r="GK328"/>
  <c r="GL328"/>
  <c r="GM328"/>
  <c r="GN328"/>
  <c r="GO328"/>
  <c r="GP328"/>
  <c r="GQ328"/>
  <c r="GR328"/>
  <c r="GS328"/>
  <c r="GT328"/>
  <c r="GU328"/>
  <c r="GV328"/>
  <c r="GW328"/>
  <c r="GX328"/>
  <c r="GY328"/>
  <c r="GZ328"/>
  <c r="HA328"/>
  <c r="HB328"/>
  <c r="HC328"/>
  <c r="HD328"/>
  <c r="HE328"/>
  <c r="HF328"/>
  <c r="HG328"/>
  <c r="HH328"/>
  <c r="HI328"/>
  <c r="HJ328"/>
  <c r="HK328"/>
  <c r="HL328"/>
  <c r="HM328"/>
  <c r="HN328"/>
  <c r="HO328"/>
  <c r="HP328"/>
  <c r="HQ328"/>
  <c r="HR328"/>
  <c r="HS328"/>
  <c r="HT328"/>
  <c r="HU328"/>
  <c r="HV328"/>
  <c r="HW328"/>
  <c r="HX328"/>
  <c r="HY328"/>
  <c r="HZ328"/>
  <c r="IA328"/>
  <c r="IB328"/>
  <c r="IC328"/>
  <c r="ID328"/>
  <c r="IE328"/>
  <c r="IF328"/>
  <c r="IG328"/>
  <c r="IH328"/>
  <c r="II328"/>
  <c r="IJ328"/>
  <c r="IK328"/>
  <c r="IL328"/>
  <c r="IM328"/>
  <c r="IN328"/>
  <c r="IO328"/>
  <c r="IP328"/>
  <c r="IQ328"/>
  <c r="IR328"/>
  <c r="IS328"/>
  <c r="IT328"/>
  <c r="IU328"/>
  <c r="IV328"/>
  <c r="A327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AT327"/>
  <c r="AU327"/>
  <c r="AV327"/>
  <c r="AW327"/>
  <c r="AX327"/>
  <c r="AY327"/>
  <c r="AZ327"/>
  <c r="BA327"/>
  <c r="BB327"/>
  <c r="BC327"/>
  <c r="BD327"/>
  <c r="BE327"/>
  <c r="BF327"/>
  <c r="BG327"/>
  <c r="BH327"/>
  <c r="BI327"/>
  <c r="BJ327"/>
  <c r="BK327"/>
  <c r="BL327"/>
  <c r="BM327"/>
  <c r="BN327"/>
  <c r="BO327"/>
  <c r="BP327"/>
  <c r="BQ327"/>
  <c r="BR327"/>
  <c r="BS327"/>
  <c r="BT327"/>
  <c r="BU327"/>
  <c r="BV327"/>
  <c r="BW327"/>
  <c r="BX327"/>
  <c r="BY327"/>
  <c r="BZ327"/>
  <c r="CA327"/>
  <c r="CB327"/>
  <c r="CC327"/>
  <c r="CD327"/>
  <c r="CE327"/>
  <c r="CF327"/>
  <c r="CG327"/>
  <c r="CH327"/>
  <c r="CI327"/>
  <c r="CJ327"/>
  <c r="CK327"/>
  <c r="CL327"/>
  <c r="CM327"/>
  <c r="CN327"/>
  <c r="CO327"/>
  <c r="CP327"/>
  <c r="CQ327"/>
  <c r="CR327"/>
  <c r="CS327"/>
  <c r="CT327"/>
  <c r="CU327"/>
  <c r="CV327"/>
  <c r="CW327"/>
  <c r="CX327"/>
  <c r="CY327"/>
  <c r="CZ327"/>
  <c r="DA327"/>
  <c r="DB327"/>
  <c r="DC327"/>
  <c r="DD327"/>
  <c r="DE327"/>
  <c r="DF327"/>
  <c r="DG327"/>
  <c r="DH327"/>
  <c r="DI327"/>
  <c r="DJ327"/>
  <c r="DK327"/>
  <c r="DL327"/>
  <c r="DM327"/>
  <c r="DN327"/>
  <c r="DO327"/>
  <c r="DP327"/>
  <c r="DQ327"/>
  <c r="DR327"/>
  <c r="DS327"/>
  <c r="DT327"/>
  <c r="DU327"/>
  <c r="DV327"/>
  <c r="DW327"/>
  <c r="DX327"/>
  <c r="DY327"/>
  <c r="DZ327"/>
  <c r="EA327"/>
  <c r="EB327"/>
  <c r="EC327"/>
  <c r="ED327"/>
  <c r="EE327"/>
  <c r="EF327"/>
  <c r="EG327"/>
  <c r="EH327"/>
  <c r="EI327"/>
  <c r="EJ327"/>
  <c r="EK327"/>
  <c r="EL327"/>
  <c r="EM327"/>
  <c r="EN327"/>
  <c r="EO327"/>
  <c r="EP327"/>
  <c r="EQ327"/>
  <c r="ER327"/>
  <c r="ES327"/>
  <c r="ET327"/>
  <c r="EU327"/>
  <c r="EV327"/>
  <c r="EW327"/>
  <c r="EX327"/>
  <c r="EY327"/>
  <c r="EZ327"/>
  <c r="FA327"/>
  <c r="FB327"/>
  <c r="FC327"/>
  <c r="FD327"/>
  <c r="FE327"/>
  <c r="FF327"/>
  <c r="FG327"/>
  <c r="FH327"/>
  <c r="FI327"/>
  <c r="FJ327"/>
  <c r="FK327"/>
  <c r="FL327"/>
  <c r="FM327"/>
  <c r="FN327"/>
  <c r="FO327"/>
  <c r="FP327"/>
  <c r="FQ327"/>
  <c r="FR327"/>
  <c r="FS327"/>
  <c r="FT327"/>
  <c r="FU327"/>
  <c r="FV327"/>
  <c r="FW327"/>
  <c r="FX327"/>
  <c r="FY327"/>
  <c r="FZ327"/>
  <c r="GA327"/>
  <c r="GB327"/>
  <c r="GC327"/>
  <c r="GD327"/>
  <c r="GE327"/>
  <c r="GF327"/>
  <c r="GG327"/>
  <c r="GH327"/>
  <c r="GI327"/>
  <c r="GJ327"/>
  <c r="GK327"/>
  <c r="GL327"/>
  <c r="GM327"/>
  <c r="GN327"/>
  <c r="GO327"/>
  <c r="GP327"/>
  <c r="GQ327"/>
  <c r="GR327"/>
  <c r="GS327"/>
  <c r="GT327"/>
  <c r="GU327"/>
  <c r="GV327"/>
  <c r="GW327"/>
  <c r="GX327"/>
  <c r="GY327"/>
  <c r="GZ327"/>
  <c r="HA327"/>
  <c r="HB327"/>
  <c r="HC327"/>
  <c r="HD327"/>
  <c r="HE327"/>
  <c r="HF327"/>
  <c r="HG327"/>
  <c r="HH327"/>
  <c r="HI327"/>
  <c r="HJ327"/>
  <c r="HK327"/>
  <c r="HL327"/>
  <c r="HM327"/>
  <c r="HN327"/>
  <c r="HO327"/>
  <c r="HP327"/>
  <c r="HQ327"/>
  <c r="HR327"/>
  <c r="HS327"/>
  <c r="HT327"/>
  <c r="HU327"/>
  <c r="HV327"/>
  <c r="HW327"/>
  <c r="HX327"/>
  <c r="HY327"/>
  <c r="HZ327"/>
  <c r="IA327"/>
  <c r="IB327"/>
  <c r="IC327"/>
  <c r="ID327"/>
  <c r="IE327"/>
  <c r="IF327"/>
  <c r="IG327"/>
  <c r="IH327"/>
  <c r="II327"/>
  <c r="IJ327"/>
  <c r="IK327"/>
  <c r="IL327"/>
  <c r="IM327"/>
  <c r="IN327"/>
  <c r="IO327"/>
  <c r="IP327"/>
  <c r="IQ327"/>
  <c r="IR327"/>
  <c r="IS327"/>
  <c r="IT327"/>
  <c r="IU327"/>
  <c r="IV327"/>
  <c r="A326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AV326"/>
  <c r="AW326"/>
  <c r="AX326"/>
  <c r="AY326"/>
  <c r="AZ326"/>
  <c r="BA326"/>
  <c r="BB326"/>
  <c r="BC326"/>
  <c r="BD326"/>
  <c r="BE326"/>
  <c r="BF326"/>
  <c r="BG326"/>
  <c r="BH326"/>
  <c r="BI326"/>
  <c r="BJ326"/>
  <c r="BK326"/>
  <c r="BL326"/>
  <c r="BM326"/>
  <c r="BN326"/>
  <c r="BO326"/>
  <c r="BP326"/>
  <c r="BQ326"/>
  <c r="BR326"/>
  <c r="BS326"/>
  <c r="BT326"/>
  <c r="BU326"/>
  <c r="BV326"/>
  <c r="BW326"/>
  <c r="BX326"/>
  <c r="BY326"/>
  <c r="BZ326"/>
  <c r="CA326"/>
  <c r="CB326"/>
  <c r="CC326"/>
  <c r="CD326"/>
  <c r="CE326"/>
  <c r="CF326"/>
  <c r="CG326"/>
  <c r="CH326"/>
  <c r="CI326"/>
  <c r="CJ326"/>
  <c r="CK326"/>
  <c r="CL326"/>
  <c r="CM326"/>
  <c r="CN326"/>
  <c r="CO326"/>
  <c r="CP326"/>
  <c r="CQ326"/>
  <c r="CR326"/>
  <c r="CS326"/>
  <c r="CT326"/>
  <c r="CU326"/>
  <c r="CV326"/>
  <c r="CW326"/>
  <c r="CX326"/>
  <c r="CY326"/>
  <c r="CZ326"/>
  <c r="DA326"/>
  <c r="DB326"/>
  <c r="DC326"/>
  <c r="DD326"/>
  <c r="DE326"/>
  <c r="DF326"/>
  <c r="DG326"/>
  <c r="DH326"/>
  <c r="DI326"/>
  <c r="DJ326"/>
  <c r="DK326"/>
  <c r="DL326"/>
  <c r="DM326"/>
  <c r="DN326"/>
  <c r="DO326"/>
  <c r="DP326"/>
  <c r="DQ326"/>
  <c r="DR326"/>
  <c r="DS326"/>
  <c r="DT326"/>
  <c r="DU326"/>
  <c r="DV326"/>
  <c r="DW326"/>
  <c r="DX326"/>
  <c r="DY326"/>
  <c r="DZ326"/>
  <c r="EA326"/>
  <c r="EB326"/>
  <c r="EC326"/>
  <c r="ED326"/>
  <c r="EE326"/>
  <c r="EF326"/>
  <c r="EG326"/>
  <c r="EH326"/>
  <c r="EI326"/>
  <c r="EJ326"/>
  <c r="EK326"/>
  <c r="EL326"/>
  <c r="EM326"/>
  <c r="EN326"/>
  <c r="EO326"/>
  <c r="EP326"/>
  <c r="EQ326"/>
  <c r="ER326"/>
  <c r="ES326"/>
  <c r="ET326"/>
  <c r="EU326"/>
  <c r="EV326"/>
  <c r="EW326"/>
  <c r="EX326"/>
  <c r="EY326"/>
  <c r="EZ326"/>
  <c r="FA326"/>
  <c r="FB326"/>
  <c r="FC326"/>
  <c r="FD326"/>
  <c r="FE326"/>
  <c r="FF326"/>
  <c r="FG326"/>
  <c r="FH326"/>
  <c r="FI326"/>
  <c r="FJ326"/>
  <c r="FK326"/>
  <c r="FL326"/>
  <c r="FM326"/>
  <c r="FN326"/>
  <c r="FO326"/>
  <c r="FP326"/>
  <c r="FQ326"/>
  <c r="FR326"/>
  <c r="FS326"/>
  <c r="FT326"/>
  <c r="FU326"/>
  <c r="FV326"/>
  <c r="FW326"/>
  <c r="FX326"/>
  <c r="FY326"/>
  <c r="FZ326"/>
  <c r="GA326"/>
  <c r="GB326"/>
  <c r="GC326"/>
  <c r="GD326"/>
  <c r="GE326"/>
  <c r="GF326"/>
  <c r="GG326"/>
  <c r="GH326"/>
  <c r="GI326"/>
  <c r="GJ326"/>
  <c r="GK326"/>
  <c r="GL326"/>
  <c r="GM326"/>
  <c r="GN326"/>
  <c r="GO326"/>
  <c r="GP326"/>
  <c r="GQ326"/>
  <c r="GR326"/>
  <c r="GS326"/>
  <c r="GT326"/>
  <c r="GU326"/>
  <c r="GV326"/>
  <c r="GW326"/>
  <c r="GX326"/>
  <c r="GY326"/>
  <c r="GZ326"/>
  <c r="HA326"/>
  <c r="HB326"/>
  <c r="HC326"/>
  <c r="HD326"/>
  <c r="HE326"/>
  <c r="HF326"/>
  <c r="HG326"/>
  <c r="HH326"/>
  <c r="HI326"/>
  <c r="HJ326"/>
  <c r="HK326"/>
  <c r="HL326"/>
  <c r="HM326"/>
  <c r="HN326"/>
  <c r="HO326"/>
  <c r="HP326"/>
  <c r="HQ326"/>
  <c r="HR326"/>
  <c r="HS326"/>
  <c r="HT326"/>
  <c r="HU326"/>
  <c r="HV326"/>
  <c r="HW326"/>
  <c r="HX326"/>
  <c r="HY326"/>
  <c r="HZ326"/>
  <c r="IA326"/>
  <c r="IB326"/>
  <c r="IC326"/>
  <c r="ID326"/>
  <c r="IE326"/>
  <c r="IF326"/>
  <c r="IG326"/>
  <c r="IH326"/>
  <c r="II326"/>
  <c r="IJ326"/>
  <c r="IK326"/>
  <c r="IL326"/>
  <c r="IM326"/>
  <c r="IN326"/>
  <c r="IO326"/>
  <c r="IP326"/>
  <c r="IQ326"/>
  <c r="IR326"/>
  <c r="IS326"/>
  <c r="IT326"/>
  <c r="IU326"/>
  <c r="IV326"/>
  <c r="A325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AT325"/>
  <c r="AU325"/>
  <c r="AV325"/>
  <c r="AW325"/>
  <c r="AX325"/>
  <c r="AY325"/>
  <c r="AZ325"/>
  <c r="BA325"/>
  <c r="BB325"/>
  <c r="BC325"/>
  <c r="BD325"/>
  <c r="BE325"/>
  <c r="BF325"/>
  <c r="BG325"/>
  <c r="BH325"/>
  <c r="BI325"/>
  <c r="BJ325"/>
  <c r="BK325"/>
  <c r="BL325"/>
  <c r="BM325"/>
  <c r="BN325"/>
  <c r="BO325"/>
  <c r="BP325"/>
  <c r="BQ325"/>
  <c r="BR325"/>
  <c r="BS325"/>
  <c r="BT325"/>
  <c r="BU325"/>
  <c r="BV325"/>
  <c r="BW325"/>
  <c r="BX325"/>
  <c r="BY325"/>
  <c r="BZ325"/>
  <c r="CA325"/>
  <c r="CB325"/>
  <c r="CC325"/>
  <c r="CD325"/>
  <c r="CE325"/>
  <c r="CF325"/>
  <c r="CG325"/>
  <c r="CH325"/>
  <c r="CI325"/>
  <c r="CJ325"/>
  <c r="CK325"/>
  <c r="CL325"/>
  <c r="CM325"/>
  <c r="CN325"/>
  <c r="CO325"/>
  <c r="CP325"/>
  <c r="CQ325"/>
  <c r="CR325"/>
  <c r="CS325"/>
  <c r="CT325"/>
  <c r="CU325"/>
  <c r="CV325"/>
  <c r="CW325"/>
  <c r="CX325"/>
  <c r="CY325"/>
  <c r="CZ325"/>
  <c r="DA325"/>
  <c r="DB325"/>
  <c r="DC325"/>
  <c r="DD325"/>
  <c r="DE325"/>
  <c r="DF325"/>
  <c r="DG325"/>
  <c r="DH325"/>
  <c r="DI325"/>
  <c r="DJ325"/>
  <c r="DK325"/>
  <c r="DL325"/>
  <c r="DM325"/>
  <c r="DN325"/>
  <c r="DO325"/>
  <c r="DP325"/>
  <c r="DQ325"/>
  <c r="DR325"/>
  <c r="DS325"/>
  <c r="DT325"/>
  <c r="DU325"/>
  <c r="DV325"/>
  <c r="DW325"/>
  <c r="DX325"/>
  <c r="DY325"/>
  <c r="DZ325"/>
  <c r="EA325"/>
  <c r="EB325"/>
  <c r="EC325"/>
  <c r="ED325"/>
  <c r="EE325"/>
  <c r="EF325"/>
  <c r="EG325"/>
  <c r="EH325"/>
  <c r="EI325"/>
  <c r="EJ325"/>
  <c r="EK325"/>
  <c r="EL325"/>
  <c r="EM325"/>
  <c r="EN325"/>
  <c r="EO325"/>
  <c r="EP325"/>
  <c r="EQ325"/>
  <c r="ER325"/>
  <c r="ES325"/>
  <c r="ET325"/>
  <c r="EU325"/>
  <c r="EV325"/>
  <c r="EW325"/>
  <c r="EX325"/>
  <c r="EY325"/>
  <c r="EZ325"/>
  <c r="FA325"/>
  <c r="FB325"/>
  <c r="FC325"/>
  <c r="FD325"/>
  <c r="FE325"/>
  <c r="FF325"/>
  <c r="FG325"/>
  <c r="FH325"/>
  <c r="FI325"/>
  <c r="FJ325"/>
  <c r="FK325"/>
  <c r="FL325"/>
  <c r="FM325"/>
  <c r="FN325"/>
  <c r="FO325"/>
  <c r="FP325"/>
  <c r="FQ325"/>
  <c r="FR325"/>
  <c r="FS325"/>
  <c r="FT325"/>
  <c r="FU325"/>
  <c r="FV325"/>
  <c r="FW325"/>
  <c r="FX325"/>
  <c r="FY325"/>
  <c r="FZ325"/>
  <c r="GA325"/>
  <c r="GB325"/>
  <c r="GC325"/>
  <c r="GD325"/>
  <c r="GE325"/>
  <c r="GF325"/>
  <c r="GG325"/>
  <c r="GH325"/>
  <c r="GI325"/>
  <c r="GJ325"/>
  <c r="GK325"/>
  <c r="GL325"/>
  <c r="GM325"/>
  <c r="GN325"/>
  <c r="GO325"/>
  <c r="GP325"/>
  <c r="GQ325"/>
  <c r="GR325"/>
  <c r="GS325"/>
  <c r="GT325"/>
  <c r="GU325"/>
  <c r="GV325"/>
  <c r="GW325"/>
  <c r="GX325"/>
  <c r="GY325"/>
  <c r="GZ325"/>
  <c r="HA325"/>
  <c r="HB325"/>
  <c r="HC325"/>
  <c r="HD325"/>
  <c r="HE325"/>
  <c r="HF325"/>
  <c r="HG325"/>
  <c r="HH325"/>
  <c r="HI325"/>
  <c r="HJ325"/>
  <c r="HK325"/>
  <c r="HL325"/>
  <c r="HM325"/>
  <c r="HN325"/>
  <c r="HO325"/>
  <c r="HP325"/>
  <c r="HQ325"/>
  <c r="HR325"/>
  <c r="HS325"/>
  <c r="HT325"/>
  <c r="HU325"/>
  <c r="HV325"/>
  <c r="HW325"/>
  <c r="HX325"/>
  <c r="HY325"/>
  <c r="HZ325"/>
  <c r="IA325"/>
  <c r="IB325"/>
  <c r="IC325"/>
  <c r="ID325"/>
  <c r="IE325"/>
  <c r="IF325"/>
  <c r="IG325"/>
  <c r="IH325"/>
  <c r="II325"/>
  <c r="IJ325"/>
  <c r="IK325"/>
  <c r="IL325"/>
  <c r="IM325"/>
  <c r="IN325"/>
  <c r="IO325"/>
  <c r="IP325"/>
  <c r="IQ325"/>
  <c r="IR325"/>
  <c r="IS325"/>
  <c r="IT325"/>
  <c r="IU325"/>
  <c r="IV325"/>
  <c r="A324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AT324"/>
  <c r="AU324"/>
  <c r="AV324"/>
  <c r="AW324"/>
  <c r="AX324"/>
  <c r="AY324"/>
  <c r="AZ324"/>
  <c r="BA324"/>
  <c r="BB324"/>
  <c r="BC324"/>
  <c r="BD324"/>
  <c r="BE324"/>
  <c r="BF324"/>
  <c r="BG324"/>
  <c r="BH324"/>
  <c r="BI324"/>
  <c r="BJ324"/>
  <c r="BK324"/>
  <c r="BL324"/>
  <c r="BM324"/>
  <c r="BN324"/>
  <c r="BO324"/>
  <c r="BP324"/>
  <c r="BQ324"/>
  <c r="BR324"/>
  <c r="BS324"/>
  <c r="BT324"/>
  <c r="BU324"/>
  <c r="BV324"/>
  <c r="BW324"/>
  <c r="BX324"/>
  <c r="BY324"/>
  <c r="BZ324"/>
  <c r="CA324"/>
  <c r="CB324"/>
  <c r="CC324"/>
  <c r="CD324"/>
  <c r="CE324"/>
  <c r="CF324"/>
  <c r="CG324"/>
  <c r="CH324"/>
  <c r="CI324"/>
  <c r="CJ324"/>
  <c r="CK324"/>
  <c r="CL324"/>
  <c r="CM324"/>
  <c r="CN324"/>
  <c r="CO324"/>
  <c r="CP324"/>
  <c r="CQ324"/>
  <c r="CR324"/>
  <c r="CS324"/>
  <c r="CT324"/>
  <c r="CU324"/>
  <c r="CV324"/>
  <c r="CW324"/>
  <c r="CX324"/>
  <c r="CY324"/>
  <c r="CZ324"/>
  <c r="DA324"/>
  <c r="DB324"/>
  <c r="DC324"/>
  <c r="DD324"/>
  <c r="DE324"/>
  <c r="DF324"/>
  <c r="DG324"/>
  <c r="DH324"/>
  <c r="DI324"/>
  <c r="DJ324"/>
  <c r="DK324"/>
  <c r="DL324"/>
  <c r="DM324"/>
  <c r="DN324"/>
  <c r="DO324"/>
  <c r="DP324"/>
  <c r="DQ324"/>
  <c r="DR324"/>
  <c r="DS324"/>
  <c r="DT324"/>
  <c r="DU324"/>
  <c r="DV324"/>
  <c r="DW324"/>
  <c r="DX324"/>
  <c r="DY324"/>
  <c r="DZ324"/>
  <c r="EA324"/>
  <c r="EB324"/>
  <c r="EC324"/>
  <c r="ED324"/>
  <c r="EE324"/>
  <c r="EF324"/>
  <c r="EG324"/>
  <c r="EH324"/>
  <c r="EI324"/>
  <c r="EJ324"/>
  <c r="EK324"/>
  <c r="EL324"/>
  <c r="EM324"/>
  <c r="EN324"/>
  <c r="EO324"/>
  <c r="EP324"/>
  <c r="EQ324"/>
  <c r="ER324"/>
  <c r="ES324"/>
  <c r="ET324"/>
  <c r="EU324"/>
  <c r="EV324"/>
  <c r="EW324"/>
  <c r="EX324"/>
  <c r="EY324"/>
  <c r="EZ324"/>
  <c r="FA324"/>
  <c r="FB324"/>
  <c r="FC324"/>
  <c r="FD324"/>
  <c r="FE324"/>
  <c r="FF324"/>
  <c r="FG324"/>
  <c r="FH324"/>
  <c r="FI324"/>
  <c r="FJ324"/>
  <c r="FK324"/>
  <c r="FL324"/>
  <c r="FM324"/>
  <c r="FN324"/>
  <c r="FO324"/>
  <c r="FP324"/>
  <c r="FQ324"/>
  <c r="FR324"/>
  <c r="FS324"/>
  <c r="FT324"/>
  <c r="FU324"/>
  <c r="FV324"/>
  <c r="FW324"/>
  <c r="FX324"/>
  <c r="FY324"/>
  <c r="FZ324"/>
  <c r="GA324"/>
  <c r="GB324"/>
  <c r="GC324"/>
  <c r="GD324"/>
  <c r="GE324"/>
  <c r="GF324"/>
  <c r="GG324"/>
  <c r="GH324"/>
  <c r="GI324"/>
  <c r="GJ324"/>
  <c r="GK324"/>
  <c r="GL324"/>
  <c r="GM324"/>
  <c r="GN324"/>
  <c r="GO324"/>
  <c r="GP324"/>
  <c r="GQ324"/>
  <c r="GR324"/>
  <c r="GS324"/>
  <c r="GT324"/>
  <c r="GU324"/>
  <c r="GV324"/>
  <c r="GW324"/>
  <c r="GX324"/>
  <c r="GY324"/>
  <c r="GZ324"/>
  <c r="HA324"/>
  <c r="HB324"/>
  <c r="HC324"/>
  <c r="HD324"/>
  <c r="HE324"/>
  <c r="HF324"/>
  <c r="HG324"/>
  <c r="HH324"/>
  <c r="HI324"/>
  <c r="HJ324"/>
  <c r="HK324"/>
  <c r="HL324"/>
  <c r="HM324"/>
  <c r="HN324"/>
  <c r="HO324"/>
  <c r="HP324"/>
  <c r="HQ324"/>
  <c r="HR324"/>
  <c r="HS324"/>
  <c r="HT324"/>
  <c r="HU324"/>
  <c r="HV324"/>
  <c r="HW324"/>
  <c r="HX324"/>
  <c r="HY324"/>
  <c r="HZ324"/>
  <c r="IA324"/>
  <c r="IB324"/>
  <c r="IC324"/>
  <c r="ID324"/>
  <c r="IE324"/>
  <c r="IF324"/>
  <c r="IG324"/>
  <c r="IH324"/>
  <c r="II324"/>
  <c r="IJ324"/>
  <c r="IK324"/>
  <c r="IL324"/>
  <c r="IM324"/>
  <c r="IN324"/>
  <c r="IO324"/>
  <c r="IP324"/>
  <c r="IQ324"/>
  <c r="IR324"/>
  <c r="IS324"/>
  <c r="IT324"/>
  <c r="IU324"/>
  <c r="IV324"/>
  <c r="A323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AT323"/>
  <c r="AU323"/>
  <c r="AV323"/>
  <c r="AW323"/>
  <c r="AX323"/>
  <c r="AY323"/>
  <c r="AZ323"/>
  <c r="BA323"/>
  <c r="BB323"/>
  <c r="BC323"/>
  <c r="BD323"/>
  <c r="BE323"/>
  <c r="BF323"/>
  <c r="BG323"/>
  <c r="BH323"/>
  <c r="BI323"/>
  <c r="BJ323"/>
  <c r="BK323"/>
  <c r="BL323"/>
  <c r="BM323"/>
  <c r="BN323"/>
  <c r="BO323"/>
  <c r="BP323"/>
  <c r="BQ323"/>
  <c r="BR323"/>
  <c r="BS323"/>
  <c r="BT323"/>
  <c r="BU323"/>
  <c r="BV323"/>
  <c r="BW323"/>
  <c r="BX323"/>
  <c r="BY323"/>
  <c r="BZ323"/>
  <c r="CA323"/>
  <c r="CB323"/>
  <c r="CC323"/>
  <c r="CD323"/>
  <c r="CE323"/>
  <c r="CF323"/>
  <c r="CG323"/>
  <c r="CH323"/>
  <c r="CI323"/>
  <c r="CJ323"/>
  <c r="CK323"/>
  <c r="CL323"/>
  <c r="CM323"/>
  <c r="CN323"/>
  <c r="CO323"/>
  <c r="CP323"/>
  <c r="CQ323"/>
  <c r="CR323"/>
  <c r="CS323"/>
  <c r="CT323"/>
  <c r="CU323"/>
  <c r="CV323"/>
  <c r="CW323"/>
  <c r="CX323"/>
  <c r="CY323"/>
  <c r="CZ323"/>
  <c r="DA323"/>
  <c r="DB323"/>
  <c r="DC323"/>
  <c r="DD323"/>
  <c r="DE323"/>
  <c r="DF323"/>
  <c r="DG323"/>
  <c r="DH323"/>
  <c r="DI323"/>
  <c r="DJ323"/>
  <c r="DK323"/>
  <c r="DL323"/>
  <c r="DM323"/>
  <c r="DN323"/>
  <c r="DO323"/>
  <c r="DP323"/>
  <c r="DQ323"/>
  <c r="DR323"/>
  <c r="DS323"/>
  <c r="DT323"/>
  <c r="DU323"/>
  <c r="DV323"/>
  <c r="DW323"/>
  <c r="DX323"/>
  <c r="DY323"/>
  <c r="DZ323"/>
  <c r="EA323"/>
  <c r="EB323"/>
  <c r="EC323"/>
  <c r="ED323"/>
  <c r="EE323"/>
  <c r="EF323"/>
  <c r="EG323"/>
  <c r="EH323"/>
  <c r="EI323"/>
  <c r="EJ323"/>
  <c r="EK323"/>
  <c r="EL323"/>
  <c r="EM323"/>
  <c r="EN323"/>
  <c r="EO323"/>
  <c r="EP323"/>
  <c r="EQ323"/>
  <c r="ER323"/>
  <c r="ES323"/>
  <c r="ET323"/>
  <c r="EU323"/>
  <c r="EV323"/>
  <c r="EW323"/>
  <c r="EX323"/>
  <c r="EY323"/>
  <c r="EZ323"/>
  <c r="FA323"/>
  <c r="FB323"/>
  <c r="FC323"/>
  <c r="FD323"/>
  <c r="FE323"/>
  <c r="FF323"/>
  <c r="FG323"/>
  <c r="FH323"/>
  <c r="FI323"/>
  <c r="FJ323"/>
  <c r="FK323"/>
  <c r="FL323"/>
  <c r="FM323"/>
  <c r="FN323"/>
  <c r="FO323"/>
  <c r="FP323"/>
  <c r="FQ323"/>
  <c r="FR323"/>
  <c r="FS323"/>
  <c r="FT323"/>
  <c r="FU323"/>
  <c r="FV323"/>
  <c r="FW323"/>
  <c r="FX323"/>
  <c r="FY323"/>
  <c r="FZ323"/>
  <c r="GA323"/>
  <c r="GB323"/>
  <c r="GC323"/>
  <c r="GD323"/>
  <c r="GE323"/>
  <c r="GF323"/>
  <c r="GG323"/>
  <c r="GH323"/>
  <c r="GI323"/>
  <c r="GJ323"/>
  <c r="GK323"/>
  <c r="GL323"/>
  <c r="GM323"/>
  <c r="GN323"/>
  <c r="GO323"/>
  <c r="GP323"/>
  <c r="GQ323"/>
  <c r="GR323"/>
  <c r="GS323"/>
  <c r="GT323"/>
  <c r="GU323"/>
  <c r="GV323"/>
  <c r="GW323"/>
  <c r="GX323"/>
  <c r="GY323"/>
  <c r="GZ323"/>
  <c r="HA323"/>
  <c r="HB323"/>
  <c r="HC323"/>
  <c r="HD323"/>
  <c r="HE323"/>
  <c r="HF323"/>
  <c r="HG323"/>
  <c r="HH323"/>
  <c r="HI323"/>
  <c r="HJ323"/>
  <c r="HK323"/>
  <c r="HL323"/>
  <c r="HM323"/>
  <c r="HN323"/>
  <c r="HO323"/>
  <c r="HP323"/>
  <c r="HQ323"/>
  <c r="HR323"/>
  <c r="HS323"/>
  <c r="HT323"/>
  <c r="HU323"/>
  <c r="HV323"/>
  <c r="HW323"/>
  <c r="HX323"/>
  <c r="HY323"/>
  <c r="HZ323"/>
  <c r="IA323"/>
  <c r="IB323"/>
  <c r="IC323"/>
  <c r="ID323"/>
  <c r="IE323"/>
  <c r="IF323"/>
  <c r="IG323"/>
  <c r="IH323"/>
  <c r="II323"/>
  <c r="IJ323"/>
  <c r="IK323"/>
  <c r="IL323"/>
  <c r="IM323"/>
  <c r="IN323"/>
  <c r="IO323"/>
  <c r="IP323"/>
  <c r="IQ323"/>
  <c r="IR323"/>
  <c r="IS323"/>
  <c r="IT323"/>
  <c r="IU323"/>
  <c r="IV323"/>
  <c r="A322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AT322"/>
  <c r="AU322"/>
  <c r="AV322"/>
  <c r="AW322"/>
  <c r="AX322"/>
  <c r="AY322"/>
  <c r="AZ322"/>
  <c r="BA322"/>
  <c r="BB322"/>
  <c r="BC322"/>
  <c r="BD322"/>
  <c r="BE322"/>
  <c r="BF322"/>
  <c r="BG322"/>
  <c r="BH322"/>
  <c r="BI322"/>
  <c r="BJ322"/>
  <c r="BK322"/>
  <c r="BL322"/>
  <c r="BM322"/>
  <c r="BN322"/>
  <c r="BO322"/>
  <c r="BP322"/>
  <c r="BQ322"/>
  <c r="BR322"/>
  <c r="BS322"/>
  <c r="BT322"/>
  <c r="BU322"/>
  <c r="BV322"/>
  <c r="BW322"/>
  <c r="BX322"/>
  <c r="BY322"/>
  <c r="BZ322"/>
  <c r="CA322"/>
  <c r="CB322"/>
  <c r="CC322"/>
  <c r="CD322"/>
  <c r="CE322"/>
  <c r="CF322"/>
  <c r="CG322"/>
  <c r="CH322"/>
  <c r="CI322"/>
  <c r="CJ322"/>
  <c r="CK322"/>
  <c r="CL322"/>
  <c r="CM322"/>
  <c r="CN322"/>
  <c r="CO322"/>
  <c r="CP322"/>
  <c r="CQ322"/>
  <c r="CR322"/>
  <c r="CS322"/>
  <c r="CT322"/>
  <c r="CU322"/>
  <c r="CV322"/>
  <c r="CW322"/>
  <c r="CX322"/>
  <c r="CY322"/>
  <c r="CZ322"/>
  <c r="DA322"/>
  <c r="DB322"/>
  <c r="DC322"/>
  <c r="DD322"/>
  <c r="DE322"/>
  <c r="DF322"/>
  <c r="DG322"/>
  <c r="DH322"/>
  <c r="DI322"/>
  <c r="DJ322"/>
  <c r="DK322"/>
  <c r="DL322"/>
  <c r="DM322"/>
  <c r="DN322"/>
  <c r="DO322"/>
  <c r="DP322"/>
  <c r="DQ322"/>
  <c r="DR322"/>
  <c r="DS322"/>
  <c r="DT322"/>
  <c r="DU322"/>
  <c r="DV322"/>
  <c r="DW322"/>
  <c r="DX322"/>
  <c r="DY322"/>
  <c r="DZ322"/>
  <c r="EA322"/>
  <c r="EB322"/>
  <c r="EC322"/>
  <c r="ED322"/>
  <c r="EE322"/>
  <c r="EF322"/>
  <c r="EG322"/>
  <c r="EH322"/>
  <c r="EI322"/>
  <c r="EJ322"/>
  <c r="EK322"/>
  <c r="EL322"/>
  <c r="EM322"/>
  <c r="EN322"/>
  <c r="EO322"/>
  <c r="EP322"/>
  <c r="EQ322"/>
  <c r="ER322"/>
  <c r="ES322"/>
  <c r="ET322"/>
  <c r="EU322"/>
  <c r="EV322"/>
  <c r="EW322"/>
  <c r="EX322"/>
  <c r="EY322"/>
  <c r="EZ322"/>
  <c r="FA322"/>
  <c r="FB322"/>
  <c r="FC322"/>
  <c r="FD322"/>
  <c r="FE322"/>
  <c r="FF322"/>
  <c r="FG322"/>
  <c r="FH322"/>
  <c r="FI322"/>
  <c r="FJ322"/>
  <c r="FK322"/>
  <c r="FL322"/>
  <c r="FM322"/>
  <c r="FN322"/>
  <c r="FO322"/>
  <c r="FP322"/>
  <c r="FQ322"/>
  <c r="FR322"/>
  <c r="FS322"/>
  <c r="FT322"/>
  <c r="FU322"/>
  <c r="FV322"/>
  <c r="FW322"/>
  <c r="FX322"/>
  <c r="FY322"/>
  <c r="FZ322"/>
  <c r="GA322"/>
  <c r="GB322"/>
  <c r="GC322"/>
  <c r="GD322"/>
  <c r="GE322"/>
  <c r="GF322"/>
  <c r="GG322"/>
  <c r="GH322"/>
  <c r="GI322"/>
  <c r="GJ322"/>
  <c r="GK322"/>
  <c r="GL322"/>
  <c r="GM322"/>
  <c r="GN322"/>
  <c r="GO322"/>
  <c r="GP322"/>
  <c r="GQ322"/>
  <c r="GR322"/>
  <c r="GS322"/>
  <c r="GT322"/>
  <c r="GU322"/>
  <c r="GV322"/>
  <c r="GW322"/>
  <c r="GX322"/>
  <c r="GY322"/>
  <c r="GZ322"/>
  <c r="HA322"/>
  <c r="HB322"/>
  <c r="HC322"/>
  <c r="HD322"/>
  <c r="HE322"/>
  <c r="HF322"/>
  <c r="HG322"/>
  <c r="HH322"/>
  <c r="HI322"/>
  <c r="HJ322"/>
  <c r="HK322"/>
  <c r="HL322"/>
  <c r="HM322"/>
  <c r="HN322"/>
  <c r="HO322"/>
  <c r="HP322"/>
  <c r="HQ322"/>
  <c r="HR322"/>
  <c r="HS322"/>
  <c r="HT322"/>
  <c r="HU322"/>
  <c r="HV322"/>
  <c r="HW322"/>
  <c r="HX322"/>
  <c r="HY322"/>
  <c r="HZ322"/>
  <c r="IA322"/>
  <c r="IB322"/>
  <c r="IC322"/>
  <c r="ID322"/>
  <c r="IE322"/>
  <c r="IF322"/>
  <c r="IG322"/>
  <c r="IH322"/>
  <c r="II322"/>
  <c r="IJ322"/>
  <c r="IK322"/>
  <c r="IL322"/>
  <c r="IM322"/>
  <c r="IN322"/>
  <c r="IO322"/>
  <c r="IP322"/>
  <c r="IQ322"/>
  <c r="IR322"/>
  <c r="IS322"/>
  <c r="IT322"/>
  <c r="IU322"/>
  <c r="IV322"/>
  <c r="A321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AT321"/>
  <c r="AU321"/>
  <c r="AV321"/>
  <c r="AW321"/>
  <c r="AX321"/>
  <c r="AY321"/>
  <c r="AZ321"/>
  <c r="BA321"/>
  <c r="BB321"/>
  <c r="BC321"/>
  <c r="BD321"/>
  <c r="BE321"/>
  <c r="BF321"/>
  <c r="BG321"/>
  <c r="BH321"/>
  <c r="BI321"/>
  <c r="BJ321"/>
  <c r="BK321"/>
  <c r="BL321"/>
  <c r="BM321"/>
  <c r="BN321"/>
  <c r="BO321"/>
  <c r="BP321"/>
  <c r="BQ321"/>
  <c r="BR321"/>
  <c r="BS321"/>
  <c r="BT321"/>
  <c r="BU321"/>
  <c r="BV321"/>
  <c r="BW321"/>
  <c r="BX321"/>
  <c r="BY321"/>
  <c r="BZ321"/>
  <c r="CA321"/>
  <c r="CB321"/>
  <c r="CC321"/>
  <c r="CD321"/>
  <c r="CE321"/>
  <c r="CF321"/>
  <c r="CG321"/>
  <c r="CH321"/>
  <c r="CI321"/>
  <c r="CJ321"/>
  <c r="CK321"/>
  <c r="CL321"/>
  <c r="CM321"/>
  <c r="CN321"/>
  <c r="CO321"/>
  <c r="CP321"/>
  <c r="CQ321"/>
  <c r="CR321"/>
  <c r="CS321"/>
  <c r="CT321"/>
  <c r="CU321"/>
  <c r="CV321"/>
  <c r="CW321"/>
  <c r="CX321"/>
  <c r="CY321"/>
  <c r="CZ321"/>
  <c r="DA321"/>
  <c r="DB321"/>
  <c r="DC321"/>
  <c r="DD321"/>
  <c r="DE321"/>
  <c r="DF321"/>
  <c r="DG321"/>
  <c r="DH321"/>
  <c r="DI321"/>
  <c r="DJ321"/>
  <c r="DK321"/>
  <c r="DL321"/>
  <c r="DM321"/>
  <c r="DN321"/>
  <c r="DO321"/>
  <c r="DP321"/>
  <c r="DQ321"/>
  <c r="DR321"/>
  <c r="DS321"/>
  <c r="DT321"/>
  <c r="DU321"/>
  <c r="DV321"/>
  <c r="DW321"/>
  <c r="DX321"/>
  <c r="DY321"/>
  <c r="DZ321"/>
  <c r="EA321"/>
  <c r="EB321"/>
  <c r="EC321"/>
  <c r="ED321"/>
  <c r="EE321"/>
  <c r="EF321"/>
  <c r="EG321"/>
  <c r="EH321"/>
  <c r="EI321"/>
  <c r="EJ321"/>
  <c r="EK321"/>
  <c r="EL321"/>
  <c r="EM321"/>
  <c r="EN321"/>
  <c r="EO321"/>
  <c r="EP321"/>
  <c r="EQ321"/>
  <c r="ER321"/>
  <c r="ES321"/>
  <c r="ET321"/>
  <c r="EU321"/>
  <c r="EV321"/>
  <c r="EW321"/>
  <c r="EX321"/>
  <c r="EY321"/>
  <c r="EZ321"/>
  <c r="FA321"/>
  <c r="FB321"/>
  <c r="FC321"/>
  <c r="FD321"/>
  <c r="FE321"/>
  <c r="FF321"/>
  <c r="FG321"/>
  <c r="FH321"/>
  <c r="FI321"/>
  <c r="FJ321"/>
  <c r="FK321"/>
  <c r="FL321"/>
  <c r="FM321"/>
  <c r="FN321"/>
  <c r="FO321"/>
  <c r="FP321"/>
  <c r="FQ321"/>
  <c r="FR321"/>
  <c r="FS321"/>
  <c r="FT321"/>
  <c r="FU321"/>
  <c r="FV321"/>
  <c r="FW321"/>
  <c r="FX321"/>
  <c r="FY321"/>
  <c r="FZ321"/>
  <c r="GA321"/>
  <c r="GB321"/>
  <c r="GC321"/>
  <c r="GD321"/>
  <c r="GE321"/>
  <c r="GF321"/>
  <c r="GG321"/>
  <c r="GH321"/>
  <c r="GI321"/>
  <c r="GJ321"/>
  <c r="GK321"/>
  <c r="GL321"/>
  <c r="GM321"/>
  <c r="GN321"/>
  <c r="GO321"/>
  <c r="GP321"/>
  <c r="GQ321"/>
  <c r="GR321"/>
  <c r="GS321"/>
  <c r="GT321"/>
  <c r="GU321"/>
  <c r="GV321"/>
  <c r="GW321"/>
  <c r="GX321"/>
  <c r="GY321"/>
  <c r="GZ321"/>
  <c r="HA321"/>
  <c r="HB321"/>
  <c r="HC321"/>
  <c r="HD321"/>
  <c r="HE321"/>
  <c r="HF321"/>
  <c r="HG321"/>
  <c r="HH321"/>
  <c r="HI321"/>
  <c r="HJ321"/>
  <c r="HK321"/>
  <c r="HL321"/>
  <c r="HM321"/>
  <c r="HN321"/>
  <c r="HO321"/>
  <c r="HP321"/>
  <c r="HQ321"/>
  <c r="HR321"/>
  <c r="HS321"/>
  <c r="HT321"/>
  <c r="HU321"/>
  <c r="HV321"/>
  <c r="HW321"/>
  <c r="HX321"/>
  <c r="HY321"/>
  <c r="HZ321"/>
  <c r="IA321"/>
  <c r="IB321"/>
  <c r="IC321"/>
  <c r="ID321"/>
  <c r="IE321"/>
  <c r="IF321"/>
  <c r="IG321"/>
  <c r="IH321"/>
  <c r="II321"/>
  <c r="IJ321"/>
  <c r="IK321"/>
  <c r="IL321"/>
  <c r="IM321"/>
  <c r="IN321"/>
  <c r="IO321"/>
  <c r="IP321"/>
  <c r="IQ321"/>
  <c r="IR321"/>
  <c r="IS321"/>
  <c r="IT321"/>
  <c r="IU321"/>
  <c r="IV321"/>
  <c r="A320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AV320"/>
  <c r="AW320"/>
  <c r="AX320"/>
  <c r="AY320"/>
  <c r="AZ320"/>
  <c r="BA320"/>
  <c r="BB320"/>
  <c r="BC320"/>
  <c r="BD320"/>
  <c r="BE320"/>
  <c r="BF320"/>
  <c r="BG320"/>
  <c r="BH320"/>
  <c r="BI320"/>
  <c r="BJ320"/>
  <c r="BK320"/>
  <c r="BL320"/>
  <c r="BM320"/>
  <c r="BN320"/>
  <c r="BO320"/>
  <c r="BP320"/>
  <c r="BQ320"/>
  <c r="BR320"/>
  <c r="BS320"/>
  <c r="BT320"/>
  <c r="BU320"/>
  <c r="BV320"/>
  <c r="BW320"/>
  <c r="BX320"/>
  <c r="BY320"/>
  <c r="BZ320"/>
  <c r="CA320"/>
  <c r="CB320"/>
  <c r="CC320"/>
  <c r="CD320"/>
  <c r="CE320"/>
  <c r="CF320"/>
  <c r="CG320"/>
  <c r="CH320"/>
  <c r="CI320"/>
  <c r="CJ320"/>
  <c r="CK320"/>
  <c r="CL320"/>
  <c r="CM320"/>
  <c r="CN320"/>
  <c r="CO320"/>
  <c r="CP320"/>
  <c r="CQ320"/>
  <c r="CR320"/>
  <c r="CS320"/>
  <c r="CT320"/>
  <c r="CU320"/>
  <c r="CV320"/>
  <c r="CW320"/>
  <c r="CX320"/>
  <c r="CY320"/>
  <c r="CZ320"/>
  <c r="DA320"/>
  <c r="DB320"/>
  <c r="DC320"/>
  <c r="DD320"/>
  <c r="DE320"/>
  <c r="DF320"/>
  <c r="DG320"/>
  <c r="DH320"/>
  <c r="DI320"/>
  <c r="DJ320"/>
  <c r="DK320"/>
  <c r="DL320"/>
  <c r="DM320"/>
  <c r="DN320"/>
  <c r="DO320"/>
  <c r="DP320"/>
  <c r="DQ320"/>
  <c r="DR320"/>
  <c r="DS320"/>
  <c r="DT320"/>
  <c r="DU320"/>
  <c r="DV320"/>
  <c r="DW320"/>
  <c r="DX320"/>
  <c r="DY320"/>
  <c r="DZ320"/>
  <c r="EA320"/>
  <c r="EB320"/>
  <c r="EC320"/>
  <c r="ED320"/>
  <c r="EE320"/>
  <c r="EF320"/>
  <c r="EG320"/>
  <c r="EH320"/>
  <c r="EI320"/>
  <c r="EJ320"/>
  <c r="EK320"/>
  <c r="EL320"/>
  <c r="EM320"/>
  <c r="EN320"/>
  <c r="EO320"/>
  <c r="EP320"/>
  <c r="EQ320"/>
  <c r="ER320"/>
  <c r="ES320"/>
  <c r="ET320"/>
  <c r="EU320"/>
  <c r="EV320"/>
  <c r="EW320"/>
  <c r="EX320"/>
  <c r="EY320"/>
  <c r="EZ320"/>
  <c r="FA320"/>
  <c r="FB320"/>
  <c r="FC320"/>
  <c r="FD320"/>
  <c r="FE320"/>
  <c r="FF320"/>
  <c r="FG320"/>
  <c r="FH320"/>
  <c r="FI320"/>
  <c r="FJ320"/>
  <c r="FK320"/>
  <c r="FL320"/>
  <c r="FM320"/>
  <c r="FN320"/>
  <c r="FO320"/>
  <c r="FP320"/>
  <c r="FQ320"/>
  <c r="FR320"/>
  <c r="FS320"/>
  <c r="FT320"/>
  <c r="FU320"/>
  <c r="FV320"/>
  <c r="FW320"/>
  <c r="FX320"/>
  <c r="FY320"/>
  <c r="FZ320"/>
  <c r="GA320"/>
  <c r="GB320"/>
  <c r="GC320"/>
  <c r="GD320"/>
  <c r="GE320"/>
  <c r="GF320"/>
  <c r="GG320"/>
  <c r="GH320"/>
  <c r="GI320"/>
  <c r="GJ320"/>
  <c r="GK320"/>
  <c r="GL320"/>
  <c r="GM320"/>
  <c r="GN320"/>
  <c r="GO320"/>
  <c r="GP320"/>
  <c r="GQ320"/>
  <c r="GR320"/>
  <c r="GS320"/>
  <c r="GT320"/>
  <c r="GU320"/>
  <c r="GV320"/>
  <c r="GW320"/>
  <c r="GX320"/>
  <c r="GY320"/>
  <c r="GZ320"/>
  <c r="HA320"/>
  <c r="HB320"/>
  <c r="HC320"/>
  <c r="HD320"/>
  <c r="HE320"/>
  <c r="HF320"/>
  <c r="HG320"/>
  <c r="HH320"/>
  <c r="HI320"/>
  <c r="HJ320"/>
  <c r="HK320"/>
  <c r="HL320"/>
  <c r="HM320"/>
  <c r="HN320"/>
  <c r="HO320"/>
  <c r="HP320"/>
  <c r="HQ320"/>
  <c r="HR320"/>
  <c r="HS320"/>
  <c r="HT320"/>
  <c r="HU320"/>
  <c r="HV320"/>
  <c r="HW320"/>
  <c r="HX320"/>
  <c r="HY320"/>
  <c r="HZ320"/>
  <c r="IA320"/>
  <c r="IB320"/>
  <c r="IC320"/>
  <c r="ID320"/>
  <c r="IE320"/>
  <c r="IF320"/>
  <c r="IG320"/>
  <c r="IH320"/>
  <c r="II320"/>
  <c r="IJ320"/>
  <c r="IK320"/>
  <c r="IL320"/>
  <c r="IM320"/>
  <c r="IN320"/>
  <c r="IO320"/>
  <c r="IP320"/>
  <c r="IQ320"/>
  <c r="IR320"/>
  <c r="IS320"/>
  <c r="IT320"/>
  <c r="IU320"/>
  <c r="IV320"/>
  <c r="A319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AV319"/>
  <c r="AW319"/>
  <c r="AX319"/>
  <c r="AY319"/>
  <c r="AZ319"/>
  <c r="BA319"/>
  <c r="BB319"/>
  <c r="BC319"/>
  <c r="BD319"/>
  <c r="BE319"/>
  <c r="BF319"/>
  <c r="BG319"/>
  <c r="BH319"/>
  <c r="BI319"/>
  <c r="BJ319"/>
  <c r="BK319"/>
  <c r="BL319"/>
  <c r="BM319"/>
  <c r="BN319"/>
  <c r="BO319"/>
  <c r="BP319"/>
  <c r="BQ319"/>
  <c r="BR319"/>
  <c r="BS319"/>
  <c r="BT319"/>
  <c r="BU319"/>
  <c r="BV319"/>
  <c r="BW319"/>
  <c r="BX319"/>
  <c r="BY319"/>
  <c r="BZ319"/>
  <c r="CA319"/>
  <c r="CB319"/>
  <c r="CC319"/>
  <c r="CD319"/>
  <c r="CE319"/>
  <c r="CF319"/>
  <c r="CG319"/>
  <c r="CH319"/>
  <c r="CI319"/>
  <c r="CJ319"/>
  <c r="CK319"/>
  <c r="CL319"/>
  <c r="CM319"/>
  <c r="CN319"/>
  <c r="CO319"/>
  <c r="CP319"/>
  <c r="CQ319"/>
  <c r="CR319"/>
  <c r="CS319"/>
  <c r="CT319"/>
  <c r="CU319"/>
  <c r="CV319"/>
  <c r="CW319"/>
  <c r="CX319"/>
  <c r="CY319"/>
  <c r="CZ319"/>
  <c r="DA319"/>
  <c r="DB319"/>
  <c r="DC319"/>
  <c r="DD319"/>
  <c r="DE319"/>
  <c r="DF319"/>
  <c r="DG319"/>
  <c r="DH319"/>
  <c r="DI319"/>
  <c r="DJ319"/>
  <c r="DK319"/>
  <c r="DL319"/>
  <c r="DM319"/>
  <c r="DN319"/>
  <c r="DO319"/>
  <c r="DP319"/>
  <c r="DQ319"/>
  <c r="DR319"/>
  <c r="DS319"/>
  <c r="DT319"/>
  <c r="DU319"/>
  <c r="DV319"/>
  <c r="DW319"/>
  <c r="DX319"/>
  <c r="DY319"/>
  <c r="DZ319"/>
  <c r="EA319"/>
  <c r="EB319"/>
  <c r="EC319"/>
  <c r="ED319"/>
  <c r="EE319"/>
  <c r="EF319"/>
  <c r="EG319"/>
  <c r="EH319"/>
  <c r="EI319"/>
  <c r="EJ319"/>
  <c r="EK319"/>
  <c r="EL319"/>
  <c r="EM319"/>
  <c r="EN319"/>
  <c r="EO319"/>
  <c r="EP319"/>
  <c r="EQ319"/>
  <c r="ER319"/>
  <c r="ES319"/>
  <c r="ET319"/>
  <c r="EU319"/>
  <c r="EV319"/>
  <c r="EW319"/>
  <c r="EX319"/>
  <c r="EY319"/>
  <c r="EZ319"/>
  <c r="FA319"/>
  <c r="FB319"/>
  <c r="FC319"/>
  <c r="FD319"/>
  <c r="FE319"/>
  <c r="FF319"/>
  <c r="FG319"/>
  <c r="FH319"/>
  <c r="FI319"/>
  <c r="FJ319"/>
  <c r="FK319"/>
  <c r="FL319"/>
  <c r="FM319"/>
  <c r="FN319"/>
  <c r="FO319"/>
  <c r="FP319"/>
  <c r="FQ319"/>
  <c r="FR319"/>
  <c r="FS319"/>
  <c r="FT319"/>
  <c r="FU319"/>
  <c r="FV319"/>
  <c r="FW319"/>
  <c r="FX319"/>
  <c r="FY319"/>
  <c r="FZ319"/>
  <c r="GA319"/>
  <c r="GB319"/>
  <c r="GC319"/>
  <c r="GD319"/>
  <c r="GE319"/>
  <c r="GF319"/>
  <c r="GG319"/>
  <c r="GH319"/>
  <c r="GI319"/>
  <c r="GJ319"/>
  <c r="GK319"/>
  <c r="GL319"/>
  <c r="GM319"/>
  <c r="GN319"/>
  <c r="GO319"/>
  <c r="GP319"/>
  <c r="GQ319"/>
  <c r="GR319"/>
  <c r="GS319"/>
  <c r="GT319"/>
  <c r="GU319"/>
  <c r="GV319"/>
  <c r="GW319"/>
  <c r="GX319"/>
  <c r="GY319"/>
  <c r="GZ319"/>
  <c r="HA319"/>
  <c r="HB319"/>
  <c r="HC319"/>
  <c r="HD319"/>
  <c r="HE319"/>
  <c r="HF319"/>
  <c r="HG319"/>
  <c r="HH319"/>
  <c r="HI319"/>
  <c r="HJ319"/>
  <c r="HK319"/>
  <c r="HL319"/>
  <c r="HM319"/>
  <c r="HN319"/>
  <c r="HO319"/>
  <c r="HP319"/>
  <c r="HQ319"/>
  <c r="HR319"/>
  <c r="HS319"/>
  <c r="HT319"/>
  <c r="HU319"/>
  <c r="HV319"/>
  <c r="HW319"/>
  <c r="HX319"/>
  <c r="HY319"/>
  <c r="HZ319"/>
  <c r="IA319"/>
  <c r="IB319"/>
  <c r="IC319"/>
  <c r="ID319"/>
  <c r="IE319"/>
  <c r="IF319"/>
  <c r="IG319"/>
  <c r="IH319"/>
  <c r="II319"/>
  <c r="IJ319"/>
  <c r="IK319"/>
  <c r="IL319"/>
  <c r="IM319"/>
  <c r="IN319"/>
  <c r="IO319"/>
  <c r="IP319"/>
  <c r="IQ319"/>
  <c r="IR319"/>
  <c r="IS319"/>
  <c r="IT319"/>
  <c r="IU319"/>
  <c r="IV319"/>
  <c r="A318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AT318"/>
  <c r="AU318"/>
  <c r="AV318"/>
  <c r="AW318"/>
  <c r="AX318"/>
  <c r="AY318"/>
  <c r="AZ318"/>
  <c r="BA318"/>
  <c r="BB318"/>
  <c r="BC318"/>
  <c r="BD318"/>
  <c r="BE318"/>
  <c r="BF318"/>
  <c r="BG318"/>
  <c r="BH318"/>
  <c r="BI318"/>
  <c r="BJ318"/>
  <c r="BK318"/>
  <c r="BL318"/>
  <c r="BM318"/>
  <c r="BN318"/>
  <c r="BO318"/>
  <c r="BP318"/>
  <c r="BQ318"/>
  <c r="BR318"/>
  <c r="BS318"/>
  <c r="BT318"/>
  <c r="BU318"/>
  <c r="BV318"/>
  <c r="BW318"/>
  <c r="BX318"/>
  <c r="BY318"/>
  <c r="BZ318"/>
  <c r="CA318"/>
  <c r="CB318"/>
  <c r="CC318"/>
  <c r="CD318"/>
  <c r="CE318"/>
  <c r="CF318"/>
  <c r="CG318"/>
  <c r="CH318"/>
  <c r="CI318"/>
  <c r="CJ318"/>
  <c r="CK318"/>
  <c r="CL318"/>
  <c r="CM318"/>
  <c r="CN318"/>
  <c r="CO318"/>
  <c r="CP318"/>
  <c r="CQ318"/>
  <c r="CR318"/>
  <c r="CS318"/>
  <c r="CT318"/>
  <c r="CU318"/>
  <c r="CV318"/>
  <c r="CW318"/>
  <c r="CX318"/>
  <c r="CY318"/>
  <c r="CZ318"/>
  <c r="DA318"/>
  <c r="DB318"/>
  <c r="DC318"/>
  <c r="DD318"/>
  <c r="DE318"/>
  <c r="DF318"/>
  <c r="DG318"/>
  <c r="DH318"/>
  <c r="DI318"/>
  <c r="DJ318"/>
  <c r="DK318"/>
  <c r="DL318"/>
  <c r="DM318"/>
  <c r="DN318"/>
  <c r="DO318"/>
  <c r="DP318"/>
  <c r="DQ318"/>
  <c r="DR318"/>
  <c r="DS318"/>
  <c r="DT318"/>
  <c r="DU318"/>
  <c r="DV318"/>
  <c r="DW318"/>
  <c r="DX318"/>
  <c r="DY318"/>
  <c r="DZ318"/>
  <c r="EA318"/>
  <c r="EB318"/>
  <c r="EC318"/>
  <c r="ED318"/>
  <c r="EE318"/>
  <c r="EF318"/>
  <c r="EG318"/>
  <c r="EH318"/>
  <c r="EI318"/>
  <c r="EJ318"/>
  <c r="EK318"/>
  <c r="EL318"/>
  <c r="EM318"/>
  <c r="EN318"/>
  <c r="EO318"/>
  <c r="EP318"/>
  <c r="EQ318"/>
  <c r="ER318"/>
  <c r="ES318"/>
  <c r="ET318"/>
  <c r="EU318"/>
  <c r="EV318"/>
  <c r="EW318"/>
  <c r="EX318"/>
  <c r="EY318"/>
  <c r="EZ318"/>
  <c r="FA318"/>
  <c r="FB318"/>
  <c r="FC318"/>
  <c r="FD318"/>
  <c r="FE318"/>
  <c r="FF318"/>
  <c r="FG318"/>
  <c r="FH318"/>
  <c r="FI318"/>
  <c r="FJ318"/>
  <c r="FK318"/>
  <c r="FL318"/>
  <c r="FM318"/>
  <c r="FN318"/>
  <c r="FO318"/>
  <c r="FP318"/>
  <c r="FQ318"/>
  <c r="FR318"/>
  <c r="FS318"/>
  <c r="FT318"/>
  <c r="FU318"/>
  <c r="FV318"/>
  <c r="FW318"/>
  <c r="FX318"/>
  <c r="FY318"/>
  <c r="FZ318"/>
  <c r="GA318"/>
  <c r="GB318"/>
  <c r="GC318"/>
  <c r="GD318"/>
  <c r="GE318"/>
  <c r="GF318"/>
  <c r="GG318"/>
  <c r="GH318"/>
  <c r="GI318"/>
  <c r="GJ318"/>
  <c r="GK318"/>
  <c r="GL318"/>
  <c r="GM318"/>
  <c r="GN318"/>
  <c r="GO318"/>
  <c r="GP318"/>
  <c r="GQ318"/>
  <c r="GR318"/>
  <c r="GS318"/>
  <c r="GT318"/>
  <c r="GU318"/>
  <c r="GV318"/>
  <c r="GW318"/>
  <c r="GX318"/>
  <c r="GY318"/>
  <c r="GZ318"/>
  <c r="HA318"/>
  <c r="HB318"/>
  <c r="HC318"/>
  <c r="HD318"/>
  <c r="HE318"/>
  <c r="HF318"/>
  <c r="HG318"/>
  <c r="HH318"/>
  <c r="HI318"/>
  <c r="HJ318"/>
  <c r="HK318"/>
  <c r="HL318"/>
  <c r="HM318"/>
  <c r="HN318"/>
  <c r="HO318"/>
  <c r="HP318"/>
  <c r="HQ318"/>
  <c r="HR318"/>
  <c r="HS318"/>
  <c r="HT318"/>
  <c r="HU318"/>
  <c r="HV318"/>
  <c r="HW318"/>
  <c r="HX318"/>
  <c r="HY318"/>
  <c r="HZ318"/>
  <c r="IA318"/>
  <c r="IB318"/>
  <c r="IC318"/>
  <c r="ID318"/>
  <c r="IE318"/>
  <c r="IF318"/>
  <c r="IG318"/>
  <c r="IH318"/>
  <c r="II318"/>
  <c r="IJ318"/>
  <c r="IK318"/>
  <c r="IL318"/>
  <c r="IM318"/>
  <c r="IN318"/>
  <c r="IO318"/>
  <c r="IP318"/>
  <c r="IQ318"/>
  <c r="IR318"/>
  <c r="IS318"/>
  <c r="IT318"/>
  <c r="IU318"/>
  <c r="IV318"/>
  <c r="A317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AT317"/>
  <c r="AU317"/>
  <c r="AV317"/>
  <c r="AW317"/>
  <c r="AX317"/>
  <c r="AY317"/>
  <c r="AZ317"/>
  <c r="BA317"/>
  <c r="BB317"/>
  <c r="BC317"/>
  <c r="BD317"/>
  <c r="BE317"/>
  <c r="BF317"/>
  <c r="BG317"/>
  <c r="BH317"/>
  <c r="BI317"/>
  <c r="BJ317"/>
  <c r="BK317"/>
  <c r="BL317"/>
  <c r="BM317"/>
  <c r="BN317"/>
  <c r="BO317"/>
  <c r="BP317"/>
  <c r="BQ317"/>
  <c r="BR317"/>
  <c r="BS317"/>
  <c r="BT317"/>
  <c r="BU317"/>
  <c r="BV317"/>
  <c r="BW317"/>
  <c r="BX317"/>
  <c r="BY317"/>
  <c r="BZ317"/>
  <c r="CA317"/>
  <c r="CB317"/>
  <c r="CC317"/>
  <c r="CD317"/>
  <c r="CE317"/>
  <c r="CF317"/>
  <c r="CG317"/>
  <c r="CH317"/>
  <c r="CI317"/>
  <c r="CJ317"/>
  <c r="CK317"/>
  <c r="CL317"/>
  <c r="CM317"/>
  <c r="CN317"/>
  <c r="CO317"/>
  <c r="CP317"/>
  <c r="CQ317"/>
  <c r="CR317"/>
  <c r="CS317"/>
  <c r="CT317"/>
  <c r="CU317"/>
  <c r="CV317"/>
  <c r="CW317"/>
  <c r="CX317"/>
  <c r="CY317"/>
  <c r="CZ317"/>
  <c r="DA317"/>
  <c r="DB317"/>
  <c r="DC317"/>
  <c r="DD317"/>
  <c r="DE317"/>
  <c r="DF317"/>
  <c r="DG317"/>
  <c r="DH317"/>
  <c r="DI317"/>
  <c r="DJ317"/>
  <c r="DK317"/>
  <c r="DL317"/>
  <c r="DM317"/>
  <c r="DN317"/>
  <c r="DO317"/>
  <c r="DP317"/>
  <c r="DQ317"/>
  <c r="DR317"/>
  <c r="DS317"/>
  <c r="DT317"/>
  <c r="DU317"/>
  <c r="DV317"/>
  <c r="DW317"/>
  <c r="DX317"/>
  <c r="DY317"/>
  <c r="DZ317"/>
  <c r="EA317"/>
  <c r="EB317"/>
  <c r="EC317"/>
  <c r="ED317"/>
  <c r="EE317"/>
  <c r="EF317"/>
  <c r="EG317"/>
  <c r="EH317"/>
  <c r="EI317"/>
  <c r="EJ317"/>
  <c r="EK317"/>
  <c r="EL317"/>
  <c r="EM317"/>
  <c r="EN317"/>
  <c r="EO317"/>
  <c r="EP317"/>
  <c r="EQ317"/>
  <c r="ER317"/>
  <c r="ES317"/>
  <c r="ET317"/>
  <c r="EU317"/>
  <c r="EV317"/>
  <c r="EW317"/>
  <c r="EX317"/>
  <c r="EY317"/>
  <c r="EZ317"/>
  <c r="FA317"/>
  <c r="FB317"/>
  <c r="FC317"/>
  <c r="FD317"/>
  <c r="FE317"/>
  <c r="FF317"/>
  <c r="FG317"/>
  <c r="FH317"/>
  <c r="FI317"/>
  <c r="FJ317"/>
  <c r="FK317"/>
  <c r="FL317"/>
  <c r="FM317"/>
  <c r="FN317"/>
  <c r="FO317"/>
  <c r="FP317"/>
  <c r="FQ317"/>
  <c r="FR317"/>
  <c r="FS317"/>
  <c r="FT317"/>
  <c r="FU317"/>
  <c r="FV317"/>
  <c r="FW317"/>
  <c r="FX317"/>
  <c r="FY317"/>
  <c r="FZ317"/>
  <c r="GA317"/>
  <c r="GB317"/>
  <c r="GC317"/>
  <c r="GD317"/>
  <c r="GE317"/>
  <c r="GF317"/>
  <c r="GG317"/>
  <c r="GH317"/>
  <c r="GI317"/>
  <c r="GJ317"/>
  <c r="GK317"/>
  <c r="GL317"/>
  <c r="GM317"/>
  <c r="GN317"/>
  <c r="GO317"/>
  <c r="GP317"/>
  <c r="GQ317"/>
  <c r="GR317"/>
  <c r="GS317"/>
  <c r="GT317"/>
  <c r="GU317"/>
  <c r="GV317"/>
  <c r="GW317"/>
  <c r="GX317"/>
  <c r="GY317"/>
  <c r="GZ317"/>
  <c r="HA317"/>
  <c r="HB317"/>
  <c r="HC317"/>
  <c r="HD317"/>
  <c r="HE317"/>
  <c r="HF317"/>
  <c r="HG317"/>
  <c r="HH317"/>
  <c r="HI317"/>
  <c r="HJ317"/>
  <c r="HK317"/>
  <c r="HL317"/>
  <c r="HM317"/>
  <c r="HN317"/>
  <c r="HO317"/>
  <c r="HP317"/>
  <c r="HQ317"/>
  <c r="HR317"/>
  <c r="HS317"/>
  <c r="HT317"/>
  <c r="HU317"/>
  <c r="HV317"/>
  <c r="HW317"/>
  <c r="HX317"/>
  <c r="HY317"/>
  <c r="HZ317"/>
  <c r="IA317"/>
  <c r="IB317"/>
  <c r="IC317"/>
  <c r="ID317"/>
  <c r="IE317"/>
  <c r="IF317"/>
  <c r="IG317"/>
  <c r="IH317"/>
  <c r="II317"/>
  <c r="IJ317"/>
  <c r="IK317"/>
  <c r="IL317"/>
  <c r="IM317"/>
  <c r="IN317"/>
  <c r="IO317"/>
  <c r="IP317"/>
  <c r="IQ317"/>
  <c r="IR317"/>
  <c r="IS317"/>
  <c r="IT317"/>
  <c r="IU317"/>
  <c r="IV317"/>
  <c r="A316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AT316"/>
  <c r="AU316"/>
  <c r="AV316"/>
  <c r="AW316"/>
  <c r="AX316"/>
  <c r="AY316"/>
  <c r="AZ316"/>
  <c r="BA316"/>
  <c r="BB316"/>
  <c r="BC316"/>
  <c r="BD316"/>
  <c r="BE316"/>
  <c r="BF316"/>
  <c r="BG316"/>
  <c r="BH316"/>
  <c r="BI316"/>
  <c r="BJ316"/>
  <c r="BK316"/>
  <c r="BL316"/>
  <c r="BM316"/>
  <c r="BN316"/>
  <c r="BO316"/>
  <c r="BP316"/>
  <c r="BQ316"/>
  <c r="BR316"/>
  <c r="BS316"/>
  <c r="BT316"/>
  <c r="BU316"/>
  <c r="BV316"/>
  <c r="BW316"/>
  <c r="BX316"/>
  <c r="BY316"/>
  <c r="BZ316"/>
  <c r="CA316"/>
  <c r="CB316"/>
  <c r="CC316"/>
  <c r="CD316"/>
  <c r="CE316"/>
  <c r="CF316"/>
  <c r="CG316"/>
  <c r="CH316"/>
  <c r="CI316"/>
  <c r="CJ316"/>
  <c r="CK316"/>
  <c r="CL316"/>
  <c r="CM316"/>
  <c r="CN316"/>
  <c r="CO316"/>
  <c r="CP316"/>
  <c r="CQ316"/>
  <c r="CR316"/>
  <c r="CS316"/>
  <c r="CT316"/>
  <c r="CU316"/>
  <c r="CV316"/>
  <c r="CW316"/>
  <c r="CX316"/>
  <c r="CY316"/>
  <c r="CZ316"/>
  <c r="DA316"/>
  <c r="DB316"/>
  <c r="DC316"/>
  <c r="DD316"/>
  <c r="DE316"/>
  <c r="DF316"/>
  <c r="DG316"/>
  <c r="DH316"/>
  <c r="DI316"/>
  <c r="DJ316"/>
  <c r="DK316"/>
  <c r="DL316"/>
  <c r="DM316"/>
  <c r="DN316"/>
  <c r="DO316"/>
  <c r="DP316"/>
  <c r="DQ316"/>
  <c r="DR316"/>
  <c r="DS316"/>
  <c r="DT316"/>
  <c r="DU316"/>
  <c r="DV316"/>
  <c r="DW316"/>
  <c r="DX316"/>
  <c r="DY316"/>
  <c r="DZ316"/>
  <c r="EA316"/>
  <c r="EB316"/>
  <c r="EC316"/>
  <c r="ED316"/>
  <c r="EE316"/>
  <c r="EF316"/>
  <c r="EG316"/>
  <c r="EH316"/>
  <c r="EI316"/>
  <c r="EJ316"/>
  <c r="EK316"/>
  <c r="EL316"/>
  <c r="EM316"/>
  <c r="EN316"/>
  <c r="EO316"/>
  <c r="EP316"/>
  <c r="EQ316"/>
  <c r="ER316"/>
  <c r="ES316"/>
  <c r="ET316"/>
  <c r="EU316"/>
  <c r="EV316"/>
  <c r="EW316"/>
  <c r="EX316"/>
  <c r="EY316"/>
  <c r="EZ316"/>
  <c r="FA316"/>
  <c r="FB316"/>
  <c r="FC316"/>
  <c r="FD316"/>
  <c r="FE316"/>
  <c r="FF316"/>
  <c r="FG316"/>
  <c r="FH316"/>
  <c r="FI316"/>
  <c r="FJ316"/>
  <c r="FK316"/>
  <c r="FL316"/>
  <c r="FM316"/>
  <c r="FN316"/>
  <c r="FO316"/>
  <c r="FP316"/>
  <c r="FQ316"/>
  <c r="FR316"/>
  <c r="FS316"/>
  <c r="FT316"/>
  <c r="FU316"/>
  <c r="FV316"/>
  <c r="FW316"/>
  <c r="FX316"/>
  <c r="FY316"/>
  <c r="FZ316"/>
  <c r="GA316"/>
  <c r="GB316"/>
  <c r="GC316"/>
  <c r="GD316"/>
  <c r="GE316"/>
  <c r="GF316"/>
  <c r="GG316"/>
  <c r="GH316"/>
  <c r="GI316"/>
  <c r="GJ316"/>
  <c r="GK316"/>
  <c r="GL316"/>
  <c r="GM316"/>
  <c r="GN316"/>
  <c r="GO316"/>
  <c r="GP316"/>
  <c r="GQ316"/>
  <c r="GR316"/>
  <c r="GS316"/>
  <c r="GT316"/>
  <c r="GU316"/>
  <c r="GV316"/>
  <c r="GW316"/>
  <c r="GX316"/>
  <c r="GY316"/>
  <c r="GZ316"/>
  <c r="HA316"/>
  <c r="HB316"/>
  <c r="HC316"/>
  <c r="HD316"/>
  <c r="HE316"/>
  <c r="HF316"/>
  <c r="HG316"/>
  <c r="HH316"/>
  <c r="HI316"/>
  <c r="HJ316"/>
  <c r="HK316"/>
  <c r="HL316"/>
  <c r="HM316"/>
  <c r="HN316"/>
  <c r="HO316"/>
  <c r="HP316"/>
  <c r="HQ316"/>
  <c r="HR316"/>
  <c r="HS316"/>
  <c r="HT316"/>
  <c r="HU316"/>
  <c r="HV316"/>
  <c r="HW316"/>
  <c r="HX316"/>
  <c r="HY316"/>
  <c r="HZ316"/>
  <c r="IA316"/>
  <c r="IB316"/>
  <c r="IC316"/>
  <c r="ID316"/>
  <c r="IE316"/>
  <c r="IF316"/>
  <c r="IG316"/>
  <c r="IH316"/>
  <c r="II316"/>
  <c r="IJ316"/>
  <c r="IK316"/>
  <c r="IL316"/>
  <c r="IM316"/>
  <c r="IN316"/>
  <c r="IO316"/>
  <c r="IP316"/>
  <c r="IQ316"/>
  <c r="IR316"/>
  <c r="IS316"/>
  <c r="IT316"/>
  <c r="IU316"/>
  <c r="IV316"/>
  <c r="A315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AT315"/>
  <c r="AU315"/>
  <c r="AV315"/>
  <c r="AW315"/>
  <c r="AX315"/>
  <c r="AY315"/>
  <c r="AZ315"/>
  <c r="BA315"/>
  <c r="BB315"/>
  <c r="BC315"/>
  <c r="BD315"/>
  <c r="BE315"/>
  <c r="BF315"/>
  <c r="BG315"/>
  <c r="BH315"/>
  <c r="BI315"/>
  <c r="BJ315"/>
  <c r="BK315"/>
  <c r="BL315"/>
  <c r="BM315"/>
  <c r="BN315"/>
  <c r="BO315"/>
  <c r="BP315"/>
  <c r="BQ315"/>
  <c r="BR315"/>
  <c r="BS315"/>
  <c r="BT315"/>
  <c r="BU315"/>
  <c r="BV315"/>
  <c r="BW315"/>
  <c r="BX315"/>
  <c r="BY315"/>
  <c r="BZ315"/>
  <c r="CA315"/>
  <c r="CB315"/>
  <c r="CC315"/>
  <c r="CD315"/>
  <c r="CE315"/>
  <c r="CF315"/>
  <c r="CG315"/>
  <c r="CH315"/>
  <c r="CI315"/>
  <c r="CJ315"/>
  <c r="CK315"/>
  <c r="CL315"/>
  <c r="CM315"/>
  <c r="CN315"/>
  <c r="CO315"/>
  <c r="CP315"/>
  <c r="CQ315"/>
  <c r="CR315"/>
  <c r="CS315"/>
  <c r="CT315"/>
  <c r="CU315"/>
  <c r="CV315"/>
  <c r="CW315"/>
  <c r="CX315"/>
  <c r="CY315"/>
  <c r="CZ315"/>
  <c r="DA315"/>
  <c r="DB315"/>
  <c r="DC315"/>
  <c r="DD315"/>
  <c r="DE315"/>
  <c r="DF315"/>
  <c r="DG315"/>
  <c r="DH315"/>
  <c r="DI315"/>
  <c r="DJ315"/>
  <c r="DK315"/>
  <c r="DL315"/>
  <c r="DM315"/>
  <c r="DN315"/>
  <c r="DO315"/>
  <c r="DP315"/>
  <c r="DQ315"/>
  <c r="DR315"/>
  <c r="DS315"/>
  <c r="DT315"/>
  <c r="DU315"/>
  <c r="DV315"/>
  <c r="DW315"/>
  <c r="DX315"/>
  <c r="DY315"/>
  <c r="DZ315"/>
  <c r="EA315"/>
  <c r="EB315"/>
  <c r="EC315"/>
  <c r="ED315"/>
  <c r="EE315"/>
  <c r="EF315"/>
  <c r="EG315"/>
  <c r="EH315"/>
  <c r="EI315"/>
  <c r="EJ315"/>
  <c r="EK315"/>
  <c r="EL315"/>
  <c r="EM315"/>
  <c r="EN315"/>
  <c r="EO315"/>
  <c r="EP315"/>
  <c r="EQ315"/>
  <c r="ER315"/>
  <c r="ES315"/>
  <c r="ET315"/>
  <c r="EU315"/>
  <c r="EV315"/>
  <c r="EW315"/>
  <c r="EX315"/>
  <c r="EY315"/>
  <c r="EZ315"/>
  <c r="FA315"/>
  <c r="FB315"/>
  <c r="FC315"/>
  <c r="FD315"/>
  <c r="FE315"/>
  <c r="FF315"/>
  <c r="FG315"/>
  <c r="FH315"/>
  <c r="FI315"/>
  <c r="FJ315"/>
  <c r="FK315"/>
  <c r="FL315"/>
  <c r="FM315"/>
  <c r="FN315"/>
  <c r="FO315"/>
  <c r="FP315"/>
  <c r="FQ315"/>
  <c r="FR315"/>
  <c r="FS315"/>
  <c r="FT315"/>
  <c r="FU315"/>
  <c r="FV315"/>
  <c r="FW315"/>
  <c r="FX315"/>
  <c r="FY315"/>
  <c r="FZ315"/>
  <c r="GA315"/>
  <c r="GB315"/>
  <c r="GC315"/>
  <c r="GD315"/>
  <c r="GE315"/>
  <c r="GF315"/>
  <c r="GG315"/>
  <c r="GH315"/>
  <c r="GI315"/>
  <c r="GJ315"/>
  <c r="GK315"/>
  <c r="GL315"/>
  <c r="GM315"/>
  <c r="GN315"/>
  <c r="GO315"/>
  <c r="GP315"/>
  <c r="GQ315"/>
  <c r="GR315"/>
  <c r="GS315"/>
  <c r="GT315"/>
  <c r="GU315"/>
  <c r="GV315"/>
  <c r="GW315"/>
  <c r="GX315"/>
  <c r="GY315"/>
  <c r="GZ315"/>
  <c r="HA315"/>
  <c r="HB315"/>
  <c r="HC315"/>
  <c r="HD315"/>
  <c r="HE315"/>
  <c r="HF315"/>
  <c r="HG315"/>
  <c r="HH315"/>
  <c r="HI315"/>
  <c r="HJ315"/>
  <c r="HK315"/>
  <c r="HL315"/>
  <c r="HM315"/>
  <c r="HN315"/>
  <c r="HO315"/>
  <c r="HP315"/>
  <c r="HQ315"/>
  <c r="HR315"/>
  <c r="HS315"/>
  <c r="HT315"/>
  <c r="HU315"/>
  <c r="HV315"/>
  <c r="HW315"/>
  <c r="HX315"/>
  <c r="HY315"/>
  <c r="HZ315"/>
  <c r="IA315"/>
  <c r="IB315"/>
  <c r="IC315"/>
  <c r="ID315"/>
  <c r="IE315"/>
  <c r="IF315"/>
  <c r="IG315"/>
  <c r="IH315"/>
  <c r="II315"/>
  <c r="IJ315"/>
  <c r="IK315"/>
  <c r="IL315"/>
  <c r="IM315"/>
  <c r="IN315"/>
  <c r="IO315"/>
  <c r="IP315"/>
  <c r="IQ315"/>
  <c r="IR315"/>
  <c r="IS315"/>
  <c r="IT315"/>
  <c r="IU315"/>
  <c r="IV315"/>
  <c r="A314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AV314"/>
  <c r="AW314"/>
  <c r="AX314"/>
  <c r="AY314"/>
  <c r="AZ314"/>
  <c r="BA314"/>
  <c r="BB314"/>
  <c r="BC314"/>
  <c r="BD314"/>
  <c r="BE314"/>
  <c r="BF314"/>
  <c r="BG314"/>
  <c r="BH314"/>
  <c r="BI314"/>
  <c r="BJ314"/>
  <c r="BK314"/>
  <c r="BL314"/>
  <c r="BM314"/>
  <c r="BN314"/>
  <c r="BO314"/>
  <c r="BP314"/>
  <c r="BQ314"/>
  <c r="BR314"/>
  <c r="BS314"/>
  <c r="BT314"/>
  <c r="BU314"/>
  <c r="BV314"/>
  <c r="BW314"/>
  <c r="BX314"/>
  <c r="BY314"/>
  <c r="BZ314"/>
  <c r="CA314"/>
  <c r="CB314"/>
  <c r="CC314"/>
  <c r="CD314"/>
  <c r="CE314"/>
  <c r="CF314"/>
  <c r="CG314"/>
  <c r="CH314"/>
  <c r="CI314"/>
  <c r="CJ314"/>
  <c r="CK314"/>
  <c r="CL314"/>
  <c r="CM314"/>
  <c r="CN314"/>
  <c r="CO314"/>
  <c r="CP314"/>
  <c r="CQ314"/>
  <c r="CR314"/>
  <c r="CS314"/>
  <c r="CT314"/>
  <c r="CU314"/>
  <c r="CV314"/>
  <c r="CW314"/>
  <c r="CX314"/>
  <c r="CY314"/>
  <c r="CZ314"/>
  <c r="DA314"/>
  <c r="DB314"/>
  <c r="DC314"/>
  <c r="DD314"/>
  <c r="DE314"/>
  <c r="DF314"/>
  <c r="DG314"/>
  <c r="DH314"/>
  <c r="DI314"/>
  <c r="DJ314"/>
  <c r="DK314"/>
  <c r="DL314"/>
  <c r="DM314"/>
  <c r="DN314"/>
  <c r="DO314"/>
  <c r="DP314"/>
  <c r="DQ314"/>
  <c r="DR314"/>
  <c r="DS314"/>
  <c r="DT314"/>
  <c r="DU314"/>
  <c r="DV314"/>
  <c r="DW314"/>
  <c r="DX314"/>
  <c r="DY314"/>
  <c r="DZ314"/>
  <c r="EA314"/>
  <c r="EB314"/>
  <c r="EC314"/>
  <c r="ED314"/>
  <c r="EE314"/>
  <c r="EF314"/>
  <c r="EG314"/>
  <c r="EH314"/>
  <c r="EI314"/>
  <c r="EJ314"/>
  <c r="EK314"/>
  <c r="EL314"/>
  <c r="EM314"/>
  <c r="EN314"/>
  <c r="EO314"/>
  <c r="EP314"/>
  <c r="EQ314"/>
  <c r="ER314"/>
  <c r="ES314"/>
  <c r="ET314"/>
  <c r="EU314"/>
  <c r="EV314"/>
  <c r="EW314"/>
  <c r="EX314"/>
  <c r="EY314"/>
  <c r="EZ314"/>
  <c r="FA314"/>
  <c r="FB314"/>
  <c r="FC314"/>
  <c r="FD314"/>
  <c r="FE314"/>
  <c r="FF314"/>
  <c r="FG314"/>
  <c r="FH314"/>
  <c r="FI314"/>
  <c r="FJ314"/>
  <c r="FK314"/>
  <c r="FL314"/>
  <c r="FM314"/>
  <c r="FN314"/>
  <c r="FO314"/>
  <c r="FP314"/>
  <c r="FQ314"/>
  <c r="FR314"/>
  <c r="FS314"/>
  <c r="FT314"/>
  <c r="FU314"/>
  <c r="FV314"/>
  <c r="FW314"/>
  <c r="FX314"/>
  <c r="FY314"/>
  <c r="FZ314"/>
  <c r="GA314"/>
  <c r="GB314"/>
  <c r="GC314"/>
  <c r="GD314"/>
  <c r="GE314"/>
  <c r="GF314"/>
  <c r="GG314"/>
  <c r="GH314"/>
  <c r="GI314"/>
  <c r="GJ314"/>
  <c r="GK314"/>
  <c r="GL314"/>
  <c r="GM314"/>
  <c r="GN314"/>
  <c r="GO314"/>
  <c r="GP314"/>
  <c r="GQ314"/>
  <c r="GR314"/>
  <c r="GS314"/>
  <c r="GT314"/>
  <c r="GU314"/>
  <c r="GV314"/>
  <c r="GW314"/>
  <c r="GX314"/>
  <c r="GY314"/>
  <c r="GZ314"/>
  <c r="HA314"/>
  <c r="HB314"/>
  <c r="HC314"/>
  <c r="HD314"/>
  <c r="HE314"/>
  <c r="HF314"/>
  <c r="HG314"/>
  <c r="HH314"/>
  <c r="HI314"/>
  <c r="HJ314"/>
  <c r="HK314"/>
  <c r="HL314"/>
  <c r="HM314"/>
  <c r="HN314"/>
  <c r="HO314"/>
  <c r="HP314"/>
  <c r="HQ314"/>
  <c r="HR314"/>
  <c r="HS314"/>
  <c r="HT314"/>
  <c r="HU314"/>
  <c r="HV314"/>
  <c r="HW314"/>
  <c r="HX314"/>
  <c r="HY314"/>
  <c r="HZ314"/>
  <c r="IA314"/>
  <c r="IB314"/>
  <c r="IC314"/>
  <c r="ID314"/>
  <c r="IE314"/>
  <c r="IF314"/>
  <c r="IG314"/>
  <c r="IH314"/>
  <c r="II314"/>
  <c r="IJ314"/>
  <c r="IK314"/>
  <c r="IL314"/>
  <c r="IM314"/>
  <c r="IN314"/>
  <c r="IO314"/>
  <c r="IP314"/>
  <c r="IQ314"/>
  <c r="IR314"/>
  <c r="IS314"/>
  <c r="IT314"/>
  <c r="IU314"/>
  <c r="IV314"/>
  <c r="A313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AT313"/>
  <c r="AU313"/>
  <c r="AV313"/>
  <c r="AW313"/>
  <c r="AX313"/>
  <c r="AY313"/>
  <c r="AZ313"/>
  <c r="BA313"/>
  <c r="BB313"/>
  <c r="BC313"/>
  <c r="BD313"/>
  <c r="BE313"/>
  <c r="BF313"/>
  <c r="BG313"/>
  <c r="BH313"/>
  <c r="BI313"/>
  <c r="BJ313"/>
  <c r="BK313"/>
  <c r="BL313"/>
  <c r="BM313"/>
  <c r="BN313"/>
  <c r="BO313"/>
  <c r="BP313"/>
  <c r="BQ313"/>
  <c r="BR313"/>
  <c r="BS313"/>
  <c r="BT313"/>
  <c r="BU313"/>
  <c r="BV313"/>
  <c r="BW313"/>
  <c r="BX313"/>
  <c r="BY313"/>
  <c r="BZ313"/>
  <c r="CA313"/>
  <c r="CB313"/>
  <c r="CC313"/>
  <c r="CD313"/>
  <c r="CE313"/>
  <c r="CF313"/>
  <c r="CG313"/>
  <c r="CH313"/>
  <c r="CI313"/>
  <c r="CJ313"/>
  <c r="CK313"/>
  <c r="CL313"/>
  <c r="CM313"/>
  <c r="CN313"/>
  <c r="CO313"/>
  <c r="CP313"/>
  <c r="CQ313"/>
  <c r="CR313"/>
  <c r="CS313"/>
  <c r="CT313"/>
  <c r="CU313"/>
  <c r="CV313"/>
  <c r="CW313"/>
  <c r="CX313"/>
  <c r="CY313"/>
  <c r="CZ313"/>
  <c r="DA313"/>
  <c r="DB313"/>
  <c r="DC313"/>
  <c r="DD313"/>
  <c r="DE313"/>
  <c r="DF313"/>
  <c r="DG313"/>
  <c r="DH313"/>
  <c r="DI313"/>
  <c r="DJ313"/>
  <c r="DK313"/>
  <c r="DL313"/>
  <c r="DM313"/>
  <c r="DN313"/>
  <c r="DO313"/>
  <c r="DP313"/>
  <c r="DQ313"/>
  <c r="DR313"/>
  <c r="DS313"/>
  <c r="DT313"/>
  <c r="DU313"/>
  <c r="DV313"/>
  <c r="DW313"/>
  <c r="DX313"/>
  <c r="DY313"/>
  <c r="DZ313"/>
  <c r="EA313"/>
  <c r="EB313"/>
  <c r="EC313"/>
  <c r="ED313"/>
  <c r="EE313"/>
  <c r="EF313"/>
  <c r="EG313"/>
  <c r="EH313"/>
  <c r="EI313"/>
  <c r="EJ313"/>
  <c r="EK313"/>
  <c r="EL313"/>
  <c r="EM313"/>
  <c r="EN313"/>
  <c r="EO313"/>
  <c r="EP313"/>
  <c r="EQ313"/>
  <c r="ER313"/>
  <c r="ES313"/>
  <c r="ET313"/>
  <c r="EU313"/>
  <c r="EV313"/>
  <c r="EW313"/>
  <c r="EX313"/>
  <c r="EY313"/>
  <c r="EZ313"/>
  <c r="FA313"/>
  <c r="FB313"/>
  <c r="FC313"/>
  <c r="FD313"/>
  <c r="FE313"/>
  <c r="FF313"/>
  <c r="FG313"/>
  <c r="FH313"/>
  <c r="FI313"/>
  <c r="FJ313"/>
  <c r="FK313"/>
  <c r="FL313"/>
  <c r="FM313"/>
  <c r="FN313"/>
  <c r="FO313"/>
  <c r="FP313"/>
  <c r="FQ313"/>
  <c r="FR313"/>
  <c r="FS313"/>
  <c r="FT313"/>
  <c r="FU313"/>
  <c r="FV313"/>
  <c r="FW313"/>
  <c r="FX313"/>
  <c r="FY313"/>
  <c r="FZ313"/>
  <c r="GA313"/>
  <c r="GB313"/>
  <c r="GC313"/>
  <c r="GD313"/>
  <c r="GE313"/>
  <c r="GF313"/>
  <c r="GG313"/>
  <c r="GH313"/>
  <c r="GI313"/>
  <c r="GJ313"/>
  <c r="GK313"/>
  <c r="GL313"/>
  <c r="GM313"/>
  <c r="GN313"/>
  <c r="GO313"/>
  <c r="GP313"/>
  <c r="GQ313"/>
  <c r="GR313"/>
  <c r="GS313"/>
  <c r="GT313"/>
  <c r="GU313"/>
  <c r="GV313"/>
  <c r="GW313"/>
  <c r="GX313"/>
  <c r="GY313"/>
  <c r="GZ313"/>
  <c r="HA313"/>
  <c r="HB313"/>
  <c r="HC313"/>
  <c r="HD313"/>
  <c r="HE313"/>
  <c r="HF313"/>
  <c r="HG313"/>
  <c r="HH313"/>
  <c r="HI313"/>
  <c r="HJ313"/>
  <c r="HK313"/>
  <c r="HL313"/>
  <c r="HM313"/>
  <c r="HN313"/>
  <c r="HO313"/>
  <c r="HP313"/>
  <c r="HQ313"/>
  <c r="HR313"/>
  <c r="HS313"/>
  <c r="HT313"/>
  <c r="HU313"/>
  <c r="HV313"/>
  <c r="HW313"/>
  <c r="HX313"/>
  <c r="HY313"/>
  <c r="HZ313"/>
  <c r="IA313"/>
  <c r="IB313"/>
  <c r="IC313"/>
  <c r="ID313"/>
  <c r="IE313"/>
  <c r="IF313"/>
  <c r="IG313"/>
  <c r="IH313"/>
  <c r="II313"/>
  <c r="IJ313"/>
  <c r="IK313"/>
  <c r="IL313"/>
  <c r="IM313"/>
  <c r="IN313"/>
  <c r="IO313"/>
  <c r="IP313"/>
  <c r="IQ313"/>
  <c r="IR313"/>
  <c r="IS313"/>
  <c r="IT313"/>
  <c r="IU313"/>
  <c r="IV313"/>
  <c r="A312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AT312"/>
  <c r="AU312"/>
  <c r="AV312"/>
  <c r="AW312"/>
  <c r="AX312"/>
  <c r="AY312"/>
  <c r="AZ312"/>
  <c r="BA312"/>
  <c r="BB312"/>
  <c r="BC312"/>
  <c r="BD312"/>
  <c r="BE312"/>
  <c r="BF312"/>
  <c r="BG312"/>
  <c r="BH312"/>
  <c r="BI312"/>
  <c r="BJ312"/>
  <c r="BK312"/>
  <c r="BL312"/>
  <c r="BM312"/>
  <c r="BN312"/>
  <c r="BO312"/>
  <c r="BP312"/>
  <c r="BQ312"/>
  <c r="BR312"/>
  <c r="BS312"/>
  <c r="BT312"/>
  <c r="BU312"/>
  <c r="BV312"/>
  <c r="BW312"/>
  <c r="BX312"/>
  <c r="BY312"/>
  <c r="BZ312"/>
  <c r="CA312"/>
  <c r="CB312"/>
  <c r="CC312"/>
  <c r="CD312"/>
  <c r="CE312"/>
  <c r="CF312"/>
  <c r="CG312"/>
  <c r="CH312"/>
  <c r="CI312"/>
  <c r="CJ312"/>
  <c r="CK312"/>
  <c r="CL312"/>
  <c r="CM312"/>
  <c r="CN312"/>
  <c r="CO312"/>
  <c r="CP312"/>
  <c r="CQ312"/>
  <c r="CR312"/>
  <c r="CS312"/>
  <c r="CT312"/>
  <c r="CU312"/>
  <c r="CV312"/>
  <c r="CW312"/>
  <c r="CX312"/>
  <c r="CY312"/>
  <c r="CZ312"/>
  <c r="DA312"/>
  <c r="DB312"/>
  <c r="DC312"/>
  <c r="DD312"/>
  <c r="DE312"/>
  <c r="DF312"/>
  <c r="DG312"/>
  <c r="DH312"/>
  <c r="DI312"/>
  <c r="DJ312"/>
  <c r="DK312"/>
  <c r="DL312"/>
  <c r="DM312"/>
  <c r="DN312"/>
  <c r="DO312"/>
  <c r="DP312"/>
  <c r="DQ312"/>
  <c r="DR312"/>
  <c r="DS312"/>
  <c r="DT312"/>
  <c r="DU312"/>
  <c r="DV312"/>
  <c r="DW312"/>
  <c r="DX312"/>
  <c r="DY312"/>
  <c r="DZ312"/>
  <c r="EA312"/>
  <c r="EB312"/>
  <c r="EC312"/>
  <c r="ED312"/>
  <c r="EE312"/>
  <c r="EF312"/>
  <c r="EG312"/>
  <c r="EH312"/>
  <c r="EI312"/>
  <c r="EJ312"/>
  <c r="EK312"/>
  <c r="EL312"/>
  <c r="EM312"/>
  <c r="EN312"/>
  <c r="EO312"/>
  <c r="EP312"/>
  <c r="EQ312"/>
  <c r="ER312"/>
  <c r="ES312"/>
  <c r="ET312"/>
  <c r="EU312"/>
  <c r="EV312"/>
  <c r="EW312"/>
  <c r="EX312"/>
  <c r="EY312"/>
  <c r="EZ312"/>
  <c r="FA312"/>
  <c r="FB312"/>
  <c r="FC312"/>
  <c r="FD312"/>
  <c r="FE312"/>
  <c r="FF312"/>
  <c r="FG312"/>
  <c r="FH312"/>
  <c r="FI312"/>
  <c r="FJ312"/>
  <c r="FK312"/>
  <c r="FL312"/>
  <c r="FM312"/>
  <c r="FN312"/>
  <c r="FO312"/>
  <c r="FP312"/>
  <c r="FQ312"/>
  <c r="FR312"/>
  <c r="FS312"/>
  <c r="FT312"/>
  <c r="FU312"/>
  <c r="FV312"/>
  <c r="FW312"/>
  <c r="FX312"/>
  <c r="FY312"/>
  <c r="FZ312"/>
  <c r="GA312"/>
  <c r="GB312"/>
  <c r="GC312"/>
  <c r="GD312"/>
  <c r="GE312"/>
  <c r="GF312"/>
  <c r="GG312"/>
  <c r="GH312"/>
  <c r="GI312"/>
  <c r="GJ312"/>
  <c r="GK312"/>
  <c r="GL312"/>
  <c r="GM312"/>
  <c r="GN312"/>
  <c r="GO312"/>
  <c r="GP312"/>
  <c r="GQ312"/>
  <c r="GR312"/>
  <c r="GS312"/>
  <c r="GT312"/>
  <c r="GU312"/>
  <c r="GV312"/>
  <c r="GW312"/>
  <c r="GX312"/>
  <c r="GY312"/>
  <c r="GZ312"/>
  <c r="HA312"/>
  <c r="HB312"/>
  <c r="HC312"/>
  <c r="HD312"/>
  <c r="HE312"/>
  <c r="HF312"/>
  <c r="HG312"/>
  <c r="HH312"/>
  <c r="HI312"/>
  <c r="HJ312"/>
  <c r="HK312"/>
  <c r="HL312"/>
  <c r="HM312"/>
  <c r="HN312"/>
  <c r="HO312"/>
  <c r="HP312"/>
  <c r="HQ312"/>
  <c r="HR312"/>
  <c r="HS312"/>
  <c r="HT312"/>
  <c r="HU312"/>
  <c r="HV312"/>
  <c r="HW312"/>
  <c r="HX312"/>
  <c r="HY312"/>
  <c r="HZ312"/>
  <c r="IA312"/>
  <c r="IB312"/>
  <c r="IC312"/>
  <c r="ID312"/>
  <c r="IE312"/>
  <c r="IF312"/>
  <c r="IG312"/>
  <c r="IH312"/>
  <c r="II312"/>
  <c r="IJ312"/>
  <c r="IK312"/>
  <c r="IL312"/>
  <c r="IM312"/>
  <c r="IN312"/>
  <c r="IO312"/>
  <c r="IP312"/>
  <c r="IQ312"/>
  <c r="IR312"/>
  <c r="IS312"/>
  <c r="IT312"/>
  <c r="IU312"/>
  <c r="IV312"/>
  <c r="A311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AT311"/>
  <c r="AU311"/>
  <c r="AV311"/>
  <c r="AW311"/>
  <c r="AX311"/>
  <c r="AY311"/>
  <c r="AZ311"/>
  <c r="BA311"/>
  <c r="BB311"/>
  <c r="BC311"/>
  <c r="BD311"/>
  <c r="BE311"/>
  <c r="BF311"/>
  <c r="BG311"/>
  <c r="BH311"/>
  <c r="BI311"/>
  <c r="BJ311"/>
  <c r="BK311"/>
  <c r="BL311"/>
  <c r="BM311"/>
  <c r="BN311"/>
  <c r="BO311"/>
  <c r="BP311"/>
  <c r="BQ311"/>
  <c r="BR311"/>
  <c r="BS311"/>
  <c r="BT311"/>
  <c r="BU311"/>
  <c r="BV311"/>
  <c r="BW311"/>
  <c r="BX311"/>
  <c r="BY311"/>
  <c r="BZ311"/>
  <c r="CA311"/>
  <c r="CB311"/>
  <c r="CC311"/>
  <c r="CD311"/>
  <c r="CE311"/>
  <c r="CF311"/>
  <c r="CG311"/>
  <c r="CH311"/>
  <c r="CI311"/>
  <c r="CJ311"/>
  <c r="CK311"/>
  <c r="CL311"/>
  <c r="CM311"/>
  <c r="CN311"/>
  <c r="CO311"/>
  <c r="CP311"/>
  <c r="CQ311"/>
  <c r="CR311"/>
  <c r="CS311"/>
  <c r="CT311"/>
  <c r="CU311"/>
  <c r="CV311"/>
  <c r="CW311"/>
  <c r="CX311"/>
  <c r="CY311"/>
  <c r="CZ311"/>
  <c r="DA311"/>
  <c r="DB311"/>
  <c r="DC311"/>
  <c r="DD311"/>
  <c r="DE311"/>
  <c r="DF311"/>
  <c r="DG311"/>
  <c r="DH311"/>
  <c r="DI311"/>
  <c r="DJ311"/>
  <c r="DK311"/>
  <c r="DL311"/>
  <c r="DM311"/>
  <c r="DN311"/>
  <c r="DO311"/>
  <c r="DP311"/>
  <c r="DQ311"/>
  <c r="DR311"/>
  <c r="DS311"/>
  <c r="DT311"/>
  <c r="DU311"/>
  <c r="DV311"/>
  <c r="DW311"/>
  <c r="DX311"/>
  <c r="DY311"/>
  <c r="DZ311"/>
  <c r="EA311"/>
  <c r="EB311"/>
  <c r="EC311"/>
  <c r="ED311"/>
  <c r="EE311"/>
  <c r="EF311"/>
  <c r="EG311"/>
  <c r="EH311"/>
  <c r="EI311"/>
  <c r="EJ311"/>
  <c r="EK311"/>
  <c r="EL311"/>
  <c r="EM311"/>
  <c r="EN311"/>
  <c r="EO311"/>
  <c r="EP311"/>
  <c r="EQ311"/>
  <c r="ER311"/>
  <c r="ES311"/>
  <c r="ET311"/>
  <c r="EU311"/>
  <c r="EV311"/>
  <c r="EW311"/>
  <c r="EX311"/>
  <c r="EY311"/>
  <c r="EZ311"/>
  <c r="FA311"/>
  <c r="FB311"/>
  <c r="FC311"/>
  <c r="FD311"/>
  <c r="FE311"/>
  <c r="FF311"/>
  <c r="FG311"/>
  <c r="FH311"/>
  <c r="FI311"/>
  <c r="FJ311"/>
  <c r="FK311"/>
  <c r="FL311"/>
  <c r="FM311"/>
  <c r="FN311"/>
  <c r="FO311"/>
  <c r="FP311"/>
  <c r="FQ311"/>
  <c r="FR311"/>
  <c r="FS311"/>
  <c r="FT311"/>
  <c r="FU311"/>
  <c r="FV311"/>
  <c r="FW311"/>
  <c r="FX311"/>
  <c r="FY311"/>
  <c r="FZ311"/>
  <c r="GA311"/>
  <c r="GB311"/>
  <c r="GC311"/>
  <c r="GD311"/>
  <c r="GE311"/>
  <c r="GF311"/>
  <c r="GG311"/>
  <c r="GH311"/>
  <c r="GI311"/>
  <c r="GJ311"/>
  <c r="GK311"/>
  <c r="GL311"/>
  <c r="GM311"/>
  <c r="GN311"/>
  <c r="GO311"/>
  <c r="GP311"/>
  <c r="GQ311"/>
  <c r="GR311"/>
  <c r="GS311"/>
  <c r="GT311"/>
  <c r="GU311"/>
  <c r="GV311"/>
  <c r="GW311"/>
  <c r="GX311"/>
  <c r="GY311"/>
  <c r="GZ311"/>
  <c r="HA311"/>
  <c r="HB311"/>
  <c r="HC311"/>
  <c r="HD311"/>
  <c r="HE311"/>
  <c r="HF311"/>
  <c r="HG311"/>
  <c r="HH311"/>
  <c r="HI311"/>
  <c r="HJ311"/>
  <c r="HK311"/>
  <c r="HL311"/>
  <c r="HM311"/>
  <c r="HN311"/>
  <c r="HO311"/>
  <c r="HP311"/>
  <c r="HQ311"/>
  <c r="HR311"/>
  <c r="HS311"/>
  <c r="HT311"/>
  <c r="HU311"/>
  <c r="HV311"/>
  <c r="HW311"/>
  <c r="HX311"/>
  <c r="HY311"/>
  <c r="HZ311"/>
  <c r="IA311"/>
  <c r="IB311"/>
  <c r="IC311"/>
  <c r="ID311"/>
  <c r="IE311"/>
  <c r="IF311"/>
  <c r="IG311"/>
  <c r="IH311"/>
  <c r="II311"/>
  <c r="IJ311"/>
  <c r="IK311"/>
  <c r="IL311"/>
  <c r="IM311"/>
  <c r="IN311"/>
  <c r="IO311"/>
  <c r="IP311"/>
  <c r="IQ311"/>
  <c r="IR311"/>
  <c r="IS311"/>
  <c r="IT311"/>
  <c r="IU311"/>
  <c r="IV311"/>
  <c r="A310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AT310"/>
  <c r="AU310"/>
  <c r="AV310"/>
  <c r="AW310"/>
  <c r="AX310"/>
  <c r="AY310"/>
  <c r="AZ310"/>
  <c r="BA310"/>
  <c r="BB310"/>
  <c r="BC310"/>
  <c r="BD310"/>
  <c r="BE310"/>
  <c r="BF310"/>
  <c r="BG310"/>
  <c r="BH310"/>
  <c r="BI310"/>
  <c r="BJ310"/>
  <c r="BK310"/>
  <c r="BL310"/>
  <c r="BM310"/>
  <c r="BN310"/>
  <c r="BO310"/>
  <c r="BP310"/>
  <c r="BQ310"/>
  <c r="BR310"/>
  <c r="BS310"/>
  <c r="BT310"/>
  <c r="BU310"/>
  <c r="BV310"/>
  <c r="BW310"/>
  <c r="BX310"/>
  <c r="BY310"/>
  <c r="BZ310"/>
  <c r="CA310"/>
  <c r="CB310"/>
  <c r="CC310"/>
  <c r="CD310"/>
  <c r="CE310"/>
  <c r="CF310"/>
  <c r="CG310"/>
  <c r="CH310"/>
  <c r="CI310"/>
  <c r="CJ310"/>
  <c r="CK310"/>
  <c r="CL310"/>
  <c r="CM310"/>
  <c r="CN310"/>
  <c r="CO310"/>
  <c r="CP310"/>
  <c r="CQ310"/>
  <c r="CR310"/>
  <c r="CS310"/>
  <c r="CT310"/>
  <c r="CU310"/>
  <c r="CV310"/>
  <c r="CW310"/>
  <c r="CX310"/>
  <c r="CY310"/>
  <c r="CZ310"/>
  <c r="DA310"/>
  <c r="DB310"/>
  <c r="DC310"/>
  <c r="DD310"/>
  <c r="DE310"/>
  <c r="DF310"/>
  <c r="DG310"/>
  <c r="DH310"/>
  <c r="DI310"/>
  <c r="DJ310"/>
  <c r="DK310"/>
  <c r="DL310"/>
  <c r="DM310"/>
  <c r="DN310"/>
  <c r="DO310"/>
  <c r="DP310"/>
  <c r="DQ310"/>
  <c r="DR310"/>
  <c r="DS310"/>
  <c r="DT310"/>
  <c r="DU310"/>
  <c r="DV310"/>
  <c r="DW310"/>
  <c r="DX310"/>
  <c r="DY310"/>
  <c r="DZ310"/>
  <c r="EA310"/>
  <c r="EB310"/>
  <c r="EC310"/>
  <c r="ED310"/>
  <c r="EE310"/>
  <c r="EF310"/>
  <c r="EG310"/>
  <c r="EH310"/>
  <c r="EI310"/>
  <c r="EJ310"/>
  <c r="EK310"/>
  <c r="EL310"/>
  <c r="EM310"/>
  <c r="EN310"/>
  <c r="EO310"/>
  <c r="EP310"/>
  <c r="EQ310"/>
  <c r="ER310"/>
  <c r="ES310"/>
  <c r="ET310"/>
  <c r="EU310"/>
  <c r="EV310"/>
  <c r="EW310"/>
  <c r="EX310"/>
  <c r="EY310"/>
  <c r="EZ310"/>
  <c r="FA310"/>
  <c r="FB310"/>
  <c r="FC310"/>
  <c r="FD310"/>
  <c r="FE310"/>
  <c r="FF310"/>
  <c r="FG310"/>
  <c r="FH310"/>
  <c r="FI310"/>
  <c r="FJ310"/>
  <c r="FK310"/>
  <c r="FL310"/>
  <c r="FM310"/>
  <c r="FN310"/>
  <c r="FO310"/>
  <c r="FP310"/>
  <c r="FQ310"/>
  <c r="FR310"/>
  <c r="FS310"/>
  <c r="FT310"/>
  <c r="FU310"/>
  <c r="FV310"/>
  <c r="FW310"/>
  <c r="FX310"/>
  <c r="FY310"/>
  <c r="FZ310"/>
  <c r="GA310"/>
  <c r="GB310"/>
  <c r="GC310"/>
  <c r="GD310"/>
  <c r="GE310"/>
  <c r="GF310"/>
  <c r="GG310"/>
  <c r="GH310"/>
  <c r="GI310"/>
  <c r="GJ310"/>
  <c r="GK310"/>
  <c r="GL310"/>
  <c r="GM310"/>
  <c r="GN310"/>
  <c r="GO310"/>
  <c r="GP310"/>
  <c r="GQ310"/>
  <c r="GR310"/>
  <c r="GS310"/>
  <c r="GT310"/>
  <c r="GU310"/>
  <c r="GV310"/>
  <c r="GW310"/>
  <c r="GX310"/>
  <c r="GY310"/>
  <c r="GZ310"/>
  <c r="HA310"/>
  <c r="HB310"/>
  <c r="HC310"/>
  <c r="HD310"/>
  <c r="HE310"/>
  <c r="HF310"/>
  <c r="HG310"/>
  <c r="HH310"/>
  <c r="HI310"/>
  <c r="HJ310"/>
  <c r="HK310"/>
  <c r="HL310"/>
  <c r="HM310"/>
  <c r="HN310"/>
  <c r="HO310"/>
  <c r="HP310"/>
  <c r="HQ310"/>
  <c r="HR310"/>
  <c r="HS310"/>
  <c r="HT310"/>
  <c r="HU310"/>
  <c r="HV310"/>
  <c r="HW310"/>
  <c r="HX310"/>
  <c r="HY310"/>
  <c r="HZ310"/>
  <c r="IA310"/>
  <c r="IB310"/>
  <c r="IC310"/>
  <c r="ID310"/>
  <c r="IE310"/>
  <c r="IF310"/>
  <c r="IG310"/>
  <c r="IH310"/>
  <c r="II310"/>
  <c r="IJ310"/>
  <c r="IK310"/>
  <c r="IL310"/>
  <c r="IM310"/>
  <c r="IN310"/>
  <c r="IO310"/>
  <c r="IP310"/>
  <c r="IQ310"/>
  <c r="IR310"/>
  <c r="IS310"/>
  <c r="IT310"/>
  <c r="IU310"/>
  <c r="IV310"/>
  <c r="A309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AT309"/>
  <c r="AU309"/>
  <c r="AV309"/>
  <c r="AW309"/>
  <c r="AX309"/>
  <c r="AY309"/>
  <c r="AZ309"/>
  <c r="BA309"/>
  <c r="BB309"/>
  <c r="BC309"/>
  <c r="BD309"/>
  <c r="BE309"/>
  <c r="BF309"/>
  <c r="BG309"/>
  <c r="BH309"/>
  <c r="BI309"/>
  <c r="BJ309"/>
  <c r="BK309"/>
  <c r="BL309"/>
  <c r="BM309"/>
  <c r="BN309"/>
  <c r="BO309"/>
  <c r="BP309"/>
  <c r="BQ309"/>
  <c r="BR309"/>
  <c r="BS309"/>
  <c r="BT309"/>
  <c r="BU309"/>
  <c r="BV309"/>
  <c r="BW309"/>
  <c r="BX309"/>
  <c r="BY309"/>
  <c r="BZ309"/>
  <c r="CA309"/>
  <c r="CB309"/>
  <c r="CC309"/>
  <c r="CD309"/>
  <c r="CE309"/>
  <c r="CF309"/>
  <c r="CG309"/>
  <c r="CH309"/>
  <c r="CI309"/>
  <c r="CJ309"/>
  <c r="CK309"/>
  <c r="CL309"/>
  <c r="CM309"/>
  <c r="CN309"/>
  <c r="CO309"/>
  <c r="CP309"/>
  <c r="CQ309"/>
  <c r="CR309"/>
  <c r="CS309"/>
  <c r="CT309"/>
  <c r="CU309"/>
  <c r="CV309"/>
  <c r="CW309"/>
  <c r="CX309"/>
  <c r="CY309"/>
  <c r="CZ309"/>
  <c r="DA309"/>
  <c r="DB309"/>
  <c r="DC309"/>
  <c r="DD309"/>
  <c r="DE309"/>
  <c r="DF309"/>
  <c r="DG309"/>
  <c r="DH309"/>
  <c r="DI309"/>
  <c r="DJ309"/>
  <c r="DK309"/>
  <c r="DL309"/>
  <c r="DM309"/>
  <c r="DN309"/>
  <c r="DO309"/>
  <c r="DP309"/>
  <c r="DQ309"/>
  <c r="DR309"/>
  <c r="DS309"/>
  <c r="DT309"/>
  <c r="DU309"/>
  <c r="DV309"/>
  <c r="DW309"/>
  <c r="DX309"/>
  <c r="DY309"/>
  <c r="DZ309"/>
  <c r="EA309"/>
  <c r="EB309"/>
  <c r="EC309"/>
  <c r="ED309"/>
  <c r="EE309"/>
  <c r="EF309"/>
  <c r="EG309"/>
  <c r="EH309"/>
  <c r="EI309"/>
  <c r="EJ309"/>
  <c r="EK309"/>
  <c r="EL309"/>
  <c r="EM309"/>
  <c r="EN309"/>
  <c r="EO309"/>
  <c r="EP309"/>
  <c r="EQ309"/>
  <c r="ER309"/>
  <c r="ES309"/>
  <c r="ET309"/>
  <c r="EU309"/>
  <c r="EV309"/>
  <c r="EW309"/>
  <c r="EX309"/>
  <c r="EY309"/>
  <c r="EZ309"/>
  <c r="FA309"/>
  <c r="FB309"/>
  <c r="FC309"/>
  <c r="FD309"/>
  <c r="FE309"/>
  <c r="FF309"/>
  <c r="FG309"/>
  <c r="FH309"/>
  <c r="FI309"/>
  <c r="FJ309"/>
  <c r="FK309"/>
  <c r="FL309"/>
  <c r="FM309"/>
  <c r="FN309"/>
  <c r="FO309"/>
  <c r="FP309"/>
  <c r="FQ309"/>
  <c r="FR309"/>
  <c r="FS309"/>
  <c r="FT309"/>
  <c r="FU309"/>
  <c r="FV309"/>
  <c r="FW309"/>
  <c r="FX309"/>
  <c r="FY309"/>
  <c r="FZ309"/>
  <c r="GA309"/>
  <c r="GB309"/>
  <c r="GC309"/>
  <c r="GD309"/>
  <c r="GE309"/>
  <c r="GF309"/>
  <c r="GG309"/>
  <c r="GH309"/>
  <c r="GI309"/>
  <c r="GJ309"/>
  <c r="GK309"/>
  <c r="GL309"/>
  <c r="GM309"/>
  <c r="GN309"/>
  <c r="GO309"/>
  <c r="GP309"/>
  <c r="GQ309"/>
  <c r="GR309"/>
  <c r="GS309"/>
  <c r="GT309"/>
  <c r="GU309"/>
  <c r="GV309"/>
  <c r="GW309"/>
  <c r="GX309"/>
  <c r="GY309"/>
  <c r="GZ309"/>
  <c r="HA309"/>
  <c r="HB309"/>
  <c r="HC309"/>
  <c r="HD309"/>
  <c r="HE309"/>
  <c r="HF309"/>
  <c r="HG309"/>
  <c r="HH309"/>
  <c r="HI309"/>
  <c r="HJ309"/>
  <c r="HK309"/>
  <c r="HL309"/>
  <c r="HM309"/>
  <c r="HN309"/>
  <c r="HO309"/>
  <c r="HP309"/>
  <c r="HQ309"/>
  <c r="HR309"/>
  <c r="HS309"/>
  <c r="HT309"/>
  <c r="HU309"/>
  <c r="HV309"/>
  <c r="HW309"/>
  <c r="HX309"/>
  <c r="HY309"/>
  <c r="HZ309"/>
  <c r="IA309"/>
  <c r="IB309"/>
  <c r="IC309"/>
  <c r="ID309"/>
  <c r="IE309"/>
  <c r="IF309"/>
  <c r="IG309"/>
  <c r="IH309"/>
  <c r="II309"/>
  <c r="IJ309"/>
  <c r="IK309"/>
  <c r="IL309"/>
  <c r="IM309"/>
  <c r="IN309"/>
  <c r="IO309"/>
  <c r="IP309"/>
  <c r="IQ309"/>
  <c r="IR309"/>
  <c r="IS309"/>
  <c r="IT309"/>
  <c r="IU309"/>
  <c r="IV309"/>
  <c r="A308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AV308"/>
  <c r="AW308"/>
  <c r="AX308"/>
  <c r="AY308"/>
  <c r="AZ308"/>
  <c r="BA308"/>
  <c r="BB308"/>
  <c r="BC308"/>
  <c r="BD308"/>
  <c r="BE308"/>
  <c r="BF308"/>
  <c r="BG308"/>
  <c r="BH308"/>
  <c r="BI308"/>
  <c r="BJ308"/>
  <c r="BK308"/>
  <c r="BL308"/>
  <c r="BM308"/>
  <c r="BN308"/>
  <c r="BO308"/>
  <c r="BP308"/>
  <c r="BQ308"/>
  <c r="BR308"/>
  <c r="BS308"/>
  <c r="BT308"/>
  <c r="BU308"/>
  <c r="BV308"/>
  <c r="BW308"/>
  <c r="BX308"/>
  <c r="BY308"/>
  <c r="BZ308"/>
  <c r="CA308"/>
  <c r="CB308"/>
  <c r="CC308"/>
  <c r="CD308"/>
  <c r="CE308"/>
  <c r="CF308"/>
  <c r="CG308"/>
  <c r="CH308"/>
  <c r="CI308"/>
  <c r="CJ308"/>
  <c r="CK308"/>
  <c r="CL308"/>
  <c r="CM308"/>
  <c r="CN308"/>
  <c r="CO308"/>
  <c r="CP308"/>
  <c r="CQ308"/>
  <c r="CR308"/>
  <c r="CS308"/>
  <c r="CT308"/>
  <c r="CU308"/>
  <c r="CV308"/>
  <c r="CW308"/>
  <c r="CX308"/>
  <c r="CY308"/>
  <c r="CZ308"/>
  <c r="DA308"/>
  <c r="DB308"/>
  <c r="DC308"/>
  <c r="DD308"/>
  <c r="DE308"/>
  <c r="DF308"/>
  <c r="DG308"/>
  <c r="DH308"/>
  <c r="DI308"/>
  <c r="DJ308"/>
  <c r="DK308"/>
  <c r="DL308"/>
  <c r="DM308"/>
  <c r="DN308"/>
  <c r="DO308"/>
  <c r="DP308"/>
  <c r="DQ308"/>
  <c r="DR308"/>
  <c r="DS308"/>
  <c r="DT308"/>
  <c r="DU308"/>
  <c r="DV308"/>
  <c r="DW308"/>
  <c r="DX308"/>
  <c r="DY308"/>
  <c r="DZ308"/>
  <c r="EA308"/>
  <c r="EB308"/>
  <c r="EC308"/>
  <c r="ED308"/>
  <c r="EE308"/>
  <c r="EF308"/>
  <c r="EG308"/>
  <c r="EH308"/>
  <c r="EI308"/>
  <c r="EJ308"/>
  <c r="EK308"/>
  <c r="EL308"/>
  <c r="EM308"/>
  <c r="EN308"/>
  <c r="EO308"/>
  <c r="EP308"/>
  <c r="EQ308"/>
  <c r="ER308"/>
  <c r="ES308"/>
  <c r="ET308"/>
  <c r="EU308"/>
  <c r="EV308"/>
  <c r="EW308"/>
  <c r="EX308"/>
  <c r="EY308"/>
  <c r="EZ308"/>
  <c r="FA308"/>
  <c r="FB308"/>
  <c r="FC308"/>
  <c r="FD308"/>
  <c r="FE308"/>
  <c r="FF308"/>
  <c r="FG308"/>
  <c r="FH308"/>
  <c r="FI308"/>
  <c r="FJ308"/>
  <c r="FK308"/>
  <c r="FL308"/>
  <c r="FM308"/>
  <c r="FN308"/>
  <c r="FO308"/>
  <c r="FP308"/>
  <c r="FQ308"/>
  <c r="FR308"/>
  <c r="FS308"/>
  <c r="FT308"/>
  <c r="FU308"/>
  <c r="FV308"/>
  <c r="FW308"/>
  <c r="FX308"/>
  <c r="FY308"/>
  <c r="FZ308"/>
  <c r="GA308"/>
  <c r="GB308"/>
  <c r="GC308"/>
  <c r="GD308"/>
  <c r="GE308"/>
  <c r="GF308"/>
  <c r="GG308"/>
  <c r="GH308"/>
  <c r="GI308"/>
  <c r="GJ308"/>
  <c r="GK308"/>
  <c r="GL308"/>
  <c r="GM308"/>
  <c r="GN308"/>
  <c r="GO308"/>
  <c r="GP308"/>
  <c r="GQ308"/>
  <c r="GR308"/>
  <c r="GS308"/>
  <c r="GT308"/>
  <c r="GU308"/>
  <c r="GV308"/>
  <c r="GW308"/>
  <c r="GX308"/>
  <c r="GY308"/>
  <c r="GZ308"/>
  <c r="HA308"/>
  <c r="HB308"/>
  <c r="HC308"/>
  <c r="HD308"/>
  <c r="HE308"/>
  <c r="HF308"/>
  <c r="HG308"/>
  <c r="HH308"/>
  <c r="HI308"/>
  <c r="HJ308"/>
  <c r="HK308"/>
  <c r="HL308"/>
  <c r="HM308"/>
  <c r="HN308"/>
  <c r="HO308"/>
  <c r="HP308"/>
  <c r="HQ308"/>
  <c r="HR308"/>
  <c r="HS308"/>
  <c r="HT308"/>
  <c r="HU308"/>
  <c r="HV308"/>
  <c r="HW308"/>
  <c r="HX308"/>
  <c r="HY308"/>
  <c r="HZ308"/>
  <c r="IA308"/>
  <c r="IB308"/>
  <c r="IC308"/>
  <c r="ID308"/>
  <c r="IE308"/>
  <c r="IF308"/>
  <c r="IG308"/>
  <c r="IH308"/>
  <c r="II308"/>
  <c r="IJ308"/>
  <c r="IK308"/>
  <c r="IL308"/>
  <c r="IM308"/>
  <c r="IN308"/>
  <c r="IO308"/>
  <c r="IP308"/>
  <c r="IQ308"/>
  <c r="IR308"/>
  <c r="IS308"/>
  <c r="IT308"/>
  <c r="IU308"/>
  <c r="IV308"/>
  <c r="A307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AV307"/>
  <c r="AW307"/>
  <c r="AX307"/>
  <c r="AY307"/>
  <c r="AZ307"/>
  <c r="BA307"/>
  <c r="BB307"/>
  <c r="BC307"/>
  <c r="BD307"/>
  <c r="BE307"/>
  <c r="BF307"/>
  <c r="BG307"/>
  <c r="BH307"/>
  <c r="BI307"/>
  <c r="BJ307"/>
  <c r="BK307"/>
  <c r="BL307"/>
  <c r="BM307"/>
  <c r="BN307"/>
  <c r="BO307"/>
  <c r="BP307"/>
  <c r="BQ307"/>
  <c r="BR307"/>
  <c r="BS307"/>
  <c r="BT307"/>
  <c r="BU307"/>
  <c r="BV307"/>
  <c r="BW307"/>
  <c r="BX307"/>
  <c r="BY307"/>
  <c r="BZ307"/>
  <c r="CA307"/>
  <c r="CB307"/>
  <c r="CC307"/>
  <c r="CD307"/>
  <c r="CE307"/>
  <c r="CF307"/>
  <c r="CG307"/>
  <c r="CH307"/>
  <c r="CI307"/>
  <c r="CJ307"/>
  <c r="CK307"/>
  <c r="CL307"/>
  <c r="CM307"/>
  <c r="CN307"/>
  <c r="CO307"/>
  <c r="CP307"/>
  <c r="CQ307"/>
  <c r="CR307"/>
  <c r="CS307"/>
  <c r="CT307"/>
  <c r="CU307"/>
  <c r="CV307"/>
  <c r="CW307"/>
  <c r="CX307"/>
  <c r="CY307"/>
  <c r="CZ307"/>
  <c r="DA307"/>
  <c r="DB307"/>
  <c r="DC307"/>
  <c r="DD307"/>
  <c r="DE307"/>
  <c r="DF307"/>
  <c r="DG307"/>
  <c r="DH307"/>
  <c r="DI307"/>
  <c r="DJ307"/>
  <c r="DK307"/>
  <c r="DL307"/>
  <c r="DM307"/>
  <c r="DN307"/>
  <c r="DO307"/>
  <c r="DP307"/>
  <c r="DQ307"/>
  <c r="DR307"/>
  <c r="DS307"/>
  <c r="DT307"/>
  <c r="DU307"/>
  <c r="DV307"/>
  <c r="DW307"/>
  <c r="DX307"/>
  <c r="DY307"/>
  <c r="DZ307"/>
  <c r="EA307"/>
  <c r="EB307"/>
  <c r="EC307"/>
  <c r="ED307"/>
  <c r="EE307"/>
  <c r="EF307"/>
  <c r="EG307"/>
  <c r="EH307"/>
  <c r="EI307"/>
  <c r="EJ307"/>
  <c r="EK307"/>
  <c r="EL307"/>
  <c r="EM307"/>
  <c r="EN307"/>
  <c r="EO307"/>
  <c r="EP307"/>
  <c r="EQ307"/>
  <c r="ER307"/>
  <c r="ES307"/>
  <c r="ET307"/>
  <c r="EU307"/>
  <c r="EV307"/>
  <c r="EW307"/>
  <c r="EX307"/>
  <c r="EY307"/>
  <c r="EZ307"/>
  <c r="FA307"/>
  <c r="FB307"/>
  <c r="FC307"/>
  <c r="FD307"/>
  <c r="FE307"/>
  <c r="FF307"/>
  <c r="FG307"/>
  <c r="FH307"/>
  <c r="FI307"/>
  <c r="FJ307"/>
  <c r="FK307"/>
  <c r="FL307"/>
  <c r="FM307"/>
  <c r="FN307"/>
  <c r="FO307"/>
  <c r="FP307"/>
  <c r="FQ307"/>
  <c r="FR307"/>
  <c r="FS307"/>
  <c r="FT307"/>
  <c r="FU307"/>
  <c r="FV307"/>
  <c r="FW307"/>
  <c r="FX307"/>
  <c r="FY307"/>
  <c r="FZ307"/>
  <c r="GA307"/>
  <c r="GB307"/>
  <c r="GC307"/>
  <c r="GD307"/>
  <c r="GE307"/>
  <c r="GF307"/>
  <c r="GG307"/>
  <c r="GH307"/>
  <c r="GI307"/>
  <c r="GJ307"/>
  <c r="GK307"/>
  <c r="GL307"/>
  <c r="GM307"/>
  <c r="GN307"/>
  <c r="GO307"/>
  <c r="GP307"/>
  <c r="GQ307"/>
  <c r="GR307"/>
  <c r="GS307"/>
  <c r="GT307"/>
  <c r="GU307"/>
  <c r="GV307"/>
  <c r="GW307"/>
  <c r="GX307"/>
  <c r="GY307"/>
  <c r="GZ307"/>
  <c r="HA307"/>
  <c r="HB307"/>
  <c r="HC307"/>
  <c r="HD307"/>
  <c r="HE307"/>
  <c r="HF307"/>
  <c r="HG307"/>
  <c r="HH307"/>
  <c r="HI307"/>
  <c r="HJ307"/>
  <c r="HK307"/>
  <c r="HL307"/>
  <c r="HM307"/>
  <c r="HN307"/>
  <c r="HO307"/>
  <c r="HP307"/>
  <c r="HQ307"/>
  <c r="HR307"/>
  <c r="HS307"/>
  <c r="HT307"/>
  <c r="HU307"/>
  <c r="HV307"/>
  <c r="HW307"/>
  <c r="HX307"/>
  <c r="HY307"/>
  <c r="HZ307"/>
  <c r="IA307"/>
  <c r="IB307"/>
  <c r="IC307"/>
  <c r="ID307"/>
  <c r="IE307"/>
  <c r="IF307"/>
  <c r="IG307"/>
  <c r="IH307"/>
  <c r="II307"/>
  <c r="IJ307"/>
  <c r="IK307"/>
  <c r="IL307"/>
  <c r="IM307"/>
  <c r="IN307"/>
  <c r="IO307"/>
  <c r="IP307"/>
  <c r="IQ307"/>
  <c r="IR307"/>
  <c r="IS307"/>
  <c r="IT307"/>
  <c r="IU307"/>
  <c r="IV307"/>
  <c r="A306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AT306"/>
  <c r="AU306"/>
  <c r="AV306"/>
  <c r="AW306"/>
  <c r="AX306"/>
  <c r="AY306"/>
  <c r="AZ306"/>
  <c r="BA306"/>
  <c r="BB306"/>
  <c r="BC306"/>
  <c r="BD306"/>
  <c r="BE306"/>
  <c r="BF306"/>
  <c r="BG306"/>
  <c r="BH306"/>
  <c r="BI306"/>
  <c r="BJ306"/>
  <c r="BK306"/>
  <c r="BL306"/>
  <c r="BM306"/>
  <c r="BN306"/>
  <c r="BO306"/>
  <c r="BP306"/>
  <c r="BQ306"/>
  <c r="BR306"/>
  <c r="BS306"/>
  <c r="BT306"/>
  <c r="BU306"/>
  <c r="BV306"/>
  <c r="BW306"/>
  <c r="BX306"/>
  <c r="BY306"/>
  <c r="BZ306"/>
  <c r="CA306"/>
  <c r="CB306"/>
  <c r="CC306"/>
  <c r="CD306"/>
  <c r="CE306"/>
  <c r="CF306"/>
  <c r="CG306"/>
  <c r="CH306"/>
  <c r="CI306"/>
  <c r="CJ306"/>
  <c r="CK306"/>
  <c r="CL306"/>
  <c r="CM306"/>
  <c r="CN306"/>
  <c r="CO306"/>
  <c r="CP306"/>
  <c r="CQ306"/>
  <c r="CR306"/>
  <c r="CS306"/>
  <c r="CT306"/>
  <c r="CU306"/>
  <c r="CV306"/>
  <c r="CW306"/>
  <c r="CX306"/>
  <c r="CY306"/>
  <c r="CZ306"/>
  <c r="DA306"/>
  <c r="DB306"/>
  <c r="DC306"/>
  <c r="DD306"/>
  <c r="DE306"/>
  <c r="DF306"/>
  <c r="DG306"/>
  <c r="DH306"/>
  <c r="DI306"/>
  <c r="DJ306"/>
  <c r="DK306"/>
  <c r="DL306"/>
  <c r="DM306"/>
  <c r="DN306"/>
  <c r="DO306"/>
  <c r="DP306"/>
  <c r="DQ306"/>
  <c r="DR306"/>
  <c r="DS306"/>
  <c r="DT306"/>
  <c r="DU306"/>
  <c r="DV306"/>
  <c r="DW306"/>
  <c r="DX306"/>
  <c r="DY306"/>
  <c r="DZ306"/>
  <c r="EA306"/>
  <c r="EB306"/>
  <c r="EC306"/>
  <c r="ED306"/>
  <c r="EE306"/>
  <c r="EF306"/>
  <c r="EG306"/>
  <c r="EH306"/>
  <c r="EI306"/>
  <c r="EJ306"/>
  <c r="EK306"/>
  <c r="EL306"/>
  <c r="EM306"/>
  <c r="EN306"/>
  <c r="EO306"/>
  <c r="EP306"/>
  <c r="EQ306"/>
  <c r="ER306"/>
  <c r="ES306"/>
  <c r="ET306"/>
  <c r="EU306"/>
  <c r="EV306"/>
  <c r="EW306"/>
  <c r="EX306"/>
  <c r="EY306"/>
  <c r="EZ306"/>
  <c r="FA306"/>
  <c r="FB306"/>
  <c r="FC306"/>
  <c r="FD306"/>
  <c r="FE306"/>
  <c r="FF306"/>
  <c r="FG306"/>
  <c r="FH306"/>
  <c r="FI306"/>
  <c r="FJ306"/>
  <c r="FK306"/>
  <c r="FL306"/>
  <c r="FM306"/>
  <c r="FN306"/>
  <c r="FO306"/>
  <c r="FP306"/>
  <c r="FQ306"/>
  <c r="FR306"/>
  <c r="FS306"/>
  <c r="FT306"/>
  <c r="FU306"/>
  <c r="FV306"/>
  <c r="FW306"/>
  <c r="FX306"/>
  <c r="FY306"/>
  <c r="FZ306"/>
  <c r="GA306"/>
  <c r="GB306"/>
  <c r="GC306"/>
  <c r="GD306"/>
  <c r="GE306"/>
  <c r="GF306"/>
  <c r="GG306"/>
  <c r="GH306"/>
  <c r="GI306"/>
  <c r="GJ306"/>
  <c r="GK306"/>
  <c r="GL306"/>
  <c r="GM306"/>
  <c r="GN306"/>
  <c r="GO306"/>
  <c r="GP306"/>
  <c r="GQ306"/>
  <c r="GR306"/>
  <c r="GS306"/>
  <c r="GT306"/>
  <c r="GU306"/>
  <c r="GV306"/>
  <c r="GW306"/>
  <c r="GX306"/>
  <c r="GY306"/>
  <c r="GZ306"/>
  <c r="HA306"/>
  <c r="HB306"/>
  <c r="HC306"/>
  <c r="HD306"/>
  <c r="HE306"/>
  <c r="HF306"/>
  <c r="HG306"/>
  <c r="HH306"/>
  <c r="HI306"/>
  <c r="HJ306"/>
  <c r="HK306"/>
  <c r="HL306"/>
  <c r="HM306"/>
  <c r="HN306"/>
  <c r="HO306"/>
  <c r="HP306"/>
  <c r="HQ306"/>
  <c r="HR306"/>
  <c r="HS306"/>
  <c r="HT306"/>
  <c r="HU306"/>
  <c r="HV306"/>
  <c r="HW306"/>
  <c r="HX306"/>
  <c r="HY306"/>
  <c r="HZ306"/>
  <c r="IA306"/>
  <c r="IB306"/>
  <c r="IC306"/>
  <c r="ID306"/>
  <c r="IE306"/>
  <c r="IF306"/>
  <c r="IG306"/>
  <c r="IH306"/>
  <c r="II306"/>
  <c r="IJ306"/>
  <c r="IK306"/>
  <c r="IL306"/>
  <c r="IM306"/>
  <c r="IN306"/>
  <c r="IO306"/>
  <c r="IP306"/>
  <c r="IQ306"/>
  <c r="IR306"/>
  <c r="IS306"/>
  <c r="IT306"/>
  <c r="IU306"/>
  <c r="IV306"/>
  <c r="A305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AV305"/>
  <c r="AW305"/>
  <c r="AX305"/>
  <c r="AY305"/>
  <c r="AZ305"/>
  <c r="BA305"/>
  <c r="BB305"/>
  <c r="BC305"/>
  <c r="BD305"/>
  <c r="BE305"/>
  <c r="BF305"/>
  <c r="BG305"/>
  <c r="BH305"/>
  <c r="BI305"/>
  <c r="BJ305"/>
  <c r="BK305"/>
  <c r="BL305"/>
  <c r="BM305"/>
  <c r="BN305"/>
  <c r="BO305"/>
  <c r="BP305"/>
  <c r="BQ305"/>
  <c r="BR305"/>
  <c r="BS305"/>
  <c r="BT305"/>
  <c r="BU305"/>
  <c r="BV305"/>
  <c r="BW305"/>
  <c r="BX305"/>
  <c r="BY305"/>
  <c r="BZ305"/>
  <c r="CA305"/>
  <c r="CB305"/>
  <c r="CC305"/>
  <c r="CD305"/>
  <c r="CE305"/>
  <c r="CF305"/>
  <c r="CG305"/>
  <c r="CH305"/>
  <c r="CI305"/>
  <c r="CJ305"/>
  <c r="CK305"/>
  <c r="CL305"/>
  <c r="CM305"/>
  <c r="CN305"/>
  <c r="CO305"/>
  <c r="CP305"/>
  <c r="CQ305"/>
  <c r="CR305"/>
  <c r="CS305"/>
  <c r="CT305"/>
  <c r="CU305"/>
  <c r="CV305"/>
  <c r="CW305"/>
  <c r="CX305"/>
  <c r="CY305"/>
  <c r="CZ305"/>
  <c r="DA305"/>
  <c r="DB305"/>
  <c r="DC305"/>
  <c r="DD305"/>
  <c r="DE305"/>
  <c r="DF305"/>
  <c r="DG305"/>
  <c r="DH305"/>
  <c r="DI305"/>
  <c r="DJ305"/>
  <c r="DK305"/>
  <c r="DL305"/>
  <c r="DM305"/>
  <c r="DN305"/>
  <c r="DO305"/>
  <c r="DP305"/>
  <c r="DQ305"/>
  <c r="DR305"/>
  <c r="DS305"/>
  <c r="DT305"/>
  <c r="DU305"/>
  <c r="DV305"/>
  <c r="DW305"/>
  <c r="DX305"/>
  <c r="DY305"/>
  <c r="DZ305"/>
  <c r="EA305"/>
  <c r="EB305"/>
  <c r="EC305"/>
  <c r="ED305"/>
  <c r="EE305"/>
  <c r="EF305"/>
  <c r="EG305"/>
  <c r="EH305"/>
  <c r="EI305"/>
  <c r="EJ305"/>
  <c r="EK305"/>
  <c r="EL305"/>
  <c r="EM305"/>
  <c r="EN305"/>
  <c r="EO305"/>
  <c r="EP305"/>
  <c r="EQ305"/>
  <c r="ER305"/>
  <c r="ES305"/>
  <c r="ET305"/>
  <c r="EU305"/>
  <c r="EV305"/>
  <c r="EW305"/>
  <c r="EX305"/>
  <c r="EY305"/>
  <c r="EZ305"/>
  <c r="FA305"/>
  <c r="FB305"/>
  <c r="FC305"/>
  <c r="FD305"/>
  <c r="FE305"/>
  <c r="FF305"/>
  <c r="FG305"/>
  <c r="FH305"/>
  <c r="FI305"/>
  <c r="FJ305"/>
  <c r="FK305"/>
  <c r="FL305"/>
  <c r="FM305"/>
  <c r="FN305"/>
  <c r="FO305"/>
  <c r="FP305"/>
  <c r="FQ305"/>
  <c r="FR305"/>
  <c r="FS305"/>
  <c r="FT305"/>
  <c r="FU305"/>
  <c r="FV305"/>
  <c r="FW305"/>
  <c r="FX305"/>
  <c r="FY305"/>
  <c r="FZ305"/>
  <c r="GA305"/>
  <c r="GB305"/>
  <c r="GC305"/>
  <c r="GD305"/>
  <c r="GE305"/>
  <c r="GF305"/>
  <c r="GG305"/>
  <c r="GH305"/>
  <c r="GI305"/>
  <c r="GJ305"/>
  <c r="GK305"/>
  <c r="GL305"/>
  <c r="GM305"/>
  <c r="GN305"/>
  <c r="GO305"/>
  <c r="GP305"/>
  <c r="GQ305"/>
  <c r="GR305"/>
  <c r="GS305"/>
  <c r="GT305"/>
  <c r="GU305"/>
  <c r="GV305"/>
  <c r="GW305"/>
  <c r="GX305"/>
  <c r="GY305"/>
  <c r="GZ305"/>
  <c r="HA305"/>
  <c r="HB305"/>
  <c r="HC305"/>
  <c r="HD305"/>
  <c r="HE305"/>
  <c r="HF305"/>
  <c r="HG305"/>
  <c r="HH305"/>
  <c r="HI305"/>
  <c r="HJ305"/>
  <c r="HK305"/>
  <c r="HL305"/>
  <c r="HM305"/>
  <c r="HN305"/>
  <c r="HO305"/>
  <c r="HP305"/>
  <c r="HQ305"/>
  <c r="HR305"/>
  <c r="HS305"/>
  <c r="HT305"/>
  <c r="HU305"/>
  <c r="HV305"/>
  <c r="HW305"/>
  <c r="HX305"/>
  <c r="HY305"/>
  <c r="HZ305"/>
  <c r="IA305"/>
  <c r="IB305"/>
  <c r="IC305"/>
  <c r="ID305"/>
  <c r="IE305"/>
  <c r="IF305"/>
  <c r="IG305"/>
  <c r="IH305"/>
  <c r="II305"/>
  <c r="IJ305"/>
  <c r="IK305"/>
  <c r="IL305"/>
  <c r="IM305"/>
  <c r="IN305"/>
  <c r="IO305"/>
  <c r="IP305"/>
  <c r="IQ305"/>
  <c r="IR305"/>
  <c r="IS305"/>
  <c r="IT305"/>
  <c r="IU305"/>
  <c r="IV305"/>
  <c r="A304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AT304"/>
  <c r="AU304"/>
  <c r="AV304"/>
  <c r="AW304"/>
  <c r="AX304"/>
  <c r="AY304"/>
  <c r="AZ304"/>
  <c r="BA304"/>
  <c r="BB304"/>
  <c r="BC304"/>
  <c r="BD304"/>
  <c r="BE304"/>
  <c r="BF304"/>
  <c r="BG304"/>
  <c r="BH304"/>
  <c r="BI304"/>
  <c r="BJ304"/>
  <c r="BK304"/>
  <c r="BL304"/>
  <c r="BM304"/>
  <c r="BN304"/>
  <c r="BO304"/>
  <c r="BP304"/>
  <c r="BQ304"/>
  <c r="BR304"/>
  <c r="BS304"/>
  <c r="BT304"/>
  <c r="BU304"/>
  <c r="BV304"/>
  <c r="BW304"/>
  <c r="BX304"/>
  <c r="BY304"/>
  <c r="BZ304"/>
  <c r="CA304"/>
  <c r="CB304"/>
  <c r="CC304"/>
  <c r="CD304"/>
  <c r="CE304"/>
  <c r="CF304"/>
  <c r="CG304"/>
  <c r="CH304"/>
  <c r="CI304"/>
  <c r="CJ304"/>
  <c r="CK304"/>
  <c r="CL304"/>
  <c r="CM304"/>
  <c r="CN304"/>
  <c r="CO304"/>
  <c r="CP304"/>
  <c r="CQ304"/>
  <c r="CR304"/>
  <c r="CS304"/>
  <c r="CT304"/>
  <c r="CU304"/>
  <c r="CV304"/>
  <c r="CW304"/>
  <c r="CX304"/>
  <c r="CY304"/>
  <c r="CZ304"/>
  <c r="DA304"/>
  <c r="DB304"/>
  <c r="DC304"/>
  <c r="DD304"/>
  <c r="DE304"/>
  <c r="DF304"/>
  <c r="DG304"/>
  <c r="DH304"/>
  <c r="DI304"/>
  <c r="DJ304"/>
  <c r="DK304"/>
  <c r="DL304"/>
  <c r="DM304"/>
  <c r="DN304"/>
  <c r="DO304"/>
  <c r="DP304"/>
  <c r="DQ304"/>
  <c r="DR304"/>
  <c r="DS304"/>
  <c r="DT304"/>
  <c r="DU304"/>
  <c r="DV304"/>
  <c r="DW304"/>
  <c r="DX304"/>
  <c r="DY304"/>
  <c r="DZ304"/>
  <c r="EA304"/>
  <c r="EB304"/>
  <c r="EC304"/>
  <c r="ED304"/>
  <c r="EE304"/>
  <c r="EF304"/>
  <c r="EG304"/>
  <c r="EH304"/>
  <c r="EI304"/>
  <c r="EJ304"/>
  <c r="EK304"/>
  <c r="EL304"/>
  <c r="EM304"/>
  <c r="EN304"/>
  <c r="EO304"/>
  <c r="EP304"/>
  <c r="EQ304"/>
  <c r="ER304"/>
  <c r="ES304"/>
  <c r="ET304"/>
  <c r="EU304"/>
  <c r="EV304"/>
  <c r="EW304"/>
  <c r="EX304"/>
  <c r="EY304"/>
  <c r="EZ304"/>
  <c r="FA304"/>
  <c r="FB304"/>
  <c r="FC304"/>
  <c r="FD304"/>
  <c r="FE304"/>
  <c r="FF304"/>
  <c r="FG304"/>
  <c r="FH304"/>
  <c r="FI304"/>
  <c r="FJ304"/>
  <c r="FK304"/>
  <c r="FL304"/>
  <c r="FM304"/>
  <c r="FN304"/>
  <c r="FO304"/>
  <c r="FP304"/>
  <c r="FQ304"/>
  <c r="FR304"/>
  <c r="FS304"/>
  <c r="FT304"/>
  <c r="FU304"/>
  <c r="FV304"/>
  <c r="FW304"/>
  <c r="FX304"/>
  <c r="FY304"/>
  <c r="FZ304"/>
  <c r="GA304"/>
  <c r="GB304"/>
  <c r="GC304"/>
  <c r="GD304"/>
  <c r="GE304"/>
  <c r="GF304"/>
  <c r="GG304"/>
  <c r="GH304"/>
  <c r="GI304"/>
  <c r="GJ304"/>
  <c r="GK304"/>
  <c r="GL304"/>
  <c r="GM304"/>
  <c r="GN304"/>
  <c r="GO304"/>
  <c r="GP304"/>
  <c r="GQ304"/>
  <c r="GR304"/>
  <c r="GS304"/>
  <c r="GT304"/>
  <c r="GU304"/>
  <c r="GV304"/>
  <c r="GW304"/>
  <c r="GX304"/>
  <c r="GY304"/>
  <c r="GZ304"/>
  <c r="HA304"/>
  <c r="HB304"/>
  <c r="HC304"/>
  <c r="HD304"/>
  <c r="HE304"/>
  <c r="HF304"/>
  <c r="HG304"/>
  <c r="HH304"/>
  <c r="HI304"/>
  <c r="HJ304"/>
  <c r="HK304"/>
  <c r="HL304"/>
  <c r="HM304"/>
  <c r="HN304"/>
  <c r="HO304"/>
  <c r="HP304"/>
  <c r="HQ304"/>
  <c r="HR304"/>
  <c r="HS304"/>
  <c r="HT304"/>
  <c r="HU304"/>
  <c r="HV304"/>
  <c r="HW304"/>
  <c r="HX304"/>
  <c r="HY304"/>
  <c r="HZ304"/>
  <c r="IA304"/>
  <c r="IB304"/>
  <c r="IC304"/>
  <c r="ID304"/>
  <c r="IE304"/>
  <c r="IF304"/>
  <c r="IG304"/>
  <c r="IH304"/>
  <c r="II304"/>
  <c r="IJ304"/>
  <c r="IK304"/>
  <c r="IL304"/>
  <c r="IM304"/>
  <c r="IN304"/>
  <c r="IO304"/>
  <c r="IP304"/>
  <c r="IQ304"/>
  <c r="IR304"/>
  <c r="IS304"/>
  <c r="IT304"/>
  <c r="IU304"/>
  <c r="IV304"/>
  <c r="A303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AT303"/>
  <c r="AU303"/>
  <c r="AV303"/>
  <c r="AW303"/>
  <c r="AX303"/>
  <c r="AY303"/>
  <c r="AZ303"/>
  <c r="BA303"/>
  <c r="BB303"/>
  <c r="BC303"/>
  <c r="BD303"/>
  <c r="BE303"/>
  <c r="BF303"/>
  <c r="BG303"/>
  <c r="BH303"/>
  <c r="BI303"/>
  <c r="BJ303"/>
  <c r="BK303"/>
  <c r="BL303"/>
  <c r="BM303"/>
  <c r="BN303"/>
  <c r="BO303"/>
  <c r="BP303"/>
  <c r="BQ303"/>
  <c r="BR303"/>
  <c r="BS303"/>
  <c r="BT303"/>
  <c r="BU303"/>
  <c r="BV303"/>
  <c r="BW303"/>
  <c r="BX303"/>
  <c r="BY303"/>
  <c r="BZ303"/>
  <c r="CA303"/>
  <c r="CB303"/>
  <c r="CC303"/>
  <c r="CD303"/>
  <c r="CE303"/>
  <c r="CF303"/>
  <c r="CG303"/>
  <c r="CH303"/>
  <c r="CI303"/>
  <c r="CJ303"/>
  <c r="CK303"/>
  <c r="CL303"/>
  <c r="CM303"/>
  <c r="CN303"/>
  <c r="CO303"/>
  <c r="CP303"/>
  <c r="CQ303"/>
  <c r="CR303"/>
  <c r="CS303"/>
  <c r="CT303"/>
  <c r="CU303"/>
  <c r="CV303"/>
  <c r="CW303"/>
  <c r="CX303"/>
  <c r="CY303"/>
  <c r="CZ303"/>
  <c r="DA303"/>
  <c r="DB303"/>
  <c r="DC303"/>
  <c r="DD303"/>
  <c r="DE303"/>
  <c r="DF303"/>
  <c r="DG303"/>
  <c r="DH303"/>
  <c r="DI303"/>
  <c r="DJ303"/>
  <c r="DK303"/>
  <c r="DL303"/>
  <c r="DM303"/>
  <c r="DN303"/>
  <c r="DO303"/>
  <c r="DP303"/>
  <c r="DQ303"/>
  <c r="DR303"/>
  <c r="DS303"/>
  <c r="DT303"/>
  <c r="DU303"/>
  <c r="DV303"/>
  <c r="DW303"/>
  <c r="DX303"/>
  <c r="DY303"/>
  <c r="DZ303"/>
  <c r="EA303"/>
  <c r="EB303"/>
  <c r="EC303"/>
  <c r="ED303"/>
  <c r="EE303"/>
  <c r="EF303"/>
  <c r="EG303"/>
  <c r="EH303"/>
  <c r="EI303"/>
  <c r="EJ303"/>
  <c r="EK303"/>
  <c r="EL303"/>
  <c r="EM303"/>
  <c r="EN303"/>
  <c r="EO303"/>
  <c r="EP303"/>
  <c r="EQ303"/>
  <c r="ER303"/>
  <c r="ES303"/>
  <c r="ET303"/>
  <c r="EU303"/>
  <c r="EV303"/>
  <c r="EW303"/>
  <c r="EX303"/>
  <c r="EY303"/>
  <c r="EZ303"/>
  <c r="FA303"/>
  <c r="FB303"/>
  <c r="FC303"/>
  <c r="FD303"/>
  <c r="FE303"/>
  <c r="FF303"/>
  <c r="FG303"/>
  <c r="FH303"/>
  <c r="FI303"/>
  <c r="FJ303"/>
  <c r="FK303"/>
  <c r="FL303"/>
  <c r="FM303"/>
  <c r="FN303"/>
  <c r="FO303"/>
  <c r="FP303"/>
  <c r="FQ303"/>
  <c r="FR303"/>
  <c r="FS303"/>
  <c r="FT303"/>
  <c r="FU303"/>
  <c r="FV303"/>
  <c r="FW303"/>
  <c r="FX303"/>
  <c r="FY303"/>
  <c r="FZ303"/>
  <c r="GA303"/>
  <c r="GB303"/>
  <c r="GC303"/>
  <c r="GD303"/>
  <c r="GE303"/>
  <c r="GF303"/>
  <c r="GG303"/>
  <c r="GH303"/>
  <c r="GI303"/>
  <c r="GJ303"/>
  <c r="GK303"/>
  <c r="GL303"/>
  <c r="GM303"/>
  <c r="GN303"/>
  <c r="GO303"/>
  <c r="GP303"/>
  <c r="GQ303"/>
  <c r="GR303"/>
  <c r="GS303"/>
  <c r="GT303"/>
  <c r="GU303"/>
  <c r="GV303"/>
  <c r="GW303"/>
  <c r="GX303"/>
  <c r="GY303"/>
  <c r="GZ303"/>
  <c r="HA303"/>
  <c r="HB303"/>
  <c r="HC303"/>
  <c r="HD303"/>
  <c r="HE303"/>
  <c r="HF303"/>
  <c r="HG303"/>
  <c r="HH303"/>
  <c r="HI303"/>
  <c r="HJ303"/>
  <c r="HK303"/>
  <c r="HL303"/>
  <c r="HM303"/>
  <c r="HN303"/>
  <c r="HO303"/>
  <c r="HP303"/>
  <c r="HQ303"/>
  <c r="HR303"/>
  <c r="HS303"/>
  <c r="HT303"/>
  <c r="HU303"/>
  <c r="HV303"/>
  <c r="HW303"/>
  <c r="HX303"/>
  <c r="HY303"/>
  <c r="HZ303"/>
  <c r="IA303"/>
  <c r="IB303"/>
  <c r="IC303"/>
  <c r="ID303"/>
  <c r="IE303"/>
  <c r="IF303"/>
  <c r="IG303"/>
  <c r="IH303"/>
  <c r="II303"/>
  <c r="IJ303"/>
  <c r="IK303"/>
  <c r="IL303"/>
  <c r="IM303"/>
  <c r="IN303"/>
  <c r="IO303"/>
  <c r="IP303"/>
  <c r="IQ303"/>
  <c r="IR303"/>
  <c r="IS303"/>
  <c r="IT303"/>
  <c r="IU303"/>
  <c r="IV303"/>
  <c r="A302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AT302"/>
  <c r="AU302"/>
  <c r="AV302"/>
  <c r="AW302"/>
  <c r="AX302"/>
  <c r="AY302"/>
  <c r="AZ302"/>
  <c r="BA302"/>
  <c r="BB302"/>
  <c r="BC302"/>
  <c r="BD302"/>
  <c r="BE302"/>
  <c r="BF302"/>
  <c r="BG302"/>
  <c r="BH302"/>
  <c r="BI302"/>
  <c r="BJ302"/>
  <c r="BK302"/>
  <c r="BL302"/>
  <c r="BM302"/>
  <c r="BN302"/>
  <c r="BO302"/>
  <c r="BP302"/>
  <c r="BQ302"/>
  <c r="BR302"/>
  <c r="BS302"/>
  <c r="BT302"/>
  <c r="BU302"/>
  <c r="BV302"/>
  <c r="BW302"/>
  <c r="BX302"/>
  <c r="BY302"/>
  <c r="BZ302"/>
  <c r="CA302"/>
  <c r="CB302"/>
  <c r="CC302"/>
  <c r="CD302"/>
  <c r="CE302"/>
  <c r="CF302"/>
  <c r="CG302"/>
  <c r="CH302"/>
  <c r="CI302"/>
  <c r="CJ302"/>
  <c r="CK302"/>
  <c r="CL302"/>
  <c r="CM302"/>
  <c r="CN302"/>
  <c r="CO302"/>
  <c r="CP302"/>
  <c r="CQ302"/>
  <c r="CR302"/>
  <c r="CS302"/>
  <c r="CT302"/>
  <c r="CU302"/>
  <c r="CV302"/>
  <c r="CW302"/>
  <c r="CX302"/>
  <c r="CY302"/>
  <c r="CZ302"/>
  <c r="DA302"/>
  <c r="DB302"/>
  <c r="DC302"/>
  <c r="DD302"/>
  <c r="DE302"/>
  <c r="DF302"/>
  <c r="DG302"/>
  <c r="DH302"/>
  <c r="DI302"/>
  <c r="DJ302"/>
  <c r="DK302"/>
  <c r="DL302"/>
  <c r="DM302"/>
  <c r="DN302"/>
  <c r="DO302"/>
  <c r="DP302"/>
  <c r="DQ302"/>
  <c r="DR302"/>
  <c r="DS302"/>
  <c r="DT302"/>
  <c r="DU302"/>
  <c r="DV302"/>
  <c r="DW302"/>
  <c r="DX302"/>
  <c r="DY302"/>
  <c r="DZ302"/>
  <c r="EA302"/>
  <c r="EB302"/>
  <c r="EC302"/>
  <c r="ED302"/>
  <c r="EE302"/>
  <c r="EF302"/>
  <c r="EG302"/>
  <c r="EH302"/>
  <c r="EI302"/>
  <c r="EJ302"/>
  <c r="EK302"/>
  <c r="EL302"/>
  <c r="EM302"/>
  <c r="EN302"/>
  <c r="EO302"/>
  <c r="EP302"/>
  <c r="EQ302"/>
  <c r="ER302"/>
  <c r="ES302"/>
  <c r="ET302"/>
  <c r="EU302"/>
  <c r="EV302"/>
  <c r="EW302"/>
  <c r="EX302"/>
  <c r="EY302"/>
  <c r="EZ302"/>
  <c r="FA302"/>
  <c r="FB302"/>
  <c r="FC302"/>
  <c r="FD302"/>
  <c r="FE302"/>
  <c r="FF302"/>
  <c r="FG302"/>
  <c r="FH302"/>
  <c r="FI302"/>
  <c r="FJ302"/>
  <c r="FK302"/>
  <c r="FL302"/>
  <c r="FM302"/>
  <c r="FN302"/>
  <c r="FO302"/>
  <c r="FP302"/>
  <c r="FQ302"/>
  <c r="FR302"/>
  <c r="FS302"/>
  <c r="FT302"/>
  <c r="FU302"/>
  <c r="FV302"/>
  <c r="FW302"/>
  <c r="FX302"/>
  <c r="FY302"/>
  <c r="FZ302"/>
  <c r="GA302"/>
  <c r="GB302"/>
  <c r="GC302"/>
  <c r="GD302"/>
  <c r="GE302"/>
  <c r="GF302"/>
  <c r="GG302"/>
  <c r="GH302"/>
  <c r="GI302"/>
  <c r="GJ302"/>
  <c r="GK302"/>
  <c r="GL302"/>
  <c r="GM302"/>
  <c r="GN302"/>
  <c r="GO302"/>
  <c r="GP302"/>
  <c r="GQ302"/>
  <c r="GR302"/>
  <c r="GS302"/>
  <c r="GT302"/>
  <c r="GU302"/>
  <c r="GV302"/>
  <c r="GW302"/>
  <c r="GX302"/>
  <c r="GY302"/>
  <c r="GZ302"/>
  <c r="HA302"/>
  <c r="HB302"/>
  <c r="HC302"/>
  <c r="HD302"/>
  <c r="HE302"/>
  <c r="HF302"/>
  <c r="HG302"/>
  <c r="HH302"/>
  <c r="HI302"/>
  <c r="HJ302"/>
  <c r="HK302"/>
  <c r="HL302"/>
  <c r="HM302"/>
  <c r="HN302"/>
  <c r="HO302"/>
  <c r="HP302"/>
  <c r="HQ302"/>
  <c r="HR302"/>
  <c r="HS302"/>
  <c r="HT302"/>
  <c r="HU302"/>
  <c r="HV302"/>
  <c r="HW302"/>
  <c r="HX302"/>
  <c r="HY302"/>
  <c r="HZ302"/>
  <c r="IA302"/>
  <c r="IB302"/>
  <c r="IC302"/>
  <c r="ID302"/>
  <c r="IE302"/>
  <c r="IF302"/>
  <c r="IG302"/>
  <c r="IH302"/>
  <c r="II302"/>
  <c r="IJ302"/>
  <c r="IK302"/>
  <c r="IL302"/>
  <c r="IM302"/>
  <c r="IN302"/>
  <c r="IO302"/>
  <c r="IP302"/>
  <c r="IQ302"/>
  <c r="IR302"/>
  <c r="IS302"/>
  <c r="IT302"/>
  <c r="IU302"/>
  <c r="IV302"/>
  <c r="A301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AV301"/>
  <c r="AW301"/>
  <c r="AX301"/>
  <c r="AY301"/>
  <c r="AZ301"/>
  <c r="BA301"/>
  <c r="BB301"/>
  <c r="BC301"/>
  <c r="BD301"/>
  <c r="BE301"/>
  <c r="BF301"/>
  <c r="BG301"/>
  <c r="BH301"/>
  <c r="BI301"/>
  <c r="BJ301"/>
  <c r="BK301"/>
  <c r="BL301"/>
  <c r="BM301"/>
  <c r="BN301"/>
  <c r="BO301"/>
  <c r="BP301"/>
  <c r="BQ301"/>
  <c r="BR301"/>
  <c r="BS301"/>
  <c r="BT301"/>
  <c r="BU301"/>
  <c r="BV301"/>
  <c r="BW301"/>
  <c r="BX301"/>
  <c r="BY301"/>
  <c r="BZ301"/>
  <c r="CA301"/>
  <c r="CB301"/>
  <c r="CC301"/>
  <c r="CD301"/>
  <c r="CE301"/>
  <c r="CF301"/>
  <c r="CG301"/>
  <c r="CH301"/>
  <c r="CI301"/>
  <c r="CJ301"/>
  <c r="CK301"/>
  <c r="CL301"/>
  <c r="CM301"/>
  <c r="CN301"/>
  <c r="CO301"/>
  <c r="CP301"/>
  <c r="CQ301"/>
  <c r="CR301"/>
  <c r="CS301"/>
  <c r="CT301"/>
  <c r="CU301"/>
  <c r="CV301"/>
  <c r="CW301"/>
  <c r="CX301"/>
  <c r="CY301"/>
  <c r="CZ301"/>
  <c r="DA301"/>
  <c r="DB301"/>
  <c r="DC301"/>
  <c r="DD301"/>
  <c r="DE301"/>
  <c r="DF301"/>
  <c r="DG301"/>
  <c r="DH301"/>
  <c r="DI301"/>
  <c r="DJ301"/>
  <c r="DK301"/>
  <c r="DL301"/>
  <c r="DM301"/>
  <c r="DN301"/>
  <c r="DO301"/>
  <c r="DP301"/>
  <c r="DQ301"/>
  <c r="DR301"/>
  <c r="DS301"/>
  <c r="DT301"/>
  <c r="DU301"/>
  <c r="DV301"/>
  <c r="DW301"/>
  <c r="DX301"/>
  <c r="DY301"/>
  <c r="DZ301"/>
  <c r="EA301"/>
  <c r="EB301"/>
  <c r="EC301"/>
  <c r="ED301"/>
  <c r="EE301"/>
  <c r="EF301"/>
  <c r="EG301"/>
  <c r="EH301"/>
  <c r="EI301"/>
  <c r="EJ301"/>
  <c r="EK301"/>
  <c r="EL301"/>
  <c r="EM301"/>
  <c r="EN301"/>
  <c r="EO301"/>
  <c r="EP301"/>
  <c r="EQ301"/>
  <c r="ER301"/>
  <c r="ES301"/>
  <c r="ET301"/>
  <c r="EU301"/>
  <c r="EV301"/>
  <c r="EW301"/>
  <c r="EX301"/>
  <c r="EY301"/>
  <c r="EZ301"/>
  <c r="FA301"/>
  <c r="FB301"/>
  <c r="FC301"/>
  <c r="FD301"/>
  <c r="FE301"/>
  <c r="FF301"/>
  <c r="FG301"/>
  <c r="FH301"/>
  <c r="FI301"/>
  <c r="FJ301"/>
  <c r="FK301"/>
  <c r="FL301"/>
  <c r="FM301"/>
  <c r="FN301"/>
  <c r="FO301"/>
  <c r="FP301"/>
  <c r="FQ301"/>
  <c r="FR301"/>
  <c r="FS301"/>
  <c r="FT301"/>
  <c r="FU301"/>
  <c r="FV301"/>
  <c r="FW301"/>
  <c r="FX301"/>
  <c r="FY301"/>
  <c r="FZ301"/>
  <c r="GA301"/>
  <c r="GB301"/>
  <c r="GC301"/>
  <c r="GD301"/>
  <c r="GE301"/>
  <c r="GF301"/>
  <c r="GG301"/>
  <c r="GH301"/>
  <c r="GI301"/>
  <c r="GJ301"/>
  <c r="GK301"/>
  <c r="GL301"/>
  <c r="GM301"/>
  <c r="GN301"/>
  <c r="GO301"/>
  <c r="GP301"/>
  <c r="GQ301"/>
  <c r="GR301"/>
  <c r="GS301"/>
  <c r="GT301"/>
  <c r="GU301"/>
  <c r="GV301"/>
  <c r="GW301"/>
  <c r="GX301"/>
  <c r="GY301"/>
  <c r="GZ301"/>
  <c r="HA301"/>
  <c r="HB301"/>
  <c r="HC301"/>
  <c r="HD301"/>
  <c r="HE301"/>
  <c r="HF301"/>
  <c r="HG301"/>
  <c r="HH301"/>
  <c r="HI301"/>
  <c r="HJ301"/>
  <c r="HK301"/>
  <c r="HL301"/>
  <c r="HM301"/>
  <c r="HN301"/>
  <c r="HO301"/>
  <c r="HP301"/>
  <c r="HQ301"/>
  <c r="HR301"/>
  <c r="HS301"/>
  <c r="HT301"/>
  <c r="HU301"/>
  <c r="HV301"/>
  <c r="HW301"/>
  <c r="HX301"/>
  <c r="HY301"/>
  <c r="HZ301"/>
  <c r="IA301"/>
  <c r="IB301"/>
  <c r="IC301"/>
  <c r="ID301"/>
  <c r="IE301"/>
  <c r="IF301"/>
  <c r="IG301"/>
  <c r="IH301"/>
  <c r="II301"/>
  <c r="IJ301"/>
  <c r="IK301"/>
  <c r="IL301"/>
  <c r="IM301"/>
  <c r="IN301"/>
  <c r="IO301"/>
  <c r="IP301"/>
  <c r="IQ301"/>
  <c r="IR301"/>
  <c r="IS301"/>
  <c r="IT301"/>
  <c r="IU301"/>
  <c r="IV301"/>
  <c r="A300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AT300"/>
  <c r="AU300"/>
  <c r="AV300"/>
  <c r="AW300"/>
  <c r="AX300"/>
  <c r="AY300"/>
  <c r="AZ300"/>
  <c r="BA300"/>
  <c r="BB300"/>
  <c r="BC300"/>
  <c r="BD300"/>
  <c r="BE300"/>
  <c r="BF300"/>
  <c r="BG300"/>
  <c r="BH300"/>
  <c r="BI300"/>
  <c r="BJ300"/>
  <c r="BK300"/>
  <c r="BL300"/>
  <c r="BM300"/>
  <c r="BN300"/>
  <c r="BO300"/>
  <c r="BP300"/>
  <c r="BQ300"/>
  <c r="BR300"/>
  <c r="BS300"/>
  <c r="BT300"/>
  <c r="BU300"/>
  <c r="BV300"/>
  <c r="BW300"/>
  <c r="BX300"/>
  <c r="BY300"/>
  <c r="BZ300"/>
  <c r="CA300"/>
  <c r="CB300"/>
  <c r="CC300"/>
  <c r="CD300"/>
  <c r="CE300"/>
  <c r="CF300"/>
  <c r="CG300"/>
  <c r="CH300"/>
  <c r="CI300"/>
  <c r="CJ300"/>
  <c r="CK300"/>
  <c r="CL300"/>
  <c r="CM300"/>
  <c r="CN300"/>
  <c r="CO300"/>
  <c r="CP300"/>
  <c r="CQ300"/>
  <c r="CR300"/>
  <c r="CS300"/>
  <c r="CT300"/>
  <c r="CU300"/>
  <c r="CV300"/>
  <c r="CW300"/>
  <c r="CX300"/>
  <c r="CY300"/>
  <c r="CZ300"/>
  <c r="DA300"/>
  <c r="DB300"/>
  <c r="DC300"/>
  <c r="DD300"/>
  <c r="DE300"/>
  <c r="DF300"/>
  <c r="DG300"/>
  <c r="DH300"/>
  <c r="DI300"/>
  <c r="DJ300"/>
  <c r="DK300"/>
  <c r="DL300"/>
  <c r="DM300"/>
  <c r="DN300"/>
  <c r="DO300"/>
  <c r="DP300"/>
  <c r="DQ300"/>
  <c r="DR300"/>
  <c r="DS300"/>
  <c r="DT300"/>
  <c r="DU300"/>
  <c r="DV300"/>
  <c r="DW300"/>
  <c r="DX300"/>
  <c r="DY300"/>
  <c r="DZ300"/>
  <c r="EA300"/>
  <c r="EB300"/>
  <c r="EC300"/>
  <c r="ED300"/>
  <c r="EE300"/>
  <c r="EF300"/>
  <c r="EG300"/>
  <c r="EH300"/>
  <c r="EI300"/>
  <c r="EJ300"/>
  <c r="EK300"/>
  <c r="EL300"/>
  <c r="EM300"/>
  <c r="EN300"/>
  <c r="EO300"/>
  <c r="EP300"/>
  <c r="EQ300"/>
  <c r="ER300"/>
  <c r="ES300"/>
  <c r="ET300"/>
  <c r="EU300"/>
  <c r="EV300"/>
  <c r="EW300"/>
  <c r="EX300"/>
  <c r="EY300"/>
  <c r="EZ300"/>
  <c r="FA300"/>
  <c r="FB300"/>
  <c r="FC300"/>
  <c r="FD300"/>
  <c r="FE300"/>
  <c r="FF300"/>
  <c r="FG300"/>
  <c r="FH300"/>
  <c r="FI300"/>
  <c r="FJ300"/>
  <c r="FK300"/>
  <c r="FL300"/>
  <c r="FM300"/>
  <c r="FN300"/>
  <c r="FO300"/>
  <c r="FP300"/>
  <c r="FQ300"/>
  <c r="FR300"/>
  <c r="FS300"/>
  <c r="FT300"/>
  <c r="FU300"/>
  <c r="FV300"/>
  <c r="FW300"/>
  <c r="FX300"/>
  <c r="FY300"/>
  <c r="FZ300"/>
  <c r="GA300"/>
  <c r="GB300"/>
  <c r="GC300"/>
  <c r="GD300"/>
  <c r="GE300"/>
  <c r="GF300"/>
  <c r="GG300"/>
  <c r="GH300"/>
  <c r="GI300"/>
  <c r="GJ300"/>
  <c r="GK300"/>
  <c r="GL300"/>
  <c r="GM300"/>
  <c r="GN300"/>
  <c r="GO300"/>
  <c r="GP300"/>
  <c r="GQ300"/>
  <c r="GR300"/>
  <c r="GS300"/>
  <c r="GT300"/>
  <c r="GU300"/>
  <c r="GV300"/>
  <c r="GW300"/>
  <c r="GX300"/>
  <c r="GY300"/>
  <c r="GZ300"/>
  <c r="HA300"/>
  <c r="HB300"/>
  <c r="HC300"/>
  <c r="HD300"/>
  <c r="HE300"/>
  <c r="HF300"/>
  <c r="HG300"/>
  <c r="HH300"/>
  <c r="HI300"/>
  <c r="HJ300"/>
  <c r="HK300"/>
  <c r="HL300"/>
  <c r="HM300"/>
  <c r="HN300"/>
  <c r="HO300"/>
  <c r="HP300"/>
  <c r="HQ300"/>
  <c r="HR300"/>
  <c r="HS300"/>
  <c r="HT300"/>
  <c r="HU300"/>
  <c r="HV300"/>
  <c r="HW300"/>
  <c r="HX300"/>
  <c r="HY300"/>
  <c r="HZ300"/>
  <c r="IA300"/>
  <c r="IB300"/>
  <c r="IC300"/>
  <c r="ID300"/>
  <c r="IE300"/>
  <c r="IF300"/>
  <c r="IG300"/>
  <c r="IH300"/>
  <c r="II300"/>
  <c r="IJ300"/>
  <c r="IK300"/>
  <c r="IL300"/>
  <c r="IM300"/>
  <c r="IN300"/>
  <c r="IO300"/>
  <c r="IP300"/>
  <c r="IQ300"/>
  <c r="IR300"/>
  <c r="IS300"/>
  <c r="IT300"/>
  <c r="IU300"/>
  <c r="IV300"/>
  <c r="A299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AT299"/>
  <c r="AU299"/>
  <c r="AV299"/>
  <c r="AW299"/>
  <c r="AX299"/>
  <c r="AY299"/>
  <c r="AZ299"/>
  <c r="BA299"/>
  <c r="BB299"/>
  <c r="BC299"/>
  <c r="BD299"/>
  <c r="BE299"/>
  <c r="BF299"/>
  <c r="BG299"/>
  <c r="BH299"/>
  <c r="BI299"/>
  <c r="BJ299"/>
  <c r="BK299"/>
  <c r="BL299"/>
  <c r="BM299"/>
  <c r="BN299"/>
  <c r="BO299"/>
  <c r="BP299"/>
  <c r="BQ299"/>
  <c r="BR299"/>
  <c r="BS299"/>
  <c r="BT299"/>
  <c r="BU299"/>
  <c r="BV299"/>
  <c r="BW299"/>
  <c r="BX299"/>
  <c r="BY299"/>
  <c r="BZ299"/>
  <c r="CA299"/>
  <c r="CB299"/>
  <c r="CC299"/>
  <c r="CD299"/>
  <c r="CE299"/>
  <c r="CF299"/>
  <c r="CG299"/>
  <c r="CH299"/>
  <c r="CI299"/>
  <c r="CJ299"/>
  <c r="CK299"/>
  <c r="CL299"/>
  <c r="CM299"/>
  <c r="CN299"/>
  <c r="CO299"/>
  <c r="CP299"/>
  <c r="CQ299"/>
  <c r="CR299"/>
  <c r="CS299"/>
  <c r="CT299"/>
  <c r="CU299"/>
  <c r="CV299"/>
  <c r="CW299"/>
  <c r="CX299"/>
  <c r="CY299"/>
  <c r="CZ299"/>
  <c r="DA299"/>
  <c r="DB299"/>
  <c r="DC299"/>
  <c r="DD299"/>
  <c r="DE299"/>
  <c r="DF299"/>
  <c r="DG299"/>
  <c r="DH299"/>
  <c r="DI299"/>
  <c r="DJ299"/>
  <c r="DK299"/>
  <c r="DL299"/>
  <c r="DM299"/>
  <c r="DN299"/>
  <c r="DO299"/>
  <c r="DP299"/>
  <c r="DQ299"/>
  <c r="DR299"/>
  <c r="DS299"/>
  <c r="DT299"/>
  <c r="DU299"/>
  <c r="DV299"/>
  <c r="DW299"/>
  <c r="DX299"/>
  <c r="DY299"/>
  <c r="DZ299"/>
  <c r="EA299"/>
  <c r="EB299"/>
  <c r="EC299"/>
  <c r="ED299"/>
  <c r="EE299"/>
  <c r="EF299"/>
  <c r="EG299"/>
  <c r="EH299"/>
  <c r="EI299"/>
  <c r="EJ299"/>
  <c r="EK299"/>
  <c r="EL299"/>
  <c r="EM299"/>
  <c r="EN299"/>
  <c r="EO299"/>
  <c r="EP299"/>
  <c r="EQ299"/>
  <c r="ER299"/>
  <c r="ES299"/>
  <c r="ET299"/>
  <c r="EU299"/>
  <c r="EV299"/>
  <c r="EW299"/>
  <c r="EX299"/>
  <c r="EY299"/>
  <c r="EZ299"/>
  <c r="FA299"/>
  <c r="FB299"/>
  <c r="FC299"/>
  <c r="FD299"/>
  <c r="FE299"/>
  <c r="FF299"/>
  <c r="FG299"/>
  <c r="FH299"/>
  <c r="FI299"/>
  <c r="FJ299"/>
  <c r="FK299"/>
  <c r="FL299"/>
  <c r="FM299"/>
  <c r="FN299"/>
  <c r="FO299"/>
  <c r="FP299"/>
  <c r="FQ299"/>
  <c r="FR299"/>
  <c r="FS299"/>
  <c r="FT299"/>
  <c r="FU299"/>
  <c r="FV299"/>
  <c r="FW299"/>
  <c r="FX299"/>
  <c r="FY299"/>
  <c r="FZ299"/>
  <c r="GA299"/>
  <c r="GB299"/>
  <c r="GC299"/>
  <c r="GD299"/>
  <c r="GE299"/>
  <c r="GF299"/>
  <c r="GG299"/>
  <c r="GH299"/>
  <c r="GI299"/>
  <c r="GJ299"/>
  <c r="GK299"/>
  <c r="GL299"/>
  <c r="GM299"/>
  <c r="GN299"/>
  <c r="GO299"/>
  <c r="GP299"/>
  <c r="GQ299"/>
  <c r="GR299"/>
  <c r="GS299"/>
  <c r="GT299"/>
  <c r="GU299"/>
  <c r="GV299"/>
  <c r="GW299"/>
  <c r="GX299"/>
  <c r="GY299"/>
  <c r="GZ299"/>
  <c r="HA299"/>
  <c r="HB299"/>
  <c r="HC299"/>
  <c r="HD299"/>
  <c r="HE299"/>
  <c r="HF299"/>
  <c r="HG299"/>
  <c r="HH299"/>
  <c r="HI299"/>
  <c r="HJ299"/>
  <c r="HK299"/>
  <c r="HL299"/>
  <c r="HM299"/>
  <c r="HN299"/>
  <c r="HO299"/>
  <c r="HP299"/>
  <c r="HQ299"/>
  <c r="HR299"/>
  <c r="HS299"/>
  <c r="HT299"/>
  <c r="HU299"/>
  <c r="HV299"/>
  <c r="HW299"/>
  <c r="HX299"/>
  <c r="HY299"/>
  <c r="HZ299"/>
  <c r="IA299"/>
  <c r="IB299"/>
  <c r="IC299"/>
  <c r="ID299"/>
  <c r="IE299"/>
  <c r="IF299"/>
  <c r="IG299"/>
  <c r="IH299"/>
  <c r="II299"/>
  <c r="IJ299"/>
  <c r="IK299"/>
  <c r="IL299"/>
  <c r="IM299"/>
  <c r="IN299"/>
  <c r="IO299"/>
  <c r="IP299"/>
  <c r="IQ299"/>
  <c r="IR299"/>
  <c r="IS299"/>
  <c r="IT299"/>
  <c r="IU299"/>
  <c r="IV299"/>
  <c r="A298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AT298"/>
  <c r="AU298"/>
  <c r="AV298"/>
  <c r="AW298"/>
  <c r="AX298"/>
  <c r="AY298"/>
  <c r="AZ298"/>
  <c r="BA298"/>
  <c r="BB298"/>
  <c r="BC298"/>
  <c r="BD298"/>
  <c r="BE298"/>
  <c r="BF298"/>
  <c r="BG298"/>
  <c r="BH298"/>
  <c r="BI298"/>
  <c r="BJ298"/>
  <c r="BK298"/>
  <c r="BL298"/>
  <c r="BM298"/>
  <c r="BN298"/>
  <c r="BO298"/>
  <c r="BP298"/>
  <c r="BQ298"/>
  <c r="BR298"/>
  <c r="BS298"/>
  <c r="BT298"/>
  <c r="BU298"/>
  <c r="BV298"/>
  <c r="BW298"/>
  <c r="BX298"/>
  <c r="BY298"/>
  <c r="BZ298"/>
  <c r="CA298"/>
  <c r="CB298"/>
  <c r="CC298"/>
  <c r="CD298"/>
  <c r="CE298"/>
  <c r="CF298"/>
  <c r="CG298"/>
  <c r="CH298"/>
  <c r="CI298"/>
  <c r="CJ298"/>
  <c r="CK298"/>
  <c r="CL298"/>
  <c r="CM298"/>
  <c r="CN298"/>
  <c r="CO298"/>
  <c r="CP298"/>
  <c r="CQ298"/>
  <c r="CR298"/>
  <c r="CS298"/>
  <c r="CT298"/>
  <c r="CU298"/>
  <c r="CV298"/>
  <c r="CW298"/>
  <c r="CX298"/>
  <c r="CY298"/>
  <c r="CZ298"/>
  <c r="DA298"/>
  <c r="DB298"/>
  <c r="DC298"/>
  <c r="DD298"/>
  <c r="DE298"/>
  <c r="DF298"/>
  <c r="DG298"/>
  <c r="DH298"/>
  <c r="DI298"/>
  <c r="DJ298"/>
  <c r="DK298"/>
  <c r="DL298"/>
  <c r="DM298"/>
  <c r="DN298"/>
  <c r="DO298"/>
  <c r="DP298"/>
  <c r="DQ298"/>
  <c r="DR298"/>
  <c r="DS298"/>
  <c r="DT298"/>
  <c r="DU298"/>
  <c r="DV298"/>
  <c r="DW298"/>
  <c r="DX298"/>
  <c r="DY298"/>
  <c r="DZ298"/>
  <c r="EA298"/>
  <c r="EB298"/>
  <c r="EC298"/>
  <c r="ED298"/>
  <c r="EE298"/>
  <c r="EF298"/>
  <c r="EG298"/>
  <c r="EH298"/>
  <c r="EI298"/>
  <c r="EJ298"/>
  <c r="EK298"/>
  <c r="EL298"/>
  <c r="EM298"/>
  <c r="EN298"/>
  <c r="EO298"/>
  <c r="EP298"/>
  <c r="EQ298"/>
  <c r="ER298"/>
  <c r="ES298"/>
  <c r="ET298"/>
  <c r="EU298"/>
  <c r="EV298"/>
  <c r="EW298"/>
  <c r="EX298"/>
  <c r="EY298"/>
  <c r="EZ298"/>
  <c r="FA298"/>
  <c r="FB298"/>
  <c r="FC298"/>
  <c r="FD298"/>
  <c r="FE298"/>
  <c r="FF298"/>
  <c r="FG298"/>
  <c r="FH298"/>
  <c r="FI298"/>
  <c r="FJ298"/>
  <c r="FK298"/>
  <c r="FL298"/>
  <c r="FM298"/>
  <c r="FN298"/>
  <c r="FO298"/>
  <c r="FP298"/>
  <c r="FQ298"/>
  <c r="FR298"/>
  <c r="FS298"/>
  <c r="FT298"/>
  <c r="FU298"/>
  <c r="FV298"/>
  <c r="FW298"/>
  <c r="FX298"/>
  <c r="FY298"/>
  <c r="FZ298"/>
  <c r="GA298"/>
  <c r="GB298"/>
  <c r="GC298"/>
  <c r="GD298"/>
  <c r="GE298"/>
  <c r="GF298"/>
  <c r="GG298"/>
  <c r="GH298"/>
  <c r="GI298"/>
  <c r="GJ298"/>
  <c r="GK298"/>
  <c r="GL298"/>
  <c r="GM298"/>
  <c r="GN298"/>
  <c r="GO298"/>
  <c r="GP298"/>
  <c r="GQ298"/>
  <c r="GR298"/>
  <c r="GS298"/>
  <c r="GT298"/>
  <c r="GU298"/>
  <c r="GV298"/>
  <c r="GW298"/>
  <c r="GX298"/>
  <c r="GY298"/>
  <c r="GZ298"/>
  <c r="HA298"/>
  <c r="HB298"/>
  <c r="HC298"/>
  <c r="HD298"/>
  <c r="HE298"/>
  <c r="HF298"/>
  <c r="HG298"/>
  <c r="HH298"/>
  <c r="HI298"/>
  <c r="HJ298"/>
  <c r="HK298"/>
  <c r="HL298"/>
  <c r="HM298"/>
  <c r="HN298"/>
  <c r="HO298"/>
  <c r="HP298"/>
  <c r="HQ298"/>
  <c r="HR298"/>
  <c r="HS298"/>
  <c r="HT298"/>
  <c r="HU298"/>
  <c r="HV298"/>
  <c r="HW298"/>
  <c r="HX298"/>
  <c r="HY298"/>
  <c r="HZ298"/>
  <c r="IA298"/>
  <c r="IB298"/>
  <c r="IC298"/>
  <c r="ID298"/>
  <c r="IE298"/>
  <c r="IF298"/>
  <c r="IG298"/>
  <c r="IH298"/>
  <c r="II298"/>
  <c r="IJ298"/>
  <c r="IK298"/>
  <c r="IL298"/>
  <c r="IM298"/>
  <c r="IN298"/>
  <c r="IO298"/>
  <c r="IP298"/>
  <c r="IQ298"/>
  <c r="IR298"/>
  <c r="IS298"/>
  <c r="IT298"/>
  <c r="IU298"/>
  <c r="IV298"/>
  <c r="A297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AT297"/>
  <c r="AU297"/>
  <c r="AV297"/>
  <c r="AW297"/>
  <c r="AX297"/>
  <c r="AY297"/>
  <c r="AZ297"/>
  <c r="BA297"/>
  <c r="BB297"/>
  <c r="BC297"/>
  <c r="BD297"/>
  <c r="BE297"/>
  <c r="BF297"/>
  <c r="BG297"/>
  <c r="BH297"/>
  <c r="BI297"/>
  <c r="BJ297"/>
  <c r="BK297"/>
  <c r="BL297"/>
  <c r="BM297"/>
  <c r="BN297"/>
  <c r="BO297"/>
  <c r="BP297"/>
  <c r="BQ297"/>
  <c r="BR297"/>
  <c r="BS297"/>
  <c r="BT297"/>
  <c r="BU297"/>
  <c r="BV297"/>
  <c r="BW297"/>
  <c r="BX297"/>
  <c r="BY297"/>
  <c r="BZ297"/>
  <c r="CA297"/>
  <c r="CB297"/>
  <c r="CC297"/>
  <c r="CD297"/>
  <c r="CE297"/>
  <c r="CF297"/>
  <c r="CG297"/>
  <c r="CH297"/>
  <c r="CI297"/>
  <c r="CJ297"/>
  <c r="CK297"/>
  <c r="CL297"/>
  <c r="CM297"/>
  <c r="CN297"/>
  <c r="CO297"/>
  <c r="CP297"/>
  <c r="CQ297"/>
  <c r="CR297"/>
  <c r="CS297"/>
  <c r="CT297"/>
  <c r="CU297"/>
  <c r="CV297"/>
  <c r="CW297"/>
  <c r="CX297"/>
  <c r="CY297"/>
  <c r="CZ297"/>
  <c r="DA297"/>
  <c r="DB297"/>
  <c r="DC297"/>
  <c r="DD297"/>
  <c r="DE297"/>
  <c r="DF297"/>
  <c r="DG297"/>
  <c r="DH297"/>
  <c r="DI297"/>
  <c r="DJ297"/>
  <c r="DK297"/>
  <c r="DL297"/>
  <c r="DM297"/>
  <c r="DN297"/>
  <c r="DO297"/>
  <c r="DP297"/>
  <c r="DQ297"/>
  <c r="DR297"/>
  <c r="DS297"/>
  <c r="DT297"/>
  <c r="DU297"/>
  <c r="DV297"/>
  <c r="DW297"/>
  <c r="DX297"/>
  <c r="DY297"/>
  <c r="DZ297"/>
  <c r="EA297"/>
  <c r="EB297"/>
  <c r="EC297"/>
  <c r="ED297"/>
  <c r="EE297"/>
  <c r="EF297"/>
  <c r="EG297"/>
  <c r="EH297"/>
  <c r="EI297"/>
  <c r="EJ297"/>
  <c r="EK297"/>
  <c r="EL297"/>
  <c r="EM297"/>
  <c r="EN297"/>
  <c r="EO297"/>
  <c r="EP297"/>
  <c r="EQ297"/>
  <c r="ER297"/>
  <c r="ES297"/>
  <c r="ET297"/>
  <c r="EU297"/>
  <c r="EV297"/>
  <c r="EW297"/>
  <c r="EX297"/>
  <c r="EY297"/>
  <c r="EZ297"/>
  <c r="FA297"/>
  <c r="FB297"/>
  <c r="FC297"/>
  <c r="FD297"/>
  <c r="FE297"/>
  <c r="FF297"/>
  <c r="FG297"/>
  <c r="FH297"/>
  <c r="FI297"/>
  <c r="FJ297"/>
  <c r="FK297"/>
  <c r="FL297"/>
  <c r="FM297"/>
  <c r="FN297"/>
  <c r="FO297"/>
  <c r="FP297"/>
  <c r="FQ297"/>
  <c r="FR297"/>
  <c r="FS297"/>
  <c r="FT297"/>
  <c r="FU297"/>
  <c r="FV297"/>
  <c r="FW297"/>
  <c r="FX297"/>
  <c r="FY297"/>
  <c r="FZ297"/>
  <c r="GA297"/>
  <c r="GB297"/>
  <c r="GC297"/>
  <c r="GD297"/>
  <c r="GE297"/>
  <c r="GF297"/>
  <c r="GG297"/>
  <c r="GH297"/>
  <c r="GI297"/>
  <c r="GJ297"/>
  <c r="GK297"/>
  <c r="GL297"/>
  <c r="GM297"/>
  <c r="GN297"/>
  <c r="GO297"/>
  <c r="GP297"/>
  <c r="GQ297"/>
  <c r="GR297"/>
  <c r="GS297"/>
  <c r="GT297"/>
  <c r="GU297"/>
  <c r="GV297"/>
  <c r="GW297"/>
  <c r="GX297"/>
  <c r="GY297"/>
  <c r="GZ297"/>
  <c r="HA297"/>
  <c r="HB297"/>
  <c r="HC297"/>
  <c r="HD297"/>
  <c r="HE297"/>
  <c r="HF297"/>
  <c r="HG297"/>
  <c r="HH297"/>
  <c r="HI297"/>
  <c r="HJ297"/>
  <c r="HK297"/>
  <c r="HL297"/>
  <c r="HM297"/>
  <c r="HN297"/>
  <c r="HO297"/>
  <c r="HP297"/>
  <c r="HQ297"/>
  <c r="HR297"/>
  <c r="HS297"/>
  <c r="HT297"/>
  <c r="HU297"/>
  <c r="HV297"/>
  <c r="HW297"/>
  <c r="HX297"/>
  <c r="HY297"/>
  <c r="HZ297"/>
  <c r="IA297"/>
  <c r="IB297"/>
  <c r="IC297"/>
  <c r="ID297"/>
  <c r="IE297"/>
  <c r="IF297"/>
  <c r="IG297"/>
  <c r="IH297"/>
  <c r="II297"/>
  <c r="IJ297"/>
  <c r="IK297"/>
  <c r="IL297"/>
  <c r="IM297"/>
  <c r="IN297"/>
  <c r="IO297"/>
  <c r="IP297"/>
  <c r="IQ297"/>
  <c r="IR297"/>
  <c r="IS297"/>
  <c r="IT297"/>
  <c r="IU297"/>
  <c r="IV297"/>
  <c r="A296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AT296"/>
  <c r="AU296"/>
  <c r="AV296"/>
  <c r="AW296"/>
  <c r="AX296"/>
  <c r="AY296"/>
  <c r="AZ296"/>
  <c r="BA296"/>
  <c r="BB296"/>
  <c r="BC296"/>
  <c r="BD296"/>
  <c r="BE296"/>
  <c r="BF296"/>
  <c r="BG296"/>
  <c r="BH296"/>
  <c r="BI296"/>
  <c r="BJ296"/>
  <c r="BK296"/>
  <c r="BL296"/>
  <c r="BM296"/>
  <c r="BN296"/>
  <c r="BO296"/>
  <c r="BP296"/>
  <c r="BQ296"/>
  <c r="BR296"/>
  <c r="BS296"/>
  <c r="BT296"/>
  <c r="BU296"/>
  <c r="BV296"/>
  <c r="BW296"/>
  <c r="BX296"/>
  <c r="BY296"/>
  <c r="BZ296"/>
  <c r="CA296"/>
  <c r="CB296"/>
  <c r="CC296"/>
  <c r="CD296"/>
  <c r="CE296"/>
  <c r="CF296"/>
  <c r="CG296"/>
  <c r="CH296"/>
  <c r="CI296"/>
  <c r="CJ296"/>
  <c r="CK296"/>
  <c r="CL296"/>
  <c r="CM296"/>
  <c r="CN296"/>
  <c r="CO296"/>
  <c r="CP296"/>
  <c r="CQ296"/>
  <c r="CR296"/>
  <c r="CS296"/>
  <c r="CT296"/>
  <c r="CU296"/>
  <c r="CV296"/>
  <c r="CW296"/>
  <c r="CX296"/>
  <c r="CY296"/>
  <c r="CZ296"/>
  <c r="DA296"/>
  <c r="DB296"/>
  <c r="DC296"/>
  <c r="DD296"/>
  <c r="DE296"/>
  <c r="DF296"/>
  <c r="DG296"/>
  <c r="DH296"/>
  <c r="DI296"/>
  <c r="DJ296"/>
  <c r="DK296"/>
  <c r="DL296"/>
  <c r="DM296"/>
  <c r="DN296"/>
  <c r="DO296"/>
  <c r="DP296"/>
  <c r="DQ296"/>
  <c r="DR296"/>
  <c r="DS296"/>
  <c r="DT296"/>
  <c r="DU296"/>
  <c r="DV296"/>
  <c r="DW296"/>
  <c r="DX296"/>
  <c r="DY296"/>
  <c r="DZ296"/>
  <c r="EA296"/>
  <c r="EB296"/>
  <c r="EC296"/>
  <c r="ED296"/>
  <c r="EE296"/>
  <c r="EF296"/>
  <c r="EG296"/>
  <c r="EH296"/>
  <c r="EI296"/>
  <c r="EJ296"/>
  <c r="EK296"/>
  <c r="EL296"/>
  <c r="EM296"/>
  <c r="EN296"/>
  <c r="EO296"/>
  <c r="EP296"/>
  <c r="EQ296"/>
  <c r="ER296"/>
  <c r="ES296"/>
  <c r="ET296"/>
  <c r="EU296"/>
  <c r="EV296"/>
  <c r="EW296"/>
  <c r="EX296"/>
  <c r="EY296"/>
  <c r="EZ296"/>
  <c r="FA296"/>
  <c r="FB296"/>
  <c r="FC296"/>
  <c r="FD296"/>
  <c r="FE296"/>
  <c r="FF296"/>
  <c r="FG296"/>
  <c r="FH296"/>
  <c r="FI296"/>
  <c r="FJ296"/>
  <c r="FK296"/>
  <c r="FL296"/>
  <c r="FM296"/>
  <c r="FN296"/>
  <c r="FO296"/>
  <c r="FP296"/>
  <c r="FQ296"/>
  <c r="FR296"/>
  <c r="FS296"/>
  <c r="FT296"/>
  <c r="FU296"/>
  <c r="FV296"/>
  <c r="FW296"/>
  <c r="FX296"/>
  <c r="FY296"/>
  <c r="FZ296"/>
  <c r="GA296"/>
  <c r="GB296"/>
  <c r="GC296"/>
  <c r="GD296"/>
  <c r="GE296"/>
  <c r="GF296"/>
  <c r="GG296"/>
  <c r="GH296"/>
  <c r="GI296"/>
  <c r="GJ296"/>
  <c r="GK296"/>
  <c r="GL296"/>
  <c r="GM296"/>
  <c r="GN296"/>
  <c r="GO296"/>
  <c r="GP296"/>
  <c r="GQ296"/>
  <c r="GR296"/>
  <c r="GS296"/>
  <c r="GT296"/>
  <c r="GU296"/>
  <c r="GV296"/>
  <c r="GW296"/>
  <c r="GX296"/>
  <c r="GY296"/>
  <c r="GZ296"/>
  <c r="HA296"/>
  <c r="HB296"/>
  <c r="HC296"/>
  <c r="HD296"/>
  <c r="HE296"/>
  <c r="HF296"/>
  <c r="HG296"/>
  <c r="HH296"/>
  <c r="HI296"/>
  <c r="HJ296"/>
  <c r="HK296"/>
  <c r="HL296"/>
  <c r="HM296"/>
  <c r="HN296"/>
  <c r="HO296"/>
  <c r="HP296"/>
  <c r="HQ296"/>
  <c r="HR296"/>
  <c r="HS296"/>
  <c r="HT296"/>
  <c r="HU296"/>
  <c r="HV296"/>
  <c r="HW296"/>
  <c r="HX296"/>
  <c r="HY296"/>
  <c r="HZ296"/>
  <c r="IA296"/>
  <c r="IB296"/>
  <c r="IC296"/>
  <c r="ID296"/>
  <c r="IE296"/>
  <c r="IF296"/>
  <c r="IG296"/>
  <c r="IH296"/>
  <c r="II296"/>
  <c r="IJ296"/>
  <c r="IK296"/>
  <c r="IL296"/>
  <c r="IM296"/>
  <c r="IN296"/>
  <c r="IO296"/>
  <c r="IP296"/>
  <c r="IQ296"/>
  <c r="IR296"/>
  <c r="IS296"/>
  <c r="IT296"/>
  <c r="IU296"/>
  <c r="IV296"/>
  <c r="A295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AT295"/>
  <c r="AU295"/>
  <c r="AV295"/>
  <c r="AW295"/>
  <c r="AX295"/>
  <c r="AY295"/>
  <c r="AZ295"/>
  <c r="BA295"/>
  <c r="BB295"/>
  <c r="BC295"/>
  <c r="BD295"/>
  <c r="BE295"/>
  <c r="BF295"/>
  <c r="BG295"/>
  <c r="BH295"/>
  <c r="BI295"/>
  <c r="BJ295"/>
  <c r="BK295"/>
  <c r="BL295"/>
  <c r="BM295"/>
  <c r="BN295"/>
  <c r="BO295"/>
  <c r="BP295"/>
  <c r="BQ295"/>
  <c r="BR295"/>
  <c r="BS295"/>
  <c r="BT295"/>
  <c r="BU295"/>
  <c r="BV295"/>
  <c r="BW295"/>
  <c r="BX295"/>
  <c r="BY295"/>
  <c r="BZ295"/>
  <c r="CA295"/>
  <c r="CB295"/>
  <c r="CC295"/>
  <c r="CD295"/>
  <c r="CE295"/>
  <c r="CF295"/>
  <c r="CG295"/>
  <c r="CH295"/>
  <c r="CI295"/>
  <c r="CJ295"/>
  <c r="CK295"/>
  <c r="CL295"/>
  <c r="CM295"/>
  <c r="CN295"/>
  <c r="CO295"/>
  <c r="CP295"/>
  <c r="CQ295"/>
  <c r="CR295"/>
  <c r="CS295"/>
  <c r="CT295"/>
  <c r="CU295"/>
  <c r="CV295"/>
  <c r="CW295"/>
  <c r="CX295"/>
  <c r="CY295"/>
  <c r="CZ295"/>
  <c r="DA295"/>
  <c r="DB295"/>
  <c r="DC295"/>
  <c r="DD295"/>
  <c r="DE295"/>
  <c r="DF295"/>
  <c r="DG295"/>
  <c r="DH295"/>
  <c r="DI295"/>
  <c r="DJ295"/>
  <c r="DK295"/>
  <c r="DL295"/>
  <c r="DM295"/>
  <c r="DN295"/>
  <c r="DO295"/>
  <c r="DP295"/>
  <c r="DQ295"/>
  <c r="DR295"/>
  <c r="DS295"/>
  <c r="DT295"/>
  <c r="DU295"/>
  <c r="DV295"/>
  <c r="DW295"/>
  <c r="DX295"/>
  <c r="DY295"/>
  <c r="DZ295"/>
  <c r="EA295"/>
  <c r="EB295"/>
  <c r="EC295"/>
  <c r="ED295"/>
  <c r="EE295"/>
  <c r="EF295"/>
  <c r="EG295"/>
  <c r="EH295"/>
  <c r="EI295"/>
  <c r="EJ295"/>
  <c r="EK295"/>
  <c r="EL295"/>
  <c r="EM295"/>
  <c r="EN295"/>
  <c r="EO295"/>
  <c r="EP295"/>
  <c r="EQ295"/>
  <c r="ER295"/>
  <c r="ES295"/>
  <c r="ET295"/>
  <c r="EU295"/>
  <c r="EV295"/>
  <c r="EW295"/>
  <c r="EX295"/>
  <c r="EY295"/>
  <c r="EZ295"/>
  <c r="FA295"/>
  <c r="FB295"/>
  <c r="FC295"/>
  <c r="FD295"/>
  <c r="FE295"/>
  <c r="FF295"/>
  <c r="FG295"/>
  <c r="FH295"/>
  <c r="FI295"/>
  <c r="FJ295"/>
  <c r="FK295"/>
  <c r="FL295"/>
  <c r="FM295"/>
  <c r="FN295"/>
  <c r="FO295"/>
  <c r="FP295"/>
  <c r="FQ295"/>
  <c r="FR295"/>
  <c r="FS295"/>
  <c r="FT295"/>
  <c r="FU295"/>
  <c r="FV295"/>
  <c r="FW295"/>
  <c r="FX295"/>
  <c r="FY295"/>
  <c r="FZ295"/>
  <c r="GA295"/>
  <c r="GB295"/>
  <c r="GC295"/>
  <c r="GD295"/>
  <c r="GE295"/>
  <c r="GF295"/>
  <c r="GG295"/>
  <c r="GH295"/>
  <c r="GI295"/>
  <c r="GJ295"/>
  <c r="GK295"/>
  <c r="GL295"/>
  <c r="GM295"/>
  <c r="GN295"/>
  <c r="GO295"/>
  <c r="GP295"/>
  <c r="GQ295"/>
  <c r="GR295"/>
  <c r="GS295"/>
  <c r="GT295"/>
  <c r="GU295"/>
  <c r="GV295"/>
  <c r="GW295"/>
  <c r="GX295"/>
  <c r="GY295"/>
  <c r="GZ295"/>
  <c r="HA295"/>
  <c r="HB295"/>
  <c r="HC295"/>
  <c r="HD295"/>
  <c r="HE295"/>
  <c r="HF295"/>
  <c r="HG295"/>
  <c r="HH295"/>
  <c r="HI295"/>
  <c r="HJ295"/>
  <c r="HK295"/>
  <c r="HL295"/>
  <c r="HM295"/>
  <c r="HN295"/>
  <c r="HO295"/>
  <c r="HP295"/>
  <c r="HQ295"/>
  <c r="HR295"/>
  <c r="HS295"/>
  <c r="HT295"/>
  <c r="HU295"/>
  <c r="HV295"/>
  <c r="HW295"/>
  <c r="HX295"/>
  <c r="HY295"/>
  <c r="HZ295"/>
  <c r="IA295"/>
  <c r="IB295"/>
  <c r="IC295"/>
  <c r="ID295"/>
  <c r="IE295"/>
  <c r="IF295"/>
  <c r="IG295"/>
  <c r="IH295"/>
  <c r="II295"/>
  <c r="IJ295"/>
  <c r="IK295"/>
  <c r="IL295"/>
  <c r="IM295"/>
  <c r="IN295"/>
  <c r="IO295"/>
  <c r="IP295"/>
  <c r="IQ295"/>
  <c r="IR295"/>
  <c r="IS295"/>
  <c r="IT295"/>
  <c r="IU295"/>
  <c r="IV295"/>
  <c r="A294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AT294"/>
  <c r="AU294"/>
  <c r="AV294"/>
  <c r="AW294"/>
  <c r="AX294"/>
  <c r="AY294"/>
  <c r="AZ294"/>
  <c r="BA294"/>
  <c r="BB294"/>
  <c r="BC294"/>
  <c r="BD294"/>
  <c r="BE294"/>
  <c r="BF294"/>
  <c r="BG294"/>
  <c r="BH294"/>
  <c r="BI294"/>
  <c r="BJ294"/>
  <c r="BK294"/>
  <c r="BL294"/>
  <c r="BM294"/>
  <c r="BN294"/>
  <c r="BO294"/>
  <c r="BP294"/>
  <c r="BQ294"/>
  <c r="BR294"/>
  <c r="BS294"/>
  <c r="BT294"/>
  <c r="BU294"/>
  <c r="BV294"/>
  <c r="BW294"/>
  <c r="BX294"/>
  <c r="BY294"/>
  <c r="BZ294"/>
  <c r="CA294"/>
  <c r="CB294"/>
  <c r="CC294"/>
  <c r="CD294"/>
  <c r="CE294"/>
  <c r="CF294"/>
  <c r="CG294"/>
  <c r="CH294"/>
  <c r="CI294"/>
  <c r="CJ294"/>
  <c r="CK294"/>
  <c r="CL294"/>
  <c r="CM294"/>
  <c r="CN294"/>
  <c r="CO294"/>
  <c r="CP294"/>
  <c r="CQ294"/>
  <c r="CR294"/>
  <c r="CS294"/>
  <c r="CT294"/>
  <c r="CU294"/>
  <c r="CV294"/>
  <c r="CW294"/>
  <c r="CX294"/>
  <c r="CY294"/>
  <c r="CZ294"/>
  <c r="DA294"/>
  <c r="DB294"/>
  <c r="DC294"/>
  <c r="DD294"/>
  <c r="DE294"/>
  <c r="DF294"/>
  <c r="DG294"/>
  <c r="DH294"/>
  <c r="DI294"/>
  <c r="DJ294"/>
  <c r="DK294"/>
  <c r="DL294"/>
  <c r="DM294"/>
  <c r="DN294"/>
  <c r="DO294"/>
  <c r="DP294"/>
  <c r="DQ294"/>
  <c r="DR294"/>
  <c r="DS294"/>
  <c r="DT294"/>
  <c r="DU294"/>
  <c r="DV294"/>
  <c r="DW294"/>
  <c r="DX294"/>
  <c r="DY294"/>
  <c r="DZ294"/>
  <c r="EA294"/>
  <c r="EB294"/>
  <c r="EC294"/>
  <c r="ED294"/>
  <c r="EE294"/>
  <c r="EF294"/>
  <c r="EG294"/>
  <c r="EH294"/>
  <c r="EI294"/>
  <c r="EJ294"/>
  <c r="EK294"/>
  <c r="EL294"/>
  <c r="EM294"/>
  <c r="EN294"/>
  <c r="EO294"/>
  <c r="EP294"/>
  <c r="EQ294"/>
  <c r="ER294"/>
  <c r="ES294"/>
  <c r="ET294"/>
  <c r="EU294"/>
  <c r="EV294"/>
  <c r="EW294"/>
  <c r="EX294"/>
  <c r="EY294"/>
  <c r="EZ294"/>
  <c r="FA294"/>
  <c r="FB294"/>
  <c r="FC294"/>
  <c r="FD294"/>
  <c r="FE294"/>
  <c r="FF294"/>
  <c r="FG294"/>
  <c r="FH294"/>
  <c r="FI294"/>
  <c r="FJ294"/>
  <c r="FK294"/>
  <c r="FL294"/>
  <c r="FM294"/>
  <c r="FN294"/>
  <c r="FO294"/>
  <c r="FP294"/>
  <c r="FQ294"/>
  <c r="FR294"/>
  <c r="FS294"/>
  <c r="FT294"/>
  <c r="FU294"/>
  <c r="FV294"/>
  <c r="FW294"/>
  <c r="FX294"/>
  <c r="FY294"/>
  <c r="FZ294"/>
  <c r="GA294"/>
  <c r="GB294"/>
  <c r="GC294"/>
  <c r="GD294"/>
  <c r="GE294"/>
  <c r="GF294"/>
  <c r="GG294"/>
  <c r="GH294"/>
  <c r="GI294"/>
  <c r="GJ294"/>
  <c r="GK294"/>
  <c r="GL294"/>
  <c r="GM294"/>
  <c r="GN294"/>
  <c r="GO294"/>
  <c r="GP294"/>
  <c r="GQ294"/>
  <c r="GR294"/>
  <c r="GS294"/>
  <c r="GT294"/>
  <c r="GU294"/>
  <c r="GV294"/>
  <c r="GW294"/>
  <c r="GX294"/>
  <c r="GY294"/>
  <c r="GZ294"/>
  <c r="HA294"/>
  <c r="HB294"/>
  <c r="HC294"/>
  <c r="HD294"/>
  <c r="HE294"/>
  <c r="HF294"/>
  <c r="HG294"/>
  <c r="HH294"/>
  <c r="HI294"/>
  <c r="HJ294"/>
  <c r="HK294"/>
  <c r="HL294"/>
  <c r="HM294"/>
  <c r="HN294"/>
  <c r="HO294"/>
  <c r="HP294"/>
  <c r="HQ294"/>
  <c r="HR294"/>
  <c r="HS294"/>
  <c r="HT294"/>
  <c r="HU294"/>
  <c r="HV294"/>
  <c r="HW294"/>
  <c r="HX294"/>
  <c r="HY294"/>
  <c r="HZ294"/>
  <c r="IA294"/>
  <c r="IB294"/>
  <c r="IC294"/>
  <c r="ID294"/>
  <c r="IE294"/>
  <c r="IF294"/>
  <c r="IG294"/>
  <c r="IH294"/>
  <c r="II294"/>
  <c r="IJ294"/>
  <c r="IK294"/>
  <c r="IL294"/>
  <c r="IM294"/>
  <c r="IN294"/>
  <c r="IO294"/>
  <c r="IP294"/>
  <c r="IQ294"/>
  <c r="IR294"/>
  <c r="IS294"/>
  <c r="IT294"/>
  <c r="IU294"/>
  <c r="IV294"/>
  <c r="A293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AT293"/>
  <c r="AU293"/>
  <c r="AV293"/>
  <c r="AW293"/>
  <c r="AX293"/>
  <c r="AY293"/>
  <c r="AZ293"/>
  <c r="BA293"/>
  <c r="BB293"/>
  <c r="BC293"/>
  <c r="BD293"/>
  <c r="BE293"/>
  <c r="BF293"/>
  <c r="BG293"/>
  <c r="BH293"/>
  <c r="BI293"/>
  <c r="BJ293"/>
  <c r="BK293"/>
  <c r="BL293"/>
  <c r="BM293"/>
  <c r="BN293"/>
  <c r="BO293"/>
  <c r="BP293"/>
  <c r="BQ293"/>
  <c r="BR293"/>
  <c r="BS293"/>
  <c r="BT293"/>
  <c r="BU293"/>
  <c r="BV293"/>
  <c r="BW293"/>
  <c r="BX293"/>
  <c r="BY293"/>
  <c r="BZ293"/>
  <c r="CA293"/>
  <c r="CB293"/>
  <c r="CC293"/>
  <c r="CD293"/>
  <c r="CE293"/>
  <c r="CF293"/>
  <c r="CG293"/>
  <c r="CH293"/>
  <c r="CI293"/>
  <c r="CJ293"/>
  <c r="CK293"/>
  <c r="CL293"/>
  <c r="CM293"/>
  <c r="CN293"/>
  <c r="CO293"/>
  <c r="CP293"/>
  <c r="CQ293"/>
  <c r="CR293"/>
  <c r="CS293"/>
  <c r="CT293"/>
  <c r="CU293"/>
  <c r="CV293"/>
  <c r="CW293"/>
  <c r="CX293"/>
  <c r="CY293"/>
  <c r="CZ293"/>
  <c r="DA293"/>
  <c r="DB293"/>
  <c r="DC293"/>
  <c r="DD293"/>
  <c r="DE293"/>
  <c r="DF293"/>
  <c r="DG293"/>
  <c r="DH293"/>
  <c r="DI293"/>
  <c r="DJ293"/>
  <c r="DK293"/>
  <c r="DL293"/>
  <c r="DM293"/>
  <c r="DN293"/>
  <c r="DO293"/>
  <c r="DP293"/>
  <c r="DQ293"/>
  <c r="DR293"/>
  <c r="DS293"/>
  <c r="DT293"/>
  <c r="DU293"/>
  <c r="DV293"/>
  <c r="DW293"/>
  <c r="DX293"/>
  <c r="DY293"/>
  <c r="DZ293"/>
  <c r="EA293"/>
  <c r="EB293"/>
  <c r="EC293"/>
  <c r="ED293"/>
  <c r="EE293"/>
  <c r="EF293"/>
  <c r="EG293"/>
  <c r="EH293"/>
  <c r="EI293"/>
  <c r="EJ293"/>
  <c r="EK293"/>
  <c r="EL293"/>
  <c r="EM293"/>
  <c r="EN293"/>
  <c r="EO293"/>
  <c r="EP293"/>
  <c r="EQ293"/>
  <c r="ER293"/>
  <c r="ES293"/>
  <c r="ET293"/>
  <c r="EU293"/>
  <c r="EV293"/>
  <c r="EW293"/>
  <c r="EX293"/>
  <c r="EY293"/>
  <c r="EZ293"/>
  <c r="FA293"/>
  <c r="FB293"/>
  <c r="FC293"/>
  <c r="FD293"/>
  <c r="FE293"/>
  <c r="FF293"/>
  <c r="FG293"/>
  <c r="FH293"/>
  <c r="FI293"/>
  <c r="FJ293"/>
  <c r="FK293"/>
  <c r="FL293"/>
  <c r="FM293"/>
  <c r="FN293"/>
  <c r="FO293"/>
  <c r="FP293"/>
  <c r="FQ293"/>
  <c r="FR293"/>
  <c r="FS293"/>
  <c r="FT293"/>
  <c r="FU293"/>
  <c r="FV293"/>
  <c r="FW293"/>
  <c r="FX293"/>
  <c r="FY293"/>
  <c r="FZ293"/>
  <c r="GA293"/>
  <c r="GB293"/>
  <c r="GC293"/>
  <c r="GD293"/>
  <c r="GE293"/>
  <c r="GF293"/>
  <c r="GG293"/>
  <c r="GH293"/>
  <c r="GI293"/>
  <c r="GJ293"/>
  <c r="GK293"/>
  <c r="GL293"/>
  <c r="GM293"/>
  <c r="GN293"/>
  <c r="GO293"/>
  <c r="GP293"/>
  <c r="GQ293"/>
  <c r="GR293"/>
  <c r="GS293"/>
  <c r="GT293"/>
  <c r="GU293"/>
  <c r="GV293"/>
  <c r="GW293"/>
  <c r="GX293"/>
  <c r="GY293"/>
  <c r="GZ293"/>
  <c r="HA293"/>
  <c r="HB293"/>
  <c r="HC293"/>
  <c r="HD293"/>
  <c r="HE293"/>
  <c r="HF293"/>
  <c r="HG293"/>
  <c r="HH293"/>
  <c r="HI293"/>
  <c r="HJ293"/>
  <c r="HK293"/>
  <c r="HL293"/>
  <c r="HM293"/>
  <c r="HN293"/>
  <c r="HO293"/>
  <c r="HP293"/>
  <c r="HQ293"/>
  <c r="HR293"/>
  <c r="HS293"/>
  <c r="HT293"/>
  <c r="HU293"/>
  <c r="HV293"/>
  <c r="HW293"/>
  <c r="HX293"/>
  <c r="HY293"/>
  <c r="HZ293"/>
  <c r="IA293"/>
  <c r="IB293"/>
  <c r="IC293"/>
  <c r="ID293"/>
  <c r="IE293"/>
  <c r="IF293"/>
  <c r="IG293"/>
  <c r="IH293"/>
  <c r="II293"/>
  <c r="IJ293"/>
  <c r="IK293"/>
  <c r="IL293"/>
  <c r="IM293"/>
  <c r="IN293"/>
  <c r="IO293"/>
  <c r="IP293"/>
  <c r="IQ293"/>
  <c r="IR293"/>
  <c r="IS293"/>
  <c r="IT293"/>
  <c r="IU293"/>
  <c r="IV293"/>
  <c r="A292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AT292"/>
  <c r="AU292"/>
  <c r="AV292"/>
  <c r="AW292"/>
  <c r="AX292"/>
  <c r="AY292"/>
  <c r="AZ292"/>
  <c r="BA292"/>
  <c r="BB292"/>
  <c r="BC292"/>
  <c r="BD292"/>
  <c r="BE292"/>
  <c r="BF292"/>
  <c r="BG292"/>
  <c r="BH292"/>
  <c r="BI292"/>
  <c r="BJ292"/>
  <c r="BK292"/>
  <c r="BL292"/>
  <c r="BM292"/>
  <c r="BN292"/>
  <c r="BO292"/>
  <c r="BP292"/>
  <c r="BQ292"/>
  <c r="BR292"/>
  <c r="BS292"/>
  <c r="BT292"/>
  <c r="BU292"/>
  <c r="BV292"/>
  <c r="BW292"/>
  <c r="BX292"/>
  <c r="BY292"/>
  <c r="BZ292"/>
  <c r="CA292"/>
  <c r="CB292"/>
  <c r="CC292"/>
  <c r="CD292"/>
  <c r="CE292"/>
  <c r="CF292"/>
  <c r="CG292"/>
  <c r="CH292"/>
  <c r="CI292"/>
  <c r="CJ292"/>
  <c r="CK292"/>
  <c r="CL292"/>
  <c r="CM292"/>
  <c r="CN292"/>
  <c r="CO292"/>
  <c r="CP292"/>
  <c r="CQ292"/>
  <c r="CR292"/>
  <c r="CS292"/>
  <c r="CT292"/>
  <c r="CU292"/>
  <c r="CV292"/>
  <c r="CW292"/>
  <c r="CX292"/>
  <c r="CY292"/>
  <c r="CZ292"/>
  <c r="DA292"/>
  <c r="DB292"/>
  <c r="DC292"/>
  <c r="DD292"/>
  <c r="DE292"/>
  <c r="DF292"/>
  <c r="DG292"/>
  <c r="DH292"/>
  <c r="DI292"/>
  <c r="DJ292"/>
  <c r="DK292"/>
  <c r="DL292"/>
  <c r="DM292"/>
  <c r="DN292"/>
  <c r="DO292"/>
  <c r="DP292"/>
  <c r="DQ292"/>
  <c r="DR292"/>
  <c r="DS292"/>
  <c r="DT292"/>
  <c r="DU292"/>
  <c r="DV292"/>
  <c r="DW292"/>
  <c r="DX292"/>
  <c r="DY292"/>
  <c r="DZ292"/>
  <c r="EA292"/>
  <c r="EB292"/>
  <c r="EC292"/>
  <c r="ED292"/>
  <c r="EE292"/>
  <c r="EF292"/>
  <c r="EG292"/>
  <c r="EH292"/>
  <c r="EI292"/>
  <c r="EJ292"/>
  <c r="EK292"/>
  <c r="EL292"/>
  <c r="EM292"/>
  <c r="EN292"/>
  <c r="EO292"/>
  <c r="EP292"/>
  <c r="EQ292"/>
  <c r="ER292"/>
  <c r="ES292"/>
  <c r="ET292"/>
  <c r="EU292"/>
  <c r="EV292"/>
  <c r="EW292"/>
  <c r="EX292"/>
  <c r="EY292"/>
  <c r="EZ292"/>
  <c r="FA292"/>
  <c r="FB292"/>
  <c r="FC292"/>
  <c r="FD292"/>
  <c r="FE292"/>
  <c r="FF292"/>
  <c r="FG292"/>
  <c r="FH292"/>
  <c r="FI292"/>
  <c r="FJ292"/>
  <c r="FK292"/>
  <c r="FL292"/>
  <c r="FM292"/>
  <c r="FN292"/>
  <c r="FO292"/>
  <c r="FP292"/>
  <c r="FQ292"/>
  <c r="FR292"/>
  <c r="FS292"/>
  <c r="FT292"/>
  <c r="FU292"/>
  <c r="FV292"/>
  <c r="FW292"/>
  <c r="FX292"/>
  <c r="FY292"/>
  <c r="FZ292"/>
  <c r="GA292"/>
  <c r="GB292"/>
  <c r="GC292"/>
  <c r="GD292"/>
  <c r="GE292"/>
  <c r="GF292"/>
  <c r="GG292"/>
  <c r="GH292"/>
  <c r="GI292"/>
  <c r="GJ292"/>
  <c r="GK292"/>
  <c r="GL292"/>
  <c r="GM292"/>
  <c r="GN292"/>
  <c r="GO292"/>
  <c r="GP292"/>
  <c r="GQ292"/>
  <c r="GR292"/>
  <c r="GS292"/>
  <c r="GT292"/>
  <c r="GU292"/>
  <c r="GV292"/>
  <c r="GW292"/>
  <c r="GX292"/>
  <c r="GY292"/>
  <c r="GZ292"/>
  <c r="HA292"/>
  <c r="HB292"/>
  <c r="HC292"/>
  <c r="HD292"/>
  <c r="HE292"/>
  <c r="HF292"/>
  <c r="HG292"/>
  <c r="HH292"/>
  <c r="HI292"/>
  <c r="HJ292"/>
  <c r="HK292"/>
  <c r="HL292"/>
  <c r="HM292"/>
  <c r="HN292"/>
  <c r="HO292"/>
  <c r="HP292"/>
  <c r="HQ292"/>
  <c r="HR292"/>
  <c r="HS292"/>
  <c r="HT292"/>
  <c r="HU292"/>
  <c r="HV292"/>
  <c r="HW292"/>
  <c r="HX292"/>
  <c r="HY292"/>
  <c r="HZ292"/>
  <c r="IA292"/>
  <c r="IB292"/>
  <c r="IC292"/>
  <c r="ID292"/>
  <c r="IE292"/>
  <c r="IF292"/>
  <c r="IG292"/>
  <c r="IH292"/>
  <c r="II292"/>
  <c r="IJ292"/>
  <c r="IK292"/>
  <c r="IL292"/>
  <c r="IM292"/>
  <c r="IN292"/>
  <c r="IO292"/>
  <c r="IP292"/>
  <c r="IQ292"/>
  <c r="IR292"/>
  <c r="IS292"/>
  <c r="IT292"/>
  <c r="IU292"/>
  <c r="IV292"/>
  <c r="A291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AT291"/>
  <c r="AU291"/>
  <c r="AV291"/>
  <c r="AW291"/>
  <c r="AX291"/>
  <c r="AY291"/>
  <c r="AZ291"/>
  <c r="BA291"/>
  <c r="BB291"/>
  <c r="BC291"/>
  <c r="BD291"/>
  <c r="BE291"/>
  <c r="BF291"/>
  <c r="BG291"/>
  <c r="BH291"/>
  <c r="BI291"/>
  <c r="BJ291"/>
  <c r="BK291"/>
  <c r="BL291"/>
  <c r="BM291"/>
  <c r="BN291"/>
  <c r="BO291"/>
  <c r="BP291"/>
  <c r="BQ291"/>
  <c r="BR291"/>
  <c r="BS291"/>
  <c r="BT291"/>
  <c r="BU291"/>
  <c r="BV291"/>
  <c r="BW291"/>
  <c r="BX291"/>
  <c r="BY291"/>
  <c r="BZ291"/>
  <c r="CA291"/>
  <c r="CB291"/>
  <c r="CC291"/>
  <c r="CD291"/>
  <c r="CE291"/>
  <c r="CF291"/>
  <c r="CG291"/>
  <c r="CH291"/>
  <c r="CI291"/>
  <c r="CJ291"/>
  <c r="CK291"/>
  <c r="CL291"/>
  <c r="CM291"/>
  <c r="CN291"/>
  <c r="CO291"/>
  <c r="CP291"/>
  <c r="CQ291"/>
  <c r="CR291"/>
  <c r="CS291"/>
  <c r="CT291"/>
  <c r="CU291"/>
  <c r="CV291"/>
  <c r="CW291"/>
  <c r="CX291"/>
  <c r="CY291"/>
  <c r="CZ291"/>
  <c r="DA291"/>
  <c r="DB291"/>
  <c r="DC291"/>
  <c r="DD291"/>
  <c r="DE291"/>
  <c r="DF291"/>
  <c r="DG291"/>
  <c r="DH291"/>
  <c r="DI291"/>
  <c r="DJ291"/>
  <c r="DK291"/>
  <c r="DL291"/>
  <c r="DM291"/>
  <c r="DN291"/>
  <c r="DO291"/>
  <c r="DP291"/>
  <c r="DQ291"/>
  <c r="DR291"/>
  <c r="DS291"/>
  <c r="DT291"/>
  <c r="DU291"/>
  <c r="DV291"/>
  <c r="DW291"/>
  <c r="DX291"/>
  <c r="DY291"/>
  <c r="DZ291"/>
  <c r="EA291"/>
  <c r="EB291"/>
  <c r="EC291"/>
  <c r="ED291"/>
  <c r="EE291"/>
  <c r="EF291"/>
  <c r="EG291"/>
  <c r="EH291"/>
  <c r="EI291"/>
  <c r="EJ291"/>
  <c r="EK291"/>
  <c r="EL291"/>
  <c r="EM291"/>
  <c r="EN291"/>
  <c r="EO291"/>
  <c r="EP291"/>
  <c r="EQ291"/>
  <c r="ER291"/>
  <c r="ES291"/>
  <c r="ET291"/>
  <c r="EU291"/>
  <c r="EV291"/>
  <c r="EW291"/>
  <c r="EX291"/>
  <c r="EY291"/>
  <c r="EZ291"/>
  <c r="FA291"/>
  <c r="FB291"/>
  <c r="FC291"/>
  <c r="FD291"/>
  <c r="FE291"/>
  <c r="FF291"/>
  <c r="FG291"/>
  <c r="FH291"/>
  <c r="FI291"/>
  <c r="FJ291"/>
  <c r="FK291"/>
  <c r="FL291"/>
  <c r="FM291"/>
  <c r="FN291"/>
  <c r="FO291"/>
  <c r="FP291"/>
  <c r="FQ291"/>
  <c r="FR291"/>
  <c r="FS291"/>
  <c r="FT291"/>
  <c r="FU291"/>
  <c r="FV291"/>
  <c r="FW291"/>
  <c r="FX291"/>
  <c r="FY291"/>
  <c r="FZ291"/>
  <c r="GA291"/>
  <c r="GB291"/>
  <c r="GC291"/>
  <c r="GD291"/>
  <c r="GE291"/>
  <c r="GF291"/>
  <c r="GG291"/>
  <c r="GH291"/>
  <c r="GI291"/>
  <c r="GJ291"/>
  <c r="GK291"/>
  <c r="GL291"/>
  <c r="GM291"/>
  <c r="GN291"/>
  <c r="GO291"/>
  <c r="GP291"/>
  <c r="GQ291"/>
  <c r="GR291"/>
  <c r="GS291"/>
  <c r="GT291"/>
  <c r="GU291"/>
  <c r="GV291"/>
  <c r="GW291"/>
  <c r="GX291"/>
  <c r="GY291"/>
  <c r="GZ291"/>
  <c r="HA291"/>
  <c r="HB291"/>
  <c r="HC291"/>
  <c r="HD291"/>
  <c r="HE291"/>
  <c r="HF291"/>
  <c r="HG291"/>
  <c r="HH291"/>
  <c r="HI291"/>
  <c r="HJ291"/>
  <c r="HK291"/>
  <c r="HL291"/>
  <c r="HM291"/>
  <c r="HN291"/>
  <c r="HO291"/>
  <c r="HP291"/>
  <c r="HQ291"/>
  <c r="HR291"/>
  <c r="HS291"/>
  <c r="HT291"/>
  <c r="HU291"/>
  <c r="HV291"/>
  <c r="HW291"/>
  <c r="HX291"/>
  <c r="HY291"/>
  <c r="HZ291"/>
  <c r="IA291"/>
  <c r="IB291"/>
  <c r="IC291"/>
  <c r="ID291"/>
  <c r="IE291"/>
  <c r="IF291"/>
  <c r="IG291"/>
  <c r="IH291"/>
  <c r="II291"/>
  <c r="IJ291"/>
  <c r="IK291"/>
  <c r="IL291"/>
  <c r="IM291"/>
  <c r="IN291"/>
  <c r="IO291"/>
  <c r="IP291"/>
  <c r="IQ291"/>
  <c r="IR291"/>
  <c r="IS291"/>
  <c r="IT291"/>
  <c r="IU291"/>
  <c r="IV291"/>
  <c r="A290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AT290"/>
  <c r="AU290"/>
  <c r="AV290"/>
  <c r="AW290"/>
  <c r="AX290"/>
  <c r="AY290"/>
  <c r="AZ290"/>
  <c r="BA290"/>
  <c r="BB290"/>
  <c r="BC290"/>
  <c r="BD290"/>
  <c r="BE290"/>
  <c r="BF290"/>
  <c r="BG290"/>
  <c r="BH290"/>
  <c r="BI290"/>
  <c r="BJ290"/>
  <c r="BK290"/>
  <c r="BL290"/>
  <c r="BM290"/>
  <c r="BN290"/>
  <c r="BO290"/>
  <c r="BP290"/>
  <c r="BQ290"/>
  <c r="BR290"/>
  <c r="BS290"/>
  <c r="BT290"/>
  <c r="BU290"/>
  <c r="BV290"/>
  <c r="BW290"/>
  <c r="BX290"/>
  <c r="BY290"/>
  <c r="BZ290"/>
  <c r="CA290"/>
  <c r="CB290"/>
  <c r="CC290"/>
  <c r="CD290"/>
  <c r="CE290"/>
  <c r="CF290"/>
  <c r="CG290"/>
  <c r="CH290"/>
  <c r="CI290"/>
  <c r="CJ290"/>
  <c r="CK290"/>
  <c r="CL290"/>
  <c r="CM290"/>
  <c r="CN290"/>
  <c r="CO290"/>
  <c r="CP290"/>
  <c r="CQ290"/>
  <c r="CR290"/>
  <c r="CS290"/>
  <c r="CT290"/>
  <c r="CU290"/>
  <c r="CV290"/>
  <c r="CW290"/>
  <c r="CX290"/>
  <c r="CY290"/>
  <c r="CZ290"/>
  <c r="DA290"/>
  <c r="DB290"/>
  <c r="DC290"/>
  <c r="DD290"/>
  <c r="DE290"/>
  <c r="DF290"/>
  <c r="DG290"/>
  <c r="DH290"/>
  <c r="DI290"/>
  <c r="DJ290"/>
  <c r="DK290"/>
  <c r="DL290"/>
  <c r="DM290"/>
  <c r="DN290"/>
  <c r="DO290"/>
  <c r="DP290"/>
  <c r="DQ290"/>
  <c r="DR290"/>
  <c r="DS290"/>
  <c r="DT290"/>
  <c r="DU290"/>
  <c r="DV290"/>
  <c r="DW290"/>
  <c r="DX290"/>
  <c r="DY290"/>
  <c r="DZ290"/>
  <c r="EA290"/>
  <c r="EB290"/>
  <c r="EC290"/>
  <c r="ED290"/>
  <c r="EE290"/>
  <c r="EF290"/>
  <c r="EG290"/>
  <c r="EH290"/>
  <c r="EI290"/>
  <c r="EJ290"/>
  <c r="EK290"/>
  <c r="EL290"/>
  <c r="EM290"/>
  <c r="EN290"/>
  <c r="EO290"/>
  <c r="EP290"/>
  <c r="EQ290"/>
  <c r="ER290"/>
  <c r="ES290"/>
  <c r="ET290"/>
  <c r="EU290"/>
  <c r="EV290"/>
  <c r="EW290"/>
  <c r="EX290"/>
  <c r="EY290"/>
  <c r="EZ290"/>
  <c r="FA290"/>
  <c r="FB290"/>
  <c r="FC290"/>
  <c r="FD290"/>
  <c r="FE290"/>
  <c r="FF290"/>
  <c r="FG290"/>
  <c r="FH290"/>
  <c r="FI290"/>
  <c r="FJ290"/>
  <c r="FK290"/>
  <c r="FL290"/>
  <c r="FM290"/>
  <c r="FN290"/>
  <c r="FO290"/>
  <c r="FP290"/>
  <c r="FQ290"/>
  <c r="FR290"/>
  <c r="FS290"/>
  <c r="FT290"/>
  <c r="FU290"/>
  <c r="FV290"/>
  <c r="FW290"/>
  <c r="FX290"/>
  <c r="FY290"/>
  <c r="FZ290"/>
  <c r="GA290"/>
  <c r="GB290"/>
  <c r="GC290"/>
  <c r="GD290"/>
  <c r="GE290"/>
  <c r="GF290"/>
  <c r="GG290"/>
  <c r="GH290"/>
  <c r="GI290"/>
  <c r="GJ290"/>
  <c r="GK290"/>
  <c r="GL290"/>
  <c r="GM290"/>
  <c r="GN290"/>
  <c r="GO290"/>
  <c r="GP290"/>
  <c r="GQ290"/>
  <c r="GR290"/>
  <c r="GS290"/>
  <c r="GT290"/>
  <c r="GU290"/>
  <c r="GV290"/>
  <c r="GW290"/>
  <c r="GX290"/>
  <c r="GY290"/>
  <c r="GZ290"/>
  <c r="HA290"/>
  <c r="HB290"/>
  <c r="HC290"/>
  <c r="HD290"/>
  <c r="HE290"/>
  <c r="HF290"/>
  <c r="HG290"/>
  <c r="HH290"/>
  <c r="HI290"/>
  <c r="HJ290"/>
  <c r="HK290"/>
  <c r="HL290"/>
  <c r="HM290"/>
  <c r="HN290"/>
  <c r="HO290"/>
  <c r="HP290"/>
  <c r="HQ290"/>
  <c r="HR290"/>
  <c r="HS290"/>
  <c r="HT290"/>
  <c r="HU290"/>
  <c r="HV290"/>
  <c r="HW290"/>
  <c r="HX290"/>
  <c r="HY290"/>
  <c r="HZ290"/>
  <c r="IA290"/>
  <c r="IB290"/>
  <c r="IC290"/>
  <c r="ID290"/>
  <c r="IE290"/>
  <c r="IF290"/>
  <c r="IG290"/>
  <c r="IH290"/>
  <c r="II290"/>
  <c r="IJ290"/>
  <c r="IK290"/>
  <c r="IL290"/>
  <c r="IM290"/>
  <c r="IN290"/>
  <c r="IO290"/>
  <c r="IP290"/>
  <c r="IQ290"/>
  <c r="IR290"/>
  <c r="IS290"/>
  <c r="IT290"/>
  <c r="IU290"/>
  <c r="IV290"/>
  <c r="A289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AT289"/>
  <c r="AU289"/>
  <c r="AV289"/>
  <c r="AW289"/>
  <c r="AX289"/>
  <c r="AY289"/>
  <c r="AZ289"/>
  <c r="BA289"/>
  <c r="BB289"/>
  <c r="BC289"/>
  <c r="BD289"/>
  <c r="BE289"/>
  <c r="BF289"/>
  <c r="BG289"/>
  <c r="BH289"/>
  <c r="BI289"/>
  <c r="BJ289"/>
  <c r="BK289"/>
  <c r="BL289"/>
  <c r="BM289"/>
  <c r="BN289"/>
  <c r="BO289"/>
  <c r="BP289"/>
  <c r="BQ289"/>
  <c r="BR289"/>
  <c r="BS289"/>
  <c r="BT289"/>
  <c r="BU289"/>
  <c r="BV289"/>
  <c r="BW289"/>
  <c r="BX289"/>
  <c r="BY289"/>
  <c r="BZ289"/>
  <c r="CA289"/>
  <c r="CB289"/>
  <c r="CC289"/>
  <c r="CD289"/>
  <c r="CE289"/>
  <c r="CF289"/>
  <c r="CG289"/>
  <c r="CH289"/>
  <c r="CI289"/>
  <c r="CJ289"/>
  <c r="CK289"/>
  <c r="CL289"/>
  <c r="CM289"/>
  <c r="CN289"/>
  <c r="CO289"/>
  <c r="CP289"/>
  <c r="CQ289"/>
  <c r="CR289"/>
  <c r="CS289"/>
  <c r="CT289"/>
  <c r="CU289"/>
  <c r="CV289"/>
  <c r="CW289"/>
  <c r="CX289"/>
  <c r="CY289"/>
  <c r="CZ289"/>
  <c r="DA289"/>
  <c r="DB289"/>
  <c r="DC289"/>
  <c r="DD289"/>
  <c r="DE289"/>
  <c r="DF289"/>
  <c r="DG289"/>
  <c r="DH289"/>
  <c r="DI289"/>
  <c r="DJ289"/>
  <c r="DK289"/>
  <c r="DL289"/>
  <c r="DM289"/>
  <c r="DN289"/>
  <c r="DO289"/>
  <c r="DP289"/>
  <c r="DQ289"/>
  <c r="DR289"/>
  <c r="DS289"/>
  <c r="DT289"/>
  <c r="DU289"/>
  <c r="DV289"/>
  <c r="DW289"/>
  <c r="DX289"/>
  <c r="DY289"/>
  <c r="DZ289"/>
  <c r="EA289"/>
  <c r="EB289"/>
  <c r="EC289"/>
  <c r="ED289"/>
  <c r="EE289"/>
  <c r="EF289"/>
  <c r="EG289"/>
  <c r="EH289"/>
  <c r="EI289"/>
  <c r="EJ289"/>
  <c r="EK289"/>
  <c r="EL289"/>
  <c r="EM289"/>
  <c r="EN289"/>
  <c r="EO289"/>
  <c r="EP289"/>
  <c r="EQ289"/>
  <c r="ER289"/>
  <c r="ES289"/>
  <c r="ET289"/>
  <c r="EU289"/>
  <c r="EV289"/>
  <c r="EW289"/>
  <c r="EX289"/>
  <c r="EY289"/>
  <c r="EZ289"/>
  <c r="FA289"/>
  <c r="FB289"/>
  <c r="FC289"/>
  <c r="FD289"/>
  <c r="FE289"/>
  <c r="FF289"/>
  <c r="FG289"/>
  <c r="FH289"/>
  <c r="FI289"/>
  <c r="FJ289"/>
  <c r="FK289"/>
  <c r="FL289"/>
  <c r="FM289"/>
  <c r="FN289"/>
  <c r="FO289"/>
  <c r="FP289"/>
  <c r="FQ289"/>
  <c r="FR289"/>
  <c r="FS289"/>
  <c r="FT289"/>
  <c r="FU289"/>
  <c r="FV289"/>
  <c r="FW289"/>
  <c r="FX289"/>
  <c r="FY289"/>
  <c r="FZ289"/>
  <c r="GA289"/>
  <c r="GB289"/>
  <c r="GC289"/>
  <c r="GD289"/>
  <c r="GE289"/>
  <c r="GF289"/>
  <c r="GG289"/>
  <c r="GH289"/>
  <c r="GI289"/>
  <c r="GJ289"/>
  <c r="GK289"/>
  <c r="GL289"/>
  <c r="GM289"/>
  <c r="GN289"/>
  <c r="GO289"/>
  <c r="GP289"/>
  <c r="GQ289"/>
  <c r="GR289"/>
  <c r="GS289"/>
  <c r="GT289"/>
  <c r="GU289"/>
  <c r="GV289"/>
  <c r="GW289"/>
  <c r="GX289"/>
  <c r="GY289"/>
  <c r="GZ289"/>
  <c r="HA289"/>
  <c r="HB289"/>
  <c r="HC289"/>
  <c r="HD289"/>
  <c r="HE289"/>
  <c r="HF289"/>
  <c r="HG289"/>
  <c r="HH289"/>
  <c r="HI289"/>
  <c r="HJ289"/>
  <c r="HK289"/>
  <c r="HL289"/>
  <c r="HM289"/>
  <c r="HN289"/>
  <c r="HO289"/>
  <c r="HP289"/>
  <c r="HQ289"/>
  <c r="HR289"/>
  <c r="HS289"/>
  <c r="HT289"/>
  <c r="HU289"/>
  <c r="HV289"/>
  <c r="HW289"/>
  <c r="HX289"/>
  <c r="HY289"/>
  <c r="HZ289"/>
  <c r="IA289"/>
  <c r="IB289"/>
  <c r="IC289"/>
  <c r="ID289"/>
  <c r="IE289"/>
  <c r="IF289"/>
  <c r="IG289"/>
  <c r="IH289"/>
  <c r="II289"/>
  <c r="IJ289"/>
  <c r="IK289"/>
  <c r="IL289"/>
  <c r="IM289"/>
  <c r="IN289"/>
  <c r="IO289"/>
  <c r="IP289"/>
  <c r="IQ289"/>
  <c r="IR289"/>
  <c r="IS289"/>
  <c r="IT289"/>
  <c r="IU289"/>
  <c r="IV289"/>
  <c r="A288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AT288"/>
  <c r="AU288"/>
  <c r="AV288"/>
  <c r="AW288"/>
  <c r="AX288"/>
  <c r="AY288"/>
  <c r="AZ288"/>
  <c r="BA288"/>
  <c r="BB288"/>
  <c r="BC288"/>
  <c r="BD288"/>
  <c r="BE288"/>
  <c r="BF288"/>
  <c r="BG288"/>
  <c r="BH288"/>
  <c r="BI288"/>
  <c r="BJ288"/>
  <c r="BK288"/>
  <c r="BL288"/>
  <c r="BM288"/>
  <c r="BN288"/>
  <c r="BO288"/>
  <c r="BP288"/>
  <c r="BQ288"/>
  <c r="BR288"/>
  <c r="BS288"/>
  <c r="BT288"/>
  <c r="BU288"/>
  <c r="BV288"/>
  <c r="BW288"/>
  <c r="BX288"/>
  <c r="BY288"/>
  <c r="BZ288"/>
  <c r="CA288"/>
  <c r="CB288"/>
  <c r="CC288"/>
  <c r="CD288"/>
  <c r="CE288"/>
  <c r="CF288"/>
  <c r="CG288"/>
  <c r="CH288"/>
  <c r="CI288"/>
  <c r="CJ288"/>
  <c r="CK288"/>
  <c r="CL288"/>
  <c r="CM288"/>
  <c r="CN288"/>
  <c r="CO288"/>
  <c r="CP288"/>
  <c r="CQ288"/>
  <c r="CR288"/>
  <c r="CS288"/>
  <c r="CT288"/>
  <c r="CU288"/>
  <c r="CV288"/>
  <c r="CW288"/>
  <c r="CX288"/>
  <c r="CY288"/>
  <c r="CZ288"/>
  <c r="DA288"/>
  <c r="DB288"/>
  <c r="DC288"/>
  <c r="DD288"/>
  <c r="DE288"/>
  <c r="DF288"/>
  <c r="DG288"/>
  <c r="DH288"/>
  <c r="DI288"/>
  <c r="DJ288"/>
  <c r="DK288"/>
  <c r="DL288"/>
  <c r="DM288"/>
  <c r="DN288"/>
  <c r="DO288"/>
  <c r="DP288"/>
  <c r="DQ288"/>
  <c r="DR288"/>
  <c r="DS288"/>
  <c r="DT288"/>
  <c r="DU288"/>
  <c r="DV288"/>
  <c r="DW288"/>
  <c r="DX288"/>
  <c r="DY288"/>
  <c r="DZ288"/>
  <c r="EA288"/>
  <c r="EB288"/>
  <c r="EC288"/>
  <c r="ED288"/>
  <c r="EE288"/>
  <c r="EF288"/>
  <c r="EG288"/>
  <c r="EH288"/>
  <c r="EI288"/>
  <c r="EJ288"/>
  <c r="EK288"/>
  <c r="EL288"/>
  <c r="EM288"/>
  <c r="EN288"/>
  <c r="EO288"/>
  <c r="EP288"/>
  <c r="EQ288"/>
  <c r="ER288"/>
  <c r="ES288"/>
  <c r="ET288"/>
  <c r="EU288"/>
  <c r="EV288"/>
  <c r="EW288"/>
  <c r="EX288"/>
  <c r="EY288"/>
  <c r="EZ288"/>
  <c r="FA288"/>
  <c r="FB288"/>
  <c r="FC288"/>
  <c r="FD288"/>
  <c r="FE288"/>
  <c r="FF288"/>
  <c r="FG288"/>
  <c r="FH288"/>
  <c r="FI288"/>
  <c r="FJ288"/>
  <c r="FK288"/>
  <c r="FL288"/>
  <c r="FM288"/>
  <c r="FN288"/>
  <c r="FO288"/>
  <c r="FP288"/>
  <c r="FQ288"/>
  <c r="FR288"/>
  <c r="FS288"/>
  <c r="FT288"/>
  <c r="FU288"/>
  <c r="FV288"/>
  <c r="FW288"/>
  <c r="FX288"/>
  <c r="FY288"/>
  <c r="FZ288"/>
  <c r="GA288"/>
  <c r="GB288"/>
  <c r="GC288"/>
  <c r="GD288"/>
  <c r="GE288"/>
  <c r="GF288"/>
  <c r="GG288"/>
  <c r="GH288"/>
  <c r="GI288"/>
  <c r="GJ288"/>
  <c r="GK288"/>
  <c r="GL288"/>
  <c r="GM288"/>
  <c r="GN288"/>
  <c r="GO288"/>
  <c r="GP288"/>
  <c r="GQ288"/>
  <c r="GR288"/>
  <c r="GS288"/>
  <c r="GT288"/>
  <c r="GU288"/>
  <c r="GV288"/>
  <c r="GW288"/>
  <c r="GX288"/>
  <c r="GY288"/>
  <c r="GZ288"/>
  <c r="HA288"/>
  <c r="HB288"/>
  <c r="HC288"/>
  <c r="HD288"/>
  <c r="HE288"/>
  <c r="HF288"/>
  <c r="HG288"/>
  <c r="HH288"/>
  <c r="HI288"/>
  <c r="HJ288"/>
  <c r="HK288"/>
  <c r="HL288"/>
  <c r="HM288"/>
  <c r="HN288"/>
  <c r="HO288"/>
  <c r="HP288"/>
  <c r="HQ288"/>
  <c r="HR288"/>
  <c r="HS288"/>
  <c r="HT288"/>
  <c r="HU288"/>
  <c r="HV288"/>
  <c r="HW288"/>
  <c r="HX288"/>
  <c r="HY288"/>
  <c r="HZ288"/>
  <c r="IA288"/>
  <c r="IB288"/>
  <c r="IC288"/>
  <c r="ID288"/>
  <c r="IE288"/>
  <c r="IF288"/>
  <c r="IG288"/>
  <c r="IH288"/>
  <c r="II288"/>
  <c r="IJ288"/>
  <c r="IK288"/>
  <c r="IL288"/>
  <c r="IM288"/>
  <c r="IN288"/>
  <c r="IO288"/>
  <c r="IP288"/>
  <c r="IQ288"/>
  <c r="IR288"/>
  <c r="IS288"/>
  <c r="IT288"/>
  <c r="IU288"/>
  <c r="IV288"/>
  <c r="A287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AV287"/>
  <c r="AW287"/>
  <c r="AX287"/>
  <c r="AY287"/>
  <c r="AZ287"/>
  <c r="BA287"/>
  <c r="BB287"/>
  <c r="BC287"/>
  <c r="BD287"/>
  <c r="BE287"/>
  <c r="BF287"/>
  <c r="BG287"/>
  <c r="BH287"/>
  <c r="BI287"/>
  <c r="BJ287"/>
  <c r="BK287"/>
  <c r="BL287"/>
  <c r="BM287"/>
  <c r="BN287"/>
  <c r="BO287"/>
  <c r="BP287"/>
  <c r="BQ287"/>
  <c r="BR287"/>
  <c r="BS287"/>
  <c r="BT287"/>
  <c r="BU287"/>
  <c r="BV287"/>
  <c r="BW287"/>
  <c r="BX287"/>
  <c r="BY287"/>
  <c r="BZ287"/>
  <c r="CA287"/>
  <c r="CB287"/>
  <c r="CC287"/>
  <c r="CD287"/>
  <c r="CE287"/>
  <c r="CF287"/>
  <c r="CG287"/>
  <c r="CH287"/>
  <c r="CI287"/>
  <c r="CJ287"/>
  <c r="CK287"/>
  <c r="CL287"/>
  <c r="CM287"/>
  <c r="CN287"/>
  <c r="CO287"/>
  <c r="CP287"/>
  <c r="CQ287"/>
  <c r="CR287"/>
  <c r="CS287"/>
  <c r="CT287"/>
  <c r="CU287"/>
  <c r="CV287"/>
  <c r="CW287"/>
  <c r="CX287"/>
  <c r="CY287"/>
  <c r="CZ287"/>
  <c r="DA287"/>
  <c r="DB287"/>
  <c r="DC287"/>
  <c r="DD287"/>
  <c r="DE287"/>
  <c r="DF287"/>
  <c r="DG287"/>
  <c r="DH287"/>
  <c r="DI287"/>
  <c r="DJ287"/>
  <c r="DK287"/>
  <c r="DL287"/>
  <c r="DM287"/>
  <c r="DN287"/>
  <c r="DO287"/>
  <c r="DP287"/>
  <c r="DQ287"/>
  <c r="DR287"/>
  <c r="DS287"/>
  <c r="DT287"/>
  <c r="DU287"/>
  <c r="DV287"/>
  <c r="DW287"/>
  <c r="DX287"/>
  <c r="DY287"/>
  <c r="DZ287"/>
  <c r="EA287"/>
  <c r="EB287"/>
  <c r="EC287"/>
  <c r="ED287"/>
  <c r="EE287"/>
  <c r="EF287"/>
  <c r="EG287"/>
  <c r="EH287"/>
  <c r="EI287"/>
  <c r="EJ287"/>
  <c r="EK287"/>
  <c r="EL287"/>
  <c r="EM287"/>
  <c r="EN287"/>
  <c r="EO287"/>
  <c r="EP287"/>
  <c r="EQ287"/>
  <c r="ER287"/>
  <c r="ES287"/>
  <c r="ET287"/>
  <c r="EU287"/>
  <c r="EV287"/>
  <c r="EW287"/>
  <c r="EX287"/>
  <c r="EY287"/>
  <c r="EZ287"/>
  <c r="FA287"/>
  <c r="FB287"/>
  <c r="FC287"/>
  <c r="FD287"/>
  <c r="FE287"/>
  <c r="FF287"/>
  <c r="FG287"/>
  <c r="FH287"/>
  <c r="FI287"/>
  <c r="FJ287"/>
  <c r="FK287"/>
  <c r="FL287"/>
  <c r="FM287"/>
  <c r="FN287"/>
  <c r="FO287"/>
  <c r="FP287"/>
  <c r="FQ287"/>
  <c r="FR287"/>
  <c r="FS287"/>
  <c r="FT287"/>
  <c r="FU287"/>
  <c r="FV287"/>
  <c r="FW287"/>
  <c r="FX287"/>
  <c r="FY287"/>
  <c r="FZ287"/>
  <c r="GA287"/>
  <c r="GB287"/>
  <c r="GC287"/>
  <c r="GD287"/>
  <c r="GE287"/>
  <c r="GF287"/>
  <c r="GG287"/>
  <c r="GH287"/>
  <c r="GI287"/>
  <c r="GJ287"/>
  <c r="GK287"/>
  <c r="GL287"/>
  <c r="GM287"/>
  <c r="GN287"/>
  <c r="GO287"/>
  <c r="GP287"/>
  <c r="GQ287"/>
  <c r="GR287"/>
  <c r="GS287"/>
  <c r="GT287"/>
  <c r="GU287"/>
  <c r="GV287"/>
  <c r="GW287"/>
  <c r="GX287"/>
  <c r="GY287"/>
  <c r="GZ287"/>
  <c r="HA287"/>
  <c r="HB287"/>
  <c r="HC287"/>
  <c r="HD287"/>
  <c r="HE287"/>
  <c r="HF287"/>
  <c r="HG287"/>
  <c r="HH287"/>
  <c r="HI287"/>
  <c r="HJ287"/>
  <c r="HK287"/>
  <c r="HL287"/>
  <c r="HM287"/>
  <c r="HN287"/>
  <c r="HO287"/>
  <c r="HP287"/>
  <c r="HQ287"/>
  <c r="HR287"/>
  <c r="HS287"/>
  <c r="HT287"/>
  <c r="HU287"/>
  <c r="HV287"/>
  <c r="HW287"/>
  <c r="HX287"/>
  <c r="HY287"/>
  <c r="HZ287"/>
  <c r="IA287"/>
  <c r="IB287"/>
  <c r="IC287"/>
  <c r="ID287"/>
  <c r="IE287"/>
  <c r="IF287"/>
  <c r="IG287"/>
  <c r="IH287"/>
  <c r="II287"/>
  <c r="IJ287"/>
  <c r="IK287"/>
  <c r="IL287"/>
  <c r="IM287"/>
  <c r="IN287"/>
  <c r="IO287"/>
  <c r="IP287"/>
  <c r="IQ287"/>
  <c r="IR287"/>
  <c r="IS287"/>
  <c r="IT287"/>
  <c r="IU287"/>
  <c r="IV287"/>
  <c r="A286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Y286"/>
  <c r="AZ286"/>
  <c r="BA286"/>
  <c r="BB286"/>
  <c r="BC286"/>
  <c r="BD286"/>
  <c r="BE286"/>
  <c r="BF286"/>
  <c r="BG286"/>
  <c r="BH286"/>
  <c r="BI286"/>
  <c r="BJ286"/>
  <c r="BK286"/>
  <c r="BL286"/>
  <c r="BM286"/>
  <c r="BN286"/>
  <c r="BO286"/>
  <c r="BP286"/>
  <c r="BQ286"/>
  <c r="BR286"/>
  <c r="BS286"/>
  <c r="BT286"/>
  <c r="BU286"/>
  <c r="BV286"/>
  <c r="BW286"/>
  <c r="BX286"/>
  <c r="BY286"/>
  <c r="BZ286"/>
  <c r="CA286"/>
  <c r="CB286"/>
  <c r="CC286"/>
  <c r="CD286"/>
  <c r="CE286"/>
  <c r="CF286"/>
  <c r="CG286"/>
  <c r="CH286"/>
  <c r="CI286"/>
  <c r="CJ286"/>
  <c r="CK286"/>
  <c r="CL286"/>
  <c r="CM286"/>
  <c r="CN286"/>
  <c r="CO286"/>
  <c r="CP286"/>
  <c r="CQ286"/>
  <c r="CR286"/>
  <c r="CS286"/>
  <c r="CT286"/>
  <c r="CU286"/>
  <c r="CV286"/>
  <c r="CW286"/>
  <c r="CX286"/>
  <c r="CY286"/>
  <c r="CZ286"/>
  <c r="DA286"/>
  <c r="DB286"/>
  <c r="DC286"/>
  <c r="DD286"/>
  <c r="DE286"/>
  <c r="DF286"/>
  <c r="DG286"/>
  <c r="DH286"/>
  <c r="DI286"/>
  <c r="DJ286"/>
  <c r="DK286"/>
  <c r="DL286"/>
  <c r="DM286"/>
  <c r="DN286"/>
  <c r="DO286"/>
  <c r="DP286"/>
  <c r="DQ286"/>
  <c r="DR286"/>
  <c r="DS286"/>
  <c r="DT286"/>
  <c r="DU286"/>
  <c r="DV286"/>
  <c r="DW286"/>
  <c r="DX286"/>
  <c r="DY286"/>
  <c r="DZ286"/>
  <c r="EA286"/>
  <c r="EB286"/>
  <c r="EC286"/>
  <c r="ED286"/>
  <c r="EE286"/>
  <c r="EF286"/>
  <c r="EG286"/>
  <c r="EH286"/>
  <c r="EI286"/>
  <c r="EJ286"/>
  <c r="EK286"/>
  <c r="EL286"/>
  <c r="EM286"/>
  <c r="EN286"/>
  <c r="EO286"/>
  <c r="EP286"/>
  <c r="EQ286"/>
  <c r="ER286"/>
  <c r="ES286"/>
  <c r="ET286"/>
  <c r="EU286"/>
  <c r="EV286"/>
  <c r="EW286"/>
  <c r="EX286"/>
  <c r="EY286"/>
  <c r="EZ286"/>
  <c r="FA286"/>
  <c r="FB286"/>
  <c r="FC286"/>
  <c r="FD286"/>
  <c r="FE286"/>
  <c r="FF286"/>
  <c r="FG286"/>
  <c r="FH286"/>
  <c r="FI286"/>
  <c r="FJ286"/>
  <c r="FK286"/>
  <c r="FL286"/>
  <c r="FM286"/>
  <c r="FN286"/>
  <c r="FO286"/>
  <c r="FP286"/>
  <c r="FQ286"/>
  <c r="FR286"/>
  <c r="FS286"/>
  <c r="FT286"/>
  <c r="FU286"/>
  <c r="FV286"/>
  <c r="FW286"/>
  <c r="FX286"/>
  <c r="FY286"/>
  <c r="FZ286"/>
  <c r="GA286"/>
  <c r="GB286"/>
  <c r="GC286"/>
  <c r="GD286"/>
  <c r="GE286"/>
  <c r="GF286"/>
  <c r="GG286"/>
  <c r="GH286"/>
  <c r="GI286"/>
  <c r="GJ286"/>
  <c r="GK286"/>
  <c r="GL286"/>
  <c r="GM286"/>
  <c r="GN286"/>
  <c r="GO286"/>
  <c r="GP286"/>
  <c r="GQ286"/>
  <c r="GR286"/>
  <c r="GS286"/>
  <c r="GT286"/>
  <c r="GU286"/>
  <c r="GV286"/>
  <c r="GW286"/>
  <c r="GX286"/>
  <c r="GY286"/>
  <c r="GZ286"/>
  <c r="HA286"/>
  <c r="HB286"/>
  <c r="HC286"/>
  <c r="HD286"/>
  <c r="HE286"/>
  <c r="HF286"/>
  <c r="HG286"/>
  <c r="HH286"/>
  <c r="HI286"/>
  <c r="HJ286"/>
  <c r="HK286"/>
  <c r="HL286"/>
  <c r="HM286"/>
  <c r="HN286"/>
  <c r="HO286"/>
  <c r="HP286"/>
  <c r="HQ286"/>
  <c r="HR286"/>
  <c r="HS286"/>
  <c r="HT286"/>
  <c r="HU286"/>
  <c r="HV286"/>
  <c r="HW286"/>
  <c r="HX286"/>
  <c r="HY286"/>
  <c r="HZ286"/>
  <c r="IA286"/>
  <c r="IB286"/>
  <c r="IC286"/>
  <c r="ID286"/>
  <c r="IE286"/>
  <c r="IF286"/>
  <c r="IG286"/>
  <c r="IH286"/>
  <c r="II286"/>
  <c r="IJ286"/>
  <c r="IK286"/>
  <c r="IL286"/>
  <c r="IM286"/>
  <c r="IN286"/>
  <c r="IO286"/>
  <c r="IP286"/>
  <c r="IQ286"/>
  <c r="IR286"/>
  <c r="IS286"/>
  <c r="IT286"/>
  <c r="IU286"/>
  <c r="IV286"/>
  <c r="A285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Y285"/>
  <c r="AZ285"/>
  <c r="BA285"/>
  <c r="BB285"/>
  <c r="BC285"/>
  <c r="BD285"/>
  <c r="BE285"/>
  <c r="BF285"/>
  <c r="BG285"/>
  <c r="BH285"/>
  <c r="BI285"/>
  <c r="BJ285"/>
  <c r="BK285"/>
  <c r="BL285"/>
  <c r="BM285"/>
  <c r="BN285"/>
  <c r="BO285"/>
  <c r="BP285"/>
  <c r="BQ285"/>
  <c r="BR285"/>
  <c r="BS285"/>
  <c r="BT285"/>
  <c r="BU285"/>
  <c r="BV285"/>
  <c r="BW285"/>
  <c r="BX285"/>
  <c r="BY285"/>
  <c r="BZ285"/>
  <c r="CA285"/>
  <c r="CB285"/>
  <c r="CC285"/>
  <c r="CD285"/>
  <c r="CE285"/>
  <c r="CF285"/>
  <c r="CG285"/>
  <c r="CH285"/>
  <c r="CI285"/>
  <c r="CJ285"/>
  <c r="CK285"/>
  <c r="CL285"/>
  <c r="CM285"/>
  <c r="CN285"/>
  <c r="CO285"/>
  <c r="CP285"/>
  <c r="CQ285"/>
  <c r="CR285"/>
  <c r="CS285"/>
  <c r="CT285"/>
  <c r="CU285"/>
  <c r="CV285"/>
  <c r="CW285"/>
  <c r="CX285"/>
  <c r="CY285"/>
  <c r="CZ285"/>
  <c r="DA285"/>
  <c r="DB285"/>
  <c r="DC285"/>
  <c r="DD285"/>
  <c r="DE285"/>
  <c r="DF285"/>
  <c r="DG285"/>
  <c r="DH285"/>
  <c r="DI285"/>
  <c r="DJ285"/>
  <c r="DK285"/>
  <c r="DL285"/>
  <c r="DM285"/>
  <c r="DN285"/>
  <c r="DO285"/>
  <c r="DP285"/>
  <c r="DQ285"/>
  <c r="DR285"/>
  <c r="DS285"/>
  <c r="DT285"/>
  <c r="DU285"/>
  <c r="DV285"/>
  <c r="DW285"/>
  <c r="DX285"/>
  <c r="DY285"/>
  <c r="DZ285"/>
  <c r="EA285"/>
  <c r="EB285"/>
  <c r="EC285"/>
  <c r="ED285"/>
  <c r="EE285"/>
  <c r="EF285"/>
  <c r="EG285"/>
  <c r="EH285"/>
  <c r="EI285"/>
  <c r="EJ285"/>
  <c r="EK285"/>
  <c r="EL285"/>
  <c r="EM285"/>
  <c r="EN285"/>
  <c r="EO285"/>
  <c r="EP285"/>
  <c r="EQ285"/>
  <c r="ER285"/>
  <c r="ES285"/>
  <c r="ET285"/>
  <c r="EU285"/>
  <c r="EV285"/>
  <c r="EW285"/>
  <c r="EX285"/>
  <c r="EY285"/>
  <c r="EZ285"/>
  <c r="FA285"/>
  <c r="FB285"/>
  <c r="FC285"/>
  <c r="FD285"/>
  <c r="FE285"/>
  <c r="FF285"/>
  <c r="FG285"/>
  <c r="FH285"/>
  <c r="FI285"/>
  <c r="FJ285"/>
  <c r="FK285"/>
  <c r="FL285"/>
  <c r="FM285"/>
  <c r="FN285"/>
  <c r="FO285"/>
  <c r="FP285"/>
  <c r="FQ285"/>
  <c r="FR285"/>
  <c r="FS285"/>
  <c r="FT285"/>
  <c r="FU285"/>
  <c r="FV285"/>
  <c r="FW285"/>
  <c r="FX285"/>
  <c r="FY285"/>
  <c r="FZ285"/>
  <c r="GA285"/>
  <c r="GB285"/>
  <c r="GC285"/>
  <c r="GD285"/>
  <c r="GE285"/>
  <c r="GF285"/>
  <c r="GG285"/>
  <c r="GH285"/>
  <c r="GI285"/>
  <c r="GJ285"/>
  <c r="GK285"/>
  <c r="GL285"/>
  <c r="GM285"/>
  <c r="GN285"/>
  <c r="GO285"/>
  <c r="GP285"/>
  <c r="GQ285"/>
  <c r="GR285"/>
  <c r="GS285"/>
  <c r="GT285"/>
  <c r="GU285"/>
  <c r="GV285"/>
  <c r="GW285"/>
  <c r="GX285"/>
  <c r="GY285"/>
  <c r="GZ285"/>
  <c r="HA285"/>
  <c r="HB285"/>
  <c r="HC285"/>
  <c r="HD285"/>
  <c r="HE285"/>
  <c r="HF285"/>
  <c r="HG285"/>
  <c r="HH285"/>
  <c r="HI285"/>
  <c r="HJ285"/>
  <c r="HK285"/>
  <c r="HL285"/>
  <c r="HM285"/>
  <c r="HN285"/>
  <c r="HO285"/>
  <c r="HP285"/>
  <c r="HQ285"/>
  <c r="HR285"/>
  <c r="HS285"/>
  <c r="HT285"/>
  <c r="HU285"/>
  <c r="HV285"/>
  <c r="HW285"/>
  <c r="HX285"/>
  <c r="HY285"/>
  <c r="HZ285"/>
  <c r="IA285"/>
  <c r="IB285"/>
  <c r="IC285"/>
  <c r="ID285"/>
  <c r="IE285"/>
  <c r="IF285"/>
  <c r="IG285"/>
  <c r="IH285"/>
  <c r="II285"/>
  <c r="IJ285"/>
  <c r="IK285"/>
  <c r="IL285"/>
  <c r="IM285"/>
  <c r="IN285"/>
  <c r="IO285"/>
  <c r="IP285"/>
  <c r="IQ285"/>
  <c r="IR285"/>
  <c r="IS285"/>
  <c r="IT285"/>
  <c r="IU285"/>
  <c r="IV285"/>
  <c r="A284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Y284"/>
  <c r="AZ284"/>
  <c r="BA284"/>
  <c r="BB284"/>
  <c r="BC284"/>
  <c r="BD284"/>
  <c r="BE284"/>
  <c r="BF284"/>
  <c r="BG284"/>
  <c r="BH284"/>
  <c r="BI284"/>
  <c r="BJ284"/>
  <c r="BK284"/>
  <c r="BL284"/>
  <c r="BM284"/>
  <c r="BN284"/>
  <c r="BO284"/>
  <c r="BP284"/>
  <c r="BQ284"/>
  <c r="BR284"/>
  <c r="BS284"/>
  <c r="BT284"/>
  <c r="BU284"/>
  <c r="BV284"/>
  <c r="BW284"/>
  <c r="BX284"/>
  <c r="BY284"/>
  <c r="BZ284"/>
  <c r="CA284"/>
  <c r="CB284"/>
  <c r="CC284"/>
  <c r="CD284"/>
  <c r="CE284"/>
  <c r="CF284"/>
  <c r="CG284"/>
  <c r="CH284"/>
  <c r="CI284"/>
  <c r="CJ284"/>
  <c r="CK284"/>
  <c r="CL284"/>
  <c r="CM284"/>
  <c r="CN284"/>
  <c r="CO284"/>
  <c r="CP284"/>
  <c r="CQ284"/>
  <c r="CR284"/>
  <c r="CS284"/>
  <c r="CT284"/>
  <c r="CU284"/>
  <c r="CV284"/>
  <c r="CW284"/>
  <c r="CX284"/>
  <c r="CY284"/>
  <c r="CZ284"/>
  <c r="DA284"/>
  <c r="DB284"/>
  <c r="DC284"/>
  <c r="DD284"/>
  <c r="DE284"/>
  <c r="DF284"/>
  <c r="DG284"/>
  <c r="DH284"/>
  <c r="DI284"/>
  <c r="DJ284"/>
  <c r="DK284"/>
  <c r="DL284"/>
  <c r="DM284"/>
  <c r="DN284"/>
  <c r="DO284"/>
  <c r="DP284"/>
  <c r="DQ284"/>
  <c r="DR284"/>
  <c r="DS284"/>
  <c r="DT284"/>
  <c r="DU284"/>
  <c r="DV284"/>
  <c r="DW284"/>
  <c r="DX284"/>
  <c r="DY284"/>
  <c r="DZ284"/>
  <c r="EA284"/>
  <c r="EB284"/>
  <c r="EC284"/>
  <c r="ED284"/>
  <c r="EE284"/>
  <c r="EF284"/>
  <c r="EG284"/>
  <c r="EH284"/>
  <c r="EI284"/>
  <c r="EJ284"/>
  <c r="EK284"/>
  <c r="EL284"/>
  <c r="EM284"/>
  <c r="EN284"/>
  <c r="EO284"/>
  <c r="EP284"/>
  <c r="EQ284"/>
  <c r="ER284"/>
  <c r="ES284"/>
  <c r="ET284"/>
  <c r="EU284"/>
  <c r="EV284"/>
  <c r="EW284"/>
  <c r="EX284"/>
  <c r="EY284"/>
  <c r="EZ284"/>
  <c r="FA284"/>
  <c r="FB284"/>
  <c r="FC284"/>
  <c r="FD284"/>
  <c r="FE284"/>
  <c r="FF284"/>
  <c r="FG284"/>
  <c r="FH284"/>
  <c r="FI284"/>
  <c r="FJ284"/>
  <c r="FK284"/>
  <c r="FL284"/>
  <c r="FM284"/>
  <c r="FN284"/>
  <c r="FO284"/>
  <c r="FP284"/>
  <c r="FQ284"/>
  <c r="FR284"/>
  <c r="FS284"/>
  <c r="FT284"/>
  <c r="FU284"/>
  <c r="FV284"/>
  <c r="FW284"/>
  <c r="FX284"/>
  <c r="FY284"/>
  <c r="FZ284"/>
  <c r="GA284"/>
  <c r="GB284"/>
  <c r="GC284"/>
  <c r="GD284"/>
  <c r="GE284"/>
  <c r="GF284"/>
  <c r="GG284"/>
  <c r="GH284"/>
  <c r="GI284"/>
  <c r="GJ284"/>
  <c r="GK284"/>
  <c r="GL284"/>
  <c r="GM284"/>
  <c r="GN284"/>
  <c r="GO284"/>
  <c r="GP284"/>
  <c r="GQ284"/>
  <c r="GR284"/>
  <c r="GS284"/>
  <c r="GT284"/>
  <c r="GU284"/>
  <c r="GV284"/>
  <c r="GW284"/>
  <c r="GX284"/>
  <c r="GY284"/>
  <c r="GZ284"/>
  <c r="HA284"/>
  <c r="HB284"/>
  <c r="HC284"/>
  <c r="HD284"/>
  <c r="HE284"/>
  <c r="HF284"/>
  <c r="HG284"/>
  <c r="HH284"/>
  <c r="HI284"/>
  <c r="HJ284"/>
  <c r="HK284"/>
  <c r="HL284"/>
  <c r="HM284"/>
  <c r="HN284"/>
  <c r="HO284"/>
  <c r="HP284"/>
  <c r="HQ284"/>
  <c r="HR284"/>
  <c r="HS284"/>
  <c r="HT284"/>
  <c r="HU284"/>
  <c r="HV284"/>
  <c r="HW284"/>
  <c r="HX284"/>
  <c r="HY284"/>
  <c r="HZ284"/>
  <c r="IA284"/>
  <c r="IB284"/>
  <c r="IC284"/>
  <c r="ID284"/>
  <c r="IE284"/>
  <c r="IF284"/>
  <c r="IG284"/>
  <c r="IH284"/>
  <c r="II284"/>
  <c r="IJ284"/>
  <c r="IK284"/>
  <c r="IL284"/>
  <c r="IM284"/>
  <c r="IN284"/>
  <c r="IO284"/>
  <c r="IP284"/>
  <c r="IQ284"/>
  <c r="IR284"/>
  <c r="IS284"/>
  <c r="IT284"/>
  <c r="IU284"/>
  <c r="IV284"/>
  <c r="A283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Y283"/>
  <c r="AZ283"/>
  <c r="BA283"/>
  <c r="BB283"/>
  <c r="BC283"/>
  <c r="BD283"/>
  <c r="BE283"/>
  <c r="BF283"/>
  <c r="BG283"/>
  <c r="BH283"/>
  <c r="BI283"/>
  <c r="BJ283"/>
  <c r="BK283"/>
  <c r="BL283"/>
  <c r="BM283"/>
  <c r="BN283"/>
  <c r="BO283"/>
  <c r="BP283"/>
  <c r="BQ283"/>
  <c r="BR283"/>
  <c r="BS283"/>
  <c r="BT283"/>
  <c r="BU283"/>
  <c r="BV283"/>
  <c r="BW283"/>
  <c r="BX283"/>
  <c r="BY283"/>
  <c r="BZ283"/>
  <c r="CA283"/>
  <c r="CB283"/>
  <c r="CC283"/>
  <c r="CD283"/>
  <c r="CE283"/>
  <c r="CF283"/>
  <c r="CG283"/>
  <c r="CH283"/>
  <c r="CI283"/>
  <c r="CJ283"/>
  <c r="CK283"/>
  <c r="CL283"/>
  <c r="CM283"/>
  <c r="CN283"/>
  <c r="CO283"/>
  <c r="CP283"/>
  <c r="CQ283"/>
  <c r="CR283"/>
  <c r="CS283"/>
  <c r="CT283"/>
  <c r="CU283"/>
  <c r="CV283"/>
  <c r="CW283"/>
  <c r="CX283"/>
  <c r="CY283"/>
  <c r="CZ283"/>
  <c r="DA283"/>
  <c r="DB283"/>
  <c r="DC283"/>
  <c r="DD283"/>
  <c r="DE283"/>
  <c r="DF283"/>
  <c r="DG283"/>
  <c r="DH283"/>
  <c r="DI283"/>
  <c r="DJ283"/>
  <c r="DK283"/>
  <c r="DL283"/>
  <c r="DM283"/>
  <c r="DN283"/>
  <c r="DO283"/>
  <c r="DP283"/>
  <c r="DQ283"/>
  <c r="DR283"/>
  <c r="DS283"/>
  <c r="DT283"/>
  <c r="DU283"/>
  <c r="DV283"/>
  <c r="DW283"/>
  <c r="DX283"/>
  <c r="DY283"/>
  <c r="DZ283"/>
  <c r="EA283"/>
  <c r="EB283"/>
  <c r="EC283"/>
  <c r="ED283"/>
  <c r="EE283"/>
  <c r="EF283"/>
  <c r="EG283"/>
  <c r="EH283"/>
  <c r="EI283"/>
  <c r="EJ283"/>
  <c r="EK283"/>
  <c r="EL283"/>
  <c r="EM283"/>
  <c r="EN283"/>
  <c r="EO283"/>
  <c r="EP283"/>
  <c r="EQ283"/>
  <c r="ER283"/>
  <c r="ES283"/>
  <c r="ET283"/>
  <c r="EU283"/>
  <c r="EV283"/>
  <c r="EW283"/>
  <c r="EX283"/>
  <c r="EY283"/>
  <c r="EZ283"/>
  <c r="FA283"/>
  <c r="FB283"/>
  <c r="FC283"/>
  <c r="FD283"/>
  <c r="FE283"/>
  <c r="FF283"/>
  <c r="FG283"/>
  <c r="FH283"/>
  <c r="FI283"/>
  <c r="FJ283"/>
  <c r="FK283"/>
  <c r="FL283"/>
  <c r="FM283"/>
  <c r="FN283"/>
  <c r="FO283"/>
  <c r="FP283"/>
  <c r="FQ283"/>
  <c r="FR283"/>
  <c r="FS283"/>
  <c r="FT283"/>
  <c r="FU283"/>
  <c r="FV283"/>
  <c r="FW283"/>
  <c r="FX283"/>
  <c r="FY283"/>
  <c r="FZ283"/>
  <c r="GA283"/>
  <c r="GB283"/>
  <c r="GC283"/>
  <c r="GD283"/>
  <c r="GE283"/>
  <c r="GF283"/>
  <c r="GG283"/>
  <c r="GH283"/>
  <c r="GI283"/>
  <c r="GJ283"/>
  <c r="GK283"/>
  <c r="GL283"/>
  <c r="GM283"/>
  <c r="GN283"/>
  <c r="GO283"/>
  <c r="GP283"/>
  <c r="GQ283"/>
  <c r="GR283"/>
  <c r="GS283"/>
  <c r="GT283"/>
  <c r="GU283"/>
  <c r="GV283"/>
  <c r="GW283"/>
  <c r="GX283"/>
  <c r="GY283"/>
  <c r="GZ283"/>
  <c r="HA283"/>
  <c r="HB283"/>
  <c r="HC283"/>
  <c r="HD283"/>
  <c r="HE283"/>
  <c r="HF283"/>
  <c r="HG283"/>
  <c r="HH283"/>
  <c r="HI283"/>
  <c r="HJ283"/>
  <c r="HK283"/>
  <c r="HL283"/>
  <c r="HM283"/>
  <c r="HN283"/>
  <c r="HO283"/>
  <c r="HP283"/>
  <c r="HQ283"/>
  <c r="HR283"/>
  <c r="HS283"/>
  <c r="HT283"/>
  <c r="HU283"/>
  <c r="HV283"/>
  <c r="HW283"/>
  <c r="HX283"/>
  <c r="HY283"/>
  <c r="HZ283"/>
  <c r="IA283"/>
  <c r="IB283"/>
  <c r="IC283"/>
  <c r="ID283"/>
  <c r="IE283"/>
  <c r="IF283"/>
  <c r="IG283"/>
  <c r="IH283"/>
  <c r="II283"/>
  <c r="IJ283"/>
  <c r="IK283"/>
  <c r="IL283"/>
  <c r="IM283"/>
  <c r="IN283"/>
  <c r="IO283"/>
  <c r="IP283"/>
  <c r="IQ283"/>
  <c r="IR283"/>
  <c r="IS283"/>
  <c r="IT283"/>
  <c r="IU283"/>
  <c r="IV283"/>
  <c r="A282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Y282"/>
  <c r="AZ282"/>
  <c r="BA282"/>
  <c r="BB282"/>
  <c r="BC282"/>
  <c r="BD282"/>
  <c r="BE282"/>
  <c r="BF282"/>
  <c r="BG282"/>
  <c r="BH282"/>
  <c r="BI282"/>
  <c r="BJ282"/>
  <c r="BK282"/>
  <c r="BL282"/>
  <c r="BM282"/>
  <c r="BN282"/>
  <c r="BO282"/>
  <c r="BP282"/>
  <c r="BQ282"/>
  <c r="BR282"/>
  <c r="BS282"/>
  <c r="BT282"/>
  <c r="BU282"/>
  <c r="BV282"/>
  <c r="BW282"/>
  <c r="BX282"/>
  <c r="BY282"/>
  <c r="BZ282"/>
  <c r="CA282"/>
  <c r="CB282"/>
  <c r="CC282"/>
  <c r="CD282"/>
  <c r="CE282"/>
  <c r="CF282"/>
  <c r="CG282"/>
  <c r="CH282"/>
  <c r="CI282"/>
  <c r="CJ282"/>
  <c r="CK282"/>
  <c r="CL282"/>
  <c r="CM282"/>
  <c r="CN282"/>
  <c r="CO282"/>
  <c r="CP282"/>
  <c r="CQ282"/>
  <c r="CR282"/>
  <c r="CS282"/>
  <c r="CT282"/>
  <c r="CU282"/>
  <c r="CV282"/>
  <c r="CW282"/>
  <c r="CX282"/>
  <c r="CY282"/>
  <c r="CZ282"/>
  <c r="DA282"/>
  <c r="DB282"/>
  <c r="DC282"/>
  <c r="DD282"/>
  <c r="DE282"/>
  <c r="DF282"/>
  <c r="DG282"/>
  <c r="DH282"/>
  <c r="DI282"/>
  <c r="DJ282"/>
  <c r="DK282"/>
  <c r="DL282"/>
  <c r="DM282"/>
  <c r="DN282"/>
  <c r="DO282"/>
  <c r="DP282"/>
  <c r="DQ282"/>
  <c r="DR282"/>
  <c r="DS282"/>
  <c r="DT282"/>
  <c r="DU282"/>
  <c r="DV282"/>
  <c r="DW282"/>
  <c r="DX282"/>
  <c r="DY282"/>
  <c r="DZ282"/>
  <c r="EA282"/>
  <c r="EB282"/>
  <c r="EC282"/>
  <c r="ED282"/>
  <c r="EE282"/>
  <c r="EF282"/>
  <c r="EG282"/>
  <c r="EH282"/>
  <c r="EI282"/>
  <c r="EJ282"/>
  <c r="EK282"/>
  <c r="EL282"/>
  <c r="EM282"/>
  <c r="EN282"/>
  <c r="EO282"/>
  <c r="EP282"/>
  <c r="EQ282"/>
  <c r="ER282"/>
  <c r="ES282"/>
  <c r="ET282"/>
  <c r="EU282"/>
  <c r="EV282"/>
  <c r="EW282"/>
  <c r="EX282"/>
  <c r="EY282"/>
  <c r="EZ282"/>
  <c r="FA282"/>
  <c r="FB282"/>
  <c r="FC282"/>
  <c r="FD282"/>
  <c r="FE282"/>
  <c r="FF282"/>
  <c r="FG282"/>
  <c r="FH282"/>
  <c r="FI282"/>
  <c r="FJ282"/>
  <c r="FK282"/>
  <c r="FL282"/>
  <c r="FM282"/>
  <c r="FN282"/>
  <c r="FO282"/>
  <c r="FP282"/>
  <c r="FQ282"/>
  <c r="FR282"/>
  <c r="FS282"/>
  <c r="FT282"/>
  <c r="FU282"/>
  <c r="FV282"/>
  <c r="FW282"/>
  <c r="FX282"/>
  <c r="FY282"/>
  <c r="FZ282"/>
  <c r="GA282"/>
  <c r="GB282"/>
  <c r="GC282"/>
  <c r="GD282"/>
  <c r="GE282"/>
  <c r="GF282"/>
  <c r="GG282"/>
  <c r="GH282"/>
  <c r="GI282"/>
  <c r="GJ282"/>
  <c r="GK282"/>
  <c r="GL282"/>
  <c r="GM282"/>
  <c r="GN282"/>
  <c r="GO282"/>
  <c r="GP282"/>
  <c r="GQ282"/>
  <c r="GR282"/>
  <c r="GS282"/>
  <c r="GT282"/>
  <c r="GU282"/>
  <c r="GV282"/>
  <c r="GW282"/>
  <c r="GX282"/>
  <c r="GY282"/>
  <c r="GZ282"/>
  <c r="HA282"/>
  <c r="HB282"/>
  <c r="HC282"/>
  <c r="HD282"/>
  <c r="HE282"/>
  <c r="HF282"/>
  <c r="HG282"/>
  <c r="HH282"/>
  <c r="HI282"/>
  <c r="HJ282"/>
  <c r="HK282"/>
  <c r="HL282"/>
  <c r="HM282"/>
  <c r="HN282"/>
  <c r="HO282"/>
  <c r="HP282"/>
  <c r="HQ282"/>
  <c r="HR282"/>
  <c r="HS282"/>
  <c r="HT282"/>
  <c r="HU282"/>
  <c r="HV282"/>
  <c r="HW282"/>
  <c r="HX282"/>
  <c r="HY282"/>
  <c r="HZ282"/>
  <c r="IA282"/>
  <c r="IB282"/>
  <c r="IC282"/>
  <c r="ID282"/>
  <c r="IE282"/>
  <c r="IF282"/>
  <c r="IG282"/>
  <c r="IH282"/>
  <c r="II282"/>
  <c r="IJ282"/>
  <c r="IK282"/>
  <c r="IL282"/>
  <c r="IM282"/>
  <c r="IN282"/>
  <c r="IO282"/>
  <c r="IP282"/>
  <c r="IQ282"/>
  <c r="IR282"/>
  <c r="IS282"/>
  <c r="IT282"/>
  <c r="IU282"/>
  <c r="IV282"/>
  <c r="A281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AT281"/>
  <c r="AU281"/>
  <c r="AV281"/>
  <c r="AW281"/>
  <c r="AX281"/>
  <c r="AY281"/>
  <c r="AZ281"/>
  <c r="BA281"/>
  <c r="BB281"/>
  <c r="BC281"/>
  <c r="BD281"/>
  <c r="BE281"/>
  <c r="BF281"/>
  <c r="BG281"/>
  <c r="BH281"/>
  <c r="BI281"/>
  <c r="BJ281"/>
  <c r="BK281"/>
  <c r="BL281"/>
  <c r="BM281"/>
  <c r="BN281"/>
  <c r="BO281"/>
  <c r="BP281"/>
  <c r="BQ281"/>
  <c r="BR281"/>
  <c r="BS281"/>
  <c r="BT281"/>
  <c r="BU281"/>
  <c r="BV281"/>
  <c r="BW281"/>
  <c r="BX281"/>
  <c r="BY281"/>
  <c r="BZ281"/>
  <c r="CA281"/>
  <c r="CB281"/>
  <c r="CC281"/>
  <c r="CD281"/>
  <c r="CE281"/>
  <c r="CF281"/>
  <c r="CG281"/>
  <c r="CH281"/>
  <c r="CI281"/>
  <c r="CJ281"/>
  <c r="CK281"/>
  <c r="CL281"/>
  <c r="CM281"/>
  <c r="CN281"/>
  <c r="CO281"/>
  <c r="CP281"/>
  <c r="CQ281"/>
  <c r="CR281"/>
  <c r="CS281"/>
  <c r="CT281"/>
  <c r="CU281"/>
  <c r="CV281"/>
  <c r="CW281"/>
  <c r="CX281"/>
  <c r="CY281"/>
  <c r="CZ281"/>
  <c r="DA281"/>
  <c r="DB281"/>
  <c r="DC281"/>
  <c r="DD281"/>
  <c r="DE281"/>
  <c r="DF281"/>
  <c r="DG281"/>
  <c r="DH281"/>
  <c r="DI281"/>
  <c r="DJ281"/>
  <c r="DK281"/>
  <c r="DL281"/>
  <c r="DM281"/>
  <c r="DN281"/>
  <c r="DO281"/>
  <c r="DP281"/>
  <c r="DQ281"/>
  <c r="DR281"/>
  <c r="DS281"/>
  <c r="DT281"/>
  <c r="DU281"/>
  <c r="DV281"/>
  <c r="DW281"/>
  <c r="DX281"/>
  <c r="DY281"/>
  <c r="DZ281"/>
  <c r="EA281"/>
  <c r="EB281"/>
  <c r="EC281"/>
  <c r="ED281"/>
  <c r="EE281"/>
  <c r="EF281"/>
  <c r="EG281"/>
  <c r="EH281"/>
  <c r="EI281"/>
  <c r="EJ281"/>
  <c r="EK281"/>
  <c r="EL281"/>
  <c r="EM281"/>
  <c r="EN281"/>
  <c r="EO281"/>
  <c r="EP281"/>
  <c r="EQ281"/>
  <c r="ER281"/>
  <c r="ES281"/>
  <c r="ET281"/>
  <c r="EU281"/>
  <c r="EV281"/>
  <c r="EW281"/>
  <c r="EX281"/>
  <c r="EY281"/>
  <c r="EZ281"/>
  <c r="FA281"/>
  <c r="FB281"/>
  <c r="FC281"/>
  <c r="FD281"/>
  <c r="FE281"/>
  <c r="FF281"/>
  <c r="FG281"/>
  <c r="FH281"/>
  <c r="FI281"/>
  <c r="FJ281"/>
  <c r="FK281"/>
  <c r="FL281"/>
  <c r="FM281"/>
  <c r="FN281"/>
  <c r="FO281"/>
  <c r="FP281"/>
  <c r="FQ281"/>
  <c r="FR281"/>
  <c r="FS281"/>
  <c r="FT281"/>
  <c r="FU281"/>
  <c r="FV281"/>
  <c r="FW281"/>
  <c r="FX281"/>
  <c r="FY281"/>
  <c r="FZ281"/>
  <c r="GA281"/>
  <c r="GB281"/>
  <c r="GC281"/>
  <c r="GD281"/>
  <c r="GE281"/>
  <c r="GF281"/>
  <c r="GG281"/>
  <c r="GH281"/>
  <c r="GI281"/>
  <c r="GJ281"/>
  <c r="GK281"/>
  <c r="GL281"/>
  <c r="GM281"/>
  <c r="GN281"/>
  <c r="GO281"/>
  <c r="GP281"/>
  <c r="GQ281"/>
  <c r="GR281"/>
  <c r="GS281"/>
  <c r="GT281"/>
  <c r="GU281"/>
  <c r="GV281"/>
  <c r="GW281"/>
  <c r="GX281"/>
  <c r="GY281"/>
  <c r="GZ281"/>
  <c r="HA281"/>
  <c r="HB281"/>
  <c r="HC281"/>
  <c r="HD281"/>
  <c r="HE281"/>
  <c r="HF281"/>
  <c r="HG281"/>
  <c r="HH281"/>
  <c r="HI281"/>
  <c r="HJ281"/>
  <c r="HK281"/>
  <c r="HL281"/>
  <c r="HM281"/>
  <c r="HN281"/>
  <c r="HO281"/>
  <c r="HP281"/>
  <c r="HQ281"/>
  <c r="HR281"/>
  <c r="HS281"/>
  <c r="HT281"/>
  <c r="HU281"/>
  <c r="HV281"/>
  <c r="HW281"/>
  <c r="HX281"/>
  <c r="HY281"/>
  <c r="HZ281"/>
  <c r="IA281"/>
  <c r="IB281"/>
  <c r="IC281"/>
  <c r="ID281"/>
  <c r="IE281"/>
  <c r="IF281"/>
  <c r="IG281"/>
  <c r="IH281"/>
  <c r="II281"/>
  <c r="IJ281"/>
  <c r="IK281"/>
  <c r="IL281"/>
  <c r="IM281"/>
  <c r="IN281"/>
  <c r="IO281"/>
  <c r="IP281"/>
  <c r="IQ281"/>
  <c r="IR281"/>
  <c r="IS281"/>
  <c r="IT281"/>
  <c r="IU281"/>
  <c r="IV281"/>
  <c r="A280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Y280"/>
  <c r="AZ280"/>
  <c r="BA280"/>
  <c r="BB280"/>
  <c r="BC280"/>
  <c r="BD280"/>
  <c r="BE280"/>
  <c r="BF280"/>
  <c r="BG280"/>
  <c r="BH280"/>
  <c r="BI280"/>
  <c r="BJ280"/>
  <c r="BK280"/>
  <c r="BL280"/>
  <c r="BM280"/>
  <c r="BN280"/>
  <c r="BO280"/>
  <c r="BP280"/>
  <c r="BQ280"/>
  <c r="BR280"/>
  <c r="BS280"/>
  <c r="BT280"/>
  <c r="BU280"/>
  <c r="BV280"/>
  <c r="BW280"/>
  <c r="BX280"/>
  <c r="BY280"/>
  <c r="BZ280"/>
  <c r="CA280"/>
  <c r="CB280"/>
  <c r="CC280"/>
  <c r="CD280"/>
  <c r="CE280"/>
  <c r="CF280"/>
  <c r="CG280"/>
  <c r="CH280"/>
  <c r="CI280"/>
  <c r="CJ280"/>
  <c r="CK280"/>
  <c r="CL280"/>
  <c r="CM280"/>
  <c r="CN280"/>
  <c r="CO280"/>
  <c r="CP280"/>
  <c r="CQ280"/>
  <c r="CR280"/>
  <c r="CS280"/>
  <c r="CT280"/>
  <c r="CU280"/>
  <c r="CV280"/>
  <c r="CW280"/>
  <c r="CX280"/>
  <c r="CY280"/>
  <c r="CZ280"/>
  <c r="DA280"/>
  <c r="DB280"/>
  <c r="DC280"/>
  <c r="DD280"/>
  <c r="DE280"/>
  <c r="DF280"/>
  <c r="DG280"/>
  <c r="DH280"/>
  <c r="DI280"/>
  <c r="DJ280"/>
  <c r="DK280"/>
  <c r="DL280"/>
  <c r="DM280"/>
  <c r="DN280"/>
  <c r="DO280"/>
  <c r="DP280"/>
  <c r="DQ280"/>
  <c r="DR280"/>
  <c r="DS280"/>
  <c r="DT280"/>
  <c r="DU280"/>
  <c r="DV280"/>
  <c r="DW280"/>
  <c r="DX280"/>
  <c r="DY280"/>
  <c r="DZ280"/>
  <c r="EA280"/>
  <c r="EB280"/>
  <c r="EC280"/>
  <c r="ED280"/>
  <c r="EE280"/>
  <c r="EF280"/>
  <c r="EG280"/>
  <c r="EH280"/>
  <c r="EI280"/>
  <c r="EJ280"/>
  <c r="EK280"/>
  <c r="EL280"/>
  <c r="EM280"/>
  <c r="EN280"/>
  <c r="EO280"/>
  <c r="EP280"/>
  <c r="EQ280"/>
  <c r="ER280"/>
  <c r="ES280"/>
  <c r="ET280"/>
  <c r="EU280"/>
  <c r="EV280"/>
  <c r="EW280"/>
  <c r="EX280"/>
  <c r="EY280"/>
  <c r="EZ280"/>
  <c r="FA280"/>
  <c r="FB280"/>
  <c r="FC280"/>
  <c r="FD280"/>
  <c r="FE280"/>
  <c r="FF280"/>
  <c r="FG280"/>
  <c r="FH280"/>
  <c r="FI280"/>
  <c r="FJ280"/>
  <c r="FK280"/>
  <c r="FL280"/>
  <c r="FM280"/>
  <c r="FN280"/>
  <c r="FO280"/>
  <c r="FP280"/>
  <c r="FQ280"/>
  <c r="FR280"/>
  <c r="FS280"/>
  <c r="FT280"/>
  <c r="FU280"/>
  <c r="FV280"/>
  <c r="FW280"/>
  <c r="FX280"/>
  <c r="FY280"/>
  <c r="FZ280"/>
  <c r="GA280"/>
  <c r="GB280"/>
  <c r="GC280"/>
  <c r="GD280"/>
  <c r="GE280"/>
  <c r="GF280"/>
  <c r="GG280"/>
  <c r="GH280"/>
  <c r="GI280"/>
  <c r="GJ280"/>
  <c r="GK280"/>
  <c r="GL280"/>
  <c r="GM280"/>
  <c r="GN280"/>
  <c r="GO280"/>
  <c r="GP280"/>
  <c r="GQ280"/>
  <c r="GR280"/>
  <c r="GS280"/>
  <c r="GT280"/>
  <c r="GU280"/>
  <c r="GV280"/>
  <c r="GW280"/>
  <c r="GX280"/>
  <c r="GY280"/>
  <c r="GZ280"/>
  <c r="HA280"/>
  <c r="HB280"/>
  <c r="HC280"/>
  <c r="HD280"/>
  <c r="HE280"/>
  <c r="HF280"/>
  <c r="HG280"/>
  <c r="HH280"/>
  <c r="HI280"/>
  <c r="HJ280"/>
  <c r="HK280"/>
  <c r="HL280"/>
  <c r="HM280"/>
  <c r="HN280"/>
  <c r="HO280"/>
  <c r="HP280"/>
  <c r="HQ280"/>
  <c r="HR280"/>
  <c r="HS280"/>
  <c r="HT280"/>
  <c r="HU280"/>
  <c r="HV280"/>
  <c r="HW280"/>
  <c r="HX280"/>
  <c r="HY280"/>
  <c r="HZ280"/>
  <c r="IA280"/>
  <c r="IB280"/>
  <c r="IC280"/>
  <c r="ID280"/>
  <c r="IE280"/>
  <c r="IF280"/>
  <c r="IG280"/>
  <c r="IH280"/>
  <c r="II280"/>
  <c r="IJ280"/>
  <c r="IK280"/>
  <c r="IL280"/>
  <c r="IM280"/>
  <c r="IN280"/>
  <c r="IO280"/>
  <c r="IP280"/>
  <c r="IQ280"/>
  <c r="IR280"/>
  <c r="IS280"/>
  <c r="IT280"/>
  <c r="IU280"/>
  <c r="IV280"/>
  <c r="A279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AE279"/>
  <c r="AF279"/>
  <c r="AG279"/>
  <c r="AH279"/>
  <c r="AI279"/>
  <c r="AJ279"/>
  <c r="AK279"/>
  <c r="AL279"/>
  <c r="AM279"/>
  <c r="AN279"/>
  <c r="AO279"/>
  <c r="AP279"/>
  <c r="AQ279"/>
  <c r="AR279"/>
  <c r="AS279"/>
  <c r="AT279"/>
  <c r="AU279"/>
  <c r="AV279"/>
  <c r="AW279"/>
  <c r="AX279"/>
  <c r="AY279"/>
  <c r="AZ279"/>
  <c r="BA279"/>
  <c r="BB279"/>
  <c r="BC279"/>
  <c r="BD279"/>
  <c r="BE279"/>
  <c r="BF279"/>
  <c r="BG279"/>
  <c r="BH279"/>
  <c r="BI279"/>
  <c r="BJ279"/>
  <c r="BK279"/>
  <c r="BL279"/>
  <c r="BM279"/>
  <c r="BN279"/>
  <c r="BO279"/>
  <c r="BP279"/>
  <c r="BQ279"/>
  <c r="BR279"/>
  <c r="BS279"/>
  <c r="BT279"/>
  <c r="BU279"/>
  <c r="BV279"/>
  <c r="BW279"/>
  <c r="BX279"/>
  <c r="BY279"/>
  <c r="BZ279"/>
  <c r="CA279"/>
  <c r="CB279"/>
  <c r="CC279"/>
  <c r="CD279"/>
  <c r="CE279"/>
  <c r="CF279"/>
  <c r="CG279"/>
  <c r="CH279"/>
  <c r="CI279"/>
  <c r="CJ279"/>
  <c r="CK279"/>
  <c r="CL279"/>
  <c r="CM279"/>
  <c r="CN279"/>
  <c r="CO279"/>
  <c r="CP279"/>
  <c r="CQ279"/>
  <c r="CR279"/>
  <c r="CS279"/>
  <c r="CT279"/>
  <c r="CU279"/>
  <c r="CV279"/>
  <c r="CW279"/>
  <c r="CX279"/>
  <c r="CY279"/>
  <c r="CZ279"/>
  <c r="DA279"/>
  <c r="DB279"/>
  <c r="DC279"/>
  <c r="DD279"/>
  <c r="DE279"/>
  <c r="DF279"/>
  <c r="DG279"/>
  <c r="DH279"/>
  <c r="DI279"/>
  <c r="DJ279"/>
  <c r="DK279"/>
  <c r="DL279"/>
  <c r="DM279"/>
  <c r="DN279"/>
  <c r="DO279"/>
  <c r="DP279"/>
  <c r="DQ279"/>
  <c r="DR279"/>
  <c r="DS279"/>
  <c r="DT279"/>
  <c r="DU279"/>
  <c r="DV279"/>
  <c r="DW279"/>
  <c r="DX279"/>
  <c r="DY279"/>
  <c r="DZ279"/>
  <c r="EA279"/>
  <c r="EB279"/>
  <c r="EC279"/>
  <c r="ED279"/>
  <c r="EE279"/>
  <c r="EF279"/>
  <c r="EG279"/>
  <c r="EH279"/>
  <c r="EI279"/>
  <c r="EJ279"/>
  <c r="EK279"/>
  <c r="EL279"/>
  <c r="EM279"/>
  <c r="EN279"/>
  <c r="EO279"/>
  <c r="EP279"/>
  <c r="EQ279"/>
  <c r="ER279"/>
  <c r="ES279"/>
  <c r="ET279"/>
  <c r="EU279"/>
  <c r="EV279"/>
  <c r="EW279"/>
  <c r="EX279"/>
  <c r="EY279"/>
  <c r="EZ279"/>
  <c r="FA279"/>
  <c r="FB279"/>
  <c r="FC279"/>
  <c r="FD279"/>
  <c r="FE279"/>
  <c r="FF279"/>
  <c r="FG279"/>
  <c r="FH279"/>
  <c r="FI279"/>
  <c r="FJ279"/>
  <c r="FK279"/>
  <c r="FL279"/>
  <c r="FM279"/>
  <c r="FN279"/>
  <c r="FO279"/>
  <c r="FP279"/>
  <c r="FQ279"/>
  <c r="FR279"/>
  <c r="FS279"/>
  <c r="FT279"/>
  <c r="FU279"/>
  <c r="FV279"/>
  <c r="FW279"/>
  <c r="FX279"/>
  <c r="FY279"/>
  <c r="FZ279"/>
  <c r="GA279"/>
  <c r="GB279"/>
  <c r="GC279"/>
  <c r="GD279"/>
  <c r="GE279"/>
  <c r="GF279"/>
  <c r="GG279"/>
  <c r="GH279"/>
  <c r="GI279"/>
  <c r="GJ279"/>
  <c r="GK279"/>
  <c r="GL279"/>
  <c r="GM279"/>
  <c r="GN279"/>
  <c r="GO279"/>
  <c r="GP279"/>
  <c r="GQ279"/>
  <c r="GR279"/>
  <c r="GS279"/>
  <c r="GT279"/>
  <c r="GU279"/>
  <c r="GV279"/>
  <c r="GW279"/>
  <c r="GX279"/>
  <c r="GY279"/>
  <c r="GZ279"/>
  <c r="HA279"/>
  <c r="HB279"/>
  <c r="HC279"/>
  <c r="HD279"/>
  <c r="HE279"/>
  <c r="HF279"/>
  <c r="HG279"/>
  <c r="HH279"/>
  <c r="HI279"/>
  <c r="HJ279"/>
  <c r="HK279"/>
  <c r="HL279"/>
  <c r="HM279"/>
  <c r="HN279"/>
  <c r="HO279"/>
  <c r="HP279"/>
  <c r="HQ279"/>
  <c r="HR279"/>
  <c r="HS279"/>
  <c r="HT279"/>
  <c r="HU279"/>
  <c r="HV279"/>
  <c r="HW279"/>
  <c r="HX279"/>
  <c r="HY279"/>
  <c r="HZ279"/>
  <c r="IA279"/>
  <c r="IB279"/>
  <c r="IC279"/>
  <c r="ID279"/>
  <c r="IE279"/>
  <c r="IF279"/>
  <c r="IG279"/>
  <c r="IH279"/>
  <c r="II279"/>
  <c r="IJ279"/>
  <c r="IK279"/>
  <c r="IL279"/>
  <c r="IM279"/>
  <c r="IN279"/>
  <c r="IO279"/>
  <c r="IP279"/>
  <c r="IQ279"/>
  <c r="IR279"/>
  <c r="IS279"/>
  <c r="IT279"/>
  <c r="IU279"/>
  <c r="IV279"/>
  <c r="A278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AE278"/>
  <c r="AF278"/>
  <c r="AG278"/>
  <c r="AH278"/>
  <c r="AI278"/>
  <c r="AJ278"/>
  <c r="AK278"/>
  <c r="AL278"/>
  <c r="AM278"/>
  <c r="AN278"/>
  <c r="AO278"/>
  <c r="AP278"/>
  <c r="AQ278"/>
  <c r="AR278"/>
  <c r="AS278"/>
  <c r="AT278"/>
  <c r="AU278"/>
  <c r="AV278"/>
  <c r="AW278"/>
  <c r="AX278"/>
  <c r="AY278"/>
  <c r="AZ278"/>
  <c r="BA278"/>
  <c r="BB278"/>
  <c r="BC278"/>
  <c r="BD278"/>
  <c r="BE278"/>
  <c r="BF278"/>
  <c r="BG278"/>
  <c r="BH278"/>
  <c r="BI278"/>
  <c r="BJ278"/>
  <c r="BK278"/>
  <c r="BL278"/>
  <c r="BM278"/>
  <c r="BN278"/>
  <c r="BO278"/>
  <c r="BP278"/>
  <c r="BQ278"/>
  <c r="BR278"/>
  <c r="BS278"/>
  <c r="BT278"/>
  <c r="BU278"/>
  <c r="BV278"/>
  <c r="BW278"/>
  <c r="BX278"/>
  <c r="BY278"/>
  <c r="BZ278"/>
  <c r="CA278"/>
  <c r="CB278"/>
  <c r="CC278"/>
  <c r="CD278"/>
  <c r="CE278"/>
  <c r="CF278"/>
  <c r="CG278"/>
  <c r="CH278"/>
  <c r="CI278"/>
  <c r="CJ278"/>
  <c r="CK278"/>
  <c r="CL278"/>
  <c r="CM278"/>
  <c r="CN278"/>
  <c r="CO278"/>
  <c r="CP278"/>
  <c r="CQ278"/>
  <c r="CR278"/>
  <c r="CS278"/>
  <c r="CT278"/>
  <c r="CU278"/>
  <c r="CV278"/>
  <c r="CW278"/>
  <c r="CX278"/>
  <c r="CY278"/>
  <c r="CZ278"/>
  <c r="DA278"/>
  <c r="DB278"/>
  <c r="DC278"/>
  <c r="DD278"/>
  <c r="DE278"/>
  <c r="DF278"/>
  <c r="DG278"/>
  <c r="DH278"/>
  <c r="DI278"/>
  <c r="DJ278"/>
  <c r="DK278"/>
  <c r="DL278"/>
  <c r="DM278"/>
  <c r="DN278"/>
  <c r="DO278"/>
  <c r="DP278"/>
  <c r="DQ278"/>
  <c r="DR278"/>
  <c r="DS278"/>
  <c r="DT278"/>
  <c r="DU278"/>
  <c r="DV278"/>
  <c r="DW278"/>
  <c r="DX278"/>
  <c r="DY278"/>
  <c r="DZ278"/>
  <c r="EA278"/>
  <c r="EB278"/>
  <c r="EC278"/>
  <c r="ED278"/>
  <c r="EE278"/>
  <c r="EF278"/>
  <c r="EG278"/>
  <c r="EH278"/>
  <c r="EI278"/>
  <c r="EJ278"/>
  <c r="EK278"/>
  <c r="EL278"/>
  <c r="EM278"/>
  <c r="EN278"/>
  <c r="EO278"/>
  <c r="EP278"/>
  <c r="EQ278"/>
  <c r="ER278"/>
  <c r="ES278"/>
  <c r="ET278"/>
  <c r="EU278"/>
  <c r="EV278"/>
  <c r="EW278"/>
  <c r="EX278"/>
  <c r="EY278"/>
  <c r="EZ278"/>
  <c r="FA278"/>
  <c r="FB278"/>
  <c r="FC278"/>
  <c r="FD278"/>
  <c r="FE278"/>
  <c r="FF278"/>
  <c r="FG278"/>
  <c r="FH278"/>
  <c r="FI278"/>
  <c r="FJ278"/>
  <c r="FK278"/>
  <c r="FL278"/>
  <c r="FM278"/>
  <c r="FN278"/>
  <c r="FO278"/>
  <c r="FP278"/>
  <c r="FQ278"/>
  <c r="FR278"/>
  <c r="FS278"/>
  <c r="FT278"/>
  <c r="FU278"/>
  <c r="FV278"/>
  <c r="FW278"/>
  <c r="FX278"/>
  <c r="FY278"/>
  <c r="FZ278"/>
  <c r="GA278"/>
  <c r="GB278"/>
  <c r="GC278"/>
  <c r="GD278"/>
  <c r="GE278"/>
  <c r="GF278"/>
  <c r="GG278"/>
  <c r="GH278"/>
  <c r="GI278"/>
  <c r="GJ278"/>
  <c r="GK278"/>
  <c r="GL278"/>
  <c r="GM278"/>
  <c r="GN278"/>
  <c r="GO278"/>
  <c r="GP278"/>
  <c r="GQ278"/>
  <c r="GR278"/>
  <c r="GS278"/>
  <c r="GT278"/>
  <c r="GU278"/>
  <c r="GV278"/>
  <c r="GW278"/>
  <c r="GX278"/>
  <c r="GY278"/>
  <c r="GZ278"/>
  <c r="HA278"/>
  <c r="HB278"/>
  <c r="HC278"/>
  <c r="HD278"/>
  <c r="HE278"/>
  <c r="HF278"/>
  <c r="HG278"/>
  <c r="HH278"/>
  <c r="HI278"/>
  <c r="HJ278"/>
  <c r="HK278"/>
  <c r="HL278"/>
  <c r="HM278"/>
  <c r="HN278"/>
  <c r="HO278"/>
  <c r="HP278"/>
  <c r="HQ278"/>
  <c r="HR278"/>
  <c r="HS278"/>
  <c r="HT278"/>
  <c r="HU278"/>
  <c r="HV278"/>
  <c r="HW278"/>
  <c r="HX278"/>
  <c r="HY278"/>
  <c r="HZ278"/>
  <c r="IA278"/>
  <c r="IB278"/>
  <c r="IC278"/>
  <c r="ID278"/>
  <c r="IE278"/>
  <c r="IF278"/>
  <c r="IG278"/>
  <c r="IH278"/>
  <c r="II278"/>
  <c r="IJ278"/>
  <c r="IK278"/>
  <c r="IL278"/>
  <c r="IM278"/>
  <c r="IN278"/>
  <c r="IO278"/>
  <c r="IP278"/>
  <c r="IQ278"/>
  <c r="IR278"/>
  <c r="IS278"/>
  <c r="IT278"/>
  <c r="IU278"/>
  <c r="IV278"/>
  <c r="A277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AT277"/>
  <c r="AU277"/>
  <c r="AV277"/>
  <c r="AW277"/>
  <c r="AX277"/>
  <c r="AY277"/>
  <c r="AZ277"/>
  <c r="BA277"/>
  <c r="BB277"/>
  <c r="BC277"/>
  <c r="BD277"/>
  <c r="BE277"/>
  <c r="BF277"/>
  <c r="BG277"/>
  <c r="BH277"/>
  <c r="BI277"/>
  <c r="BJ277"/>
  <c r="BK277"/>
  <c r="BL277"/>
  <c r="BM277"/>
  <c r="BN277"/>
  <c r="BO277"/>
  <c r="BP277"/>
  <c r="BQ277"/>
  <c r="BR277"/>
  <c r="BS277"/>
  <c r="BT277"/>
  <c r="BU277"/>
  <c r="BV277"/>
  <c r="BW277"/>
  <c r="BX277"/>
  <c r="BY277"/>
  <c r="BZ277"/>
  <c r="CA277"/>
  <c r="CB277"/>
  <c r="CC277"/>
  <c r="CD277"/>
  <c r="CE277"/>
  <c r="CF277"/>
  <c r="CG277"/>
  <c r="CH277"/>
  <c r="CI277"/>
  <c r="CJ277"/>
  <c r="CK277"/>
  <c r="CL277"/>
  <c r="CM277"/>
  <c r="CN277"/>
  <c r="CO277"/>
  <c r="CP277"/>
  <c r="CQ277"/>
  <c r="CR277"/>
  <c r="CS277"/>
  <c r="CT277"/>
  <c r="CU277"/>
  <c r="CV277"/>
  <c r="CW277"/>
  <c r="CX277"/>
  <c r="CY277"/>
  <c r="CZ277"/>
  <c r="DA277"/>
  <c r="DB277"/>
  <c r="DC277"/>
  <c r="DD277"/>
  <c r="DE277"/>
  <c r="DF277"/>
  <c r="DG277"/>
  <c r="DH277"/>
  <c r="DI277"/>
  <c r="DJ277"/>
  <c r="DK277"/>
  <c r="DL277"/>
  <c r="DM277"/>
  <c r="DN277"/>
  <c r="DO277"/>
  <c r="DP277"/>
  <c r="DQ277"/>
  <c r="DR277"/>
  <c r="DS277"/>
  <c r="DT277"/>
  <c r="DU277"/>
  <c r="DV277"/>
  <c r="DW277"/>
  <c r="DX277"/>
  <c r="DY277"/>
  <c r="DZ277"/>
  <c r="EA277"/>
  <c r="EB277"/>
  <c r="EC277"/>
  <c r="ED277"/>
  <c r="EE277"/>
  <c r="EF277"/>
  <c r="EG277"/>
  <c r="EH277"/>
  <c r="EI277"/>
  <c r="EJ277"/>
  <c r="EK277"/>
  <c r="EL277"/>
  <c r="EM277"/>
  <c r="EN277"/>
  <c r="EO277"/>
  <c r="EP277"/>
  <c r="EQ277"/>
  <c r="ER277"/>
  <c r="ES277"/>
  <c r="ET277"/>
  <c r="EU277"/>
  <c r="EV277"/>
  <c r="EW277"/>
  <c r="EX277"/>
  <c r="EY277"/>
  <c r="EZ277"/>
  <c r="FA277"/>
  <c r="FB277"/>
  <c r="FC277"/>
  <c r="FD277"/>
  <c r="FE277"/>
  <c r="FF277"/>
  <c r="FG277"/>
  <c r="FH277"/>
  <c r="FI277"/>
  <c r="FJ277"/>
  <c r="FK277"/>
  <c r="FL277"/>
  <c r="FM277"/>
  <c r="FN277"/>
  <c r="FO277"/>
  <c r="FP277"/>
  <c r="FQ277"/>
  <c r="FR277"/>
  <c r="FS277"/>
  <c r="FT277"/>
  <c r="FU277"/>
  <c r="FV277"/>
  <c r="FW277"/>
  <c r="FX277"/>
  <c r="FY277"/>
  <c r="FZ277"/>
  <c r="GA277"/>
  <c r="GB277"/>
  <c r="GC277"/>
  <c r="GD277"/>
  <c r="GE277"/>
  <c r="GF277"/>
  <c r="GG277"/>
  <c r="GH277"/>
  <c r="GI277"/>
  <c r="GJ277"/>
  <c r="GK277"/>
  <c r="GL277"/>
  <c r="GM277"/>
  <c r="GN277"/>
  <c r="GO277"/>
  <c r="GP277"/>
  <c r="GQ277"/>
  <c r="GR277"/>
  <c r="GS277"/>
  <c r="GT277"/>
  <c r="GU277"/>
  <c r="GV277"/>
  <c r="GW277"/>
  <c r="GX277"/>
  <c r="GY277"/>
  <c r="GZ277"/>
  <c r="HA277"/>
  <c r="HB277"/>
  <c r="HC277"/>
  <c r="HD277"/>
  <c r="HE277"/>
  <c r="HF277"/>
  <c r="HG277"/>
  <c r="HH277"/>
  <c r="HI277"/>
  <c r="HJ277"/>
  <c r="HK277"/>
  <c r="HL277"/>
  <c r="HM277"/>
  <c r="HN277"/>
  <c r="HO277"/>
  <c r="HP277"/>
  <c r="HQ277"/>
  <c r="HR277"/>
  <c r="HS277"/>
  <c r="HT277"/>
  <c r="HU277"/>
  <c r="HV277"/>
  <c r="HW277"/>
  <c r="HX277"/>
  <c r="HY277"/>
  <c r="HZ277"/>
  <c r="IA277"/>
  <c r="IB277"/>
  <c r="IC277"/>
  <c r="ID277"/>
  <c r="IE277"/>
  <c r="IF277"/>
  <c r="IG277"/>
  <c r="IH277"/>
  <c r="II277"/>
  <c r="IJ277"/>
  <c r="IK277"/>
  <c r="IL277"/>
  <c r="IM277"/>
  <c r="IN277"/>
  <c r="IO277"/>
  <c r="IP277"/>
  <c r="IQ277"/>
  <c r="IR277"/>
  <c r="IS277"/>
  <c r="IT277"/>
  <c r="IU277"/>
  <c r="IV277"/>
  <c r="A276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AE276"/>
  <c r="AF276"/>
  <c r="AG276"/>
  <c r="AH276"/>
  <c r="AI276"/>
  <c r="AJ276"/>
  <c r="AK276"/>
  <c r="AL276"/>
  <c r="AM276"/>
  <c r="AN276"/>
  <c r="AO276"/>
  <c r="AP276"/>
  <c r="AQ276"/>
  <c r="AR276"/>
  <c r="AS276"/>
  <c r="AT276"/>
  <c r="AU276"/>
  <c r="AV276"/>
  <c r="AW276"/>
  <c r="AX276"/>
  <c r="AY276"/>
  <c r="AZ276"/>
  <c r="BA276"/>
  <c r="BB276"/>
  <c r="BC276"/>
  <c r="BD276"/>
  <c r="BE276"/>
  <c r="BF276"/>
  <c r="BG276"/>
  <c r="BH276"/>
  <c r="BI276"/>
  <c r="BJ276"/>
  <c r="BK276"/>
  <c r="BL276"/>
  <c r="BM276"/>
  <c r="BN276"/>
  <c r="BO276"/>
  <c r="BP276"/>
  <c r="BQ276"/>
  <c r="BR276"/>
  <c r="BS276"/>
  <c r="BT276"/>
  <c r="BU276"/>
  <c r="BV276"/>
  <c r="BW276"/>
  <c r="BX276"/>
  <c r="BY276"/>
  <c r="BZ276"/>
  <c r="CA276"/>
  <c r="CB276"/>
  <c r="CC276"/>
  <c r="CD276"/>
  <c r="CE276"/>
  <c r="CF276"/>
  <c r="CG276"/>
  <c r="CH276"/>
  <c r="CI276"/>
  <c r="CJ276"/>
  <c r="CK276"/>
  <c r="CL276"/>
  <c r="CM276"/>
  <c r="CN276"/>
  <c r="CO276"/>
  <c r="CP276"/>
  <c r="CQ276"/>
  <c r="CR276"/>
  <c r="CS276"/>
  <c r="CT276"/>
  <c r="CU276"/>
  <c r="CV276"/>
  <c r="CW276"/>
  <c r="CX276"/>
  <c r="CY276"/>
  <c r="CZ276"/>
  <c r="DA276"/>
  <c r="DB276"/>
  <c r="DC276"/>
  <c r="DD276"/>
  <c r="DE276"/>
  <c r="DF276"/>
  <c r="DG276"/>
  <c r="DH276"/>
  <c r="DI276"/>
  <c r="DJ276"/>
  <c r="DK276"/>
  <c r="DL276"/>
  <c r="DM276"/>
  <c r="DN276"/>
  <c r="DO276"/>
  <c r="DP276"/>
  <c r="DQ276"/>
  <c r="DR276"/>
  <c r="DS276"/>
  <c r="DT276"/>
  <c r="DU276"/>
  <c r="DV276"/>
  <c r="DW276"/>
  <c r="DX276"/>
  <c r="DY276"/>
  <c r="DZ276"/>
  <c r="EA276"/>
  <c r="EB276"/>
  <c r="EC276"/>
  <c r="ED276"/>
  <c r="EE276"/>
  <c r="EF276"/>
  <c r="EG276"/>
  <c r="EH276"/>
  <c r="EI276"/>
  <c r="EJ276"/>
  <c r="EK276"/>
  <c r="EL276"/>
  <c r="EM276"/>
  <c r="EN276"/>
  <c r="EO276"/>
  <c r="EP276"/>
  <c r="EQ276"/>
  <c r="ER276"/>
  <c r="ES276"/>
  <c r="ET276"/>
  <c r="EU276"/>
  <c r="EV276"/>
  <c r="EW276"/>
  <c r="EX276"/>
  <c r="EY276"/>
  <c r="EZ276"/>
  <c r="FA276"/>
  <c r="FB276"/>
  <c r="FC276"/>
  <c r="FD276"/>
  <c r="FE276"/>
  <c r="FF276"/>
  <c r="FG276"/>
  <c r="FH276"/>
  <c r="FI276"/>
  <c r="FJ276"/>
  <c r="FK276"/>
  <c r="FL276"/>
  <c r="FM276"/>
  <c r="FN276"/>
  <c r="FO276"/>
  <c r="FP276"/>
  <c r="FQ276"/>
  <c r="FR276"/>
  <c r="FS276"/>
  <c r="FT276"/>
  <c r="FU276"/>
  <c r="FV276"/>
  <c r="FW276"/>
  <c r="FX276"/>
  <c r="FY276"/>
  <c r="FZ276"/>
  <c r="GA276"/>
  <c r="GB276"/>
  <c r="GC276"/>
  <c r="GD276"/>
  <c r="GE276"/>
  <c r="GF276"/>
  <c r="GG276"/>
  <c r="GH276"/>
  <c r="GI276"/>
  <c r="GJ276"/>
  <c r="GK276"/>
  <c r="GL276"/>
  <c r="GM276"/>
  <c r="GN276"/>
  <c r="GO276"/>
  <c r="GP276"/>
  <c r="GQ276"/>
  <c r="GR276"/>
  <c r="GS276"/>
  <c r="GT276"/>
  <c r="GU276"/>
  <c r="GV276"/>
  <c r="GW276"/>
  <c r="GX276"/>
  <c r="GY276"/>
  <c r="GZ276"/>
  <c r="HA276"/>
  <c r="HB276"/>
  <c r="HC276"/>
  <c r="HD276"/>
  <c r="HE276"/>
  <c r="HF276"/>
  <c r="HG276"/>
  <c r="HH276"/>
  <c r="HI276"/>
  <c r="HJ276"/>
  <c r="HK276"/>
  <c r="HL276"/>
  <c r="HM276"/>
  <c r="HN276"/>
  <c r="HO276"/>
  <c r="HP276"/>
  <c r="HQ276"/>
  <c r="HR276"/>
  <c r="HS276"/>
  <c r="HT276"/>
  <c r="HU276"/>
  <c r="HV276"/>
  <c r="HW276"/>
  <c r="HX276"/>
  <c r="HY276"/>
  <c r="HZ276"/>
  <c r="IA276"/>
  <c r="IB276"/>
  <c r="IC276"/>
  <c r="ID276"/>
  <c r="IE276"/>
  <c r="IF276"/>
  <c r="IG276"/>
  <c r="IH276"/>
  <c r="II276"/>
  <c r="IJ276"/>
  <c r="IK276"/>
  <c r="IL276"/>
  <c r="IM276"/>
  <c r="IN276"/>
  <c r="IO276"/>
  <c r="IP276"/>
  <c r="IQ276"/>
  <c r="IR276"/>
  <c r="IS276"/>
  <c r="IT276"/>
  <c r="IU276"/>
  <c r="IV276"/>
  <c r="A275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AT275"/>
  <c r="AU275"/>
  <c r="AV275"/>
  <c r="AW275"/>
  <c r="AX275"/>
  <c r="AY275"/>
  <c r="AZ275"/>
  <c r="BA275"/>
  <c r="BB275"/>
  <c r="BC275"/>
  <c r="BD275"/>
  <c r="BE275"/>
  <c r="BF275"/>
  <c r="BG275"/>
  <c r="BH275"/>
  <c r="BI275"/>
  <c r="BJ275"/>
  <c r="BK275"/>
  <c r="BL275"/>
  <c r="BM275"/>
  <c r="BN275"/>
  <c r="BO275"/>
  <c r="BP275"/>
  <c r="BQ275"/>
  <c r="BR275"/>
  <c r="BS275"/>
  <c r="BT275"/>
  <c r="BU275"/>
  <c r="BV275"/>
  <c r="BW275"/>
  <c r="BX275"/>
  <c r="BY275"/>
  <c r="BZ275"/>
  <c r="CA275"/>
  <c r="CB275"/>
  <c r="CC275"/>
  <c r="CD275"/>
  <c r="CE275"/>
  <c r="CF275"/>
  <c r="CG275"/>
  <c r="CH275"/>
  <c r="CI275"/>
  <c r="CJ275"/>
  <c r="CK275"/>
  <c r="CL275"/>
  <c r="CM275"/>
  <c r="CN275"/>
  <c r="CO275"/>
  <c r="CP275"/>
  <c r="CQ275"/>
  <c r="CR275"/>
  <c r="CS275"/>
  <c r="CT275"/>
  <c r="CU275"/>
  <c r="CV275"/>
  <c r="CW275"/>
  <c r="CX275"/>
  <c r="CY275"/>
  <c r="CZ275"/>
  <c r="DA275"/>
  <c r="DB275"/>
  <c r="DC275"/>
  <c r="DD275"/>
  <c r="DE275"/>
  <c r="DF275"/>
  <c r="DG275"/>
  <c r="DH275"/>
  <c r="DI275"/>
  <c r="DJ275"/>
  <c r="DK275"/>
  <c r="DL275"/>
  <c r="DM275"/>
  <c r="DN275"/>
  <c r="DO275"/>
  <c r="DP275"/>
  <c r="DQ275"/>
  <c r="DR275"/>
  <c r="DS275"/>
  <c r="DT275"/>
  <c r="DU275"/>
  <c r="DV275"/>
  <c r="DW275"/>
  <c r="DX275"/>
  <c r="DY275"/>
  <c r="DZ275"/>
  <c r="EA275"/>
  <c r="EB275"/>
  <c r="EC275"/>
  <c r="ED275"/>
  <c r="EE275"/>
  <c r="EF275"/>
  <c r="EG275"/>
  <c r="EH275"/>
  <c r="EI275"/>
  <c r="EJ275"/>
  <c r="EK275"/>
  <c r="EL275"/>
  <c r="EM275"/>
  <c r="EN275"/>
  <c r="EO275"/>
  <c r="EP275"/>
  <c r="EQ275"/>
  <c r="ER275"/>
  <c r="ES275"/>
  <c r="ET275"/>
  <c r="EU275"/>
  <c r="EV275"/>
  <c r="EW275"/>
  <c r="EX275"/>
  <c r="EY275"/>
  <c r="EZ275"/>
  <c r="FA275"/>
  <c r="FB275"/>
  <c r="FC275"/>
  <c r="FD275"/>
  <c r="FE275"/>
  <c r="FF275"/>
  <c r="FG275"/>
  <c r="FH275"/>
  <c r="FI275"/>
  <c r="FJ275"/>
  <c r="FK275"/>
  <c r="FL275"/>
  <c r="FM275"/>
  <c r="FN275"/>
  <c r="FO275"/>
  <c r="FP275"/>
  <c r="FQ275"/>
  <c r="FR275"/>
  <c r="FS275"/>
  <c r="FT275"/>
  <c r="FU275"/>
  <c r="FV275"/>
  <c r="FW275"/>
  <c r="FX275"/>
  <c r="FY275"/>
  <c r="FZ275"/>
  <c r="GA275"/>
  <c r="GB275"/>
  <c r="GC275"/>
  <c r="GD275"/>
  <c r="GE275"/>
  <c r="GF275"/>
  <c r="GG275"/>
  <c r="GH275"/>
  <c r="GI275"/>
  <c r="GJ275"/>
  <c r="GK275"/>
  <c r="GL275"/>
  <c r="GM275"/>
  <c r="GN275"/>
  <c r="GO275"/>
  <c r="GP275"/>
  <c r="GQ275"/>
  <c r="GR275"/>
  <c r="GS275"/>
  <c r="GT275"/>
  <c r="GU275"/>
  <c r="GV275"/>
  <c r="GW275"/>
  <c r="GX275"/>
  <c r="GY275"/>
  <c r="GZ275"/>
  <c r="HA275"/>
  <c r="HB275"/>
  <c r="HC275"/>
  <c r="HD275"/>
  <c r="HE275"/>
  <c r="HF275"/>
  <c r="HG275"/>
  <c r="HH275"/>
  <c r="HI275"/>
  <c r="HJ275"/>
  <c r="HK275"/>
  <c r="HL275"/>
  <c r="HM275"/>
  <c r="HN275"/>
  <c r="HO275"/>
  <c r="HP275"/>
  <c r="HQ275"/>
  <c r="HR275"/>
  <c r="HS275"/>
  <c r="HT275"/>
  <c r="HU275"/>
  <c r="HV275"/>
  <c r="HW275"/>
  <c r="HX275"/>
  <c r="HY275"/>
  <c r="HZ275"/>
  <c r="IA275"/>
  <c r="IB275"/>
  <c r="IC275"/>
  <c r="ID275"/>
  <c r="IE275"/>
  <c r="IF275"/>
  <c r="IG275"/>
  <c r="IH275"/>
  <c r="II275"/>
  <c r="IJ275"/>
  <c r="IK275"/>
  <c r="IL275"/>
  <c r="IM275"/>
  <c r="IN275"/>
  <c r="IO275"/>
  <c r="IP275"/>
  <c r="IQ275"/>
  <c r="IR275"/>
  <c r="IS275"/>
  <c r="IT275"/>
  <c r="IU275"/>
  <c r="IV275"/>
  <c r="A274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AV274"/>
  <c r="AW274"/>
  <c r="AX274"/>
  <c r="AY274"/>
  <c r="AZ274"/>
  <c r="BA274"/>
  <c r="BB274"/>
  <c r="BC274"/>
  <c r="BD274"/>
  <c r="BE274"/>
  <c r="BF274"/>
  <c r="BG274"/>
  <c r="BH274"/>
  <c r="BI274"/>
  <c r="BJ274"/>
  <c r="BK274"/>
  <c r="BL274"/>
  <c r="BM274"/>
  <c r="BN274"/>
  <c r="BO274"/>
  <c r="BP274"/>
  <c r="BQ274"/>
  <c r="BR274"/>
  <c r="BS274"/>
  <c r="BT274"/>
  <c r="BU274"/>
  <c r="BV274"/>
  <c r="BW274"/>
  <c r="BX274"/>
  <c r="BY274"/>
  <c r="BZ274"/>
  <c r="CA274"/>
  <c r="CB274"/>
  <c r="CC274"/>
  <c r="CD274"/>
  <c r="CE274"/>
  <c r="CF274"/>
  <c r="CG274"/>
  <c r="CH274"/>
  <c r="CI274"/>
  <c r="CJ274"/>
  <c r="CK274"/>
  <c r="CL274"/>
  <c r="CM274"/>
  <c r="CN274"/>
  <c r="CO274"/>
  <c r="CP274"/>
  <c r="CQ274"/>
  <c r="CR274"/>
  <c r="CS274"/>
  <c r="CT274"/>
  <c r="CU274"/>
  <c r="CV274"/>
  <c r="CW274"/>
  <c r="CX274"/>
  <c r="CY274"/>
  <c r="CZ274"/>
  <c r="DA274"/>
  <c r="DB274"/>
  <c r="DC274"/>
  <c r="DD274"/>
  <c r="DE274"/>
  <c r="DF274"/>
  <c r="DG274"/>
  <c r="DH274"/>
  <c r="DI274"/>
  <c r="DJ274"/>
  <c r="DK274"/>
  <c r="DL274"/>
  <c r="DM274"/>
  <c r="DN274"/>
  <c r="DO274"/>
  <c r="DP274"/>
  <c r="DQ274"/>
  <c r="DR274"/>
  <c r="DS274"/>
  <c r="DT274"/>
  <c r="DU274"/>
  <c r="DV274"/>
  <c r="DW274"/>
  <c r="DX274"/>
  <c r="DY274"/>
  <c r="DZ274"/>
  <c r="EA274"/>
  <c r="EB274"/>
  <c r="EC274"/>
  <c r="ED274"/>
  <c r="EE274"/>
  <c r="EF274"/>
  <c r="EG274"/>
  <c r="EH274"/>
  <c r="EI274"/>
  <c r="EJ274"/>
  <c r="EK274"/>
  <c r="EL274"/>
  <c r="EM274"/>
  <c r="EN274"/>
  <c r="EO274"/>
  <c r="EP274"/>
  <c r="EQ274"/>
  <c r="ER274"/>
  <c r="ES274"/>
  <c r="ET274"/>
  <c r="EU274"/>
  <c r="EV274"/>
  <c r="EW274"/>
  <c r="EX274"/>
  <c r="EY274"/>
  <c r="EZ274"/>
  <c r="FA274"/>
  <c r="FB274"/>
  <c r="FC274"/>
  <c r="FD274"/>
  <c r="FE274"/>
  <c r="FF274"/>
  <c r="FG274"/>
  <c r="FH274"/>
  <c r="FI274"/>
  <c r="FJ274"/>
  <c r="FK274"/>
  <c r="FL274"/>
  <c r="FM274"/>
  <c r="FN274"/>
  <c r="FO274"/>
  <c r="FP274"/>
  <c r="FQ274"/>
  <c r="FR274"/>
  <c r="FS274"/>
  <c r="FT274"/>
  <c r="FU274"/>
  <c r="FV274"/>
  <c r="FW274"/>
  <c r="FX274"/>
  <c r="FY274"/>
  <c r="FZ274"/>
  <c r="GA274"/>
  <c r="GB274"/>
  <c r="GC274"/>
  <c r="GD274"/>
  <c r="GE274"/>
  <c r="GF274"/>
  <c r="GG274"/>
  <c r="GH274"/>
  <c r="GI274"/>
  <c r="GJ274"/>
  <c r="GK274"/>
  <c r="GL274"/>
  <c r="GM274"/>
  <c r="GN274"/>
  <c r="GO274"/>
  <c r="GP274"/>
  <c r="GQ274"/>
  <c r="GR274"/>
  <c r="GS274"/>
  <c r="GT274"/>
  <c r="GU274"/>
  <c r="GV274"/>
  <c r="GW274"/>
  <c r="GX274"/>
  <c r="GY274"/>
  <c r="GZ274"/>
  <c r="HA274"/>
  <c r="HB274"/>
  <c r="HC274"/>
  <c r="HD274"/>
  <c r="HE274"/>
  <c r="HF274"/>
  <c r="HG274"/>
  <c r="HH274"/>
  <c r="HI274"/>
  <c r="HJ274"/>
  <c r="HK274"/>
  <c r="HL274"/>
  <c r="HM274"/>
  <c r="HN274"/>
  <c r="HO274"/>
  <c r="HP274"/>
  <c r="HQ274"/>
  <c r="HR274"/>
  <c r="HS274"/>
  <c r="HT274"/>
  <c r="HU274"/>
  <c r="HV274"/>
  <c r="HW274"/>
  <c r="HX274"/>
  <c r="HY274"/>
  <c r="HZ274"/>
  <c r="IA274"/>
  <c r="IB274"/>
  <c r="IC274"/>
  <c r="ID274"/>
  <c r="IE274"/>
  <c r="IF274"/>
  <c r="IG274"/>
  <c r="IH274"/>
  <c r="II274"/>
  <c r="IJ274"/>
  <c r="IK274"/>
  <c r="IL274"/>
  <c r="IM274"/>
  <c r="IN274"/>
  <c r="IO274"/>
  <c r="IP274"/>
  <c r="IQ274"/>
  <c r="IR274"/>
  <c r="IS274"/>
  <c r="IT274"/>
  <c r="IU274"/>
  <c r="IV274"/>
  <c r="A273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AT273"/>
  <c r="AU273"/>
  <c r="AV273"/>
  <c r="AW273"/>
  <c r="AX273"/>
  <c r="AY273"/>
  <c r="AZ273"/>
  <c r="BA273"/>
  <c r="BB273"/>
  <c r="BC273"/>
  <c r="BD273"/>
  <c r="BE273"/>
  <c r="BF273"/>
  <c r="BG273"/>
  <c r="BH273"/>
  <c r="BI273"/>
  <c r="BJ273"/>
  <c r="BK273"/>
  <c r="BL273"/>
  <c r="BM273"/>
  <c r="BN273"/>
  <c r="BO273"/>
  <c r="BP273"/>
  <c r="BQ273"/>
  <c r="BR273"/>
  <c r="BS273"/>
  <c r="BT273"/>
  <c r="BU273"/>
  <c r="BV273"/>
  <c r="BW273"/>
  <c r="BX273"/>
  <c r="BY273"/>
  <c r="BZ273"/>
  <c r="CA273"/>
  <c r="CB273"/>
  <c r="CC273"/>
  <c r="CD273"/>
  <c r="CE273"/>
  <c r="CF273"/>
  <c r="CG273"/>
  <c r="CH273"/>
  <c r="CI273"/>
  <c r="CJ273"/>
  <c r="CK273"/>
  <c r="CL273"/>
  <c r="CM273"/>
  <c r="CN273"/>
  <c r="CO273"/>
  <c r="CP273"/>
  <c r="CQ273"/>
  <c r="CR273"/>
  <c r="CS273"/>
  <c r="CT273"/>
  <c r="CU273"/>
  <c r="CV273"/>
  <c r="CW273"/>
  <c r="CX273"/>
  <c r="CY273"/>
  <c r="CZ273"/>
  <c r="DA273"/>
  <c r="DB273"/>
  <c r="DC273"/>
  <c r="DD273"/>
  <c r="DE273"/>
  <c r="DF273"/>
  <c r="DG273"/>
  <c r="DH273"/>
  <c r="DI273"/>
  <c r="DJ273"/>
  <c r="DK273"/>
  <c r="DL273"/>
  <c r="DM273"/>
  <c r="DN273"/>
  <c r="DO273"/>
  <c r="DP273"/>
  <c r="DQ273"/>
  <c r="DR273"/>
  <c r="DS273"/>
  <c r="DT273"/>
  <c r="DU273"/>
  <c r="DV273"/>
  <c r="DW273"/>
  <c r="DX273"/>
  <c r="DY273"/>
  <c r="DZ273"/>
  <c r="EA273"/>
  <c r="EB273"/>
  <c r="EC273"/>
  <c r="ED273"/>
  <c r="EE273"/>
  <c r="EF273"/>
  <c r="EG273"/>
  <c r="EH273"/>
  <c r="EI273"/>
  <c r="EJ273"/>
  <c r="EK273"/>
  <c r="EL273"/>
  <c r="EM273"/>
  <c r="EN273"/>
  <c r="EO273"/>
  <c r="EP273"/>
  <c r="EQ273"/>
  <c r="ER273"/>
  <c r="ES273"/>
  <c r="ET273"/>
  <c r="EU273"/>
  <c r="EV273"/>
  <c r="EW273"/>
  <c r="EX273"/>
  <c r="EY273"/>
  <c r="EZ273"/>
  <c r="FA273"/>
  <c r="FB273"/>
  <c r="FC273"/>
  <c r="FD273"/>
  <c r="FE273"/>
  <c r="FF273"/>
  <c r="FG273"/>
  <c r="FH273"/>
  <c r="FI273"/>
  <c r="FJ273"/>
  <c r="FK273"/>
  <c r="FL273"/>
  <c r="FM273"/>
  <c r="FN273"/>
  <c r="FO273"/>
  <c r="FP273"/>
  <c r="FQ273"/>
  <c r="FR273"/>
  <c r="FS273"/>
  <c r="FT273"/>
  <c r="FU273"/>
  <c r="FV273"/>
  <c r="FW273"/>
  <c r="FX273"/>
  <c r="FY273"/>
  <c r="FZ273"/>
  <c r="GA273"/>
  <c r="GB273"/>
  <c r="GC273"/>
  <c r="GD273"/>
  <c r="GE273"/>
  <c r="GF273"/>
  <c r="GG273"/>
  <c r="GH273"/>
  <c r="GI273"/>
  <c r="GJ273"/>
  <c r="GK273"/>
  <c r="GL273"/>
  <c r="GM273"/>
  <c r="GN273"/>
  <c r="GO273"/>
  <c r="GP273"/>
  <c r="GQ273"/>
  <c r="GR273"/>
  <c r="GS273"/>
  <c r="GT273"/>
  <c r="GU273"/>
  <c r="GV273"/>
  <c r="GW273"/>
  <c r="GX273"/>
  <c r="GY273"/>
  <c r="GZ273"/>
  <c r="HA273"/>
  <c r="HB273"/>
  <c r="HC273"/>
  <c r="HD273"/>
  <c r="HE273"/>
  <c r="HF273"/>
  <c r="HG273"/>
  <c r="HH273"/>
  <c r="HI273"/>
  <c r="HJ273"/>
  <c r="HK273"/>
  <c r="HL273"/>
  <c r="HM273"/>
  <c r="HN273"/>
  <c r="HO273"/>
  <c r="HP273"/>
  <c r="HQ273"/>
  <c r="HR273"/>
  <c r="HS273"/>
  <c r="HT273"/>
  <c r="HU273"/>
  <c r="HV273"/>
  <c r="HW273"/>
  <c r="HX273"/>
  <c r="HY273"/>
  <c r="HZ273"/>
  <c r="IA273"/>
  <c r="IB273"/>
  <c r="IC273"/>
  <c r="ID273"/>
  <c r="IE273"/>
  <c r="IF273"/>
  <c r="IG273"/>
  <c r="IH273"/>
  <c r="II273"/>
  <c r="IJ273"/>
  <c r="IK273"/>
  <c r="IL273"/>
  <c r="IM273"/>
  <c r="IN273"/>
  <c r="IO273"/>
  <c r="IP273"/>
  <c r="IQ273"/>
  <c r="IR273"/>
  <c r="IS273"/>
  <c r="IT273"/>
  <c r="IU273"/>
  <c r="IV273"/>
  <c r="A272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AE272"/>
  <c r="AF272"/>
  <c r="AG272"/>
  <c r="AH272"/>
  <c r="AI272"/>
  <c r="AJ272"/>
  <c r="AK272"/>
  <c r="AL272"/>
  <c r="AM272"/>
  <c r="AN272"/>
  <c r="AO272"/>
  <c r="AP272"/>
  <c r="AQ272"/>
  <c r="AR272"/>
  <c r="AS272"/>
  <c r="AT272"/>
  <c r="AU272"/>
  <c r="AV272"/>
  <c r="AW272"/>
  <c r="AX272"/>
  <c r="AY272"/>
  <c r="AZ272"/>
  <c r="BA272"/>
  <c r="BB272"/>
  <c r="BC272"/>
  <c r="BD272"/>
  <c r="BE272"/>
  <c r="BF272"/>
  <c r="BG272"/>
  <c r="BH272"/>
  <c r="BI272"/>
  <c r="BJ272"/>
  <c r="BK272"/>
  <c r="BL272"/>
  <c r="BM272"/>
  <c r="BN272"/>
  <c r="BO272"/>
  <c r="BP272"/>
  <c r="BQ272"/>
  <c r="BR272"/>
  <c r="BS272"/>
  <c r="BT272"/>
  <c r="BU272"/>
  <c r="BV272"/>
  <c r="BW272"/>
  <c r="BX272"/>
  <c r="BY272"/>
  <c r="BZ272"/>
  <c r="CA272"/>
  <c r="CB272"/>
  <c r="CC272"/>
  <c r="CD272"/>
  <c r="CE272"/>
  <c r="CF272"/>
  <c r="CG272"/>
  <c r="CH272"/>
  <c r="CI272"/>
  <c r="CJ272"/>
  <c r="CK272"/>
  <c r="CL272"/>
  <c r="CM272"/>
  <c r="CN272"/>
  <c r="CO272"/>
  <c r="CP272"/>
  <c r="CQ272"/>
  <c r="CR272"/>
  <c r="CS272"/>
  <c r="CT272"/>
  <c r="CU272"/>
  <c r="CV272"/>
  <c r="CW272"/>
  <c r="CX272"/>
  <c r="CY272"/>
  <c r="CZ272"/>
  <c r="DA272"/>
  <c r="DB272"/>
  <c r="DC272"/>
  <c r="DD272"/>
  <c r="DE272"/>
  <c r="DF272"/>
  <c r="DG272"/>
  <c r="DH272"/>
  <c r="DI272"/>
  <c r="DJ272"/>
  <c r="DK272"/>
  <c r="DL272"/>
  <c r="DM272"/>
  <c r="DN272"/>
  <c r="DO272"/>
  <c r="DP272"/>
  <c r="DQ272"/>
  <c r="DR272"/>
  <c r="DS272"/>
  <c r="DT272"/>
  <c r="DU272"/>
  <c r="DV272"/>
  <c r="DW272"/>
  <c r="DX272"/>
  <c r="DY272"/>
  <c r="DZ272"/>
  <c r="EA272"/>
  <c r="EB272"/>
  <c r="EC272"/>
  <c r="ED272"/>
  <c r="EE272"/>
  <c r="EF272"/>
  <c r="EG272"/>
  <c r="EH272"/>
  <c r="EI272"/>
  <c r="EJ272"/>
  <c r="EK272"/>
  <c r="EL272"/>
  <c r="EM272"/>
  <c r="EN272"/>
  <c r="EO272"/>
  <c r="EP272"/>
  <c r="EQ272"/>
  <c r="ER272"/>
  <c r="ES272"/>
  <c r="ET272"/>
  <c r="EU272"/>
  <c r="EV272"/>
  <c r="EW272"/>
  <c r="EX272"/>
  <c r="EY272"/>
  <c r="EZ272"/>
  <c r="FA272"/>
  <c r="FB272"/>
  <c r="FC272"/>
  <c r="FD272"/>
  <c r="FE272"/>
  <c r="FF272"/>
  <c r="FG272"/>
  <c r="FH272"/>
  <c r="FI272"/>
  <c r="FJ272"/>
  <c r="FK272"/>
  <c r="FL272"/>
  <c r="FM272"/>
  <c r="FN272"/>
  <c r="FO272"/>
  <c r="FP272"/>
  <c r="FQ272"/>
  <c r="FR272"/>
  <c r="FS272"/>
  <c r="FT272"/>
  <c r="FU272"/>
  <c r="FV272"/>
  <c r="FW272"/>
  <c r="FX272"/>
  <c r="FY272"/>
  <c r="FZ272"/>
  <c r="GA272"/>
  <c r="GB272"/>
  <c r="GC272"/>
  <c r="GD272"/>
  <c r="GE272"/>
  <c r="GF272"/>
  <c r="GG272"/>
  <c r="GH272"/>
  <c r="GI272"/>
  <c r="GJ272"/>
  <c r="GK272"/>
  <c r="GL272"/>
  <c r="GM272"/>
  <c r="GN272"/>
  <c r="GO272"/>
  <c r="GP272"/>
  <c r="GQ272"/>
  <c r="GR272"/>
  <c r="GS272"/>
  <c r="GT272"/>
  <c r="GU272"/>
  <c r="GV272"/>
  <c r="GW272"/>
  <c r="GX272"/>
  <c r="GY272"/>
  <c r="GZ272"/>
  <c r="HA272"/>
  <c r="HB272"/>
  <c r="HC272"/>
  <c r="HD272"/>
  <c r="HE272"/>
  <c r="HF272"/>
  <c r="HG272"/>
  <c r="HH272"/>
  <c r="HI272"/>
  <c r="HJ272"/>
  <c r="HK272"/>
  <c r="HL272"/>
  <c r="HM272"/>
  <c r="HN272"/>
  <c r="HO272"/>
  <c r="HP272"/>
  <c r="HQ272"/>
  <c r="HR272"/>
  <c r="HS272"/>
  <c r="HT272"/>
  <c r="HU272"/>
  <c r="HV272"/>
  <c r="HW272"/>
  <c r="HX272"/>
  <c r="HY272"/>
  <c r="HZ272"/>
  <c r="IA272"/>
  <c r="IB272"/>
  <c r="IC272"/>
  <c r="ID272"/>
  <c r="IE272"/>
  <c r="IF272"/>
  <c r="IG272"/>
  <c r="IH272"/>
  <c r="II272"/>
  <c r="IJ272"/>
  <c r="IK272"/>
  <c r="IL272"/>
  <c r="IM272"/>
  <c r="IN272"/>
  <c r="IO272"/>
  <c r="IP272"/>
  <c r="IQ272"/>
  <c r="IR272"/>
  <c r="IS272"/>
  <c r="IT272"/>
  <c r="IU272"/>
  <c r="IV272"/>
  <c r="A271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AE271"/>
  <c r="AF271"/>
  <c r="AG271"/>
  <c r="AH271"/>
  <c r="AI271"/>
  <c r="AJ271"/>
  <c r="AK271"/>
  <c r="AL271"/>
  <c r="AM271"/>
  <c r="AN271"/>
  <c r="AO271"/>
  <c r="AP271"/>
  <c r="AQ271"/>
  <c r="AR271"/>
  <c r="AS271"/>
  <c r="AT271"/>
  <c r="AU271"/>
  <c r="AV271"/>
  <c r="AW271"/>
  <c r="AX271"/>
  <c r="AY271"/>
  <c r="AZ271"/>
  <c r="BA271"/>
  <c r="BB271"/>
  <c r="BC271"/>
  <c r="BD271"/>
  <c r="BE271"/>
  <c r="BF271"/>
  <c r="BG271"/>
  <c r="BH271"/>
  <c r="BI271"/>
  <c r="BJ271"/>
  <c r="BK271"/>
  <c r="BL271"/>
  <c r="BM271"/>
  <c r="BN271"/>
  <c r="BO271"/>
  <c r="BP271"/>
  <c r="BQ271"/>
  <c r="BR271"/>
  <c r="BS271"/>
  <c r="BT271"/>
  <c r="BU271"/>
  <c r="BV271"/>
  <c r="BW271"/>
  <c r="BX271"/>
  <c r="BY271"/>
  <c r="BZ271"/>
  <c r="CA271"/>
  <c r="CB271"/>
  <c r="CC271"/>
  <c r="CD271"/>
  <c r="CE271"/>
  <c r="CF271"/>
  <c r="CG271"/>
  <c r="CH271"/>
  <c r="CI271"/>
  <c r="CJ271"/>
  <c r="CK271"/>
  <c r="CL271"/>
  <c r="CM271"/>
  <c r="CN271"/>
  <c r="CO271"/>
  <c r="CP271"/>
  <c r="CQ271"/>
  <c r="CR271"/>
  <c r="CS271"/>
  <c r="CT271"/>
  <c r="CU271"/>
  <c r="CV271"/>
  <c r="CW271"/>
  <c r="CX271"/>
  <c r="CY271"/>
  <c r="CZ271"/>
  <c r="DA271"/>
  <c r="DB271"/>
  <c r="DC271"/>
  <c r="DD271"/>
  <c r="DE271"/>
  <c r="DF271"/>
  <c r="DG271"/>
  <c r="DH271"/>
  <c r="DI271"/>
  <c r="DJ271"/>
  <c r="DK271"/>
  <c r="DL271"/>
  <c r="DM271"/>
  <c r="DN271"/>
  <c r="DO271"/>
  <c r="DP271"/>
  <c r="DQ271"/>
  <c r="DR271"/>
  <c r="DS271"/>
  <c r="DT271"/>
  <c r="DU271"/>
  <c r="DV271"/>
  <c r="DW271"/>
  <c r="DX271"/>
  <c r="DY271"/>
  <c r="DZ271"/>
  <c r="EA271"/>
  <c r="EB271"/>
  <c r="EC271"/>
  <c r="ED271"/>
  <c r="EE271"/>
  <c r="EF271"/>
  <c r="EG271"/>
  <c r="EH271"/>
  <c r="EI271"/>
  <c r="EJ271"/>
  <c r="EK271"/>
  <c r="EL271"/>
  <c r="EM271"/>
  <c r="EN271"/>
  <c r="EO271"/>
  <c r="EP271"/>
  <c r="EQ271"/>
  <c r="ER271"/>
  <c r="ES271"/>
  <c r="ET271"/>
  <c r="EU271"/>
  <c r="EV271"/>
  <c r="EW271"/>
  <c r="EX271"/>
  <c r="EY271"/>
  <c r="EZ271"/>
  <c r="FA271"/>
  <c r="FB271"/>
  <c r="FC271"/>
  <c r="FD271"/>
  <c r="FE271"/>
  <c r="FF271"/>
  <c r="FG271"/>
  <c r="FH271"/>
  <c r="FI271"/>
  <c r="FJ271"/>
  <c r="FK271"/>
  <c r="FL271"/>
  <c r="FM271"/>
  <c r="FN271"/>
  <c r="FO271"/>
  <c r="FP271"/>
  <c r="FQ271"/>
  <c r="FR271"/>
  <c r="FS271"/>
  <c r="FT271"/>
  <c r="FU271"/>
  <c r="FV271"/>
  <c r="FW271"/>
  <c r="FX271"/>
  <c r="FY271"/>
  <c r="FZ271"/>
  <c r="GA271"/>
  <c r="GB271"/>
  <c r="GC271"/>
  <c r="GD271"/>
  <c r="GE271"/>
  <c r="GF271"/>
  <c r="GG271"/>
  <c r="GH271"/>
  <c r="GI271"/>
  <c r="GJ271"/>
  <c r="GK271"/>
  <c r="GL271"/>
  <c r="GM271"/>
  <c r="GN271"/>
  <c r="GO271"/>
  <c r="GP271"/>
  <c r="GQ271"/>
  <c r="GR271"/>
  <c r="GS271"/>
  <c r="GT271"/>
  <c r="GU271"/>
  <c r="GV271"/>
  <c r="GW271"/>
  <c r="GX271"/>
  <c r="GY271"/>
  <c r="GZ271"/>
  <c r="HA271"/>
  <c r="HB271"/>
  <c r="HC271"/>
  <c r="HD271"/>
  <c r="HE271"/>
  <c r="HF271"/>
  <c r="HG271"/>
  <c r="HH271"/>
  <c r="HI271"/>
  <c r="HJ271"/>
  <c r="HK271"/>
  <c r="HL271"/>
  <c r="HM271"/>
  <c r="HN271"/>
  <c r="HO271"/>
  <c r="HP271"/>
  <c r="HQ271"/>
  <c r="HR271"/>
  <c r="HS271"/>
  <c r="HT271"/>
  <c r="HU271"/>
  <c r="HV271"/>
  <c r="HW271"/>
  <c r="HX271"/>
  <c r="HY271"/>
  <c r="HZ271"/>
  <c r="IA271"/>
  <c r="IB271"/>
  <c r="IC271"/>
  <c r="ID271"/>
  <c r="IE271"/>
  <c r="IF271"/>
  <c r="IG271"/>
  <c r="IH271"/>
  <c r="II271"/>
  <c r="IJ271"/>
  <c r="IK271"/>
  <c r="IL271"/>
  <c r="IM271"/>
  <c r="IN271"/>
  <c r="IO271"/>
  <c r="IP271"/>
  <c r="IQ271"/>
  <c r="IR271"/>
  <c r="IS271"/>
  <c r="IT271"/>
  <c r="IU271"/>
  <c r="IV271"/>
  <c r="A270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AT270"/>
  <c r="AU270"/>
  <c r="AV270"/>
  <c r="AW270"/>
  <c r="AX270"/>
  <c r="AY270"/>
  <c r="AZ270"/>
  <c r="BA270"/>
  <c r="BB270"/>
  <c r="BC270"/>
  <c r="BD270"/>
  <c r="BE270"/>
  <c r="BF270"/>
  <c r="BG270"/>
  <c r="BH270"/>
  <c r="BI270"/>
  <c r="BJ270"/>
  <c r="BK270"/>
  <c r="BL270"/>
  <c r="BM270"/>
  <c r="BN270"/>
  <c r="BO270"/>
  <c r="BP270"/>
  <c r="BQ270"/>
  <c r="BR270"/>
  <c r="BS270"/>
  <c r="BT270"/>
  <c r="BU270"/>
  <c r="BV270"/>
  <c r="BW270"/>
  <c r="BX270"/>
  <c r="BY270"/>
  <c r="BZ270"/>
  <c r="CA270"/>
  <c r="CB270"/>
  <c r="CC270"/>
  <c r="CD270"/>
  <c r="CE270"/>
  <c r="CF270"/>
  <c r="CG270"/>
  <c r="CH270"/>
  <c r="CI270"/>
  <c r="CJ270"/>
  <c r="CK270"/>
  <c r="CL270"/>
  <c r="CM270"/>
  <c r="CN270"/>
  <c r="CO270"/>
  <c r="CP270"/>
  <c r="CQ270"/>
  <c r="CR270"/>
  <c r="CS270"/>
  <c r="CT270"/>
  <c r="CU270"/>
  <c r="CV270"/>
  <c r="CW270"/>
  <c r="CX270"/>
  <c r="CY270"/>
  <c r="CZ270"/>
  <c r="DA270"/>
  <c r="DB270"/>
  <c r="DC270"/>
  <c r="DD270"/>
  <c r="DE270"/>
  <c r="DF270"/>
  <c r="DG270"/>
  <c r="DH270"/>
  <c r="DI270"/>
  <c r="DJ270"/>
  <c r="DK270"/>
  <c r="DL270"/>
  <c r="DM270"/>
  <c r="DN270"/>
  <c r="DO270"/>
  <c r="DP270"/>
  <c r="DQ270"/>
  <c r="DR270"/>
  <c r="DS270"/>
  <c r="DT270"/>
  <c r="DU270"/>
  <c r="DV270"/>
  <c r="DW270"/>
  <c r="DX270"/>
  <c r="DY270"/>
  <c r="DZ270"/>
  <c r="EA270"/>
  <c r="EB270"/>
  <c r="EC270"/>
  <c r="ED270"/>
  <c r="EE270"/>
  <c r="EF270"/>
  <c r="EG270"/>
  <c r="EH270"/>
  <c r="EI270"/>
  <c r="EJ270"/>
  <c r="EK270"/>
  <c r="EL270"/>
  <c r="EM270"/>
  <c r="EN270"/>
  <c r="EO270"/>
  <c r="EP270"/>
  <c r="EQ270"/>
  <c r="ER270"/>
  <c r="ES270"/>
  <c r="ET270"/>
  <c r="EU270"/>
  <c r="EV270"/>
  <c r="EW270"/>
  <c r="EX270"/>
  <c r="EY270"/>
  <c r="EZ270"/>
  <c r="FA270"/>
  <c r="FB270"/>
  <c r="FC270"/>
  <c r="FD270"/>
  <c r="FE270"/>
  <c r="FF270"/>
  <c r="FG270"/>
  <c r="FH270"/>
  <c r="FI270"/>
  <c r="FJ270"/>
  <c r="FK270"/>
  <c r="FL270"/>
  <c r="FM270"/>
  <c r="FN270"/>
  <c r="FO270"/>
  <c r="FP270"/>
  <c r="FQ270"/>
  <c r="FR270"/>
  <c r="FS270"/>
  <c r="FT270"/>
  <c r="FU270"/>
  <c r="FV270"/>
  <c r="FW270"/>
  <c r="FX270"/>
  <c r="FY270"/>
  <c r="FZ270"/>
  <c r="GA270"/>
  <c r="GB270"/>
  <c r="GC270"/>
  <c r="GD270"/>
  <c r="GE270"/>
  <c r="GF270"/>
  <c r="GG270"/>
  <c r="GH270"/>
  <c r="GI270"/>
  <c r="GJ270"/>
  <c r="GK270"/>
  <c r="GL270"/>
  <c r="GM270"/>
  <c r="GN270"/>
  <c r="GO270"/>
  <c r="GP270"/>
  <c r="GQ270"/>
  <c r="GR270"/>
  <c r="GS270"/>
  <c r="GT270"/>
  <c r="GU270"/>
  <c r="GV270"/>
  <c r="GW270"/>
  <c r="GX270"/>
  <c r="GY270"/>
  <c r="GZ270"/>
  <c r="HA270"/>
  <c r="HB270"/>
  <c r="HC270"/>
  <c r="HD270"/>
  <c r="HE270"/>
  <c r="HF270"/>
  <c r="HG270"/>
  <c r="HH270"/>
  <c r="HI270"/>
  <c r="HJ270"/>
  <c r="HK270"/>
  <c r="HL270"/>
  <c r="HM270"/>
  <c r="HN270"/>
  <c r="HO270"/>
  <c r="HP270"/>
  <c r="HQ270"/>
  <c r="HR270"/>
  <c r="HS270"/>
  <c r="HT270"/>
  <c r="HU270"/>
  <c r="HV270"/>
  <c r="HW270"/>
  <c r="HX270"/>
  <c r="HY270"/>
  <c r="HZ270"/>
  <c r="IA270"/>
  <c r="IB270"/>
  <c r="IC270"/>
  <c r="ID270"/>
  <c r="IE270"/>
  <c r="IF270"/>
  <c r="IG270"/>
  <c r="IH270"/>
  <c r="II270"/>
  <c r="IJ270"/>
  <c r="IK270"/>
  <c r="IL270"/>
  <c r="IM270"/>
  <c r="IN270"/>
  <c r="IO270"/>
  <c r="IP270"/>
  <c r="IQ270"/>
  <c r="IR270"/>
  <c r="IS270"/>
  <c r="IT270"/>
  <c r="IU270"/>
  <c r="IV270"/>
  <c r="A269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AT269"/>
  <c r="AU269"/>
  <c r="AV269"/>
  <c r="AW269"/>
  <c r="AX269"/>
  <c r="AY269"/>
  <c r="AZ269"/>
  <c r="BA269"/>
  <c r="BB269"/>
  <c r="BC269"/>
  <c r="BD269"/>
  <c r="BE269"/>
  <c r="BF269"/>
  <c r="BG269"/>
  <c r="BH269"/>
  <c r="BI269"/>
  <c r="BJ269"/>
  <c r="BK269"/>
  <c r="BL269"/>
  <c r="BM269"/>
  <c r="BN269"/>
  <c r="BO269"/>
  <c r="BP269"/>
  <c r="BQ269"/>
  <c r="BR269"/>
  <c r="BS269"/>
  <c r="BT269"/>
  <c r="BU269"/>
  <c r="BV269"/>
  <c r="BW269"/>
  <c r="BX269"/>
  <c r="BY269"/>
  <c r="BZ269"/>
  <c r="CA269"/>
  <c r="CB269"/>
  <c r="CC269"/>
  <c r="CD269"/>
  <c r="CE269"/>
  <c r="CF269"/>
  <c r="CG269"/>
  <c r="CH269"/>
  <c r="CI269"/>
  <c r="CJ269"/>
  <c r="CK269"/>
  <c r="CL269"/>
  <c r="CM269"/>
  <c r="CN269"/>
  <c r="CO269"/>
  <c r="CP269"/>
  <c r="CQ269"/>
  <c r="CR269"/>
  <c r="CS269"/>
  <c r="CT269"/>
  <c r="CU269"/>
  <c r="CV269"/>
  <c r="CW269"/>
  <c r="CX269"/>
  <c r="CY269"/>
  <c r="CZ269"/>
  <c r="DA269"/>
  <c r="DB269"/>
  <c r="DC269"/>
  <c r="DD269"/>
  <c r="DE269"/>
  <c r="DF269"/>
  <c r="DG269"/>
  <c r="DH269"/>
  <c r="DI269"/>
  <c r="DJ269"/>
  <c r="DK269"/>
  <c r="DL269"/>
  <c r="DM269"/>
  <c r="DN269"/>
  <c r="DO269"/>
  <c r="DP269"/>
  <c r="DQ269"/>
  <c r="DR269"/>
  <c r="DS269"/>
  <c r="DT269"/>
  <c r="DU269"/>
  <c r="DV269"/>
  <c r="DW269"/>
  <c r="DX269"/>
  <c r="DY269"/>
  <c r="DZ269"/>
  <c r="EA269"/>
  <c r="EB269"/>
  <c r="EC269"/>
  <c r="ED269"/>
  <c r="EE269"/>
  <c r="EF269"/>
  <c r="EG269"/>
  <c r="EH269"/>
  <c r="EI269"/>
  <c r="EJ269"/>
  <c r="EK269"/>
  <c r="EL269"/>
  <c r="EM269"/>
  <c r="EN269"/>
  <c r="EO269"/>
  <c r="EP269"/>
  <c r="EQ269"/>
  <c r="ER269"/>
  <c r="ES269"/>
  <c r="ET269"/>
  <c r="EU269"/>
  <c r="EV269"/>
  <c r="EW269"/>
  <c r="EX269"/>
  <c r="EY269"/>
  <c r="EZ269"/>
  <c r="FA269"/>
  <c r="FB269"/>
  <c r="FC269"/>
  <c r="FD269"/>
  <c r="FE269"/>
  <c r="FF269"/>
  <c r="FG269"/>
  <c r="FH269"/>
  <c r="FI269"/>
  <c r="FJ269"/>
  <c r="FK269"/>
  <c r="FL269"/>
  <c r="FM269"/>
  <c r="FN269"/>
  <c r="FO269"/>
  <c r="FP269"/>
  <c r="FQ269"/>
  <c r="FR269"/>
  <c r="FS269"/>
  <c r="FT269"/>
  <c r="FU269"/>
  <c r="FV269"/>
  <c r="FW269"/>
  <c r="FX269"/>
  <c r="FY269"/>
  <c r="FZ269"/>
  <c r="GA269"/>
  <c r="GB269"/>
  <c r="GC269"/>
  <c r="GD269"/>
  <c r="GE269"/>
  <c r="GF269"/>
  <c r="GG269"/>
  <c r="GH269"/>
  <c r="GI269"/>
  <c r="GJ269"/>
  <c r="GK269"/>
  <c r="GL269"/>
  <c r="GM269"/>
  <c r="GN269"/>
  <c r="GO269"/>
  <c r="GP269"/>
  <c r="GQ269"/>
  <c r="GR269"/>
  <c r="GS269"/>
  <c r="GT269"/>
  <c r="GU269"/>
  <c r="GV269"/>
  <c r="GW269"/>
  <c r="GX269"/>
  <c r="GY269"/>
  <c r="GZ269"/>
  <c r="HA269"/>
  <c r="HB269"/>
  <c r="HC269"/>
  <c r="HD269"/>
  <c r="HE269"/>
  <c r="HF269"/>
  <c r="HG269"/>
  <c r="HH269"/>
  <c r="HI269"/>
  <c r="HJ269"/>
  <c r="HK269"/>
  <c r="HL269"/>
  <c r="HM269"/>
  <c r="HN269"/>
  <c r="HO269"/>
  <c r="HP269"/>
  <c r="HQ269"/>
  <c r="HR269"/>
  <c r="HS269"/>
  <c r="HT269"/>
  <c r="HU269"/>
  <c r="HV269"/>
  <c r="HW269"/>
  <c r="HX269"/>
  <c r="HY269"/>
  <c r="HZ269"/>
  <c r="IA269"/>
  <c r="IB269"/>
  <c r="IC269"/>
  <c r="ID269"/>
  <c r="IE269"/>
  <c r="IF269"/>
  <c r="IG269"/>
  <c r="IH269"/>
  <c r="II269"/>
  <c r="IJ269"/>
  <c r="IK269"/>
  <c r="IL269"/>
  <c r="IM269"/>
  <c r="IN269"/>
  <c r="IO269"/>
  <c r="IP269"/>
  <c r="IQ269"/>
  <c r="IR269"/>
  <c r="IS269"/>
  <c r="IT269"/>
  <c r="IU269"/>
  <c r="IV269"/>
  <c r="A268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Y268"/>
  <c r="AZ268"/>
  <c r="BA268"/>
  <c r="BB268"/>
  <c r="BC268"/>
  <c r="BD268"/>
  <c r="BE268"/>
  <c r="BF268"/>
  <c r="BG268"/>
  <c r="BH268"/>
  <c r="BI268"/>
  <c r="BJ268"/>
  <c r="BK268"/>
  <c r="BL268"/>
  <c r="BM268"/>
  <c r="BN268"/>
  <c r="BO268"/>
  <c r="BP268"/>
  <c r="BQ268"/>
  <c r="BR268"/>
  <c r="BS268"/>
  <c r="BT268"/>
  <c r="BU268"/>
  <c r="BV268"/>
  <c r="BW268"/>
  <c r="BX268"/>
  <c r="BY268"/>
  <c r="BZ268"/>
  <c r="CA268"/>
  <c r="CB268"/>
  <c r="CC268"/>
  <c r="CD268"/>
  <c r="CE268"/>
  <c r="CF268"/>
  <c r="CG268"/>
  <c r="CH268"/>
  <c r="CI268"/>
  <c r="CJ268"/>
  <c r="CK268"/>
  <c r="CL268"/>
  <c r="CM268"/>
  <c r="CN268"/>
  <c r="CO268"/>
  <c r="CP268"/>
  <c r="CQ268"/>
  <c r="CR268"/>
  <c r="CS268"/>
  <c r="CT268"/>
  <c r="CU268"/>
  <c r="CV268"/>
  <c r="CW268"/>
  <c r="CX268"/>
  <c r="CY268"/>
  <c r="CZ268"/>
  <c r="DA268"/>
  <c r="DB268"/>
  <c r="DC268"/>
  <c r="DD268"/>
  <c r="DE268"/>
  <c r="DF268"/>
  <c r="DG268"/>
  <c r="DH268"/>
  <c r="DI268"/>
  <c r="DJ268"/>
  <c r="DK268"/>
  <c r="DL268"/>
  <c r="DM268"/>
  <c r="DN268"/>
  <c r="DO268"/>
  <c r="DP268"/>
  <c r="DQ268"/>
  <c r="DR268"/>
  <c r="DS268"/>
  <c r="DT268"/>
  <c r="DU268"/>
  <c r="DV268"/>
  <c r="DW268"/>
  <c r="DX268"/>
  <c r="DY268"/>
  <c r="DZ268"/>
  <c r="EA268"/>
  <c r="EB268"/>
  <c r="EC268"/>
  <c r="ED268"/>
  <c r="EE268"/>
  <c r="EF268"/>
  <c r="EG268"/>
  <c r="EH268"/>
  <c r="EI268"/>
  <c r="EJ268"/>
  <c r="EK268"/>
  <c r="EL268"/>
  <c r="EM268"/>
  <c r="EN268"/>
  <c r="EO268"/>
  <c r="EP268"/>
  <c r="EQ268"/>
  <c r="ER268"/>
  <c r="ES268"/>
  <c r="ET268"/>
  <c r="EU268"/>
  <c r="EV268"/>
  <c r="EW268"/>
  <c r="EX268"/>
  <c r="EY268"/>
  <c r="EZ268"/>
  <c r="FA268"/>
  <c r="FB268"/>
  <c r="FC268"/>
  <c r="FD268"/>
  <c r="FE268"/>
  <c r="FF268"/>
  <c r="FG268"/>
  <c r="FH268"/>
  <c r="FI268"/>
  <c r="FJ268"/>
  <c r="FK268"/>
  <c r="FL268"/>
  <c r="FM268"/>
  <c r="FN268"/>
  <c r="FO268"/>
  <c r="FP268"/>
  <c r="FQ268"/>
  <c r="FR268"/>
  <c r="FS268"/>
  <c r="FT268"/>
  <c r="FU268"/>
  <c r="FV268"/>
  <c r="FW268"/>
  <c r="FX268"/>
  <c r="FY268"/>
  <c r="FZ268"/>
  <c r="GA268"/>
  <c r="GB268"/>
  <c r="GC268"/>
  <c r="GD268"/>
  <c r="GE268"/>
  <c r="GF268"/>
  <c r="GG268"/>
  <c r="GH268"/>
  <c r="GI268"/>
  <c r="GJ268"/>
  <c r="GK268"/>
  <c r="GL268"/>
  <c r="GM268"/>
  <c r="GN268"/>
  <c r="GO268"/>
  <c r="GP268"/>
  <c r="GQ268"/>
  <c r="GR268"/>
  <c r="GS268"/>
  <c r="GT268"/>
  <c r="GU268"/>
  <c r="GV268"/>
  <c r="GW268"/>
  <c r="GX268"/>
  <c r="GY268"/>
  <c r="GZ268"/>
  <c r="HA268"/>
  <c r="HB268"/>
  <c r="HC268"/>
  <c r="HD268"/>
  <c r="HE268"/>
  <c r="HF268"/>
  <c r="HG268"/>
  <c r="HH268"/>
  <c r="HI268"/>
  <c r="HJ268"/>
  <c r="HK268"/>
  <c r="HL268"/>
  <c r="HM268"/>
  <c r="HN268"/>
  <c r="HO268"/>
  <c r="HP268"/>
  <c r="HQ268"/>
  <c r="HR268"/>
  <c r="HS268"/>
  <c r="HT268"/>
  <c r="HU268"/>
  <c r="HV268"/>
  <c r="HW268"/>
  <c r="HX268"/>
  <c r="HY268"/>
  <c r="HZ268"/>
  <c r="IA268"/>
  <c r="IB268"/>
  <c r="IC268"/>
  <c r="ID268"/>
  <c r="IE268"/>
  <c r="IF268"/>
  <c r="IG268"/>
  <c r="IH268"/>
  <c r="II268"/>
  <c r="IJ268"/>
  <c r="IK268"/>
  <c r="IL268"/>
  <c r="IM268"/>
  <c r="IN268"/>
  <c r="IO268"/>
  <c r="IP268"/>
  <c r="IQ268"/>
  <c r="IR268"/>
  <c r="IS268"/>
  <c r="IT268"/>
  <c r="IU268"/>
  <c r="IV268"/>
  <c r="A267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AT267"/>
  <c r="AU267"/>
  <c r="AV267"/>
  <c r="AW267"/>
  <c r="AX267"/>
  <c r="AY267"/>
  <c r="AZ267"/>
  <c r="BA267"/>
  <c r="BB267"/>
  <c r="BC267"/>
  <c r="BD267"/>
  <c r="BE267"/>
  <c r="BF267"/>
  <c r="BG267"/>
  <c r="BH267"/>
  <c r="BI267"/>
  <c r="BJ267"/>
  <c r="BK267"/>
  <c r="BL267"/>
  <c r="BM267"/>
  <c r="BN267"/>
  <c r="BO267"/>
  <c r="BP267"/>
  <c r="BQ267"/>
  <c r="BR267"/>
  <c r="BS267"/>
  <c r="BT267"/>
  <c r="BU267"/>
  <c r="BV267"/>
  <c r="BW267"/>
  <c r="BX267"/>
  <c r="BY267"/>
  <c r="BZ267"/>
  <c r="CA267"/>
  <c r="CB267"/>
  <c r="CC267"/>
  <c r="CD267"/>
  <c r="CE267"/>
  <c r="CF267"/>
  <c r="CG267"/>
  <c r="CH267"/>
  <c r="CI267"/>
  <c r="CJ267"/>
  <c r="CK267"/>
  <c r="CL267"/>
  <c r="CM267"/>
  <c r="CN267"/>
  <c r="CO267"/>
  <c r="CP267"/>
  <c r="CQ267"/>
  <c r="CR267"/>
  <c r="CS267"/>
  <c r="CT267"/>
  <c r="CU267"/>
  <c r="CV267"/>
  <c r="CW267"/>
  <c r="CX267"/>
  <c r="CY267"/>
  <c r="CZ267"/>
  <c r="DA267"/>
  <c r="DB267"/>
  <c r="DC267"/>
  <c r="DD267"/>
  <c r="DE267"/>
  <c r="DF267"/>
  <c r="DG267"/>
  <c r="DH267"/>
  <c r="DI267"/>
  <c r="DJ267"/>
  <c r="DK267"/>
  <c r="DL267"/>
  <c r="DM267"/>
  <c r="DN267"/>
  <c r="DO267"/>
  <c r="DP267"/>
  <c r="DQ267"/>
  <c r="DR267"/>
  <c r="DS267"/>
  <c r="DT267"/>
  <c r="DU267"/>
  <c r="DV267"/>
  <c r="DW267"/>
  <c r="DX267"/>
  <c r="DY267"/>
  <c r="DZ267"/>
  <c r="EA267"/>
  <c r="EB267"/>
  <c r="EC267"/>
  <c r="ED267"/>
  <c r="EE267"/>
  <c r="EF267"/>
  <c r="EG267"/>
  <c r="EH267"/>
  <c r="EI267"/>
  <c r="EJ267"/>
  <c r="EK267"/>
  <c r="EL267"/>
  <c r="EM267"/>
  <c r="EN267"/>
  <c r="EO267"/>
  <c r="EP267"/>
  <c r="EQ267"/>
  <c r="ER267"/>
  <c r="ES267"/>
  <c r="ET267"/>
  <c r="EU267"/>
  <c r="EV267"/>
  <c r="EW267"/>
  <c r="EX267"/>
  <c r="EY267"/>
  <c r="EZ267"/>
  <c r="FA267"/>
  <c r="FB267"/>
  <c r="FC267"/>
  <c r="FD267"/>
  <c r="FE267"/>
  <c r="FF267"/>
  <c r="FG267"/>
  <c r="FH267"/>
  <c r="FI267"/>
  <c r="FJ267"/>
  <c r="FK267"/>
  <c r="FL267"/>
  <c r="FM267"/>
  <c r="FN267"/>
  <c r="FO267"/>
  <c r="FP267"/>
  <c r="FQ267"/>
  <c r="FR267"/>
  <c r="FS267"/>
  <c r="FT267"/>
  <c r="FU267"/>
  <c r="FV267"/>
  <c r="FW267"/>
  <c r="FX267"/>
  <c r="FY267"/>
  <c r="FZ267"/>
  <c r="GA267"/>
  <c r="GB267"/>
  <c r="GC267"/>
  <c r="GD267"/>
  <c r="GE267"/>
  <c r="GF267"/>
  <c r="GG267"/>
  <c r="GH267"/>
  <c r="GI267"/>
  <c r="GJ267"/>
  <c r="GK267"/>
  <c r="GL267"/>
  <c r="GM267"/>
  <c r="GN267"/>
  <c r="GO267"/>
  <c r="GP267"/>
  <c r="GQ267"/>
  <c r="GR267"/>
  <c r="GS267"/>
  <c r="GT267"/>
  <c r="GU267"/>
  <c r="GV267"/>
  <c r="GW267"/>
  <c r="GX267"/>
  <c r="GY267"/>
  <c r="GZ267"/>
  <c r="HA267"/>
  <c r="HB267"/>
  <c r="HC267"/>
  <c r="HD267"/>
  <c r="HE267"/>
  <c r="HF267"/>
  <c r="HG267"/>
  <c r="HH267"/>
  <c r="HI267"/>
  <c r="HJ267"/>
  <c r="HK267"/>
  <c r="HL267"/>
  <c r="HM267"/>
  <c r="HN267"/>
  <c r="HO267"/>
  <c r="HP267"/>
  <c r="HQ267"/>
  <c r="HR267"/>
  <c r="HS267"/>
  <c r="HT267"/>
  <c r="HU267"/>
  <c r="HV267"/>
  <c r="HW267"/>
  <c r="HX267"/>
  <c r="HY267"/>
  <c r="HZ267"/>
  <c r="IA267"/>
  <c r="IB267"/>
  <c r="IC267"/>
  <c r="ID267"/>
  <c r="IE267"/>
  <c r="IF267"/>
  <c r="IG267"/>
  <c r="IH267"/>
  <c r="II267"/>
  <c r="IJ267"/>
  <c r="IK267"/>
  <c r="IL267"/>
  <c r="IM267"/>
  <c r="IN267"/>
  <c r="IO267"/>
  <c r="IP267"/>
  <c r="IQ267"/>
  <c r="IR267"/>
  <c r="IS267"/>
  <c r="IT267"/>
  <c r="IU267"/>
  <c r="IV267"/>
  <c r="A266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AT266"/>
  <c r="AU266"/>
  <c r="AV266"/>
  <c r="AW266"/>
  <c r="AX266"/>
  <c r="AY266"/>
  <c r="AZ266"/>
  <c r="BA266"/>
  <c r="BB266"/>
  <c r="BC266"/>
  <c r="BD266"/>
  <c r="BE266"/>
  <c r="BF266"/>
  <c r="BG266"/>
  <c r="BH266"/>
  <c r="BI266"/>
  <c r="BJ266"/>
  <c r="BK266"/>
  <c r="BL266"/>
  <c r="BM266"/>
  <c r="BN266"/>
  <c r="BO266"/>
  <c r="BP266"/>
  <c r="BQ266"/>
  <c r="BR266"/>
  <c r="BS266"/>
  <c r="BT266"/>
  <c r="BU266"/>
  <c r="BV266"/>
  <c r="BW266"/>
  <c r="BX266"/>
  <c r="BY266"/>
  <c r="BZ266"/>
  <c r="CA266"/>
  <c r="CB266"/>
  <c r="CC266"/>
  <c r="CD266"/>
  <c r="CE266"/>
  <c r="CF266"/>
  <c r="CG266"/>
  <c r="CH266"/>
  <c r="CI266"/>
  <c r="CJ266"/>
  <c r="CK266"/>
  <c r="CL266"/>
  <c r="CM266"/>
  <c r="CN266"/>
  <c r="CO266"/>
  <c r="CP266"/>
  <c r="CQ266"/>
  <c r="CR266"/>
  <c r="CS266"/>
  <c r="CT266"/>
  <c r="CU266"/>
  <c r="CV266"/>
  <c r="CW266"/>
  <c r="CX266"/>
  <c r="CY266"/>
  <c r="CZ266"/>
  <c r="DA266"/>
  <c r="DB266"/>
  <c r="DC266"/>
  <c r="DD266"/>
  <c r="DE266"/>
  <c r="DF266"/>
  <c r="DG266"/>
  <c r="DH266"/>
  <c r="DI266"/>
  <c r="DJ266"/>
  <c r="DK266"/>
  <c r="DL266"/>
  <c r="DM266"/>
  <c r="DN266"/>
  <c r="DO266"/>
  <c r="DP266"/>
  <c r="DQ266"/>
  <c r="DR266"/>
  <c r="DS266"/>
  <c r="DT266"/>
  <c r="DU266"/>
  <c r="DV266"/>
  <c r="DW266"/>
  <c r="DX266"/>
  <c r="DY266"/>
  <c r="DZ266"/>
  <c r="EA266"/>
  <c r="EB266"/>
  <c r="EC266"/>
  <c r="ED266"/>
  <c r="EE266"/>
  <c r="EF266"/>
  <c r="EG266"/>
  <c r="EH266"/>
  <c r="EI266"/>
  <c r="EJ266"/>
  <c r="EK266"/>
  <c r="EL266"/>
  <c r="EM266"/>
  <c r="EN266"/>
  <c r="EO266"/>
  <c r="EP266"/>
  <c r="EQ266"/>
  <c r="ER266"/>
  <c r="ES266"/>
  <c r="ET266"/>
  <c r="EU266"/>
  <c r="EV266"/>
  <c r="EW266"/>
  <c r="EX266"/>
  <c r="EY266"/>
  <c r="EZ266"/>
  <c r="FA266"/>
  <c r="FB266"/>
  <c r="FC266"/>
  <c r="FD266"/>
  <c r="FE266"/>
  <c r="FF266"/>
  <c r="FG266"/>
  <c r="FH266"/>
  <c r="FI266"/>
  <c r="FJ266"/>
  <c r="FK266"/>
  <c r="FL266"/>
  <c r="FM266"/>
  <c r="FN266"/>
  <c r="FO266"/>
  <c r="FP266"/>
  <c r="FQ266"/>
  <c r="FR266"/>
  <c r="FS266"/>
  <c r="FT266"/>
  <c r="FU266"/>
  <c r="FV266"/>
  <c r="FW266"/>
  <c r="FX266"/>
  <c r="FY266"/>
  <c r="FZ266"/>
  <c r="GA266"/>
  <c r="GB266"/>
  <c r="GC266"/>
  <c r="GD266"/>
  <c r="GE266"/>
  <c r="GF266"/>
  <c r="GG266"/>
  <c r="GH266"/>
  <c r="GI266"/>
  <c r="GJ266"/>
  <c r="GK266"/>
  <c r="GL266"/>
  <c r="GM266"/>
  <c r="GN266"/>
  <c r="GO266"/>
  <c r="GP266"/>
  <c r="GQ266"/>
  <c r="GR266"/>
  <c r="GS266"/>
  <c r="GT266"/>
  <c r="GU266"/>
  <c r="GV266"/>
  <c r="GW266"/>
  <c r="GX266"/>
  <c r="GY266"/>
  <c r="GZ266"/>
  <c r="HA266"/>
  <c r="HB266"/>
  <c r="HC266"/>
  <c r="HD266"/>
  <c r="HE266"/>
  <c r="HF266"/>
  <c r="HG266"/>
  <c r="HH266"/>
  <c r="HI266"/>
  <c r="HJ266"/>
  <c r="HK266"/>
  <c r="HL266"/>
  <c r="HM266"/>
  <c r="HN266"/>
  <c r="HO266"/>
  <c r="HP266"/>
  <c r="HQ266"/>
  <c r="HR266"/>
  <c r="HS266"/>
  <c r="HT266"/>
  <c r="HU266"/>
  <c r="HV266"/>
  <c r="HW266"/>
  <c r="HX266"/>
  <c r="HY266"/>
  <c r="HZ266"/>
  <c r="IA266"/>
  <c r="IB266"/>
  <c r="IC266"/>
  <c r="ID266"/>
  <c r="IE266"/>
  <c r="IF266"/>
  <c r="IG266"/>
  <c r="IH266"/>
  <c r="II266"/>
  <c r="IJ266"/>
  <c r="IK266"/>
  <c r="IL266"/>
  <c r="IM266"/>
  <c r="IN266"/>
  <c r="IO266"/>
  <c r="IP266"/>
  <c r="IQ266"/>
  <c r="IR266"/>
  <c r="IS266"/>
  <c r="IT266"/>
  <c r="IU266"/>
  <c r="IV266"/>
  <c r="A265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AT265"/>
  <c r="AU265"/>
  <c r="AV265"/>
  <c r="AW265"/>
  <c r="AX265"/>
  <c r="AY265"/>
  <c r="AZ265"/>
  <c r="BA265"/>
  <c r="BB265"/>
  <c r="BC265"/>
  <c r="BD265"/>
  <c r="BE265"/>
  <c r="BF265"/>
  <c r="BG265"/>
  <c r="BH265"/>
  <c r="BI265"/>
  <c r="BJ265"/>
  <c r="BK265"/>
  <c r="BL265"/>
  <c r="BM265"/>
  <c r="BN265"/>
  <c r="BO265"/>
  <c r="BP265"/>
  <c r="BQ265"/>
  <c r="BR265"/>
  <c r="BS265"/>
  <c r="BT265"/>
  <c r="BU265"/>
  <c r="BV265"/>
  <c r="BW265"/>
  <c r="BX265"/>
  <c r="BY265"/>
  <c r="BZ265"/>
  <c r="CA265"/>
  <c r="CB265"/>
  <c r="CC265"/>
  <c r="CD265"/>
  <c r="CE265"/>
  <c r="CF265"/>
  <c r="CG265"/>
  <c r="CH265"/>
  <c r="CI265"/>
  <c r="CJ265"/>
  <c r="CK265"/>
  <c r="CL265"/>
  <c r="CM265"/>
  <c r="CN265"/>
  <c r="CO265"/>
  <c r="CP265"/>
  <c r="CQ265"/>
  <c r="CR265"/>
  <c r="CS265"/>
  <c r="CT265"/>
  <c r="CU265"/>
  <c r="CV265"/>
  <c r="CW265"/>
  <c r="CX265"/>
  <c r="CY265"/>
  <c r="CZ265"/>
  <c r="DA265"/>
  <c r="DB265"/>
  <c r="DC265"/>
  <c r="DD265"/>
  <c r="DE265"/>
  <c r="DF265"/>
  <c r="DG265"/>
  <c r="DH265"/>
  <c r="DI265"/>
  <c r="DJ265"/>
  <c r="DK265"/>
  <c r="DL265"/>
  <c r="DM265"/>
  <c r="DN265"/>
  <c r="DO265"/>
  <c r="DP265"/>
  <c r="DQ265"/>
  <c r="DR265"/>
  <c r="DS265"/>
  <c r="DT265"/>
  <c r="DU265"/>
  <c r="DV265"/>
  <c r="DW265"/>
  <c r="DX265"/>
  <c r="DY265"/>
  <c r="DZ265"/>
  <c r="EA265"/>
  <c r="EB265"/>
  <c r="EC265"/>
  <c r="ED265"/>
  <c r="EE265"/>
  <c r="EF265"/>
  <c r="EG265"/>
  <c r="EH265"/>
  <c r="EI265"/>
  <c r="EJ265"/>
  <c r="EK265"/>
  <c r="EL265"/>
  <c r="EM265"/>
  <c r="EN265"/>
  <c r="EO265"/>
  <c r="EP265"/>
  <c r="EQ265"/>
  <c r="ER265"/>
  <c r="ES265"/>
  <c r="ET265"/>
  <c r="EU265"/>
  <c r="EV265"/>
  <c r="EW265"/>
  <c r="EX265"/>
  <c r="EY265"/>
  <c r="EZ265"/>
  <c r="FA265"/>
  <c r="FB265"/>
  <c r="FC265"/>
  <c r="FD265"/>
  <c r="FE265"/>
  <c r="FF265"/>
  <c r="FG265"/>
  <c r="FH265"/>
  <c r="FI265"/>
  <c r="FJ265"/>
  <c r="FK265"/>
  <c r="FL265"/>
  <c r="FM265"/>
  <c r="FN265"/>
  <c r="FO265"/>
  <c r="FP265"/>
  <c r="FQ265"/>
  <c r="FR265"/>
  <c r="FS265"/>
  <c r="FT265"/>
  <c r="FU265"/>
  <c r="FV265"/>
  <c r="FW265"/>
  <c r="FX265"/>
  <c r="FY265"/>
  <c r="FZ265"/>
  <c r="GA265"/>
  <c r="GB265"/>
  <c r="GC265"/>
  <c r="GD265"/>
  <c r="GE265"/>
  <c r="GF265"/>
  <c r="GG265"/>
  <c r="GH265"/>
  <c r="GI265"/>
  <c r="GJ265"/>
  <c r="GK265"/>
  <c r="GL265"/>
  <c r="GM265"/>
  <c r="GN265"/>
  <c r="GO265"/>
  <c r="GP265"/>
  <c r="GQ265"/>
  <c r="GR265"/>
  <c r="GS265"/>
  <c r="GT265"/>
  <c r="GU265"/>
  <c r="GV265"/>
  <c r="GW265"/>
  <c r="GX265"/>
  <c r="GY265"/>
  <c r="GZ265"/>
  <c r="HA265"/>
  <c r="HB265"/>
  <c r="HC265"/>
  <c r="HD265"/>
  <c r="HE265"/>
  <c r="HF265"/>
  <c r="HG265"/>
  <c r="HH265"/>
  <c r="HI265"/>
  <c r="HJ265"/>
  <c r="HK265"/>
  <c r="HL265"/>
  <c r="HM265"/>
  <c r="HN265"/>
  <c r="HO265"/>
  <c r="HP265"/>
  <c r="HQ265"/>
  <c r="HR265"/>
  <c r="HS265"/>
  <c r="HT265"/>
  <c r="HU265"/>
  <c r="HV265"/>
  <c r="HW265"/>
  <c r="HX265"/>
  <c r="HY265"/>
  <c r="HZ265"/>
  <c r="IA265"/>
  <c r="IB265"/>
  <c r="IC265"/>
  <c r="ID265"/>
  <c r="IE265"/>
  <c r="IF265"/>
  <c r="IG265"/>
  <c r="IH265"/>
  <c r="II265"/>
  <c r="IJ265"/>
  <c r="IK265"/>
  <c r="IL265"/>
  <c r="IM265"/>
  <c r="IN265"/>
  <c r="IO265"/>
  <c r="IP265"/>
  <c r="IQ265"/>
  <c r="IR265"/>
  <c r="IS265"/>
  <c r="IT265"/>
  <c r="IU265"/>
  <c r="IV265"/>
  <c r="A264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AE264"/>
  <c r="AF264"/>
  <c r="AG264"/>
  <c r="AH264"/>
  <c r="AI264"/>
  <c r="AJ264"/>
  <c r="AK264"/>
  <c r="AL264"/>
  <c r="AM264"/>
  <c r="AN264"/>
  <c r="AO264"/>
  <c r="AP264"/>
  <c r="AQ264"/>
  <c r="AR264"/>
  <c r="AS264"/>
  <c r="AT264"/>
  <c r="AU264"/>
  <c r="AV264"/>
  <c r="AW264"/>
  <c r="AX264"/>
  <c r="AY264"/>
  <c r="AZ264"/>
  <c r="BA264"/>
  <c r="BB264"/>
  <c r="BC264"/>
  <c r="BD264"/>
  <c r="BE264"/>
  <c r="BF264"/>
  <c r="BG264"/>
  <c r="BH264"/>
  <c r="BI264"/>
  <c r="BJ264"/>
  <c r="BK264"/>
  <c r="BL264"/>
  <c r="BM264"/>
  <c r="BN264"/>
  <c r="BO264"/>
  <c r="BP264"/>
  <c r="BQ264"/>
  <c r="BR264"/>
  <c r="BS264"/>
  <c r="BT264"/>
  <c r="BU264"/>
  <c r="BV264"/>
  <c r="BW264"/>
  <c r="BX264"/>
  <c r="BY264"/>
  <c r="BZ264"/>
  <c r="CA264"/>
  <c r="CB264"/>
  <c r="CC264"/>
  <c r="CD264"/>
  <c r="CE264"/>
  <c r="CF264"/>
  <c r="CG264"/>
  <c r="CH264"/>
  <c r="CI264"/>
  <c r="CJ264"/>
  <c r="CK264"/>
  <c r="CL264"/>
  <c r="CM264"/>
  <c r="CN264"/>
  <c r="CO264"/>
  <c r="CP264"/>
  <c r="CQ264"/>
  <c r="CR264"/>
  <c r="CS264"/>
  <c r="CT264"/>
  <c r="CU264"/>
  <c r="CV264"/>
  <c r="CW264"/>
  <c r="CX264"/>
  <c r="CY264"/>
  <c r="CZ264"/>
  <c r="DA264"/>
  <c r="DB264"/>
  <c r="DC264"/>
  <c r="DD264"/>
  <c r="DE264"/>
  <c r="DF264"/>
  <c r="DG264"/>
  <c r="DH264"/>
  <c r="DI264"/>
  <c r="DJ264"/>
  <c r="DK264"/>
  <c r="DL264"/>
  <c r="DM264"/>
  <c r="DN264"/>
  <c r="DO264"/>
  <c r="DP264"/>
  <c r="DQ264"/>
  <c r="DR264"/>
  <c r="DS264"/>
  <c r="DT264"/>
  <c r="DU264"/>
  <c r="DV264"/>
  <c r="DW264"/>
  <c r="DX264"/>
  <c r="DY264"/>
  <c r="DZ264"/>
  <c r="EA264"/>
  <c r="EB264"/>
  <c r="EC264"/>
  <c r="ED264"/>
  <c r="EE264"/>
  <c r="EF264"/>
  <c r="EG264"/>
  <c r="EH264"/>
  <c r="EI264"/>
  <c r="EJ264"/>
  <c r="EK264"/>
  <c r="EL264"/>
  <c r="EM264"/>
  <c r="EN264"/>
  <c r="EO264"/>
  <c r="EP264"/>
  <c r="EQ264"/>
  <c r="ER264"/>
  <c r="ES264"/>
  <c r="ET264"/>
  <c r="EU264"/>
  <c r="EV264"/>
  <c r="EW264"/>
  <c r="EX264"/>
  <c r="EY264"/>
  <c r="EZ264"/>
  <c r="FA264"/>
  <c r="FB264"/>
  <c r="FC264"/>
  <c r="FD264"/>
  <c r="FE264"/>
  <c r="FF264"/>
  <c r="FG264"/>
  <c r="FH264"/>
  <c r="FI264"/>
  <c r="FJ264"/>
  <c r="FK264"/>
  <c r="FL264"/>
  <c r="FM264"/>
  <c r="FN264"/>
  <c r="FO264"/>
  <c r="FP264"/>
  <c r="FQ264"/>
  <c r="FR264"/>
  <c r="FS264"/>
  <c r="FT264"/>
  <c r="FU264"/>
  <c r="FV264"/>
  <c r="FW264"/>
  <c r="FX264"/>
  <c r="FY264"/>
  <c r="FZ264"/>
  <c r="GA264"/>
  <c r="GB264"/>
  <c r="GC264"/>
  <c r="GD264"/>
  <c r="GE264"/>
  <c r="GF264"/>
  <c r="GG264"/>
  <c r="GH264"/>
  <c r="GI264"/>
  <c r="GJ264"/>
  <c r="GK264"/>
  <c r="GL264"/>
  <c r="GM264"/>
  <c r="GN264"/>
  <c r="GO264"/>
  <c r="GP264"/>
  <c r="GQ264"/>
  <c r="GR264"/>
  <c r="GS264"/>
  <c r="GT264"/>
  <c r="GU264"/>
  <c r="GV264"/>
  <c r="GW264"/>
  <c r="GX264"/>
  <c r="GY264"/>
  <c r="GZ264"/>
  <c r="HA264"/>
  <c r="HB264"/>
  <c r="HC264"/>
  <c r="HD264"/>
  <c r="HE264"/>
  <c r="HF264"/>
  <c r="HG264"/>
  <c r="HH264"/>
  <c r="HI264"/>
  <c r="HJ264"/>
  <c r="HK264"/>
  <c r="HL264"/>
  <c r="HM264"/>
  <c r="HN264"/>
  <c r="HO264"/>
  <c r="HP264"/>
  <c r="HQ264"/>
  <c r="HR264"/>
  <c r="HS264"/>
  <c r="HT264"/>
  <c r="HU264"/>
  <c r="HV264"/>
  <c r="HW264"/>
  <c r="HX264"/>
  <c r="HY264"/>
  <c r="HZ264"/>
  <c r="IA264"/>
  <c r="IB264"/>
  <c r="IC264"/>
  <c r="ID264"/>
  <c r="IE264"/>
  <c r="IF264"/>
  <c r="IG264"/>
  <c r="IH264"/>
  <c r="II264"/>
  <c r="IJ264"/>
  <c r="IK264"/>
  <c r="IL264"/>
  <c r="IM264"/>
  <c r="IN264"/>
  <c r="IO264"/>
  <c r="IP264"/>
  <c r="IQ264"/>
  <c r="IR264"/>
  <c r="IS264"/>
  <c r="IT264"/>
  <c r="IU264"/>
  <c r="IV264"/>
  <c r="A263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AT263"/>
  <c r="AU263"/>
  <c r="AV263"/>
  <c r="AW263"/>
  <c r="AX263"/>
  <c r="AY263"/>
  <c r="AZ263"/>
  <c r="BA263"/>
  <c r="BB263"/>
  <c r="BC263"/>
  <c r="BD263"/>
  <c r="BE263"/>
  <c r="BF263"/>
  <c r="BG263"/>
  <c r="BH263"/>
  <c r="BI263"/>
  <c r="BJ263"/>
  <c r="BK263"/>
  <c r="BL263"/>
  <c r="BM263"/>
  <c r="BN263"/>
  <c r="BO263"/>
  <c r="BP263"/>
  <c r="BQ263"/>
  <c r="BR263"/>
  <c r="BS263"/>
  <c r="BT263"/>
  <c r="BU263"/>
  <c r="BV263"/>
  <c r="BW263"/>
  <c r="BX263"/>
  <c r="BY263"/>
  <c r="BZ263"/>
  <c r="CA263"/>
  <c r="CB263"/>
  <c r="CC263"/>
  <c r="CD263"/>
  <c r="CE263"/>
  <c r="CF263"/>
  <c r="CG263"/>
  <c r="CH263"/>
  <c r="CI263"/>
  <c r="CJ263"/>
  <c r="CK263"/>
  <c r="CL263"/>
  <c r="CM263"/>
  <c r="CN263"/>
  <c r="CO263"/>
  <c r="CP263"/>
  <c r="CQ263"/>
  <c r="CR263"/>
  <c r="CS263"/>
  <c r="CT263"/>
  <c r="CU263"/>
  <c r="CV263"/>
  <c r="CW263"/>
  <c r="CX263"/>
  <c r="CY263"/>
  <c r="CZ263"/>
  <c r="DA263"/>
  <c r="DB263"/>
  <c r="DC263"/>
  <c r="DD263"/>
  <c r="DE263"/>
  <c r="DF263"/>
  <c r="DG263"/>
  <c r="DH263"/>
  <c r="DI263"/>
  <c r="DJ263"/>
  <c r="DK263"/>
  <c r="DL263"/>
  <c r="DM263"/>
  <c r="DN263"/>
  <c r="DO263"/>
  <c r="DP263"/>
  <c r="DQ263"/>
  <c r="DR263"/>
  <c r="DS263"/>
  <c r="DT263"/>
  <c r="DU263"/>
  <c r="DV263"/>
  <c r="DW263"/>
  <c r="DX263"/>
  <c r="DY263"/>
  <c r="DZ263"/>
  <c r="EA263"/>
  <c r="EB263"/>
  <c r="EC263"/>
  <c r="ED263"/>
  <c r="EE263"/>
  <c r="EF263"/>
  <c r="EG263"/>
  <c r="EH263"/>
  <c r="EI263"/>
  <c r="EJ263"/>
  <c r="EK263"/>
  <c r="EL263"/>
  <c r="EM263"/>
  <c r="EN263"/>
  <c r="EO263"/>
  <c r="EP263"/>
  <c r="EQ263"/>
  <c r="ER263"/>
  <c r="ES263"/>
  <c r="ET263"/>
  <c r="EU263"/>
  <c r="EV263"/>
  <c r="EW263"/>
  <c r="EX263"/>
  <c r="EY263"/>
  <c r="EZ263"/>
  <c r="FA263"/>
  <c r="FB263"/>
  <c r="FC263"/>
  <c r="FD263"/>
  <c r="FE263"/>
  <c r="FF263"/>
  <c r="FG263"/>
  <c r="FH263"/>
  <c r="FI263"/>
  <c r="FJ263"/>
  <c r="FK263"/>
  <c r="FL263"/>
  <c r="FM263"/>
  <c r="FN263"/>
  <c r="FO263"/>
  <c r="FP263"/>
  <c r="FQ263"/>
  <c r="FR263"/>
  <c r="FS263"/>
  <c r="FT263"/>
  <c r="FU263"/>
  <c r="FV263"/>
  <c r="FW263"/>
  <c r="FX263"/>
  <c r="FY263"/>
  <c r="FZ263"/>
  <c r="GA263"/>
  <c r="GB263"/>
  <c r="GC263"/>
  <c r="GD263"/>
  <c r="GE263"/>
  <c r="GF263"/>
  <c r="GG263"/>
  <c r="GH263"/>
  <c r="GI263"/>
  <c r="GJ263"/>
  <c r="GK263"/>
  <c r="GL263"/>
  <c r="GM263"/>
  <c r="GN263"/>
  <c r="GO263"/>
  <c r="GP263"/>
  <c r="GQ263"/>
  <c r="GR263"/>
  <c r="GS263"/>
  <c r="GT263"/>
  <c r="GU263"/>
  <c r="GV263"/>
  <c r="GW263"/>
  <c r="GX263"/>
  <c r="GY263"/>
  <c r="GZ263"/>
  <c r="HA263"/>
  <c r="HB263"/>
  <c r="HC263"/>
  <c r="HD263"/>
  <c r="HE263"/>
  <c r="HF263"/>
  <c r="HG263"/>
  <c r="HH263"/>
  <c r="HI263"/>
  <c r="HJ263"/>
  <c r="HK263"/>
  <c r="HL263"/>
  <c r="HM263"/>
  <c r="HN263"/>
  <c r="HO263"/>
  <c r="HP263"/>
  <c r="HQ263"/>
  <c r="HR263"/>
  <c r="HS263"/>
  <c r="HT263"/>
  <c r="HU263"/>
  <c r="HV263"/>
  <c r="HW263"/>
  <c r="HX263"/>
  <c r="HY263"/>
  <c r="HZ263"/>
  <c r="IA263"/>
  <c r="IB263"/>
  <c r="IC263"/>
  <c r="ID263"/>
  <c r="IE263"/>
  <c r="IF263"/>
  <c r="IG263"/>
  <c r="IH263"/>
  <c r="II263"/>
  <c r="IJ263"/>
  <c r="IK263"/>
  <c r="IL263"/>
  <c r="IM263"/>
  <c r="IN263"/>
  <c r="IO263"/>
  <c r="IP263"/>
  <c r="IQ263"/>
  <c r="IR263"/>
  <c r="IS263"/>
  <c r="IT263"/>
  <c r="IU263"/>
  <c r="IV263"/>
  <c r="A262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AV262"/>
  <c r="AW262"/>
  <c r="AX262"/>
  <c r="AY262"/>
  <c r="AZ262"/>
  <c r="BA262"/>
  <c r="BB262"/>
  <c r="BC262"/>
  <c r="BD262"/>
  <c r="BE262"/>
  <c r="BF262"/>
  <c r="BG262"/>
  <c r="BH262"/>
  <c r="BI262"/>
  <c r="BJ262"/>
  <c r="BK262"/>
  <c r="BL262"/>
  <c r="BM262"/>
  <c r="BN262"/>
  <c r="BO262"/>
  <c r="BP262"/>
  <c r="BQ262"/>
  <c r="BR262"/>
  <c r="BS262"/>
  <c r="BT262"/>
  <c r="BU262"/>
  <c r="BV262"/>
  <c r="BW262"/>
  <c r="BX262"/>
  <c r="BY262"/>
  <c r="BZ262"/>
  <c r="CA262"/>
  <c r="CB262"/>
  <c r="CC262"/>
  <c r="CD262"/>
  <c r="CE262"/>
  <c r="CF262"/>
  <c r="CG262"/>
  <c r="CH262"/>
  <c r="CI262"/>
  <c r="CJ262"/>
  <c r="CK262"/>
  <c r="CL262"/>
  <c r="CM262"/>
  <c r="CN262"/>
  <c r="CO262"/>
  <c r="CP262"/>
  <c r="CQ262"/>
  <c r="CR262"/>
  <c r="CS262"/>
  <c r="CT262"/>
  <c r="CU262"/>
  <c r="CV262"/>
  <c r="CW262"/>
  <c r="CX262"/>
  <c r="CY262"/>
  <c r="CZ262"/>
  <c r="DA262"/>
  <c r="DB262"/>
  <c r="DC262"/>
  <c r="DD262"/>
  <c r="DE262"/>
  <c r="DF262"/>
  <c r="DG262"/>
  <c r="DH262"/>
  <c r="DI262"/>
  <c r="DJ262"/>
  <c r="DK262"/>
  <c r="DL262"/>
  <c r="DM262"/>
  <c r="DN262"/>
  <c r="DO262"/>
  <c r="DP262"/>
  <c r="DQ262"/>
  <c r="DR262"/>
  <c r="DS262"/>
  <c r="DT262"/>
  <c r="DU262"/>
  <c r="DV262"/>
  <c r="DW262"/>
  <c r="DX262"/>
  <c r="DY262"/>
  <c r="DZ262"/>
  <c r="EA262"/>
  <c r="EB262"/>
  <c r="EC262"/>
  <c r="ED262"/>
  <c r="EE262"/>
  <c r="EF262"/>
  <c r="EG262"/>
  <c r="EH262"/>
  <c r="EI262"/>
  <c r="EJ262"/>
  <c r="EK262"/>
  <c r="EL262"/>
  <c r="EM262"/>
  <c r="EN262"/>
  <c r="EO262"/>
  <c r="EP262"/>
  <c r="EQ262"/>
  <c r="ER262"/>
  <c r="ES262"/>
  <c r="ET262"/>
  <c r="EU262"/>
  <c r="EV262"/>
  <c r="EW262"/>
  <c r="EX262"/>
  <c r="EY262"/>
  <c r="EZ262"/>
  <c r="FA262"/>
  <c r="FB262"/>
  <c r="FC262"/>
  <c r="FD262"/>
  <c r="FE262"/>
  <c r="FF262"/>
  <c r="FG262"/>
  <c r="FH262"/>
  <c r="FI262"/>
  <c r="FJ262"/>
  <c r="FK262"/>
  <c r="FL262"/>
  <c r="FM262"/>
  <c r="FN262"/>
  <c r="FO262"/>
  <c r="FP262"/>
  <c r="FQ262"/>
  <c r="FR262"/>
  <c r="FS262"/>
  <c r="FT262"/>
  <c r="FU262"/>
  <c r="FV262"/>
  <c r="FW262"/>
  <c r="FX262"/>
  <c r="FY262"/>
  <c r="FZ262"/>
  <c r="GA262"/>
  <c r="GB262"/>
  <c r="GC262"/>
  <c r="GD262"/>
  <c r="GE262"/>
  <c r="GF262"/>
  <c r="GG262"/>
  <c r="GH262"/>
  <c r="GI262"/>
  <c r="GJ262"/>
  <c r="GK262"/>
  <c r="GL262"/>
  <c r="GM262"/>
  <c r="GN262"/>
  <c r="GO262"/>
  <c r="GP262"/>
  <c r="GQ262"/>
  <c r="GR262"/>
  <c r="GS262"/>
  <c r="GT262"/>
  <c r="GU262"/>
  <c r="GV262"/>
  <c r="GW262"/>
  <c r="GX262"/>
  <c r="GY262"/>
  <c r="GZ262"/>
  <c r="HA262"/>
  <c r="HB262"/>
  <c r="HC262"/>
  <c r="HD262"/>
  <c r="HE262"/>
  <c r="HF262"/>
  <c r="HG262"/>
  <c r="HH262"/>
  <c r="HI262"/>
  <c r="HJ262"/>
  <c r="HK262"/>
  <c r="HL262"/>
  <c r="HM262"/>
  <c r="HN262"/>
  <c r="HO262"/>
  <c r="HP262"/>
  <c r="HQ262"/>
  <c r="HR262"/>
  <c r="HS262"/>
  <c r="HT262"/>
  <c r="HU262"/>
  <c r="HV262"/>
  <c r="HW262"/>
  <c r="HX262"/>
  <c r="HY262"/>
  <c r="HZ262"/>
  <c r="IA262"/>
  <c r="IB262"/>
  <c r="IC262"/>
  <c r="ID262"/>
  <c r="IE262"/>
  <c r="IF262"/>
  <c r="IG262"/>
  <c r="IH262"/>
  <c r="II262"/>
  <c r="IJ262"/>
  <c r="IK262"/>
  <c r="IL262"/>
  <c r="IM262"/>
  <c r="IN262"/>
  <c r="IO262"/>
  <c r="IP262"/>
  <c r="IQ262"/>
  <c r="IR262"/>
  <c r="IS262"/>
  <c r="IT262"/>
  <c r="IU262"/>
  <c r="IV262"/>
  <c r="A261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AV261"/>
  <c r="AW261"/>
  <c r="AX261"/>
  <c r="AY261"/>
  <c r="AZ261"/>
  <c r="BA261"/>
  <c r="BB261"/>
  <c r="BC261"/>
  <c r="BD261"/>
  <c r="BE261"/>
  <c r="BF261"/>
  <c r="BG261"/>
  <c r="BH261"/>
  <c r="BI261"/>
  <c r="BJ261"/>
  <c r="BK261"/>
  <c r="BL261"/>
  <c r="BM261"/>
  <c r="BN261"/>
  <c r="BO261"/>
  <c r="BP261"/>
  <c r="BQ261"/>
  <c r="BR261"/>
  <c r="BS261"/>
  <c r="BT261"/>
  <c r="BU261"/>
  <c r="BV261"/>
  <c r="BW261"/>
  <c r="BX261"/>
  <c r="BY261"/>
  <c r="BZ261"/>
  <c r="CA261"/>
  <c r="CB261"/>
  <c r="CC261"/>
  <c r="CD261"/>
  <c r="CE261"/>
  <c r="CF261"/>
  <c r="CG261"/>
  <c r="CH261"/>
  <c r="CI261"/>
  <c r="CJ261"/>
  <c r="CK261"/>
  <c r="CL261"/>
  <c r="CM261"/>
  <c r="CN261"/>
  <c r="CO261"/>
  <c r="CP261"/>
  <c r="CQ261"/>
  <c r="CR261"/>
  <c r="CS261"/>
  <c r="CT261"/>
  <c r="CU261"/>
  <c r="CV261"/>
  <c r="CW261"/>
  <c r="CX261"/>
  <c r="CY261"/>
  <c r="CZ261"/>
  <c r="DA261"/>
  <c r="DB261"/>
  <c r="DC261"/>
  <c r="DD261"/>
  <c r="DE261"/>
  <c r="DF261"/>
  <c r="DG261"/>
  <c r="DH261"/>
  <c r="DI261"/>
  <c r="DJ261"/>
  <c r="DK261"/>
  <c r="DL261"/>
  <c r="DM261"/>
  <c r="DN261"/>
  <c r="DO261"/>
  <c r="DP261"/>
  <c r="DQ261"/>
  <c r="DR261"/>
  <c r="DS261"/>
  <c r="DT261"/>
  <c r="DU261"/>
  <c r="DV261"/>
  <c r="DW261"/>
  <c r="DX261"/>
  <c r="DY261"/>
  <c r="DZ261"/>
  <c r="EA261"/>
  <c r="EB261"/>
  <c r="EC261"/>
  <c r="ED261"/>
  <c r="EE261"/>
  <c r="EF261"/>
  <c r="EG261"/>
  <c r="EH261"/>
  <c r="EI261"/>
  <c r="EJ261"/>
  <c r="EK261"/>
  <c r="EL261"/>
  <c r="EM261"/>
  <c r="EN261"/>
  <c r="EO261"/>
  <c r="EP261"/>
  <c r="EQ261"/>
  <c r="ER261"/>
  <c r="ES261"/>
  <c r="ET261"/>
  <c r="EU261"/>
  <c r="EV261"/>
  <c r="EW261"/>
  <c r="EX261"/>
  <c r="EY261"/>
  <c r="EZ261"/>
  <c r="FA261"/>
  <c r="FB261"/>
  <c r="FC261"/>
  <c r="FD261"/>
  <c r="FE261"/>
  <c r="FF261"/>
  <c r="FG261"/>
  <c r="FH261"/>
  <c r="FI261"/>
  <c r="FJ261"/>
  <c r="FK261"/>
  <c r="FL261"/>
  <c r="FM261"/>
  <c r="FN261"/>
  <c r="FO261"/>
  <c r="FP261"/>
  <c r="FQ261"/>
  <c r="FR261"/>
  <c r="FS261"/>
  <c r="FT261"/>
  <c r="FU261"/>
  <c r="FV261"/>
  <c r="FW261"/>
  <c r="FX261"/>
  <c r="FY261"/>
  <c r="FZ261"/>
  <c r="GA261"/>
  <c r="GB261"/>
  <c r="GC261"/>
  <c r="GD261"/>
  <c r="GE261"/>
  <c r="GF261"/>
  <c r="GG261"/>
  <c r="GH261"/>
  <c r="GI261"/>
  <c r="GJ261"/>
  <c r="GK261"/>
  <c r="GL261"/>
  <c r="GM261"/>
  <c r="GN261"/>
  <c r="GO261"/>
  <c r="GP261"/>
  <c r="GQ261"/>
  <c r="GR261"/>
  <c r="GS261"/>
  <c r="GT261"/>
  <c r="GU261"/>
  <c r="GV261"/>
  <c r="GW261"/>
  <c r="GX261"/>
  <c r="GY261"/>
  <c r="GZ261"/>
  <c r="HA261"/>
  <c r="HB261"/>
  <c r="HC261"/>
  <c r="HD261"/>
  <c r="HE261"/>
  <c r="HF261"/>
  <c r="HG261"/>
  <c r="HH261"/>
  <c r="HI261"/>
  <c r="HJ261"/>
  <c r="HK261"/>
  <c r="HL261"/>
  <c r="HM261"/>
  <c r="HN261"/>
  <c r="HO261"/>
  <c r="HP261"/>
  <c r="HQ261"/>
  <c r="HR261"/>
  <c r="HS261"/>
  <c r="HT261"/>
  <c r="HU261"/>
  <c r="HV261"/>
  <c r="HW261"/>
  <c r="HX261"/>
  <c r="HY261"/>
  <c r="HZ261"/>
  <c r="IA261"/>
  <c r="IB261"/>
  <c r="IC261"/>
  <c r="ID261"/>
  <c r="IE261"/>
  <c r="IF261"/>
  <c r="IG261"/>
  <c r="IH261"/>
  <c r="II261"/>
  <c r="IJ261"/>
  <c r="IK261"/>
  <c r="IL261"/>
  <c r="IM261"/>
  <c r="IN261"/>
  <c r="IO261"/>
  <c r="IP261"/>
  <c r="IQ261"/>
  <c r="IR261"/>
  <c r="IS261"/>
  <c r="IT261"/>
  <c r="IU261"/>
  <c r="IV261"/>
  <c r="A260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AV260"/>
  <c r="AW260"/>
  <c r="AX260"/>
  <c r="AY260"/>
  <c r="AZ260"/>
  <c r="BA260"/>
  <c r="BB260"/>
  <c r="BC260"/>
  <c r="BD260"/>
  <c r="BE260"/>
  <c r="BF260"/>
  <c r="BG260"/>
  <c r="BH260"/>
  <c r="BI260"/>
  <c r="BJ260"/>
  <c r="BK260"/>
  <c r="BL260"/>
  <c r="BM260"/>
  <c r="BN260"/>
  <c r="BO260"/>
  <c r="BP260"/>
  <c r="BQ260"/>
  <c r="BR260"/>
  <c r="BS260"/>
  <c r="BT260"/>
  <c r="BU260"/>
  <c r="BV260"/>
  <c r="BW260"/>
  <c r="BX260"/>
  <c r="BY260"/>
  <c r="BZ260"/>
  <c r="CA260"/>
  <c r="CB260"/>
  <c r="CC260"/>
  <c r="CD260"/>
  <c r="CE260"/>
  <c r="CF260"/>
  <c r="CG260"/>
  <c r="CH260"/>
  <c r="CI260"/>
  <c r="CJ260"/>
  <c r="CK260"/>
  <c r="CL260"/>
  <c r="CM260"/>
  <c r="CN260"/>
  <c r="CO260"/>
  <c r="CP260"/>
  <c r="CQ260"/>
  <c r="CR260"/>
  <c r="CS260"/>
  <c r="CT260"/>
  <c r="CU260"/>
  <c r="CV260"/>
  <c r="CW260"/>
  <c r="CX260"/>
  <c r="CY260"/>
  <c r="CZ260"/>
  <c r="DA260"/>
  <c r="DB260"/>
  <c r="DC260"/>
  <c r="DD260"/>
  <c r="DE260"/>
  <c r="DF260"/>
  <c r="DG260"/>
  <c r="DH260"/>
  <c r="DI260"/>
  <c r="DJ260"/>
  <c r="DK260"/>
  <c r="DL260"/>
  <c r="DM260"/>
  <c r="DN260"/>
  <c r="DO260"/>
  <c r="DP260"/>
  <c r="DQ260"/>
  <c r="DR260"/>
  <c r="DS260"/>
  <c r="DT260"/>
  <c r="DU260"/>
  <c r="DV260"/>
  <c r="DW260"/>
  <c r="DX260"/>
  <c r="DY260"/>
  <c r="DZ260"/>
  <c r="EA260"/>
  <c r="EB260"/>
  <c r="EC260"/>
  <c r="ED260"/>
  <c r="EE260"/>
  <c r="EF260"/>
  <c r="EG260"/>
  <c r="EH260"/>
  <c r="EI260"/>
  <c r="EJ260"/>
  <c r="EK260"/>
  <c r="EL260"/>
  <c r="EM260"/>
  <c r="EN260"/>
  <c r="EO260"/>
  <c r="EP260"/>
  <c r="EQ260"/>
  <c r="ER260"/>
  <c r="ES260"/>
  <c r="ET260"/>
  <c r="EU260"/>
  <c r="EV260"/>
  <c r="EW260"/>
  <c r="EX260"/>
  <c r="EY260"/>
  <c r="EZ260"/>
  <c r="FA260"/>
  <c r="FB260"/>
  <c r="FC260"/>
  <c r="FD260"/>
  <c r="FE260"/>
  <c r="FF260"/>
  <c r="FG260"/>
  <c r="FH260"/>
  <c r="FI260"/>
  <c r="FJ260"/>
  <c r="FK260"/>
  <c r="FL260"/>
  <c r="FM260"/>
  <c r="FN260"/>
  <c r="FO260"/>
  <c r="FP260"/>
  <c r="FQ260"/>
  <c r="FR260"/>
  <c r="FS260"/>
  <c r="FT260"/>
  <c r="FU260"/>
  <c r="FV260"/>
  <c r="FW260"/>
  <c r="FX260"/>
  <c r="FY260"/>
  <c r="FZ260"/>
  <c r="GA260"/>
  <c r="GB260"/>
  <c r="GC260"/>
  <c r="GD260"/>
  <c r="GE260"/>
  <c r="GF260"/>
  <c r="GG260"/>
  <c r="GH260"/>
  <c r="GI260"/>
  <c r="GJ260"/>
  <c r="GK260"/>
  <c r="GL260"/>
  <c r="GM260"/>
  <c r="GN260"/>
  <c r="GO260"/>
  <c r="GP260"/>
  <c r="GQ260"/>
  <c r="GR260"/>
  <c r="GS260"/>
  <c r="GT260"/>
  <c r="GU260"/>
  <c r="GV260"/>
  <c r="GW260"/>
  <c r="GX260"/>
  <c r="GY260"/>
  <c r="GZ260"/>
  <c r="HA260"/>
  <c r="HB260"/>
  <c r="HC260"/>
  <c r="HD260"/>
  <c r="HE260"/>
  <c r="HF260"/>
  <c r="HG260"/>
  <c r="HH260"/>
  <c r="HI260"/>
  <c r="HJ260"/>
  <c r="HK260"/>
  <c r="HL260"/>
  <c r="HM260"/>
  <c r="HN260"/>
  <c r="HO260"/>
  <c r="HP260"/>
  <c r="HQ260"/>
  <c r="HR260"/>
  <c r="HS260"/>
  <c r="HT260"/>
  <c r="HU260"/>
  <c r="HV260"/>
  <c r="HW260"/>
  <c r="HX260"/>
  <c r="HY260"/>
  <c r="HZ260"/>
  <c r="IA260"/>
  <c r="IB260"/>
  <c r="IC260"/>
  <c r="ID260"/>
  <c r="IE260"/>
  <c r="IF260"/>
  <c r="IG260"/>
  <c r="IH260"/>
  <c r="II260"/>
  <c r="IJ260"/>
  <c r="IK260"/>
  <c r="IL260"/>
  <c r="IM260"/>
  <c r="IN260"/>
  <c r="IO260"/>
  <c r="IP260"/>
  <c r="IQ260"/>
  <c r="IR260"/>
  <c r="IS260"/>
  <c r="IT260"/>
  <c r="IU260"/>
  <c r="IV260"/>
  <c r="A259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AV259"/>
  <c r="AW259"/>
  <c r="AX259"/>
  <c r="AY259"/>
  <c r="AZ259"/>
  <c r="BA259"/>
  <c r="BB259"/>
  <c r="BC259"/>
  <c r="BD259"/>
  <c r="BE259"/>
  <c r="BF259"/>
  <c r="BG259"/>
  <c r="BH259"/>
  <c r="BI259"/>
  <c r="BJ259"/>
  <c r="BK259"/>
  <c r="BL259"/>
  <c r="BM259"/>
  <c r="BN259"/>
  <c r="BO259"/>
  <c r="BP259"/>
  <c r="BQ259"/>
  <c r="BR259"/>
  <c r="BS259"/>
  <c r="BT259"/>
  <c r="BU259"/>
  <c r="BV259"/>
  <c r="BW259"/>
  <c r="BX259"/>
  <c r="BY259"/>
  <c r="BZ259"/>
  <c r="CA259"/>
  <c r="CB259"/>
  <c r="CC259"/>
  <c r="CD259"/>
  <c r="CE259"/>
  <c r="CF259"/>
  <c r="CG259"/>
  <c r="CH259"/>
  <c r="CI259"/>
  <c r="CJ259"/>
  <c r="CK259"/>
  <c r="CL259"/>
  <c r="CM259"/>
  <c r="CN259"/>
  <c r="CO259"/>
  <c r="CP259"/>
  <c r="CQ259"/>
  <c r="CR259"/>
  <c r="CS259"/>
  <c r="CT259"/>
  <c r="CU259"/>
  <c r="CV259"/>
  <c r="CW259"/>
  <c r="CX259"/>
  <c r="CY259"/>
  <c r="CZ259"/>
  <c r="DA259"/>
  <c r="DB259"/>
  <c r="DC259"/>
  <c r="DD259"/>
  <c r="DE259"/>
  <c r="DF259"/>
  <c r="DG259"/>
  <c r="DH259"/>
  <c r="DI259"/>
  <c r="DJ259"/>
  <c r="DK259"/>
  <c r="DL259"/>
  <c r="DM259"/>
  <c r="DN259"/>
  <c r="DO259"/>
  <c r="DP259"/>
  <c r="DQ259"/>
  <c r="DR259"/>
  <c r="DS259"/>
  <c r="DT259"/>
  <c r="DU259"/>
  <c r="DV259"/>
  <c r="DW259"/>
  <c r="DX259"/>
  <c r="DY259"/>
  <c r="DZ259"/>
  <c r="EA259"/>
  <c r="EB259"/>
  <c r="EC259"/>
  <c r="ED259"/>
  <c r="EE259"/>
  <c r="EF259"/>
  <c r="EG259"/>
  <c r="EH259"/>
  <c r="EI259"/>
  <c r="EJ259"/>
  <c r="EK259"/>
  <c r="EL259"/>
  <c r="EM259"/>
  <c r="EN259"/>
  <c r="EO259"/>
  <c r="EP259"/>
  <c r="EQ259"/>
  <c r="ER259"/>
  <c r="ES259"/>
  <c r="ET259"/>
  <c r="EU259"/>
  <c r="EV259"/>
  <c r="EW259"/>
  <c r="EX259"/>
  <c r="EY259"/>
  <c r="EZ259"/>
  <c r="FA259"/>
  <c r="FB259"/>
  <c r="FC259"/>
  <c r="FD259"/>
  <c r="FE259"/>
  <c r="FF259"/>
  <c r="FG259"/>
  <c r="FH259"/>
  <c r="FI259"/>
  <c r="FJ259"/>
  <c r="FK259"/>
  <c r="FL259"/>
  <c r="FM259"/>
  <c r="FN259"/>
  <c r="FO259"/>
  <c r="FP259"/>
  <c r="FQ259"/>
  <c r="FR259"/>
  <c r="FS259"/>
  <c r="FT259"/>
  <c r="FU259"/>
  <c r="FV259"/>
  <c r="FW259"/>
  <c r="FX259"/>
  <c r="FY259"/>
  <c r="FZ259"/>
  <c r="GA259"/>
  <c r="GB259"/>
  <c r="GC259"/>
  <c r="GD259"/>
  <c r="GE259"/>
  <c r="GF259"/>
  <c r="GG259"/>
  <c r="GH259"/>
  <c r="GI259"/>
  <c r="GJ259"/>
  <c r="GK259"/>
  <c r="GL259"/>
  <c r="GM259"/>
  <c r="GN259"/>
  <c r="GO259"/>
  <c r="GP259"/>
  <c r="GQ259"/>
  <c r="GR259"/>
  <c r="GS259"/>
  <c r="GT259"/>
  <c r="GU259"/>
  <c r="GV259"/>
  <c r="GW259"/>
  <c r="GX259"/>
  <c r="GY259"/>
  <c r="GZ259"/>
  <c r="HA259"/>
  <c r="HB259"/>
  <c r="HC259"/>
  <c r="HD259"/>
  <c r="HE259"/>
  <c r="HF259"/>
  <c r="HG259"/>
  <c r="HH259"/>
  <c r="HI259"/>
  <c r="HJ259"/>
  <c r="HK259"/>
  <c r="HL259"/>
  <c r="HM259"/>
  <c r="HN259"/>
  <c r="HO259"/>
  <c r="HP259"/>
  <c r="HQ259"/>
  <c r="HR259"/>
  <c r="HS259"/>
  <c r="HT259"/>
  <c r="HU259"/>
  <c r="HV259"/>
  <c r="HW259"/>
  <c r="HX259"/>
  <c r="HY259"/>
  <c r="HZ259"/>
  <c r="IA259"/>
  <c r="IB259"/>
  <c r="IC259"/>
  <c r="ID259"/>
  <c r="IE259"/>
  <c r="IF259"/>
  <c r="IG259"/>
  <c r="IH259"/>
  <c r="II259"/>
  <c r="IJ259"/>
  <c r="IK259"/>
  <c r="IL259"/>
  <c r="IM259"/>
  <c r="IN259"/>
  <c r="IO259"/>
  <c r="IP259"/>
  <c r="IQ259"/>
  <c r="IR259"/>
  <c r="IS259"/>
  <c r="IT259"/>
  <c r="IU259"/>
  <c r="IV259"/>
  <c r="A258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AV258"/>
  <c r="AW258"/>
  <c r="AX258"/>
  <c r="AY258"/>
  <c r="AZ258"/>
  <c r="BA258"/>
  <c r="BB258"/>
  <c r="BC258"/>
  <c r="BD258"/>
  <c r="BE258"/>
  <c r="BF258"/>
  <c r="BG258"/>
  <c r="BH258"/>
  <c r="BI258"/>
  <c r="BJ258"/>
  <c r="BK258"/>
  <c r="BL258"/>
  <c r="BM258"/>
  <c r="BN258"/>
  <c r="BO258"/>
  <c r="BP258"/>
  <c r="BQ258"/>
  <c r="BR258"/>
  <c r="BS258"/>
  <c r="BT258"/>
  <c r="BU258"/>
  <c r="BV258"/>
  <c r="BW258"/>
  <c r="BX258"/>
  <c r="BY258"/>
  <c r="BZ258"/>
  <c r="CA258"/>
  <c r="CB258"/>
  <c r="CC258"/>
  <c r="CD258"/>
  <c r="CE258"/>
  <c r="CF258"/>
  <c r="CG258"/>
  <c r="CH258"/>
  <c r="CI258"/>
  <c r="CJ258"/>
  <c r="CK258"/>
  <c r="CL258"/>
  <c r="CM258"/>
  <c r="CN258"/>
  <c r="CO258"/>
  <c r="CP258"/>
  <c r="CQ258"/>
  <c r="CR258"/>
  <c r="CS258"/>
  <c r="CT258"/>
  <c r="CU258"/>
  <c r="CV258"/>
  <c r="CW258"/>
  <c r="CX258"/>
  <c r="CY258"/>
  <c r="CZ258"/>
  <c r="DA258"/>
  <c r="DB258"/>
  <c r="DC258"/>
  <c r="DD258"/>
  <c r="DE258"/>
  <c r="DF258"/>
  <c r="DG258"/>
  <c r="DH258"/>
  <c r="DI258"/>
  <c r="DJ258"/>
  <c r="DK258"/>
  <c r="DL258"/>
  <c r="DM258"/>
  <c r="DN258"/>
  <c r="DO258"/>
  <c r="DP258"/>
  <c r="DQ258"/>
  <c r="DR258"/>
  <c r="DS258"/>
  <c r="DT258"/>
  <c r="DU258"/>
  <c r="DV258"/>
  <c r="DW258"/>
  <c r="DX258"/>
  <c r="DY258"/>
  <c r="DZ258"/>
  <c r="EA258"/>
  <c r="EB258"/>
  <c r="EC258"/>
  <c r="ED258"/>
  <c r="EE258"/>
  <c r="EF258"/>
  <c r="EG258"/>
  <c r="EH258"/>
  <c r="EI258"/>
  <c r="EJ258"/>
  <c r="EK258"/>
  <c r="EL258"/>
  <c r="EM258"/>
  <c r="EN258"/>
  <c r="EO258"/>
  <c r="EP258"/>
  <c r="EQ258"/>
  <c r="ER258"/>
  <c r="ES258"/>
  <c r="ET258"/>
  <c r="EU258"/>
  <c r="EV258"/>
  <c r="EW258"/>
  <c r="EX258"/>
  <c r="EY258"/>
  <c r="EZ258"/>
  <c r="FA258"/>
  <c r="FB258"/>
  <c r="FC258"/>
  <c r="FD258"/>
  <c r="FE258"/>
  <c r="FF258"/>
  <c r="FG258"/>
  <c r="FH258"/>
  <c r="FI258"/>
  <c r="FJ258"/>
  <c r="FK258"/>
  <c r="FL258"/>
  <c r="FM258"/>
  <c r="FN258"/>
  <c r="FO258"/>
  <c r="FP258"/>
  <c r="FQ258"/>
  <c r="FR258"/>
  <c r="FS258"/>
  <c r="FT258"/>
  <c r="FU258"/>
  <c r="FV258"/>
  <c r="FW258"/>
  <c r="FX258"/>
  <c r="FY258"/>
  <c r="FZ258"/>
  <c r="GA258"/>
  <c r="GB258"/>
  <c r="GC258"/>
  <c r="GD258"/>
  <c r="GE258"/>
  <c r="GF258"/>
  <c r="GG258"/>
  <c r="GH258"/>
  <c r="GI258"/>
  <c r="GJ258"/>
  <c r="GK258"/>
  <c r="GL258"/>
  <c r="GM258"/>
  <c r="GN258"/>
  <c r="GO258"/>
  <c r="GP258"/>
  <c r="GQ258"/>
  <c r="GR258"/>
  <c r="GS258"/>
  <c r="GT258"/>
  <c r="GU258"/>
  <c r="GV258"/>
  <c r="GW258"/>
  <c r="GX258"/>
  <c r="GY258"/>
  <c r="GZ258"/>
  <c r="HA258"/>
  <c r="HB258"/>
  <c r="HC258"/>
  <c r="HD258"/>
  <c r="HE258"/>
  <c r="HF258"/>
  <c r="HG258"/>
  <c r="HH258"/>
  <c r="HI258"/>
  <c r="HJ258"/>
  <c r="HK258"/>
  <c r="HL258"/>
  <c r="HM258"/>
  <c r="HN258"/>
  <c r="HO258"/>
  <c r="HP258"/>
  <c r="HQ258"/>
  <c r="HR258"/>
  <c r="HS258"/>
  <c r="HT258"/>
  <c r="HU258"/>
  <c r="HV258"/>
  <c r="HW258"/>
  <c r="HX258"/>
  <c r="HY258"/>
  <c r="HZ258"/>
  <c r="IA258"/>
  <c r="IB258"/>
  <c r="IC258"/>
  <c r="ID258"/>
  <c r="IE258"/>
  <c r="IF258"/>
  <c r="IG258"/>
  <c r="IH258"/>
  <c r="II258"/>
  <c r="IJ258"/>
  <c r="IK258"/>
  <c r="IL258"/>
  <c r="IM258"/>
  <c r="IN258"/>
  <c r="IO258"/>
  <c r="IP258"/>
  <c r="IQ258"/>
  <c r="IR258"/>
  <c r="IS258"/>
  <c r="IT258"/>
  <c r="IU258"/>
  <c r="IV258"/>
  <c r="A257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AV257"/>
  <c r="AW257"/>
  <c r="AX257"/>
  <c r="AY257"/>
  <c r="AZ257"/>
  <c r="BA257"/>
  <c r="BB257"/>
  <c r="BC257"/>
  <c r="BD257"/>
  <c r="BE257"/>
  <c r="BF257"/>
  <c r="BG257"/>
  <c r="BH257"/>
  <c r="BI257"/>
  <c r="BJ257"/>
  <c r="BK257"/>
  <c r="BL257"/>
  <c r="BM257"/>
  <c r="BN257"/>
  <c r="BO257"/>
  <c r="BP257"/>
  <c r="BQ257"/>
  <c r="BR257"/>
  <c r="BS257"/>
  <c r="BT257"/>
  <c r="BU257"/>
  <c r="BV257"/>
  <c r="BW257"/>
  <c r="BX257"/>
  <c r="BY257"/>
  <c r="BZ257"/>
  <c r="CA257"/>
  <c r="CB257"/>
  <c r="CC257"/>
  <c r="CD257"/>
  <c r="CE257"/>
  <c r="CF257"/>
  <c r="CG257"/>
  <c r="CH257"/>
  <c r="CI257"/>
  <c r="CJ257"/>
  <c r="CK257"/>
  <c r="CL257"/>
  <c r="CM257"/>
  <c r="CN257"/>
  <c r="CO257"/>
  <c r="CP257"/>
  <c r="CQ257"/>
  <c r="CR257"/>
  <c r="CS257"/>
  <c r="CT257"/>
  <c r="CU257"/>
  <c r="CV257"/>
  <c r="CW257"/>
  <c r="CX257"/>
  <c r="CY257"/>
  <c r="CZ257"/>
  <c r="DA257"/>
  <c r="DB257"/>
  <c r="DC257"/>
  <c r="DD257"/>
  <c r="DE257"/>
  <c r="DF257"/>
  <c r="DG257"/>
  <c r="DH257"/>
  <c r="DI257"/>
  <c r="DJ257"/>
  <c r="DK257"/>
  <c r="DL257"/>
  <c r="DM257"/>
  <c r="DN257"/>
  <c r="DO257"/>
  <c r="DP257"/>
  <c r="DQ257"/>
  <c r="DR257"/>
  <c r="DS257"/>
  <c r="DT257"/>
  <c r="DU257"/>
  <c r="DV257"/>
  <c r="DW257"/>
  <c r="DX257"/>
  <c r="DY257"/>
  <c r="DZ257"/>
  <c r="EA257"/>
  <c r="EB257"/>
  <c r="EC257"/>
  <c r="ED257"/>
  <c r="EE257"/>
  <c r="EF257"/>
  <c r="EG257"/>
  <c r="EH257"/>
  <c r="EI257"/>
  <c r="EJ257"/>
  <c r="EK257"/>
  <c r="EL257"/>
  <c r="EM257"/>
  <c r="EN257"/>
  <c r="EO257"/>
  <c r="EP257"/>
  <c r="EQ257"/>
  <c r="ER257"/>
  <c r="ES257"/>
  <c r="ET257"/>
  <c r="EU257"/>
  <c r="EV257"/>
  <c r="EW257"/>
  <c r="EX257"/>
  <c r="EY257"/>
  <c r="EZ257"/>
  <c r="FA257"/>
  <c r="FB257"/>
  <c r="FC257"/>
  <c r="FD257"/>
  <c r="FE257"/>
  <c r="FF257"/>
  <c r="FG257"/>
  <c r="FH257"/>
  <c r="FI257"/>
  <c r="FJ257"/>
  <c r="FK257"/>
  <c r="FL257"/>
  <c r="FM257"/>
  <c r="FN257"/>
  <c r="FO257"/>
  <c r="FP257"/>
  <c r="FQ257"/>
  <c r="FR257"/>
  <c r="FS257"/>
  <c r="FT257"/>
  <c r="FU257"/>
  <c r="FV257"/>
  <c r="FW257"/>
  <c r="FX257"/>
  <c r="FY257"/>
  <c r="FZ257"/>
  <c r="GA257"/>
  <c r="GB257"/>
  <c r="GC257"/>
  <c r="GD257"/>
  <c r="GE257"/>
  <c r="GF257"/>
  <c r="GG257"/>
  <c r="GH257"/>
  <c r="GI257"/>
  <c r="GJ257"/>
  <c r="GK257"/>
  <c r="GL257"/>
  <c r="GM257"/>
  <c r="GN257"/>
  <c r="GO257"/>
  <c r="GP257"/>
  <c r="GQ257"/>
  <c r="GR257"/>
  <c r="GS257"/>
  <c r="GT257"/>
  <c r="GU257"/>
  <c r="GV257"/>
  <c r="GW257"/>
  <c r="GX257"/>
  <c r="GY257"/>
  <c r="GZ257"/>
  <c r="HA257"/>
  <c r="HB257"/>
  <c r="HC257"/>
  <c r="HD257"/>
  <c r="HE257"/>
  <c r="HF257"/>
  <c r="HG257"/>
  <c r="HH257"/>
  <c r="HI257"/>
  <c r="HJ257"/>
  <c r="HK257"/>
  <c r="HL257"/>
  <c r="HM257"/>
  <c r="HN257"/>
  <c r="HO257"/>
  <c r="HP257"/>
  <c r="HQ257"/>
  <c r="HR257"/>
  <c r="HS257"/>
  <c r="HT257"/>
  <c r="HU257"/>
  <c r="HV257"/>
  <c r="HW257"/>
  <c r="HX257"/>
  <c r="HY257"/>
  <c r="HZ257"/>
  <c r="IA257"/>
  <c r="IB257"/>
  <c r="IC257"/>
  <c r="ID257"/>
  <c r="IE257"/>
  <c r="IF257"/>
  <c r="IG257"/>
  <c r="IH257"/>
  <c r="II257"/>
  <c r="IJ257"/>
  <c r="IK257"/>
  <c r="IL257"/>
  <c r="IM257"/>
  <c r="IN257"/>
  <c r="IO257"/>
  <c r="IP257"/>
  <c r="IQ257"/>
  <c r="IR257"/>
  <c r="IS257"/>
  <c r="IT257"/>
  <c r="IU257"/>
  <c r="IV257"/>
  <c r="A256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Y256"/>
  <c r="AZ256"/>
  <c r="BA256"/>
  <c r="BB256"/>
  <c r="BC256"/>
  <c r="BD256"/>
  <c r="BE256"/>
  <c r="BF256"/>
  <c r="BG256"/>
  <c r="BH256"/>
  <c r="BI256"/>
  <c r="BJ256"/>
  <c r="BK256"/>
  <c r="BL256"/>
  <c r="BM256"/>
  <c r="BN256"/>
  <c r="BO256"/>
  <c r="BP256"/>
  <c r="BQ256"/>
  <c r="BR256"/>
  <c r="BS256"/>
  <c r="BT256"/>
  <c r="BU256"/>
  <c r="BV256"/>
  <c r="BW256"/>
  <c r="BX256"/>
  <c r="BY256"/>
  <c r="BZ256"/>
  <c r="CA256"/>
  <c r="CB256"/>
  <c r="CC256"/>
  <c r="CD256"/>
  <c r="CE256"/>
  <c r="CF256"/>
  <c r="CG256"/>
  <c r="CH256"/>
  <c r="CI256"/>
  <c r="CJ256"/>
  <c r="CK256"/>
  <c r="CL256"/>
  <c r="CM256"/>
  <c r="CN256"/>
  <c r="CO256"/>
  <c r="CP256"/>
  <c r="CQ256"/>
  <c r="CR256"/>
  <c r="CS256"/>
  <c r="CT256"/>
  <c r="CU256"/>
  <c r="CV256"/>
  <c r="CW256"/>
  <c r="CX256"/>
  <c r="CY256"/>
  <c r="CZ256"/>
  <c r="DA256"/>
  <c r="DB256"/>
  <c r="DC256"/>
  <c r="DD256"/>
  <c r="DE256"/>
  <c r="DF256"/>
  <c r="DG256"/>
  <c r="DH256"/>
  <c r="DI256"/>
  <c r="DJ256"/>
  <c r="DK256"/>
  <c r="DL256"/>
  <c r="DM256"/>
  <c r="DN256"/>
  <c r="DO256"/>
  <c r="DP256"/>
  <c r="DQ256"/>
  <c r="DR256"/>
  <c r="DS256"/>
  <c r="DT256"/>
  <c r="DU256"/>
  <c r="DV256"/>
  <c r="DW256"/>
  <c r="DX256"/>
  <c r="DY256"/>
  <c r="DZ256"/>
  <c r="EA256"/>
  <c r="EB256"/>
  <c r="EC256"/>
  <c r="ED256"/>
  <c r="EE256"/>
  <c r="EF256"/>
  <c r="EG256"/>
  <c r="EH256"/>
  <c r="EI256"/>
  <c r="EJ256"/>
  <c r="EK256"/>
  <c r="EL256"/>
  <c r="EM256"/>
  <c r="EN256"/>
  <c r="EO256"/>
  <c r="EP256"/>
  <c r="EQ256"/>
  <c r="ER256"/>
  <c r="ES256"/>
  <c r="ET256"/>
  <c r="EU256"/>
  <c r="EV256"/>
  <c r="EW256"/>
  <c r="EX256"/>
  <c r="EY256"/>
  <c r="EZ256"/>
  <c r="FA256"/>
  <c r="FB256"/>
  <c r="FC256"/>
  <c r="FD256"/>
  <c r="FE256"/>
  <c r="FF256"/>
  <c r="FG256"/>
  <c r="FH256"/>
  <c r="FI256"/>
  <c r="FJ256"/>
  <c r="FK256"/>
  <c r="FL256"/>
  <c r="FM256"/>
  <c r="FN256"/>
  <c r="FO256"/>
  <c r="FP256"/>
  <c r="FQ256"/>
  <c r="FR256"/>
  <c r="FS256"/>
  <c r="FT256"/>
  <c r="FU256"/>
  <c r="FV256"/>
  <c r="FW256"/>
  <c r="FX256"/>
  <c r="FY256"/>
  <c r="FZ256"/>
  <c r="GA256"/>
  <c r="GB256"/>
  <c r="GC256"/>
  <c r="GD256"/>
  <c r="GE256"/>
  <c r="GF256"/>
  <c r="GG256"/>
  <c r="GH256"/>
  <c r="GI256"/>
  <c r="GJ256"/>
  <c r="GK256"/>
  <c r="GL256"/>
  <c r="GM256"/>
  <c r="GN256"/>
  <c r="GO256"/>
  <c r="GP256"/>
  <c r="GQ256"/>
  <c r="GR256"/>
  <c r="GS256"/>
  <c r="GT256"/>
  <c r="GU256"/>
  <c r="GV256"/>
  <c r="GW256"/>
  <c r="GX256"/>
  <c r="GY256"/>
  <c r="GZ256"/>
  <c r="HA256"/>
  <c r="HB256"/>
  <c r="HC256"/>
  <c r="HD256"/>
  <c r="HE256"/>
  <c r="HF256"/>
  <c r="HG256"/>
  <c r="HH256"/>
  <c r="HI256"/>
  <c r="HJ256"/>
  <c r="HK256"/>
  <c r="HL256"/>
  <c r="HM256"/>
  <c r="HN256"/>
  <c r="HO256"/>
  <c r="HP256"/>
  <c r="HQ256"/>
  <c r="HR256"/>
  <c r="HS256"/>
  <c r="HT256"/>
  <c r="HU256"/>
  <c r="HV256"/>
  <c r="HW256"/>
  <c r="HX256"/>
  <c r="HY256"/>
  <c r="HZ256"/>
  <c r="IA256"/>
  <c r="IB256"/>
  <c r="IC256"/>
  <c r="ID256"/>
  <c r="IE256"/>
  <c r="IF256"/>
  <c r="IG256"/>
  <c r="IH256"/>
  <c r="II256"/>
  <c r="IJ256"/>
  <c r="IK256"/>
  <c r="IL256"/>
  <c r="IM256"/>
  <c r="IN256"/>
  <c r="IO256"/>
  <c r="IP256"/>
  <c r="IQ256"/>
  <c r="IR256"/>
  <c r="IS256"/>
  <c r="IT256"/>
  <c r="IU256"/>
  <c r="IV256"/>
  <c r="A255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AV255"/>
  <c r="AW255"/>
  <c r="AX255"/>
  <c r="AY255"/>
  <c r="AZ255"/>
  <c r="BA255"/>
  <c r="BB255"/>
  <c r="BC255"/>
  <c r="BD255"/>
  <c r="BE255"/>
  <c r="BF255"/>
  <c r="BG255"/>
  <c r="BH255"/>
  <c r="BI255"/>
  <c r="BJ255"/>
  <c r="BK255"/>
  <c r="BL255"/>
  <c r="BM255"/>
  <c r="BN255"/>
  <c r="BO255"/>
  <c r="BP255"/>
  <c r="BQ255"/>
  <c r="BR255"/>
  <c r="BS255"/>
  <c r="BT255"/>
  <c r="BU255"/>
  <c r="BV255"/>
  <c r="BW255"/>
  <c r="BX255"/>
  <c r="BY255"/>
  <c r="BZ255"/>
  <c r="CA255"/>
  <c r="CB255"/>
  <c r="CC255"/>
  <c r="CD255"/>
  <c r="CE255"/>
  <c r="CF255"/>
  <c r="CG255"/>
  <c r="CH255"/>
  <c r="CI255"/>
  <c r="CJ255"/>
  <c r="CK255"/>
  <c r="CL255"/>
  <c r="CM255"/>
  <c r="CN255"/>
  <c r="CO255"/>
  <c r="CP255"/>
  <c r="CQ255"/>
  <c r="CR255"/>
  <c r="CS255"/>
  <c r="CT255"/>
  <c r="CU255"/>
  <c r="CV255"/>
  <c r="CW255"/>
  <c r="CX255"/>
  <c r="CY255"/>
  <c r="CZ255"/>
  <c r="DA255"/>
  <c r="DB255"/>
  <c r="DC255"/>
  <c r="DD255"/>
  <c r="DE255"/>
  <c r="DF255"/>
  <c r="DG255"/>
  <c r="DH255"/>
  <c r="DI255"/>
  <c r="DJ255"/>
  <c r="DK255"/>
  <c r="DL255"/>
  <c r="DM255"/>
  <c r="DN255"/>
  <c r="DO255"/>
  <c r="DP255"/>
  <c r="DQ255"/>
  <c r="DR255"/>
  <c r="DS255"/>
  <c r="DT255"/>
  <c r="DU255"/>
  <c r="DV255"/>
  <c r="DW255"/>
  <c r="DX255"/>
  <c r="DY255"/>
  <c r="DZ255"/>
  <c r="EA255"/>
  <c r="EB255"/>
  <c r="EC255"/>
  <c r="ED255"/>
  <c r="EE255"/>
  <c r="EF255"/>
  <c r="EG255"/>
  <c r="EH255"/>
  <c r="EI255"/>
  <c r="EJ255"/>
  <c r="EK255"/>
  <c r="EL255"/>
  <c r="EM255"/>
  <c r="EN255"/>
  <c r="EO255"/>
  <c r="EP255"/>
  <c r="EQ255"/>
  <c r="ER255"/>
  <c r="ES255"/>
  <c r="ET255"/>
  <c r="EU255"/>
  <c r="EV255"/>
  <c r="EW255"/>
  <c r="EX255"/>
  <c r="EY255"/>
  <c r="EZ255"/>
  <c r="FA255"/>
  <c r="FB255"/>
  <c r="FC255"/>
  <c r="FD255"/>
  <c r="FE255"/>
  <c r="FF255"/>
  <c r="FG255"/>
  <c r="FH255"/>
  <c r="FI255"/>
  <c r="FJ255"/>
  <c r="FK255"/>
  <c r="FL255"/>
  <c r="FM255"/>
  <c r="FN255"/>
  <c r="FO255"/>
  <c r="FP255"/>
  <c r="FQ255"/>
  <c r="FR255"/>
  <c r="FS255"/>
  <c r="FT255"/>
  <c r="FU255"/>
  <c r="FV255"/>
  <c r="FW255"/>
  <c r="FX255"/>
  <c r="FY255"/>
  <c r="FZ255"/>
  <c r="GA255"/>
  <c r="GB255"/>
  <c r="GC255"/>
  <c r="GD255"/>
  <c r="GE255"/>
  <c r="GF255"/>
  <c r="GG255"/>
  <c r="GH255"/>
  <c r="GI255"/>
  <c r="GJ255"/>
  <c r="GK255"/>
  <c r="GL255"/>
  <c r="GM255"/>
  <c r="GN255"/>
  <c r="GO255"/>
  <c r="GP255"/>
  <c r="GQ255"/>
  <c r="GR255"/>
  <c r="GS255"/>
  <c r="GT255"/>
  <c r="GU255"/>
  <c r="GV255"/>
  <c r="GW255"/>
  <c r="GX255"/>
  <c r="GY255"/>
  <c r="GZ255"/>
  <c r="HA255"/>
  <c r="HB255"/>
  <c r="HC255"/>
  <c r="HD255"/>
  <c r="HE255"/>
  <c r="HF255"/>
  <c r="HG255"/>
  <c r="HH255"/>
  <c r="HI255"/>
  <c r="HJ255"/>
  <c r="HK255"/>
  <c r="HL255"/>
  <c r="HM255"/>
  <c r="HN255"/>
  <c r="HO255"/>
  <c r="HP255"/>
  <c r="HQ255"/>
  <c r="HR255"/>
  <c r="HS255"/>
  <c r="HT255"/>
  <c r="HU255"/>
  <c r="HV255"/>
  <c r="HW255"/>
  <c r="HX255"/>
  <c r="HY255"/>
  <c r="HZ255"/>
  <c r="IA255"/>
  <c r="IB255"/>
  <c r="IC255"/>
  <c r="ID255"/>
  <c r="IE255"/>
  <c r="IF255"/>
  <c r="IG255"/>
  <c r="IH255"/>
  <c r="II255"/>
  <c r="IJ255"/>
  <c r="IK255"/>
  <c r="IL255"/>
  <c r="IM255"/>
  <c r="IN255"/>
  <c r="IO255"/>
  <c r="IP255"/>
  <c r="IQ255"/>
  <c r="IR255"/>
  <c r="IS255"/>
  <c r="IT255"/>
  <c r="IU255"/>
  <c r="IV255"/>
  <c r="A254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AT254"/>
  <c r="AU254"/>
  <c r="AV254"/>
  <c r="AW254"/>
  <c r="AX254"/>
  <c r="AY254"/>
  <c r="AZ254"/>
  <c r="BA254"/>
  <c r="BB254"/>
  <c r="BC254"/>
  <c r="BD254"/>
  <c r="BE254"/>
  <c r="BF254"/>
  <c r="BG254"/>
  <c r="BH254"/>
  <c r="BI254"/>
  <c r="BJ254"/>
  <c r="BK254"/>
  <c r="BL254"/>
  <c r="BM254"/>
  <c r="BN254"/>
  <c r="BO254"/>
  <c r="BP254"/>
  <c r="BQ254"/>
  <c r="BR254"/>
  <c r="BS254"/>
  <c r="BT254"/>
  <c r="BU254"/>
  <c r="BV254"/>
  <c r="BW254"/>
  <c r="BX254"/>
  <c r="BY254"/>
  <c r="BZ254"/>
  <c r="CA254"/>
  <c r="CB254"/>
  <c r="CC254"/>
  <c r="CD254"/>
  <c r="CE254"/>
  <c r="CF254"/>
  <c r="CG254"/>
  <c r="CH254"/>
  <c r="CI254"/>
  <c r="CJ254"/>
  <c r="CK254"/>
  <c r="CL254"/>
  <c r="CM254"/>
  <c r="CN254"/>
  <c r="CO254"/>
  <c r="CP254"/>
  <c r="CQ254"/>
  <c r="CR254"/>
  <c r="CS254"/>
  <c r="CT254"/>
  <c r="CU254"/>
  <c r="CV254"/>
  <c r="CW254"/>
  <c r="CX254"/>
  <c r="CY254"/>
  <c r="CZ254"/>
  <c r="DA254"/>
  <c r="DB254"/>
  <c r="DC254"/>
  <c r="DD254"/>
  <c r="DE254"/>
  <c r="DF254"/>
  <c r="DG254"/>
  <c r="DH254"/>
  <c r="DI254"/>
  <c r="DJ254"/>
  <c r="DK254"/>
  <c r="DL254"/>
  <c r="DM254"/>
  <c r="DN254"/>
  <c r="DO254"/>
  <c r="DP254"/>
  <c r="DQ254"/>
  <c r="DR254"/>
  <c r="DS254"/>
  <c r="DT254"/>
  <c r="DU254"/>
  <c r="DV254"/>
  <c r="DW254"/>
  <c r="DX254"/>
  <c r="DY254"/>
  <c r="DZ254"/>
  <c r="EA254"/>
  <c r="EB254"/>
  <c r="EC254"/>
  <c r="ED254"/>
  <c r="EE254"/>
  <c r="EF254"/>
  <c r="EG254"/>
  <c r="EH254"/>
  <c r="EI254"/>
  <c r="EJ254"/>
  <c r="EK254"/>
  <c r="EL254"/>
  <c r="EM254"/>
  <c r="EN254"/>
  <c r="EO254"/>
  <c r="EP254"/>
  <c r="EQ254"/>
  <c r="ER254"/>
  <c r="ES254"/>
  <c r="ET254"/>
  <c r="EU254"/>
  <c r="EV254"/>
  <c r="EW254"/>
  <c r="EX254"/>
  <c r="EY254"/>
  <c r="EZ254"/>
  <c r="FA254"/>
  <c r="FB254"/>
  <c r="FC254"/>
  <c r="FD254"/>
  <c r="FE254"/>
  <c r="FF254"/>
  <c r="FG254"/>
  <c r="FH254"/>
  <c r="FI254"/>
  <c r="FJ254"/>
  <c r="FK254"/>
  <c r="FL254"/>
  <c r="FM254"/>
  <c r="FN254"/>
  <c r="FO254"/>
  <c r="FP254"/>
  <c r="FQ254"/>
  <c r="FR254"/>
  <c r="FS254"/>
  <c r="FT254"/>
  <c r="FU254"/>
  <c r="FV254"/>
  <c r="FW254"/>
  <c r="FX254"/>
  <c r="FY254"/>
  <c r="FZ254"/>
  <c r="GA254"/>
  <c r="GB254"/>
  <c r="GC254"/>
  <c r="GD254"/>
  <c r="GE254"/>
  <c r="GF254"/>
  <c r="GG254"/>
  <c r="GH254"/>
  <c r="GI254"/>
  <c r="GJ254"/>
  <c r="GK254"/>
  <c r="GL254"/>
  <c r="GM254"/>
  <c r="GN254"/>
  <c r="GO254"/>
  <c r="GP254"/>
  <c r="GQ254"/>
  <c r="GR254"/>
  <c r="GS254"/>
  <c r="GT254"/>
  <c r="GU254"/>
  <c r="GV254"/>
  <c r="GW254"/>
  <c r="GX254"/>
  <c r="GY254"/>
  <c r="GZ254"/>
  <c r="HA254"/>
  <c r="HB254"/>
  <c r="HC254"/>
  <c r="HD254"/>
  <c r="HE254"/>
  <c r="HF254"/>
  <c r="HG254"/>
  <c r="HH254"/>
  <c r="HI254"/>
  <c r="HJ254"/>
  <c r="HK254"/>
  <c r="HL254"/>
  <c r="HM254"/>
  <c r="HN254"/>
  <c r="HO254"/>
  <c r="HP254"/>
  <c r="HQ254"/>
  <c r="HR254"/>
  <c r="HS254"/>
  <c r="HT254"/>
  <c r="HU254"/>
  <c r="HV254"/>
  <c r="HW254"/>
  <c r="HX254"/>
  <c r="HY254"/>
  <c r="HZ254"/>
  <c r="IA254"/>
  <c r="IB254"/>
  <c r="IC254"/>
  <c r="ID254"/>
  <c r="IE254"/>
  <c r="IF254"/>
  <c r="IG254"/>
  <c r="IH254"/>
  <c r="II254"/>
  <c r="IJ254"/>
  <c r="IK254"/>
  <c r="IL254"/>
  <c r="IM254"/>
  <c r="IN254"/>
  <c r="IO254"/>
  <c r="IP254"/>
  <c r="IQ254"/>
  <c r="IR254"/>
  <c r="IS254"/>
  <c r="IT254"/>
  <c r="IU254"/>
  <c r="IV254"/>
  <c r="A253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AT253"/>
  <c r="AU253"/>
  <c r="AV253"/>
  <c r="AW253"/>
  <c r="AX253"/>
  <c r="AY253"/>
  <c r="AZ253"/>
  <c r="BA253"/>
  <c r="BB253"/>
  <c r="BC253"/>
  <c r="BD253"/>
  <c r="BE253"/>
  <c r="BF253"/>
  <c r="BG253"/>
  <c r="BH253"/>
  <c r="BI253"/>
  <c r="BJ253"/>
  <c r="BK253"/>
  <c r="BL253"/>
  <c r="BM253"/>
  <c r="BN253"/>
  <c r="BO253"/>
  <c r="BP253"/>
  <c r="BQ253"/>
  <c r="BR253"/>
  <c r="BS253"/>
  <c r="BT253"/>
  <c r="BU253"/>
  <c r="BV253"/>
  <c r="BW253"/>
  <c r="BX253"/>
  <c r="BY253"/>
  <c r="BZ253"/>
  <c r="CA253"/>
  <c r="CB253"/>
  <c r="CC253"/>
  <c r="CD253"/>
  <c r="CE253"/>
  <c r="CF253"/>
  <c r="CG253"/>
  <c r="CH253"/>
  <c r="CI253"/>
  <c r="CJ253"/>
  <c r="CK253"/>
  <c r="CL253"/>
  <c r="CM253"/>
  <c r="CN253"/>
  <c r="CO253"/>
  <c r="CP253"/>
  <c r="CQ253"/>
  <c r="CR253"/>
  <c r="CS253"/>
  <c r="CT253"/>
  <c r="CU253"/>
  <c r="CV253"/>
  <c r="CW253"/>
  <c r="CX253"/>
  <c r="CY253"/>
  <c r="CZ253"/>
  <c r="DA253"/>
  <c r="DB253"/>
  <c r="DC253"/>
  <c r="DD253"/>
  <c r="DE253"/>
  <c r="DF253"/>
  <c r="DG253"/>
  <c r="DH253"/>
  <c r="DI253"/>
  <c r="DJ253"/>
  <c r="DK253"/>
  <c r="DL253"/>
  <c r="DM253"/>
  <c r="DN253"/>
  <c r="DO253"/>
  <c r="DP253"/>
  <c r="DQ253"/>
  <c r="DR253"/>
  <c r="DS253"/>
  <c r="DT253"/>
  <c r="DU253"/>
  <c r="DV253"/>
  <c r="DW253"/>
  <c r="DX253"/>
  <c r="DY253"/>
  <c r="DZ253"/>
  <c r="EA253"/>
  <c r="EB253"/>
  <c r="EC253"/>
  <c r="ED253"/>
  <c r="EE253"/>
  <c r="EF253"/>
  <c r="EG253"/>
  <c r="EH253"/>
  <c r="EI253"/>
  <c r="EJ253"/>
  <c r="EK253"/>
  <c r="EL253"/>
  <c r="EM253"/>
  <c r="EN253"/>
  <c r="EO253"/>
  <c r="EP253"/>
  <c r="EQ253"/>
  <c r="ER253"/>
  <c r="ES253"/>
  <c r="ET253"/>
  <c r="EU253"/>
  <c r="EV253"/>
  <c r="EW253"/>
  <c r="EX253"/>
  <c r="EY253"/>
  <c r="EZ253"/>
  <c r="FA253"/>
  <c r="FB253"/>
  <c r="FC253"/>
  <c r="FD253"/>
  <c r="FE253"/>
  <c r="FF253"/>
  <c r="FG253"/>
  <c r="FH253"/>
  <c r="FI253"/>
  <c r="FJ253"/>
  <c r="FK253"/>
  <c r="FL253"/>
  <c r="FM253"/>
  <c r="FN253"/>
  <c r="FO253"/>
  <c r="FP253"/>
  <c r="FQ253"/>
  <c r="FR253"/>
  <c r="FS253"/>
  <c r="FT253"/>
  <c r="FU253"/>
  <c r="FV253"/>
  <c r="FW253"/>
  <c r="FX253"/>
  <c r="FY253"/>
  <c r="FZ253"/>
  <c r="GA253"/>
  <c r="GB253"/>
  <c r="GC253"/>
  <c r="GD253"/>
  <c r="GE253"/>
  <c r="GF253"/>
  <c r="GG253"/>
  <c r="GH253"/>
  <c r="GI253"/>
  <c r="GJ253"/>
  <c r="GK253"/>
  <c r="GL253"/>
  <c r="GM253"/>
  <c r="GN253"/>
  <c r="GO253"/>
  <c r="GP253"/>
  <c r="GQ253"/>
  <c r="GR253"/>
  <c r="GS253"/>
  <c r="GT253"/>
  <c r="GU253"/>
  <c r="GV253"/>
  <c r="GW253"/>
  <c r="GX253"/>
  <c r="GY253"/>
  <c r="GZ253"/>
  <c r="HA253"/>
  <c r="HB253"/>
  <c r="HC253"/>
  <c r="HD253"/>
  <c r="HE253"/>
  <c r="HF253"/>
  <c r="HG253"/>
  <c r="HH253"/>
  <c r="HI253"/>
  <c r="HJ253"/>
  <c r="HK253"/>
  <c r="HL253"/>
  <c r="HM253"/>
  <c r="HN253"/>
  <c r="HO253"/>
  <c r="HP253"/>
  <c r="HQ253"/>
  <c r="HR253"/>
  <c r="HS253"/>
  <c r="HT253"/>
  <c r="HU253"/>
  <c r="HV253"/>
  <c r="HW253"/>
  <c r="HX253"/>
  <c r="HY253"/>
  <c r="HZ253"/>
  <c r="IA253"/>
  <c r="IB253"/>
  <c r="IC253"/>
  <c r="ID253"/>
  <c r="IE253"/>
  <c r="IF253"/>
  <c r="IG253"/>
  <c r="IH253"/>
  <c r="II253"/>
  <c r="IJ253"/>
  <c r="IK253"/>
  <c r="IL253"/>
  <c r="IM253"/>
  <c r="IN253"/>
  <c r="IO253"/>
  <c r="IP253"/>
  <c r="IQ253"/>
  <c r="IR253"/>
  <c r="IS253"/>
  <c r="IT253"/>
  <c r="IU253"/>
  <c r="IV253"/>
  <c r="A252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AV252"/>
  <c r="AW252"/>
  <c r="AX252"/>
  <c r="AY252"/>
  <c r="AZ252"/>
  <c r="BA252"/>
  <c r="BB252"/>
  <c r="BC252"/>
  <c r="BD252"/>
  <c r="BE252"/>
  <c r="BF252"/>
  <c r="BG252"/>
  <c r="BH252"/>
  <c r="BI252"/>
  <c r="BJ252"/>
  <c r="BK252"/>
  <c r="BL252"/>
  <c r="BM252"/>
  <c r="BN252"/>
  <c r="BO252"/>
  <c r="BP252"/>
  <c r="BQ252"/>
  <c r="BR252"/>
  <c r="BS252"/>
  <c r="BT252"/>
  <c r="BU252"/>
  <c r="BV252"/>
  <c r="BW252"/>
  <c r="BX252"/>
  <c r="BY252"/>
  <c r="BZ252"/>
  <c r="CA252"/>
  <c r="CB252"/>
  <c r="CC252"/>
  <c r="CD252"/>
  <c r="CE252"/>
  <c r="CF252"/>
  <c r="CG252"/>
  <c r="CH252"/>
  <c r="CI252"/>
  <c r="CJ252"/>
  <c r="CK252"/>
  <c r="CL252"/>
  <c r="CM252"/>
  <c r="CN252"/>
  <c r="CO252"/>
  <c r="CP252"/>
  <c r="CQ252"/>
  <c r="CR252"/>
  <c r="CS252"/>
  <c r="CT252"/>
  <c r="CU252"/>
  <c r="CV252"/>
  <c r="CW252"/>
  <c r="CX252"/>
  <c r="CY252"/>
  <c r="CZ252"/>
  <c r="DA252"/>
  <c r="DB252"/>
  <c r="DC252"/>
  <c r="DD252"/>
  <c r="DE252"/>
  <c r="DF252"/>
  <c r="DG252"/>
  <c r="DH252"/>
  <c r="DI252"/>
  <c r="DJ252"/>
  <c r="DK252"/>
  <c r="DL252"/>
  <c r="DM252"/>
  <c r="DN252"/>
  <c r="DO252"/>
  <c r="DP252"/>
  <c r="DQ252"/>
  <c r="DR252"/>
  <c r="DS252"/>
  <c r="DT252"/>
  <c r="DU252"/>
  <c r="DV252"/>
  <c r="DW252"/>
  <c r="DX252"/>
  <c r="DY252"/>
  <c r="DZ252"/>
  <c r="EA252"/>
  <c r="EB252"/>
  <c r="EC252"/>
  <c r="ED252"/>
  <c r="EE252"/>
  <c r="EF252"/>
  <c r="EG252"/>
  <c r="EH252"/>
  <c r="EI252"/>
  <c r="EJ252"/>
  <c r="EK252"/>
  <c r="EL252"/>
  <c r="EM252"/>
  <c r="EN252"/>
  <c r="EO252"/>
  <c r="EP252"/>
  <c r="EQ252"/>
  <c r="ER252"/>
  <c r="ES252"/>
  <c r="ET252"/>
  <c r="EU252"/>
  <c r="EV252"/>
  <c r="EW252"/>
  <c r="EX252"/>
  <c r="EY252"/>
  <c r="EZ252"/>
  <c r="FA252"/>
  <c r="FB252"/>
  <c r="FC252"/>
  <c r="FD252"/>
  <c r="FE252"/>
  <c r="FF252"/>
  <c r="FG252"/>
  <c r="FH252"/>
  <c r="FI252"/>
  <c r="FJ252"/>
  <c r="FK252"/>
  <c r="FL252"/>
  <c r="FM252"/>
  <c r="FN252"/>
  <c r="FO252"/>
  <c r="FP252"/>
  <c r="FQ252"/>
  <c r="FR252"/>
  <c r="FS252"/>
  <c r="FT252"/>
  <c r="FU252"/>
  <c r="FV252"/>
  <c r="FW252"/>
  <c r="FX252"/>
  <c r="FY252"/>
  <c r="FZ252"/>
  <c r="GA252"/>
  <c r="GB252"/>
  <c r="GC252"/>
  <c r="GD252"/>
  <c r="GE252"/>
  <c r="GF252"/>
  <c r="GG252"/>
  <c r="GH252"/>
  <c r="GI252"/>
  <c r="GJ252"/>
  <c r="GK252"/>
  <c r="GL252"/>
  <c r="GM252"/>
  <c r="GN252"/>
  <c r="GO252"/>
  <c r="GP252"/>
  <c r="GQ252"/>
  <c r="GR252"/>
  <c r="GS252"/>
  <c r="GT252"/>
  <c r="GU252"/>
  <c r="GV252"/>
  <c r="GW252"/>
  <c r="GX252"/>
  <c r="GY252"/>
  <c r="GZ252"/>
  <c r="HA252"/>
  <c r="HB252"/>
  <c r="HC252"/>
  <c r="HD252"/>
  <c r="HE252"/>
  <c r="HF252"/>
  <c r="HG252"/>
  <c r="HH252"/>
  <c r="HI252"/>
  <c r="HJ252"/>
  <c r="HK252"/>
  <c r="HL252"/>
  <c r="HM252"/>
  <c r="HN252"/>
  <c r="HO252"/>
  <c r="HP252"/>
  <c r="HQ252"/>
  <c r="HR252"/>
  <c r="HS252"/>
  <c r="HT252"/>
  <c r="HU252"/>
  <c r="HV252"/>
  <c r="HW252"/>
  <c r="HX252"/>
  <c r="HY252"/>
  <c r="HZ252"/>
  <c r="IA252"/>
  <c r="IB252"/>
  <c r="IC252"/>
  <c r="ID252"/>
  <c r="IE252"/>
  <c r="IF252"/>
  <c r="IG252"/>
  <c r="IH252"/>
  <c r="II252"/>
  <c r="IJ252"/>
  <c r="IK252"/>
  <c r="IL252"/>
  <c r="IM252"/>
  <c r="IN252"/>
  <c r="IO252"/>
  <c r="IP252"/>
  <c r="IQ252"/>
  <c r="IR252"/>
  <c r="IS252"/>
  <c r="IT252"/>
  <c r="IU252"/>
  <c r="IV252"/>
  <c r="A251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AT251"/>
  <c r="AU251"/>
  <c r="AV251"/>
  <c r="AW251"/>
  <c r="AX251"/>
  <c r="AY251"/>
  <c r="AZ251"/>
  <c r="BA251"/>
  <c r="BB251"/>
  <c r="BC251"/>
  <c r="BD251"/>
  <c r="BE251"/>
  <c r="BF251"/>
  <c r="BG251"/>
  <c r="BH251"/>
  <c r="BI251"/>
  <c r="BJ251"/>
  <c r="BK251"/>
  <c r="BL251"/>
  <c r="BM251"/>
  <c r="BN251"/>
  <c r="BO251"/>
  <c r="BP251"/>
  <c r="BQ251"/>
  <c r="BR251"/>
  <c r="BS251"/>
  <c r="BT251"/>
  <c r="BU251"/>
  <c r="BV251"/>
  <c r="BW251"/>
  <c r="BX251"/>
  <c r="BY251"/>
  <c r="BZ251"/>
  <c r="CA251"/>
  <c r="CB251"/>
  <c r="CC251"/>
  <c r="CD251"/>
  <c r="CE251"/>
  <c r="CF251"/>
  <c r="CG251"/>
  <c r="CH251"/>
  <c r="CI251"/>
  <c r="CJ251"/>
  <c r="CK251"/>
  <c r="CL251"/>
  <c r="CM251"/>
  <c r="CN251"/>
  <c r="CO251"/>
  <c r="CP251"/>
  <c r="CQ251"/>
  <c r="CR251"/>
  <c r="CS251"/>
  <c r="CT251"/>
  <c r="CU251"/>
  <c r="CV251"/>
  <c r="CW251"/>
  <c r="CX251"/>
  <c r="CY251"/>
  <c r="CZ251"/>
  <c r="DA251"/>
  <c r="DB251"/>
  <c r="DC251"/>
  <c r="DD251"/>
  <c r="DE251"/>
  <c r="DF251"/>
  <c r="DG251"/>
  <c r="DH251"/>
  <c r="DI251"/>
  <c r="DJ251"/>
  <c r="DK251"/>
  <c r="DL251"/>
  <c r="DM251"/>
  <c r="DN251"/>
  <c r="DO251"/>
  <c r="DP251"/>
  <c r="DQ251"/>
  <c r="DR251"/>
  <c r="DS251"/>
  <c r="DT251"/>
  <c r="DU251"/>
  <c r="DV251"/>
  <c r="DW251"/>
  <c r="DX251"/>
  <c r="DY251"/>
  <c r="DZ251"/>
  <c r="EA251"/>
  <c r="EB251"/>
  <c r="EC251"/>
  <c r="ED251"/>
  <c r="EE251"/>
  <c r="EF251"/>
  <c r="EG251"/>
  <c r="EH251"/>
  <c r="EI251"/>
  <c r="EJ251"/>
  <c r="EK251"/>
  <c r="EL251"/>
  <c r="EM251"/>
  <c r="EN251"/>
  <c r="EO251"/>
  <c r="EP251"/>
  <c r="EQ251"/>
  <c r="ER251"/>
  <c r="ES251"/>
  <c r="ET251"/>
  <c r="EU251"/>
  <c r="EV251"/>
  <c r="EW251"/>
  <c r="EX251"/>
  <c r="EY251"/>
  <c r="EZ251"/>
  <c r="FA251"/>
  <c r="FB251"/>
  <c r="FC251"/>
  <c r="FD251"/>
  <c r="FE251"/>
  <c r="FF251"/>
  <c r="FG251"/>
  <c r="FH251"/>
  <c r="FI251"/>
  <c r="FJ251"/>
  <c r="FK251"/>
  <c r="FL251"/>
  <c r="FM251"/>
  <c r="FN251"/>
  <c r="FO251"/>
  <c r="FP251"/>
  <c r="FQ251"/>
  <c r="FR251"/>
  <c r="FS251"/>
  <c r="FT251"/>
  <c r="FU251"/>
  <c r="FV251"/>
  <c r="FW251"/>
  <c r="FX251"/>
  <c r="FY251"/>
  <c r="FZ251"/>
  <c r="GA251"/>
  <c r="GB251"/>
  <c r="GC251"/>
  <c r="GD251"/>
  <c r="GE251"/>
  <c r="GF251"/>
  <c r="GG251"/>
  <c r="GH251"/>
  <c r="GI251"/>
  <c r="GJ251"/>
  <c r="GK251"/>
  <c r="GL251"/>
  <c r="GM251"/>
  <c r="GN251"/>
  <c r="GO251"/>
  <c r="GP251"/>
  <c r="GQ251"/>
  <c r="GR251"/>
  <c r="GS251"/>
  <c r="GT251"/>
  <c r="GU251"/>
  <c r="GV251"/>
  <c r="GW251"/>
  <c r="GX251"/>
  <c r="GY251"/>
  <c r="GZ251"/>
  <c r="HA251"/>
  <c r="HB251"/>
  <c r="HC251"/>
  <c r="HD251"/>
  <c r="HE251"/>
  <c r="HF251"/>
  <c r="HG251"/>
  <c r="HH251"/>
  <c r="HI251"/>
  <c r="HJ251"/>
  <c r="HK251"/>
  <c r="HL251"/>
  <c r="HM251"/>
  <c r="HN251"/>
  <c r="HO251"/>
  <c r="HP251"/>
  <c r="HQ251"/>
  <c r="HR251"/>
  <c r="HS251"/>
  <c r="HT251"/>
  <c r="HU251"/>
  <c r="HV251"/>
  <c r="HW251"/>
  <c r="HX251"/>
  <c r="HY251"/>
  <c r="HZ251"/>
  <c r="IA251"/>
  <c r="IB251"/>
  <c r="IC251"/>
  <c r="ID251"/>
  <c r="IE251"/>
  <c r="IF251"/>
  <c r="IG251"/>
  <c r="IH251"/>
  <c r="II251"/>
  <c r="IJ251"/>
  <c r="IK251"/>
  <c r="IL251"/>
  <c r="IM251"/>
  <c r="IN251"/>
  <c r="IO251"/>
  <c r="IP251"/>
  <c r="IQ251"/>
  <c r="IR251"/>
  <c r="IS251"/>
  <c r="IT251"/>
  <c r="IU251"/>
  <c r="IV251"/>
  <c r="A250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AV250"/>
  <c r="AW250"/>
  <c r="AX250"/>
  <c r="AY250"/>
  <c r="AZ250"/>
  <c r="BA250"/>
  <c r="BB250"/>
  <c r="BC250"/>
  <c r="BD250"/>
  <c r="BE250"/>
  <c r="BF250"/>
  <c r="BG250"/>
  <c r="BH250"/>
  <c r="BI250"/>
  <c r="BJ250"/>
  <c r="BK250"/>
  <c r="BL250"/>
  <c r="BM250"/>
  <c r="BN250"/>
  <c r="BO250"/>
  <c r="BP250"/>
  <c r="BQ250"/>
  <c r="BR250"/>
  <c r="BS250"/>
  <c r="BT250"/>
  <c r="BU250"/>
  <c r="BV250"/>
  <c r="BW250"/>
  <c r="BX250"/>
  <c r="BY250"/>
  <c r="BZ250"/>
  <c r="CA250"/>
  <c r="CB250"/>
  <c r="CC250"/>
  <c r="CD250"/>
  <c r="CE250"/>
  <c r="CF250"/>
  <c r="CG250"/>
  <c r="CH250"/>
  <c r="CI250"/>
  <c r="CJ250"/>
  <c r="CK250"/>
  <c r="CL250"/>
  <c r="CM250"/>
  <c r="CN250"/>
  <c r="CO250"/>
  <c r="CP250"/>
  <c r="CQ250"/>
  <c r="CR250"/>
  <c r="CS250"/>
  <c r="CT250"/>
  <c r="CU250"/>
  <c r="CV250"/>
  <c r="CW250"/>
  <c r="CX250"/>
  <c r="CY250"/>
  <c r="CZ250"/>
  <c r="DA250"/>
  <c r="DB250"/>
  <c r="DC250"/>
  <c r="DD250"/>
  <c r="DE250"/>
  <c r="DF250"/>
  <c r="DG250"/>
  <c r="DH250"/>
  <c r="DI250"/>
  <c r="DJ250"/>
  <c r="DK250"/>
  <c r="DL250"/>
  <c r="DM250"/>
  <c r="DN250"/>
  <c r="DO250"/>
  <c r="DP250"/>
  <c r="DQ250"/>
  <c r="DR250"/>
  <c r="DS250"/>
  <c r="DT250"/>
  <c r="DU250"/>
  <c r="DV250"/>
  <c r="DW250"/>
  <c r="DX250"/>
  <c r="DY250"/>
  <c r="DZ250"/>
  <c r="EA250"/>
  <c r="EB250"/>
  <c r="EC250"/>
  <c r="ED250"/>
  <c r="EE250"/>
  <c r="EF250"/>
  <c r="EG250"/>
  <c r="EH250"/>
  <c r="EI250"/>
  <c r="EJ250"/>
  <c r="EK250"/>
  <c r="EL250"/>
  <c r="EM250"/>
  <c r="EN250"/>
  <c r="EO250"/>
  <c r="EP250"/>
  <c r="EQ250"/>
  <c r="ER250"/>
  <c r="ES250"/>
  <c r="ET250"/>
  <c r="EU250"/>
  <c r="EV250"/>
  <c r="EW250"/>
  <c r="EX250"/>
  <c r="EY250"/>
  <c r="EZ250"/>
  <c r="FA250"/>
  <c r="FB250"/>
  <c r="FC250"/>
  <c r="FD250"/>
  <c r="FE250"/>
  <c r="FF250"/>
  <c r="FG250"/>
  <c r="FH250"/>
  <c r="FI250"/>
  <c r="FJ250"/>
  <c r="FK250"/>
  <c r="FL250"/>
  <c r="FM250"/>
  <c r="FN250"/>
  <c r="FO250"/>
  <c r="FP250"/>
  <c r="FQ250"/>
  <c r="FR250"/>
  <c r="FS250"/>
  <c r="FT250"/>
  <c r="FU250"/>
  <c r="FV250"/>
  <c r="FW250"/>
  <c r="FX250"/>
  <c r="FY250"/>
  <c r="FZ250"/>
  <c r="GA250"/>
  <c r="GB250"/>
  <c r="GC250"/>
  <c r="GD250"/>
  <c r="GE250"/>
  <c r="GF250"/>
  <c r="GG250"/>
  <c r="GH250"/>
  <c r="GI250"/>
  <c r="GJ250"/>
  <c r="GK250"/>
  <c r="GL250"/>
  <c r="GM250"/>
  <c r="GN250"/>
  <c r="GO250"/>
  <c r="GP250"/>
  <c r="GQ250"/>
  <c r="GR250"/>
  <c r="GS250"/>
  <c r="GT250"/>
  <c r="GU250"/>
  <c r="GV250"/>
  <c r="GW250"/>
  <c r="GX250"/>
  <c r="GY250"/>
  <c r="GZ250"/>
  <c r="HA250"/>
  <c r="HB250"/>
  <c r="HC250"/>
  <c r="HD250"/>
  <c r="HE250"/>
  <c r="HF250"/>
  <c r="HG250"/>
  <c r="HH250"/>
  <c r="HI250"/>
  <c r="HJ250"/>
  <c r="HK250"/>
  <c r="HL250"/>
  <c r="HM250"/>
  <c r="HN250"/>
  <c r="HO250"/>
  <c r="HP250"/>
  <c r="HQ250"/>
  <c r="HR250"/>
  <c r="HS250"/>
  <c r="HT250"/>
  <c r="HU250"/>
  <c r="HV250"/>
  <c r="HW250"/>
  <c r="HX250"/>
  <c r="HY250"/>
  <c r="HZ250"/>
  <c r="IA250"/>
  <c r="IB250"/>
  <c r="IC250"/>
  <c r="ID250"/>
  <c r="IE250"/>
  <c r="IF250"/>
  <c r="IG250"/>
  <c r="IH250"/>
  <c r="II250"/>
  <c r="IJ250"/>
  <c r="IK250"/>
  <c r="IL250"/>
  <c r="IM250"/>
  <c r="IN250"/>
  <c r="IO250"/>
  <c r="IP250"/>
  <c r="IQ250"/>
  <c r="IR250"/>
  <c r="IS250"/>
  <c r="IT250"/>
  <c r="IU250"/>
  <c r="IV250"/>
  <c r="A249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AT249"/>
  <c r="AU249"/>
  <c r="AV249"/>
  <c r="AW249"/>
  <c r="AX249"/>
  <c r="AY249"/>
  <c r="AZ249"/>
  <c r="BA249"/>
  <c r="BB249"/>
  <c r="BC249"/>
  <c r="BD249"/>
  <c r="BE249"/>
  <c r="BF249"/>
  <c r="BG249"/>
  <c r="BH249"/>
  <c r="BI249"/>
  <c r="BJ249"/>
  <c r="BK249"/>
  <c r="BL249"/>
  <c r="BM249"/>
  <c r="BN249"/>
  <c r="BO249"/>
  <c r="BP249"/>
  <c r="BQ249"/>
  <c r="BR249"/>
  <c r="BS249"/>
  <c r="BT249"/>
  <c r="BU249"/>
  <c r="BV249"/>
  <c r="BW249"/>
  <c r="BX249"/>
  <c r="BY249"/>
  <c r="BZ249"/>
  <c r="CA249"/>
  <c r="CB249"/>
  <c r="CC249"/>
  <c r="CD249"/>
  <c r="CE249"/>
  <c r="CF249"/>
  <c r="CG249"/>
  <c r="CH249"/>
  <c r="CI249"/>
  <c r="CJ249"/>
  <c r="CK249"/>
  <c r="CL249"/>
  <c r="CM249"/>
  <c r="CN249"/>
  <c r="CO249"/>
  <c r="CP249"/>
  <c r="CQ249"/>
  <c r="CR249"/>
  <c r="CS249"/>
  <c r="CT249"/>
  <c r="CU249"/>
  <c r="CV249"/>
  <c r="CW249"/>
  <c r="CX249"/>
  <c r="CY249"/>
  <c r="CZ249"/>
  <c r="DA249"/>
  <c r="DB249"/>
  <c r="DC249"/>
  <c r="DD249"/>
  <c r="DE249"/>
  <c r="DF249"/>
  <c r="DG249"/>
  <c r="DH249"/>
  <c r="DI249"/>
  <c r="DJ249"/>
  <c r="DK249"/>
  <c r="DL249"/>
  <c r="DM249"/>
  <c r="DN249"/>
  <c r="DO249"/>
  <c r="DP249"/>
  <c r="DQ249"/>
  <c r="DR249"/>
  <c r="DS249"/>
  <c r="DT249"/>
  <c r="DU249"/>
  <c r="DV249"/>
  <c r="DW249"/>
  <c r="DX249"/>
  <c r="DY249"/>
  <c r="DZ249"/>
  <c r="EA249"/>
  <c r="EB249"/>
  <c r="EC249"/>
  <c r="ED249"/>
  <c r="EE249"/>
  <c r="EF249"/>
  <c r="EG249"/>
  <c r="EH249"/>
  <c r="EI249"/>
  <c r="EJ249"/>
  <c r="EK249"/>
  <c r="EL249"/>
  <c r="EM249"/>
  <c r="EN249"/>
  <c r="EO249"/>
  <c r="EP249"/>
  <c r="EQ249"/>
  <c r="ER249"/>
  <c r="ES249"/>
  <c r="ET249"/>
  <c r="EU249"/>
  <c r="EV249"/>
  <c r="EW249"/>
  <c r="EX249"/>
  <c r="EY249"/>
  <c r="EZ249"/>
  <c r="FA249"/>
  <c r="FB249"/>
  <c r="FC249"/>
  <c r="FD249"/>
  <c r="FE249"/>
  <c r="FF249"/>
  <c r="FG249"/>
  <c r="FH249"/>
  <c r="FI249"/>
  <c r="FJ249"/>
  <c r="FK249"/>
  <c r="FL249"/>
  <c r="FM249"/>
  <c r="FN249"/>
  <c r="FO249"/>
  <c r="FP249"/>
  <c r="FQ249"/>
  <c r="FR249"/>
  <c r="FS249"/>
  <c r="FT249"/>
  <c r="FU249"/>
  <c r="FV249"/>
  <c r="FW249"/>
  <c r="FX249"/>
  <c r="FY249"/>
  <c r="FZ249"/>
  <c r="GA249"/>
  <c r="GB249"/>
  <c r="GC249"/>
  <c r="GD249"/>
  <c r="GE249"/>
  <c r="GF249"/>
  <c r="GG249"/>
  <c r="GH249"/>
  <c r="GI249"/>
  <c r="GJ249"/>
  <c r="GK249"/>
  <c r="GL249"/>
  <c r="GM249"/>
  <c r="GN249"/>
  <c r="GO249"/>
  <c r="GP249"/>
  <c r="GQ249"/>
  <c r="GR249"/>
  <c r="GS249"/>
  <c r="GT249"/>
  <c r="GU249"/>
  <c r="GV249"/>
  <c r="GW249"/>
  <c r="GX249"/>
  <c r="GY249"/>
  <c r="GZ249"/>
  <c r="HA249"/>
  <c r="HB249"/>
  <c r="HC249"/>
  <c r="HD249"/>
  <c r="HE249"/>
  <c r="HF249"/>
  <c r="HG249"/>
  <c r="HH249"/>
  <c r="HI249"/>
  <c r="HJ249"/>
  <c r="HK249"/>
  <c r="HL249"/>
  <c r="HM249"/>
  <c r="HN249"/>
  <c r="HO249"/>
  <c r="HP249"/>
  <c r="HQ249"/>
  <c r="HR249"/>
  <c r="HS249"/>
  <c r="HT249"/>
  <c r="HU249"/>
  <c r="HV249"/>
  <c r="HW249"/>
  <c r="HX249"/>
  <c r="HY249"/>
  <c r="HZ249"/>
  <c r="IA249"/>
  <c r="IB249"/>
  <c r="IC249"/>
  <c r="ID249"/>
  <c r="IE249"/>
  <c r="IF249"/>
  <c r="IG249"/>
  <c r="IH249"/>
  <c r="II249"/>
  <c r="IJ249"/>
  <c r="IK249"/>
  <c r="IL249"/>
  <c r="IM249"/>
  <c r="IN249"/>
  <c r="IO249"/>
  <c r="IP249"/>
  <c r="IQ249"/>
  <c r="IR249"/>
  <c r="IS249"/>
  <c r="IT249"/>
  <c r="IU249"/>
  <c r="IV249"/>
  <c r="A248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AT248"/>
  <c r="AU248"/>
  <c r="AV248"/>
  <c r="AW248"/>
  <c r="AX248"/>
  <c r="AY248"/>
  <c r="AZ248"/>
  <c r="BA248"/>
  <c r="BB248"/>
  <c r="BC248"/>
  <c r="BD248"/>
  <c r="BE248"/>
  <c r="BF248"/>
  <c r="BG248"/>
  <c r="BH248"/>
  <c r="BI248"/>
  <c r="BJ248"/>
  <c r="BK248"/>
  <c r="BL248"/>
  <c r="BM248"/>
  <c r="BN248"/>
  <c r="BO248"/>
  <c r="BP248"/>
  <c r="BQ248"/>
  <c r="BR248"/>
  <c r="BS248"/>
  <c r="BT248"/>
  <c r="BU248"/>
  <c r="BV248"/>
  <c r="BW248"/>
  <c r="BX248"/>
  <c r="BY248"/>
  <c r="BZ248"/>
  <c r="CA248"/>
  <c r="CB248"/>
  <c r="CC248"/>
  <c r="CD248"/>
  <c r="CE248"/>
  <c r="CF248"/>
  <c r="CG248"/>
  <c r="CH248"/>
  <c r="CI248"/>
  <c r="CJ248"/>
  <c r="CK248"/>
  <c r="CL248"/>
  <c r="CM248"/>
  <c r="CN248"/>
  <c r="CO248"/>
  <c r="CP248"/>
  <c r="CQ248"/>
  <c r="CR248"/>
  <c r="CS248"/>
  <c r="CT248"/>
  <c r="CU248"/>
  <c r="CV248"/>
  <c r="CW248"/>
  <c r="CX248"/>
  <c r="CY248"/>
  <c r="CZ248"/>
  <c r="DA248"/>
  <c r="DB248"/>
  <c r="DC248"/>
  <c r="DD248"/>
  <c r="DE248"/>
  <c r="DF248"/>
  <c r="DG248"/>
  <c r="DH248"/>
  <c r="DI248"/>
  <c r="DJ248"/>
  <c r="DK248"/>
  <c r="DL248"/>
  <c r="DM248"/>
  <c r="DN248"/>
  <c r="DO248"/>
  <c r="DP248"/>
  <c r="DQ248"/>
  <c r="DR248"/>
  <c r="DS248"/>
  <c r="DT248"/>
  <c r="DU248"/>
  <c r="DV248"/>
  <c r="DW248"/>
  <c r="DX248"/>
  <c r="DY248"/>
  <c r="DZ248"/>
  <c r="EA248"/>
  <c r="EB248"/>
  <c r="EC248"/>
  <c r="ED248"/>
  <c r="EE248"/>
  <c r="EF248"/>
  <c r="EG248"/>
  <c r="EH248"/>
  <c r="EI248"/>
  <c r="EJ248"/>
  <c r="EK248"/>
  <c r="EL248"/>
  <c r="EM248"/>
  <c r="EN248"/>
  <c r="EO248"/>
  <c r="EP248"/>
  <c r="EQ248"/>
  <c r="ER248"/>
  <c r="ES248"/>
  <c r="ET248"/>
  <c r="EU248"/>
  <c r="EV248"/>
  <c r="EW248"/>
  <c r="EX248"/>
  <c r="EY248"/>
  <c r="EZ248"/>
  <c r="FA248"/>
  <c r="FB248"/>
  <c r="FC248"/>
  <c r="FD248"/>
  <c r="FE248"/>
  <c r="FF248"/>
  <c r="FG248"/>
  <c r="FH248"/>
  <c r="FI248"/>
  <c r="FJ248"/>
  <c r="FK248"/>
  <c r="FL248"/>
  <c r="FM248"/>
  <c r="FN248"/>
  <c r="FO248"/>
  <c r="FP248"/>
  <c r="FQ248"/>
  <c r="FR248"/>
  <c r="FS248"/>
  <c r="FT248"/>
  <c r="FU248"/>
  <c r="FV248"/>
  <c r="FW248"/>
  <c r="FX248"/>
  <c r="FY248"/>
  <c r="FZ248"/>
  <c r="GA248"/>
  <c r="GB248"/>
  <c r="GC248"/>
  <c r="GD248"/>
  <c r="GE248"/>
  <c r="GF248"/>
  <c r="GG248"/>
  <c r="GH248"/>
  <c r="GI248"/>
  <c r="GJ248"/>
  <c r="GK248"/>
  <c r="GL248"/>
  <c r="GM248"/>
  <c r="GN248"/>
  <c r="GO248"/>
  <c r="GP248"/>
  <c r="GQ248"/>
  <c r="GR248"/>
  <c r="GS248"/>
  <c r="GT248"/>
  <c r="GU248"/>
  <c r="GV248"/>
  <c r="GW248"/>
  <c r="GX248"/>
  <c r="GY248"/>
  <c r="GZ248"/>
  <c r="HA248"/>
  <c r="HB248"/>
  <c r="HC248"/>
  <c r="HD248"/>
  <c r="HE248"/>
  <c r="HF248"/>
  <c r="HG248"/>
  <c r="HH248"/>
  <c r="HI248"/>
  <c r="HJ248"/>
  <c r="HK248"/>
  <c r="HL248"/>
  <c r="HM248"/>
  <c r="HN248"/>
  <c r="HO248"/>
  <c r="HP248"/>
  <c r="HQ248"/>
  <c r="HR248"/>
  <c r="HS248"/>
  <c r="HT248"/>
  <c r="HU248"/>
  <c r="HV248"/>
  <c r="HW248"/>
  <c r="HX248"/>
  <c r="HY248"/>
  <c r="HZ248"/>
  <c r="IA248"/>
  <c r="IB248"/>
  <c r="IC248"/>
  <c r="ID248"/>
  <c r="IE248"/>
  <c r="IF248"/>
  <c r="IG248"/>
  <c r="IH248"/>
  <c r="II248"/>
  <c r="IJ248"/>
  <c r="IK248"/>
  <c r="IL248"/>
  <c r="IM248"/>
  <c r="IN248"/>
  <c r="IO248"/>
  <c r="IP248"/>
  <c r="IQ248"/>
  <c r="IR248"/>
  <c r="IS248"/>
  <c r="IT248"/>
  <c r="IU248"/>
  <c r="IV248"/>
  <c r="A247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AT247"/>
  <c r="AU247"/>
  <c r="AV247"/>
  <c r="AW247"/>
  <c r="AX247"/>
  <c r="AY247"/>
  <c r="AZ247"/>
  <c r="BA247"/>
  <c r="BB247"/>
  <c r="BC247"/>
  <c r="BD247"/>
  <c r="BE247"/>
  <c r="BF247"/>
  <c r="BG247"/>
  <c r="BH247"/>
  <c r="BI247"/>
  <c r="BJ247"/>
  <c r="BK247"/>
  <c r="BL247"/>
  <c r="BM247"/>
  <c r="BN247"/>
  <c r="BO247"/>
  <c r="BP247"/>
  <c r="BQ247"/>
  <c r="BR247"/>
  <c r="BS247"/>
  <c r="BT247"/>
  <c r="BU247"/>
  <c r="BV247"/>
  <c r="BW247"/>
  <c r="BX247"/>
  <c r="BY247"/>
  <c r="BZ247"/>
  <c r="CA247"/>
  <c r="CB247"/>
  <c r="CC247"/>
  <c r="CD247"/>
  <c r="CE247"/>
  <c r="CF247"/>
  <c r="CG247"/>
  <c r="CH247"/>
  <c r="CI247"/>
  <c r="CJ247"/>
  <c r="CK247"/>
  <c r="CL247"/>
  <c r="CM247"/>
  <c r="CN247"/>
  <c r="CO247"/>
  <c r="CP247"/>
  <c r="CQ247"/>
  <c r="CR247"/>
  <c r="CS247"/>
  <c r="CT247"/>
  <c r="CU247"/>
  <c r="CV247"/>
  <c r="CW247"/>
  <c r="CX247"/>
  <c r="CY247"/>
  <c r="CZ247"/>
  <c r="DA247"/>
  <c r="DB247"/>
  <c r="DC247"/>
  <c r="DD247"/>
  <c r="DE247"/>
  <c r="DF247"/>
  <c r="DG247"/>
  <c r="DH247"/>
  <c r="DI247"/>
  <c r="DJ247"/>
  <c r="DK247"/>
  <c r="DL247"/>
  <c r="DM247"/>
  <c r="DN247"/>
  <c r="DO247"/>
  <c r="DP247"/>
  <c r="DQ247"/>
  <c r="DR247"/>
  <c r="DS247"/>
  <c r="DT247"/>
  <c r="DU247"/>
  <c r="DV247"/>
  <c r="DW247"/>
  <c r="DX247"/>
  <c r="DY247"/>
  <c r="DZ247"/>
  <c r="EA247"/>
  <c r="EB247"/>
  <c r="EC247"/>
  <c r="ED247"/>
  <c r="EE247"/>
  <c r="EF247"/>
  <c r="EG247"/>
  <c r="EH247"/>
  <c r="EI247"/>
  <c r="EJ247"/>
  <c r="EK247"/>
  <c r="EL247"/>
  <c r="EM247"/>
  <c r="EN247"/>
  <c r="EO247"/>
  <c r="EP247"/>
  <c r="EQ247"/>
  <c r="ER247"/>
  <c r="ES247"/>
  <c r="ET247"/>
  <c r="EU247"/>
  <c r="EV247"/>
  <c r="EW247"/>
  <c r="EX247"/>
  <c r="EY247"/>
  <c r="EZ247"/>
  <c r="FA247"/>
  <c r="FB247"/>
  <c r="FC247"/>
  <c r="FD247"/>
  <c r="FE247"/>
  <c r="FF247"/>
  <c r="FG247"/>
  <c r="FH247"/>
  <c r="FI247"/>
  <c r="FJ247"/>
  <c r="FK247"/>
  <c r="FL247"/>
  <c r="FM247"/>
  <c r="FN247"/>
  <c r="FO247"/>
  <c r="FP247"/>
  <c r="FQ247"/>
  <c r="FR247"/>
  <c r="FS247"/>
  <c r="FT247"/>
  <c r="FU247"/>
  <c r="FV247"/>
  <c r="FW247"/>
  <c r="FX247"/>
  <c r="FY247"/>
  <c r="FZ247"/>
  <c r="GA247"/>
  <c r="GB247"/>
  <c r="GC247"/>
  <c r="GD247"/>
  <c r="GE247"/>
  <c r="GF247"/>
  <c r="GG247"/>
  <c r="GH247"/>
  <c r="GI247"/>
  <c r="GJ247"/>
  <c r="GK247"/>
  <c r="GL247"/>
  <c r="GM247"/>
  <c r="GN247"/>
  <c r="GO247"/>
  <c r="GP247"/>
  <c r="GQ247"/>
  <c r="GR247"/>
  <c r="GS247"/>
  <c r="GT247"/>
  <c r="GU247"/>
  <c r="GV247"/>
  <c r="GW247"/>
  <c r="GX247"/>
  <c r="GY247"/>
  <c r="GZ247"/>
  <c r="HA247"/>
  <c r="HB247"/>
  <c r="HC247"/>
  <c r="HD247"/>
  <c r="HE247"/>
  <c r="HF247"/>
  <c r="HG247"/>
  <c r="HH247"/>
  <c r="HI247"/>
  <c r="HJ247"/>
  <c r="HK247"/>
  <c r="HL247"/>
  <c r="HM247"/>
  <c r="HN247"/>
  <c r="HO247"/>
  <c r="HP247"/>
  <c r="HQ247"/>
  <c r="HR247"/>
  <c r="HS247"/>
  <c r="HT247"/>
  <c r="HU247"/>
  <c r="HV247"/>
  <c r="HW247"/>
  <c r="HX247"/>
  <c r="HY247"/>
  <c r="HZ247"/>
  <c r="IA247"/>
  <c r="IB247"/>
  <c r="IC247"/>
  <c r="ID247"/>
  <c r="IE247"/>
  <c r="IF247"/>
  <c r="IG247"/>
  <c r="IH247"/>
  <c r="II247"/>
  <c r="IJ247"/>
  <c r="IK247"/>
  <c r="IL247"/>
  <c r="IM247"/>
  <c r="IN247"/>
  <c r="IO247"/>
  <c r="IP247"/>
  <c r="IQ247"/>
  <c r="IR247"/>
  <c r="IS247"/>
  <c r="IT247"/>
  <c r="IU247"/>
  <c r="IV247"/>
  <c r="A246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AT246"/>
  <c r="AU246"/>
  <c r="AV246"/>
  <c r="AW246"/>
  <c r="AX246"/>
  <c r="AY246"/>
  <c r="AZ246"/>
  <c r="BA246"/>
  <c r="BB246"/>
  <c r="BC246"/>
  <c r="BD246"/>
  <c r="BE246"/>
  <c r="BF246"/>
  <c r="BG246"/>
  <c r="BH246"/>
  <c r="BI246"/>
  <c r="BJ246"/>
  <c r="BK246"/>
  <c r="BL246"/>
  <c r="BM246"/>
  <c r="BN246"/>
  <c r="BO246"/>
  <c r="BP246"/>
  <c r="BQ246"/>
  <c r="BR246"/>
  <c r="BS246"/>
  <c r="BT246"/>
  <c r="BU246"/>
  <c r="BV246"/>
  <c r="BW246"/>
  <c r="BX246"/>
  <c r="BY246"/>
  <c r="BZ246"/>
  <c r="CA246"/>
  <c r="CB246"/>
  <c r="CC246"/>
  <c r="CD246"/>
  <c r="CE246"/>
  <c r="CF246"/>
  <c r="CG246"/>
  <c r="CH246"/>
  <c r="CI246"/>
  <c r="CJ246"/>
  <c r="CK246"/>
  <c r="CL246"/>
  <c r="CM246"/>
  <c r="CN246"/>
  <c r="CO246"/>
  <c r="CP246"/>
  <c r="CQ246"/>
  <c r="CR246"/>
  <c r="CS246"/>
  <c r="CT246"/>
  <c r="CU246"/>
  <c r="CV246"/>
  <c r="CW246"/>
  <c r="CX246"/>
  <c r="CY246"/>
  <c r="CZ246"/>
  <c r="DA246"/>
  <c r="DB246"/>
  <c r="DC246"/>
  <c r="DD246"/>
  <c r="DE246"/>
  <c r="DF246"/>
  <c r="DG246"/>
  <c r="DH246"/>
  <c r="DI246"/>
  <c r="DJ246"/>
  <c r="DK246"/>
  <c r="DL246"/>
  <c r="DM246"/>
  <c r="DN246"/>
  <c r="DO246"/>
  <c r="DP246"/>
  <c r="DQ246"/>
  <c r="DR246"/>
  <c r="DS246"/>
  <c r="DT246"/>
  <c r="DU246"/>
  <c r="DV246"/>
  <c r="DW246"/>
  <c r="DX246"/>
  <c r="DY246"/>
  <c r="DZ246"/>
  <c r="EA246"/>
  <c r="EB246"/>
  <c r="EC246"/>
  <c r="ED246"/>
  <c r="EE246"/>
  <c r="EF246"/>
  <c r="EG246"/>
  <c r="EH246"/>
  <c r="EI246"/>
  <c r="EJ246"/>
  <c r="EK246"/>
  <c r="EL246"/>
  <c r="EM246"/>
  <c r="EN246"/>
  <c r="EO246"/>
  <c r="EP246"/>
  <c r="EQ246"/>
  <c r="ER246"/>
  <c r="ES246"/>
  <c r="ET246"/>
  <c r="EU246"/>
  <c r="EV246"/>
  <c r="EW246"/>
  <c r="EX246"/>
  <c r="EY246"/>
  <c r="EZ246"/>
  <c r="FA246"/>
  <c r="FB246"/>
  <c r="FC246"/>
  <c r="FD246"/>
  <c r="FE246"/>
  <c r="FF246"/>
  <c r="FG246"/>
  <c r="FH246"/>
  <c r="FI246"/>
  <c r="FJ246"/>
  <c r="FK246"/>
  <c r="FL246"/>
  <c r="FM246"/>
  <c r="FN246"/>
  <c r="FO246"/>
  <c r="FP246"/>
  <c r="FQ246"/>
  <c r="FR246"/>
  <c r="FS246"/>
  <c r="FT246"/>
  <c r="FU246"/>
  <c r="FV246"/>
  <c r="FW246"/>
  <c r="FX246"/>
  <c r="FY246"/>
  <c r="FZ246"/>
  <c r="GA246"/>
  <c r="GB246"/>
  <c r="GC246"/>
  <c r="GD246"/>
  <c r="GE246"/>
  <c r="GF246"/>
  <c r="GG246"/>
  <c r="GH246"/>
  <c r="GI246"/>
  <c r="GJ246"/>
  <c r="GK246"/>
  <c r="GL246"/>
  <c r="GM246"/>
  <c r="GN246"/>
  <c r="GO246"/>
  <c r="GP246"/>
  <c r="GQ246"/>
  <c r="GR246"/>
  <c r="GS246"/>
  <c r="GT246"/>
  <c r="GU246"/>
  <c r="GV246"/>
  <c r="GW246"/>
  <c r="GX246"/>
  <c r="GY246"/>
  <c r="GZ246"/>
  <c r="HA246"/>
  <c r="HB246"/>
  <c r="HC246"/>
  <c r="HD246"/>
  <c r="HE246"/>
  <c r="HF246"/>
  <c r="HG246"/>
  <c r="HH246"/>
  <c r="HI246"/>
  <c r="HJ246"/>
  <c r="HK246"/>
  <c r="HL246"/>
  <c r="HM246"/>
  <c r="HN246"/>
  <c r="HO246"/>
  <c r="HP246"/>
  <c r="HQ246"/>
  <c r="HR246"/>
  <c r="HS246"/>
  <c r="HT246"/>
  <c r="HU246"/>
  <c r="HV246"/>
  <c r="HW246"/>
  <c r="HX246"/>
  <c r="HY246"/>
  <c r="HZ246"/>
  <c r="IA246"/>
  <c r="IB246"/>
  <c r="IC246"/>
  <c r="ID246"/>
  <c r="IE246"/>
  <c r="IF246"/>
  <c r="IG246"/>
  <c r="IH246"/>
  <c r="II246"/>
  <c r="IJ246"/>
  <c r="IK246"/>
  <c r="IL246"/>
  <c r="IM246"/>
  <c r="IN246"/>
  <c r="IO246"/>
  <c r="IP246"/>
  <c r="IQ246"/>
  <c r="IR246"/>
  <c r="IS246"/>
  <c r="IT246"/>
  <c r="IU246"/>
  <c r="IV246"/>
  <c r="A245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AE245"/>
  <c r="AF245"/>
  <c r="AG245"/>
  <c r="AH245"/>
  <c r="AI245"/>
  <c r="AJ245"/>
  <c r="AK245"/>
  <c r="AL245"/>
  <c r="AM245"/>
  <c r="AN245"/>
  <c r="AO245"/>
  <c r="AP245"/>
  <c r="AQ245"/>
  <c r="AR245"/>
  <c r="AS245"/>
  <c r="AT245"/>
  <c r="AU245"/>
  <c r="AV245"/>
  <c r="AW245"/>
  <c r="AX245"/>
  <c r="AY245"/>
  <c r="AZ245"/>
  <c r="BA245"/>
  <c r="BB245"/>
  <c r="BC245"/>
  <c r="BD245"/>
  <c r="BE245"/>
  <c r="BF245"/>
  <c r="BG245"/>
  <c r="BH245"/>
  <c r="BI245"/>
  <c r="BJ245"/>
  <c r="BK245"/>
  <c r="BL245"/>
  <c r="BM245"/>
  <c r="BN245"/>
  <c r="BO245"/>
  <c r="BP245"/>
  <c r="BQ245"/>
  <c r="BR245"/>
  <c r="BS245"/>
  <c r="BT245"/>
  <c r="BU245"/>
  <c r="BV245"/>
  <c r="BW245"/>
  <c r="BX245"/>
  <c r="BY245"/>
  <c r="BZ245"/>
  <c r="CA245"/>
  <c r="CB245"/>
  <c r="CC245"/>
  <c r="CD245"/>
  <c r="CE245"/>
  <c r="CF245"/>
  <c r="CG245"/>
  <c r="CH245"/>
  <c r="CI245"/>
  <c r="CJ245"/>
  <c r="CK245"/>
  <c r="CL245"/>
  <c r="CM245"/>
  <c r="CN245"/>
  <c r="CO245"/>
  <c r="CP245"/>
  <c r="CQ245"/>
  <c r="CR245"/>
  <c r="CS245"/>
  <c r="CT245"/>
  <c r="CU245"/>
  <c r="CV245"/>
  <c r="CW245"/>
  <c r="CX245"/>
  <c r="CY245"/>
  <c r="CZ245"/>
  <c r="DA245"/>
  <c r="DB245"/>
  <c r="DC245"/>
  <c r="DD245"/>
  <c r="DE245"/>
  <c r="DF245"/>
  <c r="DG245"/>
  <c r="DH245"/>
  <c r="DI245"/>
  <c r="DJ245"/>
  <c r="DK245"/>
  <c r="DL245"/>
  <c r="DM245"/>
  <c r="DN245"/>
  <c r="DO245"/>
  <c r="DP245"/>
  <c r="DQ245"/>
  <c r="DR245"/>
  <c r="DS245"/>
  <c r="DT245"/>
  <c r="DU245"/>
  <c r="DV245"/>
  <c r="DW245"/>
  <c r="DX245"/>
  <c r="DY245"/>
  <c r="DZ245"/>
  <c r="EA245"/>
  <c r="EB245"/>
  <c r="EC245"/>
  <c r="ED245"/>
  <c r="EE245"/>
  <c r="EF245"/>
  <c r="EG245"/>
  <c r="EH245"/>
  <c r="EI245"/>
  <c r="EJ245"/>
  <c r="EK245"/>
  <c r="EL245"/>
  <c r="EM245"/>
  <c r="EN245"/>
  <c r="EO245"/>
  <c r="EP245"/>
  <c r="EQ245"/>
  <c r="ER245"/>
  <c r="ES245"/>
  <c r="ET245"/>
  <c r="EU245"/>
  <c r="EV245"/>
  <c r="EW245"/>
  <c r="EX245"/>
  <c r="EY245"/>
  <c r="EZ245"/>
  <c r="FA245"/>
  <c r="FB245"/>
  <c r="FC245"/>
  <c r="FD245"/>
  <c r="FE245"/>
  <c r="FF245"/>
  <c r="FG245"/>
  <c r="FH245"/>
  <c r="FI245"/>
  <c r="FJ245"/>
  <c r="FK245"/>
  <c r="FL245"/>
  <c r="FM245"/>
  <c r="FN245"/>
  <c r="FO245"/>
  <c r="FP245"/>
  <c r="FQ245"/>
  <c r="FR245"/>
  <c r="FS245"/>
  <c r="FT245"/>
  <c r="FU245"/>
  <c r="FV245"/>
  <c r="FW245"/>
  <c r="FX245"/>
  <c r="FY245"/>
  <c r="FZ245"/>
  <c r="GA245"/>
  <c r="GB245"/>
  <c r="GC245"/>
  <c r="GD245"/>
  <c r="GE245"/>
  <c r="GF245"/>
  <c r="GG245"/>
  <c r="GH245"/>
  <c r="GI245"/>
  <c r="GJ245"/>
  <c r="GK245"/>
  <c r="GL245"/>
  <c r="GM245"/>
  <c r="GN245"/>
  <c r="GO245"/>
  <c r="GP245"/>
  <c r="GQ245"/>
  <c r="GR245"/>
  <c r="GS245"/>
  <c r="GT245"/>
  <c r="GU245"/>
  <c r="GV245"/>
  <c r="GW245"/>
  <c r="GX245"/>
  <c r="GY245"/>
  <c r="GZ245"/>
  <c r="HA245"/>
  <c r="HB245"/>
  <c r="HC245"/>
  <c r="HD245"/>
  <c r="HE245"/>
  <c r="HF245"/>
  <c r="HG245"/>
  <c r="HH245"/>
  <c r="HI245"/>
  <c r="HJ245"/>
  <c r="HK245"/>
  <c r="HL245"/>
  <c r="HM245"/>
  <c r="HN245"/>
  <c r="HO245"/>
  <c r="HP245"/>
  <c r="HQ245"/>
  <c r="HR245"/>
  <c r="HS245"/>
  <c r="HT245"/>
  <c r="HU245"/>
  <c r="HV245"/>
  <c r="HW245"/>
  <c r="HX245"/>
  <c r="HY245"/>
  <c r="HZ245"/>
  <c r="IA245"/>
  <c r="IB245"/>
  <c r="IC245"/>
  <c r="ID245"/>
  <c r="IE245"/>
  <c r="IF245"/>
  <c r="IG245"/>
  <c r="IH245"/>
  <c r="II245"/>
  <c r="IJ245"/>
  <c r="IK245"/>
  <c r="IL245"/>
  <c r="IM245"/>
  <c r="IN245"/>
  <c r="IO245"/>
  <c r="IP245"/>
  <c r="IQ245"/>
  <c r="IR245"/>
  <c r="IS245"/>
  <c r="IT245"/>
  <c r="IU245"/>
  <c r="IV245"/>
  <c r="A244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AT244"/>
  <c r="AU244"/>
  <c r="AV244"/>
  <c r="AW244"/>
  <c r="AX244"/>
  <c r="AY244"/>
  <c r="AZ244"/>
  <c r="BA244"/>
  <c r="BB244"/>
  <c r="BC244"/>
  <c r="BD244"/>
  <c r="BE244"/>
  <c r="BF244"/>
  <c r="BG244"/>
  <c r="BH244"/>
  <c r="BI244"/>
  <c r="BJ244"/>
  <c r="BK244"/>
  <c r="BL244"/>
  <c r="BM244"/>
  <c r="BN244"/>
  <c r="BO244"/>
  <c r="BP244"/>
  <c r="BQ244"/>
  <c r="BR244"/>
  <c r="BS244"/>
  <c r="BT244"/>
  <c r="BU244"/>
  <c r="BV244"/>
  <c r="BW244"/>
  <c r="BX244"/>
  <c r="BY244"/>
  <c r="BZ244"/>
  <c r="CA244"/>
  <c r="CB244"/>
  <c r="CC244"/>
  <c r="CD244"/>
  <c r="CE244"/>
  <c r="CF244"/>
  <c r="CG244"/>
  <c r="CH244"/>
  <c r="CI244"/>
  <c r="CJ244"/>
  <c r="CK244"/>
  <c r="CL244"/>
  <c r="CM244"/>
  <c r="CN244"/>
  <c r="CO244"/>
  <c r="CP244"/>
  <c r="CQ244"/>
  <c r="CR244"/>
  <c r="CS244"/>
  <c r="CT244"/>
  <c r="CU244"/>
  <c r="CV244"/>
  <c r="CW244"/>
  <c r="CX244"/>
  <c r="CY244"/>
  <c r="CZ244"/>
  <c r="DA244"/>
  <c r="DB244"/>
  <c r="DC244"/>
  <c r="DD244"/>
  <c r="DE244"/>
  <c r="DF244"/>
  <c r="DG244"/>
  <c r="DH244"/>
  <c r="DI244"/>
  <c r="DJ244"/>
  <c r="DK244"/>
  <c r="DL244"/>
  <c r="DM244"/>
  <c r="DN244"/>
  <c r="DO244"/>
  <c r="DP244"/>
  <c r="DQ244"/>
  <c r="DR244"/>
  <c r="DS244"/>
  <c r="DT244"/>
  <c r="DU244"/>
  <c r="DV244"/>
  <c r="DW244"/>
  <c r="DX244"/>
  <c r="DY244"/>
  <c r="DZ244"/>
  <c r="EA244"/>
  <c r="EB244"/>
  <c r="EC244"/>
  <c r="ED244"/>
  <c r="EE244"/>
  <c r="EF244"/>
  <c r="EG244"/>
  <c r="EH244"/>
  <c r="EI244"/>
  <c r="EJ244"/>
  <c r="EK244"/>
  <c r="EL244"/>
  <c r="EM244"/>
  <c r="EN244"/>
  <c r="EO244"/>
  <c r="EP244"/>
  <c r="EQ244"/>
  <c r="ER244"/>
  <c r="ES244"/>
  <c r="ET244"/>
  <c r="EU244"/>
  <c r="EV244"/>
  <c r="EW244"/>
  <c r="EX244"/>
  <c r="EY244"/>
  <c r="EZ244"/>
  <c r="FA244"/>
  <c r="FB244"/>
  <c r="FC244"/>
  <c r="FD244"/>
  <c r="FE244"/>
  <c r="FF244"/>
  <c r="FG244"/>
  <c r="FH244"/>
  <c r="FI244"/>
  <c r="FJ244"/>
  <c r="FK244"/>
  <c r="FL244"/>
  <c r="FM244"/>
  <c r="FN244"/>
  <c r="FO244"/>
  <c r="FP244"/>
  <c r="FQ244"/>
  <c r="FR244"/>
  <c r="FS244"/>
  <c r="FT244"/>
  <c r="FU244"/>
  <c r="FV244"/>
  <c r="FW244"/>
  <c r="FX244"/>
  <c r="FY244"/>
  <c r="FZ244"/>
  <c r="GA244"/>
  <c r="GB244"/>
  <c r="GC244"/>
  <c r="GD244"/>
  <c r="GE244"/>
  <c r="GF244"/>
  <c r="GG244"/>
  <c r="GH244"/>
  <c r="GI244"/>
  <c r="GJ244"/>
  <c r="GK244"/>
  <c r="GL244"/>
  <c r="GM244"/>
  <c r="GN244"/>
  <c r="GO244"/>
  <c r="GP244"/>
  <c r="GQ244"/>
  <c r="GR244"/>
  <c r="GS244"/>
  <c r="GT244"/>
  <c r="GU244"/>
  <c r="GV244"/>
  <c r="GW244"/>
  <c r="GX244"/>
  <c r="GY244"/>
  <c r="GZ244"/>
  <c r="HA244"/>
  <c r="HB244"/>
  <c r="HC244"/>
  <c r="HD244"/>
  <c r="HE244"/>
  <c r="HF244"/>
  <c r="HG244"/>
  <c r="HH244"/>
  <c r="HI244"/>
  <c r="HJ244"/>
  <c r="HK244"/>
  <c r="HL244"/>
  <c r="HM244"/>
  <c r="HN244"/>
  <c r="HO244"/>
  <c r="HP244"/>
  <c r="HQ244"/>
  <c r="HR244"/>
  <c r="HS244"/>
  <c r="HT244"/>
  <c r="HU244"/>
  <c r="HV244"/>
  <c r="HW244"/>
  <c r="HX244"/>
  <c r="HY244"/>
  <c r="HZ244"/>
  <c r="IA244"/>
  <c r="IB244"/>
  <c r="IC244"/>
  <c r="ID244"/>
  <c r="IE244"/>
  <c r="IF244"/>
  <c r="IG244"/>
  <c r="IH244"/>
  <c r="II244"/>
  <c r="IJ244"/>
  <c r="IK244"/>
  <c r="IL244"/>
  <c r="IM244"/>
  <c r="IN244"/>
  <c r="IO244"/>
  <c r="IP244"/>
  <c r="IQ244"/>
  <c r="IR244"/>
  <c r="IS244"/>
  <c r="IT244"/>
  <c r="IU244"/>
  <c r="IV244"/>
  <c r="A243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AV243"/>
  <c r="AW243"/>
  <c r="AX243"/>
  <c r="AY243"/>
  <c r="AZ243"/>
  <c r="BA243"/>
  <c r="BB243"/>
  <c r="BC243"/>
  <c r="BD243"/>
  <c r="BE243"/>
  <c r="BF243"/>
  <c r="BG243"/>
  <c r="BH243"/>
  <c r="BI243"/>
  <c r="BJ243"/>
  <c r="BK243"/>
  <c r="BL243"/>
  <c r="BM243"/>
  <c r="BN243"/>
  <c r="BO243"/>
  <c r="BP243"/>
  <c r="BQ243"/>
  <c r="BR243"/>
  <c r="BS243"/>
  <c r="BT243"/>
  <c r="BU243"/>
  <c r="BV243"/>
  <c r="BW243"/>
  <c r="BX243"/>
  <c r="BY243"/>
  <c r="BZ243"/>
  <c r="CA243"/>
  <c r="CB243"/>
  <c r="CC243"/>
  <c r="CD243"/>
  <c r="CE243"/>
  <c r="CF243"/>
  <c r="CG243"/>
  <c r="CH243"/>
  <c r="CI243"/>
  <c r="CJ243"/>
  <c r="CK243"/>
  <c r="CL243"/>
  <c r="CM243"/>
  <c r="CN243"/>
  <c r="CO243"/>
  <c r="CP243"/>
  <c r="CQ243"/>
  <c r="CR243"/>
  <c r="CS243"/>
  <c r="CT243"/>
  <c r="CU243"/>
  <c r="CV243"/>
  <c r="CW243"/>
  <c r="CX243"/>
  <c r="CY243"/>
  <c r="CZ243"/>
  <c r="DA243"/>
  <c r="DB243"/>
  <c r="DC243"/>
  <c r="DD243"/>
  <c r="DE243"/>
  <c r="DF243"/>
  <c r="DG243"/>
  <c r="DH243"/>
  <c r="DI243"/>
  <c r="DJ243"/>
  <c r="DK243"/>
  <c r="DL243"/>
  <c r="DM243"/>
  <c r="DN243"/>
  <c r="DO243"/>
  <c r="DP243"/>
  <c r="DQ243"/>
  <c r="DR243"/>
  <c r="DS243"/>
  <c r="DT243"/>
  <c r="DU243"/>
  <c r="DV243"/>
  <c r="DW243"/>
  <c r="DX243"/>
  <c r="DY243"/>
  <c r="DZ243"/>
  <c r="EA243"/>
  <c r="EB243"/>
  <c r="EC243"/>
  <c r="ED243"/>
  <c r="EE243"/>
  <c r="EF243"/>
  <c r="EG243"/>
  <c r="EH243"/>
  <c r="EI243"/>
  <c r="EJ243"/>
  <c r="EK243"/>
  <c r="EL243"/>
  <c r="EM243"/>
  <c r="EN243"/>
  <c r="EO243"/>
  <c r="EP243"/>
  <c r="EQ243"/>
  <c r="ER243"/>
  <c r="ES243"/>
  <c r="ET243"/>
  <c r="EU243"/>
  <c r="EV243"/>
  <c r="EW243"/>
  <c r="EX243"/>
  <c r="EY243"/>
  <c r="EZ243"/>
  <c r="FA243"/>
  <c r="FB243"/>
  <c r="FC243"/>
  <c r="FD243"/>
  <c r="FE243"/>
  <c r="FF243"/>
  <c r="FG243"/>
  <c r="FH243"/>
  <c r="FI243"/>
  <c r="FJ243"/>
  <c r="FK243"/>
  <c r="FL243"/>
  <c r="FM243"/>
  <c r="FN243"/>
  <c r="FO243"/>
  <c r="FP243"/>
  <c r="FQ243"/>
  <c r="FR243"/>
  <c r="FS243"/>
  <c r="FT243"/>
  <c r="FU243"/>
  <c r="FV243"/>
  <c r="FW243"/>
  <c r="FX243"/>
  <c r="FY243"/>
  <c r="FZ243"/>
  <c r="GA243"/>
  <c r="GB243"/>
  <c r="GC243"/>
  <c r="GD243"/>
  <c r="GE243"/>
  <c r="GF243"/>
  <c r="GG243"/>
  <c r="GH243"/>
  <c r="GI243"/>
  <c r="GJ243"/>
  <c r="GK243"/>
  <c r="GL243"/>
  <c r="GM243"/>
  <c r="GN243"/>
  <c r="GO243"/>
  <c r="GP243"/>
  <c r="GQ243"/>
  <c r="GR243"/>
  <c r="GS243"/>
  <c r="GT243"/>
  <c r="GU243"/>
  <c r="GV243"/>
  <c r="GW243"/>
  <c r="GX243"/>
  <c r="GY243"/>
  <c r="GZ243"/>
  <c r="HA243"/>
  <c r="HB243"/>
  <c r="HC243"/>
  <c r="HD243"/>
  <c r="HE243"/>
  <c r="HF243"/>
  <c r="HG243"/>
  <c r="HH243"/>
  <c r="HI243"/>
  <c r="HJ243"/>
  <c r="HK243"/>
  <c r="HL243"/>
  <c r="HM243"/>
  <c r="HN243"/>
  <c r="HO243"/>
  <c r="HP243"/>
  <c r="HQ243"/>
  <c r="HR243"/>
  <c r="HS243"/>
  <c r="HT243"/>
  <c r="HU243"/>
  <c r="HV243"/>
  <c r="HW243"/>
  <c r="HX243"/>
  <c r="HY243"/>
  <c r="HZ243"/>
  <c r="IA243"/>
  <c r="IB243"/>
  <c r="IC243"/>
  <c r="ID243"/>
  <c r="IE243"/>
  <c r="IF243"/>
  <c r="IG243"/>
  <c r="IH243"/>
  <c r="II243"/>
  <c r="IJ243"/>
  <c r="IK243"/>
  <c r="IL243"/>
  <c r="IM243"/>
  <c r="IN243"/>
  <c r="IO243"/>
  <c r="IP243"/>
  <c r="IQ243"/>
  <c r="IR243"/>
  <c r="IS243"/>
  <c r="IT243"/>
  <c r="IU243"/>
  <c r="IV243"/>
  <c r="A242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AE242"/>
  <c r="AF242"/>
  <c r="AG242"/>
  <c r="AH242"/>
  <c r="AI242"/>
  <c r="AJ242"/>
  <c r="AK242"/>
  <c r="AL242"/>
  <c r="AM242"/>
  <c r="AN242"/>
  <c r="AO242"/>
  <c r="AP242"/>
  <c r="AQ242"/>
  <c r="AR242"/>
  <c r="AS242"/>
  <c r="AT242"/>
  <c r="AU242"/>
  <c r="AV242"/>
  <c r="AW242"/>
  <c r="AX242"/>
  <c r="AY242"/>
  <c r="AZ242"/>
  <c r="BA242"/>
  <c r="BB242"/>
  <c r="BC242"/>
  <c r="BD242"/>
  <c r="BE242"/>
  <c r="BF242"/>
  <c r="BG242"/>
  <c r="BH242"/>
  <c r="BI242"/>
  <c r="BJ242"/>
  <c r="BK242"/>
  <c r="BL242"/>
  <c r="BM242"/>
  <c r="BN242"/>
  <c r="BO242"/>
  <c r="BP242"/>
  <c r="BQ242"/>
  <c r="BR242"/>
  <c r="BS242"/>
  <c r="BT242"/>
  <c r="BU242"/>
  <c r="BV242"/>
  <c r="BW242"/>
  <c r="BX242"/>
  <c r="BY242"/>
  <c r="BZ242"/>
  <c r="CA242"/>
  <c r="CB242"/>
  <c r="CC242"/>
  <c r="CD242"/>
  <c r="CE242"/>
  <c r="CF242"/>
  <c r="CG242"/>
  <c r="CH242"/>
  <c r="CI242"/>
  <c r="CJ242"/>
  <c r="CK242"/>
  <c r="CL242"/>
  <c r="CM242"/>
  <c r="CN242"/>
  <c r="CO242"/>
  <c r="CP242"/>
  <c r="CQ242"/>
  <c r="CR242"/>
  <c r="CS242"/>
  <c r="CT242"/>
  <c r="CU242"/>
  <c r="CV242"/>
  <c r="CW242"/>
  <c r="CX242"/>
  <c r="CY242"/>
  <c r="CZ242"/>
  <c r="DA242"/>
  <c r="DB242"/>
  <c r="DC242"/>
  <c r="DD242"/>
  <c r="DE242"/>
  <c r="DF242"/>
  <c r="DG242"/>
  <c r="DH242"/>
  <c r="DI242"/>
  <c r="DJ242"/>
  <c r="DK242"/>
  <c r="DL242"/>
  <c r="DM242"/>
  <c r="DN242"/>
  <c r="DO242"/>
  <c r="DP242"/>
  <c r="DQ242"/>
  <c r="DR242"/>
  <c r="DS242"/>
  <c r="DT242"/>
  <c r="DU242"/>
  <c r="DV242"/>
  <c r="DW242"/>
  <c r="DX242"/>
  <c r="DY242"/>
  <c r="DZ242"/>
  <c r="EA242"/>
  <c r="EB242"/>
  <c r="EC242"/>
  <c r="ED242"/>
  <c r="EE242"/>
  <c r="EF242"/>
  <c r="EG242"/>
  <c r="EH242"/>
  <c r="EI242"/>
  <c r="EJ242"/>
  <c r="EK242"/>
  <c r="EL242"/>
  <c r="EM242"/>
  <c r="EN242"/>
  <c r="EO242"/>
  <c r="EP242"/>
  <c r="EQ242"/>
  <c r="ER242"/>
  <c r="ES242"/>
  <c r="ET242"/>
  <c r="EU242"/>
  <c r="EV242"/>
  <c r="EW242"/>
  <c r="EX242"/>
  <c r="EY242"/>
  <c r="EZ242"/>
  <c r="FA242"/>
  <c r="FB242"/>
  <c r="FC242"/>
  <c r="FD242"/>
  <c r="FE242"/>
  <c r="FF242"/>
  <c r="FG242"/>
  <c r="FH242"/>
  <c r="FI242"/>
  <c r="FJ242"/>
  <c r="FK242"/>
  <c r="FL242"/>
  <c r="FM242"/>
  <c r="FN242"/>
  <c r="FO242"/>
  <c r="FP242"/>
  <c r="FQ242"/>
  <c r="FR242"/>
  <c r="FS242"/>
  <c r="FT242"/>
  <c r="FU242"/>
  <c r="FV242"/>
  <c r="FW242"/>
  <c r="FX242"/>
  <c r="FY242"/>
  <c r="FZ242"/>
  <c r="GA242"/>
  <c r="GB242"/>
  <c r="GC242"/>
  <c r="GD242"/>
  <c r="GE242"/>
  <c r="GF242"/>
  <c r="GG242"/>
  <c r="GH242"/>
  <c r="GI242"/>
  <c r="GJ242"/>
  <c r="GK242"/>
  <c r="GL242"/>
  <c r="GM242"/>
  <c r="GN242"/>
  <c r="GO242"/>
  <c r="GP242"/>
  <c r="GQ242"/>
  <c r="GR242"/>
  <c r="GS242"/>
  <c r="GT242"/>
  <c r="GU242"/>
  <c r="GV242"/>
  <c r="GW242"/>
  <c r="GX242"/>
  <c r="GY242"/>
  <c r="GZ242"/>
  <c r="HA242"/>
  <c r="HB242"/>
  <c r="HC242"/>
  <c r="HD242"/>
  <c r="HE242"/>
  <c r="HF242"/>
  <c r="HG242"/>
  <c r="HH242"/>
  <c r="HI242"/>
  <c r="HJ242"/>
  <c r="HK242"/>
  <c r="HL242"/>
  <c r="HM242"/>
  <c r="HN242"/>
  <c r="HO242"/>
  <c r="HP242"/>
  <c r="HQ242"/>
  <c r="HR242"/>
  <c r="HS242"/>
  <c r="HT242"/>
  <c r="HU242"/>
  <c r="HV242"/>
  <c r="HW242"/>
  <c r="HX242"/>
  <c r="HY242"/>
  <c r="HZ242"/>
  <c r="IA242"/>
  <c r="IB242"/>
  <c r="IC242"/>
  <c r="ID242"/>
  <c r="IE242"/>
  <c r="IF242"/>
  <c r="IG242"/>
  <c r="IH242"/>
  <c r="II242"/>
  <c r="IJ242"/>
  <c r="IK242"/>
  <c r="IL242"/>
  <c r="IM242"/>
  <c r="IN242"/>
  <c r="IO242"/>
  <c r="IP242"/>
  <c r="IQ242"/>
  <c r="IR242"/>
  <c r="IS242"/>
  <c r="IT242"/>
  <c r="IU242"/>
  <c r="IV242"/>
  <c r="A241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AT241"/>
  <c r="AU241"/>
  <c r="AV241"/>
  <c r="AW241"/>
  <c r="AX241"/>
  <c r="AY241"/>
  <c r="AZ241"/>
  <c r="BA241"/>
  <c r="BB241"/>
  <c r="BC241"/>
  <c r="BD241"/>
  <c r="BE241"/>
  <c r="BF241"/>
  <c r="BG241"/>
  <c r="BH241"/>
  <c r="BI241"/>
  <c r="BJ241"/>
  <c r="BK241"/>
  <c r="BL241"/>
  <c r="BM241"/>
  <c r="BN241"/>
  <c r="BO241"/>
  <c r="BP241"/>
  <c r="BQ241"/>
  <c r="BR241"/>
  <c r="BS241"/>
  <c r="BT241"/>
  <c r="BU241"/>
  <c r="BV241"/>
  <c r="BW241"/>
  <c r="BX241"/>
  <c r="BY241"/>
  <c r="BZ241"/>
  <c r="CA241"/>
  <c r="CB241"/>
  <c r="CC241"/>
  <c r="CD241"/>
  <c r="CE241"/>
  <c r="CF241"/>
  <c r="CG241"/>
  <c r="CH241"/>
  <c r="CI241"/>
  <c r="CJ241"/>
  <c r="CK241"/>
  <c r="CL241"/>
  <c r="CM241"/>
  <c r="CN241"/>
  <c r="CO241"/>
  <c r="CP241"/>
  <c r="CQ241"/>
  <c r="CR241"/>
  <c r="CS241"/>
  <c r="CT241"/>
  <c r="CU241"/>
  <c r="CV241"/>
  <c r="CW241"/>
  <c r="CX241"/>
  <c r="CY241"/>
  <c r="CZ241"/>
  <c r="DA241"/>
  <c r="DB241"/>
  <c r="DC241"/>
  <c r="DD241"/>
  <c r="DE241"/>
  <c r="DF241"/>
  <c r="DG241"/>
  <c r="DH241"/>
  <c r="DI241"/>
  <c r="DJ241"/>
  <c r="DK241"/>
  <c r="DL241"/>
  <c r="DM241"/>
  <c r="DN241"/>
  <c r="DO241"/>
  <c r="DP241"/>
  <c r="DQ241"/>
  <c r="DR241"/>
  <c r="DS241"/>
  <c r="DT241"/>
  <c r="DU241"/>
  <c r="DV241"/>
  <c r="DW241"/>
  <c r="DX241"/>
  <c r="DY241"/>
  <c r="DZ241"/>
  <c r="EA241"/>
  <c r="EB241"/>
  <c r="EC241"/>
  <c r="ED241"/>
  <c r="EE241"/>
  <c r="EF241"/>
  <c r="EG241"/>
  <c r="EH241"/>
  <c r="EI241"/>
  <c r="EJ241"/>
  <c r="EK241"/>
  <c r="EL241"/>
  <c r="EM241"/>
  <c r="EN241"/>
  <c r="EO241"/>
  <c r="EP241"/>
  <c r="EQ241"/>
  <c r="ER241"/>
  <c r="ES241"/>
  <c r="ET241"/>
  <c r="EU241"/>
  <c r="EV241"/>
  <c r="EW241"/>
  <c r="EX241"/>
  <c r="EY241"/>
  <c r="EZ241"/>
  <c r="FA241"/>
  <c r="FB241"/>
  <c r="FC241"/>
  <c r="FD241"/>
  <c r="FE241"/>
  <c r="FF241"/>
  <c r="FG241"/>
  <c r="FH241"/>
  <c r="FI241"/>
  <c r="FJ241"/>
  <c r="FK241"/>
  <c r="FL241"/>
  <c r="FM241"/>
  <c r="FN241"/>
  <c r="FO241"/>
  <c r="FP241"/>
  <c r="FQ241"/>
  <c r="FR241"/>
  <c r="FS241"/>
  <c r="FT241"/>
  <c r="FU241"/>
  <c r="FV241"/>
  <c r="FW241"/>
  <c r="FX241"/>
  <c r="FY241"/>
  <c r="FZ241"/>
  <c r="GA241"/>
  <c r="GB241"/>
  <c r="GC241"/>
  <c r="GD241"/>
  <c r="GE241"/>
  <c r="GF241"/>
  <c r="GG241"/>
  <c r="GH241"/>
  <c r="GI241"/>
  <c r="GJ241"/>
  <c r="GK241"/>
  <c r="GL241"/>
  <c r="GM241"/>
  <c r="GN241"/>
  <c r="GO241"/>
  <c r="GP241"/>
  <c r="GQ241"/>
  <c r="GR241"/>
  <c r="GS241"/>
  <c r="GT241"/>
  <c r="GU241"/>
  <c r="GV241"/>
  <c r="GW241"/>
  <c r="GX241"/>
  <c r="GY241"/>
  <c r="GZ241"/>
  <c r="HA241"/>
  <c r="HB241"/>
  <c r="HC241"/>
  <c r="HD241"/>
  <c r="HE241"/>
  <c r="HF241"/>
  <c r="HG241"/>
  <c r="HH241"/>
  <c r="HI241"/>
  <c r="HJ241"/>
  <c r="HK241"/>
  <c r="HL241"/>
  <c r="HM241"/>
  <c r="HN241"/>
  <c r="HO241"/>
  <c r="HP241"/>
  <c r="HQ241"/>
  <c r="HR241"/>
  <c r="HS241"/>
  <c r="HT241"/>
  <c r="HU241"/>
  <c r="HV241"/>
  <c r="HW241"/>
  <c r="HX241"/>
  <c r="HY241"/>
  <c r="HZ241"/>
  <c r="IA241"/>
  <c r="IB241"/>
  <c r="IC241"/>
  <c r="ID241"/>
  <c r="IE241"/>
  <c r="IF241"/>
  <c r="IG241"/>
  <c r="IH241"/>
  <c r="II241"/>
  <c r="IJ241"/>
  <c r="IK241"/>
  <c r="IL241"/>
  <c r="IM241"/>
  <c r="IN241"/>
  <c r="IO241"/>
  <c r="IP241"/>
  <c r="IQ241"/>
  <c r="IR241"/>
  <c r="IS241"/>
  <c r="IT241"/>
  <c r="IU241"/>
  <c r="IV241"/>
  <c r="A240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Y240"/>
  <c r="AZ240"/>
  <c r="BA240"/>
  <c r="BB240"/>
  <c r="BC240"/>
  <c r="BD240"/>
  <c r="BE240"/>
  <c r="BF240"/>
  <c r="BG240"/>
  <c r="BH240"/>
  <c r="BI240"/>
  <c r="BJ240"/>
  <c r="BK240"/>
  <c r="BL240"/>
  <c r="BM240"/>
  <c r="BN240"/>
  <c r="BO240"/>
  <c r="BP240"/>
  <c r="BQ240"/>
  <c r="BR240"/>
  <c r="BS240"/>
  <c r="BT240"/>
  <c r="BU240"/>
  <c r="BV240"/>
  <c r="BW240"/>
  <c r="BX240"/>
  <c r="BY240"/>
  <c r="BZ240"/>
  <c r="CA240"/>
  <c r="CB240"/>
  <c r="CC240"/>
  <c r="CD240"/>
  <c r="CE240"/>
  <c r="CF240"/>
  <c r="CG240"/>
  <c r="CH240"/>
  <c r="CI240"/>
  <c r="CJ240"/>
  <c r="CK240"/>
  <c r="CL240"/>
  <c r="CM240"/>
  <c r="CN240"/>
  <c r="CO240"/>
  <c r="CP240"/>
  <c r="CQ240"/>
  <c r="CR240"/>
  <c r="CS240"/>
  <c r="CT240"/>
  <c r="CU240"/>
  <c r="CV240"/>
  <c r="CW240"/>
  <c r="CX240"/>
  <c r="CY240"/>
  <c r="CZ240"/>
  <c r="DA240"/>
  <c r="DB240"/>
  <c r="DC240"/>
  <c r="DD240"/>
  <c r="DE240"/>
  <c r="DF240"/>
  <c r="DG240"/>
  <c r="DH240"/>
  <c r="DI240"/>
  <c r="DJ240"/>
  <c r="DK240"/>
  <c r="DL240"/>
  <c r="DM240"/>
  <c r="DN240"/>
  <c r="DO240"/>
  <c r="DP240"/>
  <c r="DQ240"/>
  <c r="DR240"/>
  <c r="DS240"/>
  <c r="DT240"/>
  <c r="DU240"/>
  <c r="DV240"/>
  <c r="DW240"/>
  <c r="DX240"/>
  <c r="DY240"/>
  <c r="DZ240"/>
  <c r="EA240"/>
  <c r="EB240"/>
  <c r="EC240"/>
  <c r="ED240"/>
  <c r="EE240"/>
  <c r="EF240"/>
  <c r="EG240"/>
  <c r="EH240"/>
  <c r="EI240"/>
  <c r="EJ240"/>
  <c r="EK240"/>
  <c r="EL240"/>
  <c r="EM240"/>
  <c r="EN240"/>
  <c r="EO240"/>
  <c r="EP240"/>
  <c r="EQ240"/>
  <c r="ER240"/>
  <c r="ES240"/>
  <c r="ET240"/>
  <c r="EU240"/>
  <c r="EV240"/>
  <c r="EW240"/>
  <c r="EX240"/>
  <c r="EY240"/>
  <c r="EZ240"/>
  <c r="FA240"/>
  <c r="FB240"/>
  <c r="FC240"/>
  <c r="FD240"/>
  <c r="FE240"/>
  <c r="FF240"/>
  <c r="FG240"/>
  <c r="FH240"/>
  <c r="FI240"/>
  <c r="FJ240"/>
  <c r="FK240"/>
  <c r="FL240"/>
  <c r="FM240"/>
  <c r="FN240"/>
  <c r="FO240"/>
  <c r="FP240"/>
  <c r="FQ240"/>
  <c r="FR240"/>
  <c r="FS240"/>
  <c r="FT240"/>
  <c r="FU240"/>
  <c r="FV240"/>
  <c r="FW240"/>
  <c r="FX240"/>
  <c r="FY240"/>
  <c r="FZ240"/>
  <c r="GA240"/>
  <c r="GB240"/>
  <c r="GC240"/>
  <c r="GD240"/>
  <c r="GE240"/>
  <c r="GF240"/>
  <c r="GG240"/>
  <c r="GH240"/>
  <c r="GI240"/>
  <c r="GJ240"/>
  <c r="GK240"/>
  <c r="GL240"/>
  <c r="GM240"/>
  <c r="GN240"/>
  <c r="GO240"/>
  <c r="GP240"/>
  <c r="GQ240"/>
  <c r="GR240"/>
  <c r="GS240"/>
  <c r="GT240"/>
  <c r="GU240"/>
  <c r="GV240"/>
  <c r="GW240"/>
  <c r="GX240"/>
  <c r="GY240"/>
  <c r="GZ240"/>
  <c r="HA240"/>
  <c r="HB240"/>
  <c r="HC240"/>
  <c r="HD240"/>
  <c r="HE240"/>
  <c r="HF240"/>
  <c r="HG240"/>
  <c r="HH240"/>
  <c r="HI240"/>
  <c r="HJ240"/>
  <c r="HK240"/>
  <c r="HL240"/>
  <c r="HM240"/>
  <c r="HN240"/>
  <c r="HO240"/>
  <c r="HP240"/>
  <c r="HQ240"/>
  <c r="HR240"/>
  <c r="HS240"/>
  <c r="HT240"/>
  <c r="HU240"/>
  <c r="HV240"/>
  <c r="HW240"/>
  <c r="HX240"/>
  <c r="HY240"/>
  <c r="HZ240"/>
  <c r="IA240"/>
  <c r="IB240"/>
  <c r="IC240"/>
  <c r="ID240"/>
  <c r="IE240"/>
  <c r="IF240"/>
  <c r="IG240"/>
  <c r="IH240"/>
  <c r="II240"/>
  <c r="IJ240"/>
  <c r="IK240"/>
  <c r="IL240"/>
  <c r="IM240"/>
  <c r="IN240"/>
  <c r="IO240"/>
  <c r="IP240"/>
  <c r="IQ240"/>
  <c r="IR240"/>
  <c r="IS240"/>
  <c r="IT240"/>
  <c r="IU240"/>
  <c r="IV240"/>
  <c r="A239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Y239"/>
  <c r="AZ239"/>
  <c r="BA239"/>
  <c r="BB239"/>
  <c r="BC239"/>
  <c r="BD239"/>
  <c r="BE239"/>
  <c r="BF239"/>
  <c r="BG239"/>
  <c r="BH239"/>
  <c r="BI239"/>
  <c r="BJ239"/>
  <c r="BK239"/>
  <c r="BL239"/>
  <c r="BM239"/>
  <c r="BN239"/>
  <c r="BO239"/>
  <c r="BP239"/>
  <c r="BQ239"/>
  <c r="BR239"/>
  <c r="BS239"/>
  <c r="BT239"/>
  <c r="BU239"/>
  <c r="BV239"/>
  <c r="BW239"/>
  <c r="BX239"/>
  <c r="BY239"/>
  <c r="BZ239"/>
  <c r="CA239"/>
  <c r="CB239"/>
  <c r="CC239"/>
  <c r="CD239"/>
  <c r="CE239"/>
  <c r="CF239"/>
  <c r="CG239"/>
  <c r="CH239"/>
  <c r="CI239"/>
  <c r="CJ239"/>
  <c r="CK239"/>
  <c r="CL239"/>
  <c r="CM239"/>
  <c r="CN239"/>
  <c r="CO239"/>
  <c r="CP239"/>
  <c r="CQ239"/>
  <c r="CR239"/>
  <c r="CS239"/>
  <c r="CT239"/>
  <c r="CU239"/>
  <c r="CV239"/>
  <c r="CW239"/>
  <c r="CX239"/>
  <c r="CY239"/>
  <c r="CZ239"/>
  <c r="DA239"/>
  <c r="DB239"/>
  <c r="DC239"/>
  <c r="DD239"/>
  <c r="DE239"/>
  <c r="DF239"/>
  <c r="DG239"/>
  <c r="DH239"/>
  <c r="DI239"/>
  <c r="DJ239"/>
  <c r="DK239"/>
  <c r="DL239"/>
  <c r="DM239"/>
  <c r="DN239"/>
  <c r="DO239"/>
  <c r="DP239"/>
  <c r="DQ239"/>
  <c r="DR239"/>
  <c r="DS239"/>
  <c r="DT239"/>
  <c r="DU239"/>
  <c r="DV239"/>
  <c r="DW239"/>
  <c r="DX239"/>
  <c r="DY239"/>
  <c r="DZ239"/>
  <c r="EA239"/>
  <c r="EB239"/>
  <c r="EC239"/>
  <c r="ED239"/>
  <c r="EE239"/>
  <c r="EF239"/>
  <c r="EG239"/>
  <c r="EH239"/>
  <c r="EI239"/>
  <c r="EJ239"/>
  <c r="EK239"/>
  <c r="EL239"/>
  <c r="EM239"/>
  <c r="EN239"/>
  <c r="EO239"/>
  <c r="EP239"/>
  <c r="EQ239"/>
  <c r="ER239"/>
  <c r="ES239"/>
  <c r="ET239"/>
  <c r="EU239"/>
  <c r="EV239"/>
  <c r="EW239"/>
  <c r="EX239"/>
  <c r="EY239"/>
  <c r="EZ239"/>
  <c r="FA239"/>
  <c r="FB239"/>
  <c r="FC239"/>
  <c r="FD239"/>
  <c r="FE239"/>
  <c r="FF239"/>
  <c r="FG239"/>
  <c r="FH239"/>
  <c r="FI239"/>
  <c r="FJ239"/>
  <c r="FK239"/>
  <c r="FL239"/>
  <c r="FM239"/>
  <c r="FN239"/>
  <c r="FO239"/>
  <c r="FP239"/>
  <c r="FQ239"/>
  <c r="FR239"/>
  <c r="FS239"/>
  <c r="FT239"/>
  <c r="FU239"/>
  <c r="FV239"/>
  <c r="FW239"/>
  <c r="FX239"/>
  <c r="FY239"/>
  <c r="FZ239"/>
  <c r="GA239"/>
  <c r="GB239"/>
  <c r="GC239"/>
  <c r="GD239"/>
  <c r="GE239"/>
  <c r="GF239"/>
  <c r="GG239"/>
  <c r="GH239"/>
  <c r="GI239"/>
  <c r="GJ239"/>
  <c r="GK239"/>
  <c r="GL239"/>
  <c r="GM239"/>
  <c r="GN239"/>
  <c r="GO239"/>
  <c r="GP239"/>
  <c r="GQ239"/>
  <c r="GR239"/>
  <c r="GS239"/>
  <c r="GT239"/>
  <c r="GU239"/>
  <c r="GV239"/>
  <c r="GW239"/>
  <c r="GX239"/>
  <c r="GY239"/>
  <c r="GZ239"/>
  <c r="HA239"/>
  <c r="HB239"/>
  <c r="HC239"/>
  <c r="HD239"/>
  <c r="HE239"/>
  <c r="HF239"/>
  <c r="HG239"/>
  <c r="HH239"/>
  <c r="HI239"/>
  <c r="HJ239"/>
  <c r="HK239"/>
  <c r="HL239"/>
  <c r="HM239"/>
  <c r="HN239"/>
  <c r="HO239"/>
  <c r="HP239"/>
  <c r="HQ239"/>
  <c r="HR239"/>
  <c r="HS239"/>
  <c r="HT239"/>
  <c r="HU239"/>
  <c r="HV239"/>
  <c r="HW239"/>
  <c r="HX239"/>
  <c r="HY239"/>
  <c r="HZ239"/>
  <c r="IA239"/>
  <c r="IB239"/>
  <c r="IC239"/>
  <c r="ID239"/>
  <c r="IE239"/>
  <c r="IF239"/>
  <c r="IG239"/>
  <c r="IH239"/>
  <c r="II239"/>
  <c r="IJ239"/>
  <c r="IK239"/>
  <c r="IL239"/>
  <c r="IM239"/>
  <c r="IN239"/>
  <c r="IO239"/>
  <c r="IP239"/>
  <c r="IQ239"/>
  <c r="IR239"/>
  <c r="IS239"/>
  <c r="IT239"/>
  <c r="IU239"/>
  <c r="IV239"/>
  <c r="A238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AT238"/>
  <c r="AU238"/>
  <c r="AV238"/>
  <c r="AW238"/>
  <c r="AX238"/>
  <c r="AY238"/>
  <c r="AZ238"/>
  <c r="BA238"/>
  <c r="BB238"/>
  <c r="BC238"/>
  <c r="BD238"/>
  <c r="BE238"/>
  <c r="BF238"/>
  <c r="BG238"/>
  <c r="BH238"/>
  <c r="BI238"/>
  <c r="BJ238"/>
  <c r="BK238"/>
  <c r="BL238"/>
  <c r="BM238"/>
  <c r="BN238"/>
  <c r="BO238"/>
  <c r="BP238"/>
  <c r="BQ238"/>
  <c r="BR238"/>
  <c r="BS238"/>
  <c r="BT238"/>
  <c r="BU238"/>
  <c r="BV238"/>
  <c r="BW238"/>
  <c r="BX238"/>
  <c r="BY238"/>
  <c r="BZ238"/>
  <c r="CA238"/>
  <c r="CB238"/>
  <c r="CC238"/>
  <c r="CD238"/>
  <c r="CE238"/>
  <c r="CF238"/>
  <c r="CG238"/>
  <c r="CH238"/>
  <c r="CI238"/>
  <c r="CJ238"/>
  <c r="CK238"/>
  <c r="CL238"/>
  <c r="CM238"/>
  <c r="CN238"/>
  <c r="CO238"/>
  <c r="CP238"/>
  <c r="CQ238"/>
  <c r="CR238"/>
  <c r="CS238"/>
  <c r="CT238"/>
  <c r="CU238"/>
  <c r="CV238"/>
  <c r="CW238"/>
  <c r="CX238"/>
  <c r="CY238"/>
  <c r="CZ238"/>
  <c r="DA238"/>
  <c r="DB238"/>
  <c r="DC238"/>
  <c r="DD238"/>
  <c r="DE238"/>
  <c r="DF238"/>
  <c r="DG238"/>
  <c r="DH238"/>
  <c r="DI238"/>
  <c r="DJ238"/>
  <c r="DK238"/>
  <c r="DL238"/>
  <c r="DM238"/>
  <c r="DN238"/>
  <c r="DO238"/>
  <c r="DP238"/>
  <c r="DQ238"/>
  <c r="DR238"/>
  <c r="DS238"/>
  <c r="DT238"/>
  <c r="DU238"/>
  <c r="DV238"/>
  <c r="DW238"/>
  <c r="DX238"/>
  <c r="DY238"/>
  <c r="DZ238"/>
  <c r="EA238"/>
  <c r="EB238"/>
  <c r="EC238"/>
  <c r="ED238"/>
  <c r="EE238"/>
  <c r="EF238"/>
  <c r="EG238"/>
  <c r="EH238"/>
  <c r="EI238"/>
  <c r="EJ238"/>
  <c r="EK238"/>
  <c r="EL238"/>
  <c r="EM238"/>
  <c r="EN238"/>
  <c r="EO238"/>
  <c r="EP238"/>
  <c r="EQ238"/>
  <c r="ER238"/>
  <c r="ES238"/>
  <c r="ET238"/>
  <c r="EU238"/>
  <c r="EV238"/>
  <c r="EW238"/>
  <c r="EX238"/>
  <c r="EY238"/>
  <c r="EZ238"/>
  <c r="FA238"/>
  <c r="FB238"/>
  <c r="FC238"/>
  <c r="FD238"/>
  <c r="FE238"/>
  <c r="FF238"/>
  <c r="FG238"/>
  <c r="FH238"/>
  <c r="FI238"/>
  <c r="FJ238"/>
  <c r="FK238"/>
  <c r="FL238"/>
  <c r="FM238"/>
  <c r="FN238"/>
  <c r="FO238"/>
  <c r="FP238"/>
  <c r="FQ238"/>
  <c r="FR238"/>
  <c r="FS238"/>
  <c r="FT238"/>
  <c r="FU238"/>
  <c r="FV238"/>
  <c r="FW238"/>
  <c r="FX238"/>
  <c r="FY238"/>
  <c r="FZ238"/>
  <c r="GA238"/>
  <c r="GB238"/>
  <c r="GC238"/>
  <c r="GD238"/>
  <c r="GE238"/>
  <c r="GF238"/>
  <c r="GG238"/>
  <c r="GH238"/>
  <c r="GI238"/>
  <c r="GJ238"/>
  <c r="GK238"/>
  <c r="GL238"/>
  <c r="GM238"/>
  <c r="GN238"/>
  <c r="GO238"/>
  <c r="GP238"/>
  <c r="GQ238"/>
  <c r="GR238"/>
  <c r="GS238"/>
  <c r="GT238"/>
  <c r="GU238"/>
  <c r="GV238"/>
  <c r="GW238"/>
  <c r="GX238"/>
  <c r="GY238"/>
  <c r="GZ238"/>
  <c r="HA238"/>
  <c r="HB238"/>
  <c r="HC238"/>
  <c r="HD238"/>
  <c r="HE238"/>
  <c r="HF238"/>
  <c r="HG238"/>
  <c r="HH238"/>
  <c r="HI238"/>
  <c r="HJ238"/>
  <c r="HK238"/>
  <c r="HL238"/>
  <c r="HM238"/>
  <c r="HN238"/>
  <c r="HO238"/>
  <c r="HP238"/>
  <c r="HQ238"/>
  <c r="HR238"/>
  <c r="HS238"/>
  <c r="HT238"/>
  <c r="HU238"/>
  <c r="HV238"/>
  <c r="HW238"/>
  <c r="HX238"/>
  <c r="HY238"/>
  <c r="HZ238"/>
  <c r="IA238"/>
  <c r="IB238"/>
  <c r="IC238"/>
  <c r="ID238"/>
  <c r="IE238"/>
  <c r="IF238"/>
  <c r="IG238"/>
  <c r="IH238"/>
  <c r="II238"/>
  <c r="IJ238"/>
  <c r="IK238"/>
  <c r="IL238"/>
  <c r="IM238"/>
  <c r="IN238"/>
  <c r="IO238"/>
  <c r="IP238"/>
  <c r="IQ238"/>
  <c r="IR238"/>
  <c r="IS238"/>
  <c r="IT238"/>
  <c r="IU238"/>
  <c r="IV238"/>
  <c r="A237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AV237"/>
  <c r="AW237"/>
  <c r="AX237"/>
  <c r="AY237"/>
  <c r="AZ237"/>
  <c r="BA237"/>
  <c r="BB237"/>
  <c r="BC237"/>
  <c r="BD237"/>
  <c r="BE237"/>
  <c r="BF237"/>
  <c r="BG237"/>
  <c r="BH237"/>
  <c r="BI237"/>
  <c r="BJ237"/>
  <c r="BK237"/>
  <c r="BL237"/>
  <c r="BM237"/>
  <c r="BN237"/>
  <c r="BO237"/>
  <c r="BP237"/>
  <c r="BQ237"/>
  <c r="BR237"/>
  <c r="BS237"/>
  <c r="BT237"/>
  <c r="BU237"/>
  <c r="BV237"/>
  <c r="BW237"/>
  <c r="BX237"/>
  <c r="BY237"/>
  <c r="BZ237"/>
  <c r="CA237"/>
  <c r="CB237"/>
  <c r="CC237"/>
  <c r="CD237"/>
  <c r="CE237"/>
  <c r="CF237"/>
  <c r="CG237"/>
  <c r="CH237"/>
  <c r="CI237"/>
  <c r="CJ237"/>
  <c r="CK237"/>
  <c r="CL237"/>
  <c r="CM237"/>
  <c r="CN237"/>
  <c r="CO237"/>
  <c r="CP237"/>
  <c r="CQ237"/>
  <c r="CR237"/>
  <c r="CS237"/>
  <c r="CT237"/>
  <c r="CU237"/>
  <c r="CV237"/>
  <c r="CW237"/>
  <c r="CX237"/>
  <c r="CY237"/>
  <c r="CZ237"/>
  <c r="DA237"/>
  <c r="DB237"/>
  <c r="DC237"/>
  <c r="DD237"/>
  <c r="DE237"/>
  <c r="DF237"/>
  <c r="DG237"/>
  <c r="DH237"/>
  <c r="DI237"/>
  <c r="DJ237"/>
  <c r="DK237"/>
  <c r="DL237"/>
  <c r="DM237"/>
  <c r="DN237"/>
  <c r="DO237"/>
  <c r="DP237"/>
  <c r="DQ237"/>
  <c r="DR237"/>
  <c r="DS237"/>
  <c r="DT237"/>
  <c r="DU237"/>
  <c r="DV237"/>
  <c r="DW237"/>
  <c r="DX237"/>
  <c r="DY237"/>
  <c r="DZ237"/>
  <c r="EA237"/>
  <c r="EB237"/>
  <c r="EC237"/>
  <c r="ED237"/>
  <c r="EE237"/>
  <c r="EF237"/>
  <c r="EG237"/>
  <c r="EH237"/>
  <c r="EI237"/>
  <c r="EJ237"/>
  <c r="EK237"/>
  <c r="EL237"/>
  <c r="EM237"/>
  <c r="EN237"/>
  <c r="EO237"/>
  <c r="EP237"/>
  <c r="EQ237"/>
  <c r="ER237"/>
  <c r="ES237"/>
  <c r="ET237"/>
  <c r="EU237"/>
  <c r="EV237"/>
  <c r="EW237"/>
  <c r="EX237"/>
  <c r="EY237"/>
  <c r="EZ237"/>
  <c r="FA237"/>
  <c r="FB237"/>
  <c r="FC237"/>
  <c r="FD237"/>
  <c r="FE237"/>
  <c r="FF237"/>
  <c r="FG237"/>
  <c r="FH237"/>
  <c r="FI237"/>
  <c r="FJ237"/>
  <c r="FK237"/>
  <c r="FL237"/>
  <c r="FM237"/>
  <c r="FN237"/>
  <c r="FO237"/>
  <c r="FP237"/>
  <c r="FQ237"/>
  <c r="FR237"/>
  <c r="FS237"/>
  <c r="FT237"/>
  <c r="FU237"/>
  <c r="FV237"/>
  <c r="FW237"/>
  <c r="FX237"/>
  <c r="FY237"/>
  <c r="FZ237"/>
  <c r="GA237"/>
  <c r="GB237"/>
  <c r="GC237"/>
  <c r="GD237"/>
  <c r="GE237"/>
  <c r="GF237"/>
  <c r="GG237"/>
  <c r="GH237"/>
  <c r="GI237"/>
  <c r="GJ237"/>
  <c r="GK237"/>
  <c r="GL237"/>
  <c r="GM237"/>
  <c r="GN237"/>
  <c r="GO237"/>
  <c r="GP237"/>
  <c r="GQ237"/>
  <c r="GR237"/>
  <c r="GS237"/>
  <c r="GT237"/>
  <c r="GU237"/>
  <c r="GV237"/>
  <c r="GW237"/>
  <c r="GX237"/>
  <c r="GY237"/>
  <c r="GZ237"/>
  <c r="HA237"/>
  <c r="HB237"/>
  <c r="HC237"/>
  <c r="HD237"/>
  <c r="HE237"/>
  <c r="HF237"/>
  <c r="HG237"/>
  <c r="HH237"/>
  <c r="HI237"/>
  <c r="HJ237"/>
  <c r="HK237"/>
  <c r="HL237"/>
  <c r="HM237"/>
  <c r="HN237"/>
  <c r="HO237"/>
  <c r="HP237"/>
  <c r="HQ237"/>
  <c r="HR237"/>
  <c r="HS237"/>
  <c r="HT237"/>
  <c r="HU237"/>
  <c r="HV237"/>
  <c r="HW237"/>
  <c r="HX237"/>
  <c r="HY237"/>
  <c r="HZ237"/>
  <c r="IA237"/>
  <c r="IB237"/>
  <c r="IC237"/>
  <c r="ID237"/>
  <c r="IE237"/>
  <c r="IF237"/>
  <c r="IG237"/>
  <c r="IH237"/>
  <c r="II237"/>
  <c r="IJ237"/>
  <c r="IK237"/>
  <c r="IL237"/>
  <c r="IM237"/>
  <c r="IN237"/>
  <c r="IO237"/>
  <c r="IP237"/>
  <c r="IQ237"/>
  <c r="IR237"/>
  <c r="IS237"/>
  <c r="IT237"/>
  <c r="IU237"/>
  <c r="IV237"/>
  <c r="A236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AV236"/>
  <c r="AW236"/>
  <c r="AX236"/>
  <c r="AY236"/>
  <c r="AZ236"/>
  <c r="BA236"/>
  <c r="BB236"/>
  <c r="BC236"/>
  <c r="BD236"/>
  <c r="BE236"/>
  <c r="BF236"/>
  <c r="BG236"/>
  <c r="BH236"/>
  <c r="BI236"/>
  <c r="BJ236"/>
  <c r="BK236"/>
  <c r="BL236"/>
  <c r="BM236"/>
  <c r="BN236"/>
  <c r="BO236"/>
  <c r="BP236"/>
  <c r="BQ236"/>
  <c r="BR236"/>
  <c r="BS236"/>
  <c r="BT236"/>
  <c r="BU236"/>
  <c r="BV236"/>
  <c r="BW236"/>
  <c r="BX236"/>
  <c r="BY236"/>
  <c r="BZ236"/>
  <c r="CA236"/>
  <c r="CB236"/>
  <c r="CC236"/>
  <c r="CD236"/>
  <c r="CE236"/>
  <c r="CF236"/>
  <c r="CG236"/>
  <c r="CH236"/>
  <c r="CI236"/>
  <c r="CJ236"/>
  <c r="CK236"/>
  <c r="CL236"/>
  <c r="CM236"/>
  <c r="CN236"/>
  <c r="CO236"/>
  <c r="CP236"/>
  <c r="CQ236"/>
  <c r="CR236"/>
  <c r="CS236"/>
  <c r="CT236"/>
  <c r="CU236"/>
  <c r="CV236"/>
  <c r="CW236"/>
  <c r="CX236"/>
  <c r="CY236"/>
  <c r="CZ236"/>
  <c r="DA236"/>
  <c r="DB236"/>
  <c r="DC236"/>
  <c r="DD236"/>
  <c r="DE236"/>
  <c r="DF236"/>
  <c r="DG236"/>
  <c r="DH236"/>
  <c r="DI236"/>
  <c r="DJ236"/>
  <c r="DK236"/>
  <c r="DL236"/>
  <c r="DM236"/>
  <c r="DN236"/>
  <c r="DO236"/>
  <c r="DP236"/>
  <c r="DQ236"/>
  <c r="DR236"/>
  <c r="DS236"/>
  <c r="DT236"/>
  <c r="DU236"/>
  <c r="DV236"/>
  <c r="DW236"/>
  <c r="DX236"/>
  <c r="DY236"/>
  <c r="DZ236"/>
  <c r="EA236"/>
  <c r="EB236"/>
  <c r="EC236"/>
  <c r="ED236"/>
  <c r="EE236"/>
  <c r="EF236"/>
  <c r="EG236"/>
  <c r="EH236"/>
  <c r="EI236"/>
  <c r="EJ236"/>
  <c r="EK236"/>
  <c r="EL236"/>
  <c r="EM236"/>
  <c r="EN236"/>
  <c r="EO236"/>
  <c r="EP236"/>
  <c r="EQ236"/>
  <c r="ER236"/>
  <c r="ES236"/>
  <c r="ET236"/>
  <c r="EU236"/>
  <c r="EV236"/>
  <c r="EW236"/>
  <c r="EX236"/>
  <c r="EY236"/>
  <c r="EZ236"/>
  <c r="FA236"/>
  <c r="FB236"/>
  <c r="FC236"/>
  <c r="FD236"/>
  <c r="FE236"/>
  <c r="FF236"/>
  <c r="FG236"/>
  <c r="FH236"/>
  <c r="FI236"/>
  <c r="FJ236"/>
  <c r="FK236"/>
  <c r="FL236"/>
  <c r="FM236"/>
  <c r="FN236"/>
  <c r="FO236"/>
  <c r="FP236"/>
  <c r="FQ236"/>
  <c r="FR236"/>
  <c r="FS236"/>
  <c r="FT236"/>
  <c r="FU236"/>
  <c r="FV236"/>
  <c r="FW236"/>
  <c r="FX236"/>
  <c r="FY236"/>
  <c r="FZ236"/>
  <c r="GA236"/>
  <c r="GB236"/>
  <c r="GC236"/>
  <c r="GD236"/>
  <c r="GE236"/>
  <c r="GF236"/>
  <c r="GG236"/>
  <c r="GH236"/>
  <c r="GI236"/>
  <c r="GJ236"/>
  <c r="GK236"/>
  <c r="GL236"/>
  <c r="GM236"/>
  <c r="GN236"/>
  <c r="GO236"/>
  <c r="GP236"/>
  <c r="GQ236"/>
  <c r="GR236"/>
  <c r="GS236"/>
  <c r="GT236"/>
  <c r="GU236"/>
  <c r="GV236"/>
  <c r="GW236"/>
  <c r="GX236"/>
  <c r="GY236"/>
  <c r="GZ236"/>
  <c r="HA236"/>
  <c r="HB236"/>
  <c r="HC236"/>
  <c r="HD236"/>
  <c r="HE236"/>
  <c r="HF236"/>
  <c r="HG236"/>
  <c r="HH236"/>
  <c r="HI236"/>
  <c r="HJ236"/>
  <c r="HK236"/>
  <c r="HL236"/>
  <c r="HM236"/>
  <c r="HN236"/>
  <c r="HO236"/>
  <c r="HP236"/>
  <c r="HQ236"/>
  <c r="HR236"/>
  <c r="HS236"/>
  <c r="HT236"/>
  <c r="HU236"/>
  <c r="HV236"/>
  <c r="HW236"/>
  <c r="HX236"/>
  <c r="HY236"/>
  <c r="HZ236"/>
  <c r="IA236"/>
  <c r="IB236"/>
  <c r="IC236"/>
  <c r="ID236"/>
  <c r="IE236"/>
  <c r="IF236"/>
  <c r="IG236"/>
  <c r="IH236"/>
  <c r="II236"/>
  <c r="IJ236"/>
  <c r="IK236"/>
  <c r="IL236"/>
  <c r="IM236"/>
  <c r="IN236"/>
  <c r="IO236"/>
  <c r="IP236"/>
  <c r="IQ236"/>
  <c r="IR236"/>
  <c r="IS236"/>
  <c r="IT236"/>
  <c r="IU236"/>
  <c r="IV236"/>
  <c r="A235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AT235"/>
  <c r="AU235"/>
  <c r="AV235"/>
  <c r="AW235"/>
  <c r="AX235"/>
  <c r="AY235"/>
  <c r="AZ235"/>
  <c r="BA235"/>
  <c r="BB235"/>
  <c r="BC235"/>
  <c r="BD235"/>
  <c r="BE235"/>
  <c r="BF235"/>
  <c r="BG235"/>
  <c r="BH235"/>
  <c r="BI235"/>
  <c r="BJ235"/>
  <c r="BK235"/>
  <c r="BL235"/>
  <c r="BM235"/>
  <c r="BN235"/>
  <c r="BO235"/>
  <c r="BP235"/>
  <c r="BQ235"/>
  <c r="BR235"/>
  <c r="BS235"/>
  <c r="BT235"/>
  <c r="BU235"/>
  <c r="BV235"/>
  <c r="BW235"/>
  <c r="BX235"/>
  <c r="BY235"/>
  <c r="BZ235"/>
  <c r="CA235"/>
  <c r="CB235"/>
  <c r="CC235"/>
  <c r="CD235"/>
  <c r="CE235"/>
  <c r="CF235"/>
  <c r="CG235"/>
  <c r="CH235"/>
  <c r="CI235"/>
  <c r="CJ235"/>
  <c r="CK235"/>
  <c r="CL235"/>
  <c r="CM235"/>
  <c r="CN235"/>
  <c r="CO235"/>
  <c r="CP235"/>
  <c r="CQ235"/>
  <c r="CR235"/>
  <c r="CS235"/>
  <c r="CT235"/>
  <c r="CU235"/>
  <c r="CV235"/>
  <c r="CW235"/>
  <c r="CX235"/>
  <c r="CY235"/>
  <c r="CZ235"/>
  <c r="DA235"/>
  <c r="DB235"/>
  <c r="DC235"/>
  <c r="DD235"/>
  <c r="DE235"/>
  <c r="DF235"/>
  <c r="DG235"/>
  <c r="DH235"/>
  <c r="DI235"/>
  <c r="DJ235"/>
  <c r="DK235"/>
  <c r="DL235"/>
  <c r="DM235"/>
  <c r="DN235"/>
  <c r="DO235"/>
  <c r="DP235"/>
  <c r="DQ235"/>
  <c r="DR235"/>
  <c r="DS235"/>
  <c r="DT235"/>
  <c r="DU235"/>
  <c r="DV235"/>
  <c r="DW235"/>
  <c r="DX235"/>
  <c r="DY235"/>
  <c r="DZ235"/>
  <c r="EA235"/>
  <c r="EB235"/>
  <c r="EC235"/>
  <c r="ED235"/>
  <c r="EE235"/>
  <c r="EF235"/>
  <c r="EG235"/>
  <c r="EH235"/>
  <c r="EI235"/>
  <c r="EJ235"/>
  <c r="EK235"/>
  <c r="EL235"/>
  <c r="EM235"/>
  <c r="EN235"/>
  <c r="EO235"/>
  <c r="EP235"/>
  <c r="EQ235"/>
  <c r="ER235"/>
  <c r="ES235"/>
  <c r="ET235"/>
  <c r="EU235"/>
  <c r="EV235"/>
  <c r="EW235"/>
  <c r="EX235"/>
  <c r="EY235"/>
  <c r="EZ235"/>
  <c r="FA235"/>
  <c r="FB235"/>
  <c r="FC235"/>
  <c r="FD235"/>
  <c r="FE235"/>
  <c r="FF235"/>
  <c r="FG235"/>
  <c r="FH235"/>
  <c r="FI235"/>
  <c r="FJ235"/>
  <c r="FK235"/>
  <c r="FL235"/>
  <c r="FM235"/>
  <c r="FN235"/>
  <c r="FO235"/>
  <c r="FP235"/>
  <c r="FQ235"/>
  <c r="FR235"/>
  <c r="FS235"/>
  <c r="FT235"/>
  <c r="FU235"/>
  <c r="FV235"/>
  <c r="FW235"/>
  <c r="FX235"/>
  <c r="FY235"/>
  <c r="FZ235"/>
  <c r="GA235"/>
  <c r="GB235"/>
  <c r="GC235"/>
  <c r="GD235"/>
  <c r="GE235"/>
  <c r="GF235"/>
  <c r="GG235"/>
  <c r="GH235"/>
  <c r="GI235"/>
  <c r="GJ235"/>
  <c r="GK235"/>
  <c r="GL235"/>
  <c r="GM235"/>
  <c r="GN235"/>
  <c r="GO235"/>
  <c r="GP235"/>
  <c r="GQ235"/>
  <c r="GR235"/>
  <c r="GS235"/>
  <c r="GT235"/>
  <c r="GU235"/>
  <c r="GV235"/>
  <c r="GW235"/>
  <c r="GX235"/>
  <c r="GY235"/>
  <c r="GZ235"/>
  <c r="HA235"/>
  <c r="HB235"/>
  <c r="HC235"/>
  <c r="HD235"/>
  <c r="HE235"/>
  <c r="HF235"/>
  <c r="HG235"/>
  <c r="HH235"/>
  <c r="HI235"/>
  <c r="HJ235"/>
  <c r="HK235"/>
  <c r="HL235"/>
  <c r="HM235"/>
  <c r="HN235"/>
  <c r="HO235"/>
  <c r="HP235"/>
  <c r="HQ235"/>
  <c r="HR235"/>
  <c r="HS235"/>
  <c r="HT235"/>
  <c r="HU235"/>
  <c r="HV235"/>
  <c r="HW235"/>
  <c r="HX235"/>
  <c r="HY235"/>
  <c r="HZ235"/>
  <c r="IA235"/>
  <c r="IB235"/>
  <c r="IC235"/>
  <c r="ID235"/>
  <c r="IE235"/>
  <c r="IF235"/>
  <c r="IG235"/>
  <c r="IH235"/>
  <c r="II235"/>
  <c r="IJ235"/>
  <c r="IK235"/>
  <c r="IL235"/>
  <c r="IM235"/>
  <c r="IN235"/>
  <c r="IO235"/>
  <c r="IP235"/>
  <c r="IQ235"/>
  <c r="IR235"/>
  <c r="IS235"/>
  <c r="IT235"/>
  <c r="IU235"/>
  <c r="IV235"/>
  <c r="A234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AV234"/>
  <c r="AW234"/>
  <c r="AX234"/>
  <c r="AY234"/>
  <c r="AZ234"/>
  <c r="BA234"/>
  <c r="BB234"/>
  <c r="BC234"/>
  <c r="BD234"/>
  <c r="BE234"/>
  <c r="BF234"/>
  <c r="BG234"/>
  <c r="BH234"/>
  <c r="BI234"/>
  <c r="BJ234"/>
  <c r="BK234"/>
  <c r="BL234"/>
  <c r="BM234"/>
  <c r="BN234"/>
  <c r="BO234"/>
  <c r="BP234"/>
  <c r="BQ234"/>
  <c r="BR234"/>
  <c r="BS234"/>
  <c r="BT234"/>
  <c r="BU234"/>
  <c r="BV234"/>
  <c r="BW234"/>
  <c r="BX234"/>
  <c r="BY234"/>
  <c r="BZ234"/>
  <c r="CA234"/>
  <c r="CB234"/>
  <c r="CC234"/>
  <c r="CD234"/>
  <c r="CE234"/>
  <c r="CF234"/>
  <c r="CG234"/>
  <c r="CH234"/>
  <c r="CI234"/>
  <c r="CJ234"/>
  <c r="CK234"/>
  <c r="CL234"/>
  <c r="CM234"/>
  <c r="CN234"/>
  <c r="CO234"/>
  <c r="CP234"/>
  <c r="CQ234"/>
  <c r="CR234"/>
  <c r="CS234"/>
  <c r="CT234"/>
  <c r="CU234"/>
  <c r="CV234"/>
  <c r="CW234"/>
  <c r="CX234"/>
  <c r="CY234"/>
  <c r="CZ234"/>
  <c r="DA234"/>
  <c r="DB234"/>
  <c r="DC234"/>
  <c r="DD234"/>
  <c r="DE234"/>
  <c r="DF234"/>
  <c r="DG234"/>
  <c r="DH234"/>
  <c r="DI234"/>
  <c r="DJ234"/>
  <c r="DK234"/>
  <c r="DL234"/>
  <c r="DM234"/>
  <c r="DN234"/>
  <c r="DO234"/>
  <c r="DP234"/>
  <c r="DQ234"/>
  <c r="DR234"/>
  <c r="DS234"/>
  <c r="DT234"/>
  <c r="DU234"/>
  <c r="DV234"/>
  <c r="DW234"/>
  <c r="DX234"/>
  <c r="DY234"/>
  <c r="DZ234"/>
  <c r="EA234"/>
  <c r="EB234"/>
  <c r="EC234"/>
  <c r="ED234"/>
  <c r="EE234"/>
  <c r="EF234"/>
  <c r="EG234"/>
  <c r="EH234"/>
  <c r="EI234"/>
  <c r="EJ234"/>
  <c r="EK234"/>
  <c r="EL234"/>
  <c r="EM234"/>
  <c r="EN234"/>
  <c r="EO234"/>
  <c r="EP234"/>
  <c r="EQ234"/>
  <c r="ER234"/>
  <c r="ES234"/>
  <c r="ET234"/>
  <c r="EU234"/>
  <c r="EV234"/>
  <c r="EW234"/>
  <c r="EX234"/>
  <c r="EY234"/>
  <c r="EZ234"/>
  <c r="FA234"/>
  <c r="FB234"/>
  <c r="FC234"/>
  <c r="FD234"/>
  <c r="FE234"/>
  <c r="FF234"/>
  <c r="FG234"/>
  <c r="FH234"/>
  <c r="FI234"/>
  <c r="FJ234"/>
  <c r="FK234"/>
  <c r="FL234"/>
  <c r="FM234"/>
  <c r="FN234"/>
  <c r="FO234"/>
  <c r="FP234"/>
  <c r="FQ234"/>
  <c r="FR234"/>
  <c r="FS234"/>
  <c r="FT234"/>
  <c r="FU234"/>
  <c r="FV234"/>
  <c r="FW234"/>
  <c r="FX234"/>
  <c r="FY234"/>
  <c r="FZ234"/>
  <c r="GA234"/>
  <c r="GB234"/>
  <c r="GC234"/>
  <c r="GD234"/>
  <c r="GE234"/>
  <c r="GF234"/>
  <c r="GG234"/>
  <c r="GH234"/>
  <c r="GI234"/>
  <c r="GJ234"/>
  <c r="GK234"/>
  <c r="GL234"/>
  <c r="GM234"/>
  <c r="GN234"/>
  <c r="GO234"/>
  <c r="GP234"/>
  <c r="GQ234"/>
  <c r="GR234"/>
  <c r="GS234"/>
  <c r="GT234"/>
  <c r="GU234"/>
  <c r="GV234"/>
  <c r="GW234"/>
  <c r="GX234"/>
  <c r="GY234"/>
  <c r="GZ234"/>
  <c r="HA234"/>
  <c r="HB234"/>
  <c r="HC234"/>
  <c r="HD234"/>
  <c r="HE234"/>
  <c r="HF234"/>
  <c r="HG234"/>
  <c r="HH234"/>
  <c r="HI234"/>
  <c r="HJ234"/>
  <c r="HK234"/>
  <c r="HL234"/>
  <c r="HM234"/>
  <c r="HN234"/>
  <c r="HO234"/>
  <c r="HP234"/>
  <c r="HQ234"/>
  <c r="HR234"/>
  <c r="HS234"/>
  <c r="HT234"/>
  <c r="HU234"/>
  <c r="HV234"/>
  <c r="HW234"/>
  <c r="HX234"/>
  <c r="HY234"/>
  <c r="HZ234"/>
  <c r="IA234"/>
  <c r="IB234"/>
  <c r="IC234"/>
  <c r="ID234"/>
  <c r="IE234"/>
  <c r="IF234"/>
  <c r="IG234"/>
  <c r="IH234"/>
  <c r="II234"/>
  <c r="IJ234"/>
  <c r="IK234"/>
  <c r="IL234"/>
  <c r="IM234"/>
  <c r="IN234"/>
  <c r="IO234"/>
  <c r="IP234"/>
  <c r="IQ234"/>
  <c r="IR234"/>
  <c r="IS234"/>
  <c r="IT234"/>
  <c r="IU234"/>
  <c r="IV234"/>
  <c r="A233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AT233"/>
  <c r="AU233"/>
  <c r="AV233"/>
  <c r="AW233"/>
  <c r="AX233"/>
  <c r="AY233"/>
  <c r="AZ233"/>
  <c r="BA233"/>
  <c r="BB233"/>
  <c r="BC233"/>
  <c r="BD233"/>
  <c r="BE233"/>
  <c r="BF233"/>
  <c r="BG233"/>
  <c r="BH233"/>
  <c r="BI233"/>
  <c r="BJ233"/>
  <c r="BK233"/>
  <c r="BL233"/>
  <c r="BM233"/>
  <c r="BN233"/>
  <c r="BO233"/>
  <c r="BP233"/>
  <c r="BQ233"/>
  <c r="BR233"/>
  <c r="BS233"/>
  <c r="BT233"/>
  <c r="BU233"/>
  <c r="BV233"/>
  <c r="BW233"/>
  <c r="BX233"/>
  <c r="BY233"/>
  <c r="BZ233"/>
  <c r="CA233"/>
  <c r="CB233"/>
  <c r="CC233"/>
  <c r="CD233"/>
  <c r="CE233"/>
  <c r="CF233"/>
  <c r="CG233"/>
  <c r="CH233"/>
  <c r="CI233"/>
  <c r="CJ233"/>
  <c r="CK233"/>
  <c r="CL233"/>
  <c r="CM233"/>
  <c r="CN233"/>
  <c r="CO233"/>
  <c r="CP233"/>
  <c r="CQ233"/>
  <c r="CR233"/>
  <c r="CS233"/>
  <c r="CT233"/>
  <c r="CU233"/>
  <c r="CV233"/>
  <c r="CW233"/>
  <c r="CX233"/>
  <c r="CY233"/>
  <c r="CZ233"/>
  <c r="DA233"/>
  <c r="DB233"/>
  <c r="DC233"/>
  <c r="DD233"/>
  <c r="DE233"/>
  <c r="DF233"/>
  <c r="DG233"/>
  <c r="DH233"/>
  <c r="DI233"/>
  <c r="DJ233"/>
  <c r="DK233"/>
  <c r="DL233"/>
  <c r="DM233"/>
  <c r="DN233"/>
  <c r="DO233"/>
  <c r="DP233"/>
  <c r="DQ233"/>
  <c r="DR233"/>
  <c r="DS233"/>
  <c r="DT233"/>
  <c r="DU233"/>
  <c r="DV233"/>
  <c r="DW233"/>
  <c r="DX233"/>
  <c r="DY233"/>
  <c r="DZ233"/>
  <c r="EA233"/>
  <c r="EB233"/>
  <c r="EC233"/>
  <c r="ED233"/>
  <c r="EE233"/>
  <c r="EF233"/>
  <c r="EG233"/>
  <c r="EH233"/>
  <c r="EI233"/>
  <c r="EJ233"/>
  <c r="EK233"/>
  <c r="EL233"/>
  <c r="EM233"/>
  <c r="EN233"/>
  <c r="EO233"/>
  <c r="EP233"/>
  <c r="EQ233"/>
  <c r="ER233"/>
  <c r="ES233"/>
  <c r="ET233"/>
  <c r="EU233"/>
  <c r="EV233"/>
  <c r="EW233"/>
  <c r="EX233"/>
  <c r="EY233"/>
  <c r="EZ233"/>
  <c r="FA233"/>
  <c r="FB233"/>
  <c r="FC233"/>
  <c r="FD233"/>
  <c r="FE233"/>
  <c r="FF233"/>
  <c r="FG233"/>
  <c r="FH233"/>
  <c r="FI233"/>
  <c r="FJ233"/>
  <c r="FK233"/>
  <c r="FL233"/>
  <c r="FM233"/>
  <c r="FN233"/>
  <c r="FO233"/>
  <c r="FP233"/>
  <c r="FQ233"/>
  <c r="FR233"/>
  <c r="FS233"/>
  <c r="FT233"/>
  <c r="FU233"/>
  <c r="FV233"/>
  <c r="FW233"/>
  <c r="FX233"/>
  <c r="FY233"/>
  <c r="FZ233"/>
  <c r="GA233"/>
  <c r="GB233"/>
  <c r="GC233"/>
  <c r="GD233"/>
  <c r="GE233"/>
  <c r="GF233"/>
  <c r="GG233"/>
  <c r="GH233"/>
  <c r="GI233"/>
  <c r="GJ233"/>
  <c r="GK233"/>
  <c r="GL233"/>
  <c r="GM233"/>
  <c r="GN233"/>
  <c r="GO233"/>
  <c r="GP233"/>
  <c r="GQ233"/>
  <c r="GR233"/>
  <c r="GS233"/>
  <c r="GT233"/>
  <c r="GU233"/>
  <c r="GV233"/>
  <c r="GW233"/>
  <c r="GX233"/>
  <c r="GY233"/>
  <c r="GZ233"/>
  <c r="HA233"/>
  <c r="HB233"/>
  <c r="HC233"/>
  <c r="HD233"/>
  <c r="HE233"/>
  <c r="HF233"/>
  <c r="HG233"/>
  <c r="HH233"/>
  <c r="HI233"/>
  <c r="HJ233"/>
  <c r="HK233"/>
  <c r="HL233"/>
  <c r="HM233"/>
  <c r="HN233"/>
  <c r="HO233"/>
  <c r="HP233"/>
  <c r="HQ233"/>
  <c r="HR233"/>
  <c r="HS233"/>
  <c r="HT233"/>
  <c r="HU233"/>
  <c r="HV233"/>
  <c r="HW233"/>
  <c r="HX233"/>
  <c r="HY233"/>
  <c r="HZ233"/>
  <c r="IA233"/>
  <c r="IB233"/>
  <c r="IC233"/>
  <c r="ID233"/>
  <c r="IE233"/>
  <c r="IF233"/>
  <c r="IG233"/>
  <c r="IH233"/>
  <c r="II233"/>
  <c r="IJ233"/>
  <c r="IK233"/>
  <c r="IL233"/>
  <c r="IM233"/>
  <c r="IN233"/>
  <c r="IO233"/>
  <c r="IP233"/>
  <c r="IQ233"/>
  <c r="IR233"/>
  <c r="IS233"/>
  <c r="IT233"/>
  <c r="IU233"/>
  <c r="IV233"/>
  <c r="A232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AV232"/>
  <c r="AW232"/>
  <c r="AX232"/>
  <c r="AY232"/>
  <c r="AZ232"/>
  <c r="BA232"/>
  <c r="BB232"/>
  <c r="BC232"/>
  <c r="BD232"/>
  <c r="BE232"/>
  <c r="BF232"/>
  <c r="BG232"/>
  <c r="BH232"/>
  <c r="BI232"/>
  <c r="BJ232"/>
  <c r="BK232"/>
  <c r="BL232"/>
  <c r="BM232"/>
  <c r="BN232"/>
  <c r="BO232"/>
  <c r="BP232"/>
  <c r="BQ232"/>
  <c r="BR232"/>
  <c r="BS232"/>
  <c r="BT232"/>
  <c r="BU232"/>
  <c r="BV232"/>
  <c r="BW232"/>
  <c r="BX232"/>
  <c r="BY232"/>
  <c r="BZ232"/>
  <c r="CA232"/>
  <c r="CB232"/>
  <c r="CC232"/>
  <c r="CD232"/>
  <c r="CE232"/>
  <c r="CF232"/>
  <c r="CG232"/>
  <c r="CH232"/>
  <c r="CI232"/>
  <c r="CJ232"/>
  <c r="CK232"/>
  <c r="CL232"/>
  <c r="CM232"/>
  <c r="CN232"/>
  <c r="CO232"/>
  <c r="CP232"/>
  <c r="CQ232"/>
  <c r="CR232"/>
  <c r="CS232"/>
  <c r="CT232"/>
  <c r="CU232"/>
  <c r="CV232"/>
  <c r="CW232"/>
  <c r="CX232"/>
  <c r="CY232"/>
  <c r="CZ232"/>
  <c r="DA232"/>
  <c r="DB232"/>
  <c r="DC232"/>
  <c r="DD232"/>
  <c r="DE232"/>
  <c r="DF232"/>
  <c r="DG232"/>
  <c r="DH232"/>
  <c r="DI232"/>
  <c r="DJ232"/>
  <c r="DK232"/>
  <c r="DL232"/>
  <c r="DM232"/>
  <c r="DN232"/>
  <c r="DO232"/>
  <c r="DP232"/>
  <c r="DQ232"/>
  <c r="DR232"/>
  <c r="DS232"/>
  <c r="DT232"/>
  <c r="DU232"/>
  <c r="DV232"/>
  <c r="DW232"/>
  <c r="DX232"/>
  <c r="DY232"/>
  <c r="DZ232"/>
  <c r="EA232"/>
  <c r="EB232"/>
  <c r="EC232"/>
  <c r="ED232"/>
  <c r="EE232"/>
  <c r="EF232"/>
  <c r="EG232"/>
  <c r="EH232"/>
  <c r="EI232"/>
  <c r="EJ232"/>
  <c r="EK232"/>
  <c r="EL232"/>
  <c r="EM232"/>
  <c r="EN232"/>
  <c r="EO232"/>
  <c r="EP232"/>
  <c r="EQ232"/>
  <c r="ER232"/>
  <c r="ES232"/>
  <c r="ET232"/>
  <c r="EU232"/>
  <c r="EV232"/>
  <c r="EW232"/>
  <c r="EX232"/>
  <c r="EY232"/>
  <c r="EZ232"/>
  <c r="FA232"/>
  <c r="FB232"/>
  <c r="FC232"/>
  <c r="FD232"/>
  <c r="FE232"/>
  <c r="FF232"/>
  <c r="FG232"/>
  <c r="FH232"/>
  <c r="FI232"/>
  <c r="FJ232"/>
  <c r="FK232"/>
  <c r="FL232"/>
  <c r="FM232"/>
  <c r="FN232"/>
  <c r="FO232"/>
  <c r="FP232"/>
  <c r="FQ232"/>
  <c r="FR232"/>
  <c r="FS232"/>
  <c r="FT232"/>
  <c r="FU232"/>
  <c r="FV232"/>
  <c r="FW232"/>
  <c r="FX232"/>
  <c r="FY232"/>
  <c r="FZ232"/>
  <c r="GA232"/>
  <c r="GB232"/>
  <c r="GC232"/>
  <c r="GD232"/>
  <c r="GE232"/>
  <c r="GF232"/>
  <c r="GG232"/>
  <c r="GH232"/>
  <c r="GI232"/>
  <c r="GJ232"/>
  <c r="GK232"/>
  <c r="GL232"/>
  <c r="GM232"/>
  <c r="GN232"/>
  <c r="GO232"/>
  <c r="GP232"/>
  <c r="GQ232"/>
  <c r="GR232"/>
  <c r="GS232"/>
  <c r="GT232"/>
  <c r="GU232"/>
  <c r="GV232"/>
  <c r="GW232"/>
  <c r="GX232"/>
  <c r="GY232"/>
  <c r="GZ232"/>
  <c r="HA232"/>
  <c r="HB232"/>
  <c r="HC232"/>
  <c r="HD232"/>
  <c r="HE232"/>
  <c r="HF232"/>
  <c r="HG232"/>
  <c r="HH232"/>
  <c r="HI232"/>
  <c r="HJ232"/>
  <c r="HK232"/>
  <c r="HL232"/>
  <c r="HM232"/>
  <c r="HN232"/>
  <c r="HO232"/>
  <c r="HP232"/>
  <c r="HQ232"/>
  <c r="HR232"/>
  <c r="HS232"/>
  <c r="HT232"/>
  <c r="HU232"/>
  <c r="HV232"/>
  <c r="HW232"/>
  <c r="HX232"/>
  <c r="HY232"/>
  <c r="HZ232"/>
  <c r="IA232"/>
  <c r="IB232"/>
  <c r="IC232"/>
  <c r="ID232"/>
  <c r="IE232"/>
  <c r="IF232"/>
  <c r="IG232"/>
  <c r="IH232"/>
  <c r="II232"/>
  <c r="IJ232"/>
  <c r="IK232"/>
  <c r="IL232"/>
  <c r="IM232"/>
  <c r="IN232"/>
  <c r="IO232"/>
  <c r="IP232"/>
  <c r="IQ232"/>
  <c r="IR232"/>
  <c r="IS232"/>
  <c r="IT232"/>
  <c r="IU232"/>
  <c r="IV232"/>
  <c r="A231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Y231"/>
  <c r="AZ231"/>
  <c r="BA231"/>
  <c r="BB231"/>
  <c r="BC231"/>
  <c r="BD231"/>
  <c r="BE231"/>
  <c r="BF231"/>
  <c r="BG231"/>
  <c r="BH231"/>
  <c r="BI231"/>
  <c r="BJ231"/>
  <c r="BK231"/>
  <c r="BL231"/>
  <c r="BM231"/>
  <c r="BN231"/>
  <c r="BO231"/>
  <c r="BP231"/>
  <c r="BQ231"/>
  <c r="BR231"/>
  <c r="BS231"/>
  <c r="BT231"/>
  <c r="BU231"/>
  <c r="BV231"/>
  <c r="BW231"/>
  <c r="BX231"/>
  <c r="BY231"/>
  <c r="BZ231"/>
  <c r="CA231"/>
  <c r="CB231"/>
  <c r="CC231"/>
  <c r="CD231"/>
  <c r="CE231"/>
  <c r="CF231"/>
  <c r="CG231"/>
  <c r="CH231"/>
  <c r="CI231"/>
  <c r="CJ231"/>
  <c r="CK231"/>
  <c r="CL231"/>
  <c r="CM231"/>
  <c r="CN231"/>
  <c r="CO231"/>
  <c r="CP231"/>
  <c r="CQ231"/>
  <c r="CR231"/>
  <c r="CS231"/>
  <c r="CT231"/>
  <c r="CU231"/>
  <c r="CV231"/>
  <c r="CW231"/>
  <c r="CX231"/>
  <c r="CY231"/>
  <c r="CZ231"/>
  <c r="DA231"/>
  <c r="DB231"/>
  <c r="DC231"/>
  <c r="DD231"/>
  <c r="DE231"/>
  <c r="DF231"/>
  <c r="DG231"/>
  <c r="DH231"/>
  <c r="DI231"/>
  <c r="DJ231"/>
  <c r="DK231"/>
  <c r="DL231"/>
  <c r="DM231"/>
  <c r="DN231"/>
  <c r="DO231"/>
  <c r="DP231"/>
  <c r="DQ231"/>
  <c r="DR231"/>
  <c r="DS231"/>
  <c r="DT231"/>
  <c r="DU231"/>
  <c r="DV231"/>
  <c r="DW231"/>
  <c r="DX231"/>
  <c r="DY231"/>
  <c r="DZ231"/>
  <c r="EA231"/>
  <c r="EB231"/>
  <c r="EC231"/>
  <c r="ED231"/>
  <c r="EE231"/>
  <c r="EF231"/>
  <c r="EG231"/>
  <c r="EH231"/>
  <c r="EI231"/>
  <c r="EJ231"/>
  <c r="EK231"/>
  <c r="EL231"/>
  <c r="EM231"/>
  <c r="EN231"/>
  <c r="EO231"/>
  <c r="EP231"/>
  <c r="EQ231"/>
  <c r="ER231"/>
  <c r="ES231"/>
  <c r="ET231"/>
  <c r="EU231"/>
  <c r="EV231"/>
  <c r="EW231"/>
  <c r="EX231"/>
  <c r="EY231"/>
  <c r="EZ231"/>
  <c r="FA231"/>
  <c r="FB231"/>
  <c r="FC231"/>
  <c r="FD231"/>
  <c r="FE231"/>
  <c r="FF231"/>
  <c r="FG231"/>
  <c r="FH231"/>
  <c r="FI231"/>
  <c r="FJ231"/>
  <c r="FK231"/>
  <c r="FL231"/>
  <c r="FM231"/>
  <c r="FN231"/>
  <c r="FO231"/>
  <c r="FP231"/>
  <c r="FQ231"/>
  <c r="FR231"/>
  <c r="FS231"/>
  <c r="FT231"/>
  <c r="FU231"/>
  <c r="FV231"/>
  <c r="FW231"/>
  <c r="FX231"/>
  <c r="FY231"/>
  <c r="FZ231"/>
  <c r="GA231"/>
  <c r="GB231"/>
  <c r="GC231"/>
  <c r="GD231"/>
  <c r="GE231"/>
  <c r="GF231"/>
  <c r="GG231"/>
  <c r="GH231"/>
  <c r="GI231"/>
  <c r="GJ231"/>
  <c r="GK231"/>
  <c r="GL231"/>
  <c r="GM231"/>
  <c r="GN231"/>
  <c r="GO231"/>
  <c r="GP231"/>
  <c r="GQ231"/>
  <c r="GR231"/>
  <c r="GS231"/>
  <c r="GT231"/>
  <c r="GU231"/>
  <c r="GV231"/>
  <c r="GW231"/>
  <c r="GX231"/>
  <c r="GY231"/>
  <c r="GZ231"/>
  <c r="HA231"/>
  <c r="HB231"/>
  <c r="HC231"/>
  <c r="HD231"/>
  <c r="HE231"/>
  <c r="HF231"/>
  <c r="HG231"/>
  <c r="HH231"/>
  <c r="HI231"/>
  <c r="HJ231"/>
  <c r="HK231"/>
  <c r="HL231"/>
  <c r="HM231"/>
  <c r="HN231"/>
  <c r="HO231"/>
  <c r="HP231"/>
  <c r="HQ231"/>
  <c r="HR231"/>
  <c r="HS231"/>
  <c r="HT231"/>
  <c r="HU231"/>
  <c r="HV231"/>
  <c r="HW231"/>
  <c r="HX231"/>
  <c r="HY231"/>
  <c r="HZ231"/>
  <c r="IA231"/>
  <c r="IB231"/>
  <c r="IC231"/>
  <c r="ID231"/>
  <c r="IE231"/>
  <c r="IF231"/>
  <c r="IG231"/>
  <c r="IH231"/>
  <c r="II231"/>
  <c r="IJ231"/>
  <c r="IK231"/>
  <c r="IL231"/>
  <c r="IM231"/>
  <c r="IN231"/>
  <c r="IO231"/>
  <c r="IP231"/>
  <c r="IQ231"/>
  <c r="IR231"/>
  <c r="IS231"/>
  <c r="IT231"/>
  <c r="IU231"/>
  <c r="IV231"/>
  <c r="A230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AV230"/>
  <c r="AW230"/>
  <c r="AX230"/>
  <c r="AY230"/>
  <c r="AZ230"/>
  <c r="BA230"/>
  <c r="BB230"/>
  <c r="BC230"/>
  <c r="BD230"/>
  <c r="BE230"/>
  <c r="BF230"/>
  <c r="BG230"/>
  <c r="BH230"/>
  <c r="BI230"/>
  <c r="BJ230"/>
  <c r="BK230"/>
  <c r="BL230"/>
  <c r="BM230"/>
  <c r="BN230"/>
  <c r="BO230"/>
  <c r="BP230"/>
  <c r="BQ230"/>
  <c r="BR230"/>
  <c r="BS230"/>
  <c r="BT230"/>
  <c r="BU230"/>
  <c r="BV230"/>
  <c r="BW230"/>
  <c r="BX230"/>
  <c r="BY230"/>
  <c r="BZ230"/>
  <c r="CA230"/>
  <c r="CB230"/>
  <c r="CC230"/>
  <c r="CD230"/>
  <c r="CE230"/>
  <c r="CF230"/>
  <c r="CG230"/>
  <c r="CH230"/>
  <c r="CI230"/>
  <c r="CJ230"/>
  <c r="CK230"/>
  <c r="CL230"/>
  <c r="CM230"/>
  <c r="CN230"/>
  <c r="CO230"/>
  <c r="CP230"/>
  <c r="CQ230"/>
  <c r="CR230"/>
  <c r="CS230"/>
  <c r="CT230"/>
  <c r="CU230"/>
  <c r="CV230"/>
  <c r="CW230"/>
  <c r="CX230"/>
  <c r="CY230"/>
  <c r="CZ230"/>
  <c r="DA230"/>
  <c r="DB230"/>
  <c r="DC230"/>
  <c r="DD230"/>
  <c r="DE230"/>
  <c r="DF230"/>
  <c r="DG230"/>
  <c r="DH230"/>
  <c r="DI230"/>
  <c r="DJ230"/>
  <c r="DK230"/>
  <c r="DL230"/>
  <c r="DM230"/>
  <c r="DN230"/>
  <c r="DO230"/>
  <c r="DP230"/>
  <c r="DQ230"/>
  <c r="DR230"/>
  <c r="DS230"/>
  <c r="DT230"/>
  <c r="DU230"/>
  <c r="DV230"/>
  <c r="DW230"/>
  <c r="DX230"/>
  <c r="DY230"/>
  <c r="DZ230"/>
  <c r="EA230"/>
  <c r="EB230"/>
  <c r="EC230"/>
  <c r="ED230"/>
  <c r="EE230"/>
  <c r="EF230"/>
  <c r="EG230"/>
  <c r="EH230"/>
  <c r="EI230"/>
  <c r="EJ230"/>
  <c r="EK230"/>
  <c r="EL230"/>
  <c r="EM230"/>
  <c r="EN230"/>
  <c r="EO230"/>
  <c r="EP230"/>
  <c r="EQ230"/>
  <c r="ER230"/>
  <c r="ES230"/>
  <c r="ET230"/>
  <c r="EU230"/>
  <c r="EV230"/>
  <c r="EW230"/>
  <c r="EX230"/>
  <c r="EY230"/>
  <c r="EZ230"/>
  <c r="FA230"/>
  <c r="FB230"/>
  <c r="FC230"/>
  <c r="FD230"/>
  <c r="FE230"/>
  <c r="FF230"/>
  <c r="FG230"/>
  <c r="FH230"/>
  <c r="FI230"/>
  <c r="FJ230"/>
  <c r="FK230"/>
  <c r="FL230"/>
  <c r="FM230"/>
  <c r="FN230"/>
  <c r="FO230"/>
  <c r="FP230"/>
  <c r="FQ230"/>
  <c r="FR230"/>
  <c r="FS230"/>
  <c r="FT230"/>
  <c r="FU230"/>
  <c r="FV230"/>
  <c r="FW230"/>
  <c r="FX230"/>
  <c r="FY230"/>
  <c r="FZ230"/>
  <c r="GA230"/>
  <c r="GB230"/>
  <c r="GC230"/>
  <c r="GD230"/>
  <c r="GE230"/>
  <c r="GF230"/>
  <c r="GG230"/>
  <c r="GH230"/>
  <c r="GI230"/>
  <c r="GJ230"/>
  <c r="GK230"/>
  <c r="GL230"/>
  <c r="GM230"/>
  <c r="GN230"/>
  <c r="GO230"/>
  <c r="GP230"/>
  <c r="GQ230"/>
  <c r="GR230"/>
  <c r="GS230"/>
  <c r="GT230"/>
  <c r="GU230"/>
  <c r="GV230"/>
  <c r="GW230"/>
  <c r="GX230"/>
  <c r="GY230"/>
  <c r="GZ230"/>
  <c r="HA230"/>
  <c r="HB230"/>
  <c r="HC230"/>
  <c r="HD230"/>
  <c r="HE230"/>
  <c r="HF230"/>
  <c r="HG230"/>
  <c r="HH230"/>
  <c r="HI230"/>
  <c r="HJ230"/>
  <c r="HK230"/>
  <c r="HL230"/>
  <c r="HM230"/>
  <c r="HN230"/>
  <c r="HO230"/>
  <c r="HP230"/>
  <c r="HQ230"/>
  <c r="HR230"/>
  <c r="HS230"/>
  <c r="HT230"/>
  <c r="HU230"/>
  <c r="HV230"/>
  <c r="HW230"/>
  <c r="HX230"/>
  <c r="HY230"/>
  <c r="HZ230"/>
  <c r="IA230"/>
  <c r="IB230"/>
  <c r="IC230"/>
  <c r="ID230"/>
  <c r="IE230"/>
  <c r="IF230"/>
  <c r="IG230"/>
  <c r="IH230"/>
  <c r="II230"/>
  <c r="IJ230"/>
  <c r="IK230"/>
  <c r="IL230"/>
  <c r="IM230"/>
  <c r="IN230"/>
  <c r="IO230"/>
  <c r="IP230"/>
  <c r="IQ230"/>
  <c r="IR230"/>
  <c r="IS230"/>
  <c r="IT230"/>
  <c r="IU230"/>
  <c r="IV230"/>
  <c r="A229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AT229"/>
  <c r="AU229"/>
  <c r="AV229"/>
  <c r="AW229"/>
  <c r="AX229"/>
  <c r="AY229"/>
  <c r="AZ229"/>
  <c r="BA229"/>
  <c r="BB229"/>
  <c r="BC229"/>
  <c r="BD229"/>
  <c r="BE229"/>
  <c r="BF229"/>
  <c r="BG229"/>
  <c r="BH229"/>
  <c r="BI229"/>
  <c r="BJ229"/>
  <c r="BK229"/>
  <c r="BL229"/>
  <c r="BM229"/>
  <c r="BN229"/>
  <c r="BO229"/>
  <c r="BP229"/>
  <c r="BQ229"/>
  <c r="BR229"/>
  <c r="BS229"/>
  <c r="BT229"/>
  <c r="BU229"/>
  <c r="BV229"/>
  <c r="BW229"/>
  <c r="BX229"/>
  <c r="BY229"/>
  <c r="BZ229"/>
  <c r="CA229"/>
  <c r="CB229"/>
  <c r="CC229"/>
  <c r="CD229"/>
  <c r="CE229"/>
  <c r="CF229"/>
  <c r="CG229"/>
  <c r="CH229"/>
  <c r="CI229"/>
  <c r="CJ229"/>
  <c r="CK229"/>
  <c r="CL229"/>
  <c r="CM229"/>
  <c r="CN229"/>
  <c r="CO229"/>
  <c r="CP229"/>
  <c r="CQ229"/>
  <c r="CR229"/>
  <c r="CS229"/>
  <c r="CT229"/>
  <c r="CU229"/>
  <c r="CV229"/>
  <c r="CW229"/>
  <c r="CX229"/>
  <c r="CY229"/>
  <c r="CZ229"/>
  <c r="DA229"/>
  <c r="DB229"/>
  <c r="DC229"/>
  <c r="DD229"/>
  <c r="DE229"/>
  <c r="DF229"/>
  <c r="DG229"/>
  <c r="DH229"/>
  <c r="DI229"/>
  <c r="DJ229"/>
  <c r="DK229"/>
  <c r="DL229"/>
  <c r="DM229"/>
  <c r="DN229"/>
  <c r="DO229"/>
  <c r="DP229"/>
  <c r="DQ229"/>
  <c r="DR229"/>
  <c r="DS229"/>
  <c r="DT229"/>
  <c r="DU229"/>
  <c r="DV229"/>
  <c r="DW229"/>
  <c r="DX229"/>
  <c r="DY229"/>
  <c r="DZ229"/>
  <c r="EA229"/>
  <c r="EB229"/>
  <c r="EC229"/>
  <c r="ED229"/>
  <c r="EE229"/>
  <c r="EF229"/>
  <c r="EG229"/>
  <c r="EH229"/>
  <c r="EI229"/>
  <c r="EJ229"/>
  <c r="EK229"/>
  <c r="EL229"/>
  <c r="EM229"/>
  <c r="EN229"/>
  <c r="EO229"/>
  <c r="EP229"/>
  <c r="EQ229"/>
  <c r="ER229"/>
  <c r="ES229"/>
  <c r="ET229"/>
  <c r="EU229"/>
  <c r="EV229"/>
  <c r="EW229"/>
  <c r="EX229"/>
  <c r="EY229"/>
  <c r="EZ229"/>
  <c r="FA229"/>
  <c r="FB229"/>
  <c r="FC229"/>
  <c r="FD229"/>
  <c r="FE229"/>
  <c r="FF229"/>
  <c r="FG229"/>
  <c r="FH229"/>
  <c r="FI229"/>
  <c r="FJ229"/>
  <c r="FK229"/>
  <c r="FL229"/>
  <c r="FM229"/>
  <c r="FN229"/>
  <c r="FO229"/>
  <c r="FP229"/>
  <c r="FQ229"/>
  <c r="FR229"/>
  <c r="FS229"/>
  <c r="FT229"/>
  <c r="FU229"/>
  <c r="FV229"/>
  <c r="FW229"/>
  <c r="FX229"/>
  <c r="FY229"/>
  <c r="FZ229"/>
  <c r="GA229"/>
  <c r="GB229"/>
  <c r="GC229"/>
  <c r="GD229"/>
  <c r="GE229"/>
  <c r="GF229"/>
  <c r="GG229"/>
  <c r="GH229"/>
  <c r="GI229"/>
  <c r="GJ229"/>
  <c r="GK229"/>
  <c r="GL229"/>
  <c r="GM229"/>
  <c r="GN229"/>
  <c r="GO229"/>
  <c r="GP229"/>
  <c r="GQ229"/>
  <c r="GR229"/>
  <c r="GS229"/>
  <c r="GT229"/>
  <c r="GU229"/>
  <c r="GV229"/>
  <c r="GW229"/>
  <c r="GX229"/>
  <c r="GY229"/>
  <c r="GZ229"/>
  <c r="HA229"/>
  <c r="HB229"/>
  <c r="HC229"/>
  <c r="HD229"/>
  <c r="HE229"/>
  <c r="HF229"/>
  <c r="HG229"/>
  <c r="HH229"/>
  <c r="HI229"/>
  <c r="HJ229"/>
  <c r="HK229"/>
  <c r="HL229"/>
  <c r="HM229"/>
  <c r="HN229"/>
  <c r="HO229"/>
  <c r="HP229"/>
  <c r="HQ229"/>
  <c r="HR229"/>
  <c r="HS229"/>
  <c r="HT229"/>
  <c r="HU229"/>
  <c r="HV229"/>
  <c r="HW229"/>
  <c r="HX229"/>
  <c r="HY229"/>
  <c r="HZ229"/>
  <c r="IA229"/>
  <c r="IB229"/>
  <c r="IC229"/>
  <c r="ID229"/>
  <c r="IE229"/>
  <c r="IF229"/>
  <c r="IG229"/>
  <c r="IH229"/>
  <c r="II229"/>
  <c r="IJ229"/>
  <c r="IK229"/>
  <c r="IL229"/>
  <c r="IM229"/>
  <c r="IN229"/>
  <c r="IO229"/>
  <c r="IP229"/>
  <c r="IQ229"/>
  <c r="IR229"/>
  <c r="IS229"/>
  <c r="IT229"/>
  <c r="IU229"/>
  <c r="IV229"/>
  <c r="A228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AT228"/>
  <c r="AU228"/>
  <c r="AV228"/>
  <c r="AW228"/>
  <c r="AX228"/>
  <c r="AY228"/>
  <c r="AZ228"/>
  <c r="BA228"/>
  <c r="BB228"/>
  <c r="BC228"/>
  <c r="BD228"/>
  <c r="BE228"/>
  <c r="BF228"/>
  <c r="BG228"/>
  <c r="BH228"/>
  <c r="BI228"/>
  <c r="BJ228"/>
  <c r="BK228"/>
  <c r="BL228"/>
  <c r="BM228"/>
  <c r="BN228"/>
  <c r="BO228"/>
  <c r="BP228"/>
  <c r="BQ228"/>
  <c r="BR228"/>
  <c r="BS228"/>
  <c r="BT228"/>
  <c r="BU228"/>
  <c r="BV228"/>
  <c r="BW228"/>
  <c r="BX228"/>
  <c r="BY228"/>
  <c r="BZ228"/>
  <c r="CA228"/>
  <c r="CB228"/>
  <c r="CC228"/>
  <c r="CD228"/>
  <c r="CE228"/>
  <c r="CF228"/>
  <c r="CG228"/>
  <c r="CH228"/>
  <c r="CI228"/>
  <c r="CJ228"/>
  <c r="CK228"/>
  <c r="CL228"/>
  <c r="CM228"/>
  <c r="CN228"/>
  <c r="CO228"/>
  <c r="CP228"/>
  <c r="CQ228"/>
  <c r="CR228"/>
  <c r="CS228"/>
  <c r="CT228"/>
  <c r="CU228"/>
  <c r="CV228"/>
  <c r="CW228"/>
  <c r="CX228"/>
  <c r="CY228"/>
  <c r="CZ228"/>
  <c r="DA228"/>
  <c r="DB228"/>
  <c r="DC228"/>
  <c r="DD228"/>
  <c r="DE228"/>
  <c r="DF228"/>
  <c r="DG228"/>
  <c r="DH228"/>
  <c r="DI228"/>
  <c r="DJ228"/>
  <c r="DK228"/>
  <c r="DL228"/>
  <c r="DM228"/>
  <c r="DN228"/>
  <c r="DO228"/>
  <c r="DP228"/>
  <c r="DQ228"/>
  <c r="DR228"/>
  <c r="DS228"/>
  <c r="DT228"/>
  <c r="DU228"/>
  <c r="DV228"/>
  <c r="DW228"/>
  <c r="DX228"/>
  <c r="DY228"/>
  <c r="DZ228"/>
  <c r="EA228"/>
  <c r="EB228"/>
  <c r="EC228"/>
  <c r="ED228"/>
  <c r="EE228"/>
  <c r="EF228"/>
  <c r="EG228"/>
  <c r="EH228"/>
  <c r="EI228"/>
  <c r="EJ228"/>
  <c r="EK228"/>
  <c r="EL228"/>
  <c r="EM228"/>
  <c r="EN228"/>
  <c r="EO228"/>
  <c r="EP228"/>
  <c r="EQ228"/>
  <c r="ER228"/>
  <c r="ES228"/>
  <c r="ET228"/>
  <c r="EU228"/>
  <c r="EV228"/>
  <c r="EW228"/>
  <c r="EX228"/>
  <c r="EY228"/>
  <c r="EZ228"/>
  <c r="FA228"/>
  <c r="FB228"/>
  <c r="FC228"/>
  <c r="FD228"/>
  <c r="FE228"/>
  <c r="FF228"/>
  <c r="FG228"/>
  <c r="FH228"/>
  <c r="FI228"/>
  <c r="FJ228"/>
  <c r="FK228"/>
  <c r="FL228"/>
  <c r="FM228"/>
  <c r="FN228"/>
  <c r="FO228"/>
  <c r="FP228"/>
  <c r="FQ228"/>
  <c r="FR228"/>
  <c r="FS228"/>
  <c r="FT228"/>
  <c r="FU228"/>
  <c r="FV228"/>
  <c r="FW228"/>
  <c r="FX228"/>
  <c r="FY228"/>
  <c r="FZ228"/>
  <c r="GA228"/>
  <c r="GB228"/>
  <c r="GC228"/>
  <c r="GD228"/>
  <c r="GE228"/>
  <c r="GF228"/>
  <c r="GG228"/>
  <c r="GH228"/>
  <c r="GI228"/>
  <c r="GJ228"/>
  <c r="GK228"/>
  <c r="GL228"/>
  <c r="GM228"/>
  <c r="GN228"/>
  <c r="GO228"/>
  <c r="GP228"/>
  <c r="GQ228"/>
  <c r="GR228"/>
  <c r="GS228"/>
  <c r="GT228"/>
  <c r="GU228"/>
  <c r="GV228"/>
  <c r="GW228"/>
  <c r="GX228"/>
  <c r="GY228"/>
  <c r="GZ228"/>
  <c r="HA228"/>
  <c r="HB228"/>
  <c r="HC228"/>
  <c r="HD228"/>
  <c r="HE228"/>
  <c r="HF228"/>
  <c r="HG228"/>
  <c r="HH228"/>
  <c r="HI228"/>
  <c r="HJ228"/>
  <c r="HK228"/>
  <c r="HL228"/>
  <c r="HM228"/>
  <c r="HN228"/>
  <c r="HO228"/>
  <c r="HP228"/>
  <c r="HQ228"/>
  <c r="HR228"/>
  <c r="HS228"/>
  <c r="HT228"/>
  <c r="HU228"/>
  <c r="HV228"/>
  <c r="HW228"/>
  <c r="HX228"/>
  <c r="HY228"/>
  <c r="HZ228"/>
  <c r="IA228"/>
  <c r="IB228"/>
  <c r="IC228"/>
  <c r="ID228"/>
  <c r="IE228"/>
  <c r="IF228"/>
  <c r="IG228"/>
  <c r="IH228"/>
  <c r="II228"/>
  <c r="IJ228"/>
  <c r="IK228"/>
  <c r="IL228"/>
  <c r="IM228"/>
  <c r="IN228"/>
  <c r="IO228"/>
  <c r="IP228"/>
  <c r="IQ228"/>
  <c r="IR228"/>
  <c r="IS228"/>
  <c r="IT228"/>
  <c r="IU228"/>
  <c r="IV228"/>
  <c r="A227"/>
  <c r="B227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AV227"/>
  <c r="AW227"/>
  <c r="AX227"/>
  <c r="AY227"/>
  <c r="AZ227"/>
  <c r="BA227"/>
  <c r="BB227"/>
  <c r="BC227"/>
  <c r="BD227"/>
  <c r="BE227"/>
  <c r="BF227"/>
  <c r="BG227"/>
  <c r="BH227"/>
  <c r="BI227"/>
  <c r="BJ227"/>
  <c r="BK227"/>
  <c r="BL227"/>
  <c r="BM227"/>
  <c r="BN227"/>
  <c r="BO227"/>
  <c r="BP227"/>
  <c r="BQ227"/>
  <c r="BR227"/>
  <c r="BS227"/>
  <c r="BT227"/>
  <c r="BU227"/>
  <c r="BV227"/>
  <c r="BW227"/>
  <c r="BX227"/>
  <c r="BY227"/>
  <c r="BZ227"/>
  <c r="CA227"/>
  <c r="CB227"/>
  <c r="CC227"/>
  <c r="CD227"/>
  <c r="CE227"/>
  <c r="CF227"/>
  <c r="CG227"/>
  <c r="CH227"/>
  <c r="CI227"/>
  <c r="CJ227"/>
  <c r="CK227"/>
  <c r="CL227"/>
  <c r="CM227"/>
  <c r="CN227"/>
  <c r="CO227"/>
  <c r="CP227"/>
  <c r="CQ227"/>
  <c r="CR227"/>
  <c r="CS227"/>
  <c r="CT227"/>
  <c r="CU227"/>
  <c r="CV227"/>
  <c r="CW227"/>
  <c r="CX227"/>
  <c r="CY227"/>
  <c r="CZ227"/>
  <c r="DA227"/>
  <c r="DB227"/>
  <c r="DC227"/>
  <c r="DD227"/>
  <c r="DE227"/>
  <c r="DF227"/>
  <c r="DG227"/>
  <c r="DH227"/>
  <c r="DI227"/>
  <c r="DJ227"/>
  <c r="DK227"/>
  <c r="DL227"/>
  <c r="DM227"/>
  <c r="DN227"/>
  <c r="DO227"/>
  <c r="DP227"/>
  <c r="DQ227"/>
  <c r="DR227"/>
  <c r="DS227"/>
  <c r="DT227"/>
  <c r="DU227"/>
  <c r="DV227"/>
  <c r="DW227"/>
  <c r="DX227"/>
  <c r="DY227"/>
  <c r="DZ227"/>
  <c r="EA227"/>
  <c r="EB227"/>
  <c r="EC227"/>
  <c r="ED227"/>
  <c r="EE227"/>
  <c r="EF227"/>
  <c r="EG227"/>
  <c r="EH227"/>
  <c r="EI227"/>
  <c r="EJ227"/>
  <c r="EK227"/>
  <c r="EL227"/>
  <c r="EM227"/>
  <c r="EN227"/>
  <c r="EO227"/>
  <c r="EP227"/>
  <c r="EQ227"/>
  <c r="ER227"/>
  <c r="ES227"/>
  <c r="ET227"/>
  <c r="EU227"/>
  <c r="EV227"/>
  <c r="EW227"/>
  <c r="EX227"/>
  <c r="EY227"/>
  <c r="EZ227"/>
  <c r="FA227"/>
  <c r="FB227"/>
  <c r="FC227"/>
  <c r="FD227"/>
  <c r="FE227"/>
  <c r="FF227"/>
  <c r="FG227"/>
  <c r="FH227"/>
  <c r="FI227"/>
  <c r="FJ227"/>
  <c r="FK227"/>
  <c r="FL227"/>
  <c r="FM227"/>
  <c r="FN227"/>
  <c r="FO227"/>
  <c r="FP227"/>
  <c r="FQ227"/>
  <c r="FR227"/>
  <c r="FS227"/>
  <c r="FT227"/>
  <c r="FU227"/>
  <c r="FV227"/>
  <c r="FW227"/>
  <c r="FX227"/>
  <c r="FY227"/>
  <c r="FZ227"/>
  <c r="GA227"/>
  <c r="GB227"/>
  <c r="GC227"/>
  <c r="GD227"/>
  <c r="GE227"/>
  <c r="GF227"/>
  <c r="GG227"/>
  <c r="GH227"/>
  <c r="GI227"/>
  <c r="GJ227"/>
  <c r="GK227"/>
  <c r="GL227"/>
  <c r="GM227"/>
  <c r="GN227"/>
  <c r="GO227"/>
  <c r="GP227"/>
  <c r="GQ227"/>
  <c r="GR227"/>
  <c r="GS227"/>
  <c r="GT227"/>
  <c r="GU227"/>
  <c r="GV227"/>
  <c r="GW227"/>
  <c r="GX227"/>
  <c r="GY227"/>
  <c r="GZ227"/>
  <c r="HA227"/>
  <c r="HB227"/>
  <c r="HC227"/>
  <c r="HD227"/>
  <c r="HE227"/>
  <c r="HF227"/>
  <c r="HG227"/>
  <c r="HH227"/>
  <c r="HI227"/>
  <c r="HJ227"/>
  <c r="HK227"/>
  <c r="HL227"/>
  <c r="HM227"/>
  <c r="HN227"/>
  <c r="HO227"/>
  <c r="HP227"/>
  <c r="HQ227"/>
  <c r="HR227"/>
  <c r="HS227"/>
  <c r="HT227"/>
  <c r="HU227"/>
  <c r="HV227"/>
  <c r="HW227"/>
  <c r="HX227"/>
  <c r="HY227"/>
  <c r="HZ227"/>
  <c r="IA227"/>
  <c r="IB227"/>
  <c r="IC227"/>
  <c r="ID227"/>
  <c r="IE227"/>
  <c r="IF227"/>
  <c r="IG227"/>
  <c r="IH227"/>
  <c r="II227"/>
  <c r="IJ227"/>
  <c r="IK227"/>
  <c r="IL227"/>
  <c r="IM227"/>
  <c r="IN227"/>
  <c r="IO227"/>
  <c r="IP227"/>
  <c r="IQ227"/>
  <c r="IR227"/>
  <c r="IS227"/>
  <c r="IT227"/>
  <c r="IU227"/>
  <c r="IV227"/>
  <c r="A226"/>
  <c r="B226"/>
  <c r="C226"/>
  <c r="D226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AT226"/>
  <c r="AU226"/>
  <c r="AV226"/>
  <c r="AW226"/>
  <c r="AX226"/>
  <c r="AY226"/>
  <c r="AZ226"/>
  <c r="BA226"/>
  <c r="BB226"/>
  <c r="BC226"/>
  <c r="BD226"/>
  <c r="BE226"/>
  <c r="BF226"/>
  <c r="BG226"/>
  <c r="BH226"/>
  <c r="BI226"/>
  <c r="BJ226"/>
  <c r="BK226"/>
  <c r="BL226"/>
  <c r="BM226"/>
  <c r="BN226"/>
  <c r="BO226"/>
  <c r="BP226"/>
  <c r="BQ226"/>
  <c r="BR226"/>
  <c r="BS226"/>
  <c r="BT226"/>
  <c r="BU226"/>
  <c r="BV226"/>
  <c r="BW226"/>
  <c r="BX226"/>
  <c r="BY226"/>
  <c r="BZ226"/>
  <c r="CA226"/>
  <c r="CB226"/>
  <c r="CC226"/>
  <c r="CD226"/>
  <c r="CE226"/>
  <c r="CF226"/>
  <c r="CG226"/>
  <c r="CH226"/>
  <c r="CI226"/>
  <c r="CJ226"/>
  <c r="CK226"/>
  <c r="CL226"/>
  <c r="CM226"/>
  <c r="CN226"/>
  <c r="CO226"/>
  <c r="CP226"/>
  <c r="CQ226"/>
  <c r="CR226"/>
  <c r="CS226"/>
  <c r="CT226"/>
  <c r="CU226"/>
  <c r="CV226"/>
  <c r="CW226"/>
  <c r="CX226"/>
  <c r="CY226"/>
  <c r="CZ226"/>
  <c r="DA226"/>
  <c r="DB226"/>
  <c r="DC226"/>
  <c r="DD226"/>
  <c r="DE226"/>
  <c r="DF226"/>
  <c r="DG226"/>
  <c r="DH226"/>
  <c r="DI226"/>
  <c r="DJ226"/>
  <c r="DK226"/>
  <c r="DL226"/>
  <c r="DM226"/>
  <c r="DN226"/>
  <c r="DO226"/>
  <c r="DP226"/>
  <c r="DQ226"/>
  <c r="DR226"/>
  <c r="DS226"/>
  <c r="DT226"/>
  <c r="DU226"/>
  <c r="DV226"/>
  <c r="DW226"/>
  <c r="DX226"/>
  <c r="DY226"/>
  <c r="DZ226"/>
  <c r="EA226"/>
  <c r="EB226"/>
  <c r="EC226"/>
  <c r="ED226"/>
  <c r="EE226"/>
  <c r="EF226"/>
  <c r="EG226"/>
  <c r="EH226"/>
  <c r="EI226"/>
  <c r="EJ226"/>
  <c r="EK226"/>
  <c r="EL226"/>
  <c r="EM226"/>
  <c r="EN226"/>
  <c r="EO226"/>
  <c r="EP226"/>
  <c r="EQ226"/>
  <c r="ER226"/>
  <c r="ES226"/>
  <c r="ET226"/>
  <c r="EU226"/>
  <c r="EV226"/>
  <c r="EW226"/>
  <c r="EX226"/>
  <c r="EY226"/>
  <c r="EZ226"/>
  <c r="FA226"/>
  <c r="FB226"/>
  <c r="FC226"/>
  <c r="FD226"/>
  <c r="FE226"/>
  <c r="FF226"/>
  <c r="FG226"/>
  <c r="FH226"/>
  <c r="FI226"/>
  <c r="FJ226"/>
  <c r="FK226"/>
  <c r="FL226"/>
  <c r="FM226"/>
  <c r="FN226"/>
  <c r="FO226"/>
  <c r="FP226"/>
  <c r="FQ226"/>
  <c r="FR226"/>
  <c r="FS226"/>
  <c r="FT226"/>
  <c r="FU226"/>
  <c r="FV226"/>
  <c r="FW226"/>
  <c r="FX226"/>
  <c r="FY226"/>
  <c r="FZ226"/>
  <c r="GA226"/>
  <c r="GB226"/>
  <c r="GC226"/>
  <c r="GD226"/>
  <c r="GE226"/>
  <c r="GF226"/>
  <c r="GG226"/>
  <c r="GH226"/>
  <c r="GI226"/>
  <c r="GJ226"/>
  <c r="GK226"/>
  <c r="GL226"/>
  <c r="GM226"/>
  <c r="GN226"/>
  <c r="GO226"/>
  <c r="GP226"/>
  <c r="GQ226"/>
  <c r="GR226"/>
  <c r="GS226"/>
  <c r="GT226"/>
  <c r="GU226"/>
  <c r="GV226"/>
  <c r="GW226"/>
  <c r="GX226"/>
  <c r="GY226"/>
  <c r="GZ226"/>
  <c r="HA226"/>
  <c r="HB226"/>
  <c r="HC226"/>
  <c r="HD226"/>
  <c r="HE226"/>
  <c r="HF226"/>
  <c r="HG226"/>
  <c r="HH226"/>
  <c r="HI226"/>
  <c r="HJ226"/>
  <c r="HK226"/>
  <c r="HL226"/>
  <c r="HM226"/>
  <c r="HN226"/>
  <c r="HO226"/>
  <c r="HP226"/>
  <c r="HQ226"/>
  <c r="HR226"/>
  <c r="HS226"/>
  <c r="HT226"/>
  <c r="HU226"/>
  <c r="HV226"/>
  <c r="HW226"/>
  <c r="HX226"/>
  <c r="HY226"/>
  <c r="HZ226"/>
  <c r="IA226"/>
  <c r="IB226"/>
  <c r="IC226"/>
  <c r="ID226"/>
  <c r="IE226"/>
  <c r="IF226"/>
  <c r="IG226"/>
  <c r="IH226"/>
  <c r="II226"/>
  <c r="IJ226"/>
  <c r="IK226"/>
  <c r="IL226"/>
  <c r="IM226"/>
  <c r="IN226"/>
  <c r="IO226"/>
  <c r="IP226"/>
  <c r="IQ226"/>
  <c r="IR226"/>
  <c r="IS226"/>
  <c r="IT226"/>
  <c r="IU226"/>
  <c r="IV226"/>
  <c r="A225"/>
  <c r="B225"/>
  <c r="C225"/>
  <c r="D225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AT225"/>
  <c r="AU225"/>
  <c r="AV225"/>
  <c r="AW225"/>
  <c r="AX225"/>
  <c r="AY225"/>
  <c r="AZ225"/>
  <c r="BA225"/>
  <c r="BB225"/>
  <c r="BC225"/>
  <c r="BD225"/>
  <c r="BE225"/>
  <c r="BF225"/>
  <c r="BG225"/>
  <c r="BH225"/>
  <c r="BI225"/>
  <c r="BJ225"/>
  <c r="BK225"/>
  <c r="BL225"/>
  <c r="BM225"/>
  <c r="BN225"/>
  <c r="BO225"/>
  <c r="BP225"/>
  <c r="BQ225"/>
  <c r="BR225"/>
  <c r="BS225"/>
  <c r="BT225"/>
  <c r="BU225"/>
  <c r="BV225"/>
  <c r="BW225"/>
  <c r="BX225"/>
  <c r="BY225"/>
  <c r="BZ225"/>
  <c r="CA225"/>
  <c r="CB225"/>
  <c r="CC225"/>
  <c r="CD225"/>
  <c r="CE225"/>
  <c r="CF225"/>
  <c r="CG225"/>
  <c r="CH225"/>
  <c r="CI225"/>
  <c r="CJ225"/>
  <c r="CK225"/>
  <c r="CL225"/>
  <c r="CM225"/>
  <c r="CN225"/>
  <c r="CO225"/>
  <c r="CP225"/>
  <c r="CQ225"/>
  <c r="CR225"/>
  <c r="CS225"/>
  <c r="CT225"/>
  <c r="CU225"/>
  <c r="CV225"/>
  <c r="CW225"/>
  <c r="CX225"/>
  <c r="CY225"/>
  <c r="CZ225"/>
  <c r="DA225"/>
  <c r="DB225"/>
  <c r="DC225"/>
  <c r="DD225"/>
  <c r="DE225"/>
  <c r="DF225"/>
  <c r="DG225"/>
  <c r="DH225"/>
  <c r="DI225"/>
  <c r="DJ225"/>
  <c r="DK225"/>
  <c r="DL225"/>
  <c r="DM225"/>
  <c r="DN225"/>
  <c r="DO225"/>
  <c r="DP225"/>
  <c r="DQ225"/>
  <c r="DR225"/>
  <c r="DS225"/>
  <c r="DT225"/>
  <c r="DU225"/>
  <c r="DV225"/>
  <c r="DW225"/>
  <c r="DX225"/>
  <c r="DY225"/>
  <c r="DZ225"/>
  <c r="EA225"/>
  <c r="EB225"/>
  <c r="EC225"/>
  <c r="ED225"/>
  <c r="EE225"/>
  <c r="EF225"/>
  <c r="EG225"/>
  <c r="EH225"/>
  <c r="EI225"/>
  <c r="EJ225"/>
  <c r="EK225"/>
  <c r="EL225"/>
  <c r="EM225"/>
  <c r="EN225"/>
  <c r="EO225"/>
  <c r="EP225"/>
  <c r="EQ225"/>
  <c r="ER225"/>
  <c r="ES225"/>
  <c r="ET225"/>
  <c r="EU225"/>
  <c r="EV225"/>
  <c r="EW225"/>
  <c r="EX225"/>
  <c r="EY225"/>
  <c r="EZ225"/>
  <c r="FA225"/>
  <c r="FB225"/>
  <c r="FC225"/>
  <c r="FD225"/>
  <c r="FE225"/>
  <c r="FF225"/>
  <c r="FG225"/>
  <c r="FH225"/>
  <c r="FI225"/>
  <c r="FJ225"/>
  <c r="FK225"/>
  <c r="FL225"/>
  <c r="FM225"/>
  <c r="FN225"/>
  <c r="FO225"/>
  <c r="FP225"/>
  <c r="FQ225"/>
  <c r="FR225"/>
  <c r="FS225"/>
  <c r="FT225"/>
  <c r="FU225"/>
  <c r="FV225"/>
  <c r="FW225"/>
  <c r="FX225"/>
  <c r="FY225"/>
  <c r="FZ225"/>
  <c r="GA225"/>
  <c r="GB225"/>
  <c r="GC225"/>
  <c r="GD225"/>
  <c r="GE225"/>
  <c r="GF225"/>
  <c r="GG225"/>
  <c r="GH225"/>
  <c r="GI225"/>
  <c r="GJ225"/>
  <c r="GK225"/>
  <c r="GL225"/>
  <c r="GM225"/>
  <c r="GN225"/>
  <c r="GO225"/>
  <c r="GP225"/>
  <c r="GQ225"/>
  <c r="GR225"/>
  <c r="GS225"/>
  <c r="GT225"/>
  <c r="GU225"/>
  <c r="GV225"/>
  <c r="GW225"/>
  <c r="GX225"/>
  <c r="GY225"/>
  <c r="GZ225"/>
  <c r="HA225"/>
  <c r="HB225"/>
  <c r="HC225"/>
  <c r="HD225"/>
  <c r="HE225"/>
  <c r="HF225"/>
  <c r="HG225"/>
  <c r="HH225"/>
  <c r="HI225"/>
  <c r="HJ225"/>
  <c r="HK225"/>
  <c r="HL225"/>
  <c r="HM225"/>
  <c r="HN225"/>
  <c r="HO225"/>
  <c r="HP225"/>
  <c r="HQ225"/>
  <c r="HR225"/>
  <c r="HS225"/>
  <c r="HT225"/>
  <c r="HU225"/>
  <c r="HV225"/>
  <c r="HW225"/>
  <c r="HX225"/>
  <c r="HY225"/>
  <c r="HZ225"/>
  <c r="IA225"/>
  <c r="IB225"/>
  <c r="IC225"/>
  <c r="ID225"/>
  <c r="IE225"/>
  <c r="IF225"/>
  <c r="IG225"/>
  <c r="IH225"/>
  <c r="II225"/>
  <c r="IJ225"/>
  <c r="IK225"/>
  <c r="IL225"/>
  <c r="IM225"/>
  <c r="IN225"/>
  <c r="IO225"/>
  <c r="IP225"/>
  <c r="IQ225"/>
  <c r="IR225"/>
  <c r="IS225"/>
  <c r="IT225"/>
  <c r="IU225"/>
  <c r="IV225"/>
  <c r="A224"/>
  <c r="B224"/>
  <c r="C224"/>
  <c r="D224"/>
  <c r="E224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AV224"/>
  <c r="AW224"/>
  <c r="AX224"/>
  <c r="AY224"/>
  <c r="AZ224"/>
  <c r="BA224"/>
  <c r="BB224"/>
  <c r="BC224"/>
  <c r="BD224"/>
  <c r="BE224"/>
  <c r="BF224"/>
  <c r="BG224"/>
  <c r="BH224"/>
  <c r="BI224"/>
  <c r="BJ224"/>
  <c r="BK224"/>
  <c r="BL224"/>
  <c r="BM224"/>
  <c r="BN224"/>
  <c r="BO224"/>
  <c r="BP224"/>
  <c r="BQ224"/>
  <c r="BR224"/>
  <c r="BS224"/>
  <c r="BT224"/>
  <c r="BU224"/>
  <c r="BV224"/>
  <c r="BW224"/>
  <c r="BX224"/>
  <c r="BY224"/>
  <c r="BZ224"/>
  <c r="CA224"/>
  <c r="CB224"/>
  <c r="CC224"/>
  <c r="CD224"/>
  <c r="CE224"/>
  <c r="CF224"/>
  <c r="CG224"/>
  <c r="CH224"/>
  <c r="CI224"/>
  <c r="CJ224"/>
  <c r="CK224"/>
  <c r="CL224"/>
  <c r="CM224"/>
  <c r="CN224"/>
  <c r="CO224"/>
  <c r="CP224"/>
  <c r="CQ224"/>
  <c r="CR224"/>
  <c r="CS224"/>
  <c r="CT224"/>
  <c r="CU224"/>
  <c r="CV224"/>
  <c r="CW224"/>
  <c r="CX224"/>
  <c r="CY224"/>
  <c r="CZ224"/>
  <c r="DA224"/>
  <c r="DB224"/>
  <c r="DC224"/>
  <c r="DD224"/>
  <c r="DE224"/>
  <c r="DF224"/>
  <c r="DG224"/>
  <c r="DH224"/>
  <c r="DI224"/>
  <c r="DJ224"/>
  <c r="DK224"/>
  <c r="DL224"/>
  <c r="DM224"/>
  <c r="DN224"/>
  <c r="DO224"/>
  <c r="DP224"/>
  <c r="DQ224"/>
  <c r="DR224"/>
  <c r="DS224"/>
  <c r="DT224"/>
  <c r="DU224"/>
  <c r="DV224"/>
  <c r="DW224"/>
  <c r="DX224"/>
  <c r="DY224"/>
  <c r="DZ224"/>
  <c r="EA224"/>
  <c r="EB224"/>
  <c r="EC224"/>
  <c r="ED224"/>
  <c r="EE224"/>
  <c r="EF224"/>
  <c r="EG224"/>
  <c r="EH224"/>
  <c r="EI224"/>
  <c r="EJ224"/>
  <c r="EK224"/>
  <c r="EL224"/>
  <c r="EM224"/>
  <c r="EN224"/>
  <c r="EO224"/>
  <c r="EP224"/>
  <c r="EQ224"/>
  <c r="ER224"/>
  <c r="ES224"/>
  <c r="ET224"/>
  <c r="EU224"/>
  <c r="EV224"/>
  <c r="EW224"/>
  <c r="EX224"/>
  <c r="EY224"/>
  <c r="EZ224"/>
  <c r="FA224"/>
  <c r="FB224"/>
  <c r="FC224"/>
  <c r="FD224"/>
  <c r="FE224"/>
  <c r="FF224"/>
  <c r="FG224"/>
  <c r="FH224"/>
  <c r="FI224"/>
  <c r="FJ224"/>
  <c r="FK224"/>
  <c r="FL224"/>
  <c r="FM224"/>
  <c r="FN224"/>
  <c r="FO224"/>
  <c r="FP224"/>
  <c r="FQ224"/>
  <c r="FR224"/>
  <c r="FS224"/>
  <c r="FT224"/>
  <c r="FU224"/>
  <c r="FV224"/>
  <c r="FW224"/>
  <c r="FX224"/>
  <c r="FY224"/>
  <c r="FZ224"/>
  <c r="GA224"/>
  <c r="GB224"/>
  <c r="GC224"/>
  <c r="GD224"/>
  <c r="GE224"/>
  <c r="GF224"/>
  <c r="GG224"/>
  <c r="GH224"/>
  <c r="GI224"/>
  <c r="GJ224"/>
  <c r="GK224"/>
  <c r="GL224"/>
  <c r="GM224"/>
  <c r="GN224"/>
  <c r="GO224"/>
  <c r="GP224"/>
  <c r="GQ224"/>
  <c r="GR224"/>
  <c r="GS224"/>
  <c r="GT224"/>
  <c r="GU224"/>
  <c r="GV224"/>
  <c r="GW224"/>
  <c r="GX224"/>
  <c r="GY224"/>
  <c r="GZ224"/>
  <c r="HA224"/>
  <c r="HB224"/>
  <c r="HC224"/>
  <c r="HD224"/>
  <c r="HE224"/>
  <c r="HF224"/>
  <c r="HG224"/>
  <c r="HH224"/>
  <c r="HI224"/>
  <c r="HJ224"/>
  <c r="HK224"/>
  <c r="HL224"/>
  <c r="HM224"/>
  <c r="HN224"/>
  <c r="HO224"/>
  <c r="HP224"/>
  <c r="HQ224"/>
  <c r="HR224"/>
  <c r="HS224"/>
  <c r="HT224"/>
  <c r="HU224"/>
  <c r="HV224"/>
  <c r="HW224"/>
  <c r="HX224"/>
  <c r="HY224"/>
  <c r="HZ224"/>
  <c r="IA224"/>
  <c r="IB224"/>
  <c r="IC224"/>
  <c r="ID224"/>
  <c r="IE224"/>
  <c r="IF224"/>
  <c r="IG224"/>
  <c r="IH224"/>
  <c r="II224"/>
  <c r="IJ224"/>
  <c r="IK224"/>
  <c r="IL224"/>
  <c r="IM224"/>
  <c r="IN224"/>
  <c r="IO224"/>
  <c r="IP224"/>
  <c r="IQ224"/>
  <c r="IR224"/>
  <c r="IS224"/>
  <c r="IT224"/>
  <c r="IU224"/>
  <c r="IV224"/>
  <c r="A223"/>
  <c r="B223"/>
  <c r="C223"/>
  <c r="D22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AV223"/>
  <c r="AW223"/>
  <c r="AX223"/>
  <c r="AY223"/>
  <c r="AZ223"/>
  <c r="BA223"/>
  <c r="BB223"/>
  <c r="BC223"/>
  <c r="BD223"/>
  <c r="BE223"/>
  <c r="BF223"/>
  <c r="BG223"/>
  <c r="BH223"/>
  <c r="BI223"/>
  <c r="BJ223"/>
  <c r="BK223"/>
  <c r="BL223"/>
  <c r="BM223"/>
  <c r="BN223"/>
  <c r="BO223"/>
  <c r="BP223"/>
  <c r="BQ223"/>
  <c r="BR223"/>
  <c r="BS223"/>
  <c r="BT223"/>
  <c r="BU223"/>
  <c r="BV223"/>
  <c r="BW223"/>
  <c r="BX223"/>
  <c r="BY223"/>
  <c r="BZ223"/>
  <c r="CA223"/>
  <c r="CB223"/>
  <c r="CC223"/>
  <c r="CD223"/>
  <c r="CE223"/>
  <c r="CF223"/>
  <c r="CG223"/>
  <c r="CH223"/>
  <c r="CI223"/>
  <c r="CJ223"/>
  <c r="CK223"/>
  <c r="CL223"/>
  <c r="CM223"/>
  <c r="CN223"/>
  <c r="CO223"/>
  <c r="CP223"/>
  <c r="CQ223"/>
  <c r="CR223"/>
  <c r="CS223"/>
  <c r="CT223"/>
  <c r="CU223"/>
  <c r="CV223"/>
  <c r="CW223"/>
  <c r="CX223"/>
  <c r="CY223"/>
  <c r="CZ223"/>
  <c r="DA223"/>
  <c r="DB223"/>
  <c r="DC223"/>
  <c r="DD223"/>
  <c r="DE223"/>
  <c r="DF223"/>
  <c r="DG223"/>
  <c r="DH223"/>
  <c r="DI223"/>
  <c r="DJ223"/>
  <c r="DK223"/>
  <c r="DL223"/>
  <c r="DM223"/>
  <c r="DN223"/>
  <c r="DO223"/>
  <c r="DP223"/>
  <c r="DQ223"/>
  <c r="DR223"/>
  <c r="DS223"/>
  <c r="DT223"/>
  <c r="DU223"/>
  <c r="DV223"/>
  <c r="DW223"/>
  <c r="DX223"/>
  <c r="DY223"/>
  <c r="DZ223"/>
  <c r="EA223"/>
  <c r="EB223"/>
  <c r="EC223"/>
  <c r="ED223"/>
  <c r="EE223"/>
  <c r="EF223"/>
  <c r="EG223"/>
  <c r="EH223"/>
  <c r="EI223"/>
  <c r="EJ223"/>
  <c r="EK223"/>
  <c r="EL223"/>
  <c r="EM223"/>
  <c r="EN223"/>
  <c r="EO223"/>
  <c r="EP223"/>
  <c r="EQ223"/>
  <c r="ER223"/>
  <c r="ES223"/>
  <c r="ET223"/>
  <c r="EU223"/>
  <c r="EV223"/>
  <c r="EW223"/>
  <c r="EX223"/>
  <c r="EY223"/>
  <c r="EZ223"/>
  <c r="FA223"/>
  <c r="FB223"/>
  <c r="FC223"/>
  <c r="FD223"/>
  <c r="FE223"/>
  <c r="FF223"/>
  <c r="FG223"/>
  <c r="FH223"/>
  <c r="FI223"/>
  <c r="FJ223"/>
  <c r="FK223"/>
  <c r="FL223"/>
  <c r="FM223"/>
  <c r="FN223"/>
  <c r="FO223"/>
  <c r="FP223"/>
  <c r="FQ223"/>
  <c r="FR223"/>
  <c r="FS223"/>
  <c r="FT223"/>
  <c r="FU223"/>
  <c r="FV223"/>
  <c r="FW223"/>
  <c r="FX223"/>
  <c r="FY223"/>
  <c r="FZ223"/>
  <c r="GA223"/>
  <c r="GB223"/>
  <c r="GC223"/>
  <c r="GD223"/>
  <c r="GE223"/>
  <c r="GF223"/>
  <c r="GG223"/>
  <c r="GH223"/>
  <c r="GI223"/>
  <c r="GJ223"/>
  <c r="GK223"/>
  <c r="GL223"/>
  <c r="GM223"/>
  <c r="GN223"/>
  <c r="GO223"/>
  <c r="GP223"/>
  <c r="GQ223"/>
  <c r="GR223"/>
  <c r="GS223"/>
  <c r="GT223"/>
  <c r="GU223"/>
  <c r="GV223"/>
  <c r="GW223"/>
  <c r="GX223"/>
  <c r="GY223"/>
  <c r="GZ223"/>
  <c r="HA223"/>
  <c r="HB223"/>
  <c r="HC223"/>
  <c r="HD223"/>
  <c r="HE223"/>
  <c r="HF223"/>
  <c r="HG223"/>
  <c r="HH223"/>
  <c r="HI223"/>
  <c r="HJ223"/>
  <c r="HK223"/>
  <c r="HL223"/>
  <c r="HM223"/>
  <c r="HN223"/>
  <c r="HO223"/>
  <c r="HP223"/>
  <c r="HQ223"/>
  <c r="HR223"/>
  <c r="HS223"/>
  <c r="HT223"/>
  <c r="HU223"/>
  <c r="HV223"/>
  <c r="HW223"/>
  <c r="HX223"/>
  <c r="HY223"/>
  <c r="HZ223"/>
  <c r="IA223"/>
  <c r="IB223"/>
  <c r="IC223"/>
  <c r="ID223"/>
  <c r="IE223"/>
  <c r="IF223"/>
  <c r="IG223"/>
  <c r="IH223"/>
  <c r="II223"/>
  <c r="IJ223"/>
  <c r="IK223"/>
  <c r="IL223"/>
  <c r="IM223"/>
  <c r="IN223"/>
  <c r="IO223"/>
  <c r="IP223"/>
  <c r="IQ223"/>
  <c r="IR223"/>
  <c r="IS223"/>
  <c r="IT223"/>
  <c r="IU223"/>
  <c r="IV223"/>
  <c r="A222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AV222"/>
  <c r="AW222"/>
  <c r="AX222"/>
  <c r="AY222"/>
  <c r="AZ222"/>
  <c r="BA222"/>
  <c r="BB222"/>
  <c r="BC222"/>
  <c r="BD222"/>
  <c r="BE222"/>
  <c r="BF222"/>
  <c r="BG222"/>
  <c r="BH222"/>
  <c r="BI222"/>
  <c r="BJ222"/>
  <c r="BK222"/>
  <c r="BL222"/>
  <c r="BM222"/>
  <c r="BN222"/>
  <c r="BO222"/>
  <c r="BP222"/>
  <c r="BQ222"/>
  <c r="BR222"/>
  <c r="BS222"/>
  <c r="BT222"/>
  <c r="BU222"/>
  <c r="BV222"/>
  <c r="BW222"/>
  <c r="BX222"/>
  <c r="BY222"/>
  <c r="BZ222"/>
  <c r="CA222"/>
  <c r="CB222"/>
  <c r="CC222"/>
  <c r="CD222"/>
  <c r="CE222"/>
  <c r="CF222"/>
  <c r="CG222"/>
  <c r="CH222"/>
  <c r="CI222"/>
  <c r="CJ222"/>
  <c r="CK222"/>
  <c r="CL222"/>
  <c r="CM222"/>
  <c r="CN222"/>
  <c r="CO222"/>
  <c r="CP222"/>
  <c r="CQ222"/>
  <c r="CR222"/>
  <c r="CS222"/>
  <c r="CT222"/>
  <c r="CU222"/>
  <c r="CV222"/>
  <c r="CW222"/>
  <c r="CX222"/>
  <c r="CY222"/>
  <c r="CZ222"/>
  <c r="DA222"/>
  <c r="DB222"/>
  <c r="DC222"/>
  <c r="DD222"/>
  <c r="DE222"/>
  <c r="DF222"/>
  <c r="DG222"/>
  <c r="DH222"/>
  <c r="DI222"/>
  <c r="DJ222"/>
  <c r="DK222"/>
  <c r="DL222"/>
  <c r="DM222"/>
  <c r="DN222"/>
  <c r="DO222"/>
  <c r="DP222"/>
  <c r="DQ222"/>
  <c r="DR222"/>
  <c r="DS222"/>
  <c r="DT222"/>
  <c r="DU222"/>
  <c r="DV222"/>
  <c r="DW222"/>
  <c r="DX222"/>
  <c r="DY222"/>
  <c r="DZ222"/>
  <c r="EA222"/>
  <c r="EB222"/>
  <c r="EC222"/>
  <c r="ED222"/>
  <c r="EE222"/>
  <c r="EF222"/>
  <c r="EG222"/>
  <c r="EH222"/>
  <c r="EI222"/>
  <c r="EJ222"/>
  <c r="EK222"/>
  <c r="EL222"/>
  <c r="EM222"/>
  <c r="EN222"/>
  <c r="EO222"/>
  <c r="EP222"/>
  <c r="EQ222"/>
  <c r="ER222"/>
  <c r="ES222"/>
  <c r="ET222"/>
  <c r="EU222"/>
  <c r="EV222"/>
  <c r="EW222"/>
  <c r="EX222"/>
  <c r="EY222"/>
  <c r="EZ222"/>
  <c r="FA222"/>
  <c r="FB222"/>
  <c r="FC222"/>
  <c r="FD222"/>
  <c r="FE222"/>
  <c r="FF222"/>
  <c r="FG222"/>
  <c r="FH222"/>
  <c r="FI222"/>
  <c r="FJ222"/>
  <c r="FK222"/>
  <c r="FL222"/>
  <c r="FM222"/>
  <c r="FN222"/>
  <c r="FO222"/>
  <c r="FP222"/>
  <c r="FQ222"/>
  <c r="FR222"/>
  <c r="FS222"/>
  <c r="FT222"/>
  <c r="FU222"/>
  <c r="FV222"/>
  <c r="FW222"/>
  <c r="FX222"/>
  <c r="FY222"/>
  <c r="FZ222"/>
  <c r="GA222"/>
  <c r="GB222"/>
  <c r="GC222"/>
  <c r="GD222"/>
  <c r="GE222"/>
  <c r="GF222"/>
  <c r="GG222"/>
  <c r="GH222"/>
  <c r="GI222"/>
  <c r="GJ222"/>
  <c r="GK222"/>
  <c r="GL222"/>
  <c r="GM222"/>
  <c r="GN222"/>
  <c r="GO222"/>
  <c r="GP222"/>
  <c r="GQ222"/>
  <c r="GR222"/>
  <c r="GS222"/>
  <c r="GT222"/>
  <c r="GU222"/>
  <c r="GV222"/>
  <c r="GW222"/>
  <c r="GX222"/>
  <c r="GY222"/>
  <c r="GZ222"/>
  <c r="HA222"/>
  <c r="HB222"/>
  <c r="HC222"/>
  <c r="HD222"/>
  <c r="HE222"/>
  <c r="HF222"/>
  <c r="HG222"/>
  <c r="HH222"/>
  <c r="HI222"/>
  <c r="HJ222"/>
  <c r="HK222"/>
  <c r="HL222"/>
  <c r="HM222"/>
  <c r="HN222"/>
  <c r="HO222"/>
  <c r="HP222"/>
  <c r="HQ222"/>
  <c r="HR222"/>
  <c r="HS222"/>
  <c r="HT222"/>
  <c r="HU222"/>
  <c r="HV222"/>
  <c r="HW222"/>
  <c r="HX222"/>
  <c r="HY222"/>
  <c r="HZ222"/>
  <c r="IA222"/>
  <c r="IB222"/>
  <c r="IC222"/>
  <c r="ID222"/>
  <c r="IE222"/>
  <c r="IF222"/>
  <c r="IG222"/>
  <c r="IH222"/>
  <c r="II222"/>
  <c r="IJ222"/>
  <c r="IK222"/>
  <c r="IL222"/>
  <c r="IM222"/>
  <c r="IN222"/>
  <c r="IO222"/>
  <c r="IP222"/>
  <c r="IQ222"/>
  <c r="IR222"/>
  <c r="IS222"/>
  <c r="IT222"/>
  <c r="IU222"/>
  <c r="IV222"/>
  <c r="A221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W221"/>
  <c r="AX221"/>
  <c r="AY221"/>
  <c r="AZ221"/>
  <c r="BA221"/>
  <c r="BB221"/>
  <c r="BC221"/>
  <c r="BD221"/>
  <c r="BE221"/>
  <c r="BF221"/>
  <c r="BG221"/>
  <c r="BH221"/>
  <c r="BI221"/>
  <c r="BJ221"/>
  <c r="BK221"/>
  <c r="BL221"/>
  <c r="BM221"/>
  <c r="BN221"/>
  <c r="BO221"/>
  <c r="BP221"/>
  <c r="BQ221"/>
  <c r="BR221"/>
  <c r="BS221"/>
  <c r="BT221"/>
  <c r="BU221"/>
  <c r="BV221"/>
  <c r="BW221"/>
  <c r="BX221"/>
  <c r="BY221"/>
  <c r="BZ221"/>
  <c r="CA221"/>
  <c r="CB221"/>
  <c r="CC221"/>
  <c r="CD221"/>
  <c r="CE221"/>
  <c r="CF221"/>
  <c r="CG221"/>
  <c r="CH221"/>
  <c r="CI221"/>
  <c r="CJ221"/>
  <c r="CK221"/>
  <c r="CL221"/>
  <c r="CM221"/>
  <c r="CN221"/>
  <c r="CO221"/>
  <c r="CP221"/>
  <c r="CQ221"/>
  <c r="CR221"/>
  <c r="CS221"/>
  <c r="CT221"/>
  <c r="CU221"/>
  <c r="CV221"/>
  <c r="CW221"/>
  <c r="CX221"/>
  <c r="CY221"/>
  <c r="CZ221"/>
  <c r="DA221"/>
  <c r="DB221"/>
  <c r="DC221"/>
  <c r="DD221"/>
  <c r="DE221"/>
  <c r="DF221"/>
  <c r="DG221"/>
  <c r="DH221"/>
  <c r="DI221"/>
  <c r="DJ221"/>
  <c r="DK221"/>
  <c r="DL221"/>
  <c r="DM221"/>
  <c r="DN221"/>
  <c r="DO221"/>
  <c r="DP221"/>
  <c r="DQ221"/>
  <c r="DR221"/>
  <c r="DS221"/>
  <c r="DT221"/>
  <c r="DU221"/>
  <c r="DV221"/>
  <c r="DW221"/>
  <c r="DX221"/>
  <c r="DY221"/>
  <c r="DZ221"/>
  <c r="EA221"/>
  <c r="EB221"/>
  <c r="EC221"/>
  <c r="ED221"/>
  <c r="EE221"/>
  <c r="EF221"/>
  <c r="EG221"/>
  <c r="EH221"/>
  <c r="EI221"/>
  <c r="EJ221"/>
  <c r="EK221"/>
  <c r="EL221"/>
  <c r="EM221"/>
  <c r="EN221"/>
  <c r="EO221"/>
  <c r="EP221"/>
  <c r="EQ221"/>
  <c r="ER221"/>
  <c r="ES221"/>
  <c r="ET221"/>
  <c r="EU221"/>
  <c r="EV221"/>
  <c r="EW221"/>
  <c r="EX221"/>
  <c r="EY221"/>
  <c r="EZ221"/>
  <c r="FA221"/>
  <c r="FB221"/>
  <c r="FC221"/>
  <c r="FD221"/>
  <c r="FE221"/>
  <c r="FF221"/>
  <c r="FG221"/>
  <c r="FH221"/>
  <c r="FI221"/>
  <c r="FJ221"/>
  <c r="FK221"/>
  <c r="FL221"/>
  <c r="FM221"/>
  <c r="FN221"/>
  <c r="FO221"/>
  <c r="FP221"/>
  <c r="FQ221"/>
  <c r="FR221"/>
  <c r="FS221"/>
  <c r="FT221"/>
  <c r="FU221"/>
  <c r="FV221"/>
  <c r="FW221"/>
  <c r="FX221"/>
  <c r="FY221"/>
  <c r="FZ221"/>
  <c r="GA221"/>
  <c r="GB221"/>
  <c r="GC221"/>
  <c r="GD221"/>
  <c r="GE221"/>
  <c r="GF221"/>
  <c r="GG221"/>
  <c r="GH221"/>
  <c r="GI221"/>
  <c r="GJ221"/>
  <c r="GK221"/>
  <c r="GL221"/>
  <c r="GM221"/>
  <c r="GN221"/>
  <c r="GO221"/>
  <c r="GP221"/>
  <c r="GQ221"/>
  <c r="GR221"/>
  <c r="GS221"/>
  <c r="GT221"/>
  <c r="GU221"/>
  <c r="GV221"/>
  <c r="GW221"/>
  <c r="GX221"/>
  <c r="GY221"/>
  <c r="GZ221"/>
  <c r="HA221"/>
  <c r="HB221"/>
  <c r="HC221"/>
  <c r="HD221"/>
  <c r="HE221"/>
  <c r="HF221"/>
  <c r="HG221"/>
  <c r="HH221"/>
  <c r="HI221"/>
  <c r="HJ221"/>
  <c r="HK221"/>
  <c r="HL221"/>
  <c r="HM221"/>
  <c r="HN221"/>
  <c r="HO221"/>
  <c r="HP221"/>
  <c r="HQ221"/>
  <c r="HR221"/>
  <c r="HS221"/>
  <c r="HT221"/>
  <c r="HU221"/>
  <c r="HV221"/>
  <c r="HW221"/>
  <c r="HX221"/>
  <c r="HY221"/>
  <c r="HZ221"/>
  <c r="IA221"/>
  <c r="IB221"/>
  <c r="IC221"/>
  <c r="ID221"/>
  <c r="IE221"/>
  <c r="IF221"/>
  <c r="IG221"/>
  <c r="IH221"/>
  <c r="II221"/>
  <c r="IJ221"/>
  <c r="IK221"/>
  <c r="IL221"/>
  <c r="IM221"/>
  <c r="IN221"/>
  <c r="IO221"/>
  <c r="IP221"/>
  <c r="IQ221"/>
  <c r="IR221"/>
  <c r="IS221"/>
  <c r="IT221"/>
  <c r="IU221"/>
  <c r="IV221"/>
  <c r="A220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AV220"/>
  <c r="AW220"/>
  <c r="AX220"/>
  <c r="AY220"/>
  <c r="AZ220"/>
  <c r="BA220"/>
  <c r="BB220"/>
  <c r="BC220"/>
  <c r="BD220"/>
  <c r="BE220"/>
  <c r="BF220"/>
  <c r="BG220"/>
  <c r="BH220"/>
  <c r="BI220"/>
  <c r="BJ220"/>
  <c r="BK220"/>
  <c r="BL220"/>
  <c r="BM220"/>
  <c r="BN220"/>
  <c r="BO220"/>
  <c r="BP220"/>
  <c r="BQ220"/>
  <c r="BR220"/>
  <c r="BS220"/>
  <c r="BT220"/>
  <c r="BU220"/>
  <c r="BV220"/>
  <c r="BW220"/>
  <c r="BX220"/>
  <c r="BY220"/>
  <c r="BZ220"/>
  <c r="CA220"/>
  <c r="CB220"/>
  <c r="CC220"/>
  <c r="CD220"/>
  <c r="CE220"/>
  <c r="CF220"/>
  <c r="CG220"/>
  <c r="CH220"/>
  <c r="CI220"/>
  <c r="CJ220"/>
  <c r="CK220"/>
  <c r="CL220"/>
  <c r="CM220"/>
  <c r="CN220"/>
  <c r="CO220"/>
  <c r="CP220"/>
  <c r="CQ220"/>
  <c r="CR220"/>
  <c r="CS220"/>
  <c r="CT220"/>
  <c r="CU220"/>
  <c r="CV220"/>
  <c r="CW220"/>
  <c r="CX220"/>
  <c r="CY220"/>
  <c r="CZ220"/>
  <c r="DA220"/>
  <c r="DB220"/>
  <c r="DC220"/>
  <c r="DD220"/>
  <c r="DE220"/>
  <c r="DF220"/>
  <c r="DG220"/>
  <c r="DH220"/>
  <c r="DI220"/>
  <c r="DJ220"/>
  <c r="DK220"/>
  <c r="DL220"/>
  <c r="DM220"/>
  <c r="DN220"/>
  <c r="DO220"/>
  <c r="DP220"/>
  <c r="DQ220"/>
  <c r="DR220"/>
  <c r="DS220"/>
  <c r="DT220"/>
  <c r="DU220"/>
  <c r="DV220"/>
  <c r="DW220"/>
  <c r="DX220"/>
  <c r="DY220"/>
  <c r="DZ220"/>
  <c r="EA220"/>
  <c r="EB220"/>
  <c r="EC220"/>
  <c r="ED220"/>
  <c r="EE220"/>
  <c r="EF220"/>
  <c r="EG220"/>
  <c r="EH220"/>
  <c r="EI220"/>
  <c r="EJ220"/>
  <c r="EK220"/>
  <c r="EL220"/>
  <c r="EM220"/>
  <c r="EN220"/>
  <c r="EO220"/>
  <c r="EP220"/>
  <c r="EQ220"/>
  <c r="ER220"/>
  <c r="ES220"/>
  <c r="ET220"/>
  <c r="EU220"/>
  <c r="EV220"/>
  <c r="EW220"/>
  <c r="EX220"/>
  <c r="EY220"/>
  <c r="EZ220"/>
  <c r="FA220"/>
  <c r="FB220"/>
  <c r="FC220"/>
  <c r="FD220"/>
  <c r="FE220"/>
  <c r="FF220"/>
  <c r="FG220"/>
  <c r="FH220"/>
  <c r="FI220"/>
  <c r="FJ220"/>
  <c r="FK220"/>
  <c r="FL220"/>
  <c r="FM220"/>
  <c r="FN220"/>
  <c r="FO220"/>
  <c r="FP220"/>
  <c r="FQ220"/>
  <c r="FR220"/>
  <c r="FS220"/>
  <c r="FT220"/>
  <c r="FU220"/>
  <c r="FV220"/>
  <c r="FW220"/>
  <c r="FX220"/>
  <c r="FY220"/>
  <c r="FZ220"/>
  <c r="GA220"/>
  <c r="GB220"/>
  <c r="GC220"/>
  <c r="GD220"/>
  <c r="GE220"/>
  <c r="GF220"/>
  <c r="GG220"/>
  <c r="GH220"/>
  <c r="GI220"/>
  <c r="GJ220"/>
  <c r="GK220"/>
  <c r="GL220"/>
  <c r="GM220"/>
  <c r="GN220"/>
  <c r="GO220"/>
  <c r="GP220"/>
  <c r="GQ220"/>
  <c r="GR220"/>
  <c r="GS220"/>
  <c r="GT220"/>
  <c r="GU220"/>
  <c r="GV220"/>
  <c r="GW220"/>
  <c r="GX220"/>
  <c r="GY220"/>
  <c r="GZ220"/>
  <c r="HA220"/>
  <c r="HB220"/>
  <c r="HC220"/>
  <c r="HD220"/>
  <c r="HE220"/>
  <c r="HF220"/>
  <c r="HG220"/>
  <c r="HH220"/>
  <c r="HI220"/>
  <c r="HJ220"/>
  <c r="HK220"/>
  <c r="HL220"/>
  <c r="HM220"/>
  <c r="HN220"/>
  <c r="HO220"/>
  <c r="HP220"/>
  <c r="HQ220"/>
  <c r="HR220"/>
  <c r="HS220"/>
  <c r="HT220"/>
  <c r="HU220"/>
  <c r="HV220"/>
  <c r="HW220"/>
  <c r="HX220"/>
  <c r="HY220"/>
  <c r="HZ220"/>
  <c r="IA220"/>
  <c r="IB220"/>
  <c r="IC220"/>
  <c r="ID220"/>
  <c r="IE220"/>
  <c r="IF220"/>
  <c r="IG220"/>
  <c r="IH220"/>
  <c r="II220"/>
  <c r="IJ220"/>
  <c r="IK220"/>
  <c r="IL220"/>
  <c r="IM220"/>
  <c r="IN220"/>
  <c r="IO220"/>
  <c r="IP220"/>
  <c r="IQ220"/>
  <c r="IR220"/>
  <c r="IS220"/>
  <c r="IT220"/>
  <c r="IU220"/>
  <c r="IV220"/>
  <c r="A219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AT219"/>
  <c r="AU219"/>
  <c r="AV219"/>
  <c r="AW219"/>
  <c r="AX219"/>
  <c r="AY219"/>
  <c r="AZ219"/>
  <c r="BA219"/>
  <c r="BB219"/>
  <c r="BC219"/>
  <c r="BD219"/>
  <c r="BE219"/>
  <c r="BF219"/>
  <c r="BG219"/>
  <c r="BH219"/>
  <c r="BI219"/>
  <c r="BJ219"/>
  <c r="BK219"/>
  <c r="BL219"/>
  <c r="BM219"/>
  <c r="BN219"/>
  <c r="BO219"/>
  <c r="BP219"/>
  <c r="BQ219"/>
  <c r="BR219"/>
  <c r="BS219"/>
  <c r="BT219"/>
  <c r="BU219"/>
  <c r="BV219"/>
  <c r="BW219"/>
  <c r="BX219"/>
  <c r="BY219"/>
  <c r="BZ219"/>
  <c r="CA219"/>
  <c r="CB219"/>
  <c r="CC219"/>
  <c r="CD219"/>
  <c r="CE219"/>
  <c r="CF219"/>
  <c r="CG219"/>
  <c r="CH219"/>
  <c r="CI219"/>
  <c r="CJ219"/>
  <c r="CK219"/>
  <c r="CL219"/>
  <c r="CM219"/>
  <c r="CN219"/>
  <c r="CO219"/>
  <c r="CP219"/>
  <c r="CQ219"/>
  <c r="CR219"/>
  <c r="CS219"/>
  <c r="CT219"/>
  <c r="CU219"/>
  <c r="CV219"/>
  <c r="CW219"/>
  <c r="CX219"/>
  <c r="CY219"/>
  <c r="CZ219"/>
  <c r="DA219"/>
  <c r="DB219"/>
  <c r="DC219"/>
  <c r="DD219"/>
  <c r="DE219"/>
  <c r="DF219"/>
  <c r="DG219"/>
  <c r="DH219"/>
  <c r="DI219"/>
  <c r="DJ219"/>
  <c r="DK219"/>
  <c r="DL219"/>
  <c r="DM219"/>
  <c r="DN219"/>
  <c r="DO219"/>
  <c r="DP219"/>
  <c r="DQ219"/>
  <c r="DR219"/>
  <c r="DS219"/>
  <c r="DT219"/>
  <c r="DU219"/>
  <c r="DV219"/>
  <c r="DW219"/>
  <c r="DX219"/>
  <c r="DY219"/>
  <c r="DZ219"/>
  <c r="EA219"/>
  <c r="EB219"/>
  <c r="EC219"/>
  <c r="ED219"/>
  <c r="EE219"/>
  <c r="EF219"/>
  <c r="EG219"/>
  <c r="EH219"/>
  <c r="EI219"/>
  <c r="EJ219"/>
  <c r="EK219"/>
  <c r="EL219"/>
  <c r="EM219"/>
  <c r="EN219"/>
  <c r="EO219"/>
  <c r="EP219"/>
  <c r="EQ219"/>
  <c r="ER219"/>
  <c r="ES219"/>
  <c r="ET219"/>
  <c r="EU219"/>
  <c r="EV219"/>
  <c r="EW219"/>
  <c r="EX219"/>
  <c r="EY219"/>
  <c r="EZ219"/>
  <c r="FA219"/>
  <c r="FB219"/>
  <c r="FC219"/>
  <c r="FD219"/>
  <c r="FE219"/>
  <c r="FF219"/>
  <c r="FG219"/>
  <c r="FH219"/>
  <c r="FI219"/>
  <c r="FJ219"/>
  <c r="FK219"/>
  <c r="FL219"/>
  <c r="FM219"/>
  <c r="FN219"/>
  <c r="FO219"/>
  <c r="FP219"/>
  <c r="FQ219"/>
  <c r="FR219"/>
  <c r="FS219"/>
  <c r="FT219"/>
  <c r="FU219"/>
  <c r="FV219"/>
  <c r="FW219"/>
  <c r="FX219"/>
  <c r="FY219"/>
  <c r="FZ219"/>
  <c r="GA219"/>
  <c r="GB219"/>
  <c r="GC219"/>
  <c r="GD219"/>
  <c r="GE219"/>
  <c r="GF219"/>
  <c r="GG219"/>
  <c r="GH219"/>
  <c r="GI219"/>
  <c r="GJ219"/>
  <c r="GK219"/>
  <c r="GL219"/>
  <c r="GM219"/>
  <c r="GN219"/>
  <c r="GO219"/>
  <c r="GP219"/>
  <c r="GQ219"/>
  <c r="GR219"/>
  <c r="GS219"/>
  <c r="GT219"/>
  <c r="GU219"/>
  <c r="GV219"/>
  <c r="GW219"/>
  <c r="GX219"/>
  <c r="GY219"/>
  <c r="GZ219"/>
  <c r="HA219"/>
  <c r="HB219"/>
  <c r="HC219"/>
  <c r="HD219"/>
  <c r="HE219"/>
  <c r="HF219"/>
  <c r="HG219"/>
  <c r="HH219"/>
  <c r="HI219"/>
  <c r="HJ219"/>
  <c r="HK219"/>
  <c r="HL219"/>
  <c r="HM219"/>
  <c r="HN219"/>
  <c r="HO219"/>
  <c r="HP219"/>
  <c r="HQ219"/>
  <c r="HR219"/>
  <c r="HS219"/>
  <c r="HT219"/>
  <c r="HU219"/>
  <c r="HV219"/>
  <c r="HW219"/>
  <c r="HX219"/>
  <c r="HY219"/>
  <c r="HZ219"/>
  <c r="IA219"/>
  <c r="IB219"/>
  <c r="IC219"/>
  <c r="ID219"/>
  <c r="IE219"/>
  <c r="IF219"/>
  <c r="IG219"/>
  <c r="IH219"/>
  <c r="II219"/>
  <c r="IJ219"/>
  <c r="IK219"/>
  <c r="IL219"/>
  <c r="IM219"/>
  <c r="IN219"/>
  <c r="IO219"/>
  <c r="IP219"/>
  <c r="IQ219"/>
  <c r="IR219"/>
  <c r="IS219"/>
  <c r="IT219"/>
  <c r="IU219"/>
  <c r="IV219"/>
  <c r="A218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AV218"/>
  <c r="AW218"/>
  <c r="AX218"/>
  <c r="AY218"/>
  <c r="AZ218"/>
  <c r="BA218"/>
  <c r="BB218"/>
  <c r="BC218"/>
  <c r="BD218"/>
  <c r="BE218"/>
  <c r="BF218"/>
  <c r="BG218"/>
  <c r="BH218"/>
  <c r="BI218"/>
  <c r="BJ218"/>
  <c r="BK218"/>
  <c r="BL218"/>
  <c r="BM218"/>
  <c r="BN218"/>
  <c r="BO218"/>
  <c r="BP218"/>
  <c r="BQ218"/>
  <c r="BR218"/>
  <c r="BS218"/>
  <c r="BT218"/>
  <c r="BU218"/>
  <c r="BV218"/>
  <c r="BW218"/>
  <c r="BX218"/>
  <c r="BY218"/>
  <c r="BZ218"/>
  <c r="CA218"/>
  <c r="CB218"/>
  <c r="CC218"/>
  <c r="CD218"/>
  <c r="CE218"/>
  <c r="CF218"/>
  <c r="CG218"/>
  <c r="CH218"/>
  <c r="CI218"/>
  <c r="CJ218"/>
  <c r="CK218"/>
  <c r="CL218"/>
  <c r="CM218"/>
  <c r="CN218"/>
  <c r="CO218"/>
  <c r="CP218"/>
  <c r="CQ218"/>
  <c r="CR218"/>
  <c r="CS218"/>
  <c r="CT218"/>
  <c r="CU218"/>
  <c r="CV218"/>
  <c r="CW218"/>
  <c r="CX218"/>
  <c r="CY218"/>
  <c r="CZ218"/>
  <c r="DA218"/>
  <c r="DB218"/>
  <c r="DC218"/>
  <c r="DD218"/>
  <c r="DE218"/>
  <c r="DF218"/>
  <c r="DG218"/>
  <c r="DH218"/>
  <c r="DI218"/>
  <c r="DJ218"/>
  <c r="DK218"/>
  <c r="DL218"/>
  <c r="DM218"/>
  <c r="DN218"/>
  <c r="DO218"/>
  <c r="DP218"/>
  <c r="DQ218"/>
  <c r="DR218"/>
  <c r="DS218"/>
  <c r="DT218"/>
  <c r="DU218"/>
  <c r="DV218"/>
  <c r="DW218"/>
  <c r="DX218"/>
  <c r="DY218"/>
  <c r="DZ218"/>
  <c r="EA218"/>
  <c r="EB218"/>
  <c r="EC218"/>
  <c r="ED218"/>
  <c r="EE218"/>
  <c r="EF218"/>
  <c r="EG218"/>
  <c r="EH218"/>
  <c r="EI218"/>
  <c r="EJ218"/>
  <c r="EK218"/>
  <c r="EL218"/>
  <c r="EM218"/>
  <c r="EN218"/>
  <c r="EO218"/>
  <c r="EP218"/>
  <c r="EQ218"/>
  <c r="ER218"/>
  <c r="ES218"/>
  <c r="ET218"/>
  <c r="EU218"/>
  <c r="EV218"/>
  <c r="EW218"/>
  <c r="EX218"/>
  <c r="EY218"/>
  <c r="EZ218"/>
  <c r="FA218"/>
  <c r="FB218"/>
  <c r="FC218"/>
  <c r="FD218"/>
  <c r="FE218"/>
  <c r="FF218"/>
  <c r="FG218"/>
  <c r="FH218"/>
  <c r="FI218"/>
  <c r="FJ218"/>
  <c r="FK218"/>
  <c r="FL218"/>
  <c r="FM218"/>
  <c r="FN218"/>
  <c r="FO218"/>
  <c r="FP218"/>
  <c r="FQ218"/>
  <c r="FR218"/>
  <c r="FS218"/>
  <c r="FT218"/>
  <c r="FU218"/>
  <c r="FV218"/>
  <c r="FW218"/>
  <c r="FX218"/>
  <c r="FY218"/>
  <c r="FZ218"/>
  <c r="GA218"/>
  <c r="GB218"/>
  <c r="GC218"/>
  <c r="GD218"/>
  <c r="GE218"/>
  <c r="GF218"/>
  <c r="GG218"/>
  <c r="GH218"/>
  <c r="GI218"/>
  <c r="GJ218"/>
  <c r="GK218"/>
  <c r="GL218"/>
  <c r="GM218"/>
  <c r="GN218"/>
  <c r="GO218"/>
  <c r="GP218"/>
  <c r="GQ218"/>
  <c r="GR218"/>
  <c r="GS218"/>
  <c r="GT218"/>
  <c r="GU218"/>
  <c r="GV218"/>
  <c r="GW218"/>
  <c r="GX218"/>
  <c r="GY218"/>
  <c r="GZ218"/>
  <c r="HA218"/>
  <c r="HB218"/>
  <c r="HC218"/>
  <c r="HD218"/>
  <c r="HE218"/>
  <c r="HF218"/>
  <c r="HG218"/>
  <c r="HH218"/>
  <c r="HI218"/>
  <c r="HJ218"/>
  <c r="HK218"/>
  <c r="HL218"/>
  <c r="HM218"/>
  <c r="HN218"/>
  <c r="HO218"/>
  <c r="HP218"/>
  <c r="HQ218"/>
  <c r="HR218"/>
  <c r="HS218"/>
  <c r="HT218"/>
  <c r="HU218"/>
  <c r="HV218"/>
  <c r="HW218"/>
  <c r="HX218"/>
  <c r="HY218"/>
  <c r="HZ218"/>
  <c r="IA218"/>
  <c r="IB218"/>
  <c r="IC218"/>
  <c r="ID218"/>
  <c r="IE218"/>
  <c r="IF218"/>
  <c r="IG218"/>
  <c r="IH218"/>
  <c r="II218"/>
  <c r="IJ218"/>
  <c r="IK218"/>
  <c r="IL218"/>
  <c r="IM218"/>
  <c r="IN218"/>
  <c r="IO218"/>
  <c r="IP218"/>
  <c r="IQ218"/>
  <c r="IR218"/>
  <c r="IS218"/>
  <c r="IT218"/>
  <c r="IU218"/>
  <c r="IV218"/>
  <c r="A217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AV217"/>
  <c r="AW217"/>
  <c r="AX217"/>
  <c r="AY217"/>
  <c r="AZ217"/>
  <c r="BA217"/>
  <c r="BB217"/>
  <c r="BC217"/>
  <c r="BD217"/>
  <c r="BE217"/>
  <c r="BF217"/>
  <c r="BG217"/>
  <c r="BH217"/>
  <c r="BI217"/>
  <c r="BJ217"/>
  <c r="BK217"/>
  <c r="BL217"/>
  <c r="BM217"/>
  <c r="BN217"/>
  <c r="BO217"/>
  <c r="BP217"/>
  <c r="BQ217"/>
  <c r="BR217"/>
  <c r="BS217"/>
  <c r="BT217"/>
  <c r="BU217"/>
  <c r="BV217"/>
  <c r="BW217"/>
  <c r="BX217"/>
  <c r="BY217"/>
  <c r="BZ217"/>
  <c r="CA217"/>
  <c r="CB217"/>
  <c r="CC217"/>
  <c r="CD217"/>
  <c r="CE217"/>
  <c r="CF217"/>
  <c r="CG217"/>
  <c r="CH217"/>
  <c r="CI217"/>
  <c r="CJ217"/>
  <c r="CK217"/>
  <c r="CL217"/>
  <c r="CM217"/>
  <c r="CN217"/>
  <c r="CO217"/>
  <c r="CP217"/>
  <c r="CQ217"/>
  <c r="CR217"/>
  <c r="CS217"/>
  <c r="CT217"/>
  <c r="CU217"/>
  <c r="CV217"/>
  <c r="CW217"/>
  <c r="CX217"/>
  <c r="CY217"/>
  <c r="CZ217"/>
  <c r="DA217"/>
  <c r="DB217"/>
  <c r="DC217"/>
  <c r="DD217"/>
  <c r="DE217"/>
  <c r="DF217"/>
  <c r="DG217"/>
  <c r="DH217"/>
  <c r="DI217"/>
  <c r="DJ217"/>
  <c r="DK217"/>
  <c r="DL217"/>
  <c r="DM217"/>
  <c r="DN217"/>
  <c r="DO217"/>
  <c r="DP217"/>
  <c r="DQ217"/>
  <c r="DR217"/>
  <c r="DS217"/>
  <c r="DT217"/>
  <c r="DU217"/>
  <c r="DV217"/>
  <c r="DW217"/>
  <c r="DX217"/>
  <c r="DY217"/>
  <c r="DZ217"/>
  <c r="EA217"/>
  <c r="EB217"/>
  <c r="EC217"/>
  <c r="ED217"/>
  <c r="EE217"/>
  <c r="EF217"/>
  <c r="EG217"/>
  <c r="EH217"/>
  <c r="EI217"/>
  <c r="EJ217"/>
  <c r="EK217"/>
  <c r="EL217"/>
  <c r="EM217"/>
  <c r="EN217"/>
  <c r="EO217"/>
  <c r="EP217"/>
  <c r="EQ217"/>
  <c r="ER217"/>
  <c r="ES217"/>
  <c r="ET217"/>
  <c r="EU217"/>
  <c r="EV217"/>
  <c r="EW217"/>
  <c r="EX217"/>
  <c r="EY217"/>
  <c r="EZ217"/>
  <c r="FA217"/>
  <c r="FB217"/>
  <c r="FC217"/>
  <c r="FD217"/>
  <c r="FE217"/>
  <c r="FF217"/>
  <c r="FG217"/>
  <c r="FH217"/>
  <c r="FI217"/>
  <c r="FJ217"/>
  <c r="FK217"/>
  <c r="FL217"/>
  <c r="FM217"/>
  <c r="FN217"/>
  <c r="FO217"/>
  <c r="FP217"/>
  <c r="FQ217"/>
  <c r="FR217"/>
  <c r="FS217"/>
  <c r="FT217"/>
  <c r="FU217"/>
  <c r="FV217"/>
  <c r="FW217"/>
  <c r="FX217"/>
  <c r="FY217"/>
  <c r="FZ217"/>
  <c r="GA217"/>
  <c r="GB217"/>
  <c r="GC217"/>
  <c r="GD217"/>
  <c r="GE217"/>
  <c r="GF217"/>
  <c r="GG217"/>
  <c r="GH217"/>
  <c r="GI217"/>
  <c r="GJ217"/>
  <c r="GK217"/>
  <c r="GL217"/>
  <c r="GM217"/>
  <c r="GN217"/>
  <c r="GO217"/>
  <c r="GP217"/>
  <c r="GQ217"/>
  <c r="GR217"/>
  <c r="GS217"/>
  <c r="GT217"/>
  <c r="GU217"/>
  <c r="GV217"/>
  <c r="GW217"/>
  <c r="GX217"/>
  <c r="GY217"/>
  <c r="GZ217"/>
  <c r="HA217"/>
  <c r="HB217"/>
  <c r="HC217"/>
  <c r="HD217"/>
  <c r="HE217"/>
  <c r="HF217"/>
  <c r="HG217"/>
  <c r="HH217"/>
  <c r="HI217"/>
  <c r="HJ217"/>
  <c r="HK217"/>
  <c r="HL217"/>
  <c r="HM217"/>
  <c r="HN217"/>
  <c r="HO217"/>
  <c r="HP217"/>
  <c r="HQ217"/>
  <c r="HR217"/>
  <c r="HS217"/>
  <c r="HT217"/>
  <c r="HU217"/>
  <c r="HV217"/>
  <c r="HW217"/>
  <c r="HX217"/>
  <c r="HY217"/>
  <c r="HZ217"/>
  <c r="IA217"/>
  <c r="IB217"/>
  <c r="IC217"/>
  <c r="ID217"/>
  <c r="IE217"/>
  <c r="IF217"/>
  <c r="IG217"/>
  <c r="IH217"/>
  <c r="II217"/>
  <c r="IJ217"/>
  <c r="IK217"/>
  <c r="IL217"/>
  <c r="IM217"/>
  <c r="IN217"/>
  <c r="IO217"/>
  <c r="IP217"/>
  <c r="IQ217"/>
  <c r="IR217"/>
  <c r="IS217"/>
  <c r="IT217"/>
  <c r="IU217"/>
  <c r="IV217"/>
  <c r="A216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AV216"/>
  <c r="AW216"/>
  <c r="AX216"/>
  <c r="AY216"/>
  <c r="AZ216"/>
  <c r="BA216"/>
  <c r="BB216"/>
  <c r="BC216"/>
  <c r="BD216"/>
  <c r="BE216"/>
  <c r="BF216"/>
  <c r="BG216"/>
  <c r="BH216"/>
  <c r="BI216"/>
  <c r="BJ216"/>
  <c r="BK216"/>
  <c r="BL216"/>
  <c r="BM216"/>
  <c r="BN216"/>
  <c r="BO216"/>
  <c r="BP216"/>
  <c r="BQ216"/>
  <c r="BR216"/>
  <c r="BS216"/>
  <c r="BT216"/>
  <c r="BU216"/>
  <c r="BV216"/>
  <c r="BW216"/>
  <c r="BX216"/>
  <c r="BY216"/>
  <c r="BZ216"/>
  <c r="CA216"/>
  <c r="CB216"/>
  <c r="CC216"/>
  <c r="CD216"/>
  <c r="CE216"/>
  <c r="CF216"/>
  <c r="CG216"/>
  <c r="CH216"/>
  <c r="CI216"/>
  <c r="CJ216"/>
  <c r="CK216"/>
  <c r="CL216"/>
  <c r="CM216"/>
  <c r="CN216"/>
  <c r="CO216"/>
  <c r="CP216"/>
  <c r="CQ216"/>
  <c r="CR216"/>
  <c r="CS216"/>
  <c r="CT216"/>
  <c r="CU216"/>
  <c r="CV216"/>
  <c r="CW216"/>
  <c r="CX216"/>
  <c r="CY216"/>
  <c r="CZ216"/>
  <c r="DA216"/>
  <c r="DB216"/>
  <c r="DC216"/>
  <c r="DD216"/>
  <c r="DE216"/>
  <c r="DF216"/>
  <c r="DG216"/>
  <c r="DH216"/>
  <c r="DI216"/>
  <c r="DJ216"/>
  <c r="DK216"/>
  <c r="DL216"/>
  <c r="DM216"/>
  <c r="DN216"/>
  <c r="DO216"/>
  <c r="DP216"/>
  <c r="DQ216"/>
  <c r="DR216"/>
  <c r="DS216"/>
  <c r="DT216"/>
  <c r="DU216"/>
  <c r="DV216"/>
  <c r="DW216"/>
  <c r="DX216"/>
  <c r="DY216"/>
  <c r="DZ216"/>
  <c r="EA216"/>
  <c r="EB216"/>
  <c r="EC216"/>
  <c r="ED216"/>
  <c r="EE216"/>
  <c r="EF216"/>
  <c r="EG216"/>
  <c r="EH216"/>
  <c r="EI216"/>
  <c r="EJ216"/>
  <c r="EK216"/>
  <c r="EL216"/>
  <c r="EM216"/>
  <c r="EN216"/>
  <c r="EO216"/>
  <c r="EP216"/>
  <c r="EQ216"/>
  <c r="ER216"/>
  <c r="ES216"/>
  <c r="ET216"/>
  <c r="EU216"/>
  <c r="EV216"/>
  <c r="EW216"/>
  <c r="EX216"/>
  <c r="EY216"/>
  <c r="EZ216"/>
  <c r="FA216"/>
  <c r="FB216"/>
  <c r="FC216"/>
  <c r="FD216"/>
  <c r="FE216"/>
  <c r="FF216"/>
  <c r="FG216"/>
  <c r="FH216"/>
  <c r="FI216"/>
  <c r="FJ216"/>
  <c r="FK216"/>
  <c r="FL216"/>
  <c r="FM216"/>
  <c r="FN216"/>
  <c r="FO216"/>
  <c r="FP216"/>
  <c r="FQ216"/>
  <c r="FR216"/>
  <c r="FS216"/>
  <c r="FT216"/>
  <c r="FU216"/>
  <c r="FV216"/>
  <c r="FW216"/>
  <c r="FX216"/>
  <c r="FY216"/>
  <c r="FZ216"/>
  <c r="GA216"/>
  <c r="GB216"/>
  <c r="GC216"/>
  <c r="GD216"/>
  <c r="GE216"/>
  <c r="GF216"/>
  <c r="GG216"/>
  <c r="GH216"/>
  <c r="GI216"/>
  <c r="GJ216"/>
  <c r="GK216"/>
  <c r="GL216"/>
  <c r="GM216"/>
  <c r="GN216"/>
  <c r="GO216"/>
  <c r="GP216"/>
  <c r="GQ216"/>
  <c r="GR216"/>
  <c r="GS216"/>
  <c r="GT216"/>
  <c r="GU216"/>
  <c r="GV216"/>
  <c r="GW216"/>
  <c r="GX216"/>
  <c r="GY216"/>
  <c r="GZ216"/>
  <c r="HA216"/>
  <c r="HB216"/>
  <c r="HC216"/>
  <c r="HD216"/>
  <c r="HE216"/>
  <c r="HF216"/>
  <c r="HG216"/>
  <c r="HH216"/>
  <c r="HI216"/>
  <c r="HJ216"/>
  <c r="HK216"/>
  <c r="HL216"/>
  <c r="HM216"/>
  <c r="HN216"/>
  <c r="HO216"/>
  <c r="HP216"/>
  <c r="HQ216"/>
  <c r="HR216"/>
  <c r="HS216"/>
  <c r="HT216"/>
  <c r="HU216"/>
  <c r="HV216"/>
  <c r="HW216"/>
  <c r="HX216"/>
  <c r="HY216"/>
  <c r="HZ216"/>
  <c r="IA216"/>
  <c r="IB216"/>
  <c r="IC216"/>
  <c r="ID216"/>
  <c r="IE216"/>
  <c r="IF216"/>
  <c r="IG216"/>
  <c r="IH216"/>
  <c r="II216"/>
  <c r="IJ216"/>
  <c r="IK216"/>
  <c r="IL216"/>
  <c r="IM216"/>
  <c r="IN216"/>
  <c r="IO216"/>
  <c r="IP216"/>
  <c r="IQ216"/>
  <c r="IR216"/>
  <c r="IS216"/>
  <c r="IT216"/>
  <c r="IU216"/>
  <c r="IV216"/>
  <c r="A215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AT215"/>
  <c r="AU215"/>
  <c r="AV215"/>
  <c r="AW215"/>
  <c r="AX215"/>
  <c r="AY215"/>
  <c r="AZ215"/>
  <c r="BA215"/>
  <c r="BB215"/>
  <c r="BC215"/>
  <c r="BD215"/>
  <c r="BE215"/>
  <c r="BF215"/>
  <c r="BG215"/>
  <c r="BH215"/>
  <c r="BI215"/>
  <c r="BJ215"/>
  <c r="BK215"/>
  <c r="BL215"/>
  <c r="BM215"/>
  <c r="BN215"/>
  <c r="BO215"/>
  <c r="BP215"/>
  <c r="BQ215"/>
  <c r="BR215"/>
  <c r="BS215"/>
  <c r="BT215"/>
  <c r="BU215"/>
  <c r="BV215"/>
  <c r="BW215"/>
  <c r="BX215"/>
  <c r="BY215"/>
  <c r="BZ215"/>
  <c r="CA215"/>
  <c r="CB215"/>
  <c r="CC215"/>
  <c r="CD215"/>
  <c r="CE215"/>
  <c r="CF215"/>
  <c r="CG215"/>
  <c r="CH215"/>
  <c r="CI215"/>
  <c r="CJ215"/>
  <c r="CK215"/>
  <c r="CL215"/>
  <c r="CM215"/>
  <c r="CN215"/>
  <c r="CO215"/>
  <c r="CP215"/>
  <c r="CQ215"/>
  <c r="CR215"/>
  <c r="CS215"/>
  <c r="CT215"/>
  <c r="CU215"/>
  <c r="CV215"/>
  <c r="CW215"/>
  <c r="CX215"/>
  <c r="CY215"/>
  <c r="CZ215"/>
  <c r="DA215"/>
  <c r="DB215"/>
  <c r="DC215"/>
  <c r="DD215"/>
  <c r="DE215"/>
  <c r="DF215"/>
  <c r="DG215"/>
  <c r="DH215"/>
  <c r="DI215"/>
  <c r="DJ215"/>
  <c r="DK215"/>
  <c r="DL215"/>
  <c r="DM215"/>
  <c r="DN215"/>
  <c r="DO215"/>
  <c r="DP215"/>
  <c r="DQ215"/>
  <c r="DR215"/>
  <c r="DS215"/>
  <c r="DT215"/>
  <c r="DU215"/>
  <c r="DV215"/>
  <c r="DW215"/>
  <c r="DX215"/>
  <c r="DY215"/>
  <c r="DZ215"/>
  <c r="EA215"/>
  <c r="EB215"/>
  <c r="EC215"/>
  <c r="ED215"/>
  <c r="EE215"/>
  <c r="EF215"/>
  <c r="EG215"/>
  <c r="EH215"/>
  <c r="EI215"/>
  <c r="EJ215"/>
  <c r="EK215"/>
  <c r="EL215"/>
  <c r="EM215"/>
  <c r="EN215"/>
  <c r="EO215"/>
  <c r="EP215"/>
  <c r="EQ215"/>
  <c r="ER215"/>
  <c r="ES215"/>
  <c r="ET215"/>
  <c r="EU215"/>
  <c r="EV215"/>
  <c r="EW215"/>
  <c r="EX215"/>
  <c r="EY215"/>
  <c r="EZ215"/>
  <c r="FA215"/>
  <c r="FB215"/>
  <c r="FC215"/>
  <c r="FD215"/>
  <c r="FE215"/>
  <c r="FF215"/>
  <c r="FG215"/>
  <c r="FH215"/>
  <c r="FI215"/>
  <c r="FJ215"/>
  <c r="FK215"/>
  <c r="FL215"/>
  <c r="FM215"/>
  <c r="FN215"/>
  <c r="FO215"/>
  <c r="FP215"/>
  <c r="FQ215"/>
  <c r="FR215"/>
  <c r="FS215"/>
  <c r="FT215"/>
  <c r="FU215"/>
  <c r="FV215"/>
  <c r="FW215"/>
  <c r="FX215"/>
  <c r="FY215"/>
  <c r="FZ215"/>
  <c r="GA215"/>
  <c r="GB215"/>
  <c r="GC215"/>
  <c r="GD215"/>
  <c r="GE215"/>
  <c r="GF215"/>
  <c r="GG215"/>
  <c r="GH215"/>
  <c r="GI215"/>
  <c r="GJ215"/>
  <c r="GK215"/>
  <c r="GL215"/>
  <c r="GM215"/>
  <c r="GN215"/>
  <c r="GO215"/>
  <c r="GP215"/>
  <c r="GQ215"/>
  <c r="GR215"/>
  <c r="GS215"/>
  <c r="GT215"/>
  <c r="GU215"/>
  <c r="GV215"/>
  <c r="GW215"/>
  <c r="GX215"/>
  <c r="GY215"/>
  <c r="GZ215"/>
  <c r="HA215"/>
  <c r="HB215"/>
  <c r="HC215"/>
  <c r="HD215"/>
  <c r="HE215"/>
  <c r="HF215"/>
  <c r="HG215"/>
  <c r="HH215"/>
  <c r="HI215"/>
  <c r="HJ215"/>
  <c r="HK215"/>
  <c r="HL215"/>
  <c r="HM215"/>
  <c r="HN215"/>
  <c r="HO215"/>
  <c r="HP215"/>
  <c r="HQ215"/>
  <c r="HR215"/>
  <c r="HS215"/>
  <c r="HT215"/>
  <c r="HU215"/>
  <c r="HV215"/>
  <c r="HW215"/>
  <c r="HX215"/>
  <c r="HY215"/>
  <c r="HZ215"/>
  <c r="IA215"/>
  <c r="IB215"/>
  <c r="IC215"/>
  <c r="ID215"/>
  <c r="IE215"/>
  <c r="IF215"/>
  <c r="IG215"/>
  <c r="IH215"/>
  <c r="II215"/>
  <c r="IJ215"/>
  <c r="IK215"/>
  <c r="IL215"/>
  <c r="IM215"/>
  <c r="IN215"/>
  <c r="IO215"/>
  <c r="IP215"/>
  <c r="IQ215"/>
  <c r="IR215"/>
  <c r="IS215"/>
  <c r="IT215"/>
  <c r="IU215"/>
  <c r="IV215"/>
  <c r="A214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AT214"/>
  <c r="AU214"/>
  <c r="AV214"/>
  <c r="AW214"/>
  <c r="AX214"/>
  <c r="AY214"/>
  <c r="AZ214"/>
  <c r="BA214"/>
  <c r="BB214"/>
  <c r="BC214"/>
  <c r="BD214"/>
  <c r="BE214"/>
  <c r="BF214"/>
  <c r="BG214"/>
  <c r="BH214"/>
  <c r="BI214"/>
  <c r="BJ214"/>
  <c r="BK214"/>
  <c r="BL214"/>
  <c r="BM214"/>
  <c r="BN214"/>
  <c r="BO214"/>
  <c r="BP214"/>
  <c r="BQ214"/>
  <c r="BR214"/>
  <c r="BS214"/>
  <c r="BT214"/>
  <c r="BU214"/>
  <c r="BV214"/>
  <c r="BW214"/>
  <c r="BX214"/>
  <c r="BY214"/>
  <c r="BZ214"/>
  <c r="CA214"/>
  <c r="CB214"/>
  <c r="CC214"/>
  <c r="CD214"/>
  <c r="CE214"/>
  <c r="CF214"/>
  <c r="CG214"/>
  <c r="CH214"/>
  <c r="CI214"/>
  <c r="CJ214"/>
  <c r="CK214"/>
  <c r="CL214"/>
  <c r="CM214"/>
  <c r="CN214"/>
  <c r="CO214"/>
  <c r="CP214"/>
  <c r="CQ214"/>
  <c r="CR214"/>
  <c r="CS214"/>
  <c r="CT214"/>
  <c r="CU214"/>
  <c r="CV214"/>
  <c r="CW214"/>
  <c r="CX214"/>
  <c r="CY214"/>
  <c r="CZ214"/>
  <c r="DA214"/>
  <c r="DB214"/>
  <c r="DC214"/>
  <c r="DD214"/>
  <c r="DE214"/>
  <c r="DF214"/>
  <c r="DG214"/>
  <c r="DH214"/>
  <c r="DI214"/>
  <c r="DJ214"/>
  <c r="DK214"/>
  <c r="DL214"/>
  <c r="DM214"/>
  <c r="DN214"/>
  <c r="DO214"/>
  <c r="DP214"/>
  <c r="DQ214"/>
  <c r="DR214"/>
  <c r="DS214"/>
  <c r="DT214"/>
  <c r="DU214"/>
  <c r="DV214"/>
  <c r="DW214"/>
  <c r="DX214"/>
  <c r="DY214"/>
  <c r="DZ214"/>
  <c r="EA214"/>
  <c r="EB214"/>
  <c r="EC214"/>
  <c r="ED214"/>
  <c r="EE214"/>
  <c r="EF214"/>
  <c r="EG214"/>
  <c r="EH214"/>
  <c r="EI214"/>
  <c r="EJ214"/>
  <c r="EK214"/>
  <c r="EL214"/>
  <c r="EM214"/>
  <c r="EN214"/>
  <c r="EO214"/>
  <c r="EP214"/>
  <c r="EQ214"/>
  <c r="ER214"/>
  <c r="ES214"/>
  <c r="ET214"/>
  <c r="EU214"/>
  <c r="EV214"/>
  <c r="EW214"/>
  <c r="EX214"/>
  <c r="EY214"/>
  <c r="EZ214"/>
  <c r="FA214"/>
  <c r="FB214"/>
  <c r="FC214"/>
  <c r="FD214"/>
  <c r="FE214"/>
  <c r="FF214"/>
  <c r="FG214"/>
  <c r="FH214"/>
  <c r="FI214"/>
  <c r="FJ214"/>
  <c r="FK214"/>
  <c r="FL214"/>
  <c r="FM214"/>
  <c r="FN214"/>
  <c r="FO214"/>
  <c r="FP214"/>
  <c r="FQ214"/>
  <c r="FR214"/>
  <c r="FS214"/>
  <c r="FT214"/>
  <c r="FU214"/>
  <c r="FV214"/>
  <c r="FW214"/>
  <c r="FX214"/>
  <c r="FY214"/>
  <c r="FZ214"/>
  <c r="GA214"/>
  <c r="GB214"/>
  <c r="GC214"/>
  <c r="GD214"/>
  <c r="GE214"/>
  <c r="GF214"/>
  <c r="GG214"/>
  <c r="GH214"/>
  <c r="GI214"/>
  <c r="GJ214"/>
  <c r="GK214"/>
  <c r="GL214"/>
  <c r="GM214"/>
  <c r="GN214"/>
  <c r="GO214"/>
  <c r="GP214"/>
  <c r="GQ214"/>
  <c r="GR214"/>
  <c r="GS214"/>
  <c r="GT214"/>
  <c r="GU214"/>
  <c r="GV214"/>
  <c r="GW214"/>
  <c r="GX214"/>
  <c r="GY214"/>
  <c r="GZ214"/>
  <c r="HA214"/>
  <c r="HB214"/>
  <c r="HC214"/>
  <c r="HD214"/>
  <c r="HE214"/>
  <c r="HF214"/>
  <c r="HG214"/>
  <c r="HH214"/>
  <c r="HI214"/>
  <c r="HJ214"/>
  <c r="HK214"/>
  <c r="HL214"/>
  <c r="HM214"/>
  <c r="HN214"/>
  <c r="HO214"/>
  <c r="HP214"/>
  <c r="HQ214"/>
  <c r="HR214"/>
  <c r="HS214"/>
  <c r="HT214"/>
  <c r="HU214"/>
  <c r="HV214"/>
  <c r="HW214"/>
  <c r="HX214"/>
  <c r="HY214"/>
  <c r="HZ214"/>
  <c r="IA214"/>
  <c r="IB214"/>
  <c r="IC214"/>
  <c r="ID214"/>
  <c r="IE214"/>
  <c r="IF214"/>
  <c r="IG214"/>
  <c r="IH214"/>
  <c r="II214"/>
  <c r="IJ214"/>
  <c r="IK214"/>
  <c r="IL214"/>
  <c r="IM214"/>
  <c r="IN214"/>
  <c r="IO214"/>
  <c r="IP214"/>
  <c r="IQ214"/>
  <c r="IR214"/>
  <c r="IS214"/>
  <c r="IT214"/>
  <c r="IU214"/>
  <c r="IV214"/>
  <c r="A213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AT213"/>
  <c r="AU213"/>
  <c r="AV213"/>
  <c r="AW213"/>
  <c r="AX213"/>
  <c r="AY213"/>
  <c r="AZ213"/>
  <c r="BA213"/>
  <c r="BB213"/>
  <c r="BC213"/>
  <c r="BD213"/>
  <c r="BE213"/>
  <c r="BF213"/>
  <c r="BG213"/>
  <c r="BH213"/>
  <c r="BI213"/>
  <c r="BJ213"/>
  <c r="BK213"/>
  <c r="BL213"/>
  <c r="BM213"/>
  <c r="BN213"/>
  <c r="BO213"/>
  <c r="BP213"/>
  <c r="BQ213"/>
  <c r="BR213"/>
  <c r="BS213"/>
  <c r="BT213"/>
  <c r="BU213"/>
  <c r="BV213"/>
  <c r="BW213"/>
  <c r="BX213"/>
  <c r="BY213"/>
  <c r="BZ213"/>
  <c r="CA213"/>
  <c r="CB213"/>
  <c r="CC213"/>
  <c r="CD213"/>
  <c r="CE213"/>
  <c r="CF213"/>
  <c r="CG213"/>
  <c r="CH213"/>
  <c r="CI213"/>
  <c r="CJ213"/>
  <c r="CK213"/>
  <c r="CL213"/>
  <c r="CM213"/>
  <c r="CN213"/>
  <c r="CO213"/>
  <c r="CP213"/>
  <c r="CQ213"/>
  <c r="CR213"/>
  <c r="CS213"/>
  <c r="CT213"/>
  <c r="CU213"/>
  <c r="CV213"/>
  <c r="CW213"/>
  <c r="CX213"/>
  <c r="CY213"/>
  <c r="CZ213"/>
  <c r="DA213"/>
  <c r="DB213"/>
  <c r="DC213"/>
  <c r="DD213"/>
  <c r="DE213"/>
  <c r="DF213"/>
  <c r="DG213"/>
  <c r="DH213"/>
  <c r="DI213"/>
  <c r="DJ213"/>
  <c r="DK213"/>
  <c r="DL213"/>
  <c r="DM213"/>
  <c r="DN213"/>
  <c r="DO213"/>
  <c r="DP213"/>
  <c r="DQ213"/>
  <c r="DR213"/>
  <c r="DS213"/>
  <c r="DT213"/>
  <c r="DU213"/>
  <c r="DV213"/>
  <c r="DW213"/>
  <c r="DX213"/>
  <c r="DY213"/>
  <c r="DZ213"/>
  <c r="EA213"/>
  <c r="EB213"/>
  <c r="EC213"/>
  <c r="ED213"/>
  <c r="EE213"/>
  <c r="EF213"/>
  <c r="EG213"/>
  <c r="EH213"/>
  <c r="EI213"/>
  <c r="EJ213"/>
  <c r="EK213"/>
  <c r="EL213"/>
  <c r="EM213"/>
  <c r="EN213"/>
  <c r="EO213"/>
  <c r="EP213"/>
  <c r="EQ213"/>
  <c r="ER213"/>
  <c r="ES213"/>
  <c r="ET213"/>
  <c r="EU213"/>
  <c r="EV213"/>
  <c r="EW213"/>
  <c r="EX213"/>
  <c r="EY213"/>
  <c r="EZ213"/>
  <c r="FA213"/>
  <c r="FB213"/>
  <c r="FC213"/>
  <c r="FD213"/>
  <c r="FE213"/>
  <c r="FF213"/>
  <c r="FG213"/>
  <c r="FH213"/>
  <c r="FI213"/>
  <c r="FJ213"/>
  <c r="FK213"/>
  <c r="FL213"/>
  <c r="FM213"/>
  <c r="FN213"/>
  <c r="FO213"/>
  <c r="FP213"/>
  <c r="FQ213"/>
  <c r="FR213"/>
  <c r="FS213"/>
  <c r="FT213"/>
  <c r="FU213"/>
  <c r="FV213"/>
  <c r="FW213"/>
  <c r="FX213"/>
  <c r="FY213"/>
  <c r="FZ213"/>
  <c r="GA213"/>
  <c r="GB213"/>
  <c r="GC213"/>
  <c r="GD213"/>
  <c r="GE213"/>
  <c r="GF213"/>
  <c r="GG213"/>
  <c r="GH213"/>
  <c r="GI213"/>
  <c r="GJ213"/>
  <c r="GK213"/>
  <c r="GL213"/>
  <c r="GM213"/>
  <c r="GN213"/>
  <c r="GO213"/>
  <c r="GP213"/>
  <c r="GQ213"/>
  <c r="GR213"/>
  <c r="GS213"/>
  <c r="GT213"/>
  <c r="GU213"/>
  <c r="GV213"/>
  <c r="GW213"/>
  <c r="GX213"/>
  <c r="GY213"/>
  <c r="GZ213"/>
  <c r="HA213"/>
  <c r="HB213"/>
  <c r="HC213"/>
  <c r="HD213"/>
  <c r="HE213"/>
  <c r="HF213"/>
  <c r="HG213"/>
  <c r="HH213"/>
  <c r="HI213"/>
  <c r="HJ213"/>
  <c r="HK213"/>
  <c r="HL213"/>
  <c r="HM213"/>
  <c r="HN213"/>
  <c r="HO213"/>
  <c r="HP213"/>
  <c r="HQ213"/>
  <c r="HR213"/>
  <c r="HS213"/>
  <c r="HT213"/>
  <c r="HU213"/>
  <c r="HV213"/>
  <c r="HW213"/>
  <c r="HX213"/>
  <c r="HY213"/>
  <c r="HZ213"/>
  <c r="IA213"/>
  <c r="IB213"/>
  <c r="IC213"/>
  <c r="ID213"/>
  <c r="IE213"/>
  <c r="IF213"/>
  <c r="IG213"/>
  <c r="IH213"/>
  <c r="II213"/>
  <c r="IJ213"/>
  <c r="IK213"/>
  <c r="IL213"/>
  <c r="IM213"/>
  <c r="IN213"/>
  <c r="IO213"/>
  <c r="IP213"/>
  <c r="IQ213"/>
  <c r="IR213"/>
  <c r="IS213"/>
  <c r="IT213"/>
  <c r="IU213"/>
  <c r="IV213"/>
  <c r="A212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AV212"/>
  <c r="AW212"/>
  <c r="AX212"/>
  <c r="AY212"/>
  <c r="AZ212"/>
  <c r="BA212"/>
  <c r="BB212"/>
  <c r="BC212"/>
  <c r="BD212"/>
  <c r="BE212"/>
  <c r="BF212"/>
  <c r="BG212"/>
  <c r="BH212"/>
  <c r="BI212"/>
  <c r="BJ212"/>
  <c r="BK212"/>
  <c r="BL212"/>
  <c r="BM212"/>
  <c r="BN212"/>
  <c r="BO212"/>
  <c r="BP212"/>
  <c r="BQ212"/>
  <c r="BR212"/>
  <c r="BS212"/>
  <c r="BT212"/>
  <c r="BU212"/>
  <c r="BV212"/>
  <c r="BW212"/>
  <c r="BX212"/>
  <c r="BY212"/>
  <c r="BZ212"/>
  <c r="CA212"/>
  <c r="CB212"/>
  <c r="CC212"/>
  <c r="CD212"/>
  <c r="CE212"/>
  <c r="CF212"/>
  <c r="CG212"/>
  <c r="CH212"/>
  <c r="CI212"/>
  <c r="CJ212"/>
  <c r="CK212"/>
  <c r="CL212"/>
  <c r="CM212"/>
  <c r="CN212"/>
  <c r="CO212"/>
  <c r="CP212"/>
  <c r="CQ212"/>
  <c r="CR212"/>
  <c r="CS212"/>
  <c r="CT212"/>
  <c r="CU212"/>
  <c r="CV212"/>
  <c r="CW212"/>
  <c r="CX212"/>
  <c r="CY212"/>
  <c r="CZ212"/>
  <c r="DA212"/>
  <c r="DB212"/>
  <c r="DC212"/>
  <c r="DD212"/>
  <c r="DE212"/>
  <c r="DF212"/>
  <c r="DG212"/>
  <c r="DH212"/>
  <c r="DI212"/>
  <c r="DJ212"/>
  <c r="DK212"/>
  <c r="DL212"/>
  <c r="DM212"/>
  <c r="DN212"/>
  <c r="DO212"/>
  <c r="DP212"/>
  <c r="DQ212"/>
  <c r="DR212"/>
  <c r="DS212"/>
  <c r="DT212"/>
  <c r="DU212"/>
  <c r="DV212"/>
  <c r="DW212"/>
  <c r="DX212"/>
  <c r="DY212"/>
  <c r="DZ212"/>
  <c r="EA212"/>
  <c r="EB212"/>
  <c r="EC212"/>
  <c r="ED212"/>
  <c r="EE212"/>
  <c r="EF212"/>
  <c r="EG212"/>
  <c r="EH212"/>
  <c r="EI212"/>
  <c r="EJ212"/>
  <c r="EK212"/>
  <c r="EL212"/>
  <c r="EM212"/>
  <c r="EN212"/>
  <c r="EO212"/>
  <c r="EP212"/>
  <c r="EQ212"/>
  <c r="ER212"/>
  <c r="ES212"/>
  <c r="ET212"/>
  <c r="EU212"/>
  <c r="EV212"/>
  <c r="EW212"/>
  <c r="EX212"/>
  <c r="EY212"/>
  <c r="EZ212"/>
  <c r="FA212"/>
  <c r="FB212"/>
  <c r="FC212"/>
  <c r="FD212"/>
  <c r="FE212"/>
  <c r="FF212"/>
  <c r="FG212"/>
  <c r="FH212"/>
  <c r="FI212"/>
  <c r="FJ212"/>
  <c r="FK212"/>
  <c r="FL212"/>
  <c r="FM212"/>
  <c r="FN212"/>
  <c r="FO212"/>
  <c r="FP212"/>
  <c r="FQ212"/>
  <c r="FR212"/>
  <c r="FS212"/>
  <c r="FT212"/>
  <c r="FU212"/>
  <c r="FV212"/>
  <c r="FW212"/>
  <c r="FX212"/>
  <c r="FY212"/>
  <c r="FZ212"/>
  <c r="GA212"/>
  <c r="GB212"/>
  <c r="GC212"/>
  <c r="GD212"/>
  <c r="GE212"/>
  <c r="GF212"/>
  <c r="GG212"/>
  <c r="GH212"/>
  <c r="GI212"/>
  <c r="GJ212"/>
  <c r="GK212"/>
  <c r="GL212"/>
  <c r="GM212"/>
  <c r="GN212"/>
  <c r="GO212"/>
  <c r="GP212"/>
  <c r="GQ212"/>
  <c r="GR212"/>
  <c r="GS212"/>
  <c r="GT212"/>
  <c r="GU212"/>
  <c r="GV212"/>
  <c r="GW212"/>
  <c r="GX212"/>
  <c r="GY212"/>
  <c r="GZ212"/>
  <c r="HA212"/>
  <c r="HB212"/>
  <c r="HC212"/>
  <c r="HD212"/>
  <c r="HE212"/>
  <c r="HF212"/>
  <c r="HG212"/>
  <c r="HH212"/>
  <c r="HI212"/>
  <c r="HJ212"/>
  <c r="HK212"/>
  <c r="HL212"/>
  <c r="HM212"/>
  <c r="HN212"/>
  <c r="HO212"/>
  <c r="HP212"/>
  <c r="HQ212"/>
  <c r="HR212"/>
  <c r="HS212"/>
  <c r="HT212"/>
  <c r="HU212"/>
  <c r="HV212"/>
  <c r="HW212"/>
  <c r="HX212"/>
  <c r="HY212"/>
  <c r="HZ212"/>
  <c r="IA212"/>
  <c r="IB212"/>
  <c r="IC212"/>
  <c r="ID212"/>
  <c r="IE212"/>
  <c r="IF212"/>
  <c r="IG212"/>
  <c r="IH212"/>
  <c r="II212"/>
  <c r="IJ212"/>
  <c r="IK212"/>
  <c r="IL212"/>
  <c r="IM212"/>
  <c r="IN212"/>
  <c r="IO212"/>
  <c r="IP212"/>
  <c r="IQ212"/>
  <c r="IR212"/>
  <c r="IS212"/>
  <c r="IT212"/>
  <c r="IU212"/>
  <c r="IV212"/>
  <c r="A211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AT211"/>
  <c r="AU211"/>
  <c r="AV211"/>
  <c r="AW211"/>
  <c r="AX211"/>
  <c r="AY211"/>
  <c r="AZ211"/>
  <c r="BA211"/>
  <c r="BB211"/>
  <c r="BC211"/>
  <c r="BD211"/>
  <c r="BE211"/>
  <c r="BF211"/>
  <c r="BG211"/>
  <c r="BH211"/>
  <c r="BI211"/>
  <c r="BJ211"/>
  <c r="BK211"/>
  <c r="BL211"/>
  <c r="BM211"/>
  <c r="BN211"/>
  <c r="BO211"/>
  <c r="BP211"/>
  <c r="BQ211"/>
  <c r="BR211"/>
  <c r="BS211"/>
  <c r="BT211"/>
  <c r="BU211"/>
  <c r="BV211"/>
  <c r="BW211"/>
  <c r="BX211"/>
  <c r="BY211"/>
  <c r="BZ211"/>
  <c r="CA211"/>
  <c r="CB211"/>
  <c r="CC211"/>
  <c r="CD211"/>
  <c r="CE211"/>
  <c r="CF211"/>
  <c r="CG211"/>
  <c r="CH211"/>
  <c r="CI211"/>
  <c r="CJ211"/>
  <c r="CK211"/>
  <c r="CL211"/>
  <c r="CM211"/>
  <c r="CN211"/>
  <c r="CO211"/>
  <c r="CP211"/>
  <c r="CQ211"/>
  <c r="CR211"/>
  <c r="CS211"/>
  <c r="CT211"/>
  <c r="CU211"/>
  <c r="CV211"/>
  <c r="CW211"/>
  <c r="CX211"/>
  <c r="CY211"/>
  <c r="CZ211"/>
  <c r="DA211"/>
  <c r="DB211"/>
  <c r="DC211"/>
  <c r="DD211"/>
  <c r="DE211"/>
  <c r="DF211"/>
  <c r="DG211"/>
  <c r="DH211"/>
  <c r="DI211"/>
  <c r="DJ211"/>
  <c r="DK211"/>
  <c r="DL211"/>
  <c r="DM211"/>
  <c r="DN211"/>
  <c r="DO211"/>
  <c r="DP211"/>
  <c r="DQ211"/>
  <c r="DR211"/>
  <c r="DS211"/>
  <c r="DT211"/>
  <c r="DU211"/>
  <c r="DV211"/>
  <c r="DW211"/>
  <c r="DX211"/>
  <c r="DY211"/>
  <c r="DZ211"/>
  <c r="EA211"/>
  <c r="EB211"/>
  <c r="EC211"/>
  <c r="ED211"/>
  <c r="EE211"/>
  <c r="EF211"/>
  <c r="EG211"/>
  <c r="EH211"/>
  <c r="EI211"/>
  <c r="EJ211"/>
  <c r="EK211"/>
  <c r="EL211"/>
  <c r="EM211"/>
  <c r="EN211"/>
  <c r="EO211"/>
  <c r="EP211"/>
  <c r="EQ211"/>
  <c r="ER211"/>
  <c r="ES211"/>
  <c r="ET211"/>
  <c r="EU211"/>
  <c r="EV211"/>
  <c r="EW211"/>
  <c r="EX211"/>
  <c r="EY211"/>
  <c r="EZ211"/>
  <c r="FA211"/>
  <c r="FB211"/>
  <c r="FC211"/>
  <c r="FD211"/>
  <c r="FE211"/>
  <c r="FF211"/>
  <c r="FG211"/>
  <c r="FH211"/>
  <c r="FI211"/>
  <c r="FJ211"/>
  <c r="FK211"/>
  <c r="FL211"/>
  <c r="FM211"/>
  <c r="FN211"/>
  <c r="FO211"/>
  <c r="FP211"/>
  <c r="FQ211"/>
  <c r="FR211"/>
  <c r="FS211"/>
  <c r="FT211"/>
  <c r="FU211"/>
  <c r="FV211"/>
  <c r="FW211"/>
  <c r="FX211"/>
  <c r="FY211"/>
  <c r="FZ211"/>
  <c r="GA211"/>
  <c r="GB211"/>
  <c r="GC211"/>
  <c r="GD211"/>
  <c r="GE211"/>
  <c r="GF211"/>
  <c r="GG211"/>
  <c r="GH211"/>
  <c r="GI211"/>
  <c r="GJ211"/>
  <c r="GK211"/>
  <c r="GL211"/>
  <c r="GM211"/>
  <c r="GN211"/>
  <c r="GO211"/>
  <c r="GP211"/>
  <c r="GQ211"/>
  <c r="GR211"/>
  <c r="GS211"/>
  <c r="GT211"/>
  <c r="GU211"/>
  <c r="GV211"/>
  <c r="GW211"/>
  <c r="GX211"/>
  <c r="GY211"/>
  <c r="GZ211"/>
  <c r="HA211"/>
  <c r="HB211"/>
  <c r="HC211"/>
  <c r="HD211"/>
  <c r="HE211"/>
  <c r="HF211"/>
  <c r="HG211"/>
  <c r="HH211"/>
  <c r="HI211"/>
  <c r="HJ211"/>
  <c r="HK211"/>
  <c r="HL211"/>
  <c r="HM211"/>
  <c r="HN211"/>
  <c r="HO211"/>
  <c r="HP211"/>
  <c r="HQ211"/>
  <c r="HR211"/>
  <c r="HS211"/>
  <c r="HT211"/>
  <c r="HU211"/>
  <c r="HV211"/>
  <c r="HW211"/>
  <c r="HX211"/>
  <c r="HY211"/>
  <c r="HZ211"/>
  <c r="IA211"/>
  <c r="IB211"/>
  <c r="IC211"/>
  <c r="ID211"/>
  <c r="IE211"/>
  <c r="IF211"/>
  <c r="IG211"/>
  <c r="IH211"/>
  <c r="II211"/>
  <c r="IJ211"/>
  <c r="IK211"/>
  <c r="IL211"/>
  <c r="IM211"/>
  <c r="IN211"/>
  <c r="IO211"/>
  <c r="IP211"/>
  <c r="IQ211"/>
  <c r="IR211"/>
  <c r="IS211"/>
  <c r="IT211"/>
  <c r="IU211"/>
  <c r="IV211"/>
  <c r="A210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Y210"/>
  <c r="AZ210"/>
  <c r="BA210"/>
  <c r="BB210"/>
  <c r="BC210"/>
  <c r="BD210"/>
  <c r="BE210"/>
  <c r="BF210"/>
  <c r="BG210"/>
  <c r="BH210"/>
  <c r="BI210"/>
  <c r="BJ210"/>
  <c r="BK210"/>
  <c r="BL210"/>
  <c r="BM210"/>
  <c r="BN210"/>
  <c r="BO210"/>
  <c r="BP210"/>
  <c r="BQ210"/>
  <c r="BR210"/>
  <c r="BS210"/>
  <c r="BT210"/>
  <c r="BU210"/>
  <c r="BV210"/>
  <c r="BW210"/>
  <c r="BX210"/>
  <c r="BY210"/>
  <c r="BZ210"/>
  <c r="CA210"/>
  <c r="CB210"/>
  <c r="CC210"/>
  <c r="CD210"/>
  <c r="CE210"/>
  <c r="CF210"/>
  <c r="CG210"/>
  <c r="CH210"/>
  <c r="CI210"/>
  <c r="CJ210"/>
  <c r="CK210"/>
  <c r="CL210"/>
  <c r="CM210"/>
  <c r="CN210"/>
  <c r="CO210"/>
  <c r="CP210"/>
  <c r="CQ210"/>
  <c r="CR210"/>
  <c r="CS210"/>
  <c r="CT210"/>
  <c r="CU210"/>
  <c r="CV210"/>
  <c r="CW210"/>
  <c r="CX210"/>
  <c r="CY210"/>
  <c r="CZ210"/>
  <c r="DA210"/>
  <c r="DB210"/>
  <c r="DC210"/>
  <c r="DD210"/>
  <c r="DE210"/>
  <c r="DF210"/>
  <c r="DG210"/>
  <c r="DH210"/>
  <c r="DI210"/>
  <c r="DJ210"/>
  <c r="DK210"/>
  <c r="DL210"/>
  <c r="DM210"/>
  <c r="DN210"/>
  <c r="DO210"/>
  <c r="DP210"/>
  <c r="DQ210"/>
  <c r="DR210"/>
  <c r="DS210"/>
  <c r="DT210"/>
  <c r="DU210"/>
  <c r="DV210"/>
  <c r="DW210"/>
  <c r="DX210"/>
  <c r="DY210"/>
  <c r="DZ210"/>
  <c r="EA210"/>
  <c r="EB210"/>
  <c r="EC210"/>
  <c r="ED210"/>
  <c r="EE210"/>
  <c r="EF210"/>
  <c r="EG210"/>
  <c r="EH210"/>
  <c r="EI210"/>
  <c r="EJ210"/>
  <c r="EK210"/>
  <c r="EL210"/>
  <c r="EM210"/>
  <c r="EN210"/>
  <c r="EO210"/>
  <c r="EP210"/>
  <c r="EQ210"/>
  <c r="ER210"/>
  <c r="ES210"/>
  <c r="ET210"/>
  <c r="EU210"/>
  <c r="EV210"/>
  <c r="EW210"/>
  <c r="EX210"/>
  <c r="EY210"/>
  <c r="EZ210"/>
  <c r="FA210"/>
  <c r="FB210"/>
  <c r="FC210"/>
  <c r="FD210"/>
  <c r="FE210"/>
  <c r="FF210"/>
  <c r="FG210"/>
  <c r="FH210"/>
  <c r="FI210"/>
  <c r="FJ210"/>
  <c r="FK210"/>
  <c r="FL210"/>
  <c r="FM210"/>
  <c r="FN210"/>
  <c r="FO210"/>
  <c r="FP210"/>
  <c r="FQ210"/>
  <c r="FR210"/>
  <c r="FS210"/>
  <c r="FT210"/>
  <c r="FU210"/>
  <c r="FV210"/>
  <c r="FW210"/>
  <c r="FX210"/>
  <c r="FY210"/>
  <c r="FZ210"/>
  <c r="GA210"/>
  <c r="GB210"/>
  <c r="GC210"/>
  <c r="GD210"/>
  <c r="GE210"/>
  <c r="GF210"/>
  <c r="GG210"/>
  <c r="GH210"/>
  <c r="GI210"/>
  <c r="GJ210"/>
  <c r="GK210"/>
  <c r="GL210"/>
  <c r="GM210"/>
  <c r="GN210"/>
  <c r="GO210"/>
  <c r="GP210"/>
  <c r="GQ210"/>
  <c r="GR210"/>
  <c r="GS210"/>
  <c r="GT210"/>
  <c r="GU210"/>
  <c r="GV210"/>
  <c r="GW210"/>
  <c r="GX210"/>
  <c r="GY210"/>
  <c r="GZ210"/>
  <c r="HA210"/>
  <c r="HB210"/>
  <c r="HC210"/>
  <c r="HD210"/>
  <c r="HE210"/>
  <c r="HF210"/>
  <c r="HG210"/>
  <c r="HH210"/>
  <c r="HI210"/>
  <c r="HJ210"/>
  <c r="HK210"/>
  <c r="HL210"/>
  <c r="HM210"/>
  <c r="HN210"/>
  <c r="HO210"/>
  <c r="HP210"/>
  <c r="HQ210"/>
  <c r="HR210"/>
  <c r="HS210"/>
  <c r="HT210"/>
  <c r="HU210"/>
  <c r="HV210"/>
  <c r="HW210"/>
  <c r="HX210"/>
  <c r="HY210"/>
  <c r="HZ210"/>
  <c r="IA210"/>
  <c r="IB210"/>
  <c r="IC210"/>
  <c r="ID210"/>
  <c r="IE210"/>
  <c r="IF210"/>
  <c r="IG210"/>
  <c r="IH210"/>
  <c r="II210"/>
  <c r="IJ210"/>
  <c r="IK210"/>
  <c r="IL210"/>
  <c r="IM210"/>
  <c r="IN210"/>
  <c r="IO210"/>
  <c r="IP210"/>
  <c r="IQ210"/>
  <c r="IR210"/>
  <c r="IS210"/>
  <c r="IT210"/>
  <c r="IU210"/>
  <c r="IV210"/>
  <c r="A209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AE209"/>
  <c r="AF209"/>
  <c r="AG209"/>
  <c r="AH209"/>
  <c r="AI209"/>
  <c r="AJ209"/>
  <c r="AK209"/>
  <c r="AL209"/>
  <c r="AM209"/>
  <c r="AN209"/>
  <c r="AO209"/>
  <c r="AP209"/>
  <c r="AQ209"/>
  <c r="AR209"/>
  <c r="AS209"/>
  <c r="AT209"/>
  <c r="AU209"/>
  <c r="AV209"/>
  <c r="AW209"/>
  <c r="AX209"/>
  <c r="AY209"/>
  <c r="AZ209"/>
  <c r="BA209"/>
  <c r="BB209"/>
  <c r="BC209"/>
  <c r="BD209"/>
  <c r="BE209"/>
  <c r="BF209"/>
  <c r="BG209"/>
  <c r="BH209"/>
  <c r="BI209"/>
  <c r="BJ209"/>
  <c r="BK209"/>
  <c r="BL209"/>
  <c r="BM209"/>
  <c r="BN209"/>
  <c r="BO209"/>
  <c r="BP209"/>
  <c r="BQ209"/>
  <c r="BR209"/>
  <c r="BS209"/>
  <c r="BT209"/>
  <c r="BU209"/>
  <c r="BV209"/>
  <c r="BW209"/>
  <c r="BX209"/>
  <c r="BY209"/>
  <c r="BZ209"/>
  <c r="CA209"/>
  <c r="CB209"/>
  <c r="CC209"/>
  <c r="CD209"/>
  <c r="CE209"/>
  <c r="CF209"/>
  <c r="CG209"/>
  <c r="CH209"/>
  <c r="CI209"/>
  <c r="CJ209"/>
  <c r="CK209"/>
  <c r="CL209"/>
  <c r="CM209"/>
  <c r="CN209"/>
  <c r="CO209"/>
  <c r="CP209"/>
  <c r="CQ209"/>
  <c r="CR209"/>
  <c r="CS209"/>
  <c r="CT209"/>
  <c r="CU209"/>
  <c r="CV209"/>
  <c r="CW209"/>
  <c r="CX209"/>
  <c r="CY209"/>
  <c r="CZ209"/>
  <c r="DA209"/>
  <c r="DB209"/>
  <c r="DC209"/>
  <c r="DD209"/>
  <c r="DE209"/>
  <c r="DF209"/>
  <c r="DG209"/>
  <c r="DH209"/>
  <c r="DI209"/>
  <c r="DJ209"/>
  <c r="DK209"/>
  <c r="DL209"/>
  <c r="DM209"/>
  <c r="DN209"/>
  <c r="DO209"/>
  <c r="DP209"/>
  <c r="DQ209"/>
  <c r="DR209"/>
  <c r="DS209"/>
  <c r="DT209"/>
  <c r="DU209"/>
  <c r="DV209"/>
  <c r="DW209"/>
  <c r="DX209"/>
  <c r="DY209"/>
  <c r="DZ209"/>
  <c r="EA209"/>
  <c r="EB209"/>
  <c r="EC209"/>
  <c r="ED209"/>
  <c r="EE209"/>
  <c r="EF209"/>
  <c r="EG209"/>
  <c r="EH209"/>
  <c r="EI209"/>
  <c r="EJ209"/>
  <c r="EK209"/>
  <c r="EL209"/>
  <c r="EM209"/>
  <c r="EN209"/>
  <c r="EO209"/>
  <c r="EP209"/>
  <c r="EQ209"/>
  <c r="ER209"/>
  <c r="ES209"/>
  <c r="ET209"/>
  <c r="EU209"/>
  <c r="EV209"/>
  <c r="EW209"/>
  <c r="EX209"/>
  <c r="EY209"/>
  <c r="EZ209"/>
  <c r="FA209"/>
  <c r="FB209"/>
  <c r="FC209"/>
  <c r="FD209"/>
  <c r="FE209"/>
  <c r="FF209"/>
  <c r="FG209"/>
  <c r="FH209"/>
  <c r="FI209"/>
  <c r="FJ209"/>
  <c r="FK209"/>
  <c r="FL209"/>
  <c r="FM209"/>
  <c r="FN209"/>
  <c r="FO209"/>
  <c r="FP209"/>
  <c r="FQ209"/>
  <c r="FR209"/>
  <c r="FS209"/>
  <c r="FT209"/>
  <c r="FU209"/>
  <c r="FV209"/>
  <c r="FW209"/>
  <c r="FX209"/>
  <c r="FY209"/>
  <c r="FZ209"/>
  <c r="GA209"/>
  <c r="GB209"/>
  <c r="GC209"/>
  <c r="GD209"/>
  <c r="GE209"/>
  <c r="GF209"/>
  <c r="GG209"/>
  <c r="GH209"/>
  <c r="GI209"/>
  <c r="GJ209"/>
  <c r="GK209"/>
  <c r="GL209"/>
  <c r="GM209"/>
  <c r="GN209"/>
  <c r="GO209"/>
  <c r="GP209"/>
  <c r="GQ209"/>
  <c r="GR209"/>
  <c r="GS209"/>
  <c r="GT209"/>
  <c r="GU209"/>
  <c r="GV209"/>
  <c r="GW209"/>
  <c r="GX209"/>
  <c r="GY209"/>
  <c r="GZ209"/>
  <c r="HA209"/>
  <c r="HB209"/>
  <c r="HC209"/>
  <c r="HD209"/>
  <c r="HE209"/>
  <c r="HF209"/>
  <c r="HG209"/>
  <c r="HH209"/>
  <c r="HI209"/>
  <c r="HJ209"/>
  <c r="HK209"/>
  <c r="HL209"/>
  <c r="HM209"/>
  <c r="HN209"/>
  <c r="HO209"/>
  <c r="HP209"/>
  <c r="HQ209"/>
  <c r="HR209"/>
  <c r="HS209"/>
  <c r="HT209"/>
  <c r="HU209"/>
  <c r="HV209"/>
  <c r="HW209"/>
  <c r="HX209"/>
  <c r="HY209"/>
  <c r="HZ209"/>
  <c r="IA209"/>
  <c r="IB209"/>
  <c r="IC209"/>
  <c r="ID209"/>
  <c r="IE209"/>
  <c r="IF209"/>
  <c r="IG209"/>
  <c r="IH209"/>
  <c r="II209"/>
  <c r="IJ209"/>
  <c r="IK209"/>
  <c r="IL209"/>
  <c r="IM209"/>
  <c r="IN209"/>
  <c r="IO209"/>
  <c r="IP209"/>
  <c r="IQ209"/>
  <c r="IR209"/>
  <c r="IS209"/>
  <c r="IT209"/>
  <c r="IU209"/>
  <c r="IV209"/>
  <c r="A208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AE208"/>
  <c r="AF208"/>
  <c r="AG208"/>
  <c r="AH208"/>
  <c r="AI208"/>
  <c r="AJ208"/>
  <c r="AK208"/>
  <c r="AL208"/>
  <c r="AM208"/>
  <c r="AN208"/>
  <c r="AO208"/>
  <c r="AP208"/>
  <c r="AQ208"/>
  <c r="AR208"/>
  <c r="AS208"/>
  <c r="AT208"/>
  <c r="AU208"/>
  <c r="AV208"/>
  <c r="AW208"/>
  <c r="AX208"/>
  <c r="AY208"/>
  <c r="AZ208"/>
  <c r="BA208"/>
  <c r="BB208"/>
  <c r="BC208"/>
  <c r="BD208"/>
  <c r="BE208"/>
  <c r="BF208"/>
  <c r="BG208"/>
  <c r="BH208"/>
  <c r="BI208"/>
  <c r="BJ208"/>
  <c r="BK208"/>
  <c r="BL208"/>
  <c r="BM208"/>
  <c r="BN208"/>
  <c r="BO208"/>
  <c r="BP208"/>
  <c r="BQ208"/>
  <c r="BR208"/>
  <c r="BS208"/>
  <c r="BT208"/>
  <c r="BU208"/>
  <c r="BV208"/>
  <c r="BW208"/>
  <c r="BX208"/>
  <c r="BY208"/>
  <c r="BZ208"/>
  <c r="CA208"/>
  <c r="CB208"/>
  <c r="CC208"/>
  <c r="CD208"/>
  <c r="CE208"/>
  <c r="CF208"/>
  <c r="CG208"/>
  <c r="CH208"/>
  <c r="CI208"/>
  <c r="CJ208"/>
  <c r="CK208"/>
  <c r="CL208"/>
  <c r="CM208"/>
  <c r="CN208"/>
  <c r="CO208"/>
  <c r="CP208"/>
  <c r="CQ208"/>
  <c r="CR208"/>
  <c r="CS208"/>
  <c r="CT208"/>
  <c r="CU208"/>
  <c r="CV208"/>
  <c r="CW208"/>
  <c r="CX208"/>
  <c r="CY208"/>
  <c r="CZ208"/>
  <c r="DA208"/>
  <c r="DB208"/>
  <c r="DC208"/>
  <c r="DD208"/>
  <c r="DE208"/>
  <c r="DF208"/>
  <c r="DG208"/>
  <c r="DH208"/>
  <c r="DI208"/>
  <c r="DJ208"/>
  <c r="DK208"/>
  <c r="DL208"/>
  <c r="DM208"/>
  <c r="DN208"/>
  <c r="DO208"/>
  <c r="DP208"/>
  <c r="DQ208"/>
  <c r="DR208"/>
  <c r="DS208"/>
  <c r="DT208"/>
  <c r="DU208"/>
  <c r="DV208"/>
  <c r="DW208"/>
  <c r="DX208"/>
  <c r="DY208"/>
  <c r="DZ208"/>
  <c r="EA208"/>
  <c r="EB208"/>
  <c r="EC208"/>
  <c r="ED208"/>
  <c r="EE208"/>
  <c r="EF208"/>
  <c r="EG208"/>
  <c r="EH208"/>
  <c r="EI208"/>
  <c r="EJ208"/>
  <c r="EK208"/>
  <c r="EL208"/>
  <c r="EM208"/>
  <c r="EN208"/>
  <c r="EO208"/>
  <c r="EP208"/>
  <c r="EQ208"/>
  <c r="ER208"/>
  <c r="ES208"/>
  <c r="ET208"/>
  <c r="EU208"/>
  <c r="EV208"/>
  <c r="EW208"/>
  <c r="EX208"/>
  <c r="EY208"/>
  <c r="EZ208"/>
  <c r="FA208"/>
  <c r="FB208"/>
  <c r="FC208"/>
  <c r="FD208"/>
  <c r="FE208"/>
  <c r="FF208"/>
  <c r="FG208"/>
  <c r="FH208"/>
  <c r="FI208"/>
  <c r="FJ208"/>
  <c r="FK208"/>
  <c r="FL208"/>
  <c r="FM208"/>
  <c r="FN208"/>
  <c r="FO208"/>
  <c r="FP208"/>
  <c r="FQ208"/>
  <c r="FR208"/>
  <c r="FS208"/>
  <c r="FT208"/>
  <c r="FU208"/>
  <c r="FV208"/>
  <c r="FW208"/>
  <c r="FX208"/>
  <c r="FY208"/>
  <c r="FZ208"/>
  <c r="GA208"/>
  <c r="GB208"/>
  <c r="GC208"/>
  <c r="GD208"/>
  <c r="GE208"/>
  <c r="GF208"/>
  <c r="GG208"/>
  <c r="GH208"/>
  <c r="GI208"/>
  <c r="GJ208"/>
  <c r="GK208"/>
  <c r="GL208"/>
  <c r="GM208"/>
  <c r="GN208"/>
  <c r="GO208"/>
  <c r="GP208"/>
  <c r="GQ208"/>
  <c r="GR208"/>
  <c r="GS208"/>
  <c r="GT208"/>
  <c r="GU208"/>
  <c r="GV208"/>
  <c r="GW208"/>
  <c r="GX208"/>
  <c r="GY208"/>
  <c r="GZ208"/>
  <c r="HA208"/>
  <c r="HB208"/>
  <c r="HC208"/>
  <c r="HD208"/>
  <c r="HE208"/>
  <c r="HF208"/>
  <c r="HG208"/>
  <c r="HH208"/>
  <c r="HI208"/>
  <c r="HJ208"/>
  <c r="HK208"/>
  <c r="HL208"/>
  <c r="HM208"/>
  <c r="HN208"/>
  <c r="HO208"/>
  <c r="HP208"/>
  <c r="HQ208"/>
  <c r="HR208"/>
  <c r="HS208"/>
  <c r="HT208"/>
  <c r="HU208"/>
  <c r="HV208"/>
  <c r="HW208"/>
  <c r="HX208"/>
  <c r="HY208"/>
  <c r="HZ208"/>
  <c r="IA208"/>
  <c r="IB208"/>
  <c r="IC208"/>
  <c r="ID208"/>
  <c r="IE208"/>
  <c r="IF208"/>
  <c r="IG208"/>
  <c r="IH208"/>
  <c r="II208"/>
  <c r="IJ208"/>
  <c r="IK208"/>
  <c r="IL208"/>
  <c r="IM208"/>
  <c r="IN208"/>
  <c r="IO208"/>
  <c r="IP208"/>
  <c r="IQ208"/>
  <c r="IR208"/>
  <c r="IS208"/>
  <c r="IT208"/>
  <c r="IU208"/>
  <c r="IV208"/>
  <c r="A207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AE207"/>
  <c r="AF207"/>
  <c r="AG207"/>
  <c r="AH207"/>
  <c r="AI207"/>
  <c r="AJ207"/>
  <c r="AK207"/>
  <c r="AL207"/>
  <c r="AM207"/>
  <c r="AN207"/>
  <c r="AO207"/>
  <c r="AP207"/>
  <c r="AQ207"/>
  <c r="AR207"/>
  <c r="AS207"/>
  <c r="AT207"/>
  <c r="AU207"/>
  <c r="AV207"/>
  <c r="AW207"/>
  <c r="AX207"/>
  <c r="AY207"/>
  <c r="AZ207"/>
  <c r="BA207"/>
  <c r="BB207"/>
  <c r="BC207"/>
  <c r="BD207"/>
  <c r="BE207"/>
  <c r="BF207"/>
  <c r="BG207"/>
  <c r="BH207"/>
  <c r="BI207"/>
  <c r="BJ207"/>
  <c r="BK207"/>
  <c r="BL207"/>
  <c r="BM207"/>
  <c r="BN207"/>
  <c r="BO207"/>
  <c r="BP207"/>
  <c r="BQ207"/>
  <c r="BR207"/>
  <c r="BS207"/>
  <c r="BT207"/>
  <c r="BU207"/>
  <c r="BV207"/>
  <c r="BW207"/>
  <c r="BX207"/>
  <c r="BY207"/>
  <c r="BZ207"/>
  <c r="CA207"/>
  <c r="CB207"/>
  <c r="CC207"/>
  <c r="CD207"/>
  <c r="CE207"/>
  <c r="CF207"/>
  <c r="CG207"/>
  <c r="CH207"/>
  <c r="CI207"/>
  <c r="CJ207"/>
  <c r="CK207"/>
  <c r="CL207"/>
  <c r="CM207"/>
  <c r="CN207"/>
  <c r="CO207"/>
  <c r="CP207"/>
  <c r="CQ207"/>
  <c r="CR207"/>
  <c r="CS207"/>
  <c r="CT207"/>
  <c r="CU207"/>
  <c r="CV207"/>
  <c r="CW207"/>
  <c r="CX207"/>
  <c r="CY207"/>
  <c r="CZ207"/>
  <c r="DA207"/>
  <c r="DB207"/>
  <c r="DC207"/>
  <c r="DD207"/>
  <c r="DE207"/>
  <c r="DF207"/>
  <c r="DG207"/>
  <c r="DH207"/>
  <c r="DI207"/>
  <c r="DJ207"/>
  <c r="DK207"/>
  <c r="DL207"/>
  <c r="DM207"/>
  <c r="DN207"/>
  <c r="DO207"/>
  <c r="DP207"/>
  <c r="DQ207"/>
  <c r="DR207"/>
  <c r="DS207"/>
  <c r="DT207"/>
  <c r="DU207"/>
  <c r="DV207"/>
  <c r="DW207"/>
  <c r="DX207"/>
  <c r="DY207"/>
  <c r="DZ207"/>
  <c r="EA207"/>
  <c r="EB207"/>
  <c r="EC207"/>
  <c r="ED207"/>
  <c r="EE207"/>
  <c r="EF207"/>
  <c r="EG207"/>
  <c r="EH207"/>
  <c r="EI207"/>
  <c r="EJ207"/>
  <c r="EK207"/>
  <c r="EL207"/>
  <c r="EM207"/>
  <c r="EN207"/>
  <c r="EO207"/>
  <c r="EP207"/>
  <c r="EQ207"/>
  <c r="ER207"/>
  <c r="ES207"/>
  <c r="ET207"/>
  <c r="EU207"/>
  <c r="EV207"/>
  <c r="EW207"/>
  <c r="EX207"/>
  <c r="EY207"/>
  <c r="EZ207"/>
  <c r="FA207"/>
  <c r="FB207"/>
  <c r="FC207"/>
  <c r="FD207"/>
  <c r="FE207"/>
  <c r="FF207"/>
  <c r="FG207"/>
  <c r="FH207"/>
  <c r="FI207"/>
  <c r="FJ207"/>
  <c r="FK207"/>
  <c r="FL207"/>
  <c r="FM207"/>
  <c r="FN207"/>
  <c r="FO207"/>
  <c r="FP207"/>
  <c r="FQ207"/>
  <c r="FR207"/>
  <c r="FS207"/>
  <c r="FT207"/>
  <c r="FU207"/>
  <c r="FV207"/>
  <c r="FW207"/>
  <c r="FX207"/>
  <c r="FY207"/>
  <c r="FZ207"/>
  <c r="GA207"/>
  <c r="GB207"/>
  <c r="GC207"/>
  <c r="GD207"/>
  <c r="GE207"/>
  <c r="GF207"/>
  <c r="GG207"/>
  <c r="GH207"/>
  <c r="GI207"/>
  <c r="GJ207"/>
  <c r="GK207"/>
  <c r="GL207"/>
  <c r="GM207"/>
  <c r="GN207"/>
  <c r="GO207"/>
  <c r="GP207"/>
  <c r="GQ207"/>
  <c r="GR207"/>
  <c r="GS207"/>
  <c r="GT207"/>
  <c r="GU207"/>
  <c r="GV207"/>
  <c r="GW207"/>
  <c r="GX207"/>
  <c r="GY207"/>
  <c r="GZ207"/>
  <c r="HA207"/>
  <c r="HB207"/>
  <c r="HC207"/>
  <c r="HD207"/>
  <c r="HE207"/>
  <c r="HF207"/>
  <c r="HG207"/>
  <c r="HH207"/>
  <c r="HI207"/>
  <c r="HJ207"/>
  <c r="HK207"/>
  <c r="HL207"/>
  <c r="HM207"/>
  <c r="HN207"/>
  <c r="HO207"/>
  <c r="HP207"/>
  <c r="HQ207"/>
  <c r="HR207"/>
  <c r="HS207"/>
  <c r="HT207"/>
  <c r="HU207"/>
  <c r="HV207"/>
  <c r="HW207"/>
  <c r="HX207"/>
  <c r="HY207"/>
  <c r="HZ207"/>
  <c r="IA207"/>
  <c r="IB207"/>
  <c r="IC207"/>
  <c r="ID207"/>
  <c r="IE207"/>
  <c r="IF207"/>
  <c r="IG207"/>
  <c r="IH207"/>
  <c r="II207"/>
  <c r="IJ207"/>
  <c r="IK207"/>
  <c r="IL207"/>
  <c r="IM207"/>
  <c r="IN207"/>
  <c r="IO207"/>
  <c r="IP207"/>
  <c r="IQ207"/>
  <c r="IR207"/>
  <c r="IS207"/>
  <c r="IT207"/>
  <c r="IU207"/>
  <c r="IV207"/>
  <c r="A206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AT206"/>
  <c r="AU206"/>
  <c r="AV206"/>
  <c r="AW206"/>
  <c r="AX206"/>
  <c r="AY206"/>
  <c r="AZ206"/>
  <c r="BA206"/>
  <c r="BB206"/>
  <c r="BC206"/>
  <c r="BD206"/>
  <c r="BE206"/>
  <c r="BF206"/>
  <c r="BG206"/>
  <c r="BH206"/>
  <c r="BI206"/>
  <c r="BJ206"/>
  <c r="BK206"/>
  <c r="BL206"/>
  <c r="BM206"/>
  <c r="BN206"/>
  <c r="BO206"/>
  <c r="BP206"/>
  <c r="BQ206"/>
  <c r="BR206"/>
  <c r="BS206"/>
  <c r="BT206"/>
  <c r="BU206"/>
  <c r="BV206"/>
  <c r="BW206"/>
  <c r="BX206"/>
  <c r="BY206"/>
  <c r="BZ206"/>
  <c r="CA206"/>
  <c r="CB206"/>
  <c r="CC206"/>
  <c r="CD206"/>
  <c r="CE206"/>
  <c r="CF206"/>
  <c r="CG206"/>
  <c r="CH206"/>
  <c r="CI206"/>
  <c r="CJ206"/>
  <c r="CK206"/>
  <c r="CL206"/>
  <c r="CM206"/>
  <c r="CN206"/>
  <c r="CO206"/>
  <c r="CP206"/>
  <c r="CQ206"/>
  <c r="CR206"/>
  <c r="CS206"/>
  <c r="CT206"/>
  <c r="CU206"/>
  <c r="CV206"/>
  <c r="CW206"/>
  <c r="CX206"/>
  <c r="CY206"/>
  <c r="CZ206"/>
  <c r="DA206"/>
  <c r="DB206"/>
  <c r="DC206"/>
  <c r="DD206"/>
  <c r="DE206"/>
  <c r="DF206"/>
  <c r="DG206"/>
  <c r="DH206"/>
  <c r="DI206"/>
  <c r="DJ206"/>
  <c r="DK206"/>
  <c r="DL206"/>
  <c r="DM206"/>
  <c r="DN206"/>
  <c r="DO206"/>
  <c r="DP206"/>
  <c r="DQ206"/>
  <c r="DR206"/>
  <c r="DS206"/>
  <c r="DT206"/>
  <c r="DU206"/>
  <c r="DV206"/>
  <c r="DW206"/>
  <c r="DX206"/>
  <c r="DY206"/>
  <c r="DZ206"/>
  <c r="EA206"/>
  <c r="EB206"/>
  <c r="EC206"/>
  <c r="ED206"/>
  <c r="EE206"/>
  <c r="EF206"/>
  <c r="EG206"/>
  <c r="EH206"/>
  <c r="EI206"/>
  <c r="EJ206"/>
  <c r="EK206"/>
  <c r="EL206"/>
  <c r="EM206"/>
  <c r="EN206"/>
  <c r="EO206"/>
  <c r="EP206"/>
  <c r="EQ206"/>
  <c r="ER206"/>
  <c r="ES206"/>
  <c r="ET206"/>
  <c r="EU206"/>
  <c r="EV206"/>
  <c r="EW206"/>
  <c r="EX206"/>
  <c r="EY206"/>
  <c r="EZ206"/>
  <c r="FA206"/>
  <c r="FB206"/>
  <c r="FC206"/>
  <c r="FD206"/>
  <c r="FE206"/>
  <c r="FF206"/>
  <c r="FG206"/>
  <c r="FH206"/>
  <c r="FI206"/>
  <c r="FJ206"/>
  <c r="FK206"/>
  <c r="FL206"/>
  <c r="FM206"/>
  <c r="FN206"/>
  <c r="FO206"/>
  <c r="FP206"/>
  <c r="FQ206"/>
  <c r="FR206"/>
  <c r="FS206"/>
  <c r="FT206"/>
  <c r="FU206"/>
  <c r="FV206"/>
  <c r="FW206"/>
  <c r="FX206"/>
  <c r="FY206"/>
  <c r="FZ206"/>
  <c r="GA206"/>
  <c r="GB206"/>
  <c r="GC206"/>
  <c r="GD206"/>
  <c r="GE206"/>
  <c r="GF206"/>
  <c r="GG206"/>
  <c r="GH206"/>
  <c r="GI206"/>
  <c r="GJ206"/>
  <c r="GK206"/>
  <c r="GL206"/>
  <c r="GM206"/>
  <c r="GN206"/>
  <c r="GO206"/>
  <c r="GP206"/>
  <c r="GQ206"/>
  <c r="GR206"/>
  <c r="GS206"/>
  <c r="GT206"/>
  <c r="GU206"/>
  <c r="GV206"/>
  <c r="GW206"/>
  <c r="GX206"/>
  <c r="GY206"/>
  <c r="GZ206"/>
  <c r="HA206"/>
  <c r="HB206"/>
  <c r="HC206"/>
  <c r="HD206"/>
  <c r="HE206"/>
  <c r="HF206"/>
  <c r="HG206"/>
  <c r="HH206"/>
  <c r="HI206"/>
  <c r="HJ206"/>
  <c r="HK206"/>
  <c r="HL206"/>
  <c r="HM206"/>
  <c r="HN206"/>
  <c r="HO206"/>
  <c r="HP206"/>
  <c r="HQ206"/>
  <c r="HR206"/>
  <c r="HS206"/>
  <c r="HT206"/>
  <c r="HU206"/>
  <c r="HV206"/>
  <c r="HW206"/>
  <c r="HX206"/>
  <c r="HY206"/>
  <c r="HZ206"/>
  <c r="IA206"/>
  <c r="IB206"/>
  <c r="IC206"/>
  <c r="ID206"/>
  <c r="IE206"/>
  <c r="IF206"/>
  <c r="IG206"/>
  <c r="IH206"/>
  <c r="II206"/>
  <c r="IJ206"/>
  <c r="IK206"/>
  <c r="IL206"/>
  <c r="IM206"/>
  <c r="IN206"/>
  <c r="IO206"/>
  <c r="IP206"/>
  <c r="IQ206"/>
  <c r="IR206"/>
  <c r="IS206"/>
  <c r="IT206"/>
  <c r="IU206"/>
  <c r="IV206"/>
  <c r="A205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R205"/>
  <c r="AS205"/>
  <c r="AT205"/>
  <c r="AU205"/>
  <c r="AV205"/>
  <c r="AW205"/>
  <c r="AX205"/>
  <c r="AY205"/>
  <c r="AZ205"/>
  <c r="BA205"/>
  <c r="BB205"/>
  <c r="BC205"/>
  <c r="BD205"/>
  <c r="BE205"/>
  <c r="BF205"/>
  <c r="BG205"/>
  <c r="BH205"/>
  <c r="BI205"/>
  <c r="BJ205"/>
  <c r="BK205"/>
  <c r="BL205"/>
  <c r="BM205"/>
  <c r="BN205"/>
  <c r="BO205"/>
  <c r="BP205"/>
  <c r="BQ205"/>
  <c r="BR205"/>
  <c r="BS205"/>
  <c r="BT205"/>
  <c r="BU205"/>
  <c r="BV205"/>
  <c r="BW205"/>
  <c r="BX205"/>
  <c r="BY205"/>
  <c r="BZ205"/>
  <c r="CA205"/>
  <c r="CB205"/>
  <c r="CC205"/>
  <c r="CD205"/>
  <c r="CE205"/>
  <c r="CF205"/>
  <c r="CG205"/>
  <c r="CH205"/>
  <c r="CI205"/>
  <c r="CJ205"/>
  <c r="CK205"/>
  <c r="CL205"/>
  <c r="CM205"/>
  <c r="CN205"/>
  <c r="CO205"/>
  <c r="CP205"/>
  <c r="CQ205"/>
  <c r="CR205"/>
  <c r="CS205"/>
  <c r="CT205"/>
  <c r="CU205"/>
  <c r="CV205"/>
  <c r="CW205"/>
  <c r="CX205"/>
  <c r="CY205"/>
  <c r="CZ205"/>
  <c r="DA205"/>
  <c r="DB205"/>
  <c r="DC205"/>
  <c r="DD205"/>
  <c r="DE205"/>
  <c r="DF205"/>
  <c r="DG205"/>
  <c r="DH205"/>
  <c r="DI205"/>
  <c r="DJ205"/>
  <c r="DK205"/>
  <c r="DL205"/>
  <c r="DM205"/>
  <c r="DN205"/>
  <c r="DO205"/>
  <c r="DP205"/>
  <c r="DQ205"/>
  <c r="DR205"/>
  <c r="DS205"/>
  <c r="DT205"/>
  <c r="DU205"/>
  <c r="DV205"/>
  <c r="DW205"/>
  <c r="DX205"/>
  <c r="DY205"/>
  <c r="DZ205"/>
  <c r="EA205"/>
  <c r="EB205"/>
  <c r="EC205"/>
  <c r="ED205"/>
  <c r="EE205"/>
  <c r="EF205"/>
  <c r="EG205"/>
  <c r="EH205"/>
  <c r="EI205"/>
  <c r="EJ205"/>
  <c r="EK205"/>
  <c r="EL205"/>
  <c r="EM205"/>
  <c r="EN205"/>
  <c r="EO205"/>
  <c r="EP205"/>
  <c r="EQ205"/>
  <c r="ER205"/>
  <c r="ES205"/>
  <c r="ET205"/>
  <c r="EU205"/>
  <c r="EV205"/>
  <c r="EW205"/>
  <c r="EX205"/>
  <c r="EY205"/>
  <c r="EZ205"/>
  <c r="FA205"/>
  <c r="FB205"/>
  <c r="FC205"/>
  <c r="FD205"/>
  <c r="FE205"/>
  <c r="FF205"/>
  <c r="FG205"/>
  <c r="FH205"/>
  <c r="FI205"/>
  <c r="FJ205"/>
  <c r="FK205"/>
  <c r="FL205"/>
  <c r="FM205"/>
  <c r="FN205"/>
  <c r="FO205"/>
  <c r="FP205"/>
  <c r="FQ205"/>
  <c r="FR205"/>
  <c r="FS205"/>
  <c r="FT205"/>
  <c r="FU205"/>
  <c r="FV205"/>
  <c r="FW205"/>
  <c r="FX205"/>
  <c r="FY205"/>
  <c r="FZ205"/>
  <c r="GA205"/>
  <c r="GB205"/>
  <c r="GC205"/>
  <c r="GD205"/>
  <c r="GE205"/>
  <c r="GF205"/>
  <c r="GG205"/>
  <c r="GH205"/>
  <c r="GI205"/>
  <c r="GJ205"/>
  <c r="GK205"/>
  <c r="GL205"/>
  <c r="GM205"/>
  <c r="GN205"/>
  <c r="GO205"/>
  <c r="GP205"/>
  <c r="GQ205"/>
  <c r="GR205"/>
  <c r="GS205"/>
  <c r="GT205"/>
  <c r="GU205"/>
  <c r="GV205"/>
  <c r="GW205"/>
  <c r="GX205"/>
  <c r="GY205"/>
  <c r="GZ205"/>
  <c r="HA205"/>
  <c r="HB205"/>
  <c r="HC205"/>
  <c r="HD205"/>
  <c r="HE205"/>
  <c r="HF205"/>
  <c r="HG205"/>
  <c r="HH205"/>
  <c r="HI205"/>
  <c r="HJ205"/>
  <c r="HK205"/>
  <c r="HL205"/>
  <c r="HM205"/>
  <c r="HN205"/>
  <c r="HO205"/>
  <c r="HP205"/>
  <c r="HQ205"/>
  <c r="HR205"/>
  <c r="HS205"/>
  <c r="HT205"/>
  <c r="HU205"/>
  <c r="HV205"/>
  <c r="HW205"/>
  <c r="HX205"/>
  <c r="HY205"/>
  <c r="HZ205"/>
  <c r="IA205"/>
  <c r="IB205"/>
  <c r="IC205"/>
  <c r="ID205"/>
  <c r="IE205"/>
  <c r="IF205"/>
  <c r="IG205"/>
  <c r="IH205"/>
  <c r="II205"/>
  <c r="IJ205"/>
  <c r="IK205"/>
  <c r="IL205"/>
  <c r="IM205"/>
  <c r="IN205"/>
  <c r="IO205"/>
  <c r="IP205"/>
  <c r="IQ205"/>
  <c r="IR205"/>
  <c r="IS205"/>
  <c r="IT205"/>
  <c r="IU205"/>
  <c r="IV205"/>
  <c r="A204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AT204"/>
  <c r="AU204"/>
  <c r="AV204"/>
  <c r="AW204"/>
  <c r="AX204"/>
  <c r="AY204"/>
  <c r="AZ204"/>
  <c r="BA204"/>
  <c r="BB204"/>
  <c r="BC204"/>
  <c r="BD204"/>
  <c r="BE204"/>
  <c r="BF204"/>
  <c r="BG204"/>
  <c r="BH204"/>
  <c r="BI204"/>
  <c r="BJ204"/>
  <c r="BK204"/>
  <c r="BL204"/>
  <c r="BM204"/>
  <c r="BN204"/>
  <c r="BO204"/>
  <c r="BP204"/>
  <c r="BQ204"/>
  <c r="BR204"/>
  <c r="BS204"/>
  <c r="BT204"/>
  <c r="BU204"/>
  <c r="BV204"/>
  <c r="BW204"/>
  <c r="BX204"/>
  <c r="BY204"/>
  <c r="BZ204"/>
  <c r="CA204"/>
  <c r="CB204"/>
  <c r="CC204"/>
  <c r="CD204"/>
  <c r="CE204"/>
  <c r="CF204"/>
  <c r="CG204"/>
  <c r="CH204"/>
  <c r="CI204"/>
  <c r="CJ204"/>
  <c r="CK204"/>
  <c r="CL204"/>
  <c r="CM204"/>
  <c r="CN204"/>
  <c r="CO204"/>
  <c r="CP204"/>
  <c r="CQ204"/>
  <c r="CR204"/>
  <c r="CS204"/>
  <c r="CT204"/>
  <c r="CU204"/>
  <c r="CV204"/>
  <c r="CW204"/>
  <c r="CX204"/>
  <c r="CY204"/>
  <c r="CZ204"/>
  <c r="DA204"/>
  <c r="DB204"/>
  <c r="DC204"/>
  <c r="DD204"/>
  <c r="DE204"/>
  <c r="DF204"/>
  <c r="DG204"/>
  <c r="DH204"/>
  <c r="DI204"/>
  <c r="DJ204"/>
  <c r="DK204"/>
  <c r="DL204"/>
  <c r="DM204"/>
  <c r="DN204"/>
  <c r="DO204"/>
  <c r="DP204"/>
  <c r="DQ204"/>
  <c r="DR204"/>
  <c r="DS204"/>
  <c r="DT204"/>
  <c r="DU204"/>
  <c r="DV204"/>
  <c r="DW204"/>
  <c r="DX204"/>
  <c r="DY204"/>
  <c r="DZ204"/>
  <c r="EA204"/>
  <c r="EB204"/>
  <c r="EC204"/>
  <c r="ED204"/>
  <c r="EE204"/>
  <c r="EF204"/>
  <c r="EG204"/>
  <c r="EH204"/>
  <c r="EI204"/>
  <c r="EJ204"/>
  <c r="EK204"/>
  <c r="EL204"/>
  <c r="EM204"/>
  <c r="EN204"/>
  <c r="EO204"/>
  <c r="EP204"/>
  <c r="EQ204"/>
  <c r="ER204"/>
  <c r="ES204"/>
  <c r="ET204"/>
  <c r="EU204"/>
  <c r="EV204"/>
  <c r="EW204"/>
  <c r="EX204"/>
  <c r="EY204"/>
  <c r="EZ204"/>
  <c r="FA204"/>
  <c r="FB204"/>
  <c r="FC204"/>
  <c r="FD204"/>
  <c r="FE204"/>
  <c r="FF204"/>
  <c r="FG204"/>
  <c r="FH204"/>
  <c r="FI204"/>
  <c r="FJ204"/>
  <c r="FK204"/>
  <c r="FL204"/>
  <c r="FM204"/>
  <c r="FN204"/>
  <c r="FO204"/>
  <c r="FP204"/>
  <c r="FQ204"/>
  <c r="FR204"/>
  <c r="FS204"/>
  <c r="FT204"/>
  <c r="FU204"/>
  <c r="FV204"/>
  <c r="FW204"/>
  <c r="FX204"/>
  <c r="FY204"/>
  <c r="FZ204"/>
  <c r="GA204"/>
  <c r="GB204"/>
  <c r="GC204"/>
  <c r="GD204"/>
  <c r="GE204"/>
  <c r="GF204"/>
  <c r="GG204"/>
  <c r="GH204"/>
  <c r="GI204"/>
  <c r="GJ204"/>
  <c r="GK204"/>
  <c r="GL204"/>
  <c r="GM204"/>
  <c r="GN204"/>
  <c r="GO204"/>
  <c r="GP204"/>
  <c r="GQ204"/>
  <c r="GR204"/>
  <c r="GS204"/>
  <c r="GT204"/>
  <c r="GU204"/>
  <c r="GV204"/>
  <c r="GW204"/>
  <c r="GX204"/>
  <c r="GY204"/>
  <c r="GZ204"/>
  <c r="HA204"/>
  <c r="HB204"/>
  <c r="HC204"/>
  <c r="HD204"/>
  <c r="HE204"/>
  <c r="HF204"/>
  <c r="HG204"/>
  <c r="HH204"/>
  <c r="HI204"/>
  <c r="HJ204"/>
  <c r="HK204"/>
  <c r="HL204"/>
  <c r="HM204"/>
  <c r="HN204"/>
  <c r="HO204"/>
  <c r="HP204"/>
  <c r="HQ204"/>
  <c r="HR204"/>
  <c r="HS204"/>
  <c r="HT204"/>
  <c r="HU204"/>
  <c r="HV204"/>
  <c r="HW204"/>
  <c r="HX204"/>
  <c r="HY204"/>
  <c r="HZ204"/>
  <c r="IA204"/>
  <c r="IB204"/>
  <c r="IC204"/>
  <c r="ID204"/>
  <c r="IE204"/>
  <c r="IF204"/>
  <c r="IG204"/>
  <c r="IH204"/>
  <c r="II204"/>
  <c r="IJ204"/>
  <c r="IK204"/>
  <c r="IL204"/>
  <c r="IM204"/>
  <c r="IN204"/>
  <c r="IO204"/>
  <c r="IP204"/>
  <c r="IQ204"/>
  <c r="IR204"/>
  <c r="IS204"/>
  <c r="IT204"/>
  <c r="IU204"/>
  <c r="IV204"/>
  <c r="A203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AE203"/>
  <c r="AF203"/>
  <c r="AG203"/>
  <c r="AH203"/>
  <c r="AI203"/>
  <c r="AJ203"/>
  <c r="AK203"/>
  <c r="AL203"/>
  <c r="AM203"/>
  <c r="AN203"/>
  <c r="AO203"/>
  <c r="AP203"/>
  <c r="AQ203"/>
  <c r="AR203"/>
  <c r="AS203"/>
  <c r="AT203"/>
  <c r="AU203"/>
  <c r="AV203"/>
  <c r="AW203"/>
  <c r="AX203"/>
  <c r="AY203"/>
  <c r="AZ203"/>
  <c r="BA203"/>
  <c r="BB203"/>
  <c r="BC203"/>
  <c r="BD203"/>
  <c r="BE203"/>
  <c r="BF203"/>
  <c r="BG203"/>
  <c r="BH203"/>
  <c r="BI203"/>
  <c r="BJ203"/>
  <c r="BK203"/>
  <c r="BL203"/>
  <c r="BM203"/>
  <c r="BN203"/>
  <c r="BO203"/>
  <c r="BP203"/>
  <c r="BQ203"/>
  <c r="BR203"/>
  <c r="BS203"/>
  <c r="BT203"/>
  <c r="BU203"/>
  <c r="BV203"/>
  <c r="BW203"/>
  <c r="BX203"/>
  <c r="BY203"/>
  <c r="BZ203"/>
  <c r="CA203"/>
  <c r="CB203"/>
  <c r="CC203"/>
  <c r="CD203"/>
  <c r="CE203"/>
  <c r="CF203"/>
  <c r="CG203"/>
  <c r="CH203"/>
  <c r="CI203"/>
  <c r="CJ203"/>
  <c r="CK203"/>
  <c r="CL203"/>
  <c r="CM203"/>
  <c r="CN203"/>
  <c r="CO203"/>
  <c r="CP203"/>
  <c r="CQ203"/>
  <c r="CR203"/>
  <c r="CS203"/>
  <c r="CT203"/>
  <c r="CU203"/>
  <c r="CV203"/>
  <c r="CW203"/>
  <c r="CX203"/>
  <c r="CY203"/>
  <c r="CZ203"/>
  <c r="DA203"/>
  <c r="DB203"/>
  <c r="DC203"/>
  <c r="DD203"/>
  <c r="DE203"/>
  <c r="DF203"/>
  <c r="DG203"/>
  <c r="DH203"/>
  <c r="DI203"/>
  <c r="DJ203"/>
  <c r="DK203"/>
  <c r="DL203"/>
  <c r="DM203"/>
  <c r="DN203"/>
  <c r="DO203"/>
  <c r="DP203"/>
  <c r="DQ203"/>
  <c r="DR203"/>
  <c r="DS203"/>
  <c r="DT203"/>
  <c r="DU203"/>
  <c r="DV203"/>
  <c r="DW203"/>
  <c r="DX203"/>
  <c r="DY203"/>
  <c r="DZ203"/>
  <c r="EA203"/>
  <c r="EB203"/>
  <c r="EC203"/>
  <c r="ED203"/>
  <c r="EE203"/>
  <c r="EF203"/>
  <c r="EG203"/>
  <c r="EH203"/>
  <c r="EI203"/>
  <c r="EJ203"/>
  <c r="EK203"/>
  <c r="EL203"/>
  <c r="EM203"/>
  <c r="EN203"/>
  <c r="EO203"/>
  <c r="EP203"/>
  <c r="EQ203"/>
  <c r="ER203"/>
  <c r="ES203"/>
  <c r="ET203"/>
  <c r="EU203"/>
  <c r="EV203"/>
  <c r="EW203"/>
  <c r="EX203"/>
  <c r="EY203"/>
  <c r="EZ203"/>
  <c r="FA203"/>
  <c r="FB203"/>
  <c r="FC203"/>
  <c r="FD203"/>
  <c r="FE203"/>
  <c r="FF203"/>
  <c r="FG203"/>
  <c r="FH203"/>
  <c r="FI203"/>
  <c r="FJ203"/>
  <c r="FK203"/>
  <c r="FL203"/>
  <c r="FM203"/>
  <c r="FN203"/>
  <c r="FO203"/>
  <c r="FP203"/>
  <c r="FQ203"/>
  <c r="FR203"/>
  <c r="FS203"/>
  <c r="FT203"/>
  <c r="FU203"/>
  <c r="FV203"/>
  <c r="FW203"/>
  <c r="FX203"/>
  <c r="FY203"/>
  <c r="FZ203"/>
  <c r="GA203"/>
  <c r="GB203"/>
  <c r="GC203"/>
  <c r="GD203"/>
  <c r="GE203"/>
  <c r="GF203"/>
  <c r="GG203"/>
  <c r="GH203"/>
  <c r="GI203"/>
  <c r="GJ203"/>
  <c r="GK203"/>
  <c r="GL203"/>
  <c r="GM203"/>
  <c r="GN203"/>
  <c r="GO203"/>
  <c r="GP203"/>
  <c r="GQ203"/>
  <c r="GR203"/>
  <c r="GS203"/>
  <c r="GT203"/>
  <c r="GU203"/>
  <c r="GV203"/>
  <c r="GW203"/>
  <c r="GX203"/>
  <c r="GY203"/>
  <c r="GZ203"/>
  <c r="HA203"/>
  <c r="HB203"/>
  <c r="HC203"/>
  <c r="HD203"/>
  <c r="HE203"/>
  <c r="HF203"/>
  <c r="HG203"/>
  <c r="HH203"/>
  <c r="HI203"/>
  <c r="HJ203"/>
  <c r="HK203"/>
  <c r="HL203"/>
  <c r="HM203"/>
  <c r="HN203"/>
  <c r="HO203"/>
  <c r="HP203"/>
  <c r="HQ203"/>
  <c r="HR203"/>
  <c r="HS203"/>
  <c r="HT203"/>
  <c r="HU203"/>
  <c r="HV203"/>
  <c r="HW203"/>
  <c r="HX203"/>
  <c r="HY203"/>
  <c r="HZ203"/>
  <c r="IA203"/>
  <c r="IB203"/>
  <c r="IC203"/>
  <c r="ID203"/>
  <c r="IE203"/>
  <c r="IF203"/>
  <c r="IG203"/>
  <c r="IH203"/>
  <c r="II203"/>
  <c r="IJ203"/>
  <c r="IK203"/>
  <c r="IL203"/>
  <c r="IM203"/>
  <c r="IN203"/>
  <c r="IO203"/>
  <c r="IP203"/>
  <c r="IQ203"/>
  <c r="IR203"/>
  <c r="IS203"/>
  <c r="IT203"/>
  <c r="IU203"/>
  <c r="IV203"/>
  <c r="A202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AE202"/>
  <c r="AF202"/>
  <c r="AG202"/>
  <c r="AH202"/>
  <c r="AI202"/>
  <c r="AJ202"/>
  <c r="AK202"/>
  <c r="AL202"/>
  <c r="AM202"/>
  <c r="AN202"/>
  <c r="AO202"/>
  <c r="AP202"/>
  <c r="AQ202"/>
  <c r="AR202"/>
  <c r="AS202"/>
  <c r="AT202"/>
  <c r="AU202"/>
  <c r="AV202"/>
  <c r="AW202"/>
  <c r="AX202"/>
  <c r="AY202"/>
  <c r="AZ202"/>
  <c r="BA202"/>
  <c r="BB202"/>
  <c r="BC202"/>
  <c r="BD202"/>
  <c r="BE202"/>
  <c r="BF202"/>
  <c r="BG202"/>
  <c r="BH202"/>
  <c r="BI202"/>
  <c r="BJ202"/>
  <c r="BK202"/>
  <c r="BL202"/>
  <c r="BM202"/>
  <c r="BN202"/>
  <c r="BO202"/>
  <c r="BP202"/>
  <c r="BQ202"/>
  <c r="BR202"/>
  <c r="BS202"/>
  <c r="BT202"/>
  <c r="BU202"/>
  <c r="BV202"/>
  <c r="BW202"/>
  <c r="BX202"/>
  <c r="BY202"/>
  <c r="BZ202"/>
  <c r="CA202"/>
  <c r="CB202"/>
  <c r="CC202"/>
  <c r="CD202"/>
  <c r="CE202"/>
  <c r="CF202"/>
  <c r="CG202"/>
  <c r="CH202"/>
  <c r="CI202"/>
  <c r="CJ202"/>
  <c r="CK202"/>
  <c r="CL202"/>
  <c r="CM202"/>
  <c r="CN202"/>
  <c r="CO202"/>
  <c r="CP202"/>
  <c r="CQ202"/>
  <c r="CR202"/>
  <c r="CS202"/>
  <c r="CT202"/>
  <c r="CU202"/>
  <c r="CV202"/>
  <c r="CW202"/>
  <c r="CX202"/>
  <c r="CY202"/>
  <c r="CZ202"/>
  <c r="DA202"/>
  <c r="DB202"/>
  <c r="DC202"/>
  <c r="DD202"/>
  <c r="DE202"/>
  <c r="DF202"/>
  <c r="DG202"/>
  <c r="DH202"/>
  <c r="DI202"/>
  <c r="DJ202"/>
  <c r="DK202"/>
  <c r="DL202"/>
  <c r="DM202"/>
  <c r="DN202"/>
  <c r="DO202"/>
  <c r="DP202"/>
  <c r="DQ202"/>
  <c r="DR202"/>
  <c r="DS202"/>
  <c r="DT202"/>
  <c r="DU202"/>
  <c r="DV202"/>
  <c r="DW202"/>
  <c r="DX202"/>
  <c r="DY202"/>
  <c r="DZ202"/>
  <c r="EA202"/>
  <c r="EB202"/>
  <c r="EC202"/>
  <c r="ED202"/>
  <c r="EE202"/>
  <c r="EF202"/>
  <c r="EG202"/>
  <c r="EH202"/>
  <c r="EI202"/>
  <c r="EJ202"/>
  <c r="EK202"/>
  <c r="EL202"/>
  <c r="EM202"/>
  <c r="EN202"/>
  <c r="EO202"/>
  <c r="EP202"/>
  <c r="EQ202"/>
  <c r="ER202"/>
  <c r="ES202"/>
  <c r="ET202"/>
  <c r="EU202"/>
  <c r="EV202"/>
  <c r="EW202"/>
  <c r="EX202"/>
  <c r="EY202"/>
  <c r="EZ202"/>
  <c r="FA202"/>
  <c r="FB202"/>
  <c r="FC202"/>
  <c r="FD202"/>
  <c r="FE202"/>
  <c r="FF202"/>
  <c r="FG202"/>
  <c r="FH202"/>
  <c r="FI202"/>
  <c r="FJ202"/>
  <c r="FK202"/>
  <c r="FL202"/>
  <c r="FM202"/>
  <c r="FN202"/>
  <c r="FO202"/>
  <c r="FP202"/>
  <c r="FQ202"/>
  <c r="FR202"/>
  <c r="FS202"/>
  <c r="FT202"/>
  <c r="FU202"/>
  <c r="FV202"/>
  <c r="FW202"/>
  <c r="FX202"/>
  <c r="FY202"/>
  <c r="FZ202"/>
  <c r="GA202"/>
  <c r="GB202"/>
  <c r="GC202"/>
  <c r="GD202"/>
  <c r="GE202"/>
  <c r="GF202"/>
  <c r="GG202"/>
  <c r="GH202"/>
  <c r="GI202"/>
  <c r="GJ202"/>
  <c r="GK202"/>
  <c r="GL202"/>
  <c r="GM202"/>
  <c r="GN202"/>
  <c r="GO202"/>
  <c r="GP202"/>
  <c r="GQ202"/>
  <c r="GR202"/>
  <c r="GS202"/>
  <c r="GT202"/>
  <c r="GU202"/>
  <c r="GV202"/>
  <c r="GW202"/>
  <c r="GX202"/>
  <c r="GY202"/>
  <c r="GZ202"/>
  <c r="HA202"/>
  <c r="HB202"/>
  <c r="HC202"/>
  <c r="HD202"/>
  <c r="HE202"/>
  <c r="HF202"/>
  <c r="HG202"/>
  <c r="HH202"/>
  <c r="HI202"/>
  <c r="HJ202"/>
  <c r="HK202"/>
  <c r="HL202"/>
  <c r="HM202"/>
  <c r="HN202"/>
  <c r="HO202"/>
  <c r="HP202"/>
  <c r="HQ202"/>
  <c r="HR202"/>
  <c r="HS202"/>
  <c r="HT202"/>
  <c r="HU202"/>
  <c r="HV202"/>
  <c r="HW202"/>
  <c r="HX202"/>
  <c r="HY202"/>
  <c r="HZ202"/>
  <c r="IA202"/>
  <c r="IB202"/>
  <c r="IC202"/>
  <c r="ID202"/>
  <c r="IE202"/>
  <c r="IF202"/>
  <c r="IG202"/>
  <c r="IH202"/>
  <c r="II202"/>
  <c r="IJ202"/>
  <c r="IK202"/>
  <c r="IL202"/>
  <c r="IM202"/>
  <c r="IN202"/>
  <c r="IO202"/>
  <c r="IP202"/>
  <c r="IQ202"/>
  <c r="IR202"/>
  <c r="IS202"/>
  <c r="IT202"/>
  <c r="IU202"/>
  <c r="IV202"/>
  <c r="A201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Y201"/>
  <c r="AZ201"/>
  <c r="BA201"/>
  <c r="BB201"/>
  <c r="BC201"/>
  <c r="BD201"/>
  <c r="BE201"/>
  <c r="BF201"/>
  <c r="BG201"/>
  <c r="BH201"/>
  <c r="BI201"/>
  <c r="BJ201"/>
  <c r="BK201"/>
  <c r="BL201"/>
  <c r="BM201"/>
  <c r="BN201"/>
  <c r="BO201"/>
  <c r="BP201"/>
  <c r="BQ201"/>
  <c r="BR201"/>
  <c r="BS201"/>
  <c r="BT201"/>
  <c r="BU201"/>
  <c r="BV201"/>
  <c r="BW201"/>
  <c r="BX201"/>
  <c r="BY201"/>
  <c r="BZ201"/>
  <c r="CA201"/>
  <c r="CB201"/>
  <c r="CC201"/>
  <c r="CD201"/>
  <c r="CE201"/>
  <c r="CF201"/>
  <c r="CG201"/>
  <c r="CH201"/>
  <c r="CI201"/>
  <c r="CJ201"/>
  <c r="CK201"/>
  <c r="CL201"/>
  <c r="CM201"/>
  <c r="CN201"/>
  <c r="CO201"/>
  <c r="CP201"/>
  <c r="CQ201"/>
  <c r="CR201"/>
  <c r="CS201"/>
  <c r="CT201"/>
  <c r="CU201"/>
  <c r="CV201"/>
  <c r="CW201"/>
  <c r="CX201"/>
  <c r="CY201"/>
  <c r="CZ201"/>
  <c r="DA201"/>
  <c r="DB201"/>
  <c r="DC201"/>
  <c r="DD201"/>
  <c r="DE201"/>
  <c r="DF201"/>
  <c r="DG201"/>
  <c r="DH201"/>
  <c r="DI201"/>
  <c r="DJ201"/>
  <c r="DK201"/>
  <c r="DL201"/>
  <c r="DM201"/>
  <c r="DN201"/>
  <c r="DO201"/>
  <c r="DP201"/>
  <c r="DQ201"/>
  <c r="DR201"/>
  <c r="DS201"/>
  <c r="DT201"/>
  <c r="DU201"/>
  <c r="DV201"/>
  <c r="DW201"/>
  <c r="DX201"/>
  <c r="DY201"/>
  <c r="DZ201"/>
  <c r="EA201"/>
  <c r="EB201"/>
  <c r="EC201"/>
  <c r="ED201"/>
  <c r="EE201"/>
  <c r="EF201"/>
  <c r="EG201"/>
  <c r="EH201"/>
  <c r="EI201"/>
  <c r="EJ201"/>
  <c r="EK201"/>
  <c r="EL201"/>
  <c r="EM201"/>
  <c r="EN201"/>
  <c r="EO201"/>
  <c r="EP201"/>
  <c r="EQ201"/>
  <c r="ER201"/>
  <c r="ES201"/>
  <c r="ET201"/>
  <c r="EU201"/>
  <c r="EV201"/>
  <c r="EW201"/>
  <c r="EX201"/>
  <c r="EY201"/>
  <c r="EZ201"/>
  <c r="FA201"/>
  <c r="FB201"/>
  <c r="FC201"/>
  <c r="FD201"/>
  <c r="FE201"/>
  <c r="FF201"/>
  <c r="FG201"/>
  <c r="FH201"/>
  <c r="FI201"/>
  <c r="FJ201"/>
  <c r="FK201"/>
  <c r="FL201"/>
  <c r="FM201"/>
  <c r="FN201"/>
  <c r="FO201"/>
  <c r="FP201"/>
  <c r="FQ201"/>
  <c r="FR201"/>
  <c r="FS201"/>
  <c r="FT201"/>
  <c r="FU201"/>
  <c r="FV201"/>
  <c r="FW201"/>
  <c r="FX201"/>
  <c r="FY201"/>
  <c r="FZ201"/>
  <c r="GA201"/>
  <c r="GB201"/>
  <c r="GC201"/>
  <c r="GD201"/>
  <c r="GE201"/>
  <c r="GF201"/>
  <c r="GG201"/>
  <c r="GH201"/>
  <c r="GI201"/>
  <c r="GJ201"/>
  <c r="GK201"/>
  <c r="GL201"/>
  <c r="GM201"/>
  <c r="GN201"/>
  <c r="GO201"/>
  <c r="GP201"/>
  <c r="GQ201"/>
  <c r="GR201"/>
  <c r="GS201"/>
  <c r="GT201"/>
  <c r="GU201"/>
  <c r="GV201"/>
  <c r="GW201"/>
  <c r="GX201"/>
  <c r="GY201"/>
  <c r="GZ201"/>
  <c r="HA201"/>
  <c r="HB201"/>
  <c r="HC201"/>
  <c r="HD201"/>
  <c r="HE201"/>
  <c r="HF201"/>
  <c r="HG201"/>
  <c r="HH201"/>
  <c r="HI201"/>
  <c r="HJ201"/>
  <c r="HK201"/>
  <c r="HL201"/>
  <c r="HM201"/>
  <c r="HN201"/>
  <c r="HO201"/>
  <c r="HP201"/>
  <c r="HQ201"/>
  <c r="HR201"/>
  <c r="HS201"/>
  <c r="HT201"/>
  <c r="HU201"/>
  <c r="HV201"/>
  <c r="HW201"/>
  <c r="HX201"/>
  <c r="HY201"/>
  <c r="HZ201"/>
  <c r="IA201"/>
  <c r="IB201"/>
  <c r="IC201"/>
  <c r="ID201"/>
  <c r="IE201"/>
  <c r="IF201"/>
  <c r="IG201"/>
  <c r="IH201"/>
  <c r="II201"/>
  <c r="IJ201"/>
  <c r="IK201"/>
  <c r="IL201"/>
  <c r="IM201"/>
  <c r="IN201"/>
  <c r="IO201"/>
  <c r="IP201"/>
  <c r="IQ201"/>
  <c r="IR201"/>
  <c r="IS201"/>
  <c r="IT201"/>
  <c r="IU201"/>
  <c r="IV201"/>
  <c r="A200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AE200"/>
  <c r="AF200"/>
  <c r="AG200"/>
  <c r="AH200"/>
  <c r="AI200"/>
  <c r="AJ200"/>
  <c r="AK200"/>
  <c r="AL200"/>
  <c r="AM200"/>
  <c r="AN200"/>
  <c r="AO200"/>
  <c r="AP200"/>
  <c r="AQ200"/>
  <c r="AR200"/>
  <c r="AS200"/>
  <c r="AT200"/>
  <c r="AU200"/>
  <c r="AV200"/>
  <c r="AW200"/>
  <c r="AX200"/>
  <c r="AY200"/>
  <c r="AZ200"/>
  <c r="BA200"/>
  <c r="BB200"/>
  <c r="BC200"/>
  <c r="BD200"/>
  <c r="BE200"/>
  <c r="BF200"/>
  <c r="BG200"/>
  <c r="BH200"/>
  <c r="BI200"/>
  <c r="BJ200"/>
  <c r="BK200"/>
  <c r="BL200"/>
  <c r="BM200"/>
  <c r="BN200"/>
  <c r="BO200"/>
  <c r="BP200"/>
  <c r="BQ200"/>
  <c r="BR200"/>
  <c r="BS200"/>
  <c r="BT200"/>
  <c r="BU200"/>
  <c r="BV200"/>
  <c r="BW200"/>
  <c r="BX200"/>
  <c r="BY200"/>
  <c r="BZ200"/>
  <c r="CA200"/>
  <c r="CB200"/>
  <c r="CC200"/>
  <c r="CD200"/>
  <c r="CE200"/>
  <c r="CF200"/>
  <c r="CG200"/>
  <c r="CH200"/>
  <c r="CI200"/>
  <c r="CJ200"/>
  <c r="CK200"/>
  <c r="CL200"/>
  <c r="CM200"/>
  <c r="CN200"/>
  <c r="CO200"/>
  <c r="CP200"/>
  <c r="CQ200"/>
  <c r="CR200"/>
  <c r="CS200"/>
  <c r="CT200"/>
  <c r="CU200"/>
  <c r="CV200"/>
  <c r="CW200"/>
  <c r="CX200"/>
  <c r="CY200"/>
  <c r="CZ200"/>
  <c r="DA200"/>
  <c r="DB200"/>
  <c r="DC200"/>
  <c r="DD200"/>
  <c r="DE200"/>
  <c r="DF200"/>
  <c r="DG200"/>
  <c r="DH200"/>
  <c r="DI200"/>
  <c r="DJ200"/>
  <c r="DK200"/>
  <c r="DL200"/>
  <c r="DM200"/>
  <c r="DN200"/>
  <c r="DO200"/>
  <c r="DP200"/>
  <c r="DQ200"/>
  <c r="DR200"/>
  <c r="DS200"/>
  <c r="DT200"/>
  <c r="DU200"/>
  <c r="DV200"/>
  <c r="DW200"/>
  <c r="DX200"/>
  <c r="DY200"/>
  <c r="DZ200"/>
  <c r="EA200"/>
  <c r="EB200"/>
  <c r="EC200"/>
  <c r="ED200"/>
  <c r="EE200"/>
  <c r="EF200"/>
  <c r="EG200"/>
  <c r="EH200"/>
  <c r="EI200"/>
  <c r="EJ200"/>
  <c r="EK200"/>
  <c r="EL200"/>
  <c r="EM200"/>
  <c r="EN200"/>
  <c r="EO200"/>
  <c r="EP200"/>
  <c r="EQ200"/>
  <c r="ER200"/>
  <c r="ES200"/>
  <c r="ET200"/>
  <c r="EU200"/>
  <c r="EV200"/>
  <c r="EW200"/>
  <c r="EX200"/>
  <c r="EY200"/>
  <c r="EZ200"/>
  <c r="FA200"/>
  <c r="FB200"/>
  <c r="FC200"/>
  <c r="FD200"/>
  <c r="FE200"/>
  <c r="FF200"/>
  <c r="FG200"/>
  <c r="FH200"/>
  <c r="FI200"/>
  <c r="FJ200"/>
  <c r="FK200"/>
  <c r="FL200"/>
  <c r="FM200"/>
  <c r="FN200"/>
  <c r="FO200"/>
  <c r="FP200"/>
  <c r="FQ200"/>
  <c r="FR200"/>
  <c r="FS200"/>
  <c r="FT200"/>
  <c r="FU200"/>
  <c r="FV200"/>
  <c r="FW200"/>
  <c r="FX200"/>
  <c r="FY200"/>
  <c r="FZ200"/>
  <c r="GA200"/>
  <c r="GB200"/>
  <c r="GC200"/>
  <c r="GD200"/>
  <c r="GE200"/>
  <c r="GF200"/>
  <c r="GG200"/>
  <c r="GH200"/>
  <c r="GI200"/>
  <c r="GJ200"/>
  <c r="GK200"/>
  <c r="GL200"/>
  <c r="GM200"/>
  <c r="GN200"/>
  <c r="GO200"/>
  <c r="GP200"/>
  <c r="GQ200"/>
  <c r="GR200"/>
  <c r="GS200"/>
  <c r="GT200"/>
  <c r="GU200"/>
  <c r="GV200"/>
  <c r="GW200"/>
  <c r="GX200"/>
  <c r="GY200"/>
  <c r="GZ200"/>
  <c r="HA200"/>
  <c r="HB200"/>
  <c r="HC200"/>
  <c r="HD200"/>
  <c r="HE200"/>
  <c r="HF200"/>
  <c r="HG200"/>
  <c r="HH200"/>
  <c r="HI200"/>
  <c r="HJ200"/>
  <c r="HK200"/>
  <c r="HL200"/>
  <c r="HM200"/>
  <c r="HN200"/>
  <c r="HO200"/>
  <c r="HP200"/>
  <c r="HQ200"/>
  <c r="HR200"/>
  <c r="HS200"/>
  <c r="HT200"/>
  <c r="HU200"/>
  <c r="HV200"/>
  <c r="HW200"/>
  <c r="HX200"/>
  <c r="HY200"/>
  <c r="HZ200"/>
  <c r="IA200"/>
  <c r="IB200"/>
  <c r="IC200"/>
  <c r="ID200"/>
  <c r="IE200"/>
  <c r="IF200"/>
  <c r="IG200"/>
  <c r="IH200"/>
  <c r="II200"/>
  <c r="IJ200"/>
  <c r="IK200"/>
  <c r="IL200"/>
  <c r="IM200"/>
  <c r="IN200"/>
  <c r="IO200"/>
  <c r="IP200"/>
  <c r="IQ200"/>
  <c r="IR200"/>
  <c r="IS200"/>
  <c r="IT200"/>
  <c r="IU200"/>
  <c r="IV200"/>
  <c r="A199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AV199"/>
  <c r="AW199"/>
  <c r="AX199"/>
  <c r="AY199"/>
  <c r="AZ199"/>
  <c r="BA199"/>
  <c r="BB199"/>
  <c r="BC199"/>
  <c r="BD199"/>
  <c r="BE199"/>
  <c r="BF199"/>
  <c r="BG199"/>
  <c r="BH199"/>
  <c r="BI199"/>
  <c r="BJ199"/>
  <c r="BK199"/>
  <c r="BL199"/>
  <c r="BM199"/>
  <c r="BN199"/>
  <c r="BO199"/>
  <c r="BP199"/>
  <c r="BQ199"/>
  <c r="BR199"/>
  <c r="BS199"/>
  <c r="BT199"/>
  <c r="BU199"/>
  <c r="BV199"/>
  <c r="BW199"/>
  <c r="BX199"/>
  <c r="BY199"/>
  <c r="BZ199"/>
  <c r="CA199"/>
  <c r="CB199"/>
  <c r="CC199"/>
  <c r="CD199"/>
  <c r="CE199"/>
  <c r="CF199"/>
  <c r="CG199"/>
  <c r="CH199"/>
  <c r="CI199"/>
  <c r="CJ199"/>
  <c r="CK199"/>
  <c r="CL199"/>
  <c r="CM199"/>
  <c r="CN199"/>
  <c r="CO199"/>
  <c r="CP199"/>
  <c r="CQ199"/>
  <c r="CR199"/>
  <c r="CS199"/>
  <c r="CT199"/>
  <c r="CU199"/>
  <c r="CV199"/>
  <c r="CW199"/>
  <c r="CX199"/>
  <c r="CY199"/>
  <c r="CZ199"/>
  <c r="DA199"/>
  <c r="DB199"/>
  <c r="DC199"/>
  <c r="DD199"/>
  <c r="DE199"/>
  <c r="DF199"/>
  <c r="DG199"/>
  <c r="DH199"/>
  <c r="DI199"/>
  <c r="DJ199"/>
  <c r="DK199"/>
  <c r="DL199"/>
  <c r="DM199"/>
  <c r="DN199"/>
  <c r="DO199"/>
  <c r="DP199"/>
  <c r="DQ199"/>
  <c r="DR199"/>
  <c r="DS199"/>
  <c r="DT199"/>
  <c r="DU199"/>
  <c r="DV199"/>
  <c r="DW199"/>
  <c r="DX199"/>
  <c r="DY199"/>
  <c r="DZ199"/>
  <c r="EA199"/>
  <c r="EB199"/>
  <c r="EC199"/>
  <c r="ED199"/>
  <c r="EE199"/>
  <c r="EF199"/>
  <c r="EG199"/>
  <c r="EH199"/>
  <c r="EI199"/>
  <c r="EJ199"/>
  <c r="EK199"/>
  <c r="EL199"/>
  <c r="EM199"/>
  <c r="EN199"/>
  <c r="EO199"/>
  <c r="EP199"/>
  <c r="EQ199"/>
  <c r="ER199"/>
  <c r="ES199"/>
  <c r="ET199"/>
  <c r="EU199"/>
  <c r="EV199"/>
  <c r="EW199"/>
  <c r="EX199"/>
  <c r="EY199"/>
  <c r="EZ199"/>
  <c r="FA199"/>
  <c r="FB199"/>
  <c r="FC199"/>
  <c r="FD199"/>
  <c r="FE199"/>
  <c r="FF199"/>
  <c r="FG199"/>
  <c r="FH199"/>
  <c r="FI199"/>
  <c r="FJ199"/>
  <c r="FK199"/>
  <c r="FL199"/>
  <c r="FM199"/>
  <c r="FN199"/>
  <c r="FO199"/>
  <c r="FP199"/>
  <c r="FQ199"/>
  <c r="FR199"/>
  <c r="FS199"/>
  <c r="FT199"/>
  <c r="FU199"/>
  <c r="FV199"/>
  <c r="FW199"/>
  <c r="FX199"/>
  <c r="FY199"/>
  <c r="FZ199"/>
  <c r="GA199"/>
  <c r="GB199"/>
  <c r="GC199"/>
  <c r="GD199"/>
  <c r="GE199"/>
  <c r="GF199"/>
  <c r="GG199"/>
  <c r="GH199"/>
  <c r="GI199"/>
  <c r="GJ199"/>
  <c r="GK199"/>
  <c r="GL199"/>
  <c r="GM199"/>
  <c r="GN199"/>
  <c r="GO199"/>
  <c r="GP199"/>
  <c r="GQ199"/>
  <c r="GR199"/>
  <c r="GS199"/>
  <c r="GT199"/>
  <c r="GU199"/>
  <c r="GV199"/>
  <c r="GW199"/>
  <c r="GX199"/>
  <c r="GY199"/>
  <c r="GZ199"/>
  <c r="HA199"/>
  <c r="HB199"/>
  <c r="HC199"/>
  <c r="HD199"/>
  <c r="HE199"/>
  <c r="HF199"/>
  <c r="HG199"/>
  <c r="HH199"/>
  <c r="HI199"/>
  <c r="HJ199"/>
  <c r="HK199"/>
  <c r="HL199"/>
  <c r="HM199"/>
  <c r="HN199"/>
  <c r="HO199"/>
  <c r="HP199"/>
  <c r="HQ199"/>
  <c r="HR199"/>
  <c r="HS199"/>
  <c r="HT199"/>
  <c r="HU199"/>
  <c r="HV199"/>
  <c r="HW199"/>
  <c r="HX199"/>
  <c r="HY199"/>
  <c r="HZ199"/>
  <c r="IA199"/>
  <c r="IB199"/>
  <c r="IC199"/>
  <c r="ID199"/>
  <c r="IE199"/>
  <c r="IF199"/>
  <c r="IG199"/>
  <c r="IH199"/>
  <c r="II199"/>
  <c r="IJ199"/>
  <c r="IK199"/>
  <c r="IL199"/>
  <c r="IM199"/>
  <c r="IN199"/>
  <c r="IO199"/>
  <c r="IP199"/>
  <c r="IQ199"/>
  <c r="IR199"/>
  <c r="IS199"/>
  <c r="IT199"/>
  <c r="IU199"/>
  <c r="IV199"/>
  <c r="A198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Y198"/>
  <c r="AZ198"/>
  <c r="BA198"/>
  <c r="BB198"/>
  <c r="BC198"/>
  <c r="BD198"/>
  <c r="BE198"/>
  <c r="BF198"/>
  <c r="BG198"/>
  <c r="BH198"/>
  <c r="BI198"/>
  <c r="BJ198"/>
  <c r="BK198"/>
  <c r="BL198"/>
  <c r="BM198"/>
  <c r="BN198"/>
  <c r="BO198"/>
  <c r="BP198"/>
  <c r="BQ198"/>
  <c r="BR198"/>
  <c r="BS198"/>
  <c r="BT198"/>
  <c r="BU198"/>
  <c r="BV198"/>
  <c r="BW198"/>
  <c r="BX198"/>
  <c r="BY198"/>
  <c r="BZ198"/>
  <c r="CA198"/>
  <c r="CB198"/>
  <c r="CC198"/>
  <c r="CD198"/>
  <c r="CE198"/>
  <c r="CF198"/>
  <c r="CG198"/>
  <c r="CH198"/>
  <c r="CI198"/>
  <c r="CJ198"/>
  <c r="CK198"/>
  <c r="CL198"/>
  <c r="CM198"/>
  <c r="CN198"/>
  <c r="CO198"/>
  <c r="CP198"/>
  <c r="CQ198"/>
  <c r="CR198"/>
  <c r="CS198"/>
  <c r="CT198"/>
  <c r="CU198"/>
  <c r="CV198"/>
  <c r="CW198"/>
  <c r="CX198"/>
  <c r="CY198"/>
  <c r="CZ198"/>
  <c r="DA198"/>
  <c r="DB198"/>
  <c r="DC198"/>
  <c r="DD198"/>
  <c r="DE198"/>
  <c r="DF198"/>
  <c r="DG198"/>
  <c r="DH198"/>
  <c r="DI198"/>
  <c r="DJ198"/>
  <c r="DK198"/>
  <c r="DL198"/>
  <c r="DM198"/>
  <c r="DN198"/>
  <c r="DO198"/>
  <c r="DP198"/>
  <c r="DQ198"/>
  <c r="DR198"/>
  <c r="DS198"/>
  <c r="DT198"/>
  <c r="DU198"/>
  <c r="DV198"/>
  <c r="DW198"/>
  <c r="DX198"/>
  <c r="DY198"/>
  <c r="DZ198"/>
  <c r="EA198"/>
  <c r="EB198"/>
  <c r="EC198"/>
  <c r="ED198"/>
  <c r="EE198"/>
  <c r="EF198"/>
  <c r="EG198"/>
  <c r="EH198"/>
  <c r="EI198"/>
  <c r="EJ198"/>
  <c r="EK198"/>
  <c r="EL198"/>
  <c r="EM198"/>
  <c r="EN198"/>
  <c r="EO198"/>
  <c r="EP198"/>
  <c r="EQ198"/>
  <c r="ER198"/>
  <c r="ES198"/>
  <c r="ET198"/>
  <c r="EU198"/>
  <c r="EV198"/>
  <c r="EW198"/>
  <c r="EX198"/>
  <c r="EY198"/>
  <c r="EZ198"/>
  <c r="FA198"/>
  <c r="FB198"/>
  <c r="FC198"/>
  <c r="FD198"/>
  <c r="FE198"/>
  <c r="FF198"/>
  <c r="FG198"/>
  <c r="FH198"/>
  <c r="FI198"/>
  <c r="FJ198"/>
  <c r="FK198"/>
  <c r="FL198"/>
  <c r="FM198"/>
  <c r="FN198"/>
  <c r="FO198"/>
  <c r="FP198"/>
  <c r="FQ198"/>
  <c r="FR198"/>
  <c r="FS198"/>
  <c r="FT198"/>
  <c r="FU198"/>
  <c r="FV198"/>
  <c r="FW198"/>
  <c r="FX198"/>
  <c r="FY198"/>
  <c r="FZ198"/>
  <c r="GA198"/>
  <c r="GB198"/>
  <c r="GC198"/>
  <c r="GD198"/>
  <c r="GE198"/>
  <c r="GF198"/>
  <c r="GG198"/>
  <c r="GH198"/>
  <c r="GI198"/>
  <c r="GJ198"/>
  <c r="GK198"/>
  <c r="GL198"/>
  <c r="GM198"/>
  <c r="GN198"/>
  <c r="GO198"/>
  <c r="GP198"/>
  <c r="GQ198"/>
  <c r="GR198"/>
  <c r="GS198"/>
  <c r="GT198"/>
  <c r="GU198"/>
  <c r="GV198"/>
  <c r="GW198"/>
  <c r="GX198"/>
  <c r="GY198"/>
  <c r="GZ198"/>
  <c r="HA198"/>
  <c r="HB198"/>
  <c r="HC198"/>
  <c r="HD198"/>
  <c r="HE198"/>
  <c r="HF198"/>
  <c r="HG198"/>
  <c r="HH198"/>
  <c r="HI198"/>
  <c r="HJ198"/>
  <c r="HK198"/>
  <c r="HL198"/>
  <c r="HM198"/>
  <c r="HN198"/>
  <c r="HO198"/>
  <c r="HP198"/>
  <c r="HQ198"/>
  <c r="HR198"/>
  <c r="HS198"/>
  <c r="HT198"/>
  <c r="HU198"/>
  <c r="HV198"/>
  <c r="HW198"/>
  <c r="HX198"/>
  <c r="HY198"/>
  <c r="HZ198"/>
  <c r="IA198"/>
  <c r="IB198"/>
  <c r="IC198"/>
  <c r="ID198"/>
  <c r="IE198"/>
  <c r="IF198"/>
  <c r="IG198"/>
  <c r="IH198"/>
  <c r="II198"/>
  <c r="IJ198"/>
  <c r="IK198"/>
  <c r="IL198"/>
  <c r="IM198"/>
  <c r="IN198"/>
  <c r="IO198"/>
  <c r="IP198"/>
  <c r="IQ198"/>
  <c r="IR198"/>
  <c r="IS198"/>
  <c r="IT198"/>
  <c r="IU198"/>
  <c r="IV198"/>
  <c r="A197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AT197"/>
  <c r="AU197"/>
  <c r="AV197"/>
  <c r="AW197"/>
  <c r="AX197"/>
  <c r="AY197"/>
  <c r="AZ197"/>
  <c r="BA197"/>
  <c r="BB197"/>
  <c r="BC197"/>
  <c r="BD197"/>
  <c r="BE197"/>
  <c r="BF197"/>
  <c r="BG197"/>
  <c r="BH197"/>
  <c r="BI197"/>
  <c r="BJ197"/>
  <c r="BK197"/>
  <c r="BL197"/>
  <c r="BM197"/>
  <c r="BN197"/>
  <c r="BO197"/>
  <c r="BP197"/>
  <c r="BQ197"/>
  <c r="BR197"/>
  <c r="BS197"/>
  <c r="BT197"/>
  <c r="BU197"/>
  <c r="BV197"/>
  <c r="BW197"/>
  <c r="BX197"/>
  <c r="BY197"/>
  <c r="BZ197"/>
  <c r="CA197"/>
  <c r="CB197"/>
  <c r="CC197"/>
  <c r="CD197"/>
  <c r="CE197"/>
  <c r="CF197"/>
  <c r="CG197"/>
  <c r="CH197"/>
  <c r="CI197"/>
  <c r="CJ197"/>
  <c r="CK197"/>
  <c r="CL197"/>
  <c r="CM197"/>
  <c r="CN197"/>
  <c r="CO197"/>
  <c r="CP197"/>
  <c r="CQ197"/>
  <c r="CR197"/>
  <c r="CS197"/>
  <c r="CT197"/>
  <c r="CU197"/>
  <c r="CV197"/>
  <c r="CW197"/>
  <c r="CX197"/>
  <c r="CY197"/>
  <c r="CZ197"/>
  <c r="DA197"/>
  <c r="DB197"/>
  <c r="DC197"/>
  <c r="DD197"/>
  <c r="DE197"/>
  <c r="DF197"/>
  <c r="DG197"/>
  <c r="DH197"/>
  <c r="DI197"/>
  <c r="DJ197"/>
  <c r="DK197"/>
  <c r="DL197"/>
  <c r="DM197"/>
  <c r="DN197"/>
  <c r="DO197"/>
  <c r="DP197"/>
  <c r="DQ197"/>
  <c r="DR197"/>
  <c r="DS197"/>
  <c r="DT197"/>
  <c r="DU197"/>
  <c r="DV197"/>
  <c r="DW197"/>
  <c r="DX197"/>
  <c r="DY197"/>
  <c r="DZ197"/>
  <c r="EA197"/>
  <c r="EB197"/>
  <c r="EC197"/>
  <c r="ED197"/>
  <c r="EE197"/>
  <c r="EF197"/>
  <c r="EG197"/>
  <c r="EH197"/>
  <c r="EI197"/>
  <c r="EJ197"/>
  <c r="EK197"/>
  <c r="EL197"/>
  <c r="EM197"/>
  <c r="EN197"/>
  <c r="EO197"/>
  <c r="EP197"/>
  <c r="EQ197"/>
  <c r="ER197"/>
  <c r="ES197"/>
  <c r="ET197"/>
  <c r="EU197"/>
  <c r="EV197"/>
  <c r="EW197"/>
  <c r="EX197"/>
  <c r="EY197"/>
  <c r="EZ197"/>
  <c r="FA197"/>
  <c r="FB197"/>
  <c r="FC197"/>
  <c r="FD197"/>
  <c r="FE197"/>
  <c r="FF197"/>
  <c r="FG197"/>
  <c r="FH197"/>
  <c r="FI197"/>
  <c r="FJ197"/>
  <c r="FK197"/>
  <c r="FL197"/>
  <c r="FM197"/>
  <c r="FN197"/>
  <c r="FO197"/>
  <c r="FP197"/>
  <c r="FQ197"/>
  <c r="FR197"/>
  <c r="FS197"/>
  <c r="FT197"/>
  <c r="FU197"/>
  <c r="FV197"/>
  <c r="FW197"/>
  <c r="FX197"/>
  <c r="FY197"/>
  <c r="FZ197"/>
  <c r="GA197"/>
  <c r="GB197"/>
  <c r="GC197"/>
  <c r="GD197"/>
  <c r="GE197"/>
  <c r="GF197"/>
  <c r="GG197"/>
  <c r="GH197"/>
  <c r="GI197"/>
  <c r="GJ197"/>
  <c r="GK197"/>
  <c r="GL197"/>
  <c r="GM197"/>
  <c r="GN197"/>
  <c r="GO197"/>
  <c r="GP197"/>
  <c r="GQ197"/>
  <c r="GR197"/>
  <c r="GS197"/>
  <c r="GT197"/>
  <c r="GU197"/>
  <c r="GV197"/>
  <c r="GW197"/>
  <c r="GX197"/>
  <c r="GY197"/>
  <c r="GZ197"/>
  <c r="HA197"/>
  <c r="HB197"/>
  <c r="HC197"/>
  <c r="HD197"/>
  <c r="HE197"/>
  <c r="HF197"/>
  <c r="HG197"/>
  <c r="HH197"/>
  <c r="HI197"/>
  <c r="HJ197"/>
  <c r="HK197"/>
  <c r="HL197"/>
  <c r="HM197"/>
  <c r="HN197"/>
  <c r="HO197"/>
  <c r="HP197"/>
  <c r="HQ197"/>
  <c r="HR197"/>
  <c r="HS197"/>
  <c r="HT197"/>
  <c r="HU197"/>
  <c r="HV197"/>
  <c r="HW197"/>
  <c r="HX197"/>
  <c r="HY197"/>
  <c r="HZ197"/>
  <c r="IA197"/>
  <c r="IB197"/>
  <c r="IC197"/>
  <c r="ID197"/>
  <c r="IE197"/>
  <c r="IF197"/>
  <c r="IG197"/>
  <c r="IH197"/>
  <c r="II197"/>
  <c r="IJ197"/>
  <c r="IK197"/>
  <c r="IL197"/>
  <c r="IM197"/>
  <c r="IN197"/>
  <c r="IO197"/>
  <c r="IP197"/>
  <c r="IQ197"/>
  <c r="IR197"/>
  <c r="IS197"/>
  <c r="IT197"/>
  <c r="IU197"/>
  <c r="IV197"/>
  <c r="A196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AE196"/>
  <c r="AF196"/>
  <c r="AG196"/>
  <c r="AH196"/>
  <c r="AI196"/>
  <c r="AJ196"/>
  <c r="AK196"/>
  <c r="AL196"/>
  <c r="AM196"/>
  <c r="AN196"/>
  <c r="AO196"/>
  <c r="AP196"/>
  <c r="AQ196"/>
  <c r="AR196"/>
  <c r="AS196"/>
  <c r="AT196"/>
  <c r="AU196"/>
  <c r="AV196"/>
  <c r="AW196"/>
  <c r="AX196"/>
  <c r="AY196"/>
  <c r="AZ196"/>
  <c r="BA196"/>
  <c r="BB196"/>
  <c r="BC196"/>
  <c r="BD196"/>
  <c r="BE196"/>
  <c r="BF196"/>
  <c r="BG196"/>
  <c r="BH196"/>
  <c r="BI196"/>
  <c r="BJ196"/>
  <c r="BK196"/>
  <c r="BL196"/>
  <c r="BM196"/>
  <c r="BN196"/>
  <c r="BO196"/>
  <c r="BP196"/>
  <c r="BQ196"/>
  <c r="BR196"/>
  <c r="BS196"/>
  <c r="BT196"/>
  <c r="BU196"/>
  <c r="BV196"/>
  <c r="BW196"/>
  <c r="BX196"/>
  <c r="BY196"/>
  <c r="BZ196"/>
  <c r="CA196"/>
  <c r="CB196"/>
  <c r="CC196"/>
  <c r="CD196"/>
  <c r="CE196"/>
  <c r="CF196"/>
  <c r="CG196"/>
  <c r="CH196"/>
  <c r="CI196"/>
  <c r="CJ196"/>
  <c r="CK196"/>
  <c r="CL196"/>
  <c r="CM196"/>
  <c r="CN196"/>
  <c r="CO196"/>
  <c r="CP196"/>
  <c r="CQ196"/>
  <c r="CR196"/>
  <c r="CS196"/>
  <c r="CT196"/>
  <c r="CU196"/>
  <c r="CV196"/>
  <c r="CW196"/>
  <c r="CX196"/>
  <c r="CY196"/>
  <c r="CZ196"/>
  <c r="DA196"/>
  <c r="DB196"/>
  <c r="DC196"/>
  <c r="DD196"/>
  <c r="DE196"/>
  <c r="DF196"/>
  <c r="DG196"/>
  <c r="DH196"/>
  <c r="DI196"/>
  <c r="DJ196"/>
  <c r="DK196"/>
  <c r="DL196"/>
  <c r="DM196"/>
  <c r="DN196"/>
  <c r="DO196"/>
  <c r="DP196"/>
  <c r="DQ196"/>
  <c r="DR196"/>
  <c r="DS196"/>
  <c r="DT196"/>
  <c r="DU196"/>
  <c r="DV196"/>
  <c r="DW196"/>
  <c r="DX196"/>
  <c r="DY196"/>
  <c r="DZ196"/>
  <c r="EA196"/>
  <c r="EB196"/>
  <c r="EC196"/>
  <c r="ED196"/>
  <c r="EE196"/>
  <c r="EF196"/>
  <c r="EG196"/>
  <c r="EH196"/>
  <c r="EI196"/>
  <c r="EJ196"/>
  <c r="EK196"/>
  <c r="EL196"/>
  <c r="EM196"/>
  <c r="EN196"/>
  <c r="EO196"/>
  <c r="EP196"/>
  <c r="EQ196"/>
  <c r="ER196"/>
  <c r="ES196"/>
  <c r="ET196"/>
  <c r="EU196"/>
  <c r="EV196"/>
  <c r="EW196"/>
  <c r="EX196"/>
  <c r="EY196"/>
  <c r="EZ196"/>
  <c r="FA196"/>
  <c r="FB196"/>
  <c r="FC196"/>
  <c r="FD196"/>
  <c r="FE196"/>
  <c r="FF196"/>
  <c r="FG196"/>
  <c r="FH196"/>
  <c r="FI196"/>
  <c r="FJ196"/>
  <c r="FK196"/>
  <c r="FL196"/>
  <c r="FM196"/>
  <c r="FN196"/>
  <c r="FO196"/>
  <c r="FP196"/>
  <c r="FQ196"/>
  <c r="FR196"/>
  <c r="FS196"/>
  <c r="FT196"/>
  <c r="FU196"/>
  <c r="FV196"/>
  <c r="FW196"/>
  <c r="FX196"/>
  <c r="FY196"/>
  <c r="FZ196"/>
  <c r="GA196"/>
  <c r="GB196"/>
  <c r="GC196"/>
  <c r="GD196"/>
  <c r="GE196"/>
  <c r="GF196"/>
  <c r="GG196"/>
  <c r="GH196"/>
  <c r="GI196"/>
  <c r="GJ196"/>
  <c r="GK196"/>
  <c r="GL196"/>
  <c r="GM196"/>
  <c r="GN196"/>
  <c r="GO196"/>
  <c r="GP196"/>
  <c r="GQ196"/>
  <c r="GR196"/>
  <c r="GS196"/>
  <c r="GT196"/>
  <c r="GU196"/>
  <c r="GV196"/>
  <c r="GW196"/>
  <c r="GX196"/>
  <c r="GY196"/>
  <c r="GZ196"/>
  <c r="HA196"/>
  <c r="HB196"/>
  <c r="HC196"/>
  <c r="HD196"/>
  <c r="HE196"/>
  <c r="HF196"/>
  <c r="HG196"/>
  <c r="HH196"/>
  <c r="HI196"/>
  <c r="HJ196"/>
  <c r="HK196"/>
  <c r="HL196"/>
  <c r="HM196"/>
  <c r="HN196"/>
  <c r="HO196"/>
  <c r="HP196"/>
  <c r="HQ196"/>
  <c r="HR196"/>
  <c r="HS196"/>
  <c r="HT196"/>
  <c r="HU196"/>
  <c r="HV196"/>
  <c r="HW196"/>
  <c r="HX196"/>
  <c r="HY196"/>
  <c r="HZ196"/>
  <c r="IA196"/>
  <c r="IB196"/>
  <c r="IC196"/>
  <c r="ID196"/>
  <c r="IE196"/>
  <c r="IF196"/>
  <c r="IG196"/>
  <c r="IH196"/>
  <c r="II196"/>
  <c r="IJ196"/>
  <c r="IK196"/>
  <c r="IL196"/>
  <c r="IM196"/>
  <c r="IN196"/>
  <c r="IO196"/>
  <c r="IP196"/>
  <c r="IQ196"/>
  <c r="IR196"/>
  <c r="IS196"/>
  <c r="IT196"/>
  <c r="IU196"/>
  <c r="IV196"/>
  <c r="A195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AT195"/>
  <c r="AU195"/>
  <c r="AV195"/>
  <c r="AW195"/>
  <c r="AX195"/>
  <c r="AY195"/>
  <c r="AZ195"/>
  <c r="BA195"/>
  <c r="BB195"/>
  <c r="BC195"/>
  <c r="BD195"/>
  <c r="BE195"/>
  <c r="BF195"/>
  <c r="BG195"/>
  <c r="BH195"/>
  <c r="BI195"/>
  <c r="BJ195"/>
  <c r="BK195"/>
  <c r="BL195"/>
  <c r="BM195"/>
  <c r="BN195"/>
  <c r="BO195"/>
  <c r="BP195"/>
  <c r="BQ195"/>
  <c r="BR195"/>
  <c r="BS195"/>
  <c r="BT195"/>
  <c r="BU195"/>
  <c r="BV195"/>
  <c r="BW195"/>
  <c r="BX195"/>
  <c r="BY195"/>
  <c r="BZ195"/>
  <c r="CA195"/>
  <c r="CB195"/>
  <c r="CC195"/>
  <c r="CD195"/>
  <c r="CE195"/>
  <c r="CF195"/>
  <c r="CG195"/>
  <c r="CH195"/>
  <c r="CI195"/>
  <c r="CJ195"/>
  <c r="CK195"/>
  <c r="CL195"/>
  <c r="CM195"/>
  <c r="CN195"/>
  <c r="CO195"/>
  <c r="CP195"/>
  <c r="CQ195"/>
  <c r="CR195"/>
  <c r="CS195"/>
  <c r="CT195"/>
  <c r="CU195"/>
  <c r="CV195"/>
  <c r="CW195"/>
  <c r="CX195"/>
  <c r="CY195"/>
  <c r="CZ195"/>
  <c r="DA195"/>
  <c r="DB195"/>
  <c r="DC195"/>
  <c r="DD195"/>
  <c r="DE195"/>
  <c r="DF195"/>
  <c r="DG195"/>
  <c r="DH195"/>
  <c r="DI195"/>
  <c r="DJ195"/>
  <c r="DK195"/>
  <c r="DL195"/>
  <c r="DM195"/>
  <c r="DN195"/>
  <c r="DO195"/>
  <c r="DP195"/>
  <c r="DQ195"/>
  <c r="DR195"/>
  <c r="DS195"/>
  <c r="DT195"/>
  <c r="DU195"/>
  <c r="DV195"/>
  <c r="DW195"/>
  <c r="DX195"/>
  <c r="DY195"/>
  <c r="DZ195"/>
  <c r="EA195"/>
  <c r="EB195"/>
  <c r="EC195"/>
  <c r="ED195"/>
  <c r="EE195"/>
  <c r="EF195"/>
  <c r="EG195"/>
  <c r="EH195"/>
  <c r="EI195"/>
  <c r="EJ195"/>
  <c r="EK195"/>
  <c r="EL195"/>
  <c r="EM195"/>
  <c r="EN195"/>
  <c r="EO195"/>
  <c r="EP195"/>
  <c r="EQ195"/>
  <c r="ER195"/>
  <c r="ES195"/>
  <c r="ET195"/>
  <c r="EU195"/>
  <c r="EV195"/>
  <c r="EW195"/>
  <c r="EX195"/>
  <c r="EY195"/>
  <c r="EZ195"/>
  <c r="FA195"/>
  <c r="FB195"/>
  <c r="FC195"/>
  <c r="FD195"/>
  <c r="FE195"/>
  <c r="FF195"/>
  <c r="FG195"/>
  <c r="FH195"/>
  <c r="FI195"/>
  <c r="FJ195"/>
  <c r="FK195"/>
  <c r="FL195"/>
  <c r="FM195"/>
  <c r="FN195"/>
  <c r="FO195"/>
  <c r="FP195"/>
  <c r="FQ195"/>
  <c r="FR195"/>
  <c r="FS195"/>
  <c r="FT195"/>
  <c r="FU195"/>
  <c r="FV195"/>
  <c r="FW195"/>
  <c r="FX195"/>
  <c r="FY195"/>
  <c r="FZ195"/>
  <c r="GA195"/>
  <c r="GB195"/>
  <c r="GC195"/>
  <c r="GD195"/>
  <c r="GE195"/>
  <c r="GF195"/>
  <c r="GG195"/>
  <c r="GH195"/>
  <c r="GI195"/>
  <c r="GJ195"/>
  <c r="GK195"/>
  <c r="GL195"/>
  <c r="GM195"/>
  <c r="GN195"/>
  <c r="GO195"/>
  <c r="GP195"/>
  <c r="GQ195"/>
  <c r="GR195"/>
  <c r="GS195"/>
  <c r="GT195"/>
  <c r="GU195"/>
  <c r="GV195"/>
  <c r="GW195"/>
  <c r="GX195"/>
  <c r="GY195"/>
  <c r="GZ195"/>
  <c r="HA195"/>
  <c r="HB195"/>
  <c r="HC195"/>
  <c r="HD195"/>
  <c r="HE195"/>
  <c r="HF195"/>
  <c r="HG195"/>
  <c r="HH195"/>
  <c r="HI195"/>
  <c r="HJ195"/>
  <c r="HK195"/>
  <c r="HL195"/>
  <c r="HM195"/>
  <c r="HN195"/>
  <c r="HO195"/>
  <c r="HP195"/>
  <c r="HQ195"/>
  <c r="HR195"/>
  <c r="HS195"/>
  <c r="HT195"/>
  <c r="HU195"/>
  <c r="HV195"/>
  <c r="HW195"/>
  <c r="HX195"/>
  <c r="HY195"/>
  <c r="HZ195"/>
  <c r="IA195"/>
  <c r="IB195"/>
  <c r="IC195"/>
  <c r="ID195"/>
  <c r="IE195"/>
  <c r="IF195"/>
  <c r="IG195"/>
  <c r="IH195"/>
  <c r="II195"/>
  <c r="IJ195"/>
  <c r="IK195"/>
  <c r="IL195"/>
  <c r="IM195"/>
  <c r="IN195"/>
  <c r="IO195"/>
  <c r="IP195"/>
  <c r="IQ195"/>
  <c r="IR195"/>
  <c r="IS195"/>
  <c r="IT195"/>
  <c r="IU195"/>
  <c r="IV195"/>
  <c r="A194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AE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Y194"/>
  <c r="AZ194"/>
  <c r="BA194"/>
  <c r="BB194"/>
  <c r="BC194"/>
  <c r="BD194"/>
  <c r="BE194"/>
  <c r="BF194"/>
  <c r="BG194"/>
  <c r="BH194"/>
  <c r="BI194"/>
  <c r="BJ194"/>
  <c r="BK194"/>
  <c r="BL194"/>
  <c r="BM194"/>
  <c r="BN194"/>
  <c r="BO194"/>
  <c r="BP194"/>
  <c r="BQ194"/>
  <c r="BR194"/>
  <c r="BS194"/>
  <c r="BT194"/>
  <c r="BU194"/>
  <c r="BV194"/>
  <c r="BW194"/>
  <c r="BX194"/>
  <c r="BY194"/>
  <c r="BZ194"/>
  <c r="CA194"/>
  <c r="CB194"/>
  <c r="CC194"/>
  <c r="CD194"/>
  <c r="CE194"/>
  <c r="CF194"/>
  <c r="CG194"/>
  <c r="CH194"/>
  <c r="CI194"/>
  <c r="CJ194"/>
  <c r="CK194"/>
  <c r="CL194"/>
  <c r="CM194"/>
  <c r="CN194"/>
  <c r="CO194"/>
  <c r="CP194"/>
  <c r="CQ194"/>
  <c r="CR194"/>
  <c r="CS194"/>
  <c r="CT194"/>
  <c r="CU194"/>
  <c r="CV194"/>
  <c r="CW194"/>
  <c r="CX194"/>
  <c r="CY194"/>
  <c r="CZ194"/>
  <c r="DA194"/>
  <c r="DB194"/>
  <c r="DC194"/>
  <c r="DD194"/>
  <c r="DE194"/>
  <c r="DF194"/>
  <c r="DG194"/>
  <c r="DH194"/>
  <c r="DI194"/>
  <c r="DJ194"/>
  <c r="DK194"/>
  <c r="DL194"/>
  <c r="DM194"/>
  <c r="DN194"/>
  <c r="DO194"/>
  <c r="DP194"/>
  <c r="DQ194"/>
  <c r="DR194"/>
  <c r="DS194"/>
  <c r="DT194"/>
  <c r="DU194"/>
  <c r="DV194"/>
  <c r="DW194"/>
  <c r="DX194"/>
  <c r="DY194"/>
  <c r="DZ194"/>
  <c r="EA194"/>
  <c r="EB194"/>
  <c r="EC194"/>
  <c r="ED194"/>
  <c r="EE194"/>
  <c r="EF194"/>
  <c r="EG194"/>
  <c r="EH194"/>
  <c r="EI194"/>
  <c r="EJ194"/>
  <c r="EK194"/>
  <c r="EL194"/>
  <c r="EM194"/>
  <c r="EN194"/>
  <c r="EO194"/>
  <c r="EP194"/>
  <c r="EQ194"/>
  <c r="ER194"/>
  <c r="ES194"/>
  <c r="ET194"/>
  <c r="EU194"/>
  <c r="EV194"/>
  <c r="EW194"/>
  <c r="EX194"/>
  <c r="EY194"/>
  <c r="EZ194"/>
  <c r="FA194"/>
  <c r="FB194"/>
  <c r="FC194"/>
  <c r="FD194"/>
  <c r="FE194"/>
  <c r="FF194"/>
  <c r="FG194"/>
  <c r="FH194"/>
  <c r="FI194"/>
  <c r="FJ194"/>
  <c r="FK194"/>
  <c r="FL194"/>
  <c r="FM194"/>
  <c r="FN194"/>
  <c r="FO194"/>
  <c r="FP194"/>
  <c r="FQ194"/>
  <c r="FR194"/>
  <c r="FS194"/>
  <c r="FT194"/>
  <c r="FU194"/>
  <c r="FV194"/>
  <c r="FW194"/>
  <c r="FX194"/>
  <c r="FY194"/>
  <c r="FZ194"/>
  <c r="GA194"/>
  <c r="GB194"/>
  <c r="GC194"/>
  <c r="GD194"/>
  <c r="GE194"/>
  <c r="GF194"/>
  <c r="GG194"/>
  <c r="GH194"/>
  <c r="GI194"/>
  <c r="GJ194"/>
  <c r="GK194"/>
  <c r="GL194"/>
  <c r="GM194"/>
  <c r="GN194"/>
  <c r="GO194"/>
  <c r="GP194"/>
  <c r="GQ194"/>
  <c r="GR194"/>
  <c r="GS194"/>
  <c r="GT194"/>
  <c r="GU194"/>
  <c r="GV194"/>
  <c r="GW194"/>
  <c r="GX194"/>
  <c r="GY194"/>
  <c r="GZ194"/>
  <c r="HA194"/>
  <c r="HB194"/>
  <c r="HC194"/>
  <c r="HD194"/>
  <c r="HE194"/>
  <c r="HF194"/>
  <c r="HG194"/>
  <c r="HH194"/>
  <c r="HI194"/>
  <c r="HJ194"/>
  <c r="HK194"/>
  <c r="HL194"/>
  <c r="HM194"/>
  <c r="HN194"/>
  <c r="HO194"/>
  <c r="HP194"/>
  <c r="HQ194"/>
  <c r="HR194"/>
  <c r="HS194"/>
  <c r="HT194"/>
  <c r="HU194"/>
  <c r="HV194"/>
  <c r="HW194"/>
  <c r="HX194"/>
  <c r="HY194"/>
  <c r="HZ194"/>
  <c r="IA194"/>
  <c r="IB194"/>
  <c r="IC194"/>
  <c r="ID194"/>
  <c r="IE194"/>
  <c r="IF194"/>
  <c r="IG194"/>
  <c r="IH194"/>
  <c r="II194"/>
  <c r="IJ194"/>
  <c r="IK194"/>
  <c r="IL194"/>
  <c r="IM194"/>
  <c r="IN194"/>
  <c r="IO194"/>
  <c r="IP194"/>
  <c r="IQ194"/>
  <c r="IR194"/>
  <c r="IS194"/>
  <c r="IT194"/>
  <c r="IU194"/>
  <c r="IV194"/>
  <c r="A193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Y193"/>
  <c r="AZ193"/>
  <c r="BA193"/>
  <c r="BB193"/>
  <c r="BC193"/>
  <c r="BD193"/>
  <c r="BE193"/>
  <c r="BF193"/>
  <c r="BG193"/>
  <c r="BH193"/>
  <c r="BI193"/>
  <c r="BJ193"/>
  <c r="BK193"/>
  <c r="BL193"/>
  <c r="BM193"/>
  <c r="BN193"/>
  <c r="BO193"/>
  <c r="BP193"/>
  <c r="BQ193"/>
  <c r="BR193"/>
  <c r="BS193"/>
  <c r="BT193"/>
  <c r="BU193"/>
  <c r="BV193"/>
  <c r="BW193"/>
  <c r="BX193"/>
  <c r="BY193"/>
  <c r="BZ193"/>
  <c r="CA193"/>
  <c r="CB193"/>
  <c r="CC193"/>
  <c r="CD193"/>
  <c r="CE193"/>
  <c r="CF193"/>
  <c r="CG193"/>
  <c r="CH193"/>
  <c r="CI193"/>
  <c r="CJ193"/>
  <c r="CK193"/>
  <c r="CL193"/>
  <c r="CM193"/>
  <c r="CN193"/>
  <c r="CO193"/>
  <c r="CP193"/>
  <c r="CQ193"/>
  <c r="CR193"/>
  <c r="CS193"/>
  <c r="CT193"/>
  <c r="CU193"/>
  <c r="CV193"/>
  <c r="CW193"/>
  <c r="CX193"/>
  <c r="CY193"/>
  <c r="CZ193"/>
  <c r="DA193"/>
  <c r="DB193"/>
  <c r="DC193"/>
  <c r="DD193"/>
  <c r="DE193"/>
  <c r="DF193"/>
  <c r="DG193"/>
  <c r="DH193"/>
  <c r="DI193"/>
  <c r="DJ193"/>
  <c r="DK193"/>
  <c r="DL193"/>
  <c r="DM193"/>
  <c r="DN193"/>
  <c r="DO193"/>
  <c r="DP193"/>
  <c r="DQ193"/>
  <c r="DR193"/>
  <c r="DS193"/>
  <c r="DT193"/>
  <c r="DU193"/>
  <c r="DV193"/>
  <c r="DW193"/>
  <c r="DX193"/>
  <c r="DY193"/>
  <c r="DZ193"/>
  <c r="EA193"/>
  <c r="EB193"/>
  <c r="EC193"/>
  <c r="ED193"/>
  <c r="EE193"/>
  <c r="EF193"/>
  <c r="EG193"/>
  <c r="EH193"/>
  <c r="EI193"/>
  <c r="EJ193"/>
  <c r="EK193"/>
  <c r="EL193"/>
  <c r="EM193"/>
  <c r="EN193"/>
  <c r="EO193"/>
  <c r="EP193"/>
  <c r="EQ193"/>
  <c r="ER193"/>
  <c r="ES193"/>
  <c r="ET193"/>
  <c r="EU193"/>
  <c r="EV193"/>
  <c r="EW193"/>
  <c r="EX193"/>
  <c r="EY193"/>
  <c r="EZ193"/>
  <c r="FA193"/>
  <c r="FB193"/>
  <c r="FC193"/>
  <c r="FD193"/>
  <c r="FE193"/>
  <c r="FF193"/>
  <c r="FG193"/>
  <c r="FH193"/>
  <c r="FI193"/>
  <c r="FJ193"/>
  <c r="FK193"/>
  <c r="FL193"/>
  <c r="FM193"/>
  <c r="FN193"/>
  <c r="FO193"/>
  <c r="FP193"/>
  <c r="FQ193"/>
  <c r="FR193"/>
  <c r="FS193"/>
  <c r="FT193"/>
  <c r="FU193"/>
  <c r="FV193"/>
  <c r="FW193"/>
  <c r="FX193"/>
  <c r="FY193"/>
  <c r="FZ193"/>
  <c r="GA193"/>
  <c r="GB193"/>
  <c r="GC193"/>
  <c r="GD193"/>
  <c r="GE193"/>
  <c r="GF193"/>
  <c r="GG193"/>
  <c r="GH193"/>
  <c r="GI193"/>
  <c r="GJ193"/>
  <c r="GK193"/>
  <c r="GL193"/>
  <c r="GM193"/>
  <c r="GN193"/>
  <c r="GO193"/>
  <c r="GP193"/>
  <c r="GQ193"/>
  <c r="GR193"/>
  <c r="GS193"/>
  <c r="GT193"/>
  <c r="GU193"/>
  <c r="GV193"/>
  <c r="GW193"/>
  <c r="GX193"/>
  <c r="GY193"/>
  <c r="GZ193"/>
  <c r="HA193"/>
  <c r="HB193"/>
  <c r="HC193"/>
  <c r="HD193"/>
  <c r="HE193"/>
  <c r="HF193"/>
  <c r="HG193"/>
  <c r="HH193"/>
  <c r="HI193"/>
  <c r="HJ193"/>
  <c r="HK193"/>
  <c r="HL193"/>
  <c r="HM193"/>
  <c r="HN193"/>
  <c r="HO193"/>
  <c r="HP193"/>
  <c r="HQ193"/>
  <c r="HR193"/>
  <c r="HS193"/>
  <c r="HT193"/>
  <c r="HU193"/>
  <c r="HV193"/>
  <c r="HW193"/>
  <c r="HX193"/>
  <c r="HY193"/>
  <c r="HZ193"/>
  <c r="IA193"/>
  <c r="IB193"/>
  <c r="IC193"/>
  <c r="ID193"/>
  <c r="IE193"/>
  <c r="IF193"/>
  <c r="IG193"/>
  <c r="IH193"/>
  <c r="II193"/>
  <c r="IJ193"/>
  <c r="IK193"/>
  <c r="IL193"/>
  <c r="IM193"/>
  <c r="IN193"/>
  <c r="IO193"/>
  <c r="IP193"/>
  <c r="IQ193"/>
  <c r="IR193"/>
  <c r="IS193"/>
  <c r="IT193"/>
  <c r="IU193"/>
  <c r="IV193"/>
  <c r="A192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Y192"/>
  <c r="AZ192"/>
  <c r="BA192"/>
  <c r="BB192"/>
  <c r="BC192"/>
  <c r="BD192"/>
  <c r="BE192"/>
  <c r="BF192"/>
  <c r="BG192"/>
  <c r="BH192"/>
  <c r="BI192"/>
  <c r="BJ192"/>
  <c r="BK192"/>
  <c r="BL192"/>
  <c r="BM192"/>
  <c r="BN192"/>
  <c r="BO192"/>
  <c r="BP192"/>
  <c r="BQ192"/>
  <c r="BR192"/>
  <c r="BS192"/>
  <c r="BT192"/>
  <c r="BU192"/>
  <c r="BV192"/>
  <c r="BW192"/>
  <c r="BX192"/>
  <c r="BY192"/>
  <c r="BZ192"/>
  <c r="CA192"/>
  <c r="CB192"/>
  <c r="CC192"/>
  <c r="CD192"/>
  <c r="CE192"/>
  <c r="CF192"/>
  <c r="CG192"/>
  <c r="CH192"/>
  <c r="CI192"/>
  <c r="CJ192"/>
  <c r="CK192"/>
  <c r="CL192"/>
  <c r="CM192"/>
  <c r="CN192"/>
  <c r="CO192"/>
  <c r="CP192"/>
  <c r="CQ192"/>
  <c r="CR192"/>
  <c r="CS192"/>
  <c r="CT192"/>
  <c r="CU192"/>
  <c r="CV192"/>
  <c r="CW192"/>
  <c r="CX192"/>
  <c r="CY192"/>
  <c r="CZ192"/>
  <c r="DA192"/>
  <c r="DB192"/>
  <c r="DC192"/>
  <c r="DD192"/>
  <c r="DE192"/>
  <c r="DF192"/>
  <c r="DG192"/>
  <c r="DH192"/>
  <c r="DI192"/>
  <c r="DJ192"/>
  <c r="DK192"/>
  <c r="DL192"/>
  <c r="DM192"/>
  <c r="DN192"/>
  <c r="DO192"/>
  <c r="DP192"/>
  <c r="DQ192"/>
  <c r="DR192"/>
  <c r="DS192"/>
  <c r="DT192"/>
  <c r="DU192"/>
  <c r="DV192"/>
  <c r="DW192"/>
  <c r="DX192"/>
  <c r="DY192"/>
  <c r="DZ192"/>
  <c r="EA192"/>
  <c r="EB192"/>
  <c r="EC192"/>
  <c r="ED192"/>
  <c r="EE192"/>
  <c r="EF192"/>
  <c r="EG192"/>
  <c r="EH192"/>
  <c r="EI192"/>
  <c r="EJ192"/>
  <c r="EK192"/>
  <c r="EL192"/>
  <c r="EM192"/>
  <c r="EN192"/>
  <c r="EO192"/>
  <c r="EP192"/>
  <c r="EQ192"/>
  <c r="ER192"/>
  <c r="ES192"/>
  <c r="ET192"/>
  <c r="EU192"/>
  <c r="EV192"/>
  <c r="EW192"/>
  <c r="EX192"/>
  <c r="EY192"/>
  <c r="EZ192"/>
  <c r="FA192"/>
  <c r="FB192"/>
  <c r="FC192"/>
  <c r="FD192"/>
  <c r="FE192"/>
  <c r="FF192"/>
  <c r="FG192"/>
  <c r="FH192"/>
  <c r="FI192"/>
  <c r="FJ192"/>
  <c r="FK192"/>
  <c r="FL192"/>
  <c r="FM192"/>
  <c r="FN192"/>
  <c r="FO192"/>
  <c r="FP192"/>
  <c r="FQ192"/>
  <c r="FR192"/>
  <c r="FS192"/>
  <c r="FT192"/>
  <c r="FU192"/>
  <c r="FV192"/>
  <c r="FW192"/>
  <c r="FX192"/>
  <c r="FY192"/>
  <c r="FZ192"/>
  <c r="GA192"/>
  <c r="GB192"/>
  <c r="GC192"/>
  <c r="GD192"/>
  <c r="GE192"/>
  <c r="GF192"/>
  <c r="GG192"/>
  <c r="GH192"/>
  <c r="GI192"/>
  <c r="GJ192"/>
  <c r="GK192"/>
  <c r="GL192"/>
  <c r="GM192"/>
  <c r="GN192"/>
  <c r="GO192"/>
  <c r="GP192"/>
  <c r="GQ192"/>
  <c r="GR192"/>
  <c r="GS192"/>
  <c r="GT192"/>
  <c r="GU192"/>
  <c r="GV192"/>
  <c r="GW192"/>
  <c r="GX192"/>
  <c r="GY192"/>
  <c r="GZ192"/>
  <c r="HA192"/>
  <c r="HB192"/>
  <c r="HC192"/>
  <c r="HD192"/>
  <c r="HE192"/>
  <c r="HF192"/>
  <c r="HG192"/>
  <c r="HH192"/>
  <c r="HI192"/>
  <c r="HJ192"/>
  <c r="HK192"/>
  <c r="HL192"/>
  <c r="HM192"/>
  <c r="HN192"/>
  <c r="HO192"/>
  <c r="HP192"/>
  <c r="HQ192"/>
  <c r="HR192"/>
  <c r="HS192"/>
  <c r="HT192"/>
  <c r="HU192"/>
  <c r="HV192"/>
  <c r="HW192"/>
  <c r="HX192"/>
  <c r="HY192"/>
  <c r="HZ192"/>
  <c r="IA192"/>
  <c r="IB192"/>
  <c r="IC192"/>
  <c r="ID192"/>
  <c r="IE192"/>
  <c r="IF192"/>
  <c r="IG192"/>
  <c r="IH192"/>
  <c r="II192"/>
  <c r="IJ192"/>
  <c r="IK192"/>
  <c r="IL192"/>
  <c r="IM192"/>
  <c r="IN192"/>
  <c r="IO192"/>
  <c r="IP192"/>
  <c r="IQ192"/>
  <c r="IR192"/>
  <c r="IS192"/>
  <c r="IT192"/>
  <c r="IU192"/>
  <c r="IV192"/>
  <c r="A191"/>
  <c r="B191"/>
  <c r="C191"/>
  <c r="D191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Y191"/>
  <c r="AZ191"/>
  <c r="BA191"/>
  <c r="BB191"/>
  <c r="BC191"/>
  <c r="BD191"/>
  <c r="BE191"/>
  <c r="BF191"/>
  <c r="BG191"/>
  <c r="BH191"/>
  <c r="BI191"/>
  <c r="BJ191"/>
  <c r="BK191"/>
  <c r="BL191"/>
  <c r="BM191"/>
  <c r="BN191"/>
  <c r="BO191"/>
  <c r="BP191"/>
  <c r="BQ191"/>
  <c r="BR191"/>
  <c r="BS191"/>
  <c r="BT191"/>
  <c r="BU191"/>
  <c r="BV191"/>
  <c r="BW191"/>
  <c r="BX191"/>
  <c r="BY191"/>
  <c r="BZ191"/>
  <c r="CA191"/>
  <c r="CB191"/>
  <c r="CC191"/>
  <c r="CD191"/>
  <c r="CE191"/>
  <c r="CF191"/>
  <c r="CG191"/>
  <c r="CH191"/>
  <c r="CI191"/>
  <c r="CJ191"/>
  <c r="CK191"/>
  <c r="CL191"/>
  <c r="CM191"/>
  <c r="CN191"/>
  <c r="CO191"/>
  <c r="CP191"/>
  <c r="CQ191"/>
  <c r="CR191"/>
  <c r="CS191"/>
  <c r="CT191"/>
  <c r="CU191"/>
  <c r="CV191"/>
  <c r="CW191"/>
  <c r="CX191"/>
  <c r="CY191"/>
  <c r="CZ191"/>
  <c r="DA191"/>
  <c r="DB191"/>
  <c r="DC191"/>
  <c r="DD191"/>
  <c r="DE191"/>
  <c r="DF191"/>
  <c r="DG191"/>
  <c r="DH191"/>
  <c r="DI191"/>
  <c r="DJ191"/>
  <c r="DK191"/>
  <c r="DL191"/>
  <c r="DM191"/>
  <c r="DN191"/>
  <c r="DO191"/>
  <c r="DP191"/>
  <c r="DQ191"/>
  <c r="DR191"/>
  <c r="DS191"/>
  <c r="DT191"/>
  <c r="DU191"/>
  <c r="DV191"/>
  <c r="DW191"/>
  <c r="DX191"/>
  <c r="DY191"/>
  <c r="DZ191"/>
  <c r="EA191"/>
  <c r="EB191"/>
  <c r="EC191"/>
  <c r="ED191"/>
  <c r="EE191"/>
  <c r="EF191"/>
  <c r="EG191"/>
  <c r="EH191"/>
  <c r="EI191"/>
  <c r="EJ191"/>
  <c r="EK191"/>
  <c r="EL191"/>
  <c r="EM191"/>
  <c r="EN191"/>
  <c r="EO191"/>
  <c r="EP191"/>
  <c r="EQ191"/>
  <c r="ER191"/>
  <c r="ES191"/>
  <c r="ET191"/>
  <c r="EU191"/>
  <c r="EV191"/>
  <c r="EW191"/>
  <c r="EX191"/>
  <c r="EY191"/>
  <c r="EZ191"/>
  <c r="FA191"/>
  <c r="FB191"/>
  <c r="FC191"/>
  <c r="FD191"/>
  <c r="FE191"/>
  <c r="FF191"/>
  <c r="FG191"/>
  <c r="FH191"/>
  <c r="FI191"/>
  <c r="FJ191"/>
  <c r="FK191"/>
  <c r="FL191"/>
  <c r="FM191"/>
  <c r="FN191"/>
  <c r="FO191"/>
  <c r="FP191"/>
  <c r="FQ191"/>
  <c r="FR191"/>
  <c r="FS191"/>
  <c r="FT191"/>
  <c r="FU191"/>
  <c r="FV191"/>
  <c r="FW191"/>
  <c r="FX191"/>
  <c r="FY191"/>
  <c r="FZ191"/>
  <c r="GA191"/>
  <c r="GB191"/>
  <c r="GC191"/>
  <c r="GD191"/>
  <c r="GE191"/>
  <c r="GF191"/>
  <c r="GG191"/>
  <c r="GH191"/>
  <c r="GI191"/>
  <c r="GJ191"/>
  <c r="GK191"/>
  <c r="GL191"/>
  <c r="GM191"/>
  <c r="GN191"/>
  <c r="GO191"/>
  <c r="GP191"/>
  <c r="GQ191"/>
  <c r="GR191"/>
  <c r="GS191"/>
  <c r="GT191"/>
  <c r="GU191"/>
  <c r="GV191"/>
  <c r="GW191"/>
  <c r="GX191"/>
  <c r="GY191"/>
  <c r="GZ191"/>
  <c r="HA191"/>
  <c r="HB191"/>
  <c r="HC191"/>
  <c r="HD191"/>
  <c r="HE191"/>
  <c r="HF191"/>
  <c r="HG191"/>
  <c r="HH191"/>
  <c r="HI191"/>
  <c r="HJ191"/>
  <c r="HK191"/>
  <c r="HL191"/>
  <c r="HM191"/>
  <c r="HN191"/>
  <c r="HO191"/>
  <c r="HP191"/>
  <c r="HQ191"/>
  <c r="HR191"/>
  <c r="HS191"/>
  <c r="HT191"/>
  <c r="HU191"/>
  <c r="HV191"/>
  <c r="HW191"/>
  <c r="HX191"/>
  <c r="HY191"/>
  <c r="HZ191"/>
  <c r="IA191"/>
  <c r="IB191"/>
  <c r="IC191"/>
  <c r="ID191"/>
  <c r="IE191"/>
  <c r="IF191"/>
  <c r="IG191"/>
  <c r="IH191"/>
  <c r="II191"/>
  <c r="IJ191"/>
  <c r="IK191"/>
  <c r="IL191"/>
  <c r="IM191"/>
  <c r="IN191"/>
  <c r="IO191"/>
  <c r="IP191"/>
  <c r="IQ191"/>
  <c r="IR191"/>
  <c r="IS191"/>
  <c r="IT191"/>
  <c r="IU191"/>
  <c r="IV191"/>
  <c r="A190"/>
  <c r="B190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AY190"/>
  <c r="AZ190"/>
  <c r="BA190"/>
  <c r="BB190"/>
  <c r="BC190"/>
  <c r="BD190"/>
  <c r="BE190"/>
  <c r="BF190"/>
  <c r="BG190"/>
  <c r="BH190"/>
  <c r="BI190"/>
  <c r="BJ190"/>
  <c r="BK190"/>
  <c r="BL190"/>
  <c r="BM190"/>
  <c r="BN190"/>
  <c r="BO190"/>
  <c r="BP190"/>
  <c r="BQ190"/>
  <c r="BR190"/>
  <c r="BS190"/>
  <c r="BT190"/>
  <c r="BU190"/>
  <c r="BV190"/>
  <c r="BW190"/>
  <c r="BX190"/>
  <c r="BY190"/>
  <c r="BZ190"/>
  <c r="CA190"/>
  <c r="CB190"/>
  <c r="CC190"/>
  <c r="CD190"/>
  <c r="CE190"/>
  <c r="CF190"/>
  <c r="CG190"/>
  <c r="CH190"/>
  <c r="CI190"/>
  <c r="CJ190"/>
  <c r="CK190"/>
  <c r="CL190"/>
  <c r="CM190"/>
  <c r="CN190"/>
  <c r="CO190"/>
  <c r="CP190"/>
  <c r="CQ190"/>
  <c r="CR190"/>
  <c r="CS190"/>
  <c r="CT190"/>
  <c r="CU190"/>
  <c r="CV190"/>
  <c r="CW190"/>
  <c r="CX190"/>
  <c r="CY190"/>
  <c r="CZ190"/>
  <c r="DA190"/>
  <c r="DB190"/>
  <c r="DC190"/>
  <c r="DD190"/>
  <c r="DE190"/>
  <c r="DF190"/>
  <c r="DG190"/>
  <c r="DH190"/>
  <c r="DI190"/>
  <c r="DJ190"/>
  <c r="DK190"/>
  <c r="DL190"/>
  <c r="DM190"/>
  <c r="DN190"/>
  <c r="DO190"/>
  <c r="DP190"/>
  <c r="DQ190"/>
  <c r="DR190"/>
  <c r="DS190"/>
  <c r="DT190"/>
  <c r="DU190"/>
  <c r="DV190"/>
  <c r="DW190"/>
  <c r="DX190"/>
  <c r="DY190"/>
  <c r="DZ190"/>
  <c r="EA190"/>
  <c r="EB190"/>
  <c r="EC190"/>
  <c r="ED190"/>
  <c r="EE190"/>
  <c r="EF190"/>
  <c r="EG190"/>
  <c r="EH190"/>
  <c r="EI190"/>
  <c r="EJ190"/>
  <c r="EK190"/>
  <c r="EL190"/>
  <c r="EM190"/>
  <c r="EN190"/>
  <c r="EO190"/>
  <c r="EP190"/>
  <c r="EQ190"/>
  <c r="ER190"/>
  <c r="ES190"/>
  <c r="ET190"/>
  <c r="EU190"/>
  <c r="EV190"/>
  <c r="EW190"/>
  <c r="EX190"/>
  <c r="EY190"/>
  <c r="EZ190"/>
  <c r="FA190"/>
  <c r="FB190"/>
  <c r="FC190"/>
  <c r="FD190"/>
  <c r="FE190"/>
  <c r="FF190"/>
  <c r="FG190"/>
  <c r="FH190"/>
  <c r="FI190"/>
  <c r="FJ190"/>
  <c r="FK190"/>
  <c r="FL190"/>
  <c r="FM190"/>
  <c r="FN190"/>
  <c r="FO190"/>
  <c r="FP190"/>
  <c r="FQ190"/>
  <c r="FR190"/>
  <c r="FS190"/>
  <c r="FT190"/>
  <c r="FU190"/>
  <c r="FV190"/>
  <c r="FW190"/>
  <c r="FX190"/>
  <c r="FY190"/>
  <c r="FZ190"/>
  <c r="GA190"/>
  <c r="GB190"/>
  <c r="GC190"/>
  <c r="GD190"/>
  <c r="GE190"/>
  <c r="GF190"/>
  <c r="GG190"/>
  <c r="GH190"/>
  <c r="GI190"/>
  <c r="GJ190"/>
  <c r="GK190"/>
  <c r="GL190"/>
  <c r="GM190"/>
  <c r="GN190"/>
  <c r="GO190"/>
  <c r="GP190"/>
  <c r="GQ190"/>
  <c r="GR190"/>
  <c r="GS190"/>
  <c r="GT190"/>
  <c r="GU190"/>
  <c r="GV190"/>
  <c r="GW190"/>
  <c r="GX190"/>
  <c r="GY190"/>
  <c r="GZ190"/>
  <c r="HA190"/>
  <c r="HB190"/>
  <c r="HC190"/>
  <c r="HD190"/>
  <c r="HE190"/>
  <c r="HF190"/>
  <c r="HG190"/>
  <c r="HH190"/>
  <c r="HI190"/>
  <c r="HJ190"/>
  <c r="HK190"/>
  <c r="HL190"/>
  <c r="HM190"/>
  <c r="HN190"/>
  <c r="HO190"/>
  <c r="HP190"/>
  <c r="HQ190"/>
  <c r="HR190"/>
  <c r="HS190"/>
  <c r="HT190"/>
  <c r="HU190"/>
  <c r="HV190"/>
  <c r="HW190"/>
  <c r="HX190"/>
  <c r="HY190"/>
  <c r="HZ190"/>
  <c r="IA190"/>
  <c r="IB190"/>
  <c r="IC190"/>
  <c r="ID190"/>
  <c r="IE190"/>
  <c r="IF190"/>
  <c r="IG190"/>
  <c r="IH190"/>
  <c r="II190"/>
  <c r="IJ190"/>
  <c r="IK190"/>
  <c r="IL190"/>
  <c r="IM190"/>
  <c r="IN190"/>
  <c r="IO190"/>
  <c r="IP190"/>
  <c r="IQ190"/>
  <c r="IR190"/>
  <c r="IS190"/>
  <c r="IT190"/>
  <c r="IU190"/>
  <c r="IV190"/>
  <c r="A189"/>
  <c r="B189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Y189"/>
  <c r="AZ189"/>
  <c r="BA189"/>
  <c r="BB189"/>
  <c r="BC189"/>
  <c r="BD189"/>
  <c r="BE189"/>
  <c r="BF189"/>
  <c r="BG189"/>
  <c r="BH189"/>
  <c r="BI189"/>
  <c r="BJ189"/>
  <c r="BK189"/>
  <c r="BL189"/>
  <c r="BM189"/>
  <c r="BN189"/>
  <c r="BO189"/>
  <c r="BP189"/>
  <c r="BQ189"/>
  <c r="BR189"/>
  <c r="BS189"/>
  <c r="BT189"/>
  <c r="BU189"/>
  <c r="BV189"/>
  <c r="BW189"/>
  <c r="BX189"/>
  <c r="BY189"/>
  <c r="BZ189"/>
  <c r="CA189"/>
  <c r="CB189"/>
  <c r="CC189"/>
  <c r="CD189"/>
  <c r="CE189"/>
  <c r="CF189"/>
  <c r="CG189"/>
  <c r="CH189"/>
  <c r="CI189"/>
  <c r="CJ189"/>
  <c r="CK189"/>
  <c r="CL189"/>
  <c r="CM189"/>
  <c r="CN189"/>
  <c r="CO189"/>
  <c r="CP189"/>
  <c r="CQ189"/>
  <c r="CR189"/>
  <c r="CS189"/>
  <c r="CT189"/>
  <c r="CU189"/>
  <c r="CV189"/>
  <c r="CW189"/>
  <c r="CX189"/>
  <c r="CY189"/>
  <c r="CZ189"/>
  <c r="DA189"/>
  <c r="DB189"/>
  <c r="DC189"/>
  <c r="DD189"/>
  <c r="DE189"/>
  <c r="DF189"/>
  <c r="DG189"/>
  <c r="DH189"/>
  <c r="DI189"/>
  <c r="DJ189"/>
  <c r="DK189"/>
  <c r="DL189"/>
  <c r="DM189"/>
  <c r="DN189"/>
  <c r="DO189"/>
  <c r="DP189"/>
  <c r="DQ189"/>
  <c r="DR189"/>
  <c r="DS189"/>
  <c r="DT189"/>
  <c r="DU189"/>
  <c r="DV189"/>
  <c r="DW189"/>
  <c r="DX189"/>
  <c r="DY189"/>
  <c r="DZ189"/>
  <c r="EA189"/>
  <c r="EB189"/>
  <c r="EC189"/>
  <c r="ED189"/>
  <c r="EE189"/>
  <c r="EF189"/>
  <c r="EG189"/>
  <c r="EH189"/>
  <c r="EI189"/>
  <c r="EJ189"/>
  <c r="EK189"/>
  <c r="EL189"/>
  <c r="EM189"/>
  <c r="EN189"/>
  <c r="EO189"/>
  <c r="EP189"/>
  <c r="EQ189"/>
  <c r="ER189"/>
  <c r="ES189"/>
  <c r="ET189"/>
  <c r="EU189"/>
  <c r="EV189"/>
  <c r="EW189"/>
  <c r="EX189"/>
  <c r="EY189"/>
  <c r="EZ189"/>
  <c r="FA189"/>
  <c r="FB189"/>
  <c r="FC189"/>
  <c r="FD189"/>
  <c r="FE189"/>
  <c r="FF189"/>
  <c r="FG189"/>
  <c r="FH189"/>
  <c r="FI189"/>
  <c r="FJ189"/>
  <c r="FK189"/>
  <c r="FL189"/>
  <c r="FM189"/>
  <c r="FN189"/>
  <c r="FO189"/>
  <c r="FP189"/>
  <c r="FQ189"/>
  <c r="FR189"/>
  <c r="FS189"/>
  <c r="FT189"/>
  <c r="FU189"/>
  <c r="FV189"/>
  <c r="FW189"/>
  <c r="FX189"/>
  <c r="FY189"/>
  <c r="FZ189"/>
  <c r="GA189"/>
  <c r="GB189"/>
  <c r="GC189"/>
  <c r="GD189"/>
  <c r="GE189"/>
  <c r="GF189"/>
  <c r="GG189"/>
  <c r="GH189"/>
  <c r="GI189"/>
  <c r="GJ189"/>
  <c r="GK189"/>
  <c r="GL189"/>
  <c r="GM189"/>
  <c r="GN189"/>
  <c r="GO189"/>
  <c r="GP189"/>
  <c r="GQ189"/>
  <c r="GR189"/>
  <c r="GS189"/>
  <c r="GT189"/>
  <c r="GU189"/>
  <c r="GV189"/>
  <c r="GW189"/>
  <c r="GX189"/>
  <c r="GY189"/>
  <c r="GZ189"/>
  <c r="HA189"/>
  <c r="HB189"/>
  <c r="HC189"/>
  <c r="HD189"/>
  <c r="HE189"/>
  <c r="HF189"/>
  <c r="HG189"/>
  <c r="HH189"/>
  <c r="HI189"/>
  <c r="HJ189"/>
  <c r="HK189"/>
  <c r="HL189"/>
  <c r="HM189"/>
  <c r="HN189"/>
  <c r="HO189"/>
  <c r="HP189"/>
  <c r="HQ189"/>
  <c r="HR189"/>
  <c r="HS189"/>
  <c r="HT189"/>
  <c r="HU189"/>
  <c r="HV189"/>
  <c r="HW189"/>
  <c r="HX189"/>
  <c r="HY189"/>
  <c r="HZ189"/>
  <c r="IA189"/>
  <c r="IB189"/>
  <c r="IC189"/>
  <c r="ID189"/>
  <c r="IE189"/>
  <c r="IF189"/>
  <c r="IG189"/>
  <c r="IH189"/>
  <c r="II189"/>
  <c r="IJ189"/>
  <c r="IK189"/>
  <c r="IL189"/>
  <c r="IM189"/>
  <c r="IN189"/>
  <c r="IO189"/>
  <c r="IP189"/>
  <c r="IQ189"/>
  <c r="IR189"/>
  <c r="IS189"/>
  <c r="IT189"/>
  <c r="IU189"/>
  <c r="IV189"/>
  <c r="A188"/>
  <c r="B188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Y188"/>
  <c r="AZ188"/>
  <c r="BA188"/>
  <c r="BB188"/>
  <c r="BC188"/>
  <c r="BD188"/>
  <c r="BE188"/>
  <c r="BF188"/>
  <c r="BG188"/>
  <c r="BH188"/>
  <c r="BI188"/>
  <c r="BJ188"/>
  <c r="BK188"/>
  <c r="BL188"/>
  <c r="BM188"/>
  <c r="BN188"/>
  <c r="BO188"/>
  <c r="BP188"/>
  <c r="BQ188"/>
  <c r="BR188"/>
  <c r="BS188"/>
  <c r="BT188"/>
  <c r="BU188"/>
  <c r="BV188"/>
  <c r="BW188"/>
  <c r="BX188"/>
  <c r="BY188"/>
  <c r="BZ188"/>
  <c r="CA188"/>
  <c r="CB188"/>
  <c r="CC188"/>
  <c r="CD188"/>
  <c r="CE188"/>
  <c r="CF188"/>
  <c r="CG188"/>
  <c r="CH188"/>
  <c r="CI188"/>
  <c r="CJ188"/>
  <c r="CK188"/>
  <c r="CL188"/>
  <c r="CM188"/>
  <c r="CN188"/>
  <c r="CO188"/>
  <c r="CP188"/>
  <c r="CQ188"/>
  <c r="CR188"/>
  <c r="CS188"/>
  <c r="CT188"/>
  <c r="CU188"/>
  <c r="CV188"/>
  <c r="CW188"/>
  <c r="CX188"/>
  <c r="CY188"/>
  <c r="CZ188"/>
  <c r="DA188"/>
  <c r="DB188"/>
  <c r="DC188"/>
  <c r="DD188"/>
  <c r="DE188"/>
  <c r="DF188"/>
  <c r="DG188"/>
  <c r="DH188"/>
  <c r="DI188"/>
  <c r="DJ188"/>
  <c r="DK188"/>
  <c r="DL188"/>
  <c r="DM188"/>
  <c r="DN188"/>
  <c r="DO188"/>
  <c r="DP188"/>
  <c r="DQ188"/>
  <c r="DR188"/>
  <c r="DS188"/>
  <c r="DT188"/>
  <c r="DU188"/>
  <c r="DV188"/>
  <c r="DW188"/>
  <c r="DX188"/>
  <c r="DY188"/>
  <c r="DZ188"/>
  <c r="EA188"/>
  <c r="EB188"/>
  <c r="EC188"/>
  <c r="ED188"/>
  <c r="EE188"/>
  <c r="EF188"/>
  <c r="EG188"/>
  <c r="EH188"/>
  <c r="EI188"/>
  <c r="EJ188"/>
  <c r="EK188"/>
  <c r="EL188"/>
  <c r="EM188"/>
  <c r="EN188"/>
  <c r="EO188"/>
  <c r="EP188"/>
  <c r="EQ188"/>
  <c r="ER188"/>
  <c r="ES188"/>
  <c r="ET188"/>
  <c r="EU188"/>
  <c r="EV188"/>
  <c r="EW188"/>
  <c r="EX188"/>
  <c r="EY188"/>
  <c r="EZ188"/>
  <c r="FA188"/>
  <c r="FB188"/>
  <c r="FC188"/>
  <c r="FD188"/>
  <c r="FE188"/>
  <c r="FF188"/>
  <c r="FG188"/>
  <c r="FH188"/>
  <c r="FI188"/>
  <c r="FJ188"/>
  <c r="FK188"/>
  <c r="FL188"/>
  <c r="FM188"/>
  <c r="FN188"/>
  <c r="FO188"/>
  <c r="FP188"/>
  <c r="FQ188"/>
  <c r="FR188"/>
  <c r="FS188"/>
  <c r="FT188"/>
  <c r="FU188"/>
  <c r="FV188"/>
  <c r="FW188"/>
  <c r="FX188"/>
  <c r="FY188"/>
  <c r="FZ188"/>
  <c r="GA188"/>
  <c r="GB188"/>
  <c r="GC188"/>
  <c r="GD188"/>
  <c r="GE188"/>
  <c r="GF188"/>
  <c r="GG188"/>
  <c r="GH188"/>
  <c r="GI188"/>
  <c r="GJ188"/>
  <c r="GK188"/>
  <c r="GL188"/>
  <c r="GM188"/>
  <c r="GN188"/>
  <c r="GO188"/>
  <c r="GP188"/>
  <c r="GQ188"/>
  <c r="GR188"/>
  <c r="GS188"/>
  <c r="GT188"/>
  <c r="GU188"/>
  <c r="GV188"/>
  <c r="GW188"/>
  <c r="GX188"/>
  <c r="GY188"/>
  <c r="GZ188"/>
  <c r="HA188"/>
  <c r="HB188"/>
  <c r="HC188"/>
  <c r="HD188"/>
  <c r="HE188"/>
  <c r="HF188"/>
  <c r="HG188"/>
  <c r="HH188"/>
  <c r="HI188"/>
  <c r="HJ188"/>
  <c r="HK188"/>
  <c r="HL188"/>
  <c r="HM188"/>
  <c r="HN188"/>
  <c r="HO188"/>
  <c r="HP188"/>
  <c r="HQ188"/>
  <c r="HR188"/>
  <c r="HS188"/>
  <c r="HT188"/>
  <c r="HU188"/>
  <c r="HV188"/>
  <c r="HW188"/>
  <c r="HX188"/>
  <c r="HY188"/>
  <c r="HZ188"/>
  <c r="IA188"/>
  <c r="IB188"/>
  <c r="IC188"/>
  <c r="ID188"/>
  <c r="IE188"/>
  <c r="IF188"/>
  <c r="IG188"/>
  <c r="IH188"/>
  <c r="II188"/>
  <c r="IJ188"/>
  <c r="IK188"/>
  <c r="IL188"/>
  <c r="IM188"/>
  <c r="IN188"/>
  <c r="IO188"/>
  <c r="IP188"/>
  <c r="IQ188"/>
  <c r="IR188"/>
  <c r="IS188"/>
  <c r="IT188"/>
  <c r="IU188"/>
  <c r="IV188"/>
  <c r="A187"/>
  <c r="B187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Y187"/>
  <c r="AZ187"/>
  <c r="BA187"/>
  <c r="BB187"/>
  <c r="BC187"/>
  <c r="BD187"/>
  <c r="BE187"/>
  <c r="BF187"/>
  <c r="BG187"/>
  <c r="BH187"/>
  <c r="BI187"/>
  <c r="BJ187"/>
  <c r="BK187"/>
  <c r="BL187"/>
  <c r="BM187"/>
  <c r="BN187"/>
  <c r="BO187"/>
  <c r="BP187"/>
  <c r="BQ187"/>
  <c r="BR187"/>
  <c r="BS187"/>
  <c r="BT187"/>
  <c r="BU187"/>
  <c r="BV187"/>
  <c r="BW187"/>
  <c r="BX187"/>
  <c r="BY187"/>
  <c r="BZ187"/>
  <c r="CA187"/>
  <c r="CB187"/>
  <c r="CC187"/>
  <c r="CD187"/>
  <c r="CE187"/>
  <c r="CF187"/>
  <c r="CG187"/>
  <c r="CH187"/>
  <c r="CI187"/>
  <c r="CJ187"/>
  <c r="CK187"/>
  <c r="CL187"/>
  <c r="CM187"/>
  <c r="CN187"/>
  <c r="CO187"/>
  <c r="CP187"/>
  <c r="CQ187"/>
  <c r="CR187"/>
  <c r="CS187"/>
  <c r="CT187"/>
  <c r="CU187"/>
  <c r="CV187"/>
  <c r="CW187"/>
  <c r="CX187"/>
  <c r="CY187"/>
  <c r="CZ187"/>
  <c r="DA187"/>
  <c r="DB187"/>
  <c r="DC187"/>
  <c r="DD187"/>
  <c r="DE187"/>
  <c r="DF187"/>
  <c r="DG187"/>
  <c r="DH187"/>
  <c r="DI187"/>
  <c r="DJ187"/>
  <c r="DK187"/>
  <c r="DL187"/>
  <c r="DM187"/>
  <c r="DN187"/>
  <c r="DO187"/>
  <c r="DP187"/>
  <c r="DQ187"/>
  <c r="DR187"/>
  <c r="DS187"/>
  <c r="DT187"/>
  <c r="DU187"/>
  <c r="DV187"/>
  <c r="DW187"/>
  <c r="DX187"/>
  <c r="DY187"/>
  <c r="DZ187"/>
  <c r="EA187"/>
  <c r="EB187"/>
  <c r="EC187"/>
  <c r="ED187"/>
  <c r="EE187"/>
  <c r="EF187"/>
  <c r="EG187"/>
  <c r="EH187"/>
  <c r="EI187"/>
  <c r="EJ187"/>
  <c r="EK187"/>
  <c r="EL187"/>
  <c r="EM187"/>
  <c r="EN187"/>
  <c r="EO187"/>
  <c r="EP187"/>
  <c r="EQ187"/>
  <c r="ER187"/>
  <c r="ES187"/>
  <c r="ET187"/>
  <c r="EU187"/>
  <c r="EV187"/>
  <c r="EW187"/>
  <c r="EX187"/>
  <c r="EY187"/>
  <c r="EZ187"/>
  <c r="FA187"/>
  <c r="FB187"/>
  <c r="FC187"/>
  <c r="FD187"/>
  <c r="FE187"/>
  <c r="FF187"/>
  <c r="FG187"/>
  <c r="FH187"/>
  <c r="FI187"/>
  <c r="FJ187"/>
  <c r="FK187"/>
  <c r="FL187"/>
  <c r="FM187"/>
  <c r="FN187"/>
  <c r="FO187"/>
  <c r="FP187"/>
  <c r="FQ187"/>
  <c r="FR187"/>
  <c r="FS187"/>
  <c r="FT187"/>
  <c r="FU187"/>
  <c r="FV187"/>
  <c r="FW187"/>
  <c r="FX187"/>
  <c r="FY187"/>
  <c r="FZ187"/>
  <c r="GA187"/>
  <c r="GB187"/>
  <c r="GC187"/>
  <c r="GD187"/>
  <c r="GE187"/>
  <c r="GF187"/>
  <c r="GG187"/>
  <c r="GH187"/>
  <c r="GI187"/>
  <c r="GJ187"/>
  <c r="GK187"/>
  <c r="GL187"/>
  <c r="GM187"/>
  <c r="GN187"/>
  <c r="GO187"/>
  <c r="GP187"/>
  <c r="GQ187"/>
  <c r="GR187"/>
  <c r="GS187"/>
  <c r="GT187"/>
  <c r="GU187"/>
  <c r="GV187"/>
  <c r="GW187"/>
  <c r="GX187"/>
  <c r="GY187"/>
  <c r="GZ187"/>
  <c r="HA187"/>
  <c r="HB187"/>
  <c r="HC187"/>
  <c r="HD187"/>
  <c r="HE187"/>
  <c r="HF187"/>
  <c r="HG187"/>
  <c r="HH187"/>
  <c r="HI187"/>
  <c r="HJ187"/>
  <c r="HK187"/>
  <c r="HL187"/>
  <c r="HM187"/>
  <c r="HN187"/>
  <c r="HO187"/>
  <c r="HP187"/>
  <c r="HQ187"/>
  <c r="HR187"/>
  <c r="HS187"/>
  <c r="HT187"/>
  <c r="HU187"/>
  <c r="HV187"/>
  <c r="HW187"/>
  <c r="HX187"/>
  <c r="HY187"/>
  <c r="HZ187"/>
  <c r="IA187"/>
  <c r="IB187"/>
  <c r="IC187"/>
  <c r="ID187"/>
  <c r="IE187"/>
  <c r="IF187"/>
  <c r="IG187"/>
  <c r="IH187"/>
  <c r="II187"/>
  <c r="IJ187"/>
  <c r="IK187"/>
  <c r="IL187"/>
  <c r="IM187"/>
  <c r="IN187"/>
  <c r="IO187"/>
  <c r="IP187"/>
  <c r="IQ187"/>
  <c r="IR187"/>
  <c r="IS187"/>
  <c r="IT187"/>
  <c r="IU187"/>
  <c r="IV187"/>
  <c r="A186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Y186"/>
  <c r="AZ186"/>
  <c r="BA186"/>
  <c r="BB186"/>
  <c r="BC186"/>
  <c r="BD186"/>
  <c r="BE186"/>
  <c r="BF186"/>
  <c r="BG186"/>
  <c r="BH186"/>
  <c r="BI186"/>
  <c r="BJ186"/>
  <c r="BK186"/>
  <c r="BL186"/>
  <c r="BM186"/>
  <c r="BN186"/>
  <c r="BO186"/>
  <c r="BP186"/>
  <c r="BQ186"/>
  <c r="BR186"/>
  <c r="BS186"/>
  <c r="BT186"/>
  <c r="BU186"/>
  <c r="BV186"/>
  <c r="BW186"/>
  <c r="BX186"/>
  <c r="BY186"/>
  <c r="BZ186"/>
  <c r="CA186"/>
  <c r="CB186"/>
  <c r="CC186"/>
  <c r="CD186"/>
  <c r="CE186"/>
  <c r="CF186"/>
  <c r="CG186"/>
  <c r="CH186"/>
  <c r="CI186"/>
  <c r="CJ186"/>
  <c r="CK186"/>
  <c r="CL186"/>
  <c r="CM186"/>
  <c r="CN186"/>
  <c r="CO186"/>
  <c r="CP186"/>
  <c r="CQ186"/>
  <c r="CR186"/>
  <c r="CS186"/>
  <c r="CT186"/>
  <c r="CU186"/>
  <c r="CV186"/>
  <c r="CW186"/>
  <c r="CX186"/>
  <c r="CY186"/>
  <c r="CZ186"/>
  <c r="DA186"/>
  <c r="DB186"/>
  <c r="DC186"/>
  <c r="DD186"/>
  <c r="DE186"/>
  <c r="DF186"/>
  <c r="DG186"/>
  <c r="DH186"/>
  <c r="DI186"/>
  <c r="DJ186"/>
  <c r="DK186"/>
  <c r="DL186"/>
  <c r="DM186"/>
  <c r="DN186"/>
  <c r="DO186"/>
  <c r="DP186"/>
  <c r="DQ186"/>
  <c r="DR186"/>
  <c r="DS186"/>
  <c r="DT186"/>
  <c r="DU186"/>
  <c r="DV186"/>
  <c r="DW186"/>
  <c r="DX186"/>
  <c r="DY186"/>
  <c r="DZ186"/>
  <c r="EA186"/>
  <c r="EB186"/>
  <c r="EC186"/>
  <c r="ED186"/>
  <c r="EE186"/>
  <c r="EF186"/>
  <c r="EG186"/>
  <c r="EH186"/>
  <c r="EI186"/>
  <c r="EJ186"/>
  <c r="EK186"/>
  <c r="EL186"/>
  <c r="EM186"/>
  <c r="EN186"/>
  <c r="EO186"/>
  <c r="EP186"/>
  <c r="EQ186"/>
  <c r="ER186"/>
  <c r="ES186"/>
  <c r="ET186"/>
  <c r="EU186"/>
  <c r="EV186"/>
  <c r="EW186"/>
  <c r="EX186"/>
  <c r="EY186"/>
  <c r="EZ186"/>
  <c r="FA186"/>
  <c r="FB186"/>
  <c r="FC186"/>
  <c r="FD186"/>
  <c r="FE186"/>
  <c r="FF186"/>
  <c r="FG186"/>
  <c r="FH186"/>
  <c r="FI186"/>
  <c r="FJ186"/>
  <c r="FK186"/>
  <c r="FL186"/>
  <c r="FM186"/>
  <c r="FN186"/>
  <c r="FO186"/>
  <c r="FP186"/>
  <c r="FQ186"/>
  <c r="FR186"/>
  <c r="FS186"/>
  <c r="FT186"/>
  <c r="FU186"/>
  <c r="FV186"/>
  <c r="FW186"/>
  <c r="FX186"/>
  <c r="FY186"/>
  <c r="FZ186"/>
  <c r="GA186"/>
  <c r="GB186"/>
  <c r="GC186"/>
  <c r="GD186"/>
  <c r="GE186"/>
  <c r="GF186"/>
  <c r="GG186"/>
  <c r="GH186"/>
  <c r="GI186"/>
  <c r="GJ186"/>
  <c r="GK186"/>
  <c r="GL186"/>
  <c r="GM186"/>
  <c r="GN186"/>
  <c r="GO186"/>
  <c r="GP186"/>
  <c r="GQ186"/>
  <c r="GR186"/>
  <c r="GS186"/>
  <c r="GT186"/>
  <c r="GU186"/>
  <c r="GV186"/>
  <c r="GW186"/>
  <c r="GX186"/>
  <c r="GY186"/>
  <c r="GZ186"/>
  <c r="HA186"/>
  <c r="HB186"/>
  <c r="HC186"/>
  <c r="HD186"/>
  <c r="HE186"/>
  <c r="HF186"/>
  <c r="HG186"/>
  <c r="HH186"/>
  <c r="HI186"/>
  <c r="HJ186"/>
  <c r="HK186"/>
  <c r="HL186"/>
  <c r="HM186"/>
  <c r="HN186"/>
  <c r="HO186"/>
  <c r="HP186"/>
  <c r="HQ186"/>
  <c r="HR186"/>
  <c r="HS186"/>
  <c r="HT186"/>
  <c r="HU186"/>
  <c r="HV186"/>
  <c r="HW186"/>
  <c r="HX186"/>
  <c r="HY186"/>
  <c r="HZ186"/>
  <c r="IA186"/>
  <c r="IB186"/>
  <c r="IC186"/>
  <c r="ID186"/>
  <c r="IE186"/>
  <c r="IF186"/>
  <c r="IG186"/>
  <c r="IH186"/>
  <c r="II186"/>
  <c r="IJ186"/>
  <c r="IK186"/>
  <c r="IL186"/>
  <c r="IM186"/>
  <c r="IN186"/>
  <c r="IO186"/>
  <c r="IP186"/>
  <c r="IQ186"/>
  <c r="IR186"/>
  <c r="IS186"/>
  <c r="IT186"/>
  <c r="IU186"/>
  <c r="IV186"/>
  <c r="A185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Y185"/>
  <c r="AZ185"/>
  <c r="BA185"/>
  <c r="BB185"/>
  <c r="BC185"/>
  <c r="BD185"/>
  <c r="BE185"/>
  <c r="BF185"/>
  <c r="BG185"/>
  <c r="BH185"/>
  <c r="BI185"/>
  <c r="BJ185"/>
  <c r="BK185"/>
  <c r="BL185"/>
  <c r="BM185"/>
  <c r="BN185"/>
  <c r="BO185"/>
  <c r="BP185"/>
  <c r="BQ185"/>
  <c r="BR185"/>
  <c r="BS185"/>
  <c r="BT185"/>
  <c r="BU185"/>
  <c r="BV185"/>
  <c r="BW185"/>
  <c r="BX185"/>
  <c r="BY185"/>
  <c r="BZ185"/>
  <c r="CA185"/>
  <c r="CB185"/>
  <c r="CC185"/>
  <c r="CD185"/>
  <c r="CE185"/>
  <c r="CF185"/>
  <c r="CG185"/>
  <c r="CH185"/>
  <c r="CI185"/>
  <c r="CJ185"/>
  <c r="CK185"/>
  <c r="CL185"/>
  <c r="CM185"/>
  <c r="CN185"/>
  <c r="CO185"/>
  <c r="CP185"/>
  <c r="CQ185"/>
  <c r="CR185"/>
  <c r="CS185"/>
  <c r="CT185"/>
  <c r="CU185"/>
  <c r="CV185"/>
  <c r="CW185"/>
  <c r="CX185"/>
  <c r="CY185"/>
  <c r="CZ185"/>
  <c r="DA185"/>
  <c r="DB185"/>
  <c r="DC185"/>
  <c r="DD185"/>
  <c r="DE185"/>
  <c r="DF185"/>
  <c r="DG185"/>
  <c r="DH185"/>
  <c r="DI185"/>
  <c r="DJ185"/>
  <c r="DK185"/>
  <c r="DL185"/>
  <c r="DM185"/>
  <c r="DN185"/>
  <c r="DO185"/>
  <c r="DP185"/>
  <c r="DQ185"/>
  <c r="DR185"/>
  <c r="DS185"/>
  <c r="DT185"/>
  <c r="DU185"/>
  <c r="DV185"/>
  <c r="DW185"/>
  <c r="DX185"/>
  <c r="DY185"/>
  <c r="DZ185"/>
  <c r="EA185"/>
  <c r="EB185"/>
  <c r="EC185"/>
  <c r="ED185"/>
  <c r="EE185"/>
  <c r="EF185"/>
  <c r="EG185"/>
  <c r="EH185"/>
  <c r="EI185"/>
  <c r="EJ185"/>
  <c r="EK185"/>
  <c r="EL185"/>
  <c r="EM185"/>
  <c r="EN185"/>
  <c r="EO185"/>
  <c r="EP185"/>
  <c r="EQ185"/>
  <c r="ER185"/>
  <c r="ES185"/>
  <c r="ET185"/>
  <c r="EU185"/>
  <c r="EV185"/>
  <c r="EW185"/>
  <c r="EX185"/>
  <c r="EY185"/>
  <c r="EZ185"/>
  <c r="FA185"/>
  <c r="FB185"/>
  <c r="FC185"/>
  <c r="FD185"/>
  <c r="FE185"/>
  <c r="FF185"/>
  <c r="FG185"/>
  <c r="FH185"/>
  <c r="FI185"/>
  <c r="FJ185"/>
  <c r="FK185"/>
  <c r="FL185"/>
  <c r="FM185"/>
  <c r="FN185"/>
  <c r="FO185"/>
  <c r="FP185"/>
  <c r="FQ185"/>
  <c r="FR185"/>
  <c r="FS185"/>
  <c r="FT185"/>
  <c r="FU185"/>
  <c r="FV185"/>
  <c r="FW185"/>
  <c r="FX185"/>
  <c r="FY185"/>
  <c r="FZ185"/>
  <c r="GA185"/>
  <c r="GB185"/>
  <c r="GC185"/>
  <c r="GD185"/>
  <c r="GE185"/>
  <c r="GF185"/>
  <c r="GG185"/>
  <c r="GH185"/>
  <c r="GI185"/>
  <c r="GJ185"/>
  <c r="GK185"/>
  <c r="GL185"/>
  <c r="GM185"/>
  <c r="GN185"/>
  <c r="GO185"/>
  <c r="GP185"/>
  <c r="GQ185"/>
  <c r="GR185"/>
  <c r="GS185"/>
  <c r="GT185"/>
  <c r="GU185"/>
  <c r="GV185"/>
  <c r="GW185"/>
  <c r="GX185"/>
  <c r="GY185"/>
  <c r="GZ185"/>
  <c r="HA185"/>
  <c r="HB185"/>
  <c r="HC185"/>
  <c r="HD185"/>
  <c r="HE185"/>
  <c r="HF185"/>
  <c r="HG185"/>
  <c r="HH185"/>
  <c r="HI185"/>
  <c r="HJ185"/>
  <c r="HK185"/>
  <c r="HL185"/>
  <c r="HM185"/>
  <c r="HN185"/>
  <c r="HO185"/>
  <c r="HP185"/>
  <c r="HQ185"/>
  <c r="HR185"/>
  <c r="HS185"/>
  <c r="HT185"/>
  <c r="HU185"/>
  <c r="HV185"/>
  <c r="HW185"/>
  <c r="HX185"/>
  <c r="HY185"/>
  <c r="HZ185"/>
  <c r="IA185"/>
  <c r="IB185"/>
  <c r="IC185"/>
  <c r="ID185"/>
  <c r="IE185"/>
  <c r="IF185"/>
  <c r="IG185"/>
  <c r="IH185"/>
  <c r="II185"/>
  <c r="IJ185"/>
  <c r="IK185"/>
  <c r="IL185"/>
  <c r="IM185"/>
  <c r="IN185"/>
  <c r="IO185"/>
  <c r="IP185"/>
  <c r="IQ185"/>
  <c r="IR185"/>
  <c r="IS185"/>
  <c r="IT185"/>
  <c r="IU185"/>
  <c r="IV185"/>
  <c r="A184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Y184"/>
  <c r="AZ184"/>
  <c r="BA184"/>
  <c r="BB184"/>
  <c r="BC184"/>
  <c r="BD184"/>
  <c r="BE184"/>
  <c r="BF184"/>
  <c r="BG184"/>
  <c r="BH184"/>
  <c r="BI184"/>
  <c r="BJ184"/>
  <c r="BK184"/>
  <c r="BL184"/>
  <c r="BM184"/>
  <c r="BN184"/>
  <c r="BO184"/>
  <c r="BP184"/>
  <c r="BQ184"/>
  <c r="BR184"/>
  <c r="BS184"/>
  <c r="BT184"/>
  <c r="BU184"/>
  <c r="BV184"/>
  <c r="BW184"/>
  <c r="BX184"/>
  <c r="BY184"/>
  <c r="BZ184"/>
  <c r="CA184"/>
  <c r="CB184"/>
  <c r="CC184"/>
  <c r="CD184"/>
  <c r="CE184"/>
  <c r="CF184"/>
  <c r="CG184"/>
  <c r="CH184"/>
  <c r="CI184"/>
  <c r="CJ184"/>
  <c r="CK184"/>
  <c r="CL184"/>
  <c r="CM184"/>
  <c r="CN184"/>
  <c r="CO184"/>
  <c r="CP184"/>
  <c r="CQ184"/>
  <c r="CR184"/>
  <c r="CS184"/>
  <c r="CT184"/>
  <c r="CU184"/>
  <c r="CV184"/>
  <c r="CW184"/>
  <c r="CX184"/>
  <c r="CY184"/>
  <c r="CZ184"/>
  <c r="DA184"/>
  <c r="DB184"/>
  <c r="DC184"/>
  <c r="DD184"/>
  <c r="DE184"/>
  <c r="DF184"/>
  <c r="DG184"/>
  <c r="DH184"/>
  <c r="DI184"/>
  <c r="DJ184"/>
  <c r="DK184"/>
  <c r="DL184"/>
  <c r="DM184"/>
  <c r="DN184"/>
  <c r="DO184"/>
  <c r="DP184"/>
  <c r="DQ184"/>
  <c r="DR184"/>
  <c r="DS184"/>
  <c r="DT184"/>
  <c r="DU184"/>
  <c r="DV184"/>
  <c r="DW184"/>
  <c r="DX184"/>
  <c r="DY184"/>
  <c r="DZ184"/>
  <c r="EA184"/>
  <c r="EB184"/>
  <c r="EC184"/>
  <c r="ED184"/>
  <c r="EE184"/>
  <c r="EF184"/>
  <c r="EG184"/>
  <c r="EH184"/>
  <c r="EI184"/>
  <c r="EJ184"/>
  <c r="EK184"/>
  <c r="EL184"/>
  <c r="EM184"/>
  <c r="EN184"/>
  <c r="EO184"/>
  <c r="EP184"/>
  <c r="EQ184"/>
  <c r="ER184"/>
  <c r="ES184"/>
  <c r="ET184"/>
  <c r="EU184"/>
  <c r="EV184"/>
  <c r="EW184"/>
  <c r="EX184"/>
  <c r="EY184"/>
  <c r="EZ184"/>
  <c r="FA184"/>
  <c r="FB184"/>
  <c r="FC184"/>
  <c r="FD184"/>
  <c r="FE184"/>
  <c r="FF184"/>
  <c r="FG184"/>
  <c r="FH184"/>
  <c r="FI184"/>
  <c r="FJ184"/>
  <c r="FK184"/>
  <c r="FL184"/>
  <c r="FM184"/>
  <c r="FN184"/>
  <c r="FO184"/>
  <c r="FP184"/>
  <c r="FQ184"/>
  <c r="FR184"/>
  <c r="FS184"/>
  <c r="FT184"/>
  <c r="FU184"/>
  <c r="FV184"/>
  <c r="FW184"/>
  <c r="FX184"/>
  <c r="FY184"/>
  <c r="FZ184"/>
  <c r="GA184"/>
  <c r="GB184"/>
  <c r="GC184"/>
  <c r="GD184"/>
  <c r="GE184"/>
  <c r="GF184"/>
  <c r="GG184"/>
  <c r="GH184"/>
  <c r="GI184"/>
  <c r="GJ184"/>
  <c r="GK184"/>
  <c r="GL184"/>
  <c r="GM184"/>
  <c r="GN184"/>
  <c r="GO184"/>
  <c r="GP184"/>
  <c r="GQ184"/>
  <c r="GR184"/>
  <c r="GS184"/>
  <c r="GT184"/>
  <c r="GU184"/>
  <c r="GV184"/>
  <c r="GW184"/>
  <c r="GX184"/>
  <c r="GY184"/>
  <c r="GZ184"/>
  <c r="HA184"/>
  <c r="HB184"/>
  <c r="HC184"/>
  <c r="HD184"/>
  <c r="HE184"/>
  <c r="HF184"/>
  <c r="HG184"/>
  <c r="HH184"/>
  <c r="HI184"/>
  <c r="HJ184"/>
  <c r="HK184"/>
  <c r="HL184"/>
  <c r="HM184"/>
  <c r="HN184"/>
  <c r="HO184"/>
  <c r="HP184"/>
  <c r="HQ184"/>
  <c r="HR184"/>
  <c r="HS184"/>
  <c r="HT184"/>
  <c r="HU184"/>
  <c r="HV184"/>
  <c r="HW184"/>
  <c r="HX184"/>
  <c r="HY184"/>
  <c r="HZ184"/>
  <c r="IA184"/>
  <c r="IB184"/>
  <c r="IC184"/>
  <c r="ID184"/>
  <c r="IE184"/>
  <c r="IF184"/>
  <c r="IG184"/>
  <c r="IH184"/>
  <c r="II184"/>
  <c r="IJ184"/>
  <c r="IK184"/>
  <c r="IL184"/>
  <c r="IM184"/>
  <c r="IN184"/>
  <c r="IO184"/>
  <c r="IP184"/>
  <c r="IQ184"/>
  <c r="IR184"/>
  <c r="IS184"/>
  <c r="IT184"/>
  <c r="IU184"/>
  <c r="IV184"/>
  <c r="A183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Z183"/>
  <c r="BA183"/>
  <c r="BB183"/>
  <c r="BC183"/>
  <c r="BD183"/>
  <c r="BE183"/>
  <c r="BF183"/>
  <c r="BG183"/>
  <c r="BH183"/>
  <c r="BI183"/>
  <c r="BJ183"/>
  <c r="BK183"/>
  <c r="BL183"/>
  <c r="BM183"/>
  <c r="BN183"/>
  <c r="BO183"/>
  <c r="BP183"/>
  <c r="BQ183"/>
  <c r="BR183"/>
  <c r="BS183"/>
  <c r="BT183"/>
  <c r="BU183"/>
  <c r="BV183"/>
  <c r="BW183"/>
  <c r="BX183"/>
  <c r="BY183"/>
  <c r="BZ183"/>
  <c r="CA183"/>
  <c r="CB183"/>
  <c r="CC183"/>
  <c r="CD183"/>
  <c r="CE183"/>
  <c r="CF183"/>
  <c r="CG183"/>
  <c r="CH183"/>
  <c r="CI183"/>
  <c r="CJ183"/>
  <c r="CK183"/>
  <c r="CL183"/>
  <c r="CM183"/>
  <c r="CN183"/>
  <c r="CO183"/>
  <c r="CP183"/>
  <c r="CQ183"/>
  <c r="CR183"/>
  <c r="CS183"/>
  <c r="CT183"/>
  <c r="CU183"/>
  <c r="CV183"/>
  <c r="CW183"/>
  <c r="CX183"/>
  <c r="CY183"/>
  <c r="CZ183"/>
  <c r="DA183"/>
  <c r="DB183"/>
  <c r="DC183"/>
  <c r="DD183"/>
  <c r="DE183"/>
  <c r="DF183"/>
  <c r="DG183"/>
  <c r="DH183"/>
  <c r="DI183"/>
  <c r="DJ183"/>
  <c r="DK183"/>
  <c r="DL183"/>
  <c r="DM183"/>
  <c r="DN183"/>
  <c r="DO183"/>
  <c r="DP183"/>
  <c r="DQ183"/>
  <c r="DR183"/>
  <c r="DS183"/>
  <c r="DT183"/>
  <c r="DU183"/>
  <c r="DV183"/>
  <c r="DW183"/>
  <c r="DX183"/>
  <c r="DY183"/>
  <c r="DZ183"/>
  <c r="EA183"/>
  <c r="EB183"/>
  <c r="EC183"/>
  <c r="ED183"/>
  <c r="EE183"/>
  <c r="EF183"/>
  <c r="EG183"/>
  <c r="EH183"/>
  <c r="EI183"/>
  <c r="EJ183"/>
  <c r="EK183"/>
  <c r="EL183"/>
  <c r="EM183"/>
  <c r="EN183"/>
  <c r="EO183"/>
  <c r="EP183"/>
  <c r="EQ183"/>
  <c r="ER183"/>
  <c r="ES183"/>
  <c r="ET183"/>
  <c r="EU183"/>
  <c r="EV183"/>
  <c r="EW183"/>
  <c r="EX183"/>
  <c r="EY183"/>
  <c r="EZ183"/>
  <c r="FA183"/>
  <c r="FB183"/>
  <c r="FC183"/>
  <c r="FD183"/>
  <c r="FE183"/>
  <c r="FF183"/>
  <c r="FG183"/>
  <c r="FH183"/>
  <c r="FI183"/>
  <c r="FJ183"/>
  <c r="FK183"/>
  <c r="FL183"/>
  <c r="FM183"/>
  <c r="FN183"/>
  <c r="FO183"/>
  <c r="FP183"/>
  <c r="FQ183"/>
  <c r="FR183"/>
  <c r="FS183"/>
  <c r="FT183"/>
  <c r="FU183"/>
  <c r="FV183"/>
  <c r="FW183"/>
  <c r="FX183"/>
  <c r="FY183"/>
  <c r="FZ183"/>
  <c r="GA183"/>
  <c r="GB183"/>
  <c r="GC183"/>
  <c r="GD183"/>
  <c r="GE183"/>
  <c r="GF183"/>
  <c r="GG183"/>
  <c r="GH183"/>
  <c r="GI183"/>
  <c r="GJ183"/>
  <c r="GK183"/>
  <c r="GL183"/>
  <c r="GM183"/>
  <c r="GN183"/>
  <c r="GO183"/>
  <c r="GP183"/>
  <c r="GQ183"/>
  <c r="GR183"/>
  <c r="GS183"/>
  <c r="GT183"/>
  <c r="GU183"/>
  <c r="GV183"/>
  <c r="GW183"/>
  <c r="GX183"/>
  <c r="GY183"/>
  <c r="GZ183"/>
  <c r="HA183"/>
  <c r="HB183"/>
  <c r="HC183"/>
  <c r="HD183"/>
  <c r="HE183"/>
  <c r="HF183"/>
  <c r="HG183"/>
  <c r="HH183"/>
  <c r="HI183"/>
  <c r="HJ183"/>
  <c r="HK183"/>
  <c r="HL183"/>
  <c r="HM183"/>
  <c r="HN183"/>
  <c r="HO183"/>
  <c r="HP183"/>
  <c r="HQ183"/>
  <c r="HR183"/>
  <c r="HS183"/>
  <c r="HT183"/>
  <c r="HU183"/>
  <c r="HV183"/>
  <c r="HW183"/>
  <c r="HX183"/>
  <c r="HY183"/>
  <c r="HZ183"/>
  <c r="IA183"/>
  <c r="IB183"/>
  <c r="IC183"/>
  <c r="ID183"/>
  <c r="IE183"/>
  <c r="IF183"/>
  <c r="IG183"/>
  <c r="IH183"/>
  <c r="II183"/>
  <c r="IJ183"/>
  <c r="IK183"/>
  <c r="IL183"/>
  <c r="IM183"/>
  <c r="IN183"/>
  <c r="IO183"/>
  <c r="IP183"/>
  <c r="IQ183"/>
  <c r="IR183"/>
  <c r="IS183"/>
  <c r="IT183"/>
  <c r="IU183"/>
  <c r="IV183"/>
  <c r="A182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Y182"/>
  <c r="AZ182"/>
  <c r="BA182"/>
  <c r="BB182"/>
  <c r="BC182"/>
  <c r="BD182"/>
  <c r="BE182"/>
  <c r="BF182"/>
  <c r="BG182"/>
  <c r="BH182"/>
  <c r="BI182"/>
  <c r="BJ182"/>
  <c r="BK182"/>
  <c r="BL182"/>
  <c r="BM182"/>
  <c r="BN182"/>
  <c r="BO182"/>
  <c r="BP182"/>
  <c r="BQ182"/>
  <c r="BR182"/>
  <c r="BS182"/>
  <c r="BT182"/>
  <c r="BU182"/>
  <c r="BV182"/>
  <c r="BW182"/>
  <c r="BX182"/>
  <c r="BY182"/>
  <c r="BZ182"/>
  <c r="CA182"/>
  <c r="CB182"/>
  <c r="CC182"/>
  <c r="CD182"/>
  <c r="CE182"/>
  <c r="CF182"/>
  <c r="CG182"/>
  <c r="CH182"/>
  <c r="CI182"/>
  <c r="CJ182"/>
  <c r="CK182"/>
  <c r="CL182"/>
  <c r="CM182"/>
  <c r="CN182"/>
  <c r="CO182"/>
  <c r="CP182"/>
  <c r="CQ182"/>
  <c r="CR182"/>
  <c r="CS182"/>
  <c r="CT182"/>
  <c r="CU182"/>
  <c r="CV182"/>
  <c r="CW182"/>
  <c r="CX182"/>
  <c r="CY182"/>
  <c r="CZ182"/>
  <c r="DA182"/>
  <c r="DB182"/>
  <c r="DC182"/>
  <c r="DD182"/>
  <c r="DE182"/>
  <c r="DF182"/>
  <c r="DG182"/>
  <c r="DH182"/>
  <c r="DI182"/>
  <c r="DJ182"/>
  <c r="DK182"/>
  <c r="DL182"/>
  <c r="DM182"/>
  <c r="DN182"/>
  <c r="DO182"/>
  <c r="DP182"/>
  <c r="DQ182"/>
  <c r="DR182"/>
  <c r="DS182"/>
  <c r="DT182"/>
  <c r="DU182"/>
  <c r="DV182"/>
  <c r="DW182"/>
  <c r="DX182"/>
  <c r="DY182"/>
  <c r="DZ182"/>
  <c r="EA182"/>
  <c r="EB182"/>
  <c r="EC182"/>
  <c r="ED182"/>
  <c r="EE182"/>
  <c r="EF182"/>
  <c r="EG182"/>
  <c r="EH182"/>
  <c r="EI182"/>
  <c r="EJ182"/>
  <c r="EK182"/>
  <c r="EL182"/>
  <c r="EM182"/>
  <c r="EN182"/>
  <c r="EO182"/>
  <c r="EP182"/>
  <c r="EQ182"/>
  <c r="ER182"/>
  <c r="ES182"/>
  <c r="ET182"/>
  <c r="EU182"/>
  <c r="EV182"/>
  <c r="EW182"/>
  <c r="EX182"/>
  <c r="EY182"/>
  <c r="EZ182"/>
  <c r="FA182"/>
  <c r="FB182"/>
  <c r="FC182"/>
  <c r="FD182"/>
  <c r="FE182"/>
  <c r="FF182"/>
  <c r="FG182"/>
  <c r="FH182"/>
  <c r="FI182"/>
  <c r="FJ182"/>
  <c r="FK182"/>
  <c r="FL182"/>
  <c r="FM182"/>
  <c r="FN182"/>
  <c r="FO182"/>
  <c r="FP182"/>
  <c r="FQ182"/>
  <c r="FR182"/>
  <c r="FS182"/>
  <c r="FT182"/>
  <c r="FU182"/>
  <c r="FV182"/>
  <c r="FW182"/>
  <c r="FX182"/>
  <c r="FY182"/>
  <c r="FZ182"/>
  <c r="GA182"/>
  <c r="GB182"/>
  <c r="GC182"/>
  <c r="GD182"/>
  <c r="GE182"/>
  <c r="GF182"/>
  <c r="GG182"/>
  <c r="GH182"/>
  <c r="GI182"/>
  <c r="GJ182"/>
  <c r="GK182"/>
  <c r="GL182"/>
  <c r="GM182"/>
  <c r="GN182"/>
  <c r="GO182"/>
  <c r="GP182"/>
  <c r="GQ182"/>
  <c r="GR182"/>
  <c r="GS182"/>
  <c r="GT182"/>
  <c r="GU182"/>
  <c r="GV182"/>
  <c r="GW182"/>
  <c r="GX182"/>
  <c r="GY182"/>
  <c r="GZ182"/>
  <c r="HA182"/>
  <c r="HB182"/>
  <c r="HC182"/>
  <c r="HD182"/>
  <c r="HE182"/>
  <c r="HF182"/>
  <c r="HG182"/>
  <c r="HH182"/>
  <c r="HI182"/>
  <c r="HJ182"/>
  <c r="HK182"/>
  <c r="HL182"/>
  <c r="HM182"/>
  <c r="HN182"/>
  <c r="HO182"/>
  <c r="HP182"/>
  <c r="HQ182"/>
  <c r="HR182"/>
  <c r="HS182"/>
  <c r="HT182"/>
  <c r="HU182"/>
  <c r="HV182"/>
  <c r="HW182"/>
  <c r="HX182"/>
  <c r="HY182"/>
  <c r="HZ182"/>
  <c r="IA182"/>
  <c r="IB182"/>
  <c r="IC182"/>
  <c r="ID182"/>
  <c r="IE182"/>
  <c r="IF182"/>
  <c r="IG182"/>
  <c r="IH182"/>
  <c r="II182"/>
  <c r="IJ182"/>
  <c r="IK182"/>
  <c r="IL182"/>
  <c r="IM182"/>
  <c r="IN182"/>
  <c r="IO182"/>
  <c r="IP182"/>
  <c r="IQ182"/>
  <c r="IR182"/>
  <c r="IS182"/>
  <c r="IT182"/>
  <c r="IU182"/>
  <c r="IV182"/>
  <c r="A181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Z181"/>
  <c r="BA181"/>
  <c r="BB181"/>
  <c r="BC181"/>
  <c r="BD181"/>
  <c r="BE181"/>
  <c r="BF181"/>
  <c r="BG181"/>
  <c r="BH181"/>
  <c r="BI181"/>
  <c r="BJ181"/>
  <c r="BK181"/>
  <c r="BL181"/>
  <c r="BM181"/>
  <c r="BN181"/>
  <c r="BO181"/>
  <c r="BP181"/>
  <c r="BQ181"/>
  <c r="BR181"/>
  <c r="BS181"/>
  <c r="BT181"/>
  <c r="BU181"/>
  <c r="BV181"/>
  <c r="BW181"/>
  <c r="BX181"/>
  <c r="BY181"/>
  <c r="BZ181"/>
  <c r="CA181"/>
  <c r="CB181"/>
  <c r="CC181"/>
  <c r="CD181"/>
  <c r="CE181"/>
  <c r="CF181"/>
  <c r="CG181"/>
  <c r="CH181"/>
  <c r="CI181"/>
  <c r="CJ181"/>
  <c r="CK181"/>
  <c r="CL181"/>
  <c r="CM181"/>
  <c r="CN181"/>
  <c r="CO181"/>
  <c r="CP181"/>
  <c r="CQ181"/>
  <c r="CR181"/>
  <c r="CS181"/>
  <c r="CT181"/>
  <c r="CU181"/>
  <c r="CV181"/>
  <c r="CW181"/>
  <c r="CX181"/>
  <c r="CY181"/>
  <c r="CZ181"/>
  <c r="DA181"/>
  <c r="DB181"/>
  <c r="DC181"/>
  <c r="DD181"/>
  <c r="DE181"/>
  <c r="DF181"/>
  <c r="DG181"/>
  <c r="DH181"/>
  <c r="DI181"/>
  <c r="DJ181"/>
  <c r="DK181"/>
  <c r="DL181"/>
  <c r="DM181"/>
  <c r="DN181"/>
  <c r="DO181"/>
  <c r="DP181"/>
  <c r="DQ181"/>
  <c r="DR181"/>
  <c r="DS181"/>
  <c r="DT181"/>
  <c r="DU181"/>
  <c r="DV181"/>
  <c r="DW181"/>
  <c r="DX181"/>
  <c r="DY181"/>
  <c r="DZ181"/>
  <c r="EA181"/>
  <c r="EB181"/>
  <c r="EC181"/>
  <c r="ED181"/>
  <c r="EE181"/>
  <c r="EF181"/>
  <c r="EG181"/>
  <c r="EH181"/>
  <c r="EI181"/>
  <c r="EJ181"/>
  <c r="EK181"/>
  <c r="EL181"/>
  <c r="EM181"/>
  <c r="EN181"/>
  <c r="EO181"/>
  <c r="EP181"/>
  <c r="EQ181"/>
  <c r="ER181"/>
  <c r="ES181"/>
  <c r="ET181"/>
  <c r="EU181"/>
  <c r="EV181"/>
  <c r="EW181"/>
  <c r="EX181"/>
  <c r="EY181"/>
  <c r="EZ181"/>
  <c r="FA181"/>
  <c r="FB181"/>
  <c r="FC181"/>
  <c r="FD181"/>
  <c r="FE181"/>
  <c r="FF181"/>
  <c r="FG181"/>
  <c r="FH181"/>
  <c r="FI181"/>
  <c r="FJ181"/>
  <c r="FK181"/>
  <c r="FL181"/>
  <c r="FM181"/>
  <c r="FN181"/>
  <c r="FO181"/>
  <c r="FP181"/>
  <c r="FQ181"/>
  <c r="FR181"/>
  <c r="FS181"/>
  <c r="FT181"/>
  <c r="FU181"/>
  <c r="FV181"/>
  <c r="FW181"/>
  <c r="FX181"/>
  <c r="FY181"/>
  <c r="FZ181"/>
  <c r="GA181"/>
  <c r="GB181"/>
  <c r="GC181"/>
  <c r="GD181"/>
  <c r="GE181"/>
  <c r="GF181"/>
  <c r="GG181"/>
  <c r="GH181"/>
  <c r="GI181"/>
  <c r="GJ181"/>
  <c r="GK181"/>
  <c r="GL181"/>
  <c r="GM181"/>
  <c r="GN181"/>
  <c r="GO181"/>
  <c r="GP181"/>
  <c r="GQ181"/>
  <c r="GR181"/>
  <c r="GS181"/>
  <c r="GT181"/>
  <c r="GU181"/>
  <c r="GV181"/>
  <c r="GW181"/>
  <c r="GX181"/>
  <c r="GY181"/>
  <c r="GZ181"/>
  <c r="HA181"/>
  <c r="HB181"/>
  <c r="HC181"/>
  <c r="HD181"/>
  <c r="HE181"/>
  <c r="HF181"/>
  <c r="HG181"/>
  <c r="HH181"/>
  <c r="HI181"/>
  <c r="HJ181"/>
  <c r="HK181"/>
  <c r="HL181"/>
  <c r="HM181"/>
  <c r="HN181"/>
  <c r="HO181"/>
  <c r="HP181"/>
  <c r="HQ181"/>
  <c r="HR181"/>
  <c r="HS181"/>
  <c r="HT181"/>
  <c r="HU181"/>
  <c r="HV181"/>
  <c r="HW181"/>
  <c r="HX181"/>
  <c r="HY181"/>
  <c r="HZ181"/>
  <c r="IA181"/>
  <c r="IB181"/>
  <c r="IC181"/>
  <c r="ID181"/>
  <c r="IE181"/>
  <c r="IF181"/>
  <c r="IG181"/>
  <c r="IH181"/>
  <c r="II181"/>
  <c r="IJ181"/>
  <c r="IK181"/>
  <c r="IL181"/>
  <c r="IM181"/>
  <c r="IN181"/>
  <c r="IO181"/>
  <c r="IP181"/>
  <c r="IQ181"/>
  <c r="IR181"/>
  <c r="IS181"/>
  <c r="IT181"/>
  <c r="IU181"/>
  <c r="IV181"/>
  <c r="A180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BF180"/>
  <c r="BG180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BY180"/>
  <c r="BZ180"/>
  <c r="CA180"/>
  <c r="CB180"/>
  <c r="CC180"/>
  <c r="CD180"/>
  <c r="CE180"/>
  <c r="CF180"/>
  <c r="CG180"/>
  <c r="CH180"/>
  <c r="CI180"/>
  <c r="CJ180"/>
  <c r="CK180"/>
  <c r="CL180"/>
  <c r="CM180"/>
  <c r="CN180"/>
  <c r="CO180"/>
  <c r="CP180"/>
  <c r="CQ180"/>
  <c r="CR180"/>
  <c r="CS180"/>
  <c r="CT180"/>
  <c r="CU180"/>
  <c r="CV180"/>
  <c r="CW180"/>
  <c r="CX180"/>
  <c r="CY180"/>
  <c r="CZ180"/>
  <c r="DA180"/>
  <c r="DB180"/>
  <c r="DC180"/>
  <c r="DD180"/>
  <c r="DE180"/>
  <c r="DF180"/>
  <c r="DG180"/>
  <c r="DH180"/>
  <c r="DI180"/>
  <c r="DJ180"/>
  <c r="DK180"/>
  <c r="DL180"/>
  <c r="DM180"/>
  <c r="DN180"/>
  <c r="DO180"/>
  <c r="DP180"/>
  <c r="DQ180"/>
  <c r="DR180"/>
  <c r="DS180"/>
  <c r="DT180"/>
  <c r="DU180"/>
  <c r="DV180"/>
  <c r="DW180"/>
  <c r="DX180"/>
  <c r="DY180"/>
  <c r="DZ180"/>
  <c r="EA180"/>
  <c r="EB180"/>
  <c r="EC180"/>
  <c r="ED180"/>
  <c r="EE180"/>
  <c r="EF180"/>
  <c r="EG180"/>
  <c r="EH180"/>
  <c r="EI180"/>
  <c r="EJ180"/>
  <c r="EK180"/>
  <c r="EL180"/>
  <c r="EM180"/>
  <c r="EN180"/>
  <c r="EO180"/>
  <c r="EP180"/>
  <c r="EQ180"/>
  <c r="ER180"/>
  <c r="ES180"/>
  <c r="ET180"/>
  <c r="EU180"/>
  <c r="EV180"/>
  <c r="EW180"/>
  <c r="EX180"/>
  <c r="EY180"/>
  <c r="EZ180"/>
  <c r="FA180"/>
  <c r="FB180"/>
  <c r="FC180"/>
  <c r="FD180"/>
  <c r="FE180"/>
  <c r="FF180"/>
  <c r="FG180"/>
  <c r="FH180"/>
  <c r="FI180"/>
  <c r="FJ180"/>
  <c r="FK180"/>
  <c r="FL180"/>
  <c r="FM180"/>
  <c r="FN180"/>
  <c r="FO180"/>
  <c r="FP180"/>
  <c r="FQ180"/>
  <c r="FR180"/>
  <c r="FS180"/>
  <c r="FT180"/>
  <c r="FU180"/>
  <c r="FV180"/>
  <c r="FW180"/>
  <c r="FX180"/>
  <c r="FY180"/>
  <c r="FZ180"/>
  <c r="GA180"/>
  <c r="GB180"/>
  <c r="GC180"/>
  <c r="GD180"/>
  <c r="GE180"/>
  <c r="GF180"/>
  <c r="GG180"/>
  <c r="GH180"/>
  <c r="GI180"/>
  <c r="GJ180"/>
  <c r="GK180"/>
  <c r="GL180"/>
  <c r="GM180"/>
  <c r="GN180"/>
  <c r="GO180"/>
  <c r="GP180"/>
  <c r="GQ180"/>
  <c r="GR180"/>
  <c r="GS180"/>
  <c r="GT180"/>
  <c r="GU180"/>
  <c r="GV180"/>
  <c r="GW180"/>
  <c r="GX180"/>
  <c r="GY180"/>
  <c r="GZ180"/>
  <c r="HA180"/>
  <c r="HB180"/>
  <c r="HC180"/>
  <c r="HD180"/>
  <c r="HE180"/>
  <c r="HF180"/>
  <c r="HG180"/>
  <c r="HH180"/>
  <c r="HI180"/>
  <c r="HJ180"/>
  <c r="HK180"/>
  <c r="HL180"/>
  <c r="HM180"/>
  <c r="HN180"/>
  <c r="HO180"/>
  <c r="HP180"/>
  <c r="HQ180"/>
  <c r="HR180"/>
  <c r="HS180"/>
  <c r="HT180"/>
  <c r="HU180"/>
  <c r="HV180"/>
  <c r="HW180"/>
  <c r="HX180"/>
  <c r="HY180"/>
  <c r="HZ180"/>
  <c r="IA180"/>
  <c r="IB180"/>
  <c r="IC180"/>
  <c r="ID180"/>
  <c r="IE180"/>
  <c r="IF180"/>
  <c r="IG180"/>
  <c r="IH180"/>
  <c r="II180"/>
  <c r="IJ180"/>
  <c r="IK180"/>
  <c r="IL180"/>
  <c r="IM180"/>
  <c r="IN180"/>
  <c r="IO180"/>
  <c r="IP180"/>
  <c r="IQ180"/>
  <c r="IR180"/>
  <c r="IS180"/>
  <c r="IT180"/>
  <c r="IU180"/>
  <c r="IV180"/>
  <c r="A179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Y179"/>
  <c r="AZ179"/>
  <c r="BA179"/>
  <c r="BB179"/>
  <c r="BC179"/>
  <c r="BD179"/>
  <c r="BE179"/>
  <c r="BF179"/>
  <c r="BG179"/>
  <c r="BH179"/>
  <c r="BI179"/>
  <c r="BJ179"/>
  <c r="BK179"/>
  <c r="BL179"/>
  <c r="BM179"/>
  <c r="BN179"/>
  <c r="BO179"/>
  <c r="BP179"/>
  <c r="BQ179"/>
  <c r="BR179"/>
  <c r="BS179"/>
  <c r="BT179"/>
  <c r="BU179"/>
  <c r="BV179"/>
  <c r="BW179"/>
  <c r="BX179"/>
  <c r="BY179"/>
  <c r="BZ179"/>
  <c r="CA179"/>
  <c r="CB179"/>
  <c r="CC179"/>
  <c r="CD179"/>
  <c r="CE179"/>
  <c r="CF179"/>
  <c r="CG179"/>
  <c r="CH179"/>
  <c r="CI179"/>
  <c r="CJ179"/>
  <c r="CK179"/>
  <c r="CL179"/>
  <c r="CM179"/>
  <c r="CN179"/>
  <c r="CO179"/>
  <c r="CP179"/>
  <c r="CQ179"/>
  <c r="CR179"/>
  <c r="CS179"/>
  <c r="CT179"/>
  <c r="CU179"/>
  <c r="CV179"/>
  <c r="CW179"/>
  <c r="CX179"/>
  <c r="CY179"/>
  <c r="CZ179"/>
  <c r="DA179"/>
  <c r="DB179"/>
  <c r="DC179"/>
  <c r="DD179"/>
  <c r="DE179"/>
  <c r="DF179"/>
  <c r="DG179"/>
  <c r="DH179"/>
  <c r="DI179"/>
  <c r="DJ179"/>
  <c r="DK179"/>
  <c r="DL179"/>
  <c r="DM179"/>
  <c r="DN179"/>
  <c r="DO179"/>
  <c r="DP179"/>
  <c r="DQ179"/>
  <c r="DR179"/>
  <c r="DS179"/>
  <c r="DT179"/>
  <c r="DU179"/>
  <c r="DV179"/>
  <c r="DW179"/>
  <c r="DX179"/>
  <c r="DY179"/>
  <c r="DZ179"/>
  <c r="EA179"/>
  <c r="EB179"/>
  <c r="EC179"/>
  <c r="ED179"/>
  <c r="EE179"/>
  <c r="EF179"/>
  <c r="EG179"/>
  <c r="EH179"/>
  <c r="EI179"/>
  <c r="EJ179"/>
  <c r="EK179"/>
  <c r="EL179"/>
  <c r="EM179"/>
  <c r="EN179"/>
  <c r="EO179"/>
  <c r="EP179"/>
  <c r="EQ179"/>
  <c r="ER179"/>
  <c r="ES179"/>
  <c r="ET179"/>
  <c r="EU179"/>
  <c r="EV179"/>
  <c r="EW179"/>
  <c r="EX179"/>
  <c r="EY179"/>
  <c r="EZ179"/>
  <c r="FA179"/>
  <c r="FB179"/>
  <c r="FC179"/>
  <c r="FD179"/>
  <c r="FE179"/>
  <c r="FF179"/>
  <c r="FG179"/>
  <c r="FH179"/>
  <c r="FI179"/>
  <c r="FJ179"/>
  <c r="FK179"/>
  <c r="FL179"/>
  <c r="FM179"/>
  <c r="FN179"/>
  <c r="FO179"/>
  <c r="FP179"/>
  <c r="FQ179"/>
  <c r="FR179"/>
  <c r="FS179"/>
  <c r="FT179"/>
  <c r="FU179"/>
  <c r="FV179"/>
  <c r="FW179"/>
  <c r="FX179"/>
  <c r="FY179"/>
  <c r="FZ179"/>
  <c r="GA179"/>
  <c r="GB179"/>
  <c r="GC179"/>
  <c r="GD179"/>
  <c r="GE179"/>
  <c r="GF179"/>
  <c r="GG179"/>
  <c r="GH179"/>
  <c r="GI179"/>
  <c r="GJ179"/>
  <c r="GK179"/>
  <c r="GL179"/>
  <c r="GM179"/>
  <c r="GN179"/>
  <c r="GO179"/>
  <c r="GP179"/>
  <c r="GQ179"/>
  <c r="GR179"/>
  <c r="GS179"/>
  <c r="GT179"/>
  <c r="GU179"/>
  <c r="GV179"/>
  <c r="GW179"/>
  <c r="GX179"/>
  <c r="GY179"/>
  <c r="GZ179"/>
  <c r="HA179"/>
  <c r="HB179"/>
  <c r="HC179"/>
  <c r="HD179"/>
  <c r="HE179"/>
  <c r="HF179"/>
  <c r="HG179"/>
  <c r="HH179"/>
  <c r="HI179"/>
  <c r="HJ179"/>
  <c r="HK179"/>
  <c r="HL179"/>
  <c r="HM179"/>
  <c r="HN179"/>
  <c r="HO179"/>
  <c r="HP179"/>
  <c r="HQ179"/>
  <c r="HR179"/>
  <c r="HS179"/>
  <c r="HT179"/>
  <c r="HU179"/>
  <c r="HV179"/>
  <c r="HW179"/>
  <c r="HX179"/>
  <c r="HY179"/>
  <c r="HZ179"/>
  <c r="IA179"/>
  <c r="IB179"/>
  <c r="IC179"/>
  <c r="ID179"/>
  <c r="IE179"/>
  <c r="IF179"/>
  <c r="IG179"/>
  <c r="IH179"/>
  <c r="II179"/>
  <c r="IJ179"/>
  <c r="IK179"/>
  <c r="IL179"/>
  <c r="IM179"/>
  <c r="IN179"/>
  <c r="IO179"/>
  <c r="IP179"/>
  <c r="IQ179"/>
  <c r="IR179"/>
  <c r="IS179"/>
  <c r="IT179"/>
  <c r="IU179"/>
  <c r="IV179"/>
  <c r="A178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Y178"/>
  <c r="AZ178"/>
  <c r="BA178"/>
  <c r="BB178"/>
  <c r="BC178"/>
  <c r="BD178"/>
  <c r="BE178"/>
  <c r="BF178"/>
  <c r="BG178"/>
  <c r="BH178"/>
  <c r="BI178"/>
  <c r="BJ178"/>
  <c r="BK178"/>
  <c r="BL178"/>
  <c r="BM178"/>
  <c r="BN178"/>
  <c r="BO178"/>
  <c r="BP178"/>
  <c r="BQ178"/>
  <c r="BR178"/>
  <c r="BS178"/>
  <c r="BT178"/>
  <c r="BU178"/>
  <c r="BV178"/>
  <c r="BW178"/>
  <c r="BX178"/>
  <c r="BY178"/>
  <c r="BZ178"/>
  <c r="CA178"/>
  <c r="CB178"/>
  <c r="CC178"/>
  <c r="CD178"/>
  <c r="CE178"/>
  <c r="CF178"/>
  <c r="CG178"/>
  <c r="CH178"/>
  <c r="CI178"/>
  <c r="CJ178"/>
  <c r="CK178"/>
  <c r="CL178"/>
  <c r="CM178"/>
  <c r="CN178"/>
  <c r="CO178"/>
  <c r="CP178"/>
  <c r="CQ178"/>
  <c r="CR178"/>
  <c r="CS178"/>
  <c r="CT178"/>
  <c r="CU178"/>
  <c r="CV178"/>
  <c r="CW178"/>
  <c r="CX178"/>
  <c r="CY178"/>
  <c r="CZ178"/>
  <c r="DA178"/>
  <c r="DB178"/>
  <c r="DC178"/>
  <c r="DD178"/>
  <c r="DE178"/>
  <c r="DF178"/>
  <c r="DG178"/>
  <c r="DH178"/>
  <c r="DI178"/>
  <c r="DJ178"/>
  <c r="DK178"/>
  <c r="DL178"/>
  <c r="DM178"/>
  <c r="DN178"/>
  <c r="DO178"/>
  <c r="DP178"/>
  <c r="DQ178"/>
  <c r="DR178"/>
  <c r="DS178"/>
  <c r="DT178"/>
  <c r="DU178"/>
  <c r="DV178"/>
  <c r="DW178"/>
  <c r="DX178"/>
  <c r="DY178"/>
  <c r="DZ178"/>
  <c r="EA178"/>
  <c r="EB178"/>
  <c r="EC178"/>
  <c r="ED178"/>
  <c r="EE178"/>
  <c r="EF178"/>
  <c r="EG178"/>
  <c r="EH178"/>
  <c r="EI178"/>
  <c r="EJ178"/>
  <c r="EK178"/>
  <c r="EL178"/>
  <c r="EM178"/>
  <c r="EN178"/>
  <c r="EO178"/>
  <c r="EP178"/>
  <c r="EQ178"/>
  <c r="ER178"/>
  <c r="ES178"/>
  <c r="ET178"/>
  <c r="EU178"/>
  <c r="EV178"/>
  <c r="EW178"/>
  <c r="EX178"/>
  <c r="EY178"/>
  <c r="EZ178"/>
  <c r="FA178"/>
  <c r="FB178"/>
  <c r="FC178"/>
  <c r="FD178"/>
  <c r="FE178"/>
  <c r="FF178"/>
  <c r="FG178"/>
  <c r="FH178"/>
  <c r="FI178"/>
  <c r="FJ178"/>
  <c r="FK178"/>
  <c r="FL178"/>
  <c r="FM178"/>
  <c r="FN178"/>
  <c r="FO178"/>
  <c r="FP178"/>
  <c r="FQ178"/>
  <c r="FR178"/>
  <c r="FS178"/>
  <c r="FT178"/>
  <c r="FU178"/>
  <c r="FV178"/>
  <c r="FW178"/>
  <c r="FX178"/>
  <c r="FY178"/>
  <c r="FZ178"/>
  <c r="GA178"/>
  <c r="GB178"/>
  <c r="GC178"/>
  <c r="GD178"/>
  <c r="GE178"/>
  <c r="GF178"/>
  <c r="GG178"/>
  <c r="GH178"/>
  <c r="GI178"/>
  <c r="GJ178"/>
  <c r="GK178"/>
  <c r="GL178"/>
  <c r="GM178"/>
  <c r="GN178"/>
  <c r="GO178"/>
  <c r="GP178"/>
  <c r="GQ178"/>
  <c r="GR178"/>
  <c r="GS178"/>
  <c r="GT178"/>
  <c r="GU178"/>
  <c r="GV178"/>
  <c r="GW178"/>
  <c r="GX178"/>
  <c r="GY178"/>
  <c r="GZ178"/>
  <c r="HA178"/>
  <c r="HB178"/>
  <c r="HC178"/>
  <c r="HD178"/>
  <c r="HE178"/>
  <c r="HF178"/>
  <c r="HG178"/>
  <c r="HH178"/>
  <c r="HI178"/>
  <c r="HJ178"/>
  <c r="HK178"/>
  <c r="HL178"/>
  <c r="HM178"/>
  <c r="HN178"/>
  <c r="HO178"/>
  <c r="HP178"/>
  <c r="HQ178"/>
  <c r="HR178"/>
  <c r="HS178"/>
  <c r="HT178"/>
  <c r="HU178"/>
  <c r="HV178"/>
  <c r="HW178"/>
  <c r="HX178"/>
  <c r="HY178"/>
  <c r="HZ178"/>
  <c r="IA178"/>
  <c r="IB178"/>
  <c r="IC178"/>
  <c r="ID178"/>
  <c r="IE178"/>
  <c r="IF178"/>
  <c r="IG178"/>
  <c r="IH178"/>
  <c r="II178"/>
  <c r="IJ178"/>
  <c r="IK178"/>
  <c r="IL178"/>
  <c r="IM178"/>
  <c r="IN178"/>
  <c r="IO178"/>
  <c r="IP178"/>
  <c r="IQ178"/>
  <c r="IR178"/>
  <c r="IS178"/>
  <c r="IT178"/>
  <c r="IU178"/>
  <c r="IV178"/>
  <c r="A177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Y177"/>
  <c r="AZ177"/>
  <c r="BA177"/>
  <c r="BB177"/>
  <c r="BC177"/>
  <c r="BD177"/>
  <c r="BE177"/>
  <c r="BF177"/>
  <c r="BG177"/>
  <c r="BH177"/>
  <c r="BI177"/>
  <c r="BJ177"/>
  <c r="BK177"/>
  <c r="BL177"/>
  <c r="BM177"/>
  <c r="BN177"/>
  <c r="BO177"/>
  <c r="BP177"/>
  <c r="BQ177"/>
  <c r="BR177"/>
  <c r="BS177"/>
  <c r="BT177"/>
  <c r="BU177"/>
  <c r="BV177"/>
  <c r="BW177"/>
  <c r="BX177"/>
  <c r="BY177"/>
  <c r="BZ177"/>
  <c r="CA177"/>
  <c r="CB177"/>
  <c r="CC177"/>
  <c r="CD177"/>
  <c r="CE177"/>
  <c r="CF177"/>
  <c r="CG177"/>
  <c r="CH177"/>
  <c r="CI177"/>
  <c r="CJ177"/>
  <c r="CK177"/>
  <c r="CL177"/>
  <c r="CM177"/>
  <c r="CN177"/>
  <c r="CO177"/>
  <c r="CP177"/>
  <c r="CQ177"/>
  <c r="CR177"/>
  <c r="CS177"/>
  <c r="CT177"/>
  <c r="CU177"/>
  <c r="CV177"/>
  <c r="CW177"/>
  <c r="CX177"/>
  <c r="CY177"/>
  <c r="CZ177"/>
  <c r="DA177"/>
  <c r="DB177"/>
  <c r="DC177"/>
  <c r="DD177"/>
  <c r="DE177"/>
  <c r="DF177"/>
  <c r="DG177"/>
  <c r="DH177"/>
  <c r="DI177"/>
  <c r="DJ177"/>
  <c r="DK177"/>
  <c r="DL177"/>
  <c r="DM177"/>
  <c r="DN177"/>
  <c r="DO177"/>
  <c r="DP177"/>
  <c r="DQ177"/>
  <c r="DR177"/>
  <c r="DS177"/>
  <c r="DT177"/>
  <c r="DU177"/>
  <c r="DV177"/>
  <c r="DW177"/>
  <c r="DX177"/>
  <c r="DY177"/>
  <c r="DZ177"/>
  <c r="EA177"/>
  <c r="EB177"/>
  <c r="EC177"/>
  <c r="ED177"/>
  <c r="EE177"/>
  <c r="EF177"/>
  <c r="EG177"/>
  <c r="EH177"/>
  <c r="EI177"/>
  <c r="EJ177"/>
  <c r="EK177"/>
  <c r="EL177"/>
  <c r="EM177"/>
  <c r="EN177"/>
  <c r="EO177"/>
  <c r="EP177"/>
  <c r="EQ177"/>
  <c r="ER177"/>
  <c r="ES177"/>
  <c r="ET177"/>
  <c r="EU177"/>
  <c r="EV177"/>
  <c r="EW177"/>
  <c r="EX177"/>
  <c r="EY177"/>
  <c r="EZ177"/>
  <c r="FA177"/>
  <c r="FB177"/>
  <c r="FC177"/>
  <c r="FD177"/>
  <c r="FE177"/>
  <c r="FF177"/>
  <c r="FG177"/>
  <c r="FH177"/>
  <c r="FI177"/>
  <c r="FJ177"/>
  <c r="FK177"/>
  <c r="FL177"/>
  <c r="FM177"/>
  <c r="FN177"/>
  <c r="FO177"/>
  <c r="FP177"/>
  <c r="FQ177"/>
  <c r="FR177"/>
  <c r="FS177"/>
  <c r="FT177"/>
  <c r="FU177"/>
  <c r="FV177"/>
  <c r="FW177"/>
  <c r="FX177"/>
  <c r="FY177"/>
  <c r="FZ177"/>
  <c r="GA177"/>
  <c r="GB177"/>
  <c r="GC177"/>
  <c r="GD177"/>
  <c r="GE177"/>
  <c r="GF177"/>
  <c r="GG177"/>
  <c r="GH177"/>
  <c r="GI177"/>
  <c r="GJ177"/>
  <c r="GK177"/>
  <c r="GL177"/>
  <c r="GM177"/>
  <c r="GN177"/>
  <c r="GO177"/>
  <c r="GP177"/>
  <c r="GQ177"/>
  <c r="GR177"/>
  <c r="GS177"/>
  <c r="GT177"/>
  <c r="GU177"/>
  <c r="GV177"/>
  <c r="GW177"/>
  <c r="GX177"/>
  <c r="GY177"/>
  <c r="GZ177"/>
  <c r="HA177"/>
  <c r="HB177"/>
  <c r="HC177"/>
  <c r="HD177"/>
  <c r="HE177"/>
  <c r="HF177"/>
  <c r="HG177"/>
  <c r="HH177"/>
  <c r="HI177"/>
  <c r="HJ177"/>
  <c r="HK177"/>
  <c r="HL177"/>
  <c r="HM177"/>
  <c r="HN177"/>
  <c r="HO177"/>
  <c r="HP177"/>
  <c r="HQ177"/>
  <c r="HR177"/>
  <c r="HS177"/>
  <c r="HT177"/>
  <c r="HU177"/>
  <c r="HV177"/>
  <c r="HW177"/>
  <c r="HX177"/>
  <c r="HY177"/>
  <c r="HZ177"/>
  <c r="IA177"/>
  <c r="IB177"/>
  <c r="IC177"/>
  <c r="ID177"/>
  <c r="IE177"/>
  <c r="IF177"/>
  <c r="IG177"/>
  <c r="IH177"/>
  <c r="II177"/>
  <c r="IJ177"/>
  <c r="IK177"/>
  <c r="IL177"/>
  <c r="IM177"/>
  <c r="IN177"/>
  <c r="IO177"/>
  <c r="IP177"/>
  <c r="IQ177"/>
  <c r="IR177"/>
  <c r="IS177"/>
  <c r="IT177"/>
  <c r="IU177"/>
  <c r="IV177"/>
  <c r="A176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Y176"/>
  <c r="AZ176"/>
  <c r="BA176"/>
  <c r="BB176"/>
  <c r="BC176"/>
  <c r="BD176"/>
  <c r="BE176"/>
  <c r="BF176"/>
  <c r="BG176"/>
  <c r="BH176"/>
  <c r="BI176"/>
  <c r="BJ176"/>
  <c r="BK176"/>
  <c r="BL176"/>
  <c r="BM176"/>
  <c r="BN176"/>
  <c r="BO176"/>
  <c r="BP176"/>
  <c r="BQ176"/>
  <c r="BR176"/>
  <c r="BS176"/>
  <c r="BT176"/>
  <c r="BU176"/>
  <c r="BV176"/>
  <c r="BW176"/>
  <c r="BX176"/>
  <c r="BY176"/>
  <c r="BZ176"/>
  <c r="CA176"/>
  <c r="CB176"/>
  <c r="CC176"/>
  <c r="CD176"/>
  <c r="CE176"/>
  <c r="CF176"/>
  <c r="CG176"/>
  <c r="CH176"/>
  <c r="CI176"/>
  <c r="CJ176"/>
  <c r="CK176"/>
  <c r="CL176"/>
  <c r="CM176"/>
  <c r="CN176"/>
  <c r="CO176"/>
  <c r="CP176"/>
  <c r="CQ176"/>
  <c r="CR176"/>
  <c r="CS176"/>
  <c r="CT176"/>
  <c r="CU176"/>
  <c r="CV176"/>
  <c r="CW176"/>
  <c r="CX176"/>
  <c r="CY176"/>
  <c r="CZ176"/>
  <c r="DA176"/>
  <c r="DB176"/>
  <c r="DC176"/>
  <c r="DD176"/>
  <c r="DE176"/>
  <c r="DF176"/>
  <c r="DG176"/>
  <c r="DH176"/>
  <c r="DI176"/>
  <c r="DJ176"/>
  <c r="DK176"/>
  <c r="DL176"/>
  <c r="DM176"/>
  <c r="DN176"/>
  <c r="DO176"/>
  <c r="DP176"/>
  <c r="DQ176"/>
  <c r="DR176"/>
  <c r="DS176"/>
  <c r="DT176"/>
  <c r="DU176"/>
  <c r="DV176"/>
  <c r="DW176"/>
  <c r="DX176"/>
  <c r="DY176"/>
  <c r="DZ176"/>
  <c r="EA176"/>
  <c r="EB176"/>
  <c r="EC176"/>
  <c r="ED176"/>
  <c r="EE176"/>
  <c r="EF176"/>
  <c r="EG176"/>
  <c r="EH176"/>
  <c r="EI176"/>
  <c r="EJ176"/>
  <c r="EK176"/>
  <c r="EL176"/>
  <c r="EM176"/>
  <c r="EN176"/>
  <c r="EO176"/>
  <c r="EP176"/>
  <c r="EQ176"/>
  <c r="ER176"/>
  <c r="ES176"/>
  <c r="ET176"/>
  <c r="EU176"/>
  <c r="EV176"/>
  <c r="EW176"/>
  <c r="EX176"/>
  <c r="EY176"/>
  <c r="EZ176"/>
  <c r="FA176"/>
  <c r="FB176"/>
  <c r="FC176"/>
  <c r="FD176"/>
  <c r="FE176"/>
  <c r="FF176"/>
  <c r="FG176"/>
  <c r="FH176"/>
  <c r="FI176"/>
  <c r="FJ176"/>
  <c r="FK176"/>
  <c r="FL176"/>
  <c r="FM176"/>
  <c r="FN176"/>
  <c r="FO176"/>
  <c r="FP176"/>
  <c r="FQ176"/>
  <c r="FR176"/>
  <c r="FS176"/>
  <c r="FT176"/>
  <c r="FU176"/>
  <c r="FV176"/>
  <c r="FW176"/>
  <c r="FX176"/>
  <c r="FY176"/>
  <c r="FZ176"/>
  <c r="GA176"/>
  <c r="GB176"/>
  <c r="GC176"/>
  <c r="GD176"/>
  <c r="GE176"/>
  <c r="GF176"/>
  <c r="GG176"/>
  <c r="GH176"/>
  <c r="GI176"/>
  <c r="GJ176"/>
  <c r="GK176"/>
  <c r="GL176"/>
  <c r="GM176"/>
  <c r="GN176"/>
  <c r="GO176"/>
  <c r="GP176"/>
  <c r="GQ176"/>
  <c r="GR176"/>
  <c r="GS176"/>
  <c r="GT176"/>
  <c r="GU176"/>
  <c r="GV176"/>
  <c r="GW176"/>
  <c r="GX176"/>
  <c r="GY176"/>
  <c r="GZ176"/>
  <c r="HA176"/>
  <c r="HB176"/>
  <c r="HC176"/>
  <c r="HD176"/>
  <c r="HE176"/>
  <c r="HF176"/>
  <c r="HG176"/>
  <c r="HH176"/>
  <c r="HI176"/>
  <c r="HJ176"/>
  <c r="HK176"/>
  <c r="HL176"/>
  <c r="HM176"/>
  <c r="HN176"/>
  <c r="HO176"/>
  <c r="HP176"/>
  <c r="HQ176"/>
  <c r="HR176"/>
  <c r="HS176"/>
  <c r="HT176"/>
  <c r="HU176"/>
  <c r="HV176"/>
  <c r="HW176"/>
  <c r="HX176"/>
  <c r="HY176"/>
  <c r="HZ176"/>
  <c r="IA176"/>
  <c r="IB176"/>
  <c r="IC176"/>
  <c r="ID176"/>
  <c r="IE176"/>
  <c r="IF176"/>
  <c r="IG176"/>
  <c r="IH176"/>
  <c r="II176"/>
  <c r="IJ176"/>
  <c r="IK176"/>
  <c r="IL176"/>
  <c r="IM176"/>
  <c r="IN176"/>
  <c r="IO176"/>
  <c r="IP176"/>
  <c r="IQ176"/>
  <c r="IR176"/>
  <c r="IS176"/>
  <c r="IT176"/>
  <c r="IU176"/>
  <c r="IV176"/>
  <c r="A175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Y175"/>
  <c r="AZ175"/>
  <c r="BA175"/>
  <c r="BB175"/>
  <c r="BC175"/>
  <c r="BD175"/>
  <c r="BE175"/>
  <c r="BF175"/>
  <c r="BG175"/>
  <c r="BH175"/>
  <c r="BI175"/>
  <c r="BJ175"/>
  <c r="BK175"/>
  <c r="BL175"/>
  <c r="BM175"/>
  <c r="BN175"/>
  <c r="BO175"/>
  <c r="BP175"/>
  <c r="BQ175"/>
  <c r="BR175"/>
  <c r="BS175"/>
  <c r="BT175"/>
  <c r="BU175"/>
  <c r="BV175"/>
  <c r="BW175"/>
  <c r="BX175"/>
  <c r="BY175"/>
  <c r="BZ175"/>
  <c r="CA175"/>
  <c r="CB175"/>
  <c r="CC175"/>
  <c r="CD175"/>
  <c r="CE175"/>
  <c r="CF175"/>
  <c r="CG175"/>
  <c r="CH175"/>
  <c r="CI175"/>
  <c r="CJ175"/>
  <c r="CK175"/>
  <c r="CL175"/>
  <c r="CM175"/>
  <c r="CN175"/>
  <c r="CO175"/>
  <c r="CP175"/>
  <c r="CQ175"/>
  <c r="CR175"/>
  <c r="CS175"/>
  <c r="CT175"/>
  <c r="CU175"/>
  <c r="CV175"/>
  <c r="CW175"/>
  <c r="CX175"/>
  <c r="CY175"/>
  <c r="CZ175"/>
  <c r="DA175"/>
  <c r="DB175"/>
  <c r="DC175"/>
  <c r="DD175"/>
  <c r="DE175"/>
  <c r="DF175"/>
  <c r="DG175"/>
  <c r="DH175"/>
  <c r="DI175"/>
  <c r="DJ175"/>
  <c r="DK175"/>
  <c r="DL175"/>
  <c r="DM175"/>
  <c r="DN175"/>
  <c r="DO175"/>
  <c r="DP175"/>
  <c r="DQ175"/>
  <c r="DR175"/>
  <c r="DS175"/>
  <c r="DT175"/>
  <c r="DU175"/>
  <c r="DV175"/>
  <c r="DW175"/>
  <c r="DX175"/>
  <c r="DY175"/>
  <c r="DZ175"/>
  <c r="EA175"/>
  <c r="EB175"/>
  <c r="EC175"/>
  <c r="ED175"/>
  <c r="EE175"/>
  <c r="EF175"/>
  <c r="EG175"/>
  <c r="EH175"/>
  <c r="EI175"/>
  <c r="EJ175"/>
  <c r="EK175"/>
  <c r="EL175"/>
  <c r="EM175"/>
  <c r="EN175"/>
  <c r="EO175"/>
  <c r="EP175"/>
  <c r="EQ175"/>
  <c r="ER175"/>
  <c r="ES175"/>
  <c r="ET175"/>
  <c r="EU175"/>
  <c r="EV175"/>
  <c r="EW175"/>
  <c r="EX175"/>
  <c r="EY175"/>
  <c r="EZ175"/>
  <c r="FA175"/>
  <c r="FB175"/>
  <c r="FC175"/>
  <c r="FD175"/>
  <c r="FE175"/>
  <c r="FF175"/>
  <c r="FG175"/>
  <c r="FH175"/>
  <c r="FI175"/>
  <c r="FJ175"/>
  <c r="FK175"/>
  <c r="FL175"/>
  <c r="FM175"/>
  <c r="FN175"/>
  <c r="FO175"/>
  <c r="FP175"/>
  <c r="FQ175"/>
  <c r="FR175"/>
  <c r="FS175"/>
  <c r="FT175"/>
  <c r="FU175"/>
  <c r="FV175"/>
  <c r="FW175"/>
  <c r="FX175"/>
  <c r="FY175"/>
  <c r="FZ175"/>
  <c r="GA175"/>
  <c r="GB175"/>
  <c r="GC175"/>
  <c r="GD175"/>
  <c r="GE175"/>
  <c r="GF175"/>
  <c r="GG175"/>
  <c r="GH175"/>
  <c r="GI175"/>
  <c r="GJ175"/>
  <c r="GK175"/>
  <c r="GL175"/>
  <c r="GM175"/>
  <c r="GN175"/>
  <c r="GO175"/>
  <c r="GP175"/>
  <c r="GQ175"/>
  <c r="GR175"/>
  <c r="GS175"/>
  <c r="GT175"/>
  <c r="GU175"/>
  <c r="GV175"/>
  <c r="GW175"/>
  <c r="GX175"/>
  <c r="GY175"/>
  <c r="GZ175"/>
  <c r="HA175"/>
  <c r="HB175"/>
  <c r="HC175"/>
  <c r="HD175"/>
  <c r="HE175"/>
  <c r="HF175"/>
  <c r="HG175"/>
  <c r="HH175"/>
  <c r="HI175"/>
  <c r="HJ175"/>
  <c r="HK175"/>
  <c r="HL175"/>
  <c r="HM175"/>
  <c r="HN175"/>
  <c r="HO175"/>
  <c r="HP175"/>
  <c r="HQ175"/>
  <c r="HR175"/>
  <c r="HS175"/>
  <c r="HT175"/>
  <c r="HU175"/>
  <c r="HV175"/>
  <c r="HW175"/>
  <c r="HX175"/>
  <c r="HY175"/>
  <c r="HZ175"/>
  <c r="IA175"/>
  <c r="IB175"/>
  <c r="IC175"/>
  <c r="ID175"/>
  <c r="IE175"/>
  <c r="IF175"/>
  <c r="IG175"/>
  <c r="IH175"/>
  <c r="II175"/>
  <c r="IJ175"/>
  <c r="IK175"/>
  <c r="IL175"/>
  <c r="IM175"/>
  <c r="IN175"/>
  <c r="IO175"/>
  <c r="IP175"/>
  <c r="IQ175"/>
  <c r="IR175"/>
  <c r="IS175"/>
  <c r="IT175"/>
  <c r="IU175"/>
  <c r="IV175"/>
  <c r="A174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Y174"/>
  <c r="AZ174"/>
  <c r="BA174"/>
  <c r="BB174"/>
  <c r="BC174"/>
  <c r="BD174"/>
  <c r="BE174"/>
  <c r="BF174"/>
  <c r="BG174"/>
  <c r="BH174"/>
  <c r="BI174"/>
  <c r="BJ174"/>
  <c r="BK174"/>
  <c r="BL174"/>
  <c r="BM174"/>
  <c r="BN174"/>
  <c r="BO174"/>
  <c r="BP174"/>
  <c r="BQ174"/>
  <c r="BR174"/>
  <c r="BS174"/>
  <c r="BT174"/>
  <c r="BU174"/>
  <c r="BV174"/>
  <c r="BW174"/>
  <c r="BX174"/>
  <c r="BY174"/>
  <c r="BZ174"/>
  <c r="CA174"/>
  <c r="CB174"/>
  <c r="CC174"/>
  <c r="CD174"/>
  <c r="CE174"/>
  <c r="CF174"/>
  <c r="CG174"/>
  <c r="CH174"/>
  <c r="CI174"/>
  <c r="CJ174"/>
  <c r="CK174"/>
  <c r="CL174"/>
  <c r="CM174"/>
  <c r="CN174"/>
  <c r="CO174"/>
  <c r="CP174"/>
  <c r="CQ174"/>
  <c r="CR174"/>
  <c r="CS174"/>
  <c r="CT174"/>
  <c r="CU174"/>
  <c r="CV174"/>
  <c r="CW174"/>
  <c r="CX174"/>
  <c r="CY174"/>
  <c r="CZ174"/>
  <c r="DA174"/>
  <c r="DB174"/>
  <c r="DC174"/>
  <c r="DD174"/>
  <c r="DE174"/>
  <c r="DF174"/>
  <c r="DG174"/>
  <c r="DH174"/>
  <c r="DI174"/>
  <c r="DJ174"/>
  <c r="DK174"/>
  <c r="DL174"/>
  <c r="DM174"/>
  <c r="DN174"/>
  <c r="DO174"/>
  <c r="DP174"/>
  <c r="DQ174"/>
  <c r="DR174"/>
  <c r="DS174"/>
  <c r="DT174"/>
  <c r="DU174"/>
  <c r="DV174"/>
  <c r="DW174"/>
  <c r="DX174"/>
  <c r="DY174"/>
  <c r="DZ174"/>
  <c r="EA174"/>
  <c r="EB174"/>
  <c r="EC174"/>
  <c r="ED174"/>
  <c r="EE174"/>
  <c r="EF174"/>
  <c r="EG174"/>
  <c r="EH174"/>
  <c r="EI174"/>
  <c r="EJ174"/>
  <c r="EK174"/>
  <c r="EL174"/>
  <c r="EM174"/>
  <c r="EN174"/>
  <c r="EO174"/>
  <c r="EP174"/>
  <c r="EQ174"/>
  <c r="ER174"/>
  <c r="ES174"/>
  <c r="ET174"/>
  <c r="EU174"/>
  <c r="EV174"/>
  <c r="EW174"/>
  <c r="EX174"/>
  <c r="EY174"/>
  <c r="EZ174"/>
  <c r="FA174"/>
  <c r="FB174"/>
  <c r="FC174"/>
  <c r="FD174"/>
  <c r="FE174"/>
  <c r="FF174"/>
  <c r="FG174"/>
  <c r="FH174"/>
  <c r="FI174"/>
  <c r="FJ174"/>
  <c r="FK174"/>
  <c r="FL174"/>
  <c r="FM174"/>
  <c r="FN174"/>
  <c r="FO174"/>
  <c r="FP174"/>
  <c r="FQ174"/>
  <c r="FR174"/>
  <c r="FS174"/>
  <c r="FT174"/>
  <c r="FU174"/>
  <c r="FV174"/>
  <c r="FW174"/>
  <c r="FX174"/>
  <c r="FY174"/>
  <c r="FZ174"/>
  <c r="GA174"/>
  <c r="GB174"/>
  <c r="GC174"/>
  <c r="GD174"/>
  <c r="GE174"/>
  <c r="GF174"/>
  <c r="GG174"/>
  <c r="GH174"/>
  <c r="GI174"/>
  <c r="GJ174"/>
  <c r="GK174"/>
  <c r="GL174"/>
  <c r="GM174"/>
  <c r="GN174"/>
  <c r="GO174"/>
  <c r="GP174"/>
  <c r="GQ174"/>
  <c r="GR174"/>
  <c r="GS174"/>
  <c r="GT174"/>
  <c r="GU174"/>
  <c r="GV174"/>
  <c r="GW174"/>
  <c r="GX174"/>
  <c r="GY174"/>
  <c r="GZ174"/>
  <c r="HA174"/>
  <c r="HB174"/>
  <c r="HC174"/>
  <c r="HD174"/>
  <c r="HE174"/>
  <c r="HF174"/>
  <c r="HG174"/>
  <c r="HH174"/>
  <c r="HI174"/>
  <c r="HJ174"/>
  <c r="HK174"/>
  <c r="HL174"/>
  <c r="HM174"/>
  <c r="HN174"/>
  <c r="HO174"/>
  <c r="HP174"/>
  <c r="HQ174"/>
  <c r="HR174"/>
  <c r="HS174"/>
  <c r="HT174"/>
  <c r="HU174"/>
  <c r="HV174"/>
  <c r="HW174"/>
  <c r="HX174"/>
  <c r="HY174"/>
  <c r="HZ174"/>
  <c r="IA174"/>
  <c r="IB174"/>
  <c r="IC174"/>
  <c r="ID174"/>
  <c r="IE174"/>
  <c r="IF174"/>
  <c r="IG174"/>
  <c r="IH174"/>
  <c r="II174"/>
  <c r="IJ174"/>
  <c r="IK174"/>
  <c r="IL174"/>
  <c r="IM174"/>
  <c r="IN174"/>
  <c r="IO174"/>
  <c r="IP174"/>
  <c r="IQ174"/>
  <c r="IR174"/>
  <c r="IS174"/>
  <c r="IT174"/>
  <c r="IU174"/>
  <c r="IV174"/>
  <c r="A173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Y173"/>
  <c r="AZ173"/>
  <c r="BA173"/>
  <c r="BB173"/>
  <c r="BC173"/>
  <c r="BD173"/>
  <c r="BE173"/>
  <c r="BF173"/>
  <c r="BG173"/>
  <c r="BH173"/>
  <c r="BI173"/>
  <c r="BJ173"/>
  <c r="BK173"/>
  <c r="BL173"/>
  <c r="BM173"/>
  <c r="BN173"/>
  <c r="BO173"/>
  <c r="BP173"/>
  <c r="BQ173"/>
  <c r="BR173"/>
  <c r="BS173"/>
  <c r="BT173"/>
  <c r="BU173"/>
  <c r="BV173"/>
  <c r="BW173"/>
  <c r="BX173"/>
  <c r="BY173"/>
  <c r="BZ173"/>
  <c r="CA173"/>
  <c r="CB173"/>
  <c r="CC173"/>
  <c r="CD173"/>
  <c r="CE173"/>
  <c r="CF173"/>
  <c r="CG173"/>
  <c r="CH173"/>
  <c r="CI173"/>
  <c r="CJ173"/>
  <c r="CK173"/>
  <c r="CL173"/>
  <c r="CM173"/>
  <c r="CN173"/>
  <c r="CO173"/>
  <c r="CP173"/>
  <c r="CQ173"/>
  <c r="CR173"/>
  <c r="CS173"/>
  <c r="CT173"/>
  <c r="CU173"/>
  <c r="CV173"/>
  <c r="CW173"/>
  <c r="CX173"/>
  <c r="CY173"/>
  <c r="CZ173"/>
  <c r="DA173"/>
  <c r="DB173"/>
  <c r="DC173"/>
  <c r="DD173"/>
  <c r="DE173"/>
  <c r="DF173"/>
  <c r="DG173"/>
  <c r="DH173"/>
  <c r="DI173"/>
  <c r="DJ173"/>
  <c r="DK173"/>
  <c r="DL173"/>
  <c r="DM173"/>
  <c r="DN173"/>
  <c r="DO173"/>
  <c r="DP173"/>
  <c r="DQ173"/>
  <c r="DR173"/>
  <c r="DS173"/>
  <c r="DT173"/>
  <c r="DU173"/>
  <c r="DV173"/>
  <c r="DW173"/>
  <c r="DX173"/>
  <c r="DY173"/>
  <c r="DZ173"/>
  <c r="EA173"/>
  <c r="EB173"/>
  <c r="EC173"/>
  <c r="ED173"/>
  <c r="EE173"/>
  <c r="EF173"/>
  <c r="EG173"/>
  <c r="EH173"/>
  <c r="EI173"/>
  <c r="EJ173"/>
  <c r="EK173"/>
  <c r="EL173"/>
  <c r="EM173"/>
  <c r="EN173"/>
  <c r="EO173"/>
  <c r="EP173"/>
  <c r="EQ173"/>
  <c r="ER173"/>
  <c r="ES173"/>
  <c r="ET173"/>
  <c r="EU173"/>
  <c r="EV173"/>
  <c r="EW173"/>
  <c r="EX173"/>
  <c r="EY173"/>
  <c r="EZ173"/>
  <c r="FA173"/>
  <c r="FB173"/>
  <c r="FC173"/>
  <c r="FD173"/>
  <c r="FE173"/>
  <c r="FF173"/>
  <c r="FG173"/>
  <c r="FH173"/>
  <c r="FI173"/>
  <c r="FJ173"/>
  <c r="FK173"/>
  <c r="FL173"/>
  <c r="FM173"/>
  <c r="FN173"/>
  <c r="FO173"/>
  <c r="FP173"/>
  <c r="FQ173"/>
  <c r="FR173"/>
  <c r="FS173"/>
  <c r="FT173"/>
  <c r="FU173"/>
  <c r="FV173"/>
  <c r="FW173"/>
  <c r="FX173"/>
  <c r="FY173"/>
  <c r="FZ173"/>
  <c r="GA173"/>
  <c r="GB173"/>
  <c r="GC173"/>
  <c r="GD173"/>
  <c r="GE173"/>
  <c r="GF173"/>
  <c r="GG173"/>
  <c r="GH173"/>
  <c r="GI173"/>
  <c r="GJ173"/>
  <c r="GK173"/>
  <c r="GL173"/>
  <c r="GM173"/>
  <c r="GN173"/>
  <c r="GO173"/>
  <c r="GP173"/>
  <c r="GQ173"/>
  <c r="GR173"/>
  <c r="GS173"/>
  <c r="GT173"/>
  <c r="GU173"/>
  <c r="GV173"/>
  <c r="GW173"/>
  <c r="GX173"/>
  <c r="GY173"/>
  <c r="GZ173"/>
  <c r="HA173"/>
  <c r="HB173"/>
  <c r="HC173"/>
  <c r="HD173"/>
  <c r="HE173"/>
  <c r="HF173"/>
  <c r="HG173"/>
  <c r="HH173"/>
  <c r="HI173"/>
  <c r="HJ173"/>
  <c r="HK173"/>
  <c r="HL173"/>
  <c r="HM173"/>
  <c r="HN173"/>
  <c r="HO173"/>
  <c r="HP173"/>
  <c r="HQ173"/>
  <c r="HR173"/>
  <c r="HS173"/>
  <c r="HT173"/>
  <c r="HU173"/>
  <c r="HV173"/>
  <c r="HW173"/>
  <c r="HX173"/>
  <c r="HY173"/>
  <c r="HZ173"/>
  <c r="IA173"/>
  <c r="IB173"/>
  <c r="IC173"/>
  <c r="ID173"/>
  <c r="IE173"/>
  <c r="IF173"/>
  <c r="IG173"/>
  <c r="IH173"/>
  <c r="II173"/>
  <c r="IJ173"/>
  <c r="IK173"/>
  <c r="IL173"/>
  <c r="IM173"/>
  <c r="IN173"/>
  <c r="IO173"/>
  <c r="IP173"/>
  <c r="IQ173"/>
  <c r="IR173"/>
  <c r="IS173"/>
  <c r="IT173"/>
  <c r="IU173"/>
  <c r="IV173"/>
  <c r="A172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Y172"/>
  <c r="AZ172"/>
  <c r="BA172"/>
  <c r="BB172"/>
  <c r="BC172"/>
  <c r="BD172"/>
  <c r="BE172"/>
  <c r="BF172"/>
  <c r="BG172"/>
  <c r="BH172"/>
  <c r="BI172"/>
  <c r="BJ172"/>
  <c r="BK172"/>
  <c r="BL172"/>
  <c r="BM172"/>
  <c r="BN172"/>
  <c r="BO172"/>
  <c r="BP172"/>
  <c r="BQ172"/>
  <c r="BR172"/>
  <c r="BS172"/>
  <c r="BT172"/>
  <c r="BU172"/>
  <c r="BV172"/>
  <c r="BW172"/>
  <c r="BX172"/>
  <c r="BY172"/>
  <c r="BZ172"/>
  <c r="CA172"/>
  <c r="CB172"/>
  <c r="CC172"/>
  <c r="CD172"/>
  <c r="CE172"/>
  <c r="CF172"/>
  <c r="CG172"/>
  <c r="CH172"/>
  <c r="CI172"/>
  <c r="CJ172"/>
  <c r="CK172"/>
  <c r="CL172"/>
  <c r="CM172"/>
  <c r="CN172"/>
  <c r="CO172"/>
  <c r="CP172"/>
  <c r="CQ172"/>
  <c r="CR172"/>
  <c r="CS172"/>
  <c r="CT172"/>
  <c r="CU172"/>
  <c r="CV172"/>
  <c r="CW172"/>
  <c r="CX172"/>
  <c r="CY172"/>
  <c r="CZ172"/>
  <c r="DA172"/>
  <c r="DB172"/>
  <c r="DC172"/>
  <c r="DD172"/>
  <c r="DE172"/>
  <c r="DF172"/>
  <c r="DG172"/>
  <c r="DH172"/>
  <c r="DI172"/>
  <c r="DJ172"/>
  <c r="DK172"/>
  <c r="DL172"/>
  <c r="DM172"/>
  <c r="DN172"/>
  <c r="DO172"/>
  <c r="DP172"/>
  <c r="DQ172"/>
  <c r="DR172"/>
  <c r="DS172"/>
  <c r="DT172"/>
  <c r="DU172"/>
  <c r="DV172"/>
  <c r="DW172"/>
  <c r="DX172"/>
  <c r="DY172"/>
  <c r="DZ172"/>
  <c r="EA172"/>
  <c r="EB172"/>
  <c r="EC172"/>
  <c r="ED172"/>
  <c r="EE172"/>
  <c r="EF172"/>
  <c r="EG172"/>
  <c r="EH172"/>
  <c r="EI172"/>
  <c r="EJ172"/>
  <c r="EK172"/>
  <c r="EL172"/>
  <c r="EM172"/>
  <c r="EN172"/>
  <c r="EO172"/>
  <c r="EP172"/>
  <c r="EQ172"/>
  <c r="ER172"/>
  <c r="ES172"/>
  <c r="ET172"/>
  <c r="EU172"/>
  <c r="EV172"/>
  <c r="EW172"/>
  <c r="EX172"/>
  <c r="EY172"/>
  <c r="EZ172"/>
  <c r="FA172"/>
  <c r="FB172"/>
  <c r="FC172"/>
  <c r="FD172"/>
  <c r="FE172"/>
  <c r="FF172"/>
  <c r="FG172"/>
  <c r="FH172"/>
  <c r="FI172"/>
  <c r="FJ172"/>
  <c r="FK172"/>
  <c r="FL172"/>
  <c r="FM172"/>
  <c r="FN172"/>
  <c r="FO172"/>
  <c r="FP172"/>
  <c r="FQ172"/>
  <c r="FR172"/>
  <c r="FS172"/>
  <c r="FT172"/>
  <c r="FU172"/>
  <c r="FV172"/>
  <c r="FW172"/>
  <c r="FX172"/>
  <c r="FY172"/>
  <c r="FZ172"/>
  <c r="GA172"/>
  <c r="GB172"/>
  <c r="GC172"/>
  <c r="GD172"/>
  <c r="GE172"/>
  <c r="GF172"/>
  <c r="GG172"/>
  <c r="GH172"/>
  <c r="GI172"/>
  <c r="GJ172"/>
  <c r="GK172"/>
  <c r="GL172"/>
  <c r="GM172"/>
  <c r="GN172"/>
  <c r="GO172"/>
  <c r="GP172"/>
  <c r="GQ172"/>
  <c r="GR172"/>
  <c r="GS172"/>
  <c r="GT172"/>
  <c r="GU172"/>
  <c r="GV172"/>
  <c r="GW172"/>
  <c r="GX172"/>
  <c r="GY172"/>
  <c r="GZ172"/>
  <c r="HA172"/>
  <c r="HB172"/>
  <c r="HC172"/>
  <c r="HD172"/>
  <c r="HE172"/>
  <c r="HF172"/>
  <c r="HG172"/>
  <c r="HH172"/>
  <c r="HI172"/>
  <c r="HJ172"/>
  <c r="HK172"/>
  <c r="HL172"/>
  <c r="HM172"/>
  <c r="HN172"/>
  <c r="HO172"/>
  <c r="HP172"/>
  <c r="HQ172"/>
  <c r="HR172"/>
  <c r="HS172"/>
  <c r="HT172"/>
  <c r="HU172"/>
  <c r="HV172"/>
  <c r="HW172"/>
  <c r="HX172"/>
  <c r="HY172"/>
  <c r="HZ172"/>
  <c r="IA172"/>
  <c r="IB172"/>
  <c r="IC172"/>
  <c r="ID172"/>
  <c r="IE172"/>
  <c r="IF172"/>
  <c r="IG172"/>
  <c r="IH172"/>
  <c r="II172"/>
  <c r="IJ172"/>
  <c r="IK172"/>
  <c r="IL172"/>
  <c r="IM172"/>
  <c r="IN172"/>
  <c r="IO172"/>
  <c r="IP172"/>
  <c r="IQ172"/>
  <c r="IR172"/>
  <c r="IS172"/>
  <c r="IT172"/>
  <c r="IU172"/>
  <c r="IV172"/>
  <c r="A171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AZ171"/>
  <c r="BA171"/>
  <c r="BB171"/>
  <c r="BC171"/>
  <c r="BD171"/>
  <c r="BE171"/>
  <c r="BF171"/>
  <c r="BG171"/>
  <c r="BH171"/>
  <c r="BI171"/>
  <c r="BJ171"/>
  <c r="BK171"/>
  <c r="BL171"/>
  <c r="BM171"/>
  <c r="BN171"/>
  <c r="BO171"/>
  <c r="BP171"/>
  <c r="BQ171"/>
  <c r="BR171"/>
  <c r="BS171"/>
  <c r="BT171"/>
  <c r="BU171"/>
  <c r="BV171"/>
  <c r="BW171"/>
  <c r="BX171"/>
  <c r="BY171"/>
  <c r="BZ171"/>
  <c r="CA171"/>
  <c r="CB171"/>
  <c r="CC171"/>
  <c r="CD171"/>
  <c r="CE171"/>
  <c r="CF171"/>
  <c r="CG171"/>
  <c r="CH171"/>
  <c r="CI171"/>
  <c r="CJ171"/>
  <c r="CK171"/>
  <c r="CL171"/>
  <c r="CM171"/>
  <c r="CN171"/>
  <c r="CO171"/>
  <c r="CP171"/>
  <c r="CQ171"/>
  <c r="CR171"/>
  <c r="CS171"/>
  <c r="CT171"/>
  <c r="CU171"/>
  <c r="CV171"/>
  <c r="CW171"/>
  <c r="CX171"/>
  <c r="CY171"/>
  <c r="CZ171"/>
  <c r="DA171"/>
  <c r="DB171"/>
  <c r="DC171"/>
  <c r="DD171"/>
  <c r="DE171"/>
  <c r="DF171"/>
  <c r="DG171"/>
  <c r="DH171"/>
  <c r="DI171"/>
  <c r="DJ171"/>
  <c r="DK171"/>
  <c r="DL171"/>
  <c r="DM171"/>
  <c r="DN171"/>
  <c r="DO171"/>
  <c r="DP171"/>
  <c r="DQ171"/>
  <c r="DR171"/>
  <c r="DS171"/>
  <c r="DT171"/>
  <c r="DU171"/>
  <c r="DV171"/>
  <c r="DW171"/>
  <c r="DX171"/>
  <c r="DY171"/>
  <c r="DZ171"/>
  <c r="EA171"/>
  <c r="EB171"/>
  <c r="EC171"/>
  <c r="ED171"/>
  <c r="EE171"/>
  <c r="EF171"/>
  <c r="EG171"/>
  <c r="EH171"/>
  <c r="EI171"/>
  <c r="EJ171"/>
  <c r="EK171"/>
  <c r="EL171"/>
  <c r="EM171"/>
  <c r="EN171"/>
  <c r="EO171"/>
  <c r="EP171"/>
  <c r="EQ171"/>
  <c r="ER171"/>
  <c r="ES171"/>
  <c r="ET171"/>
  <c r="EU171"/>
  <c r="EV171"/>
  <c r="EW171"/>
  <c r="EX171"/>
  <c r="EY171"/>
  <c r="EZ171"/>
  <c r="FA171"/>
  <c r="FB171"/>
  <c r="FC171"/>
  <c r="FD171"/>
  <c r="FE171"/>
  <c r="FF171"/>
  <c r="FG171"/>
  <c r="FH171"/>
  <c r="FI171"/>
  <c r="FJ171"/>
  <c r="FK171"/>
  <c r="FL171"/>
  <c r="FM171"/>
  <c r="FN171"/>
  <c r="FO171"/>
  <c r="FP171"/>
  <c r="FQ171"/>
  <c r="FR171"/>
  <c r="FS171"/>
  <c r="FT171"/>
  <c r="FU171"/>
  <c r="FV171"/>
  <c r="FW171"/>
  <c r="FX171"/>
  <c r="FY171"/>
  <c r="FZ171"/>
  <c r="GA171"/>
  <c r="GB171"/>
  <c r="GC171"/>
  <c r="GD171"/>
  <c r="GE171"/>
  <c r="GF171"/>
  <c r="GG171"/>
  <c r="GH171"/>
  <c r="GI171"/>
  <c r="GJ171"/>
  <c r="GK171"/>
  <c r="GL171"/>
  <c r="GM171"/>
  <c r="GN171"/>
  <c r="GO171"/>
  <c r="GP171"/>
  <c r="GQ171"/>
  <c r="GR171"/>
  <c r="GS171"/>
  <c r="GT171"/>
  <c r="GU171"/>
  <c r="GV171"/>
  <c r="GW171"/>
  <c r="GX171"/>
  <c r="GY171"/>
  <c r="GZ171"/>
  <c r="HA171"/>
  <c r="HB171"/>
  <c r="HC171"/>
  <c r="HD171"/>
  <c r="HE171"/>
  <c r="HF171"/>
  <c r="HG171"/>
  <c r="HH171"/>
  <c r="HI171"/>
  <c r="HJ171"/>
  <c r="HK171"/>
  <c r="HL171"/>
  <c r="HM171"/>
  <c r="HN171"/>
  <c r="HO171"/>
  <c r="HP171"/>
  <c r="HQ171"/>
  <c r="HR171"/>
  <c r="HS171"/>
  <c r="HT171"/>
  <c r="HU171"/>
  <c r="HV171"/>
  <c r="HW171"/>
  <c r="HX171"/>
  <c r="HY171"/>
  <c r="HZ171"/>
  <c r="IA171"/>
  <c r="IB171"/>
  <c r="IC171"/>
  <c r="ID171"/>
  <c r="IE171"/>
  <c r="IF171"/>
  <c r="IG171"/>
  <c r="IH171"/>
  <c r="II171"/>
  <c r="IJ171"/>
  <c r="IK171"/>
  <c r="IL171"/>
  <c r="IM171"/>
  <c r="IN171"/>
  <c r="IO171"/>
  <c r="IP171"/>
  <c r="IQ171"/>
  <c r="IR171"/>
  <c r="IS171"/>
  <c r="IT171"/>
  <c r="IU171"/>
  <c r="IV171"/>
  <c r="A170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Y170"/>
  <c r="AZ170"/>
  <c r="BA170"/>
  <c r="BB170"/>
  <c r="BC170"/>
  <c r="BD170"/>
  <c r="BE170"/>
  <c r="BF170"/>
  <c r="BG170"/>
  <c r="BH170"/>
  <c r="BI170"/>
  <c r="BJ170"/>
  <c r="BK170"/>
  <c r="BL170"/>
  <c r="BM170"/>
  <c r="BN170"/>
  <c r="BO170"/>
  <c r="BP170"/>
  <c r="BQ170"/>
  <c r="BR170"/>
  <c r="BS170"/>
  <c r="BT170"/>
  <c r="BU170"/>
  <c r="BV170"/>
  <c r="BW170"/>
  <c r="BX170"/>
  <c r="BY170"/>
  <c r="BZ170"/>
  <c r="CA170"/>
  <c r="CB170"/>
  <c r="CC170"/>
  <c r="CD170"/>
  <c r="CE170"/>
  <c r="CF170"/>
  <c r="CG170"/>
  <c r="CH170"/>
  <c r="CI170"/>
  <c r="CJ170"/>
  <c r="CK170"/>
  <c r="CL170"/>
  <c r="CM170"/>
  <c r="CN170"/>
  <c r="CO170"/>
  <c r="CP170"/>
  <c r="CQ170"/>
  <c r="CR170"/>
  <c r="CS170"/>
  <c r="CT170"/>
  <c r="CU170"/>
  <c r="CV170"/>
  <c r="CW170"/>
  <c r="CX170"/>
  <c r="CY170"/>
  <c r="CZ170"/>
  <c r="DA170"/>
  <c r="DB170"/>
  <c r="DC170"/>
  <c r="DD170"/>
  <c r="DE170"/>
  <c r="DF170"/>
  <c r="DG170"/>
  <c r="DH170"/>
  <c r="DI170"/>
  <c r="DJ170"/>
  <c r="DK170"/>
  <c r="DL170"/>
  <c r="DM170"/>
  <c r="DN170"/>
  <c r="DO170"/>
  <c r="DP170"/>
  <c r="DQ170"/>
  <c r="DR170"/>
  <c r="DS170"/>
  <c r="DT170"/>
  <c r="DU170"/>
  <c r="DV170"/>
  <c r="DW170"/>
  <c r="DX170"/>
  <c r="DY170"/>
  <c r="DZ170"/>
  <c r="EA170"/>
  <c r="EB170"/>
  <c r="EC170"/>
  <c r="ED170"/>
  <c r="EE170"/>
  <c r="EF170"/>
  <c r="EG170"/>
  <c r="EH170"/>
  <c r="EI170"/>
  <c r="EJ170"/>
  <c r="EK170"/>
  <c r="EL170"/>
  <c r="EM170"/>
  <c r="EN170"/>
  <c r="EO170"/>
  <c r="EP170"/>
  <c r="EQ170"/>
  <c r="ER170"/>
  <c r="ES170"/>
  <c r="ET170"/>
  <c r="EU170"/>
  <c r="EV170"/>
  <c r="EW170"/>
  <c r="EX170"/>
  <c r="EY170"/>
  <c r="EZ170"/>
  <c r="FA170"/>
  <c r="FB170"/>
  <c r="FC170"/>
  <c r="FD170"/>
  <c r="FE170"/>
  <c r="FF170"/>
  <c r="FG170"/>
  <c r="FH170"/>
  <c r="FI170"/>
  <c r="FJ170"/>
  <c r="FK170"/>
  <c r="FL170"/>
  <c r="FM170"/>
  <c r="FN170"/>
  <c r="FO170"/>
  <c r="FP170"/>
  <c r="FQ170"/>
  <c r="FR170"/>
  <c r="FS170"/>
  <c r="FT170"/>
  <c r="FU170"/>
  <c r="FV170"/>
  <c r="FW170"/>
  <c r="FX170"/>
  <c r="FY170"/>
  <c r="FZ170"/>
  <c r="GA170"/>
  <c r="GB170"/>
  <c r="GC170"/>
  <c r="GD170"/>
  <c r="GE170"/>
  <c r="GF170"/>
  <c r="GG170"/>
  <c r="GH170"/>
  <c r="GI170"/>
  <c r="GJ170"/>
  <c r="GK170"/>
  <c r="GL170"/>
  <c r="GM170"/>
  <c r="GN170"/>
  <c r="GO170"/>
  <c r="GP170"/>
  <c r="GQ170"/>
  <c r="GR170"/>
  <c r="GS170"/>
  <c r="GT170"/>
  <c r="GU170"/>
  <c r="GV170"/>
  <c r="GW170"/>
  <c r="GX170"/>
  <c r="GY170"/>
  <c r="GZ170"/>
  <c r="HA170"/>
  <c r="HB170"/>
  <c r="HC170"/>
  <c r="HD170"/>
  <c r="HE170"/>
  <c r="HF170"/>
  <c r="HG170"/>
  <c r="HH170"/>
  <c r="HI170"/>
  <c r="HJ170"/>
  <c r="HK170"/>
  <c r="HL170"/>
  <c r="HM170"/>
  <c r="HN170"/>
  <c r="HO170"/>
  <c r="HP170"/>
  <c r="HQ170"/>
  <c r="HR170"/>
  <c r="HS170"/>
  <c r="HT170"/>
  <c r="HU170"/>
  <c r="HV170"/>
  <c r="HW170"/>
  <c r="HX170"/>
  <c r="HY170"/>
  <c r="HZ170"/>
  <c r="IA170"/>
  <c r="IB170"/>
  <c r="IC170"/>
  <c r="ID170"/>
  <c r="IE170"/>
  <c r="IF170"/>
  <c r="IG170"/>
  <c r="IH170"/>
  <c r="II170"/>
  <c r="IJ170"/>
  <c r="IK170"/>
  <c r="IL170"/>
  <c r="IM170"/>
  <c r="IN170"/>
  <c r="IO170"/>
  <c r="IP170"/>
  <c r="IQ170"/>
  <c r="IR170"/>
  <c r="IS170"/>
  <c r="IT170"/>
  <c r="IU170"/>
  <c r="IV170"/>
  <c r="A169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CB169"/>
  <c r="CC169"/>
  <c r="CD169"/>
  <c r="CE169"/>
  <c r="CF169"/>
  <c r="CG169"/>
  <c r="CH169"/>
  <c r="CI169"/>
  <c r="CJ169"/>
  <c r="CK169"/>
  <c r="CL169"/>
  <c r="CM169"/>
  <c r="CN169"/>
  <c r="CO169"/>
  <c r="CP169"/>
  <c r="CQ169"/>
  <c r="CR169"/>
  <c r="CS169"/>
  <c r="CT169"/>
  <c r="CU169"/>
  <c r="CV169"/>
  <c r="CW169"/>
  <c r="CX169"/>
  <c r="CY169"/>
  <c r="CZ169"/>
  <c r="DA169"/>
  <c r="DB169"/>
  <c r="DC169"/>
  <c r="DD169"/>
  <c r="DE169"/>
  <c r="DF169"/>
  <c r="DG169"/>
  <c r="DH169"/>
  <c r="DI169"/>
  <c r="DJ169"/>
  <c r="DK169"/>
  <c r="DL169"/>
  <c r="DM169"/>
  <c r="DN169"/>
  <c r="DO169"/>
  <c r="DP169"/>
  <c r="DQ169"/>
  <c r="DR169"/>
  <c r="DS169"/>
  <c r="DT169"/>
  <c r="DU169"/>
  <c r="DV169"/>
  <c r="DW169"/>
  <c r="DX169"/>
  <c r="DY169"/>
  <c r="DZ169"/>
  <c r="EA169"/>
  <c r="EB169"/>
  <c r="EC169"/>
  <c r="ED169"/>
  <c r="EE169"/>
  <c r="EF169"/>
  <c r="EG169"/>
  <c r="EH169"/>
  <c r="EI169"/>
  <c r="EJ169"/>
  <c r="EK169"/>
  <c r="EL169"/>
  <c r="EM169"/>
  <c r="EN169"/>
  <c r="EO169"/>
  <c r="EP169"/>
  <c r="EQ169"/>
  <c r="ER169"/>
  <c r="ES169"/>
  <c r="ET169"/>
  <c r="EU169"/>
  <c r="EV169"/>
  <c r="EW169"/>
  <c r="EX169"/>
  <c r="EY169"/>
  <c r="EZ169"/>
  <c r="FA169"/>
  <c r="FB169"/>
  <c r="FC169"/>
  <c r="FD169"/>
  <c r="FE169"/>
  <c r="FF169"/>
  <c r="FG169"/>
  <c r="FH169"/>
  <c r="FI169"/>
  <c r="FJ169"/>
  <c r="FK169"/>
  <c r="FL169"/>
  <c r="FM169"/>
  <c r="FN169"/>
  <c r="FO169"/>
  <c r="FP169"/>
  <c r="FQ169"/>
  <c r="FR169"/>
  <c r="FS169"/>
  <c r="FT169"/>
  <c r="FU169"/>
  <c r="FV169"/>
  <c r="FW169"/>
  <c r="FX169"/>
  <c r="FY169"/>
  <c r="FZ169"/>
  <c r="GA169"/>
  <c r="GB169"/>
  <c r="GC169"/>
  <c r="GD169"/>
  <c r="GE169"/>
  <c r="GF169"/>
  <c r="GG169"/>
  <c r="GH169"/>
  <c r="GI169"/>
  <c r="GJ169"/>
  <c r="GK169"/>
  <c r="GL169"/>
  <c r="GM169"/>
  <c r="GN169"/>
  <c r="GO169"/>
  <c r="GP169"/>
  <c r="GQ169"/>
  <c r="GR169"/>
  <c r="GS169"/>
  <c r="GT169"/>
  <c r="GU169"/>
  <c r="GV169"/>
  <c r="GW169"/>
  <c r="GX169"/>
  <c r="GY169"/>
  <c r="GZ169"/>
  <c r="HA169"/>
  <c r="HB169"/>
  <c r="HC169"/>
  <c r="HD169"/>
  <c r="HE169"/>
  <c r="HF169"/>
  <c r="HG169"/>
  <c r="HH169"/>
  <c r="HI169"/>
  <c r="HJ169"/>
  <c r="HK169"/>
  <c r="HL169"/>
  <c r="HM169"/>
  <c r="HN169"/>
  <c r="HO169"/>
  <c r="HP169"/>
  <c r="HQ169"/>
  <c r="HR169"/>
  <c r="HS169"/>
  <c r="HT169"/>
  <c r="HU169"/>
  <c r="HV169"/>
  <c r="HW169"/>
  <c r="HX169"/>
  <c r="HY169"/>
  <c r="HZ169"/>
  <c r="IA169"/>
  <c r="IB169"/>
  <c r="IC169"/>
  <c r="ID169"/>
  <c r="IE169"/>
  <c r="IF169"/>
  <c r="IG169"/>
  <c r="IH169"/>
  <c r="II169"/>
  <c r="IJ169"/>
  <c r="IK169"/>
  <c r="IL169"/>
  <c r="IM169"/>
  <c r="IN169"/>
  <c r="IO169"/>
  <c r="IP169"/>
  <c r="IQ169"/>
  <c r="IR169"/>
  <c r="IS169"/>
  <c r="IT169"/>
  <c r="IU169"/>
  <c r="IV169"/>
  <c r="A168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CB168"/>
  <c r="CC168"/>
  <c r="CD168"/>
  <c r="CE168"/>
  <c r="CF168"/>
  <c r="CG168"/>
  <c r="CH168"/>
  <c r="CI168"/>
  <c r="CJ168"/>
  <c r="CK168"/>
  <c r="CL168"/>
  <c r="CM168"/>
  <c r="CN168"/>
  <c r="CO168"/>
  <c r="CP168"/>
  <c r="CQ168"/>
  <c r="CR168"/>
  <c r="CS168"/>
  <c r="CT168"/>
  <c r="CU168"/>
  <c r="CV168"/>
  <c r="CW168"/>
  <c r="CX168"/>
  <c r="CY168"/>
  <c r="CZ168"/>
  <c r="DA168"/>
  <c r="DB168"/>
  <c r="DC168"/>
  <c r="DD168"/>
  <c r="DE168"/>
  <c r="DF168"/>
  <c r="DG168"/>
  <c r="DH168"/>
  <c r="DI168"/>
  <c r="DJ168"/>
  <c r="DK168"/>
  <c r="DL168"/>
  <c r="DM168"/>
  <c r="DN168"/>
  <c r="DO168"/>
  <c r="DP168"/>
  <c r="DQ168"/>
  <c r="DR168"/>
  <c r="DS168"/>
  <c r="DT168"/>
  <c r="DU168"/>
  <c r="DV168"/>
  <c r="DW168"/>
  <c r="DX168"/>
  <c r="DY168"/>
  <c r="DZ168"/>
  <c r="EA168"/>
  <c r="EB168"/>
  <c r="EC168"/>
  <c r="ED168"/>
  <c r="EE168"/>
  <c r="EF168"/>
  <c r="EG168"/>
  <c r="EH168"/>
  <c r="EI168"/>
  <c r="EJ168"/>
  <c r="EK168"/>
  <c r="EL168"/>
  <c r="EM168"/>
  <c r="EN168"/>
  <c r="EO168"/>
  <c r="EP168"/>
  <c r="EQ168"/>
  <c r="ER168"/>
  <c r="ES168"/>
  <c r="ET168"/>
  <c r="EU168"/>
  <c r="EV168"/>
  <c r="EW168"/>
  <c r="EX168"/>
  <c r="EY168"/>
  <c r="EZ168"/>
  <c r="FA168"/>
  <c r="FB168"/>
  <c r="FC168"/>
  <c r="FD168"/>
  <c r="FE168"/>
  <c r="FF168"/>
  <c r="FG168"/>
  <c r="FH168"/>
  <c r="FI168"/>
  <c r="FJ168"/>
  <c r="FK168"/>
  <c r="FL168"/>
  <c r="FM168"/>
  <c r="FN168"/>
  <c r="FO168"/>
  <c r="FP168"/>
  <c r="FQ168"/>
  <c r="FR168"/>
  <c r="FS168"/>
  <c r="FT168"/>
  <c r="FU168"/>
  <c r="FV168"/>
  <c r="FW168"/>
  <c r="FX168"/>
  <c r="FY168"/>
  <c r="FZ168"/>
  <c r="GA168"/>
  <c r="GB168"/>
  <c r="GC168"/>
  <c r="GD168"/>
  <c r="GE168"/>
  <c r="GF168"/>
  <c r="GG168"/>
  <c r="GH168"/>
  <c r="GI168"/>
  <c r="GJ168"/>
  <c r="GK168"/>
  <c r="GL168"/>
  <c r="GM168"/>
  <c r="GN168"/>
  <c r="GO168"/>
  <c r="GP168"/>
  <c r="GQ168"/>
  <c r="GR168"/>
  <c r="GS168"/>
  <c r="GT168"/>
  <c r="GU168"/>
  <c r="GV168"/>
  <c r="GW168"/>
  <c r="GX168"/>
  <c r="GY168"/>
  <c r="GZ168"/>
  <c r="HA168"/>
  <c r="HB168"/>
  <c r="HC168"/>
  <c r="HD168"/>
  <c r="HE168"/>
  <c r="HF168"/>
  <c r="HG168"/>
  <c r="HH168"/>
  <c r="HI168"/>
  <c r="HJ168"/>
  <c r="HK168"/>
  <c r="HL168"/>
  <c r="HM168"/>
  <c r="HN168"/>
  <c r="HO168"/>
  <c r="HP168"/>
  <c r="HQ168"/>
  <c r="HR168"/>
  <c r="HS168"/>
  <c r="HT168"/>
  <c r="HU168"/>
  <c r="HV168"/>
  <c r="HW168"/>
  <c r="HX168"/>
  <c r="HY168"/>
  <c r="HZ168"/>
  <c r="IA168"/>
  <c r="IB168"/>
  <c r="IC168"/>
  <c r="ID168"/>
  <c r="IE168"/>
  <c r="IF168"/>
  <c r="IG168"/>
  <c r="IH168"/>
  <c r="II168"/>
  <c r="IJ168"/>
  <c r="IK168"/>
  <c r="IL168"/>
  <c r="IM168"/>
  <c r="IN168"/>
  <c r="IO168"/>
  <c r="IP168"/>
  <c r="IQ168"/>
  <c r="IR168"/>
  <c r="IS168"/>
  <c r="IT168"/>
  <c r="IU168"/>
  <c r="IV168"/>
  <c r="A167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BF167"/>
  <c r="BG167"/>
  <c r="BH167"/>
  <c r="BI167"/>
  <c r="BJ167"/>
  <c r="BK167"/>
  <c r="BL167"/>
  <c r="BM167"/>
  <c r="BN167"/>
  <c r="BO167"/>
  <c r="BP167"/>
  <c r="BQ167"/>
  <c r="BR167"/>
  <c r="BS167"/>
  <c r="BT167"/>
  <c r="BU167"/>
  <c r="BV167"/>
  <c r="BW167"/>
  <c r="BX167"/>
  <c r="BY167"/>
  <c r="BZ167"/>
  <c r="CA167"/>
  <c r="CB167"/>
  <c r="CC167"/>
  <c r="CD167"/>
  <c r="CE167"/>
  <c r="CF167"/>
  <c r="CG167"/>
  <c r="CH167"/>
  <c r="CI167"/>
  <c r="CJ167"/>
  <c r="CK167"/>
  <c r="CL167"/>
  <c r="CM167"/>
  <c r="CN167"/>
  <c r="CO167"/>
  <c r="CP167"/>
  <c r="CQ167"/>
  <c r="CR167"/>
  <c r="CS167"/>
  <c r="CT167"/>
  <c r="CU167"/>
  <c r="CV167"/>
  <c r="CW167"/>
  <c r="CX167"/>
  <c r="CY167"/>
  <c r="CZ167"/>
  <c r="DA167"/>
  <c r="DB167"/>
  <c r="DC167"/>
  <c r="DD167"/>
  <c r="DE167"/>
  <c r="DF167"/>
  <c r="DG167"/>
  <c r="DH167"/>
  <c r="DI167"/>
  <c r="DJ167"/>
  <c r="DK167"/>
  <c r="DL167"/>
  <c r="DM167"/>
  <c r="DN167"/>
  <c r="DO167"/>
  <c r="DP167"/>
  <c r="DQ167"/>
  <c r="DR167"/>
  <c r="DS167"/>
  <c r="DT167"/>
  <c r="DU167"/>
  <c r="DV167"/>
  <c r="DW167"/>
  <c r="DX167"/>
  <c r="DY167"/>
  <c r="DZ167"/>
  <c r="EA167"/>
  <c r="EB167"/>
  <c r="EC167"/>
  <c r="ED167"/>
  <c r="EE167"/>
  <c r="EF167"/>
  <c r="EG167"/>
  <c r="EH167"/>
  <c r="EI167"/>
  <c r="EJ167"/>
  <c r="EK167"/>
  <c r="EL167"/>
  <c r="EM167"/>
  <c r="EN167"/>
  <c r="EO167"/>
  <c r="EP167"/>
  <c r="EQ167"/>
  <c r="ER167"/>
  <c r="ES167"/>
  <c r="ET167"/>
  <c r="EU167"/>
  <c r="EV167"/>
  <c r="EW167"/>
  <c r="EX167"/>
  <c r="EY167"/>
  <c r="EZ167"/>
  <c r="FA167"/>
  <c r="FB167"/>
  <c r="FC167"/>
  <c r="FD167"/>
  <c r="FE167"/>
  <c r="FF167"/>
  <c r="FG167"/>
  <c r="FH167"/>
  <c r="FI167"/>
  <c r="FJ167"/>
  <c r="FK167"/>
  <c r="FL167"/>
  <c r="FM167"/>
  <c r="FN167"/>
  <c r="FO167"/>
  <c r="FP167"/>
  <c r="FQ167"/>
  <c r="FR167"/>
  <c r="FS167"/>
  <c r="FT167"/>
  <c r="FU167"/>
  <c r="FV167"/>
  <c r="FW167"/>
  <c r="FX167"/>
  <c r="FY167"/>
  <c r="FZ167"/>
  <c r="GA167"/>
  <c r="GB167"/>
  <c r="GC167"/>
  <c r="GD167"/>
  <c r="GE167"/>
  <c r="GF167"/>
  <c r="GG167"/>
  <c r="GH167"/>
  <c r="GI167"/>
  <c r="GJ167"/>
  <c r="GK167"/>
  <c r="GL167"/>
  <c r="GM167"/>
  <c r="GN167"/>
  <c r="GO167"/>
  <c r="GP167"/>
  <c r="GQ167"/>
  <c r="GR167"/>
  <c r="GS167"/>
  <c r="GT167"/>
  <c r="GU167"/>
  <c r="GV167"/>
  <c r="GW167"/>
  <c r="GX167"/>
  <c r="GY167"/>
  <c r="GZ167"/>
  <c r="HA167"/>
  <c r="HB167"/>
  <c r="HC167"/>
  <c r="HD167"/>
  <c r="HE167"/>
  <c r="HF167"/>
  <c r="HG167"/>
  <c r="HH167"/>
  <c r="HI167"/>
  <c r="HJ167"/>
  <c r="HK167"/>
  <c r="HL167"/>
  <c r="HM167"/>
  <c r="HN167"/>
  <c r="HO167"/>
  <c r="HP167"/>
  <c r="HQ167"/>
  <c r="HR167"/>
  <c r="HS167"/>
  <c r="HT167"/>
  <c r="HU167"/>
  <c r="HV167"/>
  <c r="HW167"/>
  <c r="HX167"/>
  <c r="HY167"/>
  <c r="HZ167"/>
  <c r="IA167"/>
  <c r="IB167"/>
  <c r="IC167"/>
  <c r="ID167"/>
  <c r="IE167"/>
  <c r="IF167"/>
  <c r="IG167"/>
  <c r="IH167"/>
  <c r="II167"/>
  <c r="IJ167"/>
  <c r="IK167"/>
  <c r="IL167"/>
  <c r="IM167"/>
  <c r="IN167"/>
  <c r="IO167"/>
  <c r="IP167"/>
  <c r="IQ167"/>
  <c r="IR167"/>
  <c r="IS167"/>
  <c r="IT167"/>
  <c r="IU167"/>
  <c r="IV167"/>
  <c r="A166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BF166"/>
  <c r="BG166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CB166"/>
  <c r="CC166"/>
  <c r="CD166"/>
  <c r="CE166"/>
  <c r="CF166"/>
  <c r="CG166"/>
  <c r="CH166"/>
  <c r="CI166"/>
  <c r="CJ166"/>
  <c r="CK166"/>
  <c r="CL166"/>
  <c r="CM166"/>
  <c r="CN166"/>
  <c r="CO166"/>
  <c r="CP166"/>
  <c r="CQ166"/>
  <c r="CR166"/>
  <c r="CS166"/>
  <c r="CT166"/>
  <c r="CU166"/>
  <c r="CV166"/>
  <c r="CW166"/>
  <c r="CX166"/>
  <c r="CY166"/>
  <c r="CZ166"/>
  <c r="DA166"/>
  <c r="DB166"/>
  <c r="DC166"/>
  <c r="DD166"/>
  <c r="DE166"/>
  <c r="DF166"/>
  <c r="DG166"/>
  <c r="DH166"/>
  <c r="DI166"/>
  <c r="DJ166"/>
  <c r="DK166"/>
  <c r="DL166"/>
  <c r="DM166"/>
  <c r="DN166"/>
  <c r="DO166"/>
  <c r="DP166"/>
  <c r="DQ166"/>
  <c r="DR166"/>
  <c r="DS166"/>
  <c r="DT166"/>
  <c r="DU166"/>
  <c r="DV166"/>
  <c r="DW166"/>
  <c r="DX166"/>
  <c r="DY166"/>
  <c r="DZ166"/>
  <c r="EA166"/>
  <c r="EB166"/>
  <c r="EC166"/>
  <c r="ED166"/>
  <c r="EE166"/>
  <c r="EF166"/>
  <c r="EG166"/>
  <c r="EH166"/>
  <c r="EI166"/>
  <c r="EJ166"/>
  <c r="EK166"/>
  <c r="EL166"/>
  <c r="EM166"/>
  <c r="EN166"/>
  <c r="EO166"/>
  <c r="EP166"/>
  <c r="EQ166"/>
  <c r="ER166"/>
  <c r="ES166"/>
  <c r="ET166"/>
  <c r="EU166"/>
  <c r="EV166"/>
  <c r="EW166"/>
  <c r="EX166"/>
  <c r="EY166"/>
  <c r="EZ166"/>
  <c r="FA166"/>
  <c r="FB166"/>
  <c r="FC166"/>
  <c r="FD166"/>
  <c r="FE166"/>
  <c r="FF166"/>
  <c r="FG166"/>
  <c r="FH166"/>
  <c r="FI166"/>
  <c r="FJ166"/>
  <c r="FK166"/>
  <c r="FL166"/>
  <c r="FM166"/>
  <c r="FN166"/>
  <c r="FO166"/>
  <c r="FP166"/>
  <c r="FQ166"/>
  <c r="FR166"/>
  <c r="FS166"/>
  <c r="FT166"/>
  <c r="FU166"/>
  <c r="FV166"/>
  <c r="FW166"/>
  <c r="FX166"/>
  <c r="FY166"/>
  <c r="FZ166"/>
  <c r="GA166"/>
  <c r="GB166"/>
  <c r="GC166"/>
  <c r="GD166"/>
  <c r="GE166"/>
  <c r="GF166"/>
  <c r="GG166"/>
  <c r="GH166"/>
  <c r="GI166"/>
  <c r="GJ166"/>
  <c r="GK166"/>
  <c r="GL166"/>
  <c r="GM166"/>
  <c r="GN166"/>
  <c r="GO166"/>
  <c r="GP166"/>
  <c r="GQ166"/>
  <c r="GR166"/>
  <c r="GS166"/>
  <c r="GT166"/>
  <c r="GU166"/>
  <c r="GV166"/>
  <c r="GW166"/>
  <c r="GX166"/>
  <c r="GY166"/>
  <c r="GZ166"/>
  <c r="HA166"/>
  <c r="HB166"/>
  <c r="HC166"/>
  <c r="HD166"/>
  <c r="HE166"/>
  <c r="HF166"/>
  <c r="HG166"/>
  <c r="HH166"/>
  <c r="HI166"/>
  <c r="HJ166"/>
  <c r="HK166"/>
  <c r="HL166"/>
  <c r="HM166"/>
  <c r="HN166"/>
  <c r="HO166"/>
  <c r="HP166"/>
  <c r="HQ166"/>
  <c r="HR166"/>
  <c r="HS166"/>
  <c r="HT166"/>
  <c r="HU166"/>
  <c r="HV166"/>
  <c r="HW166"/>
  <c r="HX166"/>
  <c r="HY166"/>
  <c r="HZ166"/>
  <c r="IA166"/>
  <c r="IB166"/>
  <c r="IC166"/>
  <c r="ID166"/>
  <c r="IE166"/>
  <c r="IF166"/>
  <c r="IG166"/>
  <c r="IH166"/>
  <c r="II166"/>
  <c r="IJ166"/>
  <c r="IK166"/>
  <c r="IL166"/>
  <c r="IM166"/>
  <c r="IN166"/>
  <c r="IO166"/>
  <c r="IP166"/>
  <c r="IQ166"/>
  <c r="IR166"/>
  <c r="IS166"/>
  <c r="IT166"/>
  <c r="IU166"/>
  <c r="IV166"/>
  <c r="A165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BF165"/>
  <c r="BG165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CB165"/>
  <c r="CC165"/>
  <c r="CD165"/>
  <c r="CE165"/>
  <c r="CF165"/>
  <c r="CG165"/>
  <c r="CH165"/>
  <c r="CI165"/>
  <c r="CJ165"/>
  <c r="CK165"/>
  <c r="CL165"/>
  <c r="CM165"/>
  <c r="CN165"/>
  <c r="CO165"/>
  <c r="CP165"/>
  <c r="CQ165"/>
  <c r="CR165"/>
  <c r="CS165"/>
  <c r="CT165"/>
  <c r="CU165"/>
  <c r="CV165"/>
  <c r="CW165"/>
  <c r="CX165"/>
  <c r="CY165"/>
  <c r="CZ165"/>
  <c r="DA165"/>
  <c r="DB165"/>
  <c r="DC165"/>
  <c r="DD165"/>
  <c r="DE165"/>
  <c r="DF165"/>
  <c r="DG165"/>
  <c r="DH165"/>
  <c r="DI165"/>
  <c r="DJ165"/>
  <c r="DK165"/>
  <c r="DL165"/>
  <c r="DM165"/>
  <c r="DN165"/>
  <c r="DO165"/>
  <c r="DP165"/>
  <c r="DQ165"/>
  <c r="DR165"/>
  <c r="DS165"/>
  <c r="DT165"/>
  <c r="DU165"/>
  <c r="DV165"/>
  <c r="DW165"/>
  <c r="DX165"/>
  <c r="DY165"/>
  <c r="DZ165"/>
  <c r="EA165"/>
  <c r="EB165"/>
  <c r="EC165"/>
  <c r="ED165"/>
  <c r="EE165"/>
  <c r="EF165"/>
  <c r="EG165"/>
  <c r="EH165"/>
  <c r="EI165"/>
  <c r="EJ165"/>
  <c r="EK165"/>
  <c r="EL165"/>
  <c r="EM165"/>
  <c r="EN165"/>
  <c r="EO165"/>
  <c r="EP165"/>
  <c r="EQ165"/>
  <c r="ER165"/>
  <c r="ES165"/>
  <c r="ET165"/>
  <c r="EU165"/>
  <c r="EV165"/>
  <c r="EW165"/>
  <c r="EX165"/>
  <c r="EY165"/>
  <c r="EZ165"/>
  <c r="FA165"/>
  <c r="FB165"/>
  <c r="FC165"/>
  <c r="FD165"/>
  <c r="FE165"/>
  <c r="FF165"/>
  <c r="FG165"/>
  <c r="FH165"/>
  <c r="FI165"/>
  <c r="FJ165"/>
  <c r="FK165"/>
  <c r="FL165"/>
  <c r="FM165"/>
  <c r="FN165"/>
  <c r="FO165"/>
  <c r="FP165"/>
  <c r="FQ165"/>
  <c r="FR165"/>
  <c r="FS165"/>
  <c r="FT165"/>
  <c r="FU165"/>
  <c r="FV165"/>
  <c r="FW165"/>
  <c r="FX165"/>
  <c r="FY165"/>
  <c r="FZ165"/>
  <c r="GA165"/>
  <c r="GB165"/>
  <c r="GC165"/>
  <c r="GD165"/>
  <c r="GE165"/>
  <c r="GF165"/>
  <c r="GG165"/>
  <c r="GH165"/>
  <c r="GI165"/>
  <c r="GJ165"/>
  <c r="GK165"/>
  <c r="GL165"/>
  <c r="GM165"/>
  <c r="GN165"/>
  <c r="GO165"/>
  <c r="GP165"/>
  <c r="GQ165"/>
  <c r="GR165"/>
  <c r="GS165"/>
  <c r="GT165"/>
  <c r="GU165"/>
  <c r="GV165"/>
  <c r="GW165"/>
  <c r="GX165"/>
  <c r="GY165"/>
  <c r="GZ165"/>
  <c r="HA165"/>
  <c r="HB165"/>
  <c r="HC165"/>
  <c r="HD165"/>
  <c r="HE165"/>
  <c r="HF165"/>
  <c r="HG165"/>
  <c r="HH165"/>
  <c r="HI165"/>
  <c r="HJ165"/>
  <c r="HK165"/>
  <c r="HL165"/>
  <c r="HM165"/>
  <c r="HN165"/>
  <c r="HO165"/>
  <c r="HP165"/>
  <c r="HQ165"/>
  <c r="HR165"/>
  <c r="HS165"/>
  <c r="HT165"/>
  <c r="HU165"/>
  <c r="HV165"/>
  <c r="HW165"/>
  <c r="HX165"/>
  <c r="HY165"/>
  <c r="HZ165"/>
  <c r="IA165"/>
  <c r="IB165"/>
  <c r="IC165"/>
  <c r="ID165"/>
  <c r="IE165"/>
  <c r="IF165"/>
  <c r="IG165"/>
  <c r="IH165"/>
  <c r="II165"/>
  <c r="IJ165"/>
  <c r="IK165"/>
  <c r="IL165"/>
  <c r="IM165"/>
  <c r="IN165"/>
  <c r="IO165"/>
  <c r="IP165"/>
  <c r="IQ165"/>
  <c r="IR165"/>
  <c r="IS165"/>
  <c r="IT165"/>
  <c r="IU165"/>
  <c r="IV165"/>
  <c r="A164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BF164"/>
  <c r="BG164"/>
  <c r="BH164"/>
  <c r="BI164"/>
  <c r="BJ164"/>
  <c r="BK164"/>
  <c r="BL164"/>
  <c r="BM164"/>
  <c r="BN164"/>
  <c r="BO164"/>
  <c r="BP164"/>
  <c r="BQ164"/>
  <c r="BR164"/>
  <c r="BS164"/>
  <c r="BT164"/>
  <c r="BU164"/>
  <c r="BV164"/>
  <c r="BW164"/>
  <c r="BX164"/>
  <c r="BY164"/>
  <c r="BZ164"/>
  <c r="CA164"/>
  <c r="CB164"/>
  <c r="CC164"/>
  <c r="CD164"/>
  <c r="CE164"/>
  <c r="CF164"/>
  <c r="CG164"/>
  <c r="CH164"/>
  <c r="CI164"/>
  <c r="CJ164"/>
  <c r="CK164"/>
  <c r="CL164"/>
  <c r="CM164"/>
  <c r="CN164"/>
  <c r="CO164"/>
  <c r="CP164"/>
  <c r="CQ164"/>
  <c r="CR164"/>
  <c r="CS164"/>
  <c r="CT164"/>
  <c r="CU164"/>
  <c r="CV164"/>
  <c r="CW164"/>
  <c r="CX164"/>
  <c r="CY164"/>
  <c r="CZ164"/>
  <c r="DA164"/>
  <c r="DB164"/>
  <c r="DC164"/>
  <c r="DD164"/>
  <c r="DE164"/>
  <c r="DF164"/>
  <c r="DG164"/>
  <c r="DH164"/>
  <c r="DI164"/>
  <c r="DJ164"/>
  <c r="DK164"/>
  <c r="DL164"/>
  <c r="DM164"/>
  <c r="DN164"/>
  <c r="DO164"/>
  <c r="DP164"/>
  <c r="DQ164"/>
  <c r="DR164"/>
  <c r="DS164"/>
  <c r="DT164"/>
  <c r="DU164"/>
  <c r="DV164"/>
  <c r="DW164"/>
  <c r="DX164"/>
  <c r="DY164"/>
  <c r="DZ164"/>
  <c r="EA164"/>
  <c r="EB164"/>
  <c r="EC164"/>
  <c r="ED164"/>
  <c r="EE164"/>
  <c r="EF164"/>
  <c r="EG164"/>
  <c r="EH164"/>
  <c r="EI164"/>
  <c r="EJ164"/>
  <c r="EK164"/>
  <c r="EL164"/>
  <c r="EM164"/>
  <c r="EN164"/>
  <c r="EO164"/>
  <c r="EP164"/>
  <c r="EQ164"/>
  <c r="ER164"/>
  <c r="ES164"/>
  <c r="ET164"/>
  <c r="EU164"/>
  <c r="EV164"/>
  <c r="EW164"/>
  <c r="EX164"/>
  <c r="EY164"/>
  <c r="EZ164"/>
  <c r="FA164"/>
  <c r="FB164"/>
  <c r="FC164"/>
  <c r="FD164"/>
  <c r="FE164"/>
  <c r="FF164"/>
  <c r="FG164"/>
  <c r="FH164"/>
  <c r="FI164"/>
  <c r="FJ164"/>
  <c r="FK164"/>
  <c r="FL164"/>
  <c r="FM164"/>
  <c r="FN164"/>
  <c r="FO164"/>
  <c r="FP164"/>
  <c r="FQ164"/>
  <c r="FR164"/>
  <c r="FS164"/>
  <c r="FT164"/>
  <c r="FU164"/>
  <c r="FV164"/>
  <c r="FW164"/>
  <c r="FX164"/>
  <c r="FY164"/>
  <c r="FZ164"/>
  <c r="GA164"/>
  <c r="GB164"/>
  <c r="GC164"/>
  <c r="GD164"/>
  <c r="GE164"/>
  <c r="GF164"/>
  <c r="GG164"/>
  <c r="GH164"/>
  <c r="GI164"/>
  <c r="GJ164"/>
  <c r="GK164"/>
  <c r="GL164"/>
  <c r="GM164"/>
  <c r="GN164"/>
  <c r="GO164"/>
  <c r="GP164"/>
  <c r="GQ164"/>
  <c r="GR164"/>
  <c r="GS164"/>
  <c r="GT164"/>
  <c r="GU164"/>
  <c r="GV164"/>
  <c r="GW164"/>
  <c r="GX164"/>
  <c r="GY164"/>
  <c r="GZ164"/>
  <c r="HA164"/>
  <c r="HB164"/>
  <c r="HC164"/>
  <c r="HD164"/>
  <c r="HE164"/>
  <c r="HF164"/>
  <c r="HG164"/>
  <c r="HH164"/>
  <c r="HI164"/>
  <c r="HJ164"/>
  <c r="HK164"/>
  <c r="HL164"/>
  <c r="HM164"/>
  <c r="HN164"/>
  <c r="HO164"/>
  <c r="HP164"/>
  <c r="HQ164"/>
  <c r="HR164"/>
  <c r="HS164"/>
  <c r="HT164"/>
  <c r="HU164"/>
  <c r="HV164"/>
  <c r="HW164"/>
  <c r="HX164"/>
  <c r="HY164"/>
  <c r="HZ164"/>
  <c r="IA164"/>
  <c r="IB164"/>
  <c r="IC164"/>
  <c r="ID164"/>
  <c r="IE164"/>
  <c r="IF164"/>
  <c r="IG164"/>
  <c r="IH164"/>
  <c r="II164"/>
  <c r="IJ164"/>
  <c r="IK164"/>
  <c r="IL164"/>
  <c r="IM164"/>
  <c r="IN164"/>
  <c r="IO164"/>
  <c r="IP164"/>
  <c r="IQ164"/>
  <c r="IR164"/>
  <c r="IS164"/>
  <c r="IT164"/>
  <c r="IU164"/>
  <c r="IV164"/>
  <c r="A163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BF163"/>
  <c r="BG163"/>
  <c r="BH163"/>
  <c r="BI163"/>
  <c r="BJ163"/>
  <c r="BK163"/>
  <c r="BL163"/>
  <c r="BM163"/>
  <c r="BN163"/>
  <c r="BO163"/>
  <c r="BP163"/>
  <c r="BQ163"/>
  <c r="BR163"/>
  <c r="BS163"/>
  <c r="BT163"/>
  <c r="BU163"/>
  <c r="BV163"/>
  <c r="BW163"/>
  <c r="BX163"/>
  <c r="BY163"/>
  <c r="BZ163"/>
  <c r="CA163"/>
  <c r="CB163"/>
  <c r="CC163"/>
  <c r="CD163"/>
  <c r="CE163"/>
  <c r="CF163"/>
  <c r="CG163"/>
  <c r="CH163"/>
  <c r="CI163"/>
  <c r="CJ163"/>
  <c r="CK163"/>
  <c r="CL163"/>
  <c r="CM163"/>
  <c r="CN163"/>
  <c r="CO163"/>
  <c r="CP163"/>
  <c r="CQ163"/>
  <c r="CR163"/>
  <c r="CS163"/>
  <c r="CT163"/>
  <c r="CU163"/>
  <c r="CV163"/>
  <c r="CW163"/>
  <c r="CX163"/>
  <c r="CY163"/>
  <c r="CZ163"/>
  <c r="DA163"/>
  <c r="DB163"/>
  <c r="DC163"/>
  <c r="DD163"/>
  <c r="DE163"/>
  <c r="DF163"/>
  <c r="DG163"/>
  <c r="DH163"/>
  <c r="DI163"/>
  <c r="DJ163"/>
  <c r="DK163"/>
  <c r="DL163"/>
  <c r="DM163"/>
  <c r="DN163"/>
  <c r="DO163"/>
  <c r="DP163"/>
  <c r="DQ163"/>
  <c r="DR163"/>
  <c r="DS163"/>
  <c r="DT163"/>
  <c r="DU163"/>
  <c r="DV163"/>
  <c r="DW163"/>
  <c r="DX163"/>
  <c r="DY163"/>
  <c r="DZ163"/>
  <c r="EA163"/>
  <c r="EB163"/>
  <c r="EC163"/>
  <c r="ED163"/>
  <c r="EE163"/>
  <c r="EF163"/>
  <c r="EG163"/>
  <c r="EH163"/>
  <c r="EI163"/>
  <c r="EJ163"/>
  <c r="EK163"/>
  <c r="EL163"/>
  <c r="EM163"/>
  <c r="EN163"/>
  <c r="EO163"/>
  <c r="EP163"/>
  <c r="EQ163"/>
  <c r="ER163"/>
  <c r="ES163"/>
  <c r="ET163"/>
  <c r="EU163"/>
  <c r="EV163"/>
  <c r="EW163"/>
  <c r="EX163"/>
  <c r="EY163"/>
  <c r="EZ163"/>
  <c r="FA163"/>
  <c r="FB163"/>
  <c r="FC163"/>
  <c r="FD163"/>
  <c r="FE163"/>
  <c r="FF163"/>
  <c r="FG163"/>
  <c r="FH163"/>
  <c r="FI163"/>
  <c r="FJ163"/>
  <c r="FK163"/>
  <c r="FL163"/>
  <c r="FM163"/>
  <c r="FN163"/>
  <c r="FO163"/>
  <c r="FP163"/>
  <c r="FQ163"/>
  <c r="FR163"/>
  <c r="FS163"/>
  <c r="FT163"/>
  <c r="FU163"/>
  <c r="FV163"/>
  <c r="FW163"/>
  <c r="FX163"/>
  <c r="FY163"/>
  <c r="FZ163"/>
  <c r="GA163"/>
  <c r="GB163"/>
  <c r="GC163"/>
  <c r="GD163"/>
  <c r="GE163"/>
  <c r="GF163"/>
  <c r="GG163"/>
  <c r="GH163"/>
  <c r="GI163"/>
  <c r="GJ163"/>
  <c r="GK163"/>
  <c r="GL163"/>
  <c r="GM163"/>
  <c r="GN163"/>
  <c r="GO163"/>
  <c r="GP163"/>
  <c r="GQ163"/>
  <c r="GR163"/>
  <c r="GS163"/>
  <c r="GT163"/>
  <c r="GU163"/>
  <c r="GV163"/>
  <c r="GW163"/>
  <c r="GX163"/>
  <c r="GY163"/>
  <c r="GZ163"/>
  <c r="HA163"/>
  <c r="HB163"/>
  <c r="HC163"/>
  <c r="HD163"/>
  <c r="HE163"/>
  <c r="HF163"/>
  <c r="HG163"/>
  <c r="HH163"/>
  <c r="HI163"/>
  <c r="HJ163"/>
  <c r="HK163"/>
  <c r="HL163"/>
  <c r="HM163"/>
  <c r="HN163"/>
  <c r="HO163"/>
  <c r="HP163"/>
  <c r="HQ163"/>
  <c r="HR163"/>
  <c r="HS163"/>
  <c r="HT163"/>
  <c r="HU163"/>
  <c r="HV163"/>
  <c r="HW163"/>
  <c r="HX163"/>
  <c r="HY163"/>
  <c r="HZ163"/>
  <c r="IA163"/>
  <c r="IB163"/>
  <c r="IC163"/>
  <c r="ID163"/>
  <c r="IE163"/>
  <c r="IF163"/>
  <c r="IG163"/>
  <c r="IH163"/>
  <c r="II163"/>
  <c r="IJ163"/>
  <c r="IK163"/>
  <c r="IL163"/>
  <c r="IM163"/>
  <c r="IN163"/>
  <c r="IO163"/>
  <c r="IP163"/>
  <c r="IQ163"/>
  <c r="IR163"/>
  <c r="IS163"/>
  <c r="IT163"/>
  <c r="IU163"/>
  <c r="IV163"/>
  <c r="A162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Y162"/>
  <c r="AZ162"/>
  <c r="BA162"/>
  <c r="BB162"/>
  <c r="BC162"/>
  <c r="BD162"/>
  <c r="BE162"/>
  <c r="BF162"/>
  <c r="BG162"/>
  <c r="BH162"/>
  <c r="BI162"/>
  <c r="BJ162"/>
  <c r="BK162"/>
  <c r="BL162"/>
  <c r="BM162"/>
  <c r="BN162"/>
  <c r="BO162"/>
  <c r="BP162"/>
  <c r="BQ162"/>
  <c r="BR162"/>
  <c r="BS162"/>
  <c r="BT162"/>
  <c r="BU162"/>
  <c r="BV162"/>
  <c r="BW162"/>
  <c r="BX162"/>
  <c r="BY162"/>
  <c r="BZ162"/>
  <c r="CA162"/>
  <c r="CB162"/>
  <c r="CC162"/>
  <c r="CD162"/>
  <c r="CE162"/>
  <c r="CF162"/>
  <c r="CG162"/>
  <c r="CH162"/>
  <c r="CI162"/>
  <c r="CJ162"/>
  <c r="CK162"/>
  <c r="CL162"/>
  <c r="CM162"/>
  <c r="CN162"/>
  <c r="CO162"/>
  <c r="CP162"/>
  <c r="CQ162"/>
  <c r="CR162"/>
  <c r="CS162"/>
  <c r="CT162"/>
  <c r="CU162"/>
  <c r="CV162"/>
  <c r="CW162"/>
  <c r="CX162"/>
  <c r="CY162"/>
  <c r="CZ162"/>
  <c r="DA162"/>
  <c r="DB162"/>
  <c r="DC162"/>
  <c r="DD162"/>
  <c r="DE162"/>
  <c r="DF162"/>
  <c r="DG162"/>
  <c r="DH162"/>
  <c r="DI162"/>
  <c r="DJ162"/>
  <c r="DK162"/>
  <c r="DL162"/>
  <c r="DM162"/>
  <c r="DN162"/>
  <c r="DO162"/>
  <c r="DP162"/>
  <c r="DQ162"/>
  <c r="DR162"/>
  <c r="DS162"/>
  <c r="DT162"/>
  <c r="DU162"/>
  <c r="DV162"/>
  <c r="DW162"/>
  <c r="DX162"/>
  <c r="DY162"/>
  <c r="DZ162"/>
  <c r="EA162"/>
  <c r="EB162"/>
  <c r="EC162"/>
  <c r="ED162"/>
  <c r="EE162"/>
  <c r="EF162"/>
  <c r="EG162"/>
  <c r="EH162"/>
  <c r="EI162"/>
  <c r="EJ162"/>
  <c r="EK162"/>
  <c r="EL162"/>
  <c r="EM162"/>
  <c r="EN162"/>
  <c r="EO162"/>
  <c r="EP162"/>
  <c r="EQ162"/>
  <c r="ER162"/>
  <c r="ES162"/>
  <c r="ET162"/>
  <c r="EU162"/>
  <c r="EV162"/>
  <c r="EW162"/>
  <c r="EX162"/>
  <c r="EY162"/>
  <c r="EZ162"/>
  <c r="FA162"/>
  <c r="FB162"/>
  <c r="FC162"/>
  <c r="FD162"/>
  <c r="FE162"/>
  <c r="FF162"/>
  <c r="FG162"/>
  <c r="FH162"/>
  <c r="FI162"/>
  <c r="FJ162"/>
  <c r="FK162"/>
  <c r="FL162"/>
  <c r="FM162"/>
  <c r="FN162"/>
  <c r="FO162"/>
  <c r="FP162"/>
  <c r="FQ162"/>
  <c r="FR162"/>
  <c r="FS162"/>
  <c r="FT162"/>
  <c r="FU162"/>
  <c r="FV162"/>
  <c r="FW162"/>
  <c r="FX162"/>
  <c r="FY162"/>
  <c r="FZ162"/>
  <c r="GA162"/>
  <c r="GB162"/>
  <c r="GC162"/>
  <c r="GD162"/>
  <c r="GE162"/>
  <c r="GF162"/>
  <c r="GG162"/>
  <c r="GH162"/>
  <c r="GI162"/>
  <c r="GJ162"/>
  <c r="GK162"/>
  <c r="GL162"/>
  <c r="GM162"/>
  <c r="GN162"/>
  <c r="GO162"/>
  <c r="GP162"/>
  <c r="GQ162"/>
  <c r="GR162"/>
  <c r="GS162"/>
  <c r="GT162"/>
  <c r="GU162"/>
  <c r="GV162"/>
  <c r="GW162"/>
  <c r="GX162"/>
  <c r="GY162"/>
  <c r="GZ162"/>
  <c r="HA162"/>
  <c r="HB162"/>
  <c r="HC162"/>
  <c r="HD162"/>
  <c r="HE162"/>
  <c r="HF162"/>
  <c r="HG162"/>
  <c r="HH162"/>
  <c r="HI162"/>
  <c r="HJ162"/>
  <c r="HK162"/>
  <c r="HL162"/>
  <c r="HM162"/>
  <c r="HN162"/>
  <c r="HO162"/>
  <c r="HP162"/>
  <c r="HQ162"/>
  <c r="HR162"/>
  <c r="HS162"/>
  <c r="HT162"/>
  <c r="HU162"/>
  <c r="HV162"/>
  <c r="HW162"/>
  <c r="HX162"/>
  <c r="HY162"/>
  <c r="HZ162"/>
  <c r="IA162"/>
  <c r="IB162"/>
  <c r="IC162"/>
  <c r="ID162"/>
  <c r="IE162"/>
  <c r="IF162"/>
  <c r="IG162"/>
  <c r="IH162"/>
  <c r="II162"/>
  <c r="IJ162"/>
  <c r="IK162"/>
  <c r="IL162"/>
  <c r="IM162"/>
  <c r="IN162"/>
  <c r="IO162"/>
  <c r="IP162"/>
  <c r="IQ162"/>
  <c r="IR162"/>
  <c r="IS162"/>
  <c r="IT162"/>
  <c r="IU162"/>
  <c r="IV162"/>
  <c r="A161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AE161"/>
  <c r="AF161"/>
  <c r="AG161"/>
  <c r="AH161"/>
  <c r="AI161"/>
  <c r="AJ161"/>
  <c r="AK161"/>
  <c r="AL161"/>
  <c r="AM161"/>
  <c r="AN161"/>
  <c r="AO161"/>
  <c r="AP161"/>
  <c r="AQ161"/>
  <c r="AR161"/>
  <c r="AS161"/>
  <c r="AT161"/>
  <c r="AU161"/>
  <c r="AV161"/>
  <c r="AW161"/>
  <c r="AX161"/>
  <c r="AY161"/>
  <c r="AZ161"/>
  <c r="BA161"/>
  <c r="BB161"/>
  <c r="BC161"/>
  <c r="BD161"/>
  <c r="BE161"/>
  <c r="BF161"/>
  <c r="BG161"/>
  <c r="BH161"/>
  <c r="BI161"/>
  <c r="BJ161"/>
  <c r="BK161"/>
  <c r="BL161"/>
  <c r="BM161"/>
  <c r="BN161"/>
  <c r="BO161"/>
  <c r="BP161"/>
  <c r="BQ161"/>
  <c r="BR161"/>
  <c r="BS161"/>
  <c r="BT161"/>
  <c r="BU161"/>
  <c r="BV161"/>
  <c r="BW161"/>
  <c r="BX161"/>
  <c r="BY161"/>
  <c r="BZ161"/>
  <c r="CA161"/>
  <c r="CB161"/>
  <c r="CC161"/>
  <c r="CD161"/>
  <c r="CE161"/>
  <c r="CF161"/>
  <c r="CG161"/>
  <c r="CH161"/>
  <c r="CI161"/>
  <c r="CJ161"/>
  <c r="CK161"/>
  <c r="CL161"/>
  <c r="CM161"/>
  <c r="CN161"/>
  <c r="CO161"/>
  <c r="CP161"/>
  <c r="CQ161"/>
  <c r="CR161"/>
  <c r="CS161"/>
  <c r="CT161"/>
  <c r="CU161"/>
  <c r="CV161"/>
  <c r="CW161"/>
  <c r="CX161"/>
  <c r="CY161"/>
  <c r="CZ161"/>
  <c r="DA161"/>
  <c r="DB161"/>
  <c r="DC161"/>
  <c r="DD161"/>
  <c r="DE161"/>
  <c r="DF161"/>
  <c r="DG161"/>
  <c r="DH161"/>
  <c r="DI161"/>
  <c r="DJ161"/>
  <c r="DK161"/>
  <c r="DL161"/>
  <c r="DM161"/>
  <c r="DN161"/>
  <c r="DO161"/>
  <c r="DP161"/>
  <c r="DQ161"/>
  <c r="DR161"/>
  <c r="DS161"/>
  <c r="DT161"/>
  <c r="DU161"/>
  <c r="DV161"/>
  <c r="DW161"/>
  <c r="DX161"/>
  <c r="DY161"/>
  <c r="DZ161"/>
  <c r="EA161"/>
  <c r="EB161"/>
  <c r="EC161"/>
  <c r="ED161"/>
  <c r="EE161"/>
  <c r="EF161"/>
  <c r="EG161"/>
  <c r="EH161"/>
  <c r="EI161"/>
  <c r="EJ161"/>
  <c r="EK161"/>
  <c r="EL161"/>
  <c r="EM161"/>
  <c r="EN161"/>
  <c r="EO161"/>
  <c r="EP161"/>
  <c r="EQ161"/>
  <c r="ER161"/>
  <c r="ES161"/>
  <c r="ET161"/>
  <c r="EU161"/>
  <c r="EV161"/>
  <c r="EW161"/>
  <c r="EX161"/>
  <c r="EY161"/>
  <c r="EZ161"/>
  <c r="FA161"/>
  <c r="FB161"/>
  <c r="FC161"/>
  <c r="FD161"/>
  <c r="FE161"/>
  <c r="FF161"/>
  <c r="FG161"/>
  <c r="FH161"/>
  <c r="FI161"/>
  <c r="FJ161"/>
  <c r="FK161"/>
  <c r="FL161"/>
  <c r="FM161"/>
  <c r="FN161"/>
  <c r="FO161"/>
  <c r="FP161"/>
  <c r="FQ161"/>
  <c r="FR161"/>
  <c r="FS161"/>
  <c r="FT161"/>
  <c r="FU161"/>
  <c r="FV161"/>
  <c r="FW161"/>
  <c r="FX161"/>
  <c r="FY161"/>
  <c r="FZ161"/>
  <c r="GA161"/>
  <c r="GB161"/>
  <c r="GC161"/>
  <c r="GD161"/>
  <c r="GE161"/>
  <c r="GF161"/>
  <c r="GG161"/>
  <c r="GH161"/>
  <c r="GI161"/>
  <c r="GJ161"/>
  <c r="GK161"/>
  <c r="GL161"/>
  <c r="GM161"/>
  <c r="GN161"/>
  <c r="GO161"/>
  <c r="GP161"/>
  <c r="GQ161"/>
  <c r="GR161"/>
  <c r="GS161"/>
  <c r="GT161"/>
  <c r="GU161"/>
  <c r="GV161"/>
  <c r="GW161"/>
  <c r="GX161"/>
  <c r="GY161"/>
  <c r="GZ161"/>
  <c r="HA161"/>
  <c r="HB161"/>
  <c r="HC161"/>
  <c r="HD161"/>
  <c r="HE161"/>
  <c r="HF161"/>
  <c r="HG161"/>
  <c r="HH161"/>
  <c r="HI161"/>
  <c r="HJ161"/>
  <c r="HK161"/>
  <c r="HL161"/>
  <c r="HM161"/>
  <c r="HN161"/>
  <c r="HO161"/>
  <c r="HP161"/>
  <c r="HQ161"/>
  <c r="HR161"/>
  <c r="HS161"/>
  <c r="HT161"/>
  <c r="HU161"/>
  <c r="HV161"/>
  <c r="HW161"/>
  <c r="HX161"/>
  <c r="HY161"/>
  <c r="HZ161"/>
  <c r="IA161"/>
  <c r="IB161"/>
  <c r="IC161"/>
  <c r="ID161"/>
  <c r="IE161"/>
  <c r="IF161"/>
  <c r="IG161"/>
  <c r="IH161"/>
  <c r="II161"/>
  <c r="IJ161"/>
  <c r="IK161"/>
  <c r="IL161"/>
  <c r="IM161"/>
  <c r="IN161"/>
  <c r="IO161"/>
  <c r="IP161"/>
  <c r="IQ161"/>
  <c r="IR161"/>
  <c r="IS161"/>
  <c r="IT161"/>
  <c r="IU161"/>
  <c r="IV161"/>
  <c r="A160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AV160"/>
  <c r="AW160"/>
  <c r="AX160"/>
  <c r="AY160"/>
  <c r="AZ160"/>
  <c r="BA160"/>
  <c r="BB160"/>
  <c r="BC160"/>
  <c r="BD160"/>
  <c r="BE160"/>
  <c r="BF160"/>
  <c r="BG160"/>
  <c r="BH160"/>
  <c r="BI160"/>
  <c r="BJ160"/>
  <c r="BK160"/>
  <c r="BL160"/>
  <c r="BM160"/>
  <c r="BN160"/>
  <c r="BO160"/>
  <c r="BP160"/>
  <c r="BQ160"/>
  <c r="BR160"/>
  <c r="BS160"/>
  <c r="BT160"/>
  <c r="BU160"/>
  <c r="BV160"/>
  <c r="BW160"/>
  <c r="BX160"/>
  <c r="BY160"/>
  <c r="BZ160"/>
  <c r="CA160"/>
  <c r="CB160"/>
  <c r="CC160"/>
  <c r="CD160"/>
  <c r="CE160"/>
  <c r="CF160"/>
  <c r="CG160"/>
  <c r="CH160"/>
  <c r="CI160"/>
  <c r="CJ160"/>
  <c r="CK160"/>
  <c r="CL160"/>
  <c r="CM160"/>
  <c r="CN160"/>
  <c r="CO160"/>
  <c r="CP160"/>
  <c r="CQ160"/>
  <c r="CR160"/>
  <c r="CS160"/>
  <c r="CT160"/>
  <c r="CU160"/>
  <c r="CV160"/>
  <c r="CW160"/>
  <c r="CX160"/>
  <c r="CY160"/>
  <c r="CZ160"/>
  <c r="DA160"/>
  <c r="DB160"/>
  <c r="DC160"/>
  <c r="DD160"/>
  <c r="DE160"/>
  <c r="DF160"/>
  <c r="DG160"/>
  <c r="DH160"/>
  <c r="DI160"/>
  <c r="DJ160"/>
  <c r="DK160"/>
  <c r="DL160"/>
  <c r="DM160"/>
  <c r="DN160"/>
  <c r="DO160"/>
  <c r="DP160"/>
  <c r="DQ160"/>
  <c r="DR160"/>
  <c r="DS160"/>
  <c r="DT160"/>
  <c r="DU160"/>
  <c r="DV160"/>
  <c r="DW160"/>
  <c r="DX160"/>
  <c r="DY160"/>
  <c r="DZ160"/>
  <c r="EA160"/>
  <c r="EB160"/>
  <c r="EC160"/>
  <c r="ED160"/>
  <c r="EE160"/>
  <c r="EF160"/>
  <c r="EG160"/>
  <c r="EH160"/>
  <c r="EI160"/>
  <c r="EJ160"/>
  <c r="EK160"/>
  <c r="EL160"/>
  <c r="EM160"/>
  <c r="EN160"/>
  <c r="EO160"/>
  <c r="EP160"/>
  <c r="EQ160"/>
  <c r="ER160"/>
  <c r="ES160"/>
  <c r="ET160"/>
  <c r="EU160"/>
  <c r="EV160"/>
  <c r="EW160"/>
  <c r="EX160"/>
  <c r="EY160"/>
  <c r="EZ160"/>
  <c r="FA160"/>
  <c r="FB160"/>
  <c r="FC160"/>
  <c r="FD160"/>
  <c r="FE160"/>
  <c r="FF160"/>
  <c r="FG160"/>
  <c r="FH160"/>
  <c r="FI160"/>
  <c r="FJ160"/>
  <c r="FK160"/>
  <c r="FL160"/>
  <c r="FM160"/>
  <c r="FN160"/>
  <c r="FO160"/>
  <c r="FP160"/>
  <c r="FQ160"/>
  <c r="FR160"/>
  <c r="FS160"/>
  <c r="FT160"/>
  <c r="FU160"/>
  <c r="FV160"/>
  <c r="FW160"/>
  <c r="FX160"/>
  <c r="FY160"/>
  <c r="FZ160"/>
  <c r="GA160"/>
  <c r="GB160"/>
  <c r="GC160"/>
  <c r="GD160"/>
  <c r="GE160"/>
  <c r="GF160"/>
  <c r="GG160"/>
  <c r="GH160"/>
  <c r="GI160"/>
  <c r="GJ160"/>
  <c r="GK160"/>
  <c r="GL160"/>
  <c r="GM160"/>
  <c r="GN160"/>
  <c r="GO160"/>
  <c r="GP160"/>
  <c r="GQ160"/>
  <c r="GR160"/>
  <c r="GS160"/>
  <c r="GT160"/>
  <c r="GU160"/>
  <c r="GV160"/>
  <c r="GW160"/>
  <c r="GX160"/>
  <c r="GY160"/>
  <c r="GZ160"/>
  <c r="HA160"/>
  <c r="HB160"/>
  <c r="HC160"/>
  <c r="HD160"/>
  <c r="HE160"/>
  <c r="HF160"/>
  <c r="HG160"/>
  <c r="HH160"/>
  <c r="HI160"/>
  <c r="HJ160"/>
  <c r="HK160"/>
  <c r="HL160"/>
  <c r="HM160"/>
  <c r="HN160"/>
  <c r="HO160"/>
  <c r="HP160"/>
  <c r="HQ160"/>
  <c r="HR160"/>
  <c r="HS160"/>
  <c r="HT160"/>
  <c r="HU160"/>
  <c r="HV160"/>
  <c r="HW160"/>
  <c r="HX160"/>
  <c r="HY160"/>
  <c r="HZ160"/>
  <c r="IA160"/>
  <c r="IB160"/>
  <c r="IC160"/>
  <c r="ID160"/>
  <c r="IE160"/>
  <c r="IF160"/>
  <c r="IG160"/>
  <c r="IH160"/>
  <c r="II160"/>
  <c r="IJ160"/>
  <c r="IK160"/>
  <c r="IL160"/>
  <c r="IM160"/>
  <c r="IN160"/>
  <c r="IO160"/>
  <c r="IP160"/>
  <c r="IQ160"/>
  <c r="IR160"/>
  <c r="IS160"/>
  <c r="IT160"/>
  <c r="IU160"/>
  <c r="IV160"/>
  <c r="A159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Y159"/>
  <c r="AZ159"/>
  <c r="BA159"/>
  <c r="BB159"/>
  <c r="BC159"/>
  <c r="BD159"/>
  <c r="BE159"/>
  <c r="BF159"/>
  <c r="BG159"/>
  <c r="BH159"/>
  <c r="BI159"/>
  <c r="BJ159"/>
  <c r="BK159"/>
  <c r="BL159"/>
  <c r="BM159"/>
  <c r="BN159"/>
  <c r="BO159"/>
  <c r="BP159"/>
  <c r="BQ159"/>
  <c r="BR159"/>
  <c r="BS159"/>
  <c r="BT159"/>
  <c r="BU159"/>
  <c r="BV159"/>
  <c r="BW159"/>
  <c r="BX159"/>
  <c r="BY159"/>
  <c r="BZ159"/>
  <c r="CA159"/>
  <c r="CB159"/>
  <c r="CC159"/>
  <c r="CD159"/>
  <c r="CE159"/>
  <c r="CF159"/>
  <c r="CG159"/>
  <c r="CH159"/>
  <c r="CI159"/>
  <c r="CJ159"/>
  <c r="CK159"/>
  <c r="CL159"/>
  <c r="CM159"/>
  <c r="CN159"/>
  <c r="CO159"/>
  <c r="CP159"/>
  <c r="CQ159"/>
  <c r="CR159"/>
  <c r="CS159"/>
  <c r="CT159"/>
  <c r="CU159"/>
  <c r="CV159"/>
  <c r="CW159"/>
  <c r="CX159"/>
  <c r="CY159"/>
  <c r="CZ159"/>
  <c r="DA159"/>
  <c r="DB159"/>
  <c r="DC159"/>
  <c r="DD159"/>
  <c r="DE159"/>
  <c r="DF159"/>
  <c r="DG159"/>
  <c r="DH159"/>
  <c r="DI159"/>
  <c r="DJ159"/>
  <c r="DK159"/>
  <c r="DL159"/>
  <c r="DM159"/>
  <c r="DN159"/>
  <c r="DO159"/>
  <c r="DP159"/>
  <c r="DQ159"/>
  <c r="DR159"/>
  <c r="DS159"/>
  <c r="DT159"/>
  <c r="DU159"/>
  <c r="DV159"/>
  <c r="DW159"/>
  <c r="DX159"/>
  <c r="DY159"/>
  <c r="DZ159"/>
  <c r="EA159"/>
  <c r="EB159"/>
  <c r="EC159"/>
  <c r="ED159"/>
  <c r="EE159"/>
  <c r="EF159"/>
  <c r="EG159"/>
  <c r="EH159"/>
  <c r="EI159"/>
  <c r="EJ159"/>
  <c r="EK159"/>
  <c r="EL159"/>
  <c r="EM159"/>
  <c r="EN159"/>
  <c r="EO159"/>
  <c r="EP159"/>
  <c r="EQ159"/>
  <c r="ER159"/>
  <c r="ES159"/>
  <c r="ET159"/>
  <c r="EU159"/>
  <c r="EV159"/>
  <c r="EW159"/>
  <c r="EX159"/>
  <c r="EY159"/>
  <c r="EZ159"/>
  <c r="FA159"/>
  <c r="FB159"/>
  <c r="FC159"/>
  <c r="FD159"/>
  <c r="FE159"/>
  <c r="FF159"/>
  <c r="FG159"/>
  <c r="FH159"/>
  <c r="FI159"/>
  <c r="FJ159"/>
  <c r="FK159"/>
  <c r="FL159"/>
  <c r="FM159"/>
  <c r="FN159"/>
  <c r="FO159"/>
  <c r="FP159"/>
  <c r="FQ159"/>
  <c r="FR159"/>
  <c r="FS159"/>
  <c r="FT159"/>
  <c r="FU159"/>
  <c r="FV159"/>
  <c r="FW159"/>
  <c r="FX159"/>
  <c r="FY159"/>
  <c r="FZ159"/>
  <c r="GA159"/>
  <c r="GB159"/>
  <c r="GC159"/>
  <c r="GD159"/>
  <c r="GE159"/>
  <c r="GF159"/>
  <c r="GG159"/>
  <c r="GH159"/>
  <c r="GI159"/>
  <c r="GJ159"/>
  <c r="GK159"/>
  <c r="GL159"/>
  <c r="GM159"/>
  <c r="GN159"/>
  <c r="GO159"/>
  <c r="GP159"/>
  <c r="GQ159"/>
  <c r="GR159"/>
  <c r="GS159"/>
  <c r="GT159"/>
  <c r="GU159"/>
  <c r="GV159"/>
  <c r="GW159"/>
  <c r="GX159"/>
  <c r="GY159"/>
  <c r="GZ159"/>
  <c r="HA159"/>
  <c r="HB159"/>
  <c r="HC159"/>
  <c r="HD159"/>
  <c r="HE159"/>
  <c r="HF159"/>
  <c r="HG159"/>
  <c r="HH159"/>
  <c r="HI159"/>
  <c r="HJ159"/>
  <c r="HK159"/>
  <c r="HL159"/>
  <c r="HM159"/>
  <c r="HN159"/>
  <c r="HO159"/>
  <c r="HP159"/>
  <c r="HQ159"/>
  <c r="HR159"/>
  <c r="HS159"/>
  <c r="HT159"/>
  <c r="HU159"/>
  <c r="HV159"/>
  <c r="HW159"/>
  <c r="HX159"/>
  <c r="HY159"/>
  <c r="HZ159"/>
  <c r="IA159"/>
  <c r="IB159"/>
  <c r="IC159"/>
  <c r="ID159"/>
  <c r="IE159"/>
  <c r="IF159"/>
  <c r="IG159"/>
  <c r="IH159"/>
  <c r="II159"/>
  <c r="IJ159"/>
  <c r="IK159"/>
  <c r="IL159"/>
  <c r="IM159"/>
  <c r="IN159"/>
  <c r="IO159"/>
  <c r="IP159"/>
  <c r="IQ159"/>
  <c r="IR159"/>
  <c r="IS159"/>
  <c r="IT159"/>
  <c r="IU159"/>
  <c r="IV159"/>
  <c r="A158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Y158"/>
  <c r="AZ158"/>
  <c r="BA158"/>
  <c r="BB158"/>
  <c r="BC158"/>
  <c r="BD158"/>
  <c r="BE158"/>
  <c r="BF158"/>
  <c r="BG158"/>
  <c r="BH158"/>
  <c r="BI158"/>
  <c r="BJ158"/>
  <c r="BK158"/>
  <c r="BL158"/>
  <c r="BM158"/>
  <c r="BN158"/>
  <c r="BO158"/>
  <c r="BP158"/>
  <c r="BQ158"/>
  <c r="BR158"/>
  <c r="BS158"/>
  <c r="BT158"/>
  <c r="BU158"/>
  <c r="BV158"/>
  <c r="BW158"/>
  <c r="BX158"/>
  <c r="BY158"/>
  <c r="BZ158"/>
  <c r="CA158"/>
  <c r="CB158"/>
  <c r="CC158"/>
  <c r="CD158"/>
  <c r="CE158"/>
  <c r="CF158"/>
  <c r="CG158"/>
  <c r="CH158"/>
  <c r="CI158"/>
  <c r="CJ158"/>
  <c r="CK158"/>
  <c r="CL158"/>
  <c r="CM158"/>
  <c r="CN158"/>
  <c r="CO158"/>
  <c r="CP158"/>
  <c r="CQ158"/>
  <c r="CR158"/>
  <c r="CS158"/>
  <c r="CT158"/>
  <c r="CU158"/>
  <c r="CV158"/>
  <c r="CW158"/>
  <c r="CX158"/>
  <c r="CY158"/>
  <c r="CZ158"/>
  <c r="DA158"/>
  <c r="DB158"/>
  <c r="DC158"/>
  <c r="DD158"/>
  <c r="DE158"/>
  <c r="DF158"/>
  <c r="DG158"/>
  <c r="DH158"/>
  <c r="DI158"/>
  <c r="DJ158"/>
  <c r="DK158"/>
  <c r="DL158"/>
  <c r="DM158"/>
  <c r="DN158"/>
  <c r="DO158"/>
  <c r="DP158"/>
  <c r="DQ158"/>
  <c r="DR158"/>
  <c r="DS158"/>
  <c r="DT158"/>
  <c r="DU158"/>
  <c r="DV158"/>
  <c r="DW158"/>
  <c r="DX158"/>
  <c r="DY158"/>
  <c r="DZ158"/>
  <c r="EA158"/>
  <c r="EB158"/>
  <c r="EC158"/>
  <c r="ED158"/>
  <c r="EE158"/>
  <c r="EF158"/>
  <c r="EG158"/>
  <c r="EH158"/>
  <c r="EI158"/>
  <c r="EJ158"/>
  <c r="EK158"/>
  <c r="EL158"/>
  <c r="EM158"/>
  <c r="EN158"/>
  <c r="EO158"/>
  <c r="EP158"/>
  <c r="EQ158"/>
  <c r="ER158"/>
  <c r="ES158"/>
  <c r="ET158"/>
  <c r="EU158"/>
  <c r="EV158"/>
  <c r="EW158"/>
  <c r="EX158"/>
  <c r="EY158"/>
  <c r="EZ158"/>
  <c r="FA158"/>
  <c r="FB158"/>
  <c r="FC158"/>
  <c r="FD158"/>
  <c r="FE158"/>
  <c r="FF158"/>
  <c r="FG158"/>
  <c r="FH158"/>
  <c r="FI158"/>
  <c r="FJ158"/>
  <c r="FK158"/>
  <c r="FL158"/>
  <c r="FM158"/>
  <c r="FN158"/>
  <c r="FO158"/>
  <c r="FP158"/>
  <c r="FQ158"/>
  <c r="FR158"/>
  <c r="FS158"/>
  <c r="FT158"/>
  <c r="FU158"/>
  <c r="FV158"/>
  <c r="FW158"/>
  <c r="FX158"/>
  <c r="FY158"/>
  <c r="FZ158"/>
  <c r="GA158"/>
  <c r="GB158"/>
  <c r="GC158"/>
  <c r="GD158"/>
  <c r="GE158"/>
  <c r="GF158"/>
  <c r="GG158"/>
  <c r="GH158"/>
  <c r="GI158"/>
  <c r="GJ158"/>
  <c r="GK158"/>
  <c r="GL158"/>
  <c r="GM158"/>
  <c r="GN158"/>
  <c r="GO158"/>
  <c r="GP158"/>
  <c r="GQ158"/>
  <c r="GR158"/>
  <c r="GS158"/>
  <c r="GT158"/>
  <c r="GU158"/>
  <c r="GV158"/>
  <c r="GW158"/>
  <c r="GX158"/>
  <c r="GY158"/>
  <c r="GZ158"/>
  <c r="HA158"/>
  <c r="HB158"/>
  <c r="HC158"/>
  <c r="HD158"/>
  <c r="HE158"/>
  <c r="HF158"/>
  <c r="HG158"/>
  <c r="HH158"/>
  <c r="HI158"/>
  <c r="HJ158"/>
  <c r="HK158"/>
  <c r="HL158"/>
  <c r="HM158"/>
  <c r="HN158"/>
  <c r="HO158"/>
  <c r="HP158"/>
  <c r="HQ158"/>
  <c r="HR158"/>
  <c r="HS158"/>
  <c r="HT158"/>
  <c r="HU158"/>
  <c r="HV158"/>
  <c r="HW158"/>
  <c r="HX158"/>
  <c r="HY158"/>
  <c r="HZ158"/>
  <c r="IA158"/>
  <c r="IB158"/>
  <c r="IC158"/>
  <c r="ID158"/>
  <c r="IE158"/>
  <c r="IF158"/>
  <c r="IG158"/>
  <c r="IH158"/>
  <c r="II158"/>
  <c r="IJ158"/>
  <c r="IK158"/>
  <c r="IL158"/>
  <c r="IM158"/>
  <c r="IN158"/>
  <c r="IO158"/>
  <c r="IP158"/>
  <c r="IQ158"/>
  <c r="IR158"/>
  <c r="IS158"/>
  <c r="IT158"/>
  <c r="IU158"/>
  <c r="IV158"/>
  <c r="A157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Y157"/>
  <c r="AZ157"/>
  <c r="BA157"/>
  <c r="BB157"/>
  <c r="BC157"/>
  <c r="BD157"/>
  <c r="BE157"/>
  <c r="BF157"/>
  <c r="BG157"/>
  <c r="BH157"/>
  <c r="BI157"/>
  <c r="BJ157"/>
  <c r="BK157"/>
  <c r="BL157"/>
  <c r="BM157"/>
  <c r="BN157"/>
  <c r="BO157"/>
  <c r="BP157"/>
  <c r="BQ157"/>
  <c r="BR157"/>
  <c r="BS157"/>
  <c r="BT157"/>
  <c r="BU157"/>
  <c r="BV157"/>
  <c r="BW157"/>
  <c r="BX157"/>
  <c r="BY157"/>
  <c r="BZ157"/>
  <c r="CA157"/>
  <c r="CB157"/>
  <c r="CC157"/>
  <c r="CD157"/>
  <c r="CE157"/>
  <c r="CF157"/>
  <c r="CG157"/>
  <c r="CH157"/>
  <c r="CI157"/>
  <c r="CJ157"/>
  <c r="CK157"/>
  <c r="CL157"/>
  <c r="CM157"/>
  <c r="CN157"/>
  <c r="CO157"/>
  <c r="CP157"/>
  <c r="CQ157"/>
  <c r="CR157"/>
  <c r="CS157"/>
  <c r="CT157"/>
  <c r="CU157"/>
  <c r="CV157"/>
  <c r="CW157"/>
  <c r="CX157"/>
  <c r="CY157"/>
  <c r="CZ157"/>
  <c r="DA157"/>
  <c r="DB157"/>
  <c r="DC157"/>
  <c r="DD157"/>
  <c r="DE157"/>
  <c r="DF157"/>
  <c r="DG157"/>
  <c r="DH157"/>
  <c r="DI157"/>
  <c r="DJ157"/>
  <c r="DK157"/>
  <c r="DL157"/>
  <c r="DM157"/>
  <c r="DN157"/>
  <c r="DO157"/>
  <c r="DP157"/>
  <c r="DQ157"/>
  <c r="DR157"/>
  <c r="DS157"/>
  <c r="DT157"/>
  <c r="DU157"/>
  <c r="DV157"/>
  <c r="DW157"/>
  <c r="DX157"/>
  <c r="DY157"/>
  <c r="DZ157"/>
  <c r="EA157"/>
  <c r="EB157"/>
  <c r="EC157"/>
  <c r="ED157"/>
  <c r="EE157"/>
  <c r="EF157"/>
  <c r="EG157"/>
  <c r="EH157"/>
  <c r="EI157"/>
  <c r="EJ157"/>
  <c r="EK157"/>
  <c r="EL157"/>
  <c r="EM157"/>
  <c r="EN157"/>
  <c r="EO157"/>
  <c r="EP157"/>
  <c r="EQ157"/>
  <c r="ER157"/>
  <c r="ES157"/>
  <c r="ET157"/>
  <c r="EU157"/>
  <c r="EV157"/>
  <c r="EW157"/>
  <c r="EX157"/>
  <c r="EY157"/>
  <c r="EZ157"/>
  <c r="FA157"/>
  <c r="FB157"/>
  <c r="FC157"/>
  <c r="FD157"/>
  <c r="FE157"/>
  <c r="FF157"/>
  <c r="FG157"/>
  <c r="FH157"/>
  <c r="FI157"/>
  <c r="FJ157"/>
  <c r="FK157"/>
  <c r="FL157"/>
  <c r="FM157"/>
  <c r="FN157"/>
  <c r="FO157"/>
  <c r="FP157"/>
  <c r="FQ157"/>
  <c r="FR157"/>
  <c r="FS157"/>
  <c r="FT157"/>
  <c r="FU157"/>
  <c r="FV157"/>
  <c r="FW157"/>
  <c r="FX157"/>
  <c r="FY157"/>
  <c r="FZ157"/>
  <c r="GA157"/>
  <c r="GB157"/>
  <c r="GC157"/>
  <c r="GD157"/>
  <c r="GE157"/>
  <c r="GF157"/>
  <c r="GG157"/>
  <c r="GH157"/>
  <c r="GI157"/>
  <c r="GJ157"/>
  <c r="GK157"/>
  <c r="GL157"/>
  <c r="GM157"/>
  <c r="GN157"/>
  <c r="GO157"/>
  <c r="GP157"/>
  <c r="GQ157"/>
  <c r="GR157"/>
  <c r="GS157"/>
  <c r="GT157"/>
  <c r="GU157"/>
  <c r="GV157"/>
  <c r="GW157"/>
  <c r="GX157"/>
  <c r="GY157"/>
  <c r="GZ157"/>
  <c r="HA157"/>
  <c r="HB157"/>
  <c r="HC157"/>
  <c r="HD157"/>
  <c r="HE157"/>
  <c r="HF157"/>
  <c r="HG157"/>
  <c r="HH157"/>
  <c r="HI157"/>
  <c r="HJ157"/>
  <c r="HK157"/>
  <c r="HL157"/>
  <c r="HM157"/>
  <c r="HN157"/>
  <c r="HO157"/>
  <c r="HP157"/>
  <c r="HQ157"/>
  <c r="HR157"/>
  <c r="HS157"/>
  <c r="HT157"/>
  <c r="HU157"/>
  <c r="HV157"/>
  <c r="HW157"/>
  <c r="HX157"/>
  <c r="HY157"/>
  <c r="HZ157"/>
  <c r="IA157"/>
  <c r="IB157"/>
  <c r="IC157"/>
  <c r="ID157"/>
  <c r="IE157"/>
  <c r="IF157"/>
  <c r="IG157"/>
  <c r="IH157"/>
  <c r="II157"/>
  <c r="IJ157"/>
  <c r="IK157"/>
  <c r="IL157"/>
  <c r="IM157"/>
  <c r="IN157"/>
  <c r="IO157"/>
  <c r="IP157"/>
  <c r="IQ157"/>
  <c r="IR157"/>
  <c r="IS157"/>
  <c r="IT157"/>
  <c r="IU157"/>
  <c r="IV157"/>
  <c r="A156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AT156"/>
  <c r="AU156"/>
  <c r="AV156"/>
  <c r="AW156"/>
  <c r="AX156"/>
  <c r="AY156"/>
  <c r="AZ156"/>
  <c r="BA156"/>
  <c r="BB156"/>
  <c r="BC156"/>
  <c r="BD156"/>
  <c r="BE156"/>
  <c r="BF156"/>
  <c r="BG156"/>
  <c r="BH156"/>
  <c r="BI156"/>
  <c r="BJ156"/>
  <c r="BK156"/>
  <c r="BL156"/>
  <c r="BM156"/>
  <c r="BN156"/>
  <c r="BO156"/>
  <c r="BP156"/>
  <c r="BQ156"/>
  <c r="BR156"/>
  <c r="BS156"/>
  <c r="BT156"/>
  <c r="BU156"/>
  <c r="BV156"/>
  <c r="BW156"/>
  <c r="BX156"/>
  <c r="BY156"/>
  <c r="BZ156"/>
  <c r="CA156"/>
  <c r="CB156"/>
  <c r="CC156"/>
  <c r="CD156"/>
  <c r="CE156"/>
  <c r="CF156"/>
  <c r="CG156"/>
  <c r="CH156"/>
  <c r="CI156"/>
  <c r="CJ156"/>
  <c r="CK156"/>
  <c r="CL156"/>
  <c r="CM156"/>
  <c r="CN156"/>
  <c r="CO156"/>
  <c r="CP156"/>
  <c r="CQ156"/>
  <c r="CR156"/>
  <c r="CS156"/>
  <c r="CT156"/>
  <c r="CU156"/>
  <c r="CV156"/>
  <c r="CW156"/>
  <c r="CX156"/>
  <c r="CY156"/>
  <c r="CZ156"/>
  <c r="DA156"/>
  <c r="DB156"/>
  <c r="DC156"/>
  <c r="DD156"/>
  <c r="DE156"/>
  <c r="DF156"/>
  <c r="DG156"/>
  <c r="DH156"/>
  <c r="DI156"/>
  <c r="DJ156"/>
  <c r="DK156"/>
  <c r="DL156"/>
  <c r="DM156"/>
  <c r="DN156"/>
  <c r="DO156"/>
  <c r="DP156"/>
  <c r="DQ156"/>
  <c r="DR156"/>
  <c r="DS156"/>
  <c r="DT156"/>
  <c r="DU156"/>
  <c r="DV156"/>
  <c r="DW156"/>
  <c r="DX156"/>
  <c r="DY156"/>
  <c r="DZ156"/>
  <c r="EA156"/>
  <c r="EB156"/>
  <c r="EC156"/>
  <c r="ED156"/>
  <c r="EE156"/>
  <c r="EF156"/>
  <c r="EG156"/>
  <c r="EH156"/>
  <c r="EI156"/>
  <c r="EJ156"/>
  <c r="EK156"/>
  <c r="EL156"/>
  <c r="EM156"/>
  <c r="EN156"/>
  <c r="EO156"/>
  <c r="EP156"/>
  <c r="EQ156"/>
  <c r="ER156"/>
  <c r="ES156"/>
  <c r="ET156"/>
  <c r="EU156"/>
  <c r="EV156"/>
  <c r="EW156"/>
  <c r="EX156"/>
  <c r="EY156"/>
  <c r="EZ156"/>
  <c r="FA156"/>
  <c r="FB156"/>
  <c r="FC156"/>
  <c r="FD156"/>
  <c r="FE156"/>
  <c r="FF156"/>
  <c r="FG156"/>
  <c r="FH156"/>
  <c r="FI156"/>
  <c r="FJ156"/>
  <c r="FK156"/>
  <c r="FL156"/>
  <c r="FM156"/>
  <c r="FN156"/>
  <c r="FO156"/>
  <c r="FP156"/>
  <c r="FQ156"/>
  <c r="FR156"/>
  <c r="FS156"/>
  <c r="FT156"/>
  <c r="FU156"/>
  <c r="FV156"/>
  <c r="FW156"/>
  <c r="FX156"/>
  <c r="FY156"/>
  <c r="FZ156"/>
  <c r="GA156"/>
  <c r="GB156"/>
  <c r="GC156"/>
  <c r="GD156"/>
  <c r="GE156"/>
  <c r="GF156"/>
  <c r="GG156"/>
  <c r="GH156"/>
  <c r="GI156"/>
  <c r="GJ156"/>
  <c r="GK156"/>
  <c r="GL156"/>
  <c r="GM156"/>
  <c r="GN156"/>
  <c r="GO156"/>
  <c r="GP156"/>
  <c r="GQ156"/>
  <c r="GR156"/>
  <c r="GS156"/>
  <c r="GT156"/>
  <c r="GU156"/>
  <c r="GV156"/>
  <c r="GW156"/>
  <c r="GX156"/>
  <c r="GY156"/>
  <c r="GZ156"/>
  <c r="HA156"/>
  <c r="HB156"/>
  <c r="HC156"/>
  <c r="HD156"/>
  <c r="HE156"/>
  <c r="HF156"/>
  <c r="HG156"/>
  <c r="HH156"/>
  <c r="HI156"/>
  <c r="HJ156"/>
  <c r="HK156"/>
  <c r="HL156"/>
  <c r="HM156"/>
  <c r="HN156"/>
  <c r="HO156"/>
  <c r="HP156"/>
  <c r="HQ156"/>
  <c r="HR156"/>
  <c r="HS156"/>
  <c r="HT156"/>
  <c r="HU156"/>
  <c r="HV156"/>
  <c r="HW156"/>
  <c r="HX156"/>
  <c r="HY156"/>
  <c r="HZ156"/>
  <c r="IA156"/>
  <c r="IB156"/>
  <c r="IC156"/>
  <c r="ID156"/>
  <c r="IE156"/>
  <c r="IF156"/>
  <c r="IG156"/>
  <c r="IH156"/>
  <c r="II156"/>
  <c r="IJ156"/>
  <c r="IK156"/>
  <c r="IL156"/>
  <c r="IM156"/>
  <c r="IN156"/>
  <c r="IO156"/>
  <c r="IP156"/>
  <c r="IQ156"/>
  <c r="IR156"/>
  <c r="IS156"/>
  <c r="IT156"/>
  <c r="IU156"/>
  <c r="IV156"/>
  <c r="A155"/>
  <c r="B155"/>
  <c r="C155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W155"/>
  <c r="AX155"/>
  <c r="AY155"/>
  <c r="AZ155"/>
  <c r="BA155"/>
  <c r="BB155"/>
  <c r="BC155"/>
  <c r="BD155"/>
  <c r="BE155"/>
  <c r="BF155"/>
  <c r="BG155"/>
  <c r="BH155"/>
  <c r="BI155"/>
  <c r="BJ155"/>
  <c r="BK155"/>
  <c r="BL155"/>
  <c r="BM155"/>
  <c r="BN155"/>
  <c r="BO155"/>
  <c r="BP155"/>
  <c r="BQ155"/>
  <c r="BR155"/>
  <c r="BS155"/>
  <c r="BT155"/>
  <c r="BU155"/>
  <c r="BV155"/>
  <c r="BW155"/>
  <c r="BX155"/>
  <c r="BY155"/>
  <c r="BZ155"/>
  <c r="CA155"/>
  <c r="CB155"/>
  <c r="CC155"/>
  <c r="CD155"/>
  <c r="CE155"/>
  <c r="CF155"/>
  <c r="CG155"/>
  <c r="CH155"/>
  <c r="CI155"/>
  <c r="CJ155"/>
  <c r="CK155"/>
  <c r="CL155"/>
  <c r="CM155"/>
  <c r="CN155"/>
  <c r="CO155"/>
  <c r="CP155"/>
  <c r="CQ155"/>
  <c r="CR155"/>
  <c r="CS155"/>
  <c r="CT155"/>
  <c r="CU155"/>
  <c r="CV155"/>
  <c r="CW155"/>
  <c r="CX155"/>
  <c r="CY155"/>
  <c r="CZ155"/>
  <c r="DA155"/>
  <c r="DB155"/>
  <c r="DC155"/>
  <c r="DD155"/>
  <c r="DE155"/>
  <c r="DF155"/>
  <c r="DG155"/>
  <c r="DH155"/>
  <c r="DI155"/>
  <c r="DJ155"/>
  <c r="DK155"/>
  <c r="DL155"/>
  <c r="DM155"/>
  <c r="DN155"/>
  <c r="DO155"/>
  <c r="DP155"/>
  <c r="DQ155"/>
  <c r="DR155"/>
  <c r="DS155"/>
  <c r="DT155"/>
  <c r="DU155"/>
  <c r="DV155"/>
  <c r="DW155"/>
  <c r="DX155"/>
  <c r="DY155"/>
  <c r="DZ155"/>
  <c r="EA155"/>
  <c r="EB155"/>
  <c r="EC155"/>
  <c r="ED155"/>
  <c r="EE155"/>
  <c r="EF155"/>
  <c r="EG155"/>
  <c r="EH155"/>
  <c r="EI155"/>
  <c r="EJ155"/>
  <c r="EK155"/>
  <c r="EL155"/>
  <c r="EM155"/>
  <c r="EN155"/>
  <c r="EO155"/>
  <c r="EP155"/>
  <c r="EQ155"/>
  <c r="ER155"/>
  <c r="ES155"/>
  <c r="ET155"/>
  <c r="EU155"/>
  <c r="EV155"/>
  <c r="EW155"/>
  <c r="EX155"/>
  <c r="EY155"/>
  <c r="EZ155"/>
  <c r="FA155"/>
  <c r="FB155"/>
  <c r="FC155"/>
  <c r="FD155"/>
  <c r="FE155"/>
  <c r="FF155"/>
  <c r="FG155"/>
  <c r="FH155"/>
  <c r="FI155"/>
  <c r="FJ155"/>
  <c r="FK155"/>
  <c r="FL155"/>
  <c r="FM155"/>
  <c r="FN155"/>
  <c r="FO155"/>
  <c r="FP155"/>
  <c r="FQ155"/>
  <c r="FR155"/>
  <c r="FS155"/>
  <c r="FT155"/>
  <c r="FU155"/>
  <c r="FV155"/>
  <c r="FW155"/>
  <c r="FX155"/>
  <c r="FY155"/>
  <c r="FZ155"/>
  <c r="GA155"/>
  <c r="GB155"/>
  <c r="GC155"/>
  <c r="GD155"/>
  <c r="GE155"/>
  <c r="GF155"/>
  <c r="GG155"/>
  <c r="GH155"/>
  <c r="GI155"/>
  <c r="GJ155"/>
  <c r="GK155"/>
  <c r="GL155"/>
  <c r="GM155"/>
  <c r="GN155"/>
  <c r="GO155"/>
  <c r="GP155"/>
  <c r="GQ155"/>
  <c r="GR155"/>
  <c r="GS155"/>
  <c r="GT155"/>
  <c r="GU155"/>
  <c r="GV155"/>
  <c r="GW155"/>
  <c r="GX155"/>
  <c r="GY155"/>
  <c r="GZ155"/>
  <c r="HA155"/>
  <c r="HB155"/>
  <c r="HC155"/>
  <c r="HD155"/>
  <c r="HE155"/>
  <c r="HF155"/>
  <c r="HG155"/>
  <c r="HH155"/>
  <c r="HI155"/>
  <c r="HJ155"/>
  <c r="HK155"/>
  <c r="HL155"/>
  <c r="HM155"/>
  <c r="HN155"/>
  <c r="HO155"/>
  <c r="HP155"/>
  <c r="HQ155"/>
  <c r="HR155"/>
  <c r="HS155"/>
  <c r="HT155"/>
  <c r="HU155"/>
  <c r="HV155"/>
  <c r="HW155"/>
  <c r="HX155"/>
  <c r="HY155"/>
  <c r="HZ155"/>
  <c r="IA155"/>
  <c r="IB155"/>
  <c r="IC155"/>
  <c r="ID155"/>
  <c r="IE155"/>
  <c r="IF155"/>
  <c r="IG155"/>
  <c r="IH155"/>
  <c r="II155"/>
  <c r="IJ155"/>
  <c r="IK155"/>
  <c r="IL155"/>
  <c r="IM155"/>
  <c r="IN155"/>
  <c r="IO155"/>
  <c r="IP155"/>
  <c r="IQ155"/>
  <c r="IR155"/>
  <c r="IS155"/>
  <c r="IT155"/>
  <c r="IU155"/>
  <c r="IV155"/>
  <c r="A154"/>
  <c r="B154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AX154"/>
  <c r="AY154"/>
  <c r="AZ154"/>
  <c r="BA154"/>
  <c r="BB154"/>
  <c r="BC154"/>
  <c r="BD154"/>
  <c r="BE154"/>
  <c r="BF154"/>
  <c r="BG154"/>
  <c r="BH154"/>
  <c r="BI154"/>
  <c r="BJ154"/>
  <c r="BK154"/>
  <c r="BL154"/>
  <c r="BM154"/>
  <c r="BN154"/>
  <c r="BO154"/>
  <c r="BP154"/>
  <c r="BQ154"/>
  <c r="BR154"/>
  <c r="BS154"/>
  <c r="BT154"/>
  <c r="BU154"/>
  <c r="BV154"/>
  <c r="BW154"/>
  <c r="BX154"/>
  <c r="BY154"/>
  <c r="BZ154"/>
  <c r="CA154"/>
  <c r="CB154"/>
  <c r="CC154"/>
  <c r="CD154"/>
  <c r="CE154"/>
  <c r="CF154"/>
  <c r="CG154"/>
  <c r="CH154"/>
  <c r="CI154"/>
  <c r="CJ154"/>
  <c r="CK154"/>
  <c r="CL154"/>
  <c r="CM154"/>
  <c r="CN154"/>
  <c r="CO154"/>
  <c r="CP154"/>
  <c r="CQ154"/>
  <c r="CR154"/>
  <c r="CS154"/>
  <c r="CT154"/>
  <c r="CU154"/>
  <c r="CV154"/>
  <c r="CW154"/>
  <c r="CX154"/>
  <c r="CY154"/>
  <c r="CZ154"/>
  <c r="DA154"/>
  <c r="DB154"/>
  <c r="DC154"/>
  <c r="DD154"/>
  <c r="DE154"/>
  <c r="DF154"/>
  <c r="DG154"/>
  <c r="DH154"/>
  <c r="DI154"/>
  <c r="DJ154"/>
  <c r="DK154"/>
  <c r="DL154"/>
  <c r="DM154"/>
  <c r="DN154"/>
  <c r="DO154"/>
  <c r="DP154"/>
  <c r="DQ154"/>
  <c r="DR154"/>
  <c r="DS154"/>
  <c r="DT154"/>
  <c r="DU154"/>
  <c r="DV154"/>
  <c r="DW154"/>
  <c r="DX154"/>
  <c r="DY154"/>
  <c r="DZ154"/>
  <c r="EA154"/>
  <c r="EB154"/>
  <c r="EC154"/>
  <c r="ED154"/>
  <c r="EE154"/>
  <c r="EF154"/>
  <c r="EG154"/>
  <c r="EH154"/>
  <c r="EI154"/>
  <c r="EJ154"/>
  <c r="EK154"/>
  <c r="EL154"/>
  <c r="EM154"/>
  <c r="EN154"/>
  <c r="EO154"/>
  <c r="EP154"/>
  <c r="EQ154"/>
  <c r="ER154"/>
  <c r="ES154"/>
  <c r="ET154"/>
  <c r="EU154"/>
  <c r="EV154"/>
  <c r="EW154"/>
  <c r="EX154"/>
  <c r="EY154"/>
  <c r="EZ154"/>
  <c r="FA154"/>
  <c r="FB154"/>
  <c r="FC154"/>
  <c r="FD154"/>
  <c r="FE154"/>
  <c r="FF154"/>
  <c r="FG154"/>
  <c r="FH154"/>
  <c r="FI154"/>
  <c r="FJ154"/>
  <c r="FK154"/>
  <c r="FL154"/>
  <c r="FM154"/>
  <c r="FN154"/>
  <c r="FO154"/>
  <c r="FP154"/>
  <c r="FQ154"/>
  <c r="FR154"/>
  <c r="FS154"/>
  <c r="FT154"/>
  <c r="FU154"/>
  <c r="FV154"/>
  <c r="FW154"/>
  <c r="FX154"/>
  <c r="FY154"/>
  <c r="FZ154"/>
  <c r="GA154"/>
  <c r="GB154"/>
  <c r="GC154"/>
  <c r="GD154"/>
  <c r="GE154"/>
  <c r="GF154"/>
  <c r="GG154"/>
  <c r="GH154"/>
  <c r="GI154"/>
  <c r="GJ154"/>
  <c r="GK154"/>
  <c r="GL154"/>
  <c r="GM154"/>
  <c r="GN154"/>
  <c r="GO154"/>
  <c r="GP154"/>
  <c r="GQ154"/>
  <c r="GR154"/>
  <c r="GS154"/>
  <c r="GT154"/>
  <c r="GU154"/>
  <c r="GV154"/>
  <c r="GW154"/>
  <c r="GX154"/>
  <c r="GY154"/>
  <c r="GZ154"/>
  <c r="HA154"/>
  <c r="HB154"/>
  <c r="HC154"/>
  <c r="HD154"/>
  <c r="HE154"/>
  <c r="HF154"/>
  <c r="HG154"/>
  <c r="HH154"/>
  <c r="HI154"/>
  <c r="HJ154"/>
  <c r="HK154"/>
  <c r="HL154"/>
  <c r="HM154"/>
  <c r="HN154"/>
  <c r="HO154"/>
  <c r="HP154"/>
  <c r="HQ154"/>
  <c r="HR154"/>
  <c r="HS154"/>
  <c r="HT154"/>
  <c r="HU154"/>
  <c r="HV154"/>
  <c r="HW154"/>
  <c r="HX154"/>
  <c r="HY154"/>
  <c r="HZ154"/>
  <c r="IA154"/>
  <c r="IB154"/>
  <c r="IC154"/>
  <c r="ID154"/>
  <c r="IE154"/>
  <c r="IF154"/>
  <c r="IG154"/>
  <c r="IH154"/>
  <c r="II154"/>
  <c r="IJ154"/>
  <c r="IK154"/>
  <c r="IL154"/>
  <c r="IM154"/>
  <c r="IN154"/>
  <c r="IO154"/>
  <c r="IP154"/>
  <c r="IQ154"/>
  <c r="IR154"/>
  <c r="IS154"/>
  <c r="IT154"/>
  <c r="IU154"/>
  <c r="IV154"/>
  <c r="A153"/>
  <c r="B153"/>
  <c r="C153"/>
  <c r="D153"/>
  <c r="E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Y153"/>
  <c r="AZ153"/>
  <c r="BA153"/>
  <c r="BB153"/>
  <c r="BC153"/>
  <c r="BD153"/>
  <c r="BE153"/>
  <c r="BF153"/>
  <c r="BG153"/>
  <c r="BH153"/>
  <c r="BI153"/>
  <c r="BJ153"/>
  <c r="BK153"/>
  <c r="BL153"/>
  <c r="BM153"/>
  <c r="BN153"/>
  <c r="BO153"/>
  <c r="BP153"/>
  <c r="BQ153"/>
  <c r="BR153"/>
  <c r="BS153"/>
  <c r="BT153"/>
  <c r="BU153"/>
  <c r="BV153"/>
  <c r="BW153"/>
  <c r="BX153"/>
  <c r="BY153"/>
  <c r="BZ153"/>
  <c r="CA153"/>
  <c r="CB153"/>
  <c r="CC153"/>
  <c r="CD153"/>
  <c r="CE153"/>
  <c r="CF153"/>
  <c r="CG153"/>
  <c r="CH153"/>
  <c r="CI153"/>
  <c r="CJ153"/>
  <c r="CK153"/>
  <c r="CL153"/>
  <c r="CM153"/>
  <c r="CN153"/>
  <c r="CO153"/>
  <c r="CP153"/>
  <c r="CQ153"/>
  <c r="CR153"/>
  <c r="CS153"/>
  <c r="CT153"/>
  <c r="CU153"/>
  <c r="CV153"/>
  <c r="CW153"/>
  <c r="CX153"/>
  <c r="CY153"/>
  <c r="CZ153"/>
  <c r="DA153"/>
  <c r="DB153"/>
  <c r="DC153"/>
  <c r="DD153"/>
  <c r="DE153"/>
  <c r="DF153"/>
  <c r="DG153"/>
  <c r="DH153"/>
  <c r="DI153"/>
  <c r="DJ153"/>
  <c r="DK153"/>
  <c r="DL153"/>
  <c r="DM153"/>
  <c r="DN153"/>
  <c r="DO153"/>
  <c r="DP153"/>
  <c r="DQ153"/>
  <c r="DR153"/>
  <c r="DS153"/>
  <c r="DT153"/>
  <c r="DU153"/>
  <c r="DV153"/>
  <c r="DW153"/>
  <c r="DX153"/>
  <c r="DY153"/>
  <c r="DZ153"/>
  <c r="EA153"/>
  <c r="EB153"/>
  <c r="EC153"/>
  <c r="ED153"/>
  <c r="EE153"/>
  <c r="EF153"/>
  <c r="EG153"/>
  <c r="EH153"/>
  <c r="EI153"/>
  <c r="EJ153"/>
  <c r="EK153"/>
  <c r="EL153"/>
  <c r="EM153"/>
  <c r="EN153"/>
  <c r="EO153"/>
  <c r="EP153"/>
  <c r="EQ153"/>
  <c r="ER153"/>
  <c r="ES153"/>
  <c r="ET153"/>
  <c r="EU153"/>
  <c r="EV153"/>
  <c r="EW153"/>
  <c r="EX153"/>
  <c r="EY153"/>
  <c r="EZ153"/>
  <c r="FA153"/>
  <c r="FB153"/>
  <c r="FC153"/>
  <c r="FD153"/>
  <c r="FE153"/>
  <c r="FF153"/>
  <c r="FG153"/>
  <c r="FH153"/>
  <c r="FI153"/>
  <c r="FJ153"/>
  <c r="FK153"/>
  <c r="FL153"/>
  <c r="FM153"/>
  <c r="FN153"/>
  <c r="FO153"/>
  <c r="FP153"/>
  <c r="FQ153"/>
  <c r="FR153"/>
  <c r="FS153"/>
  <c r="FT153"/>
  <c r="FU153"/>
  <c r="FV153"/>
  <c r="FW153"/>
  <c r="FX153"/>
  <c r="FY153"/>
  <c r="FZ153"/>
  <c r="GA153"/>
  <c r="GB153"/>
  <c r="GC153"/>
  <c r="GD153"/>
  <c r="GE153"/>
  <c r="GF153"/>
  <c r="GG153"/>
  <c r="GH153"/>
  <c r="GI153"/>
  <c r="GJ153"/>
  <c r="GK153"/>
  <c r="GL153"/>
  <c r="GM153"/>
  <c r="GN153"/>
  <c r="GO153"/>
  <c r="GP153"/>
  <c r="GQ153"/>
  <c r="GR153"/>
  <c r="GS153"/>
  <c r="GT153"/>
  <c r="GU153"/>
  <c r="GV153"/>
  <c r="GW153"/>
  <c r="GX153"/>
  <c r="GY153"/>
  <c r="GZ153"/>
  <c r="HA153"/>
  <c r="HB153"/>
  <c r="HC153"/>
  <c r="HD153"/>
  <c r="HE153"/>
  <c r="HF153"/>
  <c r="HG153"/>
  <c r="HH153"/>
  <c r="HI153"/>
  <c r="HJ153"/>
  <c r="HK153"/>
  <c r="HL153"/>
  <c r="HM153"/>
  <c r="HN153"/>
  <c r="HO153"/>
  <c r="HP153"/>
  <c r="HQ153"/>
  <c r="HR153"/>
  <c r="HS153"/>
  <c r="HT153"/>
  <c r="HU153"/>
  <c r="HV153"/>
  <c r="HW153"/>
  <c r="HX153"/>
  <c r="HY153"/>
  <c r="HZ153"/>
  <c r="IA153"/>
  <c r="IB153"/>
  <c r="IC153"/>
  <c r="ID153"/>
  <c r="IE153"/>
  <c r="IF153"/>
  <c r="IG153"/>
  <c r="IH153"/>
  <c r="II153"/>
  <c r="IJ153"/>
  <c r="IK153"/>
  <c r="IL153"/>
  <c r="IM153"/>
  <c r="IN153"/>
  <c r="IO153"/>
  <c r="IP153"/>
  <c r="IQ153"/>
  <c r="IR153"/>
  <c r="IS153"/>
  <c r="IT153"/>
  <c r="IU153"/>
  <c r="IV153"/>
  <c r="A152"/>
  <c r="B152"/>
  <c r="C152"/>
  <c r="D15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AX152"/>
  <c r="AY152"/>
  <c r="AZ152"/>
  <c r="BA152"/>
  <c r="BB152"/>
  <c r="BC152"/>
  <c r="BD152"/>
  <c r="BE152"/>
  <c r="BF152"/>
  <c r="BG152"/>
  <c r="BH152"/>
  <c r="BI152"/>
  <c r="BJ152"/>
  <c r="BK152"/>
  <c r="BL152"/>
  <c r="BM152"/>
  <c r="BN152"/>
  <c r="BO152"/>
  <c r="BP152"/>
  <c r="BQ152"/>
  <c r="BR152"/>
  <c r="BS152"/>
  <c r="BT152"/>
  <c r="BU152"/>
  <c r="BV152"/>
  <c r="BW152"/>
  <c r="BX152"/>
  <c r="BY152"/>
  <c r="BZ152"/>
  <c r="CA152"/>
  <c r="CB152"/>
  <c r="CC152"/>
  <c r="CD152"/>
  <c r="CE152"/>
  <c r="CF152"/>
  <c r="CG152"/>
  <c r="CH152"/>
  <c r="CI152"/>
  <c r="CJ152"/>
  <c r="CK152"/>
  <c r="CL152"/>
  <c r="CM152"/>
  <c r="CN152"/>
  <c r="CO152"/>
  <c r="CP152"/>
  <c r="CQ152"/>
  <c r="CR152"/>
  <c r="CS152"/>
  <c r="CT152"/>
  <c r="CU152"/>
  <c r="CV152"/>
  <c r="CW152"/>
  <c r="CX152"/>
  <c r="CY152"/>
  <c r="CZ152"/>
  <c r="DA152"/>
  <c r="DB152"/>
  <c r="DC152"/>
  <c r="DD152"/>
  <c r="DE152"/>
  <c r="DF152"/>
  <c r="DG152"/>
  <c r="DH152"/>
  <c r="DI152"/>
  <c r="DJ152"/>
  <c r="DK152"/>
  <c r="DL152"/>
  <c r="DM152"/>
  <c r="DN152"/>
  <c r="DO152"/>
  <c r="DP152"/>
  <c r="DQ152"/>
  <c r="DR152"/>
  <c r="DS152"/>
  <c r="DT152"/>
  <c r="DU152"/>
  <c r="DV152"/>
  <c r="DW152"/>
  <c r="DX152"/>
  <c r="DY152"/>
  <c r="DZ152"/>
  <c r="EA152"/>
  <c r="EB152"/>
  <c r="EC152"/>
  <c r="ED152"/>
  <c r="EE152"/>
  <c r="EF152"/>
  <c r="EG152"/>
  <c r="EH152"/>
  <c r="EI152"/>
  <c r="EJ152"/>
  <c r="EK152"/>
  <c r="EL152"/>
  <c r="EM152"/>
  <c r="EN152"/>
  <c r="EO152"/>
  <c r="EP152"/>
  <c r="EQ152"/>
  <c r="ER152"/>
  <c r="ES152"/>
  <c r="ET152"/>
  <c r="EU152"/>
  <c r="EV152"/>
  <c r="EW152"/>
  <c r="EX152"/>
  <c r="EY152"/>
  <c r="EZ152"/>
  <c r="FA152"/>
  <c r="FB152"/>
  <c r="FC152"/>
  <c r="FD152"/>
  <c r="FE152"/>
  <c r="FF152"/>
  <c r="FG152"/>
  <c r="FH152"/>
  <c r="FI152"/>
  <c r="FJ152"/>
  <c r="FK152"/>
  <c r="FL152"/>
  <c r="FM152"/>
  <c r="FN152"/>
  <c r="FO152"/>
  <c r="FP152"/>
  <c r="FQ152"/>
  <c r="FR152"/>
  <c r="FS152"/>
  <c r="FT152"/>
  <c r="FU152"/>
  <c r="FV152"/>
  <c r="FW152"/>
  <c r="FX152"/>
  <c r="FY152"/>
  <c r="FZ152"/>
  <c r="GA152"/>
  <c r="GB152"/>
  <c r="GC152"/>
  <c r="GD152"/>
  <c r="GE152"/>
  <c r="GF152"/>
  <c r="GG152"/>
  <c r="GH152"/>
  <c r="GI152"/>
  <c r="GJ152"/>
  <c r="GK152"/>
  <c r="GL152"/>
  <c r="GM152"/>
  <c r="GN152"/>
  <c r="GO152"/>
  <c r="GP152"/>
  <c r="GQ152"/>
  <c r="GR152"/>
  <c r="GS152"/>
  <c r="GT152"/>
  <c r="GU152"/>
  <c r="GV152"/>
  <c r="GW152"/>
  <c r="GX152"/>
  <c r="GY152"/>
  <c r="GZ152"/>
  <c r="HA152"/>
  <c r="HB152"/>
  <c r="HC152"/>
  <c r="HD152"/>
  <c r="HE152"/>
  <c r="HF152"/>
  <c r="HG152"/>
  <c r="HH152"/>
  <c r="HI152"/>
  <c r="HJ152"/>
  <c r="HK152"/>
  <c r="HL152"/>
  <c r="HM152"/>
  <c r="HN152"/>
  <c r="HO152"/>
  <c r="HP152"/>
  <c r="HQ152"/>
  <c r="HR152"/>
  <c r="HS152"/>
  <c r="HT152"/>
  <c r="HU152"/>
  <c r="HV152"/>
  <c r="HW152"/>
  <c r="HX152"/>
  <c r="HY152"/>
  <c r="HZ152"/>
  <c r="IA152"/>
  <c r="IB152"/>
  <c r="IC152"/>
  <c r="ID152"/>
  <c r="IE152"/>
  <c r="IF152"/>
  <c r="IG152"/>
  <c r="IH152"/>
  <c r="II152"/>
  <c r="IJ152"/>
  <c r="IK152"/>
  <c r="IL152"/>
  <c r="IM152"/>
  <c r="IN152"/>
  <c r="IO152"/>
  <c r="IP152"/>
  <c r="IQ152"/>
  <c r="IR152"/>
  <c r="IS152"/>
  <c r="IT152"/>
  <c r="IU152"/>
  <c r="IV152"/>
  <c r="A151"/>
  <c r="B151"/>
  <c r="C151"/>
  <c r="D151"/>
  <c r="E151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Y151"/>
  <c r="AZ151"/>
  <c r="BA151"/>
  <c r="BB151"/>
  <c r="BC151"/>
  <c r="BD151"/>
  <c r="BE151"/>
  <c r="BF151"/>
  <c r="BG151"/>
  <c r="BH151"/>
  <c r="BI151"/>
  <c r="BJ151"/>
  <c r="BK151"/>
  <c r="BL151"/>
  <c r="BM151"/>
  <c r="BN151"/>
  <c r="BO151"/>
  <c r="BP151"/>
  <c r="BQ151"/>
  <c r="BR151"/>
  <c r="BS151"/>
  <c r="BT151"/>
  <c r="BU151"/>
  <c r="BV151"/>
  <c r="BW151"/>
  <c r="BX151"/>
  <c r="BY151"/>
  <c r="BZ151"/>
  <c r="CA151"/>
  <c r="CB151"/>
  <c r="CC151"/>
  <c r="CD151"/>
  <c r="CE151"/>
  <c r="CF151"/>
  <c r="CG151"/>
  <c r="CH151"/>
  <c r="CI151"/>
  <c r="CJ151"/>
  <c r="CK151"/>
  <c r="CL151"/>
  <c r="CM151"/>
  <c r="CN151"/>
  <c r="CO151"/>
  <c r="CP151"/>
  <c r="CQ151"/>
  <c r="CR151"/>
  <c r="CS151"/>
  <c r="CT151"/>
  <c r="CU151"/>
  <c r="CV151"/>
  <c r="CW151"/>
  <c r="CX151"/>
  <c r="CY151"/>
  <c r="CZ151"/>
  <c r="DA151"/>
  <c r="DB151"/>
  <c r="DC151"/>
  <c r="DD151"/>
  <c r="DE151"/>
  <c r="DF151"/>
  <c r="DG151"/>
  <c r="DH151"/>
  <c r="DI151"/>
  <c r="DJ151"/>
  <c r="DK151"/>
  <c r="DL151"/>
  <c r="DM151"/>
  <c r="DN151"/>
  <c r="DO151"/>
  <c r="DP151"/>
  <c r="DQ151"/>
  <c r="DR151"/>
  <c r="DS151"/>
  <c r="DT151"/>
  <c r="DU151"/>
  <c r="DV151"/>
  <c r="DW151"/>
  <c r="DX151"/>
  <c r="DY151"/>
  <c r="DZ151"/>
  <c r="EA151"/>
  <c r="EB151"/>
  <c r="EC151"/>
  <c r="ED151"/>
  <c r="EE151"/>
  <c r="EF151"/>
  <c r="EG151"/>
  <c r="EH151"/>
  <c r="EI151"/>
  <c r="EJ151"/>
  <c r="EK151"/>
  <c r="EL151"/>
  <c r="EM151"/>
  <c r="EN151"/>
  <c r="EO151"/>
  <c r="EP151"/>
  <c r="EQ151"/>
  <c r="ER151"/>
  <c r="ES151"/>
  <c r="ET151"/>
  <c r="EU151"/>
  <c r="EV151"/>
  <c r="EW151"/>
  <c r="EX151"/>
  <c r="EY151"/>
  <c r="EZ151"/>
  <c r="FA151"/>
  <c r="FB151"/>
  <c r="FC151"/>
  <c r="FD151"/>
  <c r="FE151"/>
  <c r="FF151"/>
  <c r="FG151"/>
  <c r="FH151"/>
  <c r="FI151"/>
  <c r="FJ151"/>
  <c r="FK151"/>
  <c r="FL151"/>
  <c r="FM151"/>
  <c r="FN151"/>
  <c r="FO151"/>
  <c r="FP151"/>
  <c r="FQ151"/>
  <c r="FR151"/>
  <c r="FS151"/>
  <c r="FT151"/>
  <c r="FU151"/>
  <c r="FV151"/>
  <c r="FW151"/>
  <c r="FX151"/>
  <c r="FY151"/>
  <c r="FZ151"/>
  <c r="GA151"/>
  <c r="GB151"/>
  <c r="GC151"/>
  <c r="GD151"/>
  <c r="GE151"/>
  <c r="GF151"/>
  <c r="GG151"/>
  <c r="GH151"/>
  <c r="GI151"/>
  <c r="GJ151"/>
  <c r="GK151"/>
  <c r="GL151"/>
  <c r="GM151"/>
  <c r="GN151"/>
  <c r="GO151"/>
  <c r="GP151"/>
  <c r="GQ151"/>
  <c r="GR151"/>
  <c r="GS151"/>
  <c r="GT151"/>
  <c r="GU151"/>
  <c r="GV151"/>
  <c r="GW151"/>
  <c r="GX151"/>
  <c r="GY151"/>
  <c r="GZ151"/>
  <c r="HA151"/>
  <c r="HB151"/>
  <c r="HC151"/>
  <c r="HD151"/>
  <c r="HE151"/>
  <c r="HF151"/>
  <c r="HG151"/>
  <c r="HH151"/>
  <c r="HI151"/>
  <c r="HJ151"/>
  <c r="HK151"/>
  <c r="HL151"/>
  <c r="HM151"/>
  <c r="HN151"/>
  <c r="HO151"/>
  <c r="HP151"/>
  <c r="HQ151"/>
  <c r="HR151"/>
  <c r="HS151"/>
  <c r="HT151"/>
  <c r="HU151"/>
  <c r="HV151"/>
  <c r="HW151"/>
  <c r="HX151"/>
  <c r="HY151"/>
  <c r="HZ151"/>
  <c r="IA151"/>
  <c r="IB151"/>
  <c r="IC151"/>
  <c r="ID151"/>
  <c r="IE151"/>
  <c r="IF151"/>
  <c r="IG151"/>
  <c r="IH151"/>
  <c r="II151"/>
  <c r="IJ151"/>
  <c r="IK151"/>
  <c r="IL151"/>
  <c r="IM151"/>
  <c r="IN151"/>
  <c r="IO151"/>
  <c r="IP151"/>
  <c r="IQ151"/>
  <c r="IR151"/>
  <c r="IS151"/>
  <c r="IT151"/>
  <c r="IU151"/>
  <c r="IV151"/>
  <c r="A150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Y150"/>
  <c r="AZ150"/>
  <c r="BA150"/>
  <c r="BB150"/>
  <c r="BC150"/>
  <c r="BD150"/>
  <c r="BE150"/>
  <c r="BF150"/>
  <c r="BG150"/>
  <c r="BH150"/>
  <c r="BI150"/>
  <c r="BJ150"/>
  <c r="BK150"/>
  <c r="BL150"/>
  <c r="BM150"/>
  <c r="BN150"/>
  <c r="BO150"/>
  <c r="BP150"/>
  <c r="BQ150"/>
  <c r="BR150"/>
  <c r="BS150"/>
  <c r="BT150"/>
  <c r="BU150"/>
  <c r="BV150"/>
  <c r="BW150"/>
  <c r="BX150"/>
  <c r="BY150"/>
  <c r="BZ150"/>
  <c r="CA150"/>
  <c r="CB150"/>
  <c r="CC150"/>
  <c r="CD150"/>
  <c r="CE150"/>
  <c r="CF150"/>
  <c r="CG150"/>
  <c r="CH150"/>
  <c r="CI150"/>
  <c r="CJ150"/>
  <c r="CK150"/>
  <c r="CL150"/>
  <c r="CM150"/>
  <c r="CN150"/>
  <c r="CO150"/>
  <c r="CP150"/>
  <c r="CQ150"/>
  <c r="CR150"/>
  <c r="CS150"/>
  <c r="CT150"/>
  <c r="CU150"/>
  <c r="CV150"/>
  <c r="CW150"/>
  <c r="CX150"/>
  <c r="CY150"/>
  <c r="CZ150"/>
  <c r="DA150"/>
  <c r="DB150"/>
  <c r="DC150"/>
  <c r="DD150"/>
  <c r="DE150"/>
  <c r="DF150"/>
  <c r="DG150"/>
  <c r="DH150"/>
  <c r="DI150"/>
  <c r="DJ150"/>
  <c r="DK150"/>
  <c r="DL150"/>
  <c r="DM150"/>
  <c r="DN150"/>
  <c r="DO150"/>
  <c r="DP150"/>
  <c r="DQ150"/>
  <c r="DR150"/>
  <c r="DS150"/>
  <c r="DT150"/>
  <c r="DU150"/>
  <c r="DV150"/>
  <c r="DW150"/>
  <c r="DX150"/>
  <c r="DY150"/>
  <c r="DZ150"/>
  <c r="EA150"/>
  <c r="EB150"/>
  <c r="EC150"/>
  <c r="ED150"/>
  <c r="EE150"/>
  <c r="EF150"/>
  <c r="EG150"/>
  <c r="EH150"/>
  <c r="EI150"/>
  <c r="EJ150"/>
  <c r="EK150"/>
  <c r="EL150"/>
  <c r="EM150"/>
  <c r="EN150"/>
  <c r="EO150"/>
  <c r="EP150"/>
  <c r="EQ150"/>
  <c r="ER150"/>
  <c r="ES150"/>
  <c r="ET150"/>
  <c r="EU150"/>
  <c r="EV150"/>
  <c r="EW150"/>
  <c r="EX150"/>
  <c r="EY150"/>
  <c r="EZ150"/>
  <c r="FA150"/>
  <c r="FB150"/>
  <c r="FC150"/>
  <c r="FD150"/>
  <c r="FE150"/>
  <c r="FF150"/>
  <c r="FG150"/>
  <c r="FH150"/>
  <c r="FI150"/>
  <c r="FJ150"/>
  <c r="FK150"/>
  <c r="FL150"/>
  <c r="FM150"/>
  <c r="FN150"/>
  <c r="FO150"/>
  <c r="FP150"/>
  <c r="FQ150"/>
  <c r="FR150"/>
  <c r="FS150"/>
  <c r="FT150"/>
  <c r="FU150"/>
  <c r="FV150"/>
  <c r="FW150"/>
  <c r="FX150"/>
  <c r="FY150"/>
  <c r="FZ150"/>
  <c r="GA150"/>
  <c r="GB150"/>
  <c r="GC150"/>
  <c r="GD150"/>
  <c r="GE150"/>
  <c r="GF150"/>
  <c r="GG150"/>
  <c r="GH150"/>
  <c r="GI150"/>
  <c r="GJ150"/>
  <c r="GK150"/>
  <c r="GL150"/>
  <c r="GM150"/>
  <c r="GN150"/>
  <c r="GO150"/>
  <c r="GP150"/>
  <c r="GQ150"/>
  <c r="GR150"/>
  <c r="GS150"/>
  <c r="GT150"/>
  <c r="GU150"/>
  <c r="GV150"/>
  <c r="GW150"/>
  <c r="GX150"/>
  <c r="GY150"/>
  <c r="GZ150"/>
  <c r="HA150"/>
  <c r="HB150"/>
  <c r="HC150"/>
  <c r="HD150"/>
  <c r="HE150"/>
  <c r="HF150"/>
  <c r="HG150"/>
  <c r="HH150"/>
  <c r="HI150"/>
  <c r="HJ150"/>
  <c r="HK150"/>
  <c r="HL150"/>
  <c r="HM150"/>
  <c r="HN150"/>
  <c r="HO150"/>
  <c r="HP150"/>
  <c r="HQ150"/>
  <c r="HR150"/>
  <c r="HS150"/>
  <c r="HT150"/>
  <c r="HU150"/>
  <c r="HV150"/>
  <c r="HW150"/>
  <c r="HX150"/>
  <c r="HY150"/>
  <c r="HZ150"/>
  <c r="IA150"/>
  <c r="IB150"/>
  <c r="IC150"/>
  <c r="ID150"/>
  <c r="IE150"/>
  <c r="IF150"/>
  <c r="IG150"/>
  <c r="IH150"/>
  <c r="II150"/>
  <c r="IJ150"/>
  <c r="IK150"/>
  <c r="IL150"/>
  <c r="IM150"/>
  <c r="IN150"/>
  <c r="IO150"/>
  <c r="IP150"/>
  <c r="IQ150"/>
  <c r="IR150"/>
  <c r="IS150"/>
  <c r="IT150"/>
  <c r="IU150"/>
  <c r="IV150"/>
  <c r="A149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AT149"/>
  <c r="AU149"/>
  <c r="AV149"/>
  <c r="AW149"/>
  <c r="AX149"/>
  <c r="AY149"/>
  <c r="AZ149"/>
  <c r="BA149"/>
  <c r="BB149"/>
  <c r="BC149"/>
  <c r="BD149"/>
  <c r="BE149"/>
  <c r="BF149"/>
  <c r="BG149"/>
  <c r="BH149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CB149"/>
  <c r="CC149"/>
  <c r="CD149"/>
  <c r="CE149"/>
  <c r="CF149"/>
  <c r="CG149"/>
  <c r="CH149"/>
  <c r="CI149"/>
  <c r="CJ149"/>
  <c r="CK149"/>
  <c r="CL149"/>
  <c r="CM149"/>
  <c r="CN149"/>
  <c r="CO149"/>
  <c r="CP149"/>
  <c r="CQ149"/>
  <c r="CR149"/>
  <c r="CS149"/>
  <c r="CT149"/>
  <c r="CU149"/>
  <c r="CV149"/>
  <c r="CW149"/>
  <c r="CX149"/>
  <c r="CY149"/>
  <c r="CZ149"/>
  <c r="DA149"/>
  <c r="DB149"/>
  <c r="DC149"/>
  <c r="DD149"/>
  <c r="DE149"/>
  <c r="DF149"/>
  <c r="DG149"/>
  <c r="DH149"/>
  <c r="DI149"/>
  <c r="DJ149"/>
  <c r="DK149"/>
  <c r="DL149"/>
  <c r="DM149"/>
  <c r="DN149"/>
  <c r="DO149"/>
  <c r="DP149"/>
  <c r="DQ149"/>
  <c r="DR149"/>
  <c r="DS149"/>
  <c r="DT149"/>
  <c r="DU149"/>
  <c r="DV149"/>
  <c r="DW149"/>
  <c r="DX149"/>
  <c r="DY149"/>
  <c r="DZ149"/>
  <c r="EA149"/>
  <c r="EB149"/>
  <c r="EC149"/>
  <c r="ED149"/>
  <c r="EE149"/>
  <c r="EF149"/>
  <c r="EG149"/>
  <c r="EH149"/>
  <c r="EI149"/>
  <c r="EJ149"/>
  <c r="EK149"/>
  <c r="EL149"/>
  <c r="EM149"/>
  <c r="EN149"/>
  <c r="EO149"/>
  <c r="EP149"/>
  <c r="EQ149"/>
  <c r="ER149"/>
  <c r="ES149"/>
  <c r="ET149"/>
  <c r="EU149"/>
  <c r="EV149"/>
  <c r="EW149"/>
  <c r="EX149"/>
  <c r="EY149"/>
  <c r="EZ149"/>
  <c r="FA149"/>
  <c r="FB149"/>
  <c r="FC149"/>
  <c r="FD149"/>
  <c r="FE149"/>
  <c r="FF149"/>
  <c r="FG149"/>
  <c r="FH149"/>
  <c r="FI149"/>
  <c r="FJ149"/>
  <c r="FK149"/>
  <c r="FL149"/>
  <c r="FM149"/>
  <c r="FN149"/>
  <c r="FO149"/>
  <c r="FP149"/>
  <c r="FQ149"/>
  <c r="FR149"/>
  <c r="FS149"/>
  <c r="FT149"/>
  <c r="FU149"/>
  <c r="FV149"/>
  <c r="FW149"/>
  <c r="FX149"/>
  <c r="FY149"/>
  <c r="FZ149"/>
  <c r="GA149"/>
  <c r="GB149"/>
  <c r="GC149"/>
  <c r="GD149"/>
  <c r="GE149"/>
  <c r="GF149"/>
  <c r="GG149"/>
  <c r="GH149"/>
  <c r="GI149"/>
  <c r="GJ149"/>
  <c r="GK149"/>
  <c r="GL149"/>
  <c r="GM149"/>
  <c r="GN149"/>
  <c r="GO149"/>
  <c r="GP149"/>
  <c r="GQ149"/>
  <c r="GR149"/>
  <c r="GS149"/>
  <c r="GT149"/>
  <c r="GU149"/>
  <c r="GV149"/>
  <c r="GW149"/>
  <c r="GX149"/>
  <c r="GY149"/>
  <c r="GZ149"/>
  <c r="HA149"/>
  <c r="HB149"/>
  <c r="HC149"/>
  <c r="HD149"/>
  <c r="HE149"/>
  <c r="HF149"/>
  <c r="HG149"/>
  <c r="HH149"/>
  <c r="HI149"/>
  <c r="HJ149"/>
  <c r="HK149"/>
  <c r="HL149"/>
  <c r="HM149"/>
  <c r="HN149"/>
  <c r="HO149"/>
  <c r="HP149"/>
  <c r="HQ149"/>
  <c r="HR149"/>
  <c r="HS149"/>
  <c r="HT149"/>
  <c r="HU149"/>
  <c r="HV149"/>
  <c r="HW149"/>
  <c r="HX149"/>
  <c r="HY149"/>
  <c r="HZ149"/>
  <c r="IA149"/>
  <c r="IB149"/>
  <c r="IC149"/>
  <c r="ID149"/>
  <c r="IE149"/>
  <c r="IF149"/>
  <c r="IG149"/>
  <c r="IH149"/>
  <c r="II149"/>
  <c r="IJ149"/>
  <c r="IK149"/>
  <c r="IL149"/>
  <c r="IM149"/>
  <c r="IN149"/>
  <c r="IO149"/>
  <c r="IP149"/>
  <c r="IQ149"/>
  <c r="IR149"/>
  <c r="IS149"/>
  <c r="IT149"/>
  <c r="IU149"/>
  <c r="IV149"/>
  <c r="A148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Y148"/>
  <c r="AZ148"/>
  <c r="BA148"/>
  <c r="BB148"/>
  <c r="BC148"/>
  <c r="BD148"/>
  <c r="BE148"/>
  <c r="BF148"/>
  <c r="BG148"/>
  <c r="BH148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CB148"/>
  <c r="CC148"/>
  <c r="CD148"/>
  <c r="CE148"/>
  <c r="CF148"/>
  <c r="CG148"/>
  <c r="CH148"/>
  <c r="CI148"/>
  <c r="CJ148"/>
  <c r="CK148"/>
  <c r="CL148"/>
  <c r="CM148"/>
  <c r="CN148"/>
  <c r="CO148"/>
  <c r="CP148"/>
  <c r="CQ148"/>
  <c r="CR148"/>
  <c r="CS148"/>
  <c r="CT148"/>
  <c r="CU148"/>
  <c r="CV148"/>
  <c r="CW148"/>
  <c r="CX148"/>
  <c r="CY148"/>
  <c r="CZ148"/>
  <c r="DA148"/>
  <c r="DB148"/>
  <c r="DC148"/>
  <c r="DD148"/>
  <c r="DE148"/>
  <c r="DF148"/>
  <c r="DG148"/>
  <c r="DH148"/>
  <c r="DI148"/>
  <c r="DJ148"/>
  <c r="DK148"/>
  <c r="DL148"/>
  <c r="DM148"/>
  <c r="DN148"/>
  <c r="DO148"/>
  <c r="DP148"/>
  <c r="DQ148"/>
  <c r="DR148"/>
  <c r="DS148"/>
  <c r="DT148"/>
  <c r="DU148"/>
  <c r="DV148"/>
  <c r="DW148"/>
  <c r="DX148"/>
  <c r="DY148"/>
  <c r="DZ148"/>
  <c r="EA148"/>
  <c r="EB148"/>
  <c r="EC148"/>
  <c r="ED148"/>
  <c r="EE148"/>
  <c r="EF148"/>
  <c r="EG148"/>
  <c r="EH148"/>
  <c r="EI148"/>
  <c r="EJ148"/>
  <c r="EK148"/>
  <c r="EL148"/>
  <c r="EM148"/>
  <c r="EN148"/>
  <c r="EO148"/>
  <c r="EP148"/>
  <c r="EQ148"/>
  <c r="ER148"/>
  <c r="ES148"/>
  <c r="ET148"/>
  <c r="EU148"/>
  <c r="EV148"/>
  <c r="EW148"/>
  <c r="EX148"/>
  <c r="EY148"/>
  <c r="EZ148"/>
  <c r="FA148"/>
  <c r="FB148"/>
  <c r="FC148"/>
  <c r="FD148"/>
  <c r="FE148"/>
  <c r="FF148"/>
  <c r="FG148"/>
  <c r="FH148"/>
  <c r="FI148"/>
  <c r="FJ148"/>
  <c r="FK148"/>
  <c r="FL148"/>
  <c r="FM148"/>
  <c r="FN148"/>
  <c r="FO148"/>
  <c r="FP148"/>
  <c r="FQ148"/>
  <c r="FR148"/>
  <c r="FS148"/>
  <c r="FT148"/>
  <c r="FU148"/>
  <c r="FV148"/>
  <c r="FW148"/>
  <c r="FX148"/>
  <c r="FY148"/>
  <c r="FZ148"/>
  <c r="GA148"/>
  <c r="GB148"/>
  <c r="GC148"/>
  <c r="GD148"/>
  <c r="GE148"/>
  <c r="GF148"/>
  <c r="GG148"/>
  <c r="GH148"/>
  <c r="GI148"/>
  <c r="GJ148"/>
  <c r="GK148"/>
  <c r="GL148"/>
  <c r="GM148"/>
  <c r="GN148"/>
  <c r="GO148"/>
  <c r="GP148"/>
  <c r="GQ148"/>
  <c r="GR148"/>
  <c r="GS148"/>
  <c r="GT148"/>
  <c r="GU148"/>
  <c r="GV148"/>
  <c r="GW148"/>
  <c r="GX148"/>
  <c r="GY148"/>
  <c r="GZ148"/>
  <c r="HA148"/>
  <c r="HB148"/>
  <c r="HC148"/>
  <c r="HD148"/>
  <c r="HE148"/>
  <c r="HF148"/>
  <c r="HG148"/>
  <c r="HH148"/>
  <c r="HI148"/>
  <c r="HJ148"/>
  <c r="HK148"/>
  <c r="HL148"/>
  <c r="HM148"/>
  <c r="HN148"/>
  <c r="HO148"/>
  <c r="HP148"/>
  <c r="HQ148"/>
  <c r="HR148"/>
  <c r="HS148"/>
  <c r="HT148"/>
  <c r="HU148"/>
  <c r="HV148"/>
  <c r="HW148"/>
  <c r="HX148"/>
  <c r="HY148"/>
  <c r="HZ148"/>
  <c r="IA148"/>
  <c r="IB148"/>
  <c r="IC148"/>
  <c r="ID148"/>
  <c r="IE148"/>
  <c r="IF148"/>
  <c r="IG148"/>
  <c r="IH148"/>
  <c r="II148"/>
  <c r="IJ148"/>
  <c r="IK148"/>
  <c r="IL148"/>
  <c r="IM148"/>
  <c r="IN148"/>
  <c r="IO148"/>
  <c r="IP148"/>
  <c r="IQ148"/>
  <c r="IR148"/>
  <c r="IS148"/>
  <c r="IT148"/>
  <c r="IU148"/>
  <c r="IV148"/>
  <c r="A147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CE147"/>
  <c r="CF147"/>
  <c r="CG147"/>
  <c r="CH147"/>
  <c r="CI147"/>
  <c r="CJ147"/>
  <c r="CK147"/>
  <c r="CL147"/>
  <c r="CM147"/>
  <c r="CN147"/>
  <c r="CO147"/>
  <c r="CP147"/>
  <c r="CQ147"/>
  <c r="CR147"/>
  <c r="CS147"/>
  <c r="CT147"/>
  <c r="CU147"/>
  <c r="CV147"/>
  <c r="CW147"/>
  <c r="CX147"/>
  <c r="CY147"/>
  <c r="CZ147"/>
  <c r="DA147"/>
  <c r="DB147"/>
  <c r="DC147"/>
  <c r="DD147"/>
  <c r="DE147"/>
  <c r="DF147"/>
  <c r="DG147"/>
  <c r="DH147"/>
  <c r="DI147"/>
  <c r="DJ147"/>
  <c r="DK147"/>
  <c r="DL147"/>
  <c r="DM147"/>
  <c r="DN147"/>
  <c r="DO147"/>
  <c r="DP147"/>
  <c r="DQ147"/>
  <c r="DR147"/>
  <c r="DS147"/>
  <c r="DT147"/>
  <c r="DU147"/>
  <c r="DV147"/>
  <c r="DW147"/>
  <c r="DX147"/>
  <c r="DY147"/>
  <c r="DZ147"/>
  <c r="EA147"/>
  <c r="EB147"/>
  <c r="EC147"/>
  <c r="ED147"/>
  <c r="EE147"/>
  <c r="EF147"/>
  <c r="EG147"/>
  <c r="EH147"/>
  <c r="EI147"/>
  <c r="EJ147"/>
  <c r="EK147"/>
  <c r="EL147"/>
  <c r="EM147"/>
  <c r="EN147"/>
  <c r="EO147"/>
  <c r="EP147"/>
  <c r="EQ147"/>
  <c r="ER147"/>
  <c r="ES147"/>
  <c r="ET147"/>
  <c r="EU147"/>
  <c r="EV147"/>
  <c r="EW147"/>
  <c r="EX147"/>
  <c r="EY147"/>
  <c r="EZ147"/>
  <c r="FA147"/>
  <c r="FB147"/>
  <c r="FC147"/>
  <c r="FD147"/>
  <c r="FE147"/>
  <c r="FF147"/>
  <c r="FG147"/>
  <c r="FH147"/>
  <c r="FI147"/>
  <c r="FJ147"/>
  <c r="FK147"/>
  <c r="FL147"/>
  <c r="FM147"/>
  <c r="FN147"/>
  <c r="FO147"/>
  <c r="FP147"/>
  <c r="FQ147"/>
  <c r="FR147"/>
  <c r="FS147"/>
  <c r="FT147"/>
  <c r="FU147"/>
  <c r="FV147"/>
  <c r="FW147"/>
  <c r="FX147"/>
  <c r="FY147"/>
  <c r="FZ147"/>
  <c r="GA147"/>
  <c r="GB147"/>
  <c r="GC147"/>
  <c r="GD147"/>
  <c r="GE147"/>
  <c r="GF147"/>
  <c r="GG147"/>
  <c r="GH147"/>
  <c r="GI147"/>
  <c r="GJ147"/>
  <c r="GK147"/>
  <c r="GL147"/>
  <c r="GM147"/>
  <c r="GN147"/>
  <c r="GO147"/>
  <c r="GP147"/>
  <c r="GQ147"/>
  <c r="GR147"/>
  <c r="GS147"/>
  <c r="GT147"/>
  <c r="GU147"/>
  <c r="GV147"/>
  <c r="GW147"/>
  <c r="GX147"/>
  <c r="GY147"/>
  <c r="GZ147"/>
  <c r="HA147"/>
  <c r="HB147"/>
  <c r="HC147"/>
  <c r="HD147"/>
  <c r="HE147"/>
  <c r="HF147"/>
  <c r="HG147"/>
  <c r="HH147"/>
  <c r="HI147"/>
  <c r="HJ147"/>
  <c r="HK147"/>
  <c r="HL147"/>
  <c r="HM147"/>
  <c r="HN147"/>
  <c r="HO147"/>
  <c r="HP147"/>
  <c r="HQ147"/>
  <c r="HR147"/>
  <c r="HS147"/>
  <c r="HT147"/>
  <c r="HU147"/>
  <c r="HV147"/>
  <c r="HW147"/>
  <c r="HX147"/>
  <c r="HY147"/>
  <c r="HZ147"/>
  <c r="IA147"/>
  <c r="IB147"/>
  <c r="IC147"/>
  <c r="ID147"/>
  <c r="IE147"/>
  <c r="IF147"/>
  <c r="IG147"/>
  <c r="IH147"/>
  <c r="II147"/>
  <c r="IJ147"/>
  <c r="IK147"/>
  <c r="IL147"/>
  <c r="IM147"/>
  <c r="IN147"/>
  <c r="IO147"/>
  <c r="IP147"/>
  <c r="IQ147"/>
  <c r="IR147"/>
  <c r="IS147"/>
  <c r="IT147"/>
  <c r="IU147"/>
  <c r="IV147"/>
  <c r="A146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Y146"/>
  <c r="AZ146"/>
  <c r="BA146"/>
  <c r="BB146"/>
  <c r="BC146"/>
  <c r="BD146"/>
  <c r="BE146"/>
  <c r="BF146"/>
  <c r="BG146"/>
  <c r="BH146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CB146"/>
  <c r="CC146"/>
  <c r="CD146"/>
  <c r="CE146"/>
  <c r="CF146"/>
  <c r="CG146"/>
  <c r="CH146"/>
  <c r="CI146"/>
  <c r="CJ146"/>
  <c r="CK146"/>
  <c r="CL146"/>
  <c r="CM146"/>
  <c r="CN146"/>
  <c r="CO146"/>
  <c r="CP146"/>
  <c r="CQ146"/>
  <c r="CR146"/>
  <c r="CS146"/>
  <c r="CT146"/>
  <c r="CU146"/>
  <c r="CV146"/>
  <c r="CW146"/>
  <c r="CX146"/>
  <c r="CY146"/>
  <c r="CZ146"/>
  <c r="DA146"/>
  <c r="DB146"/>
  <c r="DC146"/>
  <c r="DD146"/>
  <c r="DE146"/>
  <c r="DF146"/>
  <c r="DG146"/>
  <c r="DH146"/>
  <c r="DI146"/>
  <c r="DJ146"/>
  <c r="DK146"/>
  <c r="DL146"/>
  <c r="DM146"/>
  <c r="DN146"/>
  <c r="DO146"/>
  <c r="DP146"/>
  <c r="DQ146"/>
  <c r="DR146"/>
  <c r="DS146"/>
  <c r="DT146"/>
  <c r="DU146"/>
  <c r="DV146"/>
  <c r="DW146"/>
  <c r="DX146"/>
  <c r="DY146"/>
  <c r="DZ146"/>
  <c r="EA146"/>
  <c r="EB146"/>
  <c r="EC146"/>
  <c r="ED146"/>
  <c r="EE146"/>
  <c r="EF146"/>
  <c r="EG146"/>
  <c r="EH146"/>
  <c r="EI146"/>
  <c r="EJ146"/>
  <c r="EK146"/>
  <c r="EL146"/>
  <c r="EM146"/>
  <c r="EN146"/>
  <c r="EO146"/>
  <c r="EP146"/>
  <c r="EQ146"/>
  <c r="ER146"/>
  <c r="ES146"/>
  <c r="ET146"/>
  <c r="EU146"/>
  <c r="EV146"/>
  <c r="EW146"/>
  <c r="EX146"/>
  <c r="EY146"/>
  <c r="EZ146"/>
  <c r="FA146"/>
  <c r="FB146"/>
  <c r="FC146"/>
  <c r="FD146"/>
  <c r="FE146"/>
  <c r="FF146"/>
  <c r="FG146"/>
  <c r="FH146"/>
  <c r="FI146"/>
  <c r="FJ146"/>
  <c r="FK146"/>
  <c r="FL146"/>
  <c r="FM146"/>
  <c r="FN146"/>
  <c r="FO146"/>
  <c r="FP146"/>
  <c r="FQ146"/>
  <c r="FR146"/>
  <c r="FS146"/>
  <c r="FT146"/>
  <c r="FU146"/>
  <c r="FV146"/>
  <c r="FW146"/>
  <c r="FX146"/>
  <c r="FY146"/>
  <c r="FZ146"/>
  <c r="GA146"/>
  <c r="GB146"/>
  <c r="GC146"/>
  <c r="GD146"/>
  <c r="GE146"/>
  <c r="GF146"/>
  <c r="GG146"/>
  <c r="GH146"/>
  <c r="GI146"/>
  <c r="GJ146"/>
  <c r="GK146"/>
  <c r="GL146"/>
  <c r="GM146"/>
  <c r="GN146"/>
  <c r="GO146"/>
  <c r="GP146"/>
  <c r="GQ146"/>
  <c r="GR146"/>
  <c r="GS146"/>
  <c r="GT146"/>
  <c r="GU146"/>
  <c r="GV146"/>
  <c r="GW146"/>
  <c r="GX146"/>
  <c r="GY146"/>
  <c r="GZ146"/>
  <c r="HA146"/>
  <c r="HB146"/>
  <c r="HC146"/>
  <c r="HD146"/>
  <c r="HE146"/>
  <c r="HF146"/>
  <c r="HG146"/>
  <c r="HH146"/>
  <c r="HI146"/>
  <c r="HJ146"/>
  <c r="HK146"/>
  <c r="HL146"/>
  <c r="HM146"/>
  <c r="HN146"/>
  <c r="HO146"/>
  <c r="HP146"/>
  <c r="HQ146"/>
  <c r="HR146"/>
  <c r="HS146"/>
  <c r="HT146"/>
  <c r="HU146"/>
  <c r="HV146"/>
  <c r="HW146"/>
  <c r="HX146"/>
  <c r="HY146"/>
  <c r="HZ146"/>
  <c r="IA146"/>
  <c r="IB146"/>
  <c r="IC146"/>
  <c r="ID146"/>
  <c r="IE146"/>
  <c r="IF146"/>
  <c r="IG146"/>
  <c r="IH146"/>
  <c r="II146"/>
  <c r="IJ146"/>
  <c r="IK146"/>
  <c r="IL146"/>
  <c r="IM146"/>
  <c r="IN146"/>
  <c r="IO146"/>
  <c r="IP146"/>
  <c r="IQ146"/>
  <c r="IR146"/>
  <c r="IS146"/>
  <c r="IT146"/>
  <c r="IU146"/>
  <c r="IV146"/>
  <c r="A145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Y145"/>
  <c r="AZ145"/>
  <c r="BA145"/>
  <c r="BB145"/>
  <c r="BC145"/>
  <c r="BD145"/>
  <c r="BE145"/>
  <c r="BF145"/>
  <c r="BG145"/>
  <c r="BH145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CE145"/>
  <c r="CF145"/>
  <c r="CG145"/>
  <c r="CH145"/>
  <c r="CI145"/>
  <c r="CJ145"/>
  <c r="CK145"/>
  <c r="CL145"/>
  <c r="CM145"/>
  <c r="CN145"/>
  <c r="CO145"/>
  <c r="CP145"/>
  <c r="CQ145"/>
  <c r="CR145"/>
  <c r="CS145"/>
  <c r="CT145"/>
  <c r="CU145"/>
  <c r="CV145"/>
  <c r="CW145"/>
  <c r="CX145"/>
  <c r="CY145"/>
  <c r="CZ145"/>
  <c r="DA145"/>
  <c r="DB145"/>
  <c r="DC145"/>
  <c r="DD145"/>
  <c r="DE145"/>
  <c r="DF145"/>
  <c r="DG145"/>
  <c r="DH145"/>
  <c r="DI145"/>
  <c r="DJ145"/>
  <c r="DK145"/>
  <c r="DL145"/>
  <c r="DM145"/>
  <c r="DN145"/>
  <c r="DO145"/>
  <c r="DP145"/>
  <c r="DQ145"/>
  <c r="DR145"/>
  <c r="DS145"/>
  <c r="DT145"/>
  <c r="DU145"/>
  <c r="DV145"/>
  <c r="DW145"/>
  <c r="DX145"/>
  <c r="DY145"/>
  <c r="DZ145"/>
  <c r="EA145"/>
  <c r="EB145"/>
  <c r="EC145"/>
  <c r="ED145"/>
  <c r="EE145"/>
  <c r="EF145"/>
  <c r="EG145"/>
  <c r="EH145"/>
  <c r="EI145"/>
  <c r="EJ145"/>
  <c r="EK145"/>
  <c r="EL145"/>
  <c r="EM145"/>
  <c r="EN145"/>
  <c r="EO145"/>
  <c r="EP145"/>
  <c r="EQ145"/>
  <c r="ER145"/>
  <c r="ES145"/>
  <c r="ET145"/>
  <c r="EU145"/>
  <c r="EV145"/>
  <c r="EW145"/>
  <c r="EX145"/>
  <c r="EY145"/>
  <c r="EZ145"/>
  <c r="FA145"/>
  <c r="FB145"/>
  <c r="FC145"/>
  <c r="FD145"/>
  <c r="FE145"/>
  <c r="FF145"/>
  <c r="FG145"/>
  <c r="FH145"/>
  <c r="FI145"/>
  <c r="FJ145"/>
  <c r="FK145"/>
  <c r="FL145"/>
  <c r="FM145"/>
  <c r="FN145"/>
  <c r="FO145"/>
  <c r="FP145"/>
  <c r="FQ145"/>
  <c r="FR145"/>
  <c r="FS145"/>
  <c r="FT145"/>
  <c r="FU145"/>
  <c r="FV145"/>
  <c r="FW145"/>
  <c r="FX145"/>
  <c r="FY145"/>
  <c r="FZ145"/>
  <c r="GA145"/>
  <c r="GB145"/>
  <c r="GC145"/>
  <c r="GD145"/>
  <c r="GE145"/>
  <c r="GF145"/>
  <c r="GG145"/>
  <c r="GH145"/>
  <c r="GI145"/>
  <c r="GJ145"/>
  <c r="GK145"/>
  <c r="GL145"/>
  <c r="GM145"/>
  <c r="GN145"/>
  <c r="GO145"/>
  <c r="GP145"/>
  <c r="GQ145"/>
  <c r="GR145"/>
  <c r="GS145"/>
  <c r="GT145"/>
  <c r="GU145"/>
  <c r="GV145"/>
  <c r="GW145"/>
  <c r="GX145"/>
  <c r="GY145"/>
  <c r="GZ145"/>
  <c r="HA145"/>
  <c r="HB145"/>
  <c r="HC145"/>
  <c r="HD145"/>
  <c r="HE145"/>
  <c r="HF145"/>
  <c r="HG145"/>
  <c r="HH145"/>
  <c r="HI145"/>
  <c r="HJ145"/>
  <c r="HK145"/>
  <c r="HL145"/>
  <c r="HM145"/>
  <c r="HN145"/>
  <c r="HO145"/>
  <c r="HP145"/>
  <c r="HQ145"/>
  <c r="HR145"/>
  <c r="HS145"/>
  <c r="HT145"/>
  <c r="HU145"/>
  <c r="HV145"/>
  <c r="HW145"/>
  <c r="HX145"/>
  <c r="HY145"/>
  <c r="HZ145"/>
  <c r="IA145"/>
  <c r="IB145"/>
  <c r="IC145"/>
  <c r="ID145"/>
  <c r="IE145"/>
  <c r="IF145"/>
  <c r="IG145"/>
  <c r="IH145"/>
  <c r="II145"/>
  <c r="IJ145"/>
  <c r="IK145"/>
  <c r="IL145"/>
  <c r="IM145"/>
  <c r="IN145"/>
  <c r="IO145"/>
  <c r="IP145"/>
  <c r="IQ145"/>
  <c r="IR145"/>
  <c r="IS145"/>
  <c r="IT145"/>
  <c r="IU145"/>
  <c r="IV145"/>
  <c r="A144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Y144"/>
  <c r="AZ144"/>
  <c r="BA144"/>
  <c r="BB144"/>
  <c r="BC144"/>
  <c r="BD144"/>
  <c r="BE144"/>
  <c r="BF144"/>
  <c r="BG144"/>
  <c r="BH144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CB144"/>
  <c r="CC144"/>
  <c r="CD144"/>
  <c r="CE144"/>
  <c r="CF144"/>
  <c r="CG144"/>
  <c r="CH144"/>
  <c r="CI144"/>
  <c r="CJ144"/>
  <c r="CK144"/>
  <c r="CL144"/>
  <c r="CM144"/>
  <c r="CN144"/>
  <c r="CO144"/>
  <c r="CP144"/>
  <c r="CQ144"/>
  <c r="CR144"/>
  <c r="CS144"/>
  <c r="CT144"/>
  <c r="CU144"/>
  <c r="CV144"/>
  <c r="CW144"/>
  <c r="CX144"/>
  <c r="CY144"/>
  <c r="CZ144"/>
  <c r="DA144"/>
  <c r="DB144"/>
  <c r="DC144"/>
  <c r="DD144"/>
  <c r="DE144"/>
  <c r="DF144"/>
  <c r="DG144"/>
  <c r="DH144"/>
  <c r="DI144"/>
  <c r="DJ144"/>
  <c r="DK144"/>
  <c r="DL144"/>
  <c r="DM144"/>
  <c r="DN144"/>
  <c r="DO144"/>
  <c r="DP144"/>
  <c r="DQ144"/>
  <c r="DR144"/>
  <c r="DS144"/>
  <c r="DT144"/>
  <c r="DU144"/>
  <c r="DV144"/>
  <c r="DW144"/>
  <c r="DX144"/>
  <c r="DY144"/>
  <c r="DZ144"/>
  <c r="EA144"/>
  <c r="EB144"/>
  <c r="EC144"/>
  <c r="ED144"/>
  <c r="EE144"/>
  <c r="EF144"/>
  <c r="EG144"/>
  <c r="EH144"/>
  <c r="EI144"/>
  <c r="EJ144"/>
  <c r="EK144"/>
  <c r="EL144"/>
  <c r="EM144"/>
  <c r="EN144"/>
  <c r="EO144"/>
  <c r="EP144"/>
  <c r="EQ144"/>
  <c r="ER144"/>
  <c r="ES144"/>
  <c r="ET144"/>
  <c r="EU144"/>
  <c r="EV144"/>
  <c r="EW144"/>
  <c r="EX144"/>
  <c r="EY144"/>
  <c r="EZ144"/>
  <c r="FA144"/>
  <c r="FB144"/>
  <c r="FC144"/>
  <c r="FD144"/>
  <c r="FE144"/>
  <c r="FF144"/>
  <c r="FG144"/>
  <c r="FH144"/>
  <c r="FI144"/>
  <c r="FJ144"/>
  <c r="FK144"/>
  <c r="FL144"/>
  <c r="FM144"/>
  <c r="FN144"/>
  <c r="FO144"/>
  <c r="FP144"/>
  <c r="FQ144"/>
  <c r="FR144"/>
  <c r="FS144"/>
  <c r="FT144"/>
  <c r="FU144"/>
  <c r="FV144"/>
  <c r="FW144"/>
  <c r="FX144"/>
  <c r="FY144"/>
  <c r="FZ144"/>
  <c r="GA144"/>
  <c r="GB144"/>
  <c r="GC144"/>
  <c r="GD144"/>
  <c r="GE144"/>
  <c r="GF144"/>
  <c r="GG144"/>
  <c r="GH144"/>
  <c r="GI144"/>
  <c r="GJ144"/>
  <c r="GK144"/>
  <c r="GL144"/>
  <c r="GM144"/>
  <c r="GN144"/>
  <c r="GO144"/>
  <c r="GP144"/>
  <c r="GQ144"/>
  <c r="GR144"/>
  <c r="GS144"/>
  <c r="GT144"/>
  <c r="GU144"/>
  <c r="GV144"/>
  <c r="GW144"/>
  <c r="GX144"/>
  <c r="GY144"/>
  <c r="GZ144"/>
  <c r="HA144"/>
  <c r="HB144"/>
  <c r="HC144"/>
  <c r="HD144"/>
  <c r="HE144"/>
  <c r="HF144"/>
  <c r="HG144"/>
  <c r="HH144"/>
  <c r="HI144"/>
  <c r="HJ144"/>
  <c r="HK144"/>
  <c r="HL144"/>
  <c r="HM144"/>
  <c r="HN144"/>
  <c r="HO144"/>
  <c r="HP144"/>
  <c r="HQ144"/>
  <c r="HR144"/>
  <c r="HS144"/>
  <c r="HT144"/>
  <c r="HU144"/>
  <c r="HV144"/>
  <c r="HW144"/>
  <c r="HX144"/>
  <c r="HY144"/>
  <c r="HZ144"/>
  <c r="IA144"/>
  <c r="IB144"/>
  <c r="IC144"/>
  <c r="ID144"/>
  <c r="IE144"/>
  <c r="IF144"/>
  <c r="IG144"/>
  <c r="IH144"/>
  <c r="II144"/>
  <c r="IJ144"/>
  <c r="IK144"/>
  <c r="IL144"/>
  <c r="IM144"/>
  <c r="IN144"/>
  <c r="IO144"/>
  <c r="IP144"/>
  <c r="IQ144"/>
  <c r="IR144"/>
  <c r="IS144"/>
  <c r="IT144"/>
  <c r="IU144"/>
  <c r="IV144"/>
  <c r="A143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AT143"/>
  <c r="AU143"/>
  <c r="AV143"/>
  <c r="AW143"/>
  <c r="AX143"/>
  <c r="AY143"/>
  <c r="AZ143"/>
  <c r="BA143"/>
  <c r="BB143"/>
  <c r="BC143"/>
  <c r="BD143"/>
  <c r="BE143"/>
  <c r="BF143"/>
  <c r="BG143"/>
  <c r="BH143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CB143"/>
  <c r="CC143"/>
  <c r="CD143"/>
  <c r="CE143"/>
  <c r="CF143"/>
  <c r="CG143"/>
  <c r="CH143"/>
  <c r="CI143"/>
  <c r="CJ143"/>
  <c r="CK143"/>
  <c r="CL143"/>
  <c r="CM143"/>
  <c r="CN143"/>
  <c r="CO143"/>
  <c r="CP143"/>
  <c r="CQ143"/>
  <c r="CR143"/>
  <c r="CS143"/>
  <c r="CT143"/>
  <c r="CU143"/>
  <c r="CV143"/>
  <c r="CW143"/>
  <c r="CX143"/>
  <c r="CY143"/>
  <c r="CZ143"/>
  <c r="DA143"/>
  <c r="DB143"/>
  <c r="DC143"/>
  <c r="DD143"/>
  <c r="DE143"/>
  <c r="DF143"/>
  <c r="DG143"/>
  <c r="DH143"/>
  <c r="DI143"/>
  <c r="DJ143"/>
  <c r="DK143"/>
  <c r="DL143"/>
  <c r="DM143"/>
  <c r="DN143"/>
  <c r="DO143"/>
  <c r="DP143"/>
  <c r="DQ143"/>
  <c r="DR143"/>
  <c r="DS143"/>
  <c r="DT143"/>
  <c r="DU143"/>
  <c r="DV143"/>
  <c r="DW143"/>
  <c r="DX143"/>
  <c r="DY143"/>
  <c r="DZ143"/>
  <c r="EA143"/>
  <c r="EB143"/>
  <c r="EC143"/>
  <c r="ED143"/>
  <c r="EE143"/>
  <c r="EF143"/>
  <c r="EG143"/>
  <c r="EH143"/>
  <c r="EI143"/>
  <c r="EJ143"/>
  <c r="EK143"/>
  <c r="EL143"/>
  <c r="EM143"/>
  <c r="EN143"/>
  <c r="EO143"/>
  <c r="EP143"/>
  <c r="EQ143"/>
  <c r="ER143"/>
  <c r="ES143"/>
  <c r="ET143"/>
  <c r="EU143"/>
  <c r="EV143"/>
  <c r="EW143"/>
  <c r="EX143"/>
  <c r="EY143"/>
  <c r="EZ143"/>
  <c r="FA143"/>
  <c r="FB143"/>
  <c r="FC143"/>
  <c r="FD143"/>
  <c r="FE143"/>
  <c r="FF143"/>
  <c r="FG143"/>
  <c r="FH143"/>
  <c r="FI143"/>
  <c r="FJ143"/>
  <c r="FK143"/>
  <c r="FL143"/>
  <c r="FM143"/>
  <c r="FN143"/>
  <c r="FO143"/>
  <c r="FP143"/>
  <c r="FQ143"/>
  <c r="FR143"/>
  <c r="FS143"/>
  <c r="FT143"/>
  <c r="FU143"/>
  <c r="FV143"/>
  <c r="FW143"/>
  <c r="FX143"/>
  <c r="FY143"/>
  <c r="FZ143"/>
  <c r="GA143"/>
  <c r="GB143"/>
  <c r="GC143"/>
  <c r="GD143"/>
  <c r="GE143"/>
  <c r="GF143"/>
  <c r="GG143"/>
  <c r="GH143"/>
  <c r="GI143"/>
  <c r="GJ143"/>
  <c r="GK143"/>
  <c r="GL143"/>
  <c r="GM143"/>
  <c r="GN143"/>
  <c r="GO143"/>
  <c r="GP143"/>
  <c r="GQ143"/>
  <c r="GR143"/>
  <c r="GS143"/>
  <c r="GT143"/>
  <c r="GU143"/>
  <c r="GV143"/>
  <c r="GW143"/>
  <c r="GX143"/>
  <c r="GY143"/>
  <c r="GZ143"/>
  <c r="HA143"/>
  <c r="HB143"/>
  <c r="HC143"/>
  <c r="HD143"/>
  <c r="HE143"/>
  <c r="HF143"/>
  <c r="HG143"/>
  <c r="HH143"/>
  <c r="HI143"/>
  <c r="HJ143"/>
  <c r="HK143"/>
  <c r="HL143"/>
  <c r="HM143"/>
  <c r="HN143"/>
  <c r="HO143"/>
  <c r="HP143"/>
  <c r="HQ143"/>
  <c r="HR143"/>
  <c r="HS143"/>
  <c r="HT143"/>
  <c r="HU143"/>
  <c r="HV143"/>
  <c r="HW143"/>
  <c r="HX143"/>
  <c r="HY143"/>
  <c r="HZ143"/>
  <c r="IA143"/>
  <c r="IB143"/>
  <c r="IC143"/>
  <c r="ID143"/>
  <c r="IE143"/>
  <c r="IF143"/>
  <c r="IG143"/>
  <c r="IH143"/>
  <c r="II143"/>
  <c r="IJ143"/>
  <c r="IK143"/>
  <c r="IL143"/>
  <c r="IM143"/>
  <c r="IN143"/>
  <c r="IO143"/>
  <c r="IP143"/>
  <c r="IQ143"/>
  <c r="IR143"/>
  <c r="IS143"/>
  <c r="IT143"/>
  <c r="IU143"/>
  <c r="IV143"/>
  <c r="A142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Y142"/>
  <c r="AZ142"/>
  <c r="BA142"/>
  <c r="BB142"/>
  <c r="BC142"/>
  <c r="BD142"/>
  <c r="BE142"/>
  <c r="BF142"/>
  <c r="BG142"/>
  <c r="BH142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CB142"/>
  <c r="CC142"/>
  <c r="CD142"/>
  <c r="CE142"/>
  <c r="CF142"/>
  <c r="CG142"/>
  <c r="CH142"/>
  <c r="CI142"/>
  <c r="CJ142"/>
  <c r="CK142"/>
  <c r="CL142"/>
  <c r="CM142"/>
  <c r="CN142"/>
  <c r="CO142"/>
  <c r="CP142"/>
  <c r="CQ142"/>
  <c r="CR142"/>
  <c r="CS142"/>
  <c r="CT142"/>
  <c r="CU142"/>
  <c r="CV142"/>
  <c r="CW142"/>
  <c r="CX142"/>
  <c r="CY142"/>
  <c r="CZ142"/>
  <c r="DA142"/>
  <c r="DB142"/>
  <c r="DC142"/>
  <c r="DD142"/>
  <c r="DE142"/>
  <c r="DF142"/>
  <c r="DG142"/>
  <c r="DH142"/>
  <c r="DI142"/>
  <c r="DJ142"/>
  <c r="DK142"/>
  <c r="DL142"/>
  <c r="DM142"/>
  <c r="DN142"/>
  <c r="DO142"/>
  <c r="DP142"/>
  <c r="DQ142"/>
  <c r="DR142"/>
  <c r="DS142"/>
  <c r="DT142"/>
  <c r="DU142"/>
  <c r="DV142"/>
  <c r="DW142"/>
  <c r="DX142"/>
  <c r="DY142"/>
  <c r="DZ142"/>
  <c r="EA142"/>
  <c r="EB142"/>
  <c r="EC142"/>
  <c r="ED142"/>
  <c r="EE142"/>
  <c r="EF142"/>
  <c r="EG142"/>
  <c r="EH142"/>
  <c r="EI142"/>
  <c r="EJ142"/>
  <c r="EK142"/>
  <c r="EL142"/>
  <c r="EM142"/>
  <c r="EN142"/>
  <c r="EO142"/>
  <c r="EP142"/>
  <c r="EQ142"/>
  <c r="ER142"/>
  <c r="ES142"/>
  <c r="ET142"/>
  <c r="EU142"/>
  <c r="EV142"/>
  <c r="EW142"/>
  <c r="EX142"/>
  <c r="EY142"/>
  <c r="EZ142"/>
  <c r="FA142"/>
  <c r="FB142"/>
  <c r="FC142"/>
  <c r="FD142"/>
  <c r="FE142"/>
  <c r="FF142"/>
  <c r="FG142"/>
  <c r="FH142"/>
  <c r="FI142"/>
  <c r="FJ142"/>
  <c r="FK142"/>
  <c r="FL142"/>
  <c r="FM142"/>
  <c r="FN142"/>
  <c r="FO142"/>
  <c r="FP142"/>
  <c r="FQ142"/>
  <c r="FR142"/>
  <c r="FS142"/>
  <c r="FT142"/>
  <c r="FU142"/>
  <c r="FV142"/>
  <c r="FW142"/>
  <c r="FX142"/>
  <c r="FY142"/>
  <c r="FZ142"/>
  <c r="GA142"/>
  <c r="GB142"/>
  <c r="GC142"/>
  <c r="GD142"/>
  <c r="GE142"/>
  <c r="GF142"/>
  <c r="GG142"/>
  <c r="GH142"/>
  <c r="GI142"/>
  <c r="GJ142"/>
  <c r="GK142"/>
  <c r="GL142"/>
  <c r="GM142"/>
  <c r="GN142"/>
  <c r="GO142"/>
  <c r="GP142"/>
  <c r="GQ142"/>
  <c r="GR142"/>
  <c r="GS142"/>
  <c r="GT142"/>
  <c r="GU142"/>
  <c r="GV142"/>
  <c r="GW142"/>
  <c r="GX142"/>
  <c r="GY142"/>
  <c r="GZ142"/>
  <c r="HA142"/>
  <c r="HB142"/>
  <c r="HC142"/>
  <c r="HD142"/>
  <c r="HE142"/>
  <c r="HF142"/>
  <c r="HG142"/>
  <c r="HH142"/>
  <c r="HI142"/>
  <c r="HJ142"/>
  <c r="HK142"/>
  <c r="HL142"/>
  <c r="HM142"/>
  <c r="HN142"/>
  <c r="HO142"/>
  <c r="HP142"/>
  <c r="HQ142"/>
  <c r="HR142"/>
  <c r="HS142"/>
  <c r="HT142"/>
  <c r="HU142"/>
  <c r="HV142"/>
  <c r="HW142"/>
  <c r="HX142"/>
  <c r="HY142"/>
  <c r="HZ142"/>
  <c r="IA142"/>
  <c r="IB142"/>
  <c r="IC142"/>
  <c r="ID142"/>
  <c r="IE142"/>
  <c r="IF142"/>
  <c r="IG142"/>
  <c r="IH142"/>
  <c r="II142"/>
  <c r="IJ142"/>
  <c r="IK142"/>
  <c r="IL142"/>
  <c r="IM142"/>
  <c r="IN142"/>
  <c r="IO142"/>
  <c r="IP142"/>
  <c r="IQ142"/>
  <c r="IR142"/>
  <c r="IS142"/>
  <c r="IT142"/>
  <c r="IU142"/>
  <c r="IV142"/>
  <c r="A141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CE141"/>
  <c r="CF141"/>
  <c r="CG141"/>
  <c r="CH141"/>
  <c r="CI141"/>
  <c r="CJ141"/>
  <c r="CK141"/>
  <c r="CL141"/>
  <c r="CM141"/>
  <c r="CN141"/>
  <c r="CO141"/>
  <c r="CP141"/>
  <c r="CQ141"/>
  <c r="CR141"/>
  <c r="CS141"/>
  <c r="CT141"/>
  <c r="CU141"/>
  <c r="CV141"/>
  <c r="CW141"/>
  <c r="CX141"/>
  <c r="CY141"/>
  <c r="CZ141"/>
  <c r="DA141"/>
  <c r="DB141"/>
  <c r="DC141"/>
  <c r="DD141"/>
  <c r="DE141"/>
  <c r="DF141"/>
  <c r="DG141"/>
  <c r="DH141"/>
  <c r="DI141"/>
  <c r="DJ141"/>
  <c r="DK141"/>
  <c r="DL141"/>
  <c r="DM141"/>
  <c r="DN141"/>
  <c r="DO141"/>
  <c r="DP141"/>
  <c r="DQ141"/>
  <c r="DR141"/>
  <c r="DS141"/>
  <c r="DT141"/>
  <c r="DU141"/>
  <c r="DV141"/>
  <c r="DW141"/>
  <c r="DX141"/>
  <c r="DY141"/>
  <c r="DZ141"/>
  <c r="EA141"/>
  <c r="EB141"/>
  <c r="EC141"/>
  <c r="ED141"/>
  <c r="EE141"/>
  <c r="EF141"/>
  <c r="EG141"/>
  <c r="EH141"/>
  <c r="EI141"/>
  <c r="EJ141"/>
  <c r="EK141"/>
  <c r="EL141"/>
  <c r="EM141"/>
  <c r="EN141"/>
  <c r="EO141"/>
  <c r="EP141"/>
  <c r="EQ141"/>
  <c r="ER141"/>
  <c r="ES141"/>
  <c r="ET141"/>
  <c r="EU141"/>
  <c r="EV141"/>
  <c r="EW141"/>
  <c r="EX141"/>
  <c r="EY141"/>
  <c r="EZ141"/>
  <c r="FA141"/>
  <c r="FB141"/>
  <c r="FC141"/>
  <c r="FD141"/>
  <c r="FE141"/>
  <c r="FF141"/>
  <c r="FG141"/>
  <c r="FH141"/>
  <c r="FI141"/>
  <c r="FJ141"/>
  <c r="FK141"/>
  <c r="FL141"/>
  <c r="FM141"/>
  <c r="FN141"/>
  <c r="FO141"/>
  <c r="FP141"/>
  <c r="FQ141"/>
  <c r="FR141"/>
  <c r="FS141"/>
  <c r="FT141"/>
  <c r="FU141"/>
  <c r="FV141"/>
  <c r="FW141"/>
  <c r="FX141"/>
  <c r="FY141"/>
  <c r="FZ141"/>
  <c r="GA141"/>
  <c r="GB141"/>
  <c r="GC141"/>
  <c r="GD141"/>
  <c r="GE141"/>
  <c r="GF141"/>
  <c r="GG141"/>
  <c r="GH141"/>
  <c r="GI141"/>
  <c r="GJ141"/>
  <c r="GK141"/>
  <c r="GL141"/>
  <c r="GM141"/>
  <c r="GN141"/>
  <c r="GO141"/>
  <c r="GP141"/>
  <c r="GQ141"/>
  <c r="GR141"/>
  <c r="GS141"/>
  <c r="GT141"/>
  <c r="GU141"/>
  <c r="GV141"/>
  <c r="GW141"/>
  <c r="GX141"/>
  <c r="GY141"/>
  <c r="GZ141"/>
  <c r="HA141"/>
  <c r="HB141"/>
  <c r="HC141"/>
  <c r="HD141"/>
  <c r="HE141"/>
  <c r="HF141"/>
  <c r="HG141"/>
  <c r="HH141"/>
  <c r="HI141"/>
  <c r="HJ141"/>
  <c r="HK141"/>
  <c r="HL141"/>
  <c r="HM141"/>
  <c r="HN141"/>
  <c r="HO141"/>
  <c r="HP141"/>
  <c r="HQ141"/>
  <c r="HR141"/>
  <c r="HS141"/>
  <c r="HT141"/>
  <c r="HU141"/>
  <c r="HV141"/>
  <c r="HW141"/>
  <c r="HX141"/>
  <c r="HY141"/>
  <c r="HZ141"/>
  <c r="IA141"/>
  <c r="IB141"/>
  <c r="IC141"/>
  <c r="ID141"/>
  <c r="IE141"/>
  <c r="IF141"/>
  <c r="IG141"/>
  <c r="IH141"/>
  <c r="II141"/>
  <c r="IJ141"/>
  <c r="IK141"/>
  <c r="IL141"/>
  <c r="IM141"/>
  <c r="IN141"/>
  <c r="IO141"/>
  <c r="IP141"/>
  <c r="IQ141"/>
  <c r="IR141"/>
  <c r="IS141"/>
  <c r="IT141"/>
  <c r="IU141"/>
  <c r="IV141"/>
  <c r="A140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Y140"/>
  <c r="AZ140"/>
  <c r="BA140"/>
  <c r="BB140"/>
  <c r="BC140"/>
  <c r="BD140"/>
  <c r="BE140"/>
  <c r="BF140"/>
  <c r="BG140"/>
  <c r="BH140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CB140"/>
  <c r="CC140"/>
  <c r="CD140"/>
  <c r="CE140"/>
  <c r="CF140"/>
  <c r="CG140"/>
  <c r="CH140"/>
  <c r="CI140"/>
  <c r="CJ140"/>
  <c r="CK140"/>
  <c r="CL140"/>
  <c r="CM140"/>
  <c r="CN140"/>
  <c r="CO140"/>
  <c r="CP140"/>
  <c r="CQ140"/>
  <c r="CR140"/>
  <c r="CS140"/>
  <c r="CT140"/>
  <c r="CU140"/>
  <c r="CV140"/>
  <c r="CW140"/>
  <c r="CX140"/>
  <c r="CY140"/>
  <c r="CZ140"/>
  <c r="DA140"/>
  <c r="DB140"/>
  <c r="DC140"/>
  <c r="DD140"/>
  <c r="DE140"/>
  <c r="DF140"/>
  <c r="DG140"/>
  <c r="DH140"/>
  <c r="DI140"/>
  <c r="DJ140"/>
  <c r="DK140"/>
  <c r="DL140"/>
  <c r="DM140"/>
  <c r="DN140"/>
  <c r="DO140"/>
  <c r="DP140"/>
  <c r="DQ140"/>
  <c r="DR140"/>
  <c r="DS140"/>
  <c r="DT140"/>
  <c r="DU140"/>
  <c r="DV140"/>
  <c r="DW140"/>
  <c r="DX140"/>
  <c r="DY140"/>
  <c r="DZ140"/>
  <c r="EA140"/>
  <c r="EB140"/>
  <c r="EC140"/>
  <c r="ED140"/>
  <c r="EE140"/>
  <c r="EF140"/>
  <c r="EG140"/>
  <c r="EH140"/>
  <c r="EI140"/>
  <c r="EJ140"/>
  <c r="EK140"/>
  <c r="EL140"/>
  <c r="EM140"/>
  <c r="EN140"/>
  <c r="EO140"/>
  <c r="EP140"/>
  <c r="EQ140"/>
  <c r="ER140"/>
  <c r="ES140"/>
  <c r="ET140"/>
  <c r="EU140"/>
  <c r="EV140"/>
  <c r="EW140"/>
  <c r="EX140"/>
  <c r="EY140"/>
  <c r="EZ140"/>
  <c r="FA140"/>
  <c r="FB140"/>
  <c r="FC140"/>
  <c r="FD140"/>
  <c r="FE140"/>
  <c r="FF140"/>
  <c r="FG140"/>
  <c r="FH140"/>
  <c r="FI140"/>
  <c r="FJ140"/>
  <c r="FK140"/>
  <c r="FL140"/>
  <c r="FM140"/>
  <c r="FN140"/>
  <c r="FO140"/>
  <c r="FP140"/>
  <c r="FQ140"/>
  <c r="FR140"/>
  <c r="FS140"/>
  <c r="FT140"/>
  <c r="FU140"/>
  <c r="FV140"/>
  <c r="FW140"/>
  <c r="FX140"/>
  <c r="FY140"/>
  <c r="FZ140"/>
  <c r="GA140"/>
  <c r="GB140"/>
  <c r="GC140"/>
  <c r="GD140"/>
  <c r="GE140"/>
  <c r="GF140"/>
  <c r="GG140"/>
  <c r="GH140"/>
  <c r="GI140"/>
  <c r="GJ140"/>
  <c r="GK140"/>
  <c r="GL140"/>
  <c r="GM140"/>
  <c r="GN140"/>
  <c r="GO140"/>
  <c r="GP140"/>
  <c r="GQ140"/>
  <c r="GR140"/>
  <c r="GS140"/>
  <c r="GT140"/>
  <c r="GU140"/>
  <c r="GV140"/>
  <c r="GW140"/>
  <c r="GX140"/>
  <c r="GY140"/>
  <c r="GZ140"/>
  <c r="HA140"/>
  <c r="HB140"/>
  <c r="HC140"/>
  <c r="HD140"/>
  <c r="HE140"/>
  <c r="HF140"/>
  <c r="HG140"/>
  <c r="HH140"/>
  <c r="HI140"/>
  <c r="HJ140"/>
  <c r="HK140"/>
  <c r="HL140"/>
  <c r="HM140"/>
  <c r="HN140"/>
  <c r="HO140"/>
  <c r="HP140"/>
  <c r="HQ140"/>
  <c r="HR140"/>
  <c r="HS140"/>
  <c r="HT140"/>
  <c r="HU140"/>
  <c r="HV140"/>
  <c r="HW140"/>
  <c r="HX140"/>
  <c r="HY140"/>
  <c r="HZ140"/>
  <c r="IA140"/>
  <c r="IB140"/>
  <c r="IC140"/>
  <c r="ID140"/>
  <c r="IE140"/>
  <c r="IF140"/>
  <c r="IG140"/>
  <c r="IH140"/>
  <c r="II140"/>
  <c r="IJ140"/>
  <c r="IK140"/>
  <c r="IL140"/>
  <c r="IM140"/>
  <c r="IN140"/>
  <c r="IO140"/>
  <c r="IP140"/>
  <c r="IQ140"/>
  <c r="IR140"/>
  <c r="IS140"/>
  <c r="IT140"/>
  <c r="IU140"/>
  <c r="IV140"/>
  <c r="A139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CE139"/>
  <c r="CF139"/>
  <c r="CG139"/>
  <c r="CH139"/>
  <c r="CI139"/>
  <c r="CJ139"/>
  <c r="CK139"/>
  <c r="CL139"/>
  <c r="CM139"/>
  <c r="CN139"/>
  <c r="CO139"/>
  <c r="CP139"/>
  <c r="CQ139"/>
  <c r="CR139"/>
  <c r="CS139"/>
  <c r="CT139"/>
  <c r="CU139"/>
  <c r="CV139"/>
  <c r="CW139"/>
  <c r="CX139"/>
  <c r="CY139"/>
  <c r="CZ139"/>
  <c r="DA139"/>
  <c r="DB139"/>
  <c r="DC139"/>
  <c r="DD139"/>
  <c r="DE139"/>
  <c r="DF139"/>
  <c r="DG139"/>
  <c r="DH139"/>
  <c r="DI139"/>
  <c r="DJ139"/>
  <c r="DK139"/>
  <c r="DL139"/>
  <c r="DM139"/>
  <c r="DN139"/>
  <c r="DO139"/>
  <c r="DP139"/>
  <c r="DQ139"/>
  <c r="DR139"/>
  <c r="DS139"/>
  <c r="DT139"/>
  <c r="DU139"/>
  <c r="DV139"/>
  <c r="DW139"/>
  <c r="DX139"/>
  <c r="DY139"/>
  <c r="DZ139"/>
  <c r="EA139"/>
  <c r="EB139"/>
  <c r="EC139"/>
  <c r="ED139"/>
  <c r="EE139"/>
  <c r="EF139"/>
  <c r="EG139"/>
  <c r="EH139"/>
  <c r="EI139"/>
  <c r="EJ139"/>
  <c r="EK139"/>
  <c r="EL139"/>
  <c r="EM139"/>
  <c r="EN139"/>
  <c r="EO139"/>
  <c r="EP139"/>
  <c r="EQ139"/>
  <c r="ER139"/>
  <c r="ES139"/>
  <c r="ET139"/>
  <c r="EU139"/>
  <c r="EV139"/>
  <c r="EW139"/>
  <c r="EX139"/>
  <c r="EY139"/>
  <c r="EZ139"/>
  <c r="FA139"/>
  <c r="FB139"/>
  <c r="FC139"/>
  <c r="FD139"/>
  <c r="FE139"/>
  <c r="FF139"/>
  <c r="FG139"/>
  <c r="FH139"/>
  <c r="FI139"/>
  <c r="FJ139"/>
  <c r="FK139"/>
  <c r="FL139"/>
  <c r="FM139"/>
  <c r="FN139"/>
  <c r="FO139"/>
  <c r="FP139"/>
  <c r="FQ139"/>
  <c r="FR139"/>
  <c r="FS139"/>
  <c r="FT139"/>
  <c r="FU139"/>
  <c r="FV139"/>
  <c r="FW139"/>
  <c r="FX139"/>
  <c r="FY139"/>
  <c r="FZ139"/>
  <c r="GA139"/>
  <c r="GB139"/>
  <c r="GC139"/>
  <c r="GD139"/>
  <c r="GE139"/>
  <c r="GF139"/>
  <c r="GG139"/>
  <c r="GH139"/>
  <c r="GI139"/>
  <c r="GJ139"/>
  <c r="GK139"/>
  <c r="GL139"/>
  <c r="GM139"/>
  <c r="GN139"/>
  <c r="GO139"/>
  <c r="GP139"/>
  <c r="GQ139"/>
  <c r="GR139"/>
  <c r="GS139"/>
  <c r="GT139"/>
  <c r="GU139"/>
  <c r="GV139"/>
  <c r="GW139"/>
  <c r="GX139"/>
  <c r="GY139"/>
  <c r="GZ139"/>
  <c r="HA139"/>
  <c r="HB139"/>
  <c r="HC139"/>
  <c r="HD139"/>
  <c r="HE139"/>
  <c r="HF139"/>
  <c r="HG139"/>
  <c r="HH139"/>
  <c r="HI139"/>
  <c r="HJ139"/>
  <c r="HK139"/>
  <c r="HL139"/>
  <c r="HM139"/>
  <c r="HN139"/>
  <c r="HO139"/>
  <c r="HP139"/>
  <c r="HQ139"/>
  <c r="HR139"/>
  <c r="HS139"/>
  <c r="HT139"/>
  <c r="HU139"/>
  <c r="HV139"/>
  <c r="HW139"/>
  <c r="HX139"/>
  <c r="HY139"/>
  <c r="HZ139"/>
  <c r="IA139"/>
  <c r="IB139"/>
  <c r="IC139"/>
  <c r="ID139"/>
  <c r="IE139"/>
  <c r="IF139"/>
  <c r="IG139"/>
  <c r="IH139"/>
  <c r="II139"/>
  <c r="IJ139"/>
  <c r="IK139"/>
  <c r="IL139"/>
  <c r="IM139"/>
  <c r="IN139"/>
  <c r="IO139"/>
  <c r="IP139"/>
  <c r="IQ139"/>
  <c r="IR139"/>
  <c r="IS139"/>
  <c r="IT139"/>
  <c r="IU139"/>
  <c r="IV139"/>
  <c r="A138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CE138"/>
  <c r="CF138"/>
  <c r="CG138"/>
  <c r="CH138"/>
  <c r="CI138"/>
  <c r="CJ138"/>
  <c r="CK138"/>
  <c r="CL138"/>
  <c r="CM138"/>
  <c r="CN138"/>
  <c r="CO138"/>
  <c r="CP138"/>
  <c r="CQ138"/>
  <c r="CR138"/>
  <c r="CS138"/>
  <c r="CT138"/>
  <c r="CU138"/>
  <c r="CV138"/>
  <c r="CW138"/>
  <c r="CX138"/>
  <c r="CY138"/>
  <c r="CZ138"/>
  <c r="DA138"/>
  <c r="DB138"/>
  <c r="DC138"/>
  <c r="DD138"/>
  <c r="DE138"/>
  <c r="DF138"/>
  <c r="DG138"/>
  <c r="DH138"/>
  <c r="DI138"/>
  <c r="DJ138"/>
  <c r="DK138"/>
  <c r="DL138"/>
  <c r="DM138"/>
  <c r="DN138"/>
  <c r="DO138"/>
  <c r="DP138"/>
  <c r="DQ138"/>
  <c r="DR138"/>
  <c r="DS138"/>
  <c r="DT138"/>
  <c r="DU138"/>
  <c r="DV138"/>
  <c r="DW138"/>
  <c r="DX138"/>
  <c r="DY138"/>
  <c r="DZ138"/>
  <c r="EA138"/>
  <c r="EB138"/>
  <c r="EC138"/>
  <c r="ED138"/>
  <c r="EE138"/>
  <c r="EF138"/>
  <c r="EG138"/>
  <c r="EH138"/>
  <c r="EI138"/>
  <c r="EJ138"/>
  <c r="EK138"/>
  <c r="EL138"/>
  <c r="EM138"/>
  <c r="EN138"/>
  <c r="EO138"/>
  <c r="EP138"/>
  <c r="EQ138"/>
  <c r="ER138"/>
  <c r="ES138"/>
  <c r="ET138"/>
  <c r="EU138"/>
  <c r="EV138"/>
  <c r="EW138"/>
  <c r="EX138"/>
  <c r="EY138"/>
  <c r="EZ138"/>
  <c r="FA138"/>
  <c r="FB138"/>
  <c r="FC138"/>
  <c r="FD138"/>
  <c r="FE138"/>
  <c r="FF138"/>
  <c r="FG138"/>
  <c r="FH138"/>
  <c r="FI138"/>
  <c r="FJ138"/>
  <c r="FK138"/>
  <c r="FL138"/>
  <c r="FM138"/>
  <c r="FN138"/>
  <c r="FO138"/>
  <c r="FP138"/>
  <c r="FQ138"/>
  <c r="FR138"/>
  <c r="FS138"/>
  <c r="FT138"/>
  <c r="FU138"/>
  <c r="FV138"/>
  <c r="FW138"/>
  <c r="FX138"/>
  <c r="FY138"/>
  <c r="FZ138"/>
  <c r="GA138"/>
  <c r="GB138"/>
  <c r="GC138"/>
  <c r="GD138"/>
  <c r="GE138"/>
  <c r="GF138"/>
  <c r="GG138"/>
  <c r="GH138"/>
  <c r="GI138"/>
  <c r="GJ138"/>
  <c r="GK138"/>
  <c r="GL138"/>
  <c r="GM138"/>
  <c r="GN138"/>
  <c r="GO138"/>
  <c r="GP138"/>
  <c r="GQ138"/>
  <c r="GR138"/>
  <c r="GS138"/>
  <c r="GT138"/>
  <c r="GU138"/>
  <c r="GV138"/>
  <c r="GW138"/>
  <c r="GX138"/>
  <c r="GY138"/>
  <c r="GZ138"/>
  <c r="HA138"/>
  <c r="HB138"/>
  <c r="HC138"/>
  <c r="HD138"/>
  <c r="HE138"/>
  <c r="HF138"/>
  <c r="HG138"/>
  <c r="HH138"/>
  <c r="HI138"/>
  <c r="HJ138"/>
  <c r="HK138"/>
  <c r="HL138"/>
  <c r="HM138"/>
  <c r="HN138"/>
  <c r="HO138"/>
  <c r="HP138"/>
  <c r="HQ138"/>
  <c r="HR138"/>
  <c r="HS138"/>
  <c r="HT138"/>
  <c r="HU138"/>
  <c r="HV138"/>
  <c r="HW138"/>
  <c r="HX138"/>
  <c r="HY138"/>
  <c r="HZ138"/>
  <c r="IA138"/>
  <c r="IB138"/>
  <c r="IC138"/>
  <c r="ID138"/>
  <c r="IE138"/>
  <c r="IF138"/>
  <c r="IG138"/>
  <c r="IH138"/>
  <c r="II138"/>
  <c r="IJ138"/>
  <c r="IK138"/>
  <c r="IL138"/>
  <c r="IM138"/>
  <c r="IN138"/>
  <c r="IO138"/>
  <c r="IP138"/>
  <c r="IQ138"/>
  <c r="IR138"/>
  <c r="IS138"/>
  <c r="IT138"/>
  <c r="IU138"/>
  <c r="IV138"/>
  <c r="A137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CE137"/>
  <c r="CF137"/>
  <c r="CG137"/>
  <c r="CH137"/>
  <c r="CI137"/>
  <c r="CJ137"/>
  <c r="CK137"/>
  <c r="CL137"/>
  <c r="CM137"/>
  <c r="CN137"/>
  <c r="CO137"/>
  <c r="CP137"/>
  <c r="CQ137"/>
  <c r="CR137"/>
  <c r="CS137"/>
  <c r="CT137"/>
  <c r="CU137"/>
  <c r="CV137"/>
  <c r="CW137"/>
  <c r="CX137"/>
  <c r="CY137"/>
  <c r="CZ137"/>
  <c r="DA137"/>
  <c r="DB137"/>
  <c r="DC137"/>
  <c r="DD137"/>
  <c r="DE137"/>
  <c r="DF137"/>
  <c r="DG137"/>
  <c r="DH137"/>
  <c r="DI137"/>
  <c r="DJ137"/>
  <c r="DK137"/>
  <c r="DL137"/>
  <c r="DM137"/>
  <c r="DN137"/>
  <c r="DO137"/>
  <c r="DP137"/>
  <c r="DQ137"/>
  <c r="DR137"/>
  <c r="DS137"/>
  <c r="DT137"/>
  <c r="DU137"/>
  <c r="DV137"/>
  <c r="DW137"/>
  <c r="DX137"/>
  <c r="DY137"/>
  <c r="DZ137"/>
  <c r="EA137"/>
  <c r="EB137"/>
  <c r="EC137"/>
  <c r="ED137"/>
  <c r="EE137"/>
  <c r="EF137"/>
  <c r="EG137"/>
  <c r="EH137"/>
  <c r="EI137"/>
  <c r="EJ137"/>
  <c r="EK137"/>
  <c r="EL137"/>
  <c r="EM137"/>
  <c r="EN137"/>
  <c r="EO137"/>
  <c r="EP137"/>
  <c r="EQ137"/>
  <c r="ER137"/>
  <c r="ES137"/>
  <c r="ET137"/>
  <c r="EU137"/>
  <c r="EV137"/>
  <c r="EW137"/>
  <c r="EX137"/>
  <c r="EY137"/>
  <c r="EZ137"/>
  <c r="FA137"/>
  <c r="FB137"/>
  <c r="FC137"/>
  <c r="FD137"/>
  <c r="FE137"/>
  <c r="FF137"/>
  <c r="FG137"/>
  <c r="FH137"/>
  <c r="FI137"/>
  <c r="FJ137"/>
  <c r="FK137"/>
  <c r="FL137"/>
  <c r="FM137"/>
  <c r="FN137"/>
  <c r="FO137"/>
  <c r="FP137"/>
  <c r="FQ137"/>
  <c r="FR137"/>
  <c r="FS137"/>
  <c r="FT137"/>
  <c r="FU137"/>
  <c r="FV137"/>
  <c r="FW137"/>
  <c r="FX137"/>
  <c r="FY137"/>
  <c r="FZ137"/>
  <c r="GA137"/>
  <c r="GB137"/>
  <c r="GC137"/>
  <c r="GD137"/>
  <c r="GE137"/>
  <c r="GF137"/>
  <c r="GG137"/>
  <c r="GH137"/>
  <c r="GI137"/>
  <c r="GJ137"/>
  <c r="GK137"/>
  <c r="GL137"/>
  <c r="GM137"/>
  <c r="GN137"/>
  <c r="GO137"/>
  <c r="GP137"/>
  <c r="GQ137"/>
  <c r="GR137"/>
  <c r="GS137"/>
  <c r="GT137"/>
  <c r="GU137"/>
  <c r="GV137"/>
  <c r="GW137"/>
  <c r="GX137"/>
  <c r="GY137"/>
  <c r="GZ137"/>
  <c r="HA137"/>
  <c r="HB137"/>
  <c r="HC137"/>
  <c r="HD137"/>
  <c r="HE137"/>
  <c r="HF137"/>
  <c r="HG137"/>
  <c r="HH137"/>
  <c r="HI137"/>
  <c r="HJ137"/>
  <c r="HK137"/>
  <c r="HL137"/>
  <c r="HM137"/>
  <c r="HN137"/>
  <c r="HO137"/>
  <c r="HP137"/>
  <c r="HQ137"/>
  <c r="HR137"/>
  <c r="HS137"/>
  <c r="HT137"/>
  <c r="HU137"/>
  <c r="HV137"/>
  <c r="HW137"/>
  <c r="HX137"/>
  <c r="HY137"/>
  <c r="HZ137"/>
  <c r="IA137"/>
  <c r="IB137"/>
  <c r="IC137"/>
  <c r="ID137"/>
  <c r="IE137"/>
  <c r="IF137"/>
  <c r="IG137"/>
  <c r="IH137"/>
  <c r="II137"/>
  <c r="IJ137"/>
  <c r="IK137"/>
  <c r="IL137"/>
  <c r="IM137"/>
  <c r="IN137"/>
  <c r="IO137"/>
  <c r="IP137"/>
  <c r="IQ137"/>
  <c r="IR137"/>
  <c r="IS137"/>
  <c r="IT137"/>
  <c r="IU137"/>
  <c r="IV137"/>
  <c r="A136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CE136"/>
  <c r="CF136"/>
  <c r="CG136"/>
  <c r="CH136"/>
  <c r="CI136"/>
  <c r="CJ136"/>
  <c r="CK136"/>
  <c r="CL136"/>
  <c r="CM136"/>
  <c r="CN136"/>
  <c r="CO136"/>
  <c r="CP136"/>
  <c r="CQ136"/>
  <c r="CR136"/>
  <c r="CS136"/>
  <c r="CT136"/>
  <c r="CU136"/>
  <c r="CV136"/>
  <c r="CW136"/>
  <c r="CX136"/>
  <c r="CY136"/>
  <c r="CZ136"/>
  <c r="DA136"/>
  <c r="DB136"/>
  <c r="DC136"/>
  <c r="DD136"/>
  <c r="DE136"/>
  <c r="DF136"/>
  <c r="DG136"/>
  <c r="DH136"/>
  <c r="DI136"/>
  <c r="DJ136"/>
  <c r="DK136"/>
  <c r="DL136"/>
  <c r="DM136"/>
  <c r="DN136"/>
  <c r="DO136"/>
  <c r="DP136"/>
  <c r="DQ136"/>
  <c r="DR136"/>
  <c r="DS136"/>
  <c r="DT136"/>
  <c r="DU136"/>
  <c r="DV136"/>
  <c r="DW136"/>
  <c r="DX136"/>
  <c r="DY136"/>
  <c r="DZ136"/>
  <c r="EA136"/>
  <c r="EB136"/>
  <c r="EC136"/>
  <c r="ED136"/>
  <c r="EE136"/>
  <c r="EF136"/>
  <c r="EG136"/>
  <c r="EH136"/>
  <c r="EI136"/>
  <c r="EJ136"/>
  <c r="EK136"/>
  <c r="EL136"/>
  <c r="EM136"/>
  <c r="EN136"/>
  <c r="EO136"/>
  <c r="EP136"/>
  <c r="EQ136"/>
  <c r="ER136"/>
  <c r="ES136"/>
  <c r="ET136"/>
  <c r="EU136"/>
  <c r="EV136"/>
  <c r="EW136"/>
  <c r="EX136"/>
  <c r="EY136"/>
  <c r="EZ136"/>
  <c r="FA136"/>
  <c r="FB136"/>
  <c r="FC136"/>
  <c r="FD136"/>
  <c r="FE136"/>
  <c r="FF136"/>
  <c r="FG136"/>
  <c r="FH136"/>
  <c r="FI136"/>
  <c r="FJ136"/>
  <c r="FK136"/>
  <c r="FL136"/>
  <c r="FM136"/>
  <c r="FN136"/>
  <c r="FO136"/>
  <c r="FP136"/>
  <c r="FQ136"/>
  <c r="FR136"/>
  <c r="FS136"/>
  <c r="FT136"/>
  <c r="FU136"/>
  <c r="FV136"/>
  <c r="FW136"/>
  <c r="FX136"/>
  <c r="FY136"/>
  <c r="FZ136"/>
  <c r="GA136"/>
  <c r="GB136"/>
  <c r="GC136"/>
  <c r="GD136"/>
  <c r="GE136"/>
  <c r="GF136"/>
  <c r="GG136"/>
  <c r="GH136"/>
  <c r="GI136"/>
  <c r="GJ136"/>
  <c r="GK136"/>
  <c r="GL136"/>
  <c r="GM136"/>
  <c r="GN136"/>
  <c r="GO136"/>
  <c r="GP136"/>
  <c r="GQ136"/>
  <c r="GR136"/>
  <c r="GS136"/>
  <c r="GT136"/>
  <c r="GU136"/>
  <c r="GV136"/>
  <c r="GW136"/>
  <c r="GX136"/>
  <c r="GY136"/>
  <c r="GZ136"/>
  <c r="HA136"/>
  <c r="HB136"/>
  <c r="HC136"/>
  <c r="HD136"/>
  <c r="HE136"/>
  <c r="HF136"/>
  <c r="HG136"/>
  <c r="HH136"/>
  <c r="HI136"/>
  <c r="HJ136"/>
  <c r="HK136"/>
  <c r="HL136"/>
  <c r="HM136"/>
  <c r="HN136"/>
  <c r="HO136"/>
  <c r="HP136"/>
  <c r="HQ136"/>
  <c r="HR136"/>
  <c r="HS136"/>
  <c r="HT136"/>
  <c r="HU136"/>
  <c r="HV136"/>
  <c r="HW136"/>
  <c r="HX136"/>
  <c r="HY136"/>
  <c r="HZ136"/>
  <c r="IA136"/>
  <c r="IB136"/>
  <c r="IC136"/>
  <c r="ID136"/>
  <c r="IE136"/>
  <c r="IF136"/>
  <c r="IG136"/>
  <c r="IH136"/>
  <c r="II136"/>
  <c r="IJ136"/>
  <c r="IK136"/>
  <c r="IL136"/>
  <c r="IM136"/>
  <c r="IN136"/>
  <c r="IO136"/>
  <c r="IP136"/>
  <c r="IQ136"/>
  <c r="IR136"/>
  <c r="IS136"/>
  <c r="IT136"/>
  <c r="IU136"/>
  <c r="IV136"/>
  <c r="A135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CE135"/>
  <c r="CF135"/>
  <c r="CG135"/>
  <c r="CH135"/>
  <c r="CI135"/>
  <c r="CJ135"/>
  <c r="CK135"/>
  <c r="CL135"/>
  <c r="CM135"/>
  <c r="CN135"/>
  <c r="CO135"/>
  <c r="CP135"/>
  <c r="CQ135"/>
  <c r="CR135"/>
  <c r="CS135"/>
  <c r="CT135"/>
  <c r="CU135"/>
  <c r="CV135"/>
  <c r="CW135"/>
  <c r="CX135"/>
  <c r="CY135"/>
  <c r="CZ135"/>
  <c r="DA135"/>
  <c r="DB135"/>
  <c r="DC135"/>
  <c r="DD135"/>
  <c r="DE135"/>
  <c r="DF135"/>
  <c r="DG135"/>
  <c r="DH135"/>
  <c r="DI135"/>
  <c r="DJ135"/>
  <c r="DK135"/>
  <c r="DL135"/>
  <c r="DM135"/>
  <c r="DN135"/>
  <c r="DO135"/>
  <c r="DP135"/>
  <c r="DQ135"/>
  <c r="DR135"/>
  <c r="DS135"/>
  <c r="DT135"/>
  <c r="DU135"/>
  <c r="DV135"/>
  <c r="DW135"/>
  <c r="DX135"/>
  <c r="DY135"/>
  <c r="DZ135"/>
  <c r="EA135"/>
  <c r="EB135"/>
  <c r="EC135"/>
  <c r="ED135"/>
  <c r="EE135"/>
  <c r="EF135"/>
  <c r="EG135"/>
  <c r="EH135"/>
  <c r="EI135"/>
  <c r="EJ135"/>
  <c r="EK135"/>
  <c r="EL135"/>
  <c r="EM135"/>
  <c r="EN135"/>
  <c r="EO135"/>
  <c r="EP135"/>
  <c r="EQ135"/>
  <c r="ER135"/>
  <c r="ES135"/>
  <c r="ET135"/>
  <c r="EU135"/>
  <c r="EV135"/>
  <c r="EW135"/>
  <c r="EX135"/>
  <c r="EY135"/>
  <c r="EZ135"/>
  <c r="FA135"/>
  <c r="FB135"/>
  <c r="FC135"/>
  <c r="FD135"/>
  <c r="FE135"/>
  <c r="FF135"/>
  <c r="FG135"/>
  <c r="FH135"/>
  <c r="FI135"/>
  <c r="FJ135"/>
  <c r="FK135"/>
  <c r="FL135"/>
  <c r="FM135"/>
  <c r="FN135"/>
  <c r="FO135"/>
  <c r="FP135"/>
  <c r="FQ135"/>
  <c r="FR135"/>
  <c r="FS135"/>
  <c r="FT135"/>
  <c r="FU135"/>
  <c r="FV135"/>
  <c r="FW135"/>
  <c r="FX135"/>
  <c r="FY135"/>
  <c r="FZ135"/>
  <c r="GA135"/>
  <c r="GB135"/>
  <c r="GC135"/>
  <c r="GD135"/>
  <c r="GE135"/>
  <c r="GF135"/>
  <c r="GG135"/>
  <c r="GH135"/>
  <c r="GI135"/>
  <c r="GJ135"/>
  <c r="GK135"/>
  <c r="GL135"/>
  <c r="GM135"/>
  <c r="GN135"/>
  <c r="GO135"/>
  <c r="GP135"/>
  <c r="GQ135"/>
  <c r="GR135"/>
  <c r="GS135"/>
  <c r="GT135"/>
  <c r="GU135"/>
  <c r="GV135"/>
  <c r="GW135"/>
  <c r="GX135"/>
  <c r="GY135"/>
  <c r="GZ135"/>
  <c r="HA135"/>
  <c r="HB135"/>
  <c r="HC135"/>
  <c r="HD135"/>
  <c r="HE135"/>
  <c r="HF135"/>
  <c r="HG135"/>
  <c r="HH135"/>
  <c r="HI135"/>
  <c r="HJ135"/>
  <c r="HK135"/>
  <c r="HL135"/>
  <c r="HM135"/>
  <c r="HN135"/>
  <c r="HO135"/>
  <c r="HP135"/>
  <c r="HQ135"/>
  <c r="HR135"/>
  <c r="HS135"/>
  <c r="HT135"/>
  <c r="HU135"/>
  <c r="HV135"/>
  <c r="HW135"/>
  <c r="HX135"/>
  <c r="HY135"/>
  <c r="HZ135"/>
  <c r="IA135"/>
  <c r="IB135"/>
  <c r="IC135"/>
  <c r="ID135"/>
  <c r="IE135"/>
  <c r="IF135"/>
  <c r="IG135"/>
  <c r="IH135"/>
  <c r="II135"/>
  <c r="IJ135"/>
  <c r="IK135"/>
  <c r="IL135"/>
  <c r="IM135"/>
  <c r="IN135"/>
  <c r="IO135"/>
  <c r="IP135"/>
  <c r="IQ135"/>
  <c r="IR135"/>
  <c r="IS135"/>
  <c r="IT135"/>
  <c r="IU135"/>
  <c r="IV135"/>
  <c r="A134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Y134"/>
  <c r="AZ134"/>
  <c r="BA134"/>
  <c r="BB134"/>
  <c r="BC134"/>
  <c r="BD134"/>
  <c r="BE134"/>
  <c r="BF134"/>
  <c r="BG134"/>
  <c r="BH134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CE134"/>
  <c r="CF134"/>
  <c r="CG134"/>
  <c r="CH134"/>
  <c r="CI134"/>
  <c r="CJ134"/>
  <c r="CK134"/>
  <c r="CL134"/>
  <c r="CM134"/>
  <c r="CN134"/>
  <c r="CO134"/>
  <c r="CP134"/>
  <c r="CQ134"/>
  <c r="CR134"/>
  <c r="CS134"/>
  <c r="CT134"/>
  <c r="CU134"/>
  <c r="CV134"/>
  <c r="CW134"/>
  <c r="CX134"/>
  <c r="CY134"/>
  <c r="CZ134"/>
  <c r="DA134"/>
  <c r="DB134"/>
  <c r="DC134"/>
  <c r="DD134"/>
  <c r="DE134"/>
  <c r="DF134"/>
  <c r="DG134"/>
  <c r="DH134"/>
  <c r="DI134"/>
  <c r="DJ134"/>
  <c r="DK134"/>
  <c r="DL134"/>
  <c r="DM134"/>
  <c r="DN134"/>
  <c r="DO134"/>
  <c r="DP134"/>
  <c r="DQ134"/>
  <c r="DR134"/>
  <c r="DS134"/>
  <c r="DT134"/>
  <c r="DU134"/>
  <c r="DV134"/>
  <c r="DW134"/>
  <c r="DX134"/>
  <c r="DY134"/>
  <c r="DZ134"/>
  <c r="EA134"/>
  <c r="EB134"/>
  <c r="EC134"/>
  <c r="ED134"/>
  <c r="EE134"/>
  <c r="EF134"/>
  <c r="EG134"/>
  <c r="EH134"/>
  <c r="EI134"/>
  <c r="EJ134"/>
  <c r="EK134"/>
  <c r="EL134"/>
  <c r="EM134"/>
  <c r="EN134"/>
  <c r="EO134"/>
  <c r="EP134"/>
  <c r="EQ134"/>
  <c r="ER134"/>
  <c r="ES134"/>
  <c r="ET134"/>
  <c r="EU134"/>
  <c r="EV134"/>
  <c r="EW134"/>
  <c r="EX134"/>
  <c r="EY134"/>
  <c r="EZ134"/>
  <c r="FA134"/>
  <c r="FB134"/>
  <c r="FC134"/>
  <c r="FD134"/>
  <c r="FE134"/>
  <c r="FF134"/>
  <c r="FG134"/>
  <c r="FH134"/>
  <c r="FI134"/>
  <c r="FJ134"/>
  <c r="FK134"/>
  <c r="FL134"/>
  <c r="FM134"/>
  <c r="FN134"/>
  <c r="FO134"/>
  <c r="FP134"/>
  <c r="FQ134"/>
  <c r="FR134"/>
  <c r="FS134"/>
  <c r="FT134"/>
  <c r="FU134"/>
  <c r="FV134"/>
  <c r="FW134"/>
  <c r="FX134"/>
  <c r="FY134"/>
  <c r="FZ134"/>
  <c r="GA134"/>
  <c r="GB134"/>
  <c r="GC134"/>
  <c r="GD134"/>
  <c r="GE134"/>
  <c r="GF134"/>
  <c r="GG134"/>
  <c r="GH134"/>
  <c r="GI134"/>
  <c r="GJ134"/>
  <c r="GK134"/>
  <c r="GL134"/>
  <c r="GM134"/>
  <c r="GN134"/>
  <c r="GO134"/>
  <c r="GP134"/>
  <c r="GQ134"/>
  <c r="GR134"/>
  <c r="GS134"/>
  <c r="GT134"/>
  <c r="GU134"/>
  <c r="GV134"/>
  <c r="GW134"/>
  <c r="GX134"/>
  <c r="GY134"/>
  <c r="GZ134"/>
  <c r="HA134"/>
  <c r="HB134"/>
  <c r="HC134"/>
  <c r="HD134"/>
  <c r="HE134"/>
  <c r="HF134"/>
  <c r="HG134"/>
  <c r="HH134"/>
  <c r="HI134"/>
  <c r="HJ134"/>
  <c r="HK134"/>
  <c r="HL134"/>
  <c r="HM134"/>
  <c r="HN134"/>
  <c r="HO134"/>
  <c r="HP134"/>
  <c r="HQ134"/>
  <c r="HR134"/>
  <c r="HS134"/>
  <c r="HT134"/>
  <c r="HU134"/>
  <c r="HV134"/>
  <c r="HW134"/>
  <c r="HX134"/>
  <c r="HY134"/>
  <c r="HZ134"/>
  <c r="IA134"/>
  <c r="IB134"/>
  <c r="IC134"/>
  <c r="ID134"/>
  <c r="IE134"/>
  <c r="IF134"/>
  <c r="IG134"/>
  <c r="IH134"/>
  <c r="II134"/>
  <c r="IJ134"/>
  <c r="IK134"/>
  <c r="IL134"/>
  <c r="IM134"/>
  <c r="IN134"/>
  <c r="IO134"/>
  <c r="IP134"/>
  <c r="IQ134"/>
  <c r="IR134"/>
  <c r="IS134"/>
  <c r="IT134"/>
  <c r="IU134"/>
  <c r="IV134"/>
  <c r="A133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CE133"/>
  <c r="CF133"/>
  <c r="CG133"/>
  <c r="CH133"/>
  <c r="CI133"/>
  <c r="CJ133"/>
  <c r="CK133"/>
  <c r="CL133"/>
  <c r="CM133"/>
  <c r="CN133"/>
  <c r="CO133"/>
  <c r="CP133"/>
  <c r="CQ133"/>
  <c r="CR133"/>
  <c r="CS133"/>
  <c r="CT133"/>
  <c r="CU133"/>
  <c r="CV133"/>
  <c r="CW133"/>
  <c r="CX133"/>
  <c r="CY133"/>
  <c r="CZ133"/>
  <c r="DA133"/>
  <c r="DB133"/>
  <c r="DC133"/>
  <c r="DD133"/>
  <c r="DE133"/>
  <c r="DF133"/>
  <c r="DG133"/>
  <c r="DH133"/>
  <c r="DI133"/>
  <c r="DJ133"/>
  <c r="DK133"/>
  <c r="DL133"/>
  <c r="DM133"/>
  <c r="DN133"/>
  <c r="DO133"/>
  <c r="DP133"/>
  <c r="DQ133"/>
  <c r="DR133"/>
  <c r="DS133"/>
  <c r="DT133"/>
  <c r="DU133"/>
  <c r="DV133"/>
  <c r="DW133"/>
  <c r="DX133"/>
  <c r="DY133"/>
  <c r="DZ133"/>
  <c r="EA133"/>
  <c r="EB133"/>
  <c r="EC133"/>
  <c r="ED133"/>
  <c r="EE133"/>
  <c r="EF133"/>
  <c r="EG133"/>
  <c r="EH133"/>
  <c r="EI133"/>
  <c r="EJ133"/>
  <c r="EK133"/>
  <c r="EL133"/>
  <c r="EM133"/>
  <c r="EN133"/>
  <c r="EO133"/>
  <c r="EP133"/>
  <c r="EQ133"/>
  <c r="ER133"/>
  <c r="ES133"/>
  <c r="ET133"/>
  <c r="EU133"/>
  <c r="EV133"/>
  <c r="EW133"/>
  <c r="EX133"/>
  <c r="EY133"/>
  <c r="EZ133"/>
  <c r="FA133"/>
  <c r="FB133"/>
  <c r="FC133"/>
  <c r="FD133"/>
  <c r="FE133"/>
  <c r="FF133"/>
  <c r="FG133"/>
  <c r="FH133"/>
  <c r="FI133"/>
  <c r="FJ133"/>
  <c r="FK133"/>
  <c r="FL133"/>
  <c r="FM133"/>
  <c r="FN133"/>
  <c r="FO133"/>
  <c r="FP133"/>
  <c r="FQ133"/>
  <c r="FR133"/>
  <c r="FS133"/>
  <c r="FT133"/>
  <c r="FU133"/>
  <c r="FV133"/>
  <c r="FW133"/>
  <c r="FX133"/>
  <c r="FY133"/>
  <c r="FZ133"/>
  <c r="GA133"/>
  <c r="GB133"/>
  <c r="GC133"/>
  <c r="GD133"/>
  <c r="GE133"/>
  <c r="GF133"/>
  <c r="GG133"/>
  <c r="GH133"/>
  <c r="GI133"/>
  <c r="GJ133"/>
  <c r="GK133"/>
  <c r="GL133"/>
  <c r="GM133"/>
  <c r="GN133"/>
  <c r="GO133"/>
  <c r="GP133"/>
  <c r="GQ133"/>
  <c r="GR133"/>
  <c r="GS133"/>
  <c r="GT133"/>
  <c r="GU133"/>
  <c r="GV133"/>
  <c r="GW133"/>
  <c r="GX133"/>
  <c r="GY133"/>
  <c r="GZ133"/>
  <c r="HA133"/>
  <c r="HB133"/>
  <c r="HC133"/>
  <c r="HD133"/>
  <c r="HE133"/>
  <c r="HF133"/>
  <c r="HG133"/>
  <c r="HH133"/>
  <c r="HI133"/>
  <c r="HJ133"/>
  <c r="HK133"/>
  <c r="HL133"/>
  <c r="HM133"/>
  <c r="HN133"/>
  <c r="HO133"/>
  <c r="HP133"/>
  <c r="HQ133"/>
  <c r="HR133"/>
  <c r="HS133"/>
  <c r="HT133"/>
  <c r="HU133"/>
  <c r="HV133"/>
  <c r="HW133"/>
  <c r="HX133"/>
  <c r="HY133"/>
  <c r="HZ133"/>
  <c r="IA133"/>
  <c r="IB133"/>
  <c r="IC133"/>
  <c r="ID133"/>
  <c r="IE133"/>
  <c r="IF133"/>
  <c r="IG133"/>
  <c r="IH133"/>
  <c r="II133"/>
  <c r="IJ133"/>
  <c r="IK133"/>
  <c r="IL133"/>
  <c r="IM133"/>
  <c r="IN133"/>
  <c r="IO133"/>
  <c r="IP133"/>
  <c r="IQ133"/>
  <c r="IR133"/>
  <c r="IS133"/>
  <c r="IT133"/>
  <c r="IU133"/>
  <c r="IV133"/>
  <c r="A132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CE132"/>
  <c r="CF132"/>
  <c r="CG132"/>
  <c r="CH132"/>
  <c r="CI132"/>
  <c r="CJ132"/>
  <c r="CK132"/>
  <c r="CL132"/>
  <c r="CM132"/>
  <c r="CN132"/>
  <c r="CO132"/>
  <c r="CP132"/>
  <c r="CQ132"/>
  <c r="CR132"/>
  <c r="CS132"/>
  <c r="CT132"/>
  <c r="CU132"/>
  <c r="CV132"/>
  <c r="CW132"/>
  <c r="CX132"/>
  <c r="CY132"/>
  <c r="CZ132"/>
  <c r="DA132"/>
  <c r="DB132"/>
  <c r="DC132"/>
  <c r="DD132"/>
  <c r="DE132"/>
  <c r="DF132"/>
  <c r="DG132"/>
  <c r="DH132"/>
  <c r="DI132"/>
  <c r="DJ132"/>
  <c r="DK132"/>
  <c r="DL132"/>
  <c r="DM132"/>
  <c r="DN132"/>
  <c r="DO132"/>
  <c r="DP132"/>
  <c r="DQ132"/>
  <c r="DR132"/>
  <c r="DS132"/>
  <c r="DT132"/>
  <c r="DU132"/>
  <c r="DV132"/>
  <c r="DW132"/>
  <c r="DX132"/>
  <c r="DY132"/>
  <c r="DZ132"/>
  <c r="EA132"/>
  <c r="EB132"/>
  <c r="EC132"/>
  <c r="ED132"/>
  <c r="EE132"/>
  <c r="EF132"/>
  <c r="EG132"/>
  <c r="EH132"/>
  <c r="EI132"/>
  <c r="EJ132"/>
  <c r="EK132"/>
  <c r="EL132"/>
  <c r="EM132"/>
  <c r="EN132"/>
  <c r="EO132"/>
  <c r="EP132"/>
  <c r="EQ132"/>
  <c r="ER132"/>
  <c r="ES132"/>
  <c r="ET132"/>
  <c r="EU132"/>
  <c r="EV132"/>
  <c r="EW132"/>
  <c r="EX132"/>
  <c r="EY132"/>
  <c r="EZ132"/>
  <c r="FA132"/>
  <c r="FB132"/>
  <c r="FC132"/>
  <c r="FD132"/>
  <c r="FE132"/>
  <c r="FF132"/>
  <c r="FG132"/>
  <c r="FH132"/>
  <c r="FI132"/>
  <c r="FJ132"/>
  <c r="FK132"/>
  <c r="FL132"/>
  <c r="FM132"/>
  <c r="FN132"/>
  <c r="FO132"/>
  <c r="FP132"/>
  <c r="FQ132"/>
  <c r="FR132"/>
  <c r="FS132"/>
  <c r="FT132"/>
  <c r="FU132"/>
  <c r="FV132"/>
  <c r="FW132"/>
  <c r="FX132"/>
  <c r="FY132"/>
  <c r="FZ132"/>
  <c r="GA132"/>
  <c r="GB132"/>
  <c r="GC132"/>
  <c r="GD132"/>
  <c r="GE132"/>
  <c r="GF132"/>
  <c r="GG132"/>
  <c r="GH132"/>
  <c r="GI132"/>
  <c r="GJ132"/>
  <c r="GK132"/>
  <c r="GL132"/>
  <c r="GM132"/>
  <c r="GN132"/>
  <c r="GO132"/>
  <c r="GP132"/>
  <c r="GQ132"/>
  <c r="GR132"/>
  <c r="GS132"/>
  <c r="GT132"/>
  <c r="GU132"/>
  <c r="GV132"/>
  <c r="GW132"/>
  <c r="GX132"/>
  <c r="GY132"/>
  <c r="GZ132"/>
  <c r="HA132"/>
  <c r="HB132"/>
  <c r="HC132"/>
  <c r="HD132"/>
  <c r="HE132"/>
  <c r="HF132"/>
  <c r="HG132"/>
  <c r="HH132"/>
  <c r="HI132"/>
  <c r="HJ132"/>
  <c r="HK132"/>
  <c r="HL132"/>
  <c r="HM132"/>
  <c r="HN132"/>
  <c r="HO132"/>
  <c r="HP132"/>
  <c r="HQ132"/>
  <c r="HR132"/>
  <c r="HS132"/>
  <c r="HT132"/>
  <c r="HU132"/>
  <c r="HV132"/>
  <c r="HW132"/>
  <c r="HX132"/>
  <c r="HY132"/>
  <c r="HZ132"/>
  <c r="IA132"/>
  <c r="IB132"/>
  <c r="IC132"/>
  <c r="ID132"/>
  <c r="IE132"/>
  <c r="IF132"/>
  <c r="IG132"/>
  <c r="IH132"/>
  <c r="II132"/>
  <c r="IJ132"/>
  <c r="IK132"/>
  <c r="IL132"/>
  <c r="IM132"/>
  <c r="IN132"/>
  <c r="IO132"/>
  <c r="IP132"/>
  <c r="IQ132"/>
  <c r="IR132"/>
  <c r="IS132"/>
  <c r="IT132"/>
  <c r="IU132"/>
  <c r="IV132"/>
  <c r="A131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CE131"/>
  <c r="CF131"/>
  <c r="CG131"/>
  <c r="CH131"/>
  <c r="CI131"/>
  <c r="CJ131"/>
  <c r="CK131"/>
  <c r="CL131"/>
  <c r="CM131"/>
  <c r="CN131"/>
  <c r="CO131"/>
  <c r="CP131"/>
  <c r="CQ131"/>
  <c r="CR131"/>
  <c r="CS131"/>
  <c r="CT131"/>
  <c r="CU131"/>
  <c r="CV131"/>
  <c r="CW131"/>
  <c r="CX131"/>
  <c r="CY131"/>
  <c r="CZ131"/>
  <c r="DA131"/>
  <c r="DB131"/>
  <c r="DC131"/>
  <c r="DD131"/>
  <c r="DE131"/>
  <c r="DF131"/>
  <c r="DG131"/>
  <c r="DH131"/>
  <c r="DI131"/>
  <c r="DJ131"/>
  <c r="DK131"/>
  <c r="DL131"/>
  <c r="DM131"/>
  <c r="DN131"/>
  <c r="DO131"/>
  <c r="DP131"/>
  <c r="DQ131"/>
  <c r="DR131"/>
  <c r="DS131"/>
  <c r="DT131"/>
  <c r="DU131"/>
  <c r="DV131"/>
  <c r="DW131"/>
  <c r="DX131"/>
  <c r="DY131"/>
  <c r="DZ131"/>
  <c r="EA131"/>
  <c r="EB131"/>
  <c r="EC131"/>
  <c r="ED131"/>
  <c r="EE131"/>
  <c r="EF131"/>
  <c r="EG131"/>
  <c r="EH131"/>
  <c r="EI131"/>
  <c r="EJ131"/>
  <c r="EK131"/>
  <c r="EL131"/>
  <c r="EM131"/>
  <c r="EN131"/>
  <c r="EO131"/>
  <c r="EP131"/>
  <c r="EQ131"/>
  <c r="ER131"/>
  <c r="ES131"/>
  <c r="ET131"/>
  <c r="EU131"/>
  <c r="EV131"/>
  <c r="EW131"/>
  <c r="EX131"/>
  <c r="EY131"/>
  <c r="EZ131"/>
  <c r="FA131"/>
  <c r="FB131"/>
  <c r="FC131"/>
  <c r="FD131"/>
  <c r="FE131"/>
  <c r="FF131"/>
  <c r="FG131"/>
  <c r="FH131"/>
  <c r="FI131"/>
  <c r="FJ131"/>
  <c r="FK131"/>
  <c r="FL131"/>
  <c r="FM131"/>
  <c r="FN131"/>
  <c r="FO131"/>
  <c r="FP131"/>
  <c r="FQ131"/>
  <c r="FR131"/>
  <c r="FS131"/>
  <c r="FT131"/>
  <c r="FU131"/>
  <c r="FV131"/>
  <c r="FW131"/>
  <c r="FX131"/>
  <c r="FY131"/>
  <c r="FZ131"/>
  <c r="GA131"/>
  <c r="GB131"/>
  <c r="GC131"/>
  <c r="GD131"/>
  <c r="GE131"/>
  <c r="GF131"/>
  <c r="GG131"/>
  <c r="GH131"/>
  <c r="GI131"/>
  <c r="GJ131"/>
  <c r="GK131"/>
  <c r="GL131"/>
  <c r="GM131"/>
  <c r="GN131"/>
  <c r="GO131"/>
  <c r="GP131"/>
  <c r="GQ131"/>
  <c r="GR131"/>
  <c r="GS131"/>
  <c r="GT131"/>
  <c r="GU131"/>
  <c r="GV131"/>
  <c r="GW131"/>
  <c r="GX131"/>
  <c r="GY131"/>
  <c r="GZ131"/>
  <c r="HA131"/>
  <c r="HB131"/>
  <c r="HC131"/>
  <c r="HD131"/>
  <c r="HE131"/>
  <c r="HF131"/>
  <c r="HG131"/>
  <c r="HH131"/>
  <c r="HI131"/>
  <c r="HJ131"/>
  <c r="HK131"/>
  <c r="HL131"/>
  <c r="HM131"/>
  <c r="HN131"/>
  <c r="HO131"/>
  <c r="HP131"/>
  <c r="HQ131"/>
  <c r="HR131"/>
  <c r="HS131"/>
  <c r="HT131"/>
  <c r="HU131"/>
  <c r="HV131"/>
  <c r="HW131"/>
  <c r="HX131"/>
  <c r="HY131"/>
  <c r="HZ131"/>
  <c r="IA131"/>
  <c r="IB131"/>
  <c r="IC131"/>
  <c r="ID131"/>
  <c r="IE131"/>
  <c r="IF131"/>
  <c r="IG131"/>
  <c r="IH131"/>
  <c r="II131"/>
  <c r="IJ131"/>
  <c r="IK131"/>
  <c r="IL131"/>
  <c r="IM131"/>
  <c r="IN131"/>
  <c r="IO131"/>
  <c r="IP131"/>
  <c r="IQ131"/>
  <c r="IR131"/>
  <c r="IS131"/>
  <c r="IT131"/>
  <c r="IU131"/>
  <c r="IV131"/>
  <c r="A130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E130"/>
  <c r="CF130"/>
  <c r="CG130"/>
  <c r="CH130"/>
  <c r="CI130"/>
  <c r="CJ130"/>
  <c r="CK130"/>
  <c r="CL130"/>
  <c r="CM130"/>
  <c r="CN130"/>
  <c r="CO130"/>
  <c r="CP130"/>
  <c r="CQ130"/>
  <c r="CR130"/>
  <c r="CS130"/>
  <c r="CT130"/>
  <c r="CU130"/>
  <c r="CV130"/>
  <c r="CW130"/>
  <c r="CX130"/>
  <c r="CY130"/>
  <c r="CZ130"/>
  <c r="DA130"/>
  <c r="DB130"/>
  <c r="DC130"/>
  <c r="DD130"/>
  <c r="DE130"/>
  <c r="DF130"/>
  <c r="DG130"/>
  <c r="DH130"/>
  <c r="DI130"/>
  <c r="DJ130"/>
  <c r="DK130"/>
  <c r="DL130"/>
  <c r="DM130"/>
  <c r="DN130"/>
  <c r="DO130"/>
  <c r="DP130"/>
  <c r="DQ130"/>
  <c r="DR130"/>
  <c r="DS130"/>
  <c r="DT130"/>
  <c r="DU130"/>
  <c r="DV130"/>
  <c r="DW130"/>
  <c r="DX130"/>
  <c r="DY130"/>
  <c r="DZ130"/>
  <c r="EA130"/>
  <c r="EB130"/>
  <c r="EC130"/>
  <c r="ED130"/>
  <c r="EE130"/>
  <c r="EF130"/>
  <c r="EG130"/>
  <c r="EH130"/>
  <c r="EI130"/>
  <c r="EJ130"/>
  <c r="EK130"/>
  <c r="EL130"/>
  <c r="EM130"/>
  <c r="EN130"/>
  <c r="EO130"/>
  <c r="EP130"/>
  <c r="EQ130"/>
  <c r="ER130"/>
  <c r="ES130"/>
  <c r="ET130"/>
  <c r="EU130"/>
  <c r="EV130"/>
  <c r="EW130"/>
  <c r="EX130"/>
  <c r="EY130"/>
  <c r="EZ130"/>
  <c r="FA130"/>
  <c r="FB130"/>
  <c r="FC130"/>
  <c r="FD130"/>
  <c r="FE130"/>
  <c r="FF130"/>
  <c r="FG130"/>
  <c r="FH130"/>
  <c r="FI130"/>
  <c r="FJ130"/>
  <c r="FK130"/>
  <c r="FL130"/>
  <c r="FM130"/>
  <c r="FN130"/>
  <c r="FO130"/>
  <c r="FP130"/>
  <c r="FQ130"/>
  <c r="FR130"/>
  <c r="FS130"/>
  <c r="FT130"/>
  <c r="FU130"/>
  <c r="FV130"/>
  <c r="FW130"/>
  <c r="FX130"/>
  <c r="FY130"/>
  <c r="FZ130"/>
  <c r="GA130"/>
  <c r="GB130"/>
  <c r="GC130"/>
  <c r="GD130"/>
  <c r="GE130"/>
  <c r="GF130"/>
  <c r="GG130"/>
  <c r="GH130"/>
  <c r="GI130"/>
  <c r="GJ130"/>
  <c r="GK130"/>
  <c r="GL130"/>
  <c r="GM130"/>
  <c r="GN130"/>
  <c r="GO130"/>
  <c r="GP130"/>
  <c r="GQ130"/>
  <c r="GR130"/>
  <c r="GS130"/>
  <c r="GT130"/>
  <c r="GU130"/>
  <c r="GV130"/>
  <c r="GW130"/>
  <c r="GX130"/>
  <c r="GY130"/>
  <c r="GZ130"/>
  <c r="HA130"/>
  <c r="HB130"/>
  <c r="HC130"/>
  <c r="HD130"/>
  <c r="HE130"/>
  <c r="HF130"/>
  <c r="HG130"/>
  <c r="HH130"/>
  <c r="HI130"/>
  <c r="HJ130"/>
  <c r="HK130"/>
  <c r="HL130"/>
  <c r="HM130"/>
  <c r="HN130"/>
  <c r="HO130"/>
  <c r="HP130"/>
  <c r="HQ130"/>
  <c r="HR130"/>
  <c r="HS130"/>
  <c r="HT130"/>
  <c r="HU130"/>
  <c r="HV130"/>
  <c r="HW130"/>
  <c r="HX130"/>
  <c r="HY130"/>
  <c r="HZ130"/>
  <c r="IA130"/>
  <c r="IB130"/>
  <c r="IC130"/>
  <c r="ID130"/>
  <c r="IE130"/>
  <c r="IF130"/>
  <c r="IG130"/>
  <c r="IH130"/>
  <c r="II130"/>
  <c r="IJ130"/>
  <c r="IK130"/>
  <c r="IL130"/>
  <c r="IM130"/>
  <c r="IN130"/>
  <c r="IO130"/>
  <c r="IP130"/>
  <c r="IQ130"/>
  <c r="IR130"/>
  <c r="IS130"/>
  <c r="IT130"/>
  <c r="IU130"/>
  <c r="IV130"/>
  <c r="A129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CE129"/>
  <c r="CF129"/>
  <c r="CG129"/>
  <c r="CH129"/>
  <c r="CI129"/>
  <c r="CJ129"/>
  <c r="CK129"/>
  <c r="CL129"/>
  <c r="CM129"/>
  <c r="CN129"/>
  <c r="CO129"/>
  <c r="CP129"/>
  <c r="CQ129"/>
  <c r="CR129"/>
  <c r="CS129"/>
  <c r="CT129"/>
  <c r="CU129"/>
  <c r="CV129"/>
  <c r="CW129"/>
  <c r="CX129"/>
  <c r="CY129"/>
  <c r="CZ129"/>
  <c r="DA129"/>
  <c r="DB129"/>
  <c r="DC129"/>
  <c r="DD129"/>
  <c r="DE129"/>
  <c r="DF129"/>
  <c r="DG129"/>
  <c r="DH129"/>
  <c r="DI129"/>
  <c r="DJ129"/>
  <c r="DK129"/>
  <c r="DL129"/>
  <c r="DM129"/>
  <c r="DN129"/>
  <c r="DO129"/>
  <c r="DP129"/>
  <c r="DQ129"/>
  <c r="DR129"/>
  <c r="DS129"/>
  <c r="DT129"/>
  <c r="DU129"/>
  <c r="DV129"/>
  <c r="DW129"/>
  <c r="DX129"/>
  <c r="DY129"/>
  <c r="DZ129"/>
  <c r="EA129"/>
  <c r="EB129"/>
  <c r="EC129"/>
  <c r="ED129"/>
  <c r="EE129"/>
  <c r="EF129"/>
  <c r="EG129"/>
  <c r="EH129"/>
  <c r="EI129"/>
  <c r="EJ129"/>
  <c r="EK129"/>
  <c r="EL129"/>
  <c r="EM129"/>
  <c r="EN129"/>
  <c r="EO129"/>
  <c r="EP129"/>
  <c r="EQ129"/>
  <c r="ER129"/>
  <c r="ES129"/>
  <c r="ET129"/>
  <c r="EU129"/>
  <c r="EV129"/>
  <c r="EW129"/>
  <c r="EX129"/>
  <c r="EY129"/>
  <c r="EZ129"/>
  <c r="FA129"/>
  <c r="FB129"/>
  <c r="FC129"/>
  <c r="FD129"/>
  <c r="FE129"/>
  <c r="FF129"/>
  <c r="FG129"/>
  <c r="FH129"/>
  <c r="FI129"/>
  <c r="FJ129"/>
  <c r="FK129"/>
  <c r="FL129"/>
  <c r="FM129"/>
  <c r="FN129"/>
  <c r="FO129"/>
  <c r="FP129"/>
  <c r="FQ129"/>
  <c r="FR129"/>
  <c r="FS129"/>
  <c r="FT129"/>
  <c r="FU129"/>
  <c r="FV129"/>
  <c r="FW129"/>
  <c r="FX129"/>
  <c r="FY129"/>
  <c r="FZ129"/>
  <c r="GA129"/>
  <c r="GB129"/>
  <c r="GC129"/>
  <c r="GD129"/>
  <c r="GE129"/>
  <c r="GF129"/>
  <c r="GG129"/>
  <c r="GH129"/>
  <c r="GI129"/>
  <c r="GJ129"/>
  <c r="GK129"/>
  <c r="GL129"/>
  <c r="GM129"/>
  <c r="GN129"/>
  <c r="GO129"/>
  <c r="GP129"/>
  <c r="GQ129"/>
  <c r="GR129"/>
  <c r="GS129"/>
  <c r="GT129"/>
  <c r="GU129"/>
  <c r="GV129"/>
  <c r="GW129"/>
  <c r="GX129"/>
  <c r="GY129"/>
  <c r="GZ129"/>
  <c r="HA129"/>
  <c r="HB129"/>
  <c r="HC129"/>
  <c r="HD129"/>
  <c r="HE129"/>
  <c r="HF129"/>
  <c r="HG129"/>
  <c r="HH129"/>
  <c r="HI129"/>
  <c r="HJ129"/>
  <c r="HK129"/>
  <c r="HL129"/>
  <c r="HM129"/>
  <c r="HN129"/>
  <c r="HO129"/>
  <c r="HP129"/>
  <c r="HQ129"/>
  <c r="HR129"/>
  <c r="HS129"/>
  <c r="HT129"/>
  <c r="HU129"/>
  <c r="HV129"/>
  <c r="HW129"/>
  <c r="HX129"/>
  <c r="HY129"/>
  <c r="HZ129"/>
  <c r="IA129"/>
  <c r="IB129"/>
  <c r="IC129"/>
  <c r="ID129"/>
  <c r="IE129"/>
  <c r="IF129"/>
  <c r="IG129"/>
  <c r="IH129"/>
  <c r="II129"/>
  <c r="IJ129"/>
  <c r="IK129"/>
  <c r="IL129"/>
  <c r="IM129"/>
  <c r="IN129"/>
  <c r="IO129"/>
  <c r="IP129"/>
  <c r="IQ129"/>
  <c r="IR129"/>
  <c r="IS129"/>
  <c r="IT129"/>
  <c r="IU129"/>
  <c r="IV129"/>
  <c r="A128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Y128"/>
  <c r="AZ128"/>
  <c r="BA128"/>
  <c r="BB128"/>
  <c r="BC128"/>
  <c r="BD128"/>
  <c r="BE128"/>
  <c r="BF128"/>
  <c r="BG128"/>
  <c r="BH128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CE128"/>
  <c r="CF128"/>
  <c r="CG128"/>
  <c r="CH128"/>
  <c r="CI128"/>
  <c r="CJ128"/>
  <c r="CK128"/>
  <c r="CL128"/>
  <c r="CM128"/>
  <c r="CN128"/>
  <c r="CO128"/>
  <c r="CP128"/>
  <c r="CQ128"/>
  <c r="CR128"/>
  <c r="CS128"/>
  <c r="CT128"/>
  <c r="CU128"/>
  <c r="CV128"/>
  <c r="CW128"/>
  <c r="CX128"/>
  <c r="CY128"/>
  <c r="CZ128"/>
  <c r="DA128"/>
  <c r="DB128"/>
  <c r="DC128"/>
  <c r="DD128"/>
  <c r="DE128"/>
  <c r="DF128"/>
  <c r="DG128"/>
  <c r="DH128"/>
  <c r="DI128"/>
  <c r="DJ128"/>
  <c r="DK128"/>
  <c r="DL128"/>
  <c r="DM128"/>
  <c r="DN128"/>
  <c r="DO128"/>
  <c r="DP128"/>
  <c r="DQ128"/>
  <c r="DR128"/>
  <c r="DS128"/>
  <c r="DT128"/>
  <c r="DU128"/>
  <c r="DV128"/>
  <c r="DW128"/>
  <c r="DX128"/>
  <c r="DY128"/>
  <c r="DZ128"/>
  <c r="EA128"/>
  <c r="EB128"/>
  <c r="EC128"/>
  <c r="ED128"/>
  <c r="EE128"/>
  <c r="EF128"/>
  <c r="EG128"/>
  <c r="EH128"/>
  <c r="EI128"/>
  <c r="EJ128"/>
  <c r="EK128"/>
  <c r="EL128"/>
  <c r="EM128"/>
  <c r="EN128"/>
  <c r="EO128"/>
  <c r="EP128"/>
  <c r="EQ128"/>
  <c r="ER128"/>
  <c r="ES128"/>
  <c r="ET128"/>
  <c r="EU128"/>
  <c r="EV128"/>
  <c r="EW128"/>
  <c r="EX128"/>
  <c r="EY128"/>
  <c r="EZ128"/>
  <c r="FA128"/>
  <c r="FB128"/>
  <c r="FC128"/>
  <c r="FD128"/>
  <c r="FE128"/>
  <c r="FF128"/>
  <c r="FG128"/>
  <c r="FH128"/>
  <c r="FI128"/>
  <c r="FJ128"/>
  <c r="FK128"/>
  <c r="FL128"/>
  <c r="FM128"/>
  <c r="FN128"/>
  <c r="FO128"/>
  <c r="FP128"/>
  <c r="FQ128"/>
  <c r="FR128"/>
  <c r="FS128"/>
  <c r="FT128"/>
  <c r="FU128"/>
  <c r="FV128"/>
  <c r="FW128"/>
  <c r="FX128"/>
  <c r="FY128"/>
  <c r="FZ128"/>
  <c r="GA128"/>
  <c r="GB128"/>
  <c r="GC128"/>
  <c r="GD128"/>
  <c r="GE128"/>
  <c r="GF128"/>
  <c r="GG128"/>
  <c r="GH128"/>
  <c r="GI128"/>
  <c r="GJ128"/>
  <c r="GK128"/>
  <c r="GL128"/>
  <c r="GM128"/>
  <c r="GN128"/>
  <c r="GO128"/>
  <c r="GP128"/>
  <c r="GQ128"/>
  <c r="GR128"/>
  <c r="GS128"/>
  <c r="GT128"/>
  <c r="GU128"/>
  <c r="GV128"/>
  <c r="GW128"/>
  <c r="GX128"/>
  <c r="GY128"/>
  <c r="GZ128"/>
  <c r="HA128"/>
  <c r="HB128"/>
  <c r="HC128"/>
  <c r="HD128"/>
  <c r="HE128"/>
  <c r="HF128"/>
  <c r="HG128"/>
  <c r="HH128"/>
  <c r="HI128"/>
  <c r="HJ128"/>
  <c r="HK128"/>
  <c r="HL128"/>
  <c r="HM128"/>
  <c r="HN128"/>
  <c r="HO128"/>
  <c r="HP128"/>
  <c r="HQ128"/>
  <c r="HR128"/>
  <c r="HS128"/>
  <c r="HT128"/>
  <c r="HU128"/>
  <c r="HV128"/>
  <c r="HW128"/>
  <c r="HX128"/>
  <c r="HY128"/>
  <c r="HZ128"/>
  <c r="IA128"/>
  <c r="IB128"/>
  <c r="IC128"/>
  <c r="ID128"/>
  <c r="IE128"/>
  <c r="IF128"/>
  <c r="IG128"/>
  <c r="IH128"/>
  <c r="II128"/>
  <c r="IJ128"/>
  <c r="IK128"/>
  <c r="IL128"/>
  <c r="IM128"/>
  <c r="IN128"/>
  <c r="IO128"/>
  <c r="IP128"/>
  <c r="IQ128"/>
  <c r="IR128"/>
  <c r="IS128"/>
  <c r="IT128"/>
  <c r="IU128"/>
  <c r="IV128"/>
  <c r="A127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CE127"/>
  <c r="CF127"/>
  <c r="CG127"/>
  <c r="CH127"/>
  <c r="CI127"/>
  <c r="CJ127"/>
  <c r="CK127"/>
  <c r="CL127"/>
  <c r="CM127"/>
  <c r="CN127"/>
  <c r="CO127"/>
  <c r="CP127"/>
  <c r="CQ127"/>
  <c r="CR127"/>
  <c r="CS127"/>
  <c r="CT127"/>
  <c r="CU127"/>
  <c r="CV127"/>
  <c r="CW127"/>
  <c r="CX127"/>
  <c r="CY127"/>
  <c r="CZ127"/>
  <c r="DA127"/>
  <c r="DB127"/>
  <c r="DC127"/>
  <c r="DD127"/>
  <c r="DE127"/>
  <c r="DF127"/>
  <c r="DG127"/>
  <c r="DH127"/>
  <c r="DI127"/>
  <c r="DJ127"/>
  <c r="DK127"/>
  <c r="DL127"/>
  <c r="DM127"/>
  <c r="DN127"/>
  <c r="DO127"/>
  <c r="DP127"/>
  <c r="DQ127"/>
  <c r="DR127"/>
  <c r="DS127"/>
  <c r="DT127"/>
  <c r="DU127"/>
  <c r="DV127"/>
  <c r="DW127"/>
  <c r="DX127"/>
  <c r="DY127"/>
  <c r="DZ127"/>
  <c r="EA127"/>
  <c r="EB127"/>
  <c r="EC127"/>
  <c r="ED127"/>
  <c r="EE127"/>
  <c r="EF127"/>
  <c r="EG127"/>
  <c r="EH127"/>
  <c r="EI127"/>
  <c r="EJ127"/>
  <c r="EK127"/>
  <c r="EL127"/>
  <c r="EM127"/>
  <c r="EN127"/>
  <c r="EO127"/>
  <c r="EP127"/>
  <c r="EQ127"/>
  <c r="ER127"/>
  <c r="ES127"/>
  <c r="ET127"/>
  <c r="EU127"/>
  <c r="EV127"/>
  <c r="EW127"/>
  <c r="EX127"/>
  <c r="EY127"/>
  <c r="EZ127"/>
  <c r="FA127"/>
  <c r="FB127"/>
  <c r="FC127"/>
  <c r="FD127"/>
  <c r="FE127"/>
  <c r="FF127"/>
  <c r="FG127"/>
  <c r="FH127"/>
  <c r="FI127"/>
  <c r="FJ127"/>
  <c r="FK127"/>
  <c r="FL127"/>
  <c r="FM127"/>
  <c r="FN127"/>
  <c r="FO127"/>
  <c r="FP127"/>
  <c r="FQ127"/>
  <c r="FR127"/>
  <c r="FS127"/>
  <c r="FT127"/>
  <c r="FU127"/>
  <c r="FV127"/>
  <c r="FW127"/>
  <c r="FX127"/>
  <c r="FY127"/>
  <c r="FZ127"/>
  <c r="GA127"/>
  <c r="GB127"/>
  <c r="GC127"/>
  <c r="GD127"/>
  <c r="GE127"/>
  <c r="GF127"/>
  <c r="GG127"/>
  <c r="GH127"/>
  <c r="GI127"/>
  <c r="GJ127"/>
  <c r="GK127"/>
  <c r="GL127"/>
  <c r="GM127"/>
  <c r="GN127"/>
  <c r="GO127"/>
  <c r="GP127"/>
  <c r="GQ127"/>
  <c r="GR127"/>
  <c r="GS127"/>
  <c r="GT127"/>
  <c r="GU127"/>
  <c r="GV127"/>
  <c r="GW127"/>
  <c r="GX127"/>
  <c r="GY127"/>
  <c r="GZ127"/>
  <c r="HA127"/>
  <c r="HB127"/>
  <c r="HC127"/>
  <c r="HD127"/>
  <c r="HE127"/>
  <c r="HF127"/>
  <c r="HG127"/>
  <c r="HH127"/>
  <c r="HI127"/>
  <c r="HJ127"/>
  <c r="HK127"/>
  <c r="HL127"/>
  <c r="HM127"/>
  <c r="HN127"/>
  <c r="HO127"/>
  <c r="HP127"/>
  <c r="HQ127"/>
  <c r="HR127"/>
  <c r="HS127"/>
  <c r="HT127"/>
  <c r="HU127"/>
  <c r="HV127"/>
  <c r="HW127"/>
  <c r="HX127"/>
  <c r="HY127"/>
  <c r="HZ127"/>
  <c r="IA127"/>
  <c r="IB127"/>
  <c r="IC127"/>
  <c r="ID127"/>
  <c r="IE127"/>
  <c r="IF127"/>
  <c r="IG127"/>
  <c r="IH127"/>
  <c r="II127"/>
  <c r="IJ127"/>
  <c r="IK127"/>
  <c r="IL127"/>
  <c r="IM127"/>
  <c r="IN127"/>
  <c r="IO127"/>
  <c r="IP127"/>
  <c r="IQ127"/>
  <c r="IR127"/>
  <c r="IS127"/>
  <c r="IT127"/>
  <c r="IU127"/>
  <c r="IV127"/>
  <c r="A126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Y126"/>
  <c r="AZ126"/>
  <c r="BA126"/>
  <c r="BB126"/>
  <c r="BC126"/>
  <c r="BD126"/>
  <c r="BE126"/>
  <c r="BF126"/>
  <c r="BG126"/>
  <c r="BH126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CE126"/>
  <c r="CF126"/>
  <c r="CG126"/>
  <c r="CH126"/>
  <c r="CI126"/>
  <c r="CJ126"/>
  <c r="CK126"/>
  <c r="CL126"/>
  <c r="CM126"/>
  <c r="CN126"/>
  <c r="CO126"/>
  <c r="CP126"/>
  <c r="CQ126"/>
  <c r="CR126"/>
  <c r="CS126"/>
  <c r="CT126"/>
  <c r="CU126"/>
  <c r="CV126"/>
  <c r="CW126"/>
  <c r="CX126"/>
  <c r="CY126"/>
  <c r="CZ126"/>
  <c r="DA126"/>
  <c r="DB126"/>
  <c r="DC126"/>
  <c r="DD126"/>
  <c r="DE126"/>
  <c r="DF126"/>
  <c r="DG126"/>
  <c r="DH126"/>
  <c r="DI126"/>
  <c r="DJ126"/>
  <c r="DK126"/>
  <c r="DL126"/>
  <c r="DM126"/>
  <c r="DN126"/>
  <c r="DO126"/>
  <c r="DP126"/>
  <c r="DQ126"/>
  <c r="DR126"/>
  <c r="DS126"/>
  <c r="DT126"/>
  <c r="DU126"/>
  <c r="DV126"/>
  <c r="DW126"/>
  <c r="DX126"/>
  <c r="DY126"/>
  <c r="DZ126"/>
  <c r="EA126"/>
  <c r="EB126"/>
  <c r="EC126"/>
  <c r="ED126"/>
  <c r="EE126"/>
  <c r="EF126"/>
  <c r="EG126"/>
  <c r="EH126"/>
  <c r="EI126"/>
  <c r="EJ126"/>
  <c r="EK126"/>
  <c r="EL126"/>
  <c r="EM126"/>
  <c r="EN126"/>
  <c r="EO126"/>
  <c r="EP126"/>
  <c r="EQ126"/>
  <c r="ER126"/>
  <c r="ES126"/>
  <c r="ET126"/>
  <c r="EU126"/>
  <c r="EV126"/>
  <c r="EW126"/>
  <c r="EX126"/>
  <c r="EY126"/>
  <c r="EZ126"/>
  <c r="FA126"/>
  <c r="FB126"/>
  <c r="FC126"/>
  <c r="FD126"/>
  <c r="FE126"/>
  <c r="FF126"/>
  <c r="FG126"/>
  <c r="FH126"/>
  <c r="FI126"/>
  <c r="FJ126"/>
  <c r="FK126"/>
  <c r="FL126"/>
  <c r="FM126"/>
  <c r="FN126"/>
  <c r="FO126"/>
  <c r="FP126"/>
  <c r="FQ126"/>
  <c r="FR126"/>
  <c r="FS126"/>
  <c r="FT126"/>
  <c r="FU126"/>
  <c r="FV126"/>
  <c r="FW126"/>
  <c r="FX126"/>
  <c r="FY126"/>
  <c r="FZ126"/>
  <c r="GA126"/>
  <c r="GB126"/>
  <c r="GC126"/>
  <c r="GD126"/>
  <c r="GE126"/>
  <c r="GF126"/>
  <c r="GG126"/>
  <c r="GH126"/>
  <c r="GI126"/>
  <c r="GJ126"/>
  <c r="GK126"/>
  <c r="GL126"/>
  <c r="GM126"/>
  <c r="GN126"/>
  <c r="GO126"/>
  <c r="GP126"/>
  <c r="GQ126"/>
  <c r="GR126"/>
  <c r="GS126"/>
  <c r="GT126"/>
  <c r="GU126"/>
  <c r="GV126"/>
  <c r="GW126"/>
  <c r="GX126"/>
  <c r="GY126"/>
  <c r="GZ126"/>
  <c r="HA126"/>
  <c r="HB126"/>
  <c r="HC126"/>
  <c r="HD126"/>
  <c r="HE126"/>
  <c r="HF126"/>
  <c r="HG126"/>
  <c r="HH126"/>
  <c r="HI126"/>
  <c r="HJ126"/>
  <c r="HK126"/>
  <c r="HL126"/>
  <c r="HM126"/>
  <c r="HN126"/>
  <c r="HO126"/>
  <c r="HP126"/>
  <c r="HQ126"/>
  <c r="HR126"/>
  <c r="HS126"/>
  <c r="HT126"/>
  <c r="HU126"/>
  <c r="HV126"/>
  <c r="HW126"/>
  <c r="HX126"/>
  <c r="HY126"/>
  <c r="HZ126"/>
  <c r="IA126"/>
  <c r="IB126"/>
  <c r="IC126"/>
  <c r="ID126"/>
  <c r="IE126"/>
  <c r="IF126"/>
  <c r="IG126"/>
  <c r="IH126"/>
  <c r="II126"/>
  <c r="IJ126"/>
  <c r="IK126"/>
  <c r="IL126"/>
  <c r="IM126"/>
  <c r="IN126"/>
  <c r="IO126"/>
  <c r="IP126"/>
  <c r="IQ126"/>
  <c r="IR126"/>
  <c r="IS126"/>
  <c r="IT126"/>
  <c r="IU126"/>
  <c r="IV126"/>
  <c r="A125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Y125"/>
  <c r="AZ125"/>
  <c r="BA125"/>
  <c r="BB125"/>
  <c r="BC125"/>
  <c r="BD125"/>
  <c r="BE125"/>
  <c r="BF125"/>
  <c r="BG125"/>
  <c r="BH125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CB125"/>
  <c r="CC125"/>
  <c r="CD125"/>
  <c r="CE125"/>
  <c r="CF125"/>
  <c r="CG125"/>
  <c r="CH125"/>
  <c r="CI125"/>
  <c r="CJ125"/>
  <c r="CK125"/>
  <c r="CL125"/>
  <c r="CM125"/>
  <c r="CN125"/>
  <c r="CO125"/>
  <c r="CP125"/>
  <c r="CQ125"/>
  <c r="CR125"/>
  <c r="CS125"/>
  <c r="CT125"/>
  <c r="CU125"/>
  <c r="CV125"/>
  <c r="CW125"/>
  <c r="CX125"/>
  <c r="CY125"/>
  <c r="CZ125"/>
  <c r="DA125"/>
  <c r="DB125"/>
  <c r="DC125"/>
  <c r="DD125"/>
  <c r="DE125"/>
  <c r="DF125"/>
  <c r="DG125"/>
  <c r="DH125"/>
  <c r="DI125"/>
  <c r="DJ125"/>
  <c r="DK125"/>
  <c r="DL125"/>
  <c r="DM125"/>
  <c r="DN125"/>
  <c r="DO125"/>
  <c r="DP125"/>
  <c r="DQ125"/>
  <c r="DR125"/>
  <c r="DS125"/>
  <c r="DT125"/>
  <c r="DU125"/>
  <c r="DV125"/>
  <c r="DW125"/>
  <c r="DX125"/>
  <c r="DY125"/>
  <c r="DZ125"/>
  <c r="EA125"/>
  <c r="EB125"/>
  <c r="EC125"/>
  <c r="ED125"/>
  <c r="EE125"/>
  <c r="EF125"/>
  <c r="EG125"/>
  <c r="EH125"/>
  <c r="EI125"/>
  <c r="EJ125"/>
  <c r="EK125"/>
  <c r="EL125"/>
  <c r="EM125"/>
  <c r="EN125"/>
  <c r="EO125"/>
  <c r="EP125"/>
  <c r="EQ125"/>
  <c r="ER125"/>
  <c r="ES125"/>
  <c r="ET125"/>
  <c r="EU125"/>
  <c r="EV125"/>
  <c r="EW125"/>
  <c r="EX125"/>
  <c r="EY125"/>
  <c r="EZ125"/>
  <c r="FA125"/>
  <c r="FB125"/>
  <c r="FC125"/>
  <c r="FD125"/>
  <c r="FE125"/>
  <c r="FF125"/>
  <c r="FG125"/>
  <c r="FH125"/>
  <c r="FI125"/>
  <c r="FJ125"/>
  <c r="FK125"/>
  <c r="FL125"/>
  <c r="FM125"/>
  <c r="FN125"/>
  <c r="FO125"/>
  <c r="FP125"/>
  <c r="FQ125"/>
  <c r="FR125"/>
  <c r="FS125"/>
  <c r="FT125"/>
  <c r="FU125"/>
  <c r="FV125"/>
  <c r="FW125"/>
  <c r="FX125"/>
  <c r="FY125"/>
  <c r="FZ125"/>
  <c r="GA125"/>
  <c r="GB125"/>
  <c r="GC125"/>
  <c r="GD125"/>
  <c r="GE125"/>
  <c r="GF125"/>
  <c r="GG125"/>
  <c r="GH125"/>
  <c r="GI125"/>
  <c r="GJ125"/>
  <c r="GK125"/>
  <c r="GL125"/>
  <c r="GM125"/>
  <c r="GN125"/>
  <c r="GO125"/>
  <c r="GP125"/>
  <c r="GQ125"/>
  <c r="GR125"/>
  <c r="GS125"/>
  <c r="GT125"/>
  <c r="GU125"/>
  <c r="GV125"/>
  <c r="GW125"/>
  <c r="GX125"/>
  <c r="GY125"/>
  <c r="GZ125"/>
  <c r="HA125"/>
  <c r="HB125"/>
  <c r="HC125"/>
  <c r="HD125"/>
  <c r="HE125"/>
  <c r="HF125"/>
  <c r="HG125"/>
  <c r="HH125"/>
  <c r="HI125"/>
  <c r="HJ125"/>
  <c r="HK125"/>
  <c r="HL125"/>
  <c r="HM125"/>
  <c r="HN125"/>
  <c r="HO125"/>
  <c r="HP125"/>
  <c r="HQ125"/>
  <c r="HR125"/>
  <c r="HS125"/>
  <c r="HT125"/>
  <c r="HU125"/>
  <c r="HV125"/>
  <c r="HW125"/>
  <c r="HX125"/>
  <c r="HY125"/>
  <c r="HZ125"/>
  <c r="IA125"/>
  <c r="IB125"/>
  <c r="IC125"/>
  <c r="ID125"/>
  <c r="IE125"/>
  <c r="IF125"/>
  <c r="IG125"/>
  <c r="IH125"/>
  <c r="II125"/>
  <c r="IJ125"/>
  <c r="IK125"/>
  <c r="IL125"/>
  <c r="IM125"/>
  <c r="IN125"/>
  <c r="IO125"/>
  <c r="IP125"/>
  <c r="IQ125"/>
  <c r="IR125"/>
  <c r="IS125"/>
  <c r="IT125"/>
  <c r="IU125"/>
  <c r="IV125"/>
  <c r="A124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Y124"/>
  <c r="AZ124"/>
  <c r="BA124"/>
  <c r="BB124"/>
  <c r="BC124"/>
  <c r="BD124"/>
  <c r="BE124"/>
  <c r="BF124"/>
  <c r="BG124"/>
  <c r="BH124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CB124"/>
  <c r="CC124"/>
  <c r="CD124"/>
  <c r="CE124"/>
  <c r="CF124"/>
  <c r="CG124"/>
  <c r="CH124"/>
  <c r="CI124"/>
  <c r="CJ124"/>
  <c r="CK124"/>
  <c r="CL124"/>
  <c r="CM124"/>
  <c r="CN124"/>
  <c r="CO124"/>
  <c r="CP124"/>
  <c r="CQ124"/>
  <c r="CR124"/>
  <c r="CS124"/>
  <c r="CT124"/>
  <c r="CU124"/>
  <c r="CV124"/>
  <c r="CW124"/>
  <c r="CX124"/>
  <c r="CY124"/>
  <c r="CZ124"/>
  <c r="DA124"/>
  <c r="DB124"/>
  <c r="DC124"/>
  <c r="DD124"/>
  <c r="DE124"/>
  <c r="DF124"/>
  <c r="DG124"/>
  <c r="DH124"/>
  <c r="DI124"/>
  <c r="DJ124"/>
  <c r="DK124"/>
  <c r="DL124"/>
  <c r="DM124"/>
  <c r="DN124"/>
  <c r="DO124"/>
  <c r="DP124"/>
  <c r="DQ124"/>
  <c r="DR124"/>
  <c r="DS124"/>
  <c r="DT124"/>
  <c r="DU124"/>
  <c r="DV124"/>
  <c r="DW124"/>
  <c r="DX124"/>
  <c r="DY124"/>
  <c r="DZ124"/>
  <c r="EA124"/>
  <c r="EB124"/>
  <c r="EC124"/>
  <c r="ED124"/>
  <c r="EE124"/>
  <c r="EF124"/>
  <c r="EG124"/>
  <c r="EH124"/>
  <c r="EI124"/>
  <c r="EJ124"/>
  <c r="EK124"/>
  <c r="EL124"/>
  <c r="EM124"/>
  <c r="EN124"/>
  <c r="EO124"/>
  <c r="EP124"/>
  <c r="EQ124"/>
  <c r="ER124"/>
  <c r="ES124"/>
  <c r="ET124"/>
  <c r="EU124"/>
  <c r="EV124"/>
  <c r="EW124"/>
  <c r="EX124"/>
  <c r="EY124"/>
  <c r="EZ124"/>
  <c r="FA124"/>
  <c r="FB124"/>
  <c r="FC124"/>
  <c r="FD124"/>
  <c r="FE124"/>
  <c r="FF124"/>
  <c r="FG124"/>
  <c r="FH124"/>
  <c r="FI124"/>
  <c r="FJ124"/>
  <c r="FK124"/>
  <c r="FL124"/>
  <c r="FM124"/>
  <c r="FN124"/>
  <c r="FO124"/>
  <c r="FP124"/>
  <c r="FQ124"/>
  <c r="FR124"/>
  <c r="FS124"/>
  <c r="FT124"/>
  <c r="FU124"/>
  <c r="FV124"/>
  <c r="FW124"/>
  <c r="FX124"/>
  <c r="FY124"/>
  <c r="FZ124"/>
  <c r="GA124"/>
  <c r="GB124"/>
  <c r="GC124"/>
  <c r="GD124"/>
  <c r="GE124"/>
  <c r="GF124"/>
  <c r="GG124"/>
  <c r="GH124"/>
  <c r="GI124"/>
  <c r="GJ124"/>
  <c r="GK124"/>
  <c r="GL124"/>
  <c r="GM124"/>
  <c r="GN124"/>
  <c r="GO124"/>
  <c r="GP124"/>
  <c r="GQ124"/>
  <c r="GR124"/>
  <c r="GS124"/>
  <c r="GT124"/>
  <c r="GU124"/>
  <c r="GV124"/>
  <c r="GW124"/>
  <c r="GX124"/>
  <c r="GY124"/>
  <c r="GZ124"/>
  <c r="HA124"/>
  <c r="HB124"/>
  <c r="HC124"/>
  <c r="HD124"/>
  <c r="HE124"/>
  <c r="HF124"/>
  <c r="HG124"/>
  <c r="HH124"/>
  <c r="HI124"/>
  <c r="HJ124"/>
  <c r="HK124"/>
  <c r="HL124"/>
  <c r="HM124"/>
  <c r="HN124"/>
  <c r="HO124"/>
  <c r="HP124"/>
  <c r="HQ124"/>
  <c r="HR124"/>
  <c r="HS124"/>
  <c r="HT124"/>
  <c r="HU124"/>
  <c r="HV124"/>
  <c r="HW124"/>
  <c r="HX124"/>
  <c r="HY124"/>
  <c r="HZ124"/>
  <c r="IA124"/>
  <c r="IB124"/>
  <c r="IC124"/>
  <c r="ID124"/>
  <c r="IE124"/>
  <c r="IF124"/>
  <c r="IG124"/>
  <c r="IH124"/>
  <c r="II124"/>
  <c r="IJ124"/>
  <c r="IK124"/>
  <c r="IL124"/>
  <c r="IM124"/>
  <c r="IN124"/>
  <c r="IO124"/>
  <c r="IP124"/>
  <c r="IQ124"/>
  <c r="IR124"/>
  <c r="IS124"/>
  <c r="IT124"/>
  <c r="IU124"/>
  <c r="IV124"/>
  <c r="A123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CE123"/>
  <c r="CF123"/>
  <c r="CG123"/>
  <c r="CH123"/>
  <c r="CI123"/>
  <c r="CJ123"/>
  <c r="CK123"/>
  <c r="CL123"/>
  <c r="CM123"/>
  <c r="CN123"/>
  <c r="CO123"/>
  <c r="CP123"/>
  <c r="CQ123"/>
  <c r="CR123"/>
  <c r="CS123"/>
  <c r="CT123"/>
  <c r="CU123"/>
  <c r="CV123"/>
  <c r="CW123"/>
  <c r="CX123"/>
  <c r="CY123"/>
  <c r="CZ123"/>
  <c r="DA123"/>
  <c r="DB123"/>
  <c r="DC123"/>
  <c r="DD123"/>
  <c r="DE123"/>
  <c r="DF123"/>
  <c r="DG123"/>
  <c r="DH123"/>
  <c r="DI123"/>
  <c r="DJ123"/>
  <c r="DK123"/>
  <c r="DL123"/>
  <c r="DM123"/>
  <c r="DN123"/>
  <c r="DO123"/>
  <c r="DP123"/>
  <c r="DQ123"/>
  <c r="DR123"/>
  <c r="DS123"/>
  <c r="DT123"/>
  <c r="DU123"/>
  <c r="DV123"/>
  <c r="DW123"/>
  <c r="DX123"/>
  <c r="DY123"/>
  <c r="DZ123"/>
  <c r="EA123"/>
  <c r="EB123"/>
  <c r="EC123"/>
  <c r="ED123"/>
  <c r="EE123"/>
  <c r="EF123"/>
  <c r="EG123"/>
  <c r="EH123"/>
  <c r="EI123"/>
  <c r="EJ123"/>
  <c r="EK123"/>
  <c r="EL123"/>
  <c r="EM123"/>
  <c r="EN123"/>
  <c r="EO123"/>
  <c r="EP123"/>
  <c r="EQ123"/>
  <c r="ER123"/>
  <c r="ES123"/>
  <c r="ET123"/>
  <c r="EU123"/>
  <c r="EV123"/>
  <c r="EW123"/>
  <c r="EX123"/>
  <c r="EY123"/>
  <c r="EZ123"/>
  <c r="FA123"/>
  <c r="FB123"/>
  <c r="FC123"/>
  <c r="FD123"/>
  <c r="FE123"/>
  <c r="FF123"/>
  <c r="FG123"/>
  <c r="FH123"/>
  <c r="FI123"/>
  <c r="FJ123"/>
  <c r="FK123"/>
  <c r="FL123"/>
  <c r="FM123"/>
  <c r="FN123"/>
  <c r="FO123"/>
  <c r="FP123"/>
  <c r="FQ123"/>
  <c r="FR123"/>
  <c r="FS123"/>
  <c r="FT123"/>
  <c r="FU123"/>
  <c r="FV123"/>
  <c r="FW123"/>
  <c r="FX123"/>
  <c r="FY123"/>
  <c r="FZ123"/>
  <c r="GA123"/>
  <c r="GB123"/>
  <c r="GC123"/>
  <c r="GD123"/>
  <c r="GE123"/>
  <c r="GF123"/>
  <c r="GG123"/>
  <c r="GH123"/>
  <c r="GI123"/>
  <c r="GJ123"/>
  <c r="GK123"/>
  <c r="GL123"/>
  <c r="GM123"/>
  <c r="GN123"/>
  <c r="GO123"/>
  <c r="GP123"/>
  <c r="GQ123"/>
  <c r="GR123"/>
  <c r="GS123"/>
  <c r="GT123"/>
  <c r="GU123"/>
  <c r="GV123"/>
  <c r="GW123"/>
  <c r="GX123"/>
  <c r="GY123"/>
  <c r="GZ123"/>
  <c r="HA123"/>
  <c r="HB123"/>
  <c r="HC123"/>
  <c r="HD123"/>
  <c r="HE123"/>
  <c r="HF123"/>
  <c r="HG123"/>
  <c r="HH123"/>
  <c r="HI123"/>
  <c r="HJ123"/>
  <c r="HK123"/>
  <c r="HL123"/>
  <c r="HM123"/>
  <c r="HN123"/>
  <c r="HO123"/>
  <c r="HP123"/>
  <c r="HQ123"/>
  <c r="HR123"/>
  <c r="HS123"/>
  <c r="HT123"/>
  <c r="HU123"/>
  <c r="HV123"/>
  <c r="HW123"/>
  <c r="HX123"/>
  <c r="HY123"/>
  <c r="HZ123"/>
  <c r="IA123"/>
  <c r="IB123"/>
  <c r="IC123"/>
  <c r="ID123"/>
  <c r="IE123"/>
  <c r="IF123"/>
  <c r="IG123"/>
  <c r="IH123"/>
  <c r="II123"/>
  <c r="IJ123"/>
  <c r="IK123"/>
  <c r="IL123"/>
  <c r="IM123"/>
  <c r="IN123"/>
  <c r="IO123"/>
  <c r="IP123"/>
  <c r="IQ123"/>
  <c r="IR123"/>
  <c r="IS123"/>
  <c r="IT123"/>
  <c r="IU123"/>
  <c r="IV123"/>
  <c r="A122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Y122"/>
  <c r="AZ122"/>
  <c r="BA122"/>
  <c r="BB122"/>
  <c r="BC122"/>
  <c r="BD122"/>
  <c r="BE122"/>
  <c r="BF122"/>
  <c r="BG122"/>
  <c r="BH122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CB122"/>
  <c r="CC122"/>
  <c r="CD122"/>
  <c r="CE122"/>
  <c r="CF122"/>
  <c r="CG122"/>
  <c r="CH122"/>
  <c r="CI122"/>
  <c r="CJ122"/>
  <c r="CK122"/>
  <c r="CL122"/>
  <c r="CM122"/>
  <c r="CN122"/>
  <c r="CO122"/>
  <c r="CP122"/>
  <c r="CQ122"/>
  <c r="CR122"/>
  <c r="CS122"/>
  <c r="CT122"/>
  <c r="CU122"/>
  <c r="CV122"/>
  <c r="CW122"/>
  <c r="CX122"/>
  <c r="CY122"/>
  <c r="CZ122"/>
  <c r="DA122"/>
  <c r="DB122"/>
  <c r="DC122"/>
  <c r="DD122"/>
  <c r="DE122"/>
  <c r="DF122"/>
  <c r="DG122"/>
  <c r="DH122"/>
  <c r="DI122"/>
  <c r="DJ122"/>
  <c r="DK122"/>
  <c r="DL122"/>
  <c r="DM122"/>
  <c r="DN122"/>
  <c r="DO122"/>
  <c r="DP122"/>
  <c r="DQ122"/>
  <c r="DR122"/>
  <c r="DS122"/>
  <c r="DT122"/>
  <c r="DU122"/>
  <c r="DV122"/>
  <c r="DW122"/>
  <c r="DX122"/>
  <c r="DY122"/>
  <c r="DZ122"/>
  <c r="EA122"/>
  <c r="EB122"/>
  <c r="EC122"/>
  <c r="ED122"/>
  <c r="EE122"/>
  <c r="EF122"/>
  <c r="EG122"/>
  <c r="EH122"/>
  <c r="EI122"/>
  <c r="EJ122"/>
  <c r="EK122"/>
  <c r="EL122"/>
  <c r="EM122"/>
  <c r="EN122"/>
  <c r="EO122"/>
  <c r="EP122"/>
  <c r="EQ122"/>
  <c r="ER122"/>
  <c r="ES122"/>
  <c r="ET122"/>
  <c r="EU122"/>
  <c r="EV122"/>
  <c r="EW122"/>
  <c r="EX122"/>
  <c r="EY122"/>
  <c r="EZ122"/>
  <c r="FA122"/>
  <c r="FB122"/>
  <c r="FC122"/>
  <c r="FD122"/>
  <c r="FE122"/>
  <c r="FF122"/>
  <c r="FG122"/>
  <c r="FH122"/>
  <c r="FI122"/>
  <c r="FJ122"/>
  <c r="FK122"/>
  <c r="FL122"/>
  <c r="FM122"/>
  <c r="FN122"/>
  <c r="FO122"/>
  <c r="FP122"/>
  <c r="FQ122"/>
  <c r="FR122"/>
  <c r="FS122"/>
  <c r="FT122"/>
  <c r="FU122"/>
  <c r="FV122"/>
  <c r="FW122"/>
  <c r="FX122"/>
  <c r="FY122"/>
  <c r="FZ122"/>
  <c r="GA122"/>
  <c r="GB122"/>
  <c r="GC122"/>
  <c r="GD122"/>
  <c r="GE122"/>
  <c r="GF122"/>
  <c r="GG122"/>
  <c r="GH122"/>
  <c r="GI122"/>
  <c r="GJ122"/>
  <c r="GK122"/>
  <c r="GL122"/>
  <c r="GM122"/>
  <c r="GN122"/>
  <c r="GO122"/>
  <c r="GP122"/>
  <c r="GQ122"/>
  <c r="GR122"/>
  <c r="GS122"/>
  <c r="GT122"/>
  <c r="GU122"/>
  <c r="GV122"/>
  <c r="GW122"/>
  <c r="GX122"/>
  <c r="GY122"/>
  <c r="GZ122"/>
  <c r="HA122"/>
  <c r="HB122"/>
  <c r="HC122"/>
  <c r="HD122"/>
  <c r="HE122"/>
  <c r="HF122"/>
  <c r="HG122"/>
  <c r="HH122"/>
  <c r="HI122"/>
  <c r="HJ122"/>
  <c r="HK122"/>
  <c r="HL122"/>
  <c r="HM122"/>
  <c r="HN122"/>
  <c r="HO122"/>
  <c r="HP122"/>
  <c r="HQ122"/>
  <c r="HR122"/>
  <c r="HS122"/>
  <c r="HT122"/>
  <c r="HU122"/>
  <c r="HV122"/>
  <c r="HW122"/>
  <c r="HX122"/>
  <c r="HY122"/>
  <c r="HZ122"/>
  <c r="IA122"/>
  <c r="IB122"/>
  <c r="IC122"/>
  <c r="ID122"/>
  <c r="IE122"/>
  <c r="IF122"/>
  <c r="IG122"/>
  <c r="IH122"/>
  <c r="II122"/>
  <c r="IJ122"/>
  <c r="IK122"/>
  <c r="IL122"/>
  <c r="IM122"/>
  <c r="IN122"/>
  <c r="IO122"/>
  <c r="IP122"/>
  <c r="IQ122"/>
  <c r="IR122"/>
  <c r="IS122"/>
  <c r="IT122"/>
  <c r="IU122"/>
  <c r="IV122"/>
  <c r="A121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CE121"/>
  <c r="CF121"/>
  <c r="CG121"/>
  <c r="CH121"/>
  <c r="CI121"/>
  <c r="CJ121"/>
  <c r="CK121"/>
  <c r="CL121"/>
  <c r="CM121"/>
  <c r="CN121"/>
  <c r="CO121"/>
  <c r="CP121"/>
  <c r="CQ121"/>
  <c r="CR121"/>
  <c r="CS121"/>
  <c r="CT121"/>
  <c r="CU121"/>
  <c r="CV121"/>
  <c r="CW121"/>
  <c r="CX121"/>
  <c r="CY121"/>
  <c r="CZ121"/>
  <c r="DA121"/>
  <c r="DB121"/>
  <c r="DC121"/>
  <c r="DD121"/>
  <c r="DE121"/>
  <c r="DF121"/>
  <c r="DG121"/>
  <c r="DH121"/>
  <c r="DI121"/>
  <c r="DJ121"/>
  <c r="DK121"/>
  <c r="DL121"/>
  <c r="DM121"/>
  <c r="DN121"/>
  <c r="DO121"/>
  <c r="DP121"/>
  <c r="DQ121"/>
  <c r="DR121"/>
  <c r="DS121"/>
  <c r="DT121"/>
  <c r="DU121"/>
  <c r="DV121"/>
  <c r="DW121"/>
  <c r="DX121"/>
  <c r="DY121"/>
  <c r="DZ121"/>
  <c r="EA121"/>
  <c r="EB121"/>
  <c r="EC121"/>
  <c r="ED121"/>
  <c r="EE121"/>
  <c r="EF121"/>
  <c r="EG121"/>
  <c r="EH121"/>
  <c r="EI121"/>
  <c r="EJ121"/>
  <c r="EK121"/>
  <c r="EL121"/>
  <c r="EM121"/>
  <c r="EN121"/>
  <c r="EO121"/>
  <c r="EP121"/>
  <c r="EQ121"/>
  <c r="ER121"/>
  <c r="ES121"/>
  <c r="ET121"/>
  <c r="EU121"/>
  <c r="EV121"/>
  <c r="EW121"/>
  <c r="EX121"/>
  <c r="EY121"/>
  <c r="EZ121"/>
  <c r="FA121"/>
  <c r="FB121"/>
  <c r="FC121"/>
  <c r="FD121"/>
  <c r="FE121"/>
  <c r="FF121"/>
  <c r="FG121"/>
  <c r="FH121"/>
  <c r="FI121"/>
  <c r="FJ121"/>
  <c r="FK121"/>
  <c r="FL121"/>
  <c r="FM121"/>
  <c r="FN121"/>
  <c r="FO121"/>
  <c r="FP121"/>
  <c r="FQ121"/>
  <c r="FR121"/>
  <c r="FS121"/>
  <c r="FT121"/>
  <c r="FU121"/>
  <c r="FV121"/>
  <c r="FW121"/>
  <c r="FX121"/>
  <c r="FY121"/>
  <c r="FZ121"/>
  <c r="GA121"/>
  <c r="GB121"/>
  <c r="GC121"/>
  <c r="GD121"/>
  <c r="GE121"/>
  <c r="GF121"/>
  <c r="GG121"/>
  <c r="GH121"/>
  <c r="GI121"/>
  <c r="GJ121"/>
  <c r="GK121"/>
  <c r="GL121"/>
  <c r="GM121"/>
  <c r="GN121"/>
  <c r="GO121"/>
  <c r="GP121"/>
  <c r="GQ121"/>
  <c r="GR121"/>
  <c r="GS121"/>
  <c r="GT121"/>
  <c r="GU121"/>
  <c r="GV121"/>
  <c r="GW121"/>
  <c r="GX121"/>
  <c r="GY121"/>
  <c r="GZ121"/>
  <c r="HA121"/>
  <c r="HB121"/>
  <c r="HC121"/>
  <c r="HD121"/>
  <c r="HE121"/>
  <c r="HF121"/>
  <c r="HG121"/>
  <c r="HH121"/>
  <c r="HI121"/>
  <c r="HJ121"/>
  <c r="HK121"/>
  <c r="HL121"/>
  <c r="HM121"/>
  <c r="HN121"/>
  <c r="HO121"/>
  <c r="HP121"/>
  <c r="HQ121"/>
  <c r="HR121"/>
  <c r="HS121"/>
  <c r="HT121"/>
  <c r="HU121"/>
  <c r="HV121"/>
  <c r="HW121"/>
  <c r="HX121"/>
  <c r="HY121"/>
  <c r="HZ121"/>
  <c r="IA121"/>
  <c r="IB121"/>
  <c r="IC121"/>
  <c r="ID121"/>
  <c r="IE121"/>
  <c r="IF121"/>
  <c r="IG121"/>
  <c r="IH121"/>
  <c r="II121"/>
  <c r="IJ121"/>
  <c r="IK121"/>
  <c r="IL121"/>
  <c r="IM121"/>
  <c r="IN121"/>
  <c r="IO121"/>
  <c r="IP121"/>
  <c r="IQ121"/>
  <c r="IR121"/>
  <c r="IS121"/>
  <c r="IT121"/>
  <c r="IU121"/>
  <c r="IV121"/>
  <c r="A120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CE120"/>
  <c r="CF120"/>
  <c r="CG120"/>
  <c r="CH120"/>
  <c r="CI120"/>
  <c r="CJ120"/>
  <c r="CK120"/>
  <c r="CL120"/>
  <c r="CM120"/>
  <c r="CN120"/>
  <c r="CO120"/>
  <c r="CP120"/>
  <c r="CQ120"/>
  <c r="CR120"/>
  <c r="CS120"/>
  <c r="CT120"/>
  <c r="CU120"/>
  <c r="CV120"/>
  <c r="CW120"/>
  <c r="CX120"/>
  <c r="CY120"/>
  <c r="CZ120"/>
  <c r="DA120"/>
  <c r="DB120"/>
  <c r="DC120"/>
  <c r="DD120"/>
  <c r="DE120"/>
  <c r="DF120"/>
  <c r="DG120"/>
  <c r="DH120"/>
  <c r="DI120"/>
  <c r="DJ120"/>
  <c r="DK120"/>
  <c r="DL120"/>
  <c r="DM120"/>
  <c r="DN120"/>
  <c r="DO120"/>
  <c r="DP120"/>
  <c r="DQ120"/>
  <c r="DR120"/>
  <c r="DS120"/>
  <c r="DT120"/>
  <c r="DU120"/>
  <c r="DV120"/>
  <c r="DW120"/>
  <c r="DX120"/>
  <c r="DY120"/>
  <c r="DZ120"/>
  <c r="EA120"/>
  <c r="EB120"/>
  <c r="EC120"/>
  <c r="ED120"/>
  <c r="EE120"/>
  <c r="EF120"/>
  <c r="EG120"/>
  <c r="EH120"/>
  <c r="EI120"/>
  <c r="EJ120"/>
  <c r="EK120"/>
  <c r="EL120"/>
  <c r="EM120"/>
  <c r="EN120"/>
  <c r="EO120"/>
  <c r="EP120"/>
  <c r="EQ120"/>
  <c r="ER120"/>
  <c r="ES120"/>
  <c r="ET120"/>
  <c r="EU120"/>
  <c r="EV120"/>
  <c r="EW120"/>
  <c r="EX120"/>
  <c r="EY120"/>
  <c r="EZ120"/>
  <c r="FA120"/>
  <c r="FB120"/>
  <c r="FC120"/>
  <c r="FD120"/>
  <c r="FE120"/>
  <c r="FF120"/>
  <c r="FG120"/>
  <c r="FH120"/>
  <c r="FI120"/>
  <c r="FJ120"/>
  <c r="FK120"/>
  <c r="FL120"/>
  <c r="FM120"/>
  <c r="FN120"/>
  <c r="FO120"/>
  <c r="FP120"/>
  <c r="FQ120"/>
  <c r="FR120"/>
  <c r="FS120"/>
  <c r="FT120"/>
  <c r="FU120"/>
  <c r="FV120"/>
  <c r="FW120"/>
  <c r="FX120"/>
  <c r="FY120"/>
  <c r="FZ120"/>
  <c r="GA120"/>
  <c r="GB120"/>
  <c r="GC120"/>
  <c r="GD120"/>
  <c r="GE120"/>
  <c r="GF120"/>
  <c r="GG120"/>
  <c r="GH120"/>
  <c r="GI120"/>
  <c r="GJ120"/>
  <c r="GK120"/>
  <c r="GL120"/>
  <c r="GM120"/>
  <c r="GN120"/>
  <c r="GO120"/>
  <c r="GP120"/>
  <c r="GQ120"/>
  <c r="GR120"/>
  <c r="GS120"/>
  <c r="GT120"/>
  <c r="GU120"/>
  <c r="GV120"/>
  <c r="GW120"/>
  <c r="GX120"/>
  <c r="GY120"/>
  <c r="GZ120"/>
  <c r="HA120"/>
  <c r="HB120"/>
  <c r="HC120"/>
  <c r="HD120"/>
  <c r="HE120"/>
  <c r="HF120"/>
  <c r="HG120"/>
  <c r="HH120"/>
  <c r="HI120"/>
  <c r="HJ120"/>
  <c r="HK120"/>
  <c r="HL120"/>
  <c r="HM120"/>
  <c r="HN120"/>
  <c r="HO120"/>
  <c r="HP120"/>
  <c r="HQ120"/>
  <c r="HR120"/>
  <c r="HS120"/>
  <c r="HT120"/>
  <c r="HU120"/>
  <c r="HV120"/>
  <c r="HW120"/>
  <c r="HX120"/>
  <c r="HY120"/>
  <c r="HZ120"/>
  <c r="IA120"/>
  <c r="IB120"/>
  <c r="IC120"/>
  <c r="ID120"/>
  <c r="IE120"/>
  <c r="IF120"/>
  <c r="IG120"/>
  <c r="IH120"/>
  <c r="II120"/>
  <c r="IJ120"/>
  <c r="IK120"/>
  <c r="IL120"/>
  <c r="IM120"/>
  <c r="IN120"/>
  <c r="IO120"/>
  <c r="IP120"/>
  <c r="IQ120"/>
  <c r="IR120"/>
  <c r="IS120"/>
  <c r="IT120"/>
  <c r="IU120"/>
  <c r="IV120"/>
  <c r="A119"/>
  <c r="B119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Y119"/>
  <c r="AZ119"/>
  <c r="BA119"/>
  <c r="BB119"/>
  <c r="BC119"/>
  <c r="BD119"/>
  <c r="BE119"/>
  <c r="BF119"/>
  <c r="BG119"/>
  <c r="BH119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CB119"/>
  <c r="CC119"/>
  <c r="CD119"/>
  <c r="CE119"/>
  <c r="CF119"/>
  <c r="CG119"/>
  <c r="CH119"/>
  <c r="CI119"/>
  <c r="CJ119"/>
  <c r="CK119"/>
  <c r="CL119"/>
  <c r="CM119"/>
  <c r="CN119"/>
  <c r="CO119"/>
  <c r="CP119"/>
  <c r="CQ119"/>
  <c r="CR119"/>
  <c r="CS119"/>
  <c r="CT119"/>
  <c r="CU119"/>
  <c r="CV119"/>
  <c r="CW119"/>
  <c r="CX119"/>
  <c r="CY119"/>
  <c r="CZ119"/>
  <c r="DA119"/>
  <c r="DB119"/>
  <c r="DC119"/>
  <c r="DD119"/>
  <c r="DE119"/>
  <c r="DF119"/>
  <c r="DG119"/>
  <c r="DH119"/>
  <c r="DI119"/>
  <c r="DJ119"/>
  <c r="DK119"/>
  <c r="DL119"/>
  <c r="DM119"/>
  <c r="DN119"/>
  <c r="DO119"/>
  <c r="DP119"/>
  <c r="DQ119"/>
  <c r="DR119"/>
  <c r="DS119"/>
  <c r="DT119"/>
  <c r="DU119"/>
  <c r="DV119"/>
  <c r="DW119"/>
  <c r="DX119"/>
  <c r="DY119"/>
  <c r="DZ119"/>
  <c r="EA119"/>
  <c r="EB119"/>
  <c r="EC119"/>
  <c r="ED119"/>
  <c r="EE119"/>
  <c r="EF119"/>
  <c r="EG119"/>
  <c r="EH119"/>
  <c r="EI119"/>
  <c r="EJ119"/>
  <c r="EK119"/>
  <c r="EL119"/>
  <c r="EM119"/>
  <c r="EN119"/>
  <c r="EO119"/>
  <c r="EP119"/>
  <c r="EQ119"/>
  <c r="ER119"/>
  <c r="ES119"/>
  <c r="ET119"/>
  <c r="EU119"/>
  <c r="EV119"/>
  <c r="EW119"/>
  <c r="EX119"/>
  <c r="EY119"/>
  <c r="EZ119"/>
  <c r="FA119"/>
  <c r="FB119"/>
  <c r="FC119"/>
  <c r="FD119"/>
  <c r="FE119"/>
  <c r="FF119"/>
  <c r="FG119"/>
  <c r="FH119"/>
  <c r="FI119"/>
  <c r="FJ119"/>
  <c r="FK119"/>
  <c r="FL119"/>
  <c r="FM119"/>
  <c r="FN119"/>
  <c r="FO119"/>
  <c r="FP119"/>
  <c r="FQ119"/>
  <c r="FR119"/>
  <c r="FS119"/>
  <c r="FT119"/>
  <c r="FU119"/>
  <c r="FV119"/>
  <c r="FW119"/>
  <c r="FX119"/>
  <c r="FY119"/>
  <c r="FZ119"/>
  <c r="GA119"/>
  <c r="GB119"/>
  <c r="GC119"/>
  <c r="GD119"/>
  <c r="GE119"/>
  <c r="GF119"/>
  <c r="GG119"/>
  <c r="GH119"/>
  <c r="GI119"/>
  <c r="GJ119"/>
  <c r="GK119"/>
  <c r="GL119"/>
  <c r="GM119"/>
  <c r="GN119"/>
  <c r="GO119"/>
  <c r="GP119"/>
  <c r="GQ119"/>
  <c r="GR119"/>
  <c r="GS119"/>
  <c r="GT119"/>
  <c r="GU119"/>
  <c r="GV119"/>
  <c r="GW119"/>
  <c r="GX119"/>
  <c r="GY119"/>
  <c r="GZ119"/>
  <c r="HA119"/>
  <c r="HB119"/>
  <c r="HC119"/>
  <c r="HD119"/>
  <c r="HE119"/>
  <c r="HF119"/>
  <c r="HG119"/>
  <c r="HH119"/>
  <c r="HI119"/>
  <c r="HJ119"/>
  <c r="HK119"/>
  <c r="HL119"/>
  <c r="HM119"/>
  <c r="HN119"/>
  <c r="HO119"/>
  <c r="HP119"/>
  <c r="HQ119"/>
  <c r="HR119"/>
  <c r="HS119"/>
  <c r="HT119"/>
  <c r="HU119"/>
  <c r="HV119"/>
  <c r="HW119"/>
  <c r="HX119"/>
  <c r="HY119"/>
  <c r="HZ119"/>
  <c r="IA119"/>
  <c r="IB119"/>
  <c r="IC119"/>
  <c r="ID119"/>
  <c r="IE119"/>
  <c r="IF119"/>
  <c r="IG119"/>
  <c r="IH119"/>
  <c r="II119"/>
  <c r="IJ119"/>
  <c r="IK119"/>
  <c r="IL119"/>
  <c r="IM119"/>
  <c r="IN119"/>
  <c r="IO119"/>
  <c r="IP119"/>
  <c r="IQ119"/>
  <c r="IR119"/>
  <c r="IS119"/>
  <c r="IT119"/>
  <c r="IU119"/>
  <c r="IV119"/>
  <c r="A118"/>
  <c r="B118"/>
  <c r="C118"/>
  <c r="D118"/>
  <c r="E118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Y118"/>
  <c r="AZ118"/>
  <c r="BA118"/>
  <c r="BB118"/>
  <c r="BC118"/>
  <c r="BD118"/>
  <c r="BE118"/>
  <c r="BF118"/>
  <c r="BG118"/>
  <c r="BH118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CB118"/>
  <c r="CC118"/>
  <c r="CD118"/>
  <c r="CE118"/>
  <c r="CF118"/>
  <c r="CG118"/>
  <c r="CH118"/>
  <c r="CI118"/>
  <c r="CJ118"/>
  <c r="CK118"/>
  <c r="CL118"/>
  <c r="CM118"/>
  <c r="CN118"/>
  <c r="CO118"/>
  <c r="CP118"/>
  <c r="CQ118"/>
  <c r="CR118"/>
  <c r="CS118"/>
  <c r="CT118"/>
  <c r="CU118"/>
  <c r="CV118"/>
  <c r="CW118"/>
  <c r="CX118"/>
  <c r="CY118"/>
  <c r="CZ118"/>
  <c r="DA118"/>
  <c r="DB118"/>
  <c r="DC118"/>
  <c r="DD118"/>
  <c r="DE118"/>
  <c r="DF118"/>
  <c r="DG118"/>
  <c r="DH118"/>
  <c r="DI118"/>
  <c r="DJ118"/>
  <c r="DK118"/>
  <c r="DL118"/>
  <c r="DM118"/>
  <c r="DN118"/>
  <c r="DO118"/>
  <c r="DP118"/>
  <c r="DQ118"/>
  <c r="DR118"/>
  <c r="DS118"/>
  <c r="DT118"/>
  <c r="DU118"/>
  <c r="DV118"/>
  <c r="DW118"/>
  <c r="DX118"/>
  <c r="DY118"/>
  <c r="DZ118"/>
  <c r="EA118"/>
  <c r="EB118"/>
  <c r="EC118"/>
  <c r="ED118"/>
  <c r="EE118"/>
  <c r="EF118"/>
  <c r="EG118"/>
  <c r="EH118"/>
  <c r="EI118"/>
  <c r="EJ118"/>
  <c r="EK118"/>
  <c r="EL118"/>
  <c r="EM118"/>
  <c r="EN118"/>
  <c r="EO118"/>
  <c r="EP118"/>
  <c r="EQ118"/>
  <c r="ER118"/>
  <c r="ES118"/>
  <c r="ET118"/>
  <c r="EU118"/>
  <c r="EV118"/>
  <c r="EW118"/>
  <c r="EX118"/>
  <c r="EY118"/>
  <c r="EZ118"/>
  <c r="FA118"/>
  <c r="FB118"/>
  <c r="FC118"/>
  <c r="FD118"/>
  <c r="FE118"/>
  <c r="FF118"/>
  <c r="FG118"/>
  <c r="FH118"/>
  <c r="FI118"/>
  <c r="FJ118"/>
  <c r="FK118"/>
  <c r="FL118"/>
  <c r="FM118"/>
  <c r="FN118"/>
  <c r="FO118"/>
  <c r="FP118"/>
  <c r="FQ118"/>
  <c r="FR118"/>
  <c r="FS118"/>
  <c r="FT118"/>
  <c r="FU118"/>
  <c r="FV118"/>
  <c r="FW118"/>
  <c r="FX118"/>
  <c r="FY118"/>
  <c r="FZ118"/>
  <c r="GA118"/>
  <c r="GB118"/>
  <c r="GC118"/>
  <c r="GD118"/>
  <c r="GE118"/>
  <c r="GF118"/>
  <c r="GG118"/>
  <c r="GH118"/>
  <c r="GI118"/>
  <c r="GJ118"/>
  <c r="GK118"/>
  <c r="GL118"/>
  <c r="GM118"/>
  <c r="GN118"/>
  <c r="GO118"/>
  <c r="GP118"/>
  <c r="GQ118"/>
  <c r="GR118"/>
  <c r="GS118"/>
  <c r="GT118"/>
  <c r="GU118"/>
  <c r="GV118"/>
  <c r="GW118"/>
  <c r="GX118"/>
  <c r="GY118"/>
  <c r="GZ118"/>
  <c r="HA118"/>
  <c r="HB118"/>
  <c r="HC118"/>
  <c r="HD118"/>
  <c r="HE118"/>
  <c r="HF118"/>
  <c r="HG118"/>
  <c r="HH118"/>
  <c r="HI118"/>
  <c r="HJ118"/>
  <c r="HK118"/>
  <c r="HL118"/>
  <c r="HM118"/>
  <c r="HN118"/>
  <c r="HO118"/>
  <c r="HP118"/>
  <c r="HQ118"/>
  <c r="HR118"/>
  <c r="HS118"/>
  <c r="HT118"/>
  <c r="HU118"/>
  <c r="HV118"/>
  <c r="HW118"/>
  <c r="HX118"/>
  <c r="HY118"/>
  <c r="HZ118"/>
  <c r="IA118"/>
  <c r="IB118"/>
  <c r="IC118"/>
  <c r="ID118"/>
  <c r="IE118"/>
  <c r="IF118"/>
  <c r="IG118"/>
  <c r="IH118"/>
  <c r="II118"/>
  <c r="IJ118"/>
  <c r="IK118"/>
  <c r="IL118"/>
  <c r="IM118"/>
  <c r="IN118"/>
  <c r="IO118"/>
  <c r="IP118"/>
  <c r="IQ118"/>
  <c r="IR118"/>
  <c r="IS118"/>
  <c r="IT118"/>
  <c r="IU118"/>
  <c r="IV118"/>
  <c r="A117"/>
  <c r="B117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Y117"/>
  <c r="AZ117"/>
  <c r="BA117"/>
  <c r="BB117"/>
  <c r="BC117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CE117"/>
  <c r="CF117"/>
  <c r="CG117"/>
  <c r="CH117"/>
  <c r="CI117"/>
  <c r="CJ117"/>
  <c r="CK117"/>
  <c r="CL117"/>
  <c r="CM117"/>
  <c r="CN117"/>
  <c r="CO117"/>
  <c r="CP117"/>
  <c r="CQ117"/>
  <c r="CR117"/>
  <c r="CS117"/>
  <c r="CT117"/>
  <c r="CU117"/>
  <c r="CV117"/>
  <c r="CW117"/>
  <c r="CX117"/>
  <c r="CY117"/>
  <c r="CZ117"/>
  <c r="DA117"/>
  <c r="DB117"/>
  <c r="DC117"/>
  <c r="DD117"/>
  <c r="DE117"/>
  <c r="DF117"/>
  <c r="DG117"/>
  <c r="DH117"/>
  <c r="DI117"/>
  <c r="DJ117"/>
  <c r="DK117"/>
  <c r="DL117"/>
  <c r="DM117"/>
  <c r="DN117"/>
  <c r="DO117"/>
  <c r="DP117"/>
  <c r="DQ117"/>
  <c r="DR117"/>
  <c r="DS117"/>
  <c r="DT117"/>
  <c r="DU117"/>
  <c r="DV117"/>
  <c r="DW117"/>
  <c r="DX117"/>
  <c r="DY117"/>
  <c r="DZ117"/>
  <c r="EA117"/>
  <c r="EB117"/>
  <c r="EC117"/>
  <c r="ED117"/>
  <c r="EE117"/>
  <c r="EF117"/>
  <c r="EG117"/>
  <c r="EH117"/>
  <c r="EI117"/>
  <c r="EJ117"/>
  <c r="EK117"/>
  <c r="EL117"/>
  <c r="EM117"/>
  <c r="EN117"/>
  <c r="EO117"/>
  <c r="EP117"/>
  <c r="EQ117"/>
  <c r="ER117"/>
  <c r="ES117"/>
  <c r="ET117"/>
  <c r="EU117"/>
  <c r="EV117"/>
  <c r="EW117"/>
  <c r="EX117"/>
  <c r="EY117"/>
  <c r="EZ117"/>
  <c r="FA117"/>
  <c r="FB117"/>
  <c r="FC117"/>
  <c r="FD117"/>
  <c r="FE117"/>
  <c r="FF117"/>
  <c r="FG117"/>
  <c r="FH117"/>
  <c r="FI117"/>
  <c r="FJ117"/>
  <c r="FK117"/>
  <c r="FL117"/>
  <c r="FM117"/>
  <c r="FN117"/>
  <c r="FO117"/>
  <c r="FP117"/>
  <c r="FQ117"/>
  <c r="FR117"/>
  <c r="FS117"/>
  <c r="FT117"/>
  <c r="FU117"/>
  <c r="FV117"/>
  <c r="FW117"/>
  <c r="FX117"/>
  <c r="FY117"/>
  <c r="FZ117"/>
  <c r="GA117"/>
  <c r="GB117"/>
  <c r="GC117"/>
  <c r="GD117"/>
  <c r="GE117"/>
  <c r="GF117"/>
  <c r="GG117"/>
  <c r="GH117"/>
  <c r="GI117"/>
  <c r="GJ117"/>
  <c r="GK117"/>
  <c r="GL117"/>
  <c r="GM117"/>
  <c r="GN117"/>
  <c r="GO117"/>
  <c r="GP117"/>
  <c r="GQ117"/>
  <c r="GR117"/>
  <c r="GS117"/>
  <c r="GT117"/>
  <c r="GU117"/>
  <c r="GV117"/>
  <c r="GW117"/>
  <c r="GX117"/>
  <c r="GY117"/>
  <c r="GZ117"/>
  <c r="HA117"/>
  <c r="HB117"/>
  <c r="HC117"/>
  <c r="HD117"/>
  <c r="HE117"/>
  <c r="HF117"/>
  <c r="HG117"/>
  <c r="HH117"/>
  <c r="HI117"/>
  <c r="HJ117"/>
  <c r="HK117"/>
  <c r="HL117"/>
  <c r="HM117"/>
  <c r="HN117"/>
  <c r="HO117"/>
  <c r="HP117"/>
  <c r="HQ117"/>
  <c r="HR117"/>
  <c r="HS117"/>
  <c r="HT117"/>
  <c r="HU117"/>
  <c r="HV117"/>
  <c r="HW117"/>
  <c r="HX117"/>
  <c r="HY117"/>
  <c r="HZ117"/>
  <c r="IA117"/>
  <c r="IB117"/>
  <c r="IC117"/>
  <c r="ID117"/>
  <c r="IE117"/>
  <c r="IF117"/>
  <c r="IG117"/>
  <c r="IH117"/>
  <c r="II117"/>
  <c r="IJ117"/>
  <c r="IK117"/>
  <c r="IL117"/>
  <c r="IM117"/>
  <c r="IN117"/>
  <c r="IO117"/>
  <c r="IP117"/>
  <c r="IQ117"/>
  <c r="IR117"/>
  <c r="IS117"/>
  <c r="IT117"/>
  <c r="IU117"/>
  <c r="IV117"/>
  <c r="A116"/>
  <c r="B116"/>
  <c r="C116"/>
  <c r="D116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G116"/>
  <c r="BH116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CB116"/>
  <c r="CC116"/>
  <c r="CD116"/>
  <c r="CE116"/>
  <c r="CF116"/>
  <c r="CG116"/>
  <c r="CH116"/>
  <c r="CI116"/>
  <c r="CJ116"/>
  <c r="CK116"/>
  <c r="CL116"/>
  <c r="CM116"/>
  <c r="CN116"/>
  <c r="CO116"/>
  <c r="CP116"/>
  <c r="CQ116"/>
  <c r="CR116"/>
  <c r="CS116"/>
  <c r="CT116"/>
  <c r="CU116"/>
  <c r="CV116"/>
  <c r="CW116"/>
  <c r="CX116"/>
  <c r="CY116"/>
  <c r="CZ116"/>
  <c r="DA116"/>
  <c r="DB116"/>
  <c r="DC116"/>
  <c r="DD116"/>
  <c r="DE116"/>
  <c r="DF116"/>
  <c r="DG116"/>
  <c r="DH116"/>
  <c r="DI116"/>
  <c r="DJ116"/>
  <c r="DK116"/>
  <c r="DL116"/>
  <c r="DM116"/>
  <c r="DN116"/>
  <c r="DO116"/>
  <c r="DP116"/>
  <c r="DQ116"/>
  <c r="DR116"/>
  <c r="DS116"/>
  <c r="DT116"/>
  <c r="DU116"/>
  <c r="DV116"/>
  <c r="DW116"/>
  <c r="DX116"/>
  <c r="DY116"/>
  <c r="DZ116"/>
  <c r="EA116"/>
  <c r="EB116"/>
  <c r="EC116"/>
  <c r="ED116"/>
  <c r="EE116"/>
  <c r="EF116"/>
  <c r="EG116"/>
  <c r="EH116"/>
  <c r="EI116"/>
  <c r="EJ116"/>
  <c r="EK116"/>
  <c r="EL116"/>
  <c r="EM116"/>
  <c r="EN116"/>
  <c r="EO116"/>
  <c r="EP116"/>
  <c r="EQ116"/>
  <c r="ER116"/>
  <c r="ES116"/>
  <c r="ET116"/>
  <c r="EU116"/>
  <c r="EV116"/>
  <c r="EW116"/>
  <c r="EX116"/>
  <c r="EY116"/>
  <c r="EZ116"/>
  <c r="FA116"/>
  <c r="FB116"/>
  <c r="FC116"/>
  <c r="FD116"/>
  <c r="FE116"/>
  <c r="FF116"/>
  <c r="FG116"/>
  <c r="FH116"/>
  <c r="FI116"/>
  <c r="FJ116"/>
  <c r="FK116"/>
  <c r="FL116"/>
  <c r="FM116"/>
  <c r="FN116"/>
  <c r="FO116"/>
  <c r="FP116"/>
  <c r="FQ116"/>
  <c r="FR116"/>
  <c r="FS116"/>
  <c r="FT116"/>
  <c r="FU116"/>
  <c r="FV116"/>
  <c r="FW116"/>
  <c r="FX116"/>
  <c r="FY116"/>
  <c r="FZ116"/>
  <c r="GA116"/>
  <c r="GB116"/>
  <c r="GC116"/>
  <c r="GD116"/>
  <c r="GE116"/>
  <c r="GF116"/>
  <c r="GG116"/>
  <c r="GH116"/>
  <c r="GI116"/>
  <c r="GJ116"/>
  <c r="GK116"/>
  <c r="GL116"/>
  <c r="GM116"/>
  <c r="GN116"/>
  <c r="GO116"/>
  <c r="GP116"/>
  <c r="GQ116"/>
  <c r="GR116"/>
  <c r="GS116"/>
  <c r="GT116"/>
  <c r="GU116"/>
  <c r="GV116"/>
  <c r="GW116"/>
  <c r="GX116"/>
  <c r="GY116"/>
  <c r="GZ116"/>
  <c r="HA116"/>
  <c r="HB116"/>
  <c r="HC116"/>
  <c r="HD116"/>
  <c r="HE116"/>
  <c r="HF116"/>
  <c r="HG116"/>
  <c r="HH116"/>
  <c r="HI116"/>
  <c r="HJ116"/>
  <c r="HK116"/>
  <c r="HL116"/>
  <c r="HM116"/>
  <c r="HN116"/>
  <c r="HO116"/>
  <c r="HP116"/>
  <c r="HQ116"/>
  <c r="HR116"/>
  <c r="HS116"/>
  <c r="HT116"/>
  <c r="HU116"/>
  <c r="HV116"/>
  <c r="HW116"/>
  <c r="HX116"/>
  <c r="HY116"/>
  <c r="HZ116"/>
  <c r="IA116"/>
  <c r="IB116"/>
  <c r="IC116"/>
  <c r="ID116"/>
  <c r="IE116"/>
  <c r="IF116"/>
  <c r="IG116"/>
  <c r="IH116"/>
  <c r="II116"/>
  <c r="IJ116"/>
  <c r="IK116"/>
  <c r="IL116"/>
  <c r="IM116"/>
  <c r="IN116"/>
  <c r="IO116"/>
  <c r="IP116"/>
  <c r="IQ116"/>
  <c r="IR116"/>
  <c r="IS116"/>
  <c r="IT116"/>
  <c r="IU116"/>
  <c r="IV116"/>
  <c r="A115"/>
  <c r="B115"/>
  <c r="C115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CE115"/>
  <c r="CF115"/>
  <c r="CG115"/>
  <c r="CH115"/>
  <c r="CI115"/>
  <c r="CJ115"/>
  <c r="CK115"/>
  <c r="CL115"/>
  <c r="CM115"/>
  <c r="CN115"/>
  <c r="CO115"/>
  <c r="CP115"/>
  <c r="CQ115"/>
  <c r="CR115"/>
  <c r="CS115"/>
  <c r="CT115"/>
  <c r="CU115"/>
  <c r="CV115"/>
  <c r="CW115"/>
  <c r="CX115"/>
  <c r="CY115"/>
  <c r="CZ115"/>
  <c r="DA115"/>
  <c r="DB115"/>
  <c r="DC115"/>
  <c r="DD115"/>
  <c r="DE115"/>
  <c r="DF115"/>
  <c r="DG115"/>
  <c r="DH115"/>
  <c r="DI115"/>
  <c r="DJ115"/>
  <c r="DK115"/>
  <c r="DL115"/>
  <c r="DM115"/>
  <c r="DN115"/>
  <c r="DO115"/>
  <c r="DP115"/>
  <c r="DQ115"/>
  <c r="DR115"/>
  <c r="DS115"/>
  <c r="DT115"/>
  <c r="DU115"/>
  <c r="DV115"/>
  <c r="DW115"/>
  <c r="DX115"/>
  <c r="DY115"/>
  <c r="DZ115"/>
  <c r="EA115"/>
  <c r="EB115"/>
  <c r="EC115"/>
  <c r="ED115"/>
  <c r="EE115"/>
  <c r="EF115"/>
  <c r="EG115"/>
  <c r="EH115"/>
  <c r="EI115"/>
  <c r="EJ115"/>
  <c r="EK115"/>
  <c r="EL115"/>
  <c r="EM115"/>
  <c r="EN115"/>
  <c r="EO115"/>
  <c r="EP115"/>
  <c r="EQ115"/>
  <c r="ER115"/>
  <c r="ES115"/>
  <c r="ET115"/>
  <c r="EU115"/>
  <c r="EV115"/>
  <c r="EW115"/>
  <c r="EX115"/>
  <c r="EY115"/>
  <c r="EZ115"/>
  <c r="FA115"/>
  <c r="FB115"/>
  <c r="FC115"/>
  <c r="FD115"/>
  <c r="FE115"/>
  <c r="FF115"/>
  <c r="FG115"/>
  <c r="FH115"/>
  <c r="FI115"/>
  <c r="FJ115"/>
  <c r="FK115"/>
  <c r="FL115"/>
  <c r="FM115"/>
  <c r="FN115"/>
  <c r="FO115"/>
  <c r="FP115"/>
  <c r="FQ115"/>
  <c r="FR115"/>
  <c r="FS115"/>
  <c r="FT115"/>
  <c r="FU115"/>
  <c r="FV115"/>
  <c r="FW115"/>
  <c r="FX115"/>
  <c r="FY115"/>
  <c r="FZ115"/>
  <c r="GA115"/>
  <c r="GB115"/>
  <c r="GC115"/>
  <c r="GD115"/>
  <c r="GE115"/>
  <c r="GF115"/>
  <c r="GG115"/>
  <c r="GH115"/>
  <c r="GI115"/>
  <c r="GJ115"/>
  <c r="GK115"/>
  <c r="GL115"/>
  <c r="GM115"/>
  <c r="GN115"/>
  <c r="GO115"/>
  <c r="GP115"/>
  <c r="GQ115"/>
  <c r="GR115"/>
  <c r="GS115"/>
  <c r="GT115"/>
  <c r="GU115"/>
  <c r="GV115"/>
  <c r="GW115"/>
  <c r="GX115"/>
  <c r="GY115"/>
  <c r="GZ115"/>
  <c r="HA115"/>
  <c r="HB115"/>
  <c r="HC115"/>
  <c r="HD115"/>
  <c r="HE115"/>
  <c r="HF115"/>
  <c r="HG115"/>
  <c r="HH115"/>
  <c r="HI115"/>
  <c r="HJ115"/>
  <c r="HK115"/>
  <c r="HL115"/>
  <c r="HM115"/>
  <c r="HN115"/>
  <c r="HO115"/>
  <c r="HP115"/>
  <c r="HQ115"/>
  <c r="HR115"/>
  <c r="HS115"/>
  <c r="HT115"/>
  <c r="HU115"/>
  <c r="HV115"/>
  <c r="HW115"/>
  <c r="HX115"/>
  <c r="HY115"/>
  <c r="HZ115"/>
  <c r="IA115"/>
  <c r="IB115"/>
  <c r="IC115"/>
  <c r="ID115"/>
  <c r="IE115"/>
  <c r="IF115"/>
  <c r="IG115"/>
  <c r="IH115"/>
  <c r="II115"/>
  <c r="IJ115"/>
  <c r="IK115"/>
  <c r="IL115"/>
  <c r="IM115"/>
  <c r="IN115"/>
  <c r="IO115"/>
  <c r="IP115"/>
  <c r="IQ115"/>
  <c r="IR115"/>
  <c r="IS115"/>
  <c r="IT115"/>
  <c r="IU115"/>
  <c r="IV115"/>
  <c r="A114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CE114"/>
  <c r="CF114"/>
  <c r="CG114"/>
  <c r="CH114"/>
  <c r="CI114"/>
  <c r="CJ114"/>
  <c r="CK114"/>
  <c r="CL114"/>
  <c r="CM114"/>
  <c r="CN114"/>
  <c r="CO114"/>
  <c r="CP114"/>
  <c r="CQ114"/>
  <c r="CR114"/>
  <c r="CS114"/>
  <c r="CT114"/>
  <c r="CU114"/>
  <c r="CV114"/>
  <c r="CW114"/>
  <c r="CX114"/>
  <c r="CY114"/>
  <c r="CZ114"/>
  <c r="DA114"/>
  <c r="DB114"/>
  <c r="DC114"/>
  <c r="DD114"/>
  <c r="DE114"/>
  <c r="DF114"/>
  <c r="DG114"/>
  <c r="DH114"/>
  <c r="DI114"/>
  <c r="DJ114"/>
  <c r="DK114"/>
  <c r="DL114"/>
  <c r="DM114"/>
  <c r="DN114"/>
  <c r="DO114"/>
  <c r="DP114"/>
  <c r="DQ114"/>
  <c r="DR114"/>
  <c r="DS114"/>
  <c r="DT114"/>
  <c r="DU114"/>
  <c r="DV114"/>
  <c r="DW114"/>
  <c r="DX114"/>
  <c r="DY114"/>
  <c r="DZ114"/>
  <c r="EA114"/>
  <c r="EB114"/>
  <c r="EC114"/>
  <c r="ED114"/>
  <c r="EE114"/>
  <c r="EF114"/>
  <c r="EG114"/>
  <c r="EH114"/>
  <c r="EI114"/>
  <c r="EJ114"/>
  <c r="EK114"/>
  <c r="EL114"/>
  <c r="EM114"/>
  <c r="EN114"/>
  <c r="EO114"/>
  <c r="EP114"/>
  <c r="EQ114"/>
  <c r="ER114"/>
  <c r="ES114"/>
  <c r="ET114"/>
  <c r="EU114"/>
  <c r="EV114"/>
  <c r="EW114"/>
  <c r="EX114"/>
  <c r="EY114"/>
  <c r="EZ114"/>
  <c r="FA114"/>
  <c r="FB114"/>
  <c r="FC114"/>
  <c r="FD114"/>
  <c r="FE114"/>
  <c r="FF114"/>
  <c r="FG114"/>
  <c r="FH114"/>
  <c r="FI114"/>
  <c r="FJ114"/>
  <c r="FK114"/>
  <c r="FL114"/>
  <c r="FM114"/>
  <c r="FN114"/>
  <c r="FO114"/>
  <c r="FP114"/>
  <c r="FQ114"/>
  <c r="FR114"/>
  <c r="FS114"/>
  <c r="FT114"/>
  <c r="FU114"/>
  <c r="FV114"/>
  <c r="FW114"/>
  <c r="FX114"/>
  <c r="FY114"/>
  <c r="FZ114"/>
  <c r="GA114"/>
  <c r="GB114"/>
  <c r="GC114"/>
  <c r="GD114"/>
  <c r="GE114"/>
  <c r="GF114"/>
  <c r="GG114"/>
  <c r="GH114"/>
  <c r="GI114"/>
  <c r="GJ114"/>
  <c r="GK114"/>
  <c r="GL114"/>
  <c r="GM114"/>
  <c r="GN114"/>
  <c r="GO114"/>
  <c r="GP114"/>
  <c r="GQ114"/>
  <c r="GR114"/>
  <c r="GS114"/>
  <c r="GT114"/>
  <c r="GU114"/>
  <c r="GV114"/>
  <c r="GW114"/>
  <c r="GX114"/>
  <c r="GY114"/>
  <c r="GZ114"/>
  <c r="HA114"/>
  <c r="HB114"/>
  <c r="HC114"/>
  <c r="HD114"/>
  <c r="HE114"/>
  <c r="HF114"/>
  <c r="HG114"/>
  <c r="HH114"/>
  <c r="HI114"/>
  <c r="HJ114"/>
  <c r="HK114"/>
  <c r="HL114"/>
  <c r="HM114"/>
  <c r="HN114"/>
  <c r="HO114"/>
  <c r="HP114"/>
  <c r="HQ114"/>
  <c r="HR114"/>
  <c r="HS114"/>
  <c r="HT114"/>
  <c r="HU114"/>
  <c r="HV114"/>
  <c r="HW114"/>
  <c r="HX114"/>
  <c r="HY114"/>
  <c r="HZ114"/>
  <c r="IA114"/>
  <c r="IB114"/>
  <c r="IC114"/>
  <c r="ID114"/>
  <c r="IE114"/>
  <c r="IF114"/>
  <c r="IG114"/>
  <c r="IH114"/>
  <c r="II114"/>
  <c r="IJ114"/>
  <c r="IK114"/>
  <c r="IL114"/>
  <c r="IM114"/>
  <c r="IN114"/>
  <c r="IO114"/>
  <c r="IP114"/>
  <c r="IQ114"/>
  <c r="IR114"/>
  <c r="IS114"/>
  <c r="IT114"/>
  <c r="IU114"/>
  <c r="IV114"/>
  <c r="A113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Y113"/>
  <c r="AZ113"/>
  <c r="BA113"/>
  <c r="BB113"/>
  <c r="BC113"/>
  <c r="BD113"/>
  <c r="BE113"/>
  <c r="BF113"/>
  <c r="BG113"/>
  <c r="BH113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CB113"/>
  <c r="CC113"/>
  <c r="CD113"/>
  <c r="CE113"/>
  <c r="CF113"/>
  <c r="CG113"/>
  <c r="CH113"/>
  <c r="CI113"/>
  <c r="CJ113"/>
  <c r="CK113"/>
  <c r="CL113"/>
  <c r="CM113"/>
  <c r="CN113"/>
  <c r="CO113"/>
  <c r="CP113"/>
  <c r="CQ113"/>
  <c r="CR113"/>
  <c r="CS113"/>
  <c r="CT113"/>
  <c r="CU113"/>
  <c r="CV113"/>
  <c r="CW113"/>
  <c r="CX113"/>
  <c r="CY113"/>
  <c r="CZ113"/>
  <c r="DA113"/>
  <c r="DB113"/>
  <c r="DC113"/>
  <c r="DD113"/>
  <c r="DE113"/>
  <c r="DF113"/>
  <c r="DG113"/>
  <c r="DH113"/>
  <c r="DI113"/>
  <c r="DJ113"/>
  <c r="DK113"/>
  <c r="DL113"/>
  <c r="DM113"/>
  <c r="DN113"/>
  <c r="DO113"/>
  <c r="DP113"/>
  <c r="DQ113"/>
  <c r="DR113"/>
  <c r="DS113"/>
  <c r="DT113"/>
  <c r="DU113"/>
  <c r="DV113"/>
  <c r="DW113"/>
  <c r="DX113"/>
  <c r="DY113"/>
  <c r="DZ113"/>
  <c r="EA113"/>
  <c r="EB113"/>
  <c r="EC113"/>
  <c r="ED113"/>
  <c r="EE113"/>
  <c r="EF113"/>
  <c r="EG113"/>
  <c r="EH113"/>
  <c r="EI113"/>
  <c r="EJ113"/>
  <c r="EK113"/>
  <c r="EL113"/>
  <c r="EM113"/>
  <c r="EN113"/>
  <c r="EO113"/>
  <c r="EP113"/>
  <c r="EQ113"/>
  <c r="ER113"/>
  <c r="ES113"/>
  <c r="ET113"/>
  <c r="EU113"/>
  <c r="EV113"/>
  <c r="EW113"/>
  <c r="EX113"/>
  <c r="EY113"/>
  <c r="EZ113"/>
  <c r="FA113"/>
  <c r="FB113"/>
  <c r="FC113"/>
  <c r="FD113"/>
  <c r="FE113"/>
  <c r="FF113"/>
  <c r="FG113"/>
  <c r="FH113"/>
  <c r="FI113"/>
  <c r="FJ113"/>
  <c r="FK113"/>
  <c r="FL113"/>
  <c r="FM113"/>
  <c r="FN113"/>
  <c r="FO113"/>
  <c r="FP113"/>
  <c r="FQ113"/>
  <c r="FR113"/>
  <c r="FS113"/>
  <c r="FT113"/>
  <c r="FU113"/>
  <c r="FV113"/>
  <c r="FW113"/>
  <c r="FX113"/>
  <c r="FY113"/>
  <c r="FZ113"/>
  <c r="GA113"/>
  <c r="GB113"/>
  <c r="GC113"/>
  <c r="GD113"/>
  <c r="GE113"/>
  <c r="GF113"/>
  <c r="GG113"/>
  <c r="GH113"/>
  <c r="GI113"/>
  <c r="GJ113"/>
  <c r="GK113"/>
  <c r="GL113"/>
  <c r="GM113"/>
  <c r="GN113"/>
  <c r="GO113"/>
  <c r="GP113"/>
  <c r="GQ113"/>
  <c r="GR113"/>
  <c r="GS113"/>
  <c r="GT113"/>
  <c r="GU113"/>
  <c r="GV113"/>
  <c r="GW113"/>
  <c r="GX113"/>
  <c r="GY113"/>
  <c r="GZ113"/>
  <c r="HA113"/>
  <c r="HB113"/>
  <c r="HC113"/>
  <c r="HD113"/>
  <c r="HE113"/>
  <c r="HF113"/>
  <c r="HG113"/>
  <c r="HH113"/>
  <c r="HI113"/>
  <c r="HJ113"/>
  <c r="HK113"/>
  <c r="HL113"/>
  <c r="HM113"/>
  <c r="HN113"/>
  <c r="HO113"/>
  <c r="HP113"/>
  <c r="HQ113"/>
  <c r="HR113"/>
  <c r="HS113"/>
  <c r="HT113"/>
  <c r="HU113"/>
  <c r="HV113"/>
  <c r="HW113"/>
  <c r="HX113"/>
  <c r="HY113"/>
  <c r="HZ113"/>
  <c r="IA113"/>
  <c r="IB113"/>
  <c r="IC113"/>
  <c r="ID113"/>
  <c r="IE113"/>
  <c r="IF113"/>
  <c r="IG113"/>
  <c r="IH113"/>
  <c r="II113"/>
  <c r="IJ113"/>
  <c r="IK113"/>
  <c r="IL113"/>
  <c r="IM113"/>
  <c r="IN113"/>
  <c r="IO113"/>
  <c r="IP113"/>
  <c r="IQ113"/>
  <c r="IR113"/>
  <c r="IS113"/>
  <c r="IT113"/>
  <c r="IU113"/>
  <c r="IV113"/>
  <c r="A112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Y112"/>
  <c r="AZ112"/>
  <c r="BA112"/>
  <c r="BB112"/>
  <c r="BC112"/>
  <c r="BD112"/>
  <c r="BE112"/>
  <c r="BF112"/>
  <c r="BG112"/>
  <c r="BH112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CB112"/>
  <c r="CC112"/>
  <c r="CD112"/>
  <c r="CE112"/>
  <c r="CF112"/>
  <c r="CG112"/>
  <c r="CH112"/>
  <c r="CI112"/>
  <c r="CJ112"/>
  <c r="CK112"/>
  <c r="CL112"/>
  <c r="CM112"/>
  <c r="CN112"/>
  <c r="CO112"/>
  <c r="CP112"/>
  <c r="CQ112"/>
  <c r="CR112"/>
  <c r="CS112"/>
  <c r="CT112"/>
  <c r="CU112"/>
  <c r="CV112"/>
  <c r="CW112"/>
  <c r="CX112"/>
  <c r="CY112"/>
  <c r="CZ112"/>
  <c r="DA112"/>
  <c r="DB112"/>
  <c r="DC112"/>
  <c r="DD112"/>
  <c r="DE112"/>
  <c r="DF112"/>
  <c r="DG112"/>
  <c r="DH112"/>
  <c r="DI112"/>
  <c r="DJ112"/>
  <c r="DK112"/>
  <c r="DL112"/>
  <c r="DM112"/>
  <c r="DN112"/>
  <c r="DO112"/>
  <c r="DP112"/>
  <c r="DQ112"/>
  <c r="DR112"/>
  <c r="DS112"/>
  <c r="DT112"/>
  <c r="DU112"/>
  <c r="DV112"/>
  <c r="DW112"/>
  <c r="DX112"/>
  <c r="DY112"/>
  <c r="DZ112"/>
  <c r="EA112"/>
  <c r="EB112"/>
  <c r="EC112"/>
  <c r="ED112"/>
  <c r="EE112"/>
  <c r="EF112"/>
  <c r="EG112"/>
  <c r="EH112"/>
  <c r="EI112"/>
  <c r="EJ112"/>
  <c r="EK112"/>
  <c r="EL112"/>
  <c r="EM112"/>
  <c r="EN112"/>
  <c r="EO112"/>
  <c r="EP112"/>
  <c r="EQ112"/>
  <c r="ER112"/>
  <c r="ES112"/>
  <c r="ET112"/>
  <c r="EU112"/>
  <c r="EV112"/>
  <c r="EW112"/>
  <c r="EX112"/>
  <c r="EY112"/>
  <c r="EZ112"/>
  <c r="FA112"/>
  <c r="FB112"/>
  <c r="FC112"/>
  <c r="FD112"/>
  <c r="FE112"/>
  <c r="FF112"/>
  <c r="FG112"/>
  <c r="FH112"/>
  <c r="FI112"/>
  <c r="FJ112"/>
  <c r="FK112"/>
  <c r="FL112"/>
  <c r="FM112"/>
  <c r="FN112"/>
  <c r="FO112"/>
  <c r="FP112"/>
  <c r="FQ112"/>
  <c r="FR112"/>
  <c r="FS112"/>
  <c r="FT112"/>
  <c r="FU112"/>
  <c r="FV112"/>
  <c r="FW112"/>
  <c r="FX112"/>
  <c r="FY112"/>
  <c r="FZ112"/>
  <c r="GA112"/>
  <c r="GB112"/>
  <c r="GC112"/>
  <c r="GD112"/>
  <c r="GE112"/>
  <c r="GF112"/>
  <c r="GG112"/>
  <c r="GH112"/>
  <c r="GI112"/>
  <c r="GJ112"/>
  <c r="GK112"/>
  <c r="GL112"/>
  <c r="GM112"/>
  <c r="GN112"/>
  <c r="GO112"/>
  <c r="GP112"/>
  <c r="GQ112"/>
  <c r="GR112"/>
  <c r="GS112"/>
  <c r="GT112"/>
  <c r="GU112"/>
  <c r="GV112"/>
  <c r="GW112"/>
  <c r="GX112"/>
  <c r="GY112"/>
  <c r="GZ112"/>
  <c r="HA112"/>
  <c r="HB112"/>
  <c r="HC112"/>
  <c r="HD112"/>
  <c r="HE112"/>
  <c r="HF112"/>
  <c r="HG112"/>
  <c r="HH112"/>
  <c r="HI112"/>
  <c r="HJ112"/>
  <c r="HK112"/>
  <c r="HL112"/>
  <c r="HM112"/>
  <c r="HN112"/>
  <c r="HO112"/>
  <c r="HP112"/>
  <c r="HQ112"/>
  <c r="HR112"/>
  <c r="HS112"/>
  <c r="HT112"/>
  <c r="HU112"/>
  <c r="HV112"/>
  <c r="HW112"/>
  <c r="HX112"/>
  <c r="HY112"/>
  <c r="HZ112"/>
  <c r="IA112"/>
  <c r="IB112"/>
  <c r="IC112"/>
  <c r="ID112"/>
  <c r="IE112"/>
  <c r="IF112"/>
  <c r="IG112"/>
  <c r="IH112"/>
  <c r="II112"/>
  <c r="IJ112"/>
  <c r="IK112"/>
  <c r="IL112"/>
  <c r="IM112"/>
  <c r="IN112"/>
  <c r="IO112"/>
  <c r="IP112"/>
  <c r="IQ112"/>
  <c r="IR112"/>
  <c r="IS112"/>
  <c r="IT112"/>
  <c r="IU112"/>
  <c r="IV112"/>
  <c r="A111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CE111"/>
  <c r="CF111"/>
  <c r="CG111"/>
  <c r="CH111"/>
  <c r="CI111"/>
  <c r="CJ111"/>
  <c r="CK111"/>
  <c r="CL111"/>
  <c r="CM111"/>
  <c r="CN111"/>
  <c r="CO111"/>
  <c r="CP111"/>
  <c r="CQ111"/>
  <c r="CR111"/>
  <c r="CS111"/>
  <c r="CT111"/>
  <c r="CU111"/>
  <c r="CV111"/>
  <c r="CW111"/>
  <c r="CX111"/>
  <c r="CY111"/>
  <c r="CZ111"/>
  <c r="DA111"/>
  <c r="DB111"/>
  <c r="DC111"/>
  <c r="DD111"/>
  <c r="DE111"/>
  <c r="DF111"/>
  <c r="DG111"/>
  <c r="DH111"/>
  <c r="DI111"/>
  <c r="DJ111"/>
  <c r="DK111"/>
  <c r="DL111"/>
  <c r="DM111"/>
  <c r="DN111"/>
  <c r="DO111"/>
  <c r="DP111"/>
  <c r="DQ111"/>
  <c r="DR111"/>
  <c r="DS111"/>
  <c r="DT111"/>
  <c r="DU111"/>
  <c r="DV111"/>
  <c r="DW111"/>
  <c r="DX111"/>
  <c r="DY111"/>
  <c r="DZ111"/>
  <c r="EA111"/>
  <c r="EB111"/>
  <c r="EC111"/>
  <c r="ED111"/>
  <c r="EE111"/>
  <c r="EF111"/>
  <c r="EG111"/>
  <c r="EH111"/>
  <c r="EI111"/>
  <c r="EJ111"/>
  <c r="EK111"/>
  <c r="EL111"/>
  <c r="EM111"/>
  <c r="EN111"/>
  <c r="EO111"/>
  <c r="EP111"/>
  <c r="EQ111"/>
  <c r="ER111"/>
  <c r="ES111"/>
  <c r="ET111"/>
  <c r="EU111"/>
  <c r="EV111"/>
  <c r="EW111"/>
  <c r="EX111"/>
  <c r="EY111"/>
  <c r="EZ111"/>
  <c r="FA111"/>
  <c r="FB111"/>
  <c r="FC111"/>
  <c r="FD111"/>
  <c r="FE111"/>
  <c r="FF111"/>
  <c r="FG111"/>
  <c r="FH111"/>
  <c r="FI111"/>
  <c r="FJ111"/>
  <c r="FK111"/>
  <c r="FL111"/>
  <c r="FM111"/>
  <c r="FN111"/>
  <c r="FO111"/>
  <c r="FP111"/>
  <c r="FQ111"/>
  <c r="FR111"/>
  <c r="FS111"/>
  <c r="FT111"/>
  <c r="FU111"/>
  <c r="FV111"/>
  <c r="FW111"/>
  <c r="FX111"/>
  <c r="FY111"/>
  <c r="FZ111"/>
  <c r="GA111"/>
  <c r="GB111"/>
  <c r="GC111"/>
  <c r="GD111"/>
  <c r="GE111"/>
  <c r="GF111"/>
  <c r="GG111"/>
  <c r="GH111"/>
  <c r="GI111"/>
  <c r="GJ111"/>
  <c r="GK111"/>
  <c r="GL111"/>
  <c r="GM111"/>
  <c r="GN111"/>
  <c r="GO111"/>
  <c r="GP111"/>
  <c r="GQ111"/>
  <c r="GR111"/>
  <c r="GS111"/>
  <c r="GT111"/>
  <c r="GU111"/>
  <c r="GV111"/>
  <c r="GW111"/>
  <c r="GX111"/>
  <c r="GY111"/>
  <c r="GZ111"/>
  <c r="HA111"/>
  <c r="HB111"/>
  <c r="HC111"/>
  <c r="HD111"/>
  <c r="HE111"/>
  <c r="HF111"/>
  <c r="HG111"/>
  <c r="HH111"/>
  <c r="HI111"/>
  <c r="HJ111"/>
  <c r="HK111"/>
  <c r="HL111"/>
  <c r="HM111"/>
  <c r="HN111"/>
  <c r="HO111"/>
  <c r="HP111"/>
  <c r="HQ111"/>
  <c r="HR111"/>
  <c r="HS111"/>
  <c r="HT111"/>
  <c r="HU111"/>
  <c r="HV111"/>
  <c r="HW111"/>
  <c r="HX111"/>
  <c r="HY111"/>
  <c r="HZ111"/>
  <c r="IA111"/>
  <c r="IB111"/>
  <c r="IC111"/>
  <c r="ID111"/>
  <c r="IE111"/>
  <c r="IF111"/>
  <c r="IG111"/>
  <c r="IH111"/>
  <c r="II111"/>
  <c r="IJ111"/>
  <c r="IK111"/>
  <c r="IL111"/>
  <c r="IM111"/>
  <c r="IN111"/>
  <c r="IO111"/>
  <c r="IP111"/>
  <c r="IQ111"/>
  <c r="IR111"/>
  <c r="IS111"/>
  <c r="IT111"/>
  <c r="IU111"/>
  <c r="IV111"/>
  <c r="A110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Y110"/>
  <c r="AZ110"/>
  <c r="BA110"/>
  <c r="BB110"/>
  <c r="BC110"/>
  <c r="BD110"/>
  <c r="BE110"/>
  <c r="BF110"/>
  <c r="BG110"/>
  <c r="BH110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CB110"/>
  <c r="CC110"/>
  <c r="CD110"/>
  <c r="CE110"/>
  <c r="CF110"/>
  <c r="CG110"/>
  <c r="CH110"/>
  <c r="CI110"/>
  <c r="CJ110"/>
  <c r="CK110"/>
  <c r="CL110"/>
  <c r="CM110"/>
  <c r="CN110"/>
  <c r="CO110"/>
  <c r="CP110"/>
  <c r="CQ110"/>
  <c r="CR110"/>
  <c r="CS110"/>
  <c r="CT110"/>
  <c r="CU110"/>
  <c r="CV110"/>
  <c r="CW110"/>
  <c r="CX110"/>
  <c r="CY110"/>
  <c r="CZ110"/>
  <c r="DA110"/>
  <c r="DB110"/>
  <c r="DC110"/>
  <c r="DD110"/>
  <c r="DE110"/>
  <c r="DF110"/>
  <c r="DG110"/>
  <c r="DH110"/>
  <c r="DI110"/>
  <c r="DJ110"/>
  <c r="DK110"/>
  <c r="DL110"/>
  <c r="DM110"/>
  <c r="DN110"/>
  <c r="DO110"/>
  <c r="DP110"/>
  <c r="DQ110"/>
  <c r="DR110"/>
  <c r="DS110"/>
  <c r="DT110"/>
  <c r="DU110"/>
  <c r="DV110"/>
  <c r="DW110"/>
  <c r="DX110"/>
  <c r="DY110"/>
  <c r="DZ110"/>
  <c r="EA110"/>
  <c r="EB110"/>
  <c r="EC110"/>
  <c r="ED110"/>
  <c r="EE110"/>
  <c r="EF110"/>
  <c r="EG110"/>
  <c r="EH110"/>
  <c r="EI110"/>
  <c r="EJ110"/>
  <c r="EK110"/>
  <c r="EL110"/>
  <c r="EM110"/>
  <c r="EN110"/>
  <c r="EO110"/>
  <c r="EP110"/>
  <c r="EQ110"/>
  <c r="ER110"/>
  <c r="ES110"/>
  <c r="ET110"/>
  <c r="EU110"/>
  <c r="EV110"/>
  <c r="EW110"/>
  <c r="EX110"/>
  <c r="EY110"/>
  <c r="EZ110"/>
  <c r="FA110"/>
  <c r="FB110"/>
  <c r="FC110"/>
  <c r="FD110"/>
  <c r="FE110"/>
  <c r="FF110"/>
  <c r="FG110"/>
  <c r="FH110"/>
  <c r="FI110"/>
  <c r="FJ110"/>
  <c r="FK110"/>
  <c r="FL110"/>
  <c r="FM110"/>
  <c r="FN110"/>
  <c r="FO110"/>
  <c r="FP110"/>
  <c r="FQ110"/>
  <c r="FR110"/>
  <c r="FS110"/>
  <c r="FT110"/>
  <c r="FU110"/>
  <c r="FV110"/>
  <c r="FW110"/>
  <c r="FX110"/>
  <c r="FY110"/>
  <c r="FZ110"/>
  <c r="GA110"/>
  <c r="GB110"/>
  <c r="GC110"/>
  <c r="GD110"/>
  <c r="GE110"/>
  <c r="GF110"/>
  <c r="GG110"/>
  <c r="GH110"/>
  <c r="GI110"/>
  <c r="GJ110"/>
  <c r="GK110"/>
  <c r="GL110"/>
  <c r="GM110"/>
  <c r="GN110"/>
  <c r="GO110"/>
  <c r="GP110"/>
  <c r="GQ110"/>
  <c r="GR110"/>
  <c r="GS110"/>
  <c r="GT110"/>
  <c r="GU110"/>
  <c r="GV110"/>
  <c r="GW110"/>
  <c r="GX110"/>
  <c r="GY110"/>
  <c r="GZ110"/>
  <c r="HA110"/>
  <c r="HB110"/>
  <c r="HC110"/>
  <c r="HD110"/>
  <c r="HE110"/>
  <c r="HF110"/>
  <c r="HG110"/>
  <c r="HH110"/>
  <c r="HI110"/>
  <c r="HJ110"/>
  <c r="HK110"/>
  <c r="HL110"/>
  <c r="HM110"/>
  <c r="HN110"/>
  <c r="HO110"/>
  <c r="HP110"/>
  <c r="HQ110"/>
  <c r="HR110"/>
  <c r="HS110"/>
  <c r="HT110"/>
  <c r="HU110"/>
  <c r="HV110"/>
  <c r="HW110"/>
  <c r="HX110"/>
  <c r="HY110"/>
  <c r="HZ110"/>
  <c r="IA110"/>
  <c r="IB110"/>
  <c r="IC110"/>
  <c r="ID110"/>
  <c r="IE110"/>
  <c r="IF110"/>
  <c r="IG110"/>
  <c r="IH110"/>
  <c r="II110"/>
  <c r="IJ110"/>
  <c r="IK110"/>
  <c r="IL110"/>
  <c r="IM110"/>
  <c r="IN110"/>
  <c r="IO110"/>
  <c r="IP110"/>
  <c r="IQ110"/>
  <c r="IR110"/>
  <c r="IS110"/>
  <c r="IT110"/>
  <c r="IU110"/>
  <c r="IV110"/>
  <c r="A109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CE109"/>
  <c r="CF109"/>
  <c r="CG109"/>
  <c r="CH109"/>
  <c r="CI109"/>
  <c r="CJ109"/>
  <c r="CK109"/>
  <c r="CL109"/>
  <c r="CM109"/>
  <c r="CN109"/>
  <c r="CO109"/>
  <c r="CP109"/>
  <c r="CQ109"/>
  <c r="CR109"/>
  <c r="CS109"/>
  <c r="CT109"/>
  <c r="CU109"/>
  <c r="CV109"/>
  <c r="CW109"/>
  <c r="CX109"/>
  <c r="CY109"/>
  <c r="CZ109"/>
  <c r="DA109"/>
  <c r="DB109"/>
  <c r="DC109"/>
  <c r="DD109"/>
  <c r="DE109"/>
  <c r="DF109"/>
  <c r="DG109"/>
  <c r="DH109"/>
  <c r="DI109"/>
  <c r="DJ109"/>
  <c r="DK109"/>
  <c r="DL109"/>
  <c r="DM109"/>
  <c r="DN109"/>
  <c r="DO109"/>
  <c r="DP109"/>
  <c r="DQ109"/>
  <c r="DR109"/>
  <c r="DS109"/>
  <c r="DT109"/>
  <c r="DU109"/>
  <c r="DV109"/>
  <c r="DW109"/>
  <c r="DX109"/>
  <c r="DY109"/>
  <c r="DZ109"/>
  <c r="EA109"/>
  <c r="EB109"/>
  <c r="EC109"/>
  <c r="ED109"/>
  <c r="EE109"/>
  <c r="EF109"/>
  <c r="EG109"/>
  <c r="EH109"/>
  <c r="EI109"/>
  <c r="EJ109"/>
  <c r="EK109"/>
  <c r="EL109"/>
  <c r="EM109"/>
  <c r="EN109"/>
  <c r="EO109"/>
  <c r="EP109"/>
  <c r="EQ109"/>
  <c r="ER109"/>
  <c r="ES109"/>
  <c r="ET109"/>
  <c r="EU109"/>
  <c r="EV109"/>
  <c r="EW109"/>
  <c r="EX109"/>
  <c r="EY109"/>
  <c r="EZ109"/>
  <c r="FA109"/>
  <c r="FB109"/>
  <c r="FC109"/>
  <c r="FD109"/>
  <c r="FE109"/>
  <c r="FF109"/>
  <c r="FG109"/>
  <c r="FH109"/>
  <c r="FI109"/>
  <c r="FJ109"/>
  <c r="FK109"/>
  <c r="FL109"/>
  <c r="FM109"/>
  <c r="FN109"/>
  <c r="FO109"/>
  <c r="FP109"/>
  <c r="FQ109"/>
  <c r="FR109"/>
  <c r="FS109"/>
  <c r="FT109"/>
  <c r="FU109"/>
  <c r="FV109"/>
  <c r="FW109"/>
  <c r="FX109"/>
  <c r="FY109"/>
  <c r="FZ109"/>
  <c r="GA109"/>
  <c r="GB109"/>
  <c r="GC109"/>
  <c r="GD109"/>
  <c r="GE109"/>
  <c r="GF109"/>
  <c r="GG109"/>
  <c r="GH109"/>
  <c r="GI109"/>
  <c r="GJ109"/>
  <c r="GK109"/>
  <c r="GL109"/>
  <c r="GM109"/>
  <c r="GN109"/>
  <c r="GO109"/>
  <c r="GP109"/>
  <c r="GQ109"/>
  <c r="GR109"/>
  <c r="GS109"/>
  <c r="GT109"/>
  <c r="GU109"/>
  <c r="GV109"/>
  <c r="GW109"/>
  <c r="GX109"/>
  <c r="GY109"/>
  <c r="GZ109"/>
  <c r="HA109"/>
  <c r="HB109"/>
  <c r="HC109"/>
  <c r="HD109"/>
  <c r="HE109"/>
  <c r="HF109"/>
  <c r="HG109"/>
  <c r="HH109"/>
  <c r="HI109"/>
  <c r="HJ109"/>
  <c r="HK109"/>
  <c r="HL109"/>
  <c r="HM109"/>
  <c r="HN109"/>
  <c r="HO109"/>
  <c r="HP109"/>
  <c r="HQ109"/>
  <c r="HR109"/>
  <c r="HS109"/>
  <c r="HT109"/>
  <c r="HU109"/>
  <c r="HV109"/>
  <c r="HW109"/>
  <c r="HX109"/>
  <c r="HY109"/>
  <c r="HZ109"/>
  <c r="IA109"/>
  <c r="IB109"/>
  <c r="IC109"/>
  <c r="ID109"/>
  <c r="IE109"/>
  <c r="IF109"/>
  <c r="IG109"/>
  <c r="IH109"/>
  <c r="II109"/>
  <c r="IJ109"/>
  <c r="IK109"/>
  <c r="IL109"/>
  <c r="IM109"/>
  <c r="IN109"/>
  <c r="IO109"/>
  <c r="IP109"/>
  <c r="IQ109"/>
  <c r="IR109"/>
  <c r="IS109"/>
  <c r="IT109"/>
  <c r="IU109"/>
  <c r="IV109"/>
  <c r="A108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CE108"/>
  <c r="CF108"/>
  <c r="CG108"/>
  <c r="CH108"/>
  <c r="CI108"/>
  <c r="CJ108"/>
  <c r="CK108"/>
  <c r="CL108"/>
  <c r="CM108"/>
  <c r="CN108"/>
  <c r="CO108"/>
  <c r="CP108"/>
  <c r="CQ108"/>
  <c r="CR108"/>
  <c r="CS108"/>
  <c r="CT108"/>
  <c r="CU108"/>
  <c r="CV108"/>
  <c r="CW108"/>
  <c r="CX108"/>
  <c r="CY108"/>
  <c r="CZ108"/>
  <c r="DA108"/>
  <c r="DB108"/>
  <c r="DC108"/>
  <c r="DD108"/>
  <c r="DE108"/>
  <c r="DF108"/>
  <c r="DG108"/>
  <c r="DH108"/>
  <c r="DI108"/>
  <c r="DJ108"/>
  <c r="DK108"/>
  <c r="DL108"/>
  <c r="DM108"/>
  <c r="DN108"/>
  <c r="DO108"/>
  <c r="DP108"/>
  <c r="DQ108"/>
  <c r="DR108"/>
  <c r="DS108"/>
  <c r="DT108"/>
  <c r="DU108"/>
  <c r="DV108"/>
  <c r="DW108"/>
  <c r="DX108"/>
  <c r="DY108"/>
  <c r="DZ108"/>
  <c r="EA108"/>
  <c r="EB108"/>
  <c r="EC108"/>
  <c r="ED108"/>
  <c r="EE108"/>
  <c r="EF108"/>
  <c r="EG108"/>
  <c r="EH108"/>
  <c r="EI108"/>
  <c r="EJ108"/>
  <c r="EK108"/>
  <c r="EL108"/>
  <c r="EM108"/>
  <c r="EN108"/>
  <c r="EO108"/>
  <c r="EP108"/>
  <c r="EQ108"/>
  <c r="ER108"/>
  <c r="ES108"/>
  <c r="ET108"/>
  <c r="EU108"/>
  <c r="EV108"/>
  <c r="EW108"/>
  <c r="EX108"/>
  <c r="EY108"/>
  <c r="EZ108"/>
  <c r="FA108"/>
  <c r="FB108"/>
  <c r="FC108"/>
  <c r="FD108"/>
  <c r="FE108"/>
  <c r="FF108"/>
  <c r="FG108"/>
  <c r="FH108"/>
  <c r="FI108"/>
  <c r="FJ108"/>
  <c r="FK108"/>
  <c r="FL108"/>
  <c r="FM108"/>
  <c r="FN108"/>
  <c r="FO108"/>
  <c r="FP108"/>
  <c r="FQ108"/>
  <c r="FR108"/>
  <c r="FS108"/>
  <c r="FT108"/>
  <c r="FU108"/>
  <c r="FV108"/>
  <c r="FW108"/>
  <c r="FX108"/>
  <c r="FY108"/>
  <c r="FZ108"/>
  <c r="GA108"/>
  <c r="GB108"/>
  <c r="GC108"/>
  <c r="GD108"/>
  <c r="GE108"/>
  <c r="GF108"/>
  <c r="GG108"/>
  <c r="GH108"/>
  <c r="GI108"/>
  <c r="GJ108"/>
  <c r="GK108"/>
  <c r="GL108"/>
  <c r="GM108"/>
  <c r="GN108"/>
  <c r="GO108"/>
  <c r="GP108"/>
  <c r="GQ108"/>
  <c r="GR108"/>
  <c r="GS108"/>
  <c r="GT108"/>
  <c r="GU108"/>
  <c r="GV108"/>
  <c r="GW108"/>
  <c r="GX108"/>
  <c r="GY108"/>
  <c r="GZ108"/>
  <c r="HA108"/>
  <c r="HB108"/>
  <c r="HC108"/>
  <c r="HD108"/>
  <c r="HE108"/>
  <c r="HF108"/>
  <c r="HG108"/>
  <c r="HH108"/>
  <c r="HI108"/>
  <c r="HJ108"/>
  <c r="HK108"/>
  <c r="HL108"/>
  <c r="HM108"/>
  <c r="HN108"/>
  <c r="HO108"/>
  <c r="HP108"/>
  <c r="HQ108"/>
  <c r="HR108"/>
  <c r="HS108"/>
  <c r="HT108"/>
  <c r="HU108"/>
  <c r="HV108"/>
  <c r="HW108"/>
  <c r="HX108"/>
  <c r="HY108"/>
  <c r="HZ108"/>
  <c r="IA108"/>
  <c r="IB108"/>
  <c r="IC108"/>
  <c r="ID108"/>
  <c r="IE108"/>
  <c r="IF108"/>
  <c r="IG108"/>
  <c r="IH108"/>
  <c r="II108"/>
  <c r="IJ108"/>
  <c r="IK108"/>
  <c r="IL108"/>
  <c r="IM108"/>
  <c r="IN108"/>
  <c r="IO108"/>
  <c r="IP108"/>
  <c r="IQ108"/>
  <c r="IR108"/>
  <c r="IS108"/>
  <c r="IT108"/>
  <c r="IU108"/>
  <c r="IV108"/>
  <c r="A107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Y107"/>
  <c r="AZ107"/>
  <c r="BA107"/>
  <c r="BB107"/>
  <c r="BC107"/>
  <c r="BD107"/>
  <c r="BE107"/>
  <c r="BF107"/>
  <c r="BG107"/>
  <c r="BH107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CB107"/>
  <c r="CC107"/>
  <c r="CD107"/>
  <c r="CE107"/>
  <c r="CF107"/>
  <c r="CG107"/>
  <c r="CH107"/>
  <c r="CI107"/>
  <c r="CJ107"/>
  <c r="CK107"/>
  <c r="CL107"/>
  <c r="CM107"/>
  <c r="CN107"/>
  <c r="CO107"/>
  <c r="CP107"/>
  <c r="CQ107"/>
  <c r="CR107"/>
  <c r="CS107"/>
  <c r="CT107"/>
  <c r="CU107"/>
  <c r="CV107"/>
  <c r="CW107"/>
  <c r="CX107"/>
  <c r="CY107"/>
  <c r="CZ107"/>
  <c r="DA107"/>
  <c r="DB107"/>
  <c r="DC107"/>
  <c r="DD107"/>
  <c r="DE107"/>
  <c r="DF107"/>
  <c r="DG107"/>
  <c r="DH107"/>
  <c r="DI107"/>
  <c r="DJ107"/>
  <c r="DK107"/>
  <c r="DL107"/>
  <c r="DM107"/>
  <c r="DN107"/>
  <c r="DO107"/>
  <c r="DP107"/>
  <c r="DQ107"/>
  <c r="DR107"/>
  <c r="DS107"/>
  <c r="DT107"/>
  <c r="DU107"/>
  <c r="DV107"/>
  <c r="DW107"/>
  <c r="DX107"/>
  <c r="DY107"/>
  <c r="DZ107"/>
  <c r="EA107"/>
  <c r="EB107"/>
  <c r="EC107"/>
  <c r="ED107"/>
  <c r="EE107"/>
  <c r="EF107"/>
  <c r="EG107"/>
  <c r="EH107"/>
  <c r="EI107"/>
  <c r="EJ107"/>
  <c r="EK107"/>
  <c r="EL107"/>
  <c r="EM107"/>
  <c r="EN107"/>
  <c r="EO107"/>
  <c r="EP107"/>
  <c r="EQ107"/>
  <c r="ER107"/>
  <c r="ES107"/>
  <c r="ET107"/>
  <c r="EU107"/>
  <c r="EV107"/>
  <c r="EW107"/>
  <c r="EX107"/>
  <c r="EY107"/>
  <c r="EZ107"/>
  <c r="FA107"/>
  <c r="FB107"/>
  <c r="FC107"/>
  <c r="FD107"/>
  <c r="FE107"/>
  <c r="FF107"/>
  <c r="FG107"/>
  <c r="FH107"/>
  <c r="FI107"/>
  <c r="FJ107"/>
  <c r="FK107"/>
  <c r="FL107"/>
  <c r="FM107"/>
  <c r="FN107"/>
  <c r="FO107"/>
  <c r="FP107"/>
  <c r="FQ107"/>
  <c r="FR107"/>
  <c r="FS107"/>
  <c r="FT107"/>
  <c r="FU107"/>
  <c r="FV107"/>
  <c r="FW107"/>
  <c r="FX107"/>
  <c r="FY107"/>
  <c r="FZ107"/>
  <c r="GA107"/>
  <c r="GB107"/>
  <c r="GC107"/>
  <c r="GD107"/>
  <c r="GE107"/>
  <c r="GF107"/>
  <c r="GG107"/>
  <c r="GH107"/>
  <c r="GI107"/>
  <c r="GJ107"/>
  <c r="GK107"/>
  <c r="GL107"/>
  <c r="GM107"/>
  <c r="GN107"/>
  <c r="GO107"/>
  <c r="GP107"/>
  <c r="GQ107"/>
  <c r="GR107"/>
  <c r="GS107"/>
  <c r="GT107"/>
  <c r="GU107"/>
  <c r="GV107"/>
  <c r="GW107"/>
  <c r="GX107"/>
  <c r="GY107"/>
  <c r="GZ107"/>
  <c r="HA107"/>
  <c r="HB107"/>
  <c r="HC107"/>
  <c r="HD107"/>
  <c r="HE107"/>
  <c r="HF107"/>
  <c r="HG107"/>
  <c r="HH107"/>
  <c r="HI107"/>
  <c r="HJ107"/>
  <c r="HK107"/>
  <c r="HL107"/>
  <c r="HM107"/>
  <c r="HN107"/>
  <c r="HO107"/>
  <c r="HP107"/>
  <c r="HQ107"/>
  <c r="HR107"/>
  <c r="HS107"/>
  <c r="HT107"/>
  <c r="HU107"/>
  <c r="HV107"/>
  <c r="HW107"/>
  <c r="HX107"/>
  <c r="HY107"/>
  <c r="HZ107"/>
  <c r="IA107"/>
  <c r="IB107"/>
  <c r="IC107"/>
  <c r="ID107"/>
  <c r="IE107"/>
  <c r="IF107"/>
  <c r="IG107"/>
  <c r="IH107"/>
  <c r="II107"/>
  <c r="IJ107"/>
  <c r="IK107"/>
  <c r="IL107"/>
  <c r="IM107"/>
  <c r="IN107"/>
  <c r="IO107"/>
  <c r="IP107"/>
  <c r="IQ107"/>
  <c r="IR107"/>
  <c r="IS107"/>
  <c r="IT107"/>
  <c r="IU107"/>
  <c r="IV107"/>
  <c r="A106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CB106"/>
  <c r="CC106"/>
  <c r="CD106"/>
  <c r="CE106"/>
  <c r="CF106"/>
  <c r="CG106"/>
  <c r="CH106"/>
  <c r="CI106"/>
  <c r="CJ106"/>
  <c r="CK106"/>
  <c r="CL106"/>
  <c r="CM106"/>
  <c r="CN106"/>
  <c r="CO106"/>
  <c r="CP106"/>
  <c r="CQ106"/>
  <c r="CR106"/>
  <c r="CS106"/>
  <c r="CT106"/>
  <c r="CU106"/>
  <c r="CV106"/>
  <c r="CW106"/>
  <c r="CX106"/>
  <c r="CY106"/>
  <c r="CZ106"/>
  <c r="DA106"/>
  <c r="DB106"/>
  <c r="DC106"/>
  <c r="DD106"/>
  <c r="DE106"/>
  <c r="DF106"/>
  <c r="DG106"/>
  <c r="DH106"/>
  <c r="DI106"/>
  <c r="DJ106"/>
  <c r="DK106"/>
  <c r="DL106"/>
  <c r="DM106"/>
  <c r="DN106"/>
  <c r="DO106"/>
  <c r="DP106"/>
  <c r="DQ106"/>
  <c r="DR106"/>
  <c r="DS106"/>
  <c r="DT106"/>
  <c r="DU106"/>
  <c r="DV106"/>
  <c r="DW106"/>
  <c r="DX106"/>
  <c r="DY106"/>
  <c r="DZ106"/>
  <c r="EA106"/>
  <c r="EB106"/>
  <c r="EC106"/>
  <c r="ED106"/>
  <c r="EE106"/>
  <c r="EF106"/>
  <c r="EG106"/>
  <c r="EH106"/>
  <c r="EI106"/>
  <c r="EJ106"/>
  <c r="EK106"/>
  <c r="EL106"/>
  <c r="EM106"/>
  <c r="EN106"/>
  <c r="EO106"/>
  <c r="EP106"/>
  <c r="EQ106"/>
  <c r="ER106"/>
  <c r="ES106"/>
  <c r="ET106"/>
  <c r="EU106"/>
  <c r="EV106"/>
  <c r="EW106"/>
  <c r="EX106"/>
  <c r="EY106"/>
  <c r="EZ106"/>
  <c r="FA106"/>
  <c r="FB106"/>
  <c r="FC106"/>
  <c r="FD106"/>
  <c r="FE106"/>
  <c r="FF106"/>
  <c r="FG106"/>
  <c r="FH106"/>
  <c r="FI106"/>
  <c r="FJ106"/>
  <c r="FK106"/>
  <c r="FL106"/>
  <c r="FM106"/>
  <c r="FN106"/>
  <c r="FO106"/>
  <c r="FP106"/>
  <c r="FQ106"/>
  <c r="FR106"/>
  <c r="FS106"/>
  <c r="FT106"/>
  <c r="FU106"/>
  <c r="FV106"/>
  <c r="FW106"/>
  <c r="FX106"/>
  <c r="FY106"/>
  <c r="FZ106"/>
  <c r="GA106"/>
  <c r="GB106"/>
  <c r="GC106"/>
  <c r="GD106"/>
  <c r="GE106"/>
  <c r="GF106"/>
  <c r="GG106"/>
  <c r="GH106"/>
  <c r="GI106"/>
  <c r="GJ106"/>
  <c r="GK106"/>
  <c r="GL106"/>
  <c r="GM106"/>
  <c r="GN106"/>
  <c r="GO106"/>
  <c r="GP106"/>
  <c r="GQ106"/>
  <c r="GR106"/>
  <c r="GS106"/>
  <c r="GT106"/>
  <c r="GU106"/>
  <c r="GV106"/>
  <c r="GW106"/>
  <c r="GX106"/>
  <c r="GY106"/>
  <c r="GZ106"/>
  <c r="HA106"/>
  <c r="HB106"/>
  <c r="HC106"/>
  <c r="HD106"/>
  <c r="HE106"/>
  <c r="HF106"/>
  <c r="HG106"/>
  <c r="HH106"/>
  <c r="HI106"/>
  <c r="HJ106"/>
  <c r="HK106"/>
  <c r="HL106"/>
  <c r="HM106"/>
  <c r="HN106"/>
  <c r="HO106"/>
  <c r="HP106"/>
  <c r="HQ106"/>
  <c r="HR106"/>
  <c r="HS106"/>
  <c r="HT106"/>
  <c r="HU106"/>
  <c r="HV106"/>
  <c r="HW106"/>
  <c r="HX106"/>
  <c r="HY106"/>
  <c r="HZ106"/>
  <c r="IA106"/>
  <c r="IB106"/>
  <c r="IC106"/>
  <c r="ID106"/>
  <c r="IE106"/>
  <c r="IF106"/>
  <c r="IG106"/>
  <c r="IH106"/>
  <c r="II106"/>
  <c r="IJ106"/>
  <c r="IK106"/>
  <c r="IL106"/>
  <c r="IM106"/>
  <c r="IN106"/>
  <c r="IO106"/>
  <c r="IP106"/>
  <c r="IQ106"/>
  <c r="IR106"/>
  <c r="IS106"/>
  <c r="IT106"/>
  <c r="IU106"/>
  <c r="IV106"/>
  <c r="A105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CB105"/>
  <c r="CC105"/>
  <c r="CD105"/>
  <c r="CE105"/>
  <c r="CF105"/>
  <c r="CG105"/>
  <c r="CH105"/>
  <c r="CI105"/>
  <c r="CJ105"/>
  <c r="CK105"/>
  <c r="CL105"/>
  <c r="CM105"/>
  <c r="CN105"/>
  <c r="CO105"/>
  <c r="CP105"/>
  <c r="CQ105"/>
  <c r="CR105"/>
  <c r="CS105"/>
  <c r="CT105"/>
  <c r="CU105"/>
  <c r="CV105"/>
  <c r="CW105"/>
  <c r="CX105"/>
  <c r="CY105"/>
  <c r="CZ105"/>
  <c r="DA105"/>
  <c r="DB105"/>
  <c r="DC105"/>
  <c r="DD105"/>
  <c r="DE105"/>
  <c r="DF105"/>
  <c r="DG105"/>
  <c r="DH105"/>
  <c r="DI105"/>
  <c r="DJ105"/>
  <c r="DK105"/>
  <c r="DL105"/>
  <c r="DM105"/>
  <c r="DN105"/>
  <c r="DO105"/>
  <c r="DP105"/>
  <c r="DQ105"/>
  <c r="DR105"/>
  <c r="DS105"/>
  <c r="DT105"/>
  <c r="DU105"/>
  <c r="DV105"/>
  <c r="DW105"/>
  <c r="DX105"/>
  <c r="DY105"/>
  <c r="DZ105"/>
  <c r="EA105"/>
  <c r="EB105"/>
  <c r="EC105"/>
  <c r="ED105"/>
  <c r="EE105"/>
  <c r="EF105"/>
  <c r="EG105"/>
  <c r="EH105"/>
  <c r="EI105"/>
  <c r="EJ105"/>
  <c r="EK105"/>
  <c r="EL105"/>
  <c r="EM105"/>
  <c r="EN105"/>
  <c r="EO105"/>
  <c r="EP105"/>
  <c r="EQ105"/>
  <c r="ER105"/>
  <c r="ES105"/>
  <c r="ET105"/>
  <c r="EU105"/>
  <c r="EV105"/>
  <c r="EW105"/>
  <c r="EX105"/>
  <c r="EY105"/>
  <c r="EZ105"/>
  <c r="FA105"/>
  <c r="FB105"/>
  <c r="FC105"/>
  <c r="FD105"/>
  <c r="FE105"/>
  <c r="FF105"/>
  <c r="FG105"/>
  <c r="FH105"/>
  <c r="FI105"/>
  <c r="FJ105"/>
  <c r="FK105"/>
  <c r="FL105"/>
  <c r="FM105"/>
  <c r="FN105"/>
  <c r="FO105"/>
  <c r="FP105"/>
  <c r="FQ105"/>
  <c r="FR105"/>
  <c r="FS105"/>
  <c r="FT105"/>
  <c r="FU105"/>
  <c r="FV105"/>
  <c r="FW105"/>
  <c r="FX105"/>
  <c r="FY105"/>
  <c r="FZ105"/>
  <c r="GA105"/>
  <c r="GB105"/>
  <c r="GC105"/>
  <c r="GD105"/>
  <c r="GE105"/>
  <c r="GF105"/>
  <c r="GG105"/>
  <c r="GH105"/>
  <c r="GI105"/>
  <c r="GJ105"/>
  <c r="GK105"/>
  <c r="GL105"/>
  <c r="GM105"/>
  <c r="GN105"/>
  <c r="GO105"/>
  <c r="GP105"/>
  <c r="GQ105"/>
  <c r="GR105"/>
  <c r="GS105"/>
  <c r="GT105"/>
  <c r="GU105"/>
  <c r="GV105"/>
  <c r="GW105"/>
  <c r="GX105"/>
  <c r="GY105"/>
  <c r="GZ105"/>
  <c r="HA105"/>
  <c r="HB105"/>
  <c r="HC105"/>
  <c r="HD105"/>
  <c r="HE105"/>
  <c r="HF105"/>
  <c r="HG105"/>
  <c r="HH105"/>
  <c r="HI105"/>
  <c r="HJ105"/>
  <c r="HK105"/>
  <c r="HL105"/>
  <c r="HM105"/>
  <c r="HN105"/>
  <c r="HO105"/>
  <c r="HP105"/>
  <c r="HQ105"/>
  <c r="HR105"/>
  <c r="HS105"/>
  <c r="HT105"/>
  <c r="HU105"/>
  <c r="HV105"/>
  <c r="HW105"/>
  <c r="HX105"/>
  <c r="HY105"/>
  <c r="HZ105"/>
  <c r="IA105"/>
  <c r="IB105"/>
  <c r="IC105"/>
  <c r="ID105"/>
  <c r="IE105"/>
  <c r="IF105"/>
  <c r="IG105"/>
  <c r="IH105"/>
  <c r="II105"/>
  <c r="IJ105"/>
  <c r="IK105"/>
  <c r="IL105"/>
  <c r="IM105"/>
  <c r="IN105"/>
  <c r="IO105"/>
  <c r="IP105"/>
  <c r="IQ105"/>
  <c r="IR105"/>
  <c r="IS105"/>
  <c r="IT105"/>
  <c r="IU105"/>
  <c r="IV105"/>
  <c r="A104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CB104"/>
  <c r="CC104"/>
  <c r="CD104"/>
  <c r="CE104"/>
  <c r="CF104"/>
  <c r="CG104"/>
  <c r="CH104"/>
  <c r="CI104"/>
  <c r="CJ104"/>
  <c r="CK104"/>
  <c r="CL104"/>
  <c r="CM104"/>
  <c r="CN104"/>
  <c r="CO104"/>
  <c r="CP104"/>
  <c r="CQ104"/>
  <c r="CR104"/>
  <c r="CS104"/>
  <c r="CT104"/>
  <c r="CU104"/>
  <c r="CV104"/>
  <c r="CW104"/>
  <c r="CX104"/>
  <c r="CY104"/>
  <c r="CZ104"/>
  <c r="DA104"/>
  <c r="DB104"/>
  <c r="DC104"/>
  <c r="DD104"/>
  <c r="DE104"/>
  <c r="DF104"/>
  <c r="DG104"/>
  <c r="DH104"/>
  <c r="DI104"/>
  <c r="DJ104"/>
  <c r="DK104"/>
  <c r="DL104"/>
  <c r="DM104"/>
  <c r="DN104"/>
  <c r="DO104"/>
  <c r="DP104"/>
  <c r="DQ104"/>
  <c r="DR104"/>
  <c r="DS104"/>
  <c r="DT104"/>
  <c r="DU104"/>
  <c r="DV104"/>
  <c r="DW104"/>
  <c r="DX104"/>
  <c r="DY104"/>
  <c r="DZ104"/>
  <c r="EA104"/>
  <c r="EB104"/>
  <c r="EC104"/>
  <c r="ED104"/>
  <c r="EE104"/>
  <c r="EF104"/>
  <c r="EG104"/>
  <c r="EH104"/>
  <c r="EI104"/>
  <c r="EJ104"/>
  <c r="EK104"/>
  <c r="EL104"/>
  <c r="EM104"/>
  <c r="EN104"/>
  <c r="EO104"/>
  <c r="EP104"/>
  <c r="EQ104"/>
  <c r="ER104"/>
  <c r="ES104"/>
  <c r="ET104"/>
  <c r="EU104"/>
  <c r="EV104"/>
  <c r="EW104"/>
  <c r="EX104"/>
  <c r="EY104"/>
  <c r="EZ104"/>
  <c r="FA104"/>
  <c r="FB104"/>
  <c r="FC104"/>
  <c r="FD104"/>
  <c r="FE104"/>
  <c r="FF104"/>
  <c r="FG104"/>
  <c r="FH104"/>
  <c r="FI104"/>
  <c r="FJ104"/>
  <c r="FK104"/>
  <c r="FL104"/>
  <c r="FM104"/>
  <c r="FN104"/>
  <c r="FO104"/>
  <c r="FP104"/>
  <c r="FQ104"/>
  <c r="FR104"/>
  <c r="FS104"/>
  <c r="FT104"/>
  <c r="FU104"/>
  <c r="FV104"/>
  <c r="FW104"/>
  <c r="FX104"/>
  <c r="FY104"/>
  <c r="FZ104"/>
  <c r="GA104"/>
  <c r="GB104"/>
  <c r="GC104"/>
  <c r="GD104"/>
  <c r="GE104"/>
  <c r="GF104"/>
  <c r="GG104"/>
  <c r="GH104"/>
  <c r="GI104"/>
  <c r="GJ104"/>
  <c r="GK104"/>
  <c r="GL104"/>
  <c r="GM104"/>
  <c r="GN104"/>
  <c r="GO104"/>
  <c r="GP104"/>
  <c r="GQ104"/>
  <c r="GR104"/>
  <c r="GS104"/>
  <c r="GT104"/>
  <c r="GU104"/>
  <c r="GV104"/>
  <c r="GW104"/>
  <c r="GX104"/>
  <c r="GY104"/>
  <c r="GZ104"/>
  <c r="HA104"/>
  <c r="HB104"/>
  <c r="HC104"/>
  <c r="HD104"/>
  <c r="HE104"/>
  <c r="HF104"/>
  <c r="HG104"/>
  <c r="HH104"/>
  <c r="HI104"/>
  <c r="HJ104"/>
  <c r="HK104"/>
  <c r="HL104"/>
  <c r="HM104"/>
  <c r="HN104"/>
  <c r="HO104"/>
  <c r="HP104"/>
  <c r="HQ104"/>
  <c r="HR104"/>
  <c r="HS104"/>
  <c r="HT104"/>
  <c r="HU104"/>
  <c r="HV104"/>
  <c r="HW104"/>
  <c r="HX104"/>
  <c r="HY104"/>
  <c r="HZ104"/>
  <c r="IA104"/>
  <c r="IB104"/>
  <c r="IC104"/>
  <c r="ID104"/>
  <c r="IE104"/>
  <c r="IF104"/>
  <c r="IG104"/>
  <c r="IH104"/>
  <c r="II104"/>
  <c r="IJ104"/>
  <c r="IK104"/>
  <c r="IL104"/>
  <c r="IM104"/>
  <c r="IN104"/>
  <c r="IO104"/>
  <c r="IP104"/>
  <c r="IQ104"/>
  <c r="IR104"/>
  <c r="IS104"/>
  <c r="IT104"/>
  <c r="IU104"/>
  <c r="IV104"/>
  <c r="A103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CE103"/>
  <c r="CF103"/>
  <c r="CG103"/>
  <c r="CH103"/>
  <c r="CI103"/>
  <c r="CJ103"/>
  <c r="CK103"/>
  <c r="CL103"/>
  <c r="CM103"/>
  <c r="CN103"/>
  <c r="CO103"/>
  <c r="CP103"/>
  <c r="CQ103"/>
  <c r="CR103"/>
  <c r="CS103"/>
  <c r="CT103"/>
  <c r="CU103"/>
  <c r="CV103"/>
  <c r="CW103"/>
  <c r="CX103"/>
  <c r="CY103"/>
  <c r="CZ103"/>
  <c r="DA103"/>
  <c r="DB103"/>
  <c r="DC103"/>
  <c r="DD103"/>
  <c r="DE103"/>
  <c r="DF103"/>
  <c r="DG103"/>
  <c r="DH103"/>
  <c r="DI103"/>
  <c r="DJ103"/>
  <c r="DK103"/>
  <c r="DL103"/>
  <c r="DM103"/>
  <c r="DN103"/>
  <c r="DO103"/>
  <c r="DP103"/>
  <c r="DQ103"/>
  <c r="DR103"/>
  <c r="DS103"/>
  <c r="DT103"/>
  <c r="DU103"/>
  <c r="DV103"/>
  <c r="DW103"/>
  <c r="DX103"/>
  <c r="DY103"/>
  <c r="DZ103"/>
  <c r="EA103"/>
  <c r="EB103"/>
  <c r="EC103"/>
  <c r="ED103"/>
  <c r="EE103"/>
  <c r="EF103"/>
  <c r="EG103"/>
  <c r="EH103"/>
  <c r="EI103"/>
  <c r="EJ103"/>
  <c r="EK103"/>
  <c r="EL103"/>
  <c r="EM103"/>
  <c r="EN103"/>
  <c r="EO103"/>
  <c r="EP103"/>
  <c r="EQ103"/>
  <c r="ER103"/>
  <c r="ES103"/>
  <c r="ET103"/>
  <c r="EU103"/>
  <c r="EV103"/>
  <c r="EW103"/>
  <c r="EX103"/>
  <c r="EY103"/>
  <c r="EZ103"/>
  <c r="FA103"/>
  <c r="FB103"/>
  <c r="FC103"/>
  <c r="FD103"/>
  <c r="FE103"/>
  <c r="FF103"/>
  <c r="FG103"/>
  <c r="FH103"/>
  <c r="FI103"/>
  <c r="FJ103"/>
  <c r="FK103"/>
  <c r="FL103"/>
  <c r="FM103"/>
  <c r="FN103"/>
  <c r="FO103"/>
  <c r="FP103"/>
  <c r="FQ103"/>
  <c r="FR103"/>
  <c r="FS103"/>
  <c r="FT103"/>
  <c r="FU103"/>
  <c r="FV103"/>
  <c r="FW103"/>
  <c r="FX103"/>
  <c r="FY103"/>
  <c r="FZ103"/>
  <c r="GA103"/>
  <c r="GB103"/>
  <c r="GC103"/>
  <c r="GD103"/>
  <c r="GE103"/>
  <c r="GF103"/>
  <c r="GG103"/>
  <c r="GH103"/>
  <c r="GI103"/>
  <c r="GJ103"/>
  <c r="GK103"/>
  <c r="GL103"/>
  <c r="GM103"/>
  <c r="GN103"/>
  <c r="GO103"/>
  <c r="GP103"/>
  <c r="GQ103"/>
  <c r="GR103"/>
  <c r="GS103"/>
  <c r="GT103"/>
  <c r="GU103"/>
  <c r="GV103"/>
  <c r="GW103"/>
  <c r="GX103"/>
  <c r="GY103"/>
  <c r="GZ103"/>
  <c r="HA103"/>
  <c r="HB103"/>
  <c r="HC103"/>
  <c r="HD103"/>
  <c r="HE103"/>
  <c r="HF103"/>
  <c r="HG103"/>
  <c r="HH103"/>
  <c r="HI103"/>
  <c r="HJ103"/>
  <c r="HK103"/>
  <c r="HL103"/>
  <c r="HM103"/>
  <c r="HN103"/>
  <c r="HO103"/>
  <c r="HP103"/>
  <c r="HQ103"/>
  <c r="HR103"/>
  <c r="HS103"/>
  <c r="HT103"/>
  <c r="HU103"/>
  <c r="HV103"/>
  <c r="HW103"/>
  <c r="HX103"/>
  <c r="HY103"/>
  <c r="HZ103"/>
  <c r="IA103"/>
  <c r="IB103"/>
  <c r="IC103"/>
  <c r="ID103"/>
  <c r="IE103"/>
  <c r="IF103"/>
  <c r="IG103"/>
  <c r="IH103"/>
  <c r="II103"/>
  <c r="IJ103"/>
  <c r="IK103"/>
  <c r="IL103"/>
  <c r="IM103"/>
  <c r="IN103"/>
  <c r="IO103"/>
  <c r="IP103"/>
  <c r="IQ103"/>
  <c r="IR103"/>
  <c r="IS103"/>
  <c r="IT103"/>
  <c r="IU103"/>
  <c r="IV103"/>
  <c r="A102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CE102"/>
  <c r="CF102"/>
  <c r="CG102"/>
  <c r="CH102"/>
  <c r="CI102"/>
  <c r="CJ102"/>
  <c r="CK102"/>
  <c r="CL102"/>
  <c r="CM102"/>
  <c r="CN102"/>
  <c r="CO102"/>
  <c r="CP102"/>
  <c r="CQ102"/>
  <c r="CR102"/>
  <c r="CS102"/>
  <c r="CT102"/>
  <c r="CU102"/>
  <c r="CV102"/>
  <c r="CW102"/>
  <c r="CX102"/>
  <c r="CY102"/>
  <c r="CZ102"/>
  <c r="DA102"/>
  <c r="DB102"/>
  <c r="DC102"/>
  <c r="DD102"/>
  <c r="DE102"/>
  <c r="DF102"/>
  <c r="DG102"/>
  <c r="DH102"/>
  <c r="DI102"/>
  <c r="DJ102"/>
  <c r="DK102"/>
  <c r="DL102"/>
  <c r="DM102"/>
  <c r="DN102"/>
  <c r="DO102"/>
  <c r="DP102"/>
  <c r="DQ102"/>
  <c r="DR102"/>
  <c r="DS102"/>
  <c r="DT102"/>
  <c r="DU102"/>
  <c r="DV102"/>
  <c r="DW102"/>
  <c r="DX102"/>
  <c r="DY102"/>
  <c r="DZ102"/>
  <c r="EA102"/>
  <c r="EB102"/>
  <c r="EC102"/>
  <c r="ED102"/>
  <c r="EE102"/>
  <c r="EF102"/>
  <c r="EG102"/>
  <c r="EH102"/>
  <c r="EI102"/>
  <c r="EJ102"/>
  <c r="EK102"/>
  <c r="EL102"/>
  <c r="EM102"/>
  <c r="EN102"/>
  <c r="EO102"/>
  <c r="EP102"/>
  <c r="EQ102"/>
  <c r="ER102"/>
  <c r="ES102"/>
  <c r="ET102"/>
  <c r="EU102"/>
  <c r="EV102"/>
  <c r="EW102"/>
  <c r="EX102"/>
  <c r="EY102"/>
  <c r="EZ102"/>
  <c r="FA102"/>
  <c r="FB102"/>
  <c r="FC102"/>
  <c r="FD102"/>
  <c r="FE102"/>
  <c r="FF102"/>
  <c r="FG102"/>
  <c r="FH102"/>
  <c r="FI102"/>
  <c r="FJ102"/>
  <c r="FK102"/>
  <c r="FL102"/>
  <c r="FM102"/>
  <c r="FN102"/>
  <c r="FO102"/>
  <c r="FP102"/>
  <c r="FQ102"/>
  <c r="FR102"/>
  <c r="FS102"/>
  <c r="FT102"/>
  <c r="FU102"/>
  <c r="FV102"/>
  <c r="FW102"/>
  <c r="FX102"/>
  <c r="FY102"/>
  <c r="FZ102"/>
  <c r="GA102"/>
  <c r="GB102"/>
  <c r="GC102"/>
  <c r="GD102"/>
  <c r="GE102"/>
  <c r="GF102"/>
  <c r="GG102"/>
  <c r="GH102"/>
  <c r="GI102"/>
  <c r="GJ102"/>
  <c r="GK102"/>
  <c r="GL102"/>
  <c r="GM102"/>
  <c r="GN102"/>
  <c r="GO102"/>
  <c r="GP102"/>
  <c r="GQ102"/>
  <c r="GR102"/>
  <c r="GS102"/>
  <c r="GT102"/>
  <c r="GU102"/>
  <c r="GV102"/>
  <c r="GW102"/>
  <c r="GX102"/>
  <c r="GY102"/>
  <c r="GZ102"/>
  <c r="HA102"/>
  <c r="HB102"/>
  <c r="HC102"/>
  <c r="HD102"/>
  <c r="HE102"/>
  <c r="HF102"/>
  <c r="HG102"/>
  <c r="HH102"/>
  <c r="HI102"/>
  <c r="HJ102"/>
  <c r="HK102"/>
  <c r="HL102"/>
  <c r="HM102"/>
  <c r="HN102"/>
  <c r="HO102"/>
  <c r="HP102"/>
  <c r="HQ102"/>
  <c r="HR102"/>
  <c r="HS102"/>
  <c r="HT102"/>
  <c r="HU102"/>
  <c r="HV102"/>
  <c r="HW102"/>
  <c r="HX102"/>
  <c r="HY102"/>
  <c r="HZ102"/>
  <c r="IA102"/>
  <c r="IB102"/>
  <c r="IC102"/>
  <c r="ID102"/>
  <c r="IE102"/>
  <c r="IF102"/>
  <c r="IG102"/>
  <c r="IH102"/>
  <c r="II102"/>
  <c r="IJ102"/>
  <c r="IK102"/>
  <c r="IL102"/>
  <c r="IM102"/>
  <c r="IN102"/>
  <c r="IO102"/>
  <c r="IP102"/>
  <c r="IQ102"/>
  <c r="IR102"/>
  <c r="IS102"/>
  <c r="IT102"/>
  <c r="IU102"/>
  <c r="IV102"/>
  <c r="A101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CE101"/>
  <c r="CF101"/>
  <c r="CG101"/>
  <c r="CH101"/>
  <c r="CI101"/>
  <c r="CJ101"/>
  <c r="CK101"/>
  <c r="CL101"/>
  <c r="CM101"/>
  <c r="CN101"/>
  <c r="CO101"/>
  <c r="CP101"/>
  <c r="CQ101"/>
  <c r="CR101"/>
  <c r="CS101"/>
  <c r="CT101"/>
  <c r="CU101"/>
  <c r="CV101"/>
  <c r="CW101"/>
  <c r="CX101"/>
  <c r="CY101"/>
  <c r="CZ101"/>
  <c r="DA101"/>
  <c r="DB101"/>
  <c r="DC101"/>
  <c r="DD101"/>
  <c r="DE101"/>
  <c r="DF101"/>
  <c r="DG101"/>
  <c r="DH101"/>
  <c r="DI101"/>
  <c r="DJ101"/>
  <c r="DK101"/>
  <c r="DL101"/>
  <c r="DM101"/>
  <c r="DN101"/>
  <c r="DO101"/>
  <c r="DP101"/>
  <c r="DQ101"/>
  <c r="DR101"/>
  <c r="DS101"/>
  <c r="DT101"/>
  <c r="DU101"/>
  <c r="DV101"/>
  <c r="DW101"/>
  <c r="DX101"/>
  <c r="DY101"/>
  <c r="DZ101"/>
  <c r="EA101"/>
  <c r="EB101"/>
  <c r="EC101"/>
  <c r="ED101"/>
  <c r="EE101"/>
  <c r="EF101"/>
  <c r="EG101"/>
  <c r="EH101"/>
  <c r="EI101"/>
  <c r="EJ101"/>
  <c r="EK101"/>
  <c r="EL101"/>
  <c r="EM101"/>
  <c r="EN101"/>
  <c r="EO101"/>
  <c r="EP101"/>
  <c r="EQ101"/>
  <c r="ER101"/>
  <c r="ES101"/>
  <c r="ET101"/>
  <c r="EU101"/>
  <c r="EV101"/>
  <c r="EW101"/>
  <c r="EX101"/>
  <c r="EY101"/>
  <c r="EZ101"/>
  <c r="FA101"/>
  <c r="FB101"/>
  <c r="FC101"/>
  <c r="FD101"/>
  <c r="FE101"/>
  <c r="FF101"/>
  <c r="FG101"/>
  <c r="FH101"/>
  <c r="FI101"/>
  <c r="FJ101"/>
  <c r="FK101"/>
  <c r="FL101"/>
  <c r="FM101"/>
  <c r="FN101"/>
  <c r="FO101"/>
  <c r="FP101"/>
  <c r="FQ101"/>
  <c r="FR101"/>
  <c r="FS101"/>
  <c r="FT101"/>
  <c r="FU101"/>
  <c r="FV101"/>
  <c r="FW101"/>
  <c r="FX101"/>
  <c r="FY101"/>
  <c r="FZ101"/>
  <c r="GA101"/>
  <c r="GB101"/>
  <c r="GC101"/>
  <c r="GD101"/>
  <c r="GE101"/>
  <c r="GF101"/>
  <c r="GG101"/>
  <c r="GH101"/>
  <c r="GI101"/>
  <c r="GJ101"/>
  <c r="GK101"/>
  <c r="GL101"/>
  <c r="GM101"/>
  <c r="GN101"/>
  <c r="GO101"/>
  <c r="GP101"/>
  <c r="GQ101"/>
  <c r="GR101"/>
  <c r="GS101"/>
  <c r="GT101"/>
  <c r="GU101"/>
  <c r="GV101"/>
  <c r="GW101"/>
  <c r="GX101"/>
  <c r="GY101"/>
  <c r="GZ101"/>
  <c r="HA101"/>
  <c r="HB101"/>
  <c r="HC101"/>
  <c r="HD101"/>
  <c r="HE101"/>
  <c r="HF101"/>
  <c r="HG101"/>
  <c r="HH101"/>
  <c r="HI101"/>
  <c r="HJ101"/>
  <c r="HK101"/>
  <c r="HL101"/>
  <c r="HM101"/>
  <c r="HN101"/>
  <c r="HO101"/>
  <c r="HP101"/>
  <c r="HQ101"/>
  <c r="HR101"/>
  <c r="HS101"/>
  <c r="HT101"/>
  <c r="HU101"/>
  <c r="HV101"/>
  <c r="HW101"/>
  <c r="HX101"/>
  <c r="HY101"/>
  <c r="HZ101"/>
  <c r="IA101"/>
  <c r="IB101"/>
  <c r="IC101"/>
  <c r="ID101"/>
  <c r="IE101"/>
  <c r="IF101"/>
  <c r="IG101"/>
  <c r="IH101"/>
  <c r="II101"/>
  <c r="IJ101"/>
  <c r="IK101"/>
  <c r="IL101"/>
  <c r="IM101"/>
  <c r="IN101"/>
  <c r="IO101"/>
  <c r="IP101"/>
  <c r="IQ101"/>
  <c r="IR101"/>
  <c r="IS101"/>
  <c r="IT101"/>
  <c r="IU101"/>
  <c r="IV101"/>
  <c r="A100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CE100"/>
  <c r="CF100"/>
  <c r="CG100"/>
  <c r="CH100"/>
  <c r="CI100"/>
  <c r="CJ100"/>
  <c r="CK100"/>
  <c r="CL100"/>
  <c r="CM100"/>
  <c r="CN100"/>
  <c r="CO100"/>
  <c r="CP100"/>
  <c r="CQ100"/>
  <c r="CR100"/>
  <c r="CS100"/>
  <c r="CT100"/>
  <c r="CU100"/>
  <c r="CV100"/>
  <c r="CW100"/>
  <c r="CX100"/>
  <c r="CY100"/>
  <c r="CZ100"/>
  <c r="DA100"/>
  <c r="DB100"/>
  <c r="DC100"/>
  <c r="DD100"/>
  <c r="DE100"/>
  <c r="DF100"/>
  <c r="DG100"/>
  <c r="DH100"/>
  <c r="DI100"/>
  <c r="DJ100"/>
  <c r="DK100"/>
  <c r="DL100"/>
  <c r="DM100"/>
  <c r="DN100"/>
  <c r="DO100"/>
  <c r="DP100"/>
  <c r="DQ100"/>
  <c r="DR100"/>
  <c r="DS100"/>
  <c r="DT100"/>
  <c r="DU100"/>
  <c r="DV100"/>
  <c r="DW100"/>
  <c r="DX100"/>
  <c r="DY100"/>
  <c r="DZ100"/>
  <c r="EA100"/>
  <c r="EB100"/>
  <c r="EC100"/>
  <c r="ED100"/>
  <c r="EE100"/>
  <c r="EF100"/>
  <c r="EG100"/>
  <c r="EH100"/>
  <c r="EI100"/>
  <c r="EJ100"/>
  <c r="EK100"/>
  <c r="EL100"/>
  <c r="EM100"/>
  <c r="EN100"/>
  <c r="EO100"/>
  <c r="EP100"/>
  <c r="EQ100"/>
  <c r="ER100"/>
  <c r="ES100"/>
  <c r="ET100"/>
  <c r="EU100"/>
  <c r="EV100"/>
  <c r="EW100"/>
  <c r="EX100"/>
  <c r="EY100"/>
  <c r="EZ100"/>
  <c r="FA100"/>
  <c r="FB100"/>
  <c r="FC100"/>
  <c r="FD100"/>
  <c r="FE100"/>
  <c r="FF100"/>
  <c r="FG100"/>
  <c r="FH100"/>
  <c r="FI100"/>
  <c r="FJ100"/>
  <c r="FK100"/>
  <c r="FL100"/>
  <c r="FM100"/>
  <c r="FN100"/>
  <c r="FO100"/>
  <c r="FP100"/>
  <c r="FQ100"/>
  <c r="FR100"/>
  <c r="FS100"/>
  <c r="FT100"/>
  <c r="FU100"/>
  <c r="FV100"/>
  <c r="FW100"/>
  <c r="FX100"/>
  <c r="FY100"/>
  <c r="FZ100"/>
  <c r="GA100"/>
  <c r="GB100"/>
  <c r="GC100"/>
  <c r="GD100"/>
  <c r="GE100"/>
  <c r="GF100"/>
  <c r="GG100"/>
  <c r="GH100"/>
  <c r="GI100"/>
  <c r="GJ100"/>
  <c r="GK100"/>
  <c r="GL100"/>
  <c r="GM100"/>
  <c r="GN100"/>
  <c r="GO100"/>
  <c r="GP100"/>
  <c r="GQ100"/>
  <c r="GR100"/>
  <c r="GS100"/>
  <c r="GT100"/>
  <c r="GU100"/>
  <c r="GV100"/>
  <c r="GW100"/>
  <c r="GX100"/>
  <c r="GY100"/>
  <c r="GZ100"/>
  <c r="HA100"/>
  <c r="HB100"/>
  <c r="HC100"/>
  <c r="HD100"/>
  <c r="HE100"/>
  <c r="HF100"/>
  <c r="HG100"/>
  <c r="HH100"/>
  <c r="HI100"/>
  <c r="HJ100"/>
  <c r="HK100"/>
  <c r="HL100"/>
  <c r="HM100"/>
  <c r="HN100"/>
  <c r="HO100"/>
  <c r="HP100"/>
  <c r="HQ100"/>
  <c r="HR100"/>
  <c r="HS100"/>
  <c r="HT100"/>
  <c r="HU100"/>
  <c r="HV100"/>
  <c r="HW100"/>
  <c r="HX100"/>
  <c r="HY100"/>
  <c r="HZ100"/>
  <c r="IA100"/>
  <c r="IB100"/>
  <c r="IC100"/>
  <c r="ID100"/>
  <c r="IE100"/>
  <c r="IF100"/>
  <c r="IG100"/>
  <c r="IH100"/>
  <c r="II100"/>
  <c r="IJ100"/>
  <c r="IK100"/>
  <c r="IL100"/>
  <c r="IM100"/>
  <c r="IN100"/>
  <c r="IO100"/>
  <c r="IP100"/>
  <c r="IQ100"/>
  <c r="IR100"/>
  <c r="IS100"/>
  <c r="IT100"/>
  <c r="IU100"/>
  <c r="IV100"/>
  <c r="A99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CX99"/>
  <c r="CY99"/>
  <c r="CZ99"/>
  <c r="DA99"/>
  <c r="DB99"/>
  <c r="DC99"/>
  <c r="DD99"/>
  <c r="DE99"/>
  <c r="DF99"/>
  <c r="DG99"/>
  <c r="DH99"/>
  <c r="DI99"/>
  <c r="DJ99"/>
  <c r="DK99"/>
  <c r="DL99"/>
  <c r="DM99"/>
  <c r="DN99"/>
  <c r="DO99"/>
  <c r="DP99"/>
  <c r="DQ99"/>
  <c r="DR99"/>
  <c r="DS99"/>
  <c r="DT99"/>
  <c r="DU99"/>
  <c r="DV99"/>
  <c r="DW99"/>
  <c r="DX99"/>
  <c r="DY99"/>
  <c r="DZ99"/>
  <c r="EA99"/>
  <c r="EB99"/>
  <c r="EC99"/>
  <c r="ED99"/>
  <c r="EE99"/>
  <c r="EF99"/>
  <c r="EG99"/>
  <c r="EH99"/>
  <c r="EI99"/>
  <c r="EJ99"/>
  <c r="EK99"/>
  <c r="EL99"/>
  <c r="EM99"/>
  <c r="EN99"/>
  <c r="EO99"/>
  <c r="EP99"/>
  <c r="EQ99"/>
  <c r="ER99"/>
  <c r="ES99"/>
  <c r="ET99"/>
  <c r="EU99"/>
  <c r="EV99"/>
  <c r="EW99"/>
  <c r="EX99"/>
  <c r="EY99"/>
  <c r="EZ99"/>
  <c r="FA99"/>
  <c r="FB99"/>
  <c r="FC99"/>
  <c r="FD99"/>
  <c r="FE99"/>
  <c r="FF99"/>
  <c r="FG99"/>
  <c r="FH99"/>
  <c r="FI99"/>
  <c r="FJ99"/>
  <c r="FK99"/>
  <c r="FL99"/>
  <c r="FM99"/>
  <c r="FN99"/>
  <c r="FO99"/>
  <c r="FP99"/>
  <c r="FQ99"/>
  <c r="FR99"/>
  <c r="FS99"/>
  <c r="FT99"/>
  <c r="FU99"/>
  <c r="FV99"/>
  <c r="FW99"/>
  <c r="FX99"/>
  <c r="FY99"/>
  <c r="FZ99"/>
  <c r="GA99"/>
  <c r="GB99"/>
  <c r="GC99"/>
  <c r="GD99"/>
  <c r="GE99"/>
  <c r="GF99"/>
  <c r="GG99"/>
  <c r="GH99"/>
  <c r="GI99"/>
  <c r="GJ99"/>
  <c r="GK99"/>
  <c r="GL99"/>
  <c r="GM99"/>
  <c r="GN99"/>
  <c r="GO99"/>
  <c r="GP99"/>
  <c r="GQ99"/>
  <c r="GR99"/>
  <c r="GS99"/>
  <c r="GT99"/>
  <c r="GU99"/>
  <c r="GV99"/>
  <c r="GW99"/>
  <c r="GX99"/>
  <c r="GY99"/>
  <c r="GZ99"/>
  <c r="HA99"/>
  <c r="HB99"/>
  <c r="HC99"/>
  <c r="HD99"/>
  <c r="HE99"/>
  <c r="HF99"/>
  <c r="HG99"/>
  <c r="HH99"/>
  <c r="HI99"/>
  <c r="HJ99"/>
  <c r="HK99"/>
  <c r="HL99"/>
  <c r="HM99"/>
  <c r="HN99"/>
  <c r="HO99"/>
  <c r="HP99"/>
  <c r="HQ99"/>
  <c r="HR99"/>
  <c r="HS99"/>
  <c r="HT99"/>
  <c r="HU99"/>
  <c r="HV99"/>
  <c r="HW99"/>
  <c r="HX99"/>
  <c r="HY99"/>
  <c r="HZ99"/>
  <c r="IA99"/>
  <c r="IB99"/>
  <c r="IC99"/>
  <c r="ID99"/>
  <c r="IE99"/>
  <c r="IF99"/>
  <c r="IG99"/>
  <c r="IH99"/>
  <c r="II99"/>
  <c r="IJ99"/>
  <c r="IK99"/>
  <c r="IL99"/>
  <c r="IM99"/>
  <c r="IN99"/>
  <c r="IO99"/>
  <c r="IP99"/>
  <c r="IQ99"/>
  <c r="IR99"/>
  <c r="IS99"/>
  <c r="IT99"/>
  <c r="IU99"/>
  <c r="IV99"/>
  <c r="A98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CE98"/>
  <c r="CF98"/>
  <c r="CG98"/>
  <c r="CH98"/>
  <c r="CI98"/>
  <c r="CJ98"/>
  <c r="CK98"/>
  <c r="CL98"/>
  <c r="CM98"/>
  <c r="CN98"/>
  <c r="CO98"/>
  <c r="CP98"/>
  <c r="CQ98"/>
  <c r="CR98"/>
  <c r="CS98"/>
  <c r="CT98"/>
  <c r="CU98"/>
  <c r="CV98"/>
  <c r="CW98"/>
  <c r="CX98"/>
  <c r="CY98"/>
  <c r="CZ98"/>
  <c r="DA98"/>
  <c r="DB98"/>
  <c r="DC98"/>
  <c r="DD98"/>
  <c r="DE98"/>
  <c r="DF98"/>
  <c r="DG98"/>
  <c r="DH98"/>
  <c r="DI98"/>
  <c r="DJ98"/>
  <c r="DK98"/>
  <c r="DL98"/>
  <c r="DM98"/>
  <c r="DN98"/>
  <c r="DO98"/>
  <c r="DP98"/>
  <c r="DQ98"/>
  <c r="DR98"/>
  <c r="DS98"/>
  <c r="DT98"/>
  <c r="DU98"/>
  <c r="DV98"/>
  <c r="DW98"/>
  <c r="DX98"/>
  <c r="DY98"/>
  <c r="DZ98"/>
  <c r="EA98"/>
  <c r="EB98"/>
  <c r="EC98"/>
  <c r="ED98"/>
  <c r="EE98"/>
  <c r="EF98"/>
  <c r="EG98"/>
  <c r="EH98"/>
  <c r="EI98"/>
  <c r="EJ98"/>
  <c r="EK98"/>
  <c r="EL98"/>
  <c r="EM98"/>
  <c r="EN98"/>
  <c r="EO98"/>
  <c r="EP98"/>
  <c r="EQ98"/>
  <c r="ER98"/>
  <c r="ES98"/>
  <c r="ET98"/>
  <c r="EU98"/>
  <c r="EV98"/>
  <c r="EW98"/>
  <c r="EX98"/>
  <c r="EY98"/>
  <c r="EZ98"/>
  <c r="FA98"/>
  <c r="FB98"/>
  <c r="FC98"/>
  <c r="FD98"/>
  <c r="FE98"/>
  <c r="FF98"/>
  <c r="FG98"/>
  <c r="FH98"/>
  <c r="FI98"/>
  <c r="FJ98"/>
  <c r="FK98"/>
  <c r="FL98"/>
  <c r="FM98"/>
  <c r="FN98"/>
  <c r="FO98"/>
  <c r="FP98"/>
  <c r="FQ98"/>
  <c r="FR98"/>
  <c r="FS98"/>
  <c r="FT98"/>
  <c r="FU98"/>
  <c r="FV98"/>
  <c r="FW98"/>
  <c r="FX98"/>
  <c r="FY98"/>
  <c r="FZ98"/>
  <c r="GA98"/>
  <c r="GB98"/>
  <c r="GC98"/>
  <c r="GD98"/>
  <c r="GE98"/>
  <c r="GF98"/>
  <c r="GG98"/>
  <c r="GH98"/>
  <c r="GI98"/>
  <c r="GJ98"/>
  <c r="GK98"/>
  <c r="GL98"/>
  <c r="GM98"/>
  <c r="GN98"/>
  <c r="GO98"/>
  <c r="GP98"/>
  <c r="GQ98"/>
  <c r="GR98"/>
  <c r="GS98"/>
  <c r="GT98"/>
  <c r="GU98"/>
  <c r="GV98"/>
  <c r="GW98"/>
  <c r="GX98"/>
  <c r="GY98"/>
  <c r="GZ98"/>
  <c r="HA98"/>
  <c r="HB98"/>
  <c r="HC98"/>
  <c r="HD98"/>
  <c r="HE98"/>
  <c r="HF98"/>
  <c r="HG98"/>
  <c r="HH98"/>
  <c r="HI98"/>
  <c r="HJ98"/>
  <c r="HK98"/>
  <c r="HL98"/>
  <c r="HM98"/>
  <c r="HN98"/>
  <c r="HO98"/>
  <c r="HP98"/>
  <c r="HQ98"/>
  <c r="HR98"/>
  <c r="HS98"/>
  <c r="HT98"/>
  <c r="HU98"/>
  <c r="HV98"/>
  <c r="HW98"/>
  <c r="HX98"/>
  <c r="HY98"/>
  <c r="HZ98"/>
  <c r="IA98"/>
  <c r="IB98"/>
  <c r="IC98"/>
  <c r="ID98"/>
  <c r="IE98"/>
  <c r="IF98"/>
  <c r="IG98"/>
  <c r="IH98"/>
  <c r="II98"/>
  <c r="IJ98"/>
  <c r="IK98"/>
  <c r="IL98"/>
  <c r="IM98"/>
  <c r="IN98"/>
  <c r="IO98"/>
  <c r="IP98"/>
  <c r="IQ98"/>
  <c r="IR98"/>
  <c r="IS98"/>
  <c r="IT98"/>
  <c r="IU98"/>
  <c r="IV98"/>
  <c r="A97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CE97"/>
  <c r="CF97"/>
  <c r="CG97"/>
  <c r="CH97"/>
  <c r="CI97"/>
  <c r="CJ97"/>
  <c r="CK97"/>
  <c r="CL97"/>
  <c r="CM97"/>
  <c r="CN97"/>
  <c r="CO97"/>
  <c r="CP97"/>
  <c r="CQ97"/>
  <c r="CR97"/>
  <c r="CS97"/>
  <c r="CT97"/>
  <c r="CU97"/>
  <c r="CV97"/>
  <c r="CW97"/>
  <c r="CX97"/>
  <c r="CY97"/>
  <c r="CZ97"/>
  <c r="DA97"/>
  <c r="DB97"/>
  <c r="DC97"/>
  <c r="DD97"/>
  <c r="DE97"/>
  <c r="DF97"/>
  <c r="DG97"/>
  <c r="DH97"/>
  <c r="DI97"/>
  <c r="DJ97"/>
  <c r="DK97"/>
  <c r="DL97"/>
  <c r="DM97"/>
  <c r="DN97"/>
  <c r="DO97"/>
  <c r="DP97"/>
  <c r="DQ97"/>
  <c r="DR97"/>
  <c r="DS97"/>
  <c r="DT97"/>
  <c r="DU97"/>
  <c r="DV97"/>
  <c r="DW97"/>
  <c r="DX97"/>
  <c r="DY97"/>
  <c r="DZ97"/>
  <c r="EA97"/>
  <c r="EB97"/>
  <c r="EC97"/>
  <c r="ED97"/>
  <c r="EE97"/>
  <c r="EF97"/>
  <c r="EG97"/>
  <c r="EH97"/>
  <c r="EI97"/>
  <c r="EJ97"/>
  <c r="EK97"/>
  <c r="EL97"/>
  <c r="EM97"/>
  <c r="EN97"/>
  <c r="EO97"/>
  <c r="EP97"/>
  <c r="EQ97"/>
  <c r="ER97"/>
  <c r="ES97"/>
  <c r="ET97"/>
  <c r="EU97"/>
  <c r="EV97"/>
  <c r="EW97"/>
  <c r="EX97"/>
  <c r="EY97"/>
  <c r="EZ97"/>
  <c r="FA97"/>
  <c r="FB97"/>
  <c r="FC97"/>
  <c r="FD97"/>
  <c r="FE97"/>
  <c r="FF97"/>
  <c r="FG97"/>
  <c r="FH97"/>
  <c r="FI97"/>
  <c r="FJ97"/>
  <c r="FK97"/>
  <c r="FL97"/>
  <c r="FM97"/>
  <c r="FN97"/>
  <c r="FO97"/>
  <c r="FP97"/>
  <c r="FQ97"/>
  <c r="FR97"/>
  <c r="FS97"/>
  <c r="FT97"/>
  <c r="FU97"/>
  <c r="FV97"/>
  <c r="FW97"/>
  <c r="FX97"/>
  <c r="FY97"/>
  <c r="FZ97"/>
  <c r="GA97"/>
  <c r="GB97"/>
  <c r="GC97"/>
  <c r="GD97"/>
  <c r="GE97"/>
  <c r="GF97"/>
  <c r="GG97"/>
  <c r="GH97"/>
  <c r="GI97"/>
  <c r="GJ97"/>
  <c r="GK97"/>
  <c r="GL97"/>
  <c r="GM97"/>
  <c r="GN97"/>
  <c r="GO97"/>
  <c r="GP97"/>
  <c r="GQ97"/>
  <c r="GR97"/>
  <c r="GS97"/>
  <c r="GT97"/>
  <c r="GU97"/>
  <c r="GV97"/>
  <c r="GW97"/>
  <c r="GX97"/>
  <c r="GY97"/>
  <c r="GZ97"/>
  <c r="HA97"/>
  <c r="HB97"/>
  <c r="HC97"/>
  <c r="HD97"/>
  <c r="HE97"/>
  <c r="HF97"/>
  <c r="HG97"/>
  <c r="HH97"/>
  <c r="HI97"/>
  <c r="HJ97"/>
  <c r="HK97"/>
  <c r="HL97"/>
  <c r="HM97"/>
  <c r="HN97"/>
  <c r="HO97"/>
  <c r="HP97"/>
  <c r="HQ97"/>
  <c r="HR97"/>
  <c r="HS97"/>
  <c r="HT97"/>
  <c r="HU97"/>
  <c r="HV97"/>
  <c r="HW97"/>
  <c r="HX97"/>
  <c r="HY97"/>
  <c r="HZ97"/>
  <c r="IA97"/>
  <c r="IB97"/>
  <c r="IC97"/>
  <c r="ID97"/>
  <c r="IE97"/>
  <c r="IF97"/>
  <c r="IG97"/>
  <c r="IH97"/>
  <c r="II97"/>
  <c r="IJ97"/>
  <c r="IK97"/>
  <c r="IL97"/>
  <c r="IM97"/>
  <c r="IN97"/>
  <c r="IO97"/>
  <c r="IP97"/>
  <c r="IQ97"/>
  <c r="IR97"/>
  <c r="IS97"/>
  <c r="IT97"/>
  <c r="IU97"/>
  <c r="IV97"/>
  <c r="A96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CE96"/>
  <c r="CF96"/>
  <c r="CG96"/>
  <c r="CH96"/>
  <c r="CI96"/>
  <c r="CJ96"/>
  <c r="CK96"/>
  <c r="CL96"/>
  <c r="CM96"/>
  <c r="CN96"/>
  <c r="CO96"/>
  <c r="CP96"/>
  <c r="CQ96"/>
  <c r="CR96"/>
  <c r="CS96"/>
  <c r="CT96"/>
  <c r="CU96"/>
  <c r="CV96"/>
  <c r="CW96"/>
  <c r="CX96"/>
  <c r="CY96"/>
  <c r="CZ96"/>
  <c r="DA96"/>
  <c r="DB96"/>
  <c r="DC96"/>
  <c r="DD96"/>
  <c r="DE96"/>
  <c r="DF96"/>
  <c r="DG96"/>
  <c r="DH96"/>
  <c r="DI96"/>
  <c r="DJ96"/>
  <c r="DK96"/>
  <c r="DL96"/>
  <c r="DM96"/>
  <c r="DN96"/>
  <c r="DO96"/>
  <c r="DP96"/>
  <c r="DQ96"/>
  <c r="DR96"/>
  <c r="DS96"/>
  <c r="DT96"/>
  <c r="DU96"/>
  <c r="DV96"/>
  <c r="DW96"/>
  <c r="DX96"/>
  <c r="DY96"/>
  <c r="DZ96"/>
  <c r="EA96"/>
  <c r="EB96"/>
  <c r="EC96"/>
  <c r="ED96"/>
  <c r="EE96"/>
  <c r="EF96"/>
  <c r="EG96"/>
  <c r="EH96"/>
  <c r="EI96"/>
  <c r="EJ96"/>
  <c r="EK96"/>
  <c r="EL96"/>
  <c r="EM96"/>
  <c r="EN96"/>
  <c r="EO96"/>
  <c r="EP96"/>
  <c r="EQ96"/>
  <c r="ER96"/>
  <c r="ES96"/>
  <c r="ET96"/>
  <c r="EU96"/>
  <c r="EV96"/>
  <c r="EW96"/>
  <c r="EX96"/>
  <c r="EY96"/>
  <c r="EZ96"/>
  <c r="FA96"/>
  <c r="FB96"/>
  <c r="FC96"/>
  <c r="FD96"/>
  <c r="FE96"/>
  <c r="FF96"/>
  <c r="FG96"/>
  <c r="FH96"/>
  <c r="FI96"/>
  <c r="FJ96"/>
  <c r="FK96"/>
  <c r="FL96"/>
  <c r="FM96"/>
  <c r="FN96"/>
  <c r="FO96"/>
  <c r="FP96"/>
  <c r="FQ96"/>
  <c r="FR96"/>
  <c r="FS96"/>
  <c r="FT96"/>
  <c r="FU96"/>
  <c r="FV96"/>
  <c r="FW96"/>
  <c r="FX96"/>
  <c r="FY96"/>
  <c r="FZ96"/>
  <c r="GA96"/>
  <c r="GB96"/>
  <c r="GC96"/>
  <c r="GD96"/>
  <c r="GE96"/>
  <c r="GF96"/>
  <c r="GG96"/>
  <c r="GH96"/>
  <c r="GI96"/>
  <c r="GJ96"/>
  <c r="GK96"/>
  <c r="GL96"/>
  <c r="GM96"/>
  <c r="GN96"/>
  <c r="GO96"/>
  <c r="GP96"/>
  <c r="GQ96"/>
  <c r="GR96"/>
  <c r="GS96"/>
  <c r="GT96"/>
  <c r="GU96"/>
  <c r="GV96"/>
  <c r="GW96"/>
  <c r="GX96"/>
  <c r="GY96"/>
  <c r="GZ96"/>
  <c r="HA96"/>
  <c r="HB96"/>
  <c r="HC96"/>
  <c r="HD96"/>
  <c r="HE96"/>
  <c r="HF96"/>
  <c r="HG96"/>
  <c r="HH96"/>
  <c r="HI96"/>
  <c r="HJ96"/>
  <c r="HK96"/>
  <c r="HL96"/>
  <c r="HM96"/>
  <c r="HN96"/>
  <c r="HO96"/>
  <c r="HP96"/>
  <c r="HQ96"/>
  <c r="HR96"/>
  <c r="HS96"/>
  <c r="HT96"/>
  <c r="HU96"/>
  <c r="HV96"/>
  <c r="HW96"/>
  <c r="HX96"/>
  <c r="HY96"/>
  <c r="HZ96"/>
  <c r="IA96"/>
  <c r="IB96"/>
  <c r="IC96"/>
  <c r="ID96"/>
  <c r="IE96"/>
  <c r="IF96"/>
  <c r="IG96"/>
  <c r="IH96"/>
  <c r="II96"/>
  <c r="IJ96"/>
  <c r="IK96"/>
  <c r="IL96"/>
  <c r="IM96"/>
  <c r="IN96"/>
  <c r="IO96"/>
  <c r="IP96"/>
  <c r="IQ96"/>
  <c r="IR96"/>
  <c r="IS96"/>
  <c r="IT96"/>
  <c r="IU96"/>
  <c r="IV96"/>
  <c r="A95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CE95"/>
  <c r="CF95"/>
  <c r="CG95"/>
  <c r="CH95"/>
  <c r="CI95"/>
  <c r="CJ95"/>
  <c r="CK95"/>
  <c r="CL95"/>
  <c r="CM95"/>
  <c r="CN95"/>
  <c r="CO95"/>
  <c r="CP95"/>
  <c r="CQ95"/>
  <c r="CR95"/>
  <c r="CS95"/>
  <c r="CT95"/>
  <c r="CU95"/>
  <c r="CV95"/>
  <c r="CW95"/>
  <c r="CX95"/>
  <c r="CY95"/>
  <c r="CZ95"/>
  <c r="DA95"/>
  <c r="DB95"/>
  <c r="DC95"/>
  <c r="DD95"/>
  <c r="DE95"/>
  <c r="DF95"/>
  <c r="DG95"/>
  <c r="DH95"/>
  <c r="DI95"/>
  <c r="DJ95"/>
  <c r="DK95"/>
  <c r="DL95"/>
  <c r="DM95"/>
  <c r="DN95"/>
  <c r="DO95"/>
  <c r="DP95"/>
  <c r="DQ95"/>
  <c r="DR95"/>
  <c r="DS95"/>
  <c r="DT95"/>
  <c r="DU95"/>
  <c r="DV95"/>
  <c r="DW95"/>
  <c r="DX95"/>
  <c r="DY95"/>
  <c r="DZ95"/>
  <c r="EA95"/>
  <c r="EB95"/>
  <c r="EC95"/>
  <c r="ED95"/>
  <c r="EE95"/>
  <c r="EF95"/>
  <c r="EG95"/>
  <c r="EH95"/>
  <c r="EI95"/>
  <c r="EJ95"/>
  <c r="EK95"/>
  <c r="EL95"/>
  <c r="EM95"/>
  <c r="EN95"/>
  <c r="EO95"/>
  <c r="EP95"/>
  <c r="EQ95"/>
  <c r="ER95"/>
  <c r="ES95"/>
  <c r="ET95"/>
  <c r="EU95"/>
  <c r="EV95"/>
  <c r="EW95"/>
  <c r="EX95"/>
  <c r="EY95"/>
  <c r="EZ95"/>
  <c r="FA95"/>
  <c r="FB95"/>
  <c r="FC95"/>
  <c r="FD95"/>
  <c r="FE95"/>
  <c r="FF95"/>
  <c r="FG95"/>
  <c r="FH95"/>
  <c r="FI95"/>
  <c r="FJ95"/>
  <c r="FK95"/>
  <c r="FL95"/>
  <c r="FM95"/>
  <c r="FN95"/>
  <c r="FO95"/>
  <c r="FP95"/>
  <c r="FQ95"/>
  <c r="FR95"/>
  <c r="FS95"/>
  <c r="FT95"/>
  <c r="FU95"/>
  <c r="FV95"/>
  <c r="FW95"/>
  <c r="FX95"/>
  <c r="FY95"/>
  <c r="FZ95"/>
  <c r="GA95"/>
  <c r="GB95"/>
  <c r="GC95"/>
  <c r="GD95"/>
  <c r="GE95"/>
  <c r="GF95"/>
  <c r="GG95"/>
  <c r="GH95"/>
  <c r="GI95"/>
  <c r="GJ95"/>
  <c r="GK95"/>
  <c r="GL95"/>
  <c r="GM95"/>
  <c r="GN95"/>
  <c r="GO95"/>
  <c r="GP95"/>
  <c r="GQ95"/>
  <c r="GR95"/>
  <c r="GS95"/>
  <c r="GT95"/>
  <c r="GU95"/>
  <c r="GV95"/>
  <c r="GW95"/>
  <c r="GX95"/>
  <c r="GY95"/>
  <c r="GZ95"/>
  <c r="HA95"/>
  <c r="HB95"/>
  <c r="HC95"/>
  <c r="HD95"/>
  <c r="HE95"/>
  <c r="HF95"/>
  <c r="HG95"/>
  <c r="HH95"/>
  <c r="HI95"/>
  <c r="HJ95"/>
  <c r="HK95"/>
  <c r="HL95"/>
  <c r="HM95"/>
  <c r="HN95"/>
  <c r="HO95"/>
  <c r="HP95"/>
  <c r="HQ95"/>
  <c r="HR95"/>
  <c r="HS95"/>
  <c r="HT95"/>
  <c r="HU95"/>
  <c r="HV95"/>
  <c r="HW95"/>
  <c r="HX95"/>
  <c r="HY95"/>
  <c r="HZ95"/>
  <c r="IA95"/>
  <c r="IB95"/>
  <c r="IC95"/>
  <c r="ID95"/>
  <c r="IE95"/>
  <c r="IF95"/>
  <c r="IG95"/>
  <c r="IH95"/>
  <c r="II95"/>
  <c r="IJ95"/>
  <c r="IK95"/>
  <c r="IL95"/>
  <c r="IM95"/>
  <c r="IN95"/>
  <c r="IO95"/>
  <c r="IP95"/>
  <c r="IQ95"/>
  <c r="IR95"/>
  <c r="IS95"/>
  <c r="IT95"/>
  <c r="IU95"/>
  <c r="IV95"/>
  <c r="A94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CE94"/>
  <c r="CF94"/>
  <c r="CG94"/>
  <c r="CH94"/>
  <c r="CI94"/>
  <c r="CJ94"/>
  <c r="CK94"/>
  <c r="CL94"/>
  <c r="CM94"/>
  <c r="CN94"/>
  <c r="CO94"/>
  <c r="CP94"/>
  <c r="CQ94"/>
  <c r="CR94"/>
  <c r="CS94"/>
  <c r="CT94"/>
  <c r="CU94"/>
  <c r="CV94"/>
  <c r="CW94"/>
  <c r="CX94"/>
  <c r="CY94"/>
  <c r="CZ94"/>
  <c r="DA94"/>
  <c r="DB94"/>
  <c r="DC94"/>
  <c r="DD94"/>
  <c r="DE94"/>
  <c r="DF94"/>
  <c r="DG94"/>
  <c r="DH94"/>
  <c r="DI94"/>
  <c r="DJ94"/>
  <c r="DK94"/>
  <c r="DL94"/>
  <c r="DM94"/>
  <c r="DN94"/>
  <c r="DO94"/>
  <c r="DP94"/>
  <c r="DQ94"/>
  <c r="DR94"/>
  <c r="DS94"/>
  <c r="DT94"/>
  <c r="DU94"/>
  <c r="DV94"/>
  <c r="DW94"/>
  <c r="DX94"/>
  <c r="DY94"/>
  <c r="DZ94"/>
  <c r="EA94"/>
  <c r="EB94"/>
  <c r="EC94"/>
  <c r="ED94"/>
  <c r="EE94"/>
  <c r="EF94"/>
  <c r="EG94"/>
  <c r="EH94"/>
  <c r="EI94"/>
  <c r="EJ94"/>
  <c r="EK94"/>
  <c r="EL94"/>
  <c r="EM94"/>
  <c r="EN94"/>
  <c r="EO94"/>
  <c r="EP94"/>
  <c r="EQ94"/>
  <c r="ER94"/>
  <c r="ES94"/>
  <c r="ET94"/>
  <c r="EU94"/>
  <c r="EV94"/>
  <c r="EW94"/>
  <c r="EX94"/>
  <c r="EY94"/>
  <c r="EZ94"/>
  <c r="FA94"/>
  <c r="FB94"/>
  <c r="FC94"/>
  <c r="FD94"/>
  <c r="FE94"/>
  <c r="FF94"/>
  <c r="FG94"/>
  <c r="FH94"/>
  <c r="FI94"/>
  <c r="FJ94"/>
  <c r="FK94"/>
  <c r="FL94"/>
  <c r="FM94"/>
  <c r="FN94"/>
  <c r="FO94"/>
  <c r="FP94"/>
  <c r="FQ94"/>
  <c r="FR94"/>
  <c r="FS94"/>
  <c r="FT94"/>
  <c r="FU94"/>
  <c r="FV94"/>
  <c r="FW94"/>
  <c r="FX94"/>
  <c r="FY94"/>
  <c r="FZ94"/>
  <c r="GA94"/>
  <c r="GB94"/>
  <c r="GC94"/>
  <c r="GD94"/>
  <c r="GE94"/>
  <c r="GF94"/>
  <c r="GG94"/>
  <c r="GH94"/>
  <c r="GI94"/>
  <c r="GJ94"/>
  <c r="GK94"/>
  <c r="GL94"/>
  <c r="GM94"/>
  <c r="GN94"/>
  <c r="GO94"/>
  <c r="GP94"/>
  <c r="GQ94"/>
  <c r="GR94"/>
  <c r="GS94"/>
  <c r="GT94"/>
  <c r="GU94"/>
  <c r="GV94"/>
  <c r="GW94"/>
  <c r="GX94"/>
  <c r="GY94"/>
  <c r="GZ94"/>
  <c r="HA94"/>
  <c r="HB94"/>
  <c r="HC94"/>
  <c r="HD94"/>
  <c r="HE94"/>
  <c r="HF94"/>
  <c r="HG94"/>
  <c r="HH94"/>
  <c r="HI94"/>
  <c r="HJ94"/>
  <c r="HK94"/>
  <c r="HL94"/>
  <c r="HM94"/>
  <c r="HN94"/>
  <c r="HO94"/>
  <c r="HP94"/>
  <c r="HQ94"/>
  <c r="HR94"/>
  <c r="HS94"/>
  <c r="HT94"/>
  <c r="HU94"/>
  <c r="HV94"/>
  <c r="HW94"/>
  <c r="HX94"/>
  <c r="HY94"/>
  <c r="HZ94"/>
  <c r="IA94"/>
  <c r="IB94"/>
  <c r="IC94"/>
  <c r="ID94"/>
  <c r="IE94"/>
  <c r="IF94"/>
  <c r="IG94"/>
  <c r="IH94"/>
  <c r="II94"/>
  <c r="IJ94"/>
  <c r="IK94"/>
  <c r="IL94"/>
  <c r="IM94"/>
  <c r="IN94"/>
  <c r="IO94"/>
  <c r="IP94"/>
  <c r="IQ94"/>
  <c r="IR94"/>
  <c r="IS94"/>
  <c r="IT94"/>
  <c r="IU94"/>
  <c r="IV94"/>
  <c r="A93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CE93"/>
  <c r="CF93"/>
  <c r="CG93"/>
  <c r="CH93"/>
  <c r="CI93"/>
  <c r="CJ93"/>
  <c r="CK93"/>
  <c r="CL93"/>
  <c r="CM93"/>
  <c r="CN93"/>
  <c r="CO93"/>
  <c r="CP93"/>
  <c r="CQ93"/>
  <c r="CR93"/>
  <c r="CS93"/>
  <c r="CT93"/>
  <c r="CU93"/>
  <c r="CV93"/>
  <c r="CW93"/>
  <c r="CX93"/>
  <c r="CY93"/>
  <c r="CZ93"/>
  <c r="DA93"/>
  <c r="DB93"/>
  <c r="DC93"/>
  <c r="DD93"/>
  <c r="DE93"/>
  <c r="DF93"/>
  <c r="DG93"/>
  <c r="DH93"/>
  <c r="DI93"/>
  <c r="DJ93"/>
  <c r="DK93"/>
  <c r="DL93"/>
  <c r="DM93"/>
  <c r="DN93"/>
  <c r="DO93"/>
  <c r="DP93"/>
  <c r="DQ93"/>
  <c r="DR93"/>
  <c r="DS93"/>
  <c r="DT93"/>
  <c r="DU93"/>
  <c r="DV93"/>
  <c r="DW93"/>
  <c r="DX93"/>
  <c r="DY93"/>
  <c r="DZ93"/>
  <c r="EA93"/>
  <c r="EB93"/>
  <c r="EC93"/>
  <c r="ED93"/>
  <c r="EE93"/>
  <c r="EF93"/>
  <c r="EG93"/>
  <c r="EH93"/>
  <c r="EI93"/>
  <c r="EJ93"/>
  <c r="EK93"/>
  <c r="EL93"/>
  <c r="EM93"/>
  <c r="EN93"/>
  <c r="EO93"/>
  <c r="EP93"/>
  <c r="EQ93"/>
  <c r="ER93"/>
  <c r="ES93"/>
  <c r="ET93"/>
  <c r="EU93"/>
  <c r="EV93"/>
  <c r="EW93"/>
  <c r="EX93"/>
  <c r="EY93"/>
  <c r="EZ93"/>
  <c r="FA93"/>
  <c r="FB93"/>
  <c r="FC93"/>
  <c r="FD93"/>
  <c r="FE93"/>
  <c r="FF93"/>
  <c r="FG93"/>
  <c r="FH93"/>
  <c r="FI93"/>
  <c r="FJ93"/>
  <c r="FK93"/>
  <c r="FL93"/>
  <c r="FM93"/>
  <c r="FN93"/>
  <c r="FO93"/>
  <c r="FP93"/>
  <c r="FQ93"/>
  <c r="FR93"/>
  <c r="FS93"/>
  <c r="FT93"/>
  <c r="FU93"/>
  <c r="FV93"/>
  <c r="FW93"/>
  <c r="FX93"/>
  <c r="FY93"/>
  <c r="FZ93"/>
  <c r="GA93"/>
  <c r="GB93"/>
  <c r="GC93"/>
  <c r="GD93"/>
  <c r="GE93"/>
  <c r="GF93"/>
  <c r="GG93"/>
  <c r="GH93"/>
  <c r="GI93"/>
  <c r="GJ93"/>
  <c r="GK93"/>
  <c r="GL93"/>
  <c r="GM93"/>
  <c r="GN93"/>
  <c r="GO93"/>
  <c r="GP93"/>
  <c r="GQ93"/>
  <c r="GR93"/>
  <c r="GS93"/>
  <c r="GT93"/>
  <c r="GU93"/>
  <c r="GV93"/>
  <c r="GW93"/>
  <c r="GX93"/>
  <c r="GY93"/>
  <c r="GZ93"/>
  <c r="HA93"/>
  <c r="HB93"/>
  <c r="HC93"/>
  <c r="HD93"/>
  <c r="HE93"/>
  <c r="HF93"/>
  <c r="HG93"/>
  <c r="HH93"/>
  <c r="HI93"/>
  <c r="HJ93"/>
  <c r="HK93"/>
  <c r="HL93"/>
  <c r="HM93"/>
  <c r="HN93"/>
  <c r="HO93"/>
  <c r="HP93"/>
  <c r="HQ93"/>
  <c r="HR93"/>
  <c r="HS93"/>
  <c r="HT93"/>
  <c r="HU93"/>
  <c r="HV93"/>
  <c r="HW93"/>
  <c r="HX93"/>
  <c r="HY93"/>
  <c r="HZ93"/>
  <c r="IA93"/>
  <c r="IB93"/>
  <c r="IC93"/>
  <c r="ID93"/>
  <c r="IE93"/>
  <c r="IF93"/>
  <c r="IG93"/>
  <c r="IH93"/>
  <c r="II93"/>
  <c r="IJ93"/>
  <c r="IK93"/>
  <c r="IL93"/>
  <c r="IM93"/>
  <c r="IN93"/>
  <c r="IO93"/>
  <c r="IP93"/>
  <c r="IQ93"/>
  <c r="IR93"/>
  <c r="IS93"/>
  <c r="IT93"/>
  <c r="IU93"/>
  <c r="IV93"/>
  <c r="A92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CE92"/>
  <c r="CF92"/>
  <c r="CG92"/>
  <c r="CH92"/>
  <c r="CI92"/>
  <c r="CJ92"/>
  <c r="CK92"/>
  <c r="CL92"/>
  <c r="CM92"/>
  <c r="CN92"/>
  <c r="CO92"/>
  <c r="CP92"/>
  <c r="CQ92"/>
  <c r="CR92"/>
  <c r="CS92"/>
  <c r="CT92"/>
  <c r="CU92"/>
  <c r="CV92"/>
  <c r="CW92"/>
  <c r="CX92"/>
  <c r="CY92"/>
  <c r="CZ92"/>
  <c r="DA92"/>
  <c r="DB92"/>
  <c r="DC92"/>
  <c r="DD92"/>
  <c r="DE92"/>
  <c r="DF92"/>
  <c r="DG92"/>
  <c r="DH92"/>
  <c r="DI92"/>
  <c r="DJ92"/>
  <c r="DK92"/>
  <c r="DL92"/>
  <c r="DM92"/>
  <c r="DN92"/>
  <c r="DO92"/>
  <c r="DP92"/>
  <c r="DQ92"/>
  <c r="DR92"/>
  <c r="DS92"/>
  <c r="DT92"/>
  <c r="DU92"/>
  <c r="DV92"/>
  <c r="DW92"/>
  <c r="DX92"/>
  <c r="DY92"/>
  <c r="DZ92"/>
  <c r="EA92"/>
  <c r="EB92"/>
  <c r="EC92"/>
  <c r="ED92"/>
  <c r="EE92"/>
  <c r="EF92"/>
  <c r="EG92"/>
  <c r="EH92"/>
  <c r="EI92"/>
  <c r="EJ92"/>
  <c r="EK92"/>
  <c r="EL92"/>
  <c r="EM92"/>
  <c r="EN92"/>
  <c r="EO92"/>
  <c r="EP92"/>
  <c r="EQ92"/>
  <c r="ER92"/>
  <c r="ES92"/>
  <c r="ET92"/>
  <c r="EU92"/>
  <c r="EV92"/>
  <c r="EW92"/>
  <c r="EX92"/>
  <c r="EY92"/>
  <c r="EZ92"/>
  <c r="FA92"/>
  <c r="FB92"/>
  <c r="FC92"/>
  <c r="FD92"/>
  <c r="FE92"/>
  <c r="FF92"/>
  <c r="FG92"/>
  <c r="FH92"/>
  <c r="FI92"/>
  <c r="FJ92"/>
  <c r="FK92"/>
  <c r="FL92"/>
  <c r="FM92"/>
  <c r="FN92"/>
  <c r="FO92"/>
  <c r="FP92"/>
  <c r="FQ92"/>
  <c r="FR92"/>
  <c r="FS92"/>
  <c r="FT92"/>
  <c r="FU92"/>
  <c r="FV92"/>
  <c r="FW92"/>
  <c r="FX92"/>
  <c r="FY92"/>
  <c r="FZ92"/>
  <c r="GA92"/>
  <c r="GB92"/>
  <c r="GC92"/>
  <c r="GD92"/>
  <c r="GE92"/>
  <c r="GF92"/>
  <c r="GG92"/>
  <c r="GH92"/>
  <c r="GI92"/>
  <c r="GJ92"/>
  <c r="GK92"/>
  <c r="GL92"/>
  <c r="GM92"/>
  <c r="GN92"/>
  <c r="GO92"/>
  <c r="GP92"/>
  <c r="GQ92"/>
  <c r="GR92"/>
  <c r="GS92"/>
  <c r="GT92"/>
  <c r="GU92"/>
  <c r="GV92"/>
  <c r="GW92"/>
  <c r="GX92"/>
  <c r="GY92"/>
  <c r="GZ92"/>
  <c r="HA92"/>
  <c r="HB92"/>
  <c r="HC92"/>
  <c r="HD92"/>
  <c r="HE92"/>
  <c r="HF92"/>
  <c r="HG92"/>
  <c r="HH92"/>
  <c r="HI92"/>
  <c r="HJ92"/>
  <c r="HK92"/>
  <c r="HL92"/>
  <c r="HM92"/>
  <c r="HN92"/>
  <c r="HO92"/>
  <c r="HP92"/>
  <c r="HQ92"/>
  <c r="HR92"/>
  <c r="HS92"/>
  <c r="HT92"/>
  <c r="HU92"/>
  <c r="HV92"/>
  <c r="HW92"/>
  <c r="HX92"/>
  <c r="HY92"/>
  <c r="HZ92"/>
  <c r="IA92"/>
  <c r="IB92"/>
  <c r="IC92"/>
  <c r="ID92"/>
  <c r="IE92"/>
  <c r="IF92"/>
  <c r="IG92"/>
  <c r="IH92"/>
  <c r="II92"/>
  <c r="IJ92"/>
  <c r="IK92"/>
  <c r="IL92"/>
  <c r="IM92"/>
  <c r="IN92"/>
  <c r="IO92"/>
  <c r="IP92"/>
  <c r="IQ92"/>
  <c r="IR92"/>
  <c r="IS92"/>
  <c r="IT92"/>
  <c r="IU92"/>
  <c r="IV92"/>
  <c r="A91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CK91"/>
  <c r="CL91"/>
  <c r="CM91"/>
  <c r="CN91"/>
  <c r="CO91"/>
  <c r="CP91"/>
  <c r="CQ91"/>
  <c r="CR91"/>
  <c r="CS91"/>
  <c r="CT91"/>
  <c r="CU91"/>
  <c r="CV91"/>
  <c r="CW91"/>
  <c r="CX91"/>
  <c r="CY91"/>
  <c r="CZ91"/>
  <c r="DA91"/>
  <c r="DB91"/>
  <c r="DC91"/>
  <c r="DD91"/>
  <c r="DE91"/>
  <c r="DF91"/>
  <c r="DG91"/>
  <c r="DH91"/>
  <c r="DI91"/>
  <c r="DJ91"/>
  <c r="DK91"/>
  <c r="DL91"/>
  <c r="DM91"/>
  <c r="DN91"/>
  <c r="DO91"/>
  <c r="DP91"/>
  <c r="DQ91"/>
  <c r="DR91"/>
  <c r="DS91"/>
  <c r="DT91"/>
  <c r="DU91"/>
  <c r="DV91"/>
  <c r="DW91"/>
  <c r="DX91"/>
  <c r="DY91"/>
  <c r="DZ91"/>
  <c r="EA91"/>
  <c r="EB91"/>
  <c r="EC91"/>
  <c r="ED91"/>
  <c r="EE91"/>
  <c r="EF91"/>
  <c r="EG91"/>
  <c r="EH91"/>
  <c r="EI91"/>
  <c r="EJ91"/>
  <c r="EK91"/>
  <c r="EL91"/>
  <c r="EM91"/>
  <c r="EN91"/>
  <c r="EO91"/>
  <c r="EP91"/>
  <c r="EQ91"/>
  <c r="ER91"/>
  <c r="ES91"/>
  <c r="ET91"/>
  <c r="EU91"/>
  <c r="EV91"/>
  <c r="EW91"/>
  <c r="EX91"/>
  <c r="EY91"/>
  <c r="EZ91"/>
  <c r="FA91"/>
  <c r="FB91"/>
  <c r="FC91"/>
  <c r="FD91"/>
  <c r="FE91"/>
  <c r="FF91"/>
  <c r="FG91"/>
  <c r="FH91"/>
  <c r="FI91"/>
  <c r="FJ91"/>
  <c r="FK91"/>
  <c r="FL91"/>
  <c r="FM91"/>
  <c r="FN91"/>
  <c r="FO91"/>
  <c r="FP91"/>
  <c r="FQ91"/>
  <c r="FR91"/>
  <c r="FS91"/>
  <c r="FT91"/>
  <c r="FU91"/>
  <c r="FV91"/>
  <c r="FW91"/>
  <c r="FX91"/>
  <c r="FY91"/>
  <c r="FZ91"/>
  <c r="GA91"/>
  <c r="GB91"/>
  <c r="GC91"/>
  <c r="GD91"/>
  <c r="GE91"/>
  <c r="GF91"/>
  <c r="GG91"/>
  <c r="GH91"/>
  <c r="GI91"/>
  <c r="GJ91"/>
  <c r="GK91"/>
  <c r="GL91"/>
  <c r="GM91"/>
  <c r="GN91"/>
  <c r="GO91"/>
  <c r="GP91"/>
  <c r="GQ91"/>
  <c r="GR91"/>
  <c r="GS91"/>
  <c r="GT91"/>
  <c r="GU91"/>
  <c r="GV91"/>
  <c r="GW91"/>
  <c r="GX91"/>
  <c r="GY91"/>
  <c r="GZ91"/>
  <c r="HA91"/>
  <c r="HB91"/>
  <c r="HC91"/>
  <c r="HD91"/>
  <c r="HE91"/>
  <c r="HF91"/>
  <c r="HG91"/>
  <c r="HH91"/>
  <c r="HI91"/>
  <c r="HJ91"/>
  <c r="HK91"/>
  <c r="HL91"/>
  <c r="HM91"/>
  <c r="HN91"/>
  <c r="HO91"/>
  <c r="HP91"/>
  <c r="HQ91"/>
  <c r="HR91"/>
  <c r="HS91"/>
  <c r="HT91"/>
  <c r="HU91"/>
  <c r="HV91"/>
  <c r="HW91"/>
  <c r="HX91"/>
  <c r="HY91"/>
  <c r="HZ91"/>
  <c r="IA91"/>
  <c r="IB91"/>
  <c r="IC91"/>
  <c r="ID91"/>
  <c r="IE91"/>
  <c r="IF91"/>
  <c r="IG91"/>
  <c r="IH91"/>
  <c r="II91"/>
  <c r="IJ91"/>
  <c r="IK91"/>
  <c r="IL91"/>
  <c r="IM91"/>
  <c r="IN91"/>
  <c r="IO91"/>
  <c r="IP91"/>
  <c r="IQ91"/>
  <c r="IR91"/>
  <c r="IS91"/>
  <c r="IT91"/>
  <c r="IU91"/>
  <c r="IV91"/>
  <c r="A90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CK90"/>
  <c r="CL90"/>
  <c r="CM90"/>
  <c r="CN90"/>
  <c r="CO90"/>
  <c r="CP90"/>
  <c r="CQ90"/>
  <c r="CR90"/>
  <c r="CS90"/>
  <c r="CT90"/>
  <c r="CU90"/>
  <c r="CV90"/>
  <c r="CW90"/>
  <c r="CX90"/>
  <c r="CY90"/>
  <c r="CZ90"/>
  <c r="DA90"/>
  <c r="DB90"/>
  <c r="DC90"/>
  <c r="DD90"/>
  <c r="DE90"/>
  <c r="DF90"/>
  <c r="DG90"/>
  <c r="DH90"/>
  <c r="DI90"/>
  <c r="DJ90"/>
  <c r="DK90"/>
  <c r="DL90"/>
  <c r="DM90"/>
  <c r="DN90"/>
  <c r="DO90"/>
  <c r="DP90"/>
  <c r="DQ90"/>
  <c r="DR90"/>
  <c r="DS90"/>
  <c r="DT90"/>
  <c r="DU90"/>
  <c r="DV90"/>
  <c r="DW90"/>
  <c r="DX90"/>
  <c r="DY90"/>
  <c r="DZ90"/>
  <c r="EA90"/>
  <c r="EB90"/>
  <c r="EC90"/>
  <c r="ED90"/>
  <c r="EE90"/>
  <c r="EF90"/>
  <c r="EG90"/>
  <c r="EH90"/>
  <c r="EI90"/>
  <c r="EJ90"/>
  <c r="EK90"/>
  <c r="EL90"/>
  <c r="EM90"/>
  <c r="EN90"/>
  <c r="EO90"/>
  <c r="EP90"/>
  <c r="EQ90"/>
  <c r="ER90"/>
  <c r="ES90"/>
  <c r="ET90"/>
  <c r="EU90"/>
  <c r="EV90"/>
  <c r="EW90"/>
  <c r="EX90"/>
  <c r="EY90"/>
  <c r="EZ90"/>
  <c r="FA90"/>
  <c r="FB90"/>
  <c r="FC90"/>
  <c r="FD90"/>
  <c r="FE90"/>
  <c r="FF90"/>
  <c r="FG90"/>
  <c r="FH90"/>
  <c r="FI90"/>
  <c r="FJ90"/>
  <c r="FK90"/>
  <c r="FL90"/>
  <c r="FM90"/>
  <c r="FN90"/>
  <c r="FO90"/>
  <c r="FP90"/>
  <c r="FQ90"/>
  <c r="FR90"/>
  <c r="FS90"/>
  <c r="FT90"/>
  <c r="FU90"/>
  <c r="FV90"/>
  <c r="FW90"/>
  <c r="FX90"/>
  <c r="FY90"/>
  <c r="FZ90"/>
  <c r="GA90"/>
  <c r="GB90"/>
  <c r="GC90"/>
  <c r="GD90"/>
  <c r="GE90"/>
  <c r="GF90"/>
  <c r="GG90"/>
  <c r="GH90"/>
  <c r="GI90"/>
  <c r="GJ90"/>
  <c r="GK90"/>
  <c r="GL90"/>
  <c r="GM90"/>
  <c r="GN90"/>
  <c r="GO90"/>
  <c r="GP90"/>
  <c r="GQ90"/>
  <c r="GR90"/>
  <c r="GS90"/>
  <c r="GT90"/>
  <c r="GU90"/>
  <c r="GV90"/>
  <c r="GW90"/>
  <c r="GX90"/>
  <c r="GY90"/>
  <c r="GZ90"/>
  <c r="HA90"/>
  <c r="HB90"/>
  <c r="HC90"/>
  <c r="HD90"/>
  <c r="HE90"/>
  <c r="HF90"/>
  <c r="HG90"/>
  <c r="HH90"/>
  <c r="HI90"/>
  <c r="HJ90"/>
  <c r="HK90"/>
  <c r="HL90"/>
  <c r="HM90"/>
  <c r="HN90"/>
  <c r="HO90"/>
  <c r="HP90"/>
  <c r="HQ90"/>
  <c r="HR90"/>
  <c r="HS90"/>
  <c r="HT90"/>
  <c r="HU90"/>
  <c r="HV90"/>
  <c r="HW90"/>
  <c r="HX90"/>
  <c r="HY90"/>
  <c r="HZ90"/>
  <c r="IA90"/>
  <c r="IB90"/>
  <c r="IC90"/>
  <c r="ID90"/>
  <c r="IE90"/>
  <c r="IF90"/>
  <c r="IG90"/>
  <c r="IH90"/>
  <c r="II90"/>
  <c r="IJ90"/>
  <c r="IK90"/>
  <c r="IL90"/>
  <c r="IM90"/>
  <c r="IN90"/>
  <c r="IO90"/>
  <c r="IP90"/>
  <c r="IQ90"/>
  <c r="IR90"/>
  <c r="IS90"/>
  <c r="IT90"/>
  <c r="IU90"/>
  <c r="IV90"/>
  <c r="A89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CE89"/>
  <c r="CF89"/>
  <c r="CG89"/>
  <c r="CH89"/>
  <c r="CI89"/>
  <c r="CJ89"/>
  <c r="CK89"/>
  <c r="CL89"/>
  <c r="CM89"/>
  <c r="CN89"/>
  <c r="CO89"/>
  <c r="CP89"/>
  <c r="CQ89"/>
  <c r="CR89"/>
  <c r="CS89"/>
  <c r="CT89"/>
  <c r="CU89"/>
  <c r="CV89"/>
  <c r="CW89"/>
  <c r="CX89"/>
  <c r="CY89"/>
  <c r="CZ89"/>
  <c r="DA89"/>
  <c r="DB89"/>
  <c r="DC89"/>
  <c r="DD89"/>
  <c r="DE89"/>
  <c r="DF89"/>
  <c r="DG89"/>
  <c r="DH89"/>
  <c r="DI89"/>
  <c r="DJ89"/>
  <c r="DK89"/>
  <c r="DL89"/>
  <c r="DM89"/>
  <c r="DN89"/>
  <c r="DO89"/>
  <c r="DP89"/>
  <c r="DQ89"/>
  <c r="DR89"/>
  <c r="DS89"/>
  <c r="DT89"/>
  <c r="DU89"/>
  <c r="DV89"/>
  <c r="DW89"/>
  <c r="DX89"/>
  <c r="DY89"/>
  <c r="DZ89"/>
  <c r="EA89"/>
  <c r="EB89"/>
  <c r="EC89"/>
  <c r="ED89"/>
  <c r="EE89"/>
  <c r="EF89"/>
  <c r="EG89"/>
  <c r="EH89"/>
  <c r="EI89"/>
  <c r="EJ89"/>
  <c r="EK89"/>
  <c r="EL89"/>
  <c r="EM89"/>
  <c r="EN89"/>
  <c r="EO89"/>
  <c r="EP89"/>
  <c r="EQ89"/>
  <c r="ER89"/>
  <c r="ES89"/>
  <c r="ET89"/>
  <c r="EU89"/>
  <c r="EV89"/>
  <c r="EW89"/>
  <c r="EX89"/>
  <c r="EY89"/>
  <c r="EZ89"/>
  <c r="FA89"/>
  <c r="FB89"/>
  <c r="FC89"/>
  <c r="FD89"/>
  <c r="FE89"/>
  <c r="FF89"/>
  <c r="FG89"/>
  <c r="FH89"/>
  <c r="FI89"/>
  <c r="FJ89"/>
  <c r="FK89"/>
  <c r="FL89"/>
  <c r="FM89"/>
  <c r="FN89"/>
  <c r="FO89"/>
  <c r="FP89"/>
  <c r="FQ89"/>
  <c r="FR89"/>
  <c r="FS89"/>
  <c r="FT89"/>
  <c r="FU89"/>
  <c r="FV89"/>
  <c r="FW89"/>
  <c r="FX89"/>
  <c r="FY89"/>
  <c r="FZ89"/>
  <c r="GA89"/>
  <c r="GB89"/>
  <c r="GC89"/>
  <c r="GD89"/>
  <c r="GE89"/>
  <c r="GF89"/>
  <c r="GG89"/>
  <c r="GH89"/>
  <c r="GI89"/>
  <c r="GJ89"/>
  <c r="GK89"/>
  <c r="GL89"/>
  <c r="GM89"/>
  <c r="GN89"/>
  <c r="GO89"/>
  <c r="GP89"/>
  <c r="GQ89"/>
  <c r="GR89"/>
  <c r="GS89"/>
  <c r="GT89"/>
  <c r="GU89"/>
  <c r="GV89"/>
  <c r="GW89"/>
  <c r="GX89"/>
  <c r="GY89"/>
  <c r="GZ89"/>
  <c r="HA89"/>
  <c r="HB89"/>
  <c r="HC89"/>
  <c r="HD89"/>
  <c r="HE89"/>
  <c r="HF89"/>
  <c r="HG89"/>
  <c r="HH89"/>
  <c r="HI89"/>
  <c r="HJ89"/>
  <c r="HK89"/>
  <c r="HL89"/>
  <c r="HM89"/>
  <c r="HN89"/>
  <c r="HO89"/>
  <c r="HP89"/>
  <c r="HQ89"/>
  <c r="HR89"/>
  <c r="HS89"/>
  <c r="HT89"/>
  <c r="HU89"/>
  <c r="HV89"/>
  <c r="HW89"/>
  <c r="HX89"/>
  <c r="HY89"/>
  <c r="HZ89"/>
  <c r="IA89"/>
  <c r="IB89"/>
  <c r="IC89"/>
  <c r="ID89"/>
  <c r="IE89"/>
  <c r="IF89"/>
  <c r="IG89"/>
  <c r="IH89"/>
  <c r="II89"/>
  <c r="IJ89"/>
  <c r="IK89"/>
  <c r="IL89"/>
  <c r="IM89"/>
  <c r="IN89"/>
  <c r="IO89"/>
  <c r="IP89"/>
  <c r="IQ89"/>
  <c r="IR89"/>
  <c r="IS89"/>
  <c r="IT89"/>
  <c r="IU89"/>
  <c r="IV89"/>
  <c r="A88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CE88"/>
  <c r="CF88"/>
  <c r="CG88"/>
  <c r="CH88"/>
  <c r="CI88"/>
  <c r="CJ88"/>
  <c r="CK88"/>
  <c r="CL88"/>
  <c r="CM88"/>
  <c r="CN88"/>
  <c r="CO88"/>
  <c r="CP88"/>
  <c r="CQ88"/>
  <c r="CR88"/>
  <c r="CS88"/>
  <c r="CT88"/>
  <c r="CU88"/>
  <c r="CV88"/>
  <c r="CW88"/>
  <c r="CX88"/>
  <c r="CY88"/>
  <c r="CZ88"/>
  <c r="DA88"/>
  <c r="DB88"/>
  <c r="DC88"/>
  <c r="DD88"/>
  <c r="DE88"/>
  <c r="DF88"/>
  <c r="DG88"/>
  <c r="DH88"/>
  <c r="DI88"/>
  <c r="DJ88"/>
  <c r="DK88"/>
  <c r="DL88"/>
  <c r="DM88"/>
  <c r="DN88"/>
  <c r="DO88"/>
  <c r="DP88"/>
  <c r="DQ88"/>
  <c r="DR88"/>
  <c r="DS88"/>
  <c r="DT88"/>
  <c r="DU88"/>
  <c r="DV88"/>
  <c r="DW88"/>
  <c r="DX88"/>
  <c r="DY88"/>
  <c r="DZ88"/>
  <c r="EA88"/>
  <c r="EB88"/>
  <c r="EC88"/>
  <c r="ED88"/>
  <c r="EE88"/>
  <c r="EF88"/>
  <c r="EG88"/>
  <c r="EH88"/>
  <c r="EI88"/>
  <c r="EJ88"/>
  <c r="EK88"/>
  <c r="EL88"/>
  <c r="EM88"/>
  <c r="EN88"/>
  <c r="EO88"/>
  <c r="EP88"/>
  <c r="EQ88"/>
  <c r="ER88"/>
  <c r="ES88"/>
  <c r="ET88"/>
  <c r="EU88"/>
  <c r="EV88"/>
  <c r="EW88"/>
  <c r="EX88"/>
  <c r="EY88"/>
  <c r="EZ88"/>
  <c r="FA88"/>
  <c r="FB88"/>
  <c r="FC88"/>
  <c r="FD88"/>
  <c r="FE88"/>
  <c r="FF88"/>
  <c r="FG88"/>
  <c r="FH88"/>
  <c r="FI88"/>
  <c r="FJ88"/>
  <c r="FK88"/>
  <c r="FL88"/>
  <c r="FM88"/>
  <c r="FN88"/>
  <c r="FO88"/>
  <c r="FP88"/>
  <c r="FQ88"/>
  <c r="FR88"/>
  <c r="FS88"/>
  <c r="FT88"/>
  <c r="FU88"/>
  <c r="FV88"/>
  <c r="FW88"/>
  <c r="FX88"/>
  <c r="FY88"/>
  <c r="FZ88"/>
  <c r="GA88"/>
  <c r="GB88"/>
  <c r="GC88"/>
  <c r="GD88"/>
  <c r="GE88"/>
  <c r="GF88"/>
  <c r="GG88"/>
  <c r="GH88"/>
  <c r="GI88"/>
  <c r="GJ88"/>
  <c r="GK88"/>
  <c r="GL88"/>
  <c r="GM88"/>
  <c r="GN88"/>
  <c r="GO88"/>
  <c r="GP88"/>
  <c r="GQ88"/>
  <c r="GR88"/>
  <c r="GS88"/>
  <c r="GT88"/>
  <c r="GU88"/>
  <c r="GV88"/>
  <c r="GW88"/>
  <c r="GX88"/>
  <c r="GY88"/>
  <c r="GZ88"/>
  <c r="HA88"/>
  <c r="HB88"/>
  <c r="HC88"/>
  <c r="HD88"/>
  <c r="HE88"/>
  <c r="HF88"/>
  <c r="HG88"/>
  <c r="HH88"/>
  <c r="HI88"/>
  <c r="HJ88"/>
  <c r="HK88"/>
  <c r="HL88"/>
  <c r="HM88"/>
  <c r="HN88"/>
  <c r="HO88"/>
  <c r="HP88"/>
  <c r="HQ88"/>
  <c r="HR88"/>
  <c r="HS88"/>
  <c r="HT88"/>
  <c r="HU88"/>
  <c r="HV88"/>
  <c r="HW88"/>
  <c r="HX88"/>
  <c r="HY88"/>
  <c r="HZ88"/>
  <c r="IA88"/>
  <c r="IB88"/>
  <c r="IC88"/>
  <c r="ID88"/>
  <c r="IE88"/>
  <c r="IF88"/>
  <c r="IG88"/>
  <c r="IH88"/>
  <c r="II88"/>
  <c r="IJ88"/>
  <c r="IK88"/>
  <c r="IL88"/>
  <c r="IM88"/>
  <c r="IN88"/>
  <c r="IO88"/>
  <c r="IP88"/>
  <c r="IQ88"/>
  <c r="IR88"/>
  <c r="IS88"/>
  <c r="IT88"/>
  <c r="IU88"/>
  <c r="IV88"/>
  <c r="A87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CK87"/>
  <c r="CL87"/>
  <c r="CM87"/>
  <c r="CN87"/>
  <c r="CO87"/>
  <c r="CP87"/>
  <c r="CQ87"/>
  <c r="CR87"/>
  <c r="CS87"/>
  <c r="CT87"/>
  <c r="CU87"/>
  <c r="CV87"/>
  <c r="CW87"/>
  <c r="CX87"/>
  <c r="CY87"/>
  <c r="CZ87"/>
  <c r="DA87"/>
  <c r="DB87"/>
  <c r="DC87"/>
  <c r="DD87"/>
  <c r="DE87"/>
  <c r="DF87"/>
  <c r="DG87"/>
  <c r="DH87"/>
  <c r="DI87"/>
  <c r="DJ87"/>
  <c r="DK87"/>
  <c r="DL87"/>
  <c r="DM87"/>
  <c r="DN87"/>
  <c r="DO87"/>
  <c r="DP87"/>
  <c r="DQ87"/>
  <c r="DR87"/>
  <c r="DS87"/>
  <c r="DT87"/>
  <c r="DU87"/>
  <c r="DV87"/>
  <c r="DW87"/>
  <c r="DX87"/>
  <c r="DY87"/>
  <c r="DZ87"/>
  <c r="EA87"/>
  <c r="EB87"/>
  <c r="EC87"/>
  <c r="ED87"/>
  <c r="EE87"/>
  <c r="EF87"/>
  <c r="EG87"/>
  <c r="EH87"/>
  <c r="EI87"/>
  <c r="EJ87"/>
  <c r="EK87"/>
  <c r="EL87"/>
  <c r="EM87"/>
  <c r="EN87"/>
  <c r="EO87"/>
  <c r="EP87"/>
  <c r="EQ87"/>
  <c r="ER87"/>
  <c r="ES87"/>
  <c r="ET87"/>
  <c r="EU87"/>
  <c r="EV87"/>
  <c r="EW87"/>
  <c r="EX87"/>
  <c r="EY87"/>
  <c r="EZ87"/>
  <c r="FA87"/>
  <c r="FB87"/>
  <c r="FC87"/>
  <c r="FD87"/>
  <c r="FE87"/>
  <c r="FF87"/>
  <c r="FG87"/>
  <c r="FH87"/>
  <c r="FI87"/>
  <c r="FJ87"/>
  <c r="FK87"/>
  <c r="FL87"/>
  <c r="FM87"/>
  <c r="FN87"/>
  <c r="FO87"/>
  <c r="FP87"/>
  <c r="FQ87"/>
  <c r="FR87"/>
  <c r="FS87"/>
  <c r="FT87"/>
  <c r="FU87"/>
  <c r="FV87"/>
  <c r="FW87"/>
  <c r="FX87"/>
  <c r="FY87"/>
  <c r="FZ87"/>
  <c r="GA87"/>
  <c r="GB87"/>
  <c r="GC87"/>
  <c r="GD87"/>
  <c r="GE87"/>
  <c r="GF87"/>
  <c r="GG87"/>
  <c r="GH87"/>
  <c r="GI87"/>
  <c r="GJ87"/>
  <c r="GK87"/>
  <c r="GL87"/>
  <c r="GM87"/>
  <c r="GN87"/>
  <c r="GO87"/>
  <c r="GP87"/>
  <c r="GQ87"/>
  <c r="GR87"/>
  <c r="GS87"/>
  <c r="GT87"/>
  <c r="GU87"/>
  <c r="GV87"/>
  <c r="GW87"/>
  <c r="GX87"/>
  <c r="GY87"/>
  <c r="GZ87"/>
  <c r="HA87"/>
  <c r="HB87"/>
  <c r="HC87"/>
  <c r="HD87"/>
  <c r="HE87"/>
  <c r="HF87"/>
  <c r="HG87"/>
  <c r="HH87"/>
  <c r="HI87"/>
  <c r="HJ87"/>
  <c r="HK87"/>
  <c r="HL87"/>
  <c r="HM87"/>
  <c r="HN87"/>
  <c r="HO87"/>
  <c r="HP87"/>
  <c r="HQ87"/>
  <c r="HR87"/>
  <c r="HS87"/>
  <c r="HT87"/>
  <c r="HU87"/>
  <c r="HV87"/>
  <c r="HW87"/>
  <c r="HX87"/>
  <c r="HY87"/>
  <c r="HZ87"/>
  <c r="IA87"/>
  <c r="IB87"/>
  <c r="IC87"/>
  <c r="ID87"/>
  <c r="IE87"/>
  <c r="IF87"/>
  <c r="IG87"/>
  <c r="IH87"/>
  <c r="II87"/>
  <c r="IJ87"/>
  <c r="IK87"/>
  <c r="IL87"/>
  <c r="IM87"/>
  <c r="IN87"/>
  <c r="IO87"/>
  <c r="IP87"/>
  <c r="IQ87"/>
  <c r="IR87"/>
  <c r="IS87"/>
  <c r="IT87"/>
  <c r="IU87"/>
  <c r="IV87"/>
  <c r="A86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CE86"/>
  <c r="CF86"/>
  <c r="CG86"/>
  <c r="CH86"/>
  <c r="CI86"/>
  <c r="CJ86"/>
  <c r="CK86"/>
  <c r="CL86"/>
  <c r="CM86"/>
  <c r="CN86"/>
  <c r="CO86"/>
  <c r="CP86"/>
  <c r="CQ86"/>
  <c r="CR86"/>
  <c r="CS86"/>
  <c r="CT86"/>
  <c r="CU86"/>
  <c r="CV86"/>
  <c r="CW86"/>
  <c r="CX86"/>
  <c r="CY86"/>
  <c r="CZ86"/>
  <c r="DA86"/>
  <c r="DB86"/>
  <c r="DC86"/>
  <c r="DD86"/>
  <c r="DE86"/>
  <c r="DF86"/>
  <c r="DG86"/>
  <c r="DH86"/>
  <c r="DI86"/>
  <c r="DJ86"/>
  <c r="DK86"/>
  <c r="DL86"/>
  <c r="DM86"/>
  <c r="DN86"/>
  <c r="DO86"/>
  <c r="DP86"/>
  <c r="DQ86"/>
  <c r="DR86"/>
  <c r="DS86"/>
  <c r="DT86"/>
  <c r="DU86"/>
  <c r="DV86"/>
  <c r="DW86"/>
  <c r="DX86"/>
  <c r="DY86"/>
  <c r="DZ86"/>
  <c r="EA86"/>
  <c r="EB86"/>
  <c r="EC86"/>
  <c r="ED86"/>
  <c r="EE86"/>
  <c r="EF86"/>
  <c r="EG86"/>
  <c r="EH86"/>
  <c r="EI86"/>
  <c r="EJ86"/>
  <c r="EK86"/>
  <c r="EL86"/>
  <c r="EM86"/>
  <c r="EN86"/>
  <c r="EO86"/>
  <c r="EP86"/>
  <c r="EQ86"/>
  <c r="ER86"/>
  <c r="ES86"/>
  <c r="ET86"/>
  <c r="EU86"/>
  <c r="EV86"/>
  <c r="EW86"/>
  <c r="EX86"/>
  <c r="EY86"/>
  <c r="EZ86"/>
  <c r="FA86"/>
  <c r="FB86"/>
  <c r="FC86"/>
  <c r="FD86"/>
  <c r="FE86"/>
  <c r="FF86"/>
  <c r="FG86"/>
  <c r="FH86"/>
  <c r="FI86"/>
  <c r="FJ86"/>
  <c r="FK86"/>
  <c r="FL86"/>
  <c r="FM86"/>
  <c r="FN86"/>
  <c r="FO86"/>
  <c r="FP86"/>
  <c r="FQ86"/>
  <c r="FR86"/>
  <c r="FS86"/>
  <c r="FT86"/>
  <c r="FU86"/>
  <c r="FV86"/>
  <c r="FW86"/>
  <c r="FX86"/>
  <c r="FY86"/>
  <c r="FZ86"/>
  <c r="GA86"/>
  <c r="GB86"/>
  <c r="GC86"/>
  <c r="GD86"/>
  <c r="GE86"/>
  <c r="GF86"/>
  <c r="GG86"/>
  <c r="GH86"/>
  <c r="GI86"/>
  <c r="GJ86"/>
  <c r="GK86"/>
  <c r="GL86"/>
  <c r="GM86"/>
  <c r="GN86"/>
  <c r="GO86"/>
  <c r="GP86"/>
  <c r="GQ86"/>
  <c r="GR86"/>
  <c r="GS86"/>
  <c r="GT86"/>
  <c r="GU86"/>
  <c r="GV86"/>
  <c r="GW86"/>
  <c r="GX86"/>
  <c r="GY86"/>
  <c r="GZ86"/>
  <c r="HA86"/>
  <c r="HB86"/>
  <c r="HC86"/>
  <c r="HD86"/>
  <c r="HE86"/>
  <c r="HF86"/>
  <c r="HG86"/>
  <c r="HH86"/>
  <c r="HI86"/>
  <c r="HJ86"/>
  <c r="HK86"/>
  <c r="HL86"/>
  <c r="HM86"/>
  <c r="HN86"/>
  <c r="HO86"/>
  <c r="HP86"/>
  <c r="HQ86"/>
  <c r="HR86"/>
  <c r="HS86"/>
  <c r="HT86"/>
  <c r="HU86"/>
  <c r="HV86"/>
  <c r="HW86"/>
  <c r="HX86"/>
  <c r="HY86"/>
  <c r="HZ86"/>
  <c r="IA86"/>
  <c r="IB86"/>
  <c r="IC86"/>
  <c r="ID86"/>
  <c r="IE86"/>
  <c r="IF86"/>
  <c r="IG86"/>
  <c r="IH86"/>
  <c r="II86"/>
  <c r="IJ86"/>
  <c r="IK86"/>
  <c r="IL86"/>
  <c r="IM86"/>
  <c r="IN86"/>
  <c r="IO86"/>
  <c r="IP86"/>
  <c r="IQ86"/>
  <c r="IR86"/>
  <c r="IS86"/>
  <c r="IT86"/>
  <c r="IU86"/>
  <c r="IV86"/>
  <c r="A85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CK85"/>
  <c r="CL85"/>
  <c r="CM85"/>
  <c r="CN85"/>
  <c r="CO85"/>
  <c r="CP85"/>
  <c r="CQ85"/>
  <c r="CR85"/>
  <c r="CS85"/>
  <c r="CT85"/>
  <c r="CU85"/>
  <c r="CV85"/>
  <c r="CW85"/>
  <c r="CX85"/>
  <c r="CY85"/>
  <c r="CZ85"/>
  <c r="DA85"/>
  <c r="DB85"/>
  <c r="DC85"/>
  <c r="DD85"/>
  <c r="DE85"/>
  <c r="DF85"/>
  <c r="DG85"/>
  <c r="DH85"/>
  <c r="DI85"/>
  <c r="DJ85"/>
  <c r="DK85"/>
  <c r="DL85"/>
  <c r="DM85"/>
  <c r="DN85"/>
  <c r="DO85"/>
  <c r="DP85"/>
  <c r="DQ85"/>
  <c r="DR85"/>
  <c r="DS85"/>
  <c r="DT85"/>
  <c r="DU85"/>
  <c r="DV85"/>
  <c r="DW85"/>
  <c r="DX85"/>
  <c r="DY85"/>
  <c r="DZ85"/>
  <c r="EA85"/>
  <c r="EB85"/>
  <c r="EC85"/>
  <c r="ED85"/>
  <c r="EE85"/>
  <c r="EF85"/>
  <c r="EG85"/>
  <c r="EH85"/>
  <c r="EI85"/>
  <c r="EJ85"/>
  <c r="EK85"/>
  <c r="EL85"/>
  <c r="EM85"/>
  <c r="EN85"/>
  <c r="EO85"/>
  <c r="EP85"/>
  <c r="EQ85"/>
  <c r="ER85"/>
  <c r="ES85"/>
  <c r="ET85"/>
  <c r="EU85"/>
  <c r="EV85"/>
  <c r="EW85"/>
  <c r="EX85"/>
  <c r="EY85"/>
  <c r="EZ85"/>
  <c r="FA85"/>
  <c r="FB85"/>
  <c r="FC85"/>
  <c r="FD85"/>
  <c r="FE85"/>
  <c r="FF85"/>
  <c r="FG85"/>
  <c r="FH85"/>
  <c r="FI85"/>
  <c r="FJ85"/>
  <c r="FK85"/>
  <c r="FL85"/>
  <c r="FM85"/>
  <c r="FN85"/>
  <c r="FO85"/>
  <c r="FP85"/>
  <c r="FQ85"/>
  <c r="FR85"/>
  <c r="FS85"/>
  <c r="FT85"/>
  <c r="FU85"/>
  <c r="FV85"/>
  <c r="FW85"/>
  <c r="FX85"/>
  <c r="FY85"/>
  <c r="FZ85"/>
  <c r="GA85"/>
  <c r="GB85"/>
  <c r="GC85"/>
  <c r="GD85"/>
  <c r="GE85"/>
  <c r="GF85"/>
  <c r="GG85"/>
  <c r="GH85"/>
  <c r="GI85"/>
  <c r="GJ85"/>
  <c r="GK85"/>
  <c r="GL85"/>
  <c r="GM85"/>
  <c r="GN85"/>
  <c r="GO85"/>
  <c r="GP85"/>
  <c r="GQ85"/>
  <c r="GR85"/>
  <c r="GS85"/>
  <c r="GT85"/>
  <c r="GU85"/>
  <c r="GV85"/>
  <c r="GW85"/>
  <c r="GX85"/>
  <c r="GY85"/>
  <c r="GZ85"/>
  <c r="HA85"/>
  <c r="HB85"/>
  <c r="HC85"/>
  <c r="HD85"/>
  <c r="HE85"/>
  <c r="HF85"/>
  <c r="HG85"/>
  <c r="HH85"/>
  <c r="HI85"/>
  <c r="HJ85"/>
  <c r="HK85"/>
  <c r="HL85"/>
  <c r="HM85"/>
  <c r="HN85"/>
  <c r="HO85"/>
  <c r="HP85"/>
  <c r="HQ85"/>
  <c r="HR85"/>
  <c r="HS85"/>
  <c r="HT85"/>
  <c r="HU85"/>
  <c r="HV85"/>
  <c r="HW85"/>
  <c r="HX85"/>
  <c r="HY85"/>
  <c r="HZ85"/>
  <c r="IA85"/>
  <c r="IB85"/>
  <c r="IC85"/>
  <c r="ID85"/>
  <c r="IE85"/>
  <c r="IF85"/>
  <c r="IG85"/>
  <c r="IH85"/>
  <c r="II85"/>
  <c r="IJ85"/>
  <c r="IK85"/>
  <c r="IL85"/>
  <c r="IM85"/>
  <c r="IN85"/>
  <c r="IO85"/>
  <c r="IP85"/>
  <c r="IQ85"/>
  <c r="IR85"/>
  <c r="IS85"/>
  <c r="IT85"/>
  <c r="IU85"/>
  <c r="IV85"/>
  <c r="A84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CK84"/>
  <c r="CL84"/>
  <c r="CM84"/>
  <c r="CN84"/>
  <c r="CO84"/>
  <c r="CP84"/>
  <c r="CQ84"/>
  <c r="CR84"/>
  <c r="CS84"/>
  <c r="CT84"/>
  <c r="CU84"/>
  <c r="CV84"/>
  <c r="CW84"/>
  <c r="CX84"/>
  <c r="CY84"/>
  <c r="CZ84"/>
  <c r="DA84"/>
  <c r="DB84"/>
  <c r="DC84"/>
  <c r="DD84"/>
  <c r="DE84"/>
  <c r="DF84"/>
  <c r="DG84"/>
  <c r="DH84"/>
  <c r="DI84"/>
  <c r="DJ84"/>
  <c r="DK84"/>
  <c r="DL84"/>
  <c r="DM84"/>
  <c r="DN84"/>
  <c r="DO84"/>
  <c r="DP84"/>
  <c r="DQ84"/>
  <c r="DR84"/>
  <c r="DS84"/>
  <c r="DT84"/>
  <c r="DU84"/>
  <c r="DV84"/>
  <c r="DW84"/>
  <c r="DX84"/>
  <c r="DY84"/>
  <c r="DZ84"/>
  <c r="EA84"/>
  <c r="EB84"/>
  <c r="EC84"/>
  <c r="ED84"/>
  <c r="EE84"/>
  <c r="EF84"/>
  <c r="EG84"/>
  <c r="EH84"/>
  <c r="EI84"/>
  <c r="EJ84"/>
  <c r="EK84"/>
  <c r="EL84"/>
  <c r="EM84"/>
  <c r="EN84"/>
  <c r="EO84"/>
  <c r="EP84"/>
  <c r="EQ84"/>
  <c r="ER84"/>
  <c r="ES84"/>
  <c r="ET84"/>
  <c r="EU84"/>
  <c r="EV84"/>
  <c r="EW84"/>
  <c r="EX84"/>
  <c r="EY84"/>
  <c r="EZ84"/>
  <c r="FA84"/>
  <c r="FB84"/>
  <c r="FC84"/>
  <c r="FD84"/>
  <c r="FE84"/>
  <c r="FF84"/>
  <c r="FG84"/>
  <c r="FH84"/>
  <c r="FI84"/>
  <c r="FJ84"/>
  <c r="FK84"/>
  <c r="FL84"/>
  <c r="FM84"/>
  <c r="FN84"/>
  <c r="FO84"/>
  <c r="FP84"/>
  <c r="FQ84"/>
  <c r="FR84"/>
  <c r="FS84"/>
  <c r="FT84"/>
  <c r="FU84"/>
  <c r="FV84"/>
  <c r="FW84"/>
  <c r="FX84"/>
  <c r="FY84"/>
  <c r="FZ84"/>
  <c r="GA84"/>
  <c r="GB84"/>
  <c r="GC84"/>
  <c r="GD84"/>
  <c r="GE84"/>
  <c r="GF84"/>
  <c r="GG84"/>
  <c r="GH84"/>
  <c r="GI84"/>
  <c r="GJ84"/>
  <c r="GK84"/>
  <c r="GL84"/>
  <c r="GM84"/>
  <c r="GN84"/>
  <c r="GO84"/>
  <c r="GP84"/>
  <c r="GQ84"/>
  <c r="GR84"/>
  <c r="GS84"/>
  <c r="GT84"/>
  <c r="GU84"/>
  <c r="GV84"/>
  <c r="GW84"/>
  <c r="GX84"/>
  <c r="GY84"/>
  <c r="GZ84"/>
  <c r="HA84"/>
  <c r="HB84"/>
  <c r="HC84"/>
  <c r="HD84"/>
  <c r="HE84"/>
  <c r="HF84"/>
  <c r="HG84"/>
  <c r="HH84"/>
  <c r="HI84"/>
  <c r="HJ84"/>
  <c r="HK84"/>
  <c r="HL84"/>
  <c r="HM84"/>
  <c r="HN84"/>
  <c r="HO84"/>
  <c r="HP84"/>
  <c r="HQ84"/>
  <c r="HR84"/>
  <c r="HS84"/>
  <c r="HT84"/>
  <c r="HU84"/>
  <c r="HV84"/>
  <c r="HW84"/>
  <c r="HX84"/>
  <c r="HY84"/>
  <c r="HZ84"/>
  <c r="IA84"/>
  <c r="IB84"/>
  <c r="IC84"/>
  <c r="ID84"/>
  <c r="IE84"/>
  <c r="IF84"/>
  <c r="IG84"/>
  <c r="IH84"/>
  <c r="II84"/>
  <c r="IJ84"/>
  <c r="IK84"/>
  <c r="IL84"/>
  <c r="IM84"/>
  <c r="IN84"/>
  <c r="IO84"/>
  <c r="IP84"/>
  <c r="IQ84"/>
  <c r="IR84"/>
  <c r="IS84"/>
  <c r="IT84"/>
  <c r="IU84"/>
  <c r="IV84"/>
  <c r="A83"/>
  <c r="B83"/>
  <c r="C83"/>
  <c r="D83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CE83"/>
  <c r="CF83"/>
  <c r="CG83"/>
  <c r="CH83"/>
  <c r="CI83"/>
  <c r="CJ83"/>
  <c r="CK83"/>
  <c r="CL83"/>
  <c r="CM83"/>
  <c r="CN83"/>
  <c r="CO83"/>
  <c r="CP83"/>
  <c r="CQ83"/>
  <c r="CR83"/>
  <c r="CS83"/>
  <c r="CT83"/>
  <c r="CU83"/>
  <c r="CV83"/>
  <c r="CW83"/>
  <c r="CX83"/>
  <c r="CY83"/>
  <c r="CZ83"/>
  <c r="DA83"/>
  <c r="DB83"/>
  <c r="DC83"/>
  <c r="DD83"/>
  <c r="DE83"/>
  <c r="DF83"/>
  <c r="DG83"/>
  <c r="DH83"/>
  <c r="DI83"/>
  <c r="DJ83"/>
  <c r="DK83"/>
  <c r="DL83"/>
  <c r="DM83"/>
  <c r="DN83"/>
  <c r="DO83"/>
  <c r="DP83"/>
  <c r="DQ83"/>
  <c r="DR83"/>
  <c r="DS83"/>
  <c r="DT83"/>
  <c r="DU83"/>
  <c r="DV83"/>
  <c r="DW83"/>
  <c r="DX83"/>
  <c r="DY83"/>
  <c r="DZ83"/>
  <c r="EA83"/>
  <c r="EB83"/>
  <c r="EC83"/>
  <c r="ED83"/>
  <c r="EE83"/>
  <c r="EF83"/>
  <c r="EG83"/>
  <c r="EH83"/>
  <c r="EI83"/>
  <c r="EJ83"/>
  <c r="EK83"/>
  <c r="EL83"/>
  <c r="EM83"/>
  <c r="EN83"/>
  <c r="EO83"/>
  <c r="EP83"/>
  <c r="EQ83"/>
  <c r="ER83"/>
  <c r="ES83"/>
  <c r="ET83"/>
  <c r="EU83"/>
  <c r="EV83"/>
  <c r="EW83"/>
  <c r="EX83"/>
  <c r="EY83"/>
  <c r="EZ83"/>
  <c r="FA83"/>
  <c r="FB83"/>
  <c r="FC83"/>
  <c r="FD83"/>
  <c r="FE83"/>
  <c r="FF83"/>
  <c r="FG83"/>
  <c r="FH83"/>
  <c r="FI83"/>
  <c r="FJ83"/>
  <c r="FK83"/>
  <c r="FL83"/>
  <c r="FM83"/>
  <c r="FN83"/>
  <c r="FO83"/>
  <c r="FP83"/>
  <c r="FQ83"/>
  <c r="FR83"/>
  <c r="FS83"/>
  <c r="FT83"/>
  <c r="FU83"/>
  <c r="FV83"/>
  <c r="FW83"/>
  <c r="FX83"/>
  <c r="FY83"/>
  <c r="FZ83"/>
  <c r="GA83"/>
  <c r="GB83"/>
  <c r="GC83"/>
  <c r="GD83"/>
  <c r="GE83"/>
  <c r="GF83"/>
  <c r="GG83"/>
  <c r="GH83"/>
  <c r="GI83"/>
  <c r="GJ83"/>
  <c r="GK83"/>
  <c r="GL83"/>
  <c r="GM83"/>
  <c r="GN83"/>
  <c r="GO83"/>
  <c r="GP83"/>
  <c r="GQ83"/>
  <c r="GR83"/>
  <c r="GS83"/>
  <c r="GT83"/>
  <c r="GU83"/>
  <c r="GV83"/>
  <c r="GW83"/>
  <c r="GX83"/>
  <c r="GY83"/>
  <c r="GZ83"/>
  <c r="HA83"/>
  <c r="HB83"/>
  <c r="HC83"/>
  <c r="HD83"/>
  <c r="HE83"/>
  <c r="HF83"/>
  <c r="HG83"/>
  <c r="HH83"/>
  <c r="HI83"/>
  <c r="HJ83"/>
  <c r="HK83"/>
  <c r="HL83"/>
  <c r="HM83"/>
  <c r="HN83"/>
  <c r="HO83"/>
  <c r="HP83"/>
  <c r="HQ83"/>
  <c r="HR83"/>
  <c r="HS83"/>
  <c r="HT83"/>
  <c r="HU83"/>
  <c r="HV83"/>
  <c r="HW83"/>
  <c r="HX83"/>
  <c r="HY83"/>
  <c r="HZ83"/>
  <c r="IA83"/>
  <c r="IB83"/>
  <c r="IC83"/>
  <c r="ID83"/>
  <c r="IE83"/>
  <c r="IF83"/>
  <c r="IG83"/>
  <c r="IH83"/>
  <c r="II83"/>
  <c r="IJ83"/>
  <c r="IK83"/>
  <c r="IL83"/>
  <c r="IM83"/>
  <c r="IN83"/>
  <c r="IO83"/>
  <c r="IP83"/>
  <c r="IQ83"/>
  <c r="IR83"/>
  <c r="IS83"/>
  <c r="IT83"/>
  <c r="IU83"/>
  <c r="IV83"/>
  <c r="A82"/>
  <c r="B82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CE82"/>
  <c r="CF82"/>
  <c r="CG82"/>
  <c r="CH82"/>
  <c r="CI82"/>
  <c r="CJ82"/>
  <c r="CK82"/>
  <c r="CL82"/>
  <c r="CM82"/>
  <c r="CN82"/>
  <c r="CO82"/>
  <c r="CP82"/>
  <c r="CQ82"/>
  <c r="CR82"/>
  <c r="CS82"/>
  <c r="CT82"/>
  <c r="CU82"/>
  <c r="CV82"/>
  <c r="CW82"/>
  <c r="CX82"/>
  <c r="CY82"/>
  <c r="CZ82"/>
  <c r="DA82"/>
  <c r="DB82"/>
  <c r="DC82"/>
  <c r="DD82"/>
  <c r="DE82"/>
  <c r="DF82"/>
  <c r="DG82"/>
  <c r="DH82"/>
  <c r="DI82"/>
  <c r="DJ82"/>
  <c r="DK82"/>
  <c r="DL82"/>
  <c r="DM82"/>
  <c r="DN82"/>
  <c r="DO82"/>
  <c r="DP82"/>
  <c r="DQ82"/>
  <c r="DR82"/>
  <c r="DS82"/>
  <c r="DT82"/>
  <c r="DU82"/>
  <c r="DV82"/>
  <c r="DW82"/>
  <c r="DX82"/>
  <c r="DY82"/>
  <c r="DZ82"/>
  <c r="EA82"/>
  <c r="EB82"/>
  <c r="EC82"/>
  <c r="ED82"/>
  <c r="EE82"/>
  <c r="EF82"/>
  <c r="EG82"/>
  <c r="EH82"/>
  <c r="EI82"/>
  <c r="EJ82"/>
  <c r="EK82"/>
  <c r="EL82"/>
  <c r="EM82"/>
  <c r="EN82"/>
  <c r="EO82"/>
  <c r="EP82"/>
  <c r="EQ82"/>
  <c r="ER82"/>
  <c r="ES82"/>
  <c r="ET82"/>
  <c r="EU82"/>
  <c r="EV82"/>
  <c r="EW82"/>
  <c r="EX82"/>
  <c r="EY82"/>
  <c r="EZ82"/>
  <c r="FA82"/>
  <c r="FB82"/>
  <c r="FC82"/>
  <c r="FD82"/>
  <c r="FE82"/>
  <c r="FF82"/>
  <c r="FG82"/>
  <c r="FH82"/>
  <c r="FI82"/>
  <c r="FJ82"/>
  <c r="FK82"/>
  <c r="FL82"/>
  <c r="FM82"/>
  <c r="FN82"/>
  <c r="FO82"/>
  <c r="FP82"/>
  <c r="FQ82"/>
  <c r="FR82"/>
  <c r="FS82"/>
  <c r="FT82"/>
  <c r="FU82"/>
  <c r="FV82"/>
  <c r="FW82"/>
  <c r="FX82"/>
  <c r="FY82"/>
  <c r="FZ82"/>
  <c r="GA82"/>
  <c r="GB82"/>
  <c r="GC82"/>
  <c r="GD82"/>
  <c r="GE82"/>
  <c r="GF82"/>
  <c r="GG82"/>
  <c r="GH82"/>
  <c r="GI82"/>
  <c r="GJ82"/>
  <c r="GK82"/>
  <c r="GL82"/>
  <c r="GM82"/>
  <c r="GN82"/>
  <c r="GO82"/>
  <c r="GP82"/>
  <c r="GQ82"/>
  <c r="GR82"/>
  <c r="GS82"/>
  <c r="GT82"/>
  <c r="GU82"/>
  <c r="GV82"/>
  <c r="GW82"/>
  <c r="GX82"/>
  <c r="GY82"/>
  <c r="GZ82"/>
  <c r="HA82"/>
  <c r="HB82"/>
  <c r="HC82"/>
  <c r="HD82"/>
  <c r="HE82"/>
  <c r="HF82"/>
  <c r="HG82"/>
  <c r="HH82"/>
  <c r="HI82"/>
  <c r="HJ82"/>
  <c r="HK82"/>
  <c r="HL82"/>
  <c r="HM82"/>
  <c r="HN82"/>
  <c r="HO82"/>
  <c r="HP82"/>
  <c r="HQ82"/>
  <c r="HR82"/>
  <c r="HS82"/>
  <c r="HT82"/>
  <c r="HU82"/>
  <c r="HV82"/>
  <c r="HW82"/>
  <c r="HX82"/>
  <c r="HY82"/>
  <c r="HZ82"/>
  <c r="IA82"/>
  <c r="IB82"/>
  <c r="IC82"/>
  <c r="ID82"/>
  <c r="IE82"/>
  <c r="IF82"/>
  <c r="IG82"/>
  <c r="IH82"/>
  <c r="II82"/>
  <c r="IJ82"/>
  <c r="IK82"/>
  <c r="IL82"/>
  <c r="IM82"/>
  <c r="IN82"/>
  <c r="IO82"/>
  <c r="IP82"/>
  <c r="IQ82"/>
  <c r="IR82"/>
  <c r="IS82"/>
  <c r="IT82"/>
  <c r="IU82"/>
  <c r="IV82"/>
  <c r="A81"/>
  <c r="B81"/>
  <c r="C81"/>
  <c r="D81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CE81"/>
  <c r="CF81"/>
  <c r="CG81"/>
  <c r="CH81"/>
  <c r="CI81"/>
  <c r="CJ81"/>
  <c r="CK81"/>
  <c r="CL81"/>
  <c r="CM81"/>
  <c r="CN81"/>
  <c r="CO81"/>
  <c r="CP81"/>
  <c r="CQ81"/>
  <c r="CR81"/>
  <c r="CS81"/>
  <c r="CT81"/>
  <c r="CU81"/>
  <c r="CV81"/>
  <c r="CW81"/>
  <c r="CX81"/>
  <c r="CY81"/>
  <c r="CZ81"/>
  <c r="DA81"/>
  <c r="DB81"/>
  <c r="DC81"/>
  <c r="DD81"/>
  <c r="DE81"/>
  <c r="DF81"/>
  <c r="DG81"/>
  <c r="DH81"/>
  <c r="DI81"/>
  <c r="DJ81"/>
  <c r="DK81"/>
  <c r="DL81"/>
  <c r="DM81"/>
  <c r="DN81"/>
  <c r="DO81"/>
  <c r="DP81"/>
  <c r="DQ81"/>
  <c r="DR81"/>
  <c r="DS81"/>
  <c r="DT81"/>
  <c r="DU81"/>
  <c r="DV81"/>
  <c r="DW81"/>
  <c r="DX81"/>
  <c r="DY81"/>
  <c r="DZ81"/>
  <c r="EA81"/>
  <c r="EB81"/>
  <c r="EC81"/>
  <c r="ED81"/>
  <c r="EE81"/>
  <c r="EF81"/>
  <c r="EG81"/>
  <c r="EH81"/>
  <c r="EI81"/>
  <c r="EJ81"/>
  <c r="EK81"/>
  <c r="EL81"/>
  <c r="EM81"/>
  <c r="EN81"/>
  <c r="EO81"/>
  <c r="EP81"/>
  <c r="EQ81"/>
  <c r="ER81"/>
  <c r="ES81"/>
  <c r="ET81"/>
  <c r="EU81"/>
  <c r="EV81"/>
  <c r="EW81"/>
  <c r="EX81"/>
  <c r="EY81"/>
  <c r="EZ81"/>
  <c r="FA81"/>
  <c r="FB81"/>
  <c r="FC81"/>
  <c r="FD81"/>
  <c r="FE81"/>
  <c r="FF81"/>
  <c r="FG81"/>
  <c r="FH81"/>
  <c r="FI81"/>
  <c r="FJ81"/>
  <c r="FK81"/>
  <c r="FL81"/>
  <c r="FM81"/>
  <c r="FN81"/>
  <c r="FO81"/>
  <c r="FP81"/>
  <c r="FQ81"/>
  <c r="FR81"/>
  <c r="FS81"/>
  <c r="FT81"/>
  <c r="FU81"/>
  <c r="FV81"/>
  <c r="FW81"/>
  <c r="FX81"/>
  <c r="FY81"/>
  <c r="FZ81"/>
  <c r="GA81"/>
  <c r="GB81"/>
  <c r="GC81"/>
  <c r="GD81"/>
  <c r="GE81"/>
  <c r="GF81"/>
  <c r="GG81"/>
  <c r="GH81"/>
  <c r="GI81"/>
  <c r="GJ81"/>
  <c r="GK81"/>
  <c r="GL81"/>
  <c r="GM81"/>
  <c r="GN81"/>
  <c r="GO81"/>
  <c r="GP81"/>
  <c r="GQ81"/>
  <c r="GR81"/>
  <c r="GS81"/>
  <c r="GT81"/>
  <c r="GU81"/>
  <c r="GV81"/>
  <c r="GW81"/>
  <c r="GX81"/>
  <c r="GY81"/>
  <c r="GZ81"/>
  <c r="HA81"/>
  <c r="HB81"/>
  <c r="HC81"/>
  <c r="HD81"/>
  <c r="HE81"/>
  <c r="HF81"/>
  <c r="HG81"/>
  <c r="HH81"/>
  <c r="HI81"/>
  <c r="HJ81"/>
  <c r="HK81"/>
  <c r="HL81"/>
  <c r="HM81"/>
  <c r="HN81"/>
  <c r="HO81"/>
  <c r="HP81"/>
  <c r="HQ81"/>
  <c r="HR81"/>
  <c r="HS81"/>
  <c r="HT81"/>
  <c r="HU81"/>
  <c r="HV81"/>
  <c r="HW81"/>
  <c r="HX81"/>
  <c r="HY81"/>
  <c r="HZ81"/>
  <c r="IA81"/>
  <c r="IB81"/>
  <c r="IC81"/>
  <c r="ID81"/>
  <c r="IE81"/>
  <c r="IF81"/>
  <c r="IG81"/>
  <c r="IH81"/>
  <c r="II81"/>
  <c r="IJ81"/>
  <c r="IK81"/>
  <c r="IL81"/>
  <c r="IM81"/>
  <c r="IN81"/>
  <c r="IO81"/>
  <c r="IP81"/>
  <c r="IQ81"/>
  <c r="IR81"/>
  <c r="IS81"/>
  <c r="IT81"/>
  <c r="IU81"/>
  <c r="IV81"/>
  <c r="A80"/>
  <c r="B80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CE80"/>
  <c r="CF80"/>
  <c r="CG80"/>
  <c r="CH80"/>
  <c r="CI80"/>
  <c r="CJ80"/>
  <c r="CK80"/>
  <c r="CL80"/>
  <c r="CM80"/>
  <c r="CN80"/>
  <c r="CO80"/>
  <c r="CP80"/>
  <c r="CQ80"/>
  <c r="CR80"/>
  <c r="CS80"/>
  <c r="CT80"/>
  <c r="CU80"/>
  <c r="CV80"/>
  <c r="CW80"/>
  <c r="CX80"/>
  <c r="CY80"/>
  <c r="CZ80"/>
  <c r="DA80"/>
  <c r="DB80"/>
  <c r="DC80"/>
  <c r="DD80"/>
  <c r="DE80"/>
  <c r="DF80"/>
  <c r="DG80"/>
  <c r="DH80"/>
  <c r="DI80"/>
  <c r="DJ80"/>
  <c r="DK80"/>
  <c r="DL80"/>
  <c r="DM80"/>
  <c r="DN80"/>
  <c r="DO80"/>
  <c r="DP80"/>
  <c r="DQ80"/>
  <c r="DR80"/>
  <c r="DS80"/>
  <c r="DT80"/>
  <c r="DU80"/>
  <c r="DV80"/>
  <c r="DW80"/>
  <c r="DX80"/>
  <c r="DY80"/>
  <c r="DZ80"/>
  <c r="EA80"/>
  <c r="EB80"/>
  <c r="EC80"/>
  <c r="ED80"/>
  <c r="EE80"/>
  <c r="EF80"/>
  <c r="EG80"/>
  <c r="EH80"/>
  <c r="EI80"/>
  <c r="EJ80"/>
  <c r="EK80"/>
  <c r="EL80"/>
  <c r="EM80"/>
  <c r="EN80"/>
  <c r="EO80"/>
  <c r="EP80"/>
  <c r="EQ80"/>
  <c r="ER80"/>
  <c r="ES80"/>
  <c r="ET80"/>
  <c r="EU80"/>
  <c r="EV80"/>
  <c r="EW80"/>
  <c r="EX80"/>
  <c r="EY80"/>
  <c r="EZ80"/>
  <c r="FA80"/>
  <c r="FB80"/>
  <c r="FC80"/>
  <c r="FD80"/>
  <c r="FE80"/>
  <c r="FF80"/>
  <c r="FG80"/>
  <c r="FH80"/>
  <c r="FI80"/>
  <c r="FJ80"/>
  <c r="FK80"/>
  <c r="FL80"/>
  <c r="FM80"/>
  <c r="FN80"/>
  <c r="FO80"/>
  <c r="FP80"/>
  <c r="FQ80"/>
  <c r="FR80"/>
  <c r="FS80"/>
  <c r="FT80"/>
  <c r="FU80"/>
  <c r="FV80"/>
  <c r="FW80"/>
  <c r="FX80"/>
  <c r="FY80"/>
  <c r="FZ80"/>
  <c r="GA80"/>
  <c r="GB80"/>
  <c r="GC80"/>
  <c r="GD80"/>
  <c r="GE80"/>
  <c r="GF80"/>
  <c r="GG80"/>
  <c r="GH80"/>
  <c r="GI80"/>
  <c r="GJ80"/>
  <c r="GK80"/>
  <c r="GL80"/>
  <c r="GM80"/>
  <c r="GN80"/>
  <c r="GO80"/>
  <c r="GP80"/>
  <c r="GQ80"/>
  <c r="GR80"/>
  <c r="GS80"/>
  <c r="GT80"/>
  <c r="GU80"/>
  <c r="GV80"/>
  <c r="GW80"/>
  <c r="GX80"/>
  <c r="GY80"/>
  <c r="GZ80"/>
  <c r="HA80"/>
  <c r="HB80"/>
  <c r="HC80"/>
  <c r="HD80"/>
  <c r="HE80"/>
  <c r="HF80"/>
  <c r="HG80"/>
  <c r="HH80"/>
  <c r="HI80"/>
  <c r="HJ80"/>
  <c r="HK80"/>
  <c r="HL80"/>
  <c r="HM80"/>
  <c r="HN80"/>
  <c r="HO80"/>
  <c r="HP80"/>
  <c r="HQ80"/>
  <c r="HR80"/>
  <c r="HS80"/>
  <c r="HT80"/>
  <c r="HU80"/>
  <c r="HV80"/>
  <c r="HW80"/>
  <c r="HX80"/>
  <c r="HY80"/>
  <c r="HZ80"/>
  <c r="IA80"/>
  <c r="IB80"/>
  <c r="IC80"/>
  <c r="ID80"/>
  <c r="IE80"/>
  <c r="IF80"/>
  <c r="IG80"/>
  <c r="IH80"/>
  <c r="II80"/>
  <c r="IJ80"/>
  <c r="IK80"/>
  <c r="IL80"/>
  <c r="IM80"/>
  <c r="IN80"/>
  <c r="IO80"/>
  <c r="IP80"/>
  <c r="IQ80"/>
  <c r="IR80"/>
  <c r="IS80"/>
  <c r="IT80"/>
  <c r="IU80"/>
  <c r="IV80"/>
  <c r="A79"/>
  <c r="B79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CK79"/>
  <c r="CL79"/>
  <c r="CM79"/>
  <c r="CN79"/>
  <c r="CO79"/>
  <c r="CP79"/>
  <c r="CQ79"/>
  <c r="CR79"/>
  <c r="CS79"/>
  <c r="CT79"/>
  <c r="CU79"/>
  <c r="CV79"/>
  <c r="CW79"/>
  <c r="CX79"/>
  <c r="CY79"/>
  <c r="CZ79"/>
  <c r="DA79"/>
  <c r="DB79"/>
  <c r="DC79"/>
  <c r="DD79"/>
  <c r="DE79"/>
  <c r="DF79"/>
  <c r="DG79"/>
  <c r="DH79"/>
  <c r="DI79"/>
  <c r="DJ79"/>
  <c r="DK79"/>
  <c r="DL79"/>
  <c r="DM79"/>
  <c r="DN79"/>
  <c r="DO79"/>
  <c r="DP79"/>
  <c r="DQ79"/>
  <c r="DR79"/>
  <c r="DS79"/>
  <c r="DT79"/>
  <c r="DU79"/>
  <c r="DV79"/>
  <c r="DW79"/>
  <c r="DX79"/>
  <c r="DY79"/>
  <c r="DZ79"/>
  <c r="EA79"/>
  <c r="EB79"/>
  <c r="EC79"/>
  <c r="ED79"/>
  <c r="EE79"/>
  <c r="EF79"/>
  <c r="EG79"/>
  <c r="EH79"/>
  <c r="EI79"/>
  <c r="EJ79"/>
  <c r="EK79"/>
  <c r="EL79"/>
  <c r="EM79"/>
  <c r="EN79"/>
  <c r="EO79"/>
  <c r="EP79"/>
  <c r="EQ79"/>
  <c r="ER79"/>
  <c r="ES79"/>
  <c r="ET79"/>
  <c r="EU79"/>
  <c r="EV79"/>
  <c r="EW79"/>
  <c r="EX79"/>
  <c r="EY79"/>
  <c r="EZ79"/>
  <c r="FA79"/>
  <c r="FB79"/>
  <c r="FC79"/>
  <c r="FD79"/>
  <c r="FE79"/>
  <c r="FF79"/>
  <c r="FG79"/>
  <c r="FH79"/>
  <c r="FI79"/>
  <c r="FJ79"/>
  <c r="FK79"/>
  <c r="FL79"/>
  <c r="FM79"/>
  <c r="FN79"/>
  <c r="FO79"/>
  <c r="FP79"/>
  <c r="FQ79"/>
  <c r="FR79"/>
  <c r="FS79"/>
  <c r="FT79"/>
  <c r="FU79"/>
  <c r="FV79"/>
  <c r="FW79"/>
  <c r="FX79"/>
  <c r="FY79"/>
  <c r="FZ79"/>
  <c r="GA79"/>
  <c r="GB79"/>
  <c r="GC79"/>
  <c r="GD79"/>
  <c r="GE79"/>
  <c r="GF79"/>
  <c r="GG79"/>
  <c r="GH79"/>
  <c r="GI79"/>
  <c r="GJ79"/>
  <c r="GK79"/>
  <c r="GL79"/>
  <c r="GM79"/>
  <c r="GN79"/>
  <c r="GO79"/>
  <c r="GP79"/>
  <c r="GQ79"/>
  <c r="GR79"/>
  <c r="GS79"/>
  <c r="GT79"/>
  <c r="GU79"/>
  <c r="GV79"/>
  <c r="GW79"/>
  <c r="GX79"/>
  <c r="GY79"/>
  <c r="GZ79"/>
  <c r="HA79"/>
  <c r="HB79"/>
  <c r="HC79"/>
  <c r="HD79"/>
  <c r="HE79"/>
  <c r="HF79"/>
  <c r="HG79"/>
  <c r="HH79"/>
  <c r="HI79"/>
  <c r="HJ79"/>
  <c r="HK79"/>
  <c r="HL79"/>
  <c r="HM79"/>
  <c r="HN79"/>
  <c r="HO79"/>
  <c r="HP79"/>
  <c r="HQ79"/>
  <c r="HR79"/>
  <c r="HS79"/>
  <c r="HT79"/>
  <c r="HU79"/>
  <c r="HV79"/>
  <c r="HW79"/>
  <c r="HX79"/>
  <c r="HY79"/>
  <c r="HZ79"/>
  <c r="IA79"/>
  <c r="IB79"/>
  <c r="IC79"/>
  <c r="ID79"/>
  <c r="IE79"/>
  <c r="IF79"/>
  <c r="IG79"/>
  <c r="IH79"/>
  <c r="II79"/>
  <c r="IJ79"/>
  <c r="IK79"/>
  <c r="IL79"/>
  <c r="IM79"/>
  <c r="IN79"/>
  <c r="IO79"/>
  <c r="IP79"/>
  <c r="IQ79"/>
  <c r="IR79"/>
  <c r="IS79"/>
  <c r="IT79"/>
  <c r="IU79"/>
  <c r="IV79"/>
  <c r="A78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E78"/>
  <c r="CF78"/>
  <c r="CG78"/>
  <c r="CH78"/>
  <c r="CI78"/>
  <c r="CJ78"/>
  <c r="CK78"/>
  <c r="CL78"/>
  <c r="CM78"/>
  <c r="CN78"/>
  <c r="CO78"/>
  <c r="CP78"/>
  <c r="CQ78"/>
  <c r="CR78"/>
  <c r="CS78"/>
  <c r="CT78"/>
  <c r="CU78"/>
  <c r="CV78"/>
  <c r="CW78"/>
  <c r="CX78"/>
  <c r="CY78"/>
  <c r="CZ78"/>
  <c r="DA78"/>
  <c r="DB78"/>
  <c r="DC78"/>
  <c r="DD78"/>
  <c r="DE78"/>
  <c r="DF78"/>
  <c r="DG78"/>
  <c r="DH78"/>
  <c r="DI78"/>
  <c r="DJ78"/>
  <c r="DK78"/>
  <c r="DL78"/>
  <c r="DM78"/>
  <c r="DN78"/>
  <c r="DO78"/>
  <c r="DP78"/>
  <c r="DQ78"/>
  <c r="DR78"/>
  <c r="DS78"/>
  <c r="DT78"/>
  <c r="DU78"/>
  <c r="DV78"/>
  <c r="DW78"/>
  <c r="DX78"/>
  <c r="DY78"/>
  <c r="DZ78"/>
  <c r="EA78"/>
  <c r="EB78"/>
  <c r="EC78"/>
  <c r="ED78"/>
  <c r="EE78"/>
  <c r="EF78"/>
  <c r="EG78"/>
  <c r="EH78"/>
  <c r="EI78"/>
  <c r="EJ78"/>
  <c r="EK78"/>
  <c r="EL78"/>
  <c r="EM78"/>
  <c r="EN78"/>
  <c r="EO78"/>
  <c r="EP78"/>
  <c r="EQ78"/>
  <c r="ER78"/>
  <c r="ES78"/>
  <c r="ET78"/>
  <c r="EU78"/>
  <c r="EV78"/>
  <c r="EW78"/>
  <c r="EX78"/>
  <c r="EY78"/>
  <c r="EZ78"/>
  <c r="FA78"/>
  <c r="FB78"/>
  <c r="FC78"/>
  <c r="FD78"/>
  <c r="FE78"/>
  <c r="FF78"/>
  <c r="FG78"/>
  <c r="FH78"/>
  <c r="FI78"/>
  <c r="FJ78"/>
  <c r="FK78"/>
  <c r="FL78"/>
  <c r="FM78"/>
  <c r="FN78"/>
  <c r="FO78"/>
  <c r="FP78"/>
  <c r="FQ78"/>
  <c r="FR78"/>
  <c r="FS78"/>
  <c r="FT78"/>
  <c r="FU78"/>
  <c r="FV78"/>
  <c r="FW78"/>
  <c r="FX78"/>
  <c r="FY78"/>
  <c r="FZ78"/>
  <c r="GA78"/>
  <c r="GB78"/>
  <c r="GC78"/>
  <c r="GD78"/>
  <c r="GE78"/>
  <c r="GF78"/>
  <c r="GG78"/>
  <c r="GH78"/>
  <c r="GI78"/>
  <c r="GJ78"/>
  <c r="GK78"/>
  <c r="GL78"/>
  <c r="GM78"/>
  <c r="GN78"/>
  <c r="GO78"/>
  <c r="GP78"/>
  <c r="GQ78"/>
  <c r="GR78"/>
  <c r="GS78"/>
  <c r="GT78"/>
  <c r="GU78"/>
  <c r="GV78"/>
  <c r="GW78"/>
  <c r="GX78"/>
  <c r="GY78"/>
  <c r="GZ78"/>
  <c r="HA78"/>
  <c r="HB78"/>
  <c r="HC78"/>
  <c r="HD78"/>
  <c r="HE78"/>
  <c r="HF78"/>
  <c r="HG78"/>
  <c r="HH78"/>
  <c r="HI78"/>
  <c r="HJ78"/>
  <c r="HK78"/>
  <c r="HL78"/>
  <c r="HM78"/>
  <c r="HN78"/>
  <c r="HO78"/>
  <c r="HP78"/>
  <c r="HQ78"/>
  <c r="HR78"/>
  <c r="HS78"/>
  <c r="HT78"/>
  <c r="HU78"/>
  <c r="HV78"/>
  <c r="HW78"/>
  <c r="HX78"/>
  <c r="HY78"/>
  <c r="HZ78"/>
  <c r="IA78"/>
  <c r="IB78"/>
  <c r="IC78"/>
  <c r="ID78"/>
  <c r="IE78"/>
  <c r="IF78"/>
  <c r="IG78"/>
  <c r="IH78"/>
  <c r="II78"/>
  <c r="IJ78"/>
  <c r="IK78"/>
  <c r="IL78"/>
  <c r="IM78"/>
  <c r="IN78"/>
  <c r="IO78"/>
  <c r="IP78"/>
  <c r="IQ78"/>
  <c r="IR78"/>
  <c r="IS78"/>
  <c r="IT78"/>
  <c r="IU78"/>
  <c r="IV78"/>
  <c r="A77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CE77"/>
  <c r="CF77"/>
  <c r="CG77"/>
  <c r="CH77"/>
  <c r="CI77"/>
  <c r="CJ77"/>
  <c r="CK77"/>
  <c r="CL77"/>
  <c r="CM77"/>
  <c r="CN77"/>
  <c r="CO77"/>
  <c r="CP77"/>
  <c r="CQ77"/>
  <c r="CR77"/>
  <c r="CS77"/>
  <c r="CT77"/>
  <c r="CU77"/>
  <c r="CV77"/>
  <c r="CW77"/>
  <c r="CX77"/>
  <c r="CY77"/>
  <c r="CZ77"/>
  <c r="DA77"/>
  <c r="DB77"/>
  <c r="DC77"/>
  <c r="DD77"/>
  <c r="DE77"/>
  <c r="DF77"/>
  <c r="DG77"/>
  <c r="DH77"/>
  <c r="DI77"/>
  <c r="DJ77"/>
  <c r="DK77"/>
  <c r="DL77"/>
  <c r="DM77"/>
  <c r="DN77"/>
  <c r="DO77"/>
  <c r="DP77"/>
  <c r="DQ77"/>
  <c r="DR77"/>
  <c r="DS77"/>
  <c r="DT77"/>
  <c r="DU77"/>
  <c r="DV77"/>
  <c r="DW77"/>
  <c r="DX77"/>
  <c r="DY77"/>
  <c r="DZ77"/>
  <c r="EA77"/>
  <c r="EB77"/>
  <c r="EC77"/>
  <c r="ED77"/>
  <c r="EE77"/>
  <c r="EF77"/>
  <c r="EG77"/>
  <c r="EH77"/>
  <c r="EI77"/>
  <c r="EJ77"/>
  <c r="EK77"/>
  <c r="EL77"/>
  <c r="EM77"/>
  <c r="EN77"/>
  <c r="EO77"/>
  <c r="EP77"/>
  <c r="EQ77"/>
  <c r="ER77"/>
  <c r="ES77"/>
  <c r="ET77"/>
  <c r="EU77"/>
  <c r="EV77"/>
  <c r="EW77"/>
  <c r="EX77"/>
  <c r="EY77"/>
  <c r="EZ77"/>
  <c r="FA77"/>
  <c r="FB77"/>
  <c r="FC77"/>
  <c r="FD77"/>
  <c r="FE77"/>
  <c r="FF77"/>
  <c r="FG77"/>
  <c r="FH77"/>
  <c r="FI77"/>
  <c r="FJ77"/>
  <c r="FK77"/>
  <c r="FL77"/>
  <c r="FM77"/>
  <c r="FN77"/>
  <c r="FO77"/>
  <c r="FP77"/>
  <c r="FQ77"/>
  <c r="FR77"/>
  <c r="FS77"/>
  <c r="FT77"/>
  <c r="FU77"/>
  <c r="FV77"/>
  <c r="FW77"/>
  <c r="FX77"/>
  <c r="FY77"/>
  <c r="FZ77"/>
  <c r="GA77"/>
  <c r="GB77"/>
  <c r="GC77"/>
  <c r="GD77"/>
  <c r="GE77"/>
  <c r="GF77"/>
  <c r="GG77"/>
  <c r="GH77"/>
  <c r="GI77"/>
  <c r="GJ77"/>
  <c r="GK77"/>
  <c r="GL77"/>
  <c r="GM77"/>
  <c r="GN77"/>
  <c r="GO77"/>
  <c r="GP77"/>
  <c r="GQ77"/>
  <c r="GR77"/>
  <c r="GS77"/>
  <c r="GT77"/>
  <c r="GU77"/>
  <c r="GV77"/>
  <c r="GW77"/>
  <c r="GX77"/>
  <c r="GY77"/>
  <c r="GZ77"/>
  <c r="HA77"/>
  <c r="HB77"/>
  <c r="HC77"/>
  <c r="HD77"/>
  <c r="HE77"/>
  <c r="HF77"/>
  <c r="HG77"/>
  <c r="HH77"/>
  <c r="HI77"/>
  <c r="HJ77"/>
  <c r="HK77"/>
  <c r="HL77"/>
  <c r="HM77"/>
  <c r="HN77"/>
  <c r="HO77"/>
  <c r="HP77"/>
  <c r="HQ77"/>
  <c r="HR77"/>
  <c r="HS77"/>
  <c r="HT77"/>
  <c r="HU77"/>
  <c r="HV77"/>
  <c r="HW77"/>
  <c r="HX77"/>
  <c r="HY77"/>
  <c r="HZ77"/>
  <c r="IA77"/>
  <c r="IB77"/>
  <c r="IC77"/>
  <c r="ID77"/>
  <c r="IE77"/>
  <c r="IF77"/>
  <c r="IG77"/>
  <c r="IH77"/>
  <c r="II77"/>
  <c r="IJ77"/>
  <c r="IK77"/>
  <c r="IL77"/>
  <c r="IM77"/>
  <c r="IN77"/>
  <c r="IO77"/>
  <c r="IP77"/>
  <c r="IQ77"/>
  <c r="IR77"/>
  <c r="IS77"/>
  <c r="IT77"/>
  <c r="IU77"/>
  <c r="IV77"/>
  <c r="A76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CE76"/>
  <c r="CF76"/>
  <c r="CG76"/>
  <c r="CH76"/>
  <c r="CI76"/>
  <c r="CJ76"/>
  <c r="CK76"/>
  <c r="CL76"/>
  <c r="CM76"/>
  <c r="CN76"/>
  <c r="CO76"/>
  <c r="CP76"/>
  <c r="CQ76"/>
  <c r="CR76"/>
  <c r="CS76"/>
  <c r="CT76"/>
  <c r="CU76"/>
  <c r="CV76"/>
  <c r="CW76"/>
  <c r="CX76"/>
  <c r="CY76"/>
  <c r="CZ76"/>
  <c r="DA76"/>
  <c r="DB76"/>
  <c r="DC76"/>
  <c r="DD76"/>
  <c r="DE76"/>
  <c r="DF76"/>
  <c r="DG76"/>
  <c r="DH76"/>
  <c r="DI76"/>
  <c r="DJ76"/>
  <c r="DK76"/>
  <c r="DL76"/>
  <c r="DM76"/>
  <c r="DN76"/>
  <c r="DO76"/>
  <c r="DP76"/>
  <c r="DQ76"/>
  <c r="DR76"/>
  <c r="DS76"/>
  <c r="DT76"/>
  <c r="DU76"/>
  <c r="DV76"/>
  <c r="DW76"/>
  <c r="DX76"/>
  <c r="DY76"/>
  <c r="DZ76"/>
  <c r="EA76"/>
  <c r="EB76"/>
  <c r="EC76"/>
  <c r="ED76"/>
  <c r="EE76"/>
  <c r="EF76"/>
  <c r="EG76"/>
  <c r="EH76"/>
  <c r="EI76"/>
  <c r="EJ76"/>
  <c r="EK76"/>
  <c r="EL76"/>
  <c r="EM76"/>
  <c r="EN76"/>
  <c r="EO76"/>
  <c r="EP76"/>
  <c r="EQ76"/>
  <c r="ER76"/>
  <c r="ES76"/>
  <c r="ET76"/>
  <c r="EU76"/>
  <c r="EV76"/>
  <c r="EW76"/>
  <c r="EX76"/>
  <c r="EY76"/>
  <c r="EZ76"/>
  <c r="FA76"/>
  <c r="FB76"/>
  <c r="FC76"/>
  <c r="FD76"/>
  <c r="FE76"/>
  <c r="FF76"/>
  <c r="FG76"/>
  <c r="FH76"/>
  <c r="FI76"/>
  <c r="FJ76"/>
  <c r="FK76"/>
  <c r="FL76"/>
  <c r="FM76"/>
  <c r="FN76"/>
  <c r="FO76"/>
  <c r="FP76"/>
  <c r="FQ76"/>
  <c r="FR76"/>
  <c r="FS76"/>
  <c r="FT76"/>
  <c r="FU76"/>
  <c r="FV76"/>
  <c r="FW76"/>
  <c r="FX76"/>
  <c r="FY76"/>
  <c r="FZ76"/>
  <c r="GA76"/>
  <c r="GB76"/>
  <c r="GC76"/>
  <c r="GD76"/>
  <c r="GE76"/>
  <c r="GF76"/>
  <c r="GG76"/>
  <c r="GH76"/>
  <c r="GI76"/>
  <c r="GJ76"/>
  <c r="GK76"/>
  <c r="GL76"/>
  <c r="GM76"/>
  <c r="GN76"/>
  <c r="GO76"/>
  <c r="GP76"/>
  <c r="GQ76"/>
  <c r="GR76"/>
  <c r="GS76"/>
  <c r="GT76"/>
  <c r="GU76"/>
  <c r="GV76"/>
  <c r="GW76"/>
  <c r="GX76"/>
  <c r="GY76"/>
  <c r="GZ76"/>
  <c r="HA76"/>
  <c r="HB76"/>
  <c r="HC76"/>
  <c r="HD76"/>
  <c r="HE76"/>
  <c r="HF76"/>
  <c r="HG76"/>
  <c r="HH76"/>
  <c r="HI76"/>
  <c r="HJ76"/>
  <c r="HK76"/>
  <c r="HL76"/>
  <c r="HM76"/>
  <c r="HN76"/>
  <c r="HO76"/>
  <c r="HP76"/>
  <c r="HQ76"/>
  <c r="HR76"/>
  <c r="HS76"/>
  <c r="HT76"/>
  <c r="HU76"/>
  <c r="HV76"/>
  <c r="HW76"/>
  <c r="HX76"/>
  <c r="HY76"/>
  <c r="HZ76"/>
  <c r="IA76"/>
  <c r="IB76"/>
  <c r="IC76"/>
  <c r="ID76"/>
  <c r="IE76"/>
  <c r="IF76"/>
  <c r="IG76"/>
  <c r="IH76"/>
  <c r="II76"/>
  <c r="IJ76"/>
  <c r="IK76"/>
  <c r="IL76"/>
  <c r="IM76"/>
  <c r="IN76"/>
  <c r="IO76"/>
  <c r="IP76"/>
  <c r="IQ76"/>
  <c r="IR76"/>
  <c r="IS76"/>
  <c r="IT76"/>
  <c r="IU76"/>
  <c r="IV76"/>
  <c r="A75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F75"/>
  <c r="CG75"/>
  <c r="CH75"/>
  <c r="CI75"/>
  <c r="CJ75"/>
  <c r="CK75"/>
  <c r="CL75"/>
  <c r="CM75"/>
  <c r="CN75"/>
  <c r="CO75"/>
  <c r="CP75"/>
  <c r="CQ75"/>
  <c r="CR75"/>
  <c r="CS75"/>
  <c r="CT75"/>
  <c r="CU75"/>
  <c r="CV75"/>
  <c r="CW75"/>
  <c r="CX75"/>
  <c r="CY75"/>
  <c r="CZ75"/>
  <c r="DA75"/>
  <c r="DB75"/>
  <c r="DC75"/>
  <c r="DD75"/>
  <c r="DE75"/>
  <c r="DF75"/>
  <c r="DG75"/>
  <c r="DH75"/>
  <c r="DI75"/>
  <c r="DJ75"/>
  <c r="DK75"/>
  <c r="DL75"/>
  <c r="DM75"/>
  <c r="DN75"/>
  <c r="DO75"/>
  <c r="DP75"/>
  <c r="DQ75"/>
  <c r="DR75"/>
  <c r="DS75"/>
  <c r="DT75"/>
  <c r="DU75"/>
  <c r="DV75"/>
  <c r="DW75"/>
  <c r="DX75"/>
  <c r="DY75"/>
  <c r="DZ75"/>
  <c r="EA75"/>
  <c r="EB75"/>
  <c r="EC75"/>
  <c r="ED75"/>
  <c r="EE75"/>
  <c r="EF75"/>
  <c r="EG75"/>
  <c r="EH75"/>
  <c r="EI75"/>
  <c r="EJ75"/>
  <c r="EK75"/>
  <c r="EL75"/>
  <c r="EM75"/>
  <c r="EN75"/>
  <c r="EO75"/>
  <c r="EP75"/>
  <c r="EQ75"/>
  <c r="ER75"/>
  <c r="ES75"/>
  <c r="ET75"/>
  <c r="EU75"/>
  <c r="EV75"/>
  <c r="EW75"/>
  <c r="EX75"/>
  <c r="EY75"/>
  <c r="EZ75"/>
  <c r="FA75"/>
  <c r="FB75"/>
  <c r="FC75"/>
  <c r="FD75"/>
  <c r="FE75"/>
  <c r="FF75"/>
  <c r="FG75"/>
  <c r="FH75"/>
  <c r="FI75"/>
  <c r="FJ75"/>
  <c r="FK75"/>
  <c r="FL75"/>
  <c r="FM75"/>
  <c r="FN75"/>
  <c r="FO75"/>
  <c r="FP75"/>
  <c r="FQ75"/>
  <c r="FR75"/>
  <c r="FS75"/>
  <c r="FT75"/>
  <c r="FU75"/>
  <c r="FV75"/>
  <c r="FW75"/>
  <c r="FX75"/>
  <c r="FY75"/>
  <c r="FZ75"/>
  <c r="GA75"/>
  <c r="GB75"/>
  <c r="GC75"/>
  <c r="GD75"/>
  <c r="GE75"/>
  <c r="GF75"/>
  <c r="GG75"/>
  <c r="GH75"/>
  <c r="GI75"/>
  <c r="GJ75"/>
  <c r="GK75"/>
  <c r="GL75"/>
  <c r="GM75"/>
  <c r="GN75"/>
  <c r="GO75"/>
  <c r="GP75"/>
  <c r="GQ75"/>
  <c r="GR75"/>
  <c r="GS75"/>
  <c r="GT75"/>
  <c r="GU75"/>
  <c r="GV75"/>
  <c r="GW75"/>
  <c r="GX75"/>
  <c r="GY75"/>
  <c r="GZ75"/>
  <c r="HA75"/>
  <c r="HB75"/>
  <c r="HC75"/>
  <c r="HD75"/>
  <c r="HE75"/>
  <c r="HF75"/>
  <c r="HG75"/>
  <c r="HH75"/>
  <c r="HI75"/>
  <c r="HJ75"/>
  <c r="HK75"/>
  <c r="HL75"/>
  <c r="HM75"/>
  <c r="HN75"/>
  <c r="HO75"/>
  <c r="HP75"/>
  <c r="HQ75"/>
  <c r="HR75"/>
  <c r="HS75"/>
  <c r="HT75"/>
  <c r="HU75"/>
  <c r="HV75"/>
  <c r="HW75"/>
  <c r="HX75"/>
  <c r="HY75"/>
  <c r="HZ75"/>
  <c r="IA75"/>
  <c r="IB75"/>
  <c r="IC75"/>
  <c r="ID75"/>
  <c r="IE75"/>
  <c r="IF75"/>
  <c r="IG75"/>
  <c r="IH75"/>
  <c r="II75"/>
  <c r="IJ75"/>
  <c r="IK75"/>
  <c r="IL75"/>
  <c r="IM75"/>
  <c r="IN75"/>
  <c r="IO75"/>
  <c r="IP75"/>
  <c r="IQ75"/>
  <c r="IR75"/>
  <c r="IS75"/>
  <c r="IT75"/>
  <c r="IU75"/>
  <c r="IV75"/>
  <c r="A74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CF74"/>
  <c r="CG74"/>
  <c r="CH74"/>
  <c r="CI74"/>
  <c r="CJ74"/>
  <c r="CK74"/>
  <c r="CL74"/>
  <c r="CM74"/>
  <c r="CN74"/>
  <c r="CO74"/>
  <c r="CP74"/>
  <c r="CQ74"/>
  <c r="CR74"/>
  <c r="CS74"/>
  <c r="CT74"/>
  <c r="CU74"/>
  <c r="CV74"/>
  <c r="CW74"/>
  <c r="CX74"/>
  <c r="CY74"/>
  <c r="CZ74"/>
  <c r="DA74"/>
  <c r="DB74"/>
  <c r="DC74"/>
  <c r="DD74"/>
  <c r="DE74"/>
  <c r="DF74"/>
  <c r="DG74"/>
  <c r="DH74"/>
  <c r="DI74"/>
  <c r="DJ74"/>
  <c r="DK74"/>
  <c r="DL74"/>
  <c r="DM74"/>
  <c r="DN74"/>
  <c r="DO74"/>
  <c r="DP74"/>
  <c r="DQ74"/>
  <c r="DR74"/>
  <c r="DS74"/>
  <c r="DT74"/>
  <c r="DU74"/>
  <c r="DV74"/>
  <c r="DW74"/>
  <c r="DX74"/>
  <c r="DY74"/>
  <c r="DZ74"/>
  <c r="EA74"/>
  <c r="EB74"/>
  <c r="EC74"/>
  <c r="ED74"/>
  <c r="EE74"/>
  <c r="EF74"/>
  <c r="EG74"/>
  <c r="EH74"/>
  <c r="EI74"/>
  <c r="EJ74"/>
  <c r="EK74"/>
  <c r="EL74"/>
  <c r="EM74"/>
  <c r="EN74"/>
  <c r="EO74"/>
  <c r="EP74"/>
  <c r="EQ74"/>
  <c r="ER74"/>
  <c r="ES74"/>
  <c r="ET74"/>
  <c r="EU74"/>
  <c r="EV74"/>
  <c r="EW74"/>
  <c r="EX74"/>
  <c r="EY74"/>
  <c r="EZ74"/>
  <c r="FA74"/>
  <c r="FB74"/>
  <c r="FC74"/>
  <c r="FD74"/>
  <c r="FE74"/>
  <c r="FF74"/>
  <c r="FG74"/>
  <c r="FH74"/>
  <c r="FI74"/>
  <c r="FJ74"/>
  <c r="FK74"/>
  <c r="FL74"/>
  <c r="FM74"/>
  <c r="FN74"/>
  <c r="FO74"/>
  <c r="FP74"/>
  <c r="FQ74"/>
  <c r="FR74"/>
  <c r="FS74"/>
  <c r="FT74"/>
  <c r="FU74"/>
  <c r="FV74"/>
  <c r="FW74"/>
  <c r="FX74"/>
  <c r="FY74"/>
  <c r="FZ74"/>
  <c r="GA74"/>
  <c r="GB74"/>
  <c r="GC74"/>
  <c r="GD74"/>
  <c r="GE74"/>
  <c r="GF74"/>
  <c r="GG74"/>
  <c r="GH74"/>
  <c r="GI74"/>
  <c r="GJ74"/>
  <c r="GK74"/>
  <c r="GL74"/>
  <c r="GM74"/>
  <c r="GN74"/>
  <c r="GO74"/>
  <c r="GP74"/>
  <c r="GQ74"/>
  <c r="GR74"/>
  <c r="GS74"/>
  <c r="GT74"/>
  <c r="GU74"/>
  <c r="GV74"/>
  <c r="GW74"/>
  <c r="GX74"/>
  <c r="GY74"/>
  <c r="GZ74"/>
  <c r="HA74"/>
  <c r="HB74"/>
  <c r="HC74"/>
  <c r="HD74"/>
  <c r="HE74"/>
  <c r="HF74"/>
  <c r="HG74"/>
  <c r="HH74"/>
  <c r="HI74"/>
  <c r="HJ74"/>
  <c r="HK74"/>
  <c r="HL74"/>
  <c r="HM74"/>
  <c r="HN74"/>
  <c r="HO74"/>
  <c r="HP74"/>
  <c r="HQ74"/>
  <c r="HR74"/>
  <c r="HS74"/>
  <c r="HT74"/>
  <c r="HU74"/>
  <c r="HV74"/>
  <c r="HW74"/>
  <c r="HX74"/>
  <c r="HY74"/>
  <c r="HZ74"/>
  <c r="IA74"/>
  <c r="IB74"/>
  <c r="IC74"/>
  <c r="ID74"/>
  <c r="IE74"/>
  <c r="IF74"/>
  <c r="IG74"/>
  <c r="IH74"/>
  <c r="II74"/>
  <c r="IJ74"/>
  <c r="IK74"/>
  <c r="IL74"/>
  <c r="IM74"/>
  <c r="IN74"/>
  <c r="IO74"/>
  <c r="IP74"/>
  <c r="IQ74"/>
  <c r="IR74"/>
  <c r="IS74"/>
  <c r="IT74"/>
  <c r="IU74"/>
  <c r="IV74"/>
  <c r="A73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CK73"/>
  <c r="CL73"/>
  <c r="CM73"/>
  <c r="CN73"/>
  <c r="CO73"/>
  <c r="CP73"/>
  <c r="CQ73"/>
  <c r="CR73"/>
  <c r="CS73"/>
  <c r="CT73"/>
  <c r="CU73"/>
  <c r="CV73"/>
  <c r="CW73"/>
  <c r="CX73"/>
  <c r="CY73"/>
  <c r="CZ73"/>
  <c r="DA73"/>
  <c r="DB73"/>
  <c r="DC73"/>
  <c r="DD73"/>
  <c r="DE73"/>
  <c r="DF73"/>
  <c r="DG73"/>
  <c r="DH73"/>
  <c r="DI73"/>
  <c r="DJ73"/>
  <c r="DK73"/>
  <c r="DL73"/>
  <c r="DM73"/>
  <c r="DN73"/>
  <c r="DO73"/>
  <c r="DP73"/>
  <c r="DQ73"/>
  <c r="DR73"/>
  <c r="DS73"/>
  <c r="DT73"/>
  <c r="DU73"/>
  <c r="DV73"/>
  <c r="DW73"/>
  <c r="DX73"/>
  <c r="DY73"/>
  <c r="DZ73"/>
  <c r="EA73"/>
  <c r="EB73"/>
  <c r="EC73"/>
  <c r="ED73"/>
  <c r="EE73"/>
  <c r="EF73"/>
  <c r="EG73"/>
  <c r="EH73"/>
  <c r="EI73"/>
  <c r="EJ73"/>
  <c r="EK73"/>
  <c r="EL73"/>
  <c r="EM73"/>
  <c r="EN73"/>
  <c r="EO73"/>
  <c r="EP73"/>
  <c r="EQ73"/>
  <c r="ER73"/>
  <c r="ES73"/>
  <c r="ET73"/>
  <c r="EU73"/>
  <c r="EV73"/>
  <c r="EW73"/>
  <c r="EX73"/>
  <c r="EY73"/>
  <c r="EZ73"/>
  <c r="FA73"/>
  <c r="FB73"/>
  <c r="FC73"/>
  <c r="FD73"/>
  <c r="FE73"/>
  <c r="FF73"/>
  <c r="FG73"/>
  <c r="FH73"/>
  <c r="FI73"/>
  <c r="FJ73"/>
  <c r="FK73"/>
  <c r="FL73"/>
  <c r="FM73"/>
  <c r="FN73"/>
  <c r="FO73"/>
  <c r="FP73"/>
  <c r="FQ73"/>
  <c r="FR73"/>
  <c r="FS73"/>
  <c r="FT73"/>
  <c r="FU73"/>
  <c r="FV73"/>
  <c r="FW73"/>
  <c r="FX73"/>
  <c r="FY73"/>
  <c r="FZ73"/>
  <c r="GA73"/>
  <c r="GB73"/>
  <c r="GC73"/>
  <c r="GD73"/>
  <c r="GE73"/>
  <c r="GF73"/>
  <c r="GG73"/>
  <c r="GH73"/>
  <c r="GI73"/>
  <c r="GJ73"/>
  <c r="GK73"/>
  <c r="GL73"/>
  <c r="GM73"/>
  <c r="GN73"/>
  <c r="GO73"/>
  <c r="GP73"/>
  <c r="GQ73"/>
  <c r="GR73"/>
  <c r="GS73"/>
  <c r="GT73"/>
  <c r="GU73"/>
  <c r="GV73"/>
  <c r="GW73"/>
  <c r="GX73"/>
  <c r="GY73"/>
  <c r="GZ73"/>
  <c r="HA73"/>
  <c r="HB73"/>
  <c r="HC73"/>
  <c r="HD73"/>
  <c r="HE73"/>
  <c r="HF73"/>
  <c r="HG73"/>
  <c r="HH73"/>
  <c r="HI73"/>
  <c r="HJ73"/>
  <c r="HK73"/>
  <c r="HL73"/>
  <c r="HM73"/>
  <c r="HN73"/>
  <c r="HO73"/>
  <c r="HP73"/>
  <c r="HQ73"/>
  <c r="HR73"/>
  <c r="HS73"/>
  <c r="HT73"/>
  <c r="HU73"/>
  <c r="HV73"/>
  <c r="HW73"/>
  <c r="HX73"/>
  <c r="HY73"/>
  <c r="HZ73"/>
  <c r="IA73"/>
  <c r="IB73"/>
  <c r="IC73"/>
  <c r="ID73"/>
  <c r="IE73"/>
  <c r="IF73"/>
  <c r="IG73"/>
  <c r="IH73"/>
  <c r="II73"/>
  <c r="IJ73"/>
  <c r="IK73"/>
  <c r="IL73"/>
  <c r="IM73"/>
  <c r="IN73"/>
  <c r="IO73"/>
  <c r="IP73"/>
  <c r="IQ73"/>
  <c r="IR73"/>
  <c r="IS73"/>
  <c r="IT73"/>
  <c r="IU73"/>
  <c r="IV73"/>
  <c r="A72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L72"/>
  <c r="CM72"/>
  <c r="CN72"/>
  <c r="CO72"/>
  <c r="CP72"/>
  <c r="CQ72"/>
  <c r="CR72"/>
  <c r="CS72"/>
  <c r="CT72"/>
  <c r="CU72"/>
  <c r="CV72"/>
  <c r="CW72"/>
  <c r="CX72"/>
  <c r="CY72"/>
  <c r="CZ72"/>
  <c r="DA72"/>
  <c r="DB72"/>
  <c r="DC72"/>
  <c r="DD72"/>
  <c r="DE72"/>
  <c r="DF72"/>
  <c r="DG72"/>
  <c r="DH72"/>
  <c r="DI72"/>
  <c r="DJ72"/>
  <c r="DK72"/>
  <c r="DL72"/>
  <c r="DM72"/>
  <c r="DN72"/>
  <c r="DO72"/>
  <c r="DP72"/>
  <c r="DQ72"/>
  <c r="DR72"/>
  <c r="DS72"/>
  <c r="DT72"/>
  <c r="DU72"/>
  <c r="DV72"/>
  <c r="DW72"/>
  <c r="DX72"/>
  <c r="DY72"/>
  <c r="DZ72"/>
  <c r="EA72"/>
  <c r="EB72"/>
  <c r="EC72"/>
  <c r="ED72"/>
  <c r="EE72"/>
  <c r="EF72"/>
  <c r="EG72"/>
  <c r="EH72"/>
  <c r="EI72"/>
  <c r="EJ72"/>
  <c r="EK72"/>
  <c r="EL72"/>
  <c r="EM72"/>
  <c r="EN72"/>
  <c r="EO72"/>
  <c r="EP72"/>
  <c r="EQ72"/>
  <c r="ER72"/>
  <c r="ES72"/>
  <c r="ET72"/>
  <c r="EU72"/>
  <c r="EV72"/>
  <c r="EW72"/>
  <c r="EX72"/>
  <c r="EY72"/>
  <c r="EZ72"/>
  <c r="FA72"/>
  <c r="FB72"/>
  <c r="FC72"/>
  <c r="FD72"/>
  <c r="FE72"/>
  <c r="FF72"/>
  <c r="FG72"/>
  <c r="FH72"/>
  <c r="FI72"/>
  <c r="FJ72"/>
  <c r="FK72"/>
  <c r="FL72"/>
  <c r="FM72"/>
  <c r="FN72"/>
  <c r="FO72"/>
  <c r="FP72"/>
  <c r="FQ72"/>
  <c r="FR72"/>
  <c r="FS72"/>
  <c r="FT72"/>
  <c r="FU72"/>
  <c r="FV72"/>
  <c r="FW72"/>
  <c r="FX72"/>
  <c r="FY72"/>
  <c r="FZ72"/>
  <c r="GA72"/>
  <c r="GB72"/>
  <c r="GC72"/>
  <c r="GD72"/>
  <c r="GE72"/>
  <c r="GF72"/>
  <c r="GG72"/>
  <c r="GH72"/>
  <c r="GI72"/>
  <c r="GJ72"/>
  <c r="GK72"/>
  <c r="GL72"/>
  <c r="GM72"/>
  <c r="GN72"/>
  <c r="GO72"/>
  <c r="GP72"/>
  <c r="GQ72"/>
  <c r="GR72"/>
  <c r="GS72"/>
  <c r="GT72"/>
  <c r="GU72"/>
  <c r="GV72"/>
  <c r="GW72"/>
  <c r="GX72"/>
  <c r="GY72"/>
  <c r="GZ72"/>
  <c r="HA72"/>
  <c r="HB72"/>
  <c r="HC72"/>
  <c r="HD72"/>
  <c r="HE72"/>
  <c r="HF72"/>
  <c r="HG72"/>
  <c r="HH72"/>
  <c r="HI72"/>
  <c r="HJ72"/>
  <c r="HK72"/>
  <c r="HL72"/>
  <c r="HM72"/>
  <c r="HN72"/>
  <c r="HO72"/>
  <c r="HP72"/>
  <c r="HQ72"/>
  <c r="HR72"/>
  <c r="HS72"/>
  <c r="HT72"/>
  <c r="HU72"/>
  <c r="HV72"/>
  <c r="HW72"/>
  <c r="HX72"/>
  <c r="HY72"/>
  <c r="HZ72"/>
  <c r="IA72"/>
  <c r="IB72"/>
  <c r="IC72"/>
  <c r="ID72"/>
  <c r="IE72"/>
  <c r="IF72"/>
  <c r="IG72"/>
  <c r="IH72"/>
  <c r="II72"/>
  <c r="IJ72"/>
  <c r="IK72"/>
  <c r="IL72"/>
  <c r="IM72"/>
  <c r="IN72"/>
  <c r="IO72"/>
  <c r="IP72"/>
  <c r="IQ72"/>
  <c r="IR72"/>
  <c r="IS72"/>
  <c r="IT72"/>
  <c r="IU72"/>
  <c r="IV72"/>
  <c r="A71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E71"/>
  <c r="CF71"/>
  <c r="CG71"/>
  <c r="CH71"/>
  <c r="CI71"/>
  <c r="CJ71"/>
  <c r="CK71"/>
  <c r="CL71"/>
  <c r="CM71"/>
  <c r="CN71"/>
  <c r="CO71"/>
  <c r="CP71"/>
  <c r="CQ71"/>
  <c r="CR71"/>
  <c r="CS71"/>
  <c r="CT71"/>
  <c r="CU71"/>
  <c r="CV71"/>
  <c r="CW71"/>
  <c r="CX71"/>
  <c r="CY71"/>
  <c r="CZ71"/>
  <c r="DA71"/>
  <c r="DB71"/>
  <c r="DC71"/>
  <c r="DD71"/>
  <c r="DE71"/>
  <c r="DF71"/>
  <c r="DG71"/>
  <c r="DH71"/>
  <c r="DI71"/>
  <c r="DJ71"/>
  <c r="DK71"/>
  <c r="DL71"/>
  <c r="DM71"/>
  <c r="DN71"/>
  <c r="DO71"/>
  <c r="DP71"/>
  <c r="DQ71"/>
  <c r="DR71"/>
  <c r="DS71"/>
  <c r="DT71"/>
  <c r="DU71"/>
  <c r="DV71"/>
  <c r="DW71"/>
  <c r="DX71"/>
  <c r="DY71"/>
  <c r="DZ71"/>
  <c r="EA71"/>
  <c r="EB71"/>
  <c r="EC71"/>
  <c r="ED71"/>
  <c r="EE71"/>
  <c r="EF71"/>
  <c r="EG71"/>
  <c r="EH71"/>
  <c r="EI71"/>
  <c r="EJ71"/>
  <c r="EK71"/>
  <c r="EL71"/>
  <c r="EM71"/>
  <c r="EN71"/>
  <c r="EO71"/>
  <c r="EP71"/>
  <c r="EQ71"/>
  <c r="ER71"/>
  <c r="ES71"/>
  <c r="ET71"/>
  <c r="EU71"/>
  <c r="EV71"/>
  <c r="EW71"/>
  <c r="EX71"/>
  <c r="EY71"/>
  <c r="EZ71"/>
  <c r="FA71"/>
  <c r="FB71"/>
  <c r="FC71"/>
  <c r="FD71"/>
  <c r="FE71"/>
  <c r="FF71"/>
  <c r="FG71"/>
  <c r="FH71"/>
  <c r="FI71"/>
  <c r="FJ71"/>
  <c r="FK71"/>
  <c r="FL71"/>
  <c r="FM71"/>
  <c r="FN71"/>
  <c r="FO71"/>
  <c r="FP71"/>
  <c r="FQ71"/>
  <c r="FR71"/>
  <c r="FS71"/>
  <c r="FT71"/>
  <c r="FU71"/>
  <c r="FV71"/>
  <c r="FW71"/>
  <c r="FX71"/>
  <c r="FY71"/>
  <c r="FZ71"/>
  <c r="GA71"/>
  <c r="GB71"/>
  <c r="GC71"/>
  <c r="GD71"/>
  <c r="GE71"/>
  <c r="GF71"/>
  <c r="GG71"/>
  <c r="GH71"/>
  <c r="GI71"/>
  <c r="GJ71"/>
  <c r="GK71"/>
  <c r="GL71"/>
  <c r="GM71"/>
  <c r="GN71"/>
  <c r="GO71"/>
  <c r="GP71"/>
  <c r="GQ71"/>
  <c r="GR71"/>
  <c r="GS71"/>
  <c r="GT71"/>
  <c r="GU71"/>
  <c r="GV71"/>
  <c r="GW71"/>
  <c r="GX71"/>
  <c r="GY71"/>
  <c r="GZ71"/>
  <c r="HA71"/>
  <c r="HB71"/>
  <c r="HC71"/>
  <c r="HD71"/>
  <c r="HE71"/>
  <c r="HF71"/>
  <c r="HG71"/>
  <c r="HH71"/>
  <c r="HI71"/>
  <c r="HJ71"/>
  <c r="HK71"/>
  <c r="HL71"/>
  <c r="HM71"/>
  <c r="HN71"/>
  <c r="HO71"/>
  <c r="HP71"/>
  <c r="HQ71"/>
  <c r="HR71"/>
  <c r="HS71"/>
  <c r="HT71"/>
  <c r="HU71"/>
  <c r="HV71"/>
  <c r="HW71"/>
  <c r="HX71"/>
  <c r="HY71"/>
  <c r="HZ71"/>
  <c r="IA71"/>
  <c r="IB71"/>
  <c r="IC71"/>
  <c r="ID71"/>
  <c r="IE71"/>
  <c r="IF71"/>
  <c r="IG71"/>
  <c r="IH71"/>
  <c r="II71"/>
  <c r="IJ71"/>
  <c r="IK71"/>
  <c r="IL71"/>
  <c r="IM71"/>
  <c r="IN71"/>
  <c r="IO71"/>
  <c r="IP71"/>
  <c r="IQ71"/>
  <c r="IR71"/>
  <c r="IS71"/>
  <c r="IT71"/>
  <c r="IU71"/>
  <c r="IV71"/>
  <c r="A70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CE70"/>
  <c r="CF70"/>
  <c r="CG70"/>
  <c r="CH70"/>
  <c r="CI70"/>
  <c r="CJ70"/>
  <c r="CK70"/>
  <c r="CL70"/>
  <c r="CM70"/>
  <c r="CN70"/>
  <c r="CO70"/>
  <c r="CP70"/>
  <c r="CQ70"/>
  <c r="CR70"/>
  <c r="CS70"/>
  <c r="CT70"/>
  <c r="CU70"/>
  <c r="CV70"/>
  <c r="CW70"/>
  <c r="CX70"/>
  <c r="CY70"/>
  <c r="CZ70"/>
  <c r="DA70"/>
  <c r="DB70"/>
  <c r="DC70"/>
  <c r="DD70"/>
  <c r="DE70"/>
  <c r="DF70"/>
  <c r="DG70"/>
  <c r="DH70"/>
  <c r="DI70"/>
  <c r="DJ70"/>
  <c r="DK70"/>
  <c r="DL70"/>
  <c r="DM70"/>
  <c r="DN70"/>
  <c r="DO70"/>
  <c r="DP70"/>
  <c r="DQ70"/>
  <c r="DR70"/>
  <c r="DS70"/>
  <c r="DT70"/>
  <c r="DU70"/>
  <c r="DV70"/>
  <c r="DW70"/>
  <c r="DX70"/>
  <c r="DY70"/>
  <c r="DZ70"/>
  <c r="EA70"/>
  <c r="EB70"/>
  <c r="EC70"/>
  <c r="ED70"/>
  <c r="EE70"/>
  <c r="EF70"/>
  <c r="EG70"/>
  <c r="EH70"/>
  <c r="EI70"/>
  <c r="EJ70"/>
  <c r="EK70"/>
  <c r="EL70"/>
  <c r="EM70"/>
  <c r="EN70"/>
  <c r="EO70"/>
  <c r="EP70"/>
  <c r="EQ70"/>
  <c r="ER70"/>
  <c r="ES70"/>
  <c r="ET70"/>
  <c r="EU70"/>
  <c r="EV70"/>
  <c r="EW70"/>
  <c r="EX70"/>
  <c r="EY70"/>
  <c r="EZ70"/>
  <c r="FA70"/>
  <c r="FB70"/>
  <c r="FC70"/>
  <c r="FD70"/>
  <c r="FE70"/>
  <c r="FF70"/>
  <c r="FG70"/>
  <c r="FH70"/>
  <c r="FI70"/>
  <c r="FJ70"/>
  <c r="FK70"/>
  <c r="FL70"/>
  <c r="FM70"/>
  <c r="FN70"/>
  <c r="FO70"/>
  <c r="FP70"/>
  <c r="FQ70"/>
  <c r="FR70"/>
  <c r="FS70"/>
  <c r="FT70"/>
  <c r="FU70"/>
  <c r="FV70"/>
  <c r="FW70"/>
  <c r="FX70"/>
  <c r="FY70"/>
  <c r="FZ70"/>
  <c r="GA70"/>
  <c r="GB70"/>
  <c r="GC70"/>
  <c r="GD70"/>
  <c r="GE70"/>
  <c r="GF70"/>
  <c r="GG70"/>
  <c r="GH70"/>
  <c r="GI70"/>
  <c r="GJ70"/>
  <c r="GK70"/>
  <c r="GL70"/>
  <c r="GM70"/>
  <c r="GN70"/>
  <c r="GO70"/>
  <c r="GP70"/>
  <c r="GQ70"/>
  <c r="GR70"/>
  <c r="GS70"/>
  <c r="GT70"/>
  <c r="GU70"/>
  <c r="GV70"/>
  <c r="GW70"/>
  <c r="GX70"/>
  <c r="GY70"/>
  <c r="GZ70"/>
  <c r="HA70"/>
  <c r="HB70"/>
  <c r="HC70"/>
  <c r="HD70"/>
  <c r="HE70"/>
  <c r="HF70"/>
  <c r="HG70"/>
  <c r="HH70"/>
  <c r="HI70"/>
  <c r="HJ70"/>
  <c r="HK70"/>
  <c r="HL70"/>
  <c r="HM70"/>
  <c r="HN70"/>
  <c r="HO70"/>
  <c r="HP70"/>
  <c r="HQ70"/>
  <c r="HR70"/>
  <c r="HS70"/>
  <c r="HT70"/>
  <c r="HU70"/>
  <c r="HV70"/>
  <c r="HW70"/>
  <c r="HX70"/>
  <c r="HY70"/>
  <c r="HZ70"/>
  <c r="IA70"/>
  <c r="IB70"/>
  <c r="IC70"/>
  <c r="ID70"/>
  <c r="IE70"/>
  <c r="IF70"/>
  <c r="IG70"/>
  <c r="IH70"/>
  <c r="II70"/>
  <c r="IJ70"/>
  <c r="IK70"/>
  <c r="IL70"/>
  <c r="IM70"/>
  <c r="IN70"/>
  <c r="IO70"/>
  <c r="IP70"/>
  <c r="IQ70"/>
  <c r="IR70"/>
  <c r="IS70"/>
  <c r="IT70"/>
  <c r="IU70"/>
  <c r="IV70"/>
  <c r="A69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CZ69"/>
  <c r="DA69"/>
  <c r="DB69"/>
  <c r="DC69"/>
  <c r="DD69"/>
  <c r="DE69"/>
  <c r="DF69"/>
  <c r="DG69"/>
  <c r="DH69"/>
  <c r="DI69"/>
  <c r="DJ69"/>
  <c r="DK69"/>
  <c r="DL69"/>
  <c r="DM69"/>
  <c r="DN69"/>
  <c r="DO69"/>
  <c r="DP69"/>
  <c r="DQ69"/>
  <c r="DR69"/>
  <c r="DS69"/>
  <c r="DT69"/>
  <c r="DU69"/>
  <c r="DV69"/>
  <c r="DW69"/>
  <c r="DX69"/>
  <c r="DY69"/>
  <c r="DZ69"/>
  <c r="EA69"/>
  <c r="EB69"/>
  <c r="EC69"/>
  <c r="ED69"/>
  <c r="EE69"/>
  <c r="EF69"/>
  <c r="EG69"/>
  <c r="EH69"/>
  <c r="EI69"/>
  <c r="EJ69"/>
  <c r="EK69"/>
  <c r="EL69"/>
  <c r="EM69"/>
  <c r="EN69"/>
  <c r="EO69"/>
  <c r="EP69"/>
  <c r="EQ69"/>
  <c r="ER69"/>
  <c r="ES69"/>
  <c r="ET69"/>
  <c r="EU69"/>
  <c r="EV69"/>
  <c r="EW69"/>
  <c r="EX69"/>
  <c r="EY69"/>
  <c r="EZ69"/>
  <c r="FA69"/>
  <c r="FB69"/>
  <c r="FC69"/>
  <c r="FD69"/>
  <c r="FE69"/>
  <c r="FF69"/>
  <c r="FG69"/>
  <c r="FH69"/>
  <c r="FI69"/>
  <c r="FJ69"/>
  <c r="FK69"/>
  <c r="FL69"/>
  <c r="FM69"/>
  <c r="FN69"/>
  <c r="FO69"/>
  <c r="FP69"/>
  <c r="FQ69"/>
  <c r="FR69"/>
  <c r="FS69"/>
  <c r="FT69"/>
  <c r="FU69"/>
  <c r="FV69"/>
  <c r="FW69"/>
  <c r="FX69"/>
  <c r="FY69"/>
  <c r="FZ69"/>
  <c r="GA69"/>
  <c r="GB69"/>
  <c r="GC69"/>
  <c r="GD69"/>
  <c r="GE69"/>
  <c r="GF69"/>
  <c r="GG69"/>
  <c r="GH69"/>
  <c r="GI69"/>
  <c r="GJ69"/>
  <c r="GK69"/>
  <c r="GL69"/>
  <c r="GM69"/>
  <c r="GN69"/>
  <c r="GO69"/>
  <c r="GP69"/>
  <c r="GQ69"/>
  <c r="GR69"/>
  <c r="GS69"/>
  <c r="GT69"/>
  <c r="GU69"/>
  <c r="GV69"/>
  <c r="GW69"/>
  <c r="GX69"/>
  <c r="GY69"/>
  <c r="GZ69"/>
  <c r="HA69"/>
  <c r="HB69"/>
  <c r="HC69"/>
  <c r="HD69"/>
  <c r="HE69"/>
  <c r="HF69"/>
  <c r="HG69"/>
  <c r="HH69"/>
  <c r="HI69"/>
  <c r="HJ69"/>
  <c r="HK69"/>
  <c r="HL69"/>
  <c r="HM69"/>
  <c r="HN69"/>
  <c r="HO69"/>
  <c r="HP69"/>
  <c r="HQ69"/>
  <c r="HR69"/>
  <c r="HS69"/>
  <c r="HT69"/>
  <c r="HU69"/>
  <c r="HV69"/>
  <c r="HW69"/>
  <c r="HX69"/>
  <c r="HY69"/>
  <c r="HZ69"/>
  <c r="IA69"/>
  <c r="IB69"/>
  <c r="IC69"/>
  <c r="ID69"/>
  <c r="IE69"/>
  <c r="IF69"/>
  <c r="IG69"/>
  <c r="IH69"/>
  <c r="II69"/>
  <c r="IJ69"/>
  <c r="IK69"/>
  <c r="IL69"/>
  <c r="IM69"/>
  <c r="IN69"/>
  <c r="IO69"/>
  <c r="IP69"/>
  <c r="IQ69"/>
  <c r="IR69"/>
  <c r="IS69"/>
  <c r="IT69"/>
  <c r="IU69"/>
  <c r="IV69"/>
  <c r="A68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CZ68"/>
  <c r="DA68"/>
  <c r="DB68"/>
  <c r="DC68"/>
  <c r="DD68"/>
  <c r="DE68"/>
  <c r="DF68"/>
  <c r="DG68"/>
  <c r="DH68"/>
  <c r="DI68"/>
  <c r="DJ68"/>
  <c r="DK68"/>
  <c r="DL68"/>
  <c r="DM68"/>
  <c r="DN68"/>
  <c r="DO68"/>
  <c r="DP68"/>
  <c r="DQ68"/>
  <c r="DR68"/>
  <c r="DS68"/>
  <c r="DT68"/>
  <c r="DU68"/>
  <c r="DV68"/>
  <c r="DW68"/>
  <c r="DX68"/>
  <c r="DY68"/>
  <c r="DZ68"/>
  <c r="EA68"/>
  <c r="EB68"/>
  <c r="EC68"/>
  <c r="ED68"/>
  <c r="EE68"/>
  <c r="EF68"/>
  <c r="EG68"/>
  <c r="EH68"/>
  <c r="EI68"/>
  <c r="EJ68"/>
  <c r="EK68"/>
  <c r="EL68"/>
  <c r="EM68"/>
  <c r="EN68"/>
  <c r="EO68"/>
  <c r="EP68"/>
  <c r="EQ68"/>
  <c r="ER68"/>
  <c r="ES68"/>
  <c r="ET68"/>
  <c r="EU68"/>
  <c r="EV68"/>
  <c r="EW68"/>
  <c r="EX68"/>
  <c r="EY68"/>
  <c r="EZ68"/>
  <c r="FA68"/>
  <c r="FB68"/>
  <c r="FC68"/>
  <c r="FD68"/>
  <c r="FE68"/>
  <c r="FF68"/>
  <c r="FG68"/>
  <c r="FH68"/>
  <c r="FI68"/>
  <c r="FJ68"/>
  <c r="FK68"/>
  <c r="FL68"/>
  <c r="FM68"/>
  <c r="FN68"/>
  <c r="FO68"/>
  <c r="FP68"/>
  <c r="FQ68"/>
  <c r="FR68"/>
  <c r="FS68"/>
  <c r="FT68"/>
  <c r="FU68"/>
  <c r="FV68"/>
  <c r="FW68"/>
  <c r="FX68"/>
  <c r="FY68"/>
  <c r="FZ68"/>
  <c r="GA68"/>
  <c r="GB68"/>
  <c r="GC68"/>
  <c r="GD68"/>
  <c r="GE68"/>
  <c r="GF68"/>
  <c r="GG68"/>
  <c r="GH68"/>
  <c r="GI68"/>
  <c r="GJ68"/>
  <c r="GK68"/>
  <c r="GL68"/>
  <c r="GM68"/>
  <c r="GN68"/>
  <c r="GO68"/>
  <c r="GP68"/>
  <c r="GQ68"/>
  <c r="GR68"/>
  <c r="GS68"/>
  <c r="GT68"/>
  <c r="GU68"/>
  <c r="GV68"/>
  <c r="GW68"/>
  <c r="GX68"/>
  <c r="GY68"/>
  <c r="GZ68"/>
  <c r="HA68"/>
  <c r="HB68"/>
  <c r="HC68"/>
  <c r="HD68"/>
  <c r="HE68"/>
  <c r="HF68"/>
  <c r="HG68"/>
  <c r="HH68"/>
  <c r="HI68"/>
  <c r="HJ68"/>
  <c r="HK68"/>
  <c r="HL68"/>
  <c r="HM68"/>
  <c r="HN68"/>
  <c r="HO68"/>
  <c r="HP68"/>
  <c r="HQ68"/>
  <c r="HR68"/>
  <c r="HS68"/>
  <c r="HT68"/>
  <c r="HU68"/>
  <c r="HV68"/>
  <c r="HW68"/>
  <c r="HX68"/>
  <c r="HY68"/>
  <c r="HZ68"/>
  <c r="IA68"/>
  <c r="IB68"/>
  <c r="IC68"/>
  <c r="ID68"/>
  <c r="IE68"/>
  <c r="IF68"/>
  <c r="IG68"/>
  <c r="IH68"/>
  <c r="II68"/>
  <c r="IJ68"/>
  <c r="IK68"/>
  <c r="IL68"/>
  <c r="IM68"/>
  <c r="IN68"/>
  <c r="IO68"/>
  <c r="IP68"/>
  <c r="IQ68"/>
  <c r="IR68"/>
  <c r="IS68"/>
  <c r="IT68"/>
  <c r="IU68"/>
  <c r="IV68"/>
  <c r="A67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CX67"/>
  <c r="CY67"/>
  <c r="CZ67"/>
  <c r="DA67"/>
  <c r="DB67"/>
  <c r="DC67"/>
  <c r="DD67"/>
  <c r="DE67"/>
  <c r="DF67"/>
  <c r="DG67"/>
  <c r="DH67"/>
  <c r="DI67"/>
  <c r="DJ67"/>
  <c r="DK67"/>
  <c r="DL67"/>
  <c r="DM67"/>
  <c r="DN67"/>
  <c r="DO67"/>
  <c r="DP67"/>
  <c r="DQ67"/>
  <c r="DR67"/>
  <c r="DS67"/>
  <c r="DT67"/>
  <c r="DU67"/>
  <c r="DV67"/>
  <c r="DW67"/>
  <c r="DX67"/>
  <c r="DY67"/>
  <c r="DZ67"/>
  <c r="EA67"/>
  <c r="EB67"/>
  <c r="EC67"/>
  <c r="ED67"/>
  <c r="EE67"/>
  <c r="EF67"/>
  <c r="EG67"/>
  <c r="EH67"/>
  <c r="EI67"/>
  <c r="EJ67"/>
  <c r="EK67"/>
  <c r="EL67"/>
  <c r="EM67"/>
  <c r="EN67"/>
  <c r="EO67"/>
  <c r="EP67"/>
  <c r="EQ67"/>
  <c r="ER67"/>
  <c r="ES67"/>
  <c r="ET67"/>
  <c r="EU67"/>
  <c r="EV67"/>
  <c r="EW67"/>
  <c r="EX67"/>
  <c r="EY67"/>
  <c r="EZ67"/>
  <c r="FA67"/>
  <c r="FB67"/>
  <c r="FC67"/>
  <c r="FD67"/>
  <c r="FE67"/>
  <c r="FF67"/>
  <c r="FG67"/>
  <c r="FH67"/>
  <c r="FI67"/>
  <c r="FJ67"/>
  <c r="FK67"/>
  <c r="FL67"/>
  <c r="FM67"/>
  <c r="FN67"/>
  <c r="FO67"/>
  <c r="FP67"/>
  <c r="FQ67"/>
  <c r="FR67"/>
  <c r="FS67"/>
  <c r="FT67"/>
  <c r="FU67"/>
  <c r="FV67"/>
  <c r="FW67"/>
  <c r="FX67"/>
  <c r="FY67"/>
  <c r="FZ67"/>
  <c r="GA67"/>
  <c r="GB67"/>
  <c r="GC67"/>
  <c r="GD67"/>
  <c r="GE67"/>
  <c r="GF67"/>
  <c r="GG67"/>
  <c r="GH67"/>
  <c r="GI67"/>
  <c r="GJ67"/>
  <c r="GK67"/>
  <c r="GL67"/>
  <c r="GM67"/>
  <c r="GN67"/>
  <c r="GO67"/>
  <c r="GP67"/>
  <c r="GQ67"/>
  <c r="GR67"/>
  <c r="GS67"/>
  <c r="GT67"/>
  <c r="GU67"/>
  <c r="GV67"/>
  <c r="GW67"/>
  <c r="GX67"/>
  <c r="GY67"/>
  <c r="GZ67"/>
  <c r="HA67"/>
  <c r="HB67"/>
  <c r="HC67"/>
  <c r="HD67"/>
  <c r="HE67"/>
  <c r="HF67"/>
  <c r="HG67"/>
  <c r="HH67"/>
  <c r="HI67"/>
  <c r="HJ67"/>
  <c r="HK67"/>
  <c r="HL67"/>
  <c r="HM67"/>
  <c r="HN67"/>
  <c r="HO67"/>
  <c r="HP67"/>
  <c r="HQ67"/>
  <c r="HR67"/>
  <c r="HS67"/>
  <c r="HT67"/>
  <c r="HU67"/>
  <c r="HV67"/>
  <c r="HW67"/>
  <c r="HX67"/>
  <c r="HY67"/>
  <c r="HZ67"/>
  <c r="IA67"/>
  <c r="IB67"/>
  <c r="IC67"/>
  <c r="ID67"/>
  <c r="IE67"/>
  <c r="IF67"/>
  <c r="IG67"/>
  <c r="IH67"/>
  <c r="II67"/>
  <c r="IJ67"/>
  <c r="IK67"/>
  <c r="IL67"/>
  <c r="IM67"/>
  <c r="IN67"/>
  <c r="IO67"/>
  <c r="IP67"/>
  <c r="IQ67"/>
  <c r="IR67"/>
  <c r="IS67"/>
  <c r="IT67"/>
  <c r="IU67"/>
  <c r="IV67"/>
  <c r="A66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CX66"/>
  <c r="CY66"/>
  <c r="CZ66"/>
  <c r="DA66"/>
  <c r="DB66"/>
  <c r="DC66"/>
  <c r="DD66"/>
  <c r="DE66"/>
  <c r="DF66"/>
  <c r="DG66"/>
  <c r="DH66"/>
  <c r="DI66"/>
  <c r="DJ66"/>
  <c r="DK66"/>
  <c r="DL66"/>
  <c r="DM66"/>
  <c r="DN66"/>
  <c r="DO66"/>
  <c r="DP66"/>
  <c r="DQ66"/>
  <c r="DR66"/>
  <c r="DS66"/>
  <c r="DT66"/>
  <c r="DU66"/>
  <c r="DV66"/>
  <c r="DW66"/>
  <c r="DX66"/>
  <c r="DY66"/>
  <c r="DZ66"/>
  <c r="EA66"/>
  <c r="EB66"/>
  <c r="EC66"/>
  <c r="ED66"/>
  <c r="EE66"/>
  <c r="EF66"/>
  <c r="EG66"/>
  <c r="EH66"/>
  <c r="EI66"/>
  <c r="EJ66"/>
  <c r="EK66"/>
  <c r="EL66"/>
  <c r="EM66"/>
  <c r="EN66"/>
  <c r="EO66"/>
  <c r="EP66"/>
  <c r="EQ66"/>
  <c r="ER66"/>
  <c r="ES66"/>
  <c r="ET66"/>
  <c r="EU66"/>
  <c r="EV66"/>
  <c r="EW66"/>
  <c r="EX66"/>
  <c r="EY66"/>
  <c r="EZ66"/>
  <c r="FA66"/>
  <c r="FB66"/>
  <c r="FC66"/>
  <c r="FD66"/>
  <c r="FE66"/>
  <c r="FF66"/>
  <c r="FG66"/>
  <c r="FH66"/>
  <c r="FI66"/>
  <c r="FJ66"/>
  <c r="FK66"/>
  <c r="FL66"/>
  <c r="FM66"/>
  <c r="FN66"/>
  <c r="FO66"/>
  <c r="FP66"/>
  <c r="FQ66"/>
  <c r="FR66"/>
  <c r="FS66"/>
  <c r="FT66"/>
  <c r="FU66"/>
  <c r="FV66"/>
  <c r="FW66"/>
  <c r="FX66"/>
  <c r="FY66"/>
  <c r="FZ66"/>
  <c r="GA66"/>
  <c r="GB66"/>
  <c r="GC66"/>
  <c r="GD66"/>
  <c r="GE66"/>
  <c r="GF66"/>
  <c r="GG66"/>
  <c r="GH66"/>
  <c r="GI66"/>
  <c r="GJ66"/>
  <c r="GK66"/>
  <c r="GL66"/>
  <c r="GM66"/>
  <c r="GN66"/>
  <c r="GO66"/>
  <c r="GP66"/>
  <c r="GQ66"/>
  <c r="GR66"/>
  <c r="GS66"/>
  <c r="GT66"/>
  <c r="GU66"/>
  <c r="GV66"/>
  <c r="GW66"/>
  <c r="GX66"/>
  <c r="GY66"/>
  <c r="GZ66"/>
  <c r="HA66"/>
  <c r="HB66"/>
  <c r="HC66"/>
  <c r="HD66"/>
  <c r="HE66"/>
  <c r="HF66"/>
  <c r="HG66"/>
  <c r="HH66"/>
  <c r="HI66"/>
  <c r="HJ66"/>
  <c r="HK66"/>
  <c r="HL66"/>
  <c r="HM66"/>
  <c r="HN66"/>
  <c r="HO66"/>
  <c r="HP66"/>
  <c r="HQ66"/>
  <c r="HR66"/>
  <c r="HS66"/>
  <c r="HT66"/>
  <c r="HU66"/>
  <c r="HV66"/>
  <c r="HW66"/>
  <c r="HX66"/>
  <c r="HY66"/>
  <c r="HZ66"/>
  <c r="IA66"/>
  <c r="IB66"/>
  <c r="IC66"/>
  <c r="ID66"/>
  <c r="IE66"/>
  <c r="IF66"/>
  <c r="IG66"/>
  <c r="IH66"/>
  <c r="II66"/>
  <c r="IJ66"/>
  <c r="IK66"/>
  <c r="IL66"/>
  <c r="IM66"/>
  <c r="IN66"/>
  <c r="IO66"/>
  <c r="IP66"/>
  <c r="IQ66"/>
  <c r="IR66"/>
  <c r="IS66"/>
  <c r="IT66"/>
  <c r="IU66"/>
  <c r="IV66"/>
  <c r="A65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CX65"/>
  <c r="CY65"/>
  <c r="CZ65"/>
  <c r="DA65"/>
  <c r="DB65"/>
  <c r="DC65"/>
  <c r="DD65"/>
  <c r="DE65"/>
  <c r="DF65"/>
  <c r="DG65"/>
  <c r="DH65"/>
  <c r="DI65"/>
  <c r="DJ65"/>
  <c r="DK65"/>
  <c r="DL65"/>
  <c r="DM65"/>
  <c r="DN65"/>
  <c r="DO65"/>
  <c r="DP65"/>
  <c r="DQ65"/>
  <c r="DR65"/>
  <c r="DS65"/>
  <c r="DT65"/>
  <c r="DU65"/>
  <c r="DV65"/>
  <c r="DW65"/>
  <c r="DX65"/>
  <c r="DY65"/>
  <c r="DZ65"/>
  <c r="EA65"/>
  <c r="EB65"/>
  <c r="EC65"/>
  <c r="ED65"/>
  <c r="EE65"/>
  <c r="EF65"/>
  <c r="EG65"/>
  <c r="EH65"/>
  <c r="EI65"/>
  <c r="EJ65"/>
  <c r="EK65"/>
  <c r="EL65"/>
  <c r="EM65"/>
  <c r="EN65"/>
  <c r="EO65"/>
  <c r="EP65"/>
  <c r="EQ65"/>
  <c r="ER65"/>
  <c r="ES65"/>
  <c r="ET65"/>
  <c r="EU65"/>
  <c r="EV65"/>
  <c r="EW65"/>
  <c r="EX65"/>
  <c r="EY65"/>
  <c r="EZ65"/>
  <c r="FA65"/>
  <c r="FB65"/>
  <c r="FC65"/>
  <c r="FD65"/>
  <c r="FE65"/>
  <c r="FF65"/>
  <c r="FG65"/>
  <c r="FH65"/>
  <c r="FI65"/>
  <c r="FJ65"/>
  <c r="FK65"/>
  <c r="FL65"/>
  <c r="FM65"/>
  <c r="FN65"/>
  <c r="FO65"/>
  <c r="FP65"/>
  <c r="FQ65"/>
  <c r="FR65"/>
  <c r="FS65"/>
  <c r="FT65"/>
  <c r="FU65"/>
  <c r="FV65"/>
  <c r="FW65"/>
  <c r="FX65"/>
  <c r="FY65"/>
  <c r="FZ65"/>
  <c r="GA65"/>
  <c r="GB65"/>
  <c r="GC65"/>
  <c r="GD65"/>
  <c r="GE65"/>
  <c r="GF65"/>
  <c r="GG65"/>
  <c r="GH65"/>
  <c r="GI65"/>
  <c r="GJ65"/>
  <c r="GK65"/>
  <c r="GL65"/>
  <c r="GM65"/>
  <c r="GN65"/>
  <c r="GO65"/>
  <c r="GP65"/>
  <c r="GQ65"/>
  <c r="GR65"/>
  <c r="GS65"/>
  <c r="GT65"/>
  <c r="GU65"/>
  <c r="GV65"/>
  <c r="GW65"/>
  <c r="GX65"/>
  <c r="GY65"/>
  <c r="GZ65"/>
  <c r="HA65"/>
  <c r="HB65"/>
  <c r="HC65"/>
  <c r="HD65"/>
  <c r="HE65"/>
  <c r="HF65"/>
  <c r="HG65"/>
  <c r="HH65"/>
  <c r="HI65"/>
  <c r="HJ65"/>
  <c r="HK65"/>
  <c r="HL65"/>
  <c r="HM65"/>
  <c r="HN65"/>
  <c r="HO65"/>
  <c r="HP65"/>
  <c r="HQ65"/>
  <c r="HR65"/>
  <c r="HS65"/>
  <c r="HT65"/>
  <c r="HU65"/>
  <c r="HV65"/>
  <c r="HW65"/>
  <c r="HX65"/>
  <c r="HY65"/>
  <c r="HZ65"/>
  <c r="IA65"/>
  <c r="IB65"/>
  <c r="IC65"/>
  <c r="ID65"/>
  <c r="IE65"/>
  <c r="IF65"/>
  <c r="IG65"/>
  <c r="IH65"/>
  <c r="II65"/>
  <c r="IJ65"/>
  <c r="IK65"/>
  <c r="IL65"/>
  <c r="IM65"/>
  <c r="IN65"/>
  <c r="IO65"/>
  <c r="IP65"/>
  <c r="IQ65"/>
  <c r="IR65"/>
  <c r="IS65"/>
  <c r="IT65"/>
  <c r="IU65"/>
  <c r="IV65"/>
  <c r="A64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CZ64"/>
  <c r="DA64"/>
  <c r="DB64"/>
  <c r="DC64"/>
  <c r="DD64"/>
  <c r="DE64"/>
  <c r="DF64"/>
  <c r="DG64"/>
  <c r="DH64"/>
  <c r="DI64"/>
  <c r="DJ64"/>
  <c r="DK64"/>
  <c r="DL64"/>
  <c r="DM64"/>
  <c r="DN64"/>
  <c r="DO64"/>
  <c r="DP64"/>
  <c r="DQ64"/>
  <c r="DR64"/>
  <c r="DS64"/>
  <c r="DT64"/>
  <c r="DU64"/>
  <c r="DV64"/>
  <c r="DW64"/>
  <c r="DX64"/>
  <c r="DY64"/>
  <c r="DZ64"/>
  <c r="EA64"/>
  <c r="EB64"/>
  <c r="EC64"/>
  <c r="ED64"/>
  <c r="EE64"/>
  <c r="EF64"/>
  <c r="EG64"/>
  <c r="EH64"/>
  <c r="EI64"/>
  <c r="EJ64"/>
  <c r="EK64"/>
  <c r="EL64"/>
  <c r="EM64"/>
  <c r="EN64"/>
  <c r="EO64"/>
  <c r="EP64"/>
  <c r="EQ64"/>
  <c r="ER64"/>
  <c r="ES64"/>
  <c r="ET64"/>
  <c r="EU64"/>
  <c r="EV64"/>
  <c r="EW64"/>
  <c r="EX64"/>
  <c r="EY64"/>
  <c r="EZ64"/>
  <c r="FA64"/>
  <c r="FB64"/>
  <c r="FC64"/>
  <c r="FD64"/>
  <c r="FE64"/>
  <c r="FF64"/>
  <c r="FG64"/>
  <c r="FH64"/>
  <c r="FI64"/>
  <c r="FJ64"/>
  <c r="FK64"/>
  <c r="FL64"/>
  <c r="FM64"/>
  <c r="FN64"/>
  <c r="FO64"/>
  <c r="FP64"/>
  <c r="FQ64"/>
  <c r="FR64"/>
  <c r="FS64"/>
  <c r="FT64"/>
  <c r="FU64"/>
  <c r="FV64"/>
  <c r="FW64"/>
  <c r="FX64"/>
  <c r="FY64"/>
  <c r="FZ64"/>
  <c r="GA64"/>
  <c r="GB64"/>
  <c r="GC64"/>
  <c r="GD64"/>
  <c r="GE64"/>
  <c r="GF64"/>
  <c r="GG64"/>
  <c r="GH64"/>
  <c r="GI64"/>
  <c r="GJ64"/>
  <c r="GK64"/>
  <c r="GL64"/>
  <c r="GM64"/>
  <c r="GN64"/>
  <c r="GO64"/>
  <c r="GP64"/>
  <c r="GQ64"/>
  <c r="GR64"/>
  <c r="GS64"/>
  <c r="GT64"/>
  <c r="GU64"/>
  <c r="GV64"/>
  <c r="GW64"/>
  <c r="GX64"/>
  <c r="GY64"/>
  <c r="GZ64"/>
  <c r="HA64"/>
  <c r="HB64"/>
  <c r="HC64"/>
  <c r="HD64"/>
  <c r="HE64"/>
  <c r="HF64"/>
  <c r="HG64"/>
  <c r="HH64"/>
  <c r="HI64"/>
  <c r="HJ64"/>
  <c r="HK64"/>
  <c r="HL64"/>
  <c r="HM64"/>
  <c r="HN64"/>
  <c r="HO64"/>
  <c r="HP64"/>
  <c r="HQ64"/>
  <c r="HR64"/>
  <c r="HS64"/>
  <c r="HT64"/>
  <c r="HU64"/>
  <c r="HV64"/>
  <c r="HW64"/>
  <c r="HX64"/>
  <c r="HY64"/>
  <c r="HZ64"/>
  <c r="IA64"/>
  <c r="IB64"/>
  <c r="IC64"/>
  <c r="ID64"/>
  <c r="IE64"/>
  <c r="IF64"/>
  <c r="IG64"/>
  <c r="IH64"/>
  <c r="II64"/>
  <c r="IJ64"/>
  <c r="IK64"/>
  <c r="IL64"/>
  <c r="IM64"/>
  <c r="IN64"/>
  <c r="IO64"/>
  <c r="IP64"/>
  <c r="IQ64"/>
  <c r="IR64"/>
  <c r="IS64"/>
  <c r="IT64"/>
  <c r="IU64"/>
  <c r="IV64"/>
  <c r="A63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CX63"/>
  <c r="CY63"/>
  <c r="CZ63"/>
  <c r="DA63"/>
  <c r="DB63"/>
  <c r="DC63"/>
  <c r="DD63"/>
  <c r="DE63"/>
  <c r="DF63"/>
  <c r="DG63"/>
  <c r="DH63"/>
  <c r="DI63"/>
  <c r="DJ63"/>
  <c r="DK63"/>
  <c r="DL63"/>
  <c r="DM63"/>
  <c r="DN63"/>
  <c r="DO63"/>
  <c r="DP63"/>
  <c r="DQ63"/>
  <c r="DR63"/>
  <c r="DS63"/>
  <c r="DT63"/>
  <c r="DU63"/>
  <c r="DV63"/>
  <c r="DW63"/>
  <c r="DX63"/>
  <c r="DY63"/>
  <c r="DZ63"/>
  <c r="EA63"/>
  <c r="EB63"/>
  <c r="EC63"/>
  <c r="ED63"/>
  <c r="EE63"/>
  <c r="EF63"/>
  <c r="EG63"/>
  <c r="EH63"/>
  <c r="EI63"/>
  <c r="EJ63"/>
  <c r="EK63"/>
  <c r="EL63"/>
  <c r="EM63"/>
  <c r="EN63"/>
  <c r="EO63"/>
  <c r="EP63"/>
  <c r="EQ63"/>
  <c r="ER63"/>
  <c r="ES63"/>
  <c r="ET63"/>
  <c r="EU63"/>
  <c r="EV63"/>
  <c r="EW63"/>
  <c r="EX63"/>
  <c r="EY63"/>
  <c r="EZ63"/>
  <c r="FA63"/>
  <c r="FB63"/>
  <c r="FC63"/>
  <c r="FD63"/>
  <c r="FE63"/>
  <c r="FF63"/>
  <c r="FG63"/>
  <c r="FH63"/>
  <c r="FI63"/>
  <c r="FJ63"/>
  <c r="FK63"/>
  <c r="FL63"/>
  <c r="FM63"/>
  <c r="FN63"/>
  <c r="FO63"/>
  <c r="FP63"/>
  <c r="FQ63"/>
  <c r="FR63"/>
  <c r="FS63"/>
  <c r="FT63"/>
  <c r="FU63"/>
  <c r="FV63"/>
  <c r="FW63"/>
  <c r="FX63"/>
  <c r="FY63"/>
  <c r="FZ63"/>
  <c r="GA63"/>
  <c r="GB63"/>
  <c r="GC63"/>
  <c r="GD63"/>
  <c r="GE63"/>
  <c r="GF63"/>
  <c r="GG63"/>
  <c r="GH63"/>
  <c r="GI63"/>
  <c r="GJ63"/>
  <c r="GK63"/>
  <c r="GL63"/>
  <c r="GM63"/>
  <c r="GN63"/>
  <c r="GO63"/>
  <c r="GP63"/>
  <c r="GQ63"/>
  <c r="GR63"/>
  <c r="GS63"/>
  <c r="GT63"/>
  <c r="GU63"/>
  <c r="GV63"/>
  <c r="GW63"/>
  <c r="GX63"/>
  <c r="GY63"/>
  <c r="GZ63"/>
  <c r="HA63"/>
  <c r="HB63"/>
  <c r="HC63"/>
  <c r="HD63"/>
  <c r="HE63"/>
  <c r="HF63"/>
  <c r="HG63"/>
  <c r="HH63"/>
  <c r="HI63"/>
  <c r="HJ63"/>
  <c r="HK63"/>
  <c r="HL63"/>
  <c r="HM63"/>
  <c r="HN63"/>
  <c r="HO63"/>
  <c r="HP63"/>
  <c r="HQ63"/>
  <c r="HR63"/>
  <c r="HS63"/>
  <c r="HT63"/>
  <c r="HU63"/>
  <c r="HV63"/>
  <c r="HW63"/>
  <c r="HX63"/>
  <c r="HY63"/>
  <c r="HZ63"/>
  <c r="IA63"/>
  <c r="IB63"/>
  <c r="IC63"/>
  <c r="ID63"/>
  <c r="IE63"/>
  <c r="IF63"/>
  <c r="IG63"/>
  <c r="IH63"/>
  <c r="II63"/>
  <c r="IJ63"/>
  <c r="IK63"/>
  <c r="IL63"/>
  <c r="IM63"/>
  <c r="IN63"/>
  <c r="IO63"/>
  <c r="IP63"/>
  <c r="IQ63"/>
  <c r="IR63"/>
  <c r="IS63"/>
  <c r="IT63"/>
  <c r="IU63"/>
  <c r="IV63"/>
  <c r="A62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CX62"/>
  <c r="CY62"/>
  <c r="CZ62"/>
  <c r="DA62"/>
  <c r="DB62"/>
  <c r="DC62"/>
  <c r="DD62"/>
  <c r="DE62"/>
  <c r="DF62"/>
  <c r="DG62"/>
  <c r="DH62"/>
  <c r="DI62"/>
  <c r="DJ62"/>
  <c r="DK62"/>
  <c r="DL62"/>
  <c r="DM62"/>
  <c r="DN62"/>
  <c r="DO62"/>
  <c r="DP62"/>
  <c r="DQ62"/>
  <c r="DR62"/>
  <c r="DS62"/>
  <c r="DT62"/>
  <c r="DU62"/>
  <c r="DV62"/>
  <c r="DW62"/>
  <c r="DX62"/>
  <c r="DY62"/>
  <c r="DZ62"/>
  <c r="EA62"/>
  <c r="EB62"/>
  <c r="EC62"/>
  <c r="ED62"/>
  <c r="EE62"/>
  <c r="EF62"/>
  <c r="EG62"/>
  <c r="EH62"/>
  <c r="EI62"/>
  <c r="EJ62"/>
  <c r="EK62"/>
  <c r="EL62"/>
  <c r="EM62"/>
  <c r="EN62"/>
  <c r="EO62"/>
  <c r="EP62"/>
  <c r="EQ62"/>
  <c r="ER62"/>
  <c r="ES62"/>
  <c r="ET62"/>
  <c r="EU62"/>
  <c r="EV62"/>
  <c r="EW62"/>
  <c r="EX62"/>
  <c r="EY62"/>
  <c r="EZ62"/>
  <c r="FA62"/>
  <c r="FB62"/>
  <c r="FC62"/>
  <c r="FD62"/>
  <c r="FE62"/>
  <c r="FF62"/>
  <c r="FG62"/>
  <c r="FH62"/>
  <c r="FI62"/>
  <c r="FJ62"/>
  <c r="FK62"/>
  <c r="FL62"/>
  <c r="FM62"/>
  <c r="FN62"/>
  <c r="FO62"/>
  <c r="FP62"/>
  <c r="FQ62"/>
  <c r="FR62"/>
  <c r="FS62"/>
  <c r="FT62"/>
  <c r="FU62"/>
  <c r="FV62"/>
  <c r="FW62"/>
  <c r="FX62"/>
  <c r="FY62"/>
  <c r="FZ62"/>
  <c r="GA62"/>
  <c r="GB62"/>
  <c r="GC62"/>
  <c r="GD62"/>
  <c r="GE62"/>
  <c r="GF62"/>
  <c r="GG62"/>
  <c r="GH62"/>
  <c r="GI62"/>
  <c r="GJ62"/>
  <c r="GK62"/>
  <c r="GL62"/>
  <c r="GM62"/>
  <c r="GN62"/>
  <c r="GO62"/>
  <c r="GP62"/>
  <c r="GQ62"/>
  <c r="GR62"/>
  <c r="GS62"/>
  <c r="GT62"/>
  <c r="GU62"/>
  <c r="GV62"/>
  <c r="GW62"/>
  <c r="GX62"/>
  <c r="GY62"/>
  <c r="GZ62"/>
  <c r="HA62"/>
  <c r="HB62"/>
  <c r="HC62"/>
  <c r="HD62"/>
  <c r="HE62"/>
  <c r="HF62"/>
  <c r="HG62"/>
  <c r="HH62"/>
  <c r="HI62"/>
  <c r="HJ62"/>
  <c r="HK62"/>
  <c r="HL62"/>
  <c r="HM62"/>
  <c r="HN62"/>
  <c r="HO62"/>
  <c r="HP62"/>
  <c r="HQ62"/>
  <c r="HR62"/>
  <c r="HS62"/>
  <c r="HT62"/>
  <c r="HU62"/>
  <c r="HV62"/>
  <c r="HW62"/>
  <c r="HX62"/>
  <c r="HY62"/>
  <c r="HZ62"/>
  <c r="IA62"/>
  <c r="IB62"/>
  <c r="IC62"/>
  <c r="ID62"/>
  <c r="IE62"/>
  <c r="IF62"/>
  <c r="IG62"/>
  <c r="IH62"/>
  <c r="II62"/>
  <c r="IJ62"/>
  <c r="IK62"/>
  <c r="IL62"/>
  <c r="IM62"/>
  <c r="IN62"/>
  <c r="IO62"/>
  <c r="IP62"/>
  <c r="IQ62"/>
  <c r="IR62"/>
  <c r="IS62"/>
  <c r="IT62"/>
  <c r="IU62"/>
  <c r="IV62"/>
  <c r="A61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CX61"/>
  <c r="CY61"/>
  <c r="CZ61"/>
  <c r="DA61"/>
  <c r="DB61"/>
  <c r="DC61"/>
  <c r="DD61"/>
  <c r="DE61"/>
  <c r="DF61"/>
  <c r="DG61"/>
  <c r="DH61"/>
  <c r="DI61"/>
  <c r="DJ61"/>
  <c r="DK61"/>
  <c r="DL61"/>
  <c r="DM61"/>
  <c r="DN61"/>
  <c r="DO61"/>
  <c r="DP61"/>
  <c r="DQ61"/>
  <c r="DR61"/>
  <c r="DS61"/>
  <c r="DT61"/>
  <c r="DU61"/>
  <c r="DV61"/>
  <c r="DW61"/>
  <c r="DX61"/>
  <c r="DY61"/>
  <c r="DZ61"/>
  <c r="EA61"/>
  <c r="EB61"/>
  <c r="EC61"/>
  <c r="ED61"/>
  <c r="EE61"/>
  <c r="EF61"/>
  <c r="EG61"/>
  <c r="EH61"/>
  <c r="EI61"/>
  <c r="EJ61"/>
  <c r="EK61"/>
  <c r="EL61"/>
  <c r="EM61"/>
  <c r="EN61"/>
  <c r="EO61"/>
  <c r="EP61"/>
  <c r="EQ61"/>
  <c r="ER61"/>
  <c r="ES61"/>
  <c r="ET61"/>
  <c r="EU61"/>
  <c r="EV61"/>
  <c r="EW61"/>
  <c r="EX61"/>
  <c r="EY61"/>
  <c r="EZ61"/>
  <c r="FA61"/>
  <c r="FB61"/>
  <c r="FC61"/>
  <c r="FD61"/>
  <c r="FE61"/>
  <c r="FF61"/>
  <c r="FG61"/>
  <c r="FH61"/>
  <c r="FI61"/>
  <c r="FJ61"/>
  <c r="FK61"/>
  <c r="FL61"/>
  <c r="FM61"/>
  <c r="FN61"/>
  <c r="FO61"/>
  <c r="FP61"/>
  <c r="FQ61"/>
  <c r="FR61"/>
  <c r="FS61"/>
  <c r="FT61"/>
  <c r="FU61"/>
  <c r="FV61"/>
  <c r="FW61"/>
  <c r="FX61"/>
  <c r="FY61"/>
  <c r="FZ61"/>
  <c r="GA61"/>
  <c r="GB61"/>
  <c r="GC61"/>
  <c r="GD61"/>
  <c r="GE61"/>
  <c r="GF61"/>
  <c r="GG61"/>
  <c r="GH61"/>
  <c r="GI61"/>
  <c r="GJ61"/>
  <c r="GK61"/>
  <c r="GL61"/>
  <c r="GM61"/>
  <c r="GN61"/>
  <c r="GO61"/>
  <c r="GP61"/>
  <c r="GQ61"/>
  <c r="GR61"/>
  <c r="GS61"/>
  <c r="GT61"/>
  <c r="GU61"/>
  <c r="GV61"/>
  <c r="GW61"/>
  <c r="GX61"/>
  <c r="GY61"/>
  <c r="GZ61"/>
  <c r="HA61"/>
  <c r="HB61"/>
  <c r="HC61"/>
  <c r="HD61"/>
  <c r="HE61"/>
  <c r="HF61"/>
  <c r="HG61"/>
  <c r="HH61"/>
  <c r="HI61"/>
  <c r="HJ61"/>
  <c r="HK61"/>
  <c r="HL61"/>
  <c r="HM61"/>
  <c r="HN61"/>
  <c r="HO61"/>
  <c r="HP61"/>
  <c r="HQ61"/>
  <c r="HR61"/>
  <c r="HS61"/>
  <c r="HT61"/>
  <c r="HU61"/>
  <c r="HV61"/>
  <c r="HW61"/>
  <c r="HX61"/>
  <c r="HY61"/>
  <c r="HZ61"/>
  <c r="IA61"/>
  <c r="IB61"/>
  <c r="IC61"/>
  <c r="ID61"/>
  <c r="IE61"/>
  <c r="IF61"/>
  <c r="IG61"/>
  <c r="IH61"/>
  <c r="II61"/>
  <c r="IJ61"/>
  <c r="IK61"/>
  <c r="IL61"/>
  <c r="IM61"/>
  <c r="IN61"/>
  <c r="IO61"/>
  <c r="IP61"/>
  <c r="IQ61"/>
  <c r="IR61"/>
  <c r="IS61"/>
  <c r="IT61"/>
  <c r="IU61"/>
  <c r="IV61"/>
  <c r="A60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CX60"/>
  <c r="CY60"/>
  <c r="CZ60"/>
  <c r="DA60"/>
  <c r="DB60"/>
  <c r="DC60"/>
  <c r="DD60"/>
  <c r="DE60"/>
  <c r="DF60"/>
  <c r="DG60"/>
  <c r="DH60"/>
  <c r="DI60"/>
  <c r="DJ60"/>
  <c r="DK60"/>
  <c r="DL60"/>
  <c r="DM60"/>
  <c r="DN60"/>
  <c r="DO60"/>
  <c r="DP60"/>
  <c r="DQ60"/>
  <c r="DR60"/>
  <c r="DS60"/>
  <c r="DT60"/>
  <c r="DU60"/>
  <c r="DV60"/>
  <c r="DW60"/>
  <c r="DX60"/>
  <c r="DY60"/>
  <c r="DZ60"/>
  <c r="EA60"/>
  <c r="EB60"/>
  <c r="EC60"/>
  <c r="ED60"/>
  <c r="EE60"/>
  <c r="EF60"/>
  <c r="EG60"/>
  <c r="EH60"/>
  <c r="EI60"/>
  <c r="EJ60"/>
  <c r="EK60"/>
  <c r="EL60"/>
  <c r="EM60"/>
  <c r="EN60"/>
  <c r="EO60"/>
  <c r="EP60"/>
  <c r="EQ60"/>
  <c r="ER60"/>
  <c r="ES60"/>
  <c r="ET60"/>
  <c r="EU60"/>
  <c r="EV60"/>
  <c r="EW60"/>
  <c r="EX60"/>
  <c r="EY60"/>
  <c r="EZ60"/>
  <c r="FA60"/>
  <c r="FB60"/>
  <c r="FC60"/>
  <c r="FD60"/>
  <c r="FE60"/>
  <c r="FF60"/>
  <c r="FG60"/>
  <c r="FH60"/>
  <c r="FI60"/>
  <c r="FJ60"/>
  <c r="FK60"/>
  <c r="FL60"/>
  <c r="FM60"/>
  <c r="FN60"/>
  <c r="FO60"/>
  <c r="FP60"/>
  <c r="FQ60"/>
  <c r="FR60"/>
  <c r="FS60"/>
  <c r="FT60"/>
  <c r="FU60"/>
  <c r="FV60"/>
  <c r="FW60"/>
  <c r="FX60"/>
  <c r="FY60"/>
  <c r="FZ60"/>
  <c r="GA60"/>
  <c r="GB60"/>
  <c r="GC60"/>
  <c r="GD60"/>
  <c r="GE60"/>
  <c r="GF60"/>
  <c r="GG60"/>
  <c r="GH60"/>
  <c r="GI60"/>
  <c r="GJ60"/>
  <c r="GK60"/>
  <c r="GL60"/>
  <c r="GM60"/>
  <c r="GN60"/>
  <c r="GO60"/>
  <c r="GP60"/>
  <c r="GQ60"/>
  <c r="GR60"/>
  <c r="GS60"/>
  <c r="GT60"/>
  <c r="GU60"/>
  <c r="GV60"/>
  <c r="GW60"/>
  <c r="GX60"/>
  <c r="GY60"/>
  <c r="GZ60"/>
  <c r="HA60"/>
  <c r="HB60"/>
  <c r="HC60"/>
  <c r="HD60"/>
  <c r="HE60"/>
  <c r="HF60"/>
  <c r="HG60"/>
  <c r="HH60"/>
  <c r="HI60"/>
  <c r="HJ60"/>
  <c r="HK60"/>
  <c r="HL60"/>
  <c r="HM60"/>
  <c r="HN60"/>
  <c r="HO60"/>
  <c r="HP60"/>
  <c r="HQ60"/>
  <c r="HR60"/>
  <c r="HS60"/>
  <c r="HT60"/>
  <c r="HU60"/>
  <c r="HV60"/>
  <c r="HW60"/>
  <c r="HX60"/>
  <c r="HY60"/>
  <c r="HZ60"/>
  <c r="IA60"/>
  <c r="IB60"/>
  <c r="IC60"/>
  <c r="ID60"/>
  <c r="IE60"/>
  <c r="IF60"/>
  <c r="IG60"/>
  <c r="IH60"/>
  <c r="II60"/>
  <c r="IJ60"/>
  <c r="IK60"/>
  <c r="IL60"/>
  <c r="IM60"/>
  <c r="IN60"/>
  <c r="IO60"/>
  <c r="IP60"/>
  <c r="IQ60"/>
  <c r="IR60"/>
  <c r="IS60"/>
  <c r="IT60"/>
  <c r="IU60"/>
  <c r="IV60"/>
  <c r="A59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CX59"/>
  <c r="CY59"/>
  <c r="CZ59"/>
  <c r="DA59"/>
  <c r="DB59"/>
  <c r="DC59"/>
  <c r="DD59"/>
  <c r="DE59"/>
  <c r="DF59"/>
  <c r="DG59"/>
  <c r="DH59"/>
  <c r="DI59"/>
  <c r="DJ59"/>
  <c r="DK59"/>
  <c r="DL59"/>
  <c r="DM59"/>
  <c r="DN59"/>
  <c r="DO59"/>
  <c r="DP59"/>
  <c r="DQ59"/>
  <c r="DR59"/>
  <c r="DS59"/>
  <c r="DT59"/>
  <c r="DU59"/>
  <c r="DV59"/>
  <c r="DW59"/>
  <c r="DX59"/>
  <c r="DY59"/>
  <c r="DZ59"/>
  <c r="EA59"/>
  <c r="EB59"/>
  <c r="EC59"/>
  <c r="ED59"/>
  <c r="EE59"/>
  <c r="EF59"/>
  <c r="EG59"/>
  <c r="EH59"/>
  <c r="EI59"/>
  <c r="EJ59"/>
  <c r="EK59"/>
  <c r="EL59"/>
  <c r="EM59"/>
  <c r="EN59"/>
  <c r="EO59"/>
  <c r="EP59"/>
  <c r="EQ59"/>
  <c r="ER59"/>
  <c r="ES59"/>
  <c r="ET59"/>
  <c r="EU59"/>
  <c r="EV59"/>
  <c r="EW59"/>
  <c r="EX59"/>
  <c r="EY59"/>
  <c r="EZ59"/>
  <c r="FA59"/>
  <c r="FB59"/>
  <c r="FC59"/>
  <c r="FD59"/>
  <c r="FE59"/>
  <c r="FF59"/>
  <c r="FG59"/>
  <c r="FH59"/>
  <c r="FI59"/>
  <c r="FJ59"/>
  <c r="FK59"/>
  <c r="FL59"/>
  <c r="FM59"/>
  <c r="FN59"/>
  <c r="FO59"/>
  <c r="FP59"/>
  <c r="FQ59"/>
  <c r="FR59"/>
  <c r="FS59"/>
  <c r="FT59"/>
  <c r="FU59"/>
  <c r="FV59"/>
  <c r="FW59"/>
  <c r="FX59"/>
  <c r="FY59"/>
  <c r="FZ59"/>
  <c r="GA59"/>
  <c r="GB59"/>
  <c r="GC59"/>
  <c r="GD59"/>
  <c r="GE59"/>
  <c r="GF59"/>
  <c r="GG59"/>
  <c r="GH59"/>
  <c r="GI59"/>
  <c r="GJ59"/>
  <c r="GK59"/>
  <c r="GL59"/>
  <c r="GM59"/>
  <c r="GN59"/>
  <c r="GO59"/>
  <c r="GP59"/>
  <c r="GQ59"/>
  <c r="GR59"/>
  <c r="GS59"/>
  <c r="GT59"/>
  <c r="GU59"/>
  <c r="GV59"/>
  <c r="GW59"/>
  <c r="GX59"/>
  <c r="GY59"/>
  <c r="GZ59"/>
  <c r="HA59"/>
  <c r="HB59"/>
  <c r="HC59"/>
  <c r="HD59"/>
  <c r="HE59"/>
  <c r="HF59"/>
  <c r="HG59"/>
  <c r="HH59"/>
  <c r="HI59"/>
  <c r="HJ59"/>
  <c r="HK59"/>
  <c r="HL59"/>
  <c r="HM59"/>
  <c r="HN59"/>
  <c r="HO59"/>
  <c r="HP59"/>
  <c r="HQ59"/>
  <c r="HR59"/>
  <c r="HS59"/>
  <c r="HT59"/>
  <c r="HU59"/>
  <c r="HV59"/>
  <c r="HW59"/>
  <c r="HX59"/>
  <c r="HY59"/>
  <c r="HZ59"/>
  <c r="IA59"/>
  <c r="IB59"/>
  <c r="IC59"/>
  <c r="ID59"/>
  <c r="IE59"/>
  <c r="IF59"/>
  <c r="IG59"/>
  <c r="IH59"/>
  <c r="II59"/>
  <c r="IJ59"/>
  <c r="IK59"/>
  <c r="IL59"/>
  <c r="IM59"/>
  <c r="IN59"/>
  <c r="IO59"/>
  <c r="IP59"/>
  <c r="IQ59"/>
  <c r="IR59"/>
  <c r="IS59"/>
  <c r="IT59"/>
  <c r="IU59"/>
  <c r="IV59"/>
  <c r="A58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EK58"/>
  <c r="EL58"/>
  <c r="EM58"/>
  <c r="EN58"/>
  <c r="EO58"/>
  <c r="EP58"/>
  <c r="EQ58"/>
  <c r="ER58"/>
  <c r="ES58"/>
  <c r="ET58"/>
  <c r="EU58"/>
  <c r="EV58"/>
  <c r="EW58"/>
  <c r="EX58"/>
  <c r="EY58"/>
  <c r="EZ58"/>
  <c r="FA58"/>
  <c r="FB58"/>
  <c r="FC58"/>
  <c r="FD58"/>
  <c r="FE58"/>
  <c r="FF58"/>
  <c r="FG58"/>
  <c r="FH58"/>
  <c r="FI58"/>
  <c r="FJ58"/>
  <c r="FK58"/>
  <c r="FL58"/>
  <c r="FM58"/>
  <c r="FN58"/>
  <c r="FO58"/>
  <c r="FP58"/>
  <c r="FQ58"/>
  <c r="FR58"/>
  <c r="FS58"/>
  <c r="FT58"/>
  <c r="FU58"/>
  <c r="FV58"/>
  <c r="FW58"/>
  <c r="FX58"/>
  <c r="FY58"/>
  <c r="FZ58"/>
  <c r="GA58"/>
  <c r="GB58"/>
  <c r="GC58"/>
  <c r="GD58"/>
  <c r="GE58"/>
  <c r="GF58"/>
  <c r="GG58"/>
  <c r="GH58"/>
  <c r="GI58"/>
  <c r="GJ58"/>
  <c r="GK58"/>
  <c r="GL58"/>
  <c r="GM58"/>
  <c r="GN58"/>
  <c r="GO58"/>
  <c r="GP58"/>
  <c r="GQ58"/>
  <c r="GR58"/>
  <c r="GS58"/>
  <c r="GT58"/>
  <c r="GU58"/>
  <c r="GV58"/>
  <c r="GW58"/>
  <c r="GX58"/>
  <c r="GY58"/>
  <c r="GZ58"/>
  <c r="HA58"/>
  <c r="HB58"/>
  <c r="HC58"/>
  <c r="HD58"/>
  <c r="HE58"/>
  <c r="HF58"/>
  <c r="HG58"/>
  <c r="HH58"/>
  <c r="HI58"/>
  <c r="HJ58"/>
  <c r="HK58"/>
  <c r="HL58"/>
  <c r="HM58"/>
  <c r="HN58"/>
  <c r="HO58"/>
  <c r="HP58"/>
  <c r="HQ58"/>
  <c r="HR58"/>
  <c r="HS58"/>
  <c r="HT58"/>
  <c r="HU58"/>
  <c r="HV58"/>
  <c r="HW58"/>
  <c r="HX58"/>
  <c r="HY58"/>
  <c r="HZ58"/>
  <c r="IA58"/>
  <c r="IB58"/>
  <c r="IC58"/>
  <c r="ID58"/>
  <c r="IE58"/>
  <c r="IF58"/>
  <c r="IG58"/>
  <c r="IH58"/>
  <c r="II58"/>
  <c r="IJ58"/>
  <c r="IK58"/>
  <c r="IL58"/>
  <c r="IM58"/>
  <c r="IN58"/>
  <c r="IO58"/>
  <c r="IP58"/>
  <c r="IQ58"/>
  <c r="IR58"/>
  <c r="IS58"/>
  <c r="IT58"/>
  <c r="IU58"/>
  <c r="IV58"/>
  <c r="A57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CZ57"/>
  <c r="DA57"/>
  <c r="DB57"/>
  <c r="DC57"/>
  <c r="DD57"/>
  <c r="DE57"/>
  <c r="DF57"/>
  <c r="DG57"/>
  <c r="DH57"/>
  <c r="DI57"/>
  <c r="DJ57"/>
  <c r="DK57"/>
  <c r="DL57"/>
  <c r="DM57"/>
  <c r="DN57"/>
  <c r="DO57"/>
  <c r="DP57"/>
  <c r="DQ57"/>
  <c r="DR57"/>
  <c r="DS57"/>
  <c r="DT57"/>
  <c r="DU57"/>
  <c r="DV57"/>
  <c r="DW57"/>
  <c r="DX57"/>
  <c r="DY57"/>
  <c r="DZ57"/>
  <c r="EA57"/>
  <c r="EB57"/>
  <c r="EC57"/>
  <c r="ED57"/>
  <c r="EE57"/>
  <c r="EF57"/>
  <c r="EG57"/>
  <c r="EH57"/>
  <c r="EI57"/>
  <c r="EJ57"/>
  <c r="EK57"/>
  <c r="EL57"/>
  <c r="EM57"/>
  <c r="EN57"/>
  <c r="EO57"/>
  <c r="EP57"/>
  <c r="EQ57"/>
  <c r="ER57"/>
  <c r="ES57"/>
  <c r="ET57"/>
  <c r="EU57"/>
  <c r="EV57"/>
  <c r="EW57"/>
  <c r="EX57"/>
  <c r="EY57"/>
  <c r="EZ57"/>
  <c r="FA57"/>
  <c r="FB57"/>
  <c r="FC57"/>
  <c r="FD57"/>
  <c r="FE57"/>
  <c r="FF57"/>
  <c r="FG57"/>
  <c r="FH57"/>
  <c r="FI57"/>
  <c r="FJ57"/>
  <c r="FK57"/>
  <c r="FL57"/>
  <c r="FM57"/>
  <c r="FN57"/>
  <c r="FO57"/>
  <c r="FP57"/>
  <c r="FQ57"/>
  <c r="FR57"/>
  <c r="FS57"/>
  <c r="FT57"/>
  <c r="FU57"/>
  <c r="FV57"/>
  <c r="FW57"/>
  <c r="FX57"/>
  <c r="FY57"/>
  <c r="FZ57"/>
  <c r="GA57"/>
  <c r="GB57"/>
  <c r="GC57"/>
  <c r="GD57"/>
  <c r="GE57"/>
  <c r="GF57"/>
  <c r="GG57"/>
  <c r="GH57"/>
  <c r="GI57"/>
  <c r="GJ57"/>
  <c r="GK57"/>
  <c r="GL57"/>
  <c r="GM57"/>
  <c r="GN57"/>
  <c r="GO57"/>
  <c r="GP57"/>
  <c r="GQ57"/>
  <c r="GR57"/>
  <c r="GS57"/>
  <c r="GT57"/>
  <c r="GU57"/>
  <c r="GV57"/>
  <c r="GW57"/>
  <c r="GX57"/>
  <c r="GY57"/>
  <c r="GZ57"/>
  <c r="HA57"/>
  <c r="HB57"/>
  <c r="HC57"/>
  <c r="HD57"/>
  <c r="HE57"/>
  <c r="HF57"/>
  <c r="HG57"/>
  <c r="HH57"/>
  <c r="HI57"/>
  <c r="HJ57"/>
  <c r="HK57"/>
  <c r="HL57"/>
  <c r="HM57"/>
  <c r="HN57"/>
  <c r="HO57"/>
  <c r="HP57"/>
  <c r="HQ57"/>
  <c r="HR57"/>
  <c r="HS57"/>
  <c r="HT57"/>
  <c r="HU57"/>
  <c r="HV57"/>
  <c r="HW57"/>
  <c r="HX57"/>
  <c r="HY57"/>
  <c r="HZ57"/>
  <c r="IA57"/>
  <c r="IB57"/>
  <c r="IC57"/>
  <c r="ID57"/>
  <c r="IE57"/>
  <c r="IF57"/>
  <c r="IG57"/>
  <c r="IH57"/>
  <c r="II57"/>
  <c r="IJ57"/>
  <c r="IK57"/>
  <c r="IL57"/>
  <c r="IM57"/>
  <c r="IN57"/>
  <c r="IO57"/>
  <c r="IP57"/>
  <c r="IQ57"/>
  <c r="IR57"/>
  <c r="IS57"/>
  <c r="IT57"/>
  <c r="IU57"/>
  <c r="IV57"/>
  <c r="A56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CX56"/>
  <c r="CY56"/>
  <c r="CZ56"/>
  <c r="DA56"/>
  <c r="DB56"/>
  <c r="DC56"/>
  <c r="DD56"/>
  <c r="DE56"/>
  <c r="DF56"/>
  <c r="DG56"/>
  <c r="DH56"/>
  <c r="DI56"/>
  <c r="DJ56"/>
  <c r="DK56"/>
  <c r="DL56"/>
  <c r="DM56"/>
  <c r="DN56"/>
  <c r="DO56"/>
  <c r="DP56"/>
  <c r="DQ56"/>
  <c r="DR56"/>
  <c r="DS56"/>
  <c r="DT56"/>
  <c r="DU56"/>
  <c r="DV56"/>
  <c r="DW56"/>
  <c r="DX56"/>
  <c r="DY56"/>
  <c r="DZ56"/>
  <c r="EA56"/>
  <c r="EB56"/>
  <c r="EC56"/>
  <c r="ED56"/>
  <c r="EE56"/>
  <c r="EF56"/>
  <c r="EG56"/>
  <c r="EH56"/>
  <c r="EI56"/>
  <c r="EJ56"/>
  <c r="EK56"/>
  <c r="EL56"/>
  <c r="EM56"/>
  <c r="EN56"/>
  <c r="EO56"/>
  <c r="EP56"/>
  <c r="EQ56"/>
  <c r="ER56"/>
  <c r="ES56"/>
  <c r="ET56"/>
  <c r="EU56"/>
  <c r="EV56"/>
  <c r="EW56"/>
  <c r="EX56"/>
  <c r="EY56"/>
  <c r="EZ56"/>
  <c r="FA56"/>
  <c r="FB56"/>
  <c r="FC56"/>
  <c r="FD56"/>
  <c r="FE56"/>
  <c r="FF56"/>
  <c r="FG56"/>
  <c r="FH56"/>
  <c r="FI56"/>
  <c r="FJ56"/>
  <c r="FK56"/>
  <c r="FL56"/>
  <c r="FM56"/>
  <c r="FN56"/>
  <c r="FO56"/>
  <c r="FP56"/>
  <c r="FQ56"/>
  <c r="FR56"/>
  <c r="FS56"/>
  <c r="FT56"/>
  <c r="FU56"/>
  <c r="FV56"/>
  <c r="FW56"/>
  <c r="FX56"/>
  <c r="FY56"/>
  <c r="FZ56"/>
  <c r="GA56"/>
  <c r="GB56"/>
  <c r="GC56"/>
  <c r="GD56"/>
  <c r="GE56"/>
  <c r="GF56"/>
  <c r="GG56"/>
  <c r="GH56"/>
  <c r="GI56"/>
  <c r="GJ56"/>
  <c r="GK56"/>
  <c r="GL56"/>
  <c r="GM56"/>
  <c r="GN56"/>
  <c r="GO56"/>
  <c r="GP56"/>
  <c r="GQ56"/>
  <c r="GR56"/>
  <c r="GS56"/>
  <c r="GT56"/>
  <c r="GU56"/>
  <c r="GV56"/>
  <c r="GW56"/>
  <c r="GX56"/>
  <c r="GY56"/>
  <c r="GZ56"/>
  <c r="HA56"/>
  <c r="HB56"/>
  <c r="HC56"/>
  <c r="HD56"/>
  <c r="HE56"/>
  <c r="HF56"/>
  <c r="HG56"/>
  <c r="HH56"/>
  <c r="HI56"/>
  <c r="HJ56"/>
  <c r="HK56"/>
  <c r="HL56"/>
  <c r="HM56"/>
  <c r="HN56"/>
  <c r="HO56"/>
  <c r="HP56"/>
  <c r="HQ56"/>
  <c r="HR56"/>
  <c r="HS56"/>
  <c r="HT56"/>
  <c r="HU56"/>
  <c r="HV56"/>
  <c r="HW56"/>
  <c r="HX56"/>
  <c r="HY56"/>
  <c r="HZ56"/>
  <c r="IA56"/>
  <c r="IB56"/>
  <c r="IC56"/>
  <c r="ID56"/>
  <c r="IE56"/>
  <c r="IF56"/>
  <c r="IG56"/>
  <c r="IH56"/>
  <c r="II56"/>
  <c r="IJ56"/>
  <c r="IK56"/>
  <c r="IL56"/>
  <c r="IM56"/>
  <c r="IN56"/>
  <c r="IO56"/>
  <c r="IP56"/>
  <c r="IQ56"/>
  <c r="IR56"/>
  <c r="IS56"/>
  <c r="IT56"/>
  <c r="IU56"/>
  <c r="IV56"/>
  <c r="A55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CZ55"/>
  <c r="DA55"/>
  <c r="DB55"/>
  <c r="DC55"/>
  <c r="DD55"/>
  <c r="DE55"/>
  <c r="DF55"/>
  <c r="DG55"/>
  <c r="DH55"/>
  <c r="DI55"/>
  <c r="DJ55"/>
  <c r="DK55"/>
  <c r="DL55"/>
  <c r="DM55"/>
  <c r="DN55"/>
  <c r="DO55"/>
  <c r="DP55"/>
  <c r="DQ55"/>
  <c r="DR55"/>
  <c r="DS55"/>
  <c r="DT55"/>
  <c r="DU55"/>
  <c r="DV55"/>
  <c r="DW55"/>
  <c r="DX55"/>
  <c r="DY55"/>
  <c r="DZ55"/>
  <c r="EA55"/>
  <c r="EB55"/>
  <c r="EC55"/>
  <c r="ED55"/>
  <c r="EE55"/>
  <c r="EF55"/>
  <c r="EG55"/>
  <c r="EH55"/>
  <c r="EI55"/>
  <c r="EJ55"/>
  <c r="EK55"/>
  <c r="EL55"/>
  <c r="EM55"/>
  <c r="EN55"/>
  <c r="EO55"/>
  <c r="EP55"/>
  <c r="EQ55"/>
  <c r="ER55"/>
  <c r="ES55"/>
  <c r="ET55"/>
  <c r="EU55"/>
  <c r="EV55"/>
  <c r="EW55"/>
  <c r="EX55"/>
  <c r="EY55"/>
  <c r="EZ55"/>
  <c r="FA55"/>
  <c r="FB55"/>
  <c r="FC55"/>
  <c r="FD55"/>
  <c r="FE55"/>
  <c r="FF55"/>
  <c r="FG55"/>
  <c r="FH55"/>
  <c r="FI55"/>
  <c r="FJ55"/>
  <c r="FK55"/>
  <c r="FL55"/>
  <c r="FM55"/>
  <c r="FN55"/>
  <c r="FO55"/>
  <c r="FP55"/>
  <c r="FQ55"/>
  <c r="FR55"/>
  <c r="FS55"/>
  <c r="FT55"/>
  <c r="FU55"/>
  <c r="FV55"/>
  <c r="FW55"/>
  <c r="FX55"/>
  <c r="FY55"/>
  <c r="FZ55"/>
  <c r="GA55"/>
  <c r="GB55"/>
  <c r="GC55"/>
  <c r="GD55"/>
  <c r="GE55"/>
  <c r="GF55"/>
  <c r="GG55"/>
  <c r="GH55"/>
  <c r="GI55"/>
  <c r="GJ55"/>
  <c r="GK55"/>
  <c r="GL55"/>
  <c r="GM55"/>
  <c r="GN55"/>
  <c r="GO55"/>
  <c r="GP55"/>
  <c r="GQ55"/>
  <c r="GR55"/>
  <c r="GS55"/>
  <c r="GT55"/>
  <c r="GU55"/>
  <c r="GV55"/>
  <c r="GW55"/>
  <c r="GX55"/>
  <c r="GY55"/>
  <c r="GZ55"/>
  <c r="HA55"/>
  <c r="HB55"/>
  <c r="HC55"/>
  <c r="HD55"/>
  <c r="HE55"/>
  <c r="HF55"/>
  <c r="HG55"/>
  <c r="HH55"/>
  <c r="HI55"/>
  <c r="HJ55"/>
  <c r="HK55"/>
  <c r="HL55"/>
  <c r="HM55"/>
  <c r="HN55"/>
  <c r="HO55"/>
  <c r="HP55"/>
  <c r="HQ55"/>
  <c r="HR55"/>
  <c r="HS55"/>
  <c r="HT55"/>
  <c r="HU55"/>
  <c r="HV55"/>
  <c r="HW55"/>
  <c r="HX55"/>
  <c r="HY55"/>
  <c r="HZ55"/>
  <c r="IA55"/>
  <c r="IB55"/>
  <c r="IC55"/>
  <c r="ID55"/>
  <c r="IE55"/>
  <c r="IF55"/>
  <c r="IG55"/>
  <c r="IH55"/>
  <c r="II55"/>
  <c r="IJ55"/>
  <c r="IK55"/>
  <c r="IL55"/>
  <c r="IM55"/>
  <c r="IN55"/>
  <c r="IO55"/>
  <c r="IP55"/>
  <c r="IQ55"/>
  <c r="IR55"/>
  <c r="IS55"/>
  <c r="IT55"/>
  <c r="IU55"/>
  <c r="IV55"/>
  <c r="A54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CZ54"/>
  <c r="DA54"/>
  <c r="DB54"/>
  <c r="DC54"/>
  <c r="DD54"/>
  <c r="DE54"/>
  <c r="DF54"/>
  <c r="DG54"/>
  <c r="DH54"/>
  <c r="DI54"/>
  <c r="DJ54"/>
  <c r="DK54"/>
  <c r="DL54"/>
  <c r="DM54"/>
  <c r="DN54"/>
  <c r="DO54"/>
  <c r="DP54"/>
  <c r="DQ54"/>
  <c r="DR54"/>
  <c r="DS54"/>
  <c r="DT54"/>
  <c r="DU54"/>
  <c r="DV54"/>
  <c r="DW54"/>
  <c r="DX54"/>
  <c r="DY54"/>
  <c r="DZ54"/>
  <c r="EA54"/>
  <c r="EB54"/>
  <c r="EC54"/>
  <c r="ED54"/>
  <c r="EE54"/>
  <c r="EF54"/>
  <c r="EG54"/>
  <c r="EH54"/>
  <c r="EI54"/>
  <c r="EJ54"/>
  <c r="EK54"/>
  <c r="EL54"/>
  <c r="EM54"/>
  <c r="EN54"/>
  <c r="EO54"/>
  <c r="EP54"/>
  <c r="EQ54"/>
  <c r="ER54"/>
  <c r="ES54"/>
  <c r="ET54"/>
  <c r="EU54"/>
  <c r="EV54"/>
  <c r="EW54"/>
  <c r="EX54"/>
  <c r="EY54"/>
  <c r="EZ54"/>
  <c r="FA54"/>
  <c r="FB54"/>
  <c r="FC54"/>
  <c r="FD54"/>
  <c r="FE54"/>
  <c r="FF54"/>
  <c r="FG54"/>
  <c r="FH54"/>
  <c r="FI54"/>
  <c r="FJ54"/>
  <c r="FK54"/>
  <c r="FL54"/>
  <c r="FM54"/>
  <c r="FN54"/>
  <c r="FO54"/>
  <c r="FP54"/>
  <c r="FQ54"/>
  <c r="FR54"/>
  <c r="FS54"/>
  <c r="FT54"/>
  <c r="FU54"/>
  <c r="FV54"/>
  <c r="FW54"/>
  <c r="FX54"/>
  <c r="FY54"/>
  <c r="FZ54"/>
  <c r="GA54"/>
  <c r="GB54"/>
  <c r="GC54"/>
  <c r="GD54"/>
  <c r="GE54"/>
  <c r="GF54"/>
  <c r="GG54"/>
  <c r="GH54"/>
  <c r="GI54"/>
  <c r="GJ54"/>
  <c r="GK54"/>
  <c r="GL54"/>
  <c r="GM54"/>
  <c r="GN54"/>
  <c r="GO54"/>
  <c r="GP54"/>
  <c r="GQ54"/>
  <c r="GR54"/>
  <c r="GS54"/>
  <c r="GT54"/>
  <c r="GU54"/>
  <c r="GV54"/>
  <c r="GW54"/>
  <c r="GX54"/>
  <c r="GY54"/>
  <c r="GZ54"/>
  <c r="HA54"/>
  <c r="HB54"/>
  <c r="HC54"/>
  <c r="HD54"/>
  <c r="HE54"/>
  <c r="HF54"/>
  <c r="HG54"/>
  <c r="HH54"/>
  <c r="HI54"/>
  <c r="HJ54"/>
  <c r="HK54"/>
  <c r="HL54"/>
  <c r="HM54"/>
  <c r="HN54"/>
  <c r="HO54"/>
  <c r="HP54"/>
  <c r="HQ54"/>
  <c r="HR54"/>
  <c r="HS54"/>
  <c r="HT54"/>
  <c r="HU54"/>
  <c r="HV54"/>
  <c r="HW54"/>
  <c r="HX54"/>
  <c r="HY54"/>
  <c r="HZ54"/>
  <c r="IA54"/>
  <c r="IB54"/>
  <c r="IC54"/>
  <c r="ID54"/>
  <c r="IE54"/>
  <c r="IF54"/>
  <c r="IG54"/>
  <c r="IH54"/>
  <c r="II54"/>
  <c r="IJ54"/>
  <c r="IK54"/>
  <c r="IL54"/>
  <c r="IM54"/>
  <c r="IN54"/>
  <c r="IO54"/>
  <c r="IP54"/>
  <c r="IQ54"/>
  <c r="IR54"/>
  <c r="IS54"/>
  <c r="IT54"/>
  <c r="IU54"/>
  <c r="IV54"/>
  <c r="A53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CZ53"/>
  <c r="DA53"/>
  <c r="DB53"/>
  <c r="DC53"/>
  <c r="DD53"/>
  <c r="DE53"/>
  <c r="DF53"/>
  <c r="DG53"/>
  <c r="DH53"/>
  <c r="DI53"/>
  <c r="DJ53"/>
  <c r="DK53"/>
  <c r="DL53"/>
  <c r="DM53"/>
  <c r="DN53"/>
  <c r="DO53"/>
  <c r="DP53"/>
  <c r="DQ53"/>
  <c r="DR53"/>
  <c r="DS53"/>
  <c r="DT53"/>
  <c r="DU53"/>
  <c r="DV53"/>
  <c r="DW53"/>
  <c r="DX53"/>
  <c r="DY53"/>
  <c r="DZ53"/>
  <c r="EA53"/>
  <c r="EB53"/>
  <c r="EC53"/>
  <c r="ED53"/>
  <c r="EE53"/>
  <c r="EF53"/>
  <c r="EG53"/>
  <c r="EH53"/>
  <c r="EI53"/>
  <c r="EJ53"/>
  <c r="EK53"/>
  <c r="EL53"/>
  <c r="EM53"/>
  <c r="EN53"/>
  <c r="EO53"/>
  <c r="EP53"/>
  <c r="EQ53"/>
  <c r="ER53"/>
  <c r="ES53"/>
  <c r="ET53"/>
  <c r="EU53"/>
  <c r="EV53"/>
  <c r="EW53"/>
  <c r="EX53"/>
  <c r="EY53"/>
  <c r="EZ53"/>
  <c r="FA53"/>
  <c r="FB53"/>
  <c r="FC53"/>
  <c r="FD53"/>
  <c r="FE53"/>
  <c r="FF53"/>
  <c r="FG53"/>
  <c r="FH53"/>
  <c r="FI53"/>
  <c r="FJ53"/>
  <c r="FK53"/>
  <c r="FL53"/>
  <c r="FM53"/>
  <c r="FN53"/>
  <c r="FO53"/>
  <c r="FP53"/>
  <c r="FQ53"/>
  <c r="FR53"/>
  <c r="FS53"/>
  <c r="FT53"/>
  <c r="FU53"/>
  <c r="FV53"/>
  <c r="FW53"/>
  <c r="FX53"/>
  <c r="FY53"/>
  <c r="FZ53"/>
  <c r="GA53"/>
  <c r="GB53"/>
  <c r="GC53"/>
  <c r="GD53"/>
  <c r="GE53"/>
  <c r="GF53"/>
  <c r="GG53"/>
  <c r="GH53"/>
  <c r="GI53"/>
  <c r="GJ53"/>
  <c r="GK53"/>
  <c r="GL53"/>
  <c r="GM53"/>
  <c r="GN53"/>
  <c r="GO53"/>
  <c r="GP53"/>
  <c r="GQ53"/>
  <c r="GR53"/>
  <c r="GS53"/>
  <c r="GT53"/>
  <c r="GU53"/>
  <c r="GV53"/>
  <c r="GW53"/>
  <c r="GX53"/>
  <c r="GY53"/>
  <c r="GZ53"/>
  <c r="HA53"/>
  <c r="HB53"/>
  <c r="HC53"/>
  <c r="HD53"/>
  <c r="HE53"/>
  <c r="HF53"/>
  <c r="HG53"/>
  <c r="HH53"/>
  <c r="HI53"/>
  <c r="HJ53"/>
  <c r="HK53"/>
  <c r="HL53"/>
  <c r="HM53"/>
  <c r="HN53"/>
  <c r="HO53"/>
  <c r="HP53"/>
  <c r="HQ53"/>
  <c r="HR53"/>
  <c r="HS53"/>
  <c r="HT53"/>
  <c r="HU53"/>
  <c r="HV53"/>
  <c r="HW53"/>
  <c r="HX53"/>
  <c r="HY53"/>
  <c r="HZ53"/>
  <c r="IA53"/>
  <c r="IB53"/>
  <c r="IC53"/>
  <c r="ID53"/>
  <c r="IE53"/>
  <c r="IF53"/>
  <c r="IG53"/>
  <c r="IH53"/>
  <c r="II53"/>
  <c r="IJ53"/>
  <c r="IK53"/>
  <c r="IL53"/>
  <c r="IM53"/>
  <c r="IN53"/>
  <c r="IO53"/>
  <c r="IP53"/>
  <c r="IQ53"/>
  <c r="IR53"/>
  <c r="IS53"/>
  <c r="IT53"/>
  <c r="IU53"/>
  <c r="IV53"/>
  <c r="A52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CZ52"/>
  <c r="DA52"/>
  <c r="DB52"/>
  <c r="DC52"/>
  <c r="DD52"/>
  <c r="DE52"/>
  <c r="DF52"/>
  <c r="DG52"/>
  <c r="DH52"/>
  <c r="DI52"/>
  <c r="DJ52"/>
  <c r="DK52"/>
  <c r="DL52"/>
  <c r="DM52"/>
  <c r="DN52"/>
  <c r="DO52"/>
  <c r="DP52"/>
  <c r="DQ52"/>
  <c r="DR52"/>
  <c r="DS52"/>
  <c r="DT52"/>
  <c r="DU52"/>
  <c r="DV52"/>
  <c r="DW52"/>
  <c r="DX52"/>
  <c r="DY52"/>
  <c r="DZ52"/>
  <c r="EA52"/>
  <c r="EB52"/>
  <c r="EC52"/>
  <c r="ED52"/>
  <c r="EE52"/>
  <c r="EF52"/>
  <c r="EG52"/>
  <c r="EH52"/>
  <c r="EI52"/>
  <c r="EJ52"/>
  <c r="EK52"/>
  <c r="EL52"/>
  <c r="EM52"/>
  <c r="EN52"/>
  <c r="EO52"/>
  <c r="EP52"/>
  <c r="EQ52"/>
  <c r="ER52"/>
  <c r="ES52"/>
  <c r="ET52"/>
  <c r="EU52"/>
  <c r="EV52"/>
  <c r="EW52"/>
  <c r="EX52"/>
  <c r="EY52"/>
  <c r="EZ52"/>
  <c r="FA52"/>
  <c r="FB52"/>
  <c r="FC52"/>
  <c r="FD52"/>
  <c r="FE52"/>
  <c r="FF52"/>
  <c r="FG52"/>
  <c r="FH52"/>
  <c r="FI52"/>
  <c r="FJ52"/>
  <c r="FK52"/>
  <c r="FL52"/>
  <c r="FM52"/>
  <c r="FN52"/>
  <c r="FO52"/>
  <c r="FP52"/>
  <c r="FQ52"/>
  <c r="FR52"/>
  <c r="FS52"/>
  <c r="FT52"/>
  <c r="FU52"/>
  <c r="FV52"/>
  <c r="FW52"/>
  <c r="FX52"/>
  <c r="FY52"/>
  <c r="FZ52"/>
  <c r="GA52"/>
  <c r="GB52"/>
  <c r="GC52"/>
  <c r="GD52"/>
  <c r="GE52"/>
  <c r="GF52"/>
  <c r="GG52"/>
  <c r="GH52"/>
  <c r="GI52"/>
  <c r="GJ52"/>
  <c r="GK52"/>
  <c r="GL52"/>
  <c r="GM52"/>
  <c r="GN52"/>
  <c r="GO52"/>
  <c r="GP52"/>
  <c r="GQ52"/>
  <c r="GR52"/>
  <c r="GS52"/>
  <c r="GT52"/>
  <c r="GU52"/>
  <c r="GV52"/>
  <c r="GW52"/>
  <c r="GX52"/>
  <c r="GY52"/>
  <c r="GZ52"/>
  <c r="HA52"/>
  <c r="HB52"/>
  <c r="HC52"/>
  <c r="HD52"/>
  <c r="HE52"/>
  <c r="HF52"/>
  <c r="HG52"/>
  <c r="HH52"/>
  <c r="HI52"/>
  <c r="HJ52"/>
  <c r="HK52"/>
  <c r="HL52"/>
  <c r="HM52"/>
  <c r="HN52"/>
  <c r="HO52"/>
  <c r="HP52"/>
  <c r="HQ52"/>
  <c r="HR52"/>
  <c r="HS52"/>
  <c r="HT52"/>
  <c r="HU52"/>
  <c r="HV52"/>
  <c r="HW52"/>
  <c r="HX52"/>
  <c r="HY52"/>
  <c r="HZ52"/>
  <c r="IA52"/>
  <c r="IB52"/>
  <c r="IC52"/>
  <c r="ID52"/>
  <c r="IE52"/>
  <c r="IF52"/>
  <c r="IG52"/>
  <c r="IH52"/>
  <c r="II52"/>
  <c r="IJ52"/>
  <c r="IK52"/>
  <c r="IL52"/>
  <c r="IM52"/>
  <c r="IN52"/>
  <c r="IO52"/>
  <c r="IP52"/>
  <c r="IQ52"/>
  <c r="IR52"/>
  <c r="IS52"/>
  <c r="IT52"/>
  <c r="IU52"/>
  <c r="IV52"/>
  <c r="A51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V51"/>
  <c r="CW51"/>
  <c r="CX51"/>
  <c r="CY51"/>
  <c r="CZ51"/>
  <c r="DA51"/>
  <c r="DB51"/>
  <c r="DC51"/>
  <c r="DD51"/>
  <c r="DE51"/>
  <c r="DF51"/>
  <c r="DG51"/>
  <c r="DH51"/>
  <c r="DI51"/>
  <c r="DJ51"/>
  <c r="DK51"/>
  <c r="DL51"/>
  <c r="DM51"/>
  <c r="DN51"/>
  <c r="DO51"/>
  <c r="DP51"/>
  <c r="DQ51"/>
  <c r="DR51"/>
  <c r="DS51"/>
  <c r="DT51"/>
  <c r="DU51"/>
  <c r="DV51"/>
  <c r="DW51"/>
  <c r="DX51"/>
  <c r="DY51"/>
  <c r="DZ51"/>
  <c r="EA51"/>
  <c r="EB51"/>
  <c r="EC51"/>
  <c r="ED51"/>
  <c r="EE51"/>
  <c r="EF51"/>
  <c r="EG51"/>
  <c r="EH51"/>
  <c r="EI51"/>
  <c r="EJ51"/>
  <c r="EK51"/>
  <c r="EL51"/>
  <c r="EM51"/>
  <c r="EN51"/>
  <c r="EO51"/>
  <c r="EP51"/>
  <c r="EQ51"/>
  <c r="ER51"/>
  <c r="ES51"/>
  <c r="ET51"/>
  <c r="EU51"/>
  <c r="EV51"/>
  <c r="EW51"/>
  <c r="EX51"/>
  <c r="EY51"/>
  <c r="EZ51"/>
  <c r="FA51"/>
  <c r="FB51"/>
  <c r="FC51"/>
  <c r="FD51"/>
  <c r="FE51"/>
  <c r="FF51"/>
  <c r="FG51"/>
  <c r="FH51"/>
  <c r="FI51"/>
  <c r="FJ51"/>
  <c r="FK51"/>
  <c r="FL51"/>
  <c r="FM51"/>
  <c r="FN51"/>
  <c r="FO51"/>
  <c r="FP51"/>
  <c r="FQ51"/>
  <c r="FR51"/>
  <c r="FS51"/>
  <c r="FT51"/>
  <c r="FU51"/>
  <c r="FV51"/>
  <c r="FW51"/>
  <c r="FX51"/>
  <c r="FY51"/>
  <c r="FZ51"/>
  <c r="GA51"/>
  <c r="GB51"/>
  <c r="GC51"/>
  <c r="GD51"/>
  <c r="GE51"/>
  <c r="GF51"/>
  <c r="GG51"/>
  <c r="GH51"/>
  <c r="GI51"/>
  <c r="GJ51"/>
  <c r="GK51"/>
  <c r="GL51"/>
  <c r="GM51"/>
  <c r="GN51"/>
  <c r="GO51"/>
  <c r="GP51"/>
  <c r="GQ51"/>
  <c r="GR51"/>
  <c r="GS51"/>
  <c r="GT51"/>
  <c r="GU51"/>
  <c r="GV51"/>
  <c r="GW51"/>
  <c r="GX51"/>
  <c r="GY51"/>
  <c r="GZ51"/>
  <c r="HA51"/>
  <c r="HB51"/>
  <c r="HC51"/>
  <c r="HD51"/>
  <c r="HE51"/>
  <c r="HF51"/>
  <c r="HG51"/>
  <c r="HH51"/>
  <c r="HI51"/>
  <c r="HJ51"/>
  <c r="HK51"/>
  <c r="HL51"/>
  <c r="HM51"/>
  <c r="HN51"/>
  <c r="HO51"/>
  <c r="HP51"/>
  <c r="HQ51"/>
  <c r="HR51"/>
  <c r="HS51"/>
  <c r="HT51"/>
  <c r="HU51"/>
  <c r="HV51"/>
  <c r="HW51"/>
  <c r="HX51"/>
  <c r="HY51"/>
  <c r="HZ51"/>
  <c r="IA51"/>
  <c r="IB51"/>
  <c r="IC51"/>
  <c r="ID51"/>
  <c r="IE51"/>
  <c r="IF51"/>
  <c r="IG51"/>
  <c r="IH51"/>
  <c r="II51"/>
  <c r="IJ51"/>
  <c r="IK51"/>
  <c r="IL51"/>
  <c r="IM51"/>
  <c r="IN51"/>
  <c r="IO51"/>
  <c r="IP51"/>
  <c r="IQ51"/>
  <c r="IR51"/>
  <c r="IS51"/>
  <c r="IT51"/>
  <c r="IU51"/>
  <c r="IV51"/>
  <c r="A50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CX50"/>
  <c r="CY50"/>
  <c r="CZ50"/>
  <c r="DA50"/>
  <c r="DB50"/>
  <c r="DC50"/>
  <c r="DD50"/>
  <c r="DE50"/>
  <c r="DF50"/>
  <c r="DG50"/>
  <c r="DH50"/>
  <c r="DI50"/>
  <c r="DJ50"/>
  <c r="DK50"/>
  <c r="DL50"/>
  <c r="DM50"/>
  <c r="DN50"/>
  <c r="DO50"/>
  <c r="DP50"/>
  <c r="DQ50"/>
  <c r="DR50"/>
  <c r="DS50"/>
  <c r="DT50"/>
  <c r="DU50"/>
  <c r="DV50"/>
  <c r="DW50"/>
  <c r="DX50"/>
  <c r="DY50"/>
  <c r="DZ50"/>
  <c r="EA50"/>
  <c r="EB50"/>
  <c r="EC50"/>
  <c r="ED50"/>
  <c r="EE50"/>
  <c r="EF50"/>
  <c r="EG50"/>
  <c r="EH50"/>
  <c r="EI50"/>
  <c r="EJ50"/>
  <c r="EK50"/>
  <c r="EL50"/>
  <c r="EM50"/>
  <c r="EN50"/>
  <c r="EO50"/>
  <c r="EP50"/>
  <c r="EQ50"/>
  <c r="ER50"/>
  <c r="ES50"/>
  <c r="ET50"/>
  <c r="EU50"/>
  <c r="EV50"/>
  <c r="EW50"/>
  <c r="EX50"/>
  <c r="EY50"/>
  <c r="EZ50"/>
  <c r="FA50"/>
  <c r="FB50"/>
  <c r="FC50"/>
  <c r="FD50"/>
  <c r="FE50"/>
  <c r="FF50"/>
  <c r="FG50"/>
  <c r="FH50"/>
  <c r="FI50"/>
  <c r="FJ50"/>
  <c r="FK50"/>
  <c r="FL50"/>
  <c r="FM50"/>
  <c r="FN50"/>
  <c r="FO50"/>
  <c r="FP50"/>
  <c r="FQ50"/>
  <c r="FR50"/>
  <c r="FS50"/>
  <c r="FT50"/>
  <c r="FU50"/>
  <c r="FV50"/>
  <c r="FW50"/>
  <c r="FX50"/>
  <c r="FY50"/>
  <c r="FZ50"/>
  <c r="GA50"/>
  <c r="GB50"/>
  <c r="GC50"/>
  <c r="GD50"/>
  <c r="GE50"/>
  <c r="GF50"/>
  <c r="GG50"/>
  <c r="GH50"/>
  <c r="GI50"/>
  <c r="GJ50"/>
  <c r="GK50"/>
  <c r="GL50"/>
  <c r="GM50"/>
  <c r="GN50"/>
  <c r="GO50"/>
  <c r="GP50"/>
  <c r="GQ50"/>
  <c r="GR50"/>
  <c r="GS50"/>
  <c r="GT50"/>
  <c r="GU50"/>
  <c r="GV50"/>
  <c r="GW50"/>
  <c r="GX50"/>
  <c r="GY50"/>
  <c r="GZ50"/>
  <c r="HA50"/>
  <c r="HB50"/>
  <c r="HC50"/>
  <c r="HD50"/>
  <c r="HE50"/>
  <c r="HF50"/>
  <c r="HG50"/>
  <c r="HH50"/>
  <c r="HI50"/>
  <c r="HJ50"/>
  <c r="HK50"/>
  <c r="HL50"/>
  <c r="HM50"/>
  <c r="HN50"/>
  <c r="HO50"/>
  <c r="HP50"/>
  <c r="HQ50"/>
  <c r="HR50"/>
  <c r="HS50"/>
  <c r="HT50"/>
  <c r="HU50"/>
  <c r="HV50"/>
  <c r="HW50"/>
  <c r="HX50"/>
  <c r="HY50"/>
  <c r="HZ50"/>
  <c r="IA50"/>
  <c r="IB50"/>
  <c r="IC50"/>
  <c r="ID50"/>
  <c r="IE50"/>
  <c r="IF50"/>
  <c r="IG50"/>
  <c r="IH50"/>
  <c r="II50"/>
  <c r="IJ50"/>
  <c r="IK50"/>
  <c r="IL50"/>
  <c r="IM50"/>
  <c r="IN50"/>
  <c r="IO50"/>
  <c r="IP50"/>
  <c r="IQ50"/>
  <c r="IR50"/>
  <c r="IS50"/>
  <c r="IT50"/>
  <c r="IU50"/>
  <c r="IV50"/>
  <c r="A49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CX49"/>
  <c r="CY49"/>
  <c r="CZ49"/>
  <c r="DA49"/>
  <c r="DB49"/>
  <c r="DC49"/>
  <c r="DD49"/>
  <c r="DE49"/>
  <c r="DF49"/>
  <c r="DG49"/>
  <c r="DH49"/>
  <c r="DI49"/>
  <c r="DJ49"/>
  <c r="DK49"/>
  <c r="DL49"/>
  <c r="DM49"/>
  <c r="DN49"/>
  <c r="DO49"/>
  <c r="DP49"/>
  <c r="DQ49"/>
  <c r="DR49"/>
  <c r="DS49"/>
  <c r="DT49"/>
  <c r="DU49"/>
  <c r="DV49"/>
  <c r="DW49"/>
  <c r="DX49"/>
  <c r="DY49"/>
  <c r="DZ49"/>
  <c r="EA49"/>
  <c r="EB49"/>
  <c r="EC49"/>
  <c r="ED49"/>
  <c r="EE49"/>
  <c r="EF49"/>
  <c r="EG49"/>
  <c r="EH49"/>
  <c r="EI49"/>
  <c r="EJ49"/>
  <c r="EK49"/>
  <c r="EL49"/>
  <c r="EM49"/>
  <c r="EN49"/>
  <c r="EO49"/>
  <c r="EP49"/>
  <c r="EQ49"/>
  <c r="ER49"/>
  <c r="ES49"/>
  <c r="ET49"/>
  <c r="EU49"/>
  <c r="EV49"/>
  <c r="EW49"/>
  <c r="EX49"/>
  <c r="EY49"/>
  <c r="EZ49"/>
  <c r="FA49"/>
  <c r="FB49"/>
  <c r="FC49"/>
  <c r="FD49"/>
  <c r="FE49"/>
  <c r="FF49"/>
  <c r="FG49"/>
  <c r="FH49"/>
  <c r="FI49"/>
  <c r="FJ49"/>
  <c r="FK49"/>
  <c r="FL49"/>
  <c r="FM49"/>
  <c r="FN49"/>
  <c r="FO49"/>
  <c r="FP49"/>
  <c r="FQ49"/>
  <c r="FR49"/>
  <c r="FS49"/>
  <c r="FT49"/>
  <c r="FU49"/>
  <c r="FV49"/>
  <c r="FW49"/>
  <c r="FX49"/>
  <c r="FY49"/>
  <c r="FZ49"/>
  <c r="GA49"/>
  <c r="GB49"/>
  <c r="GC49"/>
  <c r="GD49"/>
  <c r="GE49"/>
  <c r="GF49"/>
  <c r="GG49"/>
  <c r="GH49"/>
  <c r="GI49"/>
  <c r="GJ49"/>
  <c r="GK49"/>
  <c r="GL49"/>
  <c r="GM49"/>
  <c r="GN49"/>
  <c r="GO49"/>
  <c r="GP49"/>
  <c r="GQ49"/>
  <c r="GR49"/>
  <c r="GS49"/>
  <c r="GT49"/>
  <c r="GU49"/>
  <c r="GV49"/>
  <c r="GW49"/>
  <c r="GX49"/>
  <c r="GY49"/>
  <c r="GZ49"/>
  <c r="HA49"/>
  <c r="HB49"/>
  <c r="HC49"/>
  <c r="HD49"/>
  <c r="HE49"/>
  <c r="HF49"/>
  <c r="HG49"/>
  <c r="HH49"/>
  <c r="HI49"/>
  <c r="HJ49"/>
  <c r="HK49"/>
  <c r="HL49"/>
  <c r="HM49"/>
  <c r="HN49"/>
  <c r="HO49"/>
  <c r="HP49"/>
  <c r="HQ49"/>
  <c r="HR49"/>
  <c r="HS49"/>
  <c r="HT49"/>
  <c r="HU49"/>
  <c r="HV49"/>
  <c r="HW49"/>
  <c r="HX49"/>
  <c r="HY49"/>
  <c r="HZ49"/>
  <c r="IA49"/>
  <c r="IB49"/>
  <c r="IC49"/>
  <c r="ID49"/>
  <c r="IE49"/>
  <c r="IF49"/>
  <c r="IG49"/>
  <c r="IH49"/>
  <c r="II49"/>
  <c r="IJ49"/>
  <c r="IK49"/>
  <c r="IL49"/>
  <c r="IM49"/>
  <c r="IN49"/>
  <c r="IO49"/>
  <c r="IP49"/>
  <c r="IQ49"/>
  <c r="IR49"/>
  <c r="IS49"/>
  <c r="IT49"/>
  <c r="IU49"/>
  <c r="IV49"/>
  <c r="A48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CZ48"/>
  <c r="DA48"/>
  <c r="DB48"/>
  <c r="DC48"/>
  <c r="DD48"/>
  <c r="DE48"/>
  <c r="DF48"/>
  <c r="DG48"/>
  <c r="DH48"/>
  <c r="DI48"/>
  <c r="DJ48"/>
  <c r="DK48"/>
  <c r="DL48"/>
  <c r="DM48"/>
  <c r="DN48"/>
  <c r="DO48"/>
  <c r="DP48"/>
  <c r="DQ48"/>
  <c r="DR48"/>
  <c r="DS48"/>
  <c r="DT48"/>
  <c r="DU48"/>
  <c r="DV48"/>
  <c r="DW48"/>
  <c r="DX48"/>
  <c r="DY48"/>
  <c r="DZ48"/>
  <c r="EA48"/>
  <c r="EB48"/>
  <c r="EC48"/>
  <c r="ED48"/>
  <c r="EE48"/>
  <c r="EF48"/>
  <c r="EG48"/>
  <c r="EH48"/>
  <c r="EI48"/>
  <c r="EJ48"/>
  <c r="EK48"/>
  <c r="EL48"/>
  <c r="EM48"/>
  <c r="EN48"/>
  <c r="EO48"/>
  <c r="EP48"/>
  <c r="EQ48"/>
  <c r="ER48"/>
  <c r="ES48"/>
  <c r="ET48"/>
  <c r="EU48"/>
  <c r="EV48"/>
  <c r="EW48"/>
  <c r="EX48"/>
  <c r="EY48"/>
  <c r="EZ48"/>
  <c r="FA48"/>
  <c r="FB48"/>
  <c r="FC48"/>
  <c r="FD48"/>
  <c r="FE48"/>
  <c r="FF48"/>
  <c r="FG48"/>
  <c r="FH48"/>
  <c r="FI48"/>
  <c r="FJ48"/>
  <c r="FK48"/>
  <c r="FL48"/>
  <c r="FM48"/>
  <c r="FN48"/>
  <c r="FO48"/>
  <c r="FP48"/>
  <c r="FQ48"/>
  <c r="FR48"/>
  <c r="FS48"/>
  <c r="FT48"/>
  <c r="FU48"/>
  <c r="FV48"/>
  <c r="FW48"/>
  <c r="FX48"/>
  <c r="FY48"/>
  <c r="FZ48"/>
  <c r="GA48"/>
  <c r="GB48"/>
  <c r="GC48"/>
  <c r="GD48"/>
  <c r="GE48"/>
  <c r="GF48"/>
  <c r="GG48"/>
  <c r="GH48"/>
  <c r="GI48"/>
  <c r="GJ48"/>
  <c r="GK48"/>
  <c r="GL48"/>
  <c r="GM48"/>
  <c r="GN48"/>
  <c r="GO48"/>
  <c r="GP48"/>
  <c r="GQ48"/>
  <c r="GR48"/>
  <c r="GS48"/>
  <c r="GT48"/>
  <c r="GU48"/>
  <c r="GV48"/>
  <c r="GW48"/>
  <c r="GX48"/>
  <c r="GY48"/>
  <c r="GZ48"/>
  <c r="HA48"/>
  <c r="HB48"/>
  <c r="HC48"/>
  <c r="HD48"/>
  <c r="HE48"/>
  <c r="HF48"/>
  <c r="HG48"/>
  <c r="HH48"/>
  <c r="HI48"/>
  <c r="HJ48"/>
  <c r="HK48"/>
  <c r="HL48"/>
  <c r="HM48"/>
  <c r="HN48"/>
  <c r="HO48"/>
  <c r="HP48"/>
  <c r="HQ48"/>
  <c r="HR48"/>
  <c r="HS48"/>
  <c r="HT48"/>
  <c r="HU48"/>
  <c r="HV48"/>
  <c r="HW48"/>
  <c r="HX48"/>
  <c r="HY48"/>
  <c r="HZ48"/>
  <c r="IA48"/>
  <c r="IB48"/>
  <c r="IC48"/>
  <c r="ID48"/>
  <c r="IE48"/>
  <c r="IF48"/>
  <c r="IG48"/>
  <c r="IH48"/>
  <c r="II48"/>
  <c r="IJ48"/>
  <c r="IK48"/>
  <c r="IL48"/>
  <c r="IM48"/>
  <c r="IN48"/>
  <c r="IO48"/>
  <c r="IP48"/>
  <c r="IQ48"/>
  <c r="IR48"/>
  <c r="IS48"/>
  <c r="IT48"/>
  <c r="IU48"/>
  <c r="IV48"/>
  <c r="A47"/>
  <c r="B47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CZ47"/>
  <c r="DA47"/>
  <c r="DB47"/>
  <c r="DC47"/>
  <c r="DD47"/>
  <c r="DE47"/>
  <c r="DF47"/>
  <c r="DG47"/>
  <c r="DH47"/>
  <c r="DI47"/>
  <c r="DJ47"/>
  <c r="DK47"/>
  <c r="DL47"/>
  <c r="DM47"/>
  <c r="DN47"/>
  <c r="DO47"/>
  <c r="DP47"/>
  <c r="DQ47"/>
  <c r="DR47"/>
  <c r="DS47"/>
  <c r="DT47"/>
  <c r="DU47"/>
  <c r="DV47"/>
  <c r="DW47"/>
  <c r="DX47"/>
  <c r="DY47"/>
  <c r="DZ47"/>
  <c r="EA47"/>
  <c r="EB47"/>
  <c r="EC47"/>
  <c r="ED47"/>
  <c r="EE47"/>
  <c r="EF47"/>
  <c r="EG47"/>
  <c r="EH47"/>
  <c r="EI47"/>
  <c r="EJ47"/>
  <c r="EK47"/>
  <c r="EL47"/>
  <c r="EM47"/>
  <c r="EN47"/>
  <c r="EO47"/>
  <c r="EP47"/>
  <c r="EQ47"/>
  <c r="ER47"/>
  <c r="ES47"/>
  <c r="ET47"/>
  <c r="EU47"/>
  <c r="EV47"/>
  <c r="EW47"/>
  <c r="EX47"/>
  <c r="EY47"/>
  <c r="EZ47"/>
  <c r="FA47"/>
  <c r="FB47"/>
  <c r="FC47"/>
  <c r="FD47"/>
  <c r="FE47"/>
  <c r="FF47"/>
  <c r="FG47"/>
  <c r="FH47"/>
  <c r="FI47"/>
  <c r="FJ47"/>
  <c r="FK47"/>
  <c r="FL47"/>
  <c r="FM47"/>
  <c r="FN47"/>
  <c r="FO47"/>
  <c r="FP47"/>
  <c r="FQ47"/>
  <c r="FR47"/>
  <c r="FS47"/>
  <c r="FT47"/>
  <c r="FU47"/>
  <c r="FV47"/>
  <c r="FW47"/>
  <c r="FX47"/>
  <c r="FY47"/>
  <c r="FZ47"/>
  <c r="GA47"/>
  <c r="GB47"/>
  <c r="GC47"/>
  <c r="GD47"/>
  <c r="GE47"/>
  <c r="GF47"/>
  <c r="GG47"/>
  <c r="GH47"/>
  <c r="GI47"/>
  <c r="GJ47"/>
  <c r="GK47"/>
  <c r="GL47"/>
  <c r="GM47"/>
  <c r="GN47"/>
  <c r="GO47"/>
  <c r="GP47"/>
  <c r="GQ47"/>
  <c r="GR47"/>
  <c r="GS47"/>
  <c r="GT47"/>
  <c r="GU47"/>
  <c r="GV47"/>
  <c r="GW47"/>
  <c r="GX47"/>
  <c r="GY47"/>
  <c r="GZ47"/>
  <c r="HA47"/>
  <c r="HB47"/>
  <c r="HC47"/>
  <c r="HD47"/>
  <c r="HE47"/>
  <c r="HF47"/>
  <c r="HG47"/>
  <c r="HH47"/>
  <c r="HI47"/>
  <c r="HJ47"/>
  <c r="HK47"/>
  <c r="HL47"/>
  <c r="HM47"/>
  <c r="HN47"/>
  <c r="HO47"/>
  <c r="HP47"/>
  <c r="HQ47"/>
  <c r="HR47"/>
  <c r="HS47"/>
  <c r="HT47"/>
  <c r="HU47"/>
  <c r="HV47"/>
  <c r="HW47"/>
  <c r="HX47"/>
  <c r="HY47"/>
  <c r="HZ47"/>
  <c r="IA47"/>
  <c r="IB47"/>
  <c r="IC47"/>
  <c r="ID47"/>
  <c r="IE47"/>
  <c r="IF47"/>
  <c r="IG47"/>
  <c r="IH47"/>
  <c r="II47"/>
  <c r="IJ47"/>
  <c r="IK47"/>
  <c r="IL47"/>
  <c r="IM47"/>
  <c r="IN47"/>
  <c r="IO47"/>
  <c r="IP47"/>
  <c r="IQ47"/>
  <c r="IR47"/>
  <c r="IS47"/>
  <c r="IT47"/>
  <c r="IU47"/>
  <c r="IV47"/>
  <c r="A46"/>
  <c r="B46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CZ46"/>
  <c r="DA46"/>
  <c r="DB46"/>
  <c r="DC46"/>
  <c r="DD46"/>
  <c r="DE46"/>
  <c r="DF46"/>
  <c r="DG46"/>
  <c r="DH46"/>
  <c r="DI46"/>
  <c r="DJ46"/>
  <c r="DK46"/>
  <c r="DL46"/>
  <c r="DM46"/>
  <c r="DN46"/>
  <c r="DO46"/>
  <c r="DP46"/>
  <c r="DQ46"/>
  <c r="DR46"/>
  <c r="DS46"/>
  <c r="DT46"/>
  <c r="DU46"/>
  <c r="DV46"/>
  <c r="DW46"/>
  <c r="DX46"/>
  <c r="DY46"/>
  <c r="DZ46"/>
  <c r="EA46"/>
  <c r="EB46"/>
  <c r="EC46"/>
  <c r="ED46"/>
  <c r="EE46"/>
  <c r="EF46"/>
  <c r="EG46"/>
  <c r="EH46"/>
  <c r="EI46"/>
  <c r="EJ46"/>
  <c r="EK46"/>
  <c r="EL46"/>
  <c r="EM46"/>
  <c r="EN46"/>
  <c r="EO46"/>
  <c r="EP46"/>
  <c r="EQ46"/>
  <c r="ER46"/>
  <c r="ES46"/>
  <c r="ET46"/>
  <c r="EU46"/>
  <c r="EV46"/>
  <c r="EW46"/>
  <c r="EX46"/>
  <c r="EY46"/>
  <c r="EZ46"/>
  <c r="FA46"/>
  <c r="FB46"/>
  <c r="FC46"/>
  <c r="FD46"/>
  <c r="FE46"/>
  <c r="FF46"/>
  <c r="FG46"/>
  <c r="FH46"/>
  <c r="FI46"/>
  <c r="FJ46"/>
  <c r="FK46"/>
  <c r="FL46"/>
  <c r="FM46"/>
  <c r="FN46"/>
  <c r="FO46"/>
  <c r="FP46"/>
  <c r="FQ46"/>
  <c r="FR46"/>
  <c r="FS46"/>
  <c r="FT46"/>
  <c r="FU46"/>
  <c r="FV46"/>
  <c r="FW46"/>
  <c r="FX46"/>
  <c r="FY46"/>
  <c r="FZ46"/>
  <c r="GA46"/>
  <c r="GB46"/>
  <c r="GC46"/>
  <c r="GD46"/>
  <c r="GE46"/>
  <c r="GF46"/>
  <c r="GG46"/>
  <c r="GH46"/>
  <c r="GI46"/>
  <c r="GJ46"/>
  <c r="GK46"/>
  <c r="GL46"/>
  <c r="GM46"/>
  <c r="GN46"/>
  <c r="GO46"/>
  <c r="GP46"/>
  <c r="GQ46"/>
  <c r="GR46"/>
  <c r="GS46"/>
  <c r="GT46"/>
  <c r="GU46"/>
  <c r="GV46"/>
  <c r="GW46"/>
  <c r="GX46"/>
  <c r="GY46"/>
  <c r="GZ46"/>
  <c r="HA46"/>
  <c r="HB46"/>
  <c r="HC46"/>
  <c r="HD46"/>
  <c r="HE46"/>
  <c r="HF46"/>
  <c r="HG46"/>
  <c r="HH46"/>
  <c r="HI46"/>
  <c r="HJ46"/>
  <c r="HK46"/>
  <c r="HL46"/>
  <c r="HM46"/>
  <c r="HN46"/>
  <c r="HO46"/>
  <c r="HP46"/>
  <c r="HQ46"/>
  <c r="HR46"/>
  <c r="HS46"/>
  <c r="HT46"/>
  <c r="HU46"/>
  <c r="HV46"/>
  <c r="HW46"/>
  <c r="HX46"/>
  <c r="HY46"/>
  <c r="HZ46"/>
  <c r="IA46"/>
  <c r="IB46"/>
  <c r="IC46"/>
  <c r="ID46"/>
  <c r="IE46"/>
  <c r="IF46"/>
  <c r="IG46"/>
  <c r="IH46"/>
  <c r="II46"/>
  <c r="IJ46"/>
  <c r="IK46"/>
  <c r="IL46"/>
  <c r="IM46"/>
  <c r="IN46"/>
  <c r="IO46"/>
  <c r="IP46"/>
  <c r="IQ46"/>
  <c r="IR46"/>
  <c r="IS46"/>
  <c r="IT46"/>
  <c r="IU46"/>
  <c r="IV46"/>
  <c r="A45"/>
  <c r="B45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CZ45"/>
  <c r="DA45"/>
  <c r="DB45"/>
  <c r="DC45"/>
  <c r="DD45"/>
  <c r="DE45"/>
  <c r="DF45"/>
  <c r="DG45"/>
  <c r="DH45"/>
  <c r="DI45"/>
  <c r="DJ45"/>
  <c r="DK45"/>
  <c r="DL45"/>
  <c r="DM45"/>
  <c r="DN45"/>
  <c r="DO45"/>
  <c r="DP45"/>
  <c r="DQ45"/>
  <c r="DR45"/>
  <c r="DS45"/>
  <c r="DT45"/>
  <c r="DU45"/>
  <c r="DV45"/>
  <c r="DW45"/>
  <c r="DX45"/>
  <c r="DY45"/>
  <c r="DZ45"/>
  <c r="EA45"/>
  <c r="EB45"/>
  <c r="EC45"/>
  <c r="ED45"/>
  <c r="EE45"/>
  <c r="EF45"/>
  <c r="EG45"/>
  <c r="EH45"/>
  <c r="EI45"/>
  <c r="EJ45"/>
  <c r="EK45"/>
  <c r="EL45"/>
  <c r="EM45"/>
  <c r="EN45"/>
  <c r="EO45"/>
  <c r="EP45"/>
  <c r="EQ45"/>
  <c r="ER45"/>
  <c r="ES45"/>
  <c r="ET45"/>
  <c r="EU45"/>
  <c r="EV45"/>
  <c r="EW45"/>
  <c r="EX45"/>
  <c r="EY45"/>
  <c r="EZ45"/>
  <c r="FA45"/>
  <c r="FB45"/>
  <c r="FC45"/>
  <c r="FD45"/>
  <c r="FE45"/>
  <c r="FF45"/>
  <c r="FG45"/>
  <c r="FH45"/>
  <c r="FI45"/>
  <c r="FJ45"/>
  <c r="FK45"/>
  <c r="FL45"/>
  <c r="FM45"/>
  <c r="FN45"/>
  <c r="FO45"/>
  <c r="FP45"/>
  <c r="FQ45"/>
  <c r="FR45"/>
  <c r="FS45"/>
  <c r="FT45"/>
  <c r="FU45"/>
  <c r="FV45"/>
  <c r="FW45"/>
  <c r="FX45"/>
  <c r="FY45"/>
  <c r="FZ45"/>
  <c r="GA45"/>
  <c r="GB45"/>
  <c r="GC45"/>
  <c r="GD45"/>
  <c r="GE45"/>
  <c r="GF45"/>
  <c r="GG45"/>
  <c r="GH45"/>
  <c r="GI45"/>
  <c r="GJ45"/>
  <c r="GK45"/>
  <c r="GL45"/>
  <c r="GM45"/>
  <c r="GN45"/>
  <c r="GO45"/>
  <c r="GP45"/>
  <c r="GQ45"/>
  <c r="GR45"/>
  <c r="GS45"/>
  <c r="GT45"/>
  <c r="GU45"/>
  <c r="GV45"/>
  <c r="GW45"/>
  <c r="GX45"/>
  <c r="GY45"/>
  <c r="GZ45"/>
  <c r="HA45"/>
  <c r="HB45"/>
  <c r="HC45"/>
  <c r="HD45"/>
  <c r="HE45"/>
  <c r="HF45"/>
  <c r="HG45"/>
  <c r="HH45"/>
  <c r="HI45"/>
  <c r="HJ45"/>
  <c r="HK45"/>
  <c r="HL45"/>
  <c r="HM45"/>
  <c r="HN45"/>
  <c r="HO45"/>
  <c r="HP45"/>
  <c r="HQ45"/>
  <c r="HR45"/>
  <c r="HS45"/>
  <c r="HT45"/>
  <c r="HU45"/>
  <c r="HV45"/>
  <c r="HW45"/>
  <c r="HX45"/>
  <c r="HY45"/>
  <c r="HZ45"/>
  <c r="IA45"/>
  <c r="IB45"/>
  <c r="IC45"/>
  <c r="ID45"/>
  <c r="IE45"/>
  <c r="IF45"/>
  <c r="IG45"/>
  <c r="IH45"/>
  <c r="II45"/>
  <c r="IJ45"/>
  <c r="IK45"/>
  <c r="IL45"/>
  <c r="IM45"/>
  <c r="IN45"/>
  <c r="IO45"/>
  <c r="IP45"/>
  <c r="IQ45"/>
  <c r="IR45"/>
  <c r="IS45"/>
  <c r="IT45"/>
  <c r="IU45"/>
  <c r="IV45"/>
  <c r="A44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CZ44"/>
  <c r="DA44"/>
  <c r="DB44"/>
  <c r="DC44"/>
  <c r="DD44"/>
  <c r="DE44"/>
  <c r="DF44"/>
  <c r="DG44"/>
  <c r="DH44"/>
  <c r="DI44"/>
  <c r="DJ44"/>
  <c r="DK44"/>
  <c r="DL44"/>
  <c r="DM44"/>
  <c r="DN44"/>
  <c r="DO44"/>
  <c r="DP44"/>
  <c r="DQ44"/>
  <c r="DR44"/>
  <c r="DS44"/>
  <c r="DT44"/>
  <c r="DU44"/>
  <c r="DV44"/>
  <c r="DW44"/>
  <c r="DX44"/>
  <c r="DY44"/>
  <c r="DZ44"/>
  <c r="EA44"/>
  <c r="EB44"/>
  <c r="EC44"/>
  <c r="ED44"/>
  <c r="EE44"/>
  <c r="EF44"/>
  <c r="EG44"/>
  <c r="EH44"/>
  <c r="EI44"/>
  <c r="EJ44"/>
  <c r="EK44"/>
  <c r="EL44"/>
  <c r="EM44"/>
  <c r="EN44"/>
  <c r="EO44"/>
  <c r="EP44"/>
  <c r="EQ44"/>
  <c r="ER44"/>
  <c r="ES44"/>
  <c r="ET44"/>
  <c r="EU44"/>
  <c r="EV44"/>
  <c r="EW44"/>
  <c r="EX44"/>
  <c r="EY44"/>
  <c r="EZ44"/>
  <c r="FA44"/>
  <c r="FB44"/>
  <c r="FC44"/>
  <c r="FD44"/>
  <c r="FE44"/>
  <c r="FF44"/>
  <c r="FG44"/>
  <c r="FH44"/>
  <c r="FI44"/>
  <c r="FJ44"/>
  <c r="FK44"/>
  <c r="FL44"/>
  <c r="FM44"/>
  <c r="FN44"/>
  <c r="FO44"/>
  <c r="FP44"/>
  <c r="FQ44"/>
  <c r="FR44"/>
  <c r="FS44"/>
  <c r="FT44"/>
  <c r="FU44"/>
  <c r="FV44"/>
  <c r="FW44"/>
  <c r="FX44"/>
  <c r="FY44"/>
  <c r="FZ44"/>
  <c r="GA44"/>
  <c r="GB44"/>
  <c r="GC44"/>
  <c r="GD44"/>
  <c r="GE44"/>
  <c r="GF44"/>
  <c r="GG44"/>
  <c r="GH44"/>
  <c r="GI44"/>
  <c r="GJ44"/>
  <c r="GK44"/>
  <c r="GL44"/>
  <c r="GM44"/>
  <c r="GN44"/>
  <c r="GO44"/>
  <c r="GP44"/>
  <c r="GQ44"/>
  <c r="GR44"/>
  <c r="GS44"/>
  <c r="GT44"/>
  <c r="GU44"/>
  <c r="GV44"/>
  <c r="GW44"/>
  <c r="GX44"/>
  <c r="GY44"/>
  <c r="GZ44"/>
  <c r="HA44"/>
  <c r="HB44"/>
  <c r="HC44"/>
  <c r="HD44"/>
  <c r="HE44"/>
  <c r="HF44"/>
  <c r="HG44"/>
  <c r="HH44"/>
  <c r="HI44"/>
  <c r="HJ44"/>
  <c r="HK44"/>
  <c r="HL44"/>
  <c r="HM44"/>
  <c r="HN44"/>
  <c r="HO44"/>
  <c r="HP44"/>
  <c r="HQ44"/>
  <c r="HR44"/>
  <c r="HS44"/>
  <c r="HT44"/>
  <c r="HU44"/>
  <c r="HV44"/>
  <c r="HW44"/>
  <c r="HX44"/>
  <c r="HY44"/>
  <c r="HZ44"/>
  <c r="IA44"/>
  <c r="IB44"/>
  <c r="IC44"/>
  <c r="ID44"/>
  <c r="IE44"/>
  <c r="IF44"/>
  <c r="IG44"/>
  <c r="IH44"/>
  <c r="II44"/>
  <c r="IJ44"/>
  <c r="IK44"/>
  <c r="IL44"/>
  <c r="IM44"/>
  <c r="IN44"/>
  <c r="IO44"/>
  <c r="IP44"/>
  <c r="IQ44"/>
  <c r="IR44"/>
  <c r="IS44"/>
  <c r="IT44"/>
  <c r="IU44"/>
  <c r="IV44"/>
  <c r="A43"/>
  <c r="B43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CZ43"/>
  <c r="DA43"/>
  <c r="DB43"/>
  <c r="DC43"/>
  <c r="DD43"/>
  <c r="DE43"/>
  <c r="DF43"/>
  <c r="DG43"/>
  <c r="DH43"/>
  <c r="DI43"/>
  <c r="DJ43"/>
  <c r="DK43"/>
  <c r="DL43"/>
  <c r="DM43"/>
  <c r="DN43"/>
  <c r="DO43"/>
  <c r="DP43"/>
  <c r="DQ43"/>
  <c r="DR43"/>
  <c r="DS43"/>
  <c r="DT43"/>
  <c r="DU43"/>
  <c r="DV43"/>
  <c r="DW43"/>
  <c r="DX43"/>
  <c r="DY43"/>
  <c r="DZ43"/>
  <c r="EA43"/>
  <c r="EB43"/>
  <c r="EC43"/>
  <c r="ED43"/>
  <c r="EE43"/>
  <c r="EF43"/>
  <c r="EG43"/>
  <c r="EH43"/>
  <c r="EI43"/>
  <c r="EJ43"/>
  <c r="EK43"/>
  <c r="EL43"/>
  <c r="EM43"/>
  <c r="EN43"/>
  <c r="EO43"/>
  <c r="EP43"/>
  <c r="EQ43"/>
  <c r="ER43"/>
  <c r="ES43"/>
  <c r="ET43"/>
  <c r="EU43"/>
  <c r="EV43"/>
  <c r="EW43"/>
  <c r="EX43"/>
  <c r="EY43"/>
  <c r="EZ43"/>
  <c r="FA43"/>
  <c r="FB43"/>
  <c r="FC43"/>
  <c r="FD43"/>
  <c r="FE43"/>
  <c r="FF43"/>
  <c r="FG43"/>
  <c r="FH43"/>
  <c r="FI43"/>
  <c r="FJ43"/>
  <c r="FK43"/>
  <c r="FL43"/>
  <c r="FM43"/>
  <c r="FN43"/>
  <c r="FO43"/>
  <c r="FP43"/>
  <c r="FQ43"/>
  <c r="FR43"/>
  <c r="FS43"/>
  <c r="FT43"/>
  <c r="FU43"/>
  <c r="FV43"/>
  <c r="FW43"/>
  <c r="FX43"/>
  <c r="FY43"/>
  <c r="FZ43"/>
  <c r="GA43"/>
  <c r="GB43"/>
  <c r="GC43"/>
  <c r="GD43"/>
  <c r="GE43"/>
  <c r="GF43"/>
  <c r="GG43"/>
  <c r="GH43"/>
  <c r="GI43"/>
  <c r="GJ43"/>
  <c r="GK43"/>
  <c r="GL43"/>
  <c r="GM43"/>
  <c r="GN43"/>
  <c r="GO43"/>
  <c r="GP43"/>
  <c r="GQ43"/>
  <c r="GR43"/>
  <c r="GS43"/>
  <c r="GT43"/>
  <c r="GU43"/>
  <c r="GV43"/>
  <c r="GW43"/>
  <c r="GX43"/>
  <c r="GY43"/>
  <c r="GZ43"/>
  <c r="HA43"/>
  <c r="HB43"/>
  <c r="HC43"/>
  <c r="HD43"/>
  <c r="HE43"/>
  <c r="HF43"/>
  <c r="HG43"/>
  <c r="HH43"/>
  <c r="HI43"/>
  <c r="HJ43"/>
  <c r="HK43"/>
  <c r="HL43"/>
  <c r="HM43"/>
  <c r="HN43"/>
  <c r="HO43"/>
  <c r="HP43"/>
  <c r="HQ43"/>
  <c r="HR43"/>
  <c r="HS43"/>
  <c r="HT43"/>
  <c r="HU43"/>
  <c r="HV43"/>
  <c r="HW43"/>
  <c r="HX43"/>
  <c r="HY43"/>
  <c r="HZ43"/>
  <c r="IA43"/>
  <c r="IB43"/>
  <c r="IC43"/>
  <c r="ID43"/>
  <c r="IE43"/>
  <c r="IF43"/>
  <c r="IG43"/>
  <c r="IH43"/>
  <c r="II43"/>
  <c r="IJ43"/>
  <c r="IK43"/>
  <c r="IL43"/>
  <c r="IM43"/>
  <c r="IN43"/>
  <c r="IO43"/>
  <c r="IP43"/>
  <c r="IQ43"/>
  <c r="IR43"/>
  <c r="IS43"/>
  <c r="IT43"/>
  <c r="IU43"/>
  <c r="IV43"/>
  <c r="A42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CZ42"/>
  <c r="DA42"/>
  <c r="DB42"/>
  <c r="DC42"/>
  <c r="DD42"/>
  <c r="DE42"/>
  <c r="DF42"/>
  <c r="DG42"/>
  <c r="DH42"/>
  <c r="DI42"/>
  <c r="DJ42"/>
  <c r="DK42"/>
  <c r="DL42"/>
  <c r="DM42"/>
  <c r="DN42"/>
  <c r="DO42"/>
  <c r="DP42"/>
  <c r="DQ42"/>
  <c r="DR42"/>
  <c r="DS42"/>
  <c r="DT42"/>
  <c r="DU42"/>
  <c r="DV42"/>
  <c r="DW42"/>
  <c r="DX42"/>
  <c r="DY42"/>
  <c r="DZ42"/>
  <c r="EA42"/>
  <c r="EB42"/>
  <c r="EC42"/>
  <c r="ED42"/>
  <c r="EE42"/>
  <c r="EF42"/>
  <c r="EG42"/>
  <c r="EH42"/>
  <c r="EI42"/>
  <c r="EJ42"/>
  <c r="EK42"/>
  <c r="EL42"/>
  <c r="EM42"/>
  <c r="EN42"/>
  <c r="EO42"/>
  <c r="EP42"/>
  <c r="EQ42"/>
  <c r="ER42"/>
  <c r="ES42"/>
  <c r="ET42"/>
  <c r="EU42"/>
  <c r="EV42"/>
  <c r="EW42"/>
  <c r="EX42"/>
  <c r="EY42"/>
  <c r="EZ42"/>
  <c r="FA42"/>
  <c r="FB42"/>
  <c r="FC42"/>
  <c r="FD42"/>
  <c r="FE42"/>
  <c r="FF42"/>
  <c r="FG42"/>
  <c r="FH42"/>
  <c r="FI42"/>
  <c r="FJ42"/>
  <c r="FK42"/>
  <c r="FL42"/>
  <c r="FM42"/>
  <c r="FN42"/>
  <c r="FO42"/>
  <c r="FP42"/>
  <c r="FQ42"/>
  <c r="FR42"/>
  <c r="FS42"/>
  <c r="FT42"/>
  <c r="FU42"/>
  <c r="FV42"/>
  <c r="FW42"/>
  <c r="FX42"/>
  <c r="FY42"/>
  <c r="FZ42"/>
  <c r="GA42"/>
  <c r="GB42"/>
  <c r="GC42"/>
  <c r="GD42"/>
  <c r="GE42"/>
  <c r="GF42"/>
  <c r="GG42"/>
  <c r="GH42"/>
  <c r="GI42"/>
  <c r="GJ42"/>
  <c r="GK42"/>
  <c r="GL42"/>
  <c r="GM42"/>
  <c r="GN42"/>
  <c r="GO42"/>
  <c r="GP42"/>
  <c r="GQ42"/>
  <c r="GR42"/>
  <c r="GS42"/>
  <c r="GT42"/>
  <c r="GU42"/>
  <c r="GV42"/>
  <c r="GW42"/>
  <c r="GX42"/>
  <c r="GY42"/>
  <c r="GZ42"/>
  <c r="HA42"/>
  <c r="HB42"/>
  <c r="HC42"/>
  <c r="HD42"/>
  <c r="HE42"/>
  <c r="HF42"/>
  <c r="HG42"/>
  <c r="HH42"/>
  <c r="HI42"/>
  <c r="HJ42"/>
  <c r="HK42"/>
  <c r="HL42"/>
  <c r="HM42"/>
  <c r="HN42"/>
  <c r="HO42"/>
  <c r="HP42"/>
  <c r="HQ42"/>
  <c r="HR42"/>
  <c r="HS42"/>
  <c r="HT42"/>
  <c r="HU42"/>
  <c r="HV42"/>
  <c r="HW42"/>
  <c r="HX42"/>
  <c r="HY42"/>
  <c r="HZ42"/>
  <c r="IA42"/>
  <c r="IB42"/>
  <c r="IC42"/>
  <c r="ID42"/>
  <c r="IE42"/>
  <c r="IF42"/>
  <c r="IG42"/>
  <c r="IH42"/>
  <c r="II42"/>
  <c r="IJ42"/>
  <c r="IK42"/>
  <c r="IL42"/>
  <c r="IM42"/>
  <c r="IN42"/>
  <c r="IO42"/>
  <c r="IP42"/>
  <c r="IQ42"/>
  <c r="IR42"/>
  <c r="IS42"/>
  <c r="IT42"/>
  <c r="IU42"/>
  <c r="IV42"/>
  <c r="A41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CZ41"/>
  <c r="DA41"/>
  <c r="DB41"/>
  <c r="DC41"/>
  <c r="DD41"/>
  <c r="DE41"/>
  <c r="DF41"/>
  <c r="DG41"/>
  <c r="DH41"/>
  <c r="DI41"/>
  <c r="DJ41"/>
  <c r="DK41"/>
  <c r="DL41"/>
  <c r="DM41"/>
  <c r="DN41"/>
  <c r="DO41"/>
  <c r="DP41"/>
  <c r="DQ41"/>
  <c r="DR41"/>
  <c r="DS41"/>
  <c r="DT41"/>
  <c r="DU41"/>
  <c r="DV41"/>
  <c r="DW41"/>
  <c r="DX41"/>
  <c r="DY41"/>
  <c r="DZ41"/>
  <c r="EA41"/>
  <c r="EB41"/>
  <c r="EC41"/>
  <c r="ED41"/>
  <c r="EE41"/>
  <c r="EF41"/>
  <c r="EG41"/>
  <c r="EH41"/>
  <c r="EI41"/>
  <c r="EJ41"/>
  <c r="EK41"/>
  <c r="EL41"/>
  <c r="EM41"/>
  <c r="EN41"/>
  <c r="EO41"/>
  <c r="EP41"/>
  <c r="EQ41"/>
  <c r="ER41"/>
  <c r="ES41"/>
  <c r="ET41"/>
  <c r="EU41"/>
  <c r="EV41"/>
  <c r="EW41"/>
  <c r="EX41"/>
  <c r="EY41"/>
  <c r="EZ41"/>
  <c r="FA41"/>
  <c r="FB41"/>
  <c r="FC41"/>
  <c r="FD41"/>
  <c r="FE41"/>
  <c r="FF41"/>
  <c r="FG41"/>
  <c r="FH41"/>
  <c r="FI41"/>
  <c r="FJ41"/>
  <c r="FK41"/>
  <c r="FL41"/>
  <c r="FM41"/>
  <c r="FN41"/>
  <c r="FO41"/>
  <c r="FP41"/>
  <c r="FQ41"/>
  <c r="FR41"/>
  <c r="FS41"/>
  <c r="FT41"/>
  <c r="FU41"/>
  <c r="FV41"/>
  <c r="FW41"/>
  <c r="FX41"/>
  <c r="FY41"/>
  <c r="FZ41"/>
  <c r="GA41"/>
  <c r="GB41"/>
  <c r="GC41"/>
  <c r="GD41"/>
  <c r="GE41"/>
  <c r="GF41"/>
  <c r="GG41"/>
  <c r="GH41"/>
  <c r="GI41"/>
  <c r="GJ41"/>
  <c r="GK41"/>
  <c r="GL41"/>
  <c r="GM41"/>
  <c r="GN41"/>
  <c r="GO41"/>
  <c r="GP41"/>
  <c r="GQ41"/>
  <c r="GR41"/>
  <c r="GS41"/>
  <c r="GT41"/>
  <c r="GU41"/>
  <c r="GV41"/>
  <c r="GW41"/>
  <c r="GX41"/>
  <c r="GY41"/>
  <c r="GZ41"/>
  <c r="HA41"/>
  <c r="HB41"/>
  <c r="HC41"/>
  <c r="HD41"/>
  <c r="HE41"/>
  <c r="HF41"/>
  <c r="HG41"/>
  <c r="HH41"/>
  <c r="HI41"/>
  <c r="HJ41"/>
  <c r="HK41"/>
  <c r="HL41"/>
  <c r="HM41"/>
  <c r="HN41"/>
  <c r="HO41"/>
  <c r="HP41"/>
  <c r="HQ41"/>
  <c r="HR41"/>
  <c r="HS41"/>
  <c r="HT41"/>
  <c r="HU41"/>
  <c r="HV41"/>
  <c r="HW41"/>
  <c r="HX41"/>
  <c r="HY41"/>
  <c r="HZ41"/>
  <c r="IA41"/>
  <c r="IB41"/>
  <c r="IC41"/>
  <c r="ID41"/>
  <c r="IE41"/>
  <c r="IF41"/>
  <c r="IG41"/>
  <c r="IH41"/>
  <c r="II41"/>
  <c r="IJ41"/>
  <c r="IK41"/>
  <c r="IL41"/>
  <c r="IM41"/>
  <c r="IN41"/>
  <c r="IO41"/>
  <c r="IP41"/>
  <c r="IQ41"/>
  <c r="IR41"/>
  <c r="IS41"/>
  <c r="IT41"/>
  <c r="IU41"/>
  <c r="IV41"/>
  <c r="A40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CZ40"/>
  <c r="DA40"/>
  <c r="DB40"/>
  <c r="DC40"/>
  <c r="DD40"/>
  <c r="DE40"/>
  <c r="DF40"/>
  <c r="DG40"/>
  <c r="DH40"/>
  <c r="DI40"/>
  <c r="DJ40"/>
  <c r="DK40"/>
  <c r="DL40"/>
  <c r="DM40"/>
  <c r="DN40"/>
  <c r="DO40"/>
  <c r="DP40"/>
  <c r="DQ40"/>
  <c r="DR40"/>
  <c r="DS40"/>
  <c r="DT40"/>
  <c r="DU40"/>
  <c r="DV40"/>
  <c r="DW40"/>
  <c r="DX40"/>
  <c r="DY40"/>
  <c r="DZ40"/>
  <c r="EA40"/>
  <c r="EB40"/>
  <c r="EC40"/>
  <c r="ED40"/>
  <c r="EE40"/>
  <c r="EF40"/>
  <c r="EG40"/>
  <c r="EH40"/>
  <c r="EI40"/>
  <c r="EJ40"/>
  <c r="EK40"/>
  <c r="EL40"/>
  <c r="EM40"/>
  <c r="EN40"/>
  <c r="EO40"/>
  <c r="EP40"/>
  <c r="EQ40"/>
  <c r="ER40"/>
  <c r="ES40"/>
  <c r="ET40"/>
  <c r="EU40"/>
  <c r="EV40"/>
  <c r="EW40"/>
  <c r="EX40"/>
  <c r="EY40"/>
  <c r="EZ40"/>
  <c r="FA40"/>
  <c r="FB40"/>
  <c r="FC40"/>
  <c r="FD40"/>
  <c r="FE40"/>
  <c r="FF40"/>
  <c r="FG40"/>
  <c r="FH40"/>
  <c r="FI40"/>
  <c r="FJ40"/>
  <c r="FK40"/>
  <c r="FL40"/>
  <c r="FM40"/>
  <c r="FN40"/>
  <c r="FO40"/>
  <c r="FP40"/>
  <c r="FQ40"/>
  <c r="FR40"/>
  <c r="FS40"/>
  <c r="FT40"/>
  <c r="FU40"/>
  <c r="FV40"/>
  <c r="FW40"/>
  <c r="FX40"/>
  <c r="FY40"/>
  <c r="FZ40"/>
  <c r="GA40"/>
  <c r="GB40"/>
  <c r="GC40"/>
  <c r="GD40"/>
  <c r="GE40"/>
  <c r="GF40"/>
  <c r="GG40"/>
  <c r="GH40"/>
  <c r="GI40"/>
  <c r="GJ40"/>
  <c r="GK40"/>
  <c r="GL40"/>
  <c r="GM40"/>
  <c r="GN40"/>
  <c r="GO40"/>
  <c r="GP40"/>
  <c r="GQ40"/>
  <c r="GR40"/>
  <c r="GS40"/>
  <c r="GT40"/>
  <c r="GU40"/>
  <c r="GV40"/>
  <c r="GW40"/>
  <c r="GX40"/>
  <c r="GY40"/>
  <c r="GZ40"/>
  <c r="HA40"/>
  <c r="HB40"/>
  <c r="HC40"/>
  <c r="HD40"/>
  <c r="HE40"/>
  <c r="HF40"/>
  <c r="HG40"/>
  <c r="HH40"/>
  <c r="HI40"/>
  <c r="HJ40"/>
  <c r="HK40"/>
  <c r="HL40"/>
  <c r="HM40"/>
  <c r="HN40"/>
  <c r="HO40"/>
  <c r="HP40"/>
  <c r="HQ40"/>
  <c r="HR40"/>
  <c r="HS40"/>
  <c r="HT40"/>
  <c r="HU40"/>
  <c r="HV40"/>
  <c r="HW40"/>
  <c r="HX40"/>
  <c r="HY40"/>
  <c r="HZ40"/>
  <c r="IA40"/>
  <c r="IB40"/>
  <c r="IC40"/>
  <c r="ID40"/>
  <c r="IE40"/>
  <c r="IF40"/>
  <c r="IG40"/>
  <c r="IH40"/>
  <c r="II40"/>
  <c r="IJ40"/>
  <c r="IK40"/>
  <c r="IL40"/>
  <c r="IM40"/>
  <c r="IN40"/>
  <c r="IO40"/>
  <c r="IP40"/>
  <c r="IQ40"/>
  <c r="IR40"/>
  <c r="IS40"/>
  <c r="IT40"/>
  <c r="IU40"/>
  <c r="IV40"/>
  <c r="A39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CZ39"/>
  <c r="DA39"/>
  <c r="DB39"/>
  <c r="DC39"/>
  <c r="DD39"/>
  <c r="DE39"/>
  <c r="DF39"/>
  <c r="DG39"/>
  <c r="DH39"/>
  <c r="DI39"/>
  <c r="DJ39"/>
  <c r="DK39"/>
  <c r="DL39"/>
  <c r="DM39"/>
  <c r="DN39"/>
  <c r="DO39"/>
  <c r="DP39"/>
  <c r="DQ39"/>
  <c r="DR39"/>
  <c r="DS39"/>
  <c r="DT39"/>
  <c r="DU39"/>
  <c r="DV39"/>
  <c r="DW39"/>
  <c r="DX39"/>
  <c r="DY39"/>
  <c r="DZ39"/>
  <c r="EA39"/>
  <c r="EB39"/>
  <c r="EC39"/>
  <c r="ED39"/>
  <c r="EE39"/>
  <c r="EF39"/>
  <c r="EG39"/>
  <c r="EH39"/>
  <c r="EI39"/>
  <c r="EJ39"/>
  <c r="EK39"/>
  <c r="EL39"/>
  <c r="EM39"/>
  <c r="EN39"/>
  <c r="EO39"/>
  <c r="EP39"/>
  <c r="EQ39"/>
  <c r="ER39"/>
  <c r="ES39"/>
  <c r="ET39"/>
  <c r="EU39"/>
  <c r="EV39"/>
  <c r="EW39"/>
  <c r="EX39"/>
  <c r="EY39"/>
  <c r="EZ39"/>
  <c r="FA39"/>
  <c r="FB39"/>
  <c r="FC39"/>
  <c r="FD39"/>
  <c r="FE39"/>
  <c r="FF39"/>
  <c r="FG39"/>
  <c r="FH39"/>
  <c r="FI39"/>
  <c r="FJ39"/>
  <c r="FK39"/>
  <c r="FL39"/>
  <c r="FM39"/>
  <c r="FN39"/>
  <c r="FO39"/>
  <c r="FP39"/>
  <c r="FQ39"/>
  <c r="FR39"/>
  <c r="FS39"/>
  <c r="FT39"/>
  <c r="FU39"/>
  <c r="FV39"/>
  <c r="FW39"/>
  <c r="FX39"/>
  <c r="FY39"/>
  <c r="FZ39"/>
  <c r="GA39"/>
  <c r="GB39"/>
  <c r="GC39"/>
  <c r="GD39"/>
  <c r="GE39"/>
  <c r="GF39"/>
  <c r="GG39"/>
  <c r="GH39"/>
  <c r="GI39"/>
  <c r="GJ39"/>
  <c r="GK39"/>
  <c r="GL39"/>
  <c r="GM39"/>
  <c r="GN39"/>
  <c r="GO39"/>
  <c r="GP39"/>
  <c r="GQ39"/>
  <c r="GR39"/>
  <c r="GS39"/>
  <c r="GT39"/>
  <c r="GU39"/>
  <c r="GV39"/>
  <c r="GW39"/>
  <c r="GX39"/>
  <c r="GY39"/>
  <c r="GZ39"/>
  <c r="HA39"/>
  <c r="HB39"/>
  <c r="HC39"/>
  <c r="HD39"/>
  <c r="HE39"/>
  <c r="HF39"/>
  <c r="HG39"/>
  <c r="HH39"/>
  <c r="HI39"/>
  <c r="HJ39"/>
  <c r="HK39"/>
  <c r="HL39"/>
  <c r="HM39"/>
  <c r="HN39"/>
  <c r="HO39"/>
  <c r="HP39"/>
  <c r="HQ39"/>
  <c r="HR39"/>
  <c r="HS39"/>
  <c r="HT39"/>
  <c r="HU39"/>
  <c r="HV39"/>
  <c r="HW39"/>
  <c r="HX39"/>
  <c r="HY39"/>
  <c r="HZ39"/>
  <c r="IA39"/>
  <c r="IB39"/>
  <c r="IC39"/>
  <c r="ID39"/>
  <c r="IE39"/>
  <c r="IF39"/>
  <c r="IG39"/>
  <c r="IH39"/>
  <c r="II39"/>
  <c r="IJ39"/>
  <c r="IK39"/>
  <c r="IL39"/>
  <c r="IM39"/>
  <c r="IN39"/>
  <c r="IO39"/>
  <c r="IP39"/>
  <c r="IQ39"/>
  <c r="IR39"/>
  <c r="IS39"/>
  <c r="IT39"/>
  <c r="IU39"/>
  <c r="IV39"/>
  <c r="A38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CZ38"/>
  <c r="DA38"/>
  <c r="DB38"/>
  <c r="DC38"/>
  <c r="DD38"/>
  <c r="DE38"/>
  <c r="DF38"/>
  <c r="DG38"/>
  <c r="DH38"/>
  <c r="DI38"/>
  <c r="DJ38"/>
  <c r="DK38"/>
  <c r="DL38"/>
  <c r="DM38"/>
  <c r="DN38"/>
  <c r="DO38"/>
  <c r="DP38"/>
  <c r="DQ38"/>
  <c r="DR38"/>
  <c r="DS38"/>
  <c r="DT38"/>
  <c r="DU38"/>
  <c r="DV38"/>
  <c r="DW38"/>
  <c r="DX38"/>
  <c r="DY38"/>
  <c r="DZ38"/>
  <c r="EA38"/>
  <c r="EB38"/>
  <c r="EC38"/>
  <c r="ED38"/>
  <c r="EE38"/>
  <c r="EF38"/>
  <c r="EG38"/>
  <c r="EH38"/>
  <c r="EI38"/>
  <c r="EJ38"/>
  <c r="EK38"/>
  <c r="EL38"/>
  <c r="EM38"/>
  <c r="EN38"/>
  <c r="EO38"/>
  <c r="EP38"/>
  <c r="EQ38"/>
  <c r="ER38"/>
  <c r="ES38"/>
  <c r="ET38"/>
  <c r="EU38"/>
  <c r="EV38"/>
  <c r="EW38"/>
  <c r="EX38"/>
  <c r="EY38"/>
  <c r="EZ38"/>
  <c r="FA38"/>
  <c r="FB38"/>
  <c r="FC38"/>
  <c r="FD38"/>
  <c r="FE38"/>
  <c r="FF38"/>
  <c r="FG38"/>
  <c r="FH38"/>
  <c r="FI38"/>
  <c r="FJ38"/>
  <c r="FK38"/>
  <c r="FL38"/>
  <c r="FM38"/>
  <c r="FN38"/>
  <c r="FO38"/>
  <c r="FP38"/>
  <c r="FQ38"/>
  <c r="FR38"/>
  <c r="FS38"/>
  <c r="FT38"/>
  <c r="FU38"/>
  <c r="FV38"/>
  <c r="FW38"/>
  <c r="FX38"/>
  <c r="FY38"/>
  <c r="FZ38"/>
  <c r="GA38"/>
  <c r="GB38"/>
  <c r="GC38"/>
  <c r="GD38"/>
  <c r="GE38"/>
  <c r="GF38"/>
  <c r="GG38"/>
  <c r="GH38"/>
  <c r="GI38"/>
  <c r="GJ38"/>
  <c r="GK38"/>
  <c r="GL38"/>
  <c r="GM38"/>
  <c r="GN38"/>
  <c r="GO38"/>
  <c r="GP38"/>
  <c r="GQ38"/>
  <c r="GR38"/>
  <c r="GS38"/>
  <c r="GT38"/>
  <c r="GU38"/>
  <c r="GV38"/>
  <c r="GW38"/>
  <c r="GX38"/>
  <c r="GY38"/>
  <c r="GZ38"/>
  <c r="HA38"/>
  <c r="HB38"/>
  <c r="HC38"/>
  <c r="HD38"/>
  <c r="HE38"/>
  <c r="HF38"/>
  <c r="HG38"/>
  <c r="HH38"/>
  <c r="HI38"/>
  <c r="HJ38"/>
  <c r="HK38"/>
  <c r="HL38"/>
  <c r="HM38"/>
  <c r="HN38"/>
  <c r="HO38"/>
  <c r="HP38"/>
  <c r="HQ38"/>
  <c r="HR38"/>
  <c r="HS38"/>
  <c r="HT38"/>
  <c r="HU38"/>
  <c r="HV38"/>
  <c r="HW38"/>
  <c r="HX38"/>
  <c r="HY38"/>
  <c r="HZ38"/>
  <c r="IA38"/>
  <c r="IB38"/>
  <c r="IC38"/>
  <c r="ID38"/>
  <c r="IE38"/>
  <c r="IF38"/>
  <c r="IG38"/>
  <c r="IH38"/>
  <c r="II38"/>
  <c r="IJ38"/>
  <c r="IK38"/>
  <c r="IL38"/>
  <c r="IM38"/>
  <c r="IN38"/>
  <c r="IO38"/>
  <c r="IP38"/>
  <c r="IQ38"/>
  <c r="IR38"/>
  <c r="IS38"/>
  <c r="IT38"/>
  <c r="IU38"/>
  <c r="IV38"/>
  <c r="A37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CZ37"/>
  <c r="DA37"/>
  <c r="DB37"/>
  <c r="DC37"/>
  <c r="DD37"/>
  <c r="DE37"/>
  <c r="DF37"/>
  <c r="DG37"/>
  <c r="DH37"/>
  <c r="DI37"/>
  <c r="DJ37"/>
  <c r="DK37"/>
  <c r="DL37"/>
  <c r="DM37"/>
  <c r="DN37"/>
  <c r="DO37"/>
  <c r="DP37"/>
  <c r="DQ37"/>
  <c r="DR37"/>
  <c r="DS37"/>
  <c r="DT37"/>
  <c r="DU37"/>
  <c r="DV37"/>
  <c r="DW37"/>
  <c r="DX37"/>
  <c r="DY37"/>
  <c r="DZ37"/>
  <c r="EA37"/>
  <c r="EB37"/>
  <c r="EC37"/>
  <c r="ED37"/>
  <c r="EE37"/>
  <c r="EF37"/>
  <c r="EG37"/>
  <c r="EH37"/>
  <c r="EI37"/>
  <c r="EJ37"/>
  <c r="EK37"/>
  <c r="EL37"/>
  <c r="EM37"/>
  <c r="EN37"/>
  <c r="EO37"/>
  <c r="EP37"/>
  <c r="EQ37"/>
  <c r="ER37"/>
  <c r="ES37"/>
  <c r="ET37"/>
  <c r="EU37"/>
  <c r="EV37"/>
  <c r="EW37"/>
  <c r="EX37"/>
  <c r="EY37"/>
  <c r="EZ37"/>
  <c r="FA37"/>
  <c r="FB37"/>
  <c r="FC37"/>
  <c r="FD37"/>
  <c r="FE37"/>
  <c r="FF37"/>
  <c r="FG37"/>
  <c r="FH37"/>
  <c r="FI37"/>
  <c r="FJ37"/>
  <c r="FK37"/>
  <c r="FL37"/>
  <c r="FM37"/>
  <c r="FN37"/>
  <c r="FO37"/>
  <c r="FP37"/>
  <c r="FQ37"/>
  <c r="FR37"/>
  <c r="FS37"/>
  <c r="FT37"/>
  <c r="FU37"/>
  <c r="FV37"/>
  <c r="FW37"/>
  <c r="FX37"/>
  <c r="FY37"/>
  <c r="FZ37"/>
  <c r="GA37"/>
  <c r="GB37"/>
  <c r="GC37"/>
  <c r="GD37"/>
  <c r="GE37"/>
  <c r="GF37"/>
  <c r="GG37"/>
  <c r="GH37"/>
  <c r="GI37"/>
  <c r="GJ37"/>
  <c r="GK37"/>
  <c r="GL37"/>
  <c r="GM37"/>
  <c r="GN37"/>
  <c r="GO37"/>
  <c r="GP37"/>
  <c r="GQ37"/>
  <c r="GR37"/>
  <c r="GS37"/>
  <c r="GT37"/>
  <c r="GU37"/>
  <c r="GV37"/>
  <c r="GW37"/>
  <c r="GX37"/>
  <c r="GY37"/>
  <c r="GZ37"/>
  <c r="HA37"/>
  <c r="HB37"/>
  <c r="HC37"/>
  <c r="HD37"/>
  <c r="HE37"/>
  <c r="HF37"/>
  <c r="HG37"/>
  <c r="HH37"/>
  <c r="HI37"/>
  <c r="HJ37"/>
  <c r="HK37"/>
  <c r="HL37"/>
  <c r="HM37"/>
  <c r="HN37"/>
  <c r="HO37"/>
  <c r="HP37"/>
  <c r="HQ37"/>
  <c r="HR37"/>
  <c r="HS37"/>
  <c r="HT37"/>
  <c r="HU37"/>
  <c r="HV37"/>
  <c r="HW37"/>
  <c r="HX37"/>
  <c r="HY37"/>
  <c r="HZ37"/>
  <c r="IA37"/>
  <c r="IB37"/>
  <c r="IC37"/>
  <c r="ID37"/>
  <c r="IE37"/>
  <c r="IF37"/>
  <c r="IG37"/>
  <c r="IH37"/>
  <c r="II37"/>
  <c r="IJ37"/>
  <c r="IK37"/>
  <c r="IL37"/>
  <c r="IM37"/>
  <c r="IN37"/>
  <c r="IO37"/>
  <c r="IP37"/>
  <c r="IQ37"/>
  <c r="IR37"/>
  <c r="IS37"/>
  <c r="IT37"/>
  <c r="IU37"/>
  <c r="IV37"/>
  <c r="A36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CZ36"/>
  <c r="DA36"/>
  <c r="DB36"/>
  <c r="DC36"/>
  <c r="DD36"/>
  <c r="DE36"/>
  <c r="DF36"/>
  <c r="DG36"/>
  <c r="DH36"/>
  <c r="DI36"/>
  <c r="DJ36"/>
  <c r="DK36"/>
  <c r="DL36"/>
  <c r="DM36"/>
  <c r="DN36"/>
  <c r="DO36"/>
  <c r="DP36"/>
  <c r="DQ36"/>
  <c r="DR36"/>
  <c r="DS36"/>
  <c r="DT36"/>
  <c r="DU36"/>
  <c r="DV36"/>
  <c r="DW36"/>
  <c r="DX36"/>
  <c r="DY36"/>
  <c r="DZ36"/>
  <c r="EA36"/>
  <c r="EB36"/>
  <c r="EC36"/>
  <c r="ED36"/>
  <c r="EE36"/>
  <c r="EF36"/>
  <c r="EG36"/>
  <c r="EH36"/>
  <c r="EI36"/>
  <c r="EJ36"/>
  <c r="EK36"/>
  <c r="EL36"/>
  <c r="EM36"/>
  <c r="EN36"/>
  <c r="EO36"/>
  <c r="EP36"/>
  <c r="EQ36"/>
  <c r="ER36"/>
  <c r="ES36"/>
  <c r="ET36"/>
  <c r="EU36"/>
  <c r="EV36"/>
  <c r="EW36"/>
  <c r="EX36"/>
  <c r="EY36"/>
  <c r="EZ36"/>
  <c r="FA36"/>
  <c r="FB36"/>
  <c r="FC36"/>
  <c r="FD36"/>
  <c r="FE36"/>
  <c r="FF36"/>
  <c r="FG36"/>
  <c r="FH36"/>
  <c r="FI36"/>
  <c r="FJ36"/>
  <c r="FK36"/>
  <c r="FL36"/>
  <c r="FM36"/>
  <c r="FN36"/>
  <c r="FO36"/>
  <c r="FP36"/>
  <c r="FQ36"/>
  <c r="FR36"/>
  <c r="FS36"/>
  <c r="FT36"/>
  <c r="FU36"/>
  <c r="FV36"/>
  <c r="FW36"/>
  <c r="FX36"/>
  <c r="FY36"/>
  <c r="FZ36"/>
  <c r="GA36"/>
  <c r="GB36"/>
  <c r="GC36"/>
  <c r="GD36"/>
  <c r="GE36"/>
  <c r="GF36"/>
  <c r="GG36"/>
  <c r="GH36"/>
  <c r="GI36"/>
  <c r="GJ36"/>
  <c r="GK36"/>
  <c r="GL36"/>
  <c r="GM36"/>
  <c r="GN36"/>
  <c r="GO36"/>
  <c r="GP36"/>
  <c r="GQ36"/>
  <c r="GR36"/>
  <c r="GS36"/>
  <c r="GT36"/>
  <c r="GU36"/>
  <c r="GV36"/>
  <c r="GW36"/>
  <c r="GX36"/>
  <c r="GY36"/>
  <c r="GZ36"/>
  <c r="HA36"/>
  <c r="HB36"/>
  <c r="HC36"/>
  <c r="HD36"/>
  <c r="HE36"/>
  <c r="HF36"/>
  <c r="HG36"/>
  <c r="HH36"/>
  <c r="HI36"/>
  <c r="HJ36"/>
  <c r="HK36"/>
  <c r="HL36"/>
  <c r="HM36"/>
  <c r="HN36"/>
  <c r="HO36"/>
  <c r="HP36"/>
  <c r="HQ36"/>
  <c r="HR36"/>
  <c r="HS36"/>
  <c r="HT36"/>
  <c r="HU36"/>
  <c r="HV36"/>
  <c r="HW36"/>
  <c r="HX36"/>
  <c r="HY36"/>
  <c r="HZ36"/>
  <c r="IA36"/>
  <c r="IB36"/>
  <c r="IC36"/>
  <c r="ID36"/>
  <c r="IE36"/>
  <c r="IF36"/>
  <c r="IG36"/>
  <c r="IH36"/>
  <c r="II36"/>
  <c r="IJ36"/>
  <c r="IK36"/>
  <c r="IL36"/>
  <c r="IM36"/>
  <c r="IN36"/>
  <c r="IO36"/>
  <c r="IP36"/>
  <c r="IQ36"/>
  <c r="IR36"/>
  <c r="IS36"/>
  <c r="IT36"/>
  <c r="IU36"/>
  <c r="IV36"/>
  <c r="A35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CZ35"/>
  <c r="DA35"/>
  <c r="DB35"/>
  <c r="DC35"/>
  <c r="DD35"/>
  <c r="DE35"/>
  <c r="DF35"/>
  <c r="DG35"/>
  <c r="DH35"/>
  <c r="DI35"/>
  <c r="DJ35"/>
  <c r="DK35"/>
  <c r="DL35"/>
  <c r="DM35"/>
  <c r="DN35"/>
  <c r="DO35"/>
  <c r="DP35"/>
  <c r="DQ35"/>
  <c r="DR35"/>
  <c r="DS35"/>
  <c r="DT35"/>
  <c r="DU35"/>
  <c r="DV35"/>
  <c r="DW35"/>
  <c r="DX35"/>
  <c r="DY35"/>
  <c r="DZ35"/>
  <c r="EA35"/>
  <c r="EB35"/>
  <c r="EC35"/>
  <c r="ED35"/>
  <c r="EE35"/>
  <c r="EF35"/>
  <c r="EG35"/>
  <c r="EH35"/>
  <c r="EI35"/>
  <c r="EJ35"/>
  <c r="EK35"/>
  <c r="EL35"/>
  <c r="EM35"/>
  <c r="EN35"/>
  <c r="EO35"/>
  <c r="EP35"/>
  <c r="EQ35"/>
  <c r="ER35"/>
  <c r="ES35"/>
  <c r="ET35"/>
  <c r="EU35"/>
  <c r="EV35"/>
  <c r="EW35"/>
  <c r="EX35"/>
  <c r="EY35"/>
  <c r="EZ35"/>
  <c r="FA35"/>
  <c r="FB35"/>
  <c r="FC35"/>
  <c r="FD35"/>
  <c r="FE35"/>
  <c r="FF35"/>
  <c r="FG35"/>
  <c r="FH35"/>
  <c r="FI35"/>
  <c r="FJ35"/>
  <c r="FK35"/>
  <c r="FL35"/>
  <c r="FM35"/>
  <c r="FN35"/>
  <c r="FO35"/>
  <c r="FP35"/>
  <c r="FQ35"/>
  <c r="FR35"/>
  <c r="FS35"/>
  <c r="FT35"/>
  <c r="FU35"/>
  <c r="FV35"/>
  <c r="FW35"/>
  <c r="FX35"/>
  <c r="FY35"/>
  <c r="FZ35"/>
  <c r="GA35"/>
  <c r="GB35"/>
  <c r="GC35"/>
  <c r="GD35"/>
  <c r="GE35"/>
  <c r="GF35"/>
  <c r="GG35"/>
  <c r="GH35"/>
  <c r="GI35"/>
  <c r="GJ35"/>
  <c r="GK35"/>
  <c r="GL35"/>
  <c r="GM35"/>
  <c r="GN35"/>
  <c r="GO35"/>
  <c r="GP35"/>
  <c r="GQ35"/>
  <c r="GR35"/>
  <c r="GS35"/>
  <c r="GT35"/>
  <c r="GU35"/>
  <c r="GV35"/>
  <c r="GW35"/>
  <c r="GX35"/>
  <c r="GY35"/>
  <c r="GZ35"/>
  <c r="HA35"/>
  <c r="HB35"/>
  <c r="HC35"/>
  <c r="HD35"/>
  <c r="HE35"/>
  <c r="HF35"/>
  <c r="HG35"/>
  <c r="HH35"/>
  <c r="HI35"/>
  <c r="HJ35"/>
  <c r="HK35"/>
  <c r="HL35"/>
  <c r="HM35"/>
  <c r="HN35"/>
  <c r="HO35"/>
  <c r="HP35"/>
  <c r="HQ35"/>
  <c r="HR35"/>
  <c r="HS35"/>
  <c r="HT35"/>
  <c r="HU35"/>
  <c r="HV35"/>
  <c r="HW35"/>
  <c r="HX35"/>
  <c r="HY35"/>
  <c r="HZ35"/>
  <c r="IA35"/>
  <c r="IB35"/>
  <c r="IC35"/>
  <c r="ID35"/>
  <c r="IE35"/>
  <c r="IF35"/>
  <c r="IG35"/>
  <c r="IH35"/>
  <c r="II35"/>
  <c r="IJ35"/>
  <c r="IK35"/>
  <c r="IL35"/>
  <c r="IM35"/>
  <c r="IN35"/>
  <c r="IO35"/>
  <c r="IP35"/>
  <c r="IQ35"/>
  <c r="IR35"/>
  <c r="IS35"/>
  <c r="IT35"/>
  <c r="IU35"/>
  <c r="IV35"/>
  <c r="A34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CZ34"/>
  <c r="DA34"/>
  <c r="DB34"/>
  <c r="DC34"/>
  <c r="DD34"/>
  <c r="DE34"/>
  <c r="DF34"/>
  <c r="DG34"/>
  <c r="DH34"/>
  <c r="DI34"/>
  <c r="DJ34"/>
  <c r="DK34"/>
  <c r="DL34"/>
  <c r="DM34"/>
  <c r="DN34"/>
  <c r="DO34"/>
  <c r="DP34"/>
  <c r="DQ34"/>
  <c r="DR34"/>
  <c r="DS34"/>
  <c r="DT34"/>
  <c r="DU34"/>
  <c r="DV34"/>
  <c r="DW34"/>
  <c r="DX34"/>
  <c r="DY34"/>
  <c r="DZ34"/>
  <c r="EA34"/>
  <c r="EB34"/>
  <c r="EC34"/>
  <c r="ED34"/>
  <c r="EE34"/>
  <c r="EF34"/>
  <c r="EG34"/>
  <c r="EH34"/>
  <c r="EI34"/>
  <c r="EJ34"/>
  <c r="EK34"/>
  <c r="EL34"/>
  <c r="EM34"/>
  <c r="EN34"/>
  <c r="EO34"/>
  <c r="EP34"/>
  <c r="EQ34"/>
  <c r="ER34"/>
  <c r="ES34"/>
  <c r="ET34"/>
  <c r="EU34"/>
  <c r="EV34"/>
  <c r="EW34"/>
  <c r="EX34"/>
  <c r="EY34"/>
  <c r="EZ34"/>
  <c r="FA34"/>
  <c r="FB34"/>
  <c r="FC34"/>
  <c r="FD34"/>
  <c r="FE34"/>
  <c r="FF34"/>
  <c r="FG34"/>
  <c r="FH34"/>
  <c r="FI34"/>
  <c r="FJ34"/>
  <c r="FK34"/>
  <c r="FL34"/>
  <c r="FM34"/>
  <c r="FN34"/>
  <c r="FO34"/>
  <c r="FP34"/>
  <c r="FQ34"/>
  <c r="FR34"/>
  <c r="FS34"/>
  <c r="FT34"/>
  <c r="FU34"/>
  <c r="FV34"/>
  <c r="FW34"/>
  <c r="FX34"/>
  <c r="FY34"/>
  <c r="FZ34"/>
  <c r="GA34"/>
  <c r="GB34"/>
  <c r="GC34"/>
  <c r="GD34"/>
  <c r="GE34"/>
  <c r="GF34"/>
  <c r="GG34"/>
  <c r="GH34"/>
  <c r="GI34"/>
  <c r="GJ34"/>
  <c r="GK34"/>
  <c r="GL34"/>
  <c r="GM34"/>
  <c r="GN34"/>
  <c r="GO34"/>
  <c r="GP34"/>
  <c r="GQ34"/>
  <c r="GR34"/>
  <c r="GS34"/>
  <c r="GT34"/>
  <c r="GU34"/>
  <c r="GV34"/>
  <c r="GW34"/>
  <c r="GX34"/>
  <c r="GY34"/>
  <c r="GZ34"/>
  <c r="HA34"/>
  <c r="HB34"/>
  <c r="HC34"/>
  <c r="HD34"/>
  <c r="HE34"/>
  <c r="HF34"/>
  <c r="HG34"/>
  <c r="HH34"/>
  <c r="HI34"/>
  <c r="HJ34"/>
  <c r="HK34"/>
  <c r="HL34"/>
  <c r="HM34"/>
  <c r="HN34"/>
  <c r="HO34"/>
  <c r="HP34"/>
  <c r="HQ34"/>
  <c r="HR34"/>
  <c r="HS34"/>
  <c r="HT34"/>
  <c r="HU34"/>
  <c r="HV34"/>
  <c r="HW34"/>
  <c r="HX34"/>
  <c r="HY34"/>
  <c r="HZ34"/>
  <c r="IA34"/>
  <c r="IB34"/>
  <c r="IC34"/>
  <c r="ID34"/>
  <c r="IE34"/>
  <c r="IF34"/>
  <c r="IG34"/>
  <c r="IH34"/>
  <c r="II34"/>
  <c r="IJ34"/>
  <c r="IK34"/>
  <c r="IL34"/>
  <c r="IM34"/>
  <c r="IN34"/>
  <c r="IO34"/>
  <c r="IP34"/>
  <c r="IQ34"/>
  <c r="IR34"/>
  <c r="IS34"/>
  <c r="IT34"/>
  <c r="IU34"/>
  <c r="IV34"/>
  <c r="A33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CZ33"/>
  <c r="DA33"/>
  <c r="DB33"/>
  <c r="DC33"/>
  <c r="DD33"/>
  <c r="DE33"/>
  <c r="DF33"/>
  <c r="DG33"/>
  <c r="DH33"/>
  <c r="DI33"/>
  <c r="DJ33"/>
  <c r="DK33"/>
  <c r="DL33"/>
  <c r="DM33"/>
  <c r="DN33"/>
  <c r="DO33"/>
  <c r="DP33"/>
  <c r="DQ33"/>
  <c r="DR33"/>
  <c r="DS33"/>
  <c r="DT33"/>
  <c r="DU33"/>
  <c r="DV33"/>
  <c r="DW33"/>
  <c r="DX33"/>
  <c r="DY33"/>
  <c r="DZ33"/>
  <c r="EA33"/>
  <c r="EB33"/>
  <c r="EC33"/>
  <c r="ED33"/>
  <c r="EE33"/>
  <c r="EF33"/>
  <c r="EG33"/>
  <c r="EH33"/>
  <c r="EI33"/>
  <c r="EJ33"/>
  <c r="EK33"/>
  <c r="EL33"/>
  <c r="EM33"/>
  <c r="EN33"/>
  <c r="EO33"/>
  <c r="EP33"/>
  <c r="EQ33"/>
  <c r="ER33"/>
  <c r="ES33"/>
  <c r="ET33"/>
  <c r="EU33"/>
  <c r="EV33"/>
  <c r="EW33"/>
  <c r="EX33"/>
  <c r="EY33"/>
  <c r="EZ33"/>
  <c r="FA33"/>
  <c r="FB33"/>
  <c r="FC33"/>
  <c r="FD33"/>
  <c r="FE33"/>
  <c r="FF33"/>
  <c r="FG33"/>
  <c r="FH33"/>
  <c r="FI33"/>
  <c r="FJ33"/>
  <c r="FK33"/>
  <c r="FL33"/>
  <c r="FM33"/>
  <c r="FN33"/>
  <c r="FO33"/>
  <c r="FP33"/>
  <c r="FQ33"/>
  <c r="FR33"/>
  <c r="FS33"/>
  <c r="FT33"/>
  <c r="FU33"/>
  <c r="FV33"/>
  <c r="FW33"/>
  <c r="FX33"/>
  <c r="FY33"/>
  <c r="FZ33"/>
  <c r="GA33"/>
  <c r="GB33"/>
  <c r="GC33"/>
  <c r="GD33"/>
  <c r="GE33"/>
  <c r="GF33"/>
  <c r="GG33"/>
  <c r="GH33"/>
  <c r="GI33"/>
  <c r="GJ33"/>
  <c r="GK33"/>
  <c r="GL33"/>
  <c r="GM33"/>
  <c r="GN33"/>
  <c r="GO33"/>
  <c r="GP33"/>
  <c r="GQ33"/>
  <c r="GR33"/>
  <c r="GS33"/>
  <c r="GT33"/>
  <c r="GU33"/>
  <c r="GV33"/>
  <c r="GW33"/>
  <c r="GX33"/>
  <c r="GY33"/>
  <c r="GZ33"/>
  <c r="HA33"/>
  <c r="HB33"/>
  <c r="HC33"/>
  <c r="HD33"/>
  <c r="HE33"/>
  <c r="HF33"/>
  <c r="HG33"/>
  <c r="HH33"/>
  <c r="HI33"/>
  <c r="HJ33"/>
  <c r="HK33"/>
  <c r="HL33"/>
  <c r="HM33"/>
  <c r="HN33"/>
  <c r="HO33"/>
  <c r="HP33"/>
  <c r="HQ33"/>
  <c r="HR33"/>
  <c r="HS33"/>
  <c r="HT33"/>
  <c r="HU33"/>
  <c r="HV33"/>
  <c r="HW33"/>
  <c r="HX33"/>
  <c r="HY33"/>
  <c r="HZ33"/>
  <c r="IA33"/>
  <c r="IB33"/>
  <c r="IC33"/>
  <c r="ID33"/>
  <c r="IE33"/>
  <c r="IF33"/>
  <c r="IG33"/>
  <c r="IH33"/>
  <c r="II33"/>
  <c r="IJ33"/>
  <c r="IK33"/>
  <c r="IL33"/>
  <c r="IM33"/>
  <c r="IN33"/>
  <c r="IO33"/>
  <c r="IP33"/>
  <c r="IQ33"/>
  <c r="IR33"/>
  <c r="IS33"/>
  <c r="IT33"/>
  <c r="IU33"/>
  <c r="IV33"/>
  <c r="A32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CZ32"/>
  <c r="DA32"/>
  <c r="DB32"/>
  <c r="DC32"/>
  <c r="DD32"/>
  <c r="DE32"/>
  <c r="DF32"/>
  <c r="DG32"/>
  <c r="DH32"/>
  <c r="DI32"/>
  <c r="DJ32"/>
  <c r="DK32"/>
  <c r="DL32"/>
  <c r="DM32"/>
  <c r="DN32"/>
  <c r="DO32"/>
  <c r="DP32"/>
  <c r="DQ32"/>
  <c r="DR32"/>
  <c r="DS32"/>
  <c r="DT32"/>
  <c r="DU32"/>
  <c r="DV32"/>
  <c r="DW32"/>
  <c r="DX32"/>
  <c r="DY32"/>
  <c r="DZ32"/>
  <c r="EA32"/>
  <c r="EB32"/>
  <c r="EC32"/>
  <c r="ED32"/>
  <c r="EE32"/>
  <c r="EF32"/>
  <c r="EG32"/>
  <c r="EH32"/>
  <c r="EI32"/>
  <c r="EJ32"/>
  <c r="EK32"/>
  <c r="EL32"/>
  <c r="EM32"/>
  <c r="EN32"/>
  <c r="EO32"/>
  <c r="EP32"/>
  <c r="EQ32"/>
  <c r="ER32"/>
  <c r="ES32"/>
  <c r="ET32"/>
  <c r="EU32"/>
  <c r="EV32"/>
  <c r="EW32"/>
  <c r="EX32"/>
  <c r="EY32"/>
  <c r="EZ32"/>
  <c r="FA32"/>
  <c r="FB32"/>
  <c r="FC32"/>
  <c r="FD32"/>
  <c r="FE32"/>
  <c r="FF32"/>
  <c r="FG32"/>
  <c r="FH32"/>
  <c r="FI32"/>
  <c r="FJ32"/>
  <c r="FK32"/>
  <c r="FL32"/>
  <c r="FM32"/>
  <c r="FN32"/>
  <c r="FO32"/>
  <c r="FP32"/>
  <c r="FQ32"/>
  <c r="FR32"/>
  <c r="FS32"/>
  <c r="FT32"/>
  <c r="FU32"/>
  <c r="FV32"/>
  <c r="FW32"/>
  <c r="FX32"/>
  <c r="FY32"/>
  <c r="FZ32"/>
  <c r="GA32"/>
  <c r="GB32"/>
  <c r="GC32"/>
  <c r="GD32"/>
  <c r="GE32"/>
  <c r="GF32"/>
  <c r="GG32"/>
  <c r="GH32"/>
  <c r="GI32"/>
  <c r="GJ32"/>
  <c r="GK32"/>
  <c r="GL32"/>
  <c r="GM32"/>
  <c r="GN32"/>
  <c r="GO32"/>
  <c r="GP32"/>
  <c r="GQ32"/>
  <c r="GR32"/>
  <c r="GS32"/>
  <c r="GT32"/>
  <c r="GU32"/>
  <c r="GV32"/>
  <c r="GW32"/>
  <c r="GX32"/>
  <c r="GY32"/>
  <c r="GZ32"/>
  <c r="HA32"/>
  <c r="HB32"/>
  <c r="HC32"/>
  <c r="HD32"/>
  <c r="HE32"/>
  <c r="HF32"/>
  <c r="HG32"/>
  <c r="HH32"/>
  <c r="HI32"/>
  <c r="HJ32"/>
  <c r="HK32"/>
  <c r="HL32"/>
  <c r="HM32"/>
  <c r="HN32"/>
  <c r="HO32"/>
  <c r="HP32"/>
  <c r="HQ32"/>
  <c r="HR32"/>
  <c r="HS32"/>
  <c r="HT32"/>
  <c r="HU32"/>
  <c r="HV32"/>
  <c r="HW32"/>
  <c r="HX32"/>
  <c r="HY32"/>
  <c r="HZ32"/>
  <c r="IA32"/>
  <c r="IB32"/>
  <c r="IC32"/>
  <c r="ID32"/>
  <c r="IE32"/>
  <c r="IF32"/>
  <c r="IG32"/>
  <c r="IH32"/>
  <c r="II32"/>
  <c r="IJ32"/>
  <c r="IK32"/>
  <c r="IL32"/>
  <c r="IM32"/>
  <c r="IN32"/>
  <c r="IO32"/>
  <c r="IP32"/>
  <c r="IQ32"/>
  <c r="IR32"/>
  <c r="IS32"/>
  <c r="IT32"/>
  <c r="IU32"/>
  <c r="IV32"/>
  <c r="A31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CZ31"/>
  <c r="DA31"/>
  <c r="DB31"/>
  <c r="DC31"/>
  <c r="DD31"/>
  <c r="DE31"/>
  <c r="DF31"/>
  <c r="DG31"/>
  <c r="DH31"/>
  <c r="DI31"/>
  <c r="DJ31"/>
  <c r="DK31"/>
  <c r="DL31"/>
  <c r="DM31"/>
  <c r="DN31"/>
  <c r="DO31"/>
  <c r="DP31"/>
  <c r="DQ31"/>
  <c r="DR31"/>
  <c r="DS31"/>
  <c r="DT31"/>
  <c r="DU31"/>
  <c r="DV31"/>
  <c r="DW31"/>
  <c r="DX31"/>
  <c r="DY31"/>
  <c r="DZ31"/>
  <c r="EA31"/>
  <c r="EB31"/>
  <c r="EC31"/>
  <c r="ED31"/>
  <c r="EE31"/>
  <c r="EF31"/>
  <c r="EG31"/>
  <c r="EH31"/>
  <c r="EI31"/>
  <c r="EJ31"/>
  <c r="EK31"/>
  <c r="EL31"/>
  <c r="EM31"/>
  <c r="EN31"/>
  <c r="EO31"/>
  <c r="EP31"/>
  <c r="EQ31"/>
  <c r="ER31"/>
  <c r="ES31"/>
  <c r="ET31"/>
  <c r="EU31"/>
  <c r="EV31"/>
  <c r="EW31"/>
  <c r="EX31"/>
  <c r="EY31"/>
  <c r="EZ31"/>
  <c r="FA31"/>
  <c r="FB31"/>
  <c r="FC31"/>
  <c r="FD31"/>
  <c r="FE31"/>
  <c r="FF31"/>
  <c r="FG31"/>
  <c r="FH31"/>
  <c r="FI31"/>
  <c r="FJ31"/>
  <c r="FK31"/>
  <c r="FL31"/>
  <c r="FM31"/>
  <c r="FN31"/>
  <c r="FO31"/>
  <c r="FP31"/>
  <c r="FQ31"/>
  <c r="FR31"/>
  <c r="FS31"/>
  <c r="FT31"/>
  <c r="FU31"/>
  <c r="FV31"/>
  <c r="FW31"/>
  <c r="FX31"/>
  <c r="FY31"/>
  <c r="FZ31"/>
  <c r="GA31"/>
  <c r="GB31"/>
  <c r="GC31"/>
  <c r="GD31"/>
  <c r="GE31"/>
  <c r="GF31"/>
  <c r="GG31"/>
  <c r="GH31"/>
  <c r="GI31"/>
  <c r="GJ31"/>
  <c r="GK31"/>
  <c r="GL31"/>
  <c r="GM31"/>
  <c r="GN31"/>
  <c r="GO31"/>
  <c r="GP31"/>
  <c r="GQ31"/>
  <c r="GR31"/>
  <c r="GS31"/>
  <c r="GT31"/>
  <c r="GU31"/>
  <c r="GV31"/>
  <c r="GW31"/>
  <c r="GX31"/>
  <c r="GY31"/>
  <c r="GZ31"/>
  <c r="HA31"/>
  <c r="HB31"/>
  <c r="HC31"/>
  <c r="HD31"/>
  <c r="HE31"/>
  <c r="HF31"/>
  <c r="HG31"/>
  <c r="HH31"/>
  <c r="HI31"/>
  <c r="HJ31"/>
  <c r="HK31"/>
  <c r="HL31"/>
  <c r="HM31"/>
  <c r="HN31"/>
  <c r="HO31"/>
  <c r="HP31"/>
  <c r="HQ31"/>
  <c r="HR31"/>
  <c r="HS31"/>
  <c r="HT31"/>
  <c r="HU31"/>
  <c r="HV31"/>
  <c r="HW31"/>
  <c r="HX31"/>
  <c r="HY31"/>
  <c r="HZ31"/>
  <c r="IA31"/>
  <c r="IB31"/>
  <c r="IC31"/>
  <c r="ID31"/>
  <c r="IE31"/>
  <c r="IF31"/>
  <c r="IG31"/>
  <c r="IH31"/>
  <c r="II31"/>
  <c r="IJ31"/>
  <c r="IK31"/>
  <c r="IL31"/>
  <c r="IM31"/>
  <c r="IN31"/>
  <c r="IO31"/>
  <c r="IP31"/>
  <c r="IQ31"/>
  <c r="IR31"/>
  <c r="IS31"/>
  <c r="IT31"/>
  <c r="IU31"/>
  <c r="IV31"/>
  <c r="A30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D30"/>
  <c r="EE30"/>
  <c r="EF30"/>
  <c r="EG30"/>
  <c r="EH30"/>
  <c r="EI30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FJ30"/>
  <c r="FK30"/>
  <c r="FL30"/>
  <c r="FM30"/>
  <c r="FN30"/>
  <c r="FO30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S30"/>
  <c r="GT30"/>
  <c r="GU30"/>
  <c r="GV30"/>
  <c r="GW30"/>
  <c r="GX30"/>
  <c r="GY30"/>
  <c r="GZ30"/>
  <c r="HA30"/>
  <c r="HB30"/>
  <c r="HC30"/>
  <c r="HD30"/>
  <c r="HE30"/>
  <c r="HF30"/>
  <c r="HG30"/>
  <c r="HH30"/>
  <c r="HI30"/>
  <c r="HJ30"/>
  <c r="HK30"/>
  <c r="HL30"/>
  <c r="HM30"/>
  <c r="HN30"/>
  <c r="HO30"/>
  <c r="HP30"/>
  <c r="HQ30"/>
  <c r="HR30"/>
  <c r="HS30"/>
  <c r="HT30"/>
  <c r="HU30"/>
  <c r="HV30"/>
  <c r="HW30"/>
  <c r="HX30"/>
  <c r="HY30"/>
  <c r="HZ30"/>
  <c r="IA30"/>
  <c r="IB30"/>
  <c r="IC30"/>
  <c r="ID30"/>
  <c r="IE30"/>
  <c r="IF30"/>
  <c r="IG30"/>
  <c r="IH30"/>
  <c r="II30"/>
  <c r="IJ30"/>
  <c r="IK30"/>
  <c r="IL30"/>
  <c r="IM30"/>
  <c r="IN30"/>
  <c r="IO30"/>
  <c r="IP30"/>
  <c r="IQ30"/>
  <c r="IR30"/>
  <c r="IS30"/>
  <c r="IT30"/>
  <c r="IU30"/>
  <c r="IV30"/>
  <c r="A29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CZ29"/>
  <c r="DA29"/>
  <c r="DB29"/>
  <c r="DC29"/>
  <c r="DD29"/>
  <c r="DE29"/>
  <c r="DF29"/>
  <c r="DG29"/>
  <c r="DH29"/>
  <c r="DI29"/>
  <c r="DJ29"/>
  <c r="DK29"/>
  <c r="DL29"/>
  <c r="DM29"/>
  <c r="DN29"/>
  <c r="DO29"/>
  <c r="DP29"/>
  <c r="DQ29"/>
  <c r="DR29"/>
  <c r="DS29"/>
  <c r="DT29"/>
  <c r="DU29"/>
  <c r="DV29"/>
  <c r="DW29"/>
  <c r="DX29"/>
  <c r="DY29"/>
  <c r="DZ29"/>
  <c r="EA29"/>
  <c r="EB29"/>
  <c r="EC29"/>
  <c r="ED29"/>
  <c r="EE29"/>
  <c r="EF29"/>
  <c r="EG29"/>
  <c r="EH29"/>
  <c r="EI29"/>
  <c r="EJ29"/>
  <c r="EK29"/>
  <c r="EL29"/>
  <c r="EM29"/>
  <c r="EN29"/>
  <c r="EO29"/>
  <c r="EP29"/>
  <c r="EQ29"/>
  <c r="ER29"/>
  <c r="ES29"/>
  <c r="ET29"/>
  <c r="EU29"/>
  <c r="EV29"/>
  <c r="EW29"/>
  <c r="EX29"/>
  <c r="EY29"/>
  <c r="EZ29"/>
  <c r="FA29"/>
  <c r="FB29"/>
  <c r="FC29"/>
  <c r="FD29"/>
  <c r="FE29"/>
  <c r="FF29"/>
  <c r="FG29"/>
  <c r="FH29"/>
  <c r="FI29"/>
  <c r="FJ29"/>
  <c r="FK29"/>
  <c r="FL29"/>
  <c r="FM29"/>
  <c r="FN29"/>
  <c r="FO29"/>
  <c r="FP29"/>
  <c r="FQ29"/>
  <c r="FR29"/>
  <c r="FS29"/>
  <c r="FT29"/>
  <c r="FU29"/>
  <c r="FV29"/>
  <c r="FW29"/>
  <c r="FX29"/>
  <c r="FY29"/>
  <c r="FZ29"/>
  <c r="GA29"/>
  <c r="GB29"/>
  <c r="GC29"/>
  <c r="GD29"/>
  <c r="GE29"/>
  <c r="GF29"/>
  <c r="GG29"/>
  <c r="GH29"/>
  <c r="GI29"/>
  <c r="GJ29"/>
  <c r="GK29"/>
  <c r="GL29"/>
  <c r="GM29"/>
  <c r="GN29"/>
  <c r="GO29"/>
  <c r="GP29"/>
  <c r="GQ29"/>
  <c r="GR29"/>
  <c r="GS29"/>
  <c r="GT29"/>
  <c r="GU29"/>
  <c r="GV29"/>
  <c r="GW29"/>
  <c r="GX29"/>
  <c r="GY29"/>
  <c r="GZ29"/>
  <c r="HA29"/>
  <c r="HB29"/>
  <c r="HC29"/>
  <c r="HD29"/>
  <c r="HE29"/>
  <c r="HF29"/>
  <c r="HG29"/>
  <c r="HH29"/>
  <c r="HI29"/>
  <c r="HJ29"/>
  <c r="HK29"/>
  <c r="HL29"/>
  <c r="HM29"/>
  <c r="HN29"/>
  <c r="HO29"/>
  <c r="HP29"/>
  <c r="HQ29"/>
  <c r="HR29"/>
  <c r="HS29"/>
  <c r="HT29"/>
  <c r="HU29"/>
  <c r="HV29"/>
  <c r="HW29"/>
  <c r="HX29"/>
  <c r="HY29"/>
  <c r="HZ29"/>
  <c r="IA29"/>
  <c r="IB29"/>
  <c r="IC29"/>
  <c r="ID29"/>
  <c r="IE29"/>
  <c r="IF29"/>
  <c r="IG29"/>
  <c r="IH29"/>
  <c r="II29"/>
  <c r="IJ29"/>
  <c r="IK29"/>
  <c r="IL29"/>
  <c r="IM29"/>
  <c r="IN29"/>
  <c r="IO29"/>
  <c r="IP29"/>
  <c r="IQ29"/>
  <c r="IR29"/>
  <c r="IS29"/>
  <c r="IT29"/>
  <c r="IU29"/>
  <c r="IV29"/>
  <c r="A28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CZ28"/>
  <c r="DA28"/>
  <c r="DB28"/>
  <c r="DC28"/>
  <c r="DD28"/>
  <c r="DE28"/>
  <c r="DF28"/>
  <c r="DG28"/>
  <c r="DH28"/>
  <c r="DI28"/>
  <c r="DJ28"/>
  <c r="DK28"/>
  <c r="DL28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ED28"/>
  <c r="EE28"/>
  <c r="EF28"/>
  <c r="EG28"/>
  <c r="EH28"/>
  <c r="EI28"/>
  <c r="EJ28"/>
  <c r="EK28"/>
  <c r="EL28"/>
  <c r="EM28"/>
  <c r="EN28"/>
  <c r="EO28"/>
  <c r="EP28"/>
  <c r="EQ28"/>
  <c r="ER28"/>
  <c r="ES28"/>
  <c r="ET28"/>
  <c r="EU28"/>
  <c r="EV28"/>
  <c r="EW28"/>
  <c r="EX28"/>
  <c r="EY28"/>
  <c r="EZ28"/>
  <c r="FA28"/>
  <c r="FB28"/>
  <c r="FC28"/>
  <c r="FD28"/>
  <c r="FE28"/>
  <c r="FF28"/>
  <c r="FG28"/>
  <c r="FH28"/>
  <c r="FI28"/>
  <c r="FJ28"/>
  <c r="FK28"/>
  <c r="FL28"/>
  <c r="FM28"/>
  <c r="FN28"/>
  <c r="FO28"/>
  <c r="FP28"/>
  <c r="FQ28"/>
  <c r="FR28"/>
  <c r="FS28"/>
  <c r="FT28"/>
  <c r="FU28"/>
  <c r="FV28"/>
  <c r="FW28"/>
  <c r="FX28"/>
  <c r="FY28"/>
  <c r="FZ28"/>
  <c r="GA28"/>
  <c r="GB28"/>
  <c r="GC28"/>
  <c r="GD28"/>
  <c r="GE28"/>
  <c r="GF28"/>
  <c r="GG28"/>
  <c r="GH28"/>
  <c r="GI28"/>
  <c r="GJ28"/>
  <c r="GK28"/>
  <c r="GL28"/>
  <c r="GM28"/>
  <c r="GN28"/>
  <c r="GO28"/>
  <c r="GP28"/>
  <c r="GQ28"/>
  <c r="GR28"/>
  <c r="GS28"/>
  <c r="GT28"/>
  <c r="GU28"/>
  <c r="GV28"/>
  <c r="GW28"/>
  <c r="GX28"/>
  <c r="GY28"/>
  <c r="GZ28"/>
  <c r="HA28"/>
  <c r="HB28"/>
  <c r="HC28"/>
  <c r="HD28"/>
  <c r="HE28"/>
  <c r="HF28"/>
  <c r="HG28"/>
  <c r="HH28"/>
  <c r="HI28"/>
  <c r="HJ28"/>
  <c r="HK28"/>
  <c r="HL28"/>
  <c r="HM28"/>
  <c r="HN28"/>
  <c r="HO28"/>
  <c r="HP28"/>
  <c r="HQ28"/>
  <c r="HR28"/>
  <c r="HS28"/>
  <c r="HT28"/>
  <c r="HU28"/>
  <c r="HV28"/>
  <c r="HW28"/>
  <c r="HX28"/>
  <c r="HY28"/>
  <c r="HZ28"/>
  <c r="IA28"/>
  <c r="IB28"/>
  <c r="IC28"/>
  <c r="ID28"/>
  <c r="IE28"/>
  <c r="IF28"/>
  <c r="IG28"/>
  <c r="IH28"/>
  <c r="II28"/>
  <c r="IJ28"/>
  <c r="IK28"/>
  <c r="IL28"/>
  <c r="IM28"/>
  <c r="IN28"/>
  <c r="IO28"/>
  <c r="IP28"/>
  <c r="IQ28"/>
  <c r="IR28"/>
  <c r="IS28"/>
  <c r="IT28"/>
  <c r="IU28"/>
  <c r="IV28"/>
  <c r="A27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CZ27"/>
  <c r="DA27"/>
  <c r="DB27"/>
  <c r="DC27"/>
  <c r="DD27"/>
  <c r="DE27"/>
  <c r="DF27"/>
  <c r="DG27"/>
  <c r="DH27"/>
  <c r="DI27"/>
  <c r="DJ27"/>
  <c r="DK27"/>
  <c r="DL27"/>
  <c r="DM27"/>
  <c r="DN27"/>
  <c r="DO27"/>
  <c r="DP27"/>
  <c r="DQ27"/>
  <c r="DR27"/>
  <c r="DS27"/>
  <c r="DT27"/>
  <c r="DU27"/>
  <c r="DV27"/>
  <c r="DW27"/>
  <c r="DX27"/>
  <c r="DY27"/>
  <c r="DZ27"/>
  <c r="EA27"/>
  <c r="EB27"/>
  <c r="EC27"/>
  <c r="ED27"/>
  <c r="EE27"/>
  <c r="EF27"/>
  <c r="EG27"/>
  <c r="EH27"/>
  <c r="EI27"/>
  <c r="EJ27"/>
  <c r="EK27"/>
  <c r="EL27"/>
  <c r="EM27"/>
  <c r="EN27"/>
  <c r="EO27"/>
  <c r="EP27"/>
  <c r="EQ27"/>
  <c r="ER27"/>
  <c r="ES27"/>
  <c r="ET27"/>
  <c r="EU27"/>
  <c r="EV27"/>
  <c r="EW27"/>
  <c r="EX27"/>
  <c r="EY27"/>
  <c r="EZ27"/>
  <c r="FA27"/>
  <c r="FB27"/>
  <c r="FC27"/>
  <c r="FD27"/>
  <c r="FE27"/>
  <c r="FF27"/>
  <c r="FG27"/>
  <c r="FH27"/>
  <c r="FI27"/>
  <c r="FJ27"/>
  <c r="FK27"/>
  <c r="FL27"/>
  <c r="FM27"/>
  <c r="FN27"/>
  <c r="FO27"/>
  <c r="FP27"/>
  <c r="FQ27"/>
  <c r="FR27"/>
  <c r="FS27"/>
  <c r="FT27"/>
  <c r="FU27"/>
  <c r="FV27"/>
  <c r="FW27"/>
  <c r="FX27"/>
  <c r="FY27"/>
  <c r="FZ27"/>
  <c r="GA27"/>
  <c r="GB27"/>
  <c r="GC27"/>
  <c r="GD27"/>
  <c r="GE27"/>
  <c r="GF27"/>
  <c r="GG27"/>
  <c r="GH27"/>
  <c r="GI27"/>
  <c r="GJ27"/>
  <c r="GK27"/>
  <c r="GL27"/>
  <c r="GM27"/>
  <c r="GN27"/>
  <c r="GO27"/>
  <c r="GP27"/>
  <c r="GQ27"/>
  <c r="GR27"/>
  <c r="GS27"/>
  <c r="GT27"/>
  <c r="GU27"/>
  <c r="GV27"/>
  <c r="GW27"/>
  <c r="GX27"/>
  <c r="GY27"/>
  <c r="GZ27"/>
  <c r="HA27"/>
  <c r="HB27"/>
  <c r="HC27"/>
  <c r="HD27"/>
  <c r="HE27"/>
  <c r="HF27"/>
  <c r="HG27"/>
  <c r="HH27"/>
  <c r="HI27"/>
  <c r="HJ27"/>
  <c r="HK27"/>
  <c r="HL27"/>
  <c r="HM27"/>
  <c r="HN27"/>
  <c r="HO27"/>
  <c r="HP27"/>
  <c r="HQ27"/>
  <c r="HR27"/>
  <c r="HS27"/>
  <c r="HT27"/>
  <c r="HU27"/>
  <c r="HV27"/>
  <c r="HW27"/>
  <c r="HX27"/>
  <c r="HY27"/>
  <c r="HZ27"/>
  <c r="IA27"/>
  <c r="IB27"/>
  <c r="IC27"/>
  <c r="ID27"/>
  <c r="IE27"/>
  <c r="IF27"/>
  <c r="IG27"/>
  <c r="IH27"/>
  <c r="II27"/>
  <c r="IJ27"/>
  <c r="IK27"/>
  <c r="IL27"/>
  <c r="IM27"/>
  <c r="IN27"/>
  <c r="IO27"/>
  <c r="IP27"/>
  <c r="IQ27"/>
  <c r="IR27"/>
  <c r="IS27"/>
  <c r="IT27"/>
  <c r="IU27"/>
  <c r="IV27"/>
  <c r="A26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CZ26"/>
  <c r="DA26"/>
  <c r="DB26"/>
  <c r="DC26"/>
  <c r="DD26"/>
  <c r="DE26"/>
  <c r="DF26"/>
  <c r="DG26"/>
  <c r="DH26"/>
  <c r="DI26"/>
  <c r="DJ26"/>
  <c r="DK26"/>
  <c r="DL26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D26"/>
  <c r="EE26"/>
  <c r="EF26"/>
  <c r="EG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FJ26"/>
  <c r="FK26"/>
  <c r="FL26"/>
  <c r="FM26"/>
  <c r="FN26"/>
  <c r="FO26"/>
  <c r="FP26"/>
  <c r="FQ26"/>
  <c r="FR26"/>
  <c r="FS26"/>
  <c r="FT26"/>
  <c r="FU26"/>
  <c r="FV26"/>
  <c r="FW26"/>
  <c r="FX26"/>
  <c r="FY26"/>
  <c r="FZ26"/>
  <c r="GA26"/>
  <c r="GB26"/>
  <c r="GC26"/>
  <c r="GD26"/>
  <c r="GE26"/>
  <c r="GF26"/>
  <c r="GG26"/>
  <c r="GH26"/>
  <c r="GI26"/>
  <c r="GJ26"/>
  <c r="GK26"/>
  <c r="GL26"/>
  <c r="GM26"/>
  <c r="GN26"/>
  <c r="GO26"/>
  <c r="GP26"/>
  <c r="GQ26"/>
  <c r="GR26"/>
  <c r="GS26"/>
  <c r="GT26"/>
  <c r="GU26"/>
  <c r="GV26"/>
  <c r="GW26"/>
  <c r="GX26"/>
  <c r="GY26"/>
  <c r="GZ26"/>
  <c r="HA26"/>
  <c r="HB26"/>
  <c r="HC26"/>
  <c r="HD26"/>
  <c r="HE26"/>
  <c r="HF26"/>
  <c r="HG26"/>
  <c r="HH26"/>
  <c r="HI26"/>
  <c r="HJ26"/>
  <c r="HK26"/>
  <c r="HL26"/>
  <c r="HM26"/>
  <c r="HN26"/>
  <c r="HO26"/>
  <c r="HP26"/>
  <c r="HQ26"/>
  <c r="HR26"/>
  <c r="HS26"/>
  <c r="HT26"/>
  <c r="HU26"/>
  <c r="HV26"/>
  <c r="HW26"/>
  <c r="HX26"/>
  <c r="HY26"/>
  <c r="HZ26"/>
  <c r="IA26"/>
  <c r="IB26"/>
  <c r="IC26"/>
  <c r="ID26"/>
  <c r="IE26"/>
  <c r="IF26"/>
  <c r="IG26"/>
  <c r="IH26"/>
  <c r="II26"/>
  <c r="IJ26"/>
  <c r="IK26"/>
  <c r="IL26"/>
  <c r="IM26"/>
  <c r="IN26"/>
  <c r="IO26"/>
  <c r="IP26"/>
  <c r="IQ26"/>
  <c r="IR26"/>
  <c r="IS26"/>
  <c r="IT26"/>
  <c r="IU26"/>
  <c r="IV26"/>
  <c r="A25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CZ25"/>
  <c r="DA25"/>
  <c r="DB25"/>
  <c r="DC25"/>
  <c r="DD25"/>
  <c r="DE25"/>
  <c r="DF25"/>
  <c r="DG25"/>
  <c r="DH25"/>
  <c r="DI25"/>
  <c r="DJ25"/>
  <c r="DK25"/>
  <c r="DL25"/>
  <c r="DM25"/>
  <c r="DN25"/>
  <c r="DO25"/>
  <c r="DP25"/>
  <c r="DQ25"/>
  <c r="DR25"/>
  <c r="DS25"/>
  <c r="DT25"/>
  <c r="DU25"/>
  <c r="DV25"/>
  <c r="DW25"/>
  <c r="DX25"/>
  <c r="DY25"/>
  <c r="DZ25"/>
  <c r="EA25"/>
  <c r="EB25"/>
  <c r="EC25"/>
  <c r="ED25"/>
  <c r="EE25"/>
  <c r="EF25"/>
  <c r="EG25"/>
  <c r="EH25"/>
  <c r="EI25"/>
  <c r="EJ25"/>
  <c r="EK25"/>
  <c r="EL25"/>
  <c r="EM25"/>
  <c r="EN25"/>
  <c r="EO25"/>
  <c r="EP25"/>
  <c r="EQ25"/>
  <c r="ER25"/>
  <c r="ES25"/>
  <c r="ET25"/>
  <c r="EU25"/>
  <c r="EV25"/>
  <c r="EW25"/>
  <c r="EX25"/>
  <c r="EY25"/>
  <c r="EZ25"/>
  <c r="FA25"/>
  <c r="FB25"/>
  <c r="FC25"/>
  <c r="FD25"/>
  <c r="FE25"/>
  <c r="FF25"/>
  <c r="FG25"/>
  <c r="FH25"/>
  <c r="FI25"/>
  <c r="FJ25"/>
  <c r="FK25"/>
  <c r="FL25"/>
  <c r="FM25"/>
  <c r="FN25"/>
  <c r="FO25"/>
  <c r="FP25"/>
  <c r="FQ25"/>
  <c r="FR25"/>
  <c r="FS25"/>
  <c r="FT25"/>
  <c r="FU25"/>
  <c r="FV25"/>
  <c r="FW25"/>
  <c r="FX25"/>
  <c r="FY25"/>
  <c r="FZ25"/>
  <c r="GA25"/>
  <c r="GB25"/>
  <c r="GC25"/>
  <c r="GD25"/>
  <c r="GE25"/>
  <c r="GF25"/>
  <c r="GG25"/>
  <c r="GH25"/>
  <c r="GI25"/>
  <c r="GJ25"/>
  <c r="GK25"/>
  <c r="GL25"/>
  <c r="GM25"/>
  <c r="GN25"/>
  <c r="GO25"/>
  <c r="GP25"/>
  <c r="GQ25"/>
  <c r="GR25"/>
  <c r="GS25"/>
  <c r="GT25"/>
  <c r="GU25"/>
  <c r="GV25"/>
  <c r="GW25"/>
  <c r="GX25"/>
  <c r="GY25"/>
  <c r="GZ25"/>
  <c r="HA25"/>
  <c r="HB25"/>
  <c r="HC25"/>
  <c r="HD25"/>
  <c r="HE25"/>
  <c r="HF25"/>
  <c r="HG25"/>
  <c r="HH25"/>
  <c r="HI25"/>
  <c r="HJ25"/>
  <c r="HK25"/>
  <c r="HL25"/>
  <c r="HM25"/>
  <c r="HN25"/>
  <c r="HO25"/>
  <c r="HP25"/>
  <c r="HQ25"/>
  <c r="HR25"/>
  <c r="HS25"/>
  <c r="HT25"/>
  <c r="HU25"/>
  <c r="HV25"/>
  <c r="HW25"/>
  <c r="HX25"/>
  <c r="HY25"/>
  <c r="HZ25"/>
  <c r="IA25"/>
  <c r="IB25"/>
  <c r="IC25"/>
  <c r="ID25"/>
  <c r="IE25"/>
  <c r="IF25"/>
  <c r="IG25"/>
  <c r="IH25"/>
  <c r="II25"/>
  <c r="IJ25"/>
  <c r="IK25"/>
  <c r="IL25"/>
  <c r="IM25"/>
  <c r="IN25"/>
  <c r="IO25"/>
  <c r="IP25"/>
  <c r="IQ25"/>
  <c r="IR25"/>
  <c r="IS25"/>
  <c r="IT25"/>
  <c r="IU25"/>
  <c r="IV25"/>
  <c r="A24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CZ24"/>
  <c r="DA24"/>
  <c r="DB24"/>
  <c r="DC24"/>
  <c r="DD24"/>
  <c r="DE24"/>
  <c r="DF24"/>
  <c r="DG24"/>
  <c r="DH24"/>
  <c r="DI24"/>
  <c r="DJ24"/>
  <c r="DK24"/>
  <c r="DL24"/>
  <c r="DM24"/>
  <c r="DN24"/>
  <c r="DO24"/>
  <c r="DP24"/>
  <c r="DQ24"/>
  <c r="DR24"/>
  <c r="DS24"/>
  <c r="DT24"/>
  <c r="DU24"/>
  <c r="DV24"/>
  <c r="DW24"/>
  <c r="DX24"/>
  <c r="DY24"/>
  <c r="DZ24"/>
  <c r="EA24"/>
  <c r="EB24"/>
  <c r="EC24"/>
  <c r="ED24"/>
  <c r="EE24"/>
  <c r="EF24"/>
  <c r="EG24"/>
  <c r="EH24"/>
  <c r="EI24"/>
  <c r="EJ24"/>
  <c r="EK24"/>
  <c r="EL24"/>
  <c r="EM24"/>
  <c r="EN24"/>
  <c r="EO24"/>
  <c r="EP24"/>
  <c r="EQ24"/>
  <c r="ER24"/>
  <c r="ES24"/>
  <c r="ET24"/>
  <c r="EU24"/>
  <c r="EV24"/>
  <c r="EW24"/>
  <c r="EX24"/>
  <c r="EY24"/>
  <c r="EZ24"/>
  <c r="FA24"/>
  <c r="FB24"/>
  <c r="FC24"/>
  <c r="FD24"/>
  <c r="FE24"/>
  <c r="FF24"/>
  <c r="FG24"/>
  <c r="FH24"/>
  <c r="FI24"/>
  <c r="FJ24"/>
  <c r="FK24"/>
  <c r="FL24"/>
  <c r="FM24"/>
  <c r="FN24"/>
  <c r="FO24"/>
  <c r="FP24"/>
  <c r="FQ24"/>
  <c r="FR24"/>
  <c r="FS24"/>
  <c r="FT24"/>
  <c r="FU24"/>
  <c r="FV24"/>
  <c r="FW24"/>
  <c r="FX24"/>
  <c r="FY24"/>
  <c r="FZ24"/>
  <c r="GA24"/>
  <c r="GB24"/>
  <c r="GC24"/>
  <c r="GD24"/>
  <c r="GE24"/>
  <c r="GF24"/>
  <c r="GG24"/>
  <c r="GH24"/>
  <c r="GI24"/>
  <c r="GJ24"/>
  <c r="GK24"/>
  <c r="GL24"/>
  <c r="GM24"/>
  <c r="GN24"/>
  <c r="GO24"/>
  <c r="GP24"/>
  <c r="GQ24"/>
  <c r="GR24"/>
  <c r="GS24"/>
  <c r="GT24"/>
  <c r="GU24"/>
  <c r="GV24"/>
  <c r="GW24"/>
  <c r="GX24"/>
  <c r="GY24"/>
  <c r="GZ24"/>
  <c r="HA24"/>
  <c r="HB24"/>
  <c r="HC24"/>
  <c r="HD24"/>
  <c r="HE24"/>
  <c r="HF24"/>
  <c r="HG24"/>
  <c r="HH24"/>
  <c r="HI24"/>
  <c r="HJ24"/>
  <c r="HK24"/>
  <c r="HL24"/>
  <c r="HM24"/>
  <c r="HN24"/>
  <c r="HO24"/>
  <c r="HP24"/>
  <c r="HQ24"/>
  <c r="HR24"/>
  <c r="HS24"/>
  <c r="HT24"/>
  <c r="HU24"/>
  <c r="HV24"/>
  <c r="HW24"/>
  <c r="HX24"/>
  <c r="HY24"/>
  <c r="HZ24"/>
  <c r="IA24"/>
  <c r="IB24"/>
  <c r="IC24"/>
  <c r="ID24"/>
  <c r="IE24"/>
  <c r="IF24"/>
  <c r="IG24"/>
  <c r="IH24"/>
  <c r="II24"/>
  <c r="IJ24"/>
  <c r="IK24"/>
  <c r="IL24"/>
  <c r="IM24"/>
  <c r="IN24"/>
  <c r="IO24"/>
  <c r="IP24"/>
  <c r="IQ24"/>
  <c r="IR24"/>
  <c r="IS24"/>
  <c r="IT24"/>
  <c r="IU24"/>
  <c r="IV24"/>
  <c r="A23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CZ23"/>
  <c r="DA23"/>
  <c r="DB23"/>
  <c r="DC23"/>
  <c r="DD23"/>
  <c r="DE23"/>
  <c r="DF23"/>
  <c r="DG23"/>
  <c r="DH23"/>
  <c r="DI23"/>
  <c r="DJ23"/>
  <c r="DK23"/>
  <c r="DL23"/>
  <c r="DM23"/>
  <c r="DN23"/>
  <c r="DO23"/>
  <c r="DP23"/>
  <c r="DQ23"/>
  <c r="DR23"/>
  <c r="DS23"/>
  <c r="DT23"/>
  <c r="DU23"/>
  <c r="DV23"/>
  <c r="DW23"/>
  <c r="DX23"/>
  <c r="DY23"/>
  <c r="DZ23"/>
  <c r="EA23"/>
  <c r="EB23"/>
  <c r="EC23"/>
  <c r="ED23"/>
  <c r="EE23"/>
  <c r="EF23"/>
  <c r="EG23"/>
  <c r="EH23"/>
  <c r="EI23"/>
  <c r="EJ23"/>
  <c r="EK23"/>
  <c r="EL23"/>
  <c r="EM23"/>
  <c r="EN23"/>
  <c r="EO23"/>
  <c r="EP23"/>
  <c r="EQ23"/>
  <c r="ER23"/>
  <c r="ES23"/>
  <c r="ET23"/>
  <c r="EU23"/>
  <c r="EV23"/>
  <c r="EW23"/>
  <c r="EX23"/>
  <c r="EY23"/>
  <c r="EZ23"/>
  <c r="FA23"/>
  <c r="FB23"/>
  <c r="FC23"/>
  <c r="FD23"/>
  <c r="FE23"/>
  <c r="FF23"/>
  <c r="FG23"/>
  <c r="FH23"/>
  <c r="FI23"/>
  <c r="FJ23"/>
  <c r="FK23"/>
  <c r="FL23"/>
  <c r="FM23"/>
  <c r="FN23"/>
  <c r="FO23"/>
  <c r="FP23"/>
  <c r="FQ23"/>
  <c r="FR23"/>
  <c r="FS23"/>
  <c r="FT23"/>
  <c r="FU23"/>
  <c r="FV23"/>
  <c r="FW23"/>
  <c r="FX23"/>
  <c r="FY23"/>
  <c r="FZ23"/>
  <c r="GA23"/>
  <c r="GB23"/>
  <c r="GC23"/>
  <c r="GD23"/>
  <c r="GE23"/>
  <c r="GF23"/>
  <c r="GG23"/>
  <c r="GH23"/>
  <c r="GI23"/>
  <c r="GJ23"/>
  <c r="GK23"/>
  <c r="GL23"/>
  <c r="GM23"/>
  <c r="GN23"/>
  <c r="GO23"/>
  <c r="GP23"/>
  <c r="GQ23"/>
  <c r="GR23"/>
  <c r="GS23"/>
  <c r="GT23"/>
  <c r="GU23"/>
  <c r="GV23"/>
  <c r="GW23"/>
  <c r="GX23"/>
  <c r="GY23"/>
  <c r="GZ23"/>
  <c r="HA23"/>
  <c r="HB23"/>
  <c r="HC23"/>
  <c r="HD23"/>
  <c r="HE23"/>
  <c r="HF23"/>
  <c r="HG23"/>
  <c r="HH23"/>
  <c r="HI23"/>
  <c r="HJ23"/>
  <c r="HK23"/>
  <c r="HL23"/>
  <c r="HM23"/>
  <c r="HN23"/>
  <c r="HO23"/>
  <c r="HP23"/>
  <c r="HQ23"/>
  <c r="HR23"/>
  <c r="HS23"/>
  <c r="HT23"/>
  <c r="HU23"/>
  <c r="HV23"/>
  <c r="HW23"/>
  <c r="HX23"/>
  <c r="HY23"/>
  <c r="HZ23"/>
  <c r="IA23"/>
  <c r="IB23"/>
  <c r="IC23"/>
  <c r="ID23"/>
  <c r="IE23"/>
  <c r="IF23"/>
  <c r="IG23"/>
  <c r="IH23"/>
  <c r="II23"/>
  <c r="IJ23"/>
  <c r="IK23"/>
  <c r="IL23"/>
  <c r="IM23"/>
  <c r="IN23"/>
  <c r="IO23"/>
  <c r="IP23"/>
  <c r="IQ23"/>
  <c r="IR23"/>
  <c r="IS23"/>
  <c r="IT23"/>
  <c r="IU23"/>
  <c r="IV23"/>
  <c r="A22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D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S22"/>
  <c r="GT22"/>
  <c r="GU22"/>
  <c r="GV22"/>
  <c r="GW22"/>
  <c r="GX22"/>
  <c r="GY22"/>
  <c r="GZ22"/>
  <c r="HA22"/>
  <c r="HB22"/>
  <c r="HC22"/>
  <c r="HD22"/>
  <c r="HE22"/>
  <c r="HF22"/>
  <c r="HG22"/>
  <c r="HH22"/>
  <c r="HI22"/>
  <c r="HJ22"/>
  <c r="HK22"/>
  <c r="HL22"/>
  <c r="HM22"/>
  <c r="HN22"/>
  <c r="HO22"/>
  <c r="HP22"/>
  <c r="HQ22"/>
  <c r="HR22"/>
  <c r="HS22"/>
  <c r="HT22"/>
  <c r="HU22"/>
  <c r="HV22"/>
  <c r="HW22"/>
  <c r="HX22"/>
  <c r="HY22"/>
  <c r="HZ22"/>
  <c r="IA22"/>
  <c r="IB22"/>
  <c r="IC22"/>
  <c r="ID22"/>
  <c r="IE22"/>
  <c r="IF22"/>
  <c r="IG22"/>
  <c r="IH22"/>
  <c r="II22"/>
  <c r="IJ22"/>
  <c r="IK22"/>
  <c r="IL22"/>
  <c r="IM22"/>
  <c r="IN22"/>
  <c r="IO22"/>
  <c r="IP22"/>
  <c r="IQ22"/>
  <c r="IR22"/>
  <c r="IS22"/>
  <c r="IT22"/>
  <c r="IU22"/>
  <c r="IV22"/>
  <c r="A21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CZ21"/>
  <c r="DA21"/>
  <c r="DB21"/>
  <c r="DC21"/>
  <c r="DD21"/>
  <c r="DE21"/>
  <c r="DF21"/>
  <c r="DG21"/>
  <c r="DH21"/>
  <c r="DI21"/>
  <c r="DJ21"/>
  <c r="DK21"/>
  <c r="DL21"/>
  <c r="DM21"/>
  <c r="DN21"/>
  <c r="DO21"/>
  <c r="DP21"/>
  <c r="DQ21"/>
  <c r="DR21"/>
  <c r="DS21"/>
  <c r="DT21"/>
  <c r="DU21"/>
  <c r="DV21"/>
  <c r="DW21"/>
  <c r="DX21"/>
  <c r="DY21"/>
  <c r="DZ21"/>
  <c r="EA21"/>
  <c r="EB21"/>
  <c r="EC21"/>
  <c r="ED21"/>
  <c r="EE21"/>
  <c r="EF21"/>
  <c r="EG21"/>
  <c r="EH21"/>
  <c r="EI21"/>
  <c r="EJ21"/>
  <c r="EK21"/>
  <c r="EL21"/>
  <c r="EM21"/>
  <c r="EN21"/>
  <c r="EO21"/>
  <c r="EP21"/>
  <c r="EQ21"/>
  <c r="ER21"/>
  <c r="ES21"/>
  <c r="ET21"/>
  <c r="EU21"/>
  <c r="EV21"/>
  <c r="EW21"/>
  <c r="EX21"/>
  <c r="EY21"/>
  <c r="EZ21"/>
  <c r="FA21"/>
  <c r="FB21"/>
  <c r="FC21"/>
  <c r="FD21"/>
  <c r="FE21"/>
  <c r="FF21"/>
  <c r="FG21"/>
  <c r="FH21"/>
  <c r="FI21"/>
  <c r="FJ21"/>
  <c r="FK21"/>
  <c r="FL21"/>
  <c r="FM21"/>
  <c r="FN21"/>
  <c r="FO21"/>
  <c r="FP21"/>
  <c r="FQ21"/>
  <c r="FR21"/>
  <c r="FS21"/>
  <c r="FT21"/>
  <c r="FU21"/>
  <c r="FV21"/>
  <c r="FW21"/>
  <c r="FX21"/>
  <c r="FY21"/>
  <c r="FZ21"/>
  <c r="GA21"/>
  <c r="GB21"/>
  <c r="GC21"/>
  <c r="GD21"/>
  <c r="GE21"/>
  <c r="GF21"/>
  <c r="GG21"/>
  <c r="GH21"/>
  <c r="GI21"/>
  <c r="GJ21"/>
  <c r="GK21"/>
  <c r="GL21"/>
  <c r="GM21"/>
  <c r="GN21"/>
  <c r="GO21"/>
  <c r="GP21"/>
  <c r="GQ21"/>
  <c r="GR21"/>
  <c r="GS21"/>
  <c r="GT21"/>
  <c r="GU21"/>
  <c r="GV21"/>
  <c r="GW21"/>
  <c r="GX21"/>
  <c r="GY21"/>
  <c r="GZ21"/>
  <c r="HA21"/>
  <c r="HB21"/>
  <c r="HC21"/>
  <c r="HD21"/>
  <c r="HE21"/>
  <c r="HF21"/>
  <c r="HG21"/>
  <c r="HH21"/>
  <c r="HI21"/>
  <c r="HJ21"/>
  <c r="HK21"/>
  <c r="HL21"/>
  <c r="HM21"/>
  <c r="HN21"/>
  <c r="HO21"/>
  <c r="HP21"/>
  <c r="HQ21"/>
  <c r="HR21"/>
  <c r="HS21"/>
  <c r="HT21"/>
  <c r="HU21"/>
  <c r="HV21"/>
  <c r="HW21"/>
  <c r="HX21"/>
  <c r="HY21"/>
  <c r="HZ21"/>
  <c r="IA21"/>
  <c r="IB21"/>
  <c r="IC21"/>
  <c r="ID21"/>
  <c r="IE21"/>
  <c r="IF21"/>
  <c r="IG21"/>
  <c r="IH21"/>
  <c r="II21"/>
  <c r="IJ21"/>
  <c r="IK21"/>
  <c r="IL21"/>
  <c r="IM21"/>
  <c r="IN21"/>
  <c r="IO21"/>
  <c r="IP21"/>
  <c r="IQ21"/>
  <c r="IR21"/>
  <c r="IS21"/>
  <c r="IT21"/>
  <c r="IU21"/>
  <c r="IV21"/>
  <c r="A20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CZ20"/>
  <c r="DA20"/>
  <c r="DB20"/>
  <c r="DC20"/>
  <c r="DD20"/>
  <c r="DE20"/>
  <c r="DF20"/>
  <c r="DG20"/>
  <c r="DH20"/>
  <c r="DI20"/>
  <c r="DJ20"/>
  <c r="DK20"/>
  <c r="DL20"/>
  <c r="DM20"/>
  <c r="DN20"/>
  <c r="DO20"/>
  <c r="DP20"/>
  <c r="DQ20"/>
  <c r="DR20"/>
  <c r="DS20"/>
  <c r="DT20"/>
  <c r="DU20"/>
  <c r="DV20"/>
  <c r="DW20"/>
  <c r="DX20"/>
  <c r="DY20"/>
  <c r="DZ20"/>
  <c r="EA20"/>
  <c r="EB20"/>
  <c r="EC20"/>
  <c r="ED20"/>
  <c r="EE20"/>
  <c r="EF20"/>
  <c r="EG20"/>
  <c r="EH20"/>
  <c r="EI20"/>
  <c r="EJ20"/>
  <c r="EK20"/>
  <c r="EL20"/>
  <c r="EM20"/>
  <c r="EN20"/>
  <c r="EO20"/>
  <c r="EP20"/>
  <c r="EQ20"/>
  <c r="ER20"/>
  <c r="ES20"/>
  <c r="ET20"/>
  <c r="EU20"/>
  <c r="EV20"/>
  <c r="EW20"/>
  <c r="EX20"/>
  <c r="EY20"/>
  <c r="EZ20"/>
  <c r="FA20"/>
  <c r="FB20"/>
  <c r="FC20"/>
  <c r="FD20"/>
  <c r="FE20"/>
  <c r="FF20"/>
  <c r="FG20"/>
  <c r="FH20"/>
  <c r="FI20"/>
  <c r="FJ20"/>
  <c r="FK20"/>
  <c r="FL20"/>
  <c r="FM20"/>
  <c r="FN20"/>
  <c r="FO20"/>
  <c r="FP20"/>
  <c r="FQ20"/>
  <c r="FR20"/>
  <c r="FS20"/>
  <c r="FT20"/>
  <c r="FU20"/>
  <c r="FV20"/>
  <c r="FW20"/>
  <c r="FX20"/>
  <c r="FY20"/>
  <c r="FZ20"/>
  <c r="GA20"/>
  <c r="GB20"/>
  <c r="GC20"/>
  <c r="GD20"/>
  <c r="GE20"/>
  <c r="GF20"/>
  <c r="GG20"/>
  <c r="GH20"/>
  <c r="GI20"/>
  <c r="GJ20"/>
  <c r="GK20"/>
  <c r="GL20"/>
  <c r="GM20"/>
  <c r="GN20"/>
  <c r="GO20"/>
  <c r="GP20"/>
  <c r="GQ20"/>
  <c r="GR20"/>
  <c r="GS20"/>
  <c r="GT20"/>
  <c r="GU20"/>
  <c r="GV20"/>
  <c r="GW20"/>
  <c r="GX20"/>
  <c r="GY20"/>
  <c r="GZ20"/>
  <c r="HA20"/>
  <c r="HB20"/>
  <c r="HC20"/>
  <c r="HD20"/>
  <c r="HE20"/>
  <c r="HF20"/>
  <c r="HG20"/>
  <c r="HH20"/>
  <c r="HI20"/>
  <c r="HJ20"/>
  <c r="HK20"/>
  <c r="HL20"/>
  <c r="HM20"/>
  <c r="HN20"/>
  <c r="HO20"/>
  <c r="HP20"/>
  <c r="HQ20"/>
  <c r="HR20"/>
  <c r="HS20"/>
  <c r="HT20"/>
  <c r="HU20"/>
  <c r="HV20"/>
  <c r="HW20"/>
  <c r="HX20"/>
  <c r="HY20"/>
  <c r="HZ20"/>
  <c r="IA20"/>
  <c r="IB20"/>
  <c r="IC20"/>
  <c r="ID20"/>
  <c r="IE20"/>
  <c r="IF20"/>
  <c r="IG20"/>
  <c r="IH20"/>
  <c r="II20"/>
  <c r="IJ20"/>
  <c r="IK20"/>
  <c r="IL20"/>
  <c r="IM20"/>
  <c r="IN20"/>
  <c r="IO20"/>
  <c r="IP20"/>
  <c r="IQ20"/>
  <c r="IR20"/>
  <c r="IS20"/>
  <c r="IT20"/>
  <c r="IU20"/>
  <c r="IV20"/>
  <c r="A19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CZ19"/>
  <c r="DA19"/>
  <c r="DB19"/>
  <c r="DC19"/>
  <c r="DD19"/>
  <c r="DE19"/>
  <c r="DF19"/>
  <c r="DG19"/>
  <c r="DH19"/>
  <c r="DI19"/>
  <c r="DJ19"/>
  <c r="DK19"/>
  <c r="DL19"/>
  <c r="DM19"/>
  <c r="DN19"/>
  <c r="DO19"/>
  <c r="DP19"/>
  <c r="DQ19"/>
  <c r="DR19"/>
  <c r="DS19"/>
  <c r="DT19"/>
  <c r="DU19"/>
  <c r="DV19"/>
  <c r="DW19"/>
  <c r="DX19"/>
  <c r="DY19"/>
  <c r="DZ19"/>
  <c r="EA19"/>
  <c r="EB19"/>
  <c r="EC19"/>
  <c r="ED19"/>
  <c r="EE19"/>
  <c r="EF19"/>
  <c r="EG19"/>
  <c r="EH19"/>
  <c r="EI19"/>
  <c r="EJ19"/>
  <c r="EK19"/>
  <c r="EL19"/>
  <c r="EM19"/>
  <c r="EN19"/>
  <c r="EO19"/>
  <c r="EP19"/>
  <c r="EQ19"/>
  <c r="ER19"/>
  <c r="ES19"/>
  <c r="ET19"/>
  <c r="EU19"/>
  <c r="EV19"/>
  <c r="EW19"/>
  <c r="EX19"/>
  <c r="EY19"/>
  <c r="EZ19"/>
  <c r="FA19"/>
  <c r="FB19"/>
  <c r="FC19"/>
  <c r="FD19"/>
  <c r="FE19"/>
  <c r="FF19"/>
  <c r="FG19"/>
  <c r="FH19"/>
  <c r="FI19"/>
  <c r="FJ19"/>
  <c r="FK19"/>
  <c r="FL19"/>
  <c r="FM19"/>
  <c r="FN19"/>
  <c r="FO19"/>
  <c r="FP19"/>
  <c r="FQ19"/>
  <c r="FR19"/>
  <c r="FS19"/>
  <c r="FT19"/>
  <c r="FU19"/>
  <c r="FV19"/>
  <c r="FW19"/>
  <c r="FX19"/>
  <c r="FY19"/>
  <c r="FZ19"/>
  <c r="GA19"/>
  <c r="GB19"/>
  <c r="GC19"/>
  <c r="GD19"/>
  <c r="GE19"/>
  <c r="GF19"/>
  <c r="GG19"/>
  <c r="GH19"/>
  <c r="GI19"/>
  <c r="GJ19"/>
  <c r="GK19"/>
  <c r="GL19"/>
  <c r="GM19"/>
  <c r="GN19"/>
  <c r="GO19"/>
  <c r="GP19"/>
  <c r="GQ19"/>
  <c r="GR19"/>
  <c r="GS19"/>
  <c r="GT19"/>
  <c r="GU19"/>
  <c r="GV19"/>
  <c r="GW19"/>
  <c r="GX19"/>
  <c r="GY19"/>
  <c r="GZ19"/>
  <c r="HA19"/>
  <c r="HB19"/>
  <c r="HC19"/>
  <c r="HD19"/>
  <c r="HE19"/>
  <c r="HF19"/>
  <c r="HG19"/>
  <c r="HH19"/>
  <c r="HI19"/>
  <c r="HJ19"/>
  <c r="HK19"/>
  <c r="HL19"/>
  <c r="HM19"/>
  <c r="HN19"/>
  <c r="HO19"/>
  <c r="HP19"/>
  <c r="HQ19"/>
  <c r="HR19"/>
  <c r="HS19"/>
  <c r="HT19"/>
  <c r="HU19"/>
  <c r="HV19"/>
  <c r="HW19"/>
  <c r="HX19"/>
  <c r="HY19"/>
  <c r="HZ19"/>
  <c r="IA19"/>
  <c r="IB19"/>
  <c r="IC19"/>
  <c r="ID19"/>
  <c r="IE19"/>
  <c r="IF19"/>
  <c r="IG19"/>
  <c r="IH19"/>
  <c r="II19"/>
  <c r="IJ19"/>
  <c r="IK19"/>
  <c r="IL19"/>
  <c r="IM19"/>
  <c r="IN19"/>
  <c r="IO19"/>
  <c r="IP19"/>
  <c r="IQ19"/>
  <c r="IR19"/>
  <c r="IS19"/>
  <c r="IT19"/>
  <c r="IU19"/>
  <c r="IV19"/>
  <c r="A18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D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S18"/>
  <c r="GT18"/>
  <c r="GU18"/>
  <c r="GV18"/>
  <c r="GW18"/>
  <c r="GX18"/>
  <c r="GY18"/>
  <c r="GZ18"/>
  <c r="HA18"/>
  <c r="HB18"/>
  <c r="HC18"/>
  <c r="HD18"/>
  <c r="HE18"/>
  <c r="HF18"/>
  <c r="HG18"/>
  <c r="HH18"/>
  <c r="HI18"/>
  <c r="HJ18"/>
  <c r="HK18"/>
  <c r="HL18"/>
  <c r="HM18"/>
  <c r="HN18"/>
  <c r="HO18"/>
  <c r="HP18"/>
  <c r="HQ18"/>
  <c r="HR18"/>
  <c r="HS18"/>
  <c r="HT18"/>
  <c r="HU18"/>
  <c r="HV18"/>
  <c r="HW18"/>
  <c r="HX18"/>
  <c r="HY18"/>
  <c r="HZ18"/>
  <c r="IA18"/>
  <c r="IB18"/>
  <c r="IC18"/>
  <c r="ID18"/>
  <c r="IE18"/>
  <c r="IF18"/>
  <c r="IG18"/>
  <c r="IH18"/>
  <c r="II18"/>
  <c r="IJ18"/>
  <c r="IK18"/>
  <c r="IL18"/>
  <c r="IM18"/>
  <c r="IN18"/>
  <c r="IO18"/>
  <c r="IP18"/>
  <c r="IQ18"/>
  <c r="IR18"/>
  <c r="IS18"/>
  <c r="IT18"/>
  <c r="IU18"/>
  <c r="IV18"/>
  <c r="A17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CZ17"/>
  <c r="DA17"/>
  <c r="DB17"/>
  <c r="DC17"/>
  <c r="DD17"/>
  <c r="DE17"/>
  <c r="DF17"/>
  <c r="DG17"/>
  <c r="DH17"/>
  <c r="DI17"/>
  <c r="DJ17"/>
  <c r="DK17"/>
  <c r="DL17"/>
  <c r="DM17"/>
  <c r="DN17"/>
  <c r="DO17"/>
  <c r="DP17"/>
  <c r="DQ17"/>
  <c r="DR17"/>
  <c r="DS17"/>
  <c r="DT17"/>
  <c r="DU17"/>
  <c r="DV17"/>
  <c r="DW17"/>
  <c r="DX17"/>
  <c r="DY17"/>
  <c r="DZ17"/>
  <c r="EA17"/>
  <c r="EB17"/>
  <c r="EC17"/>
  <c r="ED17"/>
  <c r="EE17"/>
  <c r="EF17"/>
  <c r="EG17"/>
  <c r="EH17"/>
  <c r="EI17"/>
  <c r="EJ17"/>
  <c r="EK17"/>
  <c r="EL17"/>
  <c r="EM17"/>
  <c r="EN17"/>
  <c r="EO17"/>
  <c r="EP17"/>
  <c r="EQ17"/>
  <c r="ER17"/>
  <c r="ES17"/>
  <c r="ET17"/>
  <c r="EU17"/>
  <c r="EV17"/>
  <c r="EW17"/>
  <c r="EX17"/>
  <c r="EY17"/>
  <c r="EZ17"/>
  <c r="FA17"/>
  <c r="FB17"/>
  <c r="FC17"/>
  <c r="FD17"/>
  <c r="FE17"/>
  <c r="FF17"/>
  <c r="FG17"/>
  <c r="FH17"/>
  <c r="FI17"/>
  <c r="FJ17"/>
  <c r="FK17"/>
  <c r="FL17"/>
  <c r="FM17"/>
  <c r="FN17"/>
  <c r="FO17"/>
  <c r="FP17"/>
  <c r="FQ17"/>
  <c r="FR17"/>
  <c r="FS17"/>
  <c r="FT17"/>
  <c r="FU17"/>
  <c r="FV17"/>
  <c r="FW17"/>
  <c r="FX17"/>
  <c r="FY17"/>
  <c r="FZ17"/>
  <c r="GA17"/>
  <c r="GB17"/>
  <c r="GC17"/>
  <c r="GD17"/>
  <c r="GE17"/>
  <c r="GF17"/>
  <c r="GG17"/>
  <c r="GH17"/>
  <c r="GI17"/>
  <c r="GJ17"/>
  <c r="GK17"/>
  <c r="GL17"/>
  <c r="GM17"/>
  <c r="GN17"/>
  <c r="GO17"/>
  <c r="GP17"/>
  <c r="GQ17"/>
  <c r="GR17"/>
  <c r="GS17"/>
  <c r="GT17"/>
  <c r="GU17"/>
  <c r="GV17"/>
  <c r="GW17"/>
  <c r="GX17"/>
  <c r="GY17"/>
  <c r="GZ17"/>
  <c r="HA17"/>
  <c r="HB17"/>
  <c r="HC17"/>
  <c r="HD17"/>
  <c r="HE17"/>
  <c r="HF17"/>
  <c r="HG17"/>
  <c r="HH17"/>
  <c r="HI17"/>
  <c r="HJ17"/>
  <c r="HK17"/>
  <c r="HL17"/>
  <c r="HM17"/>
  <c r="HN17"/>
  <c r="HO17"/>
  <c r="HP17"/>
  <c r="HQ17"/>
  <c r="HR17"/>
  <c r="HS17"/>
  <c r="HT17"/>
  <c r="HU17"/>
  <c r="HV17"/>
  <c r="HW17"/>
  <c r="HX17"/>
  <c r="HY17"/>
  <c r="HZ17"/>
  <c r="IA17"/>
  <c r="IB17"/>
  <c r="IC17"/>
  <c r="ID17"/>
  <c r="IE17"/>
  <c r="IF17"/>
  <c r="IG17"/>
  <c r="IH17"/>
  <c r="II17"/>
  <c r="IJ17"/>
  <c r="IK17"/>
  <c r="IL17"/>
  <c r="IM17"/>
  <c r="IN17"/>
  <c r="IO17"/>
  <c r="IP17"/>
  <c r="IQ17"/>
  <c r="IR17"/>
  <c r="IS17"/>
  <c r="IT17"/>
  <c r="IU17"/>
  <c r="IV17"/>
  <c r="A16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CZ16"/>
  <c r="DA16"/>
  <c r="DB16"/>
  <c r="DC16"/>
  <c r="DD16"/>
  <c r="DE16"/>
  <c r="DF16"/>
  <c r="DG16"/>
  <c r="DH16"/>
  <c r="DI16"/>
  <c r="DJ16"/>
  <c r="DK16"/>
  <c r="DL16"/>
  <c r="DM16"/>
  <c r="DN16"/>
  <c r="DO16"/>
  <c r="DP16"/>
  <c r="DQ16"/>
  <c r="DR16"/>
  <c r="DS16"/>
  <c r="DT16"/>
  <c r="DU16"/>
  <c r="DV16"/>
  <c r="DW16"/>
  <c r="DX16"/>
  <c r="DY16"/>
  <c r="DZ16"/>
  <c r="EA16"/>
  <c r="EB16"/>
  <c r="EC16"/>
  <c r="ED16"/>
  <c r="EE16"/>
  <c r="EF16"/>
  <c r="EG16"/>
  <c r="EH16"/>
  <c r="EI16"/>
  <c r="EJ16"/>
  <c r="EK16"/>
  <c r="EL16"/>
  <c r="EM16"/>
  <c r="EN16"/>
  <c r="EO16"/>
  <c r="EP16"/>
  <c r="EQ16"/>
  <c r="ER16"/>
  <c r="ES16"/>
  <c r="ET16"/>
  <c r="EU16"/>
  <c r="EV16"/>
  <c r="EW16"/>
  <c r="EX16"/>
  <c r="EY16"/>
  <c r="EZ16"/>
  <c r="FA16"/>
  <c r="FB16"/>
  <c r="FC16"/>
  <c r="FD16"/>
  <c r="FE16"/>
  <c r="FF16"/>
  <c r="FG16"/>
  <c r="FH16"/>
  <c r="FI16"/>
  <c r="FJ16"/>
  <c r="FK16"/>
  <c r="FL16"/>
  <c r="FM16"/>
  <c r="FN16"/>
  <c r="FO16"/>
  <c r="FP16"/>
  <c r="FQ16"/>
  <c r="FR16"/>
  <c r="FS16"/>
  <c r="FT16"/>
  <c r="FU16"/>
  <c r="FV16"/>
  <c r="FW16"/>
  <c r="FX16"/>
  <c r="FY16"/>
  <c r="FZ16"/>
  <c r="GA16"/>
  <c r="GB16"/>
  <c r="GC16"/>
  <c r="GD16"/>
  <c r="GE16"/>
  <c r="GF16"/>
  <c r="GG16"/>
  <c r="GH16"/>
  <c r="GI16"/>
  <c r="GJ16"/>
  <c r="GK16"/>
  <c r="GL16"/>
  <c r="GM16"/>
  <c r="GN16"/>
  <c r="GO16"/>
  <c r="GP16"/>
  <c r="GQ16"/>
  <c r="GR16"/>
  <c r="GS16"/>
  <c r="GT16"/>
  <c r="GU16"/>
  <c r="GV16"/>
  <c r="GW16"/>
  <c r="GX16"/>
  <c r="GY16"/>
  <c r="GZ16"/>
  <c r="HA16"/>
  <c r="HB16"/>
  <c r="HC16"/>
  <c r="HD16"/>
  <c r="HE16"/>
  <c r="HF16"/>
  <c r="HG16"/>
  <c r="HH16"/>
  <c r="HI16"/>
  <c r="HJ16"/>
  <c r="HK16"/>
  <c r="HL16"/>
  <c r="HM16"/>
  <c r="HN16"/>
  <c r="HO16"/>
  <c r="HP16"/>
  <c r="HQ16"/>
  <c r="HR16"/>
  <c r="HS16"/>
  <c r="HT16"/>
  <c r="HU16"/>
  <c r="HV16"/>
  <c r="HW16"/>
  <c r="HX16"/>
  <c r="HY16"/>
  <c r="HZ16"/>
  <c r="IA16"/>
  <c r="IB16"/>
  <c r="IC16"/>
  <c r="ID16"/>
  <c r="IE16"/>
  <c r="IF16"/>
  <c r="IG16"/>
  <c r="IH16"/>
  <c r="II16"/>
  <c r="IJ16"/>
  <c r="IK16"/>
  <c r="IL16"/>
  <c r="IM16"/>
  <c r="IN16"/>
  <c r="IO16"/>
  <c r="IP16"/>
  <c r="IQ16"/>
  <c r="IR16"/>
  <c r="IS16"/>
  <c r="IT16"/>
  <c r="IU16"/>
  <c r="IV16"/>
  <c r="A15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CZ15"/>
  <c r="DA15"/>
  <c r="DB15"/>
  <c r="DC15"/>
  <c r="DD15"/>
  <c r="DE15"/>
  <c r="DF15"/>
  <c r="DG15"/>
  <c r="DH15"/>
  <c r="DI15"/>
  <c r="DJ15"/>
  <c r="DK15"/>
  <c r="DL15"/>
  <c r="DM15"/>
  <c r="DN15"/>
  <c r="DO15"/>
  <c r="DP15"/>
  <c r="DQ15"/>
  <c r="DR15"/>
  <c r="DS15"/>
  <c r="DT15"/>
  <c r="DU15"/>
  <c r="DV15"/>
  <c r="DW15"/>
  <c r="DX15"/>
  <c r="DY15"/>
  <c r="DZ15"/>
  <c r="EA15"/>
  <c r="EB15"/>
  <c r="EC15"/>
  <c r="ED15"/>
  <c r="EE15"/>
  <c r="EF15"/>
  <c r="EG15"/>
  <c r="EH15"/>
  <c r="EI15"/>
  <c r="EJ15"/>
  <c r="EK15"/>
  <c r="EL15"/>
  <c r="EM15"/>
  <c r="EN15"/>
  <c r="EO15"/>
  <c r="EP15"/>
  <c r="EQ15"/>
  <c r="ER15"/>
  <c r="ES15"/>
  <c r="ET15"/>
  <c r="EU15"/>
  <c r="EV15"/>
  <c r="EW15"/>
  <c r="EX15"/>
  <c r="EY15"/>
  <c r="EZ15"/>
  <c r="FA15"/>
  <c r="FB15"/>
  <c r="FC15"/>
  <c r="FD15"/>
  <c r="FE15"/>
  <c r="FF15"/>
  <c r="FG15"/>
  <c r="FH15"/>
  <c r="FI15"/>
  <c r="FJ15"/>
  <c r="FK15"/>
  <c r="FL15"/>
  <c r="FM15"/>
  <c r="FN15"/>
  <c r="FO15"/>
  <c r="FP15"/>
  <c r="FQ15"/>
  <c r="FR15"/>
  <c r="FS15"/>
  <c r="FT15"/>
  <c r="FU15"/>
  <c r="FV15"/>
  <c r="FW15"/>
  <c r="FX15"/>
  <c r="FY15"/>
  <c r="FZ15"/>
  <c r="GA15"/>
  <c r="GB15"/>
  <c r="GC15"/>
  <c r="GD15"/>
  <c r="GE15"/>
  <c r="GF15"/>
  <c r="GG15"/>
  <c r="GH15"/>
  <c r="GI15"/>
  <c r="GJ15"/>
  <c r="GK15"/>
  <c r="GL15"/>
  <c r="GM15"/>
  <c r="GN15"/>
  <c r="GO15"/>
  <c r="GP15"/>
  <c r="GQ15"/>
  <c r="GR15"/>
  <c r="GS15"/>
  <c r="GT15"/>
  <c r="GU15"/>
  <c r="GV15"/>
  <c r="GW15"/>
  <c r="GX15"/>
  <c r="GY15"/>
  <c r="GZ15"/>
  <c r="HA15"/>
  <c r="HB15"/>
  <c r="HC15"/>
  <c r="HD15"/>
  <c r="HE15"/>
  <c r="HF15"/>
  <c r="HG15"/>
  <c r="HH15"/>
  <c r="HI15"/>
  <c r="HJ15"/>
  <c r="HK15"/>
  <c r="HL15"/>
  <c r="HM15"/>
  <c r="HN15"/>
  <c r="HO15"/>
  <c r="HP15"/>
  <c r="HQ15"/>
  <c r="HR15"/>
  <c r="HS15"/>
  <c r="HT15"/>
  <c r="HU15"/>
  <c r="HV15"/>
  <c r="HW15"/>
  <c r="HX15"/>
  <c r="HY15"/>
  <c r="HZ15"/>
  <c r="IA15"/>
  <c r="IB15"/>
  <c r="IC15"/>
  <c r="ID15"/>
  <c r="IE15"/>
  <c r="IF15"/>
  <c r="IG15"/>
  <c r="IH15"/>
  <c r="II15"/>
  <c r="IJ15"/>
  <c r="IK15"/>
  <c r="IL15"/>
  <c r="IM15"/>
  <c r="IN15"/>
  <c r="IO15"/>
  <c r="IP15"/>
  <c r="IQ15"/>
  <c r="IR15"/>
  <c r="IS15"/>
  <c r="IT15"/>
  <c r="IU15"/>
  <c r="IV15"/>
  <c r="A14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CZ14"/>
  <c r="DA14"/>
  <c r="DB14"/>
  <c r="DC14"/>
  <c r="DD14"/>
  <c r="DE14"/>
  <c r="DF14"/>
  <c r="DG14"/>
  <c r="DH14"/>
  <c r="DI14"/>
  <c r="DJ14"/>
  <c r="DK14"/>
  <c r="DL14"/>
  <c r="DM14"/>
  <c r="DN14"/>
  <c r="DO14"/>
  <c r="DP14"/>
  <c r="DQ14"/>
  <c r="DR14"/>
  <c r="DS14"/>
  <c r="DT14"/>
  <c r="DU14"/>
  <c r="DV14"/>
  <c r="DW14"/>
  <c r="DX14"/>
  <c r="DY14"/>
  <c r="DZ14"/>
  <c r="EA14"/>
  <c r="EB14"/>
  <c r="EC14"/>
  <c r="ED14"/>
  <c r="EE14"/>
  <c r="EF14"/>
  <c r="EG14"/>
  <c r="EH14"/>
  <c r="EI14"/>
  <c r="EJ14"/>
  <c r="EK14"/>
  <c r="EL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FD14"/>
  <c r="FE14"/>
  <c r="FF14"/>
  <c r="FG14"/>
  <c r="FH14"/>
  <c r="FI14"/>
  <c r="FJ14"/>
  <c r="FK14"/>
  <c r="FL14"/>
  <c r="FM14"/>
  <c r="FN14"/>
  <c r="FO14"/>
  <c r="FP14"/>
  <c r="FQ14"/>
  <c r="FR14"/>
  <c r="FS14"/>
  <c r="FT14"/>
  <c r="FU14"/>
  <c r="FV14"/>
  <c r="FW14"/>
  <c r="FX14"/>
  <c r="FY14"/>
  <c r="FZ14"/>
  <c r="GA14"/>
  <c r="GB14"/>
  <c r="GC14"/>
  <c r="GD14"/>
  <c r="GE14"/>
  <c r="GF14"/>
  <c r="GG14"/>
  <c r="GH14"/>
  <c r="GI14"/>
  <c r="GJ14"/>
  <c r="GK14"/>
  <c r="GL14"/>
  <c r="GM14"/>
  <c r="GN14"/>
  <c r="GO14"/>
  <c r="GP14"/>
  <c r="GQ14"/>
  <c r="GR14"/>
  <c r="GS14"/>
  <c r="GT14"/>
  <c r="GU14"/>
  <c r="GV14"/>
  <c r="GW14"/>
  <c r="GX14"/>
  <c r="GY14"/>
  <c r="GZ14"/>
  <c r="HA14"/>
  <c r="HB14"/>
  <c r="HC14"/>
  <c r="HD14"/>
  <c r="HE14"/>
  <c r="HF14"/>
  <c r="HG14"/>
  <c r="HH14"/>
  <c r="HI14"/>
  <c r="HJ14"/>
  <c r="HK14"/>
  <c r="HL14"/>
  <c r="HM14"/>
  <c r="HN14"/>
  <c r="HO14"/>
  <c r="HP14"/>
  <c r="HQ14"/>
  <c r="HR14"/>
  <c r="HS14"/>
  <c r="HT14"/>
  <c r="HU14"/>
  <c r="HV14"/>
  <c r="HW14"/>
  <c r="HX14"/>
  <c r="HY14"/>
  <c r="HZ14"/>
  <c r="IA14"/>
  <c r="IB14"/>
  <c r="IC14"/>
  <c r="ID14"/>
  <c r="IE14"/>
  <c r="IF14"/>
  <c r="IG14"/>
  <c r="IH14"/>
  <c r="II14"/>
  <c r="IJ14"/>
  <c r="IK14"/>
  <c r="IL14"/>
  <c r="IM14"/>
  <c r="IN14"/>
  <c r="IO14"/>
  <c r="IP14"/>
  <c r="IQ14"/>
  <c r="IR14"/>
  <c r="IS14"/>
  <c r="IT14"/>
  <c r="IU14"/>
  <c r="IV14"/>
  <c r="A13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CZ13"/>
  <c r="DA13"/>
  <c r="DB13"/>
  <c r="DC13"/>
  <c r="DD13"/>
  <c r="DE13"/>
  <c r="DF13"/>
  <c r="DG13"/>
  <c r="DH13"/>
  <c r="DI13"/>
  <c r="DJ13"/>
  <c r="DK13"/>
  <c r="DL13"/>
  <c r="DM13"/>
  <c r="DN13"/>
  <c r="DO13"/>
  <c r="DP13"/>
  <c r="DQ13"/>
  <c r="DR13"/>
  <c r="DS13"/>
  <c r="DT13"/>
  <c r="DU13"/>
  <c r="DV13"/>
  <c r="DW13"/>
  <c r="DX13"/>
  <c r="DY13"/>
  <c r="DZ13"/>
  <c r="EA13"/>
  <c r="EB13"/>
  <c r="EC13"/>
  <c r="ED13"/>
  <c r="EE13"/>
  <c r="EF13"/>
  <c r="EG13"/>
  <c r="EH13"/>
  <c r="EI13"/>
  <c r="EJ13"/>
  <c r="EK13"/>
  <c r="EL13"/>
  <c r="EM13"/>
  <c r="EN13"/>
  <c r="EO13"/>
  <c r="EP13"/>
  <c r="EQ13"/>
  <c r="ER13"/>
  <c r="ES13"/>
  <c r="ET13"/>
  <c r="EU13"/>
  <c r="EV13"/>
  <c r="EW13"/>
  <c r="EX13"/>
  <c r="EY13"/>
  <c r="EZ13"/>
  <c r="FA13"/>
  <c r="FB13"/>
  <c r="FC13"/>
  <c r="FD13"/>
  <c r="FE13"/>
  <c r="FF13"/>
  <c r="FG13"/>
  <c r="FH13"/>
  <c r="FI13"/>
  <c r="FJ13"/>
  <c r="FK13"/>
  <c r="FL13"/>
  <c r="FM13"/>
  <c r="FN13"/>
  <c r="FO13"/>
  <c r="FP13"/>
  <c r="FQ13"/>
  <c r="FR13"/>
  <c r="FS13"/>
  <c r="FT13"/>
  <c r="FU13"/>
  <c r="FV13"/>
  <c r="FW13"/>
  <c r="FX13"/>
  <c r="FY13"/>
  <c r="FZ13"/>
  <c r="GA13"/>
  <c r="GB13"/>
  <c r="GC13"/>
  <c r="GD13"/>
  <c r="GE13"/>
  <c r="GF13"/>
  <c r="GG13"/>
  <c r="GH13"/>
  <c r="GI13"/>
  <c r="GJ13"/>
  <c r="GK13"/>
  <c r="GL13"/>
  <c r="GM13"/>
  <c r="GN13"/>
  <c r="GO13"/>
  <c r="GP13"/>
  <c r="GQ13"/>
  <c r="GR13"/>
  <c r="GS13"/>
  <c r="GT13"/>
  <c r="GU13"/>
  <c r="GV13"/>
  <c r="GW13"/>
  <c r="GX13"/>
  <c r="GY13"/>
  <c r="GZ13"/>
  <c r="HA13"/>
  <c r="HB13"/>
  <c r="HC13"/>
  <c r="HD13"/>
  <c r="HE13"/>
  <c r="HF13"/>
  <c r="HG13"/>
  <c r="HH13"/>
  <c r="HI13"/>
  <c r="HJ13"/>
  <c r="HK13"/>
  <c r="HL13"/>
  <c r="HM13"/>
  <c r="HN13"/>
  <c r="HO13"/>
  <c r="HP13"/>
  <c r="HQ13"/>
  <c r="HR13"/>
  <c r="HS13"/>
  <c r="HT13"/>
  <c r="HU13"/>
  <c r="HV13"/>
  <c r="HW13"/>
  <c r="HX13"/>
  <c r="HY13"/>
  <c r="HZ13"/>
  <c r="IA13"/>
  <c r="IB13"/>
  <c r="IC13"/>
  <c r="ID13"/>
  <c r="IE13"/>
  <c r="IF13"/>
  <c r="IG13"/>
  <c r="IH13"/>
  <c r="II13"/>
  <c r="IJ13"/>
  <c r="IK13"/>
  <c r="IL13"/>
  <c r="IM13"/>
  <c r="IN13"/>
  <c r="IO13"/>
  <c r="IP13"/>
  <c r="IQ13"/>
  <c r="IR13"/>
  <c r="IS13"/>
  <c r="IT13"/>
  <c r="IU13"/>
  <c r="IV13"/>
  <c r="A12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S12"/>
  <c r="GT12"/>
  <c r="GU12"/>
  <c r="GV12"/>
  <c r="GW12"/>
  <c r="GX12"/>
  <c r="GY12"/>
  <c r="GZ12"/>
  <c r="HA12"/>
  <c r="HB12"/>
  <c r="HC12"/>
  <c r="HD12"/>
  <c r="HE12"/>
  <c r="HF12"/>
  <c r="HG12"/>
  <c r="HH12"/>
  <c r="HI12"/>
  <c r="HJ12"/>
  <c r="HK12"/>
  <c r="HL12"/>
  <c r="HM12"/>
  <c r="HN12"/>
  <c r="HO12"/>
  <c r="HP12"/>
  <c r="HQ12"/>
  <c r="HR12"/>
  <c r="HS12"/>
  <c r="HT12"/>
  <c r="HU12"/>
  <c r="HV12"/>
  <c r="HW12"/>
  <c r="HX12"/>
  <c r="HY12"/>
  <c r="HZ12"/>
  <c r="IA12"/>
  <c r="IB12"/>
  <c r="IC12"/>
  <c r="ID12"/>
  <c r="IE12"/>
  <c r="IF12"/>
  <c r="IG12"/>
  <c r="IH12"/>
  <c r="II12"/>
  <c r="IJ12"/>
  <c r="IK12"/>
  <c r="IL12"/>
  <c r="IM12"/>
  <c r="IN12"/>
  <c r="IO12"/>
  <c r="IP12"/>
  <c r="IQ12"/>
  <c r="IR12"/>
  <c r="IS12"/>
  <c r="IT12"/>
  <c r="IU12"/>
  <c r="IV12"/>
  <c r="A11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IE11"/>
  <c r="IF11"/>
  <c r="IG11"/>
  <c r="IH11"/>
  <c r="II11"/>
  <c r="IJ11"/>
  <c r="IK11"/>
  <c r="IL11"/>
  <c r="IM11"/>
  <c r="IN11"/>
  <c r="IO11"/>
  <c r="IP11"/>
  <c r="IQ11"/>
  <c r="IR11"/>
  <c r="IS11"/>
  <c r="IT11"/>
  <c r="IU11"/>
  <c r="IV11"/>
  <c r="A10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A9"/>
  <c r="B9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A8"/>
  <c r="B8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A7"/>
  <c r="B7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A6"/>
  <c r="B6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DN6"/>
  <c r="DO6"/>
  <c r="DP6"/>
  <c r="DQ6"/>
  <c r="DR6"/>
  <c r="DS6"/>
  <c r="DT6"/>
  <c r="DU6"/>
  <c r="DV6"/>
  <c r="DW6"/>
  <c r="DX6"/>
  <c r="DY6"/>
  <c r="DZ6"/>
  <c r="EA6"/>
  <c r="EB6"/>
  <c r="EC6"/>
  <c r="ED6"/>
  <c r="EE6"/>
  <c r="EF6"/>
  <c r="EG6"/>
  <c r="EH6"/>
  <c r="EI6"/>
  <c r="EJ6"/>
  <c r="EK6"/>
  <c r="EL6"/>
  <c r="EM6"/>
  <c r="EN6"/>
  <c r="EO6"/>
  <c r="EP6"/>
  <c r="EQ6"/>
  <c r="ER6"/>
  <c r="ES6"/>
  <c r="ET6"/>
  <c r="EU6"/>
  <c r="EV6"/>
  <c r="EW6"/>
  <c r="EX6"/>
  <c r="EY6"/>
  <c r="EZ6"/>
  <c r="FA6"/>
  <c r="FB6"/>
  <c r="FC6"/>
  <c r="FD6"/>
  <c r="FE6"/>
  <c r="FF6"/>
  <c r="FG6"/>
  <c r="FH6"/>
  <c r="FI6"/>
  <c r="FJ6"/>
  <c r="FK6"/>
  <c r="FL6"/>
  <c r="FM6"/>
  <c r="FN6"/>
  <c r="FO6"/>
  <c r="FP6"/>
  <c r="FQ6"/>
  <c r="FR6"/>
  <c r="FS6"/>
  <c r="FT6"/>
  <c r="FU6"/>
  <c r="FV6"/>
  <c r="FW6"/>
  <c r="FX6"/>
  <c r="FY6"/>
  <c r="FZ6"/>
  <c r="GA6"/>
  <c r="GB6"/>
  <c r="GC6"/>
  <c r="GD6"/>
  <c r="GE6"/>
  <c r="GF6"/>
  <c r="GG6"/>
  <c r="GH6"/>
  <c r="GI6"/>
  <c r="GJ6"/>
  <c r="GK6"/>
  <c r="GL6"/>
  <c r="GM6"/>
  <c r="GN6"/>
  <c r="GO6"/>
  <c r="GP6"/>
  <c r="GQ6"/>
  <c r="GR6"/>
  <c r="GS6"/>
  <c r="GT6"/>
  <c r="GU6"/>
  <c r="GV6"/>
  <c r="GW6"/>
  <c r="GX6"/>
  <c r="GY6"/>
  <c r="GZ6"/>
  <c r="HA6"/>
  <c r="HB6"/>
  <c r="HC6"/>
  <c r="HD6"/>
  <c r="HE6"/>
  <c r="HF6"/>
  <c r="HG6"/>
  <c r="HH6"/>
  <c r="HI6"/>
  <c r="HJ6"/>
  <c r="HK6"/>
  <c r="HL6"/>
  <c r="HM6"/>
  <c r="HN6"/>
  <c r="HO6"/>
  <c r="HP6"/>
  <c r="HQ6"/>
  <c r="HR6"/>
  <c r="HS6"/>
  <c r="HT6"/>
  <c r="HU6"/>
  <c r="HV6"/>
  <c r="HW6"/>
  <c r="HX6"/>
  <c r="HY6"/>
  <c r="HZ6"/>
  <c r="IA6"/>
  <c r="IB6"/>
  <c r="IC6"/>
  <c r="ID6"/>
  <c r="IE6"/>
  <c r="IF6"/>
  <c r="IG6"/>
  <c r="IH6"/>
  <c r="II6"/>
  <c r="IJ6"/>
  <c r="IK6"/>
  <c r="IL6"/>
  <c r="IM6"/>
  <c r="IN6"/>
  <c r="IO6"/>
  <c r="IP6"/>
  <c r="IQ6"/>
  <c r="IR6"/>
  <c r="IS6"/>
  <c r="IT6"/>
  <c r="IU6"/>
  <c r="IV6"/>
  <c r="A5"/>
  <c r="B5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CN5"/>
  <c r="CO5"/>
  <c r="CP5"/>
  <c r="CQ5"/>
  <c r="CR5"/>
  <c r="CS5"/>
  <c r="CT5"/>
  <c r="CU5"/>
  <c r="CV5"/>
  <c r="CW5"/>
  <c r="CX5"/>
  <c r="CY5"/>
  <c r="CZ5"/>
  <c r="DA5"/>
  <c r="DB5"/>
  <c r="DC5"/>
  <c r="DD5"/>
  <c r="DE5"/>
  <c r="DF5"/>
  <c r="DG5"/>
  <c r="DH5"/>
  <c r="DI5"/>
  <c r="DJ5"/>
  <c r="DK5"/>
  <c r="DL5"/>
  <c r="DM5"/>
  <c r="DN5"/>
  <c r="DO5"/>
  <c r="DP5"/>
  <c r="DQ5"/>
  <c r="DR5"/>
  <c r="DS5"/>
  <c r="DT5"/>
  <c r="DU5"/>
  <c r="DV5"/>
  <c r="DW5"/>
  <c r="DX5"/>
  <c r="DY5"/>
  <c r="DZ5"/>
  <c r="EA5"/>
  <c r="EB5"/>
  <c r="EC5"/>
  <c r="ED5"/>
  <c r="EE5"/>
  <c r="EF5"/>
  <c r="EG5"/>
  <c r="EH5"/>
  <c r="EI5"/>
  <c r="EJ5"/>
  <c r="EK5"/>
  <c r="EL5"/>
  <c r="EM5"/>
  <c r="EN5"/>
  <c r="EO5"/>
  <c r="EP5"/>
  <c r="EQ5"/>
  <c r="ER5"/>
  <c r="ES5"/>
  <c r="ET5"/>
  <c r="EU5"/>
  <c r="EV5"/>
  <c r="EW5"/>
  <c r="EX5"/>
  <c r="EY5"/>
  <c r="EZ5"/>
  <c r="FA5"/>
  <c r="FB5"/>
  <c r="FC5"/>
  <c r="FD5"/>
  <c r="FE5"/>
  <c r="FF5"/>
  <c r="FG5"/>
  <c r="FH5"/>
  <c r="FI5"/>
  <c r="FJ5"/>
  <c r="FK5"/>
  <c r="FL5"/>
  <c r="FM5"/>
  <c r="FN5"/>
  <c r="FO5"/>
  <c r="FP5"/>
  <c r="FQ5"/>
  <c r="FR5"/>
  <c r="FS5"/>
  <c r="FT5"/>
  <c r="FU5"/>
  <c r="FV5"/>
  <c r="FW5"/>
  <c r="FX5"/>
  <c r="FY5"/>
  <c r="FZ5"/>
  <c r="GA5"/>
  <c r="GB5"/>
  <c r="GC5"/>
  <c r="GD5"/>
  <c r="GE5"/>
  <c r="GF5"/>
  <c r="GG5"/>
  <c r="GH5"/>
  <c r="GI5"/>
  <c r="GJ5"/>
  <c r="GK5"/>
  <c r="GL5"/>
  <c r="GM5"/>
  <c r="GN5"/>
  <c r="GO5"/>
  <c r="GP5"/>
  <c r="GQ5"/>
  <c r="GR5"/>
  <c r="GS5"/>
  <c r="GT5"/>
  <c r="GU5"/>
  <c r="GV5"/>
  <c r="GW5"/>
  <c r="GX5"/>
  <c r="GY5"/>
  <c r="GZ5"/>
  <c r="HA5"/>
  <c r="HB5"/>
  <c r="HC5"/>
  <c r="HD5"/>
  <c r="HE5"/>
  <c r="HF5"/>
  <c r="HG5"/>
  <c r="HH5"/>
  <c r="HI5"/>
  <c r="HJ5"/>
  <c r="HK5"/>
  <c r="HL5"/>
  <c r="HM5"/>
  <c r="HN5"/>
  <c r="HO5"/>
  <c r="HP5"/>
  <c r="HQ5"/>
  <c r="HR5"/>
  <c r="HS5"/>
  <c r="HT5"/>
  <c r="HU5"/>
  <c r="HV5"/>
  <c r="HW5"/>
  <c r="HX5"/>
  <c r="HY5"/>
  <c r="HZ5"/>
  <c r="IA5"/>
  <c r="IB5"/>
  <c r="IC5"/>
  <c r="ID5"/>
  <c r="IE5"/>
  <c r="IF5"/>
  <c r="IG5"/>
  <c r="IH5"/>
  <c r="II5"/>
  <c r="IJ5"/>
  <c r="IK5"/>
  <c r="IL5"/>
  <c r="IM5"/>
  <c r="IN5"/>
  <c r="IO5"/>
  <c r="IP5"/>
  <c r="IQ5"/>
  <c r="IR5"/>
  <c r="IS5"/>
  <c r="IT5"/>
  <c r="IU5"/>
  <c r="IV5"/>
  <c r="A4"/>
  <c r="B4"/>
  <c r="C4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CI4"/>
  <c r="CJ4"/>
  <c r="CK4"/>
  <c r="CL4"/>
  <c r="CM4"/>
  <c r="CN4"/>
  <c r="CO4"/>
  <c r="CP4"/>
  <c r="CQ4"/>
  <c r="CR4"/>
  <c r="CS4"/>
  <c r="CT4"/>
  <c r="CU4"/>
  <c r="CV4"/>
  <c r="CW4"/>
  <c r="CX4"/>
  <c r="CY4"/>
  <c r="CZ4"/>
  <c r="DA4"/>
  <c r="DB4"/>
  <c r="DC4"/>
  <c r="DD4"/>
  <c r="DE4"/>
  <c r="DF4"/>
  <c r="DG4"/>
  <c r="DH4"/>
  <c r="DI4"/>
  <c r="DJ4"/>
  <c r="DK4"/>
  <c r="DL4"/>
  <c r="DM4"/>
  <c r="DN4"/>
  <c r="DO4"/>
  <c r="DP4"/>
  <c r="DQ4"/>
  <c r="DR4"/>
  <c r="DS4"/>
  <c r="DT4"/>
  <c r="DU4"/>
  <c r="DV4"/>
  <c r="DW4"/>
  <c r="DX4"/>
  <c r="DY4"/>
  <c r="DZ4"/>
  <c r="EA4"/>
  <c r="EB4"/>
  <c r="EC4"/>
  <c r="ED4"/>
  <c r="EE4"/>
  <c r="EF4"/>
  <c r="EG4"/>
  <c r="EH4"/>
  <c r="EI4"/>
  <c r="EJ4"/>
  <c r="EK4"/>
  <c r="EL4"/>
  <c r="EM4"/>
  <c r="EN4"/>
  <c r="EO4"/>
  <c r="EP4"/>
  <c r="EQ4"/>
  <c r="ER4"/>
  <c r="ES4"/>
  <c r="ET4"/>
  <c r="EU4"/>
  <c r="EV4"/>
  <c r="EW4"/>
  <c r="EX4"/>
  <c r="EY4"/>
  <c r="EZ4"/>
  <c r="FA4"/>
  <c r="FB4"/>
  <c r="FC4"/>
  <c r="FD4"/>
  <c r="FE4"/>
  <c r="FF4"/>
  <c r="FG4"/>
  <c r="FH4"/>
  <c r="FI4"/>
  <c r="FJ4"/>
  <c r="FK4"/>
  <c r="FL4"/>
  <c r="FM4"/>
  <c r="FN4"/>
  <c r="FO4"/>
  <c r="FP4"/>
  <c r="FQ4"/>
  <c r="FR4"/>
  <c r="FS4"/>
  <c r="FT4"/>
  <c r="FU4"/>
  <c r="FV4"/>
  <c r="FW4"/>
  <c r="FX4"/>
  <c r="FY4"/>
  <c r="FZ4"/>
  <c r="GA4"/>
  <c r="GB4"/>
  <c r="GC4"/>
  <c r="GD4"/>
  <c r="GE4"/>
  <c r="GF4"/>
  <c r="GG4"/>
  <c r="GH4"/>
  <c r="GI4"/>
  <c r="GJ4"/>
  <c r="GK4"/>
  <c r="GL4"/>
  <c r="GM4"/>
  <c r="GN4"/>
  <c r="GO4"/>
  <c r="GP4"/>
  <c r="GQ4"/>
  <c r="GR4"/>
  <c r="GS4"/>
  <c r="GT4"/>
  <c r="GU4"/>
  <c r="GV4"/>
  <c r="GW4"/>
  <c r="GX4"/>
  <c r="GY4"/>
  <c r="GZ4"/>
  <c r="HA4"/>
  <c r="HB4"/>
  <c r="HC4"/>
  <c r="HD4"/>
  <c r="HE4"/>
  <c r="HF4"/>
  <c r="HG4"/>
  <c r="HH4"/>
  <c r="HI4"/>
  <c r="HJ4"/>
  <c r="HK4"/>
  <c r="HL4"/>
  <c r="HM4"/>
  <c r="HN4"/>
  <c r="HO4"/>
  <c r="HP4"/>
  <c r="HQ4"/>
  <c r="HR4"/>
  <c r="HS4"/>
  <c r="HT4"/>
  <c r="HU4"/>
  <c r="HV4"/>
  <c r="HW4"/>
  <c r="HX4"/>
  <c r="HY4"/>
  <c r="HZ4"/>
  <c r="IA4"/>
  <c r="IB4"/>
  <c r="IC4"/>
  <c r="ID4"/>
  <c r="IE4"/>
  <c r="IF4"/>
  <c r="IG4"/>
  <c r="IH4"/>
  <c r="II4"/>
  <c r="IJ4"/>
  <c r="IK4"/>
  <c r="IL4"/>
  <c r="IM4"/>
  <c r="IN4"/>
  <c r="IO4"/>
  <c r="IP4"/>
  <c r="IQ4"/>
  <c r="IR4"/>
  <c r="IS4"/>
  <c r="IT4"/>
  <c r="IU4"/>
  <c r="IV4"/>
  <c r="A3"/>
  <c r="B3"/>
  <c r="C3"/>
  <c r="D3"/>
  <c r="E3"/>
  <c r="F3"/>
  <c r="G3"/>
  <c r="H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CI3"/>
  <c r="CJ3"/>
  <c r="CK3"/>
  <c r="CL3"/>
  <c r="CM3"/>
  <c r="CN3"/>
  <c r="CO3"/>
  <c r="CP3"/>
  <c r="CQ3"/>
  <c r="CR3"/>
  <c r="CS3"/>
  <c r="CT3"/>
  <c r="CU3"/>
  <c r="CV3"/>
  <c r="CW3"/>
  <c r="CX3"/>
  <c r="CY3"/>
  <c r="CZ3"/>
  <c r="DA3"/>
  <c r="DB3"/>
  <c r="DC3"/>
  <c r="DD3"/>
  <c r="DE3"/>
  <c r="DF3"/>
  <c r="DG3"/>
  <c r="DH3"/>
  <c r="DI3"/>
  <c r="DJ3"/>
  <c r="DK3"/>
  <c r="DL3"/>
  <c r="DM3"/>
  <c r="DN3"/>
  <c r="DO3"/>
  <c r="DP3"/>
  <c r="DQ3"/>
  <c r="DR3"/>
  <c r="DS3"/>
  <c r="DT3"/>
  <c r="DU3"/>
  <c r="DV3"/>
  <c r="DW3"/>
  <c r="DX3"/>
  <c r="DY3"/>
  <c r="DZ3"/>
  <c r="EA3"/>
  <c r="EB3"/>
  <c r="EC3"/>
  <c r="ED3"/>
  <c r="EE3"/>
  <c r="EF3"/>
  <c r="EG3"/>
  <c r="EH3"/>
  <c r="EI3"/>
  <c r="EJ3"/>
  <c r="EK3"/>
  <c r="EL3"/>
  <c r="EM3"/>
  <c r="EN3"/>
  <c r="EO3"/>
  <c r="EP3"/>
  <c r="EQ3"/>
  <c r="ER3"/>
  <c r="ES3"/>
  <c r="ET3"/>
  <c r="EU3"/>
  <c r="EV3"/>
  <c r="EW3"/>
  <c r="EX3"/>
  <c r="EY3"/>
  <c r="EZ3"/>
  <c r="FA3"/>
  <c r="FB3"/>
  <c r="FC3"/>
  <c r="FD3"/>
  <c r="FE3"/>
  <c r="FF3"/>
  <c r="FG3"/>
  <c r="FH3"/>
  <c r="FI3"/>
  <c r="FJ3"/>
  <c r="FK3"/>
  <c r="FL3"/>
  <c r="FM3"/>
  <c r="FN3"/>
  <c r="FO3"/>
  <c r="FP3"/>
  <c r="FQ3"/>
  <c r="FR3"/>
  <c r="FS3"/>
  <c r="FT3"/>
  <c r="FU3"/>
  <c r="FV3"/>
  <c r="FW3"/>
  <c r="FX3"/>
  <c r="FY3"/>
  <c r="FZ3"/>
  <c r="GA3"/>
  <c r="GB3"/>
  <c r="GC3"/>
  <c r="GD3"/>
  <c r="GE3"/>
  <c r="GF3"/>
  <c r="GG3"/>
  <c r="GH3"/>
  <c r="GI3"/>
  <c r="GJ3"/>
  <c r="GK3"/>
  <c r="GL3"/>
  <c r="GM3"/>
  <c r="GN3"/>
  <c r="GO3"/>
  <c r="GP3"/>
  <c r="GQ3"/>
  <c r="GR3"/>
  <c r="GS3"/>
  <c r="GT3"/>
  <c r="GU3"/>
  <c r="GV3"/>
  <c r="GW3"/>
  <c r="GX3"/>
  <c r="GY3"/>
  <c r="GZ3"/>
  <c r="HA3"/>
  <c r="HB3"/>
  <c r="HC3"/>
  <c r="HD3"/>
  <c r="HE3"/>
  <c r="HF3"/>
  <c r="HG3"/>
  <c r="HH3"/>
  <c r="HI3"/>
  <c r="HJ3"/>
  <c r="HK3"/>
  <c r="HL3"/>
  <c r="HM3"/>
  <c r="HN3"/>
  <c r="HO3"/>
  <c r="HP3"/>
  <c r="HQ3"/>
  <c r="HR3"/>
  <c r="HS3"/>
  <c r="HT3"/>
  <c r="HU3"/>
  <c r="HV3"/>
  <c r="HW3"/>
  <c r="HX3"/>
  <c r="HY3"/>
  <c r="HZ3"/>
  <c r="IA3"/>
  <c r="IB3"/>
  <c r="IC3"/>
  <c r="ID3"/>
  <c r="IE3"/>
  <c r="IF3"/>
  <c r="IG3"/>
  <c r="IH3"/>
  <c r="II3"/>
  <c r="IJ3"/>
  <c r="IK3"/>
  <c r="IL3"/>
  <c r="IM3"/>
  <c r="IN3"/>
  <c r="IO3"/>
  <c r="IP3"/>
  <c r="IQ3"/>
  <c r="IR3"/>
  <c r="IS3"/>
  <c r="IT3"/>
  <c r="IU3"/>
  <c r="IV3"/>
  <c r="A2"/>
  <c r="B2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Y2"/>
  <c r="BZ2"/>
  <c r="CA2"/>
  <c r="CB2"/>
  <c r="CC2"/>
  <c r="CD2"/>
  <c r="CE2"/>
  <c r="CF2"/>
  <c r="CG2"/>
  <c r="CH2"/>
  <c r="CI2"/>
  <c r="CJ2"/>
  <c r="CK2"/>
  <c r="CL2"/>
  <c r="CM2"/>
  <c r="CN2"/>
  <c r="CO2"/>
  <c r="CP2"/>
  <c r="CQ2"/>
  <c r="CR2"/>
  <c r="CS2"/>
  <c r="CT2"/>
  <c r="CU2"/>
  <c r="CV2"/>
  <c r="CW2"/>
  <c r="CX2"/>
  <c r="CY2"/>
  <c r="CZ2"/>
  <c r="DA2"/>
  <c r="DB2"/>
  <c r="DC2"/>
  <c r="DD2"/>
  <c r="DE2"/>
  <c r="DF2"/>
  <c r="DG2"/>
  <c r="DH2"/>
  <c r="DI2"/>
  <c r="DJ2"/>
  <c r="DK2"/>
  <c r="DL2"/>
  <c r="DM2"/>
  <c r="DN2"/>
  <c r="DO2"/>
  <c r="DP2"/>
  <c r="DQ2"/>
  <c r="DR2"/>
  <c r="DS2"/>
  <c r="DT2"/>
  <c r="DU2"/>
  <c r="DV2"/>
  <c r="DW2"/>
  <c r="DX2"/>
  <c r="DY2"/>
  <c r="DZ2"/>
  <c r="EA2"/>
  <c r="EB2"/>
  <c r="EC2"/>
  <c r="ED2"/>
  <c r="EE2"/>
  <c r="EF2"/>
  <c r="EG2"/>
  <c r="EH2"/>
  <c r="EI2"/>
  <c r="EJ2"/>
  <c r="EK2"/>
  <c r="EL2"/>
  <c r="EM2"/>
  <c r="EN2"/>
  <c r="EO2"/>
  <c r="EP2"/>
  <c r="EQ2"/>
  <c r="ER2"/>
  <c r="ES2"/>
  <c r="ET2"/>
  <c r="EU2"/>
  <c r="EV2"/>
  <c r="EW2"/>
  <c r="EX2"/>
  <c r="EY2"/>
  <c r="EZ2"/>
  <c r="FA2"/>
  <c r="FB2"/>
  <c r="FC2"/>
  <c r="FD2"/>
  <c r="FE2"/>
  <c r="FF2"/>
  <c r="FG2"/>
  <c r="FH2"/>
  <c r="FI2"/>
  <c r="FJ2"/>
  <c r="FK2"/>
  <c r="FL2"/>
  <c r="FM2"/>
  <c r="FN2"/>
  <c r="FO2"/>
  <c r="FP2"/>
  <c r="FQ2"/>
  <c r="FR2"/>
  <c r="FS2"/>
  <c r="FT2"/>
  <c r="FU2"/>
  <c r="FV2"/>
  <c r="FW2"/>
  <c r="FX2"/>
  <c r="FY2"/>
  <c r="FZ2"/>
  <c r="GA2"/>
  <c r="GB2"/>
  <c r="GC2"/>
  <c r="GD2"/>
  <c r="GE2"/>
  <c r="GF2"/>
  <c r="GG2"/>
  <c r="GH2"/>
  <c r="GI2"/>
  <c r="GJ2"/>
  <c r="GK2"/>
  <c r="GL2"/>
  <c r="GM2"/>
  <c r="GN2"/>
  <c r="GO2"/>
  <c r="GP2"/>
  <c r="GQ2"/>
  <c r="GR2"/>
  <c r="GS2"/>
  <c r="GT2"/>
  <c r="GU2"/>
  <c r="GV2"/>
  <c r="GW2"/>
  <c r="GX2"/>
  <c r="GY2"/>
  <c r="GZ2"/>
  <c r="HA2"/>
  <c r="HB2"/>
  <c r="HC2"/>
  <c r="HD2"/>
  <c r="HE2"/>
  <c r="HF2"/>
  <c r="HG2"/>
  <c r="HH2"/>
  <c r="HI2"/>
  <c r="HJ2"/>
  <c r="HK2"/>
  <c r="HL2"/>
  <c r="HM2"/>
  <c r="HN2"/>
  <c r="HO2"/>
  <c r="HP2"/>
  <c r="HQ2"/>
  <c r="HR2"/>
  <c r="HS2"/>
  <c r="HT2"/>
  <c r="HU2"/>
  <c r="HV2"/>
  <c r="HW2"/>
  <c r="HX2"/>
  <c r="HY2"/>
  <c r="HZ2"/>
  <c r="IA2"/>
  <c r="IB2"/>
  <c r="IC2"/>
  <c r="ID2"/>
  <c r="IE2"/>
  <c r="IF2"/>
  <c r="IG2"/>
  <c r="IH2"/>
  <c r="II2"/>
  <c r="IJ2"/>
  <c r="IK2"/>
  <c r="IL2"/>
  <c r="IM2"/>
  <c r="IN2"/>
  <c r="IO2"/>
  <c r="IP2"/>
  <c r="IQ2"/>
  <c r="IR2"/>
  <c r="IS2"/>
  <c r="IT2"/>
  <c r="IU2"/>
  <c r="IV2"/>
  <c r="A1"/>
  <c r="B1"/>
  <c r="C1"/>
  <c r="D1"/>
  <c r="E1"/>
  <c r="F1"/>
  <c r="G1"/>
  <c r="H1"/>
  <c r="I1"/>
  <c r="J1"/>
  <c r="K1"/>
  <c r="L1"/>
  <c r="M1"/>
  <c r="N1"/>
  <c r="O1"/>
  <c r="P1"/>
  <c r="Q1"/>
  <c r="R1"/>
  <c r="S1"/>
  <c r="T1"/>
  <c r="U1"/>
  <c r="V1"/>
  <c r="W1"/>
  <c r="X1"/>
  <c r="Y1"/>
  <c r="Z1"/>
  <c r="AA1"/>
  <c r="AB1"/>
  <c r="AC1"/>
  <c r="AD1"/>
  <c r="AE1"/>
  <c r="AF1"/>
  <c r="AG1"/>
  <c r="AH1"/>
  <c r="AI1"/>
  <c r="AJ1"/>
  <c r="AK1"/>
  <c r="AL1"/>
  <c r="AM1"/>
  <c r="AN1"/>
  <c r="AO1"/>
  <c r="AP1"/>
  <c r="AQ1"/>
  <c r="AR1"/>
  <c r="AS1"/>
  <c r="AT1"/>
  <c r="AU1"/>
  <c r="AV1"/>
  <c r="AW1"/>
  <c r="AX1"/>
  <c r="AY1"/>
  <c r="AZ1"/>
  <c r="BA1"/>
  <c r="BB1"/>
  <c r="BC1"/>
  <c r="BD1"/>
  <c r="BE1"/>
  <c r="BF1"/>
  <c r="BG1"/>
  <c r="BH1"/>
  <c r="BI1"/>
  <c r="BJ1"/>
  <c r="BK1"/>
  <c r="BL1"/>
  <c r="BM1"/>
  <c r="BN1"/>
  <c r="BO1"/>
  <c r="BP1"/>
  <c r="BQ1"/>
  <c r="BR1"/>
  <c r="BS1"/>
  <c r="BT1"/>
  <c r="BU1"/>
  <c r="BV1"/>
  <c r="BW1"/>
  <c r="BX1"/>
  <c r="BY1"/>
  <c r="BZ1"/>
  <c r="CA1"/>
  <c r="CB1"/>
  <c r="CC1"/>
  <c r="CD1"/>
  <c r="CE1"/>
  <c r="CF1"/>
  <c r="CG1"/>
  <c r="CH1"/>
  <c r="CI1"/>
  <c r="CJ1"/>
  <c r="CK1"/>
  <c r="CL1"/>
  <c r="CM1"/>
  <c r="CN1"/>
  <c r="CO1"/>
  <c r="CP1"/>
  <c r="CQ1"/>
  <c r="CR1"/>
  <c r="CS1"/>
  <c r="CT1"/>
  <c r="CU1"/>
  <c r="CV1"/>
  <c r="CW1"/>
  <c r="CX1"/>
  <c r="CY1"/>
  <c r="CZ1"/>
  <c r="DA1"/>
  <c r="DB1"/>
  <c r="DC1"/>
  <c r="DD1"/>
  <c r="DE1"/>
  <c r="DF1"/>
  <c r="DG1"/>
  <c r="DH1"/>
  <c r="DI1"/>
  <c r="DJ1"/>
  <c r="DK1"/>
  <c r="DL1"/>
  <c r="DM1"/>
  <c r="DN1"/>
  <c r="DO1"/>
  <c r="DP1"/>
  <c r="DQ1"/>
  <c r="DR1"/>
  <c r="DS1"/>
  <c r="DT1"/>
  <c r="DU1"/>
  <c r="DV1"/>
  <c r="DW1"/>
  <c r="DX1"/>
  <c r="DY1"/>
  <c r="DZ1"/>
  <c r="EA1"/>
  <c r="EB1"/>
  <c r="EC1"/>
  <c r="ED1"/>
  <c r="EE1"/>
  <c r="EF1"/>
  <c r="EG1"/>
  <c r="EH1"/>
  <c r="EI1"/>
  <c r="EJ1"/>
  <c r="EK1"/>
  <c r="EL1"/>
  <c r="EM1"/>
  <c r="EN1"/>
  <c r="EO1"/>
  <c r="EP1"/>
  <c r="EQ1"/>
  <c r="ER1"/>
  <c r="ES1"/>
  <c r="ET1"/>
  <c r="EU1"/>
  <c r="EV1"/>
  <c r="EW1"/>
  <c r="EX1"/>
  <c r="EY1"/>
  <c r="EZ1"/>
  <c r="FA1"/>
  <c r="FB1"/>
  <c r="FC1"/>
  <c r="FD1"/>
  <c r="FE1"/>
  <c r="FF1"/>
  <c r="FG1"/>
  <c r="FH1"/>
  <c r="FI1"/>
  <c r="FJ1"/>
  <c r="FK1"/>
  <c r="FL1"/>
  <c r="FM1"/>
  <c r="FN1"/>
  <c r="FO1"/>
  <c r="FP1"/>
  <c r="FQ1"/>
  <c r="FR1"/>
  <c r="FS1"/>
  <c r="FT1"/>
  <c r="FU1"/>
  <c r="FV1"/>
  <c r="FW1"/>
  <c r="FX1"/>
  <c r="FY1"/>
  <c r="FZ1"/>
  <c r="GA1"/>
  <c r="GB1"/>
  <c r="GC1"/>
  <c r="GD1"/>
  <c r="GE1"/>
  <c r="GF1"/>
  <c r="GG1"/>
  <c r="GH1"/>
  <c r="GI1"/>
  <c r="GJ1"/>
  <c r="GK1"/>
  <c r="GL1"/>
  <c r="GM1"/>
  <c r="GN1"/>
  <c r="GO1"/>
  <c r="GP1"/>
  <c r="GQ1"/>
  <c r="GR1"/>
  <c r="GS1"/>
  <c r="GT1"/>
  <c r="GU1"/>
  <c r="GV1"/>
  <c r="GW1"/>
  <c r="GX1"/>
  <c r="GY1"/>
  <c r="GZ1"/>
  <c r="HA1"/>
  <c r="HB1"/>
  <c r="HC1"/>
  <c r="HD1"/>
  <c r="HE1"/>
  <c r="HF1"/>
  <c r="HG1"/>
  <c r="HH1"/>
  <c r="HI1"/>
  <c r="HJ1"/>
  <c r="HK1"/>
  <c r="HL1"/>
  <c r="HM1"/>
  <c r="HN1"/>
  <c r="HO1"/>
  <c r="HP1"/>
  <c r="HQ1"/>
  <c r="HR1"/>
  <c r="HS1"/>
  <c r="HT1"/>
  <c r="HU1"/>
  <c r="HV1"/>
  <c r="HW1"/>
  <c r="HX1"/>
  <c r="HY1"/>
  <c r="HZ1"/>
  <c r="IA1"/>
  <c r="IB1"/>
  <c r="IC1"/>
  <c r="ID1"/>
  <c r="IE1"/>
  <c r="IF1"/>
  <c r="IG1"/>
  <c r="IH1"/>
  <c r="II1"/>
  <c r="IJ1"/>
  <c r="IK1"/>
  <c r="IL1"/>
  <c r="IM1"/>
  <c r="IN1"/>
  <c r="IO1"/>
  <c r="IP1"/>
  <c r="IQ1"/>
  <c r="IR1"/>
  <c r="IS1"/>
  <c r="IT1"/>
  <c r="IU1"/>
  <c r="IV1"/>
</calcChain>
</file>

<file path=xl/sharedStrings.xml><?xml version="1.0" encoding="utf-8"?>
<sst xmlns="http://schemas.openxmlformats.org/spreadsheetml/2006/main" count="38989" uniqueCount="18392">
  <si>
    <t>item_code</t>
  </si>
  <si>
    <t>upc</t>
  </si>
  <si>
    <t>pack</t>
  </si>
  <si>
    <t>size</t>
  </si>
  <si>
    <t>desc</t>
  </si>
  <si>
    <t>5 CT</t>
  </si>
  <si>
    <t>4 CT</t>
  </si>
  <si>
    <t>6 CT</t>
  </si>
  <si>
    <t>1 CT</t>
  </si>
  <si>
    <t>25 CT</t>
  </si>
  <si>
    <t>10 CT</t>
  </si>
  <si>
    <t>100 CT</t>
  </si>
  <si>
    <t>3 CT</t>
  </si>
  <si>
    <t>20 CT</t>
  </si>
  <si>
    <t>3 OZ</t>
  </si>
  <si>
    <t>1.25 OZ</t>
  </si>
  <si>
    <t>1.2 OZ</t>
  </si>
  <si>
    <t>1.5 OZ</t>
  </si>
  <si>
    <t>1.75 OZ</t>
  </si>
  <si>
    <t>AIRHEADS AIRHEAD CK STAND</t>
  </si>
  <si>
    <t>1.76 OZ</t>
  </si>
  <si>
    <t>ALTOIDS CHOC CREME DE MENT</t>
  </si>
  <si>
    <t>ALTOIDS CHOCOLATE P/MINT</t>
  </si>
  <si>
    <t>ALTOIDS CINNAMON FE</t>
  </si>
  <si>
    <t>ALTOIDS CREME DE MENTHE</t>
  </si>
  <si>
    <t>ALTOIDS PEPPERMINT FE</t>
  </si>
  <si>
    <t>.37 OZ</t>
  </si>
  <si>
    <t>ALTOIDS SMALLS PEPPERMINT</t>
  </si>
  <si>
    <t>ALTOIDS SMALLS WINTERGREEN</t>
  </si>
  <si>
    <t>ALTOIDS TANGERINE SOURS</t>
  </si>
  <si>
    <t>ALTOIDS WINTERGREEN FE</t>
  </si>
  <si>
    <t>2 OZ</t>
  </si>
  <si>
    <t>AMUROL BUBBLE TAPE ORIG</t>
  </si>
  <si>
    <t>.75 OZ</t>
  </si>
  <si>
    <t>BRTH SVRS MINTS SUGRF/PEPPRM</t>
  </si>
  <si>
    <t>BRTH SVRS SUGARLESS WINTRGRN</t>
  </si>
  <si>
    <t>.27 OZ</t>
  </si>
  <si>
    <t>BUBBLEYUM GUM REGULAR/BUBBL</t>
  </si>
  <si>
    <t>BUBBLICIO GUM GONZO GRAPE</t>
  </si>
  <si>
    <t>BUBBLICUS GUM BIG 10PK WTRML</t>
  </si>
  <si>
    <t>BUBBLICUS GUM STRAWBERRY</t>
  </si>
  <si>
    <t>BUBBLICUS GUM WATERMELON</t>
  </si>
  <si>
    <t>CHARMS CANDY BLOW POPS</t>
  </si>
  <si>
    <t>9 CT</t>
  </si>
  <si>
    <t>DENTYNE BLAST COOL LIME</t>
  </si>
  <si>
    <t>DENTYNE BLAST WINTER CHILL</t>
  </si>
  <si>
    <t>DENTYNE FIRE SUGRLSS SINGL</t>
  </si>
  <si>
    <t>12 CT</t>
  </si>
  <si>
    <t>DENTYNE GUM ICE PEPPERMINT</t>
  </si>
  <si>
    <t>DENTYNE GUM ICE SPEARMINT</t>
  </si>
  <si>
    <t>DENTYNE ICE ARCTIC CHILL</t>
  </si>
  <si>
    <t>DENTYNE ICE MINT MEDLY SGL</t>
  </si>
  <si>
    <t>60 CT</t>
  </si>
  <si>
    <t>DENTYNE ICE SF PEPRMNT BTL</t>
  </si>
  <si>
    <t>DENTYNE VANILLA CHILL</t>
  </si>
  <si>
    <t>DOVE DRK CHOC SNGL BAR</t>
  </si>
  <si>
    <t>1.3 OZ</t>
  </si>
  <si>
    <t>DOVE MILK CHOC SINGLES</t>
  </si>
  <si>
    <t>ECLIPSE CINNAMON MINTS</t>
  </si>
  <si>
    <t>12 PK</t>
  </si>
  <si>
    <t>ECLIPSE ECLIPSE PEPPERMINT</t>
  </si>
  <si>
    <t>ECLIPSE GUM WNTRFRSH ECLPS</t>
  </si>
  <si>
    <t>ECLIPSE MINTS PEPPERMINT</t>
  </si>
  <si>
    <t>ECLIPSE MINTS WINTERFROST</t>
  </si>
  <si>
    <t>ECLIPSE SPEARMINT</t>
  </si>
  <si>
    <t>ECLISPE BIG E POLAR ICE</t>
  </si>
  <si>
    <t>ECLISPE BIG E SPEARMINT</t>
  </si>
  <si>
    <t>ECLISPE BIG E WINTERFROST</t>
  </si>
  <si>
    <t>15 CT</t>
  </si>
  <si>
    <t>EXTRA BERRY PEARADISE SS</t>
  </si>
  <si>
    <t>EXTRA CLASSIC BUBLE GUM</t>
  </si>
  <si>
    <t>EXTRA FS BERRY SMOOTHIE</t>
  </si>
  <si>
    <t>EXTRA FS MANGO SMOOTHIE</t>
  </si>
  <si>
    <t>EXTRA ISLAND COOLER SS</t>
  </si>
  <si>
    <t>EXTRA PEPPERMINT SS</t>
  </si>
  <si>
    <t>EXTRA POLAR ICE SS</t>
  </si>
  <si>
    <t>EXTRA SPEARMINT SS</t>
  </si>
  <si>
    <t>EXTRA STRAWBERRY BANNANA</t>
  </si>
  <si>
    <t>EXTRA SWEET WATERMELON</t>
  </si>
  <si>
    <t>EXTRA WINTERFRESH SS</t>
  </si>
  <si>
    <t>FERRERO ROCHER 3PC CKSTND</t>
  </si>
  <si>
    <t>0.95 OZ</t>
  </si>
  <si>
    <t>FERRERO TICTC EXTC CHRYMNT</t>
  </si>
  <si>
    <t>FERRERO TICTC PARDIS MINT</t>
  </si>
  <si>
    <t>FREEDENT SPEARMINT PL T PK</t>
  </si>
  <si>
    <t>.9 OZ</t>
  </si>
  <si>
    <t>GHIRADELL DARK CACAO SQUARE</t>
  </si>
  <si>
    <t>GHIRARDEL MC W/CRML SQRS</t>
  </si>
  <si>
    <t>GOLDENBRG ORIGINAL PNUT CHEW</t>
  </si>
  <si>
    <t>3.5 OZ</t>
  </si>
  <si>
    <t>GREENBLCK TOFFEE</t>
  </si>
  <si>
    <t>1.8 OZ</t>
  </si>
  <si>
    <t>HERSHEY ALMOND JOY</t>
  </si>
  <si>
    <t>2.6 OZ</t>
  </si>
  <si>
    <t>HERSHEY ALMOND KING SIZE</t>
  </si>
  <si>
    <t>1.9 OZ</t>
  </si>
  <si>
    <t>HERSHEY BARS, 5TH AVENUE</t>
  </si>
  <si>
    <t>1.27 OZ</t>
  </si>
  <si>
    <t>HERSHEY BREATHSAVERS 3HR</t>
  </si>
  <si>
    <t>1.1 OZ</t>
  </si>
  <si>
    <t>HERSHEY BRTHSVR 3HR SPRMNT</t>
  </si>
  <si>
    <t>1.54 OZ</t>
  </si>
  <si>
    <t>HERSHEY CKY N CRM SNGL BAR</t>
  </si>
  <si>
    <t>1.80 OZ</t>
  </si>
  <si>
    <t>HERSHEY CR CC DRK CHC TIN</t>
  </si>
  <si>
    <t>HERSHEY DARK CRAN,BLUE,ALM</t>
  </si>
  <si>
    <t>4.5 OZ</t>
  </si>
  <si>
    <t>HERSHEY FILLED CARAMEL XL</t>
  </si>
  <si>
    <t>1.4 OZ</t>
  </si>
  <si>
    <t>HERSHEY HEATH BAR</t>
  </si>
  <si>
    <t>1.32 OZ</t>
  </si>
  <si>
    <t>HERSHEY IB SRBRY GUM</t>
  </si>
  <si>
    <t>.81 OZ</t>
  </si>
  <si>
    <t>HERSHEY IC BRKRS PEPPRMNT</t>
  </si>
  <si>
    <t>HERSHEY ICE BREAKER SOUR</t>
  </si>
  <si>
    <t>HERSHEY ICE BREAKERS SOURS</t>
  </si>
  <si>
    <t>HERSHEY ICE BRKRS SPRMNT</t>
  </si>
  <si>
    <t>HERSHEY ICEBRK SOURGUM TIN</t>
  </si>
  <si>
    <t>HERSHEY KISSABLES CHC CNDY</t>
  </si>
  <si>
    <t>HERSHEY KIT KAT</t>
  </si>
  <si>
    <t>HERSHEY KIT KAT BAR</t>
  </si>
  <si>
    <t>1.61 OZ</t>
  </si>
  <si>
    <t>HERSHEY KIT KAT EXTRA CRSP</t>
  </si>
  <si>
    <t>1.45 OZ</t>
  </si>
  <si>
    <t>HERSHEY KITKAT CARAMEL BAR</t>
  </si>
  <si>
    <t>HERSHEY MILK CHOC KING SZ</t>
  </si>
  <si>
    <t>HERSHEY MLK CHOC W/CARAMEL</t>
  </si>
  <si>
    <t>HERSHEY MOUNDS</t>
  </si>
  <si>
    <t>1.6 OZ</t>
  </si>
  <si>
    <t>HERSHEY MR. GOODBAR</t>
  </si>
  <si>
    <t>1.7 OZ</t>
  </si>
  <si>
    <t>HERSHEY PB CUP CRSPY CRNCH</t>
  </si>
  <si>
    <t>HERSHEY PNTBTR FILLED XL</t>
  </si>
  <si>
    <t>HERSHEY REESE PB CUP CARML</t>
  </si>
  <si>
    <t>HERSHEY REESE WHIPS</t>
  </si>
  <si>
    <t>HERSHEY REESES BIG CUP BAR</t>
  </si>
  <si>
    <t>1.53 OZ</t>
  </si>
  <si>
    <t>HERSHEY REESES PIECES</t>
  </si>
  <si>
    <t>HERSHEY ROLO</t>
  </si>
  <si>
    <t>HERSHEY SKOR</t>
  </si>
  <si>
    <t>HERSHEY SPECIAL DARK BAR</t>
  </si>
  <si>
    <t>HERSHEY TAKE FIVE STNDRD B</t>
  </si>
  <si>
    <t>1.35 OZ</t>
  </si>
  <si>
    <t>HERSHEY YORK MINTS</t>
  </si>
  <si>
    <t>HERSHEY YORK PEPP PATTIES</t>
  </si>
  <si>
    <t>1.85 OZ</t>
  </si>
  <si>
    <t>HERSHEY ZERO BAR</t>
  </si>
  <si>
    <t>HERSHEYS SPEC DARK ALMOND</t>
  </si>
  <si>
    <t>HUBBA BUB MAX STRWBRRY WTRML</t>
  </si>
  <si>
    <t>.1 OZ</t>
  </si>
  <si>
    <t>ICE BRKR COOL MINT BP</t>
  </si>
  <si>
    <t>ICE BRKRS CINNAMON TTIN</t>
  </si>
  <si>
    <t>ICE BRKRS COOL MINT TIN</t>
  </si>
  <si>
    <t>ICE BRKRS IB TROPICAL SOURS</t>
  </si>
  <si>
    <t>ICE BRKRS WINTERGREEN TIN</t>
  </si>
  <si>
    <t>2.12 OZ</t>
  </si>
  <si>
    <t>JUST BORN MIKE &amp; IKE FRUIT</t>
  </si>
  <si>
    <t>LEAF PAY DAY BAR</t>
  </si>
  <si>
    <t>1.14 OZ</t>
  </si>
  <si>
    <t>LIFESAVER 5-FLAVOR</t>
  </si>
  <si>
    <t>LIFESAVER GUMMIES 5 FLAVOR</t>
  </si>
  <si>
    <t>.84 OZ</t>
  </si>
  <si>
    <t>LIFESAVER PEP O MINT</t>
  </si>
  <si>
    <t>1.50 OZ</t>
  </si>
  <si>
    <t>LIFESAVRS TARTS ORANGE</t>
  </si>
  <si>
    <t>LIFESAVRS TARTS PURPLE</t>
  </si>
  <si>
    <t>LIFESAVRS WINT O GREEN</t>
  </si>
  <si>
    <t>1.24 OZ</t>
  </si>
  <si>
    <t>M&amp;M MARS 3 MUSK DARK MINT</t>
  </si>
  <si>
    <t>2.13 OZ</t>
  </si>
  <si>
    <t>M&amp;M MARS 3 MUSKETEER BARS</t>
  </si>
  <si>
    <t>2.07 OZ</t>
  </si>
  <si>
    <t>M&amp;M MARS CANDY STARBRST CHW</t>
  </si>
  <si>
    <t>M&amp;M MARS DK CHOC PNT SNGLES</t>
  </si>
  <si>
    <t>1.69 OZ</t>
  </si>
  <si>
    <t>M&amp;M MARS DK CHOCOLT CANDIES</t>
  </si>
  <si>
    <t>1.08 OZ</t>
  </si>
  <si>
    <t>M&amp;M MARS M&amp;M MINIS TUBES</t>
  </si>
  <si>
    <t>2.05 OZ</t>
  </si>
  <si>
    <t>M&amp;M MARS MILKY WAY BAR</t>
  </si>
  <si>
    <t>M&amp;M MARS MILKYWAY DARK BARS</t>
  </si>
  <si>
    <t>1.74 OZ</t>
  </si>
  <si>
    <t>M&amp;M MARS PEANUT CHC CANDIES</t>
  </si>
  <si>
    <t>3.27 OZ</t>
  </si>
  <si>
    <t>M&amp;M MARS PEANUT KING SIZE</t>
  </si>
  <si>
    <t>M&amp;M MARS PLAIN CANDY</t>
  </si>
  <si>
    <t>2.17 OZ</t>
  </si>
  <si>
    <t>M&amp;M MARS SKITTLES FRT CHEWS</t>
  </si>
  <si>
    <t>M&amp;M MARS SNICKERS ALMND BAR</t>
  </si>
  <si>
    <t>M&amp;M MARS SNICKERS BARS</t>
  </si>
  <si>
    <t>3.7 OZ</t>
  </si>
  <si>
    <t>M&amp;M MARS SNICKERS KING SZ</t>
  </si>
  <si>
    <t>3.3 OZ</t>
  </si>
  <si>
    <t>M&amp;M MARS TWIX CARAMEL KING</t>
  </si>
  <si>
    <t>1.84 OZ</t>
  </si>
  <si>
    <t>M&amp;M MARS TWIX PNUT BTR SNGL</t>
  </si>
  <si>
    <t>3.14 OZ</t>
  </si>
  <si>
    <t>M&amp;M PLAIN KING SIZE</t>
  </si>
  <si>
    <t>MENTOS CINN VERT SHBX</t>
  </si>
  <si>
    <t>MENTOS MINT VERT SHWBOX</t>
  </si>
  <si>
    <t>1.12 OZ</t>
  </si>
  <si>
    <t>MENTOS MIXED BERRIES SF</t>
  </si>
  <si>
    <t>MENTOS MXD FRT VRT SHWBOX</t>
  </si>
  <si>
    <t>1 OZ</t>
  </si>
  <si>
    <t>MENTOS PEPPERMINT GUM</t>
  </si>
  <si>
    <t>MENTOS RD FR/LM GUM</t>
  </si>
  <si>
    <t>MENTOS SPEARMINT GUM</t>
  </si>
  <si>
    <t>3.63 OZ</t>
  </si>
  <si>
    <t>MILKY WAY MILKY WAY KGSZ BAR</t>
  </si>
  <si>
    <t>2.02 OZ</t>
  </si>
  <si>
    <t>NECCO WAFERS ASSORTED</t>
  </si>
  <si>
    <t>NESTLE 100 GRAND BAR 1 CT</t>
  </si>
  <si>
    <t>2.1 OZ</t>
  </si>
  <si>
    <t>NESTLE BABY RUTH SINGLBAR</t>
  </si>
  <si>
    <t>NESTLE BUTTERFINGER 1 CT</t>
  </si>
  <si>
    <t>NESTLE BUTTERFINGER CRISP</t>
  </si>
  <si>
    <t>NESTLE BUTTERFINGER KING</t>
  </si>
  <si>
    <t>NESTLE CHUNKY SINGLES</t>
  </si>
  <si>
    <t>NESTLE CRNC CRISP SINGLES</t>
  </si>
  <si>
    <t>NESTLE CRUNCH BAR</t>
  </si>
  <si>
    <t>1.38 OZ</t>
  </si>
  <si>
    <t>NESTLE GOOBERS BAG</t>
  </si>
  <si>
    <t>NESTLE NESTLE CRUNCH/CRML</t>
  </si>
  <si>
    <t>1.58 OZ</t>
  </si>
  <si>
    <t>NESTLE RAISINETS SINGLES</t>
  </si>
  <si>
    <t>14 CT</t>
  </si>
  <si>
    <t>ORBIT BUBBLEMINT OTC</t>
  </si>
  <si>
    <t>ORBIT CINNAMON OTC</t>
  </si>
  <si>
    <t>ORBIT CITRUSMINT GUM</t>
  </si>
  <si>
    <t>ORBIT MAUI MELON</t>
  </si>
  <si>
    <t>ORBIT MIS MANGO SURF</t>
  </si>
  <si>
    <t>ORBIT MIS PEPPERMINT SPRAY</t>
  </si>
  <si>
    <t>ORBIT MIS WATERMELON SPRING</t>
  </si>
  <si>
    <t>35 CT</t>
  </si>
  <si>
    <t>ORBIT PEPPERMINT BIG PAK</t>
  </si>
  <si>
    <t>ORBIT POMEGRANATE</t>
  </si>
  <si>
    <t>ORBIT S/F PEPPERMINT</t>
  </si>
  <si>
    <t>ORBIT S/F WINTERMINT</t>
  </si>
  <si>
    <t>ORBIT SANGRIA FRESCA PTP</t>
  </si>
  <si>
    <t>ORBIT SPEARMINT BIG PAK</t>
  </si>
  <si>
    <t>ORBIT SPEARMINT SINGLE</t>
  </si>
  <si>
    <t>ORBIT STRAWBERRY MINT</t>
  </si>
  <si>
    <t>ORBIT SWEET MINT GUM</t>
  </si>
  <si>
    <t>ORBIT WHITE PEPPERMT GUM</t>
  </si>
  <si>
    <t>ORBIT WHITE SPEARMINT</t>
  </si>
  <si>
    <t>ORBIT WHT BIG E BUBLEMNT</t>
  </si>
  <si>
    <t>ORBIT WHT BUBBLEMINT</t>
  </si>
  <si>
    <t>3.4 OZ</t>
  </si>
  <si>
    <t>PAYDAY KING SIZE</t>
  </si>
  <si>
    <t>1.65 OZ</t>
  </si>
  <si>
    <t>REESE WH CHOC PB CUP</t>
  </si>
  <si>
    <t>3.2 OZ</t>
  </si>
  <si>
    <t>REESES BARS REESE/KING</t>
  </si>
  <si>
    <t>REESES FAST BREAK BAR</t>
  </si>
  <si>
    <t>REESES PEANUT BUTTER CUPS</t>
  </si>
  <si>
    <t>REESES STICKS</t>
  </si>
  <si>
    <t>RESESES NUTRAGEOUS</t>
  </si>
  <si>
    <t>SGR DADDY CANDY</t>
  </si>
  <si>
    <t>SKITTLES SOURS SINGLES</t>
  </si>
  <si>
    <t>14 OZ</t>
  </si>
  <si>
    <t>SOURPATCH SOUR PATCH KIDS BG</t>
  </si>
  <si>
    <t>STARBURST SUNSHINE</t>
  </si>
  <si>
    <t>STORCK MAMBA FRT CHEWS</t>
  </si>
  <si>
    <t>18 CT</t>
  </si>
  <si>
    <t>STRIDE ALWYS MNDRAN SNGLE</t>
  </si>
  <si>
    <t>STRIDE FOREVER FRUIT</t>
  </si>
  <si>
    <t>STRIDE NON-STOP MINT</t>
  </si>
  <si>
    <t>STRIDE SL WINTER BLUE</t>
  </si>
  <si>
    <t>STRIDE SWEET BERRY</t>
  </si>
  <si>
    <t>STRIDE SWEET CINNAMON</t>
  </si>
  <si>
    <t>STRIDE SWEET PEPPERMINT</t>
  </si>
  <si>
    <t>STRIDESLP SPEARMINT</t>
  </si>
  <si>
    <t>SWEETART ROLLS</t>
  </si>
  <si>
    <t>.62 OZ</t>
  </si>
  <si>
    <t>TIC TAC BOLD MINT FLAVOR</t>
  </si>
  <si>
    <t>.625 OZ</t>
  </si>
  <si>
    <t>TIC TAC CHERRY PASSION</t>
  </si>
  <si>
    <t>.65 OZ</t>
  </si>
  <si>
    <t>TIC TAC CINNAMON</t>
  </si>
  <si>
    <t>TIC TAC FRESHMINT</t>
  </si>
  <si>
    <t>TIC TAC ORANGE REFILLS</t>
  </si>
  <si>
    <t>TIC TAC SPEARMINT</t>
  </si>
  <si>
    <t>TIC TAC WINTERGREEN</t>
  </si>
  <si>
    <t>0.50 OZ</t>
  </si>
  <si>
    <t>TOPPS LM ED RING POP</t>
  </si>
  <si>
    <t>TOPPS ORG BABY BOTTLE</t>
  </si>
  <si>
    <t>TOPPS PUSH POP</t>
  </si>
  <si>
    <t>TRIDENT GUM SUGRLSS/BUBBLE</t>
  </si>
  <si>
    <t>TRIDENT GUM SUGRLSS/ORIGNL</t>
  </si>
  <si>
    <t>TRIDENT GUM SUGRLSS/SPEARM</t>
  </si>
  <si>
    <t>TRIDENT MINTY SWEET TWST</t>
  </si>
  <si>
    <t>TRIDENT PSSNBRRY TWST SNGL</t>
  </si>
  <si>
    <t>TRIDENT SPLASH SPEARMINT</t>
  </si>
  <si>
    <t>TRIDENT SPLSH APL W/RSPBRY</t>
  </si>
  <si>
    <t>TRIDENT SPLSH PEPPRMT/VANL</t>
  </si>
  <si>
    <t>TRIDENT SPLSH STRWBRY/LIME</t>
  </si>
  <si>
    <t>TRIDENT STRWBY FUSION SNGL</t>
  </si>
  <si>
    <t>TRIDENT TROP TWIST VALU</t>
  </si>
  <si>
    <t>TRIDENT WH COOL BUBBLE SGL</t>
  </si>
  <si>
    <t>TRIDENT WH COOL COLADA SGL</t>
  </si>
  <si>
    <t>TRIDENT WHITE COOL RUSH</t>
  </si>
  <si>
    <t>TRIDENT WHITE SPEARMINT</t>
  </si>
  <si>
    <t>TRIDENT WHITE WINTERGREEN</t>
  </si>
  <si>
    <t>TRIDENT WHT PEPPERMNT GUM</t>
  </si>
  <si>
    <t>TRIDENT WILD BLUEBERRY TWS</t>
  </si>
  <si>
    <t>TRIDENT WTRMELON TWST VPK</t>
  </si>
  <si>
    <t>TRIDENT XTRACARE COOL MINT</t>
  </si>
  <si>
    <t>TRIDENT XTRACARE PEPPRMINT</t>
  </si>
  <si>
    <t>TRIDENT XTRACARE SPRMNTSNG</t>
  </si>
  <si>
    <t>42 CT</t>
  </si>
  <si>
    <t>TRIDENT XTRACARESPRMNTMUP</t>
  </si>
  <si>
    <t>TWIX CANDY BAR TWIN</t>
  </si>
  <si>
    <t>2.5 OZ</t>
  </si>
  <si>
    <t>TWIZZLER LIC STRW TWIST</t>
  </si>
  <si>
    <t>W WONKA GIANT CHEWY NERDS</t>
  </si>
  <si>
    <t>W WONKA GRAPE/STRWBY NERDS</t>
  </si>
  <si>
    <t>.92 OZ</t>
  </si>
  <si>
    <t>W WONKA NERDS ROPE</t>
  </si>
  <si>
    <t>W WONKA SHOCKTART SQUEEZE</t>
  </si>
  <si>
    <t>W WONKA TINGLERZ SINGLE</t>
  </si>
  <si>
    <t>WERTHERS ROLLS</t>
  </si>
  <si>
    <t>WRIGLEY 5 ELIXAR PTP</t>
  </si>
  <si>
    <t>WRIGLEY 5 GUM SOLSTICE</t>
  </si>
  <si>
    <t>WRIGLEY 5 GUM ZING</t>
  </si>
  <si>
    <t>WRIGLEY 5 LUSH PLEN T PAK</t>
  </si>
  <si>
    <t>WRIGLEY 5 PTP COBALT</t>
  </si>
  <si>
    <t>WRIGLEY 5 PTP FLARE</t>
  </si>
  <si>
    <t>WRIGLEY 5 PTP RAIN</t>
  </si>
  <si>
    <t>WRIGLEY BIG RED SS</t>
  </si>
  <si>
    <t>.58 OZ</t>
  </si>
  <si>
    <t>WRIGLEY DBLMNT TWN MINTCRM</t>
  </si>
  <si>
    <t>0.56 OZ</t>
  </si>
  <si>
    <t>WRIGLEY DBLMNT TWN WNTRCRM</t>
  </si>
  <si>
    <t>WRIGLEY DOUBLEMINT SS</t>
  </si>
  <si>
    <t>WRIGLEY ECLIPSE SPEARMINTS</t>
  </si>
  <si>
    <t>.91 OZ</t>
  </si>
  <si>
    <t>WRIGLEY GUM POLAR ICE</t>
  </si>
  <si>
    <t>WRIGLEY JUICY FRUIT SS</t>
  </si>
  <si>
    <t>WRIGLEY ORBIT CRYSTAL MINT</t>
  </si>
  <si>
    <t>WRIGLEY ORBIT MINT MOJITO</t>
  </si>
  <si>
    <t>WRIGLEY ORBIT RSPBRRY MINT</t>
  </si>
  <si>
    <t>WRIGLEY SPEARMINT SS</t>
  </si>
  <si>
    <t>WRIGLEY WINTERFRESH SS</t>
  </si>
  <si>
    <t>5.46 OZ</t>
  </si>
  <si>
    <t>3MUSKETER 3MUSK 100 CAL BAR</t>
  </si>
  <si>
    <t>4.06 OZ</t>
  </si>
  <si>
    <t>3MUSKTERS 3MUSK FUN SZ 8 PK</t>
  </si>
  <si>
    <t>12 OZ</t>
  </si>
  <si>
    <t>AIRHEADS ORIGINAL</t>
  </si>
  <si>
    <t>4.67 OZ</t>
  </si>
  <si>
    <t>ANDES CANDY CRM DE MENTH</t>
  </si>
  <si>
    <t>ANDES SUGAR FREE CDM</t>
  </si>
  <si>
    <t>5.2 OZ</t>
  </si>
  <si>
    <t>BABY RUTH 8 PACK SNACK TRAY</t>
  </si>
  <si>
    <t>11.1 OZ</t>
  </si>
  <si>
    <t>BAZOOKA BBLGUM LAYDOWN BAG</t>
  </si>
  <si>
    <t>3 PK</t>
  </si>
  <si>
    <t>BIGRED BIG RED 3 PAK</t>
  </si>
  <si>
    <t>7.5 OZ</t>
  </si>
  <si>
    <t>BRACH A&amp;W ROOT BEER BRLS</t>
  </si>
  <si>
    <t>7 OZ</t>
  </si>
  <si>
    <t>BRACH CANDY CHOC BRDG MX</t>
  </si>
  <si>
    <t>BRACH CANDY CHOC/RAISIN</t>
  </si>
  <si>
    <t>11 OZ</t>
  </si>
  <si>
    <t>BRACH CANDY CORN</t>
  </si>
  <si>
    <t>8.5 OZ</t>
  </si>
  <si>
    <t>BRACH CANDY, GUMMI BEARS</t>
  </si>
  <si>
    <t>BRACH CHOC PNT CLSTR PEG</t>
  </si>
  <si>
    <t>BRACH CINNAMON HARD CNDY</t>
  </si>
  <si>
    <t>BRACH GUMMI WORMS</t>
  </si>
  <si>
    <t>10.5 OZ</t>
  </si>
  <si>
    <t>BRACH HI C FRUIT SLICES</t>
  </si>
  <si>
    <t>BRACH JELLY BEANS HANGNG</t>
  </si>
  <si>
    <t>BRACH MAPLE NUT GOODIES</t>
  </si>
  <si>
    <t>BRACH ORANGE SLICES</t>
  </si>
  <si>
    <t>32 OZ</t>
  </si>
  <si>
    <t>BRACH PEPPERMINT BRITES</t>
  </si>
  <si>
    <t>BRACH SF STAR BRITE  PPM</t>
  </si>
  <si>
    <t>BRACH SPEARMINT STARLGHT</t>
  </si>
  <si>
    <t>13 OZ</t>
  </si>
  <si>
    <t>BRACH SPICETTES PEG</t>
  </si>
  <si>
    <t>16 OZ</t>
  </si>
  <si>
    <t>BRACH STAR BRITE PPERMNT</t>
  </si>
  <si>
    <t>BRACH STARBRT BUTTERSCOT</t>
  </si>
  <si>
    <t>BRACH STARLIGHT MNTS PEG</t>
  </si>
  <si>
    <t>BRACHS HAW PUNCH JELLY BN</t>
  </si>
  <si>
    <t>3.75 OZ</t>
  </si>
  <si>
    <t>BRTH SVRS CANDY PEPPERMINT</t>
  </si>
  <si>
    <t>BRTH SVRS CANDY WINTERGREEN</t>
  </si>
  <si>
    <t>BSKN RBBN S/F MNT CHOC CHIP</t>
  </si>
  <si>
    <t>BSKN RBBN SF FRUIT MEDLEY</t>
  </si>
  <si>
    <t>BUBBLE YM GUM, MEGA PK/REGLR</t>
  </si>
  <si>
    <t>BUBBLICIO GUM ASST 4 PK</t>
  </si>
  <si>
    <t>BUBBLICUS GUM 10PK STRAWBRRY</t>
  </si>
  <si>
    <t>5 OZ</t>
  </si>
  <si>
    <t>BUTTERFIN BTRFNGR GIANT BAR</t>
  </si>
  <si>
    <t>BUTTRFNGR 8 PACK BUTTERFINGR</t>
  </si>
  <si>
    <t>4 OZ</t>
  </si>
  <si>
    <t>CADBURY CARAMELLO</t>
  </si>
  <si>
    <t>8 OZ</t>
  </si>
  <si>
    <t>CE DE SMARTIES BAG</t>
  </si>
  <si>
    <t>10.4 OZ</t>
  </si>
  <si>
    <t>CHARMS CANDY  BLOW POPS/A</t>
  </si>
  <si>
    <t>CONCORD DUBBLE BUBBLE ORIG</t>
  </si>
  <si>
    <t>6 OZ</t>
  </si>
  <si>
    <t>CREMESVRS STRWBRY CRM PEG BG</t>
  </si>
  <si>
    <t>DENTYNE ARTIC CHILL 3 PACK</t>
  </si>
  <si>
    <t>DENTYNE ASST. ICE PP 1.99</t>
  </si>
  <si>
    <t>DENTYNE ICE PPRMNT</t>
  </si>
  <si>
    <t>DOLLAR$ 2/$1 APPLE RINGS</t>
  </si>
  <si>
    <t>2.50 OZ</t>
  </si>
  <si>
    <t>DOLLAR$ 2/$1 BLUE SHARKS</t>
  </si>
  <si>
    <t>DOLLAR$ 2/$1 CANDY CORN</t>
  </si>
  <si>
    <t>DOLLAR$ 2/$1 CARAMELS</t>
  </si>
  <si>
    <t>DOLLAR$ 2/$1 GUMMI BEARS</t>
  </si>
  <si>
    <t>DOLLAR$ 2/$1 GUMMI WORMS</t>
  </si>
  <si>
    <t>DOLLAR$ 2/$1 JELLY BEANS</t>
  </si>
  <si>
    <t>2.25 OZ</t>
  </si>
  <si>
    <t>DOLLAR$ 2/$1 KIDDIE MIX</t>
  </si>
  <si>
    <t>4.50 OZ</t>
  </si>
  <si>
    <t>DOLLAR$ 2/$1 ORANGE SLICES</t>
  </si>
  <si>
    <t>2.75 OZ</t>
  </si>
  <si>
    <t>DOLLAR$ 2/$1 RED TWIST</t>
  </si>
  <si>
    <t>DOLLAR$ 2/$1 SPICE DROPS</t>
  </si>
  <si>
    <t>DOLLAR$ CARAMEL CREAMS</t>
  </si>
  <si>
    <t>DOLLAR$ CIRCUS PEANUTS</t>
  </si>
  <si>
    <t>DOLLAR$ PEACH RINGS</t>
  </si>
  <si>
    <t>DOLLAR$ PEPPERMINT TWISTS</t>
  </si>
  <si>
    <t>DOLLAR$ SOUR GUMMI BEARS</t>
  </si>
  <si>
    <t>DOLLAR$ SOUR NEON NIGHT CR</t>
  </si>
  <si>
    <t>DOLLAR$ STARLIGHT MINTS</t>
  </si>
  <si>
    <t>DOLLAR$ TOOTSIE MIDGEES</t>
  </si>
  <si>
    <t>9.5 OZ</t>
  </si>
  <si>
    <t>DOVE CARAMEL MINIS</t>
  </si>
  <si>
    <t>9.50 OZ</t>
  </si>
  <si>
    <t>DOVE DOVE DARK MINIS</t>
  </si>
  <si>
    <t>DOVE DOVE MILK MINIS</t>
  </si>
  <si>
    <t>DOVE MILK CHOC ALMONDS</t>
  </si>
  <si>
    <t>DOVE MLK CHOC ALMONDS</t>
  </si>
  <si>
    <t>24 OZ</t>
  </si>
  <si>
    <t>DOVE PREM CHOC MX MINIS</t>
  </si>
  <si>
    <t>3.40 OZ</t>
  </si>
  <si>
    <t>DOVE SF DBL DRK CHOC</t>
  </si>
  <si>
    <t>DOVE SF DRK CHOC MINT</t>
  </si>
  <si>
    <t>ECLIPSE 3PK PEPPERMINT</t>
  </si>
  <si>
    <t>ECLIPSE GUM POLAR ICE</t>
  </si>
  <si>
    <t>ECLIPSE GUM SPEARMINT</t>
  </si>
  <si>
    <t>ECLIPSE GUM WINTERGRN</t>
  </si>
  <si>
    <t>8 CT</t>
  </si>
  <si>
    <t>EXTRA BERRY PEARADISE</t>
  </si>
  <si>
    <t>EXTRA CLASSIC BUBBLE 3PA</t>
  </si>
  <si>
    <t>8 PK</t>
  </si>
  <si>
    <t>EXTRA CLASSIC BUBBLE GUM</t>
  </si>
  <si>
    <t>EXTRA FS BERRY PEARADISE</t>
  </si>
  <si>
    <t>EXTRA FS ISLAND COOLER</t>
  </si>
  <si>
    <t>EXTRA FS STRW/BANANA</t>
  </si>
  <si>
    <t>EXTRA PEPPERMINT  3 PAK</t>
  </si>
  <si>
    <t>EXTRA PEPPERMINT GUM</t>
  </si>
  <si>
    <t>EXTRA POLAR ICE 3 PAK</t>
  </si>
  <si>
    <t>EXTRA SPEARMINT 3 PAK</t>
  </si>
  <si>
    <t>EXTRA SPEARMINT GUM</t>
  </si>
  <si>
    <t>EXTRA WINTERFRESH 3 PAK</t>
  </si>
  <si>
    <t>FARLEY JELLY BEANS</t>
  </si>
  <si>
    <t>7.8 OZ</t>
  </si>
  <si>
    <t>FARLEY JUJU FRUITS</t>
  </si>
  <si>
    <t>6.5 OZ</t>
  </si>
  <si>
    <t>FARLEY JUJUBES BIG BOX</t>
  </si>
  <si>
    <t>FARLEY RAINBLO GUM PEG</t>
  </si>
  <si>
    <t>FARLEY STARLIGHT MINTS</t>
  </si>
  <si>
    <t>30 OZ</t>
  </si>
  <si>
    <t>FARLEY'S FRUIT SLICES</t>
  </si>
  <si>
    <t>FARLEY'S GIANT JELLS</t>
  </si>
  <si>
    <t>FARLEY'S ORANGE SLICES</t>
  </si>
  <si>
    <t>FARLEYS SPICE DROPS</t>
  </si>
  <si>
    <t>FERRARA LEMONHEADS BAG</t>
  </si>
  <si>
    <t>3.52 OZ</t>
  </si>
  <si>
    <t>FERRARA P BITTER SWEET DARK</t>
  </si>
  <si>
    <t>4.20 OZ</t>
  </si>
  <si>
    <t>FERRERO RONDNOIR 12PC SHLF</t>
  </si>
  <si>
    <t>5.4 OZ</t>
  </si>
  <si>
    <t>FERRERO USA ROCHER 12PC</t>
  </si>
  <si>
    <t>FLIPZ MILK CHOC PRETZELS</t>
  </si>
  <si>
    <t>FLIPZ WHTE FUDGE PRETZEL</t>
  </si>
  <si>
    <t>FREEDENT PEPPERMINT PL T PK</t>
  </si>
  <si>
    <t>3.17 OZ</t>
  </si>
  <si>
    <t>GHIRARDEL MLK CHC PNT BTR BA</t>
  </si>
  <si>
    <t>4.69 OZ</t>
  </si>
  <si>
    <t>GHIRARDEL MLK CHOC W/PNT BTR</t>
  </si>
  <si>
    <t>GOETZE CARAMEL CREMES</t>
  </si>
  <si>
    <t>10 OZ</t>
  </si>
  <si>
    <t>GOETZE MINI COW TALES BAG</t>
  </si>
  <si>
    <t>GUMMISAVR FIVE FLAVOR</t>
  </si>
  <si>
    <t>GUMMISAVR MIXED BERRIES</t>
  </si>
  <si>
    <t>HARIBO GOLD GUMMY BEARS</t>
  </si>
  <si>
    <t>HARIBO HAPPY-COLA</t>
  </si>
  <si>
    <t>HERSHEY 100 YORK</t>
  </si>
  <si>
    <t>8.7 OZ</t>
  </si>
  <si>
    <t>HERSHEY ALMOND 6PK</t>
  </si>
  <si>
    <t>4.8 OZ</t>
  </si>
  <si>
    <t>HERSHEY ALMOND JOY 8PK</t>
  </si>
  <si>
    <t>11.34 O</t>
  </si>
  <si>
    <t>HERSHEY ALMOND JOY SNK SZ</t>
  </si>
  <si>
    <t>HERSHEY BIGBOX WHOPPERS</t>
  </si>
  <si>
    <t>9.6 OZ</t>
  </si>
  <si>
    <t>HERSHEY BLISS DARK CHOC</t>
  </si>
  <si>
    <t>HERSHEY BLISS MILK CHOC</t>
  </si>
  <si>
    <t>HERSHEY BLISS MILKMELTAWAY</t>
  </si>
  <si>
    <t>HERSHEY CACOA DARK CHOC</t>
  </si>
  <si>
    <t>HERSHEY CADBURY IRISHCREME</t>
  </si>
  <si>
    <t>HERSHEY CARAMEL STICKS</t>
  </si>
  <si>
    <t>3.50 OZ</t>
  </si>
  <si>
    <t>HERSHEY CBRY MLKCHOC 24CT</t>
  </si>
  <si>
    <t>5.03 OZ</t>
  </si>
  <si>
    <t>HERSHEY CCRSV DRK CHOC SQR</t>
  </si>
  <si>
    <t>HERSHEY CDBRY FRUIT NUT</t>
  </si>
  <si>
    <t>HERSHEY CDBRY MLKCHOC ALMD</t>
  </si>
  <si>
    <t>HERSHEY CDBRY RYL DK 24 CT</t>
  </si>
  <si>
    <t>4.2 OZ</t>
  </si>
  <si>
    <t>HERSHEY DARK CHOC TRUFFLE</t>
  </si>
  <si>
    <t>4.41 OZ</t>
  </si>
  <si>
    <t>HERSHEY DRKCHOC 100CAL BAR</t>
  </si>
  <si>
    <t>5.1 OZ</t>
  </si>
  <si>
    <t>HERSHEY EX DAR ASST LG PCH</t>
  </si>
  <si>
    <t>HERSHEY EX DARK COCOA LPCH</t>
  </si>
  <si>
    <t>8.8 OZ</t>
  </si>
  <si>
    <t>HERSHEY EXTRA DARK SQUARES</t>
  </si>
  <si>
    <t>HERSHEY EXTRA DRK COCOA LB</t>
  </si>
  <si>
    <t>6.80 OZ</t>
  </si>
  <si>
    <t>HERSHEY GIANT BR ALMD 12CT</t>
  </si>
  <si>
    <t>HERSHEY GOOD &amp; PLENTY</t>
  </si>
  <si>
    <t>HERSHEY GOOD&amp;FRUITY BOX</t>
  </si>
  <si>
    <t>HERSHEY GOOD&amp;PLENTY BIG BX</t>
  </si>
  <si>
    <t>HERSHEY HEATH MINIS</t>
  </si>
  <si>
    <t>HERSHEY HERSHEY MINIATURES</t>
  </si>
  <si>
    <t>19.75 O</t>
  </si>
  <si>
    <t>HERSHEY HSY MLK MAC</t>
  </si>
  <si>
    <t>4.25 OZ</t>
  </si>
  <si>
    <t>HERSHEY HSY SPEC DK XL BAR</t>
  </si>
  <si>
    <t>HERSHEY HUGS</t>
  </si>
  <si>
    <t>HERSHEY JLY RNCHR WILD BRY</t>
  </si>
  <si>
    <t>HERSHEY KISSES</t>
  </si>
  <si>
    <t>HERSHEY KISSES PEANUT BTTR</t>
  </si>
  <si>
    <t>HERSHEY KISSES RCH DK CHOC</t>
  </si>
  <si>
    <t>HERSHEY KISSES W/ALMONDS</t>
  </si>
  <si>
    <t>HERSHEY KISSES W/CARAMEL</t>
  </si>
  <si>
    <t>HERSHEY KISSES W/CHERRY</t>
  </si>
  <si>
    <t>9 OZ</t>
  </si>
  <si>
    <t>HERSHEY KIT KAT 6PK</t>
  </si>
  <si>
    <t>HERSHEY KIT KAT 8PACK</t>
  </si>
  <si>
    <t>HERSHEY KIT KAT ASST. MINI</t>
  </si>
  <si>
    <t>10.78 O</t>
  </si>
  <si>
    <t>HERSHEY KIT KAT SNCK SIZE</t>
  </si>
  <si>
    <t>HERSHEY MILK CHOC CRSP XLG</t>
  </si>
  <si>
    <t>40 OZ</t>
  </si>
  <si>
    <t>HERSHEY MILK CHOC KISSES</t>
  </si>
  <si>
    <t>HERSHEY MILK CHOC SNACK</t>
  </si>
  <si>
    <t>HERSHEY MILK CHOC STICKS</t>
  </si>
  <si>
    <t>HERSHEY MILK CHOC W/ALMD</t>
  </si>
  <si>
    <t>4.40 OZ</t>
  </si>
  <si>
    <t>HERSHEY MILK CHOCL XL</t>
  </si>
  <si>
    <t>9.3 OZ</t>
  </si>
  <si>
    <t>HERSHEY MILK CHOCOLATE 6PK</t>
  </si>
  <si>
    <t>3.92 OZ</t>
  </si>
  <si>
    <t>HERSHEY MILK CHOCOLATE 8PK</t>
  </si>
  <si>
    <t>HERSHEY MILK DUDS</t>
  </si>
  <si>
    <t>HERSHEY MILK DUDS CANDY</t>
  </si>
  <si>
    <t>HERSHEY MINIATURES ASST</t>
  </si>
  <si>
    <t>HERSHEY MINT STICKS</t>
  </si>
  <si>
    <t>18.8 OZ</t>
  </si>
  <si>
    <t>HERSHEY MK CHC KISS W/CRML</t>
  </si>
  <si>
    <t>HERSHEY MLKCH GNT BR 12CT</t>
  </si>
  <si>
    <t>HERSHEY MR. GDBR XL 4.4OZ</t>
  </si>
  <si>
    <t>HERSHEY NGT CRMY MLK W/TFE</t>
  </si>
  <si>
    <t>HERSHEY NGTS DRK CHOC W/AL</t>
  </si>
  <si>
    <t>19 OZ</t>
  </si>
  <si>
    <t>HERSHEY NUGGET ASSORTMENT</t>
  </si>
  <si>
    <t>38.50 O</t>
  </si>
  <si>
    <t>HERSHEY NUGGET SPECIAL DRK</t>
  </si>
  <si>
    <t>HERSHEY NUGGETS ALMOND</t>
  </si>
  <si>
    <t>HERSHEY NUGGETS MILK CHOC</t>
  </si>
  <si>
    <t>11.6 OZ</t>
  </si>
  <si>
    <t>HERSHEY PAYDAY SNK SZ</t>
  </si>
  <si>
    <t>5.19 OZ</t>
  </si>
  <si>
    <t>HERSHEY PRETZEL 100CAL BAR</t>
  </si>
  <si>
    <t>HERSHEY REES PNTBRPCN CLST</t>
  </si>
  <si>
    <t>HERSHEY REESE 100</t>
  </si>
  <si>
    <t>HERSHEY REESE CRSPY CRNCY</t>
  </si>
  <si>
    <t>HERSHEY REESE KISS ROLO</t>
  </si>
  <si>
    <t>HERSHEY REESE PB CP W/NUTS</t>
  </si>
  <si>
    <t>4.4 OZ</t>
  </si>
  <si>
    <t>HERSHEY REESE PTBTR CP 8PK</t>
  </si>
  <si>
    <t>HERSHEY REESE'S PBC</t>
  </si>
  <si>
    <t>HERSHEY REESE'S PBC MINIS</t>
  </si>
  <si>
    <t>HERSHEY REESE'S PCS BIG BX</t>
  </si>
  <si>
    <t>HERSHEY REESES PNTBTRCP 6P</t>
  </si>
  <si>
    <t>HERSHEY REESES SF PTBTR CP</t>
  </si>
  <si>
    <t>12.25 O</t>
  </si>
  <si>
    <t>HERSHEY REESES WHIPPS PACK</t>
  </si>
  <si>
    <t>HERSHEY ROLO MINIS</t>
  </si>
  <si>
    <t>10.50 O</t>
  </si>
  <si>
    <t>HERSHEY RSE PBC SS 10.5OZ</t>
  </si>
  <si>
    <t>HERSHEY SF SPECIAL DARK</t>
  </si>
  <si>
    <t>HERSHEY SGR FREE MLK CHOC</t>
  </si>
  <si>
    <t>4.70 OZ</t>
  </si>
  <si>
    <t>HERSHEY SP DRK ALMD</t>
  </si>
  <si>
    <t>HERSHEY SP DRK MAC</t>
  </si>
  <si>
    <t>HERSHEY SPECIAL DARK 6PK</t>
  </si>
  <si>
    <t>HERSHEY SPECIAL DARK MINIS</t>
  </si>
  <si>
    <t>HERSHEY SPECL DRK GIANT BR</t>
  </si>
  <si>
    <t>4.23 OZ</t>
  </si>
  <si>
    <t>HERSHEY STARBUCKS CHAI TRF</t>
  </si>
  <si>
    <t>HERSHEY STICKS DARK CHOC</t>
  </si>
  <si>
    <t>HERSHEY SUGAR FREE TWIZLRS</t>
  </si>
  <si>
    <t>HERSHEY SYM MLKCH  W/ALMD</t>
  </si>
  <si>
    <t>HERSHEY SYM MLKCHOC XL BAR</t>
  </si>
  <si>
    <t>11.25 O</t>
  </si>
  <si>
    <t>HERSHEY TAKE 5 SNK SZ BAR</t>
  </si>
  <si>
    <t>HERSHEY TWIZLR BLK LICORIC</t>
  </si>
  <si>
    <t>HERSHEY TWIZLR PNP CINNAMN</t>
  </si>
  <si>
    <t>5.6 OZ</t>
  </si>
  <si>
    <t>HERSHEY TWIZZLER STRW 8 PK</t>
  </si>
  <si>
    <t>12.4 OZ</t>
  </si>
  <si>
    <t>HERSHEY TWIZZLERS RAINBOW</t>
  </si>
  <si>
    <t>HERSHEY WHOPPERS CTRN</t>
  </si>
  <si>
    <t>4.7 OZ</t>
  </si>
  <si>
    <t>HERSHEY XCRMY CVRD ALMONDS</t>
  </si>
  <si>
    <t>HERSHEY YORK</t>
  </si>
  <si>
    <t>HERSHEY YORK 8PK</t>
  </si>
  <si>
    <t>HERSHEY YORK BIG BAG</t>
  </si>
  <si>
    <t>HERSHEY YORK SUGAR FREE PG</t>
  </si>
  <si>
    <t>8.6 OZ</t>
  </si>
  <si>
    <t>HERSHEYS BLISS RASPBERRY</t>
  </si>
  <si>
    <t>18 OZ</t>
  </si>
  <si>
    <t>HERSHEYS MLKCH KSS WALMNDS</t>
  </si>
  <si>
    <t>HERSHEYS MLKCHOC GNT BR12CT</t>
  </si>
  <si>
    <t>HERSHEYS9 REES PNTBRPCN CLST</t>
  </si>
  <si>
    <t>HERSHY HSY SP DRK 8PK</t>
  </si>
  <si>
    <t>26 OZ</t>
  </si>
  <si>
    <t>HSHY ASST FAVORITES BIG BAG</t>
  </si>
  <si>
    <t>HSHY KISS ES VARIETY BAG</t>
  </si>
  <si>
    <t>JARET SOUR PATCH KIDS</t>
  </si>
  <si>
    <t>JARET SWEDISH RED FISH</t>
  </si>
  <si>
    <t>JLLY BLLY 30 ASST FLVRS PEG</t>
  </si>
  <si>
    <t>JLLY BLLY SOURS ASST JB</t>
  </si>
  <si>
    <t>JLY RNCHR ASSORTED</t>
  </si>
  <si>
    <t>3.6 OZ</t>
  </si>
  <si>
    <t>JLY RNCHR ASSORTED SUGARFREE</t>
  </si>
  <si>
    <t>JLY RNCHR CANDY ASSORT KISS</t>
  </si>
  <si>
    <t>JLY RNCHR FRUIT CHEWS BAG</t>
  </si>
  <si>
    <t>10.8 OZ</t>
  </si>
  <si>
    <t>JLY RNCHR LOLLIPOPS</t>
  </si>
  <si>
    <t>JLY RNCHR PASSION FRUITS</t>
  </si>
  <si>
    <t>JUICY FRU JUICY FRUIT 3 PAK</t>
  </si>
  <si>
    <t>JUST BORN HOT TAMALES BOX</t>
  </si>
  <si>
    <t>JUST BORN HOT TAMALES TH BOX</t>
  </si>
  <si>
    <t>JUST BORN M &amp; I ORIGINAL</t>
  </si>
  <si>
    <t>JUST BORN M&amp;I TANGY TWISTER</t>
  </si>
  <si>
    <t>JUST BORN MIKE&amp;IKE TT TH BOX</t>
  </si>
  <si>
    <t>JUST BORN ORGNL MIKE&amp;IKE THB</t>
  </si>
  <si>
    <t>JUST BORN ORIG PEANUT CHEWS</t>
  </si>
  <si>
    <t>3.80 OZ</t>
  </si>
  <si>
    <t>JUST BORN PEANUT CHEWS ORIGI</t>
  </si>
  <si>
    <t>KRAFT CARAMEL TRAD</t>
  </si>
  <si>
    <t>6.25 OZ</t>
  </si>
  <si>
    <t>LIFESAVER CHERRY LEMONADE</t>
  </si>
  <si>
    <t>LIFESAVER GUMMIES ISLAND FRU</t>
  </si>
  <si>
    <t>LIFESAVER STRAWBERRY APPLE</t>
  </si>
  <si>
    <t>LIFESAVER VARIETY LAYDOWN BG</t>
  </si>
  <si>
    <t>LIFESAVRS FIVE FLAVORS BAG</t>
  </si>
  <si>
    <t>LIFESAVRS PEP O MNT LYDWN</t>
  </si>
  <si>
    <t>LIFESAVRS PEP-O-MINT BAG</t>
  </si>
  <si>
    <t>LIFESAVRS SF 5 FLVR VARTY PK</t>
  </si>
  <si>
    <t>LIFESAVRS SF WINTERGREEN PEG</t>
  </si>
  <si>
    <t>LIFESAVRS SOURS THEATER BOX</t>
  </si>
  <si>
    <t>LIFESAVRS SUGAR FREE PEPOMNT</t>
  </si>
  <si>
    <t>LIFESAVRS SWEET MINT</t>
  </si>
  <si>
    <t>LIFESAVRS WINT-O-GREEN BAG</t>
  </si>
  <si>
    <t>LIFESAVRS WLBRRY SOUR THTRBX</t>
  </si>
  <si>
    <t>LIFESAVRS WLDBRRYS THTR BOX</t>
  </si>
  <si>
    <t>LIFESAVRS WNTRGRN LAYDOWN BG</t>
  </si>
  <si>
    <t>LINDOR ASST TRUFFLES BAG</t>
  </si>
  <si>
    <t>LINDOR DARK TRUFFLES BAG</t>
  </si>
  <si>
    <t>LINDT EXCL INTNS ORNG BR</t>
  </si>
  <si>
    <t>LINDT EXCLNC BR 70% COCO</t>
  </si>
  <si>
    <t>LINDT EXCLNCE COCOA BAR</t>
  </si>
  <si>
    <t>LINDT MILK TRUFFLES BAG</t>
  </si>
  <si>
    <t>LINDT WHITE TRUFFLES</t>
  </si>
  <si>
    <t>M &amp; M'S PEANUT FUN SIZE</t>
  </si>
  <si>
    <t>M&amp;M MARS 3 MUSKETEERS FN SZ</t>
  </si>
  <si>
    <t>M&amp;M MARS 3 MUSKTR MINITURES</t>
  </si>
  <si>
    <t>M&amp;M MARS 3MSKT DKMNTCHOCMIN</t>
  </si>
  <si>
    <t>M&amp;M MARS CHOC CANDIE ALMOND</t>
  </si>
  <si>
    <t>12.6 OZ</t>
  </si>
  <si>
    <t>M&amp;M MARS DARK CHOC PEANUT</t>
  </si>
  <si>
    <t>M&amp;M MARS DARK CHOCOLATE</t>
  </si>
  <si>
    <t>5.36 OZ</t>
  </si>
  <si>
    <t>M&amp;M MARS DOVE DC 63% CACAO</t>
  </si>
  <si>
    <t>45 OZ</t>
  </si>
  <si>
    <t>M&amp;M MARS M&amp;M PEANUT SUP</t>
  </si>
  <si>
    <t>M&amp;M MARS M&amp;MS MILK CHOC</t>
  </si>
  <si>
    <t>M&amp;M MARS MILKY WAY CARAMELS</t>
  </si>
  <si>
    <t>11.24 O</t>
  </si>
  <si>
    <t>M&amp;M MARS MILKY WAY FUN SIZE</t>
  </si>
  <si>
    <t>11.5 OZ</t>
  </si>
  <si>
    <t>M&amp;M MARS MILKYWY MINIATURES</t>
  </si>
  <si>
    <t>M&amp;M MARS MINIATURE MIXED</t>
  </si>
  <si>
    <t>17.5 OZ</t>
  </si>
  <si>
    <t>M&amp;M MARS MIXED MINIATURE VR</t>
  </si>
  <si>
    <t>4.97 OZ</t>
  </si>
  <si>
    <t>M&amp;M MARS MLKCHC 100 CAL BAR</t>
  </si>
  <si>
    <t>M&amp;M MARS SKITTLE WILD BERRY</t>
  </si>
  <si>
    <t>M&amp;M MARS SNICKER MINIATURES</t>
  </si>
  <si>
    <t>M&amp;M MARS SNICKERS FUN SIZE</t>
  </si>
  <si>
    <t>M&amp;M MARS SNICKERS MINI VAR</t>
  </si>
  <si>
    <t>M&amp;M MARS TWIX CAR MINI</t>
  </si>
  <si>
    <t>4.62 OZ</t>
  </si>
  <si>
    <t>M&amp;M MARS TWIX FUN SZ 8 PK</t>
  </si>
  <si>
    <t>11.4 OZ</t>
  </si>
  <si>
    <t>M&amp;M MARS TWX CARML FUN SIZE</t>
  </si>
  <si>
    <t>4.88 OZ</t>
  </si>
  <si>
    <t>M&amp;M MILK CHOC FUN SIZE</t>
  </si>
  <si>
    <t>M&amp;MS DARK CHOC LD BAG</t>
  </si>
  <si>
    <t>42 OZ</t>
  </si>
  <si>
    <t>M&amp;MS MILK CHOC SUP</t>
  </si>
  <si>
    <t>19.2 OZ</t>
  </si>
  <si>
    <t>M&amp;MS MILK CHOCOLATE</t>
  </si>
  <si>
    <t>M&amp;MS PEANUT</t>
  </si>
  <si>
    <t>M&amp;MS PEANUT BUTTER</t>
  </si>
  <si>
    <t>M&amp;MS PEANUT SUP</t>
  </si>
  <si>
    <t>M&amp;MS PREM RASPBRY ALMND</t>
  </si>
  <si>
    <t>M&amp;MS PREM TRIPPLE CHOC</t>
  </si>
  <si>
    <t>M&amp;MS PREMIUM CHOC ALMND</t>
  </si>
  <si>
    <t>M&amp;MS PREMIUM CHOC MOCHA</t>
  </si>
  <si>
    <t>M&amp;MS PREMIUM MINT CHOC</t>
  </si>
  <si>
    <t>MARS MIXD MINIS VARIETY</t>
  </si>
  <si>
    <t>MENTOS MINT 6 PACK</t>
  </si>
  <si>
    <t>MENTOS MIXED FRUIT 6 PACK</t>
  </si>
  <si>
    <t>MILKY WAY MILKY WY FUNSZ 8PK</t>
  </si>
  <si>
    <t>NERDS GIANT CHEWY NERDS</t>
  </si>
  <si>
    <t>NERDS GRAPE STRAWBERRY</t>
  </si>
  <si>
    <t>NESTLE 100GRND 8PK SNKTRY</t>
  </si>
  <si>
    <t>NESTLE BABY RUTH MINIS</t>
  </si>
  <si>
    <t>12.5 OZ</t>
  </si>
  <si>
    <t>NESTLE BBY RUTH FNSZ</t>
  </si>
  <si>
    <t>NESTLE BTRFNGR FN SZ</t>
  </si>
  <si>
    <t>NESTLE BTRFNGR&amp;CRNCH MINI</t>
  </si>
  <si>
    <t>5.64 OZ</t>
  </si>
  <si>
    <t>NESTLE BUTRFNGR CRSP 8PK</t>
  </si>
  <si>
    <t>NESTLE CHUNKY ORIGINAL</t>
  </si>
  <si>
    <t>NESTLE CRNC CRISP 8 PACK</t>
  </si>
  <si>
    <t>NESTLE CRNCH FNSZ BG</t>
  </si>
  <si>
    <t>NESTLE CRUNCH 8PK SNK TRY</t>
  </si>
  <si>
    <t>NESTLE CRUNCH GIANT BAR</t>
  </si>
  <si>
    <t>NESTLE DK RAISINETS ST UP</t>
  </si>
  <si>
    <t>NESTLE GOOBERS</t>
  </si>
  <si>
    <t>NESTLE GOOBERS STNDUP BAG</t>
  </si>
  <si>
    <t>3.1 OZ</t>
  </si>
  <si>
    <t>NESTLE ON THE GO SNOCAPS</t>
  </si>
  <si>
    <t>NESTLE RAISINETS</t>
  </si>
  <si>
    <t>NESTLE RAISINETS STUP BAG</t>
  </si>
  <si>
    <t>NIPS NIPS CHOC PARFAIT</t>
  </si>
  <si>
    <t>ORBIT BUBBLEMINT 3-PAK</t>
  </si>
  <si>
    <t>ORBIT CINNAMINT 3-PAK</t>
  </si>
  <si>
    <t>ORBIT ORBITSTK 3PK SWMNT</t>
  </si>
  <si>
    <t>ORBIT PEPPERMINT 3PK</t>
  </si>
  <si>
    <t>ORBIT SPEARMINT 3PK</t>
  </si>
  <si>
    <t>36 CT</t>
  </si>
  <si>
    <t>ORBIT WHITE SPRMNT 3PK</t>
  </si>
  <si>
    <t>ORBIT WINTERMINT 3PK</t>
  </si>
  <si>
    <t>PEARSON CANDY MINTS BAG</t>
  </si>
  <si>
    <t>PEARSON NIPS CARAMEL</t>
  </si>
  <si>
    <t>R STOVER SF COCONUT PEG</t>
  </si>
  <si>
    <t>R STOVER SF PECAN PEG</t>
  </si>
  <si>
    <t>7.50 OZ</t>
  </si>
  <si>
    <t>RAISINETS RAISINETSSNACKPACK</t>
  </si>
  <si>
    <t>RAISINETS RAISNT DK CNCSN BX</t>
  </si>
  <si>
    <t>REESES PB CUP MINIATURES</t>
  </si>
  <si>
    <t>REESES PBCP XL BAR DK DRC</t>
  </si>
  <si>
    <t>17.2 OZ</t>
  </si>
  <si>
    <t>REESES PIECES</t>
  </si>
  <si>
    <t>RICHARDSN BUTTER MINTS</t>
  </si>
  <si>
    <t>5.5 OZ</t>
  </si>
  <si>
    <t>RICHARDSN PASTEL MINTS</t>
  </si>
  <si>
    <t>RIESEN CHOCOLATE CHEWS</t>
  </si>
  <si>
    <t>2.80 OZ</t>
  </si>
  <si>
    <t>ROCA CARAMEL TRUF THINS</t>
  </si>
  <si>
    <t>2.8 OZ</t>
  </si>
  <si>
    <t>ROCA DK TOFFEE THINS</t>
  </si>
  <si>
    <t>ROCA MILK TOFFEE THINS</t>
  </si>
  <si>
    <t>RUNTS VIDEO BOX</t>
  </si>
  <si>
    <t>SHARI CHERRYSOURBALLSBX</t>
  </si>
  <si>
    <t>SKITTLES CRAZY CORE BTSZSGL</t>
  </si>
  <si>
    <t>SKITTLES CRAZY CORES LAYDWN</t>
  </si>
  <si>
    <t>7.2 OZ</t>
  </si>
  <si>
    <t>SKITTLES ORIG PEG</t>
  </si>
  <si>
    <t>SKITTLES ORIGINAL FRUIT</t>
  </si>
  <si>
    <t>5.50 OZ</t>
  </si>
  <si>
    <t>SKITTLES SKTTLS FUN SZ 8PK</t>
  </si>
  <si>
    <t>5.7 OZ</t>
  </si>
  <si>
    <t>SKITTLES SOUR PEG</t>
  </si>
  <si>
    <t>12.42 O</t>
  </si>
  <si>
    <t>SNICKERS BARS</t>
  </si>
  <si>
    <t>SNICKERS DARK CHOC MINIS</t>
  </si>
  <si>
    <t>SNICKERS MINIATURES</t>
  </si>
  <si>
    <t>SNICKERS SNCKRS FUN SZ 8 PK</t>
  </si>
  <si>
    <t>4.75 OZ</t>
  </si>
  <si>
    <t>SOURPATCH SOFT/CHEWY 100 CAL</t>
  </si>
  <si>
    <t>SPANGLER DUM DUM POPS</t>
  </si>
  <si>
    <t>SPEARMINT SPEARMINT 3 PAK</t>
  </si>
  <si>
    <t>SPREE CHEWY</t>
  </si>
  <si>
    <t>STARBURST FAVEREDS LAYDOWN</t>
  </si>
  <si>
    <t>STARBURST FRUITCHEW TROPICAL</t>
  </si>
  <si>
    <t>9.75 OZ</t>
  </si>
  <si>
    <t>STARBURST GUMMIBURST LAYDOWN</t>
  </si>
  <si>
    <t>STARBURST ORIGINAL</t>
  </si>
  <si>
    <t>STARBURST SOURS</t>
  </si>
  <si>
    <t>STORCK CARAMEL MILK CHOC</t>
  </si>
  <si>
    <t>STORCK RIESEN</t>
  </si>
  <si>
    <t>STORCK WERTHER SF COFFEE</t>
  </si>
  <si>
    <t>STORCK WERTHERS ORIG BAG</t>
  </si>
  <si>
    <t>STORCK WERTHERS SUGR FREE</t>
  </si>
  <si>
    <t>STRIDE NONSTOPMINTMUP</t>
  </si>
  <si>
    <t>STRIDE SPEARMINT</t>
  </si>
  <si>
    <t>STRIDE WINTERBLUE</t>
  </si>
  <si>
    <t>SUGAR BBY CANDY</t>
  </si>
  <si>
    <t>SWEDISH SOFT/CHEWY 100 CAL</t>
  </si>
  <si>
    <t>SWEDISH SWEDISH FISH RED</t>
  </si>
  <si>
    <t>TIC TAC 6PK MINT</t>
  </si>
  <si>
    <t>3.8 OZ</t>
  </si>
  <si>
    <t>TIC TAC WINTERGREEN 6 PK</t>
  </si>
  <si>
    <t>10.1 OZ</t>
  </si>
  <si>
    <t>TOOTSIE ASSORTED POPS BAG</t>
  </si>
  <si>
    <t>TOOTSIE DOTS THEATER BOX</t>
  </si>
  <si>
    <t>TOOTSIE FLAVOR ROLL</t>
  </si>
  <si>
    <t>17.25 O</t>
  </si>
  <si>
    <t>TOOTSIE FRUIT ROLL BONUS</t>
  </si>
  <si>
    <t>TOOTSIE JUNIOR CARAMEL BOX</t>
  </si>
  <si>
    <t>TOOTSIE MIDGEES</t>
  </si>
  <si>
    <t>11.64 O</t>
  </si>
  <si>
    <t>TOOTSIE POPS 20% BONUS BAG</t>
  </si>
  <si>
    <t>TOOTSIE R CHAS MINI CHEW</t>
  </si>
  <si>
    <t>TOOTSIE R JUNIOR MINTS</t>
  </si>
  <si>
    <t>TRIDENT MINTY SWT TWST GUM</t>
  </si>
  <si>
    <t>TRIDENT ORIGINAL GUM</t>
  </si>
  <si>
    <t>TRIDENT SPEARMINT GUM</t>
  </si>
  <si>
    <t>TRIDENT TROPICAL TWIST GUM</t>
  </si>
  <si>
    <t>TRIDENT WHITE PEPPERMINT</t>
  </si>
  <si>
    <t>TRIDENT WILD BLUEBERRY GUM</t>
  </si>
  <si>
    <t>TROLLI BRITE OCTUPUS PEG</t>
  </si>
  <si>
    <t>TROLLI BRITECRAWLERS</t>
  </si>
  <si>
    <t>TROLLI CHERRY BOMBERS PEG</t>
  </si>
  <si>
    <t>3.10 OZ</t>
  </si>
  <si>
    <t>TST O NAT CHOCCHIPCOOKDOUGH</t>
  </si>
  <si>
    <t>TST O NAT MUDDY BEARS</t>
  </si>
  <si>
    <t>TST O NAT SIMPSON FRUIT SNAC</t>
  </si>
  <si>
    <t>TST O NAT SQWIGGLIES SOUR</t>
  </si>
  <si>
    <t>5.04 OZ</t>
  </si>
  <si>
    <t>TWIX TWIX CRML 100CL BR</t>
  </si>
  <si>
    <t>TWIZZLER CANDY CHERRY BITES</t>
  </si>
  <si>
    <t>TWIZZLER CHERRY BITES BIGBX</t>
  </si>
  <si>
    <t>2 LB</t>
  </si>
  <si>
    <t>TWIZZLER STRAWBERRY TWISTS</t>
  </si>
  <si>
    <t>TWIZZLER STRBRY TWIZZLER</t>
  </si>
  <si>
    <t>TWIZZLER TWIZZLER PULL/PEEL</t>
  </si>
  <si>
    <t>W WONKA GOBSTOPPERS FAM SZ</t>
  </si>
  <si>
    <t>48 OZ</t>
  </si>
  <si>
    <t>W WONKA MIX-UPS STAND UP B</t>
  </si>
  <si>
    <t>WERTHERS CARAMEL DARK CHOC</t>
  </si>
  <si>
    <t>WERTHERS ORIGINAL CANDY</t>
  </si>
  <si>
    <t>WERTHERS ORIGINAL PEG</t>
  </si>
  <si>
    <t>WHOPPERS PEANUT BUTTER 4OZ</t>
  </si>
  <si>
    <t>WINTERFRE WINTERFRESH 3 PAK</t>
  </si>
  <si>
    <t>WONKA GIANT CHEWY NERDS</t>
  </si>
  <si>
    <t>WONKA NERDS FAMILY SIZE</t>
  </si>
  <si>
    <t>WRIGLEY 5 MTP COBALT</t>
  </si>
  <si>
    <t>WRIGLEY 5 MTP FLARE</t>
  </si>
  <si>
    <t>WRIGLEY 5 MTP RAIN</t>
  </si>
  <si>
    <t>WRIGLEY ORBIT WHITE BBLMNT</t>
  </si>
  <si>
    <t>WRIGLEY ORBITSTK CITRUSMNT</t>
  </si>
  <si>
    <t>WRIGLEY WINTERFRESH GUM</t>
  </si>
  <si>
    <t>WRIGLEYS DOUBLEMINT 3 PAK</t>
  </si>
  <si>
    <t>YORK YORK MINT TAPLETOP</t>
  </si>
  <si>
    <t>CAMPFIRE MARSHMALLOWS</t>
  </si>
  <si>
    <t>CAMPFIRE MARSHMALLOWS MINI</t>
  </si>
  <si>
    <t>CAMPFIRE MINI MARSHMALW</t>
  </si>
  <si>
    <t>CAMPFIRE MRSHMLW MINI RNBOW</t>
  </si>
  <si>
    <t>CAMPFIRE REG MARSHMALOW</t>
  </si>
  <si>
    <t>CAMPFIRE SABROSOS</t>
  </si>
  <si>
    <t>JET PUFFD MARSHMLLOW REGULAR</t>
  </si>
  <si>
    <t>KRAFT MARSHMALLOW JET/KR</t>
  </si>
  <si>
    <t>KRAFT MARSHMALLOWS MINI</t>
  </si>
  <si>
    <t>RICHFOOD MARSHMALLOWS</t>
  </si>
  <si>
    <t>RICHFOOD MARSHMALLOWS REGUL</t>
  </si>
  <si>
    <t>RICHFOOD MINI MARSHMALLOWS</t>
  </si>
  <si>
    <t>ACT II 94% FAT FREE BUTTR</t>
  </si>
  <si>
    <t>ACT II BUTTER</t>
  </si>
  <si>
    <t>ACT II BUTTER LOVERS</t>
  </si>
  <si>
    <t>9.90 OZ</t>
  </si>
  <si>
    <t>ACT II EXTREME BUTTER</t>
  </si>
  <si>
    <t>ACT II FF KETTLE CORN 3</t>
  </si>
  <si>
    <t>ACT II KETTLE CORN</t>
  </si>
  <si>
    <t>ACT II LT BTR PPCRN 3-3.7</t>
  </si>
  <si>
    <t>ACT II MOVIE THEATER BUTT</t>
  </si>
  <si>
    <t>ACT II POPCRN MOVITME TUB</t>
  </si>
  <si>
    <t>11.2 OZ</t>
  </si>
  <si>
    <t>B CROCKER PPSCRT 100CL KTLCN</t>
  </si>
  <si>
    <t>JIFFY POP PPCRN BTTR FLAVOR</t>
  </si>
  <si>
    <t>JOLLYTIME BETTER BUTTER</t>
  </si>
  <si>
    <t>21 OZ</t>
  </si>
  <si>
    <t>JOLLYTIME BLAST O BUTTER 6CT</t>
  </si>
  <si>
    <t>15 OZ</t>
  </si>
  <si>
    <t>JOLLYTIME BLASTBUTTER10 MINI</t>
  </si>
  <si>
    <t>JOLLYTIME HEALTHYPOP10CTMINI</t>
  </si>
  <si>
    <t>JOLLYTIME HTHY POP-MICRO POP</t>
  </si>
  <si>
    <t>JOLLYTIME POPCORN MW/BUTTER</t>
  </si>
  <si>
    <t>JOLLYTIME POPCORN WHITE</t>
  </si>
  <si>
    <t>JOLLYTIME POPCORN YELLOW</t>
  </si>
  <si>
    <t>JOLLYTIME PPCRN BLST O BTR</t>
  </si>
  <si>
    <t>ORV REDEN 10PK MINI MVI THTR</t>
  </si>
  <si>
    <t>ORV REDEN 10PK MINI SPKTTLKN</t>
  </si>
  <si>
    <t>6.2 OZ</t>
  </si>
  <si>
    <t>ORV REDEN BUTTERY GARLIC 4CT</t>
  </si>
  <si>
    <t>ORV REDEN BUTTR MINI BG 10CT</t>
  </si>
  <si>
    <t>9.8 OZ</t>
  </si>
  <si>
    <t>ORV REDEN DBL FEAT MOVIE BTR</t>
  </si>
  <si>
    <t>9.9 OZ</t>
  </si>
  <si>
    <t>ORV REDEN KET CRN 3PK 3/3.5</t>
  </si>
  <si>
    <t>6.4 OZ</t>
  </si>
  <si>
    <t>ORV REDEN KETTLE CORN MINI B</t>
  </si>
  <si>
    <t>ORV REDEN MOVIE THEATER BTTR</t>
  </si>
  <si>
    <t>ORV REDEN MVITHEATR BUTR 3PK</t>
  </si>
  <si>
    <t>ORV REDEN MW PCRN HS 3/3.5</t>
  </si>
  <si>
    <t>ORV REDEN MW POPCORN NAT 3PK</t>
  </si>
  <si>
    <t>ORV REDEN MW POPCRN BUTR 3PK</t>
  </si>
  <si>
    <t>ORV REDEN NAT BTR 50% LS FAT</t>
  </si>
  <si>
    <t>ORV REDEN NATURAL BUTTER</t>
  </si>
  <si>
    <t>ORV REDEN PCRN MOVIE LT 3/3</t>
  </si>
  <si>
    <t>ORV REDEN PCRN MVTHTRBTR 6PK</t>
  </si>
  <si>
    <t>20 OZ</t>
  </si>
  <si>
    <t>ORV REDEN PCRN MW BTR 6/3.5</t>
  </si>
  <si>
    <t>17 OZ</t>
  </si>
  <si>
    <t>ORV REDEN PCRN MW BTR LT 6/3</t>
  </si>
  <si>
    <t>ORV REDEN PCRN VALU PK 6/3.5</t>
  </si>
  <si>
    <t>33 OZ</t>
  </si>
  <si>
    <t>ORV REDEN POPCORN MVTHT 10PK</t>
  </si>
  <si>
    <t>ORV REDEN POPCORN MW BTTR LT</t>
  </si>
  <si>
    <t>ORV REDEN POPCORN MW NTRL LT</t>
  </si>
  <si>
    <t>ORV REDEN POPCORN WHITE 3PK</t>
  </si>
  <si>
    <t>ORV REDEN POPCORN YELLOW</t>
  </si>
  <si>
    <t>9.2 OZ</t>
  </si>
  <si>
    <t>ORV REDEN POUR OVER CHDR BTR</t>
  </si>
  <si>
    <t>ORV REDEN SALT &amp; PEPPER 4CT</t>
  </si>
  <si>
    <t>ORV REDEN SMART POP</t>
  </si>
  <si>
    <t>ORV REDEN SMART POP KTTL CRN</t>
  </si>
  <si>
    <t>28 OZ</t>
  </si>
  <si>
    <t>ORV REDEN SMART POPCORN</t>
  </si>
  <si>
    <t>ORV REDEN SMART PP BTR MINI</t>
  </si>
  <si>
    <t>ORV REDEN SMRT POP BTTR MBAG</t>
  </si>
  <si>
    <t>4.9 OZ</t>
  </si>
  <si>
    <t>ORV REDEN SMRTPOP KETTLE 4PK</t>
  </si>
  <si>
    <t>ORV REDEN SWTNBTRY 3PK 3/3.5</t>
  </si>
  <si>
    <t>ORV REDEN ULTIMATE BUTTER</t>
  </si>
  <si>
    <t>ORV REDEN ULTIMATE BUTTR 6PK</t>
  </si>
  <si>
    <t>12.3 OZ</t>
  </si>
  <si>
    <t>ORVILLE ORV SMRTPOP VARIET</t>
  </si>
  <si>
    <t>POP SECRT 3CT CHEDDAR</t>
  </si>
  <si>
    <t>POPSECRET 100CAL VARPK 10CT</t>
  </si>
  <si>
    <t>POPSECRET 94% FF BTR POPCORN</t>
  </si>
  <si>
    <t>POPSECRET BY REQUEST BUTTER</t>
  </si>
  <si>
    <t>POPSECRET CURVES 94% FF BTR</t>
  </si>
  <si>
    <t>POPSECRET CURVS 90CAL SNK10C</t>
  </si>
  <si>
    <t>35 OZ</t>
  </si>
  <si>
    <t>POPSECRET EXTRA BUTTER 10CT</t>
  </si>
  <si>
    <t>POPSECRET MTBTRSNKSZ VP 10CT</t>
  </si>
  <si>
    <t>POPSECRET MW HMSTYL PCRN 6CT</t>
  </si>
  <si>
    <t>POPSECRET MW HMSTYL PPCN 3PK</t>
  </si>
  <si>
    <t>POPSECRET MW HS BTR SNSZ 10C</t>
  </si>
  <si>
    <t>POPSECRET MW MVI TH BTR 6CT</t>
  </si>
  <si>
    <t>POPSECRET MW MVT BTR SNK 10C</t>
  </si>
  <si>
    <t>POPSECRET POPCORN BTTRY BRST</t>
  </si>
  <si>
    <t>POPSECRET POPCORN BUTTER</t>
  </si>
  <si>
    <t>POPSECRET PPCRN HMSTYL X-BTR</t>
  </si>
  <si>
    <t>RICHFOOD MW BTR POPCORN 6PK</t>
  </si>
  <si>
    <t>RICHFOOD MW PC BTR 3/3.5</t>
  </si>
  <si>
    <t>RICHFOOD MW PC LT BTR 3/3OZ</t>
  </si>
  <si>
    <t>RICHFOOD MW POP THEATER 6PK</t>
  </si>
  <si>
    <t>RICHFOOD MW POPCRN BTR 6PK</t>
  </si>
  <si>
    <t>RICHFOOD MW POPCRN LT 3/3.5</t>
  </si>
  <si>
    <t>RICHFOOD MW POPCRN THTR 3PK</t>
  </si>
  <si>
    <t>RICHFOOD MW PPC RN NATL 6PK</t>
  </si>
  <si>
    <t>RICHFOOD POPCORN MW KET CRN</t>
  </si>
  <si>
    <t>RICHFOOD YELLOW BAG POPCORN</t>
  </si>
  <si>
    <t>SMART BAL LIGHT BUTTER POPC</t>
  </si>
  <si>
    <t>SMART BAL SMART N HEALTHY</t>
  </si>
  <si>
    <t>CRNCNMUNC BUTTER TOFFEE</t>
  </si>
  <si>
    <t>CRNCNMUNC CARAMEL</t>
  </si>
  <si>
    <t>CRNCNMUNC TOFFEE</t>
  </si>
  <si>
    <t>CRUNCH MU CHOCOLATE CARMEL</t>
  </si>
  <si>
    <t>CRUNCH N CHOCOLATE CARMEL</t>
  </si>
  <si>
    <t>POPPYCOCK SUB CASHEW LVRS</t>
  </si>
  <si>
    <t>POPPYCOCK SUB ORIGINAL</t>
  </si>
  <si>
    <t>11.04 O</t>
  </si>
  <si>
    <t>AUSTIN CHS ON CHS 8/6CT</t>
  </si>
  <si>
    <t>AUSTIN CRK CHEESE PNT/BTR</t>
  </si>
  <si>
    <t>AUSTIN CRKRS W/CRMY PNTBT</t>
  </si>
  <si>
    <t>7.44 OZ</t>
  </si>
  <si>
    <t>AUSTIN PB/CHSE CRKR 8P</t>
  </si>
  <si>
    <t>AUSTIN PB/TSTY CRKR 8P</t>
  </si>
  <si>
    <t>CLNRY CRC CKY CC W/PCN CRISP</t>
  </si>
  <si>
    <t>CLNRY CRC CKY CC W/PCNS SOFT</t>
  </si>
  <si>
    <t>CLNRY CRC CKY CHOC BRWN SOFT</t>
  </si>
  <si>
    <t>CLNRY CRC CKY CHOCCHK SOFT</t>
  </si>
  <si>
    <t>CLNRY CRC CKY EX-CC CRISP</t>
  </si>
  <si>
    <t>CLNRY CRC CKY KEYL CC CRISP</t>
  </si>
  <si>
    <t>CLNRY CRC CKY MCRNPCN CC CRS</t>
  </si>
  <si>
    <t>CLNRY CRC CKY OATMEALRSN SFT</t>
  </si>
  <si>
    <t>CLNRY CRC CKY SNICKERDLD SFT</t>
  </si>
  <si>
    <t>CLNRY CRC CKY WHTCC W/MACNT</t>
  </si>
  <si>
    <t>13.6 OZ</t>
  </si>
  <si>
    <t>CLNRY CRC CRACKER CLSSC ASST</t>
  </si>
  <si>
    <t>CLNRY CRC CRACKER ORIG TABLE</t>
  </si>
  <si>
    <t>CLNRY CRC CRACKER ORIG WATER</t>
  </si>
  <si>
    <t>CLNRY CRC CRACKER SESAME WTR</t>
  </si>
  <si>
    <t>CLNRY CRC CRACKER WHEAT TBLE</t>
  </si>
  <si>
    <t>CULINARYC CRACKER MULTIGRTBL</t>
  </si>
  <si>
    <t>CULINARYC CRACKER VEG TABLE</t>
  </si>
  <si>
    <t>HERSHEY REESE'S COOKIES</t>
  </si>
  <si>
    <t>HERSHEY REESE'S LAYERED</t>
  </si>
  <si>
    <t>MRS FIELD MILK CHOC CHIP</t>
  </si>
  <si>
    <t>MRS FIELD OATMEAL RAISN NT</t>
  </si>
  <si>
    <t>MRS FIELD SMI SWT CH CHP</t>
  </si>
  <si>
    <t>MRS FIELD WHT CHK MACADM</t>
  </si>
  <si>
    <t>NAB CLASS ICS ICED OATMEAL</t>
  </si>
  <si>
    <t>NAB CLASS ICS LEMON COOKIES</t>
  </si>
  <si>
    <t>NAB CLASS ICS OATMEAL COOKIE</t>
  </si>
  <si>
    <t>NAB CLASS ICS OATMEAL RAISIN</t>
  </si>
  <si>
    <t>NABISCO CHIPS AHOY CONV PK</t>
  </si>
  <si>
    <t>15.25 O</t>
  </si>
  <si>
    <t>NABISCO CHIPS AHOY!</t>
  </si>
  <si>
    <t>NABISCO GOLDEN FUN STIX</t>
  </si>
  <si>
    <t>NABISCO OREO FUN STIX CKIE</t>
  </si>
  <si>
    <t>NABISCO TEDDY GRAHAM VAR</t>
  </si>
  <si>
    <t>NABISCO WH THN ART CHS CLB</t>
  </si>
  <si>
    <t>NABISCO WHTHN ART CH WHCHD</t>
  </si>
  <si>
    <t>6.88 OZ</t>
  </si>
  <si>
    <t>NONNI'S CIOCCOLATI BISCOTT</t>
  </si>
  <si>
    <t>NONNI'S DECADENCE BISCOTTI</t>
  </si>
  <si>
    <t>5.52 OZ</t>
  </si>
  <si>
    <t>NONNI'S ORIGINAL BISCOTTI</t>
  </si>
  <si>
    <t>RICHFOOD ANIMAL CRACKERS</t>
  </si>
  <si>
    <t>RICHFOOD CHIP-A-LICIOUS CKI</t>
  </si>
  <si>
    <t>RICHFOOD CHOC FDG FLVR OHS</t>
  </si>
  <si>
    <t>RICHFOOD CHWY CHP-A-LCS CKI</t>
  </si>
  <si>
    <t>14.4 OZ</t>
  </si>
  <si>
    <t>RICHFOOD CINN GRAHAM CRACKR</t>
  </si>
  <si>
    <t>RICHFOOD CRACKER CHEESE</t>
  </si>
  <si>
    <t>RICHFOOD CRACKER SNACK</t>
  </si>
  <si>
    <t>RICHFOOD CRACKER WHEAT</t>
  </si>
  <si>
    <t>14.50 O</t>
  </si>
  <si>
    <t>RICHFOOD CRKR RDFAT SNACKER</t>
  </si>
  <si>
    <t>RICHFOOD CRKR SALTNS WHEAT</t>
  </si>
  <si>
    <t>RICHFOOD FDG STRP SHTBD CKI</t>
  </si>
  <si>
    <t>RICHFOOD FUDG COVERD GRAHAM</t>
  </si>
  <si>
    <t>RICHFOOD GINGER SNAPS BOX</t>
  </si>
  <si>
    <t>RICHFOOD HNY GRAHAM CRACKER</t>
  </si>
  <si>
    <t>RICHFOOD OYSTER CRACKERS BG</t>
  </si>
  <si>
    <t>RICHFOOD SALTINE CRACKERS</t>
  </si>
  <si>
    <t>RICHFOOD UNSLTD TOP SALTINE</t>
  </si>
  <si>
    <t>RICHFOOD VANILLA WAFERS</t>
  </si>
  <si>
    <t>SHOP VALU CKY DUPLEX SANDWCH</t>
  </si>
  <si>
    <t>SHOP VALU CKY FUDGE SANDWCH</t>
  </si>
  <si>
    <t>SHOP VALU CKY LEMON SNDWCH</t>
  </si>
  <si>
    <t>SHOP VALU CKY OATMEAL ICED</t>
  </si>
  <si>
    <t>SHOP VALU CKY PNT BTR SNDWCH</t>
  </si>
  <si>
    <t>SHOP VALU COOKIE CH CHIP OF</t>
  </si>
  <si>
    <t>SHOP VALU COOKIE DUTCH WINDM</t>
  </si>
  <si>
    <t>SHOP VALU COOKIE MACAROON OF</t>
  </si>
  <si>
    <t>SHOP VALU COOKIE OATMEAL OF</t>
  </si>
  <si>
    <t>SHOP VALU COOKIE SUGAR OLD F</t>
  </si>
  <si>
    <t>SHOP VALU SALTINE CRACKERS</t>
  </si>
  <si>
    <t>SHOP VALU SANDWICH COOK ASST</t>
  </si>
  <si>
    <t>SHOP VALU SUGAR WAFERS ASST</t>
  </si>
  <si>
    <t>SHOP VALU VANILLA SUGR WAFER</t>
  </si>
  <si>
    <t>SHOPVALUE CKY DUPLEX SANDWCH</t>
  </si>
  <si>
    <t>SHOPVALUE CKY LEMON SANDWCH</t>
  </si>
  <si>
    <t>SHOPVALUE CKY PNT BTR SANDWC</t>
  </si>
  <si>
    <t>SHOPVALUE CKY VAN SANDWCH</t>
  </si>
  <si>
    <t>SHOPVALUE CKY VANILLA SNDWCH</t>
  </si>
  <si>
    <t>:JOY CONE KIDS CONE</t>
  </si>
  <si>
    <t>BUGLES NACHO</t>
  </si>
  <si>
    <t>BUGLES ORIG BUGLES</t>
  </si>
  <si>
    <t>CHEX CHOC CHEX MIX PB</t>
  </si>
  <si>
    <t>CHEX CHOC CHEX TURTLE</t>
  </si>
  <si>
    <t>4.44 OZ</t>
  </si>
  <si>
    <t>CHEX MIX 100CAL CHC/CRML SN</t>
  </si>
  <si>
    <t>CHEX MIX 100CAL CHEDDAR SNK</t>
  </si>
  <si>
    <t>8.75 OZ</t>
  </si>
  <si>
    <t>CHEX MIX HOT 'N SPICY</t>
  </si>
  <si>
    <t>CHEX SNKS DARK CHOC SNACK</t>
  </si>
  <si>
    <t>CHEX SNKS DARK CHOC SNACKS</t>
  </si>
  <si>
    <t>CHEX TRAD CHEX MIX</t>
  </si>
  <si>
    <t>COMBOS CHED CH CRACKERS</t>
  </si>
  <si>
    <t>COMBOS CHED CH PRETZELS</t>
  </si>
  <si>
    <t>COMBOS PIZZERIA PRETZEL</t>
  </si>
  <si>
    <t>FRENCHS ONIONS FRNCH FRIED</t>
  </si>
  <si>
    <t>GEN MILLS BOLD PARTY BLEND</t>
  </si>
  <si>
    <t>GEN MILLS CHEDDAR CHEX MIX</t>
  </si>
  <si>
    <t>GEN MILLS CHEDDAR SNACK MIX</t>
  </si>
  <si>
    <t>GEN MILLS CHEERIOS SNACK MIX</t>
  </si>
  <si>
    <t>GEN MILLS CHEX MIX CARMEL CR</t>
  </si>
  <si>
    <t>GEN MILLS CHXMX STRYG 100CAL</t>
  </si>
  <si>
    <t>GEN MILLS HONEY NUT CHEX MIX</t>
  </si>
  <si>
    <t>GEN MILLS ORIGINAL SNACK MIX</t>
  </si>
  <si>
    <t>GEN MILLS PEANUT LOVERS</t>
  </si>
  <si>
    <t>GEN MILLS SIMPLY CHEX CHEDDR</t>
  </si>
  <si>
    <t>GEN MILLS SNACK MIX HONEY NT</t>
  </si>
  <si>
    <t>GEN MILLS TRAD CHEX MIX</t>
  </si>
  <si>
    <t>GEN MILLS TRAIL MIX 8.75 OZ</t>
  </si>
  <si>
    <t>JOY CONE CLSC WFL CONE 12CT</t>
  </si>
  <si>
    <t>JOY CONE IC CAKE CUP 24CT</t>
  </si>
  <si>
    <t>JOY CONE IC CAKE CUP 48CT</t>
  </si>
  <si>
    <t>JOY CONE IC SUGR CONES 12CT</t>
  </si>
  <si>
    <t>PRINGLES 100CAL SNK STK ORG</t>
  </si>
  <si>
    <t>13.3 OZ</t>
  </si>
  <si>
    <t>PRINGLES 3FLAV SNCKS 18PK</t>
  </si>
  <si>
    <t>6.38 OZ</t>
  </si>
  <si>
    <t>PRINGLES BBQ</t>
  </si>
  <si>
    <t>1.41 OZ</t>
  </si>
  <si>
    <t>PRINGLES CHED CHEESE CAN</t>
  </si>
  <si>
    <t>PRINGLES CHEDDAR CHEESE</t>
  </si>
  <si>
    <t>PRINGLES CHEESE STIX</t>
  </si>
  <si>
    <t>PRINGLES EXT BLAZIN BUFFALO</t>
  </si>
  <si>
    <t>5.82 OZ</t>
  </si>
  <si>
    <t>PRINGLES FAT FREE ORIG</t>
  </si>
  <si>
    <t>PRINGLES FAT FREE SC&amp;O</t>
  </si>
  <si>
    <t>6.8 OZ</t>
  </si>
  <si>
    <t>PRINGLES HONEY BUTTER STIX</t>
  </si>
  <si>
    <t>PRINGLES HONEY MUSTARD</t>
  </si>
  <si>
    <t>PRINGLES LOADED BKD POTATO</t>
  </si>
  <si>
    <t>PRINGLES MEXICAN LAYER DIP</t>
  </si>
  <si>
    <t>4.05 OZ</t>
  </si>
  <si>
    <t>PRINGLES MINIS ORGNL</t>
  </si>
  <si>
    <t>5.92 OZ</t>
  </si>
  <si>
    <t>PRINGLES ORIG SNCKSTACK 8PK</t>
  </si>
  <si>
    <t>PRINGLES ORIGINAL CAN</t>
  </si>
  <si>
    <t>6.42 OZ</t>
  </si>
  <si>
    <t>PRINGLES ORIGINAL SUPSTACK</t>
  </si>
  <si>
    <t>PRINGLES PIZZA</t>
  </si>
  <si>
    <t>PRINGLES PIZZA STIX</t>
  </si>
  <si>
    <t>PRINGLES RANCH</t>
  </si>
  <si>
    <t>PRINGLES RC ONION BLOSSOM</t>
  </si>
  <si>
    <t>5.71 OZ</t>
  </si>
  <si>
    <t>PRINGLES RED FAT ORIGINAL</t>
  </si>
  <si>
    <t>PRINGLES RED FAT SC&amp;O</t>
  </si>
  <si>
    <t>PRINGLES SALT &amp; VINEGAR</t>
  </si>
  <si>
    <t>PRINGLES SC&amp;O CAN</t>
  </si>
  <si>
    <t>PRINGLES SC&amp;O SNCKSTCK 8PK</t>
  </si>
  <si>
    <t>PRINGLES SEL JALAPENO RANCH</t>
  </si>
  <si>
    <t>PRINGLES SELCT PARM GARLIC</t>
  </si>
  <si>
    <t>PRINGLES SLCT BUFFALO WING</t>
  </si>
  <si>
    <t>PRINGLES SLCT SOWEST BBQ</t>
  </si>
  <si>
    <t>PRINGLES SOUR CREAM &amp; ONION</t>
  </si>
  <si>
    <t>3.03 OZ</t>
  </si>
  <si>
    <t>QUAKER CHSY NCHO RICECHIP</t>
  </si>
  <si>
    <t>QUAKER ZSTY GUAC RICECHIP</t>
  </si>
  <si>
    <t>RICHFOOD POTATO STICKS</t>
  </si>
  <si>
    <t>RILEY CONE IC CAKE CUP</t>
  </si>
  <si>
    <t>RILEYS CONE IC CUP COLOR</t>
  </si>
  <si>
    <t>RILEYS CONE IC JUMBO CUP</t>
  </si>
  <si>
    <t>RILEYS CONE ICE CRM SUGAR</t>
  </si>
  <si>
    <t>SUPERCNCH CHEESE CURLS</t>
  </si>
  <si>
    <t>SUPERCNCH KETTLE CHIP MSQUTE</t>
  </si>
  <si>
    <t>SUPERCNCH KETTLE CHIPS REG</t>
  </si>
  <si>
    <t>SUPERCNCH POT CHP WV SRCM/ON</t>
  </si>
  <si>
    <t>SUPERCNCH POTATO CHIP BBQ</t>
  </si>
  <si>
    <t>SUPERCNCH POTATO CHIP WV REG</t>
  </si>
  <si>
    <t>SUPERCNCH PRETZELS MINI</t>
  </si>
  <si>
    <t>SUPERCNCH PRETZELS STICKS</t>
  </si>
  <si>
    <t>SUPERCNCH SNACK MIX CHEDDAR</t>
  </si>
  <si>
    <t>SUPERCNCH SNACK MIX TRADITNL</t>
  </si>
  <si>
    <t>13.5 OZ</t>
  </si>
  <si>
    <t>SUPERCNCH TORT CHP RST STYLE</t>
  </si>
  <si>
    <t>SUPERCNCH TORTILLA CHP NACHO</t>
  </si>
  <si>
    <t>SUPERCNCH TORTILLA CHP WT CN</t>
  </si>
  <si>
    <t>SUPERCNCH TORTILLA CHP YL CN</t>
  </si>
  <si>
    <t>SUPERFINE WHOLE BOILED ONION</t>
  </si>
  <si>
    <t>1.0 OZ</t>
  </si>
  <si>
    <t>1.48 OZ</t>
  </si>
  <si>
    <t>128 FZ</t>
  </si>
  <si>
    <t>32 FZ</t>
  </si>
  <si>
    <t>4 FZ</t>
  </si>
  <si>
    <t>16 FZ</t>
  </si>
  <si>
    <t>6.60 OZ</t>
  </si>
  <si>
    <t>5.30 OZ</t>
  </si>
  <si>
    <t>25.75 O</t>
  </si>
  <si>
    <t>12.9 OZ</t>
  </si>
  <si>
    <t>13 FZ</t>
  </si>
  <si>
    <t>8 FZ</t>
  </si>
  <si>
    <t>22 OZ</t>
  </si>
  <si>
    <t>12.8 OZ</t>
  </si>
  <si>
    <t>48 FZ</t>
  </si>
  <si>
    <t>33.8 FZ</t>
  </si>
  <si>
    <t>56 CT</t>
  </si>
  <si>
    <t>40 CT</t>
  </si>
  <si>
    <t>34 CT</t>
  </si>
  <si>
    <t>52 CT</t>
  </si>
  <si>
    <t>30 CT</t>
  </si>
  <si>
    <t>80 CT</t>
  </si>
  <si>
    <t>48 CT</t>
  </si>
  <si>
    <t>26 CT</t>
  </si>
  <si>
    <t>44 CT</t>
  </si>
  <si>
    <t>17 CT</t>
  </si>
  <si>
    <t>13 CT</t>
  </si>
  <si>
    <t>21 CT</t>
  </si>
  <si>
    <t>64 CT</t>
  </si>
  <si>
    <t>96 CT</t>
  </si>
  <si>
    <t>70 CT</t>
  </si>
  <si>
    <t>22 CT</t>
  </si>
  <si>
    <t>62 CT</t>
  </si>
  <si>
    <t>50 CT</t>
  </si>
  <si>
    <t>24 CT</t>
  </si>
  <si>
    <t>15.4 OZ</t>
  </si>
  <si>
    <t>BIG G TOTAL-CINN CRUNCH</t>
  </si>
  <si>
    <t>CHEX CINNAMON CEREAL</t>
  </si>
  <si>
    <t>CHEX STRAWBERRY CEREAL</t>
  </si>
  <si>
    <t>15.1 OZ</t>
  </si>
  <si>
    <t>FIBER ONE FRSTED SHRED WHEAT</t>
  </si>
  <si>
    <t>10.9 OZ</t>
  </si>
  <si>
    <t>GEN MILLS BANANA NUT CEREAL</t>
  </si>
  <si>
    <t>GEN MILLS BASIC 4 CEREAL</t>
  </si>
  <si>
    <t>9.14 OZ</t>
  </si>
  <si>
    <t>GEN MILLS BKFST PACK</t>
  </si>
  <si>
    <t>9.05 OZ</t>
  </si>
  <si>
    <t>GEN MILLS BRKFSTBR CINTSTCRN</t>
  </si>
  <si>
    <t>GEN MILLS BRKFSTBR HNYNTCHRY</t>
  </si>
  <si>
    <t>8.59 OZ</t>
  </si>
  <si>
    <t>GEN MILLS BRKFSTBR LUKYCHRMS</t>
  </si>
  <si>
    <t>8.44 OZ</t>
  </si>
  <si>
    <t>GEN MILLS BRKFSTBRK CHEERIOS</t>
  </si>
  <si>
    <t>GEN MILLS CHEERIO BRYBRS/TRP</t>
  </si>
  <si>
    <t>GEN MILLS CHEERIO CEREAL CUP</t>
  </si>
  <si>
    <t>12.2 OZ</t>
  </si>
  <si>
    <t>GEN MILLS CHEERIO YOG BRS VN</t>
  </si>
  <si>
    <t>GEN MILLS CHEERIOS CEREAL</t>
  </si>
  <si>
    <t>8.9 OZ</t>
  </si>
  <si>
    <t>GEN MILLS CHEERIOS-APL CINNM</t>
  </si>
  <si>
    <t>11.3 OZ</t>
  </si>
  <si>
    <t>GEN MILLS CHEERIOS-CRUNCH CE</t>
  </si>
  <si>
    <t>GEN MILLS CHEERIOS-FRSTD CRL</t>
  </si>
  <si>
    <t>GEN MILLS CHEERIOS-FRUITY</t>
  </si>
  <si>
    <t>GEN MILLS CHEERIOS-HNY NUT</t>
  </si>
  <si>
    <t>25.25 O</t>
  </si>
  <si>
    <t>GEN MILLS CHEERIOS-MULTIGRN</t>
  </si>
  <si>
    <t>GEN MILLS CHEERIOS-YOG BRST</t>
  </si>
  <si>
    <t>14.25 O</t>
  </si>
  <si>
    <t>GEN MILLS CHEX-CHOCOLATE CER</t>
  </si>
  <si>
    <t>GEN MILLS CHEX-CORN CEREAL</t>
  </si>
  <si>
    <t>13.8 OZ</t>
  </si>
  <si>
    <t>GEN MILLS CHEX-HNY NUT CERL</t>
  </si>
  <si>
    <t>GEN MILLS CHEX-MULTIBRAN CRL</t>
  </si>
  <si>
    <t>GEN MILLS CHEX-RICE CEREAL</t>
  </si>
  <si>
    <t>GEN MILLS CHEX-WHEAT CEREAL</t>
  </si>
  <si>
    <t>GEN MILLS CIN CRNC CREAL CUP</t>
  </si>
  <si>
    <t>GEN MILLS CINNMN TOAST CRNCH</t>
  </si>
  <si>
    <t>24.9 OZ</t>
  </si>
  <si>
    <t>12.7 OZ</t>
  </si>
  <si>
    <t>GEN MILLS CKIE CRISP-DBL CHC</t>
  </si>
  <si>
    <t>16.25 O</t>
  </si>
  <si>
    <t>GEN MILLS CLSTRS-HNY NUT CRL</t>
  </si>
  <si>
    <t>11.8 OZ</t>
  </si>
  <si>
    <t>GEN MILLS COCOA PUFFS CEREAL</t>
  </si>
  <si>
    <t>16.5 OZ</t>
  </si>
  <si>
    <t>11.7 OZ</t>
  </si>
  <si>
    <t>GEN MILLS COCOA PUFFS-COMBOS</t>
  </si>
  <si>
    <t>GEN MILLS COOKIE CRISP</t>
  </si>
  <si>
    <t>15.6 OZ</t>
  </si>
  <si>
    <t>GEN MILLS COOKIE CRISP CERL</t>
  </si>
  <si>
    <t>GEN MILLS CURVES HONEY CRNCH</t>
  </si>
  <si>
    <t>GEN MILLS CURVES WHOLE GRAIN</t>
  </si>
  <si>
    <t>GEN MILLS FBR1 RSN BRN CLSTR</t>
  </si>
  <si>
    <t>16.2 OZ</t>
  </si>
  <si>
    <t>GEN MILLS FIBER ONE CEREAL</t>
  </si>
  <si>
    <t>GEN MILLS FIBER ONE CRML DEL</t>
  </si>
  <si>
    <t>GEN MILLS FIBER ONE HNY CLST</t>
  </si>
  <si>
    <t>GEN MILLS GOLDEN GRAHAMS</t>
  </si>
  <si>
    <t>GEN MILLS KIX CEREAL</t>
  </si>
  <si>
    <t>GEN MILLS LCKY CHRMS-CHOCLAT</t>
  </si>
  <si>
    <t>GEN MILLS LUCKY CHARMS CERL</t>
  </si>
  <si>
    <t>GEN MILLS LUCKY CHR CUPS</t>
  </si>
  <si>
    <t>GEN MILLS LUCKY CHRMS CEREAL</t>
  </si>
  <si>
    <t>GEN MILLS OTML CRSP-ALMOND</t>
  </si>
  <si>
    <t>GEN MILLS OTML CRSP-RSN CERL</t>
  </si>
  <si>
    <t>GEN MILLS REDSUGR CNTST CRNC</t>
  </si>
  <si>
    <t>GEN MILLS REESES PBTR PUFFS</t>
  </si>
  <si>
    <t>17.1 OZ</t>
  </si>
  <si>
    <t>GEN MILLS RSN NUT BRN CEREAL</t>
  </si>
  <si>
    <t>GEN MILLS TOTAL CRAN CRUNCH</t>
  </si>
  <si>
    <t>GEN MILLS TOTAL-HNY CLUSTERS</t>
  </si>
  <si>
    <t>18.25 O</t>
  </si>
  <si>
    <t>GEN MILLS TOTAL-RSN BRN CERL</t>
  </si>
  <si>
    <t>24.6 OZ</t>
  </si>
  <si>
    <t>10.6 OZ</t>
  </si>
  <si>
    <t>GEN MILLS TOTAL-WHOLE GRAIN</t>
  </si>
  <si>
    <t>10.7 OZ</t>
  </si>
  <si>
    <t>GEN MILLS TRIX CEREAL</t>
  </si>
  <si>
    <t>14.8 OZ</t>
  </si>
  <si>
    <t>GEN MILLS WHEATIES CEREAL</t>
  </si>
  <si>
    <t>KASHI ALL FAM HONEY CERL</t>
  </si>
  <si>
    <t>KASHI CINN RAISIN CEREAL</t>
  </si>
  <si>
    <t>14.30 O</t>
  </si>
  <si>
    <t>KASHI COCOA BEACH GRAN</t>
  </si>
  <si>
    <t>14.1 OZ</t>
  </si>
  <si>
    <t>KASHI GOLEAN CEREAL</t>
  </si>
  <si>
    <t>25 OZ</t>
  </si>
  <si>
    <t>KASHI GOLEAN CRUNCH</t>
  </si>
  <si>
    <t>KASHI GOLEAN CRUNCH CRL</t>
  </si>
  <si>
    <t>KASHI GOOD FRIENDS CREAL</t>
  </si>
  <si>
    <t>KASHI GRAN/MTN MEDLEY</t>
  </si>
  <si>
    <t>KASHI HEART TO HEART CRL</t>
  </si>
  <si>
    <t>KASHI HONEY ALMOND FLAX</t>
  </si>
  <si>
    <t>13.40 O</t>
  </si>
  <si>
    <t>KASHI HRT 2 HRT BLUEBRY</t>
  </si>
  <si>
    <t>KASHI ISLAND VANILLA</t>
  </si>
  <si>
    <t>KASHI ORG PROM CIN HARVT</t>
  </si>
  <si>
    <t>KASHI ORG STRAWB FIELDS</t>
  </si>
  <si>
    <t>KASHI ORGNC PRMS ATMNWHT</t>
  </si>
  <si>
    <t>KASHI PUFFED 7GRND&amp;SESAM</t>
  </si>
  <si>
    <t>KASHI SUMMER BERRY GRN</t>
  </si>
  <si>
    <t>KASHI U CEREAL</t>
  </si>
  <si>
    <t>KELLOGG AJ CEREAL IN CUP</t>
  </si>
  <si>
    <t>18.3 OZ</t>
  </si>
  <si>
    <t>KELLOGG ALL BRAN</t>
  </si>
  <si>
    <t>13.20 O</t>
  </si>
  <si>
    <t>KELLOGG ALL BRAN STWBRY</t>
  </si>
  <si>
    <t>14.7 OZ</t>
  </si>
  <si>
    <t>KELLOGG ALL BRAN YGRT BTS</t>
  </si>
  <si>
    <t>12.20 O</t>
  </si>
  <si>
    <t>KELLOGG APPLE JACKS 12.2 O</t>
  </si>
  <si>
    <t>KELLOGG APPLE JACKS 17 OZ</t>
  </si>
  <si>
    <t>8.70 OZ</t>
  </si>
  <si>
    <t>KELLOGG APPLE JACKS 8.7 OZ</t>
  </si>
  <si>
    <t>8.80 OZ</t>
  </si>
  <si>
    <t>KELLOGG APPLE JACKS STRAWS</t>
  </si>
  <si>
    <t>16.3 OZ</t>
  </si>
  <si>
    <t>KELLOGG BS MINIWHTS STRBRY</t>
  </si>
  <si>
    <t>KELLOGG BSMW BLBRY MUFFIN</t>
  </si>
  <si>
    <t>KELLOGG BSMW CINNMN STRUSL</t>
  </si>
  <si>
    <t>17.7 OZ</t>
  </si>
  <si>
    <t>KELLOGG CEREAL ALL BRAN BD</t>
  </si>
  <si>
    <t>17.3 OZ</t>
  </si>
  <si>
    <t>KELLOGG CEREAL BRAN FLAKE</t>
  </si>
  <si>
    <t>KELLOGG CEREAL CORN FLAKES</t>
  </si>
  <si>
    <t>KELLOGG CEREAL CRISPIX</t>
  </si>
  <si>
    <t>KELLOGG CEREAL FUN PACK</t>
  </si>
  <si>
    <t>KELLOGG CEREAL RAISIN BRAN</t>
  </si>
  <si>
    <t>25.5 OZ</t>
  </si>
  <si>
    <t>KELLOGG CEREAL SPECIAL K</t>
  </si>
  <si>
    <t>9.63 OZ</t>
  </si>
  <si>
    <t>KELLOGG CEREAL VARIETY PCK</t>
  </si>
  <si>
    <t>KELLOGG CERL FRST MINI WHT</t>
  </si>
  <si>
    <t>KELLOGG CK CHOCONILLA</t>
  </si>
  <si>
    <t>16.50 O</t>
  </si>
  <si>
    <t>KELLOGG COCOA KRISPIES</t>
  </si>
  <si>
    <t>2.30 OZ</t>
  </si>
  <si>
    <t>KELLOGG COCOA KRPS IN CUP</t>
  </si>
  <si>
    <t>KELLOGG COCOA KRSPS STRAWS</t>
  </si>
  <si>
    <t>36 OZ</t>
  </si>
  <si>
    <t>KELLOGG CORN FLAKE DUAL PK</t>
  </si>
  <si>
    <t>KELLOGG CORN FLAKES</t>
  </si>
  <si>
    <t>12.50 O</t>
  </si>
  <si>
    <t>KELLOGG CORN POPS</t>
  </si>
  <si>
    <t>17.20 O</t>
  </si>
  <si>
    <t>9.20 OZ</t>
  </si>
  <si>
    <t>KELLOGG CORN POPS   9.2 OZ</t>
  </si>
  <si>
    <t>KELLOGG CORN POPS GRAB GO</t>
  </si>
  <si>
    <t>KELLOGG CP CEREAL IN CUP</t>
  </si>
  <si>
    <t>KELLOGG CP CHC PNT BUTTER</t>
  </si>
  <si>
    <t>KELLOGG CRACKLIN OAT BRAN</t>
  </si>
  <si>
    <t>18.2 OZ</t>
  </si>
  <si>
    <t>KELLOGG CRL RSN BRAN CRNCH</t>
  </si>
  <si>
    <t>KELLOGG EGGO MAPLE CEREAL</t>
  </si>
  <si>
    <t>KELLOGG FBSMW MPL/BRWN SGR</t>
  </si>
  <si>
    <t>KELLOGG FL CEREAL IN CUP</t>
  </si>
  <si>
    <t>KELLOGG FROOT LOOPS</t>
  </si>
  <si>
    <t>20.4 OZ</t>
  </si>
  <si>
    <t>KELLOGG FROST MINI WHEATS</t>
  </si>
  <si>
    <t>KELLOGG FROSTED FLAKES</t>
  </si>
  <si>
    <t>23 OZ</t>
  </si>
  <si>
    <t>KELLOGG FRS FLK 1/3 LES SG</t>
  </si>
  <si>
    <t>KELLOGG FRST BTSZ MNI WHTS</t>
  </si>
  <si>
    <t>61.9 OZ</t>
  </si>
  <si>
    <t>KELLOGG FRST FLAKES CLUBPK</t>
  </si>
  <si>
    <t>KELLOGG FRSTFLK-N-CUP</t>
  </si>
  <si>
    <t>6.40 OZ</t>
  </si>
  <si>
    <t>KELLOGG FRT LOOPS GRAB GO</t>
  </si>
  <si>
    <t>KELLOGG FRT LOOPS SMOOTHIE</t>
  </si>
  <si>
    <t>KELLOGG FRT LOOPS STRAWS</t>
  </si>
  <si>
    <t>16.90 O</t>
  </si>
  <si>
    <t>KELLOGG FSTD FLAKES GOLD</t>
  </si>
  <si>
    <t>KELLOGG GRB N GO FSTD FLK</t>
  </si>
  <si>
    <t>KELLOGG HANNAH MNTA CEREAL</t>
  </si>
  <si>
    <t>KELLOGG HIGH SCHL MUSICAL</t>
  </si>
  <si>
    <t>KELLOGG JUMBO KRISPIES</t>
  </si>
  <si>
    <t>KELLOGG KBLR CKI CRCH CERL</t>
  </si>
  <si>
    <t>KELLOGG LF GRANOLA W/RAISN</t>
  </si>
  <si>
    <t>KELLOGG LOWFAT GRANOLA</t>
  </si>
  <si>
    <t>KELLOGG MARSH FROOT LOOPS</t>
  </si>
  <si>
    <t>15.3 OZ</t>
  </si>
  <si>
    <t>KELLOGG MUESLIX</t>
  </si>
  <si>
    <t>14.5 OZ</t>
  </si>
  <si>
    <t>KELLOGG MW LTTL BT HNY NUT</t>
  </si>
  <si>
    <t>KELLOGG MW LTTLE BTS CHOC</t>
  </si>
  <si>
    <t>KELLOGG PRODUCT 19</t>
  </si>
  <si>
    <t>KELLOGG RAISIN BRAN</t>
  </si>
  <si>
    <t>KELLOGG RAISIN BRAN CRUNCH</t>
  </si>
  <si>
    <t>KELLOGG RICE KRISPIES</t>
  </si>
  <si>
    <t>KELLOGG RICE KRISPIES 18OZ</t>
  </si>
  <si>
    <t>KELLOGG RK CEREAL IN CUP</t>
  </si>
  <si>
    <t>76.50 O</t>
  </si>
  <si>
    <t>KELLOGG RSN BRAN CLUB PCK</t>
  </si>
  <si>
    <t>KELLOGG RSN BRN EXTRA</t>
  </si>
  <si>
    <t>KELLOGG SK CHOCOLATE PIECE</t>
  </si>
  <si>
    <t>KELLOGG SK CINN PCN FMLY</t>
  </si>
  <si>
    <t>5.40 OZ</t>
  </si>
  <si>
    <t>KELLOGG SK FRT YGT GRBNGO</t>
  </si>
  <si>
    <t>KELLOGG SK VAN GRAB N GO</t>
  </si>
  <si>
    <t>15.2 OZ</t>
  </si>
  <si>
    <t>KELLOGG SM START HLTHY HRT</t>
  </si>
  <si>
    <t>15.30 O</t>
  </si>
  <si>
    <t>KELLOGG SMACKS</t>
  </si>
  <si>
    <t>KELLOGG SMART START CEREAL</t>
  </si>
  <si>
    <t>KELLOGG SMORZ</t>
  </si>
  <si>
    <t>KELLOGG SMRT STRT MPLBRSG</t>
  </si>
  <si>
    <t>14.70 O</t>
  </si>
  <si>
    <t>KELLOGG SMT SRT STWBY OAT</t>
  </si>
  <si>
    <t>KELLOGG SPC K FRT&amp;YOGURT</t>
  </si>
  <si>
    <t>KELLOGG SPCL K CINN PECAN</t>
  </si>
  <si>
    <t>KELLOGG SPEC K RED BERRIES</t>
  </si>
  <si>
    <t>KELLOGG SPECIAL K PROTEIN</t>
  </si>
  <si>
    <t>16.7 OZ</t>
  </si>
  <si>
    <t>KELLOGG SPECIAL K RED BERR</t>
  </si>
  <si>
    <t>KELLOGG SPECL K VAN ALMOND</t>
  </si>
  <si>
    <t>KELLOGG SPK CEREAL IN CUP</t>
  </si>
  <si>
    <t>KELLOGG SPL K BLUEBERRY</t>
  </si>
  <si>
    <t>15.80 O</t>
  </si>
  <si>
    <t>KELLOGG SS HH CINN RAISIN</t>
  </si>
  <si>
    <t>KELLOGG UNFRSTD BSMW</t>
  </si>
  <si>
    <t>KIX HONEY CEREAL</t>
  </si>
  <si>
    <t>MALTOMEAL APPLE ZINGS BIG SZ</t>
  </si>
  <si>
    <t>15.50 O</t>
  </si>
  <si>
    <t>MALTOMEAL BLU MFN  BIG  SIZE</t>
  </si>
  <si>
    <t>20.50 O</t>
  </si>
  <si>
    <t>MALTOMEAL BRY COL CRNCH BIG</t>
  </si>
  <si>
    <t>MALTOMEAL CHOC MM BIG SIZE</t>
  </si>
  <si>
    <t>19.50 O</t>
  </si>
  <si>
    <t>MALTOMEAL CIN TSTRS BIG SIZE</t>
  </si>
  <si>
    <t>MALTOMEAL COC DYNO BT BIG SZ</t>
  </si>
  <si>
    <t>MALTOMEAL COC ROOS BIG SIZE</t>
  </si>
  <si>
    <t>21.50 O</t>
  </si>
  <si>
    <t>MALTOMEAL FRST FLAKES BIG SZ</t>
  </si>
  <si>
    <t>MALTOMEAL FRST MINI SPNR BIG</t>
  </si>
  <si>
    <t>43.5 OZ</t>
  </si>
  <si>
    <t>MALTOMEAL FRST MINI SPOONERS</t>
  </si>
  <si>
    <t>MALTOMEAL FRTY DYNO BT BIG</t>
  </si>
  <si>
    <t>MALTOMEAL FRUITY DYNO-BITES</t>
  </si>
  <si>
    <t>37 OZ</t>
  </si>
  <si>
    <t>MALTOMEAL GOLDEN PUFFS BAG</t>
  </si>
  <si>
    <t>MALTOMEAL GOLDN PUFF BIG SZ</t>
  </si>
  <si>
    <t>39 OZ</t>
  </si>
  <si>
    <t>MALTOMEAL HNY &amp; NUT TOASTY O</t>
  </si>
  <si>
    <t>MALTOMEAL HNY NUT SCTRS BIG</t>
  </si>
  <si>
    <t>MALTOMEAL HNY OAT BLND BIG</t>
  </si>
  <si>
    <t>MALTOMEAL MARSH MATY BIG SZ</t>
  </si>
  <si>
    <t>38 OZ</t>
  </si>
  <si>
    <t>MALTOMEAL MARSHMALLOW MATEYS</t>
  </si>
  <si>
    <t>MALTOMEAL RAISIN BRAN BIG SZ</t>
  </si>
  <si>
    <t>MALTOMEAL TOOTI FRUITI FAMSZ</t>
  </si>
  <si>
    <t>MALTOMEAL TOOTIE FRUITIES</t>
  </si>
  <si>
    <t>MALTOMEAL TST CINN TWISTS</t>
  </si>
  <si>
    <t>NAT VALLY CEREAL OATS/HONEY</t>
  </si>
  <si>
    <t>POST 19Z HBO HR</t>
  </si>
  <si>
    <t>POST ALM CRUNCH CEREAL</t>
  </si>
  <si>
    <t>POST ALPHA BITS</t>
  </si>
  <si>
    <t>15.5 OZ</t>
  </si>
  <si>
    <t>POST CEREAL BAN NUT CRN</t>
  </si>
  <si>
    <t>POST CEREAL BLBRRY MRNG</t>
  </si>
  <si>
    <t>POST CEREAL BRAN FLAKES</t>
  </si>
  <si>
    <t>POST CEREAL COCOA PEBBL</t>
  </si>
  <si>
    <t>POST CEREAL FRUTY PBBLS</t>
  </si>
  <si>
    <t>34 OZ</t>
  </si>
  <si>
    <t>POST CEREAL GRAPE NUT/F</t>
  </si>
  <si>
    <t>POST CEREAL GRAPE NUTS</t>
  </si>
  <si>
    <t>18.5 OZ</t>
  </si>
  <si>
    <t>POST CEREAL HONEYCOMB</t>
  </si>
  <si>
    <t>POST CEREAL RAISIN BRAN</t>
  </si>
  <si>
    <t>13.75 O</t>
  </si>
  <si>
    <t>POST CEREAL WAFFLE CRSP</t>
  </si>
  <si>
    <t>POST GRAPENUT TRAIL MIX</t>
  </si>
  <si>
    <t>POST GRP NUT TMC CRN VN</t>
  </si>
  <si>
    <t>POST GRT GRN RA DAT PEC</t>
  </si>
  <si>
    <t>POST GRTGRNS PECAN</t>
  </si>
  <si>
    <t>POST HBO ALMOND</t>
  </si>
  <si>
    <t>POST HBO CIN CLSTR</t>
  </si>
  <si>
    <t>POST HBO HNY RSTD</t>
  </si>
  <si>
    <t>POST HBO JSTBNCH HNYRST</t>
  </si>
  <si>
    <t>POST HBO JSTBNCHS CARML</t>
  </si>
  <si>
    <t>POST HBO VANILLA CLSTR</t>
  </si>
  <si>
    <t>POST HBO W/REAL CHC CLS</t>
  </si>
  <si>
    <t>POST HBO W/STRAWBERRIES</t>
  </si>
  <si>
    <t>POST HCMB CINNA-GRHM</t>
  </si>
  <si>
    <t>POST HNY BNCHS OATS PCH</t>
  </si>
  <si>
    <t>POST HNY NUT SHRDD WHT</t>
  </si>
  <si>
    <t>POST HONEYCOMB</t>
  </si>
  <si>
    <t>POST SEL MPLE PECN CRNC</t>
  </si>
  <si>
    <t>POST SHRD WHEAT N BRAN</t>
  </si>
  <si>
    <t>POST SHRD WHT W/RL STRW</t>
  </si>
  <si>
    <t>POST SHRED WHEAT FROSTD</t>
  </si>
  <si>
    <t>POST SHREDDED WHEAT</t>
  </si>
  <si>
    <t>POST SLCT APL CRML PCN</t>
  </si>
  <si>
    <t>16.4 OZ</t>
  </si>
  <si>
    <t>POST SPN SZ SHRD WHEAT</t>
  </si>
  <si>
    <t>POST SUPER GOLDEN CRISP</t>
  </si>
  <si>
    <t>QUAKER CAPN CRNCHBRY JMBO</t>
  </si>
  <si>
    <t>QUAKER CAPN CRUNCH JUMBO</t>
  </si>
  <si>
    <t>QUAKER CEREAL CAP CRUNCH</t>
  </si>
  <si>
    <t>QUAKER CEREAL CAP'N C PBT</t>
  </si>
  <si>
    <t>QUAKER CEREAL KING VITAMN</t>
  </si>
  <si>
    <t>QUAKER CEREAL LIFE</t>
  </si>
  <si>
    <t>QUAKER CEREAL OAT SQUARES</t>
  </si>
  <si>
    <t>QUAKER CEREAL OHS HNY GRM</t>
  </si>
  <si>
    <t>QUAKER CEREAL W/RAISINS</t>
  </si>
  <si>
    <t>QUAKER CEREAL, CAP/CR CRB</t>
  </si>
  <si>
    <t>QUAKER CEREAL, LIFE/CINNM</t>
  </si>
  <si>
    <t>QUAKER CINN OATMEAL SQARS</t>
  </si>
  <si>
    <t>QUAKER CINNAMON LIFE CERL</t>
  </si>
  <si>
    <t>5.3 OZ</t>
  </si>
  <si>
    <t>QUAKER CRL PUFFED WHEAT</t>
  </si>
  <si>
    <t>QUAKER LIFE MBS</t>
  </si>
  <si>
    <t>QUAKER OAT &amp; HONEY CEREAL</t>
  </si>
  <si>
    <t>QUAKER PUFFED RICE CEREAL</t>
  </si>
  <si>
    <t>QUAKER QOS GOLDEN MAPLE</t>
  </si>
  <si>
    <t>QUAKER RTE OAT BRAN</t>
  </si>
  <si>
    <t>12.90 O</t>
  </si>
  <si>
    <t>RICHFOOD APPLE CINN TASTEEO</t>
  </si>
  <si>
    <t>RICHFOOD APPLE DAPPLES</t>
  </si>
  <si>
    <t>RICHFOOD BITE SZ CORN CEREA</t>
  </si>
  <si>
    <t>12.80 O</t>
  </si>
  <si>
    <t>RICHFOOD BITE SZ RICE CEREA</t>
  </si>
  <si>
    <t>RICHFOOD CER BAN NUT CRUNCH</t>
  </si>
  <si>
    <t>RICHFOOD CER LF GRAN-RAISIN</t>
  </si>
  <si>
    <t>RICHFOOD CER LOWFAT GRANOLA</t>
  </si>
  <si>
    <t>RICHFOOD CER MULTIGRAIN CRN</t>
  </si>
  <si>
    <t>RICHFOOD CER RTE CRISPYRICE</t>
  </si>
  <si>
    <t>RICHFOOD CER RTE FRSTD WHT</t>
  </si>
  <si>
    <t>RICHFOOD CER RTE MM TREASUR</t>
  </si>
  <si>
    <t>RICHFOOD CEREAL CRANBERRY</t>
  </si>
  <si>
    <t>RICHFOOD CEREAL RAISIN BRAN</t>
  </si>
  <si>
    <t>RICHFOOD CINN/MINI CRUNCH</t>
  </si>
  <si>
    <t>RICHFOOD COCOA COMETS</t>
  </si>
  <si>
    <t>11.80 O</t>
  </si>
  <si>
    <t>RICHFOOD COCOA CRUNCHIES</t>
  </si>
  <si>
    <t>RICHFOOD COCOA PB SPHERES</t>
  </si>
  <si>
    <t>RICHFOOD CORN FLAKES</t>
  </si>
  <si>
    <t>RICHFOOD CRISPY HEXAGONS</t>
  </si>
  <si>
    <t>RICHFOOD CRNCHY GRAN RASINB</t>
  </si>
  <si>
    <t>13.80 O</t>
  </si>
  <si>
    <t>RICHFOOD CRNCHY HNYNUT SQRS</t>
  </si>
  <si>
    <t>RICHFOOD ENRICHED BRAN FLKS</t>
  </si>
  <si>
    <t>RICHFOOD FROSTED FLAKES</t>
  </si>
  <si>
    <t>RICHFOOD FRSTD FRUIT RINGS</t>
  </si>
  <si>
    <t>RICHFOOD GD DAY RCFLK W/BRY</t>
  </si>
  <si>
    <t>RICHFOOD GD DAY TST RCE FLK</t>
  </si>
  <si>
    <t>RICHFOOD HNY GRAHAM CRUNCH</t>
  </si>
  <si>
    <t>RICHFOOD HNYOATS&amp;FLKS W/ALM</t>
  </si>
  <si>
    <t>RICHFOOD HNYOATS&amp;FLKS W/STW</t>
  </si>
  <si>
    <t>RICHFOOD HONEY NUT TST OATS</t>
  </si>
  <si>
    <t>RICHFOOD HONEY OATS&amp;FLAKES</t>
  </si>
  <si>
    <t>RICHFOOD HONEY PUFFS</t>
  </si>
  <si>
    <t>RICHFOOD KOOKIES</t>
  </si>
  <si>
    <t>11.50 O</t>
  </si>
  <si>
    <t>RICHFOOD MAGIC STARS</t>
  </si>
  <si>
    <t>RICHFOOD NUTTY NUGGETS R</t>
  </si>
  <si>
    <t>RICHFOOD PUFFED RICE BAG</t>
  </si>
  <si>
    <t>RICHFOOD PUFFED WHEAT BAG</t>
  </si>
  <si>
    <t>25.50 O</t>
  </si>
  <si>
    <t>RICHFOOD RAISIN BRAN</t>
  </si>
  <si>
    <t>RICHFOOD TOASTED OATS</t>
  </si>
  <si>
    <t>BYRD MILL WHITE GRITS</t>
  </si>
  <si>
    <t>BYRD MILL YELLOW GRITS</t>
  </si>
  <si>
    <t>CRM WHEAT CEREAL HOT MXN EAT</t>
  </si>
  <si>
    <t>JIM DANDY GRITS QUICK</t>
  </si>
  <si>
    <t>12.1 OZ</t>
  </si>
  <si>
    <t>KASHI APPLE CINNAMON</t>
  </si>
  <si>
    <t>KASHI GOLDEN BROWN MAPLE</t>
  </si>
  <si>
    <t>11.28 O</t>
  </si>
  <si>
    <t>KASHI GOLEAN HNY/CIN HOT</t>
  </si>
  <si>
    <t>KASHI GOLEAN VANILLA HOT</t>
  </si>
  <si>
    <t>KASHI RAISINSPICE</t>
  </si>
  <si>
    <t>KRETSCHMR WHEAT GERM</t>
  </si>
  <si>
    <t>KRETSCHMR WHEAT GERM HONEY</t>
  </si>
  <si>
    <t>NABISCO CREAM OF RICE</t>
  </si>
  <si>
    <t>NABISCO CRM OF WHEAT INST</t>
  </si>
  <si>
    <t>NABISCO CRM OF WHEAT QUICK</t>
  </si>
  <si>
    <t>OCEAN SPR OATMEAL CRAN ORANG</t>
  </si>
  <si>
    <t>OCEAN SPR OATMEAL CRANBERRY</t>
  </si>
  <si>
    <t>OCEAN SPR OATMEAL POMEGRANIT</t>
  </si>
  <si>
    <t>PILLSBURY FARINA</t>
  </si>
  <si>
    <t>QUAKER BKD APL INST OATML</t>
  </si>
  <si>
    <t>QUAKER BLUEBERRY INST OAT</t>
  </si>
  <si>
    <t>QUAKER BRWN SGR INS OATML</t>
  </si>
  <si>
    <t>QUAKER CEREAL CRYSTAL OAT</t>
  </si>
  <si>
    <t>QUAKER GRITS</t>
  </si>
  <si>
    <t>QUAKER GRITS INSTNT VARTY</t>
  </si>
  <si>
    <t>QUAKER INS FR&amp;CRM LWSG VR</t>
  </si>
  <si>
    <t>QUAKER INS OAT APL CN 50%</t>
  </si>
  <si>
    <t>QUAKER INS OAT CINN PECAN</t>
  </si>
  <si>
    <t>11.9 OZ</t>
  </si>
  <si>
    <t>QUAKER INS OAT MPL BR 50%</t>
  </si>
  <si>
    <t>12.60 O</t>
  </si>
  <si>
    <t>QUAKER INS OAT WTCTRL CIN</t>
  </si>
  <si>
    <t>QUAKER INS WGT CTRL BAN B</t>
  </si>
  <si>
    <t>QUAKER INST GRIT ASST CHS</t>
  </si>
  <si>
    <t>QUAKER INST GRITS BUTTER</t>
  </si>
  <si>
    <t>QUAKER INST GRITS REGULAR</t>
  </si>
  <si>
    <t>QUAKER INST OATMEAL DINO</t>
  </si>
  <si>
    <t>QUAKER INST OATMEAL REG</t>
  </si>
  <si>
    <t>14.2 OZ</t>
  </si>
  <si>
    <t>QUAKER INST OATMEAL VARTY</t>
  </si>
  <si>
    <t>QUAKER INST OATML APL/CIN</t>
  </si>
  <si>
    <t>QUAKER INST OATML FRT&amp;CRM</t>
  </si>
  <si>
    <t>QUAKER INST OTML CINN ROL</t>
  </si>
  <si>
    <t>14.6 OZ</t>
  </si>
  <si>
    <t>QUAKER INST OTML DELUXE</t>
  </si>
  <si>
    <t>QUAKER INST OTML HONEY NT</t>
  </si>
  <si>
    <t>QUAKER IQO LS VAR PACK</t>
  </si>
  <si>
    <t>QUAKER IQO XPRSS CIN ROLL</t>
  </si>
  <si>
    <t>QUAKER OATMEAL BROWN SUGR</t>
  </si>
  <si>
    <t>QUAKER OATMEAL CINN&amp;SPICE</t>
  </si>
  <si>
    <t>QUAKER OATMEAL RSN&amp;SPICE</t>
  </si>
  <si>
    <t>QUAKER OATMEAL STRAW&amp;CRM</t>
  </si>
  <si>
    <t>QUAKER OATML PEACHES&amp;CRM</t>
  </si>
  <si>
    <t>QUAKER OATML RASN/DT/WLNT</t>
  </si>
  <si>
    <t>QUAKER OATML TO GO BANANA</t>
  </si>
  <si>
    <t>QUAKER OATML TO GO BR SGR</t>
  </si>
  <si>
    <t>QUAKER OATML TO GO RAISIN</t>
  </si>
  <si>
    <t>QUAKER OATML TO GO RASPBY</t>
  </si>
  <si>
    <t>QUAKER OATML TOGO APLCINN</t>
  </si>
  <si>
    <t>QUAKER OT IQO MPLBRSG/PCN</t>
  </si>
  <si>
    <t>QUAKER OTG MBS HIFIBR</t>
  </si>
  <si>
    <t>QUAKER OTM IQO HIFIBR MBS</t>
  </si>
  <si>
    <t>QUAKER OTM IQO WT CNTL VP</t>
  </si>
  <si>
    <t>QUAKER OTMIQO HIFBR CNSWL</t>
  </si>
  <si>
    <t>QUAKER OTML IQO APL CINN</t>
  </si>
  <si>
    <t>QUAKER OTML IQO VN/ALM/HN</t>
  </si>
  <si>
    <t>1.5 LB</t>
  </si>
  <si>
    <t>QUAKER QCK WHT GRITS TUBE</t>
  </si>
  <si>
    <t>2.5 LB</t>
  </si>
  <si>
    <t>QUAKER QUICK GRITS</t>
  </si>
  <si>
    <t>QUAKER QUICK OATS</t>
  </si>
  <si>
    <t>QUAKER REGULAR OATS</t>
  </si>
  <si>
    <t>QUAKER WT CONT MPL BRN SG</t>
  </si>
  <si>
    <t>RICHFOOD APPLE CIN INS OATM</t>
  </si>
  <si>
    <t>RICHFOOD CRM VAR INST OATML</t>
  </si>
  <si>
    <t>13.7 OZ</t>
  </si>
  <si>
    <t>RICHFOOD INST OAT VARTY PAK</t>
  </si>
  <si>
    <t>RICHFOOD INST OATMEAL REG</t>
  </si>
  <si>
    <t>RICHFOOD INST OATML CINN RL</t>
  </si>
  <si>
    <t>10.94 O</t>
  </si>
  <si>
    <t>RICHFOOD INST OTML LS AP&amp;CN</t>
  </si>
  <si>
    <t>RICHFOOD INST OTML LS MPBRS</t>
  </si>
  <si>
    <t>12.30 O</t>
  </si>
  <si>
    <t>RICHFOOD INST OTML PCH&amp;CRM</t>
  </si>
  <si>
    <t>15.10 O</t>
  </si>
  <si>
    <t>RICHFOOD INST OTML RSN&amp;SPC</t>
  </si>
  <si>
    <t>RICHFOOD INST OTML STRW&amp;CRM</t>
  </si>
  <si>
    <t>RICHFOOD MAPL/BR SGR INST O</t>
  </si>
  <si>
    <t>RICHFOOD OATS OLD FASHIONED</t>
  </si>
  <si>
    <t>RICHFOOD OLD FASHION OATS</t>
  </si>
  <si>
    <t>RICHFOOD QUICK GRITS</t>
  </si>
  <si>
    <t>RICHFOOD QUICK OATS</t>
  </si>
  <si>
    <t>WHEATENA HOT CEREAL</t>
  </si>
  <si>
    <t>8.40 OZ</t>
  </si>
  <si>
    <t>WILD HARV CER HOT INST OATML</t>
  </si>
  <si>
    <t>WILD HARV CER MPL PEC FLK CL</t>
  </si>
  <si>
    <t>WILD HARV CER ORG BLUBRYFLAX</t>
  </si>
  <si>
    <t>WILD HARV CER ORG CRNBRY ALM</t>
  </si>
  <si>
    <t>WILD HARV CER ORG CRNCHY VAN</t>
  </si>
  <si>
    <t>WILD HARV CER ORG MANGO CRSP</t>
  </si>
  <si>
    <t>WILD HARV CER ORG WILD BERRY</t>
  </si>
  <si>
    <t>WILD HARV CER WHLSM RAISINBR</t>
  </si>
  <si>
    <t>WILD HARV CERHOT APLCIN INST</t>
  </si>
  <si>
    <t>WILD HARV CERHOT MPLSPC INST</t>
  </si>
  <si>
    <t>WLD HRVST CERHOT ROLLED OATS</t>
  </si>
  <si>
    <t>WLD HRVST CERHOT STLCUT OATS</t>
  </si>
  <si>
    <t>ORV REDEN P/C CK MINI BUTTER</t>
  </si>
  <si>
    <t>ORV REDEN P/CORN CAKE CARMEL</t>
  </si>
  <si>
    <t>ORV REDEN PCORN CAKES BUTTER</t>
  </si>
  <si>
    <t>6.57 OZ</t>
  </si>
  <si>
    <t>QUAKER CAKE CARAMEL CORN</t>
  </si>
  <si>
    <t>QUAKER CARAMEL CORN</t>
  </si>
  <si>
    <t>QUAKER CORN CAKES CHEESE</t>
  </si>
  <si>
    <t>QUAKER CRSPY MINI APLE CI</t>
  </si>
  <si>
    <t>QUAKER MD CARAMEL CRN SNK</t>
  </si>
  <si>
    <t>QUAKER MD PB CRUNCH SNK</t>
  </si>
  <si>
    <t>QUAKER MINI DELGHT BTRPCN</t>
  </si>
  <si>
    <t>QUAKER MINI DELIGHT CINN</t>
  </si>
  <si>
    <t>QUAKER MINI DELIGHTS CHOC</t>
  </si>
  <si>
    <t>6.06 OZ</t>
  </si>
  <si>
    <t>QUAKER MINI SNACK RANCH</t>
  </si>
  <si>
    <t>QUAKER POPCORN CAKES BTTR</t>
  </si>
  <si>
    <t>QUAKER POPCRN CK MN W/CHD</t>
  </si>
  <si>
    <t>QUAKER QKR MG MNI CINN</t>
  </si>
  <si>
    <t>QUAKER QKR MINI HY GRHM</t>
  </si>
  <si>
    <t>QUAKER QUAKES KETTLE CORN</t>
  </si>
  <si>
    <t>QUAKER RANCH CRSP RICE SK</t>
  </si>
  <si>
    <t>7.57 OZ</t>
  </si>
  <si>
    <t>QUAKER RCECK CKJCK BTRTOF</t>
  </si>
  <si>
    <t>QUAKER RCKE CHD MNI CRSPY</t>
  </si>
  <si>
    <t>7.04 OZ</t>
  </si>
  <si>
    <t>QUAKER RCKE CRML MNI CRSP</t>
  </si>
  <si>
    <t>7.33 OZ</t>
  </si>
  <si>
    <t>QUAKER RICE CAKE PB CCHI</t>
  </si>
  <si>
    <t>6.53 OZ</t>
  </si>
  <si>
    <t>QUAKER RICE CAKES APPL/CN</t>
  </si>
  <si>
    <t>QUAKER RICE CAKES PLAIN</t>
  </si>
  <si>
    <t>QUAKER RICE CAKES PLN SLT</t>
  </si>
  <si>
    <t>7.23 OZ</t>
  </si>
  <si>
    <t>QUAKER RICE CK CHOC CRNCH</t>
  </si>
  <si>
    <t>QUAKER SNK MD CHOCMINT</t>
  </si>
  <si>
    <t>QUAKER SR CRM CRSPY RC SK</t>
  </si>
  <si>
    <t>B CROCKER BC FRT ROLLUP VRTY</t>
  </si>
  <si>
    <t>B CROCKER BY FT BERRY TI-DYE</t>
  </si>
  <si>
    <t>B CROCKER CAREBEARS FRT SHP</t>
  </si>
  <si>
    <t>B CROCKER FBTF MINI FT BERRY</t>
  </si>
  <si>
    <t>B CROCKER FBTF MINI PUNCH</t>
  </si>
  <si>
    <t>B CROCKER FRT BY FOOT TROPFR</t>
  </si>
  <si>
    <t>B CROCKER FRT RLUP HOT COLOR</t>
  </si>
  <si>
    <t>6.6 OZ</t>
  </si>
  <si>
    <t>B CROCKER FRT ROLLUP FRTPCH</t>
  </si>
  <si>
    <t>5.9 OZ</t>
  </si>
  <si>
    <t>B CROCKER FRT STICKRZ MXDBRY</t>
  </si>
  <si>
    <t>B CROCKER FRT STICKRZ TRP BR</t>
  </si>
  <si>
    <t>B CROCKER FRT STKRZ PCH FRSN</t>
  </si>
  <si>
    <t>B CROCKER FRTSNK SCOOBY/BUGS</t>
  </si>
  <si>
    <t>B CROCKER FRU MINI STRWBRRY</t>
  </si>
  <si>
    <t>B CROCKER FRUIT BY FOOT STRW</t>
  </si>
  <si>
    <t>B CROCKER FRUIT BY FT VAR PK</t>
  </si>
  <si>
    <t>B CROCKER FRUIT SHAPES TRNSF</t>
  </si>
  <si>
    <t>B CROCKER GUSHERS PUNCH FRT</t>
  </si>
  <si>
    <t>B CROCKER GUSHERS TROPICAL</t>
  </si>
  <si>
    <t>B CROCKER GUSHERS VARIETY PK</t>
  </si>
  <si>
    <t>B CROCKER MUTANT NINJA TURTL</t>
  </si>
  <si>
    <t>B CROCKER SCOOBY DOO FRT SHP</t>
  </si>
  <si>
    <t>B CROCKER SNACKS GUSHERS/STR</t>
  </si>
  <si>
    <t>B CROCKER SNACKS STRWBRY/FT</t>
  </si>
  <si>
    <t>B CROCKER SPIDERMN FRT SHAPE</t>
  </si>
  <si>
    <t>B CROCKER STRWBRY SENSATION</t>
  </si>
  <si>
    <t>B CROCKER TRPL BERRY GUSHERS</t>
  </si>
  <si>
    <t>B CROCKER VAR PK AST FRT SNK</t>
  </si>
  <si>
    <t>B CROCKER VAR PK FRT SNK</t>
  </si>
  <si>
    <t>B CROCKER VAR PK FRT SNK 8CT</t>
  </si>
  <si>
    <t>B CROCKER WATERMELON GUSHER</t>
  </si>
  <si>
    <t>BIG G FIBREONE OATS&amp;CHOC</t>
  </si>
  <si>
    <t>7.4 OZ</t>
  </si>
  <si>
    <t>CARIBOU CHOCOLAT MOCHA 6CT</t>
  </si>
  <si>
    <t>CHEX MIX CHOC CHUNK SNK BAR</t>
  </si>
  <si>
    <t>CHEX MIX TURTLE SNACK BAR</t>
  </si>
  <si>
    <t>DUNKAROOS VANILLA</t>
  </si>
  <si>
    <t>FIBER ONE CHOC MOCHA SNK BAR</t>
  </si>
  <si>
    <t>GEN MILLS CHRIOS MLKNCRL BAR</t>
  </si>
  <si>
    <t>GEN MILLS CRBOU COFE SNK BAR</t>
  </si>
  <si>
    <t>GEN MILLS CTC MILKNCEREAL BR</t>
  </si>
  <si>
    <t>GEN MILLS CURVE CHCPNT SNKBR</t>
  </si>
  <si>
    <t>GEN MILLS FBR1 OAT N APL SNK</t>
  </si>
  <si>
    <t>GEN MILLS FBR1 OAT N STRW BR</t>
  </si>
  <si>
    <t>GEN MILLS FBR1 OATS&amp;CRL SNBR</t>
  </si>
  <si>
    <t>GEN MILLS FIBRE1 OATS&amp;PNTBTR</t>
  </si>
  <si>
    <t>GEN MILLS FRT SHAPE DC COMIC</t>
  </si>
  <si>
    <t>GEN MILLS MILK 'N CEREAL VAR</t>
  </si>
  <si>
    <t>GEN MILLS MY LITTLE PONY</t>
  </si>
  <si>
    <t>GLOBAL$ FRT ROLL MXD BERRY</t>
  </si>
  <si>
    <t>8.3 OZ</t>
  </si>
  <si>
    <t>KUDOS M&amp;MS 10PK</t>
  </si>
  <si>
    <t>KUDOS SNICKERS 10PK</t>
  </si>
  <si>
    <t>8.98 OZ</t>
  </si>
  <si>
    <t>KUDOS VARIETY 10PK</t>
  </si>
  <si>
    <t>7.40 OZ</t>
  </si>
  <si>
    <t>NAT VALLY SWT &amp; SALTY CASHEW</t>
  </si>
  <si>
    <t>NAT VALLY SWT &amp; SALTY MIXNUT</t>
  </si>
  <si>
    <t>NTR VALLY BARS CINNAMON</t>
  </si>
  <si>
    <t>NTR VALLY BARS GRANOLA/VRTY</t>
  </si>
  <si>
    <t>NTR VALLY CHEWY TR MX VRTY</t>
  </si>
  <si>
    <t>NTR VALLY CHWY YOGRT BAR VAR</t>
  </si>
  <si>
    <t>NTR VALLY GRA BAR OATS N HON</t>
  </si>
  <si>
    <t>NTR VALLY GRAN BAR RST ALMON</t>
  </si>
  <si>
    <t>NTR VALLY GRANOLA BAR APL CR</t>
  </si>
  <si>
    <t>NTR VALLY GRANOLA BAR P-NUTB</t>
  </si>
  <si>
    <t>NTR VALLY GRNLA MPL BRN SGR</t>
  </si>
  <si>
    <t>NTR VALLY NVGB-12CT VAR PK</t>
  </si>
  <si>
    <t>NTR VALLY PCAN CRNCH HRD BAR</t>
  </si>
  <si>
    <t>NTR VALLY RSTD NUT CRUNCH PN</t>
  </si>
  <si>
    <t>NTR VALLY SWT N SALTY VAR PK</t>
  </si>
  <si>
    <t>NTR VALLY SWT/SLTY ALMND BAR</t>
  </si>
  <si>
    <t>NTR VALLY SWT/SLTY PNUT BAR</t>
  </si>
  <si>
    <t>NTR VALLY TRAIL MIX BAR ASST</t>
  </si>
  <si>
    <t>NTR VALLY TRAIL MX BAR BERRY</t>
  </si>
  <si>
    <t>NTR VALLY TRL MX BR DKCHC SN</t>
  </si>
  <si>
    <t>NTR VALLY TRL MX FRT/NT BLND</t>
  </si>
  <si>
    <t>8.90 OZ</t>
  </si>
  <si>
    <t>NTR VALLY VANILLA NUT</t>
  </si>
  <si>
    <t>NTR VALLY VANILLA YOGURT BAR</t>
  </si>
  <si>
    <t>15.12 O</t>
  </si>
  <si>
    <t>QUAKER 18CT VARIETY CHEWY</t>
  </si>
  <si>
    <t>QUAKER BFST CKIE OATMLRSN</t>
  </si>
  <si>
    <t>QUAKER BKFST COOKIE CCHIP</t>
  </si>
  <si>
    <t>7.9 OZ</t>
  </si>
  <si>
    <t>QUAKER CHEWY W/PROTEIN PB</t>
  </si>
  <si>
    <t>QUAKER CHEWY W/PROTEINPBC</t>
  </si>
  <si>
    <t>8.4 OZ</t>
  </si>
  <si>
    <t>QUAKER CHOCOLATE CHIP</t>
  </si>
  <si>
    <t>QUAKER CHW 25% LW SUG CCH</t>
  </si>
  <si>
    <t>QUAKER CHWY DIPS CHOC CHP</t>
  </si>
  <si>
    <t>QUAKER CHWY GRN BR REDSGR</t>
  </si>
  <si>
    <t>QUAKER CHWY LW SUG PB CHU</t>
  </si>
  <si>
    <t>QUAKER DARK CHOC CHERRY</t>
  </si>
  <si>
    <t>QUAKER DIPPS PNTBTR BLAST</t>
  </si>
  <si>
    <t>QUAKER F&amp;O BAR APPLE CRSP</t>
  </si>
  <si>
    <t>6.1 OZ</t>
  </si>
  <si>
    <t>QUAKER FBR OM3 DK CH CHK</t>
  </si>
  <si>
    <t>QUAKER FBR OM3 PBCC BAR</t>
  </si>
  <si>
    <t>QUAKER GRANOLA BITES CHCP</t>
  </si>
  <si>
    <t>QUAKER GRANOLA BITES CINN</t>
  </si>
  <si>
    <t>QUAKER GRANOLA BITES PBTR</t>
  </si>
  <si>
    <t>7.6 OZ</t>
  </si>
  <si>
    <t>QUAKER MRNG MINI CIN SGR</t>
  </si>
  <si>
    <t>QUAKER MRNG MINI PNTBTR</t>
  </si>
  <si>
    <t>QUAKER PNUT BTR CHOC CHIP</t>
  </si>
  <si>
    <t>QUAKER QGB 18CT 90CAL VP</t>
  </si>
  <si>
    <t>QUAKER QGB LF CHOCHNK</t>
  </si>
  <si>
    <t>QUAKER S'MORES</t>
  </si>
  <si>
    <t>7.38 OZ</t>
  </si>
  <si>
    <t>QUAKER SH BAR TRAIL MIX</t>
  </si>
  <si>
    <t>QUAKER STRWBRY VAN CRL BR</t>
  </si>
  <si>
    <t>QUAKER TRDEL CSHW MIX BRY</t>
  </si>
  <si>
    <t>QUAKER TRDL COCOBAN MACNT</t>
  </si>
  <si>
    <t>QUAKER TRDL DK CHC RSPALM</t>
  </si>
  <si>
    <t>QUAKER VARIETY PACK</t>
  </si>
  <si>
    <t>QUAKER WHL OATRAISIN</t>
  </si>
  <si>
    <t>QUAKER WHL VARIETY PK</t>
  </si>
  <si>
    <t>RICHFOOD BAR GRANOLA H &amp; O</t>
  </si>
  <si>
    <t>4.86 OZ</t>
  </si>
  <si>
    <t>RICHFOOD CER BAR BLUEBERRY</t>
  </si>
  <si>
    <t>RICHFOOD CER BAR STRAWBERRY</t>
  </si>
  <si>
    <t>RICHFOOD CHWY FIBMX OAT&amp;PB</t>
  </si>
  <si>
    <t>RICHFOOD CHWY FIBMX OT&amp;CHOC</t>
  </si>
  <si>
    <t>RICHFOOD CHWY GRAN LF CHCHP</t>
  </si>
  <si>
    <t>RICHFOOD CHWY GRAN LF CHCHK</t>
  </si>
  <si>
    <t>RICHFOOD CHWY GRAN LF PBCC</t>
  </si>
  <si>
    <t>RICHFOOD CHWY GRAN LF VARPK</t>
  </si>
  <si>
    <t>RICHFOOD CHWY SWT&amp;SLT ALMON</t>
  </si>
  <si>
    <t>RICHFOOD FRT SNK CUR GEORGE</t>
  </si>
  <si>
    <t>RICHFOOD FRT SNK DINOSAURS</t>
  </si>
  <si>
    <t>RICHFOOD FRT SNK PEANUTS</t>
  </si>
  <si>
    <t>RICHFOOD FRT SNK SHARKS</t>
  </si>
  <si>
    <t>RICHFOOD FRT SNK VARIETY</t>
  </si>
  <si>
    <t>RICHFOOD FRT&amp;GRN BAR APPLE</t>
  </si>
  <si>
    <t>RICHFOOD FRT&amp;GRN BAR BLUBRY</t>
  </si>
  <si>
    <t>RICHFOOD FRT&amp;GRN BAR STRBRY</t>
  </si>
  <si>
    <t>RICHFOOD FRUIT SNACK BLDABR</t>
  </si>
  <si>
    <t>RICHFOOD FRUIT SNACK MAYA</t>
  </si>
  <si>
    <t>SIMPL HAR BAR DRKCHC CHNK</t>
  </si>
  <si>
    <t>SMPL HVST BAR HNY RSTD NUT</t>
  </si>
  <si>
    <t>SMPL HVST BR CINSGR APL CRAN</t>
  </si>
  <si>
    <t>CARNATION BFST PWDR NSCA VAR</t>
  </si>
  <si>
    <t>CARNATION D CHOC BKFST 10PK</t>
  </si>
  <si>
    <t>CARNATION DRINK CHOC/BREKFST</t>
  </si>
  <si>
    <t>5.65 OZ</t>
  </si>
  <si>
    <t>CARNATION INS BRK CHOC SF8PK</t>
  </si>
  <si>
    <t>CARNATION INS BRKFST CN CHOC</t>
  </si>
  <si>
    <t>CARNATION INST BREAKFAST VAN</t>
  </si>
  <si>
    <t>CARNATION INST BRKFST V/P</t>
  </si>
  <si>
    <t>44 FZ</t>
  </si>
  <si>
    <t>CARNATION RTD CHOC NSA</t>
  </si>
  <si>
    <t>CARNATION RTD CHOCOLATE</t>
  </si>
  <si>
    <t>CARNATION STRAWBRY SENSATION</t>
  </si>
  <si>
    <t>FIBER ONE BLUEBRY TSTR PSTRY</t>
  </si>
  <si>
    <t>FIBER ONE BR SGR&amp;CIN TSTR PS</t>
  </si>
  <si>
    <t>FIBER ONE CHOCLAT TSTR PSTRY</t>
  </si>
  <si>
    <t>FIBER ONE STRWBRY TSTR PSTRY</t>
  </si>
  <si>
    <t>KELLOGG 8 CT LF FRSTD CINN</t>
  </si>
  <si>
    <t>KELLOGG APPLE STRUDL PT</t>
  </si>
  <si>
    <t>KELLOGG POP TARTS CINNAMON</t>
  </si>
  <si>
    <t>KELLOGG POP TARTS ROTATION</t>
  </si>
  <si>
    <t>KELLOGG POPTART 8PK BLUBRY</t>
  </si>
  <si>
    <t>KELLOGG POPTART CHOC CHIP</t>
  </si>
  <si>
    <t>KELLOGG POPTART FROST BLUE</t>
  </si>
  <si>
    <t>KELLOGG POPTART FROST CHER</t>
  </si>
  <si>
    <t>KELLOGG POPTART SMORES 12C</t>
  </si>
  <si>
    <t>14.10 O</t>
  </si>
  <si>
    <t>KELLOGG POPTRT WHLGR CINN</t>
  </si>
  <si>
    <t>KELLOGG POTTRT WHLGR STWBY</t>
  </si>
  <si>
    <t>KELLOGG PPTRT CHOC FDG 8CT</t>
  </si>
  <si>
    <t>KELLOGG PPTRT FRST CHRY8CT</t>
  </si>
  <si>
    <t>KELLOGG PPTRT FRST CIN 8CT</t>
  </si>
  <si>
    <t>KELLOGG PPTRT FRST STW 8CT</t>
  </si>
  <si>
    <t>KELLOGG PT CHC BAN SPLIT</t>
  </si>
  <si>
    <t>21.1 OZ</t>
  </si>
  <si>
    <t>KELLOGG PT CHC CHP CK DGH</t>
  </si>
  <si>
    <t>KELLOGG PT CINNAMON ROLL</t>
  </si>
  <si>
    <t>KELLOGG PT COOKIE N CREME</t>
  </si>
  <si>
    <t>KELLOGG PT COOKIES &amp; CREME</t>
  </si>
  <si>
    <t>KELLOGG PT HOT FDGE SUNDAE</t>
  </si>
  <si>
    <t>KELLOGG PT NASCAR</t>
  </si>
  <si>
    <t>KELLOGG PT SPLTZ STWY BLBY</t>
  </si>
  <si>
    <t>KELLOGG PT STW CHSDNSH 8CT</t>
  </si>
  <si>
    <t>KELLOGG PT VAN MILKSHAKE</t>
  </si>
  <si>
    <t>KELLOGG PT WG CHC FUDGE</t>
  </si>
  <si>
    <t>KELLOGG PTART CH CHP CK DG</t>
  </si>
  <si>
    <t>KELLOGG PTART FRST BLUBRRY</t>
  </si>
  <si>
    <t>KELLOGG PTART FRST CINN</t>
  </si>
  <si>
    <t>KELLOGG PTART FRST RASP</t>
  </si>
  <si>
    <t>KELLOGG PTART FRST STRAW</t>
  </si>
  <si>
    <t>KELLOGG PTART LF FRST STRW</t>
  </si>
  <si>
    <t>KELLOGG PTART S'MORES</t>
  </si>
  <si>
    <t>KELLOGG PTART STRAWBERRY</t>
  </si>
  <si>
    <t>KELLOGG STRWBRY MILKSHK PT</t>
  </si>
  <si>
    <t>KELLOGG TOAST FROSTD CHOC</t>
  </si>
  <si>
    <t>RICHFOOD TST PAST FRS STRAW</t>
  </si>
  <si>
    <t>RICHFOOD TST PAST STRAWBRY</t>
  </si>
  <si>
    <t>RICHFOOD TST PSTR FR BS CIN</t>
  </si>
  <si>
    <t>RICHFOOD TST PSTR FRS CHRY</t>
  </si>
  <si>
    <t>RICHFOOD TST PSTR FRST BBRY</t>
  </si>
  <si>
    <t>RICHFOOD TST PSTR FRST CHOC</t>
  </si>
  <si>
    <t>RICHFOOD TST PSTR S'MORES</t>
  </si>
  <si>
    <t>8 O'CLOCK 100% COLMBN REG WB</t>
  </si>
  <si>
    <t>8 O'CLOCK 100% COLOMBM GRD</t>
  </si>
  <si>
    <t>8 O'CLOCK CFFE HAZELNUT BEAN</t>
  </si>
  <si>
    <t>8 O'CLOCK DECAF BEAN COFFEE</t>
  </si>
  <si>
    <t>8 O'CLOCK FRENCH ROAST GRND</t>
  </si>
  <si>
    <t>8 O'CLOCK FRNCH RST COFFE WB</t>
  </si>
  <si>
    <t>8 O'CLOCK HAZELNUT GROUND</t>
  </si>
  <si>
    <t>8 O'CLOCK ORIG GROUND COFFEE</t>
  </si>
  <si>
    <t>8 O'CLOCK ORIGINAL GROUND</t>
  </si>
  <si>
    <t>8 O'CLOCK ORIGINAL WHLE BEAN</t>
  </si>
  <si>
    <t>8 O'CLOCK WHOLE BEAN ORIG</t>
  </si>
  <si>
    <t>CARIBOU BLEND GROUND</t>
  </si>
  <si>
    <t>CARIBOU BLND NAT DECAF GRD</t>
  </si>
  <si>
    <t>CARIBOU COLOMBIA GRND COFF</t>
  </si>
  <si>
    <t>CARIBOU DYBRK MORN BLND GR</t>
  </si>
  <si>
    <t>CARIBOU MAHOGANY WHL BN</t>
  </si>
  <si>
    <t>DNKN DNTS DUNKIN DARK GROUND</t>
  </si>
  <si>
    <t>DNKN DNTS ORIGINAL GROUND</t>
  </si>
  <si>
    <t>DUNK DNTS GRND DEC ORIG BL</t>
  </si>
  <si>
    <t>DUNK DNTS GRND FRENCH VAN</t>
  </si>
  <si>
    <t>DUNK DNTS GRND HAZELNUT</t>
  </si>
  <si>
    <t>DUNK DNTS ORIGINAL WB</t>
  </si>
  <si>
    <t>10.80 O</t>
  </si>
  <si>
    <t>FOLGERS % BREAKFAST BLND BAG</t>
  </si>
  <si>
    <t>FOLGERS % CLASSIC RST BRICK</t>
  </si>
  <si>
    <t>10.30 O</t>
  </si>
  <si>
    <t>FOLGERS % GOURMET SUPR BAG</t>
  </si>
  <si>
    <t>FOLGERS % HALF CAFF BAG</t>
  </si>
  <si>
    <t>FOLGERS 100% COLOMBIAN BAG</t>
  </si>
  <si>
    <t>FOLGERS CLSSC DECAF BRICK</t>
  </si>
  <si>
    <t>FOLGERS GR SEL CRML GRD BG</t>
  </si>
  <si>
    <t>FOLGERS GR SEL HAZLNT GRD</t>
  </si>
  <si>
    <t>FOLGERS GR SEL VANBSC GRD</t>
  </si>
  <si>
    <t>FOLGERS GRMT SEL CR BR GRD</t>
  </si>
  <si>
    <t>FOLGERS GRMTSEL BRZLN SNRS</t>
  </si>
  <si>
    <t>FOLGERS HM CAFE COLMB 18CT</t>
  </si>
  <si>
    <t>FOLGERS HMCFE CLRST CAF18C</t>
  </si>
  <si>
    <t>JAVA DLT BREAKFAST BLEND WB</t>
  </si>
  <si>
    <t>JAVA DLT BREAKFAST BLEND GR</t>
  </si>
  <si>
    <t>1 LB</t>
  </si>
  <si>
    <t>JAVA DLT BRKFST BLND BULK</t>
  </si>
  <si>
    <t>JAVA DLT CARAMEL SWIRL GRND</t>
  </si>
  <si>
    <t>JAVA DLT CFFE DARKROAST BLK</t>
  </si>
  <si>
    <t>JAVA DLT COFE COSTARICA BLK</t>
  </si>
  <si>
    <t>JAVA DLT COFFEE DBL CHOC GR</t>
  </si>
  <si>
    <t>JAVA DLT COFFEE HAZELNT BLK</t>
  </si>
  <si>
    <t>JAVA DLT COLMB SUPRM CF BLK</t>
  </si>
  <si>
    <t>JAVA DLT COLOMBN SUPREMO WB</t>
  </si>
  <si>
    <t>JAVA DLT COLOMBN SUPREMO GR</t>
  </si>
  <si>
    <t>JAVA DLT COLUMBIAN DECAF PK</t>
  </si>
  <si>
    <t>JAVA DLT COLUMBIAN PACK</t>
  </si>
  <si>
    <t>JAVA DLT COSTA RICAN GRND</t>
  </si>
  <si>
    <t>JAVA DLT DECAF COLOMBN GRND</t>
  </si>
  <si>
    <t>JAVA DLT DECAF HZLNT CRM GR</t>
  </si>
  <si>
    <t>JAVA DLT DECAF HZLNTCOF BLK</t>
  </si>
  <si>
    <t>JAVA DLT DECAFFR VANCFE BLK</t>
  </si>
  <si>
    <t>JAVA DLT DECF COLMB COF BLK</t>
  </si>
  <si>
    <t>JAVA DLT ESPRESSO CFEBN BLK</t>
  </si>
  <si>
    <t>JAVA DLT ESPRESSO RST WH BN</t>
  </si>
  <si>
    <t>JAVA DLT ESTAT CSTARICN GRD</t>
  </si>
  <si>
    <t>JAVA DLT ESTAT ETHIOPN GRND</t>
  </si>
  <si>
    <t>JAVA DLT ESTAT GUATEMLN GRD</t>
  </si>
  <si>
    <t>JAVA DLT ESTATE SUMTRA GRND</t>
  </si>
  <si>
    <t>JAVA DLT FRENCH ROAST GRND</t>
  </si>
  <si>
    <t>JAVA DLT FRENCH ROAST WB</t>
  </si>
  <si>
    <t>JAVA DLT FRENCH VAN DECF GR</t>
  </si>
  <si>
    <t>JAVA DLT FRENCH VANILLA GR</t>
  </si>
  <si>
    <t>JAVA DLT FRNCH VAN COFE BLK</t>
  </si>
  <si>
    <t>JAVA DLT FRNCHRST COFE BLK</t>
  </si>
  <si>
    <t>JAVA DLT HAZELNUT COFFEE PK</t>
  </si>
  <si>
    <t>JAVA DLT HAZELNUT CRM GRND</t>
  </si>
  <si>
    <t>JAVA DLT HOUSE BLEND GROUND</t>
  </si>
  <si>
    <t>JAVA DLT HOUSE BLEND WHL BN</t>
  </si>
  <si>
    <t>JAVA DLT HOUSEBLND CFBN BLK</t>
  </si>
  <si>
    <t>JAVA DLT ORGN COLUMBIA GRND</t>
  </si>
  <si>
    <t>JAVA DLT RSRV BRKFST BL GRD</t>
  </si>
  <si>
    <t>JAVA DLT RSRV FRNCH RST GRD</t>
  </si>
  <si>
    <t>JAVA DLT RSV ESPRSO RST GRD</t>
  </si>
  <si>
    <t>JAVA DLT SEATTLE DRK RST GR</t>
  </si>
  <si>
    <t>JAVA DLT SUMATRA COFEBN BLK</t>
  </si>
  <si>
    <t>JAVA DLT SUMATRA GROUND</t>
  </si>
  <si>
    <t>JAVA DLT VAN NUT CFE BN BLK</t>
  </si>
  <si>
    <t>JAVA DLT VANILLA NUT GROUND</t>
  </si>
  <si>
    <t>LUZIANNE COFFEE RED LABEL C</t>
  </si>
  <si>
    <t>MAX HOUS% DECAF MASTERBLEND</t>
  </si>
  <si>
    <t>MAX HOUS% MASTERBLEND BAG</t>
  </si>
  <si>
    <t>MXWLHSE % BRKFSTBLNDVB</t>
  </si>
  <si>
    <t>MXWLHSE % DKRSTVB</t>
  </si>
  <si>
    <t>NEW ENG BRKFST BLEND COFFE</t>
  </si>
  <si>
    <t>NEW ENG COLUMBIAN COFFEE</t>
  </si>
  <si>
    <t>NEW ENG EYE OPENER COFFEE</t>
  </si>
  <si>
    <t>NEW ENG FR VANILLA COFFEE</t>
  </si>
  <si>
    <t>NEW ENG HAZELNUT COFFEE</t>
  </si>
  <si>
    <t>NEW ENG HAZELNUT DECAF CFE</t>
  </si>
  <si>
    <t>RICHFOOD DECAF COFFEE BRICK</t>
  </si>
  <si>
    <t>RICHFOOD% REGLR COFFEE BRICK</t>
  </si>
  <si>
    <t>SENSEO DCF MED RST CFE PD</t>
  </si>
  <si>
    <t>SENSEO DRK ROAST COFE POD</t>
  </si>
  <si>
    <t>SENSEO MED ROAST COFE POD</t>
  </si>
  <si>
    <t>STARBUCKS CAF VERONA DCF GRD</t>
  </si>
  <si>
    <t>STARBUCKS CAFFE VERONA GRD</t>
  </si>
  <si>
    <t>STARBUCKS CAFFE VERONA WB</t>
  </si>
  <si>
    <t>STARBUCKS COLOMBIA GROUND</t>
  </si>
  <si>
    <t>STARBUCKS COLUMBIA WHL BEAN</t>
  </si>
  <si>
    <t>STARBUCKS DAILY HORIZONS BLN</t>
  </si>
  <si>
    <t>STARBUCKS DCF HSE BLND GRND</t>
  </si>
  <si>
    <t>STARBUCKS DCF HSE BLND WH BN</t>
  </si>
  <si>
    <t>STARBUCKS ESPRESSO RST GRND</t>
  </si>
  <si>
    <t>STARBUCKS ESPRESSO RST WH BN</t>
  </si>
  <si>
    <t>STARBUCKS FR ROAST WHL BEAN</t>
  </si>
  <si>
    <t>STARBUCKS FRCH ROAST GROUND</t>
  </si>
  <si>
    <t>STARBUCKS GOLD CST BLEND GRD</t>
  </si>
  <si>
    <t>STARBUCKS GRND BRKFST BLEND</t>
  </si>
  <si>
    <t>STARBUCKS HALF CAFF BLEND</t>
  </si>
  <si>
    <t>STARBUCKS HOUSE BLEND GROUND</t>
  </si>
  <si>
    <t>STARBUCKS HOUSE WHOLE BEAN</t>
  </si>
  <si>
    <t>STARBUCKS ITALIAN RST GRD</t>
  </si>
  <si>
    <t>STARBUCKS SERENA ORGANIC GRD</t>
  </si>
  <si>
    <t>STARBUCKS SUMATRA GRD</t>
  </si>
  <si>
    <t>STARBUCKS SUMATRA WB</t>
  </si>
  <si>
    <t>STARBUCKS WH BN BRKFAST BLND</t>
  </si>
  <si>
    <t>STLE BEST BEST BLND GRND BAG</t>
  </si>
  <si>
    <t>STLE BEST BRKFST BLND GRD BG</t>
  </si>
  <si>
    <t>STLE BEST GRND FRNCH RST CFF</t>
  </si>
  <si>
    <t>34.5 OZ</t>
  </si>
  <si>
    <t>CHASE&amp;SAN HI EXTRACT COFFEE</t>
  </si>
  <si>
    <t>CHOCK FUL COFFEE COLUMB RST</t>
  </si>
  <si>
    <t>CHOCKFULL COFFEE, ALL METHOD</t>
  </si>
  <si>
    <t>CHOCKFULL COFFEE, DECAF</t>
  </si>
  <si>
    <t>CHOCKFULL FULL FR ROAST REG</t>
  </si>
  <si>
    <t>CHOCKFULL REGULAR AMG CAN</t>
  </si>
  <si>
    <t>10.3 OZ</t>
  </si>
  <si>
    <t>FOLGERS % 100% COLOMBIAN GRD</t>
  </si>
  <si>
    <t>FOLGERS % BRAZILIAN BLEND</t>
  </si>
  <si>
    <t>FOLGERS % BREAKFST BLND GRND</t>
  </si>
  <si>
    <t>11.30 O</t>
  </si>
  <si>
    <t>FOLGERS % CLASSIC ROAST GRND</t>
  </si>
  <si>
    <t>FOLGERS % COFFEE SPEC ROAST</t>
  </si>
  <si>
    <t>FOLGERS % FRENCH ROAST GRND</t>
  </si>
  <si>
    <t>FOLGERS % HALF CAFFEINE GRND</t>
  </si>
  <si>
    <t>29.2 OZ</t>
  </si>
  <si>
    <t>27.8 OZ</t>
  </si>
  <si>
    <t>FOLGERS 100% COLOMBIAN GRD</t>
  </si>
  <si>
    <t>FOLGERS BRAZILIAN BLND GRD</t>
  </si>
  <si>
    <t>FOLGERS BREAKFST BLND GRND</t>
  </si>
  <si>
    <t>FOLGERS CLASSIC DECAF GRND</t>
  </si>
  <si>
    <t>22.6 OZ</t>
  </si>
  <si>
    <t>33.9 OZ</t>
  </si>
  <si>
    <t>FOLGERS CLASSIC ROAST GRND</t>
  </si>
  <si>
    <t>FOLGERS DECAF HAZELNUT</t>
  </si>
  <si>
    <t>FOLGERS FRENCH ROAST GRND</t>
  </si>
  <si>
    <t>FOLGERS FRENCH VANILLA COF</t>
  </si>
  <si>
    <t>FOLGERS GOURMT SUPREME GRD</t>
  </si>
  <si>
    <t>FOLGERS HAZELNUT COFFEE</t>
  </si>
  <si>
    <t>FOLGERS SIMPLY SMOOTH CAF</t>
  </si>
  <si>
    <t>FOLGERS SIMPLY SMOOTH DEC</t>
  </si>
  <si>
    <t>FOLGERS SPECIAL ROAST CAN</t>
  </si>
  <si>
    <t>MAX HOUS% 100% COLUMBIAN</t>
  </si>
  <si>
    <t>MAX HOUS% 100% COLUMBIAN VB</t>
  </si>
  <si>
    <t>MAX HOUS% BREAKFAST BLEND</t>
  </si>
  <si>
    <t>MAX HOUS% DARK ROAST</t>
  </si>
  <si>
    <t>MAX HOUS% FRENCH ROAST</t>
  </si>
  <si>
    <t>MAX HOUS% FRENCH ROAST VB</t>
  </si>
  <si>
    <t>MAX HOUS% HAZELNUT</t>
  </si>
  <si>
    <t>MAX HOUS% LITE</t>
  </si>
  <si>
    <t>MAX HOUS% LITE VB</t>
  </si>
  <si>
    <t>MAX HOUS% MASTER BLEND COFFE</t>
  </si>
  <si>
    <t>MAX HOUS% ORIGINAL</t>
  </si>
  <si>
    <t>MAX HOUS% ORIGINAL DECAF</t>
  </si>
  <si>
    <t>MAX HOUS% ORIGINAL DECAF VB</t>
  </si>
  <si>
    <t>MAX HOUS% ORIGINAL VB</t>
  </si>
  <si>
    <t>MAX HOUS% SO PAC BLEND</t>
  </si>
  <si>
    <t>31.5 OZ</t>
  </si>
  <si>
    <t>MAX HOUSE 100% COLUMBIAN</t>
  </si>
  <si>
    <t>MAX HOUSE BREAKFAST BLEND</t>
  </si>
  <si>
    <t>MAX HOUSE DARK ROAST</t>
  </si>
  <si>
    <t>MAX HOUSE FRENCH ROAST</t>
  </si>
  <si>
    <t>MAX HOUSE LITE</t>
  </si>
  <si>
    <t>MAX HOUSE MASTER BLEND</t>
  </si>
  <si>
    <t>MAX HOUSE ORIGINAL</t>
  </si>
  <si>
    <t>MAX HOUSE ORIGINAL DECAF</t>
  </si>
  <si>
    <t>MAX HOUSE SO PAC BLEND</t>
  </si>
  <si>
    <t>RICHFOOD DECAF CAN COFFEE</t>
  </si>
  <si>
    <t>RICHFOOD REG PERK CAN COFFE</t>
  </si>
  <si>
    <t>RICHFOOD% REG FAC CAN COFFEE</t>
  </si>
  <si>
    <t>3.95 OZ</t>
  </si>
  <si>
    <t>SENSEO PARIS VANIL BISTRO</t>
  </si>
  <si>
    <t>SENSEO SUMATRA</t>
  </si>
  <si>
    <t>SHOP VALU COFFEE AUTO PERK</t>
  </si>
  <si>
    <t>YUBAN COFFEE AUTO DRIP</t>
  </si>
  <si>
    <t>FOLGERS CAPPCNO FRCH VAN</t>
  </si>
  <si>
    <t>FOLGERS CAPPCNO MOCHA CHOC</t>
  </si>
  <si>
    <t>FOLGERS COFFEE DECAF</t>
  </si>
  <si>
    <t>FOLGERS COFFEE DECAF/INSTN</t>
  </si>
  <si>
    <t>FOLGERS COFFEE INST CAF JR</t>
  </si>
  <si>
    <t>FOLGERS COFFEE INST DECAF</t>
  </si>
  <si>
    <t>FOLGERS COFFEE INSTANT</t>
  </si>
  <si>
    <t>FOLGERS COFFEE INSTANT REG</t>
  </si>
  <si>
    <t>FOLGERS COFFEE REGULAR</t>
  </si>
  <si>
    <t>FOLGERS COFFEE SINGLE 19CT</t>
  </si>
  <si>
    <t>FOLGERS DECAF SINGLES 19CT</t>
  </si>
  <si>
    <t>4.1 OZ</t>
  </si>
  <si>
    <t>GEN FOODS CAPPUCCINO MOCHA</t>
  </si>
  <si>
    <t>GEN FOODS COFF CAFE FRANCAIS</t>
  </si>
  <si>
    <t>GEN FOODS COFF FRENCH VANLLA</t>
  </si>
  <si>
    <t>GEN FOODS COFF SUISSE MOCHA</t>
  </si>
  <si>
    <t>GEN FOODS COFFEE VIENNA</t>
  </si>
  <si>
    <t>GEN FOODS FRENCH VANIL DECAF</t>
  </si>
  <si>
    <t>GEN FOODS INT'L BELGIAN CAFE</t>
  </si>
  <si>
    <t>GEN FOODS S/F SUISSE MOCHA</t>
  </si>
  <si>
    <t>GEN FOODS SG FREE FRNCH VAN</t>
  </si>
  <si>
    <t>GFIC DARK MAYAN CHOC</t>
  </si>
  <si>
    <t>MAX HOUSE COFFEE INSTANT</t>
  </si>
  <si>
    <t>MAX HOUSE FILTER PACK COFFEE</t>
  </si>
  <si>
    <t>MAX HOUSE FILTR PCK SNGL19CT</t>
  </si>
  <si>
    <t>MAX HOUSE INST DECAF COFFEE</t>
  </si>
  <si>
    <t>MAX HOUSE INSTANT COFFEE</t>
  </si>
  <si>
    <t>MAX HOUSE S/O MH DECAF FLTR</t>
  </si>
  <si>
    <t>NESCAFE CLASSIC COFFEE</t>
  </si>
  <si>
    <t>NESCAFE MOUNTAN BLEND</t>
  </si>
  <si>
    <t>NESCAFE TASTER CHC GOURMET</t>
  </si>
  <si>
    <t>NESCAFE TASTERS CH HAZLNUT</t>
  </si>
  <si>
    <t>NESCAFE TASTERS CHC DECAF</t>
  </si>
  <si>
    <t>NESCAFE TASTERS CHOICE REG</t>
  </si>
  <si>
    <t>NESCAFE TSTER CH COLOMBIAN</t>
  </si>
  <si>
    <t>RICHFOOD INST DECAF COFFEE</t>
  </si>
  <si>
    <t>RICHFOOD INSTANT COFFEE</t>
  </si>
  <si>
    <t>SANKA INSTANT COFFEE</t>
  </si>
  <si>
    <t>SANKA INSTANT SANKA</t>
  </si>
  <si>
    <t>3.66 OZ</t>
  </si>
  <si>
    <t>SENSEO GODIVA CHOC CREME</t>
  </si>
  <si>
    <t>SENSEO GODIVA CREME BRULE</t>
  </si>
  <si>
    <t>COFFEE MT CREAMER FAT FREE</t>
  </si>
  <si>
    <t>COFFEE MT CREAMER LITE</t>
  </si>
  <si>
    <t>35.3 OZ</t>
  </si>
  <si>
    <t>COFFEE MT CREAMER REG KILO</t>
  </si>
  <si>
    <t>COFFEE MT CREAMER REGULAR</t>
  </si>
  <si>
    <t>COFFEE MT CREAMY CHOCOLATE</t>
  </si>
  <si>
    <t>COFFEE MT FF FRENCH VANILLA</t>
  </si>
  <si>
    <t>10.2 OZ</t>
  </si>
  <si>
    <t>COFFEE MT FR VAN SFCARB SLCT</t>
  </si>
  <si>
    <t>COFFEE MT FRENCH VANILLA</t>
  </si>
  <si>
    <t>COFFEE MT FRN VAN TUB 50CT</t>
  </si>
  <si>
    <t>COFFEE MT HAZELNUT</t>
  </si>
  <si>
    <t>COFFEE MT HZLNT SF CARB SLCT</t>
  </si>
  <si>
    <t>COFFEE MT VAN/CAR SFCARB SLC</t>
  </si>
  <si>
    <t>COFFEE MT VANILLA CARAMEL</t>
  </si>
  <si>
    <t>COFFEEMAT BELGIAN CHOCTOFFEE</t>
  </si>
  <si>
    <t>7 CT</t>
  </si>
  <si>
    <t>COFFEEMAT ORIGINAL STICKS</t>
  </si>
  <si>
    <t>COFFEEMAT PARISIAN ALMOND CR</t>
  </si>
  <si>
    <t>COFFEEMAT REGULAR</t>
  </si>
  <si>
    <t>COFFEEMTE HAZELNUT BISCOTTI</t>
  </si>
  <si>
    <t>COFFEEMTE ITALIAN SWT CREME</t>
  </si>
  <si>
    <t>INTL DELT FRNCH VANILLA CRMR</t>
  </si>
  <si>
    <t>INTL DELT HAZELNUT CREAMER</t>
  </si>
  <si>
    <t>LANDOLAKE MINI MOOS</t>
  </si>
  <si>
    <t>RICHFOOD CREAMER AMARETTO</t>
  </si>
  <si>
    <t>RICHFOOD CREAMER FR VANILLA</t>
  </si>
  <si>
    <t>RICHFOOD CREAMER FRENCH VAN</t>
  </si>
  <si>
    <t>RICHFOOD CREAMER HAZELNUT</t>
  </si>
  <si>
    <t>RICHFOOD CREAMER IRISH CRM</t>
  </si>
  <si>
    <t>RICHFOOD FAT FREE ND CREAMR</t>
  </si>
  <si>
    <t>RICHFOOD KILO N/D CREAMER</t>
  </si>
  <si>
    <t>RICHFOOD LT NON DAIRY CRMR</t>
  </si>
  <si>
    <t>RICHFOOD NON DAIRY CREAMER</t>
  </si>
  <si>
    <t>SHOP VALU CREAMER NON DAIRY</t>
  </si>
  <si>
    <t>SPLENDA COFFE BLND FR VANL</t>
  </si>
  <si>
    <t>SPLENDA COFFE BLND HAZELNT</t>
  </si>
  <si>
    <t>CARRINGTO ENGLISH TEA BGS</t>
  </si>
  <si>
    <t>HARRIS DECAF GRN TEA</t>
  </si>
  <si>
    <t>HARRIS GREEN TEA</t>
  </si>
  <si>
    <t>LIPTON BLK TEA BAGS 100CT</t>
  </si>
  <si>
    <t>LIPTON BLK TEA BLKBRY20CT</t>
  </si>
  <si>
    <t>LIPTON BLK TEA ORG SPC20C</t>
  </si>
  <si>
    <t>LIPTON COLD BREW FAM 22CT</t>
  </si>
  <si>
    <t>LIPTON DCF GRN TEA BAG40C</t>
  </si>
  <si>
    <t>3.25 OZ</t>
  </si>
  <si>
    <t>LIPTON DECAF BAGS 48CT</t>
  </si>
  <si>
    <t>LIPTON FAMILY TEA BAGS48C</t>
  </si>
  <si>
    <t>5.25 OZ</t>
  </si>
  <si>
    <t>LIPTON FMLY DECAF BAGS/24</t>
  </si>
  <si>
    <t>LIPTON GREEN DCF TEA 20CT</t>
  </si>
  <si>
    <t>LIPTON GREEN TEA BAG 20CT</t>
  </si>
  <si>
    <t>.96 OZ</t>
  </si>
  <si>
    <t>LIPTON GRN TEA COLLC 18CT</t>
  </si>
  <si>
    <t>LIPTON ICED TEA FAMILY PT</t>
  </si>
  <si>
    <t>LIPTON MNGO HRB CF FR20CT</t>
  </si>
  <si>
    <t>LIPTON TEA BAG DECAF 72CT</t>
  </si>
  <si>
    <t>LIPTON TEA BAGS CUPSZ48CT</t>
  </si>
  <si>
    <t>LIPTON TEA HRB LMNSMTH20C</t>
  </si>
  <si>
    <t>LIPTON TEA ORG PEK BG 16C</t>
  </si>
  <si>
    <t>LUZIANNE GREEN TEA</t>
  </si>
  <si>
    <t>LUZIANNE TEA BAGS DECAF FAM</t>
  </si>
  <si>
    <t>LUZIANNE TEA BAGS FAMILY SI</t>
  </si>
  <si>
    <t>LUZIANNE TEA BAGS/FAMILY SZ</t>
  </si>
  <si>
    <t>LUZIANNE TEA DECAF</t>
  </si>
  <si>
    <t>RED ROSE TEA BAGS 100CT</t>
  </si>
  <si>
    <t>RICHFOOD DECAF TEA BAGS</t>
  </si>
  <si>
    <t>RICHFOOD FAM SIZE TEA BAGS</t>
  </si>
  <si>
    <t>RICHFOOD TEA BAGS</t>
  </si>
  <si>
    <t>RICHFOOD TEA GRN BAG W/TAG</t>
  </si>
  <si>
    <t>SHOP VALU TAGLESS TEA BAGS</t>
  </si>
  <si>
    <t>TAZO AWAKE TEA BAG 20CT</t>
  </si>
  <si>
    <t>TAZO ZEN TEA BAGS 20CT</t>
  </si>
  <si>
    <t>TETLEY DCF GREEN TEA 40CT</t>
  </si>
  <si>
    <t>TETLEY GREEN BLEND 40CT</t>
  </si>
  <si>
    <t>TETLEY TEA BAG DECAF 48CT</t>
  </si>
  <si>
    <t>TETLEY TEA BAGS 100CT</t>
  </si>
  <si>
    <t>TETLEY TEA BAGS ROUND</t>
  </si>
  <si>
    <t>53 OZ</t>
  </si>
  <si>
    <t>4C 20QTGRN ICED TEA M</t>
  </si>
  <si>
    <t>74.2 OZ</t>
  </si>
  <si>
    <t>4C ICED TEA MIX</t>
  </si>
  <si>
    <t>1.691 O</t>
  </si>
  <si>
    <t>4C LT GR ICE TEA 14QT</t>
  </si>
  <si>
    <t>1.49 OZ</t>
  </si>
  <si>
    <t>4C LT GR ICE TEA 20CT</t>
  </si>
  <si>
    <t>4C LT LM ICE TEA 20CT</t>
  </si>
  <si>
    <t>21.2 OZ</t>
  </si>
  <si>
    <t>4C TEA MIX 8 QT</t>
  </si>
  <si>
    <t>:LIPTON TEA MX LWCL LMN35Q</t>
  </si>
  <si>
    <t>ARIZONA$ DIET GREEN TEA</t>
  </si>
  <si>
    <t>ARIZONA$ FRUITPUNCH GALLON</t>
  </si>
  <si>
    <t>128 OZ</t>
  </si>
  <si>
    <t>ARIZONA$ GRN TEA/GINSNG&amp;HNY</t>
  </si>
  <si>
    <t>ARIZONA$ LEMON ICED TEA</t>
  </si>
  <si>
    <t>ARIZONA$ SWEET TEA</t>
  </si>
  <si>
    <t>FOUR C 24CT. ITM STICKS</t>
  </si>
  <si>
    <t>FOUR C INSTANT RED TEA</t>
  </si>
  <si>
    <t>FOUR C RED TEA STICKS</t>
  </si>
  <si>
    <t>1.97 OZ</t>
  </si>
  <si>
    <t>FOUR C RED TEA TUBS</t>
  </si>
  <si>
    <t>FOUR C WHITE TEA SGR 20QT</t>
  </si>
  <si>
    <t>LIPTON GREEN TEA ITM</t>
  </si>
  <si>
    <t>28.3 OZ</t>
  </si>
  <si>
    <t>LIPTON ICED TEA MIX PEACH</t>
  </si>
  <si>
    <t>26.5 OZ</t>
  </si>
  <si>
    <t>LIPTON INS TEA MX LMN10QT</t>
  </si>
  <si>
    <t>LIPTON ITM LEMON DCF 10QT</t>
  </si>
  <si>
    <t>0.6 OZ</t>
  </si>
  <si>
    <t>LIPTON LTG DEF PINK LEM</t>
  </si>
  <si>
    <t>.4 OZ</t>
  </si>
  <si>
    <t>LIPTON LTG ENERGIZE</t>
  </si>
  <si>
    <t>LIPTON LTG GRN CITRS 10CT</t>
  </si>
  <si>
    <t>LIPTON LTG PEACH STK 10CT</t>
  </si>
  <si>
    <t>.5 OZ</t>
  </si>
  <si>
    <t>LIPTON LTG REVITALIZE RAS</t>
  </si>
  <si>
    <t>LIPTON LTG WHT RASPB 10CT</t>
  </si>
  <si>
    <t>LIPTON SF LMN DCF TEA 10Q</t>
  </si>
  <si>
    <t>LIPTON TEA MX ICED SG/LMN</t>
  </si>
  <si>
    <t>LIPTON TEA MX RASPBRY 10Q</t>
  </si>
  <si>
    <t>LIPTON TEA MX SWLM ICE28Q</t>
  </si>
  <si>
    <t>LIPTON TO GO HNY LMN ITM</t>
  </si>
  <si>
    <t>.6 OZ</t>
  </si>
  <si>
    <t>LIPTON TO GO LMN STIX ITM</t>
  </si>
  <si>
    <t>LIPTON TO GO MANDRIN MNGO</t>
  </si>
  <si>
    <t>45.1 OZ</t>
  </si>
  <si>
    <t>NESTEA SWEET MIX ICED TEA</t>
  </si>
  <si>
    <t>101.4 F</t>
  </si>
  <si>
    <t>ORIENT EM TEA DIET GRN W/CTR</t>
  </si>
  <si>
    <t>ORIENT EM TEA DIET WHT W/BRY</t>
  </si>
  <si>
    <t>ORIENT EM TEA GREEN W/CITRUS</t>
  </si>
  <si>
    <t>ORIENT EM TEA RASPBERRY</t>
  </si>
  <si>
    <t>RICHFOOD DECAF ICED TEA MIX</t>
  </si>
  <si>
    <t>RICHFOOD ICED TEA MIX</t>
  </si>
  <si>
    <t>RICHFOOD ICED TEA MIX 10 QT</t>
  </si>
  <si>
    <t>RICHFOOD ICED TEA MIX 20 QT</t>
  </si>
  <si>
    <t>RICHFOOD INSTANT TEA</t>
  </si>
  <si>
    <t>12 FZ</t>
  </si>
  <si>
    <t>CARNATION FF EVAPORATED MILK</t>
  </si>
  <si>
    <t>CARNATION INS MLK     5 Q</t>
  </si>
  <si>
    <t>CARNATION INST NF MILK 10 QT</t>
  </si>
  <si>
    <t>CARNATION LOWFAT EVAP MILK</t>
  </si>
  <si>
    <t>5 FZ</t>
  </si>
  <si>
    <t>CARNATION MILK EVAP SKIM FT</t>
  </si>
  <si>
    <t>CARNATION MILK EVAPORATED</t>
  </si>
  <si>
    <t>14 FZ</t>
  </si>
  <si>
    <t>CARNATION MILK SWT CONDENSED</t>
  </si>
  <si>
    <t>EAGLE MILK FF SWT COND</t>
  </si>
  <si>
    <t>EAGLE MILK SWT CONDENSED</t>
  </si>
  <si>
    <t>PET EVAP SKIM MILK</t>
  </si>
  <si>
    <t>PET MILK</t>
  </si>
  <si>
    <t>PET MILK EVAP</t>
  </si>
  <si>
    <t>RICHFOOD EVAPORATED MILK</t>
  </si>
  <si>
    <t>3 QT</t>
  </si>
  <si>
    <t>RICHFOOD INSTANT MILK</t>
  </si>
  <si>
    <t>10 QT</t>
  </si>
  <si>
    <t>RICHFOOD INSTMILK 1QT ENVLP</t>
  </si>
  <si>
    <t>RICHFOOD SWEET COND MILK</t>
  </si>
  <si>
    <t>SHOP VALU MILK FILLED</t>
  </si>
  <si>
    <t>NESQUIK CHOC NO SUGAR ADDE</t>
  </si>
  <si>
    <t>10.90 O</t>
  </si>
  <si>
    <t>NESQUIK POWDER</t>
  </si>
  <si>
    <t>21.80 O</t>
  </si>
  <si>
    <t>NESQUIK POWDER CHOCOLATE</t>
  </si>
  <si>
    <t>NESQUIK POWDER STRAWBERRY</t>
  </si>
  <si>
    <t>NESQUIK SYRUP STRAWBERRY</t>
  </si>
  <si>
    <t>2.24 OZ</t>
  </si>
  <si>
    <t>NESTLE COCOA FAT FREE</t>
  </si>
  <si>
    <t>4.16 OZ</t>
  </si>
  <si>
    <t>NESTLE COCOA SUGAR FREE</t>
  </si>
  <si>
    <t>27.7 OZ</t>
  </si>
  <si>
    <t>NESTLE HOT COCOA W/MM CAN</t>
  </si>
  <si>
    <t>7.1 OZ</t>
  </si>
  <si>
    <t>NESTLE MINI MARSH 10 CT</t>
  </si>
  <si>
    <t>NESTLE MLK CH COCOA 10 CT</t>
  </si>
  <si>
    <t>8.56 OZ</t>
  </si>
  <si>
    <t>NESTLE NESQUIK HOT COCOA</t>
  </si>
  <si>
    <t>NESTLE RICH COCOA 10 CT</t>
  </si>
  <si>
    <t>NESTLE RICH COCOA CANISTR</t>
  </si>
  <si>
    <t>OVALTINE CHOCOLATE MALT</t>
  </si>
  <si>
    <t>OVALTINE RICH CHOCLT CANSTR</t>
  </si>
  <si>
    <t>OVALTINE RICH CHOCOLATE</t>
  </si>
  <si>
    <t>RICHFOOD HOT COCOA</t>
  </si>
  <si>
    <t>RICHFOOD HOT COCOA W/MARSHM</t>
  </si>
  <si>
    <t>SWISS MIS 12/13.8Z NSA CAN</t>
  </si>
  <si>
    <t>SWISSMISS COCOA MIN MRSHMLLW</t>
  </si>
  <si>
    <t>SWISSMISS COCOA MINI MARSHML</t>
  </si>
  <si>
    <t>SWISSMISS COCOA MLKCH CAN BN</t>
  </si>
  <si>
    <t>2.32 OZ</t>
  </si>
  <si>
    <t>SWISSMISS DIET HOT COCOA</t>
  </si>
  <si>
    <t>4.24 OZ</t>
  </si>
  <si>
    <t>SWISSMISS FAT FREE COCOA 8PK</t>
  </si>
  <si>
    <t>SWISSMISS HOT COCOA MIX</t>
  </si>
  <si>
    <t>SWISSMISS MILK CHOC 54CT SHP</t>
  </si>
  <si>
    <t>SWISSMISS MINI MRSH 54CT SHP</t>
  </si>
  <si>
    <t>SWISSMISS MMW LVR 8/1.2 OZ</t>
  </si>
  <si>
    <t>SWISSMISS MOCHA CAPPUCCINO</t>
  </si>
  <si>
    <t>SWISSMISS PICK ME UP</t>
  </si>
  <si>
    <t>SWISSMISS SGRFR HT COCOA 8CT</t>
  </si>
  <si>
    <t>21.6 OZ</t>
  </si>
  <si>
    <t>DOMINADE+ FRUIT PUNCH</t>
  </si>
  <si>
    <t>21.6 FZ</t>
  </si>
  <si>
    <t>DOMINADE+ LEMON</t>
  </si>
  <si>
    <t>72 FZ</t>
  </si>
  <si>
    <t>IBC BLACK CHERRY 6/12</t>
  </si>
  <si>
    <t>IBC CREME SODA 6PK</t>
  </si>
  <si>
    <t>IBC DIET ROOT BEER 6PK</t>
  </si>
  <si>
    <t>IBC REG ROOT BEER 6PK</t>
  </si>
  <si>
    <t>144 FZ</t>
  </si>
  <si>
    <t>JONES BERRY LEMONADE 12P</t>
  </si>
  <si>
    <t>JONES COLA 12/12FZ</t>
  </si>
  <si>
    <t>JONES CREAM SODA 12PK</t>
  </si>
  <si>
    <t>JONES FUFU BERRY 12PK</t>
  </si>
  <si>
    <t>JONES SF BLK CHERRY 12PK</t>
  </si>
  <si>
    <t>JONES SODA 12PK SF CREAM</t>
  </si>
  <si>
    <t>JONES SODA 12PK STRAWLIM</t>
  </si>
  <si>
    <t>RILEY SODA KIDS GRN SCRM</t>
  </si>
  <si>
    <t>RILEY SODA KIDS GRP</t>
  </si>
  <si>
    <t>RILEY SODA KIDS ORNG</t>
  </si>
  <si>
    <t>RILEY SODA KIDS TUTT FRT</t>
  </si>
  <si>
    <t>SHASTA BLACK CHERRY</t>
  </si>
  <si>
    <t>SHASTA COLA</t>
  </si>
  <si>
    <t>SHASTA COLA 3LT</t>
  </si>
  <si>
    <t>SHASTA FRUIT PUNCH</t>
  </si>
  <si>
    <t>SHASTA GINGER ALE</t>
  </si>
  <si>
    <t>SHASTA GRAPE 3LT</t>
  </si>
  <si>
    <t>SHASTA GRAPE SODA</t>
  </si>
  <si>
    <t>SHASTA KIWI/STRAWBERY</t>
  </si>
  <si>
    <t>SHASTA ORANGE</t>
  </si>
  <si>
    <t>SHASTA ORANGE 3LT</t>
  </si>
  <si>
    <t>SHASTA PINEAPPLE 3LT</t>
  </si>
  <si>
    <t>SHASTA ROOT BEER</t>
  </si>
  <si>
    <t>SHASTA ST NKS GNGR ALE 3L</t>
  </si>
  <si>
    <t>SHASTA TIKI PUNCH</t>
  </si>
  <si>
    <t>SUPR CHIL BIRCH BEER 6/12FZ</t>
  </si>
  <si>
    <t>SUPR CHIL BLACK CHERRY</t>
  </si>
  <si>
    <t>SUPR CHIL BROWN CREAM</t>
  </si>
  <si>
    <t>SUPR CHIL BROWN CREAM 6/12OZ</t>
  </si>
  <si>
    <t>SUPR CHIL CLASSIC COLA</t>
  </si>
  <si>
    <t>SUPR CHIL CLASSIC COLA 6PK</t>
  </si>
  <si>
    <t>SUPR CHIL CLASSIC DIET COLA</t>
  </si>
  <si>
    <t>SUPR CHIL CLUB SODA</t>
  </si>
  <si>
    <t>67.6 FZ</t>
  </si>
  <si>
    <t>SUPR CHIL COLA CLASSIC</t>
  </si>
  <si>
    <t>SUPR CHIL COLA CLASSIC 12PK</t>
  </si>
  <si>
    <t>SUPR CHIL COLA NW CH DT 6PK</t>
  </si>
  <si>
    <t>SUPR CHIL COLA NW CHOIC 12PK</t>
  </si>
  <si>
    <t>SUPR CHIL COLA NW CHOIC 6PK</t>
  </si>
  <si>
    <t>SUPR CHIL DIET CLSC COLA 6PK</t>
  </si>
  <si>
    <t>SUPR CHIL DIET GINGERALE 3LT</t>
  </si>
  <si>
    <t>SUPR CHIL DIET GNGRALE 6/12Z</t>
  </si>
  <si>
    <t>SUPR CHIL DR CHILL</t>
  </si>
  <si>
    <t>SUPR CHIL DR CHILL 6/12 OZ</t>
  </si>
  <si>
    <t>SUPR CHIL DR CHILL-12 PK</t>
  </si>
  <si>
    <t>SUPR CHIL DT CLSC COLA-12PK</t>
  </si>
  <si>
    <t>SUPR CHIL FRUIT PUNCH</t>
  </si>
  <si>
    <t>SUPR CHIL FRUIT PUNCH 6/12FZ</t>
  </si>
  <si>
    <t>SUPR CHIL GINGER ALE</t>
  </si>
  <si>
    <t>SUPR CHIL GINGER ALE 12PK</t>
  </si>
  <si>
    <t>SUPR CHIL GINGER ALE 2LT</t>
  </si>
  <si>
    <t>SUPR CHIL GINGERALE 6/12 OZ</t>
  </si>
  <si>
    <t>SUPR CHIL GRAPE</t>
  </si>
  <si>
    <t>SUPR CHIL GRAPE 6PK</t>
  </si>
  <si>
    <t>SUPR CHIL GRAPE SODA 2LT</t>
  </si>
  <si>
    <t>SUPR CHIL GRAPE SODA-12 PK</t>
  </si>
  <si>
    <t>SUPR CHIL LEMON LIME</t>
  </si>
  <si>
    <t>SUPR CHIL LEMON LIME 6/12 OZ</t>
  </si>
  <si>
    <t>SUPR CHIL LEMON LIME-12 PK</t>
  </si>
  <si>
    <t>SUPR CHIL LEMONADE N-CAR 3LT</t>
  </si>
  <si>
    <t>SUPR CHIL LMN-LME SELTZER</t>
  </si>
  <si>
    <t>SUPR CHIL MAND-ORG SELTZER</t>
  </si>
  <si>
    <t>SUPR CHIL MOUNTAIN - 12 PK</t>
  </si>
  <si>
    <t>SUPR CHIL MOUNTAIN CHILL 3LT</t>
  </si>
  <si>
    <t>SUPR CHIL MTN CHILL 6/12</t>
  </si>
  <si>
    <t>SUPR CHIL ORANGE</t>
  </si>
  <si>
    <t>SUPR CHIL ORANGE 12 PK</t>
  </si>
  <si>
    <t>SUPR CHIL ORANGE 6PK</t>
  </si>
  <si>
    <t>SUPR CHIL ORANGE SODA 2LT</t>
  </si>
  <si>
    <t>SUPR CHIL PEACH SODA 6PK</t>
  </si>
  <si>
    <t>SUPR CHIL PINEAPPLE</t>
  </si>
  <si>
    <t>2 LT</t>
  </si>
  <si>
    <t>SUPR CHIL PINEAPPLE 2LT</t>
  </si>
  <si>
    <t>SUPR CHIL PINEAPPLE 6/12FZ</t>
  </si>
  <si>
    <t>SUPR CHIL PUNCH CARBONATED</t>
  </si>
  <si>
    <t>SUPR CHIL RASPBERY SELTZER</t>
  </si>
  <si>
    <t>SUPR CHIL ROOT BEER</t>
  </si>
  <si>
    <t>SUPR CHIL ROOT BEER 12 PK</t>
  </si>
  <si>
    <t>SUPR CHIL ROOT BEER 2LT</t>
  </si>
  <si>
    <t>SUPR CHIL ROOT BEER 6PK</t>
  </si>
  <si>
    <t>SUPR CHIL SELTZER WATER</t>
  </si>
  <si>
    <t>SUPR CHIL SELTZER WTR 2LT</t>
  </si>
  <si>
    <t>SUPR CHIL SODA BLK CHRY 6PK</t>
  </si>
  <si>
    <t>SUPR CHIL SODA COLA NW CHOIC</t>
  </si>
  <si>
    <t>SUPR CHIL SODA GINGER ALE</t>
  </si>
  <si>
    <t>SUPR CHIL SODA LEM LIM DT6PK</t>
  </si>
  <si>
    <t>SUPR CHIL SODA ORANGE DT 6PK</t>
  </si>
  <si>
    <t>SUPR CHIL SODA ROOTBR DT 6PK</t>
  </si>
  <si>
    <t>SUPR CHIL SODA TONIC DIET</t>
  </si>
  <si>
    <t>SUPR CHIL STRAWBERRY</t>
  </si>
  <si>
    <t>SUPR CHIL STRAWBERRY 12PK</t>
  </si>
  <si>
    <t>SUPR CHIL STRAWBERRY 6PK</t>
  </si>
  <si>
    <t>SUPR CHIL TONIC WATER</t>
  </si>
  <si>
    <t>VINTAGE LMN LM SLTZR 12PK</t>
  </si>
  <si>
    <t>VINTAGE MAN ORNG SLTZR 12P</t>
  </si>
  <si>
    <t>VINTAGE RSPBRRY SLTZR 12PK</t>
  </si>
  <si>
    <t>VINTAGE SELTZER REGULAR</t>
  </si>
  <si>
    <t>VINTAGE SELZER 12/12 OZ</t>
  </si>
  <si>
    <t>VINTAGE SLTZR LEMON</t>
  </si>
  <si>
    <t>VINTAGE SLTZR MANDRN ORN</t>
  </si>
  <si>
    <t>VINTAGE SLTZR RASPBERRY</t>
  </si>
  <si>
    <t>VINTAGE SLTZR WATER 2 LT</t>
  </si>
  <si>
    <t>VINTAGE SLTZR WLD CHERRY</t>
  </si>
  <si>
    <t>VINTAGE TONIC WATER</t>
  </si>
  <si>
    <t>WST WTCHR BLACK CHERRY</t>
  </si>
  <si>
    <t>WST WTCHR BLACK CHERRY 2LT</t>
  </si>
  <si>
    <t>WST WTCHR CITRUS FROST 2LT</t>
  </si>
  <si>
    <t>WST WTCHR GINGER ALE</t>
  </si>
  <si>
    <t>WST WTCHR GINGERALE 2LT</t>
  </si>
  <si>
    <t>WST WTCHR ORANGE</t>
  </si>
  <si>
    <t>WST WTCHR ORANGE 2LT</t>
  </si>
  <si>
    <t>WST WTCHR ROOT BEER 2LT</t>
  </si>
  <si>
    <t>WST WTCHR ROOTBEER</t>
  </si>
  <si>
    <t>AQUARIUS NSW 6PK/16.9 OZ</t>
  </si>
  <si>
    <t>CRYSTL SP NURSERY WATER</t>
  </si>
  <si>
    <t>284.4 F</t>
  </si>
  <si>
    <t>DEER PARK 700ML 12PK</t>
  </si>
  <si>
    <t>142.2 F</t>
  </si>
  <si>
    <t>DEER PARK 700ML 6PK</t>
  </si>
  <si>
    <t>23.7 FZ</t>
  </si>
  <si>
    <t>DEER PARK 700ML LOOSE CASE</t>
  </si>
  <si>
    <t>64 FZ</t>
  </si>
  <si>
    <t>DEER PARK 8PK FLRIDE</t>
  </si>
  <si>
    <t>88 FZ</t>
  </si>
  <si>
    <t>DEER PARK AQUAPOD 8PK/11OZ</t>
  </si>
  <si>
    <t>DEER PARK BERRY LIME SPARK</t>
  </si>
  <si>
    <t>DEER PARK BRYLME SPRK 6/16.9</t>
  </si>
  <si>
    <t>DEER PARK CRNBRY SPRK 6/16.9</t>
  </si>
  <si>
    <t>DEER PARK ORANG SPARK 6/16.9</t>
  </si>
  <si>
    <t>DEER PARK ORANGE SPARK</t>
  </si>
  <si>
    <t>DEER PARK POMGRN SPRK 6/16.9</t>
  </si>
  <si>
    <t>96 FZ</t>
  </si>
  <si>
    <t>DEER PARK SPRING WATER 12/8</t>
  </si>
  <si>
    <t>DEER PARK SPRING WATER 3LTR</t>
  </si>
  <si>
    <t>405.6 F</t>
  </si>
  <si>
    <t>DEER PARK SPRNG WTR 24/16.9</t>
  </si>
  <si>
    <t>320 FZ</t>
  </si>
  <si>
    <t>DEER PARK WATER 2.5 GLN SPRG</t>
  </si>
  <si>
    <t>202.8 F</t>
  </si>
  <si>
    <t>DEER PARK WATER DRK 12/16.9</t>
  </si>
  <si>
    <t>50.7 FZ</t>
  </si>
  <si>
    <t>DEER PARK WATER SPRING  1.5L</t>
  </si>
  <si>
    <t>DEER PARK WATER SPRING GLLN</t>
  </si>
  <si>
    <t>DEER PARK WTR SPRING 6/16.9</t>
  </si>
  <si>
    <t>FRUIT 2-O FRT 2-0 GRAPE 6PK</t>
  </si>
  <si>
    <t>FRUIT 2-O FRT 2-0 NAT LEMON</t>
  </si>
  <si>
    <t>FRUIT 2-O FRT 2-0 NAT STWBRY</t>
  </si>
  <si>
    <t>FRUIT 2-O GRAPE</t>
  </si>
  <si>
    <t>FRUIT 2-O LEMON</t>
  </si>
  <si>
    <t>FRUIT 2-O ORANGE FLAVR WATER</t>
  </si>
  <si>
    <t>FRUIT 2-O RSPBRY FLAVR WATER</t>
  </si>
  <si>
    <t>67.60 F</t>
  </si>
  <si>
    <t>JOINT JCE 4PK KIWI STRAW</t>
  </si>
  <si>
    <t>JOINT JCE 4PK LEMON</t>
  </si>
  <si>
    <t>16.90 F</t>
  </si>
  <si>
    <t>JOINT JCE BERRY</t>
  </si>
  <si>
    <t>JOINT JCE JOINT JCE BRY 4PK</t>
  </si>
  <si>
    <t>JOINT JCE KIWI STRAW</t>
  </si>
  <si>
    <t>JOINT JCE LEMON</t>
  </si>
  <si>
    <t>LA CROIX PAMPLEMOUSSE 12PK</t>
  </si>
  <si>
    <t>LA CROIX SPRK LEMON 12/12Z</t>
  </si>
  <si>
    <t>LA CROIX SPRK WTR BRY 12/12</t>
  </si>
  <si>
    <t>LA CROIX SPRK WTR PLN 12/12</t>
  </si>
  <si>
    <t>LA CROIX WATER LIME 12/12Z</t>
  </si>
  <si>
    <t>NESTLE PURE KIWI STRW 6PK</t>
  </si>
  <si>
    <t>NESTLE PURE LEMON 6P</t>
  </si>
  <si>
    <t>NESTLE PURE ORANGE 6P</t>
  </si>
  <si>
    <t>NESTLE PURE RASPBRY 6P</t>
  </si>
  <si>
    <t>NESTLE$ PURE LIFE 12PACK</t>
  </si>
  <si>
    <t>NESTLE$ PURE LIFE 24/16.9Z</t>
  </si>
  <si>
    <t>192 FZ</t>
  </si>
  <si>
    <t>NESTLE$ WATER 24 CT 8OZ</t>
  </si>
  <si>
    <t>PERRIER PET CITRON 1L</t>
  </si>
  <si>
    <t>PERRIER PET ORIGINAL 1 LT</t>
  </si>
  <si>
    <t>25 FZ</t>
  </si>
  <si>
    <t>PERRIER REG SPARKLING</t>
  </si>
  <si>
    <t>PERRIER SPARKLING 6/16.9Z</t>
  </si>
  <si>
    <t>PERRIER WATER SPRKLNG LIME</t>
  </si>
  <si>
    <t>PERRIER WATR SPRKLNG LEMON</t>
  </si>
  <si>
    <t>PROPEL 12PK LEMON</t>
  </si>
  <si>
    <t>PROPEL 6PK BLACK CHERRRY</t>
  </si>
  <si>
    <t>PROPEL 6PK BLUBRY POMGRNT</t>
  </si>
  <si>
    <t>24 FZ</t>
  </si>
  <si>
    <t>PROPEL BERRY</t>
  </si>
  <si>
    <t>PROPEL BERRY 12PK 500ML</t>
  </si>
  <si>
    <t>PROPEL BERRY 6PK  6/16.9Z</t>
  </si>
  <si>
    <t>PROPEL BLACK CHERRY</t>
  </si>
  <si>
    <t>PROPEL BLUEBERRY POMGRANT</t>
  </si>
  <si>
    <t>PROPEL GRAPE</t>
  </si>
  <si>
    <t>PROPEL GRAPE 12PK/500ML</t>
  </si>
  <si>
    <t>PROPEL GRAPE 6/16.9Z</t>
  </si>
  <si>
    <t>PROPEL KIWI STRAWBERRY</t>
  </si>
  <si>
    <t>PROPEL KIWI STRW 12/500ML</t>
  </si>
  <si>
    <t>PROPEL KIWI STRW 6/16.9Z</t>
  </si>
  <si>
    <t>PROPEL LEMON</t>
  </si>
  <si>
    <t>PROPEL LEMON 6/16.9OZ</t>
  </si>
  <si>
    <t>PROPEL PEACH MANGO</t>
  </si>
  <si>
    <t>RICHFOOD DRINKING WATER</t>
  </si>
  <si>
    <t>RICHFOOD WATER NATURAL SPRI</t>
  </si>
  <si>
    <t>RICHFOOD WATER-DISTILLED</t>
  </si>
  <si>
    <t>25.3 FZ</t>
  </si>
  <si>
    <t>SAN PELLE 750ML GLASS</t>
  </si>
  <si>
    <t>SPRING NSW 24/16.9OZ CASE</t>
  </si>
  <si>
    <t>SUPR CHIL DRINKING WTR 24PK</t>
  </si>
  <si>
    <t>SUPR CHIL FRTDRP GRP 6/16.9Z</t>
  </si>
  <si>
    <t>SUPR CHIL FRTDRP LMN 6/16.9Z</t>
  </si>
  <si>
    <t>SUPR CHIL FRTDRP RSP 6/16.9Z</t>
  </si>
  <si>
    <t>SUPR CHIL FRTDRP STW 6/16.9Z</t>
  </si>
  <si>
    <t>SUPR CHIL SPK WTR BLK CHERRY</t>
  </si>
  <si>
    <t>SUPR CHIL SPK WTR CRAN LIME</t>
  </si>
  <si>
    <t>SUPR CHIL SPK WTR KIWI/STRAW</t>
  </si>
  <si>
    <t>SUPR CHIL SPK WTR RASPBERRY</t>
  </si>
  <si>
    <t>SUPR CHIL SPK WTR TANG LIME</t>
  </si>
  <si>
    <t>SUPR CHIL SPK WTR TROPICAL</t>
  </si>
  <si>
    <t>SUPR CHIL SPK WTR WHT GRAPE</t>
  </si>
  <si>
    <t>SUPR CHIL SPRG WTR 24/16.9FZ</t>
  </si>
  <si>
    <t>SUPR CHIL SPRG WTR 6/16.9FZ</t>
  </si>
  <si>
    <t>SUPR CHIL SPRING WATER</t>
  </si>
  <si>
    <t>SUPR CHIL SPRING WTR 6/33.8</t>
  </si>
  <si>
    <t>SUPR CHIL SPRNG WTR 12/16.9</t>
  </si>
  <si>
    <t>SUPR CHIL WATER DRINK 2.5 GL</t>
  </si>
  <si>
    <t>SUPR CHIL WATER DSTLD 2.5 GL</t>
  </si>
  <si>
    <t>SUPR CHIL WATER SPKLG LEMON</t>
  </si>
  <si>
    <t>SUPR CHIL WATER SPKLG LIME</t>
  </si>
  <si>
    <t>SUPR CHIL WATER SPKLG PEACH</t>
  </si>
  <si>
    <t>SUPR CHIL WATER SPRING 2.5GL</t>
  </si>
  <si>
    <t>20 FZ</t>
  </si>
  <si>
    <t>SUPR CHIL WTR DT DRAGONFRUIT</t>
  </si>
  <si>
    <t>SUPR CHIL WTR DT FRUIT PUNCH</t>
  </si>
  <si>
    <t>SUPR CHIL WTR DT MAND ORANGE</t>
  </si>
  <si>
    <t>SUPR CHIL WTR DT POM ACAI BL</t>
  </si>
  <si>
    <t>SUPR CHIL WTR DT TROP PSNFRT</t>
  </si>
  <si>
    <t>TRITON CLEAR DRINKING WTR</t>
  </si>
  <si>
    <t>TRITON DISTILLED WATER</t>
  </si>
  <si>
    <t>TRITON DISTILLED WTR</t>
  </si>
  <si>
    <t>TRITON SPRING WATER</t>
  </si>
  <si>
    <t>1.701 O</t>
  </si>
  <si>
    <t>4C CRNPOM DRK MX 20CT</t>
  </si>
  <si>
    <t>1.419 O</t>
  </si>
  <si>
    <t>4C FRT PCH DRK MX 20C</t>
  </si>
  <si>
    <t>3.043 O</t>
  </si>
  <si>
    <t>4C LEMONDE DRK MX 20C</t>
  </si>
  <si>
    <t>2.383 O</t>
  </si>
  <si>
    <t>4C MORNING ORNG 20CT</t>
  </si>
  <si>
    <t>2.728 O</t>
  </si>
  <si>
    <t>4C PINK LEMONADE 20CT</t>
  </si>
  <si>
    <t>1.485 O</t>
  </si>
  <si>
    <t>4C WLDBRY POM MX 20CT</t>
  </si>
  <si>
    <t>CNTRY TM MIX LEMONADE</t>
  </si>
  <si>
    <t>CNTRY TM MIX LEMONADE/PINK</t>
  </si>
  <si>
    <t>1.43 OZ</t>
  </si>
  <si>
    <t>CRYSTL LT 12QT CN WHT GRP</t>
  </si>
  <si>
    <t>2.53 OZ</t>
  </si>
  <si>
    <t>CRYSTL LT CLSC ORG SNRS 10QT</t>
  </si>
  <si>
    <t>2.3 OZ</t>
  </si>
  <si>
    <t>CRYSTL LT CRANBRY APL 12QT</t>
  </si>
  <si>
    <t>CRYSTL LT DCF ICED TEA 12QT</t>
  </si>
  <si>
    <t>CRYSTL LT FRUIT PUNCH 8QT</t>
  </si>
  <si>
    <t>CRYSTL LT GR TEA PCH/MGO 10Q</t>
  </si>
  <si>
    <t>CRYSTL LT GREEN TEA RASP 6CT</t>
  </si>
  <si>
    <t>CRYSTL LT ICED TEA 12QT</t>
  </si>
  <si>
    <t>2.2 OZ</t>
  </si>
  <si>
    <t>CRYSTL LT IMMUNITY 10QT</t>
  </si>
  <si>
    <t>CRYSTL LT LEMONADE 12QT</t>
  </si>
  <si>
    <t>CRYSTL LT LEMONADE 8QT</t>
  </si>
  <si>
    <t>CRYSTL LT ON THE GO LEM 10CT</t>
  </si>
  <si>
    <t>CRYSTL LT ON THE GO RAS 10CT</t>
  </si>
  <si>
    <t>.8 OZ</t>
  </si>
  <si>
    <t>CRYSTL LT ON THE GO RASP</t>
  </si>
  <si>
    <t>.7 OZ</t>
  </si>
  <si>
    <t>CRYSTL LT ON THE GO TEA 10CT</t>
  </si>
  <si>
    <t>1.18 OZ</t>
  </si>
  <si>
    <t>CRYSTL LT OTG CHRY POM 10CT</t>
  </si>
  <si>
    <t>CRYSTL LT OTG FRUIT PUNCH</t>
  </si>
  <si>
    <t>CRYSTL LT OTG GRN T HLEM 10C</t>
  </si>
  <si>
    <t>CRYSTL LT OTG GRN T PCH MNGO</t>
  </si>
  <si>
    <t>CRYSTL LT OTG GRN T RSP 10CT</t>
  </si>
  <si>
    <t>CRYSTL LT OTG LA RASP PCH</t>
  </si>
  <si>
    <t>.97 OZ</t>
  </si>
  <si>
    <t>CRYSTL LT OTG LTLY LEMN 10CT</t>
  </si>
  <si>
    <t>CRYSTL LT OTG PINK LEMONDAE</t>
  </si>
  <si>
    <t>2.52 OZ</t>
  </si>
  <si>
    <t>CRYSTL LT OTG STRW BAN</t>
  </si>
  <si>
    <t>.49 OZ</t>
  </si>
  <si>
    <t>CRYSTL LT OTG W/TEA PCH SKNE</t>
  </si>
  <si>
    <t>CRYSTL LT OTG WHT GRAPE 10CT</t>
  </si>
  <si>
    <t>CRYSTL LT OTG WLD STRAW 10CT</t>
  </si>
  <si>
    <t>CRYSTL LT PEACH TEA 8QT</t>
  </si>
  <si>
    <t>2.9 OZ</t>
  </si>
  <si>
    <t>CRYSTL LT PINK LEMONADE 12QT</t>
  </si>
  <si>
    <t>CRYSTL LT PINK LEMONADE 8QT</t>
  </si>
  <si>
    <t>.87 OZ</t>
  </si>
  <si>
    <t>CRYSTL LT RASPBERRY ICE 8QT</t>
  </si>
  <si>
    <t>CRYSTL LT RASPBERRY TEA 8QT</t>
  </si>
  <si>
    <t>CRYSTL LT RSPBRY LEMONAD 8QT</t>
  </si>
  <si>
    <t>CRYSTL LT TEA ICED/DECAF 8QT</t>
  </si>
  <si>
    <t>CRYSTL LT TEA PEACH AST 12QT</t>
  </si>
  <si>
    <t>.63 OZ</t>
  </si>
  <si>
    <t>CSTYLLGHT OTGPOMLEM 7CT</t>
  </si>
  <si>
    <t>DIET SNPL STG KIWI STRWBERRY</t>
  </si>
  <si>
    <t>DIET SNPL STG PINK LEMONADE</t>
  </si>
  <si>
    <t>DIET SNPL STG TEA W/LEMON</t>
  </si>
  <si>
    <t>DIET SNPL STG TEA W/PEACH</t>
  </si>
  <si>
    <t>FOUR C 18CT ENERGY</t>
  </si>
  <si>
    <t>FOUR C 4C 18CT. VITAMIN S</t>
  </si>
  <si>
    <t>FOUR C 4C 24CT. PSD STICK</t>
  </si>
  <si>
    <t>4.033 O</t>
  </si>
  <si>
    <t>FOUR C LEMONDRINKMIX-14QT</t>
  </si>
  <si>
    <t>GATORADE FRT PCH PWDR PCKTS</t>
  </si>
  <si>
    <t>GATORADE G2 FRUIT PUNCH PWD</t>
  </si>
  <si>
    <t>GATORADE G2 GRAPE POWDER</t>
  </si>
  <si>
    <t>GATORADE LEMN LIM PWDR PCKT</t>
  </si>
  <si>
    <t>GATORADE ORANGE PWDR PCKTS</t>
  </si>
  <si>
    <t>.15 OZ</t>
  </si>
  <si>
    <t>KOOL-AID RKA ASSORTED</t>
  </si>
  <si>
    <t>.22 OZ</t>
  </si>
  <si>
    <t>KOOL-AID RKA BERRY BLU</t>
  </si>
  <si>
    <t>.13 OZ</t>
  </si>
  <si>
    <t>KOOL-AID RKA BLACK CHERRY</t>
  </si>
  <si>
    <t>KOOL-AID RKA CHERRY</t>
  </si>
  <si>
    <t>.14 OZ</t>
  </si>
  <si>
    <t>KOOL-AID RKA GRAPE 4/4</t>
  </si>
  <si>
    <t>KOOL-AID RKA ICE BLU RASPBR</t>
  </si>
  <si>
    <t>KOOL-AID RKA INV WTRMLN KWI</t>
  </si>
  <si>
    <t>.23 OZ</t>
  </si>
  <si>
    <t>KOOL-AID RKA LEMONADE</t>
  </si>
  <si>
    <t>.16 OZ</t>
  </si>
  <si>
    <t>KOOL-AID RKA MANDARINA</t>
  </si>
  <si>
    <t>KOOL-AID RKA ORANGE</t>
  </si>
  <si>
    <t>KOOL-AID RKA PINK LEMONADE</t>
  </si>
  <si>
    <t>KOOL-AID RKA STRAWBERRY</t>
  </si>
  <si>
    <t>KOOL-AID RKA TROPICAL  PNCH</t>
  </si>
  <si>
    <t>KOOL-AID S/S STRAWBERRY</t>
  </si>
  <si>
    <t>1.34 OZ</t>
  </si>
  <si>
    <t>KOOL-AID SF 12QT CHERRY</t>
  </si>
  <si>
    <t>KOOL-AID SF 12QT GRAPE</t>
  </si>
  <si>
    <t>KOOL-AID SF TROP PNCH 12QT</t>
  </si>
  <si>
    <t>KOOL-AID SGR SWT CAN ORG8QT</t>
  </si>
  <si>
    <t>KOOL-AID SGR SWTND CN CHRRY</t>
  </si>
  <si>
    <t>KOOL-AID SGR SWTND CN GRAPE</t>
  </si>
  <si>
    <t>KOOL-AID SSKA RASP LEMONADE</t>
  </si>
  <si>
    <t>KOOL-AID TROPICAL PUNCH</t>
  </si>
  <si>
    <t>KOOL-AID TROPICAL PUNCH SGL</t>
  </si>
  <si>
    <t>PROPEL POWDER BERRY 10CT</t>
  </si>
  <si>
    <t>PROPEL POWDER GRAPE</t>
  </si>
  <si>
    <t>PROPEL POWDER LEMON 10CT</t>
  </si>
  <si>
    <t>PROPEL PWDR KWI-STRW 10CT</t>
  </si>
  <si>
    <t>PROPEL PWDR RASPBRY LEMON</t>
  </si>
  <si>
    <t>RICHFOOD 8 QT CHERRY DRK MX</t>
  </si>
  <si>
    <t>RICHFOOD 8 QT GRAPE DRK MIX</t>
  </si>
  <si>
    <t>RICHFOOD 8 QT LMNADE DRK MX</t>
  </si>
  <si>
    <t>RICHFOOD 8 QT ORANGE DRK MX</t>
  </si>
  <si>
    <t>RICHFOOD 8 QT PUNCH DRK MIX</t>
  </si>
  <si>
    <t>RICHFOOD ICED TEA SF MIX</t>
  </si>
  <si>
    <t>0.71 OZ</t>
  </si>
  <si>
    <t>RICHFOOD ICED TEA SF STIXS</t>
  </si>
  <si>
    <t>RICHFOOD LEMONADE SF MIX</t>
  </si>
  <si>
    <t>RICHFOOD LEMONADE SF STIXS</t>
  </si>
  <si>
    <t>RICHFOOD ORANGE BRKFST DRNK</t>
  </si>
  <si>
    <t>RICHFOOD PEACH TEA SF MIX</t>
  </si>
  <si>
    <t>RICHFOOD PEACH TEA SF STIXS</t>
  </si>
  <si>
    <t>RICHFOOD RSPBRY ICE SF MIX</t>
  </si>
  <si>
    <t>RICHFOOD RSPBRY ICE SF STIX</t>
  </si>
  <si>
    <t>RICHFOOD UNS CHERRY 2 QT</t>
  </si>
  <si>
    <t>RICHFOOD UNS GRAPE 2 QT</t>
  </si>
  <si>
    <t>.33 OZ</t>
  </si>
  <si>
    <t>RICHFOOD UNS LEMONADE 2 QT</t>
  </si>
  <si>
    <t>.19 OZ</t>
  </si>
  <si>
    <t>RICHFOOD UNS ORANGE 2 QT</t>
  </si>
  <si>
    <t>RICHFOOD UNS PUNCH 2 QT</t>
  </si>
  <si>
    <t>TANG ORANGE 8QT</t>
  </si>
  <si>
    <t>150 OZ</t>
  </si>
  <si>
    <t>FLAVORICE BRS FRZR BLK 100CT</t>
  </si>
  <si>
    <t>FLAVORICE FREEZER POPS 16CT</t>
  </si>
  <si>
    <t>KOOL POPS FREEZER BARS 24CT</t>
  </si>
  <si>
    <t>POP ICE AST FRZPP 100/1.5Z</t>
  </si>
  <si>
    <t>RILEY FREEZER POPS VAR</t>
  </si>
  <si>
    <t>CAMPBELLS LOW SALT TOM JUICE</t>
  </si>
  <si>
    <t>CAMPBELLS TOMATO JC</t>
  </si>
  <si>
    <t>46 FZ</t>
  </si>
  <si>
    <t>33 FZ</t>
  </si>
  <si>
    <t>CAMPBELLS TOMATO JC 6/5.5OZ</t>
  </si>
  <si>
    <t>CAMPBELLS TOMATO JC PET</t>
  </si>
  <si>
    <t>11.5 FZ</t>
  </si>
  <si>
    <t>CAMPBELLS TOMATO JUICE</t>
  </si>
  <si>
    <t>CAMPBELLS TOMATO JUICE PET</t>
  </si>
  <si>
    <t>DOLE JUICE, PINEAPPLE</t>
  </si>
  <si>
    <t>36 FZ</t>
  </si>
  <si>
    <t>DOLE P-APPLE JC 6/6 OZ</t>
  </si>
  <si>
    <t>HANOVER+ TOMATO JUICE</t>
  </si>
  <si>
    <t>HANOVER+ VEG JCE COCKTAIL</t>
  </si>
  <si>
    <t>LANGERS ALL POMEGRANATE</t>
  </si>
  <si>
    <t>LANGERS POMEGRANATE 100</t>
  </si>
  <si>
    <t>MOTTS CLAMATO JC</t>
  </si>
  <si>
    <t>MOTTS+ BEEFAMATO JC</t>
  </si>
  <si>
    <t>MOTTS+ CLAMATO CKTL6/5.5Z</t>
  </si>
  <si>
    <t>OCN SPRAY CRAN LEMONADE MIX</t>
  </si>
  <si>
    <t>OCN SPRAY CRAN POMEGRANT MIX</t>
  </si>
  <si>
    <t>OCN SPRAY CRANENRGY CRN/RASP</t>
  </si>
  <si>
    <t>OCN SPRAY CRANENRGY PMGRNTE</t>
  </si>
  <si>
    <t>OCN SPRAY CRNRGY PMGRN 4/12Z</t>
  </si>
  <si>
    <t>OCN SPRAY SF CRAN GRAPE PKTS</t>
  </si>
  <si>
    <t>OCN SPRAY WHT CRAN PEACH PKT</t>
  </si>
  <si>
    <t>OCNSPRAY% DIET CRAN GRAPE</t>
  </si>
  <si>
    <t>PLUMSMART LITE</t>
  </si>
  <si>
    <t>RICHFOOD JUICE POM-BLUBRY</t>
  </si>
  <si>
    <t>RICHFOOD JUICE POM-CRNBRY</t>
  </si>
  <si>
    <t>RICHFOOD JUICE POMEGRANATE</t>
  </si>
  <si>
    <t>RICHFOOD JUICE VEGETBLE 6PK</t>
  </si>
  <si>
    <t>RICHFOOD JUICE VEGTBL SPICY</t>
  </si>
  <si>
    <t>RICHFOOD PINEAPPLE JUICE CC</t>
  </si>
  <si>
    <t>RICHFOOD PRUNE JCE UNSWT PE</t>
  </si>
  <si>
    <t>RICHFOOD PRUNE JUICE</t>
  </si>
  <si>
    <t>RICHFOOD TOMATO JUICE CAN</t>
  </si>
  <si>
    <t>RICHFOOD TOMATO JUICE PET</t>
  </si>
  <si>
    <t>RICHFOOD VEG COCKTAIL JC CA</t>
  </si>
  <si>
    <t>RICHFOOD VEGETABLE JUCE PET</t>
  </si>
  <si>
    <t>RICHFOOD WHITE CRANBERRY JU</t>
  </si>
  <si>
    <t>RICHFOOD WHTE CRAN-PEACH JU</t>
  </si>
  <si>
    <t>RICHFOOD WHTE CRAN-STRAW JU</t>
  </si>
  <si>
    <t>SACRMNTO+ TOMATO JUICE</t>
  </si>
  <si>
    <t>SHOP VALU JUICE TOMATO</t>
  </si>
  <si>
    <t>SUNSWEET PLUM SMART</t>
  </si>
  <si>
    <t>SUNSWEET PRUNE JC</t>
  </si>
  <si>
    <t>SUNSWEET PRUNE JC 6/5.5Z</t>
  </si>
  <si>
    <t>SUNSWEET PRUNE JC PET</t>
  </si>
  <si>
    <t>SUNSWEET PRUNE JC W/PULP</t>
  </si>
  <si>
    <t>V-8 HIGH FIBER VEG JCE</t>
  </si>
  <si>
    <t>V-8 HLTHY REQUEST PLST</t>
  </si>
  <si>
    <t>V-8 JUICE LOW SODIUM</t>
  </si>
  <si>
    <t>V-8 JUICE V8 SPICY HOT</t>
  </si>
  <si>
    <t>V-8 LOW SALT VEG JUICE</t>
  </si>
  <si>
    <t>V-8 LOW SO JC 6/5.5FZ</t>
  </si>
  <si>
    <t>69 FZ</t>
  </si>
  <si>
    <t>V-8 LOW SOD 11.5OZ 6PK</t>
  </si>
  <si>
    <t>V-8 LOW SODIUM</t>
  </si>
  <si>
    <t>V-8 V8 VEGTBL JCE 6PK</t>
  </si>
  <si>
    <t>V-8 VEG COCKTAIL JC</t>
  </si>
  <si>
    <t>V-8 VEG JC</t>
  </si>
  <si>
    <t>V-8 VEG JC 6/5.5FZ</t>
  </si>
  <si>
    <t>V-8 VEG JC COCKTAIL</t>
  </si>
  <si>
    <t>V-8 VEG JC PET</t>
  </si>
  <si>
    <t>V-8 VEG JC SPICY HOT</t>
  </si>
  <si>
    <t>V-8 VEG JC W/CALCM PET</t>
  </si>
  <si>
    <t>V-8 VEGETABLE JUICE</t>
  </si>
  <si>
    <t>V-8 VIT ENRCH JC 6/5.5</t>
  </si>
  <si>
    <t>52 FZ</t>
  </si>
  <si>
    <t>WELCH'S BERRY LIGHT</t>
  </si>
  <si>
    <t>WELCH'S PURPLE GRAPE LITE</t>
  </si>
  <si>
    <t>WELCH'S STRAWBRRY MANGO LT</t>
  </si>
  <si>
    <t>MOTTS REALEMON BOTTLE</t>
  </si>
  <si>
    <t>15 FZ</t>
  </si>
  <si>
    <t>MOTTS REALEMON SQZE BTTL</t>
  </si>
  <si>
    <t>MOTTS REALIME BOTTLE</t>
  </si>
  <si>
    <t>RICHFOOD LEMON JUICE</t>
  </si>
  <si>
    <t>3.857 O</t>
  </si>
  <si>
    <t>4C ENERGY RSH CIT14CT</t>
  </si>
  <si>
    <t>4C ENRGYRUSH BRY 14CT</t>
  </si>
  <si>
    <t>BIG HUG BLUE/RASP</t>
  </si>
  <si>
    <t>BIG HUG CHERRY</t>
  </si>
  <si>
    <t>BIG HUG FRUIT PUNCH</t>
  </si>
  <si>
    <t>BIG HUG LEMON/LIME</t>
  </si>
  <si>
    <t>BIG HUG LEMONADE</t>
  </si>
  <si>
    <t>BIG HUG ORANGE</t>
  </si>
  <si>
    <t>CKTAIL123 APPL MARTINI EDGER</t>
  </si>
  <si>
    <t>CKTAIL123 APPLE MARTNI MIXER</t>
  </si>
  <si>
    <t>CKTAIL123 BLOODY MARY EDGER</t>
  </si>
  <si>
    <t>CKTAIL123 BLOODY MARY MIXER</t>
  </si>
  <si>
    <t>CKTAIL123 COSMO EDGER</t>
  </si>
  <si>
    <t>CKTAIL123 COSMO MARTNI MIXER</t>
  </si>
  <si>
    <t>12.6 FZ</t>
  </si>
  <si>
    <t>CKTAIL123 DIRTY MARTINI</t>
  </si>
  <si>
    <t>CKTAIL123 GRENADINE</t>
  </si>
  <si>
    <t>CKTAIL123 LEMON DROP EDGER</t>
  </si>
  <si>
    <t>CKTAIL123 LEMON DROP MIXER</t>
  </si>
  <si>
    <t>CKTAIL123 MARGARITA EDGER</t>
  </si>
  <si>
    <t>CKTAIL123 MARGARITA MIXER</t>
  </si>
  <si>
    <t>CKTAIL123 MOJITO EDGER</t>
  </si>
  <si>
    <t>CKTAIL123 MOJITO MIXER</t>
  </si>
  <si>
    <t>CKTAIL123 PINA COLADA EDGER</t>
  </si>
  <si>
    <t>CKTAIL123 PINA COLADA MIXER</t>
  </si>
  <si>
    <t>CKTAIL123 POMGRNT MRTNI EDGR</t>
  </si>
  <si>
    <t>CKTAIL123 POMGRNT MRTNI MIXR</t>
  </si>
  <si>
    <t>CKTAIL123 SIMPLE SYRUP</t>
  </si>
  <si>
    <t>CKTAIL123 WATERMELN MRTN MXR</t>
  </si>
  <si>
    <t>CKTAIL123 WATERMLN MRTN EDGR</t>
  </si>
  <si>
    <t>DNLD DUCK CAN ORANGE JC 6PK</t>
  </si>
  <si>
    <t>3.9 OZ</t>
  </si>
  <si>
    <t>FOUR C ENRGY RSH ORNG 14C</t>
  </si>
  <si>
    <t>1.04 OZ</t>
  </si>
  <si>
    <t>FOUR C VSN STRW/KIWI 14CT</t>
  </si>
  <si>
    <t>160 FZ</t>
  </si>
  <si>
    <t>GATORADE 8PK RAIN BERRY</t>
  </si>
  <si>
    <t>GATORADE ALL STAR 6/12 OZ</t>
  </si>
  <si>
    <t>GATORADE ALL STAR ICE PUNCH</t>
  </si>
  <si>
    <t>GATORADE ALL STR STW 6/12OZ</t>
  </si>
  <si>
    <t>GATORADE ALLST LEMNLIME 6PK</t>
  </si>
  <si>
    <t>GATORADE ALLSTAR BRYRAIN 6P</t>
  </si>
  <si>
    <t>GATORADE ALLSTAR GRAPE 6PK</t>
  </si>
  <si>
    <t>GATORADE ALLSTAR ORANGE 6PK</t>
  </si>
  <si>
    <t>GATORADE ALLSTR FRTPNCH 6PK</t>
  </si>
  <si>
    <t>GATORADE AM ORANG STRAWBRY</t>
  </si>
  <si>
    <t>GATORADE AM ORGN STRW 8/20</t>
  </si>
  <si>
    <t>GATORADE AM TROP MNGO 8/20</t>
  </si>
  <si>
    <t>GATORADE AM TROPICAL MANGO</t>
  </si>
  <si>
    <t>GATORADE BLUEBERRY POMEGRAN</t>
  </si>
  <si>
    <t>GATORADE COOL BLUE</t>
  </si>
  <si>
    <t>GATORADE COOL BLUE 8/20 OZ</t>
  </si>
  <si>
    <t>GATORADE DRINK GRAPE</t>
  </si>
  <si>
    <t>GATORADE DRINK LEMON LIME</t>
  </si>
  <si>
    <t>GATORADE DRINK LEMON/LIME</t>
  </si>
  <si>
    <t>GATORADE DRINK ORANGE</t>
  </si>
  <si>
    <t>18.4 OZ</t>
  </si>
  <si>
    <t>GATORADE DRNK LMN/LIME PWD</t>
  </si>
  <si>
    <t>GATORADE EXTREMO MANGO</t>
  </si>
  <si>
    <t>GATORADE FIERCE GRAPE</t>
  </si>
  <si>
    <t>GATORADE FIERCE MELON</t>
  </si>
  <si>
    <t>GATORADE FIERCE STRAWBERRY</t>
  </si>
  <si>
    <t>GATORADE FRCE GRAPE 8/20 OZ</t>
  </si>
  <si>
    <t>GATORADE FROST RIPTIDE RUSH</t>
  </si>
  <si>
    <t>GATORADE FRUIT PNCH 8/20 OZ</t>
  </si>
  <si>
    <t>GATORADE FRUIT PUNCH</t>
  </si>
  <si>
    <t>GATORADE G2 FRTPNCH 8PK/20Z</t>
  </si>
  <si>
    <t>GATORADE G2 FRUIT PUNCH</t>
  </si>
  <si>
    <t>GATORADE G2 GRAPE</t>
  </si>
  <si>
    <t>GATORADE G2 GRAPE 8PK/20OZ</t>
  </si>
  <si>
    <t>GATORADE G2 LEMON LIME</t>
  </si>
  <si>
    <t>GATORADE G2 LEMON LIME 8PK</t>
  </si>
  <si>
    <t>GATORADE G2 ORANGE</t>
  </si>
  <si>
    <t>GATORADE G2 ORANGE 8PK/20OZ</t>
  </si>
  <si>
    <t>GATORADE G2 STRAWBERRY KIWI</t>
  </si>
  <si>
    <t>GATORADE G2 STRWBRY KWI 8PK</t>
  </si>
  <si>
    <t>GATORADE GLACIER 8/20 OZ</t>
  </si>
  <si>
    <t>GATORADE GLACIER FREEZE</t>
  </si>
  <si>
    <t>GATORADE LEMON LIME 8PK/20Z</t>
  </si>
  <si>
    <t>GATORADE LIME RAIN 8PK/20OZ</t>
  </si>
  <si>
    <t>GATORADE ORANGE  8/20 OZ</t>
  </si>
  <si>
    <t>GATORADE PUNCH FRUIT/DRINK</t>
  </si>
  <si>
    <t>GATORADE RAIN BERRY</t>
  </si>
  <si>
    <t>GATORADE RAIN LIME</t>
  </si>
  <si>
    <t>GATORADE RAIN STRAWBRY/KIWI</t>
  </si>
  <si>
    <t>GATORADE RAIN TANGERINE</t>
  </si>
  <si>
    <t>GATORADE STRW KWI RAIN 8/20</t>
  </si>
  <si>
    <t>GATORADE TIGER COOL FUSION</t>
  </si>
  <si>
    <t>GATORADE TIGER QUIET STORM</t>
  </si>
  <si>
    <t>GATORADE TIGER RED DRIVE</t>
  </si>
  <si>
    <t>GATORADE TIGER TRUE FORCE</t>
  </si>
  <si>
    <t>135.2 F</t>
  </si>
  <si>
    <t>GATORADE TIGR CLFUSN 8/16.9</t>
  </si>
  <si>
    <t>GATORADE TIGR RD DRV 8/16.9</t>
  </si>
  <si>
    <t>GATORADE X FACTOR ORNG TROP</t>
  </si>
  <si>
    <t>GATORADE X-FACT FRTPUNCH BR</t>
  </si>
  <si>
    <t>HAW PUNC% ISLAND CTRS GUAVA</t>
  </si>
  <si>
    <t>HAW PUNC% MANGO PASSION FRT</t>
  </si>
  <si>
    <t>HAW PUNCH DRINK JCY ORNG FRT</t>
  </si>
  <si>
    <t>HAW PUNCH DRINK ORANGE</t>
  </si>
  <si>
    <t>HAW PUNCH FRUIT JUICY RED</t>
  </si>
  <si>
    <t>LANGERS BLUEBERRY CRANBRRY</t>
  </si>
  <si>
    <t>LANGERS CRAN RASPBRRY JC</t>
  </si>
  <si>
    <t>LANGERS CRANBERRY 100</t>
  </si>
  <si>
    <t>LANGERS CRANBERRY ACAI CKT</t>
  </si>
  <si>
    <t>LANGERS CRANBERRY JC</t>
  </si>
  <si>
    <t>LANGERS CRNBRY GRP COCTAIL</t>
  </si>
  <si>
    <t>LANGERS DIET CRNBRRY CKTL</t>
  </si>
  <si>
    <t>LANGERS DIET POMGNTE CCKTL</t>
  </si>
  <si>
    <t>LANGERS GRAPE JC</t>
  </si>
  <si>
    <t>LANGERS PMGRN CRNB 100% JC</t>
  </si>
  <si>
    <t>LANGERS POMEGRANATE CKTAIL</t>
  </si>
  <si>
    <t>LANGERS POMEGRANATE CRNBRY</t>
  </si>
  <si>
    <t>LANGERS POMEGRANTE BLUBRRY</t>
  </si>
  <si>
    <t>24.5 FZ</t>
  </si>
  <si>
    <t>LUCKYLEAF SPRKLG APPLE CIDER</t>
  </si>
  <si>
    <t>34 FZ</t>
  </si>
  <si>
    <t>MAX VELOC ENERGY DRINK 4 PK</t>
  </si>
  <si>
    <t>MAX VELOC ENERGY DRINK SINGL</t>
  </si>
  <si>
    <t>MAX VELOC ENERGY DRK SF 4PK</t>
  </si>
  <si>
    <t>MAX VELOC ENERGY DRK SF SNGL</t>
  </si>
  <si>
    <t>MAX VELOC ENRGY DRK SF UNCGD</t>
  </si>
  <si>
    <t>MAX VELOC ENRGY DRNK UNCAGED</t>
  </si>
  <si>
    <t>MOTTS APPLE JC PLS RG</t>
  </si>
  <si>
    <t>MOTTS APPLE JUICE LIGHT</t>
  </si>
  <si>
    <t>MOTTS JUICE APPLE PL NAT</t>
  </si>
  <si>
    <t>MUSSELMAN APPLE JUICE W/CAL</t>
  </si>
  <si>
    <t>MUSSELMAN PREMIUM APPLE JCE</t>
  </si>
  <si>
    <t>NORTHLAND CRANBERRY JC</t>
  </si>
  <si>
    <t>NORTHLAND CRNBRRY GRAPE JC</t>
  </si>
  <si>
    <t>NORTHLAND CRNBRRY RASPBRY JC</t>
  </si>
  <si>
    <t>OCN SPRAY 100% CRAN GRAPE JC</t>
  </si>
  <si>
    <t>OCN SPRAY 100% CRAN RASPBRRY</t>
  </si>
  <si>
    <t>OCN SPRAY 100% CRANBERRY JC</t>
  </si>
  <si>
    <t>OCN SPRAY 100% GRPFRT/WHT JC</t>
  </si>
  <si>
    <t>OCN SPRAY 100% RBY RD GRP JC</t>
  </si>
  <si>
    <t>OCN SPRAY 100%CRAN POMEGRANT</t>
  </si>
  <si>
    <t>OCN SPRAY CRAN JUICE CKTAIL</t>
  </si>
  <si>
    <t>OCN SPRAY CRAN. POMEGRANATE</t>
  </si>
  <si>
    <t>OCN SPRAY CRAN/BLUEBRY 100%</t>
  </si>
  <si>
    <t>OCN SPRAY CRANAPPLE 46OZ</t>
  </si>
  <si>
    <t>101 FZ</t>
  </si>
  <si>
    <t>OCN SPRAY CRANBERRY JUICE</t>
  </si>
  <si>
    <t>OCN SPRAY CRANBRRY/GRAPE 4PK</t>
  </si>
  <si>
    <t>OCN SPRAY CRANBRY CKTAIL 4PK</t>
  </si>
  <si>
    <t>OCN SPRAY CRANBRY GRAPE DRNK</t>
  </si>
  <si>
    <t>OCN SPRAY CRANGRAPE JUICE</t>
  </si>
  <si>
    <t>OCN SPRAY CRANRASPBERRY DRNK</t>
  </si>
  <si>
    <t>OCN SPRAY CRANRSPBRY JCE 4PK</t>
  </si>
  <si>
    <t>OCN SPRAY DIET CRAN GRAPE</t>
  </si>
  <si>
    <t>OCN SPRAY DIET CRAN-POMEGRAN</t>
  </si>
  <si>
    <t>OCN SPRAY DIET CRANBERY 4 PK</t>
  </si>
  <si>
    <t>OCN SPRAY DIET CRANBRRY SPRY</t>
  </si>
  <si>
    <t>OCN SPRAY DT CRANGRAPE 4PK</t>
  </si>
  <si>
    <t>OCN SPRAY LIGHT CRAN-POMEGRA</t>
  </si>
  <si>
    <t>OCN SPRAY LIGHT CRANBERRY</t>
  </si>
  <si>
    <t>OCN SPRAY LITE CRAN JUICE</t>
  </si>
  <si>
    <t>OCN SPRAY LT CRAN JC CKTL4PK</t>
  </si>
  <si>
    <t>OCN SPRAY RBY RED LT GRPEFRT</t>
  </si>
  <si>
    <t>OCN SPRAY RUBY POMEGRANATE D</t>
  </si>
  <si>
    <t>OCN SPRAY RUBY RD GRPF JC</t>
  </si>
  <si>
    <t>OCNSPRAY% CNBRY CKTL CALC JC</t>
  </si>
  <si>
    <t>OCNSPRAY% CRAN/CHERRY JC</t>
  </si>
  <si>
    <t>OCNSPRAY% CRANAPPLE DRINK</t>
  </si>
  <si>
    <t>OCNSPRAY% CRANGRAPE JC</t>
  </si>
  <si>
    <t>OCNSPRAY% CRANRASPBERRY DRNK</t>
  </si>
  <si>
    <t>OCNSPRAY% CRNBRY CKTL JC</t>
  </si>
  <si>
    <t>OCNSPRAY% CRNGRP LIGHT JUICE</t>
  </si>
  <si>
    <t>OCNSPRAY% CRNRSPBRY LT JUICE</t>
  </si>
  <si>
    <t>OCNSPRAY% DIET CRANBERRY</t>
  </si>
  <si>
    <t>OCNSPRAY% LT CRNBRY JCE CKTL</t>
  </si>
  <si>
    <t>OCNSPRAY% WHT CRNBRY JUICE</t>
  </si>
  <si>
    <t>OCNSPRAY% WHT CRNBRY PCH JCE</t>
  </si>
  <si>
    <t>OCNSPRAY% WHT CRNBRY/STRW JC</t>
  </si>
  <si>
    <t>OLD ORCHD 100% APPL CRNBERRY</t>
  </si>
  <si>
    <t>OLD ORCHD 100% GRAPE JUICE</t>
  </si>
  <si>
    <t>OLD ORCHD FRTSENS-ACCELERATE</t>
  </si>
  <si>
    <t>OLD ORCHD FRTSENSE-BALANCE</t>
  </si>
  <si>
    <t>OLD ORCHD FRUITSENSE-CARDIO</t>
  </si>
  <si>
    <t>OLD ORCHD FRUITSENSE-ENERGY</t>
  </si>
  <si>
    <t>OLD ORCHD HLTHY APPL CRANBRY</t>
  </si>
  <si>
    <t>OLD ORCHD HLTHYBAL APPL CKTL</t>
  </si>
  <si>
    <t>OLD ORCHD HLTHYBAL GRAP CKTL</t>
  </si>
  <si>
    <t>OLD ORCHD JUICE APPLE 100%</t>
  </si>
  <si>
    <t>RICHFOOD APPLE JUICE</t>
  </si>
  <si>
    <t>RICHFOOD APPLE JUICE PLASTI</t>
  </si>
  <si>
    <t>RICHFOOD CRAN APPLE CKTL</t>
  </si>
  <si>
    <t>RICHFOOD CRAN CHERRY CKTL</t>
  </si>
  <si>
    <t>RICHFOOD CRAN GRAPE CKTL</t>
  </si>
  <si>
    <t>RICHFOOD CRAN RASP CKTL</t>
  </si>
  <si>
    <t>RICHFOOD CRNBRY COCKTL PLST</t>
  </si>
  <si>
    <t>RICHFOOD GRAPE JUICE</t>
  </si>
  <si>
    <t>RICHFOOD JCE CRAN RASP LGHT</t>
  </si>
  <si>
    <t>RICHFOOD JUICE APPLE LIGHT</t>
  </si>
  <si>
    <t>RICHFOOD JUICE CRANBRY LGHT</t>
  </si>
  <si>
    <t>RICHFOOD JUICE GRAPE LIGHT</t>
  </si>
  <si>
    <t>RICHFOOD NAT WHT GRPFRT JCE</t>
  </si>
  <si>
    <t>RICHFOOD RUBY RED GRPFRT</t>
  </si>
  <si>
    <t>RICHFOOD WHITE GRAPE JUICE</t>
  </si>
  <si>
    <t>RIP IT$ RIP IT ENERGY FUEL</t>
  </si>
  <si>
    <t>SENECA P.E.T.100% APPL JC</t>
  </si>
  <si>
    <t>SHOP VALU CRANBERRY JCE CKTL</t>
  </si>
  <si>
    <t>SHOP VALU DRINK APPLE</t>
  </si>
  <si>
    <t>SHOP VALU DRINK FRUIT PUNCH</t>
  </si>
  <si>
    <t>64 OZ</t>
  </si>
  <si>
    <t>SHOP VALU DRINK GRAPE</t>
  </si>
  <si>
    <t>SHOP VALU DRINK ORG PINEAPLE</t>
  </si>
  <si>
    <t>SHOP VALU DRINK PAPAYA PUNCH</t>
  </si>
  <si>
    <t>SHOP VALU DRINK STRWBRY/KIWI</t>
  </si>
  <si>
    <t>54 FZ</t>
  </si>
  <si>
    <t>SSIPS 100% APPLE JCE 8PK</t>
  </si>
  <si>
    <t>67.65 F</t>
  </si>
  <si>
    <t>SSIPS CHERRY-BERRY 10PK</t>
  </si>
  <si>
    <t>67.5 FZ</t>
  </si>
  <si>
    <t>SSIPS FRUIT PUNCH 10PK</t>
  </si>
  <si>
    <t>SSIPS LEMN ICED TEA 10PK</t>
  </si>
  <si>
    <t>SSIPS ORANGE-TANGRN 10PK</t>
  </si>
  <si>
    <t>SSIPS SABOR FRT PNCH</t>
  </si>
  <si>
    <t>SSIPS SABOR MANGO 10PK</t>
  </si>
  <si>
    <t>SSIPS SABR STRW/KWI 10PK</t>
  </si>
  <si>
    <t>SUPR CHIL LEMONADE CHERRY</t>
  </si>
  <si>
    <t>SUPR CHIL LEMONADE DIET</t>
  </si>
  <si>
    <t>SUPR CHIL LEMONADE PEACH</t>
  </si>
  <si>
    <t>SUPR CHIL LEMONADE STRAWBRY</t>
  </si>
  <si>
    <t>TASTE GRT LEMON DRINK</t>
  </si>
  <si>
    <t>TASTE GRT LEMON/LIME DRINK</t>
  </si>
  <si>
    <t>TASTE GRT ORNG DRNK</t>
  </si>
  <si>
    <t>TASTE GRT STRAWBERRY DRINK</t>
  </si>
  <si>
    <t>V-8 FUSION LT PCH MANG</t>
  </si>
  <si>
    <t>V-8 FUSION LT STRW BAN</t>
  </si>
  <si>
    <t>V-8 FUSN ACAI MX BERRY</t>
  </si>
  <si>
    <t>V-8 SMOOTHIE STRW-BAN</t>
  </si>
  <si>
    <t>V-8 SMOOTHIE TROP CLDA</t>
  </si>
  <si>
    <t>V-8 V-FUSION PCH-MANGO</t>
  </si>
  <si>
    <t>V-8 V-FUSION STRW-BAN</t>
  </si>
  <si>
    <t>V-8 V-FUSION TROP-ORGE</t>
  </si>
  <si>
    <t>V-8 VFUSION LT POM BLU</t>
  </si>
  <si>
    <t>V-8 VFUSION POM BLBRRY</t>
  </si>
  <si>
    <t>V-8% DIET BRRY BLND PET</t>
  </si>
  <si>
    <t>V-8% MANGO PEACH SPLASH</t>
  </si>
  <si>
    <t>V-8% SPL DT TROP BL PET</t>
  </si>
  <si>
    <t>V-8% SPLASH BERRY BLEND</t>
  </si>
  <si>
    <t>V-8% SPLASH FRUIT MEDLY</t>
  </si>
  <si>
    <t>V-8% SPLASH STRWBRY KIW</t>
  </si>
  <si>
    <t>V-8% SPLASH TROP BLEND</t>
  </si>
  <si>
    <t>WELCH'S 100% PRPL GRP JCE</t>
  </si>
  <si>
    <t>96 OZ</t>
  </si>
  <si>
    <t>WELCH'S 100% PRPL GRP PLST</t>
  </si>
  <si>
    <t>WELCH'S JC WHT GRAPE PEACH</t>
  </si>
  <si>
    <t>WELCH'S JCE RED GRAPE 100%</t>
  </si>
  <si>
    <t>WELCH'S JUICE PURPLE GRAPE</t>
  </si>
  <si>
    <t>WELCH'S JUICE WHITE GRAPE</t>
  </si>
  <si>
    <t>WELCH'S JUICE, WHITE GRAPE</t>
  </si>
  <si>
    <t>WELCH'S PURPGRP JC W/CALCM</t>
  </si>
  <si>
    <t>25.4 FZ</t>
  </si>
  <si>
    <t>WELCH'S SPRKLG WHT GRAP JC</t>
  </si>
  <si>
    <t>60 FZ</t>
  </si>
  <si>
    <t>WELCH'S+ ORNG PINAPL 6 PACK</t>
  </si>
  <si>
    <t>WHT HOUSE APPLE JUICE</t>
  </si>
  <si>
    <t>42 FZ</t>
  </si>
  <si>
    <t>WHT HOUSE APPLE JUICE 6/7FZ</t>
  </si>
  <si>
    <t>WHT HOUSE JUICE APPLE GL PLS</t>
  </si>
  <si>
    <t>65 FZ</t>
  </si>
  <si>
    <t>YOO HOO CHOC DRINK 10/6.5</t>
  </si>
  <si>
    <t>208 FZ</t>
  </si>
  <si>
    <t>YOO HOO CHOC DRINK 32/6.5</t>
  </si>
  <si>
    <t>BIG JUICY ORANGE W/SPORT CAP</t>
  </si>
  <si>
    <t>BIG JUICY SQUEZ/SQUIRT FRUIT</t>
  </si>
  <si>
    <t>CAPRI SUN APPLE SPLASH 10 PK</t>
  </si>
  <si>
    <t>CAPRI SUN BERRY BREEZE 10 PK</t>
  </si>
  <si>
    <t>CAPRI SUN CLR PACIFC 10/6.75</t>
  </si>
  <si>
    <t>CAPRI SUN CLR SPLSH 10/6.75</t>
  </si>
  <si>
    <t>CAPRI SUN CLR STRW 10/6.75</t>
  </si>
  <si>
    <t>CAPRI SUN CLR SURFR 10/6.75</t>
  </si>
  <si>
    <t>CAPRI SUN CLR TROP P 10/6.75</t>
  </si>
  <si>
    <t>CAPRI SUN CLR WLD CH 10/6.75</t>
  </si>
  <si>
    <t>CAPRI SUN COASTL COOLER 10PK</t>
  </si>
  <si>
    <t>CAPRI SUN DRNK GRP 10/6.75</t>
  </si>
  <si>
    <t>CAPRI SUN FRT PNCH 10/6.75</t>
  </si>
  <si>
    <t>CAPRI SUN FRUIT DIVE 4-10PK</t>
  </si>
  <si>
    <t>CAPRI SUN LEMONADE 10/6.75</t>
  </si>
  <si>
    <t>CAPRI SUN ORANGE 10/6.75</t>
  </si>
  <si>
    <t>CAPRI SUN R WTRS BERRY 4/10P</t>
  </si>
  <si>
    <t>CAPRI SUN RED BERRY 10/6.75</t>
  </si>
  <si>
    <t>CAPRI SUN RTD ASPT TROPFRUIT</t>
  </si>
  <si>
    <t>CAPRI SUN RTD ROARNWTR STRAW</t>
  </si>
  <si>
    <t>CAPRI SUN RWTR GRP 10/6.75OZ</t>
  </si>
  <si>
    <t>CAPRI SUN SNRS BRY TANG MORN</t>
  </si>
  <si>
    <t>CAPRI SUN STRWBRY/KW 10/6.75</t>
  </si>
  <si>
    <t>CAPRI SUN SUNRISE ORANGE</t>
  </si>
  <si>
    <t>CAPRI SUN SUNRISE TROP MRNG</t>
  </si>
  <si>
    <t>16.92 F</t>
  </si>
  <si>
    <t>HANSEN APPLE JCE 4/4.23OZ</t>
  </si>
  <si>
    <t>HANSEN MX FRT JC 4/4.23OZ</t>
  </si>
  <si>
    <t>HANSEN WATER TROP 4/4.23</t>
  </si>
  <si>
    <t>HANSEN WTR FR PNCH 4/4.23</t>
  </si>
  <si>
    <t>HAW PUNC% BERRY BLUE TYPHOON</t>
  </si>
  <si>
    <t>HAW PUNC% BERRY LIMEADE BLND</t>
  </si>
  <si>
    <t>HAW PUNC% FRT JCY RED DRINK</t>
  </si>
  <si>
    <t>HAW PUNC% GREEN BERRY PUNCH</t>
  </si>
  <si>
    <t>HAW PUNC% LEMON BERRY SQZE</t>
  </si>
  <si>
    <t>HAW PUNC% LEMONADE</t>
  </si>
  <si>
    <t>HI-C% BLAZ BLBRY 10/6.75</t>
  </si>
  <si>
    <t>HI-C% BOP STRWBRY10/6.75</t>
  </si>
  <si>
    <t>HI-C% FRT PNCH 10/6.75</t>
  </si>
  <si>
    <t>HI-C% GRAB GRAPE 10/6.75</t>
  </si>
  <si>
    <t>HI-C% ORNG LAVAB 10/6.75</t>
  </si>
  <si>
    <t>HI-C% POP PNK LEM10/6.75</t>
  </si>
  <si>
    <t>HI-C% STRW/KIWI KRZ 10PK</t>
  </si>
  <si>
    <t>HI-C% TORRN TROP 10/6.75</t>
  </si>
  <si>
    <t>HI-C% WLD BERRY 10/6.75</t>
  </si>
  <si>
    <t>HI-C% WLD CHERRY 10-6.75</t>
  </si>
  <si>
    <t>33.84 F</t>
  </si>
  <si>
    <t>JUICY JCE APPLE FNSZ 8/4.23Z</t>
  </si>
  <si>
    <t>JUICY JCE APPLE PET</t>
  </si>
  <si>
    <t>JUICY JCE APPLE SLIM 8/6.75Z</t>
  </si>
  <si>
    <t>JUICY JCE BERRY FNSZ 8/4.23Z</t>
  </si>
  <si>
    <t>JUICY JCE BERRY SLIM 8/6.75Z</t>
  </si>
  <si>
    <t>JUICY JCE CAN APPLE</t>
  </si>
  <si>
    <t>JUICY JCE CAN BERRY</t>
  </si>
  <si>
    <t>JUICY JCE CAN CHERRY</t>
  </si>
  <si>
    <t>JUICY JCE CAN GRAPE</t>
  </si>
  <si>
    <t>JUICY JCE CAN ORANG TANGERIN</t>
  </si>
  <si>
    <t>JUICY JCE CHERRY PET</t>
  </si>
  <si>
    <t>JUICY JCE DHA APPLE</t>
  </si>
  <si>
    <t>JUICY JCE DHA GRAPE TETRA</t>
  </si>
  <si>
    <t>JUICY JCE DRINK BERRY PLSTC</t>
  </si>
  <si>
    <t>JUICY JCE GRAPE FUN 8/4.23OZ</t>
  </si>
  <si>
    <t>JUICY JCE GRAPE SLIM 8/6.75Z</t>
  </si>
  <si>
    <t>JUICY JCE HARVST SUPRISE GRP</t>
  </si>
  <si>
    <t>JUICY JCE HARVST SUPRISE TRP</t>
  </si>
  <si>
    <t>JUICY JCE IMMUNITY APPLE</t>
  </si>
  <si>
    <t>JUICY JCE IMMUNITY BERRY</t>
  </si>
  <si>
    <t>JUICY JCE JCE WHITE GRAPE</t>
  </si>
  <si>
    <t>JUICY JCE JCY JCE GRAPE MS</t>
  </si>
  <si>
    <t>JUICY JCE JJCE APPLE/GRP PET</t>
  </si>
  <si>
    <t>JUICY JCE JUICY JCE TROP PET</t>
  </si>
  <si>
    <t>JUICY JCE JUICY JUICE CHERRY</t>
  </si>
  <si>
    <t>JUICY JCE KIWI STRAWBRRY PET</t>
  </si>
  <si>
    <t>JUICY JCE KIWI STRWBERRY CAN</t>
  </si>
  <si>
    <t>JUICY JCE KIWI STW SLM8/6.75</t>
  </si>
  <si>
    <t>JUICY JCE KWI/STW FUN 8/4.23</t>
  </si>
  <si>
    <t>JUICY JCE MANGO 46OZ PET</t>
  </si>
  <si>
    <t>JUICY JCE ORG/TNG FUN 8/4.23</t>
  </si>
  <si>
    <t>JUICY JCE ORNG TNG SLM8/6.75</t>
  </si>
  <si>
    <t>JUICY JCE PET APPLE</t>
  </si>
  <si>
    <t>JUICY JCE PET BERRY</t>
  </si>
  <si>
    <t>JUICY JCE PET GRAPE</t>
  </si>
  <si>
    <t>JUICY JCE PET ORNG TANGERINE</t>
  </si>
  <si>
    <t>JUICY JCE PET PUNCH</t>
  </si>
  <si>
    <t>JUICY JCE PET STRAW BANANA</t>
  </si>
  <si>
    <t>JUICY JCE PET WATERMELON</t>
  </si>
  <si>
    <t>JUICY JCE PUNCH FNSZ 8/4.23Z</t>
  </si>
  <si>
    <t>JUICY JCE PUNCH PLASTIC</t>
  </si>
  <si>
    <t>JUICY JCE PUNCH SLIM 8/6.75Z</t>
  </si>
  <si>
    <t>JUICY JCE STRAWBERRY BANANA</t>
  </si>
  <si>
    <t>JUICY JCE STRW BAN SLM8/6.75</t>
  </si>
  <si>
    <t>270 FZ</t>
  </si>
  <si>
    <t>KOOL-AID 4 FLVR VRTY PK</t>
  </si>
  <si>
    <t>40.5 FZ</t>
  </si>
  <si>
    <t>KOOL-AID BURST CHERRY</t>
  </si>
  <si>
    <t>KOOL-AID BURST GREAT BLDINI</t>
  </si>
  <si>
    <t>KOOL-AID CHERRY WAVES 6PK</t>
  </si>
  <si>
    <t>KOOL-AID GRAPE SPLASH 6PK</t>
  </si>
  <si>
    <t>KOOL-AID GRP DRINK 6/6.75</t>
  </si>
  <si>
    <t>KOOL-AID TROP PUNCH 6/6.75</t>
  </si>
  <si>
    <t>KOOL-AID TROP RAIN 6PK</t>
  </si>
  <si>
    <t>KOOL-AID% JAMMER BLUE RASPBY</t>
  </si>
  <si>
    <t>KOOL-AID% JAMRS CHRY 10/6.75</t>
  </si>
  <si>
    <t>KOOL-AID% JMRS K/STR 10/6.75</t>
  </si>
  <si>
    <t>KOOL-AID% JMRS TRP PCH 10CAL</t>
  </si>
  <si>
    <t>KOOL-AID% ORNG JAMRS 10/6.75</t>
  </si>
  <si>
    <t>KOOL-AID% PCH GRP 10/6.75</t>
  </si>
  <si>
    <t>KOOL-AID% PCH TROP 10/6.75</t>
  </si>
  <si>
    <t>LANGERS CRANB ACAI PLUS</t>
  </si>
  <si>
    <t>LIL HUGS ASST CASE 20/8 FZ</t>
  </si>
  <si>
    <t>LIL HUGS BLUE RASPBERRY</t>
  </si>
  <si>
    <t>LIL HUGS GRAPE</t>
  </si>
  <si>
    <t>LIL HUGS LEMON LIME</t>
  </si>
  <si>
    <t>LIL HUGS ORANGE</t>
  </si>
  <si>
    <t>LIL HUGS PUNCH</t>
  </si>
  <si>
    <t>LIL HUGS TROP CASE 20/8 FZ</t>
  </si>
  <si>
    <t>MINUTE MD 100% APL JCE 10PK</t>
  </si>
  <si>
    <t>MINUTE MD 100% APL/STWB 10PK</t>
  </si>
  <si>
    <t>MINUTE MD 100%MXD BERRY 10PK</t>
  </si>
  <si>
    <t>MINUTE MD APL WHITE GRP 10PK</t>
  </si>
  <si>
    <t>MINUTE MD APPLE 10OZ 6PK PET</t>
  </si>
  <si>
    <t>MINUTE MD FRT FALL TROP10PK</t>
  </si>
  <si>
    <t>MINUTE MD FRT PNCH 10/6.75</t>
  </si>
  <si>
    <t>MINUTE MD FRT PNCH 100% 10PK</t>
  </si>
  <si>
    <t>MINUTE MD FRUIT FALL BRY10PK</t>
  </si>
  <si>
    <t>MINUTE MD GRAPE JC 10/6.75</t>
  </si>
  <si>
    <t>MINUTE MD JUST 10 FRT PUNCH</t>
  </si>
  <si>
    <t>MINUTE MD KIDS PLS100%OJ 10P</t>
  </si>
  <si>
    <t>MINUTE MD LEMONADE 10/6.75</t>
  </si>
  <si>
    <t>MINUTE MD MX BRY 10Z 6PK PET</t>
  </si>
  <si>
    <t>MINUTE MD ORANG 10OZ 6PK PET</t>
  </si>
  <si>
    <t>MINUTE MD PNK LMNDE 10/6.75</t>
  </si>
  <si>
    <t>MONDO BRY LGD 6/6.75</t>
  </si>
  <si>
    <t>MONDO CHL CHRY 6/6.75</t>
  </si>
  <si>
    <t>MONDO GRP SQZRS 6/6.75Z</t>
  </si>
  <si>
    <t>MONDO ORNG 6/6.75</t>
  </si>
  <si>
    <t>60.75 F</t>
  </si>
  <si>
    <t>MOTTS 100% AP JCE 9/6.75</t>
  </si>
  <si>
    <t>MOTTS MOTS TOTS FRT PNCH</t>
  </si>
  <si>
    <t>MOTTS MOTS TOTS WHT GRPE</t>
  </si>
  <si>
    <t>MOTTS MOTTS TOTS APPLE</t>
  </si>
  <si>
    <t>NORTHLAND CRAN POM JUICE</t>
  </si>
  <si>
    <t>OCN SPRAY 4PK CRAN-POMEGRANA</t>
  </si>
  <si>
    <t>OCN SPRAY CRANERGY CRAN 46Z</t>
  </si>
  <si>
    <t>OCN SPRAY CRNRGY CRNBRY 4/12</t>
  </si>
  <si>
    <t>OCN SPRAY CRNRGY CRNRSP 4/12</t>
  </si>
  <si>
    <t>RICHFOOD APPLE CIDER PLAST</t>
  </si>
  <si>
    <t>RICHFOOD GRAPEFRRUIT JUICE</t>
  </si>
  <si>
    <t>RICHFOOD GRPFRT JC CAN 6/6</t>
  </si>
  <si>
    <t>RICHFOOD JUIC 100% FRT P JJ</t>
  </si>
  <si>
    <t>RICHFOOD JUICE 100% CHRY JJ</t>
  </si>
  <si>
    <t>RICHFOOD JUICE 100% GRAP JJ</t>
  </si>
  <si>
    <t>RICHFOOD NAT PNK GRPFRT JUI</t>
  </si>
  <si>
    <t>RICHFOOD ORANGE JUICE CAN</t>
  </si>
  <si>
    <t>RICHFOOD UNSW OR JC 6/6 OZ</t>
  </si>
  <si>
    <t>TASTE GRT FRUIT PUNCH</t>
  </si>
  <si>
    <t>TASTE GRT GRAPE DRINK</t>
  </si>
  <si>
    <t>V-8 VFSN PASNFR TANGRN</t>
  </si>
  <si>
    <t>V-8 VFUSN GOJI RASPBRY</t>
  </si>
  <si>
    <t>WELCH'S AQUAJCE APPLE</t>
  </si>
  <si>
    <t>WELCH'S AQUAJCE FRT PUNCH</t>
  </si>
  <si>
    <t>WELCH'S AQUAJCE STBRY KIWI</t>
  </si>
  <si>
    <t>WELCHS 100% BLK CHRY GRAP</t>
  </si>
  <si>
    <t>WELCHS GRAPE JUICE 6PK</t>
  </si>
  <si>
    <t>WHT HOUSE APLE JCE W/CAL/PET</t>
  </si>
  <si>
    <t>WHT HOUSE APPLE JCE NATURAL</t>
  </si>
  <si>
    <t>WHT HOUSE JUICE APPLE PLS</t>
  </si>
  <si>
    <t>DEL MONTE APRICOT HS HALVES</t>
  </si>
  <si>
    <t>DEL MONTE FRCHL STRW SNWSTRM</t>
  </si>
  <si>
    <t>DEL MONTE FRTCHL GRP BRYBLZD</t>
  </si>
  <si>
    <t>DEL MONTE LT MND ORG/ORG GEL</t>
  </si>
  <si>
    <t>DEL MONTE MAND ORNG BR 4/4</t>
  </si>
  <si>
    <t>DEL MONTE MANDARIN ORANGES</t>
  </si>
  <si>
    <t>DEL MONTE MANDARIN ORANGE NS</t>
  </si>
  <si>
    <t>29 OZ</t>
  </si>
  <si>
    <t>8.25 OZ</t>
  </si>
  <si>
    <t>DEL MONTE MDRN ORG FT CP 4/4</t>
  </si>
  <si>
    <t>DEL MONTE MNDRN ORNG NSA 4PK</t>
  </si>
  <si>
    <t>DEL MONTE PCH+STR/BN 4/4.5OZ</t>
  </si>
  <si>
    <t>DEL MONTE RED GRAPEFRUIT</t>
  </si>
  <si>
    <t>DEL MONTE SF RED GRAPEFRUIT</t>
  </si>
  <si>
    <t>DOLE APL CRML PRFT 4PK</t>
  </si>
  <si>
    <t>DOLE MAND CREME PARFAIT</t>
  </si>
  <si>
    <t>DOLE MANDARIN ORANGE</t>
  </si>
  <si>
    <t>DOLE MANDARIN ORANGES</t>
  </si>
  <si>
    <t>DOLE MND ORNG BWL 4/4OZ</t>
  </si>
  <si>
    <t>DOLE MND/ORG GL 4/4.3Z</t>
  </si>
  <si>
    <t>24.5 OZ</t>
  </si>
  <si>
    <t>DOLE PLASTIC JARS MAND</t>
  </si>
  <si>
    <t>DOLE PNAPL FRT PRFT 4PK</t>
  </si>
  <si>
    <t>DOLE PNAPL SF STRBY GEL</t>
  </si>
  <si>
    <t>GLORY FRIED APPLES</t>
  </si>
  <si>
    <t>LUCK'S FRIED APPLE</t>
  </si>
  <si>
    <t>LUCK'S FRIED APPLES CINNA</t>
  </si>
  <si>
    <t>OREGON BLACKBERRIES</t>
  </si>
  <si>
    <t>OREGON BLUEBERRIES</t>
  </si>
  <si>
    <t>POLAR$ MAND ORANGE SEG</t>
  </si>
  <si>
    <t>RICHFOOD APRICOT HALVES</t>
  </si>
  <si>
    <t>RICHFOOD GRAPEFRUIT SECTION</t>
  </si>
  <si>
    <t>RICHFOOD MANDORNG FRTCP 4PK</t>
  </si>
  <si>
    <t>RICHFOOD ORANGE MANDARIN</t>
  </si>
  <si>
    <t>RICHFOOD ORNG MANDRN LTSYRP</t>
  </si>
  <si>
    <t>SUNSWEET COOKED PRUNES</t>
  </si>
  <si>
    <t>WHT HOUSE ESCALLOPED APPLES</t>
  </si>
  <si>
    <t>WHT HOUSE RED APPLE RINGS</t>
  </si>
  <si>
    <t>108 OZ</t>
  </si>
  <si>
    <t>LCKY LEAF APPLE SAUSCE</t>
  </si>
  <si>
    <t>104 OZ</t>
  </si>
  <si>
    <t>LUCKY LEA SLICED APPLES</t>
  </si>
  <si>
    <t>MOTTS APPLESAUCE</t>
  </si>
  <si>
    <t>MOTTS APPLESAUCE CINNAMN</t>
  </si>
  <si>
    <t>MOTTS APPLESAUCE NATURAL</t>
  </si>
  <si>
    <t>46 OZ</t>
  </si>
  <si>
    <t>MOTTS APPLESAUCE ORIGINL</t>
  </si>
  <si>
    <t>MOTTS APSCE CINNAMN6/4</t>
  </si>
  <si>
    <t>MOTTS APSCE REGULAR 6/4</t>
  </si>
  <si>
    <t>MOTTS APSCE STRW FRS 6/4</t>
  </si>
  <si>
    <t>MOTTS CRAN RASP SSAA 4PK</t>
  </si>
  <si>
    <t>MOTTS HARVAPPLSASPLS4PK</t>
  </si>
  <si>
    <t>23.4 OZ</t>
  </si>
  <si>
    <t>MOTTS HH GRNNY SMITH 6PK</t>
  </si>
  <si>
    <t>MOTTS HH STR APSCE 6/3.9</t>
  </si>
  <si>
    <t>MOTTS MNGO/PCH FRTSTN 6P</t>
  </si>
  <si>
    <t>MOTTS NATRL APPLESCE 6PK</t>
  </si>
  <si>
    <t>MOTTS ORGANIC APPLESAUCE</t>
  </si>
  <si>
    <t>MOTTS PLUS SSAS CRANRASP</t>
  </si>
  <si>
    <t>MOTTS PLUS SSAS HA</t>
  </si>
  <si>
    <t>MOTTS PLUS SSAS POME</t>
  </si>
  <si>
    <t>MOTTS POMEGRNTSSASPLS4PK</t>
  </si>
  <si>
    <t>MOTTS UNSWT ORGNC APLSCE</t>
  </si>
  <si>
    <t>MUSSELMAN APL SCE W/SPLENDA</t>
  </si>
  <si>
    <t>MUSSELMAN APLSC W/SPLNDA 6/4</t>
  </si>
  <si>
    <t>MUSSELMAN APPLESAUCE</t>
  </si>
  <si>
    <t>MUSSELMAN APPLESAUCE NATURL</t>
  </si>
  <si>
    <t>MUSSELMAN APPLESCE W/SPLENDA</t>
  </si>
  <si>
    <t>MUSSELMAN CHUNKY APPLESAUCE</t>
  </si>
  <si>
    <t>MUSSELMAN CINNAMN APLSCE 6PK</t>
  </si>
  <si>
    <t>MUSSELMAN CINNAMN APPLESAUCE</t>
  </si>
  <si>
    <t>MUSSELMAN DELUX CINN APPLSCE</t>
  </si>
  <si>
    <t>MUSSELMAN HLT PK BLUE POM4PK</t>
  </si>
  <si>
    <t>MUSSELMAN HLTPK KYLIM/CP 4PK</t>
  </si>
  <si>
    <t>MUSSELMAN HLTPKS RSPBRRY 4PK</t>
  </si>
  <si>
    <t>MUSSELMAN LT NSA CINN APLSCE</t>
  </si>
  <si>
    <t>MUSSELMAN MX BRY FRTNAPL 4PK</t>
  </si>
  <si>
    <t>MUSSELMAN NAT APLSCE 6PK</t>
  </si>
  <si>
    <t>MUSSELMAN NATURAL APPLESAUCE</t>
  </si>
  <si>
    <t>MUSSELMAN ORANGE MANGO 4PK</t>
  </si>
  <si>
    <t>MUSSELMAN REG APLESC 6PK</t>
  </si>
  <si>
    <t>MUSSELMAN TOT FRT PCH JS 4PK</t>
  </si>
  <si>
    <t>MUSSELMAN TOTFRT APPL JS 4PK</t>
  </si>
  <si>
    <t>MUSSELMAN TOTFRT STRWBRY 4PK</t>
  </si>
  <si>
    <t>MUSSLEMAN APPLESAUCE REGULAR</t>
  </si>
  <si>
    <t>RICHFOOD APLSCE CINN 6/4 Z</t>
  </si>
  <si>
    <t>RICHFOOD APLSCE NATRL 6/4 Z</t>
  </si>
  <si>
    <t>RICHFOOD APLSCE REG 6/4 OZ</t>
  </si>
  <si>
    <t>RICHFOOD APPLE SAUCE</t>
  </si>
  <si>
    <t>RICHFOOD APPLE SCE UNSWT GL</t>
  </si>
  <si>
    <t>50 OZ</t>
  </si>
  <si>
    <t>RICHFOOD APPLE SCE UNSWT</t>
  </si>
  <si>
    <t>RICHFOOD APPLESAUCE</t>
  </si>
  <si>
    <t>RICHFOOD APPLESAUCE CINNAMN</t>
  </si>
  <si>
    <t>RICHFOOD APPLESAUCE CUP STR</t>
  </si>
  <si>
    <t>RICHFOOD CHUNKY APPLE SAUCE</t>
  </si>
  <si>
    <t>RICHFOOD CINN APPLESAUCE</t>
  </si>
  <si>
    <t>SHOP VALU APPLE SAUCE</t>
  </si>
  <si>
    <t>WHT HOUSE APPLE SAUCE</t>
  </si>
  <si>
    <t>WHT HOUSE APPLE SAUCE 12/6PK</t>
  </si>
  <si>
    <t>WHT HOUSE APPLE SAUCE CHNKY</t>
  </si>
  <si>
    <t>WHT HOUSE APPLE SAUCE CINN</t>
  </si>
  <si>
    <t>WHT HOUSE APPLE SAUCE GLASS</t>
  </si>
  <si>
    <t>WHT HOUSE APPLE SAUCE NAT</t>
  </si>
  <si>
    <t>WHT HOUSE APPLESAUCE</t>
  </si>
  <si>
    <t>WHT HOUSE APPLESAUCE CHUNKY</t>
  </si>
  <si>
    <t>WHT HOUSE APPLESAUCE CINNAMN</t>
  </si>
  <si>
    <t>WHT HOUSE CHUNKY APPLE SAUCE</t>
  </si>
  <si>
    <t>WHT HOUSE CINNAMON APPLE SCE</t>
  </si>
  <si>
    <t>WHT HOUSE GOLDEN DELICIOUS</t>
  </si>
  <si>
    <t>WHT HOUSE NAT APLSCE PLUS</t>
  </si>
  <si>
    <t>WHT HOUSE NAT PLS APPLE SCE</t>
  </si>
  <si>
    <t>WHT HOUSE POMGRNT APPLESAUCE</t>
  </si>
  <si>
    <t>WHT HOUSE SLICED APPLES</t>
  </si>
  <si>
    <t>WHT HOUSE STRAWBERRY  6PK</t>
  </si>
  <si>
    <t>WHT HOUSE TROPICL APPLESAUCE</t>
  </si>
  <si>
    <t>WHT HOUSE VARIETY APPLE SCE</t>
  </si>
  <si>
    <t>OREGON PTD DRK SWT CHERRY</t>
  </si>
  <si>
    <t>OREGON RED TART CHERRIES</t>
  </si>
  <si>
    <t>RICHFOOD MARA CHERRIES</t>
  </si>
  <si>
    <t>RICHFOOD MARA CHERRIES W/ST</t>
  </si>
  <si>
    <t>RICHFOOD MARA CHERRIES/STEM</t>
  </si>
  <si>
    <t>RICHFOOD RED MARACHINO CHER</t>
  </si>
  <si>
    <t>OCN SPRAY CRAN SAUCE JELLIED</t>
  </si>
  <si>
    <t>OCN SPRAY CRANBERRIES JELLY</t>
  </si>
  <si>
    <t>OCN SPRAY CRANBERRY WHL SAUC</t>
  </si>
  <si>
    <t>RICHFOOD CRANBERRIES, WHOLE</t>
  </si>
  <si>
    <t>RICHFOOD CRANBRY,SAUCE JELL</t>
  </si>
  <si>
    <t>DEL MONTE CHRY MX FRT LT SRP</t>
  </si>
  <si>
    <t>DEL MONTE CITRUS FRUIT SALAD</t>
  </si>
  <si>
    <t>DEL MONTE FRT COMBO CUP 4/4</t>
  </si>
  <si>
    <t>DEL MONTE FRT LTE MIXD CHUNK</t>
  </si>
  <si>
    <t>DEL MONTE FRTCHLR ARTC STRWB</t>
  </si>
  <si>
    <t>DEL MONTE FRTCHLR POLR RSPBY</t>
  </si>
  <si>
    <t>106 OZ</t>
  </si>
  <si>
    <t>DEL MONTE FRUIT COCKTAIL</t>
  </si>
  <si>
    <t>DEL MONTE FRUIT COCKTAIL HS</t>
  </si>
  <si>
    <t>DEL MONTE FRUIT COCKTAIL LS</t>
  </si>
  <si>
    <t>DEL MONTE FRUIT COCKTAIL KID</t>
  </si>
  <si>
    <t>DEL MONTE FRUIT COCKTAIL/LIT</t>
  </si>
  <si>
    <t>DEL MONTE FRUIT MIX/LT 4/4</t>
  </si>
  <si>
    <t>DEL MONTE FRUIT MIX/NATURAL</t>
  </si>
  <si>
    <t>DEL MONTE FRUIT MIXED 4/4</t>
  </si>
  <si>
    <t>DEL MONTE FRUIT MIXED CHUNK</t>
  </si>
  <si>
    <t>DEL MONTE FRUIT SALAD TROPI</t>
  </si>
  <si>
    <t>DEL MONTE MIXED FRUIT</t>
  </si>
  <si>
    <t>DEL MONTE MXD FRT VRY CHERY</t>
  </si>
  <si>
    <t>DEL MONTE MXED FRT CHRRY GEL</t>
  </si>
  <si>
    <t>DEL MONTE NO SUGAR FRT COCKT</t>
  </si>
  <si>
    <t>DEL MONTE SUNFRESH CITRUS SL</t>
  </si>
  <si>
    <t>DEL MONTE TROP FRT SALAD/JUC</t>
  </si>
  <si>
    <t>DEL MONTE TROP FRT SLD LSYRP</t>
  </si>
  <si>
    <t>DEL MONTE TROPICAL FRUIT</t>
  </si>
  <si>
    <t>DEL MONTE WLD BRY FT CP 4/4</t>
  </si>
  <si>
    <t>DOLE FB CHERRY MIX FRT</t>
  </si>
  <si>
    <t>DOLE FB MXD FRT BLK CHR</t>
  </si>
  <si>
    <t>DOLE FRT BWL MIXED</t>
  </si>
  <si>
    <t>DOLE FRUIT TROPICL SALD</t>
  </si>
  <si>
    <t>24.50 O</t>
  </si>
  <si>
    <t>DOLE MIXED FRT PLSTIC J</t>
  </si>
  <si>
    <t>DOLE MX FRT PEACH GEL B</t>
  </si>
  <si>
    <t>DOLE MXFRT LT SYR 4/4OZ</t>
  </si>
  <si>
    <t>DOLE TROPICAL FRUIT</t>
  </si>
  <si>
    <t>DOLE TROPL FRT BWL 4/4Z</t>
  </si>
  <si>
    <t>POLAR$ CHK FRUIT COCKTAIL</t>
  </si>
  <si>
    <t>POLAR$ MIXED FRUITW/CHERR</t>
  </si>
  <si>
    <t>RICHFOOD FRUIT COCKTAIL</t>
  </si>
  <si>
    <t>RICHFOOD FRUIT COCKTAIL HS</t>
  </si>
  <si>
    <t>RICHFOOD FRUIT COCKTAIL LIT</t>
  </si>
  <si>
    <t>RICHFOOD FRUIT CUP MIXD 4PK</t>
  </si>
  <si>
    <t>RICHFOOD FRUIT CUP TROP 4PK</t>
  </si>
  <si>
    <t>SHOP VALU MIX FRUIT LT SYRUP</t>
  </si>
  <si>
    <t>ARGO$ PEACHES SLICED YC</t>
  </si>
  <si>
    <t>DEL MONTE BAN BRY PCH FT 4/4</t>
  </si>
  <si>
    <t>DEL MONTE FRT CHLLRS PCH 4PK</t>
  </si>
  <si>
    <t>DEL MONTE FRT CP PCH NAT 4PK</t>
  </si>
  <si>
    <t>DEL MONTE LT SLICED PEACHES</t>
  </si>
  <si>
    <t>7.75 OZ</t>
  </si>
  <si>
    <t>DEL MONTE NO SUGAR PEACH CHN</t>
  </si>
  <si>
    <t>DEL MONTE NO SUGAR SLC PEACH</t>
  </si>
  <si>
    <t>DEL MONTE NSA PLST YC PCH 4P</t>
  </si>
  <si>
    <t>DEL MONTE PCH DICED/LT4/4</t>
  </si>
  <si>
    <t>DEL MONTE PCH FRT CUP 4/4</t>
  </si>
  <si>
    <t>DEL MONTE PEACH HALVES LT Y</t>
  </si>
  <si>
    <t>DEL MONTE PEACH HEALTY KIDS</t>
  </si>
  <si>
    <t>DEL MONTE PEACH N PCH 4/4.5</t>
  </si>
  <si>
    <t>DEL MONTE PEACH SLI LT FREE</t>
  </si>
  <si>
    <t>DEL MONTE PEACH SLIC RASPBRY</t>
  </si>
  <si>
    <t>DEL MONTE PEACH SPICED SLCD</t>
  </si>
  <si>
    <t>DEL MONTE PEACH+RASPBRRY GEL</t>
  </si>
  <si>
    <t>DEL MONTE PEACHES DICED 4/4</t>
  </si>
  <si>
    <t>DEL MONTE PEACHES HALVES</t>
  </si>
  <si>
    <t>DEL MONTE PEACHES HALVES YC</t>
  </si>
  <si>
    <t>DEL MONTE PEACHES HS SLCD FR</t>
  </si>
  <si>
    <t>DEL MONTE PEACHES SLCD LITE</t>
  </si>
  <si>
    <t>DEL MONTE PEACHES SLICED</t>
  </si>
  <si>
    <t>DEL MONTE PEACHES YC LT SLC</t>
  </si>
  <si>
    <t>DEL MONTE PEACHES YC SLICED</t>
  </si>
  <si>
    <t>DEL MONTE RSB FLV PCH LT SYR</t>
  </si>
  <si>
    <t>DEL MONTE SLICED PEACHES</t>
  </si>
  <si>
    <t>DEL MONTE SLICED PEACHES HS</t>
  </si>
  <si>
    <t>DOLE DCD PCHS LTSYR BWL</t>
  </si>
  <si>
    <t>DOLE PCHS/STRWBRY GEL</t>
  </si>
  <si>
    <t>DOLE PEACH PARFAIT 4PK</t>
  </si>
  <si>
    <t>DOLE SLICED PEACHES</t>
  </si>
  <si>
    <t>POLAR DICED YELLOW PEACH</t>
  </si>
  <si>
    <t>RICHFOOD FRUIT CUP PCH 4PK</t>
  </si>
  <si>
    <t>RICHFOOD PEACH CLING HALVES</t>
  </si>
  <si>
    <t>RICHFOOD PEACH CLING SLICES</t>
  </si>
  <si>
    <t>RICHFOOD PEACH HALVES LITE</t>
  </si>
  <si>
    <t>RICHFOOD PEACH SLICES LITE</t>
  </si>
  <si>
    <t>RICHFOOD YC PEACH HALVES</t>
  </si>
  <si>
    <t>RICHFOOD YC PEACH SLICES</t>
  </si>
  <si>
    <t>RICHFOOD YC SLCD PEACHES</t>
  </si>
  <si>
    <t>SHOP VALU PEACHES IRREGULAR</t>
  </si>
  <si>
    <t>DEL MONTE NO SUGAR PEAR CHNK</t>
  </si>
  <si>
    <t>DEL MONTE NO SUGAR SLC PEARS</t>
  </si>
  <si>
    <t>DEL MONTE PEAR FRT CUPS 4PK</t>
  </si>
  <si>
    <t>DEL MONTE PEAR HALVES</t>
  </si>
  <si>
    <t>DEL MONTE PEAR HALVES CINN</t>
  </si>
  <si>
    <t>DEL MONTE PEAR HALVES LITE</t>
  </si>
  <si>
    <t>DEL MONTE PEARS DCD/LT 4/4</t>
  </si>
  <si>
    <t>DEL MONTE PEARS HALVES</t>
  </si>
  <si>
    <t>DEL MONTE PEARS HALVES LITE</t>
  </si>
  <si>
    <t>DEL MONTE PEARS HS SLICED</t>
  </si>
  <si>
    <t>DEL MONTE PEARS SLICED</t>
  </si>
  <si>
    <t>DEL MONTE PEARS, HALVES/LITE</t>
  </si>
  <si>
    <t>DOLE DCD PEAR BWL 4/4OZ</t>
  </si>
  <si>
    <t>LIBBY PEAR HLVS 100%PURE</t>
  </si>
  <si>
    <t>POLAR$ DICED PEARS</t>
  </si>
  <si>
    <t>RICHFOOD PEAR HALVES</t>
  </si>
  <si>
    <t>RICHFOOD PEAR HALVES H S</t>
  </si>
  <si>
    <t>RICHFOOD PEAR HALVES IN SYR</t>
  </si>
  <si>
    <t>RICHFOOD PEAR HALVES/LITE</t>
  </si>
  <si>
    <t>SHOP VALU PEARS IRREGULAR LS</t>
  </si>
  <si>
    <t>LCKY KEAF BLUEBERRY PIE FILL</t>
  </si>
  <si>
    <t>LCKY LEAF FILLING LEMON PIE</t>
  </si>
  <si>
    <t>LCKY LEAF FILLING LTE CHERRY</t>
  </si>
  <si>
    <t>LCKY LEAF FILLING PEACH PIE</t>
  </si>
  <si>
    <t>LCKY LEAF FILLING PRM CHERRY</t>
  </si>
  <si>
    <t>LCKY LEAF FILLING STRAWBERRY</t>
  </si>
  <si>
    <t>LCKY LEAF FILLING TART CHRRY</t>
  </si>
  <si>
    <t>LIBBY PUMPKIN</t>
  </si>
  <si>
    <t>LIBBY PUMPKIN PIE MIX</t>
  </si>
  <si>
    <t>LIBBY PUMPKIN SLD PACK</t>
  </si>
  <si>
    <t>LUCKYLEAF FILLING APPLE PIE</t>
  </si>
  <si>
    <t>RICHFOOD CHERRY PIE FILLING</t>
  </si>
  <si>
    <t>RICHFOOD PIE FILLING APPLE</t>
  </si>
  <si>
    <t>RICHFOOD PIE FILLING BLUBRY</t>
  </si>
  <si>
    <t>DEL MONTE PINEAPL,CHNK W/JCE</t>
  </si>
  <si>
    <t>DEL MONTE PINEAPL,CRUSH W/JC</t>
  </si>
  <si>
    <t>DEL MONTE PINEAPL,SLICED JCE</t>
  </si>
  <si>
    <t>DEL MONTE PINEAPL,TIDBIT JCE</t>
  </si>
  <si>
    <t>DEL MONTE PINEAPPLE CHUNK N</t>
  </si>
  <si>
    <t>DEL MONTE PINEAPPLE CRUSH N</t>
  </si>
  <si>
    <t>DEL MONTE PINEAPPLE CRUSH S</t>
  </si>
  <si>
    <t>DEL MONTE PINEAPPLE WEDGES</t>
  </si>
  <si>
    <t>DEL MONTE PNAPLE FRT CP 4/4</t>
  </si>
  <si>
    <t>DOLE CRSH PINEAPL JCEPK</t>
  </si>
  <si>
    <t>DOLE PINEAPL CHNK W/JCE</t>
  </si>
  <si>
    <t>DOLE PINEAPPL CHNK SYRP</t>
  </si>
  <si>
    <t>DOLE PINEAPPLE CHUNK</t>
  </si>
  <si>
    <t>DOLE PINEAPPLE CHUNKS</t>
  </si>
  <si>
    <t>DOLE PINEAPPLE CRUSHED</t>
  </si>
  <si>
    <t>DOLE PINEAPPLE SLICED</t>
  </si>
  <si>
    <t>DOLE PNAPL/LM GL 4/4.3Z</t>
  </si>
  <si>
    <t>DOLE PNPPLE TDBTS 4/4OZ</t>
  </si>
  <si>
    <t>POLAR$ PINEAPPLE TIDBITS</t>
  </si>
  <si>
    <t>RICHFOOD PINEAPL CRUSH NAT</t>
  </si>
  <si>
    <t>RICHFOOD PINEAPPLE CHK NATL</t>
  </si>
  <si>
    <t>RICHFOOD PINEAPPLE SLICED</t>
  </si>
  <si>
    <t>DOLE DATES CHOPPED</t>
  </si>
  <si>
    <t>DOLE DATES PITTED</t>
  </si>
  <si>
    <t>DOLE SEEDLESS RAISIN BG</t>
  </si>
  <si>
    <t>FRUITABU SMOOSHEDAPPLE</t>
  </si>
  <si>
    <t>FRUITABU SMOOSHEDGRAPE</t>
  </si>
  <si>
    <t>FRUITABU SMOOSHEDSTRAWBERRY</t>
  </si>
  <si>
    <t>OCN SPRAY CHERRY CRAISINS</t>
  </si>
  <si>
    <t>OCN SPRAY CRAISINS</t>
  </si>
  <si>
    <t>OCN SPRAY CRAISINS       PKG</t>
  </si>
  <si>
    <t>OCN SPRAY CRAISINS 100CAL PK</t>
  </si>
  <si>
    <t>OCN SPRAY CRAN/CHOC TRAIL MX</t>
  </si>
  <si>
    <t>OCN SPRAY CRAN/FRT/NT TRL MX</t>
  </si>
  <si>
    <t>RICHFOOD PRUNE PITTED BOX</t>
  </si>
  <si>
    <t>RICHFOOD RAISINS 6 PACK</t>
  </si>
  <si>
    <t>RICHFOOD RAISINS CANISTER</t>
  </si>
  <si>
    <t>RICHFOOD RAISINS SEEDLESS</t>
  </si>
  <si>
    <t>SUN MAID APPLES Z-BAG</t>
  </si>
  <si>
    <t>SUN MAID BAK RAISIN BAG</t>
  </si>
  <si>
    <t>SUN MAID CALIF APRICOT</t>
  </si>
  <si>
    <t>SUN MAID CALIMYRNA FIGS</t>
  </si>
  <si>
    <t>SUN MAID CHOPPED DATES ZBAG</t>
  </si>
  <si>
    <t>SUN MAID CRANBERRIES</t>
  </si>
  <si>
    <t>SUN MAID CRANBERRY &amp; RAISIN</t>
  </si>
  <si>
    <t>SUN MAID CURRANTS</t>
  </si>
  <si>
    <t>SUN MAID FRUIT BITS</t>
  </si>
  <si>
    <t>SUN MAID GOLDENS &amp; CHERRIES</t>
  </si>
  <si>
    <t>SUN MAID JUMBO RAISINS MIXD</t>
  </si>
  <si>
    <t>SUN MAID MDTRRNEAN APRICOTS</t>
  </si>
  <si>
    <t>SUN MAID MEDITRN APRICO</t>
  </si>
  <si>
    <t>SUN MAID MINI RAISINS .5OZ</t>
  </si>
  <si>
    <t>SUN MAID MIXED FRUIT</t>
  </si>
  <si>
    <t>SUN MAID PEACHES</t>
  </si>
  <si>
    <t>SUN MAID PINEAPPLES Z BAG</t>
  </si>
  <si>
    <t>SUN MAID PITTD LARGE PRUNES</t>
  </si>
  <si>
    <t>9.12 OZ</t>
  </si>
  <si>
    <t>SUN MAID RAISINS 6/1.52 OZ</t>
  </si>
  <si>
    <t>SUN MAID RAISINS GOLDEN</t>
  </si>
  <si>
    <t>SUN MAID RAISINS POUCH</t>
  </si>
  <si>
    <t>SUN MAID RAISINS SDLSS/CN</t>
  </si>
  <si>
    <t>SUN MAID RAISINS SEEDLESS</t>
  </si>
  <si>
    <t>SUN MAID SM VAN YOGURT CRAN</t>
  </si>
  <si>
    <t>SUN MAID TROPICAL MEDLEY</t>
  </si>
  <si>
    <t>SUN MAID VAN YGRT RAISI</t>
  </si>
  <si>
    <t>SUN MAID VAN YGRT RAISN 6PK</t>
  </si>
  <si>
    <t>SUNMAID MISSION FIGS</t>
  </si>
  <si>
    <t>SUNMAID TART CHERRIES ZBAG</t>
  </si>
  <si>
    <t>SUNSWEET BT SZ GUSET BAG</t>
  </si>
  <si>
    <t>SUNSWEET DATES PTD CANISTER</t>
  </si>
  <si>
    <t>SUNSWEET DRIED PLUMS BITESZ</t>
  </si>
  <si>
    <t>SUNSWEET DRIED PLUMS CNSTR</t>
  </si>
  <si>
    <t>SUNSWEET ONES PITDRIED PLUM</t>
  </si>
  <si>
    <t>SUNSWEET ORANGE ESSENCE</t>
  </si>
  <si>
    <t>SUNSWEET P/S PCH CH/CVD PRU</t>
  </si>
  <si>
    <t>SUNSWEET PITTED PLUMS CAN</t>
  </si>
  <si>
    <t>WELCHS BERRY MEDLEY</t>
  </si>
  <si>
    <t>WELCHS CHERRIES</t>
  </si>
  <si>
    <t>WELCHS MIXED FRUIT DRIED</t>
  </si>
  <si>
    <t>DEL MONTE ASPARAGUS SPR CUT</t>
  </si>
  <si>
    <t>DEL MONTE ASPARAGUS SPR TEN</t>
  </si>
  <si>
    <t>GRN GIANT ASAPARAGUS SPEARS</t>
  </si>
  <si>
    <t>GRN GIANT ASPARAGUS SPEARS</t>
  </si>
  <si>
    <t>RICHFOOD ASPARAGUS</t>
  </si>
  <si>
    <t>RICHFOOD WHL ASPARAGUS SPEA</t>
  </si>
  <si>
    <t>B &amp; M BAKED BEANS OVEN</t>
  </si>
  <si>
    <t>B &amp; M BEANS OVEN BAKED</t>
  </si>
  <si>
    <t>BUSH BAKED BEANS</t>
  </si>
  <si>
    <t>117 OZ</t>
  </si>
  <si>
    <t>BUSH BAKED BEANS #10</t>
  </si>
  <si>
    <t>55 OZ</t>
  </si>
  <si>
    <t>BUSH BAKED BEANS HMSTYL</t>
  </si>
  <si>
    <t>BUSH BEANS BAKED BACON</t>
  </si>
  <si>
    <t>BUSH BEANS BAKED BOSTON</t>
  </si>
  <si>
    <t>BUSH BEANS BAKED MP/BAC</t>
  </si>
  <si>
    <t>BUSH BEANS BAKED MWAVE</t>
  </si>
  <si>
    <t>BUSH BEANS BAKED ONION</t>
  </si>
  <si>
    <t>BUSH BEANS BAKED/HOMSTY</t>
  </si>
  <si>
    <t>BUSH BEANS, DLX VEGETRN</t>
  </si>
  <si>
    <t>BUSH BKD BEANS BOLD&amp;SPC</t>
  </si>
  <si>
    <t>BUSH BOURBON &amp; BRN SUGR</t>
  </si>
  <si>
    <t>BUSH CNTRY STYL BKED BN</t>
  </si>
  <si>
    <t>BUSH COUNTRY STYLE BAKE</t>
  </si>
  <si>
    <t>BUSH HOMESTYLE BAKED</t>
  </si>
  <si>
    <t>BUSH HONEY BAKED BEANS</t>
  </si>
  <si>
    <t>BUSH MAPLE CURED BACON</t>
  </si>
  <si>
    <t>BUSH ONION BAKED BEANS</t>
  </si>
  <si>
    <t>BUSH ORIGINAL BAKED</t>
  </si>
  <si>
    <t>BUSH SMOKEHOUSE TRAD</t>
  </si>
  <si>
    <t>BUSH SOUTHERN PIT BBQ</t>
  </si>
  <si>
    <t>BUSH STEAKHOUSE RECEPIE</t>
  </si>
  <si>
    <t>BUSH VEGETARIAN BAKED</t>
  </si>
  <si>
    <t>CAMPBELLS PORK &amp; BEANS</t>
  </si>
  <si>
    <t>15.75 O</t>
  </si>
  <si>
    <t>CAMPBELLS PORK &amp; BEANS*</t>
  </si>
  <si>
    <t>53.2 OZ</t>
  </si>
  <si>
    <t>CAMPBELLS PORK N BEANS</t>
  </si>
  <si>
    <t>GIBBS PORK N BEANS</t>
  </si>
  <si>
    <t>41 OZ</t>
  </si>
  <si>
    <t>HANOVER BEANS BAKED/BACON</t>
  </si>
  <si>
    <t>27 OZ</t>
  </si>
  <si>
    <t>HANOVER BK BEAN BR SUG/BAC</t>
  </si>
  <si>
    <t>114 OZ</t>
  </si>
  <si>
    <t>HANOVER PORK &amp; BEANS</t>
  </si>
  <si>
    <t>HEINZ VEGETARIAN BEANS</t>
  </si>
  <si>
    <t>LUCK'S BEANS &amp; PORK W/PIN</t>
  </si>
  <si>
    <t>LUCKS BEANS GR NORTHERN</t>
  </si>
  <si>
    <t>LUCKS BEANS MIXED PNT/GN</t>
  </si>
  <si>
    <t>MH HPN JN HOPPIN' JOHN'S</t>
  </si>
  <si>
    <t>PHILLIPS BEANS &amp; FRANKS</t>
  </si>
  <si>
    <t>PHILLIPS PORK &amp; BEANS</t>
  </si>
  <si>
    <t>PHILLIPS PORK &amp; BEANS EZO</t>
  </si>
  <si>
    <t>RICHFOOD BEANS BAKED</t>
  </si>
  <si>
    <t>RICHFOOD PORK &amp; BEANS</t>
  </si>
  <si>
    <t>RICHFOOD PORK AND BEANS</t>
  </si>
  <si>
    <t>VAN CAMP BAKED BNS OF ORGNL</t>
  </si>
  <si>
    <t>VAN CAMP BEANIE WEENIE ORIG</t>
  </si>
  <si>
    <t>VAN CAMP BKD BN SW HKY/BCN</t>
  </si>
  <si>
    <t>VAN CAMP PORK &amp; BEANS</t>
  </si>
  <si>
    <t>110 OZ</t>
  </si>
  <si>
    <t>:HANOVER 10 BLACK BEANS</t>
  </si>
  <si>
    <t>BUSH BAKED BEANS ORIGNL</t>
  </si>
  <si>
    <t>BUSH BLACK BEANS</t>
  </si>
  <si>
    <t>BUSH BLACK BEANS SEASND</t>
  </si>
  <si>
    <t>BUSH CHILI BEANS PINTO</t>
  </si>
  <si>
    <t>BUSH CHILI MAC TRADITNL</t>
  </si>
  <si>
    <t>BUSH DRK RD KIDNEY BEAN</t>
  </si>
  <si>
    <t>BUSH GARBANZO BEANS</t>
  </si>
  <si>
    <t>15.8 OZ</t>
  </si>
  <si>
    <t>BUSH GREAT NRTHRN BEANS</t>
  </si>
  <si>
    <t>BUSH LT RED KIDNEY BEAN</t>
  </si>
  <si>
    <t>BUSH NAVY BEANS</t>
  </si>
  <si>
    <t>BUSH PINTO BEANS</t>
  </si>
  <si>
    <t>BUSH PINTO CHILI BEANS</t>
  </si>
  <si>
    <t>BUSH SEASND KIDNEY BEAN</t>
  </si>
  <si>
    <t>FURMANO CHICK PEAS</t>
  </si>
  <si>
    <t>GLORY CROCK POT BEANS</t>
  </si>
  <si>
    <t>GLORY FDS BLACK BEANS &amp; RICE</t>
  </si>
  <si>
    <t>GLORY FDS RED BEANS &amp; RICE</t>
  </si>
  <si>
    <t>GLORY FDS SS BLACK BEANS</t>
  </si>
  <si>
    <t>GLORY FDS SS PINTO BEANS</t>
  </si>
  <si>
    <t>GLORY FDS SS RED BEANS</t>
  </si>
  <si>
    <t>40.5 OZ</t>
  </si>
  <si>
    <t>HANOVER BEANS KIDNEY</t>
  </si>
  <si>
    <t>HANOVER BEANS LT RED/KDNY</t>
  </si>
  <si>
    <t>HANOVER BLACK BEANS</t>
  </si>
  <si>
    <t>HANOVER CHILI BEANS</t>
  </si>
  <si>
    <t>HANOVER DK KIDNEY</t>
  </si>
  <si>
    <t>HANOVER DRK RED KIDNEY BNS</t>
  </si>
  <si>
    <t>HANOVER GRT NORTHERN BEA</t>
  </si>
  <si>
    <t>HANOVER HNVR GRT NRTHRN BE</t>
  </si>
  <si>
    <t>HANOVER LIGHT KIDNEY BEANS</t>
  </si>
  <si>
    <t>HANOVER PINTO BEANS</t>
  </si>
  <si>
    <t>LUCKS BEANS PINTO W ON</t>
  </si>
  <si>
    <t>M HOLMES RED BEANS &amp; RICE</t>
  </si>
  <si>
    <t>PROGRESSO BLACK TURTLE BEANS</t>
  </si>
  <si>
    <t>RICHFOOD BEANS GRT NORTHERN</t>
  </si>
  <si>
    <t>RICHFOOD BLACK BEANS</t>
  </si>
  <si>
    <t>RICHFOOD DRK RED KIDNEY BEA</t>
  </si>
  <si>
    <t>RICHFOOD GARBANZO BEANS</t>
  </si>
  <si>
    <t>RICHFOOD KIDNEYBEANS LT RED</t>
  </si>
  <si>
    <t>RICHFOOD PINTO BEANS</t>
  </si>
  <si>
    <t>RICHFOOD RED KIDNEY BEANS</t>
  </si>
  <si>
    <t>BUSH LARGE BUTTER BEANS</t>
  </si>
  <si>
    <t>DEL MONTE BEANS GREEN LIMA</t>
  </si>
  <si>
    <t>GLORY FDS BUTTER BEANS</t>
  </si>
  <si>
    <t>HANOVER BEANS BUTTER MIL</t>
  </si>
  <si>
    <t>LIBBY BEANS LIMA</t>
  </si>
  <si>
    <t>LUCKS BEANS LIMA GIANT</t>
  </si>
  <si>
    <t>M HOLMES SEASONED BTR BEANS</t>
  </si>
  <si>
    <t>RICHFOOD BEANS LIMA GREEN</t>
  </si>
  <si>
    <t>RICHFOOD YELLOW BUTTER BEAN</t>
  </si>
  <si>
    <t>SUPERFINE BEANS LIMAGRANDS</t>
  </si>
  <si>
    <t>SUPERFINE BUTTER BEANS MIDG</t>
  </si>
  <si>
    <t>SUPERFINE TRIPLE SUCCOTASH</t>
  </si>
  <si>
    <t>DBL LUCK$ CK CUT GREN BEANS</t>
  </si>
  <si>
    <t>DEL MONTE 50%LESS SLT GR BNS</t>
  </si>
  <si>
    <t>DEL MONTE BEANS BLUE LAKE C</t>
  </si>
  <si>
    <t>DEL MONTE BEANS FR STYLE GRN</t>
  </si>
  <si>
    <t>DEL MONTE BEANS GREEN CUT</t>
  </si>
  <si>
    <t>DEL MONTE BEANS GREEN/CUT</t>
  </si>
  <si>
    <t>DEL MONTE BEANS GREEN/CUT/NS</t>
  </si>
  <si>
    <t>DEL MONTE BEANS GREEN/WHOLE</t>
  </si>
  <si>
    <t>DEL MONTE BEANS GRN CUT NSLT</t>
  </si>
  <si>
    <t>DEL MONTE BEANS GRN FRNCH CT</t>
  </si>
  <si>
    <t>DEL MONTE BEANS GRN/FRNCH/NS</t>
  </si>
  <si>
    <t>DEL MONTE BEANS ITAL CUT GRN</t>
  </si>
  <si>
    <t>DEL MONTE BEANS SEASONED GRN</t>
  </si>
  <si>
    <t>DEL MONTE BEANS WAX</t>
  </si>
  <si>
    <t>DEL MONTE CUT GREEN BEANS</t>
  </si>
  <si>
    <t>DEL MONTE CUT GREEN&amp;WX BEANS</t>
  </si>
  <si>
    <t>DEL MONTE FRENCH CUT GREEN</t>
  </si>
  <si>
    <t>DEL MONTE ORGANIC FNCH G BEA</t>
  </si>
  <si>
    <t>DEL MONTE ORGANIC GREEN BEAN</t>
  </si>
  <si>
    <t>GLORY FDS STRG BEANS/POTATOS</t>
  </si>
  <si>
    <t>GLORY FDS STRING BEANS</t>
  </si>
  <si>
    <t>GLORY SEASND STRING BEAN</t>
  </si>
  <si>
    <t>GRN GIANT BEANS GREEN/FRENCH</t>
  </si>
  <si>
    <t>GRN GIANT BEANS RG CUT GREEN</t>
  </si>
  <si>
    <t>GRN GIANT BEANS, GREEN/CUT</t>
  </si>
  <si>
    <t>HANOVER BEANS B/L CUT GRN</t>
  </si>
  <si>
    <t>HANOVER BEANS GREEN CUT</t>
  </si>
  <si>
    <t>HANOVER BEANS, B/L CUT GRN</t>
  </si>
  <si>
    <t>HANOVER BEANS, W/POT B/L C</t>
  </si>
  <si>
    <t>101 OZ</t>
  </si>
  <si>
    <t>HANOVER CUT GREEN BEANS</t>
  </si>
  <si>
    <t>LIBBY CUT GREEN BEANS</t>
  </si>
  <si>
    <t>LIBBY FRENCH STYLE GREEN</t>
  </si>
  <si>
    <t>LIBBY FRNCH CT GREEN BNS</t>
  </si>
  <si>
    <t>RICHFOOD CUT GREEN BEANS</t>
  </si>
  <si>
    <t>RICHFOOD CUT WAX BEANS</t>
  </si>
  <si>
    <t>RICHFOOD FRNCH STYL GR BEAN</t>
  </si>
  <si>
    <t>RICHFOOD GREEN BEANS CUT</t>
  </si>
  <si>
    <t>RICHFOOD GRN BEAN FRENCH NS</t>
  </si>
  <si>
    <t>RICHFOOD GRN BEAN FRNCH SLC</t>
  </si>
  <si>
    <t>RICHFOOD ITALIAN GREEN BEAN</t>
  </si>
  <si>
    <t>RICHFOOD NS CUT GREEN BEANS</t>
  </si>
  <si>
    <t>RICHFOOD WHOLE GREEN BEANS</t>
  </si>
  <si>
    <t>S/O BUSH BEANS GRN SHELLY</t>
  </si>
  <si>
    <t>SHOP VALU BEANS GREEN CUT</t>
  </si>
  <si>
    <t>SHOP VALU BEANS GREEN FRENCH</t>
  </si>
  <si>
    <t>SHOP VALU BEANS SHORT CUT GR</t>
  </si>
  <si>
    <t>AUNT NELL BEETS HARVARD</t>
  </si>
  <si>
    <t>AUNT NELL BEETS SLCD PICKLED</t>
  </si>
  <si>
    <t>DEL MONTE BEETS SLC PICKLE</t>
  </si>
  <si>
    <t>DEL MONTE BEETS SLICED</t>
  </si>
  <si>
    <t>DEL MONTE SLICED BEETS</t>
  </si>
  <si>
    <t>GREENWOOD BEETS HARVARD</t>
  </si>
  <si>
    <t>GREENWOOD BEETS SLI ONION</t>
  </si>
  <si>
    <t>GREENWOOD BEETS SLI PICKLED</t>
  </si>
  <si>
    <t>LIBBY BEETS CUT</t>
  </si>
  <si>
    <t>LIBBY BEETS SLICED</t>
  </si>
  <si>
    <t>LIBBY SMALL WHOLE BEETS</t>
  </si>
  <si>
    <t>RICHFOOD PICKLED BEETS GLS</t>
  </si>
  <si>
    <t>RICHFOOD SLICED BEETS</t>
  </si>
  <si>
    <t>RICHFOOD SMALL WHOLE BEETS</t>
  </si>
  <si>
    <t>RICHFOOD WHOLE BEETS GLS</t>
  </si>
  <si>
    <t>DEL MONTE CARROTS SLICED</t>
  </si>
  <si>
    <t>GLORY HNY DIPPED CARROTS</t>
  </si>
  <si>
    <t>LESSUEUR CARROT BABY</t>
  </si>
  <si>
    <t>105 OZ</t>
  </si>
  <si>
    <t>LIBBY SLICED CARROTS</t>
  </si>
  <si>
    <t>RICHFOOD LENGTH CUT CARROTS</t>
  </si>
  <si>
    <t>RICHFOOD SLICED CARROTS</t>
  </si>
  <si>
    <t>BUSH WHITE HOMINY</t>
  </si>
  <si>
    <t>DEL MONTE 50%LS SLT WHKNLCRN</t>
  </si>
  <si>
    <t>14.75 O</t>
  </si>
  <si>
    <t>DEL MONTE CORN CREAM STYLE</t>
  </si>
  <si>
    <t>DEL MONTE CORN CREAM WHITE</t>
  </si>
  <si>
    <t>DEL MONTE CORN CREAM/NO SALT</t>
  </si>
  <si>
    <t>DEL MONTE CORN CRM STYL GOLD</t>
  </si>
  <si>
    <t>DEL MONTE CORN GOLD W.K.</t>
  </si>
  <si>
    <t>DEL MONTE CORN SUMMER CRISP</t>
  </si>
  <si>
    <t>DEL MONTE CORN WHL KRNL/NO S</t>
  </si>
  <si>
    <t>DEL MONTE CORN WHL KRNL/N SL</t>
  </si>
  <si>
    <t>DEL MONTE CORN WHOLE KERNAL</t>
  </si>
  <si>
    <t>DEL MONTE CORN WK GOLD/WHT</t>
  </si>
  <si>
    <t>DEL MONTE CORN WK WHITE SWT</t>
  </si>
  <si>
    <t>DEL MONTE ORGANIC W/K CORN</t>
  </si>
  <si>
    <t>GLORY SKILLET CORN</t>
  </si>
  <si>
    <t>GRN GIANT CORN CREAM STYLE</t>
  </si>
  <si>
    <t>GRN GIANT CORN MEXICORN</t>
  </si>
  <si>
    <t>GRN GIANT CORN NIBLETS</t>
  </si>
  <si>
    <t>GRN GIANT CORN SWT YEL/WHT</t>
  </si>
  <si>
    <t>GRN GIANT CORN WHOL KRNL/LWS</t>
  </si>
  <si>
    <t>GRN GIANT CORN WHOLE KERNAL</t>
  </si>
  <si>
    <t>GRN GIANT SOUTHWST STYL CORN</t>
  </si>
  <si>
    <t>GRN GIANT SWEET SELECT CORN</t>
  </si>
  <si>
    <t>GRN GIANT WHITE CORN SHOEPEG</t>
  </si>
  <si>
    <t>HANOVER S/O HAN WHOLE CORN</t>
  </si>
  <si>
    <t>LIBBY CORN WHOLE KERNAL</t>
  </si>
  <si>
    <t>LIBBY CREAM STYLE CORN</t>
  </si>
  <si>
    <t>LIBBY WHL KRNL SUCCOTASH</t>
  </si>
  <si>
    <t>LIBBYS WHLE KRNL SWT CORN</t>
  </si>
  <si>
    <t>MANNING HOMINY</t>
  </si>
  <si>
    <t>MITCHELL SHOEPEG CORN</t>
  </si>
  <si>
    <t>RICHFOOD CORN SHOE PEG WHOL</t>
  </si>
  <si>
    <t>RICHFOOD CREAM CORN GOLD</t>
  </si>
  <si>
    <t>RICHFOOD FNCY WHL WH SHOEPE</t>
  </si>
  <si>
    <t>RICHFOOD HOMINY WHITE</t>
  </si>
  <si>
    <t>RICHFOOD WHOLE CORN GOLD</t>
  </si>
  <si>
    <t>RICHFOOD WHOLE CORN GOLD NS</t>
  </si>
  <si>
    <t>SHOP VALU CORN CREAM STYLE</t>
  </si>
  <si>
    <t>SHOP VALU CORN WHOLE KERNAL</t>
  </si>
  <si>
    <t>SUPERFINE SUCCOTASH WK</t>
  </si>
  <si>
    <t>DEL MONTE MIXED VEG NO SALT</t>
  </si>
  <si>
    <t>DEL MONTE PEAS &amp; CARROTS</t>
  </si>
  <si>
    <t>DEL MONTE VEGETABLES MIXED</t>
  </si>
  <si>
    <t>GLORY FDS TOM OKRA &amp; CORN</t>
  </si>
  <si>
    <t>HANOVER MIXED VEGETABLES</t>
  </si>
  <si>
    <t>LIBBY PEAS &amp; CARROTS</t>
  </si>
  <si>
    <t>LIBBY VEGETABLES MIXED</t>
  </si>
  <si>
    <t>M HOLMES TRIPLE SUCCOTASH</t>
  </si>
  <si>
    <t>RICHFOOD MIXED VEGETABLES</t>
  </si>
  <si>
    <t>RICHFOOD PEAS &amp; CARROTS</t>
  </si>
  <si>
    <t>VEG-ALL VEGETABLES, MIXED</t>
  </si>
  <si>
    <t>111 OZ</t>
  </si>
  <si>
    <t>:HANOVER #10 CHICK PEAS</t>
  </si>
  <si>
    <t>BUSH FRSH BLACKEYE PEAS</t>
  </si>
  <si>
    <t>DEL MONTE 50%LESS SLT SWTPEA</t>
  </si>
  <si>
    <t>DEL MONTE ORGANIC SWEET PEAS</t>
  </si>
  <si>
    <t>DEL MONTE PEAS BUFFET</t>
  </si>
  <si>
    <t>DEL MONTE PEAS NO SALT/EG</t>
  </si>
  <si>
    <t>DEL MONTE PEAS SWEET</t>
  </si>
  <si>
    <t>GLORY FDS BLACKEYE PEAS SSND</t>
  </si>
  <si>
    <t>GLORY FDS BLKEYE PEAS &amp; RICE</t>
  </si>
  <si>
    <t>GLORY FDS SS BLACKEYE PEAS</t>
  </si>
  <si>
    <t>GRN GIANT LESEUR PEAS</t>
  </si>
  <si>
    <t>GRN GIANT PEAS SWEET</t>
  </si>
  <si>
    <t>HANOVER BLACKEYE PEAS</t>
  </si>
  <si>
    <t>HANOVER CHICK PEAS</t>
  </si>
  <si>
    <t>HANOVER PEAS CHICK</t>
  </si>
  <si>
    <t>LESSUEUR PEAS 50% LESS SODM</t>
  </si>
  <si>
    <t>LESUEUR PEAS EARLY JUNE</t>
  </si>
  <si>
    <t>LIBBY SWEET PEAS</t>
  </si>
  <si>
    <t>LIBBY'S SWEET PEAS</t>
  </si>
  <si>
    <t>LUCKS BLACKEYE PEAS</t>
  </si>
  <si>
    <t>M HOLMES BLACKEYE PEAS</t>
  </si>
  <si>
    <t>M HOLMES PEAS TINY FLD SNAP</t>
  </si>
  <si>
    <t>RICHFOOD BLACKEYE PEAS</t>
  </si>
  <si>
    <t>RICHFOOD BLACKEYE PEAS GRN</t>
  </si>
  <si>
    <t>RICHFOOD PEAS SWEET NS</t>
  </si>
  <si>
    <t>RICHFOOD PEAS SWEET TINY</t>
  </si>
  <si>
    <t>RICHFOOD SWEET MIXED PEAS</t>
  </si>
  <si>
    <t>RICHFOOD SWEET PEAS</t>
  </si>
  <si>
    <t>RICHFOOD TINY SWEET PEAS 2S</t>
  </si>
  <si>
    <t>SHOP VALU PEAS SWEET</t>
  </si>
  <si>
    <t>B CROCKER 3 CHEESE POTATOES</t>
  </si>
  <si>
    <t>B CROCKER 4 CHS MSHD POT MIX</t>
  </si>
  <si>
    <t>B CROCKER 4 CHS MSHD POTATOS</t>
  </si>
  <si>
    <t>B CROCKER AU GRATIN POTATOES</t>
  </si>
  <si>
    <t>B CROCKER BTR&amp;HRB MSH POT MX</t>
  </si>
  <si>
    <t>B CROCKER CHDR&amp;SR CRM POT MX</t>
  </si>
  <si>
    <t>B CROCKER CRMY BTR MASH POT</t>
  </si>
  <si>
    <t>B CROCKER HASH POT W/ONION</t>
  </si>
  <si>
    <t>B CROCKER HS CRMY BTR MSHPOT</t>
  </si>
  <si>
    <t>4.6 OZ</t>
  </si>
  <si>
    <t>B CROCKER JULIENNE POTATOES</t>
  </si>
  <si>
    <t>8.1 OZ</t>
  </si>
  <si>
    <t>B CROCKER POTATO AUGRATN MIX</t>
  </si>
  <si>
    <t>B CROCKER POTATO CRMY BUTTER</t>
  </si>
  <si>
    <t>B CROCKER POTATOES BUDS</t>
  </si>
  <si>
    <t>B CROCKER RST GRL MSH POT MX</t>
  </si>
  <si>
    <t>B CROCKER RST GRL&amp;CHD MSHPOT</t>
  </si>
  <si>
    <t>B CROCKER SCALLOPD POTATO MX</t>
  </si>
  <si>
    <t>B CROCKER SCALLOPED POTATOES</t>
  </si>
  <si>
    <t>B CROCKER SKLT GARL&amp;HERB POT</t>
  </si>
  <si>
    <t>B CROCKER SR CRM&amp;CHV MSH POT</t>
  </si>
  <si>
    <t>6.3 OZ</t>
  </si>
  <si>
    <t>B CROCKER SWT POTATO POT MIX</t>
  </si>
  <si>
    <t>B CROCKER YUKON GOLD POT MIX</t>
  </si>
  <si>
    <t>HUNGRY JK 4 CHS POTATOES</t>
  </si>
  <si>
    <t>HUNGRY JK CHSY SCALLOP POT</t>
  </si>
  <si>
    <t>HUNGRY JK EASY MASH CRMY BAK</t>
  </si>
  <si>
    <t>HUNGRY JK EASY MASH HRTY BAK</t>
  </si>
  <si>
    <t>HUNGRY JK EASY MASH RST GRLC</t>
  </si>
  <si>
    <t>HUNGRY JK EASY MASH'D CHEESY</t>
  </si>
  <si>
    <t>HUNGRY JK EASY MASHD PREM HS</t>
  </si>
  <si>
    <t>HUNGRY JK MASHED POTATOES</t>
  </si>
  <si>
    <t>26.7 OZ</t>
  </si>
  <si>
    <t>HUNGRY JK POTATOES MASHED</t>
  </si>
  <si>
    <t>HUNGRY JK POTATOES-INSTAN</t>
  </si>
  <si>
    <t>IDAHOAN 4-CHEESE MASHED</t>
  </si>
  <si>
    <t>IDAHOAN BR FLV MSHD POTATO</t>
  </si>
  <si>
    <t>IDAHOAN BTR &amp; HRB MASHED</t>
  </si>
  <si>
    <t>IDAHOAN BTTRY HMSTL MASHED</t>
  </si>
  <si>
    <t>IDAHOAN BUTTERY YUKON GOLD</t>
  </si>
  <si>
    <t>IDAHOAN LOADED BAKED MASH</t>
  </si>
  <si>
    <t>IDAHOAN MASHD POTATOES BAG</t>
  </si>
  <si>
    <t>IDAHOAN POTATOES INST/TIN</t>
  </si>
  <si>
    <t>IDAHOAN ROAST GARLIC MASH</t>
  </si>
  <si>
    <t>IDAHOAN ROMANO CHS MASHED</t>
  </si>
  <si>
    <t>IDAHOAN SOUTHWEST MASHED</t>
  </si>
  <si>
    <t>10.23 O</t>
  </si>
  <si>
    <t>KRAFT VELV AU GRATIN POT</t>
  </si>
  <si>
    <t>KRAFT VELV/BCN SCALL POT</t>
  </si>
  <si>
    <t>PILLSBURY POTATO MASHD/IDAHO</t>
  </si>
  <si>
    <t>PILLSBURY POTATOES INSTANT</t>
  </si>
  <si>
    <t>RICHFOOD AU GRATIN POTATOES</t>
  </si>
  <si>
    <t>RICHFOOD INST MASH POTATOES</t>
  </si>
  <si>
    <t>RICHFOOD SCALLOPED POTATOES</t>
  </si>
  <si>
    <t>RICHFOOD SR CRM CHIVE POTAT</t>
  </si>
  <si>
    <t>SHOP VALU INST MASHED POTATO</t>
  </si>
  <si>
    <t>DEL MONTE SAUERKRAUT</t>
  </si>
  <si>
    <t>LIBBY SAUERKRAUT</t>
  </si>
  <si>
    <t>LIBBY SAUERKRAUT JUMBO</t>
  </si>
  <si>
    <t>RICHFOOD SAUERKRAUT</t>
  </si>
  <si>
    <t>SLVR FLOS SAUERKRAUT</t>
  </si>
  <si>
    <t>DEL MONTE SPINACH</t>
  </si>
  <si>
    <t>DEL MONTE SPINACH CHOPPED</t>
  </si>
  <si>
    <t>DEL MONTE SPINACH LEAF</t>
  </si>
  <si>
    <t>DEL MONTE SPINACH LEAF NSA</t>
  </si>
  <si>
    <t>GLORY FDS SEASONED SPINACH</t>
  </si>
  <si>
    <t>RICHFOOD SPINACH</t>
  </si>
  <si>
    <t>RICHFOOD SPINACH CHOPPED</t>
  </si>
  <si>
    <t>RICHFOOD SPINACH LEAF</t>
  </si>
  <si>
    <t>112 OZ</t>
  </si>
  <si>
    <t>BRUCE CUT YAMS</t>
  </si>
  <si>
    <t>BRUCE YAMS CUT</t>
  </si>
  <si>
    <t>BRUCE YAMS O/T CANDIED</t>
  </si>
  <si>
    <t>DEL MONTE DICED POTATOES</t>
  </si>
  <si>
    <t>DEL MONTE POTATOES WHOLE</t>
  </si>
  <si>
    <t>DEL MONTE POTATOES, SLICED</t>
  </si>
  <si>
    <t>GLORY CANDIED YAMS</t>
  </si>
  <si>
    <t>GLORY POTATOES CUT SWEET</t>
  </si>
  <si>
    <t>GLORY SWT POTATO CASEROL</t>
  </si>
  <si>
    <t>HANOVER WHOLE POTATOES</t>
  </si>
  <si>
    <t>PRINCELLA CUT YAMS</t>
  </si>
  <si>
    <t>READS SALAD GERMN POTATO</t>
  </si>
  <si>
    <t>RICHFOOD CUT SWEET POTATO</t>
  </si>
  <si>
    <t>RICHFOOD SLICED POTATOES</t>
  </si>
  <si>
    <t>RICHFOOD WHOLE POTATOES</t>
  </si>
  <si>
    <t>CONTADINA TOMATOES CRUSHED</t>
  </si>
  <si>
    <t>CONTADINA TOMATOES RCP READY</t>
  </si>
  <si>
    <t>CONTADINA TOMS ITALIAN HERB</t>
  </si>
  <si>
    <t>DEL MONTE BSL/GRL/ORG DC NSA</t>
  </si>
  <si>
    <t>DEL MONTE DCD TOM GAR OLVOIL</t>
  </si>
  <si>
    <t>DEL MONTE DICED REG TOMATOES</t>
  </si>
  <si>
    <t>DEL MONTE DICED TM W/MSH GAR</t>
  </si>
  <si>
    <t>DEL MONTE DICED TOMATOES</t>
  </si>
  <si>
    <t>DEL MONTE PET CUT DCDTOM NSA</t>
  </si>
  <si>
    <t>DEL MONTE PETITE DICED TOMA</t>
  </si>
  <si>
    <t>DEL MONTE STEW TOM NO SALT</t>
  </si>
  <si>
    <t>DEL MONTE STEWED TOMATOS MEX</t>
  </si>
  <si>
    <t>DEL MONTE TOM CHNKY PASTA S</t>
  </si>
  <si>
    <t>DEL MONTE TOM DCD GRN PPR/ON</t>
  </si>
  <si>
    <t>DEL MONTE TOM-BSL/GAR/OREG</t>
  </si>
  <si>
    <t>DEL MONTE TOMATO STEWED</t>
  </si>
  <si>
    <t>DEL MONTE TOMATOES DCD ON/GL</t>
  </si>
  <si>
    <t>DEL MONTE TOMATOES DICED N/</t>
  </si>
  <si>
    <t>DEL MONTE TOMATOES DICED</t>
  </si>
  <si>
    <t>DEL MONTE TOMATOES STEWD/ITL</t>
  </si>
  <si>
    <t>DEL MONTE TOMATOES WEDGES</t>
  </si>
  <si>
    <t>DEL MONTE ZESTY CHUNKY CHILI</t>
  </si>
  <si>
    <t>DEL MONTE ZST TMTO W/GRN CHI</t>
  </si>
  <si>
    <t>DEL MONTE ZST TMTO W/JAL PEP</t>
  </si>
  <si>
    <t>FURMANO CHK CR BAS,GAR,ORE</t>
  </si>
  <si>
    <t>FURMANO CHUNKY CRUSHED TOM</t>
  </si>
  <si>
    <t>FURMANO DICED TOMATO</t>
  </si>
  <si>
    <t>FURMANO ITLN DCD TOMATOS</t>
  </si>
  <si>
    <t>FURMANO PETITE DCD TOM</t>
  </si>
  <si>
    <t>FURMANO PETITEDICE GRCHILE</t>
  </si>
  <si>
    <t>FURMANO PLUM TOMATOES</t>
  </si>
  <si>
    <t>FURMANO TOMATOES CRUSHED</t>
  </si>
  <si>
    <t>FURMANO WHL PLD TOMATO</t>
  </si>
  <si>
    <t>FURMANO WHOLE PEELED TOMS</t>
  </si>
  <si>
    <t>HUNTS CHOICE DICED TMTOS</t>
  </si>
  <si>
    <t>HUNTS DCD TMT/MLD GR CHL</t>
  </si>
  <si>
    <t>HUNTS DCD TOMATO IN SAUC</t>
  </si>
  <si>
    <t>HUNTS DT BLSMCVNG/BSL/OL</t>
  </si>
  <si>
    <t>HUNTS FIRE RSTD DCD TOM</t>
  </si>
  <si>
    <t>HUNTS FIRERST GRL DC TOM</t>
  </si>
  <si>
    <t>HUNTS HNTS CRSH TOM BASL</t>
  </si>
  <si>
    <t>HUNTS HUNTS WHL W/BASIL</t>
  </si>
  <si>
    <t>HUNTS ORG DC TOM GAR/ORE</t>
  </si>
  <si>
    <t>HUNTS ORGANIC CRUSHD TOM</t>
  </si>
  <si>
    <t>HUNTS ORGANIC DICED TOM</t>
  </si>
  <si>
    <t>HUNTS ORGANIC WH PLD TOM</t>
  </si>
  <si>
    <t>HUNTS PETITE DCD TOMATOE</t>
  </si>
  <si>
    <t>HUNTS STEWED TOMATOES</t>
  </si>
  <si>
    <t>HUNTS TMATO DICED PETITE</t>
  </si>
  <si>
    <t>HUNTS TMT/GRPPR/CLRY/ON</t>
  </si>
  <si>
    <t>HUNTS TOM DCD W/SWTONION</t>
  </si>
  <si>
    <t>HUNTS TOMATO DCD ITAL</t>
  </si>
  <si>
    <t>HUNTS TOMATO DICED</t>
  </si>
  <si>
    <t>HUNTS TOMATO WHL NO SALT</t>
  </si>
  <si>
    <t>HUNTS TOMATO WHOLE PEELD</t>
  </si>
  <si>
    <t>HUNTS TOMATOES CRUSHED</t>
  </si>
  <si>
    <t>HUNTS WHL PEELD TOMATOES</t>
  </si>
  <si>
    <t>M HOLMES TOMATO OKRA</t>
  </si>
  <si>
    <t>MARGARET TOM/OKRA/CRN</t>
  </si>
  <si>
    <t>102 OZ</t>
  </si>
  <si>
    <t>RED PACK CUT DICED TOMATOES</t>
  </si>
  <si>
    <t>RED PACK DICD TOM BASL GARL</t>
  </si>
  <si>
    <t>RED PACK DICED TOMATO JUICE</t>
  </si>
  <si>
    <t>RED PACK GARLC DCD TOMATO</t>
  </si>
  <si>
    <t>RED PACK ITALIAN DICE TOMAT</t>
  </si>
  <si>
    <t>RED PACK PETIT DICE GRN CHI</t>
  </si>
  <si>
    <t>RED PACK PETITE DICED TOMAT</t>
  </si>
  <si>
    <t>RED PACK STEWED TOM WBASIL</t>
  </si>
  <si>
    <t>RED PACK TOMATO PUREE</t>
  </si>
  <si>
    <t>RED PACK WHOLE PEELED TOMAT</t>
  </si>
  <si>
    <t>REDPACK CRUSHED TOMATOES</t>
  </si>
  <si>
    <t>REDPACK DICED TOMATOES</t>
  </si>
  <si>
    <t>REDPACK WHL PLD TOMATOES</t>
  </si>
  <si>
    <t>RICHFOOD CRUSHED TOMATOES</t>
  </si>
  <si>
    <t>RICHFOOD DCD TOM GAR/ONION</t>
  </si>
  <si>
    <t>RICHFOOD DCD TOMATO ITAL</t>
  </si>
  <si>
    <t>RICHFOOD STEWED TOMATOES</t>
  </si>
  <si>
    <t>RICHFOOD TOM DCD W/GN CHILE</t>
  </si>
  <si>
    <t>RICHFOOD TOMAT DC SWT ON PT</t>
  </si>
  <si>
    <t>RICHFOOD TOMATO DC O/C/P PT</t>
  </si>
  <si>
    <t>RICHFOOD TOMATOES    DICED</t>
  </si>
  <si>
    <t>RICHFOOD TOMATOES DICED</t>
  </si>
  <si>
    <t>RICHFOOD TOMATOES HEARTY CT</t>
  </si>
  <si>
    <t>RICHFOOD TOMATOES PET DICED</t>
  </si>
  <si>
    <t>RICHFOOD WHOLE TOMATOES</t>
  </si>
  <si>
    <t>RICHFOOD WHOLETOMATOES</t>
  </si>
  <si>
    <t>RO-TEL TOMATO DCD CHILIS</t>
  </si>
  <si>
    <t>RO-TEL TOMS MEXICAN WGRCH</t>
  </si>
  <si>
    <t>ROTEL DICED TOM X-HOT</t>
  </si>
  <si>
    <t>ROTEL MLD DC TOM/GRCHILE</t>
  </si>
  <si>
    <t>SHOP VALU TOMATOES STEWED</t>
  </si>
  <si>
    <t>SHOP VALU TOMATOES WHL PEELD</t>
  </si>
  <si>
    <t>TUTROSO CRSH TOM-GREEN</t>
  </si>
  <si>
    <t>BUSH CHOPD COLLARD GRNS</t>
  </si>
  <si>
    <t>BUSH CHOPPD KALE GREENS</t>
  </si>
  <si>
    <t>BUSH CHOPPED TURNIP</t>
  </si>
  <si>
    <t>BUSH CHPD MUSTARD GREEN</t>
  </si>
  <si>
    <t>BUSH GRN CHPD/DCD/TURNP</t>
  </si>
  <si>
    <t>DEL MONTE ZUCCHINI</t>
  </si>
  <si>
    <t>GLORY CNTRY STYL CABBAGE</t>
  </si>
  <si>
    <t>GLORY FDS COLLARD GREENS</t>
  </si>
  <si>
    <t>GLORY FDS CREOLE RICE</t>
  </si>
  <si>
    <t>GLORY FDS MIXED GREENS</t>
  </si>
  <si>
    <t>98 OZ</t>
  </si>
  <si>
    <t>GLORY FDS MUSTARD GREENS</t>
  </si>
  <si>
    <t>GLORY FDS SEASND KALE GREENS</t>
  </si>
  <si>
    <t>GLORY FDS SMKD TRKY TURNP GR</t>
  </si>
  <si>
    <t>GLORY FDS SS SMKD TRKY CLRDS</t>
  </si>
  <si>
    <t>GLORY FDS SSND TURNIP GREENS</t>
  </si>
  <si>
    <t>GLORY FDS TURNIP GREENS</t>
  </si>
  <si>
    <t>GLORY GLORY COLLARD GRNS</t>
  </si>
  <si>
    <t>GLORY GREENS MIXED SSND</t>
  </si>
  <si>
    <t>GREENWOOD RED CABBAGE</t>
  </si>
  <si>
    <t>HANOVER 3 BEAN SALAD</t>
  </si>
  <si>
    <t>M HOLMES CHOP COLLARD GREEN</t>
  </si>
  <si>
    <t>M HOLMES CHOP MUSTARD GREEN</t>
  </si>
  <si>
    <t>M HOLMES CHOP TURNIP GREENS</t>
  </si>
  <si>
    <t>M HOLMES RUTABAGAS DICED</t>
  </si>
  <si>
    <t>MARGARET BTR BEANS W ONIONS</t>
  </si>
  <si>
    <t>MARGARET CABBAGE</t>
  </si>
  <si>
    <t>MARGARET CHOPPED COLLAR</t>
  </si>
  <si>
    <t>MARGARET CHOPPED KALE</t>
  </si>
  <si>
    <t>MARGARET CHOPPED MIXD GREEN</t>
  </si>
  <si>
    <t>MARGARET CHP COLLARD GREENS</t>
  </si>
  <si>
    <t>MARGARET GRN BNS W POT &amp; ON</t>
  </si>
  <si>
    <t>MARGARET HOPPIN JOHN ONIONS</t>
  </si>
  <si>
    <t>MARGARET PEAS SNAPS &amp; ONION</t>
  </si>
  <si>
    <t>MARGARET SEASND COLLRD GRNS</t>
  </si>
  <si>
    <t>MARGARET SEASND MIXED GREEN</t>
  </si>
  <si>
    <t>MARGARET SQUASH W/VID ONION</t>
  </si>
  <si>
    <t>MARGARET TURNIP GREEN</t>
  </si>
  <si>
    <t>MARGARET TURNIP GREEN/ROOT</t>
  </si>
  <si>
    <t>MARGARET TURNIP GREENS</t>
  </si>
  <si>
    <t>RICHFOOD ARTICHOKE HEARTS</t>
  </si>
  <si>
    <t>6.50 OZ</t>
  </si>
  <si>
    <t>RICHFOOD ARTICHOKES MARINAT</t>
  </si>
  <si>
    <t>RICHFOOD COLLARD GREEN CHPD</t>
  </si>
  <si>
    <t>RICHFOOD COLLARD GREENS CHO</t>
  </si>
  <si>
    <t>RICHFOOD KALE CHOPPED</t>
  </si>
  <si>
    <t>RICHFOOD MUSTARD GREEN CHPD</t>
  </si>
  <si>
    <t>RICHFOOD TRNIP GRN CHP/ROOT</t>
  </si>
  <si>
    <t>RICHFOOD TURNIP GREENS CHPD</t>
  </si>
  <si>
    <t>RICHFOOD TURNIP GREENS CHOP</t>
  </si>
  <si>
    <t>GIORGIO MUSHROOM WHOLE CTN</t>
  </si>
  <si>
    <t>GIORGIO MUSHROOMS SLICED</t>
  </si>
  <si>
    <t>GIORGIO MUSHROOMS STEM&amp;PCS</t>
  </si>
  <si>
    <t>GIORGIO MUSHROOMS STM/PCS</t>
  </si>
  <si>
    <t>GIORGIO NO/SLT SL MSHRM</t>
  </si>
  <si>
    <t>GRN GIANT MUSHROOMS WHOLE</t>
  </si>
  <si>
    <t>GRN GIANT MUSHROOMS, SLICED</t>
  </si>
  <si>
    <t>HANOVER MUSHRM PCS &amp; STEMS</t>
  </si>
  <si>
    <t>RICHFOOD MUSHRM P&amp;S NO SALT</t>
  </si>
  <si>
    <t>RICHFOOD MUSHRM STM &amp; PIECE</t>
  </si>
  <si>
    <t>RICHFOOD MUSHRM WHL BUTTONS</t>
  </si>
  <si>
    <t>RICHFOOD SLCD BUTTON MUSHRM</t>
  </si>
  <si>
    <t>CONTADINA RST GAR TOM PASTE</t>
  </si>
  <si>
    <t>CONTADINA TOMATO PASTE</t>
  </si>
  <si>
    <t>CONTADINA TOMATO PASTE ITALN</t>
  </si>
  <si>
    <t>CONTADINA TOMATO SAUCE</t>
  </si>
  <si>
    <t>DEL MONTE ORGAN TOMATO PASTE</t>
  </si>
  <si>
    <t>FURMANO TOMATO PUREE</t>
  </si>
  <si>
    <t>FURMANO TOMATO SAUCE</t>
  </si>
  <si>
    <t>HUNTS MEAT LOAF RDY</t>
  </si>
  <si>
    <t>HUNTS NO SALT PASTE</t>
  </si>
  <si>
    <t>HUNTS TOM SAUCE CHNK CHL</t>
  </si>
  <si>
    <t>HUNTS TOM SCE ITAL ST HB</t>
  </si>
  <si>
    <t>HUNTS TOM SCE RSTD GARLI</t>
  </si>
  <si>
    <t>HUNTS TOMATO PAST ITAL</t>
  </si>
  <si>
    <t>HUNTS TOMATO PASTE</t>
  </si>
  <si>
    <t>HUNTS TOMATO PUREE</t>
  </si>
  <si>
    <t>HUNTS TOMATO SAUCE</t>
  </si>
  <si>
    <t>HUNTS TOMATO SAUCE N SL</t>
  </si>
  <si>
    <t>RICHFOOD TOMATO PASTE</t>
  </si>
  <si>
    <t>RICHFOOD TOMATO PUREE</t>
  </si>
  <si>
    <t>RICHFOOD TOMATO SAUCE</t>
  </si>
  <si>
    <t>SHOP VALU TOMATO PASTE</t>
  </si>
  <si>
    <t>SHOP VALU TOMATO SAUCE</t>
  </si>
  <si>
    <t>TUTTORUSO TOMATO PUREE</t>
  </si>
  <si>
    <t>14.88 O</t>
  </si>
  <si>
    <t>CHEF B RD PIZZA MIX SINGLE</t>
  </si>
  <si>
    <t>31.85 O</t>
  </si>
  <si>
    <t>CHEF B RD PIZZA MIX/2 CHEESE</t>
  </si>
  <si>
    <t>GLD MEDAL CRUST MIX POUCH/PZ</t>
  </si>
  <si>
    <t>M WHITE PIZZA CRUST MIX</t>
  </si>
  <si>
    <t>MID'S PIZZA SAUCE</t>
  </si>
  <si>
    <t>RAGU PIZZA SAUCE TRAD</t>
  </si>
  <si>
    <t>RAGU SAUCE PIZZA</t>
  </si>
  <si>
    <t>RICHFOOD PIZZA SAUCE</t>
  </si>
  <si>
    <t>4C GRATED IMP PARMESA</t>
  </si>
  <si>
    <t>BARILLA ITALIAN BAKING SCE</t>
  </si>
  <si>
    <t>BARILLA MARINARA SAUCE</t>
  </si>
  <si>
    <t>BARILLA RSTED GARLIC/ONION</t>
  </si>
  <si>
    <t>BARILLA SAUCE MSHRM&amp;GARLIC</t>
  </si>
  <si>
    <t>BARILLA SCE SWT PEPR&amp;GRLC</t>
  </si>
  <si>
    <t>BARILLA TOM&amp;BASL PASTA SCE</t>
  </si>
  <si>
    <t>BERTOLLI ALFREDO SAUCE</t>
  </si>
  <si>
    <t>BERTOLLI FIRE RSTD TOM W/CS</t>
  </si>
  <si>
    <t>BERTOLLI FIVE CHEESE SAUCE</t>
  </si>
  <si>
    <t>BERTOLLI GARLIC ALFREDO SCE</t>
  </si>
  <si>
    <t>BERTOLLI ITALIAN SAUSAGE SC</t>
  </si>
  <si>
    <t>BERTOLLI MUSHROOM ALFREDO</t>
  </si>
  <si>
    <t>BERTOLLI OLIV OIL&amp;GARLIC SC</t>
  </si>
  <si>
    <t>BERTOLLI ORG OLIV BASIL SCE</t>
  </si>
  <si>
    <t>BERTOLLI ORGANC TRADITIONAL</t>
  </si>
  <si>
    <t>13.50 O</t>
  </si>
  <si>
    <t>BERTOLLI PCH MUSHROOM</t>
  </si>
  <si>
    <t>BERTOLLI PCH TOM BASIL</t>
  </si>
  <si>
    <t>BERTOLLI PORT MUSH W/MERLOT</t>
  </si>
  <si>
    <t>BERTOLLI TOMATO &amp; BASIL SCE</t>
  </si>
  <si>
    <t>BERTOLLI VIDALIA ONION SCE</t>
  </si>
  <si>
    <t>BERTOLLI VINE MARG BURGWINE</t>
  </si>
  <si>
    <t>BERTOLLI VODKA SAUCE</t>
  </si>
  <si>
    <t>CLASSICO 4 CHS ALFREDO SCE</t>
  </si>
  <si>
    <t>CLASSICO ALFREDO RSTD GRLC</t>
  </si>
  <si>
    <t>CLASSICO ALFREDO SAUCE</t>
  </si>
  <si>
    <t>CLASSICO CABERNET MARINARA</t>
  </si>
  <si>
    <t>CLASSICO CLSC SPICY TOM/BSL</t>
  </si>
  <si>
    <t>CLASSICO FOUR CHEESE</t>
  </si>
  <si>
    <t>CLASSICO IT SAUG W/PEPP&amp;ONI</t>
  </si>
  <si>
    <t>CLASSICO MARINRA PLM TOMATO</t>
  </si>
  <si>
    <t>CLASSICO MUSHROOM ALFREDO</t>
  </si>
  <si>
    <t>CLASSICO ONION RSTD GARLIC</t>
  </si>
  <si>
    <t>CLASSICO ORGAN TOM HERB SPC</t>
  </si>
  <si>
    <t>CLASSICO RST RED PPR ALFRDO</t>
  </si>
  <si>
    <t>CLASSICO SAUCE SPAGH/OLV/MS</t>
  </si>
  <si>
    <t>CLASSICO SAUCE SPAGH/TOM/BS</t>
  </si>
  <si>
    <t>CLASSICO SAUCE SPCY RED PPR</t>
  </si>
  <si>
    <t>CLASSICO SCE SPAG RSTD GARL</t>
  </si>
  <si>
    <t>CLASSICO SPAG SC RST TOM/GR</t>
  </si>
  <si>
    <t>CLASSICO SUNDRD TOM ALFREDO</t>
  </si>
  <si>
    <t>CLASSICO SWT BASIL MARINARA</t>
  </si>
  <si>
    <t>CLASSICO TRIPLE MSHRM SAUCE</t>
  </si>
  <si>
    <t>CLASSICO VODKA SAUCE</t>
  </si>
  <si>
    <t>CRYSTAL F PARMESAN SHAKER</t>
  </si>
  <si>
    <t>DEL MONTE CHNKY ITAL HERB SC</t>
  </si>
  <si>
    <t>DEL MONTE SAUCE FOUR CHEESE</t>
  </si>
  <si>
    <t>DEL MONTE SAUCE SPAGH GR P/M</t>
  </si>
  <si>
    <t>DEL MONTE SAUCE SPAGH W/MUSH</t>
  </si>
  <si>
    <t>DEL MONTE SAUCE SPG GRLC/ON</t>
  </si>
  <si>
    <t>DEL MONTE SAUCE, SPGH/MEAT F</t>
  </si>
  <si>
    <t>DEL MONTE SPAG SAUCE TRADTNL</t>
  </si>
  <si>
    <t>F RINALDI MEAT PASTA SC</t>
  </si>
  <si>
    <t>F RINALDI PLAIN PASTA SC</t>
  </si>
  <si>
    <t>F RINALDI TOM GAR ONION SC</t>
  </si>
  <si>
    <t>F RINALDI TRADTIONL MUSHROOM</t>
  </si>
  <si>
    <t>HANOVER MEATLESS SPAG SAUC</t>
  </si>
  <si>
    <t>HLTHY CHC SAUCE SPAGH/GR/HRB</t>
  </si>
  <si>
    <t>HUNTS CHNKY ITAL VEG SCE</t>
  </si>
  <si>
    <t>HUNTS SAUCE SPAG CHS/GRL</t>
  </si>
  <si>
    <t>HUNTS SAUCE SPAGH GR/HRB</t>
  </si>
  <si>
    <t>HUNTS SAUCE SPAGH MEAT</t>
  </si>
  <si>
    <t>HUNTS SAUCE SPAGH PARMSN</t>
  </si>
  <si>
    <t>HUNTS SAUCE SPAGH TRADTL</t>
  </si>
  <si>
    <t>HUNTS SAUCE SPAGH/MUSHRM</t>
  </si>
  <si>
    <t>HUNTS SAUCE W/ITLN SAUSG</t>
  </si>
  <si>
    <t>HUNTS SC SPG RSTD GRL&amp;ON</t>
  </si>
  <si>
    <t>HUNTS ZESTY &amp; SPICY</t>
  </si>
  <si>
    <t>KRAFT GRATED PARM/ROMANO</t>
  </si>
  <si>
    <t>KRAFT GRATED PARMESAN FF</t>
  </si>
  <si>
    <t>KRAFT PARMESAN GRATED</t>
  </si>
  <si>
    <t>MID'S SPAG SC ITL SAUSGE</t>
  </si>
  <si>
    <t>MID'S SPAG SCE NO MEAT</t>
  </si>
  <si>
    <t>MID'S SPGHETTI SC W/MEAT</t>
  </si>
  <si>
    <t>MID'S TOM BASIL MUSH SCE</t>
  </si>
  <si>
    <t>NEWMAN'S FIRE ROASTED TOMAT</t>
  </si>
  <si>
    <t>NEWMANS SAUCE BOMBOLINA</t>
  </si>
  <si>
    <t>NEWMANS SAUCE SOCKAROONI</t>
  </si>
  <si>
    <t>NEWMANS SPAGHETTI MARINARA</t>
  </si>
  <si>
    <t>PREGO EC ZESTY GRLC/CHZ</t>
  </si>
  <si>
    <t>PREGO HRT SMRT MUSHRM SC</t>
  </si>
  <si>
    <t>PREGO HRT SMRT TRAD SAUC</t>
  </si>
  <si>
    <t>25.6 OZ</t>
  </si>
  <si>
    <t>PREGO ITALIAN SGE/GARLIC</t>
  </si>
  <si>
    <t>PREGO MARINARA SAUCE</t>
  </si>
  <si>
    <t>PREGO MUSHROOM &amp; GARLIC</t>
  </si>
  <si>
    <t>PREGO MUSHROOM SUPREME</t>
  </si>
  <si>
    <t>PREGO ORGANIC TOM/BASIL</t>
  </si>
  <si>
    <t>PREGO RSTD GARLIC &amp; HERB</t>
  </si>
  <si>
    <t>PREGO RSTD RED PPR/GARLC</t>
  </si>
  <si>
    <t>PREGO SAUCE 3 CHEESE</t>
  </si>
  <si>
    <t>PREGO SAUCE SPAGH/GARDEN</t>
  </si>
  <si>
    <t>PREGO SAUCE SPAGH/MEAT</t>
  </si>
  <si>
    <t>67 OZ</t>
  </si>
  <si>
    <t>PREGO SAUCE SPAGH/MSHRM</t>
  </si>
  <si>
    <t>PREGO SAUCE SPAGH/MUSHRM</t>
  </si>
  <si>
    <t>PREGO SAUCE SPAGH/REG</t>
  </si>
  <si>
    <t>PREGO SAUCE SPAGHT/MEAT</t>
  </si>
  <si>
    <t>PREGO SAUCE SPAGHT/MSH/G</t>
  </si>
  <si>
    <t>PREGO SAUCE SPAGHT/ONION</t>
  </si>
  <si>
    <t>PREGO SAUCE SPAGHT/REG</t>
  </si>
  <si>
    <t>PREGO SAUCE SPAGHT/TOM/B</t>
  </si>
  <si>
    <t>PREGO SAUCE TOMATO PRMSN</t>
  </si>
  <si>
    <t>PREGO SCE MINI MEATBALL</t>
  </si>
  <si>
    <t>PREGO SPAG SCE CKY GRDN</t>
  </si>
  <si>
    <t>PREGO SPAG SCE ONION/GAR</t>
  </si>
  <si>
    <t>PREGO TOMATO ONION GARLC</t>
  </si>
  <si>
    <t>RAGU CC CLASSIC ALFREDO</t>
  </si>
  <si>
    <t>RAGU CHKY STL GDN COMBO</t>
  </si>
  <si>
    <t>RAGU CHNKY GRLC &amp; ONION</t>
  </si>
  <si>
    <t>RAGU CHZ DBLE CREATIONS</t>
  </si>
  <si>
    <t>RAGU CKY GDN STY MS/GRN</t>
  </si>
  <si>
    <t>RAGU GARD CHKY SPC MUSH</t>
  </si>
  <si>
    <t>RAGU GDN RED PEPR/ONION</t>
  </si>
  <si>
    <t>RAGU GRD TM/BSL/ITLNCHS</t>
  </si>
  <si>
    <t>RAGU HRTY PARM ROMANO</t>
  </si>
  <si>
    <t>RAGU LIGHT TOMATO&amp;BASIL</t>
  </si>
  <si>
    <t>RAGU MAMAS SPCL GRDN SC</t>
  </si>
  <si>
    <t>RAGU OLD WLRD STYL TRDL</t>
  </si>
  <si>
    <t>RAGU OLD WORLD MEAT</t>
  </si>
  <si>
    <t>66 OZ</t>
  </si>
  <si>
    <t>RAGU OLD WORLD TRAD</t>
  </si>
  <si>
    <t>RAGU ORGANIC GARDEN VEG</t>
  </si>
  <si>
    <t>RAGU ORGANIC TRAD SAUCE</t>
  </si>
  <si>
    <t>RAGU OWS MARGITA</t>
  </si>
  <si>
    <t>RAGU RBSTO ITLN SSGE/CH</t>
  </si>
  <si>
    <t>RAGU ROBST 7HERB/TOMATO</t>
  </si>
  <si>
    <t>RAGU ROBST PARMSN&amp;ROMAN</t>
  </si>
  <si>
    <t>RAGU ROBST SAUT ON/GRLC</t>
  </si>
  <si>
    <t>RAGU ROBSTO RSTD GARLIC</t>
  </si>
  <si>
    <t>RAGU ROBUSTO SIX CHEESE</t>
  </si>
  <si>
    <t>RAGU RSTD GRLC PARMESAN</t>
  </si>
  <si>
    <t>RAGU SAUCE GARDEN COMBO</t>
  </si>
  <si>
    <t>RAGU SAUCE LT PRM ALFRD</t>
  </si>
  <si>
    <t>RAGU SAUCE SPAGH/MEAT</t>
  </si>
  <si>
    <t>RAGU SAUCE SPAGHT/PLAIN</t>
  </si>
  <si>
    <t>RAGU SC GDSTL MSH&amp;GNPPR</t>
  </si>
  <si>
    <t>RAGU SC GRDSTL TM/GR/ON</t>
  </si>
  <si>
    <t>RAGU SC OLD WRLD W/MUSH</t>
  </si>
  <si>
    <t>RAGU SC SPR CHKY MUSHRM</t>
  </si>
  <si>
    <t>RAGU SCE GRD TOM ON/GAR</t>
  </si>
  <si>
    <t>RAGU SCE OLD WORLD MEAT</t>
  </si>
  <si>
    <t>RAGU SPAG SC MARINARA</t>
  </si>
  <si>
    <t>RAGU SUNDRD TOM SWT BSL</t>
  </si>
  <si>
    <t>RAGU SUPR VEG PRIMAVERA</t>
  </si>
  <si>
    <t>RAGU SWT TOM BASIL</t>
  </si>
  <si>
    <t>RAGU TRADITNL SPAGH SCE</t>
  </si>
  <si>
    <t>RICHFOOD CHEESE GRAT PARMES</t>
  </si>
  <si>
    <t>RICHFOOD GRATED PARMESAN CH</t>
  </si>
  <si>
    <t>RICHFOOD MSHRM GRN PEPR SCE</t>
  </si>
  <si>
    <t>RICHFOOD MSHRM PST SAUCE</t>
  </si>
  <si>
    <t>RICHFOOD PARM/ROMANO CHEESE</t>
  </si>
  <si>
    <t>RICHFOOD SPAG SAUCE PLAIN</t>
  </si>
  <si>
    <t>RICHFOOD SPAG SAUCE W/MEAT</t>
  </si>
  <si>
    <t>RICHFOOD SPAG SCE 3-CHEESE</t>
  </si>
  <si>
    <t>RICHFOOD SPAG SCE GRDN COMB</t>
  </si>
  <si>
    <t>RICHFOOD SPAG SCE TOM/ON/GA</t>
  </si>
  <si>
    <t>RINALDI MARINARA SAUCE</t>
  </si>
  <si>
    <t>RINALDI MUSHROOM/PEPPER</t>
  </si>
  <si>
    <t>RINALDI PSTA SCE 3-CHEESE</t>
  </si>
  <si>
    <t>RINALDI SAUCE MEAT TRAD</t>
  </si>
  <si>
    <t>RINALDI SAUCE PLAIN TRAD</t>
  </si>
  <si>
    <t>RINALDI SWT&amp;TASTY PASTA SC</t>
  </si>
  <si>
    <t>RINALDI TOM GRLC&amp;ON GDNSTL</t>
  </si>
  <si>
    <t>S GIORGIO GRATED PARMESAN</t>
  </si>
  <si>
    <t>S GIORGIO PARM/ROMANO CHEESE</t>
  </si>
  <si>
    <t>BARILLA 3 CHSE TORTELLINI</t>
  </si>
  <si>
    <t>BARILLA BARILLA ELBOWS</t>
  </si>
  <si>
    <t>BARILLA CAMPANELLE</t>
  </si>
  <si>
    <t>BARILLA CELLETANI SPR</t>
  </si>
  <si>
    <t>BARILLA CH&amp;SPIN TORTELLINI</t>
  </si>
  <si>
    <t>BARILLA FARFALLE</t>
  </si>
  <si>
    <t>BARILLA FIORI</t>
  </si>
  <si>
    <t>BARILLA GEMELLI</t>
  </si>
  <si>
    <t>BARILLA JUMBO SHELLS</t>
  </si>
  <si>
    <t>BARILLA LASAGNA</t>
  </si>
  <si>
    <t>BARILLA MED SHELLS</t>
  </si>
  <si>
    <t>BARILLA PASTA ANGEL HAIR</t>
  </si>
  <si>
    <t>BARILLA PASTA FETTUCCINE</t>
  </si>
  <si>
    <t>BARILLA PASTA LARGE SHELLS</t>
  </si>
  <si>
    <t>BARILLA PASTA LINGUINE</t>
  </si>
  <si>
    <t>BARILLA PASTA ORZO</t>
  </si>
  <si>
    <t>BARILLA PASTA SPAGHETTI</t>
  </si>
  <si>
    <t>BARILLA PASTA THIN SPAGHET</t>
  </si>
  <si>
    <t>BARILLA PENNE</t>
  </si>
  <si>
    <t>BARILLA PICCOLINI MINI FAR</t>
  </si>
  <si>
    <t>BARILLA PICCOLINI MINI FUS</t>
  </si>
  <si>
    <t>BARILLA PICCOLINI MINI PEN</t>
  </si>
  <si>
    <t>BARILLA PICCOLINI MINI WHE</t>
  </si>
  <si>
    <t>BARILLA PIPETTE</t>
  </si>
  <si>
    <t>BARILLA PLUS ANGEL HAIR</t>
  </si>
  <si>
    <t>BARILLA PLUS ELBOWS</t>
  </si>
  <si>
    <t>BARILLA PLUS PENNE</t>
  </si>
  <si>
    <t>BARILLA PLUS ROTINI</t>
  </si>
  <si>
    <t>BARILLA PLUS SPAGHETTI</t>
  </si>
  <si>
    <t>BARILLA PLUS THN SPAGHETTI</t>
  </si>
  <si>
    <t>BARILLA RCOTTA SPNCH TORTL</t>
  </si>
  <si>
    <t>BARILLA RIGATONI</t>
  </si>
  <si>
    <t>BARILLA ROTINI</t>
  </si>
  <si>
    <t>BARILLA SPAGHETTI RIGATI</t>
  </si>
  <si>
    <t>BARILLA SPAGHETTONI</t>
  </si>
  <si>
    <t>BARILLA TRI-COLOR ROTINI</t>
  </si>
  <si>
    <t>BARILLA WAVY STYLE LASAGNA</t>
  </si>
  <si>
    <t>13.25 O</t>
  </si>
  <si>
    <t>BARILLA WHL GRN SPAGHETTI</t>
  </si>
  <si>
    <t>BARILLA WHLGRN THIN SPAGHE</t>
  </si>
  <si>
    <t>BARILLA WHOLE GRAIN PENNE</t>
  </si>
  <si>
    <t>BARILLA WHOLE GRAIN ROTINI</t>
  </si>
  <si>
    <t>BARILLA ZITI</t>
  </si>
  <si>
    <t>DREAMFLDS ELBOWS</t>
  </si>
  <si>
    <t>DREAMFLDS PENNE RIGATE</t>
  </si>
  <si>
    <t>DREAMFLDS ROTINI</t>
  </si>
  <si>
    <t>DREAMFLDS SPAGHETTI</t>
  </si>
  <si>
    <t>HLTHY HRV MULTIGRAIN FUSILLI</t>
  </si>
  <si>
    <t>HLTHY HRV MULTIGRN SPAGHETTI</t>
  </si>
  <si>
    <t>HLTHY HRV SPAGHETTI</t>
  </si>
  <si>
    <t>HLTHY HRV THIN SPAGHETTI</t>
  </si>
  <si>
    <t>HLTHY HRV WHL WHEAT LINGUINE</t>
  </si>
  <si>
    <t>HLTHY HRV WHOLE WHEAT LASAGN</t>
  </si>
  <si>
    <t>HLTHY HRV WHOLE WHEAT ROTINI</t>
  </si>
  <si>
    <t>HLTHY HRV WIDE NOODLES</t>
  </si>
  <si>
    <t>HLTHY HRV WW PENNE RIGATE</t>
  </si>
  <si>
    <t>MUELLER ELBOW MACARONI</t>
  </si>
  <si>
    <t>MUELLER FETTUCINI</t>
  </si>
  <si>
    <t>MUELLER HEARTY EGG NDLS WD</t>
  </si>
  <si>
    <t>MUELLER ITALN PENNE RIGATE</t>
  </si>
  <si>
    <t>MUELLER LASAGNA</t>
  </si>
  <si>
    <t>MUELLER LINGUINE</t>
  </si>
  <si>
    <t>MUELLER NOODLE EGG HRTY X-</t>
  </si>
  <si>
    <t>MUELLER NOODLE O/F CELLO W</t>
  </si>
  <si>
    <t>MUELLER OFEN MEDIUM</t>
  </si>
  <si>
    <t>MUELLER OLD FASHN EGGNOODL</t>
  </si>
  <si>
    <t>MUELLER PASTA ANGEL HAIR</t>
  </si>
  <si>
    <t>MUELLER PASTA BOW TIES</t>
  </si>
  <si>
    <t>MUELLER PASTA ELBOW MACARN</t>
  </si>
  <si>
    <t>MUELLER PASTA ELBOW MACRNI</t>
  </si>
  <si>
    <t>MUELLER PASTA LASAGNE</t>
  </si>
  <si>
    <t>MUELLER PASTA ROTELLE</t>
  </si>
  <si>
    <t>MUELLER PASTA RUFFLES</t>
  </si>
  <si>
    <t>MUELLER PASTA SPAGHETTI</t>
  </si>
  <si>
    <t>MUELLER PASTA THIN SPAGHTT</t>
  </si>
  <si>
    <t>MUELLER PASTA TWIST MACARN</t>
  </si>
  <si>
    <t>MUELLER PASTA TWIST TRIO</t>
  </si>
  <si>
    <t>MUELLER PASTA VERMICELLI</t>
  </si>
  <si>
    <t>MUELLER SEA SHELLS</t>
  </si>
  <si>
    <t>MUELLER SHELLS SEA SMALL</t>
  </si>
  <si>
    <t>MUELLER SPAGHETTI REGULAR</t>
  </si>
  <si>
    <t>MUELLER SPAGHETTI THIN</t>
  </si>
  <si>
    <t>MUELLERS HEARTY X-WIDE</t>
  </si>
  <si>
    <t>MUELLERS PASTA ELBOW MACARN</t>
  </si>
  <si>
    <t>MUELLERS READY CUT MACARONI</t>
  </si>
  <si>
    <t>MUELLERS WHL/MTLGRN SPAGHET</t>
  </si>
  <si>
    <t>NO YOLKS BROAD NOODLES</t>
  </si>
  <si>
    <t>NO YOLKS PASTA, DUMPLINGS</t>
  </si>
  <si>
    <t>NO YOLKS XTRA BROAD NOODLES</t>
  </si>
  <si>
    <t>PEN DUTCH FINE NOODLES</t>
  </si>
  <si>
    <t>PEN DUTCH PASTA HMSTYLE EGG</t>
  </si>
  <si>
    <t>RICHFOOD BOW TIES</t>
  </si>
  <si>
    <t>RICHFOOD EGG NOODLE X WIDE</t>
  </si>
  <si>
    <t>RICHFOOD ELBOW MAC BOX</t>
  </si>
  <si>
    <t>RICHFOOD ELBOW MACARONI</t>
  </si>
  <si>
    <t>RICHFOOD FETUCCINI</t>
  </si>
  <si>
    <t>RICHFOOD MEDIUM EGG NOODLES</t>
  </si>
  <si>
    <t>RICHFOOD PASTA ANGEL HAIR</t>
  </si>
  <si>
    <t>RICHFOOD PASTA ELBOW WW</t>
  </si>
  <si>
    <t>RICHFOOD PASTA LASAGNA</t>
  </si>
  <si>
    <t>RICHFOOD PASTA LINGUINE</t>
  </si>
  <si>
    <t>RICHFOOD PASTA NOODLE XW YF</t>
  </si>
  <si>
    <t>RICHFOOD PASTA PENNE RIGATO</t>
  </si>
  <si>
    <t>RICHFOOD PASTA PENNE WW</t>
  </si>
  <si>
    <t>RICHFOOD PASTA ROTINI</t>
  </si>
  <si>
    <t>RICHFOOD PASTA ROTINI WW</t>
  </si>
  <si>
    <t>RICHFOOD PASTA SEASHELLS</t>
  </si>
  <si>
    <t>RICHFOOD PASTA SPAG THN WW</t>
  </si>
  <si>
    <t>RICHFOOD PASTA SPAGHETTI WW</t>
  </si>
  <si>
    <t>RICHFOOD PASTA ZITI</t>
  </si>
  <si>
    <t>RICHFOOD PENNE RIG PLUS OM3</t>
  </si>
  <si>
    <t>RICHFOOD RIGATONI IMPORTED</t>
  </si>
  <si>
    <t>RICHFOOD ROTINI PLUS OMEGA3</t>
  </si>
  <si>
    <t>RICHFOOD SPA GHETTI THIN BO</t>
  </si>
  <si>
    <t>RICHFOOD SPAGH PLUS OMEGA3</t>
  </si>
  <si>
    <t>RICHFOOD SPAGHETTI</t>
  </si>
  <si>
    <t>RICHFOOD SPEGHETTI REG BOX</t>
  </si>
  <si>
    <t>RICHFOOD THIN SPAGHETTI</t>
  </si>
  <si>
    <t>RICHFOOD VERMICELLI</t>
  </si>
  <si>
    <t>RICHFOOD WIDE EGG NOODLES</t>
  </si>
  <si>
    <t>RONZONI BISTRO LINGUINE CH</t>
  </si>
  <si>
    <t>RONZONI BISTRO PENNE CHICK</t>
  </si>
  <si>
    <t>RONZONI BISTRO ROTINI TOMA</t>
  </si>
  <si>
    <t>RONZONI BISTRO SPAG W/MEAT</t>
  </si>
  <si>
    <t>RONZONI X-WIDE NOODLES</t>
  </si>
  <si>
    <t>S GIORGIO CUT ZITI</t>
  </si>
  <si>
    <t>S GIORGIO FARFALLE</t>
  </si>
  <si>
    <t>S GIORGIO FETTUC GRLC &amp; HERB</t>
  </si>
  <si>
    <t>S GIORGIO LARGE SHELLS</t>
  </si>
  <si>
    <t>S GIORGIO LASAGNE OVEN READY</t>
  </si>
  <si>
    <t>S GIORGIO LT.&amp;FLUFFY TWIRLS</t>
  </si>
  <si>
    <t>S GIORGIO MEDIUM SHELL</t>
  </si>
  <si>
    <t>S GIORGIO MOSTACCIOLI RIGATI</t>
  </si>
  <si>
    <t>S GIORGIO PASTA DUMP NOODLE</t>
  </si>
  <si>
    <t>S GIORGIO PASTA ELBOW MACARN</t>
  </si>
  <si>
    <t>S GIORGIO PASTA FETTUCC FLRN</t>
  </si>
  <si>
    <t>S GIORGIO PASTA FETTUCCINI</t>
  </si>
  <si>
    <t>S GIORGIO PASTA JUMBO SHELL</t>
  </si>
  <si>
    <t>S GIORGIO PASTA MANICOTTI</t>
  </si>
  <si>
    <t>S GIORGIO PASTA MED NOODLE</t>
  </si>
  <si>
    <t>S GIORGIO PASTA REG SPAGHETT</t>
  </si>
  <si>
    <t>S GIORGIO PASTA ROTINI</t>
  </si>
  <si>
    <t>S GIORGIO PASTA SPAGHETTI</t>
  </si>
  <si>
    <t>S GIORGIO PASTA THIN SPAGETI</t>
  </si>
  <si>
    <t>S GIORGIO PASTA THIN SPAGHET</t>
  </si>
  <si>
    <t>S GIORGIO PASTA TRIO ITALIAN</t>
  </si>
  <si>
    <t>S GIORGIO PASTA VERMICELLI</t>
  </si>
  <si>
    <t>S GIORGIO PASTA WIDE NOODLE</t>
  </si>
  <si>
    <t>S GIORGIO PASTA XWIDE NOODLS</t>
  </si>
  <si>
    <t>S GIORGIO PASTA, CAPELLINI</t>
  </si>
  <si>
    <t>S GIORGIO PASTA, LINGUINI</t>
  </si>
  <si>
    <t>S GIORGIO PENNE RIGATE</t>
  </si>
  <si>
    <t>S GIORGIO RIGATONI</t>
  </si>
  <si>
    <t>S GIORGIO ROTELLE</t>
  </si>
  <si>
    <t>S GIORGIO SAN G NON EGG FETC</t>
  </si>
  <si>
    <t>S GIORIGO ANGEL HAIR</t>
  </si>
  <si>
    <t>S GIORIGO PASTA RIPPLD LASGN</t>
  </si>
  <si>
    <t>SMART TST ELBOWS</t>
  </si>
  <si>
    <t>SMART TST PENNE RIGATE</t>
  </si>
  <si>
    <t>SMART TST ROTINI</t>
  </si>
  <si>
    <t>SMART TST SPAGHETTI</t>
  </si>
  <si>
    <t>SMART TST THIN SPAGHETTI</t>
  </si>
  <si>
    <t>WACKY MAC VEGGIE SHAPE</t>
  </si>
  <si>
    <t>WACKY MAC VEGGIE SPIRAL</t>
  </si>
  <si>
    <t>B CROCKER CH FRIED RICE</t>
  </si>
  <si>
    <t>6.20 OZ</t>
  </si>
  <si>
    <t>B CROCKER DINNER SALISBURY</t>
  </si>
  <si>
    <t>B CROCKER H HELP CRNCHY TACO</t>
  </si>
  <si>
    <t>B CROCKER HH BEEF PASTA</t>
  </si>
  <si>
    <t>B CROCKER HH CHEDR CHES MELT</t>
  </si>
  <si>
    <t>6.9 OZ</t>
  </si>
  <si>
    <t>B CROCKER HH CHILI TOMATO</t>
  </si>
  <si>
    <t>B CROCKER HH CHSY JAMBALAYA</t>
  </si>
  <si>
    <t>B CROCKER HH CHSY RNCH BRGR</t>
  </si>
  <si>
    <t>B CROCKER HH DBL CHBURG MAC</t>
  </si>
  <si>
    <t>B CROCKER HH ITALIAN SAUSAGE</t>
  </si>
  <si>
    <t>B CROCKER HH LASAGNA</t>
  </si>
  <si>
    <t>B CROCKER HH PHILLY CHSTK</t>
  </si>
  <si>
    <t>6.7 OZ</t>
  </si>
  <si>
    <t>B CROCKER HH SLOPPY JOE 5SRV</t>
  </si>
  <si>
    <t>B CROCKER HH SPAGHETTI</t>
  </si>
  <si>
    <t>B CROCKER HH TOMATO BASL PNE</t>
  </si>
  <si>
    <t>B CROCKER HMB HEL CHS QUESDI</t>
  </si>
  <si>
    <t>8.2 OZ</t>
  </si>
  <si>
    <t>B CROCKER RST FV CHK ALF DNR</t>
  </si>
  <si>
    <t>B CROCKER RST FV CHK MARSALA</t>
  </si>
  <si>
    <t>B CROCKER RST FV CRMY BASIL</t>
  </si>
  <si>
    <t>B CROCKER RST FV GR HRB/CHKN</t>
  </si>
  <si>
    <t>B CROCKER SALADS CLASSC PAST</t>
  </si>
  <si>
    <t>B CROCKER SD SALAD CRMY ITAL</t>
  </si>
  <si>
    <t>B CROCKER SD SALAD RNCH/BACN</t>
  </si>
  <si>
    <t>7.25 OZ</t>
  </si>
  <si>
    <t>B CROCKER TH CHEESY PASTA</t>
  </si>
  <si>
    <t>B CROCKER TH CRMY PARMESAN</t>
  </si>
  <si>
    <t>35.6 OZ</t>
  </si>
  <si>
    <t>BANQUET HSB BEEF STEW</t>
  </si>
  <si>
    <t>33.2 OZ</t>
  </si>
  <si>
    <t>BANQUET HSB CKN DUMPLINGS</t>
  </si>
  <si>
    <t>BANQUET HSB CRMY CKN BISC</t>
  </si>
  <si>
    <t>BC H HLPR 3 CHS DNR KIT</t>
  </si>
  <si>
    <t>BC H HLPR STRGNF DNR KIT</t>
  </si>
  <si>
    <t>BETTY CRO HMBRGR HLPR BCN CH</t>
  </si>
  <si>
    <t>BETTY CRO HMBRGR HLPR CHSY I</t>
  </si>
  <si>
    <t>BETTY CRO HMBRGR HLPR FOUR C</t>
  </si>
  <si>
    <t>BETTY CRO TUNA HLPR CRMY PST</t>
  </si>
  <si>
    <t>BETTY CRO TUNA HLPR CRMY BRC</t>
  </si>
  <si>
    <t>BETTY CRO TUNA HLPR FET ALFR</t>
  </si>
  <si>
    <t>17.8 OZ</t>
  </si>
  <si>
    <t>CAMPBELLS BKS RST CKN/STFFNG</t>
  </si>
  <si>
    <t>CAMPBELLS LEMN CHIC HRB RICE</t>
  </si>
  <si>
    <t>21.7 OZ</t>
  </si>
  <si>
    <t>CAMPBELLS SUP BK GAR/CH/PSTA</t>
  </si>
  <si>
    <t>19.8 OZ</t>
  </si>
  <si>
    <t>CAMPBELLS SUP BKS HRB CHICKN</t>
  </si>
  <si>
    <t>38.5 OZ</t>
  </si>
  <si>
    <t>CHEF B RD SPAGH DINNER KIT</t>
  </si>
  <si>
    <t>CHKN HLPR CRMY CHK NDL DNR</t>
  </si>
  <si>
    <t>FURMANS S/O 3 BEAN SALAD</t>
  </si>
  <si>
    <t>5.8 OZ</t>
  </si>
  <si>
    <t>HAMB HLPR CHEESBRGR MACARONI</t>
  </si>
  <si>
    <t>HAMB HLPR FRIED RICE DNR KIT</t>
  </si>
  <si>
    <t>HAMB HLPR WHLS CHSBRG MAC KT</t>
  </si>
  <si>
    <t>HAMB HLPR WHLSM STROGNOF KIT</t>
  </si>
  <si>
    <t>HANB HLPR MONGOLIAN STY DNR</t>
  </si>
  <si>
    <t>35.7 OZ</t>
  </si>
  <si>
    <t>HOMESTYLE CHICKEN ALFREDO</t>
  </si>
  <si>
    <t>KNORR SP VEG CHEDR PASTA</t>
  </si>
  <si>
    <t>36.25 O</t>
  </si>
  <si>
    <t>KRAFT 5PK MAC&amp;CHZ DINNER</t>
  </si>
  <si>
    <t>KRAFT BTRO DLX SUNTOM PA</t>
  </si>
  <si>
    <t>KRAFT CHEDDAR DLXE SHRP</t>
  </si>
  <si>
    <t>KRAFT DLX MAC &amp; CHS DNR</t>
  </si>
  <si>
    <t>KRAFT DLX MAC 4-CHS DINR</t>
  </si>
  <si>
    <t>KRAFT DLX ORG MC&amp;CHS FAM</t>
  </si>
  <si>
    <t>KRAFT EASY MAC EXTRM CHS</t>
  </si>
  <si>
    <t>KRAFT EASY MAC&amp;CHZ DINNR</t>
  </si>
  <si>
    <t>KRAFT EZMAC BIG PK ORGNL</t>
  </si>
  <si>
    <t>KRAFT FAM VELV SHELL CHZ</t>
  </si>
  <si>
    <t>KRAFT HMSTYLE MAC PASTA</t>
  </si>
  <si>
    <t>KRAFT MAC &amp; CHEESE DINNR</t>
  </si>
  <si>
    <t>KRAFT MAC&amp;CHS BLUE BOX</t>
  </si>
  <si>
    <t>KRAFT MAC&amp;CHS LIGHT DLX</t>
  </si>
  <si>
    <t>7.3 OZ</t>
  </si>
  <si>
    <t>KRAFT MAC&amp;CHZ WHT CHD DN</t>
  </si>
  <si>
    <t>KRAFT ORGANIC  ELBW/CHED</t>
  </si>
  <si>
    <t>KRAFT ORGANIC SH/WHTCHED</t>
  </si>
  <si>
    <t>KRAFT PASTA LITE ITALIAN</t>
  </si>
  <si>
    <t>KRAFT PASTA RANCHRS CHCE</t>
  </si>
  <si>
    <t>KRAFT SCOOBY MAC&amp;CHEESE</t>
  </si>
  <si>
    <t>KRAFT SPIRAL MAC&amp;CHZ DIN</t>
  </si>
  <si>
    <t>KRAFT THK&amp;CRMY MACCHZ DN</t>
  </si>
  <si>
    <t>KRAFT THREE CHEESE MACRN</t>
  </si>
  <si>
    <t>KRAFT VELV SHELLS N CHSE</t>
  </si>
  <si>
    <t>LIPTON ASIAN BEEF LO MEIN</t>
  </si>
  <si>
    <t>LIPTON ASIAN TERIYAKI NDL</t>
  </si>
  <si>
    <t>LIPTON ITAL SD CRMY GARLC</t>
  </si>
  <si>
    <t>LIPTON ITAL SD TOM PARMSN</t>
  </si>
  <si>
    <t>4.3 OZ</t>
  </si>
  <si>
    <t>LIPTON KNSPV ALF PASTA PR</t>
  </si>
  <si>
    <t>LIPTON KNSPV GAR/BRC RTNI</t>
  </si>
  <si>
    <t>LIPTON KNSPV TERNDL/ASNVG</t>
  </si>
  <si>
    <t>LIPTON PASTA SDS ALFREDO</t>
  </si>
  <si>
    <t>LIPTON PASTA SDS PARMESAN</t>
  </si>
  <si>
    <t>LIPTON PASTA SIDE CHICKEN</t>
  </si>
  <si>
    <t>LIPTON PASTA SIDES BEEF</t>
  </si>
  <si>
    <t>LIPTON PST SD ALFRDO BROC</t>
  </si>
  <si>
    <t>LIPTON PSTA SD CRMY CHKN</t>
  </si>
  <si>
    <t>LIPTON PSTA SDS CHED/BROC</t>
  </si>
  <si>
    <t>LIPTON PSTA SDS CHKN BROC</t>
  </si>
  <si>
    <t>LIPTON PSTA SDS HERB/BTTR</t>
  </si>
  <si>
    <t>LIPTON PSTA SDS MILD CHED</t>
  </si>
  <si>
    <t>LIPTON PSTA SDS STROGANFF</t>
  </si>
  <si>
    <t>LIPTON PSTA SIDES BUTTER</t>
  </si>
  <si>
    <t>LIPTON THAI SESAME NOODLE</t>
  </si>
  <si>
    <t>NOODLRONI ANGEL HAIR HERBAL</t>
  </si>
  <si>
    <t>NOODLRONI DINNR FETTUCCINI</t>
  </si>
  <si>
    <t>NOODLRONI LINQUINE/CHIC/BR</t>
  </si>
  <si>
    <t>NOODLRONI SHELL &amp; WH CHEDDAR</t>
  </si>
  <si>
    <t>NOODLRONI VRMCL W/GAR/OLV OL</t>
  </si>
  <si>
    <t>PASTARONI ANGEL HR PARMSN CH</t>
  </si>
  <si>
    <t>PASTARONI BUTTER &amp; GARLIC</t>
  </si>
  <si>
    <t>PASTARONI GARLIC ALFREDO</t>
  </si>
  <si>
    <t>PASTARONI OLIVE</t>
  </si>
  <si>
    <t>RICHFOOD CHEESEBRGR DINNER</t>
  </si>
  <si>
    <t>RICHFOOD CHIC FETT ALF DINR</t>
  </si>
  <si>
    <t>RICHFOOD CREAM TUNA DINNER</t>
  </si>
  <si>
    <t>6.75 OZ</t>
  </si>
  <si>
    <t>RICHFOOD DINNER BEEF NOODLE</t>
  </si>
  <si>
    <t>RICHFOOD DLX MAC &amp; CHZ DINR</t>
  </si>
  <si>
    <t>RICHFOOD DLX SHELL AND CHED</t>
  </si>
  <si>
    <t>RICHFOOD HAMB STROG DINNER</t>
  </si>
  <si>
    <t>RICHFOOD LASAGNA DINNER</t>
  </si>
  <si>
    <t>RICHFOOD MAC&amp;CHEESE DINNER</t>
  </si>
  <si>
    <t>RICHFOOD MAC&amp;CHEESE SHELLS</t>
  </si>
  <si>
    <t>RICHFOOD MW MAC &amp; CHZ DINNR</t>
  </si>
  <si>
    <t>RICHFOOD NDL &amp; SCE BEEF</t>
  </si>
  <si>
    <t>RICHFOOD NDLS IN SCE ALFRED</t>
  </si>
  <si>
    <t>RICHFOOD NOODLES &amp; SCE CHKN</t>
  </si>
  <si>
    <t>RICHFOOD WHT CHDR MAC CHZ</t>
  </si>
  <si>
    <t>SHOP VALU MACARONI &amp; CHEESE</t>
  </si>
  <si>
    <t>VELVEETA SHELLS BACON</t>
  </si>
  <si>
    <t>VELVEETA SHELLS LIGHT CHSE</t>
  </si>
  <si>
    <t>9.4 OZ</t>
  </si>
  <si>
    <t>VELVEETA SHELLS ROT/CHZ/BRO</t>
  </si>
  <si>
    <t>CAMPBELLS SPAGETTIOS W/CALCM</t>
  </si>
  <si>
    <t>CAMPBELLS SPAGHETTI</t>
  </si>
  <si>
    <t>CAMPBELLS SPAGHETTIOS</t>
  </si>
  <si>
    <t>CAMPBELLS SPAGHETTIOS DORA E</t>
  </si>
  <si>
    <t>CAMPBELLS SPAGHETTIOS W/FRNK</t>
  </si>
  <si>
    <t>CAMPBELLS SPAGHETTIOS W/MTBL</t>
  </si>
  <si>
    <t>26.25 O</t>
  </si>
  <si>
    <t>CHEF B RD ABC,123 PSTA PLAIN</t>
  </si>
  <si>
    <t>CHEF B RD BIG BEEFARONI</t>
  </si>
  <si>
    <t>CHEF B RD CHSBRGR MACARONI</t>
  </si>
  <si>
    <t>CHEF B RD DINNER BEEFARONI</t>
  </si>
  <si>
    <t>CHEF B RD DINNR ABC/123/MTBL</t>
  </si>
  <si>
    <t>CHEF B RD DINNR BEEFARONI</t>
  </si>
  <si>
    <t>CHEF B RD DINNR LASAGNA</t>
  </si>
  <si>
    <t>CHEF B RD DINNR RAVIOLI/MINI</t>
  </si>
  <si>
    <t>CHEF B RD DINNR SPAGH W/MTBL</t>
  </si>
  <si>
    <t>CHEF B RD DINOSAUR PASTA CHS</t>
  </si>
  <si>
    <t>CHEF B RD MAC &amp; CHEESE</t>
  </si>
  <si>
    <t>CHEF B RD MIN BTS BF RAV MTB</t>
  </si>
  <si>
    <t>CHEF B RD MINI BITES MINIO'S</t>
  </si>
  <si>
    <t>CHEF B RD MINI SHELL MTBALLS</t>
  </si>
  <si>
    <t>CHEF B RD MINI SPAG &amp; MTBALL</t>
  </si>
  <si>
    <t>CHEF B RD PPRONI PIZZAZAROLI</t>
  </si>
  <si>
    <t>CHEF B RD RAVI OVERSTUFFED</t>
  </si>
  <si>
    <t>CHEF B RD RAVIOLI BEEF</t>
  </si>
  <si>
    <t>CHEF B RD RAVIOLI MINI</t>
  </si>
  <si>
    <t>CHEF B RD SPAGHETTI MEATBALL</t>
  </si>
  <si>
    <t>CHEF B RD SPAGHETTI W/MTBALL</t>
  </si>
  <si>
    <t>CHEF B RD SPAGTI W/JUMBO MB</t>
  </si>
  <si>
    <t>CHEF B RD TOMATO/BEEF TWISTS</t>
  </si>
  <si>
    <t>CHEF B RD TWST CHILI CHS DOG</t>
  </si>
  <si>
    <t>CHEF BOYA CB SEALF FORK CUP</t>
  </si>
  <si>
    <t>CHEF BOYA CB SEALIFE FORKABL</t>
  </si>
  <si>
    <t>CHEF BOYA CB SPRT FORK CUP</t>
  </si>
  <si>
    <t>CHEF BOYA CB SPT FORKABLE</t>
  </si>
  <si>
    <t>RICHFOOD BEEF RAV BITE SIZE</t>
  </si>
  <si>
    <t>RICHFOOD BEEF RAVIOLI</t>
  </si>
  <si>
    <t>RICHFOOD MACARONI &amp; BEEF</t>
  </si>
  <si>
    <t>RICHFOOD MINI BEEF RAVIOLI</t>
  </si>
  <si>
    <t>RICHFOOD PASTA MNI SPGH MTB</t>
  </si>
  <si>
    <t>RICHFOOD RAVIOLI BEEF</t>
  </si>
  <si>
    <t>RICHFOOD SPAG RINGS W/MTBAL</t>
  </si>
  <si>
    <t>RICHFOOD SPAGHETTI &amp; MEATBL</t>
  </si>
  <si>
    <t>RICHFOOD SPAGHETTI RINGS</t>
  </si>
  <si>
    <t>SPAGHETIO DISNEY PRNCSS SHPS</t>
  </si>
  <si>
    <t>SPAGHETIO DISNY PRNCSS W/MTB</t>
  </si>
  <si>
    <t>80 OZ</t>
  </si>
  <si>
    <t>CAROLINA LONG GRN RICE</t>
  </si>
  <si>
    <t>20 LB</t>
  </si>
  <si>
    <t>CAROLINA RICE 20 LB</t>
  </si>
  <si>
    <t>COMET LONG GR BROWN RICE</t>
  </si>
  <si>
    <t>COMET RICE 20% BRKN</t>
  </si>
  <si>
    <t>COMET RICE PREM LONG GRN</t>
  </si>
  <si>
    <t>DRAGON RICE LONG GRN 50%</t>
  </si>
  <si>
    <t>5 LB</t>
  </si>
  <si>
    <t>DRAGON RICE LONG GRN 50&amp;</t>
  </si>
  <si>
    <t>KASHI 7 GRAIN PILAF ORIG</t>
  </si>
  <si>
    <t>KASHI 7GRAIN PILAF CURRY</t>
  </si>
  <si>
    <t>KASHI 7GRAIN PILF FIESTA</t>
  </si>
  <si>
    <t>KNORR CHEDDAR RICE &amp; VEG</t>
  </si>
  <si>
    <t>KNORR RST CHKN RICE&amp; VEG</t>
  </si>
  <si>
    <t>KNORR SP VEG FRIED RICE</t>
  </si>
  <si>
    <t>KNORR SP VEG GDN HRB RCE</t>
  </si>
  <si>
    <t>LIPTON CAJ SDS RD BNS/RCE</t>
  </si>
  <si>
    <t>LIPTON CAJN GARLC BTR RCE</t>
  </si>
  <si>
    <t>LIPTON CAJN SD DIRTY RICE</t>
  </si>
  <si>
    <t>LIPTON DNR CRMY CHCKN RCE</t>
  </si>
  <si>
    <t>LIPTON FIESTA SD TACO RCE</t>
  </si>
  <si>
    <t>LIPTON RICE &amp; SC BROC/CHS</t>
  </si>
  <si>
    <t>LIPTON RICE SD CHKN BROC</t>
  </si>
  <si>
    <t>LIPTON RICE SD CHKN FRIED</t>
  </si>
  <si>
    <t>LIPTON RICE SD SR CRM BTR</t>
  </si>
  <si>
    <t>LIPTON RICE SIDE CHICKEN</t>
  </si>
  <si>
    <t>LIPTON RICE SIDE MUSHROOM</t>
  </si>
  <si>
    <t>LIPTON RICE SIDES BEEF</t>
  </si>
  <si>
    <t>LIPTON RICE SIDES MEDLEY</t>
  </si>
  <si>
    <t>LIPTON RICE SIDES MEXICAN</t>
  </si>
  <si>
    <t>LIPTON RICE SIDES SPANISH</t>
  </si>
  <si>
    <t>LIPTON RICE&amp;SCE TERIYAKI</t>
  </si>
  <si>
    <t>MAHATMA BASMATI RICE</t>
  </si>
  <si>
    <t>MAHATMA BROWN RICE</t>
  </si>
  <si>
    <t>MAHATMA EXTRA LNG GRN RICE</t>
  </si>
  <si>
    <t>MAHATMA JASMINE RICE</t>
  </si>
  <si>
    <t>MAHATMA LONG GRAIN RICE</t>
  </si>
  <si>
    <t>MAHATMA RICE LONG GRN/YELW</t>
  </si>
  <si>
    <t>MINUTE BOIL IN BAG RICE</t>
  </si>
  <si>
    <t>MINUTE MINUTE BROWN RICE</t>
  </si>
  <si>
    <t>MINUTE MINUTE WHITE RICE</t>
  </si>
  <si>
    <t>MINUTE PREMIUM RICE</t>
  </si>
  <si>
    <t>MINUTE RC RTS WHLGRBR/WLD RC</t>
  </si>
  <si>
    <t>MINUTE WHL GRN BRN RICE</t>
  </si>
  <si>
    <t>MINUTE YELLOW RICE MIX</t>
  </si>
  <si>
    <t>RICEARONI 4 CHEESE</t>
  </si>
  <si>
    <t>RICEARONI BEEF</t>
  </si>
  <si>
    <t>RICEARONI BEEF LOW SALT</t>
  </si>
  <si>
    <t>RICEARONI BROCCOLI AU GRATIN</t>
  </si>
  <si>
    <t>RICEARONI CHICKEN</t>
  </si>
  <si>
    <t>RICEARONI CHICKEN TERIYAKI</t>
  </si>
  <si>
    <t>RICEARONI COUNTRY CHEDDAR</t>
  </si>
  <si>
    <t>RICEARONI LOW SODIUM CHICKEN</t>
  </si>
  <si>
    <t>RICEARONI NTWAY PARM ROMN CH</t>
  </si>
  <si>
    <t>RICEARONI PARMESAN CHICKEN</t>
  </si>
  <si>
    <t>RICEARONI RICE CHICKEN</t>
  </si>
  <si>
    <t>RICEARONI RICE CHICKN&amp;BROCCL</t>
  </si>
  <si>
    <t>RICEARONI RICE FRIED</t>
  </si>
  <si>
    <t>RICEARONI RICE HERB &amp; BUTTER</t>
  </si>
  <si>
    <t>RICEARONI RICE PILAF</t>
  </si>
  <si>
    <t>RICEARONI RICE WILD LONG GRN</t>
  </si>
  <si>
    <t>RICEARONI RICE, SPANISH/MIX</t>
  </si>
  <si>
    <t>RICEARONI WHOLE GRN CHKN HRB</t>
  </si>
  <si>
    <t>RICEARONI WHOLE GRN RST GARL</t>
  </si>
  <si>
    <t>RICEARONI WHOLE GRN SPANISH</t>
  </si>
  <si>
    <t>RICHFOOD BEEF RICE MIX</t>
  </si>
  <si>
    <t>RICHFOOD INSTANT RICE</t>
  </si>
  <si>
    <t>RICHFOOD LONG GRAIN RICE</t>
  </si>
  <si>
    <t>10 LB</t>
  </si>
  <si>
    <t>RICHFOOD LONG GRN RICE POLY</t>
  </si>
  <si>
    <t>RICHFOOD RICE &amp; SCE BROC CH</t>
  </si>
  <si>
    <t>RICHFOOD RICE &amp; SCE CHICKEN</t>
  </si>
  <si>
    <t>3 LB</t>
  </si>
  <si>
    <t>RICHFOOD RICE LONG GRAIN</t>
  </si>
  <si>
    <t>RICHFOOD RICE MIX CHICKEN</t>
  </si>
  <si>
    <t>RIVER MED GRAIN RICE</t>
  </si>
  <si>
    <t>RIVER RICE WHITE</t>
  </si>
  <si>
    <t>RIVIANA MINUTE WHITE RICE</t>
  </si>
  <si>
    <t>SHOPVALUE RICE LONG GRAIN</t>
  </si>
  <si>
    <t>SHOPVALUE RICE WHT LG GRAIN</t>
  </si>
  <si>
    <t>SUCCESS BOIL IN BAG BROWN</t>
  </si>
  <si>
    <t>SUCCESS BOIL IN BAG JASMIN</t>
  </si>
  <si>
    <t>SUCCESS BOIL IN BAG RICE</t>
  </si>
  <si>
    <t>SUCCESS RICE</t>
  </si>
  <si>
    <t>SUCCESS RICE BROWN SUCCESS</t>
  </si>
  <si>
    <t>SUCCESS RICE ENRICHED</t>
  </si>
  <si>
    <t>SUCCESS RICE WHITE</t>
  </si>
  <si>
    <t>UNCLE BEN CHKN BRWN READY RC</t>
  </si>
  <si>
    <t>UNCLE BEN CNTRY INN AU GRT</t>
  </si>
  <si>
    <t>UNCLE BEN CNTRY INN CKN BROC</t>
  </si>
  <si>
    <t>UNCLE BEN CNTRY INN CKN/VEG</t>
  </si>
  <si>
    <t>UNCLE BEN CNTRY INN MEX FSTA</t>
  </si>
  <si>
    <t>UNCLE BEN CNTRY INN PILAF</t>
  </si>
  <si>
    <t>UNCLE BEN FST&amp;NATINSTWHLGRN</t>
  </si>
  <si>
    <t>UNCLE BEN GARDN VEG READY RC</t>
  </si>
  <si>
    <t>UNCLE BEN HERB ROASTED CHCKN</t>
  </si>
  <si>
    <t>UNCLE BEN L G BRN /WLD/MUSHR</t>
  </si>
  <si>
    <t>UNCLE BEN ORIG BROWN RICE</t>
  </si>
  <si>
    <t>UNCLE BEN RC CNTRY INN ORIEN</t>
  </si>
  <si>
    <t>UNCLE BEN RDY RC BASMATI</t>
  </si>
  <si>
    <t>UNCLE BEN RDY RICE BUTTERY</t>
  </si>
  <si>
    <t>UNCLE BEN RDY RICE CAJUN STL</t>
  </si>
  <si>
    <t>UNCLE BEN RDY RICE JASMINE</t>
  </si>
  <si>
    <t>UNCLE BEN RDY RICE PILAF</t>
  </si>
  <si>
    <t>UNCLE BEN RDY RICE TERIYAKI</t>
  </si>
  <si>
    <t>UNCLE BEN RDY RICE WH GR BRN</t>
  </si>
  <si>
    <t>UNCLE BEN READY RICE 4 CHEES</t>
  </si>
  <si>
    <t>UNCLE BEN READY RICE LG/WILD</t>
  </si>
  <si>
    <t>UNCLE BEN READY RICE ORIG LG</t>
  </si>
  <si>
    <t>UNCLE BEN READY RICE RST CKN</t>
  </si>
  <si>
    <t>UNCLE BEN READY RICE SPANISH</t>
  </si>
  <si>
    <t>UNCLE BEN RICE BOIL IN A BAG</t>
  </si>
  <si>
    <t>UNCLE BEN RICE BOIL/BAG</t>
  </si>
  <si>
    <t>UNCLE BEN RICE CONVERTED</t>
  </si>
  <si>
    <t>UNCLE BEN RICE DISH W/CHICKN</t>
  </si>
  <si>
    <t>UNCLE BEN RICE INSTANT</t>
  </si>
  <si>
    <t>UNCLE BEN RICE LG GRN &amp; WILD</t>
  </si>
  <si>
    <t>UNCLE BEN RICE VEG W/CHICKEN</t>
  </si>
  <si>
    <t>UNCLE BEN RICE WILD FAST CKG</t>
  </si>
  <si>
    <t>UNCLE BEN RSTD GRLC/WILD GRN</t>
  </si>
  <si>
    <t>UNCLE BEN SUNDRD TOM FLORENT</t>
  </si>
  <si>
    <t>UNCLE BEN WHL GRN BROWN BNB</t>
  </si>
  <si>
    <t>UNCLE BEN WHL GRN BROWN RICE</t>
  </si>
  <si>
    <t>UNCLE BEN WHL GRN SANTA FE</t>
  </si>
  <si>
    <t>UNCLE BEN WHL GRN VEG HARVST</t>
  </si>
  <si>
    <t>UNCLE BEN WHLGRN BRWN&amp;WLD RC</t>
  </si>
  <si>
    <t>ZATARAINS BEEF FLAVOR RICE</t>
  </si>
  <si>
    <t>ZATARAINS CARIB RICE MIX</t>
  </si>
  <si>
    <t>5.70 OZ</t>
  </si>
  <si>
    <t>ZATARAINS CHEDDAR BROC RICE</t>
  </si>
  <si>
    <t>ZATARAINS GUMBO MIX</t>
  </si>
  <si>
    <t>ZATARAINS JAMBALAYA MIX</t>
  </si>
  <si>
    <t>ZATARAINS LOW SOD JAMBALAYA</t>
  </si>
  <si>
    <t>ZATARAINS LOW SODIUM REDBEAN</t>
  </si>
  <si>
    <t>ZATARAINS LWSOD DIRTYRICE MX</t>
  </si>
  <si>
    <t>ZATARAINS RED BEANS &amp; RICE</t>
  </si>
  <si>
    <t>ZATARAINS RICE BEANS BLACK</t>
  </si>
  <si>
    <t>ZATARAINS RICE CHICKEN FLAVR</t>
  </si>
  <si>
    <t>ZATARAINS RICE LG &amp; WILD</t>
  </si>
  <si>
    <t>ZATARAINS RICE MIX DIRTY</t>
  </si>
  <si>
    <t>ZATARAINS RICE PILAF</t>
  </si>
  <si>
    <t>ZATARAINS RICE YELLOW</t>
  </si>
  <si>
    <t>ZATARAINS SMOTHERED CKN/RICE</t>
  </si>
  <si>
    <t>ZATARAINS SPANISH RICE</t>
  </si>
  <si>
    <t>HURST 15 BEAN CHCKN SOUP</t>
  </si>
  <si>
    <t>HURST 15 BEAN SOUP CAJUN</t>
  </si>
  <si>
    <t>HURST 15 BEAN SOUP MX</t>
  </si>
  <si>
    <t>HURST BLACK BEAN SOUP</t>
  </si>
  <si>
    <t>HURST NAVY BEAN SOUP</t>
  </si>
  <si>
    <t>HURST PINTO BEANS W HAM</t>
  </si>
  <si>
    <t>QUAKER REG SCOTCH BARLEY</t>
  </si>
  <si>
    <t>RICHFOOD 16 BEAN SOUP W/HAM</t>
  </si>
  <si>
    <t>RICHFOOD BARLEY</t>
  </si>
  <si>
    <t>RICHFOOD BLACK EYE PEAS</t>
  </si>
  <si>
    <t>RICHFOOD BLACK TURTLE BEANS</t>
  </si>
  <si>
    <t>RICHFOOD CRANBERRY BEANS</t>
  </si>
  <si>
    <t>RICHFOOD GREAT NORTHERN BEA</t>
  </si>
  <si>
    <t>RICHFOOD GRT NORTHERN BEANS</t>
  </si>
  <si>
    <t>RICHFOOD KIDNEY BEANS RED</t>
  </si>
  <si>
    <t>RICHFOOD LENTILS</t>
  </si>
  <si>
    <t>RICHFOOD LIMA BEANS LARGE</t>
  </si>
  <si>
    <t>RICHFOOD LIMAS BABY</t>
  </si>
  <si>
    <t>RICHFOOD LIMAS LARGE</t>
  </si>
  <si>
    <t>RICHFOOD NAVY BEANS</t>
  </si>
  <si>
    <t>4 LB</t>
  </si>
  <si>
    <t>RICHFOOD SPLIT PEAS</t>
  </si>
  <si>
    <t>3-DIAMOND SLC BAMBO SHOOT</t>
  </si>
  <si>
    <t>3-DIAMOND SLC WATER CHESTNUT</t>
  </si>
  <si>
    <t>10 FZ</t>
  </si>
  <si>
    <t>KIKKOMAN SAUCE SOY</t>
  </si>
  <si>
    <t>KIKKOMAN SAUCE SOY LITE</t>
  </si>
  <si>
    <t>12.10 O</t>
  </si>
  <si>
    <t>KIKKOMAN SAUCE STIR FRY</t>
  </si>
  <si>
    <t>KIKKOMAN SAUCE TERIYAKI/LT</t>
  </si>
  <si>
    <t>KIKKOMAN SAUCE TERRIYAKI</t>
  </si>
  <si>
    <t>KIKKOMAN SC TRYK RSTD GARLC</t>
  </si>
  <si>
    <t>KIKKOMAN SOY SAUCE</t>
  </si>
  <si>
    <t>KIKKOMAN TERIYAKI GLAZE</t>
  </si>
  <si>
    <t>KIKKOMAN TERIYAKI SAUCE</t>
  </si>
  <si>
    <t>LA CHOY BEAN SPROUTS</t>
  </si>
  <si>
    <t>LA CHOY BEEF CHOWMEIN BIPK</t>
  </si>
  <si>
    <t>LA CHOY CHOW MEIN CHICKEN</t>
  </si>
  <si>
    <t>LA CHOY CHOW MEIN NOODLES</t>
  </si>
  <si>
    <t>LA CHOY LITE SOY SAUCE</t>
  </si>
  <si>
    <t>LA CHOY SLCD WTR CHESTNUTS</t>
  </si>
  <si>
    <t>LA CHOY SOY SAUCE</t>
  </si>
  <si>
    <t>LA CHOY SWEET &amp; SOUR SAUCE</t>
  </si>
  <si>
    <t>LA CHOY TERIYAKI SAUCE</t>
  </si>
  <si>
    <t>NONG SHIM HT&amp;SPICY NOODLE BW</t>
  </si>
  <si>
    <t>NONG SHIM KIMCHI NOODLE BOWL</t>
  </si>
  <si>
    <t>NONG SHIM SPICY CHICKEN NOOD</t>
  </si>
  <si>
    <t>RICHFOOD SAUCE SOY</t>
  </si>
  <si>
    <t>RICHFOOD TERIYAKI SAUCE</t>
  </si>
  <si>
    <t>RICHFOOD WATER CHESTNUTS</t>
  </si>
  <si>
    <t>13.4 OZ</t>
  </si>
  <si>
    <t>WANCHAI CASHEW CHKN DNR</t>
  </si>
  <si>
    <t>WANCHAI KUNG PAO CHKN DNR</t>
  </si>
  <si>
    <t>21.5 OZ</t>
  </si>
  <si>
    <t>WANCHAI SPCY GRLC CHKN DNR</t>
  </si>
  <si>
    <t>23.3 OZ</t>
  </si>
  <si>
    <t>WANCHAI SWT N SR CHK DNR</t>
  </si>
  <si>
    <t>BUSTELO ESPRESSO COFFEE CA</t>
  </si>
  <si>
    <t>CARLITA BEANS FAJITA STYLE</t>
  </si>
  <si>
    <t>CARLITA BEANS REFRD/TM GCH</t>
  </si>
  <si>
    <t>CARLITA BEANS REFRIED TRAD</t>
  </si>
  <si>
    <t>31 OZ</t>
  </si>
  <si>
    <t>CARLITA CHILE JALAP SLICED</t>
  </si>
  <si>
    <t>CARLITA CHILE JALAPENO DCD</t>
  </si>
  <si>
    <t>CARLITA CHILIES GREEN DICD</t>
  </si>
  <si>
    <t>CARLITA CHILIES GREEN WHOL</t>
  </si>
  <si>
    <t>CARLITA MONTJCK SLS CONQSO</t>
  </si>
  <si>
    <t>CARLITA REFRIED BEANS FT F</t>
  </si>
  <si>
    <t>CARLITA SALSA CHIPOTLE</t>
  </si>
  <si>
    <t>CARLITA SALSA CON QUESO</t>
  </si>
  <si>
    <t>CARLITA SALSA CORN BEAN MD</t>
  </si>
  <si>
    <t>CARLITA SALSA FIRE ROASTED</t>
  </si>
  <si>
    <t>CARLITA SALSA FRSH HOT CNK</t>
  </si>
  <si>
    <t>CARLITA SALSA FRSH MED CNK</t>
  </si>
  <si>
    <t>CARLITA SALSA FRUIT</t>
  </si>
  <si>
    <t>CARLITA SALSA MED THK&amp;CHKY</t>
  </si>
  <si>
    <t>70 OZ</t>
  </si>
  <si>
    <t>CARLITA SALSA MED THK/CHKY</t>
  </si>
  <si>
    <t>CARLITA SALSA MLD THK&amp;CHKY</t>
  </si>
  <si>
    <t>CARLITA SALSA VERDE</t>
  </si>
  <si>
    <t>CARLITA SALSA VOLCANO</t>
  </si>
  <si>
    <t>CARLITA SAUCE ENCHILADA</t>
  </si>
  <si>
    <t>CARLITA SAUCE ENCHLDA RED</t>
  </si>
  <si>
    <t>CARLITA SAUCE PICANTE MED</t>
  </si>
  <si>
    <t>CARLITA SAUCE PICANTE MILD</t>
  </si>
  <si>
    <t>CARLITA SCE ENCHLDA GR CHI</t>
  </si>
  <si>
    <t>CARLITA SLSA WHTCRN BN MLD</t>
  </si>
  <si>
    <t>CARLITA TACO DINNER KITS</t>
  </si>
  <si>
    <t>CARLITA TACO SAUCE MILD</t>
  </si>
  <si>
    <t>CARLITA TACO SHELLS 12CT</t>
  </si>
  <si>
    <t>CARLITA TAMALES BEEF</t>
  </si>
  <si>
    <t>CARLITA TORT SFT BURITO 8C</t>
  </si>
  <si>
    <t>CARLITA TORTILA SFT FJTA8C</t>
  </si>
  <si>
    <t>CARLITA TORTLA SFTTACO10CT</t>
  </si>
  <si>
    <t>CHI CHI'S BURITO TORTILA 8CT</t>
  </si>
  <si>
    <t>CHI CHI'S CORN TORTILLAS</t>
  </si>
  <si>
    <t>CHI CHI'S CRN FLR FAJ TORT</t>
  </si>
  <si>
    <t>CHI CHI'S FAJITA STYLE SHP</t>
  </si>
  <si>
    <t>CHI CHI'S FLOUR FAJITA 8CT</t>
  </si>
  <si>
    <t>CHI CHI'S MILD SALSA</t>
  </si>
  <si>
    <t>CHI CHI'S SALSA HOT</t>
  </si>
  <si>
    <t>CHI CHI'S SALSA MEDIUM</t>
  </si>
  <si>
    <t>CHI CHI'S SALSA MILD</t>
  </si>
  <si>
    <t>CHI CHI'S SFT TACO TORTILLA</t>
  </si>
  <si>
    <t>CHI CHI'S SWT CORN CAKE MIX</t>
  </si>
  <si>
    <t>CHI CHI'S WHL GRN FAJ TORT</t>
  </si>
  <si>
    <t>CHI-CHI'S SNACKERS CHEESE</t>
  </si>
  <si>
    <t>CHI-CHI'S SNACKERS MEDIUM</t>
  </si>
  <si>
    <t>CHI-CHI'S SNACKERS MILD</t>
  </si>
  <si>
    <t>28 FZ</t>
  </si>
  <si>
    <t>FABULOSO CLEANER LAVENDER</t>
  </si>
  <si>
    <t>FABULOSO CSL OCEAN PARADISE</t>
  </si>
  <si>
    <t>GOYA ADOBO SEAS SIN PIM</t>
  </si>
  <si>
    <t>GOYA ARTCH MRN OLIV OIL</t>
  </si>
  <si>
    <t>GOYA BABY LIMA BEANS</t>
  </si>
  <si>
    <t>GOYA BEANS DRY LENTIL</t>
  </si>
  <si>
    <t>GOYA BEANS DRY/BLACK</t>
  </si>
  <si>
    <t>GOYA BEANS RED KDNY CAN</t>
  </si>
  <si>
    <t>GOYA BLACK BEAN SOUP</t>
  </si>
  <si>
    <t>GOYA BLACK BEANS</t>
  </si>
  <si>
    <t>GOYA BLACK BEANS CAN</t>
  </si>
  <si>
    <t>GOYA BLACKEYE PEAS</t>
  </si>
  <si>
    <t>GOYA BOX RICE &amp; RD BEAN</t>
  </si>
  <si>
    <t>GOYA CANNELLINI BEANS</t>
  </si>
  <si>
    <t>GOYA CHICK PEAS PRECOOK</t>
  </si>
  <si>
    <t>GOYA CREAM OF COCONUT</t>
  </si>
  <si>
    <t>GOYA GREAT NRTHRN BEANS</t>
  </si>
  <si>
    <t>GOYA HAM FLAV CONCENTRT</t>
  </si>
  <si>
    <t>GOYA LARGE LIMA BEANS</t>
  </si>
  <si>
    <t>GOYA MALTA DRINK</t>
  </si>
  <si>
    <t>GOYA MED GRAIN RICE</t>
  </si>
  <si>
    <t>GOYA MEDIUM GRAIN RICE</t>
  </si>
  <si>
    <t>GOYA MILK COCONUT</t>
  </si>
  <si>
    <t>GOYA MOJO CRIOLLO</t>
  </si>
  <si>
    <t>GOYA NAVY BEANS</t>
  </si>
  <si>
    <t>GOYA PEAS DRY GREN SPLT</t>
  </si>
  <si>
    <t>GOYA PEAS GRN PIGEON/CN</t>
  </si>
  <si>
    <t>GOYA PINK BEANS</t>
  </si>
  <si>
    <t>GOYA PINTO BEANS</t>
  </si>
  <si>
    <t>GOYA PRE COOKD PINTO BN</t>
  </si>
  <si>
    <t>GOYA RECAITO CILNTRO SC</t>
  </si>
  <si>
    <t>GOYA RED KIDNEY BEANS</t>
  </si>
  <si>
    <t>6.33 OZ</t>
  </si>
  <si>
    <t>GOYA SAZON ANNTO/CILANT</t>
  </si>
  <si>
    <t>GOYA SAZON AZAFRAN</t>
  </si>
  <si>
    <t>2.11 OZ</t>
  </si>
  <si>
    <t>GOYA SAZON FAMILY</t>
  </si>
  <si>
    <t>GOYA SAZON PLN ECONO PK</t>
  </si>
  <si>
    <t>GOYA SAZON W/CORR&amp;ACHIO</t>
  </si>
  <si>
    <t>GOYA SEAS ADOBO CON PIM</t>
  </si>
  <si>
    <t>GOYA SEASONING,SAZON</t>
  </si>
  <si>
    <t>GOYA SM RED BEANS</t>
  </si>
  <si>
    <t>GOYA SM WHITE BEANS</t>
  </si>
  <si>
    <t>GOYA SMALL RED BEANS</t>
  </si>
  <si>
    <t>GOYA SODA 10PK MALTAS</t>
  </si>
  <si>
    <t>GOYA SOFRITO SAUCE</t>
  </si>
  <si>
    <t>GOYA TOMATO SAUCE</t>
  </si>
  <si>
    <t>GOYA VIRGIN OLIVE OIL</t>
  </si>
  <si>
    <t>GOYA YELLOW RICE MIX</t>
  </si>
  <si>
    <t>GOYA YELLOW SPLIT PEAS</t>
  </si>
  <si>
    <t>HORMEL BEEF TAMALES</t>
  </si>
  <si>
    <t>11.3 FZ</t>
  </si>
  <si>
    <t>JUMEX APPLE NECTAR</t>
  </si>
  <si>
    <t>JUMEX APRICOT NECTAR</t>
  </si>
  <si>
    <t>JUMEX ASEPTIC GUAVA</t>
  </si>
  <si>
    <t>JUMEX ASEPTIC MANGO</t>
  </si>
  <si>
    <t>JUMEX ASEPTIC PEACH</t>
  </si>
  <si>
    <t>JUMEX COCONUT PINEAPPLE</t>
  </si>
  <si>
    <t>JUMEX GUANABANA NECTAR</t>
  </si>
  <si>
    <t>1.89 LT</t>
  </si>
  <si>
    <t>JUMEX GUAVA NECTAR ASPTC</t>
  </si>
  <si>
    <t>JUMEX MANGO NECTAR</t>
  </si>
  <si>
    <t>JUMEX NECTAR GUAVA</t>
  </si>
  <si>
    <t>JUMEX PEACH NECTAR</t>
  </si>
  <si>
    <t>JUMEX PEAR NECTAR</t>
  </si>
  <si>
    <t>JUMEX PINEAPPLE NECTAR</t>
  </si>
  <si>
    <t>JUMEX PLUM NECTAR</t>
  </si>
  <si>
    <t>JUMEX STRAW/BAN ASEPTIC</t>
  </si>
  <si>
    <t>JUMEX STRAWBERRY NECTAR</t>
  </si>
  <si>
    <t>JUMEX STRBRYBANANA NECTR</t>
  </si>
  <si>
    <t>JUMEX TAMARIND NECTAR</t>
  </si>
  <si>
    <t>33.8 OZ</t>
  </si>
  <si>
    <t>JUMEX TETRA APPLE NECTAR</t>
  </si>
  <si>
    <t>JUMEX TETRA STRBRY NECTR</t>
  </si>
  <si>
    <t>20.5 OZ</t>
  </si>
  <si>
    <t>LACOSTENA BEANS REFRIED BLK</t>
  </si>
  <si>
    <t>LACOSTENA CHIPOTLE ADOBO SCE</t>
  </si>
  <si>
    <t>LACOSTENA CHIPOTLE PEPPER</t>
  </si>
  <si>
    <t>LACOSTENA GLASS NACHO JALPNO</t>
  </si>
  <si>
    <t>LACOSTENA GREEN TOMATILLO</t>
  </si>
  <si>
    <t>LACOSTENA JALAPENOS SLICED</t>
  </si>
  <si>
    <t>LACOSTENA JALAPENOS WHOLE</t>
  </si>
  <si>
    <t>29.5 OZ</t>
  </si>
  <si>
    <t>LACOSTENA MENUDO</t>
  </si>
  <si>
    <t>LACOSTENA NACHO JALAPENO</t>
  </si>
  <si>
    <t>LACOSTENA NOPALITOS</t>
  </si>
  <si>
    <t>1.28 LB</t>
  </si>
  <si>
    <t>LACOSTENA REFRD PINTO BEANS</t>
  </si>
  <si>
    <t>LACOSTENA SERRANO PEPPER</t>
  </si>
  <si>
    <t>LACOSTENA SLICED JALAPENOS</t>
  </si>
  <si>
    <t>LACOSTENA WHOLE BLACK BEANS</t>
  </si>
  <si>
    <t>LACOSTENA WHOLE JALAPENOS</t>
  </si>
  <si>
    <t>LACOSTENA WHOLE PINTO BEANS</t>
  </si>
  <si>
    <t>MANNYS TORTILLA WHL WHEAT</t>
  </si>
  <si>
    <t>4.4 LB</t>
  </si>
  <si>
    <t>MASECA CORN MASA MIX</t>
  </si>
  <si>
    <t>MASECA TAMALE CORN FLOUR</t>
  </si>
  <si>
    <t>NESCAFE CLASSICO COFFEE</t>
  </si>
  <si>
    <t>OLD EL PS BEANS FF REFRIED</t>
  </si>
  <si>
    <t>OLD EL PS BEANS REFRIED</t>
  </si>
  <si>
    <t>OLD EL PS BEANS REFRIED VEG</t>
  </si>
  <si>
    <t>OLD EL PS BNS REFRD W/CHILI</t>
  </si>
  <si>
    <t>OLD EL PS CHILIS CHOP GREEN</t>
  </si>
  <si>
    <t>OLD EL PS ENCHILADA SCE MILD</t>
  </si>
  <si>
    <t>OLD EL PS HRD/SFT TACO SHELL</t>
  </si>
  <si>
    <t>OLD EL PS JALAPENO SLICES</t>
  </si>
  <si>
    <t>OLD EL PS SALSA HOT THK/CHK</t>
  </si>
  <si>
    <t>OLD EL PS SALSA MED THK/CHK</t>
  </si>
  <si>
    <t>OLD EL PS SALSA MILD THK/CHK</t>
  </si>
  <si>
    <t>OLD EL PS STD/STUF TACO SHEL</t>
  </si>
  <si>
    <t>OLD EL PS TACO SAUCE MEDIUM</t>
  </si>
  <si>
    <t>OLD EL PS TACO SAUCE MILD</t>
  </si>
  <si>
    <t>OLD EL PS TACO SHELLS</t>
  </si>
  <si>
    <t>OLD EL PS TACO SHLS WHT CRN</t>
  </si>
  <si>
    <t>OLDELPASO BLACK BEANS</t>
  </si>
  <si>
    <t>OLDELPASO CKN SFT TACO DNRKT</t>
  </si>
  <si>
    <t>OLDELPASO ENCHILADA DNR KIT</t>
  </si>
  <si>
    <t>OLDELPASO FAJITA DNR KIT</t>
  </si>
  <si>
    <t>OLDELPASO FIESTA RICE MIX</t>
  </si>
  <si>
    <t>OLDELPASO FLOUR TORTLA SHELL</t>
  </si>
  <si>
    <t>OLDELPASO HRD&amp;SFT TACO DNRKT</t>
  </si>
  <si>
    <t>OLDELPASO MEXICAN RICE MIX</t>
  </si>
  <si>
    <t>OLDELPASO RD CHLI ENCH MLDSC</t>
  </si>
  <si>
    <t>OLDELPASO SFT TACO DNR KIT</t>
  </si>
  <si>
    <t>OLDELPASO STD&amp;STF TACO DNRKT</t>
  </si>
  <si>
    <t>OLDELPASO TACO DNR KIT</t>
  </si>
  <si>
    <t>6.89 OZ</t>
  </si>
  <si>
    <t>OLDELPASO TACO SHELLS 18CT</t>
  </si>
  <si>
    <t>OLDELPASO THK&amp;CHKY SALSA MLD</t>
  </si>
  <si>
    <t>ORTEGA MED THK/CHK SALSA</t>
  </si>
  <si>
    <t>ORTEGA MEDIUM TH TACO SCE</t>
  </si>
  <si>
    <t>ORTEGA MILD TACO SAUCE</t>
  </si>
  <si>
    <t>ORTEGA REG REFRIED BEANS</t>
  </si>
  <si>
    <t>ORTEGA SALSA ORIGINAL MED</t>
  </si>
  <si>
    <t>ORTEGA SALSA ORIGNAL MILD</t>
  </si>
  <si>
    <t>ORTEGA TACO SHELLS 12 CT</t>
  </si>
  <si>
    <t>PACE 4 CHEESE QUESO</t>
  </si>
  <si>
    <t>PACE PICANTE HOT SAUCE</t>
  </si>
  <si>
    <t>PACE PICO GALLO</t>
  </si>
  <si>
    <t>PACE SALSA MILD THK&amp;CHK</t>
  </si>
  <si>
    <t>PACE SALSA THK/CHK MED</t>
  </si>
  <si>
    <t>PACE SALSA VERDE</t>
  </si>
  <si>
    <t>PACE SAUCE PICANTE MED</t>
  </si>
  <si>
    <t>PACE SAUCE PICANTE MILD</t>
  </si>
  <si>
    <t>PACE TRIPLE PEPPR SALSA</t>
  </si>
  <si>
    <t>56 FZ</t>
  </si>
  <si>
    <t>SUAVITEL FAB SFTNR MORN SUN</t>
  </si>
  <si>
    <t>SUAVITEL FIELD FLWR FAB SFT</t>
  </si>
  <si>
    <t>TACO BELL CHS DBL DK TACO KT</t>
  </si>
  <si>
    <t>10.75 O</t>
  </si>
  <si>
    <t>TACO BELL DINNER KIT</t>
  </si>
  <si>
    <t>14.9 OZ</t>
  </si>
  <si>
    <t>TACO BELL HARD &amp; SOFT TACO D</t>
  </si>
  <si>
    <t>TACO BELL MED THK/CHKY SALSA</t>
  </si>
  <si>
    <t>TACO BELL MILD SALSA SQUAT</t>
  </si>
  <si>
    <t>TACO BELL MILD TACO SAUCE</t>
  </si>
  <si>
    <t>TACO BELL REFRIED BEANS</t>
  </si>
  <si>
    <t>TACO BELL TACO SAUCE MEDIUM</t>
  </si>
  <si>
    <t>TACO BELL TACO SHELLS</t>
  </si>
  <si>
    <t>BSTN MKT BEEF GRAVY</t>
  </si>
  <si>
    <t>BSTN MKT CKN GRAVY</t>
  </si>
  <si>
    <t>BSTN MKT TURKEY GRAVY</t>
  </si>
  <si>
    <t>CAMPBELLS BROWN GRAVY</t>
  </si>
  <si>
    <t>CAMPBELLS GRAVY BEEF</t>
  </si>
  <si>
    <t>CAMPBELLS GRAVY CHICKEN</t>
  </si>
  <si>
    <t>CAMPBELLS GRAVY CNTRY SAUSGE</t>
  </si>
  <si>
    <t>CAMPBELLS GRAVY MUSHROOM</t>
  </si>
  <si>
    <t>CAMPBELLS GRAVY TURKEY</t>
  </si>
  <si>
    <t>CAMPBELLS GRAVY, TURKEY</t>
  </si>
  <si>
    <t>CAMPBELLS GRVY BEEF SLOW RST</t>
  </si>
  <si>
    <t>CAMPBELLS GRVY CKN SLOW RST</t>
  </si>
  <si>
    <t>CAMPBELLS GRVY TRKY SLOW RST</t>
  </si>
  <si>
    <t>CHEFMATE SAUSAGE GRAVY</t>
  </si>
  <si>
    <t>HEINZ BROWN GRAVY</t>
  </si>
  <si>
    <t>HEINZ GRAVY AU JUS/HMSTY</t>
  </si>
  <si>
    <t>HEINZ GRAVY BEEF FF</t>
  </si>
  <si>
    <t>HEINZ GRAVY BROWN</t>
  </si>
  <si>
    <t>HEINZ GRAVY CHICKEN</t>
  </si>
  <si>
    <t>HEINZ GRAVY CHICKEN FF</t>
  </si>
  <si>
    <t>HEINZ GRAVY HMSTYL MSHRM</t>
  </si>
  <si>
    <t>HEINZ GRAVY HMSTYL TURKY</t>
  </si>
  <si>
    <t>HEINZ GRAVY HOMESTYL ONI</t>
  </si>
  <si>
    <t>HEINZ GRAVY PORK</t>
  </si>
  <si>
    <t>HEINZ GRAVY TURKEY FF</t>
  </si>
  <si>
    <t>HEINZ TURKEY GRAVY</t>
  </si>
  <si>
    <t>KITCHEN BOUQUET</t>
  </si>
  <si>
    <t>LIBBY SAUSAGE GRAVY</t>
  </si>
  <si>
    <t>RICHFOOD CAN BEEF GRAVY</t>
  </si>
  <si>
    <t>RICHFOOD CAN CHICKEN GRAVY</t>
  </si>
  <si>
    <t>RICHFOOD CAN TURKEY GRAVY</t>
  </si>
  <si>
    <t>RICHFOOD GRAVY BEEF GLASS</t>
  </si>
  <si>
    <t>RICHFOOD GRAVY CHIX GLASS</t>
  </si>
  <si>
    <t>RICHFOOD GRAVY TURKEY GLASS</t>
  </si>
  <si>
    <t>C SHELBY ORG TEXAS CHILI MX</t>
  </si>
  <si>
    <t>CARLITA SEASON MIX FAJITA</t>
  </si>
  <si>
    <t>CARLITA TACO SEASONING MIX</t>
  </si>
  <si>
    <t>1.59 OZ</t>
  </si>
  <si>
    <t>FRENCHS BARBQ BUFFALO WING</t>
  </si>
  <si>
    <t>FRENCHS CHILI W/ONION MIX</t>
  </si>
  <si>
    <t>FRENCHS CHILI-O ORIGINAL</t>
  </si>
  <si>
    <t>FRENCHS TACO SEASONING</t>
  </si>
  <si>
    <t>LAWRYS SPAGHETTI SAUCE MX</t>
  </si>
  <si>
    <t>MCCORMICK ALF CRMY GRLC SAUC</t>
  </si>
  <si>
    <t>MCCORMICK BAJA CITRUS MARNDE</t>
  </si>
  <si>
    <t>MCCORMICK BEEF MIX STROGANOF</t>
  </si>
  <si>
    <t>MCCORMICK BERNAISE SAUCE</t>
  </si>
  <si>
    <t>MCCORMICK BG&amp;SEASN BEEF STEW</t>
  </si>
  <si>
    <t>MCCORMICK BG&amp;SSN CHICKEN</t>
  </si>
  <si>
    <t>1.06 OZ</t>
  </si>
  <si>
    <t>MCCORMICK BG&amp;SSN PORK CHOP</t>
  </si>
  <si>
    <t>MCCORMICK BG&amp;SSN POT ROAST</t>
  </si>
  <si>
    <t>1.37 OZ</t>
  </si>
  <si>
    <t>MCCORMICK BNS CTRY CHICKEN</t>
  </si>
  <si>
    <t>MCCORMICK BNS MEATLOAF</t>
  </si>
  <si>
    <t>0.92 OZ</t>
  </si>
  <si>
    <t>MCCORMICK BNS PORKTENDERLOIN</t>
  </si>
  <si>
    <t>MCCORMICK BNS SWISS STEAK</t>
  </si>
  <si>
    <t>MCCORMICK CHEESY TACO SEASNG</t>
  </si>
  <si>
    <t>MCCORMICK CHILI MIX LS SOD</t>
  </si>
  <si>
    <t>MCCORMICK CHILI SEAS MS MILD</t>
  </si>
  <si>
    <t>MCCORMICK CHILI SEASNING HOT</t>
  </si>
  <si>
    <t>MCCORMICK CHILI SEASONING</t>
  </si>
  <si>
    <t>MCCORMICK CHK GLAZ HONE MUST</t>
  </si>
  <si>
    <t>MCCORMICK CHKN GLAZ HONE BBQ</t>
  </si>
  <si>
    <t>MCCORMICK CKN NOOD SC SOUP</t>
  </si>
  <si>
    <t>MCCORMICK ENCHILADA</t>
  </si>
  <si>
    <t>MCCORMICK FAJITAS MARINADE</t>
  </si>
  <si>
    <t>MCCORMICK GM HAWAIIAN LUA</t>
  </si>
  <si>
    <t>MCCORMICK GM HKY BBQ MARINAD</t>
  </si>
  <si>
    <t>MCCORMICK GM MOJITO LIME</t>
  </si>
  <si>
    <t>1.13 OZ</t>
  </si>
  <si>
    <t>MCCORMICK GRILL MTS CHIPOTLE</t>
  </si>
  <si>
    <t>MCCORMICK GRILL MTS GRLC HB</t>
  </si>
  <si>
    <t>MCCORMICK GRILL MTS PPR GRLC</t>
  </si>
  <si>
    <t>MCCORMICK GRILLMT ZESTY HERB</t>
  </si>
  <si>
    <t>MCCORMICK GRL&amp;HRB BFLOWG SSG</t>
  </si>
  <si>
    <t>.71 OZ</t>
  </si>
  <si>
    <t>MCCORMICK GRLM LS MNTSTK MAR</t>
  </si>
  <si>
    <t>MCCORMICK GRLMT GNGR TERIYKI</t>
  </si>
  <si>
    <t>MCCORMICK GRLMT MARND STHWST</t>
  </si>
  <si>
    <t>MCCORMICK GRLMT MONT STK MAR</t>
  </si>
  <si>
    <t>MCCORMICK GRLMT TOM/GRL/BASL</t>
  </si>
  <si>
    <t>MCCORMICK GUACAMOLE SEASN MX</t>
  </si>
  <si>
    <t>MCCORMICK HKRY BBQ BFLWG SSG</t>
  </si>
  <si>
    <t>MCCORMICK HOLLANDAISE SAUCE</t>
  </si>
  <si>
    <t>MCCORMICK HUNTER SAUCE</t>
  </si>
  <si>
    <t>MCCORMICK MARINADE MESQUITE</t>
  </si>
  <si>
    <t>MCCORMICK MEAT LOAF</t>
  </si>
  <si>
    <t>MCCORMICK MEAT MARINADE</t>
  </si>
  <si>
    <t>MCCORMICK MIX SPAGHETTI</t>
  </si>
  <si>
    <t>MCCORMICK ONE DISH CHKN MUSH</t>
  </si>
  <si>
    <t>MCCORMICK ONE DISH SALSA CHK</t>
  </si>
  <si>
    <t>MCCORMICK ORIG BUFLO WG SEAS</t>
  </si>
  <si>
    <t>MCCORMICK PESTO SAUCE</t>
  </si>
  <si>
    <t>MCCORMICK POT SEAS ONION GAR</t>
  </si>
  <si>
    <t>MCCORMICK POTATO GAR/ROSEMRY</t>
  </si>
  <si>
    <t>MCCORMICK POTATO ITALIANHERB</t>
  </si>
  <si>
    <t>MCCORMICK POTATO SEA 4 CHEES</t>
  </si>
  <si>
    <t>MCCORMICK SALSA SEASONING MX</t>
  </si>
  <si>
    <t>MCCORMICK SEASO N FRY</t>
  </si>
  <si>
    <t>MCCORMICK SEASONING BEEF STW</t>
  </si>
  <si>
    <t>MCCORMICK SEASONING HOT TACO</t>
  </si>
  <si>
    <t>MCCORMICK SLO CK BEEF STROGA</t>
  </si>
  <si>
    <t>MCCORMICK SLOCOOK CHILI SEAS</t>
  </si>
  <si>
    <t>1.31 OZ</t>
  </si>
  <si>
    <t>MCCORMICK SLOPPY JOE  8480</t>
  </si>
  <si>
    <t>MCCORMICK SLOW CKR BBQ PORK</t>
  </si>
  <si>
    <t>MCCORMICK SLOW CKR BEEF STEW</t>
  </si>
  <si>
    <t>MCCORMICK SLOW CKR IT HB CHX</t>
  </si>
  <si>
    <t>MCCORMICK SLOW CKR POT ROAST</t>
  </si>
  <si>
    <t>MCCORMICK SPAG SAUCE MIX</t>
  </si>
  <si>
    <t>MCCORMICK SWEDISH MEATBALL</t>
  </si>
  <si>
    <t>MCCORMICK TACO LOW SODIUM</t>
  </si>
  <si>
    <t>MCCORMICK TACO SEAS  9170</t>
  </si>
  <si>
    <t>MCCORMICK TACO SEASN CHICKEN</t>
  </si>
  <si>
    <t>MCCORMICK TACO SEASONING</t>
  </si>
  <si>
    <t>MCCORMICK TEX MEX CHILI</t>
  </si>
  <si>
    <t>MCCORMICK VEG BF SLO CK SOUP</t>
  </si>
  <si>
    <t>MCCORMICK VS CHEDDAR CHEESE</t>
  </si>
  <si>
    <t>0.88 OZ</t>
  </si>
  <si>
    <t>MCCORMICK VS GARLIC/BASIL</t>
  </si>
  <si>
    <t>MCCORMICK WHT CKN CHILI SEAS</t>
  </si>
  <si>
    <t>MORTON SEASON ALL BOTTLE</t>
  </si>
  <si>
    <t>OLDELPASO CHSY TACO SEAS</t>
  </si>
  <si>
    <t>OLDELPASO TACO SEAS MX LWSLT</t>
  </si>
  <si>
    <t>OLDELPASO TACO SEAS MX ORIG</t>
  </si>
  <si>
    <t>ORTEGA FAJITA SEASON MIX</t>
  </si>
  <si>
    <t>ORTEGA TACO SEASONING MIX</t>
  </si>
  <si>
    <t>RICHFOOD BAG N SEASN PORK C</t>
  </si>
  <si>
    <t>RICHFOOD BAG N SEASN POT RO</t>
  </si>
  <si>
    <t>RICHFOOD BAG N SEASNG CHICK</t>
  </si>
  <si>
    <t>RICHFOOD SCE MIX PKT SPGHTI</t>
  </si>
  <si>
    <t>RICHFOOD SSG MIX PKT SLPYJO</t>
  </si>
  <si>
    <t>1.125 O</t>
  </si>
  <si>
    <t>RICHFOOD SSNG MIX PKT MTLF</t>
  </si>
  <si>
    <t>RICHFOOD SSNG MX BEEF STEW</t>
  </si>
  <si>
    <t>RICHFOOD SSNG MX CHILI</t>
  </si>
  <si>
    <t>RICHFOOD TACO SEASONING MIX</t>
  </si>
  <si>
    <t>.88 OZ</t>
  </si>
  <si>
    <t>SAUER RST BAG POT ROAST</t>
  </si>
  <si>
    <t>SAUER SWISS STEAK MIX</t>
  </si>
  <si>
    <t>SAUERS ALFREDO SAUCE</t>
  </si>
  <si>
    <t>SAUERS BEEF &amp; BROC SEASON</t>
  </si>
  <si>
    <t>SAUERS BEEF STEW MIX</t>
  </si>
  <si>
    <t>SAUERS BEEF STROG SCE MIX</t>
  </si>
  <si>
    <t>SAUERS BUFFALO BAKN BAG</t>
  </si>
  <si>
    <t>1.62 OZ</t>
  </si>
  <si>
    <t>SAUERS BURRITO SEASONING</t>
  </si>
  <si>
    <t>SAUERS CAJUN GUMBO SEASON</t>
  </si>
  <si>
    <t>SAUERS CHILI MIX</t>
  </si>
  <si>
    <t>SAUERS ENCHILADA SAUCE</t>
  </si>
  <si>
    <t>SAUERS FAJITA MIX</t>
  </si>
  <si>
    <t>SAUERS HAMBURGER MIX</t>
  </si>
  <si>
    <t>SAUERS HOLLANDAISE SAUCE</t>
  </si>
  <si>
    <t>SAUERS HOT CHILI MIX</t>
  </si>
  <si>
    <t>SAUERS MARINADE MIX</t>
  </si>
  <si>
    <t>SAUERS MEATLOAF MIX</t>
  </si>
  <si>
    <t>SAUERS MESQUITE GRILL MAR</t>
  </si>
  <si>
    <t>0.5 OZ</t>
  </si>
  <si>
    <t>SAUERS PESTO SAUCE</t>
  </si>
  <si>
    <t>SAUERS PRCRN &amp; GARLIC</t>
  </si>
  <si>
    <t>SAUERS ROAST BAG CHICKEN</t>
  </si>
  <si>
    <t>SAUERS ROAST BAG TURKEY</t>
  </si>
  <si>
    <t>SAUERS RST BAG PORK CHOP</t>
  </si>
  <si>
    <t>SAUERS SLOPPY JOE MIX</t>
  </si>
  <si>
    <t>1.60 OZ</t>
  </si>
  <si>
    <t>SAUERS SLW COOK BBQ PORK</t>
  </si>
  <si>
    <t>SAUERS SLW COOK GARL HERB</t>
  </si>
  <si>
    <t>SAUERS SLW COOK POT ROAST</t>
  </si>
  <si>
    <t>SAUERS SPAGHETTI SCE MIX</t>
  </si>
  <si>
    <t>1.87 OZ</t>
  </si>
  <si>
    <t>SAUERS SPARE RIB MIX</t>
  </si>
  <si>
    <t>SAUERS SPCY BFLO BAKN BAG</t>
  </si>
  <si>
    <t>0.75 OZ</t>
  </si>
  <si>
    <t>SAUERS STIR FRY SEASONING</t>
  </si>
  <si>
    <t>1.66 OZ</t>
  </si>
  <si>
    <t>SAUERS STMR BRWN SGR VEG</t>
  </si>
  <si>
    <t>SAUERS STMR CHED VEG</t>
  </si>
  <si>
    <t>SAUERS STMR GARLIC VEG</t>
  </si>
  <si>
    <t>SAUERS STMR HOME POT</t>
  </si>
  <si>
    <t>SAUERS STMR SR CRM POT</t>
  </si>
  <si>
    <t>SAUERS TACO MIX</t>
  </si>
  <si>
    <t>SAUERS ZESTY HERB GRILL M</t>
  </si>
  <si>
    <t>7.87 OZ</t>
  </si>
  <si>
    <t>SPC CLSSC SC ADOBO W/O PEPPR</t>
  </si>
  <si>
    <t>SPC HUNTR ORGANIC POULTRY</t>
  </si>
  <si>
    <t>TACO BELL SEASON MIX CADDY</t>
  </si>
  <si>
    <t>WEBER BLK PEPPRCRN MARIN</t>
  </si>
  <si>
    <t>WEBER ITLN HERB MARINADE</t>
  </si>
  <si>
    <t>WEBER MESQUITE MARINADE</t>
  </si>
  <si>
    <t>WEBER WHT WNE NHERB MARI</t>
  </si>
  <si>
    <t>FRENCHS BROWN GRAVY MIX</t>
  </si>
  <si>
    <t>FRENCHS GRAVY TURKEY MIX</t>
  </si>
  <si>
    <t>MCCORMICK AU JUS</t>
  </si>
  <si>
    <t>MCCORMICK BROWN GRAVY LS SOD</t>
  </si>
  <si>
    <t>MCCORMICK CRKD PEPPERCORN GV</t>
  </si>
  <si>
    <t>2.64 OZ</t>
  </si>
  <si>
    <t>MCCORMICK CTRY PEPPER GRAVY</t>
  </si>
  <si>
    <t>MCCORMICK GRAVY CNTRY ORIGIN</t>
  </si>
  <si>
    <t>MCCORMICK GRAVY HOMESTYLE</t>
  </si>
  <si>
    <t>MCCORMICK GRAVY MIX BROWN</t>
  </si>
  <si>
    <t>MCCORMICK GRAVY MIX CHICKEN</t>
  </si>
  <si>
    <t>MCCORMICK GRAVY MIX ONION</t>
  </si>
  <si>
    <t>MCCORMICK GRAVY MIX PORK</t>
  </si>
  <si>
    <t>MCCORMICK GRAVY MIX TURKEY</t>
  </si>
  <si>
    <t>MCCORMICK GRAVY MIX, HERB</t>
  </si>
  <si>
    <t>MCCORMICK GRAVY MUSHROOM</t>
  </si>
  <si>
    <t>MCCORMICK GRVY SAUSAGE CNTRY</t>
  </si>
  <si>
    <t>MCCORMICK MUSHROOM &amp; HERB</t>
  </si>
  <si>
    <t>MCCORMICK ROASTED GARLIC</t>
  </si>
  <si>
    <t>MCCORMICK SAVORY CHIPOTLE</t>
  </si>
  <si>
    <t>PILLSBURY BROWN GRAVY MIX</t>
  </si>
  <si>
    <t>PILLSBURY HOMESTYLE GRAVY MX</t>
  </si>
  <si>
    <t>RICHFOOD GRAVY MIX AU JUS</t>
  </si>
  <si>
    <t>RICHFOOD GRAVY MIX BROWN</t>
  </si>
  <si>
    <t>RICHFOOD GRAVY MIX MUSHROOM</t>
  </si>
  <si>
    <t>RICHFOOD GRAVY MIX PORK</t>
  </si>
  <si>
    <t>RICHFOOD GRAVY MIX TURKEY</t>
  </si>
  <si>
    <t>RICHFOOD GRAVY MX CHICKEN</t>
  </si>
  <si>
    <t>RICHFOOD GRAVY MX COUNTRY</t>
  </si>
  <si>
    <t>SAUER GRAVY MIX BR W ONI</t>
  </si>
  <si>
    <t>SAUER GRAVY MIX BROWN</t>
  </si>
  <si>
    <t>SAUER GRAVY MIX ONION</t>
  </si>
  <si>
    <t>SAUERS BROWN GRAVY MIX</t>
  </si>
  <si>
    <t>SAUERS CNTRY GRAVY MIX</t>
  </si>
  <si>
    <t>SAUERS GRAVY AU JUS MIX</t>
  </si>
  <si>
    <t>SAUERS GRAVY MIX BR W MSH</t>
  </si>
  <si>
    <t>SAUERS GRAVY MIX CHICKEN</t>
  </si>
  <si>
    <t>SAUERS GRAVY MIX MUSHROOM</t>
  </si>
  <si>
    <t>SAUERS GRAVY MIX TURKEY</t>
  </si>
  <si>
    <t>SAUERS MIX GRAVY PORK</t>
  </si>
  <si>
    <t>SWISS BEEF GRAVY</t>
  </si>
  <si>
    <t>SWISS CHICKEN GRAVY</t>
  </si>
  <si>
    <t>SWISS MUSHROOM GRAVY</t>
  </si>
  <si>
    <t>ARMOUR TREET REGULAR</t>
  </si>
  <si>
    <t>HORMEL LUNCH MEAT L S</t>
  </si>
  <si>
    <t>HORMEL SPAM</t>
  </si>
  <si>
    <t>HORMEL SPAM LITE</t>
  </si>
  <si>
    <t>HORMEL SPAM SMOKY</t>
  </si>
  <si>
    <t>SPAM SINGLE CLASSIC</t>
  </si>
  <si>
    <t>SPAM SINGLES LITE</t>
  </si>
  <si>
    <t>AMERICANO AO BEEF STEW</t>
  </si>
  <si>
    <t>ARMOUR BEEF STEW</t>
  </si>
  <si>
    <t>DNT MOORE BBCHIX &amp; DUMPLINGS</t>
  </si>
  <si>
    <t>DNTY MOOR BEEF STEW BIG BOWL</t>
  </si>
  <si>
    <t>DNTY MOOR BIG BOWL SCALP POT</t>
  </si>
  <si>
    <t>DNTY MOOR BIG BOWLS SW CHICK</t>
  </si>
  <si>
    <t>DNTYMOORE BEEF STEW</t>
  </si>
  <si>
    <t>DNTYMOORE CHICKEN STEW</t>
  </si>
  <si>
    <t>DNTYMOORE STEW BEEF</t>
  </si>
  <si>
    <t>DNTYMOORE TURKEY STEW</t>
  </si>
  <si>
    <t>FEARNOW BRUNSWICK STEW</t>
  </si>
  <si>
    <t>FEARNOWS BRUNSWICK STEW</t>
  </si>
  <si>
    <t>RICHFOOD STEW BEEF</t>
  </si>
  <si>
    <t>ARMOUR CKN VIENNA SAUSAGE</t>
  </si>
  <si>
    <t>ARMOUR VIENNA SAUSAGE</t>
  </si>
  <si>
    <t>9.25 OZ</t>
  </si>
  <si>
    <t>ARMOUR VIENNA SAUSAGE 6PK</t>
  </si>
  <si>
    <t>ARMOUR VIENNA SAUSAGE BBQ</t>
  </si>
  <si>
    <t>ARMOUR VIENNA SAUSAGE HOT</t>
  </si>
  <si>
    <t>ARMOUR VIENNA SAUSAGE LT</t>
  </si>
  <si>
    <t>BANNER SAUSAGE</t>
  </si>
  <si>
    <t>LIBBY SAUSAGE VIENNA</t>
  </si>
  <si>
    <t>LIBBY VIENNA SAUSAGE BBQ</t>
  </si>
  <si>
    <t>LIBBY VIENNA SAUSAGE CKN</t>
  </si>
  <si>
    <t>PENROSE HOT SAUSAGE</t>
  </si>
  <si>
    <t>9.1 OZ</t>
  </si>
  <si>
    <t>ARMOUR CORNED BEEF HASH</t>
  </si>
  <si>
    <t>107 OZ</t>
  </si>
  <si>
    <t>CHEF MATE CORNED BEEF HASH</t>
  </si>
  <si>
    <t>HEREFORD CORNED BEEF</t>
  </si>
  <si>
    <t>HORMEL BEEF CORNED</t>
  </si>
  <si>
    <t>HORMEL ROAST BEEF HASH</t>
  </si>
  <si>
    <t>LIBBY BEEF CORNED</t>
  </si>
  <si>
    <t>LIBBY CORN BEEF HASH</t>
  </si>
  <si>
    <t>LIBBY CORNED BEEF</t>
  </si>
  <si>
    <t>MARY KITC CORNED BEEF HASH</t>
  </si>
  <si>
    <t>MARYKTCHN CORNED BEEF HASH</t>
  </si>
  <si>
    <t>MARYKTCHN CORNED BF HASH 50%</t>
  </si>
  <si>
    <t>RICHFOOD CORNED BEEF HASH</t>
  </si>
  <si>
    <t>DEL MONTE SLOPPY JOE ORIGNAL</t>
  </si>
  <si>
    <t>HEINZ SLOPPY JOE SAUCES</t>
  </si>
  <si>
    <t>HUNTS MANWCH BLD SLPYJOE</t>
  </si>
  <si>
    <t>HUNTS SAUCE BBQ SLPY JOE</t>
  </si>
  <si>
    <t>HUNTS SAUCE MANWICH</t>
  </si>
  <si>
    <t>HUNTS SAUCE MANWICH SAND</t>
  </si>
  <si>
    <t>RICHFOOD SLOPPY JOE SAUCE</t>
  </si>
  <si>
    <t>ARMOUR DRIED BEEF</t>
  </si>
  <si>
    <t>ARMOUR SLICED DRIED BEEF</t>
  </si>
  <si>
    <t>DNTYMOORE CHICKEN AND DUMPLG</t>
  </si>
  <si>
    <t>HORMEL BREAST OF CHICKEN</t>
  </si>
  <si>
    <t>HORMEL HAM CHUNK</t>
  </si>
  <si>
    <t>HORMEL MEAT CHICKEN/BRS/C</t>
  </si>
  <si>
    <t>HORMEL PIGS FEET</t>
  </si>
  <si>
    <t>HORMEL SPAM TURKEY OVRST</t>
  </si>
  <si>
    <t>HORMEL TURKERY CHUNK</t>
  </si>
  <si>
    <t>LUCK'S CHICKEN &amp; DUMPLING</t>
  </si>
  <si>
    <t>RICHFOOD CHIC BRST CAN 98FF</t>
  </si>
  <si>
    <t>SWANSON CHICK PREM CHK WHT</t>
  </si>
  <si>
    <t>SWANSON CHICKEN WHITE 3PK</t>
  </si>
  <si>
    <t>SWANSON CHNK WHITE CHICKEN</t>
  </si>
  <si>
    <t>SWANSON DINNR CHCKN ALA KN</t>
  </si>
  <si>
    <t>SWEET SUE CHICKEN &amp; DUMPLNGS</t>
  </si>
  <si>
    <t>TEXASPETE HOT DOG CHILI</t>
  </si>
  <si>
    <t>VALLYFRSH CHICKEN WHITE</t>
  </si>
  <si>
    <t>VALLYFRSH CHICKEN, CHUNK</t>
  </si>
  <si>
    <t>VLLY FRSH WHITE CHICKEN</t>
  </si>
  <si>
    <t>VLY FRESH VF 12.5 WHITE CHKN</t>
  </si>
  <si>
    <t>VLY FRESH WHITE CHICKEN</t>
  </si>
  <si>
    <t>ARMOUR POTTED MEAT</t>
  </si>
  <si>
    <t>LIBBY MEAT POTTED</t>
  </si>
  <si>
    <t>SPAM SPREAD</t>
  </si>
  <si>
    <t>UNDERWOOD CHICKEN SPREAD</t>
  </si>
  <si>
    <t>UNDERWOOD DEVILED HAM</t>
  </si>
  <si>
    <t>UNDERWOOD SPREAD DEVILED HAM</t>
  </si>
  <si>
    <t>3.65 OZ</t>
  </si>
  <si>
    <t>PEMMICAN HICKORY SMKD BFJKY</t>
  </si>
  <si>
    <t>PEMMICAN PREMHOT&amp;SPICY JRKY</t>
  </si>
  <si>
    <t>PEMMICAN TERIYAKI BEEF JRKY</t>
  </si>
  <si>
    <t>2.4 OZ</t>
  </si>
  <si>
    <t>PENROSE TIJUANA MAMA</t>
  </si>
  <si>
    <t>.56 OZ</t>
  </si>
  <si>
    <t>SLIM JIM GIANT JERK</t>
  </si>
  <si>
    <t>SLIM JIM GIANT MILD JERKY</t>
  </si>
  <si>
    <t>SLIM JIM GIANT ORIGINAL</t>
  </si>
  <si>
    <t>SLIM JIM GIANT PEPPERONI</t>
  </si>
  <si>
    <t>SLIM JIM GIANT SLIM TABASCO</t>
  </si>
  <si>
    <t>SLIM JIM HANDI PK ORIGINAL</t>
  </si>
  <si>
    <t>SLIM JIM HOT CANNISTER</t>
  </si>
  <si>
    <t>SLIM JIM JALP BF JRKY PP399</t>
  </si>
  <si>
    <t>SLIM JIM MILD BEEF</t>
  </si>
  <si>
    <t>SLIM JIM MILD CANNISTER</t>
  </si>
  <si>
    <t>SLIM JIM ORIG BF JRKY PP399</t>
  </si>
  <si>
    <t>SLIM JIM ORIGINAL CANNISTER</t>
  </si>
  <si>
    <t>SLIM JIM PEPPERONI CAN</t>
  </si>
  <si>
    <t>B CROCKER HH CHSBRGR MAC MWD</t>
  </si>
  <si>
    <t>B CROCKER HH CHSY BRGR TWST</t>
  </si>
  <si>
    <t>35.70 O</t>
  </si>
  <si>
    <t>BANQUET HS BAKES LASAGNA</t>
  </si>
  <si>
    <t>22.4 OZ</t>
  </si>
  <si>
    <t>BANQUET HSB FRIED RICE</t>
  </si>
  <si>
    <t>CHEF B RD CHMPS BF RAVIOL MW</t>
  </si>
  <si>
    <t>CHEF B RD DINNR MW SPAGH RNG</t>
  </si>
  <si>
    <t>CHEF B RD M/W ABC/123 W/MEAT</t>
  </si>
  <si>
    <t>CHEF B RD M/W BEEF RAVIOLI</t>
  </si>
  <si>
    <t>CHEF B RD M/W CHEESE RAVIOLI</t>
  </si>
  <si>
    <t>CHEF B RD M/W LASAGNA&amp;BEEF</t>
  </si>
  <si>
    <t>CHEF B RD MAC &amp; CHEESE MW</t>
  </si>
  <si>
    <t>CHEF B RD MICRO BEEFARONI</t>
  </si>
  <si>
    <t>CHEF B RD MICRO SPAG&amp;MEATBLS</t>
  </si>
  <si>
    <t>CHEF B RD MIN BTS MW BRAV/MB</t>
  </si>
  <si>
    <t>CHEF B RD MW BF RAVIOLI BWL</t>
  </si>
  <si>
    <t>CHEF B RD MW BOWL BEEFARONI</t>
  </si>
  <si>
    <t>CHEF B RD MW BOWL LASAGNA</t>
  </si>
  <si>
    <t>CHEF B RD MW MAC &amp; CHEESE</t>
  </si>
  <si>
    <t>CHEF B RD MW MINI BF RAVIOLI</t>
  </si>
  <si>
    <t>CHEF B RD MW MINI SHLL&amp;MTBLS</t>
  </si>
  <si>
    <t>CHEF B RD MW RICE W/CHIC&amp;VEG</t>
  </si>
  <si>
    <t>CHEF MATE SAUSAGE &amp; SHELLS</t>
  </si>
  <si>
    <t>COMPLEATS BEEF W/MASHED POTA</t>
  </si>
  <si>
    <t>COMPLEATS BF STK &amp; PEPPERS</t>
  </si>
  <si>
    <t>COMPLEATS SANTA FE CHICKEN</t>
  </si>
  <si>
    <t>COMPLEATS SESAME CHICKEN</t>
  </si>
  <si>
    <t>DNTYMOORE AMER CLASS CHICKEN</t>
  </si>
  <si>
    <t>DNTYMOORE AMER CLASS ROAST</t>
  </si>
  <si>
    <t>DNTYMOORE AMER CLASS TURKEY</t>
  </si>
  <si>
    <t>DNTYMOORE MICRO BEEF STEW</t>
  </si>
  <si>
    <t>DNTYMOORE MICRO CUP BF STEW</t>
  </si>
  <si>
    <t>6.95 OZ</t>
  </si>
  <si>
    <t>HLTHY CHC FM SZECH BF W/NDLS</t>
  </si>
  <si>
    <t>7.95 OZ</t>
  </si>
  <si>
    <t>HLTHY CHC HC FM S&amp;S RICE</t>
  </si>
  <si>
    <t>HLTHY CHC HC FM SES TERI RIC</t>
  </si>
  <si>
    <t>HLTHY CHC HC FM SW FIESTA</t>
  </si>
  <si>
    <t>HLTHY CHC HC FM ZITI BOLOGNS</t>
  </si>
  <si>
    <t>HORMEL CHILI ML CHILI MAC</t>
  </si>
  <si>
    <t>HORMEL CHILI ML SPUDS</t>
  </si>
  <si>
    <t>HORMEL CHILI W/BEANS MW</t>
  </si>
  <si>
    <t>HORMEL CHKN&amp;DMPLG MW BOWL</t>
  </si>
  <si>
    <t>HORMEL CHKN&amp;RICE MW BOWL</t>
  </si>
  <si>
    <t>HORMEL CPLTS CHKN MRNRA</t>
  </si>
  <si>
    <t>HORMEL CPLTS TKY VEG RICE</t>
  </si>
  <si>
    <t>HORMEL LASAGNA MWBWL</t>
  </si>
  <si>
    <t>HORMEL MEATLOAF</t>
  </si>
  <si>
    <t>HORMEL MW BEEF STEW</t>
  </si>
  <si>
    <t>HORMEL MW BWL BEEF PT RST</t>
  </si>
  <si>
    <t>HORMEL MW BWL CHCKN&amp;NOODL</t>
  </si>
  <si>
    <t>HORMEL MW BWL SALISBY STK</t>
  </si>
  <si>
    <t>HORMEL MW CHICKEN NOODLE</t>
  </si>
  <si>
    <t>HORMEL SPAGHETTI BOWL</t>
  </si>
  <si>
    <t>KIDS KTCH CHEEZY MAC&amp;FRANKS</t>
  </si>
  <si>
    <t>KIDS KTCH MW BEANS&amp;WEINERS</t>
  </si>
  <si>
    <t>KIDS KTCH MW MAC &amp; BEEF</t>
  </si>
  <si>
    <t>KIDS KTCH MW MAC &amp; CHZ DINNR</t>
  </si>
  <si>
    <t>KIDS KTCH MW SPAG MINI MEATB</t>
  </si>
  <si>
    <t>KIDS KTCH MW SPAG RINGS&amp;FRNK</t>
  </si>
  <si>
    <t>KRAFT EASY ITALIA ALFRDO</t>
  </si>
  <si>
    <t>KRAFT EASY MAC CUP</t>
  </si>
  <si>
    <t>KRAFT EASY MAC CUP BACON</t>
  </si>
  <si>
    <t>KRAFT EASYMC CP TRPL CHS</t>
  </si>
  <si>
    <t>KRAFT EZ CUP GARLIC PARM</t>
  </si>
  <si>
    <t>KRAFT EZ CUP HERB MAR.</t>
  </si>
  <si>
    <t>KRAFT EZ MAC CUP CHEESY</t>
  </si>
  <si>
    <t>2.26 OZ</t>
  </si>
  <si>
    <t>KRAFT VELVEETA 2% CUPS</t>
  </si>
  <si>
    <t>2.44 OZ</t>
  </si>
  <si>
    <t>KRAFT VELVEETA BROC. CUP</t>
  </si>
  <si>
    <t>2.39 OZ</t>
  </si>
  <si>
    <t>KRAFT VELVEETA ORG. CUPS</t>
  </si>
  <si>
    <t>LUCK'S MW CKN/DUMPLINGS</t>
  </si>
  <si>
    <t>BEACH CLF EZO SARD SML SYBN</t>
  </si>
  <si>
    <t>BEACH CLF EZO SARDN HOT</t>
  </si>
  <si>
    <t>BEACH CLF FISH STEAK OIL</t>
  </si>
  <si>
    <t>BEACH CLF FISH STEAKS/HOT SC</t>
  </si>
  <si>
    <t>BEACH CLF FISH STK CHILI</t>
  </si>
  <si>
    <t>BEACH CLF FISH STK MSTRD</t>
  </si>
  <si>
    <t>BEACH CLF SARDINES IN OIL</t>
  </si>
  <si>
    <t>BEACH CLF SARDINES W/WATER</t>
  </si>
  <si>
    <t>3.53 OZ</t>
  </si>
  <si>
    <t>BRUNSWICK EZO SEAFD KPPR</t>
  </si>
  <si>
    <t>BRUNSWICK EZO SEAFD LEM</t>
  </si>
  <si>
    <t>BRUNSWICK OYSTERS SMOKED</t>
  </si>
  <si>
    <t>BRUNSWICK SARDINES OIL/EZ OP</t>
  </si>
  <si>
    <t>BRUNSWICK SARDINES SPG WATER</t>
  </si>
  <si>
    <t>BRUNSWICK SARDN/MSTD E-Z OPN</t>
  </si>
  <si>
    <t>BUMBLEBEE CRABMEAT LUMP</t>
  </si>
  <si>
    <t>BUMBLEBEE CRABMEAT WHITE</t>
  </si>
  <si>
    <t>BUMBLEBEE FNCY SMKED OYSTERS</t>
  </si>
  <si>
    <t>BUMBLEBEE PINK CRABMEAT</t>
  </si>
  <si>
    <t>BUMBLEBEE SARDINES IN MUSTRD</t>
  </si>
  <si>
    <t>BUMBLEBEE SARDINES IN WATER</t>
  </si>
  <si>
    <t>BUMBLEBEE SARDINES OIL</t>
  </si>
  <si>
    <t>BUMBLEBEE WHOLE OYSTERS</t>
  </si>
  <si>
    <t>CHICK SEA PREMIUM CRAB POUCH</t>
  </si>
  <si>
    <t>CRWN PRNC ANCHOVIES FLAT</t>
  </si>
  <si>
    <t>CRWN PRNC CRAB FANCY WHITE</t>
  </si>
  <si>
    <t>CRWN PRNC CRABMEAT/ BODY</t>
  </si>
  <si>
    <t>CRWN PRNC KIPPER SNACKS</t>
  </si>
  <si>
    <t>CRWN PRNC OYSTERS BOILED</t>
  </si>
  <si>
    <t>CRWN PRNC OYSTERS SMOKED</t>
  </si>
  <si>
    <t>CRWN PRNC SARD BNLS SKNLS</t>
  </si>
  <si>
    <t>CRWN PRNC SARDINES BRISLING</t>
  </si>
  <si>
    <t>CRWN PRNC SARDINES GR CHILI</t>
  </si>
  <si>
    <t>CRWN PRNC SARDINES HOT SCE</t>
  </si>
  <si>
    <t>CRWN PRNC SARDINES MUSTARD</t>
  </si>
  <si>
    <t>CRWN PRNC SARDINES OIL</t>
  </si>
  <si>
    <t>CRWN PRNC SARDINES TOMATO</t>
  </si>
  <si>
    <t>CRWN PRNC SARDINES/WTR</t>
  </si>
  <si>
    <t>FSHERMNNT SARDINES MUSTARD</t>
  </si>
  <si>
    <t>FSHERMNNT SARDINES OIL</t>
  </si>
  <si>
    <t>GEISHA CRABMEAT</t>
  </si>
  <si>
    <t>GEISHA OYSTERS SMOKED</t>
  </si>
  <si>
    <t>KING OSCR FLAT ANCHOVIES</t>
  </si>
  <si>
    <t>KING OSCR MEDATERIAN SARDINE</t>
  </si>
  <si>
    <t>KING OSCR SRDN 2 LYR OLIVE</t>
  </si>
  <si>
    <t>BUMBLEBEE PF PNK SLMN TRYKI</t>
  </si>
  <si>
    <t>BUMBLEBEE PFIL ATL SALMON LI</t>
  </si>
  <si>
    <t>BUMBLEBEE S-B SALMON POUCH</t>
  </si>
  <si>
    <t>BUMBLEBEE SALMON PINK</t>
  </si>
  <si>
    <t>BUMBLEBEE SALMON RED</t>
  </si>
  <si>
    <t>CHICK SEA PREM PNK SALMN PCH</t>
  </si>
  <si>
    <t>CHICK SEA PREM SMKD PAC SLMN</t>
  </si>
  <si>
    <t>CHICK SEA SALMON PINK TRADIT</t>
  </si>
  <si>
    <t>DOUBLE Q SALMON PINK</t>
  </si>
  <si>
    <t>RICHFOOD SALMON PINK</t>
  </si>
  <si>
    <t>STARKIST GSEA DILL SALMON</t>
  </si>
  <si>
    <t>STARKIST GSEA TOM ON SALMON</t>
  </si>
  <si>
    <t>STARKIST SALMN CREATN MANGO</t>
  </si>
  <si>
    <t>TULIP PINK SALMON</t>
  </si>
  <si>
    <t>:BUMBLEBE LORT TUNA SALADKIT</t>
  </si>
  <si>
    <t>:BUMBLEBE LOTR CHICKEN SALAD</t>
  </si>
  <si>
    <t>BUMBLEBEE ALBACORETUNAPOUCH</t>
  </si>
  <si>
    <t>BUMBLEBEE CH L TUNA WT3/3OZ</t>
  </si>
  <si>
    <t>BUMBLEBEE CHNK LGHT TUNA WTR</t>
  </si>
  <si>
    <t>BUMBLEBEE CHNK WHT TUNA WTR</t>
  </si>
  <si>
    <t>BUMBLEBEE CHUNKLIGHTTUNAOIL</t>
  </si>
  <si>
    <t>BUMBLEBEE CHUNKLTTUNAPOUCH</t>
  </si>
  <si>
    <t>BUMBLEBEE PRIMEFILLET SWTWTR</t>
  </si>
  <si>
    <t>BUMBLEBEE SEN EZP BOWL LEM P</t>
  </si>
  <si>
    <t>BUMBLEBEE SEN EZP BOWL THAI</t>
  </si>
  <si>
    <t>BUMBLEBEE SEN EZP BWL TOMBAS</t>
  </si>
  <si>
    <t>BUMBLEBEE SLD WH TNA/WT3/3OZ</t>
  </si>
  <si>
    <t>BUMBLEBEE SOLID WHITE WATER</t>
  </si>
  <si>
    <t>BUMBLEBEE SOLIDWHITETUNAOIL</t>
  </si>
  <si>
    <t>BUMBLEBEE TUNA CHNK LT/WATER</t>
  </si>
  <si>
    <t>BUMBLEBEE TUNA FF W/CRACKERS</t>
  </si>
  <si>
    <t>BUMBLEBEE TUNA SALAD&amp;CRACKER</t>
  </si>
  <si>
    <t>BUMBLEBEE TUNA SOLID WHITE</t>
  </si>
  <si>
    <t>CHICK SEA TUNA ALBACR SW WTR</t>
  </si>
  <si>
    <t>CHICK SEA TUNA CHK LT LSDM</t>
  </si>
  <si>
    <t>CHICK SEA TUNA CHK LT VG OIL</t>
  </si>
  <si>
    <t>CHICK SEA TUNA CHK LT WATER</t>
  </si>
  <si>
    <t>CHICK SEA TUNA CHK WHT WTR</t>
  </si>
  <si>
    <t>CHICK SEA TUNA CHUNK/LTE/WTR</t>
  </si>
  <si>
    <t>CHICK SEA TUNA SOLID IN WTR</t>
  </si>
  <si>
    <t>GEISHA CHUNK LIGHT TUNA</t>
  </si>
  <si>
    <t>RICHFOOD SOLID WHITE TUNA</t>
  </si>
  <si>
    <t>RICHFOOD TUNA CHK LT WTR PK</t>
  </si>
  <si>
    <t>7.06 OZ</t>
  </si>
  <si>
    <t>RICHFOOD TUNA CHUNK LIGHT P</t>
  </si>
  <si>
    <t>RICHFOOD TUNA CHUNK WHT ALB</t>
  </si>
  <si>
    <t>STARKIST ALBCR CREATN TOMAT</t>
  </si>
  <si>
    <t>STARKIST CHUN LIGHT POUCH</t>
  </si>
  <si>
    <t>STARKIST CHUNK LIGHT GC</t>
  </si>
  <si>
    <t>STARKIST CHUNK LIGHT LUNCH2</t>
  </si>
  <si>
    <t>STARKIST CHUNK LIGHT OIL</t>
  </si>
  <si>
    <t>STARKIST CHUNK LIGHT POUCH</t>
  </si>
  <si>
    <t>STARKIST CHUNK LIGHT WATER</t>
  </si>
  <si>
    <t>STARKIST CHUNK LT HLVS/OIL</t>
  </si>
  <si>
    <t>STARKIST CHUNK LT HLVS/WATR</t>
  </si>
  <si>
    <t>STARKIST CHUNK WHITE HALVES</t>
  </si>
  <si>
    <t>STARKIST CHUNK WHITE LS GC</t>
  </si>
  <si>
    <t>STARKIST CHUNK WHITE POUCH</t>
  </si>
  <si>
    <t>STARKIST CHUNK WHT LUNCH2GO</t>
  </si>
  <si>
    <t>STARKIST FILLET OLIVE  O GC</t>
  </si>
  <si>
    <t>STARKIST GSEA LEM HERB TUNA</t>
  </si>
  <si>
    <t>STARKIST GSEA SWTCORN TUNA</t>
  </si>
  <si>
    <t>STARKIST GSEA TOMATO TUNA</t>
  </si>
  <si>
    <t>STARKIST HERB GARLIC CREATI</t>
  </si>
  <si>
    <t>STARKIST HICKORY SMOKED CRE</t>
  </si>
  <si>
    <t>STARKIST LEMON PEPPER CREAT</t>
  </si>
  <si>
    <t>STARKIST SOLID ALBACORE GC</t>
  </si>
  <si>
    <t>STARKIST SOLID LT FILLET GC</t>
  </si>
  <si>
    <t>STARKIST SOLID WHITE WATER</t>
  </si>
  <si>
    <t>STARKIST SWEET SPICY CREATI</t>
  </si>
  <si>
    <t>STARKIST TUNA CHUNK LT 3PK</t>
  </si>
  <si>
    <t>STARKIST TUNA CHUNK LT WATE</t>
  </si>
  <si>
    <t>STARKIST TUNA WATER/LIGHT</t>
  </si>
  <si>
    <t>STARKIST TUNA WHITE SOLID</t>
  </si>
  <si>
    <t>STARKIST TUNA WTR  3/3 OZ</t>
  </si>
  <si>
    <t>BUMBLEBEE CLAMS WHOLE</t>
  </si>
  <si>
    <t>BUMBLEBEE JACK MACKEREL</t>
  </si>
  <si>
    <t>BUMBLEBEE SHRIMP MEDIUM</t>
  </si>
  <si>
    <t>BUMBLEBEE SHRMP TINY CCKTAIL</t>
  </si>
  <si>
    <t>CHICK SEA JACK MACKEREL</t>
  </si>
  <si>
    <t>CRWN PRNC BABY CLAMS</t>
  </si>
  <si>
    <t>CRWN PRNC CLAM JUICE</t>
  </si>
  <si>
    <t>CRWN PRNC CLAMS BABY/SMOKED</t>
  </si>
  <si>
    <t>CRWN PRNC CLAMS MINCED</t>
  </si>
  <si>
    <t>CRWN PRNC CLAMS WHOLE BABY</t>
  </si>
  <si>
    <t>CRWN PRNC MACKEREL</t>
  </si>
  <si>
    <t>CRWN PRNC MACKEREL FILETS</t>
  </si>
  <si>
    <t>CRWN PRNC SHRIMP BROKEN</t>
  </si>
  <si>
    <t>GEISHA JACK MACKEREL</t>
  </si>
  <si>
    <t>GEISHA TINY SHRIMP</t>
  </si>
  <si>
    <t>GEISHA WHL BABY CLAMS</t>
  </si>
  <si>
    <t>SNOWS CLAMS CHOPPED</t>
  </si>
  <si>
    <t>SNOWS JUICE CLAM</t>
  </si>
  <si>
    <t>SNOWS MINCED CLAMS</t>
  </si>
  <si>
    <t>CAMPBELLS 25% LS CKN NOODLE</t>
  </si>
  <si>
    <t>CAMPBELLS 25% LS CR MUSHR</t>
  </si>
  <si>
    <t>CAMPBELLS 25% LS TOMATO</t>
  </si>
  <si>
    <t>43 OZ</t>
  </si>
  <si>
    <t>CAMPBELLS 4PK CHKN NOODLE</t>
  </si>
  <si>
    <t>CAMPBELLS BEEF BROTH SOUP</t>
  </si>
  <si>
    <t>CAMPBELLS BEEF CONSOMME</t>
  </si>
  <si>
    <t>CAMPBELLS CHICKEN &amp;RICE SOUP</t>
  </si>
  <si>
    <t>CAMPBELLS CHICKEN BROTH</t>
  </si>
  <si>
    <t>CAMPBELLS CHICKEN GUMBO</t>
  </si>
  <si>
    <t>CAMPBELLS CHKN NDL O'S SOUP</t>
  </si>
  <si>
    <t>CAMPBELLS CHKN W/WILD RICE</t>
  </si>
  <si>
    <t>CAMPBELLS CONDENSED LENTIL</t>
  </si>
  <si>
    <t>CAMPBELLS CONDNS CHKN BARLEY</t>
  </si>
  <si>
    <t>CAMPBELLS CREAM OF ASPARAGUS</t>
  </si>
  <si>
    <t>CAMPBELLS CREAM OF BROCCOLI</t>
  </si>
  <si>
    <t>CAMPBELLS CREAM OF CKN MUSHR</t>
  </si>
  <si>
    <t>CAMPBELLS CREAM OF SHRIMP</t>
  </si>
  <si>
    <t>CAMPBELLS CRM OF CKN W HERBS</t>
  </si>
  <si>
    <t>CAMPBELLS FAMILY SZ CKN/RICE</t>
  </si>
  <si>
    <t>CAMPBELLS FF CRM OF CELERY</t>
  </si>
  <si>
    <t>CAMPBELLS FRENCH ONION</t>
  </si>
  <si>
    <t>CAMPBELLS GLDN MSHRM SOUP</t>
  </si>
  <si>
    <t>CAMPBELLS GREEN PEA</t>
  </si>
  <si>
    <t>CAMPBELLS H/REQ SP CRM/MSHRM</t>
  </si>
  <si>
    <t>CAMPBELLS HEALTHY RQST VEG</t>
  </si>
  <si>
    <t>CAMPBELLS HLTHY REQ CHCK NDL</t>
  </si>
  <si>
    <t>CAMPBELLS HLTHY REQ TOM SOUP</t>
  </si>
  <si>
    <t>CAMPBELLS HM COOKIN'CHCK NDL</t>
  </si>
  <si>
    <t>CAMPBELLS HR HOMESTYLE CN</t>
  </si>
  <si>
    <t>CAMPBELLS ITALIAN WEDD CND</t>
  </si>
  <si>
    <t>CAMPBELLS MEGA NOODLE</t>
  </si>
  <si>
    <t>CAMPBELLS MINESTRONE</t>
  </si>
  <si>
    <t>CAMPBELLS NEW ENG CLAM CHOW</t>
  </si>
  <si>
    <t>CAMPBELLS R&amp;W COOL SHAPES</t>
  </si>
  <si>
    <t>CAMPBELLS R&amp;W GOLDFISH PASTA</t>
  </si>
  <si>
    <t>CAMPBELLS R&amp;W HS CKN NDL BWL</t>
  </si>
  <si>
    <t>CAMPBELLS RSTD GRLC/MSHRM SP</t>
  </si>
  <si>
    <t>CAMPBELLS RW GOLDFISH CKN</t>
  </si>
  <si>
    <t>CAMPBELLS SHREK SOUP W/CHCKN</t>
  </si>
  <si>
    <t>CAMPBELLS SOUP BEAN W BACON</t>
  </si>
  <si>
    <t>CAMPBELLS SOUP BEEF AND BRLY</t>
  </si>
  <si>
    <t>CAMPBELLS SOUP BROC W CHEESE</t>
  </si>
  <si>
    <t>CAMPBELLS SOUP CHEDDAR CHEES</t>
  </si>
  <si>
    <t>CAMPBELLS SOUP CHICKEN NDL</t>
  </si>
  <si>
    <t>CAMPBELLS SOUP CHICKN NDL LS</t>
  </si>
  <si>
    <t>CAMPBELLS SOUP CHIX &amp; STARS*</t>
  </si>
  <si>
    <t>CAMPBELLS SOUP CHKN NDLE MIL</t>
  </si>
  <si>
    <t>CAMPBELLS SOUP CR OF POTAT M</t>
  </si>
  <si>
    <t>CAMPBELLS SOUP CRM MUSH</t>
  </si>
  <si>
    <t>CAMPBELLS SOUP CRM MUSHROOM</t>
  </si>
  <si>
    <t>CAMPBELLS SOUP CRM OF CELERY</t>
  </si>
  <si>
    <t>CAMPBELLS SOUP CRM OF CHICKN</t>
  </si>
  <si>
    <t>CAMPBELLS SOUP CRM OF ONION</t>
  </si>
  <si>
    <t>CAMPBELLS SOUP DORA THE EXPL</t>
  </si>
  <si>
    <t>CAMPBELLS SOUP DOUBLE NDLE</t>
  </si>
  <si>
    <t>CAMPBELLS SOUP HR CRM/CHICKN</t>
  </si>
  <si>
    <t>CAMPBELLS SOUP MAN CLAM CHOW</t>
  </si>
  <si>
    <t>CAMPBELLS SOUP OF VEGETABLE</t>
  </si>
  <si>
    <t>CAMPBELLS SOUP OYSTER STEW</t>
  </si>
  <si>
    <t>CAMPBELLS SOUP RF CR  CHICK</t>
  </si>
  <si>
    <t>CAMPBELLS SOUP RF CRM MUSH</t>
  </si>
  <si>
    <t>CAMPBELLS SOUP TOMATO</t>
  </si>
  <si>
    <t>CAMPBELLS SOUP TOMATO OTD</t>
  </si>
  <si>
    <t>CAMPBELLS SOUP VEGETABLE BF</t>
  </si>
  <si>
    <t>CAMPBELLS SOUP WON TON</t>
  </si>
  <si>
    <t>CAMPBELLS SOUPER SHAPES CARS</t>
  </si>
  <si>
    <t>CAMPBELLS SPLT PEA/HM SOUP</t>
  </si>
  <si>
    <t>CAMPBELLS VEGATRN VEG SOUP</t>
  </si>
  <si>
    <t>CAMPBELLS VEGGIE SOUP</t>
  </si>
  <si>
    <t>RICHFOOD 98% FF CRM OF CHIC</t>
  </si>
  <si>
    <t>RICHFOOD 98% FF CRM OF MUSH</t>
  </si>
  <si>
    <t>RICHFOOD BEAN W/BACON SOUP</t>
  </si>
  <si>
    <t>RICHFOOD CHICKEN &amp; STARS</t>
  </si>
  <si>
    <t>RICHFOOD CHICKEN RICE SOUP</t>
  </si>
  <si>
    <t>RICHFOOD CHKN NOODLE SOUP</t>
  </si>
  <si>
    <t>RICHFOOD CREAM OF CELERY</t>
  </si>
  <si>
    <t>RICHFOOD CRM CHICKEN SOUP</t>
  </si>
  <si>
    <t>RICHFOOD CRM MUSHROOM SOUP</t>
  </si>
  <si>
    <t>RICHFOOD FAMILY CHIC NOODLE</t>
  </si>
  <si>
    <t>RICHFOOD FAMILY TOMATO SOUP</t>
  </si>
  <si>
    <t>RICHFOOD TOMATO SOUP</t>
  </si>
  <si>
    <t>RICHFOOD VEGETABLE SOUP</t>
  </si>
  <si>
    <t>RICHFOOD VEGETARIAN VEGTABL</t>
  </si>
  <si>
    <t>RICHFOOD VEGTABLE BEEF SOUP</t>
  </si>
  <si>
    <t>CAMPBELL SAH 25% LS TOMATO</t>
  </si>
  <si>
    <t>CAMPBELLS BROCCOLI SOUP</t>
  </si>
  <si>
    <t>CAMPBELLS BUTTERNUT SQUASH</t>
  </si>
  <si>
    <t>18.6 OZ</t>
  </si>
  <si>
    <t>CAMPBELLS CHKN&amp;SAUSAGE GUMBO</t>
  </si>
  <si>
    <t>CAMPBELLS CHKY BEEF MSH PSTA</t>
  </si>
  <si>
    <t>CAMPBELLS CHKY BPOT/CHD&amp;BBIT</t>
  </si>
  <si>
    <t>CAMPBELLS CHKY FL TRKPT PIE</t>
  </si>
  <si>
    <t>CAMPBELLS CHKY H/R CKN GUMBO</t>
  </si>
  <si>
    <t>CAMPBELLS CHKY H/R VEGETABLE</t>
  </si>
  <si>
    <t>CAMPBELLS CHNKY BF RIB ROAST</t>
  </si>
  <si>
    <t>CAMPBELLS CHNKY CHKN/DMPLING</t>
  </si>
  <si>
    <t>CAMPBELLS CHNKY FL RIGAT/MTB</t>
  </si>
  <si>
    <t>CAMPBELLS CHNKY H/R CHKN NDL</t>
  </si>
  <si>
    <t>CAMPBELLS CHNKY H/R CLAM CHW</t>
  </si>
  <si>
    <t>CAMPBELLS CHNKY H/R VEG BEEF</t>
  </si>
  <si>
    <t>CAMPBELLS CHNKY SALSBURY STK</t>
  </si>
  <si>
    <t>CAMPBELLS CHNKY SPLT PEA&amp;HAM</t>
  </si>
  <si>
    <t>CAMPBELLS CHNKY SVRY POT RST</t>
  </si>
  <si>
    <t>CAMPBELLS CHUNKY CHCKN MWBWL</t>
  </si>
  <si>
    <t>CAMPBELLS CHUNKY FL BEEF STW</t>
  </si>
  <si>
    <t>CAMPBELLS CHUNKY MW VEG BEEF</t>
  </si>
  <si>
    <t>CAMPBELLS CHUNKY NE CLAM CHW</t>
  </si>
  <si>
    <t>CAMPBELLS CHY FAJITA CHICKEN</t>
  </si>
  <si>
    <t>CAMPBELLS CKY BF W/WH&amp;WLD RC</t>
  </si>
  <si>
    <t>CAMPBELLS CKY GRLD CHCKN MWB</t>
  </si>
  <si>
    <t>CAMPBELLS CKY NE CLMCHWDR MB</t>
  </si>
  <si>
    <t>CAMPBELLS FULLY LOADED CHILI</t>
  </si>
  <si>
    <t>CAMPBELLS FULY LOAD CKN ALFR</t>
  </si>
  <si>
    <t>CAMPBELLS GR CHK &amp; VEG W/PST</t>
  </si>
  <si>
    <t>CAMPBELLS HR CKN SAUSG BWL</t>
  </si>
  <si>
    <t>CAMPBELLS HR SIRLOIN BURGER</t>
  </si>
  <si>
    <t>CAMPBELLS MB BF W/CNTRY VEG</t>
  </si>
  <si>
    <t>CAMPBELLS MB CHICKEN NOODLE</t>
  </si>
  <si>
    <t>CAMPBELLS MB CHKN &amp; DUMPLING</t>
  </si>
  <si>
    <t>CAMPBELLS MB SIRLOIN BURGER</t>
  </si>
  <si>
    <t>CAMPBELLS POTATO W/RSTD GARL</t>
  </si>
  <si>
    <t>CAMPBELLS R&amp;W RTS CHICKEN ND</t>
  </si>
  <si>
    <t>CAMPBELLS R&amp;W RTS TOMATO</t>
  </si>
  <si>
    <t>CAMPBELLS R&amp;W RTS VEGETABLE</t>
  </si>
  <si>
    <t>CAMPBELLS RSTD CHKN/ROTINI</t>
  </si>
  <si>
    <t>15.40 O</t>
  </si>
  <si>
    <t>CAMPBELLS RW BOWL CRM TOMATO</t>
  </si>
  <si>
    <t>CAMPBELLS RW BOWL VEG BEEF</t>
  </si>
  <si>
    <t>CAMPBELLS SAH 25% LS CKN NDL</t>
  </si>
  <si>
    <t>CAMPBELLS SAH CHICKEN &amp;STARS</t>
  </si>
  <si>
    <t>CAMPBELLS SAH CKN NOODLE</t>
  </si>
  <si>
    <t>CAMPBELLS SAH COUNTRY TOM</t>
  </si>
  <si>
    <t>CAMPBELLS SAH CREAM OF BROCL</t>
  </si>
  <si>
    <t>CAMPBELLS SAH CREAMY CHIC</t>
  </si>
  <si>
    <t>CAMPBELLS SAH CRTOM PARM BSQ</t>
  </si>
  <si>
    <t>CAMPBELLS SAH NE CLAM CHOWDR</t>
  </si>
  <si>
    <t>CAMPBELLS SAH TOMATO</t>
  </si>
  <si>
    <t>CAMPBELLS SAH VEGETABLE BEEF</t>
  </si>
  <si>
    <t>CAMPBELLS SEL CRM CKN ALFRD</t>
  </si>
  <si>
    <t>CAMPBELLS SEL HR CHICKN RICE</t>
  </si>
  <si>
    <t>CAMPBELLS SEL HR ITL WED BWL</t>
  </si>
  <si>
    <t>CAMPBELLS SEL HR MEX TRTILLA</t>
  </si>
  <si>
    <t>CAMPBELLS SEL MB ITAL WEDDNG</t>
  </si>
  <si>
    <t>CAMPBELLS SEL MEDIT MEATBALL</t>
  </si>
  <si>
    <t>18.7 OZ</t>
  </si>
  <si>
    <t>CAMPBELLS SEL TOM BASIL</t>
  </si>
  <si>
    <t>CAMPBELLS SELCT BEAN N'HAM</t>
  </si>
  <si>
    <t>CAMPBELLS SELCT CHICKN NOODL</t>
  </si>
  <si>
    <t>CAMPBELLS SELCT MB CHCKN NDL</t>
  </si>
  <si>
    <t>CAMPBELLS SELCT SPLT PEA&amp;HAM</t>
  </si>
  <si>
    <t>CAMPBELLS SELECT HR ITAL WED</t>
  </si>
  <si>
    <t>CAMPBELLS SELECT MEX CHIX TO</t>
  </si>
  <si>
    <t>CAMPBELLS SELECT NE CLAM CHW</t>
  </si>
  <si>
    <t>CAMPBELLS SELECT SAV CHICKEN</t>
  </si>
  <si>
    <t>CAMPBELLS SELHRMEXCK TOR BWL</t>
  </si>
  <si>
    <t>CAMPBELLS SELMB LF NECLMCHWD</t>
  </si>
  <si>
    <t>CAMPBELLS SH FRENCH ONION</t>
  </si>
  <si>
    <t>CAMPBELLS SH LIGHT CHKN VEG</t>
  </si>
  <si>
    <t>CAMPBELLS SH LT ITL STY VEG</t>
  </si>
  <si>
    <t>CAMPBELLS SH LT MARYL CRAB</t>
  </si>
  <si>
    <t>CAMPBELLS SH LT MW ITAL VEG</t>
  </si>
  <si>
    <t>CAMPBELLS SH LT MW SWEST VEG</t>
  </si>
  <si>
    <t>CAMPBELLS SH LT MW VEG PASTA</t>
  </si>
  <si>
    <t>CAMPBELLS SH LT SW STYLE VEG</t>
  </si>
  <si>
    <t>CAMPBELLS SH LT VEGTB &amp;PASTA</t>
  </si>
  <si>
    <t>CAMPBELLS SH LT VG BEEF BARL</t>
  </si>
  <si>
    <t>CAMPBELLS SIRL STK &amp; HTY VEG</t>
  </si>
  <si>
    <t>CAMPBELLS SLCT HR CKN NDLE</t>
  </si>
  <si>
    <t>CAMPBELLS SLCT ITL SAUS PSTA</t>
  </si>
  <si>
    <t>CAMPBELLS SLECT ITALN WEDDNG</t>
  </si>
  <si>
    <t>CAMPBELLS SOUP CHCK CRN CHWD</t>
  </si>
  <si>
    <t>CAMPBELLS SOUP CHICKEN CHUNK</t>
  </si>
  <si>
    <t>CAMPBELLS SOUP CHICKEN RICE</t>
  </si>
  <si>
    <t>CAMPBELLS SOUP CHK BRC/CHS C</t>
  </si>
  <si>
    <t>CAMPBELLS SOUP CHK MAN CLAM</t>
  </si>
  <si>
    <t>CAMPBELLS SOUP CHK POT&amp;HM CH</t>
  </si>
  <si>
    <t>CAMPBELLS SOUP CHNK BN&amp;HAM</t>
  </si>
  <si>
    <t>CAMPBELLS SOUP CHNK CLSCHXND</t>
  </si>
  <si>
    <t>CAMPBELLS SOUP CHNK STK&amp;POT</t>
  </si>
  <si>
    <t>CAMPBELLS SOUP CHNK VEGETABL</t>
  </si>
  <si>
    <t>CAMPBELLS SOUP CHUNKY BEEF</t>
  </si>
  <si>
    <t>CAMPBELLS SOUP HC CHCKN RICE</t>
  </si>
  <si>
    <t>CAMPBELLS SOUP HC TOM GARDEN</t>
  </si>
  <si>
    <t>CAMPBELLS SOUP HS FF CLM CHW</t>
  </si>
  <si>
    <t>CAMPBELLS SOUP OF VEG BEEF</t>
  </si>
  <si>
    <t>CAMPBELLS SOUP SIRLOIN BRGR</t>
  </si>
  <si>
    <t>CAMPBELLS SOUP VEGETABLE</t>
  </si>
  <si>
    <t>CAMPBELLS SOUP VEGETBLE BEEF</t>
  </si>
  <si>
    <t>CAMPBELLS SWEET RED PEPPER</t>
  </si>
  <si>
    <t>CAMPBELLS TOMATO HERB</t>
  </si>
  <si>
    <t>CAMPBELLS V8 SOUTHWEST CORN</t>
  </si>
  <si>
    <t>CHUNKY CHICKEN CORN CHWDR</t>
  </si>
  <si>
    <t>CHUNKY HR CHKN CORN CHWDR</t>
  </si>
  <si>
    <t>HANOVER CHICKEN NOODLE RTS</t>
  </si>
  <si>
    <t>HANOVER CHUNKY VEGETABLE</t>
  </si>
  <si>
    <t>HANOVER TOMATO SOUP</t>
  </si>
  <si>
    <t>HC MWSOUP HC CKN TORTILLA BW</t>
  </si>
  <si>
    <t>HC MWSOUP HC ITLN WEDNG CUP</t>
  </si>
  <si>
    <t>HLTHY CHC BF POT ROAST CA</t>
  </si>
  <si>
    <t>HLTHY CHC CHIC NDLE MW SOUP</t>
  </si>
  <si>
    <t>HLTHY CHC CHIC RICE MW SOUP</t>
  </si>
  <si>
    <t>HLTHY CHC CHICKEN &amp; DUMP SP</t>
  </si>
  <si>
    <t>HLTHY CHC CHICKEN TORTILLA</t>
  </si>
  <si>
    <t>HLTHY CHC CLAM CHWDR NEW ENG</t>
  </si>
  <si>
    <t>HLTHY CHC CONTRY VEG MW SOUP</t>
  </si>
  <si>
    <t>HLTHY CHC ITALIAN WEDDING</t>
  </si>
  <si>
    <t>HLTHY CHC MINESTRON MICRO SP</t>
  </si>
  <si>
    <t>HLTHY CHC SOUP BEAN &amp; HAM</t>
  </si>
  <si>
    <t>HLTHY CHC SOUP CHICKEN NDLES</t>
  </si>
  <si>
    <t>HLTHY CHC SOUP CHICKEN/RICE</t>
  </si>
  <si>
    <t>HLTHY CHC SOUP GARDEN VEGIE</t>
  </si>
  <si>
    <t>HLTHY CHC SP COUNTRY VEGETBL</t>
  </si>
  <si>
    <t>HLTHY CHC STEAK/NOODLE MW</t>
  </si>
  <si>
    <t>HLTHY CHC ZESTY GUMBO SOUP</t>
  </si>
  <si>
    <t>HURST GRN SPLIT PEA SOUP</t>
  </si>
  <si>
    <t>PROG SOUP CLASSIC BASIL TOM</t>
  </si>
  <si>
    <t>PROG SOUP CLASSIC HRTY BL BN</t>
  </si>
  <si>
    <t>PROG SOUP CLASSIC HRTY TOM</t>
  </si>
  <si>
    <t>PROG SOUP CLASSIC MINESTRONE</t>
  </si>
  <si>
    <t>PROG SOUP CLASSIC PEN CKN BR</t>
  </si>
  <si>
    <t>PROG SOUP CLASSIC SPLIT PEA</t>
  </si>
  <si>
    <t>PROG SOUP CLASSIC VEGETABLE</t>
  </si>
  <si>
    <t>PROG SOUP CLASSIS FF LENTIL</t>
  </si>
  <si>
    <t>PROG SOUP GARDEN VEGE SOUP</t>
  </si>
  <si>
    <t>PROG SOUP R &amp; HIC CRMY MUSH</t>
  </si>
  <si>
    <t>PROG SOUP R&amp;H BEEF BARLY VEG</t>
  </si>
  <si>
    <t>PROG SOUP R&amp;H CHIC POTPIE SP</t>
  </si>
  <si>
    <t>PROG SOUP R&amp;H POT RST&amp;VEG SP</t>
  </si>
  <si>
    <t>PROG SOUP R&amp;H STEAK &amp; POT SP</t>
  </si>
  <si>
    <t>PROG SOUP R&amp;H STK MSHRM SOUP</t>
  </si>
  <si>
    <t>PROG SOUP TOM/BASIL ROTINI</t>
  </si>
  <si>
    <t>PROG SOUP TRAD  FF NE CLM CH</t>
  </si>
  <si>
    <t>PROG SOUP TRAD BEEF /VEG</t>
  </si>
  <si>
    <t>PROG SOUP TRAD BEEF BARLEY</t>
  </si>
  <si>
    <t>PROG SOUP TRAD CHCKN BARLEY</t>
  </si>
  <si>
    <t>PROG SOUP TRAD CHICKARINA</t>
  </si>
  <si>
    <t>PROG SOUP TRAD CHICKEN</t>
  </si>
  <si>
    <t>PROG SOUP TRAD CHICKEN/HOMST</t>
  </si>
  <si>
    <t>PROG SOUP TRAD CHICKN NOODLE</t>
  </si>
  <si>
    <t>PROG SOUP TRAD CHKN/WLD RICE</t>
  </si>
  <si>
    <t>PROG SOUP TRAD CKN HERB DUMP</t>
  </si>
  <si>
    <t>PROG SOUP TRAD FF BEEF BARLY</t>
  </si>
  <si>
    <t>PROG SOUP TRAD FF CKN NOODLE</t>
  </si>
  <si>
    <t>PROG SOUP TRAD FRENCH ONION</t>
  </si>
  <si>
    <t>PROG SOUP TRAD HS CKN NOODLE</t>
  </si>
  <si>
    <t>PROG SOUP TRAD MAN CLAM CHOW</t>
  </si>
  <si>
    <t>PROG SOUP TRAD NE CLAM CHWDR</t>
  </si>
  <si>
    <t>PROG SOUP TRAD POT BROC&amp;CHSE</t>
  </si>
  <si>
    <t>PROG SOUP TRAD RSTD GRLC CHX</t>
  </si>
  <si>
    <t>PROG SOUP TRAD SW STYLE CKN</t>
  </si>
  <si>
    <t>PROG SOUP TRAD TURKEY NOODLE</t>
  </si>
  <si>
    <t>PROG SOUP VEG ITALIANO SOUP</t>
  </si>
  <si>
    <t>PROGRESSO CHICKEN RICE SOUP</t>
  </si>
  <si>
    <t>PROGRESSO ITALN STYLE WEDDNG</t>
  </si>
  <si>
    <t>PROGRESSO ITLN STY WDNG SOUP</t>
  </si>
  <si>
    <t>PROGRESSO LENTIL SOUP</t>
  </si>
  <si>
    <t>PROGRESSO LT HMSTYL VEG RICE</t>
  </si>
  <si>
    <t>PROGRESSO LT ITALIAN VEG SP</t>
  </si>
  <si>
    <t>PROGRESSO LT SW STYLE VEG SP</t>
  </si>
  <si>
    <t>PROGRESSO LT VEGTBL BARLY SP</t>
  </si>
  <si>
    <t>PROGRESSO LT VEGTBL&amp;NOODL SP</t>
  </si>
  <si>
    <t>PROGRESSO MW BOWL LENTIL SP</t>
  </si>
  <si>
    <t>PROGRESSO MW LT HMST VEG&amp;RCE</t>
  </si>
  <si>
    <t>PROGRESSO MW LT ITL STY WDNG</t>
  </si>
  <si>
    <t>PROGRESSO MW LT VEGTBL&amp;NOODL</t>
  </si>
  <si>
    <t>PROGRESSO MWBW CHK WLD RC SP</t>
  </si>
  <si>
    <t>PROGRESSO MWBWL CHKN NDLE SP</t>
  </si>
  <si>
    <t>PROGRESSO MWBWL MINESTRNE SP</t>
  </si>
  <si>
    <t>PROGRESSO MWBWL VEGETABLE SP</t>
  </si>
  <si>
    <t>PROGRESSO MWBWL VEGTBL BF SP</t>
  </si>
  <si>
    <t>PROGRESSO PRG BF PT RT W LT</t>
  </si>
  <si>
    <t>PROGRESSO PRG CHK NDL SP LT</t>
  </si>
  <si>
    <t>PROGRESSO PRG SANTEFE SP LT</t>
  </si>
  <si>
    <t>PROGRESSO PROG BF VG SP RDSD</t>
  </si>
  <si>
    <t>PROGRESSO PROG CHK VG SP LT</t>
  </si>
  <si>
    <t>PROGRESSO R&amp;H CHKN CRN CHWDR</t>
  </si>
  <si>
    <t>PROGRESSO R&amp;H NE CLAM CHOWDR</t>
  </si>
  <si>
    <t>PROGRESSO R&amp;H VEG BEEF SOUP</t>
  </si>
  <si>
    <t>PROGRESSO RDSOD ITALN WEDDNG</t>
  </si>
  <si>
    <t>PROGRESSO RED SOD CKN VEG LT</t>
  </si>
  <si>
    <t>PROGRESSO RED SOD GARN VGTBL</t>
  </si>
  <si>
    <t>PROGRESSO RED SOD MINESTRONE</t>
  </si>
  <si>
    <t>PROGRESSO RED SOD VEGETBL LT</t>
  </si>
  <si>
    <t>PROGRESSO RED SODM CHKN GMBO</t>
  </si>
  <si>
    <t>PROGRESSO RED SODM CHKN NDL</t>
  </si>
  <si>
    <t>PROGRESSO REDSOD CHKN WLD RC</t>
  </si>
  <si>
    <t>PROGRESSO RH SIRLOIN STK&amp;VEG</t>
  </si>
  <si>
    <t>PROGRESSO SOUP SPLIT PEA/HAM</t>
  </si>
  <si>
    <t>PROGRESSO TRAD CKN&amp;SSG GUMBO</t>
  </si>
  <si>
    <t>RICHFOOD CHUNKY CHICK SOUP</t>
  </si>
  <si>
    <t>RICHFOOD CHUNKY NE CLM CHWD</t>
  </si>
  <si>
    <t>RICHFOOD CHUNKY SIRLOIN BRG</t>
  </si>
  <si>
    <t>RICHFOOD SOUP TR CHK WLD RC</t>
  </si>
  <si>
    <t>RICHFOOD SOUP TR IT STL MB</t>
  </si>
  <si>
    <t>RICHFOOD SOUP TR MNSTRN PST</t>
  </si>
  <si>
    <t>RICHFOOD SOUP TRAD CHK NDL</t>
  </si>
  <si>
    <t>RICHFOOD SOUP TRAD LENTIL</t>
  </si>
  <si>
    <t>RICHFOOD SOUP TRAD VEG</t>
  </si>
  <si>
    <t>SNOWS NE CLAM CHOWDER</t>
  </si>
  <si>
    <t>AMERICANO AO HD CHILI SAUCE</t>
  </si>
  <si>
    <t>ARMOUR CHILI WITH BEANS</t>
  </si>
  <si>
    <t>BUNKER HL CHILI NO BEANS</t>
  </si>
  <si>
    <t>BUNKER HL HD CHILI SAUCE</t>
  </si>
  <si>
    <t>CAMPBELLS CHILI NO BEANS</t>
  </si>
  <si>
    <t>CAMPBELLS CHNKY CHILI BEEF</t>
  </si>
  <si>
    <t>CAMPBELLS CHNKY CHILI FRHOUS</t>
  </si>
  <si>
    <t>CAMPBELLS CHNKY CHILI STEAK</t>
  </si>
  <si>
    <t>CAMPBELLS CHUNKY CHILI BOWL</t>
  </si>
  <si>
    <t>CAMPBELLS FIREHOUSE BF &amp; BN</t>
  </si>
  <si>
    <t>CHEF MATE CHILI W/BEANS</t>
  </si>
  <si>
    <t>CHEF MATE HOT DOG CHILI</t>
  </si>
  <si>
    <t>HORMEL 15OZ CNB MICROBOWL</t>
  </si>
  <si>
    <t>HORMEL CHILI HOT W/BEANS</t>
  </si>
  <si>
    <t>HORMEL CHILI NO BEANS</t>
  </si>
  <si>
    <t>HORMEL CHILI TURKEY W/BNS</t>
  </si>
  <si>
    <t>HORMEL CHILI VEGETARIAN</t>
  </si>
  <si>
    <t>HORMEL CHILI W/BN MCUP</t>
  </si>
  <si>
    <t>HORMEL CHILI WITH BEANS</t>
  </si>
  <si>
    <t>HORMEL CM CHIPOTLE CHICKN</t>
  </si>
  <si>
    <t>HORMEL CM ROASTED TOMATO</t>
  </si>
  <si>
    <t>HORMEL CM THREE BEAN</t>
  </si>
  <si>
    <t>HORMEL CM WHITE CHICKEN</t>
  </si>
  <si>
    <t>RICHFOOD CHILI NO BEANS</t>
  </si>
  <si>
    <t>RICHFOOD CHILIW/BEANS</t>
  </si>
  <si>
    <t>14.5 FZ</t>
  </si>
  <si>
    <t>COLGE INN BROTH BEEF</t>
  </si>
  <si>
    <t>COLGE INN BROTH CHKN/LOW SLT</t>
  </si>
  <si>
    <t>COLLG INN CHICKEN BROTH</t>
  </si>
  <si>
    <t>COLLG INN CKN BROTH RESELCTN</t>
  </si>
  <si>
    <t>COLLG INN L/S CHIC BROTH</t>
  </si>
  <si>
    <t>CUP O NDL SOUP NOODLES BEEF</t>
  </si>
  <si>
    <t>HERB-OX BOU CHC INST PWDR</t>
  </si>
  <si>
    <t>HERB-OX BOUILLION CUBES BF</t>
  </si>
  <si>
    <t>3.33 OZ</t>
  </si>
  <si>
    <t>HERB-OX BOUILLN CHKN CUBES</t>
  </si>
  <si>
    <t>HERB-OX BOUILLON, INST BF</t>
  </si>
  <si>
    <t>HERB-OX CHIX FLVRD INST BR</t>
  </si>
  <si>
    <t>HERB-OX INST BEEF-L/S</t>
  </si>
  <si>
    <t>HERB-OX INST CHKN L/S PKT</t>
  </si>
  <si>
    <t>LIPTON BEEFY ONION 2/1.1Z</t>
  </si>
  <si>
    <t>LIPTON CHCK NDL 2/2.1 Z</t>
  </si>
  <si>
    <t>LIPTON CUP CHICKEN NOODLE</t>
  </si>
  <si>
    <t>LIPTON CUP CRM OF CHCKN</t>
  </si>
  <si>
    <t>LIPTON ONION MUSH 2/.9 OZ</t>
  </si>
  <si>
    <t>LIPTON RING O NDL 2/2.45Z</t>
  </si>
  <si>
    <t>LIPTON SOUP CHICKEN BROTH</t>
  </si>
  <si>
    <t>LIPTON SOUP MIX GOLD ONIO</t>
  </si>
  <si>
    <t>LIPTON SOUP MIX SVRY HERB</t>
  </si>
  <si>
    <t>LIPTON SOUP ONION</t>
  </si>
  <si>
    <t>LIPTON SOUP SCRTS X-NDLE</t>
  </si>
  <si>
    <t>LIPTON SOUP SPRING VEGIE</t>
  </si>
  <si>
    <t>LIPTON SOUP VEGIE RECIPE</t>
  </si>
  <si>
    <t>LIPTON TOMATO CUPASP 4PK</t>
  </si>
  <si>
    <t>MARUCHAN CHICKEN VEG FLAVOR</t>
  </si>
  <si>
    <t>MARUCHAN INS LNCH CHED CHS</t>
  </si>
  <si>
    <t>MARUCHAN INST LUNCH-RST CHK</t>
  </si>
  <si>
    <t>MARUCHAN RAMEN CREAMY CDISC</t>
  </si>
  <si>
    <t>MARUCHAN ROAST BEEF FLAVOR</t>
  </si>
  <si>
    <t>MARUCHAN RST BF INST LUNCH</t>
  </si>
  <si>
    <t>MARUCHAN SOUP BEEF FLAVR IN</t>
  </si>
  <si>
    <t>MARUCHAN SOUP BF FLVR NDLS</t>
  </si>
  <si>
    <t>MARUCHAN SOUP CHCKN MUSHRM</t>
  </si>
  <si>
    <t>MARUCHAN SOUP CHIK FLVR NDL</t>
  </si>
  <si>
    <t>MARUCHAN SOUP CHIKN FLV INT</t>
  </si>
  <si>
    <t>MARUCHAN SOUP NDLE MUSHROOM</t>
  </si>
  <si>
    <t>MARUCHAN SOUP ORIENTAL FLVR</t>
  </si>
  <si>
    <t>MARUCHAN SOUP PICANTE CHCKN</t>
  </si>
  <si>
    <t>MARUCHAN SOUP PORK FLAVR RM</t>
  </si>
  <si>
    <t>MARUCHAN SOUP RST CHK RAMEN</t>
  </si>
  <si>
    <t>MARUCHAN SOUP SHRIMP FLVR I</t>
  </si>
  <si>
    <t>MARUCHAN SOUP SHRMP FLV NDL</t>
  </si>
  <si>
    <t>MARUCHAN YAKI SOBA FOUR CHS</t>
  </si>
  <si>
    <t>6.21 OZ</t>
  </si>
  <si>
    <t>MRS.GRASS EXTRA NOODLE SOUP</t>
  </si>
  <si>
    <t>NISSIN BEEF MINISTRONE</t>
  </si>
  <si>
    <t>NISSIN CHOW MEIN CHICKEN</t>
  </si>
  <si>
    <t>NISSIN CHOW MEIN CHKN VEG</t>
  </si>
  <si>
    <t>NISSIN CHOW MN GRL SHRIMP</t>
  </si>
  <si>
    <t>NISSIN CHOW PASTA ALFREDO</t>
  </si>
  <si>
    <t>NISSIN CHOW PASTA TOM</t>
  </si>
  <si>
    <t>NISSIN CHW MEIN SPCY CHKN</t>
  </si>
  <si>
    <t>NISSIN CHWMEIN TERIYKI BF</t>
  </si>
  <si>
    <t>NISSIN CUP O NDL CHICKEN</t>
  </si>
  <si>
    <t>NISSIN CUP O NDL CKN VEG</t>
  </si>
  <si>
    <t>NISSIN CUP O NDL CRMY CKN</t>
  </si>
  <si>
    <t>NISSIN CUP O NDL SHRIMP</t>
  </si>
  <si>
    <t>NISSIN CUP O NDL SPCY CKN</t>
  </si>
  <si>
    <t>NISSIN CUP O NDL TER CKN</t>
  </si>
  <si>
    <t>3.32 OZ</t>
  </si>
  <si>
    <t>NISSIN HOT&amp;SPCY CHKN CUP</t>
  </si>
  <si>
    <t>NISSIN HOT&amp;SPCY SHRMP CUP</t>
  </si>
  <si>
    <t>NISSIN RICH&amp;SAVORY BEEF C</t>
  </si>
  <si>
    <t>3.36 OZ</t>
  </si>
  <si>
    <t>NISSIN RICH&amp;SAVORY CKN CU</t>
  </si>
  <si>
    <t>NISSIN SOUPER MEAL CHICKN</t>
  </si>
  <si>
    <t>NISSIN$ CUP NDL CHICKN 6PK</t>
  </si>
  <si>
    <t>NISSIN$ CUP NDL SHRIMP 6PK</t>
  </si>
  <si>
    <t>NISSIN$ CUP O NDL BEEF 6PK</t>
  </si>
  <si>
    <t>PROGRESSO BEEF BROTH SOUP</t>
  </si>
  <si>
    <t>PROGRESSO CHICKEN BROTH SOUP</t>
  </si>
  <si>
    <t>PROGRESSO RD SOD CKN BRTH SP</t>
  </si>
  <si>
    <t>RICHFOOD BEEF BOUILLON INST</t>
  </si>
  <si>
    <t>RICHFOOD BEEF BROTH</t>
  </si>
  <si>
    <t>RICHFOOD BOUILLIN CUBES BF</t>
  </si>
  <si>
    <t>RICHFOOD BOUILLON CUB CHIX</t>
  </si>
  <si>
    <t>RICHFOOD BROTH CHICKEN</t>
  </si>
  <si>
    <t>49 OZ</t>
  </si>
  <si>
    <t>RICHFOOD CHICK BOUILLON INS</t>
  </si>
  <si>
    <t>RICHFOOD CHKN NOODLE SP MIX</t>
  </si>
  <si>
    <t>RICHFOOD ONION SOUP MIX 2PK</t>
  </si>
  <si>
    <t>RICHFOOD SOUP BRTH CKN ASEP</t>
  </si>
  <si>
    <t>SWANSON ASEPTIC CKN BROTH</t>
  </si>
  <si>
    <t>SWANSON BEEF BROTH ACEPTIC</t>
  </si>
  <si>
    <t>SWANSON BEEF STOCK</t>
  </si>
  <si>
    <t>SWANSON BROTH BEEF 50% LS</t>
  </si>
  <si>
    <t>SWANSON BROTH CHX ASPTC PK</t>
  </si>
  <si>
    <t>SWANSON BROTH GLDN NAT CKN</t>
  </si>
  <si>
    <t>SWANSON BROTH VEGETABLE</t>
  </si>
  <si>
    <t>SWANSON CHICKEN BROTH</t>
  </si>
  <si>
    <t>SWANSON CHICKEN STOCK ASP</t>
  </si>
  <si>
    <t>SWANSON LOW SOD BEEF BROTH</t>
  </si>
  <si>
    <t>SWANSON NTL GDNS CHCK BRTH</t>
  </si>
  <si>
    <t>SWANSON NTRL GOOD CKNBROTH</t>
  </si>
  <si>
    <t>SWANSON NTRL GOODNESS ASEP</t>
  </si>
  <si>
    <t>32.00 O</t>
  </si>
  <si>
    <t>SWANSON ORGANIC BEEF BROTH</t>
  </si>
  <si>
    <t>SWANSON ORGANIC CHIX BROTH</t>
  </si>
  <si>
    <t>SWANSON ORGANIC VEG BROTH</t>
  </si>
  <si>
    <t>SWANSON SOUP BROTH/BEEF</t>
  </si>
  <si>
    <t>SWANSON SOUP BROTH/CHICKEN</t>
  </si>
  <si>
    <t>49.5 OZ</t>
  </si>
  <si>
    <t>SWANSON SOUP CHICKEN BROTH</t>
  </si>
  <si>
    <t>TOP RAMEN SOUP BEEF</t>
  </si>
  <si>
    <t>TOP RAMEN SOUP CHICKEN</t>
  </si>
  <si>
    <t>TOP RAMEN SOUP CHILI</t>
  </si>
  <si>
    <t>TOP RAMEN SOUP NODLS/ORIENTL</t>
  </si>
  <si>
    <t>TOP RAMEN SOUP SHRIMP</t>
  </si>
  <si>
    <t>TOPRAMEN$ SOUP BEEF 12PK</t>
  </si>
  <si>
    <t>TOPRAMEN$ SP FAM PK CHKN12CT</t>
  </si>
  <si>
    <t>WYLER BOUILLON CHIKN INS</t>
  </si>
  <si>
    <t>WYLERS BOUILLN CHCKN CUBE</t>
  </si>
  <si>
    <t>WYLERS BOUILLON BEEF CUBE</t>
  </si>
  <si>
    <t>WYLERS BOUILLON BEEF INST</t>
  </si>
  <si>
    <t>WYLERS BOUILLON CHIKN/INS</t>
  </si>
  <si>
    <t>WYLERS BOULLION BEEF</t>
  </si>
  <si>
    <t>WYLERS BOULLION BEEF INST</t>
  </si>
  <si>
    <t>WYLERS BOULLION CKN INST</t>
  </si>
  <si>
    <t>WYLERS ONION DIP</t>
  </si>
  <si>
    <t>WYLERS ONION REDCD SODIUM</t>
  </si>
  <si>
    <t>5.93 OZ</t>
  </si>
  <si>
    <t>WYLERS SOUP STRTR CKN NDL</t>
  </si>
  <si>
    <t>5.57 OZ</t>
  </si>
  <si>
    <t>WYLERS SP STARTR BEEF STW</t>
  </si>
  <si>
    <t>7.48 OZ</t>
  </si>
  <si>
    <t>WYLERS SP STARTR BEEF VEG</t>
  </si>
  <si>
    <t>6.92 OZ</t>
  </si>
  <si>
    <t>WYLERS SP STR POT/GAR/CHV</t>
  </si>
  <si>
    <t>WYLERS VEGGIE DIP</t>
  </si>
  <si>
    <t>YAKISOBA CHIK.YAK.JAP.NOODL</t>
  </si>
  <si>
    <t>YAKISOBA TERIYAKI YAK.JAP.N</t>
  </si>
  <si>
    <t>YAKISOBA YAKI SOBA CHDR CHS</t>
  </si>
  <si>
    <t>YAKISOBA YAKI SOBA RST CHKN</t>
  </si>
  <si>
    <t>BEATTY CORN MEAL YELLOW</t>
  </si>
  <si>
    <t>CROSS CORN MEAL PL WHITE</t>
  </si>
  <si>
    <t>CROSS CORN MEAL S/R WHT</t>
  </si>
  <si>
    <t>HSE AUTRY PLAIN YELLOW CORN</t>
  </si>
  <si>
    <t>HSE AUTRY SELF RISE CORN</t>
  </si>
  <si>
    <t>INDIAN HD WHITE CORN MEAL</t>
  </si>
  <si>
    <t>INDIAN HD YELLOW CORNMEAL</t>
  </si>
  <si>
    <t>M WHITE CORNMEAL-S/R</t>
  </si>
  <si>
    <t>QUAKER CORNMEAL YELLOW</t>
  </si>
  <si>
    <t>TENDA BAK CORNMEAL MIX</t>
  </si>
  <si>
    <t>TENDA BKE CRN MEAL YLLW S R</t>
  </si>
  <si>
    <t>WASHINGTN SELF RISE CORNMEAL</t>
  </si>
  <si>
    <t>WASHINGTN SLF RISE CORN MEAL</t>
  </si>
  <si>
    <t>68 OZ</t>
  </si>
  <si>
    <t>GLD MEDAL 4.25 LB ZIP-PK FLR</t>
  </si>
  <si>
    <t>GLD MEDAL FLOUR</t>
  </si>
  <si>
    <t>GLD MEDAL FLOUR BREAD</t>
  </si>
  <si>
    <t>GLD MEDAL FLOUR PLAIN</t>
  </si>
  <si>
    <t>GLD MEDAL FLOUR REGULAR</t>
  </si>
  <si>
    <t>GLD MEDAL FLOUR SELF RISING</t>
  </si>
  <si>
    <t>GLD MEDAL FLOUR WHOLE WHEAT</t>
  </si>
  <si>
    <t>GLD MEDAL UNBLEACHED FLOUR</t>
  </si>
  <si>
    <t>KING ARTH BREAD FLR/SPC MACH</t>
  </si>
  <si>
    <t>KING ARTH STBNGRND WHL WHT F</t>
  </si>
  <si>
    <t>KING ARTH UNBLCHD FLOUR</t>
  </si>
  <si>
    <t>KING ARTH WHITE WHEAT FLOUR</t>
  </si>
  <si>
    <t>PILLSBURY ALL PURPOSE FLOUR</t>
  </si>
  <si>
    <t>PILLSBURY FLOUR ALL PURPOSE</t>
  </si>
  <si>
    <t>PILLSBURY FLOUR BREAD</t>
  </si>
  <si>
    <t>PILLSBURY FLOUR UNBLEACHED</t>
  </si>
  <si>
    <t>PILLSBURY FLOUR-SELF RIS 5LB</t>
  </si>
  <si>
    <t>PILLSBURY SOFTASILK FLOUR</t>
  </si>
  <si>
    <t>PILLSUBRY WHOLE WHEAT FLOUR</t>
  </si>
  <si>
    <t>RICHFOOD ALL PURP FLOUR 5LB</t>
  </si>
  <si>
    <t>RICHFOOD FLOUR ALL PURPOSE</t>
  </si>
  <si>
    <t>160 OZ</t>
  </si>
  <si>
    <t>RICHFOOD FLOUR ALLPURP 10LB</t>
  </si>
  <si>
    <t>RICHFOOD FLOUR SELF RISING</t>
  </si>
  <si>
    <t>RICHFOOD FLOUR SELFRISE 5LB</t>
  </si>
  <si>
    <t>S BISCUIT BISCUIT FLOUR S/R</t>
  </si>
  <si>
    <t>S BISCUIT FLOUR PLAIN</t>
  </si>
  <si>
    <t>S BISCUIT FLOUR SELF RISE</t>
  </si>
  <si>
    <t>SWANSDOWN CAKE FLOUR</t>
  </si>
  <si>
    <t>WASHINGTN FLOUR</t>
  </si>
  <si>
    <t>WASHINGTN SELF RISING FLOUR</t>
  </si>
  <si>
    <t>WASHINGTN SELFRISING FLOUR</t>
  </si>
  <si>
    <t>WONDRA FLOUR POUR N SHAKE</t>
  </si>
  <si>
    <t>:DUFF HOT ROLL MIX</t>
  </si>
  <si>
    <t>B CROCKER BISQUICK MIX</t>
  </si>
  <si>
    <t>BISQUICK 3CHEESE BISCUIT MX</t>
  </si>
  <si>
    <t>BISQUICK BISCUIT MIX</t>
  </si>
  <si>
    <t>BISQUICK BUTTERMILK</t>
  </si>
  <si>
    <t>BISQUICK CHEESE GARLIC</t>
  </si>
  <si>
    <t>60 OZ</t>
  </si>
  <si>
    <t>BISQUICK ORIGINAL BAKING MX</t>
  </si>
  <si>
    <t>BISQUICK POUCH PACK</t>
  </si>
  <si>
    <t>BISQUICK REDUCED FAT MIX</t>
  </si>
  <si>
    <t>JIFFY BISCUIT MIX</t>
  </si>
  <si>
    <t>REDI-MIX BISCUIT POUCH</t>
  </si>
  <si>
    <t>SOUTHERN COMPLT BISCUIT MIX</t>
  </si>
  <si>
    <t>52 OZ</t>
  </si>
  <si>
    <t>SOUTHERN RESTRNT STYL BISCT</t>
  </si>
  <si>
    <t>B CROCKER BLUBERY MUFFIN MIX</t>
  </si>
  <si>
    <t>16.40 O</t>
  </si>
  <si>
    <t>B CROCKER CHC CHP BOX MUFFIN</t>
  </si>
  <si>
    <t>B CROCKER CINN STRSL MFN MX</t>
  </si>
  <si>
    <t>B CROCKER CORN MUFFIN</t>
  </si>
  <si>
    <t>B CROCKER FIBR1 APLCIN MFNMX</t>
  </si>
  <si>
    <t>B CROCKER MUF LEMN POPY SEED</t>
  </si>
  <si>
    <t>B CROCKER MUFFIN MIX BANA/NT</t>
  </si>
  <si>
    <t>B CROCKER MUFFIN MIX CHC CHP</t>
  </si>
  <si>
    <t>B CROCKER MUFFIN MX DBL CHOC</t>
  </si>
  <si>
    <t>B CROCKER MUFN MX BLUBRY PCH</t>
  </si>
  <si>
    <t>B CROCKER TRPLE BERRY MFN MX</t>
  </si>
  <si>
    <t>DUN HINES MFN MX BLBRY STRSL</t>
  </si>
  <si>
    <t>DUN HINES MUFFIN MX CHOC CHP</t>
  </si>
  <si>
    <t>18.9 OZ</t>
  </si>
  <si>
    <t>DUN HINES MUFN MIX BLUEBERRY</t>
  </si>
  <si>
    <t>DUN HINES MUFN MIX CINN SWRL</t>
  </si>
  <si>
    <t>GLORY FDS GLDN CRN MUFF MIX</t>
  </si>
  <si>
    <t>51 OZ</t>
  </si>
  <si>
    <t>JIFFY 6 PACK CORN MUFFIN</t>
  </si>
  <si>
    <t>JIFFY CHOCOLATE MUFFIN</t>
  </si>
  <si>
    <t>JIFFY MUF MIX APL CINNAM</t>
  </si>
  <si>
    <t>JIFFY MUFFIN MIX BLUEBRY</t>
  </si>
  <si>
    <t>JIFFY MUFFIN MIX CORN</t>
  </si>
  <si>
    <t>JIFFY OATMEAL MUFFIN MIX</t>
  </si>
  <si>
    <t>KRUSTEAZ MFFN FT FR BLUEBRY</t>
  </si>
  <si>
    <t>KRUSTEAZ MUF MX FF CRAN-ORN</t>
  </si>
  <si>
    <t>KRUSTEAZ MUFFIN MIX HNY CRN</t>
  </si>
  <si>
    <t>M WHITE MUFFIN MIX-BLUEBER</t>
  </si>
  <si>
    <t>M WHITE STRWBRY CHSCK MUFN</t>
  </si>
  <si>
    <t>MARTHA WH CHOC CHIP MFFN MIX</t>
  </si>
  <si>
    <t>MARTHA WH CORN MUFFIN MIX</t>
  </si>
  <si>
    <t>JIFFY CRUST MIX PIE</t>
  </si>
  <si>
    <t>KEEBLER 3INREADY CRST -TART</t>
  </si>
  <si>
    <t>KEEBLER CRUST GRAHAM</t>
  </si>
  <si>
    <t>KEEBLER CRUST READY/CHOC</t>
  </si>
  <si>
    <t>KEEBLER CRUST READY/GRAHAM</t>
  </si>
  <si>
    <t>KEEBLER PIE CRUST RDCD FAT</t>
  </si>
  <si>
    <t>KEEBLER SHTBRD FLV PIE CRS</t>
  </si>
  <si>
    <t>RICHFOOD GRAM CKR PIE CRUST</t>
  </si>
  <si>
    <t>13.9 OZ</t>
  </si>
  <si>
    <t>B CROCKER BANANA QUICK BREAD</t>
  </si>
  <si>
    <t>B CROCKER BREAD MIX GINGER</t>
  </si>
  <si>
    <t>B CROCKER QUIKBREAD CIMN STR</t>
  </si>
  <si>
    <t>BYRD MILL SPOON BREAD MIX</t>
  </si>
  <si>
    <t>GLORY FDS CORNBREAD MIX</t>
  </si>
  <si>
    <t>M WHITE COTTN CNTRY CRNBRD</t>
  </si>
  <si>
    <t>PILLSBURY BREAD MIX BANANA</t>
  </si>
  <si>
    <t>PILLSBURY BREAD MIX CRANBRRY</t>
  </si>
  <si>
    <t>16.6 OZ</t>
  </si>
  <si>
    <t>PILLSBURY BREAD MIX DATE</t>
  </si>
  <si>
    <t>PILLSBURY BREAD MIX PUMPKIN</t>
  </si>
  <si>
    <t>PILLSBURY ROLL MIX HOT</t>
  </si>
  <si>
    <t>REDI-MIX MIX CORNBREAD</t>
  </si>
  <si>
    <t>KELLOGG STUFFING MIX</t>
  </si>
  <si>
    <t>RICHFOOD CHIC STUFFING MIX</t>
  </si>
  <si>
    <t>RICHFOOD CORN BRD STUFF MIX</t>
  </si>
  <si>
    <t>RICHFOOD PORK STUFFING MIX</t>
  </si>
  <si>
    <t>RICHFOOD STUFFING TURKEY</t>
  </si>
  <si>
    <t>STOVE TOP CHICKEN QUICK CUP</t>
  </si>
  <si>
    <t>STOVE TOP CORNBRD QUICK CUP</t>
  </si>
  <si>
    <t>STOVE TOP STF LOW SODIUM CKN</t>
  </si>
  <si>
    <t>STOVE TOP STUFFING CHICKEN</t>
  </si>
  <si>
    <t>STOVE TOP STUFFING CORNBREAD</t>
  </si>
  <si>
    <t>STOVE TOP STUFFING MSHRM/ONI</t>
  </si>
  <si>
    <t>STOVE TOP STUFFING PORK FLVR</t>
  </si>
  <si>
    <t>STOVE TOP STUFFING SAVRY HRB</t>
  </si>
  <si>
    <t>STOVE TOP STUFFING TURKEY</t>
  </si>
  <si>
    <t>STOVE TOP TRADITIONAL SAGE</t>
  </si>
  <si>
    <t>4C BREAD CRMB</t>
  </si>
  <si>
    <t>4C BREAD CRMB SEAS</t>
  </si>
  <si>
    <t>CONTADINA BRD CRUMBS ITALIAN</t>
  </si>
  <si>
    <t>HSE AUTRY CHICKEN BREADER</t>
  </si>
  <si>
    <t>HSE AUTRY CHICKEN COATING MX</t>
  </si>
  <si>
    <t>HSE AUTRY HUSHPUPPY W/ONIONS</t>
  </si>
  <si>
    <t>HSE AUTRY MILDLY HOT BREADER</t>
  </si>
  <si>
    <t>HSE AUTRY PORK BREADER</t>
  </si>
  <si>
    <t>HSE AUTRY PORK COATING MIX</t>
  </si>
  <si>
    <t>HSE AUTRY SEAFOOD BREADER</t>
  </si>
  <si>
    <t>KELLOGG BREADING CORN FLKS</t>
  </si>
  <si>
    <t>KRAFT EXTRA CRISPY PORK</t>
  </si>
  <si>
    <t>KRAFT OVFRY EXT CRSP CKN</t>
  </si>
  <si>
    <t>5.75 OZ</t>
  </si>
  <si>
    <t>KRAFT SHAKE N BKE HOT SP</t>
  </si>
  <si>
    <t>KRAFT SHK'N BK ORIG PORK</t>
  </si>
  <si>
    <t>KRAFT SHKNBK ORIGNL CHKN</t>
  </si>
  <si>
    <t>KRAFT SHKNBK XTRA CRISPY</t>
  </si>
  <si>
    <t>KRAFT SNB BRDNG CHICKEN</t>
  </si>
  <si>
    <t>OVEN FRY FISH FRY</t>
  </si>
  <si>
    <t>PROGRESSO BREAD CRUMBS ITALN</t>
  </si>
  <si>
    <t>PROGRESSO BREAD CRUMBS ITLN</t>
  </si>
  <si>
    <t>PROGRESSO BREAD CRUMBS PLAIN</t>
  </si>
  <si>
    <t>PROGRESSO ITAL BRD CRUMBS</t>
  </si>
  <si>
    <t>RICHFOOD CHIC COATING MIX</t>
  </si>
  <si>
    <t>RICHFOOD ITALIAN BRD CRUMBS</t>
  </si>
  <si>
    <t>RICHFOOD PLAIN BREAD CRUMBS</t>
  </si>
  <si>
    <t>RICHFOOD PORK COATING MIX</t>
  </si>
  <si>
    <t>S GIORGIO ITAL BREAD CRUMBS</t>
  </si>
  <si>
    <t>SHK N BAK BBQ GLAZE</t>
  </si>
  <si>
    <t>5.29 OZ</t>
  </si>
  <si>
    <t>SHK N BAK HERB &amp; GARLIC</t>
  </si>
  <si>
    <t>SHK N BAK PARMESAN</t>
  </si>
  <si>
    <t>SHK N BAK RANCH &amp; HERB</t>
  </si>
  <si>
    <t>WASHINGTN MX BREADING CHKN</t>
  </si>
  <si>
    <t>WASHINGTN SEAFOOD BREADING</t>
  </si>
  <si>
    <t>*DNCN HNS COCONUT LAYER CAKE</t>
  </si>
  <si>
    <t>19.9 OZ</t>
  </si>
  <si>
    <t>B CROCKER BROWNIE DRK CHC FD</t>
  </si>
  <si>
    <t>B CROCKER BROWNIE FUDGE FMLY</t>
  </si>
  <si>
    <t>B CROCKER BROWNIE MIX FROSTD</t>
  </si>
  <si>
    <t>22.5 OZ</t>
  </si>
  <si>
    <t>B CROCKER BROWNIE MIX SUPREM</t>
  </si>
  <si>
    <t>20.75 O</t>
  </si>
  <si>
    <t>B CROCKER BROWNIE MIX TURTLE</t>
  </si>
  <si>
    <t>B CROCKER BROWNIE MIX WALNUT</t>
  </si>
  <si>
    <t>B CROCKER BRWNE MX,SUPRM CHC</t>
  </si>
  <si>
    <t>B CROCKER BTR PECAN CAKE MIX</t>
  </si>
  <si>
    <t>B CROCKER CAKE MIX ANGEL FOD</t>
  </si>
  <si>
    <t>B CROCKER CAKE MIX POUND</t>
  </si>
  <si>
    <t>B CROCKER CAKE MIX SPICE</t>
  </si>
  <si>
    <t>B CROCKER CAKE MIX VANILLA</t>
  </si>
  <si>
    <t>B CROCKER CAKE TRPL CHOC FDG</t>
  </si>
  <si>
    <t>B CROCKER CARROT CAKE MIX</t>
  </si>
  <si>
    <t>B CROCKER CHOC FUDGE CAKE MX</t>
  </si>
  <si>
    <t>B CROCKER CKE MIX DBL CH CHP</t>
  </si>
  <si>
    <t>19.5 OZ</t>
  </si>
  <si>
    <t>B CROCKER CKIE DGH BRWNIE MX</t>
  </si>
  <si>
    <t>B CROCKER CKY MIX PEANUT BTR</t>
  </si>
  <si>
    <t>B CROCKER COOKIE MIX CHC CHP</t>
  </si>
  <si>
    <t>B CROCKER DEVILS FOOD CK MX</t>
  </si>
  <si>
    <t>B CROCKER FRNCH VANILL CK MX</t>
  </si>
  <si>
    <t>10.25 O</t>
  </si>
  <si>
    <t>B CROCKER FUDGE BROWNIE</t>
  </si>
  <si>
    <t>B CROCKER GERMAN CHOC CK MIX</t>
  </si>
  <si>
    <t>B CROCKER HERSHEY BROWNIE</t>
  </si>
  <si>
    <t>B CROCKER LEMON CAKE MIX</t>
  </si>
  <si>
    <t>B CROCKER LOW FAT FUDGE BRN</t>
  </si>
  <si>
    <t>B CROCKER MILK CHOC CAKE MIX</t>
  </si>
  <si>
    <t>B CROCKER MX OTML/CHCHIP PCH</t>
  </si>
  <si>
    <t>B CROCKER OATMEAL PCH COOKIE</t>
  </si>
  <si>
    <t>B CROCKER RAINBOW CHP CK MIX</t>
  </si>
  <si>
    <t>B CROCKER SUGAR COOKY POUCH*</t>
  </si>
  <si>
    <t>B CROCKER TRPLE CHNK BROWNIE</t>
  </si>
  <si>
    <t>2.46 OZ</t>
  </si>
  <si>
    <t>B CROCKER WARM DLT CHOC MINI</t>
  </si>
  <si>
    <t>B CROCKER WARM DLT CRML MINI</t>
  </si>
  <si>
    <t>B CROCKER WHITE CAKE MIX</t>
  </si>
  <si>
    <t>B CROCKER WLNT CH CHP CKY MX</t>
  </si>
  <si>
    <t>B CROCKER WRM DLT CHCRSPMINI</t>
  </si>
  <si>
    <t>B CROCKER YELLOW BTR CK MIX</t>
  </si>
  <si>
    <t>B CROCKER YELLOW CAKE MIX</t>
  </si>
  <si>
    <t>DUN HINES ANGEL FOOD CAKE</t>
  </si>
  <si>
    <t>DUN HINES BTR REC FDG LYR MX</t>
  </si>
  <si>
    <t>DUN HINES BTR REC GLD LYR MX</t>
  </si>
  <si>
    <t>DUN HINES CAKE MIX BANANA</t>
  </si>
  <si>
    <t>DUN HINES CAKE MIX GERMAN CH</t>
  </si>
  <si>
    <t>DUN HINES CAKE MIX LEMON *</t>
  </si>
  <si>
    <t>DUN HINES CAKE MIX LYR SPICE</t>
  </si>
  <si>
    <t>DUN HINES CAKE MIX STRAWBRRY</t>
  </si>
  <si>
    <t>17.53 O</t>
  </si>
  <si>
    <t>DUN HINES CAKE MIX VANILLA</t>
  </si>
  <si>
    <t>DUN HINES CAKE MIX WHITE</t>
  </si>
  <si>
    <t>DUN HINES CAKE MIX YELLOW</t>
  </si>
  <si>
    <t>19.95 O</t>
  </si>
  <si>
    <t>DUN HINES CHWY FDG BROWNI MX</t>
  </si>
  <si>
    <t>DUN HINES CKE MIX RED VELVET</t>
  </si>
  <si>
    <t>DUN HINES COOKIE MIX CHOC CH</t>
  </si>
  <si>
    <t>17.6 OZ</t>
  </si>
  <si>
    <t>DUN HINES D.H. WALNUT BROWNI</t>
  </si>
  <si>
    <t>DUN HINES DARK CHOC FDG BRWN</t>
  </si>
  <si>
    <t>DUN HINES DBLE FUDGE BROWNIE</t>
  </si>
  <si>
    <t>DUN HINES DECADNT CH BROWNIE</t>
  </si>
  <si>
    <t>DUN HINES DEVILS FD CAKE MX</t>
  </si>
  <si>
    <t>DUN HINES DK CHOC FDG CKE MX</t>
  </si>
  <si>
    <t>DUN HINES DRK N CHUNKY BRWNE</t>
  </si>
  <si>
    <t>DUN HINES FUDGE MARBLE CAKE</t>
  </si>
  <si>
    <t>19.27 O</t>
  </si>
  <si>
    <t>DUN HINES MK CHC FAMST BRWNI</t>
  </si>
  <si>
    <t>DUN HINES MLK CHC CHNK BRWNE</t>
  </si>
  <si>
    <t>DUN HINES ORNG SPRME LYR CKE</t>
  </si>
  <si>
    <t>16.76 O</t>
  </si>
  <si>
    <t>DUN HINES PB CUP BROWNIE</t>
  </si>
  <si>
    <t>DUN HINES PINEAPPLE SUP CK M</t>
  </si>
  <si>
    <t>DUN HINES SWISS CHOC CK MX</t>
  </si>
  <si>
    <t>20.45 O</t>
  </si>
  <si>
    <t>DUNCANHIN CARROT CAKE</t>
  </si>
  <si>
    <t>DUNHINES+ CAKE MIX CARAMEL</t>
  </si>
  <si>
    <t>GHIRADELI BROWNIE MX DBL CHC</t>
  </si>
  <si>
    <t>KRUSTEAZ CINN CRUMB CAKE MX</t>
  </si>
  <si>
    <t>PILLSBURY BROWNIE MIX</t>
  </si>
  <si>
    <t>PILLSBURY BRWNIE MIX WAL/FDG</t>
  </si>
  <si>
    <t>PILLSBURY CAKE BTR YLW PLUS</t>
  </si>
  <si>
    <t>PILLSBURY CAKE MIX LEMON</t>
  </si>
  <si>
    <t>PILLSBURY CAKE MIX WHITE</t>
  </si>
  <si>
    <t>PILLSBURY CAKE MIX YLLW/PLUS</t>
  </si>
  <si>
    <t>PILLSBURY CAKE MIX, CHOCOLAT</t>
  </si>
  <si>
    <t>PILLSBURY CAKE MX PLS FUNFTT</t>
  </si>
  <si>
    <t>PILLSBURY CHSCKE SWRL BRWNIE</t>
  </si>
  <si>
    <t>PILLSBURY DEVILS FD CAKE MIX</t>
  </si>
  <si>
    <t>PILLSBURY DLX BROWNIE CH CHP</t>
  </si>
  <si>
    <t>PILLSBURY DVLS FD RD SUG CKE</t>
  </si>
  <si>
    <t>19.40 O</t>
  </si>
  <si>
    <t>PILLSBURY FUNFTTI FUDGE BRWN</t>
  </si>
  <si>
    <t>PILLSBURY MLK CHOC BRWNIE MX</t>
  </si>
  <si>
    <t>PILLSBURY PB RS WHITE CAKE</t>
  </si>
  <si>
    <t>PILLSBURY RD SUG YELLOW CKE</t>
  </si>
  <si>
    <t>RICHFOOD BROWNIE MIX</t>
  </si>
  <si>
    <t>RICHFOOD MIX BROWNIE W/WLNT</t>
  </si>
  <si>
    <t>RICHFOOD% BUTTER RECIPE CAKE</t>
  </si>
  <si>
    <t>RICHFOOD% DEVILS FD CAKE MIX</t>
  </si>
  <si>
    <t>RICHFOOD% WHITE CAKE MIX</t>
  </si>
  <si>
    <t>RICHFOOD% YELLOW CAKE MIX</t>
  </si>
  <si>
    <t>B CROCKER RCH&amp;CRMY COC PCN F</t>
  </si>
  <si>
    <t>B CROCKER RCH&amp;CRMY CRMY WH F</t>
  </si>
  <si>
    <t>B CROCKER RCH&amp;CRMY MLK CH FR</t>
  </si>
  <si>
    <t>B CROCKER RCH&amp;CRMY RNBWCHP F</t>
  </si>
  <si>
    <t>B CROCKER RCH&amp;CRMY TRPLCH FR</t>
  </si>
  <si>
    <t>B CROCKER RICH N CRMY CHC FR</t>
  </si>
  <si>
    <t>B CROCKER RICH N CRMY CRM CH</t>
  </si>
  <si>
    <t>B CROCKER RICH N CRMY VAN FR</t>
  </si>
  <si>
    <t>B CROCKER RICH&amp;CRMY LEMN FRS</t>
  </si>
  <si>
    <t>B CROCKER WHPD BTR CRM FRSTG</t>
  </si>
  <si>
    <t>B CROCKER WHPD CHOCLAT FRSTN</t>
  </si>
  <si>
    <t>B CROCKER WHPD CRM CHS FRSTG</t>
  </si>
  <si>
    <t>B CROCKER WHPD FLFY WHTE FRS</t>
  </si>
  <si>
    <t>B CROCKER WHPD MLK CHOC FRST</t>
  </si>
  <si>
    <t>B CROCKER WHPD STRAWBY FRSTN</t>
  </si>
  <si>
    <t>B CROCKER WHPD VANILLA FRSTG</t>
  </si>
  <si>
    <t>B CROCKER WHPD WHPD CRM FRST</t>
  </si>
  <si>
    <t>DUN HINES FLUFFY WHITE FROST</t>
  </si>
  <si>
    <t>DUN HINES WHIP CRM CH FRSTNG</t>
  </si>
  <si>
    <t>DUN HINES WHPD CHOC FRSTING</t>
  </si>
  <si>
    <t>DUN HINES WHPD VANILLA FRST</t>
  </si>
  <si>
    <t>DUNCANHIN BUTTERCREAMFRSTG</t>
  </si>
  <si>
    <t>DUNCANHIN CHOC BTTRCRM FRSTG</t>
  </si>
  <si>
    <t>DUNCANHIN CLASSICCHOCFRSTG</t>
  </si>
  <si>
    <t>DUNCANHIN CLASSICVANILLAFRST</t>
  </si>
  <si>
    <t>DUNCANHIN COCONUTPCNFRSTG</t>
  </si>
  <si>
    <t>DUNCANHIN CREAMCHEESEFRSTG</t>
  </si>
  <si>
    <t>DUNCANHIN DRKCHOCFDGFRSTG</t>
  </si>
  <si>
    <t>DUNCANHIN FRENCHVANILLAFRSTG</t>
  </si>
  <si>
    <t>DUNCANHIN LEMONSUPREMEFRSTG</t>
  </si>
  <si>
    <t>DUNCANHIN MILKCHOCFROSTING</t>
  </si>
  <si>
    <t>DUNCANHIN STRWBRYCREAMFRSTG</t>
  </si>
  <si>
    <t>PILLSBURY CRM CH RED SUG</t>
  </si>
  <si>
    <t>PILLSBURY FROSTING RTS FDG/C</t>
  </si>
  <si>
    <t>PILLSBURY FROSTING RTS VAN</t>
  </si>
  <si>
    <t>PILLSBURY FROSTING RTS VANIL</t>
  </si>
  <si>
    <t>PILLSBURY FROSTNG RTS CRM CH</t>
  </si>
  <si>
    <t>PILLSBURY FROSTNG RTS MK CHO</t>
  </si>
  <si>
    <t>PILLSBURY FROSTNG RTS PCN/CO</t>
  </si>
  <si>
    <t>15.60 O</t>
  </si>
  <si>
    <t>PILLSBURY FUNFTTI FUDGE FRST</t>
  </si>
  <si>
    <t>PILLSBURY PB RS WHITE FRST</t>
  </si>
  <si>
    <t>PILLSBURY RD SUG CHCFDG FRST</t>
  </si>
  <si>
    <t>PILLSBURY RD SUG VANLLA FRST</t>
  </si>
  <si>
    <t>PILLSBURY RED SUGAR CHOC</t>
  </si>
  <si>
    <t>PILLSBURY RTS FROST-CRMY WH</t>
  </si>
  <si>
    <t>PILLSBURY WH VAN FUNFTI FRST</t>
  </si>
  <si>
    <t>PILLSBURY WHP WHITE FROST</t>
  </si>
  <si>
    <t>PILLSBURY WHPD SUPM FRST MLK</t>
  </si>
  <si>
    <t>RICHFOOD RTS FRSTG CHOCOLAT</t>
  </si>
  <si>
    <t>RICHFOOD RTS FRTG CRM CHEEZ</t>
  </si>
  <si>
    <t>RICHFOOD RTS FRTG FUDGE</t>
  </si>
  <si>
    <t>RICHFOOD RTS FRTG WHITE</t>
  </si>
  <si>
    <t>32 CT</t>
  </si>
  <si>
    <t>REYNOLDS FOIL BKNG CUPS LRG</t>
  </si>
  <si>
    <t>REYNOLDS MINI BAKING CUPS</t>
  </si>
  <si>
    <t>REYNOLDS PASTEL BK CUPS</t>
  </si>
  <si>
    <t>BAKERS BAKING CHOC/SEMISW</t>
  </si>
  <si>
    <t>BAKERS GERMAN CHOCOLATE</t>
  </si>
  <si>
    <t>BAKERS PREM WHITE CHOCOLT</t>
  </si>
  <si>
    <t>BAKERS UNSWTND CHOCOLATE</t>
  </si>
  <si>
    <t>HERSHEY COCOA BAKING</t>
  </si>
  <si>
    <t>HERSHEY SPECIAL DARK COCOA</t>
  </si>
  <si>
    <t>NESTLE CHOCLTIER 53%BARS</t>
  </si>
  <si>
    <t>NESTLE CHOCLTIER 62% BAR</t>
  </si>
  <si>
    <t>NESTLE COCOA</t>
  </si>
  <si>
    <t>TOLLHOUSE SEMI SWEET 4 OZBAR</t>
  </si>
  <si>
    <t>GHIRADELL CHOC CHIPS BTTRSWT</t>
  </si>
  <si>
    <t>GHIRADELL CLASSC CHIPS WHITE</t>
  </si>
  <si>
    <t>GHIRADELL MILK CHOC CHIPS</t>
  </si>
  <si>
    <t>GHIRADELL SEMI SWT CHOC CHIP</t>
  </si>
  <si>
    <t>HERSHEY CHIPS CHOC/SEMI SW</t>
  </si>
  <si>
    <t>HERSHEY CHIPS MILK CHOCOLT</t>
  </si>
  <si>
    <t>HERSHEY HEATH BIT O BRCKLE</t>
  </si>
  <si>
    <t>HERSHEY REESE PNUT BTR CHI</t>
  </si>
  <si>
    <t>HERSHEY RSPC MNI BKPCS DRC</t>
  </si>
  <si>
    <t>HERSHEY SF S/SWT CHOC CHP</t>
  </si>
  <si>
    <t>HERSHEY SPCLDK CHOC BAKING</t>
  </si>
  <si>
    <t>HERSHEY SPEC DARK CHIPS</t>
  </si>
  <si>
    <t>HERSHEY UNSWEET BAK CHOCOL</t>
  </si>
  <si>
    <t>RICHFOOD SEMI SWT CHOC CHIP</t>
  </si>
  <si>
    <t>TOLLHOUSE MEGA MORSEL</t>
  </si>
  <si>
    <t>TOLLHOUSE MILK CHOC MORSELS</t>
  </si>
  <si>
    <t>TOLLHOUSE MILK CHOC PEANUT B</t>
  </si>
  <si>
    <t>TOLLHOUSE MORSEL PREMIER WHT</t>
  </si>
  <si>
    <t>TOLLHOUSE MORSELS BUTTRSCTCH</t>
  </si>
  <si>
    <t>TOLLHOUSE MORSELS CHOC CHIP</t>
  </si>
  <si>
    <t>TOLLHOUSE MORSELS CHOCOLATE</t>
  </si>
  <si>
    <t>TOLLHOUSE MORSELS MINI</t>
  </si>
  <si>
    <t>TOLLHOUSE MORSELS SEMI SWT</t>
  </si>
  <si>
    <t>TOLLHOUSE PNT BTR MILK MORSL</t>
  </si>
  <si>
    <t>TOLLHOUSE SWRID MRSLS SEMI/W</t>
  </si>
  <si>
    <t>TOLLHOUSE WHITEBAKINGBAR4OZ</t>
  </si>
  <si>
    <t>BAKERS ANGEL COCONUT CAN</t>
  </si>
  <si>
    <t>BAKERS ANGELFLAKE COCONUT</t>
  </si>
  <si>
    <t>BAKERS COCONUT ANGEL FLAK</t>
  </si>
  <si>
    <t>RICHFOOD COCONUT FLAKE</t>
  </si>
  <si>
    <t>ARGO BAKING POWDER</t>
  </si>
  <si>
    <t>ARGO CORN STARCH</t>
  </si>
  <si>
    <t>ARM &amp; HAM BAKING SODA</t>
  </si>
  <si>
    <t>ARM &amp; HAM BKG SODA FRID/FRZR</t>
  </si>
  <si>
    <t>ARM &amp; HAM FRIDGE FRESH</t>
  </si>
  <si>
    <t>CALUMET BAKING POWDER</t>
  </si>
  <si>
    <t>CLABR GRL BAKING PWDR</t>
  </si>
  <si>
    <t>CREAM CORN STARCH</t>
  </si>
  <si>
    <t>RICHFOOD BAKING SODA</t>
  </si>
  <si>
    <t>RUMFORD BAKING POWDER</t>
  </si>
  <si>
    <t>RUMFORD CORNSTARCH</t>
  </si>
  <si>
    <t>AUNT JEM WHL WHT PNCK MX</t>
  </si>
  <si>
    <t>AUNT JEMI BM COMP PANCK MIX</t>
  </si>
  <si>
    <t>AUNT JEMI COMPLETE PANCK MIX</t>
  </si>
  <si>
    <t>AUNT JEMI PANCAKE MIX</t>
  </si>
  <si>
    <t>AUNT JEMI PANCAKE MIX COMPLT</t>
  </si>
  <si>
    <t>AUNT JEMI PANCAKE MIX ORIGNL</t>
  </si>
  <si>
    <t>AUNT JEMI PNCAKE MX BTRMK CM</t>
  </si>
  <si>
    <t>10.60 O</t>
  </si>
  <si>
    <t>BISQUICK SHAKE &amp; POUR</t>
  </si>
  <si>
    <t>5.10 OZ</t>
  </si>
  <si>
    <t>BRUCES POTATO PANCAKE</t>
  </si>
  <si>
    <t>FIBER ONE PANCAKE MIX</t>
  </si>
  <si>
    <t>HNGRY JCK BUTTERMILK PANCAKE</t>
  </si>
  <si>
    <t>HNGRY JCK COMP PNCAKE X LITE</t>
  </si>
  <si>
    <t>HNGRY JCK PANCAKE BM COMP</t>
  </si>
  <si>
    <t>HNGRY JCK PANCAKE EX LITE</t>
  </si>
  <si>
    <t>KRUSTEAZ PANCAKE MIX BLUBRY</t>
  </si>
  <si>
    <t>KRUSTEAZ PANCAKE MIX BTRMLK</t>
  </si>
  <si>
    <t>KRUSTEAZ WAFFLE MIX BELGIN</t>
  </si>
  <si>
    <t>MRS BTRWO COMPLETE PANCK MIX</t>
  </si>
  <si>
    <t>MRS BTTRW PANCAKE MIX BUTTRM</t>
  </si>
  <si>
    <t>QUAKER OATMEAL PANCAKE</t>
  </si>
  <si>
    <t>REDI MIX PANCAKE MIX</t>
  </si>
  <si>
    <t>RICHFOOD COMP PANCAKE MIX</t>
  </si>
  <si>
    <t>RICHFOOD OF PANCAKE MIX</t>
  </si>
  <si>
    <t>RICHFOOD PANCAKE BTRMLK COM</t>
  </si>
  <si>
    <t>RICHFOOD PANCAKE MIX BUTTRM</t>
  </si>
  <si>
    <t>AUNT JEMI COUNTRY SYRUP</t>
  </si>
  <si>
    <t>AUNT JEMI REGULAR SYRUP</t>
  </si>
  <si>
    <t>AUNT JEMI SYRUP</t>
  </si>
  <si>
    <t>AUNT JEMI SYRUP BUTTER LITE</t>
  </si>
  <si>
    <t>AUNT JEMI SYRUP BUTTER RICH</t>
  </si>
  <si>
    <t>AUNT JEMI SYRUP LITE</t>
  </si>
  <si>
    <t>AUNT JEMI SYRUP REGULAR</t>
  </si>
  <si>
    <t>AUNT JEMI SYRUP, ORIGINAL</t>
  </si>
  <si>
    <t>CARY SUGAR FREE SYRUP</t>
  </si>
  <si>
    <t>CARYS SUGAR FREE SYRUP</t>
  </si>
  <si>
    <t>COZY COTT SYRUP SUGAR FREE</t>
  </si>
  <si>
    <t>GRANDMA MOLASSES</t>
  </si>
  <si>
    <t>27.6 OZ</t>
  </si>
  <si>
    <t>HNGRY JCK SYRUP BUTTER</t>
  </si>
  <si>
    <t>27.6 FZ</t>
  </si>
  <si>
    <t>HNGRY JCK SYRUP LITE</t>
  </si>
  <si>
    <t>27 FZ</t>
  </si>
  <si>
    <t>HUNGRY JK REGULAR SYRUP</t>
  </si>
  <si>
    <t>KARO LITE SYRUP</t>
  </si>
  <si>
    <t>KARO SYRUP BLUE CORN</t>
  </si>
  <si>
    <t>KARO SYRUP GRN WAFFLE</t>
  </si>
  <si>
    <t>KARO SYRUP RED</t>
  </si>
  <si>
    <t>23 FZ</t>
  </si>
  <si>
    <t>KELLOGG EGGO BUTTER SYRUP</t>
  </si>
  <si>
    <t>KELLOGG EGGO LITE SYRUP</t>
  </si>
  <si>
    <t>KELLOGG ORIGINAL SYRUP</t>
  </si>
  <si>
    <t>KING S/O PO-T RIK MOLAS</t>
  </si>
  <si>
    <t>KING SYRUP</t>
  </si>
  <si>
    <t>KING SYRUP GLASS</t>
  </si>
  <si>
    <t>LOG CABIN SUGAR FREE SYRUP</t>
  </si>
  <si>
    <t>LOG CABIN SYRUP</t>
  </si>
  <si>
    <t>LOG CABIN SYRUP CNTRY KIT B</t>
  </si>
  <si>
    <t>LOG CABIN SYRUP PANCK/WAFFLE</t>
  </si>
  <si>
    <t>LOG CABIN SYRUP REGULAR</t>
  </si>
  <si>
    <t>LOG CABIN SYRUP SUGAR FREE</t>
  </si>
  <si>
    <t>12.5 FZ</t>
  </si>
  <si>
    <t>MAPLE GRO SYRUP PURE MAPLE</t>
  </si>
  <si>
    <t>8.5 FZ</t>
  </si>
  <si>
    <t>MRS BTRWO SYRUP LITE</t>
  </si>
  <si>
    <t>MRS BTRWO SYRUP PP $1.89</t>
  </si>
  <si>
    <t>MRS BTTRW SUGAR FREE SYRUP</t>
  </si>
  <si>
    <t>MRS BTTRW SYRUP BLEND</t>
  </si>
  <si>
    <t>RICHFOOD 2% LT PANCAK SYRUP</t>
  </si>
  <si>
    <t>RICHFOOD 2% PANCAKE SYRUP</t>
  </si>
  <si>
    <t>RICHFOOD CORN SYRUP LIGHT</t>
  </si>
  <si>
    <t>RICHFOOD LITE BUTR FLAV SYR</t>
  </si>
  <si>
    <t>RICHFOOD SYRUP BUT FLV ARFC</t>
  </si>
  <si>
    <t>RICHFOOD SYRUP CORN LIGHT</t>
  </si>
  <si>
    <t>RICHFOOD SYRUP P&amp;W MICROWAV</t>
  </si>
  <si>
    <t>SHOP VALU SYRUP PANCKE/WFFL</t>
  </si>
  <si>
    <t>SMUCKERS BLUEBERRY SYRUP</t>
  </si>
  <si>
    <t>SMUCKERS SF BREAKFAST SYRUP</t>
  </si>
  <si>
    <t>SPRING TR PURE MAPLE SYRUP</t>
  </si>
  <si>
    <t>SPRING TR SYRUP PURE MAPLE</t>
  </si>
  <si>
    <t>SPRING TR SYRUP SUGAR FREE</t>
  </si>
  <si>
    <t>DOMINO BROWNULATED SUGAR</t>
  </si>
  <si>
    <t>DOMINO GRAN SGR CANISTER</t>
  </si>
  <si>
    <t>DOMINO HANDYPK SUGR 100CT</t>
  </si>
  <si>
    <t>DOMINO SUGAR &amp; CINNAMON</t>
  </si>
  <si>
    <t>400 OZ</t>
  </si>
  <si>
    <t>DOMINO SUGAR 25LB</t>
  </si>
  <si>
    <t>DOMINO SUGAR BOX</t>
  </si>
  <si>
    <t>DOMINO SUGAR CANISTER 4#</t>
  </si>
  <si>
    <t>DOMINO SUGAR CONFECTIONER</t>
  </si>
  <si>
    <t>DOMINO SUGAR CONFECTN 10X</t>
  </si>
  <si>
    <t>DOMINO SUGAR DARK BRN 2LB</t>
  </si>
  <si>
    <t>DOMINO SUGAR DARK BROWN</t>
  </si>
  <si>
    <t>DOMINO SUGAR DOTS</t>
  </si>
  <si>
    <t>DOMINO SUGAR GOLDN BROWN</t>
  </si>
  <si>
    <t>DOMINO SUGAR GRAN</t>
  </si>
  <si>
    <t>DOMINO SUGAR GRANULATED</t>
  </si>
  <si>
    <t>DOMINO SUGAR LT BROWN</t>
  </si>
  <si>
    <t>DOMINO SUPER FINE SUGAR</t>
  </si>
  <si>
    <t>RICHFOOD GRAN SUGAR 2LB</t>
  </si>
  <si>
    <t>RICHFOOD LT BROWN SUGR 2LB</t>
  </si>
  <si>
    <t>RICHFOOD SUGAR 10LB</t>
  </si>
  <si>
    <t>RICHFOOD SUGAR 25LB</t>
  </si>
  <si>
    <t>RICHFOOD SUGAR DARK BROWN</t>
  </si>
  <si>
    <t>RICHFOOD SUGAR POWDERED</t>
  </si>
  <si>
    <t>SHOP VALU SUGAR GRANULATED</t>
  </si>
  <si>
    <t>DOMINO CERT ORGANIC SUGAR</t>
  </si>
  <si>
    <t>DOMINO DEMERARA WASH RAW</t>
  </si>
  <si>
    <t>EQUAL SGR LC SWTNR 200CT</t>
  </si>
  <si>
    <t>EQUAL SWEETNR LOCAL 50CT</t>
  </si>
  <si>
    <t>115 CT</t>
  </si>
  <si>
    <t>EQUAL SWEETNR LWCAL100CT</t>
  </si>
  <si>
    <t>NATRA TST VALUE BOX</t>
  </si>
  <si>
    <t>NATRATAST NATRATASTE GOLD</t>
  </si>
  <si>
    <t>9.7 OZ</t>
  </si>
  <si>
    <t>8.82 OZ</t>
  </si>
  <si>
    <t>NATRL TST SUGR SUB PKT 250CT</t>
  </si>
  <si>
    <t>RICHFOOD ASPARTM SWTNR100CT</t>
  </si>
  <si>
    <t>RICHFOOD SUGAR SUB 100CT</t>
  </si>
  <si>
    <t>SPLENDA 100CT PACKETS</t>
  </si>
  <si>
    <t>SPLENDA 200CT PACKETS</t>
  </si>
  <si>
    <t>SPLENDA BROWN SGR BAKING</t>
  </si>
  <si>
    <t>SPLENDA NOCAL SWTN GRA</t>
  </si>
  <si>
    <t>SPLENDA PACKT DSPNSR 400CT</t>
  </si>
  <si>
    <t>SPLENDA SUGAR BLEND BAKING</t>
  </si>
  <si>
    <t>SPLENDA SUGAR GRANULAR BAG</t>
  </si>
  <si>
    <t>SPLENDA SUGAR PACKETS 50CT</t>
  </si>
  <si>
    <t>SPLENDA SWEETENER W/FIBER</t>
  </si>
  <si>
    <t>STEVIA IN THE RAW</t>
  </si>
  <si>
    <t>SUGAR TWN SUGAR IN THE RAW</t>
  </si>
  <si>
    <t>SWT N LOW SUGAR EQUIVALENT</t>
  </si>
  <si>
    <t>SWT N LOW SUGR LOW/SUB 250CT</t>
  </si>
  <si>
    <t>SWT N LOW SUGR SUB PCKT 50CT</t>
  </si>
  <si>
    <t>SWT N LOW SUGR SUB PKT 100CT</t>
  </si>
  <si>
    <t>TRUVIA CAL FREE SWEETNER</t>
  </si>
  <si>
    <t>40 LB</t>
  </si>
  <si>
    <t>CARGILL SOLAR SALT</t>
  </si>
  <si>
    <t>25 LB</t>
  </si>
  <si>
    <t>DIAM CRYS GRANULATED SALT</t>
  </si>
  <si>
    <t>HALITE ROCK SALT</t>
  </si>
  <si>
    <t>12 LB</t>
  </si>
  <si>
    <t>MORTON ACTION MELT</t>
  </si>
  <si>
    <t>MORTON RUST REMVR PELLETS</t>
  </si>
  <si>
    <t>MORTON SALT ICE CRM</t>
  </si>
  <si>
    <t>MORTON SYSTM SAVR PELLETS</t>
  </si>
  <si>
    <t>SAFR SALT ICE MELT BLEND</t>
  </si>
  <si>
    <t>BAKE-RITE SHORTENING</t>
  </si>
  <si>
    <t>CRISCO SHORTENING</t>
  </si>
  <si>
    <t>CRISCO SHORTENING, BTR FL</t>
  </si>
  <si>
    <t>CRISCO STICKS BUTTER</t>
  </si>
  <si>
    <t>CRISCO STICKS REG</t>
  </si>
  <si>
    <t>RICHFOOD VEG SHORTENING</t>
  </si>
  <si>
    <t>SHOP VALU SHORTENING</t>
  </si>
  <si>
    <t>BAKERS SPRAY JOY/AEROSOL</t>
  </si>
  <si>
    <t>17 FZ</t>
  </si>
  <si>
    <t>BERIO PURE OIL OLIVE</t>
  </si>
  <si>
    <t>25.5 FZ</t>
  </si>
  <si>
    <t>BERTOLLI CLASSICO OIL</t>
  </si>
  <si>
    <t>BERTOLLI EXTRA LIGHT OIL</t>
  </si>
  <si>
    <t>BERTOLLI EXTRA VIRGIN OIL</t>
  </si>
  <si>
    <t>BERTOLLI OIL OLIVE</t>
  </si>
  <si>
    <t>BERTOLLI OIL OLIVE X LIGHT</t>
  </si>
  <si>
    <t>51 FZ</t>
  </si>
  <si>
    <t>BERTOLLI OIL X LTE/OLIVE</t>
  </si>
  <si>
    <t>BERTOLLI OIL X VIRGIN OLIVE</t>
  </si>
  <si>
    <t>BERTOLLI OIL X-VIRGIN OLIVE</t>
  </si>
  <si>
    <t>CARAPELLI LIGHT OLIVE OIL</t>
  </si>
  <si>
    <t>CARAPELLI X VRGN OLIVE OIL</t>
  </si>
  <si>
    <t>CRISCO CANOLA OIL</t>
  </si>
  <si>
    <t>CRISCO CANOLA OMEGA A-3</t>
  </si>
  <si>
    <t>CRISCO CORN OIL</t>
  </si>
  <si>
    <t>CRISCO N/S CKING SPRY REG</t>
  </si>
  <si>
    <t>CRISCO NATURAL BLEND</t>
  </si>
  <si>
    <t>CRISCO OIL 100% CORN</t>
  </si>
  <si>
    <t>CRISCO OIL PRTN CANOLA *</t>
  </si>
  <si>
    <t>CRISCO OIL VEGETABLE</t>
  </si>
  <si>
    <t>CRISCO PURITAN OIL E-PACK</t>
  </si>
  <si>
    <t>CRISCO VEG OIL E-PACK</t>
  </si>
  <si>
    <t>CRISCO VEGETABLE OIL</t>
  </si>
  <si>
    <t>CRISCO VEGETABLE OIL PLST</t>
  </si>
  <si>
    <t>DUKES OIL PEANUT</t>
  </si>
  <si>
    <t>DUKES PEANUT OIL</t>
  </si>
  <si>
    <t>F BERIO OIL OL FBXTRA VIRG</t>
  </si>
  <si>
    <t>F BERIO OIL PURE OLIVE</t>
  </si>
  <si>
    <t>F BERIO OIL X MILD OLIVE</t>
  </si>
  <si>
    <t>F BERIO OIL X VIRGIN OLIVE</t>
  </si>
  <si>
    <t>HOLLYWOOD OIL SAFFLOWER</t>
  </si>
  <si>
    <t>ITALICA EXT VIRGIN OMEGA 3</t>
  </si>
  <si>
    <t>ITALICA PLUS VIT ADDED</t>
  </si>
  <si>
    <t>LOU ANA CANOLA OIL</t>
  </si>
  <si>
    <t>LOU ANA CANOLA/CORN OIL</t>
  </si>
  <si>
    <t>LOU ANA VEGETABLE OIL</t>
  </si>
  <si>
    <t>MAZOLA CANOLA OIL</t>
  </si>
  <si>
    <t>MAZOLA CORN OIL</t>
  </si>
  <si>
    <t>MAZOLA CORN OIL IV</t>
  </si>
  <si>
    <t>MAZOLA MAZOLA RT BLEND IV</t>
  </si>
  <si>
    <t>MAZOLA NO STICK</t>
  </si>
  <si>
    <t>MAZOLA OIL CORN</t>
  </si>
  <si>
    <t>MAZOLA VEGETABLE OIL</t>
  </si>
  <si>
    <t>PAM FOR GRILLING</t>
  </si>
  <si>
    <t>PAM OLIVE OIL SPRAY</t>
  </si>
  <si>
    <t>PAM ORGNC CANOLA SPRAY</t>
  </si>
  <si>
    <t>PAM PRO COOKING SPRAY</t>
  </si>
  <si>
    <t>PAM PURE VEGETABLE SPY</t>
  </si>
  <si>
    <t>PAM SPRAY BTTR AREO</t>
  </si>
  <si>
    <t>PAM SPRAY COOKING/REG</t>
  </si>
  <si>
    <t>PAM SPRAY FOR BAKING</t>
  </si>
  <si>
    <t>PAMPA X VIRGIN OLIVE OIL</t>
  </si>
  <si>
    <t>PLANTERS OIL PEANUT</t>
  </si>
  <si>
    <t>POMPEIAN EX LIGHT OLIVE OIL</t>
  </si>
  <si>
    <t>POMPEIAN EXTRA VIRGIN OLV O</t>
  </si>
  <si>
    <t>POMPEIAN OIL OLIVE</t>
  </si>
  <si>
    <t>POMPEIAN OIL OLIVE X VIRGIN</t>
  </si>
  <si>
    <t>POMPEIAN OLIVE OIL X-VIRGI</t>
  </si>
  <si>
    <t>POMPEIAN OLIVEXTRA PLUS</t>
  </si>
  <si>
    <t>POMPEIAN PURE OLIVE OIL</t>
  </si>
  <si>
    <t>POMPEIAN XVGN OLV OIL W/CNL</t>
  </si>
  <si>
    <t>REDISLAND EVOO BREAD&amp;SALAD</t>
  </si>
  <si>
    <t>RICHFOOD BLENDED OIL</t>
  </si>
  <si>
    <t>RICHFOOD CANOLA OIL</t>
  </si>
  <si>
    <t>RICHFOOD CKG SPRY BUTTER</t>
  </si>
  <si>
    <t>RICHFOOD CKG SPRY CANOLA</t>
  </si>
  <si>
    <t>RICHFOOD CKG SPRY OLIVE OIL</t>
  </si>
  <si>
    <t>RICHFOOD CKG SPRY VEGETABLE</t>
  </si>
  <si>
    <t>RICHFOOD CORN OIL</t>
  </si>
  <si>
    <t>RICHFOOD CORN OIL GALS</t>
  </si>
  <si>
    <t>RICHFOOD OIL OLIVE EX VIRGN</t>
  </si>
  <si>
    <t>RICHFOOD OIL OLIVE LITE</t>
  </si>
  <si>
    <t>RICHFOOD OIL OLIVE PURE</t>
  </si>
  <si>
    <t>8.50 FZ</t>
  </si>
  <si>
    <t>RICHFOOD OIL OLIVE XTR VIRG</t>
  </si>
  <si>
    <t>RICHFOOD PEANUT OIL</t>
  </si>
  <si>
    <t>RICHFOOD SUNFLOWER OIL</t>
  </si>
  <si>
    <t>RICHFOOD VEGETABLE OIL</t>
  </si>
  <si>
    <t>SHOP VALU OIL VEGETABLE</t>
  </si>
  <si>
    <t>SMART BAL OMEGA OIL 24OZ</t>
  </si>
  <si>
    <t>WEBER GRILL 'N SPRAY</t>
  </si>
  <si>
    <t>WESSON BEST BLEND 48</t>
  </si>
  <si>
    <t>WESSON CANOLA</t>
  </si>
  <si>
    <t>WESSON CANOLAOIL48</t>
  </si>
  <si>
    <t>WESSON CORN OIL 48</t>
  </si>
  <si>
    <t>WESSON VEGETABLE</t>
  </si>
  <si>
    <t>WESSON VEGETABLE 48 OZ</t>
  </si>
  <si>
    <t>WESSON VEGETABLE OIL</t>
  </si>
  <si>
    <t>LOFTHOUSE CANDY CANE FROSTED</t>
  </si>
  <si>
    <t>LOFTHOUSE FLAG COOKIE</t>
  </si>
  <si>
    <t>LOFTHOUSE GREEN XMAS COOKIE</t>
  </si>
  <si>
    <t>LOFTHOUSE HEART SHAPED COOKI</t>
  </si>
  <si>
    <t>LOFTHOUSE ICED HEART COOKIE</t>
  </si>
  <si>
    <t>LOFTHOUSE MINI VAL CKY TUB</t>
  </si>
  <si>
    <t>LOFTHOUSE ORNG ICED CHOC CKY</t>
  </si>
  <si>
    <t>LOFTHOUSE PATRIOT SUGAR CKIE</t>
  </si>
  <si>
    <t>LOFTHOUSE PATRIOTIC CLAMSHEL</t>
  </si>
  <si>
    <t>LOFTHOUSE PATRIOTIC COOKIES</t>
  </si>
  <si>
    <t>LOFTHOUSE PINK FRSTD CHC VAL</t>
  </si>
  <si>
    <t>LOFTHOUSE PUMPKIN SHAPE CKIE</t>
  </si>
  <si>
    <t>LOFTHOUSE STAR SHAPE ICED</t>
  </si>
  <si>
    <t>LOFTHOUSE VAL KID'S PLATTER</t>
  </si>
  <si>
    <t>LOFTHOUSE VALHEART SGR COOKI</t>
  </si>
  <si>
    <t>180 CT</t>
  </si>
  <si>
    <t>LOFTHOUSE VARIETY PACK</t>
  </si>
  <si>
    <t>LOFTHOUSE VDAY KIDS PARTY PL</t>
  </si>
  <si>
    <t>LOFTHOUSE VDY PNKFRST SGR CK</t>
  </si>
  <si>
    <t>28.5 OZ</t>
  </si>
  <si>
    <t>LOFTHOUSE WHT XMAS CKIE TRAY</t>
  </si>
  <si>
    <t>VENTURA BAKING RELEASE SPR</t>
  </si>
  <si>
    <t>WHITE CAP PAN COATING</t>
  </si>
  <si>
    <t>50 LB</t>
  </si>
  <si>
    <t>ADMIRATON DONUT SHORTENING</t>
  </si>
  <si>
    <t>35 LB</t>
  </si>
  <si>
    <t>BAKER SEL BLUEBERRY FILLING</t>
  </si>
  <si>
    <t>BAKER SEL LEMON FILLING</t>
  </si>
  <si>
    <t>BAKER SEL RED RASPBRRY FILLG</t>
  </si>
  <si>
    <t>19 LB</t>
  </si>
  <si>
    <t>BAKER SEL STRAWBRY PIE FILLG</t>
  </si>
  <si>
    <t>DAWN 10M CHOCOLATE CHIP</t>
  </si>
  <si>
    <t>DAWN APPLE CHIPS</t>
  </si>
  <si>
    <t>18 LB</t>
  </si>
  <si>
    <t>DAWN APPLE FILLING</t>
  </si>
  <si>
    <t>DAWN BAVARIAN CREME</t>
  </si>
  <si>
    <t>DAWN BLUE SPRINKLES</t>
  </si>
  <si>
    <t>24 LB</t>
  </si>
  <si>
    <t>DAWN CARAMEL DONUT ICNG</t>
  </si>
  <si>
    <t>DAWN CHOC FON DIP</t>
  </si>
  <si>
    <t>28 LB</t>
  </si>
  <si>
    <t>DAWN CHOCOLATE HOLL CRM</t>
  </si>
  <si>
    <t>DAWN CINNAMON SUGAR</t>
  </si>
  <si>
    <t>DAWN COARSE CORNMEAL</t>
  </si>
  <si>
    <t>DAWN COCONUT FLAKES</t>
  </si>
  <si>
    <t>DAWN CRYSTAL DONUT GLZ</t>
  </si>
  <si>
    <t>DAWN DARK GRN SPRINKLES</t>
  </si>
  <si>
    <t>15 LB</t>
  </si>
  <si>
    <t>DAWN DBL CHOC WHIP TOP</t>
  </si>
  <si>
    <t>DAWN DONUT SUGAR</t>
  </si>
  <si>
    <t>7 LB</t>
  </si>
  <si>
    <t>DAWN FUCHSIA VELVETOP</t>
  </si>
  <si>
    <t>DAWN GARLIC SMEAR</t>
  </si>
  <si>
    <t>DAWN GLAZE STRAWBRY PIE</t>
  </si>
  <si>
    <t>DAWN GREEN VELVETOP</t>
  </si>
  <si>
    <t>DAWN HUMMER HI GLUT FLR</t>
  </si>
  <si>
    <t>8 LB</t>
  </si>
  <si>
    <t>DAWN ICING RYL BLUE MB</t>
  </si>
  <si>
    <t>DAWN KORINTJE CINN SPIC</t>
  </si>
  <si>
    <t>DAWN LAVENDER SPRINKLES</t>
  </si>
  <si>
    <t>DAWN ORNG VELVETOP</t>
  </si>
  <si>
    <t>DAWN PINK VELVETOP</t>
  </si>
  <si>
    <t>DAWN PREMIUM FLOUR</t>
  </si>
  <si>
    <t>DAWN PURPLE VELVETOP</t>
  </si>
  <si>
    <t>DAWN RAINBOW SPRINKLES</t>
  </si>
  <si>
    <t>DAWN RED SPRINKLES</t>
  </si>
  <si>
    <t>DAWN ROYALBLUE VELVETOP</t>
  </si>
  <si>
    <t>DAWN SESAME SEEDS</t>
  </si>
  <si>
    <t>22 LB</t>
  </si>
  <si>
    <t>DAWN STICKY BUN SMEAR</t>
  </si>
  <si>
    <t>14 LB</t>
  </si>
  <si>
    <t>DAWN STREUSEL TOPPING</t>
  </si>
  <si>
    <t>DAWN VANILA HLLND CREME</t>
  </si>
  <si>
    <t>DAWN VANILLA FON-DIP</t>
  </si>
  <si>
    <t>DAWN VELVETOP VANILLA</t>
  </si>
  <si>
    <t>DAWN WHITE BUT-R-CREME</t>
  </si>
  <si>
    <t>DAWN WHITE CON AA SUGAR</t>
  </si>
  <si>
    <t>DAWN WHITE SPRINKLES</t>
  </si>
  <si>
    <t>DAWN YELLOW SPRINKLES</t>
  </si>
  <si>
    <t>DAWN YELLOW VELVETOP</t>
  </si>
  <si>
    <t>16.50 L</t>
  </si>
  <si>
    <t>H.C.BRILL CREAMY SWIRL</t>
  </si>
  <si>
    <t>23 LB</t>
  </si>
  <si>
    <t>HC BRILL CINNAMON GLAZE</t>
  </si>
  <si>
    <t>2 GA</t>
  </si>
  <si>
    <t>LAWRENCE BOLD PINK ICING</t>
  </si>
  <si>
    <t>4 GA</t>
  </si>
  <si>
    <t>LAWRENCE CHOCOLATEFDGEICING</t>
  </si>
  <si>
    <t>LAWRENCE ICING DEC BLUE</t>
  </si>
  <si>
    <t>LAWRENCE ICING DEC GREEN</t>
  </si>
  <si>
    <t>LAWRENCE ICING DEC RED</t>
  </si>
  <si>
    <t>LAWRENCE ICING DEC YLLW</t>
  </si>
  <si>
    <t>LAWRENCE ICING LEAF GREEN</t>
  </si>
  <si>
    <t>LAWRENCE ICING PASTEL BLUE</t>
  </si>
  <si>
    <t>LAWRENCE ICING PASTEL YELLW</t>
  </si>
  <si>
    <t>LAWRENCE ICNG DEC ORNGE</t>
  </si>
  <si>
    <t>LAWRENCE ICNG PSTL PURPLE</t>
  </si>
  <si>
    <t>5 GA</t>
  </si>
  <si>
    <t>LAWRENCE ULT LGT CHCCRM ICN</t>
  </si>
  <si>
    <t>LAWRENCE ULTLGT VANCRM ICNG</t>
  </si>
  <si>
    <t>9 LB</t>
  </si>
  <si>
    <t>RICH STRAWBERRY BTRCRM</t>
  </si>
  <si>
    <t>RICH'S BLACK BUTTERCREME</t>
  </si>
  <si>
    <t>RICH'S BLUE BETTERCREME</t>
  </si>
  <si>
    <t>8.8 LB</t>
  </si>
  <si>
    <t>RICH'S CHOC BETTERCREME</t>
  </si>
  <si>
    <t>30 LB</t>
  </si>
  <si>
    <t>RICH'S CHOC BUTTERCREME</t>
  </si>
  <si>
    <t>RICH'S CKIES N CRM BTRCRM</t>
  </si>
  <si>
    <t>RICH'S CLASSIC CHOC ICING</t>
  </si>
  <si>
    <t>RICH'S CREAM CHEESE ICING</t>
  </si>
  <si>
    <t>RICH'S DIPPING ICING</t>
  </si>
  <si>
    <t>RICH'S DONUT GLAZE</t>
  </si>
  <si>
    <t>RICH'S GERMAN CHOC ICING</t>
  </si>
  <si>
    <t>RICH'S GREEN BETTERCREME</t>
  </si>
  <si>
    <t>RICH'S LAVENDER BETTERCRM</t>
  </si>
  <si>
    <t>RICH'S ORANGE BETTERCREME</t>
  </si>
  <si>
    <t>RICH'S PINK BETTERCREME</t>
  </si>
  <si>
    <t>RICH'S PREWHIP CHOC BETTR</t>
  </si>
  <si>
    <t>RICH'S RED BETTERCREME</t>
  </si>
  <si>
    <t>RICH'S SO COUNTRY BTRCRM</t>
  </si>
  <si>
    <t>RICH'S VANILLA BETTERCRM</t>
  </si>
  <si>
    <t>RICH'S WHIPPD VAN BETRCRM</t>
  </si>
  <si>
    <t>RICH'S WHITE BUTTERCREAM</t>
  </si>
  <si>
    <t>RICH'S YELLOW BETTERCREME</t>
  </si>
  <si>
    <t>50 LT</t>
  </si>
  <si>
    <t>VENTURA TRANS FF DONUT FRY</t>
  </si>
  <si>
    <t>VENTURA WHT CAP BK RELEASE</t>
  </si>
  <si>
    <t>ACCENT FLAVOR ENHANCER</t>
  </si>
  <si>
    <t>ACCENT MSG</t>
  </si>
  <si>
    <t>BACN SALT ORIGINAL</t>
  </si>
  <si>
    <t>BCN SALT HICKORY BCN SALT</t>
  </si>
  <si>
    <t>BCN SALT PEPPERED BCN SALT</t>
  </si>
  <si>
    <t>BUTTR BUD SPRINKLES</t>
  </si>
  <si>
    <t>DIAMOND CRYSTL SALT ICE CR</t>
  </si>
  <si>
    <t>GM BLACK PEPPER</t>
  </si>
  <si>
    <t>GM SEASONED SALT</t>
  </si>
  <si>
    <t>GM SOUL FOOD SEASNING</t>
  </si>
  <si>
    <t>LAWRY'S SEASONED SALT</t>
  </si>
  <si>
    <t>LAWRYS RED SOD SALT</t>
  </si>
  <si>
    <t>LAWRYS SALT SEASONED</t>
  </si>
  <si>
    <t>M MCBUTTR SPRINKLES</t>
  </si>
  <si>
    <t>2.87 OZ</t>
  </si>
  <si>
    <t>MCCORMICK 25% LS MONT CHKN</t>
  </si>
  <si>
    <t>3.18 OZ</t>
  </si>
  <si>
    <t>MCCORMICK 25% LS MONT STEAK</t>
  </si>
  <si>
    <t>2.62 OZ</t>
  </si>
  <si>
    <t>MCCORMICK ALL PURPOSE SALTFR</t>
  </si>
  <si>
    <t>MCCORMICK ALLSPICE GRD</t>
  </si>
  <si>
    <t>MCCORMICK ALLSPICE GROUND</t>
  </si>
  <si>
    <t>MCCORMICK ALLSPICE MAICA GOU</t>
  </si>
  <si>
    <t>MCCORMICK ALLSPICE WHOLE</t>
  </si>
  <si>
    <t>MCCORMICK ALUM</t>
  </si>
  <si>
    <t>MCCORMICK ARROWROOT</t>
  </si>
  <si>
    <t>2.71 OZ</t>
  </si>
  <si>
    <t>MCCORMICK ASIAN SEA SALT GOU</t>
  </si>
  <si>
    <t>MCCORMICK BASIL &amp; GARLIC BLD</t>
  </si>
  <si>
    <t>MCCORMICK BASIL LEAVES</t>
  </si>
  <si>
    <t>.12 OZ</t>
  </si>
  <si>
    <t>MCCORMICK BAY LEAVES</t>
  </si>
  <si>
    <t>.18 OZ</t>
  </si>
  <si>
    <t>MCCORMICK BLACK CRK PEPPER</t>
  </si>
  <si>
    <t>MCCORMICK BLACK PEPPER</t>
  </si>
  <si>
    <t>.85 OZ</t>
  </si>
  <si>
    <t>MCCORMICK BLACK PEPPERCORN</t>
  </si>
  <si>
    <t>MCCORMICK BLACK SESAME SEED</t>
  </si>
  <si>
    <t>MCCORMICK BLND LMN&amp;PEPPER</t>
  </si>
  <si>
    <t>3.87 OZ</t>
  </si>
  <si>
    <t>MCCORMICK BROIL STEAK SEAS</t>
  </si>
  <si>
    <t>MCCORMICK CARDAMON GROUND</t>
  </si>
  <si>
    <t>MCCORMICK CARRIBEAN JERK SNG</t>
  </si>
  <si>
    <t>MCCORMICK CARWAY SEED</t>
  </si>
  <si>
    <t>MCCORMICK CELERY FLAKES</t>
  </si>
  <si>
    <t>MCCORMICK CELERY SEED #</t>
  </si>
  <si>
    <t>.95 OZ</t>
  </si>
  <si>
    <t>MCCORMICK CELERY SEED WHOLE</t>
  </si>
  <si>
    <t>MCCORMICK CHAI SPICE BLEND</t>
  </si>
  <si>
    <t>.31 OZ</t>
  </si>
  <si>
    <t>MCCORMICK CHERVI LEAVES</t>
  </si>
  <si>
    <t>MCCORMICK CHILE PEPPER ANCHO</t>
  </si>
  <si>
    <t>MCCORMICK CHILI POWDER</t>
  </si>
  <si>
    <t>MCCORMICK CHILI POWDER HOT</t>
  </si>
  <si>
    <t>MCCORMICK CHIPOTLE CHILI PPR</t>
  </si>
  <si>
    <t>MCCORMICK CHIVES FREEZE DRY</t>
  </si>
  <si>
    <t>MCCORMICK CHIVES FRZ DRIED</t>
  </si>
  <si>
    <t>MCCORMICK CILANTRO LEAVES</t>
  </si>
  <si>
    <t>1.16 OZ</t>
  </si>
  <si>
    <t>MCCORMICK CINNAMON GRINDER</t>
  </si>
  <si>
    <t>1.51 OZ</t>
  </si>
  <si>
    <t>MCCORMICK CINNAMON SGR GRNDR</t>
  </si>
  <si>
    <t>MCCORMICK CINNAMON STICK</t>
  </si>
  <si>
    <t>3.62 OZ</t>
  </si>
  <si>
    <t>MCCORMICK CINNAMON SUGAR</t>
  </si>
  <si>
    <t>MCCORMICK CLOVES WHOLE</t>
  </si>
  <si>
    <t>MCCORMICK CREAM OF TARTAR</t>
  </si>
  <si>
    <t>MCCORMICK CREAM OF TARTER</t>
  </si>
  <si>
    <t>3.45 OZ</t>
  </si>
  <si>
    <t>MCCORMICK CRKD PEPPERCORN</t>
  </si>
  <si>
    <t>MCCORMICK CRUSHED RED PEPPER</t>
  </si>
  <si>
    <t>MCCORMICK CRYSTALIZED GINGER</t>
  </si>
  <si>
    <t>MCCORMICK CUMIN GROUND</t>
  </si>
  <si>
    <t>MCCORMICK CURRY POWDER</t>
  </si>
  <si>
    <t>MCCORMICK CURRY PWDR MDRS HT</t>
  </si>
  <si>
    <t>.45 OZ</t>
  </si>
  <si>
    <t>MCCORMICK DICED JALAPENO PPR</t>
  </si>
  <si>
    <t>MCCORMICK DILL SEED</t>
  </si>
  <si>
    <t>.30 OZ</t>
  </si>
  <si>
    <t>MCCORMICK DILL WEED</t>
  </si>
  <si>
    <t>MCCORMICK DSF MUSTARD</t>
  </si>
  <si>
    <t>MCCORMICK FENNEL SEED</t>
  </si>
  <si>
    <t>3.35 OZ</t>
  </si>
  <si>
    <t>MCCORMICK FRENCH GREY SEA SA</t>
  </si>
  <si>
    <t>2.82 OZ</t>
  </si>
  <si>
    <t>MCCORMICK FRENCH HERB RUB</t>
  </si>
  <si>
    <t>7.30 OZ</t>
  </si>
  <si>
    <t>MCCORMICK FRENCHONPEP&amp;HERB</t>
  </si>
  <si>
    <t>MCCORMICK FRIED CKN SEASNG</t>
  </si>
  <si>
    <t>MCCORMICK GARAM MASALA GMT</t>
  </si>
  <si>
    <t>7.7 OZ</t>
  </si>
  <si>
    <t>MCCORMICK GARLC LEMON RSEMRY</t>
  </si>
  <si>
    <t>MCCORMICK GARLIC &amp; ITALIAN</t>
  </si>
  <si>
    <t>MCCORMICK GARLIC BRD SPRINKL</t>
  </si>
  <si>
    <t>MCCORMICK GARLIC CAL CRUSHED</t>
  </si>
  <si>
    <t>2.37 OZ</t>
  </si>
  <si>
    <t>MCCORMICK GARLIC HERB BLEND</t>
  </si>
  <si>
    <t>MCCORMICK GARLIC MINCED</t>
  </si>
  <si>
    <t>MCCORMICK GARLIC MINCED-WET</t>
  </si>
  <si>
    <t>MCCORMICK GARLIC PEPPER BLND</t>
  </si>
  <si>
    <t>MCCORMICK GARLIC POWDER</t>
  </si>
  <si>
    <t>3.12 OZ</t>
  </si>
  <si>
    <t>1.23 OZ</t>
  </si>
  <si>
    <t>MCCORMICK GARLIC PPR GRINDER</t>
  </si>
  <si>
    <t>MCCORMICK GARLIC PWDR</t>
  </si>
  <si>
    <t>5.37 OZ</t>
  </si>
  <si>
    <t>MCCORMICK GARLIC SALT</t>
  </si>
  <si>
    <t>MCCORMICK GARLIC W/OLIVE OIL</t>
  </si>
  <si>
    <t>MCCORMICK GARLICONION MEDLEY</t>
  </si>
  <si>
    <t>MCCORMICK GINGER GROUND</t>
  </si>
  <si>
    <t>MCCORMICK GM GROUND CLOVE</t>
  </si>
  <si>
    <t>MCCORMICK GM SALMN SEASN BLD</t>
  </si>
  <si>
    <t>MCCORMICK GM SEAFOOD RUB</t>
  </si>
  <si>
    <t>4.76 OZ</t>
  </si>
  <si>
    <t>MCCORMICK GM SWT &amp; SMKY RUB</t>
  </si>
  <si>
    <t>MCCORMICK GMT 100%ORGN FENNL</t>
  </si>
  <si>
    <t>MCCORMICK GMT 100%ORGN PAPRK</t>
  </si>
  <si>
    <t>MCCORMICK GMT TOAST SESME SD</t>
  </si>
  <si>
    <t>MCCORMICK GORMET DILL WEED</t>
  </si>
  <si>
    <t>.32 OZ</t>
  </si>
  <si>
    <t>MCCORMICK GOURMET LAVENDER</t>
  </si>
  <si>
    <t>MCCORMICK GR HERBES DE PROVE</t>
  </si>
  <si>
    <t>MCCORMICK GR ORG CELERY SEED</t>
  </si>
  <si>
    <t>MCCORMICK GR ORGGRD CINNAMON</t>
  </si>
  <si>
    <t>.43 OZ</t>
  </si>
  <si>
    <t>MCCORMICK GR SAGE LEAVES</t>
  </si>
  <si>
    <t>MCCORMICK GREEK SEASNING GMT</t>
  </si>
  <si>
    <t>MCCORMICK GRIL MATE MONTREAL</t>
  </si>
  <si>
    <t>MCCORMICK GRILL MATE BBQ SNG</t>
  </si>
  <si>
    <t>MCCORMICK GRILL MATE CKN/FSH</t>
  </si>
  <si>
    <t>MCCORMICK GRILLMATE MESQUITE</t>
  </si>
  <si>
    <t>MCCORMICK GRILMT GARLIC HERB</t>
  </si>
  <si>
    <t>MCCORMICK GRILMT MONTRLSTEAK</t>
  </si>
  <si>
    <t>.77 OZ</t>
  </si>
  <si>
    <t>MCCORMICK GRINDER ITAL HERB</t>
  </si>
  <si>
    <t>MCCORMICK GRINDER STEAKHOUSE</t>
  </si>
  <si>
    <t>6.37 OZ</t>
  </si>
  <si>
    <t>MCCORMICK GRLMATE CHEF MONTR</t>
  </si>
  <si>
    <t>2.45 OZ</t>
  </si>
  <si>
    <t>MCCORMICK GRLMT MNTRLCHICKEN</t>
  </si>
  <si>
    <t>MCCORMICK GRLMTE DRY RUB CKN</t>
  </si>
  <si>
    <t>3.46 OZ</t>
  </si>
  <si>
    <t>MCCORMICK GRLMTE DRY RUB PRK</t>
  </si>
  <si>
    <t>3.78 OZ</t>
  </si>
  <si>
    <t>MCCORMICK GRLMTE DRY RUB STK</t>
  </si>
  <si>
    <t>MCCORMICK GRLMTS HAMBGR SEAS</t>
  </si>
  <si>
    <t>MCCORMICK GRM ORG CURRY PWDR</t>
  </si>
  <si>
    <t>MCCORMICK GRM ORG GRD CORNDR</t>
  </si>
  <si>
    <t>MCCORMICK GRM ORG GRD GINGER</t>
  </si>
  <si>
    <t>1.81 OZ</t>
  </si>
  <si>
    <t>MCCORMICK GRM ORG GRD NUTMEG</t>
  </si>
  <si>
    <t>.55 OZ</t>
  </si>
  <si>
    <t>MCCORMICK GRM ORG ITALN SSNG</t>
  </si>
  <si>
    <t>MCCORMICK GRM ORG MARJ LEAVE</t>
  </si>
  <si>
    <t>MCCORMICK GRM ORG POPPY SEED</t>
  </si>
  <si>
    <t>MCCORMICK GRMORG CRSGRDBLKPR</t>
  </si>
  <si>
    <t>MCCORMICK GRMORG CRSH RD PPR</t>
  </si>
  <si>
    <t>MCCORMICK GRMORG CRSH RSEMRY</t>
  </si>
  <si>
    <t>MCCORMICK GRMORG GRD MUST SD</t>
  </si>
  <si>
    <t>MCCORMICK GRMORG GRD WHT PPR</t>
  </si>
  <si>
    <t>MCCORMICK GRMORG HRBSDEPRVNC</t>
  </si>
  <si>
    <t>MCCORMICK GRMORG RDPPR CAYEN</t>
  </si>
  <si>
    <t>MCCORMICK GRMORG SESAME SEED</t>
  </si>
  <si>
    <t>MCCORMICK GRMT ORG BAY LEAVE</t>
  </si>
  <si>
    <t>MCCORMICK GRMT ORG GRD CUMIN</t>
  </si>
  <si>
    <t>MCCORMICK GRND BLACK PEPPER</t>
  </si>
  <si>
    <t>MCCORMICK GROUND CINNAMON</t>
  </si>
  <si>
    <t>MCCORMICK GROUND CLOVES</t>
  </si>
  <si>
    <t>MCCORMICK GROUND CUMIN</t>
  </si>
  <si>
    <t>MCCORMICK GROUND GINGER</t>
  </si>
  <si>
    <t>MCCORMICK GROUND MACE</t>
  </si>
  <si>
    <t>MCCORMICK GROUND MUSTARD</t>
  </si>
  <si>
    <t>MCCORMICK GROUND SAGE</t>
  </si>
  <si>
    <t>MCCORMICK GROUND SAVORY</t>
  </si>
  <si>
    <t>MCCORMICK HERB GDN SEAS BLND</t>
  </si>
  <si>
    <t>2.99 OZ</t>
  </si>
  <si>
    <t>MCCORMICK HERB ROASTING RUB</t>
  </si>
  <si>
    <t>MCCORMICK ITAL HRB&amp;CHEES BLD</t>
  </si>
  <si>
    <t>MCCORMICK ITAL PEP ON SEA BL</t>
  </si>
  <si>
    <t>MCCORMICK ITALIAN SEASONING</t>
  </si>
  <si>
    <t>MCCORMICK JMAICAN JRK SEASNG</t>
  </si>
  <si>
    <t>MCCORMICK LEAF CILANTRO GRD</t>
  </si>
  <si>
    <t>.2 OZ</t>
  </si>
  <si>
    <t>MCCORMICK LEAVES MARJORAM</t>
  </si>
  <si>
    <t>MCCORMICK LEAVES ROSEMARY</t>
  </si>
  <si>
    <t>MCCORMICK LEAVES TARRAGON</t>
  </si>
  <si>
    <t>MCCORMICK LEAVES THYME</t>
  </si>
  <si>
    <t>MCCORMICK LEMMON PEPPER</t>
  </si>
  <si>
    <t>3.37 OZ</t>
  </si>
  <si>
    <t>MCCORMICK LEMON &amp; HERB SEASN</t>
  </si>
  <si>
    <t>MCCORMICK LEMON &amp; PEPPER</t>
  </si>
  <si>
    <t>MCCORMICK LEMON PEEL</t>
  </si>
  <si>
    <t>MCCORMICK LEMON PEP W/HERBS</t>
  </si>
  <si>
    <t>MCCORMICK MARJORAM GROUND</t>
  </si>
  <si>
    <t>.25 OZ</t>
  </si>
  <si>
    <t>MCCORMICK MARJORAM LEAVES</t>
  </si>
  <si>
    <t>MCCORMICK MEAT TENDRZ SEASON</t>
  </si>
  <si>
    <t>MCCORMICK MEAT TENDRZ UNSEAS</t>
  </si>
  <si>
    <t>MCCORMICK MEAT TENDRZR UNSE</t>
  </si>
  <si>
    <t>2.65 OZ</t>
  </si>
  <si>
    <t>MCCORMICK MED SPCD SS GOURME</t>
  </si>
  <si>
    <t>MCCORMICK MINCED ONION</t>
  </si>
  <si>
    <t>MCCORMICK MINT FLAKES</t>
  </si>
  <si>
    <t>MCCORMICK MUSTARD GROUND</t>
  </si>
  <si>
    <t>MCCORMICK MUSTARD SEED</t>
  </si>
  <si>
    <t>MCCORMICK NUTMEG GROUND</t>
  </si>
  <si>
    <t>MCCORMICK NUTMEG WHOLE</t>
  </si>
  <si>
    <t>MCCORMICK ONION CHOPPED</t>
  </si>
  <si>
    <t>MCCORMICK ONION MINCED</t>
  </si>
  <si>
    <t>MCCORMICK ONION POWDER</t>
  </si>
  <si>
    <t>MCCORMICK ONION PWDR CLF BLD</t>
  </si>
  <si>
    <t>5.12 OZ</t>
  </si>
  <si>
    <t>MCCORMICK ONION SALT</t>
  </si>
  <si>
    <t>MCCORMICK ORANGE PEEL</t>
  </si>
  <si>
    <t>MCCORMICK OREGANO</t>
  </si>
  <si>
    <t>MCCORMICK OREGANO LEAVES</t>
  </si>
  <si>
    <t>MCCORMICK ORG BASIL LVS GMT</t>
  </si>
  <si>
    <t>MCCORMICK ORG DILL WEED GMT</t>
  </si>
  <si>
    <t>MCCORMICK ORG ORGANO LVS GMT</t>
  </si>
  <si>
    <t>MCCORMICK ORG ROSMRY LVS GMT</t>
  </si>
  <si>
    <t>MCCORMICK ORG THYME LVES GMT</t>
  </si>
  <si>
    <t>MCCORMICK ORGANIC PARSLEY</t>
  </si>
  <si>
    <t>MCCORMICK ORGANIC SAGE</t>
  </si>
  <si>
    <t>MCCORMICK PAPRIKA</t>
  </si>
  <si>
    <t>.20 OZ</t>
  </si>
  <si>
    <t>MCCORMICK PARSLEY FLAKES</t>
  </si>
  <si>
    <t>MCCORMICK PEPPER BLACK WHOLE</t>
  </si>
  <si>
    <t>MCCORMICK PEPPER BLK CRS GRD</t>
  </si>
  <si>
    <t>MCCORMICK PEPPER GARLIC</t>
  </si>
  <si>
    <t>MCCORMICK PEPPER GRND BLACK</t>
  </si>
  <si>
    <t>MCCORMICK PEPPER GROUND WHT</t>
  </si>
  <si>
    <t>MCCORMICK PEPPER RED CRUSHED</t>
  </si>
  <si>
    <t>MCCORMICK PEPPER RED GRND</t>
  </si>
  <si>
    <t>MCCORMICK PEPPER RED/CRUSHD</t>
  </si>
  <si>
    <t>MCCORMICK PEPPER RED/GROUND</t>
  </si>
  <si>
    <t>MCCORMICK PEPPER WHITE</t>
  </si>
  <si>
    <t>MCCORMICK PEPPER WHOL/BLACK</t>
  </si>
  <si>
    <t>MCCORMICK PEPPER WHOLE BLACK</t>
  </si>
  <si>
    <t>MCCORMICK PEPPER, LEMON S/F</t>
  </si>
  <si>
    <t>MCCORMICK PEPPERCORN MEDLEY</t>
  </si>
  <si>
    <t>MCCORMICK PEPPERCORN MELANGE</t>
  </si>
  <si>
    <t>MCCORMICK PICKLING SPICE</t>
  </si>
  <si>
    <t>MCCORMICK POPPY SEED</t>
  </si>
  <si>
    <t>MCCORMICK POULTRY SEASONING</t>
  </si>
  <si>
    <t>MCCORMICK PUMPKIN PIE SPICE</t>
  </si>
  <si>
    <t>MCCORMICK PWDR CHILI-HOT</t>
  </si>
  <si>
    <t>MCCORMICK RED CURRY PWDR GMT</t>
  </si>
  <si>
    <t>MCCORMICK ROASTED GARLIC WET</t>
  </si>
  <si>
    <t>MCCORMICK ROSEMARY CRSHD GMT</t>
  </si>
  <si>
    <t>.35 OZ</t>
  </si>
  <si>
    <t>MCCORMICK ROSEMARY LEAVES</t>
  </si>
  <si>
    <t>MCCORMICK ROTISSERIE CHICKEN</t>
  </si>
  <si>
    <t>MCCORMICK RSTD GARLIC &amp; BELL</t>
  </si>
  <si>
    <t>MCCORMICK S/FREE GARLIC HERB</t>
  </si>
  <si>
    <t>MCCORMICK SAFFRON IMPRTD</t>
  </si>
  <si>
    <t>MCCORMICK SAGE RUBBED</t>
  </si>
  <si>
    <t>MCCORMICK SALAD SUPREME</t>
  </si>
  <si>
    <t>MCCORMICK SALT CELERY</t>
  </si>
  <si>
    <t>MCCORMICK SALT SEAS CHICKEN</t>
  </si>
  <si>
    <t>MCCORMICK SD MONT STK SEASON</t>
  </si>
  <si>
    <t>MCCORMICK SEA SALT</t>
  </si>
  <si>
    <t>MCCORMICK SEASN MONTREAL STK</t>
  </si>
  <si>
    <t>MCCORMICK SEASON CAJUN/CHCKN</t>
  </si>
  <si>
    <t>MCCORMICK SEED ANISE</t>
  </si>
  <si>
    <t>MCCORMICK SEED CORIANDER/GRD</t>
  </si>
  <si>
    <t>MCCORMICK SEED CORRIANDER</t>
  </si>
  <si>
    <t>MCCORMICK SEEDS CARAWAY</t>
  </si>
  <si>
    <t>MCCORMICK SEEDS CUMIN</t>
  </si>
  <si>
    <t>MCCORMICK SEEDS POPPY</t>
  </si>
  <si>
    <t>MCCORMICK SEEDS SESAME</t>
  </si>
  <si>
    <t>MCCORMICK SICILIAN SEA SALT</t>
  </si>
  <si>
    <t>MCCORMICK SLICED GARLIC</t>
  </si>
  <si>
    <t>MCCORMICK SMK GRND BLACK PPR</t>
  </si>
  <si>
    <t>MCCORMICK SMOK SWT PEPP SEAS</t>
  </si>
  <si>
    <t>MCCORMICK SMOKED PAPRIKA</t>
  </si>
  <si>
    <t>MCCORMICK SPICE APPLE PIE</t>
  </si>
  <si>
    <t>MCCORMICK SPICES CHINESE FIV</t>
  </si>
  <si>
    <t>MCCORMICK SWEET BASIL LEAVES</t>
  </si>
  <si>
    <t>MCCORMICK TARRAGON WH</t>
  </si>
  <si>
    <t>MCCORMICK TENDERIZER SEASON</t>
  </si>
  <si>
    <t>MCCORMICK THYME GROUND</t>
  </si>
  <si>
    <t>MCCORMICK THYME WHOLE</t>
  </si>
  <si>
    <t>MCCORMICK TUMERIC GROUND</t>
  </si>
  <si>
    <t>MCCORMICK TURMERIC</t>
  </si>
  <si>
    <t>MCCORMICK WHL OREGANO LEAVES</t>
  </si>
  <si>
    <t>MCCORMICK WORCH GRND BLK PPR</t>
  </si>
  <si>
    <t>MORTON KOSHER SALT</t>
  </si>
  <si>
    <t>MORTON NATURE SEASON SALT</t>
  </si>
  <si>
    <t>MORTON SALT IODIZED</t>
  </si>
  <si>
    <t>MORTON SALT LITE</t>
  </si>
  <si>
    <t>MORTON SALT REGULAR</t>
  </si>
  <si>
    <t>2 CT</t>
  </si>
  <si>
    <t>MORTON SALT SHAKERS</t>
  </si>
  <si>
    <t>MORTON SALT&amp;PEPPER SHAKER</t>
  </si>
  <si>
    <t>17.60 O</t>
  </si>
  <si>
    <t>MORTON SEA SALT COARSE</t>
  </si>
  <si>
    <t>MORTON SEA SALT FINE</t>
  </si>
  <si>
    <t>MORTON SEASN ALL CRUSTING</t>
  </si>
  <si>
    <t>MORTON SEASON ALL</t>
  </si>
  <si>
    <t>MORTON SEASON ALL 3.25OZ</t>
  </si>
  <si>
    <t>MORTON SEASON ALL GARLIC</t>
  </si>
  <si>
    <t>MORTON SEASON ALL SPICY</t>
  </si>
  <si>
    <t>MORTON SEASON LS SODIUM</t>
  </si>
  <si>
    <t>MORTON SEASONING, NATURES</t>
  </si>
  <si>
    <t>7.5 LB</t>
  </si>
  <si>
    <t>MORTON SUGAR CURE SMOKE</t>
  </si>
  <si>
    <t>MORTON TE NDER QUICK</t>
  </si>
  <si>
    <t>MRS DASH CLASSIC ITALIANO</t>
  </si>
  <si>
    <t>MRS DASH FIESTA LIME SEASNG</t>
  </si>
  <si>
    <t>MRS DASH GRILL BLEND CHICK</t>
  </si>
  <si>
    <t>MRS DASH GRL BLND ORG STEAK</t>
  </si>
  <si>
    <t>MRS DASH HMBRGR GRILL BLEND</t>
  </si>
  <si>
    <t>MRS DASH ORIGINAL</t>
  </si>
  <si>
    <t>MRS DASH SEASONING TBLE BLN</t>
  </si>
  <si>
    <t>MRS DASH SEASONING, GRLC/HR</t>
  </si>
  <si>
    <t>MRS DASH SEASONINGS X SPICY</t>
  </si>
  <si>
    <t>MRS DASH SWESTERN CHIPOTLE</t>
  </si>
  <si>
    <t>MRS DASH TOMATO BASIL GARL</t>
  </si>
  <si>
    <t>NU SALT SALT SUBSTITUTE</t>
  </si>
  <si>
    <t>OLD BAY BLACKND SEASONING</t>
  </si>
  <si>
    <t>OLD BAY CRAB CAKE CLASSIC</t>
  </si>
  <si>
    <t>OLD BAY GARLIC &amp; HERB</t>
  </si>
  <si>
    <t>OLD BAY LEMON &amp; HERB</t>
  </si>
  <si>
    <t>OLD BAY S/O COCKTAIL</t>
  </si>
  <si>
    <t>OLD BAY S/O OLD BAY SALMON</t>
  </si>
  <si>
    <t>OLD BAY SEAFOOD RUB</t>
  </si>
  <si>
    <t>OLD BAY SEASNING LESS SODM</t>
  </si>
  <si>
    <t>OLD BAY SEASONING</t>
  </si>
  <si>
    <t>OLD BAY SSNNG SHAKER BTL</t>
  </si>
  <si>
    <t>OLD BAY TUNA CLASSIC</t>
  </si>
  <si>
    <t>RICHFOOD BLACK PEPPER</t>
  </si>
  <si>
    <t>RICHFOOD CHILI PWDR</t>
  </si>
  <si>
    <t>RICHFOOD CINNAMON</t>
  </si>
  <si>
    <t>RICHFOOD GARLIC POWDER</t>
  </si>
  <si>
    <t>RICHFOOD GARLIC SALT</t>
  </si>
  <si>
    <t>RICHFOOD MINCED ONION</t>
  </si>
  <si>
    <t>RICHFOOD OREGANO LEAVES</t>
  </si>
  <si>
    <t>RICHFOOD PEPPER BLACK</t>
  </si>
  <si>
    <t>RICHFOOD PLAIN SALT</t>
  </si>
  <si>
    <t>RICHFOOD SALT &amp; PEPPR SHKRS</t>
  </si>
  <si>
    <t>RICHFOOD SALT IODIZED</t>
  </si>
  <si>
    <t>RICHFOOD SALT PLAIN</t>
  </si>
  <si>
    <t>SALTSENSE KOSHER RNDS</t>
  </si>
  <si>
    <t>SALTSENSE PLAIN SALT RNDS</t>
  </si>
  <si>
    <t>.39 OZ</t>
  </si>
  <si>
    <t>SAUER BASIL</t>
  </si>
  <si>
    <t>SAUER BAY LEAVES</t>
  </si>
  <si>
    <t>SAUER BLACK PEPPER</t>
  </si>
  <si>
    <t>SAUER BLACK PEPPERMILL</t>
  </si>
  <si>
    <t>1.10 OZ</t>
  </si>
  <si>
    <t>SAUER CARAWAY SEED</t>
  </si>
  <si>
    <t>1.17 OZ</t>
  </si>
  <si>
    <t>SAUER CAYANNE RED PEPPER</t>
  </si>
  <si>
    <t>SAUER CELERY FLAKES</t>
  </si>
  <si>
    <t>SAUER CELERY SALT</t>
  </si>
  <si>
    <t>SAUER CELERY SEED</t>
  </si>
  <si>
    <t>SAUER CHILI POWDER</t>
  </si>
  <si>
    <t>SAUER CHIVES</t>
  </si>
  <si>
    <t>SAUER CINNAMON STICK</t>
  </si>
  <si>
    <t>SAUER CINNAMON SUGAR</t>
  </si>
  <si>
    <t>SAUER CREAM OF TARTAR</t>
  </si>
  <si>
    <t>SAUER CRUSHED RED PEPPER</t>
  </si>
  <si>
    <t>SAUER DILL WEED</t>
  </si>
  <si>
    <t>SAUER EGG WHITE MAGIC</t>
  </si>
  <si>
    <t>SAUER FRD CHICKEN SEASON</t>
  </si>
  <si>
    <t>SAUER GARLIC POWDER</t>
  </si>
  <si>
    <t>SAUER GARLIC SALT</t>
  </si>
  <si>
    <t>1.07 OZ</t>
  </si>
  <si>
    <t>SAUER GRND WHITE PEPPER</t>
  </si>
  <si>
    <t>SAUER GROUND CINNAMON</t>
  </si>
  <si>
    <t>SAUER GROUND CLOVES</t>
  </si>
  <si>
    <t>SAUER GROUND CORIANDER</t>
  </si>
  <si>
    <t>SAUER GROUND CUMIN</t>
  </si>
  <si>
    <t>SAUER GROUND NUTMEG</t>
  </si>
  <si>
    <t>SAUER GROUND PAPRIKA</t>
  </si>
  <si>
    <t>SAUER GROUND RED PEPPER</t>
  </si>
  <si>
    <t>SAUER GROUND THYME</t>
  </si>
  <si>
    <t>SAUER HOT CHILI POWDER</t>
  </si>
  <si>
    <t>SAUER ITALIAN SEASONING</t>
  </si>
  <si>
    <t>SAUER LEMON PEPPER</t>
  </si>
  <si>
    <t>SAUER M S G</t>
  </si>
  <si>
    <t>.28 OZ</t>
  </si>
  <si>
    <t>SAUER MARJORAM LEAF</t>
  </si>
  <si>
    <t>SAUER MINCED GARLIC</t>
  </si>
  <si>
    <t>SAUER MINCED ONION</t>
  </si>
  <si>
    <t>SAUER MUSTARD SEED</t>
  </si>
  <si>
    <t>SAUER ONION POWDER</t>
  </si>
  <si>
    <t>SAUER ONION SALT</t>
  </si>
  <si>
    <t>SAUER OREGANO</t>
  </si>
  <si>
    <t>SAUER PARSLEY FLAKES</t>
  </si>
  <si>
    <t>.50 OZ</t>
  </si>
  <si>
    <t>SAUER POPPY SEED</t>
  </si>
  <si>
    <t>.78 OZ</t>
  </si>
  <si>
    <t>SAUER POULTRY SEASONING</t>
  </si>
  <si>
    <t>SAUER RED PEPPER</t>
  </si>
  <si>
    <t>.60 OZ</t>
  </si>
  <si>
    <t>SAUER ROSEMARY</t>
  </si>
  <si>
    <t>SAUER SAGE</t>
  </si>
  <si>
    <t>SAUER SEAFOOD SEASONING</t>
  </si>
  <si>
    <t>SAUER SEASON GARLIC SALT</t>
  </si>
  <si>
    <t>SAUER SEASONED SALT</t>
  </si>
  <si>
    <t>SAUER SEASONED TENDERIZR</t>
  </si>
  <si>
    <t>SAUER SESAME SEED</t>
  </si>
  <si>
    <t>SAUER SSNING 7 PEPPER</t>
  </si>
  <si>
    <t>SAUER SSNING CANADIAN CH</t>
  </si>
  <si>
    <t>SAUER TUMERIC</t>
  </si>
  <si>
    <t>SAUER WHOLE ALL SPICE</t>
  </si>
  <si>
    <t>.67 OZ</t>
  </si>
  <si>
    <t>SAUER WHOLE CLOVES</t>
  </si>
  <si>
    <t>SAUERS ALUM</t>
  </si>
  <si>
    <t>SAUERS APPLE PIE SPICE</t>
  </si>
  <si>
    <t>SAUERS BARBECUE SPICE</t>
  </si>
  <si>
    <t>0.62 OZ</t>
  </si>
  <si>
    <t>SAUERS BASIL LEAVES</t>
  </si>
  <si>
    <t>0.12 OZ</t>
  </si>
  <si>
    <t>SAUERS BAY LEAVES</t>
  </si>
  <si>
    <t>SAUERS BLACK PEPPER</t>
  </si>
  <si>
    <t>SAUERS BLACK PEPPERMILL</t>
  </si>
  <si>
    <t>2.55 OZ</t>
  </si>
  <si>
    <t>SAUERS BLK PEPPERCORN</t>
  </si>
  <si>
    <t>SAUERS BLK PEPPERCORNS</t>
  </si>
  <si>
    <t>SAUERS CANADIAN STK SEASN</t>
  </si>
  <si>
    <t>SAUERS CAYENNE PEPPER GRN</t>
  </si>
  <si>
    <t>SAUERS CINNAMON GRND</t>
  </si>
  <si>
    <t>SAUERS CRAB BOIL</t>
  </si>
  <si>
    <t>SAUERS CURRY POWDER</t>
  </si>
  <si>
    <t>SAUERS DILL SEED</t>
  </si>
  <si>
    <t>2.85 OZ</t>
  </si>
  <si>
    <t>SAUERS GARL HERB GRNDR</t>
  </si>
  <si>
    <t>SAUERS GARLIC POWDER</t>
  </si>
  <si>
    <t>SAUERS GROUND ALLSPICE</t>
  </si>
  <si>
    <t>SAUERS GROUND GINGER</t>
  </si>
  <si>
    <t>SAUERS GROUND MUSTARD</t>
  </si>
  <si>
    <t>SAUERS HAMBURG SEASN SALT</t>
  </si>
  <si>
    <t>SAUERS ITAL HERB GRNDR</t>
  </si>
  <si>
    <t>SAUERS JAMAICAN JERK SEAS</t>
  </si>
  <si>
    <t>SAUERS LEMON HERB SEASON</t>
  </si>
  <si>
    <t>SAUERS MACE</t>
  </si>
  <si>
    <t>SAUERS MEAT TENDERIZER</t>
  </si>
  <si>
    <t>SAUERS MINCED ONION</t>
  </si>
  <si>
    <t>SAUERS NUTMEG WHOLE</t>
  </si>
  <si>
    <t>SAUERS ONION SALT</t>
  </si>
  <si>
    <t>SAUERS OREGANO</t>
  </si>
  <si>
    <t>SAUERS PAPRIKA</t>
  </si>
  <si>
    <t>SAUERS PARSLY GARLIC SALT</t>
  </si>
  <si>
    <t>SAUERS PEPPER GARLIC</t>
  </si>
  <si>
    <t>SAUERS PEPPER WHOLE BLACK</t>
  </si>
  <si>
    <t>SAUERS PEPPERCRN MEDLEY</t>
  </si>
  <si>
    <t>SAUERS PICKLING SPICE</t>
  </si>
  <si>
    <t>SAUERS PUMPKIN PIE SPICE</t>
  </si>
  <si>
    <t>SAUERS RED PEPPER</t>
  </si>
  <si>
    <t>SAUERS SAGE</t>
  </si>
  <si>
    <t>SAUERS SEA SALT GRNDR</t>
  </si>
  <si>
    <t>SAUERS SEASNG BLKND STEAK</t>
  </si>
  <si>
    <t>SAUERS SEASNG RSMRY &amp; GAR</t>
  </si>
  <si>
    <t>SAUERS SEASONED SALT</t>
  </si>
  <si>
    <t>SAUERS SEASONG ROTISSERIE</t>
  </si>
  <si>
    <t>SAUERS SEASONING SALT</t>
  </si>
  <si>
    <t>SAUERS STEAK BROIL SEASON</t>
  </si>
  <si>
    <t>SHOP VALU BLACK PEPPER</t>
  </si>
  <si>
    <t>SPC CLSSC BASIL LEAVES</t>
  </si>
  <si>
    <t>SPC CLSSC CELERY SEED</t>
  </si>
  <si>
    <t>4.37 OZ</t>
  </si>
  <si>
    <t>SPC CLSSC CHILI POWDER</t>
  </si>
  <si>
    <t>SPC CLSSC GARLIC PWDR</t>
  </si>
  <si>
    <t>SPC CLSSC GARLIC SALT SPC/CL</t>
  </si>
  <si>
    <t>SPC CLSSC GROUND CINNAMON</t>
  </si>
  <si>
    <t>SPC CLSSC GROUND RED PEPPER</t>
  </si>
  <si>
    <t>SPC CLSSC GROUND SAGE</t>
  </si>
  <si>
    <t>SPC CLSSC ITALIAN SEASONING</t>
  </si>
  <si>
    <t>SPC CLSSC ONION PWDR/SP CLSS</t>
  </si>
  <si>
    <t>SPC CLSSC OREGANO</t>
  </si>
  <si>
    <t>SPC CLSSC PAPRIKA</t>
  </si>
  <si>
    <t>SPC CLSSC PARSLEY FLAKES</t>
  </si>
  <si>
    <t>SPC CLSSC PEPPER, GR BELL</t>
  </si>
  <si>
    <t>SPC CLSSC POULTRY SEASONING</t>
  </si>
  <si>
    <t>SPC CLSSC SEAS CAJUN</t>
  </si>
  <si>
    <t>SPC CLSSC SOUL FOOD SSNING</t>
  </si>
  <si>
    <t>SPC CLSSC SP CL CRSH RD PEPR</t>
  </si>
  <si>
    <t>SPC CLSSC SP CLSC STEAK SEAS</t>
  </si>
  <si>
    <t>5.87 OZ</t>
  </si>
  <si>
    <t>SPC CLSSC SPC CLS LEMON PEPR</t>
  </si>
  <si>
    <t>SPC CLSSC SPC CLS MT TENDRZR</t>
  </si>
  <si>
    <t>SPC CLSSC SPC CLS ONION CHPD</t>
  </si>
  <si>
    <t>SPC CLSSC SPC CLS ONION SALT</t>
  </si>
  <si>
    <t>SPC CLSSC SPC CLS SSND SALT</t>
  </si>
  <si>
    <t>SPC HUNTR ALL SPICE GROUD</t>
  </si>
  <si>
    <t>SPC HUNTR BASIL</t>
  </si>
  <si>
    <t>SPC HUNTR BASIL SEASONING</t>
  </si>
  <si>
    <t>SPC HUNTR BAY LEAVES</t>
  </si>
  <si>
    <t>SPC HUNTR BBQ GRILL SPICE</t>
  </si>
  <si>
    <t>SPC HUNTR BBQ RUB</t>
  </si>
  <si>
    <t>SPC HUNTR BL PEPR TELLICHERY</t>
  </si>
  <si>
    <t>SPC HUNTR BLK PEPPER MALABAR</t>
  </si>
  <si>
    <t>SPC HUNTR BLK PEPR CRSE GRND</t>
  </si>
  <si>
    <t>SPC HUNTR CARAWAY SEED</t>
  </si>
  <si>
    <t>SPC HUNTR CARDAMON</t>
  </si>
  <si>
    <t>SPC HUNTR CAYANNE PEPPER</t>
  </si>
  <si>
    <t>SPC HUNTR CELERY SEED WHOLE</t>
  </si>
  <si>
    <t>SPC HUNTR CHILI POWDER</t>
  </si>
  <si>
    <t>SPC HUNTR CHINESE 5 SPICE</t>
  </si>
  <si>
    <t>SPC HUNTR CHIVES</t>
  </si>
  <si>
    <t>SPC HUNTR CILANTRO</t>
  </si>
  <si>
    <t>SPC HUNTR CINNAMON GROUND</t>
  </si>
  <si>
    <t>SPC HUNTR CINNAMON STICK</t>
  </si>
  <si>
    <t>SPC HUNTR CLOVES GROUND</t>
  </si>
  <si>
    <t>SPC HUNTR CLOVES WHOLE</t>
  </si>
  <si>
    <t>SPC HUNTR CORIANDER WHOLE</t>
  </si>
  <si>
    <t>SPC HUNTR CREAM OF TARTAR</t>
  </si>
  <si>
    <t>SPC HUNTR CUMIN GROUND</t>
  </si>
  <si>
    <t>SPC HUNTR CURRY POWDER</t>
  </si>
  <si>
    <t>SPC HUNTR DILL WEED</t>
  </si>
  <si>
    <t>SPC HUNTR FAJITA SEASONING</t>
  </si>
  <si>
    <t>SPC HUNTR FENNEL SEED</t>
  </si>
  <si>
    <t>0.97 OZ</t>
  </si>
  <si>
    <t>SPC HUNTR FR AT HAND POULTRY</t>
  </si>
  <si>
    <t>SPC HUNTR GARLIC ROASTED</t>
  </si>
  <si>
    <t>SPC HUNTR GARLIC SEASONING</t>
  </si>
  <si>
    <t>SPC HUNTR GINGER CRYSTALIZED</t>
  </si>
  <si>
    <t>SPC HUNTR GINGER GROUND</t>
  </si>
  <si>
    <t>2.7 OZ</t>
  </si>
  <si>
    <t>SPC HUNTR GRANULATED GARLIC</t>
  </si>
  <si>
    <t>SPC HUNTR GRINDER PRPPERCORN</t>
  </si>
  <si>
    <t>SPC HUNTR GRINDER SEA SALT</t>
  </si>
  <si>
    <t>4.10 OZ</t>
  </si>
  <si>
    <t>SPC HUNTR GRL SHKR HAMBURGER</t>
  </si>
  <si>
    <t>SPC HUNTR GRL SHKR PORK</t>
  </si>
  <si>
    <t>SPC HUNTR GRL SHKR POULTRY</t>
  </si>
  <si>
    <t>SPC HUNTR GRL SHKR STEAK</t>
  </si>
  <si>
    <t>SPC HUNTR GRND PCRN MEDLEY</t>
  </si>
  <si>
    <t>SPC HUNTR GRNDR CITRUS PEPPR</t>
  </si>
  <si>
    <t>SPC HUNTR GRNDR FIERY CHILE</t>
  </si>
  <si>
    <t>SPC HUNTR GRNDR GARLIC HERB</t>
  </si>
  <si>
    <t>SPC HUNTR HERBS DE PROVENCE</t>
  </si>
  <si>
    <t>SPC HUNTR ITALIAN BLND SEASO</t>
  </si>
  <si>
    <t>SPC HUNTR LEMON GRASS</t>
  </si>
  <si>
    <t>SPC HUNTR LEMON PEEL</t>
  </si>
  <si>
    <t>.3 OZ</t>
  </si>
  <si>
    <t>SPC HUNTR MARJORAM</t>
  </si>
  <si>
    <t>SPC HUNTR MUSTARD GROUND</t>
  </si>
  <si>
    <t>SPC HUNTR NUTMEG GROUND</t>
  </si>
  <si>
    <t>SPC HUNTR ONION GRANULATED</t>
  </si>
  <si>
    <t>SPC HUNTR ORANGE PEEL</t>
  </si>
  <si>
    <t>SPC HUNTR OREGANO</t>
  </si>
  <si>
    <t>SPC HUNTR ORGANIC BASIL</t>
  </si>
  <si>
    <t>SPC HUNTR ORGANIC BAY LEAF</t>
  </si>
  <si>
    <t>SPC HUNTR ORGANIC CAYANNE</t>
  </si>
  <si>
    <t>SPC HUNTR ORGANIC CILANTRO</t>
  </si>
  <si>
    <t>SPC HUNTR ORGANIC CINNAMON</t>
  </si>
  <si>
    <t>SPC HUNTR ORGANIC CLOVES</t>
  </si>
  <si>
    <t>SPC HUNTR ORGANIC CUMIN</t>
  </si>
  <si>
    <t>SPC HUNTR ORGANIC DILLWEED</t>
  </si>
  <si>
    <t>SPC HUNTR ORGANIC GINGER</t>
  </si>
  <si>
    <t>SPC HUNTR ORGANIC ITAL SEASN</t>
  </si>
  <si>
    <t>SPC HUNTR ORGANIC MARJORAM</t>
  </si>
  <si>
    <t>SPC HUNTR ORGANIC NUTMEG</t>
  </si>
  <si>
    <t>SPC HUNTR ORGANIC OREGANO</t>
  </si>
  <si>
    <t>SPC HUNTR ORGANIC PAPRIKA</t>
  </si>
  <si>
    <t>SPC HUNTR ORGANIC PARSLEY</t>
  </si>
  <si>
    <t>SPC HUNTR ORGANIC ROSEMARY</t>
  </si>
  <si>
    <t>SPC HUNTR ORGANIC TARRAGON</t>
  </si>
  <si>
    <t>SPC HUNTR ORGANIC THYME</t>
  </si>
  <si>
    <t>SPC HUNTR PAPRIKA</t>
  </si>
  <si>
    <t>SPC HUNTR PARSELEY FLAKES</t>
  </si>
  <si>
    <t>SPC HUNTR PEPPER CORN BLEND</t>
  </si>
  <si>
    <t>SPC HUNTR PEPPER GARLC BLEND</t>
  </si>
  <si>
    <t>SPC HUNTR PEPPER KEY LIME</t>
  </si>
  <si>
    <t>SPC HUNTR PEPPER LEMON</t>
  </si>
  <si>
    <t>SPC HUNTR PEPPER RED CHILI</t>
  </si>
  <si>
    <t>SPC HUNTR POPPY SEED</t>
  </si>
  <si>
    <t>.80 OZ</t>
  </si>
  <si>
    <t>SPC HUNTR ROSEMARY</t>
  </si>
  <si>
    <t>.01 OZ</t>
  </si>
  <si>
    <t>SPC HUNTR SAFFRON</t>
  </si>
  <si>
    <t>.40 OZ</t>
  </si>
  <si>
    <t>SPC HUNTR SAGE</t>
  </si>
  <si>
    <t>SPC HUNTR SEAFOOD GRILL SESN</t>
  </si>
  <si>
    <t>SPC HUNTR SEASON GAR/HERB BR</t>
  </si>
  <si>
    <t>SPC HUNTR SEASONING ALL PURP</t>
  </si>
  <si>
    <t>SPC HUNTR SEASONING GREEK</t>
  </si>
  <si>
    <t>SPC HUNTR SEASONING ITALIAN</t>
  </si>
  <si>
    <t>SPC HUNTR SEASONING MEXICAN</t>
  </si>
  <si>
    <t>SPC HUNTR SEASONING ONION</t>
  </si>
  <si>
    <t>SPC HUNTR SEASONING PASTA</t>
  </si>
  <si>
    <t>SPC HUNTR SEASONING POULTRY</t>
  </si>
  <si>
    <t>SPC HUNTR SEASONING THAI</t>
  </si>
  <si>
    <t>SPC HUNTR SESAME SEED</t>
  </si>
  <si>
    <t>SPC HUNTR SHALLOTS</t>
  </si>
  <si>
    <t>.36 OZ</t>
  </si>
  <si>
    <t>SPC HUNTR SPAERMINT LEAVES</t>
  </si>
  <si>
    <t>SPC HUNTR STEAK/CHOP SEAS</t>
  </si>
  <si>
    <t>SPC HUNTR TARRAGON</t>
  </si>
  <si>
    <t>.69 OZ</t>
  </si>
  <si>
    <t>SPC HUNTR THYME GROUND</t>
  </si>
  <si>
    <t>SPC HUNTR TURMERIC</t>
  </si>
  <si>
    <t>SPC HUNTR VANILLA BEAN</t>
  </si>
  <si>
    <t>WEBER CHICAGO STEAK</t>
  </si>
  <si>
    <t>WEBER GOURMET BURGER</t>
  </si>
  <si>
    <t>WEBER KICK N CHICKEN</t>
  </si>
  <si>
    <t>WEBER ZESTY LEMON SEASNG</t>
  </si>
  <si>
    <t>2 FZ</t>
  </si>
  <si>
    <t>GM EXTRAXT PURE VANLL</t>
  </si>
  <si>
    <t>GM IMIT VANILLA</t>
  </si>
  <si>
    <t>1 FZ</t>
  </si>
  <si>
    <t>MCCORMICK ALMOND EXTRACT</t>
  </si>
  <si>
    <t>MCCORMICK ANISE EXTRACT</t>
  </si>
  <si>
    <t>MCCORMICK ASST'D FOOD COLOR</t>
  </si>
  <si>
    <t>MCCORMICK BLACK FOOD COLOR</t>
  </si>
  <si>
    <t>MCCORMICK BUTTER FLVR EXTRCT</t>
  </si>
  <si>
    <t>MCCORMICK CINNAMON EXTRACT</t>
  </si>
  <si>
    <t>MCCORMICK CLR IMT VANIL EXTR</t>
  </si>
  <si>
    <t>MCCORMICK EXTRACT VAN IMIT</t>
  </si>
  <si>
    <t>MCCORMICK FRENCH VAN BLD EXT</t>
  </si>
  <si>
    <t>MCCORMICK GREEN FOOD COLOR</t>
  </si>
  <si>
    <t>MCCORMICK GRMORG PUR VAN EXT</t>
  </si>
  <si>
    <t>MCCORMICK IMIT ALMOND EXTRCT</t>
  </si>
  <si>
    <t>MCCORMICK IMIT COCONUT EXTCT</t>
  </si>
  <si>
    <t>MCCORMICK IMIT RUM EXTRACT</t>
  </si>
  <si>
    <t>MCCORMICK IMIT VANILLA EXTCT</t>
  </si>
  <si>
    <t>MCCORMICK IMT VAN BTR&amp;NT EXT</t>
  </si>
  <si>
    <t>MCCORMICK LEMON EXTRACT</t>
  </si>
  <si>
    <t>MCCORMICK MINT EXTRACT</t>
  </si>
  <si>
    <t>MCCORMICK NEON FOOD COLOR</t>
  </si>
  <si>
    <t>MCCORMICK ORANGE EXTRACT</t>
  </si>
  <si>
    <t>MCCORMICK PEPPERMINT EXTRACT</t>
  </si>
  <si>
    <t>MCCORMICK PURE VANILLA EXTCT</t>
  </si>
  <si>
    <t>MCCORMICK RASPBERRY EXTRACT</t>
  </si>
  <si>
    <t>MCCORMICK RED FOOD COLOR</t>
  </si>
  <si>
    <t>MCCORMICK YELLOW FOOD COLOR</t>
  </si>
  <si>
    <t>RICHFOOD VANILLA EXTRACT</t>
  </si>
  <si>
    <t>SAUER ANISE EXTRACT</t>
  </si>
  <si>
    <t>SAUER BANANA EXTRACT</t>
  </si>
  <si>
    <t>SAUER COCONUT EXTRACT</t>
  </si>
  <si>
    <t>1.5 FZ</t>
  </si>
  <si>
    <t>SAUER FOOD COLOR ASSORT</t>
  </si>
  <si>
    <t>SAUER LEMON EXTRACT</t>
  </si>
  <si>
    <t>SAUER ORANGE EXTRACT</t>
  </si>
  <si>
    <t>SAUER PEPPERMINT EXTRACT</t>
  </si>
  <si>
    <t>SAUER RUM EXTRACT</t>
  </si>
  <si>
    <t>SAUER VANILLA EXTRACT</t>
  </si>
  <si>
    <t>3 FZ</t>
  </si>
  <si>
    <t>SAUERS ALMOND EXTRACT</t>
  </si>
  <si>
    <t>SAUERS BLK WALNUT EXTRACT</t>
  </si>
  <si>
    <t>SAUERS BUTTER EXTRACT</t>
  </si>
  <si>
    <t>SAUERS CLEAR VAN EXTRACT</t>
  </si>
  <si>
    <t>SAUERS GREEN FOOD COLOR</t>
  </si>
  <si>
    <t>SAUERS IMITATION VANILLA</t>
  </si>
  <si>
    <t>SAUERS LEMON EXTRACT</t>
  </si>
  <si>
    <t>SAUERS MAPLE EXTRACT</t>
  </si>
  <si>
    <t>SAUERS PINEAPPLE EXTRACT</t>
  </si>
  <si>
    <t>SAUERS RED FOOD COLOR</t>
  </si>
  <si>
    <t>SAUERS SHERRY EXTRACT</t>
  </si>
  <si>
    <t>SAUERS STRAWBERRY EXTRACT</t>
  </si>
  <si>
    <t>SAUERS VAN BUTTER EXTRACT</t>
  </si>
  <si>
    <t>SAUERS VANILLA EXTRACT</t>
  </si>
  <si>
    <t>SAUERS YELLOW FOOD COLOR</t>
  </si>
  <si>
    <t>SPC CLSSC SPICE CLS IMIT VAN</t>
  </si>
  <si>
    <t>SPICECLSS LEMON PURE</t>
  </si>
  <si>
    <t>HERSHEY CARAMEL TOPPING</t>
  </si>
  <si>
    <t>HERSHEY DULC DE LECH SYRUP</t>
  </si>
  <si>
    <t>7.25 FZ</t>
  </si>
  <si>
    <t>HERSHEY MILK CHOCOLAT SHEL</t>
  </si>
  <si>
    <t>HERSHEY REESE PNT TOPPNG</t>
  </si>
  <si>
    <t>HERSHEY REESE SPRINKLES</t>
  </si>
  <si>
    <t>HERSHEY REESE W/CHOC TOPPN</t>
  </si>
  <si>
    <t>HERSHEY SF CHOC SYRUP</t>
  </si>
  <si>
    <t>HERSHEY SYRUP CHOC CALCIUM</t>
  </si>
  <si>
    <t>HERSHEY SYRUP CHOCOLATE</t>
  </si>
  <si>
    <t>HERSHEY SYRUP DBL CHO SUND</t>
  </si>
  <si>
    <t>HERSHEY SYRUP FAMILY BOTTL</t>
  </si>
  <si>
    <t>18.5 FZ</t>
  </si>
  <si>
    <t>HERSHEY SYRUP LITE CHOC</t>
  </si>
  <si>
    <t>22 FZ</t>
  </si>
  <si>
    <t>HERSHEY SYRUP SPEC DARK</t>
  </si>
  <si>
    <t>HERSHEY SYRUP STRAWBERRY</t>
  </si>
  <si>
    <t>HERSHEY TOPPING CHOC/FUDGE</t>
  </si>
  <si>
    <t>JET PUFF TOPPING MARSHML CR</t>
  </si>
  <si>
    <t>JET PUFFD MARSHMALLOW CREME</t>
  </si>
  <si>
    <t>KRAFT TOPPING DREAM WHIP</t>
  </si>
  <si>
    <t>NESTLE QUIK CHOCOLT SYRUP</t>
  </si>
  <si>
    <t>PLANTERS NUT TOPPING PEG</t>
  </si>
  <si>
    <t>RICHFOOD SQZ CHOCOLATE SYRP</t>
  </si>
  <si>
    <t>RICHFOOD STRAWBERRY SYRUP</t>
  </si>
  <si>
    <t>SHOP VALU SYRUP CHOC FLAVOR</t>
  </si>
  <si>
    <t>SMUCKER ANDES CHOC MINT TP</t>
  </si>
  <si>
    <t>SMUCKERS CHOC FUDGE TOPPING</t>
  </si>
  <si>
    <t>SMUCKERS DOVE MILK CHOC TOP</t>
  </si>
  <si>
    <t>SMUCKERS MAGIC SHELL CUPCAK</t>
  </si>
  <si>
    <t>SMUCKERS MAGIC SHELL ICT</t>
  </si>
  <si>
    <t>SMUCKERS MAGIC SHELL SMORES</t>
  </si>
  <si>
    <t>19.25 O</t>
  </si>
  <si>
    <t>SMUCKERS SF CARAMEL SYRUP</t>
  </si>
  <si>
    <t>SMUCKERS SYRUP, CARAMEL/SUN</t>
  </si>
  <si>
    <t>SMUCKERS SYRUP, SUNDAE/CHOC</t>
  </si>
  <si>
    <t>SMUCKERS TOPPING BUTTRSCTCH</t>
  </si>
  <si>
    <t>SMUCKERS TOPPING CARAMEL HT</t>
  </si>
  <si>
    <t>SMUCKERS TOPPING CARAMEL</t>
  </si>
  <si>
    <t>SMUCKERS TOPPING CHOC FUDGE</t>
  </si>
  <si>
    <t>SMUCKERS TOPPING FUDGE HOT</t>
  </si>
  <si>
    <t>11.75 O</t>
  </si>
  <si>
    <t>SMUCKERS TOPPING HOT FUDGE</t>
  </si>
  <si>
    <t>SMUCKERS TOPPING MAGC CHOC</t>
  </si>
  <si>
    <t>SMUCKERS TOPPING PECAN IN S</t>
  </si>
  <si>
    <t>SMUCKERS TOPPING PINEAPPLE</t>
  </si>
  <si>
    <t>SMUCKERS TOPPING STRAWBERRY</t>
  </si>
  <si>
    <t>SMUCKERS WALNUT IN SYRUP</t>
  </si>
  <si>
    <t>HUNTS 4PK GEL SNK STRAWB</t>
  </si>
  <si>
    <t>HUNTS SF CHRY GELS SNKPK</t>
  </si>
  <si>
    <t>JELL-O BLACKBERRY FUSION</t>
  </si>
  <si>
    <t>JELL-O GEALTIN ORANGE</t>
  </si>
  <si>
    <t>JELL-O GELATIN APRICOT</t>
  </si>
  <si>
    <t>JELL-O GELATIN BLK CHERRY</t>
  </si>
  <si>
    <t>JELL-O GELATIN CHERRY</t>
  </si>
  <si>
    <t>JELL-O GELATIN GRAPE</t>
  </si>
  <si>
    <t>JELL-O GELATIN LIME</t>
  </si>
  <si>
    <t>JELL-O GELATIN RASPBERRY</t>
  </si>
  <si>
    <t>JELL-O GELATIN SF FRUIT</t>
  </si>
  <si>
    <t>JELL-O GELATIN SF LEMON</t>
  </si>
  <si>
    <t>JELL-O GELATIN SF RASPBRY</t>
  </si>
  <si>
    <t>JELL-O GELATIN SF STRW/BA</t>
  </si>
  <si>
    <t>JELL-O GELATIN SF STRWBRY</t>
  </si>
  <si>
    <t>JELL-O GELATIN STRAWBERRY</t>
  </si>
  <si>
    <t>JELL-O GELATIN STRW/BANAN</t>
  </si>
  <si>
    <t>JELL-O MELON FUSION</t>
  </si>
  <si>
    <t>JELL-O PEACH</t>
  </si>
  <si>
    <t>JELL-O SF BLACK CHERRY</t>
  </si>
  <si>
    <t>JELL-O TROPICAL FUSION</t>
  </si>
  <si>
    <t>JELLO LEMON GELATIN</t>
  </si>
  <si>
    <t>JELLO ORANGE GELATIN</t>
  </si>
  <si>
    <t>JELLO SGR FREE STRAWBERY</t>
  </si>
  <si>
    <t>JELLO SUGAR FREE CHERRY</t>
  </si>
  <si>
    <t>JELLO SUGAR FREE LIME</t>
  </si>
  <si>
    <t>JELLO SUGAR FREE ORANGE</t>
  </si>
  <si>
    <t>KNOX UNFLAVORED GELATIN</t>
  </si>
  <si>
    <t>RICHFOOD GELATIN CHERRY</t>
  </si>
  <si>
    <t>.44 OZ</t>
  </si>
  <si>
    <t>RICHFOOD GELATIN CHERRY SF</t>
  </si>
  <si>
    <t>RICHFOOD GELATIN LIME</t>
  </si>
  <si>
    <t>RICHFOOD GELATIN ORANGE</t>
  </si>
  <si>
    <t>RICHFOOD GELATIN ORANGE SF</t>
  </si>
  <si>
    <t>RICHFOOD GELATIN RASPBERRY</t>
  </si>
  <si>
    <t>RICHFOOD GELATIN STRAW SF</t>
  </si>
  <si>
    <t>RICHFOOD GELATIN STRAWBERRY</t>
  </si>
  <si>
    <t>RICHFOOD GELATIN STRWBY/BA</t>
  </si>
  <si>
    <t>:JELLO PUDDING VANI TAPIC</t>
  </si>
  <si>
    <t>HUNTS BUTTRSCTCH 4/3.5OZ</t>
  </si>
  <si>
    <t>HUNTS CHOC CARML 4/3.5OZ</t>
  </si>
  <si>
    <t>HUNTS DLC DE LCH 4/3.5OZ</t>
  </si>
  <si>
    <t>HUNTS FF TAPIOCA SNK 4PK</t>
  </si>
  <si>
    <t>HUNTS FMLY PK CHOC LVRS</t>
  </si>
  <si>
    <t>HUNTS LT CHOC 4/3.5 OZ</t>
  </si>
  <si>
    <t>HUNTS PUDDING CHOCOLATE</t>
  </si>
  <si>
    <t>HUNTS PUDDING VANILLA</t>
  </si>
  <si>
    <t>HUNTS SNK CH/VA 12/3.5OZ</t>
  </si>
  <si>
    <t>HUNTS SNK PK BAN CRM PIE</t>
  </si>
  <si>
    <t>HUNTS SNK PK LMN 4/3.5OZ</t>
  </si>
  <si>
    <t>HUNTS SNK TRIPLS ICRM SD</t>
  </si>
  <si>
    <t>HUNTS SNKPK SGRFR CHC PU</t>
  </si>
  <si>
    <t>HUNTS SNKPK SGRFR VAN PU</t>
  </si>
  <si>
    <t>HUNTS TAPIOCA PDG SN 4PK</t>
  </si>
  <si>
    <t>HUNTS TRIPLES CH/VAN PDG</t>
  </si>
  <si>
    <t>HUNTS TRPLS CHOC DAREDVL</t>
  </si>
  <si>
    <t>JELL-O CHEESECAKE SF/FF</t>
  </si>
  <si>
    <t>JELL-O CK&amp;SRV VAN PDG&amp;FLG</t>
  </si>
  <si>
    <t>JELL-O INST CHSECAKE PDNG</t>
  </si>
  <si>
    <t>JELL-O INST FR VANL PUDNG</t>
  </si>
  <si>
    <t>JELL-O INST VANILLA PUDNG</t>
  </si>
  <si>
    <t>JELL-O PUDD SF PISTACHHI</t>
  </si>
  <si>
    <t>JELL-O PUDDING BANANA CRM</t>
  </si>
  <si>
    <t>JELL-O PUDDING BUTTRSCTCH</t>
  </si>
  <si>
    <t>JELL-O PUDDING CHOCOLATE</t>
  </si>
  <si>
    <t>JELL-O PUDDING COCONUT CR</t>
  </si>
  <si>
    <t>JELL-O PUDDING LEMON</t>
  </si>
  <si>
    <t>JELL-O PUDDING PISTACHIO</t>
  </si>
  <si>
    <t>JELL-O PUDDING SF CHOC/FR</t>
  </si>
  <si>
    <t>JELL-O PUDDING SF/BUTTRSC</t>
  </si>
  <si>
    <t>JELL-O PUDDING SF/CHOCOLT</t>
  </si>
  <si>
    <t>1.02 OZ</t>
  </si>
  <si>
    <t>JELL-O PUDDING SF/VANILLA</t>
  </si>
  <si>
    <t>JELL-O PUDDING VANILLA</t>
  </si>
  <si>
    <t>JELL-O PUDG LEMON CK&amp;SERV</t>
  </si>
  <si>
    <t>JELL-O PUDN BANANA CREAM</t>
  </si>
  <si>
    <t>JELL-O PUDN INST CHOC FUD</t>
  </si>
  <si>
    <t>JELL-O PUDN INST SG/FR BA</t>
  </si>
  <si>
    <t>JELL-O SF CHOCLAT FILLING</t>
  </si>
  <si>
    <t>JELL-O SF/FF WHITE CHOC</t>
  </si>
  <si>
    <t>2.01 OZ</t>
  </si>
  <si>
    <t>JELLO SF CHOC SINGLES</t>
  </si>
  <si>
    <t>JELLO SF VAN SINGLES</t>
  </si>
  <si>
    <t>JELLO VANILLA SINGLES</t>
  </si>
  <si>
    <t>RICHFOOD INST PUD FR VAN</t>
  </si>
  <si>
    <t>RICHFOOD INSTANT PUD BANANA</t>
  </si>
  <si>
    <t>RICHFOOD PUD BTRSCTCH 4/3.5</t>
  </si>
  <si>
    <t>RICHFOOD PUDDING  CHOCOLATE</t>
  </si>
  <si>
    <t>RICHFOOD PUDDING BUTTERSCOT</t>
  </si>
  <si>
    <t>RICHFOOD PUDDING CHOC FUDGE</t>
  </si>
  <si>
    <t>RICHFOOD PUDDING CHOC SUG F</t>
  </si>
  <si>
    <t>RICHFOOD PUDDING FF CHOC</t>
  </si>
  <si>
    <t>RICHFOOD PUDDING PISTACHIO</t>
  </si>
  <si>
    <t>RICHFOOD PUDDING VANILLA</t>
  </si>
  <si>
    <t>RICHFOOD PUDDNG VAN 4/3.5OZ</t>
  </si>
  <si>
    <t>RICHFOOD PUDNG CHOC 4/3.5OZ</t>
  </si>
  <si>
    <t>B CROCKER CMP DSRT HT FDG CK</t>
  </si>
  <si>
    <t>B CROCKER WARM DEL CARM CAKE</t>
  </si>
  <si>
    <t>B CROCKER WARM DEL CHOC CAKE</t>
  </si>
  <si>
    <t>3.30 OZ</t>
  </si>
  <si>
    <t>B CROCKER WARM DEL CIN CAKE</t>
  </si>
  <si>
    <t>B CROCKER WARM DEL HF BROWN</t>
  </si>
  <si>
    <t>B CROCKER WARM DEL LMON CAKE</t>
  </si>
  <si>
    <t>B CROCKER WARMDEL PBFUDGEBRW</t>
  </si>
  <si>
    <t>2.90 OZ</t>
  </si>
  <si>
    <t>B CROCKER WR DEL CHOC CH CK</t>
  </si>
  <si>
    <t>JELL-O CHEESECAKE FILLING</t>
  </si>
  <si>
    <t>21.4 OZ</t>
  </si>
  <si>
    <t>JELL-O CHEESECAKE STRAW</t>
  </si>
  <si>
    <t>JELL-O FILLING CHEESECAKE</t>
  </si>
  <si>
    <t>JELL-O MINUTE TAPIOCA</t>
  </si>
  <si>
    <t>KRUSTEAZ KEY LIME BAR MIX</t>
  </si>
  <si>
    <t>19.35 O</t>
  </si>
  <si>
    <t>KRUSTEAZ LEMON BARS</t>
  </si>
  <si>
    <t>BAKG CLSC ALMONDS SLIVERED</t>
  </si>
  <si>
    <t>BAKG CLSC BAKING NUT ALM WHL</t>
  </si>
  <si>
    <t>BAKG CLSC BAKING NUT PCN HLF</t>
  </si>
  <si>
    <t>BAKG CLSC BAKING NUT PCN CHP</t>
  </si>
  <si>
    <t>BAKG CLSC BAKING NUT WAL CHP</t>
  </si>
  <si>
    <t>BAKG CLSC BAKING NUT WLT H/P</t>
  </si>
  <si>
    <t>BAKG CLSC CHOPPED PECANS</t>
  </si>
  <si>
    <t>BAKG CLSC NAT SLCD ALMOND PB</t>
  </si>
  <si>
    <t>BAKG CLSC NUTS PECAN CHIPS</t>
  </si>
  <si>
    <t>BAKG CLSC NUTS PECANS</t>
  </si>
  <si>
    <t>BAKG CLSC PECAN HALVES</t>
  </si>
  <si>
    <t>BAKG CLSC PECAN PIECES</t>
  </si>
  <si>
    <t>BAKG CLSC WALNUT CHIPS</t>
  </si>
  <si>
    <t>BAKG CLSC WALNUT HALVES PCS</t>
  </si>
  <si>
    <t>BAKG CLSC WALNUT PIECES</t>
  </si>
  <si>
    <t>BAKG CLSC WALNUTS CHOPPED</t>
  </si>
  <si>
    <t>BAKG CLSC WHL NAT ALMONDS PB</t>
  </si>
  <si>
    <t>DIAMOND ALMOND WHL NTRL</t>
  </si>
  <si>
    <t>DIAMOND ALMONDS SLICED</t>
  </si>
  <si>
    <t>DIAMOND ALMONDS SLIVER</t>
  </si>
  <si>
    <t>DIAMOND ALMONDS WHOLE</t>
  </si>
  <si>
    <t>DIAMOND CHOPPED WALNUTS</t>
  </si>
  <si>
    <t>DIAMOND PECAN HALVES</t>
  </si>
  <si>
    <t>DIAMOND PECAN HLVES CHPPD</t>
  </si>
  <si>
    <t>DIAMOND PECANS CHOPPED</t>
  </si>
  <si>
    <t>DIAMOND PECANS VIS PAK</t>
  </si>
  <si>
    <t>DIAMOND PEGBRD SLVRD ALMND</t>
  </si>
  <si>
    <t>DIAMOND PGBRD CHPD HAZELNT</t>
  </si>
  <si>
    <t>DIAMOND PGBRD SLICED ALMND</t>
  </si>
  <si>
    <t>DIAMOND PINE NT WHLE SHLLD</t>
  </si>
  <si>
    <t>DIAMOND SLICED ALMONDS</t>
  </si>
  <si>
    <t>DIAMOND SLIVERED ALMONDS</t>
  </si>
  <si>
    <t>DIAMOND WALNUTS BLACK</t>
  </si>
  <si>
    <t>DIAMOND WALNUTS CHOPPED</t>
  </si>
  <si>
    <t>DIAMOND WALNUTS FNLY DICED</t>
  </si>
  <si>
    <t>DIAMOND WALNUTS SHELLED</t>
  </si>
  <si>
    <t>PLANTERS ALMDS SLVRD LDW BG</t>
  </si>
  <si>
    <t>PLANTERS ALMONDS SLCD LDWN</t>
  </si>
  <si>
    <t>PLANTERS ALMONDS SLICED/PB</t>
  </si>
  <si>
    <t>PLANTERS ALMONDS SLIVERED</t>
  </si>
  <si>
    <t>PLANTERS PECAN CHIPS PEG</t>
  </si>
  <si>
    <t>PLANTERS PECAN HALVES</t>
  </si>
  <si>
    <t>PLANTERS PECAN HALVES PEG</t>
  </si>
  <si>
    <t>PLANTERS PECAN PIECES    LD</t>
  </si>
  <si>
    <t>PLANTERS PECANS PIECES/PB</t>
  </si>
  <si>
    <t>PLANTERS WALNUT BLACK PEGS</t>
  </si>
  <si>
    <t>PLANTERS WALNUT HALVES LD</t>
  </si>
  <si>
    <t>PLANTERS WALNUT PIECES</t>
  </si>
  <si>
    <t>PLANTERS WALNUTS</t>
  </si>
  <si>
    <t>PLANTERS WALNUTS PIECES/PB</t>
  </si>
  <si>
    <t>BLUE DIAM ALMONDS, SMOKEHOUS</t>
  </si>
  <si>
    <t>BLUE DMD CINBRWNSUGR ALMND</t>
  </si>
  <si>
    <t>4.38 OZ</t>
  </si>
  <si>
    <t>BLUE DMND 100 CAL PK NAT ALM</t>
  </si>
  <si>
    <t>BLUE DMND ALMOND JALPNO SMKH</t>
  </si>
  <si>
    <t>BLUE DMND ALMOND WASABI SOY</t>
  </si>
  <si>
    <t>BLUE DMND ALMOND, RSTD/SLTD</t>
  </si>
  <si>
    <t>BLUE DMND ALMONDS WHL NATURL</t>
  </si>
  <si>
    <t>BLUE DMND JORDAN ALMONDS</t>
  </si>
  <si>
    <t>BLUE DMND NATURAL NS ALMONDS</t>
  </si>
  <si>
    <t>BLUE DMND SALT &amp; PEPPER ALMD</t>
  </si>
  <si>
    <t>BLUE DMND SALT &amp; VINEGR ALMD</t>
  </si>
  <si>
    <t>BLUE DMND SEA SALT ALMONDS</t>
  </si>
  <si>
    <t>BLUE DMND VAN BEAN ALMONDS</t>
  </si>
  <si>
    <t>DAVIDS BBQ SEEDS</t>
  </si>
  <si>
    <t>DAVIDS JUMBO ORIGINAL</t>
  </si>
  <si>
    <t>DAVIDS KERNEL MULTIPACK</t>
  </si>
  <si>
    <t>DAVIDS ORIG SUNFLWR SEEDS</t>
  </si>
  <si>
    <t>DAVIDS ORIGINAL MULTIPACK</t>
  </si>
  <si>
    <t>DAVIDS PUMPKIN MULTIPACK</t>
  </si>
  <si>
    <t>DAVIDS PUMPKIN SEEDS</t>
  </si>
  <si>
    <t>DAVIDS SNFLWER SEED NACHO</t>
  </si>
  <si>
    <t>DAVIDS SUNFLOWER KERNELS</t>
  </si>
  <si>
    <t>DAVIDS SUNFLWR SEED RANCH</t>
  </si>
  <si>
    <t>EMERALD CASHEW HLV&amp;PCS CAN</t>
  </si>
  <si>
    <t>EMERALD COCA ROAST ALMONDS</t>
  </si>
  <si>
    <t>EMERALD DELUXE MIX NUT CAN</t>
  </si>
  <si>
    <t>EMERALD DRY ROAST PEANUT</t>
  </si>
  <si>
    <t>EMERALD DRY ROASTED WALNUT</t>
  </si>
  <si>
    <t>EMERALD DRY RST ALMOND CAN</t>
  </si>
  <si>
    <t>EMERALD GLAZED WALNUTS</t>
  </si>
  <si>
    <t>EMERALD LS DRY RST PNUT</t>
  </si>
  <si>
    <t>EMERALD OV RST PNUT CHIPOT</t>
  </si>
  <si>
    <t>EMERALD OV RST PNUT WASABI</t>
  </si>
  <si>
    <t>EMERALD PECAN PIE PECANS</t>
  </si>
  <si>
    <t>EMERALD SEASLT-PEP CASHEWS</t>
  </si>
  <si>
    <t>EMERALD SMOKED ALMONDS</t>
  </si>
  <si>
    <t>EMERALD TRAIL MIX BERRY</t>
  </si>
  <si>
    <t>EMERALD TRAIL MIX BR BLEND</t>
  </si>
  <si>
    <t>EMERALD WHOLE CASHEWS CAN</t>
  </si>
  <si>
    <t>MAUNA LOA SALTED MACADAMIAS</t>
  </si>
  <si>
    <t>PLANTERS APPLE CINAMON MIX</t>
  </si>
  <si>
    <t>PLANTERS CASH LOVRS MIX</t>
  </si>
  <si>
    <t>PLANTERS CASHEW HALVES SLTD</t>
  </si>
  <si>
    <t>PLANTERS CASHEW/HLV/LT SALT</t>
  </si>
  <si>
    <t>PLANTERS CHOC LOVERS ALMOND</t>
  </si>
  <si>
    <t>PLANTERS CHOC LOVERS CASHEW</t>
  </si>
  <si>
    <t>PLANTERS CLSC SALTY PEANUTS</t>
  </si>
  <si>
    <t>PLANTERS D/RST ALMONDS</t>
  </si>
  <si>
    <t>PLANTERS DRY ROASTD CASHEWS</t>
  </si>
  <si>
    <t>PLANTERS DRY ROASTD PNT REG</t>
  </si>
  <si>
    <t>PLANTERS FRT &amp; NUT TRAIL MX</t>
  </si>
  <si>
    <t>PLANTERS HRV ALMD ORCHD BLD</t>
  </si>
  <si>
    <t>PLANTERS HRVRST PSTCH GRVBL</t>
  </si>
  <si>
    <t>PLANTERS HRVST RSTD CAL ALM</t>
  </si>
  <si>
    <t>PLANTERS HVST RSTD JMB CSHW</t>
  </si>
  <si>
    <t>PLANTERS LIGHTLY SLTD PNUTS</t>
  </si>
  <si>
    <t>PLANTERS LT SALT DRYRST PNT</t>
  </si>
  <si>
    <t>PLANTERS MACADAMIA LVRS MIX</t>
  </si>
  <si>
    <t>6.85 OZ</t>
  </si>
  <si>
    <t>PLANTERS MACADAMIA NUTS</t>
  </si>
  <si>
    <t>PLANTERS MIX NUTS</t>
  </si>
  <si>
    <t>PLANTERS MIXED NUTS LTE SLT</t>
  </si>
  <si>
    <t>PLANTERS MIXED NUTS SALTD/P</t>
  </si>
  <si>
    <t>PLANTERS NUTRITION MIXD NUT</t>
  </si>
  <si>
    <t>PLANTERS NUTRITN ENERGY MIX</t>
  </si>
  <si>
    <t>PLANTERS NUTRN DIG HLTH MIX</t>
  </si>
  <si>
    <t>PLANTERS NUTS DELUXE MIXED</t>
  </si>
  <si>
    <t>PLANTERS PEANUTS COCKTAIL</t>
  </si>
  <si>
    <t>PLANTERS PEANUTS DRY ROSTD</t>
  </si>
  <si>
    <t>PLANTERS PEANUTS HONY RSTD</t>
  </si>
  <si>
    <t>PLANTERS PEANUTS LITE SALT</t>
  </si>
  <si>
    <t>PLANTERS PEANUTS SPANISH</t>
  </si>
  <si>
    <t>PLANTERS PEANUTS SWT N CRNC</t>
  </si>
  <si>
    <t>PLANTERS PEANUTS, HNY DRY R</t>
  </si>
  <si>
    <t>PLANTERS PECAN LOVRS MIX</t>
  </si>
  <si>
    <t>PLANTERS PISTACHIO LAY DN B</t>
  </si>
  <si>
    <t>PLANTERS PISTACHIO LOVRSMIX</t>
  </si>
  <si>
    <t>PLANTERS SALTED ALMONDS</t>
  </si>
  <si>
    <t>PLANTERS SMOKED ALMONDS</t>
  </si>
  <si>
    <t>PLANTERS SUNFLOWER SEEDS</t>
  </si>
  <si>
    <t>PLANTERS SUNFLOWERNUT DRY</t>
  </si>
  <si>
    <t>PLANTERS TM APPL CIN DY BRK</t>
  </si>
  <si>
    <t>PLANTERS TRAIL MIX NUT/CHOC</t>
  </si>
  <si>
    <t>PLANTERS UNSLT DRY RSTD PNT</t>
  </si>
  <si>
    <t>PLANTERS WHOLE CASHEWS</t>
  </si>
  <si>
    <t>PNT PATCH GREEN BOIL PEANUT</t>
  </si>
  <si>
    <t>RICHFOOD CASHEW HLVES &amp; PCS</t>
  </si>
  <si>
    <t>RICHFOOD CASHEW WHOLE TIN</t>
  </si>
  <si>
    <t>RICHFOOD CSHW HLVS &amp; PCS LS</t>
  </si>
  <si>
    <t>RICHFOOD LT/SLTD MIX NUTS 5</t>
  </si>
  <si>
    <t>RICHFOOD LT/SLTD PEANUTS JA</t>
  </si>
  <si>
    <t>RICHFOOD LT/SLTD WHOLE CASH</t>
  </si>
  <si>
    <t>RICHFOOD MACADAMIA NUTS JAR</t>
  </si>
  <si>
    <t>RICHFOOD MIXED NUTS 50% PNU</t>
  </si>
  <si>
    <t>RICHFOOD MIXED NUTS DELUX T</t>
  </si>
  <si>
    <t>RICHFOOD PARTY PEANUTS</t>
  </si>
  <si>
    <t>RICHFOOD PEANUTS DRY RST GL</t>
  </si>
  <si>
    <t>RICHFOOD PEANUTS HONEY RSTD</t>
  </si>
  <si>
    <t>RICHFOOD UNSLTD PEANUTS DR</t>
  </si>
  <si>
    <t>TRUENORTH ALMOND CLUSTERS</t>
  </si>
  <si>
    <t>TRUENORTH CLUSTER MEDLEY</t>
  </si>
  <si>
    <t>TRUENORTH PEANUT CLUSTERS</t>
  </si>
  <si>
    <t>TRUENORTH PISTACHIO CRISPS</t>
  </si>
  <si>
    <t>DUKES MAYO LT REDUCE</t>
  </si>
  <si>
    <t>DUKES MAYONNAISE</t>
  </si>
  <si>
    <t>18 FZ</t>
  </si>
  <si>
    <t>DUKES MAYONNAISE SQUEEZE</t>
  </si>
  <si>
    <t>DUKES SANDWICH SPREAD</t>
  </si>
  <si>
    <t>FILBERTS MAYONNAISE</t>
  </si>
  <si>
    <t>30 FZ</t>
  </si>
  <si>
    <t>HELLMANNS CANOLA MAYO</t>
  </si>
  <si>
    <t>HELLMANNS LIGHT MAYO</t>
  </si>
  <si>
    <t>9 FZ</t>
  </si>
  <si>
    <t>HELLMANNS LIGHT MAYONNAISE</t>
  </si>
  <si>
    <t>16.5 FZ</t>
  </si>
  <si>
    <t>HELLMANNS LT MAYO EZ OUT</t>
  </si>
  <si>
    <t>HELLMANNS MAYO XV OLIVE OIL</t>
  </si>
  <si>
    <t>HELLMANNS REAL MAYO</t>
  </si>
  <si>
    <t>HELLMANNS REAL MAYO EZ OUT</t>
  </si>
  <si>
    <t>HELLMANNS REAL MAYONAISE</t>
  </si>
  <si>
    <t>HELLMANNS REAL MAYONNAISE</t>
  </si>
  <si>
    <t>HELLMANNS REDUCED FAT</t>
  </si>
  <si>
    <t>HELLMANNS REDUCED FAT MAYO</t>
  </si>
  <si>
    <t>HELLMANS MAYONNAISE</t>
  </si>
  <si>
    <t>KRAFT EZ SQUEEZE MAYO</t>
  </si>
  <si>
    <t>KRAFT FF MAYONNAISE</t>
  </si>
  <si>
    <t>KRAFT LIGHT MAYO PLASTIC</t>
  </si>
  <si>
    <t>KRAFT LT MAYO SQUEEZE</t>
  </si>
  <si>
    <t>KRAFT MAYO LIGHT RED</t>
  </si>
  <si>
    <t>KRAFT MAYO SQUEEZE</t>
  </si>
  <si>
    <t>KRAFT MAYO W OLIVE OIL</t>
  </si>
  <si>
    <t>KRAFT MAYONESA</t>
  </si>
  <si>
    <t>KRAFT MAYONNAISE</t>
  </si>
  <si>
    <t>KRAFT MAYONNAISE FREE</t>
  </si>
  <si>
    <t>KRAFT MRCL WHIP SQZ</t>
  </si>
  <si>
    <t>KRAFT MRCL WHP LT SQZ</t>
  </si>
  <si>
    <t>KRAFT REAL MAYONNAISE</t>
  </si>
  <si>
    <t>KRAFT SANDWICH SPREAD</t>
  </si>
  <si>
    <t>KRAFT SQZ MAYO OLIVE OIL</t>
  </si>
  <si>
    <t>RICHFOOD MAYONNAISE</t>
  </si>
  <si>
    <t>RICHFOOD MAYONNAISE LIGHT</t>
  </si>
  <si>
    <t>RICHFOOD MAYONNAISE SQZE</t>
  </si>
  <si>
    <t>RICHFOOD SANDWICH SPREAD</t>
  </si>
  <si>
    <t>SAUERS MAYONNAISE</t>
  </si>
  <si>
    <t>SHOP VALU MAYONNAISE</t>
  </si>
  <si>
    <t>SMART BAL OMEGA PLUS LT MAYO</t>
  </si>
  <si>
    <t>KRAFT EZ SQZ MIRACLE WHP</t>
  </si>
  <si>
    <t>KRAFT MIRACLE WHIP</t>
  </si>
  <si>
    <t>KRAFT MIRACLE WHIP DRSNG</t>
  </si>
  <si>
    <t>KRAFT MIRACLE WHIP FREE</t>
  </si>
  <si>
    <t>KRAFT MIRACLE WHIP LIGHT</t>
  </si>
  <si>
    <t>KRAFT MIRACLE WHIP LITE</t>
  </si>
  <si>
    <t>KRAFT MIRACLE WHIP SQZ</t>
  </si>
  <si>
    <t>RICHFOOD SALAD DRESSING</t>
  </si>
  <si>
    <t>RICHFOOD SALAD DRESSING SQZ</t>
  </si>
  <si>
    <t>RICHFOOD WHPPD SALAD DRSSNG</t>
  </si>
  <si>
    <t>SHOP VALU DRESSING SALAD</t>
  </si>
  <si>
    <t>GAZEBO RM GREEK SLD DRESS</t>
  </si>
  <si>
    <t>GAZEBO RM LITE GREEK DRES</t>
  </si>
  <si>
    <t>GD SEASON CRUETS (2 ENV)</t>
  </si>
  <si>
    <t>GD SEASON DRESSING ITALIAN</t>
  </si>
  <si>
    <t>GD SEASON DRESSING MX GRLC&amp;H</t>
  </si>
  <si>
    <t>GD SEASON ZESTY ITALIAN DRSG</t>
  </si>
  <si>
    <t>H V RANCH 4 PK DRY RANCH MIX</t>
  </si>
  <si>
    <t>H V RANCH ANCH LT ORIG</t>
  </si>
  <si>
    <t>H V RANCH BTTRMILK RANCH DRS</t>
  </si>
  <si>
    <t>H V RANCH BUTTERMILK RANCH</t>
  </si>
  <si>
    <t>H V RANCH CAESAR</t>
  </si>
  <si>
    <t>H V RANCH CRCKD PPPCRN RNCH</t>
  </si>
  <si>
    <t>H V RANCH DHVR ORIG RAN MIX</t>
  </si>
  <si>
    <t>H V RANCH DIP PARTY/RANCH</t>
  </si>
  <si>
    <t>H V RANCH DIPS PARTY/RANCH</t>
  </si>
  <si>
    <t>H V RANCH DRESSING MILK RNCH</t>
  </si>
  <si>
    <t>H V RANCH DRESSING RANCH</t>
  </si>
  <si>
    <t>H V RANCH DRSNG ORIG RNCH LT</t>
  </si>
  <si>
    <t>H V RANCH DRSS ORIG EZ SQZ</t>
  </si>
  <si>
    <t>H V RANCH DRSSNG ORIG RANCH</t>
  </si>
  <si>
    <t>H V RANCH HVR LIGHT BTRMLK</t>
  </si>
  <si>
    <t>H V RANCH ITALIAN RANCH</t>
  </si>
  <si>
    <t>H V RANCH LG RNCH SNG 6/2.5</t>
  </si>
  <si>
    <t>H V RANCH ORGANIC ORIG RNCH</t>
  </si>
  <si>
    <t>H V RANCH ORIG LT RNC EZ SQZ</t>
  </si>
  <si>
    <t>H V RANCH ORIGINAL RANCH</t>
  </si>
  <si>
    <t>H V RANCH RANCH LIGHT</t>
  </si>
  <si>
    <t>H V RANCH RANCH ORG FF LT</t>
  </si>
  <si>
    <t>H V RANCH RNCH SNGL6/2.5 OZ</t>
  </si>
  <si>
    <t>H V RANCH SPICY ORIG RANCH</t>
  </si>
  <si>
    <t>HVR BHVR GARDEN VEG</t>
  </si>
  <si>
    <t>HVR BHVR SPICY RANCH</t>
  </si>
  <si>
    <t>KENS CAESAR</t>
  </si>
  <si>
    <t>KENS CAESAR DRESSG</t>
  </si>
  <si>
    <t>KENS CHEF RESRV RANCH</t>
  </si>
  <si>
    <t>KENS CREAMY BALSAMIC VI</t>
  </si>
  <si>
    <t>KENS DRES BALSAMIC BASL</t>
  </si>
  <si>
    <t>KENS DRES LITE RASPBRY</t>
  </si>
  <si>
    <t>KENS DRESNG BLSM&amp;BSL VN</t>
  </si>
  <si>
    <t>KENS DRESSING ITAL ROMA</t>
  </si>
  <si>
    <t>KENS DRS SWT VIDALIA ON</t>
  </si>
  <si>
    <t>KENS DRSG LITE CAESAR</t>
  </si>
  <si>
    <t>KENS DRSNG CHNK BL CHSE</t>
  </si>
  <si>
    <t>KENS DRSNG CHNKY BLU CH</t>
  </si>
  <si>
    <t>KENS DRSNG CNTRY FRENCH</t>
  </si>
  <si>
    <t>KENS DRSNG FF RSPBRY PC</t>
  </si>
  <si>
    <t>KENS DRSNG FF SUN DR TM</t>
  </si>
  <si>
    <t>KENS DRSNG ZSTY ITALIAN</t>
  </si>
  <si>
    <t>KENS DRSSNG CNTRY FRNCH</t>
  </si>
  <si>
    <t>KENS HLTHOP RSPWLNT DRS</t>
  </si>
  <si>
    <t>KENS HNY MSTRD SLD DRSN</t>
  </si>
  <si>
    <t>KENS HO CSR VINAIGRETTE</t>
  </si>
  <si>
    <t>KENS HO HONEY DIJON</t>
  </si>
  <si>
    <t>KENS HO HONEY FRENCH</t>
  </si>
  <si>
    <t>KENS HO ITL W/ROM &amp; PEP</t>
  </si>
  <si>
    <t>KENS HO OLV OIL &amp; VINGR</t>
  </si>
  <si>
    <t>KENS ITALIAN DRESSING</t>
  </si>
  <si>
    <t>7 FZ</t>
  </si>
  <si>
    <t>KENS LITE ACCENTS ASIAN</t>
  </si>
  <si>
    <t>KENS LITE ACCNT HNYMUST</t>
  </si>
  <si>
    <t>KENS LITE ACCNT ITALIAN</t>
  </si>
  <si>
    <t>KENS LITE ACCNT RASPBRY</t>
  </si>
  <si>
    <t>KENS LITE CREAMY CAESAR</t>
  </si>
  <si>
    <t>KENS LITE SWEET VIDALIA</t>
  </si>
  <si>
    <t>KENS LT ACCNT BLSM VING</t>
  </si>
  <si>
    <t>KENS LT ASIAN SESAME</t>
  </si>
  <si>
    <t>KENS LT CRMY PARM W/PEP</t>
  </si>
  <si>
    <t>KENS LT ITLN W/BSL&amp;ROMN</t>
  </si>
  <si>
    <t>KENS LT SWT VIDALIA DRS</t>
  </si>
  <si>
    <t>KENS MY CAESAR DRESSING</t>
  </si>
  <si>
    <t>KENS PEPPERCORN RANCH</t>
  </si>
  <si>
    <t>KENS RANCH DRESSING</t>
  </si>
  <si>
    <t>KENS STEAKHOUSE BLUECHS</t>
  </si>
  <si>
    <t>KENS STEAKHOUSE RANCH</t>
  </si>
  <si>
    <t>KENS STEAKHOUSE THOUSAN</t>
  </si>
  <si>
    <t>KENS STEAKHSE HONEY MST</t>
  </si>
  <si>
    <t>KRAFT 3 CHEESE RANCH</t>
  </si>
  <si>
    <t>KRAFT ASIAN SEASAME LT</t>
  </si>
  <si>
    <t>KRAFT CATALINA CHOL-FREE</t>
  </si>
  <si>
    <t>KRAFT CATALINA FRCH DRSG</t>
  </si>
  <si>
    <t>KRAFT CATALINA FREE DRSG</t>
  </si>
  <si>
    <t>KRAFT CATALINA RED/CAL</t>
  </si>
  <si>
    <t>KRAFT CUCUMBER RANCH</t>
  </si>
  <si>
    <t>KRAFT CUCUMBER RNCH DRSG</t>
  </si>
  <si>
    <t>KRAFT DRES GARLIC RANCH</t>
  </si>
  <si>
    <t>KRAFT DRES ROKA BLUE CHZ</t>
  </si>
  <si>
    <t>KRAFT DRESG FF 1000 ISLE</t>
  </si>
  <si>
    <t>KRAFT DRESSING 1000 ISLD</t>
  </si>
  <si>
    <t>KRAFT DRESSING 1000 ISLE</t>
  </si>
  <si>
    <t>KRAFT DRESSING 1000/BCN</t>
  </si>
  <si>
    <t>KRAFT DRESSING CATALINA</t>
  </si>
  <si>
    <t>KRAFT DRESSING COLE SLAW</t>
  </si>
  <si>
    <t>KRAFT DRESSING CRM RANCH</t>
  </si>
  <si>
    <t>KRAFT DRESSING FR RANCH</t>
  </si>
  <si>
    <t>KRAFT DRESSING FRENCH</t>
  </si>
  <si>
    <t>KRAFT DRESSING RANCH</t>
  </si>
  <si>
    <t>KRAFT DRESSING RANCHERS</t>
  </si>
  <si>
    <t>KRAFT DRESSING ROKA</t>
  </si>
  <si>
    <t>KRAFT DRESSNG CLSC CAESR</t>
  </si>
  <si>
    <t>KRAFT DRESSNG ITLN ZESTY</t>
  </si>
  <si>
    <t>KRAFT DRSNG CRMY BTTRMLK</t>
  </si>
  <si>
    <t>KRAFT DRSNG PRPRCRN RNCH</t>
  </si>
  <si>
    <t>KRAFT DRSSG ITALIAN HSE</t>
  </si>
  <si>
    <t>KRAFT EVO CLSC BALSAMC VNGRT</t>
  </si>
  <si>
    <t>KRAFT EVO GRK VINAGRETTE</t>
  </si>
  <si>
    <t>KRAFT EVO ITAL OLV OIL VNGRT</t>
  </si>
  <si>
    <t>KRAFT EVO RD RSPBRY VINGRETT</t>
  </si>
  <si>
    <t>KRAFT EVO SUN DRIED TOMATO</t>
  </si>
  <si>
    <t>KRAFT FREE ZESTY ITALIAN</t>
  </si>
  <si>
    <t>KRAFT FRENCH DRESS FREE</t>
  </si>
  <si>
    <t>KRAFT HNY DIJON VINGRT</t>
  </si>
  <si>
    <t>KRAFT ITALIAN CREAMY</t>
  </si>
  <si>
    <t>KRAFT ITALIAN FREE</t>
  </si>
  <si>
    <t>KRAFT LDR 3 CHS RANCH</t>
  </si>
  <si>
    <t>KRAFT LDR ZESTY ITALIAN</t>
  </si>
  <si>
    <t>KRAFT LIGHT ITALIAN</t>
  </si>
  <si>
    <t>KRAFT LT BALSMC VING</t>
  </si>
  <si>
    <t>KRAFT LT DONE RGT 1000 I</t>
  </si>
  <si>
    <t>KRAFT LT DONE RGT RANCH</t>
  </si>
  <si>
    <t>KRAFT RANCH BACON DRSNG</t>
  </si>
  <si>
    <t>KRAFT RED PEPPER W/PARM</t>
  </si>
  <si>
    <t>KRAFT SC CRMY PPYSEED</t>
  </si>
  <si>
    <t>KRAFT SP CL BALSAMIC VIN</t>
  </si>
  <si>
    <t>KRAFT SP CL SUN DRD TOMA</t>
  </si>
  <si>
    <t>KRAFT TUSCAN HOUSE ITALI</t>
  </si>
  <si>
    <t>KRAFT VIDL ON RST RD PPR</t>
  </si>
  <si>
    <t>KRAFT VNGRT CAESAR PARM</t>
  </si>
  <si>
    <t>KRAFT ZESTY ITAL</t>
  </si>
  <si>
    <t>KRAFT ZESTY ITALIAN DRSG</t>
  </si>
  <si>
    <t>MARZETTI DRESSING SLAW</t>
  </si>
  <si>
    <t>MARZETTI SLAW DRESSING</t>
  </si>
  <si>
    <t>NEWMANS BALSAMIC VINAIGRET</t>
  </si>
  <si>
    <t>NEWMANS DRESSG CRMY CAESAR</t>
  </si>
  <si>
    <t>NEWMANS DRESSIN RED WINE</t>
  </si>
  <si>
    <t>NEWMANS DRSG SLD OIL &amp; VIN</t>
  </si>
  <si>
    <t>NEWMANS FAM ITALN DRES</t>
  </si>
  <si>
    <t>NEWMANS LF SESAME GINGER</t>
  </si>
  <si>
    <t>NEWMANS LIGHT BALSAMIC</t>
  </si>
  <si>
    <t>NEWMANS LIGHT ITALIAN</t>
  </si>
  <si>
    <t>NEWMANS LT CAESAR DRESSING</t>
  </si>
  <si>
    <t>NEWMANS LT HONEY MSTRD DRE</t>
  </si>
  <si>
    <t>NEWMANS LT RASP WALNT DRES</t>
  </si>
  <si>
    <t>NEWMANS SLD DRSG CAESAR</t>
  </si>
  <si>
    <t>RICHFOOD 1000 ISLE DRESSING</t>
  </si>
  <si>
    <t>RICHFOOD DRESSING BLUE CHEE</t>
  </si>
  <si>
    <t>RICHFOOD DRESSING CAESAR</t>
  </si>
  <si>
    <t>RICHFOOD DRESSING ITALIAN</t>
  </si>
  <si>
    <t>RICHFOOD DRESSING RNCH CRMY</t>
  </si>
  <si>
    <t>RICHFOOD DRS SWT &amp; SPCY FRN</t>
  </si>
  <si>
    <t>RICHFOOD FF RASP VINAGRTE D</t>
  </si>
  <si>
    <t>RICHFOOD FRENCH DRESSING</t>
  </si>
  <si>
    <t>RICHFOOD ITAILAN DRESSING</t>
  </si>
  <si>
    <t>RICHFOOD LTE 1000 ISLAND DR</t>
  </si>
  <si>
    <t>RICHFOOD LTE FRENCH DRESSIN</t>
  </si>
  <si>
    <t>RICHFOOD LTE ITALIAN DRESSI</t>
  </si>
  <si>
    <t>RICHFOOD LTE RANCH DRESSING</t>
  </si>
  <si>
    <t>RICHFOOD LTE SWT/SPICY FREN</t>
  </si>
  <si>
    <t>RICHFOOD RANCH DRESSING</t>
  </si>
  <si>
    <t>SOUTH BCH RANCH DRESSING</t>
  </si>
  <si>
    <t>WISHBONE ASIAN SILK SPRITZR</t>
  </si>
  <si>
    <t>WISHBONE BLSM BRZ SLD SPRTZ</t>
  </si>
  <si>
    <t>9.5 FZ</t>
  </si>
  <si>
    <t>WISHBONE BOUNT BERRY DELITE</t>
  </si>
  <si>
    <t>WISHBONE BOUNT HRTY ITALIAN</t>
  </si>
  <si>
    <t>WISHBONE BOUNT TUSCAN ROMNO</t>
  </si>
  <si>
    <t>WISHBONE CAESAR DLGHT SPRTZ</t>
  </si>
  <si>
    <t>WISHBONE DRESSING 1000 ISLE</t>
  </si>
  <si>
    <t>WISHBONE DRESSING BLU CHEES</t>
  </si>
  <si>
    <t>WISHBONE DRESSING BLUE CHS</t>
  </si>
  <si>
    <t>WISHBONE DRESSING CRMY CAES</t>
  </si>
  <si>
    <t>WISHBONE DRESSING FRENCH</t>
  </si>
  <si>
    <t>WISHBONE DRESSING FRNCH/DLX</t>
  </si>
  <si>
    <t>WISHBONE DRESSING ITALIAN</t>
  </si>
  <si>
    <t>WISHBONE DRESSING RANCH</t>
  </si>
  <si>
    <t>WISHBONE DRESSING RUSSIAN</t>
  </si>
  <si>
    <t>WISHBONE DRESSING, ITALIAN</t>
  </si>
  <si>
    <t>WISHBONE DRS CLSSC HSE ITLN</t>
  </si>
  <si>
    <t>WISHBONE DRSG BALS VINGRETT</t>
  </si>
  <si>
    <t>WISHBONE DRSNG RED WINE VNG</t>
  </si>
  <si>
    <t>WISHBONE DRSNG ROBUSTO ITL</t>
  </si>
  <si>
    <t>WISHBONE HONEY MUSTARD</t>
  </si>
  <si>
    <t>WISHBONE ITAL VIN SLD SPTZR</t>
  </si>
  <si>
    <t>WISHBONE ITALIAN BONUS PACK</t>
  </si>
  <si>
    <t>WISHBONE ITALIAN FF DRSSNG</t>
  </si>
  <si>
    <t>WISHBONE J2G ITALIAN</t>
  </si>
  <si>
    <t>WISHBONE J2G ITALIAN FAT-FR</t>
  </si>
  <si>
    <t>WISHBONE JST2GD LT IATLIAN</t>
  </si>
  <si>
    <t>WISHBONE JUST 2 GOOD RANCH</t>
  </si>
  <si>
    <t>WISHBONE LT BLSMC BSL VIN</t>
  </si>
  <si>
    <t>WISHBONE LT RSP WLN VIN DR</t>
  </si>
  <si>
    <t>WISHBONE RANCH BONUS PACK</t>
  </si>
  <si>
    <t>WISHBONE RANCH DRESSING</t>
  </si>
  <si>
    <t>WISHBONE RANCH VINAIGRETTE</t>
  </si>
  <si>
    <t>WISHBONE RED WINE SLD SPRZR</t>
  </si>
  <si>
    <t>WISHBONE REST STYL RSP VING</t>
  </si>
  <si>
    <t>WISHBONE ROBUSTO ITALIAN</t>
  </si>
  <si>
    <t>WISHBONE ROMANO BASIL VINAI</t>
  </si>
  <si>
    <t>WISHBONE VINGARETT BALSAMC#</t>
  </si>
  <si>
    <t>BACO'S BITS</t>
  </si>
  <si>
    <t>BACO'S CHIPS</t>
  </si>
  <si>
    <t>H V SALAD CRISPINS AMER-BAC</t>
  </si>
  <si>
    <t>H V SALAD CRISPINS ITAL PAR</t>
  </si>
  <si>
    <t>HORMEL BACON BITS</t>
  </si>
  <si>
    <t>HORMEL BACON PIECES</t>
  </si>
  <si>
    <t>HORMEL CRUMBLED BCN POUCH</t>
  </si>
  <si>
    <t>MCCORMICK BACON BITS</t>
  </si>
  <si>
    <t>MCCORMICK BACON CHIPS</t>
  </si>
  <si>
    <t>MCCORMICK SALAD TOPPINGS REG</t>
  </si>
  <si>
    <t>MCCORMICK SALAD TOPPINGS/REG</t>
  </si>
  <si>
    <t>MRS CUBB CROUTON CHEESE</t>
  </si>
  <si>
    <t>MRS CUBB CROUTONS LF HERB</t>
  </si>
  <si>
    <t>MRS CUBB CROUTONS SEASONED</t>
  </si>
  <si>
    <t>MRS CUBB CROUTONS, CAESER S</t>
  </si>
  <si>
    <t>NEW YORK TX TST CESAR CROUT</t>
  </si>
  <si>
    <t>NEW YORK TX TST CHS &amp; GAR</t>
  </si>
  <si>
    <t>NEW YORK TX TST GARLC &amp; BUT</t>
  </si>
  <si>
    <t>NEW YORK TX TST SEASONED</t>
  </si>
  <si>
    <t>ROTH FARM SEAS CROUTONS</t>
  </si>
  <si>
    <t>ROTHBURY ASIAN SALAD TOPPER</t>
  </si>
  <si>
    <t>ROTHBURY CHIPOTLE SALAD TOP</t>
  </si>
  <si>
    <t>ROTHBURY CRO SRDOUGH CS/GAR</t>
  </si>
  <si>
    <t>ROTHBURY CROUTONS SEAS ITAL</t>
  </si>
  <si>
    <t>ROTHBURY RANCH SALAD TOPPER</t>
  </si>
  <si>
    <t>SPC CLSSC SPC CLS BACON BITS</t>
  </si>
  <si>
    <t>FRENCHS BLD&amp;SPCY BRWN MSTD</t>
  </si>
  <si>
    <t>FRENCHS HONEY MUSTARD</t>
  </si>
  <si>
    <t>FRENCHS MUSTARD</t>
  </si>
  <si>
    <t>FRENCHS MUSTARD CLSS YELLO</t>
  </si>
  <si>
    <t>FRENCHS MUSTARD CREAM SALD</t>
  </si>
  <si>
    <t>FRENCHS MUSTARD SQUEEZE</t>
  </si>
  <si>
    <t>FRENCHS SQZ YELLOW MUSTARD</t>
  </si>
  <si>
    <t>GRY POUPN CNTRY DIJN MUSTARD</t>
  </si>
  <si>
    <t>GRY POUPN CREAMY DIJON</t>
  </si>
  <si>
    <t>GRY POUPN MUSTARD</t>
  </si>
  <si>
    <t>GRY POUPN MUSTARD CLASC DELI</t>
  </si>
  <si>
    <t>GRY POUPN MUSTARD DIJON SQZ</t>
  </si>
  <si>
    <t>GULDENS MUSTARD</t>
  </si>
  <si>
    <t>GULDENS MUSTARD SPICY/BRWN</t>
  </si>
  <si>
    <t>GULDENS MUSTARD, SPICY BRN</t>
  </si>
  <si>
    <t>HELLMANNS DIJONNAISE</t>
  </si>
  <si>
    <t>HELLMANNS HONEY MUSTARD</t>
  </si>
  <si>
    <t>PLOCHMAN MUSTARD REGULAR</t>
  </si>
  <si>
    <t>PLOCHMANS BONUS SQZ BARREL</t>
  </si>
  <si>
    <t>PLOCHMANS MUSTARD REGULAR</t>
  </si>
  <si>
    <t>RICHFOOD MUSTARD DIJON</t>
  </si>
  <si>
    <t>RICHFOOD MUSTARD HONEY PET</t>
  </si>
  <si>
    <t>RICHFOOD MUSTARD HSRDSH PET</t>
  </si>
  <si>
    <t>RICHFOOD MUSTARD SQUEEZE</t>
  </si>
  <si>
    <t>RICHFOOD PURE MUSTARD</t>
  </si>
  <si>
    <t>RICHFOOD SPICY BRWN MUSTARD</t>
  </si>
  <si>
    <t>RICHFOOD SQUEEZE MUSTARD</t>
  </si>
  <si>
    <t>SAUERS MUSTARD PURE</t>
  </si>
  <si>
    <t>SHOP VALU SQUEEZE MUSTARD</t>
  </si>
  <si>
    <t>DEL MONTE KETCHUP</t>
  </si>
  <si>
    <t>DEL MONTE KETCHUP SQUEEZE</t>
  </si>
  <si>
    <t>115 OZ</t>
  </si>
  <si>
    <t>HANOVER TOMATO KETCHUP</t>
  </si>
  <si>
    <t>HEINZ KETCHUP</t>
  </si>
  <si>
    <t>HEINZ KETCHUP 2 PACK</t>
  </si>
  <si>
    <t>HEINZ KETCHUP EASY SQZ</t>
  </si>
  <si>
    <t>HEINZ KETCHUP HEINZ</t>
  </si>
  <si>
    <t>HEINZ KETCHUP PLASTIC</t>
  </si>
  <si>
    <t>HUNTS KETCHUP</t>
  </si>
  <si>
    <t>HUNTS KETCHUP NO SALT</t>
  </si>
  <si>
    <t>HUNTS KETCHUP SQUEEZE</t>
  </si>
  <si>
    <t>HUNTS PERFECT SQZ KETCHP</t>
  </si>
  <si>
    <t>HUNTS SQZ KETCUP 20OZ</t>
  </si>
  <si>
    <t>RICHFOOD KETCHUP</t>
  </si>
  <si>
    <t>RICHFOOD KETCHUP SQUEEZE</t>
  </si>
  <si>
    <t>SHOP VALU SQUEEZE KETCHUP</t>
  </si>
  <si>
    <t>CROS &amp;BLK CAPERS</t>
  </si>
  <si>
    <t>MT OLIVE SWEET RELISH SQUEZ</t>
  </si>
  <si>
    <t>BULLSEYE SAUCE ORIGINAL BBQ</t>
  </si>
  <si>
    <t>BULLSEYE SWT HKY SMK BBQ</t>
  </si>
  <si>
    <t>CHIC&amp;RIBS BBQ SAUCE</t>
  </si>
  <si>
    <t>FAM DAVES RICH&amp;SASSY BBQ SCE</t>
  </si>
  <si>
    <t>FAM DAVES SWEET/ZESTY BBQ SC</t>
  </si>
  <si>
    <t>FAM DAVES TEXAS PIT BBQ SCE</t>
  </si>
  <si>
    <t>HUNTS BBQ SCE HICKORY</t>
  </si>
  <si>
    <t>HUNTS BBQ SCE HONEY HICK</t>
  </si>
  <si>
    <t>HUNTS BBQ SCE HONEY MUST</t>
  </si>
  <si>
    <t>HUNTS BBQ SCE ORIGINAL</t>
  </si>
  <si>
    <t>HUNTS BBQSC HICK&amp;BWN SUG</t>
  </si>
  <si>
    <t>J DANIELS BBQ SPICY WESTERN</t>
  </si>
  <si>
    <t>J DANIELS HICKORY MESQTE SCE</t>
  </si>
  <si>
    <t>J DANIELS ORG BBQ GRL SCE #7</t>
  </si>
  <si>
    <t>J DANIELS SZZLNG SMKHSE BLND</t>
  </si>
  <si>
    <t>K C MSTPC HICKORY BROWNSUGAR</t>
  </si>
  <si>
    <t>KC MASTER BBQ SWEET TANGY</t>
  </si>
  <si>
    <t>KC MASTER PIECE HONEY SMOKE</t>
  </si>
  <si>
    <t>KC MASTER SAUCE BBQ ORIGINAL</t>
  </si>
  <si>
    <t>KC MASTER SAUCE BBQ/ORIGINAL</t>
  </si>
  <si>
    <t>KRAFT 30 CALORIE BBQ</t>
  </si>
  <si>
    <t>KRAFT BBQ SAUCE HOT</t>
  </si>
  <si>
    <t>76 OZ</t>
  </si>
  <si>
    <t>KRAFT BBQ SAUCE ORIG</t>
  </si>
  <si>
    <t>KRAFT BBQ SCE PLAIN</t>
  </si>
  <si>
    <t>KRAFT HICKORY BBQ SAUCE</t>
  </si>
  <si>
    <t>KRAFT HNY HKRY BBQ</t>
  </si>
  <si>
    <t>KRAFT HNY RST GARL/BBQ</t>
  </si>
  <si>
    <t>KRAFT HONEY BBQ SAUCE</t>
  </si>
  <si>
    <t>KRAFT HONEY MUSTARD BBQ</t>
  </si>
  <si>
    <t>KRAFT REGULAR BBQ SAUCE</t>
  </si>
  <si>
    <t>KRAFT SAUCE BBQ HONEY</t>
  </si>
  <si>
    <t>KRAFT SAUCE BBQ REGULAR</t>
  </si>
  <si>
    <t>KRAFT SAUCE BBQ THIK&amp;SPC</t>
  </si>
  <si>
    <t>KRAFT SAUCE BBQ/CHAR GRL</t>
  </si>
  <si>
    <t>KRAFT SC BBQ THK&amp;SPCY BR</t>
  </si>
  <si>
    <t>KRAFT THICK SPICY/HONEY</t>
  </si>
  <si>
    <t>KRAFT THK&amp;SPC HNY BBQ SC</t>
  </si>
  <si>
    <t>OPEN PIT SAUCE BBQ REGULAR</t>
  </si>
  <si>
    <t>RICHFOOD HICKORY BBQ SCE</t>
  </si>
  <si>
    <t>RICHFOOD HONEY BBQ SAUCE</t>
  </si>
  <si>
    <t>RICHFOOD ORIGINAL BBQ SCE</t>
  </si>
  <si>
    <t>RICHFOOD SAUCE BBQ HICKORY</t>
  </si>
  <si>
    <t>RICHFOOD SAUCE BBQ HONEY</t>
  </si>
  <si>
    <t>RICHFOOD SAUCE BBQ REGULAR</t>
  </si>
  <si>
    <t>SAUERS BBQ SAUCE</t>
  </si>
  <si>
    <t>SAUERS BBQ SAUCE HOT</t>
  </si>
  <si>
    <t>SWT BABY HICKRY W/BRWN SUGR</t>
  </si>
  <si>
    <t>SWT BABY HONEY BBQ SAUCE</t>
  </si>
  <si>
    <t>SWT BABY RAY'S BBQ SAUCE</t>
  </si>
  <si>
    <t>SWT BABY SAUCE BBQ</t>
  </si>
  <si>
    <t>SWT BABY SWT BABY RAY'S HON</t>
  </si>
  <si>
    <t>CHEFMATE JALEPNO CHEESE SCE</t>
  </si>
  <si>
    <t>CROS &amp;BLK SAUCE SEAFOOD</t>
  </si>
  <si>
    <t>CRS &amp; BLK HAM GLAZE</t>
  </si>
  <si>
    <t>CRS &amp; BLK MAJOR GREY CHUTNEY</t>
  </si>
  <si>
    <t>CRYSTAL HOT SAUCE</t>
  </si>
  <si>
    <t>6 FZ</t>
  </si>
  <si>
    <t>CRYSTAL SAUCE PURE HOT</t>
  </si>
  <si>
    <t>CRYSTAL SAUCE, HOT</t>
  </si>
  <si>
    <t>FRANKS HOT BUFALO WING SC</t>
  </si>
  <si>
    <t>FRANKS RDHT SWT HEAT WGSC</t>
  </si>
  <si>
    <t>FRANKS SAUCE HOT</t>
  </si>
  <si>
    <t>FRENCHS WORCSTR SCE REDSOD</t>
  </si>
  <si>
    <t>GLORY FDS HOT SAUCE</t>
  </si>
  <si>
    <t>HEINZ COCKTAIL SAUCE</t>
  </si>
  <si>
    <t>HEINZ ZESTY COCKTL SAUCE</t>
  </si>
  <si>
    <t>KRAFT EZ SQ HORSERADISH</t>
  </si>
  <si>
    <t>KRAFT SCE WORKS SWT'N SO</t>
  </si>
  <si>
    <t>LOUISIANA HOT SAUCE</t>
  </si>
  <si>
    <t>LOUISIANA WILDY WIKED WING S</t>
  </si>
  <si>
    <t>MCILHENNY SAUCE TOBASCO</t>
  </si>
  <si>
    <t>MCILHENNY SAUCE, TOBASCO/PEP</t>
  </si>
  <si>
    <t>MCILHENNY TBASCO CHIPOTLE SC</t>
  </si>
  <si>
    <t>PROGRESSO SAUCE WHITE CLAM</t>
  </si>
  <si>
    <t>RICHFOOD COCKTAIL SAUCE</t>
  </si>
  <si>
    <t>RICHFOOD HOT SAUCE</t>
  </si>
  <si>
    <t>TABASCO SC JALAPENO/TABSCO</t>
  </si>
  <si>
    <t>TEXASPETE HOT SAUCE</t>
  </si>
  <si>
    <t>TEXASPETE HOTTER HOT SAUCE</t>
  </si>
  <si>
    <t>TEXASPETE SAUCE BBQ BUFF WNG</t>
  </si>
  <si>
    <t>TEXASPETE SAUCE HOT</t>
  </si>
  <si>
    <t>TEXASPETE SEAFOOD SAUCE</t>
  </si>
  <si>
    <t>TEXASPETE TP GARLIC HOT SCE</t>
  </si>
  <si>
    <t>A-1 A-1 MARIN STKHOUSE</t>
  </si>
  <si>
    <t>A-1 A-1 MARIN TERIYAKI</t>
  </si>
  <si>
    <t>A-1 A-1 MARINA CHICAGO</t>
  </si>
  <si>
    <t>A-1 A-1 SAUCE MEAT</t>
  </si>
  <si>
    <t>A-1 A-1 SAUCE STK/BOLD</t>
  </si>
  <si>
    <t>A-1 A-1 STEAK SAUCE</t>
  </si>
  <si>
    <t>A-1 MARINADE GRLC/HERB</t>
  </si>
  <si>
    <t>A-1 NY STKHSE MARINADE</t>
  </si>
  <si>
    <t>A-1 STEAK SAUCE</t>
  </si>
  <si>
    <t>CLNRY CRC MARINAD 5 SP TERIY</t>
  </si>
  <si>
    <t>CLNRY CRC MARINAD CUBAN MOJO</t>
  </si>
  <si>
    <t>CLNRY CRC MARINAD GARLIC PEP</t>
  </si>
  <si>
    <t>CLNRY CRC MARINAD JAMAIC JRK</t>
  </si>
  <si>
    <t>CLNRY CRC MARINAD LEM PEPPER</t>
  </si>
  <si>
    <t>CLNRY CRC MARINAD MAYAAN FAJ</t>
  </si>
  <si>
    <t>CLNRY CRC MARINAD RASP CHIPO</t>
  </si>
  <si>
    <t>CLNRY CRC MARINADE IND CURRY</t>
  </si>
  <si>
    <t>CLNRY CRC MARND APPL HNY MUS</t>
  </si>
  <si>
    <t>DUKES TARTAR SAUCE</t>
  </si>
  <si>
    <t>FRENCHS WORCESTERSHIRE SAU</t>
  </si>
  <si>
    <t>FRENCHS WORCESTERSHIRE SCE</t>
  </si>
  <si>
    <t>HEINZ 57 SAUCE</t>
  </si>
  <si>
    <t>HEINZ 57 STEAK SAUCE LP</t>
  </si>
  <si>
    <t>HEINZ SAUCE 57</t>
  </si>
  <si>
    <t>HEINZ SAUCE CHILI</t>
  </si>
  <si>
    <t>HEINZ SAUCE STEAK</t>
  </si>
  <si>
    <t>HEINZ WORCESTERSHIRE SCE</t>
  </si>
  <si>
    <t>HELLMANNS TARTAR SAUCE</t>
  </si>
  <si>
    <t>KC MASTER CARBBEN JRK MARINA</t>
  </si>
  <si>
    <t>KC MASTER GAR/HERB MARINADE</t>
  </si>
  <si>
    <t>KC MASTER HONEY TRYKI MARIND</t>
  </si>
  <si>
    <t>KC MASTER KCM MAR ROAST GARL</t>
  </si>
  <si>
    <t>KC MASTER LEM/PEPPER MARINDE</t>
  </si>
  <si>
    <t>KCM STEAKHSE MARINADE</t>
  </si>
  <si>
    <t>KENS BUFFALO WING SAUCE</t>
  </si>
  <si>
    <t>KENS HNY TRYKI MARINADE</t>
  </si>
  <si>
    <t>KENS HONEY GRLIC MRNADE</t>
  </si>
  <si>
    <t>KENS HRB/GRLC MARINADE</t>
  </si>
  <si>
    <t>KENS SES/GING MARINADE</t>
  </si>
  <si>
    <t>KENS TERIYAKI MARINADE</t>
  </si>
  <si>
    <t>KRAFT TARTAR SCE SQZ BTL</t>
  </si>
  <si>
    <t>LAWRY'S BAJA CHPT MARINADE</t>
  </si>
  <si>
    <t>LAWRY'S ITLN GRLC STK MRND</t>
  </si>
  <si>
    <t>LAWRY'S STK&amp;CHOP MARINADE</t>
  </si>
  <si>
    <t>LAWRYS BUFFALO BBQ</t>
  </si>
  <si>
    <t>LAWRYS DIJON HONEY MARND</t>
  </si>
  <si>
    <t>LAWRYS HRB &amp; GRLC MARINAD</t>
  </si>
  <si>
    <t>LAWRYS LEMON PEPR MARINAD</t>
  </si>
  <si>
    <t>LAWRYS LQ MRNADE HAWAIIN*</t>
  </si>
  <si>
    <t>LAWRYS MARINADE MESQUITE</t>
  </si>
  <si>
    <t>LAWRYS MARINADE SESAME</t>
  </si>
  <si>
    <t>LAWRYS MARNAD CARIB JERK</t>
  </si>
  <si>
    <t>LAWRYS MEXICAN CHILI&amp;LIME</t>
  </si>
  <si>
    <t>LAWRYS SIGNT STKHSE</t>
  </si>
  <si>
    <t>LAWRYS TEQUILA LIME MARND</t>
  </si>
  <si>
    <t>LAWRYS TERIYAKI MARINADE</t>
  </si>
  <si>
    <t>LEA PERRN L&amp;P THICK CLASSIC</t>
  </si>
  <si>
    <t>LEA PERRN SAUCE WORCESTERSHR</t>
  </si>
  <si>
    <t>LEA PERRN WORCESTERSHIRE SCE</t>
  </si>
  <si>
    <t>MRS DASH CHIPOTLE MARINADE</t>
  </si>
  <si>
    <t>MRS DASH GRLC HERB MARINADE</t>
  </si>
  <si>
    <t>MRS DASH LMN PEPPR MARINADE</t>
  </si>
  <si>
    <t>MRS DASH MESQUITE MARINADE</t>
  </si>
  <si>
    <t>RICHFOOD CHILI SAUCE</t>
  </si>
  <si>
    <t>RICHFOOD MEAT SAUCE GOURMET</t>
  </si>
  <si>
    <t>RICHFOOD STEAK SAUCE</t>
  </si>
  <si>
    <t>RICHFOOD TARTER SAUCE SQUEZ</t>
  </si>
  <si>
    <t>RICHFOOD WORCESTERSHIRE SCE</t>
  </si>
  <si>
    <t>WRIGHTS LIQUID SMOKE</t>
  </si>
  <si>
    <t>DEL MONTE B&amp;B SLICES</t>
  </si>
  <si>
    <t>DEL MONTE GARLIC DILL</t>
  </si>
  <si>
    <t>DEL MONTE HOT &amp; SWEET CHIPS</t>
  </si>
  <si>
    <t>DEL MONTE KOSHER BABY</t>
  </si>
  <si>
    <t>DEL MONTE KOSHER SPEARS</t>
  </si>
  <si>
    <t>DEL MONTE ST FA  BREAD &amp; BUT</t>
  </si>
  <si>
    <t>DEL MONTE ZINGER SPEARS</t>
  </si>
  <si>
    <t>MRS FANNG PICKLES BRD/BUTTER</t>
  </si>
  <si>
    <t>MT OLIVE B&amp;B CHIPS W/SPLNDA</t>
  </si>
  <si>
    <t>MT OLIVE BRD &amp; BTR SANDWICH</t>
  </si>
  <si>
    <t>MT OLIVE BRD/BTR STUF NO SU</t>
  </si>
  <si>
    <t>MT OLIVE DILL HAMBRGR STUFF</t>
  </si>
  <si>
    <t>MT OLIVE DILLS ZESTY GARL</t>
  </si>
  <si>
    <t>MT OLIVE GHERKINS NO SUGAR</t>
  </si>
  <si>
    <t>MT OLIVE JMBO BREAD/BUTR ST</t>
  </si>
  <si>
    <t>MT OLIVE JMBO KOSHER DIL ST</t>
  </si>
  <si>
    <t>MT OLIVE KOSHER BABY DILLS</t>
  </si>
  <si>
    <t>MT OLIVE KOSHER DILL CHIPS</t>
  </si>
  <si>
    <t>MT OLIVE KOSHER DILL PETITE</t>
  </si>
  <si>
    <t>MT OLIVE KOSHER DILL STRIPS</t>
  </si>
  <si>
    <t>MT OLIVE KOSHER SNDWCH STFF</t>
  </si>
  <si>
    <t>14.8 FZ</t>
  </si>
  <si>
    <t>MT OLIVE KSHDILL PET 4PKSLV</t>
  </si>
  <si>
    <t>MT OLIVE PETITE KOSHER DILL</t>
  </si>
  <si>
    <t>MT OLIVE PICKLE BRD &amp; BTR S</t>
  </si>
  <si>
    <t>MT OLIVE PICKLE DILL 16/20</t>
  </si>
  <si>
    <t>MT OLIVE PICKLE GENUINE DIL</t>
  </si>
  <si>
    <t>MT OLIVE PICKLE KOSHER DILL</t>
  </si>
  <si>
    <t>MT OLIVE PICKLE MIDGET SWEE</t>
  </si>
  <si>
    <t>MT OLIVE PICKLE SOUR 16/20</t>
  </si>
  <si>
    <t>MT OLIVE PICKLE SWEET WHOLE</t>
  </si>
  <si>
    <t>MT OLIVE PICKLES BRD&amp;BUTTER</t>
  </si>
  <si>
    <t>MT OLIVE PICKLES BRED/BUTTR</t>
  </si>
  <si>
    <t>MT OLIVE PICKLES HAMBRGR CH</t>
  </si>
  <si>
    <t>1 GA</t>
  </si>
  <si>
    <t>MT OLIVE PICKLES KOSHER DIL</t>
  </si>
  <si>
    <t>MT OLIVE PICKLES KOSHR DILL</t>
  </si>
  <si>
    <t>MT OLIVE PICKLES KOSHR STRP</t>
  </si>
  <si>
    <t>MT OLIVE PICKLES SWET GHRKN</t>
  </si>
  <si>
    <t>MT OLIVE SALAD CUBE SWEET</t>
  </si>
  <si>
    <t>MT OLIVE SWEET SALAD CUBES</t>
  </si>
  <si>
    <t>MT OLIVE SWT PETITE 4PK SLV</t>
  </si>
  <si>
    <t>MT OLIVE ZSTY KOSHR SANDSTF</t>
  </si>
  <si>
    <t>RICHFOOD BRD &amp; BTR SNDWC SL</t>
  </si>
  <si>
    <t>RICHFOOD BREAD &amp; BUTTER CHI</t>
  </si>
  <si>
    <t>RICHFOOD GHERKINS SWEET</t>
  </si>
  <si>
    <t>RICHFOOD HAMBUGER CHIPS DIL</t>
  </si>
  <si>
    <t>RICHFOOD HAMBURGER CHIPS</t>
  </si>
  <si>
    <t>RICHFOOD KOSHER DILL</t>
  </si>
  <si>
    <t>RICHFOOD KOSHER FP BABY DIL</t>
  </si>
  <si>
    <t>RICHFOOD KOSHER SPEARS</t>
  </si>
  <si>
    <t>RICHFOOD KSHR DLL FP LNGTH</t>
  </si>
  <si>
    <t>RICHFOOD PICKLES KOSHER DIL</t>
  </si>
  <si>
    <t>RICHFOOD PICKLES KSH SPR DI</t>
  </si>
  <si>
    <t>RICHFOOD PICKLES MIDGETS SW</t>
  </si>
  <si>
    <t>RICHFOOD PICKLES WHOLE DILL</t>
  </si>
  <si>
    <t>RICHFOOD PKL B&amp;B CHIP NO SO</t>
  </si>
  <si>
    <t>RICHFOOD PKL B&amp;B CHIP SPLND</t>
  </si>
  <si>
    <t>RICHFOOD PKL B&amp;B SPR SPLNDA</t>
  </si>
  <si>
    <t>RICHFOOD PKL SWT CUBE SPLEN</t>
  </si>
  <si>
    <t>RICHFOOD RF RS KOSHER DILLS</t>
  </si>
  <si>
    <t>RICHFOOD SALAD CUBES SWEET</t>
  </si>
  <si>
    <t>VLASIC B&amp;B STACKERS</t>
  </si>
  <si>
    <t>VLASIC BABY KOSHER DILL</t>
  </si>
  <si>
    <t>VLASIC BRD &amp; BUTTER SPRS*</t>
  </si>
  <si>
    <t>VLASIC KOSHER DILLSTACKER</t>
  </si>
  <si>
    <t>VLASIC OVALS HAMB DILL CH</t>
  </si>
  <si>
    <t>VLASIC PICKLES DILL SPRS</t>
  </si>
  <si>
    <t>VLASIC PICKLES HAMB&amp;CHIPS</t>
  </si>
  <si>
    <t>VLASIC PICKLES KOSHER DLL</t>
  </si>
  <si>
    <t>VLASIC PICKLES KOSHR DILL</t>
  </si>
  <si>
    <t>VLASIC PICKLES KOSHR/BABY</t>
  </si>
  <si>
    <t>VLASIC PICKLES SWT CHIPS</t>
  </si>
  <si>
    <t>VLASIC PICKLES SWT GHERKN</t>
  </si>
  <si>
    <t>VLASIC PICKLES SWT MIDGTS</t>
  </si>
  <si>
    <t>VLASIC VLASIC NSA SW GHRK</t>
  </si>
  <si>
    <t>VLASIC WHOLE KOSHER DILLS</t>
  </si>
  <si>
    <t>VLASIC WHOLE SWEET PICKLE</t>
  </si>
  <si>
    <t>DEL MONTE SWEET RELISH</t>
  </si>
  <si>
    <t>MT OLIVE PICKLES SWET SLD C</t>
  </si>
  <si>
    <t>MT OLIVE RELISH DILL</t>
  </si>
  <si>
    <t>MT OLIVE RELISH HOT DOG</t>
  </si>
  <si>
    <t>MT OLIVE RELISH SWEET NO SU</t>
  </si>
  <si>
    <t>MT OLIVE RELISH, SWEET</t>
  </si>
  <si>
    <t>MT OLIVE SWEET RELISH</t>
  </si>
  <si>
    <t>RICHFOOD RELISH HOT DOG</t>
  </si>
  <si>
    <t>RICHFOOD RELISH SWEET</t>
  </si>
  <si>
    <t>RICHFOOD RELISH SWEET SQUEZ</t>
  </si>
  <si>
    <t>RICHFOOD RLSH SWT SPLENDA</t>
  </si>
  <si>
    <t>SHOP VALU RELISH SWEET</t>
  </si>
  <si>
    <t>VLASIC RELISH NSA HMSTYLE</t>
  </si>
  <si>
    <t>VLASIC RELISH SWEET</t>
  </si>
  <si>
    <t>VLASIC SQZ DILL RLSH HMST</t>
  </si>
  <si>
    <t>VLASIC SWT HMSTYLE RELISH</t>
  </si>
  <si>
    <t>DUNBAR MARNTD RST RD PPR</t>
  </si>
  <si>
    <t>DUNBAR'S ROASTED PEPPERS</t>
  </si>
  <si>
    <t>MT OLIVE JALAPENO SLICES</t>
  </si>
  <si>
    <t>MT OLIVE PEP MLD BANANA RNG</t>
  </si>
  <si>
    <t>MT OLIVE PEPPER HOT BAN RNG</t>
  </si>
  <si>
    <t>MT OLIVE ROASTED RED PEPPER</t>
  </si>
  <si>
    <t>MT OLIVE S/O MT OLV PEPPERO</t>
  </si>
  <si>
    <t>MT OLIVE SWEET&amp;HOT PEPPERS</t>
  </si>
  <si>
    <t>RICHFOOD PEPPER BAN RNG HOT</t>
  </si>
  <si>
    <t>RICHFOOD PEPPER BAN RNG MLD</t>
  </si>
  <si>
    <t>RICHFOOD PEPPER JALAPENO SL</t>
  </si>
  <si>
    <t>RICHFOOD PEPPER PEPERONCINI</t>
  </si>
  <si>
    <t>LINDSAY BUFET SLIC RP OLIV</t>
  </si>
  <si>
    <t>LINDSAY CHOPPED RIPE OLIVE</t>
  </si>
  <si>
    <t>LINDSAY JMBO PIT RIPE OLIV</t>
  </si>
  <si>
    <t>LINDSAY KALAMATA PTD OLIVE</t>
  </si>
  <si>
    <t>LINDSAY OLIVES LARGE PITTD</t>
  </si>
  <si>
    <t>LINDSAY OLIVES MED/PITTED</t>
  </si>
  <si>
    <t>LINDSAY PURE JALP OLIVES</t>
  </si>
  <si>
    <t>LINDSAY SLCD RIPE OLIVE</t>
  </si>
  <si>
    <t>LINDSAY SLCD S/PIMTO OLIVE</t>
  </si>
  <si>
    <t>LINDSAY SM PITD RIPE OLIVE</t>
  </si>
  <si>
    <t>LINDSAY SML BLK OLIV SNKRS</t>
  </si>
  <si>
    <t>LINDSAY SML GRLC OLIV SNKR</t>
  </si>
  <si>
    <t>LINDSAY SML ITAL OLIV SNKR</t>
  </si>
  <si>
    <t>LINDSAY STFD GRLC OLIVE</t>
  </si>
  <si>
    <t>LINDSAY STFD QUEEN OLIVE</t>
  </si>
  <si>
    <t>LINDSAY STUFFED MANZ OLIVE</t>
  </si>
  <si>
    <t>LINDSAY WHOLE ALMOND OLIVE</t>
  </si>
  <si>
    <t>RICHFOOD CHOPPED RIPE OLIVE</t>
  </si>
  <si>
    <t>RICHFOOD LARGE RIPE OLIVES</t>
  </si>
  <si>
    <t>RICHFOOD OLIVE GREEN QUEEN</t>
  </si>
  <si>
    <t>RICHFOOD OLIVE GRN STF MANZ</t>
  </si>
  <si>
    <t>RICHFOOD OLIVE STF QUEEN TH</t>
  </si>
  <si>
    <t>RICHFOOD OLIVE STF THR MANZ</t>
  </si>
  <si>
    <t>RICHFOOD OLIVE STUF MANZ TH</t>
  </si>
  <si>
    <t>RICHFOOD OLIVES MED PITTED</t>
  </si>
  <si>
    <t>RICHFOOD OLIVES RIPE SLICED</t>
  </si>
  <si>
    <t>RICHFOOD OLIVES SLICED BLAC</t>
  </si>
  <si>
    <t>RICHFOOD OLIVES SM PTD BLAC</t>
  </si>
  <si>
    <t>RICHFOOD OLIVES STF MANZ TH</t>
  </si>
  <si>
    <t>RICHFOOD SALAD OLIVES</t>
  </si>
  <si>
    <t>RICHFOOD STFD MANZ OLIVES</t>
  </si>
  <si>
    <t>RICHFOOD XL RIPE OLIVES</t>
  </si>
  <si>
    <t>DROMEDARY PIMENTOS DICED</t>
  </si>
  <si>
    <t>DROMEDARY PIMENTOS SLICED</t>
  </si>
  <si>
    <t>DROMEDARY SLICED PIMENTOS</t>
  </si>
  <si>
    <t>MUSSELMAN APPLE BUTTER</t>
  </si>
  <si>
    <t>PAMPA$ APRICOT PRESERVES</t>
  </si>
  <si>
    <t>POLANER ALL FRT BLAK CHERY</t>
  </si>
  <si>
    <t>POLANER ALL FRUIT GRAPE</t>
  </si>
  <si>
    <t>POLANER ALL FRUIT PEACH</t>
  </si>
  <si>
    <t>POLANER ALLFRT SDLS RD RSP</t>
  </si>
  <si>
    <t>POLANER PRESERVES BLCKBRY</t>
  </si>
  <si>
    <t>POLANER PRESERVES STRWBRY</t>
  </si>
  <si>
    <t>POLANER REAL MINT JELLY</t>
  </si>
  <si>
    <t>RICHFOOD APPLE BUTTER</t>
  </si>
  <si>
    <t>RICHFOOD APPLE JELLY</t>
  </si>
  <si>
    <t>RICHFOOD BLACKBERRY PRESERV</t>
  </si>
  <si>
    <t>RICHFOOD FRT SPRD STRW SQZ</t>
  </si>
  <si>
    <t>RICHFOOD FUNSTRIPES GRP/PNU</t>
  </si>
  <si>
    <t>RICHFOOD FUNSTRIPES STRW/PN</t>
  </si>
  <si>
    <t>RICHFOOD GRAPE JAM</t>
  </si>
  <si>
    <t>RICHFOOD GRAPE JELLY</t>
  </si>
  <si>
    <t>RICHFOOD GRAPE PRESERVES</t>
  </si>
  <si>
    <t>RICHFOOD JAM STRWBRY SDLS</t>
  </si>
  <si>
    <t>RICHFOOD JELLY CONCORD GRAP</t>
  </si>
  <si>
    <t>RICHFOOD JELLY GRAPE</t>
  </si>
  <si>
    <t>RICHFOOD JELLY GRAPE SQZ</t>
  </si>
  <si>
    <t>RICHFOOD ORANGE MARMALADE</t>
  </si>
  <si>
    <t>RICHFOOD PEACH PRESERVES</t>
  </si>
  <si>
    <t>RICHFOOD PRESERVES GRAPE</t>
  </si>
  <si>
    <t>RICHFOOD STRAWBERRY JELLY</t>
  </si>
  <si>
    <t>RICHFOOD STRAWBERRY PRES</t>
  </si>
  <si>
    <t>RICHFOOD STRAWBERRY PRESERV</t>
  </si>
  <si>
    <t>SHOP VALU JELLY GRAPE</t>
  </si>
  <si>
    <t>SHOP VALU PRESERVES STRAWBRY</t>
  </si>
  <si>
    <t>SIMPLY FR BLACK CHERRY</t>
  </si>
  <si>
    <t>SIMPLY FR BLUEBERRY</t>
  </si>
  <si>
    <t>SIMPLY FR ORANGE MARM</t>
  </si>
  <si>
    <t>SMUCKERS GRAPE JAM</t>
  </si>
  <si>
    <t>SMUCKERS GRAPE JELLY</t>
  </si>
  <si>
    <t>SMUCKERS JAM BLACKBRY SEED</t>
  </si>
  <si>
    <t>SMUCKERS JAM GRAPE</t>
  </si>
  <si>
    <t>SMUCKERS JAM SDLSS BLK/RASP</t>
  </si>
  <si>
    <t>SMUCKERS JAM STRAWBERRY</t>
  </si>
  <si>
    <t>SMUCKERS JAM STRAWBRRY SDLS</t>
  </si>
  <si>
    <t>SMUCKERS JELLY APPLE</t>
  </si>
  <si>
    <t>SMUCKERS JELLY CURRANT</t>
  </si>
  <si>
    <t>SMUCKERS JELLY GRAPE</t>
  </si>
  <si>
    <t>SMUCKERS JELLY STRAWBERRY</t>
  </si>
  <si>
    <t>SMUCKERS MARMALADE ORANGE</t>
  </si>
  <si>
    <t>SMUCKERS ORANG MARMALD PRSV</t>
  </si>
  <si>
    <t>SMUCKERS PINEAPPLE PRESERVE</t>
  </si>
  <si>
    <t>SMUCKERS PRESERVES APRICOT</t>
  </si>
  <si>
    <t>SMUCKERS PRESERVES CHERRY</t>
  </si>
  <si>
    <t>SMUCKERS PRESERVES PEACH</t>
  </si>
  <si>
    <t>SMUCKERS PRESERVES RED RASP</t>
  </si>
  <si>
    <t>SMUCKERS PRESERVES SDLS/STR</t>
  </si>
  <si>
    <t>SMUCKERS PRESERVES STRWBRRY</t>
  </si>
  <si>
    <t>SMUCKERS PRESERVES, STRWBRR</t>
  </si>
  <si>
    <t>SMUCKERS SDLS RED RASP PRSV</t>
  </si>
  <si>
    <t>12.75 O</t>
  </si>
  <si>
    <t>SMUCKERS SF APRICOT PRSERVS</t>
  </si>
  <si>
    <t>SMUCKERS SF BLCKBRY PRESRVS</t>
  </si>
  <si>
    <t>SMUCKERS SF ORNG MARMALADE</t>
  </si>
  <si>
    <t>SMUCKERS SF SPLENDA BLUEBRY</t>
  </si>
  <si>
    <t>SMUCKERS SF STRWBRY PRESRVS</t>
  </si>
  <si>
    <t>SMUCKERS SGR FREE GRAPE JAM</t>
  </si>
  <si>
    <t>SMUCKERS SMPLY FRT APRICOT</t>
  </si>
  <si>
    <t>SMUCKERS SPREAD BLACKBERRY</t>
  </si>
  <si>
    <t>SMUCKERS SPREAD GRAPE LW SG</t>
  </si>
  <si>
    <t>SMUCKERS SPREAD RED RASPBRY</t>
  </si>
  <si>
    <t>SMUCKERS SPREAD STRAWBERRY</t>
  </si>
  <si>
    <t>SMUCKERS SPREAD STRWBRRY LS</t>
  </si>
  <si>
    <t>SMUCKERS SPREAD, RD RSPB/SF</t>
  </si>
  <si>
    <t>SMUCKERS SPREAD, STRAWBERRY</t>
  </si>
  <si>
    <t>SMUCKERS SQZ 20OZ STRW SPRD</t>
  </si>
  <si>
    <t>SMUCKERS SQZE 20OZ GRP JLLY</t>
  </si>
  <si>
    <t>WELCH'S CONCORD GRAPE JAM</t>
  </si>
  <si>
    <t>WELCH'S JAM GRAPE</t>
  </si>
  <si>
    <t>WELCH'S JAM GRAPE SQZ</t>
  </si>
  <si>
    <t>WELCH'S JELLY GRAPE</t>
  </si>
  <si>
    <t>WELCH'S RED SUG GRP JELLY</t>
  </si>
  <si>
    <t>WELCH'S SPREAD STRAW SQZ</t>
  </si>
  <si>
    <t>WELCH'S SPREAD STRAWBERRY</t>
  </si>
  <si>
    <t>WELCH'S STRWBRY SPD REDSGR</t>
  </si>
  <si>
    <t>WHT HOUSE APPLE BUTTER</t>
  </si>
  <si>
    <t>CRZY RICH CRZY RICH PNUT BUT</t>
  </si>
  <si>
    <t>CRZY RICH PNUT BTR CHNKY</t>
  </si>
  <si>
    <t>FERRERO NUTELLA HAZELNUT</t>
  </si>
  <si>
    <t>HERSHEY REESE PNUT BTR CRM</t>
  </si>
  <si>
    <t>JIF CRMY PNT BTR TO GO</t>
  </si>
  <si>
    <t>JIF PBTR RDCE FAT/CRMY</t>
  </si>
  <si>
    <t>JIF PEANT BUTR CRUNCHY</t>
  </si>
  <si>
    <t>JIF PEANUT BTTR CREAMY</t>
  </si>
  <si>
    <t>JIF PEANUT BTTR CRUNCH</t>
  </si>
  <si>
    <t>JIF PNUT BTR CRMY</t>
  </si>
  <si>
    <t>JIF PNUT BTR CRMY SIMP</t>
  </si>
  <si>
    <t>JIF PNUT BTR RDFT CK</t>
  </si>
  <si>
    <t>PETER PAN CREAMY PNT BUTTER</t>
  </si>
  <si>
    <t>PETER PAN CRMY WHIPPD PNTBTR</t>
  </si>
  <si>
    <t>PETER PAN HNYRST CRMY PNTBTR</t>
  </si>
  <si>
    <t>PETER PAN HNYRST CRNCHY PBTR</t>
  </si>
  <si>
    <t>PETER PAN PB CRMY NO SGR ADD</t>
  </si>
  <si>
    <t>PETER PAN PEANT BUTTER CRNCH</t>
  </si>
  <si>
    <t>PETER PAN PEANUT BUTTER CRMY</t>
  </si>
  <si>
    <t>PETER PAN PLUS CREAMY PBTR</t>
  </si>
  <si>
    <t>PETER PAN SMTCHC CRMY PNTBTR</t>
  </si>
  <si>
    <t>RICHFOOD CHUNKY PEANUT BUTT</t>
  </si>
  <si>
    <t>RICHFOOD CREAMY PEANUT BUTT</t>
  </si>
  <si>
    <t>RICHFOOD PEANUT BRT CRUNCHY</t>
  </si>
  <si>
    <t>RICHFOOD RED FAT PNT BTR</t>
  </si>
  <si>
    <t>SHOP VALU CREAMY PEANUT BTTR</t>
  </si>
  <si>
    <t>SKIPPY CHUNKY RED FAT</t>
  </si>
  <si>
    <t>SKIPPY CREAMY PNUT BTR</t>
  </si>
  <si>
    <t>SKIPPY CREAMY RED FAT</t>
  </si>
  <si>
    <t>SKIPPY CREAMY RHN 16.3OZ</t>
  </si>
  <si>
    <t>SKIPPY NTRL CRMY PNTBUTTR</t>
  </si>
  <si>
    <t>SKIPPY PEANUT BTTR CREAMY</t>
  </si>
  <si>
    <t>SKIPPY SKIPPY NAT CREAMY</t>
  </si>
  <si>
    <t>SKIPPY SUPER CHNK PNTBTR</t>
  </si>
  <si>
    <t>SMART BAL CHUNKY NAT PNT BTR</t>
  </si>
  <si>
    <t>SMART BAL CRMY NAT PNUT BUTR</t>
  </si>
  <si>
    <t>SMART BAL NAT SWT CHUNKY PB</t>
  </si>
  <si>
    <t>SMART BAL NAT. SWEET CREAMY</t>
  </si>
  <si>
    <t>SMUCKERS PEANUT BTTR CREAMY</t>
  </si>
  <si>
    <t>SMUCKERS PEANUT BUT RED/FAT</t>
  </si>
  <si>
    <t>SMUCKERS PEANUT BUTTER/JLLY</t>
  </si>
  <si>
    <t>SMUCKERS PNT BTR NAT CHUNKY</t>
  </si>
  <si>
    <t>AUNT SUE HONEY RAW</t>
  </si>
  <si>
    <t>RICHFOOD HONEY</t>
  </si>
  <si>
    <t>RICHFOOD HONEY BEAR</t>
  </si>
  <si>
    <t>RICHFOOD HONEY PLASTIC</t>
  </si>
  <si>
    <t>RICHFOOD HONEY SQUEEZABLE</t>
  </si>
  <si>
    <t>SUE BEE HONEY BEAR SQUEEZE</t>
  </si>
  <si>
    <t>SUE BEE HONEY CLOVER</t>
  </si>
  <si>
    <t>SUE BEE HONEY ORANGE BLOSM</t>
  </si>
  <si>
    <t>HEINZ VINEGAR CIDER</t>
  </si>
  <si>
    <t>HEINZ VINEGAR WHITE</t>
  </si>
  <si>
    <t>POMPEIAN RWV POMEGRANITE</t>
  </si>
  <si>
    <t>POMPEIAN VINEGAR BALSAMIC</t>
  </si>
  <si>
    <t>POMPEIIAN RED WINE VINEGAR</t>
  </si>
  <si>
    <t>REGINA VINEGAR RED WINE</t>
  </si>
  <si>
    <t>REGINA VINEGAR WHT WINE C</t>
  </si>
  <si>
    <t>RICHFOOD CIDER VINEGAR</t>
  </si>
  <si>
    <t>RICHFOOD DIST VINEGAR</t>
  </si>
  <si>
    <t>RICHFOOD RED WINE VINEGAR</t>
  </si>
  <si>
    <t>RICHFOOD VINEGAR CIDER 5%</t>
  </si>
  <si>
    <t>RICHFOOD VINEGAR WHITE 5%</t>
  </si>
  <si>
    <t>RICHFOOD WHITE DIS VINEGAR</t>
  </si>
  <si>
    <t>RICHFOOD WHITE VINEGAR PLST</t>
  </si>
  <si>
    <t>SHOP VALU CIDER VINEGAR</t>
  </si>
  <si>
    <t>SHOP VALU VINEGAR WHITE</t>
  </si>
  <si>
    <t>WHT HOUSE AC VINEGAR GLASS</t>
  </si>
  <si>
    <t>WHT HOUSE VINEGAR CIDER</t>
  </si>
  <si>
    <t>WHT HOUSE VINEGAR CIDER P</t>
  </si>
  <si>
    <t>WHT HOUSE VINEGAR WHITE</t>
  </si>
  <si>
    <t>WHT HOUSE VINEGAR WHITE P</t>
  </si>
  <si>
    <t>WHT HOUSE WD VINEGAR GLASS</t>
  </si>
  <si>
    <t>3.5 LB</t>
  </si>
  <si>
    <t>2.47 OZ</t>
  </si>
  <si>
    <t>4.56 LB</t>
  </si>
  <si>
    <t>ARM &amp; HAM 46LD CLEAN BURST</t>
  </si>
  <si>
    <t>ARM &amp; HAM 46LD FREE</t>
  </si>
  <si>
    <t>7.78 LB</t>
  </si>
  <si>
    <t>ARM &amp; HAM 63LD CLNBRST/BLCH</t>
  </si>
  <si>
    <t>7.94 LB</t>
  </si>
  <si>
    <t>ARM &amp; HAM 80LD CLN BRST</t>
  </si>
  <si>
    <t>37.5 OZ</t>
  </si>
  <si>
    <t>BIZ COLOR SAFE PWDR BL</t>
  </si>
  <si>
    <t>CHEER FREE POWDER 30 USE</t>
  </si>
  <si>
    <t>CHEER REG POWDER 30 USE</t>
  </si>
  <si>
    <t>DREFT POWDER REG 40 USE</t>
  </si>
  <si>
    <t>GAIN 15 USE PWDR</t>
  </si>
  <si>
    <t>63 OZ</t>
  </si>
  <si>
    <t>GAIN GENTLE BRZE PWDR</t>
  </si>
  <si>
    <t>GAIN ISLAND FRESH PWD</t>
  </si>
  <si>
    <t>GAIN POWDER REG</t>
  </si>
  <si>
    <t>IVORY DET POWDER 15 USE</t>
  </si>
  <si>
    <t>56 OZ</t>
  </si>
  <si>
    <t>SHOP VALU DET PWD SPRG 40LD</t>
  </si>
  <si>
    <t>SHOP VALU DET PWD SPW/B 31LD</t>
  </si>
  <si>
    <t>SHOP VALU DTGNT POWDER 150LD</t>
  </si>
  <si>
    <t>SHOP VALU DTGNT PWDR W/BLCH</t>
  </si>
  <si>
    <t>SHOPVALUE DTG PWD SPRG 80 LD</t>
  </si>
  <si>
    <t>SHOPVALUE DTG PWD SPW/B 63LD</t>
  </si>
  <si>
    <t>TIDE CLEAN BREEZE PWD</t>
  </si>
  <si>
    <t>TIDE HE ORIG SCENT</t>
  </si>
  <si>
    <t>141 OZ</t>
  </si>
  <si>
    <t>TIDE MS 80USE PWDR</t>
  </si>
  <si>
    <t>TIDE POWDER FREE 40 USE</t>
  </si>
  <si>
    <t>214 OZ</t>
  </si>
  <si>
    <t>TIDE POWDER WITH BLEACH</t>
  </si>
  <si>
    <t>TIDE PWD MTN SPRNG 40US</t>
  </si>
  <si>
    <t>TIDE PWD W/BLCH 31 USE</t>
  </si>
  <si>
    <t>146 OZ</t>
  </si>
  <si>
    <t>TIDE PWD WTD APL FRSH</t>
  </si>
  <si>
    <t>71 OZ</t>
  </si>
  <si>
    <t>TIDE PWD WTD CLN BRZE</t>
  </si>
  <si>
    <t>TIDE PWDR 15 USE</t>
  </si>
  <si>
    <t>211 OZ</t>
  </si>
  <si>
    <t>TIDE SCENTED POWDER</t>
  </si>
  <si>
    <t>TIDE SCENTED PWDR 40USE</t>
  </si>
  <si>
    <t>TIDE SCNT 80 USE PWDR</t>
  </si>
  <si>
    <t>TIDE TIDE W/BL PD 12USE</t>
  </si>
  <si>
    <t>142 OZ</t>
  </si>
  <si>
    <t>TIDE W/BLEACH 63USE PWD</t>
  </si>
  <si>
    <t>77 OZ</t>
  </si>
  <si>
    <t>TREND DETG W/BLEACH</t>
  </si>
  <si>
    <t>TREND DRY DET W/BLEACH</t>
  </si>
  <si>
    <t>TREND DRY DETERGENT</t>
  </si>
  <si>
    <t>50 FZ</t>
  </si>
  <si>
    <t>7TH GEN LIQ LNDRY CONCE&amp;L</t>
  </si>
  <si>
    <t>7TH GEN LIQLNDRY 2X FR&amp;CLR</t>
  </si>
  <si>
    <t>AJAX ORIGINAL 2X</t>
  </si>
  <si>
    <t>AJAX W/ BLEACH 2X</t>
  </si>
  <si>
    <t>ALL 3X FREE CLEAR</t>
  </si>
  <si>
    <t>100 FZ</t>
  </si>
  <si>
    <t>ALL% 2X FREE &amp; CLEAR</t>
  </si>
  <si>
    <t>ALL% 2X FRESH RAIN</t>
  </si>
  <si>
    <t>ALL% 2X HE BLEACH</t>
  </si>
  <si>
    <t>ALL% 2X STAINLIFTER</t>
  </si>
  <si>
    <t>ALL% 2X SUN ENRG BLEACH</t>
  </si>
  <si>
    <t>ALL% 2X W/BLEACH</t>
  </si>
  <si>
    <t>ALL% S&amp;M HDL FRECLE HE</t>
  </si>
  <si>
    <t>ALL% SECRET GARDEN 2X</t>
  </si>
  <si>
    <t>ALL% SML &amp; MGHTY STNLFT</t>
  </si>
  <si>
    <t>ARM &amp; HAM 2X CLN BRST W/BLCH</t>
  </si>
  <si>
    <t>68.75 O</t>
  </si>
  <si>
    <t>ARM &amp; HAM 2X ESSEN FREE SENS</t>
  </si>
  <si>
    <t>80 FZ</t>
  </si>
  <si>
    <t>ARM &amp; HAM CLEAN BURST</t>
  </si>
  <si>
    <t>ARM &amp; HAM CLEAN MOUNTAIN</t>
  </si>
  <si>
    <t>ARM &amp; HAM CLN BURST 2X CONC</t>
  </si>
  <si>
    <t>ARM &amp; HAM CLN BURST W BLEACH</t>
  </si>
  <si>
    <t>ARM &amp; HAM DYE FREE CONC</t>
  </si>
  <si>
    <t>ARM &amp; HAM ESSENTIALS FREE</t>
  </si>
  <si>
    <t>ARM &amp; HAM ESSENTIALS MT RAIN</t>
  </si>
  <si>
    <t>ARM &amp; HAM ORCHARD BLOOM</t>
  </si>
  <si>
    <t>ARM &amp; HAM OXI CLEAN FRSH SCT</t>
  </si>
  <si>
    <t>ARMHAMMER CLEAN BURST</t>
  </si>
  <si>
    <t>ARMHAMMER CLNBURST W BLEACH</t>
  </si>
  <si>
    <t>40 FZ</t>
  </si>
  <si>
    <t>CHEER 2X LQ FREE &amp; GNTLE</t>
  </si>
  <si>
    <t>CHEER 2X LQ FRSH LINEN</t>
  </si>
  <si>
    <t>CHEER 2X LQ HE FREE&amp;GNTL</t>
  </si>
  <si>
    <t>CHEER 2X LQ ORIG 25 LOAD</t>
  </si>
  <si>
    <t>CHEER 2X LQ ORIG 64 LDS</t>
  </si>
  <si>
    <t>CHEER LQ 2X HE REGULAR</t>
  </si>
  <si>
    <t>DREFT LIQ 2X REG 32LDS</t>
  </si>
  <si>
    <t>DREFT LQ 2X HE</t>
  </si>
  <si>
    <t>DYNAMO 2XLQ DET WTRFL BLU</t>
  </si>
  <si>
    <t>DYNAMO SUNRS FRSH GRN 2X</t>
  </si>
  <si>
    <t>ERA 2X LIQ MAX W/ BLCH</t>
  </si>
  <si>
    <t>ERA 2X LIQ REG 32 LDS</t>
  </si>
  <si>
    <t>ERA 2X LIQ REG 64 LDS</t>
  </si>
  <si>
    <t>GAIN 2X LQ FRESH AWAKEN</t>
  </si>
  <si>
    <t>GAIN 2X LQ FRSH AWKN</t>
  </si>
  <si>
    <t>GAIN 2X LQ ISLAND FRESH</t>
  </si>
  <si>
    <t>GAIN 2X LQ ISLAND FRSH</t>
  </si>
  <si>
    <t>GAIN 2X LQ JE AMT 24LDS</t>
  </si>
  <si>
    <t>GAIN 2X LQ JE AMT 48LDS</t>
  </si>
  <si>
    <t>GAIN 2X LQ JE SS LAVEND</t>
  </si>
  <si>
    <t>GAIN 2X LQ JE TSF 24LDS</t>
  </si>
  <si>
    <t>GAIN 2X LQ ODR SUN W/BL</t>
  </si>
  <si>
    <t>GAIN 2X LQ ORIG FRESH</t>
  </si>
  <si>
    <t>GAIN 2X LQ OTDR SN W BL</t>
  </si>
  <si>
    <t>GAIN 2XLQ JE SS LAVEND</t>
  </si>
  <si>
    <t>GAIN LQ 2X HE REGULAR</t>
  </si>
  <si>
    <t>100 OZ</t>
  </si>
  <si>
    <t>GAIN LQ HE APPLE MANGO</t>
  </si>
  <si>
    <t>GAIN WBAKING SODA FWS</t>
  </si>
  <si>
    <t>HOMELIFE 2X DET LQ BABY</t>
  </si>
  <si>
    <t>HOMELIFE DT2X LQ ORG BL 84L</t>
  </si>
  <si>
    <t>HOMELIFE DTG 2X LIQHT 64LDS</t>
  </si>
  <si>
    <t>HOMELIFE DTG2X LQ ORG 102LD</t>
  </si>
  <si>
    <t>HOMELIFE DTG2XLIQ FREE64LDS</t>
  </si>
  <si>
    <t>HOMELIFE DTG2XLIQ ORG 64LDS</t>
  </si>
  <si>
    <t>HOMELIFE DTG2XLIQMTN 64 LDS</t>
  </si>
  <si>
    <t>HOMELIFE DTG2XLIQORG W/BLCH</t>
  </si>
  <si>
    <t>HOMELIFE FABRIC WASH</t>
  </si>
  <si>
    <t>HOMELIFE% 2X DET LQ BLEACH</t>
  </si>
  <si>
    <t>HOMELIFE% 2X DET LQ FREE</t>
  </si>
  <si>
    <t>HOMELIFE% 2X DET LQ HE</t>
  </si>
  <si>
    <t>HOMELIFE% 2X DET LQ MTN</t>
  </si>
  <si>
    <t>HOMELIFE% 2X DET LQ ORIGINAL</t>
  </si>
  <si>
    <t>IVORY SNOW LIQ 2X 16LDS</t>
  </si>
  <si>
    <t>PUREX 2X% 2X MOUNTN BRZE DET</t>
  </si>
  <si>
    <t>PUREX 2X% 2X ORG FRSC W/BLCH</t>
  </si>
  <si>
    <t>PUREX 2X% UCL ORG SCENT</t>
  </si>
  <si>
    <t>PUREX 2X% UCL PLUS RENUZIT</t>
  </si>
  <si>
    <t>PUREX% 2X CONC FRESH SCEN</t>
  </si>
  <si>
    <t>PUREX% 2X CONC MTN BZ BLC</t>
  </si>
  <si>
    <t>PUREX% 2X ULT DET HE RAIN</t>
  </si>
  <si>
    <t>175 FZ</t>
  </si>
  <si>
    <t>SHOP VALU DET LIQ CLN W/BLCH</t>
  </si>
  <si>
    <t>SHOP VALU DGT LIQ CLN FRSH</t>
  </si>
  <si>
    <t>55 FZ</t>
  </si>
  <si>
    <t>SHOP VALU DTG LNDRY LQ MTNFR</t>
  </si>
  <si>
    <t>78 FZ</t>
  </si>
  <si>
    <t>SHOP VALU DTG LNDRY LQD SPNG</t>
  </si>
  <si>
    <t>SHOP VALU DTG LQD SPG W/BLCH</t>
  </si>
  <si>
    <t>SHOP VALU DTG LQD TROP BREEZ</t>
  </si>
  <si>
    <t>TIDE 2X LQ FREE 32LDS</t>
  </si>
  <si>
    <t>TIDE 2X LQ FREE 64LDS</t>
  </si>
  <si>
    <t>TIDE 2X LQ OS WBL 26LDS</t>
  </si>
  <si>
    <t>TIDE 2X LQ PUR ES WL&amp;BS</t>
  </si>
  <si>
    <t>TIDE 2X LQ SP V&amp;L 25LDS</t>
  </si>
  <si>
    <t>TIDE 2XLQ AF W/DNY 19LD</t>
  </si>
  <si>
    <t>TIDE 2XLQ AF W/DNY 48LD</t>
  </si>
  <si>
    <t>150 FZ</t>
  </si>
  <si>
    <t>TIDE 2XLQ AF W/DNY 72LD</t>
  </si>
  <si>
    <t>TIDE 2XLQ AF WDWNY 24LD</t>
  </si>
  <si>
    <t>TIDE 2XLQ CB W/DNY 24LD</t>
  </si>
  <si>
    <t>TIDE 2XLQ CB W/DNY 72LD</t>
  </si>
  <si>
    <t>TIDE 2XLQ CB WDNY 48LDS</t>
  </si>
  <si>
    <t>TIDE 2XLQ CLBRZ WBL 26L</t>
  </si>
  <si>
    <t>TIDE 2XLQ CLDWTR FS 26L</t>
  </si>
  <si>
    <t>TIDE 2XLQ CLN BRZ 32LDS</t>
  </si>
  <si>
    <t>TIDE 2XLQ HE ORIG 32 LD</t>
  </si>
  <si>
    <t>TIDE 2XLQ M&amp;R W/FBZ 26L</t>
  </si>
  <si>
    <t>TIDE 2XLQ M&amp;R W/FBZ 52L</t>
  </si>
  <si>
    <t>TIDE 2XLQ MTN SPRG 32LD</t>
  </si>
  <si>
    <t>TIDE 2XLQ MTN SPRG 64LD</t>
  </si>
  <si>
    <t>TIDE 2XLQ MTSPR WBL 26L</t>
  </si>
  <si>
    <t>TIDE 2XLQ OR SCNT 32LDS</t>
  </si>
  <si>
    <t>TIDE 2XLQ OR SCNT 64LDS</t>
  </si>
  <si>
    <t>TIDE 2XLQ OR SCNT 96LDS</t>
  </si>
  <si>
    <t>TIDE 2XLQ ORG BLCH 52LD</t>
  </si>
  <si>
    <t>TIDE 2XLQ OS WBL 78LDS</t>
  </si>
  <si>
    <t>TIDE 2XLQ S&amp;R W/FBZ</t>
  </si>
  <si>
    <t>TIDE 2XLQ S&amp;R W/FBZ 26L</t>
  </si>
  <si>
    <t>TIDE 2XLQ S&amp;R W/FBZ 78L</t>
  </si>
  <si>
    <t>TIDE 2XLQ W/DAWN ORIG</t>
  </si>
  <si>
    <t>TIDE HE WTD APR FRESH</t>
  </si>
  <si>
    <t>TIDE LQ 2X HE CLN BRZ</t>
  </si>
  <si>
    <t>TIDE LQ 2X ORIG 16 LD</t>
  </si>
  <si>
    <t>TIDE LQ CB 2X COMPACT</t>
  </si>
  <si>
    <t>TIDE LQ CB WB 2X COMPAC</t>
  </si>
  <si>
    <t>TIDE LQ HE 2X COMPACT</t>
  </si>
  <si>
    <t>TIDE LQ HE FREE 2X</t>
  </si>
  <si>
    <t>TIDE LQ HE W/BL ALT 2X</t>
  </si>
  <si>
    <t>TIDE LQ TOT CARE CL CTN</t>
  </si>
  <si>
    <t>TIDE LQ WX WBLCH ORIG</t>
  </si>
  <si>
    <t>TIDE TC COOL COTTON</t>
  </si>
  <si>
    <t>TIDE TC HE REN RAIN</t>
  </si>
  <si>
    <t>TIDE TC REN RAIN</t>
  </si>
  <si>
    <t>TIDE TC RENEWING RAIN</t>
  </si>
  <si>
    <t>TIDE TC RENW RAIN</t>
  </si>
  <si>
    <t>75 FZ</t>
  </si>
  <si>
    <t>TIDE TC2X VANILLA &amp; LAV</t>
  </si>
  <si>
    <t>TIDE% 2XLQ AF DWNY 36LDS</t>
  </si>
  <si>
    <t>TIDE% 2XLQ CLDWTR FS 39L</t>
  </si>
  <si>
    <t>TIDE% 2XLQ S&amp;R W/FBZ 39L</t>
  </si>
  <si>
    <t>TIDE% LQ WDAWN WWC 39L</t>
  </si>
  <si>
    <t>TIDE% TOTCARE RNWRN 30L</t>
  </si>
  <si>
    <t>WISK 2X BASE</t>
  </si>
  <si>
    <t>WISK 2X W/BLEACH</t>
  </si>
  <si>
    <t>WISK% 2X BASE</t>
  </si>
  <si>
    <t>WISK% 2X HE</t>
  </si>
  <si>
    <t>WISK% 2X W/BLEACH</t>
  </si>
  <si>
    <t>WOOLITE DARK LAUNDRY</t>
  </si>
  <si>
    <t>WOOLITE HIGH EFFICIENCY</t>
  </si>
  <si>
    <t>WOOLITE LIQ WASH ORIGINAL</t>
  </si>
  <si>
    <t>WOOLITE ORIGINAL SCENT</t>
  </si>
  <si>
    <t>XTRA APPLE CITRUS</t>
  </si>
  <si>
    <t>XTRA COTTON BREEZE</t>
  </si>
  <si>
    <t>XTRA FRESH W BLEACH</t>
  </si>
  <si>
    <t>XTRA MOUNTAIN LAVENDAR</t>
  </si>
  <si>
    <t>XTRA MOUNTAIN LAVENDER</t>
  </si>
  <si>
    <t>XTRA MOUNTAIN RAIN</t>
  </si>
  <si>
    <t>XTRA MTN RAIN 150Z</t>
  </si>
  <si>
    <t>XTRA SCNT SPRNGSUNSHINE</t>
  </si>
  <si>
    <t>XTRA SPRING SUNSHINE</t>
  </si>
  <si>
    <t>XTRA TROPICAL PASSION</t>
  </si>
  <si>
    <t>7TH GEN DISH LIQ LAV&amp;MINT</t>
  </si>
  <si>
    <t>7TH GEN DISH LIQUID,FREE&amp;C</t>
  </si>
  <si>
    <t>7TH GEN DISH POWDER, AUTO</t>
  </si>
  <si>
    <t>AJAX AB ORANGE DISH</t>
  </si>
  <si>
    <t>AJAX LEMON DISH</t>
  </si>
  <si>
    <t>AJAX ORANGE DISH</t>
  </si>
  <si>
    <t>DAWN AB APPLE BLOSSOM</t>
  </si>
  <si>
    <t>10.30 F</t>
  </si>
  <si>
    <t>DAWN AB OR</t>
  </si>
  <si>
    <t>10.1 FZ</t>
  </si>
  <si>
    <t>DAWN BLEACH ALTN DIR FM</t>
  </si>
  <si>
    <t>DAWN FRESH RAPIDS</t>
  </si>
  <si>
    <t>DAWN LIME SURGE</t>
  </si>
  <si>
    <t>DAWN ORIGINAL</t>
  </si>
  <si>
    <t>38 FZ</t>
  </si>
  <si>
    <t>12.8 FZ</t>
  </si>
  <si>
    <t>DAWN PWR DISSOLVER TRIG</t>
  </si>
  <si>
    <t>DAWN% AB APPLE BLOSSOM</t>
  </si>
  <si>
    <t>DAWN% ANTIBAC ORANGE</t>
  </si>
  <si>
    <t>19 FZ</t>
  </si>
  <si>
    <t>DAWN% BL ALT PLS FR RPDS</t>
  </si>
  <si>
    <t>DAWN% BL ALT PLS MTNSPRG</t>
  </si>
  <si>
    <t>DAWN% BL ALT PLUS LEMON</t>
  </si>
  <si>
    <t>DAWN% ORIGINAL</t>
  </si>
  <si>
    <t>DAWN% PLS AB APL BLM PWR</t>
  </si>
  <si>
    <t>DAWN% PLS AB ORANG W PS</t>
  </si>
  <si>
    <t>DAWN% PLUS HC ALOE VERA</t>
  </si>
  <si>
    <t>DAWN% PLUS HC LAVENDER</t>
  </si>
  <si>
    <t>DAWN% PLUS OE LIME</t>
  </si>
  <si>
    <t>DAWN% PLUS ORIG W PWR SC</t>
  </si>
  <si>
    <t>DAWN% SPARKLING MIST</t>
  </si>
  <si>
    <t>DAWN% ULTRA PLUS OXI</t>
  </si>
  <si>
    <t>GREENWORK NAT DW LQ ORIGINAL</t>
  </si>
  <si>
    <t>GREENWORK NTRL DW LIQ FRECLR</t>
  </si>
  <si>
    <t>GREENWORK NTRL DW LIQ SPL LM</t>
  </si>
  <si>
    <t>GREENWORK NTRL DW LIQ SPLYTG</t>
  </si>
  <si>
    <t>GREENWORK NTRL DW LIQ WTRLIL</t>
  </si>
  <si>
    <t>HOMELIFE% DETG DISH LAVENDAR</t>
  </si>
  <si>
    <t>HOMELIFE% DTG DISH GRN APPLE</t>
  </si>
  <si>
    <t>HOMELIFE% DTG DISH LEMON</t>
  </si>
  <si>
    <t>HOMELIFE% DTG DISH ORG ANTBC</t>
  </si>
  <si>
    <t>HOMELIFE% DTG MTN STRM W/BLC</t>
  </si>
  <si>
    <t>HOMELIFE&amp; DTG DISH BLUE ULTR</t>
  </si>
  <si>
    <t>IVORY GENTLE LAVENDER</t>
  </si>
  <si>
    <t>IVORY LQ DISH ORIGINAL</t>
  </si>
  <si>
    <t>IVORY ORIGINAL</t>
  </si>
  <si>
    <t>JOY CITRUS BLCH ALT</t>
  </si>
  <si>
    <t>JOY CP MND ORG SPLS AB</t>
  </si>
  <si>
    <t>JOY CP RFSH LEMON TWST</t>
  </si>
  <si>
    <t>JOY LEMON LIME ODOR ER</t>
  </si>
  <si>
    <t>JOY LEMON TWIST</t>
  </si>
  <si>
    <t>JOY ORANGE ANTIBACT</t>
  </si>
  <si>
    <t>JOY RFSH LEMON TWIST</t>
  </si>
  <si>
    <t>METHOD GO NAKED DISH SOAP</t>
  </si>
  <si>
    <t>OCTAGON CRYSTL WHT LIQ LMN</t>
  </si>
  <si>
    <t>PALMOLIV% PC SPRNG FRESH</t>
  </si>
  <si>
    <t>PALMOLIV% PURE CLR SPRKL FRS</t>
  </si>
  <si>
    <t>PALMOLIV% ULTRA DSH LMN/LIME</t>
  </si>
  <si>
    <t>PALMOLIVE ULTRA DISH ANTIBAC</t>
  </si>
  <si>
    <t>PALMOLIVE ULTRA DISH ORIGINL</t>
  </si>
  <si>
    <t>PALMOLVE% DISH LQ GRN APPLE</t>
  </si>
  <si>
    <t>PALMOLVE% DSH LQ OXY-PLS MAR</t>
  </si>
  <si>
    <t>PALMOLVE% DSH LQ OXY-PLS ALP</t>
  </si>
  <si>
    <t>PALMOLVE% L DISH AROM ANTI S</t>
  </si>
  <si>
    <t>PALMOLVE% ULTRA DISH ORIGINL</t>
  </si>
  <si>
    <t>PALMOLVE% ULTRA DISH ORNG AB</t>
  </si>
  <si>
    <t>SHOP VALU DETRGNT DISH CLEAN</t>
  </si>
  <si>
    <t>SHOP VALU DISH DTG ORG A/BAC</t>
  </si>
  <si>
    <t>SHOP VALU DTRGNT DISH APPLE</t>
  </si>
  <si>
    <t>SUNLIGHT DISH LIQ GREEN APP</t>
  </si>
  <si>
    <t>SUNSATN$ LIQ DISH DET-APPLE</t>
  </si>
  <si>
    <t>8.45 FZ</t>
  </si>
  <si>
    <t>45 FZ</t>
  </si>
  <si>
    <t>AXE DETAIL SHOWER TOOL</t>
  </si>
  <si>
    <t>AXE DRK TEMP SHOWR GEL</t>
  </si>
  <si>
    <t>AXE FEVER SG</t>
  </si>
  <si>
    <t>AXE KILO SHWR GEL</t>
  </si>
  <si>
    <t>AXE PHOENIX SHWR GEL</t>
  </si>
  <si>
    <t>AXE SHOCK SHOWER GEL</t>
  </si>
  <si>
    <t>AXE SHWR GEL HYDRATING</t>
  </si>
  <si>
    <t>AXE TOUCH SHWR GEL</t>
  </si>
  <si>
    <t>CARESS BRAZILLIAN EXOTIC</t>
  </si>
  <si>
    <t>CARESS EVENLY GORGEOUS BW</t>
  </si>
  <si>
    <t>CARESS TAHITIAN RENEWAL</t>
  </si>
  <si>
    <t>DIAL 3D MENS BODY WASH</t>
  </si>
  <si>
    <t>7.5 FZ</t>
  </si>
  <si>
    <t>DIAL COMP KITCHEN FOAM</t>
  </si>
  <si>
    <t>DIAL COMPLETE ORIGINAL</t>
  </si>
  <si>
    <t>DIAL DIAL POUCH REFILL</t>
  </si>
  <si>
    <t>DIAL DLY CR EXFOL BDYWH</t>
  </si>
  <si>
    <t>DIAL GOLD VALUE SZ PUMP</t>
  </si>
  <si>
    <t>DIAL LIQ RFL GOLD VALUE</t>
  </si>
  <si>
    <t>DIAL PEAR FOAM HAND WSH</t>
  </si>
  <si>
    <t>DIAL YOGRT VANILA HONEY</t>
  </si>
  <si>
    <t>DIAL YOGURT ALOEVERA BW</t>
  </si>
  <si>
    <t>DIAL% ANTIOXIDANT BDYWSH</t>
  </si>
  <si>
    <t>DIAL% DFM HAIR &amp; BODY</t>
  </si>
  <si>
    <t>DIAL% MX DECOR PUMP</t>
  </si>
  <si>
    <t>DIAL% SPRINGWATER BDYWSH</t>
  </si>
  <si>
    <t>DIAL% VIT E MOIST PUMP</t>
  </si>
  <si>
    <t>DOVE BURST BODY WASH</t>
  </si>
  <si>
    <t>DOVE CREAMY BODY WASH</t>
  </si>
  <si>
    <t>19.4 FZ</t>
  </si>
  <si>
    <t>DOVE ELEGANT LUXURY BW</t>
  </si>
  <si>
    <t>DOVE% BDY WSH ENERGYGLOW</t>
  </si>
  <si>
    <t>DOVE% BODY WASH MOISTURE</t>
  </si>
  <si>
    <t>DOVE% COOL MOISTURE BW</t>
  </si>
  <si>
    <t>DOVE% DEEP MOISTURE BW</t>
  </si>
  <si>
    <t>DOVE% REFRESH BW</t>
  </si>
  <si>
    <t>DOVE% SENSITIVE BDYWSH</t>
  </si>
  <si>
    <t>GILLETTE FACE+BW OIL CONTRL</t>
  </si>
  <si>
    <t>GILLETTE HYDRAT+BW DRY SKIN</t>
  </si>
  <si>
    <t>GILLETTE SH+BW GENTLE CLEAN</t>
  </si>
  <si>
    <t>IRISH SPR BDYWSH MOIST BLAST</t>
  </si>
  <si>
    <t>IRISH SPR BODYWASH ORIGINAL</t>
  </si>
  <si>
    <t>IRISH SPR HAIR AND BODY WASH</t>
  </si>
  <si>
    <t>IVORY ALOE BODYWASH</t>
  </si>
  <si>
    <t>IVORY CLEAR LIQ REFILL</t>
  </si>
  <si>
    <t>IVORY CLEAR LIQUID</t>
  </si>
  <si>
    <t>IVORY FRSH SNOW BDYWSH</t>
  </si>
  <si>
    <t>IVORY LAVENDER 3DAY WASH</t>
  </si>
  <si>
    <t>IVORY LIQ CLEAR RFL</t>
  </si>
  <si>
    <t>IVORY SIMPLY ALOE BDYWSH</t>
  </si>
  <si>
    <t>IVORY SIMPLY BDYWSH</t>
  </si>
  <si>
    <t>IVORY SIMPLY LAVENDER BW</t>
  </si>
  <si>
    <t>METHOD CREAMY HANDWASH AL</t>
  </si>
  <si>
    <t>METHOD CREAMY HANDWASH WH</t>
  </si>
  <si>
    <t>METHOD FOAM HAND SOAP-SEA</t>
  </si>
  <si>
    <t>METHOD FOAM HAND WASH SWE</t>
  </si>
  <si>
    <t>METHOD FOAM HANDWASH GREE</t>
  </si>
  <si>
    <t>METHOD GO NAKED HAND WASH</t>
  </si>
  <si>
    <t>METHOD HAND WASH GREEN TE</t>
  </si>
  <si>
    <t>METHOD HAND WASH SEA MINE</t>
  </si>
  <si>
    <t>METHOD HAND WASH-LAVENDER</t>
  </si>
  <si>
    <t>METHOD HAND WASH-SWEETWAT</t>
  </si>
  <si>
    <t>OIL OLAY EXTRA DRY W/SHEABT</t>
  </si>
  <si>
    <t>OIL OLAY SPA EXFOL RIB BWSH</t>
  </si>
  <si>
    <t>OLAY BOTFUS RESTOREBWSH</t>
  </si>
  <si>
    <t>OLAY BOTFUSHYDRAT BDWSH</t>
  </si>
  <si>
    <t>OLAY RIBBNSDEEPMSTRBW</t>
  </si>
  <si>
    <t>OLD SPICE HE BDWSH GAME DAY</t>
  </si>
  <si>
    <t>OLD SPICE HE BODYWASH FRESH</t>
  </si>
  <si>
    <t>OLD SPICE HE BODYWASH P SPRT</t>
  </si>
  <si>
    <t>OLD SPICE HE HAIR+BW+CONDITI</t>
  </si>
  <si>
    <t>OLD SPICE HIGH ENDR PACFC BW</t>
  </si>
  <si>
    <t>OLD SPICE RZ AFTR HRS BDYWSH</t>
  </si>
  <si>
    <t>OLD SPICE RZ AQUA REEF BDYWS</t>
  </si>
  <si>
    <t>OLD SPICE RZ DOUBL IMPACT BW</t>
  </si>
  <si>
    <t>OLD SPICE RZ GLACIAL FALL BW</t>
  </si>
  <si>
    <t>OLD SPICE RZ SHOWTIME BDYWSH</t>
  </si>
  <si>
    <t>OLD SPICE RZ SWAGGER BDYWSH</t>
  </si>
  <si>
    <t>OLD SPICE RZ VITALITY BDYWSH</t>
  </si>
  <si>
    <t>PRSNL ELM CLEAR BAC SOAP PMP</t>
  </si>
  <si>
    <t>PRSNL ELM CLR BAC SOAP REFIL</t>
  </si>
  <si>
    <t>PRSNL ELM GOLD BAC SOAP PUMP</t>
  </si>
  <si>
    <t>PRSNL ELM SOAP LIQ ANTIB REF</t>
  </si>
  <si>
    <t>SOFTSOAP AB MOIST PUMP ASST</t>
  </si>
  <si>
    <t>SOFTSOAP AL OIL &amp; SHEA BW</t>
  </si>
  <si>
    <t>SOFTSOAP APRICT SCRB BDYWSH</t>
  </si>
  <si>
    <t>SOFTSOAP AQUARIUM LQD HNDSP</t>
  </si>
  <si>
    <t>SOFTSOAP BDYWSH SPA EXFOLTG</t>
  </si>
  <si>
    <t>SOFTSOAP BODY WASH COCONUT</t>
  </si>
  <si>
    <t>SOFTSOAP BODY WASH SHEA BTR</t>
  </si>
  <si>
    <t>SOFTSOAP CITRUS KITCHN LHS</t>
  </si>
  <si>
    <t>8.3 FZ</t>
  </si>
  <si>
    <t>SOFTSOAP CRMCOTN LQ HDSPPMP</t>
  </si>
  <si>
    <t>SOFTSOAP CRMCOTN LQ HDSPRFL</t>
  </si>
  <si>
    <t>SOFTSOAP FRSH ESNTL LQHSPMP</t>
  </si>
  <si>
    <t>SOFTSOAP FRSH ESNTL LQHSRFL</t>
  </si>
  <si>
    <t>SOFTSOAP HND ESNTL MELN-PMP</t>
  </si>
  <si>
    <t>SOFTSOAP LAV/CHAMOMILE LHS</t>
  </si>
  <si>
    <t>SOFTSOAP LIGHT MOIST REFILL</t>
  </si>
  <si>
    <t>SOFTSOAP NATRLS SHEA BUTTER</t>
  </si>
  <si>
    <t>SOFTSOAP REFL CLR WLT-MOIST</t>
  </si>
  <si>
    <t>SOFTSOAP SOAP PMP/LQD W/ALO</t>
  </si>
  <si>
    <t>TONE FOAM HND PMP SOAP</t>
  </si>
  <si>
    <t>ZEST AQUA PURE BODYWASH</t>
  </si>
  <si>
    <t>ZEST BODYWASH MARATHON</t>
  </si>
  <si>
    <t>CAMAY 3-BAR CLASSIC</t>
  </si>
  <si>
    <t>8.50 OZ</t>
  </si>
  <si>
    <t>CARESS EVENLY GORGEOUS 2B</t>
  </si>
  <si>
    <t>CARESS NATURE SILK 2BR</t>
  </si>
  <si>
    <t>COAST BATH/BLUE 8/4.5</t>
  </si>
  <si>
    <t>COAST BLUE 3 BAR 4.0OZ</t>
  </si>
  <si>
    <t>DIAL ANTIOXIDANT 8 BAR</t>
  </si>
  <si>
    <t>DIAL WHT DEOD BTH 8 BAR</t>
  </si>
  <si>
    <t>DIAL% ALOE 3-BAR/4.0OZ</t>
  </si>
  <si>
    <t>DIAL% FOR MEN 3BAR 3D</t>
  </si>
  <si>
    <t>DIAL% GOLD 3BAR/4.0OZ</t>
  </si>
  <si>
    <t>DIAL% GOLD DEOD BTH 8BAR</t>
  </si>
  <si>
    <t>DIAL% MNTN FR 3BAR/4.0OZ</t>
  </si>
  <si>
    <t>DIAL% SPG WTR 3BAR 3/4.0</t>
  </si>
  <si>
    <t>DIAL% WHITE 3 BAR/4.0OZ</t>
  </si>
  <si>
    <t>DIAL% WHT TEA VIT E 3BAR</t>
  </si>
  <si>
    <t>DOVE BAR COOL MOISTR2BR</t>
  </si>
  <si>
    <t>DOVE BURST 2-BAR</t>
  </si>
  <si>
    <t>DOVE BURST 6 BAR</t>
  </si>
  <si>
    <t>DOVE EXFOLIATNG BAR 2PK</t>
  </si>
  <si>
    <t>DOVE PINK BATH 2 BAR</t>
  </si>
  <si>
    <t>DOVE SENS SKIN BAR 2PK</t>
  </si>
  <si>
    <t>3.15 OZ</t>
  </si>
  <si>
    <t>DOVE SOAP REG BAR</t>
  </si>
  <si>
    <t>DOVE ULTRA RICH VELVET</t>
  </si>
  <si>
    <t>DOVE WHITE BATH 2 BAR</t>
  </si>
  <si>
    <t>25.2 OZ</t>
  </si>
  <si>
    <t>DOVE% EXFOLIATING 6 PACK</t>
  </si>
  <si>
    <t>DOVE% SOAP SENS SKIN 6PK</t>
  </si>
  <si>
    <t>DOVE% WHITE BATH 6PK</t>
  </si>
  <si>
    <t>IRISH SPR ALOE 3 BAR</t>
  </si>
  <si>
    <t>IRISH SPR IS REVIVE 3BAR</t>
  </si>
  <si>
    <t>IRISH SPR MICROCLEAN 3 BAR</t>
  </si>
  <si>
    <t>IRISH SPR MOIST BLST 3-4Z BR</t>
  </si>
  <si>
    <t>IRISH SPR ORIGINAL 3 BAR</t>
  </si>
  <si>
    <t>IVORY 10 BAR SIMPLYIVORY</t>
  </si>
  <si>
    <t>IVORY 4BR BATH ALOE</t>
  </si>
  <si>
    <t>IVORY BATH SP 4PK/4.5Z</t>
  </si>
  <si>
    <t>4-4. OZ</t>
  </si>
  <si>
    <t>JERGENS BATH MILD</t>
  </si>
  <si>
    <t>JERGENS SOAP 4/3.5</t>
  </si>
  <si>
    <t>JERGENS SOAP MILD BATH 3.5</t>
  </si>
  <si>
    <t>LEVER LEVER VAS. MEN BAR</t>
  </si>
  <si>
    <t>LEVER2000 FRSH ALOE 2/4.5 OZ</t>
  </si>
  <si>
    <t>LEVER2000 PERFECTLY FRSH 8BR</t>
  </si>
  <si>
    <t>LEVER2000 PRFCTLY FRSH 2/4.5</t>
  </si>
  <si>
    <t>LEVER2000 PURE RAIN 2/4.5 OZ</t>
  </si>
  <si>
    <t>LEVER2000 VASELINE MEN 2 BAR</t>
  </si>
  <si>
    <t>OCTAGON LNDRY  BAR SOAP</t>
  </si>
  <si>
    <t>OIL OLAY 2/4.25Z AGE DEFYG</t>
  </si>
  <si>
    <t>OIL OLAY 2/4.25Z ULTRA MSTR</t>
  </si>
  <si>
    <t>OLAY 2-BAR CALMRELEASE</t>
  </si>
  <si>
    <t>OLAY 2-BAR QUENCH</t>
  </si>
  <si>
    <t>OLAY QUENCH 6 BAR</t>
  </si>
  <si>
    <t>OLAY ULTRA MOISTUR 6BAR</t>
  </si>
  <si>
    <t>SAFEGUARD 4-BAR BEIGE</t>
  </si>
  <si>
    <t>SAFEGUARD 4BAR WHITE W/ALOE</t>
  </si>
  <si>
    <t>TONE ISL MST 2BR 2/4.25</t>
  </si>
  <si>
    <t>ZEST 3 BAR AQUA PURE</t>
  </si>
  <si>
    <t>ZEST 3 BAR OCEAN ENERGY</t>
  </si>
  <si>
    <t>ZEST 6 BAR AQUA</t>
  </si>
  <si>
    <t>ZEST 6 BAR MARATHON</t>
  </si>
  <si>
    <t>ARGO STARCH GLOSS</t>
  </si>
  <si>
    <t>FAULTLESS HVY DTY STARCH</t>
  </si>
  <si>
    <t>HOMELIFE STARCH HVY DUTY</t>
  </si>
  <si>
    <t>MAGIC SZ MAGIC SIZ PP $1.29</t>
  </si>
  <si>
    <t>NIAGARA SPRY STRCH ORG LEM</t>
  </si>
  <si>
    <t>NIAGRA SPRAY STARCH HVY</t>
  </si>
  <si>
    <t>NIAGRA SPRAY STARCH ORG</t>
  </si>
  <si>
    <t>5.5 FZ</t>
  </si>
  <si>
    <t>STC GUARD SOFTENER AERO</t>
  </si>
  <si>
    <t>ARM &amp; HAM CLN MTN FAB SFT SH</t>
  </si>
  <si>
    <t>ARM &amp; HAM CLS FRESH DRY CLTH</t>
  </si>
  <si>
    <t>ARM &amp; HAM DRYER SHT CLSC FRS</t>
  </si>
  <si>
    <t>ARM &amp; HAM DRYSHT ESS WHTLILC</t>
  </si>
  <si>
    <t>ARM &amp; HAM FRESH WLDFLWR SHT</t>
  </si>
  <si>
    <t>ARM &amp; HAM LAV-VAN DRY CLOTH</t>
  </si>
  <si>
    <t>BOUNCE BOUNCE SNGL SCTD</t>
  </si>
  <si>
    <t>160 CT</t>
  </si>
  <si>
    <t>BOUNCE FAB SFT SNGL SCNTD</t>
  </si>
  <si>
    <t>BOUNCE FREE SHEETS</t>
  </si>
  <si>
    <t>BOUNCE FRESH LINEN SCENT</t>
  </si>
  <si>
    <t>240 CT</t>
  </si>
  <si>
    <t>BOUNCE OUTDOOR FRESH</t>
  </si>
  <si>
    <t>BOUNCE SPRING AWAKENING</t>
  </si>
  <si>
    <t>105 CT</t>
  </si>
  <si>
    <t>BOUNCE W/FBZ M&amp;R 105 USE</t>
  </si>
  <si>
    <t>BOUNCE% DRYSHT ALOE&amp;WHLILC</t>
  </si>
  <si>
    <t>120 CT</t>
  </si>
  <si>
    <t>BOUNCE% FAB SFT SNGL SCNTD</t>
  </si>
  <si>
    <t>BOUNCE% LAVENDER</t>
  </si>
  <si>
    <t>BOUNCE% PARADISE THRILL</t>
  </si>
  <si>
    <t>BOUNCE% RENEWING RAIN</t>
  </si>
  <si>
    <t>BOUNCE% SINGLE SHEET</t>
  </si>
  <si>
    <t>BOUNCE% SNGL SHT GNTL BRZ</t>
  </si>
  <si>
    <t>BOUNCE% W/FBZ S&amp;R 105 USE</t>
  </si>
  <si>
    <t>CLING FRE FAB SOFTENER SHEET</t>
  </si>
  <si>
    <t>DOWNY APRIL FRESH 23LOAD</t>
  </si>
  <si>
    <t>DOWNY APRIL FRESH SHEETS</t>
  </si>
  <si>
    <t>DOWNY FAB SFT SNGL APRFR</t>
  </si>
  <si>
    <t>DOWNY FABRIC SFTNR 21USE</t>
  </si>
  <si>
    <t>77 FZ</t>
  </si>
  <si>
    <t>DOWNY LIQ SFTNR ULT 90US</t>
  </si>
  <si>
    <t>DOWNY LIQ ULT CLN BREEZE</t>
  </si>
  <si>
    <t>103 FZ</t>
  </si>
  <si>
    <t>DOWNY LQ APRIL FRS 120US</t>
  </si>
  <si>
    <t>DOWNY MTN SPRING LIQUID</t>
  </si>
  <si>
    <t>DOWNY SHT VAN &amp;LAV 70 CT</t>
  </si>
  <si>
    <t>DOWNY ULT BLUE RFL 40USE</t>
  </si>
  <si>
    <t>DOWNY ULT LQ FREE 40 USE</t>
  </si>
  <si>
    <t>DOWNY ULT MTN SPRG 40USE</t>
  </si>
  <si>
    <t>DOWNY ULTLQ BLUE RFL60US</t>
  </si>
  <si>
    <t>DOWNY ULTRA BLUE 40 USE</t>
  </si>
  <si>
    <t>DOWNY% LIQ CLN BRZ 60 USE</t>
  </si>
  <si>
    <t>DOWNY% LIQ FREE 60 USE</t>
  </si>
  <si>
    <t>DOWNY% LQ PURE ESS ALO&amp;WL</t>
  </si>
  <si>
    <t>41 FZ</t>
  </si>
  <si>
    <t>DOWNY% LQ SP GARDNIA&amp;PEAR</t>
  </si>
  <si>
    <t>DOWNY% LQ SP OBS AMTHSMST</t>
  </si>
  <si>
    <t>DOWNY% LQ SP VANIL&amp;LAVNDR</t>
  </si>
  <si>
    <t>DOWNY% LQ SP WTRLILY&amp;JSMN</t>
  </si>
  <si>
    <t>DOWNY% SCP RENEW RAIN</t>
  </si>
  <si>
    <t>DOWNY% ULT LQ JARDIN 52US</t>
  </si>
  <si>
    <t>DOWNY% ULTLQ CSHM&amp;SLK52US</t>
  </si>
  <si>
    <t>DOWNY% ULTLQ THNWTFL 52US</t>
  </si>
  <si>
    <t>DOWNY% ULTRA BLUE 60 USE</t>
  </si>
  <si>
    <t>DOWNY% W/FBZ CP M&amp;R 52USE</t>
  </si>
  <si>
    <t>44 OZ</t>
  </si>
  <si>
    <t>DOWNY% W/FBZ CP S&amp;R 52USE</t>
  </si>
  <si>
    <t>120 FZ</t>
  </si>
  <si>
    <t>FINAL TCH LIQ</t>
  </si>
  <si>
    <t>FINAL TCH LQ FABRIC SFTNR</t>
  </si>
  <si>
    <t>FRSH&amp;SOFT DRYER SHT CLS FRSH</t>
  </si>
  <si>
    <t>GAIN ENHNCER REG 21 USE</t>
  </si>
  <si>
    <t>GAIN JE APMNGTN FS 52US</t>
  </si>
  <si>
    <t>GAIN LQ ISLD FRS 60 USE</t>
  </si>
  <si>
    <t>GAIN LQFE JE SS LVLILAC</t>
  </si>
  <si>
    <t>GAIN ORIG FRESH SHEETS</t>
  </si>
  <si>
    <t>GAIN SHT JE SS LAVLILAC</t>
  </si>
  <si>
    <t>GAIN ULTRA LQ REG 60USE</t>
  </si>
  <si>
    <t>HOMELIFE FAB SFT ULT ORG SC</t>
  </si>
  <si>
    <t>HOMELIFE FAB SFT ULTFLR40LD</t>
  </si>
  <si>
    <t>HOMELIFE FAB SFT ULTFLR60LD</t>
  </si>
  <si>
    <t>HOMELIFE FAB SFT ULTFR 40LD</t>
  </si>
  <si>
    <t>HOMELIFE FAB SFT ULTFR 60LD</t>
  </si>
  <si>
    <t>HOMELIFE FAB SFT ULTMTN40LD</t>
  </si>
  <si>
    <t>HOMELIFE FAB SFT ULTMTN60LD</t>
  </si>
  <si>
    <t>HOMELIFE FAB SOFT SGL MTN</t>
  </si>
  <si>
    <t>HOMELIFE FAB SOFT SHT APRFR</t>
  </si>
  <si>
    <t>HOMELIFE FAB SOFT SHT MTN</t>
  </si>
  <si>
    <t>HOMELIFE FAB SOFT SHT SPRFL</t>
  </si>
  <si>
    <t>HOMELIFE SNGL FAB SHT ORIG</t>
  </si>
  <si>
    <t>HOMELIFE% FAB SOFT SHT FREE</t>
  </si>
  <si>
    <t>HOMELIFE% FAB SOFT SHT MTN</t>
  </si>
  <si>
    <t>HOMELIFE% FAB SOFT SHT SPRFL</t>
  </si>
  <si>
    <t>HOMELIFE% SNGL FAB SHT ORIG</t>
  </si>
  <si>
    <t>NICE FLFF FLORAL GARDEN</t>
  </si>
  <si>
    <t>NICE N FL MOUNTAIN RAIN</t>
  </si>
  <si>
    <t>PUREX ULT NE LINEN/LILIE</t>
  </si>
  <si>
    <t>PUREX ULTRA LAV&amp;COTTN SF</t>
  </si>
  <si>
    <t>SHOP VALU FAB SOFT LIQ MTN</t>
  </si>
  <si>
    <t>SHOP VALU FAB SOFT LIQ SPRNG</t>
  </si>
  <si>
    <t>SHOP VALU FAB SOFT LIQ TROP</t>
  </si>
  <si>
    <t>SHOP VALU FABRIC SHEET</t>
  </si>
  <si>
    <t>SHOP VALU FABRIC SOFTENR SHT</t>
  </si>
  <si>
    <t>SNUGGLE ALMOND CREME SHEET</t>
  </si>
  <si>
    <t>SNUGGLE ALMOND ESSENCE CRM</t>
  </si>
  <si>
    <t>SNUGGLE CUDDLE-UP SHEETS</t>
  </si>
  <si>
    <t>SNUGGLE EXH PEACH</t>
  </si>
  <si>
    <t>SNUGGLE EXHWHTLVD/TWST PRP</t>
  </si>
  <si>
    <t>SNUGGLE FABRIC SFTNR SHEET</t>
  </si>
  <si>
    <t>SNUGGLE JOJOBA CREME</t>
  </si>
  <si>
    <t>SNUGGLE JOJOBA CREME SHEET</t>
  </si>
  <si>
    <t>SNUGGLE SNUGGLE BLUE SPARK</t>
  </si>
  <si>
    <t>SNUGGLE WHITE LAV&amp;PURPLE</t>
  </si>
  <si>
    <t>SNUGGLE WLDORCH&amp;VANKSS PNK</t>
  </si>
  <si>
    <t>SNUGGLE% CUDDLE UP FAB SFTN</t>
  </si>
  <si>
    <t>SNUGGLE% SUNKISSED BREEZE</t>
  </si>
  <si>
    <t>CLOROX ANYWHR FABRIC</t>
  </si>
  <si>
    <t>DRY CLNRS SECRET REG PACK</t>
  </si>
  <si>
    <t>27.04 F</t>
  </si>
  <si>
    <t>FEBREZE FR ALLERGEN REDC</t>
  </si>
  <si>
    <t>FEBREZE FR ANTIMIC SPRAY</t>
  </si>
  <si>
    <t>FEBREZE FR CITRUS &amp; LIGHT</t>
  </si>
  <si>
    <t>FEBREZE FR EX STRENGTH</t>
  </si>
  <si>
    <t>FEBREZE FR EXTRA STRENGTH</t>
  </si>
  <si>
    <t>FEBREZE FR LAVENDER</t>
  </si>
  <si>
    <t>FEBREZE FR M&amp;R SPRAY</t>
  </si>
  <si>
    <t>FEBREZE FR MEAD&amp;RAIN</t>
  </si>
  <si>
    <t>FEBREZE FR PO ELIMINATOR M</t>
  </si>
  <si>
    <t>FEBREZE FR SPRING&amp;RENEWAL</t>
  </si>
  <si>
    <t>HOMELIFE FABRIC REFRSH ORIG</t>
  </si>
  <si>
    <t>82 OZ</t>
  </si>
  <si>
    <t>CLOROX HI EFFICIENCY BLCH</t>
  </si>
  <si>
    <t>182 FZ</t>
  </si>
  <si>
    <t>CLOROX LIQ BLCH FRSH MEAD</t>
  </si>
  <si>
    <t>CLOROX LIQ BLCH LEMN FRSH</t>
  </si>
  <si>
    <t>CLOROX LIQ BLEACH REGULAR</t>
  </si>
  <si>
    <t>CLOROX LIQ CLN LINEN BLCH</t>
  </si>
  <si>
    <t>CLOROX LIQ FRSH MEADOW BL</t>
  </si>
  <si>
    <t>CLOROX LQ BLCH LEMON FRSH</t>
  </si>
  <si>
    <t>CLOROX PLUS ANTI ALLERGEN</t>
  </si>
  <si>
    <t>CLOROX PLUS COLD WATER</t>
  </si>
  <si>
    <t>CLOROX UC PREM BLEACH</t>
  </si>
  <si>
    <t>90 FZ</t>
  </si>
  <si>
    <t>CLOROX UL LQ BLCH CLN LIN</t>
  </si>
  <si>
    <t>CLOROX UL LQ BLCH FRS MDW</t>
  </si>
  <si>
    <t>82 FZ</t>
  </si>
  <si>
    <t>CLOROX ULT ADVANTAGE BLCH</t>
  </si>
  <si>
    <t>CLOROX ULT LIQ BLEACH</t>
  </si>
  <si>
    <t>30.3 OZ</t>
  </si>
  <si>
    <t>CLOROX ULTRA DRY 2 REG</t>
  </si>
  <si>
    <t>HOMELIFE BLEACH LAVENDER</t>
  </si>
  <si>
    <t>HOMELIFE BLEACH LEMON 2.75%</t>
  </si>
  <si>
    <t>HOMELIFE BLEACH LINEN SCENT</t>
  </si>
  <si>
    <t>HOMELIFE BLEACH REG 6%</t>
  </si>
  <si>
    <t>SHOP VALU BLEACH</t>
  </si>
  <si>
    <t>SHOPVALUE BLEACH</t>
  </si>
  <si>
    <t>ARM &amp; HAM WASH SODA</t>
  </si>
  <si>
    <t>BORAX 20 MULE TEAM</t>
  </si>
  <si>
    <t>CLOROX 2 LIQ FR MDW CONC</t>
  </si>
  <si>
    <t>CLOROX 2 LIQ FREECLR CONC</t>
  </si>
  <si>
    <t>CLOROX 2 LIQ LAV CONCD</t>
  </si>
  <si>
    <t>CLOROX 2 LIQ REG CONCD</t>
  </si>
  <si>
    <t>49.2 OZ</t>
  </si>
  <si>
    <t>CLOROX ULT DRY REG</t>
  </si>
  <si>
    <t>66 FZ</t>
  </si>
  <si>
    <t>CLOROX2 F CLX2 LIQ REG CONCD</t>
  </si>
  <si>
    <t>HOMELIFE BLEACH 6% REGULAR</t>
  </si>
  <si>
    <t>HOMELIFE BLEACH COLOR SAFE</t>
  </si>
  <si>
    <t>HOMELIFE BLEACH COLRSF FLRL</t>
  </si>
  <si>
    <t>HOMELIFE BLEACH PWD ALL FAB</t>
  </si>
  <si>
    <t>HOMELIFE OXYGENATED CLEANR</t>
  </si>
  <si>
    <t>OXICLEAN VERSATL STAIN REMV</t>
  </si>
  <si>
    <t>OXICLEAN VRS STN RMV FREEPL</t>
  </si>
  <si>
    <t>SHOUT COLOR CATCHER</t>
  </si>
  <si>
    <t>SPRANWSH BRIGHT &amp; WHITE</t>
  </si>
  <si>
    <t>SPRAYNWSH BRIGHT&amp; WHT 27 LDS</t>
  </si>
  <si>
    <t>VIVID COLOR SAFE BLEACH</t>
  </si>
  <si>
    <t>CLOROX BLEACH PEN</t>
  </si>
  <si>
    <t>CLOROX OXYGEN ACTION 8CT</t>
  </si>
  <si>
    <t>HOMELIFE PRE-WASH STN REMR</t>
  </si>
  <si>
    <t>MRS STWRT BLUING</t>
  </si>
  <si>
    <t>OXICLEAN STAIN REMOVER</t>
  </si>
  <si>
    <t>OXICLEAN TRPL PWR STN FT</t>
  </si>
  <si>
    <t>SHOUT ADVANCED GEL REF</t>
  </si>
  <si>
    <t>SHOUT GEL</t>
  </si>
  <si>
    <t>SHOUT REFILL</t>
  </si>
  <si>
    <t>SHOUT STAIN REMOVER</t>
  </si>
  <si>
    <t>SHOUT% TRIGGER BONUS</t>
  </si>
  <si>
    <t>SPRAYNWSH MAX WHITES</t>
  </si>
  <si>
    <t>SPRAYNWSH STAIN STICK BONUS</t>
  </si>
  <si>
    <t>SPRAYNWSH WTH RESOLVE PWR MX</t>
  </si>
  <si>
    <t>SPRYNWASH NON-AEROSL TRIGGER</t>
  </si>
  <si>
    <t>1.01 FZ</t>
  </si>
  <si>
    <t>TIDE TIDETOGOSTNPEN 3PK</t>
  </si>
  <si>
    <t>TIDE TO GO MINI CK AISL</t>
  </si>
  <si>
    <t>.338 FZ</t>
  </si>
  <si>
    <t>TIDE TO GO STAIN STICK</t>
  </si>
  <si>
    <t>TIDE WASHING MACHN CLNR</t>
  </si>
  <si>
    <t>ZOUT STAIN RMVR TRIG</t>
  </si>
  <si>
    <t>HOMELIFE AMMONIA CLEAR</t>
  </si>
  <si>
    <t>HOMELIFE AMMONIA LEMON</t>
  </si>
  <si>
    <t>PARSONS AMMONIA LEMON</t>
  </si>
  <si>
    <t>AJAX CLEANSER</t>
  </si>
  <si>
    <t>BARKEEPRS CLEANER FRIEND</t>
  </si>
  <si>
    <t>BARKEEPRS COOK TOP CLEANER</t>
  </si>
  <si>
    <t>BON AMI CLEANSER</t>
  </si>
  <si>
    <t>COMET CLEANER POWER</t>
  </si>
  <si>
    <t>COMET REG POWDER</t>
  </si>
  <si>
    <t>COMET SOFT CREAM CLEANSR</t>
  </si>
  <si>
    <t>FORM 409 NATURAL STONE CLNR</t>
  </si>
  <si>
    <t>GREEN WRK GW NTRL TANGERINE</t>
  </si>
  <si>
    <t>GREEN WRK GWTANGRIRNE TRIGG</t>
  </si>
  <si>
    <t>HOMELIFE CLNR ALL PUR W/BLC</t>
  </si>
  <si>
    <t>METHOD ALL PURPOSE CLEAN</t>
  </si>
  <si>
    <t>MR CLEAN MAG ERASER MDRN</t>
  </si>
  <si>
    <t>SFT SCRU% CLEANER W/BLEACH</t>
  </si>
  <si>
    <t>SFT SCRU% WITH LEMON</t>
  </si>
  <si>
    <t>SFT SCRUB GEL WITH BLEACH</t>
  </si>
  <si>
    <t>SFT SCRUB SPRAY GEL W/BLEACH</t>
  </si>
  <si>
    <t>SOFTSCRU% SS MT BRZ W/BLEACH</t>
  </si>
  <si>
    <t>SOFTSCRUB SCRUBBY PADS</t>
  </si>
  <si>
    <t>SOFTSCRUB SSLAVENDERCLEANSER</t>
  </si>
  <si>
    <t>ZUD CLEANSER 175</t>
  </si>
  <si>
    <t>7TH GEN ALL PURPOSE CLNR</t>
  </si>
  <si>
    <t>2.4 FZ</t>
  </si>
  <si>
    <t>ARM &amp; HAM ESS CL DEGRSR CONC</t>
  </si>
  <si>
    <t>ARM &amp; HAM ESS CLN DEGREASER</t>
  </si>
  <si>
    <t>ARM &amp; HAM ESS MULTI CLN STR</t>
  </si>
  <si>
    <t>ARM &amp; HAM ESS MULTI SRFC RFL</t>
  </si>
  <si>
    <t>BR O PINE PINE DISINFECTANT</t>
  </si>
  <si>
    <t>CINCH MULTI GLASS TRIGGR</t>
  </si>
  <si>
    <t>CLN PINE CLEANER</t>
  </si>
  <si>
    <t>CLN SHOWR MOUNTAIN RAIN</t>
  </si>
  <si>
    <t>CLOROX ANYWHERE SPRY</t>
  </si>
  <si>
    <t>150 CT</t>
  </si>
  <si>
    <t>CLOROX CDW LEMN&amp;FRSH VALU</t>
  </si>
  <si>
    <t>CLOROX CLEAN UP</t>
  </si>
  <si>
    <t>CLOROX CLEAN-UP W/BLEACH</t>
  </si>
  <si>
    <t>75 CT</t>
  </si>
  <si>
    <t>CLOROX DISINF WIPES LEMON</t>
  </si>
  <si>
    <t>CLOROX DISINFECT FRESH WI</t>
  </si>
  <si>
    <t>CLOROX DISINFECT LEMON WI</t>
  </si>
  <si>
    <t>CLOROX DSNFCT WP FRS CNST</t>
  </si>
  <si>
    <t>CLOROX DSNFCT WPS LMN CNS</t>
  </si>
  <si>
    <t>CLOROX DSNFCTNG WPS ORNG</t>
  </si>
  <si>
    <t>CLOROX DSWIPESOVAL- LEMON</t>
  </si>
  <si>
    <t>CLOROX DSWIPESOVAL-FRSHSC</t>
  </si>
  <si>
    <t>CLOROX DSWIPESOVL VLUEPCK</t>
  </si>
  <si>
    <t>CLOROX GREEN WORKS APC</t>
  </si>
  <si>
    <t>CLOROX OXI MAGIC STN RMVR</t>
  </si>
  <si>
    <t>CLOROX WIPES FRESH SCENT</t>
  </si>
  <si>
    <t>CLOROX WIPES LAVENDER</t>
  </si>
  <si>
    <t>EASY OFF BAM GRIM/LIME RMVR</t>
  </si>
  <si>
    <t>FANTASTIK * REGULAR</t>
  </si>
  <si>
    <t>FANTASTIK ORANGE ACTION</t>
  </si>
  <si>
    <t>26 FZ</t>
  </si>
  <si>
    <t>FANTASTIK OXY POWER</t>
  </si>
  <si>
    <t>FANTASTIK WITH BLEACH</t>
  </si>
  <si>
    <t>FORM 409 409 APC</t>
  </si>
  <si>
    <t>FORM 409 APC ANTI-BAC KTCHN</t>
  </si>
  <si>
    <t>GREENWORK GREEN WORKS DLTBL</t>
  </si>
  <si>
    <t>GREENWRKS GWNTRL WIPES ORGNL</t>
  </si>
  <si>
    <t>GRSD LGHT CLEANER ALL PURPSE</t>
  </si>
  <si>
    <t>HOMELIFE CLEANER LEMON</t>
  </si>
  <si>
    <t>HOMELIFE CLEANER PINE</t>
  </si>
  <si>
    <t>HOMELIFE CLNR MULTP W/VINGR</t>
  </si>
  <si>
    <t>HOMELIFE ERASER MULTI-PURPO</t>
  </si>
  <si>
    <t>HOMELIFE WIPES DISINFEC FRS</t>
  </si>
  <si>
    <t>HOMELIFE WIPES DISINFEC LEM</t>
  </si>
  <si>
    <t>LESTOIL CLEANER</t>
  </si>
  <si>
    <t>LYSOL ALLPURP CLN PACFRS</t>
  </si>
  <si>
    <t>LYSOL ALLPURP CLNR LEMBR</t>
  </si>
  <si>
    <t>LYSOL ALLPURP CLNR ORNG</t>
  </si>
  <si>
    <t>LYSOL APC ISLAND BERRIES</t>
  </si>
  <si>
    <t>LYSOL BTTC GRN APL TRIG</t>
  </si>
  <si>
    <t>LYSOL CLEANER, DISINFCTN</t>
  </si>
  <si>
    <t>LYSOL CLN ANTIBAC KIT TR</t>
  </si>
  <si>
    <t>LYSOL DIS WIPES SPRING</t>
  </si>
  <si>
    <t>LYSOL DISNF WIPES CITRUS</t>
  </si>
  <si>
    <t>28 CT</t>
  </si>
  <si>
    <t>LYSOL DUAL ACTION WIPES</t>
  </si>
  <si>
    <t>LYSOL DUAL DISINFECT WIP</t>
  </si>
  <si>
    <t>METHOD ALL PURPOSE SPRAY</t>
  </si>
  <si>
    <t>METHOD CLEANER WIPES GO N</t>
  </si>
  <si>
    <t>METHOD CLEANER WIPES LAVE</t>
  </si>
  <si>
    <t>METHOD GO NAKED ALLPURPOS</t>
  </si>
  <si>
    <t>METHOD GRANITE WIPES</t>
  </si>
  <si>
    <t>METHOD LEATHER WIPES</t>
  </si>
  <si>
    <t>METHOD STAIN STEEL WIPES</t>
  </si>
  <si>
    <t>METHOD WOOD FOR GOOD WIPE</t>
  </si>
  <si>
    <t>MR CLEAN INVIGORATING BREEZ</t>
  </si>
  <si>
    <t>MR CLEAN LEMON NC</t>
  </si>
  <si>
    <t>MR CLEAN LIQ WFBRZ LVDR VN</t>
  </si>
  <si>
    <t>MR CLEAN LQ WFBRZ M&amp;R</t>
  </si>
  <si>
    <t>MR CLEAN LQD ULTIMATE ORANG</t>
  </si>
  <si>
    <t>MR CLEAN MAGIC ERASER</t>
  </si>
  <si>
    <t>MR CLEAN MULTISURFACE LEMON</t>
  </si>
  <si>
    <t>MR CLEAN SPRAY WFEBRZ M&amp;R</t>
  </si>
  <si>
    <t>MR CLEAN SUMMER CITRUS LIQ</t>
  </si>
  <si>
    <t>MR CLEAN W/FEBR BLSM BRZ LQ</t>
  </si>
  <si>
    <t>MR CLEAN W/FEBR BLSMBRZ SPR</t>
  </si>
  <si>
    <t>MR CLEAN WFEBRZ LAVVAN SPRY</t>
  </si>
  <si>
    <t>MR CLEAN WIPES FEBRZ M &amp; R</t>
  </si>
  <si>
    <t>MR CLEAN WIPES POWER</t>
  </si>
  <si>
    <t>MR CLEAN XTRA POWR MGC ERAS</t>
  </si>
  <si>
    <t>MURPHY'S LIQUID OIL SOAP</t>
  </si>
  <si>
    <t>MURPHY'S OIL SOAP ORANGE SP</t>
  </si>
  <si>
    <t>MURPHY'S SOAP OIL</t>
  </si>
  <si>
    <t>NATURE'S ALL PRPS TRIGGER</t>
  </si>
  <si>
    <t>PINE SOL CLEANER DISINFCTNT</t>
  </si>
  <si>
    <t>PINE SOL LAVENDER</t>
  </si>
  <si>
    <t>PINE SOL LEMON FRESH  28 OZ</t>
  </si>
  <si>
    <t>PINE SOL LEMON PINESOL</t>
  </si>
  <si>
    <t>PINE SOL LIQUID</t>
  </si>
  <si>
    <t>PINE SOL ORANGE ENERGY</t>
  </si>
  <si>
    <t>PINE SOL PINE ALL PUR CLNR</t>
  </si>
  <si>
    <t>PINE SOL SPARKLING WAVE</t>
  </si>
  <si>
    <t>PINESOL PINE-SOL WILDFLOWE</t>
  </si>
  <si>
    <t>PLEDGE MULTI-SURF SPRAY</t>
  </si>
  <si>
    <t>PLEDGE MULTI-SURFACE TRIG</t>
  </si>
  <si>
    <t>PLEDGE MULTI-SURFACE WIPE</t>
  </si>
  <si>
    <t>SFT SCRUB DEEP CLEAN SPRAY</t>
  </si>
  <si>
    <t>SHOP VALU CLEANER PINE</t>
  </si>
  <si>
    <t>SPIC&amp;SPAN LIQUID REGULAR</t>
  </si>
  <si>
    <t>SPIC&amp;SPAN SUN FRESH LIQUID</t>
  </si>
  <si>
    <t>XTRA ALL PRPS LEMON CLN</t>
  </si>
  <si>
    <t>XTRA PINE CLEANER</t>
  </si>
  <si>
    <t>7TH GEN SHWR CLEANR CITRUS</t>
  </si>
  <si>
    <t>7TH GEN TUB&amp;TILE CYPRS&amp;FIR</t>
  </si>
  <si>
    <t>CLN SHWR ORG REFIL</t>
  </si>
  <si>
    <t>CLOROX DISINFECTING BATHR</t>
  </si>
  <si>
    <t>COMET BATHROOM SPRAY</t>
  </si>
  <si>
    <t>COMET CLEANER BATHRM/SPR</t>
  </si>
  <si>
    <t>COMET SPRAY GEL</t>
  </si>
  <si>
    <t>GREENWORK GRNWRKS GEN BTHCLN</t>
  </si>
  <si>
    <t>HOMELIFE SOAP SCUM REMOVER</t>
  </si>
  <si>
    <t>LYSOL CLEANER BATH TRGGR</t>
  </si>
  <si>
    <t>LYSOL CLEANER TUB TILE</t>
  </si>
  <si>
    <t>METHOD BATH SURFACE CLEAN</t>
  </si>
  <si>
    <t>METHOD DAILY SHOWER SPRAY</t>
  </si>
  <si>
    <t>METHOD LE SCRUB SOFT ABRA</t>
  </si>
  <si>
    <t>METHOD TUB N TILE CLEANR</t>
  </si>
  <si>
    <t>NATURE'S BATH TRIGGER</t>
  </si>
  <si>
    <t>ORANGEGLO KABOOM TLE&amp;GRT RST</t>
  </si>
  <si>
    <t>SCRUB BU% BATH CLNR LEM AERO</t>
  </si>
  <si>
    <t>SCRUB BU% BTH CLNR FRSH AERO</t>
  </si>
  <si>
    <t>SCRUB BUB AUTO SHOWER CLEANR</t>
  </si>
  <si>
    <t>SCRUB BUB AUTO SHWR CLNR RFL</t>
  </si>
  <si>
    <t>SCRUB BUB FRESH BRUSH RFL</t>
  </si>
  <si>
    <t>SCRUB BUB MEGA SHOWER FOAMER</t>
  </si>
  <si>
    <t>SCRUB BUB SB AUTO RF REF SPA</t>
  </si>
  <si>
    <t>THE WORKS TUB/SHWR NO PHS TR</t>
  </si>
  <si>
    <t>TILEX FRESH SHOWER REFIL</t>
  </si>
  <si>
    <t>TILEX MILDEW ROOT</t>
  </si>
  <si>
    <t>TILEX MOLD/MILDEW REMOVR</t>
  </si>
  <si>
    <t>TILEX SOAP SCUM REMOVER</t>
  </si>
  <si>
    <t>TILEX TILEX FRESH SHOWER</t>
  </si>
  <si>
    <t>TILEX TILEX MILDEW REMOV</t>
  </si>
  <si>
    <t>X-14 ALL PURP BATH CLNR</t>
  </si>
  <si>
    <t>2000 FLSH BLUE PLUS BLEACH</t>
  </si>
  <si>
    <t>2000 FLSH DRP INS BLU</t>
  </si>
  <si>
    <t>CLOROX AUTO BOWL CLNR 2PK</t>
  </si>
  <si>
    <t>CLOROX BOWL CL RAIN CLEAN</t>
  </si>
  <si>
    <t>CLOROX CLEANER AUTO BOWL</t>
  </si>
  <si>
    <t>CLOROX MTBC RAIN CLEAN</t>
  </si>
  <si>
    <t>CLOROX TBCLNR TOUGH STAIN</t>
  </si>
  <si>
    <t>CLOROX TLT BWL CLNR REG</t>
  </si>
  <si>
    <t>CLOROX TLTBWL AUT BLCH BL</t>
  </si>
  <si>
    <t>4.94 OZ</t>
  </si>
  <si>
    <t>CLOROX TOILET WAND REFILL</t>
  </si>
  <si>
    <t>CLOROX TOILET WND STR KIT</t>
  </si>
  <si>
    <t>GREENWORK GREEN WORKS MTBC</t>
  </si>
  <si>
    <t>HOMELIFE BOWL CLNR AUTO BLU</t>
  </si>
  <si>
    <t>HOMELIFE BOWL CLNR AUTO W/B</t>
  </si>
  <si>
    <t>HOMELIFE BOWL CLNR W/BLCH</t>
  </si>
  <si>
    <t>HOMELIFE TOILET BOWL CLEANR</t>
  </si>
  <si>
    <t>LYSOL BLEACH PLUS TBC</t>
  </si>
  <si>
    <t>LYSOL CLEANER, BOWL</t>
  </si>
  <si>
    <t>LYSOL CLNG CNTRY SNT TBC</t>
  </si>
  <si>
    <t>LYSOL CLNG PACFC FRSH ST</t>
  </si>
  <si>
    <t>LYSOL CNG TLT BWL CITRUS</t>
  </si>
  <si>
    <t>METHOD LIL BOWL BLU TOLIE</t>
  </si>
  <si>
    <t>NATURE'S TOILET BOWL CLEANR</t>
  </si>
  <si>
    <t>SCRUB BUB ACT SCRBR STRTR KT</t>
  </si>
  <si>
    <t>SCRUB BUB ACT SCRUBBER REFIL</t>
  </si>
  <si>
    <t>SCRUB BUB FRSH BRSH MAX STRT</t>
  </si>
  <si>
    <t>SCRUB BUB TOILET WIPES</t>
  </si>
  <si>
    <t>SCRUB BUB TOILT CLN GEL CTRS</t>
  </si>
  <si>
    <t>SCRUB BUB TOILT CLN GEL FRSH</t>
  </si>
  <si>
    <t>THE WORKS IN-TANK TB CLNR</t>
  </si>
  <si>
    <t>THE WORKS TOILET BWL CLEANER</t>
  </si>
  <si>
    <t>1.8 FZ</t>
  </si>
  <si>
    <t>TLT DUCK TLT AUTO BWL DRPIN</t>
  </si>
  <si>
    <t>TY-D-BOL 2 IN 1 GEL CITRUS</t>
  </si>
  <si>
    <t>TY-D-BOL DROP IN BLUE SPRUC</t>
  </si>
  <si>
    <t>TY-D-BOL FRESH TAB BLUE</t>
  </si>
  <si>
    <t>VANISH CLEANER BOWL/DROP</t>
  </si>
  <si>
    <t>DRANO CLEANER LIQD/DRAIN</t>
  </si>
  <si>
    <t>DRANO CLEANER PROF STRNG</t>
  </si>
  <si>
    <t>DRANO CLEANER PROFS STRN</t>
  </si>
  <si>
    <t>DRANO CRYSTAL DRANO</t>
  </si>
  <si>
    <t>DRANO FOAMING LIQUID</t>
  </si>
  <si>
    <t>HOMELIFE CLOG REMOVER</t>
  </si>
  <si>
    <t>LIQ PLUMR CLEANER DRAIN OPNR</t>
  </si>
  <si>
    <t>LIQ PLUMR CLEANER PROF STREN</t>
  </si>
  <si>
    <t>LIQ PLUMR FOAM PIPE SNAKE</t>
  </si>
  <si>
    <t>LIQ PLUMR PROF STRENGTH</t>
  </si>
  <si>
    <t>LIQ PLUMR REG STRNGTH DRAIN</t>
  </si>
  <si>
    <t>RID-X CONCENTRATED PWDR</t>
  </si>
  <si>
    <t>EASY OFF CLEANER OVEN</t>
  </si>
  <si>
    <t>EASY OFF CLEANER OVEN/CLENR</t>
  </si>
  <si>
    <t>HOMELIFE CLNR OVEN / GRILL</t>
  </si>
  <si>
    <t>WEIMAN RANGE TOP CLEANER</t>
  </si>
  <si>
    <t>7TH GEN GLASS&amp;SURF CLNRF&amp;C</t>
  </si>
  <si>
    <t>CINCH REFILL</t>
  </si>
  <si>
    <t>GLASSPLUS TRIGGER</t>
  </si>
  <si>
    <t>GREENWORK GLASS CLEANER SPRY</t>
  </si>
  <si>
    <t>GREENWORK GLASS CLNR REFILL</t>
  </si>
  <si>
    <t>GREENWORK GREEN WORKS GSC</t>
  </si>
  <si>
    <t>67.70 F</t>
  </si>
  <si>
    <t>HOMELIFE CLNR GLS W/AM REFL</t>
  </si>
  <si>
    <t>HOMELIFE% CLNR GLASS W/AMON</t>
  </si>
  <si>
    <t>NATURE'S GLASS TRIGGER</t>
  </si>
  <si>
    <t>WINDEX  % ANTIBACTERIAL TRGR</t>
  </si>
  <si>
    <t>WINDEX  % CRYSTAL RAIN</t>
  </si>
  <si>
    <t>WINDEX  % MS VINEGAR</t>
  </si>
  <si>
    <t>WINDEX  % NO DRIP</t>
  </si>
  <si>
    <t>WINDEX CLEANER GLASS RFLL</t>
  </si>
  <si>
    <t>WINDEX GLASS&amp;SURFACE WIPE</t>
  </si>
  <si>
    <t>WINDEX MULTI-SURFACE WIPE</t>
  </si>
  <si>
    <t>WINDEX W/SPRAYER</t>
  </si>
  <si>
    <t>WINDEX% BLUE TRIGGER VPK</t>
  </si>
  <si>
    <t>BRILLO PADS LEMON</t>
  </si>
  <si>
    <t>BRILLO SOAP PADS</t>
  </si>
  <si>
    <t>BRILLO STEEL WOOL</t>
  </si>
  <si>
    <t>BRILLO STEEL WOOL W/SP</t>
  </si>
  <si>
    <t>CHORE BOY ALL PURPOSE SPONGE</t>
  </si>
  <si>
    <t>CHORE BOY COPPER PADS</t>
  </si>
  <si>
    <t>CHORE BOY H D SCRUB SPONGE</t>
  </si>
  <si>
    <t>CHORE BOY HD SCRUB SPONGE 3S</t>
  </si>
  <si>
    <t>CHORE BOY LONGLASTSCRUBSPONG</t>
  </si>
  <si>
    <t>SOS CLEAN &amp; TOSS</t>
  </si>
  <si>
    <t>SOS HD SCRUBBER SPONGE</t>
  </si>
  <si>
    <t>SOS LEMON</t>
  </si>
  <si>
    <t>SOS PADS</t>
  </si>
  <si>
    <t>SOS SOAP PADS</t>
  </si>
  <si>
    <t>SOS SPONGE ALL SURFACE</t>
  </si>
  <si>
    <t>SOS SPONGE HEAVY DUTY</t>
  </si>
  <si>
    <t>BEHOLD LEMON</t>
  </si>
  <si>
    <t>ENDUST FREE</t>
  </si>
  <si>
    <t>ENDUST POLISH LEMON/FURNI</t>
  </si>
  <si>
    <t>HOMELIFE POLISH FURN LEMON</t>
  </si>
  <si>
    <t>METHOD FURN POLISH 12OZ</t>
  </si>
  <si>
    <t>METHOD WIPES 24CT</t>
  </si>
  <si>
    <t>OL ENGLSH SCRTCH CVR DRK WD</t>
  </si>
  <si>
    <t>OLD ENGLS ALMOND AEROSOL</t>
  </si>
  <si>
    <t>PLEDGE EXTRA MOISTURIZING</t>
  </si>
  <si>
    <t>PLEDGE FABRIC SWEEPER</t>
  </si>
  <si>
    <t>PLEDGE FURNITURE WIPES</t>
  </si>
  <si>
    <t>PLEDGE LEMON FURN POLISH</t>
  </si>
  <si>
    <t>PLEDGE MULTI SUR DUST REF</t>
  </si>
  <si>
    <t>PLEDGE MULTI SURF DST SRT</t>
  </si>
  <si>
    <t>PLEDGE POLISH FURNITURE</t>
  </si>
  <si>
    <t>PLEDGE PROTECTION PLUS</t>
  </si>
  <si>
    <t>RESOLVE MULTI FABRIC CLNR</t>
  </si>
  <si>
    <t>SCOTTS POLISH LIQD GLD/AE</t>
  </si>
  <si>
    <t>9.70 OZ</t>
  </si>
  <si>
    <t>SWIFFER D&amp;S FRSH CITRUS</t>
  </si>
  <si>
    <t>SWIFFER D&amp;S LAV VANILLA</t>
  </si>
  <si>
    <t>SWIFFER DST&amp;SHINE TROP BRZ</t>
  </si>
  <si>
    <t>SWIFFER DUST &amp; SHINE GB</t>
  </si>
  <si>
    <t>SWIFFER DUSTER 10CT REFILL</t>
  </si>
  <si>
    <t>SWIFFER DUSTER KIT</t>
  </si>
  <si>
    <t>SWIFFER DUSTER KIT 5CT</t>
  </si>
  <si>
    <t>SWIFFER DUSTER REF</t>
  </si>
  <si>
    <t>SWIFFER DUSTER REF SCENT</t>
  </si>
  <si>
    <t>SWIFFER DUSTER RFL LAV VAN</t>
  </si>
  <si>
    <t>CAMEO CLEANER STNLSS/STL</t>
  </si>
  <si>
    <t>METHOD STAINLESS STL PLSH</t>
  </si>
  <si>
    <t>WEIMAN SS CLEANR &amp; POLISH</t>
  </si>
  <si>
    <t>WRIGHTS BRASS POLISH*</t>
  </si>
  <si>
    <t>WRIGHTS CLEANER COPPER CRM</t>
  </si>
  <si>
    <t>WRIGHTS SILVER CREAM</t>
  </si>
  <si>
    <t>ARMSTRONG FLOOR CLNR NO WAX*</t>
  </si>
  <si>
    <t>BISSELL FIBER CLN W/SCOTCH</t>
  </si>
  <si>
    <t>BISSELL OXYDEEPPWRSHT14OZ</t>
  </si>
  <si>
    <t>BRUCE DURALUSTERNO-WAX C</t>
  </si>
  <si>
    <t>16 CT</t>
  </si>
  <si>
    <t>CLOROX RDY MOP CLEANING P</t>
  </si>
  <si>
    <t>CLOROX READY MOP FLR CLNR</t>
  </si>
  <si>
    <t>FORM 409 CARPET CLRN AEROSL</t>
  </si>
  <si>
    <t>FUTURE FLOOR WAX</t>
  </si>
  <si>
    <t>GRAB-IT DRY CLOTH UNSCENTD</t>
  </si>
  <si>
    <t>HOLLOWAY QUICK SHINE</t>
  </si>
  <si>
    <t>HOMELIFE CLEANER RUG</t>
  </si>
  <si>
    <t>HOMELIFE DUSTER W/HNDL A/P</t>
  </si>
  <si>
    <t>HOMELIFE SWEEPER CLOTH WET</t>
  </si>
  <si>
    <t>HOMELIFE SWEEPER CLOTHS DRY</t>
  </si>
  <si>
    <t>HOMELIFE SWEEPERKIT ALL-PUR</t>
  </si>
  <si>
    <t>METHOD DAILY GRANITE SPRY</t>
  </si>
  <si>
    <t>MOP &amp; GLO FLR CLNR TRIPLE A</t>
  </si>
  <si>
    <t>PLEDGE PLDG TILE&amp;VNL CLR</t>
  </si>
  <si>
    <t>PLEDGE WOOD FLR CLNR</t>
  </si>
  <si>
    <t>RESOLVE CLEANER CARPET</t>
  </si>
  <si>
    <t>RESOLVE DEEP CLEAN POWDER</t>
  </si>
  <si>
    <t>SPOT SHOT CARPET STAIN REMOV</t>
  </si>
  <si>
    <t>SWIFFER 32CT DISPOSBL CLOT</t>
  </si>
  <si>
    <t>SWIFFER ANTIBACTERIAL SOLU</t>
  </si>
  <si>
    <t>SWIFFER CLOTHS DRY LAV VAN</t>
  </si>
  <si>
    <t>SWIFFER DISPOSABLE CLOTHS</t>
  </si>
  <si>
    <t>SWIFFER SWIFFER</t>
  </si>
  <si>
    <t>SWIFFER SWIFFER WETJET</t>
  </si>
  <si>
    <t>SWIFFER WET CITRUS CLOTH</t>
  </si>
  <si>
    <t>SWIFFER WET CLOTHS LAV VAN</t>
  </si>
  <si>
    <t>SWIFFER WET JET MULTI PRP</t>
  </si>
  <si>
    <t>SWIFFER WET LEMN CLTHS RFL</t>
  </si>
  <si>
    <t>SWIFFER WET REFILL</t>
  </si>
  <si>
    <t>SWIFFER WET REFILLS</t>
  </si>
  <si>
    <t>SWIFFER WETJET MP LAV VAN</t>
  </si>
  <si>
    <t>SWIFFER WETJET PAD REFILL</t>
  </si>
  <si>
    <t>WOOLITE DEEP STAIN</t>
  </si>
  <si>
    <t>WOOLITE HEAVY TRAFFIC FOAM</t>
  </si>
  <si>
    <t>WOOLITE OXY DEEP STEAM</t>
  </si>
  <si>
    <t>WOOLITE PET STAIN</t>
  </si>
  <si>
    <t>WOOLITE RUG STICK KIT</t>
  </si>
  <si>
    <t>.71 FZ</t>
  </si>
  <si>
    <t>AIR WICK AW FRSTD RFL PARAD</t>
  </si>
  <si>
    <t>AIRWICK AERO RAIN GARDEN</t>
  </si>
  <si>
    <t>AIRWICK AEROSOL SUNSPLASH</t>
  </si>
  <si>
    <t>AIRWICK AQUA MORNING RAIN</t>
  </si>
  <si>
    <t>AIRWICK CRISP BREEZE AERO</t>
  </si>
  <si>
    <t>AIRWICK CRP BREZZE BILSTER</t>
  </si>
  <si>
    <t>AIRWICK FRESH MINI VANILLA</t>
  </si>
  <si>
    <t>6.17 FZ</t>
  </si>
  <si>
    <t>AIRWICK FRESH ULTRA VANILL</t>
  </si>
  <si>
    <t>AIRWICK FRMTC MINI LAV FLD</t>
  </si>
  <si>
    <t>6.17 OZ</t>
  </si>
  <si>
    <t>AIRWICK FRSH CTRS KIT AERO</t>
  </si>
  <si>
    <t>AIRWICK FRSH CTRS RFL AERO</t>
  </si>
  <si>
    <t>AIRWICK FRSHMTC FRSHWTR RF</t>
  </si>
  <si>
    <t>AIRWICK FRST RFL APL&amp;CIN</t>
  </si>
  <si>
    <t>AIRWICK FRSTD REFL VANILLA</t>
  </si>
  <si>
    <t>AIRWICK I-MOTION MT BR KIT</t>
  </si>
  <si>
    <t>AIRWICK INDULGENCE REFILL</t>
  </si>
  <si>
    <t>AIRWICK JSMN &amp; KIWI REFILL</t>
  </si>
  <si>
    <t>AIRWICK LUMIN'AIR VANILLA</t>
  </si>
  <si>
    <t>AIRWICK ODOR STOP</t>
  </si>
  <si>
    <t>AIRWICK OIL RFL AMBER/ROSE</t>
  </si>
  <si>
    <t>AIRWICK OIL RFL LAVNDR&amp;CHM</t>
  </si>
  <si>
    <t>AIRWICK SO IMOTION LAV VAN</t>
  </si>
  <si>
    <t>AIRWICK VAN ESSC FRESHNER</t>
  </si>
  <si>
    <t>AIRWICK WMR SCNT OIL NL</t>
  </si>
  <si>
    <t>AIRWICK WMR UNIT SCNT OIL</t>
  </si>
  <si>
    <t>FEBREZE AE APLSPICE&amp;DLITE</t>
  </si>
  <si>
    <t>FEBREZE AE LIN&amp;SKY</t>
  </si>
  <si>
    <t>FEBREZE AE MDWS &amp; RAIN</t>
  </si>
  <si>
    <t>FEBREZE AE ROCKYSPRNG&amp;COOL</t>
  </si>
  <si>
    <t>FEBREZE AE SPRG &amp; RNWL</t>
  </si>
  <si>
    <t>FEBREZE AE VANILLA</t>
  </si>
  <si>
    <t>FEBREZE AIR EFFCTS LAVENDR</t>
  </si>
  <si>
    <t>FEBREZE BRAZILIAN CARNIVAL</t>
  </si>
  <si>
    <t>FEBREZE CANDL SPRING&amp;RENEW</t>
  </si>
  <si>
    <t>FEBREZE CANDLE BRAZ CARNIV</t>
  </si>
  <si>
    <t>FEBREZE CANDLE PET</t>
  </si>
  <si>
    <t>FEBREZE CNDL HAW ALOHA</t>
  </si>
  <si>
    <t>FEBREZE CNDL LAV VAN COMF</t>
  </si>
  <si>
    <t>FEBREZE EX STRENGTH CLN LT</t>
  </si>
  <si>
    <t>FEBREZE HAWAIIAN ALOHA</t>
  </si>
  <si>
    <t>FEBREZE MOROCCAN BAZAR</t>
  </si>
  <si>
    <t>.89 FZ</t>
  </si>
  <si>
    <t>FEBREZE NIGHT LIGHT RF EE&amp;</t>
  </si>
  <si>
    <t>FEBREZE NIGHTLIGHT RN&amp;DD</t>
  </si>
  <si>
    <t>FEBREZE NOTC PET REFILL</t>
  </si>
  <si>
    <t>FEBREZE NOTC SK PET</t>
  </si>
  <si>
    <t>1.758 F</t>
  </si>
  <si>
    <t>FEBREZE NTCBL DUL MW&amp;CR RF</t>
  </si>
  <si>
    <t>.879 FZ</t>
  </si>
  <si>
    <t>FEBREZE NTCBL LAVENDAR RFL</t>
  </si>
  <si>
    <t>.87 FZ</t>
  </si>
  <si>
    <t>FEBREZE NTCBL PR&amp;SS REFILL</t>
  </si>
  <si>
    <t>FEBREZE NTCBL REFILL MW&amp;CR</t>
  </si>
  <si>
    <t>FEBREZE OIL WARMER MW&amp;CR</t>
  </si>
  <si>
    <t>FEBREZE PET ODOR AIR EFFCT</t>
  </si>
  <si>
    <t>FEBREZE PWDR&amp;PAMPR AIR EFF</t>
  </si>
  <si>
    <t>FEBREZE RF DUAL PK EE RS</t>
  </si>
  <si>
    <t>FEBREZE RF DUAL PK LV &amp; GC</t>
  </si>
  <si>
    <t>FEBREZE RF HAWAIIAN ALOHA</t>
  </si>
  <si>
    <t>FEBREZE RF MOROCCAN BAZAR</t>
  </si>
  <si>
    <t>GLADE 2IN1 BRRY/WLD RASP</t>
  </si>
  <si>
    <t>GLADE AERO 9OZ WTTEALILY</t>
  </si>
  <si>
    <t>GLADE AERO APPLE CINNAMN</t>
  </si>
  <si>
    <t>GLADE AERO FRUIT EXPLOSN</t>
  </si>
  <si>
    <t>GLADE AERO HAWAII BREEZE</t>
  </si>
  <si>
    <t>GLADE AERO SPA FRESH</t>
  </si>
  <si>
    <t>GLADE AERO TROPICAL MIST</t>
  </si>
  <si>
    <t>GLADE AIR INFUSION APPLE</t>
  </si>
  <si>
    <t>GLADE AIR INFUSION LINEN</t>
  </si>
  <si>
    <t>GLADE AREO STRWBRY&amp;CREAM</t>
  </si>
  <si>
    <t>GLADE AUTO REFL OUTDOOR</t>
  </si>
  <si>
    <t>GLADE CANDLE CLEAN LINEN</t>
  </si>
  <si>
    <t>GLADE CANDLE CRM CUSTARD</t>
  </si>
  <si>
    <t>GLADE CANDLE CURRANTS</t>
  </si>
  <si>
    <t>GLADE CANDLE FRNCH VANIL</t>
  </si>
  <si>
    <t>GLADE CANDLE LOTUS BAMBO</t>
  </si>
  <si>
    <t>GLADE CANDLE MOONLIT</t>
  </si>
  <si>
    <t>GLADE CANDLE OCEAN BLUE</t>
  </si>
  <si>
    <t>GLADE CANDLE PCHS&amp;PETALS</t>
  </si>
  <si>
    <t>GLADE CANDLE SHR COTTON</t>
  </si>
  <si>
    <t>.23 FZ</t>
  </si>
  <si>
    <t>GLADE CAR OIL KIT TROP</t>
  </si>
  <si>
    <t>GLADE CAR SCNT. OIL HOLD</t>
  </si>
  <si>
    <t>1.42 FZ</t>
  </si>
  <si>
    <t>GLADE CIN/APL AIR FRSHNR</t>
  </si>
  <si>
    <t>GLADE CLEAN LINEN AERO</t>
  </si>
  <si>
    <t>GLADE CNDL ANGL WHSPRS</t>
  </si>
  <si>
    <t>GLADE CNDL APPL CINNAMON</t>
  </si>
  <si>
    <t>GLADE CNDL STRWBRRS&amp;CRM</t>
  </si>
  <si>
    <t>GLADE CNDL SUDDNLY SPRNG</t>
  </si>
  <si>
    <t>GLADE COUNTRY GARDN AERO</t>
  </si>
  <si>
    <t>GLADE CSO OCN BL RFL</t>
  </si>
  <si>
    <t>GLADE FRSH MNT MORNING</t>
  </si>
  <si>
    <t>GLADE GLD PISO REF CL LN</t>
  </si>
  <si>
    <t>GLADE GLD PISO REF OCN B</t>
  </si>
  <si>
    <t>.17 FZ</t>
  </si>
  <si>
    <t>GLADE GLD PLGIN WRM OCBL</t>
  </si>
  <si>
    <t>0.43 OZ</t>
  </si>
  <si>
    <t>GLADE GLD SENSE&amp;SPRAY PO</t>
  </si>
  <si>
    <t>GLADE GLS SCNT HAWAIN</t>
  </si>
  <si>
    <t>GLADE GLSS SCNTS APL/CIN</t>
  </si>
  <si>
    <t>GLADE JASMINE&amp;WHT ROSE</t>
  </si>
  <si>
    <t>GLADE LAVENDER&amp;VANILLA</t>
  </si>
  <si>
    <t>GLADE NEUTRLZR AERO</t>
  </si>
  <si>
    <t>GLADE OIL CDL RFL CLN LN</t>
  </si>
  <si>
    <t>GLADE OIL REFL APL/CIN</t>
  </si>
  <si>
    <t>.51 FZ</t>
  </si>
  <si>
    <t>GLADE PGIN GEL RF LAV VA</t>
  </si>
  <si>
    <t>GLADE PGIN SOC RF SWT PL</t>
  </si>
  <si>
    <t>.51 OZ</t>
  </si>
  <si>
    <t>GLADE PI CLEAN LINEN RFL</t>
  </si>
  <si>
    <t>GLADE PI CLN LNEN OIL RF</t>
  </si>
  <si>
    <t>.17 OZ</t>
  </si>
  <si>
    <t>GLADE PIN WARM EX OUTLET</t>
  </si>
  <si>
    <t>GLADE PISO 2CT LAV&amp;VAN</t>
  </si>
  <si>
    <t>GLADE PISO 2CT OCN BLUE</t>
  </si>
  <si>
    <t>GLADE PISO BASE WARMER</t>
  </si>
  <si>
    <t>GLADE PISO HAWAII BRZ RF</t>
  </si>
  <si>
    <t>GLADE PISO LAST IMPRESS</t>
  </si>
  <si>
    <t>GLADE PISO LST IMP START</t>
  </si>
  <si>
    <t>GLADE PISO RF CLN LINEN</t>
  </si>
  <si>
    <t>GLADE PISO VANILLA BZ RF</t>
  </si>
  <si>
    <t>GLADE PISO WARMER W/FAN</t>
  </si>
  <si>
    <t>GLADE PISO WARMR W/NT LT</t>
  </si>
  <si>
    <t>GLADE PLG RF TROPC TRIPK</t>
  </si>
  <si>
    <t>GLADE PLGIN GL CLN LINEN</t>
  </si>
  <si>
    <t>GLADE PLGIN GL WRM AP CI</t>
  </si>
  <si>
    <t>GLADE PLGIN SCTD OL ODF</t>
  </si>
  <si>
    <t>GLADE PLGIN SOC RF BRBD</t>
  </si>
  <si>
    <t>GLADE PLUG-IN OL RFL VAN</t>
  </si>
  <si>
    <t>GLADE POTPOURRI LILAC SP</t>
  </si>
  <si>
    <t>GLADE POWDER FRESH</t>
  </si>
  <si>
    <t>GLADE REFL APPLE CINNAMN</t>
  </si>
  <si>
    <t>GLADE RFL OIL HWAIN BRZ</t>
  </si>
  <si>
    <t>GLADE RFL WHITE TEA LILL</t>
  </si>
  <si>
    <t>GLADE SCENT CLEAN LINEN</t>
  </si>
  <si>
    <t>GLADE SCNTD CNDL OIL RFL</t>
  </si>
  <si>
    <t>GLADE SCTOIL RFL APLCINN</t>
  </si>
  <si>
    <t>GLADE SENSE&amp;SPRAY STARTR</t>
  </si>
  <si>
    <t>GLADE SNS&amp;SPRY REF APLCN</t>
  </si>
  <si>
    <t>GLADE SNS&amp;SPRY REF CL LN</t>
  </si>
  <si>
    <t>GLADE SNS&amp;SPRY REF CNTRY</t>
  </si>
  <si>
    <t>GLADE SNTOILCNDLREF ORCH</t>
  </si>
  <si>
    <t>GLADE SNTOILCNDLREF SPIC</t>
  </si>
  <si>
    <t>GLADE SO CNDL REF OCN BL</t>
  </si>
  <si>
    <t>GLADE SOC HLD ANG WISP</t>
  </si>
  <si>
    <t>GLADE SOC REFL LUSC PEAR</t>
  </si>
  <si>
    <t>GLADE SOC RF ANG WISP</t>
  </si>
  <si>
    <t>GLADE SOC RF JAS &amp; WT RS</t>
  </si>
  <si>
    <t>GLADE SOC RF LAV MED</t>
  </si>
  <si>
    <t>GLADE SOY CANDLE APPLE</t>
  </si>
  <si>
    <t>GLADE SOY CANDLE EARTHLY</t>
  </si>
  <si>
    <t>GLADE SOY CANDLE ORNGVAN</t>
  </si>
  <si>
    <t>.26 FZ</t>
  </si>
  <si>
    <t>GLADE WISP REF APPLE/CIN</t>
  </si>
  <si>
    <t>GLADE WSP FLM CND FRN VA</t>
  </si>
  <si>
    <t>GLADE WSP FLM CNDL CL LI</t>
  </si>
  <si>
    <t>HOMELIFE CANDLE APPLE'N SPC</t>
  </si>
  <si>
    <t>HOMELIFE CANDLE COTTON SCNT</t>
  </si>
  <si>
    <t>HOMELIFE CANDLE SPRINGSCENT</t>
  </si>
  <si>
    <t>HOMELIFE CANDLE VANILLA CKY</t>
  </si>
  <si>
    <t>HOMELIFE GEL AIR FRSH CTTN</t>
  </si>
  <si>
    <t>HOMELIFE GEL AIR FRSH MELON</t>
  </si>
  <si>
    <t>HOMELIFE GEL AIR FRSH OCEAN</t>
  </si>
  <si>
    <t>0.71 FZ</t>
  </si>
  <si>
    <t>HOMELIFE OIL REFILL APL CIN</t>
  </si>
  <si>
    <t>HOMELIFE OIL REFILL COTTON</t>
  </si>
  <si>
    <t>HOMELIFE OIL REFILL LAVENDR</t>
  </si>
  <si>
    <t>HOMELIFE OIL REFILL VANILLA</t>
  </si>
  <si>
    <t>LYSOL 12NEUTRA AIR FRESH</t>
  </si>
  <si>
    <t>LYSOL CITRUS MEADOWS</t>
  </si>
  <si>
    <t>LYSOL DISFT SPRY MRNGBRZ</t>
  </si>
  <si>
    <t>LYSOL DISNF SPR SPNG WTF</t>
  </si>
  <si>
    <t>LYSOL MOUNTAIN SCENT</t>
  </si>
  <si>
    <t>LYSOL NTRAIRFRMT RFL LEM</t>
  </si>
  <si>
    <t>LYSOL SPRAY COUNTRY SCNT</t>
  </si>
  <si>
    <t>LYSOL SPRAY CRISP LINEN</t>
  </si>
  <si>
    <t>LYSOL SPRAY ORIG DISNFCT</t>
  </si>
  <si>
    <t>NEUTRAAIR FRESH MRNING LINEN</t>
  </si>
  <si>
    <t>NUTRA AIR FRMTC KIT FR SCENT</t>
  </si>
  <si>
    <t>NUTRA AIR FRMTC REFILL FR SC</t>
  </si>
  <si>
    <t>OUST AERO CLEAN SCT.</t>
  </si>
  <si>
    <t>OUST AIR SANTZR CIT AER</t>
  </si>
  <si>
    <t>OUST AIRSNTZR OUTDR AER</t>
  </si>
  <si>
    <t>OUST CITRUS SURF &amp; AIR</t>
  </si>
  <si>
    <t>OUST CLEAN SURF &amp; AIR</t>
  </si>
  <si>
    <t>OUST CNDL RFL CLEAN SCT</t>
  </si>
  <si>
    <t>RENUZIT ADJ APPLE CINNAMON</t>
  </si>
  <si>
    <t>RENUZIT ADJ LAVENDR&amp;VIOLET</t>
  </si>
  <si>
    <t>RENUZIT ADJ VANILLA DELGHT</t>
  </si>
  <si>
    <t>RENUZIT ADJUST CITRUS SUNB</t>
  </si>
  <si>
    <t>RENUZIT DEODORIZER FOREST</t>
  </si>
  <si>
    <t>RENUZIT DEODORIZER ODOR KL</t>
  </si>
  <si>
    <t>RENUZIT RELAXING SPA ADJ</t>
  </si>
  <si>
    <t>RENUZIT SON PRL PURE BRZ</t>
  </si>
  <si>
    <t>RENUZIT SON PURE BREEZE</t>
  </si>
  <si>
    <t>RENUZIT SUNNY LAUNDRY</t>
  </si>
  <si>
    <t>RENUZIT WHITE PEONY</t>
  </si>
  <si>
    <t>WIZARD LAVNDR&amp;CHAMOL AERO</t>
  </si>
  <si>
    <t>WIZARD NEUTRA AIR AEROSOL</t>
  </si>
  <si>
    <t>AIRWICK OIL RF TRANQUILITY</t>
  </si>
  <si>
    <t>AIRWICK SO DELIGHTFUL RFL</t>
  </si>
  <si>
    <t>ARM &amp; HAM PET FRESH</t>
  </si>
  <si>
    <t>CARPET FR *NEUTRA AIR/PETS</t>
  </si>
  <si>
    <t>CARPET FR NOVAC APL CINN</t>
  </si>
  <si>
    <t>CARPET FR NVAC MRN FOAM</t>
  </si>
  <si>
    <t>CARPET FR NVAC SPET FOAM</t>
  </si>
  <si>
    <t>CARPET FR POTPOURRI</t>
  </si>
  <si>
    <t>CRPT FRSH MOUNTAIN ESSENCE</t>
  </si>
  <si>
    <t>GLADE C&amp;R  BERRY SPLASH</t>
  </si>
  <si>
    <t>GLADE CRPT&amp;RM CLN LINEN</t>
  </si>
  <si>
    <t>GLADE CRPT&amp;RM RAINSHWR</t>
  </si>
  <si>
    <t>GLADE FAB &amp; AIR ELM TROP</t>
  </si>
  <si>
    <t>GLADE FABAIR ELIM FRSH</t>
  </si>
  <si>
    <t>GLADE FABAIR PWD FRSH</t>
  </si>
  <si>
    <t>GLADE FABRIC &amp; AIR ELMTR</t>
  </si>
  <si>
    <t>GLADE GLD CRPT&amp;RM TRPCLM</t>
  </si>
  <si>
    <t>GLADE RUG&amp;RM CNTRY GRDN</t>
  </si>
  <si>
    <t>GLADE SENS&amp;SPRY CINN APL</t>
  </si>
  <si>
    <t>RESOLVE FOAM RUG CLEANER</t>
  </si>
  <si>
    <t>HOMELIFE BAG LUNCH GIANT</t>
  </si>
  <si>
    <t>HOMELIFE BAG LUNCH REGULAR</t>
  </si>
  <si>
    <t>HOMELIFE YARD BAGS PAPER</t>
  </si>
  <si>
    <t>GLAD 13GAL TL KITCHN BG</t>
  </si>
  <si>
    <t>GLAD 13GL ODRSHLD D.S.</t>
  </si>
  <si>
    <t>GLAD BAG GRBG SML 4 GAL</t>
  </si>
  <si>
    <t>GLAD BAGS LARGE KITCHEN</t>
  </si>
  <si>
    <t>GLAD BAGS TRASH 30 GAL</t>
  </si>
  <si>
    <t>33 GA</t>
  </si>
  <si>
    <t>GLAD CLEAR RECYCLE</t>
  </si>
  <si>
    <t>GLAD COMPACTOR BAG</t>
  </si>
  <si>
    <t>GLAD DRWS 13GL TL KIT</t>
  </si>
  <si>
    <t>GLAD DRWSTRNG 30GL TRSH</t>
  </si>
  <si>
    <t>GLAD DRWSTRNG TRSH 30GL</t>
  </si>
  <si>
    <t>GLAD DS ODOR SHEILD TSH</t>
  </si>
  <si>
    <t>GLAD DS TK VANILLA OS</t>
  </si>
  <si>
    <t>GLAD FFLX ODR SH TK 13G</t>
  </si>
  <si>
    <t>GLAD FORCEFLEX LAWN BAG</t>
  </si>
  <si>
    <t>GLAD FORCEFLEX LG BAGS</t>
  </si>
  <si>
    <t>GLAD FORCEFLEX MED BAGS</t>
  </si>
  <si>
    <t>GLAD FORCEFLX DS LG 30G</t>
  </si>
  <si>
    <t>GLAD FORCEFLX DS TK 13G</t>
  </si>
  <si>
    <t>38 CT</t>
  </si>
  <si>
    <t>GLAD FRC FLX QCK TIE</t>
  </si>
  <si>
    <t>GLAD FRC FLX QCK TIE TR</t>
  </si>
  <si>
    <t>55 CT</t>
  </si>
  <si>
    <t>GLAD FRCFLX QCK TY TL K</t>
  </si>
  <si>
    <t>GLAD HNDL T TL KIT 13GL</t>
  </si>
  <si>
    <t>GLAD HNDLTIE 13GL TL KT</t>
  </si>
  <si>
    <t>GLAD ODR SHLD DRAWST KT</t>
  </si>
  <si>
    <t>GLAD OUTDR TRSH 30GAL</t>
  </si>
  <si>
    <t>GLAD QK TIE 13GL TL KIT</t>
  </si>
  <si>
    <t>GLAD QK TIE 39GL LWN BG</t>
  </si>
  <si>
    <t>GLAD QKTIE 30GL TRSH BG</t>
  </si>
  <si>
    <t>GLAD TALL KITCHEN DRAWS</t>
  </si>
  <si>
    <t>45 CT</t>
  </si>
  <si>
    <t>GLAD TL KIT DRWST 13GAL</t>
  </si>
  <si>
    <t>GLAD+ HNDL TIE 30GL TRSH</t>
  </si>
  <si>
    <t>HEFTY BAG, KTCHN/TL CNCH</t>
  </si>
  <si>
    <t>HEFTY BAGS CINCH SAK TRS</t>
  </si>
  <si>
    <t>HEFTY BAGS HIGH CT TRASH</t>
  </si>
  <si>
    <t>HEFTY BASIC TALL KITCH</t>
  </si>
  <si>
    <t>HEFTY BASIC TRASH BAGS</t>
  </si>
  <si>
    <t>HEFTY BG EZ FLP TLL KTCH</t>
  </si>
  <si>
    <t>HEFTY CINCH SAK 30 GAL</t>
  </si>
  <si>
    <t>HEFTY CINCH SAK TKGB</t>
  </si>
  <si>
    <t>HEFTY CINCHSAK 30 GALLON</t>
  </si>
  <si>
    <t>HEFTY CINCHSAK 33 GAL</t>
  </si>
  <si>
    <t>HEFTY GRIP KTCHN BG 13GL</t>
  </si>
  <si>
    <t>HEFTY LAWN &amp; LEAF BAG</t>
  </si>
  <si>
    <t>HEFTY TALL KITCHEN 13GAL</t>
  </si>
  <si>
    <t>HEFTY ULT FLX TL KT 13GL</t>
  </si>
  <si>
    <t>HEFTY ULTRA FLEX 30 GAL</t>
  </si>
  <si>
    <t>HOMELIFE BAG COMPACTOR 20GA</t>
  </si>
  <si>
    <t>HOMELIFE BAG GARBAGE 4 GALN</t>
  </si>
  <si>
    <t>HOMELIFE BAG LN&amp;LF CLR 39GA</t>
  </si>
  <si>
    <t>HOMELIFE BAG LWN&amp;LF 39 GALN</t>
  </si>
  <si>
    <t>HOMELIFE BAG TALL KIT 13GAL</t>
  </si>
  <si>
    <t>90 CT</t>
  </si>
  <si>
    <t>HOMELIFE BAG TL KIT MAX PK</t>
  </si>
  <si>
    <t>HOMELIFE BAG TL KT DRW SPRF</t>
  </si>
  <si>
    <t>HOMELIFE BAG TL KT ELST DRW</t>
  </si>
  <si>
    <t>HOMELIFE BAG TL KT ODOR PRO</t>
  </si>
  <si>
    <t>HOMELIFE BAG TLKT DRWS 13GA</t>
  </si>
  <si>
    <t>HOMELIFE BAG TRASH 30 GALLN</t>
  </si>
  <si>
    <t>HOMELIFE BAG TRASH 30GA CLR</t>
  </si>
  <si>
    <t>HOMELIFE BAG TRASH DRWSTR</t>
  </si>
  <si>
    <t>HOMELIFE BAG TRASH LRG 33GA</t>
  </si>
  <si>
    <t>HOMELIFE BAG TRASH SPR SZ</t>
  </si>
  <si>
    <t>HOMELIFE BAG TRASH SPRS CLR</t>
  </si>
  <si>
    <t>HOMELIFE BAG TRSH DRW SFLX</t>
  </si>
  <si>
    <t>HOMELIFE BAG TRSH DRWS 30GA</t>
  </si>
  <si>
    <t>HOMELIFE BAG TRSH MXPK 30GA</t>
  </si>
  <si>
    <t>HOMELIFE BAG WSTBSK LNR 8GA</t>
  </si>
  <si>
    <t>HOMELIFE BG TLKT HDL TP13GA</t>
  </si>
  <si>
    <t>SHOP VALU 13G DRWSTG T KIT B</t>
  </si>
  <si>
    <t>SHOP VALU 30G DRAWSTRG TRASH</t>
  </si>
  <si>
    <t>SHOP VALU BAGS TALL KITCHEN</t>
  </si>
  <si>
    <t>SHOP VALU BAGS TRASH 30 GAL</t>
  </si>
  <si>
    <t>SHOP VALU BAGS TRASH/LARGE</t>
  </si>
  <si>
    <t>SHOP VALU TALL KITCH BLUE</t>
  </si>
  <si>
    <t>SHOP VALU TALL KITCHEN BAG</t>
  </si>
  <si>
    <t>SHOP VALU YARD BAGS 33 GALLN</t>
  </si>
  <si>
    <t>GLAD BAG, FREEZER/GALLN</t>
  </si>
  <si>
    <t>GLAD BAG, STORAGE/QRT</t>
  </si>
  <si>
    <t>GLAD BAGS FREEZER</t>
  </si>
  <si>
    <t>GLAD BAGS FREEZER GAL</t>
  </si>
  <si>
    <t>GLAD BAGS FREEZER QUART</t>
  </si>
  <si>
    <t>GLAD BAGS PINT STORAGE</t>
  </si>
  <si>
    <t>GLAD BAGS SANDWICH/LOCK</t>
  </si>
  <si>
    <t>GLAD BAGS SEAL SANDWICH</t>
  </si>
  <si>
    <t>GLAD BAGS STORAGE GAL</t>
  </si>
  <si>
    <t>GLAD BAGS STORAGE QRT</t>
  </si>
  <si>
    <t>GLAD BAGS ZIPPER SNACK</t>
  </si>
  <si>
    <t>94 CT</t>
  </si>
  <si>
    <t>GLAD FOOD STORAGE BAGS</t>
  </si>
  <si>
    <t>GLAD LOCK BAG GAL STORG</t>
  </si>
  <si>
    <t>GLAD OPN MTH SNDWCH BAG</t>
  </si>
  <si>
    <t>GLAD SIMPLY COOKING BAG</t>
  </si>
  <si>
    <t>GLADWARE BIG BOWL</t>
  </si>
  <si>
    <t>GLADWARE CONTAINERS ENTREE</t>
  </si>
  <si>
    <t>GLADWARE CONTAINERS SP/SALD</t>
  </si>
  <si>
    <t>GLADWARE DEEP DISH</t>
  </si>
  <si>
    <t>GLADWARE GLADWARE VARTY PK</t>
  </si>
  <si>
    <t>GLADWARE MINI ROUND</t>
  </si>
  <si>
    <t>GLADWARE OVENWARE PANS/LIDS</t>
  </si>
  <si>
    <t>GLADWARE SIDE DISH</t>
  </si>
  <si>
    <t>GLADWARE SMALL BOWL</t>
  </si>
  <si>
    <t>GLADWARE TALL ENTREE</t>
  </si>
  <si>
    <t>HEFTY 1ZIP GAL FREEZER</t>
  </si>
  <si>
    <t>HEFTY 1ZIP GAL STORAGE</t>
  </si>
  <si>
    <t>HEFTY 1ZIP QRT FREEZER</t>
  </si>
  <si>
    <t>HEFTY 1ZIP QRT FRZR VLPK</t>
  </si>
  <si>
    <t>HEFTY 1ZIP QUART STORAGE</t>
  </si>
  <si>
    <t>HEFTY 1ZIP SANDWCH BAG</t>
  </si>
  <si>
    <t>HEFTY 1ZIP VP GLON FRZER</t>
  </si>
  <si>
    <t>HEFTY HFTY 1ZP JMB ST/FR</t>
  </si>
  <si>
    <t>HEFTY ONE ZIP VL PK GAL</t>
  </si>
  <si>
    <t>HEFTY ONE ZIP VL PK QT</t>
  </si>
  <si>
    <t>HEFTY ONE ZIP XL BIG BAG</t>
  </si>
  <si>
    <t>HOMELIFE BAG FOOD BREAD</t>
  </si>
  <si>
    <t>HOMELIFE BAG FRZR 2-GL RECL</t>
  </si>
  <si>
    <t>HOMELIFE BAG FRZR GAL RECLO</t>
  </si>
  <si>
    <t>HOMELIFE BAG FRZR GAL SLIDR</t>
  </si>
  <si>
    <t>HOMELIFE BAG FRZR GL RECLOS</t>
  </si>
  <si>
    <t>HOMELIFE BAG FRZR QT RECLOS</t>
  </si>
  <si>
    <t>HOMELIFE BAG FRZR QT SLIDER</t>
  </si>
  <si>
    <t>HOMELIFE BAG FRZRECL GL BNS</t>
  </si>
  <si>
    <t>HOMELIFE BAG RECLS SND BNS</t>
  </si>
  <si>
    <t>HOMELIFE BAG SNACK RECLOS</t>
  </si>
  <si>
    <t>HOMELIFE BAG SND RCL SPR SZ</t>
  </si>
  <si>
    <t>HOMELIFE BAG SNDWCH PLEATED</t>
  </si>
  <si>
    <t>HOMELIFE BAG SNDWCH RECLOS</t>
  </si>
  <si>
    <t>HOMELIFE BAG STRG GAL RECLO</t>
  </si>
  <si>
    <t>HOMELIFE BAG STRG GAL SLIDR</t>
  </si>
  <si>
    <t>HOMELIFE BAG STRG QT RECLOS</t>
  </si>
  <si>
    <t>HOMELIFE BAG STRG QT SLIDER</t>
  </si>
  <si>
    <t>HOMELIFE BAG STRRECL GL BNS</t>
  </si>
  <si>
    <t>HOMELIFE BAG STRRECL QT BNS</t>
  </si>
  <si>
    <t>HOMELIFE CNTNR DISPOS BGBWL</t>
  </si>
  <si>
    <t>HOMELIFE CNTNR DISPOS DPDSH</t>
  </si>
  <si>
    <t>HOMELIFE CNTNR DISPOS ENTRE</t>
  </si>
  <si>
    <t>HOMELIFE CNTNR DISPOS SNACK</t>
  </si>
  <si>
    <t>HOMELIFE CNTNR DISPOS SOUPS</t>
  </si>
  <si>
    <t>HOMELIFE CONTAINER TW &amp; STR</t>
  </si>
  <si>
    <t>REYNOLDS HVAC FREEZR BAG QT</t>
  </si>
  <si>
    <t>REYNOLDS HVAC FREZR BAG GAL</t>
  </si>
  <si>
    <t>REYNOLDS HVAC SEALER KIT</t>
  </si>
  <si>
    <t>SHOP VALU BAGS SANDWICH</t>
  </si>
  <si>
    <t>SHOPVALUE BAG FRZ STRG RCL</t>
  </si>
  <si>
    <t>SHOPVALUE BAG SNDWCH RECLOS</t>
  </si>
  <si>
    <t>ZIPLOC BAG GAL 20% FREE B</t>
  </si>
  <si>
    <t>ZIPLOC BAGS FREEZER FMLY</t>
  </si>
  <si>
    <t>ZIPLOC BAGS FREEZER GALLN</t>
  </si>
  <si>
    <t>ZIPLOC BAGS SANDWICH</t>
  </si>
  <si>
    <t>ZIPLOC BAGS STORAGE GALLN</t>
  </si>
  <si>
    <t>ZIPLOC BAGS ZIPLOC SAND</t>
  </si>
  <si>
    <t>ZIPLOC BAGS ZPLC FRZR GAL</t>
  </si>
  <si>
    <t>ZIPLOC BAGS ZPLC FRZR QRT</t>
  </si>
  <si>
    <t>ZIPLOC BAGS, SNACK/ZIPLOC</t>
  </si>
  <si>
    <t>ZIPLOC BG ZPLC SL STRG QT</t>
  </si>
  <si>
    <t>ZIPLOC BG ZPLC SLD STR GL</t>
  </si>
  <si>
    <t>ZIPLOC BIG BAGS XXL</t>
  </si>
  <si>
    <t>ZIPLOC DBL GUARD GAL FRZ</t>
  </si>
  <si>
    <t>ZIPLOC FLEXIBLE TOTES XL</t>
  </si>
  <si>
    <t>ZIPLOC FLEXIBLE TOTES XXL</t>
  </si>
  <si>
    <t>ZIPLOC FREEZER BAGS 2 GAL</t>
  </si>
  <si>
    <t>ZIPLOC FRSH PRODUCE BAG</t>
  </si>
  <si>
    <t>ZIPLOC GALLON FREEZER BAG</t>
  </si>
  <si>
    <t>ZIPLOC PINT FREEZER BAGS</t>
  </si>
  <si>
    <t>ZIPLOC SANDWICH BAG VP</t>
  </si>
  <si>
    <t>ZIPLOC STORAGE BAG QT</t>
  </si>
  <si>
    <t>ZIPLOC TWIST N LOC SM CON</t>
  </si>
  <si>
    <t>ZIPLOC VAC BAG PUMP START</t>
  </si>
  <si>
    <t>ZIPLOC VACUUM BAG GALLON</t>
  </si>
  <si>
    <t>ZIPLOC VACUUM PMP QRT RFL</t>
  </si>
  <si>
    <t>ZIPLOC XL SANDWICH BAGS</t>
  </si>
  <si>
    <t>ZIPLOC ZIP N STEAM MEDIUM</t>
  </si>
  <si>
    <t>ZIPLOC% 32 OZ CONTAINER</t>
  </si>
  <si>
    <t>ZIPLOC% BAGS FREEZER QRT</t>
  </si>
  <si>
    <t>ZIPLOC% BAGS ZIPLOC GALLON</t>
  </si>
  <si>
    <t>ZIPLOC% BAGS ZIPLOC QUART</t>
  </si>
  <si>
    <t>ZIPLOC% CONT SINGLE SERVE</t>
  </si>
  <si>
    <t>ZIPLOC% CONTAINER</t>
  </si>
  <si>
    <t>ZIPLOC% CONTAINER LG RECT</t>
  </si>
  <si>
    <t>ZIPLOC% CONTAINER ROUND</t>
  </si>
  <si>
    <t>ZIPLOC% FRZR QRT 20%BP RTD</t>
  </si>
  <si>
    <t>ZIPLOC% STORAGE GAL 20% BP</t>
  </si>
  <si>
    <t>ZIPLOC% STORG QT 20%BP RTD</t>
  </si>
  <si>
    <t>ZIPLOC% TALL RND CONTAINER</t>
  </si>
  <si>
    <t>75 SF</t>
  </si>
  <si>
    <t>HOMELIFE ALUM FOIL HD 75'</t>
  </si>
  <si>
    <t>37.5 SF</t>
  </si>
  <si>
    <t>HOMELIFE ALUM FOIL HVY DUTY</t>
  </si>
  <si>
    <t>50 SF</t>
  </si>
  <si>
    <t>HOMELIFE HVYDTY AUMINM FOIL</t>
  </si>
  <si>
    <t>200 SF</t>
  </si>
  <si>
    <t>HOMELIFE STAND ALUMINM FOIL</t>
  </si>
  <si>
    <t>25 SF</t>
  </si>
  <si>
    <t>35 SF</t>
  </si>
  <si>
    <t>REYNOLDS 35SF HVY RECY FOIL</t>
  </si>
  <si>
    <t>REYNOLDS 50SF RECYCLED FOIL</t>
  </si>
  <si>
    <t>REYNOLDS ALUMINUM FOIL</t>
  </si>
  <si>
    <t>REYNOLDS ALUMINUM FOIL/HVY</t>
  </si>
  <si>
    <t>REYNOLDS BAGS TURKEY/COKKIN</t>
  </si>
  <si>
    <t>REYNOLDS BROWN-IN-BAG</t>
  </si>
  <si>
    <t>REYNOLDS FOIL SANDWICH SHTS</t>
  </si>
  <si>
    <t>REYNOLDS HVY 75 SQ FT</t>
  </si>
  <si>
    <t>REYNOLDS HVY STRNG ALM FOIL</t>
  </si>
  <si>
    <t>REYNOLDS RELEASE NON STICK</t>
  </si>
  <si>
    <t>REYNOLDS REYN STD FOIL</t>
  </si>
  <si>
    <t>REYNOLDS SLOW COOKER LINERS</t>
  </si>
  <si>
    <t>SHOP VALU ALUM FOIL STD</t>
  </si>
  <si>
    <t>100 SF</t>
  </si>
  <si>
    <t>GLAD CLING WRAP</t>
  </si>
  <si>
    <t>140 SF</t>
  </si>
  <si>
    <t>GLAD PRESS N SEAL</t>
  </si>
  <si>
    <t>70 SF</t>
  </si>
  <si>
    <t>GLAD PRESS N SEAL 70FT</t>
  </si>
  <si>
    <t>GLAD WRAP CLING PLASTIC</t>
  </si>
  <si>
    <t>30 SF</t>
  </si>
  <si>
    <t>HOMELIFE PARCHMENT PAPER</t>
  </si>
  <si>
    <t>HOMELIFE WAXED PAPER</t>
  </si>
  <si>
    <t>HOMELIFE WRAP PLASTIC</t>
  </si>
  <si>
    <t>HOMELIFE WRAP PLASTIC PREM</t>
  </si>
  <si>
    <t>REYNOLDS CUT RITE WAX PAPER</t>
  </si>
  <si>
    <t>REYNOLDS PARCHMENT PAPER</t>
  </si>
  <si>
    <t>125 SF</t>
  </si>
  <si>
    <t>REYNOLDS SEALTGHT ASST COLR</t>
  </si>
  <si>
    <t>SARANWRAP CLING PLUS</t>
  </si>
  <si>
    <t>SARANWRAP ORIGINAL PLASTIC</t>
  </si>
  <si>
    <t>SHOP VALU PLASTIC WRAP</t>
  </si>
  <si>
    <t>144 CT</t>
  </si>
  <si>
    <t>112 CT</t>
  </si>
  <si>
    <t>280 CT</t>
  </si>
  <si>
    <t>130 CT</t>
  </si>
  <si>
    <t>200 CT</t>
  </si>
  <si>
    <t>110 CT</t>
  </si>
  <si>
    <t>600 CT</t>
  </si>
  <si>
    <t>840 CT</t>
  </si>
  <si>
    <t>300 CT</t>
  </si>
  <si>
    <t>65 CT</t>
  </si>
  <si>
    <t>250 CT</t>
  </si>
  <si>
    <t>480 CT</t>
  </si>
  <si>
    <t>320 CT</t>
  </si>
  <si>
    <t>360 CT</t>
  </si>
  <si>
    <t>400 CT</t>
  </si>
  <si>
    <t>500 CT</t>
  </si>
  <si>
    <t>352 CT</t>
  </si>
  <si>
    <t>7TH GEN BATHTISUE2PLY4ROLL</t>
  </si>
  <si>
    <t>7TH GEN BTHTISUE2PLY12ROLL</t>
  </si>
  <si>
    <t>4224 CT</t>
  </si>
  <si>
    <t>ANGEL SFT 12 DOUBLE ROLL</t>
  </si>
  <si>
    <t>6336 CT</t>
  </si>
  <si>
    <t>ANGEL SFT 18 DOUBLE ROLL</t>
  </si>
  <si>
    <t>ANGEL SFT 24RL WHT BATH TISU</t>
  </si>
  <si>
    <t>1408 CT</t>
  </si>
  <si>
    <t>ANGEL SFT 4 DOUBLE ROLL</t>
  </si>
  <si>
    <t>704 CT</t>
  </si>
  <si>
    <t>ANGEL SFT 4RL BTH TISU WHITE</t>
  </si>
  <si>
    <t>2112 CT</t>
  </si>
  <si>
    <t>ANGEL SFT 6 DOUBLE ROLL</t>
  </si>
  <si>
    <t>4221 CT</t>
  </si>
  <si>
    <t>ANGEL SFT 9ROLL MEGA WHITE</t>
  </si>
  <si>
    <t>ANGEL SFT BATH TISSUE PRINT</t>
  </si>
  <si>
    <t>ANGEL SFT BATH TISSUE WHITE</t>
  </si>
  <si>
    <t>3168 CT</t>
  </si>
  <si>
    <t>ANGEL SFT DOUBLE ROLL WHITE</t>
  </si>
  <si>
    <t>2400 CT</t>
  </si>
  <si>
    <t>CHARMIN 12BIG RLL ULT STRG</t>
  </si>
  <si>
    <t>4800 CT</t>
  </si>
  <si>
    <t>CHARMIN 24BR ULT STRG</t>
  </si>
  <si>
    <t>CHARMIN 24ROLL ULT STRONG</t>
  </si>
  <si>
    <t>800 CT</t>
  </si>
  <si>
    <t>CHARMIN 4BIG ROLL ULT STRG</t>
  </si>
  <si>
    <t>CHARMIN 4ROLL ULTRA STRONG</t>
  </si>
  <si>
    <t>1200 CT</t>
  </si>
  <si>
    <t>CHARMIN 6BIG ROLL ULT STRG</t>
  </si>
  <si>
    <t>CHARMIN 6MEGA RLL ULT STRG</t>
  </si>
  <si>
    <t>3600 CT</t>
  </si>
  <si>
    <t>CHARMIN 9MEGA RLL ULT STRG</t>
  </si>
  <si>
    <t>CHARMIN BASIC 12 BIG RL</t>
  </si>
  <si>
    <t>CHARMIN CHRMNULTSOFT9LR</t>
  </si>
  <si>
    <t>CHARMIN CHRMNULTSTR9LRGRL</t>
  </si>
  <si>
    <t>CHARMIN FRSHMT CLOTH REFIL</t>
  </si>
  <si>
    <t>2046 CT</t>
  </si>
  <si>
    <t>CHARMIN PLUS 6 GIANT ROLL</t>
  </si>
  <si>
    <t>CHARMIN ULTRA 12 BIG ROLL</t>
  </si>
  <si>
    <t>CHARMIN ULTRA 24 BIG ROLL</t>
  </si>
  <si>
    <t>CHARMIN ULTRA 4 BIG ROLL</t>
  </si>
  <si>
    <t>CHARMIN ULTRA 6 BIG ROLL</t>
  </si>
  <si>
    <t>CHARMIN ULTRA 6 MEGA ROLL</t>
  </si>
  <si>
    <t>CHARMIN ULTRA 9 MEGA ROLL</t>
  </si>
  <si>
    <t>CHARMIN% 18BIG RLL ULT STRG</t>
  </si>
  <si>
    <t>CHARMIN% ULTRA 18 BG RL BAE</t>
  </si>
  <si>
    <t>3120 CT</t>
  </si>
  <si>
    <t>COTTONELL ALOE/E DR 12PK</t>
  </si>
  <si>
    <t>1040 CT</t>
  </si>
  <si>
    <t>COTTONELL ALOE/E DR 4PK</t>
  </si>
  <si>
    <t>1560 CT</t>
  </si>
  <si>
    <t>COTTONELL ALOE/E DR 6PK</t>
  </si>
  <si>
    <t>COTTONELL BATH FOR KIDS 4PK</t>
  </si>
  <si>
    <t>84 CT</t>
  </si>
  <si>
    <t>COTTONELL COTT WPS F/KIDS RF</t>
  </si>
  <si>
    <t>COTTONELL FMW POUCH</t>
  </si>
  <si>
    <t>COTTONELL STH CLN MST WPE TB</t>
  </si>
  <si>
    <t>3696 CT</t>
  </si>
  <si>
    <t>COTTONELL TP DR 12PK WHITE</t>
  </si>
  <si>
    <t>1232 CT</t>
  </si>
  <si>
    <t>COTTONELL TP DR 4PK WHITE</t>
  </si>
  <si>
    <t>1848 CT</t>
  </si>
  <si>
    <t>COTTONELL TP DR 6PK WHITE</t>
  </si>
  <si>
    <t>COTTONELL TP SR 24PK WHT 154</t>
  </si>
  <si>
    <t>4 PK</t>
  </si>
  <si>
    <t>COTTONELL TP SR 4PK WHITE</t>
  </si>
  <si>
    <t>COTTONELL TP TR 4PK 462</t>
  </si>
  <si>
    <t>COTTONELL ULT TP DR 12PK 200</t>
  </si>
  <si>
    <t>COTTONELL ULT TP DR 4PK</t>
  </si>
  <si>
    <t>COTTONELL ULT TP DR 6PK</t>
  </si>
  <si>
    <t>1000 CT</t>
  </si>
  <si>
    <t>HOMELIFE 1000 CT-1 RLL BATH</t>
  </si>
  <si>
    <t>4000 CT</t>
  </si>
  <si>
    <t>HOMELIFE 1000CT 4 RLL BATH</t>
  </si>
  <si>
    <t>HOMELIFE SC 24RLL BATH TSSU</t>
  </si>
  <si>
    <t>HOMELIFE SC DBL 12RLL BATH</t>
  </si>
  <si>
    <t>7200 CT</t>
  </si>
  <si>
    <t>HOMELIFE SC DBL 24 RLL BATH</t>
  </si>
  <si>
    <t>HOMELIFE SC DBL 4 ROLL BATH</t>
  </si>
  <si>
    <t>1800 CT</t>
  </si>
  <si>
    <t>HOMELIFE SC DBL 6 RLL BATH</t>
  </si>
  <si>
    <t>HOMELIFE SC MEGA 9 RLL BATH</t>
  </si>
  <si>
    <t>HOMELIFE SC ULT DBL 12 BATH</t>
  </si>
  <si>
    <t>HOMELIFE SC ULT DBL 6RLL BA</t>
  </si>
  <si>
    <t>12000 C</t>
  </si>
  <si>
    <t>HOMELIFE TISSUE BATH 12ROLL</t>
  </si>
  <si>
    <t>6000 CT</t>
  </si>
  <si>
    <t>HOMELIFE TISU BTH 12RL XSFT</t>
  </si>
  <si>
    <t>20000 C</t>
  </si>
  <si>
    <t>HOMELIFE% TISSUE BATH 20ROLL</t>
  </si>
  <si>
    <t>MARCAL SFPK DBL ROLL BATH</t>
  </si>
  <si>
    <t>MARCAL SMALL STEPS 1000CT</t>
  </si>
  <si>
    <t>MARCAL SS TISS 1 PLY 12PK</t>
  </si>
  <si>
    <t>4032 CT</t>
  </si>
  <si>
    <t>MARCAL SS TISS 2PLY 12PK</t>
  </si>
  <si>
    <t>NORTHERN 12 DBL RL 300CT</t>
  </si>
  <si>
    <t>NORTHERN 24 ROLL 150CT</t>
  </si>
  <si>
    <t>NORTHERN 4 DBL RL 300CT</t>
  </si>
  <si>
    <t>NORTHERN 6 DOUBL ROLL 300CT</t>
  </si>
  <si>
    <t>NORTHERN 9 MEGA RL 400CT</t>
  </si>
  <si>
    <t>5400 CT</t>
  </si>
  <si>
    <t>NORTHERN DBL RL BATH TISSUE</t>
  </si>
  <si>
    <t>9 RL</t>
  </si>
  <si>
    <t>NORTHERN QLT ULTPLSH 9 MEGA</t>
  </si>
  <si>
    <t>QLT NTHRN ULTRA PLUSH 12 DBL</t>
  </si>
  <si>
    <t>QLT NTHRN ULTRA PLUSH 6 DBLE</t>
  </si>
  <si>
    <t>SCOTT BATH 8PK WHT 1000</t>
  </si>
  <si>
    <t>SCOTT BATH TISS ASST 4PK</t>
  </si>
  <si>
    <t>SCOTT BATH TISS WHT 12PK</t>
  </si>
  <si>
    <t>SCOTT BTH TISS ASST ROLL</t>
  </si>
  <si>
    <t>SCOTT BTH TISS WHITE 4PK</t>
  </si>
  <si>
    <t>SCOTT BTH TISS WHITE 6PK</t>
  </si>
  <si>
    <t>SCOTT BTH TISS WHITE ROL</t>
  </si>
  <si>
    <t>SCOTT BTH TISU 20PK CASE</t>
  </si>
  <si>
    <t>5632 CT</t>
  </si>
  <si>
    <t>SCOTT EXSFT BTH LGLST 8P</t>
  </si>
  <si>
    <t>SCOTT NAT BTH TISU 8PK</t>
  </si>
  <si>
    <t>SCOTT SCOTT ES BTH 12PK</t>
  </si>
  <si>
    <t>5628 CT</t>
  </si>
  <si>
    <t>SCOTT SCOTT ES BTH 4PK 3</t>
  </si>
  <si>
    <t>1876 CT</t>
  </si>
  <si>
    <t>SCOTT SCOTT ES BTH 4PK 4</t>
  </si>
  <si>
    <t>4752 CT</t>
  </si>
  <si>
    <t>SHOP VALU 4 ROLL BATH</t>
  </si>
  <si>
    <t>SHOP VALU DBL 12 ROLL BATH</t>
  </si>
  <si>
    <t>7TH GEN WHITE PAPER TOWELS</t>
  </si>
  <si>
    <t>AWESOME 1 ROLL TOWELS 56CT</t>
  </si>
  <si>
    <t>AWESOME 3 ROLL TOWELS 56CT</t>
  </si>
  <si>
    <t>8 RL</t>
  </si>
  <si>
    <t>AWESOME 8 ROLL TOWELS</t>
  </si>
  <si>
    <t>1416 CT</t>
  </si>
  <si>
    <t>BOUNTY 12BR SAS WHITE</t>
  </si>
  <si>
    <t>780 CT</t>
  </si>
  <si>
    <t>BOUNTY 15REGROLL WHITE</t>
  </si>
  <si>
    <t>1320 CT</t>
  </si>
  <si>
    <t>BOUNTY 15RR WHITE</t>
  </si>
  <si>
    <t>BOUNTY 1REGRLWHITE</t>
  </si>
  <si>
    <t>624 CT</t>
  </si>
  <si>
    <t>BOUNTY 8 GNT RL PRINTS</t>
  </si>
  <si>
    <t>1056 CT</t>
  </si>
  <si>
    <t>BOUNTY 8GNTRLSASWHITE</t>
  </si>
  <si>
    <t>416 CT</t>
  </si>
  <si>
    <t>BOUNTY 8REGRLPRINTS</t>
  </si>
  <si>
    <t>BOUNTY 8REGRLWHITE</t>
  </si>
  <si>
    <t>BOUNTY 8RR SAS WHITE</t>
  </si>
  <si>
    <t>BOUNTY BASIC 2GR SAS</t>
  </si>
  <si>
    <t>BOUNTY BASIC 8RR PRINTS</t>
  </si>
  <si>
    <t>BOUNTY BTY 8GNTRL WHITE</t>
  </si>
  <si>
    <t>128 CT</t>
  </si>
  <si>
    <t>BOUNTY EXSOFT 2BR WHITE</t>
  </si>
  <si>
    <t>384 CT</t>
  </si>
  <si>
    <t>BOUNTY EXSOFT 6BR WHITE</t>
  </si>
  <si>
    <t>BOUNTY EXT SOFT 1BR WHT</t>
  </si>
  <si>
    <t>BOUNTY VALUERLGARDENPRNTS</t>
  </si>
  <si>
    <t>256 CT</t>
  </si>
  <si>
    <t>BOUNTY VALUERLSASPRINTS</t>
  </si>
  <si>
    <t>BOUNTY VALUERLSASWHITE</t>
  </si>
  <si>
    <t>BOUNTY VALUERLWHITE</t>
  </si>
  <si>
    <t>140 CT</t>
  </si>
  <si>
    <t>BOUNTY VALUEROLLFUNPRINTS</t>
  </si>
  <si>
    <t>BOUNTY VALUEROLLFUNPRNTS</t>
  </si>
  <si>
    <t>BOUNTY VALUEROLLGARDENPRN</t>
  </si>
  <si>
    <t>BOUNTY VALUEROLLSASPRNTS</t>
  </si>
  <si>
    <t>BOUNTY VALUEROLLSASWHITE</t>
  </si>
  <si>
    <t>BOUNTY VALUEROLLWHITE</t>
  </si>
  <si>
    <t>792 CT</t>
  </si>
  <si>
    <t>BOUNTY% 6GR SAS WHITE</t>
  </si>
  <si>
    <t>468 CT</t>
  </si>
  <si>
    <t>BOUNTY% BTY 6 GNT PRNTS</t>
  </si>
  <si>
    <t>BOUNTY% BTY 6GR WHITE</t>
  </si>
  <si>
    <t>BRAWNY 1 BIG ROLL PRINTS</t>
  </si>
  <si>
    <t>67 CT</t>
  </si>
  <si>
    <t>BRAWNY 1BIG ROLL WHITEPAS</t>
  </si>
  <si>
    <t>BRAWNY 2 GIANT ROLL PRINT</t>
  </si>
  <si>
    <t>BRAWNY 3 BG RL PRNTS PAS</t>
  </si>
  <si>
    <t>264 CT</t>
  </si>
  <si>
    <t>BRAWNY 3 RL WHITE PAS</t>
  </si>
  <si>
    <t>BRAWNY 3 ROLL WHITE PAS</t>
  </si>
  <si>
    <t>708 CT</t>
  </si>
  <si>
    <t>BRAWNY 6 BIG ROLL WHITE P</t>
  </si>
  <si>
    <t>BRAWNY 8 ROLL WHITE</t>
  </si>
  <si>
    <t>COTTONELL FRSH FMW RFL</t>
  </si>
  <si>
    <t>COTTONELL FRSH FMW TUB</t>
  </si>
  <si>
    <t>COTTONELL MOIST WIPES REFILL</t>
  </si>
  <si>
    <t>HANDIWIPE TOWELS DISPOSABLE</t>
  </si>
  <si>
    <t>138 CT</t>
  </si>
  <si>
    <t>HOME LIFE MTY 1 RL TWL M-S</t>
  </si>
  <si>
    <t>HOMELIFE MTY 1RLL TWL PRNT</t>
  </si>
  <si>
    <t>276 CT</t>
  </si>
  <si>
    <t>HOMELIFE MTY 2RLL TWL MS</t>
  </si>
  <si>
    <t>HOMELIFE MTY 2RLL TWL PR</t>
  </si>
  <si>
    <t>564 CT</t>
  </si>
  <si>
    <t>HOMELIFE MTY 6RLL MEGA TWL</t>
  </si>
  <si>
    <t>448 CT</t>
  </si>
  <si>
    <t>HOMELIFE MTY 8RLL TWL CASE</t>
  </si>
  <si>
    <t>1536 CT</t>
  </si>
  <si>
    <t>HOMELIFE% MTY 12ROLLS TOWELS</t>
  </si>
  <si>
    <t>MARCAL 2-GIANT ROLLS</t>
  </si>
  <si>
    <t>MARCAL SS 8 - REG ROLLS</t>
  </si>
  <si>
    <t>MARCAL SS MAXI ROLL LT FR</t>
  </si>
  <si>
    <t>MARCAL TWL MAXI 6/140CT</t>
  </si>
  <si>
    <t>MARDIGRAS PAPER TOWELS 3RL</t>
  </si>
  <si>
    <t>1 PK</t>
  </si>
  <si>
    <t>SCOTT MEGA ROLL CAS PRNT</t>
  </si>
  <si>
    <t>63 SF</t>
  </si>
  <si>
    <t>SCOTT MEGA ROLL PRNT 75</t>
  </si>
  <si>
    <t>51 CT</t>
  </si>
  <si>
    <t>SCOTT MOIST WIPES REFILL</t>
  </si>
  <si>
    <t>SCOTT MOIST WIPES TUB</t>
  </si>
  <si>
    <t>SCOTT NAT TWL CAS MRLWHT</t>
  </si>
  <si>
    <t>SCOTT PAPER TOWEL MEGA</t>
  </si>
  <si>
    <t>SCOTT TWL LNG LSTG 4PK</t>
  </si>
  <si>
    <t>6 PK</t>
  </si>
  <si>
    <t>SCOTT TWL MEGARL CAS 6PK</t>
  </si>
  <si>
    <t>336 SF</t>
  </si>
  <si>
    <t>SCOTT TWL REG RL 8PK</t>
  </si>
  <si>
    <t>SHOP VALU 1 ROLL TOWELS</t>
  </si>
  <si>
    <t>SHOP VALU 6 ROLL TOWELS</t>
  </si>
  <si>
    <t>SHOP VALU TOWEL PAPER BIG RL</t>
  </si>
  <si>
    <t>SHOP VALU TWL PAPER 6 MEGARL</t>
  </si>
  <si>
    <t>SPARKLE 3RR PRINTS</t>
  </si>
  <si>
    <t>450 CT</t>
  </si>
  <si>
    <t>SPARKLE 6 BIG RL PRNT TOWL</t>
  </si>
  <si>
    <t>SPARKLE 8 RR PRINTS</t>
  </si>
  <si>
    <t>VIVA SEASONL TWL 2PK</t>
  </si>
  <si>
    <t>VIVA TOWEL BIG RL PRINT</t>
  </si>
  <si>
    <t>VIVA TWL BGRL VERT PRNT</t>
  </si>
  <si>
    <t>VIVA TWL BIG ROLL WHITE</t>
  </si>
  <si>
    <t>880 CT</t>
  </si>
  <si>
    <t>VIVA TWL BR CAS 8PK</t>
  </si>
  <si>
    <t>VIVA TWL CHOOSE A SZ 1R</t>
  </si>
  <si>
    <t>VIVA TWL RR WHT/PRT 50</t>
  </si>
  <si>
    <t>VIVA VIVA TOWEL REG 6RL</t>
  </si>
  <si>
    <t>WET ONES FLUSH WPE RFL</t>
  </si>
  <si>
    <t>CHINET 10 3/8IN DINNR PLTE</t>
  </si>
  <si>
    <t>CHINET CASUAL LUNCH PLATE</t>
  </si>
  <si>
    <t>CHINET CASUALS DINNER PLT</t>
  </si>
  <si>
    <t>CHINET CHINET PLATTER 10</t>
  </si>
  <si>
    <t>CHINET COMFORT CUPS</t>
  </si>
  <si>
    <t>CHINET CRYSTAL CUP 14OZ</t>
  </si>
  <si>
    <t>CHINET CUT CRYSTAL 7IN PLT</t>
  </si>
  <si>
    <t>CHINET CUT CRYSTAL CUP 9Z</t>
  </si>
  <si>
    <t>CHINET CUTCRYSTAL 10IN PLT</t>
  </si>
  <si>
    <t>CHINET DESSERT PLATES</t>
  </si>
  <si>
    <t>CHINET PLATE COMPARTMENT</t>
  </si>
  <si>
    <t>CHINET PLATE LUNCHEON</t>
  </si>
  <si>
    <t>CHINET PLATES DNR VALU PK</t>
  </si>
  <si>
    <t>CHINET SALAD &amp; SIDE DISH</t>
  </si>
  <si>
    <t>DIXIE 10IN HEAVY DUTY</t>
  </si>
  <si>
    <t>DIXIE 10IN ULTRA</t>
  </si>
  <si>
    <t>DIXIE 10OZ BOWL</t>
  </si>
  <si>
    <t>DIXIE 20OZ ULTRA BOWL</t>
  </si>
  <si>
    <t>DIXIE 7IN HEAVY DUTY</t>
  </si>
  <si>
    <t>DIXIE 9IN HEAVY DUTY</t>
  </si>
  <si>
    <t>DIXIE BATH CUP DISPENSER</t>
  </si>
  <si>
    <t>54 CT</t>
  </si>
  <si>
    <t>DIXIE CUPS 9OZ</t>
  </si>
  <si>
    <t>DIXIE CUPS BATHRM REFILL</t>
  </si>
  <si>
    <t>DIXIE CUPS KITCHEN 5 OZ</t>
  </si>
  <si>
    <t>DIXIE GRBNGO CPS/LDS 12Z</t>
  </si>
  <si>
    <t>DIXIE GRIL WK 9OZ CUP</t>
  </si>
  <si>
    <t>DIXIE LICENSED CUP 5 OZ</t>
  </si>
  <si>
    <t>DIXIE NICKELODEAN PLATES</t>
  </si>
  <si>
    <t>DIXIE NICKELODN CHARCTRS</t>
  </si>
  <si>
    <t>DIXIE PARTY CUPS 16OZ</t>
  </si>
  <si>
    <t>DIXIE PERF TCH HOT CUP</t>
  </si>
  <si>
    <t>DIXIE ULTRA  10 1/16'</t>
  </si>
  <si>
    <t>DIXIE ULTRA 9INPLATE</t>
  </si>
  <si>
    <t>DIXIE ULTRA PLATTER</t>
  </si>
  <si>
    <t>68 CT</t>
  </si>
  <si>
    <t>DIXIE VALUE PK CUPS 16OZ</t>
  </si>
  <si>
    <t>DIXIE VALUE PLATES 100CT</t>
  </si>
  <si>
    <t>DIXIE VP PLATES 50 CT</t>
  </si>
  <si>
    <t>HEFTY 8 7/8IN FOAM PLATES</t>
  </si>
  <si>
    <t>HEFTY 9IN X 12IN COMP TRAY</t>
  </si>
  <si>
    <t>HEFTY BOWLS FOAM</t>
  </si>
  <si>
    <t>HEFTY CRYSTAL CLEAR CUP</t>
  </si>
  <si>
    <t>HEFTY EASY GRIP 18OZ CUP</t>
  </si>
  <si>
    <t>HEFTY EASY GRIP 9OZ CUP</t>
  </si>
  <si>
    <t>HEFTY ELEGNT 9-1/8IN PLAT</t>
  </si>
  <si>
    <t>HEFTY ELGNT 10-3/6IN PLAT</t>
  </si>
  <si>
    <t>HEFTY FOAM PLATE 10.25IN</t>
  </si>
  <si>
    <t>HEFTY FOAM PLATE 8 7-8IN</t>
  </si>
  <si>
    <t>HEFTY HM OVAL PLATTERS</t>
  </si>
  <si>
    <t>HEFTY LARGE FOAM PLATES</t>
  </si>
  <si>
    <t>HEFTY PLATE 10-1/4 DPDSH</t>
  </si>
  <si>
    <t>HEFTY PLATE 8-7/8INDPDISH</t>
  </si>
  <si>
    <t>HEFTY PLATES FOAM COLOR</t>
  </si>
  <si>
    <t>HOMEBEST COMPARTMENT FM PLT</t>
  </si>
  <si>
    <t>HOMELIFE BOWL DSGNR 12 OZ</t>
  </si>
  <si>
    <t>HOMELIFE BOWL DSGNR 20 OZ</t>
  </si>
  <si>
    <t>HOMELIFE BOWL FOAM 12 OZ</t>
  </si>
  <si>
    <t>HOMELIFE BOWL FOAM 20 OZ</t>
  </si>
  <si>
    <t>HOMELIFE BOWL PARTY 12 OZ</t>
  </si>
  <si>
    <t>HOMELIFE CUP CLEAR 10 OZ</t>
  </si>
  <si>
    <t>HOMELIFE CUP CLEAR 9 OZ</t>
  </si>
  <si>
    <t>HOMELIFE CUP DSGNR 3 OZ</t>
  </si>
  <si>
    <t>HOMELIFE CUP DSGNR 5 OZ</t>
  </si>
  <si>
    <t>HOMELIFE CUP DSGNR 9 OZ</t>
  </si>
  <si>
    <t>HOMELIFE CUP FOAM 12 OZ</t>
  </si>
  <si>
    <t>HOMELIFE CUP FOAM 16 OZ</t>
  </si>
  <si>
    <t>HOMELIFE CUP FOAM 20 OZ</t>
  </si>
  <si>
    <t>HOMELIFE CUP FOAM 8 OZ</t>
  </si>
  <si>
    <t>HOMELIFE CUP FOAM WDOME16OZ</t>
  </si>
  <si>
    <t>HOMELIFE CUP PARTY 18 OZ</t>
  </si>
  <si>
    <t>HOMELIFE CUP PARTY 9 OZ</t>
  </si>
  <si>
    <t>HOMELIFE CUP PARTY TNTD 16Z</t>
  </si>
  <si>
    <t>HOMELIFE CUP PREMCRYSCLR16Z</t>
  </si>
  <si>
    <t>HOMELIFE FLATWARE HD VARPK</t>
  </si>
  <si>
    <t>HOMELIFE FLTWR FULL-SZ VARP</t>
  </si>
  <si>
    <t>HOMELIFE FORKS FULL-SIZE</t>
  </si>
  <si>
    <t>HOMELIFE FORKS HD PLASTIC</t>
  </si>
  <si>
    <t>HOMELIFE MATCHES BOOK</t>
  </si>
  <si>
    <t>HOMELIFE MATCHES FIREPLACE</t>
  </si>
  <si>
    <t>750 CT</t>
  </si>
  <si>
    <t>HOMELIFE MATCHES KITCHEN</t>
  </si>
  <si>
    <t>HOMELIFE MATCHES PENNY</t>
  </si>
  <si>
    <t>HOMELIFE PLATE COAT WHT 6IN</t>
  </si>
  <si>
    <t>HOMELIFE PLATE COAT WHT 9IN</t>
  </si>
  <si>
    <t>HOMELIFE PLATE DESIGNER 9IN</t>
  </si>
  <si>
    <t>HOMELIFE PLATE DSGNR 10-1/4</t>
  </si>
  <si>
    <t>HOMELIFE PLATE DSGNR 7IN</t>
  </si>
  <si>
    <t>HOMELIFE PLATE DSGNR 9IN</t>
  </si>
  <si>
    <t>HOMELIFE PLATE FM COMPRTM</t>
  </si>
  <si>
    <t>HOMELIFE PLATE FM SNK 7IN</t>
  </si>
  <si>
    <t>HOMELIFE PLATE FOAM 10-1/4IN</t>
  </si>
  <si>
    <t>HOMELIFE PLATE FOAM 9IN</t>
  </si>
  <si>
    <t>HOMELIFE PLATE FOAM 9IN 150C</t>
  </si>
  <si>
    <t>HOMELIFE PLATE FOAM 9IN 50CT</t>
  </si>
  <si>
    <t>HOMELIFE PLATE PARTY 7IN</t>
  </si>
  <si>
    <t>HOMELIFE PLATE PARTY 9IN</t>
  </si>
  <si>
    <t>HOMELIFE PLATE PREMCRYS 10IN</t>
  </si>
  <si>
    <t>HOMELIFE PLATE PREMCRYS 7IN</t>
  </si>
  <si>
    <t>HOMELIFE PLATE PRTY 10-1/4IN</t>
  </si>
  <si>
    <t>HOMELIFE PLATE WHT STURDY9IN</t>
  </si>
  <si>
    <t>HOMELIFE PLATE WHT ULTRA 9IN</t>
  </si>
  <si>
    <t>HOMELIFE PLATE WHTULT10-1/4</t>
  </si>
  <si>
    <t>HOMELIFE SCH LNCH TRAY FOAM</t>
  </si>
  <si>
    <t>HOMELIFE SPOONS FULL-SIZE</t>
  </si>
  <si>
    <t>HOMELIFE SPOONS HD PLASTIC</t>
  </si>
  <si>
    <t>HOMELIFE STRAWS FLEX NEON</t>
  </si>
  <si>
    <t>HOMELIFE STRAWS FLEX REG</t>
  </si>
  <si>
    <t>HOMELIFE TOOTHPICK COLOR JR</t>
  </si>
  <si>
    <t>HOMELIFE TOOTHPICK ROUND</t>
  </si>
  <si>
    <t>JACKFROST RED CUP 100/16 OZ</t>
  </si>
  <si>
    <t>RESALE BOOK MATCHES</t>
  </si>
  <si>
    <t>SHOP VALU COLD CUP 7 OZ</t>
  </si>
  <si>
    <t>SHOP VALU CUPS CLER PLST 16Z</t>
  </si>
  <si>
    <t>SHOP VALU PAPER PLATES</t>
  </si>
  <si>
    <t>SHOP VALU PLATES PAPER</t>
  </si>
  <si>
    <t>SHOP VALU PLATES PAPER/WHITE</t>
  </si>
  <si>
    <t>SHOP VALU PLSTC CUP 16 OZ</t>
  </si>
  <si>
    <t>SHOPVALUE CUP TRANSLCNT 9 OZ</t>
  </si>
  <si>
    <t>SOLO 10.25INCMPTMNT PLTE</t>
  </si>
  <si>
    <t>SOLO 3Z BATHROOM CUP REFIL</t>
  </si>
  <si>
    <t>SOLO 5 OZ PLASTIC CUP</t>
  </si>
  <si>
    <t>SOLO 9IN GRIP PRTY PLATE</t>
  </si>
  <si>
    <t>SOLO CLEAR CUP 36/10OZ</t>
  </si>
  <si>
    <t>SOLO CLEAR CUP 40/9 OZ</t>
  </si>
  <si>
    <t>SOLO CUPS PLASTIC 9OZ</t>
  </si>
  <si>
    <t>SOLO GRIP PLSTC BWL 18Z</t>
  </si>
  <si>
    <t>SOLO HVY DUTY 10.25INPLT</t>
  </si>
  <si>
    <t>SOLO HVY DUTY 7IN PLATES</t>
  </si>
  <si>
    <t>SOLO HVY DUTY 8.75IN PLT</t>
  </si>
  <si>
    <t>SOLO MICRO WHT PLATE</t>
  </si>
  <si>
    <t>SOLO PAPER PLATE 9IN</t>
  </si>
  <si>
    <t>SOLO PLT PRTYCP 30/18OZ</t>
  </si>
  <si>
    <t>SOLO SESAME 12OZ BOWL</t>
  </si>
  <si>
    <t>SOLO SESAME 9IN PLATE</t>
  </si>
  <si>
    <t>SOLO SESAME 9OZ CUP-LID</t>
  </si>
  <si>
    <t>SOLO SESAME CUP &amp; REFIL</t>
  </si>
  <si>
    <t>SOLO SOLO ULTRA PLATES</t>
  </si>
  <si>
    <t>SOLO TO GO PLATES&amp;LIDS</t>
  </si>
  <si>
    <t>SOLO UL CLR PLS 24/16OZ</t>
  </si>
  <si>
    <t>VANITY FR EVERYDAY 11INPLATES</t>
  </si>
  <si>
    <t>VANITY FR EVERYDAY BOWLS 20Z</t>
  </si>
  <si>
    <t>2 PK</t>
  </si>
  <si>
    <t>#77 SANI SAC LINERS</t>
  </si>
  <si>
    <t>00161 16OZOVALBLKBASE&amp;LT</t>
  </si>
  <si>
    <t>00295 COTTON MOPHEAD</t>
  </si>
  <si>
    <t>60 IN</t>
  </si>
  <si>
    <t>00401 CLAMP-ON MOP HANDL</t>
  </si>
  <si>
    <t>00404 STIRUP MOP HNDL54IN</t>
  </si>
  <si>
    <t>00412EA BROOM MTL THRD HDL</t>
  </si>
  <si>
    <t>54 IN</t>
  </si>
  <si>
    <t>00414EA WOODEN THREAD HNDL</t>
  </si>
  <si>
    <t>00427 HYBRID 25 FLOOR</t>
  </si>
  <si>
    <t>00507 WAREHSE BROOM 32LB</t>
  </si>
  <si>
    <t>00752 #32 COTN MOP INBLK</t>
  </si>
  <si>
    <t>00755 #32RAYON MOP INBLK</t>
  </si>
  <si>
    <t>01061 CENTER FLOW TOWEL</t>
  </si>
  <si>
    <t>02613 1GAL DAWN DISH DET</t>
  </si>
  <si>
    <t>04718-021 AROMIST REFILL KIT</t>
  </si>
  <si>
    <t>05320 9X10.5 UTILITY WPS</t>
  </si>
  <si>
    <t>06571003 BIO-SHIELD DRAIN</t>
  </si>
  <si>
    <t>07006 4X1150NOCORETISSUE</t>
  </si>
  <si>
    <t>07031 COMET W/BLEACH CLN</t>
  </si>
  <si>
    <t>0780510 TOILET 2-PLY</t>
  </si>
  <si>
    <t>100731 9INRND BAKE IN TRAY</t>
  </si>
  <si>
    <t>101230 1/2 ALUMSTMTBL LID</t>
  </si>
  <si>
    <t>1017 KAY BLOCK WHITENER</t>
  </si>
  <si>
    <t>10252 1/2-8INPETE CKE CNT</t>
  </si>
  <si>
    <t>103180CS TRBO CHF OVN CLNR</t>
  </si>
  <si>
    <t>5 GL</t>
  </si>
  <si>
    <t>10405 GERALDINE FLOOR</t>
  </si>
  <si>
    <t>1056 KAYPOT&amp;PANDETERGEN</t>
  </si>
  <si>
    <t>10751 SOLID METAL PRO8LB</t>
  </si>
  <si>
    <t>10845 12OZ CLR H/L BOWL</t>
  </si>
  <si>
    <t>10849 16OZ SHOBOWL H/L</t>
  </si>
  <si>
    <t>10853 CLR RND H/L W/DOME</t>
  </si>
  <si>
    <t>1105 KAY POT&amp;PAN-2GAL</t>
  </si>
  <si>
    <t>112045 FULL ALM STMTBL LD</t>
  </si>
  <si>
    <t>11246 3COMPT CLEAR H/L</t>
  </si>
  <si>
    <t>119 26INCAUTN WTFLR SGN</t>
  </si>
  <si>
    <t>12076 FORTRESS HANDSOAP</t>
  </si>
  <si>
    <t>12371 1/8 PETE SHEET CKE</t>
  </si>
  <si>
    <t>12438 12CT CUPCAKE TRAY</t>
  </si>
  <si>
    <t>1270 KAY GLASS&amp;SURFACE</t>
  </si>
  <si>
    <t>12808 28OZRNDHINGEDOMELI</t>
  </si>
  <si>
    <t>12SJ20 SQAT FM FOOD CNTNR</t>
  </si>
  <si>
    <t>1306 KAYQUAT I SANITZER</t>
  </si>
  <si>
    <t>13173 4COMPT BLK OCTAGON</t>
  </si>
  <si>
    <t>1325 KAYQUAT2SANITIZER</t>
  </si>
  <si>
    <t>13497 1/2 PETE SHEETCAKE</t>
  </si>
  <si>
    <t>13527 8IN DEEP PETECAKE</t>
  </si>
  <si>
    <t>13529 9IN SHAL PETECAKE</t>
  </si>
  <si>
    <t>13535 1/4SH PETE CKE CMB</t>
  </si>
  <si>
    <t>13805 PH7 ULT NEUTRL CLN</t>
  </si>
  <si>
    <t>15405 PLS NORINSE STRIPR</t>
  </si>
  <si>
    <t>2.5 GA</t>
  </si>
  <si>
    <t>155452 NO RINSE SANITIZER</t>
  </si>
  <si>
    <t>16MJ20 WHT FOAM FOOD CONT</t>
  </si>
  <si>
    <t>20106C9 6CTEGGTRAYWITHLID</t>
  </si>
  <si>
    <t>201140020 114MM SQ CLEAR LID</t>
  </si>
  <si>
    <t>2016 DP CPCK HNG CNT 6C</t>
  </si>
  <si>
    <t>10 IN</t>
  </si>
  <si>
    <t>2100 CLR SHAL PIE CONT</t>
  </si>
  <si>
    <t>2113 12 CTHNGD DP CPCK</t>
  </si>
  <si>
    <t>2135 CLR H/L LOAF 9X5X3</t>
  </si>
  <si>
    <t>22004 4CT LG MUFFIN H/L</t>
  </si>
  <si>
    <t>2208 8INCLEAR HALF PIE T</t>
  </si>
  <si>
    <t>24 IN</t>
  </si>
  <si>
    <t>2400E FLOOR SQUEEGEE</t>
  </si>
  <si>
    <t>2475 QUAT SPRAY BOTTLE</t>
  </si>
  <si>
    <t>25122073 1/2FLD TLT ST CVRS</t>
  </si>
  <si>
    <t>2535 WATER SPRAY BOTTLE</t>
  </si>
  <si>
    <t>2541 GLASS CLEANER-4PK</t>
  </si>
  <si>
    <t>25489 YELLOW DISH SOAP</t>
  </si>
  <si>
    <t>2573 CHLORINATED SPRAY</t>
  </si>
  <si>
    <t>297035B 9IN RND MED ALUM PN</t>
  </si>
  <si>
    <t>29743 KAY CHLORINATED</t>
  </si>
  <si>
    <t>29777 GREASE STRIP PLUS</t>
  </si>
  <si>
    <t>3124C 24OZCLEARINVERTIBL</t>
  </si>
  <si>
    <t>3148C 48OZCLEAR INVERTIB</t>
  </si>
  <si>
    <t>322892008 CLDOMELD WHL WLMRT</t>
  </si>
  <si>
    <t>3353YW 35QT SPLASHGRD MOP</t>
  </si>
  <si>
    <t>361645BK1 16IN BLK PIZZA PAN</t>
  </si>
  <si>
    <t>30 IN</t>
  </si>
  <si>
    <t>36633000E 30IN MSS/FM RUBBER</t>
  </si>
  <si>
    <t>401875E ASIAN FEATHER DSTR</t>
  </si>
  <si>
    <t>4110001 LG CHIX RSTR COMBO</t>
  </si>
  <si>
    <t>4110200 COMBO CHIX ROASTER</t>
  </si>
  <si>
    <t>4511019 CLR HNGD SAND WEDG</t>
  </si>
  <si>
    <t>12 IN</t>
  </si>
  <si>
    <t>451212A CATER ALUM FLT TRY</t>
  </si>
  <si>
    <t>4659133 9X9X3BLK 3CMP HING</t>
  </si>
  <si>
    <t>514 DAZZLE STAINLESS</t>
  </si>
  <si>
    <t>524 HAWK FRYER-1GAL</t>
  </si>
  <si>
    <t>55306B 6-CT BAKE-IN ROLL</t>
  </si>
  <si>
    <t>8 IN</t>
  </si>
  <si>
    <t>55830 ALUM RND CAKE PAN</t>
  </si>
  <si>
    <t>584 KAY-5 CLEANER/SANI</t>
  </si>
  <si>
    <t>60401C YELLOW10INSCRUBBRUS</t>
  </si>
  <si>
    <t>6042WP 1/4 SHT CAKE COMBO</t>
  </si>
  <si>
    <t>6050XH ALUM FULL DP STMPN</t>
  </si>
  <si>
    <t>606245 ALUM 1/3 STMTBL PN</t>
  </si>
  <si>
    <t>60804 SPRAY BUFF-60804</t>
  </si>
  <si>
    <t>6132H 1/2ALUM STM TBL PN</t>
  </si>
  <si>
    <t>615 6X15 TEFLN CVR WRP</t>
  </si>
  <si>
    <t>65819 CONCRETE SEALER</t>
  </si>
  <si>
    <t>1 GL</t>
  </si>
  <si>
    <t>75004051 FLM FREE GLSS CLNR</t>
  </si>
  <si>
    <t>75004236 1250MLPINKFOAMSOAP</t>
  </si>
  <si>
    <t>75004307 PS KRFT TOWEL 1PLY</t>
  </si>
  <si>
    <t>75004476 SUPER STRIPEEZ</t>
  </si>
  <si>
    <t>7580Y MOP COMBO YELLOW</t>
  </si>
  <si>
    <t>815 8X15 TEFLN COV WRP</t>
  </si>
  <si>
    <t>82635 12-CT COOKIE CONT</t>
  </si>
  <si>
    <t>8SJ20 WHT FOAM FOOD CNTR</t>
  </si>
  <si>
    <t>912BK 30INBLK LOBBY DSTPN</t>
  </si>
  <si>
    <t>92053 500ML GENTL LOTION</t>
  </si>
  <si>
    <t>92220K 5LB CATRBOWL BLACK</t>
  </si>
  <si>
    <t>92230K 10# RND BLK CTRBWL</t>
  </si>
  <si>
    <t>9 IN</t>
  </si>
  <si>
    <t>922HLRDWH RED/WHT TRGR SPRYR</t>
  </si>
  <si>
    <t>924BS 24OZ GRADT SPY BTL</t>
  </si>
  <si>
    <t>92521 CLRPINT BERRY BSKT</t>
  </si>
  <si>
    <t>94130 1-COMP CLR MED H/L</t>
  </si>
  <si>
    <t>9501023 APET CLEAR DELI LD</t>
  </si>
  <si>
    <t>9617 4CT CUPCAKE CONT</t>
  </si>
  <si>
    <t>250 ML</t>
  </si>
  <si>
    <t>9654-12 HAND SANITIZER</t>
  </si>
  <si>
    <t>9708S 8INSHAL H/L PIE CNT</t>
  </si>
  <si>
    <t>9709S 9INCLR SHAL PIE CNT</t>
  </si>
  <si>
    <t>9812KWP BLK FLAT TRAY CMBO</t>
  </si>
  <si>
    <t>16 IN</t>
  </si>
  <si>
    <t>9816KWP BLK FLAT COMBO</t>
  </si>
  <si>
    <t>18 IN</t>
  </si>
  <si>
    <t>9818KWP BLK FLAT COMBO</t>
  </si>
  <si>
    <t>9916KWP BLK LZYSUSN TRYCMB</t>
  </si>
  <si>
    <t>9918KWP BLK LZY SUSN COMBO</t>
  </si>
  <si>
    <t>AD08 8OZ PET DELI CONT</t>
  </si>
  <si>
    <t>AD16 16OZ PET DELI CONT</t>
  </si>
  <si>
    <t>1 QT</t>
  </si>
  <si>
    <t>BIG ORANG DRAIN CLEANER</t>
  </si>
  <si>
    <t>BUNZL 10IN3CMTCLRPLTRW/DI</t>
  </si>
  <si>
    <t>BUNZL 10X10BLK SQTRY CMB</t>
  </si>
  <si>
    <t>BUNZL 12OZ PPDELICUP</t>
  </si>
  <si>
    <t>BUNZL 12X12 BLK SQTR CMB</t>
  </si>
  <si>
    <t>BUNZL 14X14 BLK SQTR CMB</t>
  </si>
  <si>
    <t>BUNZL 16-PC CHICKEN BARN</t>
  </si>
  <si>
    <t>BUNZL 16X16 BLK SQTR CMB</t>
  </si>
  <si>
    <t>BUNZL 24OZ PP DELI CUP</t>
  </si>
  <si>
    <t>BUNZL 8INSM HOAGIE HNGD</t>
  </si>
  <si>
    <t>BUNZL 8INX1000WHTROLLTOWE</t>
  </si>
  <si>
    <t>BUNZL 8X9DP H/L LUNCHBOX</t>
  </si>
  <si>
    <t>BUNZL ALUM FULL STMTBLLD</t>
  </si>
  <si>
    <t>BUNZL CLR DELICUP MICRW</t>
  </si>
  <si>
    <t>BUNZL CLR HNG CONT 6X6X3</t>
  </si>
  <si>
    <t>BUNZL DELI CUP LID PL201</t>
  </si>
  <si>
    <t>BUNZL FMTRYSNDWCHHNGD</t>
  </si>
  <si>
    <t>BUNZL H/LSHALWSNAKBOX</t>
  </si>
  <si>
    <t>BUNZL KAY CHLORINATED</t>
  </si>
  <si>
    <t>BUNZL KAY POT &amp; PN 2GAL</t>
  </si>
  <si>
    <t>BUNZL KAYQUAT I SNITIZER</t>
  </si>
  <si>
    <t>BUNZL KAYQUAT ISNITIZER</t>
  </si>
  <si>
    <t>BUNZL RD16 CLR DLI CP MW</t>
  </si>
  <si>
    <t>BUNZL WYPALX80WIPER9X16</t>
  </si>
  <si>
    <t>C13013 13IN DEEP4CMPTW/DIP</t>
  </si>
  <si>
    <t>C13110 10IN3CMTCLRPLTRW/DI</t>
  </si>
  <si>
    <t>C131104 10IN4CMTCLRPLTRW/DI</t>
  </si>
  <si>
    <t>C13113 13INSHAL4CMPTW/DIPC</t>
  </si>
  <si>
    <t>C14016 16INSQDP4CPTW/DIPCU</t>
  </si>
  <si>
    <t>C18-5615 5615 CLEAR LID</t>
  </si>
  <si>
    <t>C72384B10 3CMPT BLK RECT CMB</t>
  </si>
  <si>
    <t>C98024B15 24OZ BLK SQ BWL/LD</t>
  </si>
  <si>
    <t>CA91008 8Z CLR H/L DLI CNT</t>
  </si>
  <si>
    <t>CA91012 12Z CLR H/L DLICNT</t>
  </si>
  <si>
    <t>CA91016 16Z CLR H/L DLICNT</t>
  </si>
  <si>
    <t>CA91032 32Z CLR H/L DLICNT</t>
  </si>
  <si>
    <t>CB675B450 6INBLKFLATBASE4.5DO</t>
  </si>
  <si>
    <t>CB675B625 6INBLKCOMBO6025DOME</t>
  </si>
  <si>
    <t>CI80960 CLR FTLNG H/L CONT</t>
  </si>
  <si>
    <t>CI81048 7INCLR HOAGIE HINGD</t>
  </si>
  <si>
    <t>CI81113 CLR 3CMPT HNGD CON</t>
  </si>
  <si>
    <t>CI81160 6X6X3 CLR HNGD CON</t>
  </si>
  <si>
    <t>CI82040 9X6X3 CLR HNG CONT</t>
  </si>
  <si>
    <t>CI83011 9X5X3 CL HL HNG CN</t>
  </si>
  <si>
    <t>CI83035 10X9X3 CLR H/L CNT</t>
  </si>
  <si>
    <t>CI85008 CLR DELI CONTAINER</t>
  </si>
  <si>
    <t>CI85032 CLR DELI CONTAINER</t>
  </si>
  <si>
    <t>CI85100 FLAT CLEAR DELI LD</t>
  </si>
  <si>
    <t>CI85200 SNAP IN CLEAR LID</t>
  </si>
  <si>
    <t>CI89060 6CT CLR CUPCK CONT</t>
  </si>
  <si>
    <t>CI89802 8INSHAL CLR CK CMBO</t>
  </si>
  <si>
    <t>CN85012 BLK MICRO MAX CONT</t>
  </si>
  <si>
    <t>CN85101 CLR PLST MICRO LID</t>
  </si>
  <si>
    <t>CNC3004 SM CKN BARN CONTNR</t>
  </si>
  <si>
    <t>CNC300800 MEALMSTER CHX CONT</t>
  </si>
  <si>
    <t>CNC6002 RSTR LG BSE FLT LD</t>
  </si>
  <si>
    <t>CNC6007 CHKN RSTR CMBO/DME</t>
  </si>
  <si>
    <t>CNC6509 1/2 CHKN/RIB COMBO</t>
  </si>
  <si>
    <t>CNC6514 LRG SLAB RIB CONTR</t>
  </si>
  <si>
    <t>DEGREASER FS STRIKE 3</t>
  </si>
  <si>
    <t>DETERGENT FS POT SCRUBB</t>
  </si>
  <si>
    <t>45 LB</t>
  </si>
  <si>
    <t>DUMPSTERB DUMPSTER BREATH</t>
  </si>
  <si>
    <t>EH89111 1CMP BLK HL DLICNT</t>
  </si>
  <si>
    <t>EH89612 LG SNACK BX/CLRVW</t>
  </si>
  <si>
    <t>L2516 16Z NAT DLI CP CMB</t>
  </si>
  <si>
    <t>LB9224C 24CT MFFN/CPCKE CB</t>
  </si>
  <si>
    <t>LFMD-85 DOME LID F/BUCKET</t>
  </si>
  <si>
    <t>MEP-18275 20INREDUTILITYBRUSH</t>
  </si>
  <si>
    <t>MEP-18280 RED10INSCRUBBRUSH</t>
  </si>
  <si>
    <t>MEP-18285 BLUE10INSCRUBBRUSH</t>
  </si>
  <si>
    <t>MEP-18465 GREEN10INSCRUBBRUSH</t>
  </si>
  <si>
    <t>NC8168B 16OZ BLK RECT CONT</t>
  </si>
  <si>
    <t>NC818B 12OZ MICRO CONT/LD</t>
  </si>
  <si>
    <t>NC8288B 2COMP BLK RECT CMB</t>
  </si>
  <si>
    <t>NC868B 28OZ MICRO CONT/LD</t>
  </si>
  <si>
    <t>48 IN</t>
  </si>
  <si>
    <t>NI165 URINAL SCRN W/BLCK</t>
  </si>
  <si>
    <t>OC16B 16ZBKOVL CNT CLRLD</t>
  </si>
  <si>
    <t>P3616S125 DOME F/16IN PZZA PN</t>
  </si>
  <si>
    <t>P4412 12INCATERWARE DOME</t>
  </si>
  <si>
    <t>P444GFE RACK W/SANICART HD</t>
  </si>
  <si>
    <t>P92220 DOME LD 5# CATRBWL</t>
  </si>
  <si>
    <t>P92230 DME LD 10# CATRBWL</t>
  </si>
  <si>
    <t>P999GF SANIHANDS MULTICST</t>
  </si>
  <si>
    <t>220 CT</t>
  </si>
  <si>
    <t>Q43884 SANIHANDS 2 SNTZNG</t>
  </si>
  <si>
    <t>Q75372 160CT SANI-CART WP</t>
  </si>
  <si>
    <t>RC505 ALUM SQRE CAKE PAN</t>
  </si>
  <si>
    <t>RC685 225# OBLONG ALV TR</t>
  </si>
  <si>
    <t>RD12 12OZCLRM/WDELICUP</t>
  </si>
  <si>
    <t>RD16 16OZ CLR DELI CUP</t>
  </si>
  <si>
    <t>RD16 CLR DELI CUP MICRW</t>
  </si>
  <si>
    <t>RD16W WHT DELI CUP MICRO</t>
  </si>
  <si>
    <t>RD32C CLR DELI CUP MICRW</t>
  </si>
  <si>
    <t>RD8 CLR DELI CUP MICRW</t>
  </si>
  <si>
    <t>RDTFL DELI LD CLR 8-32OZ</t>
  </si>
  <si>
    <t>RDTFL DELI LD CLR8-32OZ</t>
  </si>
  <si>
    <t>RP505 LID ALUM SQR CK PN</t>
  </si>
  <si>
    <t>RP685 CLEAR DOMED LID</t>
  </si>
  <si>
    <t>S460 4X6 BLK SCOUR PAD</t>
  </si>
  <si>
    <t>SLI832 CLEAR SQ LID</t>
  </si>
  <si>
    <t>SRW18B BLK SM BWL COMBO</t>
  </si>
  <si>
    <t>SW7YW 16-32Z DWNPRS WRGR</t>
  </si>
  <si>
    <t>TD1-8803 8X8X3MD 3CMP H/LFM</t>
  </si>
  <si>
    <t>TD1-9903 9X9X3LG 3CMP FMH/L</t>
  </si>
  <si>
    <t>TD19901 9X9X3LG 1CMP H/LFM</t>
  </si>
  <si>
    <t>TH1-0080 6X6X3 FOAM TRY HNG</t>
  </si>
  <si>
    <t>TS24 24Z TR STRP DLITUB</t>
  </si>
  <si>
    <t>YC181049 9INCLEARHOAGIECONT</t>
  </si>
  <si>
    <t>YC1811100 9X9X3 CLR LRG H.L</t>
  </si>
  <si>
    <t>YC1811100 CLR CONT H/L 9X9X3</t>
  </si>
  <si>
    <t>12J16 MED WHITE FOAM CUP</t>
  </si>
  <si>
    <t>16FTLS LFTNLCK S/SLOT LID</t>
  </si>
  <si>
    <t>16J16 16OZ WHT TL FOAMCP</t>
  </si>
  <si>
    <t>20J16 WHT TALL FOAM CUP</t>
  </si>
  <si>
    <t>8-16 OZ</t>
  </si>
  <si>
    <t>20JLNV TRAN N-VNT PLSTLD</t>
  </si>
  <si>
    <t>32JL TRANS PLAS VNTD LD</t>
  </si>
  <si>
    <t>32TJ32 32OZ WHT TL FM CUP</t>
  </si>
  <si>
    <t>412SI 12OZ BISTRO HOT CP</t>
  </si>
  <si>
    <t>600LPN LARGE JAVA JCKT</t>
  </si>
  <si>
    <t>6J6 6OZ WHT FOAM CUPS</t>
  </si>
  <si>
    <t>8J8 8OZ WHT FOAM CUPS</t>
  </si>
  <si>
    <t>B200-0100 2OZ PLST SOUFLE CP</t>
  </si>
  <si>
    <t>BUNZL 32OZ COLD CUP</t>
  </si>
  <si>
    <t>BUNZL 32OZ COLD CUP LID</t>
  </si>
  <si>
    <t>BUNZL SOUFFLE CUP3.25OZ</t>
  </si>
  <si>
    <t>BUNZL SOUFFLE LID PL4</t>
  </si>
  <si>
    <t>P325-0100 3.25Z PLS SFLE CUP</t>
  </si>
  <si>
    <t>PL2-0090 2OZ SOUFFLE CUP LD</t>
  </si>
  <si>
    <t>PL4-0090 4OZ SOUFFLE CP LID</t>
  </si>
  <si>
    <t>TLP316-00 TRVL CFE LD F/10SQ</t>
  </si>
  <si>
    <t>TP16-0090 16OZ PLAST COLD CP</t>
  </si>
  <si>
    <t>UR55-0100 5.5Z TRANS PRTN CP</t>
  </si>
  <si>
    <t xml:space="preserve">CATEGORY :       1250000 LOOSE PACK CANDY &amp; MINTS </t>
  </si>
  <si>
    <t xml:space="preserve">CATEGORY :       1266010  BAG CANDY  </t>
  </si>
  <si>
    <t xml:space="preserve">CATEGORY :       1300000  MARSHMALLOWS  </t>
  </si>
  <si>
    <t xml:space="preserve">CATEGORY :       1350000  POPCORN </t>
  </si>
  <si>
    <t xml:space="preserve">CATEGORY :       1350010 CANDIED POPCORN </t>
  </si>
  <si>
    <t xml:space="preserve">CATEGORY :       1450000 COOKIES AND CRACKERS </t>
  </si>
  <si>
    <t xml:space="preserve">CATEGORY :       1500000  SNACKS, CHIPS, CONES </t>
  </si>
  <si>
    <t xml:space="preserve">CATEGORY :       1700000   CEREALS </t>
  </si>
  <si>
    <t xml:space="preserve">CATEGORY :       1701010  HOT CEREAL </t>
  </si>
  <si>
    <t xml:space="preserve">CATEGORY :       1702000   RICE CAKES </t>
  </si>
  <si>
    <t xml:space="preserve">CATEGORY :       1703000 GRANOLA BARS &amp; FRUIT SNACKS </t>
  </si>
  <si>
    <t xml:space="preserve">CATEGORY :       1705010 INSTANT BREAKFAST </t>
  </si>
  <si>
    <t xml:space="preserve">CATEGORY :       1706010 TOASTER PASTRIES </t>
  </si>
  <si>
    <t xml:space="preserve">CATEGORY :       1802010  GROUND COFFEE </t>
  </si>
  <si>
    <t xml:space="preserve">CATEGORY :       1804010 COFFEE IN TINS </t>
  </si>
  <si>
    <t xml:space="preserve">CATEGORY :       1812010  INSTANT/FREEZE DRIED COFFEE </t>
  </si>
  <si>
    <t xml:space="preserve">CATEGORY :       1835010  INSTANT COFFEE CREAM </t>
  </si>
  <si>
    <t xml:space="preserve">CATEGORY :       1854010   TEA BAGS </t>
  </si>
  <si>
    <t xml:space="preserve">CATEGORY :       1868010   INSTANT TEA / TEA MIXES </t>
  </si>
  <si>
    <t xml:space="preserve">CATEGORY :       1900000  MILK - CANNED &amp; DRY </t>
  </si>
  <si>
    <t xml:space="preserve">CATEGORY :       1952010  COCOA, CHOCOLATE MIX </t>
  </si>
  <si>
    <t xml:space="preserve">CATEGORY :       2001010   RICHFOOD BEVERAGES </t>
  </si>
  <si>
    <t xml:space="preserve">CATEGORY :       2003010   WATER </t>
  </si>
  <si>
    <t>CATEGORY :       2005010   BEVERAGES, POWDERED</t>
  </si>
  <si>
    <t xml:space="preserve">CATEGORY :       2008010  ICE POPS </t>
  </si>
  <si>
    <t xml:space="preserve">CATEGORY :       2028010  TOMATO &amp; VEGETABLE JUICE </t>
  </si>
  <si>
    <t xml:space="preserve">CATEGORY :       2029010  LEMON - LIME JUICE </t>
  </si>
  <si>
    <t xml:space="preserve">CATEGORY :       2033010  JUICE DRINKS </t>
  </si>
  <si>
    <t xml:space="preserve">CATEGORY :       2035010   ASEPTIC JUICES AND DRINKS </t>
  </si>
  <si>
    <t xml:space="preserve">CATEGORY :       2052010  MISCELLANEOUS FRUIT </t>
  </si>
  <si>
    <t xml:space="preserve">CATEGORY :       2054010   APPLESAUCE </t>
  </si>
  <si>
    <t xml:space="preserve">CATEGORY :       2063010  MARASCHINO CHERRIES </t>
  </si>
  <si>
    <t xml:space="preserve">CATEGORY :       2066010  CRANBERRY SAUCE </t>
  </si>
  <si>
    <t xml:space="preserve">CATEGORY :       2072010  FRUIT COCKTAIL / SALAD FRUIT </t>
  </si>
  <si>
    <t xml:space="preserve">CATEGORY :       2075010   PEACHES </t>
  </si>
  <si>
    <t xml:space="preserve">CATEGORY :       2088010   PEARS </t>
  </si>
  <si>
    <t xml:space="preserve">CATEGORY :       2094010  PIE FILLING / HOLIDAY PUDDING </t>
  </si>
  <si>
    <t xml:space="preserve">CATEGORY :       2096010  PINEAPPLE </t>
  </si>
  <si>
    <t xml:space="preserve">CATEGORY :       2098010  DRIED FRUITS </t>
  </si>
  <si>
    <t xml:space="preserve">CATEGORY :       2252010  ASPARAGUS </t>
  </si>
  <si>
    <t xml:space="preserve">CATEGORY :       2266010   BEAN SPECIALTIES </t>
  </si>
  <si>
    <t xml:space="preserve">CATEGORY :       2270010  DRY SOAK </t>
  </si>
  <si>
    <t xml:space="preserve">CATEGORY :       2272010  BUTTER BEANS AND LIMA BEANS </t>
  </si>
  <si>
    <t xml:space="preserve">CATEGORY :       2274010   GREEN BEANS </t>
  </si>
  <si>
    <t>CATEGORY :       2284010    BEETS</t>
  </si>
  <si>
    <t>CATEGORY :       2292010    CARROTS</t>
  </si>
  <si>
    <t xml:space="preserve">CATEGORY :       2294010    CORN </t>
  </si>
  <si>
    <t xml:space="preserve">CATEGORY :       2312010 MISCELLANEOUS VEGETABLES </t>
  </si>
  <si>
    <t>CATEGORY :       2316010    PEAS</t>
  </si>
  <si>
    <t>CATEGORY :       2326010    SPECIALTY  &amp; INSTANT POTATOES</t>
  </si>
  <si>
    <t>CATEGORY :       2332010   SAUERKRAUT</t>
  </si>
  <si>
    <t xml:space="preserve">CATEGORY :       2342010  SWEET POTATOES </t>
  </si>
  <si>
    <t xml:space="preserve">CATEGORY :       2344010  TOMATOES </t>
  </si>
  <si>
    <t xml:space="preserve">CATEGORY :       2346010    GREENS </t>
  </si>
  <si>
    <t xml:space="preserve">CATEGORY :       2402010  MUSHROOMS </t>
  </si>
  <si>
    <t xml:space="preserve">CATEGORY :       2450000 TOMATO SAUCE &amp; PASTE </t>
  </si>
  <si>
    <t xml:space="preserve">CATEGORY :       2460010   PIZZA SAUCES &amp; CRUST </t>
  </si>
  <si>
    <t xml:space="preserve">CATEGORY :       2465000   SPAGHETTI SAUCE AND TOPPINGS </t>
  </si>
  <si>
    <t xml:space="preserve">CATEGORY :       2502010    PACKAGED PASTA </t>
  </si>
  <si>
    <t xml:space="preserve">CATEGORY :       2506010   DINNERS &amp; DINNER SAUCES </t>
  </si>
  <si>
    <t xml:space="preserve">CATEGORY :       2550000   RICE </t>
  </si>
  <si>
    <t xml:space="preserve">CATEGORY :       2508010   CANNED PASTA </t>
  </si>
  <si>
    <t xml:space="preserve">CATEGORY :       260000  DRIED BEANS </t>
  </si>
  <si>
    <t xml:space="preserve">CATEGORY :       260000   DRIED BEANS </t>
  </si>
  <si>
    <t xml:space="preserve">CATEGORY :       2662010  CHINESE FOODS </t>
  </si>
  <si>
    <t xml:space="preserve">CATEGORY :       2654010  MEXICAN FOODS </t>
  </si>
  <si>
    <t xml:space="preserve">CATEGORY :       2702010   LIQUID GRAVIES </t>
  </si>
  <si>
    <t xml:space="preserve">CATEGORY :       2704010  PKG SEASONINGS AND SAUCE MIXES </t>
  </si>
  <si>
    <t xml:space="preserve">CATEGORY :       2705010   PACKAGE GRAVIES </t>
  </si>
  <si>
    <t xml:space="preserve">CATEGORY :       2754010  LUNCHEON MEATS </t>
  </si>
  <si>
    <t xml:space="preserve">CATEGORY :       2756010   STEWS </t>
  </si>
  <si>
    <t>CATEGORY :       2758010   VIENNA AND CHICKEN SAUSAGE</t>
  </si>
  <si>
    <t xml:space="preserve">CATEGORY :       27640010   CORNED BEEF HASH </t>
  </si>
  <si>
    <t xml:space="preserve">CATEGORY :       2768010   BARBECUE AND SLOPPY JOES </t>
  </si>
  <si>
    <t xml:space="preserve">CATEGORY :       2774010   CHICKEN AND TURKEY </t>
  </si>
  <si>
    <t>CATEGORY :       2776010  MEAT SPREADS</t>
  </si>
  <si>
    <t xml:space="preserve">CATEGORY :       2778010   MISCELLANEOUS MEATS </t>
  </si>
  <si>
    <t xml:space="preserve">CATEGORY :       2782010   SINGLE SERVING </t>
  </si>
  <si>
    <t xml:space="preserve">CATEGORY :       2806010  SARDINES </t>
  </si>
  <si>
    <t xml:space="preserve">CATEGORY :       2808010  SALMON </t>
  </si>
  <si>
    <t xml:space="preserve">CATEGORY :       2812010   TUNA </t>
  </si>
  <si>
    <t xml:space="preserve">CATEGORY :       2816010   MISCELLANEOUS SEAFOOD </t>
  </si>
  <si>
    <t xml:space="preserve">CATEGORY :       2852012 CAMPBELL'S REGULAR SOUPS </t>
  </si>
  <si>
    <t xml:space="preserve">CATEGORY :       2852013  PROGRESSO REGULAR SOUPS </t>
  </si>
  <si>
    <t>CATEGORY :       2852022 CAMPBELL'S CHUNKY SOUP S</t>
  </si>
  <si>
    <t xml:space="preserve">CATEGORY :       2860000 SOUP MIX &amp; BOUILLON </t>
  </si>
  <si>
    <t xml:space="preserve">CATEGORY :       2900000   CORN MEAL </t>
  </si>
  <si>
    <t xml:space="preserve">CATEGORY :       2950000    FLOUR </t>
  </si>
  <si>
    <t xml:space="preserve">CATEGORY :       3002010    BISCUIT </t>
  </si>
  <si>
    <t xml:space="preserve">CATEGORY :       3004010   MUFFIN </t>
  </si>
  <si>
    <t xml:space="preserve">CATEGORY :       3008010   PIE CRUST </t>
  </si>
  <si>
    <t xml:space="preserve">CATEGORY :       3012010   MISC BREAD / ROLL MIXES </t>
  </si>
  <si>
    <t xml:space="preserve">CATEGORY :       3016010  STUFFINGS </t>
  </si>
  <si>
    <t xml:space="preserve">CATEGORY :       3018010  MISC BREAD CRUMBS, COATINGS </t>
  </si>
  <si>
    <t xml:space="preserve">CATEGORY :       3100000   CAKE, COOKIE, &amp; BROWNIE MIXES </t>
  </si>
  <si>
    <t xml:space="preserve">CATEGORY :       3152010   FROSTING MIXES </t>
  </si>
  <si>
    <t xml:space="preserve">CATEGORY :       3200000   BAKING PRODUCTS / CUPS </t>
  </si>
  <si>
    <t xml:space="preserve">CATEGORY :       3202010   BAKING CHOCOLATE </t>
  </si>
  <si>
    <t xml:space="preserve">CATEGORY :       3240000  COCONUT </t>
  </si>
  <si>
    <t xml:space="preserve">CATEGORY :       3250000   BAKING INGREDIENTS </t>
  </si>
  <si>
    <t xml:space="preserve">CATEGORY :       3320000  PANCAKE &amp; WAFFLE MIX </t>
  </si>
  <si>
    <t xml:space="preserve">CATEGORY :       3325000  SYRUP &amp; MOLASSES </t>
  </si>
  <si>
    <t xml:space="preserve">CATEGORY :       3350000   SUGAR </t>
  </si>
  <si>
    <t xml:space="preserve">CATEGORY :       3356010   SUGAR SUBSTITUTES </t>
  </si>
  <si>
    <t xml:space="preserve">CATEGORY :       3404010   SALT, MISCELLANEOUS USES </t>
  </si>
  <si>
    <t xml:space="preserve">CATEGORY :       3450000   SHORTENING </t>
  </si>
  <si>
    <t xml:space="preserve">CATEGORY :       3500000   OILS </t>
  </si>
  <si>
    <t xml:space="preserve">CATEGORY :      3620022   MISC DRY GOODS </t>
  </si>
  <si>
    <t xml:space="preserve">CATEGORY :      3620031   JW ALLEN ICINGS &amp; FILLINGS </t>
  </si>
  <si>
    <t xml:space="preserve">CATEGORY :      3654013   McCORMICK </t>
  </si>
  <si>
    <t xml:space="preserve">CATEGORY :      3662012  McCORMICK </t>
  </si>
  <si>
    <t xml:space="preserve">CATEGORY :      3702010   TOPPINGS </t>
  </si>
  <si>
    <t xml:space="preserve">CATEGORY :      3704010   GELATIN </t>
  </si>
  <si>
    <t xml:space="preserve">CATEGORY :      3720011  READY TO SERVE DESSERTS </t>
  </si>
  <si>
    <t xml:space="preserve">CATEGORY :      3722010  MISCELANEOUS DESSERTS </t>
  </si>
  <si>
    <t xml:space="preserve">CATEGORY :      3752011  SNACKING NUTS </t>
  </si>
  <si>
    <t xml:space="preserve">CATEGORY :      3800000  MAYONNAISE </t>
  </si>
  <si>
    <t xml:space="preserve">CATEGORY :      3850000  SALAD DRESSING, SPREADS &amp; SALSA </t>
  </si>
  <si>
    <t>CATEGORY :      3950000   DRESSINGS</t>
  </si>
  <si>
    <t xml:space="preserve">CATEGORY :      3970000  SALAD TOPPINGS &amp; CROUTONS </t>
  </si>
  <si>
    <t xml:space="preserve">CATEGORY :     4000000   MUSTARD </t>
  </si>
  <si>
    <t xml:space="preserve">CATEGORY :     4050000  KETCHUP AND CHILI SAUCE </t>
  </si>
  <si>
    <t xml:space="preserve">CATEGORY :     4100000  SPECIALTY SAUCES </t>
  </si>
  <si>
    <t xml:space="preserve">CATEGORY :     4104010  BARBEQUE SAUCES </t>
  </si>
  <si>
    <t xml:space="preserve">CATEGORY :     4106010  HOT SAUCE </t>
  </si>
  <si>
    <t xml:space="preserve">CATEGORY :     4108010  MEAT AND SEAFOOD SAUCE </t>
  </si>
  <si>
    <t xml:space="preserve">CATEGORY :     41500000  PICKLES </t>
  </si>
  <si>
    <t xml:space="preserve">CATEGORY :     4164010   RELISH </t>
  </si>
  <si>
    <t xml:space="preserve">CATEGORY :     4166010   PEPPERS AND SPECIALTIES </t>
  </si>
  <si>
    <t xml:space="preserve">CATEGORY :     4202020    GREEN OLIVES </t>
  </si>
  <si>
    <t xml:space="preserve">CATEGORY :     4252010    PIMENTOS </t>
  </si>
  <si>
    <t>CATEGORY :     4350000    PRESERVES</t>
  </si>
  <si>
    <t xml:space="preserve">CATEGORY :     4400000    PEANUT BUTTER </t>
  </si>
  <si>
    <t xml:space="preserve">CATEGORY :     45000000   HONEY </t>
  </si>
  <si>
    <t xml:space="preserve">CATEGORY :     4550000  VINEGAR </t>
  </si>
  <si>
    <t>CATEGORY :     4900000   DETERGENTS</t>
  </si>
  <si>
    <t xml:space="preserve">CATEGORY :     4919010   LIQUID DETERGENTS </t>
  </si>
  <si>
    <t xml:space="preserve">CATEGORY :     4930000   DISH DETERGENTS </t>
  </si>
  <si>
    <t xml:space="preserve">CATEGORY :     4950010   AUTO ADDED CATEGORY </t>
  </si>
  <si>
    <t xml:space="preserve">CATEGORY :     4950020   AUTO ADDED CATEGORY </t>
  </si>
  <si>
    <t xml:space="preserve">CATEGORY :     5000000   STARCH &amp; SIZING </t>
  </si>
  <si>
    <t xml:space="preserve">CATEGORY :     5052010   FABRIC SOFTENERS - WASH ADDED </t>
  </si>
  <si>
    <t xml:space="preserve">CATEGORY :     5055010  FABRIC CARE </t>
  </si>
  <si>
    <t xml:space="preserve">CATEGORY :     5102010   CHLORINE BLEACH </t>
  </si>
  <si>
    <t>CATEGORY :     5112010   NON-CHLORINE BLEACH</t>
  </si>
  <si>
    <t>CATEGORY :     5202010  LAUNDRY ADDITIVES &amp; PRE-SOAKS</t>
  </si>
  <si>
    <t xml:space="preserve">CATEGORY :     5300000   AMMONIA </t>
  </si>
  <si>
    <t>CATEGORY :     5350000   CLEANSERS</t>
  </si>
  <si>
    <t xml:space="preserve">CATEGORY :     5403010   SPRAY CLEANERS </t>
  </si>
  <si>
    <t xml:space="preserve">CATEGORY :     5408010   BATHROOM CLEANERS </t>
  </si>
  <si>
    <t xml:space="preserve">CATEGORY :     5409012    TOILET BOWL CLEANERS </t>
  </si>
  <si>
    <t xml:space="preserve">CATEGORY :     5411010    DRAIN OPENERS </t>
  </si>
  <si>
    <t xml:space="preserve">CATEGORY :     5412010   OVEN CLEANERS </t>
  </si>
  <si>
    <t>CATEGORY :     5418010    WINDOW CLEANERS</t>
  </si>
  <si>
    <t xml:space="preserve">CATEGORY :     5430000   SCOURING &amp; SOAP PADS </t>
  </si>
  <si>
    <t xml:space="preserve">CATEGORY :     5452010  FURNITURE  POLISH </t>
  </si>
  <si>
    <t>CATEGORY :     5500000  AIR FRESHENERS</t>
  </si>
  <si>
    <t>CATEGORY :     5561010  RUG FRESHENERS</t>
  </si>
  <si>
    <t>CATEGORY :     5602010  SANDWICH AND LUNCH BAGS</t>
  </si>
  <si>
    <t xml:space="preserve">CATEGORY :     5605010   KITCHEN &amp; GARBAGE BAGS </t>
  </si>
  <si>
    <t xml:space="preserve">CATEGORY :     5606010   STORAGE AND UTILITY BAGS </t>
  </si>
  <si>
    <t xml:space="preserve">CATEGORY :     5608010  FOIL WRAP </t>
  </si>
  <si>
    <t xml:space="preserve">CATEGORY :     5612010   PLASTIC AND WAX WRAP </t>
  </si>
  <si>
    <t xml:space="preserve">CATEGORY :     5627010   BATHROOM TISSUE &amp; WIPES </t>
  </si>
  <si>
    <t xml:space="preserve">CATEGORY :     5628010   TOWELS &amp; TOWEL HOLDER </t>
  </si>
  <si>
    <t xml:space="preserve">CATEGORY :     5643010   PLATES, PLATTERS &amp; BOWLS </t>
  </si>
  <si>
    <t xml:space="preserve">CATEGORY :     6072011   PIONEER FLOOR CARE </t>
  </si>
  <si>
    <t xml:space="preserve">CATEGORY :     6171001   HOT, COLD CUPS &amp; LIDS </t>
  </si>
  <si>
    <t xml:space="preserve">GROCERY DIVISION </t>
  </si>
  <si>
    <t xml:space="preserve">PAGE </t>
  </si>
  <si>
    <t>5550000  AIR FRESHNERS</t>
  </si>
  <si>
    <t xml:space="preserve">5300000  AMMONIA </t>
  </si>
  <si>
    <t>2054010  APPLE SAUCE</t>
  </si>
  <si>
    <t>2035010  ASEPTIC JUICE AND DRINKS</t>
  </si>
  <si>
    <t xml:space="preserve">2252010  ASPARAGUS </t>
  </si>
  <si>
    <t xml:space="preserve">1266010  BAG CANDY </t>
  </si>
  <si>
    <t>3202010  BAKING CHOCOLATE</t>
  </si>
  <si>
    <t>3250000  BAKING INGREDIENTS</t>
  </si>
  <si>
    <t>2768010  BARBEQUE &amp; SLOPPY JOES</t>
  </si>
  <si>
    <t xml:space="preserve">4104010  BARBEQUE SAUCES </t>
  </si>
  <si>
    <t>5408010 BATHROOM CLEANERS</t>
  </si>
  <si>
    <t xml:space="preserve">5627010  BATHROOM TISSUE &amp; WIPES </t>
  </si>
  <si>
    <t>2266010  BEAN SPECIALTIES</t>
  </si>
  <si>
    <t>2284010  BEETS</t>
  </si>
  <si>
    <t>2005010  BEVERAGES, POWDERED</t>
  </si>
  <si>
    <t xml:space="preserve">3002010  BISCUITS </t>
  </si>
  <si>
    <t xml:space="preserve">2272010  BUTTER BEANS &amp; LIMA BEANS </t>
  </si>
  <si>
    <t>3100000  CAKE,COOKIE, &amp; BROWNIE MIXES</t>
  </si>
  <si>
    <t xml:space="preserve">2852022 CAMPBELL'S CHUNKY SOUPS </t>
  </si>
  <si>
    <t>2852012 CAMPBELL'S REGULAR SOUPS</t>
  </si>
  <si>
    <t xml:space="preserve">1350010  CANDIED POPCORN </t>
  </si>
  <si>
    <t>2508010  CANNED PASTA</t>
  </si>
  <si>
    <t>2292010   CARROTS</t>
  </si>
  <si>
    <t xml:space="preserve">4050000 KETCHUP &amp; CHILI SAUCE </t>
  </si>
  <si>
    <t>1700000  CEREALS</t>
  </si>
  <si>
    <t xml:space="preserve">2774010  CHICKEN &amp; TURKEY </t>
  </si>
  <si>
    <t>2652010  CHINESE FOODS</t>
  </si>
  <si>
    <t xml:space="preserve">3204010  CHIPS &amp; MORSELS </t>
  </si>
  <si>
    <t xml:space="preserve">5102010  CHLORINE BLEACH </t>
  </si>
  <si>
    <t>5350000 CLEANSERS</t>
  </si>
  <si>
    <t xml:space="preserve">1952010 COCOA, CHOCOLATE MIX </t>
  </si>
  <si>
    <t xml:space="preserve">3240000 COCONUT </t>
  </si>
  <si>
    <t xml:space="preserve">1804010  COFFEE IN TINS </t>
  </si>
  <si>
    <t>1450000  COOKIES AND CRACKERS</t>
  </si>
  <si>
    <t xml:space="preserve">2294010  CORN </t>
  </si>
  <si>
    <t xml:space="preserve">2900000 CORN MEAL </t>
  </si>
  <si>
    <t xml:space="preserve">2764010  CORNED BEEF HASH </t>
  </si>
  <si>
    <t xml:space="preserve">2066010  CRANBERRY SAUCE </t>
  </si>
  <si>
    <t xml:space="preserve">4900000  DETERGENTS </t>
  </si>
  <si>
    <t xml:space="preserve">2506010  DINNERS &amp; DINNER SAUCES </t>
  </si>
  <si>
    <t xml:space="preserve">4930000 DISH DETERGENTS </t>
  </si>
  <si>
    <t>5411010  DRAIN OPENERS</t>
  </si>
  <si>
    <t>3950000  DRESSINGS</t>
  </si>
  <si>
    <t xml:space="preserve">2600000  DRIED BEANS </t>
  </si>
  <si>
    <t xml:space="preserve">2098010  DRIED FRUITS </t>
  </si>
  <si>
    <t xml:space="preserve">2270010  DRY SOAK </t>
  </si>
  <si>
    <t xml:space="preserve">5055010  FABRIC CARE </t>
  </si>
  <si>
    <t xml:space="preserve">5052010  FABRIC SOFTENERS - WASHER ADDED </t>
  </si>
  <si>
    <t>2950000  FLOUR</t>
  </si>
  <si>
    <t xml:space="preserve">5608010  FOIL WRAP </t>
  </si>
  <si>
    <t>3152010  FROSTING MIXES</t>
  </si>
  <si>
    <t xml:space="preserve">2072010  FRUIT COCKTAIL/SALAD FRUITS </t>
  </si>
  <si>
    <t xml:space="preserve">5452010 FURNITURE POLISH </t>
  </si>
  <si>
    <t xml:space="preserve">37044010  GELATIN </t>
  </si>
  <si>
    <t>1703000 GRANOLA BARS &amp; FRUIT SNACKS</t>
  </si>
  <si>
    <t>2274010  GREEN BEANS</t>
  </si>
  <si>
    <t xml:space="preserve">4202020  GREEN OLIVES </t>
  </si>
  <si>
    <t>2346010  GREENS</t>
  </si>
  <si>
    <t xml:space="preserve">1802010  GROUND BAG COFFEE </t>
  </si>
  <si>
    <t xml:space="preserve">4500000  HONEY </t>
  </si>
  <si>
    <t xml:space="preserve">1701010  HOT CEREAL </t>
  </si>
  <si>
    <t xml:space="preserve">4106010  HOT SUACE </t>
  </si>
  <si>
    <t xml:space="preserve">6171001  HOT, COLD CUPS &amp; LIDS </t>
  </si>
  <si>
    <t>2008010  ICE POPS</t>
  </si>
  <si>
    <t xml:space="preserve">1705010  INSTANT BREAKFAST </t>
  </si>
  <si>
    <t xml:space="preserve">1835010  INSTANT COFFEE CREAM </t>
  </si>
  <si>
    <t>1868010  INSTANT TEA / TEA MIXES</t>
  </si>
  <si>
    <t>1812010  INSTANT / FREEZE DRIED COFFEE</t>
  </si>
  <si>
    <t xml:space="preserve">2033010  JUICE DRINKS </t>
  </si>
  <si>
    <t>3620031 Jw ALLEN ICING &amp; FILLINGS</t>
  </si>
  <si>
    <t xml:space="preserve">5605010  KITCHEN &amp; GARBAGE BAGS </t>
  </si>
  <si>
    <t>5202010 LAUNDRY ADDITIVES &amp; PRE-SOAKS</t>
  </si>
  <si>
    <t xml:space="preserve">2029010 LEMON - LIME JUICE </t>
  </si>
  <si>
    <t xml:space="preserve">2702010  LIQUID GRAVIES </t>
  </si>
  <si>
    <t xml:space="preserve">4919010 LIQUID LAUNDRY </t>
  </si>
  <si>
    <t>1250000  LOOSE PACK CANDY &amp; MINTS</t>
  </si>
  <si>
    <t xml:space="preserve">2754010  LUNCHEON MEATS </t>
  </si>
  <si>
    <t xml:space="preserve">2063010  MARASCHINO CHEERIES </t>
  </si>
  <si>
    <t xml:space="preserve">1300000 MARSHMALLOWS </t>
  </si>
  <si>
    <t xml:space="preserve">3800000  MAYONNAISE </t>
  </si>
  <si>
    <t xml:space="preserve">3654013  McCORMICK </t>
  </si>
  <si>
    <t xml:space="preserve">4108010  MEAT &amp; SEAFOOD SAUCE </t>
  </si>
  <si>
    <t>2776010 MEAT SPREADS</t>
  </si>
  <si>
    <t xml:space="preserve">2654010 MEXICAN FOODS </t>
  </si>
  <si>
    <t xml:space="preserve">1900000  MILK - CANNED &amp; DRY </t>
  </si>
  <si>
    <t xml:space="preserve">3018010  MISC BREAD CRUMBS, COATINGS </t>
  </si>
  <si>
    <t xml:space="preserve">3012010 MISC BREAD / ROLL MIXES </t>
  </si>
  <si>
    <t xml:space="preserve">3620022  MISC DRY GOODS </t>
  </si>
  <si>
    <t>3722010 MISCELLANEOUS DESSERTS</t>
  </si>
  <si>
    <t>2052010 MISCELLANEOUS FRUITS</t>
  </si>
  <si>
    <t xml:space="preserve">2778010 MISCELLANEOUS MEATS </t>
  </si>
  <si>
    <t xml:space="preserve">2816010 MISCELLANEOUS SEAFOOD </t>
  </si>
  <si>
    <t xml:space="preserve">2312010 MISCELLANEOUS VEGETABLES </t>
  </si>
  <si>
    <t xml:space="preserve">3004010 MUFFIN </t>
  </si>
  <si>
    <t xml:space="preserve">2402010  MUSHROOMS </t>
  </si>
  <si>
    <t xml:space="preserve">400000 MUSTARD </t>
  </si>
  <si>
    <t xml:space="preserve">5112010  NON - CHLORINE BLEACH </t>
  </si>
  <si>
    <t xml:space="preserve">3500000 OILS </t>
  </si>
  <si>
    <t xml:space="preserve">5412010 OVEN CLEANERS </t>
  </si>
  <si>
    <t xml:space="preserve">2705010  PACKAGE GRAVIES </t>
  </si>
  <si>
    <t>2502010 PACKAGED PASTA</t>
  </si>
  <si>
    <t xml:space="preserve">3320000 PANCAKE &amp; WAFFLE MIX </t>
  </si>
  <si>
    <t>2075010 PEACHES</t>
  </si>
  <si>
    <t>4400000 PEANUT BUTTER</t>
  </si>
  <si>
    <t xml:space="preserve">2088010 PEARS </t>
  </si>
  <si>
    <t xml:space="preserve">2316010 PEAS </t>
  </si>
  <si>
    <t xml:space="preserve">4166010  PEPPERS &amp; SPECIALTIES </t>
  </si>
  <si>
    <t xml:space="preserve">4150000  PICKLES </t>
  </si>
  <si>
    <t xml:space="preserve">3008010  PIE CRUST </t>
  </si>
  <si>
    <t xml:space="preserve">2094010  PIE FILLING / HOLIDAY PUDDING </t>
  </si>
  <si>
    <t>4252010 PIMENTOS</t>
  </si>
  <si>
    <t xml:space="preserve">2096010  PINEAPPLE </t>
  </si>
  <si>
    <t xml:space="preserve">6072011  PIONEER FLOOR CARE </t>
  </si>
  <si>
    <t xml:space="preserve">2460010 PIZZA SAUCES &amp; CRUST </t>
  </si>
  <si>
    <t>2704010 PKG SEASONINGS &amp; SAUCE MIX</t>
  </si>
  <si>
    <t xml:space="preserve">5612010 PLASTIC &amp; WAX WRAP </t>
  </si>
  <si>
    <t xml:space="preserve">5643010 PLATES PLATTERS &amp; BOWLS </t>
  </si>
  <si>
    <t xml:space="preserve">1350000  POPCORN </t>
  </si>
  <si>
    <t xml:space="preserve">4350000 PRESERVES </t>
  </si>
  <si>
    <t xml:space="preserve">2852013  PROGRESSO REGULAR SOUP </t>
  </si>
  <si>
    <t xml:space="preserve">3720011 READY TO SERVE DESSERTS </t>
  </si>
  <si>
    <t xml:space="preserve">416410 RELISH </t>
  </si>
  <si>
    <t xml:space="preserve">2550000  RICE </t>
  </si>
  <si>
    <t xml:space="preserve">17020000  RICE CAKES </t>
  </si>
  <si>
    <t xml:space="preserve">2001010  RICHFOOD BEVERAGES </t>
  </si>
  <si>
    <t>3850000  SALAD DRESSING, SPREADS &amp; SALSA</t>
  </si>
  <si>
    <t xml:space="preserve">3970000  SALAD TOPPINGS &amp; CROUTONS </t>
  </si>
  <si>
    <t xml:space="preserve">2808010  SALMON </t>
  </si>
  <si>
    <t xml:space="preserve">3404010  SALT, MISCELLANEOUS USES </t>
  </si>
  <si>
    <t xml:space="preserve">5602010  SANDWICH AND LUNCH BAGS </t>
  </si>
  <si>
    <t xml:space="preserve">2806010  SARDINES </t>
  </si>
  <si>
    <t xml:space="preserve">2332010  SAUERKRAUT </t>
  </si>
  <si>
    <t xml:space="preserve">5430000  SCOURING &amp; SOAP PADS </t>
  </si>
  <si>
    <t xml:space="preserve">3450000 SHORTENING </t>
  </si>
  <si>
    <t xml:space="preserve">2782010  SINGLE SERVING </t>
  </si>
  <si>
    <t xml:space="preserve">3752011  SNACKING NUTS </t>
  </si>
  <si>
    <t xml:space="preserve">1500000  SNACKS, CHIPS, CONES </t>
  </si>
  <si>
    <t xml:space="preserve">2860000  SOUP MIX &amp; BOUILLON </t>
  </si>
  <si>
    <t xml:space="preserve">2465000  SPEGHETTI SAUCE AND TOPPINGS </t>
  </si>
  <si>
    <t>2326010 SPECIALTY &amp; INSTANT POTATOES</t>
  </si>
  <si>
    <t xml:space="preserve">4100000 SPECIALTY SAUCES </t>
  </si>
  <si>
    <t xml:space="preserve">3016010 STUFFINGS </t>
  </si>
  <si>
    <t xml:space="preserve">3350000  SUGAR </t>
  </si>
  <si>
    <t xml:space="preserve">3356010  SUGAR SUBSTITUTES </t>
  </si>
  <si>
    <t xml:space="preserve">2342010  SWEET POTATOS </t>
  </si>
  <si>
    <t>3325000  SYRUP &amp; MOLASSES</t>
  </si>
  <si>
    <t xml:space="preserve">1854010   TEA BAGS </t>
  </si>
  <si>
    <t xml:space="preserve">1706010  TOASTER PASTRIES </t>
  </si>
  <si>
    <t xml:space="preserve">5409012  TOILET BOWL CLEANERS </t>
  </si>
  <si>
    <t xml:space="preserve">2344010  TOMATOES </t>
  </si>
  <si>
    <t xml:space="preserve">2450000  TOMATOE SAUCE &amp; PASTE </t>
  </si>
  <si>
    <t xml:space="preserve">2028010  TOMATOE &amp; VEGETABLE JUICE </t>
  </si>
  <si>
    <t xml:space="preserve">3702010  TOPPINGS </t>
  </si>
  <si>
    <t xml:space="preserve">2812010   TUNA </t>
  </si>
  <si>
    <t xml:space="preserve">2758010 VIENNA &amp; CHICKEN SAUSAGE </t>
  </si>
  <si>
    <t>4550000  VINEGAR</t>
  </si>
  <si>
    <t xml:space="preserve">2003010  WATER </t>
  </si>
  <si>
    <t xml:space="preserve">5418010  WINDOW CLEANER </t>
  </si>
  <si>
    <t xml:space="preserve">MEAT &amp; PRODUCE </t>
  </si>
  <si>
    <t xml:space="preserve">706631 #1 GRADE BACON </t>
  </si>
  <si>
    <t xml:space="preserve">325008  ANN'S HOUSE OF NUTS </t>
  </si>
  <si>
    <t xml:space="preserve">1100000  AUTO - ADDED CATEGORY </t>
  </si>
  <si>
    <t xml:space="preserve">3200000  BAKING PRODUCTS / CUPS </t>
  </si>
  <si>
    <t xml:space="preserve">5561010  RUG FRESHNERS </t>
  </si>
  <si>
    <t xml:space="preserve">5403010  SPRAY CLEANERS </t>
  </si>
  <si>
    <t xml:space="preserve">5000000  STARCH AND SIZING </t>
  </si>
  <si>
    <t xml:space="preserve">5606010  STORAGE </t>
  </si>
  <si>
    <t xml:space="preserve">2756010   STEWS </t>
  </si>
  <si>
    <t xml:space="preserve">5628010  TOWELS AND TOWEL HOLDER </t>
  </si>
  <si>
    <t xml:space="preserve">305030  AUTO -ADDED CATEGORY </t>
  </si>
  <si>
    <t xml:space="preserve">706670  BEEF FRANKS </t>
  </si>
  <si>
    <t xml:space="preserve">701160  BEEF GRINDING MEATS </t>
  </si>
  <si>
    <t xml:space="preserve">701171  BF OFFALS </t>
  </si>
  <si>
    <t xml:space="preserve">709973  BOLOGNA LOAFS </t>
  </si>
  <si>
    <t xml:space="preserve">704450  BONELESS PORK </t>
  </si>
  <si>
    <t xml:space="preserve">CATEGORY :       3204010   CHIPS &amp; MORSELS </t>
  </si>
  <si>
    <t>CATEGORY :       3204010  CHIPS &amp; MORSELS</t>
  </si>
  <si>
    <t xml:space="preserve">701100  BOXED CATTLE </t>
  </si>
  <si>
    <t xml:space="preserve">324004  BRACHS BULK CANDY </t>
  </si>
  <si>
    <t xml:space="preserve">715010  BULK FISH </t>
  </si>
  <si>
    <t xml:space="preserve">325003  BULK NUTS </t>
  </si>
  <si>
    <t xml:space="preserve">715001  BULK SHRIMP </t>
  </si>
  <si>
    <t xml:space="preserve">705551  CANNED HAMS </t>
  </si>
  <si>
    <t xml:space="preserve">709977  CHICKEN / TURKEY LOAFS </t>
  </si>
  <si>
    <t xml:space="preserve">709976  COOKED BEEF / ETC. </t>
  </si>
  <si>
    <t xml:space="preserve">307006  DRINK MIX / TOPPING </t>
  </si>
  <si>
    <t xml:space="preserve">317009  ET TU KIT / CROUTONS </t>
  </si>
  <si>
    <t xml:space="preserve">309005  FLAVOR HARVEST FRUIT </t>
  </si>
  <si>
    <t xml:space="preserve">317006  FRESH GOUR / CROUTONS </t>
  </si>
  <si>
    <t xml:space="preserve">703314  FRESH LAMB VARIETY </t>
  </si>
  <si>
    <t xml:space="preserve">707722  FRESH TURKEY PARTS </t>
  </si>
  <si>
    <t xml:space="preserve">318003  FREIDA SPECIALTIES </t>
  </si>
  <si>
    <t xml:space="preserve">706020  FROZEN MISC. MEATS </t>
  </si>
  <si>
    <t xml:space="preserve">716001  FROZEN POULTRY </t>
  </si>
  <si>
    <t xml:space="preserve">716010  FROZEN SEAFOOD / SHRIMP </t>
  </si>
  <si>
    <t>702214  FRESH VEAL VARIETY MT</t>
  </si>
  <si>
    <t xml:space="preserve">313001  FRUIT DRINKS </t>
  </si>
  <si>
    <t xml:space="preserve">707752  FRYER PARTS </t>
  </si>
  <si>
    <t xml:space="preserve">716011  FROZEN BEEF AND PORK </t>
  </si>
  <si>
    <t xml:space="preserve">716016  FROZEN BEEF PATTIES </t>
  </si>
  <si>
    <t>716012  FROZEN BRANDED SAUSAGE</t>
  </si>
  <si>
    <t xml:space="preserve">716015 FROZEN BREADED VARIETY </t>
  </si>
  <si>
    <t>7166014  FROZEN MURRY'S</t>
  </si>
  <si>
    <t xml:space="preserve">709971  HAM LOAFS </t>
  </si>
  <si>
    <t xml:space="preserve">706689  HOMEMEAL REPLACEMENT MEAT </t>
  </si>
  <si>
    <t xml:space="preserve">701118  IBP SEL BEEF CHUCKS </t>
  </si>
  <si>
    <t xml:space="preserve">709963 IN STORE PREPARED </t>
  </si>
  <si>
    <t xml:space="preserve">325001  INSHELL PEANUTS </t>
  </si>
  <si>
    <t xml:space="preserve">313007 LUNCH PUNCH DRINKS </t>
  </si>
  <si>
    <t xml:space="preserve">324006  MARIANI DRIED FRUIT </t>
  </si>
  <si>
    <t xml:space="preserve">319002 MARIE'S SALAD DRESSING </t>
  </si>
  <si>
    <t xml:space="preserve">704452  MARINATED PORK </t>
  </si>
  <si>
    <t xml:space="preserve">319001  MARZ/SALAD DRESSING </t>
  </si>
  <si>
    <t xml:space="preserve">319003 MARZETTI ASST. DIPS </t>
  </si>
  <si>
    <t xml:space="preserve">315003 MEAT SBUSTITUTES </t>
  </si>
  <si>
    <t xml:space="preserve">318005 MELLISSA'S SPECIALTY </t>
  </si>
  <si>
    <t xml:space="preserve">709962  MISC. CKD / PREPARED </t>
  </si>
  <si>
    <t xml:space="preserve">709979  MISC. DELI LOAFS </t>
  </si>
  <si>
    <t xml:space="preserve">709947  MISC SALADS </t>
  </si>
  <si>
    <t xml:space="preserve">705580  MISC SMOKED MT </t>
  </si>
  <si>
    <t xml:space="preserve">318001  MISC. ORIENTAL </t>
  </si>
  <si>
    <t xml:space="preserve">706611  MISC PROCESSED ITEMS </t>
  </si>
  <si>
    <t xml:space="preserve">706699  MISCELLANEOUS BRANDS </t>
  </si>
  <si>
    <t xml:space="preserve">325004  PACKAGE NUTS </t>
  </si>
  <si>
    <t xml:space="preserve">715025  PACKAGE SEAFOOD </t>
  </si>
  <si>
    <t xml:space="preserve">326001  PACKAGE DRIED FRUIT </t>
  </si>
  <si>
    <t xml:space="preserve">715012  PACKAGED FISH </t>
  </si>
  <si>
    <t xml:space="preserve">715002  PACKAGED SHRIMP </t>
  </si>
  <si>
    <t xml:space="preserve">706698  PEPPERONI </t>
  </si>
  <si>
    <t xml:space="preserve">707782  PERDUE CHICKEN </t>
  </si>
  <si>
    <t xml:space="preserve">708880  PICKLES / OLIVES </t>
  </si>
  <si>
    <t xml:space="preserve">704410  PORK PRIMALS </t>
  </si>
  <si>
    <t xml:space="preserve">709974  SALAMI / PEPPERONI </t>
  </si>
  <si>
    <t>706640 SAUSAGE ROLLS</t>
  </si>
  <si>
    <t xml:space="preserve">708871  SEASONINGS / SAUCES </t>
  </si>
  <si>
    <t xml:space="preserve">706652  SMOKED LINKS / PATTIES </t>
  </si>
  <si>
    <t>705510  SMOKED HAM B - IN / B-LESS</t>
  </si>
  <si>
    <t xml:space="preserve">715030 SMOKED / SALT FISH PKG </t>
  </si>
  <si>
    <t xml:space="preserve">715028  SURIMI BULK / PKG </t>
  </si>
  <si>
    <t xml:space="preserve">704406  TENDER N EASY PORK </t>
  </si>
  <si>
    <t xml:space="preserve">707712  WHOLE ROASTERS / CORNISH </t>
  </si>
  <si>
    <t xml:space="preserve">DAIRY DIVISION </t>
  </si>
  <si>
    <t xml:space="preserve">9980040  EGG SUBSTITUTES </t>
  </si>
  <si>
    <t xml:space="preserve">9980010  MISCELLANEOUS CREAMS </t>
  </si>
  <si>
    <t xml:space="preserve">FROZEN DIVISION </t>
  </si>
  <si>
    <t xml:space="preserve">9231001  AMY'S KITCHEN </t>
  </si>
  <si>
    <t xml:space="preserve">9265020 AUNT JEMIMA </t>
  </si>
  <si>
    <t xml:space="preserve">9280000  BAGELS </t>
  </si>
  <si>
    <t xml:space="preserve">9410030  BANQUET </t>
  </si>
  <si>
    <t xml:space="preserve">9181020  BIRDSEYE </t>
  </si>
  <si>
    <t xml:space="preserve">9290000  BREAD &amp; RELATED BREAD ITEMS </t>
  </si>
  <si>
    <t xml:space="preserve">9696015  CHEESECAKES </t>
  </si>
  <si>
    <t>9696140  CLUB PACKS T&amp;S</t>
  </si>
  <si>
    <t xml:space="preserve">9670000  COFFEE CREAMER </t>
  </si>
  <si>
    <t>9020004  DELI DESSERTS (BULK)</t>
  </si>
  <si>
    <t xml:space="preserve">9540000  DESSERTS - THAW &amp; EAT </t>
  </si>
  <si>
    <t xml:space="preserve">9250000  EGG SUBSTITUTES </t>
  </si>
  <si>
    <t xml:space="preserve">9265040  EGGO </t>
  </si>
  <si>
    <t xml:space="preserve">9020000  FROZEN FOOD SERVICE </t>
  </si>
  <si>
    <t xml:space="preserve">9470000  FRUITS </t>
  </si>
  <si>
    <t>9310040  GORTONS</t>
  </si>
  <si>
    <t xml:space="preserve">9680021  HALF GALLON - ICE CREAM </t>
  </si>
  <si>
    <t>9690000  ICE CREAM NOVELTIES</t>
  </si>
  <si>
    <t xml:space="preserve">9650000 JUICE &amp; DRINKS - MISC. </t>
  </si>
  <si>
    <t xml:space="preserve">9696013  KNAUBS DESSERT CAKES </t>
  </si>
  <si>
    <t xml:space="preserve">9696031  LOAF &amp; POUND CAKES </t>
  </si>
  <si>
    <t xml:space="preserve">9140000  MEAT PIES </t>
  </si>
  <si>
    <t>9190000  MEXICAN DINNERS * SPECIALTIES</t>
  </si>
  <si>
    <t xml:space="preserve">9007012  MISC. COOKIE DOUGH </t>
  </si>
  <si>
    <t xml:space="preserve">9696014  MISC. DESSERT CAKES </t>
  </si>
  <si>
    <t xml:space="preserve">9012013  MISC. SWEET DOUGHS </t>
  </si>
  <si>
    <t xml:space="preserve">9696102  MISC T&amp;S BREADS </t>
  </si>
  <si>
    <t xml:space="preserve">9696060  MISC T&amp;S DONUTS </t>
  </si>
  <si>
    <t xml:space="preserve">9696042  MISC T&amp;S MUFFINS </t>
  </si>
  <si>
    <t xml:space="preserve">6966052  MISC T&amp;S PIES </t>
  </si>
  <si>
    <t xml:space="preserve">9696072  MISC T&amp;S SWEET GOODS </t>
  </si>
  <si>
    <t xml:space="preserve">90200020 MISCELLANEOUS ENTREES </t>
  </si>
  <si>
    <t xml:space="preserve">9200000  ORIENTAL DINNER &amp; SPECIALTIES </t>
  </si>
  <si>
    <t xml:space="preserve">9020007  PENOBSCOT POTATO WEDGES </t>
  </si>
  <si>
    <t xml:space="preserve">9265050  PEPPERIDGE FARMS </t>
  </si>
  <si>
    <t xml:space="preserve">9020013  PEIRCES CHICKEN </t>
  </si>
  <si>
    <t xml:space="preserve">92665110  PILLSBURY </t>
  </si>
  <si>
    <t xml:space="preserve">9220000  PIZZA &amp; ITALIAN SPECIALTIES </t>
  </si>
  <si>
    <t xml:space="preserve">9237000  QUICHE </t>
  </si>
  <si>
    <t xml:space="preserve">9100010  RICHFOOD/ECON/IGA VEGETABLES </t>
  </si>
  <si>
    <t xml:space="preserve">9015011  RICHS ROLL DOUGH </t>
  </si>
  <si>
    <t>9180050  ROSSETTOS</t>
  </si>
  <si>
    <t xml:space="preserve">9235000  SANDWICHES </t>
  </si>
  <si>
    <t xml:space="preserve">9680048  SHERBERT </t>
  </si>
  <si>
    <t>9020003 STOUFFER ENTREES</t>
  </si>
  <si>
    <t xml:space="preserve">9175080  STOUFFERS / LEAN CUSINE </t>
  </si>
  <si>
    <t xml:space="preserve">9696100  T &amp; S SELL BREADS / ROLLS </t>
  </si>
  <si>
    <t>9002011  INICED CAKES</t>
  </si>
  <si>
    <t xml:space="preserve">9015010  WENNER ROLL DOUGH </t>
  </si>
  <si>
    <t xml:space="preserve">9500000 WHIPPED TOPPINGS </t>
  </si>
  <si>
    <t xml:space="preserve">                          1244 EXECUTIVE BLVD. SUITE 110A</t>
  </si>
  <si>
    <t xml:space="preserve">                          CHESAPEAKE, VIRGINIA  23320</t>
  </si>
  <si>
    <t>CONTACTS: JEFF LITTMAN (757)857-3728, UNITED STATES</t>
  </si>
  <si>
    <t xml:space="preserve">                       CHRISSY BAKER  (757)857-3728, UNITED STATES </t>
  </si>
  <si>
    <t xml:space="preserve">ALL ITEMS SUBJEST TO CHANGE WITHOUT NOTICE </t>
  </si>
  <si>
    <t xml:space="preserve">PLEASE ALLOW 5-7 BUSSINESS DAYS  FOR DELIVERY </t>
  </si>
  <si>
    <t>CATEGORY :       3007006  DRINK MIX/TOPPING</t>
  </si>
  <si>
    <t>CATEGORY :       309005 FLAVOR HARVEST FRUIT</t>
  </si>
  <si>
    <t>ANN'S SOY NUTS SALSA</t>
  </si>
  <si>
    <t>DEL MONTE CORED PINEAPPLE</t>
  </si>
  <si>
    <t>CONCORD BACON BITS</t>
  </si>
  <si>
    <t>DEL MONTE FN NO SUG PEACH</t>
  </si>
  <si>
    <t>CONCORD BANANA PUDDING</t>
  </si>
  <si>
    <t>DEL MONTE FRT NAT CHERRY MIX</t>
  </si>
  <si>
    <t>CONCORD BROC CHEESE SOUP</t>
  </si>
  <si>
    <t>DEL MONTE FRT NAT CITRUS SLD</t>
  </si>
  <si>
    <t>CONCORD BROCCOLI SOUP MIX</t>
  </si>
  <si>
    <t>DEL MONTE FRT NAT MANDARIN</t>
  </si>
  <si>
    <t>CONCORD CARROT GLAZE MIX</t>
  </si>
  <si>
    <t>DEL MONTE FRT NTL APL&amp;ORANGE</t>
  </si>
  <si>
    <t>CONCORD CHOC BANANA KIT</t>
  </si>
  <si>
    <t>DEL MONTE FRT NTL HWN MEDLEY</t>
  </si>
  <si>
    <t>CONCORD CRANBERRY BREAD</t>
  </si>
  <si>
    <t>DEL MONTE NTRL PEACHES</t>
  </si>
  <si>
    <t>CONCORD PIE MIX, BANANA CR</t>
  </si>
  <si>
    <t>DEL MONTE NTRL PINEAPPLE</t>
  </si>
  <si>
    <t>CONCORD RSTD POT MIX SHP</t>
  </si>
  <si>
    <t>DEL MONTE NTRL RED GRPFRT</t>
  </si>
  <si>
    <t>CONCORD SALAD TOPPING</t>
  </si>
  <si>
    <t>DEL MONTE NTRL TROP MEDLY</t>
  </si>
  <si>
    <t>CONCORD STRWBRRY GLAZE TUB</t>
  </si>
  <si>
    <t>ORCH SEL APRICOTS</t>
  </si>
  <si>
    <t>CONCORD SWEET POTATO MIX</t>
  </si>
  <si>
    <t>ORCH SEL BARTLETT PEARS</t>
  </si>
  <si>
    <t>HENDRIX VID./BAR/B/QUE/REL</t>
  </si>
  <si>
    <t>ORCH SEL CA MIXED FRUIT</t>
  </si>
  <si>
    <t>HENDRIX VID/MUSTARD/ONION</t>
  </si>
  <si>
    <t>ORCH SEL SLICED PEACHES</t>
  </si>
  <si>
    <t>HENDRIX VID/ONION HONEY MU</t>
  </si>
  <si>
    <t>SUN FRESH AMBROSIA</t>
  </si>
  <si>
    <t>HENDRIX VID/ONION HOT CHOW</t>
  </si>
  <si>
    <t>SUN FRESH CARIBBEAN SALAD</t>
  </si>
  <si>
    <t>HENDRIX VID/ONION RELISH</t>
  </si>
  <si>
    <t>SUN FRESH CITRUS SALAD</t>
  </si>
  <si>
    <t>HENDRIX VID/ONION VIN DRES</t>
  </si>
  <si>
    <t>SUN FRESH GRAPEFRUIT LOVERS</t>
  </si>
  <si>
    <t>HENDRIX VID/ONION/BBQ SAUC</t>
  </si>
  <si>
    <t>SUN FRESH MANDARINE ORANGES</t>
  </si>
  <si>
    <t>HENDRIX VID/ONION/BBQ/MUST</t>
  </si>
  <si>
    <t>SUN FRESH MANGO SLICES</t>
  </si>
  <si>
    <t>HENDRIX VID/ONION/MUSTARD/</t>
  </si>
  <si>
    <t>23.5 OZ</t>
  </si>
  <si>
    <t>SUN FRESH NO SUG ADD SLC PCH</t>
  </si>
  <si>
    <t>HENDRIX VID/SWEET ONION RE</t>
  </si>
  <si>
    <t>SUN FRESH PINEAPPLE CHUNKS</t>
  </si>
  <si>
    <t>MARZETTI APPLE CRISP MIX</t>
  </si>
  <si>
    <t>SUN FRESH RED GRAPEFRUIT</t>
  </si>
  <si>
    <t>MARZETTI BLUEB GLAZE TUB</t>
  </si>
  <si>
    <t>MARZETTI PEACH GLAZE TUB</t>
  </si>
  <si>
    <t>SUN FRESH TROPICAL MXD FRUIT</t>
  </si>
  <si>
    <t>MARZETTI S/F STWRY GLAZE</t>
  </si>
  <si>
    <t>SUN FRESH WHT GRFT SEGMENTS</t>
  </si>
  <si>
    <t>MARZETTI STRWBRY GLAZE</t>
  </si>
  <si>
    <t>SUNDIA MANDARIN ORANGE</t>
  </si>
  <si>
    <t>OLDE TYME PNT BTR ORGANC</t>
  </si>
  <si>
    <t>OLIVARI EX VRG OLIVE OIL</t>
  </si>
  <si>
    <t>SUNDIA PERFECT PEACH</t>
  </si>
  <si>
    <t>5.54 OZ</t>
  </si>
  <si>
    <t>SARGENTO POTATO FN AMERICAN</t>
  </si>
  <si>
    <t>SARGENTO POTATO FN AU GRTN</t>
  </si>
  <si>
    <t>SUNDIA PURELY PINEAPPLE</t>
  </si>
  <si>
    <t>SARGENTO POTATO FN CHD BROC</t>
  </si>
  <si>
    <t>SPICEWRLD PICKLED GARLIC JAR</t>
  </si>
  <si>
    <t>SUNDIA RUBY GRAPEFRUIT</t>
  </si>
  <si>
    <t>VERD CHICKEN NOODLE SOU</t>
  </si>
  <si>
    <t>VERD VEGTABLE BEEF SOUP</t>
  </si>
  <si>
    <t>SUNDIA TROPICAL MEDLEY</t>
  </si>
  <si>
    <t>VERDELLI FRENCH ONION SOUP</t>
  </si>
  <si>
    <t>WALD FRMS CF SF KETCHUP</t>
  </si>
  <si>
    <t>SUNKIST CITRUS SALAD</t>
  </si>
  <si>
    <t>WALD FRMS CF SF PNCK SYR</t>
  </si>
  <si>
    <t>CATEGORY :       313001 FRUIT DRINKS</t>
  </si>
  <si>
    <t>SUNKIST MANDARIN ORANGES</t>
  </si>
  <si>
    <t>450 ML</t>
  </si>
  <si>
    <t>BOLTHOUSE PASSION JUICE</t>
  </si>
  <si>
    <t>1 LT</t>
  </si>
  <si>
    <t>BOLTHOUSE PASSIONAPPLCARROT</t>
  </si>
  <si>
    <t>SUNKIST MIXED FRUIT</t>
  </si>
  <si>
    <t>BOLTHOUSE PERFECTLY PROTEIN</t>
  </si>
  <si>
    <t>SUNKIST PETITE PEACHES</t>
  </si>
  <si>
    <t>BOLTHOUSE PRCKLY PEAR LMNADE</t>
  </si>
  <si>
    <t>SUNKIST PINEAPPLE</t>
  </si>
  <si>
    <t>SUNKIST RED GRAPEFRUIT</t>
  </si>
  <si>
    <t>BOLTHOUSE PROTEIN MOCHA CAPP</t>
  </si>
  <si>
    <t>SUNKIST TROPICAL FRUIT</t>
  </si>
  <si>
    <t>BOLTHOUSE STRAWBANANA SMOTHE</t>
  </si>
  <si>
    <t>SUNKIST VALENCIA ORANGES</t>
  </si>
  <si>
    <t>BOLTHOUSE TOMATO/CARROT JCE</t>
  </si>
  <si>
    <t>BOLTHOUSE VEGETABLE JUICE</t>
  </si>
  <si>
    <t>340 ML</t>
  </si>
  <si>
    <t>BOM DIA ACAI BLUEBERRY</t>
  </si>
  <si>
    <t>AUTUMN'S SHLF STBL APL CIDR</t>
  </si>
  <si>
    <t>BOM DIA ACAI CONQUER</t>
  </si>
  <si>
    <t>BLOSM GRV APPLE CIDER</t>
  </si>
  <si>
    <t>BOM DIA ACAI MANGOSTEEN</t>
  </si>
  <si>
    <t>BOLTHOUSE 15.2OZ BERRY BOOST</t>
  </si>
  <si>
    <t>BOM DIA ACAI POMEGRANTE</t>
  </si>
  <si>
    <t>BOLTHOUSE AMAZING MANGO</t>
  </si>
  <si>
    <t>BOM DIA ACAI TRANSCEND</t>
  </si>
  <si>
    <t>BOM DIA ACAI W/ CACAO</t>
  </si>
  <si>
    <t>BOLTHOUSE BERRY BOOST</t>
  </si>
  <si>
    <t>BOM DIA ACAI W/ MONGOSTEEN</t>
  </si>
  <si>
    <t>BOLTHOUSE BLUE GOODNESS</t>
  </si>
  <si>
    <t>BOTHOUSE PERFECTLY PROTEIN</t>
  </si>
  <si>
    <t>CA POMEGRANATE JUICE</t>
  </si>
  <si>
    <t>BOLTHOUSE C BOOST TROPICAL</t>
  </si>
  <si>
    <t>CONCORD LIME JUICE 4.5OZ</t>
  </si>
  <si>
    <t>CONCORD PLASTIC LEMON</t>
  </si>
  <si>
    <t>CURRANT C BLK CURRANT NECTAR</t>
  </si>
  <si>
    <t>BOLTHOUSE CARROT</t>
  </si>
  <si>
    <t>FARMFRESH APPLE CIDER</t>
  </si>
  <si>
    <t>BOLTHOUSE CARROT JUICE</t>
  </si>
  <si>
    <t>FARMFRESH CIDER CRANBERRY</t>
  </si>
  <si>
    <t>BOLTHOUSE CLEMENTINE JUICE</t>
  </si>
  <si>
    <t>MURRAY APPLE CIDER CLEAR</t>
  </si>
  <si>
    <t>BOLTHOUSE CRANBERRY LEMONADE</t>
  </si>
  <si>
    <t>.5 GA</t>
  </si>
  <si>
    <t>MURRAY'S CHERRY APPLE CIDER</t>
  </si>
  <si>
    <t>MURRAY'S PURE APPLE JUICE</t>
  </si>
  <si>
    <t>BOLTHOUSE GOODNESS JUICE</t>
  </si>
  <si>
    <t>15.20 O</t>
  </si>
  <si>
    <t>NAKED JCE BERRY BLAST</t>
  </si>
  <si>
    <t>BOLTHOUSE GREEN GOODNESS</t>
  </si>
  <si>
    <t>NAKED JCE BLK &amp; BLUEBRY RUSH</t>
  </si>
  <si>
    <t>BOLTHOUSE HAZELNUT LATTE</t>
  </si>
  <si>
    <t>NAKED JCE BLUE MACHINE</t>
  </si>
  <si>
    <t>BOLTHOUSE MANGO LEMONADE</t>
  </si>
  <si>
    <t>NAKED JCE GOLD MACHINE</t>
  </si>
  <si>
    <t>BOLTHOUSE ORANGE JUICE</t>
  </si>
  <si>
    <t>NAKED JCE GREEN MACHINE</t>
  </si>
  <si>
    <t>NAKED JCE MIGHTY MANGO</t>
  </si>
  <si>
    <t>TWIN-O FRESH APPLE CIDER</t>
  </si>
  <si>
    <t>ZEIGLER APPLE CIDER</t>
  </si>
  <si>
    <t>NAKED JCE ORNGE MANGO MOTION</t>
  </si>
  <si>
    <t>NAKED JCE POWER C</t>
  </si>
  <si>
    <t>ZEIGLER AUTM HRVST CIDER</t>
  </si>
  <si>
    <t>ZEIGLER BLUEBERRY POM JUIC</t>
  </si>
  <si>
    <t>NAKED JCE PROTEIN ZONE</t>
  </si>
  <si>
    <t>ZEIGLER CIDER RASPBERRY</t>
  </si>
  <si>
    <t>NAKED JCE RED MACHINE</t>
  </si>
  <si>
    <t>ZEIGLER CIDER SPICED</t>
  </si>
  <si>
    <t>ZEIGLER CORTLAND PEACH</t>
  </si>
  <si>
    <t>NAKED JCE STRAWBERRY BANANA</t>
  </si>
  <si>
    <t>ZEIGLER CRANBERRY CIDER</t>
  </si>
  <si>
    <t>NAKED JCE STRAWBERRYBANANA-C</t>
  </si>
  <si>
    <t>ZEIGLER FUJI CHAI</t>
  </si>
  <si>
    <t>NAKED JCE STRWBRY KIWI KICK</t>
  </si>
  <si>
    <t>ZEIGLER GALA SUNRISE</t>
  </si>
  <si>
    <t>NAKED PROTEIN ZONE</t>
  </si>
  <si>
    <t>ZEIGLER GOLDEN FIESTA</t>
  </si>
  <si>
    <t>NOBLE BLOOD ORANGE JUICE</t>
  </si>
  <si>
    <t>ZEIGLER HRVST CIDER 467</t>
  </si>
  <si>
    <t>NOBLE ORANGE JUICE</t>
  </si>
  <si>
    <t>ZEIGLER POMGRANATE JUICE</t>
  </si>
  <si>
    <t>NOBLE ORG ORANGE JUICE</t>
  </si>
  <si>
    <t>ZEIGLER STICKS 'N SPICE</t>
  </si>
  <si>
    <t>NOBLE RUBY RED GRAPEFRT</t>
  </si>
  <si>
    <t>ZEIGLERS 100% POM BLUBRY JC</t>
  </si>
  <si>
    <t>NOBLE TANGRN/ORNGE JUICE</t>
  </si>
  <si>
    <t>ZEIGLERS 100% POMEGRANATE J</t>
  </si>
  <si>
    <t>POM TEA BLACK TEA</t>
  </si>
  <si>
    <t>ZEIGLERS ORGANIC AP CIDER</t>
  </si>
  <si>
    <t>ZEIGLERS POMEGRANATE PEACH</t>
  </si>
  <si>
    <t>POM TEA BLACKBERRY TEA</t>
  </si>
  <si>
    <t>ZEIGLERS POMGRANITE CIDER</t>
  </si>
  <si>
    <t>POM TEA BLKBRY BLACK TEA</t>
  </si>
  <si>
    <t>ZIEGLERS POMEGRANATE APL</t>
  </si>
  <si>
    <t>POM TEA LYCHEE GREEN TEA</t>
  </si>
  <si>
    <t>CATEGORY :       313007 LUNCH PUNCH DRINKS</t>
  </si>
  <si>
    <t>POM TEA PCH PASS WHT TEA</t>
  </si>
  <si>
    <t>36-3 OZ</t>
  </si>
  <si>
    <t>ALAMANCE FREEZE POPS BAG 5'</t>
  </si>
  <si>
    <t>POM TEA PEACH PASSION TEA</t>
  </si>
  <si>
    <t>ALAMANCE HAPPY DRINKS 6PK 8</t>
  </si>
  <si>
    <t>POM WONDE POM BLUEBERY JUICE</t>
  </si>
  <si>
    <t>ALAMANCE HAPPY DRINKS ASST</t>
  </si>
  <si>
    <t>POM WONDE POM CHERRY JUICE</t>
  </si>
  <si>
    <t>ZEIGLER DIET GREEN TEA</t>
  </si>
  <si>
    <t>POM WONDE POM MANGO JUICE</t>
  </si>
  <si>
    <t>POM WONDE POM TANGERINE JUIC</t>
  </si>
  <si>
    <t>ZEIGLER GREEN TEA</t>
  </si>
  <si>
    <t>POM WONDR 100% POM JC-P BTTL</t>
  </si>
  <si>
    <t>POM WONDR 100%POME JC-PL BTL</t>
  </si>
  <si>
    <t>ZEIGLER LEMONADE</t>
  </si>
  <si>
    <t>POM WONDR POMEGRANATE JUICE</t>
  </si>
  <si>
    <t>ZEIGLER PINK LEMONADE</t>
  </si>
  <si>
    <t>POMPEI LEMON JUICE</t>
  </si>
  <si>
    <t>ZEIGLER SWEET TEA</t>
  </si>
  <si>
    <t>PURELY JC BLUEBERRY POM JCE</t>
  </si>
  <si>
    <t>ZEIGLERS APPLE ICE TEA</t>
  </si>
  <si>
    <t>PURELY JC CHERRY POM JUICE</t>
  </si>
  <si>
    <t>ZEIGLERS CONCORDE GRAPE</t>
  </si>
  <si>
    <t>SICILIA LEMON JUICE</t>
  </si>
  <si>
    <t>ZEIGLERS CRANBERRY BLEND</t>
  </si>
  <si>
    <t>SICILIA LIME JUICE</t>
  </si>
  <si>
    <t>ZEIGLERS DIET ICE TEA</t>
  </si>
  <si>
    <t>ZEIGLERS DIET LEMONADE</t>
  </si>
  <si>
    <t>ZEIGLERS LIMEADE</t>
  </si>
  <si>
    <t>CATEGORY :       317006 FRESH GOUR/CROUTONS</t>
  </si>
  <si>
    <t>ZEIGLERS PEACH ICE TEA</t>
  </si>
  <si>
    <t>FRSH GRMT MG PRM CAESR CRTON</t>
  </si>
  <si>
    <t>ZEIGLERS PINK LEMONADE</t>
  </si>
  <si>
    <t>FRSH GRMT ONION TOPPING DSPY</t>
  </si>
  <si>
    <t>ZEIGLERS STRAWBRRY LEMONADE</t>
  </si>
  <si>
    <t>FRSH GRMT ORG CAESAR CROUTON</t>
  </si>
  <si>
    <t>ZEIGLERS TEA LEMON</t>
  </si>
  <si>
    <t>FRSH GRMT ORG SEASONED CRTON</t>
  </si>
  <si>
    <t>ZEIGLERS WHITE LEMONADE</t>
  </si>
  <si>
    <t>FRSH GRMT S BTR CRNBRD CRTON</t>
  </si>
  <si>
    <t>CATEGORY :       315003 MEAT SUBSTITUTES</t>
  </si>
  <si>
    <t>FRSH GRMT TINY BITES CROUTNS</t>
  </si>
  <si>
    <t>FRSH GRMT TORT STRIP TRICOLR</t>
  </si>
  <si>
    <t>LIGHTLIFE GIMME LEAN BEEF</t>
  </si>
  <si>
    <t>FRSH GRMT TORTILLA LT SALT</t>
  </si>
  <si>
    <t>LIGHTLIFE GIMME LEAN SAUSAGE</t>
  </si>
  <si>
    <t>FRSH GRMT TORTILLA SANTA FE</t>
  </si>
  <si>
    <t>LIGHTLIFE LL SMART ITALIAN L</t>
  </si>
  <si>
    <t>FRSH GRMT WONTON GARLIC GNGR</t>
  </si>
  <si>
    <t>LIGHTLIFE SMART BACON</t>
  </si>
  <si>
    <t>FRSH GRMT WONTON STRIP</t>
  </si>
  <si>
    <t>LIGHTLIFE SMART BBQ</t>
  </si>
  <si>
    <t>FRSH GRMT WONTON WASABI RNCH</t>
  </si>
  <si>
    <t>LIGHTLIFE SMART CHILI</t>
  </si>
  <si>
    <t>LITEHOUSE BLEU CHEESE CRUMB</t>
  </si>
  <si>
    <t>LIGHTLIFE SMART DELI BOLOGNA</t>
  </si>
  <si>
    <t>M CALLNDR BUTTER/GARL CRUTON</t>
  </si>
  <si>
    <t>LIGHTLIFE SMART DELI HAM</t>
  </si>
  <si>
    <t>M CALLNDR CHEESE/GARL CRUTON</t>
  </si>
  <si>
    <t>LIGHTLIFE SMART DELI JUMBO D</t>
  </si>
  <si>
    <t>M CALLNDR FF CAESAR CROUTONS</t>
  </si>
  <si>
    <t>LIGHTLIFE SMART DELI TURKEY</t>
  </si>
  <si>
    <t>M CALLNDR FF SEASONED CRUTON</t>
  </si>
  <si>
    <t>LIGHTLIFE SMART DOGS</t>
  </si>
  <si>
    <t>M CALLNDR ORG SEASONED CRTN</t>
  </si>
  <si>
    <t>LIGHTLIFE SMART MENU CHICKEN</t>
  </si>
  <si>
    <t>M CALLNDR RANCH CROUTONS</t>
  </si>
  <si>
    <t>LIGHTLIFE SMART TOFU PUPS</t>
  </si>
  <si>
    <t>M CALLNDR WHL GRN CAESR CRTN</t>
  </si>
  <si>
    <t>VEG PATCH BRKFST PATTIES</t>
  </si>
  <si>
    <t>M CALLNDR WHL GRN SEASN CRTN</t>
  </si>
  <si>
    <t>VEG PATCH BURGERIFFIC</t>
  </si>
  <si>
    <t>SARGENTO SALAD FN BISTR CKN</t>
  </si>
  <si>
    <t>VEG PATCH CHIX VEG NUGTS</t>
  </si>
  <si>
    <t>5.11 OZ</t>
  </si>
  <si>
    <t>SARGENTO SALAD FN CHED BACN</t>
  </si>
  <si>
    <t>VEG PATCH MEATLESS MEATBALLS</t>
  </si>
  <si>
    <t>SARGENTO SALAD FN CHEDR CKN</t>
  </si>
  <si>
    <t>VEG PATCH SPINACH NUGGET</t>
  </si>
  <si>
    <t>SARGENTO SALAD FN CKN CAESR</t>
  </si>
  <si>
    <t>4.66 OZ</t>
  </si>
  <si>
    <t>SARGENTO SALAD FN CRAN PECN</t>
  </si>
  <si>
    <t>SUNKIST BTTR TFFE ALMD ACC</t>
  </si>
  <si>
    <t>FRSH GRMT BUTTR GARL CROUTON</t>
  </si>
  <si>
    <t>SUNKIST HNY RSTD ALMD ACCT</t>
  </si>
  <si>
    <t>FRSH GRMT CAESAR CROUTON</t>
  </si>
  <si>
    <t>SUNKIST ITLN PARM ALMD ACT</t>
  </si>
  <si>
    <t>FRSH GRMT CHEESE GARL CRUTON</t>
  </si>
  <si>
    <t>SUNKIST NO SALT ALMD ACCNT</t>
  </si>
  <si>
    <t>FRSH GRMT COUNTRY RNCH CRUTN</t>
  </si>
  <si>
    <t>SUNKIST OVN RSTD ALMD ACCT</t>
  </si>
  <si>
    <t>FRSH GRMT CRSP ONION GAR/PPR</t>
  </si>
  <si>
    <t>SUNKIST RANCH ALMOND ACCNT</t>
  </si>
  <si>
    <t>FRSH GRMT CRSP ONION LT SALT</t>
  </si>
  <si>
    <t>SUNKIST RSTD GRLC CASR ALM</t>
  </si>
  <si>
    <t>FRSH GRMT FF GARL CAESAR CRT</t>
  </si>
  <si>
    <t>CATEGORY :       317009 ET TU KIT/CROUTONS</t>
  </si>
  <si>
    <t>FRSH GRMT FF PARM RNCH CRUTN</t>
  </si>
  <si>
    <t>FRSH GRMT FG ALMD TOPPER SPI</t>
  </si>
  <si>
    <t>ANN'S ALMND SUPREM STNUP</t>
  </si>
  <si>
    <t>FRSH GRMT FG CROUTON HERB 25</t>
  </si>
  <si>
    <t>ANN'S ALMONDS SLICED NAT</t>
  </si>
  <si>
    <t>FRSH GRMT HERB CROUTONS</t>
  </si>
  <si>
    <t>ANN'S ALMONDS SLIV BLANC</t>
  </si>
  <si>
    <t>FRSH GRMT ITALIAN CROUTONS</t>
  </si>
  <si>
    <t>ANN'S ALMONDS SLIV BLNCH</t>
  </si>
  <si>
    <t>CATEGORY :       318003 FRIEDA SPECIALITIES</t>
  </si>
  <si>
    <t>ANN'S BLNCH ALMND STNDUP</t>
  </si>
  <si>
    <t>ANN'S MANGO SLICES</t>
  </si>
  <si>
    <t>ANN'S SLICED ALMONDS</t>
  </si>
  <si>
    <t>ANN'S PAPAYA CHNK STNDUP</t>
  </si>
  <si>
    <t>ANN'S SUPREME ALMONDS</t>
  </si>
  <si>
    <t>ANN'S PAPAYA CHUNKS</t>
  </si>
  <si>
    <t>BAK2NATUR ALMONDS</t>
  </si>
  <si>
    <t>ANN'S STRAWBERRY STNDUP</t>
  </si>
  <si>
    <t>BCK2NATUR ROASTED ALMONDS</t>
  </si>
  <si>
    <t>FREIDAS DRIED BANANA</t>
  </si>
  <si>
    <t>DIAMOND ALMONDS</t>
  </si>
  <si>
    <t>FREIDAS DRIED BLUEBERRIES</t>
  </si>
  <si>
    <t>DIAMOND BULK ALMONDS</t>
  </si>
  <si>
    <t>FREIDAS DRIED CHERRIES TAR</t>
  </si>
  <si>
    <t>HARRELL WHL SHLD ALMONDS</t>
  </si>
  <si>
    <t>FREIDAS DRIED CRANBERRIES</t>
  </si>
  <si>
    <t>HINES ALMONDS NATURAL</t>
  </si>
  <si>
    <t>FRIEDA DRIED CHERRIES BIN</t>
  </si>
  <si>
    <t>HINES SLIVERED ALMONDS</t>
  </si>
  <si>
    <t>FRIEDA DRIED STRAWBERRIES</t>
  </si>
  <si>
    <t>SUNKIST NAT DICED ALMOND</t>
  </si>
  <si>
    <t>MARIANI MANGO</t>
  </si>
  <si>
    <t>SUNTREE CINN ALMONDS JAR</t>
  </si>
  <si>
    <t>PARADISE CRYSTALIZED GINGER</t>
  </si>
  <si>
    <t>SUNTREE SLICED ALMONDS</t>
  </si>
  <si>
    <t>PARADISE ORANGE DICED   PKG</t>
  </si>
  <si>
    <t>CATEGORY :       318001 MISC. ORIENTAL</t>
  </si>
  <si>
    <t>CATEGORY :       318005 MELISSA'S SPECIALTY</t>
  </si>
  <si>
    <t>BEAUMONT VEGGIE WASH W SPRY</t>
  </si>
  <si>
    <t>APIO CELERY W DIP</t>
  </si>
  <si>
    <t>JC TOFU FIRM</t>
  </si>
  <si>
    <t>BIRDS EYE GREEN BEANS/CARROT</t>
  </si>
  <si>
    <t>JC TOFU SOFT</t>
  </si>
  <si>
    <t>CA ORG NAVEL ORANGE</t>
  </si>
  <si>
    <t>MORI NU FIRM TOFU</t>
  </si>
  <si>
    <t>ECOTERRA ORANGE JUICE FL 4L</t>
  </si>
  <si>
    <t>MORI NU LITE TOFU</t>
  </si>
  <si>
    <t>FRSHTABLE BBY CARROTS/CHVS</t>
  </si>
  <si>
    <t>MORI NU ORG FIRM TOFU</t>
  </si>
  <si>
    <t>FRSHTABLE BNUT SQSH CINN SCE</t>
  </si>
  <si>
    <t>MORI-NU X-FIRM TOFU</t>
  </si>
  <si>
    <t>FRSHTABLE BROC CARROTS/CHS</t>
  </si>
  <si>
    <t>NASOYA CUBE SUP FIRM TOFU</t>
  </si>
  <si>
    <t>FRSHTABLE BROC CRRT GRLC BTR</t>
  </si>
  <si>
    <t>NASOYA EXTRA FIRM TOFU</t>
  </si>
  <si>
    <t>FRSHTABLE CAULIFLWR CHS SCE</t>
  </si>
  <si>
    <t>SOGA ORGANIC SOFT TOFU</t>
  </si>
  <si>
    <t>FRSHTABLE GRN BNS W/GRLC BTR</t>
  </si>
  <si>
    <t>VEG PATCH BROC BITES W/CHDR</t>
  </si>
  <si>
    <t>FRSHTABLE SNAPS CRRT W/SW SC</t>
  </si>
  <si>
    <t>VEG PATCH PORT BITES W/MOZZ</t>
  </si>
  <si>
    <t>FRSHTABLE VEG MEDLY CHS SCE</t>
  </si>
  <si>
    <t>VEG PATCH SPNCH BITES W/FETA</t>
  </si>
  <si>
    <t>GALAXY PROVOLONE CHEESE</t>
  </si>
  <si>
    <t>VEG PATCH SWTCORN BITE W/CHS</t>
  </si>
  <si>
    <t>GALAXY SHRED CHEDDAR CHS</t>
  </si>
  <si>
    <t>WHOLESOME ORG CLASSIC HUMMUS</t>
  </si>
  <si>
    <t>GALAXY SLC VEG PEPPR JACK</t>
  </si>
  <si>
    <t>WHOLESOME ORG GARLIC HUMMUS</t>
  </si>
  <si>
    <t>GALAXY SLC VEGI YLW AMER</t>
  </si>
  <si>
    <t>GALAXY SLICE FETA</t>
  </si>
  <si>
    <t>GALAXY SLICE MOZZARELLA</t>
  </si>
  <si>
    <t>ANN'S BANANA CHIP STNDUP</t>
  </si>
  <si>
    <t>GALAXY SLICE VEGGIE CHEDR</t>
  </si>
  <si>
    <t>ANN'S CRANBERRIES STNDUP</t>
  </si>
  <si>
    <t>GALAXY SLICED SWISS</t>
  </si>
  <si>
    <t>ANN'S CRANBRY NUT&amp;FRT MI</t>
  </si>
  <si>
    <t>GRN GIANT CUT SQUASH MEDLEY</t>
  </si>
  <si>
    <t>ANN'S DRIED PLUMS STNDUP</t>
  </si>
  <si>
    <t>GRN GIANT G.G. GREEN BEANS/C</t>
  </si>
  <si>
    <t>ANN'S FRUIT MIX STANDUP</t>
  </si>
  <si>
    <t>GRN GIANT SWEET&amp;SOUR STIRFRY</t>
  </si>
  <si>
    <t>ANN'S MANGO SLICE STNDUP</t>
  </si>
  <si>
    <t>GRN GIANT TERIYAKI STIR FRY</t>
  </si>
  <si>
    <t>KRISP PAK VEG TRAY W DIP KP</t>
  </si>
  <si>
    <t>VERDELLI YELLOW BEANS</t>
  </si>
  <si>
    <t>MANN RAINBOW SLAW</t>
  </si>
  <si>
    <t>WESTERN ORG LEMON BAGS</t>
  </si>
  <si>
    <t>MANN STG BRC CEL CARROT</t>
  </si>
  <si>
    <t>WESTERN ORG VALENCIA ORANG</t>
  </si>
  <si>
    <t>MANN STG CEL SNAPS CARR</t>
  </si>
  <si>
    <t>CATEGORY :       319001 MARZ/SALAD DRESSING</t>
  </si>
  <si>
    <t>MANN STG RSNS CEL CARRT</t>
  </si>
  <si>
    <t>MANN STG TOM CEL CARROT</t>
  </si>
  <si>
    <t>BOLTHOUSE 1000 ISLAND DRS</t>
  </si>
  <si>
    <t>MANN'S BROC/CARROT</t>
  </si>
  <si>
    <t>BOLTHOUSE BLUE CHS DRESSING</t>
  </si>
  <si>
    <t>MANN'S BROCC/CAULIFLOWER</t>
  </si>
  <si>
    <t>BOLTHOUSE CAESAR PARM DRS</t>
  </si>
  <si>
    <t>MANN'S BROCCOLI SLAW</t>
  </si>
  <si>
    <t>BOLTHOUSE HONEY MUSTARD DRS</t>
  </si>
  <si>
    <t>MANN'S BROCCOLI WOKLY</t>
  </si>
  <si>
    <t>BOLTHOUSE RANCH DRESSING</t>
  </si>
  <si>
    <t>MANN'S BROCCOLINI TRAY</t>
  </si>
  <si>
    <t>CTRY FRSH MUSH&amp;BALSAMIC DRSS</t>
  </si>
  <si>
    <t>MANN'S FANCY SNOW PEAS</t>
  </si>
  <si>
    <t>CTRY FRSH MUSHRM&amp;GINGER DRSS</t>
  </si>
  <si>
    <t>MANN'S VEG MEDLEY</t>
  </si>
  <si>
    <t>CTRY FRSH MUSHROOM &amp; DRESSNG</t>
  </si>
  <si>
    <t>MANNS BROCCOLI CARROT</t>
  </si>
  <si>
    <t>LITEHOUSE BACON BLEU CHEESE</t>
  </si>
  <si>
    <t>MANNS CALIFORNIA STR FRY</t>
  </si>
  <si>
    <t>LITEHOUSE BIG BLEU</t>
  </si>
  <si>
    <t>MANNS FANCY SUGAR SNAP P</t>
  </si>
  <si>
    <t>LITEHOUSE CAESAR DRESSING</t>
  </si>
  <si>
    <t>MANNS SUGAR SNAP PEAS</t>
  </si>
  <si>
    <t>LITEHOUSE CHNKY BLU CHS DRSG</t>
  </si>
  <si>
    <t>MORI NU X-FIRM TOFU</t>
  </si>
  <si>
    <t>LITEHOUSE CHUNKY BLUE CHEESE</t>
  </si>
  <si>
    <t>88 CT</t>
  </si>
  <si>
    <t>USA ORG VALENCIA ORANG</t>
  </si>
  <si>
    <t>LITEHOUSE COLESLAW DRESSING</t>
  </si>
  <si>
    <t>VERDELLI BEAN MEDLEY</t>
  </si>
  <si>
    <t>LITEHOUSE HOMESTYLE RANC</t>
  </si>
  <si>
    <t>VERDELLI BROCCOLI FLORETS</t>
  </si>
  <si>
    <t>LITEHOUSE HOMESTYLE RANCH DR</t>
  </si>
  <si>
    <t>LITEHOUSE HONEY MUSTARD</t>
  </si>
  <si>
    <t>VERDELLI BRUSSEL SPROUTS</t>
  </si>
  <si>
    <t>LITEHOUSE JALAPENO RANCH DRS</t>
  </si>
  <si>
    <t>VERDELLI CARROT SHREDDED</t>
  </si>
  <si>
    <t>VERDELLI CARROT STICKS 5LB</t>
  </si>
  <si>
    <t>LITEHOUSE LITE BLUE CHEESE</t>
  </si>
  <si>
    <t>VERDELLI CAULIFLOWER FLORET</t>
  </si>
  <si>
    <t>LITEHOUSE LITE HONEY DIJON</t>
  </si>
  <si>
    <t>LITEHOUSE LITE RANCH DRESSNG</t>
  </si>
  <si>
    <t>VERDELLI CELERY STICKS</t>
  </si>
  <si>
    <t>LITEHOUSE ORGNL 1000 ISLAND</t>
  </si>
  <si>
    <t>VERDELLI FLORETS BROCCOLI</t>
  </si>
  <si>
    <t>LITEHOUSE SALSA RANCH DRSSNG</t>
  </si>
  <si>
    <t>VERDELLI FLORETS CAULIFLOWE</t>
  </si>
  <si>
    <t>LITEHOUSE SESAME GINGER DRES</t>
  </si>
  <si>
    <t>VERDELLI GREEN BEAN</t>
  </si>
  <si>
    <t>LITEHOUSE SPINACH SALAD</t>
  </si>
  <si>
    <t>VERDELLI LG.VEG.PARTY TRAY</t>
  </si>
  <si>
    <t>LITEHOUSE SWEET HERB FRENCH</t>
  </si>
  <si>
    <t>VERDELLI SNAP PEAS</t>
  </si>
  <si>
    <t>MARIES BLU CH W/BACON DRE</t>
  </si>
  <si>
    <t>VERDELLI SNOW PEAS</t>
  </si>
  <si>
    <t>MARIES BLUE CHEESE VNGTTE</t>
  </si>
  <si>
    <t>VERDELLI STEW VEGETABLE</t>
  </si>
  <si>
    <t>MARIES BUTTERMILK RANCH</t>
  </si>
  <si>
    <t>VERDELLI STUFFING MIX</t>
  </si>
  <si>
    <t>MARIES CAESAR</t>
  </si>
  <si>
    <t>VERDELLI VEG PARTY TRAY 20</t>
  </si>
  <si>
    <t>MARIES CAESAR DRESSING</t>
  </si>
  <si>
    <t>VERDELLI VEGETABLE MEDLEY</t>
  </si>
  <si>
    <t>MARIES CHUNKY BLUE CHEESE</t>
  </si>
  <si>
    <t>VERDELLI VEGETABLE TRIO</t>
  </si>
  <si>
    <t>MARIES COLE SLAW</t>
  </si>
  <si>
    <t>MARZETTI SPINACH SALAD DRS</t>
  </si>
  <si>
    <t>MARIES CREAMY CAESAR</t>
  </si>
  <si>
    <t>MARZETTI SUPREME CAESAR DSG</t>
  </si>
  <si>
    <t>MARIES CREAMY RANCH</t>
  </si>
  <si>
    <t>MARZETTI THOUSAND ISLAND DR</t>
  </si>
  <si>
    <t>MARIES CRMY ITALIAN GARLC</t>
  </si>
  <si>
    <t>MARZETTI ULTMTE BLUE CHEESE</t>
  </si>
  <si>
    <t>MARIES CRMY RANCH DRESSIN</t>
  </si>
  <si>
    <t>NAT FRESH 1000 ISLAND</t>
  </si>
  <si>
    <t>MARIES HONEY MUSTARD</t>
  </si>
  <si>
    <t>NAT FRESH BLEU CHEESE DRESSI</t>
  </si>
  <si>
    <t>MARIES LT BLEU CHEESE DRS</t>
  </si>
  <si>
    <t>NAT FRESH CAESAR DRESSING</t>
  </si>
  <si>
    <t>MARIES PARMESAN RANCH</t>
  </si>
  <si>
    <t>NAT FRESH FRENCH DRESSING</t>
  </si>
  <si>
    <t>MARIES POPPYSEED DRESSING</t>
  </si>
  <si>
    <t>NAT FRESH GINGER DRESSING</t>
  </si>
  <si>
    <t>MARIES SUPER BLUE CHEESE</t>
  </si>
  <si>
    <t>NAT FRESH HONEY MUSTARD</t>
  </si>
  <si>
    <t>MARIES THOUSAND ISLAND</t>
  </si>
  <si>
    <t>NAT FRESH LITE RANCH DRSSNG</t>
  </si>
  <si>
    <t>MARZETTI 1000 ISL POUCH</t>
  </si>
  <si>
    <t>NAT FRESH RANCH DRESSING</t>
  </si>
  <si>
    <t>MARZETTI ASIAGO PEPPERCORN</t>
  </si>
  <si>
    <t>NAT FRSH BLEU CHEESE</t>
  </si>
  <si>
    <t>MARZETTI ASIAN GINGER DRESS</t>
  </si>
  <si>
    <t>NAT FRSH CLASSIC CAESAR</t>
  </si>
  <si>
    <t>MARZETTI BALSMC VIN ORGANIC</t>
  </si>
  <si>
    <t>NAT FRSH CLASSIC RANCH</t>
  </si>
  <si>
    <t>MARZETTI BISTRO BL CHS DRES</t>
  </si>
  <si>
    <t>NAT FRSH FF ITALIAN DRSSNG</t>
  </si>
  <si>
    <t>MARZETTI BLUE CHEESE DRS</t>
  </si>
  <si>
    <t>NAT FRSH HONEY FRENCH</t>
  </si>
  <si>
    <t>MARZETTI CAESAR     ORGANIC</t>
  </si>
  <si>
    <t>NAT FRSH HONEY MUSTARD</t>
  </si>
  <si>
    <t>MARZETTI CHUNKY BLUE CHEESE</t>
  </si>
  <si>
    <t>NAT FRSH LITE RANCH</t>
  </si>
  <si>
    <t>MARZETTI CLASSIC RANCH DRS</t>
  </si>
  <si>
    <t>NAT FRSH LT BLEU CHEESE</t>
  </si>
  <si>
    <t>NAT FRSH LT PEPPRCRN RANCH</t>
  </si>
  <si>
    <t>MARZETTI CRANBERRY HOMESTYL</t>
  </si>
  <si>
    <t>NAT FRSH POPPY SEED</t>
  </si>
  <si>
    <t>MARZETTI FF ITALN POUCH</t>
  </si>
  <si>
    <t>NAT FRSH THOUSAND ISLAND</t>
  </si>
  <si>
    <t>MARZETTI FRENCH GALLON</t>
  </si>
  <si>
    <t>MARZETTI GORGONZOLA DRESSNG</t>
  </si>
  <si>
    <t>OLIVARI VIRGIN OLIVE OIL</t>
  </si>
  <si>
    <t>MARZETTI HNY FRNCH POUCH</t>
  </si>
  <si>
    <t>MARZETTI HONEY DIJON DRS</t>
  </si>
  <si>
    <t>WALD FRMS CF BALSAMIC</t>
  </si>
  <si>
    <t>MARZETTI HONEY FRENCH DR</t>
  </si>
  <si>
    <t>WALD FRMS CF CAESAR DRES</t>
  </si>
  <si>
    <t>MARZETTI LT BL CHEESE DR</t>
  </si>
  <si>
    <t>WALD FRMS CF CREAMY BACON</t>
  </si>
  <si>
    <t>MARZETTI LT CAESAR VINAIGRT</t>
  </si>
  <si>
    <t>WALD FRMS CF ITALIAN DRS</t>
  </si>
  <si>
    <t>MARZETTI LT CLASIC RNCH DRS</t>
  </si>
  <si>
    <t>WALD FRMS CF S/DR TOMATO</t>
  </si>
  <si>
    <t>MARZETTI LT HONEY DIJON</t>
  </si>
  <si>
    <t>CATEGORY :       319002 MARIE'S SALAD DRESSING</t>
  </si>
  <si>
    <t>MARZETTI LT SLAW   DRESSING</t>
  </si>
  <si>
    <t>MARZETTI LT SUPREME CAESAR</t>
  </si>
  <si>
    <t>LITEHOUSE BALSAMIC VINEGAR</t>
  </si>
  <si>
    <t>MARZETTI ORGANIC BCHEESE DR</t>
  </si>
  <si>
    <t>LITEHOUSE BLUE CHEESE VINGRT</t>
  </si>
  <si>
    <t>MARZETTI PARM RANCH ORGANIC</t>
  </si>
  <si>
    <t>LITEHOUSE CRAN VIN CLASS DRS</t>
  </si>
  <si>
    <t>MARZETTI POPPY SEED DRS</t>
  </si>
  <si>
    <t>LITEHOUSE HUCKLEBRY VINEGAR</t>
  </si>
  <si>
    <t>1 EA</t>
  </si>
  <si>
    <t>MARZETTI PRODUCE DRSSNG RCK</t>
  </si>
  <si>
    <t>LITEHOUSE POM BLUBRRY VINGRT</t>
  </si>
  <si>
    <t>LITEHOUSE RASP WALNUT VINGRT</t>
  </si>
  <si>
    <t>CATEGORY :       319003 MARZETTI ASST. DIPS</t>
  </si>
  <si>
    <t>LITEHOUSE RDWNE OLV OIL VING</t>
  </si>
  <si>
    <t>MARZETTI DIP BLUE CHEESE</t>
  </si>
  <si>
    <t>MARIES BALSAMIC VINAIGRET</t>
  </si>
  <si>
    <t>MARZETTI DIP DILL</t>
  </si>
  <si>
    <t>MARIES BLUE CHS VINAGRETT</t>
  </si>
  <si>
    <t>MARZETTI DIP FF DILL</t>
  </si>
  <si>
    <t>MARIES HONEY DIJON</t>
  </si>
  <si>
    <t>MARZETTI DIP FF RANCH</t>
  </si>
  <si>
    <t>MARIES ITALIAN VINAIGRTTE</t>
  </si>
  <si>
    <t>MARZETTI DIP FF SW RANCH</t>
  </si>
  <si>
    <t>MARIES RASPBERRY VINGRTTE</t>
  </si>
  <si>
    <t>MARZETTI DIP FRNCH ONION</t>
  </si>
  <si>
    <t>MARIES RED WINE VINAIGTTE</t>
  </si>
  <si>
    <t>MARZETTI DIP LIGHT RANCH</t>
  </si>
  <si>
    <t>MARZETTI BLU CHS ITAL VINGR</t>
  </si>
  <si>
    <t>MARZETTI GUACAMOLE VEGGIE</t>
  </si>
  <si>
    <t>MARZETTI GNGER MANGO DRSSNG</t>
  </si>
  <si>
    <t>MARZETTI HORSERADISH DIP</t>
  </si>
  <si>
    <t>MARZETTI LT BALSAMIC VIN</t>
  </si>
  <si>
    <t>MARZETTI ORGANIC RANCH DIP</t>
  </si>
  <si>
    <t>MARZETTI LT RSPBRY CABERNET</t>
  </si>
  <si>
    <t>MARZETTI ORIGINAL HUMMUS</t>
  </si>
  <si>
    <t>MARZETTI RST GRLIC ITAL VIN</t>
  </si>
  <si>
    <t>MARZETTI RANCH VEG DIP</t>
  </si>
  <si>
    <t>MARZETTI STRWBRY CHARDONNAY</t>
  </si>
  <si>
    <t>MARZETTI RANCH VEG DIP SGL</t>
  </si>
  <si>
    <t>MARZETTI WHT BALSAMC DRSSNG</t>
  </si>
  <si>
    <t>MARZETTI RANCH VEGGIE DIP</t>
  </si>
  <si>
    <t>NAT FRESH BALSAM VINAIGRETTE</t>
  </si>
  <si>
    <t>MARZETTI RST RD PEPR HUMMUS</t>
  </si>
  <si>
    <t>MARZETTI RSTD GARLIC HUMMUS</t>
  </si>
  <si>
    <t>LA MEXICN FIVE LAYER DIP</t>
  </si>
  <si>
    <t>MARZETTI SPINACH VEGGIE DIP</t>
  </si>
  <si>
    <t>LA MEXICN GUACAMOLE</t>
  </si>
  <si>
    <t>MARZETTI SW RNCH VEGGIE DIP</t>
  </si>
  <si>
    <t>LA MXCANA HOT SALSA MIX</t>
  </si>
  <si>
    <t>WHLY GUAC 100CAL PK GUACM 3P</t>
  </si>
  <si>
    <t>LA MXCANA N MILD SALSA MX</t>
  </si>
  <si>
    <t>WHLY GUAC GUACAMOLE ORIGINAL</t>
  </si>
  <si>
    <t>LITEHOUSE AVOCADO DIP</t>
  </si>
  <si>
    <t>WHLY GUAC GUACAMOLE SPICY</t>
  </si>
  <si>
    <t>WHOLLY NATURAL SALSA HOT</t>
  </si>
  <si>
    <t>LITEHOUSE DILLY DIP</t>
  </si>
  <si>
    <t>WHOLLY NATURAL SALSA MED</t>
  </si>
  <si>
    <t>WHOLLY NATURAL SALSA MILD</t>
  </si>
  <si>
    <t>LITEHOUSE GARDEN RANCH DIP</t>
  </si>
  <si>
    <t>CATEGORY :       324000 AUTO-ADDED CATEGORY</t>
  </si>
  <si>
    <t>LITEHOUSE HMSTYLE RANCH DIP</t>
  </si>
  <si>
    <t>LITEHOUSE HS RANCH DIP</t>
  </si>
  <si>
    <t>ANN'S APRICOT MDTN STDUP</t>
  </si>
  <si>
    <t>LITEHOUSE LITE RANCH DIP</t>
  </si>
  <si>
    <t>ANN'S BACKYARD BBQ MIX</t>
  </si>
  <si>
    <t>ANN'S CALIFORNIA MIX 11O</t>
  </si>
  <si>
    <t>LITEHOUSE ONION DIP</t>
  </si>
  <si>
    <t>ANN'S CALIFORNIA STNDUP</t>
  </si>
  <si>
    <t>LITEHOUSE ORG RANCH DIP</t>
  </si>
  <si>
    <t>ANN'S CHOCOL PRETZAL TUB</t>
  </si>
  <si>
    <t>LITEHOUSE SOUTHWST RANCH DIP</t>
  </si>
  <si>
    <t>ANN'S CHOCOLATE PRETZEL</t>
  </si>
  <si>
    <t>MARIES CREAMY DILL DIP</t>
  </si>
  <si>
    <t>ANN'S COYOTE SALSA CRUNC</t>
  </si>
  <si>
    <t>MARIES GUACAMOLE</t>
  </si>
  <si>
    <t>ANN'S FARMER BNTY STNDUP</t>
  </si>
  <si>
    <t>MARIES HOMSTYL RANCH DIP</t>
  </si>
  <si>
    <t>ANN'S HIKERS MUNCH MIX</t>
  </si>
  <si>
    <t>ANN'S HOLIDAY PRETZEL</t>
  </si>
  <si>
    <t>ANN'S HONEY NUT CRUNCH</t>
  </si>
  <si>
    <t>ANN'S MONEY MIDDL STNDUP</t>
  </si>
  <si>
    <t>CATEGORY :       324004 BRACHS BULK CANDY</t>
  </si>
  <si>
    <t>ANN'S MOTHR RWARD STNDUP</t>
  </si>
  <si>
    <t>ANN'S CHOC ALMONDS TUB</t>
  </si>
  <si>
    <t>ANN'S NUT &amp; FRUIT MIX</t>
  </si>
  <si>
    <t>ANN'S CHOC CASHEWS TUB</t>
  </si>
  <si>
    <t>ANN'S NUT&amp;FRT MIX STNDUP</t>
  </si>
  <si>
    <t>ANN'S CHOC MACADAMIAS TU</t>
  </si>
  <si>
    <t>ANN'S ORIENTAL MX STNDUP</t>
  </si>
  <si>
    <t>ANN'S CHOC PEANUTS TUB</t>
  </si>
  <si>
    <t>ANN'S RICE CRACKERS TUB</t>
  </si>
  <si>
    <t>ANN'S NTY CARAMEL CRUNCH</t>
  </si>
  <si>
    <t>ANN'S RICE CRACKR STNDUP</t>
  </si>
  <si>
    <t>26 LB</t>
  </si>
  <si>
    <t>BRACHS HI-C FRUT HRD CNDY</t>
  </si>
  <si>
    <t>ANN'S SESAME STCK STNDUP</t>
  </si>
  <si>
    <t>MORETZ PEPPRMNT PUFFS</t>
  </si>
  <si>
    <t>ANN'S SESAME STICKS TUB</t>
  </si>
  <si>
    <t>MORETZ PUFF CANDY CINN</t>
  </si>
  <si>
    <t>ANN'S SWISS MIX STAND BG</t>
  </si>
  <si>
    <t>MORETZ PUFF CANDY LEM.</t>
  </si>
  <si>
    <t>ANN'S YOGURT PRETZALS</t>
  </si>
  <si>
    <t>MORETZ RED BAND ASST SUGA</t>
  </si>
  <si>
    <t>ANN'S YOGURT PRETZEL</t>
  </si>
  <si>
    <t>MORETZ RED BAND PEPPERMIN</t>
  </si>
  <si>
    <t>ANNS CHOC CARML CRUNCH</t>
  </si>
  <si>
    <t>MORETZ VANILLA PUFFS</t>
  </si>
  <si>
    <t>6 LB</t>
  </si>
  <si>
    <t>FRIEDA FORTUNE COOKIES 6#</t>
  </si>
  <si>
    <t>MORETZ WNTRGRN PUFFS</t>
  </si>
  <si>
    <t>FRIEDAS FRESH CREPES</t>
  </si>
  <si>
    <t>16 LB</t>
  </si>
  <si>
    <t>OLD DOMIN PECO FLAKES CANDY</t>
  </si>
  <si>
    <t>MARIANI CARAMEL APPLE CHIP</t>
  </si>
  <si>
    <t>OLDE TYME KOTTON KANDY</t>
  </si>
  <si>
    <t>MARIANI CINN&amp;SGR APPL CHPS</t>
  </si>
  <si>
    <t>SUNKIST LEMON FRUT SLICE</t>
  </si>
  <si>
    <t>MARIANI ORIGINAL APPLE CHP</t>
  </si>
  <si>
    <t>SUNKIST ORANGE FRT SLICE</t>
  </si>
  <si>
    <t>MARIANI VANILLA APPLE CHIP</t>
  </si>
  <si>
    <t>CATEGORY :       324006 MARIANI DRIED FRUIT</t>
  </si>
  <si>
    <t>NASOYA CHINESE NOODLES</t>
  </si>
  <si>
    <t>OLDE TYME CARAMEL CORN</t>
  </si>
  <si>
    <t>ANN'S APRICOT TUB</t>
  </si>
  <si>
    <t>OLDE TYME YLW CHEDR POPC</t>
  </si>
  <si>
    <t>ANN'S APRICOTS</t>
  </si>
  <si>
    <t>ORIG NTHS STH BRDR TRAIL MIX</t>
  </si>
  <si>
    <t>ANN'S APRICOTS TURKISH</t>
  </si>
  <si>
    <t>SENECA APL PIE GNGRBRD SH</t>
  </si>
  <si>
    <t>ANN'S BANANA CHIPS</t>
  </si>
  <si>
    <t>SENECA CARMEL APPLE CHIPS</t>
  </si>
  <si>
    <t>ANN'S DELUXE MXD FRT TUB</t>
  </si>
  <si>
    <t>SENECA CIN SWT POTATO CHP</t>
  </si>
  <si>
    <t>ANN'S MIXED FRUIT</t>
  </si>
  <si>
    <t>SENECA CINN APPLE CHIPS</t>
  </si>
  <si>
    <t>ANN'S RAISIN THOM STNDUP</t>
  </si>
  <si>
    <t>SENECA GLD DELIC APPL CHP</t>
  </si>
  <si>
    <t>ANN'S SWISS MIX</t>
  </si>
  <si>
    <t>SENECA GRNY SMITH APL CHP</t>
  </si>
  <si>
    <t>ANN'S TROP FRUIT BITES</t>
  </si>
  <si>
    <t>SENECA RED DELIC APPL CHP</t>
  </si>
  <si>
    <t>FRIEDA DRIED MANGO SLICES</t>
  </si>
  <si>
    <t>SENECA SLT SWT POTATO CHP</t>
  </si>
  <si>
    <t>HINES APPLE RING</t>
  </si>
  <si>
    <t>SENECA SOUR APPLE CHIPS</t>
  </si>
  <si>
    <t>HINES DRIED APRICOT</t>
  </si>
  <si>
    <t>SUNTREE LG TRAY ASST CHOC</t>
  </si>
  <si>
    <t>MARIANI BANANA CHIPS</t>
  </si>
  <si>
    <t>SUNTREE LG TRAY ASST NUTS</t>
  </si>
  <si>
    <t>MARIANI BERRIES/CHERRIES</t>
  </si>
  <si>
    <t>SUNTREE LG TRAY CHOC NUTS</t>
  </si>
  <si>
    <t>MARIANI BLUEBERRY WILD</t>
  </si>
  <si>
    <t>26.50 O</t>
  </si>
  <si>
    <t>SUNTREE LG TRAY SWT SAVORY</t>
  </si>
  <si>
    <t>MARIANI CHERRIES</t>
  </si>
  <si>
    <t>SUNTREE LG TRAY TRAIL MIX</t>
  </si>
  <si>
    <t>MARIANI CHOC YOG RAISINS</t>
  </si>
  <si>
    <t>MARIANI DRD CRANBERRIES</t>
  </si>
  <si>
    <t>MARIANI DRIED CRANBERRIES</t>
  </si>
  <si>
    <t>MARIANI HARVEST MEDLEY</t>
  </si>
  <si>
    <t>CATEGORY :       324006 INSHELL PEANUTS</t>
  </si>
  <si>
    <t>MARIANI ISLAND FRUIT</t>
  </si>
  <si>
    <t>HAMPTON NHF SALTED PEANUTS</t>
  </si>
  <si>
    <t>MARIANI MDTRNEAN APRICOT</t>
  </si>
  <si>
    <t>HAMPTON ORG RST PNT NO SLT</t>
  </si>
  <si>
    <t>MARIANI MIXED FRUIT</t>
  </si>
  <si>
    <t>HAMPTON ORG SALTED PEANUT</t>
  </si>
  <si>
    <t>MARIANI PINEAPPLE TANGO</t>
  </si>
  <si>
    <t>HAMPTON PEANUT ROASTED 60/</t>
  </si>
  <si>
    <t>MARIANI PLUMS PLUS</t>
  </si>
  <si>
    <t>HAMPTON PEANUT SALTED 60/1</t>
  </si>
  <si>
    <t>MARIANI TROPICAL MEDLEY</t>
  </si>
  <si>
    <t>HAMPTON PEANUTS CAJUN BULK</t>
  </si>
  <si>
    <t>MARIANI ULTIMATE APRICOT</t>
  </si>
  <si>
    <t>HAMPTON PEANUTS RIS BULK</t>
  </si>
  <si>
    <t>MARIANI VAN YOG RAISINS</t>
  </si>
  <si>
    <t>HAMPTON PEANUTS SIS BULK</t>
  </si>
  <si>
    <t>ORGANIC EB FLAME RAISINS</t>
  </si>
  <si>
    <t>HAMPTON RAJUN CAJUN PEANUT</t>
  </si>
  <si>
    <t>ORGANIC RAISIN PAVICH</t>
  </si>
  <si>
    <t>HAMPTON RAW PEANUT BULK</t>
  </si>
  <si>
    <t>PARADISE CITRON DICED   PKG</t>
  </si>
  <si>
    <t>HAMPTON RAW PEANUTS BAG</t>
  </si>
  <si>
    <t>PARADISE DICED CITRON</t>
  </si>
  <si>
    <t>HAMPTON ROASTED PEANUTS</t>
  </si>
  <si>
    <t>PARADISE DICED LEMON PEEL</t>
  </si>
  <si>
    <t>PARADISE EXFCY FRT CK MIX</t>
  </si>
  <si>
    <t>PARADISE FRUIT CAKE MIX EXF</t>
  </si>
  <si>
    <t>HAMPTON SALTED PEANUTS</t>
  </si>
  <si>
    <t>PARADISE GREEN CHERRIES</t>
  </si>
  <si>
    <t>PARADISE OLD ENG FR/PEL PKG</t>
  </si>
  <si>
    <t>110 LB</t>
  </si>
  <si>
    <t>HAMPTON SHLD RED SKN PNT</t>
  </si>
  <si>
    <t>PARADISE OLD ENG FRT PL PKG</t>
  </si>
  <si>
    <t>HAMPTON WA NATIONAL PEANUT</t>
  </si>
  <si>
    <t>PARADISE PINEAPPLE SL GREEN</t>
  </si>
  <si>
    <t>HAMPTON XL BLNCH PNT SHLD</t>
  </si>
  <si>
    <t>PARADISE PINEAPPLE SL RED</t>
  </si>
  <si>
    <t>HAMPTON XL RDSKIN PNT SHLD</t>
  </si>
  <si>
    <t>PARADISE RED CHERRIES</t>
  </si>
  <si>
    <t>HINES NONEY RSTED PEANUT</t>
  </si>
  <si>
    <t>HINES RAW SPANSH PNUT TP</t>
  </si>
  <si>
    <t>TASTEE PREM APPLE CH/PCN</t>
  </si>
  <si>
    <t>HINES RDTED &amp;SLTED PEANT</t>
  </si>
  <si>
    <t>TASTEE PREM APPLE TRP/CH</t>
  </si>
  <si>
    <t>NHF BALT ORIOLES RSTD</t>
  </si>
  <si>
    <t>OLDE TYME JMB RSTD PEANT</t>
  </si>
  <si>
    <t>SUNTREE RDSKN PEANUT</t>
  </si>
  <si>
    <t>ANN'S PEANUTS EXLG VA R&amp;</t>
  </si>
  <si>
    <t>CATEGORY :       324003 BULK NUTS</t>
  </si>
  <si>
    <t>ANN'S RST &amp; SALT PEANUTS</t>
  </si>
  <si>
    <t>BCK2NATUR CASHEWS</t>
  </si>
  <si>
    <t>ANN'S SWISS MIX TUB</t>
  </si>
  <si>
    <t>HAMPTON BARBECUE PEANUT</t>
  </si>
  <si>
    <t>BCK2NATUR BAR HARBOR BLEND</t>
  </si>
  <si>
    <t>HAMPTON BULK SLTD PNUT 25#</t>
  </si>
  <si>
    <t>BCK2NATUR HARVEST BLEND</t>
  </si>
  <si>
    <t>HAMPTON CAJUN HOT PEANUT</t>
  </si>
  <si>
    <t>BCK2NATUR MONTEREY</t>
  </si>
  <si>
    <t>HAMPTON CHILI LEMON PEANUT</t>
  </si>
  <si>
    <t>BCK2NATUR NANTUCKET</t>
  </si>
  <si>
    <t>HAMPTON CLASSIC SLT PEANUT</t>
  </si>
  <si>
    <t>BCK2NATUR PACIFIC HGT BLEND</t>
  </si>
  <si>
    <t>HAMPTON FANCY RAW PEANUTS</t>
  </si>
  <si>
    <t>BCK2NATUR SONOMA BERRY BLEND</t>
  </si>
  <si>
    <t>HAMPTON FNCY RSTD NO SALT</t>
  </si>
  <si>
    <t>BCK2NATUR TUSCAN HERB ROAST</t>
  </si>
  <si>
    <t>HAMPTON FNCY SALTED/RSTD</t>
  </si>
  <si>
    <t>DIAMOND HAZELNUTS</t>
  </si>
  <si>
    <t>HAMPTON JUMBO RSTD PEANUTS</t>
  </si>
  <si>
    <t>DIAMOND LARGE BRAZIL NUTS</t>
  </si>
  <si>
    <t>CATEGORY :       325004 PACKAGE NUTS</t>
  </si>
  <si>
    <t>ANN'S PINE NUTS</t>
  </si>
  <si>
    <t>ANN'S SUNFLOWER STNDUP</t>
  </si>
  <si>
    <t>ANN'S SOY NUTS R&amp;S TUB</t>
  </si>
  <si>
    <t>ANN'S TAIL GATER TRAY</t>
  </si>
  <si>
    <t>DIAMOND LG BRAZIL NUTS</t>
  </si>
  <si>
    <t>ANN'S WALNUT HLFS &amp; PCS</t>
  </si>
  <si>
    <t>DIAMOND LG HAZELNUTS BAG</t>
  </si>
  <si>
    <t>ANN'S WALNUTS HALV/PIECE</t>
  </si>
  <si>
    <t>IMPORT CHESTNUTS VEXAR AA</t>
  </si>
  <si>
    <t>ANN'S WALNUTS HLVS &amp; PCS</t>
  </si>
  <si>
    <t>IMPORTED CHESTNUTS 25LB BAG</t>
  </si>
  <si>
    <t>ANN'S WALNUTS PIECES</t>
  </si>
  <si>
    <t>ITALIAN JUMBO CHESTNUT BLK</t>
  </si>
  <si>
    <t>ANN'S WASABI PEAS TUB</t>
  </si>
  <si>
    <t>N ZEALAND AA CHESTNUTS POLIS</t>
  </si>
  <si>
    <t>BCK2NATUR PIST CA AL MIX</t>
  </si>
  <si>
    <t>1 PT</t>
  </si>
  <si>
    <t>PROCACCI CHESTNUTS DRY PT.C</t>
  </si>
  <si>
    <t>BCK2NATUR WALNUT HALVES</t>
  </si>
  <si>
    <t>USA PRC AAA CHSTNT POL</t>
  </si>
  <si>
    <t>CA NUGGET MSQTE BBQ MD CORN</t>
  </si>
  <si>
    <t>CA NUGGET RNCH MD CORN</t>
  </si>
  <si>
    <t>CA NUGGET RSTD SLTD MD CORN</t>
  </si>
  <si>
    <t>AMPORT PINENUTS</t>
  </si>
  <si>
    <t>CA NUGGET SPCY CJN MD CORN</t>
  </si>
  <si>
    <t>AMPORT SOY NUTS HNY RSTD</t>
  </si>
  <si>
    <t>DIAMOND HRVST RESV NUTS</t>
  </si>
  <si>
    <t>AMPORT SOY NUTS LTE SALT</t>
  </si>
  <si>
    <t>DIAMOND JUMBO WALNUTS BULK</t>
  </si>
  <si>
    <t>AMPORT SUNFLOWER SEED NS</t>
  </si>
  <si>
    <t>DIAMOND LG WALNUTS BAG</t>
  </si>
  <si>
    <t>AMPORT SUNFLWR SEED R&amp;ST</t>
  </si>
  <si>
    <t>ANN'S BAT W SUNFLWR SEED</t>
  </si>
  <si>
    <t>DIAMOND PECANS BAG</t>
  </si>
  <si>
    <t>ANN'S BLACK WALNUTS</t>
  </si>
  <si>
    <t>DIAMOND SHLD ENG. WALNUT</t>
  </si>
  <si>
    <t>ANN'S BRAZIL NUTS RAW</t>
  </si>
  <si>
    <t>DIAMOND VIS JMBO WALNUT</t>
  </si>
  <si>
    <t>ANN'S CASHEWS 320'S</t>
  </si>
  <si>
    <t>HAMMONS LRG FCY BLK WALNUT</t>
  </si>
  <si>
    <t>ANN'S CASHEWS HALVES</t>
  </si>
  <si>
    <t>HAMMONS REC RDY BLK WALNUT</t>
  </si>
  <si>
    <t>ANN'S CASHEWS WHOLE R&amp;S</t>
  </si>
  <si>
    <t>HAMPTON ORG SALT CASHEW</t>
  </si>
  <si>
    <t>ANN'S GIFT JAR CASHEWS</t>
  </si>
  <si>
    <t>HAMPTON SALTED CASHEWS</t>
  </si>
  <si>
    <t>HARREL PECAN HALVES ZIP</t>
  </si>
  <si>
    <t>ANN'S PECANS HALV MAMMOT</t>
  </si>
  <si>
    <t>HARRELL SHLD SV&amp;PC WALNUTS</t>
  </si>
  <si>
    <t>HINES LARGE PECAN PCS.</t>
  </si>
  <si>
    <t>ANN'S PECANS PCS FCY MED</t>
  </si>
  <si>
    <t>HINES NUT WALNUT HVS/PC BULK</t>
  </si>
  <si>
    <t>ANN'S PECANS PIECES MED.</t>
  </si>
  <si>
    <t>HINES PECAN HALVES</t>
  </si>
  <si>
    <t>HINES R&amp;S SUNFLOWER SEED</t>
  </si>
  <si>
    <t>ANN'S PISTACHIO RST&amp;SLTD</t>
  </si>
  <si>
    <t>HINES R&amp;S WHOLE CASHEWS</t>
  </si>
  <si>
    <t>ANN'S PUMPKIN SEEDS R&amp;S</t>
  </si>
  <si>
    <t>HINES SPICY PARTY MIX</t>
  </si>
  <si>
    <t>ANN'S PUMPKIN SEEDS R&amp;UN</t>
  </si>
  <si>
    <t>HINES TRAIL MIX</t>
  </si>
  <si>
    <t>ANN'S R&amp;S PSTCHIO STNDUP</t>
  </si>
  <si>
    <t>HOODY'S R/S CASHEWS</t>
  </si>
  <si>
    <t>ANN'S R&amp;S SOY NUT STNDUP</t>
  </si>
  <si>
    <t>7-1 OZ</t>
  </si>
  <si>
    <t>SUN PRIDE TOASTED CASHEWS</t>
  </si>
  <si>
    <t>ANN'S R/S CASHEW STNDUP</t>
  </si>
  <si>
    <t>SUNKIST 2-TIER PSTCHIO RCK</t>
  </si>
  <si>
    <t>ANN'S RAW FILBERTS</t>
  </si>
  <si>
    <t>SUNKIST BRIDGE MIX</t>
  </si>
  <si>
    <t>ANN'S SUNFLOWER SEEDS</t>
  </si>
  <si>
    <t>SUNKIST NATURAL PISTACHIOS</t>
  </si>
  <si>
    <t>CATEGORY :       326001 PACKAGED DRIED FRUIT</t>
  </si>
  <si>
    <t>SUNKIST PISTACHIO KERNALS</t>
  </si>
  <si>
    <t>AMPORT CHOPPED DATES BOX</t>
  </si>
  <si>
    <t>SUNKIST PSTCHIOS BURLAP BG</t>
  </si>
  <si>
    <t>AMPORT CHOPPED DATES CUP</t>
  </si>
  <si>
    <t>SUNKIST SB STAND DISPLAY</t>
  </si>
  <si>
    <t>AMPORT PITTED DATES BOX</t>
  </si>
  <si>
    <t>SUNTREE CH PEACAN</t>
  </si>
  <si>
    <t>AMPORT PITTED DATES CUP</t>
  </si>
  <si>
    <t>SUNTREE CH WALNUT</t>
  </si>
  <si>
    <t>ANN'S CA DATES STNDUP</t>
  </si>
  <si>
    <t>WONDERFUL PISTACHIOS RST SLT</t>
  </si>
  <si>
    <t>CALAVO DATE NUT ROLL</t>
  </si>
  <si>
    <t>D VALLEY BRICK DATE</t>
  </si>
  <si>
    <t>CATEGORY :       325008 ANN'S HOUSE OF NUTS</t>
  </si>
  <si>
    <t>D VALLEY DATE NUT ROLL</t>
  </si>
  <si>
    <t>D VALLEY DICED DATE CUP</t>
  </si>
  <si>
    <t>ANN'S 27OZ. ORIENTAL MIX</t>
  </si>
  <si>
    <t>D VALLEY DV CHOICE MEDJOOL</t>
  </si>
  <si>
    <t>ANN'S CALIFORNIA MIX</t>
  </si>
  <si>
    <t>D VALLEY DV DATES DICED 1#</t>
  </si>
  <si>
    <t>ANN'S DELUX MIXED NUT</t>
  </si>
  <si>
    <t>D VALLEY DV DATES PIT DEGLE</t>
  </si>
  <si>
    <t>ANN'S DELUXE MIXED NUTS</t>
  </si>
  <si>
    <t>D VALLEY DV DATES WH DEGLET</t>
  </si>
  <si>
    <t>D VALLEY DV WHOLE DATES CUP</t>
  </si>
  <si>
    <t>ANN'S FANCY MIXED NUTS</t>
  </si>
  <si>
    <t>D VALLEY FNCY MEDJL DATE</t>
  </si>
  <si>
    <t>ANN'S FNCY MX NUT STNDUP</t>
  </si>
  <si>
    <t>D VALLEY PITTED CUP DATE</t>
  </si>
  <si>
    <t>ANN'S FNCY MXD NUTS N/PN</t>
  </si>
  <si>
    <t>D VALLEY PITTED-JEL MOLD</t>
  </si>
  <si>
    <t>ANN'S FNCY R&amp;S CASHW TUB</t>
  </si>
  <si>
    <t>D VALLEY WHOLE CUP DATES</t>
  </si>
  <si>
    <t>ANN'S GIFT JAR MIXED NUT</t>
  </si>
  <si>
    <t>ANN'S MIXED NUTS DELUXE</t>
  </si>
  <si>
    <t>DSRT VLLY DATE CNUT ROLL TRY</t>
  </si>
  <si>
    <t>ANN'S MIXED NUTS TUB</t>
  </si>
  <si>
    <t>11 LB</t>
  </si>
  <si>
    <t>FRESH BULK MEDJOOL DATES</t>
  </si>
  <si>
    <t>ANN'S PARTY TRAY - MIX</t>
  </si>
  <si>
    <t>GREEK FIG CROWN</t>
  </si>
  <si>
    <t>ANN'S PARTY TRAY - NUTS</t>
  </si>
  <si>
    <t>IMPORTED DATES MEDJOOL FANC</t>
  </si>
  <si>
    <t>ANN'S PINE CHUNK STNDUP</t>
  </si>
  <si>
    <t>IMPORTED FANCY MEDJOUL DATE</t>
  </si>
  <si>
    <t>ANN'S PINEAPPLE CHNK TUB</t>
  </si>
  <si>
    <t>IMPORTED FIGS STRING CROWN</t>
  </si>
  <si>
    <t>CATEGORY :       701100 BOXED CATTLE</t>
  </si>
  <si>
    <t>DIAMOND MIXED NUTS</t>
  </si>
  <si>
    <t>DIAMOND MIXED NUTS BAG</t>
  </si>
  <si>
    <t>48 LB</t>
  </si>
  <si>
    <t>AUSSIE BNLS RIBEYE</t>
  </si>
  <si>
    <t>36 LB</t>
  </si>
  <si>
    <t>AUSSIE BUTT TENDERS</t>
  </si>
  <si>
    <t>HINES CINN PRALINE PECAN</t>
  </si>
  <si>
    <t>AUSSIE OUTSIDE FLAT</t>
  </si>
  <si>
    <t>HINES R&amp;S MIXED NUTS</t>
  </si>
  <si>
    <t>AUSSIE PLD KNUCKLE</t>
  </si>
  <si>
    <t>HOODY'S DELUXE MIXED NUTS</t>
  </si>
  <si>
    <t>AUSSIE SHORTLOINS</t>
  </si>
  <si>
    <t>MARIANI TROP PINEAPPLE</t>
  </si>
  <si>
    <t>AUSSIE STRIP LOINS 4PC</t>
  </si>
  <si>
    <t>PARADISE PINEAPPLE NAT  PKG</t>
  </si>
  <si>
    <t>65 LB</t>
  </si>
  <si>
    <t>CAB   XT INSIDE RD/TOP RD</t>
  </si>
  <si>
    <t>PARADISE PINEAPPLE SLC AST</t>
  </si>
  <si>
    <t>CAB  US BNLS LIPON RIBEYE</t>
  </si>
  <si>
    <t>PARADISE PNPPLE NAT SLICES</t>
  </si>
  <si>
    <t>68 LB</t>
  </si>
  <si>
    <t>CAB  US BTM ROUND FLAT</t>
  </si>
  <si>
    <t>SUNTREE DLX MIX NUT JAR</t>
  </si>
  <si>
    <t>60 LB</t>
  </si>
  <si>
    <t>CAB  US DENUDED TOP ROUND</t>
  </si>
  <si>
    <t>CAB  US EYE OF ROUNDS</t>
  </si>
  <si>
    <t>CAB  US PLD KNUCKLE</t>
  </si>
  <si>
    <t>CAB  US PLD TENDERLOIN 5UP</t>
  </si>
  <si>
    <t>CH ANG US XT 1X1 STRIP B-IN</t>
  </si>
  <si>
    <t>CAB  US XT BNLS STRIP 0X1</t>
  </si>
  <si>
    <t>CH ANG US XT BNLS STRIP 0X1</t>
  </si>
  <si>
    <t>CAB  US XT INSIDE ROUND</t>
  </si>
  <si>
    <t>CH ANG US XT SHORT LOIN 0X1</t>
  </si>
  <si>
    <t>CAB  US XT TOP BUTT 1PC</t>
  </si>
  <si>
    <t>64 LB</t>
  </si>
  <si>
    <t>CH ANG US XT TOP BUTT 1PC</t>
  </si>
  <si>
    <t>CAB 0X1 BF SHORT LOINS</t>
  </si>
  <si>
    <t>CH ANGUS ANGUS GTB SA FLATS</t>
  </si>
  <si>
    <t>70 LB</t>
  </si>
  <si>
    <t>CAB 0X1 BNLS STRIP PK6</t>
  </si>
  <si>
    <t>CH ANGUS BKANG BFTNDRLN 5UP</t>
  </si>
  <si>
    <t>CAB BNLS EYE OF ROUND</t>
  </si>
  <si>
    <t>CH ANGUS SA 0X1 BNLS STRIP</t>
  </si>
  <si>
    <t>CAB BNLS RIBEYE LO PK6</t>
  </si>
  <si>
    <t>55 LB</t>
  </si>
  <si>
    <t>CH ANGUS SA 0X1 SHORTLOIN</t>
  </si>
  <si>
    <t>85 LB</t>
  </si>
  <si>
    <t>CAB BNLS ROUNDS</t>
  </si>
  <si>
    <t>CH ANGUS SA B/I 1X1 XT STRP</t>
  </si>
  <si>
    <t>CAB BNLS TOP BUTT 1/4IN</t>
  </si>
  <si>
    <t>80 LB</t>
  </si>
  <si>
    <t>CH ANGUS SA BNLS RIBEYE</t>
  </si>
  <si>
    <t>CAB BONE-IN RIBEYE PK4</t>
  </si>
  <si>
    <t>CH ANGUS SA BONE IN RIBEYE</t>
  </si>
  <si>
    <t>CAB BTM RD FLAT</t>
  </si>
  <si>
    <t>CH ANGUS SA BUTT TENDERLOIN</t>
  </si>
  <si>
    <t>CAB DENUDED INSIDE RND</t>
  </si>
  <si>
    <t>CH ANGUS SA EYEROUNDS</t>
  </si>
  <si>
    <t>32 LB</t>
  </si>
  <si>
    <t>CAB NATRL 0X1 STRIPS</t>
  </si>
  <si>
    <t>CH ANGUS SA INSIDES  SMO</t>
  </si>
  <si>
    <t>75 LB</t>
  </si>
  <si>
    <t>CAB NATRL BNLS RIBEYE</t>
  </si>
  <si>
    <t>CH ANGUS SA PLD KNUCKLE</t>
  </si>
  <si>
    <t>CAB NATRL EXPORT RIBS</t>
  </si>
  <si>
    <t>CH ANGUS SA XT TOP BUTTS</t>
  </si>
  <si>
    <t>CAB NATRL TOP BUTT</t>
  </si>
  <si>
    <t>CHOICE 0X1 BLS STRIP LOIN</t>
  </si>
  <si>
    <t>CAB NT US BNLS LIPON RIBEYE</t>
  </si>
  <si>
    <t>CHOICE B/I LIPON RIBEYE</t>
  </si>
  <si>
    <t>CAB NT US DENUDED TOP ROUND</t>
  </si>
  <si>
    <t>CHOICE B/IN CHK SHRT RIB</t>
  </si>
  <si>
    <t>CAB NT US EYE OF ROUNDS</t>
  </si>
  <si>
    <t>CHOICE BEEF ROUND EYE</t>
  </si>
  <si>
    <t>CAB NT US PLD KNUCKLE</t>
  </si>
  <si>
    <t>CHOICE BNLS LIP-ON RIBEYE</t>
  </si>
  <si>
    <t>CAB NT US XT BNLS STRIP 0X1</t>
  </si>
  <si>
    <t>CHOICE BOTTOM ROUND FLATS</t>
  </si>
  <si>
    <t>CAB NT US XT TOP BUTT 1PC</t>
  </si>
  <si>
    <t>CHOICE CH CAP ON KNUCKLE</t>
  </si>
  <si>
    <t>CAB NTRL BNLS ROUND FLAT XT</t>
  </si>
  <si>
    <t>CHOICE DENUDED TOP ROUND</t>
  </si>
  <si>
    <t>CAB NTRL DND INSIDES</t>
  </si>
  <si>
    <t>CHOICE PEELED KNUCKLES</t>
  </si>
  <si>
    <t>CAB NTRL EYE ROUNDS</t>
  </si>
  <si>
    <t>CHOICE PLD BUTT TENDRLOIN</t>
  </si>
  <si>
    <t>CAB NTRL PEELED KNUCKLE</t>
  </si>
  <si>
    <t>CHOICE PSMO TENDERLOIN</t>
  </si>
  <si>
    <t>CAB PEELED BUTT TENDER</t>
  </si>
  <si>
    <t>CHOICE US BNLS LIPON RIBEYE</t>
  </si>
  <si>
    <t>CAB PLD KNCKLE/SIRL TI</t>
  </si>
  <si>
    <t>CHOICE US BTM ROUND FLAT</t>
  </si>
  <si>
    <t>CAB PSMO TENDERLOIN</t>
  </si>
  <si>
    <t>CHOICE US DENUDED TOP ROUND</t>
  </si>
  <si>
    <t>66 LB</t>
  </si>
  <si>
    <t>CAB US PLD BUTT TENDERLN</t>
  </si>
  <si>
    <t>CHOICE US EYE OF ROUNDS</t>
  </si>
  <si>
    <t>CAB US XT H/O ROUND BNLS</t>
  </si>
  <si>
    <t>CHOICE US PLD BUTT TENDERLN</t>
  </si>
  <si>
    <t>CAB US XT SHORT LOIN 0X1</t>
  </si>
  <si>
    <t>CHOICE US PLD KNUCKLE</t>
  </si>
  <si>
    <t>CH ANG US BI RIBEYE-EXPORT</t>
  </si>
  <si>
    <t>CHOICE US XT BNLS STRIP 0X1</t>
  </si>
  <si>
    <t>81 LB</t>
  </si>
  <si>
    <t>CH ANG US BNLS LIPON RIBEYE</t>
  </si>
  <si>
    <t>CHOICE US XT SHORT LOIN 0X1</t>
  </si>
  <si>
    <t>56 LB</t>
  </si>
  <si>
    <t>CH ANG US BOTTOM ROUND FLATS</t>
  </si>
  <si>
    <t>CHOICE US XT TOP BUTT 1PC</t>
  </si>
  <si>
    <t>CH ANG US EYE OF ROUNDS</t>
  </si>
  <si>
    <t>CHOICE XT BNLS TOP SIRLON</t>
  </si>
  <si>
    <t>58 LB</t>
  </si>
  <si>
    <t>CH ANG US PLD KNUCKLE</t>
  </si>
  <si>
    <t>CHOICE XT SHORTLOIN 0X1</t>
  </si>
  <si>
    <t>CH ANG US SMO INSIDE ROUND</t>
  </si>
  <si>
    <t>CLR RIVER N/R 1X1 STRIPS</t>
  </si>
  <si>
    <t>CLR RIVER N/R RIBEYE</t>
  </si>
  <si>
    <t>SELECT PLD BUTT TENDER</t>
  </si>
  <si>
    <t>FEAT  XT SEL BNLS TOP BUTT</t>
  </si>
  <si>
    <t>SELECT PLD INSIDE/DENUDED</t>
  </si>
  <si>
    <t>FEAT BOTTOM ROUNDS</t>
  </si>
  <si>
    <t>SELECT PLD KNCKLE/SIRL TI</t>
  </si>
  <si>
    <t>FEAT CAB 0X1 SHORT LOINS</t>
  </si>
  <si>
    <t>SELECT PSMO TENDERLOIN</t>
  </si>
  <si>
    <t>FEAT CAB 0X1 STRIP</t>
  </si>
  <si>
    <t>SELECT SEL 0X1 SHORTLOINS</t>
  </si>
  <si>
    <t>FEAT CAB BNLS ROUNDS</t>
  </si>
  <si>
    <t>SELECT STRIPES 1X1</t>
  </si>
  <si>
    <t>FEAT CAB BONE IN RIBEYE</t>
  </si>
  <si>
    <t>SELECT US BI RIBEYE-EXPORT</t>
  </si>
  <si>
    <t>FEAT CAB BTM RND FLATS</t>
  </si>
  <si>
    <t>SELECT US BNLS LIPON RIBEYE</t>
  </si>
  <si>
    <t>FEAT CAB CAB EYEOUNDS</t>
  </si>
  <si>
    <t>SELECT US BTM ROUND FLAT</t>
  </si>
  <si>
    <t>FEAT CAB CHO DENUDED INS.</t>
  </si>
  <si>
    <t>SELECT US DENUDED TOP ROUND</t>
  </si>
  <si>
    <t>FEAT CAB PLD KNUCKLE</t>
  </si>
  <si>
    <t>SELECT US EYE OF ROUNDS</t>
  </si>
  <si>
    <t>FEAT CAB XT INSIDES</t>
  </si>
  <si>
    <t>SELECT US PLD BUTT TENDERLN</t>
  </si>
  <si>
    <t>FEAT CAB XT TOP BUTTS</t>
  </si>
  <si>
    <t>SELECT US PLD KNUCKLE</t>
  </si>
  <si>
    <t>FEAT CH B/I STRIP 1X1</t>
  </si>
  <si>
    <t>SELECT US PLD TENDERLOIN 5UP</t>
  </si>
  <si>
    <t>FEAT CH BF BNLS STRIP 0X1</t>
  </si>
  <si>
    <t>SELECT US REG ROUND BNLS</t>
  </si>
  <si>
    <t>FEAT CH BNLS RIBEYE</t>
  </si>
  <si>
    <t>SELECT US XT BNLS STRIP 0X1</t>
  </si>
  <si>
    <t>FEAT CH BONE IN RIBEYE</t>
  </si>
  <si>
    <t>SELECT US XT SHORT LOIN 0X1</t>
  </si>
  <si>
    <t>54 LB</t>
  </si>
  <si>
    <t>FEAT CH BOTTOM FLAT</t>
  </si>
  <si>
    <t>SELECT XT BNLS STRIPS</t>
  </si>
  <si>
    <t>FEAT CH EYE OF ROUNDS</t>
  </si>
  <si>
    <t>SELECT XT TOP BUTT 1/4IN</t>
  </si>
  <si>
    <t>FEAT CH PLD KNUCKLE</t>
  </si>
  <si>
    <t>UTILITY BEEF TNDRLOIN 4 UP</t>
  </si>
  <si>
    <t>FEAT PSMO TENDERLOIN</t>
  </si>
  <si>
    <t>71.3 LB</t>
  </si>
  <si>
    <t>UTILITY BNLS BF RBEYE 8-10</t>
  </si>
  <si>
    <t>FEAT SEL 0X1 SHORTLOINS</t>
  </si>
  <si>
    <t>UTLTY US BEEF TNDRLOIN 4 UP</t>
  </si>
  <si>
    <t>FEAT SEL BF PEELED KNUCKLE</t>
  </si>
  <si>
    <t>CATEGORY :       701118 IBP SEL BF CHUCKS</t>
  </si>
  <si>
    <t>FEAT SEL RIB EYES</t>
  </si>
  <si>
    <t>FEATURE BI STRIP 1X1</t>
  </si>
  <si>
    <t>CAB  US CHUCK TENDER</t>
  </si>
  <si>
    <t>FEATURE CAB RIBEYE</t>
  </si>
  <si>
    <t>CAB  US SEMI BNLS N/O CHUC</t>
  </si>
  <si>
    <t>FEATURE CH BNLS TOP BUTT</t>
  </si>
  <si>
    <t>CAB  US XT 1 PC SHLDR CLOD</t>
  </si>
  <si>
    <t>FF CHC 0X1 SHORT LOIN</t>
  </si>
  <si>
    <t>CAB  US XT N/O CHUCK ROLL</t>
  </si>
  <si>
    <t>FT CAB US BI RIBEYE-EXPORT</t>
  </si>
  <si>
    <t>CAB CHUCK TENDER</t>
  </si>
  <si>
    <t>FT CAB US BNLS LIPON RIBEYE</t>
  </si>
  <si>
    <t>CAB NECK-OFF CHK ROLL</t>
  </si>
  <si>
    <t>FT CAB US BOTTOM ROUND FLATS</t>
  </si>
  <si>
    <t>CAB NT US XT N/O CHUCK ROLL</t>
  </si>
  <si>
    <t>FT CHO US BI RIBEYE-EXPORT</t>
  </si>
  <si>
    <t>CAB NTRL N/O CHUCK ROLL</t>
  </si>
  <si>
    <t>FTR CH AN PEELED BUTT TEND</t>
  </si>
  <si>
    <t>CAB SEMI N/O CHUCKS</t>
  </si>
  <si>
    <t>NUMBER 2 SEL BNLS STRIPS</t>
  </si>
  <si>
    <t>CAB XT CLODS</t>
  </si>
  <si>
    <t>SELECT BNLS LIPON RIBEYE</t>
  </si>
  <si>
    <t>52 LB</t>
  </si>
  <si>
    <t>CH ANG US PLD BUTT TENDERLN</t>
  </si>
  <si>
    <t>SELECT BNLS ROUND</t>
  </si>
  <si>
    <t>CH ANG US SEMI BNLS N/O CHUC</t>
  </si>
  <si>
    <t>SELECT BONE IN RIBEYE</t>
  </si>
  <si>
    <t>69 LB</t>
  </si>
  <si>
    <t>CH ANG US XT 1 PC SHLDR CLOD</t>
  </si>
  <si>
    <t>SELECT BTM ROUND FLAT</t>
  </si>
  <si>
    <t>CH ANG US XT N/O CHUCK ROLL</t>
  </si>
  <si>
    <t>SELECT EYEROUNDS</t>
  </si>
  <si>
    <t>CH ANGUS ANGUS SA XT CLODS</t>
  </si>
  <si>
    <t>CATEGORY :       701160 BEEF GRINDING MEATS</t>
  </si>
  <si>
    <t>CH ANGUS SA N/O CHUCK ROLL</t>
  </si>
  <si>
    <t>AMERICAN FF GROUND CHUCK</t>
  </si>
  <si>
    <t>CH ANGUS SA SEMI N/O CHUCK</t>
  </si>
  <si>
    <t>AMERICAN GR BEEF CHUB 73/27</t>
  </si>
  <si>
    <t>CHOICE CHUCK TENDERS</t>
  </si>
  <si>
    <t>AMERICAN GROUND CHUCK</t>
  </si>
  <si>
    <t>CHOICE FLAT IRON</t>
  </si>
  <si>
    <t>AMERICAN GROUND ROUND</t>
  </si>
  <si>
    <t>CHOICE US TOP BLADE-FLT IRON</t>
  </si>
  <si>
    <t>CHOICE US XT 1 PC SHLDR CLOD</t>
  </si>
  <si>
    <t>AMERICAN SHP 80% PATTIES</t>
  </si>
  <si>
    <t>CHOICE US XT N/O CHUCK ROLL</t>
  </si>
  <si>
    <t>AMERICAN SHP 90% PATTIES</t>
  </si>
  <si>
    <t>CHOICE X/T SHOULDER CLOD</t>
  </si>
  <si>
    <t>BOTTO'S 80% PUB BEEF PATTY</t>
  </si>
  <si>
    <t>CHOICE XT N/O CHUCK ROLL</t>
  </si>
  <si>
    <t>BOTTOS 80% BEEF PATTY 12#</t>
  </si>
  <si>
    <t>FEAT  CAB N/O CHUCK ROLLS</t>
  </si>
  <si>
    <t>BOTTOS 93% BF PATTY 12#</t>
  </si>
  <si>
    <t>FEAT CH S/B N/O CHUCK</t>
  </si>
  <si>
    <t>CAB 86% GROUND BEEF</t>
  </si>
  <si>
    <t>FEAT SEL XT N/O CHUCK ROLL</t>
  </si>
  <si>
    <t>CAB US 85% FINE  GR RND</t>
  </si>
  <si>
    <t>FEATURE 2PC BNLS CHUCK</t>
  </si>
  <si>
    <t>EXCEL 93% GRND BF PATTY</t>
  </si>
  <si>
    <t>SELECT 1PC XT CLOD</t>
  </si>
  <si>
    <t>EXCEL GRND RND PATTY</t>
  </si>
  <si>
    <t>SELECT N/O XT CHUCK ROLL</t>
  </si>
  <si>
    <t>EXCEL GROUND CHUCK PATTY</t>
  </si>
  <si>
    <t>SELECT SEMI N/O CHUCK</t>
  </si>
  <si>
    <t>FRZ 93% GRINDS</t>
  </si>
  <si>
    <t>47 LB</t>
  </si>
  <si>
    <t>SELECT US SEMI BNLS N/O CHUC</t>
  </si>
  <si>
    <t>1.25 LB</t>
  </si>
  <si>
    <t>LAURA LN VSP FLAT IRON</t>
  </si>
  <si>
    <t>SELECT US XT 1 PC SHLDR CLOD</t>
  </si>
  <si>
    <t>0.62 LB</t>
  </si>
  <si>
    <t>LAURA LN VSP STRIP</t>
  </si>
  <si>
    <t>SELECT US XT N/O CHUCK ROLL</t>
  </si>
  <si>
    <t>LAURAS LN 92% GROUND BEEF</t>
  </si>
  <si>
    <t>SWIFT TOP BLADE</t>
  </si>
  <si>
    <t>LAURAS LN 92% PATTIES</t>
  </si>
  <si>
    <t>LAURAS LN 96% GROUND ROUND</t>
  </si>
  <si>
    <t>LAURAS LN MEAT LOAF</t>
  </si>
  <si>
    <t>97% GRNDS GROUND BEEF</t>
  </si>
  <si>
    <t>LAURAS LN VSP CUBE STEAK</t>
  </si>
  <si>
    <t>AFG   SHP 81/19 GRD CHUK BF</t>
  </si>
  <si>
    <t>0.58 LB</t>
  </si>
  <si>
    <t>LAURAS LN VSP RIBEYE</t>
  </si>
  <si>
    <t>AFG   SHP 86/14 RND GRN BF</t>
  </si>
  <si>
    <t>LAURAS LN VSP STEW MEAT</t>
  </si>
  <si>
    <t>AFG   SHP 93/7 FINE GRD BEEF</t>
  </si>
  <si>
    <t>0.80 LB</t>
  </si>
  <si>
    <t>LAURAS LN VSP TOP SIRLOIN</t>
  </si>
  <si>
    <t>AFG   SHP 96/4 FN GRND BEEF</t>
  </si>
  <si>
    <t>PHILLYS GMT  BEEF PTY  XD</t>
  </si>
  <si>
    <t>AFG  SH 75% FINE GRIND</t>
  </si>
  <si>
    <t>SH FEATUR 75/25 FN GRND BF</t>
  </si>
  <si>
    <t>AFG  SHP 81/19 FN GRD BEEF</t>
  </si>
  <si>
    <t>SHDY BRKS ITAL STYLE MTBALLS</t>
  </si>
  <si>
    <t>AFG 73% GRND BEEF 5LB</t>
  </si>
  <si>
    <t>SHDY BRKS SRLN ROAST-GNGR</t>
  </si>
  <si>
    <t>AMERICAN 80% GROUND BEEF</t>
  </si>
  <si>
    <t>SHDY BRKS SRLN RST ROSEMARY</t>
  </si>
  <si>
    <t>AMERICAN 93% GROUND BEEF</t>
  </si>
  <si>
    <t>SHDY BRKS SRLN RST STKHSE CL</t>
  </si>
  <si>
    <t>AMERICAN 93% LEAN GRND BEEF</t>
  </si>
  <si>
    <t>SHOWCASE 73% GROUND BEEF</t>
  </si>
  <si>
    <t>AMERICAN FF 73% FINE GRIND</t>
  </si>
  <si>
    <t>SHOWCASE 75% GROUND BEEF</t>
  </si>
  <si>
    <t>AMERICAN FF 73% GRND BEEF</t>
  </si>
  <si>
    <t>SHOWCASE 81% FINE GRD CHUCK</t>
  </si>
  <si>
    <t>AMERICAN FF 81% FINE GRIND</t>
  </si>
  <si>
    <t>SHOWCASE 81% FINE GRIND</t>
  </si>
  <si>
    <t>AMERICAN FF 93% FINE GRIND</t>
  </si>
  <si>
    <t>SHOWCASE 85% FINE GRD ROUND</t>
  </si>
  <si>
    <t>AMERICAN FF 96% FINE GRIND</t>
  </si>
  <si>
    <t>SHOWCASE 93% GROUND BEEF</t>
  </si>
  <si>
    <t>SOLOMONS KOSHER BEEF PATTY</t>
  </si>
  <si>
    <t>CATEGORY :       701171 BF OFFALS</t>
  </si>
  <si>
    <t>SOLOMONS KOSHER BRISKET FLT</t>
  </si>
  <si>
    <t>CAB US C/R INSIDE SKIRT</t>
  </si>
  <si>
    <t>SOLOMONS KOSHER STEW BEEF</t>
  </si>
  <si>
    <t>CH ANG US BI CHK SHORT RIB</t>
  </si>
  <si>
    <t>SOLOMONS KSHR 1ST CUT BRSKT</t>
  </si>
  <si>
    <t>CH ANG US C/R FLANK STEAK</t>
  </si>
  <si>
    <t>SOLOMONS KSHR BNE IN RIBEYE</t>
  </si>
  <si>
    <t>CH ANG US FRSH SPARERIBS</t>
  </si>
  <si>
    <t>SOLOMONS KSHR BNL SHORT RIB</t>
  </si>
  <si>
    <t>CH ANG US XT N/O BRISKET FLA</t>
  </si>
  <si>
    <t>SOLOMONS KSHR BNLS CHUCK</t>
  </si>
  <si>
    <t>CH ANGUS SA B-IN SHORT RIB</t>
  </si>
  <si>
    <t>SOLOMONS KSHR CHUCK TND</t>
  </si>
  <si>
    <t>CH ANGUS SA N/OFF BRISKET</t>
  </si>
  <si>
    <t>SOLOMONS KSHR GRND BF 81/19</t>
  </si>
  <si>
    <t>74 LB</t>
  </si>
  <si>
    <t>CHOICE 2UP BALL TIP</t>
  </si>
  <si>
    <t>SOLOMONS KSHR LONDON BROIL</t>
  </si>
  <si>
    <t>CHOICE BF BACK RIBS COV F</t>
  </si>
  <si>
    <t>SOLOMONS KSHR TOP BLADE STK</t>
  </si>
  <si>
    <t>CHOICE CH BEEF BACK RIBS</t>
  </si>
  <si>
    <t>SWIFT CRYOVAC TONGUE</t>
  </si>
  <si>
    <t>CHOICE CHOICE B-IN SHANK</t>
  </si>
  <si>
    <t>SWIFT FLAT IRON C/R FLT</t>
  </si>
  <si>
    <t>CHOICE PECTORAL MEAT</t>
  </si>
  <si>
    <t>SWIFT HEARTS</t>
  </si>
  <si>
    <t>CHOICE US BALL TIP 2/UP</t>
  </si>
  <si>
    <t>SWIFT HONEYCOMB TRIPE</t>
  </si>
  <si>
    <t>CHOICE US BEEF PECTORIAL MT</t>
  </si>
  <si>
    <t>SWIFT KIDNEYS</t>
  </si>
  <si>
    <t>88 LB</t>
  </si>
  <si>
    <t>CHOICE US BI CHK SHORT RIB</t>
  </si>
  <si>
    <t>SWIFT OXTAILS</t>
  </si>
  <si>
    <t>CHOICE US FRSH SPARERIBS</t>
  </si>
  <si>
    <t>SWIFT PPRCRN TERES MAJOR</t>
  </si>
  <si>
    <t>CHOICE US REG BRISKET</t>
  </si>
  <si>
    <t>SWIFT SUN/TOM TERES MAJR</t>
  </si>
  <si>
    <t>COLORADO CORN BEEF POINTS</t>
  </si>
  <si>
    <t>SWIFT TERI TERES MAJOR</t>
  </si>
  <si>
    <t>COLORADO CORN BEEF ROUND</t>
  </si>
  <si>
    <t>SWIFT US FLAT IRON C/R FLT</t>
  </si>
  <si>
    <t>COLORADO CORN BF FLAT</t>
  </si>
  <si>
    <t>TYSON STEW KIT</t>
  </si>
  <si>
    <t>COMM. BNLS FLANK STEAK 3</t>
  </si>
  <si>
    <t>WILD HARV CH ANG NY STRP STK</t>
  </si>
  <si>
    <t>COMM. BNLS FLAP MEAT 3</t>
  </si>
  <si>
    <t>WILD HARV CH ANG RIBEYE STK</t>
  </si>
  <si>
    <t>FEATURE N/0 BRISKET</t>
  </si>
  <si>
    <t>WILD HARV CH ANG TP SRLN STK</t>
  </si>
  <si>
    <t>FEATURE SHORT RIBS</t>
  </si>
  <si>
    <t>WILD HARV GRND BEEF NAT 91/9</t>
  </si>
  <si>
    <t>FEATURE WHOLE BRISKETS</t>
  </si>
  <si>
    <t>WILD HARV GRND BEEF NAT85/15</t>
  </si>
  <si>
    <t>FREIRICH CRN BF ROUND PK8</t>
  </si>
  <si>
    <t>29 LB</t>
  </si>
  <si>
    <t>FREIRICH FLAT CRN BF BRSP12</t>
  </si>
  <si>
    <t>31 LB</t>
  </si>
  <si>
    <t>FREIRICH POINT CRN BF PK8</t>
  </si>
  <si>
    <t>AUSSIE FLANK STEAK</t>
  </si>
  <si>
    <t>FRESH BEEF TONGUE</t>
  </si>
  <si>
    <t>BEEF BONE IN SHANK</t>
  </si>
  <si>
    <t>FRESH C.O.V. BF OXTAILS</t>
  </si>
  <si>
    <t>38 LB</t>
  </si>
  <si>
    <t>BRKFLD CORNBF POINT 12-14</t>
  </si>
  <si>
    <t>FRESH US BI SHANK MT SM BX</t>
  </si>
  <si>
    <t>37 LB</t>
  </si>
  <si>
    <t>C.A.B. U.F. SM BX FLANKS</t>
  </si>
  <si>
    <t>FRESH US C.O.V. BF OXTAILS</t>
  </si>
  <si>
    <t>CAB  US BALL TIP 2/UP</t>
  </si>
  <si>
    <t>44 LB</t>
  </si>
  <si>
    <t>FRESH US MTY BF NECKBONES</t>
  </si>
  <si>
    <t>CAB  US FLANK STEAK SMBX</t>
  </si>
  <si>
    <t>FROZEN BEEF BACKRIBS FROZ</t>
  </si>
  <si>
    <t>CAB  US XT N/O BRISKET FLA</t>
  </si>
  <si>
    <t>FROZEN BEEF FEET PK8</t>
  </si>
  <si>
    <t>CAB BTM BUTT BALL TIP</t>
  </si>
  <si>
    <t>FROZEN BEEF TRIPE FROZEN</t>
  </si>
  <si>
    <t>CAB C/R INSIDE SKIRT</t>
  </si>
  <si>
    <t>FROZEN MARROW BONE</t>
  </si>
  <si>
    <t>CAB FLANK STEAKS</t>
  </si>
  <si>
    <t>MORTON CORNED BRSKT PT P9</t>
  </si>
  <si>
    <t>CAB N/O BRISKET FLAT</t>
  </si>
  <si>
    <t>MORTON CRN BF FLAT PK9</t>
  </si>
  <si>
    <t>CATEGORY :       702214 FRSH VEAL VARIETY MT</t>
  </si>
  <si>
    <t>MOSEY CORN BF BRSK PT P9</t>
  </si>
  <si>
    <t>ROSEN VEAL PATTIES</t>
  </si>
  <si>
    <t>PACKERLND BEEF NECKBONES</t>
  </si>
  <si>
    <t>ROSEN VEAL SLICES 1/2IN</t>
  </si>
  <si>
    <t>SELECT BF 2/UP BALL TIPS</t>
  </si>
  <si>
    <t>67 LB</t>
  </si>
  <si>
    <t>ROSEN VEAL SQR CUT CHUCK</t>
  </si>
  <si>
    <t>SKYLARK STK/PK CALF LIVER</t>
  </si>
  <si>
    <t>CATEGORY :       703314 FRESH LAMB VARIETY</t>
  </si>
  <si>
    <t>4.25 LB</t>
  </si>
  <si>
    <t>SMOKEHOUS CORNBF BR FLAT</t>
  </si>
  <si>
    <t>SMOKEHOUS CRNBF BR POINT</t>
  </si>
  <si>
    <t>34 LB</t>
  </si>
  <si>
    <t>AUSSIE BNLS 1\2 LEG LAMB</t>
  </si>
  <si>
    <t>STONYFORK BOURBON RIBEYE</t>
  </si>
  <si>
    <t>AUSSIE BNLS NET LA LEG</t>
  </si>
  <si>
    <t>STONYFORK FILET W/BACON</t>
  </si>
  <si>
    <t>21 LB</t>
  </si>
  <si>
    <t>AUSSIE FR LAMD RACK</t>
  </si>
  <si>
    <t>STONYFORK ITALIAN RIBEYE</t>
  </si>
  <si>
    <t>AUSSIE LAMB SH LOIN</t>
  </si>
  <si>
    <t>STONYFORK MONTREAL RIBEYE</t>
  </si>
  <si>
    <t>AUSSIE LAMB SHANK</t>
  </si>
  <si>
    <t>STONYFORK PEPPRCORN RIBEYE</t>
  </si>
  <si>
    <t>CHIAPPETI FRESH LAMB SHANKS</t>
  </si>
  <si>
    <t>STONYFORK SEASONED RIBEYE</t>
  </si>
  <si>
    <t>51 LB</t>
  </si>
  <si>
    <t>CHIAPPETT B/R SQ CUT LAMB CH</t>
  </si>
  <si>
    <t>STONYFORK WHOLE TENDERLOIN</t>
  </si>
  <si>
    <t>CHIAPPETT LAMB LOIN 1X1 PK4</t>
  </si>
  <si>
    <t>SWIFT BNL RIBLIFTER MEAT</t>
  </si>
  <si>
    <t>33 LB</t>
  </si>
  <si>
    <t>CHIAPPETT SEMI-BNLS LAMB LEG</t>
  </si>
  <si>
    <t>TRAY RDY BEEF KIDNEYS</t>
  </si>
  <si>
    <t>CNTRY MDW B/I LAMB LOIN</t>
  </si>
  <si>
    <t>TRAY RDY FRESH HEARTS</t>
  </si>
  <si>
    <t>CNTRY MDW B/I LAMB SHOULDER</t>
  </si>
  <si>
    <t>13 LB</t>
  </si>
  <si>
    <t>TRAY RDY HONEYCOMB TRIPE</t>
  </si>
  <si>
    <t>CNTRY MDW BNL LAMB LEG RST</t>
  </si>
  <si>
    <t>TRAY RDY S&amp;D LIVERS</t>
  </si>
  <si>
    <t>CNTRY MDW FRENCH LAMB RCK</t>
  </si>
  <si>
    <t>CNTRY MDW SEMI/BLS LAMB LEG</t>
  </si>
  <si>
    <t>ROSEN 2PC C/R LAMB LEG P</t>
  </si>
  <si>
    <t>ATLANTIC BNLS VEAL BRISKET</t>
  </si>
  <si>
    <t>ROSEN 2PC CR LEG OF LAMB</t>
  </si>
  <si>
    <t>ATLANTIC GROUND VEAL</t>
  </si>
  <si>
    <t>ROSEN BABY BACK LAMB RIB</t>
  </si>
  <si>
    <t>ATLANTIC MILD ITALIAN</t>
  </si>
  <si>
    <t>ROSEN BLK RDY LAMB LOIN</t>
  </si>
  <si>
    <t>ATLANTIC SPINACH FETA</t>
  </si>
  <si>
    <t>ROSEN BNLS BTRFY LAMB LE</t>
  </si>
  <si>
    <t>ATLANTIC SUNDRIED TOM BASIL</t>
  </si>
  <si>
    <t>ROSEN BUTTRFLY LAMB LEG</t>
  </si>
  <si>
    <t>ATLANTIC VEAL TRM FORESHNK6</t>
  </si>
  <si>
    <t>ROSEN E-Z CUT LAMB LOIN</t>
  </si>
  <si>
    <t>CEDAR SPR CR GROUND VEAL</t>
  </si>
  <si>
    <t>ROSEN FROZEN LAMB SADER</t>
  </si>
  <si>
    <t>CHIAPPETI SCALLOPINI/VL LEG</t>
  </si>
  <si>
    <t>ROSEN GROUND LAMB</t>
  </si>
  <si>
    <t>73 LB</t>
  </si>
  <si>
    <t>CHIAPPETI SQ CUT VEAL SHLDR</t>
  </si>
  <si>
    <t>ROSEN LAMB 2PC CHP RDY C</t>
  </si>
  <si>
    <t>CHIAPPETI VEAL 1X1 LOINS PK2</t>
  </si>
  <si>
    <t>ROSEN LAMB 4BN FRNCH RAC</t>
  </si>
  <si>
    <t>CHIAPPETI VEAL BREAST PK 5</t>
  </si>
  <si>
    <t>41 LB</t>
  </si>
  <si>
    <t>ROSEN LAMB BLK RDY LEG P</t>
  </si>
  <si>
    <t>CHIAPPETI VL SL FORSHK OSO B</t>
  </si>
  <si>
    <t>ROSEN LAMB BLK RDY LOIN</t>
  </si>
  <si>
    <t>27 LB</t>
  </si>
  <si>
    <t>CHIAPPETT VEAL TP/BM/SIRLOIN</t>
  </si>
  <si>
    <t>ROSEN LAMB FORESHANKS PK</t>
  </si>
  <si>
    <t>ROSEN BHS 1-PC</t>
  </si>
  <si>
    <t>ROSEN LAMB LEG TROTTER O</t>
  </si>
  <si>
    <t>ROSEN OSSO BUCCO 2IN</t>
  </si>
  <si>
    <t>ROSEN LAMB PATTIES</t>
  </si>
  <si>
    <t>ROSEN VEAL BLK RDY LOIN</t>
  </si>
  <si>
    <t>ROSEN LAMB SQU CUT CHUCK</t>
  </si>
  <si>
    <t>ROSEN VEAL BREAST PK2</t>
  </si>
  <si>
    <t>ROSEN LAMB TOP ROUND</t>
  </si>
  <si>
    <t>ROSEN VEAL BRST W/PKT</t>
  </si>
  <si>
    <t>ROSEN LAMB TRIMMINGS 80/</t>
  </si>
  <si>
    <t>ROSEN VEAL LEG SLICE PK3</t>
  </si>
  <si>
    <t>ROSEN LMB/VL BRFST SAU</t>
  </si>
  <si>
    <t>CATEGORY :       704410 PORK PRIMALS</t>
  </si>
  <si>
    <t>ROSEN LMB/VL DINNER SAU</t>
  </si>
  <si>
    <t>FEAT FRESH PICNIC COV 6</t>
  </si>
  <si>
    <t>ROSEN SQUARE CUT LAMB CH</t>
  </si>
  <si>
    <t>79 LB</t>
  </si>
  <si>
    <t>FEATURE 1/8 IN BUTTS</t>
  </si>
  <si>
    <t>WESTERN GOAT CUBES</t>
  </si>
  <si>
    <t>42 LB</t>
  </si>
  <si>
    <t>FEATURE BABY BACK RIB</t>
  </si>
  <si>
    <t>CATEGORY :       704406 TENDER N EASY PORK</t>
  </si>
  <si>
    <t>FEATURE PICINICS</t>
  </si>
  <si>
    <t>FRESH PORK SPARERIBS</t>
  </si>
  <si>
    <t>HATFIELD PEPPERCORN TNDRLN</t>
  </si>
  <si>
    <t>GOOSSES TAILGATE RIB</t>
  </si>
  <si>
    <t>HORMEL LEM GRLC LOIN FLT</t>
  </si>
  <si>
    <t>GWALTNEY GW ST LOUIS PORK R</t>
  </si>
  <si>
    <t>1.7 LB</t>
  </si>
  <si>
    <t>HORMEL MESQUITE LOIN FLT</t>
  </si>
  <si>
    <t>63 LB</t>
  </si>
  <si>
    <t>GWALTNEY GWA SMFLD RAW HAMS</t>
  </si>
  <si>
    <t>SMFLD A/N BNLS CHOP GAR/HRB</t>
  </si>
  <si>
    <t>IMPORTED FRZN IMPORTED RIBS</t>
  </si>
  <si>
    <t>SMFLD A/N BNLS CHOP PEPPRCRN</t>
  </si>
  <si>
    <t>PLUMROSE BABY BACK RIBS</t>
  </si>
  <si>
    <t>SMFLD A/N BNLS CHOPS</t>
  </si>
  <si>
    <t>PURNELL FZN PORK RIBS 5/UP</t>
  </si>
  <si>
    <t>SMFLD C/R B/I SRLN CHOP</t>
  </si>
  <si>
    <t>SMFLD LG BNLS PICNIC</t>
  </si>
  <si>
    <t>SMFLD C/R CNTRY STYL RIB</t>
  </si>
  <si>
    <t>SMITHFLD 21/4DN ST LOUIS RI</t>
  </si>
  <si>
    <t>1.15 LB</t>
  </si>
  <si>
    <t>SMFLD GLDN ROT. TNDRLN</t>
  </si>
  <si>
    <t>SMITHFLD BABY BACK RIBS PK1</t>
  </si>
  <si>
    <t>SMITHFLD BNLS CC PORK CHOPS</t>
  </si>
  <si>
    <t>SMITHFLD BI BOSTON BUTT</t>
  </si>
  <si>
    <t>0.90 LB</t>
  </si>
  <si>
    <t>SMITHFLD CLNTR SLSA TNDRLN</t>
  </si>
  <si>
    <t>SMITHFLD BNLS BSTN BUTT COV</t>
  </si>
  <si>
    <t>1.40 LB</t>
  </si>
  <si>
    <t>SMITHFLD CLNTRO SLSA FILLET</t>
  </si>
  <si>
    <t>SMITHFLD BNLS PRK CUSHION</t>
  </si>
  <si>
    <t>SMITHFLD GAR&amp;HERB FILLET</t>
  </si>
  <si>
    <t>61 LB</t>
  </si>
  <si>
    <t>SMITHFLD BOSTON BUTTS 1/8 T</t>
  </si>
  <si>
    <t>SMITHFLD GAR&amp;HRB TENDERLOIN</t>
  </si>
  <si>
    <t>SMITHFLD FRESH HAM 1/8IN</t>
  </si>
  <si>
    <t>1.44 LB</t>
  </si>
  <si>
    <t>SMITHFLD HICKORY SWT SIRLON</t>
  </si>
  <si>
    <t>SMITHFLD FRESH PICNIC 1PC</t>
  </si>
  <si>
    <t>SMITHFLD PEPPERCORN SIRLOIN</t>
  </si>
  <si>
    <t>SMITHFLD FRESH PICNIC 2PC</t>
  </si>
  <si>
    <t>SMITHFLD PK TEND W PEP BACO</t>
  </si>
  <si>
    <t>SMITHFLD PRK SPARERBS 4.2DN</t>
  </si>
  <si>
    <t>SMITHFLD PORK MIXED CHOP</t>
  </si>
  <si>
    <t>SMTH  FRZ FROZEN BACK RIBS</t>
  </si>
  <si>
    <t>SMITHFLD PPR MDLY TNDERLOIN</t>
  </si>
  <si>
    <t>SMTH  FRZ FRZN ST LOUIS RIB</t>
  </si>
  <si>
    <t>SMITHFLD PPR MEDLY FILLET</t>
  </si>
  <si>
    <t>SMTH FROZEN LIGHT SPARE</t>
  </si>
  <si>
    <t>SMITHFLD TANGY MSTRD FILLET</t>
  </si>
  <si>
    <t>SMTHFLD BNLS PORK SHLD PIC</t>
  </si>
  <si>
    <t>SMITHFLD TERIYAKI SIRLOIN</t>
  </si>
  <si>
    <t>76 LB</t>
  </si>
  <si>
    <t>SPC CORNED PICNICS PK</t>
  </si>
  <si>
    <t>SMTHFLD PEPCRN TENDERLN</t>
  </si>
  <si>
    <t>TONY ROMA SMOKED PORK RIBS</t>
  </si>
  <si>
    <t>SMTHFLD TERIYAKI TNDERLN</t>
  </si>
  <si>
    <t>CATEGORY :       704450 BONELESS PORK</t>
  </si>
  <si>
    <t>.75 LB</t>
  </si>
  <si>
    <t>WILD HARV BNLS PRK TNDRLOIN</t>
  </si>
  <si>
    <t>0.75 LB</t>
  </si>
  <si>
    <t>WILD HARV PORK LOIN CHOP</t>
  </si>
  <si>
    <t>CP FEAT BNLS LOIN STRAP/ON</t>
  </si>
  <si>
    <t>CP FEAT BNLS SIRLOINS</t>
  </si>
  <si>
    <t>43 LB</t>
  </si>
  <si>
    <t>CP FEAT COV BI SIRLOIN</t>
  </si>
  <si>
    <t>ABBEYLAND 10# FROZ PORK RIB</t>
  </si>
  <si>
    <t>CP FEAT FEATUR PORK TNDRLN</t>
  </si>
  <si>
    <t>AUNT BESS RIB TIPS</t>
  </si>
  <si>
    <t>98 LB</t>
  </si>
  <si>
    <t>CP FEAT FTR 1/4 PORK LOIN</t>
  </si>
  <si>
    <t>AUNT BESS SPARE RIBS</t>
  </si>
  <si>
    <t>FEAT 1/8IN BONE IN LOINS</t>
  </si>
  <si>
    <t>CP FEAT PICNIC</t>
  </si>
  <si>
    <t>FEATURE BI RIB ENDS FRZ</t>
  </si>
  <si>
    <t>CP FEAT PORK BUTT 1/4IN</t>
  </si>
  <si>
    <t>FEATURE BONE IN SIRLOIN</t>
  </si>
  <si>
    <t>CP FEAT PORK SPARE RIB</t>
  </si>
  <si>
    <t>FEATURE FEATUR PORK TNDRLN</t>
  </si>
  <si>
    <t>CATEGORY :       704452 MARINATED PORK</t>
  </si>
  <si>
    <t>FEATURE FTR B/I LOIN</t>
  </si>
  <si>
    <t>HORMEL NC OR CHICKN STRIP</t>
  </si>
  <si>
    <t>49 LB</t>
  </si>
  <si>
    <t>FEATURE FTR BNL LN STRAP O</t>
  </si>
  <si>
    <t>HORMEL SALISBURY STEAK</t>
  </si>
  <si>
    <t>FEATURE FTR BNL PK LN STRP</t>
  </si>
  <si>
    <t>HORMEL SLCD RST BF N GRVY</t>
  </si>
  <si>
    <t>FEATURE FTR STRAP ON LOINS</t>
  </si>
  <si>
    <t>LLOYDS FULLY CKD BBQ BEEF</t>
  </si>
  <si>
    <t>FEATURE HALF BNLS LOIN</t>
  </si>
  <si>
    <t>LLOYDS FULLY CKD BBQ PORK</t>
  </si>
  <si>
    <t>FEATURE PORK CUSHION MEAT</t>
  </si>
  <si>
    <t>LLOYDS HONEY HICK BBQ CHX</t>
  </si>
  <si>
    <t>JAMESTOWN TENDERLOIN TIPS</t>
  </si>
  <si>
    <t>PAULADEEN CHCK &amp; DUMPLINGS</t>
  </si>
  <si>
    <t>MORRELL PRK CROWN ROAST</t>
  </si>
  <si>
    <t>PAULADEEN CHSEBURG MEATLOAF</t>
  </si>
  <si>
    <t>PREFERRED B/I PORK LOIN</t>
  </si>
  <si>
    <t>PAULADEEN PORK ROAST</t>
  </si>
  <si>
    <t>SMFLD LG BNLSCC LOIN S/OFF</t>
  </si>
  <si>
    <t>PAULADEEN POT ROAST</t>
  </si>
  <si>
    <t>SMFLD LG PORK TENDERLION P1</t>
  </si>
  <si>
    <t>1.9 LB</t>
  </si>
  <si>
    <t>PLUMROSE FULLY COOKED RIBS</t>
  </si>
  <si>
    <t>SMITHFLD BI CC LOIN 9 RIB</t>
  </si>
  <si>
    <t>SIMPLY SI M SESAME CHICKEN</t>
  </si>
  <si>
    <t>SMITHFLD BI LOIN 1/4IN</t>
  </si>
  <si>
    <t>SMFLD GARLIC HERB TNDRLN</t>
  </si>
  <si>
    <t>SMITHFLD BI LOIN 1/8IN</t>
  </si>
  <si>
    <t>2.2 LB</t>
  </si>
  <si>
    <t>SMITHFLD SWT&amp;SASSY ST.L RIB</t>
  </si>
  <si>
    <t>SMITHFLD BI PORK RIB ENDS</t>
  </si>
  <si>
    <t>SMPLY SMT CHICKEN TERIYAKI</t>
  </si>
  <si>
    <t>SMITHFLD BI PRK SIRLOIN END</t>
  </si>
  <si>
    <t>1.70 LB</t>
  </si>
  <si>
    <t>SMTHFLD GARLIC HERB FILLET</t>
  </si>
  <si>
    <t>SMITHFLD BNLS A/N RIBENDS</t>
  </si>
  <si>
    <t>SMTHFLD HICK SWT FILLET</t>
  </si>
  <si>
    <t>SMITHFLD BNLS CC LOIN S/OFF</t>
  </si>
  <si>
    <t>SMTHFLD TERIYAKI FILLET</t>
  </si>
  <si>
    <t>53 LB</t>
  </si>
  <si>
    <t>SMITHFLD BNLS CC LOIN S/ON</t>
  </si>
  <si>
    <t>3.90 LB</t>
  </si>
  <si>
    <t>TYSON BEEF CHUCK ROAST</t>
  </si>
  <si>
    <t>SMITHFLD BNLS PORK SIRLOIN</t>
  </si>
  <si>
    <t>TYSON BEEF POT ROAST</t>
  </si>
  <si>
    <t>SMITHFLD PORK TENDERLOIN PK</t>
  </si>
  <si>
    <t>TYSON BEEF TIPS IN GRAVY</t>
  </si>
  <si>
    <t>TODAYSCUT PK TENDERLOIN 10PK</t>
  </si>
  <si>
    <t>TYSON BF STK TIPS N BRBN</t>
  </si>
  <si>
    <t>TYSON CHKN BRST MDLLN IT</t>
  </si>
  <si>
    <t>TYSON FAJITA CHICKEN STR</t>
  </si>
  <si>
    <t>CHI CHI'S BEEF TACO MEAT</t>
  </si>
  <si>
    <t>TYSON GRLL CHICKN STRIPS</t>
  </si>
  <si>
    <t>CURLYS BBQ BKD BNS W/PORK</t>
  </si>
  <si>
    <t>TYSON PORK ROAST KIT</t>
  </si>
  <si>
    <t>CURLYS BUCKET O'RIBS</t>
  </si>
  <si>
    <t>TYSON ROASTED DICED CHIC</t>
  </si>
  <si>
    <t>CURLYS PULLED CHICKEN BBQ</t>
  </si>
  <si>
    <t>TYSON SEASONED STEAK STR</t>
  </si>
  <si>
    <t>CURLYS PULLED PORK BBQ</t>
  </si>
  <si>
    <t>CATEGORY :       705510 SMOKED HAM BI/BNLS</t>
  </si>
  <si>
    <t>CURLYS SPICY BBQ PLLD PRK</t>
  </si>
  <si>
    <t>HORMEL FC BEEF ROAST</t>
  </si>
  <si>
    <t>BEST BUY BUTT PORT PK4</t>
  </si>
  <si>
    <t>HORMEL FC MEATLOAF</t>
  </si>
  <si>
    <t>BEST BUY HAM PORTIONS</t>
  </si>
  <si>
    <t>HORMEL FC PORK ROAST</t>
  </si>
  <si>
    <t>C PRIDE FAM 1/2 SPIRAL HAM</t>
  </si>
  <si>
    <t>HORMEL FCE BEEF STROGANOF</t>
  </si>
  <si>
    <t>C PRIDE SLCD PICNIC SMKD</t>
  </si>
  <si>
    <t>HORMEL FULLY COOKED BF TP</t>
  </si>
  <si>
    <t>C PRIDE SMOKED PICNIC</t>
  </si>
  <si>
    <t>HORMEL HMSTYL MEATBALLS</t>
  </si>
  <si>
    <t>COOKS 1/2 HNY SPIRAL PK4</t>
  </si>
  <si>
    <t>HORMEL HNY MUST LOIN FIL</t>
  </si>
  <si>
    <t>COOKS 4-4-0 BUTT &amp; SHANK</t>
  </si>
  <si>
    <t>HORMEL ITALIAN BEEF ROAST</t>
  </si>
  <si>
    <t>COOKS HNY 1/2 FOIL SPIRA</t>
  </si>
  <si>
    <t>HORMEL NC GRLL CHKN STRIP</t>
  </si>
  <si>
    <t>CORN KING WHOLE BNLS HAM</t>
  </si>
  <si>
    <t>CUDAHY REALEAN SMOKED HAM</t>
  </si>
  <si>
    <t>HOBE CO HAM CHUNK P12-2</t>
  </si>
  <si>
    <t>ESSKAY SILVER HALF HAM PK</t>
  </si>
  <si>
    <t>HOBE CO HAM FAT P20-25</t>
  </si>
  <si>
    <t>ESSKAY SILVER LABEL HAM P</t>
  </si>
  <si>
    <t>HOBE CO HAM SKINS P15-2</t>
  </si>
  <si>
    <t>ESSKAY SILVER LBL SPIRAL</t>
  </si>
  <si>
    <t>HOBE CO HAM TRIM P12-20</t>
  </si>
  <si>
    <t>FELTS CO HAM TRIM P12-20</t>
  </si>
  <si>
    <t>HOBE CO HM CNTRSLC P</t>
  </si>
  <si>
    <t>FELTS COUNTRY HAM PK4</t>
  </si>
  <si>
    <t>HOBE CO HM END SLC P</t>
  </si>
  <si>
    <t>FF SMFLD SPIRAL 1/2 P</t>
  </si>
  <si>
    <t>HOBE CO SIDEMT CHNK P12</t>
  </si>
  <si>
    <t>10.25 L</t>
  </si>
  <si>
    <t>FULL CIRC PORK BRATZ</t>
  </si>
  <si>
    <t>HORMEL 81 BNLS 1/2 HAM PK</t>
  </si>
  <si>
    <t>FULL CIRC SPIRAL HAM</t>
  </si>
  <si>
    <t>HORMEL C81 1/4HAM SLCD PK</t>
  </si>
  <si>
    <t>17 LB</t>
  </si>
  <si>
    <t>GWALTNEY B/L QTR SLC SMK HM</t>
  </si>
  <si>
    <t>HORMEL CURE 81 BLS QTR HM</t>
  </si>
  <si>
    <t>GWALTNEY BNLS QT SLC HNYHAM</t>
  </si>
  <si>
    <t>8.67 LB</t>
  </si>
  <si>
    <t>HORMEL OVN BG SPRL HLF HM</t>
  </si>
  <si>
    <t>GWALTNEY BNLS SLC BRNSG HAM</t>
  </si>
  <si>
    <t>J MORRELL APLWD SMKD HAM STR</t>
  </si>
  <si>
    <t>GWALTNEY BUTT &amp; SHANK PORT</t>
  </si>
  <si>
    <t>J MORRELL CUBED HAM</t>
  </si>
  <si>
    <t>GWALTNEY GW BNLS HALF HAM P</t>
  </si>
  <si>
    <t>J MORRELL DICED HAM</t>
  </si>
  <si>
    <t>GWALTNEY GW BNLS SPIRAL HAM</t>
  </si>
  <si>
    <t>J MORRELL JULIENNE HAM</t>
  </si>
  <si>
    <t>GWALTNEY GW CKD BONE-IN SMF</t>
  </si>
  <si>
    <t>J MORRELL SBO 1/2 SPIRAL HAM</t>
  </si>
  <si>
    <t>GWALTNEY GW FRUITED HAM PK1</t>
  </si>
  <si>
    <t>JONES HAM SLICES</t>
  </si>
  <si>
    <t>GWALTNEY GW HNY 1/2 SPRL HA</t>
  </si>
  <si>
    <t>JONES HAM STKS EXACT WT*</t>
  </si>
  <si>
    <t>62 LB</t>
  </si>
  <si>
    <t>JOYNER RED I CKD CO HAMP5</t>
  </si>
  <si>
    <t>GWALTNEY GW PAGAN 1/2 HAMS</t>
  </si>
  <si>
    <t>KUNZLER BNL QTR TRKY HM PK</t>
  </si>
  <si>
    <t>GWALTNEY GW PAGAN FC WHL HA</t>
  </si>
  <si>
    <t>KUNZLER BNLS HAM 1/2 CT-8</t>
  </si>
  <si>
    <t>GWALTNEY GW SMFLD BNL NATSH</t>
  </si>
  <si>
    <t>KUNZLER BNLS HAM 1/4 8CT</t>
  </si>
  <si>
    <t>GWALTNEY GW SPIRAL GLAZE 1/</t>
  </si>
  <si>
    <t>KUNZLER BNLS HAM-P4</t>
  </si>
  <si>
    <t>GWALTNEY GW SPRL SLC HALF P</t>
  </si>
  <si>
    <t>LUNDY SMKD TRM HAM PK4(L</t>
  </si>
  <si>
    <t>GWALTNEY GW SPRL SLC WHL PA</t>
  </si>
  <si>
    <t>MASH BNLS 1/2 HAM 3BT 3</t>
  </si>
  <si>
    <t>GWALTNEY GW WILLBURG CO HAM</t>
  </si>
  <si>
    <t>MASH BRN SUGAR 1/2 HAM</t>
  </si>
  <si>
    <t>GWALTNEY GW WMSBRG CKD BI H</t>
  </si>
  <si>
    <t>MASH HAM PORTION 3B/3S</t>
  </si>
  <si>
    <t>GWALTNEY SPC TRIM WH HAM</t>
  </si>
  <si>
    <t>MASH HAM SLICES</t>
  </si>
  <si>
    <t>GWALTNEY UKRPS HNY SPIRL HA</t>
  </si>
  <si>
    <t>MASH SMK HAM BUT PRTN P</t>
  </si>
  <si>
    <t>HATFIELD BR SUGAR HAM STEAK</t>
  </si>
  <si>
    <t>MASH SMK HAM SHNKPRTN P</t>
  </si>
  <si>
    <t>HATFIELD HICKORY HAM STEAK</t>
  </si>
  <si>
    <t>MASH SMKD HAM SLICE P30</t>
  </si>
  <si>
    <t>HATFIELD HMSTK BRN SGR/MSTD</t>
  </si>
  <si>
    <t>MASH WHOLE BNLS HAM PK3</t>
  </si>
  <si>
    <t>HATFIELD HONEY HAM STEAK</t>
  </si>
  <si>
    <t>MASH WHOLE HAM PK3</t>
  </si>
  <si>
    <t>HATFIELD MAPLE HAM STEAKS</t>
  </si>
  <si>
    <t>2.25 LB</t>
  </si>
  <si>
    <t>MICKLBERY SLICED QTR HAM</t>
  </si>
  <si>
    <t>HATFIELD SPIRAL HAM</t>
  </si>
  <si>
    <t>SHP BISCUIT HAM SLICES</t>
  </si>
  <si>
    <t>HATFIELD TRAD HAM STEAK</t>
  </si>
  <si>
    <t>SHP HAM CENTER &amp;ENDS</t>
  </si>
  <si>
    <t>HILLSHIRE BR SUG SPRL1/2HM P</t>
  </si>
  <si>
    <t>SHP HAM CHIPS</t>
  </si>
  <si>
    <t>HOBE CNTRY HAM BUTT PK5</t>
  </si>
  <si>
    <t>HOBE CO HAM BONES P12-2</t>
  </si>
  <si>
    <t>SHP HT&amp;SRV CTRY HAM SL</t>
  </si>
  <si>
    <t>SHP MILD CURE RAW HM P</t>
  </si>
  <si>
    <t>SPC SPIRAL 1/2 SFW</t>
  </si>
  <si>
    <t>SHP SLICED SIDE MEAT</t>
  </si>
  <si>
    <t>SPC SWEET PICKLE CORN</t>
  </si>
  <si>
    <t>SMITHFLD FF SMFLD PORT 3-3</t>
  </si>
  <si>
    <t>SUGARDALE BONE-IN 1/2 SPIRAL</t>
  </si>
  <si>
    <t>SMITHFLD PORTION 3-3-0 SFW</t>
  </si>
  <si>
    <t>SUGARDALE HAM PORTION</t>
  </si>
  <si>
    <t>SMITHFLD RED EYE SLI HAMLET</t>
  </si>
  <si>
    <t>SUGARDALE HAM STEAKS</t>
  </si>
  <si>
    <t>SMITHFLD SLI CO HAM</t>
  </si>
  <si>
    <t>SUGARDALE RED FOIL 1\2 SPIRL</t>
  </si>
  <si>
    <t>SMITHFLD SPIRAL CO HAM</t>
  </si>
  <si>
    <t>SUGARDALE SLICED HAM</t>
  </si>
  <si>
    <t>SMOKEHOUS BRWN SGR SPRL HALF</t>
  </si>
  <si>
    <t>VERNON MINI SEMI HAM</t>
  </si>
  <si>
    <t>SMOKEHOUS HAM PORTION WA BI</t>
  </si>
  <si>
    <t>5-7 LB</t>
  </si>
  <si>
    <t>WEST VIRG HAM 1/2 SEMI BNLS</t>
  </si>
  <si>
    <t>3.6 LB</t>
  </si>
  <si>
    <t>SMOKEHOUS HAM TAV HF WA BNLS</t>
  </si>
  <si>
    <t>CATEGORY :       705551 CANNED HAM</t>
  </si>
  <si>
    <t>SMOKEHOUS HONEY SPIRAL HALF</t>
  </si>
  <si>
    <t>SMOKEHOUS TAVRN HLF HAM BNLS</t>
  </si>
  <si>
    <t>CUDAHY REALEAN HONEY HAM</t>
  </si>
  <si>
    <t>SMOKEHOUS TAVRN WHL HAM BNLS</t>
  </si>
  <si>
    <t>HORMEL BLACK LBL CAN HAM</t>
  </si>
  <si>
    <t>8.5 LB</t>
  </si>
  <si>
    <t>SPC 1/2 SPIRAL HAM</t>
  </si>
  <si>
    <t>SPC BNLS HICK HAM STK</t>
  </si>
  <si>
    <t>HORMEL HAM PATTIES (CAN)</t>
  </si>
  <si>
    <t>SPC BNLS HNY HAM STEAK</t>
  </si>
  <si>
    <t>PLUMROSE IMP CANNED HAM</t>
  </si>
  <si>
    <t>SPC BNLS MAPL HAM STK</t>
  </si>
  <si>
    <t>CATEGORY :       705580 MISC SMOKED MT</t>
  </si>
  <si>
    <t>SPC BNLS SPIRAL HAM</t>
  </si>
  <si>
    <t>SPC BRN SUG SPIRAL 1/2</t>
  </si>
  <si>
    <t>C PRIDE SMKD NECKBONES</t>
  </si>
  <si>
    <t>SPC F 1/2 SMFLD SPIR H</t>
  </si>
  <si>
    <t>C PRIDE SMO KNUCKLES</t>
  </si>
  <si>
    <t>SPC FRUITED HAM PK1</t>
  </si>
  <si>
    <t>HOBE SLCD HAM HOCK P20-</t>
  </si>
  <si>
    <t>SPC FRZ SPIRAL 1/2 HAM</t>
  </si>
  <si>
    <t>HOBE WHL HAM HOCKS P15-</t>
  </si>
  <si>
    <t>SPC HAM PORT 3-3-0</t>
  </si>
  <si>
    <t>NEBRASKA SMK PORK HOCKS PK1</t>
  </si>
  <si>
    <t>2.50 LB</t>
  </si>
  <si>
    <t>SPC HNY 1/4 SLI HAM</t>
  </si>
  <si>
    <t>NEBRASKA SMO FZ TKY DRUMS</t>
  </si>
  <si>
    <t>SPC MAPLE 1/4 SLI HAM</t>
  </si>
  <si>
    <t>NEBRASKA SMO FZ TKY WINGS</t>
  </si>
  <si>
    <t>SPC P DEEN 1/2 SPRIAL</t>
  </si>
  <si>
    <t>NEBRASKA SMO HOCKS FRZ</t>
  </si>
  <si>
    <t>SPC PORTION 3-3-0 FF</t>
  </si>
  <si>
    <t>ROSE SMOKED PORK BUTT</t>
  </si>
  <si>
    <t>SPC PREM 1/2 HAM 3-3-0</t>
  </si>
  <si>
    <t>SHP BOWSER BONES</t>
  </si>
  <si>
    <t>SPC PREM HAM SLICES P3</t>
  </si>
  <si>
    <t>SHP D SIDE MEAT PP 33#</t>
  </si>
  <si>
    <t>SPC PREM SHANKS PK 6</t>
  </si>
  <si>
    <t>SHP HAM SKINS</t>
  </si>
  <si>
    <t>SPC PREM WH SMK HAMS P</t>
  </si>
  <si>
    <t>SHP SLICED HOCKS</t>
  </si>
  <si>
    <t>SPC PRM 1/4 BNLS HM P1</t>
  </si>
  <si>
    <t>SHP SLICED JOWLS</t>
  </si>
  <si>
    <t>SPC PRM 1/4 BNLS HM SL</t>
  </si>
  <si>
    <t>SMITHFLD CR SMK KNUCKLES P1</t>
  </si>
  <si>
    <t>SPC PRM BNLS HALVES PK</t>
  </si>
  <si>
    <t>SMITHFLD CR SMK NECKBONES 1</t>
  </si>
  <si>
    <t>SPC PRM BNLS WHOLE PK4</t>
  </si>
  <si>
    <t>8.60 LB</t>
  </si>
  <si>
    <t>SPC BNLS SM CH RAS CHI</t>
  </si>
  <si>
    <t>SPC PRM SPIRAL 1/2 HMP</t>
  </si>
  <si>
    <t>SPC BNLS SM CHOP AP CI</t>
  </si>
  <si>
    <t>SPC PRM WHL SPIRAL HMP</t>
  </si>
  <si>
    <t>SPC BNLS SM PK CHOPS</t>
  </si>
  <si>
    <t>SPC SMOKE PICNIC PK9</t>
  </si>
  <si>
    <t>SPC CR SMK TRKY DRUM 1</t>
  </si>
  <si>
    <t>SPC SPIRAL 1/2 FF</t>
  </si>
  <si>
    <t>SPC CR SMK TRKY NECK 1</t>
  </si>
  <si>
    <t>CATEGORY :       706631 #1 GRADE BACON</t>
  </si>
  <si>
    <t>SPC CR SMK TRKY WING 1</t>
  </si>
  <si>
    <t>GWALTNEY GW VP REG SLCD BAC</t>
  </si>
  <si>
    <t>SPC PR COV PEPP JOWL</t>
  </si>
  <si>
    <t>GWALTNEY THICK BACON</t>
  </si>
  <si>
    <t>SPC SMK BI PORK CHOPS</t>
  </si>
  <si>
    <t>GWALTNEY THICK SLICED BACON</t>
  </si>
  <si>
    <t>SPC SMOKED KNUCKLES</t>
  </si>
  <si>
    <t>HORMEL BLACK LABEL BACON</t>
  </si>
  <si>
    <t>SPC SMOKED NECKBONES</t>
  </si>
  <si>
    <t>HORMEL BLK LBL BACN 2-16Z</t>
  </si>
  <si>
    <t>CATEGORY :       706611 MISC. PROCESSED ITEMS</t>
  </si>
  <si>
    <t>HORMEL COOKED BACON</t>
  </si>
  <si>
    <t>HORMEL MICROWAVE BACON</t>
  </si>
  <si>
    <t>N A BISON GROUND BISON</t>
  </si>
  <si>
    <t>HORMEL NC CANADIAN BACON</t>
  </si>
  <si>
    <t>PEL FREEZ E RABBIT PK6</t>
  </si>
  <si>
    <t>HORMEL PORK SALT/COV</t>
  </si>
  <si>
    <t>J MORRELL CANADIAN BACON</t>
  </si>
  <si>
    <t>JAMESTOWN VP REGSLCD BCON</t>
  </si>
  <si>
    <t>BAR S RG SMKD SLCD BACON</t>
  </si>
  <si>
    <t>JIMMYDEAN HICKORY SMKD BACON</t>
  </si>
  <si>
    <t>BAR S TURKEY BACON</t>
  </si>
  <si>
    <t>2.20 OZ</t>
  </si>
  <si>
    <t>JMMY DEAN THICK MAPLE BACON</t>
  </si>
  <si>
    <t>BOB EVANS HICKORY SMK BACON</t>
  </si>
  <si>
    <t>JMMY DEAN THICK STK BACON</t>
  </si>
  <si>
    <t>BOBEVANS PEPPERED BACON</t>
  </si>
  <si>
    <t>JMMY DEAN TURKEY BACON</t>
  </si>
  <si>
    <t>BTR BALL TURKEY BACON</t>
  </si>
  <si>
    <t>JONES CANADIAN BACON</t>
  </si>
  <si>
    <t>BUTTERBLL TURKEY BCN THN CRP</t>
  </si>
  <si>
    <t>KUNZLER PEPPER BACON</t>
  </si>
  <si>
    <t>C PRIDE BACON COTTAGE BRAN</t>
  </si>
  <si>
    <t>KUNZLER SLICED SLAB BACON</t>
  </si>
  <si>
    <t>C PRIDE SLICED BACON</t>
  </si>
  <si>
    <t>KUNZLER THCK SLC SLAB BCN1</t>
  </si>
  <si>
    <t>C PRIDE THICK BACON</t>
  </si>
  <si>
    <t>KUNZLER VA SLI BACON</t>
  </si>
  <si>
    <t>ESSKAY FF 0 CARB TKY BACN</t>
  </si>
  <si>
    <t>LANDOFRST CM CANADIAN BACON</t>
  </si>
  <si>
    <t>ESSKAY SWEETKORN BACON</t>
  </si>
  <si>
    <t>LANDOFRST HCKRY CANADN BACON</t>
  </si>
  <si>
    <t>ESSKAY VP REG SLC LS/NS B</t>
  </si>
  <si>
    <t>LOUISRICH CLUB TURKEY BACON</t>
  </si>
  <si>
    <t>ESSKAY VP REG SLCD BACON</t>
  </si>
  <si>
    <t>LOUISRICH TURKEY BACON</t>
  </si>
  <si>
    <t>FELTS COUNTRY CURE PEPPE</t>
  </si>
  <si>
    <t>OLD CAROL BACON</t>
  </si>
  <si>
    <t>FULL CIRC UNCURED BACON</t>
  </si>
  <si>
    <t>OSCAR MYR BACON</t>
  </si>
  <si>
    <t>GODSHALLS BEEF BACON</t>
  </si>
  <si>
    <t>OSCAR MYR BACON CENTER CUT</t>
  </si>
  <si>
    <t>GODSHALLS MAPLE TURKEY BACON</t>
  </si>
  <si>
    <t>OSCAR MYR BACON LOW SALT</t>
  </si>
  <si>
    <t>GODSHALLS SMOKEDTURKEY BACON</t>
  </si>
  <si>
    <t>OSCAR MYR BACON RDY TO SERVE</t>
  </si>
  <si>
    <t>GODSHALLS TRKY CANADN BACON</t>
  </si>
  <si>
    <t>OSCAR MYR MAPLE BACON</t>
  </si>
  <si>
    <t>GODSHALLS TURKEY SCRAPPLE</t>
  </si>
  <si>
    <t>OSCAR MYR NATURAL BACON SMK</t>
  </si>
  <si>
    <t>GWALTNEY APPLEWD SMKD BACON</t>
  </si>
  <si>
    <t>OSCAR MYR OM CENTER CT THICK</t>
  </si>
  <si>
    <t>GWALTNEY F. P. BACON</t>
  </si>
  <si>
    <t>OSCAR MYR RTS CANADIAN BACON</t>
  </si>
  <si>
    <t>GWALTNEY GW 40% LESS FAT BA</t>
  </si>
  <si>
    <t>OSCAR MYR RTS THICK BACON</t>
  </si>
  <si>
    <t>GWALTNEY GW BEEF BACON</t>
  </si>
  <si>
    <t>OSCAR MYR SLICED BACON</t>
  </si>
  <si>
    <t>GWALTNEY GW BROWN SUGAR BAC</t>
  </si>
  <si>
    <t>PLUMROSE BACON PREM SLCED</t>
  </si>
  <si>
    <t>GWALTNEY GW L/S VP REG SLCD</t>
  </si>
  <si>
    <t>PLUMROSE BEST BUY BACON</t>
  </si>
  <si>
    <t>GWALTNEY GW RIND ON SLC SLA</t>
  </si>
  <si>
    <t>PLUMROSE STK PK THICK BACON</t>
  </si>
  <si>
    <t>RAPA BF SCRAPPLE</t>
  </si>
  <si>
    <t>CATEGORY :       706640 SAUSAGE ROLLS</t>
  </si>
  <si>
    <t>RAPA BRAND SCRAPPLE</t>
  </si>
  <si>
    <t>GUNNOE HOT SAUSAGE ROLL</t>
  </si>
  <si>
    <t>GUNNOE MILD ITALN SAUSAGE</t>
  </si>
  <si>
    <t>RAPA HOT/SPICY SCRAPPLE</t>
  </si>
  <si>
    <t>GUNNOE MILD SAUSAGE ROLL</t>
  </si>
  <si>
    <t>RAPA W/BACON SCRAPPLE</t>
  </si>
  <si>
    <t>GUNNOE SAUSAGE LINKS</t>
  </si>
  <si>
    <t>RDY CRISP FULLY COOKED BACON</t>
  </si>
  <si>
    <t>RDY CRISP RDY CRSP F/C BACON</t>
  </si>
  <si>
    <t>GUNNOE SAUSAGE PATTIES</t>
  </si>
  <si>
    <t>ROSE SLCD CANADIAN BACN</t>
  </si>
  <si>
    <t>JOE'S MKT APPLE CHARDONNAY</t>
  </si>
  <si>
    <t>SHDY BRKS SMK TRKY BACON</t>
  </si>
  <si>
    <t>JOE'S MKT APRICOT ROSEMARY</t>
  </si>
  <si>
    <t>SHOPVALU BACON SLICED</t>
  </si>
  <si>
    <t>JOE'S MKT BUFFALO STYLE CKN</t>
  </si>
  <si>
    <t>SHOPVALUE BACON THICK SLICED</t>
  </si>
  <si>
    <t>PARKS B&amp;S SAUSAGE LINKS</t>
  </si>
  <si>
    <t>SHP PEPPERED JOWLS</t>
  </si>
  <si>
    <t>PARKS B/S BEEF SSG LINKS</t>
  </si>
  <si>
    <t>SM BACON STACK PACK</t>
  </si>
  <si>
    <t>PARKS B/S TURKEY LINKS</t>
  </si>
  <si>
    <t>SM CENTER CUT BACON</t>
  </si>
  <si>
    <t>PARKS BEEF ROLL SAUSAGE</t>
  </si>
  <si>
    <t>SM DRY SALT CHNK FAT</t>
  </si>
  <si>
    <t>PAULADEAN HOT ROLL SAUSAGE</t>
  </si>
  <si>
    <t>SM DRY SALT VP CHUNK</t>
  </si>
  <si>
    <t>PAULADEAN MILD ROLL SAUSAGE</t>
  </si>
  <si>
    <t>SM FAT BACK 30# VAC P</t>
  </si>
  <si>
    <t>CATEGORY :       706652 SMKD LINKS/PATTIE</t>
  </si>
  <si>
    <t>SM LOW SALT BACON</t>
  </si>
  <si>
    <t>SM PEPPER BACON</t>
  </si>
  <si>
    <t>AIDELLS SMKD CHORIZO LINK</t>
  </si>
  <si>
    <t>SM PREM MAPLE BACON</t>
  </si>
  <si>
    <t>ARNOLDS SMK HOT BF SAUSAGE</t>
  </si>
  <si>
    <t>SM REGLAR BACON</t>
  </si>
  <si>
    <t>ARNOLDS SMKD BEEF SAUSAGE</t>
  </si>
  <si>
    <t>SM SLICED VP FAT BACK</t>
  </si>
  <si>
    <t>BAR S BARS CAJUN SMKD SA</t>
  </si>
  <si>
    <t>SM THICK BACON</t>
  </si>
  <si>
    <t>BAR S BARS POLISH SMKD S</t>
  </si>
  <si>
    <t>SMOKEHOUS BACON REG L-BRD</t>
  </si>
  <si>
    <t>BAR S BARS SMOKED SAUSAG</t>
  </si>
  <si>
    <t>SUGARDALE BACON SLI LBOARD</t>
  </si>
  <si>
    <t>BTR BALL SMOKED SSG</t>
  </si>
  <si>
    <t>T.A.V. OLE CAROLINA BACON</t>
  </si>
  <si>
    <t>BUTTERBLL SKNLS POLISH SAUS</t>
  </si>
  <si>
    <t>VDALE VP REG SLCD BACON</t>
  </si>
  <si>
    <t>C PRIDE BF SMK SAUSAG ROPE</t>
  </si>
  <si>
    <t>WRIGHTS HCKRY STK PK BACON</t>
  </si>
  <si>
    <t>C PRIDE FP PREM SMOKED SSG</t>
  </si>
  <si>
    <t>C PRIDE KIELBASA RP SAUSAG</t>
  </si>
  <si>
    <t>C PRIDE SMOKD ROPE SAUSAGE</t>
  </si>
  <si>
    <t>AIDELLS CAJUN ANDOUILLE SA</t>
  </si>
  <si>
    <t>ECKRICH BEEF SMOKED SAUSAG</t>
  </si>
  <si>
    <t>AIDELLS CHIC/APPL SAUSAGE</t>
  </si>
  <si>
    <t>ECKRICH RCH POLISH KIELBAS</t>
  </si>
  <si>
    <t>AIDELLS SPCY MANGO&amp;JLP SSG</t>
  </si>
  <si>
    <t>ECKRICH RCH SMOKED SAUSAGE</t>
  </si>
  <si>
    <t>AIDELLS SUN DRY TOM SAUSG</t>
  </si>
  <si>
    <t>ECKRICH SMKD TURKEY SAUSAG</t>
  </si>
  <si>
    <t>AL FRESCO BB BUFFALO STYLE</t>
  </si>
  <si>
    <t>FULL CIRC KIELBASA</t>
  </si>
  <si>
    <t>AL FRESCO BB TERIYAKI GINGER</t>
  </si>
  <si>
    <t>FULL CIRC SWEET ITAL SAUSAGE</t>
  </si>
  <si>
    <t>AL FRESCO BUFF CHKN SAUSAGE</t>
  </si>
  <si>
    <t>GWALTNEY GW GREAT SMK HOT N</t>
  </si>
  <si>
    <t>BOB EVANS SAUSAGE BISCUIT</t>
  </si>
  <si>
    <t>GWALTNEY GW GREAT SMK POL K</t>
  </si>
  <si>
    <t>BOB EVANS SAUSAGE LINKS</t>
  </si>
  <si>
    <t>GWALTNEY GW GREAT SMOKIE</t>
  </si>
  <si>
    <t>PARKS SMO TKY SAUSAGE</t>
  </si>
  <si>
    <t>GWALTNEY GW PHIL HOT SMOKE</t>
  </si>
  <si>
    <t>SABRETT BF HOT SAUSAGE</t>
  </si>
  <si>
    <t>GWALTNEY GW REG GREAT SMOKI</t>
  </si>
  <si>
    <t>SABRETT FAM PAK HOT SAUSAG</t>
  </si>
  <si>
    <t>HEBRW NAT PLSH SAUSAGE</t>
  </si>
  <si>
    <t>SM BEEF SMK SAUSAGE</t>
  </si>
  <si>
    <t>HILLSHIRE BEEF SMOKED SAUSAG</t>
  </si>
  <si>
    <t>SM SMK SAUSAGE</t>
  </si>
  <si>
    <t>SMITHFLD POLSKA KIELBASA</t>
  </si>
  <si>
    <t>HILLSHIRE CHEDDARWURST</t>
  </si>
  <si>
    <t>TO WILLMS BULK RED SMKD SSG</t>
  </si>
  <si>
    <t>HILLSHIRE CHIPOLTE ROPE SAU</t>
  </si>
  <si>
    <t>TO WILLMS CAPITOL HALF SMOKE</t>
  </si>
  <si>
    <t>HILLSHIRE CKTL BEEF SMOKIES</t>
  </si>
  <si>
    <t>TO WILLMS SMKD SSG HOT</t>
  </si>
  <si>
    <t>HILLSHIRE HOT BEEF LINK</t>
  </si>
  <si>
    <t>TO WILLMS VA SMOKED SAUSAGE</t>
  </si>
  <si>
    <t>HILLSHIRE HOT LINKS VP</t>
  </si>
  <si>
    <t>TO WLLMS VA SMOKED SAUSAGE</t>
  </si>
  <si>
    <t>HILLSHIRE HOT&amp;SPICY ITALIAN</t>
  </si>
  <si>
    <t>VALLYDALE O/FARM MLD SMK SSG</t>
  </si>
  <si>
    <t>HILLSHIRE ITALIAN ROPE SAUS</t>
  </si>
  <si>
    <t>VDALE O/FARM HOT SMK SSG</t>
  </si>
  <si>
    <t>HILLSHIRE LITE POLSKA ROPE</t>
  </si>
  <si>
    <t>VDALE O/FARM MLD SMK SSG</t>
  </si>
  <si>
    <t>HILLSHIRE LITE SMKD SAUSAGE</t>
  </si>
  <si>
    <t>CATEGORY :       706670 BEEF FRANKS</t>
  </si>
  <si>
    <t>HILLSHIRE MILLER BEER BRAT</t>
  </si>
  <si>
    <t>HILLSHIRE PARTY LIT'L SMOKIE</t>
  </si>
  <si>
    <t>BALL PARK ANGS BEEF FRNKS HD</t>
  </si>
  <si>
    <t>HILLSHIRE POLSKA KIELBASA LK</t>
  </si>
  <si>
    <t>BALL PARK ANGUS BNSZ BF FRNK</t>
  </si>
  <si>
    <t>HILLSHIRE TURKEY POLSKA RP</t>
  </si>
  <si>
    <t>BALL PARK ANGUS LOFT BF FRNK</t>
  </si>
  <si>
    <t>HILLSHIRE TURKEY SMOKED RP</t>
  </si>
  <si>
    <t>BALL PARK BEEF FRANKS</t>
  </si>
  <si>
    <t>HILLSHIRE VP POLISH KIELBASA</t>
  </si>
  <si>
    <t>BALL PARK CHEESE HD 8CT 12/</t>
  </si>
  <si>
    <t>HILLSHIRE VP SMKD SAUSAGE</t>
  </si>
  <si>
    <t>BALL PARK FRANKS</t>
  </si>
  <si>
    <t>HLTHY ONE SKLS SMOKD SSG CKD</t>
  </si>
  <si>
    <t>BALL PARK HEARTY BF GRLLMSTR</t>
  </si>
  <si>
    <t>JHNSVLLE CHILI CHS SMKD SSG</t>
  </si>
  <si>
    <t>BALL PARK TURKEY FRANKS</t>
  </si>
  <si>
    <t>JHNSVLLE JALP&amp;CHS SMKD SSG</t>
  </si>
  <si>
    <t>BALLPARK BEEF FRANKS</t>
  </si>
  <si>
    <t>JHNSVLLE SMKD BEEF BRATS</t>
  </si>
  <si>
    <t>BALLPARK BEEF HOT DOGS</t>
  </si>
  <si>
    <t>JHNSVLLE SMKD BRATWURST</t>
  </si>
  <si>
    <t>BALLPARK BEEF SINGLES</t>
  </si>
  <si>
    <t>JOHNSNVIL BEDDAR W/CHEDDAR</t>
  </si>
  <si>
    <t>BALLPARK DLI STYL BF GRLMST</t>
  </si>
  <si>
    <t>JONSNVILL BEDDAR W/CHEDDAR</t>
  </si>
  <si>
    <t>BALLPARK FRANKS FAT FREE</t>
  </si>
  <si>
    <t>LOUISRICH SMOKED SAUSAGE</t>
  </si>
  <si>
    <t>BALLPARK FRANKS TRKY FF SMK</t>
  </si>
  <si>
    <t>LOUISRICH TURKEY KIELBASA</t>
  </si>
  <si>
    <t>BALLPARK HYGRD BP BUN SZE M</t>
  </si>
  <si>
    <t>OLD WISC ALL BF FLOOR DISPL</t>
  </si>
  <si>
    <t>BALLPARK HYGRD BP BUN SZE B</t>
  </si>
  <si>
    <t>OLD WISC BF SMR SAUSAGE</t>
  </si>
  <si>
    <t>BALLPARK HYGRD BP F/FREE BF</t>
  </si>
  <si>
    <t>OLD WISC ORG SMR SAUSAGE</t>
  </si>
  <si>
    <t>BALLPARK LITE FRANKS</t>
  </si>
  <si>
    <t>OLD WISC PEPPERONI SLICES</t>
  </si>
  <si>
    <t>BALLPARK MEAT FRANKS</t>
  </si>
  <si>
    <t>OLD WISC STICK PEPPERONI</t>
  </si>
  <si>
    <t>BALLPARK MEAT HOT DOGS</t>
  </si>
  <si>
    <t>PARKS HOT BF SMO SAUSAGE</t>
  </si>
  <si>
    <t>BALLPARK MEAT SINGLES</t>
  </si>
  <si>
    <t>PARKS HOT SMO TKY SAUSAG</t>
  </si>
  <si>
    <t>BALLPARK SMKHSE GRL MASTER</t>
  </si>
  <si>
    <t>PARKS MLD BF SMO SAUSAGE</t>
  </si>
  <si>
    <t>BAR S BARS JMB JMB BEEF</t>
  </si>
  <si>
    <t>BAR S BEEF FRANKS</t>
  </si>
  <si>
    <t>HEBRW NAT COCKTAIL FRANKS</t>
  </si>
  <si>
    <t>BAR S FRANKS MEAT</t>
  </si>
  <si>
    <t>HEBRW NAT DINNER FRANKS</t>
  </si>
  <si>
    <t>BAR S JMBO MEAT FRANK8CT</t>
  </si>
  <si>
    <t>HEBRW NAT FRANKS IN A BLANKT</t>
  </si>
  <si>
    <t>BAR S JUMBO BEEF FRANKS</t>
  </si>
  <si>
    <t>2.75 LB</t>
  </si>
  <si>
    <t>HEBRW NAT HBN 24CT FAM PACK</t>
  </si>
  <si>
    <t>BAR S JUMBO CHKN FRANKS</t>
  </si>
  <si>
    <t>HEBRW NAT JUMBO BEEF FRANKS</t>
  </si>
  <si>
    <t>BAR S JUMBO JMB MEAT FRK</t>
  </si>
  <si>
    <t>HEBRW NAT KNOCKWURST</t>
  </si>
  <si>
    <t>BAR S JUMBO TURKEY FRANK</t>
  </si>
  <si>
    <t>HEBRW NAT R/FAT BF FRNK</t>
  </si>
  <si>
    <t>C PRIDE BEEF BUN SIZE FRNK</t>
  </si>
  <si>
    <t>HILLSHIRE BF COCKTAIL LINKS</t>
  </si>
  <si>
    <t>C PRIDE BN SZ MT JMB FRANK</t>
  </si>
  <si>
    <t>HILLSHIRE BF ROPE POLSKA</t>
  </si>
  <si>
    <t>C PRIDE COCKTAIL MT SMOKIE</t>
  </si>
  <si>
    <t>HILLSHIRE COCKTAIL POLSKAS</t>
  </si>
  <si>
    <t>C PRIDE JMB BEEF FRANKS</t>
  </si>
  <si>
    <t>HILLSHIRE COCKTAIL SMOKIES</t>
  </si>
  <si>
    <t>C PRIDE JUMBO MEAT FRANKS</t>
  </si>
  <si>
    <t>HILLSHIRE COCKTAIL WEINERS</t>
  </si>
  <si>
    <t>C PRIDE PKG HOT DOGS</t>
  </si>
  <si>
    <t>HILLSHIRE HLHR CKTL CHEDDAR</t>
  </si>
  <si>
    <t>C PRIDE RED HOT DOGS</t>
  </si>
  <si>
    <t>J MORRELL BEEF FRANKS</t>
  </si>
  <si>
    <t>ESSKAY BF FRANK</t>
  </si>
  <si>
    <t>JHNSVLLE BRAT BITES</t>
  </si>
  <si>
    <t>ESSKAY ORIOLE BF FRANKS</t>
  </si>
  <si>
    <t>JHNSVLLE LITTLE SMOKIES</t>
  </si>
  <si>
    <t>ESSKAY ORIOLE CHICKEN FRA</t>
  </si>
  <si>
    <t>KUNZLER CHICKEN FRANKS</t>
  </si>
  <si>
    <t>ESSKAY ORIOLE MEAT FRANKS</t>
  </si>
  <si>
    <t>KUNZLER MEAT FRNKS 8 CT</t>
  </si>
  <si>
    <t>ESSKAY RAVENS BEEF FRANKS</t>
  </si>
  <si>
    <t>KUNZLER TURKEY FRANKS</t>
  </si>
  <si>
    <t>ESSKAY SUPER FRANK 8CT</t>
  </si>
  <si>
    <t>LOUISRICH BUN LENGTH TRKY FR</t>
  </si>
  <si>
    <t>FULL CIRC HOT DOGS</t>
  </si>
  <si>
    <t>NATHAN'S BEEF CHEESE FRANKS</t>
  </si>
  <si>
    <t>GWALTNEY BEEF FRANKS</t>
  </si>
  <si>
    <t>NATHAN'S BTB BEEF FRANKS</t>
  </si>
  <si>
    <t>GWALTNEY CHICKEN GREAT DOGS</t>
  </si>
  <si>
    <t>NATHAN'S NAT CASING BF FRNK</t>
  </si>
  <si>
    <t>GWALTNEY GREAT BIG DOGS</t>
  </si>
  <si>
    <t>NATHAN'S SKNLS BEEF FRANKS</t>
  </si>
  <si>
    <t>GWALTNEY GW BEEF FRANKS</t>
  </si>
  <si>
    <t>NATHANS DINNER BEEF FRANKS</t>
  </si>
  <si>
    <t>GWALTNEY GW BIG 8 BF FRANK</t>
  </si>
  <si>
    <t>NATHANS SKNLS BF FRANKS F</t>
  </si>
  <si>
    <t>GWALTNEY GW BIG 8 MEAT FRAN</t>
  </si>
  <si>
    <t>OSCAR MYR 3# BEEF</t>
  </si>
  <si>
    <t>GWALTNEY GW CHICKEN GREAT D</t>
  </si>
  <si>
    <t>OSCAR MYR BEEF FRANKS</t>
  </si>
  <si>
    <t>GWALTNEY GW GREAT DOG W/CHE</t>
  </si>
  <si>
    <t>OSCAR MYR BF FRANK</t>
  </si>
  <si>
    <t>GWALTNEY GW GREAT DOGS</t>
  </si>
  <si>
    <t>OSCAR MYR BF N CHEDDAR DOG</t>
  </si>
  <si>
    <t>GWALTNEY GW HOT DOG</t>
  </si>
  <si>
    <t>OSCAR MYR BUN/LENGTH BEEF FR</t>
  </si>
  <si>
    <t>GWALTNEY GW MEAT FRANKS</t>
  </si>
  <si>
    <t>OSCAR MYR BUN/LENGTH MEAT WI</t>
  </si>
  <si>
    <t>GWALTNEY GW SUPERDOGS</t>
  </si>
  <si>
    <t>OSCAR MYR CHEESE HOT DOGS</t>
  </si>
  <si>
    <t>GWALTNEY GW TURKEY FRANKS</t>
  </si>
  <si>
    <t>OSCAR MYR CLUB PACK WEINERS</t>
  </si>
  <si>
    <t>GWALTNEY JUMBO HOT DOGS</t>
  </si>
  <si>
    <t>OSCAR MYR FAST BEEF FRANKS</t>
  </si>
  <si>
    <t>HEBREW NT 97% FF FRANKS</t>
  </si>
  <si>
    <t>OSCAR MYR FAST MEAT FRANKS</t>
  </si>
  <si>
    <t>HEBREW NT RF BEEF FRANKS</t>
  </si>
  <si>
    <t>OSCAR MYR FAT FREE HOT DOG</t>
  </si>
  <si>
    <t>HEBRW NAT 97% FF FRANKS</t>
  </si>
  <si>
    <t>OSCAR MYR JALAP CHDDR FRANK</t>
  </si>
  <si>
    <t>HEBRW NAT BEEF FRANKS</t>
  </si>
  <si>
    <t>OSCAR MYR JUMBO BEEF WIENERS</t>
  </si>
  <si>
    <t>CATEGORY :       706689 HOMEMEAL REPLACEMENT MEAT</t>
  </si>
  <si>
    <t>OSCAR MYR JUMBO MEAT FRANKS</t>
  </si>
  <si>
    <t>BALLARDS AMISH POTATO SALAD</t>
  </si>
  <si>
    <t>OSCAR MYR LIGHT BEEF WIENERS</t>
  </si>
  <si>
    <t>BALLARDS AMISH SWEET SLAW</t>
  </si>
  <si>
    <t>OSCAR MYR LIGHT MEAT WIENERS</t>
  </si>
  <si>
    <t>BALLARDS EGG SALAD</t>
  </si>
  <si>
    <t>OSCAR MYR LITTLE SMOKIES</t>
  </si>
  <si>
    <t>BALLARDS JALAPENO SPREAD</t>
  </si>
  <si>
    <t>OSCAR MYR LITTLE WIENERS</t>
  </si>
  <si>
    <t>BALLARDS TUNA SALAD</t>
  </si>
  <si>
    <t>OSCAR MYR MEAT WEINERS</t>
  </si>
  <si>
    <t>BOB EVANS BEEF STEW W VEG</t>
  </si>
  <si>
    <t>OSCAR MYR MINI BEEF HT DOGS</t>
  </si>
  <si>
    <t>BOB EVANS BF POT RST W/GRAVY</t>
  </si>
  <si>
    <t>OSCAR MYR MINI CHSE HOT DOG</t>
  </si>
  <si>
    <t>BOB EVANS BISCUIT W/GRAVY</t>
  </si>
  <si>
    <t>OSCAR MYR NATURAL BEEF FRNKS</t>
  </si>
  <si>
    <t>BOB EVANS BISCUITS SSGEGGCHZ</t>
  </si>
  <si>
    <t>OSCAR MYR XXL DELI STYL BF F</t>
  </si>
  <si>
    <t>14.40 O</t>
  </si>
  <si>
    <t>BOB EVANS BURRITOS SSGEGGCHZ</t>
  </si>
  <si>
    <t>OSCAR MYR XXL HOT/SPICY WEIN</t>
  </si>
  <si>
    <t>BOB EVANS CHDR CHS MSH POTAT</t>
  </si>
  <si>
    <t>OSCAR MYR XXL ORIG SMKD HOT</t>
  </si>
  <si>
    <t>14.60 O</t>
  </si>
  <si>
    <t>BOB EVANS CROISSANTS LRG SEC</t>
  </si>
  <si>
    <t>OSCAR MYR XXL PREM BF HOT DO</t>
  </si>
  <si>
    <t>BOB EVANS ENG MUFFIN LRG SEC</t>
  </si>
  <si>
    <t>PAULADEAN LINKS</t>
  </si>
  <si>
    <t>BOB EVANS GRLC MASHED POTATO</t>
  </si>
  <si>
    <t>PAULADEAN PATTIES</t>
  </si>
  <si>
    <t>BOB EVANS HASH BROWNS</t>
  </si>
  <si>
    <t>SABRETT ALL BF FRANKFRTR</t>
  </si>
  <si>
    <t>BOB EVANS HOME FRIES</t>
  </si>
  <si>
    <t>SABRETT KING SIZE FRANKS</t>
  </si>
  <si>
    <t>BOB EVANS HOMESTYLE STUFFING</t>
  </si>
  <si>
    <t>SABRETT S KINLESS BEEF FRANK</t>
  </si>
  <si>
    <t>BOB EVANS MACARONI &amp; CHEESE</t>
  </si>
  <si>
    <t>SHDY BRKS SMK TURKEY FRANKS</t>
  </si>
  <si>
    <t>SHOP VALU HOT DOG BEEF</t>
  </si>
  <si>
    <t>BOB EVANS MASHED POTATOES</t>
  </si>
  <si>
    <t>SHOP VALU HOT DOG MEAT</t>
  </si>
  <si>
    <t>BOB EVANS ORIG MASHED POTATO</t>
  </si>
  <si>
    <t>SUGARDALE FAM PK HOT DOGS</t>
  </si>
  <si>
    <t>BOB EVANS PORK CHOP W/GRAVY</t>
  </si>
  <si>
    <t>SUGARDALE HOT DOGS</t>
  </si>
  <si>
    <t>BOB EVANS PORK ROAST W/GRAVY</t>
  </si>
  <si>
    <t>SUGARDALE JUMBO BEEF FRANKS</t>
  </si>
  <si>
    <t>BOB EVANS SLCD GLAZED APPLES</t>
  </si>
  <si>
    <t>SUGARDALE SUPER MEAT DOG</t>
  </si>
  <si>
    <t>BOB EVANS SLW RST CHK GRAVY</t>
  </si>
  <si>
    <t>VALLEYDAL JUMBO HOT DOGS</t>
  </si>
  <si>
    <t>BOB EVANS SLW RST MEAT LOAF</t>
  </si>
  <si>
    <t>VALLEYDAL OLD FASHION FRANKS</t>
  </si>
  <si>
    <t>BOB EVANS SR CRM MSHD POTATO</t>
  </si>
  <si>
    <t>VDALE BEEF FRANKS</t>
  </si>
  <si>
    <t>BOB EVANS SWEET MASHD POTATO</t>
  </si>
  <si>
    <t>VDALE RED HOT DOGS</t>
  </si>
  <si>
    <t>BOB EVANS TEX MASHED POTATOS</t>
  </si>
  <si>
    <t>VDALE XLARGE HOT DOGS</t>
  </si>
  <si>
    <t>BOB EVANS TRKY ROAST W/GRAVY</t>
  </si>
  <si>
    <t>BOB EVANS WHITE SSG GRAVY</t>
  </si>
  <si>
    <t>BOTTO'S MTBALLS/TOM. SAUCE</t>
  </si>
  <si>
    <t>ARMOUR FUN KIT PEPP PIZZA</t>
  </si>
  <si>
    <t>BOTTO'S SWT. SAUSGE/ P &amp; O</t>
  </si>
  <si>
    <t>ARMOUR L/M FUN BOLOG/CHS</t>
  </si>
  <si>
    <t>CNTRY CRK CHEDR BROCOLI RICE</t>
  </si>
  <si>
    <t>ARMOUR L/M FUN TURKEY/CHS</t>
  </si>
  <si>
    <t>CNTRY CRK CORNBREAD STUFFING</t>
  </si>
  <si>
    <t>ARMOUR LCHMKR FUN NACHOS</t>
  </si>
  <si>
    <t>CNTRY CRK GARLIC MASHED POTA</t>
  </si>
  <si>
    <t>ARMOUR RCH MXPK HM/CH/CND</t>
  </si>
  <si>
    <t>CNTRY CRK HMSTYLE MASHD POTA</t>
  </si>
  <si>
    <t>BALLARD PIMENTO CHEESE</t>
  </si>
  <si>
    <t>CNTRY CRK HOMESTYLE STUFFING</t>
  </si>
  <si>
    <t>BALLARDS AMISH MACARONI SLD</t>
  </si>
  <si>
    <t>CNTRY CRK LE CINNAMON APPLES</t>
  </si>
  <si>
    <t>CNTRY CRK LOADED MSH POTATOS</t>
  </si>
  <si>
    <t>OSCAR MYR DC HAM &amp; PROV FOC</t>
  </si>
  <si>
    <t>CNTRY CRK MACARONI &amp; CHEESE</t>
  </si>
  <si>
    <t>OSCAR MYR DC O/R HAM CHD SUB</t>
  </si>
  <si>
    <t>CNTRY CRK MASH SWEET POTATO</t>
  </si>
  <si>
    <t>OSCAR MYR DC PARM BASIL TRKY</t>
  </si>
  <si>
    <t>CURLYS BBQ BEANS SWT/ZTY</t>
  </si>
  <si>
    <t>OSCAR MYR DC STK BF &amp; PEP JK</t>
  </si>
  <si>
    <t>CURLYS BBQ BEANS W/BEEF</t>
  </si>
  <si>
    <t>OSCAR MYR DC STK CHED SUB</t>
  </si>
  <si>
    <t>DINING IN FC BABY BACK RIBS</t>
  </si>
  <si>
    <t>OSCAR MYR DC TRK CHD DJN SUB</t>
  </si>
  <si>
    <t>ECKRICH BOLOGN CRKR CRNCH</t>
  </si>
  <si>
    <t>OSCAR MYR DC TRK MONT SUB</t>
  </si>
  <si>
    <t>ECKRICH CHICKEN NUGGETS</t>
  </si>
  <si>
    <t>OSCAR MYR DC TUS STYLE CHIX</t>
  </si>
  <si>
    <t>ECKRICH HAM/CRACKER CRUNCH</t>
  </si>
  <si>
    <t>13.1 OZ</t>
  </si>
  <si>
    <t>OSCAR MYR FUNPK BF TACO WRAP</t>
  </si>
  <si>
    <t>ECKRICH PEPPERONI PIZZA</t>
  </si>
  <si>
    <t>OSCAR MYR FUNPK MINI BURGERS</t>
  </si>
  <si>
    <t>ECKRICH TURKEY/CRACKER CRN</t>
  </si>
  <si>
    <t>11.56 O</t>
  </si>
  <si>
    <t>OSCAR MYR FUNPK MINI HOTDOGS</t>
  </si>
  <si>
    <t>ESSKAY SAUSAGE &amp; GRAVY</t>
  </si>
  <si>
    <t>OSCAR MYR HAM CHED W/VAN LNC</t>
  </si>
  <si>
    <t>GUNNOE COLE SLAW</t>
  </si>
  <si>
    <t>OSCAR MYR LC HAM/CHD/SPR WTR</t>
  </si>
  <si>
    <t>GUNNOE MACARONI SALAD</t>
  </si>
  <si>
    <t>OSCAR MYR LC JR RITZ BITS</t>
  </si>
  <si>
    <t>GUNNOE POTATO SALAD</t>
  </si>
  <si>
    <t>OSCAR MYR LC MAXED OUT NACHO</t>
  </si>
  <si>
    <t>GWALTNEY CAROLINA PORK BBQ</t>
  </si>
  <si>
    <t>OSCAR MYR LC MXD OT CHIX STP</t>
  </si>
  <si>
    <t>GWALTNEY HICKORY SMOKD PORK</t>
  </si>
  <si>
    <t>OSCAR MYR LC MXD OUT CHS PZA</t>
  </si>
  <si>
    <t>GWALTNEY MEMPHIS STYL BBQ</t>
  </si>
  <si>
    <t>OSCAR MYR LC MXD OUT PEP PZA</t>
  </si>
  <si>
    <t>2.6 LB</t>
  </si>
  <si>
    <t>HATFIELD PORK LOIN RST &amp;VEG</t>
  </si>
  <si>
    <t>OSCAR MYR LC TKY/CHD/SPR WTR</t>
  </si>
  <si>
    <t>HORMEL MEATLOAF N GRAVY</t>
  </si>
  <si>
    <t>12.55 O</t>
  </si>
  <si>
    <t>OSCAR MYR LF HM/CHD/PD LNCH1</t>
  </si>
  <si>
    <t>33.4 OZ</t>
  </si>
  <si>
    <t>LLOYDS BABYBACK RIBS</t>
  </si>
  <si>
    <t>4.15 OZ</t>
  </si>
  <si>
    <t>OSCAR MYR LNCHBL BOLO CHOC/C</t>
  </si>
  <si>
    <t>LLOYDS BBQ CKTAIL SMOKIES</t>
  </si>
  <si>
    <t>OSCAR MYR LNCHBL CHX WRAP</t>
  </si>
  <si>
    <t>LLOYDS BBQ MEATBALLS</t>
  </si>
  <si>
    <t>OSCAR MYR LNCHBL CKN DUNK FN</t>
  </si>
  <si>
    <t>2.34 LB</t>
  </si>
  <si>
    <t>LLOYDS HNY HKY BBQ BK RIB</t>
  </si>
  <si>
    <t>11.55 O</t>
  </si>
  <si>
    <t>OSCAR MYR LNCHBL FP PEP PIZA</t>
  </si>
  <si>
    <t>MAMA ROSA 4PK MINI CHS PIZZA</t>
  </si>
  <si>
    <t>OSCAR MYR LNCHBL TKY/FUDGE C</t>
  </si>
  <si>
    <t>MAMA ROSA 7 IN PEPRONI  PIZZ</t>
  </si>
  <si>
    <t>OSCAR MYR LNCHBLE BOLOGNA &amp;</t>
  </si>
  <si>
    <t>MAMA ROSA 7IN COMBO S/P PIZZ</t>
  </si>
  <si>
    <t>OSCAR MYR LNCHBLE CHS &amp; SALS</t>
  </si>
  <si>
    <t>MAMA ROSA 7IN SNGL CHEESE PZ</t>
  </si>
  <si>
    <t>OSCAR MYR LNCHBLE FNPK CHS&amp;S</t>
  </si>
  <si>
    <t>MAMA ROSA 8 PACK PEPP PIZZA</t>
  </si>
  <si>
    <t>OSCAR MYR LNCHBLE HAM&amp;AMERIC</t>
  </si>
  <si>
    <t>46.6 OZ</t>
  </si>
  <si>
    <t>MAMA ROSA DELUXE PZA 14IN 2PK</t>
  </si>
  <si>
    <t>OSCAR MYR LNCHBLE HAM/CHEDDA</t>
  </si>
  <si>
    <t>MAMA ROSA MINI PEPP PIZZA</t>
  </si>
  <si>
    <t>OSCAR MYR LNCHBLE TRKY/REESE</t>
  </si>
  <si>
    <t>26.6 OZ</t>
  </si>
  <si>
    <t>MAMA ROSA PEPPRN PZA 10IN 2PK</t>
  </si>
  <si>
    <t>OSCAR MYR LUNCH W/DESRT HM/S</t>
  </si>
  <si>
    <t>MAMA ROSA PEPPRN PZA 14IN 2PK</t>
  </si>
  <si>
    <t>OSCAR MYR LUNCHABLE W/SKITTL</t>
  </si>
  <si>
    <t>11.45 O</t>
  </si>
  <si>
    <t>OSCAR MYR BBQ CHKN SHAKE UPS</t>
  </si>
  <si>
    <t>OSCAR MYR LUNCHABLES REG HAM</t>
  </si>
  <si>
    <t>OSCAR MYR BSL PARM CKN FLTBR</t>
  </si>
  <si>
    <t>OSCAR MYR LUNCHABLES REG TRK</t>
  </si>
  <si>
    <t>OSCAR MYR CHS PIZZA LUNCHABL</t>
  </si>
  <si>
    <t>OSCAR MYR PEPP PIZZA LUNCHBL</t>
  </si>
  <si>
    <t>12.05 O</t>
  </si>
  <si>
    <t>OSCAR MYR PIZZA SWIRLS LUNCH</t>
  </si>
  <si>
    <t>5.15 OZ</t>
  </si>
  <si>
    <t>OSCAR MYR DC FIEST CKN FLTBR</t>
  </si>
  <si>
    <t>11.95 O</t>
  </si>
  <si>
    <t>OSCAR MYR TKY/CHED/JELLO LUN</t>
  </si>
  <si>
    <t>OSCAR MYR DC H HAM/SWISS SUB</t>
  </si>
  <si>
    <t>PAULADEEN CHEDDAR MAC&amp;CHEESE</t>
  </si>
  <si>
    <t>CATEGORY :       706699 MISCELLANEOUS BRANDS</t>
  </si>
  <si>
    <t>PAULADEEN RED SKIN MASH POT</t>
  </si>
  <si>
    <t>BOB EVANS JULIENNE SL HAM</t>
  </si>
  <si>
    <t>PAULADEEN SOUT STYL CRM CORN</t>
  </si>
  <si>
    <t>BOB EVANS SL CANADIAN BACON</t>
  </si>
  <si>
    <t>SMFLD BBQ DGH PRK BBQ</t>
  </si>
  <si>
    <t>BTR BALL L TRKY VARIETY PAK</t>
  </si>
  <si>
    <t>SMFLD BBQ VA CHOICE CHICKEN</t>
  </si>
  <si>
    <t>BTR BALL O/R TURKEY</t>
  </si>
  <si>
    <t>SMFLD BBQ VA CHOICE RED SAUC</t>
  </si>
  <si>
    <t>BTR BALL SMOKED TURKEY</t>
  </si>
  <si>
    <t>SMFLD BBQ VIRGINIA CHOICE PO</t>
  </si>
  <si>
    <t>BTR BALL TURKEY BOLOGNA</t>
  </si>
  <si>
    <t>SMITY PIG COOKED PRK BBQ</t>
  </si>
  <si>
    <t>BUDDIG BRN SGR HAM DELI</t>
  </si>
  <si>
    <t>SMPLY SIM GENERAL TSO CHIX</t>
  </si>
  <si>
    <t>BUDDIG HNY HAM DELI CUTS</t>
  </si>
  <si>
    <t>SOUTH BCH GRILL CHICK CAESAR</t>
  </si>
  <si>
    <t>BUDDIG HNY RSTD TRKY DELI</t>
  </si>
  <si>
    <t>7.85 OZ</t>
  </si>
  <si>
    <t>SOUTH BCH STHWST STYL CHICK</t>
  </si>
  <si>
    <t>BUDDIG OVN RSTD TRKY DLI</t>
  </si>
  <si>
    <t>7.05 OZ</t>
  </si>
  <si>
    <t>SOUTH BCH TURKEY BACON CLUB</t>
  </si>
  <si>
    <t>BUDDIG ROTIS CHKN DLI CUT</t>
  </si>
  <si>
    <t>TONY'S 5IN CHEESE PIZZA</t>
  </si>
  <si>
    <t>BUDDIG SLCD HNY RST TURKY</t>
  </si>
  <si>
    <t>TONY'S 5IN SUPREME PIZZA</t>
  </si>
  <si>
    <t>BUDDIG SLICED BEEF</t>
  </si>
  <si>
    <t>TONY'S DD IW PEPP PIZ 5IN</t>
  </si>
  <si>
    <t>BUDDIG SLICED CHICKEN</t>
  </si>
  <si>
    <t>TYSON MPL &amp; BR SUGAR HAM</t>
  </si>
  <si>
    <t>BUDDIG SLICED CORN BEEF</t>
  </si>
  <si>
    <t>TYSON PORK ROAST W/GRAVY</t>
  </si>
  <si>
    <t>BUDDIG SLICED HAM</t>
  </si>
  <si>
    <t>TYSON RST BF W/BRWN GRVY</t>
  </si>
  <si>
    <t>BUDDIG SLICED HONEY HAM</t>
  </si>
  <si>
    <t>TYSON SEASON BF MEATLOAF</t>
  </si>
  <si>
    <t>BUDDIG SLICED O/R TURKEY</t>
  </si>
  <si>
    <t>CATEGORY :       706698 PEPPERONI</t>
  </si>
  <si>
    <t>BUDDIG SLICED PASTRAMI</t>
  </si>
  <si>
    <t>BUDDIG SLICED TURKEY</t>
  </si>
  <si>
    <t>KNAUS KNAUSS CREAMED CHP</t>
  </si>
  <si>
    <t>BUDDIG SMKD HAM DELI CUT</t>
  </si>
  <si>
    <t>KNAUS KNAUSS GENUINE DRI</t>
  </si>
  <si>
    <t>BUDDIG SMKD TRKY DELI CUT</t>
  </si>
  <si>
    <t>OLD WISC ORIGINAL JERKY</t>
  </si>
  <si>
    <t>BUTTERBAL CJN FRIED TRKY BRS</t>
  </si>
  <si>
    <t>OLD WISC PEPPERONI JERKY</t>
  </si>
  <si>
    <t>BUTTERBAL CJN FRY TURKY BRS</t>
  </si>
  <si>
    <t>OLD WISC TERIYAKI JERKY</t>
  </si>
  <si>
    <t>BUTTERBAL DP FRY TRKY BRST</t>
  </si>
  <si>
    <t>OLD WISC TURKEY BITES CLPST</t>
  </si>
  <si>
    <t>BUTTERBAL DP FRY TRKY BRTUB</t>
  </si>
  <si>
    <t>BUTTERBAL GRLLD CHKN BRST ST</t>
  </si>
  <si>
    <t>BUTTERBAL HERB TRKY BRST TB</t>
  </si>
  <si>
    <t>BALLARDS CHICKEN SALAD</t>
  </si>
  <si>
    <t>BUTTERBAL HERB TURKEY BRST</t>
  </si>
  <si>
    <t>BALLARDS HAM SALAD</t>
  </si>
  <si>
    <t>BUTTERBAL O/R CHKN BRST STRP</t>
  </si>
  <si>
    <t>BAR S BOLOGNA SLCD BEEF</t>
  </si>
  <si>
    <t>BUTTERBAL O/R TKY BRST STRPS</t>
  </si>
  <si>
    <t>BAR S COTTO SALAMI</t>
  </si>
  <si>
    <t>BUTTERBAL THAGVG TURKEY BR</t>
  </si>
  <si>
    <t>BAR S SLICED BOLOGNA</t>
  </si>
  <si>
    <t>BUTTERBAL THAGVG TURKEY TB</t>
  </si>
  <si>
    <t>BAR S SPICED LUNCH MEAT</t>
  </si>
  <si>
    <t>BUTTERBLL ROTISSERIE TURKEY</t>
  </si>
  <si>
    <t>BAR-S SMK WHT TURKEY</t>
  </si>
  <si>
    <t>BUTTERBLL RST TURKEY BRST</t>
  </si>
  <si>
    <t>BEST BUY HAM</t>
  </si>
  <si>
    <t>BUTTERBLL SMOKED TURKEY</t>
  </si>
  <si>
    <t>BEST BUY TURKEY BREAST</t>
  </si>
  <si>
    <t>BUTTERBLL SMOKED TURKEY BRST</t>
  </si>
  <si>
    <t>BOB EVANS CUBED HAM</t>
  </si>
  <si>
    <t>C PRIDE BEEF BOLOGNA PP99</t>
  </si>
  <si>
    <t>BOB EVANS DICED HAM</t>
  </si>
  <si>
    <t>C PRIDE BOLOGNA PP99</t>
  </si>
  <si>
    <t>C PRIDE CHOPPED HAM PP99</t>
  </si>
  <si>
    <t>HEBRW NAT BEEF BOLOGNA</t>
  </si>
  <si>
    <t>C PRIDE COOKED HAM 4X6</t>
  </si>
  <si>
    <t>HEBRW NAT BEEF SALAMI</t>
  </si>
  <si>
    <t>C PRIDE COOKED HAM PP99</t>
  </si>
  <si>
    <t>HEBRW NAT R/FAT SALAMI</t>
  </si>
  <si>
    <t>C PRIDE CUBED TKRY BREAST</t>
  </si>
  <si>
    <t>HEBRW NAT SALAMI KOSHER</t>
  </si>
  <si>
    <t>C PRIDE HNY SMK TKY PP</t>
  </si>
  <si>
    <t>HILLSHIRE BRAUNSCHWEIGER</t>
  </si>
  <si>
    <t>C PRIDE HONEY HAM</t>
  </si>
  <si>
    <t>HILLSHIRE DELI HAM/TKY VAR P</t>
  </si>
  <si>
    <t>C PRIDE HONEY HAM 4X6</t>
  </si>
  <si>
    <t>HILLSHIRE DELI PASTRAMI</t>
  </si>
  <si>
    <t>C PRIDE LUNCH LOAF PP99</t>
  </si>
  <si>
    <t>HILLSHIRE DELI SEL BAKED HAM</t>
  </si>
  <si>
    <t>C PRIDE O/R TURKEY 4X6</t>
  </si>
  <si>
    <t>HILLSHIRE DELI SEL HONEY HAM</t>
  </si>
  <si>
    <t>C PRIDE OR TRKY BREAST</t>
  </si>
  <si>
    <t>C PRIDE PICKLE LOAF PP99</t>
  </si>
  <si>
    <t>HILLSHIRE DELI SEL SMOKD HAM</t>
  </si>
  <si>
    <t>C PRIDE PICNIC HAM PP99</t>
  </si>
  <si>
    <t>C PRIDE PKG MEAT BOLOGNA</t>
  </si>
  <si>
    <t>HILLSHIRE DELSL HNYRS TKYBRS</t>
  </si>
  <si>
    <t>C PRIDE PKG THICK BOLOGNA</t>
  </si>
  <si>
    <t>HILLSHIRE DELSL O/R TRKY BRS</t>
  </si>
  <si>
    <t>C PRIDE SALAMI PP99</t>
  </si>
  <si>
    <t>HILLSHIRE DELSL OR CHKN BRST</t>
  </si>
  <si>
    <t>C PRIDE SOUSE PP99</t>
  </si>
  <si>
    <t>HILLSHIRE DELSL SMK CKN BRST</t>
  </si>
  <si>
    <t>CARLNA PR PP BRN SG HAM</t>
  </si>
  <si>
    <t>HILLSHIRE DS BRN SGR BKD HAM</t>
  </si>
  <si>
    <t>CAROLINA PP OLIVE LOAF</t>
  </si>
  <si>
    <t>ESSKAY MEAT BOLOGNA</t>
  </si>
  <si>
    <t>HILLSHIRE DS OVNRS TRKY BRST</t>
  </si>
  <si>
    <t>FREIRICH CAB CORN BEEF FLAT</t>
  </si>
  <si>
    <t>HILLSHIRE DS SMKD TURKY BRST</t>
  </si>
  <si>
    <t>FULL CIRC CHIC LINKS</t>
  </si>
  <si>
    <t>HILLSHIRE DS ULT THN RST BF</t>
  </si>
  <si>
    <t>GWALTNEY BOLOGNA GREAT</t>
  </si>
  <si>
    <t>HILLSHIRE DS ULTHN MESQ TRKY</t>
  </si>
  <si>
    <t>GWALTNEY CHICKEN BOLOGNA</t>
  </si>
  <si>
    <t>HILLSHIRE DS ULTHN ROTIS CKN</t>
  </si>
  <si>
    <t>GWALTNEY GW BF BOLOGNA</t>
  </si>
  <si>
    <t>HILLSHIRE HEARTY H/R TURKEY</t>
  </si>
  <si>
    <t>GWALTNEY GW BIG 8 BF BOLOGN</t>
  </si>
  <si>
    <t>HILLSHIRE HEARTY HONEY HAM</t>
  </si>
  <si>
    <t>GWALTNEY GW BIG 8 MEAT BOLO</t>
  </si>
  <si>
    <t>HILLSHIRE HEARTY O/R CHICKEN</t>
  </si>
  <si>
    <t>GWALTNEY GW COOKED HAM PP</t>
  </si>
  <si>
    <t>HILLSHIRE HEARTY O/R TURKEY</t>
  </si>
  <si>
    <t>GWALTNEY GW P&amp;P LOAF</t>
  </si>
  <si>
    <t>HILLSHIRE HEARTY SMK TURKEY</t>
  </si>
  <si>
    <t>GWALTNEY GW SALAMI</t>
  </si>
  <si>
    <t>HILLSHIRE HEARTY VIRGINA HAM</t>
  </si>
  <si>
    <t>GWALTNEY GW SMOKED HAM PP</t>
  </si>
  <si>
    <t>HILLSHIRE PASTRAMI ULTRATHIN</t>
  </si>
  <si>
    <t>GWALTNEY GW SOUSE LOAF</t>
  </si>
  <si>
    <t>HILLSHIRE ULTHN HICKORY CKN</t>
  </si>
  <si>
    <t>GWALTNEY GW SPICED LUNCHEON</t>
  </si>
  <si>
    <t>HILLSHIRE ULTHN PEPPER TURKY</t>
  </si>
  <si>
    <t>HILLSHIRE ULTRATHN O/R TURKY</t>
  </si>
  <si>
    <t>GWALTNEY GW THICK GREAT BOL</t>
  </si>
  <si>
    <t>HILLSHIRE UT HARD SALAMI</t>
  </si>
  <si>
    <t>GWALTNEY GW TRKY HAM</t>
  </si>
  <si>
    <t>HILLSHIRE UT HNY HAM TUB</t>
  </si>
  <si>
    <t>GWALTNEY MEAT BOLOGNA</t>
  </si>
  <si>
    <t>HLTHY ONE ONE BAKED HAM TUB</t>
  </si>
  <si>
    <t>HLTHY ONE ONE HAM&amp;TRKY VARPK</t>
  </si>
  <si>
    <t>GWALTNEY TURKEY BOLOGNA</t>
  </si>
  <si>
    <t>HLTHY ONE ONE HONY HAM COOKD</t>
  </si>
  <si>
    <t>HATFIELD PORK ROLL SLCD</t>
  </si>
  <si>
    <t>HLTHY ONE ONE RSTRKYBRST CKD</t>
  </si>
  <si>
    <t>HORMEL NAT CHC COOKED HAM</t>
  </si>
  <si>
    <t>OLD WISC PEPPERONI SNACK</t>
  </si>
  <si>
    <t>HORMEL NAT CHC HONEY HAM</t>
  </si>
  <si>
    <t>OLD WISC SNACK BEEF SLICES</t>
  </si>
  <si>
    <t>HORMEL NAT CHC HONEY TRKY</t>
  </si>
  <si>
    <t>OM DELI SHVD SMKD HAM</t>
  </si>
  <si>
    <t>HORMEL NAT CHC O-R TURKEY</t>
  </si>
  <si>
    <t>OSCAR MYR AMERICN VARIETY PA</t>
  </si>
  <si>
    <t>HORMEL NAT CHC SMOKD TRKY</t>
  </si>
  <si>
    <t>OSCAR MYR BAKED HAM</t>
  </si>
  <si>
    <t>HORMEL NAT CHC SMOKED HAM</t>
  </si>
  <si>
    <t>OSCAR MYR BEEF BOLO</t>
  </si>
  <si>
    <t>HORMEL PEPPERONI HOT/SPCY</t>
  </si>
  <si>
    <t>OSCAR MYR BEEF BOLOGNA</t>
  </si>
  <si>
    <t>HORMEL PEPPERONI TWIN PK</t>
  </si>
  <si>
    <t>HORMEL SLCD PEPPERONI</t>
  </si>
  <si>
    <t>HORMEL SLICED PEPPERONI</t>
  </si>
  <si>
    <t>OSCAR MYR BEEF SALAMI</t>
  </si>
  <si>
    <t>HORMEL TURKEY PEPPERONI</t>
  </si>
  <si>
    <t>OSCAR MYR BRAUNSCHWEIGR CHUB</t>
  </si>
  <si>
    <t>J MORRELL CHICKEN STRIPS</t>
  </si>
  <si>
    <t>OSCAR MYR CHICKEN BRST WALET</t>
  </si>
  <si>
    <t>J MORRELL JULIENNE TURKEY ST</t>
  </si>
  <si>
    <t>OSCAR MYR CHOPPED HAM</t>
  </si>
  <si>
    <t>J MORRELL OFF-BN SMK HAM TUB</t>
  </si>
  <si>
    <t>OSCAR MYR CHOPPED HAM FAM PK</t>
  </si>
  <si>
    <t>J MORRELL OTB HNY SMK HAM TB</t>
  </si>
  <si>
    <t>OSCAR MYR COTTO SALAMI</t>
  </si>
  <si>
    <t>J MORRELL OTB OVN RST TKY TB</t>
  </si>
  <si>
    <t>JAMESTOWN CNTRY HAM PK5</t>
  </si>
  <si>
    <t>OSCAR MYR DELI BRWN SUGR HAM</t>
  </si>
  <si>
    <t>JONES CHUNK LIVER</t>
  </si>
  <si>
    <t>OSCAR MYR DELI HONEY TURKEY</t>
  </si>
  <si>
    <t>JONES LIGHT LIVER CHUB</t>
  </si>
  <si>
    <t>OSCAR MYR DELI MESQT TURKEY</t>
  </si>
  <si>
    <t>JONES SAUS LIVER CHNK LT</t>
  </si>
  <si>
    <t>OSCAR MYR DELI MESQUITE TRKY</t>
  </si>
  <si>
    <t>JONES SAUSAGE LIVER/SLIC</t>
  </si>
  <si>
    <t>OSCAR MYR DELI O/R TRKY BRST</t>
  </si>
  <si>
    <t>LANDOFRST DELI SHAVD CHICKEN</t>
  </si>
  <si>
    <t>OSCAR MYR DELI SHAVD HNY HAM</t>
  </si>
  <si>
    <t>LANDOFRST DELI SHVD SMKD TRK</t>
  </si>
  <si>
    <t>OSCAR MYR DELI SHV B FST HAM</t>
  </si>
  <si>
    <t>LANDOFRST DELI SMKD HAM</t>
  </si>
  <si>
    <t>OSCAR MYR DELI SHV BF SALAMI</t>
  </si>
  <si>
    <t>LANDOFRST HAM PREMIUM HONEY</t>
  </si>
  <si>
    <t>OSCAR MYR DELI SHV BLPEP TRK</t>
  </si>
  <si>
    <t>LANDOFRST O/R TRKY&amp;HAM SUB</t>
  </si>
  <si>
    <t>OSCAR MYR DELI SHV CAJN CHKN</t>
  </si>
  <si>
    <t>LANDOFRST SHAVED HNY TURKEY</t>
  </si>
  <si>
    <t>OSCAR MYR DELI SHV FRDP RSTB</t>
  </si>
  <si>
    <t>LANDOFRST TURKEY DELI SMK HN</t>
  </si>
  <si>
    <t>OSCAR MYR DELI SHV ROTIS CHK</t>
  </si>
  <si>
    <t>LEBANON SELTZ LEBANON BOLO</t>
  </si>
  <si>
    <t>OSCAR MYR DELI SHVD HNY TRKY</t>
  </si>
  <si>
    <t>LOF CHKN BREAST</t>
  </si>
  <si>
    <t>OSCAR MYR DELI SHVD O/R TRKY</t>
  </si>
  <si>
    <t>LOF SMOKED HAM</t>
  </si>
  <si>
    <t>OSCAR MYR DELI SHVD ROAST BF</t>
  </si>
  <si>
    <t>LOF TRKY BREAST</t>
  </si>
  <si>
    <t>OSCAR MYR DELI SHVD SMKD HAM</t>
  </si>
  <si>
    <t>LOF TURKEY PREM SMOKED</t>
  </si>
  <si>
    <t>OSCAR MYR DELI SMOKED HAM</t>
  </si>
  <si>
    <t>LOUISRICH BRST VARIETY PACK</t>
  </si>
  <si>
    <t>OSCAR MYR DELI SMOKED TURKEY</t>
  </si>
  <si>
    <t>LOUISRICH THIN SLC VARIETY P</t>
  </si>
  <si>
    <t>OSCAR MYR DLI SHV O/R TURKEY</t>
  </si>
  <si>
    <t>LOUISRICH TRKY BOLOGNA</t>
  </si>
  <si>
    <t>OSCAR MYR DLI SHVD BR SGR HM</t>
  </si>
  <si>
    <t>OSCAR MYR DLI SHVD SMKD TRKY</t>
  </si>
  <si>
    <t>LOUISRICH VARIETY PACK</t>
  </si>
  <si>
    <t>OSCAR MYR DS VIRGINIA HAM</t>
  </si>
  <si>
    <t>OLD WISC BEEF PARTY BITES</t>
  </si>
  <si>
    <t>OSCAR MYR FAT FREE BOLOGNA</t>
  </si>
  <si>
    <t>OSCAR MYR THK CRV VIRGIN HAM</t>
  </si>
  <si>
    <t>OSCAR MYR GRLD CKN BRST STRP</t>
  </si>
  <si>
    <t>OSCAR MYR THK CVR ROT CHICKN</t>
  </si>
  <si>
    <t>OSCAR MYR HAM &amp; CHEESE</t>
  </si>
  <si>
    <t>OSCAR MYR VARIETY PACK COMBO</t>
  </si>
  <si>
    <t>OSCAR MYR HAM, SMOKED/COOKED</t>
  </si>
  <si>
    <t>PARKS BEEF SCRAPPLE</t>
  </si>
  <si>
    <t>OSCAR MYR HAM/TURKEY VARIETY</t>
  </si>
  <si>
    <t>PARKS ORIGINAL SCRAPPLE</t>
  </si>
  <si>
    <t>OSCAR MYR HARD SALAMI</t>
  </si>
  <si>
    <t>PLUMROSE BAKED HAM</t>
  </si>
  <si>
    <t>OSCAR MYR HNY RST CKN CUTS</t>
  </si>
  <si>
    <t>PLUMROSE BLACK FOREST HAM</t>
  </si>
  <si>
    <t>OSCAR MYR HNY SMKD WH TURKEY</t>
  </si>
  <si>
    <t>PLUMROSE BLCK FOREST TURKEY</t>
  </si>
  <si>
    <t>OSCAR MYR HONEY CHOPPED HAM</t>
  </si>
  <si>
    <t>PLUMROSE DAK SLICED HAM</t>
  </si>
  <si>
    <t>OSCAR MYR HONEY HAM</t>
  </si>
  <si>
    <t>PLUMROSE HAM</t>
  </si>
  <si>
    <t>OSCAR MYR HONEY HAM WALLET</t>
  </si>
  <si>
    <t>PLUMROSE HONEY HAM</t>
  </si>
  <si>
    <t>OSCAR MYR ITLN CKN BRST STRP</t>
  </si>
  <si>
    <t>OSCAR MYR LEAN HONEY HAM</t>
  </si>
  <si>
    <t>PLUMROSE OVEN ROAST TURKEY</t>
  </si>
  <si>
    <t>OSCAR MYR LIGHT BEEF BOLOGNA</t>
  </si>
  <si>
    <t>PLUMROSE PREMIUM HAM</t>
  </si>
  <si>
    <t>PLUMROSE SLC AMERICAN HAM</t>
  </si>
  <si>
    <t>OSCAR MYR LIGHT MEAT BOLOGNA</t>
  </si>
  <si>
    <t>PLUMROSE SLC DANISH HAM</t>
  </si>
  <si>
    <t>PLUMROSE SLICED HAM</t>
  </si>
  <si>
    <t>PLUMROSE TURKEY BREAST</t>
  </si>
  <si>
    <t>OSCAR MYR MEAT BOLOGNA</t>
  </si>
  <si>
    <t>ROSE 1/4 INCH HAM CUBES</t>
  </si>
  <si>
    <t>OSCAR MYR NAT TURKEY OVN RST</t>
  </si>
  <si>
    <t>ROSE JULIENNE SLICED HA</t>
  </si>
  <si>
    <t>OSCAR MYR NATURAL HAM SMOKED</t>
  </si>
  <si>
    <t>SHDY BRKS OR TKY BREAST TUB</t>
  </si>
  <si>
    <t>OSCAR MYR O/R CHKN BRST CUTS</t>
  </si>
  <si>
    <t>SHDY BRKS SMK HNY TKY BR TUB</t>
  </si>
  <si>
    <t>OSCAR MYR O/R WHITE TURKEY</t>
  </si>
  <si>
    <t>SHDY BRKS SMK TKY BRST TUB</t>
  </si>
  <si>
    <t>OSCAR MYR OV RST TURKEY BRST</t>
  </si>
  <si>
    <t>SHDY BRKS TURKEY HAM CHUB</t>
  </si>
  <si>
    <t>OSCAR MYR RED RIND MT BOLOGN</t>
  </si>
  <si>
    <t>SHDY BRKS TURKY PASTRAMI TUB</t>
  </si>
  <si>
    <t>OSCAR MYR SLCD LIVER&amp;CHEESE</t>
  </si>
  <si>
    <t>SHOP VALU BOLOGNA BEEF</t>
  </si>
  <si>
    <t>OSCAR MYR SLICED BOLOGNA</t>
  </si>
  <si>
    <t>SHOP VALU BOLOGNA MEAT</t>
  </si>
  <si>
    <t>OSCAR MYR SMKD WHITE TURKEY</t>
  </si>
  <si>
    <t>SHOP VALU COTTO SALAMI</t>
  </si>
  <si>
    <t>OSCAR MYR SMOKED COOKED HAM</t>
  </si>
  <si>
    <t>SHOP VALU HAM 4X6</t>
  </si>
  <si>
    <t>OSCAR MYR SMOKED HAM</t>
  </si>
  <si>
    <t>SHOP VALU HAM FAM SZ 4X6</t>
  </si>
  <si>
    <t>OSCAR MYR SMOKED HAM WALLET</t>
  </si>
  <si>
    <t>SHOP VALU TURKEY OR WHT 4X6</t>
  </si>
  <si>
    <t>OSCAR MYR SMOKED TURKEY BRST</t>
  </si>
  <si>
    <t>SHOPVALUE BOLOGNA THICK SLCD</t>
  </si>
  <si>
    <t>OSCAR MYR STH BCH VARIETY PK</t>
  </si>
  <si>
    <t>SHP D PR SL CTRY PEPP</t>
  </si>
  <si>
    <t>OSCAR MYR SW CHICKEN STRIPS</t>
  </si>
  <si>
    <t>SHP GW WMSBRG COUNTRY</t>
  </si>
  <si>
    <t>OSCAR MYR THICK SLCD BOLOGNA</t>
  </si>
  <si>
    <t>SHP PRUDEN PCITY CO HA</t>
  </si>
  <si>
    <t>OSCAR MYR THIN SLC BF BOLGNA</t>
  </si>
  <si>
    <t>SM COOKED HAM</t>
  </si>
  <si>
    <t>OSCAR MYR THIN SLICD BOLOGNA</t>
  </si>
  <si>
    <t>SM HONEY HAM</t>
  </si>
  <si>
    <t>OSCAR MYR THK CRV O/R TURKY</t>
  </si>
  <si>
    <t>SM O/R TURKEY BREAST</t>
  </si>
  <si>
    <t xml:space="preserve">CATEGORY :       707712 WHL ROASTERS/CORNISH </t>
  </si>
  <si>
    <t>SM PREM BRN SUG HAM</t>
  </si>
  <si>
    <t>1.75 LB</t>
  </si>
  <si>
    <t>NEBRASKA SM TKY DRUM</t>
  </si>
  <si>
    <t>SM PREM COOKED HAM</t>
  </si>
  <si>
    <t>NEBRASKA SM TKY NECKS</t>
  </si>
  <si>
    <t>SM PREM HONEY HAM</t>
  </si>
  <si>
    <t>NEBRASKA SM TKY WINGS</t>
  </si>
  <si>
    <t>SM PREM TURKEY HAM</t>
  </si>
  <si>
    <t>NEBRASKA SMO TURK TAIL</t>
  </si>
  <si>
    <t>SMFIELD HOLIDAY SEASON HAM</t>
  </si>
  <si>
    <t>PERDUE 2'S FRSH CORNISH P</t>
  </si>
  <si>
    <t>SMFIELD ROTISS. CKN BREAST</t>
  </si>
  <si>
    <t>PERDUE CORNSH HEN 11PK</t>
  </si>
  <si>
    <t>SMITHFLD BLK FOREST HAM</t>
  </si>
  <si>
    <t>PERDUE F2 WHOLE ROASTER</t>
  </si>
  <si>
    <t>SMITHFLD DELI THIN HNY HAM</t>
  </si>
  <si>
    <t>PERDUE OVEN RSTR PK9</t>
  </si>
  <si>
    <t>SMITHFLD DELI THIN VA HAM</t>
  </si>
  <si>
    <t>TYSON CORNISH HEN</t>
  </si>
  <si>
    <t>SMITHFLD DELI THINK HAM TUB</t>
  </si>
  <si>
    <t>USDA GRADE A GEESE PK4</t>
  </si>
  <si>
    <t>SMITHFLD DLI THN MPLHNY TKY</t>
  </si>
  <si>
    <t>CATEGORY :       707722 FRESH TURKEY PARTS</t>
  </si>
  <si>
    <t>SMITHFLD THN MESQ SMK TKY</t>
  </si>
  <si>
    <t>SUGARDALE PEPPERONI SLICES</t>
  </si>
  <si>
    <t>PERDUE 85% GROUND TURKEY</t>
  </si>
  <si>
    <t>TASTE ESC CAJUN TURKEY BRST</t>
  </si>
  <si>
    <t>PERDUE GRND BRST TRKY MT</t>
  </si>
  <si>
    <t>TASTE ESC PLW MSQ SMK TKY BR</t>
  </si>
  <si>
    <t>PERDUE GRND TRKY BURGERS</t>
  </si>
  <si>
    <t>TASTE ESC PLWPK PEPPERD BEEF</t>
  </si>
  <si>
    <t>PERDUE GROUND TURKEY</t>
  </si>
  <si>
    <t>TASTE ESC PLWPK SMK MAPLE HM</t>
  </si>
  <si>
    <t>PERDUE PP TURKEY NECKS F2</t>
  </si>
  <si>
    <t>TAY THIN SLC PORK ROLL</t>
  </si>
  <si>
    <t>PERDUE SWT ITAL TRKY SAUS</t>
  </si>
  <si>
    <t>TO WILLMS CHITT LOAF PK1</t>
  </si>
  <si>
    <t>1.13 LB</t>
  </si>
  <si>
    <t>PERDUE TS TURKEY CUTLETS</t>
  </si>
  <si>
    <t>5.5 LB</t>
  </si>
  <si>
    <t>TO WILLMS SOUSE LOAF PK1</t>
  </si>
  <si>
    <t>PERDUE TURKEY BREAST 6PK</t>
  </si>
  <si>
    <t>TYSON STHWST CHIKN STRIP</t>
  </si>
  <si>
    <t>2.13 LB</t>
  </si>
  <si>
    <t>PERDUE TURKEY DRUMSTICKS</t>
  </si>
  <si>
    <t>VALLEYDAL P&amp;P LOAF</t>
  </si>
  <si>
    <t>VALLEYDAL SLICED BOLOGNA</t>
  </si>
  <si>
    <t>PERDUE TURKEY MEATBALLS</t>
  </si>
  <si>
    <t>VALLEYDAL SOUSE</t>
  </si>
  <si>
    <t>PERDUE TURKEY SKNLSS NECK</t>
  </si>
  <si>
    <t>VALLEYDAL SPICED LUNCHEON</t>
  </si>
  <si>
    <t>SHADY BRK 93/7 GRND TURKEY</t>
  </si>
  <si>
    <t>VDALE 4X6 COOKED HAM</t>
  </si>
  <si>
    <t>1.3 LB</t>
  </si>
  <si>
    <t>SHDY BRKS 93% GROUND TURKEY</t>
  </si>
  <si>
    <t>VDALE 4X6 O/R TURKEY</t>
  </si>
  <si>
    <t>SHDY BRKS BKFST TKY SSG</t>
  </si>
  <si>
    <t>VDALE CHUNK BOLOGNA 2LB</t>
  </si>
  <si>
    <t>SHDY BRKS BNLS BRST CHPS 8</t>
  </si>
  <si>
    <t>VDALE MEAT BOLOGNA</t>
  </si>
  <si>
    <t>SHDY BRKS GRD TKY BRST 99%</t>
  </si>
  <si>
    <t>1.50 LB</t>
  </si>
  <si>
    <t>WLLW FOOD FC SKN ON TRK BRST</t>
  </si>
  <si>
    <t>SHDY BRKS RSTD TRKY BRST P6</t>
  </si>
  <si>
    <t>SHDY BRKS SPLT TRKY BRST 8PK</t>
  </si>
  <si>
    <t>SHDY BRKS TRKY BREAST 8 PK</t>
  </si>
  <si>
    <t>CHEF CH FRZN CORNISH HEN</t>
  </si>
  <si>
    <t>SHDY BRKS TRKY CUTLETS P18</t>
  </si>
  <si>
    <t>FARMFRESH IQF CRNSH GAME HEN</t>
  </si>
  <si>
    <t>SHDY BRKS TRKY TENDERS 8 PK</t>
  </si>
  <si>
    <t>MANCHESTR MARINATED QUAIL</t>
  </si>
  <si>
    <t>SHDY BRKS TURKEY BRST PK8 F3</t>
  </si>
  <si>
    <t>MAPLE LF FRESH DUCK PK4</t>
  </si>
  <si>
    <t>SHDY BRKS TURKEY MEATBALLS</t>
  </si>
  <si>
    <t>MINOWA CAPONS PK6</t>
  </si>
  <si>
    <t>SHDY BRKS TURKEY THIGHS 12PK</t>
  </si>
  <si>
    <t>MOTTS BAKING HEN 6/5-7</t>
  </si>
  <si>
    <t>NEBRASKA SM CUT TKY DRUMS</t>
  </si>
  <si>
    <t>CATEGORY :       707752 FRYER PARTS</t>
  </si>
  <si>
    <t>CATEGORY :       707782 PERDUE CHICKEN</t>
  </si>
  <si>
    <t>COLEMAN BNL SKNL CHKN BRST</t>
  </si>
  <si>
    <t>FEATURE WINGS</t>
  </si>
  <si>
    <t>FDL 18PC PARTS PK 9</t>
  </si>
  <si>
    <t>FIELDALE CNTRY CUT UP PK9</t>
  </si>
  <si>
    <t>FDL CVP DRUMS</t>
  </si>
  <si>
    <t>FIELDALE FAM PK BNLS BRST</t>
  </si>
  <si>
    <t>FDL CVP THIGHS</t>
  </si>
  <si>
    <t>1.6 LB</t>
  </si>
  <si>
    <t>FIELDALE UK OWN B/S THIGH</t>
  </si>
  <si>
    <t>FEATURE 987 LEG QTRS 4X10</t>
  </si>
  <si>
    <t>FROZEN 664 BREAST TENDERS</t>
  </si>
  <si>
    <t>FIELDALE BAG LEG QTR 4PK</t>
  </si>
  <si>
    <t>3.3 LB</t>
  </si>
  <si>
    <t>FROZEN FEAT JMB WING TP</t>
  </si>
  <si>
    <t>GOLD KIST F6 BAG DRUMS</t>
  </si>
  <si>
    <t>GOLD KIST 805 WHOLE FRYERS</t>
  </si>
  <si>
    <t>GOLD KIST F6 LEG QUARTERS</t>
  </si>
  <si>
    <t>GOLD KIST 806 SPLIT BREASTS</t>
  </si>
  <si>
    <t>MEAT BNLS BRST BULK7290</t>
  </si>
  <si>
    <t>4.2 LB</t>
  </si>
  <si>
    <t>GOLD KIST 830 CNTRY CUT-UP</t>
  </si>
  <si>
    <t>NEBRASKA FRZN CKN NECKS P12</t>
  </si>
  <si>
    <t>GOLD KIST B/S BREAST</t>
  </si>
  <si>
    <t>PERDUE CVP WHOLE LEGS</t>
  </si>
  <si>
    <t>GOLD KIST B/S BREAST 15% ENH</t>
  </si>
  <si>
    <t>PERDUE CVP WINGS</t>
  </si>
  <si>
    <t>GOLD KIST BACKS &amp; NECKS PK13</t>
  </si>
  <si>
    <t>PILG PRID D CO2 8PC CUT UP C</t>
  </si>
  <si>
    <t>GOLD KIST BREAST TENDERS</t>
  </si>
  <si>
    <t>PILG PRID FRYER WOG 3.25-3.5</t>
  </si>
  <si>
    <t>GOLD KIST CHICKEN LIVERS</t>
  </si>
  <si>
    <t>4.5 LB</t>
  </si>
  <si>
    <t>TYSON WHL FRYER 12PK</t>
  </si>
  <si>
    <t>GOLD KIST DRUMMETTES PK12</t>
  </si>
  <si>
    <t>2.02 LB</t>
  </si>
  <si>
    <t>GOLD KIST DRUMSTICKS</t>
  </si>
  <si>
    <t>GOLD KIST F2 VP BNLS BRST P9</t>
  </si>
  <si>
    <t>3.50 LB</t>
  </si>
  <si>
    <t>COLEMAN WHOLE CHICKEN</t>
  </si>
  <si>
    <t>GOLD KIST F2 VP SPLIT BRSTP9</t>
  </si>
  <si>
    <t>FDL B/S BREAST PK 24</t>
  </si>
  <si>
    <t>GOLD KIST F6 B/S THIGHS PK12</t>
  </si>
  <si>
    <t>FDL B/S BRST STRIP-P12</t>
  </si>
  <si>
    <t>39 LB</t>
  </si>
  <si>
    <t>GOLD KIST F6 MARI B/S BRSP24</t>
  </si>
  <si>
    <t>FDL BACKS &amp; NECK PK 12</t>
  </si>
  <si>
    <t>GOLD KIST F6 SKLS DRUMS PK18</t>
  </si>
  <si>
    <t>FDL DRUMS PK 16</t>
  </si>
  <si>
    <t>GOLD KIST F6 SKLS SP BRSTP10</t>
  </si>
  <si>
    <t>FDL GIZZARD&amp;HEART PK 2</t>
  </si>
  <si>
    <t>GOLD KIST F6 VP LEG QRTR PK9</t>
  </si>
  <si>
    <t>FDL JUM DRUMS PK 12</t>
  </si>
  <si>
    <t>GOLD KIST F6 VP THIGHS PK 9</t>
  </si>
  <si>
    <t>FDL JUMBO SPLIT BRSTP9</t>
  </si>
  <si>
    <t>GOLD KIST F6 WHOLE CUT UP P8</t>
  </si>
  <si>
    <t>FDL JUMBO THIGHS PK 12</t>
  </si>
  <si>
    <t>GOLD KIST FAM PAK DRUMS</t>
  </si>
  <si>
    <t>FDL JUMBO WINGS PK 9</t>
  </si>
  <si>
    <t>3.38 LB</t>
  </si>
  <si>
    <t>GOLD KIST FAM PAK LEG QTRS</t>
  </si>
  <si>
    <t>FDL LIVER CUP PK 18</t>
  </si>
  <si>
    <t>4.69 LB</t>
  </si>
  <si>
    <t>GOLD KIST FAM PAK SPLT BRST</t>
  </si>
  <si>
    <t>FDL THIGHS PK 16</t>
  </si>
  <si>
    <t>GOLD KIST FAM PAK THIGHS</t>
  </si>
  <si>
    <t>46 LB</t>
  </si>
  <si>
    <t>FDL WHOLE BIRD PK 12</t>
  </si>
  <si>
    <t>GOLD KIST FAM PAK WINGS</t>
  </si>
  <si>
    <t>FDL WING DRUMETTES-P12</t>
  </si>
  <si>
    <t>GOLD KIST FP BRST TENDERS</t>
  </si>
  <si>
    <t>FDL WINGS-PK 12</t>
  </si>
  <si>
    <t>GOLD KIST GIZZARDS</t>
  </si>
  <si>
    <t>FEATURE BREAST</t>
  </si>
  <si>
    <t>GOLD KIST JUMBO DRUMS PK9</t>
  </si>
  <si>
    <t>FEATURE DRUMS</t>
  </si>
  <si>
    <t>GOLD KIST JUMBO SPLIT BREAST</t>
  </si>
  <si>
    <t>FEATURE F6 CLR BNL BREAST</t>
  </si>
  <si>
    <t>GOLD KIST JUMBO THIGHS PK9</t>
  </si>
  <si>
    <t>3.75 LB</t>
  </si>
  <si>
    <t>FEATURE FEA WHL BIRDS 12PK</t>
  </si>
  <si>
    <t>GOLD KIST JUMBO WINGS PK9</t>
  </si>
  <si>
    <t>3.70 LB</t>
  </si>
  <si>
    <t>FEATURE PRD JUMBO WINGS</t>
  </si>
  <si>
    <t>GOLD KIST LEG QUARTERS</t>
  </si>
  <si>
    <t>FEATURE SPLIT BREAST</t>
  </si>
  <si>
    <t>GOLD KIST THIGHS</t>
  </si>
  <si>
    <t>FEATURE THIGHS</t>
  </si>
  <si>
    <t>GOLD KIST WINGS</t>
  </si>
  <si>
    <t>1.2 LB</t>
  </si>
  <si>
    <t>HARVESTLA BNLS BREAST INDWRP</t>
  </si>
  <si>
    <t>PERDUE JMBPK THGH SKNUP</t>
  </si>
  <si>
    <t>HARVESTLA BNLS THIGHS</t>
  </si>
  <si>
    <t>PERDUE JUMBO DRUMS 12PK</t>
  </si>
  <si>
    <t>1.8 LB</t>
  </si>
  <si>
    <t>HARVESTLA CHICKEN DRUMSTICKS</t>
  </si>
  <si>
    <t>PERDUE JUMBO THIGH</t>
  </si>
  <si>
    <t>HARVESTLA CHICKEN THIGHS</t>
  </si>
  <si>
    <t>PERDUE JUMBO WINGS PK9</t>
  </si>
  <si>
    <t>2.1 LB</t>
  </si>
  <si>
    <t>HARVESTLA CHICKEN WINGS</t>
  </si>
  <si>
    <t>PERDUE L/F FC BRST TENDER</t>
  </si>
  <si>
    <t>HARVESTLA CHKN BRST TENDERS</t>
  </si>
  <si>
    <t>PERDUE LIVERS PK12</t>
  </si>
  <si>
    <t>HARVESTLA WHOLE CHICKEN</t>
  </si>
  <si>
    <t>PERDUE OVEN READY ROASTER</t>
  </si>
  <si>
    <t>MAV RANCH TP SPLIT BREAST 6#</t>
  </si>
  <si>
    <t>PERDUE PERF PORT GARLIC</t>
  </si>
  <si>
    <t>MAVERICK BNLS BREAST 8PK</t>
  </si>
  <si>
    <t>PERDUE PERF PORT HERB/PEP</t>
  </si>
  <si>
    <t>MAVERICK CHICKEN DRUMSTICKS</t>
  </si>
  <si>
    <t>PERDUE PERF PORT ITALAN</t>
  </si>
  <si>
    <t>MAVERICK ORG BNLS BREAST</t>
  </si>
  <si>
    <t>PERDUE RST CHKN SHRTCUT</t>
  </si>
  <si>
    <t>MAVERICK ORG WHOLE CHIX</t>
  </si>
  <si>
    <t>PERDUE S&amp;T BUFFALO WINGS</t>
  </si>
  <si>
    <t>MAVERICK SPLIT BREAST 8PK</t>
  </si>
  <si>
    <t>PERDUE S&amp;T GEN TSO  WINGS</t>
  </si>
  <si>
    <t>PERDUE BNLS BRST FLLT F2</t>
  </si>
  <si>
    <t>PERDUE S&amp;T HNY BBQ WINGS</t>
  </si>
  <si>
    <t>PERDUE BNLS BRST TENDERS</t>
  </si>
  <si>
    <t>PERDUE S&amp;T MANGO BBQ WING</t>
  </si>
  <si>
    <t>PERDUE BNLS/SKNL CHIX BRS</t>
  </si>
  <si>
    <t>PERDUE SHORT CT GRLD CHKN</t>
  </si>
  <si>
    <t>PERDUE BONELESS THIGH PK1</t>
  </si>
  <si>
    <t>PERDUE SHORT CUT ITALIAN</t>
  </si>
  <si>
    <t>PERDUE DRUMSTICKS PK12</t>
  </si>
  <si>
    <t>PERDUE SKIN UP THIGH</t>
  </si>
  <si>
    <t>PERDUE F/C BRD BRST NUGGE</t>
  </si>
  <si>
    <t>PERDUE SPLIT BREAST F3</t>
  </si>
  <si>
    <t>PERDUE F6 FRYR BR FLT-30</t>
  </si>
  <si>
    <t>PERDUE STHWST CHKN STRIP</t>
  </si>
  <si>
    <t>2.90 LB</t>
  </si>
  <si>
    <t>PERDUE F6 VAL PK B/S BRST</t>
  </si>
  <si>
    <t>PERDUE TP B/S BREAST 9#</t>
  </si>
  <si>
    <t>PERDUE F6 VP LEG QTR PK6</t>
  </si>
  <si>
    <t>PERDUE TS RSTR BRST PK 14</t>
  </si>
  <si>
    <t>PERDUE F7 DRUMSTICKS</t>
  </si>
  <si>
    <t>3.25 LB</t>
  </si>
  <si>
    <t>PERDUE VAL PAK B/S BREAST</t>
  </si>
  <si>
    <t>PERDUE F7 FRYR SPLT BRST</t>
  </si>
  <si>
    <t>PERDUE WHL FRYR PK13</t>
  </si>
  <si>
    <t>PERDUE F7 JMBO DRUMSTICKS</t>
  </si>
  <si>
    <t>PERDUE WHL GRN BREAD NUGT</t>
  </si>
  <si>
    <t>PERDUE F7 JMBO PK WING-9</t>
  </si>
  <si>
    <t>PERDUE WHOLE CUT-UP PK10</t>
  </si>
  <si>
    <t>PERDUE F7 LEG QTR VP PK6</t>
  </si>
  <si>
    <t>PERDUE WINGS PK10</t>
  </si>
  <si>
    <t>PERDUE F7 WHOLE BAG FRYER</t>
  </si>
  <si>
    <t>SMART CKN B/S BREAST</t>
  </si>
  <si>
    <t>PERDUE F7 WINGS</t>
  </si>
  <si>
    <t>7.08 LB</t>
  </si>
  <si>
    <t>SMART CKN B/S THIGH</t>
  </si>
  <si>
    <t>PERDUE FF V/P BS BRST</t>
  </si>
  <si>
    <t>9.54 LB</t>
  </si>
  <si>
    <t>SMART CKN DRUMS</t>
  </si>
  <si>
    <t>PERDUE FLAV BITE 3ITALCHE</t>
  </si>
  <si>
    <t>9.55 LB</t>
  </si>
  <si>
    <t>SMART CKN WINGS</t>
  </si>
  <si>
    <t>PERDUE FLAV BITE BUFFLO</t>
  </si>
  <si>
    <t>TYSON VP SPLIT BREAST</t>
  </si>
  <si>
    <t>PERDUE FLAV BITE QUESADLA</t>
  </si>
  <si>
    <t>WILD HARV BNLS SKNLS BREASTS</t>
  </si>
  <si>
    <t>PERDUE FRESH GROUND CHICK</t>
  </si>
  <si>
    <t>1.60 LB</t>
  </si>
  <si>
    <t>WILD HARV BNLS SKNLS THIGHS</t>
  </si>
  <si>
    <t>PERDUE FRYR SPLIT BRST P1</t>
  </si>
  <si>
    <t>1.80 LB</t>
  </si>
  <si>
    <t>WILD HARV CHICKEN DRUMSTICKS</t>
  </si>
  <si>
    <t>PERDUE GIZZARDS W HEARTS</t>
  </si>
  <si>
    <t>WILD HARV CHKN BRST TNDRLN</t>
  </si>
  <si>
    <t>PERDUE HMSTYLE LOWFAT CUT</t>
  </si>
  <si>
    <t>1.85 LB</t>
  </si>
  <si>
    <t>WLD HRVST B/I SPLT CHKN BRST</t>
  </si>
  <si>
    <t>PERDUE HNY RST SHORT CUTS</t>
  </si>
  <si>
    <t>2.8 LB</t>
  </si>
  <si>
    <t>WLD HRVST WHOLE FRYER CHICKN</t>
  </si>
  <si>
    <t>PERDUE JMBO PK THIGH SKUP</t>
  </si>
  <si>
    <t xml:space="preserve">CATEGORY :       708871 SEASONINGS/SAUCES </t>
  </si>
  <si>
    <t>CATEGORY :       709947 MISC SALADS</t>
  </si>
  <si>
    <t>AMAZ TAST BEEF</t>
  </si>
  <si>
    <t>ATHENO'S HUMMUS ORIGINAL</t>
  </si>
  <si>
    <t>AMAZ TAST BURGERS</t>
  </si>
  <si>
    <t>ATHENO'S HUMMUS RSTD GARLIC</t>
  </si>
  <si>
    <t>0.60 OZ</t>
  </si>
  <si>
    <t>AMAZ TAST CEDAR GRLNG PAPERS</t>
  </si>
  <si>
    <t>ATHENO'S RSTD PEPPER HUMMUS</t>
  </si>
  <si>
    <t>0.90 OZ</t>
  </si>
  <si>
    <t>AMAZ TAST CEDAR PLANKS</t>
  </si>
  <si>
    <t>BLUERIDGE 3 POTATO SALAD</t>
  </si>
  <si>
    <t>AMAZ TAST FAJITA PACKET</t>
  </si>
  <si>
    <t>BLUERIDGE AMISH MACARONI</t>
  </si>
  <si>
    <t>AMAZ TAST MALIBU FLAVOR</t>
  </si>
  <si>
    <t>BLUERIDGE AMISH POT SALAD</t>
  </si>
  <si>
    <t>AMAZ TAST PORK</t>
  </si>
  <si>
    <t>BLUERIDGE AMSH COLE SLAW</t>
  </si>
  <si>
    <t>AMAZ TAST POULTRY</t>
  </si>
  <si>
    <t>BLUERIDGE CHICKEN SALAD BASE</t>
  </si>
  <si>
    <t>AMAZ TAST SEAFOOD</t>
  </si>
  <si>
    <t>BLUERIDGE CHOPPED COLE SLAW</t>
  </si>
  <si>
    <t>AMAZ TAST STKHOUSE</t>
  </si>
  <si>
    <t>BLUERIDGE CLASSIC POTATO</t>
  </si>
  <si>
    <t>HUNTLEYS SEAFOOD DIPN SAUCE</t>
  </si>
  <si>
    <t>PHILLIPS COCKTAIL SAUCE</t>
  </si>
  <si>
    <t>BLUERIDGE COLESLAW</t>
  </si>
  <si>
    <t>VDALE LOUSIANA RED HOT S</t>
  </si>
  <si>
    <t>CATEGORY :       708880 PICKLES/OLIVES</t>
  </si>
  <si>
    <t>BLUERIDGE DELUXE CHICKEN</t>
  </si>
  <si>
    <t>BLUERIDGE DELUXE COLE SLAW</t>
  </si>
  <si>
    <t>CLAUSSEN BREAD/BUTTER PICKL</t>
  </si>
  <si>
    <t>BLUERIDGE DILL RED POTATO</t>
  </si>
  <si>
    <t>CLAUSSEN DILL SANDWICH SLIC</t>
  </si>
  <si>
    <t>BLUERIDGE DIXIE COLESLAW</t>
  </si>
  <si>
    <t>CLAUSSEN GARLIC SAND SLICES</t>
  </si>
  <si>
    <t>BLUERIDGE DLX SHRIMP SALAD</t>
  </si>
  <si>
    <t>CLAUSSEN HAMBURGER SLC PCKL</t>
  </si>
  <si>
    <t>BLUERIDGE DLX TUNA SALAD</t>
  </si>
  <si>
    <t>CLAUSSEN HRTY GARLIC WHOLES</t>
  </si>
  <si>
    <t>BLUERIDGE DVLD EGG POT SALAD</t>
  </si>
  <si>
    <t>CLAUSSEN KOSHER HALVES</t>
  </si>
  <si>
    <t>BLUERIDGE EGG SALAD</t>
  </si>
  <si>
    <t>CLAUSSEN MINI DILLS</t>
  </si>
  <si>
    <t>BLUERIDGE GRILLD LMN CKN BRS</t>
  </si>
  <si>
    <t>CLAUSSEN PICKLE RELISH</t>
  </si>
  <si>
    <t>BLUERIDGE HAM SALAD</t>
  </si>
  <si>
    <t>CLAUSSEN PICKLE SPEARS</t>
  </si>
  <si>
    <t>BLUERIDGE HEALTH SALAD</t>
  </si>
  <si>
    <t>BLUERIDGE HM POTATO W/EGG</t>
  </si>
  <si>
    <t>CLAUSSEN SAUERKRAUT</t>
  </si>
  <si>
    <t>BLUERIDGE HMSTYL POTAT W/EGG</t>
  </si>
  <si>
    <t>CLAUSSEN WHL KOSHER PICKLE</t>
  </si>
  <si>
    <t>BLUERIDGE HNYLMN BOWTIE PSTA</t>
  </si>
  <si>
    <t>HATFIELD 1# SAUERKRAUT</t>
  </si>
  <si>
    <t>BLUERIDGE INDIAN SUMMER SALD</t>
  </si>
  <si>
    <t>HATFIELD SAUERKRAUT</t>
  </si>
  <si>
    <t>BLUERIDGE KRAB SALAD</t>
  </si>
  <si>
    <t>NATHAN'S KOSHER SPEAR PICKL</t>
  </si>
  <si>
    <t>BLUERIDGE MACARONI SALAD</t>
  </si>
  <si>
    <t>NATHAN'S NATHANS KOSHER DIL</t>
  </si>
  <si>
    <t>NATHAN'S NATHANS KOSHER PCK</t>
  </si>
  <si>
    <t>BLUERIDGE ORZO W SPINACH</t>
  </si>
  <si>
    <t>NATHAN'S NATHANS KSHR HLF S</t>
  </si>
  <si>
    <t>BLUERIDGE PIMENTO CHEESE</t>
  </si>
  <si>
    <t>NATHAN'S NY KOSHER SPEAR</t>
  </si>
  <si>
    <t>BLUERIDGE POTATO &amp; EGG SALAD</t>
  </si>
  <si>
    <t>SILVER FLOSS KRAUT 12/2</t>
  </si>
  <si>
    <t>BLUERIDGE REDSKIN POTATO</t>
  </si>
  <si>
    <t>BLUERIDGE RST CORN SALAD</t>
  </si>
  <si>
    <t>BLUERIDGE SEAFOOD SALAD</t>
  </si>
  <si>
    <t>BLUERIDGE SOUTHRN MUST POTAT</t>
  </si>
  <si>
    <t>BLUERIDGE STHN POTATO SALAD</t>
  </si>
  <si>
    <t>BLUERIDGE STHRN MUST POTATO</t>
  </si>
  <si>
    <t>HANS KISS WATERGATE SALAD</t>
  </si>
  <si>
    <t>BLUERIDGE SWEET &amp; SOUR SALAD</t>
  </si>
  <si>
    <t>HANS KISS WH MEAT CKN SALAD</t>
  </si>
  <si>
    <t>BLUERIDGE THREE POTATO SALAD</t>
  </si>
  <si>
    <t>HANS KISS WHEATBERRY SALAD</t>
  </si>
  <si>
    <t>BLUERIDGE TUNA SALAD</t>
  </si>
  <si>
    <t>HANS KISS ZESTY BOWTIE PASTA</t>
  </si>
  <si>
    <t>BLUERIDGE ULTR MACARONI SALD</t>
  </si>
  <si>
    <t>HERLOCHER DIPPING MUSTARD</t>
  </si>
  <si>
    <t>BLUERIDGE VNGR/OIL COLE SLAW</t>
  </si>
  <si>
    <t>KRINOS KALAMA OLIVES BULK</t>
  </si>
  <si>
    <t>BLUERIDGE WHITE MEAT CHICKEN</t>
  </si>
  <si>
    <t>LAKEVEIW SALAD CRAN/ORANGE</t>
  </si>
  <si>
    <t>BLUERIDGE WHL WHEAT CHIPOTLE</t>
  </si>
  <si>
    <t>LAKEVIEW DOWN HOME SPINACH</t>
  </si>
  <si>
    <t>CLNRY CRC DIP CUCUMBER DILL</t>
  </si>
  <si>
    <t>LAKEVIEW DWN HME SPINCH DIP</t>
  </si>
  <si>
    <t>CLNRY CRC DIP PARMARTICHKJAL</t>
  </si>
  <si>
    <t>LAKEVIEW FIESTA DIP MILD</t>
  </si>
  <si>
    <t>CLNRY CRC DIP PARMPSTORNCH</t>
  </si>
  <si>
    <t>LAKEVIEW FRUIT DIP</t>
  </si>
  <si>
    <t>CLNRY CRC DIP SPINACH</t>
  </si>
  <si>
    <t>LAKEVIEW GELATIN, RAINBOW</t>
  </si>
  <si>
    <t>CONT CUIS PESTO PASTA SALAD</t>
  </si>
  <si>
    <t>LAKEVIEW GELATIN, STRWB/FRT</t>
  </si>
  <si>
    <t>GILES SPICED APPLES</t>
  </si>
  <si>
    <t>LAKEVIEW LUISA'S CREME PARF</t>
  </si>
  <si>
    <t>HANS KISS AEGEAN PASTA SALAD</t>
  </si>
  <si>
    <t>LAKEVIEW LVF S/F TRIPLE TRT</t>
  </si>
  <si>
    <t>HANS KISS AMISH COLE SLAW</t>
  </si>
  <si>
    <t>LAKEVIEW ORANGE FRUIT GEL</t>
  </si>
  <si>
    <t>HANS KISS AMISH MAC SALAD</t>
  </si>
  <si>
    <t>LAKEVIEW PUMPKIN MOUSSE</t>
  </si>
  <si>
    <t>HANS KISS AMISH POTATO SALAD</t>
  </si>
  <si>
    <t>LAKEVIEW RAINBOW PARFAIT</t>
  </si>
  <si>
    <t>HANS KISS ASIAN CHICKEN SALD</t>
  </si>
  <si>
    <t>LAKEVIEW S/F RAINBOW GELATN</t>
  </si>
  <si>
    <t>HANS KISS COLE SLAW</t>
  </si>
  <si>
    <t>LAKEVIEW S/F RAINBOW PARFAT</t>
  </si>
  <si>
    <t>HANS KISS COOKIENCREAMMOUSE</t>
  </si>
  <si>
    <t>LAKEVIEW STRAWBERRY PARFAIT</t>
  </si>
  <si>
    <t>HANS KISS CURRIED COUS COUS</t>
  </si>
  <si>
    <t>LAKEVIEW TACO FIESTA DIP</t>
  </si>
  <si>
    <t>HANS KISS ELBOW MAC SALAD</t>
  </si>
  <si>
    <t>LONGACRE CHICKEN SALAD</t>
  </si>
  <si>
    <t>HANS KISS FETA OLIVE TOSS</t>
  </si>
  <si>
    <t>MRS GILES CHOPPED COLE SLAW</t>
  </si>
  <si>
    <t>HANS KISS FIESTA BABY VEGATA</t>
  </si>
  <si>
    <t>MRS GILES DLX CHICKEN SALAD</t>
  </si>
  <si>
    <t>HANS KISS FRUIT AMBROSIA</t>
  </si>
  <si>
    <t>MRS GILES EGG SALAD</t>
  </si>
  <si>
    <t>HANS KISS GERMAN POT SALAD</t>
  </si>
  <si>
    <t>MRS GILES HMESTYL TUNA SALAD</t>
  </si>
  <si>
    <t>HANS KISS MACARONI SALAD</t>
  </si>
  <si>
    <t>MRS GILES MACARONI SALAD</t>
  </si>
  <si>
    <t>HANS KISS MSTRD POTATO SALAD</t>
  </si>
  <si>
    <t>MRS GILES POTATO W/EGG SALAD</t>
  </si>
  <si>
    <t>HANS KISS MUST POTATO SALAD</t>
  </si>
  <si>
    <t>MRS GILES SOUTHERN POT SALAD</t>
  </si>
  <si>
    <t>HANS KISS POTATO &amp; EGG SALAD</t>
  </si>
  <si>
    <t>MRS GILES TAPIOCA PUDDING</t>
  </si>
  <si>
    <t>HANS KISS RAVIOLINI&amp;SALSA</t>
  </si>
  <si>
    <t>MRS.KINSR CHOPPED COLE SLAW</t>
  </si>
  <si>
    <t>HANS KISS RED BLISS POTATO</t>
  </si>
  <si>
    <t>HANS KISS SEAFOOD &amp; WASABI</t>
  </si>
  <si>
    <t>MRS.KINSR CREME MACARONI SLD</t>
  </si>
  <si>
    <t>HANS KISS SEAFOOD ITALIANO</t>
  </si>
  <si>
    <t>MRS.KINSR DEL CHICKEN SALAD</t>
  </si>
  <si>
    <t>HANS KISS SWEET COLE SLAW</t>
  </si>
  <si>
    <t>MRS.KINSR GOURMET EGG SALAD</t>
  </si>
  <si>
    <t>HANS KISS TORTELLINI NEOPOLI</t>
  </si>
  <si>
    <t>MRS.KINSR HAM SALAD</t>
  </si>
  <si>
    <t>HANS KISS TRI-COLOR POTATO</t>
  </si>
  <si>
    <t>MRS.KINSR OLD FASH POT SALAD</t>
  </si>
  <si>
    <t>HANS KISS TWIST PASTA SALAD</t>
  </si>
  <si>
    <t>MRS.KINSR SOUTH POATATO SLD</t>
  </si>
  <si>
    <t>MRS.KINSR TUNA SALAD</t>
  </si>
  <si>
    <t>RESERS RED SKIN POTATO</t>
  </si>
  <si>
    <t>39.1 OZ</t>
  </si>
  <si>
    <t>OWN BRAND CHEESE PIZZA</t>
  </si>
  <si>
    <t>RESERS REDSKIN POT SALAD</t>
  </si>
  <si>
    <t>40.34 O</t>
  </si>
  <si>
    <t>OWN BRAND PEPPERONI PIZZA</t>
  </si>
  <si>
    <t>RESERS REG ELBOW MACARONI</t>
  </si>
  <si>
    <t>40.33 O</t>
  </si>
  <si>
    <t>OWN BRAND SUPREME PIZZA</t>
  </si>
  <si>
    <t>RESERS REG POTATO SALAD</t>
  </si>
  <si>
    <t>PILG PRID TUNA SALAD</t>
  </si>
  <si>
    <t>RESERS RICE PUDDING</t>
  </si>
  <si>
    <t>RESERS AMISH COLE SLAW</t>
  </si>
  <si>
    <t>RESERS THREE POTATO SALAD</t>
  </si>
  <si>
    <t>RESERS AMISH MAC SALAD</t>
  </si>
  <si>
    <t>RESERS TUNA SALAD</t>
  </si>
  <si>
    <t>RESERS WHT MEAT CHIC SALD</t>
  </si>
  <si>
    <t>RESERS AMISH POTATO SALAD</t>
  </si>
  <si>
    <t>SABRA CLASSIC HUMMUS</t>
  </si>
  <si>
    <t>SABRA CML ONION HUMMMUS</t>
  </si>
  <si>
    <t>RESERS BANANA PUDDING</t>
  </si>
  <si>
    <t>SABRA GRK OLIVE HUMMUS</t>
  </si>
  <si>
    <t>RESERS CALIFORNIA PASTA</t>
  </si>
  <si>
    <t>SABRA HUMMUS CLASSIC</t>
  </si>
  <si>
    <t>RESERS CHOPPED COLE SLAW</t>
  </si>
  <si>
    <t>SABRA HUMMUS GARLIC</t>
  </si>
  <si>
    <t>RESERS CKN DRESSING SALAD</t>
  </si>
  <si>
    <t>SABRA HUMMUS JALAPENO</t>
  </si>
  <si>
    <t>RESERS CRAN ORG RELISH</t>
  </si>
  <si>
    <t>SABRA HUMMUS PINE NUTS</t>
  </si>
  <si>
    <t>RESERS CRANB/ORANGE SALAD</t>
  </si>
  <si>
    <t>SABRA HUMMUS W PINE NUTS</t>
  </si>
  <si>
    <t>RESERS DEVILED EGG POTATO</t>
  </si>
  <si>
    <t>SABRA ORIGINAL SALSA</t>
  </si>
  <si>
    <t>RESERS DICED POTATO W/EGG</t>
  </si>
  <si>
    <t>SABRA PEPPADEW HUMMUS</t>
  </si>
  <si>
    <t>RESERS HAWAIIAN SALAD</t>
  </si>
  <si>
    <t>SABRA RED PEPPER HUMMUS</t>
  </si>
  <si>
    <t>RESERS HOMESTYLE COLESLAW</t>
  </si>
  <si>
    <t>SABRA RSTD GARLIC HUMMUS</t>
  </si>
  <si>
    <t>RESERS HOMSTYL SHRD SLAW</t>
  </si>
  <si>
    <t>SABRA S MEDIT VEG SALSA</t>
  </si>
  <si>
    <t>RESERS HS SLAW PRE-PK</t>
  </si>
  <si>
    <t>SABRA SPICY HUMMUS</t>
  </si>
  <si>
    <t>RESERS MAC SLD PRE-PK</t>
  </si>
  <si>
    <t>SABRA SUNDRY TOMATO HUMS</t>
  </si>
  <si>
    <t>RESERS MACARONI SALAD</t>
  </si>
  <si>
    <t>SABRA ZESTY SALSA</t>
  </si>
  <si>
    <t>SIDARI'S ANTIPASTO MIX</t>
  </si>
  <si>
    <t>RESERS MACARONI SALAD TUB</t>
  </si>
  <si>
    <t>UNO 14IN CHEESE PIZZA</t>
  </si>
  <si>
    <t>RESERS MUST POT PRE-PK</t>
  </si>
  <si>
    <t>UNO 14IN DELUXE PIZZA</t>
  </si>
  <si>
    <t>RESERS MUST POTATO SALAD</t>
  </si>
  <si>
    <t>UNO 14IN PEPPERONI PIZA</t>
  </si>
  <si>
    <t>RESERS MUSTARD POT SALAD</t>
  </si>
  <si>
    <t>CATEGORY :       709962 MISC CKD/PREPARED</t>
  </si>
  <si>
    <t>RESERS MUSTARD POTATO SLD</t>
  </si>
  <si>
    <t>RESERS OIL &amp; VINEGAR SLAW</t>
  </si>
  <si>
    <t>CLNRY CRC CORN CHEDR CASSRL</t>
  </si>
  <si>
    <t>RESERS ORIG POT SALAD</t>
  </si>
  <si>
    <t>CLNRY CRC CREAMED CORN</t>
  </si>
  <si>
    <t>RESERS ORIG POTATO SALAD</t>
  </si>
  <si>
    <t>CLNRY CRC CREAMED SPINACH</t>
  </si>
  <si>
    <t>RESERS PIMENTO CHEESE</t>
  </si>
  <si>
    <t>CLNRY CRC MAC &amp; CHEESE KIDS</t>
  </si>
  <si>
    <t>RESERS PISTACHIO SALAD</t>
  </si>
  <si>
    <t>CLNRY CRC MACARONI &amp; CHEESE</t>
  </si>
  <si>
    <t>RESERS POTATO SALAD</t>
  </si>
  <si>
    <t>CLNRY CRC PASTA FOUR CHEESE</t>
  </si>
  <si>
    <t>RESERS POTATO SLD DVLS EG</t>
  </si>
  <si>
    <t>CLNRY CRC POTATO BKD SCALLPD</t>
  </si>
  <si>
    <t>RESERS POTATO W/EGG SALAD</t>
  </si>
  <si>
    <t>CLNRY CRC POTATO RSTRSMRYGAR</t>
  </si>
  <si>
    <t>RESERS PUMPKIN MOUSSE</t>
  </si>
  <si>
    <t>CATEGORY :       709963 IN STORE PREPARED</t>
  </si>
  <si>
    <t>CLNRY CRC POTATOES CRMYMSHD</t>
  </si>
  <si>
    <t>8.3 LB</t>
  </si>
  <si>
    <t>PERDUE HMSTLE SPCY BR WNG</t>
  </si>
  <si>
    <t>CLNRY CRC POTATOES GARLICMSH</t>
  </si>
  <si>
    <t>PERDUE HMSTYL BRDED WINGS</t>
  </si>
  <si>
    <t>CLNRY CRC POTATOES YUKGLDMSH</t>
  </si>
  <si>
    <t>PERDUE HMSTYL SPICY WINGS</t>
  </si>
  <si>
    <t>CLNRY CRC RICE WILD PILAF</t>
  </si>
  <si>
    <t>PERDUE MARIN 8-PC CHICKEN</t>
  </si>
  <si>
    <t>PERDUE MILD BRD CHKN WING</t>
  </si>
  <si>
    <t>CLNRY CRC SCALLOPED BKD POT</t>
  </si>
  <si>
    <t>PERDUE ROASTER LEG QTRS</t>
  </si>
  <si>
    <t>CLNRY CRC VEGETABLES ROASTED</t>
  </si>
  <si>
    <t>PERDUE ROTIS RSTR BREAST</t>
  </si>
  <si>
    <t>PRATERS AU GRATIN CASSEROL</t>
  </si>
  <si>
    <t>PERDUE ROTIS TKY BREAST</t>
  </si>
  <si>
    <t>PRATERS BREAD PUDDING</t>
  </si>
  <si>
    <t>3.9 LB</t>
  </si>
  <si>
    <t>PERDUE ROTISSERIE CHICKEN</t>
  </si>
  <si>
    <t>PRATERS BROC RICE CHSE</t>
  </si>
  <si>
    <t>PERDUE WHOLE BROILER WING</t>
  </si>
  <si>
    <t>PRATERS CRANBERRY RELISH</t>
  </si>
  <si>
    <t>PIERCE XL WING DINGS</t>
  </si>
  <si>
    <t>PRATERS GREEN BEAN CASSERO</t>
  </si>
  <si>
    <t>PIERCE XL WING ZINGS</t>
  </si>
  <si>
    <t>PRATERS HAM KIT NO MEAT</t>
  </si>
  <si>
    <t>PILG PRID DELI MRN 8PC CHKN</t>
  </si>
  <si>
    <t>PRATERS MASHED POTATOES</t>
  </si>
  <si>
    <t>42.80 L</t>
  </si>
  <si>
    <t>TYSON CVP DRUMS &amp; THIGHS</t>
  </si>
  <si>
    <t>PRATERS SWT POT SOUFLE</t>
  </si>
  <si>
    <t>TYSON GIZZARDS BREADED</t>
  </si>
  <si>
    <t>PRATERS TURKEY DRESSING</t>
  </si>
  <si>
    <t>TYSON MRB DRUMMIES</t>
  </si>
  <si>
    <t>PRATERS TURKEY KIT NO MEAT</t>
  </si>
  <si>
    <t>TYSON ROTIS  PEP &amp; SALT</t>
  </si>
  <si>
    <t>RESERS CORN BREAD STUFFIN</t>
  </si>
  <si>
    <t>TYSON ROTIS CHKN BBQ</t>
  </si>
  <si>
    <t>RESERS CRMY MASHED POTATO</t>
  </si>
  <si>
    <t>TYSON ROTIS LEMON BASIL</t>
  </si>
  <si>
    <t>RESERS GARLC MASHD POTATO</t>
  </si>
  <si>
    <t>TYSON ROTIS RSMRY GARLIC</t>
  </si>
  <si>
    <t>RESERS GREEN BEAN CASSERL</t>
  </si>
  <si>
    <t>TYSON RTC CVP 8PC WOG</t>
  </si>
  <si>
    <t>RESERS HOMESTYLE GRAVY</t>
  </si>
  <si>
    <t>WILLOWBRK BBQ CHICKEN WINGS</t>
  </si>
  <si>
    <t>RESERS HOMESTYLE STUFFING</t>
  </si>
  <si>
    <t>WILLOWBRK BUFFALO CHIX WINGS</t>
  </si>
  <si>
    <t>RESERS MACARONI &amp; CHEESE</t>
  </si>
  <si>
    <t>CATEGORY :       709971 HAM LOAFS</t>
  </si>
  <si>
    <t>RESERS SPICED APPLES</t>
  </si>
  <si>
    <t>CNTRY FRM IMPORTED CKD HAM</t>
  </si>
  <si>
    <t>CNTRY FRM PEPPERED HAM</t>
  </si>
  <si>
    <t>AM SEAFD CATFISH BRD NUGGET</t>
  </si>
  <si>
    <t>CRETA FRM BLACK FOREST HAM</t>
  </si>
  <si>
    <t>CERTIFIED BREADED WHITING FL</t>
  </si>
  <si>
    <t>CRETA FRM COOKED HAM</t>
  </si>
  <si>
    <t>CLNRY CRC CVP WOG THAI CURRY</t>
  </si>
  <si>
    <t>DIETZ&amp;WAT BLACK FORST HAM</t>
  </si>
  <si>
    <t>DIETZ&amp;WAT CROSS DOCK</t>
  </si>
  <si>
    <t>DIETZ&amp;WAT CARVED HAM</t>
  </si>
  <si>
    <t>ESSKAY SL BNLS FF HAM</t>
  </si>
  <si>
    <t>DIETZ&amp;WAT HONEY CURED HAM</t>
  </si>
  <si>
    <t>FIELDALE INJECTED 8 PC CKN</t>
  </si>
  <si>
    <t>11.75 L</t>
  </si>
  <si>
    <t>ESSKAY 35% SWEETKORN HAM</t>
  </si>
  <si>
    <t>FIELDALE LARGE SAVORY WOG</t>
  </si>
  <si>
    <t>ESSKAY GOLD LABEL CKD HAM</t>
  </si>
  <si>
    <t>FIELDALE SAVORY WOGS</t>
  </si>
  <si>
    <t>ESSKAY SLVR LBL LS HAM</t>
  </si>
  <si>
    <t>GOLD KIST CVP BULK DRUMS</t>
  </si>
  <si>
    <t>GWALTNEY COOKED HAM 35%</t>
  </si>
  <si>
    <t>GOLD KIST FRZ BRD HOT WINGS</t>
  </si>
  <si>
    <t>HATFIELD 35% COOKED HAM</t>
  </si>
  <si>
    <t>14.71 O</t>
  </si>
  <si>
    <t>HORMEL HAM&amp;CHS SNACK TRAY</t>
  </si>
  <si>
    <t>HATFIELD HONEY CURED HAM</t>
  </si>
  <si>
    <t>HORMEL SUMMER SAUSGE PRTY</t>
  </si>
  <si>
    <t>HATFIELD VIRGINIA HAM</t>
  </si>
  <si>
    <t>CATEGORY :       709973 BOLOGNA LOAFS</t>
  </si>
  <si>
    <t>HORMEL 10% COOKED HAM</t>
  </si>
  <si>
    <t>RUSSER BOLOGNA</t>
  </si>
  <si>
    <t>HORMEL SPICED HAM</t>
  </si>
  <si>
    <t>RUSSER WUNDERBAR BOLOGNA</t>
  </si>
  <si>
    <t>JOYNER REDI COUNTRY HAM</t>
  </si>
  <si>
    <t>SELTZERS LEBANON BOLOGNA</t>
  </si>
  <si>
    <t>KRETSCHMR BLACK FOREST HAM</t>
  </si>
  <si>
    <t>SELTZERS SWEET BOLOGNA</t>
  </si>
  <si>
    <t>KRETSCHMR BONE IN SPIRAL HAM</t>
  </si>
  <si>
    <t>SMITHFLD BEEF BOLOGNA</t>
  </si>
  <si>
    <t>KRETSCHMR BROWN SUGAR HAM</t>
  </si>
  <si>
    <t>SMITHFLD BOLOGNA</t>
  </si>
  <si>
    <t>KRETSCHMR CLASSIC HONEY HAM</t>
  </si>
  <si>
    <t>SMITHFLD GERMAN BOLOGNA</t>
  </si>
  <si>
    <t>KRETSCHMR HONEY HAM OFF BONE</t>
  </si>
  <si>
    <t>CATEGORY :       709974 SALAMI/PEPPERONI</t>
  </si>
  <si>
    <t>KRETSCHMR P/S HONEY HAM</t>
  </si>
  <si>
    <t>11.5 LB</t>
  </si>
  <si>
    <t>KRETSCHMR SMKD VIRGINIA HAM</t>
  </si>
  <si>
    <t>HEBRW NAT SALAMI</t>
  </si>
  <si>
    <t>KRETSCHMR SMOKE HAM OFF BONE</t>
  </si>
  <si>
    <t>HORMEL DILUSSO GENOA STK</t>
  </si>
  <si>
    <t>RUSSER #445 HNY CURED HAM</t>
  </si>
  <si>
    <t>HORMEL HARD SALAMI</t>
  </si>
  <si>
    <t>RUSSER 10%WA L/S HAM 1</t>
  </si>
  <si>
    <t>HORMEL PEPPRONI SLCD SAND</t>
  </si>
  <si>
    <t>RUSSER HONEY MAPLE HAM</t>
  </si>
  <si>
    <t>HORMEL PS GENOA SALAMI</t>
  </si>
  <si>
    <t>RUSSER SMK VIRGINIA HAM</t>
  </si>
  <si>
    <t>HORMEL SAN REMO GENOA</t>
  </si>
  <si>
    <t>RUSSER VIRGINIA HALF HAM</t>
  </si>
  <si>
    <t>HORMEL SLICED HARD SALAMI</t>
  </si>
  <si>
    <t>SAHLEN HAM OFF THE BONE</t>
  </si>
  <si>
    <t>KRETSCHMR 4PC COTTO SALAMI</t>
  </si>
  <si>
    <t>SARA LEE BLACK FOREST HAM</t>
  </si>
  <si>
    <t>KRETSCHMR HARD SALAMI</t>
  </si>
  <si>
    <t>SARA LEE BROWN SUGAR HAM</t>
  </si>
  <si>
    <t>MARGHRITA GENOA PILLOW PK</t>
  </si>
  <si>
    <t>SARA LEE MAPLE HONEY HAM</t>
  </si>
  <si>
    <t>MARGHRITA HARD SALAMI PIL PK</t>
  </si>
  <si>
    <t>9.50 LB</t>
  </si>
  <si>
    <t>SMITHFLD CHOPPED HAM</t>
  </si>
  <si>
    <t>MARGHRITA PEPPERONI STICK</t>
  </si>
  <si>
    <t>SMITHFLD COOKED HAM 10%</t>
  </si>
  <si>
    <t>RUSSER CKD SALAMI RED SOD</t>
  </si>
  <si>
    <t>SMITHFLD COUNTRY HAM</t>
  </si>
  <si>
    <t>RUSSER COOKED SALAMI</t>
  </si>
  <si>
    <t>SMITHFLD HAM OFF THE BONE</t>
  </si>
  <si>
    <t>RUSSER GENOA SALAMI</t>
  </si>
  <si>
    <t>SMITHFLD MINI PIT HAM</t>
  </si>
  <si>
    <t>RUSSER SNDWCH PEPP HALF</t>
  </si>
  <si>
    <t>SMITHFLD SMKD HONEY 1/2 HAM</t>
  </si>
  <si>
    <t>SARA LEE SLICD GENOA SALAMI</t>
  </si>
  <si>
    <t>SMITHFLD SMKD VA 1/2 HAM</t>
  </si>
  <si>
    <t>SMITHFLD GENOA SALAMI</t>
  </si>
  <si>
    <t>SMITHFLD SMOKED PULLEDPORK</t>
  </si>
  <si>
    <t>SMITHFLD HARD SALAMI</t>
  </si>
  <si>
    <t>SMITHFLD VIRGNIA HAM</t>
  </si>
  <si>
    <t>CATEGORY :       709976 COOKED BEEF/ETC.</t>
  </si>
  <si>
    <t>WILSON KRAKOW HAM 4X6</t>
  </si>
  <si>
    <t>CRETA FRM ROAST BEEF</t>
  </si>
  <si>
    <t>DELI SMRT CORNED BEEF</t>
  </si>
  <si>
    <t>CRETA FRM BOLOGNA</t>
  </si>
  <si>
    <t>DELI SMRT PASTRAMI</t>
  </si>
  <si>
    <t>ESSKAY BEEF BOLOGNA</t>
  </si>
  <si>
    <t>DELI SMRT ROAST BEEF</t>
  </si>
  <si>
    <t>ESSKAY GARLIC BOLOGNA</t>
  </si>
  <si>
    <t>DIETZ&amp;WAT PRIME RIB OF BEEF</t>
  </si>
  <si>
    <t>ESSKAY GERMAN BOLOGNA</t>
  </si>
  <si>
    <t>EMMBERS ROAST BEEF</t>
  </si>
  <si>
    <t>GIORDANO CORNED BEEF</t>
  </si>
  <si>
    <t>HEBRW NAT BOLOGNA</t>
  </si>
  <si>
    <t>GIORDANO PASTRAMI</t>
  </si>
  <si>
    <t>RUSSER BEEF BOLOGNA</t>
  </si>
  <si>
    <t>GIORDANO ROAST BEEF FLT RD</t>
  </si>
  <si>
    <t>CATEGORY :       709977 CHICKEN/TURKEY LOAFS</t>
  </si>
  <si>
    <t>SAVAL ELITE CORNED BEEF</t>
  </si>
  <si>
    <t>PERDUE DELI SMKD T</t>
  </si>
  <si>
    <t>SAVAL ELITE PASTRAMI</t>
  </si>
  <si>
    <t>PERDUE GLDN BROWN CHICKEN</t>
  </si>
  <si>
    <t>SAVAL ELITE ROAST BEEF</t>
  </si>
  <si>
    <t>PERDUE TURKEY HAM</t>
  </si>
  <si>
    <t>SMITHFLD CORNED BEEF FLAT</t>
  </si>
  <si>
    <t>RIVERSIDE WISE BUY TURKEY</t>
  </si>
  <si>
    <t>SMITHFLD PASTRAMI FLAT</t>
  </si>
  <si>
    <t>SAHLEN O/R TKY BREAST</t>
  </si>
  <si>
    <t>SMITHFLD TOP RND ROAST BEEF</t>
  </si>
  <si>
    <t>SARA LEE BUFFALO CKN BREAST</t>
  </si>
  <si>
    <t>SARA LEE CHICKEN OVEN RST</t>
  </si>
  <si>
    <t>SARA LEE CRKD PEPPER TURKEY</t>
  </si>
  <si>
    <t>BUTTERBAL BUFFALO CHIX BREAS</t>
  </si>
  <si>
    <t>SARA LEE O/R TKY BST SARALE</t>
  </si>
  <si>
    <t>BUTTERBAL CHICKEN BRST CNTRY</t>
  </si>
  <si>
    <t>6.5 LB</t>
  </si>
  <si>
    <t>SARA LEE SL HNY RST TKY BRS</t>
  </si>
  <si>
    <t>BUTTERBAL O/R TURKEY BREAST</t>
  </si>
  <si>
    <t>SARA LEE SMKD TURKEY BREAST</t>
  </si>
  <si>
    <t>BUTTERBAL SMOKED TURKEY BRST</t>
  </si>
  <si>
    <t>SHADYBRKS CANMAPLE TKY BRST</t>
  </si>
  <si>
    <t>BUTTERBAL TURKEYS BAKED</t>
  </si>
  <si>
    <t>SHADYBRKS MESQUITE SM TURKEY</t>
  </si>
  <si>
    <t>BUTTERBLL HNYRST SMK TKY BRS</t>
  </si>
  <si>
    <t>WILLOWBRK CAJUN TURKEY</t>
  </si>
  <si>
    <t>CRETA FRM OVENROASTED TURKEY</t>
  </si>
  <si>
    <t>WILLOWBRK DELUXE O/R TURKEY</t>
  </si>
  <si>
    <t>CRETA FRM SMOKED TURKEY BRST</t>
  </si>
  <si>
    <t>WILLOWBRK DELUXE SMK TURKEY</t>
  </si>
  <si>
    <t>DELI PERF NATURAL O/R TKY</t>
  </si>
  <si>
    <t>WILLOWBRK NATURAL TKY BREAST</t>
  </si>
  <si>
    <t>DELI PERF RSTD TRKY PASTRAMI</t>
  </si>
  <si>
    <t>WILLOWBRK ROT TRKY BRST S/ON</t>
  </si>
  <si>
    <t>DELI PERF SMK WHITE TURKEY</t>
  </si>
  <si>
    <t>WILLOWBRK TURKEY HAM 15% W/A</t>
  </si>
  <si>
    <t>DIETZ&amp;WAT BLCK FORST TRKY</t>
  </si>
  <si>
    <t>WILLOWBRK TURKEY PASTRAMI</t>
  </si>
  <si>
    <t>DIETZ&amp;WAT CHEF CARVED TRKY</t>
  </si>
  <si>
    <t>CATEGORY :       709979 MISC DELI LOAFS</t>
  </si>
  <si>
    <t>DIETZ&amp;WAT ROTISS CKN BREAST</t>
  </si>
  <si>
    <t>HNYSUCKLE BNLS TURKEY BREAST</t>
  </si>
  <si>
    <t>ARMOUR PORK SAUSAGE PATTY</t>
  </si>
  <si>
    <t>HNYSUCKLE DP FR CJN WHL TRKY</t>
  </si>
  <si>
    <t>CARLNA PR DELI SMOKED SAUSAG</t>
  </si>
  <si>
    <t>HNYSUCKLE HKRY SMOKED TURKEY</t>
  </si>
  <si>
    <t>ESSKAY BARBECUE LOAF</t>
  </si>
  <si>
    <t>HNYSUCKLE O/R WHITE TURKEY</t>
  </si>
  <si>
    <t>ESSKAY CELLO BRAUNSWEIGER</t>
  </si>
  <si>
    <t>HNYSUCKLE PRECOOKED TURKEY</t>
  </si>
  <si>
    <t>ESSKAY N/C BRAUNSWEIGER</t>
  </si>
  <si>
    <t>JENNIE O DELISTL SHVG TKBRS</t>
  </si>
  <si>
    <t>HATFIELD LIVERWURST</t>
  </si>
  <si>
    <t>8.95 LB</t>
  </si>
  <si>
    <t>JENNIE O TNDR BROWN BREAST</t>
  </si>
  <si>
    <t>HATFIELD PAN SOUSE</t>
  </si>
  <si>
    <t>JENNIE O TURKEY HAM</t>
  </si>
  <si>
    <t>RUSSER OLIVE LOAF</t>
  </si>
  <si>
    <t>KRETSCHMR BUFFALO CHIC BRST</t>
  </si>
  <si>
    <t>RUSSER P &amp; P LOAF</t>
  </si>
  <si>
    <t>KRETSCHMR HKRY SMK PEPPR TKY</t>
  </si>
  <si>
    <t>SAHLEN HOT DOGS, 1LB</t>
  </si>
  <si>
    <t>KRETSCHMR HKRY SMKD HNY TRKY</t>
  </si>
  <si>
    <t>CATEGORY :       715001 BULK SHRIMP</t>
  </si>
  <si>
    <t>KRETSCHMR LS O/R TURKEY BR</t>
  </si>
  <si>
    <t>KRETSCHMR O/R CHKN BRST BRWN</t>
  </si>
  <si>
    <t>ARTICSHOR 50CT MED RAW EZ PL</t>
  </si>
  <si>
    <t>MARVAL TURKEY BREAST</t>
  </si>
  <si>
    <t>CHN/FR SN 31/40 CPD SHRIMP</t>
  </si>
  <si>
    <t>PERDUE BRBN PEPPER CHKN</t>
  </si>
  <si>
    <t>DELICASEA 26/30 BLK RW SHRMP</t>
  </si>
  <si>
    <t>PERDUE DELI HNY SM</t>
  </si>
  <si>
    <t>DELICASEA PNKO BTRFLY SHRIMP</t>
  </si>
  <si>
    <t>PERDUE DELI SLICING TKY B</t>
  </si>
  <si>
    <t>DELICASEA THA/FR 51/60 EZ PE</t>
  </si>
  <si>
    <t>CATEGORY :       715002 PACKAGED SHRIMP</t>
  </si>
  <si>
    <t>DOCKSIDE IMPROVED ST SHRIMP</t>
  </si>
  <si>
    <t>THA/FR 21/25 CKD SHRIMP</t>
  </si>
  <si>
    <t>DOCKSIDE SHRIMP SCAMPI</t>
  </si>
  <si>
    <t>THA/FR 61/70 CKD T/OFF SH</t>
  </si>
  <si>
    <t>4.00 LB</t>
  </si>
  <si>
    <t>ECU/FR DELICASEA 40/50 HD</t>
  </si>
  <si>
    <t>THA/FR AS 35CT LRG CKD TL ON</t>
  </si>
  <si>
    <t>FCIRCLE 31/40 RAW P&amp;D SHMP</t>
  </si>
  <si>
    <t>THA/FR AS 45CT LRG CKD TL ON</t>
  </si>
  <si>
    <t>GRILLCUTS 13/15 FRSHWTR SHMP</t>
  </si>
  <si>
    <t>THA/FR AS 50CT MED CKD TL ON</t>
  </si>
  <si>
    <t>IDN/FR THA WHT EZPL 26/30</t>
  </si>
  <si>
    <t>THA/FR AS 75CT MED CKD TL ON</t>
  </si>
  <si>
    <t>IDN/FR WHT EZ PEEEL 31/40</t>
  </si>
  <si>
    <t>THA/FR AS 90 CT CKD TLOFF</t>
  </si>
  <si>
    <t>IND FR 13/15 FRSWTR SHMP</t>
  </si>
  <si>
    <t>THA/FR AS SALAD CKD TL OFF</t>
  </si>
  <si>
    <t>THA    FR JMBO 16/20 SHRMP</t>
  </si>
  <si>
    <t>THA/FR AS SHRIMP CKD 100CT</t>
  </si>
  <si>
    <t>THA  FR EZPL BLTGR FF31/40</t>
  </si>
  <si>
    <t>THA/FR AS SHRIMP RING COOKED</t>
  </si>
  <si>
    <t>THA/FR AS 50 CT MED RAW P&amp;D</t>
  </si>
  <si>
    <t>THA/FR WHT EZ PEEL 41/50</t>
  </si>
  <si>
    <t>THA/FR ES 41/50 CKD COCKT</t>
  </si>
  <si>
    <t>USA    WC 16/20RAW EZPL TL/O</t>
  </si>
  <si>
    <t>USA/WC 30/40 DRY SCALLOPS</t>
  </si>
  <si>
    <t>USA    WC 31/40 KW PNK T/OFF</t>
  </si>
  <si>
    <t>CATEGORY :       715010 BULK FISH</t>
  </si>
  <si>
    <t>USA SNGLT POPCORN SHRIMP</t>
  </si>
  <si>
    <t>USA SNGLT SHRIMP POPPERS</t>
  </si>
  <si>
    <t>CHN/WCFSH ORG ROUGHY FILLETS</t>
  </si>
  <si>
    <t>USA SNGTN JMB BUTTERFLY SHRI</t>
  </si>
  <si>
    <t>NAM/WC AS FISH FLT ORNG RGHY</t>
  </si>
  <si>
    <t>USA/WC 21/25RAW EZPL TL/O</t>
  </si>
  <si>
    <t>CATEGORY :       715012 PACKAGED FISH</t>
  </si>
  <si>
    <t>ARG    WC WHITING FILLET SKI</t>
  </si>
  <si>
    <t>ARE/FR SN SALAD SHRIMP</t>
  </si>
  <si>
    <t>BALT CRAB CAJUN CRAB CAKES</t>
  </si>
  <si>
    <t>CALPAC TEMPURA SHRIMP SOY</t>
  </si>
  <si>
    <t>BALT CRAB LOBSTER CAKES 5PK</t>
  </si>
  <si>
    <t>CHESAPEAK LOWFAT CRAB CAKES</t>
  </si>
  <si>
    <t>BALT CRAB MD CRAB CAKES 5PK</t>
  </si>
  <si>
    <t>CHN/FR AS COOKED SHRIMP PIEC</t>
  </si>
  <si>
    <t>BC/PICK 5 MARYLAND CRAB CAKE</t>
  </si>
  <si>
    <t>CHN/FR AS SCALLOPS BAY RAW</t>
  </si>
  <si>
    <t>BC/PICK 5 TILAPIA FISH CAKE</t>
  </si>
  <si>
    <t>FISHIN FISHIN MUSSELS</t>
  </si>
  <si>
    <t>CAN    WC SNOW CRAB CLUSTERS</t>
  </si>
  <si>
    <t>HANDY ULT STUFF IT MIX</t>
  </si>
  <si>
    <t>CHESAPEAK JMB LUMP CRAB CAKE</t>
  </si>
  <si>
    <t>IDN FR/HS SHRIMP COOKED</t>
  </si>
  <si>
    <t>CHESAPEAK PREMIUM CRAB CAKES</t>
  </si>
  <si>
    <t>IDN/FR 16/20 CKD P&amp;D</t>
  </si>
  <si>
    <t>CHINA/FR WHOLE TILAPIA</t>
  </si>
  <si>
    <t>MARGVILLE MARGVL SHRIMP ISLA</t>
  </si>
  <si>
    <t>CHL    FR MUSSELS TOMTO&amp;GARL</t>
  </si>
  <si>
    <t>MARGVL CALAMARI RINGS</t>
  </si>
  <si>
    <t>CHL    FR MUSSLS IN GRLC BTR</t>
  </si>
  <si>
    <t>7.24 LB</t>
  </si>
  <si>
    <t>PHILLIPS GARLIC/HERB SHRIMP</t>
  </si>
  <si>
    <t>CHL FR ALL NATURAL MUSSEL</t>
  </si>
  <si>
    <t>PHILLIPS HNY CHPTLE SHRIMP</t>
  </si>
  <si>
    <t>CHL/WC SV WHITING FILLET</t>
  </si>
  <si>
    <t>RANGOONS CRAB RANGOONS</t>
  </si>
  <si>
    <t>CHL/WCFSH BRED WHITING FLLTS</t>
  </si>
  <si>
    <t>TASTEE CH CKD SALAD SHRIMP</t>
  </si>
  <si>
    <t>CHN    FR SB WHOLE TILAPIA R</t>
  </si>
  <si>
    <t>THA    FR 26/30 CKD SHRIMP</t>
  </si>
  <si>
    <t>CHN    WC B/L S/L POLLOCK FL</t>
  </si>
  <si>
    <t>THA    FR MAG 31/40 CK SHRIM</t>
  </si>
  <si>
    <t>CHN    WC COD FILLETS</t>
  </si>
  <si>
    <t>THA  FR BLK TIGER 61/70 CK</t>
  </si>
  <si>
    <t>CHN    WC IQF WHITING FILLT</t>
  </si>
  <si>
    <t>THA FR HVST 50/60 CKD SHM</t>
  </si>
  <si>
    <t>CHN WC WHL COOKD CRAWFISH</t>
  </si>
  <si>
    <t>CHN/FR FISHIN TILAPIA</t>
  </si>
  <si>
    <t>MARGVILLE MARGVL SHRMP SCAMP</t>
  </si>
  <si>
    <t>CHN/FRFSH TILAPIA</t>
  </si>
  <si>
    <t>MEX WC CROAKERS</t>
  </si>
  <si>
    <t>CHN/WC AS FLOUNDER</t>
  </si>
  <si>
    <t>2.4 LB</t>
  </si>
  <si>
    <t>MURRY FISH STEAKS</t>
  </si>
  <si>
    <t>CHN/WC IQF BAGGED WHITING</t>
  </si>
  <si>
    <t>MURRY FISH STICKS</t>
  </si>
  <si>
    <t>CHN/WC SILVBRT SLMN SIDE</t>
  </si>
  <si>
    <t>PHILLIPS CRAB PRETZEL</t>
  </si>
  <si>
    <t>CHN/WCFSH A/T FLOUNDER</t>
  </si>
  <si>
    <t>PHILLIPS CRAB&amp;SPINACH DIP</t>
  </si>
  <si>
    <t>CHN/WCFSH FLOUNDER FILETS</t>
  </si>
  <si>
    <t>PHILLIPS CRABCAKE MINIS</t>
  </si>
  <si>
    <t>CHN/WCFSH PERCH FILET</t>
  </si>
  <si>
    <t>PHILLIPS CRABCAKES</t>
  </si>
  <si>
    <t>CRABRS CH FROZEN CRABCAKE</t>
  </si>
  <si>
    <t>PHILLIPS CRB/SHRMP SPRG ROL</t>
  </si>
  <si>
    <t>DOCKSIDE FET ALFREDO CRAB</t>
  </si>
  <si>
    <t>PHILLIPS CRM OF CRAB SOUP</t>
  </si>
  <si>
    <t>DOCKSIDE SEAFOOD COMBO</t>
  </si>
  <si>
    <t>PHILLIPS NE CLAM CHOWDER</t>
  </si>
  <si>
    <t>DOCKSIDED COD POTATO LEM DIL</t>
  </si>
  <si>
    <t>PHILLIPS STMD SPICED SHRIMP</t>
  </si>
  <si>
    <t>DOCKSIDED FLNDR HNY ALMND</t>
  </si>
  <si>
    <t>PHILLIPS VEG CRAB SOUP</t>
  </si>
  <si>
    <t>DOCKSIDED TILAPIA BANA MANGO</t>
  </si>
  <si>
    <t>PHL/WC SB 60/80 SEA SCALLOPS</t>
  </si>
  <si>
    <t>DOCKSIDED TILAPIA PINWHEEL</t>
  </si>
  <si>
    <t>RANGOONS SCALOP IN CKD BCN</t>
  </si>
  <si>
    <t>DOCKSIDED TILAPIA STWBRY COC</t>
  </si>
  <si>
    <t>THA/WC TUNA STEAK 6OZ</t>
  </si>
  <si>
    <t>EL CHILE SHRIMP CAKES</t>
  </si>
  <si>
    <t>THA/WC TUNA STEAKS 8/10 O</t>
  </si>
  <si>
    <t>EL CHILE SHRIMP QUESADILLAS</t>
  </si>
  <si>
    <t>USA    WC WHOLE SQUID</t>
  </si>
  <si>
    <t>FISHIN FISHIN SWAI</t>
  </si>
  <si>
    <t>GLOBAL KING CLUSTERS</t>
  </si>
  <si>
    <t>USA FR ML STUFFED CLAMS 9PK</t>
  </si>
  <si>
    <t>HANDY 35% CRAB CAKE</t>
  </si>
  <si>
    <t>USA SNGLT CLAM STRIPS</t>
  </si>
  <si>
    <t>HANDY BRD SOFT CRAB</t>
  </si>
  <si>
    <t>USA SNGTN BTR FISH PORTIONS</t>
  </si>
  <si>
    <t>HANDY JMB LUMP CRABCAKE</t>
  </si>
  <si>
    <t>USA SNGTN CRNCHY FISH STICKS</t>
  </si>
  <si>
    <t>HANDY MINI CRAB CAKES</t>
  </si>
  <si>
    <t>USA WC HG WHITING</t>
  </si>
  <si>
    <t>HANDY PANKO BRD CRABCAKE</t>
  </si>
  <si>
    <t>USA/FR ML STUFFED CLAM 12PK</t>
  </si>
  <si>
    <t>HANDY PRM JMBO CRAB CAKE</t>
  </si>
  <si>
    <t>USA/WC AS FISH FILLET COD</t>
  </si>
  <si>
    <t>HANDY SALMON CAKES</t>
  </si>
  <si>
    <t>USA/WC AS FISH FILLET TILAPI</t>
  </si>
  <si>
    <t>HEARTLAND APS HUSH PUPPY REG</t>
  </si>
  <si>
    <t>USA/WC AS FISH FILLET WHITNG</t>
  </si>
  <si>
    <t>HEARTLAND CATFISH NUGGET BRD</t>
  </si>
  <si>
    <t>USA/WC AS FISH FILLT FLOUNDR</t>
  </si>
  <si>
    <t>HIGHLINER CAP CT SHRMP SCMPI</t>
  </si>
  <si>
    <t>USA/WC BC GOURMET CRABCAKE</t>
  </si>
  <si>
    <t>HIGHLINER CAP CT TUSCAN SHMP</t>
  </si>
  <si>
    <t>VNM/FR SB SWAI FILLET</t>
  </si>
  <si>
    <t>HIGHLINER CAPCT LMN-DJ TILPA</t>
  </si>
  <si>
    <t>CATEGORY :       715025 PACKAGED SEAFOOD</t>
  </si>
  <si>
    <t>IDN    WC PAST CLAW CRBMT</t>
  </si>
  <si>
    <t>IDN    WC PAST SPEC CRBMT</t>
  </si>
  <si>
    <t>BALT CRAB SALMON CAKES 5PK</t>
  </si>
  <si>
    <t>INL FZ FD CD SHRIMP FAJITAS</t>
  </si>
  <si>
    <t>CHN/WCFSH SALMON FILLETS</t>
  </si>
  <si>
    <t>INL FZ FD INT'L FZN FD SHRIM</t>
  </si>
  <si>
    <t>DOCKSIDED SALMON ASN CHILLI</t>
  </si>
  <si>
    <t>LOUISKEMP CRAB SNACK DLGHT</t>
  </si>
  <si>
    <t>DOCKSIDED SALMON PINWHEEL</t>
  </si>
  <si>
    <t>MARGVILLE MARGV SHRIMP JAMMI</t>
  </si>
  <si>
    <t>HEARTLAND CATFISH FILLETS</t>
  </si>
  <si>
    <t>MARGVILLE MARGVL SHRIMP CAL</t>
  </si>
  <si>
    <t>HEARTLAND CATFSH NUG UNBRD</t>
  </si>
  <si>
    <t>CATEGORY :       716001 FROZEN POULTRY</t>
  </si>
  <si>
    <t>HIGH LINE LEMON DILL SALMON</t>
  </si>
  <si>
    <t>BUTTERBLL CAJUN BREAST ROAST</t>
  </si>
  <si>
    <t>SEACHOICE HERB SALMON BURGER</t>
  </si>
  <si>
    <t>BUTTERBLL FRS HEN TRKY 9-16#</t>
  </si>
  <si>
    <t>SEACHOICE SALMON BURGER</t>
  </si>
  <si>
    <t>BUTTERBLL FRS TOM TRY 16-22#</t>
  </si>
  <si>
    <t>USA/WC AS FISH FILLET SALMON</t>
  </si>
  <si>
    <t>BUTTERBLL HERB BREAST ROAST</t>
  </si>
  <si>
    <t>VITA CRKDPEPR WLD SALMN</t>
  </si>
  <si>
    <t>BUTTERBLL LIL FRS TRKY 5-10#</t>
  </si>
  <si>
    <t>VITA JIM BM BBQ SALM</t>
  </si>
  <si>
    <t>BUTTERBLL SW LIL BTRBALL W/G</t>
  </si>
  <si>
    <t>VITA JIM BM ORG HT SALM</t>
  </si>
  <si>
    <t>BUTTERBLL TRKY BREAST W/GRVY</t>
  </si>
  <si>
    <t>VITA LEMPEPR WLD SALMON</t>
  </si>
  <si>
    <t>BUTTERBLL TURKEY 10-12#</t>
  </si>
  <si>
    <t>CATEGORY :       715028 SURIMI BULK/PKG</t>
  </si>
  <si>
    <t>BUTTERBLL TURKEY 12-14#</t>
  </si>
  <si>
    <t>BUTTERBLL TURKEY 14-16# PK4</t>
  </si>
  <si>
    <t>DOCKSIDE PREM LUMP CRABCAKE</t>
  </si>
  <si>
    <t>BUTTERBLL TURKEY 16-18#</t>
  </si>
  <si>
    <t>DOCKSIDE TILAPIA CREOLE CRB</t>
  </si>
  <si>
    <t>BUTTERBLL TURKEY 20-22#</t>
  </si>
  <si>
    <t>HARBOR SEA CAKE</t>
  </si>
  <si>
    <t>BUTTERBLL TURKEY 22-24#</t>
  </si>
  <si>
    <t>KANAMI CRAB SMRT NATL CHK</t>
  </si>
  <si>
    <t>BUTTERBLL TURKEY 24-26#</t>
  </si>
  <si>
    <t>KANAMI CRAB SMRT NATL FLK</t>
  </si>
  <si>
    <t>BUTTERBLL TURKEY PK2</t>
  </si>
  <si>
    <t>KANAMI CRAB SMRT NATL SNK</t>
  </si>
  <si>
    <t>KANAMI LBSTR SMT NATL FLK</t>
  </si>
  <si>
    <t>L KEMP CRAB DELIGHTS CHNK</t>
  </si>
  <si>
    <t>L KEMP CRAB DELIGHTS FLKS</t>
  </si>
  <si>
    <t>BUTTERBLL TURKEY PK4</t>
  </si>
  <si>
    <t>L KEMP CRAB DELIGHTS LEG</t>
  </si>
  <si>
    <t>L KEMP LOBSTER DELIGHTS</t>
  </si>
  <si>
    <t>LOUISKEMP CRAB DELI DELIGHTS</t>
  </si>
  <si>
    <t>CARGILL SMOKED WHL TURKEY</t>
  </si>
  <si>
    <t>SCHOONERS IMITATION CRABMEAT</t>
  </si>
  <si>
    <t>EMPIRE TURKEY BREAST</t>
  </si>
  <si>
    <t>SWIFT PACIFICMATE SURIMI</t>
  </si>
  <si>
    <t>FARMFRESH IQF B/S CHICK BRST</t>
  </si>
  <si>
    <t>TRANS OCN CRAB CLASSIC FLAKE</t>
  </si>
  <si>
    <t>FARMFRESH TURKEY 10-12#</t>
  </si>
  <si>
    <t>TRANS OCN CRAB CLASSIC LEG</t>
  </si>
  <si>
    <t>TRANS OCN CRAB/SHRMP CLASSIC</t>
  </si>
  <si>
    <t>FARMFRESH TURKEY 12-14#</t>
  </si>
  <si>
    <t>TRANS OCN JAIBA SUPREME</t>
  </si>
  <si>
    <t>TRANS OCN TOCC CHUNK STYLE</t>
  </si>
  <si>
    <t>FARMFRESH TURKEY 14-16#</t>
  </si>
  <si>
    <t>XTRAVNGZA SPEC CRABMEAT</t>
  </si>
  <si>
    <t>59 LB</t>
  </si>
  <si>
    <t xml:space="preserve">CATEGORY :       715030 SMOKED/SALT FISH PKG </t>
  </si>
  <si>
    <t>FARMFRESH TURKEY 16-18#</t>
  </si>
  <si>
    <t>ARG    WC SEA TROUT</t>
  </si>
  <si>
    <t>FARMFRESH TURKEY 18-20#</t>
  </si>
  <si>
    <t>ARG WC TROUT FILLET</t>
  </si>
  <si>
    <t>CAN    WC CUT HERRING</t>
  </si>
  <si>
    <t>FARMFRESH TURKEY 20-22#</t>
  </si>
  <si>
    <t>CAN    WC HERRING FILLET</t>
  </si>
  <si>
    <t>FARMFRESH TURKEY 22-24#</t>
  </si>
  <si>
    <t>BUTTERBLL BNLS TURKEY BRST</t>
  </si>
  <si>
    <t>FARMFRESH TURKEY 24-26#</t>
  </si>
  <si>
    <t>FARMFRESH TURKEY 26-28#</t>
  </si>
  <si>
    <t>PAULADEEN CKN BRST W/BBQ</t>
  </si>
  <si>
    <t>FEATURE IQF CHICKEN WINGS</t>
  </si>
  <si>
    <t>PERDUE 20-24# FRSH TKY M</t>
  </si>
  <si>
    <t>FEATURE TURKEY BRST 6/4-7#</t>
  </si>
  <si>
    <t>PERDUE FRESH TURKEY PK2 M</t>
  </si>
  <si>
    <t>FF BB BB TURKEY 20-24# P</t>
  </si>
  <si>
    <t>PERDUE FRESH TURKEY PK4 M</t>
  </si>
  <si>
    <t>FF BB BB TURKEY 9-12# PK</t>
  </si>
  <si>
    <t>PERDUE FRSH GR A TRKY PK2</t>
  </si>
  <si>
    <t>FF BB FF TURKEY 12-16#</t>
  </si>
  <si>
    <t>57 LB</t>
  </si>
  <si>
    <t>PERDUE FRSH GR A TRKY PK4</t>
  </si>
  <si>
    <t>FF IQF CKN WINGS BAG</t>
  </si>
  <si>
    <t>PERDUE TRKY WING PORTIONP</t>
  </si>
  <si>
    <t>FOOD CLUB IQF SKNLS TENDERS</t>
  </si>
  <si>
    <t>PILG PRID GRADE A TURKEY PK4</t>
  </si>
  <si>
    <t>FOSTER FM HOMSTYL TRKY MTBLL</t>
  </si>
  <si>
    <t>FOSTER FM ITALN TURKEY MTBLL</t>
  </si>
  <si>
    <t>FROZEN FRZ TRKY BRST PK6</t>
  </si>
  <si>
    <t>PILG PRID GRADE A TURKEY PK2</t>
  </si>
  <si>
    <t>FSTR FARM IFF PARTY WINGS</t>
  </si>
  <si>
    <t>GREEN PK IQF B/S BREASTS</t>
  </si>
  <si>
    <t>HNYSUCKLE ALLNATL TRKY 10-14</t>
  </si>
  <si>
    <t>PILG PRID GRADE A TURKEY 16</t>
  </si>
  <si>
    <t>HNYSUCKLE ALLNATL TRKY 14-16</t>
  </si>
  <si>
    <t>PILG PRID GRADE A TURKEY 18</t>
  </si>
  <si>
    <t>HNYSUCKLE ALLNATL TRKY 16-20</t>
  </si>
  <si>
    <t>PILG PRID GRADE A TURKEY 20</t>
  </si>
  <si>
    <t>HNYSUCKLE ALLNATL TRKY 20-24</t>
  </si>
  <si>
    <t>PILG PRID GRADE A TURKEY 10</t>
  </si>
  <si>
    <t>HNYSUCKLE CJN WHL TRYK10-16#</t>
  </si>
  <si>
    <t>PILG PRID GRADE A TURKEY 22-</t>
  </si>
  <si>
    <t>HNYSUCKLE HNRST WHLTKY10-16#</t>
  </si>
  <si>
    <t>PILG PRID GRD A TURKY 18-20#</t>
  </si>
  <si>
    <t>HSW FRSH HSW O/R TURKY</t>
  </si>
  <si>
    <t>PILG PRID GRILLED BRST FILET</t>
  </si>
  <si>
    <t>HSW FRSH HSW SMKD TRKY</t>
  </si>
  <si>
    <t>PILG PRID ITALIAN BRST FILET</t>
  </si>
  <si>
    <t>HSW SMP DONE WHL BIRD</t>
  </si>
  <si>
    <t>PILG PRID PP TURKEY 16-18#</t>
  </si>
  <si>
    <t>JENNIE O TURKEY BURGERS</t>
  </si>
  <si>
    <t>PILG PRID PP TURKEY 20-22# P</t>
  </si>
  <si>
    <t>MAPLE LF DUCKS GRADE A</t>
  </si>
  <si>
    <t>POF TURKEY DRUMSTICKS</t>
  </si>
  <si>
    <t>MARVAL 10-14#</t>
  </si>
  <si>
    <t>POF TURKEY NECKS PK12</t>
  </si>
  <si>
    <t>MARVAL TURKEY 16-20#</t>
  </si>
  <si>
    <t>POF TURKEY V-WINGS PK1</t>
  </si>
  <si>
    <t>MAV RANCH FRSH TOM 18-20 PK2</t>
  </si>
  <si>
    <t>PRD GRADE A TURKEY 12-</t>
  </si>
  <si>
    <t>MAVERICK 12-14# HEN TURKEYS</t>
  </si>
  <si>
    <t>PRD TURKEY 10-12#</t>
  </si>
  <si>
    <t>MAVERICK 12-16# NAT TURKEY</t>
  </si>
  <si>
    <t>MAVERICK 16-20# NAT TURKEY</t>
  </si>
  <si>
    <t>MAVERICK 20-22# TOM TURKEYS</t>
  </si>
  <si>
    <t>PRD TURKEY 12-14# M</t>
  </si>
  <si>
    <t>MAVERICK 20-24# NAT TURKEY</t>
  </si>
  <si>
    <t>PRD TURKEY 14-16#</t>
  </si>
  <si>
    <t>MAVERICK 8-12# NAT TURKEY</t>
  </si>
  <si>
    <t>PRD TURKEY 14-16# M</t>
  </si>
  <si>
    <t>MAVERICK FRSH HEN 10-12 PK4</t>
  </si>
  <si>
    <t>PRD TURKEY 16-18#</t>
  </si>
  <si>
    <t>NEBRASKA FRZN CHICKEN FEET</t>
  </si>
  <si>
    <t>NEBRASKA FRZN TRKY GIZZARD</t>
  </si>
  <si>
    <t>NEBRASKA SM TKY DR STICK-15</t>
  </si>
  <si>
    <t>PRD TURKEY 18-20#</t>
  </si>
  <si>
    <t>NEBRASKA SM TKY WINGS-15</t>
  </si>
  <si>
    <t>NEBRASKA SMK TURKEY WINGS P</t>
  </si>
  <si>
    <t>PRD TURKEY 20-22#</t>
  </si>
  <si>
    <t>TYSON IQF CHIX WINGS FRZ</t>
  </si>
  <si>
    <t>PRD TURKEY 22-24#</t>
  </si>
  <si>
    <t>CATEGORY :       716010 FROZEN SEAFOOD/SHRIMP</t>
  </si>
  <si>
    <t>PRD TURKEY 24-26#</t>
  </si>
  <si>
    <t>CAN/WC OR LOBSTER CLAW &amp; ARM</t>
  </si>
  <si>
    <t>CHL/WC TNS OCN SALMN PEPP</t>
  </si>
  <si>
    <t>CHL/WC TNS OCN SMKD SALM</t>
  </si>
  <si>
    <t>PRD TURKEY PK2</t>
  </si>
  <si>
    <t>DOCKSIDE LOBSTER CAKE</t>
  </si>
  <si>
    <t>USA/WC TNS OCN ALSK SKEYE</t>
  </si>
  <si>
    <t>CATEGORY :       716011 FRZ BEEF AND PORK</t>
  </si>
  <si>
    <t>PRD TURKEY PK2 M</t>
  </si>
  <si>
    <t>PRD TURKEY PK4</t>
  </si>
  <si>
    <t>AUNT BESS HOG MAWS</t>
  </si>
  <si>
    <t>AUNT BESS PORK CHITTERLINGS</t>
  </si>
  <si>
    <t>RNDHLL FRS TKY 16-20#PK2</t>
  </si>
  <si>
    <t>CARIBBEAN GLOBAL PRECKD CHIT</t>
  </si>
  <si>
    <t>RNDHLL FRS TKY 20-24#PK2</t>
  </si>
  <si>
    <t>CARRIBEAN GLOBAL PRECKD CHIT</t>
  </si>
  <si>
    <t>SB BASTED BREAST W/G</t>
  </si>
  <si>
    <t>FROZEN FROZEN SPARERIBS</t>
  </si>
  <si>
    <t>SB GRADE A TURKEY 14</t>
  </si>
  <si>
    <t>FROZEN PORK FEET FROZEN</t>
  </si>
  <si>
    <t>SHADY BRK ITAL TRKY SSG MILD</t>
  </si>
  <si>
    <t>HATFIELD BELLIES RIND ON VP</t>
  </si>
  <si>
    <t>SHADY BRK TRKY BRKFST SSG</t>
  </si>
  <si>
    <t>LUNDY CHITTERLINGS</t>
  </si>
  <si>
    <t>SHDY BRKS F3 FRSH 10/16 TKY</t>
  </si>
  <si>
    <t>LUNDY PORK CHITTERLINGS</t>
  </si>
  <si>
    <t>SHDY BRKS F3 FRSH 16/20 TKY</t>
  </si>
  <si>
    <t>NEBRASKA FR PK NECKBONES</t>
  </si>
  <si>
    <t>SHDY BRKS F3 FRSH 20/24 TKY</t>
  </si>
  <si>
    <t>NEBRASKA FR PRK NECK BONES</t>
  </si>
  <si>
    <t>SHDY BRKS F6 FRSH 10/16 TKY</t>
  </si>
  <si>
    <t>NEBRASKA FRZ FR 1/4 PK FEET</t>
  </si>
  <si>
    <t>SHDY BRKS F6 FRSH 16/20 TK-2</t>
  </si>
  <si>
    <t>SHDY BRKS FRSH 10/16 TKY 4PK</t>
  </si>
  <si>
    <t>NEBRASKA FRZ FR SPL PK FEET</t>
  </si>
  <si>
    <t>SHDY BRKS FRSH 16/20 TKY 4PK</t>
  </si>
  <si>
    <t>NEBRASKA FRZ FR SPL PORK FT</t>
  </si>
  <si>
    <t>SHDY BRKS FRSH 20/24 TKY 2PK</t>
  </si>
  <si>
    <t>NEBRASKA FRZ FR WH PK FEET</t>
  </si>
  <si>
    <t>SHDY BRKS FRSH SMK TURK BRST</t>
  </si>
  <si>
    <t>SHDY BRKS HEN TURKEY F6 PK4</t>
  </si>
  <si>
    <t>NEBRASKA SM PK HOCKS-15</t>
  </si>
  <si>
    <t>SHDY BRKS SMPLY DN BI BRST 4</t>
  </si>
  <si>
    <t>NEBRASKA SM PK NECK BO-15</t>
  </si>
  <si>
    <t>SHDY BRKS TKY TIMER 24-26#</t>
  </si>
  <si>
    <t>PARKS PORK CHITTERLINGS</t>
  </si>
  <si>
    <t>SHENANDOA GROUND TURKEY</t>
  </si>
  <si>
    <t>SHOP VALU CHICKEN BRST B/S</t>
  </si>
  <si>
    <t>PAULADEEN CNTRY STYLE RIBS</t>
  </si>
  <si>
    <t>SPC FRZ SMK TKY DRUM</t>
  </si>
  <si>
    <t>SHP AITCH BONES SLICED</t>
  </si>
  <si>
    <t>SWIFT BB TOM TRKY 18-20#</t>
  </si>
  <si>
    <t>SMFLD FRM CRACKLINS-HOT&amp;SPCY</t>
  </si>
  <si>
    <t>SWIFT BNLS TRKY/MIXED</t>
  </si>
  <si>
    <t>SMFLD FRM CRACKLINS-ORIGINAL</t>
  </si>
  <si>
    <t>SWIFT TRKY BREAST W/GRVY</t>
  </si>
  <si>
    <t>SMFLD FRM PLAIN CRACKLINS</t>
  </si>
  <si>
    <t>SWIFT TURK BB 16/20 TOM</t>
  </si>
  <si>
    <t>SMFLD FRM PORK RINDS-BBQ</t>
  </si>
  <si>
    <t>TYSON D FARM CHIC WINGS</t>
  </si>
  <si>
    <t>SMFLD FRM PORK RINDS-HOT</t>
  </si>
  <si>
    <t>TYSON IQF BNLS SKLS BRST</t>
  </si>
  <si>
    <t>SMFLD FRM PORK RINDS-PLAIN</t>
  </si>
  <si>
    <t>CATEGORY :       716012 FRZ BRANDED SAUSAGE</t>
  </si>
  <si>
    <t>SMITHFLD CHITTERLINGS</t>
  </si>
  <si>
    <t>BOB EVANS 1# REGULAR ROLLS</t>
  </si>
  <si>
    <t>SMITHFLD FRESH PORK LIVER</t>
  </si>
  <si>
    <t>BOB EVANS 1# SAVRY SAGE ROLL</t>
  </si>
  <si>
    <t>SMITHFLD FRESH TAILS</t>
  </si>
  <si>
    <t>BOB EVANS BACON BOWL</t>
  </si>
  <si>
    <t>SMITHFLD FROZEN PORK BRAINS</t>
  </si>
  <si>
    <t>BOB EVANS BEER BRATWURST</t>
  </si>
  <si>
    <t>SMITHFLD FRS PRK FRONT FEET</t>
  </si>
  <si>
    <t>BOB EVANS BF SAUSG SKLT BOWL</t>
  </si>
  <si>
    <t>SMITHFLD FRSH PRK NCK BONES</t>
  </si>
  <si>
    <t>BOB EVANS BREAKFAST PATTIES</t>
  </si>
  <si>
    <t>SMITHFLD LONG CUT FEET FRZ</t>
  </si>
  <si>
    <t>BOB EVANS BRN SGR HNY LINKS</t>
  </si>
  <si>
    <t>SMITHFLD PORK CHITTERLINGS</t>
  </si>
  <si>
    <t>19.20 O</t>
  </si>
  <si>
    <t>BOB EVANS CHZBGR SSG BISCUIT</t>
  </si>
  <si>
    <t>SMITHFLD PORK EARS FROZEN</t>
  </si>
  <si>
    <t>BOB EVANS DINNER LINKS</t>
  </si>
  <si>
    <t>SMITHFLD PORK STOMACH FROZE</t>
  </si>
  <si>
    <t>BOB EVANS FROZ HOT BRATS</t>
  </si>
  <si>
    <t>SMITHFLD PORK TAILS FROZEN</t>
  </si>
  <si>
    <t>BOB EVANS HAM STEAKS</t>
  </si>
  <si>
    <t>5.50 LB</t>
  </si>
  <si>
    <t>TO WILLMS CKD PRK CHITTS</t>
  </si>
  <si>
    <t>BOB EVANS MAPLE LINKS</t>
  </si>
  <si>
    <t>BOB EVANS MAPLE PATTIES</t>
  </si>
  <si>
    <t>BOB EVANS OMLT &amp; POTATOES</t>
  </si>
  <si>
    <t>AIDELLS CHIX&amp;APPLE LINK</t>
  </si>
  <si>
    <t>BOB EVANS OMLT &amp; SAUSG PTTY</t>
  </si>
  <si>
    <t>AIDELLS MPL BCN BRK LINKS</t>
  </si>
  <si>
    <t>BOB EVANS ORIGINAL BRATWURST</t>
  </si>
  <si>
    <t>AIDELLS PORT MUSHRM SSG</t>
  </si>
  <si>
    <t>BOB EVANS ORIGINAL LINKS</t>
  </si>
  <si>
    <t>AL FRESCO JALAPENO CKN SAUSG</t>
  </si>
  <si>
    <t>BOB EVANS SAUSAGE BOWL</t>
  </si>
  <si>
    <t>AL FRESCO RST GARLIC SAUSAGE</t>
  </si>
  <si>
    <t>BOB EVANS SAUSAGE PATTIES</t>
  </si>
  <si>
    <t>AL FRESCO SWT APPL CKN SAUSG</t>
  </si>
  <si>
    <t>BOB EVANS SMALL CASING LINKS</t>
  </si>
  <si>
    <t>AL FRESCO SWT ITAL CKN SAUSG</t>
  </si>
  <si>
    <t>BOB EVANS SWEET ITALIAN SSG</t>
  </si>
  <si>
    <t>AL FRESCO TOM BASIL CKN SAUS</t>
  </si>
  <si>
    <t>C PRIDE HOT ROLL SAUSAGE</t>
  </si>
  <si>
    <t>BALLARD MAPLE LINKS</t>
  </si>
  <si>
    <t>C PRIDE MILD ROLL SAUSAGE</t>
  </si>
  <si>
    <t>BALLARDS HOT ROLL SAUSAGE</t>
  </si>
  <si>
    <t>DOMINICS HOT ITALIAN SSG</t>
  </si>
  <si>
    <t>BALLARDS MILD ROLL SAUSAGE</t>
  </si>
  <si>
    <t>DOMINICS MILD ITLN SGG FRZ</t>
  </si>
  <si>
    <t>ESSKAY CREAMED CHIPD BEEF</t>
  </si>
  <si>
    <t>BALLARDS SAUSAGE LINKS 10OZ</t>
  </si>
  <si>
    <t>ESSKAY FANCY CHIP BEEF</t>
  </si>
  <si>
    <t>BALLARDS SAUSAGE PATTY 10OZ</t>
  </si>
  <si>
    <t>ESSKAY H/S CNTRY SAU LINK</t>
  </si>
  <si>
    <t>BANQUET BNS BEEF LINKS</t>
  </si>
  <si>
    <t>ESSKAY HOT ROLL SAUSAGE F</t>
  </si>
  <si>
    <t>BANQUET BNS BEEF PATTIES</t>
  </si>
  <si>
    <t>ESSKAY LOW SODIUM CHIP BE</t>
  </si>
  <si>
    <t>BANQUET BNS CNTRY RCPT LKS</t>
  </si>
  <si>
    <t>ESSKAY REG ROLL SAUSAGE F</t>
  </si>
  <si>
    <t>BANQUET BNS LITE ORIG LKS</t>
  </si>
  <si>
    <t>FULL CIRC BREAKFAST LINKS</t>
  </si>
  <si>
    <t>BANQUET BNS MAPLE LINKS</t>
  </si>
  <si>
    <t>GWALTNEY HOT ROLL SAUSAGE</t>
  </si>
  <si>
    <t>BANQUET BNS ORIG PATTIES</t>
  </si>
  <si>
    <t>GWALTNEY MILD ROLL SAUSAGE</t>
  </si>
  <si>
    <t>BANQUET BNS ORIGINAL LINKS</t>
  </si>
  <si>
    <t>HATFIELD PRIM PORTA HOT SSG</t>
  </si>
  <si>
    <t>BANQUET BNS TURKEY LINKS</t>
  </si>
  <si>
    <t>HATFIELD PRIM PORTA SWT SSG</t>
  </si>
  <si>
    <t>BANQUET BNS TURKEY PATTIES</t>
  </si>
  <si>
    <t>HILLSHIRE BF ROPE SMKD SSG</t>
  </si>
  <si>
    <t>BOB EVANS 1# HOT ROLLS</t>
  </si>
  <si>
    <t>JAMESTOWN MILD SAUSAGE</t>
  </si>
  <si>
    <t>BOB EVANS 1# ITALIAN ROLLS</t>
  </si>
  <si>
    <t>JAMESTOWN SAUSAGE HOT ROLL</t>
  </si>
  <si>
    <t>19.76 O</t>
  </si>
  <si>
    <t>JHNSVLLE BEER &amp; BRATWURST</t>
  </si>
  <si>
    <t>JONES NAT GLDBR MPL LINK</t>
  </si>
  <si>
    <t>JHNSVLLE HOT ITALIAN SSG</t>
  </si>
  <si>
    <t>JONES NAT GLDN BRN PATTY</t>
  </si>
  <si>
    <t>JHNSVLLE MLD ITAL SAUSAGE</t>
  </si>
  <si>
    <t>JONES NAT GLDN BRWN LINK</t>
  </si>
  <si>
    <t>JHNSVLLE ORIG BRATWURST</t>
  </si>
  <si>
    <t>LOUISRICH SAUSAGE BREAKFAST</t>
  </si>
  <si>
    <t>JHNSVLLE PORK SSG LINKS AC</t>
  </si>
  <si>
    <t>MICHAEL'S CKN SAUS GRILLERS</t>
  </si>
  <si>
    <t>JHNSVLLE STADIUM BRATWURST</t>
  </si>
  <si>
    <t>MICHAEL'S CKN SAUSAGE LINKS</t>
  </si>
  <si>
    <t>19.7 OZ</t>
  </si>
  <si>
    <t>JHNSVLLE SWT ITAL SSG</t>
  </si>
  <si>
    <t>MOUNTNEER SAUSAGE HOT</t>
  </si>
  <si>
    <t>JIMMYDEAN HOT SAUSAGE</t>
  </si>
  <si>
    <t>MOUNTNEER SAUSAGE MILD</t>
  </si>
  <si>
    <t>JMMY DEAN FLYCKD TURKEY LINK</t>
  </si>
  <si>
    <t>PREMIO ARGENTIN CHORIZO</t>
  </si>
  <si>
    <t>JMMY DEAN FRSH TASTE MPL PTY</t>
  </si>
  <si>
    <t>PREMIO BRATWURST FROZEN</t>
  </si>
  <si>
    <t>JMMY DEAN FRSH TSTE FST LINK</t>
  </si>
  <si>
    <t>PREMIO CAJUN FROZEN</t>
  </si>
  <si>
    <t>JMMY DEAN HEAT N SERVE SAUSG</t>
  </si>
  <si>
    <t>PREMIO CHEESE &amp; BASIL FRZ</t>
  </si>
  <si>
    <t>JMMY DEAN LIGHT ROLL SAUSAGE</t>
  </si>
  <si>
    <t>PREMIO CHORIZO FROZEN</t>
  </si>
  <si>
    <t>JMMY DEAN MAPLE LINK</t>
  </si>
  <si>
    <t>PREMIO F/P BRATWURST</t>
  </si>
  <si>
    <t>JMMY DEAN MAPLE LINK FTF</t>
  </si>
  <si>
    <t>PREMIO F/P HOT ITALIAN</t>
  </si>
  <si>
    <t>JMMY DEAN MAPLE PATTIES</t>
  </si>
  <si>
    <t>PREMIO F/P MILD ITALIAN</t>
  </si>
  <si>
    <t>JMMY DEAN MAPLE ROLL SAUSAGE</t>
  </si>
  <si>
    <t>PREMIO HOT ITALIAN FROZEN</t>
  </si>
  <si>
    <t>JMMY DEAN NATURAL HOT ROLL</t>
  </si>
  <si>
    <t>PREMIO MEX CHORIZO</t>
  </si>
  <si>
    <t>JMMY DEAN NATURAL ROLL</t>
  </si>
  <si>
    <t>PREMIO PREIMO LUGANAGA FR</t>
  </si>
  <si>
    <t>JMMY DEAN ORIGINAL LINKS</t>
  </si>
  <si>
    <t>PREMIO SALV CHORIZO</t>
  </si>
  <si>
    <t>JMMY DEAN ORIGINAL PATTIES</t>
  </si>
  <si>
    <t>PREMIO SWEET ITALIAN</t>
  </si>
  <si>
    <t>JMMY DEAN REGULAR SAUSAGE RL</t>
  </si>
  <si>
    <t>PREMIO SWT W/BASIL LINK</t>
  </si>
  <si>
    <t>JMMY DEAN SAGE ROLL SAUSAGE</t>
  </si>
  <si>
    <t>SM HOT SMK SAUS LINKS</t>
  </si>
  <si>
    <t>JMMY DEAN SAUSAGE REG PORK</t>
  </si>
  <si>
    <t>SM SMK SAUS W/CHEESE</t>
  </si>
  <si>
    <t>JMMY DEAN SAUSAGE SAGE</t>
  </si>
  <si>
    <t>SM SMKD SAUS LINKS</t>
  </si>
  <si>
    <t>JMMY DEAN TKY SAUSAGE PATTY</t>
  </si>
  <si>
    <t>SMFLD BBQ VA CHOICE CKD PORK</t>
  </si>
  <si>
    <t>JOES MKT MLD ITAL CHIX SSG</t>
  </si>
  <si>
    <t>SMITHFLD VC SMOKED LINKS</t>
  </si>
  <si>
    <t>JOES MKT SPNCH/FETA CHX SSG</t>
  </si>
  <si>
    <t>SMOKEHOUS SAUSAGE LINKS</t>
  </si>
  <si>
    <t>JOES MKT TOMATO CHIX SSG</t>
  </si>
  <si>
    <t>SMOKEHOUS SAUSAGE LINKS MPLE</t>
  </si>
  <si>
    <t>JOHNSNVIL BWN SGR &amp; HNY LINK</t>
  </si>
  <si>
    <t>SMOKEHOUS SAUSAGE PATTIES</t>
  </si>
  <si>
    <t>JOHNSNVIL CHEDDAR BRATWURST</t>
  </si>
  <si>
    <t>TENN PRID HOT ROLL SAUSAGE</t>
  </si>
  <si>
    <t>JOHNSNVIL HOT GRND ITAL SSG</t>
  </si>
  <si>
    <t>TENN PRID MILD SAUSAGE ROLL</t>
  </si>
  <si>
    <t>JOHNSNVIL MILD GRND ITAL SSG</t>
  </si>
  <si>
    <t>20.64 O</t>
  </si>
  <si>
    <t>TENNPRIDE BAC/EGG/CH BISCUIT</t>
  </si>
  <si>
    <t>JOHNSNVIL ORIG BRKFAST PATTY</t>
  </si>
  <si>
    <t>TENNPRIDE MILD SAUSAGE</t>
  </si>
  <si>
    <t>JOHNSNVIL SMK TRKY SSGW/CHDR</t>
  </si>
  <si>
    <t>TENNPRIDE SAGE ROLL SAUSAGE</t>
  </si>
  <si>
    <t>JOHNSNVIL SMKD TRKY SAUSAGE</t>
  </si>
  <si>
    <t>23.64 O</t>
  </si>
  <si>
    <t>TENNPRIDE SG/EGG/CH CROISANT</t>
  </si>
  <si>
    <t>JOHNSNVIL VERMNT MAPLE LINKS</t>
  </si>
  <si>
    <t>25.14 O</t>
  </si>
  <si>
    <t>TENNPRIDE SGE/EGG/CH BISCUIT</t>
  </si>
  <si>
    <t>JOHNSNVIL VRMONT MAPLE PATTY</t>
  </si>
  <si>
    <t>TST TREAT HOT SAUSAGE</t>
  </si>
  <si>
    <t>JOINES SAUSAGE</t>
  </si>
  <si>
    <t>TST TREAT MILD SAUSAGE</t>
  </si>
  <si>
    <t>CATEGORY :       716015 FRZ BREADED VARIETY</t>
  </si>
  <si>
    <t>VDALE PORK SAUSAGE HOT</t>
  </si>
  <si>
    <t>FASTFIXIN CHKN DIPPING STCKS</t>
  </si>
  <si>
    <t>VDALE PORK SAUSAGE MILD</t>
  </si>
  <si>
    <t>FASTFIXIN DINO NUGGETS</t>
  </si>
  <si>
    <t>CATEGORY :       716014 FRZ MURRY'S</t>
  </si>
  <si>
    <t>FASTFIXIN POPCORN CHICKEN</t>
  </si>
  <si>
    <t>FEATURE B/S CHICKEN BREAST</t>
  </si>
  <si>
    <t>BOB EVANS FRENCH TST W/BERRY</t>
  </si>
  <si>
    <t>MURRY BBQ WINGS BAG</t>
  </si>
  <si>
    <t>MURRY CIN FRNCH TST BITE</t>
  </si>
  <si>
    <t>MURRY BUFFALO WINGS BAG</t>
  </si>
  <si>
    <t>MURRY CINN FRNCH TST STI</t>
  </si>
  <si>
    <t>MURRY CHICKEN NUGGET</t>
  </si>
  <si>
    <t>MURRY FRENCH TOAST BITES</t>
  </si>
  <si>
    <t>MURRY CHICKEN PATTIES</t>
  </si>
  <si>
    <t>MURRY FRENCH TOAST STICK</t>
  </si>
  <si>
    <t>MURRY CHICKEN STRIPS</t>
  </si>
  <si>
    <t>OSCAR MYR DC BUF RNCH CHK FL</t>
  </si>
  <si>
    <t>MURRY CLB PK HNY BBQ WIN</t>
  </si>
  <si>
    <t>OSCAR MYR DC CHK BAC RNCH FL</t>
  </si>
  <si>
    <t>MURRY CLUB PACK BUFFALO</t>
  </si>
  <si>
    <t>OSCAR MYR DC STK GAR BF FLTB</t>
  </si>
  <si>
    <t>MURRY FIREY WINGS</t>
  </si>
  <si>
    <t>MURRY HNY MUSTARD WINGS</t>
  </si>
  <si>
    <t>MURRY HONEY BBQ WINGS</t>
  </si>
  <si>
    <t>ADVANCE TP CHICKEN NUGGETS</t>
  </si>
  <si>
    <t>MURRY POPCORN CHICKEN</t>
  </si>
  <si>
    <t>ADVANCE TP CHICKEN STRIPS</t>
  </si>
  <si>
    <t>ON COR CHICKEN NIBBLERS</t>
  </si>
  <si>
    <t>ANTIOCH CHIX BROCC&amp;CHS FZ</t>
  </si>
  <si>
    <t>ANTIOCH CHIX CRDN BLEU FZ</t>
  </si>
  <si>
    <t>ON COR CHICKEN PATTIES</t>
  </si>
  <si>
    <t>ANYTIZERS BBQ CHICKEN WINGS</t>
  </si>
  <si>
    <t>BAR S BEEF CORN DOGS</t>
  </si>
  <si>
    <t>ON COR CHICKEN STRIPS</t>
  </si>
  <si>
    <t>BAR S CORN DOGS</t>
  </si>
  <si>
    <t>ON COR CHIX &amp; CHS NBBLR</t>
  </si>
  <si>
    <t>ON COR CHIX STRIP W/CHS</t>
  </si>
  <si>
    <t>BAR S TURKEY CORN DOGS</t>
  </si>
  <si>
    <t>ON COR CHKN&amp;CHDR NIBBLERS</t>
  </si>
  <si>
    <t>BARBER BROC/CHS SINGLE</t>
  </si>
  <si>
    <t>ON COR DINOSAUR BITES</t>
  </si>
  <si>
    <t>BARBER CHICKEN KIEV</t>
  </si>
  <si>
    <t>PERDUE FUN SHAPE CHIX NUG</t>
  </si>
  <si>
    <t>BARBER CHIX W/BROC &amp; CHSE</t>
  </si>
  <si>
    <t>PERDUE* BUFFALO STRIPS</t>
  </si>
  <si>
    <t>BARBER CKN PARMESAN</t>
  </si>
  <si>
    <t>PERDUE* BUFFALO WINGS</t>
  </si>
  <si>
    <t>BARBER CORDON BLEU</t>
  </si>
  <si>
    <t>PERDUE* FC BOURBON CHIX</t>
  </si>
  <si>
    <t>BARBER CORDON BLEU SNGL</t>
  </si>
  <si>
    <t>PILG PRID BREAST TENDERS</t>
  </si>
  <si>
    <t>BARBER FC BROCC/CHS</t>
  </si>
  <si>
    <t>PILG PRID BUFLO STYL TENDRLN</t>
  </si>
  <si>
    <t>BARBER FC CORDON BLEU</t>
  </si>
  <si>
    <t>PILG PRID EW GRILL BRST STRP</t>
  </si>
  <si>
    <t>5.00 OZ</t>
  </si>
  <si>
    <t>CARIBBEAN JAM SPCY BEEF TRN</t>
  </si>
  <si>
    <t>PILG PRID WING ZINGS</t>
  </si>
  <si>
    <t>CARRIBEAN CHICKEN TURNOVER</t>
  </si>
  <si>
    <t>REDI SERV CHICKEN STRIPS</t>
  </si>
  <si>
    <t>FAST FIXN CHIC BREST TENDERS</t>
  </si>
  <si>
    <t>13.35 O</t>
  </si>
  <si>
    <t>STATEFAIR 5CT BEEF CORN DOGS</t>
  </si>
  <si>
    <t>FASTFIXIN CHICKEN NUGGETS</t>
  </si>
  <si>
    <t>STATEFAIR BF CORNDOG FRZ</t>
  </si>
  <si>
    <t>FASTFIXIN CHICKEN PATTY-BAG</t>
  </si>
  <si>
    <t>21.3 OZ</t>
  </si>
  <si>
    <t>STATEFAIR CORN DOG BEEF 8CT</t>
  </si>
  <si>
    <t>FASTFIXIN CHICKEN STRIPS</t>
  </si>
  <si>
    <t>STATEFAIR MINI CORNDOG 18CT</t>
  </si>
  <si>
    <t>FASTFIXIN CHICKEN STRIPS-BAG</t>
  </si>
  <si>
    <t>STATEFAIR ORIG CORN DOGS 6C</t>
  </si>
  <si>
    <t>FASTFIXIN CHICKN NUGGETS-BAG</t>
  </si>
  <si>
    <t>TYSON ALL NTRL BRST PTYS</t>
  </si>
  <si>
    <t>CATEGORY :       716016 FRZ BEEF PATTIES</t>
  </si>
  <si>
    <t>TYSON ALL NTRL BRST TNDR</t>
  </si>
  <si>
    <t>ARMOUR MEATBALLS</t>
  </si>
  <si>
    <t>TYSON ALL NTRL CHKN NGTS</t>
  </si>
  <si>
    <t>BIRCHWOOD BWF GRD BEEF PATTY</t>
  </si>
  <si>
    <t>TYSON ANTZR CHKN PEPPR</t>
  </si>
  <si>
    <t>BIRCHWOOD GRND BEEF PATTY</t>
  </si>
  <si>
    <t>BUBBA ORIGINAL BURGERS</t>
  </si>
  <si>
    <t>TYSON ANTZR CORDN BLEU</t>
  </si>
  <si>
    <t>BUBBA SWT ONION BURGERS</t>
  </si>
  <si>
    <t>CAB HLTN ANGUS BF CHK PATTY</t>
  </si>
  <si>
    <t>TYSON ANTZR HS CKN FRIES</t>
  </si>
  <si>
    <t>CAB HLTN BEEF CHUCK PATTIES</t>
  </si>
  <si>
    <t>TYSON ANTZR HT&amp;SPC CKNWG</t>
  </si>
  <si>
    <t>CARIBBEAN JAM MLD BEEF TRN</t>
  </si>
  <si>
    <t>TYSON ANYTZR BBQ CHKN WG</t>
  </si>
  <si>
    <t>EMPIRE HEN TRKY-PK4</t>
  </si>
  <si>
    <t>TYSON ANYTZR BUFFALO WNG</t>
  </si>
  <si>
    <t>FAST FIXN CHEESE BURGERS</t>
  </si>
  <si>
    <t>TYSON ANYTZR HBBQ BL CHK</t>
  </si>
  <si>
    <t>FASTFIXIN BEEF MEATBALLS</t>
  </si>
  <si>
    <t>TYSON ANYTZR MNI CKN BTE</t>
  </si>
  <si>
    <t>FLANDERS BEEF PATTIES</t>
  </si>
  <si>
    <t>TYSON ANYTZR POPCRN CHKN</t>
  </si>
  <si>
    <t>FLANDERS BEEF PATTIES 8/5</t>
  </si>
  <si>
    <t>TYSON ANYTZR RCH CKN FRS</t>
  </si>
  <si>
    <t>FROZEN S&amp;D WHL BEEF LIVER</t>
  </si>
  <si>
    <t>TYSON BREADED BRST FILET</t>
  </si>
  <si>
    <t>HOLTEN BEEF, PATTIES/VALU</t>
  </si>
  <si>
    <t>TYSON BREAST PATTIES</t>
  </si>
  <si>
    <t>HOLTEN THKNJCY BEEF PATTI</t>
  </si>
  <si>
    <t>TYSON BREAST TENDERS</t>
  </si>
  <si>
    <t>HOME MRKT ANGUS BF MEATBALLS</t>
  </si>
  <si>
    <t>TYSON BUFFALO BONELESS</t>
  </si>
  <si>
    <t>HOME MRKT ITALIAN MEATBALLS</t>
  </si>
  <si>
    <t>TYSON BUFFALO CHKN STRIP</t>
  </si>
  <si>
    <t>TYSON BUFFALO HOT WINGS</t>
  </si>
  <si>
    <t>HOME MRKT TURKEY MEATBALL</t>
  </si>
  <si>
    <t>JIMMYDEAN FRESH TASTE PATTIE</t>
  </si>
  <si>
    <t>TYSON BUFFALO POPCRN CHK</t>
  </si>
  <si>
    <t>38.4 OZ</t>
  </si>
  <si>
    <t>MAMALUCIA ITALIAN MEATBALLS</t>
  </si>
  <si>
    <t>TYSON CHKN BRST PATTIES</t>
  </si>
  <si>
    <t>MAMALUCIA SAUSAGE MEATBALL</t>
  </si>
  <si>
    <t>TYSON CRISPY CHKN STRIPS</t>
  </si>
  <si>
    <t>MINUT CHF ALL BEEF MEATBALLS</t>
  </si>
  <si>
    <t>TYSON FC HMSTYLE FRIES</t>
  </si>
  <si>
    <t>MURRY ALL BF QUARTER POU</t>
  </si>
  <si>
    <t>TYSON HNY BATTER BRT TND</t>
  </si>
  <si>
    <t>MURRY BEEF PATTIES</t>
  </si>
  <si>
    <t>TYSON HONEY BBQ BONELESS</t>
  </si>
  <si>
    <t>MURRY CHEDDAR BURGER</t>
  </si>
  <si>
    <t>TYSON HONEY BBQ STRIPS</t>
  </si>
  <si>
    <t>MURRY ITALIAN MEATBALL</t>
  </si>
  <si>
    <t>TYSON HONEY BBQ WING FM</t>
  </si>
  <si>
    <t>MURRY QUARTER POUNDER</t>
  </si>
  <si>
    <t>TYSON NUGGETS</t>
  </si>
  <si>
    <t>MURRY SUB STEAKS</t>
  </si>
  <si>
    <t>TYSON POPCORN CHKN BITES</t>
  </si>
  <si>
    <t>MURRY T-BONE STEAK 8OZ</t>
  </si>
  <si>
    <t>TYSON RNCH CHIC FRIES</t>
  </si>
  <si>
    <t>MURRYS GOURMET MEATBALL</t>
  </si>
  <si>
    <t>TYSON SPICY CHICK BRST F</t>
  </si>
  <si>
    <t>PHILLY ALL BEEF STEAK</t>
  </si>
  <si>
    <t>PHILLY ALL BF SANDWCH STK</t>
  </si>
  <si>
    <t>PHLY GRMT 32 OZ BEEF PATTY</t>
  </si>
  <si>
    <t>AIDELLS BUFFALO MEATBALLS</t>
  </si>
  <si>
    <t>PHLY GRMT 3OZ ALL BF PATTIES</t>
  </si>
  <si>
    <t>AIDELLS CHIPOLTE MEATBALLS</t>
  </si>
  <si>
    <t>PHLY GRMT 64 OZ BEEF PATTY</t>
  </si>
  <si>
    <t>AIDELLS SUN TOM MEAT BALL</t>
  </si>
  <si>
    <t>QKR MAID MA LUCIA HS MEATBL</t>
  </si>
  <si>
    <t>AIDELLS TRYAKI MEAT BALLS</t>
  </si>
  <si>
    <t>CATEGORY :       716020 FROZEN MISC MEAT</t>
  </si>
  <si>
    <t>QKR MAID MAMA LU ITALIAN ME</t>
  </si>
  <si>
    <t>HOT POCKT JALP STEAK/CHS</t>
  </si>
  <si>
    <t>QKRMAID PHILLYBEEFPATTY</t>
  </si>
  <si>
    <t>HOT POCKT MEATBALL/MOZZ</t>
  </si>
  <si>
    <t>QKRMAID PHILLYTHKNBEEFY</t>
  </si>
  <si>
    <t>HOT POCKT PEPP PIZZA</t>
  </si>
  <si>
    <t>QUAKER MD SANDWICH STEAKS</t>
  </si>
  <si>
    <t>HOT POCKT PHILLY STK/CHS</t>
  </si>
  <si>
    <t>HOT POCKT SSG/EGG/CHS</t>
  </si>
  <si>
    <t>REDI SERV TRAY WR VEAL PATTY</t>
  </si>
  <si>
    <t>HOT POCKT TRKY/HM/CHDR</t>
  </si>
  <si>
    <t>SKYLARK BF LIVER FRZN SLCD</t>
  </si>
  <si>
    <t>INL FZ FD CD SHRIMP ALFREDO</t>
  </si>
  <si>
    <t>STEAK UMM BF CHUCK BURGER</t>
  </si>
  <si>
    <t>INL FZ FD CD SHRIMP BISQUE</t>
  </si>
  <si>
    <t>STEAK UMM BURGER W/ONION</t>
  </si>
  <si>
    <t>INL FZ FD CD SHRIMP FRIED RI</t>
  </si>
  <si>
    <t>STEAK UMM ORIGINAL BURGER</t>
  </si>
  <si>
    <t>INL FZ FD CD SHRIMP LINGUINI</t>
  </si>
  <si>
    <t>VAN ORIEN CHICKEN EGG ROLLS</t>
  </si>
  <si>
    <t>24.2 OZ</t>
  </si>
  <si>
    <t>INL FZ FD CD SHRIMP STIR FRY</t>
  </si>
  <si>
    <t>VAN ORIEN PORK EGG ROLL</t>
  </si>
  <si>
    <t>27.25 O</t>
  </si>
  <si>
    <t>INL FZ FD CD SHRIMP&amp;SSG JAMB</t>
  </si>
  <si>
    <t>VAN ORIEN SHRIMP EGG ROLL</t>
  </si>
  <si>
    <t>INL FZ FD SHRIMP &amp; SAUS GMBO</t>
  </si>
  <si>
    <t>VAN ORIEN VEGGIE EGG ROLL</t>
  </si>
  <si>
    <t>27.3 OZ</t>
  </si>
  <si>
    <t>INL FZ FD SHRIMP CREOLE</t>
  </si>
  <si>
    <t>VDALE FROZEN ROLL CHILI</t>
  </si>
  <si>
    <t>LAURAS LN CKD BEEF POT ROAST</t>
  </si>
  <si>
    <t>WH CASTLE CHEESEBURGERS</t>
  </si>
  <si>
    <t>LAURAS LN COOKED BEEF BBQ</t>
  </si>
  <si>
    <t>29.3 OZ</t>
  </si>
  <si>
    <t>WH CASTLE CLUBPK CHSBRGR</t>
  </si>
  <si>
    <t>MINUT CHF SAUSAGE &amp; PEPPERS</t>
  </si>
  <si>
    <t>WH CASTLE HAMBURGERS</t>
  </si>
  <si>
    <t>MURRY CRINKLE FRENCH FRI</t>
  </si>
  <si>
    <t>WISCONSIN ANGUS APPTZR MTBLL</t>
  </si>
  <si>
    <t>2.53 LB</t>
  </si>
  <si>
    <t>MURRY HASH BROWN PATTIES</t>
  </si>
  <si>
    <t>WISCONSIN ANGUS ITALIAN MTBL</t>
  </si>
  <si>
    <t>MURRY SHOESTRING FRENCH</t>
  </si>
  <si>
    <t>MURRY STEAK FRENCH FRIES</t>
  </si>
  <si>
    <t>MURRY YAM PATTIES</t>
  </si>
  <si>
    <t>BOB EVANS BFSTBWL APL CN OAT</t>
  </si>
  <si>
    <t>3.94 OZ</t>
  </si>
  <si>
    <t>ODOM'S MPL SSG/EGG/CHZ CR</t>
  </si>
  <si>
    <t>BOB EVANS BFSTBWL BLBRY OATM</t>
  </si>
  <si>
    <t>ODOM'S SSG/EGG/CHZ CROISS</t>
  </si>
  <si>
    <t>BOB EVANS BREAKFAST BAKE36OZ</t>
  </si>
  <si>
    <t>4.19 OZ</t>
  </si>
  <si>
    <t>ODOM'S SSGE/EGG/CHZ BISCU</t>
  </si>
  <si>
    <t>BOB EVANS CHIP BEEF</t>
  </si>
  <si>
    <t>PCF VALLY TATER PATTIES 10CT</t>
  </si>
  <si>
    <t>BOB EVANS FROZ ITALIAN HOT</t>
  </si>
  <si>
    <t>PCF VALLY TATER PATTIES 20CT</t>
  </si>
  <si>
    <t>BOB EVANS GREEN BEAN CASSERL</t>
  </si>
  <si>
    <t>PILG PRID F/C BUFF WINGS</t>
  </si>
  <si>
    <t>DINERS CH COUNTRY MASHED POT</t>
  </si>
  <si>
    <t>PILG PRID F/C CHIX NUGGETS</t>
  </si>
  <si>
    <t>DINERS CH GARLIC MASHED</t>
  </si>
  <si>
    <t>PILG PRID F/C CHIX STICKS</t>
  </si>
  <si>
    <t>DINERS CH MASHED POTATOES</t>
  </si>
  <si>
    <t>PILG PRID F/C POPCORN CHIX</t>
  </si>
  <si>
    <t>DINERS CH SWEET MASHED</t>
  </si>
  <si>
    <t>REGALKING CHKN APL CRNBRY PW</t>
  </si>
  <si>
    <t>EMPIRE IQF WING DRUMETTES</t>
  </si>
  <si>
    <t>REGALKING CHKN CORD BLEU PNW</t>
  </si>
  <si>
    <t>FEAT IQF PARTY WING</t>
  </si>
  <si>
    <t>REGALKING CHKN MUSHROM PNWHL</t>
  </si>
  <si>
    <t>GOL PAK JMB IQF CHIX WINGS</t>
  </si>
  <si>
    <t>TASTEE CH SHMP BSMTI RICE&amp;VG</t>
  </si>
  <si>
    <t>HOT POCKT BEEF &amp; CHEDDAR</t>
  </si>
  <si>
    <t>TASTEE CH SHMP ITLN LNG&amp;VEG</t>
  </si>
  <si>
    <t>HOT POCKT CHEESEBURGER</t>
  </si>
  <si>
    <t>TASTEE CH SHMP PSTA PRIMAVRA</t>
  </si>
  <si>
    <t>HOT POCKT CHICKEN MELT</t>
  </si>
  <si>
    <t>TASTEE CH SHMP VEG&amp;ASN NDLS</t>
  </si>
  <si>
    <t>HOT POCKT HAM &amp; CHEESE</t>
  </si>
  <si>
    <t>3.44 OZ</t>
  </si>
  <si>
    <t>TENN PRID IW BCNEGGCHS BISCT</t>
  </si>
  <si>
    <t>CATEGORY :       9980010 MISCELLANEOUS CREAMS</t>
  </si>
  <si>
    <t>TENN PRID IW SSGEGGCHS MUFFN</t>
  </si>
  <si>
    <t>INTL DLGT REDCD SUGAR FR VAN</t>
  </si>
  <si>
    <t>3.20 OZ</t>
  </si>
  <si>
    <t>TENNPRIDE 2PK SAU &amp; BISCUIT</t>
  </si>
  <si>
    <t>INTL DLGT REDCD SUGAR HAZLNT</t>
  </si>
  <si>
    <t>TENNPRIDE H SAU/EGG/CHS BISC</t>
  </si>
  <si>
    <t>INTL DLGT WHT CHOC MACADAMIA</t>
  </si>
  <si>
    <t>TYSON CHICKEN FAJITA</t>
  </si>
  <si>
    <t>INTL DLT CREAMER AMARETTO</t>
  </si>
  <si>
    <t>INTL DLT CREAMER IRISH CRM</t>
  </si>
  <si>
    <t>INTL DLT HAZELNUT</t>
  </si>
  <si>
    <t>COFFEE MT CREAM COFFEE/LIQD</t>
  </si>
  <si>
    <t>INTL DLT SOUTHERN BTR PECAN</t>
  </si>
  <si>
    <t>COFFEE MT CREAMER HAZELNT ND</t>
  </si>
  <si>
    <t>LANDOLAKE FAT FREE HALF/HALF</t>
  </si>
  <si>
    <t>LANDOLAKE HALF &amp; HALF</t>
  </si>
  <si>
    <t>COFFEE MT CRM FRENCH VANILLA</t>
  </si>
  <si>
    <t>LANDOLAKE HALF N HALF</t>
  </si>
  <si>
    <t>COFFEE MT FAT FREE CREAMER</t>
  </si>
  <si>
    <t>LANDOLAKE HALF/HALF FF</t>
  </si>
  <si>
    <t>COFFEE MT FRNCH VANILLA CRMR</t>
  </si>
  <si>
    <t>LANDOLAKE LOW FAT HALF&amp;HALF</t>
  </si>
  <si>
    <t>COFFEE MT SF FRENCH VANILLA</t>
  </si>
  <si>
    <t>NESTLE COFFEEMATE EGGNOG</t>
  </si>
  <si>
    <t>COFFEE MT SUGAR FREE HAZLNUT</t>
  </si>
  <si>
    <t>RICHFOOD COFFEE CREAMER</t>
  </si>
  <si>
    <t>COFFEE MT VANILLA FATFREE</t>
  </si>
  <si>
    <t>RICHFOOD HALF &amp; HALF</t>
  </si>
  <si>
    <t>COFFEEMAT COCONUT CREME</t>
  </si>
  <si>
    <t>COFFEEMAT CREAM COFFEE/LIQD</t>
  </si>
  <si>
    <t>COFFEEMAT CREAMER FF HAZELNT</t>
  </si>
  <si>
    <t>RICHFOOD HALF &amp; HALF CRMR F</t>
  </si>
  <si>
    <t>COFFEEMAT FF FRENCH VANILLA</t>
  </si>
  <si>
    <t>RICHFOOD HALF &amp; HALF FF</t>
  </si>
  <si>
    <t>COFFEEMAT FF VAN CARAMEL LQ</t>
  </si>
  <si>
    <t>RICHFOOD NON-DAIRY CREAMER</t>
  </si>
  <si>
    <t>COFFEEMAT GINGERBREAD</t>
  </si>
  <si>
    <t>CATEGORY :       9002011 UNICED CAKES</t>
  </si>
  <si>
    <t>COFFEEMAT PUMPKIN SPICE</t>
  </si>
  <si>
    <t>COFFEEMAT SPCL EDTN #1</t>
  </si>
  <si>
    <t>BEST BRND 1/2 SH UNICD CHOC</t>
  </si>
  <si>
    <t>COFFEEMAT VANILLA CARAMEL</t>
  </si>
  <si>
    <t>BEST BRND 1/2SH UNICD MRB CK</t>
  </si>
  <si>
    <t>COFFEEMAT WC CL ITAL SWT LQ</t>
  </si>
  <si>
    <t>BEST BRND 8INRD UNICD CAR CAK</t>
  </si>
  <si>
    <t>COFFEEMAT WC CL TIRAMIS LQ</t>
  </si>
  <si>
    <t>BEST BRND 8INRD UNICD CHC LYR</t>
  </si>
  <si>
    <t>COFFEEMAT WC COL HZLN BIS LQ</t>
  </si>
  <si>
    <t>BEST BRND 8INRD UNICD MRB LYR</t>
  </si>
  <si>
    <t>INTL DLGT CARBN CINN CREME</t>
  </si>
  <si>
    <t>BEST BRND 9INWHT HRT LYR CAKE</t>
  </si>
  <si>
    <t>INTL DLGT CARIBN CINN CREME</t>
  </si>
  <si>
    <t>BEST BRND DBLE CHOC CAKE SLC</t>
  </si>
  <si>
    <t>INTL DLGT CRM FRENCH VANILLA</t>
  </si>
  <si>
    <t>DAWN 7IN CARROT CRM CHS</t>
  </si>
  <si>
    <t>INTL DLGT CRMR FRENCH VANLLA</t>
  </si>
  <si>
    <t>DAWN 7IN CHOC FDG LYR CK</t>
  </si>
  <si>
    <t>INTL DLGT DULCE DE LELECHE</t>
  </si>
  <si>
    <t>GIVE N GO 2 BITE CARROT CAKE</t>
  </si>
  <si>
    <t>INTL DLGT ENGL ALMND TOFFEE</t>
  </si>
  <si>
    <t>LABREES 8IN SL CHOC CAKE</t>
  </si>
  <si>
    <t>INTL DLGT FAT FREE FRNCH VAN</t>
  </si>
  <si>
    <t>LAWLERS 9IN CHOC ERUPTION</t>
  </si>
  <si>
    <t>INTL DLGT FF FRENCH VANILLA</t>
  </si>
  <si>
    <t>RICH'S 8IN CARROT UNICED</t>
  </si>
  <si>
    <t>INTL DLGT HAZELNUT CREAMER</t>
  </si>
  <si>
    <t>RICH'S R&amp;M 1/2 SHT DEVILS</t>
  </si>
  <si>
    <t>INTL DLGT IRISH CREAM</t>
  </si>
  <si>
    <t>RICH'S R&amp;M 8IN CHOC LAYER</t>
  </si>
  <si>
    <t>INTL DLGT LE CHOCOLAT ECLAIR</t>
  </si>
  <si>
    <t>58 OZ</t>
  </si>
  <si>
    <t>RICH'S ZTF 1/2 SHT CHC CK</t>
  </si>
  <si>
    <t>INTL DLGT LE WHT CHOC COCONT</t>
  </si>
  <si>
    <t>RICH'S ZTF 8IN CHOC LYR CK</t>
  </si>
  <si>
    <t>CATEGORY :       9007012 MISC COOKIE DOUGH</t>
  </si>
  <si>
    <t>RICHS ZTF 1/2 YLW MARBLE</t>
  </si>
  <si>
    <t>SCHWANS 8IN UB CHERRY PIE</t>
  </si>
  <si>
    <t>SPECIALTY CHOCOLAT CAKE ROLL</t>
  </si>
  <si>
    <t>SPECIALTY #5916 LEMON 4INPIE</t>
  </si>
  <si>
    <t>WT WTCHRS CHOC CAKE/CHOC ICN</t>
  </si>
  <si>
    <t>SPECIALTY 4IN CHERRY PIENSA</t>
  </si>
  <si>
    <t>SPECIALTY 4INBLUEBERRY PIENSA</t>
  </si>
  <si>
    <t>SPECIALTY 4INCHRY PIES BK SHP</t>
  </si>
  <si>
    <t>CNTRY HOM CHC CHP CKY ON STK</t>
  </si>
  <si>
    <t>SPECIALTY 8INBLUBRRY BX #8507</t>
  </si>
  <si>
    <t>CNTRY HOM CHC CHP W/CNDY CKI</t>
  </si>
  <si>
    <t>SPECIALTY 8INBLUEBERRY PIE BK</t>
  </si>
  <si>
    <t>HILL&amp;VLLY SF CHOC CHNK CKIES</t>
  </si>
  <si>
    <t>SPECIALTY 8INCHERRY PIE BAKED</t>
  </si>
  <si>
    <t>LOFTHOUSE 12INCHC/CHP PAN CKY</t>
  </si>
  <si>
    <t>SPECIALTY 8INCHRY NSA BX#8812</t>
  </si>
  <si>
    <t>LOFTHOUSE CANDY BITE COOKIES</t>
  </si>
  <si>
    <t>SPECIALTY 8INCHRY PIE BX#8502</t>
  </si>
  <si>
    <t>LOFTHOUSE CHOC CHUNK COOKIES</t>
  </si>
  <si>
    <t>SPECIALTY 8INHRVBRY PIBX#8509</t>
  </si>
  <si>
    <t>LOFTHOUSE OATMEAL RSN COOKIE</t>
  </si>
  <si>
    <t>SPECIALTY 8INLEMN CRMB PIE UB</t>
  </si>
  <si>
    <t>PENNANT CHOC CHIP COOKIE</t>
  </si>
  <si>
    <t>SPECIALTY 8INLMN CRMB BX#8511</t>
  </si>
  <si>
    <t>PENNANT CHOC CHUNK COOKIE</t>
  </si>
  <si>
    <t>SPECIALTY 8INNSA BLBRY PIE BK</t>
  </si>
  <si>
    <t>PENNANT COCONUT PCN COOKIE</t>
  </si>
  <si>
    <t>SPECIALTY 8INNSA CHRY PIES BK</t>
  </si>
  <si>
    <t>PENNANT GRMN CHOC COOKIE</t>
  </si>
  <si>
    <t>SPECIALTY NSA STRWBRYRHB PIE</t>
  </si>
  <si>
    <t>PENNANT OAT RSN COOKIE</t>
  </si>
  <si>
    <t>SPECIALTY PIE 4IN BKD BLUEBY</t>
  </si>
  <si>
    <t>PENNANT OAT/RSN COOKIE</t>
  </si>
  <si>
    <t>DAWN RAISED A DONUT MIX</t>
  </si>
  <si>
    <t>PENNANT PEANUT BTR COOKIE</t>
  </si>
  <si>
    <t>FRESHLEYS 6PK MINI DONUTS</t>
  </si>
  <si>
    <t>PENNANT PNT BTR COOKIE</t>
  </si>
  <si>
    <t>FRESHLEYS CHOC MINI DONUTS</t>
  </si>
  <si>
    <t>PENNANT WHT CHOC MAC COOKI</t>
  </si>
  <si>
    <t>FRESHLEYS SUGAR MINI DONUTS</t>
  </si>
  <si>
    <t>PILLSBURY BROWNIE COOKIES</t>
  </si>
  <si>
    <t>GRANNY ASST 12CT CAKE DON</t>
  </si>
  <si>
    <t>RICH'S CHOC CHIP COOKIE</t>
  </si>
  <si>
    <t>GRANNY BLUEBERRY DONUT</t>
  </si>
  <si>
    <t>RICH'S OATMEAL RSN COOKIE</t>
  </si>
  <si>
    <t>GRANNY GLDN RNG DONT DOGH</t>
  </si>
  <si>
    <t>RICH'S PEANUT BTR COOKIE</t>
  </si>
  <si>
    <t>GRANNY OLD FASH SOUR CREA</t>
  </si>
  <si>
    <t>SCHULSTAD DOUBLE CHOC DANISH</t>
  </si>
  <si>
    <t>GRANNY OLD FASHION CHOCO</t>
  </si>
  <si>
    <t>7.90 OZ</t>
  </si>
  <si>
    <t>WEIGHTWTC WW PEANUT BTR COOK</t>
  </si>
  <si>
    <t>GRANNY PREPACK 12CT GLAZE</t>
  </si>
  <si>
    <t>BONERTS 8IN NSA PINEAPPLE</t>
  </si>
  <si>
    <t>GRANNY SHELL DONUT</t>
  </si>
  <si>
    <t>BONERTS 8IN STRAWBERRY</t>
  </si>
  <si>
    <t>GRANNY VANILLA CAKE DONUT</t>
  </si>
  <si>
    <t>BONERTS RAW MINCE PIE</t>
  </si>
  <si>
    <t>GRANNY YEAST RSD DNT HOLE</t>
  </si>
  <si>
    <t>FLOWERS FRUIT BERRY PIE</t>
  </si>
  <si>
    <t>MAPLE DNT 6PK GLAZED DNT</t>
  </si>
  <si>
    <t>FLOWERS FRUIT CHERRY PIE</t>
  </si>
  <si>
    <t>MAPLE DNT CHOC GEMS</t>
  </si>
  <si>
    <t>FLOWERS FRUIT LEMON PIE</t>
  </si>
  <si>
    <t>MAPLE DNT CRUNCH GEMS</t>
  </si>
  <si>
    <t>GARDNER 9IN CHERRY PIE</t>
  </si>
  <si>
    <t>MAPLE DNT GLAZED DONUTS</t>
  </si>
  <si>
    <t>HILL&amp;VLLY NSA 1/2 CHERRY PIE</t>
  </si>
  <si>
    <t>MAPLE DNT JUMBO  GLAZED</t>
  </si>
  <si>
    <t>HILL&amp;VLLY SF 1/2BKD PCH PIE</t>
  </si>
  <si>
    <t>MAPLE DNT JUMBO GLAZE DONUT</t>
  </si>
  <si>
    <t>HILL&amp;VLLY SF BK 1/2 BLBRY PI</t>
  </si>
  <si>
    <t>MAPLE DNT POWDERED GEMS</t>
  </si>
  <si>
    <t>ROCKY MTN 8IN NSA BLUEBERRY</t>
  </si>
  <si>
    <t>RICH'S BAVARIAN DONUT</t>
  </si>
  <si>
    <t>SCHWANS 8IN UB BLUEBRRY PIE</t>
  </si>
  <si>
    <t>RICH'S BAVARIAN LONG JOHN</t>
  </si>
  <si>
    <t>CATEGORY :       9012013 MISC SWEET DOUGHS</t>
  </si>
  <si>
    <t>RICH'S BISMARKS, JLLY FLL</t>
  </si>
  <si>
    <t>DAWN HANNAH STRWBLB MUF</t>
  </si>
  <si>
    <t>RICH'S CHOC CAKE DONUT</t>
  </si>
  <si>
    <t>FIERAFOOD APPLETURNOVER</t>
  </si>
  <si>
    <t>RICH'S DLX PERSHING DGH</t>
  </si>
  <si>
    <t>FIERAFOOD BLUEBERRYTURNOVERS</t>
  </si>
  <si>
    <t>RICH'S JMBO SR CRM PLD FS</t>
  </si>
  <si>
    <t>FIERAFOOD CHEDDERCHSECROISNT</t>
  </si>
  <si>
    <t>RICH'S JUMBO BLUEBERRY</t>
  </si>
  <si>
    <t>FIERAFOOD CHERRY TURNOVERS</t>
  </si>
  <si>
    <t>RICH'S JUMBO CAKE DONUT</t>
  </si>
  <si>
    <t>FIERAFOOD CHOCFILLEDCROISSNT</t>
  </si>
  <si>
    <t>RICH'S JUMBO CINNMN BUN*</t>
  </si>
  <si>
    <t>FIERAFOOD NSAPPLETURNOVER</t>
  </si>
  <si>
    <t>RICH'S LEMON FILLED DONUT</t>
  </si>
  <si>
    <t>FIERAFOOD SANDWICHCROISSANT</t>
  </si>
  <si>
    <t>RICH'S POTATO DONUT DOUGH</t>
  </si>
  <si>
    <t>FIERAFOOD STRAWBRRYCHSECRSNT</t>
  </si>
  <si>
    <t>RICH'S PUMPKIN CAKE DONUT</t>
  </si>
  <si>
    <t>FREED CHOC CHIP MINI MF</t>
  </si>
  <si>
    <t>MAPLE DNT T&amp;S 4PK APPLE FRIT</t>
  </si>
  <si>
    <t>FREED CORN MINI MF</t>
  </si>
  <si>
    <t>GIVE N GO 2B BLUBRY SCONE</t>
  </si>
  <si>
    <t>FRESHLEYS BUDDY BARS 12CT</t>
  </si>
  <si>
    <t>GIVE N GO 2BLEMNPPYSCNNOLABL</t>
  </si>
  <si>
    <t>FRESHLEYS OATMEAL CREME 12CT</t>
  </si>
  <si>
    <t>GIVE N GO BRWNIS SCONE</t>
  </si>
  <si>
    <t>GIVE N GO 2BCRMLTOFSCNNLABLE</t>
  </si>
  <si>
    <t>GIVENGO ORNGCRAN SCONE</t>
  </si>
  <si>
    <t>GIVE N GO 2BITE CINN SCONES</t>
  </si>
  <si>
    <t>PILLSBURY BAKED BISCUIT</t>
  </si>
  <si>
    <t>GIVE N GO 2BITE CRML TFF SCN</t>
  </si>
  <si>
    <t>PILLSBURY BISCUIT DOUGH</t>
  </si>
  <si>
    <t>GIVE N GO 2BT BRWN CRM CHS T</t>
  </si>
  <si>
    <t>PILLSBURY VARIETY PK SCONES</t>
  </si>
  <si>
    <t>GIVE N GO CHOC PECAN CROSTAT</t>
  </si>
  <si>
    <t>TITTERNGT CRAN/ORANGE SCONE</t>
  </si>
  <si>
    <t>GIVE N GO PECAN CROSTATA</t>
  </si>
  <si>
    <t>TITTERNGT WILD BLBRY SCONE</t>
  </si>
  <si>
    <t>GIVE N GO RASPBERRY CROSTATA</t>
  </si>
  <si>
    <t>6-36 OZ</t>
  </si>
  <si>
    <t>HADLEYFRM CROISSANT</t>
  </si>
  <si>
    <t>MUFFINTWN 12 CORN BREAD LF</t>
  </si>
  <si>
    <t>BEST BRND ASSRTAPDCLMMFNS</t>
  </si>
  <si>
    <t>MUFFINTWN 12 PK BANANA LOAF</t>
  </si>
  <si>
    <t>BEST BRND BUTTER RUM PD MUFF</t>
  </si>
  <si>
    <t>MUFFINTWN 12PK BLUEBRRY LOAF</t>
  </si>
  <si>
    <t>BEST BRND CHOC CHIP MUFFIN</t>
  </si>
  <si>
    <t>MUFFINTWN 12PK CHC SNCK LOAF</t>
  </si>
  <si>
    <t>BEST BRND CINN CHIP PD MUFFN</t>
  </si>
  <si>
    <t>MUFFINTWN L/F CRN/ORG MUF 4P</t>
  </si>
  <si>
    <t>BEST BRND CORN MINI MUFFIN</t>
  </si>
  <si>
    <t>MUFFINTWN L/W CORN BREAD</t>
  </si>
  <si>
    <t>BEST BRND CORN MUFFIN</t>
  </si>
  <si>
    <t>PENNANT APPLE TURNOVER</t>
  </si>
  <si>
    <t>BEST BRND CRNBRY ORNG PD MUF</t>
  </si>
  <si>
    <t>PENNANT CHERRY TURNOVER</t>
  </si>
  <si>
    <t>BEST BRND DBL CHOC MINI MUFN</t>
  </si>
  <si>
    <t>UNC WALLY FF CHOCO MUFFIN</t>
  </si>
  <si>
    <t>BEST BRND FRNCH VANIL MUFFIN</t>
  </si>
  <si>
    <t>UNC WALLY FF CRAN/ORG MUFFIN</t>
  </si>
  <si>
    <t>BEST BRND P MUFFIN STRAWBERR</t>
  </si>
  <si>
    <t>UNC WALLY ORNG CRMSICLE MUFN</t>
  </si>
  <si>
    <t>BEST BRND PD PISTACHIO MUFFN</t>
  </si>
  <si>
    <t>UNC WALLY SF BRAN MUFFIN</t>
  </si>
  <si>
    <t>BEST BRND PDM DOUBLE DUTCH</t>
  </si>
  <si>
    <t>UNC WALLY STRAW SHRTCK MUFFN</t>
  </si>
  <si>
    <t>BEST BRND PDM RAISIN BRAN</t>
  </si>
  <si>
    <t>UPER CRST APPLE BITE</t>
  </si>
  <si>
    <t>DAWN 8X8 CORN BREAD</t>
  </si>
  <si>
    <t>UPER CRST MINI CROISSANTS</t>
  </si>
  <si>
    <t>DAWN ADM DONUT FRY</t>
  </si>
  <si>
    <t>UPER CRST STRAWBERRY BITE</t>
  </si>
  <si>
    <t>DAWN CHOC CHIP MINI MUF</t>
  </si>
  <si>
    <t>WHITEEAGL WHTEAGLECHRUSCIKI</t>
  </si>
  <si>
    <t>DAWN EX LRG CROISSANTS</t>
  </si>
  <si>
    <t>WT WTCHRS DBLE CHOC MUFFINS</t>
  </si>
  <si>
    <t>CATEGORY :       9014013 MISC SWEET DOUGHS</t>
  </si>
  <si>
    <t>ALVARADO FLAX SEED BREAD</t>
  </si>
  <si>
    <t>ECCEPANIS SESAME ITALIAN BRD</t>
  </si>
  <si>
    <t>ALVARADO NO SALT MULTIGRAIN</t>
  </si>
  <si>
    <t>ECCEPANIS SUNDRIED TOMATO</t>
  </si>
  <si>
    <t>ALVARADO ORGANIC MULTIGRAIN</t>
  </si>
  <si>
    <t>GONNELLA 2LB COUNTRY RYE BR</t>
  </si>
  <si>
    <t>ALVARADO SOY CRUNCH BREAD</t>
  </si>
  <si>
    <t>GONNELLA 2LB PUMPRNICKEL BR</t>
  </si>
  <si>
    <t>ALVARADO SPR SOUR DOUGH BRD</t>
  </si>
  <si>
    <t>GONNELLA 2LB RYE WITH SEEDS</t>
  </si>
  <si>
    <t>ALVARADO SPRTD WHEAT RAISIN</t>
  </si>
  <si>
    <t>GONNELLA BRD DGH SOUR RYE W</t>
  </si>
  <si>
    <t>BACKRHAUS CARAWAY BREAD</t>
  </si>
  <si>
    <t>GONNELLA BRD DGH SUNFLOWER</t>
  </si>
  <si>
    <t>BACKRHAUS OLIVE BREAD</t>
  </si>
  <si>
    <t>GONNELLA BREAD DGH SOUR ROU</t>
  </si>
  <si>
    <t>BACKRHAUS PANE MEDITERRANEO</t>
  </si>
  <si>
    <t>GONNELLA BREAD STICKS 10IN</t>
  </si>
  <si>
    <t>BACKRHAUS POTATOSCLLNBREAD</t>
  </si>
  <si>
    <t>GONNELLA BREAD WHITE 18 OZ</t>
  </si>
  <si>
    <t>CHABASO CIAB RSMRY STX 3PK</t>
  </si>
  <si>
    <t>GONNELLA CINN RAISIN LOAF</t>
  </si>
  <si>
    <t>CHABASO CIAB RST DEM BAGUT</t>
  </si>
  <si>
    <t>GONNELLA CLASSIC BAGUETTE</t>
  </si>
  <si>
    <t>CHABASO CIAB RST GRLC BAGT</t>
  </si>
  <si>
    <t>GONNELLA ENGLISH MUFFIN BRD</t>
  </si>
  <si>
    <t>CHABASO CIABATA RAININ GRN</t>
  </si>
  <si>
    <t>GONNELLA FOCACCIA DOUGH</t>
  </si>
  <si>
    <t>CHABASO CIABATA W/OLVE OIL</t>
  </si>
  <si>
    <t>GONNELLA FRENCH BOULE</t>
  </si>
  <si>
    <t>CHABASO CIABT OIL STX 3 PK</t>
  </si>
  <si>
    <t>GONNELLA FRENCH ITLN BRD</t>
  </si>
  <si>
    <t>CHABASO HOT PEPPER STIX</t>
  </si>
  <si>
    <t>GONNELLA GARLIC HERB MINI</t>
  </si>
  <si>
    <t>CHABASO MORRO OLIVE STIX</t>
  </si>
  <si>
    <t>GONNELLA GFP MINI LOAF</t>
  </si>
  <si>
    <t>CHABASO ROASTGARLIC STIX</t>
  </si>
  <si>
    <t>GONNELLA IRISH SODA BREAD</t>
  </si>
  <si>
    <t>CHABASO TOAST ONION STIX</t>
  </si>
  <si>
    <t>GONNELLA LARGE 6 GRAIN BREA</t>
  </si>
  <si>
    <t>CLNRY CRC GARLIC NAAN BREAD</t>
  </si>
  <si>
    <t>GONNELLA MLTGRN BAGET DGH</t>
  </si>
  <si>
    <t>CLNRY CRC MULT GRN NAAN BRED</t>
  </si>
  <si>
    <t>GONNELLA MOUNTAIN BREAD</t>
  </si>
  <si>
    <t>CLNRY CRC TANDORI ORIG NAAN</t>
  </si>
  <si>
    <t>GONNELLA MULTI GRAIN BREAD</t>
  </si>
  <si>
    <t>DAWN 8X8 SW CORN BREAD</t>
  </si>
  <si>
    <t>GONNELLA PANE ITALIANO</t>
  </si>
  <si>
    <t>ECCEPANIS CIABATTA BREAD</t>
  </si>
  <si>
    <t>GONNELLA PANE TOSCANO BREAD</t>
  </si>
  <si>
    <t>ECCEPANIS COUNTRY WHITE BRD</t>
  </si>
  <si>
    <t>GONNELLA PLAIN RAISIN BREAD</t>
  </si>
  <si>
    <t>ECCEPANIS FRENCH BAGUETTE</t>
  </si>
  <si>
    <t>GONNELLA RUSTIC BREAD</t>
  </si>
  <si>
    <t>ECCEPANIS GARLIC DEMI</t>
  </si>
  <si>
    <t>GONNELLA SEMOLINA BREAD</t>
  </si>
  <si>
    <t>ECCEPANIS LT SOUR DOUGH BOUL</t>
  </si>
  <si>
    <t>GONNELLA SOUR MINI LOAF</t>
  </si>
  <si>
    <t>ECCEPANIS MULTIGRAIN BOULE</t>
  </si>
  <si>
    <t>GONNELLA UKR ANIAN BRD DOUG</t>
  </si>
  <si>
    <t>ECCEPANIS NEO TUSCAN BOULE</t>
  </si>
  <si>
    <t>GONNELLA WHEAT FRENCH DOUGH</t>
  </si>
  <si>
    <t>ECCEPANIS NEO TUSCAN DEMI</t>
  </si>
  <si>
    <t>HRVST TME FB&amp;B AN MBL CKT RY</t>
  </si>
  <si>
    <t>ECCEPANIS ORGANIC SUNFLOWER</t>
  </si>
  <si>
    <t>HRVST TME FB&amp;B AN MBLRYESPLT</t>
  </si>
  <si>
    <t>ECCEPANIS PANE DOLCE BREAD</t>
  </si>
  <si>
    <t>HRVST TME FB&amp;B AN PLN CKT RY</t>
  </si>
  <si>
    <t>ECCEPANIS RAISIN PECAN BREAD</t>
  </si>
  <si>
    <t>HRVST TME FB&amp;B AN PLNRYESPLT</t>
  </si>
  <si>
    <t>ECCEPANIS ROAST GRLC ITALIAN</t>
  </si>
  <si>
    <t>HRVST TME FB&amp;B AN PMP CKT RY</t>
  </si>
  <si>
    <t>ECCEPANIS ROSEMARY PANE</t>
  </si>
  <si>
    <t>HRVST TME FB&amp;B AN PMPRYESPLT</t>
  </si>
  <si>
    <t>ECCEPANIS SEMOLINA BATARD</t>
  </si>
  <si>
    <t>HRVST TME FB&amp;B AN SEDCKT RYE</t>
  </si>
  <si>
    <t>ECCEPANIS SEMOLINA DEMI</t>
  </si>
  <si>
    <t>HRVST TME FB&amp;B AN SEDRYESPLT</t>
  </si>
  <si>
    <t>CATEGORY :       9015010 WENNER ROLL DOUGH</t>
  </si>
  <si>
    <t>HRVST TME FB&amp;B AN TUS CKT RY</t>
  </si>
  <si>
    <t>BACKERHAU LOWSALTSWISSBOULE</t>
  </si>
  <si>
    <t>HRVST TME FB&amp;B ITALIAN</t>
  </si>
  <si>
    <t>BACKRHAUS FLAX &amp; OAT PANINI</t>
  </si>
  <si>
    <t>HRVST TME PB AN MONTANA DEMI</t>
  </si>
  <si>
    <t>BACKRHAUS GARLIC PANINI</t>
  </si>
  <si>
    <t>HRVST TME PB AN ONIN RYE BRD</t>
  </si>
  <si>
    <t>BACKRHAUS MULTI PANINI</t>
  </si>
  <si>
    <t>HRVST TME PB AN PMP RYE BOUL</t>
  </si>
  <si>
    <t>BACKRHAUS PRETZEL BUN</t>
  </si>
  <si>
    <t>HRVST TME PB AN SD RYE BOULE</t>
  </si>
  <si>
    <t>BACKRHAUS SESAME PANINI</t>
  </si>
  <si>
    <t>HRVST TME WW 8 GRN OMEGA3 LF</t>
  </si>
  <si>
    <t>ECCEPANIS CIABATTA ROLLS 4PK</t>
  </si>
  <si>
    <t>MAPLE LF WHITE BAGUETTE</t>
  </si>
  <si>
    <t>ECCEPANIS FOCACCIA BREAD</t>
  </si>
  <si>
    <t>PILLSBURY RTO FOCACA BRD DGH</t>
  </si>
  <si>
    <t>ECCEPANIS FOCACCIA ROLLS 4PK</t>
  </si>
  <si>
    <t>RICH'S FRENCH BREAD DOUGH</t>
  </si>
  <si>
    <t>FLOWERS OST PARTY ROLLS</t>
  </si>
  <si>
    <t>RICH'S ITALIAN BREAD</t>
  </si>
  <si>
    <t>GONNELLA BOLLILLO RLL DOUGH</t>
  </si>
  <si>
    <t>RICH'S ITALIAN/FRENCH F2</t>
  </si>
  <si>
    <t>GONNELLA ONION ROLL DOUGH</t>
  </si>
  <si>
    <t>RICH'S POTATO BREAD DOUGH</t>
  </si>
  <si>
    <t>TOUFAYAN 6IN STEAK ROLLS</t>
  </si>
  <si>
    <t>RICH'S WHITE BREAD</t>
  </si>
  <si>
    <t>TOUFAYAN 8IN SUB ROLLS</t>
  </si>
  <si>
    <t>VIEIRA PORTUGESE ROLL</t>
  </si>
  <si>
    <t>VIEIRA 10PK MINI PORT ROL</t>
  </si>
  <si>
    <t>VIEIRA SALOIO LOAF</t>
  </si>
  <si>
    <t>VIEIRA 6PK PRTUGUES ROLLS</t>
  </si>
  <si>
    <t>VIEIRA WHET RASN WALNU BR</t>
  </si>
  <si>
    <t>VIEIRA'S BOLLILO ROLL 6PK</t>
  </si>
  <si>
    <t>VIEIRA WHIT CHOC LOAF BR</t>
  </si>
  <si>
    <t>VIEIRA'S KAISER ROLL 6PK</t>
  </si>
  <si>
    <t>WENNER BRAIDED CHALLAH</t>
  </si>
  <si>
    <t>VIEIRA'S MINI ARTISAN 12PK</t>
  </si>
  <si>
    <t>WENNER BRD CHALLAH ROUND</t>
  </si>
  <si>
    <t>VIEIRA'S MINI PORT ROLL 10P</t>
  </si>
  <si>
    <t>WENNER CHALLAH W/ RAISINS</t>
  </si>
  <si>
    <t>WENNER LG KAISER ROLL</t>
  </si>
  <si>
    <t>WENNER CIN RAIS BRD</t>
  </si>
  <si>
    <t>WENNER MINI EGG TWIST</t>
  </si>
  <si>
    <t>WENNER ENG TOASTING LOAF</t>
  </si>
  <si>
    <t>WENNER ONION ROLL</t>
  </si>
  <si>
    <t>WENNER IRISH SODA BREAD</t>
  </si>
  <si>
    <t>WENNER SUBMARINE ROLL</t>
  </si>
  <si>
    <t>WENNER ITALIAN BREAD</t>
  </si>
  <si>
    <t>WENNER SWT CAROLINA CLSTR</t>
  </si>
  <si>
    <t>WENNER PARBK FR BAGUETTE</t>
  </si>
  <si>
    <t>WENNER SWT DIAMOND YST RL</t>
  </si>
  <si>
    <t>WENNER PARBK FRENCH DEMI</t>
  </si>
  <si>
    <t>WENNER WHEAT KAISER ROLLS</t>
  </si>
  <si>
    <t>WENNER PLAIN PUMPERNICKEL</t>
  </si>
  <si>
    <t>CATEGORY :       9015011 RICHS ROLL DOUGH</t>
  </si>
  <si>
    <t>WENNER PMPRNKL MINI BOULE</t>
  </si>
  <si>
    <t>WENNER RYE MINI BOULE</t>
  </si>
  <si>
    <t>GONNELLA JMBO EGG HMBRGR BN</t>
  </si>
  <si>
    <t>WENNER SALT FREE WHITE BR</t>
  </si>
  <si>
    <t>GONNELLA JMBO WHT HAMB BUN</t>
  </si>
  <si>
    <t>WENNER SL  BREAD 1/2 SHT</t>
  </si>
  <si>
    <t>GONNELLA LG WHEAT HTDOG BUN</t>
  </si>
  <si>
    <t>WENNER SML ITALIAN BREAD</t>
  </si>
  <si>
    <t>GONNELLA LRG EGG HOT DOG BN</t>
  </si>
  <si>
    <t>WENNER SOUR DOUGH BREAD</t>
  </si>
  <si>
    <t>TOUFAYAN POTATO HAM ROLL</t>
  </si>
  <si>
    <t>WENNER WHITE BREAD</t>
  </si>
  <si>
    <t>TOUFAYAN POTATO HOT DOG RLL</t>
  </si>
  <si>
    <t>WERNER COMBORYEPUMPERNICK</t>
  </si>
  <si>
    <t>WENNER GLD HAMBURGER BUNS</t>
  </si>
  <si>
    <t>WILDHRVST ORG CIABATTA BREAD</t>
  </si>
  <si>
    <t>WENNER GLD POT HOT DOG BN</t>
  </si>
  <si>
    <t>WILDHRVST ORG MUT GRAIN BRED</t>
  </si>
  <si>
    <t>WILDHRVST ORGAN BAGET BREAD</t>
  </si>
  <si>
    <t>ECCEPANIS EVERYTHING ROLLS</t>
  </si>
  <si>
    <t>WENNER SANDWICH ROLL</t>
  </si>
  <si>
    <t>FLOWERS OST DINNER ROLLS</t>
  </si>
  <si>
    <t>WENNER TWIST ROLLS</t>
  </si>
  <si>
    <t>GONNELLA CIABATTA BREAD DGH</t>
  </si>
  <si>
    <t>CATEGORY :       9020000 FROZEN FOOD SERVICES</t>
  </si>
  <si>
    <t>GONNELLA CLUB ROLL DOUGH</t>
  </si>
  <si>
    <t>GONNELLA HONEY WHEAT KAISER</t>
  </si>
  <si>
    <t>BACKRHAUS CIABATTA BUN</t>
  </si>
  <si>
    <t>GONNELLA POTATO ROLLS</t>
  </si>
  <si>
    <t>BACKRHAUS CIABATTA ROLL</t>
  </si>
  <si>
    <t>GONNELLA PUMPERNICKEL ROLL</t>
  </si>
  <si>
    <t>BOYDS FRENCH VANILLA</t>
  </si>
  <si>
    <t>GONNELLA ROLLS LARGE KAISER</t>
  </si>
  <si>
    <t>DON PONCH SPINACH WRAP</t>
  </si>
  <si>
    <t>GONNELLA ROLLS PANE</t>
  </si>
  <si>
    <t>DON PONCH WRAP CHILI TOMATO</t>
  </si>
  <si>
    <t>GONNELLA SML KAISER ROLL</t>
  </si>
  <si>
    <t>KINGS HAW SANDWICH ROLLS</t>
  </si>
  <si>
    <t>GONNELLA SOFT DINNER RLL</t>
  </si>
  <si>
    <t>KINGS HWN BREAD ORIGINAL</t>
  </si>
  <si>
    <t>GONNELLA SOUR FRENCH DOUGH</t>
  </si>
  <si>
    <t>KINGS HWN DELI ROLLS 4 PACK</t>
  </si>
  <si>
    <t>GONNELLA STEAK FOLLS</t>
  </si>
  <si>
    <t>KINGS HWN HONEY WHEAT 4PK</t>
  </si>
  <si>
    <t>GONNELLA TELERA ROLL DOUGH</t>
  </si>
  <si>
    <t>KINGS HWN HONEY WHEAT ROLLS</t>
  </si>
  <si>
    <t>GONNELLA VIENNA ROLL</t>
  </si>
  <si>
    <t>KINGS HWN ROLLS ORIGINAL</t>
  </si>
  <si>
    <t>GONNELLA WHEAT CLUB ROLLS</t>
  </si>
  <si>
    <t>KINGS HWN SAVORY BTTR ROLLS</t>
  </si>
  <si>
    <t>GONNELLA WHEAT DINNER ROLLS</t>
  </si>
  <si>
    <t>KINGS HWN SAVORY BUTTER ROLL</t>
  </si>
  <si>
    <t>GONNELLA WHEAT TELERA ROLL</t>
  </si>
  <si>
    <t>KINGS HWN SNACKER MINI ROLLS</t>
  </si>
  <si>
    <t>1.20 OZ</t>
  </si>
  <si>
    <t>RICH'S 7 GRAIN DINNER ROL</t>
  </si>
  <si>
    <t>KINGS HWN WHOLE WHT DIN ROLL</t>
  </si>
  <si>
    <t>RICH'S DOUGH ROLL SUBMARN</t>
  </si>
  <si>
    <t>LANDOLAKE HALF -N- HALF ASE</t>
  </si>
  <si>
    <t>RICH'S KAISER ROLL DOUGH</t>
  </si>
  <si>
    <t>RICHS SLB CORNBREAD</t>
  </si>
  <si>
    <t>RICH'S ROLL BUTTER/EGG</t>
  </si>
  <si>
    <t>SNK FCTRY BFLO WNG PRTZL CHP</t>
  </si>
  <si>
    <t>RICH'S SO HS DINNER ROLL</t>
  </si>
  <si>
    <t>SNK FCTRY EVRYTHG PRTZL CRSP</t>
  </si>
  <si>
    <t>TOUFAYAN 12CT DINNER ROLLS</t>
  </si>
  <si>
    <t>SNK FCTRY GARLC PRETZL CRISP</t>
  </si>
  <si>
    <t>VIEIRA 12PK ARTISAN ROLL</t>
  </si>
  <si>
    <t>SNK FCTRY HONEY MUSTARD PRET</t>
  </si>
  <si>
    <t>VIEIRA BOLLIO ROLL</t>
  </si>
  <si>
    <t>SNK FCTRY ORG PRETZEL CRISPS</t>
  </si>
  <si>
    <t>VIEIRA KAISER ROLL</t>
  </si>
  <si>
    <t>TOUFAYAN BREAD WHITE PITA</t>
  </si>
  <si>
    <t>VIEIRA PMC ROLL</t>
  </si>
  <si>
    <t>TOUFAYAN FLAT BREAD WHEAT</t>
  </si>
  <si>
    <t>VIEIRA PMR ROLL</t>
  </si>
  <si>
    <t>TOUFAYAN FLAT BREAD WHITE</t>
  </si>
  <si>
    <t>VIEIRA STEAK ROLL</t>
  </si>
  <si>
    <t>TOUFAYAN MINI CROISSANTS</t>
  </si>
  <si>
    <t>VIEIRA WHL WHEAT PADINHA</t>
  </si>
  <si>
    <t>TOUFAYAN ONION PITA BREAD</t>
  </si>
  <si>
    <t>VIEIRA'S HOAGIE ROLL 6PK</t>
  </si>
  <si>
    <t>TOUFAYAN PRECUT WHEAT PITA</t>
  </si>
  <si>
    <t>WENNER CUT CLUB ROLLS</t>
  </si>
  <si>
    <t>TOUFAYAN PRECUT WHITE PITA</t>
  </si>
  <si>
    <t>WENNER EGG DINNER ROLLS</t>
  </si>
  <si>
    <t>TOUFAYAN SNUGGLES WHEAT</t>
  </si>
  <si>
    <t>WENNER FRENCH BREAD 420</t>
  </si>
  <si>
    <t>TOUFAYAN SPINACH WRAPS</t>
  </si>
  <si>
    <t>WENNER GLD POTATO DIN ROL</t>
  </si>
  <si>
    <t>TOUFAYAN TOMATO WRAPS</t>
  </si>
  <si>
    <t>WENNER KAISER ROLL</t>
  </si>
  <si>
    <t>TOUFAYAN WHEAT PITA BREAD</t>
  </si>
  <si>
    <t>WENNER PARBK SUB ROLL</t>
  </si>
  <si>
    <t>TOUFAYAN WHEAT WRAPS</t>
  </si>
  <si>
    <t>WENNER POTATO DINNER ROLL</t>
  </si>
  <si>
    <t>TOUFAYAN WHITE PITETTES</t>
  </si>
  <si>
    <t>CATEGORY :       9020003 STOUFFER ENTREES</t>
  </si>
  <si>
    <t>TOUFAYAN WHITE WRAPS</t>
  </si>
  <si>
    <t>HANS KISS SPINACH QUICHE</t>
  </si>
  <si>
    <t>TOUFAYAN WHITE WRAPS 12IN</t>
  </si>
  <si>
    <t>INOVASIAN VEG FRIED RICE</t>
  </si>
  <si>
    <t>CATEGORY :       9020002 MISCELLANEOUS ENTREES</t>
  </si>
  <si>
    <t>NESTLE MASHED POTATOS</t>
  </si>
  <si>
    <t>RESERS CREAMY MASHED POTA</t>
  </si>
  <si>
    <t>AM SEAFD JALAPENO HUSHPUPPY</t>
  </si>
  <si>
    <t>BELFAST POTATO WEDGES</t>
  </si>
  <si>
    <t>RESERS GARLIC MASHED POT</t>
  </si>
  <si>
    <t>PENOBSCOT JALAPENO POT WEDGE</t>
  </si>
  <si>
    <t>RESERS MASHED POTATOES</t>
  </si>
  <si>
    <t>STATEFAIR CORN DOGS</t>
  </si>
  <si>
    <t>RESERS MASHED SWT POTATOS</t>
  </si>
  <si>
    <t>RESERS MILLER BQ BEAN BF</t>
  </si>
  <si>
    <t>SMITHFLD CKD BABY BACK RIBS</t>
  </si>
  <si>
    <t>BLUERIDGE RAVIOLINI SNRD TOM</t>
  </si>
  <si>
    <t>SMITHFLD CKD ST. LOUIS RIBS</t>
  </si>
  <si>
    <t>BUTTERBAL WHOLE SMK TURKEY</t>
  </si>
  <si>
    <t>SMITHFLD FRZ SMK TKY DRUMS</t>
  </si>
  <si>
    <t>BYRON'S PULLD PRK BBQ W/SC</t>
  </si>
  <si>
    <t>SMITHFLD FRZ SMK TKY WINGS</t>
  </si>
  <si>
    <t>STOUFFERS ALFREDO SAUCE</t>
  </si>
  <si>
    <t>CLNRY CRC BEEF LASAGNA</t>
  </si>
  <si>
    <t>94 OZ</t>
  </si>
  <si>
    <t>STOUFFERS BROC CHS RICE CSRL</t>
  </si>
  <si>
    <t>STOUFFERS BROCCOLI AU GRATIN</t>
  </si>
  <si>
    <t>CLNRY CRC CARNITAS ENCHILADA</t>
  </si>
  <si>
    <t>95 OZ</t>
  </si>
  <si>
    <t>STOUFFERS CHICKEN &amp; DUMPLING</t>
  </si>
  <si>
    <t>CLNRY CRC CHKN ENCHIL CASSRL</t>
  </si>
  <si>
    <t>72 OZ</t>
  </si>
  <si>
    <t>STOUFFERS CORN PUDDING</t>
  </si>
  <si>
    <t>CLNRY CRC CHKN MARSALA LINGU</t>
  </si>
  <si>
    <t>STOUFFERS CREAM CHIPPED BEEF</t>
  </si>
  <si>
    <t>CLNRY CRC CHKN PARM LINGUINE</t>
  </si>
  <si>
    <t>STOUFFERS ESCALLOPED APPLES</t>
  </si>
  <si>
    <t>CLNRY CRC CHKN RSMRY RCPILAF</t>
  </si>
  <si>
    <t>STOUFFERS ESCALOP CKN &amp; NDLE</t>
  </si>
  <si>
    <t>CLNRY CRC CHKN TERIYAKI W/RC</t>
  </si>
  <si>
    <t>STOUFFERS GREEN BEAN CASSRLE</t>
  </si>
  <si>
    <t>CLNRY CRC GEN TSO CHKN W/RCE</t>
  </si>
  <si>
    <t>STOUFFERS LASAGNA</t>
  </si>
  <si>
    <t>CLNRY CRC PASTA CHKN ALFREDO</t>
  </si>
  <si>
    <t>STOUFFERS LASAGNA CLASSIC</t>
  </si>
  <si>
    <t>CLNRY CRC RSTD CHICKEN TNDRS</t>
  </si>
  <si>
    <t>STOUFFERS LASAGNA VEGETABLE</t>
  </si>
  <si>
    <t>CLNRY CRC SPAGHETTI W/MTBALL</t>
  </si>
  <si>
    <t>STOUFFERS MACARONI &amp; BEEF</t>
  </si>
  <si>
    <t>STOUFFERS MACARONI &amp; CHEESE</t>
  </si>
  <si>
    <t>CLNRY CRC TRKY WLD RC PEPPER</t>
  </si>
  <si>
    <t>CLNRY CRC TURKEY MTLOAF BBQ</t>
  </si>
  <si>
    <t>STOUFFERS MEATLOAF W/GRAVY</t>
  </si>
  <si>
    <t>DELI FULLY CKD RIB PCS</t>
  </si>
  <si>
    <t>STOUFFERS POTATOES AU GRATIN</t>
  </si>
  <si>
    <t>GD OL'DAY APPLE COBBLER</t>
  </si>
  <si>
    <t>STOUFFERS POTATOES SCALLOPED</t>
  </si>
  <si>
    <t>90 OZ</t>
  </si>
  <si>
    <t>STOUFFERS RICOTTA LASAGNA</t>
  </si>
  <si>
    <t>GD OL'DAY CHERRY COBBLER</t>
  </si>
  <si>
    <t>69 OZ</t>
  </si>
  <si>
    <t>STOUFFERS SALISBURY STEAK</t>
  </si>
  <si>
    <t>GD OL'DAY CORNBREAD DRESSING</t>
  </si>
  <si>
    <t>83 OZ</t>
  </si>
  <si>
    <t>STOUFFERS STUFFED PEPPERS</t>
  </si>
  <si>
    <t>GD OL'DAY PEACH COBBLER</t>
  </si>
  <si>
    <t>62 OZ</t>
  </si>
  <si>
    <t>STOUFFERS SWEDISH MTBLS GRVY</t>
  </si>
  <si>
    <t>STOUFFERS VERMONT MAC &amp; CH</t>
  </si>
  <si>
    <t>HANS KISS BROCCOLI QUICHE</t>
  </si>
  <si>
    <t>STOUFFERS WHIPPED SWT POTATO</t>
  </si>
  <si>
    <t>HANS KISS LORRAINE QUICHE</t>
  </si>
  <si>
    <t>STOUFFERS YAMS &amp; APPLES</t>
  </si>
  <si>
    <t>CATEGORY :       9020004 DELI DESSERTS (BULK)</t>
  </si>
  <si>
    <t>ADMIRATON MAYONNAISE</t>
  </si>
  <si>
    <t>CLNRY CRC BTR MARSALA WINE</t>
  </si>
  <si>
    <t>ASHLAND CHICKEN BREADNG</t>
  </si>
  <si>
    <t>CLNRY CRC BUTTER BLUE CHEESE</t>
  </si>
  <si>
    <t>ASHLAND SPICY CHKN BREADNG</t>
  </si>
  <si>
    <t>CLNRY CRC BUTTER LEMON PEPPR</t>
  </si>
  <si>
    <t>ASHLAND TRADNL CKN BREADNG</t>
  </si>
  <si>
    <t>CLNRY CRC BUTTER RSTD GARLIC</t>
  </si>
  <si>
    <t>BOYDS 12/16OZ CUP LIDS</t>
  </si>
  <si>
    <t>CLNRY CRC BUTTER TUSCAN HERB</t>
  </si>
  <si>
    <t>BOYDS 12OZ CUP HOT</t>
  </si>
  <si>
    <t>CLNRY CRC GRAVY CHICKEN</t>
  </si>
  <si>
    <t>BOYDS COFFEE HOUSE ROAST</t>
  </si>
  <si>
    <t>CLNRY CRC GRAVY PEPPERCORN</t>
  </si>
  <si>
    <t>BOYDS COFFEEHSERSTDECF</t>
  </si>
  <si>
    <t>21 FZ</t>
  </si>
  <si>
    <t>CLNRY CRC LMN BSL LS TOPICAL</t>
  </si>
  <si>
    <t>BOYDS FRENCH #6</t>
  </si>
  <si>
    <t>CLNRY CRC RSMRY-GAR TOPICAL</t>
  </si>
  <si>
    <t>CLNRY CRC SALT-PEPPER TOPICA</t>
  </si>
  <si>
    <t>BOYDS HAZELNUT CREME</t>
  </si>
  <si>
    <t>CLNRY CRC SAUCE ALFREDO</t>
  </si>
  <si>
    <t>BOYDS HI REV</t>
  </si>
  <si>
    <t>CLNRY CRC SAUCE MAPLE DIJON</t>
  </si>
  <si>
    <t>BREW-RITE 12CUP FILTER 5360</t>
  </si>
  <si>
    <t>CLNRY CRC SAUCE VODKA</t>
  </si>
  <si>
    <t>CHLOE FRM BLACK GREEK OLIVES</t>
  </si>
  <si>
    <t>CLNRY CRC SCE BBQ MANGO HAB</t>
  </si>
  <si>
    <t>CHLOE FRM BLU CHS STFD OLIVE</t>
  </si>
  <si>
    <t>CLNRY CRC SCE BLU CHSE THYME</t>
  </si>
  <si>
    <t>CHLOE FRM CALAMATA OLIVES JR</t>
  </si>
  <si>
    <t>CLNRY CRC SCE MUSHRM MARSALA</t>
  </si>
  <si>
    <t>CHLOE FRM CERIGNOLA GREEN</t>
  </si>
  <si>
    <t>CLNRY CRC SCE RED CHILI ENCH</t>
  </si>
  <si>
    <t>CHLOE FRM CERIGNOLA PURPLE</t>
  </si>
  <si>
    <t>CLNRY CRC SCE RW BORDELAISE</t>
  </si>
  <si>
    <t>CHLOE FRM CRK GRN OLV MNCGRL</t>
  </si>
  <si>
    <t>CLNRY CRC THAI CURRY TOPICAL</t>
  </si>
  <si>
    <t>CHLOE FRM FETA CHS STF OLIVE</t>
  </si>
  <si>
    <t>.38 OZ</t>
  </si>
  <si>
    <t>COFFEEMAT FRENCH VAN CREAMER</t>
  </si>
  <si>
    <t>CHLOE FRM GARLIC STUFD OLIVE</t>
  </si>
  <si>
    <t>COFFEEMAT HAZELNUT CREAMER</t>
  </si>
  <si>
    <t>CHLOE FRM GOURMT GREEK MEDLY</t>
  </si>
  <si>
    <t>COFFEEMAT REGULAR CREAMER</t>
  </si>
  <si>
    <t>CHLOE FRM GREEN OLIVES JAR</t>
  </si>
  <si>
    <t>DEL MONTE PINEAPPLE CHUNKS</t>
  </si>
  <si>
    <t>DELI ANCO XDOCK</t>
  </si>
  <si>
    <t>CHLOE FRM GRK BLK OLIVES JAR</t>
  </si>
  <si>
    <t>12 GR</t>
  </si>
  <si>
    <t>DOT FOODS PRTN PK MAYONNAISE</t>
  </si>
  <si>
    <t>DOT FOODS PRTNPK GRAPE JELLY</t>
  </si>
  <si>
    <t>CHLOE FRM HOT OLIVE MEDLEY</t>
  </si>
  <si>
    <t>FLAVORITE OIL CANOLA ZT HP</t>
  </si>
  <si>
    <t>CHLOE FRM ITALN OLIVE MEDLEY</t>
  </si>
  <si>
    <t>FRY N'FRY CANOLA OIL</t>
  </si>
  <si>
    <t>CHLOE FRM ITLN SEASN GRN OLV</t>
  </si>
  <si>
    <t>CHLOE FRM MARNTD OLIVE MEDIT</t>
  </si>
  <si>
    <t>HANS KISS ANTIPASTO BASE</t>
  </si>
  <si>
    <t>CHLOE FRM OIL CURD OLIVES JR</t>
  </si>
  <si>
    <t>HENNY PEN FRYER MIX</t>
  </si>
  <si>
    <t>CHLOE FRM OIL CURED OLIVES</t>
  </si>
  <si>
    <t>HENNY PEN SPICY CKN BREADER</t>
  </si>
  <si>
    <t>CHLOE FRM OLIVE MEDLEY JAR</t>
  </si>
  <si>
    <t>HORMEL MEAT &amp; CHEESE TRAY</t>
  </si>
  <si>
    <t>CHLOE FRM PEPPADEWS</t>
  </si>
  <si>
    <t>HORMEL MT BALLS &amp; SMOKIES</t>
  </si>
  <si>
    <t>CHLOE FRM PITD CALAMATA OLIV</t>
  </si>
  <si>
    <t>HORMEL SNK TRAY-PPRNI/CHZ</t>
  </si>
  <si>
    <t>CHLOE FRM PITTED KALAMATA</t>
  </si>
  <si>
    <t>HORMEL WINGS &amp; MEATBALLS</t>
  </si>
  <si>
    <t>CHLOE FRM SICILIAN OLIVES</t>
  </si>
  <si>
    <t>KRINOS GRK BLK OLIVE BULK</t>
  </si>
  <si>
    <t>CLNRY CRC BBQ TOPICAL</t>
  </si>
  <si>
    <t>KRINOS KALAMATA OLIVE</t>
  </si>
  <si>
    <t>CLNRY CRC BTR BALSAMIC PPRCR</t>
  </si>
  <si>
    <t>KRINOS MARIN MSHRM BULK</t>
  </si>
  <si>
    <t>CATEGORY :       9020007 PENOBSCOT POTATO WEDGES</t>
  </si>
  <si>
    <t>KRINOS MARINTD ARTICHOKES</t>
  </si>
  <si>
    <t>CLNRY CRC SOUP CHILI W/BEAN</t>
  </si>
  <si>
    <t>KRINOS OIL CURE OLV BULK</t>
  </si>
  <si>
    <t>CLNRY CRC SOUP CHILI W/BEANS</t>
  </si>
  <si>
    <t>KRINOS OLIVE MEDLEY</t>
  </si>
  <si>
    <t>CLNRY CRC SOUP CHKN NOODLE</t>
  </si>
  <si>
    <t>KRINOS OLIVE MEDLEY BULK</t>
  </si>
  <si>
    <t>KRINOS PIT KALA OLIV BULK</t>
  </si>
  <si>
    <t>KRINOS STFD GRN OLV ALMND</t>
  </si>
  <si>
    <t>CLNRY CRC SOUP CHKN TORTILLA</t>
  </si>
  <si>
    <t>KRINOS STFD GRN OLVE GRLC</t>
  </si>
  <si>
    <t>CLNRY CRC SOUP CLAM CHOWDER</t>
  </si>
  <si>
    <t>KRINOS STFFD QUEEN OLIVES</t>
  </si>
  <si>
    <t>CLNRY CRC SOUP CRAB BISQUE</t>
  </si>
  <si>
    <t>KRINOS ZESTY GRLC OLIVES</t>
  </si>
  <si>
    <t>MICHAELS HARD COOKED EGGS</t>
  </si>
  <si>
    <t>CLNRY CRC SOUP CRMY TOM BASL</t>
  </si>
  <si>
    <t>N JOY SEASONED CROUTONS</t>
  </si>
  <si>
    <t>CLNRY CRC SOUP CRMY TOMBASIL</t>
  </si>
  <si>
    <t>NESTLE RTU BROWN GRAVY</t>
  </si>
  <si>
    <t>CLNRY CRC SOUP LOBSTER BISQU</t>
  </si>
  <si>
    <t>NESTLE RTU CHICKEN GRAVY</t>
  </si>
  <si>
    <t>NIFDA IMITATN BACON BITS</t>
  </si>
  <si>
    <t>CLNRY CRC SOUP NE CLAM CHWDR</t>
  </si>
  <si>
    <t>NIFDA KETCHUP PACKETS</t>
  </si>
  <si>
    <t>PEPPADEW SWEET PIQUANTE PEP</t>
  </si>
  <si>
    <t>CLNRY CRC SOUP SW CHKN TORTL</t>
  </si>
  <si>
    <t>PORTN PAC BUTTERMILK RANCH</t>
  </si>
  <si>
    <t>PORTN PAC JAM STRAWBERRY</t>
  </si>
  <si>
    <t>CLNRY CRC SOUP TOMATO &amp; VEG</t>
  </si>
  <si>
    <t>PRATERS GIBLET GRAVY</t>
  </si>
  <si>
    <t>CLNRY CRC SOUP TOMATO BASIL</t>
  </si>
  <si>
    <t>QUAKER CRACKERS</t>
  </si>
  <si>
    <t>CLNRY CRC SOUP TOMATO&amp;VEG</t>
  </si>
  <si>
    <t>SGR FOODS PEPPER N JOY PCKT</t>
  </si>
  <si>
    <t>CLNRY CRC TUSCAN TOMATO VEG</t>
  </si>
  <si>
    <t>SGR FOODS SALT N JOY PACKETS</t>
  </si>
  <si>
    <t>20.89 L</t>
  </si>
  <si>
    <t>HARRY'S CLASSIC TURKEY KIT</t>
  </si>
  <si>
    <t>TALLARICO HOAGIE SPREAD</t>
  </si>
  <si>
    <t>27.70 L</t>
  </si>
  <si>
    <t>HARRY'S ULT. TURKEY KIT</t>
  </si>
  <si>
    <t>TALLARICO SWEET&amp;SASSY PEPPER</t>
  </si>
  <si>
    <t>PRATERS CAJUN FRIED DINNER</t>
  </si>
  <si>
    <t>TEXASPETE HOT SAUCE PACKETS</t>
  </si>
  <si>
    <t>15.25 L</t>
  </si>
  <si>
    <t>PRATERS TURKEY DINNER BSC</t>
  </si>
  <si>
    <t>13.37 O</t>
  </si>
  <si>
    <t>TRIO BROWN GRAVY</t>
  </si>
  <si>
    <t>PRATERS TURKEY DNNR DELUXE</t>
  </si>
  <si>
    <t>TYSON PROMO WING BKET</t>
  </si>
  <si>
    <t>PRATERS TURKEY KIT DELUXE</t>
  </si>
  <si>
    <t>VENTURA CLEAR CANOLA OIL</t>
  </si>
  <si>
    <t>TYSON HMSTYL CHKN SNDWCH</t>
  </si>
  <si>
    <t>VENTURA CLR LIQ FRY SHTG</t>
  </si>
  <si>
    <t>TYSON MEATBAL PARTY TRAY</t>
  </si>
  <si>
    <t>VENTURA HVY DUTY MAYONAISE</t>
  </si>
  <si>
    <t>CATEGORY :       9020013 PIERCE'S CHICKEN</t>
  </si>
  <si>
    <t>AMERICHIC 3.5 OZ TENDER</t>
  </si>
  <si>
    <t>CHEF AMER PIZZA STKS PEPRONI</t>
  </si>
  <si>
    <t>FIELDALE CHICKEN TENDERS</t>
  </si>
  <si>
    <t>CLNRY CRC CRAB BISQUE BULK</t>
  </si>
  <si>
    <t>FIELDALE POPCORN CHICKEN</t>
  </si>
  <si>
    <t>CLNRY CRC LOBSTERBISQUE BULK</t>
  </si>
  <si>
    <t>PERDUE BRD CHKN TNDRS</t>
  </si>
  <si>
    <t>CLNRY CRC SOUP BF CHILI W/BN</t>
  </si>
  <si>
    <t>PERDUE HONEY BREADED</t>
  </si>
  <si>
    <t>CLNRY CRC SOUP BROC WHT CHDR</t>
  </si>
  <si>
    <t>PERDUE SALT &amp; VINGR WINGS</t>
  </si>
  <si>
    <t>PIERCE HMESTYLE CKN TNDRS</t>
  </si>
  <si>
    <t>PILG PRID SV CHICKEN TENDER</t>
  </si>
  <si>
    <t>CATEGORY :       9100010 RICHFOOD/ECON/IGA VEGETABLES</t>
  </si>
  <si>
    <t>TYSON BNLS BRBN BBQ WING</t>
  </si>
  <si>
    <t>BIRDSEYE BROCLI/CAUL/CARROT</t>
  </si>
  <si>
    <t>TYSON BNLS BUFFAL WINGS</t>
  </si>
  <si>
    <t>BIRDSEYE COOKED SQUASH</t>
  </si>
  <si>
    <t>TYSON BNLS HNY DIJON WGS</t>
  </si>
  <si>
    <t>BIRDSEYE CORN COB/4 EAR</t>
  </si>
  <si>
    <t>TYSON BREADED LIVERS</t>
  </si>
  <si>
    <t>BIRDSEYE CORN CUT</t>
  </si>
  <si>
    <t>TYSON CHICKEN BRST FRITR</t>
  </si>
  <si>
    <t>BIRDSEYE CORN ON COB FAMILY</t>
  </si>
  <si>
    <t>TYSON FC BBQ SLUGGERS</t>
  </si>
  <si>
    <t>BIRDSEYE GARDEN PEAS</t>
  </si>
  <si>
    <t>TYSON FC BBQ WINGS</t>
  </si>
  <si>
    <t>BIRDSEYE GREEN BEANS</t>
  </si>
  <si>
    <t>TYSON FC BUFF WINGS TRAY</t>
  </si>
  <si>
    <t>BIRDSEYE MINI CORN COB</t>
  </si>
  <si>
    <t>TYSON FC BUFFALO SLUGGER</t>
  </si>
  <si>
    <t>BIRDSEYE MIXED VEGETABLES</t>
  </si>
  <si>
    <t>TYSON FC BUFFALO WINGS</t>
  </si>
  <si>
    <t>BIRDSEYE NEW ENGLAND STYLE</t>
  </si>
  <si>
    <t>7.50 LB</t>
  </si>
  <si>
    <t>TYSON FC FIRE STINGERS</t>
  </si>
  <si>
    <t>BIRDSEYE PEA &amp; ONIONS</t>
  </si>
  <si>
    <t>TYSON FC TERIYAKI WINGS</t>
  </si>
  <si>
    <t>BIRDSEYE PEAS</t>
  </si>
  <si>
    <t>TYSON FULLY CKD STINGERS</t>
  </si>
  <si>
    <t>BIRDSEYE PEAS TINY</t>
  </si>
  <si>
    <t>TYSON HONEY STUNG WINGS</t>
  </si>
  <si>
    <t>BIRDSEYE PREM ASPRGS CRNCRT</t>
  </si>
  <si>
    <t>TYSON POPCORN CHIX TRAY</t>
  </si>
  <si>
    <t>BIRDSEYE PREM BBY BRUSL SPT</t>
  </si>
  <si>
    <t>BIRDSEYE PSTA SEC ZSTY GRL</t>
  </si>
  <si>
    <t>BIRDSEYE RADIATORE PSTA/VEG</t>
  </si>
  <si>
    <t>BIG VALU MIXED VEGETABLES</t>
  </si>
  <si>
    <t>BIRDSEYE RICE PILAF</t>
  </si>
  <si>
    <t>BIG VALUE BROCCOLI FLORETS</t>
  </si>
  <si>
    <t>BIRDSEYE ROLETTI PASTA/VEG</t>
  </si>
  <si>
    <t>BIG VALUE CALIFORNIA BLEND</t>
  </si>
  <si>
    <t>BIRDSEYE SF ASIAN MEDLEY</t>
  </si>
  <si>
    <t>BIRDESEYE STRMFRSH SSNPPEAS</t>
  </si>
  <si>
    <t>BIRDSEYE SF GARLC PEA&amp;MSHRM</t>
  </si>
  <si>
    <t>BIRDSEYE ARTICHOKE HEARTS</t>
  </si>
  <si>
    <t>BIRDSEYE SF GARLIC CAULFLWR</t>
  </si>
  <si>
    <t>BIRDSEYE BABY BROCCOLI</t>
  </si>
  <si>
    <t>BIRDSEYE SF STHWESTRN CORN</t>
  </si>
  <si>
    <t>BIRDSEYE BABY CORN BLEND</t>
  </si>
  <si>
    <t>BIRDSEYE SFPREMGLDWHTCORN</t>
  </si>
  <si>
    <t>BIRDSEYE BABY GOLDEN CORN</t>
  </si>
  <si>
    <t>BIRDSEYE SMALL WHOLE ONIONS</t>
  </si>
  <si>
    <t>BIRDSEYE BABY PEA BLEND</t>
  </si>
  <si>
    <t>BIRDSEYE SNGL SRV CORN</t>
  </si>
  <si>
    <t>BIRDSEYE BABY SWEET PEAS</t>
  </si>
  <si>
    <t>BIRDSEYE SNGL SRV PEAS</t>
  </si>
  <si>
    <t>BIRDSEYE BAVARIAN STYLE VEG</t>
  </si>
  <si>
    <t>BIRDSEYE SPINACH CHOPPED</t>
  </si>
  <si>
    <t>BIRDSEYE BEANS FRCH ALMONDS</t>
  </si>
  <si>
    <t>BIRDSEYE SPINACH LEAF</t>
  </si>
  <si>
    <t>BIRDSEYE BROC &amp; CAULI</t>
  </si>
  <si>
    <t>BIRDSEYE SS BRUSSEL SPROUTS</t>
  </si>
  <si>
    <t>BIRDSEYE BROC W/CHEESE SAUC</t>
  </si>
  <si>
    <t>BIRDSEYE STIR FRY BROCCOLI</t>
  </si>
  <si>
    <t>BIRDSEYE BROC/CAR/WTR CHSNT</t>
  </si>
  <si>
    <t>BIRDSEYE STIR FRY PEPPER</t>
  </si>
  <si>
    <t>BIRDSEYE BROCCAULICARROTS</t>
  </si>
  <si>
    <t>BIRDSEYE STIRFRY SUGAR SNAP</t>
  </si>
  <si>
    <t>BIRDSEYE BROCCOLI CAULIFLOW</t>
  </si>
  <si>
    <t>BIRDSEYE STMFRSH CHCKN RICE</t>
  </si>
  <si>
    <t>BIRDSEYE BROCCOLI CUTS</t>
  </si>
  <si>
    <t>BIRDSEYE STMFRSHITALNBLEND</t>
  </si>
  <si>
    <t>BIRDSEYE STMFSH BROWN RICE</t>
  </si>
  <si>
    <t>BIRDSEYE BROCCOLI FLORETS</t>
  </si>
  <si>
    <t>BIRDSEYE STMFSH WHITERICE</t>
  </si>
  <si>
    <t>BIRDSEYE BROCCOLI FLORETTES</t>
  </si>
  <si>
    <t>BIRDSEYE STMFSHWTRICEW/VEG</t>
  </si>
  <si>
    <t>BIRDSEYE BROCCOLI SPEARS</t>
  </si>
  <si>
    <t>BIRDSEYE STRMFRSHSWRICE</t>
  </si>
  <si>
    <t>BIRDSEYE SWEET CORNCOB</t>
  </si>
  <si>
    <t>GRN GIANT CORN ON THE COB</t>
  </si>
  <si>
    <t>BIRDSEYE SWEET YLW CORN</t>
  </si>
  <si>
    <t>GRN GIANT CORN WHITE</t>
  </si>
  <si>
    <t>BIRDSEYE VEGETABLES MIXED</t>
  </si>
  <si>
    <t>BIRDSEYE WH GRN BN STIR FRY</t>
  </si>
  <si>
    <t>GRN GIANT CRT/GRN BN/ZUC BLD</t>
  </si>
  <si>
    <t>BIRDSEYE WHOLE GREEN BEANS</t>
  </si>
  <si>
    <t>GRN GIANT CRT/SNP/BLKBN/EDAM</t>
  </si>
  <si>
    <t>GRN GIANT EX SWEET CORN COB</t>
  </si>
  <si>
    <t>GLORY FRIED CORN</t>
  </si>
  <si>
    <t>GRN GIANT GARDEN VEG MEDLEY</t>
  </si>
  <si>
    <t>GLORY SOU VEG CASSEROLE</t>
  </si>
  <si>
    <t>GRN GIANT GG CHPD BROC</t>
  </si>
  <si>
    <t>GREEN GIA ASIAN MDLY VEGBLND</t>
  </si>
  <si>
    <t>GRN GIANT GG CUT BSN-GRN</t>
  </si>
  <si>
    <t>GREEN GIA BROC/CAROTS/CALIFL</t>
  </si>
  <si>
    <t>GRN GIANT GNT BITES CHSY BRC</t>
  </si>
  <si>
    <t>GREEN GIA BROC/RICE VEGIBLND</t>
  </si>
  <si>
    <t>GRN GIANT GNT BTES BRC&amp;CAULF</t>
  </si>
  <si>
    <t>GREEN GIA BROCCOLI</t>
  </si>
  <si>
    <t>GRN GIANT GREEN BEAN CASSERL</t>
  </si>
  <si>
    <t>GREEN GIA GG CUT BROC</t>
  </si>
  <si>
    <t>GRN GIANT GREEN BNS W/ALMNDS</t>
  </si>
  <si>
    <t>GREEN GIA GG DIGESTIVE HLTH</t>
  </si>
  <si>
    <t>GRN GIANT JUST FOR 1 BRC/CRT</t>
  </si>
  <si>
    <t>GREEN GIA GG MXD VEG</t>
  </si>
  <si>
    <t>GRN GIANT LIMAS HARVEST FRSH</t>
  </si>
  <si>
    <t>GREEN GIA GG SWEET PEAS</t>
  </si>
  <si>
    <t>GRN GIANT MINI COC 24 PK</t>
  </si>
  <si>
    <t>GREEN GIA NIBLETS EXTRA SWT</t>
  </si>
  <si>
    <t>GRN GIANT NIBLETS CORN&amp;BTR S</t>
  </si>
  <si>
    <t>GREEN GIA NIBLETS GLDN WHL K</t>
  </si>
  <si>
    <t>GRN GIANT PEA SUGAR SNAP</t>
  </si>
  <si>
    <t>GREEN GIA RST POT/GRN BEANS</t>
  </si>
  <si>
    <t>GRN GIANT PEAS EARLY JUNE</t>
  </si>
  <si>
    <t>GREEN GIA SPRING SWEET CORN</t>
  </si>
  <si>
    <t>GRN GIANT PEAS LESUEUR BABY</t>
  </si>
  <si>
    <t>GRN GIANT BEANS LIMA</t>
  </si>
  <si>
    <t>GRN GIANT RICE BROC CHZ SAUC</t>
  </si>
  <si>
    <t>GRN GIANT BIB BABY VEG MEDLY</t>
  </si>
  <si>
    <t>GRN GIANT RSTD POT/GRL &amp; HRB</t>
  </si>
  <si>
    <t>GRN GIANT BOILNBAG BROC&amp;WCDR</t>
  </si>
  <si>
    <t>GRN GIANT SLCT BROCCOLI FLOR</t>
  </si>
  <si>
    <t>GRN GIANT BOILNBAG BROC&amp;ZCHS</t>
  </si>
  <si>
    <t>GRN GIANT SPINACH CHOPPED</t>
  </si>
  <si>
    <t>GRN GIANT BRC/CRT/SWTPEP BLD</t>
  </si>
  <si>
    <t>GRN GIANT SPINACH CRM</t>
  </si>
  <si>
    <t>GRN GIANT BROC CARW/GRLC&amp;HRB</t>
  </si>
  <si>
    <t>GRN GIANT SPNCH LEAF BTR SCE</t>
  </si>
  <si>
    <t>GRN GIANT BROC N CRN VG BLND</t>
  </si>
  <si>
    <t>GRN GIANT SS BIB BROC/CARROT</t>
  </si>
  <si>
    <t>GRN GIANT BROC,CAROT,CLFL/SC</t>
  </si>
  <si>
    <t>GRN GIANT SS BIB GAR MEDLEY</t>
  </si>
  <si>
    <t>GRN GIANT BROCC &amp; CHEESE SCE</t>
  </si>
  <si>
    <t>GRN GIANT VEGIES BIB TERIYAK</t>
  </si>
  <si>
    <t>GRN GIANT BROCC&amp;3 CHS SAUCE</t>
  </si>
  <si>
    <t>HANOVER ASPARAGUS SPEARS X</t>
  </si>
  <si>
    <t>GRN GIANT BROCCOLI CUTS</t>
  </si>
  <si>
    <t>HANOVER BABY LIMA BEANS</t>
  </si>
  <si>
    <t>GRN GIANT BROCCOLI IN CHEESE</t>
  </si>
  <si>
    <t>HANOVER BEANS CUT B L GRN</t>
  </si>
  <si>
    <t>GRN GIANT BROCCOLI SPEARS</t>
  </si>
  <si>
    <t>GRN GIANT BRUSSEL SPROUTS</t>
  </si>
  <si>
    <t>HANOVER BROCCOLI CUTS</t>
  </si>
  <si>
    <t>GRN GIANT CAULIFLOWER CHZ SC</t>
  </si>
  <si>
    <t>HANOVER BROCCOLI FLORETS X</t>
  </si>
  <si>
    <t>GRN GIANT CORN &amp; BUTTER</t>
  </si>
  <si>
    <t>HANOVER BRUSSELS SPROUT</t>
  </si>
  <si>
    <t>GRN GIANT CORN COB</t>
  </si>
  <si>
    <t>HANOVER CALIFORNIA BLEND</t>
  </si>
  <si>
    <t>HANOVER CAULFLR FLORETS XD</t>
  </si>
  <si>
    <t>HANOVER CORN YELLOW SWEET</t>
  </si>
  <si>
    <t>HANOVER CORN/ASP/RD PEP</t>
  </si>
  <si>
    <t>PICTSWEET BREADED OKRA</t>
  </si>
  <si>
    <t>HANOVER CUT BROCCLI</t>
  </si>
  <si>
    <t>PICTSWEET BROCCOLI CUTS</t>
  </si>
  <si>
    <t>PICTSWEET BROCCOLI FLORETS</t>
  </si>
  <si>
    <t>HANOVER FORDHOOK LIMAS</t>
  </si>
  <si>
    <t>PICTSWEET BROCCOLI SPEARS</t>
  </si>
  <si>
    <t>HANOVER FRENCH GREEN BEANS</t>
  </si>
  <si>
    <t>PICTSWEET BROCFLR CAUL&amp;CARRT</t>
  </si>
  <si>
    <t>HANOVER GARDEN MEDLEY</t>
  </si>
  <si>
    <t>PICTSWEET CHNSE STIR FRY VEG</t>
  </si>
  <si>
    <t>HANOVER GREEN DICED PEPPER</t>
  </si>
  <si>
    <t>PICTSWEET CHOPPED COLLARD G</t>
  </si>
  <si>
    <t>HANOVER HNVR SL CARROTS</t>
  </si>
  <si>
    <t>PICTSWEET CHOPPED SPINACH</t>
  </si>
  <si>
    <t>HANOVER ITALIAN GREEN BEAN</t>
  </si>
  <si>
    <t>PICTSWEET CHOPPED TURNIP GR</t>
  </si>
  <si>
    <t>HANOVER LATINO BLEND</t>
  </si>
  <si>
    <t>PICTSWEET CORN GOLD CUT</t>
  </si>
  <si>
    <t>HANOVER LEAF SPINACH</t>
  </si>
  <si>
    <t>PICTSWEET CORN SWT YEL/WHITE</t>
  </si>
  <si>
    <t>PICTSWEET CUT LEAF KALE</t>
  </si>
  <si>
    <t>PICTSWEET CUT LEAF SPINACH</t>
  </si>
  <si>
    <t>HANOVER ORIENTAL BLEND</t>
  </si>
  <si>
    <t>PICTSWEET CUT OKRA</t>
  </si>
  <si>
    <t>HANOVER PEPPERS&amp;ONIONS</t>
  </si>
  <si>
    <t>PICTSWEET DLX GRN-YELW BEANS</t>
  </si>
  <si>
    <t>HANOVER PETIT BROCC FLORET</t>
  </si>
  <si>
    <t>PICTSWEET FORDHOOK LIMAS</t>
  </si>
  <si>
    <t>HANOVER PETITE BEAN BLEND</t>
  </si>
  <si>
    <t>PICTSWEET GRDPPR VG W/ASPARG</t>
  </si>
  <si>
    <t>HANOVER PETITE GREEN BEANS</t>
  </si>
  <si>
    <t>PICTSWEET GREEN BEANS CUT</t>
  </si>
  <si>
    <t>HANOVER PETITE PEAS</t>
  </si>
  <si>
    <t>PICTSWEET GREEN PEAS</t>
  </si>
  <si>
    <t>HANOVER ROTINI PASTA &amp; PEA</t>
  </si>
  <si>
    <t>PICTSWEET GRN&amp;YLW WHBN W/CRT</t>
  </si>
  <si>
    <t>HANOVER SHOEPEG CORN</t>
  </si>
  <si>
    <t>PICTSWEET ITAL VEG W/FETTUCN</t>
  </si>
  <si>
    <t>HANOVER SNOW PEAS</t>
  </si>
  <si>
    <t>PICTSWEET MX CRN/BLK BNS/TOM</t>
  </si>
  <si>
    <t>HANOVER SQUASH BLEND</t>
  </si>
  <si>
    <t>PICTSWEET PREM BLACKEYE PEAS</t>
  </si>
  <si>
    <t>HANOVER SUCCOTASH</t>
  </si>
  <si>
    <t>PICTSWEET PREM CHP MUSTRD GR</t>
  </si>
  <si>
    <t>HANOVER SUGAR SNAP PEAS</t>
  </si>
  <si>
    <t>PICTSWEET PRM FIELD PEA W/SN</t>
  </si>
  <si>
    <t>HANOVER SWEET CORN</t>
  </si>
  <si>
    <t>PICTSWEET SEASNED CAL BLEND</t>
  </si>
  <si>
    <t>HANOVER SWEET PEAS</t>
  </si>
  <si>
    <t>PICTSWEET SEASNED GARDENVEG</t>
  </si>
  <si>
    <t>PICTSWEET SEASNED SUMMER VEG</t>
  </si>
  <si>
    <t>HANOVER VEG FOR SOUP</t>
  </si>
  <si>
    <t>PICTSWEET SEASON TURNIP GRN</t>
  </si>
  <si>
    <t>PICTSWEET SPINACH CHOPPED</t>
  </si>
  <si>
    <t>HANOVER WHITE CORN SLVR Q</t>
  </si>
  <si>
    <t>PICTSWEET SPINACH LEAF</t>
  </si>
  <si>
    <t>HANOVER WHL GREEN BEANS</t>
  </si>
  <si>
    <t>PICTSWEET STIR FRY 3 PEPPER</t>
  </si>
  <si>
    <t>HANOVER WHOLE BABY CARROTS</t>
  </si>
  <si>
    <t>PICTSWEET STIR FRY TERIYAKI</t>
  </si>
  <si>
    <t>MRS PAULS POTATO CANDIED SW</t>
  </si>
  <si>
    <t>PICTSWEET TINY GREEN PEAS</t>
  </si>
  <si>
    <t>ORE IDA CHOPPED ONIONS</t>
  </si>
  <si>
    <t>PICTSWEET VEG MIXED</t>
  </si>
  <si>
    <t>PICTSWEET ASN VG W/SGRNP PEA</t>
  </si>
  <si>
    <t>PICTSWEET WHOLE GREEN BEANS</t>
  </si>
  <si>
    <t>PICTSWEET BABY BROCCOLI FLO</t>
  </si>
  <si>
    <t>RICHFOOD BABY LIMAS</t>
  </si>
  <si>
    <t>PICTSWEET BABY BRUSSEL SPRO</t>
  </si>
  <si>
    <t>RICHFOOD BRC/CRN/CRT/CL/RDP</t>
  </si>
  <si>
    <t>PICTSWEET BABY WHITE CORN</t>
  </si>
  <si>
    <t>RICHFOOD BROC/CARRT/CAULFLW</t>
  </si>
  <si>
    <t>RICHFOOD BROC/CRT/SWPEA/WCH</t>
  </si>
  <si>
    <t>RICHFOOD OKRA WHOLE</t>
  </si>
  <si>
    <t>RICHFOOD BROC/ON/MUSH/RDPEP</t>
  </si>
  <si>
    <t>RICHFOOD ONIONS CHOPPED</t>
  </si>
  <si>
    <t>RICHFOOD BROCCOLI CUTS</t>
  </si>
  <si>
    <t>RICHFOOD PEAS BLACKEYE</t>
  </si>
  <si>
    <t>RICHFOOD PEAS GREEN</t>
  </si>
  <si>
    <t>RICHFOOD BROCCOLI FLORETS</t>
  </si>
  <si>
    <t>RICHFOOD PETITE PEAS</t>
  </si>
  <si>
    <t>RICHFOOD REG CUT GRN BEANS</t>
  </si>
  <si>
    <t>RICHFOOD BROCCOLI SPEARS</t>
  </si>
  <si>
    <t>RICHFOOD SOUP MIX</t>
  </si>
  <si>
    <t>RICHFOOD SQUASH</t>
  </si>
  <si>
    <t>RICHFOOD BROCCOLI/CAULIFLWR</t>
  </si>
  <si>
    <t>RICHFOOD VEG BL ST FR BROC</t>
  </si>
  <si>
    <t>RICHFOOD BRUSSEL SPROUTS</t>
  </si>
  <si>
    <t>RICHFOOD VEG BL ST FR PEAS</t>
  </si>
  <si>
    <t>RICHFOOD VEG FRZ BROC CHOPD</t>
  </si>
  <si>
    <t>RICHFOOD BUTTER BEANS</t>
  </si>
  <si>
    <t>RICHFOOD VEG ORIENTAL BLEND</t>
  </si>
  <si>
    <t>RICHFOOD CALIFORNIA BLEND</t>
  </si>
  <si>
    <t>RICHFOOD VEGETABLE MIXED</t>
  </si>
  <si>
    <t>RICHFOOD CARROTS WHOLE BABY</t>
  </si>
  <si>
    <t>RICHFOOD VEGETABLE STEW</t>
  </si>
  <si>
    <t>RICHFOOD CAULIFLOWER</t>
  </si>
  <si>
    <t>RICHFOOD% CUT CORN</t>
  </si>
  <si>
    <t>RICHFOOD CHOPPED BROCCOLI</t>
  </si>
  <si>
    <t>RICHFOOD% FRENCH GREEN BEANS</t>
  </si>
  <si>
    <t>RICHFOOD CHOPPED SPINACH</t>
  </si>
  <si>
    <t>RICHFOOD% GREEN BEANS CUT</t>
  </si>
  <si>
    <t>RICHFOOD% MIXED VEGETABLES</t>
  </si>
  <si>
    <t>RICHFOOD COLLARDS CHOPPED</t>
  </si>
  <si>
    <t>RICHFOOD% PEAS &amp; CARROTS</t>
  </si>
  <si>
    <t>RICHFOOD CORN ON COB</t>
  </si>
  <si>
    <t>RICHFOOD% PEAS GREEN</t>
  </si>
  <si>
    <t>RICHFOOD% SUCCOTASH</t>
  </si>
  <si>
    <t>RICHFOOD CORN ON COB MINI</t>
  </si>
  <si>
    <t>ALEX OVEN FRIES OIL/GA</t>
  </si>
  <si>
    <t>RICHFOOD CRINKLE CUT CARROT</t>
  </si>
  <si>
    <t>ALEXIA ALEXIA SWEETPOTHAN</t>
  </si>
  <si>
    <t>RICHFOOD CUT CORN</t>
  </si>
  <si>
    <t>ALEXIA ONION RINGS</t>
  </si>
  <si>
    <t>ALEXIA ORGANIC YUKON</t>
  </si>
  <si>
    <t>ALEXIA OVEN FRIES O OIL</t>
  </si>
  <si>
    <t>RICHFOOD CUT WHOLE KERNEL</t>
  </si>
  <si>
    <t>ALEXIA OVEN REDS OLIVE</t>
  </si>
  <si>
    <t>ALEXIA SWT POTATOES JUL</t>
  </si>
  <si>
    <t>RICHFOOD GREEN PEAS</t>
  </si>
  <si>
    <t>ALEXIA YKN GOLD W/SEA SLT</t>
  </si>
  <si>
    <t>FOOD CLUB POTATO FR FRY SEAS</t>
  </si>
  <si>
    <t>RICHFOOD ITALIAN BLEND</t>
  </si>
  <si>
    <t>LYNDEN SHOESTRING POTATOS</t>
  </si>
  <si>
    <t>MCCAIN  % CLASSIC CUT POTATO</t>
  </si>
  <si>
    <t>RICHFOOD LEAF SPINACH</t>
  </si>
  <si>
    <t>MCCAIN  % GRILLED GRLC &amp; ON</t>
  </si>
  <si>
    <t>MCCAIN  % PREM SEAS CRNK CUT</t>
  </si>
  <si>
    <t>RICHFOOD LIMAS FORD HOOKS</t>
  </si>
  <si>
    <t>MCCAIN  % ROASTER AMERICAN</t>
  </si>
  <si>
    <t>RICHFOOD MIXED VEGETABLE</t>
  </si>
  <si>
    <t>MCCAIN  % SEASONED SPIRALS</t>
  </si>
  <si>
    <t>MCCAIN  % SWT POTATO CRINKLE</t>
  </si>
  <si>
    <t>RICHFOOD NORMANDY BLEND VEG</t>
  </si>
  <si>
    <t>MCCAIN PREMIUM SMILES</t>
  </si>
  <si>
    <t>RICHFOOD OKRA CUT</t>
  </si>
  <si>
    <t>MCCAIN% CRINKLE CUT</t>
  </si>
  <si>
    <t>MCCAIN% STEAK FRIES</t>
  </si>
  <si>
    <t>ORE-IDA ABC SHAPES</t>
  </si>
  <si>
    <t>MRS. T'S PIEROGIES POT/CHDR</t>
  </si>
  <si>
    <t>ORE-IDA CRINKLE CUT FRIES</t>
  </si>
  <si>
    <t>16.0 OZ</t>
  </si>
  <si>
    <t>MRS. T'S POT &amp; CHS PIEROGIE</t>
  </si>
  <si>
    <t>ORE-IDA FRENCH FRIES</t>
  </si>
  <si>
    <t>MRS. T'S POT&amp;ONION PIEROGIE</t>
  </si>
  <si>
    <t>ORE-IDA GARLIC SEASONED</t>
  </si>
  <si>
    <t>ORE IDA BAKED POT SR CRM</t>
  </si>
  <si>
    <t>ORE-IDA STEAM N MASH RUSSE</t>
  </si>
  <si>
    <t>ORE IDA CLSC WHL ONION RNG</t>
  </si>
  <si>
    <t>ORE-IDA TATER TOTS</t>
  </si>
  <si>
    <t>ORE IDA CNTRY STEAK FRIES</t>
  </si>
  <si>
    <t>ORE-IDA THREE CHEESE</t>
  </si>
  <si>
    <t>ORE IDA CNTRY STYL HSHBRNS</t>
  </si>
  <si>
    <t>RICHFOOD FRENCH FRIES CRINK</t>
  </si>
  <si>
    <t>ORE IDA COUNTRY FRIES</t>
  </si>
  <si>
    <t>RICHFOOD HASHBROWN PATTY</t>
  </si>
  <si>
    <t>ORE IDA CRISPERS</t>
  </si>
  <si>
    <t>RICHFOOD ONION RINGS</t>
  </si>
  <si>
    <t>ORE IDA CRISPY CROWNS</t>
  </si>
  <si>
    <t>RICHFOOD SEASONED FRENCH FR</t>
  </si>
  <si>
    <t>ORE IDA CRISPY CRUNCHERS</t>
  </si>
  <si>
    <t>RICHFOOD SHREDDED HASH BRWN</t>
  </si>
  <si>
    <t>ORE IDA CRSPY CRINKLE CUT</t>
  </si>
  <si>
    <t>RICHFOOD% FRENCH FRIES</t>
  </si>
  <si>
    <t>ORE IDA EXTRA CRISPY FRIES</t>
  </si>
  <si>
    <t>RICHFOOD% FRENCH FRIES CRINK</t>
  </si>
  <si>
    <t>ORE IDA FAST FRIES</t>
  </si>
  <si>
    <t>RICHFOOD% POT FRENCH FRY STK</t>
  </si>
  <si>
    <t>ORE IDA GOLDEN CRINKLES</t>
  </si>
  <si>
    <t>RICHFOOD% SHOESTRING POTATO</t>
  </si>
  <si>
    <t>RICHFOOD% SOUTHRN HASHBROWNS</t>
  </si>
  <si>
    <t>ORE IDA GOLDEN TWIRLS</t>
  </si>
  <si>
    <t>RICHFOOD% TATER NUGGETS</t>
  </si>
  <si>
    <t>ORE IDA HASHBRWN STHRN STL</t>
  </si>
  <si>
    <t>SHOP VALU FRIES CRINKLE CUT</t>
  </si>
  <si>
    <t>ORE IDA MINI TATER TOTS</t>
  </si>
  <si>
    <t>SHOP VALU FRIES REGULAR CUT</t>
  </si>
  <si>
    <t>ORE IDA ONION RINGERS</t>
  </si>
  <si>
    <t>SHOP VALU SHOESTRING POTATOE</t>
  </si>
  <si>
    <t>ORE IDA POTATO PIXIE CRNKL</t>
  </si>
  <si>
    <t>TGI FRDYS BR BTD ONION RINGS</t>
  </si>
  <si>
    <t>ORE IDA POTATOES O'BRIEN</t>
  </si>
  <si>
    <t>CATEGORY :       9140000 MEAT PIES</t>
  </si>
  <si>
    <t>ORE IDA ROASTD ORIGINAL</t>
  </si>
  <si>
    <t>ORE IDA RSTD GRLC/PARM POT</t>
  </si>
  <si>
    <t>BANQUET PIE VEG W/BEEF</t>
  </si>
  <si>
    <t>ORE IDA SHOESTRING POTATOE</t>
  </si>
  <si>
    <t>BANQUET POT PIE CHICK &amp; BR</t>
  </si>
  <si>
    <t>ORE IDA SHRED HASHBROWNS</t>
  </si>
  <si>
    <t>BANQUET VEG PIE W/ TURK</t>
  </si>
  <si>
    <t>ORE IDA STEAK FRIES</t>
  </si>
  <si>
    <t>BANQUET VEG PIE W/CHIC</t>
  </si>
  <si>
    <t>ORE IDA TATER TOTS W/ONION</t>
  </si>
  <si>
    <t>BOSTN MKT CHICKEN POT PIE</t>
  </si>
  <si>
    <t>ORE IDA TEXAS CRISPERS</t>
  </si>
  <si>
    <t>CALLENDAR CRMY PRMSN CHX POT</t>
  </si>
  <si>
    <t>ORE IDA TOASTER HASHBROWNS</t>
  </si>
  <si>
    <t>CALLENDAR HNY RSTD CHX PT PI</t>
  </si>
  <si>
    <t>ORE IDA TWC BKD POT/CHEESE</t>
  </si>
  <si>
    <t>CALLENDER CRM MSH CHK POT PI</t>
  </si>
  <si>
    <t>ORE IDA WAFFLE FRIES</t>
  </si>
  <si>
    <t>CALLENDER POT PIE BEEF</t>
  </si>
  <si>
    <t>ORE IDA X-CRSP SEAS CRNKLS</t>
  </si>
  <si>
    <t>CALLENDER POT PIE CHICKEN</t>
  </si>
  <si>
    <t>ORE IDA XCRSP FASTFD FRIES</t>
  </si>
  <si>
    <t>CALLENDER POT PIES CHICKEN</t>
  </si>
  <si>
    <t>ORE IDA XCRSPY TATOR TOTS</t>
  </si>
  <si>
    <t>CALLENDER POT PIES TURKEY</t>
  </si>
  <si>
    <t>ORE IDA XTRA CRSPY GLD FRY</t>
  </si>
  <si>
    <t>M CALLNDR GRL CHKN ALFREDO</t>
  </si>
  <si>
    <t>ORE IDA ZESTIES</t>
  </si>
  <si>
    <t>M CALLNDR SVRY HERB TURKEY</t>
  </si>
  <si>
    <t>ORE IDA ZESTY TWIRLS</t>
  </si>
  <si>
    <t>STOUFFERS CHICKEN POT PIE</t>
  </si>
  <si>
    <t>CATEGORY :       9175080 STOUFFERS/LEAN CUISINE</t>
  </si>
  <si>
    <t>SWANSON CHICK POT PIE</t>
  </si>
  <si>
    <t>BANQUET% MAC &amp; CHEESE</t>
  </si>
  <si>
    <t>SWANSON TURKEY POT PIE</t>
  </si>
  <si>
    <t>BANQUET% MEAT LOAF DINNER</t>
  </si>
  <si>
    <t>BANQUET% PORK RIBLET</t>
  </si>
  <si>
    <t>BANQUET% SALISBURY DINNER</t>
  </si>
  <si>
    <t>AMYS KTCH BOWL BRN RICE &amp;VEG</t>
  </si>
  <si>
    <t>BANQUET% SM PEPP PIZZA</t>
  </si>
  <si>
    <t>AMYS KTCH IND MATTAR PANEER</t>
  </si>
  <si>
    <t>BANQUET% SPAG &amp; MTBALL</t>
  </si>
  <si>
    <t>AMYS KTCH IND PALAK PANEER</t>
  </si>
  <si>
    <t>BANQUET% TURKEY DINNER</t>
  </si>
  <si>
    <t>AMYS KTCH LASAGNA VEGETABLE</t>
  </si>
  <si>
    <t>BDGT GMT CL PIZZA SNACKS</t>
  </si>
  <si>
    <t>AMYS KTCH MACARONI &amp; CHEESE</t>
  </si>
  <si>
    <t>BDGT GOUR BG LSGNA ALFD W/BR</t>
  </si>
  <si>
    <t>AMYS KTCH MEXICAN CASS BOWL</t>
  </si>
  <si>
    <t>BDGT GOUR BG SPGHETTI MARINA</t>
  </si>
  <si>
    <t>AMYS KTCH PESTO TORTLLNI BWL</t>
  </si>
  <si>
    <t>BDGT GOUR ESCLPD NDLS/TRK</t>
  </si>
  <si>
    <t>AMYS KTCH PESTO/BASL/TOM PIZ</t>
  </si>
  <si>
    <t>BDGT GOUR FETTCNI ALFD 4C</t>
  </si>
  <si>
    <t>AMYS KTCH RST VEGET PIZZA</t>
  </si>
  <si>
    <t>BDGT GOUR HMSTYL MAC&amp;CHEESE</t>
  </si>
  <si>
    <t>AMYS KTCH SPINACH PIZZA</t>
  </si>
  <si>
    <t>BDGT GOUR L&amp;H ANGL HR MT/</t>
  </si>
  <si>
    <t>AMYS KTCN INDIAN MATTAR TOFU</t>
  </si>
  <si>
    <t>BDGT GOUR L&amp;H CHNSE VEG/C</t>
  </si>
  <si>
    <t>AMYS KTCN MARGHERITA PIZZA</t>
  </si>
  <si>
    <t>BDGT GOUR L&amp;H ITL VEG &amp; C</t>
  </si>
  <si>
    <t>AMYS KTCN VEGGIE LOAF MEAL</t>
  </si>
  <si>
    <t>BDGT GOUR L&amp;H PENNE PST/S</t>
  </si>
  <si>
    <t>BANQUET BEEF &amp; NODL FAM SZ</t>
  </si>
  <si>
    <t>BDGT GOUR L&amp;H RGTNI BROC/</t>
  </si>
  <si>
    <t>BANQUET CHCKN DINNER SELRP</t>
  </si>
  <si>
    <t>BDGT GOUR LASAGNA MOZZ</t>
  </si>
  <si>
    <t>BANQUET CRCK PT BEEF STEW</t>
  </si>
  <si>
    <t>BDGT GOUR MAC &amp; CH VL CLS LT</t>
  </si>
  <si>
    <t>BANQUET CRCK PT BF POT RST</t>
  </si>
  <si>
    <t>BDGT GOUR STIRFRY RICE/VE</t>
  </si>
  <si>
    <t>41.50 O</t>
  </si>
  <si>
    <t>BANQUET CRCK PT CKN&amp;DMPLG</t>
  </si>
  <si>
    <t>BDGT GOUR SZECH VEG&amp;CHICK</t>
  </si>
  <si>
    <t>BANQUET CRM BROC, CHIX, &amp;</t>
  </si>
  <si>
    <t>BDGT GOUR VC LASAGNA MT S</t>
  </si>
  <si>
    <t>BANQUET DINNR MAC &amp; CHEESE</t>
  </si>
  <si>
    <t>BDGT GOUR ZITI PARMESANO</t>
  </si>
  <si>
    <t>BANQUET HMSTYLE RST SELRP</t>
  </si>
  <si>
    <t>BERTOLLI BERT MED STK &amp; RIG</t>
  </si>
  <si>
    <t>BANQUET LASAGNA FAMILY ENT</t>
  </si>
  <si>
    <t>BERTOLLI BERT PORK &amp; CAV</t>
  </si>
  <si>
    <t>BANQUET SALS STEAK FAMILY</t>
  </si>
  <si>
    <t>BERTOLLI BK CHICKEN PARM</t>
  </si>
  <si>
    <t>BANQUET SELRP ENCH COMB</t>
  </si>
  <si>
    <t>BERTOLLI BK CHS RAVIOLI</t>
  </si>
  <si>
    <t>BANQUET SELRP HG CHKN</t>
  </si>
  <si>
    <t>BERTOLLI BK MEAT LASAGNA</t>
  </si>
  <si>
    <t>10.15 O</t>
  </si>
  <si>
    <t>BANQUET SELRP PARM CKN</t>
  </si>
  <si>
    <t>BERTOLLI BK STFD SHELLS</t>
  </si>
  <si>
    <t>BANQUET SELRP SC BEEF</t>
  </si>
  <si>
    <t>BERTOLLI CHICK ALFREDO PORT</t>
  </si>
  <si>
    <t>BANQUET SLICD TRKY W/GRAVY</t>
  </si>
  <si>
    <t>BERTOLLI CHICK PARM PENNE</t>
  </si>
  <si>
    <t>BANQUET SR SMOTH BURRITO</t>
  </si>
  <si>
    <t>BERTOLLI CHIX RIGATONI BROC</t>
  </si>
  <si>
    <t>BANQUET% BQ SWISS STK PTY</t>
  </si>
  <si>
    <t>BERTOLLI CHK FLRNT N FETT</t>
  </si>
  <si>
    <t>BANQUET% CHICKEN FINGERS</t>
  </si>
  <si>
    <t>BERTOLLI CKN ALLA VDKA/FARF</t>
  </si>
  <si>
    <t>BANQUET% CHICKEN NUGGET DNR</t>
  </si>
  <si>
    <t>BERTOLLI GARLC SHRIMP PENNE</t>
  </si>
  <si>
    <t>BANQUET% CHKN FRIED BF STK</t>
  </si>
  <si>
    <t>BERTOLLI ITAL SAUS&amp;RIGATONI</t>
  </si>
  <si>
    <t>BANQUET% CHS SMOTHER PAT</t>
  </si>
  <si>
    <t>BERTOLLI ROSEMARY CHIX LING</t>
  </si>
  <si>
    <t>BANQUET% FISH STICKS</t>
  </si>
  <si>
    <t>BERTOLLI RSTD CHICK&amp;LINGUIN</t>
  </si>
  <si>
    <t>BERTOLLI SHRIMP PENNE ASPAR</t>
  </si>
  <si>
    <t>CONTESSA CHICKEN STIR FRY</t>
  </si>
  <si>
    <t>BERTOLLI SHRIMP SCAMPI LING</t>
  </si>
  <si>
    <t>CONTESSA ORANGE CHICKEN</t>
  </si>
  <si>
    <t>BIRDSEYE CKN VOILA 3 CHEESE</t>
  </si>
  <si>
    <t>CONTESSA SESAME CHICKEN</t>
  </si>
  <si>
    <t>BIRDSEYE CKN VOILA-ALFREDO</t>
  </si>
  <si>
    <t>CONTESSA SHRIMP MEDITRN</t>
  </si>
  <si>
    <t>BIRDSEYE STMFR SHMP PST PRM</t>
  </si>
  <si>
    <t>CONTESSA SHRIMP PRIMAVERA</t>
  </si>
  <si>
    <t>BIRDSEYE STMFRS ASN VG MDLY</t>
  </si>
  <si>
    <t>CONTESSA SHRIMP STIR FRY</t>
  </si>
  <si>
    <t>BIRDSEYE STMFRS CKN GRLC SC</t>
  </si>
  <si>
    <t>CONTESSA SWEET/SOUR SHRIMP</t>
  </si>
  <si>
    <t>BIRDSEYE STMFRS CKN MARINRA</t>
  </si>
  <si>
    <t>FR QUEEN BEEF, BROILED PTTY</t>
  </si>
  <si>
    <t>BIRDSEYE STMFRS SHRMP ALFRD</t>
  </si>
  <si>
    <t>FRZ QUEEN GRAVY&amp;SLICD TURKEY</t>
  </si>
  <si>
    <t>BIRDSEYE STMFRS SWT&amp;SPC CKN</t>
  </si>
  <si>
    <t>FRZ QUEEN MAC &amp; CHEESE</t>
  </si>
  <si>
    <t>BIRDSEYE VOILA GARLIC</t>
  </si>
  <si>
    <t>FRZ QUEEN MEATLOAF/TOMATO SC</t>
  </si>
  <si>
    <t>BIRDSEYE VOILA ZST GR SHRMP</t>
  </si>
  <si>
    <t>FRZ QUEEN STEAK SALISBURY</t>
  </si>
  <si>
    <t>BOSTN MKT BEEF POT ROAST</t>
  </si>
  <si>
    <t>GLORY FDS CHICKEN &amp; DUMPLING</t>
  </si>
  <si>
    <t>BOSTN MKT BEEF STEAK&amp;NOODLES</t>
  </si>
  <si>
    <t>GLORY HAM &amp; SAUSGE JAMB</t>
  </si>
  <si>
    <t>BOSTN MKT BEEF STK W/MSH POT</t>
  </si>
  <si>
    <t>GLORY HAM&amp;SAUS JAMBALAYA</t>
  </si>
  <si>
    <t>BOSTN MKT CHICKEN PARMESAN</t>
  </si>
  <si>
    <t>HLTHY CHC BEEF POT ROAST</t>
  </si>
  <si>
    <t>BOSTN MKT CNT FR CH POT VG M</t>
  </si>
  <si>
    <t>HLTHY CHC BEEF TIPS PRTABLLO</t>
  </si>
  <si>
    <t>BOSTN MKT HONEY RSTD CHICKEN</t>
  </si>
  <si>
    <t>HLTHY CHC BF MERLOT CF STMRS</t>
  </si>
  <si>
    <t>BOSTN MKT LASAGNA W/MT SAUCE</t>
  </si>
  <si>
    <t>HLTHY CHC BLCKND CHICKEN DNR</t>
  </si>
  <si>
    <t>BOSTN MKT MACARONI &amp; CHEESE</t>
  </si>
  <si>
    <t>HLTHY CHC CHCKN FETUC ALFRED</t>
  </si>
  <si>
    <t>BOSTN MKT MEATLOAF W/MSH POT</t>
  </si>
  <si>
    <t>HLTHY CHC CHICKEN PARMIGIANA</t>
  </si>
  <si>
    <t>HLTHY CHC CHICKEN TERIYAKI</t>
  </si>
  <si>
    <t>BOSTN MKT SALISBURY STEAK</t>
  </si>
  <si>
    <t>HLTHY CHC CHKN ALFRDO FLRNTN</t>
  </si>
  <si>
    <t>BOSTN MKT SWED MTBALLS W/NDL</t>
  </si>
  <si>
    <t>HLTHY CHC CHKN MESQUITE BBQ</t>
  </si>
  <si>
    <t>BOSTN MKT TRKY BRST MEDALLNS</t>
  </si>
  <si>
    <t>10.40 O</t>
  </si>
  <si>
    <t>HLTHY CHC CJN CKN SRMP CFSTM</t>
  </si>
  <si>
    <t>BOSTN MKT TRKY BRST W/MSH PT</t>
  </si>
  <si>
    <t>HLTHY CHC CKN ALFRDO CF STMR</t>
  </si>
  <si>
    <t>BOSTN MKT TURKEY MEDALLIONS</t>
  </si>
  <si>
    <t>HLTHY CHC CKN MARG CF STMRS</t>
  </si>
  <si>
    <t>BUDGET G WHEELS &amp; CHEESE</t>
  </si>
  <si>
    <t>HLTHY CHC CKN MRSLA CF STMRS</t>
  </si>
  <si>
    <t>CALLENDER CHICKEN SWT SOUR</t>
  </si>
  <si>
    <t>HLTHY CHC COUNTRY BREAD CKN</t>
  </si>
  <si>
    <t>CALLENDER CHIX COUNTRY FRIE</t>
  </si>
  <si>
    <t>11.35 O</t>
  </si>
  <si>
    <t>HLTHY CHC COUNTRY HERB CHKN</t>
  </si>
  <si>
    <t>CALLENDER DINNR CHKN PRM/LIN</t>
  </si>
  <si>
    <t>HLTHY CHC GLD RSTD TRKY BRST</t>
  </si>
  <si>
    <t>CALLENDER HERB RST CHKN W/P</t>
  </si>
  <si>
    <t>HLTHY CHC GNRL TSO CKN CFSTM</t>
  </si>
  <si>
    <t>CALLENDER LASAGNA W/MEAT SA</t>
  </si>
  <si>
    <t>HLTHY CHC GR BASL CKN CF STM</t>
  </si>
  <si>
    <t>CALLENDER MTLF&amp;GRVY-MSH POT</t>
  </si>
  <si>
    <t>HLTHY CHC GR CKN MAR CF STMR</t>
  </si>
  <si>
    <t>CALLENDER PORK CHOPS CNTRY</t>
  </si>
  <si>
    <t>HLTHY CHC GR WSKY STK CF STM</t>
  </si>
  <si>
    <t>CALLENDER ROAST BEEF DINNER</t>
  </si>
  <si>
    <t>HLTHY CHC HC 5 SPC STEAMER</t>
  </si>
  <si>
    <t>CELENTANO EGGPLANT PARM</t>
  </si>
  <si>
    <t>HLTHY CHC HC ASIAN PTSTCKERS</t>
  </si>
  <si>
    <t>CELENTANO STUFFED SHELLS</t>
  </si>
  <si>
    <t>HLTHY CHC HC PMP SQUASH RAV</t>
  </si>
  <si>
    <t>CONTESSA BEEF STIR FRY</t>
  </si>
  <si>
    <t>9.40 OZ</t>
  </si>
  <si>
    <t>HLTHY CHC HC PORT SPIN PARM</t>
  </si>
  <si>
    <t>HLTHY CHC HC SES GLZD CKN ST</t>
  </si>
  <si>
    <t>KID CUISN KC FUN NUGGETS</t>
  </si>
  <si>
    <t>HLTHY CHC HC SWTSPCY ORG</t>
  </si>
  <si>
    <t>KID CUISN KC PIRATE PZA/CHS</t>
  </si>
  <si>
    <t>HLTHY CHC HC TMT BAS PENNE</t>
  </si>
  <si>
    <t>KID CUISN KDCSN MAC&amp;CHEESE</t>
  </si>
  <si>
    <t>HLTHY CHC HNYBALSAMICGRILCKN</t>
  </si>
  <si>
    <t>KID CUISN PEPP PIZZA</t>
  </si>
  <si>
    <t>HLTHY CHC HONY GINGR CHICKEN</t>
  </si>
  <si>
    <t>KID CUISN SPAG &amp; MINI MEATBL</t>
  </si>
  <si>
    <t>HLTHY CHC LEMON PEPPER FISH</t>
  </si>
  <si>
    <t>8.07 OZ</t>
  </si>
  <si>
    <t>KID CUISN TOASTED RAVIOLI</t>
  </si>
  <si>
    <t>HLTHY CHC MARNA MANCTI FRMAG</t>
  </si>
  <si>
    <t>LN CUISIN CHKN IN HERB CR SC</t>
  </si>
  <si>
    <t>HLTHY CHC MEAT LOAF DINNER</t>
  </si>
  <si>
    <t>LN CUISIN MUSHROOM PIZZA</t>
  </si>
  <si>
    <t>HLTHY CHC RST TURKEY MEDALNS</t>
  </si>
  <si>
    <t>9.88 OZ</t>
  </si>
  <si>
    <t>LN CUISIN STIR FRY CHICKEN</t>
  </si>
  <si>
    <t>HLTHY CHC RSTD CHICKN FRESCA</t>
  </si>
  <si>
    <t>LN CUISNE 3 CHZ STFF RIGATNI</t>
  </si>
  <si>
    <t>HLTHY CHC RSTD CHKN BREAST</t>
  </si>
  <si>
    <t>LN CUISNE 5 CHEESE RIGATONI</t>
  </si>
  <si>
    <t>HLTHY CHC SALISBURY STEAK</t>
  </si>
  <si>
    <t>LN CUISNE ANGEL HAIR PASTA</t>
  </si>
  <si>
    <t>LN CUISNE BBQ CHICKEN PIZZA</t>
  </si>
  <si>
    <t>HLTHY CHC SWEET &amp; SOUR CHKN</t>
  </si>
  <si>
    <t>LN CUISNE BEEF CHOW FUN</t>
  </si>
  <si>
    <t>HLTHY CHC TOM BSL MZ PANINI</t>
  </si>
  <si>
    <t>LN CUISNE BEEF PORTABELLO</t>
  </si>
  <si>
    <t>HLTHY CHC TRKY BRST&amp;CRANBRYS</t>
  </si>
  <si>
    <t>LN CUISNE BKD CHEESE RAVIOLI</t>
  </si>
  <si>
    <t>KASHI BLK BN MANGO</t>
  </si>
  <si>
    <t>LN CUISNE BKD FISH W/CHED SH</t>
  </si>
  <si>
    <t>KASHI CHICKEN FLORENTN</t>
  </si>
  <si>
    <t>LN CUISNE BTRNT SQSH RAVIOLI</t>
  </si>
  <si>
    <t>KASHI CHKN RUSTICO PKTBR</t>
  </si>
  <si>
    <t>LN CUISNE CC GRLC BF&amp;BROCOLI</t>
  </si>
  <si>
    <t>KASHI CKN PSTA POM</t>
  </si>
  <si>
    <t>LN CUISNE CC LEMON CHICKEN</t>
  </si>
  <si>
    <t>KASHI GARDEN VEGTB PASTA</t>
  </si>
  <si>
    <t>LN CUISNE CC MARGHERITA PIZA</t>
  </si>
  <si>
    <t>KASHI LM RSMRY CKN</t>
  </si>
  <si>
    <t>LN CUISNE CC SEASAME CHICKEN</t>
  </si>
  <si>
    <t>KASHI LMNGRS CCNTCHKN</t>
  </si>
  <si>
    <t>6.125 O</t>
  </si>
  <si>
    <t>LN CUISNE CC SPNCH MSHRM PZA</t>
  </si>
  <si>
    <t>KASHI MAYAN HARVEST BAKE</t>
  </si>
  <si>
    <t>6.375 O</t>
  </si>
  <si>
    <t>LN CUISNE CC THREE MEAT PIZA</t>
  </si>
  <si>
    <t>KASHI PESTO PSTA PRIMA</t>
  </si>
  <si>
    <t>LN CUISNE CCL PARM CRS FISH</t>
  </si>
  <si>
    <t>KASHI RANCHERO BEANS</t>
  </si>
  <si>
    <t>LN CUISNE CCL SHRIMP ALFREDO</t>
  </si>
  <si>
    <t>KASHI SW STY CKN</t>
  </si>
  <si>
    <t>LN CUISNE CCL SZ STRFR SHRMP</t>
  </si>
  <si>
    <t>KASHI SWT &amp; SR CKN</t>
  </si>
  <si>
    <t>LN CUISNE CCL TOR CRS FISH</t>
  </si>
  <si>
    <t>KASHI TURKY FIESTA PKTBR</t>
  </si>
  <si>
    <t>LN CUISNE CHCKN RANCHCLUB FB</t>
  </si>
  <si>
    <t>KASHI TUSCAN VEGGIE BAKE</t>
  </si>
  <si>
    <t>9.125 O</t>
  </si>
  <si>
    <t>LN CUISNE CHEESE CANNELLONI</t>
  </si>
  <si>
    <t>KASHI VEGGIE MEDLY PKTBR</t>
  </si>
  <si>
    <t>LN CUISNE CHICKEN CARBONARA</t>
  </si>
  <si>
    <t>KID CUISI DIPNDUNK CKN STRIP</t>
  </si>
  <si>
    <t>LN CUISNE CHICKEN FETTUCINI</t>
  </si>
  <si>
    <t>KID CUISN BEEF/CHEEZ PATTY</t>
  </si>
  <si>
    <t>LN CUISNE CHICKEN OVEN BKED</t>
  </si>
  <si>
    <t>7.35 OZ</t>
  </si>
  <si>
    <t>KID CUISN CHICKEN CHSE QUESA</t>
  </si>
  <si>
    <t>LN CUISNE CHICKEN PECAN</t>
  </si>
  <si>
    <t>KID CUISN HAM&amp;CHEESE ROPER</t>
  </si>
  <si>
    <t>LN CUISNE CHICKEN PHILLY FB</t>
  </si>
  <si>
    <t>KID CUISN KC CHICK NUGGET</t>
  </si>
  <si>
    <t>LN CUISNE CHICKN CLUB PANINI</t>
  </si>
  <si>
    <t>KID CUISN KC CHICKEN FRIED</t>
  </si>
  <si>
    <t>LN CUISNE CHKN TUSCAN PANINI</t>
  </si>
  <si>
    <t>KID CUISN KC CORN DOG</t>
  </si>
  <si>
    <t>LN CUISNE CHOPHOUSE STEAK FB</t>
  </si>
  <si>
    <t>KID CUISN KC FISH STICKS</t>
  </si>
  <si>
    <t>LN CUISNE CKN CHOW MEIN W/RC</t>
  </si>
  <si>
    <t>LN CUISNE CKN TEND W/PNT SCE</t>
  </si>
  <si>
    <t>LN CUISNE STHERN BBQ BF TIPS</t>
  </si>
  <si>
    <t>LN CUISNE CKN TERIY STIR FRY</t>
  </si>
  <si>
    <t>LN CUISNE STK TIPS PORTABELL</t>
  </si>
  <si>
    <t>LN CUISNE CKN&amp;SPINACH PANINI</t>
  </si>
  <si>
    <t>8.63 OZ</t>
  </si>
  <si>
    <t>LN CUISNE SUN D TOM PESTO CK</t>
  </si>
  <si>
    <t>LN CUISNE DTS GAR SHRIMP</t>
  </si>
  <si>
    <t>LN CUISNE SW CHICKEN PANINI</t>
  </si>
  <si>
    <t>LN CUISNE FETTUCIINI ALFREDO</t>
  </si>
  <si>
    <t>LN CUISNE SWEDISH MEAT BALLS</t>
  </si>
  <si>
    <t>LN CUISNE GARLIC CHKN PIZZA</t>
  </si>
  <si>
    <t>LN CUISNE THAI CHICKEN</t>
  </si>
  <si>
    <t>LN CUISNE GING GRL STFRY CKN</t>
  </si>
  <si>
    <t>LN CUISNE TRKY SLCD W/STUFFG</t>
  </si>
  <si>
    <t>LN CUISNE GLZD TURKY TENDLNS</t>
  </si>
  <si>
    <t>LN CUISNE VEGETABLE EGGROLL</t>
  </si>
  <si>
    <t>LN CUISNE GRILLED CHIC/PENNE</t>
  </si>
  <si>
    <t>M CALLNDR AL DNT CAVAT GENOV</t>
  </si>
  <si>
    <t>LN CUISNE LASAGNA W/MT SAUCE</t>
  </si>
  <si>
    <t>M CALLNDR BEEF &amp; BROCCOLI</t>
  </si>
  <si>
    <t>LN CUISNE LASS CHIX &amp; VEGETB</t>
  </si>
  <si>
    <t>M CALLNDR BEEF POT ROAST</t>
  </si>
  <si>
    <t>LN CUISNE LC CC 4 CHS PIZZA</t>
  </si>
  <si>
    <t>M CALLNDR CHICKN SHRP PARMSN</t>
  </si>
  <si>
    <t>LN CUISNE LC CC CHICK ALMD</t>
  </si>
  <si>
    <t>M CALLNDR CHIX TERIYAKI</t>
  </si>
  <si>
    <t>LN CUISNE LC CC DELUXE PIZZA</t>
  </si>
  <si>
    <t>M CALLNDR CHSY CHK BRST &amp;RCE</t>
  </si>
  <si>
    <t>LN CUISNE LC CC PEPP PIZZA</t>
  </si>
  <si>
    <t>M CALLNDR FETT CHKN BALSAMI</t>
  </si>
  <si>
    <t>LN CUISNE LC CC RST VEG PIZ</t>
  </si>
  <si>
    <t>M CALLNDR FETT/BROC/CHCK/SC</t>
  </si>
  <si>
    <t>LN CUISNE LC CHICK FLORENTIN</t>
  </si>
  <si>
    <t>M CALLNDR GOLDEN BATTRD FLLT</t>
  </si>
  <si>
    <t>LN CUISNE LC MACARONI &amp; CHS</t>
  </si>
  <si>
    <t>M CALLNDR GRILLED CHKN W/PEN</t>
  </si>
  <si>
    <t>LN CUISNE LC RST CHICK W/LE</t>
  </si>
  <si>
    <t>M CALLNDR HMSTYL BBQ CHICKEN</t>
  </si>
  <si>
    <t>LN CUISNE LC SPAG/MT SAUCE*</t>
  </si>
  <si>
    <t>M CALLNDR HNY RST CHICKN DNR</t>
  </si>
  <si>
    <t>9.62 OZ</t>
  </si>
  <si>
    <t>LN CUISNE LEMON SALMON W/BSL</t>
  </si>
  <si>
    <t>M CALLNDR HNY RST TURKEY DNR</t>
  </si>
  <si>
    <t>9.37 OZ</t>
  </si>
  <si>
    <t>LN CUISNE LEMONGRASS CHICKEN</t>
  </si>
  <si>
    <t>M CALLNDR LASAGNA W/MT SAUCE</t>
  </si>
  <si>
    <t>LN CUISNE LINGUINE CARBONARA</t>
  </si>
  <si>
    <t>M CALLNDR OVEN BAKED CHICKEN</t>
  </si>
  <si>
    <t>LN CUISNE MTLOAF/GRVY/WPTATO</t>
  </si>
  <si>
    <t>M CALLNDR RIGATONI MARINARA</t>
  </si>
  <si>
    <t>LN CUISNE ORIENTAL DUMPLINGS</t>
  </si>
  <si>
    <t>M CALLNDR RIGATONI PESCE</t>
  </si>
  <si>
    <t>LN CUISNE PASTA ROMANO BACON</t>
  </si>
  <si>
    <t>M CALLNDR ROAST PBL CHICKEN</t>
  </si>
  <si>
    <t>LN CUISNE PESTO CHICKEN FB</t>
  </si>
  <si>
    <t>M CALLNDR SHRIMP SCAMPI</t>
  </si>
  <si>
    <t>LN CUISNE PHILLY STK PANINI</t>
  </si>
  <si>
    <t>M CALLNDR SIRLOIN SALISBURY</t>
  </si>
  <si>
    <t>LN CUISNE POT ROAST</t>
  </si>
  <si>
    <t>M CALLNDR TORTELLINI ROMANO</t>
  </si>
  <si>
    <t>9.375 O</t>
  </si>
  <si>
    <t>LN CUISNE PSTA PENNE/GRL CKN</t>
  </si>
  <si>
    <t>M CALLNDR TRKY W/GRVY &amp; SFNG</t>
  </si>
  <si>
    <t>LN CUISNE PSTA SHRM/ANGL HR</t>
  </si>
  <si>
    <t>MARIE CAL SPG MTSCE GRLC BRD</t>
  </si>
  <si>
    <t>LN CUISNE ROAST TURKEY BRST</t>
  </si>
  <si>
    <t>17.15 O</t>
  </si>
  <si>
    <t>MARIE CAL SWD MTBL FETT BROC</t>
  </si>
  <si>
    <t>LN CUISNE ROSEMARY CHICKEN</t>
  </si>
  <si>
    <t>MICHELINA 5 CHSE LAYRD LSGNA</t>
  </si>
  <si>
    <t>8.78 OZ</t>
  </si>
  <si>
    <t>LN CUISNE RSTD GARLIC CHCKN</t>
  </si>
  <si>
    <t>MICHELINA AUTH BEEF RAV W/SC</t>
  </si>
  <si>
    <t>LN CUISNE RSTD POT W/BRC/CHS</t>
  </si>
  <si>
    <t>MICHELINA AUTH CHSBRGER MAC</t>
  </si>
  <si>
    <t>LN CUISNE SALISBURY STEAK</t>
  </si>
  <si>
    <t>MICHELINA AUTH TORT ALFREDO</t>
  </si>
  <si>
    <t>MICHELINA CHK ALFREDO FLOREN</t>
  </si>
  <si>
    <t>8.60 OZ</t>
  </si>
  <si>
    <t>LN CUISNE SALMON MEDITERRAN</t>
  </si>
  <si>
    <t>MICHELINA EX VALU MAC &amp; BEEF</t>
  </si>
  <si>
    <t>LN CUISNE STEAK&amp;CHEDR PANINI</t>
  </si>
  <si>
    <t>MICHELINA FETT ALFR BROC/CKN</t>
  </si>
  <si>
    <t>MICHELINA FETTUCINE ALFREDO</t>
  </si>
  <si>
    <t>SMART ONE HNY MANGO BBQ CHKN</t>
  </si>
  <si>
    <t>MICHELINA GOURM SAN FE RICE</t>
  </si>
  <si>
    <t>SMART ONE LOWCARB SALB STEAK</t>
  </si>
  <si>
    <t>MICHELINA GOURM SPAGHETTI/M</t>
  </si>
  <si>
    <t>SMART ONE LOWCRB BF POT RST</t>
  </si>
  <si>
    <t>MICHELINA GOURM SWEDSH MEAT</t>
  </si>
  <si>
    <t>SMART ONE LOWCRB CHK SANTAFE</t>
  </si>
  <si>
    <t>MICHELINA LG CLAS ITAL FLTBR</t>
  </si>
  <si>
    <t>SMART ONE ORNG SESAME CHICKN</t>
  </si>
  <si>
    <t>MICHELINA LG ITAL STYL FLTBR</t>
  </si>
  <si>
    <t>SMART ONE PASTA PRIMAVERA</t>
  </si>
  <si>
    <t>MICHELINA LG PEPRONISNAKROLL</t>
  </si>
  <si>
    <t>SMART ONE PENNE POLLO</t>
  </si>
  <si>
    <t>MICHELINA LG SESAME CHICKEN</t>
  </si>
  <si>
    <t>SMART ONE PICANTE CHICKEN</t>
  </si>
  <si>
    <t>MICHELINA LNGM SHRIMP SCAMPI</t>
  </si>
  <si>
    <t>SMART ONE PINEAPPLE BEEF</t>
  </si>
  <si>
    <t>MICHELINA MAC &amp; CHEESE</t>
  </si>
  <si>
    <t>SMART ONE STUFFED SANDWICH</t>
  </si>
  <si>
    <t>MICHELINA MAC &amp; CHSE LN GRMT</t>
  </si>
  <si>
    <t>SMART ONE TURKEY BRST STUFFD</t>
  </si>
  <si>
    <t>MICHELINA SHRMP W-PSTA &amp; VEG</t>
  </si>
  <si>
    <t>61.37 O</t>
  </si>
  <si>
    <t>STOUFFERS 5 CHEESE LASAGNA</t>
  </si>
  <si>
    <t>MICHELINA SL STK GRV M/POTAT</t>
  </si>
  <si>
    <t>STOUFFERS BOURBON STEAK TIPS</t>
  </si>
  <si>
    <t>MICHELINA SLSBRY STK MSH POT</t>
  </si>
  <si>
    <t>STOUFFERS CHEDDAR POT BAKE</t>
  </si>
  <si>
    <t>MICHELINA TRAD CHS MANICOTTI</t>
  </si>
  <si>
    <t>STOUFFERS CHEESY SPAGHETTI B</t>
  </si>
  <si>
    <t>MICHELINA TRAD STF PEPPERS</t>
  </si>
  <si>
    <t>STOUFFERS CHICK ITAL. PANINI</t>
  </si>
  <si>
    <t>ON COR LASAGNA W/MTSC DNR</t>
  </si>
  <si>
    <t>STOUFFERS CHICKEN A LA KING</t>
  </si>
  <si>
    <t>ON COR MOSTACCIOL W/MTBL</t>
  </si>
  <si>
    <t>57 OZ</t>
  </si>
  <si>
    <t>STOUFFERS CHICKEN ALFREDO</t>
  </si>
  <si>
    <t>ON COR RIB PATTY W/BBQ SC</t>
  </si>
  <si>
    <t>STOUFFERS CHICKEN PIE</t>
  </si>
  <si>
    <t>ON COR SALSBURY STEAK</t>
  </si>
  <si>
    <t>STOUFFERS CHKN &amp; BROC STRMBL</t>
  </si>
  <si>
    <t>ON COR TURKEY SLICED W/GV</t>
  </si>
  <si>
    <t>STOUFFERS CHKN ALF FLATBREAD</t>
  </si>
  <si>
    <t>ON COR VEAL PARMAGRANE</t>
  </si>
  <si>
    <t>STOUFFERS CHKN ASIAGO PANINI</t>
  </si>
  <si>
    <t>PICTSWEET CAJSHRMPGUMBOMEAL</t>
  </si>
  <si>
    <t>STOUFFERS CHKN BCN SPN FLBRD</t>
  </si>
  <si>
    <t>PICTSWEET CHKN W SUM VEG</t>
  </si>
  <si>
    <t>STOUFFERS CHKN ENCHL PARTYSZ</t>
  </si>
  <si>
    <t>PICTSWEET STM CHKNPSTAPRIMAV</t>
  </si>
  <si>
    <t>STOUFFERS CHKN QUESA FLATBRE</t>
  </si>
  <si>
    <t>PICTSWEET STM CHKNTUSCPENNE</t>
  </si>
  <si>
    <t>STOUFFERS CHKN&amp;VEG RICE BAKE</t>
  </si>
  <si>
    <t>PICTSWEET STM FIEST CKNRICE</t>
  </si>
  <si>
    <t>STOUFFERS CK &amp; BROC PASTA BK</t>
  </si>
  <si>
    <t>PICTSWEET STM GRLC SHRMP FET</t>
  </si>
  <si>
    <t>STOUFFERS CLS ITALIAN PANINI</t>
  </si>
  <si>
    <t>PICTSWEET STM ORIENTCHKRICE</t>
  </si>
  <si>
    <t>STOUFFERS CORN SOUFFLE</t>
  </si>
  <si>
    <t>SMART ONE BRKFST QUESDILLA</t>
  </si>
  <si>
    <t>STOUFFERS CREAMED CHIP BEEF</t>
  </si>
  <si>
    <t>SMART ONE CALZONE ITALIANO</t>
  </si>
  <si>
    <t>STOUFFERS ESC CKN NOODLE</t>
  </si>
  <si>
    <t>SMART ONE CANADIAN BACON</t>
  </si>
  <si>
    <t>SMART ONE CHKN&amp;CHS QUESADILA</t>
  </si>
  <si>
    <t>STOUFFERS EZEXPRS CHES LASGN</t>
  </si>
  <si>
    <t>SMART ONE CRANBERRY TURKEY</t>
  </si>
  <si>
    <t>STOUFFERS EZEXPRS CHESMANIC</t>
  </si>
  <si>
    <t>SMART ONE DRAGON SHRIMP LOMN</t>
  </si>
  <si>
    <t>STOUFFERS EZEXPRS RIG W/CHKN</t>
  </si>
  <si>
    <t>SMART ONE ENCHILADA CHIC</t>
  </si>
  <si>
    <t>STOUFFERS FIVE CHS LASAGNA</t>
  </si>
  <si>
    <t>SMART ONE ENCHILADA CHX MONT</t>
  </si>
  <si>
    <t>STOUFFERS FIVE CHZ LASAGNA</t>
  </si>
  <si>
    <t>SMART ONE ENGLISH MUFFIN</t>
  </si>
  <si>
    <t>9.0 OZ</t>
  </si>
  <si>
    <t>STOUFFERS GRLLD HERB CHICKEN</t>
  </si>
  <si>
    <t>SMART ONE FIESTA QUESADILLA</t>
  </si>
  <si>
    <t>STOUFFERS GRN PEPPER STEAK</t>
  </si>
  <si>
    <t>STOUFFERS HC CHIC PARM</t>
  </si>
  <si>
    <t>STOUFFERS MCRN/CHEESE W BROC</t>
  </si>
  <si>
    <t>8.88 OZ</t>
  </si>
  <si>
    <t>STOUFFERS HC FRD CHIC BR</t>
  </si>
  <si>
    <t>STOUFFERS MEATLOAF</t>
  </si>
  <si>
    <t>8.875 O</t>
  </si>
  <si>
    <t>STOUFFERS HS BAKED CHICKEN</t>
  </si>
  <si>
    <t>STOUFFERS MEATLOAF FMLY SIZE</t>
  </si>
  <si>
    <t>8.87 OZ</t>
  </si>
  <si>
    <t>STOUFFERS HS BF POT ROAST</t>
  </si>
  <si>
    <t>STOUFFERS MONTEREY CHKN</t>
  </si>
  <si>
    <t>9.625 O</t>
  </si>
  <si>
    <t>STOUFFERS HS CHCK STFING</t>
  </si>
  <si>
    <t>STOUFFERS PEPRN PROVO STROMB</t>
  </si>
  <si>
    <t>STOUFFERS HS CIC BBQ</t>
  </si>
  <si>
    <t>STOUFFERS RB CBISTRO SEFODSC</t>
  </si>
  <si>
    <t>STOUFFERS HS FISH FIL W/M&amp;CH</t>
  </si>
  <si>
    <t>8.375 O</t>
  </si>
  <si>
    <t>STOUFFERS RIG RST CHK PESTO</t>
  </si>
  <si>
    <t>9.875 O</t>
  </si>
  <si>
    <t>STOUFFERS HS MEATLOAF</t>
  </si>
  <si>
    <t>STOUFFERS S/O SF HS PORK CU</t>
  </si>
  <si>
    <t>STOUFFERS HS RST TRKY</t>
  </si>
  <si>
    <t>STOUFFERS S/S VEGTBL LASAGNA</t>
  </si>
  <si>
    <t>STOUFFERS HS SALIS STEAK</t>
  </si>
  <si>
    <t>STOUFFERS ITAL SPRM STROMBLI</t>
  </si>
  <si>
    <t>STOUFFERS SESAME CHKN</t>
  </si>
  <si>
    <t>19.12 O</t>
  </si>
  <si>
    <t>STOUFFERS ITALIANO LASAGNA</t>
  </si>
  <si>
    <t>STOUFFERS SFD PEPP W/BF TMSC</t>
  </si>
  <si>
    <t>STOUFFERS SICILIAN FLAT BRD</t>
  </si>
  <si>
    <t>STOUFFERS SKLT BROCCOLI/BEEF</t>
  </si>
  <si>
    <t>STOUFFERS SKLT CHKN ALFREDO</t>
  </si>
  <si>
    <t>STOUFFERS LASAGNA BAKE</t>
  </si>
  <si>
    <t>STOUFFERS SKLT CHKN TERIYAKI</t>
  </si>
  <si>
    <t>STOUFFERS LASAGNA ITALIANO</t>
  </si>
  <si>
    <t>STOUFFERS SKLT CKN GRL VEG</t>
  </si>
  <si>
    <t>STOUFFERS SKLT HOMESTYL BEEF</t>
  </si>
  <si>
    <t>STOUFFERS LASAGNA PARTY SIZE</t>
  </si>
  <si>
    <t>STOUFFERS SKLT STK TERIYAKI</t>
  </si>
  <si>
    <t>STOUFFERS SMOKD TURKY PANINI</t>
  </si>
  <si>
    <t>STOUFFERS LASAGNA W/MEAT SCE</t>
  </si>
  <si>
    <t>STOUFFERS SOUFFLE SPINACH</t>
  </si>
  <si>
    <t>STOUFFERS LC 3 BN CHILI/RICE</t>
  </si>
  <si>
    <t>STOUFFERS SPAGHETT W/MEATBAL</t>
  </si>
  <si>
    <t>STOUFFERS LC 3 CHEESE CHICKN</t>
  </si>
  <si>
    <t>STOUFFERS SS GRLC CHICK</t>
  </si>
  <si>
    <t>STOUFFERS LC CAFE GLZD CHKN</t>
  </si>
  <si>
    <t>STOUFFERS STEAK&amp;CHESE PANINI</t>
  </si>
  <si>
    <t>STOUFFERS LC CC CHIC PARM</t>
  </si>
  <si>
    <t>STOUFFERS STK FAJITA FLATBRD</t>
  </si>
  <si>
    <t>STOUFFERS LC CC SWT CR CHKN</t>
  </si>
  <si>
    <t>STOUFFERS STK MSHRM FLATBRD</t>
  </si>
  <si>
    <t>STOUFFERS LC CHIC LASAGNA</t>
  </si>
  <si>
    <t>STOUFFERS STUFF GREEN PEPPER</t>
  </si>
  <si>
    <t>STOUFFERS LC CLSC CH LSGNAHS</t>
  </si>
  <si>
    <t>STOUFFERS STUFFED GRN PEPPER</t>
  </si>
  <si>
    <t>STOUFFERS LC DT STK TIP DJN</t>
  </si>
  <si>
    <t>STOUFFERS SW CHICKEN PANINI</t>
  </si>
  <si>
    <t>STOUFFERS LC HONY DIJ CHICKN</t>
  </si>
  <si>
    <t>STOUFFERS SWEDISH MEATBALLS</t>
  </si>
  <si>
    <t>STOUFFERS LC RSTD TURKY VEG</t>
  </si>
  <si>
    <t>STOUFFERS TRKY/GRVY SLCD HP</t>
  </si>
  <si>
    <t>10.38 O</t>
  </si>
  <si>
    <t>STOUFFERS LC SNT FE RC/BN*</t>
  </si>
  <si>
    <t>STOUFFERS TUNA NOODLE CASSER</t>
  </si>
  <si>
    <t>STOUFFERS LUN/SPAG W/MT SCE</t>
  </si>
  <si>
    <t>10.79 O</t>
  </si>
  <si>
    <t>STOUFFERS TURKEY TETRAZZINI</t>
  </si>
  <si>
    <t>STOUFFERS MAC &amp; CHEESE FSR</t>
  </si>
  <si>
    <t>STOUFFERS WELSH RAREBIT</t>
  </si>
  <si>
    <t>STOUFFERS MAC N CHEESE</t>
  </si>
  <si>
    <t>SWANSON BNLS CHICKN STICKS</t>
  </si>
  <si>
    <t>STOUFFERS MAC&amp;CHEESE FAM STY</t>
  </si>
  <si>
    <t>SWANSON BONELESS PORK</t>
  </si>
  <si>
    <t>SWANSON FRD CHICKEN STRIPS</t>
  </si>
  <si>
    <t>STOUFFERS MACARONI AND BEEF</t>
  </si>
  <si>
    <t>SWANSON GRID SW STYLE CHKN</t>
  </si>
  <si>
    <t>6.87 OZ</t>
  </si>
  <si>
    <t>STOUFFERS MARG FLATBRD</t>
  </si>
  <si>
    <t>SWANSON HM BEER BTD CHX W/</t>
  </si>
  <si>
    <t>SWANSON HM BNLS FRD CHICKN</t>
  </si>
  <si>
    <t>WT WTCHRS TERIYAKI CHKN/VEG</t>
  </si>
  <si>
    <t>SWANSON HM BUF CHKN STRIP</t>
  </si>
  <si>
    <t>WT WTCHRS ZITI MOZZ 97%FF EN</t>
  </si>
  <si>
    <t>SWANSON HM FR CHCK/DK PRT</t>
  </si>
  <si>
    <t>CATEGORY :       9180050 ROSETTO'S</t>
  </si>
  <si>
    <t>SWANSON HM MEAT LOAF</t>
  </si>
  <si>
    <t>SWANSON HM PORK RIB</t>
  </si>
  <si>
    <t>CELENTANO LG RND CHS RAVIOLI</t>
  </si>
  <si>
    <t>SWANSON HM SALIS STEAK</t>
  </si>
  <si>
    <t>CELENTANO MIN RND CHSRAVIOLI</t>
  </si>
  <si>
    <t>SWANSON HM TURKEY DINNER</t>
  </si>
  <si>
    <t>MAMA ROSE MINI RND RAVI 80CT</t>
  </si>
  <si>
    <t>SWANSON HM XXL BBQ</t>
  </si>
  <si>
    <t>MAMA ROSE SPNCH &amp; CHS RAVIOL</t>
  </si>
  <si>
    <t>SWANSON HM XXL FR CHCK</t>
  </si>
  <si>
    <t>ROSETTO BTR NUT SQUASH RAV</t>
  </si>
  <si>
    <t>SWANSON PPCRN CHKN W/PZAST</t>
  </si>
  <si>
    <t>ROSETTO LARGE ROUND RAVIOL</t>
  </si>
  <si>
    <t>SWANSON SALISBURY STEAK</t>
  </si>
  <si>
    <t>ROSETTO RAVIOLI CHEESE</t>
  </si>
  <si>
    <t>SWNSN CLS BNLS FRIED CHICKEN</t>
  </si>
  <si>
    <t>ROSETTO RAVIOLI W/BEEF</t>
  </si>
  <si>
    <t>SWNSN CLS MEATLOAF</t>
  </si>
  <si>
    <t>ROSETTO RAVIOLI W/CHEESE</t>
  </si>
  <si>
    <t>SWNSN CLS RSTD CARVED TURKEY</t>
  </si>
  <si>
    <t>ROSETTO STM&amp;EAT CRM PNKSCE</t>
  </si>
  <si>
    <t>TGIF CHICKEN FAJITAS</t>
  </si>
  <si>
    <t>ROSETTO STMNEATTOMBASSCE</t>
  </si>
  <si>
    <t>TGIF CREAMY CHICKEN</t>
  </si>
  <si>
    <t>ROSETTO TORTELLINI CHEESE</t>
  </si>
  <si>
    <t>TGIF FIRECRACKER SESAME</t>
  </si>
  <si>
    <t>CATEGORY :       9181020 BIRDSEYE</t>
  </si>
  <si>
    <t>TGIF STEAK FAJITAS</t>
  </si>
  <si>
    <t>W WATCHER LASAGNA FLORENTINE</t>
  </si>
  <si>
    <t>DAWN FOOD CINNFUL CINN BITES</t>
  </si>
  <si>
    <t>W WATCHER POTATO BROC &amp; CHZ</t>
  </si>
  <si>
    <t>FIERAFOOD ALMNDBEARCLAW</t>
  </si>
  <si>
    <t>W WATCHER S/O MAC &amp; CHEES T</t>
  </si>
  <si>
    <t>FIERAFOOD PALM LEAVES</t>
  </si>
  <si>
    <t>8.55 OZ</t>
  </si>
  <si>
    <t>W WATCHER S/O PASTA ANGEL H</t>
  </si>
  <si>
    <t>FRESHLEYS CINNAMON TWIRLS</t>
  </si>
  <si>
    <t>W WATCHER S/O RIGATONI/BRC/</t>
  </si>
  <si>
    <t>CATEGORY :       9190000 MEXICAN DINNERS &amp; SPECIALTIES</t>
  </si>
  <si>
    <t>W WATCHER S/O SPAGHETTI/MT</t>
  </si>
  <si>
    <t>W WATCHER SALISBURY STEAK</t>
  </si>
  <si>
    <t>AMY'SKTCH BLCK BN TAMALE VER</t>
  </si>
  <si>
    <t>W WATCHER SHRIMP MARW/LI SOS</t>
  </si>
  <si>
    <t>AMY'SKTCH CHSE TAMALE VERDE</t>
  </si>
  <si>
    <t>W WATCHER SM BS THAI STY CHX</t>
  </si>
  <si>
    <t>AMYS KTCH BLK BEAN ENCHILADA</t>
  </si>
  <si>
    <t>W WATCHER SOS LEM HB CHX PIC</t>
  </si>
  <si>
    <t>AMYS KTCH BURITO BEAN&amp;CHEESE</t>
  </si>
  <si>
    <t>W WATCHER SWEDISH MEATBALLS</t>
  </si>
  <si>
    <t>AMYS KTCH BURRITO BEAN &amp;RICE</t>
  </si>
  <si>
    <t>WT WTCHRS CHICKEN CORBONR</t>
  </si>
  <si>
    <t>AMYS KTCH BURRITO BLACK BEAN</t>
  </si>
  <si>
    <t>WT WTCHRS CHICKEN FETTUCINI</t>
  </si>
  <si>
    <t>AMYS KTCH ENCHILADA CHEESE</t>
  </si>
  <si>
    <t>WT WTCHRS CKN FAJITA SPRME</t>
  </si>
  <si>
    <t>AMYS KTCH ENCHILADA MEAL</t>
  </si>
  <si>
    <t>WT WTCHRS ENTREE TUNA NOODLE</t>
  </si>
  <si>
    <t>AMYS KTCN ENCHILADA DINNER</t>
  </si>
  <si>
    <t>WT WTCHRS FETTUCINI ALFREDO</t>
  </si>
  <si>
    <t>ELMONTERY BEAN&amp;CHEESE BURRIT</t>
  </si>
  <si>
    <t>WT WTCHRS LASAGNA W/CHEESE</t>
  </si>
  <si>
    <t>ELMONTERY BEEF ENCHILADAS</t>
  </si>
  <si>
    <t>WT WTCHRS RAVIOLI FLORENTINE</t>
  </si>
  <si>
    <t>ELMONTERY BEEF&amp;BEAN BURRITOS</t>
  </si>
  <si>
    <t>WT WTCHRS SANTE FE RICE &amp; BN</t>
  </si>
  <si>
    <t>ELMONTERY BEEF&amp;BEAN CHIMIS</t>
  </si>
  <si>
    <t>WT WTCHRS SLW RSTD TRKY BRST</t>
  </si>
  <si>
    <t>ELMONTERY CHEESE ENCHILADAS</t>
  </si>
  <si>
    <t>WT WTCHRS SM BS CHIX PARMESN</t>
  </si>
  <si>
    <t>ELMONTERY CHI&amp;CHQUESADILLAS</t>
  </si>
  <si>
    <t>CATEGORY :       9220000 PIZZA &amp; ITALIAN SPECIALTIES</t>
  </si>
  <si>
    <t>ELMONTERY CHICK  ENCHILADAS</t>
  </si>
  <si>
    <t>AMYS KTCN ZA MUSHROOM &amp; OLIV</t>
  </si>
  <si>
    <t>ELMONTERY CKN &amp; CHZ QUESDILA</t>
  </si>
  <si>
    <t>5.74 OZ</t>
  </si>
  <si>
    <t>CELESTE 4 CHS ZESTY PIZ</t>
  </si>
  <si>
    <t>ELMONTERY SHRD STK&amp;CH TAQUIT</t>
  </si>
  <si>
    <t>5.58 OZ</t>
  </si>
  <si>
    <t>CELESTE CHEESE PIZZA</t>
  </si>
  <si>
    <t>ELMONTERY SPICY B &amp; C CHIMIS</t>
  </si>
  <si>
    <t>CELESTE CHEESEBURGER PFO</t>
  </si>
  <si>
    <t>ELMONTERY STK &amp; CHS QUESDILA</t>
  </si>
  <si>
    <t>CELESTE MEATBALL PIZZA</t>
  </si>
  <si>
    <t>ELMONTERY SW CHICKEN TAQUITO</t>
  </si>
  <si>
    <t>CELESTE PEPPERONI PIZZA</t>
  </si>
  <si>
    <t>ELMONTERY TAQUITOS CHIX</t>
  </si>
  <si>
    <t>CELESTE PIZZA 4 CHEESE</t>
  </si>
  <si>
    <t>JOSE OLE BF &amp; CHSE SFT TACO</t>
  </si>
  <si>
    <t>CELESTE PIZZA DELUXE</t>
  </si>
  <si>
    <t>JOSE OLE CHICKEN TAQUITOS</t>
  </si>
  <si>
    <t>CELESTE SAUSAGE PIZZA</t>
  </si>
  <si>
    <t>JOSE OLE CHKN CHIMICHANGAS</t>
  </si>
  <si>
    <t>CELESTE SUP PIZZA/MEAT</t>
  </si>
  <si>
    <t>JOSE OLE MINI BEEF&amp;CHEZTACO</t>
  </si>
  <si>
    <t>6.15 OZ</t>
  </si>
  <si>
    <t>CELESTE VEG PIZZA</t>
  </si>
  <si>
    <t>JOSE OLE SHRD STEAK TAQUITO</t>
  </si>
  <si>
    <t>16.61 O</t>
  </si>
  <si>
    <t>CLNRY CRC PIZZA SPC ITAL SSG</t>
  </si>
  <si>
    <t>JOSE OLE STK&amp;CHDR CHIMICHNG</t>
  </si>
  <si>
    <t>17.16 O</t>
  </si>
  <si>
    <t>CULINARYC PIZZA GARCHKN ALFR</t>
  </si>
  <si>
    <t>JOSE OLE STK&amp;CHS FLR TAQUTO</t>
  </si>
  <si>
    <t>31.35 O</t>
  </si>
  <si>
    <t>CULINARYC PIZZA RC 3-MEAT</t>
  </si>
  <si>
    <t>JOSE OLE TAQUITOS CHIX &amp; CH</t>
  </si>
  <si>
    <t>CULINARYC PIZZA RC FIVE CHSE</t>
  </si>
  <si>
    <t>PATIO BURR BF/BN RD CHIL</t>
  </si>
  <si>
    <t>30.50 O</t>
  </si>
  <si>
    <t>CULINARYC PIZZA RC PEPPERONI</t>
  </si>
  <si>
    <t>PATIO BURRITO BEAN/CHS</t>
  </si>
  <si>
    <t>30.75 O</t>
  </si>
  <si>
    <t>CULINARYC PIZZA RC SAUSAGE</t>
  </si>
  <si>
    <t>PATIO BURRITO BF&amp;BN MILD</t>
  </si>
  <si>
    <t>30.30 O</t>
  </si>
  <si>
    <t>CULINARYC PIZZA RC SPN&amp;MSHRM</t>
  </si>
  <si>
    <t>PATIO BURRITO CHICKEN</t>
  </si>
  <si>
    <t>33.50 O</t>
  </si>
  <si>
    <t>CULINARYC PIZZA RC SUPREME</t>
  </si>
  <si>
    <t>PATIO MILD BEAN/BEEF BUR</t>
  </si>
  <si>
    <t>12.01 O</t>
  </si>
  <si>
    <t>CULINARYC PIZZA UT MARGHERIT</t>
  </si>
  <si>
    <t>CATEGORY :       9200000 ORIENTAL DINNERS &amp; SPECIALTIES</t>
  </si>
  <si>
    <t>CULINARYC PIZZA UT ULT PEPPR</t>
  </si>
  <si>
    <t>CULINARYC PIZZA UT ULTSUPREM</t>
  </si>
  <si>
    <t>HANOVER FRIED RICE CHICKEN</t>
  </si>
  <si>
    <t>5.59 OZ</t>
  </si>
  <si>
    <t>ELLIOS MICROWAVE CHSPIZZA</t>
  </si>
  <si>
    <t>LA CHOY SHRIMP EGG ROLL</t>
  </si>
  <si>
    <t>21.75 O</t>
  </si>
  <si>
    <t>ELLIOS PEPPERONI 9 SLICE</t>
  </si>
  <si>
    <t>TAI PEI BEEF N BROCCOLI</t>
  </si>
  <si>
    <t>ELLIOS PIZZA 9 SLICE</t>
  </si>
  <si>
    <t>TAI PEI CHICKEN FRIED RICE</t>
  </si>
  <si>
    <t>ELLIOS SUPREME 9SLC</t>
  </si>
  <si>
    <t>TAI PEI CHKN GENERAL TSO</t>
  </si>
  <si>
    <t>FOX CHEESE PIZZA</t>
  </si>
  <si>
    <t>TAI PEI ORANGE CHICKEN</t>
  </si>
  <si>
    <t>FOX PEPPERONI PIZZA</t>
  </si>
  <si>
    <t>TAI PEI SWEET N SOUR CHKN</t>
  </si>
  <si>
    <t>FOX PIZZA COMBO/DELX</t>
  </si>
  <si>
    <t>TAI PEI TERIYAKI CHICKEN</t>
  </si>
  <si>
    <t>FOX SUPREME PIZZA</t>
  </si>
  <si>
    <t>VIP TAI P FRIED RICE CHICKEN</t>
  </si>
  <si>
    <t>HLTHY CHC PIZ FR BRD PEPPER</t>
  </si>
  <si>
    <t>VIP TAI P SHRMP FRD RICE</t>
  </si>
  <si>
    <t>6.35 OZ</t>
  </si>
  <si>
    <t>HLTHY CHC PIZ FR BRD SUPREME</t>
  </si>
  <si>
    <t>VIP TAI P SWEET N SOUR CKN</t>
  </si>
  <si>
    <t>HLTHY CHC PIZZA CHES/FRNCH B</t>
  </si>
  <si>
    <t>VIP TAI P TAI PEI GEN TSO CK</t>
  </si>
  <si>
    <t>KASHI 5 CHEESE TOM PIZZA</t>
  </si>
  <si>
    <t>VIP TAI P TAI PEI PEPPER BF</t>
  </si>
  <si>
    <t>KASHI MEDDITERR PIZZA</t>
  </si>
  <si>
    <t>YU SING FRIED RICE SHRIMP</t>
  </si>
  <si>
    <t>KASHI MEXCL BLK BN PIZZA</t>
  </si>
  <si>
    <t>KASHI MUSHROOM TRIO SPIN</t>
  </si>
  <si>
    <t>KASHI ROASTED VEGETABLE</t>
  </si>
  <si>
    <t>AMYS KTCN CHEESE PIZZA</t>
  </si>
  <si>
    <t>KASHI RST GAR CHKN PIZZA</t>
  </si>
  <si>
    <t>CATEGORY :       9231001 AMY'S KITCHEN</t>
  </si>
  <si>
    <t>KASHI SICILIAN VEG PIZZA</t>
  </si>
  <si>
    <t>AMYS KTCN STHWEST BURRITO</t>
  </si>
  <si>
    <t>KASHI TOMATO GARLIC CHS</t>
  </si>
  <si>
    <t>AMYSKTCN RAVIOLI BOWL</t>
  </si>
  <si>
    <t>20.66 O</t>
  </si>
  <si>
    <t>RED BARON 4-CHEESE</t>
  </si>
  <si>
    <t>GARDENBGR SUNDRIED TOM/BASIL</t>
  </si>
  <si>
    <t>RED BARON FB CHEESE</t>
  </si>
  <si>
    <t>WILD HARV BLKBRY FRZ ORGANIC</t>
  </si>
  <si>
    <t>RED BARON FRENCH BRD PEPPRNI</t>
  </si>
  <si>
    <t>WILD HARV BLUEBRY FRZORGANIC</t>
  </si>
  <si>
    <t>RED BARON PEPPERONI</t>
  </si>
  <si>
    <t>WILD HARV BROCC FLRT ORG FRZ</t>
  </si>
  <si>
    <t>19.86 O</t>
  </si>
  <si>
    <t>RED BARON RB ST HRTH PEPP</t>
  </si>
  <si>
    <t>WILD HARV CHPD SPIN ORG FROZ</t>
  </si>
  <si>
    <t>21.33 O</t>
  </si>
  <si>
    <t>RED BARON RB ST HRTH SUP</t>
  </si>
  <si>
    <t>WILD HARV CORN ORGANIC FROZ</t>
  </si>
  <si>
    <t>RED BARON SAUSAGE/PEPPERONI</t>
  </si>
  <si>
    <t>WILD HARV GRN BEANS ORG FROZ</t>
  </si>
  <si>
    <t>22.63 O</t>
  </si>
  <si>
    <t>RED BARON SUPREME</t>
  </si>
  <si>
    <t>WILD HARV PEACHES FRZ ORG</t>
  </si>
  <si>
    <t>RICHFOOD PIZZA CHS RF/PLRMO</t>
  </si>
  <si>
    <t>WILD HARV PEAS ORGANIC FROZ</t>
  </si>
  <si>
    <t>RICHFOOD PIZZA CMB RF/PLRMO</t>
  </si>
  <si>
    <t>WILD HARV RED RSPBRY FRZ ORG</t>
  </si>
  <si>
    <t>RICHFOOD PIZZA PPRN RF/PLRM</t>
  </si>
  <si>
    <t>WLD HRVST STRWBRY FRZ ORGANC</t>
  </si>
  <si>
    <t>RICHFOOD PIZZA SURPM RF/PLR</t>
  </si>
  <si>
    <t>CATEGORY :       9235000 SANDWICHES</t>
  </si>
  <si>
    <t>SHOP VALU PIZZA CHEESE</t>
  </si>
  <si>
    <t>SHOP VALU PIZZA CHEESEBURGER</t>
  </si>
  <si>
    <t>##FARMRIC MOZZ CHEESE STICK</t>
  </si>
  <si>
    <t>SHOP VALU PIZZA COMBO</t>
  </si>
  <si>
    <t>AMYS KTCH BURRITO BREAKFAST</t>
  </si>
  <si>
    <t>SHOP VALU PIZZA PEPPERONI</t>
  </si>
  <si>
    <t>AMYS KTCH CHEESE PIZZA SNKS</t>
  </si>
  <si>
    <t>STOUFFERS PIZZA 3MEAT FR BRD</t>
  </si>
  <si>
    <t>AMYS KTCH SPINACH SAND POCKT</t>
  </si>
  <si>
    <t>STOUFFERS PIZZA DELUXE FR BD</t>
  </si>
  <si>
    <t>BAGEL BTS 3 CHEESE 9CT</t>
  </si>
  <si>
    <t>STOUFFERS PIZZA PEPP FR BRD</t>
  </si>
  <si>
    <t>31.4 OZ</t>
  </si>
  <si>
    <t>BAGEL BTS 3 CHEESE BITE 40CT</t>
  </si>
  <si>
    <t>51.12 O</t>
  </si>
  <si>
    <t>STOUFFERS PIZZA PEPPERONI</t>
  </si>
  <si>
    <t>BAGEL BTS CHEES&amp;PEPPERNI 9CT</t>
  </si>
  <si>
    <t>10.37 O</t>
  </si>
  <si>
    <t>STOUFFERS PZA FR BRD CHEESE</t>
  </si>
  <si>
    <t>BAGEL BTS CHEESE &amp; PEPP 18CT</t>
  </si>
  <si>
    <t>12.64 O</t>
  </si>
  <si>
    <t>TONY'S PEPPERONI PIZZA</t>
  </si>
  <si>
    <t>BAGEL BTS CHEESE &amp; PEPPERONI</t>
  </si>
  <si>
    <t>14.34 O</t>
  </si>
  <si>
    <t>TONY'S SUPREME PIZZA</t>
  </si>
  <si>
    <t>BAGEL BTS CHEESE&amp;PEPPERONI</t>
  </si>
  <si>
    <t>TONY'S TONY'S FOUR CHEESE</t>
  </si>
  <si>
    <t>BAGEL BTS CHS/SSG/PEPRNI 9CT</t>
  </si>
  <si>
    <t>TOTINO'S PARTY PZA PEPPRONI</t>
  </si>
  <si>
    <t>BAGEL BTS SUPREME 9CT</t>
  </si>
  <si>
    <t>TOTINO'S PIZZA CHZ</t>
  </si>
  <si>
    <t>BAGEL BTS THREE CHEESE 18CT</t>
  </si>
  <si>
    <t>TOTINO'S PIZZA COMBO</t>
  </si>
  <si>
    <t>ELMONTERY B &amp; C TORNADOS</t>
  </si>
  <si>
    <t>TOTINO'S PIZZA SUPREME PRTY</t>
  </si>
  <si>
    <t>ELMONTERY C &amp; C TORNADOS</t>
  </si>
  <si>
    <t>TOTINO'S PIZZA ULTRA PEPPRN</t>
  </si>
  <si>
    <t>ELMONTERY CHEESY PEPPER JACK</t>
  </si>
  <si>
    <t>TOTINO'S PRTY PIZZA 3CHEESE</t>
  </si>
  <si>
    <t>ELMONTERY SW CHIX TORNADOS</t>
  </si>
  <si>
    <t>W WATCHER SMRT ONE PPRNI PZA</t>
  </si>
  <si>
    <t>FARM RICH CHES STKS MOZZ BRD</t>
  </si>
  <si>
    <t>W WATCHER SMRT ONES 4CHS PZA</t>
  </si>
  <si>
    <t>FARM RICH MARINARA MOZZ STK</t>
  </si>
  <si>
    <t>WILDHAR ORG PEPPR PIZZA</t>
  </si>
  <si>
    <t>FARM RICH PIZZA SLICE</t>
  </si>
  <si>
    <t>WILDHARV ORG FETA SPN PIZZA</t>
  </si>
  <si>
    <t>HANOVER SOURDGH PRTZL 18CT</t>
  </si>
  <si>
    <t>WILDHARV PIZZA ORG MARGHERI</t>
  </si>
  <si>
    <t>13.2 OZ</t>
  </si>
  <si>
    <t>HANOVER SOURDOUGH PRETZEL</t>
  </si>
  <si>
    <t>HOT POCKT 2 BEEF TACO</t>
  </si>
  <si>
    <t>HOT POCKT 4 CHEESE PIZZA</t>
  </si>
  <si>
    <t>HOT POCKT BARBECUE</t>
  </si>
  <si>
    <t>HOT POCKT ULT PEPPRNI PIZZA</t>
  </si>
  <si>
    <t>HOT POCKT BARBECUE CHKN</t>
  </si>
  <si>
    <t>HOT POCKT WG GRLCKN MSH&amp;SPIN</t>
  </si>
  <si>
    <t>HOT POCKT BEEF+CHEDDAR</t>
  </si>
  <si>
    <t>HOTPOCKET 4MEAT&amp;4CHEESE</t>
  </si>
  <si>
    <t>HOT POCKT BRUSCHT CKN PANINI</t>
  </si>
  <si>
    <t>HOTPOCKET CALZONEPEP&amp;3CHEESE</t>
  </si>
  <si>
    <t>HOT POCKT CHCKN/CHEDDAR/BROC</t>
  </si>
  <si>
    <t>HOTPOCKET CALZONESUPREME</t>
  </si>
  <si>
    <t>HOTPOCKET ITLN 5 CHS CALZONE</t>
  </si>
  <si>
    <t>HOT POCKT CHIX FAJITA</t>
  </si>
  <si>
    <t>22.50 O</t>
  </si>
  <si>
    <t>HT POCKT LP 5 PK PEPPERONI</t>
  </si>
  <si>
    <t>HOT POCKT CHS CKN QUESADILIA</t>
  </si>
  <si>
    <t>LEAN PCKT 3 CHS &amp; BROCCOLI</t>
  </si>
  <si>
    <t>HOT POCKT CORSS P CHEESE PIZ</t>
  </si>
  <si>
    <t>LEAN PCKT 3 CHS &amp; CHIX QUES</t>
  </si>
  <si>
    <t>HOT POCKT CORSS P. AHM/CHESE</t>
  </si>
  <si>
    <t>LEAN PCKT FOUR CHEESE PIZZA</t>
  </si>
  <si>
    <t>HOT POCKT CROSS CHIX/BROC/CH</t>
  </si>
  <si>
    <t>LEAN PCKT GRIL CKN &amp; 3 CH QU</t>
  </si>
  <si>
    <t>HOT POCKT CROSS P. STEAK/CHZ</t>
  </si>
  <si>
    <t>LEAN PCKT GRIL CKN FAJ QUESD</t>
  </si>
  <si>
    <t>HOT POCKT CROSS PEPP PIZZA</t>
  </si>
  <si>
    <t>LEAN PCKT PEPPERNI PIZZA 2PK</t>
  </si>
  <si>
    <t>HOT POCKT GRLC CKN WHT PIZZA</t>
  </si>
  <si>
    <t>54 OZ</t>
  </si>
  <si>
    <t>LEAN PCKT PEPPERONI PIZZA</t>
  </si>
  <si>
    <t>HOT POCKT HAM &amp; SWISS PANINI</t>
  </si>
  <si>
    <t>LEAN PCKT SPIN ARTCHKE CHKN</t>
  </si>
  <si>
    <t>HOT POCKT HAM + CHEESE</t>
  </si>
  <si>
    <t>PILLSBURY SAVORINGS BUFF CHK</t>
  </si>
  <si>
    <t>HOT POCKT HAM/CH CLUB PK12CT</t>
  </si>
  <si>
    <t>PILLSBURY SAVORINGS CHS N SP</t>
  </si>
  <si>
    <t>HOT POCKT HAM/CHEESE</t>
  </si>
  <si>
    <t>PILLSBURY SAVORINGS MOZZ&amp;PEP</t>
  </si>
  <si>
    <t>HOT POCKT LEAN P. CHICK FAJI</t>
  </si>
  <si>
    <t>RICHFOOD CIABATTA BRUSHETTA</t>
  </si>
  <si>
    <t>HOT POCKT LEAN P. CHICK PARM</t>
  </si>
  <si>
    <t>SMUCKERS GRAPE UNCRSTABLES</t>
  </si>
  <si>
    <t>HOT POCKT LEAN P. GL CHICKEN</t>
  </si>
  <si>
    <t>SMUCKERS MW GRILLED CHEESE</t>
  </si>
  <si>
    <t>HOT POCKT LEAN P. HAM/CHEDD</t>
  </si>
  <si>
    <t>SMUCKERS STRWBRY UNCRSTBLES</t>
  </si>
  <si>
    <t>HOT POCKT LEAN P. MEATBALL</t>
  </si>
  <si>
    <t>SUPERPRET SUPER SOFT PRETZEL</t>
  </si>
  <si>
    <t>HOT POCKT LEAN P. STEAK/CHEE</t>
  </si>
  <si>
    <t>TGI FRDYS BUFFALO WINGS</t>
  </si>
  <si>
    <t>HOT POCKT LEAN P. TRK/BRC/CH</t>
  </si>
  <si>
    <t>TGI FRDYS CHICKN QUESADILLAS</t>
  </si>
  <si>
    <t>HOT POCKT MEATBALL</t>
  </si>
  <si>
    <t>TGI FRDYS HONEY BBQ WINGS</t>
  </si>
  <si>
    <t>HOT POCKT MEATBLLS W/MOZZARL</t>
  </si>
  <si>
    <t>TGI FRDYS MOZ STKS W/MARINRA</t>
  </si>
  <si>
    <t>HOT POCKT PEPP PIZ CL PK 12C</t>
  </si>
  <si>
    <t>TGI FRDYS MOZZARELLA STICKS</t>
  </si>
  <si>
    <t>HOT POCKT PEPPERONI</t>
  </si>
  <si>
    <t>TGI FRDYS NACHO POTATO SKINS</t>
  </si>
  <si>
    <t>HOT POCKT PHILLY STEAK &amp; CHS</t>
  </si>
  <si>
    <t>TGI FRDYS ROLLS CKN/CH QUESA</t>
  </si>
  <si>
    <t>HOT POCKT PIZZA COMBO</t>
  </si>
  <si>
    <t>TGI FRDYS SPINACH/ARTCHK DIP</t>
  </si>
  <si>
    <t>HOT POCKT PIZZA PEPPERONI</t>
  </si>
  <si>
    <t>TGI FRDYS STEAK QUESADILLA</t>
  </si>
  <si>
    <t>HOT POCKT SAUSAGE PIZZA</t>
  </si>
  <si>
    <t>HOT POCKT STEAK&amp;CHEDR PANINI</t>
  </si>
  <si>
    <t>TGI FRDYS STF JALOP CHEDDAR</t>
  </si>
  <si>
    <t>HOT POCKT SUB HAM &amp; CHEESE</t>
  </si>
  <si>
    <t>TGI FRDYS STFD JALOP CRM CHS</t>
  </si>
  <si>
    <t>HOT POCKT SUB PEPP PIZZA</t>
  </si>
  <si>
    <t>TGI FRDYS TGI POTATO SKINS</t>
  </si>
  <si>
    <t>HOT POCKT SUB PHILLY STK&amp;CHS</t>
  </si>
  <si>
    <t>TGI FRIDY BUFFALO WINGS</t>
  </si>
  <si>
    <t>HOT POCKT SUPREME PIZZA</t>
  </si>
  <si>
    <t>TGI FRIDY CHDDR/BCN POT SKIN</t>
  </si>
  <si>
    <t>HOT POCKT TURKEY/HAM/CHEESE</t>
  </si>
  <si>
    <t>TGI FRIDY CHKN QUESADILLA</t>
  </si>
  <si>
    <t>CATEGORY :       9265020 AUNT JEMIMA</t>
  </si>
  <si>
    <t>44.5 OZ</t>
  </si>
  <si>
    <t>TOTINO'S 90 CT CHSE PZ ROLL</t>
  </si>
  <si>
    <t>PILLSBURY PNCK BTRMILK MICRO</t>
  </si>
  <si>
    <t>TOTINO'S CHEESE PIZZA ROLL</t>
  </si>
  <si>
    <t>PILLSBURY PNCK ORIGINL MICRO</t>
  </si>
  <si>
    <t>TOTINO'S CHSE 40CT PZZA RLL</t>
  </si>
  <si>
    <t>PILLSBURY PNCKE CHCCHIP 12CT</t>
  </si>
  <si>
    <t>TOTINO'S COMBO 40CT PZZA RL</t>
  </si>
  <si>
    <t>RICHFOOD PANCAKES</t>
  </si>
  <si>
    <t>TOTINO'S MEGA PZA RLLS PEPP</t>
  </si>
  <si>
    <t>CATEGORY :       9265040 EGGO</t>
  </si>
  <si>
    <t>TOTINO'S PEP 40CT PZZA ROLL</t>
  </si>
  <si>
    <t>TOTINO'S PEPP PIZZA ROLLS</t>
  </si>
  <si>
    <t>AUNT JEMI BLUEBERY WAFF 16CT</t>
  </si>
  <si>
    <t>TOTINO'S PEPPRONI PIZZA RLS</t>
  </si>
  <si>
    <t>AUNT JEMI BUTTERMLK WFL 16CT</t>
  </si>
  <si>
    <t>38.2 OZ</t>
  </si>
  <si>
    <t>TOTINO'S PIZZA ROLL PEPPRNI</t>
  </si>
  <si>
    <t>AUNT JEMI HOMESTYLE WAFFLE16</t>
  </si>
  <si>
    <t>TOTINO'S PIZZA ROLLS COMBO</t>
  </si>
  <si>
    <t>EGGO BLUEBRY W/WHLGRAIN</t>
  </si>
  <si>
    <t>CATEGORY :       9237000 QUICHE</t>
  </si>
  <si>
    <t>EGGO EGGO SPECIAL K</t>
  </si>
  <si>
    <t>EGGO FR VAN WAFFLE</t>
  </si>
  <si>
    <t>NANCY'S QUICHE FLOR FRN BK</t>
  </si>
  <si>
    <t>EGGO FRENCH TST WAFFLE</t>
  </si>
  <si>
    <t>NANCY'S QUICHE FRENCG BAKD</t>
  </si>
  <si>
    <t>EGGO LOW FAT NUTRI-GRAI</t>
  </si>
  <si>
    <t>CATEGORY :       9250000 EGG SUBSTITUTES</t>
  </si>
  <si>
    <t>EGGO NG STWBRY FLD WFLS</t>
  </si>
  <si>
    <t>EGGO SPEC K RED BERRY</t>
  </si>
  <si>
    <t>ALEXIA CRISPY GOLD ONION</t>
  </si>
  <si>
    <t>EGGO WAFFLE LMT ED KELG</t>
  </si>
  <si>
    <t>ANN'S OLD FSH FLAT DMPLN</t>
  </si>
  <si>
    <t>EGGO WAFFLES APPLE CINN</t>
  </si>
  <si>
    <t>EGGO WAFFLES BANANA BRD</t>
  </si>
  <si>
    <t>EGGO WAFFLES BLUEBERRY</t>
  </si>
  <si>
    <t>14.80 O</t>
  </si>
  <si>
    <t>AUNT JEMI BLUEBERRY PANCAKES</t>
  </si>
  <si>
    <t>AUNT JEMI FRENCH TOAST CINN</t>
  </si>
  <si>
    <t>EGGO WAFFLES BUTTERMILK</t>
  </si>
  <si>
    <t>AUNT JEMI FRENCH TOAST REG</t>
  </si>
  <si>
    <t>AUNT JEMI PANCAKES BUTTRMILK</t>
  </si>
  <si>
    <t>29.6 OZ</t>
  </si>
  <si>
    <t>AUNT JEMI PANCAKES MINI</t>
  </si>
  <si>
    <t>EGGO WAFFLES CHOC CHIP</t>
  </si>
  <si>
    <t>AUNT JEMI PANCAKES, ORIGINAL</t>
  </si>
  <si>
    <t>EGGO WAFFLES CHOC-NILLA</t>
  </si>
  <si>
    <t>AUNT JEMI PNCAKE LT BM MICRO</t>
  </si>
  <si>
    <t>EGGO WAFFLES CINN TOAST</t>
  </si>
  <si>
    <t>AUNT JEMI WHLGRN FRNCH TOAST</t>
  </si>
  <si>
    <t>EGGO BLUEBERRY PANCAKES</t>
  </si>
  <si>
    <t>EGGO WAFFLES HOMESTYLE</t>
  </si>
  <si>
    <t>EGGO CHOCOLATE CHP PNCK</t>
  </si>
  <si>
    <t>EGGO MINI BUTTRMLK PNCK</t>
  </si>
  <si>
    <t>EGGO NUTRGR WH WHT PNCK</t>
  </si>
  <si>
    <t>EGGO WAFFLES MINI</t>
  </si>
  <si>
    <t>EGGO PANCAKES BUTTERMLK</t>
  </si>
  <si>
    <t>EGGO WAFFLES MINIS</t>
  </si>
  <si>
    <t>FARM RICH FRNCH TST STK CINN</t>
  </si>
  <si>
    <t>EGGO WAFFLES NUTRI GRAN</t>
  </si>
  <si>
    <t>FARM RICH FRNCH TST STK ORIG</t>
  </si>
  <si>
    <t>EGGO WAFFLES STRAWBERRY</t>
  </si>
  <si>
    <t>KELLOGG FRENCH TST STI ORI</t>
  </si>
  <si>
    <t>74 OZ</t>
  </si>
  <si>
    <t>EGGO WFFLE HOMSTYLE 60C</t>
  </si>
  <si>
    <t>KELLOGG FRNCH TST STI CINN</t>
  </si>
  <si>
    <t>KASHI GOLEAN STRWBRY WFL</t>
  </si>
  <si>
    <t>12.40 O</t>
  </si>
  <si>
    <t>KELLOGG MPL SYRUP STF FT</t>
  </si>
  <si>
    <t>KASHI GOLEAN WAFFL BLUEB</t>
  </si>
  <si>
    <t>5.1 LB</t>
  </si>
  <si>
    <t>PILLSBURY PANCK BTTRMLK 60CT</t>
  </si>
  <si>
    <t>KASHI GOLEAN WAFFLE ORIG</t>
  </si>
  <si>
    <t>CATEGORY :       9265050 PEPPERIDGE FARMS</t>
  </si>
  <si>
    <t>8.08 OZ</t>
  </si>
  <si>
    <t>KASHI HRT TO HRT WAFHNYO</t>
  </si>
  <si>
    <t>JIMY DEAN HAM CHS CRS ENTREE</t>
  </si>
  <si>
    <t>KELLOGG NG CN WHOLE</t>
  </si>
  <si>
    <t>JIMY DEAN PNCK SAU MINI 30CT</t>
  </si>
  <si>
    <t>KELLOGGS BUTTERY SYRUP MINI</t>
  </si>
  <si>
    <t>JIMY DEAN SCRMBLD SEC ENTREE</t>
  </si>
  <si>
    <t>RICHFOOD BLUEBRY WAFFLS 10C</t>
  </si>
  <si>
    <t>7.60 OZ</t>
  </si>
  <si>
    <t>JIMY DEAN SSG CHS CRS ENTREE</t>
  </si>
  <si>
    <t>RICHFOOD BTTRMLK WAFFLS 10C</t>
  </si>
  <si>
    <t>JIMY DEAN TKY SG DLIGHT BOWL</t>
  </si>
  <si>
    <t>RICHFOOD BUTTERMILK WAFFLES</t>
  </si>
  <si>
    <t>JMMY DEAN 2CT OMLT SGE &amp; CHS</t>
  </si>
  <si>
    <t>RICHFOOD HOMESTYLE WAFFL 10</t>
  </si>
  <si>
    <t>JMMY DEAN 4CT CHKN BISCT</t>
  </si>
  <si>
    <t>RICHFOOD HOMESTYLE WAFFLES</t>
  </si>
  <si>
    <t>JMMY DEAN BRKF BOWL SAUSAGE</t>
  </si>
  <si>
    <t>RICHFOOD WAFFLES WHOLE WHET</t>
  </si>
  <si>
    <t>JMMY DEAN BRKFST BOWL BACON</t>
  </si>
  <si>
    <t>JMMY DEAN BRKFST BOWL PNKSSG</t>
  </si>
  <si>
    <t>JMMY DEAN HAM&amp;CHEESE OMELETS</t>
  </si>
  <si>
    <t>AUNT JEMI EGG SAUS BISCT 2CT</t>
  </si>
  <si>
    <t>JMMY DEAN JD BRKF BOWL HAM</t>
  </si>
  <si>
    <t>AUNT JEMI EGG SAUS CRSNT 2CT</t>
  </si>
  <si>
    <t>JMMY DEAN PANCAKES&amp;SAUS 12CT</t>
  </si>
  <si>
    <t>AUNT JEMI FRNCH TOAST SAND 2</t>
  </si>
  <si>
    <t>JMMY DEAN PNCK SAU MINI BBRY</t>
  </si>
  <si>
    <t>26.40 O</t>
  </si>
  <si>
    <t>AUNT JEMI GRCKSAUEGGCHSND</t>
  </si>
  <si>
    <t>JMMY DEAN PNCK SAU MINI ORG</t>
  </si>
  <si>
    <t>AUNT JEMI GRD SG EGG&amp;CH SNWH</t>
  </si>
  <si>
    <t>JMMY DEAN SAUSGE CROSNT 12CT</t>
  </si>
  <si>
    <t>AUNT JEMI GRIDDLECAKE SAND 2</t>
  </si>
  <si>
    <t>JMMY DEAN SCMBLD BEC ENTREE</t>
  </si>
  <si>
    <t>AUNT JEMI GS EGG SAU/HSH BRN</t>
  </si>
  <si>
    <t>JMMY DEAN SKILLET BACON</t>
  </si>
  <si>
    <t>AUNT JEMI GS EGG/BAC/HMFRIES</t>
  </si>
  <si>
    <t>JMMY DEAN SKILLET HAM</t>
  </si>
  <si>
    <t>AUNT JEMI GS FRN TOAST &amp; SAU</t>
  </si>
  <si>
    <t>JMMY DEAN SKILLET SAUSAGE</t>
  </si>
  <si>
    <t>AUNT JEMI GS HAM &amp; CHES OMEL</t>
  </si>
  <si>
    <t>JMMY DEAN SKILLET SMK SAUS</t>
  </si>
  <si>
    <t>AUNT JEMI HAM/EGG SCRAMBLE</t>
  </si>
  <si>
    <t>JMMY DEAN SSG EGG CH CRSN 8C</t>
  </si>
  <si>
    <t>AUNT JEMI PANCAKES W/SAUSAGE</t>
  </si>
  <si>
    <t>JMMY DEAN SSG EGG CHS BSC 8C</t>
  </si>
  <si>
    <t>AUNT JEMI SAUSEGGSCAMBLEENTR</t>
  </si>
  <si>
    <t>JMMY DEAN THREE CHEESE OMELT</t>
  </si>
  <si>
    <t>EGGO MUFFIN TOP BB</t>
  </si>
  <si>
    <t>JMMY DEAN WTRN STYLE OMELETS</t>
  </si>
  <si>
    <t>EGGO MUFFIN TOP CC</t>
  </si>
  <si>
    <t>KRAFT BAGEL-FULS BLUEBRY</t>
  </si>
  <si>
    <t>HOT POCKT BACON EGG &amp; CHEESE</t>
  </si>
  <si>
    <t>KRAFT BAGEL-FULS CHIV/ON</t>
  </si>
  <si>
    <t>HOT POCKT EGG/CHEESE/SAUSAGE</t>
  </si>
  <si>
    <t>KRAFT BAGEL-FULS CINNAMN</t>
  </si>
  <si>
    <t>HOT POCKT LEAN P. SAU,EGG,CH</t>
  </si>
  <si>
    <t>KRAFT BAGEL-FULS CLASSIC</t>
  </si>
  <si>
    <t>JIMY DEAN 10CT SSG&amp;BISC</t>
  </si>
  <si>
    <t>KRAFT BAGEL-FULS STRWBRY</t>
  </si>
  <si>
    <t>JIMY DEAN 20CT SSG&amp;BISC</t>
  </si>
  <si>
    <t>KRAFT BAGELFUL APPLE FRT</t>
  </si>
  <si>
    <t>JIMY DEAN 4CT BAC EGCHS BISC</t>
  </si>
  <si>
    <t>KRAFT BAGELFUL CHERY FRT</t>
  </si>
  <si>
    <t>13.60 O</t>
  </si>
  <si>
    <t>JIMY DEAN 4CT HAM CHS CROIS</t>
  </si>
  <si>
    <t>KRAFT BAGELFUL STRAW FRT</t>
  </si>
  <si>
    <t>JIMY DEAN 4CT SG EG CHS BISC</t>
  </si>
  <si>
    <t>LEAN PCKT BACON EGG &amp; CHEESE</t>
  </si>
  <si>
    <t>18.40 O</t>
  </si>
  <si>
    <t>JIMY DEAN 4CT SGE EG CHS MUF</t>
  </si>
  <si>
    <t>CATEGORY :       9265110 PILLSBURY</t>
  </si>
  <si>
    <t>JIMY DEAN 4CT SSG EG CHS CRS</t>
  </si>
  <si>
    <t>JIMY DEAN DLGHT CANBACON MUF</t>
  </si>
  <si>
    <t>7.70 OZ</t>
  </si>
  <si>
    <t>EGGO BKSHP APPLE TWIST</t>
  </si>
  <si>
    <t>20.40 O</t>
  </si>
  <si>
    <t>JIMY DEAN DLGHT TKY SSG MUF</t>
  </si>
  <si>
    <t>EGGO BS MM TPS CHOCCHP</t>
  </si>
  <si>
    <t>JIMY DEAN DLGHT TKYSGEGCROIS</t>
  </si>
  <si>
    <t>EGGO BS STRAWBRY TWIST</t>
  </si>
  <si>
    <t>CATEGORY :       9290000 BREAD AND RELATED BREAD ITEMS</t>
  </si>
  <si>
    <t>13.30 O</t>
  </si>
  <si>
    <t>EGGO EGGOCINNAMONSWIRLS</t>
  </si>
  <si>
    <t>COLES GARLIC TOAST</t>
  </si>
  <si>
    <t>EGGO TOASTER SWIRLZ CIN</t>
  </si>
  <si>
    <t>FURLANIS TEXAS TOAST CHEESE</t>
  </si>
  <si>
    <t>HOT POCKT CROS P. EGG.SA,CH</t>
  </si>
  <si>
    <t>8.46 OZ</t>
  </si>
  <si>
    <t>FURLANIS TEXAS TOAST GARLIC</t>
  </si>
  <si>
    <t>KELLOGGS EGGOSTRAWBERRYSWRL</t>
  </si>
  <si>
    <t>GOLD KING HUSH PUPPIES</t>
  </si>
  <si>
    <t>PILLSBURY TST STRUEDAL STRWB</t>
  </si>
  <si>
    <t>NEW YORK BREAD GARLIC</t>
  </si>
  <si>
    <t>PILLSBURY TSTR SCRAM/EGG/BAC</t>
  </si>
  <si>
    <t>NEW YORK BREADSTICKS GARLIC</t>
  </si>
  <si>
    <t>PILLSBURY TSTR STR APPLE</t>
  </si>
  <si>
    <t>NEW YORK CHEESE DIPNSTICKS</t>
  </si>
  <si>
    <t>PILLSBURY TSTR STR BLBERRY</t>
  </si>
  <si>
    <t>NEW YORK CIABATTA ROLL W/CH</t>
  </si>
  <si>
    <t>PILLSBURY TSTR STR CHERRY</t>
  </si>
  <si>
    <t>NEW YORK DIP N STICKS ORIG</t>
  </si>
  <si>
    <t>PILLSBURY TSTR STR CINNAMON</t>
  </si>
  <si>
    <t>NEW YORK TEXAS GARLIC CHEES</t>
  </si>
  <si>
    <t>PILLSBURY TSTR STR CR/STRAW</t>
  </si>
  <si>
    <t>NEW YORK TEXAS GARLIC TOAST</t>
  </si>
  <si>
    <t>PILLSBURY TSTR STR RASPBERRY</t>
  </si>
  <si>
    <t>NEW YORK TEXAS TOAST-5 CHS</t>
  </si>
  <si>
    <t>PILLSBURY TSTR STR STBAWBERY</t>
  </si>
  <si>
    <t>NEW YORK TOAST TEXAS PARMES</t>
  </si>
  <si>
    <t>PILLSBURY TSTR STRDL BSTN CR</t>
  </si>
  <si>
    <t>NY FROZEN PRE-SL GARLC BREAD</t>
  </si>
  <si>
    <t>PILLSBURY TSTR STRUDL CRCHES</t>
  </si>
  <si>
    <t>PEP FARM BREAD, GARLIC/REGL</t>
  </si>
  <si>
    <t>CATEGORY :       9280000 BAGELS</t>
  </si>
  <si>
    <t>PEP FARM BREAD, GRLC PARMES</t>
  </si>
  <si>
    <t>PEP FARM MOZZ GARLIC BREAD</t>
  </si>
  <si>
    <t>LENDER'S BAGEL BG/CRSTY PLN</t>
  </si>
  <si>
    <t>PEP FARM PF PARM GARLIC TST</t>
  </si>
  <si>
    <t>LENDERS BAGEL BG/CRSTY ONN</t>
  </si>
  <si>
    <t>PEP FARM TEXAS TOAST 5 CHS</t>
  </si>
  <si>
    <t>LENDERS BAGEL CINNMON SWRL</t>
  </si>
  <si>
    <t>PEP FARM TEXAS TOAST CHEESE</t>
  </si>
  <si>
    <t>LENDERS BAGEL NEW YORK HNY</t>
  </si>
  <si>
    <t>PEP FARM TOST TH&amp;CRSTY GARL</t>
  </si>
  <si>
    <t>LENDERS BAGELS EGG</t>
  </si>
  <si>
    <t>20.3 OZ</t>
  </si>
  <si>
    <t>PILLSBURY BTR FLAKE DIN ROLL</t>
  </si>
  <si>
    <t>LENDERS BAGELS SOFT</t>
  </si>
  <si>
    <t>PILLSBURY BUTTERMLK BISCUIT</t>
  </si>
  <si>
    <t>LENDERS BAGL BG/CRST CN&amp;RS</t>
  </si>
  <si>
    <t>PILLSBURY BUTTERY BISCUIT</t>
  </si>
  <si>
    <t>LENDERS BLUEBERRY BAGELS</t>
  </si>
  <si>
    <t>20.8 OZ</t>
  </si>
  <si>
    <t>PILLSBURY CHDDR GARLIC BISCT</t>
  </si>
  <si>
    <t>LENDERS CINN RAISIN BAGELS</t>
  </si>
  <si>
    <t>PILLSBURY CRUSTY DINNER ROLL</t>
  </si>
  <si>
    <t>LENDERS ONION BAGELS</t>
  </si>
  <si>
    <t>PILLSBURY CRUSTY WHEAT ROLLS</t>
  </si>
  <si>
    <t>LENDERS PLAIN BAGELS</t>
  </si>
  <si>
    <t>PILLSBURY FBG GRLC DNR ROLLS</t>
  </si>
  <si>
    <t>RICHFOOD BAGEL CINN RAISIN</t>
  </si>
  <si>
    <t>22.1 OZ</t>
  </si>
  <si>
    <t>PILLSBURY FLAKY LAYR BISCUIT</t>
  </si>
  <si>
    <t>RICHFOOD BAGEL EGG</t>
  </si>
  <si>
    <t>PILLSBURY GRAND MINI CIN RLS</t>
  </si>
  <si>
    <t>RICHFOOD BAGEL ONION</t>
  </si>
  <si>
    <t>PILLSBURY GRANDS CINN ROLLS</t>
  </si>
  <si>
    <t>RICHFOOD BAGEL PLAIN</t>
  </si>
  <si>
    <t>PILLSBURY STHRN STYLE BISCUT</t>
  </si>
  <si>
    <t>PILLSBURY WHITE DINNER ROLL</t>
  </si>
  <si>
    <t>31.8 OZ</t>
  </si>
  <si>
    <t>PILLSBURY XLEZ SPLIT BISCUIT</t>
  </si>
  <si>
    <t>BRIDGFORD DOUGH BREAD/WHITE</t>
  </si>
  <si>
    <t>RICHFOOD BREAD GARLIC</t>
  </si>
  <si>
    <t>BRIDGFORD GARLIC MONKEY BRD</t>
  </si>
  <si>
    <t>RICHFOOD BREAD GARLIC TX TS</t>
  </si>
  <si>
    <t>BRIDGFORD ROLLS PARKERHOUSE</t>
  </si>
  <si>
    <t>RICHFOOD BREAD WHT DGH 5/16</t>
  </si>
  <si>
    <t>BRIDGFORD ROLLS WHITE</t>
  </si>
  <si>
    <t>RICHFOOD DINNER ROLLS 12CT</t>
  </si>
  <si>
    <t>COLES BREAD GARLIC</t>
  </si>
  <si>
    <t>RICHFOOD GARLIC BREAD STICK</t>
  </si>
  <si>
    <t>CATEGORY :       9310040 GORTON'S</t>
  </si>
  <si>
    <t>RICHFOOD ROLLS DINNER GARLC</t>
  </si>
  <si>
    <t>MRS PAULS 60 CT FISH STICKS</t>
  </si>
  <si>
    <t>RICHFOOD TEX TOAST 5 CHEESE</t>
  </si>
  <si>
    <t>MRS PAULS BEER BTRD FISH FLT</t>
  </si>
  <si>
    <t>SCHUBERTS HUBERT ROLLS BLUEB</t>
  </si>
  <si>
    <t>MRS PAULS BRD FISH STKS 18CT</t>
  </si>
  <si>
    <t>SCHUBERTS PARKERHOUSE ROLLS</t>
  </si>
  <si>
    <t>MRS PAULS FILLET FISH</t>
  </si>
  <si>
    <t>SCHUBERTS PREBK DINNER ROLLS</t>
  </si>
  <si>
    <t>8.0 OZ</t>
  </si>
  <si>
    <t>MRS PAULS FILLET HADDOK LITE</t>
  </si>
  <si>
    <t>SIS SCHUB CINNAMON ROLLS</t>
  </si>
  <si>
    <t>MRS PAULS FILLET LT/FLOUNDR</t>
  </si>
  <si>
    <t>SSCHUBERT PBKD WHEAT ROLLS</t>
  </si>
  <si>
    <t>MRS PAULS FUN FISH NUGGETS</t>
  </si>
  <si>
    <t>5.28 OZ</t>
  </si>
  <si>
    <t>W WATCHER COOKIE DGH CHC CHP</t>
  </si>
  <si>
    <t>MRS PAULS POPCORN FISH</t>
  </si>
  <si>
    <t>25.4 OZ</t>
  </si>
  <si>
    <t>MRS PAULS X-LG FISH STICKS</t>
  </si>
  <si>
    <t>RICHFOOD CRUNCHY FISH STICK</t>
  </si>
  <si>
    <t>FISHERBOY FISH STICKS</t>
  </si>
  <si>
    <t>RICHFOOD FISH BATTERD FILET</t>
  </si>
  <si>
    <t>FISHERBOY TRY ME FISH STICKS</t>
  </si>
  <si>
    <t>RICHFOOD FISH STICKS</t>
  </si>
  <si>
    <t>GORTONS BATT DIP CRISP FIL</t>
  </si>
  <si>
    <t>RICHFOOD FISH WEDGES</t>
  </si>
  <si>
    <t>GORTONS BEER BATTER FILLET</t>
  </si>
  <si>
    <t>RICHFOOD FLOUNDER FILLETS</t>
  </si>
  <si>
    <t>GORTONS BRD FISH STK VALPK</t>
  </si>
  <si>
    <t>RICHFOOD POPCORN SHRIMP</t>
  </si>
  <si>
    <t>GORTONS BTTR DIP FILLET 60</t>
  </si>
  <si>
    <t>SEA PAK CLAM STRIPS</t>
  </si>
  <si>
    <t>GORTONS CAJUN BLKEN GR FIL</t>
  </si>
  <si>
    <t>SEA PAK SHRIMP POPCORN</t>
  </si>
  <si>
    <t>GORTONS CR GLDN BR SHRIMP</t>
  </si>
  <si>
    <t>SEA PAK SHRIMP POPCORN O/C</t>
  </si>
  <si>
    <t>GORTONS CRNCY SOUTH FR FIL</t>
  </si>
  <si>
    <t>SEA PAK SHRP OV CR JUMBO</t>
  </si>
  <si>
    <t>GORTONS CRUNCHY FILLET</t>
  </si>
  <si>
    <t>19.45 O</t>
  </si>
  <si>
    <t>VANDEKAMP FILLETS LG BATTER</t>
  </si>
  <si>
    <t>GORTONS CRUNCHY FISH STICK</t>
  </si>
  <si>
    <t>VANDEKAMP FILLETS LG BREADED</t>
  </si>
  <si>
    <t>VANDEKAMP STIX VALU PAK</t>
  </si>
  <si>
    <t>GORTONS FISH CRUNCHY FILET</t>
  </si>
  <si>
    <t>VANDEKAMP VALU PK BTTRD PRTN</t>
  </si>
  <si>
    <t>GORTONS FISH CRUNCHY SYICK</t>
  </si>
  <si>
    <t>CATEGORY :       9410030 BANQUIT</t>
  </si>
  <si>
    <t>GORTONS GARLIC BUTTER FILT</t>
  </si>
  <si>
    <t>GORTONS GRILLED TILAPIA</t>
  </si>
  <si>
    <t>BANQUET 6PC BI SKNLSS CHK</t>
  </si>
  <si>
    <t>GORTONS GRLC&amp;HERB FSH FLTS</t>
  </si>
  <si>
    <t>BANQUET 6PC SOUTHRN BI CKN</t>
  </si>
  <si>
    <t>GORTONS GRLD SALMON FILLET</t>
  </si>
  <si>
    <t>BANQUET BNLS POPCORN CHKN</t>
  </si>
  <si>
    <t>GORTONS GRLD SHRIMP CLASIC</t>
  </si>
  <si>
    <t>BANQUET BNLS TENDER BOX</t>
  </si>
  <si>
    <t>GORTONS GRLD SHRIMP SCAMPI</t>
  </si>
  <si>
    <t>BANQUET BRST NUGG BOX</t>
  </si>
  <si>
    <t>GORTONS JMBO BTRFLY SHRIMP</t>
  </si>
  <si>
    <t>BANQUET BRT NUGG BNLS BAG</t>
  </si>
  <si>
    <t>GORTONS LEMON BTR GRL FILT</t>
  </si>
  <si>
    <t>BANQUET BUFFALO TENDER BAG</t>
  </si>
  <si>
    <t>GORTONS PREM FLT TILAPIA</t>
  </si>
  <si>
    <t>BANQUET CHICKEN WING/SPICY</t>
  </si>
  <si>
    <t>GORTONS PREM TILAP FSH STK</t>
  </si>
  <si>
    <t>BANQUET CHIX WNGS BBQ HONE</t>
  </si>
  <si>
    <t>GORTONS PREMIUM FLOUNFILLE</t>
  </si>
  <si>
    <t>BANQUET CNTRY 6PC BNIN CKN</t>
  </si>
  <si>
    <t>GORTONS SHRIMP TEM SCAMPI</t>
  </si>
  <si>
    <t>BANQUET DRUMSTICKS BAG</t>
  </si>
  <si>
    <t>GORTONS SIGNTR GRL TILAPIA</t>
  </si>
  <si>
    <t>BANQUET HONEY BBQ WNGS BAG</t>
  </si>
  <si>
    <t>GORTONS TENDERS</t>
  </si>
  <si>
    <t>BANQUET HOT &amp; SPICY BAG</t>
  </si>
  <si>
    <t>GORTONS VALU PK FISH PORTN</t>
  </si>
  <si>
    <t>BANQUET HOT 'N SPICY 6PC</t>
  </si>
  <si>
    <t>BANQUET ORG BNLS NUG BAG</t>
  </si>
  <si>
    <t>MTNG STAR ITL HRB CHKN PATTY</t>
  </si>
  <si>
    <t>BANQUET ORG NUGGET BOX</t>
  </si>
  <si>
    <t>STEAK UMM BEEF SANDWICH STEK</t>
  </si>
  <si>
    <t>BANQUET ORG PATTY BNLS BAG</t>
  </si>
  <si>
    <t>STEAK UMM BEEF STEAKS</t>
  </si>
  <si>
    <t>BANQUET ORIG 6PC BNIN CKN</t>
  </si>
  <si>
    <t>CATEGORY :       9470000 FRUITS</t>
  </si>
  <si>
    <t>BANQUET ORIG 9PC BNIN CKN</t>
  </si>
  <si>
    <t>BANQUET STHRN TENDER BOX</t>
  </si>
  <si>
    <t>BG VALLEY MIXED FRUIT</t>
  </si>
  <si>
    <t>BANQUET STRIPS BNLS BAG</t>
  </si>
  <si>
    <t>BIG VALUE MIXED FRUIT</t>
  </si>
  <si>
    <t>BANQUET TENDERS BNLS BAG</t>
  </si>
  <si>
    <t>BIG VALUE STRAWBERRIES WHOL</t>
  </si>
  <si>
    <t>BOCA ALL AMERICAN BURGR</t>
  </si>
  <si>
    <t>BIRDSEYE STRAWBERRY QT W/SC</t>
  </si>
  <si>
    <t>BOCA GROUND CRUMBLES</t>
  </si>
  <si>
    <t>DOLE BLACKBERRIES</t>
  </si>
  <si>
    <t>BOCA VEGAN ORIGINAL</t>
  </si>
  <si>
    <t>DOLE BLUEBERRIES</t>
  </si>
  <si>
    <t>GARDENBRG BLK BEAN CHIPOTLE</t>
  </si>
  <si>
    <t>GARDENBRG GRDN BRGR ORIGINAL</t>
  </si>
  <si>
    <t>DOLE BURST O' BERRIES</t>
  </si>
  <si>
    <t>GARDENBRG SAVORY MSHROOM BRG</t>
  </si>
  <si>
    <t>DOLE CHERRIES DARK SWET</t>
  </si>
  <si>
    <t>GARDENBRG VEGGI MEDLY BURGER</t>
  </si>
  <si>
    <t>DOLE MANGO CHUNKS</t>
  </si>
  <si>
    <t>MORN STAR BREAKFAST LINKS</t>
  </si>
  <si>
    <t>DOLE PEACHES SLICED</t>
  </si>
  <si>
    <t>MORN STAR BREAKFAST PATTIE</t>
  </si>
  <si>
    <t>MORN STAR BREAKFAST STRIPS</t>
  </si>
  <si>
    <t>DOLE RASPBERRIES</t>
  </si>
  <si>
    <t>MORN STAR CHICKEN PATTIES</t>
  </si>
  <si>
    <t>DOLE SLICED STRAWBERRIE</t>
  </si>
  <si>
    <t>MORN STAR CORN DOG</t>
  </si>
  <si>
    <t>DOLE STRAW WHOLE</t>
  </si>
  <si>
    <t>MORN STAR GARDEN VEG PATTIE</t>
  </si>
  <si>
    <t>EUROPBEST 4 FIELD BERRY MIX</t>
  </si>
  <si>
    <t>MORN STAR GRILLERS</t>
  </si>
  <si>
    <t>RICHFOOD BERRY MEDLEY</t>
  </si>
  <si>
    <t>MORN STAR MEAL STARTERSTEAK</t>
  </si>
  <si>
    <t>RICHFOOD BLUEBERRIES</t>
  </si>
  <si>
    <t>MORN STAR TOM BASIL PIZZA B</t>
  </si>
  <si>
    <t>RICHFOOD RASPBERRIES</t>
  </si>
  <si>
    <t>MRNG STAR ASIAN VEGGIE PATTI</t>
  </si>
  <si>
    <t>RICHFOOD SLICED STRAWBERRIE</t>
  </si>
  <si>
    <t>MRNG STAR BUFFALO WINGS</t>
  </si>
  <si>
    <t>RICHFOOD STRAWBERRIES SLICD</t>
  </si>
  <si>
    <t>MRNG STAR CHICKEN NUGGETS</t>
  </si>
  <si>
    <t>RICHFOOD STRAWBERRIES WHOLE</t>
  </si>
  <si>
    <t>MRNG STAR GRILL BURGR CRUMBL</t>
  </si>
  <si>
    <t>RICHFOOD WHOLE STRAWBERRIES</t>
  </si>
  <si>
    <t>MRNG STAR GRILLERS PRIME</t>
  </si>
  <si>
    <t>TROPL ISL FROZEN COCONUT</t>
  </si>
  <si>
    <t>MRNG STAR HICKRY BBQ RIBLETS</t>
  </si>
  <si>
    <t>CATEGORY :       9500000 WHIPPED TOPPING</t>
  </si>
  <si>
    <t>MRNG STAR ITALIAN SAUSAGE</t>
  </si>
  <si>
    <t>MRNG STAR ML STRTR CKN STRIP</t>
  </si>
  <si>
    <t>COOL WHIP CW CHOC DIPS</t>
  </si>
  <si>
    <t>MRNG STAR MPLE FLVR SSG PATY</t>
  </si>
  <si>
    <t>COOL WHIP EXTRA CREAMY</t>
  </si>
  <si>
    <t>MRNG STAR MUSHROOM BURGER</t>
  </si>
  <si>
    <t>COOL WHIP FLAVORED</t>
  </si>
  <si>
    <t>11.20 O</t>
  </si>
  <si>
    <t>MRNG STAR ORIG VEGGIE DOGS</t>
  </si>
  <si>
    <t>COOL WHIP FT FREE TOPPING</t>
  </si>
  <si>
    <t>MRNG STAR ORIGINL CHCKN TNDR</t>
  </si>
  <si>
    <t>MRNG STAR SCY BLKBEAN BURGER</t>
  </si>
  <si>
    <t>COOL WHIP LITE TOPPING</t>
  </si>
  <si>
    <t>MRNG STAR SPNCH/ARTCH VG BTE</t>
  </si>
  <si>
    <t>COOL WHIP SUGAR FREE TOPPING</t>
  </si>
  <si>
    <t>MRNG STAR VEGI CAKE GNG TERI</t>
  </si>
  <si>
    <t>COOL WHIP TOP LITE COOL WHIP</t>
  </si>
  <si>
    <t>CATEGORY :       9540000 DESSERTS - THAW &amp; EAT</t>
  </si>
  <si>
    <t>COOL WHIP WHIP TOPPING</t>
  </si>
  <si>
    <t>EDWARDS MINI PIE APPLE</t>
  </si>
  <si>
    <t>COOL WHIP WHIPPED TOPPING</t>
  </si>
  <si>
    <t>EDWARDS PIE CHOC DREAM</t>
  </si>
  <si>
    <t>EDWARDS PIE LEMON MERINGE</t>
  </si>
  <si>
    <t>CULINARYC MOUSSE WH/DKCHOC7IN</t>
  </si>
  <si>
    <t>EDWARDS PIE STHRN PECAN</t>
  </si>
  <si>
    <t>RICHFOOD WHIPPED TOP EX CRM</t>
  </si>
  <si>
    <t>30.5 OZ</t>
  </si>
  <si>
    <t>EDWARDS TURTLE GOURMET PIE</t>
  </si>
  <si>
    <t>RICHFOOD WHIPPED TOPPING</t>
  </si>
  <si>
    <t>MRS SMITH 8IN MINCE</t>
  </si>
  <si>
    <t>MRS SMITH 8IN SPICED PUMPKIN</t>
  </si>
  <si>
    <t>RICHFOOD WHIPPED TOPPING LT</t>
  </si>
  <si>
    <t>MRS SMITH 8IN SWEET POTATO</t>
  </si>
  <si>
    <t>MRS SMITH 9IN CIN APPLE CRUMB</t>
  </si>
  <si>
    <t>MRS SMITH 9IN DP DISH APPLE</t>
  </si>
  <si>
    <t>ATHENS FILLO DOUGH 2 PACK</t>
  </si>
  <si>
    <t>MRS SMITH APPLE PIE</t>
  </si>
  <si>
    <t>ATHENS MINI FILLO DO SHEL</t>
  </si>
  <si>
    <t>27.56 O</t>
  </si>
  <si>
    <t>MRS SMITH BLUEBERRY PIE</t>
  </si>
  <si>
    <t>BRIDGFORD CINN MONKEY BREAD</t>
  </si>
  <si>
    <t>MRS SMITH CHERRY PIE</t>
  </si>
  <si>
    <t>CLNRY CRC BLUEBERRY BLOSSOMS</t>
  </si>
  <si>
    <t>MRS SMITH COBBLER APPLE CRU</t>
  </si>
  <si>
    <t>CLNRY CRC CARML APL BLOSSOMS</t>
  </si>
  <si>
    <t>MRS SMITH COBBLER BLACKBERRY</t>
  </si>
  <si>
    <t>CLNRY CRC CHOCCHP CKY MLTDWN</t>
  </si>
  <si>
    <t>MRS SMITH COBBLER PEACH</t>
  </si>
  <si>
    <t>9.80 OZ</t>
  </si>
  <si>
    <t>CLNRY CRC UPSIDE DOWN CAKES</t>
  </si>
  <si>
    <t>MRS SMITH COCONUT CUSTARD</t>
  </si>
  <si>
    <t>CULINARYC CAKE CARROT 7IN</t>
  </si>
  <si>
    <t>MRS SMITH DUTCH APPLE CRUMB</t>
  </si>
  <si>
    <t>CULINARYC CAKE CHOCMLTN 2 PK</t>
  </si>
  <si>
    <t>MRS SMITH PEACH PIE</t>
  </si>
  <si>
    <t>CULINARYC CHEESECAKE NY 7IN</t>
  </si>
  <si>
    <t>MRS SMITH PIE DEEP DISH PEA</t>
  </si>
  <si>
    <t>CULINARYC CHEESECAKE VAR 9IN</t>
  </si>
  <si>
    <t>MRS SMITH PIE LEMON MERINGUE</t>
  </si>
  <si>
    <t>DELIZZA BELGIAN MN CRM PFF</t>
  </si>
  <si>
    <t>MRS SMITH PIE SHELL DDSH 2PK</t>
  </si>
  <si>
    <t>DELIZZA BELGIAN MN ECLAIRS</t>
  </si>
  <si>
    <t>MRS SMITH PUMPKIN</t>
  </si>
  <si>
    <t>DNCN HNS OVN RDY CHCCHPBRWN</t>
  </si>
  <si>
    <t>MRS SMITH SLCE 2PK PEACH PIE</t>
  </si>
  <si>
    <t>DNCN HNS OVN RDY FUDGE BRWN</t>
  </si>
  <si>
    <t>OREG FARM CARROT CAKE</t>
  </si>
  <si>
    <t>DUN HINES MILK CHOCO BROWNIE</t>
  </si>
  <si>
    <t>PATISSA CHOC DIPPED CRM PF</t>
  </si>
  <si>
    <t>EDWARD'S PIE GEORGIA PECAN</t>
  </si>
  <si>
    <t>19.6 OZ</t>
  </si>
  <si>
    <t>PEP FARM CAKE CHOCOLATE</t>
  </si>
  <si>
    <t>EDWARD'S PIE KEY LIME</t>
  </si>
  <si>
    <t>PEP FARM CAKE COCONUT</t>
  </si>
  <si>
    <t>EDWARD'S PIE KEY LIME TWNPK</t>
  </si>
  <si>
    <t>PEP FARM CAKE GERMAN CHOCOL</t>
  </si>
  <si>
    <t>9.17 OZ</t>
  </si>
  <si>
    <t>EDWARDS APPLE CRISP</t>
  </si>
  <si>
    <t>PEP FARM PUFF PASTRY SHEETS</t>
  </si>
  <si>
    <t>EDWARDS BANANA CREAM</t>
  </si>
  <si>
    <t>PEP FARM TURNOVERS CHERRY</t>
  </si>
  <si>
    <t>EDWARDS CHOC CRM W/HERSHYS</t>
  </si>
  <si>
    <t>PEP FARM TURNOVERS, APPLE</t>
  </si>
  <si>
    <t>EDWARDS CKIES &amp; CRM SLC2PK</t>
  </si>
  <si>
    <t>PEPP FARM PF LEMON CAKE</t>
  </si>
  <si>
    <t>EDWARDS COCONUT CREME</t>
  </si>
  <si>
    <t>PEPPERIDG CAKE GOLDEN LAYER</t>
  </si>
  <si>
    <t>EDWARDS COOKIES AND CREME</t>
  </si>
  <si>
    <t>PEPPERIDG CHOC FUDGE STRP LR</t>
  </si>
  <si>
    <t>17.50 O</t>
  </si>
  <si>
    <t>EDWARDS ED CARROT CAKE</t>
  </si>
  <si>
    <t>PEPPERIDG KEY LIME 3LAYER</t>
  </si>
  <si>
    <t>EDWARDS EDWARDS BOS CREAM</t>
  </si>
  <si>
    <t>PEPPERIDG PUFF PASTRY SHELLS</t>
  </si>
  <si>
    <t>EDWARDS LEMON MERINGUE PIE</t>
  </si>
  <si>
    <t>PILLSBURY PIE CRUST ALL VEG</t>
  </si>
  <si>
    <t>EDWARDS MINI PEACH</t>
  </si>
  <si>
    <t>PILLSBURY PIE CRUSTS RG 2CT*</t>
  </si>
  <si>
    <t>CATEGORY :       9650000 JUICES &amp; DRINKS - MISCELLANEOUS</t>
  </si>
  <si>
    <t>PILLSBURY PIE SHELL DP DISH</t>
  </si>
  <si>
    <t>MIN MAID OJ  PULP FREE</t>
  </si>
  <si>
    <t>RICHFOOD FRZ PIE SHELLS</t>
  </si>
  <si>
    <t>MIN MAID OJ COUNTRY STYLE</t>
  </si>
  <si>
    <t>SARA LEE 9IN CHERRY PIE</t>
  </si>
  <si>
    <t>MIN MAID OJ REDUCED ACID</t>
  </si>
  <si>
    <t>SARA LEE 9IN MINCE MEAT PIE</t>
  </si>
  <si>
    <t>MIN MAID OJ REGULAR</t>
  </si>
  <si>
    <t>SARA LEE 9INHMST PUMPKIN PIE</t>
  </si>
  <si>
    <t>SARA LEE CAKE FAMILY LB.</t>
  </si>
  <si>
    <t>MIN MAID OJ TANGERINE W/CCM</t>
  </si>
  <si>
    <t>SARA LEE CAKE NY CLASSIC CH</t>
  </si>
  <si>
    <t>MIN MAID OJ W/CALCIUM</t>
  </si>
  <si>
    <t>SARA LEE CAKE POUND</t>
  </si>
  <si>
    <t>MIN MAID PUNCH FRUIT</t>
  </si>
  <si>
    <t>SARA LEE CHEESECAKE FR STRW</t>
  </si>
  <si>
    <t>OLD ORCHD 100% APPLE JUICE</t>
  </si>
  <si>
    <t>SARA LEE CHEESECAKE ORIGINA</t>
  </si>
  <si>
    <t>OLD ORCHD DRINK LEMONADE</t>
  </si>
  <si>
    <t>SARA LEE COFFEE CAKE PECAN</t>
  </si>
  <si>
    <t>OLD ORCHD JCE 100% CRANBERRY</t>
  </si>
  <si>
    <t>SARA LEE PIE APPLE/HOMSTYLE</t>
  </si>
  <si>
    <t>OLD ORCHD JUICE ORANGE</t>
  </si>
  <si>
    <t>SARA LEE PIE PECAN</t>
  </si>
  <si>
    <t>OLD ORCHD ORANGE JCE CALCIUM</t>
  </si>
  <si>
    <t>SARA LEE PIE SWEET POTATO</t>
  </si>
  <si>
    <t>SARA LEE SIMPLE SWEET APPLE</t>
  </si>
  <si>
    <t>RICHFOOD LIMEADE</t>
  </si>
  <si>
    <t>SARA LEE SIMPLE SWEET PEACH</t>
  </si>
  <si>
    <t>RICHFOOD OJ CALC FORTIFIED</t>
  </si>
  <si>
    <t>SHOP VALU PIE APPLE WHL GRN</t>
  </si>
  <si>
    <t>RICHFOOD OJ REG</t>
  </si>
  <si>
    <t>SHOP VALU PIE BERRY WHL GRN</t>
  </si>
  <si>
    <t>RICHFOOD ORANGE JCE REGULAR</t>
  </si>
  <si>
    <t>SHOP VALU PIE CHERRY WHL GRN</t>
  </si>
  <si>
    <t>RICHFOOD ORG JCE CNTRY STYL</t>
  </si>
  <si>
    <t>SHOP VALU PIE CHOC WHL GRN</t>
  </si>
  <si>
    <t>RICHFOOD PINK LEMONADE</t>
  </si>
  <si>
    <t>SHOP VALU PIE LEMON WHL GRN</t>
  </si>
  <si>
    <t>RICHFOOD WHITE LEMONADE</t>
  </si>
  <si>
    <t>W WATCHER CAKE DBL FUDGE</t>
  </si>
  <si>
    <t>SENECA JUICE APPLE</t>
  </si>
  <si>
    <t>6.30 OZ</t>
  </si>
  <si>
    <t>W WATCHER CHOCOLATE ECLAIR</t>
  </si>
  <si>
    <t>WELCH'S 100% WHITE GRAPE</t>
  </si>
  <si>
    <t>WELCH'S CRAN COCKTL CONC</t>
  </si>
  <si>
    <t>WELCH'S CRAN-RASPBERRYJCE</t>
  </si>
  <si>
    <t>BRT&amp;EARLY BREAKFAST BEVERAGE</t>
  </si>
  <si>
    <t>WELCH'S GRAPE JUICE</t>
  </si>
  <si>
    <t>DOLE APPLE/ORANGE/BANAN</t>
  </si>
  <si>
    <t>WELCH'S GRAPE/NATRL JUICE</t>
  </si>
  <si>
    <t>DOLE PINEAPPLE JUICE</t>
  </si>
  <si>
    <t>WELCH'S STRAWBERRY BREEZE</t>
  </si>
  <si>
    <t>DOLE PINEAPPLE ORANG JC</t>
  </si>
  <si>
    <t>WELCH'S WHT GRP/RSPBJUICE</t>
  </si>
  <si>
    <t>MIN MAID BACARDI FUZY NAVEL</t>
  </si>
  <si>
    <t>WELCH'S WHT GRPE PEACH JUI</t>
  </si>
  <si>
    <t>MIN MAID BACARDI MARGARITA</t>
  </si>
  <si>
    <t>WELCH'S WHT GRPE PEAR JUIC</t>
  </si>
  <si>
    <t>MIN MAID BACARDI PINA COLA</t>
  </si>
  <si>
    <t>WELCHS JUICE WHITE GRAPE</t>
  </si>
  <si>
    <t>MIN MAID BACARDI STRW DAQUI</t>
  </si>
  <si>
    <t>CATEGORY :       9670000 COFFEE CREAMERS</t>
  </si>
  <si>
    <t>MIN MAID JUICE GRAPEFRUIT</t>
  </si>
  <si>
    <t>MIN MAID JUICE LEMON</t>
  </si>
  <si>
    <t>RICHS CREAMER COFFEE RIC</t>
  </si>
  <si>
    <t>MIN MAID LEMONADE PINK</t>
  </si>
  <si>
    <t>MIN MAID LEMONADE WHITE</t>
  </si>
  <si>
    <t>MIN MAID LIMEADE</t>
  </si>
  <si>
    <t>MIN MAID MOJITO</t>
  </si>
  <si>
    <t>CATEGORY :       9680021 ICE CREAM/HALF GALLON</t>
  </si>
  <si>
    <t>BEN JERRY CHOC MACADAMIA</t>
  </si>
  <si>
    <t>BREYERS CARB SMART VANILLA</t>
  </si>
  <si>
    <t>3.60 FZ</t>
  </si>
  <si>
    <t>BEN JERRY MNT CHOC CHIP COOK</t>
  </si>
  <si>
    <t>BREYERS CARB SMRT CHOCOLAT</t>
  </si>
  <si>
    <t>BEN JERRY TRIPLE CARML CHUNK</t>
  </si>
  <si>
    <t>BREYERS CHOCOLATE CRACKLE</t>
  </si>
  <si>
    <t>BEN&amp;JERRY AMERICONE DREAM</t>
  </si>
  <si>
    <t>BREYERS CHURNED LIC C&amp;C</t>
  </si>
  <si>
    <t>BEN&amp;JERRY BROWNIE BATTER</t>
  </si>
  <si>
    <t>BREYERS CREAMY LT VANILLA</t>
  </si>
  <si>
    <t>BEN&amp;JERRY CAKE BATTER</t>
  </si>
  <si>
    <t>1.75 QT</t>
  </si>
  <si>
    <t>BREYERS DBLCHN NSA V/CH/ST</t>
  </si>
  <si>
    <t>BEN&amp;JERRY CHEESECAKE BROWNIE</t>
  </si>
  <si>
    <t>BREYERS EXTRA CREAMY CHOC</t>
  </si>
  <si>
    <t>BEN&amp;JERRY CHERRY GARCIA</t>
  </si>
  <si>
    <t>BREYERS EXTRA CRM VANILLA</t>
  </si>
  <si>
    <t>BEN&amp;JERRY CHOC FUDGE BROWNIE</t>
  </si>
  <si>
    <t>BREYERS FF CHOC CKIE&amp;CREAM</t>
  </si>
  <si>
    <t>BEN&amp;JERRY CHOCOL MINT COOKIE</t>
  </si>
  <si>
    <t>BREYERS FF CHOC FDGE BRWNI</t>
  </si>
  <si>
    <t>BEN&amp;JERRY CHUNKY MONKEY</t>
  </si>
  <si>
    <t>BREYERS FF CREAMY VANILLA</t>
  </si>
  <si>
    <t>BEN&amp;JERRY CINNAMON BUNS</t>
  </si>
  <si>
    <t>BREYERS FRIED ICE CREAM</t>
  </si>
  <si>
    <t>BEN&amp;JERRY COOKIE DGH FLP OUT</t>
  </si>
  <si>
    <t>BREYERS IC CRM COOKIE&amp;CRM</t>
  </si>
  <si>
    <t>BEN&amp;JERRY COOKIE DOUGH</t>
  </si>
  <si>
    <t>BREYERS IC H/M LIGHT CHOC</t>
  </si>
  <si>
    <t>BEN&amp;JERRY CREME BRULEE</t>
  </si>
  <si>
    <t>BREYERS IC HM CRMY VANILLA</t>
  </si>
  <si>
    <t>BEN&amp;JERRY DUBLIN MUDSLIDE</t>
  </si>
  <si>
    <t>BREYERS IC LT MT CHOC CHIP</t>
  </si>
  <si>
    <t>BEN&amp;JERRY HALF BAKED ICE CRM</t>
  </si>
  <si>
    <t>BREYERS IC NAT CHOCOLATE</t>
  </si>
  <si>
    <t>BEN&amp;JERRY IMAGIN WHIRL PE</t>
  </si>
  <si>
    <t>BREYERS IC OREO CKI CREAM</t>
  </si>
  <si>
    <t>BEN&amp;JERRY KARAMEL SUTRA IC</t>
  </si>
  <si>
    <t>BREYERS IC PRALINE ALMOND</t>
  </si>
  <si>
    <t>BEN&amp;JERRY NY SUPER FDGE CHNK</t>
  </si>
  <si>
    <t>BREYERS IC REESE PBTTR CUP</t>
  </si>
  <si>
    <t>BEN&amp;JERRY PEANUT BUTTER CUP</t>
  </si>
  <si>
    <t>BREYERS ICE CREAM BTTR PCN</t>
  </si>
  <si>
    <t>BEN&amp;JERRY PHISH FOOD</t>
  </si>
  <si>
    <t>BREYERS ICE CREAM CHOC/VAN</t>
  </si>
  <si>
    <t>BEN&amp;JERRY PISTACHIO/PISTACHI</t>
  </si>
  <si>
    <t>BREYERS ICE CREAM COFFEE</t>
  </si>
  <si>
    <t>BEN&amp;JERRY PNTBTR CHOC FLPOUT</t>
  </si>
  <si>
    <t>BREYERS ICE CREAM FR VANIL</t>
  </si>
  <si>
    <t>BEN&amp;JERRY VAN FDGBRWN FLPOUT</t>
  </si>
  <si>
    <t>BREYERS ICE CREAM NEOPLTAN</t>
  </si>
  <si>
    <t>BEN&amp;JERRY VAN HEATH BAR CRNC</t>
  </si>
  <si>
    <t>BREYERS ICE CREAM PEACH</t>
  </si>
  <si>
    <t>BEN&amp;JERRY VANILLA FOR A CHNG</t>
  </si>
  <si>
    <t>BREYERS ICE CREAM RCKY RD</t>
  </si>
  <si>
    <t>BEN&amp;JERRY WILLIE NELSON PEAC</t>
  </si>
  <si>
    <t>BREYERS ICE CRM CHOC CHIP</t>
  </si>
  <si>
    <t>BLU BUNNY PRSN LT BUNNY TRKS</t>
  </si>
  <si>
    <t>BREYERS ICE CRM CHRRY VANL</t>
  </si>
  <si>
    <t>BLU BUNNY PRSN LT SPR FDGBRW</t>
  </si>
  <si>
    <t>BREYERS ICE CRM FUDGE TWRL</t>
  </si>
  <si>
    <t>BLU BUNNY PRSN SPR FDG BRWNI</t>
  </si>
  <si>
    <t>BREYERS LACTOSE FREE VANIL</t>
  </si>
  <si>
    <t>BLU BUNNY PRSN SPRCHK CK DGH</t>
  </si>
  <si>
    <t>BREYERS LIGHT BUTTER PECAN</t>
  </si>
  <si>
    <t>BLU BUNNY PRSNL LT PBTR FDG</t>
  </si>
  <si>
    <t>BREYERS LT IC VAN/CH/STRAW</t>
  </si>
  <si>
    <t>BLU BUNNY PRSNLS BANANA SPLT</t>
  </si>
  <si>
    <t>BREYERS MINT CHOC CHIP IC</t>
  </si>
  <si>
    <t>BLU BUNNY PRSNLS DBL STRWBRY</t>
  </si>
  <si>
    <t>BREYERS NASCAR CHECKR FLAG</t>
  </si>
  <si>
    <t>BREYERS AL/NT LT IC VAN BN</t>
  </si>
  <si>
    <t>BREYERS NTRL CH CHIP CK DH</t>
  </si>
  <si>
    <t>BREYERS BLACK RASPBERRY</t>
  </si>
  <si>
    <t>BREYERS S&amp;D CHOC CHOC CHIP</t>
  </si>
  <si>
    <t>BREYERS BROWNIE MUD PIE</t>
  </si>
  <si>
    <t>BREYERS S&amp;D STRAWBRY CHSCK</t>
  </si>
  <si>
    <t>BREYERS BUTTER ALMOND</t>
  </si>
  <si>
    <t>BREYERS SARALEE CHEESECAKE</t>
  </si>
  <si>
    <t>BREYERS SGRSMRT FRNCH VAN</t>
  </si>
  <si>
    <t>GREENS WHITEHOUSE CHERRY</t>
  </si>
  <si>
    <t>BREYERS SNICKERS ICE CREAM</t>
  </si>
  <si>
    <t>LEN'S S/O FRT PNCH-GRN</t>
  </si>
  <si>
    <t>BREYERS STRWBRRY ICE CREAM</t>
  </si>
  <si>
    <t>LEN'S S/O PRTY PNCH-RED</t>
  </si>
  <si>
    <t>BREYERS TAKE 2 VAN CARAMEL</t>
  </si>
  <si>
    <t>LINDY'S CHOCOLATE GELATO</t>
  </si>
  <si>
    <t>BREYERS VANILLA</t>
  </si>
  <si>
    <t>LINDY'S STRAWBERRY GELATO</t>
  </si>
  <si>
    <t>BREYERS VANILLA ICE CREAM</t>
  </si>
  <si>
    <t>PET BANANA SPLIT</t>
  </si>
  <si>
    <t>BREYERS WAFFLE CONE</t>
  </si>
  <si>
    <t>PET BIRTHDAY CAKE</t>
  </si>
  <si>
    <t>BREYERS WILD PEANUT BUTTER</t>
  </si>
  <si>
    <t>PET BLACK SWEET CHERRY</t>
  </si>
  <si>
    <t>DOVE BEYOND VANILLA</t>
  </si>
  <si>
    <t>PET BROWN MULE</t>
  </si>
  <si>
    <t>DOVE CARAMEL PECAN PERF</t>
  </si>
  <si>
    <t>PET CC BROWNIE BATTER</t>
  </si>
  <si>
    <t>DOVE CHOC/BROWNE AFFAIR</t>
  </si>
  <si>
    <t>PET CC TROPICAL TWIST</t>
  </si>
  <si>
    <t>15.1 FZ</t>
  </si>
  <si>
    <t>DOVE GIVE INTO MINT</t>
  </si>
  <si>
    <t>PET CHOC CRM PUDDIN PI</t>
  </si>
  <si>
    <t>DOVE IRRESTIBLY RASPBER</t>
  </si>
  <si>
    <t>PET CHOC MARSHMALLOW</t>
  </si>
  <si>
    <t>DOVE TOFFEE CARAMEL MOM</t>
  </si>
  <si>
    <t>PET CHOCCHIP CKIE DGH</t>
  </si>
  <si>
    <t>DOVE UNCONDITIONAL CHOC</t>
  </si>
  <si>
    <t>PET CHOCOLATE</t>
  </si>
  <si>
    <t>GREENS BANANA SPLIT</t>
  </si>
  <si>
    <t>PET COOKIES/CRM EXTREM</t>
  </si>
  <si>
    <t>GREENS BLK RASPBERRY BLST</t>
  </si>
  <si>
    <t>PET FEATURE FLAVOR</t>
  </si>
  <si>
    <t>GREENS BUTTER PECAN</t>
  </si>
  <si>
    <t>PET FRENCH VANILLA</t>
  </si>
  <si>
    <t>GREENS CHOC CHIP CKIE DGH</t>
  </si>
  <si>
    <t>PET IC BLACK WALNUT</t>
  </si>
  <si>
    <t>GREENS CHOCOLATE</t>
  </si>
  <si>
    <t>PET IC BUTTER PECAN</t>
  </si>
  <si>
    <t>GREENS COLMBN COFFEE CHIP</t>
  </si>
  <si>
    <t>PET IC CHERRY/ VANILLA</t>
  </si>
  <si>
    <t>GREENS COOKIES &amp; CREAM</t>
  </si>
  <si>
    <t>PET IC CHOCOLATE/VANILLA</t>
  </si>
  <si>
    <t>GREENS HOMEMADE VANILLA</t>
  </si>
  <si>
    <t>PET IC CNTRY CHURN VANLLA</t>
  </si>
  <si>
    <t>GREENS IC CHOC MRSHMALLOW</t>
  </si>
  <si>
    <t>PET IC COOKIES N CREAM</t>
  </si>
  <si>
    <t>GREENS LT CHURND BLUEBRRY</t>
  </si>
  <si>
    <t>PET IC HEAVENLY HASH</t>
  </si>
  <si>
    <t>GREENS LT CHURND PCHS&amp;CRM</t>
  </si>
  <si>
    <t>PET IC MOOSE TRACKS</t>
  </si>
  <si>
    <t>GREENS LT CHURND STRWBRRY</t>
  </si>
  <si>
    <t>PET IC NEAPOLITAN</t>
  </si>
  <si>
    <t>GREENS LT CHURNED SNAPPER</t>
  </si>
  <si>
    <t>PET IC NUTTY BUDDY CONE</t>
  </si>
  <si>
    <t>GREENS METRO NEOPOLITAN</t>
  </si>
  <si>
    <t>PET IC SIGNATURE VAN BEAN</t>
  </si>
  <si>
    <t>GREENS MINT CHOC CHIP</t>
  </si>
  <si>
    <t>PET IC STRAWBERRY</t>
  </si>
  <si>
    <t>GREENS PEANUT BUTTER TWRL</t>
  </si>
  <si>
    <t>PET IC VANILLA</t>
  </si>
  <si>
    <t>GREENS PECAN TURTLE TRAIL</t>
  </si>
  <si>
    <t>PET TURTLE TRACKS</t>
  </si>
  <si>
    <t>GREENS PHILLY VANILLA BN</t>
  </si>
  <si>
    <t>RICHFOOD CHOC CHIP ICE CRM</t>
  </si>
  <si>
    <t>GREENS POCONO PAWS</t>
  </si>
  <si>
    <t>RICHFOOD ICE CRM VANIL HOME</t>
  </si>
  <si>
    <t>GREENS ROCKY ROAD</t>
  </si>
  <si>
    <t>RICHFOOD MNTCHC CHP I CRM</t>
  </si>
  <si>
    <t>GREENS UNDER THE STARS</t>
  </si>
  <si>
    <t>RICHFOOD STRAWBERRY ICE CRM</t>
  </si>
  <si>
    <t>GREENS VANILLA</t>
  </si>
  <si>
    <t>RICHFOOD V/C/S ICE CREAM</t>
  </si>
  <si>
    <t>GREENS VANILLA FUDGE SWRL</t>
  </si>
  <si>
    <t>SHOP VALU CHOC/VANIL ICE CRM</t>
  </si>
  <si>
    <t>GREENS VANILLA/CHOCOLATE</t>
  </si>
  <si>
    <t>SHOP VALU CHOCO CHIP ICE CRM</t>
  </si>
  <si>
    <t>SHOP VALU CHOCOLATE IC</t>
  </si>
  <si>
    <t>STONERDGE IC CHOC ALMOND FDG</t>
  </si>
  <si>
    <t>SHOP VALU CHOCOLATE ICE CRM</t>
  </si>
  <si>
    <t>STONERDGE IC CHOC FDGBROWNIE</t>
  </si>
  <si>
    <t>140 FZ</t>
  </si>
  <si>
    <t>SHOP VALU ICE CREAM CHOC&amp;VAN</t>
  </si>
  <si>
    <t>STONERDGE IC CHOCCHRY BRDEAU</t>
  </si>
  <si>
    <t>SHOP VALU ICE CREAM COOK&amp;CRM</t>
  </si>
  <si>
    <t>STONERDGE IC CHOCOLATE CHUNK</t>
  </si>
  <si>
    <t>SHOP VALU ICE CREAM FUDGE SW</t>
  </si>
  <si>
    <t>STONERDGE IC CKY 'N CREAM</t>
  </si>
  <si>
    <t>SHOP VALU ICE CREAM VANILLA</t>
  </si>
  <si>
    <t>STONERDGE IC CKY DOUGH LIGHT</t>
  </si>
  <si>
    <t>SHOP VALU ICE CRM CHOC CHIP</t>
  </si>
  <si>
    <t>STONERDGE IC CKY'N CRM LIGHT</t>
  </si>
  <si>
    <t>SHOP VALU ICE CRM CKIES&amp;CRM</t>
  </si>
  <si>
    <t>STONERDGE IC COOKIE DOUGH</t>
  </si>
  <si>
    <t>SHOP VALU ICE CRM MAPLE NUT</t>
  </si>
  <si>
    <t>STONERDGE IC DBLBRY CHSECAKE</t>
  </si>
  <si>
    <t>SHOP VALU ICE CRM MINT CHOCC</t>
  </si>
  <si>
    <t>STONERDGE IC DEN MSE TRK LT</t>
  </si>
  <si>
    <t>SHOP VALU ICE CRM NEOPOLITAN</t>
  </si>
  <si>
    <t>STONERDGE IC DENALI MSE TRKS</t>
  </si>
  <si>
    <t>SHOP VALU ICE CRM STRWBR SWR</t>
  </si>
  <si>
    <t>STONERDGE IC DULCE DE LECHE</t>
  </si>
  <si>
    <t>SHOP VALU NEAPOLITAN IC</t>
  </si>
  <si>
    <t>STONERDGE IC JAVA DELIGHT</t>
  </si>
  <si>
    <t>SHOP VALU VANILLA IC</t>
  </si>
  <si>
    <t>STONERDGE IC MINT CHIP LIGHT</t>
  </si>
  <si>
    <t>SHOPVALUE ICE CRM CHOC CHIP</t>
  </si>
  <si>
    <t>STONERDGE IC PEANUT BTR CUP</t>
  </si>
  <si>
    <t>SHOPVALUE ICE CRM VAN ORANGE</t>
  </si>
  <si>
    <t>STONERDGE IC PEANUTBTR SWIRL</t>
  </si>
  <si>
    <t>SIV MARIA AFFOGATO ALL AMARE</t>
  </si>
  <si>
    <t>STONERDGE IC ROCKY RD LIGHT</t>
  </si>
  <si>
    <t>SIV MARIA BACIO</t>
  </si>
  <si>
    <t>STONERDGE IC ROCKY ROAD</t>
  </si>
  <si>
    <t>SIV MARIA CAPPUCCINO</t>
  </si>
  <si>
    <t>STONERDGE IC STRAWBERRY</t>
  </si>
  <si>
    <t>SIV MARIA FRAGOLA SORBETTO</t>
  </si>
  <si>
    <t>STONERDGE IC TIN ROOF SUNDAE</t>
  </si>
  <si>
    <t>SIV MARIA LIMONE SORBETTO</t>
  </si>
  <si>
    <t>STONERDGE IC VAN BEAN LIGHT</t>
  </si>
  <si>
    <t>SIV MARIA PANNA CON FRAGOLE</t>
  </si>
  <si>
    <t>STONERDGE IC VANILLA BEAN</t>
  </si>
  <si>
    <t>SIV MARIA PANNA CON FRUTTI</t>
  </si>
  <si>
    <t>STONERDGE IC VANILLA FRENCH</t>
  </si>
  <si>
    <t>SIV MARIA PANNA CON PESCA</t>
  </si>
  <si>
    <t>STONERDGE IC VANILLA LIGHT</t>
  </si>
  <si>
    <t>SIV MARIA PANNA COTTA</t>
  </si>
  <si>
    <t>STONERDGE ICE CREAM CHOCOLAT</t>
  </si>
  <si>
    <t>SIV MARIA STRACCIATELLA</t>
  </si>
  <si>
    <t>STONERDGE ICE CREAM MINT CHP</t>
  </si>
  <si>
    <t>SIV MARIA TIRAMISU</t>
  </si>
  <si>
    <t>STONERDGE ICE CREAM NEAPOLIT</t>
  </si>
  <si>
    <t>STARBUCKS CLASSIC COFFEE IC</t>
  </si>
  <si>
    <t>STONERDGE ICE CREAM PISTACHI</t>
  </si>
  <si>
    <t>STARBUCKS CRMEL MACCHIATO IC</t>
  </si>
  <si>
    <t>STONERDGE ICE CREAM VANILLA</t>
  </si>
  <si>
    <t>3.6 FZ</t>
  </si>
  <si>
    <t>STARBUCKS JAVA CHIP CUP IC</t>
  </si>
  <si>
    <t>STONERIDG IC CHOCOLATE CHIP</t>
  </si>
  <si>
    <t>STARBUCKS JAVA CHIP IC</t>
  </si>
  <si>
    <t>1.5 QT</t>
  </si>
  <si>
    <t>STONERIDG IC CHRND CHOC CHIP</t>
  </si>
  <si>
    <t>STARBUCKS MCHA FRPPUCCINO IC</t>
  </si>
  <si>
    <t>STONERIDG IC CHRND CKY DOUGH</t>
  </si>
  <si>
    <t>STONERDGE IC BLACK RSPBRYCHP</t>
  </si>
  <si>
    <t>STONERIDG IC CHRND STRWB&amp;CRM</t>
  </si>
  <si>
    <t>STONERDGE IC BLUEBRY COBBLER</t>
  </si>
  <si>
    <t>STONERIDG IC CHURNED BTR PCN</t>
  </si>
  <si>
    <t>STONERDGE IC BTR PECAN LIGHT</t>
  </si>
  <si>
    <t>TURK HILL BLACK CHERRY</t>
  </si>
  <si>
    <t>STONERDGE IC BUTTER PECAN</t>
  </si>
  <si>
    <t>TURK HILL BLACK RASPBERRY</t>
  </si>
  <si>
    <t>STONERDGE IC CARAMEL CARIBOU</t>
  </si>
  <si>
    <t>TURK HILL BUTTER PECAN</t>
  </si>
  <si>
    <t>STONERDGE IC CARAMEL CHSECKE</t>
  </si>
  <si>
    <t>TURK HILL CC CKY DGH LIGHT</t>
  </si>
  <si>
    <t>STONERDGE IC CARML WFL CONE</t>
  </si>
  <si>
    <t>TURK HILL CHOC CHP CKIE DGH</t>
  </si>
  <si>
    <t>TURK HILL CHOC MINT CHIP</t>
  </si>
  <si>
    <t>TURK HILL RUM RAISIN</t>
  </si>
  <si>
    <t>TURK HILL CHOC MINT MOOSE TR</t>
  </si>
  <si>
    <t>TURK HILL S/O EGG NOG</t>
  </si>
  <si>
    <t>TURK HILL CHOC NUT MOOSE TR</t>
  </si>
  <si>
    <t>TURK HILL SKINNY MINTY</t>
  </si>
  <si>
    <t>TURK HILL CHOC NUTTY MOOSE</t>
  </si>
  <si>
    <t>TURK HILL STRAWBERRIES&amp;CREAM</t>
  </si>
  <si>
    <t>TURK HILL CHOCOLAT MARSHMLLW</t>
  </si>
  <si>
    <t>TURK HILL STUFF'D PP PARADIS</t>
  </si>
  <si>
    <t>TURK HILL CHOCOLATE</t>
  </si>
  <si>
    <t>TURK HILL TIN ROOF SUNDAE</t>
  </si>
  <si>
    <t>TURK HILL COOKIES &amp; CREAM</t>
  </si>
  <si>
    <t>TURK HILL VANILLA</t>
  </si>
  <si>
    <t>TURK HILL COOKIES 'N CREAM</t>
  </si>
  <si>
    <t>TURK HILL VANILLA &amp;CHOCOLATE</t>
  </si>
  <si>
    <t>TURK HILL DD COCONUTZ</t>
  </si>
  <si>
    <t>TURK HILL VANILLA BEAN</t>
  </si>
  <si>
    <t>TURK HILL DD CRML CONE CHAOS</t>
  </si>
  <si>
    <t>TURK HILL VEN-PEACH W/GR TEA</t>
  </si>
  <si>
    <t>TURK HILL DD MOVIE NIGHT</t>
  </si>
  <si>
    <t>TURK HILL VENICE POM BLUEBRY</t>
  </si>
  <si>
    <t>TURK HILL DD PB EXPLOSION</t>
  </si>
  <si>
    <t>TURKEY HL PREM VAN &amp; CHOC</t>
  </si>
  <si>
    <t>TURK HILL DUETTO RASPBERRY</t>
  </si>
  <si>
    <t>TURKEY HL PREM VANILLA BEAN</t>
  </si>
  <si>
    <t>TURK HILL DUETTO ROOT BEER</t>
  </si>
  <si>
    <t>TURKEY HL VENICE RASPBERRY</t>
  </si>
  <si>
    <t>TURK HILL DUETTO ROOTBEER</t>
  </si>
  <si>
    <t>CATEGORY :       9680031 ICE CREAM/HALF GALLON</t>
  </si>
  <si>
    <t>TURK HILL DUETTO STRAW BANAN</t>
  </si>
  <si>
    <t>TURK HILL EXT COOKIES N CRM</t>
  </si>
  <si>
    <t>BEN&amp;JERRY CHERRY GARCIA LF</t>
  </si>
  <si>
    <t>TURK HILL FEATURE FLAVOR</t>
  </si>
  <si>
    <t>BREYERS DBLCHRN NSA VANLLA</t>
  </si>
  <si>
    <t>TURK HILL FF NSA VAN BEAN</t>
  </si>
  <si>
    <t>HANOVER CHICKEN NOODL SOUP</t>
  </si>
  <si>
    <t>TURK HILL FRENCH VANILLA</t>
  </si>
  <si>
    <t>HANOVER DIET SOUP</t>
  </si>
  <si>
    <t>TURK HILL FUDGE RIPPLE</t>
  </si>
  <si>
    <t>HANOVER MRYLND CRB SP MIX</t>
  </si>
  <si>
    <t>TURK HILL FY BANANA SPLIT</t>
  </si>
  <si>
    <t>HANOVER SOUP BSCS VEG SOUP</t>
  </si>
  <si>
    <t>TURK HILL LEMON DUETTO</t>
  </si>
  <si>
    <t>KEMPS BLUE N CRM YOG</t>
  </si>
  <si>
    <t>TURK HILL LIGHT BANANA SPLIT</t>
  </si>
  <si>
    <t>KEMPS COOKIESNCREAM</t>
  </si>
  <si>
    <t>TURK HILL LT STRWBRY CHEESEC</t>
  </si>
  <si>
    <t>KEMPS FF VAN YOG</t>
  </si>
  <si>
    <t>TURK HILL LT VAINLLA IC</t>
  </si>
  <si>
    <t>KEMPS WILD BERRY GRANOLA</t>
  </si>
  <si>
    <t>TURK HILL MANGO DUETTO</t>
  </si>
  <si>
    <t>TURK HILL NF MINT CK CRM</t>
  </si>
  <si>
    <t>TURK HILL MOOSE TRACKS</t>
  </si>
  <si>
    <t>TURK HILL NF NEOPLTIN YGT</t>
  </si>
  <si>
    <t>TURK HILL NEOPOLITAN</t>
  </si>
  <si>
    <t>TURK HILL ORG SWRL FF FRZ Y</t>
  </si>
  <si>
    <t>TURK HILL PEANUT BUTTER CUP</t>
  </si>
  <si>
    <t>TURK HILL YRGT LIM ED #1</t>
  </si>
  <si>
    <t>TURK HILL PHIL STY NEOPLTN</t>
  </si>
  <si>
    <t>CATEGORY :       9680047 SHERBERT</t>
  </si>
  <si>
    <t>TURK HILL PHILA STY COFFEE</t>
  </si>
  <si>
    <t>TURK HILL PHILA STY VAN BEAN</t>
  </si>
  <si>
    <t>KEMPS ORANGE SHERBET</t>
  </si>
  <si>
    <t>TURK HILL PHY STY NUTTY NEAP</t>
  </si>
  <si>
    <t>TURK HILL POM LEMONADE</t>
  </si>
  <si>
    <t>KEMPS PINEAPPLE SHERBET</t>
  </si>
  <si>
    <t>TURK HILL PREM BANANA SPLIT</t>
  </si>
  <si>
    <t>KEMPS RAINBOW SHERBET</t>
  </si>
  <si>
    <t>TURK HILL PREM PARTY CAKE</t>
  </si>
  <si>
    <t>KEMPS RASP SHERBET</t>
  </si>
  <si>
    <t>TURK HILL ROCKY ROAD</t>
  </si>
  <si>
    <t>KEMPS RNBW SHERBET</t>
  </si>
  <si>
    <t>TURK HILL RSPRRY CHOC CHK</t>
  </si>
  <si>
    <t>KEMPS SHBET WILD STRWBRY</t>
  </si>
  <si>
    <t>CATEGORY :       9690000 ICE CREAM NOVELTIES</t>
  </si>
  <si>
    <t>SHOP VALU SHERBET RAINBOW</t>
  </si>
  <si>
    <t>19.8 FZ</t>
  </si>
  <si>
    <t>FUDGSICLE NSA FUDGSICLE</t>
  </si>
  <si>
    <t>GOOD HMR CHOC STRAWBERRY</t>
  </si>
  <si>
    <t>SHOPVALUE SHERBET ORANGE</t>
  </si>
  <si>
    <t>GOOD HUMR CHOC ECLAIR BR 6/3</t>
  </si>
  <si>
    <t>STONERDGE SHERBET ORANGE</t>
  </si>
  <si>
    <t>GOOD HUMR CKIES N CRM 6/3</t>
  </si>
  <si>
    <t>STONERDGE SHERBET RAINBOW</t>
  </si>
  <si>
    <t>GOOD HUMR S/F CREAMSICL ASST</t>
  </si>
  <si>
    <t>STONERDGE SHERBET RASPBERRY</t>
  </si>
  <si>
    <t>GOOD HUMR STRWBRY SHRTCK 6CT</t>
  </si>
  <si>
    <t>STONERIDG SHERBET MNGO MELN</t>
  </si>
  <si>
    <t>GOOD HUMR TSTD ALMND BR 6/3</t>
  </si>
  <si>
    <t>STONERIDG SHERBET ORANGE</t>
  </si>
  <si>
    <t>GOOD HUMR VAN CHOC SNK POP</t>
  </si>
  <si>
    <t>13.44 O</t>
  </si>
  <si>
    <t>HLTHY CHC FUDGE BARS</t>
  </si>
  <si>
    <t>16.50 F</t>
  </si>
  <si>
    <t>J &amp; J MANGO BAR</t>
  </si>
  <si>
    <t>ABSO FREE DBL SWIRL SUND B</t>
  </si>
  <si>
    <t>J &amp; J WH FRT STRWBRY BRS</t>
  </si>
  <si>
    <t>J &amp; J WHLFRT LIME BAR 6C</t>
  </si>
  <si>
    <t>BEN&amp;JERRY CHOC CHIP COOK DGH</t>
  </si>
  <si>
    <t>JOLLY SAN TAS ICE CREAM SLIC</t>
  </si>
  <si>
    <t>KLONDIKE 100CL VN/CH SW 6CT</t>
  </si>
  <si>
    <t>39 FZ</t>
  </si>
  <si>
    <t>BLU BUNNY 12PK NEAP IC SNDW</t>
  </si>
  <si>
    <t>25.38 F</t>
  </si>
  <si>
    <t>KLONDIKE BIGBR SNDWH 6/4.23</t>
  </si>
  <si>
    <t>BLU BUNNY 12PK SF KRNCH LITE</t>
  </si>
  <si>
    <t>KLONDIKE DRK CHOC BAR 6/4.5</t>
  </si>
  <si>
    <t>BLU BUNNY 12PK VAN IC SNDWCH</t>
  </si>
  <si>
    <t>KLONDIKE FATF/NSA FUDGE BAR</t>
  </si>
  <si>
    <t>BLU BUNNY 6 PK SW FRDM TURTL</t>
  </si>
  <si>
    <t>KLONDIKE HEATH BAR 6/4.5OZ</t>
  </si>
  <si>
    <t>34.4 FZ</t>
  </si>
  <si>
    <t>BLU BUNNY CLASSIC SUND CONES</t>
  </si>
  <si>
    <t>KLONDIKE KRISPY BAR 6CT</t>
  </si>
  <si>
    <t>25.8 FZ</t>
  </si>
  <si>
    <t>BLU BUNNY SF VAN SUNDE CONE</t>
  </si>
  <si>
    <t>KLONDIKE NEAPOLITAN 6/4.5OZ</t>
  </si>
  <si>
    <t>BREYERS CARB SMART ALM BAR</t>
  </si>
  <si>
    <t>KLONDIKE OREO COOKIE &amp; CRM</t>
  </si>
  <si>
    <t>BREYERS CARB SMART FDG BAR</t>
  </si>
  <si>
    <t>KLONDIKE ORIGINAL BAR 6CT</t>
  </si>
  <si>
    <t>BREYERS CARB SMRT IC CR BR</t>
  </si>
  <si>
    <t>KLONDIKE REESE PEANUT BTR</t>
  </si>
  <si>
    <t>BREYERS LIGHT VAN BAR 6CT</t>
  </si>
  <si>
    <t>KLONDIKE SAB 100CAL VAR 8CT</t>
  </si>
  <si>
    <t>BREYERS LT VAN ALM BAR 6CT</t>
  </si>
  <si>
    <t>KLONDIKE SLMBR 100CALVANSAN</t>
  </si>
  <si>
    <t>BREYERS MRS FIELDS CKI 5CT</t>
  </si>
  <si>
    <t>22.5 FZ</t>
  </si>
  <si>
    <t>KLONDIKE SLMBR NSA VAN SNDW</t>
  </si>
  <si>
    <t>BREYERS OREO IC SANDWICH</t>
  </si>
  <si>
    <t>KLONDIKE VAN BAR NSA RF 5/5</t>
  </si>
  <si>
    <t>BREYERS VRTY CLB PK 30/3.2</t>
  </si>
  <si>
    <t>LINDY'S CHERRY ITAL ICE 6P</t>
  </si>
  <si>
    <t>CHILLY BE ARS ICE CREAM SAND</t>
  </si>
  <si>
    <t>LINDY'S LEMON ITALIAN ICE</t>
  </si>
  <si>
    <t>DOVE ALMOND CHOC BAR</t>
  </si>
  <si>
    <t>LINDY'S ORANGE ITALIAN ICE</t>
  </si>
  <si>
    <t>DOVE BAR VAN/CHOC 4/3</t>
  </si>
  <si>
    <t>LINDY'S STRAW/WTRML ITLICE</t>
  </si>
  <si>
    <t>DOVE BAR VAN/DK CHOC</t>
  </si>
  <si>
    <t>LUIGI ITAL CHRY ICE 6/6</t>
  </si>
  <si>
    <t>10.5 FZ</t>
  </si>
  <si>
    <t>DOVE MINI DARK CHOC</t>
  </si>
  <si>
    <t>LUIGI ITAL ICE VAR 6/6K</t>
  </si>
  <si>
    <t>LUIGI ITAL LEMON ICE 6/6</t>
  </si>
  <si>
    <t>DOVE MINI MILK CHC 12PK</t>
  </si>
  <si>
    <t>LUIGI MANGO-PINA COLADA</t>
  </si>
  <si>
    <t>DOVE MINI MILK CHOC</t>
  </si>
  <si>
    <t>M&amp;M MARS ICE CREAM TREATS</t>
  </si>
  <si>
    <t>FROSTY SN OWMEN ICE CREM SLI</t>
  </si>
  <si>
    <t>18.6 FZ</t>
  </si>
  <si>
    <t>M&amp;M MARS ICE CRM SNDWCH 6PK</t>
  </si>
  <si>
    <t>29.7 FZ</t>
  </si>
  <si>
    <t>FUDGESICL POP TRPL CHOC 18CT</t>
  </si>
  <si>
    <t>M&amp;M MARS M&amp;M I.C. CONE 6PK</t>
  </si>
  <si>
    <t>FUDGSICLE FUDGE POP 12/1.65</t>
  </si>
  <si>
    <t>M&amp;M MARS SNKR MINI MIX BARS</t>
  </si>
  <si>
    <t>M&amp;M MARS SNKRS IC CRM SNKBR</t>
  </si>
  <si>
    <t>RICHFOOD FUDGE BAR 12PK</t>
  </si>
  <si>
    <t>MIN MAID JCEE ORNG CHRY GRP</t>
  </si>
  <si>
    <t>RICHFOOD ICE CRM BAR 12PK</t>
  </si>
  <si>
    <t>MIN MAID LEM/RASP TUBES</t>
  </si>
  <si>
    <t>RICHFOOD ICE CRM SAND 12PK</t>
  </si>
  <si>
    <t>MIN MAID SOFT FRZ LIMEADE</t>
  </si>
  <si>
    <t>RICHFOOD ICE CRM SAND 6PK</t>
  </si>
  <si>
    <t>35 FZ</t>
  </si>
  <si>
    <t>PET BUTTER PCN SANDWCH</t>
  </si>
  <si>
    <t>RICHFOOD KRUNCH BAR 12PK</t>
  </si>
  <si>
    <t>PET BUTTER PECAN CONES</t>
  </si>
  <si>
    <t>RICHFOOD ORANGE CRM BAR 12P</t>
  </si>
  <si>
    <t>PET COOKIES&amp;CREAM CONE</t>
  </si>
  <si>
    <t>RICHFOOD SGR FREE POPS 12PK</t>
  </si>
  <si>
    <t>PET IC BROWN MULE</t>
  </si>
  <si>
    <t>RICHFOOD SUNDAE CONES 6PK</t>
  </si>
  <si>
    <t>PET IC FUDGE BAR</t>
  </si>
  <si>
    <t>RICHFOOD TROPICAL POPS 12PK</t>
  </si>
  <si>
    <t>PET IC IC CUPS SAUDAE</t>
  </si>
  <si>
    <t>RICHFOOD TWIN POP ASST 12PK</t>
  </si>
  <si>
    <t>PET IC IC SANDWICH NEAPOL</t>
  </si>
  <si>
    <t>RICHFOOD VAN/CHOC CP 12/3</t>
  </si>
  <si>
    <t>PET IC ICE CR CUPS VANIL</t>
  </si>
  <si>
    <t>SMART ONE MINT CHOC CHP SUND</t>
  </si>
  <si>
    <t>PET IC ICE CR SAND LT</t>
  </si>
  <si>
    <t>SNICKERS ICE CREAM BAR 6/2</t>
  </si>
  <si>
    <t>PET IC ICE CR SANDWICH</t>
  </si>
  <si>
    <t>22.2 FZ</t>
  </si>
  <si>
    <t>SNICKERS ICE CRM CONE 6/3.7</t>
  </si>
  <si>
    <t>SNICKERS SNICK BRWNIE SANDW</t>
  </si>
  <si>
    <t>PET IC ICE CREAM BAR</t>
  </si>
  <si>
    <t>STONERIDG IC CONE CHOC100CAL</t>
  </si>
  <si>
    <t>PET IC JRS BANANA BULLET</t>
  </si>
  <si>
    <t>STONERIDG IC CONE VAN 100CAL</t>
  </si>
  <si>
    <t>PET IC NUTTY ROYALE</t>
  </si>
  <si>
    <t>13.5 FZ</t>
  </si>
  <si>
    <t>STONERIDG IC NUGT VAN 100CAL</t>
  </si>
  <si>
    <t>PHILLY'S SW FUDGE STIX</t>
  </si>
  <si>
    <t>STONERIDG IC SNDW VAN 100CAL</t>
  </si>
  <si>
    <t>PHILLY'S SWIRL I 6/4 OZ</t>
  </si>
  <si>
    <t>STONERIDG POLAR BURST BANSPL</t>
  </si>
  <si>
    <t>PHILLY'S SWIRL STIX 12/1.75</t>
  </si>
  <si>
    <t>STONERIDG POLAR BURST CKYNCR</t>
  </si>
  <si>
    <t>26.4 FZ</t>
  </si>
  <si>
    <t>POPSICLE DORA THE EXPLORER</t>
  </si>
  <si>
    <t>STONERIDG POLAR BURST CTNCND</t>
  </si>
  <si>
    <t>38.4 FZ</t>
  </si>
  <si>
    <t>POPSICLE FCRKR SPRHRO24/1.6</t>
  </si>
  <si>
    <t>STONERIDG POLAR BURST MNTCHP</t>
  </si>
  <si>
    <t>19.2 FZ</t>
  </si>
  <si>
    <t>POPSICLE FRCRCKER 12/1.6 OZ</t>
  </si>
  <si>
    <t>STONERIDG POLAR BURST NEAPOL</t>
  </si>
  <si>
    <t>POPSICLE MIGHTY MAGIC MINIS</t>
  </si>
  <si>
    <t>W WATCHER CHOC MOUSE BR 12PK</t>
  </si>
  <si>
    <t>POPSICLE ORG/CHRY/GRP VARTY</t>
  </si>
  <si>
    <t>W WATCHER ENGTFE CRCHBR 12PK</t>
  </si>
  <si>
    <t>39.6 FZ</t>
  </si>
  <si>
    <t>POPSICLE RAINBOW 24/1.65</t>
  </si>
  <si>
    <t>W WATCHER GNT CHC FDG BR 6PK</t>
  </si>
  <si>
    <t>POPSICLE S/FREE FUDGESICLE</t>
  </si>
  <si>
    <t>W WATCHER GNT CKI&amp;CRM BR 6PK</t>
  </si>
  <si>
    <t>28.8 FZ</t>
  </si>
  <si>
    <t>POPSICLE SCRIBBLERS 24/1.2</t>
  </si>
  <si>
    <t>W WATCHER GNT VN/FDG CNE 4PK</t>
  </si>
  <si>
    <t>POPSICLE SF POP ORG/CHR/GRP</t>
  </si>
  <si>
    <t>W WATCHER VAN IC SANDWICH BR</t>
  </si>
  <si>
    <t>POPSICLE SF TROPICAL POP12P</t>
  </si>
  <si>
    <t>W WATCHER VANL RND SDWCH 6PK</t>
  </si>
  <si>
    <t>POPSICLE SGRFR HEALTHY BNCH</t>
  </si>
  <si>
    <t>WT WTCHRS CANDY BAR 6PK</t>
  </si>
  <si>
    <t>POPSICLE SGRFREE O/C/G 24CT</t>
  </si>
  <si>
    <t>WT WTCHRS CHOC CHP CKDGH CUP</t>
  </si>
  <si>
    <t>POPSICLE SLOW MELT ICE 18CT</t>
  </si>
  <si>
    <t>WT WTCHRS CHOC CKIE N CRM</t>
  </si>
  <si>
    <t>13.8 FZ</t>
  </si>
  <si>
    <t>POPSICLE TWISTER</t>
  </si>
  <si>
    <t>WT WTCHRS CHOC FDG BRWNI CUP</t>
  </si>
  <si>
    <t>POPSICLE VAR ORG/CHR/GRP24C</t>
  </si>
  <si>
    <t>WT WTCHRS CKIES &amp; CRM CUP</t>
  </si>
  <si>
    <t>RICHFOOD ALL AMER POP 12PK</t>
  </si>
  <si>
    <t>WT WTCHRS GIANT LATTE BR 6PK</t>
  </si>
  <si>
    <t>RICHFOOD ASST JR POP 12PK</t>
  </si>
  <si>
    <t>WT WTCHRS MINT CHOC CHIP CUP</t>
  </si>
  <si>
    <t>RICHFOOD ASST JR POP 24PK</t>
  </si>
  <si>
    <t>WT WTCHRS MINT IC SAND 6PK</t>
  </si>
  <si>
    <t>CATEGORY :       9696013 KNAUBS DESSERT CAKES</t>
  </si>
  <si>
    <t>WT WTCHRS PNT BTR DLIGHT CUP</t>
  </si>
  <si>
    <t>RICH'S LG YELLOW EGG CAKE</t>
  </si>
  <si>
    <t>WT WTCHRS TURTLE SUNDAE CUP</t>
  </si>
  <si>
    <t>RICH'S YELLOW HEART CAKE</t>
  </si>
  <si>
    <t>CASSCO BLOCK ICE</t>
  </si>
  <si>
    <t>SPECIALTY VAN JELLY CAKE ROL</t>
  </si>
  <si>
    <t>SUPR CHIL ICE CUBES</t>
  </si>
  <si>
    <t>SPECIALTY VAN/LMN/COCNT ROLL</t>
  </si>
  <si>
    <t>CATEGORY :       9696014 MISC DESSERT CAKES</t>
  </si>
  <si>
    <t>BCBUNDT STRAWBERRY CAKE</t>
  </si>
  <si>
    <t>BC BUNDT 16OZ LEMON CAKE</t>
  </si>
  <si>
    <t>DAWN 8IN BOSTON CRM CAKE</t>
  </si>
  <si>
    <t>BC BUNDT RED VELVET CAKE</t>
  </si>
  <si>
    <t>6.10 OZ</t>
  </si>
  <si>
    <t>DAWN FOOD HANNAH SNACK CAKE</t>
  </si>
  <si>
    <t>BC BUNDT SOCK IT TO ME CKE</t>
  </si>
  <si>
    <t>19.4 OZ</t>
  </si>
  <si>
    <t>DELS BANANA CAKE</t>
  </si>
  <si>
    <t>BCBUNDT 16OZPINE ORN C CAK</t>
  </si>
  <si>
    <t>DELS CARROT CAKE</t>
  </si>
  <si>
    <t>BEATRICE CAKE CHOC RUM</t>
  </si>
  <si>
    <t>GIVE N GO 2 BTE ORNGSICL CKE</t>
  </si>
  <si>
    <t>BEATRICE PINEAPL MACADMA BX</t>
  </si>
  <si>
    <t>GIVE N GO 2 BTE RED VLVT CKE</t>
  </si>
  <si>
    <t>BEST BRND 8INRD UNICD ITAL CK</t>
  </si>
  <si>
    <t>HILL&amp;VLLY S/F ANGEL FOOD CKE</t>
  </si>
  <si>
    <t>BEST BRND 8INRD UNICD RDVLVT</t>
  </si>
  <si>
    <t>MUFFINTWN 4PK COFFEE CAKE SN</t>
  </si>
  <si>
    <t>34.0 OZ</t>
  </si>
  <si>
    <t>BEST BRND CHOCO TORNADO CAKE</t>
  </si>
  <si>
    <t>OAKRUN MINI ANGEL FD CAKE</t>
  </si>
  <si>
    <t>DAWN 7IN BLK FOREST CAKE</t>
  </si>
  <si>
    <t>WT WTCHRS CARROT CAKE/CRMCHS</t>
  </si>
  <si>
    <t>DAWN 7IN CHOC PNT BTR CK</t>
  </si>
  <si>
    <t>WT WTCHRS LEMON SNACK CAKE</t>
  </si>
  <si>
    <t>DAWN 7IN COOKIES N CREME</t>
  </si>
  <si>
    <t>CATEGORY :       9696015 CHEESECAKES</t>
  </si>
  <si>
    <t>DAWN 7IN GERMAN CHC CAKE</t>
  </si>
  <si>
    <t>DAWN 7IN RED VELVET CAKE</t>
  </si>
  <si>
    <t>FTHRS TBL 2SLICE CHSCK VARTY</t>
  </si>
  <si>
    <t>DAWN 8IN PINAPL UPSIDOWN</t>
  </si>
  <si>
    <t>FTHRS TBL BROWNIE CHEESECAKE</t>
  </si>
  <si>
    <t>DAWN CELEBRATION LAYER</t>
  </si>
  <si>
    <t>FTHRS TBL HEART SHAPE CHSCAK</t>
  </si>
  <si>
    <t>DUTCH MD EASTER BUNNY CAKE</t>
  </si>
  <si>
    <t>FTHRS TBL ITAL MXDBERY CH CK</t>
  </si>
  <si>
    <t>FREED VAL GOLD CUPCAKES</t>
  </si>
  <si>
    <t>FTHRS TBL KEYLIME  CHESECKE</t>
  </si>
  <si>
    <t>GIVE N GO 2BITE CRAN ALM CAK</t>
  </si>
  <si>
    <t>FTHRS TBL NEW YORK CHEESECAK</t>
  </si>
  <si>
    <t>GIVE N GO 2BT BLK FOREST CKE</t>
  </si>
  <si>
    <t>FTHRS TBL NO SUGAR ADDED</t>
  </si>
  <si>
    <t>GIVE N GO 2BT BOSTON CRM CKE</t>
  </si>
  <si>
    <t>FTHRS TBL PLAIN CHEESECAKE</t>
  </si>
  <si>
    <t>GIVE N GO 2BT CRANPECAN CAKE</t>
  </si>
  <si>
    <t>FTHRS TBL STRAWBERRY CHEESCK</t>
  </si>
  <si>
    <t>GIVE N GO ALMOND CROSTATA</t>
  </si>
  <si>
    <t>FTHRS TBL STRBRY CHESECKE</t>
  </si>
  <si>
    <t>GIVE N GO APPLE CRAN CROSTAT</t>
  </si>
  <si>
    <t>FTHRS TBL VARIETY SAMPLER</t>
  </si>
  <si>
    <t>GIVE N GO CRAN PECAN CROSTAT</t>
  </si>
  <si>
    <t>FTHRS TBL VRTY SMPLR CHSECKE</t>
  </si>
  <si>
    <t>LABREES 8INSL CHOC ST PAT</t>
  </si>
  <si>
    <t>LAWLERS 16 CUT NY CHEESECK</t>
  </si>
  <si>
    <t>LAWLERS 9IN RASPBRY ERUPTN</t>
  </si>
  <si>
    <t>LAWLERS 16CTCRMLFDGTRTCHCK</t>
  </si>
  <si>
    <t>LOFTHOUSE ASSORTED EGG CAKES</t>
  </si>
  <si>
    <t>LAWLERS 6IN TURTLE CHSCKE</t>
  </si>
  <si>
    <t>OAKRUN SPANSH BAR CK/DOME</t>
  </si>
  <si>
    <t>LAWLERS 6IN VANILLA BN CHSC</t>
  </si>
  <si>
    <t>RICH'S 7IN CHOC MOUSSE CAK</t>
  </si>
  <si>
    <t>RICH'S 7IN TIRAMISU UNCUT</t>
  </si>
  <si>
    <t>RICH'S 7INOREO MOUSSE CAKE</t>
  </si>
  <si>
    <t>CATEGORY :       9696031 LOAF AND POUND CAKES</t>
  </si>
  <si>
    <t>BC BUNDT 1/2 RING 7UP</t>
  </si>
  <si>
    <t>HILL&amp;VLLY NSA BANWLNT CRM CK</t>
  </si>
  <si>
    <t>BC BUNDT 1/2 RING CHOC</t>
  </si>
  <si>
    <t>HILL&amp;VLLY NSA BLUBRY SLCD CK</t>
  </si>
  <si>
    <t>BC BUNDT 1/2 RING LEMON</t>
  </si>
  <si>
    <t>HILL&amp;VLLY NSA LMN/CRM SLD CK</t>
  </si>
  <si>
    <t>BC BUNDT 1/2 RING SOCK IT</t>
  </si>
  <si>
    <t>HILL&amp;VLLY SF POUND CAKE</t>
  </si>
  <si>
    <t>BC BUNDT 1/2 RING STRAWBRY</t>
  </si>
  <si>
    <t>LABREES 8IN SL GOLD CAKE</t>
  </si>
  <si>
    <t>BC BUNDT 1/2 RING VANILLA</t>
  </si>
  <si>
    <t>PENNANT RF MARBLE LB CAKE</t>
  </si>
  <si>
    <t>BC BUNDT 7UP POUND CAKE SLC</t>
  </si>
  <si>
    <t>RICH'S 10IN YELLOW LYR CKE</t>
  </si>
  <si>
    <t>BC BUNDT CHRY VAN DR PEPPER</t>
  </si>
  <si>
    <t>RICH'S 8IN YELLOW CAKE</t>
  </si>
  <si>
    <t>BC BUNDT HAWAIIAN PUNCH</t>
  </si>
  <si>
    <t>RICH'S R&amp;M 8IN YELLOW LAYR</t>
  </si>
  <si>
    <t>BC BUNDT NSA 1/2 RING ASST</t>
  </si>
  <si>
    <t>RICH'S ZTF 1/2 SHT YELLOW</t>
  </si>
  <si>
    <t>BC BUNDT ORNG CRUSH</t>
  </si>
  <si>
    <t>CATEGORY :       9696042 MISC T&amp;S MUFFINS</t>
  </si>
  <si>
    <t>BC BUNDT ORNG CRUSH PND CKE</t>
  </si>
  <si>
    <t>BC BUNDT STRWB CRUSH PND CK</t>
  </si>
  <si>
    <t>BEST BRND AST APCN/BLB/BANNT</t>
  </si>
  <si>
    <t>BEST BRND 1/2SH UNICD YEL CK</t>
  </si>
  <si>
    <t>BEST BRND BLUEBERRYMINIMFFN</t>
  </si>
  <si>
    <t>BEST BRND 8INRD INICD YEL LYR</t>
  </si>
  <si>
    <t>BEST BRND CARROT MUFFIN</t>
  </si>
  <si>
    <t>BEST BRND BANANANUTLFCAKESLC</t>
  </si>
  <si>
    <t>BEST BRND PDM BANANA NUT</t>
  </si>
  <si>
    <t>BEST BRND BLUEBRYLOAFCAKESLC</t>
  </si>
  <si>
    <t>BEST BRND PDM BLUEBERRY</t>
  </si>
  <si>
    <t>BEST BRND BTTER LOAF CAKESLC</t>
  </si>
  <si>
    <t>BEST BRND PDM LEMON POPPY</t>
  </si>
  <si>
    <t>BEST BRND CINNAMONSWRLCKESLC</t>
  </si>
  <si>
    <t>BEST BRND PUMPKIN MUFFIN</t>
  </si>
  <si>
    <t>BEST BRND LEMON LOAFCAKE SLC</t>
  </si>
  <si>
    <t>FREED BLUEBERRY MINI MF</t>
  </si>
  <si>
    <t>BEST BRND MRBLELOAFCAKE SLC</t>
  </si>
  <si>
    <t>MUFFINTWN BLUBRY MUFFINS 4PK</t>
  </si>
  <si>
    <t>DAWN 1/2RING OW BTR POU</t>
  </si>
  <si>
    <t>MUFFINTWN CORN BREAD</t>
  </si>
  <si>
    <t>DAWN 9IN GLAZED LEMON PD</t>
  </si>
  <si>
    <t>MUFFINTWN L/F BLUEBERRY 4 CT</t>
  </si>
  <si>
    <t>DAWN 9IN RING DUTCH APPL</t>
  </si>
  <si>
    <t>UNC WALLY FF BLUBRY MUFFIN</t>
  </si>
  <si>
    <t>DAWN 9IN RING MISS PECAN</t>
  </si>
  <si>
    <t>UNC WALLY NS BLUEBRY MUFFIN</t>
  </si>
  <si>
    <t>DAWN 9IN RING OLD FASHIO</t>
  </si>
  <si>
    <t>WEIGHTWTC WW BAN NUT MUFFIN</t>
  </si>
  <si>
    <t>DAWN 9IN RING RASPBERRY</t>
  </si>
  <si>
    <t>WT WTCHRS BLUEBERRY MUFFINS</t>
  </si>
  <si>
    <t>DAWN HAN MONTANA CAKE</t>
  </si>
  <si>
    <t>CATEGORY :       9696052 MISC T&amp;S PIES</t>
  </si>
  <si>
    <t>DAWN LEMON POUND CAKE</t>
  </si>
  <si>
    <t>DAWN RING CAKE BUTTER</t>
  </si>
  <si>
    <t>BONERTS 8IN NSA PUMPKIN</t>
  </si>
  <si>
    <t>DAWN RING CAKE CHOCOLAT</t>
  </si>
  <si>
    <t>CUTIE PIE APPLE SNACK PIE</t>
  </si>
  <si>
    <t>DAWN RING CAKE LEMON</t>
  </si>
  <si>
    <t>CUTIE PIE BERRY SNACK PIE</t>
  </si>
  <si>
    <t>DAWN RING CAKE SOCK IT</t>
  </si>
  <si>
    <t>CUTIE PIE CHERRY SNACK PIE</t>
  </si>
  <si>
    <t>DAWN SOUR CREAM LB CAKE</t>
  </si>
  <si>
    <t>CUTIE PIE CHOC SNACK PIE</t>
  </si>
  <si>
    <t>DAWN UNICED 8IN BOSTON</t>
  </si>
  <si>
    <t>CUTIE PIE LEMON SNACK PIE</t>
  </si>
  <si>
    <t>DAWN VANILLA POUND CAKE</t>
  </si>
  <si>
    <t>FLOWERS CHOCOLATE PIES</t>
  </si>
  <si>
    <t>FRESHLEYS CREME CAKE SNACK</t>
  </si>
  <si>
    <t>FLOWERS FRUIT APPLE PIE</t>
  </si>
  <si>
    <t>22.56 O</t>
  </si>
  <si>
    <t>FRESHLEYS RASP CRM CAKE SNK</t>
  </si>
  <si>
    <t>GARDNER 9IN APPLE PIE</t>
  </si>
  <si>
    <t>HILL&amp;VLLY NSA ASST CRM CAKES</t>
  </si>
  <si>
    <t>GARDNER 9IN APPLE WALNT PIE</t>
  </si>
  <si>
    <t>GARDNER 9IN PEACH PRALN PIE</t>
  </si>
  <si>
    <t>SPECIALTY 8INAPL PIE BX #8503</t>
  </si>
  <si>
    <t>GARDNER 9IN UB BLBERRY PIE</t>
  </si>
  <si>
    <t>SPECIALTY 8INAPPL CRMB PIE BK</t>
  </si>
  <si>
    <t>GARDNER 9IN UB PEACH PIE</t>
  </si>
  <si>
    <t>SPECIALTY 8INCOC CST BX #8608</t>
  </si>
  <si>
    <t>GARDNER 9INCNTRYCINNAPLPIE</t>
  </si>
  <si>
    <t>SPECIALTY 8INCOCONT CSTRD BKD</t>
  </si>
  <si>
    <t>GARDNER 9INUB VRY BRY PIE</t>
  </si>
  <si>
    <t>SPECIALTY 8INEGG CUST BX#8503</t>
  </si>
  <si>
    <t>GARDNER SWT POT CRNCH PIE</t>
  </si>
  <si>
    <t>SPECIALTY 8INEGG CUSTARD BAKD</t>
  </si>
  <si>
    <t>HILL&amp;VLLY 8INCHC CRM PIE SF</t>
  </si>
  <si>
    <t>SPECIALTY 8INNSA APPLE PIE BK</t>
  </si>
  <si>
    <t>HILL&amp;VLLY ASST SF MERINGUE</t>
  </si>
  <si>
    <t>SPECIALTY 8INPCN T&amp;S BOX#8514</t>
  </si>
  <si>
    <t>HILL&amp;VLLY NSA 1/2 APPLE PIES</t>
  </si>
  <si>
    <t>SPECIALTY 8INPEACH PIEBX#8513</t>
  </si>
  <si>
    <t>HILL&amp;VLLY SF 8IN LMN MERNG</t>
  </si>
  <si>
    <t>SPECIALTY 8INPMPKN NSABX#8814</t>
  </si>
  <si>
    <t>RICH'S HSTYL10IN PB PMP PI</t>
  </si>
  <si>
    <t>SPECIALTY 8INPMPKN T&amp;SPI#8616</t>
  </si>
  <si>
    <t>65 OZ</t>
  </si>
  <si>
    <t>ROCKY MNT 12IN APPLIE PIE</t>
  </si>
  <si>
    <t>SPECIALTY 8INSWPT T&amp;S PI#8620</t>
  </si>
  <si>
    <t>ROCKY MNT 8INCHOCMERINGPIESS</t>
  </si>
  <si>
    <t>SPECIALTY NSA PEACH PIES</t>
  </si>
  <si>
    <t>ROCKY MNT 8INLEMMERINGUESS</t>
  </si>
  <si>
    <t>SPECIALTY PMPKN PI SHP HALBX</t>
  </si>
  <si>
    <t>SCHWANS 10IN APPLE RTB PIE</t>
  </si>
  <si>
    <t>CATEGORY :       9696060 MISC T&amp;S DONUTS</t>
  </si>
  <si>
    <t>SCHWANS 10IN PUMKIN RTB PIE</t>
  </si>
  <si>
    <t>SCHWANS 8IN UB APPLE PIE</t>
  </si>
  <si>
    <t>GRANNY BUTTERMILK BAR</t>
  </si>
  <si>
    <t>SCHWANS 8IN UB PEACH PIE</t>
  </si>
  <si>
    <t>GRANNY CINN DONUT HOLES</t>
  </si>
  <si>
    <t>SCHWANS 8INUB COCONUT CSTRD</t>
  </si>
  <si>
    <t>GRANNY DONUT HLS PWD SUGR</t>
  </si>
  <si>
    <t>SCHWANS 8INUB EGG CSTRD PIE</t>
  </si>
  <si>
    <t>9 PK</t>
  </si>
  <si>
    <t>GRANNY FASH DONUT HOLES</t>
  </si>
  <si>
    <t>SMTHG SWT 10IN CHOC CREME PIE</t>
  </si>
  <si>
    <t>GRANNY FRENCH CRULLER</t>
  </si>
  <si>
    <t>SMTHG SWT 10INKEYLIME MRG PIE</t>
  </si>
  <si>
    <t>0.80 OZ</t>
  </si>
  <si>
    <t>GRANNY JMBO CINN DNTHOLES</t>
  </si>
  <si>
    <t>SMTHG SWT 10INLMON MRNGUE PIE</t>
  </si>
  <si>
    <t>GRANNY JMBO PLN DONT HOLE</t>
  </si>
  <si>
    <t>SPECIALTY 10IN APPLE PIE BK</t>
  </si>
  <si>
    <t>GRANNY JMBOPWDRDNTHOLES</t>
  </si>
  <si>
    <t>SPECIALTY 10IN PUMPKIN PIE BK</t>
  </si>
  <si>
    <t>GRANNY RAISED RINGS PREFR</t>
  </si>
  <si>
    <t>SPECIALTY 10IN SWT POT PIE BK</t>
  </si>
  <si>
    <t>MAPLE DNT PLAIN FASTNACHT</t>
  </si>
  <si>
    <t>SPECIALTY 10INAPLPI#9500 BNBX</t>
  </si>
  <si>
    <t>MAPLE DNT PWDERED FASTNACHT</t>
  </si>
  <si>
    <t>SPECIALTY 10INCOC CST BX#9512</t>
  </si>
  <si>
    <t xml:space="preserve">CATEGORY :       9696070 PET T&amp;S SWEET GOODS  </t>
  </si>
  <si>
    <t>SPECIALTY 10INSWPOT BOX #9507</t>
  </si>
  <si>
    <t>SPECIALTY 4IN APPLE PIE NSA</t>
  </si>
  <si>
    <t>#345 XMAS CHOC CUPCAKES</t>
  </si>
  <si>
    <t>SPECIALTY 4IN ECLAIR PIE</t>
  </si>
  <si>
    <t>BEST BRND CHOC UNICED CPCAK</t>
  </si>
  <si>
    <t>SPECIALTY 8IN APPLE PIE BAKED</t>
  </si>
  <si>
    <t>BEST BRND CUPCAKES WHITE LRG</t>
  </si>
  <si>
    <t>SPECIALTY 8IN NSA PMKN PIE BK</t>
  </si>
  <si>
    <t>BEST BRND YELL UNICED CPCKS</t>
  </si>
  <si>
    <t>SPECIALTY 8IN PEACH PIE UB</t>
  </si>
  <si>
    <t>C CIRCLE STBK MLTGR PZA CRS</t>
  </si>
  <si>
    <t>SPECIALTY 8IN PECAN PIE BK</t>
  </si>
  <si>
    <t>C CIRCLE STBK ORG PZZA CRST</t>
  </si>
  <si>
    <t>SPECIALTY 8IN PUMPKIN PIE BK</t>
  </si>
  <si>
    <t>FIERAFOOD CHEESEDANISHCRWN</t>
  </si>
  <si>
    <t>SPECIALTY 8IN SWEET POTATO BK</t>
  </si>
  <si>
    <t>FIERAFOOD STBRY CHS DNSH CRN</t>
  </si>
  <si>
    <t>SPECIALTY 8INAPL CRMB BX#8505</t>
  </si>
  <si>
    <t>FREED 7 UP CUP CAKES</t>
  </si>
  <si>
    <t>SPECIALTY 8INAPL NSA BOX#8810</t>
  </si>
  <si>
    <t>FREED CHC CPCK PK&amp;YL 6PK</t>
  </si>
  <si>
    <t>FREED CHOC RED&amp;WHT&amp;BLUE</t>
  </si>
  <si>
    <t>MUFFINTWN 12PK CRUMB COFF CK</t>
  </si>
  <si>
    <t>FREED DR PR CRY VAN CPCK</t>
  </si>
  <si>
    <t>OAKRUN APL STRP DNSH</t>
  </si>
  <si>
    <t>FREED GLD CPCK PK&amp;YL 6PK</t>
  </si>
  <si>
    <t>OAKRUN CHERRY DANISH RING</t>
  </si>
  <si>
    <t>FREED GOLD BLU&amp;WHT&amp;RED</t>
  </si>
  <si>
    <t>OAKRUN CHS STRIP DANISH</t>
  </si>
  <si>
    <t>FREED GRMT XL CHOC CUPCK</t>
  </si>
  <si>
    <t>OAKRUN RING DANISH PECAN</t>
  </si>
  <si>
    <t>FREED GRMT XL GLD CPCK</t>
  </si>
  <si>
    <t>OAKRUN RING DANISH RASPBR</t>
  </si>
  <si>
    <t>FREED HAWAIN PNCH CPCAKE</t>
  </si>
  <si>
    <t>OAKRUN RING DANISH WALNUT</t>
  </si>
  <si>
    <t>FREED ORNGE CRSH CUPCAKE</t>
  </si>
  <si>
    <t>OAKRUN RSPBRY STRP DNSH</t>
  </si>
  <si>
    <t>FREED PATRIOT MIN GLD CP</t>
  </si>
  <si>
    <t>16.75 O</t>
  </si>
  <si>
    <t>OAKRUN XTR CHSE COFF CAKE</t>
  </si>
  <si>
    <t>FREED PATRT MINI CHOC CC</t>
  </si>
  <si>
    <t>RICH'S FIGURE 8 DANISH</t>
  </si>
  <si>
    <t>FREED UNICED MINI GOLD</t>
  </si>
  <si>
    <t>1.15 OZ</t>
  </si>
  <si>
    <t>RICH'S ZTF CHOC CUPCAKE</t>
  </si>
  <si>
    <t>FREED VAL MINI CHOC CUPC</t>
  </si>
  <si>
    <t>RICH'S ZTF YELLOW CUPCAKE</t>
  </si>
  <si>
    <t>FREEDS MNICHC CP PK&amp;YL IC</t>
  </si>
  <si>
    <t xml:space="preserve">CATEGORY :       9696072 MISC T&amp;S SWEET GOODS  </t>
  </si>
  <si>
    <t>FREEDS MNIGLDCUP PK&amp;YL IC</t>
  </si>
  <si>
    <t>FRESHLEYS 6 CT HONEY BUNS</t>
  </si>
  <si>
    <t>BC BUNDT BSTN CRM PARFAIT</t>
  </si>
  <si>
    <t>FRESHLEYS 6 PK CUPCAKES</t>
  </si>
  <si>
    <t>BC BUNDT KEY LIME PARFAIT</t>
  </si>
  <si>
    <t>FRESHLEYS 6PK CREME FINGERS</t>
  </si>
  <si>
    <t>BC BUNDT MANGO PARFAIT</t>
  </si>
  <si>
    <t>FRESHLEYS 6PK RASPBRY FINGER</t>
  </si>
  <si>
    <t>BC BUNDT STRWBRY PARFAIT</t>
  </si>
  <si>
    <t>FRESHLEYS 6PK SNOBALLS</t>
  </si>
  <si>
    <t>BEATRICE APPLE CINN NUT BAR</t>
  </si>
  <si>
    <t>FRESHLEYS 91005 JMB HNY BUNS</t>
  </si>
  <si>
    <t>BREMNER PATRIOTIC BLUE FRS</t>
  </si>
  <si>
    <t>CNTRY HOM SGR COOKIE ON STIC</t>
  </si>
  <si>
    <t>FRESHLEYS CUPCAKES CHOCOLATE</t>
  </si>
  <si>
    <t>COLOR CKI BOX SPNG &amp;DRA CKIE</t>
  </si>
  <si>
    <t>FRESHLEYS GRND ICD HNY BUN</t>
  </si>
  <si>
    <t>COLOR CKI COUNTER DORA</t>
  </si>
  <si>
    <t>COLOR CKI DSNY POOH 24PK</t>
  </si>
  <si>
    <t>FRESHLEYS VAN CUPCAKE SNACK</t>
  </si>
  <si>
    <t>COLOR CKI DSNY PRNCS 24 CKIE</t>
  </si>
  <si>
    <t>GIVE GO 2BITE BERY VAN CUP</t>
  </si>
  <si>
    <t>COLOR CKI DSNYPRNCSCLBX CKIE</t>
  </si>
  <si>
    <t>GIVE GO MANGO VAN CUPCAK</t>
  </si>
  <si>
    <t>COLOR CKI HALLOWEEN HD CKI</t>
  </si>
  <si>
    <t>GIVE N GO 2 BT STRW FILD CKS</t>
  </si>
  <si>
    <t>COLOR CKI MICKEY CLUBHOUSE</t>
  </si>
  <si>
    <t>GIVE N GO 2BITE CHOC CUPCAKE</t>
  </si>
  <si>
    <t>COLOR CKI PIRATES OF CARRIBN</t>
  </si>
  <si>
    <t>GIVE N GO LEMON/RSP TART</t>
  </si>
  <si>
    <t>COLOR CKI SANTA/RUDOLPH</t>
  </si>
  <si>
    <t>GIVE N GO PECAN TARTS TRAY</t>
  </si>
  <si>
    <t>COLOR CKI SIMPN CHRM HD CKIE</t>
  </si>
  <si>
    <t>GIVE N GO PMPKIN TARTS W/ CR</t>
  </si>
  <si>
    <t>COLOR CKI SPGBOB ORN HD CKIE</t>
  </si>
  <si>
    <t>LABREES GLD CPCK PTRTC 6</t>
  </si>
  <si>
    <t>COLOR CKI SPONGE BOB CKIE</t>
  </si>
  <si>
    <t>LABREES MINI GLD THKSGV CP</t>
  </si>
  <si>
    <t>DAWN 1/4 CHOC-WHT DEC P</t>
  </si>
  <si>
    <t>LABREES MNI CHOC THNKS CUP</t>
  </si>
  <si>
    <t>DAWN 1/4 GLD WHIT DEC P</t>
  </si>
  <si>
    <t>MOTHERS KIPFEL APRICOT</t>
  </si>
  <si>
    <t>DAWN 1/4 GLDN/WHT W/DOM</t>
  </si>
  <si>
    <t>MOTHERS KIPFEL RASPBRY</t>
  </si>
  <si>
    <t>DAWN 1/4 GOLD WHT FOIL</t>
  </si>
  <si>
    <t>MOTHERS RUGALA CHOC W/DRIZ</t>
  </si>
  <si>
    <t>DAWN 1/4SHT CHC/WHT DEC</t>
  </si>
  <si>
    <t>MOTHERS RUGALA RASPBERRY</t>
  </si>
  <si>
    <t>DAWN 1/4ST S/FDEC GLDCK</t>
  </si>
  <si>
    <t>DAWN 1/8 CHC/WHT DEC CK</t>
  </si>
  <si>
    <t>HILL&amp;VLLY COOKIES NSA ASST'D</t>
  </si>
  <si>
    <t>DAWN 1/8 GLD/WHT BSE IC</t>
  </si>
  <si>
    <t>HILL&amp;VLLY OATMEAL COOKIES SF</t>
  </si>
  <si>
    <t>DAWN 1/8SHT GOLDW/ WHIT</t>
  </si>
  <si>
    <t>LABREES 8IN EASTER CHOC CAK</t>
  </si>
  <si>
    <t>DAWN 10IN BLK FORST CAKE</t>
  </si>
  <si>
    <t>LAWLERS 6IN CREME BRULEE CH</t>
  </si>
  <si>
    <t>DAWN 10INCKIS&amp;CREME CAKE</t>
  </si>
  <si>
    <t>LEONARD'S APRICOT DROP COKI</t>
  </si>
  <si>
    <t>DAWN 7IN GOLD WHITE DEC</t>
  </si>
  <si>
    <t>LEONARD'S AST NON PAREIL COK</t>
  </si>
  <si>
    <t>DAWN 7IN HANNAH WHITE CK</t>
  </si>
  <si>
    <t>LEONARD'S CHOC DIPD COOKIE</t>
  </si>
  <si>
    <t>DAWN 7IN ITALIAN RUM</t>
  </si>
  <si>
    <t>LEONARD'S CHOC DPD SAND COKI</t>
  </si>
  <si>
    <t>DAWN 7IN SF DEC WHT/NDWT</t>
  </si>
  <si>
    <t>LEONARD'S CHOC SANDWICH COOK</t>
  </si>
  <si>
    <t>DAWN CARS CAKE</t>
  </si>
  <si>
    <t>LEONARD'S COC DELITE COOKIE</t>
  </si>
  <si>
    <t>DAWN FOOD 7IN HANNAH GOLD CAK</t>
  </si>
  <si>
    <t>LEONARD'S DELUXE ASSORTMENT</t>
  </si>
  <si>
    <t>DAWN LEMON SUPREME CAKE</t>
  </si>
  <si>
    <t>LEONARD'S EUROPEAN ASSORTMNT</t>
  </si>
  <si>
    <t>DUTCH MD 1/4 SHT DEC EASTER</t>
  </si>
  <si>
    <t>LEONARD'S EVRYDAY PLTR CLR W</t>
  </si>
  <si>
    <t>DUTCH MD 1/4 SHT ST PAT CAK</t>
  </si>
  <si>
    <t>LEONARD'S FANCY ASSORTMENT</t>
  </si>
  <si>
    <t>DUTCH MD 8IN EASTER CAKE</t>
  </si>
  <si>
    <t>LEONARD'S FILBERT KISS COOKI</t>
  </si>
  <si>
    <t>DUTCH MD 8INSL EASTER DEC CK</t>
  </si>
  <si>
    <t>LEONARD'S ITALIAN ASSORTMENT</t>
  </si>
  <si>
    <t>DUTCH MD 8INSL PLST NWYR CKE</t>
  </si>
  <si>
    <t>LEONARD'S PECAN SWIRL COOKIE</t>
  </si>
  <si>
    <t>DUTCH MD 8INSLPLATIC ST P CK</t>
  </si>
  <si>
    <t>LEONARD'S RAIN SPRNKL COOKIE</t>
  </si>
  <si>
    <t>DUTCH MD ASSORTED BOUQUET</t>
  </si>
  <si>
    <t>LEONARD'S RASP ALMND SND COK</t>
  </si>
  <si>
    <t>DUTCH MD EASTER EGG CAKE CO</t>
  </si>
  <si>
    <t>LEONARD'S RED CHERRY COOKIE</t>
  </si>
  <si>
    <t>FIERAFOOD APL CIN BRDED STRD</t>
  </si>
  <si>
    <t>LEONARD'S S COOKIES</t>
  </si>
  <si>
    <t>FIERAFOOD BLK FRST BRDED STR</t>
  </si>
  <si>
    <t>LEONARD'S S/F CHOC CHIP CKI</t>
  </si>
  <si>
    <t>FRESHLEYS 12 PK SWISS ROLLS</t>
  </si>
  <si>
    <t>LEONARD'S S/F DBL CHOC CKI</t>
  </si>
  <si>
    <t>GIVE GO 2BITE GINGER SNAPS</t>
  </si>
  <si>
    <t>LEONARD'S S/F OATMEAL COOKIE</t>
  </si>
  <si>
    <t>GIVE GO 2BITE LEM SNP COOK</t>
  </si>
  <si>
    <t>LEONARD'S SES SEED COOKIE</t>
  </si>
  <si>
    <t>GIVE N GO 2 BITE VAL BRWNE</t>
  </si>
  <si>
    <t>LEONARD'S SUGAR HEART COOKIE</t>
  </si>
  <si>
    <t>GIVE N GO 2 BT BRW W/EGNGFR</t>
  </si>
  <si>
    <t>LEONARD'S TRI COLOR LYR COKI</t>
  </si>
  <si>
    <t>GIVE N GO 2BT MCRN CHOC TUB</t>
  </si>
  <si>
    <t>LOFTHOUSE BLUE ICED COOKIE</t>
  </si>
  <si>
    <t>GIVE N GO 2BT XMAS BRWN TRAY</t>
  </si>
  <si>
    <t>LOFTHOUSE CANDY COOKIE</t>
  </si>
  <si>
    <t>GIVE N GO BROWNIE DISPLAY</t>
  </si>
  <si>
    <t>LOFTHOUSE GINGERSNAPS 12CT</t>
  </si>
  <si>
    <t>GIVE N GO BROWNIE SNACK PACK</t>
  </si>
  <si>
    <t>LOFTHOUSE MINI SNICKER DOODL</t>
  </si>
  <si>
    <t>GIVE N GO BROWNIE TUBS</t>
  </si>
  <si>
    <t>LOFTHOUSE PINK FROSTED SUGAR</t>
  </si>
  <si>
    <t>GIVE N GO CHOC FSTED BRWNIE</t>
  </si>
  <si>
    <t>LOFTHOUSE SNICKRDOODLE COOKI</t>
  </si>
  <si>
    <t>GIVE N GO COC MAC W/CHC BTM</t>
  </si>
  <si>
    <t>LOFTHOUSE STAR/DAVID SGR CKY</t>
  </si>
  <si>
    <t>GIVE N GO DESSERT TRAY</t>
  </si>
  <si>
    <t>LOFTHOUSE SUGAR COOKIE TUB</t>
  </si>
  <si>
    <t>GIVE N GO VAL 2BTBRN TRY PNK</t>
  </si>
  <si>
    <t>LOFTHOUSE WHT/CHOC MACADAMIA</t>
  </si>
  <si>
    <t>GIVE N GO VAL 2BTBRN TRY CHC</t>
  </si>
  <si>
    <t>LOFTHOUSE YELLOW FRST COOKIE</t>
  </si>
  <si>
    <t>GIVE N GO VAL BRWNIE TRAY</t>
  </si>
  <si>
    <t>MERLINO 12CT HPPY FACE CKI</t>
  </si>
  <si>
    <t>GONNELLA HOT CROSS BUNS</t>
  </si>
  <si>
    <t>MERLINO CHRSTMS ORNMNT CKI</t>
  </si>
  <si>
    <t>CATEGORY :       9696100 T &amp; SELL BREAD/ROLLS</t>
  </si>
  <si>
    <t>MERLINO SPRNG FLWR COOKIE</t>
  </si>
  <si>
    <t>ALWYS BGL BLUEBERRY BAGELS</t>
  </si>
  <si>
    <t>MERLINO SUMR TRPCLFSH CKIE</t>
  </si>
  <si>
    <t>ALWYS BGL CINN CRNCH BAGEL</t>
  </si>
  <si>
    <t>MOTHERS APRICOT RUGALA</t>
  </si>
  <si>
    <t>ALWYS BGL CINNAMON RSN BAGEL</t>
  </si>
  <si>
    <t>MOTHERS CINNAMON NUT RUGAL</t>
  </si>
  <si>
    <t>ALWYS BGL EGG BAGELS</t>
  </si>
  <si>
    <t>MOTHERS RASP/RAISIN RUGALA</t>
  </si>
  <si>
    <t>ALWYS BGL EVERYTHING BAGEL</t>
  </si>
  <si>
    <t>PENNANT SUGAR COOKIE</t>
  </si>
  <si>
    <t>ALWYS BGL GARLIC BAGELS</t>
  </si>
  <si>
    <t>REKO ANISE PIZZELLE</t>
  </si>
  <si>
    <t>ALWYS BGL HONEYWHEAT BGL</t>
  </si>
  <si>
    <t>REKO VANILLA PIZZELLE</t>
  </si>
  <si>
    <t>ALWYS BGL JALEPENO BGL</t>
  </si>
  <si>
    <t>RICH'S 1/2SHT BRWNI W/NUT</t>
  </si>
  <si>
    <t>ALWYS BGL MARBLE BAGEL</t>
  </si>
  <si>
    <t>RICH'S 1/4SH PRSOAK CAKE</t>
  </si>
  <si>
    <t>ALWYS BGL ONION BAGELS</t>
  </si>
  <si>
    <t>RICH'S 8IN RED VELVET LAYR</t>
  </si>
  <si>
    <t>ALWYS BGL PLAIN BAGELS</t>
  </si>
  <si>
    <t>RICH'S R&amp;M 1/2 SHT YELLOW</t>
  </si>
  <si>
    <t>ALWYS BGL POPPY BAGEL</t>
  </si>
  <si>
    <t>RICH'S RANGER COOKIE DGH</t>
  </si>
  <si>
    <t>ALWYS BGL PUMPERNICKEL BGL</t>
  </si>
  <si>
    <t>RICH'S SUGAR COOKIE</t>
  </si>
  <si>
    <t>ALWYS BGL SESAME BAGELS</t>
  </si>
  <si>
    <t>SPECIALTY CHOC DESSERT SHELL</t>
  </si>
  <si>
    <t>ALWYS BGL SUNDRIED TOM BAGL</t>
  </si>
  <si>
    <t>SPECIALTY DESSERT SHELLS 6CT</t>
  </si>
  <si>
    <t>ALWYS BGL VERY BERRY BAGELS</t>
  </si>
  <si>
    <t>SPECIALTY DOME ANGELFOOD RNG</t>
  </si>
  <si>
    <t>ALWYS BGL WHOLE GRAIN BAGEL</t>
  </si>
  <si>
    <t>SPECIALTY FRENCH TWIRL CHRRY</t>
  </si>
  <si>
    <t>PARK AVE BLUEBERRY BAGEL</t>
  </si>
  <si>
    <t>SPECIALTY FRENCH TWIRL LEMON</t>
  </si>
  <si>
    <t>PARK AVE CINNAMON RAISIN</t>
  </si>
  <si>
    <t>SPECIALTY FRENCH TWIRLS CHOC</t>
  </si>
  <si>
    <t>PARK AVE PLAIN BAGEL</t>
  </si>
  <si>
    <t>SPECIALTY LADYFINGERS</t>
  </si>
  <si>
    <t>PARK AVE SESAME BAGEL</t>
  </si>
  <si>
    <t>SPECIALTY VANIL FRNCH TWIRLS</t>
  </si>
  <si>
    <t>PARK AVE WHOLE WHEAT BAGEL</t>
  </si>
  <si>
    <t>SUPERIOR BLCK&amp;WHT COOKIE</t>
  </si>
  <si>
    <t>TOUFAYAN MINI CIN RAIS BAGL</t>
  </si>
  <si>
    <t>SUPERIOR CHOC ECLAIR 12/4PK</t>
  </si>
  <si>
    <t>TOUFAYAN MINI PLAIN BAGELS</t>
  </si>
  <si>
    <t>SUPERIOR LEMON BURST ECLAIR</t>
  </si>
  <si>
    <t>TOUFAYAN MINI WHEAT BAGELS</t>
  </si>
  <si>
    <t>SUPERIOR MINI ECLAIRS</t>
  </si>
  <si>
    <t>CATEGORY :       9696102 MISC T&amp;S BREADS</t>
  </si>
  <si>
    <t>UNCLHARRY BROWNIEICECREAMCKE</t>
  </si>
  <si>
    <t>UNCLHARRY CHOC VAN ICECRM CK</t>
  </si>
  <si>
    <t>ALVARADO CALIF STYLE BREAD</t>
  </si>
  <si>
    <t>UNCLHARRY CHOC&amp;VANICECREAMCK</t>
  </si>
  <si>
    <t>ALVARADO SPRT WHEAT BREAD</t>
  </si>
  <si>
    <t>BEST BRND WHEAT &amp; RYE W/HERB</t>
  </si>
  <si>
    <t>UNCLHARRY CHOC&amp;VANICECRMCAKE</t>
  </si>
  <si>
    <t>ECCEPANIS COUNTRY WHEAT</t>
  </si>
  <si>
    <t>UNCLHARRY COOKIECRMICECRMCKE</t>
  </si>
  <si>
    <t>ECCEPANIS WHOLE WHEAT BREAD</t>
  </si>
  <si>
    <t>UNCLHARRY ICE CREAM CAKE SES</t>
  </si>
  <si>
    <t>GONNELLA CRACKD WHEAT BREAD</t>
  </si>
  <si>
    <t>UNCLHARRY SEASONALICECREAMCK</t>
  </si>
  <si>
    <t>GONNELLA WHEAT MINI LOAF</t>
  </si>
  <si>
    <t>WEIGHTWTC WW CHOC BROWNIE</t>
  </si>
  <si>
    <t>GONNELLA WHOLE WHEAT BREAD</t>
  </si>
  <si>
    <t>WT WTCHRS CHOC CHIP CKYS</t>
  </si>
  <si>
    <t>OAKRUN CINRASN ENG MFFN</t>
  </si>
  <si>
    <t>WT WTCHRS CRM FLD CAKE</t>
  </si>
  <si>
    <t>OAKRUN REG ENGLISH MUFFIN</t>
  </si>
  <si>
    <t>WT WTCHRS OAT RAISIN CKYS</t>
  </si>
  <si>
    <t>OAKRUN WHL WHT ENGL MFFN</t>
  </si>
  <si>
    <t>ALWYS BGL ASIAGO BAGEL</t>
  </si>
  <si>
    <t>RICH'S WHEAT BREAD DOUGH</t>
  </si>
  <si>
    <t>VIEIRA PB WHL WHT SALOIO</t>
  </si>
  <si>
    <t>WENNER HONEY WHEAT BREAD</t>
  </si>
  <si>
    <t>WILDHRVST ORG CRK WHEAT BRED</t>
  </si>
  <si>
    <t>CATEGORY :       9696140 CLUB PACKS T &amp; S</t>
  </si>
  <si>
    <t>FRESHLEYS PECAN TWIRLS</t>
  </si>
  <si>
    <t>GIVE N GO 2BITE CINN ROLL</t>
  </si>
  <si>
    <t>GIVE N GO CINN ROLL SNCK PCK</t>
  </si>
  <si>
    <t>GIVE N GO HSTY 2BITE CIN ROL</t>
  </si>
  <si>
    <t>J SKINNER CINN ROLL W/CRM CH</t>
  </si>
  <si>
    <t>J SKINNER CINN ROLL W/STRUSL</t>
  </si>
  <si>
    <t>LONE STAR ASST FRT 8CT LBNCS</t>
  </si>
  <si>
    <t>LONE STAR CHRY CHSE ROLL 8CT</t>
  </si>
  <si>
    <t>LONE STAR CHS ROLL 8CT LBNCS</t>
  </si>
  <si>
    <t>LONE STAR CINN ROL 8CT LBNCS</t>
  </si>
  <si>
    <t>LONE STAR PCN RSN 8CT LBNCS</t>
  </si>
  <si>
    <t>MAPLE DNT T&amp;S 4PK CINN BUNS</t>
  </si>
  <si>
    <t>RICH'S GRMT CIN ROL DOUGH</t>
  </si>
  <si>
    <t>RICH'S ROLL HOMESTYL CINN</t>
  </si>
  <si>
    <t>SCHULSTAD APPLE CROWN</t>
  </si>
  <si>
    <t>3.0 OZ</t>
  </si>
  <si>
    <t>SCHULSTAD LEMON CREME FAN</t>
  </si>
  <si>
    <t>SCHULSTAD TOFFEE PECAN SWIRL</t>
  </si>
  <si>
    <t>AAAAAGTml0U=</t>
  </si>
</sst>
</file>

<file path=xl/styles.xml><?xml version="1.0" encoding="utf-8"?>
<styleSheet xmlns="http://schemas.openxmlformats.org/spreadsheetml/2006/main"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3D3D3D"/>
      <name val="Verdan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/>
    <xf numFmtId="0" fontId="18" fillId="0" borderId="0" xfId="0" applyFont="1" applyAlignment="1">
      <alignment horizontal="left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23" fillId="0" borderId="0" xfId="0" applyFont="1"/>
    <xf numFmtId="0" fontId="23" fillId="0" borderId="0" xfId="0" applyFont="1" applyAlignment="1">
      <alignment horizontal="left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24" fillId="0" borderId="11" xfId="0" applyFont="1" applyBorder="1"/>
    <xf numFmtId="0" fontId="24" fillId="0" borderId="0" xfId="0" applyFont="1"/>
    <xf numFmtId="0" fontId="16" fillId="0" borderId="11" xfId="0" applyFont="1" applyBorder="1" applyAlignment="1">
      <alignment horizontal="center"/>
    </xf>
    <xf numFmtId="0" fontId="25" fillId="0" borderId="0" xfId="0" applyFont="1"/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2057400</xdr:colOff>
      <xdr:row>17</xdr:row>
      <xdr:rowOff>9523</xdr:rowOff>
    </xdr:from>
    <xdr:ext cx="4171950" cy="718466"/>
    <xdr:sp macro="" textlink="">
      <xdr:nvSpPr>
        <xdr:cNvPr id="3" name="TextBox 2"/>
        <xdr:cNvSpPr txBox="1"/>
      </xdr:nvSpPr>
      <xdr:spPr>
        <a:xfrm>
          <a:off x="2057400" y="3733798"/>
          <a:ext cx="4171950" cy="718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en-US" sz="4000"/>
            <a:t> CATALOG </a:t>
          </a:r>
        </a:p>
      </xdr:txBody>
    </xdr:sp>
    <xdr:clientData/>
  </xdr:oneCellAnchor>
  <xdr:twoCellAnchor editAs="oneCell">
    <xdr:from>
      <xdr:col>0</xdr:col>
      <xdr:colOff>0</xdr:colOff>
      <xdr:row>0</xdr:row>
      <xdr:rowOff>161925</xdr:rowOff>
    </xdr:from>
    <xdr:to>
      <xdr:col>0</xdr:col>
      <xdr:colOff>9172575</xdr:colOff>
      <xdr:row>8</xdr:row>
      <xdr:rowOff>133351</xdr:rowOff>
    </xdr:to>
    <xdr:pic>
      <xdr:nvPicPr>
        <xdr:cNvPr id="1025" name="Picture 1" descr="Sterling Wholesal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1925"/>
          <a:ext cx="9172575" cy="150495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35"/>
  <sheetViews>
    <sheetView tabSelected="1" topLeftCell="A16" workbookViewId="0"/>
  </sheetViews>
  <sheetFormatPr defaultRowHeight="15"/>
  <cols>
    <col min="1" max="1" width="137.85546875" customWidth="1"/>
  </cols>
  <sheetData>
    <row r="1" spans="1:1" ht="15.75" thickBot="1"/>
    <row r="2" spans="1:1">
      <c r="A2" s="14"/>
    </row>
    <row r="3" spans="1:1">
      <c r="A3" s="20"/>
    </row>
    <row r="10" spans="1:1">
      <c r="A10" s="15"/>
    </row>
    <row r="11" spans="1:1" ht="18.75">
      <c r="A11" s="17" t="s">
        <v>11146</v>
      </c>
    </row>
    <row r="12" spans="1:1" ht="18.75">
      <c r="A12" s="17" t="s">
        <v>11147</v>
      </c>
    </row>
    <row r="13" spans="1:1" ht="18.75">
      <c r="A13" s="17"/>
    </row>
    <row r="14" spans="1:1" ht="18.75">
      <c r="A14" s="17" t="s">
        <v>11148</v>
      </c>
    </row>
    <row r="15" spans="1:1" s="18" customFormat="1" ht="18.75">
      <c r="A15" s="17" t="s">
        <v>11149</v>
      </c>
    </row>
    <row r="16" spans="1:1">
      <c r="A16" s="15"/>
    </row>
    <row r="17" spans="1:1">
      <c r="A17" s="15"/>
    </row>
    <row r="18" spans="1:1">
      <c r="A18" s="15"/>
    </row>
    <row r="19" spans="1:1">
      <c r="A19" s="15"/>
    </row>
    <row r="20" spans="1:1">
      <c r="A20" s="15"/>
    </row>
    <row r="21" spans="1:1">
      <c r="A21" s="15"/>
    </row>
    <row r="22" spans="1:1">
      <c r="A22" s="15"/>
    </row>
    <row r="23" spans="1:1">
      <c r="A23" s="15"/>
    </row>
    <row r="24" spans="1:1">
      <c r="A24" s="15"/>
    </row>
    <row r="25" spans="1:1">
      <c r="A25" s="15"/>
    </row>
    <row r="26" spans="1:1">
      <c r="A26" s="15"/>
    </row>
    <row r="27" spans="1:1">
      <c r="A27" s="15"/>
    </row>
    <row r="28" spans="1:1">
      <c r="A28" s="15"/>
    </row>
    <row r="29" spans="1:1">
      <c r="A29" s="15"/>
    </row>
    <row r="30" spans="1:1">
      <c r="A30" s="15"/>
    </row>
    <row r="31" spans="1:1">
      <c r="A31" s="19" t="s">
        <v>11150</v>
      </c>
    </row>
    <row r="32" spans="1:1">
      <c r="A32" s="19" t="s">
        <v>11151</v>
      </c>
    </row>
    <row r="33" spans="1:1">
      <c r="A33" s="15"/>
    </row>
    <row r="34" spans="1:1">
      <c r="A34" s="15"/>
    </row>
    <row r="35" spans="1:1" ht="15.75" thickBot="1">
      <c r="A35" s="16"/>
    </row>
  </sheetData>
  <pageMargins left="0.7" right="0.7" top="0.44" bottom="0.41" header="0.3" footer="0.3"/>
  <pageSetup orientation="landscape" r:id="rId1"/>
  <customProperties>
    <customPr name="DVSECTION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2:K151"/>
  <sheetViews>
    <sheetView topLeftCell="A13" workbookViewId="0">
      <selection activeCell="G126" sqref="G126"/>
    </sheetView>
  </sheetViews>
  <sheetFormatPr defaultRowHeight="15"/>
  <cols>
    <col min="1" max="1" width="32" style="6" customWidth="1"/>
    <col min="2" max="2" width="6.7109375" style="10" customWidth="1"/>
    <col min="3" max="3" width="1.7109375" style="5" customWidth="1"/>
    <col min="4" max="4" width="34.28515625" style="6" customWidth="1"/>
    <col min="5" max="5" width="6.140625" style="9" customWidth="1"/>
    <col min="6" max="6" width="3.28515625" style="6" customWidth="1"/>
    <col min="7" max="7" width="33.42578125" style="6" customWidth="1"/>
    <col min="8" max="8" width="7.140625" style="9" customWidth="1"/>
    <col min="9" max="9" width="3.7109375" style="6" customWidth="1"/>
    <col min="10" max="10" width="18.28515625" style="6" customWidth="1"/>
    <col min="11" max="11" width="9.140625" style="6"/>
    <col min="12" max="12" width="4.42578125" customWidth="1"/>
  </cols>
  <sheetData>
    <row r="2" spans="1:8" s="7" customFormat="1">
      <c r="A2" s="7" t="s">
        <v>10849</v>
      </c>
      <c r="B2" s="8" t="s">
        <v>10850</v>
      </c>
      <c r="D2" s="7" t="s">
        <v>10849</v>
      </c>
      <c r="E2" s="8" t="s">
        <v>10850</v>
      </c>
      <c r="G2" s="7" t="s">
        <v>10849</v>
      </c>
      <c r="H2" s="8" t="s">
        <v>10850</v>
      </c>
    </row>
    <row r="4" spans="1:8">
      <c r="A4" s="11" t="s">
        <v>10851</v>
      </c>
      <c r="B4" s="10">
        <v>121</v>
      </c>
      <c r="C4" s="11"/>
      <c r="D4" s="11" t="s">
        <v>10883</v>
      </c>
      <c r="E4" s="10">
        <v>23</v>
      </c>
      <c r="F4" s="11"/>
      <c r="G4" s="11" t="s">
        <v>10917</v>
      </c>
      <c r="H4" s="10">
        <v>25</v>
      </c>
    </row>
    <row r="5" spans="1:8">
      <c r="A5" s="11" t="s">
        <v>10852</v>
      </c>
      <c r="B5" s="10">
        <v>117</v>
      </c>
      <c r="C5" s="11"/>
      <c r="D5" s="11" t="s">
        <v>10884</v>
      </c>
      <c r="E5" s="10">
        <v>11</v>
      </c>
      <c r="F5" s="11"/>
      <c r="G5" s="11" t="s">
        <v>10918</v>
      </c>
      <c r="H5" s="10">
        <v>24</v>
      </c>
    </row>
    <row r="6" spans="1:8">
      <c r="A6" s="11" t="s">
        <v>10853</v>
      </c>
      <c r="B6" s="10">
        <v>38</v>
      </c>
      <c r="C6" s="11"/>
      <c r="D6" s="11" t="s">
        <v>10885</v>
      </c>
      <c r="E6" s="10">
        <v>45</v>
      </c>
      <c r="F6" s="11"/>
      <c r="G6" s="11" t="s">
        <v>10919</v>
      </c>
      <c r="H6" s="10">
        <v>32</v>
      </c>
    </row>
    <row r="7" spans="1:8">
      <c r="A7" s="11" t="s">
        <v>10854</v>
      </c>
      <c r="B7" s="10">
        <v>35</v>
      </c>
      <c r="C7" s="11"/>
      <c r="D7" s="11" t="s">
        <v>10886</v>
      </c>
      <c r="E7" s="10">
        <v>75</v>
      </c>
      <c r="F7" s="11"/>
      <c r="G7" s="11" t="s">
        <v>10920</v>
      </c>
      <c r="H7" s="10">
        <v>84</v>
      </c>
    </row>
    <row r="8" spans="1:8">
      <c r="A8" s="11" t="s">
        <v>10855</v>
      </c>
      <c r="B8" s="10">
        <v>42</v>
      </c>
      <c r="C8" s="11"/>
      <c r="D8" s="11" t="s">
        <v>10887</v>
      </c>
      <c r="E8" s="10">
        <v>65</v>
      </c>
      <c r="F8" s="11"/>
      <c r="G8" s="11" t="s">
        <v>10921</v>
      </c>
      <c r="H8" s="10">
        <v>124</v>
      </c>
    </row>
    <row r="9" spans="1:8">
      <c r="A9" s="11" t="s">
        <v>11012</v>
      </c>
      <c r="B9" s="10">
        <v>112</v>
      </c>
      <c r="C9" s="11"/>
      <c r="D9" s="11" t="s">
        <v>10888</v>
      </c>
      <c r="E9" s="10">
        <v>39</v>
      </c>
      <c r="F9" s="11"/>
      <c r="G9" s="11" t="s">
        <v>10922</v>
      </c>
      <c r="H9" s="10">
        <v>117</v>
      </c>
    </row>
    <row r="10" spans="1:8">
      <c r="A10" s="11" t="s">
        <v>10856</v>
      </c>
      <c r="B10" s="10">
        <v>4</v>
      </c>
      <c r="C10" s="11"/>
      <c r="D10" s="11" t="s">
        <v>10889</v>
      </c>
      <c r="E10" s="10">
        <v>109</v>
      </c>
      <c r="F10" s="11"/>
      <c r="G10" s="11" t="s">
        <v>10923</v>
      </c>
      <c r="H10" s="10">
        <v>32</v>
      </c>
    </row>
    <row r="11" spans="1:8">
      <c r="A11" s="11" t="s">
        <v>10857</v>
      </c>
      <c r="B11" s="10">
        <v>79</v>
      </c>
      <c r="C11" s="11"/>
      <c r="D11" s="11" t="s">
        <v>10890</v>
      </c>
      <c r="E11" s="10">
        <v>54</v>
      </c>
      <c r="F11" s="11"/>
      <c r="G11" s="11" t="s">
        <v>10924</v>
      </c>
      <c r="H11" s="10">
        <v>62</v>
      </c>
    </row>
    <row r="12" spans="1:8">
      <c r="A12" s="11" t="s">
        <v>10858</v>
      </c>
      <c r="B12" s="10">
        <v>80</v>
      </c>
      <c r="C12" s="11"/>
      <c r="D12" s="11" t="s">
        <v>10891</v>
      </c>
      <c r="E12" s="10">
        <v>111</v>
      </c>
      <c r="F12" s="11"/>
      <c r="G12" s="11" t="s">
        <v>10925</v>
      </c>
      <c r="H12" s="10">
        <v>109</v>
      </c>
    </row>
    <row r="13" spans="1:8">
      <c r="A13" s="11" t="s">
        <v>11013</v>
      </c>
      <c r="B13" s="10">
        <v>79</v>
      </c>
      <c r="C13" s="11"/>
      <c r="D13" s="11" t="s">
        <v>10892</v>
      </c>
      <c r="E13" s="10">
        <v>119</v>
      </c>
      <c r="F13" s="11"/>
      <c r="G13" s="11" t="s">
        <v>10926</v>
      </c>
      <c r="H13" s="10">
        <v>1</v>
      </c>
    </row>
    <row r="14" spans="1:8">
      <c r="A14" s="11" t="s">
        <v>10859</v>
      </c>
      <c r="B14" s="10">
        <v>65</v>
      </c>
      <c r="C14" s="11"/>
      <c r="D14" s="11" t="s">
        <v>10893</v>
      </c>
      <c r="E14" s="10">
        <v>98</v>
      </c>
      <c r="F14" s="11"/>
      <c r="G14" s="11" t="s">
        <v>10927</v>
      </c>
      <c r="H14" s="10">
        <v>65</v>
      </c>
    </row>
    <row r="15" spans="1:8">
      <c r="A15" s="11" t="s">
        <v>10860</v>
      </c>
      <c r="B15" s="10">
        <v>102</v>
      </c>
      <c r="C15" s="11"/>
      <c r="D15" s="11" t="s">
        <v>10894</v>
      </c>
      <c r="E15" s="10">
        <v>58</v>
      </c>
      <c r="F15" s="11"/>
      <c r="G15" s="11" t="s">
        <v>10928</v>
      </c>
      <c r="H15" s="10">
        <v>39</v>
      </c>
    </row>
    <row r="16" spans="1:8">
      <c r="A16" s="11" t="s">
        <v>10861</v>
      </c>
      <c r="B16" s="10">
        <v>119</v>
      </c>
      <c r="C16" s="11"/>
      <c r="D16" s="11" t="s">
        <v>10895</v>
      </c>
      <c r="E16" s="10">
        <v>41</v>
      </c>
      <c r="F16" s="11"/>
      <c r="G16" s="11" t="s">
        <v>10929</v>
      </c>
      <c r="H16" s="10">
        <v>10</v>
      </c>
    </row>
    <row r="17" spans="1:8">
      <c r="A17" s="11" t="s">
        <v>10862</v>
      </c>
      <c r="B17" s="10">
        <v>127</v>
      </c>
      <c r="C17" s="11"/>
      <c r="D17" s="11" t="s">
        <v>10896</v>
      </c>
      <c r="E17" s="10">
        <v>43</v>
      </c>
      <c r="F17" s="11"/>
      <c r="G17" s="11" t="s">
        <v>10930</v>
      </c>
      <c r="H17" s="10">
        <v>97</v>
      </c>
    </row>
    <row r="18" spans="1:8">
      <c r="A18" s="11" t="s">
        <v>10863</v>
      </c>
      <c r="B18" s="10">
        <v>42</v>
      </c>
      <c r="C18" s="11"/>
      <c r="D18" s="11" t="s">
        <v>10897</v>
      </c>
      <c r="E18" s="10">
        <v>116</v>
      </c>
      <c r="F18" s="11"/>
      <c r="G18" s="11" t="s">
        <v>10931</v>
      </c>
      <c r="H18" s="10">
        <v>85</v>
      </c>
    </row>
    <row r="19" spans="1:8">
      <c r="A19" s="11" t="s">
        <v>10864</v>
      </c>
      <c r="B19" s="10">
        <v>44</v>
      </c>
      <c r="C19" s="11"/>
      <c r="D19" s="11" t="s">
        <v>10898</v>
      </c>
      <c r="E19" s="10">
        <v>114</v>
      </c>
      <c r="F19" s="11"/>
      <c r="G19" s="11" t="s">
        <v>10932</v>
      </c>
      <c r="H19" s="10">
        <v>103</v>
      </c>
    </row>
    <row r="20" spans="1:8">
      <c r="A20" s="11" t="s">
        <v>10865</v>
      </c>
      <c r="B20" s="10">
        <v>30</v>
      </c>
      <c r="C20" s="11"/>
      <c r="D20" s="11" t="s">
        <v>10899</v>
      </c>
      <c r="E20" s="10">
        <v>75</v>
      </c>
      <c r="F20" s="11"/>
      <c r="G20" s="11" t="s">
        <v>10933</v>
      </c>
      <c r="H20" s="10">
        <v>66</v>
      </c>
    </row>
    <row r="21" spans="1:8">
      <c r="A21" s="11" t="s">
        <v>10866</v>
      </c>
      <c r="B21" s="10">
        <v>76</v>
      </c>
      <c r="C21" s="11"/>
      <c r="D21" s="11" t="s">
        <v>10900</v>
      </c>
      <c r="E21" s="10">
        <v>127</v>
      </c>
      <c r="F21" s="11"/>
      <c r="G21" s="11" t="s">
        <v>10934</v>
      </c>
      <c r="H21" s="10">
        <v>59</v>
      </c>
    </row>
    <row r="22" spans="1:8">
      <c r="A22" s="11" t="s">
        <v>10867</v>
      </c>
      <c r="B22" s="10">
        <v>43</v>
      </c>
      <c r="C22" s="11"/>
      <c r="D22" s="11" t="s">
        <v>10901</v>
      </c>
      <c r="E22" s="10">
        <v>79</v>
      </c>
      <c r="F22" s="11"/>
      <c r="G22" s="11" t="s">
        <v>10935</v>
      </c>
      <c r="H22" s="10">
        <v>26</v>
      </c>
    </row>
    <row r="23" spans="1:8">
      <c r="A23" s="11" t="s">
        <v>10868</v>
      </c>
      <c r="B23" s="10">
        <v>77</v>
      </c>
      <c r="C23" s="11"/>
      <c r="D23" s="11" t="s">
        <v>10902</v>
      </c>
      <c r="E23" s="10">
        <v>39</v>
      </c>
      <c r="F23" s="11"/>
      <c r="G23" s="11" t="s">
        <v>10936</v>
      </c>
      <c r="H23" s="10">
        <v>77</v>
      </c>
    </row>
    <row r="24" spans="1:8">
      <c r="A24" s="11" t="s">
        <v>10869</v>
      </c>
      <c r="B24" s="10">
        <v>73</v>
      </c>
      <c r="C24" s="11"/>
      <c r="D24" s="11" t="s">
        <v>10903</v>
      </c>
      <c r="E24" s="10">
        <v>120</v>
      </c>
      <c r="F24" s="11"/>
      <c r="G24" s="11" t="s">
        <v>10937</v>
      </c>
      <c r="H24" s="10">
        <v>76</v>
      </c>
    </row>
    <row r="25" spans="1:8">
      <c r="A25" s="11" t="s">
        <v>10870</v>
      </c>
      <c r="B25" s="10">
        <v>69</v>
      </c>
      <c r="C25" s="11"/>
      <c r="D25" s="11" t="s">
        <v>10904</v>
      </c>
      <c r="E25" s="10">
        <v>94</v>
      </c>
      <c r="F25" s="11"/>
      <c r="G25" s="11" t="s">
        <v>10938</v>
      </c>
      <c r="H25" s="10">
        <v>84</v>
      </c>
    </row>
    <row r="26" spans="1:8">
      <c r="A26" s="11" t="s">
        <v>10871</v>
      </c>
      <c r="B26" s="10">
        <v>11</v>
      </c>
      <c r="C26" s="11"/>
      <c r="D26" s="11" t="s">
        <v>10905</v>
      </c>
      <c r="E26" s="10">
        <v>19</v>
      </c>
      <c r="F26" s="11"/>
      <c r="G26" s="11" t="s">
        <v>10939</v>
      </c>
      <c r="H26" s="10">
        <v>95</v>
      </c>
    </row>
    <row r="27" spans="1:8">
      <c r="A27" s="11" t="s">
        <v>10872</v>
      </c>
      <c r="B27" s="10">
        <v>56</v>
      </c>
      <c r="C27" s="11"/>
      <c r="D27" s="11" t="s">
        <v>10906</v>
      </c>
      <c r="E27" s="10">
        <v>44</v>
      </c>
      <c r="F27" s="11"/>
      <c r="G27" s="11" t="s">
        <v>10940</v>
      </c>
      <c r="H27" s="10">
        <v>37</v>
      </c>
    </row>
    <row r="28" spans="1:8">
      <c r="A28" s="11" t="s">
        <v>10873</v>
      </c>
      <c r="B28" s="10">
        <v>44</v>
      </c>
      <c r="C28" s="11"/>
      <c r="D28" s="11" t="s">
        <v>10907</v>
      </c>
      <c r="E28" s="10">
        <v>106</v>
      </c>
      <c r="F28" s="11"/>
      <c r="G28" s="11" t="s">
        <v>10941</v>
      </c>
      <c r="H28" s="10">
        <v>66</v>
      </c>
    </row>
    <row r="29" spans="1:8">
      <c r="A29" s="11" t="s">
        <v>10874</v>
      </c>
      <c r="B29" s="10">
        <v>102</v>
      </c>
      <c r="C29" s="11"/>
      <c r="D29" s="11" t="s">
        <v>10908</v>
      </c>
      <c r="E29" s="10">
        <v>48</v>
      </c>
      <c r="F29" s="11"/>
      <c r="G29" s="11" t="s">
        <v>10942</v>
      </c>
      <c r="H29" s="10">
        <v>69</v>
      </c>
    </row>
    <row r="30" spans="1:8">
      <c r="A30" s="11" t="s">
        <v>10875</v>
      </c>
      <c r="B30" s="10">
        <v>13</v>
      </c>
      <c r="C30" s="11"/>
      <c r="D30" s="11" t="s">
        <v>10909</v>
      </c>
      <c r="E30" s="10">
        <v>21</v>
      </c>
      <c r="F30" s="11"/>
      <c r="G30" s="11" t="s">
        <v>10943</v>
      </c>
      <c r="H30" s="10">
        <v>45</v>
      </c>
    </row>
    <row r="31" spans="1:8">
      <c r="A31" s="11" t="s">
        <v>10876</v>
      </c>
      <c r="B31" s="10">
        <v>66</v>
      </c>
      <c r="C31" s="11"/>
      <c r="D31" s="11" t="s">
        <v>10910</v>
      </c>
      <c r="E31" s="10">
        <v>108</v>
      </c>
      <c r="F31" s="11"/>
      <c r="G31" s="11" t="s">
        <v>10944</v>
      </c>
      <c r="H31" s="10">
        <v>76</v>
      </c>
    </row>
    <row r="32" spans="1:8">
      <c r="A32" s="11" t="s">
        <v>10877</v>
      </c>
      <c r="B32" s="10">
        <v>59</v>
      </c>
      <c r="C32" s="11"/>
      <c r="D32" s="11" t="s">
        <v>10911</v>
      </c>
      <c r="E32" s="10">
        <v>17</v>
      </c>
      <c r="F32" s="11"/>
      <c r="G32" s="11" t="s">
        <v>10945</v>
      </c>
      <c r="H32" s="10">
        <v>49</v>
      </c>
    </row>
    <row r="33" spans="1:8">
      <c r="A33" s="11" t="s">
        <v>10878</v>
      </c>
      <c r="B33" s="10">
        <v>79</v>
      </c>
      <c r="C33" s="11"/>
      <c r="D33" s="11" t="s">
        <v>10912</v>
      </c>
      <c r="E33" s="10">
        <v>103</v>
      </c>
      <c r="F33" s="11"/>
      <c r="G33" s="11" t="s">
        <v>10946</v>
      </c>
      <c r="H33" s="10">
        <v>101</v>
      </c>
    </row>
    <row r="34" spans="1:8">
      <c r="A34" s="11" t="s">
        <v>10879</v>
      </c>
      <c r="B34" s="10">
        <v>116</v>
      </c>
      <c r="C34" s="11"/>
      <c r="D34" s="11" t="s">
        <v>10913</v>
      </c>
      <c r="E34" s="10">
        <v>134</v>
      </c>
      <c r="F34" s="11"/>
      <c r="G34" s="11" t="s">
        <v>10947</v>
      </c>
      <c r="H34" s="10">
        <v>116</v>
      </c>
    </row>
    <row r="35" spans="1:8">
      <c r="A35" s="11" t="s">
        <v>10880</v>
      </c>
      <c r="B35" s="10">
        <v>117</v>
      </c>
      <c r="C35" s="11"/>
      <c r="D35" s="11" t="s">
        <v>10914</v>
      </c>
      <c r="E35" s="10">
        <v>31</v>
      </c>
      <c r="F35" s="11"/>
      <c r="G35" s="11" t="s">
        <v>10948</v>
      </c>
      <c r="H35" s="10">
        <v>82</v>
      </c>
    </row>
    <row r="36" spans="1:8">
      <c r="A36" s="11" t="s">
        <v>10881</v>
      </c>
      <c r="B36" s="10">
        <v>26</v>
      </c>
      <c r="C36" s="11"/>
      <c r="D36" s="11" t="s">
        <v>10915</v>
      </c>
      <c r="E36" s="10">
        <v>20</v>
      </c>
      <c r="F36" s="11"/>
      <c r="G36" s="11" t="s">
        <v>10949</v>
      </c>
      <c r="H36" s="10">
        <v>120</v>
      </c>
    </row>
    <row r="37" spans="1:8">
      <c r="A37" s="11" t="s">
        <v>10882</v>
      </c>
      <c r="B37" s="10">
        <v>80</v>
      </c>
      <c r="C37" s="11"/>
      <c r="D37" s="11" t="s">
        <v>10916</v>
      </c>
      <c r="E37" s="10">
        <v>24</v>
      </c>
      <c r="F37" s="11"/>
      <c r="G37" s="11" t="s">
        <v>10950</v>
      </c>
      <c r="H37" s="10">
        <v>64</v>
      </c>
    </row>
    <row r="38" spans="1:8">
      <c r="A38" s="11"/>
      <c r="C38" s="11"/>
      <c r="D38" s="11"/>
      <c r="E38" s="10"/>
      <c r="F38" s="11"/>
      <c r="G38" s="11"/>
      <c r="H38" s="10"/>
    </row>
    <row r="39" spans="1:8">
      <c r="A39" s="11"/>
      <c r="C39" s="11"/>
      <c r="D39" s="11"/>
      <c r="E39" s="10"/>
      <c r="F39" s="11"/>
      <c r="G39" s="11"/>
      <c r="H39" s="10"/>
    </row>
    <row r="40" spans="1:8">
      <c r="A40" s="7" t="s">
        <v>10849</v>
      </c>
      <c r="B40" s="8" t="s">
        <v>10850</v>
      </c>
      <c r="C40" s="11"/>
      <c r="D40" s="7" t="s">
        <v>10849</v>
      </c>
      <c r="E40" s="8" t="s">
        <v>10850</v>
      </c>
      <c r="F40" s="11"/>
      <c r="G40" s="7"/>
      <c r="H40" s="8"/>
    </row>
    <row r="41" spans="1:8" s="7" customFormat="1">
      <c r="A41" s="11"/>
      <c r="B41" s="10"/>
      <c r="D41" s="11"/>
      <c r="E41" s="10"/>
      <c r="G41" s="11"/>
      <c r="H41" s="10"/>
    </row>
    <row r="42" spans="1:8">
      <c r="A42" s="11" t="s">
        <v>10951</v>
      </c>
      <c r="B42" s="10">
        <v>52</v>
      </c>
      <c r="C42" s="11"/>
      <c r="D42" s="11" t="s">
        <v>10983</v>
      </c>
      <c r="E42" s="10">
        <v>120</v>
      </c>
      <c r="F42" s="11"/>
    </row>
    <row r="43" spans="1:8">
      <c r="A43" s="11" t="s">
        <v>10952</v>
      </c>
      <c r="B43" s="10">
        <v>80</v>
      </c>
      <c r="C43" s="11"/>
      <c r="D43" s="11" t="s">
        <v>10984</v>
      </c>
      <c r="E43" s="10">
        <v>82</v>
      </c>
      <c r="F43" s="11"/>
    </row>
    <row r="44" spans="1:8">
      <c r="A44" s="11" t="s">
        <v>10953</v>
      </c>
      <c r="B44" s="10">
        <v>40</v>
      </c>
      <c r="C44" s="11"/>
      <c r="D44" s="11" t="s">
        <v>10985</v>
      </c>
      <c r="E44" s="10">
        <v>66</v>
      </c>
      <c r="F44" s="11"/>
    </row>
    <row r="45" spans="1:8">
      <c r="A45" s="11" t="s">
        <v>10954</v>
      </c>
      <c r="B45" s="10">
        <v>107</v>
      </c>
      <c r="C45" s="11"/>
      <c r="D45" s="11" t="s">
        <v>10986</v>
      </c>
      <c r="E45" s="10">
        <v>96</v>
      </c>
      <c r="F45" s="11"/>
    </row>
    <row r="46" spans="1:8">
      <c r="A46" s="11" t="s">
        <v>10955</v>
      </c>
      <c r="B46" s="10">
        <v>40</v>
      </c>
      <c r="C46" s="11"/>
      <c r="D46" s="11" t="s">
        <v>10987</v>
      </c>
      <c r="E46" s="10">
        <v>12</v>
      </c>
      <c r="F46" s="11"/>
    </row>
    <row r="47" spans="1:8">
      <c r="A47" s="11" t="s">
        <v>10956</v>
      </c>
      <c r="B47" s="10">
        <v>45</v>
      </c>
      <c r="C47" s="11"/>
      <c r="D47" s="11" t="s">
        <v>10988</v>
      </c>
      <c r="E47" s="10">
        <v>73</v>
      </c>
      <c r="F47" s="11"/>
    </row>
    <row r="48" spans="1:8">
      <c r="A48" s="11" t="s">
        <v>10957</v>
      </c>
      <c r="B48" s="10">
        <v>105</v>
      </c>
      <c r="C48" s="11"/>
      <c r="D48" s="11" t="s">
        <v>10989</v>
      </c>
      <c r="E48" s="10">
        <v>50</v>
      </c>
      <c r="F48" s="11"/>
    </row>
    <row r="49" spans="1:8">
      <c r="A49" s="11" t="s">
        <v>10958</v>
      </c>
      <c r="B49" s="10">
        <v>104</v>
      </c>
      <c r="C49" s="11"/>
      <c r="D49" s="11" t="s">
        <v>10990</v>
      </c>
      <c r="E49" s="10">
        <v>46</v>
      </c>
      <c r="F49" s="11"/>
    </row>
    <row r="50" spans="1:8">
      <c r="A50" s="11" t="s">
        <v>10959</v>
      </c>
      <c r="B50" s="10">
        <v>76</v>
      </c>
      <c r="C50" s="11"/>
      <c r="D50" s="11" t="s">
        <v>10991</v>
      </c>
      <c r="E50" s="10">
        <v>102</v>
      </c>
      <c r="F50" s="11"/>
    </row>
    <row r="51" spans="1:8">
      <c r="A51" s="11" t="s">
        <v>10960</v>
      </c>
      <c r="B51" s="10">
        <v>41</v>
      </c>
      <c r="C51" s="11"/>
      <c r="D51" s="11" t="s">
        <v>11015</v>
      </c>
      <c r="E51" s="10">
        <v>117</v>
      </c>
      <c r="F51" s="11"/>
    </row>
    <row r="52" spans="1:8">
      <c r="A52" s="11" t="s">
        <v>10961</v>
      </c>
      <c r="B52" s="10">
        <v>106</v>
      </c>
      <c r="C52" s="11"/>
      <c r="D52" s="11" t="s">
        <v>11016</v>
      </c>
      <c r="E52" s="10">
        <v>114</v>
      </c>
      <c r="F52" s="11"/>
      <c r="G52" s="11"/>
      <c r="H52" s="10"/>
    </row>
    <row r="53" spans="1:8">
      <c r="A53" s="11" t="s">
        <v>10962</v>
      </c>
      <c r="B53" s="10">
        <v>41</v>
      </c>
      <c r="C53" s="11"/>
      <c r="D53" s="11" t="s">
        <v>11018</v>
      </c>
      <c r="E53" s="10">
        <v>65</v>
      </c>
      <c r="F53" s="11"/>
      <c r="G53" s="11"/>
      <c r="H53" s="10"/>
    </row>
    <row r="54" spans="1:8">
      <c r="A54" s="11" t="s">
        <v>10963</v>
      </c>
      <c r="B54" s="10">
        <v>131</v>
      </c>
      <c r="C54" s="11"/>
      <c r="D54" s="11" t="s">
        <v>11017</v>
      </c>
      <c r="E54" s="10">
        <v>125</v>
      </c>
      <c r="F54" s="11"/>
      <c r="G54" s="11"/>
      <c r="H54" s="10"/>
    </row>
    <row r="55" spans="1:8">
      <c r="A55" s="11" t="s">
        <v>10964</v>
      </c>
      <c r="B55" s="10">
        <v>50</v>
      </c>
      <c r="C55" s="11"/>
      <c r="D55" s="11" t="s">
        <v>10992</v>
      </c>
      <c r="E55" s="10">
        <v>77</v>
      </c>
      <c r="F55" s="11"/>
      <c r="G55" s="11"/>
      <c r="H55" s="10"/>
    </row>
    <row r="56" spans="1:8">
      <c r="A56" s="11" t="s">
        <v>10965</v>
      </c>
      <c r="B56" s="10">
        <v>62</v>
      </c>
      <c r="C56" s="11"/>
      <c r="D56" s="11" t="s">
        <v>10993</v>
      </c>
      <c r="E56" s="10">
        <v>81</v>
      </c>
      <c r="F56" s="11"/>
      <c r="G56" s="11"/>
      <c r="H56" s="10"/>
    </row>
    <row r="57" spans="1:8">
      <c r="A57" s="11" t="s">
        <v>10966</v>
      </c>
      <c r="B57" s="10">
        <v>127</v>
      </c>
      <c r="C57" s="11"/>
      <c r="D57" s="11" t="s">
        <v>10994</v>
      </c>
      <c r="E57" s="10">
        <v>82</v>
      </c>
      <c r="F57" s="11"/>
      <c r="G57" s="11"/>
      <c r="H57" s="10"/>
    </row>
    <row r="58" spans="1:8">
      <c r="A58" s="11" t="s">
        <v>10967</v>
      </c>
      <c r="B58" s="10">
        <v>129</v>
      </c>
      <c r="C58" s="11"/>
      <c r="D58" s="11" t="s">
        <v>10995</v>
      </c>
      <c r="E58" s="10">
        <v>47</v>
      </c>
      <c r="F58" s="11"/>
      <c r="G58" s="11"/>
      <c r="H58" s="10"/>
    </row>
    <row r="59" spans="1:8">
      <c r="A59" s="11" t="s">
        <v>10968</v>
      </c>
      <c r="B59" s="10">
        <v>10</v>
      </c>
      <c r="C59" s="11"/>
      <c r="D59" s="11" t="s">
        <v>10996</v>
      </c>
      <c r="E59" s="10">
        <v>80</v>
      </c>
      <c r="F59" s="11"/>
      <c r="G59" s="11"/>
      <c r="H59" s="10"/>
    </row>
    <row r="60" spans="1:8">
      <c r="A60" s="11" t="s">
        <v>10969</v>
      </c>
      <c r="B60" s="10">
        <v>106</v>
      </c>
      <c r="C60" s="11"/>
      <c r="D60" s="11" t="s">
        <v>10997</v>
      </c>
      <c r="E60" s="10">
        <v>25</v>
      </c>
      <c r="F60" s="11"/>
      <c r="G60" s="11"/>
      <c r="H60" s="10"/>
    </row>
    <row r="61" spans="1:8">
      <c r="A61" s="11" t="s">
        <v>10970</v>
      </c>
      <c r="B61" s="10">
        <v>70</v>
      </c>
      <c r="C61" s="11"/>
      <c r="D61" s="11" t="s">
        <v>10998</v>
      </c>
      <c r="E61" s="10">
        <v>21</v>
      </c>
      <c r="F61" s="11"/>
      <c r="G61" s="11"/>
      <c r="H61" s="10"/>
    </row>
    <row r="62" spans="1:8">
      <c r="A62" s="11" t="s">
        <v>10971</v>
      </c>
      <c r="B62" s="10">
        <v>94</v>
      </c>
      <c r="C62" s="11"/>
      <c r="D62" s="11" t="s">
        <v>10999</v>
      </c>
      <c r="E62" s="10">
        <v>119</v>
      </c>
      <c r="F62" s="11"/>
      <c r="G62" s="11"/>
      <c r="H62" s="10"/>
    </row>
    <row r="63" spans="1:8">
      <c r="A63" s="11" t="s">
        <v>10972</v>
      </c>
      <c r="B63" s="10">
        <v>105</v>
      </c>
      <c r="C63" s="11"/>
      <c r="D63" s="11" t="s">
        <v>11002</v>
      </c>
      <c r="E63" s="10">
        <v>31</v>
      </c>
      <c r="F63" s="11"/>
      <c r="G63" s="11"/>
      <c r="H63" s="10"/>
    </row>
    <row r="64" spans="1:8">
      <c r="A64" s="11" t="s">
        <v>10973</v>
      </c>
      <c r="B64" s="10">
        <v>56</v>
      </c>
      <c r="C64" s="11"/>
      <c r="D64" s="11" t="s">
        <v>11001</v>
      </c>
      <c r="E64" s="10">
        <v>49</v>
      </c>
      <c r="F64" s="11"/>
      <c r="G64" s="11"/>
      <c r="H64" s="10"/>
    </row>
    <row r="65" spans="1:8">
      <c r="A65" s="11" t="s">
        <v>10974</v>
      </c>
      <c r="B65" s="10">
        <v>18</v>
      </c>
      <c r="C65" s="11"/>
      <c r="D65" s="11" t="s">
        <v>11000</v>
      </c>
      <c r="E65" s="10">
        <v>47</v>
      </c>
      <c r="F65" s="11"/>
      <c r="G65" s="11"/>
      <c r="H65" s="10"/>
    </row>
    <row r="66" spans="1:8">
      <c r="A66" s="11" t="s">
        <v>10975</v>
      </c>
      <c r="B66" s="10">
        <v>27</v>
      </c>
      <c r="C66" s="11"/>
      <c r="D66" s="11" t="s">
        <v>11003</v>
      </c>
      <c r="E66" s="10">
        <v>93</v>
      </c>
      <c r="F66" s="11"/>
      <c r="G66" s="11"/>
      <c r="H66" s="10"/>
    </row>
    <row r="67" spans="1:8">
      <c r="A67" s="11" t="s">
        <v>11014</v>
      </c>
      <c r="B67" s="10">
        <v>124</v>
      </c>
      <c r="C67" s="11"/>
      <c r="D67" s="11" t="s">
        <v>11019</v>
      </c>
      <c r="E67" s="10">
        <v>128</v>
      </c>
      <c r="F67" s="11"/>
      <c r="G67" s="11"/>
      <c r="H67" s="10"/>
    </row>
    <row r="68" spans="1:8">
      <c r="A68" s="11" t="s">
        <v>10976</v>
      </c>
      <c r="B68" s="10">
        <v>98</v>
      </c>
      <c r="C68" s="11"/>
      <c r="D68" s="11" t="s">
        <v>11004</v>
      </c>
      <c r="E68" s="10">
        <v>69</v>
      </c>
      <c r="F68" s="11"/>
      <c r="G68" s="11"/>
      <c r="H68" s="10"/>
    </row>
    <row r="69" spans="1:8">
      <c r="A69" s="11" t="s">
        <v>10977</v>
      </c>
      <c r="B69" s="10">
        <v>101</v>
      </c>
      <c r="C69" s="11"/>
      <c r="D69" s="11" t="s">
        <v>11005</v>
      </c>
      <c r="E69" s="10">
        <v>65</v>
      </c>
      <c r="F69" s="11"/>
      <c r="G69" s="11"/>
      <c r="H69" s="10"/>
    </row>
    <row r="70" spans="1:8">
      <c r="A70" s="11" t="s">
        <v>10978</v>
      </c>
      <c r="B70" s="10">
        <v>68</v>
      </c>
      <c r="C70" s="11"/>
      <c r="D70" s="11" t="s">
        <v>11006</v>
      </c>
      <c r="E70" s="10">
        <v>108</v>
      </c>
      <c r="F70" s="11"/>
      <c r="G70" s="11"/>
      <c r="H70" s="10"/>
    </row>
    <row r="71" spans="1:8">
      <c r="A71" s="11" t="s">
        <v>10979</v>
      </c>
      <c r="B71" s="10">
        <v>82</v>
      </c>
      <c r="C71" s="11"/>
      <c r="D71" s="11" t="s">
        <v>11007</v>
      </c>
      <c r="E71" s="10">
        <v>28</v>
      </c>
      <c r="F71" s="11"/>
      <c r="G71" s="11"/>
      <c r="H71" s="10"/>
    </row>
    <row r="72" spans="1:8">
      <c r="A72" s="11" t="s">
        <v>10980</v>
      </c>
      <c r="B72" s="10">
        <v>124</v>
      </c>
      <c r="C72" s="11"/>
      <c r="D72" s="11" t="s">
        <v>11008</v>
      </c>
      <c r="E72" s="10">
        <v>120</v>
      </c>
      <c r="F72" s="11"/>
      <c r="G72" s="11"/>
      <c r="H72" s="10"/>
    </row>
    <row r="73" spans="1:8">
      <c r="A73" s="11" t="s">
        <v>10981</v>
      </c>
      <c r="B73" s="10">
        <v>67</v>
      </c>
      <c r="C73" s="11"/>
      <c r="F73" s="11"/>
      <c r="G73" s="11"/>
      <c r="H73" s="10"/>
    </row>
    <row r="74" spans="1:8">
      <c r="A74" s="11" t="s">
        <v>10982</v>
      </c>
      <c r="B74" s="10">
        <v>46</v>
      </c>
      <c r="C74" s="11"/>
      <c r="D74" s="11"/>
      <c r="E74" s="10"/>
      <c r="F74" s="11"/>
      <c r="G74" s="11"/>
      <c r="H74" s="10"/>
    </row>
    <row r="75" spans="1:8">
      <c r="A75" s="11"/>
      <c r="C75" s="11"/>
      <c r="D75" s="11"/>
      <c r="E75" s="10"/>
      <c r="F75" s="11"/>
      <c r="G75" s="11"/>
      <c r="H75" s="10"/>
    </row>
    <row r="76" spans="1:8">
      <c r="A76" s="11"/>
      <c r="C76" s="11"/>
      <c r="D76" s="11"/>
      <c r="E76" s="10"/>
      <c r="F76" s="11"/>
      <c r="G76" s="11"/>
      <c r="H76" s="10"/>
    </row>
    <row r="77" spans="1:8">
      <c r="A77" s="11"/>
      <c r="C77" s="11"/>
      <c r="D77" s="11"/>
      <c r="E77" s="10"/>
      <c r="F77" s="11"/>
      <c r="G77" s="11"/>
      <c r="H77" s="10"/>
    </row>
    <row r="78" spans="1:8">
      <c r="A78" s="7" t="s">
        <v>11009</v>
      </c>
      <c r="B78" s="8" t="s">
        <v>10850</v>
      </c>
      <c r="C78" s="11"/>
      <c r="D78" s="7" t="s">
        <v>11009</v>
      </c>
      <c r="E78" s="8" t="s">
        <v>10850</v>
      </c>
      <c r="F78" s="11"/>
      <c r="G78" s="7" t="s">
        <v>11009</v>
      </c>
      <c r="H78" s="8" t="s">
        <v>10850</v>
      </c>
    </row>
    <row r="79" spans="1:8" s="7" customFormat="1">
      <c r="A79" s="11"/>
      <c r="B79" s="10"/>
      <c r="D79" s="11"/>
      <c r="E79" s="10"/>
      <c r="G79" s="11"/>
      <c r="H79" s="10"/>
    </row>
    <row r="80" spans="1:8">
      <c r="A80" s="11" t="s">
        <v>11010</v>
      </c>
      <c r="B80" s="10">
        <v>22</v>
      </c>
      <c r="C80" s="11"/>
      <c r="D80" s="11" t="s">
        <v>11053</v>
      </c>
      <c r="E80" s="10">
        <v>48</v>
      </c>
      <c r="F80" s="11"/>
      <c r="G80" s="11" t="s">
        <v>11086</v>
      </c>
      <c r="H80" s="10">
        <v>23</v>
      </c>
    </row>
    <row r="81" spans="1:8">
      <c r="A81" s="11" t="s">
        <v>11011</v>
      </c>
      <c r="B81" s="10">
        <v>12</v>
      </c>
      <c r="C81" s="11"/>
      <c r="D81" s="11" t="s">
        <v>11054</v>
      </c>
      <c r="E81" s="10">
        <v>38</v>
      </c>
      <c r="F81" s="11"/>
      <c r="G81" s="11" t="s">
        <v>11087</v>
      </c>
      <c r="H81" s="10">
        <v>19</v>
      </c>
    </row>
    <row r="82" spans="1:8">
      <c r="A82" s="11" t="s">
        <v>11020</v>
      </c>
      <c r="B82" s="10">
        <v>8</v>
      </c>
      <c r="C82" s="11"/>
      <c r="D82" s="11" t="s">
        <v>11055</v>
      </c>
      <c r="E82" s="10">
        <v>26</v>
      </c>
      <c r="F82" s="11"/>
      <c r="G82" s="11" t="s">
        <v>11088</v>
      </c>
      <c r="H82" s="10">
        <v>43</v>
      </c>
    </row>
    <row r="83" spans="1:8">
      <c r="A83" s="11" t="s">
        <v>11021</v>
      </c>
      <c r="B83" s="10">
        <v>24</v>
      </c>
      <c r="C83" s="11"/>
      <c r="D83" s="11" t="s">
        <v>11056</v>
      </c>
      <c r="E83" s="10">
        <v>14</v>
      </c>
      <c r="F83" s="11"/>
      <c r="G83" s="11" t="s">
        <v>11089</v>
      </c>
      <c r="H83" s="10">
        <v>43</v>
      </c>
    </row>
    <row r="84" spans="1:8">
      <c r="A84" s="11" t="s">
        <v>11022</v>
      </c>
      <c r="B84" s="10">
        <v>15</v>
      </c>
      <c r="C84" s="11"/>
      <c r="D84" s="11" t="s">
        <v>11057</v>
      </c>
      <c r="E84" s="10">
        <v>38</v>
      </c>
      <c r="F84" s="11"/>
      <c r="G84" s="11" t="s">
        <v>11090</v>
      </c>
      <c r="H84" s="10">
        <v>18</v>
      </c>
    </row>
    <row r="85" spans="1:8">
      <c r="A85" s="11" t="s">
        <v>11023</v>
      </c>
      <c r="B85" s="10">
        <v>16</v>
      </c>
      <c r="C85" s="11"/>
      <c r="D85" s="11" t="s">
        <v>11058</v>
      </c>
      <c r="E85" s="10">
        <v>10</v>
      </c>
      <c r="F85" s="11"/>
      <c r="G85" s="11" t="s">
        <v>11091</v>
      </c>
      <c r="H85" s="10">
        <v>32</v>
      </c>
    </row>
    <row r="86" spans="1:8">
      <c r="A86" s="11" t="s">
        <v>11024</v>
      </c>
      <c r="B86" s="10">
        <v>39</v>
      </c>
      <c r="C86" s="11"/>
      <c r="D86" s="11" t="s">
        <v>11059</v>
      </c>
      <c r="E86" s="10">
        <v>3</v>
      </c>
      <c r="F86" s="11"/>
      <c r="G86" s="11"/>
      <c r="H86" s="10"/>
    </row>
    <row r="87" spans="1:8">
      <c r="A87" s="11" t="s">
        <v>11025</v>
      </c>
      <c r="B87" s="10">
        <v>18</v>
      </c>
      <c r="C87" s="11"/>
      <c r="D87" s="11" t="s">
        <v>11060</v>
      </c>
      <c r="E87" s="10">
        <v>9</v>
      </c>
      <c r="F87" s="11"/>
      <c r="G87" s="11"/>
      <c r="H87" s="10"/>
    </row>
    <row r="88" spans="1:8">
      <c r="A88" s="11" t="s">
        <v>11028</v>
      </c>
      <c r="B88" s="10">
        <v>12</v>
      </c>
      <c r="C88" s="11"/>
      <c r="D88" s="11" t="s">
        <v>11061</v>
      </c>
      <c r="E88" s="10">
        <v>7</v>
      </c>
      <c r="F88" s="11"/>
      <c r="G88" s="12" t="s">
        <v>11092</v>
      </c>
      <c r="H88" s="13" t="s">
        <v>10850</v>
      </c>
    </row>
    <row r="89" spans="1:8">
      <c r="A89" s="11" t="s">
        <v>11029</v>
      </c>
      <c r="B89" s="10">
        <v>9</v>
      </c>
      <c r="C89" s="11"/>
      <c r="D89" s="11" t="s">
        <v>11062</v>
      </c>
      <c r="E89" s="10">
        <v>19</v>
      </c>
      <c r="F89" s="11"/>
      <c r="G89" s="11"/>
      <c r="H89" s="10"/>
    </row>
    <row r="90" spans="1:8">
      <c r="A90" s="11" t="s">
        <v>11030</v>
      </c>
      <c r="B90" s="10">
        <v>41</v>
      </c>
      <c r="C90" s="11"/>
      <c r="D90" s="11" t="s">
        <v>11063</v>
      </c>
      <c r="E90" s="10">
        <v>6</v>
      </c>
      <c r="F90" s="11"/>
      <c r="G90" s="11" t="s">
        <v>11093</v>
      </c>
      <c r="H90" s="10">
        <v>75</v>
      </c>
    </row>
    <row r="91" spans="1:8">
      <c r="A91" s="11" t="s">
        <v>11031</v>
      </c>
      <c r="B91" s="10">
        <v>10</v>
      </c>
      <c r="C91" s="11"/>
      <c r="D91" s="11" t="s">
        <v>11064</v>
      </c>
      <c r="E91" s="10">
        <v>8</v>
      </c>
      <c r="F91" s="11"/>
      <c r="G91" s="11" t="s">
        <v>11094</v>
      </c>
      <c r="H91" s="10">
        <v>51</v>
      </c>
    </row>
    <row r="92" spans="1:8">
      <c r="A92" s="11" t="s">
        <v>11032</v>
      </c>
      <c r="B92" s="10">
        <v>40</v>
      </c>
      <c r="C92" s="11"/>
      <c r="D92" s="11" t="s">
        <v>11065</v>
      </c>
      <c r="E92" s="10">
        <v>4</v>
      </c>
      <c r="F92" s="11"/>
      <c r="G92" s="11"/>
      <c r="H92" s="10"/>
    </row>
    <row r="93" spans="1:8">
      <c r="A93" s="11" t="s">
        <v>11033</v>
      </c>
      <c r="B93" s="10">
        <v>21</v>
      </c>
      <c r="C93" s="11"/>
      <c r="D93" s="11" t="s">
        <v>11066</v>
      </c>
      <c r="E93" s="10">
        <v>5</v>
      </c>
      <c r="F93" s="11"/>
      <c r="G93" s="11"/>
      <c r="H93" s="10"/>
    </row>
    <row r="94" spans="1:8">
      <c r="A94" s="11" t="s">
        <v>11034</v>
      </c>
      <c r="B94" s="10">
        <v>40</v>
      </c>
      <c r="C94" s="11"/>
      <c r="D94" s="11" t="s">
        <v>11067</v>
      </c>
      <c r="E94" s="10">
        <v>37</v>
      </c>
      <c r="F94" s="11"/>
      <c r="G94" s="12" t="s">
        <v>11095</v>
      </c>
      <c r="H94" s="13" t="s">
        <v>10850</v>
      </c>
    </row>
    <row r="95" spans="1:8">
      <c r="A95" s="11" t="s">
        <v>11035</v>
      </c>
      <c r="B95" s="10">
        <v>39</v>
      </c>
      <c r="C95" s="11"/>
      <c r="D95" s="11" t="s">
        <v>11068</v>
      </c>
      <c r="E95" s="10">
        <v>40</v>
      </c>
      <c r="F95" s="11"/>
      <c r="G95" s="11"/>
      <c r="H95" s="10"/>
    </row>
    <row r="96" spans="1:8">
      <c r="A96" s="11" t="s">
        <v>11036</v>
      </c>
      <c r="B96" s="10">
        <v>1</v>
      </c>
      <c r="C96" s="11"/>
      <c r="D96" s="11" t="s">
        <v>11069</v>
      </c>
      <c r="E96" s="10">
        <v>35</v>
      </c>
      <c r="F96" s="11"/>
      <c r="G96" s="11" t="s">
        <v>11096</v>
      </c>
      <c r="H96" s="10">
        <v>73</v>
      </c>
    </row>
    <row r="97" spans="1:8">
      <c r="A97" s="11" t="s">
        <v>11037</v>
      </c>
      <c r="B97" s="10">
        <v>4</v>
      </c>
      <c r="C97" s="11"/>
      <c r="D97" s="11" t="s">
        <v>11070</v>
      </c>
      <c r="E97" s="10">
        <v>21</v>
      </c>
      <c r="F97" s="11"/>
      <c r="G97" s="11" t="s">
        <v>11097</v>
      </c>
      <c r="H97" s="10">
        <v>75</v>
      </c>
    </row>
    <row r="98" spans="1:8">
      <c r="A98" s="11" t="s">
        <v>11038</v>
      </c>
      <c r="B98" s="10">
        <v>1</v>
      </c>
      <c r="C98" s="11"/>
      <c r="D98" s="11" t="s">
        <v>11071</v>
      </c>
      <c r="E98" s="10">
        <v>5</v>
      </c>
      <c r="F98" s="11"/>
      <c r="G98" s="11" t="s">
        <v>11098</v>
      </c>
      <c r="H98" s="10">
        <v>77</v>
      </c>
    </row>
    <row r="99" spans="1:8">
      <c r="A99" s="11" t="s">
        <v>11039</v>
      </c>
      <c r="B99" s="10">
        <v>4</v>
      </c>
      <c r="C99" s="11"/>
      <c r="D99" s="11" t="s">
        <v>11072</v>
      </c>
      <c r="E99" s="10">
        <v>22</v>
      </c>
      <c r="F99" s="11"/>
      <c r="G99" s="11" t="s">
        <v>11099</v>
      </c>
      <c r="H99" s="10">
        <v>78</v>
      </c>
    </row>
    <row r="100" spans="1:8">
      <c r="A100" s="11" t="s">
        <v>11040</v>
      </c>
      <c r="B100" s="10">
        <v>17</v>
      </c>
      <c r="C100" s="11"/>
      <c r="D100" s="11" t="s">
        <v>11073</v>
      </c>
      <c r="E100" s="10">
        <v>28</v>
      </c>
      <c r="F100" s="11"/>
      <c r="G100" s="11" t="s">
        <v>11100</v>
      </c>
      <c r="H100" s="10">
        <v>71</v>
      </c>
    </row>
    <row r="101" spans="1:8">
      <c r="A101" s="11" t="s">
        <v>11041</v>
      </c>
      <c r="B101" s="10">
        <v>32</v>
      </c>
      <c r="C101" s="11"/>
      <c r="D101" s="11" t="s">
        <v>11074</v>
      </c>
      <c r="E101" s="10">
        <v>11</v>
      </c>
      <c r="F101" s="11"/>
      <c r="G101" s="11" t="s">
        <v>11101</v>
      </c>
      <c r="H101" s="10">
        <v>77</v>
      </c>
    </row>
    <row r="102" spans="1:8">
      <c r="A102" s="11" t="s">
        <v>11042</v>
      </c>
      <c r="B102" s="10">
        <v>5</v>
      </c>
      <c r="C102" s="11"/>
      <c r="D102" s="11" t="s">
        <v>11075</v>
      </c>
      <c r="E102" s="10">
        <v>42</v>
      </c>
      <c r="F102" s="11"/>
      <c r="G102" s="11" t="s">
        <v>11102</v>
      </c>
      <c r="H102" s="10">
        <v>88</v>
      </c>
    </row>
    <row r="103" spans="1:8">
      <c r="A103" s="11" t="s">
        <v>11043</v>
      </c>
      <c r="B103" s="10">
        <v>50</v>
      </c>
      <c r="C103" s="11"/>
      <c r="D103" s="11" t="s">
        <v>11076</v>
      </c>
      <c r="E103" s="10">
        <v>12</v>
      </c>
      <c r="F103" s="11"/>
      <c r="G103" s="11" t="s">
        <v>11103</v>
      </c>
      <c r="H103" s="10">
        <v>94</v>
      </c>
    </row>
    <row r="104" spans="1:8">
      <c r="A104" s="11" t="s">
        <v>11044</v>
      </c>
      <c r="B104" s="10">
        <v>43</v>
      </c>
      <c r="C104" s="11"/>
      <c r="D104" s="11" t="s">
        <v>11077</v>
      </c>
      <c r="E104" s="10">
        <v>41</v>
      </c>
      <c r="F104" s="11"/>
      <c r="G104" s="11" t="s">
        <v>11104</v>
      </c>
      <c r="H104" s="10">
        <v>81</v>
      </c>
    </row>
    <row r="105" spans="1:8">
      <c r="A105" s="11" t="s">
        <v>11045</v>
      </c>
      <c r="B105" s="10">
        <v>45</v>
      </c>
      <c r="C105" s="11"/>
      <c r="D105" s="11" t="s">
        <v>11078</v>
      </c>
      <c r="E105" s="10">
        <v>41</v>
      </c>
      <c r="F105" s="11"/>
      <c r="G105" s="11" t="s">
        <v>11105</v>
      </c>
      <c r="H105" s="10">
        <v>58</v>
      </c>
    </row>
    <row r="106" spans="1:8">
      <c r="A106" s="11" t="s">
        <v>11046</v>
      </c>
      <c r="B106" s="10">
        <v>17</v>
      </c>
      <c r="C106" s="11"/>
      <c r="D106" s="11" t="s">
        <v>11079</v>
      </c>
      <c r="E106" s="10">
        <v>28</v>
      </c>
      <c r="F106" s="11"/>
      <c r="G106" s="11" t="s">
        <v>11106</v>
      </c>
      <c r="H106" s="10">
        <v>80</v>
      </c>
    </row>
    <row r="107" spans="1:8">
      <c r="A107" s="11" t="s">
        <v>11047</v>
      </c>
      <c r="B107" s="10">
        <v>2</v>
      </c>
      <c r="C107" s="11"/>
      <c r="D107" s="11" t="s">
        <v>11080</v>
      </c>
      <c r="E107" s="10">
        <v>33</v>
      </c>
      <c r="F107" s="11"/>
      <c r="G107" s="11" t="s">
        <v>11107</v>
      </c>
      <c r="H107" s="10">
        <v>75</v>
      </c>
    </row>
    <row r="108" spans="1:8">
      <c r="A108" s="11" t="s">
        <v>11048</v>
      </c>
      <c r="B108" s="10">
        <v>33</v>
      </c>
      <c r="C108" s="11"/>
      <c r="D108" s="11" t="s">
        <v>11081</v>
      </c>
      <c r="E108" s="10">
        <v>35</v>
      </c>
      <c r="F108" s="11"/>
      <c r="G108" s="11" t="s">
        <v>11108</v>
      </c>
      <c r="H108" s="10">
        <v>75</v>
      </c>
    </row>
    <row r="109" spans="1:8">
      <c r="A109" s="11" t="s">
        <v>11049</v>
      </c>
      <c r="B109" s="10">
        <v>45</v>
      </c>
      <c r="C109" s="11"/>
      <c r="D109" s="11" t="s">
        <v>11082</v>
      </c>
      <c r="E109" s="10">
        <v>18</v>
      </c>
      <c r="F109" s="11"/>
      <c r="G109" s="11" t="s">
        <v>11109</v>
      </c>
      <c r="H109" s="10">
        <v>56</v>
      </c>
    </row>
    <row r="110" spans="1:8">
      <c r="A110" s="11" t="s">
        <v>11050</v>
      </c>
      <c r="B110" s="10">
        <v>49</v>
      </c>
      <c r="C110" s="11"/>
      <c r="D110" s="11" t="s">
        <v>11083</v>
      </c>
      <c r="E110" s="10">
        <v>39</v>
      </c>
      <c r="F110" s="11"/>
      <c r="G110" s="11" t="s">
        <v>11110</v>
      </c>
      <c r="H110" s="10">
        <v>79</v>
      </c>
    </row>
    <row r="111" spans="1:8">
      <c r="A111" s="11" t="s">
        <v>11051</v>
      </c>
      <c r="B111" s="10">
        <v>46</v>
      </c>
      <c r="C111" s="11"/>
      <c r="D111" s="11" t="s">
        <v>11084</v>
      </c>
      <c r="E111" s="10">
        <v>23</v>
      </c>
      <c r="F111" s="11"/>
      <c r="G111" s="11" t="s">
        <v>11111</v>
      </c>
      <c r="H111" s="10">
        <v>78</v>
      </c>
    </row>
    <row r="112" spans="1:8">
      <c r="A112" s="11" t="s">
        <v>11052</v>
      </c>
      <c r="B112" s="10">
        <v>48</v>
      </c>
      <c r="C112" s="11"/>
      <c r="D112" s="11" t="s">
        <v>11085</v>
      </c>
      <c r="E112" s="10">
        <v>35</v>
      </c>
      <c r="F112" s="11"/>
      <c r="G112" s="11" t="s">
        <v>11112</v>
      </c>
      <c r="H112" s="10">
        <v>82</v>
      </c>
    </row>
    <row r="113" spans="1:8">
      <c r="A113" s="11"/>
      <c r="C113" s="11"/>
      <c r="D113" s="11"/>
      <c r="E113" s="10"/>
      <c r="F113" s="11"/>
      <c r="G113" s="11"/>
      <c r="H113" s="10"/>
    </row>
    <row r="114" spans="1:8">
      <c r="A114" s="11"/>
      <c r="C114" s="11"/>
      <c r="D114" s="11"/>
      <c r="E114" s="10"/>
      <c r="F114" s="11"/>
      <c r="G114" s="11"/>
      <c r="H114" s="10"/>
    </row>
    <row r="115" spans="1:8">
      <c r="A115" s="7" t="s">
        <v>11095</v>
      </c>
      <c r="B115" s="8" t="s">
        <v>10850</v>
      </c>
      <c r="C115" s="11"/>
      <c r="D115" s="7"/>
      <c r="E115" s="8"/>
      <c r="F115" s="11"/>
      <c r="G115" s="7"/>
      <c r="H115" s="8"/>
    </row>
    <row r="116" spans="1:8" s="7" customFormat="1">
      <c r="A116" s="11"/>
      <c r="B116" s="10"/>
      <c r="D116" s="11"/>
      <c r="E116" s="10"/>
      <c r="G116" s="11"/>
      <c r="H116" s="10"/>
    </row>
    <row r="117" spans="1:8">
      <c r="A117" s="11" t="s">
        <v>11113</v>
      </c>
      <c r="B117" s="10">
        <v>86</v>
      </c>
      <c r="C117" s="11"/>
      <c r="D117" s="11"/>
      <c r="E117" s="10"/>
      <c r="F117" s="11"/>
      <c r="G117" s="11"/>
      <c r="H117" s="10"/>
    </row>
    <row r="118" spans="1:8">
      <c r="A118" s="11" t="s">
        <v>11114</v>
      </c>
      <c r="B118" s="10">
        <v>81</v>
      </c>
      <c r="C118" s="11"/>
      <c r="D118" s="11"/>
      <c r="E118" s="10"/>
      <c r="F118" s="11"/>
      <c r="G118" s="11"/>
      <c r="H118" s="10"/>
    </row>
    <row r="119" spans="1:8">
      <c r="A119" s="11" t="s">
        <v>11115</v>
      </c>
      <c r="B119" s="10">
        <v>88</v>
      </c>
      <c r="C119" s="11"/>
      <c r="D119" s="11"/>
      <c r="E119" s="10"/>
      <c r="F119" s="11"/>
      <c r="G119" s="11"/>
      <c r="H119" s="10"/>
    </row>
    <row r="120" spans="1:8">
      <c r="A120" s="11" t="s">
        <v>11116</v>
      </c>
      <c r="B120" s="10">
        <v>89</v>
      </c>
      <c r="C120" s="11"/>
      <c r="D120" s="11"/>
      <c r="E120" s="10"/>
      <c r="F120" s="11"/>
      <c r="G120" s="11"/>
      <c r="H120" s="10"/>
    </row>
    <row r="121" spans="1:8">
      <c r="A121" s="11" t="s">
        <v>11117</v>
      </c>
      <c r="B121" s="10">
        <v>64</v>
      </c>
      <c r="C121" s="11"/>
      <c r="D121" s="11"/>
      <c r="E121" s="10"/>
      <c r="F121" s="11"/>
      <c r="G121" s="11"/>
      <c r="H121" s="10"/>
    </row>
    <row r="122" spans="1:8">
      <c r="A122" s="11" t="s">
        <v>11118</v>
      </c>
      <c r="B122" s="10">
        <v>71</v>
      </c>
      <c r="C122" s="11"/>
      <c r="D122" s="11"/>
      <c r="E122" s="10"/>
      <c r="F122" s="11"/>
      <c r="G122" s="11"/>
      <c r="H122" s="10"/>
    </row>
    <row r="123" spans="1:8">
      <c r="A123" s="11" t="s">
        <v>11119</v>
      </c>
      <c r="B123" s="10">
        <v>52</v>
      </c>
      <c r="C123" s="11"/>
      <c r="D123" s="11"/>
      <c r="E123" s="10"/>
      <c r="F123" s="11"/>
      <c r="G123" s="11"/>
      <c r="H123" s="10"/>
    </row>
    <row r="124" spans="1:8">
      <c r="A124" s="11" t="s">
        <v>11120</v>
      </c>
      <c r="B124" s="10">
        <v>88</v>
      </c>
      <c r="C124" s="11"/>
      <c r="D124" s="11"/>
      <c r="E124" s="10"/>
      <c r="F124" s="11"/>
      <c r="G124" s="11"/>
      <c r="H124" s="10"/>
    </row>
    <row r="125" spans="1:8">
      <c r="A125" s="11" t="s">
        <v>11121</v>
      </c>
      <c r="B125" s="10">
        <v>53</v>
      </c>
      <c r="C125" s="11"/>
      <c r="D125" s="11"/>
      <c r="E125" s="10"/>
      <c r="F125" s="11"/>
      <c r="G125" s="11"/>
      <c r="H125" s="10"/>
    </row>
    <row r="126" spans="1:8">
      <c r="A126" s="11" t="s">
        <v>11122</v>
      </c>
      <c r="B126" s="10">
        <v>93</v>
      </c>
      <c r="C126" s="11"/>
      <c r="D126" s="11"/>
      <c r="E126" s="10"/>
      <c r="F126" s="11"/>
      <c r="G126" s="11"/>
      <c r="H126" s="10"/>
    </row>
    <row r="127" spans="1:8">
      <c r="A127" s="11" t="s">
        <v>11123</v>
      </c>
      <c r="B127" s="10">
        <v>90</v>
      </c>
      <c r="C127" s="11"/>
      <c r="D127" s="11"/>
      <c r="E127" s="10"/>
      <c r="F127" s="11"/>
      <c r="G127" s="11"/>
      <c r="H127" s="10"/>
    </row>
    <row r="128" spans="1:8">
      <c r="A128" s="11" t="s">
        <v>11124</v>
      </c>
      <c r="B128" s="10">
        <v>89</v>
      </c>
      <c r="C128" s="11"/>
      <c r="D128" s="11"/>
      <c r="E128" s="10"/>
      <c r="F128" s="11"/>
      <c r="G128" s="11"/>
      <c r="H128" s="10"/>
    </row>
    <row r="129" spans="1:8">
      <c r="A129" s="11" t="s">
        <v>11125</v>
      </c>
      <c r="B129" s="10">
        <v>89</v>
      </c>
      <c r="C129" s="11"/>
      <c r="D129" s="11"/>
      <c r="E129" s="10"/>
      <c r="F129" s="11"/>
      <c r="G129" s="11"/>
      <c r="H129" s="10"/>
    </row>
    <row r="130" spans="1:8">
      <c r="A130" s="11" t="s">
        <v>11126</v>
      </c>
      <c r="B130" s="10">
        <v>90</v>
      </c>
      <c r="C130" s="11"/>
      <c r="D130" s="11"/>
      <c r="E130" s="10"/>
      <c r="F130" s="11"/>
      <c r="G130" s="11"/>
      <c r="H130" s="10"/>
    </row>
    <row r="131" spans="1:8">
      <c r="A131" s="11" t="s">
        <v>11127</v>
      </c>
      <c r="B131" s="10">
        <v>57</v>
      </c>
      <c r="C131" s="11"/>
      <c r="D131" s="11"/>
      <c r="E131" s="10"/>
      <c r="F131" s="11"/>
      <c r="G131" s="11"/>
      <c r="H131" s="10"/>
    </row>
    <row r="132" spans="1:8">
      <c r="A132" s="11" t="s">
        <v>11128</v>
      </c>
      <c r="B132" s="10">
        <v>72</v>
      </c>
      <c r="C132" s="11"/>
      <c r="D132" s="11"/>
      <c r="E132" s="10"/>
      <c r="F132" s="11"/>
      <c r="G132" s="11"/>
      <c r="H132" s="10"/>
    </row>
    <row r="133" spans="1:8">
      <c r="A133" s="11" t="s">
        <v>11129</v>
      </c>
      <c r="B133" s="10">
        <v>59</v>
      </c>
      <c r="C133" s="11"/>
      <c r="D133" s="11"/>
      <c r="E133" s="10"/>
      <c r="F133" s="11"/>
      <c r="G133" s="11"/>
      <c r="H133" s="10"/>
    </row>
    <row r="134" spans="1:8">
      <c r="A134" s="11" t="s">
        <v>11130</v>
      </c>
      <c r="B134" s="10">
        <v>76</v>
      </c>
      <c r="C134" s="11"/>
      <c r="D134" s="11"/>
      <c r="E134" s="10"/>
      <c r="F134" s="11"/>
      <c r="G134" s="11"/>
      <c r="H134" s="10"/>
    </row>
    <row r="135" spans="1:8">
      <c r="A135" s="11" t="s">
        <v>11131</v>
      </c>
      <c r="B135" s="10">
        <v>59</v>
      </c>
      <c r="C135" s="11"/>
      <c r="D135" s="11"/>
      <c r="E135" s="10"/>
      <c r="F135" s="11"/>
      <c r="G135" s="11"/>
      <c r="H135" s="10"/>
    </row>
    <row r="136" spans="1:8">
      <c r="A136" s="11" t="s">
        <v>11132</v>
      </c>
      <c r="B136" s="10">
        <v>76</v>
      </c>
      <c r="C136" s="11"/>
      <c r="D136" s="11"/>
      <c r="E136" s="10"/>
      <c r="F136" s="11"/>
      <c r="G136" s="11"/>
      <c r="H136" s="10"/>
    </row>
    <row r="137" spans="1:8">
      <c r="A137" s="11" t="s">
        <v>11133</v>
      </c>
      <c r="B137" s="10">
        <v>72</v>
      </c>
      <c r="C137" s="11"/>
      <c r="D137" s="11"/>
      <c r="E137" s="10"/>
      <c r="F137" s="11"/>
      <c r="G137" s="11"/>
      <c r="H137" s="10"/>
    </row>
    <row r="138" spans="1:8">
      <c r="A138" s="11" t="s">
        <v>11134</v>
      </c>
      <c r="B138" s="10">
        <v>75</v>
      </c>
      <c r="C138" s="11"/>
      <c r="D138" s="11"/>
      <c r="E138" s="10"/>
      <c r="F138" s="11"/>
      <c r="G138" s="11"/>
      <c r="H138" s="10"/>
    </row>
    <row r="139" spans="1:8">
      <c r="A139" s="11" t="s">
        <v>11135</v>
      </c>
      <c r="B139" s="10">
        <v>60</v>
      </c>
      <c r="C139" s="11"/>
      <c r="D139" s="11"/>
      <c r="E139" s="10"/>
      <c r="F139" s="11"/>
      <c r="G139" s="11"/>
      <c r="H139" s="10"/>
    </row>
    <row r="140" spans="1:8">
      <c r="A140" s="11" t="s">
        <v>11136</v>
      </c>
      <c r="B140" s="10">
        <v>55</v>
      </c>
      <c r="C140" s="11"/>
      <c r="D140" s="11"/>
      <c r="E140" s="10"/>
      <c r="F140" s="11"/>
      <c r="G140" s="11"/>
      <c r="H140" s="10"/>
    </row>
    <row r="141" spans="1:8">
      <c r="A141" s="11" t="s">
        <v>11137</v>
      </c>
      <c r="B141" s="10">
        <v>71</v>
      </c>
      <c r="C141" s="11"/>
      <c r="D141" s="11"/>
      <c r="E141" s="10"/>
      <c r="F141" s="11"/>
      <c r="G141" s="11"/>
      <c r="H141" s="10"/>
    </row>
    <row r="142" spans="1:8">
      <c r="A142" s="11" t="s">
        <v>11138</v>
      </c>
      <c r="B142" s="10">
        <v>73</v>
      </c>
      <c r="C142" s="11"/>
      <c r="D142" s="11"/>
      <c r="E142" s="10"/>
      <c r="F142" s="11"/>
      <c r="G142" s="11"/>
      <c r="H142" s="10"/>
    </row>
    <row r="143" spans="1:8">
      <c r="A143" s="11" t="s">
        <v>11139</v>
      </c>
      <c r="B143" s="10">
        <v>85</v>
      </c>
      <c r="C143" s="11"/>
      <c r="D143" s="11"/>
      <c r="E143" s="10"/>
      <c r="F143" s="11"/>
      <c r="G143" s="11"/>
      <c r="H143" s="10"/>
    </row>
    <row r="144" spans="1:8">
      <c r="A144" s="11" t="s">
        <v>11140</v>
      </c>
      <c r="B144" s="10">
        <v>57</v>
      </c>
      <c r="C144" s="11"/>
      <c r="D144" s="11"/>
      <c r="E144" s="10"/>
      <c r="F144" s="11"/>
      <c r="G144" s="11"/>
      <c r="H144" s="10"/>
    </row>
    <row r="145" spans="1:8">
      <c r="A145" s="11" t="s">
        <v>11141</v>
      </c>
      <c r="B145" s="10">
        <v>65</v>
      </c>
      <c r="C145" s="11"/>
      <c r="D145" s="11"/>
      <c r="E145" s="10"/>
      <c r="F145" s="11"/>
      <c r="G145" s="11"/>
      <c r="H145" s="10"/>
    </row>
    <row r="146" spans="1:8">
      <c r="A146" s="11" t="s">
        <v>11142</v>
      </c>
      <c r="B146" s="10">
        <v>93</v>
      </c>
      <c r="C146" s="11"/>
      <c r="D146" s="11"/>
      <c r="E146" s="10"/>
      <c r="F146" s="11"/>
      <c r="G146" s="11"/>
      <c r="H146" s="10"/>
    </row>
    <row r="147" spans="1:8">
      <c r="A147" s="11" t="s">
        <v>11143</v>
      </c>
      <c r="B147" s="10">
        <v>51</v>
      </c>
      <c r="C147" s="11"/>
      <c r="D147" s="11"/>
      <c r="E147" s="10"/>
      <c r="F147" s="11"/>
      <c r="G147" s="11"/>
      <c r="H147" s="10"/>
    </row>
    <row r="148" spans="1:8">
      <c r="A148" s="11" t="s">
        <v>11144</v>
      </c>
      <c r="B148" s="10">
        <v>55</v>
      </c>
      <c r="C148" s="11"/>
      <c r="D148" s="11"/>
      <c r="E148" s="10"/>
      <c r="F148" s="11"/>
      <c r="G148" s="11"/>
      <c r="H148" s="10"/>
    </row>
    <row r="149" spans="1:8">
      <c r="A149" s="11" t="s">
        <v>11145</v>
      </c>
      <c r="B149" s="10">
        <v>79</v>
      </c>
      <c r="C149" s="11"/>
      <c r="D149" s="11"/>
      <c r="E149" s="10"/>
      <c r="F149" s="11"/>
      <c r="G149" s="11"/>
      <c r="H149" s="10"/>
    </row>
    <row r="150" spans="1:8">
      <c r="A150" s="11"/>
      <c r="C150" s="11"/>
      <c r="D150" s="11"/>
      <c r="E150" s="10"/>
      <c r="F150" s="11"/>
      <c r="G150" s="11"/>
      <c r="H150" s="10"/>
    </row>
    <row r="151" spans="1:8">
      <c r="C151" s="11"/>
      <c r="F151" s="11"/>
    </row>
  </sheetData>
  <pageMargins left="0.42" right="0.46" top="0.41" bottom="0.39" header="0.3" footer="0.3"/>
  <pageSetup orientation="landscape" r:id="rId1"/>
  <customProperties>
    <customPr name="DVSECTION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2:J5510"/>
  <sheetViews>
    <sheetView workbookViewId="0"/>
  </sheetViews>
  <sheetFormatPr defaultRowHeight="15"/>
  <cols>
    <col min="1" max="1" width="9.5703125" style="1" customWidth="1"/>
    <col min="2" max="2" width="14.140625" style="1" customWidth="1"/>
    <col min="3" max="3" width="6.85546875" style="1" customWidth="1"/>
    <col min="4" max="4" width="7.140625" style="1" customWidth="1"/>
    <col min="5" max="5" width="32.5703125" customWidth="1"/>
    <col min="6" max="6" width="8.7109375" customWidth="1"/>
    <col min="7" max="7" width="15.140625" customWidth="1"/>
    <col min="8" max="8" width="6" customWidth="1"/>
    <col min="9" max="9" width="8.5703125" customWidth="1"/>
  </cols>
  <sheetData>
    <row r="2" spans="1:10" s="3" customFormat="1" ht="21" customHeight="1">
      <c r="A2" s="4" t="s">
        <v>10681</v>
      </c>
      <c r="B2" s="2"/>
      <c r="C2" s="2"/>
      <c r="D2" s="2"/>
      <c r="F2" s="4" t="s">
        <v>10681</v>
      </c>
      <c r="G2" s="2"/>
      <c r="H2" s="2"/>
      <c r="I2" s="2"/>
    </row>
    <row r="3" spans="1:10" s="3" customFormat="1">
      <c r="A3" s="2" t="s">
        <v>0</v>
      </c>
      <c r="B3" s="2" t="s">
        <v>1</v>
      </c>
      <c r="C3" s="2" t="s">
        <v>2</v>
      </c>
      <c r="D3" s="2" t="s">
        <v>3</v>
      </c>
      <c r="E3" s="3" t="s">
        <v>4</v>
      </c>
      <c r="F3" s="2" t="s">
        <v>0</v>
      </c>
      <c r="G3" s="2" t="s">
        <v>1</v>
      </c>
      <c r="H3" s="2" t="s">
        <v>2</v>
      </c>
      <c r="I3" s="2" t="s">
        <v>3</v>
      </c>
      <c r="J3" s="3" t="s">
        <v>4</v>
      </c>
    </row>
    <row r="4" spans="1:10">
      <c r="A4" s="1">
        <v>8987</v>
      </c>
      <c r="B4" s="1">
        <v>7339001431</v>
      </c>
      <c r="C4" s="1">
        <v>18</v>
      </c>
      <c r="D4" s="1" t="s">
        <v>8</v>
      </c>
      <c r="E4" t="s">
        <v>19</v>
      </c>
      <c r="F4" s="1">
        <v>28050</v>
      </c>
      <c r="G4" s="1">
        <v>2200000317</v>
      </c>
      <c r="H4" s="1">
        <v>4</v>
      </c>
      <c r="I4" s="1" t="s">
        <v>52</v>
      </c>
      <c r="J4" t="s">
        <v>67</v>
      </c>
    </row>
    <row r="5" spans="1:10">
      <c r="A5" s="1">
        <v>168500</v>
      </c>
      <c r="B5" s="1">
        <v>2200000906</v>
      </c>
      <c r="C5" s="1">
        <v>12</v>
      </c>
      <c r="D5" s="1" t="s">
        <v>20</v>
      </c>
      <c r="E5" t="s">
        <v>21</v>
      </c>
      <c r="F5" s="1">
        <v>307231</v>
      </c>
      <c r="G5" s="1">
        <v>2200000844</v>
      </c>
      <c r="H5" s="1">
        <v>10</v>
      </c>
      <c r="I5" s="1" t="s">
        <v>68</v>
      </c>
      <c r="J5" t="s">
        <v>69</v>
      </c>
    </row>
    <row r="6" spans="1:10">
      <c r="A6" s="1">
        <v>648154</v>
      </c>
      <c r="B6" s="1">
        <v>2200000466</v>
      </c>
      <c r="C6" s="1">
        <v>12</v>
      </c>
      <c r="D6" s="1" t="s">
        <v>20</v>
      </c>
      <c r="E6" t="s">
        <v>22</v>
      </c>
      <c r="F6" s="1">
        <v>891507</v>
      </c>
      <c r="G6" s="1">
        <v>2200000845</v>
      </c>
      <c r="H6" s="1">
        <v>10</v>
      </c>
      <c r="I6" s="1" t="s">
        <v>68</v>
      </c>
      <c r="J6" t="s">
        <v>70</v>
      </c>
    </row>
    <row r="7" spans="1:10">
      <c r="A7" s="1">
        <v>281071</v>
      </c>
      <c r="B7" s="1">
        <v>2200015935</v>
      </c>
      <c r="C7" s="1">
        <v>12</v>
      </c>
      <c r="D7" s="1" t="s">
        <v>20</v>
      </c>
      <c r="E7" t="s">
        <v>23</v>
      </c>
      <c r="F7" s="1">
        <v>266528</v>
      </c>
      <c r="G7" s="1">
        <v>2200011214</v>
      </c>
      <c r="H7" s="1">
        <v>10</v>
      </c>
      <c r="I7" s="1" t="s">
        <v>68</v>
      </c>
      <c r="J7" t="s">
        <v>71</v>
      </c>
    </row>
    <row r="8" spans="1:10">
      <c r="A8" s="1">
        <v>26344</v>
      </c>
      <c r="B8" s="1">
        <v>2200000908</v>
      </c>
      <c r="C8" s="1">
        <v>12</v>
      </c>
      <c r="D8" s="1" t="s">
        <v>20</v>
      </c>
      <c r="E8" t="s">
        <v>24</v>
      </c>
      <c r="F8" s="1">
        <v>363499</v>
      </c>
      <c r="G8" s="1">
        <v>2200011216</v>
      </c>
      <c r="H8" s="1">
        <v>10</v>
      </c>
      <c r="I8" s="1" t="s">
        <v>68</v>
      </c>
      <c r="J8" t="s">
        <v>72</v>
      </c>
    </row>
    <row r="9" spans="1:10">
      <c r="A9" s="1">
        <v>736223</v>
      </c>
      <c r="B9" s="1">
        <v>2200015933</v>
      </c>
      <c r="C9" s="1">
        <v>12</v>
      </c>
      <c r="D9" s="1" t="s">
        <v>20</v>
      </c>
      <c r="E9" t="s">
        <v>25</v>
      </c>
      <c r="F9" s="1">
        <v>787119</v>
      </c>
      <c r="G9" s="1">
        <v>2200000866</v>
      </c>
      <c r="H9" s="1">
        <v>10</v>
      </c>
      <c r="I9" s="1" t="s">
        <v>68</v>
      </c>
      <c r="J9" t="s">
        <v>73</v>
      </c>
    </row>
    <row r="10" spans="1:10">
      <c r="A10" s="1">
        <v>774067</v>
      </c>
      <c r="B10" s="1">
        <v>2200000973</v>
      </c>
      <c r="C10" s="1">
        <v>9</v>
      </c>
      <c r="D10" s="1" t="s">
        <v>26</v>
      </c>
      <c r="E10" t="s">
        <v>27</v>
      </c>
      <c r="F10" s="1">
        <v>169946</v>
      </c>
      <c r="G10" s="1">
        <v>2200000891</v>
      </c>
      <c r="H10" s="1">
        <v>10</v>
      </c>
      <c r="I10" s="1" t="s">
        <v>68</v>
      </c>
      <c r="J10" t="s">
        <v>74</v>
      </c>
    </row>
    <row r="11" spans="1:10">
      <c r="A11" s="1">
        <v>270082</v>
      </c>
      <c r="B11" s="1">
        <v>2200000974</v>
      </c>
      <c r="C11" s="1">
        <v>9</v>
      </c>
      <c r="D11" s="1" t="s">
        <v>26</v>
      </c>
      <c r="E11" t="s">
        <v>28</v>
      </c>
      <c r="F11" s="1">
        <v>105205</v>
      </c>
      <c r="G11" s="1">
        <v>2200000898</v>
      </c>
      <c r="H11" s="1">
        <v>10</v>
      </c>
      <c r="I11" s="1" t="s">
        <v>68</v>
      </c>
      <c r="J11" t="s">
        <v>75</v>
      </c>
    </row>
    <row r="12" spans="1:10">
      <c r="A12" s="1">
        <v>114769</v>
      </c>
      <c r="B12" s="1">
        <v>2200015873</v>
      </c>
      <c r="C12" s="1">
        <v>8</v>
      </c>
      <c r="D12" s="1" t="s">
        <v>20</v>
      </c>
      <c r="E12" t="s">
        <v>29</v>
      </c>
      <c r="F12" s="1">
        <v>441857</v>
      </c>
      <c r="G12" s="1">
        <v>2200000899</v>
      </c>
      <c r="H12" s="1">
        <v>10</v>
      </c>
      <c r="I12" s="1" t="s">
        <v>68</v>
      </c>
      <c r="J12" t="s">
        <v>76</v>
      </c>
    </row>
    <row r="13" spans="1:10">
      <c r="A13" s="1">
        <v>630772</v>
      </c>
      <c r="B13" s="1">
        <v>2200015934</v>
      </c>
      <c r="C13" s="1">
        <v>12</v>
      </c>
      <c r="D13" s="1" t="s">
        <v>20</v>
      </c>
      <c r="E13" t="s">
        <v>30</v>
      </c>
      <c r="F13" s="1">
        <v>871558</v>
      </c>
      <c r="G13" s="1">
        <v>2200000897</v>
      </c>
      <c r="H13" s="1">
        <v>10</v>
      </c>
      <c r="I13" s="1" t="s">
        <v>68</v>
      </c>
      <c r="J13" t="s">
        <v>77</v>
      </c>
    </row>
    <row r="14" spans="1:10">
      <c r="A14" s="1">
        <v>163188</v>
      </c>
      <c r="B14" s="1">
        <v>2211007980</v>
      </c>
      <c r="C14" s="1">
        <v>12</v>
      </c>
      <c r="D14" s="1" t="s">
        <v>31</v>
      </c>
      <c r="E14" t="s">
        <v>32</v>
      </c>
      <c r="F14" s="1">
        <v>332932</v>
      </c>
      <c r="G14" s="1">
        <v>2200000838</v>
      </c>
      <c r="H14" s="1">
        <v>10</v>
      </c>
      <c r="I14" s="1" t="s">
        <v>68</v>
      </c>
      <c r="J14" t="s">
        <v>78</v>
      </c>
    </row>
    <row r="15" spans="1:10">
      <c r="A15" s="1">
        <v>185744</v>
      </c>
      <c r="B15" s="1">
        <v>3400000764</v>
      </c>
      <c r="C15" s="1">
        <v>24</v>
      </c>
      <c r="D15" s="1" t="s">
        <v>33</v>
      </c>
      <c r="E15" t="s">
        <v>34</v>
      </c>
      <c r="F15" s="1">
        <v>454942</v>
      </c>
      <c r="G15" s="1">
        <v>2200000840</v>
      </c>
      <c r="H15" s="1">
        <v>10</v>
      </c>
      <c r="I15" s="1" t="s">
        <v>68</v>
      </c>
      <c r="J15" t="s">
        <v>79</v>
      </c>
    </row>
    <row r="16" spans="1:10">
      <c r="A16" s="1">
        <v>755264</v>
      </c>
      <c r="B16" s="1">
        <v>3400000767</v>
      </c>
      <c r="C16" s="1">
        <v>24</v>
      </c>
      <c r="D16" s="1" t="s">
        <v>33</v>
      </c>
      <c r="E16" t="s">
        <v>35</v>
      </c>
      <c r="F16" s="1">
        <v>127928</v>
      </c>
      <c r="G16" s="1">
        <v>980012301</v>
      </c>
      <c r="H16" s="1">
        <v>12</v>
      </c>
      <c r="I16" s="1" t="s">
        <v>56</v>
      </c>
      <c r="J16" t="s">
        <v>80</v>
      </c>
    </row>
    <row r="17" spans="1:10">
      <c r="A17" s="1">
        <v>164947</v>
      </c>
      <c r="B17" s="1">
        <v>3400000719</v>
      </c>
      <c r="C17" s="1">
        <v>18</v>
      </c>
      <c r="D17" s="1" t="s">
        <v>36</v>
      </c>
      <c r="E17" t="s">
        <v>37</v>
      </c>
      <c r="F17" s="1">
        <v>136556</v>
      </c>
      <c r="G17" s="1">
        <v>980007002</v>
      </c>
      <c r="H17" s="1">
        <v>9</v>
      </c>
      <c r="I17" s="1" t="s">
        <v>81</v>
      </c>
      <c r="J17" t="s">
        <v>82</v>
      </c>
    </row>
    <row r="18" spans="1:10">
      <c r="A18" s="1">
        <v>26856</v>
      </c>
      <c r="B18" s="1">
        <v>1254691769</v>
      </c>
      <c r="C18" s="1">
        <v>18</v>
      </c>
      <c r="D18" s="1" t="s">
        <v>5</v>
      </c>
      <c r="E18" t="s">
        <v>38</v>
      </c>
      <c r="F18" s="1">
        <v>124875</v>
      </c>
      <c r="G18" s="1">
        <v>980007001</v>
      </c>
      <c r="H18" s="1">
        <v>9</v>
      </c>
      <c r="I18" s="1" t="s">
        <v>81</v>
      </c>
      <c r="J18" t="s">
        <v>83</v>
      </c>
    </row>
    <row r="19" spans="1:10">
      <c r="A19" s="1">
        <v>84491</v>
      </c>
      <c r="B19" s="1">
        <v>1254691527</v>
      </c>
      <c r="C19" s="1">
        <v>12</v>
      </c>
      <c r="D19" s="1" t="s">
        <v>10</v>
      </c>
      <c r="E19" t="s">
        <v>39</v>
      </c>
      <c r="F19" s="1">
        <v>10918</v>
      </c>
      <c r="G19" s="1">
        <v>2200000920</v>
      </c>
      <c r="H19" s="1">
        <v>12</v>
      </c>
      <c r="I19" s="1" t="s">
        <v>68</v>
      </c>
      <c r="J19" t="s">
        <v>84</v>
      </c>
    </row>
    <row r="20" spans="1:10">
      <c r="A20" s="1">
        <v>28100</v>
      </c>
      <c r="B20" s="1">
        <v>1254691756</v>
      </c>
      <c r="C20" s="1">
        <v>18</v>
      </c>
      <c r="D20" s="1" t="s">
        <v>5</v>
      </c>
      <c r="E20" t="s">
        <v>40</v>
      </c>
      <c r="F20" s="1">
        <v>874313</v>
      </c>
      <c r="G20" s="1">
        <v>74759930238</v>
      </c>
      <c r="H20" s="1">
        <v>22</v>
      </c>
      <c r="I20" s="1" t="s">
        <v>85</v>
      </c>
      <c r="J20" t="s">
        <v>86</v>
      </c>
    </row>
    <row r="21" spans="1:10">
      <c r="A21" s="1">
        <v>28027</v>
      </c>
      <c r="B21" s="1">
        <v>1254691758</v>
      </c>
      <c r="C21" s="1">
        <v>18</v>
      </c>
      <c r="D21" s="1" t="s">
        <v>5</v>
      </c>
      <c r="E21" t="s">
        <v>41</v>
      </c>
      <c r="F21" s="1">
        <v>834333</v>
      </c>
      <c r="G21" s="1">
        <v>74759930226</v>
      </c>
      <c r="H21" s="1">
        <v>18</v>
      </c>
      <c r="I21" s="1" t="s">
        <v>56</v>
      </c>
      <c r="J21" t="s">
        <v>87</v>
      </c>
    </row>
    <row r="22" spans="1:10">
      <c r="A22" s="1">
        <v>2808</v>
      </c>
      <c r="B22" s="1">
        <v>1420000856</v>
      </c>
      <c r="C22" s="1">
        <v>36</v>
      </c>
      <c r="D22" s="1" t="s">
        <v>8</v>
      </c>
      <c r="E22" t="s">
        <v>42</v>
      </c>
      <c r="F22" s="1">
        <v>227413</v>
      </c>
      <c r="G22" s="1">
        <v>7097091024</v>
      </c>
      <c r="H22" s="1">
        <v>24</v>
      </c>
      <c r="I22" s="1" t="s">
        <v>31</v>
      </c>
      <c r="J22" t="s">
        <v>88</v>
      </c>
    </row>
    <row r="23" spans="1:10">
      <c r="A23" s="1">
        <v>241331</v>
      </c>
      <c r="B23" s="1">
        <v>1254631410</v>
      </c>
      <c r="C23" s="1">
        <v>10</v>
      </c>
      <c r="D23" s="1" t="s">
        <v>43</v>
      </c>
      <c r="E23" t="s">
        <v>44</v>
      </c>
      <c r="F23" s="1">
        <v>357962</v>
      </c>
      <c r="G23" s="1">
        <v>70865610049</v>
      </c>
      <c r="H23" s="1">
        <v>10</v>
      </c>
      <c r="I23" s="1" t="s">
        <v>89</v>
      </c>
      <c r="J23" t="s">
        <v>90</v>
      </c>
    </row>
    <row r="24" spans="1:10">
      <c r="A24" s="1">
        <v>238840</v>
      </c>
      <c r="B24" s="1">
        <v>1254631402</v>
      </c>
      <c r="C24" s="1">
        <v>10</v>
      </c>
      <c r="D24" s="1" t="s">
        <v>43</v>
      </c>
      <c r="E24" t="s">
        <v>45</v>
      </c>
      <c r="F24" s="1">
        <v>862631</v>
      </c>
      <c r="G24" s="1">
        <v>3400000320</v>
      </c>
      <c r="H24" s="1">
        <v>36</v>
      </c>
      <c r="I24" s="1" t="s">
        <v>91</v>
      </c>
      <c r="J24" t="s">
        <v>92</v>
      </c>
    </row>
    <row r="25" spans="1:10">
      <c r="A25" s="1">
        <v>8268</v>
      </c>
      <c r="B25" s="1">
        <v>1254632027</v>
      </c>
      <c r="C25" s="1">
        <v>12</v>
      </c>
      <c r="D25" s="1" t="s">
        <v>8</v>
      </c>
      <c r="E25" t="s">
        <v>46</v>
      </c>
      <c r="F25" s="1">
        <v>439737</v>
      </c>
      <c r="G25" s="1">
        <v>3400000221</v>
      </c>
      <c r="H25" s="1">
        <v>18</v>
      </c>
      <c r="I25" s="1" t="s">
        <v>93</v>
      </c>
      <c r="J25" t="s">
        <v>94</v>
      </c>
    </row>
    <row r="26" spans="1:10">
      <c r="A26" s="1">
        <v>7773</v>
      </c>
      <c r="B26" s="1">
        <v>1254630021</v>
      </c>
      <c r="C26" s="1">
        <v>12</v>
      </c>
      <c r="D26" s="1" t="s">
        <v>47</v>
      </c>
      <c r="E26" t="s">
        <v>48</v>
      </c>
      <c r="F26" s="1">
        <v>3608</v>
      </c>
      <c r="G26" s="1">
        <v>3400000155</v>
      </c>
      <c r="H26" s="1">
        <v>36</v>
      </c>
      <c r="I26" s="1" t="s">
        <v>95</v>
      </c>
      <c r="J26" t="s">
        <v>96</v>
      </c>
    </row>
    <row r="27" spans="1:10">
      <c r="A27" s="1">
        <v>7732</v>
      </c>
      <c r="B27" s="1">
        <v>1254630026</v>
      </c>
      <c r="C27" s="1">
        <v>12</v>
      </c>
      <c r="D27" s="1" t="s">
        <v>47</v>
      </c>
      <c r="E27" t="s">
        <v>49</v>
      </c>
      <c r="F27" s="1">
        <v>125914</v>
      </c>
      <c r="G27" s="1">
        <v>3400000481</v>
      </c>
      <c r="H27" s="1">
        <v>8</v>
      </c>
      <c r="I27" s="1" t="s">
        <v>97</v>
      </c>
      <c r="J27" t="s">
        <v>98</v>
      </c>
    </row>
    <row r="28" spans="1:10">
      <c r="A28" s="1">
        <v>4648</v>
      </c>
      <c r="B28" s="1">
        <v>1254630059</v>
      </c>
      <c r="C28" s="1">
        <v>12</v>
      </c>
      <c r="D28" s="1" t="s">
        <v>47</v>
      </c>
      <c r="E28" t="s">
        <v>50</v>
      </c>
      <c r="F28" s="1">
        <v>125922</v>
      </c>
      <c r="G28" s="1">
        <v>3400000337</v>
      </c>
      <c r="H28" s="1">
        <v>8</v>
      </c>
      <c r="I28" s="1" t="s">
        <v>99</v>
      </c>
      <c r="J28" t="s">
        <v>100</v>
      </c>
    </row>
    <row r="29" spans="1:10">
      <c r="A29" s="1">
        <v>747147</v>
      </c>
      <c r="B29" s="1">
        <v>1254631209</v>
      </c>
      <c r="C29" s="1">
        <v>12</v>
      </c>
      <c r="D29" s="1" t="s">
        <v>8</v>
      </c>
      <c r="E29" t="s">
        <v>51</v>
      </c>
      <c r="F29" s="1">
        <v>425082</v>
      </c>
      <c r="G29" s="1">
        <v>3400000239</v>
      </c>
      <c r="H29" s="1">
        <v>36</v>
      </c>
      <c r="I29" s="1" t="s">
        <v>101</v>
      </c>
      <c r="J29" t="s">
        <v>102</v>
      </c>
    </row>
    <row r="30" spans="1:10">
      <c r="A30" s="1">
        <v>244863</v>
      </c>
      <c r="B30" s="1">
        <v>1254631053</v>
      </c>
      <c r="C30" s="1">
        <v>4</v>
      </c>
      <c r="D30" s="1" t="s">
        <v>52</v>
      </c>
      <c r="E30" t="s">
        <v>53</v>
      </c>
      <c r="F30" s="1">
        <v>135640</v>
      </c>
      <c r="G30" s="1">
        <v>3400000584</v>
      </c>
      <c r="H30" s="1">
        <v>9</v>
      </c>
      <c r="I30" s="1" t="s">
        <v>103</v>
      </c>
      <c r="J30" t="s">
        <v>104</v>
      </c>
    </row>
    <row r="31" spans="1:10">
      <c r="A31" s="1">
        <v>27995</v>
      </c>
      <c r="B31" s="1">
        <v>1254630281</v>
      </c>
      <c r="C31" s="1">
        <v>12</v>
      </c>
      <c r="D31" s="1" t="s">
        <v>47</v>
      </c>
      <c r="E31" t="s">
        <v>54</v>
      </c>
      <c r="F31" s="1">
        <v>487462</v>
      </c>
      <c r="G31" s="1">
        <v>3400000966</v>
      </c>
      <c r="H31" s="1">
        <v>14</v>
      </c>
      <c r="I31" s="1" t="s">
        <v>89</v>
      </c>
      <c r="J31" t="s">
        <v>105</v>
      </c>
    </row>
    <row r="32" spans="1:10">
      <c r="A32" s="1">
        <v>567347</v>
      </c>
      <c r="B32" s="1">
        <v>4000000295</v>
      </c>
      <c r="C32" s="1">
        <v>24</v>
      </c>
      <c r="D32" s="1" t="s">
        <v>8</v>
      </c>
      <c r="E32" t="s">
        <v>55</v>
      </c>
      <c r="F32" s="1">
        <v>427617</v>
      </c>
      <c r="G32" s="1">
        <v>3400024967</v>
      </c>
      <c r="H32" s="1">
        <v>14</v>
      </c>
      <c r="I32" s="1" t="s">
        <v>106</v>
      </c>
      <c r="J32" t="s">
        <v>107</v>
      </c>
    </row>
    <row r="33" spans="1:10">
      <c r="A33" s="1">
        <v>445858</v>
      </c>
      <c r="B33" s="1">
        <v>4000000296</v>
      </c>
      <c r="C33" s="1">
        <v>24</v>
      </c>
      <c r="D33" s="1" t="s">
        <v>56</v>
      </c>
      <c r="E33" t="s">
        <v>57</v>
      </c>
      <c r="F33" s="1">
        <v>10520</v>
      </c>
      <c r="G33" s="1">
        <v>1070006080</v>
      </c>
      <c r="H33" s="1">
        <v>24</v>
      </c>
      <c r="I33" s="1" t="s">
        <v>108</v>
      </c>
      <c r="J33" t="s">
        <v>109</v>
      </c>
    </row>
    <row r="34" spans="1:10">
      <c r="A34" s="1">
        <v>295402</v>
      </c>
      <c r="B34" s="1">
        <v>2200000130</v>
      </c>
      <c r="C34" s="1">
        <v>8</v>
      </c>
      <c r="D34" s="1" t="s">
        <v>8</v>
      </c>
      <c r="E34" t="s">
        <v>58</v>
      </c>
      <c r="F34" s="1">
        <v>546473</v>
      </c>
      <c r="G34" s="1">
        <v>3400000876</v>
      </c>
      <c r="H34" s="1">
        <v>9</v>
      </c>
      <c r="I34" s="1" t="s">
        <v>110</v>
      </c>
      <c r="J34" t="s">
        <v>111</v>
      </c>
    </row>
    <row r="35" spans="1:10">
      <c r="A35" s="1">
        <v>5512</v>
      </c>
      <c r="B35" s="1">
        <v>2200000997</v>
      </c>
      <c r="C35" s="1">
        <v>12</v>
      </c>
      <c r="D35" s="1" t="s">
        <v>59</v>
      </c>
      <c r="E35" t="s">
        <v>60</v>
      </c>
      <c r="F35" s="1">
        <v>454249</v>
      </c>
      <c r="G35" s="1">
        <v>3400000985</v>
      </c>
      <c r="H35" s="1">
        <v>8</v>
      </c>
      <c r="I35" s="1" t="s">
        <v>112</v>
      </c>
      <c r="J35" t="s">
        <v>113</v>
      </c>
    </row>
    <row r="36" spans="1:10">
      <c r="A36" s="1">
        <v>4630</v>
      </c>
      <c r="B36" s="1">
        <v>2200000998</v>
      </c>
      <c r="C36" s="1">
        <v>12</v>
      </c>
      <c r="D36" s="1" t="s">
        <v>8</v>
      </c>
      <c r="E36" t="s">
        <v>61</v>
      </c>
      <c r="F36" s="1">
        <v>125906</v>
      </c>
      <c r="G36" s="1">
        <v>3400000995</v>
      </c>
      <c r="H36" s="1">
        <v>8</v>
      </c>
      <c r="I36" s="1" t="s">
        <v>99</v>
      </c>
      <c r="J36" t="s">
        <v>114</v>
      </c>
    </row>
    <row r="37" spans="1:10">
      <c r="A37" s="1">
        <v>51268</v>
      </c>
      <c r="B37" s="1">
        <v>2200000770</v>
      </c>
      <c r="C37" s="1">
        <v>8</v>
      </c>
      <c r="D37" s="1" t="s">
        <v>8</v>
      </c>
      <c r="E37" t="s">
        <v>62</v>
      </c>
      <c r="F37" s="1">
        <v>52100</v>
      </c>
      <c r="G37" s="1">
        <v>3400000098</v>
      </c>
      <c r="H37" s="1">
        <v>8</v>
      </c>
      <c r="I37" s="1" t="s">
        <v>17</v>
      </c>
      <c r="J37" t="s">
        <v>115</v>
      </c>
    </row>
    <row r="38" spans="1:10">
      <c r="A38" s="1">
        <v>51946</v>
      </c>
      <c r="B38" s="1">
        <v>2200000771</v>
      </c>
      <c r="C38" s="1">
        <v>8</v>
      </c>
      <c r="D38" s="1" t="s">
        <v>8</v>
      </c>
      <c r="E38" t="s">
        <v>63</v>
      </c>
      <c r="F38" s="1">
        <v>453969</v>
      </c>
      <c r="G38" s="1">
        <v>3400000987</v>
      </c>
      <c r="H38" s="1">
        <v>8</v>
      </c>
      <c r="I38" s="1" t="s">
        <v>112</v>
      </c>
      <c r="J38" t="s">
        <v>116</v>
      </c>
    </row>
    <row r="39" spans="1:10">
      <c r="A39" s="1">
        <v>4382</v>
      </c>
      <c r="B39" s="1">
        <v>2200000996</v>
      </c>
      <c r="C39" s="1">
        <v>12</v>
      </c>
      <c r="D39" s="1" t="s">
        <v>47</v>
      </c>
      <c r="E39" t="s">
        <v>64</v>
      </c>
      <c r="F39" s="1">
        <v>457366</v>
      </c>
      <c r="G39" s="1">
        <v>3400000470</v>
      </c>
      <c r="H39" s="1">
        <v>9</v>
      </c>
      <c r="I39" s="1" t="s">
        <v>110</v>
      </c>
      <c r="J39" t="s">
        <v>117</v>
      </c>
    </row>
    <row r="40" spans="1:10">
      <c r="A40" s="1">
        <v>194498</v>
      </c>
      <c r="B40" s="1">
        <v>2200000574</v>
      </c>
      <c r="C40" s="1">
        <v>4</v>
      </c>
      <c r="D40" s="1" t="s">
        <v>52</v>
      </c>
      <c r="E40" t="s">
        <v>65</v>
      </c>
      <c r="F40" s="1">
        <v>515692</v>
      </c>
      <c r="G40" s="1">
        <v>3400000169</v>
      </c>
      <c r="H40" s="1">
        <v>24</v>
      </c>
      <c r="I40" s="1" t="s">
        <v>17</v>
      </c>
      <c r="J40" t="s">
        <v>118</v>
      </c>
    </row>
    <row r="41" spans="1:10">
      <c r="A41" s="1">
        <v>704619</v>
      </c>
      <c r="B41" s="1">
        <v>2200000319</v>
      </c>
      <c r="C41" s="1">
        <v>4</v>
      </c>
      <c r="D41" s="1" t="s">
        <v>52</v>
      </c>
      <c r="E41" t="s">
        <v>66</v>
      </c>
      <c r="F41" s="1">
        <v>7203</v>
      </c>
      <c r="G41" s="1">
        <v>3400000246</v>
      </c>
      <c r="H41" s="1">
        <v>36</v>
      </c>
      <c r="I41" s="1" t="s">
        <v>17</v>
      </c>
      <c r="J41" t="s">
        <v>119</v>
      </c>
    </row>
    <row r="42" spans="1:10" s="3" customFormat="1" ht="21" customHeight="1">
      <c r="A42" s="4" t="s">
        <v>10681</v>
      </c>
      <c r="B42" s="2"/>
      <c r="C42" s="2"/>
      <c r="D42" s="2"/>
      <c r="F42" s="4" t="s">
        <v>10681</v>
      </c>
      <c r="G42" s="2"/>
      <c r="H42" s="2"/>
      <c r="I42" s="2"/>
    </row>
    <row r="43" spans="1:10" s="3" customFormat="1">
      <c r="A43" s="2" t="s">
        <v>0</v>
      </c>
      <c r="B43" s="2" t="s">
        <v>1</v>
      </c>
      <c r="C43" s="2" t="s">
        <v>2</v>
      </c>
      <c r="D43" s="2" t="s">
        <v>3</v>
      </c>
      <c r="E43" s="3" t="s">
        <v>4</v>
      </c>
      <c r="F43" s="2" t="s">
        <v>0</v>
      </c>
      <c r="G43" s="2" t="s">
        <v>1</v>
      </c>
      <c r="H43" s="2" t="s">
        <v>2</v>
      </c>
      <c r="I43" s="2" t="s">
        <v>3</v>
      </c>
      <c r="J43" s="3" t="s">
        <v>4</v>
      </c>
    </row>
    <row r="44" spans="1:10">
      <c r="A44" s="1">
        <v>457804</v>
      </c>
      <c r="B44" s="1">
        <v>3400017612</v>
      </c>
      <c r="C44" s="1">
        <v>12</v>
      </c>
      <c r="D44" s="1" t="s">
        <v>106</v>
      </c>
      <c r="E44" t="s">
        <v>120</v>
      </c>
      <c r="F44" s="1">
        <v>336842</v>
      </c>
      <c r="G44" s="1">
        <v>4000000458</v>
      </c>
      <c r="H44" s="1">
        <v>24</v>
      </c>
      <c r="I44" s="1" t="s">
        <v>174</v>
      </c>
      <c r="J44" t="s">
        <v>175</v>
      </c>
    </row>
    <row r="45" spans="1:10">
      <c r="A45" s="1">
        <v>487447</v>
      </c>
      <c r="B45" s="1">
        <v>3400000937</v>
      </c>
      <c r="C45" s="1">
        <v>36</v>
      </c>
      <c r="D45" s="1" t="s">
        <v>121</v>
      </c>
      <c r="E45" t="s">
        <v>122</v>
      </c>
      <c r="F45" s="1">
        <v>523654</v>
      </c>
      <c r="G45" s="1">
        <v>4000000237</v>
      </c>
      <c r="H45" s="1">
        <v>24</v>
      </c>
      <c r="I45" s="1" t="s">
        <v>176</v>
      </c>
      <c r="J45" t="s">
        <v>177</v>
      </c>
    </row>
    <row r="46" spans="1:10">
      <c r="A46" s="1">
        <v>786152</v>
      </c>
      <c r="B46" s="1">
        <v>3400000585</v>
      </c>
      <c r="C46" s="1">
        <v>36</v>
      </c>
      <c r="D46" s="1" t="s">
        <v>123</v>
      </c>
      <c r="E46" t="s">
        <v>124</v>
      </c>
      <c r="F46" s="1">
        <v>58883</v>
      </c>
      <c r="G46" s="1">
        <v>4000000101</v>
      </c>
      <c r="H46" s="1">
        <v>36</v>
      </c>
      <c r="I46" s="1" t="s">
        <v>178</v>
      </c>
      <c r="J46" t="s">
        <v>179</v>
      </c>
    </row>
    <row r="47" spans="1:10">
      <c r="A47" s="1">
        <v>507251</v>
      </c>
      <c r="B47" s="1">
        <v>3400000220</v>
      </c>
      <c r="C47" s="1">
        <v>18</v>
      </c>
      <c r="D47" s="1" t="s">
        <v>93</v>
      </c>
      <c r="E47" t="s">
        <v>125</v>
      </c>
      <c r="F47" s="1">
        <v>767509</v>
      </c>
      <c r="G47" s="1">
        <v>4000000104</v>
      </c>
      <c r="H47" s="1">
        <v>24</v>
      </c>
      <c r="I47" s="1" t="s">
        <v>20</v>
      </c>
      <c r="J47" t="s">
        <v>180</v>
      </c>
    </row>
    <row r="48" spans="1:10">
      <c r="A48" s="1">
        <v>453878</v>
      </c>
      <c r="B48" s="1">
        <v>3400000490</v>
      </c>
      <c r="C48" s="1">
        <v>36</v>
      </c>
      <c r="D48" s="1" t="s">
        <v>56</v>
      </c>
      <c r="E48" t="s">
        <v>126</v>
      </c>
      <c r="F48" s="1">
        <v>25916</v>
      </c>
      <c r="G48" s="1">
        <v>4000000032</v>
      </c>
      <c r="H48" s="1">
        <v>48</v>
      </c>
      <c r="I48" s="1" t="s">
        <v>181</v>
      </c>
      <c r="J48" t="s">
        <v>182</v>
      </c>
    </row>
    <row r="49" spans="1:10">
      <c r="A49" s="1">
        <v>4994</v>
      </c>
      <c r="B49" s="1">
        <v>3400000031</v>
      </c>
      <c r="C49" s="1">
        <v>36</v>
      </c>
      <c r="D49" s="1" t="s">
        <v>95</v>
      </c>
      <c r="E49" t="s">
        <v>127</v>
      </c>
      <c r="F49" s="1">
        <v>226126</v>
      </c>
      <c r="G49" s="1">
        <v>4000000432</v>
      </c>
      <c r="H49" s="1">
        <v>24</v>
      </c>
      <c r="I49" s="1" t="s">
        <v>183</v>
      </c>
      <c r="J49" t="s">
        <v>184</v>
      </c>
    </row>
    <row r="50" spans="1:10">
      <c r="A50" s="1">
        <v>391680</v>
      </c>
      <c r="B50" s="1">
        <v>3400000243</v>
      </c>
      <c r="C50" s="1">
        <v>36</v>
      </c>
      <c r="D50" s="1" t="s">
        <v>128</v>
      </c>
      <c r="E50" t="s">
        <v>129</v>
      </c>
      <c r="F50" s="1">
        <v>25924</v>
      </c>
      <c r="G50" s="1">
        <v>4000000031</v>
      </c>
      <c r="H50" s="1">
        <v>48</v>
      </c>
      <c r="I50" s="1" t="s">
        <v>174</v>
      </c>
      <c r="J50" t="s">
        <v>185</v>
      </c>
    </row>
    <row r="51" spans="1:10">
      <c r="A51" s="1">
        <v>873869</v>
      </c>
      <c r="B51" s="1">
        <v>3400000493</v>
      </c>
      <c r="C51" s="1">
        <v>24</v>
      </c>
      <c r="D51" s="1" t="s">
        <v>130</v>
      </c>
      <c r="E51" t="s">
        <v>131</v>
      </c>
      <c r="F51" s="1">
        <v>499848</v>
      </c>
      <c r="G51" s="1">
        <v>4000000160</v>
      </c>
      <c r="H51" s="1">
        <v>36</v>
      </c>
      <c r="I51" s="1" t="s">
        <v>186</v>
      </c>
      <c r="J51" t="s">
        <v>187</v>
      </c>
    </row>
    <row r="52" spans="1:10">
      <c r="A52" s="1">
        <v>740803</v>
      </c>
      <c r="B52" s="1">
        <v>3400024951</v>
      </c>
      <c r="C52" s="1">
        <v>14</v>
      </c>
      <c r="D52" s="1" t="s">
        <v>106</v>
      </c>
      <c r="E52" t="s">
        <v>132</v>
      </c>
      <c r="F52" s="1">
        <v>433979</v>
      </c>
      <c r="G52" s="1">
        <v>4000000105</v>
      </c>
      <c r="H52" s="1">
        <v>24</v>
      </c>
      <c r="I52" s="1" t="s">
        <v>20</v>
      </c>
      <c r="J52" t="s">
        <v>188</v>
      </c>
    </row>
    <row r="53" spans="1:10">
      <c r="A53" s="1">
        <v>553008</v>
      </c>
      <c r="B53" s="1">
        <v>3400000520</v>
      </c>
      <c r="C53" s="1">
        <v>24</v>
      </c>
      <c r="D53" s="1" t="s">
        <v>108</v>
      </c>
      <c r="E53" t="s">
        <v>133</v>
      </c>
      <c r="F53" s="1">
        <v>25940</v>
      </c>
      <c r="G53" s="1">
        <v>4000000102</v>
      </c>
      <c r="H53" s="1">
        <v>48</v>
      </c>
      <c r="I53" s="1" t="s">
        <v>171</v>
      </c>
      <c r="J53" t="s">
        <v>189</v>
      </c>
    </row>
    <row r="54" spans="1:10">
      <c r="A54" s="1">
        <v>848986</v>
      </c>
      <c r="B54" s="1">
        <v>3400049043</v>
      </c>
      <c r="C54" s="1">
        <v>24</v>
      </c>
      <c r="D54" s="1" t="s">
        <v>95</v>
      </c>
      <c r="E54" t="s">
        <v>134</v>
      </c>
      <c r="F54" s="1">
        <v>358986</v>
      </c>
      <c r="G54" s="1">
        <v>4000000402</v>
      </c>
      <c r="H54" s="1">
        <v>24</v>
      </c>
      <c r="I54" s="1" t="s">
        <v>190</v>
      </c>
      <c r="J54" t="s">
        <v>191</v>
      </c>
    </row>
    <row r="55" spans="1:10">
      <c r="A55" s="1">
        <v>203869</v>
      </c>
      <c r="B55" s="1">
        <v>3400000163</v>
      </c>
      <c r="C55" s="1">
        <v>16</v>
      </c>
      <c r="D55" s="1" t="s">
        <v>108</v>
      </c>
      <c r="E55" t="s">
        <v>135</v>
      </c>
      <c r="F55" s="1">
        <v>684761</v>
      </c>
      <c r="G55" s="1">
        <v>4000000423</v>
      </c>
      <c r="H55" s="1">
        <v>24</v>
      </c>
      <c r="I55" s="1" t="s">
        <v>192</v>
      </c>
      <c r="J55" t="s">
        <v>193</v>
      </c>
    </row>
    <row r="56" spans="1:10">
      <c r="A56" s="1">
        <v>545731</v>
      </c>
      <c r="B56" s="1">
        <v>3400000248</v>
      </c>
      <c r="C56" s="1">
        <v>36</v>
      </c>
      <c r="D56" s="1" t="s">
        <v>136</v>
      </c>
      <c r="E56" t="s">
        <v>137</v>
      </c>
      <c r="F56" s="1">
        <v>859686</v>
      </c>
      <c r="G56" s="1">
        <v>4000000021</v>
      </c>
      <c r="H56" s="1">
        <v>24</v>
      </c>
      <c r="I56" s="1" t="s">
        <v>194</v>
      </c>
      <c r="J56" t="s">
        <v>195</v>
      </c>
    </row>
    <row r="57" spans="1:10">
      <c r="A57" s="1">
        <v>351940</v>
      </c>
      <c r="B57" s="1">
        <v>3400000244</v>
      </c>
      <c r="C57" s="1">
        <v>36</v>
      </c>
      <c r="D57" s="1" t="s">
        <v>130</v>
      </c>
      <c r="E57" t="s">
        <v>138</v>
      </c>
      <c r="F57" s="1">
        <v>189084</v>
      </c>
      <c r="G57" s="1">
        <v>4000000431</v>
      </c>
      <c r="H57" s="1">
        <v>24</v>
      </c>
      <c r="I57" s="1" t="s">
        <v>196</v>
      </c>
      <c r="J57" t="s">
        <v>197</v>
      </c>
    </row>
    <row r="58" spans="1:10">
      <c r="A58" s="1">
        <v>255810</v>
      </c>
      <c r="B58" s="1">
        <v>3400000370</v>
      </c>
      <c r="C58" s="1">
        <v>36</v>
      </c>
      <c r="D58" s="1" t="s">
        <v>108</v>
      </c>
      <c r="E58" t="s">
        <v>139</v>
      </c>
      <c r="F58" s="1">
        <v>757880</v>
      </c>
      <c r="G58" s="1">
        <v>7339000014</v>
      </c>
      <c r="H58" s="1">
        <v>15</v>
      </c>
      <c r="I58" s="1" t="s">
        <v>110</v>
      </c>
      <c r="J58" t="s">
        <v>198</v>
      </c>
    </row>
    <row r="59" spans="1:10">
      <c r="A59" s="1">
        <v>206409</v>
      </c>
      <c r="B59" s="1">
        <v>3400000245</v>
      </c>
      <c r="C59" s="1">
        <v>36</v>
      </c>
      <c r="D59" s="1" t="s">
        <v>123</v>
      </c>
      <c r="E59" t="s">
        <v>140</v>
      </c>
      <c r="F59" s="1">
        <v>257170</v>
      </c>
      <c r="G59" s="1">
        <v>7339000011</v>
      </c>
      <c r="H59" s="1">
        <v>15</v>
      </c>
      <c r="I59" s="1" t="s">
        <v>110</v>
      </c>
      <c r="J59" t="s">
        <v>199</v>
      </c>
    </row>
    <row r="60" spans="1:10">
      <c r="A60" s="1">
        <v>550350</v>
      </c>
      <c r="B60" s="1">
        <v>3400000386</v>
      </c>
      <c r="C60" s="1">
        <v>24</v>
      </c>
      <c r="D60" s="1" t="s">
        <v>17</v>
      </c>
      <c r="E60" t="s">
        <v>141</v>
      </c>
      <c r="F60" s="1">
        <v>52027</v>
      </c>
      <c r="G60" s="1">
        <v>7339000005</v>
      </c>
      <c r="H60" s="1">
        <v>12</v>
      </c>
      <c r="I60" s="1" t="s">
        <v>200</v>
      </c>
      <c r="J60" t="s">
        <v>201</v>
      </c>
    </row>
    <row r="61" spans="1:10">
      <c r="A61" s="1">
        <v>435354</v>
      </c>
      <c r="B61" s="1">
        <v>3400000347</v>
      </c>
      <c r="C61" s="1">
        <v>8</v>
      </c>
      <c r="D61" s="1" t="s">
        <v>142</v>
      </c>
      <c r="E61" t="s">
        <v>143</v>
      </c>
      <c r="F61" s="1">
        <v>704544</v>
      </c>
      <c r="G61" s="1">
        <v>7339000016</v>
      </c>
      <c r="H61" s="1">
        <v>15</v>
      </c>
      <c r="I61" s="1" t="s">
        <v>110</v>
      </c>
      <c r="J61" t="s">
        <v>202</v>
      </c>
    </row>
    <row r="62" spans="1:10">
      <c r="A62" s="1">
        <v>192047</v>
      </c>
      <c r="B62" s="1">
        <v>3400000330</v>
      </c>
      <c r="C62" s="1">
        <v>36</v>
      </c>
      <c r="D62" s="1" t="s">
        <v>108</v>
      </c>
      <c r="E62" t="s">
        <v>144</v>
      </c>
      <c r="F62" s="1">
        <v>746552</v>
      </c>
      <c r="G62" s="1">
        <v>7339000391</v>
      </c>
      <c r="H62" s="1">
        <v>10</v>
      </c>
      <c r="I62" s="1" t="s">
        <v>203</v>
      </c>
      <c r="J62" t="s">
        <v>204</v>
      </c>
    </row>
    <row r="63" spans="1:10">
      <c r="A63" s="1">
        <v>3236</v>
      </c>
      <c r="B63" s="1">
        <v>1070080415</v>
      </c>
      <c r="C63" s="1">
        <v>24</v>
      </c>
      <c r="D63" s="1" t="s">
        <v>145</v>
      </c>
      <c r="E63" t="s">
        <v>146</v>
      </c>
      <c r="F63" s="1">
        <v>536854</v>
      </c>
      <c r="G63" s="1">
        <v>7339000393</v>
      </c>
      <c r="H63" s="1">
        <v>10</v>
      </c>
      <c r="I63" s="1" t="s">
        <v>203</v>
      </c>
      <c r="J63" t="s">
        <v>205</v>
      </c>
    </row>
    <row r="64" spans="1:10">
      <c r="A64" s="1">
        <v>587998</v>
      </c>
      <c r="B64" s="1">
        <v>3400024513</v>
      </c>
      <c r="C64" s="1">
        <v>36</v>
      </c>
      <c r="D64" s="1" t="s">
        <v>123</v>
      </c>
      <c r="E64" t="s">
        <v>147</v>
      </c>
      <c r="F64" s="1">
        <v>444679</v>
      </c>
      <c r="G64" s="1">
        <v>7339000392</v>
      </c>
      <c r="H64" s="1">
        <v>10</v>
      </c>
      <c r="I64" s="1" t="s">
        <v>203</v>
      </c>
      <c r="J64" t="s">
        <v>206</v>
      </c>
    </row>
    <row r="65" spans="1:10">
      <c r="A65" s="1">
        <v>46474</v>
      </c>
      <c r="B65" s="1">
        <v>2200000068</v>
      </c>
      <c r="C65" s="1">
        <v>9</v>
      </c>
      <c r="D65" s="1" t="s">
        <v>8</v>
      </c>
      <c r="E65" t="s">
        <v>148</v>
      </c>
      <c r="F65" s="1">
        <v>431650</v>
      </c>
      <c r="G65" s="1">
        <v>4000000401</v>
      </c>
      <c r="H65" s="1">
        <v>24</v>
      </c>
      <c r="I65" s="1" t="s">
        <v>207</v>
      </c>
      <c r="J65" t="s">
        <v>208</v>
      </c>
    </row>
    <row r="66" spans="1:10">
      <c r="A66" s="1">
        <v>4887</v>
      </c>
      <c r="B66" s="1">
        <v>3400000187</v>
      </c>
      <c r="C66" s="1">
        <v>10</v>
      </c>
      <c r="D66" s="1" t="s">
        <v>149</v>
      </c>
      <c r="E66" t="s">
        <v>150</v>
      </c>
      <c r="F66" s="1">
        <v>7757</v>
      </c>
      <c r="G66" s="1">
        <v>1121590090</v>
      </c>
      <c r="H66" s="1">
        <v>36</v>
      </c>
      <c r="I66" s="1" t="s">
        <v>209</v>
      </c>
      <c r="J66" t="s">
        <v>210</v>
      </c>
    </row>
    <row r="67" spans="1:10">
      <c r="A67" s="1">
        <v>19497</v>
      </c>
      <c r="B67" s="1">
        <v>3400000008</v>
      </c>
      <c r="C67" s="1">
        <v>8</v>
      </c>
      <c r="D67" s="1" t="s">
        <v>17</v>
      </c>
      <c r="E67" t="s">
        <v>151</v>
      </c>
      <c r="F67" s="1">
        <v>5959</v>
      </c>
      <c r="G67" s="1">
        <v>2800020630</v>
      </c>
      <c r="H67" s="1">
        <v>36</v>
      </c>
      <c r="I67" s="1" t="s">
        <v>17</v>
      </c>
      <c r="J67" t="s">
        <v>211</v>
      </c>
    </row>
    <row r="68" spans="1:10">
      <c r="A68" s="1">
        <v>19190</v>
      </c>
      <c r="B68" s="1">
        <v>3400000007</v>
      </c>
      <c r="C68" s="1">
        <v>8</v>
      </c>
      <c r="D68" s="1" t="s">
        <v>17</v>
      </c>
      <c r="E68" t="s">
        <v>152</v>
      </c>
      <c r="F68" s="1">
        <v>10595</v>
      </c>
      <c r="G68" s="1">
        <v>2800001077</v>
      </c>
      <c r="H68" s="1">
        <v>24</v>
      </c>
      <c r="I68" s="1" t="s">
        <v>212</v>
      </c>
      <c r="J68" t="s">
        <v>213</v>
      </c>
    </row>
    <row r="69" spans="1:10">
      <c r="A69" s="1">
        <v>324590</v>
      </c>
      <c r="B69" s="1">
        <v>3400000913</v>
      </c>
      <c r="C69" s="1">
        <v>8</v>
      </c>
      <c r="D69" s="1" t="s">
        <v>17</v>
      </c>
      <c r="E69" t="s">
        <v>153</v>
      </c>
      <c r="F69" s="1">
        <v>10553</v>
      </c>
      <c r="G69" s="1">
        <v>2800001159</v>
      </c>
      <c r="H69" s="1">
        <v>36</v>
      </c>
      <c r="I69" s="1" t="s">
        <v>212</v>
      </c>
      <c r="J69" t="s">
        <v>214</v>
      </c>
    </row>
    <row r="70" spans="1:10">
      <c r="A70" s="1">
        <v>19281</v>
      </c>
      <c r="B70" s="1">
        <v>3400000009</v>
      </c>
      <c r="C70" s="1">
        <v>8</v>
      </c>
      <c r="D70" s="1" t="s">
        <v>17</v>
      </c>
      <c r="E70" t="s">
        <v>154</v>
      </c>
      <c r="F70" s="1">
        <v>8334</v>
      </c>
      <c r="G70" s="1">
        <v>2800025910</v>
      </c>
      <c r="H70" s="1">
        <v>24</v>
      </c>
      <c r="I70" s="1" t="s">
        <v>20</v>
      </c>
      <c r="J70" t="s">
        <v>215</v>
      </c>
    </row>
    <row r="71" spans="1:10">
      <c r="A71" s="1">
        <v>12443</v>
      </c>
      <c r="B71" s="1">
        <v>7097000032</v>
      </c>
      <c r="C71" s="1">
        <v>24</v>
      </c>
      <c r="D71" s="1" t="s">
        <v>155</v>
      </c>
      <c r="E71" t="s">
        <v>156</v>
      </c>
      <c r="F71" s="1">
        <v>303297</v>
      </c>
      <c r="G71" s="1">
        <v>2800000142</v>
      </c>
      <c r="H71" s="1">
        <v>18</v>
      </c>
      <c r="I71" s="1" t="s">
        <v>190</v>
      </c>
      <c r="J71" t="s">
        <v>216</v>
      </c>
    </row>
    <row r="72" spans="1:10">
      <c r="A72" s="1">
        <v>3640</v>
      </c>
      <c r="B72" s="1">
        <v>1070080722</v>
      </c>
      <c r="C72" s="1">
        <v>24</v>
      </c>
      <c r="D72" s="1" t="s">
        <v>145</v>
      </c>
      <c r="E72" t="s">
        <v>157</v>
      </c>
      <c r="F72" s="1">
        <v>403220</v>
      </c>
      <c r="G72" s="1">
        <v>2800008400</v>
      </c>
      <c r="H72" s="1">
        <v>24</v>
      </c>
      <c r="I72" s="1" t="s">
        <v>108</v>
      </c>
      <c r="J72" t="s">
        <v>217</v>
      </c>
    </row>
    <row r="73" spans="1:10">
      <c r="A73" s="1">
        <v>8078</v>
      </c>
      <c r="B73" s="1">
        <v>2200000434</v>
      </c>
      <c r="C73" s="1">
        <v>20</v>
      </c>
      <c r="D73" s="1" t="s">
        <v>158</v>
      </c>
      <c r="E73" t="s">
        <v>159</v>
      </c>
      <c r="F73" s="1">
        <v>693622</v>
      </c>
      <c r="G73" s="1">
        <v>2800000136</v>
      </c>
      <c r="H73" s="1">
        <v>24</v>
      </c>
      <c r="I73" s="1" t="s">
        <v>181</v>
      </c>
      <c r="J73" t="s">
        <v>218</v>
      </c>
    </row>
    <row r="74" spans="1:10">
      <c r="A74" s="1">
        <v>756270</v>
      </c>
      <c r="B74" s="1">
        <v>2200001080</v>
      </c>
      <c r="C74" s="1">
        <v>18</v>
      </c>
      <c r="D74" s="1" t="s">
        <v>31</v>
      </c>
      <c r="E74" t="s">
        <v>160</v>
      </c>
      <c r="F74" s="1">
        <v>5934</v>
      </c>
      <c r="G74" s="1">
        <v>2800013170</v>
      </c>
      <c r="H74" s="1">
        <v>36</v>
      </c>
      <c r="I74" s="1" t="s">
        <v>108</v>
      </c>
      <c r="J74" t="s">
        <v>219</v>
      </c>
    </row>
    <row r="75" spans="1:10">
      <c r="A75" s="1">
        <v>1727</v>
      </c>
      <c r="B75" s="1">
        <v>1900000103</v>
      </c>
      <c r="C75" s="1">
        <v>20</v>
      </c>
      <c r="D75" s="1" t="s">
        <v>161</v>
      </c>
      <c r="E75" t="s">
        <v>162</v>
      </c>
      <c r="F75" s="1">
        <v>67496</v>
      </c>
      <c r="G75" s="1">
        <v>2800008100</v>
      </c>
      <c r="H75" s="1">
        <v>24</v>
      </c>
      <c r="I75" s="1" t="s">
        <v>220</v>
      </c>
      <c r="J75" t="s">
        <v>221</v>
      </c>
    </row>
    <row r="76" spans="1:10">
      <c r="A76" s="1">
        <v>197715</v>
      </c>
      <c r="B76" s="1">
        <v>2200000400</v>
      </c>
      <c r="C76" s="1">
        <v>6</v>
      </c>
      <c r="D76" s="1" t="s">
        <v>163</v>
      </c>
      <c r="E76" t="s">
        <v>164</v>
      </c>
      <c r="F76" s="1">
        <v>9118</v>
      </c>
      <c r="G76" s="1">
        <v>2800011595</v>
      </c>
      <c r="H76" s="1">
        <v>24</v>
      </c>
      <c r="I76" s="1" t="s">
        <v>17</v>
      </c>
      <c r="J76" t="s">
        <v>222</v>
      </c>
    </row>
    <row r="77" spans="1:10">
      <c r="A77" s="1">
        <v>433433</v>
      </c>
      <c r="B77" s="1">
        <v>2200000399</v>
      </c>
      <c r="C77" s="1">
        <v>6</v>
      </c>
      <c r="D77" s="1" t="s">
        <v>163</v>
      </c>
      <c r="E77" t="s">
        <v>165</v>
      </c>
      <c r="F77" s="1">
        <v>67504</v>
      </c>
      <c r="G77" s="1">
        <v>2800008000</v>
      </c>
      <c r="H77" s="1">
        <v>36</v>
      </c>
      <c r="I77" s="1" t="s">
        <v>223</v>
      </c>
      <c r="J77" t="s">
        <v>224</v>
      </c>
    </row>
    <row r="78" spans="1:10">
      <c r="A78" s="1">
        <v>2402</v>
      </c>
      <c r="B78" s="1">
        <v>2200000436</v>
      </c>
      <c r="C78" s="1">
        <v>20</v>
      </c>
      <c r="D78" s="1" t="s">
        <v>161</v>
      </c>
      <c r="E78" t="s">
        <v>166</v>
      </c>
      <c r="F78" s="1">
        <v>8862</v>
      </c>
      <c r="G78" s="1">
        <v>2200000489</v>
      </c>
      <c r="H78" s="1">
        <v>12</v>
      </c>
      <c r="I78" s="1" t="s">
        <v>225</v>
      </c>
      <c r="J78" t="s">
        <v>226</v>
      </c>
    </row>
    <row r="79" spans="1:10">
      <c r="A79" s="1">
        <v>471862</v>
      </c>
      <c r="B79" s="1">
        <v>4000000560</v>
      </c>
      <c r="C79" s="1">
        <v>24</v>
      </c>
      <c r="D79" s="1" t="s">
        <v>167</v>
      </c>
      <c r="E79" t="s">
        <v>168</v>
      </c>
      <c r="F79" s="1">
        <v>7062</v>
      </c>
      <c r="G79" s="1">
        <v>2200000485</v>
      </c>
      <c r="H79" s="1">
        <v>12</v>
      </c>
      <c r="I79" s="1" t="s">
        <v>225</v>
      </c>
      <c r="J79" t="s">
        <v>227</v>
      </c>
    </row>
    <row r="80" spans="1:10">
      <c r="A80" s="1">
        <v>4937</v>
      </c>
      <c r="B80" s="1">
        <v>4000000003</v>
      </c>
      <c r="C80" s="1">
        <v>36</v>
      </c>
      <c r="D80" s="1" t="s">
        <v>169</v>
      </c>
      <c r="E80" t="s">
        <v>170</v>
      </c>
      <c r="F80" s="1">
        <v>567362</v>
      </c>
      <c r="G80" s="1">
        <v>2200000487</v>
      </c>
      <c r="H80" s="1">
        <v>12</v>
      </c>
      <c r="I80" s="1" t="s">
        <v>8</v>
      </c>
      <c r="J80" t="s">
        <v>228</v>
      </c>
    </row>
    <row r="81" spans="1:10">
      <c r="A81" s="1">
        <v>4093</v>
      </c>
      <c r="B81" s="1">
        <v>4000000051</v>
      </c>
      <c r="C81" s="1">
        <v>36</v>
      </c>
      <c r="D81" s="1" t="s">
        <v>171</v>
      </c>
      <c r="E81" t="s">
        <v>172</v>
      </c>
      <c r="F81" s="1">
        <v>306084</v>
      </c>
      <c r="G81" s="1">
        <v>2200000674</v>
      </c>
      <c r="H81" s="1">
        <v>12</v>
      </c>
      <c r="I81" s="1" t="s">
        <v>8</v>
      </c>
      <c r="J81" t="s">
        <v>229</v>
      </c>
    </row>
    <row r="82" spans="1:10">
      <c r="A82" s="1">
        <v>234708</v>
      </c>
      <c r="B82" s="1">
        <v>4000000613</v>
      </c>
      <c r="C82" s="1">
        <v>24</v>
      </c>
      <c r="D82" s="1" t="s">
        <v>17</v>
      </c>
      <c r="E82" t="s">
        <v>173</v>
      </c>
      <c r="F82" s="1">
        <v>772707</v>
      </c>
      <c r="G82" s="1">
        <v>2200001063</v>
      </c>
      <c r="H82" s="1">
        <v>12</v>
      </c>
      <c r="I82" s="1" t="s">
        <v>225</v>
      </c>
      <c r="J82" t="s">
        <v>230</v>
      </c>
    </row>
    <row r="83" spans="1:10" s="3" customFormat="1" ht="21" customHeight="1">
      <c r="A83" s="4" t="s">
        <v>10681</v>
      </c>
      <c r="B83" s="2"/>
      <c r="C83" s="2"/>
      <c r="D83" s="2"/>
      <c r="F83" s="4" t="s">
        <v>10681</v>
      </c>
      <c r="G83" s="2"/>
      <c r="H83" s="2"/>
      <c r="I83" s="2"/>
    </row>
    <row r="84" spans="1:10" s="3" customFormat="1">
      <c r="A84" s="2" t="s">
        <v>0</v>
      </c>
      <c r="B84" s="2" t="s">
        <v>1</v>
      </c>
      <c r="C84" s="2" t="s">
        <v>2</v>
      </c>
      <c r="D84" s="2" t="s">
        <v>3</v>
      </c>
      <c r="E84" s="3" t="s">
        <v>4</v>
      </c>
      <c r="F84" s="2" t="s">
        <v>0</v>
      </c>
      <c r="G84" s="2" t="s">
        <v>1</v>
      </c>
      <c r="H84" s="2" t="s">
        <v>2</v>
      </c>
      <c r="I84" s="2" t="s">
        <v>3</v>
      </c>
      <c r="J84" s="3" t="s">
        <v>4</v>
      </c>
    </row>
    <row r="85" spans="1:10">
      <c r="A85" s="1">
        <v>425520</v>
      </c>
      <c r="B85" s="1">
        <v>2200001064</v>
      </c>
      <c r="C85" s="1">
        <v>12</v>
      </c>
      <c r="D85" s="1" t="s">
        <v>225</v>
      </c>
      <c r="E85" t="s">
        <v>231</v>
      </c>
      <c r="F85" s="1">
        <v>4580</v>
      </c>
      <c r="G85" s="1">
        <v>980000001</v>
      </c>
      <c r="H85" s="1">
        <v>24</v>
      </c>
      <c r="I85" s="1" t="s">
        <v>275</v>
      </c>
      <c r="J85" t="s">
        <v>279</v>
      </c>
    </row>
    <row r="86" spans="1:10">
      <c r="A86" s="1">
        <v>34884</v>
      </c>
      <c r="B86" s="1">
        <v>2200001062</v>
      </c>
      <c r="C86" s="1">
        <v>12</v>
      </c>
      <c r="D86" s="1" t="s">
        <v>225</v>
      </c>
      <c r="E86" t="s">
        <v>232</v>
      </c>
      <c r="F86" s="1">
        <v>8250</v>
      </c>
      <c r="G86" s="1">
        <v>980000003</v>
      </c>
      <c r="H86" s="1">
        <v>24</v>
      </c>
      <c r="I86" s="1" t="s">
        <v>275</v>
      </c>
      <c r="J86" t="s">
        <v>280</v>
      </c>
    </row>
    <row r="87" spans="1:10">
      <c r="A87" s="1">
        <v>7427</v>
      </c>
      <c r="B87" s="1">
        <v>2200000922</v>
      </c>
      <c r="C87" s="1">
        <v>6</v>
      </c>
      <c r="D87" s="1" t="s">
        <v>233</v>
      </c>
      <c r="E87" t="s">
        <v>234</v>
      </c>
      <c r="F87" s="1">
        <v>20701</v>
      </c>
      <c r="G87" s="1">
        <v>980000004</v>
      </c>
      <c r="H87" s="1">
        <v>24</v>
      </c>
      <c r="I87" s="1" t="s">
        <v>275</v>
      </c>
      <c r="J87" t="s">
        <v>281</v>
      </c>
    </row>
    <row r="88" spans="1:10">
      <c r="A88" s="1">
        <v>687467</v>
      </c>
      <c r="B88" s="1">
        <v>2200000816</v>
      </c>
      <c r="C88" s="1">
        <v>12</v>
      </c>
      <c r="D88" s="1" t="s">
        <v>225</v>
      </c>
      <c r="E88" t="s">
        <v>235</v>
      </c>
      <c r="F88" s="1">
        <v>4606</v>
      </c>
      <c r="G88" s="1">
        <v>980000007</v>
      </c>
      <c r="H88" s="1">
        <v>24</v>
      </c>
      <c r="I88" s="1" t="s">
        <v>275</v>
      </c>
      <c r="J88" t="s">
        <v>282</v>
      </c>
    </row>
    <row r="89" spans="1:10">
      <c r="A89" s="1">
        <v>4333</v>
      </c>
      <c r="B89" s="1">
        <v>2200000486</v>
      </c>
      <c r="C89" s="1">
        <v>12</v>
      </c>
      <c r="D89" s="1" t="s">
        <v>225</v>
      </c>
      <c r="E89" t="s">
        <v>236</v>
      </c>
      <c r="F89" s="1">
        <v>484105</v>
      </c>
      <c r="G89" s="1">
        <v>4111600519</v>
      </c>
      <c r="H89" s="1">
        <v>24</v>
      </c>
      <c r="I89" s="1" t="s">
        <v>283</v>
      </c>
      <c r="J89" t="s">
        <v>284</v>
      </c>
    </row>
    <row r="90" spans="1:10">
      <c r="A90" s="1">
        <v>4010</v>
      </c>
      <c r="B90" s="1">
        <v>2200000488</v>
      </c>
      <c r="C90" s="1">
        <v>12</v>
      </c>
      <c r="D90" s="1" t="s">
        <v>8</v>
      </c>
      <c r="E90" t="s">
        <v>237</v>
      </c>
      <c r="F90" s="1">
        <v>471136</v>
      </c>
      <c r="G90" s="1">
        <v>4111600595</v>
      </c>
      <c r="H90" s="1">
        <v>18</v>
      </c>
      <c r="I90" s="1" t="s">
        <v>99</v>
      </c>
      <c r="J90" t="s">
        <v>285</v>
      </c>
    </row>
    <row r="91" spans="1:10">
      <c r="A91" s="1">
        <v>54205</v>
      </c>
      <c r="B91" s="1">
        <v>2200000834</v>
      </c>
      <c r="C91" s="1">
        <v>12</v>
      </c>
      <c r="D91" s="1" t="s">
        <v>225</v>
      </c>
      <c r="E91" t="s">
        <v>238</v>
      </c>
      <c r="F91" s="1">
        <v>245647</v>
      </c>
      <c r="G91" s="1">
        <v>4111600534</v>
      </c>
      <c r="H91" s="1">
        <v>24</v>
      </c>
      <c r="I91" s="1" t="s">
        <v>283</v>
      </c>
      <c r="J91" t="s">
        <v>286</v>
      </c>
    </row>
    <row r="92" spans="1:10">
      <c r="A92" s="1">
        <v>204412</v>
      </c>
      <c r="B92" s="1">
        <v>2200000921</v>
      </c>
      <c r="C92" s="1">
        <v>6</v>
      </c>
      <c r="D92" s="1" t="s">
        <v>233</v>
      </c>
      <c r="E92" t="s">
        <v>239</v>
      </c>
      <c r="F92" s="1">
        <v>164483</v>
      </c>
      <c r="G92" s="1">
        <v>1254661556</v>
      </c>
      <c r="H92" s="1">
        <v>12</v>
      </c>
      <c r="I92" s="1" t="s">
        <v>263</v>
      </c>
      <c r="J92" t="s">
        <v>287</v>
      </c>
    </row>
    <row r="93" spans="1:10">
      <c r="A93" s="1">
        <v>5330</v>
      </c>
      <c r="B93" s="1">
        <v>2200000484</v>
      </c>
      <c r="C93" s="1">
        <v>12</v>
      </c>
      <c r="D93" s="1" t="s">
        <v>225</v>
      </c>
      <c r="E93" t="s">
        <v>240</v>
      </c>
      <c r="F93" s="1">
        <v>7765</v>
      </c>
      <c r="G93" s="1">
        <v>1254661229</v>
      </c>
      <c r="H93" s="1">
        <v>12</v>
      </c>
      <c r="I93" s="1" t="s">
        <v>263</v>
      </c>
      <c r="J93" t="s">
        <v>288</v>
      </c>
    </row>
    <row r="94" spans="1:10">
      <c r="A94" s="1">
        <v>519991</v>
      </c>
      <c r="B94" s="1">
        <v>2200000839</v>
      </c>
      <c r="C94" s="1">
        <v>12</v>
      </c>
      <c r="D94" s="1" t="s">
        <v>225</v>
      </c>
      <c r="E94" t="s">
        <v>241</v>
      </c>
      <c r="F94" s="1">
        <v>7963</v>
      </c>
      <c r="G94" s="1">
        <v>1254661531</v>
      </c>
      <c r="H94" s="1">
        <v>12</v>
      </c>
      <c r="I94" s="1" t="s">
        <v>263</v>
      </c>
      <c r="J94" t="s">
        <v>289</v>
      </c>
    </row>
    <row r="95" spans="1:10">
      <c r="A95" s="1">
        <v>295170</v>
      </c>
      <c r="B95" s="1">
        <v>2200000483</v>
      </c>
      <c r="C95" s="1">
        <v>12</v>
      </c>
      <c r="D95" s="1" t="s">
        <v>8</v>
      </c>
      <c r="E95" t="s">
        <v>242</v>
      </c>
      <c r="F95" s="1">
        <v>49270</v>
      </c>
      <c r="G95" s="1">
        <v>1254667251</v>
      </c>
      <c r="H95" s="1">
        <v>12</v>
      </c>
      <c r="I95" s="1" t="s">
        <v>263</v>
      </c>
      <c r="J95" t="s">
        <v>290</v>
      </c>
    </row>
    <row r="96" spans="1:10">
      <c r="A96" s="1">
        <v>46391</v>
      </c>
      <c r="B96" s="1">
        <v>2200000028</v>
      </c>
      <c r="C96" s="1">
        <v>12</v>
      </c>
      <c r="D96" s="1" t="s">
        <v>8</v>
      </c>
      <c r="E96" t="s">
        <v>243</v>
      </c>
      <c r="F96" s="1">
        <v>684852</v>
      </c>
      <c r="G96" s="1">
        <v>1254667309</v>
      </c>
      <c r="H96" s="1">
        <v>12</v>
      </c>
      <c r="I96" s="1" t="s">
        <v>263</v>
      </c>
      <c r="J96" t="s">
        <v>291</v>
      </c>
    </row>
    <row r="97" spans="1:10">
      <c r="A97" s="1">
        <v>46409</v>
      </c>
      <c r="B97" s="1">
        <v>2200000025</v>
      </c>
      <c r="C97" s="1">
        <v>12</v>
      </c>
      <c r="D97" s="1" t="s">
        <v>8</v>
      </c>
      <c r="E97" t="s">
        <v>244</v>
      </c>
      <c r="F97" s="1">
        <v>535633</v>
      </c>
      <c r="G97" s="1">
        <v>1254667241</v>
      </c>
      <c r="H97" s="1">
        <v>10</v>
      </c>
      <c r="I97" s="1" t="s">
        <v>43</v>
      </c>
      <c r="J97" t="s">
        <v>292</v>
      </c>
    </row>
    <row r="98" spans="1:10">
      <c r="A98" s="1">
        <v>103309</v>
      </c>
      <c r="B98" s="1">
        <v>2200000429</v>
      </c>
      <c r="C98" s="1">
        <v>4</v>
      </c>
      <c r="D98" s="1" t="s">
        <v>52</v>
      </c>
      <c r="E98" t="s">
        <v>245</v>
      </c>
      <c r="F98" s="1">
        <v>319798</v>
      </c>
      <c r="G98" s="1">
        <v>1254667201</v>
      </c>
      <c r="H98" s="1">
        <v>10</v>
      </c>
      <c r="I98" s="1" t="s">
        <v>43</v>
      </c>
      <c r="J98" t="s">
        <v>293</v>
      </c>
    </row>
    <row r="99" spans="1:10">
      <c r="A99" s="1">
        <v>295394</v>
      </c>
      <c r="B99" s="1">
        <v>2200000493</v>
      </c>
      <c r="C99" s="1">
        <v>12</v>
      </c>
      <c r="D99" s="1" t="s">
        <v>8</v>
      </c>
      <c r="E99" t="s">
        <v>246</v>
      </c>
      <c r="F99" s="1">
        <v>490219</v>
      </c>
      <c r="G99" s="1">
        <v>1254667127</v>
      </c>
      <c r="H99" s="1">
        <v>10</v>
      </c>
      <c r="I99" s="1" t="s">
        <v>43</v>
      </c>
      <c r="J99" t="s">
        <v>294</v>
      </c>
    </row>
    <row r="100" spans="1:10">
      <c r="A100" s="1">
        <v>563551</v>
      </c>
      <c r="B100" s="1">
        <v>1070080727</v>
      </c>
      <c r="C100" s="1">
        <v>18</v>
      </c>
      <c r="D100" s="1" t="s">
        <v>247</v>
      </c>
      <c r="E100" t="s">
        <v>248</v>
      </c>
      <c r="F100" s="1">
        <v>490227</v>
      </c>
      <c r="G100" s="1">
        <v>1254667123</v>
      </c>
      <c r="H100" s="1">
        <v>10</v>
      </c>
      <c r="I100" s="1" t="s">
        <v>43</v>
      </c>
      <c r="J100" t="s">
        <v>295</v>
      </c>
    </row>
    <row r="101" spans="1:10">
      <c r="A101" s="1">
        <v>229484</v>
      </c>
      <c r="B101" s="1">
        <v>3400000334</v>
      </c>
      <c r="C101" s="1">
        <v>24</v>
      </c>
      <c r="D101" s="1" t="s">
        <v>249</v>
      </c>
      <c r="E101" t="s">
        <v>250</v>
      </c>
      <c r="F101" s="1">
        <v>27896</v>
      </c>
      <c r="G101" s="1">
        <v>1254667151</v>
      </c>
      <c r="H101" s="1">
        <v>12</v>
      </c>
      <c r="I101" s="1" t="s">
        <v>43</v>
      </c>
      <c r="J101" t="s">
        <v>296</v>
      </c>
    </row>
    <row r="102" spans="1:10">
      <c r="A102" s="1">
        <v>852459</v>
      </c>
      <c r="B102" s="1">
        <v>3400000480</v>
      </c>
      <c r="C102" s="1">
        <v>24</v>
      </c>
      <c r="D102" s="1" t="s">
        <v>251</v>
      </c>
      <c r="E102" t="s">
        <v>252</v>
      </c>
      <c r="F102" s="1">
        <v>1891</v>
      </c>
      <c r="G102" s="1">
        <v>1254661959</v>
      </c>
      <c r="H102" s="1">
        <v>12</v>
      </c>
      <c r="I102" s="1" t="s">
        <v>263</v>
      </c>
      <c r="J102" t="s">
        <v>297</v>
      </c>
    </row>
    <row r="103" spans="1:10">
      <c r="A103" s="1">
        <v>740498</v>
      </c>
      <c r="B103" s="1">
        <v>3400000952</v>
      </c>
      <c r="C103" s="1">
        <v>36</v>
      </c>
      <c r="D103" s="1" t="s">
        <v>31</v>
      </c>
      <c r="E103" t="s">
        <v>253</v>
      </c>
      <c r="F103" s="1">
        <v>157206</v>
      </c>
      <c r="G103" s="1">
        <v>1254667157</v>
      </c>
      <c r="H103" s="1">
        <v>12</v>
      </c>
      <c r="I103" s="1" t="s">
        <v>47</v>
      </c>
      <c r="J103" t="s">
        <v>298</v>
      </c>
    </row>
    <row r="104" spans="1:10">
      <c r="A104" s="1">
        <v>426841</v>
      </c>
      <c r="B104" s="1">
        <v>3400000440</v>
      </c>
      <c r="C104" s="1">
        <v>36</v>
      </c>
      <c r="D104" s="1" t="s">
        <v>95</v>
      </c>
      <c r="E104" t="s">
        <v>254</v>
      </c>
      <c r="F104" s="1">
        <v>267542</v>
      </c>
      <c r="G104" s="1">
        <v>1254667131</v>
      </c>
      <c r="H104" s="1">
        <v>12</v>
      </c>
      <c r="I104" s="1" t="s">
        <v>47</v>
      </c>
      <c r="J104" t="s">
        <v>299</v>
      </c>
    </row>
    <row r="105" spans="1:10">
      <c r="A105" s="1">
        <v>842435</v>
      </c>
      <c r="B105" s="1">
        <v>3400000152</v>
      </c>
      <c r="C105" s="1">
        <v>36</v>
      </c>
      <c r="D105" s="1" t="s">
        <v>17</v>
      </c>
      <c r="E105" t="s">
        <v>255</v>
      </c>
      <c r="F105" s="1">
        <v>16451</v>
      </c>
      <c r="G105" s="1">
        <v>1254661758</v>
      </c>
      <c r="H105" s="1">
        <v>12</v>
      </c>
      <c r="I105" s="1" t="s">
        <v>47</v>
      </c>
      <c r="J105" t="s">
        <v>300</v>
      </c>
    </row>
    <row r="106" spans="1:10">
      <c r="A106" s="1">
        <v>750117</v>
      </c>
      <c r="B106" s="1">
        <v>3400000109</v>
      </c>
      <c r="C106" s="1">
        <v>24</v>
      </c>
      <c r="D106" s="1" t="s">
        <v>128</v>
      </c>
      <c r="E106" t="s">
        <v>256</v>
      </c>
      <c r="F106" s="1">
        <v>5900</v>
      </c>
      <c r="G106" s="1">
        <v>1254661756</v>
      </c>
      <c r="H106" s="1">
        <v>12</v>
      </c>
      <c r="I106" s="1" t="s">
        <v>47</v>
      </c>
      <c r="J106" t="s">
        <v>301</v>
      </c>
    </row>
    <row r="107" spans="1:10">
      <c r="A107" s="1">
        <v>22137</v>
      </c>
      <c r="B107" s="1">
        <v>1420053210</v>
      </c>
      <c r="C107" s="1">
        <v>24</v>
      </c>
      <c r="D107" s="1" t="s">
        <v>130</v>
      </c>
      <c r="E107" t="s">
        <v>257</v>
      </c>
      <c r="F107" s="1">
        <v>7823</v>
      </c>
      <c r="G107" s="1">
        <v>1254661754</v>
      </c>
      <c r="H107" s="1">
        <v>12</v>
      </c>
      <c r="I107" s="1" t="s">
        <v>47</v>
      </c>
      <c r="J107" t="s">
        <v>302</v>
      </c>
    </row>
    <row r="108" spans="1:10">
      <c r="A108" s="1">
        <v>252833</v>
      </c>
      <c r="B108" s="1">
        <v>4000000266</v>
      </c>
      <c r="C108" s="1">
        <v>24</v>
      </c>
      <c r="D108" s="1" t="s">
        <v>91</v>
      </c>
      <c r="E108" t="s">
        <v>258</v>
      </c>
      <c r="F108" s="1">
        <v>5124</v>
      </c>
      <c r="G108" s="1">
        <v>1254661752</v>
      </c>
      <c r="H108" s="1">
        <v>12</v>
      </c>
      <c r="I108" s="1" t="s">
        <v>47</v>
      </c>
      <c r="J108" t="s">
        <v>303</v>
      </c>
    </row>
    <row r="109" spans="1:10">
      <c r="A109" s="1">
        <v>398909</v>
      </c>
      <c r="B109" s="1">
        <v>7046250000</v>
      </c>
      <c r="C109" s="1">
        <v>12</v>
      </c>
      <c r="D109" s="1" t="s">
        <v>259</v>
      </c>
      <c r="E109" t="s">
        <v>260</v>
      </c>
      <c r="F109" s="1">
        <v>247775</v>
      </c>
      <c r="G109" s="1">
        <v>1254667253</v>
      </c>
      <c r="H109" s="1">
        <v>12</v>
      </c>
      <c r="I109" s="1" t="s">
        <v>263</v>
      </c>
      <c r="J109" t="s">
        <v>304</v>
      </c>
    </row>
    <row r="110" spans="1:10">
      <c r="A110" s="1">
        <v>13177</v>
      </c>
      <c r="B110" s="1">
        <v>4000000156</v>
      </c>
      <c r="C110" s="1">
        <v>36</v>
      </c>
      <c r="D110" s="1" t="s">
        <v>171</v>
      </c>
      <c r="E110" t="s">
        <v>261</v>
      </c>
      <c r="F110" s="1">
        <v>707315</v>
      </c>
      <c r="G110" s="1">
        <v>1254661595</v>
      </c>
      <c r="H110" s="1">
        <v>12</v>
      </c>
      <c r="I110" s="1" t="s">
        <v>263</v>
      </c>
      <c r="J110" t="s">
        <v>305</v>
      </c>
    </row>
    <row r="111" spans="1:10">
      <c r="A111" s="1">
        <v>68007</v>
      </c>
      <c r="B111" s="1">
        <v>7279903513</v>
      </c>
      <c r="C111" s="1">
        <v>24</v>
      </c>
      <c r="D111" s="1" t="s">
        <v>8</v>
      </c>
      <c r="E111" t="s">
        <v>262</v>
      </c>
      <c r="F111" s="1">
        <v>420752</v>
      </c>
      <c r="G111" s="1">
        <v>1254667375</v>
      </c>
      <c r="H111" s="1">
        <v>12</v>
      </c>
      <c r="I111" s="1" t="s">
        <v>225</v>
      </c>
      <c r="J111" t="s">
        <v>306</v>
      </c>
    </row>
    <row r="112" spans="1:10">
      <c r="A112" s="1">
        <v>364638</v>
      </c>
      <c r="B112" s="1">
        <v>1254668078</v>
      </c>
      <c r="C112" s="1">
        <v>12</v>
      </c>
      <c r="D112" s="1" t="s">
        <v>263</v>
      </c>
      <c r="E112" t="s">
        <v>264</v>
      </c>
      <c r="F112" s="1">
        <v>887836</v>
      </c>
      <c r="G112" s="1">
        <v>1254667371</v>
      </c>
      <c r="H112" s="1">
        <v>12</v>
      </c>
      <c r="I112" s="1" t="s">
        <v>225</v>
      </c>
      <c r="J112" t="s">
        <v>307</v>
      </c>
    </row>
    <row r="113" spans="1:10">
      <c r="A113" s="1">
        <v>11874</v>
      </c>
      <c r="B113" s="1">
        <v>1254668021</v>
      </c>
      <c r="C113" s="1">
        <v>12</v>
      </c>
      <c r="D113" s="1" t="s">
        <v>225</v>
      </c>
      <c r="E113" t="s">
        <v>265</v>
      </c>
      <c r="F113" s="1">
        <v>591842</v>
      </c>
      <c r="G113" s="1">
        <v>1254667473</v>
      </c>
      <c r="H113" s="1">
        <v>12</v>
      </c>
      <c r="I113" s="1" t="s">
        <v>225</v>
      </c>
      <c r="J113" t="s">
        <v>308</v>
      </c>
    </row>
    <row r="114" spans="1:10">
      <c r="A114" s="1">
        <v>200881</v>
      </c>
      <c r="B114" s="1">
        <v>1254668102</v>
      </c>
      <c r="C114" s="1">
        <v>12</v>
      </c>
      <c r="D114" s="1" t="s">
        <v>225</v>
      </c>
      <c r="E114" t="s">
        <v>266</v>
      </c>
      <c r="F114" s="1">
        <v>862011</v>
      </c>
      <c r="G114" s="1">
        <v>1254667475</v>
      </c>
      <c r="H114" s="1">
        <v>20</v>
      </c>
      <c r="I114" s="1" t="s">
        <v>309</v>
      </c>
      <c r="J114" t="s">
        <v>310</v>
      </c>
    </row>
    <row r="115" spans="1:10">
      <c r="A115" s="1">
        <v>707299</v>
      </c>
      <c r="B115" s="1">
        <v>1254668002</v>
      </c>
      <c r="C115" s="1">
        <v>12</v>
      </c>
      <c r="D115" s="1" t="s">
        <v>225</v>
      </c>
      <c r="E115" t="s">
        <v>267</v>
      </c>
      <c r="F115" s="1">
        <v>3756</v>
      </c>
      <c r="G115" s="1">
        <v>4000000023</v>
      </c>
      <c r="H115" s="1">
        <v>36</v>
      </c>
      <c r="I115" s="1" t="s">
        <v>17</v>
      </c>
      <c r="J115" t="s">
        <v>311</v>
      </c>
    </row>
    <row r="116" spans="1:10">
      <c r="A116" s="1">
        <v>236174</v>
      </c>
      <c r="B116" s="1">
        <v>1254668062</v>
      </c>
      <c r="C116" s="1">
        <v>12</v>
      </c>
      <c r="D116" s="1" t="s">
        <v>225</v>
      </c>
      <c r="E116" t="s">
        <v>268</v>
      </c>
      <c r="F116" s="1">
        <v>237776</v>
      </c>
      <c r="G116" s="1">
        <v>3400000502</v>
      </c>
      <c r="H116" s="1">
        <v>36</v>
      </c>
      <c r="I116" s="1" t="s">
        <v>312</v>
      </c>
      <c r="J116" t="s">
        <v>313</v>
      </c>
    </row>
    <row r="117" spans="1:10">
      <c r="A117" s="1">
        <v>525170</v>
      </c>
      <c r="B117" s="1">
        <v>1254668071</v>
      </c>
      <c r="C117" s="1">
        <v>12</v>
      </c>
      <c r="D117" s="1" t="s">
        <v>225</v>
      </c>
      <c r="E117" t="s">
        <v>269</v>
      </c>
      <c r="F117" s="1">
        <v>416818</v>
      </c>
      <c r="G117" s="1">
        <v>7920012224</v>
      </c>
      <c r="H117" s="1">
        <v>24</v>
      </c>
      <c r="I117" s="1" t="s">
        <v>91</v>
      </c>
      <c r="J117" t="s">
        <v>314</v>
      </c>
    </row>
    <row r="118" spans="1:10">
      <c r="A118" s="1">
        <v>700294</v>
      </c>
      <c r="B118" s="1">
        <v>1254668019</v>
      </c>
      <c r="C118" s="1">
        <v>12</v>
      </c>
      <c r="D118" s="1" t="s">
        <v>225</v>
      </c>
      <c r="E118" t="s">
        <v>270</v>
      </c>
      <c r="F118" s="1">
        <v>2600</v>
      </c>
      <c r="G118" s="1">
        <v>7920000336</v>
      </c>
      <c r="H118" s="1">
        <v>36</v>
      </c>
      <c r="I118" s="1" t="s">
        <v>249</v>
      </c>
      <c r="J118" t="s">
        <v>315</v>
      </c>
    </row>
    <row r="119" spans="1:10">
      <c r="A119" s="1">
        <v>707307</v>
      </c>
      <c r="B119" s="1">
        <v>1254668004</v>
      </c>
      <c r="C119" s="1">
        <v>12</v>
      </c>
      <c r="D119" s="1" t="s">
        <v>225</v>
      </c>
      <c r="E119" t="s">
        <v>271</v>
      </c>
      <c r="F119" s="1">
        <v>3350</v>
      </c>
      <c r="G119" s="1">
        <v>7920017306</v>
      </c>
      <c r="H119" s="1">
        <v>24</v>
      </c>
      <c r="I119" s="1" t="s">
        <v>316</v>
      </c>
      <c r="J119" t="s">
        <v>317</v>
      </c>
    </row>
    <row r="120" spans="1:10">
      <c r="A120" s="1">
        <v>70581</v>
      </c>
      <c r="B120" s="1">
        <v>7920000164</v>
      </c>
      <c r="C120" s="1">
        <v>36</v>
      </c>
      <c r="D120" s="1" t="s">
        <v>91</v>
      </c>
      <c r="E120" t="s">
        <v>272</v>
      </c>
      <c r="F120" s="1">
        <v>257071</v>
      </c>
      <c r="G120" s="1">
        <v>7920000132</v>
      </c>
      <c r="H120" s="1">
        <v>12</v>
      </c>
      <c r="I120" s="1" t="s">
        <v>17</v>
      </c>
      <c r="J120" t="s">
        <v>318</v>
      </c>
    </row>
    <row r="121" spans="1:10">
      <c r="A121" s="1">
        <v>568758</v>
      </c>
      <c r="B121" s="1">
        <v>980000091</v>
      </c>
      <c r="C121" s="1">
        <v>24</v>
      </c>
      <c r="D121" s="1" t="s">
        <v>273</v>
      </c>
      <c r="E121" t="s">
        <v>274</v>
      </c>
      <c r="F121" s="1">
        <v>762674</v>
      </c>
      <c r="G121" s="1">
        <v>7920013225</v>
      </c>
      <c r="H121" s="1">
        <v>24</v>
      </c>
      <c r="I121" s="1" t="s">
        <v>203</v>
      </c>
      <c r="J121" t="s">
        <v>319</v>
      </c>
    </row>
    <row r="122" spans="1:10">
      <c r="A122" s="1">
        <v>359489</v>
      </c>
      <c r="B122" s="1">
        <v>980000005</v>
      </c>
      <c r="C122" s="1">
        <v>24</v>
      </c>
      <c r="D122" s="1" t="s">
        <v>275</v>
      </c>
      <c r="E122" t="s">
        <v>276</v>
      </c>
      <c r="F122" s="1">
        <v>68239</v>
      </c>
      <c r="G122" s="1">
        <v>7279900866</v>
      </c>
      <c r="H122" s="1">
        <v>12</v>
      </c>
      <c r="I122" s="1" t="s">
        <v>91</v>
      </c>
      <c r="J122" t="s">
        <v>320</v>
      </c>
    </row>
    <row r="123" spans="1:10">
      <c r="A123" s="1">
        <v>24844</v>
      </c>
      <c r="B123" s="1">
        <v>980000002</v>
      </c>
      <c r="C123" s="1">
        <v>24</v>
      </c>
      <c r="D123" s="1" t="s">
        <v>277</v>
      </c>
      <c r="E123" t="s">
        <v>278</v>
      </c>
      <c r="F123" s="1">
        <v>838565</v>
      </c>
      <c r="G123" s="1">
        <v>2200000696</v>
      </c>
      <c r="H123" s="1">
        <v>10</v>
      </c>
      <c r="I123" s="1" t="s">
        <v>68</v>
      </c>
      <c r="J123" t="s">
        <v>321</v>
      </c>
    </row>
    <row r="124" spans="1:10" s="3" customFormat="1" ht="21" customHeight="1">
      <c r="A124" s="4" t="s">
        <v>10681</v>
      </c>
      <c r="B124" s="2"/>
      <c r="C124" s="2"/>
      <c r="D124" s="2"/>
      <c r="F124" s="4" t="s">
        <v>10682</v>
      </c>
      <c r="G124" s="2"/>
      <c r="H124" s="2"/>
      <c r="I124" s="2"/>
    </row>
    <row r="125" spans="1:10" s="3" customFormat="1">
      <c r="A125" s="2" t="s">
        <v>0</v>
      </c>
      <c r="B125" s="2" t="s">
        <v>1</v>
      </c>
      <c r="C125" s="2" t="s">
        <v>2</v>
      </c>
      <c r="D125" s="2" t="s">
        <v>3</v>
      </c>
      <c r="E125" s="3" t="s">
        <v>4</v>
      </c>
      <c r="F125" s="2" t="s">
        <v>0</v>
      </c>
      <c r="G125" s="2" t="s">
        <v>1</v>
      </c>
      <c r="H125" s="2" t="s">
        <v>2</v>
      </c>
      <c r="I125" s="2" t="s">
        <v>3</v>
      </c>
      <c r="J125" s="3" t="s">
        <v>4</v>
      </c>
    </row>
    <row r="126" spans="1:10">
      <c r="A126" s="1">
        <v>257824</v>
      </c>
      <c r="B126" s="1">
        <v>2200000957</v>
      </c>
      <c r="C126" s="1">
        <v>10</v>
      </c>
      <c r="D126" s="1" t="s">
        <v>68</v>
      </c>
      <c r="E126" t="s">
        <v>322</v>
      </c>
      <c r="F126" s="1">
        <v>16139</v>
      </c>
      <c r="G126" s="1">
        <v>1130074171</v>
      </c>
      <c r="H126" s="1">
        <v>12</v>
      </c>
      <c r="I126" s="1" t="s">
        <v>370</v>
      </c>
      <c r="J126" t="s">
        <v>374</v>
      </c>
    </row>
    <row r="127" spans="1:10">
      <c r="A127" s="1">
        <v>512889</v>
      </c>
      <c r="B127" s="1">
        <v>2200000956</v>
      </c>
      <c r="C127" s="1">
        <v>10</v>
      </c>
      <c r="D127" s="1" t="s">
        <v>68</v>
      </c>
      <c r="E127" t="s">
        <v>323</v>
      </c>
      <c r="F127" s="1">
        <v>72975</v>
      </c>
      <c r="G127" s="1">
        <v>1130086436</v>
      </c>
      <c r="H127" s="1">
        <v>9</v>
      </c>
      <c r="I127" s="1" t="s">
        <v>375</v>
      </c>
      <c r="J127" t="s">
        <v>376</v>
      </c>
    </row>
    <row r="128" spans="1:10">
      <c r="A128" s="1">
        <v>38810</v>
      </c>
      <c r="B128" s="1">
        <v>2200000683</v>
      </c>
      <c r="C128" s="1">
        <v>10</v>
      </c>
      <c r="D128" s="1" t="s">
        <v>68</v>
      </c>
      <c r="E128" t="s">
        <v>324</v>
      </c>
      <c r="F128" s="1">
        <v>125948</v>
      </c>
      <c r="G128" s="1">
        <v>1130038533</v>
      </c>
      <c r="H128" s="1">
        <v>12</v>
      </c>
      <c r="I128" s="1" t="s">
        <v>89</v>
      </c>
      <c r="J128" t="s">
        <v>377</v>
      </c>
    </row>
    <row r="129" spans="1:10">
      <c r="A129" s="1">
        <v>831438</v>
      </c>
      <c r="B129" s="1">
        <v>2200000512</v>
      </c>
      <c r="C129" s="1">
        <v>10</v>
      </c>
      <c r="D129" s="1" t="s">
        <v>68</v>
      </c>
      <c r="E129" t="s">
        <v>325</v>
      </c>
      <c r="F129" s="1">
        <v>16162</v>
      </c>
      <c r="G129" s="1">
        <v>1130074434</v>
      </c>
      <c r="H129" s="1">
        <v>12</v>
      </c>
      <c r="I129" s="1" t="s">
        <v>358</v>
      </c>
      <c r="J129" t="s">
        <v>378</v>
      </c>
    </row>
    <row r="130" spans="1:10">
      <c r="A130" s="1">
        <v>335281</v>
      </c>
      <c r="B130" s="1">
        <v>2200000513</v>
      </c>
      <c r="C130" s="1">
        <v>10</v>
      </c>
      <c r="D130" s="1" t="s">
        <v>68</v>
      </c>
      <c r="E130" t="s">
        <v>326</v>
      </c>
      <c r="F130" s="1">
        <v>16063</v>
      </c>
      <c r="G130" s="1">
        <v>1130074164</v>
      </c>
      <c r="H130" s="1">
        <v>12</v>
      </c>
      <c r="I130" s="1" t="s">
        <v>379</v>
      </c>
      <c r="J130" t="s">
        <v>380</v>
      </c>
    </row>
    <row r="131" spans="1:10">
      <c r="A131" s="1">
        <v>223115</v>
      </c>
      <c r="B131" s="1">
        <v>2200000514</v>
      </c>
      <c r="C131" s="1">
        <v>10</v>
      </c>
      <c r="D131" s="1" t="s">
        <v>68</v>
      </c>
      <c r="E131" t="s">
        <v>327</v>
      </c>
      <c r="F131" s="1">
        <v>302778</v>
      </c>
      <c r="G131" s="1">
        <v>1130049436</v>
      </c>
      <c r="H131" s="1">
        <v>12</v>
      </c>
      <c r="I131" s="1" t="s">
        <v>381</v>
      </c>
      <c r="J131" t="s">
        <v>382</v>
      </c>
    </row>
    <row r="132" spans="1:10">
      <c r="A132" s="1">
        <v>487181</v>
      </c>
      <c r="B132" s="1">
        <v>2200000668</v>
      </c>
      <c r="C132" s="1">
        <v>10</v>
      </c>
      <c r="D132" s="1" t="s">
        <v>68</v>
      </c>
      <c r="E132" t="s">
        <v>328</v>
      </c>
      <c r="F132" s="1">
        <v>16022</v>
      </c>
      <c r="G132" s="1">
        <v>1130074438</v>
      </c>
      <c r="H132" s="1">
        <v>12</v>
      </c>
      <c r="I132" s="1" t="s">
        <v>358</v>
      </c>
      <c r="J132" t="s">
        <v>383</v>
      </c>
    </row>
    <row r="133" spans="1:10">
      <c r="A133" s="1">
        <v>707356</v>
      </c>
      <c r="B133" s="1">
        <v>2200000116</v>
      </c>
      <c r="C133" s="1">
        <v>12</v>
      </c>
      <c r="D133" s="1" t="s">
        <v>329</v>
      </c>
      <c r="E133" t="s">
        <v>330</v>
      </c>
      <c r="F133" s="1">
        <v>16170</v>
      </c>
      <c r="G133" s="1">
        <v>1130074436</v>
      </c>
      <c r="H133" s="1">
        <v>12</v>
      </c>
      <c r="I133" s="1" t="s">
        <v>358</v>
      </c>
      <c r="J133" t="s">
        <v>384</v>
      </c>
    </row>
    <row r="134" spans="1:10">
      <c r="A134" s="1">
        <v>707349</v>
      </c>
      <c r="B134" s="1">
        <v>2200000114</v>
      </c>
      <c r="C134" s="1">
        <v>12</v>
      </c>
      <c r="D134" s="1" t="s">
        <v>331</v>
      </c>
      <c r="E134" t="s">
        <v>332</v>
      </c>
      <c r="F134" s="1">
        <v>385054</v>
      </c>
      <c r="G134" s="1">
        <v>1130012106</v>
      </c>
      <c r="H134" s="1">
        <v>12</v>
      </c>
      <c r="I134" s="1" t="s">
        <v>259</v>
      </c>
      <c r="J134" t="s">
        <v>385</v>
      </c>
    </row>
    <row r="135" spans="1:10">
      <c r="A135" s="1">
        <v>175620</v>
      </c>
      <c r="B135" s="1">
        <v>2200000666</v>
      </c>
      <c r="C135" s="1">
        <v>10</v>
      </c>
      <c r="D135" s="1" t="s">
        <v>68</v>
      </c>
      <c r="E135" t="s">
        <v>333</v>
      </c>
      <c r="F135" s="1">
        <v>6874</v>
      </c>
      <c r="G135" s="1">
        <v>3400071401</v>
      </c>
      <c r="H135" s="1">
        <v>15</v>
      </c>
      <c r="I135" s="1" t="s">
        <v>386</v>
      </c>
      <c r="J135" t="s">
        <v>387</v>
      </c>
    </row>
    <row r="136" spans="1:10">
      <c r="A136" s="1">
        <v>677260</v>
      </c>
      <c r="B136" s="1">
        <v>2200000129</v>
      </c>
      <c r="C136" s="1">
        <v>8</v>
      </c>
      <c r="D136" s="1" t="s">
        <v>8</v>
      </c>
      <c r="E136" t="s">
        <v>334</v>
      </c>
      <c r="F136" s="1">
        <v>5033</v>
      </c>
      <c r="G136" s="1">
        <v>3400071414</v>
      </c>
      <c r="H136" s="1">
        <v>15</v>
      </c>
      <c r="I136" s="1" t="s">
        <v>386</v>
      </c>
      <c r="J136" t="s">
        <v>388</v>
      </c>
    </row>
    <row r="137" spans="1:10">
      <c r="A137" s="1">
        <v>7484</v>
      </c>
      <c r="B137" s="1">
        <v>2200000999</v>
      </c>
      <c r="C137" s="1">
        <v>12</v>
      </c>
      <c r="D137" s="1" t="s">
        <v>335</v>
      </c>
      <c r="E137" t="s">
        <v>336</v>
      </c>
      <c r="F137" s="1">
        <v>3475</v>
      </c>
      <c r="G137" s="1">
        <v>7031247170</v>
      </c>
      <c r="H137" s="1">
        <v>12</v>
      </c>
      <c r="I137" s="1" t="s">
        <v>14</v>
      </c>
      <c r="J137" t="s">
        <v>389</v>
      </c>
    </row>
    <row r="138" spans="1:10">
      <c r="A138" s="1">
        <v>81075</v>
      </c>
      <c r="B138" s="1">
        <v>2200000667</v>
      </c>
      <c r="C138" s="1">
        <v>10</v>
      </c>
      <c r="D138" s="1" t="s">
        <v>68</v>
      </c>
      <c r="E138" t="s">
        <v>337</v>
      </c>
      <c r="F138" s="1">
        <v>3897</v>
      </c>
      <c r="G138" s="1">
        <v>7031247174</v>
      </c>
      <c r="H138" s="1">
        <v>12</v>
      </c>
      <c r="I138" s="1" t="s">
        <v>14</v>
      </c>
      <c r="J138" t="s">
        <v>390</v>
      </c>
    </row>
    <row r="139" spans="1:10">
      <c r="A139" s="1">
        <v>750604</v>
      </c>
      <c r="B139" s="1">
        <v>2200000310</v>
      </c>
      <c r="C139" s="1">
        <v>12</v>
      </c>
      <c r="D139" s="1" t="s">
        <v>8</v>
      </c>
      <c r="E139" t="s">
        <v>338</v>
      </c>
      <c r="F139" s="1">
        <v>164814</v>
      </c>
      <c r="G139" s="1">
        <v>3400000730</v>
      </c>
      <c r="H139" s="1">
        <v>12</v>
      </c>
      <c r="I139" s="1" t="s">
        <v>36</v>
      </c>
      <c r="J139" t="s">
        <v>391</v>
      </c>
    </row>
    <row r="140" spans="1:10">
      <c r="A140" s="1">
        <v>751115</v>
      </c>
      <c r="B140" s="1">
        <v>2200000314</v>
      </c>
      <c r="C140" s="1">
        <v>12</v>
      </c>
      <c r="D140" s="1" t="s">
        <v>8</v>
      </c>
      <c r="E140" t="s">
        <v>339</v>
      </c>
      <c r="F140" s="1">
        <v>26864</v>
      </c>
      <c r="G140" s="1">
        <v>1254691725</v>
      </c>
      <c r="H140" s="1">
        <v>20</v>
      </c>
      <c r="I140" s="1" t="s">
        <v>6</v>
      </c>
      <c r="J140" t="s">
        <v>392</v>
      </c>
    </row>
    <row r="141" spans="1:10">
      <c r="A141" s="1">
        <v>506758</v>
      </c>
      <c r="B141" s="1">
        <v>2200000316</v>
      </c>
      <c r="C141" s="1">
        <v>12</v>
      </c>
      <c r="D141" s="1" t="s">
        <v>8</v>
      </c>
      <c r="E141" t="s">
        <v>340</v>
      </c>
      <c r="F141" s="1">
        <v>84475</v>
      </c>
      <c r="G141" s="1">
        <v>1254691541</v>
      </c>
      <c r="H141" s="1">
        <v>12</v>
      </c>
      <c r="I141" s="1" t="s">
        <v>10</v>
      </c>
      <c r="J141" t="s">
        <v>393</v>
      </c>
    </row>
    <row r="142" spans="1:10">
      <c r="A142" s="1">
        <v>445890</v>
      </c>
      <c r="B142" s="1">
        <v>2200000665</v>
      </c>
      <c r="C142" s="1">
        <v>10</v>
      </c>
      <c r="D142" s="1" t="s">
        <v>68</v>
      </c>
      <c r="E142" t="s">
        <v>341</v>
      </c>
      <c r="F142" s="1">
        <v>575795</v>
      </c>
      <c r="G142" s="1">
        <v>2800005623</v>
      </c>
      <c r="H142" s="1">
        <v>24</v>
      </c>
      <c r="I142" s="1" t="s">
        <v>394</v>
      </c>
      <c r="J142" t="s">
        <v>395</v>
      </c>
    </row>
    <row r="143" spans="1:10">
      <c r="A143" s="1">
        <v>477505</v>
      </c>
      <c r="B143" s="1">
        <v>2200000669</v>
      </c>
      <c r="C143" s="1">
        <v>10</v>
      </c>
      <c r="D143" s="1" t="s">
        <v>68</v>
      </c>
      <c r="E143" t="s">
        <v>342</v>
      </c>
      <c r="F143" s="1">
        <v>342345</v>
      </c>
      <c r="G143" s="1">
        <v>2800074010</v>
      </c>
      <c r="H143" s="1">
        <v>24</v>
      </c>
      <c r="I143" s="1" t="s">
        <v>352</v>
      </c>
      <c r="J143" t="s">
        <v>396</v>
      </c>
    </row>
    <row r="144" spans="1:10" ht="15.75">
      <c r="A144" s="4" t="s">
        <v>10682</v>
      </c>
      <c r="B144" s="2"/>
      <c r="C144" s="2"/>
      <c r="D144" s="2"/>
      <c r="E144" s="3"/>
      <c r="F144" s="1">
        <v>885988</v>
      </c>
      <c r="G144" s="1">
        <v>3400004047</v>
      </c>
      <c r="H144" s="1">
        <v>24</v>
      </c>
      <c r="I144" s="1" t="s">
        <v>397</v>
      </c>
      <c r="J144" t="s">
        <v>398</v>
      </c>
    </row>
    <row r="145" spans="1:10">
      <c r="A145" s="2" t="s">
        <v>0</v>
      </c>
      <c r="B145" s="2" t="s">
        <v>1</v>
      </c>
      <c r="C145" s="2" t="s">
        <v>2</v>
      </c>
      <c r="D145" s="2" t="s">
        <v>3</v>
      </c>
      <c r="E145" s="3" t="s">
        <v>4</v>
      </c>
      <c r="F145" s="1">
        <v>282582</v>
      </c>
      <c r="G145" s="1">
        <v>1120621213</v>
      </c>
      <c r="H145" s="1">
        <v>24</v>
      </c>
      <c r="I145" s="1" t="s">
        <v>399</v>
      </c>
      <c r="J145" t="s">
        <v>400</v>
      </c>
    </row>
    <row r="146" spans="1:10">
      <c r="A146" s="1">
        <v>58479</v>
      </c>
      <c r="B146" s="1">
        <v>4000025075</v>
      </c>
      <c r="C146" s="1">
        <v>12</v>
      </c>
      <c r="D146" s="1" t="s">
        <v>343</v>
      </c>
      <c r="E146" t="s">
        <v>344</v>
      </c>
      <c r="F146" s="1">
        <v>12302</v>
      </c>
      <c r="G146" s="1">
        <v>1420008453</v>
      </c>
      <c r="H146" s="1">
        <v>24</v>
      </c>
      <c r="I146" s="1" t="s">
        <v>401</v>
      </c>
      <c r="J146" t="s">
        <v>402</v>
      </c>
    </row>
    <row r="147" spans="1:10">
      <c r="A147" s="1">
        <v>648212</v>
      </c>
      <c r="B147" s="1">
        <v>4000023450</v>
      </c>
      <c r="C147" s="1">
        <v>24</v>
      </c>
      <c r="D147" s="1" t="s">
        <v>345</v>
      </c>
      <c r="E147" t="s">
        <v>346</v>
      </c>
      <c r="F147" s="1">
        <v>587949</v>
      </c>
      <c r="G147" s="1">
        <v>5964200343</v>
      </c>
      <c r="H147" s="1">
        <v>12</v>
      </c>
      <c r="I147" s="1" t="s">
        <v>381</v>
      </c>
      <c r="J147" t="s">
        <v>403</v>
      </c>
    </row>
    <row r="148" spans="1:10">
      <c r="A148" s="1">
        <v>600452</v>
      </c>
      <c r="B148" s="1">
        <v>7339000459</v>
      </c>
      <c r="C148" s="1">
        <v>12</v>
      </c>
      <c r="D148" s="1" t="s">
        <v>347</v>
      </c>
      <c r="E148" t="s">
        <v>348</v>
      </c>
      <c r="F148" s="1">
        <v>4408</v>
      </c>
      <c r="G148" s="1">
        <v>1900008393</v>
      </c>
      <c r="H148" s="1">
        <v>12</v>
      </c>
      <c r="I148" s="1" t="s">
        <v>404</v>
      </c>
      <c r="J148" t="s">
        <v>405</v>
      </c>
    </row>
    <row r="149" spans="1:10">
      <c r="A149" s="1">
        <v>4424</v>
      </c>
      <c r="B149" s="1">
        <v>4118600041</v>
      </c>
      <c r="C149" s="1">
        <v>12</v>
      </c>
      <c r="D149" s="1" t="s">
        <v>349</v>
      </c>
      <c r="E149" t="s">
        <v>350</v>
      </c>
      <c r="F149" s="1">
        <v>44610</v>
      </c>
      <c r="G149" s="1">
        <v>1254630066</v>
      </c>
      <c r="H149" s="1">
        <v>20</v>
      </c>
      <c r="I149" s="1" t="s">
        <v>12</v>
      </c>
      <c r="J149" t="s">
        <v>406</v>
      </c>
    </row>
    <row r="150" spans="1:10">
      <c r="A150" s="1">
        <v>71803</v>
      </c>
      <c r="B150" s="1">
        <v>4118618301</v>
      </c>
      <c r="C150" s="1">
        <v>12</v>
      </c>
      <c r="D150" s="1" t="s">
        <v>14</v>
      </c>
      <c r="E150" t="s">
        <v>351</v>
      </c>
      <c r="F150" s="1">
        <v>430249</v>
      </c>
      <c r="G150" s="1">
        <v>1254630081</v>
      </c>
      <c r="H150" s="1">
        <v>20</v>
      </c>
      <c r="I150" s="1" t="s">
        <v>12</v>
      </c>
      <c r="J150" t="s">
        <v>407</v>
      </c>
    </row>
    <row r="151" spans="1:10">
      <c r="A151" s="1">
        <v>373530</v>
      </c>
      <c r="B151" s="1">
        <v>2800007403</v>
      </c>
      <c r="C151" s="1">
        <v>24</v>
      </c>
      <c r="D151" s="1" t="s">
        <v>352</v>
      </c>
      <c r="E151" t="s">
        <v>353</v>
      </c>
      <c r="F151" s="1">
        <v>16808</v>
      </c>
      <c r="G151" s="1">
        <v>1254630071</v>
      </c>
      <c r="H151" s="1">
        <v>20</v>
      </c>
      <c r="I151" s="1" t="s">
        <v>12</v>
      </c>
      <c r="J151" t="s">
        <v>408</v>
      </c>
    </row>
    <row r="152" spans="1:10">
      <c r="A152" s="1">
        <v>240960</v>
      </c>
      <c r="B152" s="1">
        <v>4111600252</v>
      </c>
      <c r="C152" s="1">
        <v>12</v>
      </c>
      <c r="D152" s="1" t="s">
        <v>354</v>
      </c>
      <c r="E152" t="s">
        <v>355</v>
      </c>
      <c r="F152" s="1">
        <v>592535</v>
      </c>
      <c r="G152" s="1">
        <v>7560287149</v>
      </c>
      <c r="H152" s="1">
        <v>12</v>
      </c>
      <c r="I152" s="1" t="s">
        <v>31</v>
      </c>
      <c r="J152" t="s">
        <v>409</v>
      </c>
    </row>
    <row r="153" spans="1:10">
      <c r="A153" s="1">
        <v>861633</v>
      </c>
      <c r="B153" s="1">
        <v>2200010997</v>
      </c>
      <c r="C153" s="1">
        <v>20</v>
      </c>
      <c r="D153" s="1" t="s">
        <v>356</v>
      </c>
      <c r="E153" t="s">
        <v>357</v>
      </c>
      <c r="F153" s="1">
        <v>801134</v>
      </c>
      <c r="G153" s="1">
        <v>7560287163</v>
      </c>
      <c r="H153" s="1">
        <v>12</v>
      </c>
      <c r="I153" s="1" t="s">
        <v>410</v>
      </c>
      <c r="J153" t="s">
        <v>411</v>
      </c>
    </row>
    <row r="154" spans="1:10">
      <c r="A154" s="1">
        <v>128298</v>
      </c>
      <c r="B154" s="1">
        <v>1130074403</v>
      </c>
      <c r="C154" s="1">
        <v>12</v>
      </c>
      <c r="D154" s="1" t="s">
        <v>358</v>
      </c>
      <c r="E154" t="s">
        <v>359</v>
      </c>
      <c r="F154" s="1">
        <v>158162</v>
      </c>
      <c r="G154" s="1">
        <v>7560287451</v>
      </c>
      <c r="H154" s="1">
        <v>12</v>
      </c>
      <c r="I154" s="1" t="s">
        <v>14</v>
      </c>
      <c r="J154" t="s">
        <v>412</v>
      </c>
    </row>
    <row r="155" spans="1:10">
      <c r="A155" s="1">
        <v>68767</v>
      </c>
      <c r="B155" s="1">
        <v>1130074717</v>
      </c>
      <c r="C155" s="1">
        <v>12</v>
      </c>
      <c r="D155" s="1" t="s">
        <v>360</v>
      </c>
      <c r="E155" t="s">
        <v>361</v>
      </c>
      <c r="F155" s="1">
        <v>77479</v>
      </c>
      <c r="G155" s="1">
        <v>7560287402</v>
      </c>
      <c r="H155" s="1">
        <v>12</v>
      </c>
      <c r="I155" s="1" t="s">
        <v>31</v>
      </c>
      <c r="J155" t="s">
        <v>413</v>
      </c>
    </row>
    <row r="156" spans="1:10">
      <c r="A156" s="1">
        <v>68783</v>
      </c>
      <c r="B156" s="1">
        <v>1130074705</v>
      </c>
      <c r="C156" s="1">
        <v>12</v>
      </c>
      <c r="D156" s="1" t="s">
        <v>360</v>
      </c>
      <c r="E156" t="s">
        <v>362</v>
      </c>
      <c r="F156" s="1">
        <v>663641</v>
      </c>
      <c r="G156" s="1">
        <v>7560287129</v>
      </c>
      <c r="H156" s="1">
        <v>12</v>
      </c>
      <c r="I156" s="1" t="s">
        <v>410</v>
      </c>
      <c r="J156" t="s">
        <v>414</v>
      </c>
    </row>
    <row r="157" spans="1:10">
      <c r="A157" s="1">
        <v>288282</v>
      </c>
      <c r="B157" s="1">
        <v>1130038070</v>
      </c>
      <c r="C157" s="1">
        <v>12</v>
      </c>
      <c r="D157" s="1" t="s">
        <v>363</v>
      </c>
      <c r="E157" t="s">
        <v>364</v>
      </c>
      <c r="F157" s="1">
        <v>491886</v>
      </c>
      <c r="G157" s="1">
        <v>7560287131</v>
      </c>
      <c r="H157" s="1">
        <v>12</v>
      </c>
      <c r="I157" s="1" t="s">
        <v>410</v>
      </c>
      <c r="J157" t="s">
        <v>415</v>
      </c>
    </row>
    <row r="158" spans="1:10">
      <c r="A158" s="1">
        <v>16055</v>
      </c>
      <c r="B158" s="1">
        <v>1130074158</v>
      </c>
      <c r="C158" s="1">
        <v>12</v>
      </c>
      <c r="D158" s="1" t="s">
        <v>365</v>
      </c>
      <c r="E158" t="s">
        <v>366</v>
      </c>
      <c r="F158" s="1">
        <v>858456</v>
      </c>
      <c r="G158" s="1">
        <v>7560287465</v>
      </c>
      <c r="H158" s="1">
        <v>12</v>
      </c>
      <c r="I158" s="1" t="s">
        <v>14</v>
      </c>
      <c r="J158" t="s">
        <v>416</v>
      </c>
    </row>
    <row r="159" spans="1:10">
      <c r="A159" s="1">
        <v>68825</v>
      </c>
      <c r="B159" s="1">
        <v>1130074706</v>
      </c>
      <c r="C159" s="1">
        <v>12</v>
      </c>
      <c r="D159" s="1" t="s">
        <v>360</v>
      </c>
      <c r="E159" t="s">
        <v>367</v>
      </c>
      <c r="F159" s="1">
        <v>127639</v>
      </c>
      <c r="G159" s="1">
        <v>7560287273</v>
      </c>
      <c r="H159" s="1">
        <v>12</v>
      </c>
      <c r="I159" s="1" t="s">
        <v>417</v>
      </c>
      <c r="J159" t="s">
        <v>418</v>
      </c>
    </row>
    <row r="160" spans="1:10">
      <c r="A160" s="1">
        <v>125971</v>
      </c>
      <c r="B160" s="1">
        <v>1130038439</v>
      </c>
      <c r="C160" s="1">
        <v>12</v>
      </c>
      <c r="D160" s="1" t="s">
        <v>360</v>
      </c>
      <c r="E160" t="s">
        <v>368</v>
      </c>
      <c r="F160" s="1">
        <v>7591</v>
      </c>
      <c r="G160" s="1">
        <v>7560271020</v>
      </c>
      <c r="H160" s="1">
        <v>12</v>
      </c>
      <c r="I160" s="1" t="s">
        <v>419</v>
      </c>
      <c r="J160" t="s">
        <v>420</v>
      </c>
    </row>
    <row r="161" spans="1:10">
      <c r="A161" s="1">
        <v>15321</v>
      </c>
      <c r="B161" s="1">
        <v>1130074359</v>
      </c>
      <c r="C161" s="1">
        <v>12</v>
      </c>
      <c r="D161" s="1" t="s">
        <v>365</v>
      </c>
      <c r="E161" t="s">
        <v>369</v>
      </c>
      <c r="F161" s="1">
        <v>649293</v>
      </c>
      <c r="G161" s="1">
        <v>7560270570</v>
      </c>
      <c r="H161" s="1">
        <v>12</v>
      </c>
      <c r="I161" s="1" t="s">
        <v>421</v>
      </c>
      <c r="J161" t="s">
        <v>422</v>
      </c>
    </row>
    <row r="162" spans="1:10">
      <c r="A162" s="1">
        <v>16188</v>
      </c>
      <c r="B162" s="1">
        <v>1130074155</v>
      </c>
      <c r="C162" s="1">
        <v>12</v>
      </c>
      <c r="D162" s="1" t="s">
        <v>370</v>
      </c>
      <c r="E162" t="s">
        <v>371</v>
      </c>
      <c r="F162" s="1">
        <v>250746</v>
      </c>
      <c r="G162" s="1">
        <v>7560287112</v>
      </c>
      <c r="H162" s="1">
        <v>12</v>
      </c>
      <c r="I162" s="1" t="s">
        <v>419</v>
      </c>
      <c r="J162" t="s">
        <v>423</v>
      </c>
    </row>
    <row r="163" spans="1:10">
      <c r="A163" s="1">
        <v>288274</v>
      </c>
      <c r="B163" s="1">
        <v>1130038110</v>
      </c>
      <c r="C163" s="1">
        <v>12</v>
      </c>
      <c r="D163" s="1" t="s">
        <v>363</v>
      </c>
      <c r="E163" t="s">
        <v>372</v>
      </c>
      <c r="F163" s="1">
        <v>544700</v>
      </c>
      <c r="G163" s="1">
        <v>7560287404</v>
      </c>
      <c r="H163" s="1">
        <v>12</v>
      </c>
      <c r="I163" s="1" t="s">
        <v>18</v>
      </c>
      <c r="J163" t="s">
        <v>424</v>
      </c>
    </row>
    <row r="164" spans="1:10">
      <c r="A164" s="1">
        <v>125989</v>
      </c>
      <c r="B164" s="1">
        <v>1130038021</v>
      </c>
      <c r="C164" s="1">
        <v>12</v>
      </c>
      <c r="D164" s="1" t="s">
        <v>360</v>
      </c>
      <c r="E164" t="s">
        <v>373</v>
      </c>
      <c r="F164" s="1">
        <v>142711</v>
      </c>
      <c r="G164" s="1">
        <v>7560287473</v>
      </c>
      <c r="H164" s="1">
        <v>12</v>
      </c>
      <c r="I164" s="1" t="s">
        <v>31</v>
      </c>
      <c r="J164" t="s">
        <v>425</v>
      </c>
    </row>
    <row r="165" spans="1:10" ht="15.75">
      <c r="A165" s="4" t="s">
        <v>10682</v>
      </c>
      <c r="B165" s="2"/>
      <c r="C165" s="2"/>
      <c r="D165" s="2"/>
      <c r="E165" s="3"/>
      <c r="F165" s="4" t="s">
        <v>10682</v>
      </c>
      <c r="G165" s="2"/>
      <c r="H165" s="2"/>
      <c r="I165" s="2"/>
      <c r="J165" s="3"/>
    </row>
    <row r="166" spans="1:10">
      <c r="A166" s="2" t="s">
        <v>0</v>
      </c>
      <c r="B166" s="2" t="s">
        <v>1</v>
      </c>
      <c r="C166" s="2" t="s">
        <v>2</v>
      </c>
      <c r="D166" s="2" t="s">
        <v>3</v>
      </c>
      <c r="E166" s="3" t="s">
        <v>4</v>
      </c>
      <c r="F166" s="2" t="s">
        <v>0</v>
      </c>
      <c r="G166" s="2" t="s">
        <v>1</v>
      </c>
      <c r="H166" s="2" t="s">
        <v>2</v>
      </c>
      <c r="I166" s="2" t="s">
        <v>3</v>
      </c>
      <c r="J166" s="3" t="s">
        <v>4</v>
      </c>
    </row>
    <row r="167" spans="1:10">
      <c r="A167" s="1">
        <v>573246</v>
      </c>
      <c r="B167" s="1">
        <v>7560287148</v>
      </c>
      <c r="C167" s="1">
        <v>12</v>
      </c>
      <c r="D167" s="1" t="s">
        <v>31</v>
      </c>
      <c r="E167" t="s">
        <v>426</v>
      </c>
      <c r="F167" s="1">
        <v>707455</v>
      </c>
      <c r="G167" s="1">
        <v>4142012221</v>
      </c>
      <c r="H167" s="1">
        <v>12</v>
      </c>
      <c r="I167" s="1" t="s">
        <v>399</v>
      </c>
      <c r="J167" t="s">
        <v>474</v>
      </c>
    </row>
    <row r="168" spans="1:10">
      <c r="A168" s="1">
        <v>263624</v>
      </c>
      <c r="B168" s="1">
        <v>7560273500</v>
      </c>
      <c r="C168" s="1">
        <v>12</v>
      </c>
      <c r="D168" s="1" t="s">
        <v>31</v>
      </c>
      <c r="E168" t="s">
        <v>427</v>
      </c>
      <c r="F168" s="1">
        <v>170498</v>
      </c>
      <c r="G168" s="1">
        <v>7022101172</v>
      </c>
      <c r="H168" s="1">
        <v>12</v>
      </c>
      <c r="I168" s="1" t="s">
        <v>475</v>
      </c>
      <c r="J168" t="s">
        <v>476</v>
      </c>
    </row>
    <row r="169" spans="1:10">
      <c r="A169" s="1">
        <v>367508</v>
      </c>
      <c r="B169" s="1">
        <v>7560287147</v>
      </c>
      <c r="C169" s="1">
        <v>12</v>
      </c>
      <c r="D169" s="1" t="s">
        <v>417</v>
      </c>
      <c r="E169" t="s">
        <v>428</v>
      </c>
      <c r="F169" s="1">
        <v>838128</v>
      </c>
      <c r="G169" s="1">
        <v>980019012</v>
      </c>
      <c r="H169" s="1">
        <v>12</v>
      </c>
      <c r="I169" s="1" t="s">
        <v>477</v>
      </c>
      <c r="J169" t="s">
        <v>478</v>
      </c>
    </row>
    <row r="170" spans="1:10">
      <c r="A170" s="1">
        <v>190116</v>
      </c>
      <c r="B170" s="1">
        <v>7560287136</v>
      </c>
      <c r="C170" s="1">
        <v>12</v>
      </c>
      <c r="D170" s="1" t="s">
        <v>417</v>
      </c>
      <c r="E170" t="s">
        <v>429</v>
      </c>
      <c r="F170" s="1">
        <v>127993</v>
      </c>
      <c r="G170" s="1">
        <v>980000071</v>
      </c>
      <c r="H170" s="1">
        <v>12</v>
      </c>
      <c r="I170" s="1" t="s">
        <v>479</v>
      </c>
      <c r="J170" t="s">
        <v>480</v>
      </c>
    </row>
    <row r="171" spans="1:10">
      <c r="A171" s="1">
        <v>518381</v>
      </c>
      <c r="B171" s="1">
        <v>7560287366</v>
      </c>
      <c r="C171" s="1">
        <v>12</v>
      </c>
      <c r="D171" s="1" t="s">
        <v>421</v>
      </c>
      <c r="E171" t="s">
        <v>430</v>
      </c>
      <c r="F171" s="1">
        <v>399592</v>
      </c>
      <c r="G171" s="1">
        <v>87218100006</v>
      </c>
      <c r="H171" s="1">
        <v>12</v>
      </c>
      <c r="I171" s="1" t="s">
        <v>394</v>
      </c>
      <c r="J171" t="s">
        <v>481</v>
      </c>
    </row>
    <row r="172" spans="1:10">
      <c r="A172" s="1">
        <v>550228</v>
      </c>
      <c r="B172" s="1">
        <v>7560287414</v>
      </c>
      <c r="C172" s="1">
        <v>12</v>
      </c>
      <c r="D172" s="1" t="s">
        <v>18</v>
      </c>
      <c r="E172" t="s">
        <v>431</v>
      </c>
      <c r="F172" s="1">
        <v>51953</v>
      </c>
      <c r="G172" s="1">
        <v>87218100054</v>
      </c>
      <c r="H172" s="1">
        <v>12</v>
      </c>
      <c r="I172" s="1" t="s">
        <v>394</v>
      </c>
      <c r="J172" t="s">
        <v>482</v>
      </c>
    </row>
    <row r="173" spans="1:10">
      <c r="A173" s="1">
        <v>453027</v>
      </c>
      <c r="B173" s="1">
        <v>4000020637</v>
      </c>
      <c r="C173" s="1">
        <v>12</v>
      </c>
      <c r="D173" s="1" t="s">
        <v>432</v>
      </c>
      <c r="E173" t="s">
        <v>433</v>
      </c>
      <c r="F173" s="1">
        <v>10926</v>
      </c>
      <c r="G173" s="1">
        <v>2200000926</v>
      </c>
      <c r="H173" s="1">
        <v>12</v>
      </c>
      <c r="I173" s="1" t="s">
        <v>68</v>
      </c>
      <c r="J173" t="s">
        <v>483</v>
      </c>
    </row>
    <row r="174" spans="1:10">
      <c r="A174" s="1">
        <v>206623</v>
      </c>
      <c r="B174" s="1">
        <v>4000020640</v>
      </c>
      <c r="C174" s="1">
        <v>12</v>
      </c>
      <c r="D174" s="1" t="s">
        <v>434</v>
      </c>
      <c r="E174" t="s">
        <v>435</v>
      </c>
      <c r="F174" s="1">
        <v>657353</v>
      </c>
      <c r="G174" s="1">
        <v>74759960804</v>
      </c>
      <c r="H174" s="1">
        <v>12</v>
      </c>
      <c r="I174" s="1" t="s">
        <v>484</v>
      </c>
      <c r="J174" t="s">
        <v>485</v>
      </c>
    </row>
    <row r="175" spans="1:10">
      <c r="A175" s="1">
        <v>321232</v>
      </c>
      <c r="B175" s="1">
        <v>4000020638</v>
      </c>
      <c r="C175" s="1">
        <v>12</v>
      </c>
      <c r="D175" s="1" t="s">
        <v>434</v>
      </c>
      <c r="E175" t="s">
        <v>436</v>
      </c>
      <c r="F175" s="1">
        <v>35709</v>
      </c>
      <c r="G175" s="1">
        <v>74759930633</v>
      </c>
      <c r="H175" s="1">
        <v>12</v>
      </c>
      <c r="I175" s="1" t="s">
        <v>486</v>
      </c>
      <c r="J175" t="s">
        <v>487</v>
      </c>
    </row>
    <row r="176" spans="1:10">
      <c r="A176" s="1">
        <v>892679</v>
      </c>
      <c r="B176" s="1">
        <v>4000025127</v>
      </c>
      <c r="C176" s="1">
        <v>12</v>
      </c>
      <c r="D176" s="1" t="s">
        <v>365</v>
      </c>
      <c r="E176" t="s">
        <v>437</v>
      </c>
      <c r="F176" s="1">
        <v>235853</v>
      </c>
      <c r="G176" s="1">
        <v>7062266666</v>
      </c>
      <c r="H176" s="1">
        <v>24</v>
      </c>
      <c r="I176" s="1" t="s">
        <v>347</v>
      </c>
      <c r="J176" t="s">
        <v>488</v>
      </c>
    </row>
    <row r="177" spans="1:10">
      <c r="A177" s="1">
        <v>537225</v>
      </c>
      <c r="B177" s="1">
        <v>4000016015</v>
      </c>
      <c r="C177" s="1">
        <v>12</v>
      </c>
      <c r="D177" s="1" t="s">
        <v>106</v>
      </c>
      <c r="E177" t="s">
        <v>438</v>
      </c>
      <c r="F177" s="1">
        <v>515114</v>
      </c>
      <c r="G177" s="1">
        <v>7062213101</v>
      </c>
      <c r="H177" s="1">
        <v>12</v>
      </c>
      <c r="I177" s="1" t="s">
        <v>489</v>
      </c>
      <c r="J177" t="s">
        <v>490</v>
      </c>
    </row>
    <row r="178" spans="1:10">
      <c r="A178" s="1">
        <v>539098</v>
      </c>
      <c r="B178" s="1">
        <v>4000026204</v>
      </c>
      <c r="C178" s="1">
        <v>6</v>
      </c>
      <c r="D178" s="1" t="s">
        <v>439</v>
      </c>
      <c r="E178" t="s">
        <v>440</v>
      </c>
      <c r="F178" s="1">
        <v>5017</v>
      </c>
      <c r="G178" s="1">
        <v>1900008342</v>
      </c>
      <c r="H178" s="1">
        <v>12</v>
      </c>
      <c r="I178" s="1" t="s">
        <v>360</v>
      </c>
      <c r="J178" t="s">
        <v>491</v>
      </c>
    </row>
    <row r="179" spans="1:10">
      <c r="A179" s="1">
        <v>775098</v>
      </c>
      <c r="B179" s="1">
        <v>4000016270</v>
      </c>
      <c r="C179" s="1">
        <v>12</v>
      </c>
      <c r="D179" s="1" t="s">
        <v>441</v>
      </c>
      <c r="E179" t="s">
        <v>442</v>
      </c>
      <c r="F179" s="1">
        <v>5421</v>
      </c>
      <c r="G179" s="1">
        <v>1900008344</v>
      </c>
      <c r="H179" s="1">
        <v>12</v>
      </c>
      <c r="I179" s="1" t="s">
        <v>360</v>
      </c>
      <c r="J179" t="s">
        <v>492</v>
      </c>
    </row>
    <row r="180" spans="1:10">
      <c r="A180" s="1">
        <v>349159</v>
      </c>
      <c r="B180" s="1">
        <v>4000016269</v>
      </c>
      <c r="C180" s="1">
        <v>12</v>
      </c>
      <c r="D180" s="1" t="s">
        <v>441</v>
      </c>
      <c r="E180" t="s">
        <v>443</v>
      </c>
      <c r="F180" s="1">
        <v>290296</v>
      </c>
      <c r="G180" s="1">
        <v>4223830221</v>
      </c>
      <c r="H180" s="1">
        <v>12</v>
      </c>
      <c r="I180" s="1" t="s">
        <v>394</v>
      </c>
      <c r="J180" t="s">
        <v>493</v>
      </c>
    </row>
    <row r="181" spans="1:10">
      <c r="A181" s="1">
        <v>4390</v>
      </c>
      <c r="B181" s="1">
        <v>2200017997</v>
      </c>
      <c r="C181" s="1">
        <v>20</v>
      </c>
      <c r="D181" s="1" t="s">
        <v>12</v>
      </c>
      <c r="E181" t="s">
        <v>444</v>
      </c>
      <c r="F181" s="1">
        <v>451120</v>
      </c>
      <c r="G181" s="1">
        <v>4223832364</v>
      </c>
      <c r="H181" s="1">
        <v>12</v>
      </c>
      <c r="I181" s="1" t="s">
        <v>394</v>
      </c>
      <c r="J181" t="s">
        <v>494</v>
      </c>
    </row>
    <row r="182" spans="1:10">
      <c r="A182" s="1">
        <v>7997</v>
      </c>
      <c r="B182" s="1">
        <v>2200017999</v>
      </c>
      <c r="C182" s="1">
        <v>20</v>
      </c>
      <c r="D182" s="1" t="s">
        <v>12</v>
      </c>
      <c r="E182" t="s">
        <v>445</v>
      </c>
      <c r="F182" s="1">
        <v>841510</v>
      </c>
      <c r="G182" s="1">
        <v>3400024919</v>
      </c>
      <c r="H182" s="1">
        <v>12</v>
      </c>
      <c r="I182" s="1" t="s">
        <v>486</v>
      </c>
      <c r="J182" t="s">
        <v>495</v>
      </c>
    </row>
    <row r="183" spans="1:10">
      <c r="A183" s="1">
        <v>7096</v>
      </c>
      <c r="B183" s="1">
        <v>2200017996</v>
      </c>
      <c r="C183" s="1">
        <v>20</v>
      </c>
      <c r="D183" s="1" t="s">
        <v>12</v>
      </c>
      <c r="E183" t="s">
        <v>446</v>
      </c>
      <c r="F183" s="1">
        <v>15768</v>
      </c>
      <c r="G183" s="1">
        <v>3400029105</v>
      </c>
      <c r="H183" s="1">
        <v>24</v>
      </c>
      <c r="I183" s="1" t="s">
        <v>496</v>
      </c>
      <c r="J183" t="s">
        <v>497</v>
      </c>
    </row>
    <row r="184" spans="1:10">
      <c r="A184" s="1">
        <v>7583</v>
      </c>
      <c r="B184" s="1">
        <v>2200017998</v>
      </c>
      <c r="C184" s="1">
        <v>20</v>
      </c>
      <c r="D184" s="1" t="s">
        <v>12</v>
      </c>
      <c r="E184" t="s">
        <v>447</v>
      </c>
      <c r="F184" s="1">
        <v>553180</v>
      </c>
      <c r="G184" s="1">
        <v>3400004878</v>
      </c>
      <c r="H184" s="1">
        <v>24</v>
      </c>
      <c r="I184" s="1" t="s">
        <v>498</v>
      </c>
      <c r="J184" t="s">
        <v>499</v>
      </c>
    </row>
    <row r="185" spans="1:10">
      <c r="A185" s="1">
        <v>619825</v>
      </c>
      <c r="B185" s="1">
        <v>2200010604</v>
      </c>
      <c r="C185" s="1">
        <v>20</v>
      </c>
      <c r="D185" s="1" t="s">
        <v>448</v>
      </c>
      <c r="E185" t="s">
        <v>449</v>
      </c>
      <c r="F185" s="1">
        <v>5454</v>
      </c>
      <c r="G185" s="1">
        <v>3400002040</v>
      </c>
      <c r="H185" s="1">
        <v>12</v>
      </c>
      <c r="I185" s="1" t="s">
        <v>500</v>
      </c>
      <c r="J185" t="s">
        <v>501</v>
      </c>
    </row>
    <row r="186" spans="1:10">
      <c r="A186" s="1">
        <v>25718</v>
      </c>
      <c r="B186" s="1">
        <v>2200011391</v>
      </c>
      <c r="C186" s="1">
        <v>20</v>
      </c>
      <c r="D186" s="1" t="s">
        <v>356</v>
      </c>
      <c r="E186" t="s">
        <v>450</v>
      </c>
      <c r="F186" s="1">
        <v>9621</v>
      </c>
      <c r="G186" s="1">
        <v>1070002440</v>
      </c>
      <c r="H186" s="1">
        <v>12</v>
      </c>
      <c r="I186" s="1" t="s">
        <v>394</v>
      </c>
      <c r="J186" t="s">
        <v>502</v>
      </c>
    </row>
    <row r="187" spans="1:10">
      <c r="A187" s="1">
        <v>862110</v>
      </c>
      <c r="B187" s="1">
        <v>2200012819</v>
      </c>
      <c r="C187" s="1">
        <v>20</v>
      </c>
      <c r="D187" s="1" t="s">
        <v>451</v>
      </c>
      <c r="E187" t="s">
        <v>452</v>
      </c>
      <c r="F187" s="1">
        <v>153569</v>
      </c>
      <c r="G187" s="1">
        <v>3400014901</v>
      </c>
      <c r="H187" s="1">
        <v>12</v>
      </c>
      <c r="I187" s="1" t="s">
        <v>503</v>
      </c>
      <c r="J187" t="s">
        <v>504</v>
      </c>
    </row>
    <row r="188" spans="1:10">
      <c r="A188" s="1">
        <v>397877</v>
      </c>
      <c r="B188" s="1">
        <v>2200011388</v>
      </c>
      <c r="C188" s="1">
        <v>20</v>
      </c>
      <c r="D188" s="1" t="s">
        <v>356</v>
      </c>
      <c r="E188" t="s">
        <v>453</v>
      </c>
      <c r="F188" s="1">
        <v>359992</v>
      </c>
      <c r="G188" s="1">
        <v>3400014900</v>
      </c>
      <c r="H188" s="1">
        <v>12</v>
      </c>
      <c r="I188" s="1" t="s">
        <v>503</v>
      </c>
      <c r="J188" t="s">
        <v>505</v>
      </c>
    </row>
    <row r="189" spans="1:10">
      <c r="A189" s="1">
        <v>160036</v>
      </c>
      <c r="B189" s="1">
        <v>2200011260</v>
      </c>
      <c r="C189" s="1">
        <v>20</v>
      </c>
      <c r="D189" s="1" t="s">
        <v>356</v>
      </c>
      <c r="E189" t="s">
        <v>454</v>
      </c>
      <c r="F189" s="1">
        <v>75</v>
      </c>
      <c r="G189" s="1">
        <v>3400014902</v>
      </c>
      <c r="H189" s="1">
        <v>12</v>
      </c>
      <c r="I189" s="1" t="s">
        <v>503</v>
      </c>
      <c r="J189" t="s">
        <v>506</v>
      </c>
    </row>
    <row r="190" spans="1:10">
      <c r="A190" s="1">
        <v>314302</v>
      </c>
      <c r="B190" s="1">
        <v>2200011259</v>
      </c>
      <c r="C190" s="1">
        <v>20</v>
      </c>
      <c r="D190" s="1" t="s">
        <v>356</v>
      </c>
      <c r="E190" t="s">
        <v>455</v>
      </c>
      <c r="F190" s="1">
        <v>341388</v>
      </c>
      <c r="G190" s="1">
        <v>3400084114</v>
      </c>
      <c r="H190" s="1">
        <v>14</v>
      </c>
      <c r="I190" s="1" t="s">
        <v>89</v>
      </c>
      <c r="J190" t="s">
        <v>507</v>
      </c>
    </row>
    <row r="191" spans="1:10">
      <c r="A191" s="1">
        <v>337618</v>
      </c>
      <c r="B191" s="1">
        <v>2200011250</v>
      </c>
      <c r="C191" s="1">
        <v>20</v>
      </c>
      <c r="D191" s="1" t="s">
        <v>356</v>
      </c>
      <c r="E191" t="s">
        <v>456</v>
      </c>
      <c r="F191" s="1">
        <v>92833</v>
      </c>
      <c r="G191" s="1">
        <v>3400004148</v>
      </c>
      <c r="H191" s="1">
        <v>24</v>
      </c>
      <c r="I191" s="1" t="s">
        <v>397</v>
      </c>
      <c r="J191" t="s">
        <v>508</v>
      </c>
    </row>
    <row r="192" spans="1:10">
      <c r="A192" s="1">
        <v>4952</v>
      </c>
      <c r="B192" s="1">
        <v>2200012816</v>
      </c>
      <c r="C192" s="1">
        <v>20</v>
      </c>
      <c r="D192" s="1" t="s">
        <v>448</v>
      </c>
      <c r="E192" t="s">
        <v>457</v>
      </c>
      <c r="F192" s="1">
        <v>707547</v>
      </c>
      <c r="G192" s="1">
        <v>3400000198</v>
      </c>
      <c r="H192" s="1">
        <v>12</v>
      </c>
      <c r="I192" s="1" t="s">
        <v>89</v>
      </c>
      <c r="J192" t="s">
        <v>509</v>
      </c>
    </row>
    <row r="193" spans="1:10">
      <c r="A193" s="1">
        <v>648832</v>
      </c>
      <c r="B193" s="1">
        <v>2200011249</v>
      </c>
      <c r="C193" s="1">
        <v>20</v>
      </c>
      <c r="D193" s="1" t="s">
        <v>356</v>
      </c>
      <c r="E193" t="s">
        <v>458</v>
      </c>
      <c r="F193" s="1">
        <v>572578</v>
      </c>
      <c r="G193" s="1">
        <v>3400004025</v>
      </c>
      <c r="H193" s="1">
        <v>24</v>
      </c>
      <c r="I193" s="1" t="s">
        <v>510</v>
      </c>
      <c r="J193" t="s">
        <v>511</v>
      </c>
    </row>
    <row r="194" spans="1:10">
      <c r="A194" s="1">
        <v>70862</v>
      </c>
      <c r="B194" s="1">
        <v>2200011248</v>
      </c>
      <c r="C194" s="1">
        <v>20</v>
      </c>
      <c r="D194" s="1" t="s">
        <v>356</v>
      </c>
      <c r="E194" t="s">
        <v>459</v>
      </c>
      <c r="F194" s="1">
        <v>366500</v>
      </c>
      <c r="G194" s="1">
        <v>3400084155</v>
      </c>
      <c r="H194" s="1">
        <v>12</v>
      </c>
      <c r="I194" s="1" t="s">
        <v>512</v>
      </c>
      <c r="J194" t="s">
        <v>513</v>
      </c>
    </row>
    <row r="195" spans="1:10">
      <c r="A195" s="1">
        <v>7831</v>
      </c>
      <c r="B195" s="1">
        <v>2200012811</v>
      </c>
      <c r="C195" s="1">
        <v>20</v>
      </c>
      <c r="D195" s="1" t="s">
        <v>448</v>
      </c>
      <c r="E195" t="s">
        <v>460</v>
      </c>
      <c r="F195" s="1">
        <v>299792</v>
      </c>
      <c r="G195" s="1">
        <v>3400004029</v>
      </c>
      <c r="H195" s="1">
        <v>24</v>
      </c>
      <c r="I195" s="1" t="s">
        <v>510</v>
      </c>
      <c r="J195" t="s">
        <v>514</v>
      </c>
    </row>
    <row r="196" spans="1:10">
      <c r="A196" s="1">
        <v>177816</v>
      </c>
      <c r="B196" s="1">
        <v>2200011246</v>
      </c>
      <c r="C196" s="1">
        <v>20</v>
      </c>
      <c r="D196" s="1" t="s">
        <v>356</v>
      </c>
      <c r="E196" t="s">
        <v>461</v>
      </c>
      <c r="F196" s="1">
        <v>166579</v>
      </c>
      <c r="G196" s="1">
        <v>3400004031</v>
      </c>
      <c r="H196" s="1">
        <v>24</v>
      </c>
      <c r="I196" s="1" t="s">
        <v>510</v>
      </c>
      <c r="J196" t="s">
        <v>515</v>
      </c>
    </row>
    <row r="197" spans="1:10">
      <c r="A197" s="1">
        <v>192914</v>
      </c>
      <c r="B197" s="1">
        <v>7309360204</v>
      </c>
      <c r="C197" s="1">
        <v>8</v>
      </c>
      <c r="D197" s="1" t="s">
        <v>381</v>
      </c>
      <c r="E197" t="s">
        <v>462</v>
      </c>
      <c r="F197" s="1">
        <v>351809</v>
      </c>
      <c r="G197" s="1">
        <v>3400004033</v>
      </c>
      <c r="H197" s="1">
        <v>24</v>
      </c>
      <c r="I197" s="1" t="s">
        <v>510</v>
      </c>
      <c r="J197" t="s">
        <v>516</v>
      </c>
    </row>
    <row r="198" spans="1:10">
      <c r="A198" s="1">
        <v>12575</v>
      </c>
      <c r="B198" s="1">
        <v>4160102189</v>
      </c>
      <c r="C198" s="1">
        <v>12</v>
      </c>
      <c r="D198" s="1" t="s">
        <v>463</v>
      </c>
      <c r="E198" t="s">
        <v>464</v>
      </c>
      <c r="F198" s="1">
        <v>606848</v>
      </c>
      <c r="G198" s="1">
        <v>3400084164</v>
      </c>
      <c r="H198" s="1">
        <v>12</v>
      </c>
      <c r="I198" s="1" t="s">
        <v>517</v>
      </c>
      <c r="J198" t="s">
        <v>518</v>
      </c>
    </row>
    <row r="199" spans="1:10">
      <c r="A199" s="1">
        <v>12500</v>
      </c>
      <c r="B199" s="1">
        <v>4160102285</v>
      </c>
      <c r="C199" s="1">
        <v>12</v>
      </c>
      <c r="D199" s="1" t="s">
        <v>465</v>
      </c>
      <c r="E199" t="s">
        <v>466</v>
      </c>
      <c r="F199" s="1">
        <v>313239</v>
      </c>
      <c r="G199" s="1">
        <v>3400024912</v>
      </c>
      <c r="H199" s="1">
        <v>12</v>
      </c>
      <c r="I199" s="1" t="s">
        <v>519</v>
      </c>
      <c r="J199" t="s">
        <v>520</v>
      </c>
    </row>
    <row r="200" spans="1:10">
      <c r="A200" s="1">
        <v>3384</v>
      </c>
      <c r="B200" s="1">
        <v>4162370243</v>
      </c>
      <c r="C200" s="1">
        <v>12</v>
      </c>
      <c r="D200" s="1" t="s">
        <v>360</v>
      </c>
      <c r="E200" t="s">
        <v>467</v>
      </c>
      <c r="F200" s="1">
        <v>487538</v>
      </c>
      <c r="G200" s="1">
        <v>3400023704</v>
      </c>
      <c r="H200" s="1">
        <v>12</v>
      </c>
      <c r="I200" s="1" t="s">
        <v>521</v>
      </c>
      <c r="J200" t="s">
        <v>522</v>
      </c>
    </row>
    <row r="201" spans="1:10">
      <c r="A201" s="1">
        <v>72652</v>
      </c>
      <c r="B201" s="1">
        <v>7309360801</v>
      </c>
      <c r="C201" s="1">
        <v>8</v>
      </c>
      <c r="D201" s="1" t="s">
        <v>379</v>
      </c>
      <c r="E201" t="s">
        <v>468</v>
      </c>
      <c r="F201" s="1">
        <v>487520</v>
      </c>
      <c r="G201" s="1">
        <v>3400023703</v>
      </c>
      <c r="H201" s="1">
        <v>12</v>
      </c>
      <c r="I201" s="1" t="s">
        <v>521</v>
      </c>
      <c r="J201" t="s">
        <v>523</v>
      </c>
    </row>
    <row r="202" spans="1:10">
      <c r="A202" s="1">
        <v>595488</v>
      </c>
      <c r="B202" s="1">
        <v>7309343518</v>
      </c>
      <c r="C202" s="1">
        <v>12</v>
      </c>
      <c r="D202" s="1" t="s">
        <v>469</v>
      </c>
      <c r="E202" t="s">
        <v>470</v>
      </c>
      <c r="F202" s="1">
        <v>302539</v>
      </c>
      <c r="G202" s="1">
        <v>3400023764</v>
      </c>
      <c r="H202" s="1">
        <v>12</v>
      </c>
      <c r="I202" s="1" t="s">
        <v>524</v>
      </c>
      <c r="J202" t="s">
        <v>525</v>
      </c>
    </row>
    <row r="203" spans="1:10">
      <c r="A203" s="1">
        <v>142760</v>
      </c>
      <c r="B203" s="1">
        <v>7309343530</v>
      </c>
      <c r="C203" s="1">
        <v>12</v>
      </c>
      <c r="D203" s="1" t="s">
        <v>469</v>
      </c>
      <c r="E203" t="s">
        <v>471</v>
      </c>
      <c r="F203" s="1">
        <v>492926</v>
      </c>
      <c r="G203" s="1">
        <v>3400000968</v>
      </c>
      <c r="H203" s="1">
        <v>14</v>
      </c>
      <c r="I203" s="1" t="s">
        <v>89</v>
      </c>
      <c r="J203" t="s">
        <v>526</v>
      </c>
    </row>
    <row r="204" spans="1:10">
      <c r="A204" s="1">
        <v>140459</v>
      </c>
      <c r="B204" s="1">
        <v>7309343503</v>
      </c>
      <c r="C204" s="1">
        <v>12</v>
      </c>
      <c r="D204" s="1" t="s">
        <v>469</v>
      </c>
      <c r="E204" t="s">
        <v>472</v>
      </c>
      <c r="F204" s="1">
        <v>408807</v>
      </c>
      <c r="G204" s="1">
        <v>3400019141</v>
      </c>
      <c r="H204" s="1">
        <v>12</v>
      </c>
      <c r="I204" s="1" t="s">
        <v>527</v>
      </c>
      <c r="J204" t="s">
        <v>528</v>
      </c>
    </row>
    <row r="205" spans="1:10">
      <c r="A205" s="1">
        <v>871509</v>
      </c>
      <c r="B205" s="1">
        <v>7309343501</v>
      </c>
      <c r="C205" s="1">
        <v>12</v>
      </c>
      <c r="D205" s="1" t="s">
        <v>469</v>
      </c>
      <c r="E205" t="s">
        <v>473</v>
      </c>
      <c r="F205" s="1">
        <v>3434</v>
      </c>
      <c r="G205" s="1">
        <v>1070070216</v>
      </c>
      <c r="H205" s="1">
        <v>12</v>
      </c>
      <c r="I205" s="1" t="s">
        <v>360</v>
      </c>
      <c r="J205" t="s">
        <v>529</v>
      </c>
    </row>
    <row r="206" spans="1:10" ht="15.75">
      <c r="A206" s="4" t="s">
        <v>10682</v>
      </c>
      <c r="B206" s="2"/>
      <c r="C206" s="2"/>
      <c r="D206" s="2"/>
      <c r="E206" s="3"/>
      <c r="F206" s="4" t="s">
        <v>10682</v>
      </c>
      <c r="G206" s="2"/>
      <c r="H206" s="2"/>
      <c r="I206" s="2"/>
      <c r="J206" s="3"/>
    </row>
    <row r="207" spans="1:10">
      <c r="A207" s="2" t="s">
        <v>0</v>
      </c>
      <c r="B207" s="2" t="s">
        <v>1</v>
      </c>
      <c r="C207" s="2" t="s">
        <v>2</v>
      </c>
      <c r="D207" s="2" t="s">
        <v>3</v>
      </c>
      <c r="E207" s="3" t="s">
        <v>4</v>
      </c>
      <c r="F207" s="2" t="s">
        <v>0</v>
      </c>
      <c r="G207" s="2" t="s">
        <v>1</v>
      </c>
      <c r="H207" s="2" t="s">
        <v>2</v>
      </c>
      <c r="I207" s="2" t="s">
        <v>3</v>
      </c>
      <c r="J207" s="3" t="s">
        <v>4</v>
      </c>
    </row>
    <row r="208" spans="1:10">
      <c r="A208" s="1">
        <v>442426</v>
      </c>
      <c r="B208" s="1">
        <v>1070008840</v>
      </c>
      <c r="C208" s="1">
        <v>12</v>
      </c>
      <c r="D208" s="1" t="s">
        <v>394</v>
      </c>
      <c r="E208" t="s">
        <v>530</v>
      </c>
      <c r="F208" s="1">
        <v>707604</v>
      </c>
      <c r="G208" s="1">
        <v>3400001841</v>
      </c>
      <c r="H208" s="1">
        <v>12</v>
      </c>
      <c r="I208" s="1" t="s">
        <v>574</v>
      </c>
      <c r="J208" t="s">
        <v>575</v>
      </c>
    </row>
    <row r="209" spans="1:10">
      <c r="A209" s="1">
        <v>9415</v>
      </c>
      <c r="B209" s="1">
        <v>1070008813</v>
      </c>
      <c r="C209" s="1">
        <v>12</v>
      </c>
      <c r="D209" s="1" t="s">
        <v>404</v>
      </c>
      <c r="E209" t="s">
        <v>531</v>
      </c>
      <c r="F209" s="1">
        <v>752154</v>
      </c>
      <c r="G209" s="1">
        <v>3400001689</v>
      </c>
      <c r="H209" s="1">
        <v>9</v>
      </c>
      <c r="I209" s="1" t="s">
        <v>576</v>
      </c>
      <c r="J209" t="s">
        <v>575</v>
      </c>
    </row>
    <row r="210" spans="1:10">
      <c r="A210" s="1">
        <v>20784</v>
      </c>
      <c r="B210" s="1">
        <v>1070006200</v>
      </c>
      <c r="C210" s="1">
        <v>12</v>
      </c>
      <c r="D210" s="1" t="s">
        <v>347</v>
      </c>
      <c r="E210" t="s">
        <v>532</v>
      </c>
      <c r="F210" s="1">
        <v>9845</v>
      </c>
      <c r="G210" s="1">
        <v>3400001112</v>
      </c>
      <c r="H210" s="1">
        <v>12</v>
      </c>
      <c r="I210" s="1" t="s">
        <v>370</v>
      </c>
      <c r="J210" t="s">
        <v>577</v>
      </c>
    </row>
    <row r="211" spans="1:10">
      <c r="A211" s="1">
        <v>288456</v>
      </c>
      <c r="B211" s="1">
        <v>3400021303</v>
      </c>
      <c r="C211" s="1">
        <v>24</v>
      </c>
      <c r="D211" s="1" t="s">
        <v>347</v>
      </c>
      <c r="E211" t="s">
        <v>533</v>
      </c>
      <c r="F211" s="1">
        <v>5579</v>
      </c>
      <c r="G211" s="1">
        <v>3400001620</v>
      </c>
      <c r="H211" s="1">
        <v>12</v>
      </c>
      <c r="I211" s="1" t="s">
        <v>347</v>
      </c>
      <c r="J211" t="s">
        <v>578</v>
      </c>
    </row>
    <row r="212" spans="1:10">
      <c r="A212" s="1">
        <v>707612</v>
      </c>
      <c r="B212" s="1">
        <v>3400021421</v>
      </c>
      <c r="C212" s="1">
        <v>12</v>
      </c>
      <c r="D212" s="1" t="s">
        <v>534</v>
      </c>
      <c r="E212" t="s">
        <v>533</v>
      </c>
      <c r="F212" s="1">
        <v>5595</v>
      </c>
      <c r="G212" s="1">
        <v>3400001610</v>
      </c>
      <c r="H212" s="1">
        <v>12</v>
      </c>
      <c r="I212" s="1" t="s">
        <v>347</v>
      </c>
      <c r="J212" t="s">
        <v>579</v>
      </c>
    </row>
    <row r="213" spans="1:10">
      <c r="A213" s="1">
        <v>380147</v>
      </c>
      <c r="B213" s="1">
        <v>3400017003</v>
      </c>
      <c r="C213" s="1">
        <v>12</v>
      </c>
      <c r="D213" s="1" t="s">
        <v>477</v>
      </c>
      <c r="E213" t="s">
        <v>535</v>
      </c>
      <c r="F213" s="1">
        <v>700005</v>
      </c>
      <c r="G213" s="1">
        <v>1070070810</v>
      </c>
      <c r="H213" s="1">
        <v>12</v>
      </c>
      <c r="I213" s="1" t="s">
        <v>580</v>
      </c>
      <c r="J213" t="s">
        <v>581</v>
      </c>
    </row>
    <row r="214" spans="1:10">
      <c r="A214" s="1">
        <v>344747</v>
      </c>
      <c r="B214" s="1">
        <v>3400017414</v>
      </c>
      <c r="C214" s="1">
        <v>12</v>
      </c>
      <c r="D214" s="1" t="s">
        <v>536</v>
      </c>
      <c r="E214" t="s">
        <v>537</v>
      </c>
      <c r="F214" s="1">
        <v>239954</v>
      </c>
      <c r="G214" s="1">
        <v>3400024913</v>
      </c>
      <c r="H214" s="1">
        <v>12</v>
      </c>
      <c r="I214" s="1" t="s">
        <v>582</v>
      </c>
      <c r="J214" t="s">
        <v>583</v>
      </c>
    </row>
    <row r="215" spans="1:10">
      <c r="A215" s="1">
        <v>288415</v>
      </c>
      <c r="B215" s="1">
        <v>3400011000</v>
      </c>
      <c r="C215" s="1">
        <v>12</v>
      </c>
      <c r="D215" s="1" t="s">
        <v>347</v>
      </c>
      <c r="E215" t="s">
        <v>538</v>
      </c>
      <c r="F215" s="1">
        <v>157396</v>
      </c>
      <c r="G215" s="1">
        <v>3400045100</v>
      </c>
      <c r="H215" s="1">
        <v>12</v>
      </c>
      <c r="I215" s="1" t="s">
        <v>8</v>
      </c>
      <c r="J215" t="s">
        <v>584</v>
      </c>
    </row>
    <row r="216" spans="1:10">
      <c r="A216" s="1">
        <v>84525</v>
      </c>
      <c r="B216" s="1">
        <v>1070010220</v>
      </c>
      <c r="C216" s="1">
        <v>12</v>
      </c>
      <c r="D216" s="1" t="s">
        <v>465</v>
      </c>
      <c r="E216" t="s">
        <v>539</v>
      </c>
      <c r="F216" s="1">
        <v>748707</v>
      </c>
      <c r="G216" s="1">
        <v>3400024918</v>
      </c>
      <c r="H216" s="1">
        <v>12</v>
      </c>
      <c r="I216" s="1" t="s">
        <v>486</v>
      </c>
      <c r="J216" t="s">
        <v>585</v>
      </c>
    </row>
    <row r="217" spans="1:10">
      <c r="A217" s="1">
        <v>504183</v>
      </c>
      <c r="B217" s="1">
        <v>3400067001</v>
      </c>
      <c r="C217" s="1">
        <v>12</v>
      </c>
      <c r="D217" s="1" t="s">
        <v>259</v>
      </c>
      <c r="E217" t="s">
        <v>118</v>
      </c>
      <c r="F217" s="1">
        <v>536995</v>
      </c>
      <c r="G217" s="1">
        <v>3400049010</v>
      </c>
      <c r="H217" s="1">
        <v>24</v>
      </c>
      <c r="I217" s="1" t="s">
        <v>498</v>
      </c>
      <c r="J217" t="s">
        <v>586</v>
      </c>
    </row>
    <row r="218" spans="1:10">
      <c r="A218" s="1">
        <v>288449</v>
      </c>
      <c r="B218" s="1">
        <v>3400013000</v>
      </c>
      <c r="C218" s="1">
        <v>24</v>
      </c>
      <c r="D218" s="1" t="s">
        <v>347</v>
      </c>
      <c r="E218" t="s">
        <v>540</v>
      </c>
      <c r="F218" s="1">
        <v>20792</v>
      </c>
      <c r="G218" s="1">
        <v>3400020631</v>
      </c>
      <c r="H218" s="1">
        <v>12</v>
      </c>
      <c r="I218" s="1" t="s">
        <v>363</v>
      </c>
      <c r="J218" t="s">
        <v>587</v>
      </c>
    </row>
    <row r="219" spans="1:10">
      <c r="A219" s="1">
        <v>707620</v>
      </c>
      <c r="B219" s="1">
        <v>3400012031</v>
      </c>
      <c r="C219" s="1">
        <v>12</v>
      </c>
      <c r="D219" s="1" t="s">
        <v>534</v>
      </c>
      <c r="E219" t="s">
        <v>540</v>
      </c>
      <c r="F219" s="1">
        <v>777458</v>
      </c>
      <c r="G219" s="1">
        <v>3400044227</v>
      </c>
      <c r="H219" s="1">
        <v>12</v>
      </c>
      <c r="I219" s="1" t="s">
        <v>363</v>
      </c>
      <c r="J219" t="s">
        <v>588</v>
      </c>
    </row>
    <row r="220" spans="1:10">
      <c r="A220" s="1">
        <v>454611</v>
      </c>
      <c r="B220" s="1">
        <v>3400012720</v>
      </c>
      <c r="C220" s="1">
        <v>12</v>
      </c>
      <c r="D220" s="1" t="s">
        <v>363</v>
      </c>
      <c r="E220" t="s">
        <v>541</v>
      </c>
      <c r="F220" s="1">
        <v>14928</v>
      </c>
      <c r="G220" s="1">
        <v>3400040568</v>
      </c>
      <c r="H220" s="1">
        <v>36</v>
      </c>
      <c r="I220" s="1" t="s">
        <v>589</v>
      </c>
      <c r="J220" t="s">
        <v>590</v>
      </c>
    </row>
    <row r="221" spans="1:10">
      <c r="A221" s="1">
        <v>14696</v>
      </c>
      <c r="B221" s="1">
        <v>3400012180</v>
      </c>
      <c r="C221" s="1">
        <v>12</v>
      </c>
      <c r="D221" s="1" t="s">
        <v>347</v>
      </c>
      <c r="E221" t="s">
        <v>542</v>
      </c>
      <c r="F221" s="1">
        <v>707638</v>
      </c>
      <c r="G221" s="1">
        <v>3400044571</v>
      </c>
      <c r="H221" s="1">
        <v>12</v>
      </c>
      <c r="I221" s="1" t="s">
        <v>534</v>
      </c>
      <c r="J221" t="s">
        <v>591</v>
      </c>
    </row>
    <row r="222" spans="1:10">
      <c r="A222" s="1">
        <v>288373</v>
      </c>
      <c r="B222" s="1">
        <v>3400013231</v>
      </c>
      <c r="C222" s="1">
        <v>12</v>
      </c>
      <c r="D222" s="1" t="s">
        <v>363</v>
      </c>
      <c r="E222" t="s">
        <v>543</v>
      </c>
      <c r="F222" s="1">
        <v>288639</v>
      </c>
      <c r="G222" s="1">
        <v>3400044860</v>
      </c>
      <c r="H222" s="1">
        <v>24</v>
      </c>
      <c r="I222" s="1" t="s">
        <v>347</v>
      </c>
      <c r="J222" t="s">
        <v>592</v>
      </c>
    </row>
    <row r="223" spans="1:10">
      <c r="A223" s="1">
        <v>288365</v>
      </c>
      <c r="B223" s="1">
        <v>3400012623</v>
      </c>
      <c r="C223" s="1">
        <v>12</v>
      </c>
      <c r="D223" s="1" t="s">
        <v>363</v>
      </c>
      <c r="E223" t="s">
        <v>544</v>
      </c>
      <c r="F223" s="1">
        <v>9308</v>
      </c>
      <c r="G223" s="1">
        <v>3400011470</v>
      </c>
      <c r="H223" s="1">
        <v>12</v>
      </c>
      <c r="I223" s="1" t="s">
        <v>397</v>
      </c>
      <c r="J223" t="s">
        <v>593</v>
      </c>
    </row>
    <row r="224" spans="1:10">
      <c r="A224" s="1">
        <v>864496</v>
      </c>
      <c r="B224" s="1">
        <v>3400012853</v>
      </c>
      <c r="C224" s="1">
        <v>12</v>
      </c>
      <c r="D224" s="1" t="s">
        <v>363</v>
      </c>
      <c r="E224" t="s">
        <v>545</v>
      </c>
      <c r="F224" s="1">
        <v>15735</v>
      </c>
      <c r="G224" s="1">
        <v>3400049005</v>
      </c>
      <c r="H224" s="1">
        <v>24</v>
      </c>
      <c r="I224" s="1" t="s">
        <v>546</v>
      </c>
      <c r="J224" t="s">
        <v>594</v>
      </c>
    </row>
    <row r="225" spans="1:10">
      <c r="A225" s="1">
        <v>776385</v>
      </c>
      <c r="B225" s="1">
        <v>3400029605</v>
      </c>
      <c r="C225" s="1">
        <v>24</v>
      </c>
      <c r="D225" s="1" t="s">
        <v>546</v>
      </c>
      <c r="E225" t="s">
        <v>547</v>
      </c>
      <c r="F225" s="1">
        <v>454389</v>
      </c>
      <c r="G225" s="1">
        <v>3400044611</v>
      </c>
      <c r="H225" s="1">
        <v>12</v>
      </c>
      <c r="I225" s="1" t="s">
        <v>14</v>
      </c>
      <c r="J225" t="s">
        <v>595</v>
      </c>
    </row>
    <row r="226" spans="1:10">
      <c r="A226" s="1">
        <v>15016</v>
      </c>
      <c r="B226" s="1">
        <v>3400008788</v>
      </c>
      <c r="C226" s="1">
        <v>36</v>
      </c>
      <c r="D226" s="1" t="s">
        <v>397</v>
      </c>
      <c r="E226" t="s">
        <v>548</v>
      </c>
      <c r="F226" s="1">
        <v>258772</v>
      </c>
      <c r="G226" s="1">
        <v>3400049048</v>
      </c>
      <c r="H226" s="1">
        <v>12</v>
      </c>
      <c r="I226" s="1" t="s">
        <v>596</v>
      </c>
      <c r="J226" t="s">
        <v>597</v>
      </c>
    </row>
    <row r="227" spans="1:10">
      <c r="A227" s="1">
        <v>20776</v>
      </c>
      <c r="B227" s="1">
        <v>3400022510</v>
      </c>
      <c r="C227" s="1">
        <v>12</v>
      </c>
      <c r="D227" s="1" t="s">
        <v>363</v>
      </c>
      <c r="E227" t="s">
        <v>549</v>
      </c>
      <c r="F227" s="1">
        <v>288423</v>
      </c>
      <c r="G227" s="1">
        <v>3400037821</v>
      </c>
      <c r="H227" s="1">
        <v>12</v>
      </c>
      <c r="I227" s="1" t="s">
        <v>347</v>
      </c>
      <c r="J227" t="s">
        <v>598</v>
      </c>
    </row>
    <row r="228" spans="1:10">
      <c r="A228" s="1">
        <v>288340</v>
      </c>
      <c r="B228" s="1">
        <v>3400008752</v>
      </c>
      <c r="C228" s="1">
        <v>24</v>
      </c>
      <c r="D228" s="1" t="s">
        <v>550</v>
      </c>
      <c r="E228" t="s">
        <v>551</v>
      </c>
      <c r="F228" s="1">
        <v>404483</v>
      </c>
      <c r="G228" s="1">
        <v>3400040211</v>
      </c>
      <c r="H228" s="1">
        <v>24</v>
      </c>
      <c r="I228" s="1" t="s">
        <v>599</v>
      </c>
      <c r="J228" t="s">
        <v>600</v>
      </c>
    </row>
    <row r="229" spans="1:10">
      <c r="A229" s="1">
        <v>488734</v>
      </c>
      <c r="B229" s="1">
        <v>3400019002</v>
      </c>
      <c r="C229" s="1">
        <v>12</v>
      </c>
      <c r="D229" s="1" t="s">
        <v>106</v>
      </c>
      <c r="E229" t="s">
        <v>552</v>
      </c>
      <c r="F229" s="1">
        <v>461103</v>
      </c>
      <c r="G229" s="1">
        <v>3400027021</v>
      </c>
      <c r="H229" s="1">
        <v>12</v>
      </c>
      <c r="I229" s="1" t="s">
        <v>14</v>
      </c>
      <c r="J229" t="s">
        <v>601</v>
      </c>
    </row>
    <row r="230" spans="1:10">
      <c r="A230" s="1">
        <v>209965</v>
      </c>
      <c r="B230" s="1">
        <v>3400013003</v>
      </c>
      <c r="C230" s="1">
        <v>9</v>
      </c>
      <c r="D230" s="1" t="s">
        <v>553</v>
      </c>
      <c r="E230" t="s">
        <v>554</v>
      </c>
      <c r="F230" s="1">
        <v>458406</v>
      </c>
      <c r="G230" s="1">
        <v>3400027001</v>
      </c>
      <c r="H230" s="1">
        <v>12</v>
      </c>
      <c r="I230" s="1" t="s">
        <v>14</v>
      </c>
      <c r="J230" t="s">
        <v>602</v>
      </c>
    </row>
    <row r="231" spans="1:10">
      <c r="A231" s="1">
        <v>181867</v>
      </c>
      <c r="B231" s="1">
        <v>3400007037</v>
      </c>
      <c r="C231" s="1">
        <v>12</v>
      </c>
      <c r="D231" s="1" t="s">
        <v>550</v>
      </c>
      <c r="E231" t="s">
        <v>555</v>
      </c>
      <c r="F231" s="1">
        <v>435263</v>
      </c>
      <c r="G231" s="1">
        <v>3400002112</v>
      </c>
      <c r="H231" s="1">
        <v>12</v>
      </c>
      <c r="I231" s="1" t="s">
        <v>603</v>
      </c>
      <c r="J231" t="s">
        <v>604</v>
      </c>
    </row>
    <row r="232" spans="1:10">
      <c r="A232" s="1">
        <v>2295</v>
      </c>
      <c r="B232" s="1">
        <v>3400000201</v>
      </c>
      <c r="C232" s="1">
        <v>12</v>
      </c>
      <c r="D232" s="1" t="s">
        <v>89</v>
      </c>
      <c r="E232" t="s">
        <v>556</v>
      </c>
      <c r="F232" s="1">
        <v>198135</v>
      </c>
      <c r="G232" s="1">
        <v>3400017419</v>
      </c>
      <c r="H232" s="1">
        <v>12</v>
      </c>
      <c r="I232" s="1" t="s">
        <v>477</v>
      </c>
      <c r="J232" t="s">
        <v>605</v>
      </c>
    </row>
    <row r="233" spans="1:10">
      <c r="A233" s="1">
        <v>493650</v>
      </c>
      <c r="B233" s="1">
        <v>3400017115</v>
      </c>
      <c r="C233" s="1">
        <v>12</v>
      </c>
      <c r="D233" s="1" t="s">
        <v>536</v>
      </c>
      <c r="E233" t="s">
        <v>557</v>
      </c>
      <c r="F233" s="1">
        <v>849943</v>
      </c>
      <c r="G233" s="1">
        <v>3400024502</v>
      </c>
      <c r="H233" s="1">
        <v>12</v>
      </c>
      <c r="I233" s="1" t="s">
        <v>496</v>
      </c>
      <c r="J233" t="s">
        <v>606</v>
      </c>
    </row>
    <row r="234" spans="1:10">
      <c r="A234" s="1">
        <v>883793</v>
      </c>
      <c r="B234" s="1">
        <v>3400017038</v>
      </c>
      <c r="C234" s="1">
        <v>12</v>
      </c>
      <c r="D234" s="1" t="s">
        <v>558</v>
      </c>
      <c r="E234" t="s">
        <v>559</v>
      </c>
      <c r="F234" s="1">
        <v>707596</v>
      </c>
      <c r="G234" s="1">
        <v>3400021851</v>
      </c>
      <c r="H234" s="1">
        <v>12</v>
      </c>
      <c r="I234" s="1" t="s">
        <v>363</v>
      </c>
      <c r="J234" t="s">
        <v>607</v>
      </c>
    </row>
    <row r="235" spans="1:10">
      <c r="A235" s="1">
        <v>15784</v>
      </c>
      <c r="B235" s="1">
        <v>3400029005</v>
      </c>
      <c r="C235" s="1">
        <v>24</v>
      </c>
      <c r="D235" s="1" t="s">
        <v>560</v>
      </c>
      <c r="E235" t="s">
        <v>561</v>
      </c>
      <c r="F235" s="1">
        <v>431767</v>
      </c>
      <c r="G235" s="1">
        <v>3400019516</v>
      </c>
      <c r="H235" s="1">
        <v>12</v>
      </c>
      <c r="I235" s="1" t="s">
        <v>399</v>
      </c>
      <c r="J235" t="s">
        <v>608</v>
      </c>
    </row>
    <row r="236" spans="1:10">
      <c r="A236" s="1">
        <v>15123</v>
      </c>
      <c r="B236" s="1">
        <v>3400007038</v>
      </c>
      <c r="C236" s="1">
        <v>24</v>
      </c>
      <c r="D236" s="1" t="s">
        <v>562</v>
      </c>
      <c r="E236" t="s">
        <v>563</v>
      </c>
      <c r="F236" s="1">
        <v>852244</v>
      </c>
      <c r="G236" s="1">
        <v>3400069110</v>
      </c>
      <c r="H236" s="1">
        <v>8</v>
      </c>
      <c r="I236" s="1" t="s">
        <v>609</v>
      </c>
      <c r="J236" t="s">
        <v>610</v>
      </c>
    </row>
    <row r="237" spans="1:10">
      <c r="A237" s="1">
        <v>283507</v>
      </c>
      <c r="B237" s="1">
        <v>1070053100</v>
      </c>
      <c r="C237" s="1">
        <v>12</v>
      </c>
      <c r="D237" s="1" t="s">
        <v>489</v>
      </c>
      <c r="E237" t="s">
        <v>564</v>
      </c>
      <c r="F237" s="1">
        <v>707513</v>
      </c>
      <c r="G237" s="1">
        <v>3400000194</v>
      </c>
      <c r="H237" s="1">
        <v>12</v>
      </c>
      <c r="I237" s="1" t="s">
        <v>89</v>
      </c>
      <c r="J237" t="s">
        <v>611</v>
      </c>
    </row>
    <row r="238" spans="1:10">
      <c r="A238" s="1">
        <v>10199</v>
      </c>
      <c r="B238" s="1">
        <v>1070002152</v>
      </c>
      <c r="C238" s="1">
        <v>12</v>
      </c>
      <c r="D238" s="1" t="s">
        <v>394</v>
      </c>
      <c r="E238" t="s">
        <v>565</v>
      </c>
      <c r="F238" s="1">
        <v>84517</v>
      </c>
      <c r="G238" s="1">
        <v>3400054010</v>
      </c>
      <c r="H238" s="1">
        <v>12</v>
      </c>
      <c r="I238" s="1" t="s">
        <v>394</v>
      </c>
      <c r="J238" t="s">
        <v>612</v>
      </c>
    </row>
    <row r="239" spans="1:10">
      <c r="A239" s="1">
        <v>418459</v>
      </c>
      <c r="B239" s="1">
        <v>3400021549</v>
      </c>
      <c r="C239" s="1">
        <v>9</v>
      </c>
      <c r="D239" s="1" t="s">
        <v>553</v>
      </c>
      <c r="E239" t="s">
        <v>566</v>
      </c>
      <c r="F239" s="1">
        <v>772244</v>
      </c>
      <c r="G239" s="1">
        <v>3400017714</v>
      </c>
      <c r="H239" s="1">
        <v>12</v>
      </c>
      <c r="I239" s="1" t="s">
        <v>536</v>
      </c>
      <c r="J239" t="s">
        <v>613</v>
      </c>
    </row>
    <row r="240" spans="1:10">
      <c r="A240" s="1">
        <v>707539</v>
      </c>
      <c r="B240" s="1">
        <v>3400000195</v>
      </c>
      <c r="C240" s="1">
        <v>12</v>
      </c>
      <c r="D240" s="1" t="s">
        <v>89</v>
      </c>
      <c r="E240" t="s">
        <v>567</v>
      </c>
      <c r="F240" s="1">
        <v>362004</v>
      </c>
      <c r="G240" s="1">
        <v>3400017514</v>
      </c>
      <c r="H240" s="1">
        <v>12</v>
      </c>
      <c r="I240" s="1" t="s">
        <v>536</v>
      </c>
      <c r="J240" t="s">
        <v>614</v>
      </c>
    </row>
    <row r="241" spans="1:10">
      <c r="A241" s="1">
        <v>108431</v>
      </c>
      <c r="B241" s="1">
        <v>3400012643</v>
      </c>
      <c r="C241" s="1">
        <v>12</v>
      </c>
      <c r="D241" s="1" t="s">
        <v>568</v>
      </c>
      <c r="E241" t="s">
        <v>569</v>
      </c>
      <c r="F241" s="1">
        <v>295147</v>
      </c>
      <c r="G241" s="1">
        <v>3400038626</v>
      </c>
      <c r="H241" s="1">
        <v>12</v>
      </c>
      <c r="I241" s="1" t="s">
        <v>615</v>
      </c>
      <c r="J241" t="s">
        <v>616</v>
      </c>
    </row>
    <row r="242" spans="1:10">
      <c r="A242" s="1">
        <v>329797</v>
      </c>
      <c r="B242" s="1">
        <v>3400019720</v>
      </c>
      <c r="C242" s="1">
        <v>12</v>
      </c>
      <c r="D242" s="1" t="s">
        <v>527</v>
      </c>
      <c r="E242" t="s">
        <v>570</v>
      </c>
      <c r="F242" s="1">
        <v>366450</v>
      </c>
      <c r="G242" s="1">
        <v>3400056000</v>
      </c>
      <c r="H242" s="1">
        <v>12</v>
      </c>
      <c r="I242" s="1" t="s">
        <v>381</v>
      </c>
      <c r="J242" t="s">
        <v>617</v>
      </c>
    </row>
    <row r="243" spans="1:10">
      <c r="A243" s="1">
        <v>15008</v>
      </c>
      <c r="B243" s="1">
        <v>3400004288</v>
      </c>
      <c r="C243" s="1">
        <v>24</v>
      </c>
      <c r="D243" s="1" t="s">
        <v>498</v>
      </c>
      <c r="E243" t="s">
        <v>127</v>
      </c>
      <c r="F243" s="1">
        <v>486407</v>
      </c>
      <c r="G243" s="1">
        <v>3400050252</v>
      </c>
      <c r="H243" s="1">
        <v>24</v>
      </c>
      <c r="I243" s="1" t="s">
        <v>347</v>
      </c>
      <c r="J243" t="s">
        <v>618</v>
      </c>
    </row>
    <row r="244" spans="1:10">
      <c r="A244" s="1">
        <v>779363</v>
      </c>
      <c r="B244" s="1">
        <v>3400017315</v>
      </c>
      <c r="C244" s="1">
        <v>12</v>
      </c>
      <c r="D244" s="1" t="s">
        <v>558</v>
      </c>
      <c r="E244" t="s">
        <v>571</v>
      </c>
      <c r="F244" s="1">
        <v>639260</v>
      </c>
      <c r="G244" s="1">
        <v>3400058926</v>
      </c>
      <c r="H244" s="1">
        <v>24</v>
      </c>
      <c r="I244" s="1" t="s">
        <v>619</v>
      </c>
      <c r="J244" t="s">
        <v>620</v>
      </c>
    </row>
    <row r="245" spans="1:10">
      <c r="A245" s="1">
        <v>5504</v>
      </c>
      <c r="B245" s="1">
        <v>3400003250</v>
      </c>
      <c r="C245" s="1">
        <v>12</v>
      </c>
      <c r="D245" s="1" t="s">
        <v>347</v>
      </c>
      <c r="E245" t="s">
        <v>572</v>
      </c>
      <c r="F245" s="1">
        <v>588954</v>
      </c>
      <c r="G245" s="1">
        <v>3400050234</v>
      </c>
      <c r="H245" s="1">
        <v>12</v>
      </c>
      <c r="I245" s="1" t="s">
        <v>621</v>
      </c>
      <c r="J245" t="s">
        <v>622</v>
      </c>
    </row>
    <row r="246" spans="1:10">
      <c r="A246" s="1">
        <v>5546</v>
      </c>
      <c r="B246" s="1">
        <v>3400003210</v>
      </c>
      <c r="C246" s="1">
        <v>12</v>
      </c>
      <c r="D246" s="1" t="s">
        <v>347</v>
      </c>
      <c r="E246" t="s">
        <v>573</v>
      </c>
      <c r="F246" s="1">
        <v>14076</v>
      </c>
      <c r="G246" s="1">
        <v>1070050180</v>
      </c>
      <c r="H246" s="1">
        <v>12</v>
      </c>
      <c r="I246" s="1" t="s">
        <v>347</v>
      </c>
      <c r="J246" t="s">
        <v>623</v>
      </c>
    </row>
    <row r="247" spans="1:10" ht="15.75">
      <c r="A247" s="4" t="s">
        <v>10682</v>
      </c>
      <c r="B247" s="2"/>
      <c r="C247" s="2"/>
      <c r="D247" s="2"/>
      <c r="E247" s="3"/>
      <c r="F247" s="4" t="s">
        <v>10682</v>
      </c>
      <c r="G247" s="2"/>
      <c r="H247" s="2"/>
      <c r="I247" s="2"/>
      <c r="J247" s="3"/>
    </row>
    <row r="248" spans="1:10">
      <c r="A248" s="2" t="s">
        <v>0</v>
      </c>
      <c r="B248" s="2" t="s">
        <v>1</v>
      </c>
      <c r="C248" s="2" t="s">
        <v>2</v>
      </c>
      <c r="D248" s="2" t="s">
        <v>3</v>
      </c>
      <c r="E248" s="3" t="s">
        <v>4</v>
      </c>
      <c r="F248" s="2" t="s">
        <v>0</v>
      </c>
      <c r="G248" s="2" t="s">
        <v>1</v>
      </c>
      <c r="H248" s="2" t="s">
        <v>2</v>
      </c>
      <c r="I248" s="2" t="s">
        <v>3</v>
      </c>
      <c r="J248" s="3" t="s">
        <v>4</v>
      </c>
    </row>
    <row r="249" spans="1:10">
      <c r="A249" s="1">
        <v>496133</v>
      </c>
      <c r="B249" s="1">
        <v>3400002111</v>
      </c>
      <c r="C249" s="1">
        <v>12</v>
      </c>
      <c r="D249" s="1" t="s">
        <v>624</v>
      </c>
      <c r="E249" t="s">
        <v>625</v>
      </c>
      <c r="F249" s="1">
        <v>10280</v>
      </c>
      <c r="G249" s="1">
        <v>1900002500</v>
      </c>
      <c r="H249" s="1">
        <v>12</v>
      </c>
      <c r="I249" s="1" t="s">
        <v>421</v>
      </c>
      <c r="J249" t="s">
        <v>671</v>
      </c>
    </row>
    <row r="250" spans="1:10">
      <c r="A250" s="1">
        <v>288431</v>
      </c>
      <c r="B250" s="1">
        <v>3400004752</v>
      </c>
      <c r="C250" s="1">
        <v>12</v>
      </c>
      <c r="D250" s="1" t="s">
        <v>347</v>
      </c>
      <c r="E250" t="s">
        <v>626</v>
      </c>
      <c r="F250" s="1">
        <v>3392</v>
      </c>
      <c r="G250" s="1">
        <v>1900000305</v>
      </c>
      <c r="H250" s="1">
        <v>12</v>
      </c>
      <c r="I250" s="1" t="s">
        <v>421</v>
      </c>
      <c r="J250" t="s">
        <v>672</v>
      </c>
    </row>
    <row r="251" spans="1:10">
      <c r="A251" s="1">
        <v>15099</v>
      </c>
      <c r="B251" s="1">
        <v>3400005278</v>
      </c>
      <c r="C251" s="1">
        <v>24</v>
      </c>
      <c r="D251" s="1" t="s">
        <v>498</v>
      </c>
      <c r="E251" t="s">
        <v>627</v>
      </c>
      <c r="F251" s="1">
        <v>788133</v>
      </c>
      <c r="G251" s="1">
        <v>2200000358</v>
      </c>
      <c r="H251" s="1">
        <v>12</v>
      </c>
      <c r="I251" s="1" t="s">
        <v>89</v>
      </c>
      <c r="J251" t="s">
        <v>673</v>
      </c>
    </row>
    <row r="252" spans="1:10">
      <c r="A252" s="1">
        <v>759118</v>
      </c>
      <c r="B252" s="1">
        <v>3400004581</v>
      </c>
      <c r="C252" s="1">
        <v>12</v>
      </c>
      <c r="D252" s="1" t="s">
        <v>534</v>
      </c>
      <c r="E252" t="s">
        <v>628</v>
      </c>
      <c r="F252" s="1">
        <v>15131</v>
      </c>
      <c r="G252" s="1">
        <v>1900009400</v>
      </c>
      <c r="H252" s="1">
        <v>12</v>
      </c>
      <c r="I252" s="1" t="s">
        <v>421</v>
      </c>
      <c r="J252" t="s">
        <v>674</v>
      </c>
    </row>
    <row r="253" spans="1:10">
      <c r="A253" s="1">
        <v>454355</v>
      </c>
      <c r="B253" s="1">
        <v>3400004911</v>
      </c>
      <c r="C253" s="1">
        <v>12</v>
      </c>
      <c r="D253" s="1" t="s">
        <v>14</v>
      </c>
      <c r="E253" t="s">
        <v>629</v>
      </c>
      <c r="F253" s="1">
        <v>360701</v>
      </c>
      <c r="G253" s="1">
        <v>2200010301</v>
      </c>
      <c r="H253" s="1">
        <v>12</v>
      </c>
      <c r="I253" s="1" t="s">
        <v>663</v>
      </c>
      <c r="J253" t="s">
        <v>675</v>
      </c>
    </row>
    <row r="254" spans="1:10">
      <c r="A254" s="1">
        <v>373373</v>
      </c>
      <c r="B254" s="1">
        <v>3400014911</v>
      </c>
      <c r="C254" s="1">
        <v>12</v>
      </c>
      <c r="D254" s="1" t="s">
        <v>630</v>
      </c>
      <c r="E254" t="s">
        <v>631</v>
      </c>
      <c r="F254" s="1">
        <v>5728</v>
      </c>
      <c r="G254" s="1">
        <v>1900008504</v>
      </c>
      <c r="H254" s="1">
        <v>12</v>
      </c>
      <c r="I254" s="1" t="s">
        <v>663</v>
      </c>
      <c r="J254" t="s">
        <v>676</v>
      </c>
    </row>
    <row r="255" spans="1:10">
      <c r="A255" s="1">
        <v>493080</v>
      </c>
      <c r="B255" s="1">
        <v>3400013352</v>
      </c>
      <c r="C255" s="1">
        <v>12</v>
      </c>
      <c r="D255" s="1" t="s">
        <v>632</v>
      </c>
      <c r="E255" t="s">
        <v>633</v>
      </c>
      <c r="F255" s="1">
        <v>329870</v>
      </c>
      <c r="G255" s="1">
        <v>2200000357</v>
      </c>
      <c r="H255" s="1">
        <v>12</v>
      </c>
      <c r="I255" s="1" t="s">
        <v>89</v>
      </c>
      <c r="J255" t="s">
        <v>677</v>
      </c>
    </row>
    <row r="256" spans="1:10">
      <c r="A256" s="1">
        <v>354027</v>
      </c>
      <c r="B256" s="1">
        <v>3400019045</v>
      </c>
      <c r="C256" s="1">
        <v>12</v>
      </c>
      <c r="D256" s="1" t="s">
        <v>360</v>
      </c>
      <c r="E256" t="s">
        <v>634</v>
      </c>
      <c r="F256" s="1">
        <v>192138</v>
      </c>
      <c r="G256" s="1">
        <v>2200000359</v>
      </c>
      <c r="H256" s="1">
        <v>12</v>
      </c>
      <c r="I256" s="1" t="s">
        <v>89</v>
      </c>
      <c r="J256" t="s">
        <v>678</v>
      </c>
    </row>
    <row r="257" spans="1:10">
      <c r="A257" s="1">
        <v>843789</v>
      </c>
      <c r="B257" s="1">
        <v>3400045100</v>
      </c>
      <c r="C257" s="1">
        <v>24</v>
      </c>
      <c r="D257" s="1" t="s">
        <v>399</v>
      </c>
      <c r="E257" t="s">
        <v>635</v>
      </c>
      <c r="F257" s="1">
        <v>6908</v>
      </c>
      <c r="G257" s="1">
        <v>1900008561</v>
      </c>
      <c r="H257" s="1">
        <v>12</v>
      </c>
      <c r="I257" s="1" t="s">
        <v>379</v>
      </c>
      <c r="J257" t="s">
        <v>679</v>
      </c>
    </row>
    <row r="258" spans="1:10">
      <c r="A258" s="1">
        <v>349456</v>
      </c>
      <c r="B258" s="1">
        <v>3400019502</v>
      </c>
      <c r="C258" s="1">
        <v>24</v>
      </c>
      <c r="D258" s="1" t="s">
        <v>562</v>
      </c>
      <c r="E258" t="s">
        <v>636</v>
      </c>
      <c r="F258" s="1">
        <v>285684</v>
      </c>
      <c r="G258" s="1">
        <v>3746601585</v>
      </c>
      <c r="H258" s="1">
        <v>12</v>
      </c>
      <c r="I258" s="1" t="s">
        <v>47</v>
      </c>
      <c r="J258" t="s">
        <v>680</v>
      </c>
    </row>
    <row r="259" spans="1:10">
      <c r="A259" s="1">
        <v>689158</v>
      </c>
      <c r="B259" s="1">
        <v>3400013818</v>
      </c>
      <c r="C259" s="1">
        <v>8</v>
      </c>
      <c r="D259" s="1" t="s">
        <v>637</v>
      </c>
      <c r="E259" t="s">
        <v>638</v>
      </c>
      <c r="F259" s="1">
        <v>466995</v>
      </c>
      <c r="G259" s="1">
        <v>3746601400</v>
      </c>
      <c r="H259" s="1">
        <v>12</v>
      </c>
      <c r="I259" s="1" t="s">
        <v>521</v>
      </c>
      <c r="J259" t="s">
        <v>681</v>
      </c>
    </row>
    <row r="260" spans="1:10">
      <c r="A260" s="1">
        <v>378372</v>
      </c>
      <c r="B260" s="1">
        <v>3400020170</v>
      </c>
      <c r="C260" s="1">
        <v>12</v>
      </c>
      <c r="D260" s="1" t="s">
        <v>574</v>
      </c>
      <c r="E260" t="s">
        <v>639</v>
      </c>
      <c r="F260" s="1">
        <v>623033</v>
      </c>
      <c r="G260" s="1">
        <v>3746602342</v>
      </c>
      <c r="H260" s="1">
        <v>12</v>
      </c>
      <c r="I260" s="1" t="s">
        <v>89</v>
      </c>
      <c r="J260" t="s">
        <v>682</v>
      </c>
    </row>
    <row r="261" spans="1:10">
      <c r="A261" s="1">
        <v>12476</v>
      </c>
      <c r="B261" s="1">
        <v>7046203596</v>
      </c>
      <c r="C261" s="1">
        <v>12</v>
      </c>
      <c r="D261" s="1" t="s">
        <v>399</v>
      </c>
      <c r="E261" t="s">
        <v>640</v>
      </c>
      <c r="F261" s="1">
        <v>511790</v>
      </c>
      <c r="G261" s="1">
        <v>3746601763</v>
      </c>
      <c r="H261" s="1">
        <v>12</v>
      </c>
      <c r="I261" s="1" t="s">
        <v>89</v>
      </c>
      <c r="J261" t="s">
        <v>683</v>
      </c>
    </row>
    <row r="262" spans="1:10">
      <c r="A262" s="1">
        <v>12591</v>
      </c>
      <c r="B262" s="1">
        <v>7046203598</v>
      </c>
      <c r="C262" s="1">
        <v>12</v>
      </c>
      <c r="D262" s="1" t="s">
        <v>399</v>
      </c>
      <c r="E262" t="s">
        <v>641</v>
      </c>
      <c r="F262" s="1">
        <v>872895</v>
      </c>
      <c r="G262" s="1">
        <v>3746601645</v>
      </c>
      <c r="H262" s="1">
        <v>12</v>
      </c>
      <c r="I262" s="1" t="s">
        <v>89</v>
      </c>
      <c r="J262" t="s">
        <v>684</v>
      </c>
    </row>
    <row r="263" spans="1:10">
      <c r="A263" s="1">
        <v>898429</v>
      </c>
      <c r="B263" s="1">
        <v>7156795007</v>
      </c>
      <c r="C263" s="1">
        <v>12</v>
      </c>
      <c r="D263" s="1" t="s">
        <v>360</v>
      </c>
      <c r="E263" t="s">
        <v>642</v>
      </c>
      <c r="F263" s="1">
        <v>580514</v>
      </c>
      <c r="G263" s="1">
        <v>3746601584</v>
      </c>
      <c r="H263" s="1">
        <v>12</v>
      </c>
      <c r="I263" s="1" t="s">
        <v>47</v>
      </c>
      <c r="J263" t="s">
        <v>685</v>
      </c>
    </row>
    <row r="264" spans="1:10">
      <c r="A264" s="1">
        <v>368993</v>
      </c>
      <c r="B264" s="1">
        <v>7156795584</v>
      </c>
      <c r="C264" s="1">
        <v>12</v>
      </c>
      <c r="D264" s="1" t="s">
        <v>360</v>
      </c>
      <c r="E264" t="s">
        <v>643</v>
      </c>
      <c r="F264" s="1">
        <v>734301</v>
      </c>
      <c r="G264" s="1">
        <v>3746601855</v>
      </c>
      <c r="H264" s="1">
        <v>12</v>
      </c>
      <c r="I264" s="1" t="s">
        <v>47</v>
      </c>
      <c r="J264" t="s">
        <v>686</v>
      </c>
    </row>
    <row r="265" spans="1:10">
      <c r="A265" s="1">
        <v>123752</v>
      </c>
      <c r="B265" s="1">
        <v>1070051851</v>
      </c>
      <c r="C265" s="1">
        <v>12</v>
      </c>
      <c r="D265" s="1" t="s">
        <v>259</v>
      </c>
      <c r="E265" t="s">
        <v>644</v>
      </c>
      <c r="F265" s="1">
        <v>771980</v>
      </c>
      <c r="G265" s="1">
        <v>4000023457</v>
      </c>
      <c r="H265" s="1">
        <v>24</v>
      </c>
      <c r="I265" s="1" t="s">
        <v>558</v>
      </c>
      <c r="J265" t="s">
        <v>687</v>
      </c>
    </row>
    <row r="266" spans="1:10">
      <c r="A266" s="1">
        <v>16287</v>
      </c>
      <c r="B266" s="1">
        <v>1070070280</v>
      </c>
      <c r="C266" s="1">
        <v>12</v>
      </c>
      <c r="D266" s="1" t="s">
        <v>645</v>
      </c>
      <c r="E266" t="s">
        <v>646</v>
      </c>
      <c r="F266" s="1">
        <v>707661</v>
      </c>
      <c r="G266" s="1">
        <v>4000015122</v>
      </c>
      <c r="H266" s="1">
        <v>24</v>
      </c>
      <c r="I266" s="1" t="s">
        <v>363</v>
      </c>
      <c r="J266" t="s">
        <v>688</v>
      </c>
    </row>
    <row r="267" spans="1:10">
      <c r="A267" s="1">
        <v>10686</v>
      </c>
      <c r="B267" s="1">
        <v>1070070230</v>
      </c>
      <c r="C267" s="1">
        <v>12</v>
      </c>
      <c r="D267" s="1" t="s">
        <v>360</v>
      </c>
      <c r="E267" t="s">
        <v>647</v>
      </c>
      <c r="F267" s="1">
        <v>309187</v>
      </c>
      <c r="G267" s="1">
        <v>4000016468</v>
      </c>
      <c r="H267" s="1">
        <v>12</v>
      </c>
      <c r="I267" s="1" t="s">
        <v>347</v>
      </c>
      <c r="J267" t="s">
        <v>689</v>
      </c>
    </row>
    <row r="268" spans="1:10">
      <c r="A268" s="1">
        <v>10959</v>
      </c>
      <c r="B268" s="1">
        <v>1070051920</v>
      </c>
      <c r="C268" s="1">
        <v>12</v>
      </c>
      <c r="D268" s="1" t="s">
        <v>379</v>
      </c>
      <c r="E268" t="s">
        <v>648</v>
      </c>
      <c r="F268" s="1">
        <v>358036</v>
      </c>
      <c r="G268" s="1">
        <v>4000025036</v>
      </c>
      <c r="H268" s="1">
        <v>12</v>
      </c>
      <c r="I268" s="1" t="s">
        <v>546</v>
      </c>
      <c r="J268" t="s">
        <v>690</v>
      </c>
    </row>
    <row r="269" spans="1:10">
      <c r="A269" s="1">
        <v>11833</v>
      </c>
      <c r="B269" s="1">
        <v>1070015800</v>
      </c>
      <c r="C269" s="1">
        <v>12</v>
      </c>
      <c r="D269" s="1" t="s">
        <v>649</v>
      </c>
      <c r="E269" t="s">
        <v>650</v>
      </c>
      <c r="F269" s="1">
        <v>15792</v>
      </c>
      <c r="G269" s="1">
        <v>4000002128</v>
      </c>
      <c r="H269" s="1">
        <v>12</v>
      </c>
      <c r="I269" s="1" t="s">
        <v>363</v>
      </c>
      <c r="J269" t="s">
        <v>691</v>
      </c>
    </row>
    <row r="270" spans="1:10">
      <c r="A270" s="1">
        <v>10967</v>
      </c>
      <c r="B270" s="1">
        <v>1070070238</v>
      </c>
      <c r="C270" s="1">
        <v>12</v>
      </c>
      <c r="D270" s="1" t="s">
        <v>360</v>
      </c>
      <c r="E270" t="s">
        <v>651</v>
      </c>
      <c r="F270" s="1">
        <v>740100</v>
      </c>
      <c r="G270" s="1">
        <v>4000023615</v>
      </c>
      <c r="H270" s="1">
        <v>24</v>
      </c>
      <c r="I270" s="1" t="s">
        <v>692</v>
      </c>
      <c r="J270" t="s">
        <v>693</v>
      </c>
    </row>
    <row r="271" spans="1:10">
      <c r="A271" s="1">
        <v>622068</v>
      </c>
      <c r="B271" s="1">
        <v>2200010998</v>
      </c>
      <c r="C271" s="1">
        <v>20</v>
      </c>
      <c r="D271" s="1" t="s">
        <v>356</v>
      </c>
      <c r="E271" t="s">
        <v>652</v>
      </c>
      <c r="F271" s="1">
        <v>262048</v>
      </c>
      <c r="G271" s="1">
        <v>4000021466</v>
      </c>
      <c r="H271" s="1">
        <v>24</v>
      </c>
      <c r="I271" s="1" t="s">
        <v>259</v>
      </c>
      <c r="J271" t="s">
        <v>694</v>
      </c>
    </row>
    <row r="272" spans="1:10">
      <c r="A272" s="1">
        <v>638999</v>
      </c>
      <c r="B272" s="1">
        <v>7097044774</v>
      </c>
      <c r="C272" s="1">
        <v>12</v>
      </c>
      <c r="D272" s="1" t="s">
        <v>404</v>
      </c>
      <c r="E272" t="s">
        <v>653</v>
      </c>
      <c r="F272" s="1">
        <v>672907</v>
      </c>
      <c r="G272" s="1">
        <v>4000021562</v>
      </c>
      <c r="H272" s="1">
        <v>12</v>
      </c>
      <c r="I272" s="1" t="s">
        <v>695</v>
      </c>
      <c r="J272" t="s">
        <v>696</v>
      </c>
    </row>
    <row r="273" spans="1:10">
      <c r="A273" s="1">
        <v>707570</v>
      </c>
      <c r="B273" s="1">
        <v>7097044786</v>
      </c>
      <c r="C273" s="1">
        <v>12</v>
      </c>
      <c r="D273" s="1" t="s">
        <v>432</v>
      </c>
      <c r="E273" t="s">
        <v>654</v>
      </c>
      <c r="F273" s="1">
        <v>155895</v>
      </c>
      <c r="G273" s="1">
        <v>4000022888</v>
      </c>
      <c r="H273" s="1">
        <v>6</v>
      </c>
      <c r="I273" s="1" t="s">
        <v>697</v>
      </c>
      <c r="J273" t="s">
        <v>698</v>
      </c>
    </row>
    <row r="274" spans="1:10">
      <c r="A274" s="1">
        <v>744854</v>
      </c>
      <c r="B274" s="1">
        <v>7097044770</v>
      </c>
      <c r="C274" s="1">
        <v>12</v>
      </c>
      <c r="D274" s="1" t="s">
        <v>404</v>
      </c>
      <c r="E274" t="s">
        <v>655</v>
      </c>
      <c r="F274" s="1">
        <v>1487</v>
      </c>
      <c r="G274" s="1">
        <v>4000024906</v>
      </c>
      <c r="H274" s="1">
        <v>24</v>
      </c>
      <c r="I274" s="1" t="s">
        <v>692</v>
      </c>
      <c r="J274" t="s">
        <v>699</v>
      </c>
    </row>
    <row r="275" spans="1:10">
      <c r="A275" s="1">
        <v>80481</v>
      </c>
      <c r="B275" s="1">
        <v>7097044537</v>
      </c>
      <c r="C275" s="1">
        <v>12</v>
      </c>
      <c r="D275" s="1" t="s">
        <v>419</v>
      </c>
      <c r="E275" t="s">
        <v>656</v>
      </c>
      <c r="F275" s="1">
        <v>73676</v>
      </c>
      <c r="G275" s="1">
        <v>4000020110</v>
      </c>
      <c r="H275" s="1">
        <v>12</v>
      </c>
      <c r="I275" s="1" t="s">
        <v>370</v>
      </c>
      <c r="J275" t="s">
        <v>700</v>
      </c>
    </row>
    <row r="276" spans="1:10">
      <c r="A276" s="1">
        <v>781328</v>
      </c>
      <c r="B276" s="1">
        <v>7097044792</v>
      </c>
      <c r="C276" s="1">
        <v>12</v>
      </c>
      <c r="D276" s="1" t="s">
        <v>432</v>
      </c>
      <c r="E276" t="s">
        <v>657</v>
      </c>
      <c r="F276" s="1">
        <v>707653</v>
      </c>
      <c r="G276" s="1">
        <v>4000015124</v>
      </c>
      <c r="H276" s="1">
        <v>24</v>
      </c>
      <c r="I276" s="1" t="s">
        <v>701</v>
      </c>
      <c r="J276" t="s">
        <v>702</v>
      </c>
    </row>
    <row r="277" spans="1:10">
      <c r="A277" s="1">
        <v>707588</v>
      </c>
      <c r="B277" s="1">
        <v>7097044790</v>
      </c>
      <c r="C277" s="1">
        <v>12</v>
      </c>
      <c r="D277" s="1" t="s">
        <v>432</v>
      </c>
      <c r="E277" t="s">
        <v>658</v>
      </c>
      <c r="F277" s="1">
        <v>681593</v>
      </c>
      <c r="G277" s="1">
        <v>4000020120</v>
      </c>
      <c r="H277" s="1">
        <v>12</v>
      </c>
      <c r="I277" s="1" t="s">
        <v>703</v>
      </c>
      <c r="J277" t="s">
        <v>704</v>
      </c>
    </row>
    <row r="278" spans="1:10">
      <c r="A278" s="1">
        <v>126227</v>
      </c>
      <c r="B278" s="1">
        <v>7097091018</v>
      </c>
      <c r="C278" s="1">
        <v>12</v>
      </c>
      <c r="D278" s="1" t="s">
        <v>259</v>
      </c>
      <c r="E278" t="s">
        <v>659</v>
      </c>
      <c r="F278" s="1">
        <v>195008</v>
      </c>
      <c r="G278" s="1">
        <v>4000020124</v>
      </c>
      <c r="H278" s="1">
        <v>24</v>
      </c>
      <c r="I278" s="1" t="s">
        <v>370</v>
      </c>
      <c r="J278" t="s">
        <v>705</v>
      </c>
    </row>
    <row r="279" spans="1:10">
      <c r="A279" s="1">
        <v>391284</v>
      </c>
      <c r="B279" s="1">
        <v>7097091219</v>
      </c>
      <c r="C279" s="1">
        <v>12</v>
      </c>
      <c r="D279" s="1" t="s">
        <v>660</v>
      </c>
      <c r="E279" t="s">
        <v>661</v>
      </c>
      <c r="F279" s="1">
        <v>147389</v>
      </c>
      <c r="G279" s="1">
        <v>4000020130</v>
      </c>
      <c r="H279" s="1">
        <v>12</v>
      </c>
      <c r="I279" s="1" t="s">
        <v>706</v>
      </c>
      <c r="J279" t="s">
        <v>707</v>
      </c>
    </row>
    <row r="280" spans="1:10">
      <c r="A280" s="1">
        <v>14126</v>
      </c>
      <c r="B280" s="1">
        <v>7034665923</v>
      </c>
      <c r="C280" s="1">
        <v>12</v>
      </c>
      <c r="D280" s="1" t="s">
        <v>259</v>
      </c>
      <c r="E280" t="s">
        <v>662</v>
      </c>
      <c r="F280" s="1">
        <v>328583</v>
      </c>
      <c r="G280" s="1">
        <v>4000025076</v>
      </c>
      <c r="H280" s="1">
        <v>12</v>
      </c>
      <c r="I280" s="1" t="s">
        <v>708</v>
      </c>
      <c r="J280" t="s">
        <v>709</v>
      </c>
    </row>
    <row r="281" spans="1:10">
      <c r="A281" s="1">
        <v>272260</v>
      </c>
      <c r="B281" s="1">
        <v>2200010910</v>
      </c>
      <c r="C281" s="1">
        <v>12</v>
      </c>
      <c r="D281" s="1" t="s">
        <v>663</v>
      </c>
      <c r="E281" t="s">
        <v>664</v>
      </c>
      <c r="F281" s="1">
        <v>418384</v>
      </c>
      <c r="G281" s="1">
        <v>4000005762</v>
      </c>
      <c r="H281" s="1">
        <v>12</v>
      </c>
      <c r="I281" s="1" t="s">
        <v>381</v>
      </c>
      <c r="J281" t="s">
        <v>710</v>
      </c>
    </row>
    <row r="282" spans="1:10">
      <c r="A282" s="1">
        <v>338632</v>
      </c>
      <c r="B282" s="1">
        <v>2200010874</v>
      </c>
      <c r="C282" s="1">
        <v>12</v>
      </c>
      <c r="D282" s="1" t="s">
        <v>360</v>
      </c>
      <c r="E282" t="s">
        <v>665</v>
      </c>
      <c r="F282" s="1">
        <v>293449</v>
      </c>
      <c r="G282" s="1">
        <v>4000020132</v>
      </c>
      <c r="H282" s="1">
        <v>24</v>
      </c>
      <c r="I282" s="1" t="s">
        <v>703</v>
      </c>
      <c r="J282" t="s">
        <v>711</v>
      </c>
    </row>
    <row r="283" spans="1:10">
      <c r="A283" s="1">
        <v>244160</v>
      </c>
      <c r="B283" s="1">
        <v>2200010911</v>
      </c>
      <c r="C283" s="1">
        <v>12</v>
      </c>
      <c r="D283" s="1" t="s">
        <v>663</v>
      </c>
      <c r="E283" t="s">
        <v>666</v>
      </c>
      <c r="F283" s="1">
        <v>707679</v>
      </c>
      <c r="G283" s="1">
        <v>4000015140</v>
      </c>
      <c r="H283" s="1">
        <v>24</v>
      </c>
      <c r="I283" s="1" t="s">
        <v>701</v>
      </c>
      <c r="J283" t="s">
        <v>712</v>
      </c>
    </row>
    <row r="284" spans="1:10">
      <c r="A284" s="1">
        <v>839928</v>
      </c>
      <c r="B284" s="1">
        <v>1900008398</v>
      </c>
      <c r="C284" s="1">
        <v>12</v>
      </c>
      <c r="D284" s="1" t="s">
        <v>379</v>
      </c>
      <c r="E284" t="s">
        <v>667</v>
      </c>
      <c r="F284" s="1">
        <v>403279</v>
      </c>
      <c r="G284" s="1">
        <v>4000020180</v>
      </c>
      <c r="H284" s="1">
        <v>24</v>
      </c>
      <c r="I284" s="1" t="s">
        <v>370</v>
      </c>
      <c r="J284" t="s">
        <v>713</v>
      </c>
    </row>
    <row r="285" spans="1:10">
      <c r="A285" s="1">
        <v>4473</v>
      </c>
      <c r="B285" s="1">
        <v>1900008501</v>
      </c>
      <c r="C285" s="1">
        <v>12</v>
      </c>
      <c r="D285" s="1" t="s">
        <v>663</v>
      </c>
      <c r="E285" t="s">
        <v>668</v>
      </c>
      <c r="F285" s="1">
        <v>190355</v>
      </c>
      <c r="G285" s="1">
        <v>4000020253</v>
      </c>
      <c r="H285" s="1">
        <v>12</v>
      </c>
      <c r="I285" s="1" t="s">
        <v>703</v>
      </c>
      <c r="J285" t="s">
        <v>714</v>
      </c>
    </row>
    <row r="286" spans="1:10">
      <c r="A286" s="1">
        <v>14456</v>
      </c>
      <c r="B286" s="1">
        <v>1900008563</v>
      </c>
      <c r="C286" s="1">
        <v>12</v>
      </c>
      <c r="D286" s="1" t="s">
        <v>379</v>
      </c>
      <c r="E286" t="s">
        <v>669</v>
      </c>
      <c r="F286" s="1">
        <v>852723</v>
      </c>
      <c r="G286" s="1">
        <v>4000023455</v>
      </c>
      <c r="H286" s="1">
        <v>24</v>
      </c>
      <c r="I286" s="1" t="s">
        <v>715</v>
      </c>
      <c r="J286" t="s">
        <v>716</v>
      </c>
    </row>
    <row r="287" spans="1:10">
      <c r="A287" s="1">
        <v>4721</v>
      </c>
      <c r="B287" s="1">
        <v>1900008503</v>
      </c>
      <c r="C287" s="1">
        <v>12</v>
      </c>
      <c r="D287" s="1" t="s">
        <v>663</v>
      </c>
      <c r="E287" t="s">
        <v>670</v>
      </c>
      <c r="F287" s="1">
        <v>707687</v>
      </c>
      <c r="G287" s="1">
        <v>4000015178</v>
      </c>
      <c r="H287" s="1">
        <v>20</v>
      </c>
      <c r="I287" s="1" t="s">
        <v>717</v>
      </c>
      <c r="J287" t="s">
        <v>718</v>
      </c>
    </row>
    <row r="288" spans="1:10" ht="15.75">
      <c r="A288" s="4" t="s">
        <v>10682</v>
      </c>
      <c r="B288" s="2"/>
      <c r="C288" s="2"/>
      <c r="D288" s="2"/>
      <c r="E288" s="3"/>
      <c r="F288" s="4" t="s">
        <v>10682</v>
      </c>
      <c r="G288" s="2"/>
      <c r="H288" s="2"/>
      <c r="I288" s="2"/>
      <c r="J288" s="3"/>
    </row>
    <row r="289" spans="1:10">
      <c r="A289" s="2" t="s">
        <v>0</v>
      </c>
      <c r="B289" s="2" t="s">
        <v>1</v>
      </c>
      <c r="C289" s="2" t="s">
        <v>2</v>
      </c>
      <c r="D289" s="2" t="s">
        <v>3</v>
      </c>
      <c r="E289" s="3" t="s">
        <v>4</v>
      </c>
      <c r="F289" s="2" t="s">
        <v>0</v>
      </c>
      <c r="G289" s="2" t="s">
        <v>1</v>
      </c>
      <c r="H289" s="2" t="s">
        <v>2</v>
      </c>
      <c r="I289" s="2" t="s">
        <v>3</v>
      </c>
      <c r="J289" s="3" t="s">
        <v>4</v>
      </c>
    </row>
    <row r="290" spans="1:10">
      <c r="A290" s="1">
        <v>337345</v>
      </c>
      <c r="B290" s="1">
        <v>4000023456</v>
      </c>
      <c r="C290" s="1">
        <v>24</v>
      </c>
      <c r="D290" s="1" t="s">
        <v>719</v>
      </c>
      <c r="E290" t="s">
        <v>720</v>
      </c>
      <c r="F290" s="1">
        <v>573857</v>
      </c>
      <c r="G290" s="1">
        <v>2200015586</v>
      </c>
      <c r="H290" s="1">
        <v>20</v>
      </c>
      <c r="I290" s="1" t="s">
        <v>309</v>
      </c>
      <c r="J290" t="s">
        <v>764</v>
      </c>
    </row>
    <row r="291" spans="1:10">
      <c r="A291" s="1">
        <v>290189</v>
      </c>
      <c r="B291" s="1">
        <v>4000024916</v>
      </c>
      <c r="C291" s="1">
        <v>24</v>
      </c>
      <c r="D291" s="1" t="s">
        <v>692</v>
      </c>
      <c r="E291" t="s">
        <v>721</v>
      </c>
      <c r="F291" s="1">
        <v>390997</v>
      </c>
      <c r="G291" s="1">
        <v>2200015584</v>
      </c>
      <c r="H291" s="1">
        <v>20</v>
      </c>
      <c r="I291" s="1" t="s">
        <v>309</v>
      </c>
      <c r="J291" t="s">
        <v>765</v>
      </c>
    </row>
    <row r="292" spans="1:10">
      <c r="A292" s="1">
        <v>687756</v>
      </c>
      <c r="B292" s="1">
        <v>4000032438</v>
      </c>
      <c r="C292" s="1">
        <v>6</v>
      </c>
      <c r="D292" s="1" t="s">
        <v>722</v>
      </c>
      <c r="E292" t="s">
        <v>723</v>
      </c>
      <c r="F292" s="1">
        <v>388389</v>
      </c>
      <c r="G292" s="1">
        <v>2200010038</v>
      </c>
      <c r="H292" s="1">
        <v>20</v>
      </c>
      <c r="I292" s="1" t="s">
        <v>766</v>
      </c>
      <c r="J292" t="s">
        <v>767</v>
      </c>
    </row>
    <row r="293" spans="1:10">
      <c r="A293" s="1">
        <v>220244</v>
      </c>
      <c r="B293" s="1">
        <v>4000024908</v>
      </c>
      <c r="C293" s="1">
        <v>12</v>
      </c>
      <c r="D293" s="1" t="s">
        <v>724</v>
      </c>
      <c r="E293" t="s">
        <v>725</v>
      </c>
      <c r="F293" s="1">
        <v>480442</v>
      </c>
      <c r="G293" s="1">
        <v>2200015588</v>
      </c>
      <c r="H293" s="1">
        <v>20</v>
      </c>
      <c r="I293" s="1" t="s">
        <v>309</v>
      </c>
      <c r="J293" t="s">
        <v>768</v>
      </c>
    </row>
    <row r="294" spans="1:10">
      <c r="A294" s="1">
        <v>871632</v>
      </c>
      <c r="B294" s="1">
        <v>4000024929</v>
      </c>
      <c r="C294" s="1">
        <v>12</v>
      </c>
      <c r="D294" s="1" t="s">
        <v>724</v>
      </c>
      <c r="E294" t="s">
        <v>726</v>
      </c>
      <c r="F294" s="1">
        <v>9209</v>
      </c>
      <c r="G294" s="1">
        <v>7729090672</v>
      </c>
      <c r="H294" s="1">
        <v>12</v>
      </c>
      <c r="I294" s="1" t="s">
        <v>347</v>
      </c>
      <c r="J294" t="s">
        <v>769</v>
      </c>
    </row>
    <row r="295" spans="1:10">
      <c r="A295" s="1">
        <v>342923</v>
      </c>
      <c r="B295" s="1">
        <v>4000025010</v>
      </c>
      <c r="C295" s="1">
        <v>24</v>
      </c>
      <c r="D295" s="1" t="s">
        <v>717</v>
      </c>
      <c r="E295" t="s">
        <v>727</v>
      </c>
      <c r="F295" s="1">
        <v>419812</v>
      </c>
      <c r="G295" s="1">
        <v>2800044243</v>
      </c>
      <c r="H295" s="1">
        <v>12</v>
      </c>
      <c r="I295" s="1" t="s">
        <v>397</v>
      </c>
      <c r="J295" t="s">
        <v>770</v>
      </c>
    </row>
    <row r="296" spans="1:10">
      <c r="A296" s="1">
        <v>673905</v>
      </c>
      <c r="B296" s="1">
        <v>4000032437</v>
      </c>
      <c r="C296" s="1">
        <v>6</v>
      </c>
      <c r="D296" s="1" t="s">
        <v>722</v>
      </c>
      <c r="E296" t="s">
        <v>728</v>
      </c>
      <c r="F296" s="1">
        <v>525485</v>
      </c>
      <c r="G296" s="1">
        <v>7726009632</v>
      </c>
      <c r="H296" s="1">
        <v>10</v>
      </c>
      <c r="I296" s="1" t="s">
        <v>14</v>
      </c>
      <c r="J296" t="s">
        <v>771</v>
      </c>
    </row>
    <row r="297" spans="1:10">
      <c r="A297" s="1">
        <v>492074</v>
      </c>
      <c r="B297" s="1">
        <v>4000028474</v>
      </c>
      <c r="C297" s="1">
        <v>12</v>
      </c>
      <c r="D297" s="1" t="s">
        <v>404</v>
      </c>
      <c r="E297" t="s">
        <v>729</v>
      </c>
      <c r="F297" s="1">
        <v>319137</v>
      </c>
      <c r="G297" s="1">
        <v>7726009625</v>
      </c>
      <c r="H297" s="1">
        <v>10</v>
      </c>
      <c r="I297" s="1" t="s">
        <v>14</v>
      </c>
      <c r="J297" t="s">
        <v>772</v>
      </c>
    </row>
    <row r="298" spans="1:10">
      <c r="A298" s="1">
        <v>346932</v>
      </c>
      <c r="B298" s="1">
        <v>4000028450</v>
      </c>
      <c r="C298" s="1">
        <v>12</v>
      </c>
      <c r="D298" s="1" t="s">
        <v>404</v>
      </c>
      <c r="E298" t="s">
        <v>730</v>
      </c>
      <c r="F298" s="1">
        <v>98277</v>
      </c>
      <c r="G298" s="1">
        <v>2800051001</v>
      </c>
      <c r="H298" s="1">
        <v>18</v>
      </c>
      <c r="I298" s="1" t="s">
        <v>773</v>
      </c>
      <c r="J298" t="s">
        <v>774</v>
      </c>
    </row>
    <row r="299" spans="1:10">
      <c r="A299" s="1">
        <v>397919</v>
      </c>
      <c r="B299" s="1">
        <v>4000028475</v>
      </c>
      <c r="C299" s="1">
        <v>12</v>
      </c>
      <c r="D299" s="1" t="s">
        <v>404</v>
      </c>
      <c r="E299" t="s">
        <v>731</v>
      </c>
      <c r="F299" s="1">
        <v>852491</v>
      </c>
      <c r="G299" s="1">
        <v>2800017825</v>
      </c>
      <c r="H299" s="1">
        <v>18</v>
      </c>
      <c r="I299" s="1" t="s">
        <v>89</v>
      </c>
      <c r="J299" t="s">
        <v>775</v>
      </c>
    </row>
    <row r="300" spans="1:10">
      <c r="A300" s="1">
        <v>227223</v>
      </c>
      <c r="B300" s="1">
        <v>4000028452</v>
      </c>
      <c r="C300" s="1">
        <v>12</v>
      </c>
      <c r="D300" s="1" t="s">
        <v>404</v>
      </c>
      <c r="E300" t="s">
        <v>732</v>
      </c>
      <c r="F300" s="1">
        <v>406397</v>
      </c>
      <c r="G300" s="1">
        <v>3400044742</v>
      </c>
      <c r="H300" s="1">
        <v>9</v>
      </c>
      <c r="I300" s="1" t="s">
        <v>553</v>
      </c>
      <c r="J300" t="s">
        <v>776</v>
      </c>
    </row>
    <row r="301" spans="1:10">
      <c r="A301" s="1">
        <v>742908</v>
      </c>
      <c r="B301" s="1">
        <v>4000028453</v>
      </c>
      <c r="C301" s="1">
        <v>12</v>
      </c>
      <c r="D301" s="1" t="s">
        <v>404</v>
      </c>
      <c r="E301" t="s">
        <v>733</v>
      </c>
      <c r="F301" s="1">
        <v>753095</v>
      </c>
      <c r="G301" s="1">
        <v>3400044265</v>
      </c>
      <c r="H301" s="1">
        <v>12</v>
      </c>
      <c r="I301" s="1" t="s">
        <v>536</v>
      </c>
      <c r="J301" t="s">
        <v>777</v>
      </c>
    </row>
    <row r="302" spans="1:10">
      <c r="A302" s="1">
        <v>234450</v>
      </c>
      <c r="B302" s="1">
        <v>4000020319</v>
      </c>
      <c r="C302" s="1">
        <v>6</v>
      </c>
      <c r="D302" s="1" t="s">
        <v>553</v>
      </c>
      <c r="E302" t="s">
        <v>734</v>
      </c>
      <c r="F302" s="1">
        <v>1917</v>
      </c>
      <c r="G302" s="1">
        <v>3400011660</v>
      </c>
      <c r="H302" s="1">
        <v>12</v>
      </c>
      <c r="I302" s="1" t="s">
        <v>778</v>
      </c>
      <c r="J302" t="s">
        <v>779</v>
      </c>
    </row>
    <row r="303" spans="1:10">
      <c r="A303" s="1">
        <v>25957</v>
      </c>
      <c r="B303" s="1">
        <v>7339000197</v>
      </c>
      <c r="C303" s="1">
        <v>12</v>
      </c>
      <c r="D303" s="1" t="s">
        <v>463</v>
      </c>
      <c r="E303" t="s">
        <v>735</v>
      </c>
      <c r="F303" s="1">
        <v>192765</v>
      </c>
      <c r="G303" s="1">
        <v>8644505512</v>
      </c>
      <c r="H303" s="1">
        <v>12</v>
      </c>
      <c r="I303" s="1" t="s">
        <v>394</v>
      </c>
      <c r="J303" t="s">
        <v>780</v>
      </c>
    </row>
    <row r="304" spans="1:10">
      <c r="A304" s="1">
        <v>25965</v>
      </c>
      <c r="B304" s="1">
        <v>7339000198</v>
      </c>
      <c r="C304" s="1">
        <v>12</v>
      </c>
      <c r="D304" s="1" t="s">
        <v>463</v>
      </c>
      <c r="E304" t="s">
        <v>736</v>
      </c>
      <c r="F304" s="1">
        <v>192708</v>
      </c>
      <c r="G304" s="1">
        <v>8644505511</v>
      </c>
      <c r="H304" s="1">
        <v>12</v>
      </c>
      <c r="I304" s="1" t="s">
        <v>781</v>
      </c>
      <c r="J304" t="s">
        <v>782</v>
      </c>
    </row>
    <row r="305" spans="1:10">
      <c r="A305" s="1">
        <v>363051</v>
      </c>
      <c r="B305" s="1">
        <v>4000023452</v>
      </c>
      <c r="C305" s="1">
        <v>24</v>
      </c>
      <c r="D305" s="1" t="s">
        <v>715</v>
      </c>
      <c r="E305" t="s">
        <v>737</v>
      </c>
      <c r="F305" s="1">
        <v>72629</v>
      </c>
      <c r="G305" s="1">
        <v>7279905027</v>
      </c>
      <c r="H305" s="1">
        <v>12</v>
      </c>
      <c r="I305" s="1" t="s">
        <v>781</v>
      </c>
      <c r="J305" t="s">
        <v>783</v>
      </c>
    </row>
    <row r="306" spans="1:10">
      <c r="A306" s="1">
        <v>827196</v>
      </c>
      <c r="B306" s="1">
        <v>7920032222</v>
      </c>
      <c r="C306" s="1">
        <v>12</v>
      </c>
      <c r="D306" s="1" t="s">
        <v>379</v>
      </c>
      <c r="E306" t="s">
        <v>738</v>
      </c>
      <c r="F306" s="1">
        <v>656835</v>
      </c>
      <c r="G306" s="1">
        <v>4177033090</v>
      </c>
      <c r="H306" s="1">
        <v>10</v>
      </c>
      <c r="I306" s="1" t="s">
        <v>784</v>
      </c>
      <c r="J306" t="s">
        <v>785</v>
      </c>
    </row>
    <row r="307" spans="1:10">
      <c r="A307" s="1">
        <v>6320</v>
      </c>
      <c r="B307" s="1">
        <v>7920003951</v>
      </c>
      <c r="C307" s="1">
        <v>12</v>
      </c>
      <c r="D307" s="1" t="s">
        <v>347</v>
      </c>
      <c r="E307" t="s">
        <v>739</v>
      </c>
      <c r="F307" s="1">
        <v>187070</v>
      </c>
      <c r="G307" s="1">
        <v>4177033070</v>
      </c>
      <c r="H307" s="1">
        <v>10</v>
      </c>
      <c r="I307" s="1" t="s">
        <v>786</v>
      </c>
      <c r="J307" t="s">
        <v>787</v>
      </c>
    </row>
    <row r="308" spans="1:10">
      <c r="A308" s="1">
        <v>73841</v>
      </c>
      <c r="B308" s="1">
        <v>2800007411</v>
      </c>
      <c r="C308" s="1">
        <v>24</v>
      </c>
      <c r="D308" s="1" t="s">
        <v>404</v>
      </c>
      <c r="E308" t="s">
        <v>740</v>
      </c>
      <c r="F308" s="1">
        <v>177907</v>
      </c>
      <c r="G308" s="1">
        <v>4177033080</v>
      </c>
      <c r="H308" s="1">
        <v>10</v>
      </c>
      <c r="I308" s="1" t="s">
        <v>786</v>
      </c>
      <c r="J308" t="s">
        <v>788</v>
      </c>
    </row>
    <row r="309" spans="1:10">
      <c r="A309" s="1">
        <v>471011</v>
      </c>
      <c r="B309" s="1">
        <v>2800025896</v>
      </c>
      <c r="C309" s="1">
        <v>12</v>
      </c>
      <c r="D309" s="1" t="s">
        <v>363</v>
      </c>
      <c r="E309" t="s">
        <v>741</v>
      </c>
      <c r="F309" s="1">
        <v>2709</v>
      </c>
      <c r="G309" s="1">
        <v>7920031102</v>
      </c>
      <c r="H309" s="1">
        <v>12</v>
      </c>
      <c r="I309" s="1" t="s">
        <v>360</v>
      </c>
      <c r="J309" t="s">
        <v>789</v>
      </c>
    </row>
    <row r="310" spans="1:10">
      <c r="A310" s="1">
        <v>454777</v>
      </c>
      <c r="B310" s="1">
        <v>2800051990</v>
      </c>
      <c r="C310" s="1">
        <v>12</v>
      </c>
      <c r="D310" s="1" t="s">
        <v>742</v>
      </c>
      <c r="E310" t="s">
        <v>743</v>
      </c>
      <c r="F310" s="1">
        <v>139733</v>
      </c>
      <c r="G310" s="1">
        <v>65595600091</v>
      </c>
      <c r="H310" s="1">
        <v>12</v>
      </c>
      <c r="I310" s="1" t="s">
        <v>14</v>
      </c>
      <c r="J310" t="s">
        <v>790</v>
      </c>
    </row>
    <row r="311" spans="1:10">
      <c r="A311" s="1">
        <v>454769</v>
      </c>
      <c r="B311" s="1">
        <v>2800052010</v>
      </c>
      <c r="C311" s="1">
        <v>12</v>
      </c>
      <c r="D311" s="1" t="s">
        <v>742</v>
      </c>
      <c r="E311" t="s">
        <v>744</v>
      </c>
      <c r="F311" s="1">
        <v>72330</v>
      </c>
      <c r="G311" s="1">
        <v>4000000788</v>
      </c>
      <c r="H311" s="1">
        <v>24</v>
      </c>
      <c r="I311" s="1" t="s">
        <v>31</v>
      </c>
      <c r="J311" t="s">
        <v>791</v>
      </c>
    </row>
    <row r="312" spans="1:10">
      <c r="A312" s="1">
        <v>179812</v>
      </c>
      <c r="B312" s="1">
        <v>2800000568</v>
      </c>
      <c r="C312" s="1">
        <v>12</v>
      </c>
      <c r="D312" s="1" t="s">
        <v>489</v>
      </c>
      <c r="E312" t="s">
        <v>745</v>
      </c>
      <c r="F312" s="1">
        <v>242156</v>
      </c>
      <c r="G312" s="1">
        <v>4000029813</v>
      </c>
      <c r="H312" s="1">
        <v>12</v>
      </c>
      <c r="I312" s="1" t="s">
        <v>259</v>
      </c>
      <c r="J312" t="s">
        <v>792</v>
      </c>
    </row>
    <row r="313" spans="1:10">
      <c r="A313" s="1">
        <v>746032</v>
      </c>
      <c r="B313" s="1">
        <v>2800017757</v>
      </c>
      <c r="C313" s="1">
        <v>24</v>
      </c>
      <c r="D313" s="1" t="s">
        <v>746</v>
      </c>
      <c r="E313" t="s">
        <v>747</v>
      </c>
      <c r="F313" s="1">
        <v>235465</v>
      </c>
      <c r="G313" s="1">
        <v>4000014092</v>
      </c>
      <c r="H313" s="1">
        <v>12</v>
      </c>
      <c r="I313" s="1" t="s">
        <v>793</v>
      </c>
      <c r="J313" t="s">
        <v>794</v>
      </c>
    </row>
    <row r="314" spans="1:10">
      <c r="A314" s="1">
        <v>404624</v>
      </c>
      <c r="B314" s="1">
        <v>2800008450</v>
      </c>
      <c r="C314" s="1">
        <v>24</v>
      </c>
      <c r="D314" s="1" t="s">
        <v>394</v>
      </c>
      <c r="E314" t="s">
        <v>748</v>
      </c>
      <c r="F314" s="1">
        <v>844621</v>
      </c>
      <c r="G314" s="1">
        <v>4000024872</v>
      </c>
      <c r="H314" s="1">
        <v>24</v>
      </c>
      <c r="I314" s="1" t="s">
        <v>259</v>
      </c>
      <c r="J314" t="s">
        <v>795</v>
      </c>
    </row>
    <row r="315" spans="1:10">
      <c r="A315" s="1">
        <v>469106</v>
      </c>
      <c r="B315" s="1">
        <v>2800068941</v>
      </c>
      <c r="C315" s="1">
        <v>24</v>
      </c>
      <c r="D315" s="1" t="s">
        <v>695</v>
      </c>
      <c r="E315" t="s">
        <v>749</v>
      </c>
      <c r="F315" s="1">
        <v>103267</v>
      </c>
      <c r="G315" s="1">
        <v>4000023453</v>
      </c>
      <c r="H315" s="1">
        <v>24</v>
      </c>
      <c r="I315" s="1" t="s">
        <v>796</v>
      </c>
      <c r="J315" t="s">
        <v>797</v>
      </c>
    </row>
    <row r="316" spans="1:10">
      <c r="A316" s="1">
        <v>454694</v>
      </c>
      <c r="B316" s="1">
        <v>2800052030</v>
      </c>
      <c r="C316" s="1">
        <v>12</v>
      </c>
      <c r="D316" s="1" t="s">
        <v>703</v>
      </c>
      <c r="E316" t="s">
        <v>750</v>
      </c>
      <c r="F316" s="1">
        <v>235457</v>
      </c>
      <c r="G316" s="1">
        <v>4000014093</v>
      </c>
      <c r="H316" s="1">
        <v>12</v>
      </c>
      <c r="I316" s="1" t="s">
        <v>798</v>
      </c>
      <c r="J316" t="s">
        <v>799</v>
      </c>
    </row>
    <row r="317" spans="1:10">
      <c r="A317" s="1">
        <v>743104</v>
      </c>
      <c r="B317" s="1">
        <v>2800007405</v>
      </c>
      <c r="C317" s="1">
        <v>24</v>
      </c>
      <c r="D317" s="1" t="s">
        <v>645</v>
      </c>
      <c r="E317" t="s">
        <v>751</v>
      </c>
      <c r="F317" s="1">
        <v>4168</v>
      </c>
      <c r="G317" s="1">
        <v>4000001602</v>
      </c>
      <c r="H317" s="1">
        <v>24</v>
      </c>
      <c r="I317" s="1" t="s">
        <v>800</v>
      </c>
      <c r="J317" t="s">
        <v>801</v>
      </c>
    </row>
    <row r="318" spans="1:10">
      <c r="A318" s="1">
        <v>767517</v>
      </c>
      <c r="B318" s="1">
        <v>2800015230</v>
      </c>
      <c r="C318" s="1">
        <v>24</v>
      </c>
      <c r="D318" s="1" t="s">
        <v>394</v>
      </c>
      <c r="E318" t="s">
        <v>752</v>
      </c>
      <c r="F318" s="1">
        <v>136515</v>
      </c>
      <c r="G318" s="1">
        <v>4000024723</v>
      </c>
      <c r="H318" s="1">
        <v>12</v>
      </c>
      <c r="I318" s="1" t="s">
        <v>370</v>
      </c>
      <c r="J318" t="s">
        <v>802</v>
      </c>
    </row>
    <row r="319" spans="1:10">
      <c r="A319" s="1">
        <v>759613</v>
      </c>
      <c r="B319" s="1">
        <v>2800017816</v>
      </c>
      <c r="C319" s="1">
        <v>12</v>
      </c>
      <c r="D319" s="1" t="s">
        <v>363</v>
      </c>
      <c r="E319" t="s">
        <v>753</v>
      </c>
      <c r="F319" s="1">
        <v>740464</v>
      </c>
      <c r="G319" s="1">
        <v>4000021024</v>
      </c>
      <c r="H319" s="1">
        <v>6</v>
      </c>
      <c r="I319" s="1" t="s">
        <v>553</v>
      </c>
      <c r="J319" t="s">
        <v>803</v>
      </c>
    </row>
    <row r="320" spans="1:10">
      <c r="A320" s="1">
        <v>789453</v>
      </c>
      <c r="B320" s="1">
        <v>2800008140</v>
      </c>
      <c r="C320" s="1">
        <v>18</v>
      </c>
      <c r="D320" s="1" t="s">
        <v>89</v>
      </c>
      <c r="E320" t="s">
        <v>754</v>
      </c>
      <c r="F320" s="1">
        <v>162669</v>
      </c>
      <c r="G320" s="1">
        <v>4000023454</v>
      </c>
      <c r="H320" s="1">
        <v>24</v>
      </c>
      <c r="I320" s="1" t="s">
        <v>715</v>
      </c>
      <c r="J320" t="s">
        <v>804</v>
      </c>
    </row>
    <row r="321" spans="1:10">
      <c r="A321" s="1">
        <v>8193</v>
      </c>
      <c r="B321" s="1">
        <v>2800037029</v>
      </c>
      <c r="C321" s="1">
        <v>12</v>
      </c>
      <c r="D321" s="1" t="s">
        <v>703</v>
      </c>
      <c r="E321" t="s">
        <v>755</v>
      </c>
      <c r="F321" s="1">
        <v>485078</v>
      </c>
      <c r="G321" s="1">
        <v>7046243328</v>
      </c>
      <c r="H321" s="1">
        <v>6</v>
      </c>
      <c r="I321" s="1" t="s">
        <v>805</v>
      </c>
      <c r="J321" t="s">
        <v>806</v>
      </c>
    </row>
    <row r="322" spans="1:10">
      <c r="A322" s="1">
        <v>883272</v>
      </c>
      <c r="B322" s="1">
        <v>2800000448</v>
      </c>
      <c r="C322" s="1">
        <v>18</v>
      </c>
      <c r="D322" s="1" t="s">
        <v>756</v>
      </c>
      <c r="E322" t="s">
        <v>757</v>
      </c>
      <c r="F322" s="1">
        <v>831172</v>
      </c>
      <c r="G322" s="1">
        <v>3080000189</v>
      </c>
      <c r="H322" s="1">
        <v>24</v>
      </c>
      <c r="I322" s="1" t="s">
        <v>401</v>
      </c>
      <c r="J322" t="s">
        <v>807</v>
      </c>
    </row>
    <row r="323" spans="1:10">
      <c r="A323" s="1">
        <v>239780</v>
      </c>
      <c r="B323" s="1">
        <v>2800008040</v>
      </c>
      <c r="C323" s="1">
        <v>18</v>
      </c>
      <c r="D323" s="1" t="s">
        <v>89</v>
      </c>
      <c r="E323" t="s">
        <v>758</v>
      </c>
      <c r="F323" s="1">
        <v>237891</v>
      </c>
      <c r="G323" s="1">
        <v>2200010995</v>
      </c>
      <c r="H323" s="1">
        <v>20</v>
      </c>
      <c r="I323" s="1" t="s">
        <v>356</v>
      </c>
      <c r="J323" t="s">
        <v>808</v>
      </c>
    </row>
    <row r="324" spans="1:10">
      <c r="A324" s="1">
        <v>487652</v>
      </c>
      <c r="B324" s="1">
        <v>2800011470</v>
      </c>
      <c r="C324" s="1">
        <v>12</v>
      </c>
      <c r="D324" s="1" t="s">
        <v>363</v>
      </c>
      <c r="E324" t="s">
        <v>759</v>
      </c>
      <c r="F324" s="1">
        <v>73536</v>
      </c>
      <c r="G324" s="1">
        <v>7920013925</v>
      </c>
      <c r="H324" s="1">
        <v>12</v>
      </c>
      <c r="I324" s="1" t="s">
        <v>360</v>
      </c>
      <c r="J324" t="s">
        <v>809</v>
      </c>
    </row>
    <row r="325" spans="1:10">
      <c r="A325" s="1">
        <v>4978</v>
      </c>
      <c r="B325" s="1">
        <v>2800064243</v>
      </c>
      <c r="C325" s="1">
        <v>12</v>
      </c>
      <c r="D325" s="1" t="s">
        <v>397</v>
      </c>
      <c r="E325" t="s">
        <v>760</v>
      </c>
      <c r="F325" s="1">
        <v>372177</v>
      </c>
      <c r="G325" s="1">
        <v>4000032968</v>
      </c>
      <c r="H325" s="1">
        <v>12</v>
      </c>
      <c r="I325" s="1" t="s">
        <v>259</v>
      </c>
      <c r="J325" t="s">
        <v>810</v>
      </c>
    </row>
    <row r="326" spans="1:10">
      <c r="A326" s="1">
        <v>16444</v>
      </c>
      <c r="B326" s="1">
        <v>2200015589</v>
      </c>
      <c r="C326" s="1">
        <v>20</v>
      </c>
      <c r="D326" s="1" t="s">
        <v>12</v>
      </c>
      <c r="E326" t="s">
        <v>761</v>
      </c>
      <c r="F326" s="1">
        <v>741017</v>
      </c>
      <c r="G326" s="1">
        <v>4000005756</v>
      </c>
      <c r="H326" s="1">
        <v>12</v>
      </c>
      <c r="I326" s="1" t="s">
        <v>381</v>
      </c>
      <c r="J326" t="s">
        <v>811</v>
      </c>
    </row>
    <row r="327" spans="1:10">
      <c r="A327" s="1">
        <v>43166</v>
      </c>
      <c r="B327" s="1">
        <v>2200015585</v>
      </c>
      <c r="C327" s="1">
        <v>20</v>
      </c>
      <c r="D327" s="1" t="s">
        <v>12</v>
      </c>
      <c r="E327" t="s">
        <v>762</v>
      </c>
      <c r="F327" s="1">
        <v>537340</v>
      </c>
      <c r="G327" s="1">
        <v>4000016266</v>
      </c>
      <c r="H327" s="1">
        <v>18</v>
      </c>
      <c r="I327" s="1" t="s">
        <v>812</v>
      </c>
      <c r="J327" t="s">
        <v>813</v>
      </c>
    </row>
    <row r="328" spans="1:10">
      <c r="A328" s="1">
        <v>567404</v>
      </c>
      <c r="B328" s="1">
        <v>2200015583</v>
      </c>
      <c r="C328" s="1">
        <v>20</v>
      </c>
      <c r="D328" s="1" t="s">
        <v>12</v>
      </c>
      <c r="E328" t="s">
        <v>763</v>
      </c>
      <c r="F328" s="1">
        <v>122895</v>
      </c>
      <c r="G328" s="1">
        <v>4000024947</v>
      </c>
      <c r="H328" s="1">
        <v>24</v>
      </c>
      <c r="I328" s="1" t="s">
        <v>259</v>
      </c>
      <c r="J328" t="s">
        <v>814</v>
      </c>
    </row>
    <row r="329" spans="1:10" ht="15.75">
      <c r="A329" s="4" t="s">
        <v>10682</v>
      </c>
      <c r="B329" s="2"/>
      <c r="C329" s="2"/>
      <c r="D329" s="2"/>
      <c r="E329" s="3"/>
      <c r="F329" s="4" t="s">
        <v>10682</v>
      </c>
      <c r="G329" s="2"/>
      <c r="H329" s="2"/>
      <c r="I329" s="2"/>
      <c r="J329" s="3"/>
    </row>
    <row r="330" spans="1:10">
      <c r="A330" s="2" t="s">
        <v>0</v>
      </c>
      <c r="B330" s="2" t="s">
        <v>1</v>
      </c>
      <c r="C330" s="2" t="s">
        <v>2</v>
      </c>
      <c r="D330" s="2" t="s">
        <v>3</v>
      </c>
      <c r="E330" s="3" t="s">
        <v>4</v>
      </c>
      <c r="F330" s="2" t="s">
        <v>0</v>
      </c>
      <c r="G330" s="2" t="s">
        <v>1</v>
      </c>
      <c r="H330" s="2" t="s">
        <v>2</v>
      </c>
      <c r="I330" s="2" t="s">
        <v>3</v>
      </c>
      <c r="J330" s="3" t="s">
        <v>4</v>
      </c>
    </row>
    <row r="331" spans="1:10">
      <c r="A331" s="1">
        <v>692657</v>
      </c>
      <c r="B331" s="1">
        <v>4000027667</v>
      </c>
      <c r="C331" s="1">
        <v>12</v>
      </c>
      <c r="D331" s="1" t="s">
        <v>259</v>
      </c>
      <c r="E331" t="s">
        <v>815</v>
      </c>
      <c r="F331" s="1">
        <v>829291</v>
      </c>
      <c r="G331" s="1">
        <v>65595600097</v>
      </c>
      <c r="H331" s="1">
        <v>12</v>
      </c>
      <c r="I331" s="1" t="s">
        <v>510</v>
      </c>
      <c r="J331" t="s">
        <v>854</v>
      </c>
    </row>
    <row r="332" spans="1:10">
      <c r="A332" s="1">
        <v>545012</v>
      </c>
      <c r="B332" s="1">
        <v>7279949070</v>
      </c>
      <c r="C332" s="1">
        <v>12</v>
      </c>
      <c r="D332" s="1" t="s">
        <v>352</v>
      </c>
      <c r="E332" t="s">
        <v>816</v>
      </c>
      <c r="F332" s="1">
        <v>282103</v>
      </c>
      <c r="G332" s="1">
        <v>65595601001</v>
      </c>
      <c r="H332" s="1">
        <v>12</v>
      </c>
      <c r="I332" s="1" t="s">
        <v>851</v>
      </c>
      <c r="J332" t="s">
        <v>855</v>
      </c>
    </row>
    <row r="333" spans="1:10">
      <c r="A333" s="1">
        <v>84889</v>
      </c>
      <c r="B333" s="1">
        <v>7279905093</v>
      </c>
      <c r="C333" s="1">
        <v>12</v>
      </c>
      <c r="D333" s="1" t="s">
        <v>489</v>
      </c>
      <c r="E333" t="s">
        <v>817</v>
      </c>
      <c r="F333" s="1">
        <v>659615</v>
      </c>
      <c r="G333" s="1">
        <v>4000025074</v>
      </c>
      <c r="H333" s="1">
        <v>12</v>
      </c>
      <c r="I333" s="1" t="s">
        <v>856</v>
      </c>
      <c r="J333" t="s">
        <v>857</v>
      </c>
    </row>
    <row r="334" spans="1:10">
      <c r="A334" s="1">
        <v>557793</v>
      </c>
      <c r="B334" s="1">
        <v>7279976352</v>
      </c>
      <c r="C334" s="1">
        <v>12</v>
      </c>
      <c r="D334" s="1" t="s">
        <v>421</v>
      </c>
      <c r="E334" t="s">
        <v>818</v>
      </c>
      <c r="F334" s="1">
        <v>10298</v>
      </c>
      <c r="G334" s="1">
        <v>3400056023</v>
      </c>
      <c r="H334" s="1">
        <v>24</v>
      </c>
      <c r="I334" s="1" t="s">
        <v>381</v>
      </c>
      <c r="J334" t="s">
        <v>858</v>
      </c>
    </row>
    <row r="335" spans="1:10">
      <c r="A335" s="1">
        <v>68973</v>
      </c>
      <c r="B335" s="1">
        <v>7279900898</v>
      </c>
      <c r="C335" s="1">
        <v>12</v>
      </c>
      <c r="D335" s="1" t="s">
        <v>489</v>
      </c>
      <c r="E335" t="s">
        <v>819</v>
      </c>
      <c r="F335" s="1">
        <v>8623</v>
      </c>
      <c r="G335" s="1">
        <v>3400054150</v>
      </c>
      <c r="H335" s="1">
        <v>12</v>
      </c>
      <c r="I335" s="1" t="s">
        <v>394</v>
      </c>
      <c r="J335" t="s">
        <v>859</v>
      </c>
    </row>
    <row r="336" spans="1:10">
      <c r="A336" s="1">
        <v>84558</v>
      </c>
      <c r="B336" s="1">
        <v>7279983140</v>
      </c>
      <c r="C336" s="1">
        <v>12</v>
      </c>
      <c r="D336" s="1" t="s">
        <v>421</v>
      </c>
      <c r="E336" t="s">
        <v>820</v>
      </c>
      <c r="F336" s="1">
        <v>503086</v>
      </c>
      <c r="G336" s="1">
        <v>3400056710</v>
      </c>
      <c r="H336" s="1">
        <v>12</v>
      </c>
      <c r="I336" s="1" t="s">
        <v>860</v>
      </c>
      <c r="J336" t="s">
        <v>861</v>
      </c>
    </row>
    <row r="337" spans="1:10">
      <c r="A337" s="1">
        <v>867382</v>
      </c>
      <c r="B337" s="1">
        <v>1254668023</v>
      </c>
      <c r="C337" s="1">
        <v>20</v>
      </c>
      <c r="D337" s="1" t="s">
        <v>12</v>
      </c>
      <c r="E337" t="s">
        <v>265</v>
      </c>
      <c r="F337" s="1">
        <v>9258</v>
      </c>
      <c r="G337" s="1">
        <v>3400056002</v>
      </c>
      <c r="H337" s="1">
        <v>24</v>
      </c>
      <c r="I337" s="1" t="s">
        <v>381</v>
      </c>
      <c r="J337" t="s">
        <v>862</v>
      </c>
    </row>
    <row r="338" spans="1:10">
      <c r="A338" s="1">
        <v>609362</v>
      </c>
      <c r="B338" s="1">
        <v>1254668104</v>
      </c>
      <c r="C338" s="1">
        <v>20</v>
      </c>
      <c r="D338" s="1" t="s">
        <v>12</v>
      </c>
      <c r="E338" t="s">
        <v>821</v>
      </c>
      <c r="F338" s="1">
        <v>9266</v>
      </c>
      <c r="G338" s="1">
        <v>3400056043</v>
      </c>
      <c r="H338" s="1">
        <v>24</v>
      </c>
      <c r="I338" s="1" t="s">
        <v>259</v>
      </c>
      <c r="J338" t="s">
        <v>863</v>
      </c>
    </row>
    <row r="339" spans="1:10">
      <c r="A339" s="1">
        <v>578963</v>
      </c>
      <c r="B339" s="1">
        <v>1254668008</v>
      </c>
      <c r="C339" s="1">
        <v>20</v>
      </c>
      <c r="D339" s="1" t="s">
        <v>12</v>
      </c>
      <c r="E339" t="s">
        <v>822</v>
      </c>
      <c r="F339" s="1">
        <v>839951</v>
      </c>
      <c r="G339" s="1">
        <v>7920031042</v>
      </c>
      <c r="H339" s="1">
        <v>12</v>
      </c>
      <c r="I339" s="1" t="s">
        <v>360</v>
      </c>
      <c r="J339" t="s">
        <v>864</v>
      </c>
    </row>
    <row r="340" spans="1:10">
      <c r="A340" s="1">
        <v>661405</v>
      </c>
      <c r="B340" s="1">
        <v>1254668064</v>
      </c>
      <c r="C340" s="1">
        <v>20</v>
      </c>
      <c r="D340" s="1" t="s">
        <v>12</v>
      </c>
      <c r="E340" t="s">
        <v>268</v>
      </c>
      <c r="F340" s="1">
        <v>104729</v>
      </c>
      <c r="G340" s="1">
        <v>7920015811</v>
      </c>
      <c r="H340" s="1">
        <v>8</v>
      </c>
      <c r="I340" s="1" t="s">
        <v>865</v>
      </c>
      <c r="J340" t="s">
        <v>866</v>
      </c>
    </row>
    <row r="341" spans="1:10">
      <c r="A341" s="1">
        <v>1412</v>
      </c>
      <c r="B341" s="1">
        <v>1254668017</v>
      </c>
      <c r="C341" s="1">
        <v>20</v>
      </c>
      <c r="D341" s="1" t="s">
        <v>12</v>
      </c>
      <c r="E341" t="s">
        <v>270</v>
      </c>
      <c r="F341" s="1">
        <v>648337</v>
      </c>
      <c r="G341" s="1">
        <v>7279949072</v>
      </c>
      <c r="H341" s="1">
        <v>12</v>
      </c>
      <c r="I341" s="1" t="s">
        <v>352</v>
      </c>
      <c r="J341" t="s">
        <v>867</v>
      </c>
    </row>
    <row r="342" spans="1:10">
      <c r="A342" s="1">
        <v>168864</v>
      </c>
      <c r="B342" s="1">
        <v>1254668006</v>
      </c>
      <c r="C342" s="1">
        <v>20</v>
      </c>
      <c r="D342" s="1" t="s">
        <v>12</v>
      </c>
      <c r="E342" t="s">
        <v>823</v>
      </c>
      <c r="F342" s="1">
        <v>68197</v>
      </c>
      <c r="G342" s="1">
        <v>7279903215</v>
      </c>
      <c r="H342" s="1">
        <v>12</v>
      </c>
      <c r="I342" s="1" t="s">
        <v>781</v>
      </c>
      <c r="J342" t="s">
        <v>868</v>
      </c>
    </row>
    <row r="343" spans="1:10">
      <c r="A343" s="1">
        <v>15800</v>
      </c>
      <c r="B343" s="1">
        <v>1420053310</v>
      </c>
      <c r="C343" s="1">
        <v>24</v>
      </c>
      <c r="D343" s="1" t="s">
        <v>130</v>
      </c>
      <c r="E343" t="s">
        <v>824</v>
      </c>
      <c r="F343" s="1">
        <v>451492</v>
      </c>
      <c r="G343" s="1">
        <v>7279900861</v>
      </c>
      <c r="H343" s="1">
        <v>12</v>
      </c>
      <c r="I343" s="1" t="s">
        <v>781</v>
      </c>
      <c r="J343" t="s">
        <v>869</v>
      </c>
    </row>
    <row r="344" spans="1:10">
      <c r="A344" s="1">
        <v>86918</v>
      </c>
      <c r="B344" s="1">
        <v>7046243326</v>
      </c>
      <c r="C344" s="1">
        <v>6</v>
      </c>
      <c r="D344" s="1" t="s">
        <v>805</v>
      </c>
      <c r="E344" t="s">
        <v>825</v>
      </c>
      <c r="F344" s="1">
        <v>610691</v>
      </c>
      <c r="G344" s="1">
        <v>1070002291</v>
      </c>
      <c r="H344" s="1">
        <v>12</v>
      </c>
      <c r="I344" s="1" t="s">
        <v>397</v>
      </c>
      <c r="J344" t="s">
        <v>870</v>
      </c>
    </row>
    <row r="345" spans="1:10">
      <c r="A345" s="1">
        <v>487694</v>
      </c>
      <c r="B345" s="1">
        <v>7046250010</v>
      </c>
      <c r="C345" s="1">
        <v>12</v>
      </c>
      <c r="D345" s="1" t="s">
        <v>259</v>
      </c>
      <c r="E345" t="s">
        <v>826</v>
      </c>
      <c r="F345" s="1">
        <v>675512</v>
      </c>
      <c r="G345" s="1">
        <v>2200010999</v>
      </c>
      <c r="H345" s="1">
        <v>20</v>
      </c>
      <c r="I345" s="1" t="s">
        <v>356</v>
      </c>
      <c r="J345" t="s">
        <v>871</v>
      </c>
    </row>
    <row r="346" spans="1:10">
      <c r="A346" s="1">
        <v>7419</v>
      </c>
      <c r="B346" s="1">
        <v>980000661</v>
      </c>
      <c r="C346" s="1">
        <v>24</v>
      </c>
      <c r="D346" s="1" t="s">
        <v>386</v>
      </c>
      <c r="E346" t="s">
        <v>827</v>
      </c>
      <c r="F346" s="1">
        <v>241745</v>
      </c>
      <c r="G346" s="1">
        <v>7920032226</v>
      </c>
      <c r="H346" s="1">
        <v>12</v>
      </c>
      <c r="I346" s="1" t="s">
        <v>360</v>
      </c>
      <c r="J346" t="s">
        <v>872</v>
      </c>
    </row>
    <row r="347" spans="1:10">
      <c r="A347" s="1">
        <v>7781</v>
      </c>
      <c r="B347" s="1">
        <v>980000667</v>
      </c>
      <c r="C347" s="1">
        <v>24</v>
      </c>
      <c r="D347" s="1" t="s">
        <v>828</v>
      </c>
      <c r="E347" t="s">
        <v>829</v>
      </c>
      <c r="F347" s="1">
        <v>2774</v>
      </c>
      <c r="G347" s="1">
        <v>7920031788</v>
      </c>
      <c r="H347" s="1">
        <v>12</v>
      </c>
      <c r="I347" s="1" t="s">
        <v>360</v>
      </c>
      <c r="J347" t="s">
        <v>873</v>
      </c>
    </row>
    <row r="348" spans="1:10">
      <c r="A348" s="1">
        <v>12120</v>
      </c>
      <c r="B348" s="1">
        <v>7172000769</v>
      </c>
      <c r="C348" s="1">
        <v>24</v>
      </c>
      <c r="D348" s="1" t="s">
        <v>830</v>
      </c>
      <c r="E348" t="s">
        <v>831</v>
      </c>
      <c r="F348" s="1">
        <v>201871</v>
      </c>
      <c r="G348" s="1">
        <v>2200010503</v>
      </c>
      <c r="H348" s="1">
        <v>20</v>
      </c>
      <c r="I348" s="1" t="s">
        <v>12</v>
      </c>
      <c r="J348" t="s">
        <v>874</v>
      </c>
    </row>
    <row r="349" spans="1:10">
      <c r="A349" s="1">
        <v>816140</v>
      </c>
      <c r="B349" s="1">
        <v>7172085000</v>
      </c>
      <c r="C349" s="1">
        <v>12</v>
      </c>
      <c r="D349" s="1" t="s">
        <v>358</v>
      </c>
      <c r="E349" t="s">
        <v>832</v>
      </c>
      <c r="F349" s="1">
        <v>492876</v>
      </c>
      <c r="G349" s="1">
        <v>2200010504</v>
      </c>
      <c r="H349" s="1">
        <v>20</v>
      </c>
      <c r="I349" s="1" t="s">
        <v>12</v>
      </c>
      <c r="J349" t="s">
        <v>875</v>
      </c>
    </row>
    <row r="350" spans="1:10">
      <c r="A350" s="1">
        <v>12104</v>
      </c>
      <c r="B350" s="1">
        <v>7172000870</v>
      </c>
      <c r="C350" s="1">
        <v>24</v>
      </c>
      <c r="D350" s="1" t="s">
        <v>703</v>
      </c>
      <c r="E350" t="s">
        <v>833</v>
      </c>
      <c r="F350" s="1">
        <v>667790</v>
      </c>
      <c r="G350" s="1">
        <v>2200010505</v>
      </c>
      <c r="H350" s="1">
        <v>20</v>
      </c>
      <c r="I350" s="1" t="s">
        <v>12</v>
      </c>
      <c r="J350" t="s">
        <v>876</v>
      </c>
    </row>
    <row r="351" spans="1:10">
      <c r="A351" s="1">
        <v>126185</v>
      </c>
      <c r="B351" s="1">
        <v>7172000889</v>
      </c>
      <c r="C351" s="1">
        <v>24</v>
      </c>
      <c r="D351" s="1" t="s">
        <v>834</v>
      </c>
      <c r="E351" t="s">
        <v>835</v>
      </c>
      <c r="F351" s="1">
        <v>567396</v>
      </c>
      <c r="G351" s="1">
        <v>2200015593</v>
      </c>
      <c r="H351" s="1">
        <v>20</v>
      </c>
      <c r="I351" s="1" t="s">
        <v>12</v>
      </c>
      <c r="J351" t="s">
        <v>877</v>
      </c>
    </row>
    <row r="352" spans="1:10">
      <c r="A352" s="1">
        <v>462317</v>
      </c>
      <c r="B352" s="1">
        <v>7172053490</v>
      </c>
      <c r="C352" s="1">
        <v>12</v>
      </c>
      <c r="D352" s="1" t="s">
        <v>536</v>
      </c>
      <c r="E352" t="s">
        <v>836</v>
      </c>
      <c r="F352" s="1">
        <v>567412</v>
      </c>
      <c r="G352" s="1">
        <v>2200015587</v>
      </c>
      <c r="H352" s="1">
        <v>20</v>
      </c>
      <c r="I352" s="1" t="s">
        <v>12</v>
      </c>
      <c r="J352" t="s">
        <v>878</v>
      </c>
    </row>
    <row r="353" spans="1:10">
      <c r="A353" s="1">
        <v>16147</v>
      </c>
      <c r="B353" s="1">
        <v>7172000611</v>
      </c>
      <c r="C353" s="1">
        <v>24</v>
      </c>
      <c r="D353" s="1" t="s">
        <v>347</v>
      </c>
      <c r="E353" t="s">
        <v>837</v>
      </c>
      <c r="F353" s="1">
        <v>7112</v>
      </c>
      <c r="G353" s="1">
        <v>2200012618</v>
      </c>
      <c r="H353" s="1">
        <v>20</v>
      </c>
      <c r="I353" s="1" t="s">
        <v>10</v>
      </c>
      <c r="J353" t="s">
        <v>879</v>
      </c>
    </row>
    <row r="354" spans="1:10">
      <c r="A354" s="1">
        <v>49791</v>
      </c>
      <c r="B354" s="1">
        <v>7172000613</v>
      </c>
      <c r="C354" s="1">
        <v>24</v>
      </c>
      <c r="D354" s="1" t="s">
        <v>381</v>
      </c>
      <c r="E354" t="s">
        <v>837</v>
      </c>
      <c r="F354" s="1">
        <v>882423</v>
      </c>
      <c r="G354" s="1">
        <v>2200010996</v>
      </c>
      <c r="H354" s="1">
        <v>20</v>
      </c>
      <c r="I354" s="1" t="s">
        <v>356</v>
      </c>
      <c r="J354" t="s">
        <v>880</v>
      </c>
    </row>
    <row r="355" spans="1:10">
      <c r="A355" s="1">
        <v>12005</v>
      </c>
      <c r="B355" s="1">
        <v>7172000769</v>
      </c>
      <c r="C355" s="1">
        <v>24</v>
      </c>
      <c r="D355" s="1" t="s">
        <v>838</v>
      </c>
      <c r="E355" t="s">
        <v>839</v>
      </c>
      <c r="F355" s="1">
        <v>459149</v>
      </c>
      <c r="G355" s="1">
        <v>3400000262</v>
      </c>
      <c r="H355" s="1">
        <v>6</v>
      </c>
      <c r="I355" s="1" t="s">
        <v>360</v>
      </c>
      <c r="J355" t="s">
        <v>881</v>
      </c>
    </row>
    <row r="356" spans="1:10" ht="15.75">
      <c r="A356" s="1">
        <v>581769</v>
      </c>
      <c r="B356" s="1">
        <v>7172053193</v>
      </c>
      <c r="C356" s="1">
        <v>12</v>
      </c>
      <c r="D356" s="1" t="s">
        <v>397</v>
      </c>
      <c r="E356" t="s">
        <v>840</v>
      </c>
      <c r="F356" s="4" t="s">
        <v>10683</v>
      </c>
      <c r="G356" s="2"/>
      <c r="H356" s="2"/>
      <c r="I356" s="2"/>
      <c r="J356" s="3"/>
    </row>
    <row r="357" spans="1:10">
      <c r="A357" s="1">
        <v>570879</v>
      </c>
      <c r="B357" s="1">
        <v>7172053046</v>
      </c>
      <c r="C357" s="1">
        <v>12</v>
      </c>
      <c r="D357" s="1" t="s">
        <v>397</v>
      </c>
      <c r="E357" t="s">
        <v>841</v>
      </c>
      <c r="F357" s="2" t="s">
        <v>0</v>
      </c>
      <c r="G357" s="2" t="s">
        <v>1</v>
      </c>
      <c r="H357" s="2" t="s">
        <v>2</v>
      </c>
      <c r="I357" s="2" t="s">
        <v>3</v>
      </c>
      <c r="J357" s="3" t="s">
        <v>4</v>
      </c>
    </row>
    <row r="358" spans="1:10">
      <c r="A358" s="1">
        <v>752444</v>
      </c>
      <c r="B358" s="1">
        <v>1254667302</v>
      </c>
      <c r="C358" s="1">
        <v>20</v>
      </c>
      <c r="D358" s="1" t="s">
        <v>12</v>
      </c>
      <c r="E358" t="s">
        <v>842</v>
      </c>
      <c r="F358" s="1">
        <v>567909</v>
      </c>
      <c r="G358" s="1">
        <v>5430023311</v>
      </c>
      <c r="H358" s="1">
        <v>12</v>
      </c>
      <c r="I358" s="1" t="s">
        <v>381</v>
      </c>
      <c r="J358" t="s">
        <v>882</v>
      </c>
    </row>
    <row r="359" spans="1:10">
      <c r="A359" s="1">
        <v>687905</v>
      </c>
      <c r="B359" s="1">
        <v>1254667257</v>
      </c>
      <c r="C359" s="1">
        <v>20</v>
      </c>
      <c r="D359" s="1" t="s">
        <v>12</v>
      </c>
      <c r="E359" t="s">
        <v>843</v>
      </c>
      <c r="F359" s="1">
        <v>567917</v>
      </c>
      <c r="G359" s="1">
        <v>5430023313</v>
      </c>
      <c r="H359" s="1">
        <v>12</v>
      </c>
      <c r="I359" s="1" t="s">
        <v>381</v>
      </c>
      <c r="J359" t="s">
        <v>883</v>
      </c>
    </row>
    <row r="360" spans="1:10">
      <c r="A360" s="1">
        <v>566547</v>
      </c>
      <c r="B360" s="1">
        <v>1254667259</v>
      </c>
      <c r="C360" s="1">
        <v>20</v>
      </c>
      <c r="D360" s="1" t="s">
        <v>12</v>
      </c>
      <c r="E360" t="s">
        <v>844</v>
      </c>
      <c r="F360" s="1">
        <v>95836</v>
      </c>
      <c r="G360" s="1">
        <v>5430023314</v>
      </c>
      <c r="H360" s="1">
        <v>24</v>
      </c>
      <c r="I360" s="1" t="s">
        <v>370</v>
      </c>
      <c r="J360" t="s">
        <v>884</v>
      </c>
    </row>
    <row r="361" spans="1:10">
      <c r="A361" s="1">
        <v>258723</v>
      </c>
      <c r="B361" s="1">
        <v>1254667255</v>
      </c>
      <c r="C361" s="1">
        <v>20</v>
      </c>
      <c r="D361" s="1" t="s">
        <v>12</v>
      </c>
      <c r="E361" t="s">
        <v>845</v>
      </c>
      <c r="F361" s="1">
        <v>567891</v>
      </c>
      <c r="G361" s="1">
        <v>5430023319</v>
      </c>
      <c r="H361" s="1">
        <v>24</v>
      </c>
      <c r="I361" s="1" t="s">
        <v>370</v>
      </c>
      <c r="J361" t="s">
        <v>885</v>
      </c>
    </row>
    <row r="362" spans="1:10">
      <c r="A362" s="1">
        <v>16956</v>
      </c>
      <c r="B362" s="1">
        <v>1254661762</v>
      </c>
      <c r="C362" s="1">
        <v>20</v>
      </c>
      <c r="D362" s="1" t="s">
        <v>766</v>
      </c>
      <c r="E362" t="s">
        <v>846</v>
      </c>
      <c r="F362" s="1">
        <v>96008</v>
      </c>
      <c r="G362" s="1">
        <v>5430023312</v>
      </c>
      <c r="H362" s="1">
        <v>24</v>
      </c>
      <c r="I362" s="1" t="s">
        <v>489</v>
      </c>
      <c r="J362" t="s">
        <v>886</v>
      </c>
    </row>
    <row r="363" spans="1:10">
      <c r="A363" s="1">
        <v>541482</v>
      </c>
      <c r="B363" s="1">
        <v>1254661764</v>
      </c>
      <c r="C363" s="1">
        <v>20</v>
      </c>
      <c r="D363" s="1" t="s">
        <v>12</v>
      </c>
      <c r="E363" t="s">
        <v>302</v>
      </c>
      <c r="F363" s="1">
        <v>455</v>
      </c>
      <c r="G363" s="1">
        <v>5430023316</v>
      </c>
      <c r="H363" s="1">
        <v>24</v>
      </c>
      <c r="I363" s="1" t="s">
        <v>489</v>
      </c>
      <c r="J363" t="s">
        <v>887</v>
      </c>
    </row>
    <row r="364" spans="1:10">
      <c r="A364" s="1">
        <v>479188</v>
      </c>
      <c r="B364" s="1">
        <v>1254667304</v>
      </c>
      <c r="C364" s="1">
        <v>20</v>
      </c>
      <c r="D364" s="1" t="s">
        <v>12</v>
      </c>
      <c r="E364" t="s">
        <v>847</v>
      </c>
      <c r="F364" s="1">
        <v>95869</v>
      </c>
      <c r="G364" s="1">
        <v>60069966102</v>
      </c>
      <c r="H364" s="1">
        <v>24</v>
      </c>
      <c r="I364" s="1" t="s">
        <v>489</v>
      </c>
      <c r="J364" t="s">
        <v>888</v>
      </c>
    </row>
    <row r="365" spans="1:10">
      <c r="A365" s="1">
        <v>15610</v>
      </c>
      <c r="B365" s="1">
        <v>2070901231</v>
      </c>
      <c r="C365" s="1">
        <v>12</v>
      </c>
      <c r="D365" s="1" t="s">
        <v>536</v>
      </c>
      <c r="E365" t="s">
        <v>848</v>
      </c>
      <c r="F365" s="1">
        <v>95927</v>
      </c>
      <c r="G365" s="1">
        <v>60069966116</v>
      </c>
      <c r="H365" s="1">
        <v>12</v>
      </c>
      <c r="I365" s="1" t="s">
        <v>381</v>
      </c>
      <c r="J365" t="s">
        <v>889</v>
      </c>
    </row>
    <row r="366" spans="1:10">
      <c r="A366" s="1">
        <v>15412</v>
      </c>
      <c r="B366" s="1">
        <v>2070901230</v>
      </c>
      <c r="C366" s="1">
        <v>12</v>
      </c>
      <c r="D366" s="1" t="s">
        <v>394</v>
      </c>
      <c r="E366" t="s">
        <v>849</v>
      </c>
      <c r="F366" s="1">
        <v>95844</v>
      </c>
      <c r="G366" s="1">
        <v>60069966072</v>
      </c>
      <c r="H366" s="1">
        <v>24</v>
      </c>
      <c r="I366" s="1" t="s">
        <v>370</v>
      </c>
      <c r="J366" t="s">
        <v>890</v>
      </c>
    </row>
    <row r="367" spans="1:10">
      <c r="A367" s="1">
        <v>15206</v>
      </c>
      <c r="B367" s="1">
        <v>2070970802</v>
      </c>
      <c r="C367" s="1">
        <v>12</v>
      </c>
      <c r="D367" s="1" t="s">
        <v>536</v>
      </c>
      <c r="E367" t="s">
        <v>850</v>
      </c>
      <c r="F367" s="1">
        <v>99564</v>
      </c>
      <c r="G367" s="1">
        <v>60069966076</v>
      </c>
      <c r="H367" s="1">
        <v>12</v>
      </c>
      <c r="I367" s="1" t="s">
        <v>381</v>
      </c>
      <c r="J367" t="s">
        <v>890</v>
      </c>
    </row>
    <row r="368" spans="1:10">
      <c r="A368" s="1">
        <v>316745</v>
      </c>
      <c r="B368" s="1">
        <v>65595600001</v>
      </c>
      <c r="C368" s="1">
        <v>12</v>
      </c>
      <c r="D368" s="1" t="s">
        <v>851</v>
      </c>
      <c r="E368" t="s">
        <v>852</v>
      </c>
      <c r="F368" s="1">
        <v>99648</v>
      </c>
      <c r="G368" s="1">
        <v>1116609964</v>
      </c>
      <c r="H368" s="1">
        <v>12</v>
      </c>
      <c r="I368" s="1" t="s">
        <v>381</v>
      </c>
      <c r="J368" t="s">
        <v>891</v>
      </c>
    </row>
    <row r="369" spans="1:10">
      <c r="A369" s="1">
        <v>166587</v>
      </c>
      <c r="B369" s="1">
        <v>65595602001</v>
      </c>
      <c r="C369" s="1">
        <v>12</v>
      </c>
      <c r="D369" s="1" t="s">
        <v>851</v>
      </c>
      <c r="E369" t="s">
        <v>853</v>
      </c>
      <c r="F369" s="1">
        <v>95125</v>
      </c>
      <c r="G369" s="1">
        <v>1116609512</v>
      </c>
      <c r="H369" s="1">
        <v>24</v>
      </c>
      <c r="I369" s="1" t="s">
        <v>489</v>
      </c>
      <c r="J369" t="s">
        <v>892</v>
      </c>
    </row>
    <row r="370" spans="1:10" ht="15.75">
      <c r="A370" s="4" t="s">
        <v>10683</v>
      </c>
      <c r="B370" s="2"/>
      <c r="C370" s="2"/>
      <c r="D370" s="2"/>
      <c r="E370" s="3"/>
      <c r="F370" s="4" t="s">
        <v>10684</v>
      </c>
      <c r="G370" s="2"/>
      <c r="H370" s="2"/>
      <c r="I370" s="2"/>
      <c r="J370" s="3"/>
    </row>
    <row r="371" spans="1:10">
      <c r="A371" s="2" t="s">
        <v>0</v>
      </c>
      <c r="B371" s="2" t="s">
        <v>1</v>
      </c>
      <c r="C371" s="2" t="s">
        <v>2</v>
      </c>
      <c r="D371" s="2" t="s">
        <v>3</v>
      </c>
      <c r="E371" s="3" t="s">
        <v>4</v>
      </c>
      <c r="F371" s="2" t="s">
        <v>0</v>
      </c>
      <c r="G371" s="2" t="s">
        <v>1</v>
      </c>
      <c r="H371" s="2" t="s">
        <v>2</v>
      </c>
      <c r="I371" s="2" t="s">
        <v>3</v>
      </c>
      <c r="J371" s="3" t="s">
        <v>4</v>
      </c>
    </row>
    <row r="372" spans="1:10">
      <c r="A372" s="1">
        <v>95117</v>
      </c>
      <c r="B372" s="1">
        <v>1116609511</v>
      </c>
      <c r="C372" s="1">
        <v>24</v>
      </c>
      <c r="D372" s="1" t="s">
        <v>370</v>
      </c>
      <c r="E372" t="s">
        <v>893</v>
      </c>
      <c r="F372" s="1">
        <v>430454</v>
      </c>
      <c r="G372" s="1">
        <v>2700048614</v>
      </c>
      <c r="H372" s="1">
        <v>6</v>
      </c>
      <c r="I372" s="1" t="s">
        <v>908</v>
      </c>
      <c r="J372" t="s">
        <v>937</v>
      </c>
    </row>
    <row r="373" spans="1:10">
      <c r="A373" s="1">
        <v>99986</v>
      </c>
      <c r="B373" s="1">
        <v>1116609998</v>
      </c>
      <c r="C373" s="1">
        <v>12</v>
      </c>
      <c r="D373" s="1" t="s">
        <v>381</v>
      </c>
      <c r="E373" t="s">
        <v>893</v>
      </c>
      <c r="F373" s="1">
        <v>164889</v>
      </c>
      <c r="G373" s="1">
        <v>2700048918</v>
      </c>
      <c r="H373" s="1">
        <v>6</v>
      </c>
      <c r="I373" s="1" t="s">
        <v>938</v>
      </c>
      <c r="J373" t="s">
        <v>939</v>
      </c>
    </row>
    <row r="374" spans="1:10" ht="15.75">
      <c r="A374" s="4" t="s">
        <v>10684</v>
      </c>
      <c r="B374" s="2"/>
      <c r="C374" s="2"/>
      <c r="D374" s="2"/>
      <c r="E374" s="3"/>
      <c r="F374" s="1">
        <v>164525</v>
      </c>
      <c r="G374" s="1">
        <v>2700048750</v>
      </c>
      <c r="H374" s="1">
        <v>6</v>
      </c>
      <c r="I374" s="1" t="s">
        <v>940</v>
      </c>
      <c r="J374" t="s">
        <v>941</v>
      </c>
    </row>
    <row r="375" spans="1:10">
      <c r="A375" s="2" t="s">
        <v>0</v>
      </c>
      <c r="B375" s="2" t="s">
        <v>1</v>
      </c>
      <c r="C375" s="2" t="s">
        <v>2</v>
      </c>
      <c r="D375" s="2" t="s">
        <v>3</v>
      </c>
      <c r="E375" s="3" t="s">
        <v>4</v>
      </c>
      <c r="F375" s="1">
        <v>164434</v>
      </c>
      <c r="G375" s="1">
        <v>2700048646</v>
      </c>
      <c r="H375" s="1">
        <v>6</v>
      </c>
      <c r="I375" s="1" t="s">
        <v>940</v>
      </c>
      <c r="J375" t="s">
        <v>942</v>
      </c>
    </row>
    <row r="376" spans="1:10">
      <c r="A376" s="1">
        <v>167445</v>
      </c>
      <c r="B376" s="1">
        <v>7615020203</v>
      </c>
      <c r="C376" s="1">
        <v>12</v>
      </c>
      <c r="D376" s="1" t="s">
        <v>630</v>
      </c>
      <c r="E376" t="s">
        <v>894</v>
      </c>
      <c r="F376" s="1">
        <v>164509</v>
      </c>
      <c r="G376" s="1">
        <v>2700048585</v>
      </c>
      <c r="H376" s="1">
        <v>6</v>
      </c>
      <c r="I376" s="1" t="s">
        <v>943</v>
      </c>
      <c r="J376" t="s">
        <v>944</v>
      </c>
    </row>
    <row r="377" spans="1:10">
      <c r="A377" s="1">
        <v>142406</v>
      </c>
      <c r="B377" s="1">
        <v>7615007575</v>
      </c>
      <c r="C377" s="1">
        <v>12</v>
      </c>
      <c r="D377" s="1" t="s">
        <v>546</v>
      </c>
      <c r="E377" t="s">
        <v>895</v>
      </c>
      <c r="F377" s="1">
        <v>164053</v>
      </c>
      <c r="G377" s="1">
        <v>2700048742</v>
      </c>
      <c r="H377" s="1">
        <v>12</v>
      </c>
      <c r="I377" s="1" t="s">
        <v>630</v>
      </c>
      <c r="J377" t="s">
        <v>945</v>
      </c>
    </row>
    <row r="378" spans="1:10">
      <c r="A378" s="1">
        <v>254342</v>
      </c>
      <c r="B378" s="1">
        <v>7615007503</v>
      </c>
      <c r="C378" s="1">
        <v>12</v>
      </c>
      <c r="D378" s="1" t="s">
        <v>546</v>
      </c>
      <c r="E378" t="s">
        <v>896</v>
      </c>
      <c r="F378" s="1">
        <v>164061</v>
      </c>
      <c r="G378" s="1">
        <v>2700048741</v>
      </c>
      <c r="H378" s="1">
        <v>12</v>
      </c>
      <c r="I378" s="1" t="s">
        <v>630</v>
      </c>
      <c r="J378" t="s">
        <v>946</v>
      </c>
    </row>
    <row r="379" spans="1:10">
      <c r="A379" s="1">
        <v>142117</v>
      </c>
      <c r="B379" s="1">
        <v>7615007544</v>
      </c>
      <c r="C379" s="1">
        <v>12</v>
      </c>
      <c r="D379" s="1" t="s">
        <v>897</v>
      </c>
      <c r="E379" t="s">
        <v>898</v>
      </c>
      <c r="F379" s="1">
        <v>166124</v>
      </c>
      <c r="G379" s="1">
        <v>2700048102</v>
      </c>
      <c r="H379" s="1">
        <v>12</v>
      </c>
      <c r="I379" s="1" t="s">
        <v>925</v>
      </c>
      <c r="J379" t="s">
        <v>947</v>
      </c>
    </row>
    <row r="380" spans="1:10">
      <c r="A380" s="1">
        <v>166157</v>
      </c>
      <c r="B380" s="1">
        <v>7615022803</v>
      </c>
      <c r="C380" s="1">
        <v>12</v>
      </c>
      <c r="D380" s="1" t="s">
        <v>630</v>
      </c>
      <c r="E380" t="s">
        <v>899</v>
      </c>
      <c r="F380" s="1">
        <v>164087</v>
      </c>
      <c r="G380" s="1">
        <v>2700048805</v>
      </c>
      <c r="H380" s="1">
        <v>12</v>
      </c>
      <c r="I380" s="1" t="s">
        <v>469</v>
      </c>
      <c r="J380" t="s">
        <v>948</v>
      </c>
    </row>
    <row r="381" spans="1:10">
      <c r="A381" s="1">
        <v>332700</v>
      </c>
      <c r="B381" s="1">
        <v>7615007578</v>
      </c>
      <c r="C381" s="1">
        <v>12</v>
      </c>
      <c r="D381" s="1" t="s">
        <v>546</v>
      </c>
      <c r="E381" t="s">
        <v>900</v>
      </c>
      <c r="F381" s="1">
        <v>164392</v>
      </c>
      <c r="G381" s="1">
        <v>2700048540</v>
      </c>
      <c r="H381" s="1">
        <v>12</v>
      </c>
      <c r="I381" s="1" t="s">
        <v>949</v>
      </c>
      <c r="J381" t="s">
        <v>950</v>
      </c>
    </row>
    <row r="382" spans="1:10">
      <c r="A382" s="1">
        <v>164749</v>
      </c>
      <c r="B382" s="1">
        <v>7615047307</v>
      </c>
      <c r="C382" s="1">
        <v>12</v>
      </c>
      <c r="D382" s="1" t="s">
        <v>630</v>
      </c>
      <c r="E382" t="s">
        <v>901</v>
      </c>
      <c r="F382" s="1">
        <v>492264</v>
      </c>
      <c r="G382" s="1">
        <v>2700048206</v>
      </c>
      <c r="H382" s="1">
        <v>12</v>
      </c>
      <c r="I382" s="1" t="s">
        <v>920</v>
      </c>
      <c r="J382" t="s">
        <v>951</v>
      </c>
    </row>
    <row r="383" spans="1:10">
      <c r="A383" s="1">
        <v>489351</v>
      </c>
      <c r="B383" s="1">
        <v>7615007542</v>
      </c>
      <c r="C383" s="1">
        <v>12</v>
      </c>
      <c r="D383" s="1" t="s">
        <v>546</v>
      </c>
      <c r="E383" t="s">
        <v>902</v>
      </c>
      <c r="F383" s="1">
        <v>164467</v>
      </c>
      <c r="G383" s="1">
        <v>2700048648</v>
      </c>
      <c r="H383" s="1">
        <v>12</v>
      </c>
      <c r="I383" s="1" t="s">
        <v>630</v>
      </c>
      <c r="J383" t="s">
        <v>952</v>
      </c>
    </row>
    <row r="384" spans="1:10">
      <c r="A384" s="1">
        <v>451674</v>
      </c>
      <c r="B384" s="1">
        <v>7615009040</v>
      </c>
      <c r="C384" s="1">
        <v>12</v>
      </c>
      <c r="D384" s="1" t="s">
        <v>517</v>
      </c>
      <c r="E384" t="s">
        <v>903</v>
      </c>
      <c r="F384" s="1">
        <v>166058</v>
      </c>
      <c r="G384" s="1">
        <v>2700048223</v>
      </c>
      <c r="H384" s="1">
        <v>12</v>
      </c>
      <c r="I384" s="1" t="s">
        <v>630</v>
      </c>
      <c r="J384" t="s">
        <v>953</v>
      </c>
    </row>
    <row r="385" spans="1:10">
      <c r="A385" s="1">
        <v>232876</v>
      </c>
      <c r="B385" s="1">
        <v>2389642066</v>
      </c>
      <c r="C385" s="1">
        <v>6</v>
      </c>
      <c r="D385" s="1" t="s">
        <v>904</v>
      </c>
      <c r="E385" t="s">
        <v>905</v>
      </c>
      <c r="F385" s="1">
        <v>164491</v>
      </c>
      <c r="G385" s="1">
        <v>2700048645</v>
      </c>
      <c r="H385" s="1">
        <v>6</v>
      </c>
      <c r="I385" s="1" t="s">
        <v>954</v>
      </c>
      <c r="J385" t="s">
        <v>955</v>
      </c>
    </row>
    <row r="386" spans="1:10">
      <c r="A386" s="1">
        <v>163998</v>
      </c>
      <c r="B386" s="1">
        <v>6414415050</v>
      </c>
      <c r="C386" s="1">
        <v>24</v>
      </c>
      <c r="D386" s="1" t="s">
        <v>106</v>
      </c>
      <c r="E386" t="s">
        <v>906</v>
      </c>
      <c r="F386" s="1">
        <v>166173</v>
      </c>
      <c r="G386" s="1">
        <v>2700048288</v>
      </c>
      <c r="H386" s="1">
        <v>12</v>
      </c>
      <c r="I386" s="1" t="s">
        <v>498</v>
      </c>
      <c r="J386" t="s">
        <v>956</v>
      </c>
    </row>
    <row r="387" spans="1:10">
      <c r="A387" s="1">
        <v>762989</v>
      </c>
      <c r="B387" s="1">
        <v>2819000847</v>
      </c>
      <c r="C387" s="1">
        <v>12</v>
      </c>
      <c r="D387" s="1" t="s">
        <v>489</v>
      </c>
      <c r="E387" t="s">
        <v>907</v>
      </c>
      <c r="F387" s="1">
        <v>486910</v>
      </c>
      <c r="G387" s="1">
        <v>2700048078</v>
      </c>
      <c r="H387" s="1">
        <v>6</v>
      </c>
      <c r="I387" s="1" t="s">
        <v>347</v>
      </c>
      <c r="J387" t="s">
        <v>957</v>
      </c>
    </row>
    <row r="388" spans="1:10">
      <c r="A388" s="1">
        <v>164657</v>
      </c>
      <c r="B388" s="1">
        <v>2819000729</v>
      </c>
      <c r="C388" s="1">
        <v>6</v>
      </c>
      <c r="D388" s="1" t="s">
        <v>908</v>
      </c>
      <c r="E388" t="s">
        <v>909</v>
      </c>
      <c r="F388" s="1">
        <v>524462</v>
      </c>
      <c r="G388" s="1">
        <v>2700048198</v>
      </c>
      <c r="H388" s="1">
        <v>12</v>
      </c>
      <c r="I388" s="1" t="s">
        <v>958</v>
      </c>
      <c r="J388" t="s">
        <v>959</v>
      </c>
    </row>
    <row r="389" spans="1:10">
      <c r="A389" s="1">
        <v>548859</v>
      </c>
      <c r="B389" s="1">
        <v>2819000160</v>
      </c>
      <c r="C389" s="1">
        <v>6</v>
      </c>
      <c r="D389" s="1" t="s">
        <v>910</v>
      </c>
      <c r="E389" t="s">
        <v>911</v>
      </c>
      <c r="F389" s="1">
        <v>165688</v>
      </c>
      <c r="G389" s="1">
        <v>2700048391</v>
      </c>
      <c r="H389" s="1">
        <v>12</v>
      </c>
      <c r="I389" s="1" t="s">
        <v>925</v>
      </c>
      <c r="J389" t="s">
        <v>960</v>
      </c>
    </row>
    <row r="390" spans="1:10">
      <c r="A390" s="1">
        <v>548867</v>
      </c>
      <c r="B390" s="1">
        <v>2819000111</v>
      </c>
      <c r="C390" s="1">
        <v>6</v>
      </c>
      <c r="D390" s="1" t="s">
        <v>347</v>
      </c>
      <c r="E390" t="s">
        <v>912</v>
      </c>
      <c r="F390" s="1">
        <v>166322</v>
      </c>
      <c r="G390" s="1">
        <v>2700048402</v>
      </c>
      <c r="H390" s="1">
        <v>12</v>
      </c>
      <c r="I390" s="1" t="s">
        <v>925</v>
      </c>
      <c r="J390" t="s">
        <v>961</v>
      </c>
    </row>
    <row r="391" spans="1:10">
      <c r="A391" s="1">
        <v>164285</v>
      </c>
      <c r="B391" s="1">
        <v>2819000781</v>
      </c>
      <c r="C391" s="1">
        <v>12</v>
      </c>
      <c r="D391" s="1" t="s">
        <v>546</v>
      </c>
      <c r="E391" t="s">
        <v>913</v>
      </c>
      <c r="F391" s="1">
        <v>166249</v>
      </c>
      <c r="G391" s="1">
        <v>2700048414</v>
      </c>
      <c r="H391" s="1">
        <v>6</v>
      </c>
      <c r="I391" s="1" t="s">
        <v>908</v>
      </c>
      <c r="J391" t="s">
        <v>962</v>
      </c>
    </row>
    <row r="392" spans="1:10">
      <c r="A392" s="1">
        <v>164632</v>
      </c>
      <c r="B392" s="1">
        <v>2819000787</v>
      </c>
      <c r="C392" s="1">
        <v>12</v>
      </c>
      <c r="D392" s="1" t="s">
        <v>370</v>
      </c>
      <c r="E392" t="s">
        <v>914</v>
      </c>
      <c r="F392" s="1">
        <v>177584</v>
      </c>
      <c r="G392" s="1">
        <v>2700048089</v>
      </c>
      <c r="H392" s="1">
        <v>6</v>
      </c>
      <c r="I392" s="1" t="s">
        <v>963</v>
      </c>
      <c r="J392" t="s">
        <v>964</v>
      </c>
    </row>
    <row r="393" spans="1:10">
      <c r="A393" s="1">
        <v>165274</v>
      </c>
      <c r="B393" s="1">
        <v>2819000244</v>
      </c>
      <c r="C393" s="1">
        <v>12</v>
      </c>
      <c r="D393" s="1" t="s">
        <v>375</v>
      </c>
      <c r="E393" t="s">
        <v>915</v>
      </c>
      <c r="F393" s="1">
        <v>207225</v>
      </c>
      <c r="G393" s="1">
        <v>2389629158</v>
      </c>
      <c r="H393" s="1">
        <v>12</v>
      </c>
      <c r="I393" s="1" t="s">
        <v>370</v>
      </c>
      <c r="J393" t="s">
        <v>965</v>
      </c>
    </row>
    <row r="394" spans="1:10">
      <c r="A394" s="1">
        <v>165043</v>
      </c>
      <c r="B394" s="1">
        <v>2819000257</v>
      </c>
      <c r="C394" s="1">
        <v>12</v>
      </c>
      <c r="D394" s="1" t="s">
        <v>375</v>
      </c>
      <c r="E394" t="s">
        <v>916</v>
      </c>
      <c r="F394" s="1">
        <v>663690</v>
      </c>
      <c r="G394" s="1">
        <v>2389619697</v>
      </c>
      <c r="H394" s="1">
        <v>6</v>
      </c>
      <c r="I394" s="1" t="s">
        <v>904</v>
      </c>
      <c r="J394" t="s">
        <v>966</v>
      </c>
    </row>
    <row r="395" spans="1:10">
      <c r="A395" s="1">
        <v>164640</v>
      </c>
      <c r="B395" s="1">
        <v>2819000759</v>
      </c>
      <c r="C395" s="1">
        <v>12</v>
      </c>
      <c r="D395" s="1" t="s">
        <v>370</v>
      </c>
      <c r="E395" t="s">
        <v>917</v>
      </c>
      <c r="F395" s="1">
        <v>164129</v>
      </c>
      <c r="G395" s="1">
        <v>2389645170</v>
      </c>
      <c r="H395" s="1">
        <v>12</v>
      </c>
      <c r="I395" s="1" t="s">
        <v>546</v>
      </c>
      <c r="J395" t="s">
        <v>967</v>
      </c>
    </row>
    <row r="396" spans="1:10">
      <c r="A396" s="1">
        <v>490292</v>
      </c>
      <c r="B396" s="1">
        <v>2700048079</v>
      </c>
      <c r="C396" s="1">
        <v>6</v>
      </c>
      <c r="D396" s="1" t="s">
        <v>910</v>
      </c>
      <c r="E396" t="s">
        <v>918</v>
      </c>
      <c r="F396" s="1">
        <v>164038</v>
      </c>
      <c r="G396" s="1">
        <v>2389645180</v>
      </c>
      <c r="H396" s="1">
        <v>8</v>
      </c>
      <c r="I396" s="1" t="s">
        <v>632</v>
      </c>
      <c r="J396" t="s">
        <v>968</v>
      </c>
    </row>
    <row r="397" spans="1:10">
      <c r="A397" s="1">
        <v>490235</v>
      </c>
      <c r="B397" s="1">
        <v>2700048076</v>
      </c>
      <c r="C397" s="1">
        <v>6</v>
      </c>
      <c r="D397" s="1" t="s">
        <v>347</v>
      </c>
      <c r="E397" t="s">
        <v>919</v>
      </c>
      <c r="F397" s="1">
        <v>893941</v>
      </c>
      <c r="G397" s="1">
        <v>2389615585</v>
      </c>
      <c r="H397" s="1">
        <v>12</v>
      </c>
      <c r="I397" s="1" t="s">
        <v>496</v>
      </c>
      <c r="J397" t="s">
        <v>969</v>
      </c>
    </row>
    <row r="398" spans="1:10">
      <c r="A398" s="1">
        <v>317339</v>
      </c>
      <c r="B398" s="1">
        <v>2700048207</v>
      </c>
      <c r="C398" s="1">
        <v>12</v>
      </c>
      <c r="D398" s="1" t="s">
        <v>920</v>
      </c>
      <c r="E398" t="s">
        <v>921</v>
      </c>
      <c r="F398" s="1">
        <v>837666</v>
      </c>
      <c r="G398" s="1">
        <v>2389615586</v>
      </c>
      <c r="H398" s="1">
        <v>6</v>
      </c>
      <c r="I398" s="1" t="s">
        <v>830</v>
      </c>
      <c r="J398" t="s">
        <v>970</v>
      </c>
    </row>
    <row r="399" spans="1:10">
      <c r="A399" s="1">
        <v>486894</v>
      </c>
      <c r="B399" s="1">
        <v>2700048292</v>
      </c>
      <c r="C399" s="1">
        <v>6</v>
      </c>
      <c r="D399" s="1" t="s">
        <v>910</v>
      </c>
      <c r="E399" t="s">
        <v>922</v>
      </c>
      <c r="F399" s="1">
        <v>99689</v>
      </c>
      <c r="G399" s="1">
        <v>2389613890</v>
      </c>
      <c r="H399" s="1">
        <v>8</v>
      </c>
      <c r="I399" s="1" t="s">
        <v>971</v>
      </c>
      <c r="J399" t="s">
        <v>972</v>
      </c>
    </row>
    <row r="400" spans="1:10">
      <c r="A400" s="1">
        <v>164244</v>
      </c>
      <c r="B400" s="1">
        <v>2700048539</v>
      </c>
      <c r="C400" s="1">
        <v>12</v>
      </c>
      <c r="D400" s="1" t="s">
        <v>923</v>
      </c>
      <c r="E400" t="s">
        <v>924</v>
      </c>
      <c r="F400" s="1">
        <v>312363</v>
      </c>
      <c r="G400" s="1">
        <v>2389626633</v>
      </c>
      <c r="H400" s="1">
        <v>6</v>
      </c>
      <c r="I400" s="1" t="s">
        <v>706</v>
      </c>
      <c r="J400" t="s">
        <v>973</v>
      </c>
    </row>
    <row r="401" spans="1:10">
      <c r="A401" s="1">
        <v>165654</v>
      </c>
      <c r="B401" s="1">
        <v>2700048393</v>
      </c>
      <c r="C401" s="1">
        <v>12</v>
      </c>
      <c r="D401" s="1" t="s">
        <v>925</v>
      </c>
      <c r="E401" t="s">
        <v>926</v>
      </c>
      <c r="F401" s="1">
        <v>164368</v>
      </c>
      <c r="G401" s="1">
        <v>2389624690</v>
      </c>
      <c r="H401" s="1">
        <v>8</v>
      </c>
      <c r="I401" s="1" t="s">
        <v>908</v>
      </c>
      <c r="J401" t="s">
        <v>974</v>
      </c>
    </row>
    <row r="402" spans="1:10">
      <c r="A402" s="1">
        <v>166140</v>
      </c>
      <c r="B402" s="1">
        <v>2700048200</v>
      </c>
      <c r="C402" s="1">
        <v>12</v>
      </c>
      <c r="D402" s="1" t="s">
        <v>927</v>
      </c>
      <c r="E402" t="s">
        <v>928</v>
      </c>
      <c r="F402" s="1">
        <v>164202</v>
      </c>
      <c r="G402" s="1">
        <v>2389624680</v>
      </c>
      <c r="H402" s="1">
        <v>12</v>
      </c>
      <c r="I402" s="1" t="s">
        <v>370</v>
      </c>
      <c r="J402" t="s">
        <v>975</v>
      </c>
    </row>
    <row r="403" spans="1:10">
      <c r="A403" s="1">
        <v>166116</v>
      </c>
      <c r="B403" s="1">
        <v>2700048289</v>
      </c>
      <c r="C403" s="1">
        <v>12</v>
      </c>
      <c r="D403" s="1" t="s">
        <v>404</v>
      </c>
      <c r="E403" t="s">
        <v>929</v>
      </c>
      <c r="F403" s="1">
        <v>314682</v>
      </c>
      <c r="G403" s="1">
        <v>2389622750</v>
      </c>
      <c r="H403" s="1">
        <v>6</v>
      </c>
      <c r="I403" s="1" t="s">
        <v>706</v>
      </c>
      <c r="J403" t="s">
        <v>976</v>
      </c>
    </row>
    <row r="404" spans="1:10">
      <c r="A404" s="1">
        <v>252650</v>
      </c>
      <c r="B404" s="1">
        <v>2700048606</v>
      </c>
      <c r="C404" s="1">
        <v>12</v>
      </c>
      <c r="D404" s="1" t="s">
        <v>925</v>
      </c>
      <c r="E404" t="s">
        <v>930</v>
      </c>
      <c r="F404" s="1">
        <v>164046</v>
      </c>
      <c r="G404" s="1">
        <v>2389657700</v>
      </c>
      <c r="H404" s="1">
        <v>8</v>
      </c>
      <c r="I404" s="1" t="s">
        <v>908</v>
      </c>
      <c r="J404" t="s">
        <v>977</v>
      </c>
    </row>
    <row r="405" spans="1:10">
      <c r="A405" s="1">
        <v>165407</v>
      </c>
      <c r="B405" s="1">
        <v>2700048403</v>
      </c>
      <c r="C405" s="1">
        <v>12</v>
      </c>
      <c r="D405" s="1" t="s">
        <v>925</v>
      </c>
      <c r="E405" t="s">
        <v>931</v>
      </c>
      <c r="F405" s="1">
        <v>572727</v>
      </c>
      <c r="G405" s="1">
        <v>2389652920</v>
      </c>
      <c r="H405" s="1">
        <v>6</v>
      </c>
      <c r="I405" s="1" t="s">
        <v>706</v>
      </c>
      <c r="J405" t="s">
        <v>978</v>
      </c>
    </row>
    <row r="406" spans="1:10">
      <c r="A406" s="1">
        <v>164178</v>
      </c>
      <c r="B406" s="1">
        <v>2700048855</v>
      </c>
      <c r="C406" s="1">
        <v>12</v>
      </c>
      <c r="D406" s="1" t="s">
        <v>925</v>
      </c>
      <c r="E406" t="s">
        <v>932</v>
      </c>
      <c r="F406" s="1">
        <v>164004</v>
      </c>
      <c r="G406" s="1">
        <v>2389657690</v>
      </c>
      <c r="H406" s="1">
        <v>12</v>
      </c>
      <c r="I406" s="1" t="s">
        <v>370</v>
      </c>
      <c r="J406" t="s">
        <v>979</v>
      </c>
    </row>
    <row r="407" spans="1:10">
      <c r="A407" s="1">
        <v>164186</v>
      </c>
      <c r="B407" s="1">
        <v>2700048856</v>
      </c>
      <c r="C407" s="1">
        <v>12</v>
      </c>
      <c r="D407" s="1" t="s">
        <v>925</v>
      </c>
      <c r="E407" t="s">
        <v>933</v>
      </c>
      <c r="F407" s="1">
        <v>164301</v>
      </c>
      <c r="G407" s="1">
        <v>1600049990</v>
      </c>
      <c r="H407" s="1">
        <v>12</v>
      </c>
      <c r="I407" s="1" t="s">
        <v>370</v>
      </c>
      <c r="J407" t="s">
        <v>980</v>
      </c>
    </row>
    <row r="408" spans="1:10">
      <c r="A408" s="1">
        <v>844548</v>
      </c>
      <c r="B408" s="1">
        <v>2700048363</v>
      </c>
      <c r="C408" s="1">
        <v>12</v>
      </c>
      <c r="D408" s="1" t="s">
        <v>192</v>
      </c>
      <c r="E408" t="s">
        <v>934</v>
      </c>
      <c r="F408" s="1">
        <v>266650</v>
      </c>
      <c r="G408" s="1">
        <v>2389616670</v>
      </c>
      <c r="H408" s="1">
        <v>12</v>
      </c>
      <c r="I408" s="1" t="s">
        <v>370</v>
      </c>
      <c r="J408" t="s">
        <v>981</v>
      </c>
    </row>
    <row r="409" spans="1:10">
      <c r="A409" s="1">
        <v>689570</v>
      </c>
      <c r="B409" s="1">
        <v>2700048372</v>
      </c>
      <c r="C409" s="1">
        <v>12</v>
      </c>
      <c r="D409" s="1" t="s">
        <v>925</v>
      </c>
      <c r="E409" t="s">
        <v>935</v>
      </c>
      <c r="F409" s="1">
        <v>163741</v>
      </c>
      <c r="G409" s="1">
        <v>1116616374</v>
      </c>
      <c r="H409" s="1">
        <v>8</v>
      </c>
      <c r="I409" s="1" t="s">
        <v>908</v>
      </c>
      <c r="J409" t="s">
        <v>982</v>
      </c>
    </row>
    <row r="410" spans="1:10">
      <c r="A410" s="1">
        <v>164442</v>
      </c>
      <c r="B410" s="1">
        <v>2700048596</v>
      </c>
      <c r="C410" s="1">
        <v>12</v>
      </c>
      <c r="D410" s="1" t="s">
        <v>630</v>
      </c>
      <c r="E410" t="s">
        <v>936</v>
      </c>
      <c r="F410" s="1">
        <v>163907</v>
      </c>
      <c r="G410" s="1">
        <v>1116616390</v>
      </c>
      <c r="H410" s="1">
        <v>12</v>
      </c>
      <c r="I410" s="1" t="s">
        <v>370</v>
      </c>
      <c r="J410" t="s">
        <v>983</v>
      </c>
    </row>
    <row r="411" spans="1:10" ht="15.75">
      <c r="A411" s="4" t="s">
        <v>10684</v>
      </c>
      <c r="B411" s="2"/>
      <c r="C411" s="2"/>
      <c r="D411" s="2"/>
      <c r="E411" s="3"/>
      <c r="F411" s="4" t="s">
        <v>10686</v>
      </c>
      <c r="G411" s="2"/>
      <c r="H411" s="2"/>
      <c r="I411" s="2"/>
      <c r="J411" s="3"/>
    </row>
    <row r="412" spans="1:10">
      <c r="A412" s="2" t="s">
        <v>0</v>
      </c>
      <c r="B412" s="2" t="s">
        <v>1</v>
      </c>
      <c r="C412" s="2" t="s">
        <v>2</v>
      </c>
      <c r="D412" s="2" t="s">
        <v>3</v>
      </c>
      <c r="E412" s="3" t="s">
        <v>4</v>
      </c>
      <c r="F412" s="2" t="s">
        <v>0</v>
      </c>
      <c r="G412" s="2" t="s">
        <v>1</v>
      </c>
      <c r="H412" s="2" t="s">
        <v>2</v>
      </c>
      <c r="I412" s="2" t="s">
        <v>3</v>
      </c>
      <c r="J412" s="3" t="s">
        <v>4</v>
      </c>
    </row>
    <row r="413" spans="1:10">
      <c r="A413" s="1">
        <v>163840</v>
      </c>
      <c r="B413" s="1">
        <v>1116616384</v>
      </c>
      <c r="C413" s="1">
        <v>12</v>
      </c>
      <c r="D413" s="1" t="s">
        <v>546</v>
      </c>
      <c r="E413" t="s">
        <v>984</v>
      </c>
      <c r="F413" s="1">
        <v>421966</v>
      </c>
      <c r="G413" s="1">
        <v>4113038612</v>
      </c>
      <c r="H413" s="1">
        <v>12</v>
      </c>
      <c r="I413" s="1" t="s">
        <v>589</v>
      </c>
      <c r="J413" t="s">
        <v>1021</v>
      </c>
    </row>
    <row r="414" spans="1:10">
      <c r="A414" s="1">
        <v>164988</v>
      </c>
      <c r="B414" s="1">
        <v>1116616498</v>
      </c>
      <c r="C414" s="1">
        <v>8</v>
      </c>
      <c r="D414" s="1" t="s">
        <v>908</v>
      </c>
      <c r="E414" t="s">
        <v>985</v>
      </c>
      <c r="F414" s="1">
        <v>753061</v>
      </c>
      <c r="G414" s="1">
        <v>4113038613</v>
      </c>
      <c r="H414" s="1">
        <v>12</v>
      </c>
      <c r="I414" s="1" t="s">
        <v>589</v>
      </c>
      <c r="J414" t="s">
        <v>1022</v>
      </c>
    </row>
    <row r="415" spans="1:10">
      <c r="A415" s="1">
        <v>163758</v>
      </c>
      <c r="B415" s="1">
        <v>1116616375</v>
      </c>
      <c r="C415" s="1">
        <v>8</v>
      </c>
      <c r="D415" s="1" t="s">
        <v>632</v>
      </c>
      <c r="E415" t="s">
        <v>986</v>
      </c>
      <c r="F415" s="1">
        <v>445452</v>
      </c>
      <c r="G415" s="1">
        <v>4113038615</v>
      </c>
      <c r="H415" s="1">
        <v>12</v>
      </c>
      <c r="I415" s="1" t="s">
        <v>399</v>
      </c>
      <c r="J415" t="s">
        <v>1023</v>
      </c>
    </row>
    <row r="416" spans="1:10">
      <c r="A416" s="1">
        <v>163832</v>
      </c>
      <c r="B416" s="1">
        <v>1116616383</v>
      </c>
      <c r="C416" s="1">
        <v>12</v>
      </c>
      <c r="D416" s="1" t="s">
        <v>546</v>
      </c>
      <c r="E416" t="s">
        <v>987</v>
      </c>
      <c r="F416" s="1">
        <v>533307</v>
      </c>
      <c r="G416" s="1">
        <v>4113038616</v>
      </c>
      <c r="H416" s="1">
        <v>12</v>
      </c>
      <c r="I416" s="1" t="s">
        <v>399</v>
      </c>
      <c r="J416" t="s">
        <v>1024</v>
      </c>
    </row>
    <row r="417" spans="1:10">
      <c r="A417" s="1">
        <v>164905</v>
      </c>
      <c r="B417" s="1">
        <v>1116616490</v>
      </c>
      <c r="C417" s="1">
        <v>12</v>
      </c>
      <c r="D417" s="1" t="s">
        <v>370</v>
      </c>
      <c r="E417" t="s">
        <v>988</v>
      </c>
      <c r="F417" s="1">
        <v>763722</v>
      </c>
      <c r="G417" s="1">
        <v>4113038614</v>
      </c>
      <c r="H417" s="1">
        <v>12</v>
      </c>
      <c r="I417" s="1" t="s">
        <v>399</v>
      </c>
      <c r="J417" t="s">
        <v>1025</v>
      </c>
    </row>
    <row r="418" spans="1:10">
      <c r="A418" s="1">
        <v>164277</v>
      </c>
      <c r="B418" s="1">
        <v>1116616427</v>
      </c>
      <c r="C418" s="1">
        <v>8</v>
      </c>
      <c r="D418" s="1" t="s">
        <v>908</v>
      </c>
      <c r="E418" t="s">
        <v>989</v>
      </c>
      <c r="F418" s="1">
        <v>317537</v>
      </c>
      <c r="G418" s="1">
        <v>3400082811</v>
      </c>
      <c r="H418" s="1">
        <v>12</v>
      </c>
      <c r="I418" s="1" t="s">
        <v>546</v>
      </c>
      <c r="J418" t="s">
        <v>1026</v>
      </c>
    </row>
    <row r="419" spans="1:10">
      <c r="A419" s="1">
        <v>163915</v>
      </c>
      <c r="B419" s="1">
        <v>1116616391</v>
      </c>
      <c r="C419" s="1">
        <v>12</v>
      </c>
      <c r="D419" s="1" t="s">
        <v>370</v>
      </c>
      <c r="E419" t="s">
        <v>990</v>
      </c>
      <c r="F419" s="1">
        <v>435560</v>
      </c>
      <c r="G419" s="1">
        <v>3400082051</v>
      </c>
      <c r="H419" s="1">
        <v>12</v>
      </c>
      <c r="I419" s="1" t="s">
        <v>546</v>
      </c>
      <c r="J419" t="s">
        <v>1027</v>
      </c>
    </row>
    <row r="420" spans="1:10">
      <c r="A420" s="1">
        <v>163931</v>
      </c>
      <c r="B420" s="1">
        <v>1116616393</v>
      </c>
      <c r="C420" s="1">
        <v>12</v>
      </c>
      <c r="D420" s="1" t="s">
        <v>860</v>
      </c>
      <c r="E420" t="s">
        <v>991</v>
      </c>
      <c r="F420" s="1">
        <v>224428</v>
      </c>
      <c r="G420" s="1">
        <v>88477850651</v>
      </c>
      <c r="H420" s="1">
        <v>12</v>
      </c>
      <c r="I420" s="1" t="s">
        <v>434</v>
      </c>
      <c r="J420" t="s">
        <v>1028</v>
      </c>
    </row>
    <row r="421" spans="1:10">
      <c r="A421" s="1">
        <v>535559</v>
      </c>
      <c r="B421" s="1">
        <v>3377606350</v>
      </c>
      <c r="C421" s="1">
        <v>10</v>
      </c>
      <c r="D421" s="1" t="s">
        <v>347</v>
      </c>
      <c r="E421" t="s">
        <v>992</v>
      </c>
      <c r="F421" s="1">
        <v>224436</v>
      </c>
      <c r="G421" s="1">
        <v>88477850652</v>
      </c>
      <c r="H421" s="1">
        <v>12</v>
      </c>
      <c r="I421" s="1" t="s">
        <v>432</v>
      </c>
      <c r="J421" t="s">
        <v>1029</v>
      </c>
    </row>
    <row r="422" spans="1:10">
      <c r="A422" s="1">
        <v>588376</v>
      </c>
      <c r="B422" s="1">
        <v>3377606380</v>
      </c>
      <c r="C422" s="1">
        <v>10</v>
      </c>
      <c r="D422" s="1" t="s">
        <v>347</v>
      </c>
      <c r="E422" t="s">
        <v>993</v>
      </c>
      <c r="F422" s="1">
        <v>224360</v>
      </c>
      <c r="G422" s="1">
        <v>88477850650</v>
      </c>
      <c r="H422" s="1">
        <v>12</v>
      </c>
      <c r="I422" s="1" t="s">
        <v>434</v>
      </c>
      <c r="J422" t="s">
        <v>1030</v>
      </c>
    </row>
    <row r="423" spans="1:10" ht="15.75">
      <c r="A423" s="4" t="s">
        <v>10685</v>
      </c>
      <c r="B423" s="2"/>
      <c r="C423" s="2"/>
      <c r="D423" s="2"/>
      <c r="E423" s="3"/>
      <c r="F423" s="1">
        <v>224352</v>
      </c>
      <c r="G423" s="1">
        <v>88477850653</v>
      </c>
      <c r="H423" s="1">
        <v>12</v>
      </c>
      <c r="I423" s="1" t="s">
        <v>546</v>
      </c>
      <c r="J423" t="s">
        <v>1031</v>
      </c>
    </row>
    <row r="424" spans="1:10">
      <c r="A424" s="2" t="s">
        <v>0</v>
      </c>
      <c r="B424" s="2" t="s">
        <v>1</v>
      </c>
      <c r="C424" s="2" t="s">
        <v>2</v>
      </c>
      <c r="D424" s="2" t="s">
        <v>3</v>
      </c>
      <c r="E424" s="3" t="s">
        <v>4</v>
      </c>
      <c r="F424" s="1">
        <v>679902</v>
      </c>
      <c r="G424" s="1">
        <v>4400002290</v>
      </c>
      <c r="H424" s="1">
        <v>12</v>
      </c>
      <c r="I424" s="1" t="s">
        <v>347</v>
      </c>
      <c r="J424" t="s">
        <v>1032</v>
      </c>
    </row>
    <row r="425" spans="1:10">
      <c r="A425" s="1">
        <v>52571</v>
      </c>
      <c r="B425" s="1">
        <v>6414410070</v>
      </c>
      <c r="C425" s="1">
        <v>12</v>
      </c>
      <c r="D425" s="1" t="s">
        <v>347</v>
      </c>
      <c r="E425" t="s">
        <v>994</v>
      </c>
      <c r="F425" s="1">
        <v>9852</v>
      </c>
      <c r="G425" s="1">
        <v>4400002295</v>
      </c>
      <c r="H425" s="1">
        <v>12</v>
      </c>
      <c r="I425" s="1" t="s">
        <v>347</v>
      </c>
      <c r="J425" t="s">
        <v>1033</v>
      </c>
    </row>
    <row r="426" spans="1:10">
      <c r="A426" s="1">
        <v>52621</v>
      </c>
      <c r="B426" s="1">
        <v>6414410080</v>
      </c>
      <c r="C426" s="1">
        <v>12</v>
      </c>
      <c r="D426" s="1" t="s">
        <v>347</v>
      </c>
      <c r="E426" t="s">
        <v>995</v>
      </c>
      <c r="F426" s="1">
        <v>143164</v>
      </c>
      <c r="G426" s="1">
        <v>4400002293</v>
      </c>
      <c r="H426" s="1">
        <v>12</v>
      </c>
      <c r="I426" s="1" t="s">
        <v>347</v>
      </c>
      <c r="J426" t="s">
        <v>1034</v>
      </c>
    </row>
    <row r="427" spans="1:10">
      <c r="A427" s="1">
        <v>52597</v>
      </c>
      <c r="B427" s="1">
        <v>6414410730</v>
      </c>
      <c r="C427" s="1">
        <v>12</v>
      </c>
      <c r="D427" s="1" t="s">
        <v>397</v>
      </c>
      <c r="E427" t="s">
        <v>995</v>
      </c>
      <c r="F427" s="1">
        <v>669101</v>
      </c>
      <c r="G427" s="1">
        <v>4400002294</v>
      </c>
      <c r="H427" s="1">
        <v>12</v>
      </c>
      <c r="I427" s="1" t="s">
        <v>347</v>
      </c>
      <c r="J427" t="s">
        <v>1035</v>
      </c>
    </row>
    <row r="428" spans="1:10">
      <c r="A428" s="1">
        <v>52555</v>
      </c>
      <c r="B428" s="1">
        <v>6414410690</v>
      </c>
      <c r="C428" s="1">
        <v>12</v>
      </c>
      <c r="D428" s="1" t="s">
        <v>397</v>
      </c>
      <c r="E428" t="s">
        <v>996</v>
      </c>
      <c r="F428" s="1">
        <v>199711</v>
      </c>
      <c r="G428" s="1">
        <v>4400000752</v>
      </c>
      <c r="H428" s="1">
        <v>12</v>
      </c>
      <c r="I428" s="1" t="s">
        <v>404</v>
      </c>
      <c r="J428" t="s">
        <v>1036</v>
      </c>
    </row>
    <row r="429" spans="1:10">
      <c r="A429" s="1">
        <v>80515</v>
      </c>
      <c r="B429" s="1">
        <v>6414410971</v>
      </c>
      <c r="C429" s="1">
        <v>12</v>
      </c>
      <c r="D429" s="1" t="s">
        <v>347</v>
      </c>
      <c r="E429" t="s">
        <v>997</v>
      </c>
      <c r="F429" s="1">
        <v>385005</v>
      </c>
      <c r="G429" s="1">
        <v>4400001796</v>
      </c>
      <c r="H429" s="1">
        <v>12</v>
      </c>
      <c r="I429" s="1" t="s">
        <v>1037</v>
      </c>
      <c r="J429" t="s">
        <v>1038</v>
      </c>
    </row>
    <row r="430" spans="1:10">
      <c r="A430" s="1">
        <v>208728</v>
      </c>
      <c r="B430" s="1">
        <v>6414410974</v>
      </c>
      <c r="C430" s="1">
        <v>12</v>
      </c>
      <c r="D430" s="1" t="s">
        <v>397</v>
      </c>
      <c r="E430" t="s">
        <v>998</v>
      </c>
      <c r="F430" s="1">
        <v>164475</v>
      </c>
      <c r="G430" s="1">
        <v>4400002260</v>
      </c>
      <c r="H430" s="1">
        <v>12</v>
      </c>
      <c r="I430" s="1" t="s">
        <v>394</v>
      </c>
      <c r="J430" t="s">
        <v>1039</v>
      </c>
    </row>
    <row r="431" spans="1:10">
      <c r="A431" s="1">
        <v>206987</v>
      </c>
      <c r="B431" s="1">
        <v>75491808166</v>
      </c>
      <c r="C431" s="1">
        <v>12</v>
      </c>
      <c r="D431" s="1" t="s">
        <v>365</v>
      </c>
      <c r="E431" t="s">
        <v>999</v>
      </c>
      <c r="F431" s="1">
        <v>247841</v>
      </c>
      <c r="G431" s="1">
        <v>4400002262</v>
      </c>
      <c r="H431" s="1">
        <v>12</v>
      </c>
      <c r="I431" s="1" t="s">
        <v>394</v>
      </c>
      <c r="J431" t="s">
        <v>1040</v>
      </c>
    </row>
    <row r="432" spans="1:10">
      <c r="A432" s="1">
        <v>270694</v>
      </c>
      <c r="B432" s="1">
        <v>75491808102</v>
      </c>
      <c r="C432" s="1">
        <v>12</v>
      </c>
      <c r="D432" s="1" t="s">
        <v>365</v>
      </c>
      <c r="E432" t="s">
        <v>1000</v>
      </c>
      <c r="F432" s="1">
        <v>27748</v>
      </c>
      <c r="G432" s="1">
        <v>4400088796</v>
      </c>
      <c r="H432" s="1">
        <v>4</v>
      </c>
      <c r="I432" s="1" t="s">
        <v>910</v>
      </c>
      <c r="J432" t="s">
        <v>1041</v>
      </c>
    </row>
    <row r="433" spans="1:10" ht="15.75">
      <c r="A433" s="4" t="s">
        <v>10686</v>
      </c>
      <c r="B433" s="2"/>
      <c r="C433" s="2"/>
      <c r="D433" s="2"/>
      <c r="E433" s="3"/>
      <c r="F433" s="1">
        <v>373340</v>
      </c>
      <c r="G433" s="1">
        <v>4400002225</v>
      </c>
      <c r="H433" s="1">
        <v>6</v>
      </c>
      <c r="I433" s="1" t="s">
        <v>399</v>
      </c>
      <c r="J433" t="s">
        <v>1042</v>
      </c>
    </row>
    <row r="434" spans="1:10">
      <c r="A434" s="2" t="s">
        <v>0</v>
      </c>
      <c r="B434" s="2" t="s">
        <v>1</v>
      </c>
      <c r="C434" s="2" t="s">
        <v>2</v>
      </c>
      <c r="D434" s="2" t="s">
        <v>3</v>
      </c>
      <c r="E434" s="3" t="s">
        <v>4</v>
      </c>
      <c r="F434" s="1">
        <v>213041</v>
      </c>
      <c r="G434" s="1">
        <v>4400002224</v>
      </c>
      <c r="H434" s="1">
        <v>6</v>
      </c>
      <c r="I434" s="1" t="s">
        <v>399</v>
      </c>
      <c r="J434" t="s">
        <v>1043</v>
      </c>
    </row>
    <row r="435" spans="1:10">
      <c r="A435" s="1">
        <v>842823</v>
      </c>
      <c r="B435" s="1">
        <v>7978348805</v>
      </c>
      <c r="C435" s="1">
        <v>12</v>
      </c>
      <c r="D435" s="1" t="s">
        <v>1001</v>
      </c>
      <c r="E435" t="s">
        <v>1002</v>
      </c>
      <c r="F435" s="1">
        <v>130765</v>
      </c>
      <c r="G435" s="1">
        <v>71860414652</v>
      </c>
      <c r="H435" s="1">
        <v>12</v>
      </c>
      <c r="I435" s="1" t="s">
        <v>1044</v>
      </c>
      <c r="J435" t="s">
        <v>1045</v>
      </c>
    </row>
    <row r="436" spans="1:10">
      <c r="A436" s="1">
        <v>319053</v>
      </c>
      <c r="B436" s="1">
        <v>7978348801</v>
      </c>
      <c r="C436" s="1">
        <v>12</v>
      </c>
      <c r="D436" s="1" t="s">
        <v>1001</v>
      </c>
      <c r="E436" t="s">
        <v>1003</v>
      </c>
      <c r="F436" s="1">
        <v>131060</v>
      </c>
      <c r="G436" s="1">
        <v>71860414654</v>
      </c>
      <c r="H436" s="1">
        <v>12</v>
      </c>
      <c r="I436" s="1" t="s">
        <v>1044</v>
      </c>
      <c r="J436" t="s">
        <v>1046</v>
      </c>
    </row>
    <row r="437" spans="1:10">
      <c r="A437" s="1">
        <v>242834</v>
      </c>
      <c r="B437" s="1">
        <v>7978348802</v>
      </c>
      <c r="C437" s="1">
        <v>12</v>
      </c>
      <c r="D437" s="1" t="s">
        <v>1001</v>
      </c>
      <c r="E437" t="s">
        <v>1004</v>
      </c>
      <c r="F437" s="1">
        <v>131193</v>
      </c>
      <c r="G437" s="1">
        <v>71860414651</v>
      </c>
      <c r="H437" s="1">
        <v>12</v>
      </c>
      <c r="I437" s="1" t="s">
        <v>1047</v>
      </c>
      <c r="J437" t="s">
        <v>1048</v>
      </c>
    </row>
    <row r="438" spans="1:10">
      <c r="A438" s="1">
        <v>429928</v>
      </c>
      <c r="B438" s="1">
        <v>7978340921</v>
      </c>
      <c r="C438" s="1">
        <v>24</v>
      </c>
      <c r="D438" s="1" t="s">
        <v>1005</v>
      </c>
      <c r="E438" t="s">
        <v>1006</v>
      </c>
      <c r="F438" s="1">
        <v>19810</v>
      </c>
      <c r="G438" s="1">
        <v>1116601981</v>
      </c>
      <c r="H438" s="1">
        <v>12</v>
      </c>
      <c r="I438" s="1" t="s">
        <v>379</v>
      </c>
      <c r="J438" t="s">
        <v>1049</v>
      </c>
    </row>
    <row r="439" spans="1:10">
      <c r="A439" s="1">
        <v>139691</v>
      </c>
      <c r="B439" s="1">
        <v>7978340922</v>
      </c>
      <c r="C439" s="1">
        <v>24</v>
      </c>
      <c r="D439" s="1" t="s">
        <v>1005</v>
      </c>
      <c r="E439" t="s">
        <v>1007</v>
      </c>
      <c r="F439" s="1">
        <v>18515</v>
      </c>
      <c r="G439" s="1">
        <v>1116601851</v>
      </c>
      <c r="H439" s="1">
        <v>12</v>
      </c>
      <c r="I439" s="1" t="s">
        <v>381</v>
      </c>
      <c r="J439" t="s">
        <v>1050</v>
      </c>
    </row>
    <row r="440" spans="1:10">
      <c r="A440" s="1">
        <v>225805</v>
      </c>
      <c r="B440" s="1">
        <v>4113038601</v>
      </c>
      <c r="C440" s="1">
        <v>6</v>
      </c>
      <c r="D440" s="1" t="s">
        <v>793</v>
      </c>
      <c r="E440" t="s">
        <v>1008</v>
      </c>
      <c r="F440" s="1">
        <v>861732</v>
      </c>
      <c r="G440" s="1">
        <v>1116601407</v>
      </c>
      <c r="H440" s="1">
        <v>12</v>
      </c>
      <c r="I440" s="1" t="s">
        <v>940</v>
      </c>
      <c r="J440" t="s">
        <v>1051</v>
      </c>
    </row>
    <row r="441" spans="1:10">
      <c r="A441" s="1">
        <v>472258</v>
      </c>
      <c r="B441" s="1">
        <v>4113038606</v>
      </c>
      <c r="C441" s="1">
        <v>6</v>
      </c>
      <c r="D441" s="1" t="s">
        <v>630</v>
      </c>
      <c r="E441" t="s">
        <v>1009</v>
      </c>
      <c r="F441" s="1">
        <v>18507</v>
      </c>
      <c r="G441" s="1">
        <v>1116601850</v>
      </c>
      <c r="H441" s="1">
        <v>12</v>
      </c>
      <c r="I441" s="1" t="s">
        <v>910</v>
      </c>
      <c r="J441" t="s">
        <v>1052</v>
      </c>
    </row>
    <row r="442" spans="1:10">
      <c r="A442" s="1">
        <v>566950</v>
      </c>
      <c r="B442" s="1">
        <v>4113038605</v>
      </c>
      <c r="C442" s="1">
        <v>6</v>
      </c>
      <c r="D442" s="1" t="s">
        <v>630</v>
      </c>
      <c r="E442" t="s">
        <v>1010</v>
      </c>
      <c r="F442" s="1">
        <v>19489</v>
      </c>
      <c r="G442" s="1">
        <v>1116601948</v>
      </c>
      <c r="H442" s="1">
        <v>12</v>
      </c>
      <c r="I442" s="1" t="s">
        <v>1053</v>
      </c>
      <c r="J442" t="s">
        <v>1054</v>
      </c>
    </row>
    <row r="443" spans="1:10">
      <c r="A443" s="1">
        <v>470492</v>
      </c>
      <c r="B443" s="1">
        <v>4113038609</v>
      </c>
      <c r="C443" s="1">
        <v>6</v>
      </c>
      <c r="D443" s="1" t="s">
        <v>630</v>
      </c>
      <c r="E443" t="s">
        <v>1011</v>
      </c>
      <c r="F443" s="1">
        <v>898262</v>
      </c>
      <c r="G443" s="1">
        <v>1116601497</v>
      </c>
      <c r="H443" s="1">
        <v>12</v>
      </c>
      <c r="I443" s="1" t="s">
        <v>381</v>
      </c>
      <c r="J443" t="s">
        <v>1055</v>
      </c>
    </row>
    <row r="444" spans="1:10">
      <c r="A444" s="1">
        <v>389585</v>
      </c>
      <c r="B444" s="1">
        <v>4113038602</v>
      </c>
      <c r="C444" s="1">
        <v>6</v>
      </c>
      <c r="D444" s="1" t="s">
        <v>793</v>
      </c>
      <c r="E444" t="s">
        <v>1012</v>
      </c>
      <c r="F444" s="1">
        <v>276170</v>
      </c>
      <c r="G444" s="1">
        <v>1116601507</v>
      </c>
      <c r="H444" s="1">
        <v>12</v>
      </c>
      <c r="I444" s="1" t="s">
        <v>381</v>
      </c>
      <c r="J444" t="s">
        <v>1056</v>
      </c>
    </row>
    <row r="445" spans="1:10">
      <c r="A445" s="1">
        <v>770917</v>
      </c>
      <c r="B445" s="1">
        <v>4113038600</v>
      </c>
      <c r="C445" s="1">
        <v>6</v>
      </c>
      <c r="D445" s="1" t="s">
        <v>793</v>
      </c>
      <c r="E445" t="s">
        <v>1013</v>
      </c>
      <c r="F445" s="1">
        <v>337196</v>
      </c>
      <c r="G445" s="1">
        <v>1116601741</v>
      </c>
      <c r="H445" s="1">
        <v>12</v>
      </c>
      <c r="I445" s="1" t="s">
        <v>489</v>
      </c>
      <c r="J445" t="s">
        <v>1057</v>
      </c>
    </row>
    <row r="446" spans="1:10">
      <c r="A446" s="1">
        <v>629519</v>
      </c>
      <c r="B446" s="1">
        <v>4113038603</v>
      </c>
      <c r="C446" s="1">
        <v>6</v>
      </c>
      <c r="D446" s="1" t="s">
        <v>793</v>
      </c>
      <c r="E446" t="s">
        <v>1014</v>
      </c>
      <c r="F446" s="1">
        <v>592451</v>
      </c>
      <c r="G446" s="1">
        <v>1116601496</v>
      </c>
      <c r="H446" s="1">
        <v>12</v>
      </c>
      <c r="I446" s="1" t="s">
        <v>1058</v>
      </c>
      <c r="J446" t="s">
        <v>1059</v>
      </c>
    </row>
    <row r="447" spans="1:10">
      <c r="A447" s="1">
        <v>154526</v>
      </c>
      <c r="B447" s="1">
        <v>4113038607</v>
      </c>
      <c r="C447" s="1">
        <v>6</v>
      </c>
      <c r="D447" s="1" t="s">
        <v>630</v>
      </c>
      <c r="E447" t="s">
        <v>1015</v>
      </c>
      <c r="F447" s="1">
        <v>283275</v>
      </c>
      <c r="G447" s="1">
        <v>1116601404</v>
      </c>
      <c r="H447" s="1">
        <v>12</v>
      </c>
      <c r="I447" s="1" t="s">
        <v>381</v>
      </c>
      <c r="J447" t="s">
        <v>1060</v>
      </c>
    </row>
    <row r="448" spans="1:10">
      <c r="A448" s="1">
        <v>766881</v>
      </c>
      <c r="B448" s="1">
        <v>4113038608</v>
      </c>
      <c r="C448" s="1">
        <v>6</v>
      </c>
      <c r="D448" s="1" t="s">
        <v>630</v>
      </c>
      <c r="E448" t="s">
        <v>1016</v>
      </c>
      <c r="F448" s="1">
        <v>18499</v>
      </c>
      <c r="G448" s="1">
        <v>1116618014</v>
      </c>
      <c r="H448" s="1">
        <v>12</v>
      </c>
      <c r="I448" s="1" t="s">
        <v>703</v>
      </c>
      <c r="J448" t="s">
        <v>1061</v>
      </c>
    </row>
    <row r="449" spans="1:10">
      <c r="A449" s="1">
        <v>349399</v>
      </c>
      <c r="B449" s="1">
        <v>4113038604</v>
      </c>
      <c r="C449" s="1">
        <v>6</v>
      </c>
      <c r="D449" s="1" t="s">
        <v>793</v>
      </c>
      <c r="E449" t="s">
        <v>1017</v>
      </c>
      <c r="F449" s="1">
        <v>18523</v>
      </c>
      <c r="G449" s="1">
        <v>1116618015</v>
      </c>
      <c r="H449" s="1">
        <v>12</v>
      </c>
      <c r="I449" s="1" t="s">
        <v>742</v>
      </c>
      <c r="J449" t="s">
        <v>1062</v>
      </c>
    </row>
    <row r="450" spans="1:10">
      <c r="A450" s="1">
        <v>363390</v>
      </c>
      <c r="B450" s="1">
        <v>4113038610</v>
      </c>
      <c r="C450" s="1">
        <v>6</v>
      </c>
      <c r="D450" s="1" t="s">
        <v>1018</v>
      </c>
      <c r="E450" t="s">
        <v>1019</v>
      </c>
      <c r="F450" s="1">
        <v>125773</v>
      </c>
      <c r="G450" s="1">
        <v>1116612577</v>
      </c>
      <c r="H450" s="1">
        <v>12</v>
      </c>
      <c r="I450" s="1" t="s">
        <v>381</v>
      </c>
      <c r="J450" t="s">
        <v>1063</v>
      </c>
    </row>
    <row r="451" spans="1:10">
      <c r="A451" s="1">
        <v>768200</v>
      </c>
      <c r="B451" s="1">
        <v>4113038611</v>
      </c>
      <c r="C451" s="1">
        <v>12</v>
      </c>
      <c r="D451" s="1" t="s">
        <v>360</v>
      </c>
      <c r="E451" t="s">
        <v>1020</v>
      </c>
      <c r="F451" s="1">
        <v>19463</v>
      </c>
      <c r="G451" s="1">
        <v>1116601946</v>
      </c>
      <c r="H451" s="1">
        <v>12</v>
      </c>
      <c r="I451" s="1" t="s">
        <v>1053</v>
      </c>
      <c r="J451" t="s">
        <v>1064</v>
      </c>
    </row>
    <row r="452" spans="1:10" ht="15.75">
      <c r="A452" s="4" t="s">
        <v>10686</v>
      </c>
      <c r="B452" s="2"/>
      <c r="C452" s="2"/>
      <c r="D452" s="2"/>
      <c r="E452" s="3"/>
      <c r="F452" s="4" t="s">
        <v>10687</v>
      </c>
      <c r="G452" s="2"/>
      <c r="H452" s="2"/>
      <c r="I452" s="2"/>
      <c r="J452" s="3"/>
    </row>
    <row r="453" spans="1:10">
      <c r="A453" s="2" t="s">
        <v>0</v>
      </c>
      <c r="B453" s="2" t="s">
        <v>1</v>
      </c>
      <c r="C453" s="2" t="s">
        <v>2</v>
      </c>
      <c r="D453" s="2" t="s">
        <v>3</v>
      </c>
      <c r="E453" s="3" t="s">
        <v>4</v>
      </c>
      <c r="F453" s="2" t="s">
        <v>0</v>
      </c>
      <c r="G453" s="2" t="s">
        <v>1</v>
      </c>
      <c r="H453" s="2" t="s">
        <v>2</v>
      </c>
      <c r="I453" s="2" t="s">
        <v>3</v>
      </c>
      <c r="J453" s="3" t="s">
        <v>4</v>
      </c>
    </row>
    <row r="454" spans="1:10">
      <c r="A454" s="1">
        <v>17319</v>
      </c>
      <c r="B454" s="1">
        <v>1116601731</v>
      </c>
      <c r="C454" s="1">
        <v>12</v>
      </c>
      <c r="D454" s="1" t="s">
        <v>347</v>
      </c>
      <c r="E454" t="s">
        <v>1065</v>
      </c>
      <c r="F454" s="1">
        <v>175943</v>
      </c>
      <c r="G454" s="1">
        <v>4150022022</v>
      </c>
      <c r="H454" s="1">
        <v>24</v>
      </c>
      <c r="I454" s="1" t="s">
        <v>786</v>
      </c>
      <c r="J454" t="s">
        <v>1104</v>
      </c>
    </row>
    <row r="455" spans="1:10">
      <c r="A455" s="1">
        <v>17327</v>
      </c>
      <c r="B455" s="1">
        <v>1116601732</v>
      </c>
      <c r="C455" s="1">
        <v>24</v>
      </c>
      <c r="D455" s="1" t="s">
        <v>381</v>
      </c>
      <c r="E455" t="s">
        <v>1066</v>
      </c>
      <c r="F455" s="1">
        <v>175950</v>
      </c>
      <c r="G455" s="1">
        <v>4150022020</v>
      </c>
      <c r="H455" s="1">
        <v>12</v>
      </c>
      <c r="I455" s="1" t="s">
        <v>404</v>
      </c>
      <c r="J455" t="s">
        <v>1104</v>
      </c>
    </row>
    <row r="456" spans="1:10">
      <c r="A456" s="1">
        <v>17384</v>
      </c>
      <c r="B456" s="1">
        <v>1116601738</v>
      </c>
      <c r="C456" s="1">
        <v>12</v>
      </c>
      <c r="D456" s="1" t="s">
        <v>381</v>
      </c>
      <c r="E456" t="s">
        <v>1067</v>
      </c>
      <c r="F456" s="1">
        <v>158048</v>
      </c>
      <c r="G456" s="1">
        <v>1600015940</v>
      </c>
      <c r="H456" s="1">
        <v>12</v>
      </c>
      <c r="I456" s="1" t="s">
        <v>1096</v>
      </c>
      <c r="J456" t="s">
        <v>1105</v>
      </c>
    </row>
    <row r="457" spans="1:10">
      <c r="A457" s="1">
        <v>19703</v>
      </c>
      <c r="B457" s="1">
        <v>1116601970</v>
      </c>
      <c r="C457" s="1">
        <v>12</v>
      </c>
      <c r="D457" s="1" t="s">
        <v>347</v>
      </c>
      <c r="E457" t="s">
        <v>1068</v>
      </c>
      <c r="F457" s="1">
        <v>158113</v>
      </c>
      <c r="G457" s="1">
        <v>1600015950</v>
      </c>
      <c r="H457" s="1">
        <v>8</v>
      </c>
      <c r="I457" s="1" t="s">
        <v>910</v>
      </c>
      <c r="J457" t="s">
        <v>1106</v>
      </c>
    </row>
    <row r="458" spans="1:10">
      <c r="A458" s="1">
        <v>271213</v>
      </c>
      <c r="B458" s="1">
        <v>4113030761</v>
      </c>
      <c r="C458" s="1">
        <v>12</v>
      </c>
      <c r="D458" s="1" t="s">
        <v>375</v>
      </c>
      <c r="E458" t="s">
        <v>1069</v>
      </c>
      <c r="F458" s="1">
        <v>158071</v>
      </c>
      <c r="G458" s="1">
        <v>1600015840</v>
      </c>
      <c r="H458" s="1">
        <v>12</v>
      </c>
      <c r="I458" s="1" t="s">
        <v>1096</v>
      </c>
      <c r="J458" t="s">
        <v>1106</v>
      </c>
    </row>
    <row r="459" spans="1:10">
      <c r="A459" s="1">
        <v>106492</v>
      </c>
      <c r="B459" s="1">
        <v>4113030762</v>
      </c>
      <c r="C459" s="1">
        <v>12</v>
      </c>
      <c r="D459" s="1" t="s">
        <v>375</v>
      </c>
      <c r="E459" t="s">
        <v>1070</v>
      </c>
      <c r="F459" s="1">
        <v>874131</v>
      </c>
      <c r="G459" s="1">
        <v>1600042199</v>
      </c>
      <c r="H459" s="1">
        <v>12</v>
      </c>
      <c r="I459" s="1" t="s">
        <v>399</v>
      </c>
      <c r="J459" t="s">
        <v>1107</v>
      </c>
    </row>
    <row r="460" spans="1:10">
      <c r="A460" s="1">
        <v>439422</v>
      </c>
      <c r="B460" s="1">
        <v>4113030763</v>
      </c>
      <c r="C460" s="1">
        <v>12</v>
      </c>
      <c r="D460" s="1" t="s">
        <v>375</v>
      </c>
      <c r="E460" t="s">
        <v>1071</v>
      </c>
      <c r="F460" s="1">
        <v>757732</v>
      </c>
      <c r="G460" s="1">
        <v>1600028162</v>
      </c>
      <c r="H460" s="1">
        <v>12</v>
      </c>
      <c r="I460" s="1" t="s">
        <v>358</v>
      </c>
      <c r="J460" t="s">
        <v>1108</v>
      </c>
    </row>
    <row r="461" spans="1:10">
      <c r="A461" s="1">
        <v>477703</v>
      </c>
      <c r="B461" s="1">
        <v>4113030766</v>
      </c>
      <c r="C461" s="1">
        <v>12</v>
      </c>
      <c r="D461" s="1" t="s">
        <v>347</v>
      </c>
      <c r="E461" t="s">
        <v>1072</v>
      </c>
      <c r="F461" s="1">
        <v>202796</v>
      </c>
      <c r="G461" s="1">
        <v>1600015970</v>
      </c>
      <c r="H461" s="1">
        <v>12</v>
      </c>
      <c r="I461" s="1" t="s">
        <v>496</v>
      </c>
      <c r="J461" t="s">
        <v>1109</v>
      </c>
    </row>
    <row r="462" spans="1:10">
      <c r="A462" s="1">
        <v>334722</v>
      </c>
      <c r="B462" s="1">
        <v>4113030767</v>
      </c>
      <c r="C462" s="1">
        <v>12</v>
      </c>
      <c r="D462" s="1" t="s">
        <v>375</v>
      </c>
      <c r="E462" t="s">
        <v>1073</v>
      </c>
      <c r="F462" s="1">
        <v>672824</v>
      </c>
      <c r="G462" s="1">
        <v>1600017792</v>
      </c>
      <c r="H462" s="1">
        <v>8</v>
      </c>
      <c r="I462" s="1" t="s">
        <v>517</v>
      </c>
      <c r="J462" t="s">
        <v>1110</v>
      </c>
    </row>
    <row r="463" spans="1:10">
      <c r="A463" s="1">
        <v>209197</v>
      </c>
      <c r="B463" s="1">
        <v>4113030759</v>
      </c>
      <c r="C463" s="1">
        <v>12</v>
      </c>
      <c r="D463" s="1" t="s">
        <v>347</v>
      </c>
      <c r="E463" t="s">
        <v>1074</v>
      </c>
      <c r="F463" s="1">
        <v>158063</v>
      </c>
      <c r="G463" s="1">
        <v>1600016490</v>
      </c>
      <c r="H463" s="1">
        <v>12</v>
      </c>
      <c r="I463" s="1" t="s">
        <v>1096</v>
      </c>
      <c r="J463" t="s">
        <v>1111</v>
      </c>
    </row>
    <row r="464" spans="1:10">
      <c r="A464" s="1">
        <v>511725</v>
      </c>
      <c r="B464" s="1">
        <v>4113030760</v>
      </c>
      <c r="C464" s="1">
        <v>12</v>
      </c>
      <c r="D464" s="1" t="s">
        <v>489</v>
      </c>
      <c r="E464" t="s">
        <v>1075</v>
      </c>
      <c r="F464" s="1">
        <v>483974</v>
      </c>
      <c r="G464" s="1">
        <v>1600042198</v>
      </c>
      <c r="H464" s="1">
        <v>12</v>
      </c>
      <c r="I464" s="1" t="s">
        <v>399</v>
      </c>
      <c r="J464" t="s">
        <v>1112</v>
      </c>
    </row>
    <row r="465" spans="1:10">
      <c r="A465" s="1">
        <v>768085</v>
      </c>
      <c r="B465" s="1">
        <v>4113030764</v>
      </c>
      <c r="C465" s="1">
        <v>12</v>
      </c>
      <c r="D465" s="1" t="s">
        <v>347</v>
      </c>
      <c r="E465" t="s">
        <v>1076</v>
      </c>
      <c r="F465" s="1">
        <v>158055</v>
      </c>
      <c r="G465" s="1">
        <v>1600015810</v>
      </c>
      <c r="H465" s="1">
        <v>12</v>
      </c>
      <c r="I465" s="1" t="s">
        <v>1096</v>
      </c>
      <c r="J465" t="s">
        <v>1113</v>
      </c>
    </row>
    <row r="466" spans="1:10">
      <c r="A466" s="1">
        <v>674143</v>
      </c>
      <c r="B466" s="1">
        <v>4113030765</v>
      </c>
      <c r="C466" s="1">
        <v>12</v>
      </c>
      <c r="D466" s="1" t="s">
        <v>347</v>
      </c>
      <c r="E466" t="s">
        <v>1077</v>
      </c>
      <c r="F466" s="1">
        <v>323477</v>
      </c>
      <c r="G466" s="1">
        <v>1600014634</v>
      </c>
      <c r="H466" s="1">
        <v>12</v>
      </c>
      <c r="I466" s="1" t="s">
        <v>399</v>
      </c>
      <c r="J466" t="s">
        <v>1114</v>
      </c>
    </row>
    <row r="467" spans="1:10">
      <c r="A467" s="1">
        <v>193904</v>
      </c>
      <c r="B467" s="1">
        <v>4113030768</v>
      </c>
      <c r="C467" s="1">
        <v>12</v>
      </c>
      <c r="D467" s="1" t="s">
        <v>347</v>
      </c>
      <c r="E467" t="s">
        <v>1078</v>
      </c>
      <c r="F467" s="1">
        <v>158105</v>
      </c>
      <c r="G467" s="1">
        <v>1600016060</v>
      </c>
      <c r="H467" s="1">
        <v>8</v>
      </c>
      <c r="I467" s="1" t="s">
        <v>910</v>
      </c>
      <c r="J467" t="s">
        <v>1115</v>
      </c>
    </row>
    <row r="468" spans="1:10">
      <c r="A468" s="1">
        <v>17558</v>
      </c>
      <c r="B468" s="1">
        <v>4113030148</v>
      </c>
      <c r="C468" s="1">
        <v>24</v>
      </c>
      <c r="D468" s="1" t="s">
        <v>381</v>
      </c>
      <c r="E468" t="s">
        <v>1079</v>
      </c>
      <c r="F468" s="1">
        <v>158147</v>
      </c>
      <c r="G468" s="1">
        <v>1600015980</v>
      </c>
      <c r="H468" s="1">
        <v>8</v>
      </c>
      <c r="I468" s="1" t="s">
        <v>910</v>
      </c>
      <c r="J468" t="s">
        <v>1116</v>
      </c>
    </row>
    <row r="469" spans="1:10">
      <c r="A469" s="1">
        <v>412494</v>
      </c>
      <c r="B469" s="1">
        <v>4113030771</v>
      </c>
      <c r="C469" s="1">
        <v>12</v>
      </c>
      <c r="D469" s="1" t="s">
        <v>375</v>
      </c>
      <c r="E469" t="s">
        <v>1080</v>
      </c>
      <c r="F469" s="1">
        <v>159392</v>
      </c>
      <c r="G469" s="1">
        <v>1600016430</v>
      </c>
      <c r="H469" s="1">
        <v>12</v>
      </c>
      <c r="I469" s="1" t="s">
        <v>1096</v>
      </c>
      <c r="J469" t="s">
        <v>1117</v>
      </c>
    </row>
    <row r="470" spans="1:10">
      <c r="A470" s="1">
        <v>478404</v>
      </c>
      <c r="B470" s="1">
        <v>4113030758</v>
      </c>
      <c r="C470" s="1">
        <v>12</v>
      </c>
      <c r="D470" s="1" t="s">
        <v>546</v>
      </c>
      <c r="E470" t="s">
        <v>1081</v>
      </c>
      <c r="F470" s="1">
        <v>175562</v>
      </c>
      <c r="G470" s="1">
        <v>7209201212</v>
      </c>
      <c r="H470" s="1">
        <v>12</v>
      </c>
      <c r="I470" s="1" t="s">
        <v>360</v>
      </c>
      <c r="J470" t="s">
        <v>1118</v>
      </c>
    </row>
    <row r="471" spans="1:10">
      <c r="A471" s="1">
        <v>36574</v>
      </c>
      <c r="B471" s="1">
        <v>4113030770</v>
      </c>
      <c r="C471" s="1">
        <v>12</v>
      </c>
      <c r="D471" s="1" t="s">
        <v>546</v>
      </c>
      <c r="E471" t="s">
        <v>1082</v>
      </c>
      <c r="F471" s="1">
        <v>377465</v>
      </c>
      <c r="G471" s="1">
        <v>7209202424</v>
      </c>
      <c r="H471" s="1">
        <v>12</v>
      </c>
      <c r="I471" s="1" t="s">
        <v>89</v>
      </c>
      <c r="J471" t="s">
        <v>1119</v>
      </c>
    </row>
    <row r="472" spans="1:10">
      <c r="A472" s="1">
        <v>489302</v>
      </c>
      <c r="B472" s="1">
        <v>4113030795</v>
      </c>
      <c r="C472" s="1">
        <v>12</v>
      </c>
      <c r="D472" s="1" t="s">
        <v>379</v>
      </c>
      <c r="E472" t="s">
        <v>1083</v>
      </c>
      <c r="F472" s="1">
        <v>601658</v>
      </c>
      <c r="G472" s="1">
        <v>7209201248</v>
      </c>
      <c r="H472" s="1">
        <v>6</v>
      </c>
      <c r="I472" s="1" t="s">
        <v>360</v>
      </c>
      <c r="J472" t="s">
        <v>1120</v>
      </c>
    </row>
    <row r="473" spans="1:10">
      <c r="A473" s="1">
        <v>251306</v>
      </c>
      <c r="B473" s="1">
        <v>4113030796</v>
      </c>
      <c r="C473" s="1">
        <v>12</v>
      </c>
      <c r="D473" s="1" t="s">
        <v>379</v>
      </c>
      <c r="E473" t="s">
        <v>1084</v>
      </c>
      <c r="F473" s="1">
        <v>475046</v>
      </c>
      <c r="G473" s="1">
        <v>7209232412</v>
      </c>
      <c r="H473" s="1">
        <v>12</v>
      </c>
      <c r="I473" s="1" t="s">
        <v>394</v>
      </c>
      <c r="J473" t="s">
        <v>1121</v>
      </c>
    </row>
    <row r="474" spans="1:10">
      <c r="A474" s="1">
        <v>786194</v>
      </c>
      <c r="B474" s="1">
        <v>4113030797</v>
      </c>
      <c r="C474" s="1">
        <v>12</v>
      </c>
      <c r="D474" s="1" t="s">
        <v>379</v>
      </c>
      <c r="E474" t="s">
        <v>1085</v>
      </c>
      <c r="F474" s="1">
        <v>319541</v>
      </c>
      <c r="G474" s="1">
        <v>3700020917</v>
      </c>
      <c r="H474" s="1">
        <v>6</v>
      </c>
      <c r="I474" s="1" t="s">
        <v>856</v>
      </c>
      <c r="J474" t="s">
        <v>1122</v>
      </c>
    </row>
    <row r="475" spans="1:10">
      <c r="A475" s="1">
        <v>179424</v>
      </c>
      <c r="B475" s="1">
        <v>4113030798</v>
      </c>
      <c r="C475" s="1">
        <v>12</v>
      </c>
      <c r="D475" s="1" t="s">
        <v>379</v>
      </c>
      <c r="E475" t="s">
        <v>1086</v>
      </c>
      <c r="F475" s="1">
        <v>194365</v>
      </c>
      <c r="G475" s="1">
        <v>3700018830</v>
      </c>
      <c r="H475" s="1">
        <v>4</v>
      </c>
      <c r="I475" s="1" t="s">
        <v>1123</v>
      </c>
      <c r="J475" t="s">
        <v>1124</v>
      </c>
    </row>
    <row r="476" spans="1:10">
      <c r="A476" s="1">
        <v>684035</v>
      </c>
      <c r="B476" s="1">
        <v>4113030769</v>
      </c>
      <c r="C476" s="1">
        <v>12</v>
      </c>
      <c r="D476" s="1" t="s">
        <v>375</v>
      </c>
      <c r="E476" t="s">
        <v>1087</v>
      </c>
      <c r="F476" s="1">
        <v>229567</v>
      </c>
      <c r="G476" s="1">
        <v>3700023006</v>
      </c>
      <c r="H476" s="1">
        <v>14</v>
      </c>
      <c r="I476" s="1" t="s">
        <v>1125</v>
      </c>
      <c r="J476" t="s">
        <v>1126</v>
      </c>
    </row>
    <row r="477" spans="1:10" ht="15.75">
      <c r="A477" s="4" t="s">
        <v>10687</v>
      </c>
      <c r="B477" s="2"/>
      <c r="C477" s="2"/>
      <c r="D477" s="2"/>
      <c r="E477" s="3"/>
      <c r="F477" s="1">
        <v>745430</v>
      </c>
      <c r="G477" s="1">
        <v>3700018493</v>
      </c>
      <c r="H477" s="1">
        <v>12</v>
      </c>
      <c r="I477" s="1" t="s">
        <v>1127</v>
      </c>
      <c r="J477" t="s">
        <v>1128</v>
      </c>
    </row>
    <row r="478" spans="1:10">
      <c r="A478" s="2" t="s">
        <v>0</v>
      </c>
      <c r="B478" s="2" t="s">
        <v>1</v>
      </c>
      <c r="C478" s="2" t="s">
        <v>2</v>
      </c>
      <c r="D478" s="2" t="s">
        <v>3</v>
      </c>
      <c r="E478" s="3" t="s">
        <v>4</v>
      </c>
      <c r="F478" s="1">
        <v>37754</v>
      </c>
      <c r="G478" s="1">
        <v>3700023005</v>
      </c>
      <c r="H478" s="1">
        <v>14</v>
      </c>
      <c r="I478" s="1" t="s">
        <v>1125</v>
      </c>
      <c r="J478" t="s">
        <v>1129</v>
      </c>
    </row>
    <row r="479" spans="1:10">
      <c r="A479" s="1">
        <v>227462</v>
      </c>
      <c r="B479" s="1">
        <v>7209202460</v>
      </c>
      <c r="C479" s="1">
        <v>12</v>
      </c>
      <c r="D479" s="1" t="s">
        <v>52</v>
      </c>
      <c r="E479" t="s">
        <v>1088</v>
      </c>
      <c r="F479" s="1">
        <v>419465</v>
      </c>
      <c r="G479" s="1">
        <v>3700021685</v>
      </c>
      <c r="H479" s="1">
        <v>10</v>
      </c>
      <c r="I479" s="1" t="s">
        <v>527</v>
      </c>
      <c r="J479" t="s">
        <v>1130</v>
      </c>
    </row>
    <row r="480" spans="1:10">
      <c r="A480" s="1">
        <v>158170</v>
      </c>
      <c r="B480" s="1">
        <v>1600028320</v>
      </c>
      <c r="C480" s="1">
        <v>12</v>
      </c>
      <c r="D480" s="1" t="s">
        <v>358</v>
      </c>
      <c r="E480" t="s">
        <v>1089</v>
      </c>
      <c r="F480" s="1">
        <v>180117</v>
      </c>
      <c r="G480" s="1">
        <v>3700023018</v>
      </c>
      <c r="H480" s="1">
        <v>14</v>
      </c>
      <c r="I480" s="1" t="s">
        <v>1125</v>
      </c>
      <c r="J480" t="s">
        <v>1131</v>
      </c>
    </row>
    <row r="481" spans="1:10">
      <c r="A481" s="1">
        <v>158287</v>
      </c>
      <c r="B481" s="1">
        <v>1600028370</v>
      </c>
      <c r="C481" s="1">
        <v>12</v>
      </c>
      <c r="D481" s="1" t="s">
        <v>358</v>
      </c>
      <c r="E481" t="s">
        <v>1090</v>
      </c>
      <c r="F481" s="1">
        <v>587089</v>
      </c>
      <c r="G481" s="1">
        <v>3700021148</v>
      </c>
      <c r="H481" s="1">
        <v>14</v>
      </c>
      <c r="I481" s="1" t="s">
        <v>1132</v>
      </c>
      <c r="J481" t="s">
        <v>1133</v>
      </c>
    </row>
    <row r="482" spans="1:10">
      <c r="A482" s="1">
        <v>355586</v>
      </c>
      <c r="B482" s="1">
        <v>1600015135</v>
      </c>
      <c r="C482" s="1">
        <v>12</v>
      </c>
      <c r="D482" s="1" t="s">
        <v>399</v>
      </c>
      <c r="E482" t="s">
        <v>1091</v>
      </c>
      <c r="F482" s="1">
        <v>342188</v>
      </c>
      <c r="G482" s="1">
        <v>3700021147</v>
      </c>
      <c r="H482" s="1">
        <v>14</v>
      </c>
      <c r="I482" s="1" t="s">
        <v>1132</v>
      </c>
      <c r="J482" t="s">
        <v>1134</v>
      </c>
    </row>
    <row r="483" spans="1:10">
      <c r="A483" s="1">
        <v>371278</v>
      </c>
      <c r="B483" s="1">
        <v>1600015136</v>
      </c>
      <c r="C483" s="1">
        <v>12</v>
      </c>
      <c r="D483" s="1" t="s">
        <v>399</v>
      </c>
      <c r="E483" t="s">
        <v>1092</v>
      </c>
      <c r="F483" s="1">
        <v>431866</v>
      </c>
      <c r="G483" s="1">
        <v>3700010351</v>
      </c>
      <c r="H483" s="1">
        <v>10</v>
      </c>
      <c r="I483" s="1" t="s">
        <v>1135</v>
      </c>
      <c r="J483" t="s">
        <v>1136</v>
      </c>
    </row>
    <row r="484" spans="1:10">
      <c r="A484" s="1">
        <v>341636</v>
      </c>
      <c r="B484" s="1">
        <v>1600016951</v>
      </c>
      <c r="C484" s="1">
        <v>8</v>
      </c>
      <c r="D484" s="1" t="s">
        <v>1093</v>
      </c>
      <c r="E484" t="s">
        <v>1094</v>
      </c>
      <c r="F484" s="1">
        <v>258012</v>
      </c>
      <c r="G484" s="1">
        <v>3700023240</v>
      </c>
      <c r="H484" s="1">
        <v>14</v>
      </c>
      <c r="I484" s="1" t="s">
        <v>1125</v>
      </c>
      <c r="J484" t="s">
        <v>1137</v>
      </c>
    </row>
    <row r="485" spans="1:10">
      <c r="A485" s="1">
        <v>457911</v>
      </c>
      <c r="B485" s="1">
        <v>1600016952</v>
      </c>
      <c r="C485" s="1">
        <v>8</v>
      </c>
      <c r="D485" s="1" t="s">
        <v>958</v>
      </c>
      <c r="E485" t="s">
        <v>1095</v>
      </c>
      <c r="F485" s="1">
        <v>291153</v>
      </c>
      <c r="G485" s="1">
        <v>3700023013</v>
      </c>
      <c r="H485" s="1">
        <v>14</v>
      </c>
      <c r="I485" s="1" t="s">
        <v>1125</v>
      </c>
      <c r="J485" t="s">
        <v>1138</v>
      </c>
    </row>
    <row r="486" spans="1:10">
      <c r="A486" s="1">
        <v>158030</v>
      </c>
      <c r="B486" s="1">
        <v>1600015110</v>
      </c>
      <c r="C486" s="1">
        <v>12</v>
      </c>
      <c r="D486" s="1" t="s">
        <v>1096</v>
      </c>
      <c r="E486" t="s">
        <v>1097</v>
      </c>
      <c r="F486" s="1">
        <v>595074</v>
      </c>
      <c r="G486" s="1">
        <v>3700023040</v>
      </c>
      <c r="H486" s="1">
        <v>14</v>
      </c>
      <c r="I486" s="1" t="s">
        <v>1125</v>
      </c>
      <c r="J486" t="s">
        <v>1139</v>
      </c>
    </row>
    <row r="487" spans="1:10">
      <c r="A487" s="1">
        <v>300236</v>
      </c>
      <c r="B487" s="1">
        <v>1600015824</v>
      </c>
      <c r="C487" s="1">
        <v>8</v>
      </c>
      <c r="D487" s="1" t="s">
        <v>370</v>
      </c>
      <c r="E487" t="s">
        <v>1098</v>
      </c>
      <c r="F487" s="1">
        <v>320788</v>
      </c>
      <c r="G487" s="1">
        <v>3700008776</v>
      </c>
      <c r="H487" s="1">
        <v>10</v>
      </c>
      <c r="I487" s="1" t="s">
        <v>1140</v>
      </c>
      <c r="J487" t="s">
        <v>1141</v>
      </c>
    </row>
    <row r="488" spans="1:10">
      <c r="A488" s="1">
        <v>751206</v>
      </c>
      <c r="B488" s="1">
        <v>1600016239</v>
      </c>
      <c r="C488" s="1">
        <v>12</v>
      </c>
      <c r="D488" s="1" t="s">
        <v>360</v>
      </c>
      <c r="E488" t="s">
        <v>1099</v>
      </c>
      <c r="F488" s="1">
        <v>352112</v>
      </c>
      <c r="G488" s="1">
        <v>3700018825</v>
      </c>
      <c r="H488" s="1">
        <v>8</v>
      </c>
      <c r="I488" s="1" t="s">
        <v>1142</v>
      </c>
      <c r="J488" t="s">
        <v>1143</v>
      </c>
    </row>
    <row r="489" spans="1:10">
      <c r="A489" s="1">
        <v>158261</v>
      </c>
      <c r="B489" s="1">
        <v>1600015990</v>
      </c>
      <c r="C489" s="1">
        <v>12</v>
      </c>
      <c r="D489" s="1" t="s">
        <v>1096</v>
      </c>
      <c r="E489" t="s">
        <v>1100</v>
      </c>
      <c r="F489" s="1">
        <v>475574</v>
      </c>
      <c r="G489" s="1">
        <v>3700018495</v>
      </c>
      <c r="H489" s="1">
        <v>12</v>
      </c>
      <c r="I489" s="1" t="s">
        <v>1127</v>
      </c>
      <c r="J489" t="s">
        <v>1144</v>
      </c>
    </row>
    <row r="490" spans="1:10">
      <c r="A490" s="1">
        <v>526707</v>
      </c>
      <c r="B490" s="1">
        <v>4141916287</v>
      </c>
      <c r="C490" s="1">
        <v>18</v>
      </c>
      <c r="D490" s="1" t="s">
        <v>360</v>
      </c>
      <c r="E490" t="s">
        <v>1101</v>
      </c>
      <c r="F490" s="1">
        <v>128827</v>
      </c>
      <c r="G490" s="1">
        <v>3700022996</v>
      </c>
      <c r="H490" s="1">
        <v>14</v>
      </c>
      <c r="I490" s="1" t="s">
        <v>1145</v>
      </c>
      <c r="J490" t="s">
        <v>1146</v>
      </c>
    </row>
    <row r="491" spans="1:10">
      <c r="A491" s="1">
        <v>390328</v>
      </c>
      <c r="B491" s="1">
        <v>4141916284</v>
      </c>
      <c r="C491" s="1">
        <v>18</v>
      </c>
      <c r="D491" s="1" t="s">
        <v>360</v>
      </c>
      <c r="E491" t="s">
        <v>1102</v>
      </c>
      <c r="F491" s="1">
        <v>534875</v>
      </c>
      <c r="G491" s="1">
        <v>3700023011</v>
      </c>
      <c r="H491" s="1">
        <v>14</v>
      </c>
      <c r="I491" s="1" t="s">
        <v>1125</v>
      </c>
      <c r="J491" t="s">
        <v>1147</v>
      </c>
    </row>
    <row r="492" spans="1:10">
      <c r="A492" s="1">
        <v>754606</v>
      </c>
      <c r="B492" s="1">
        <v>4141916283</v>
      </c>
      <c r="C492" s="1">
        <v>18</v>
      </c>
      <c r="D492" s="1" t="s">
        <v>360</v>
      </c>
      <c r="E492" t="s">
        <v>1103</v>
      </c>
      <c r="F492" s="1">
        <v>367086</v>
      </c>
      <c r="G492" s="1">
        <v>3700010350</v>
      </c>
      <c r="H492" s="1">
        <v>10</v>
      </c>
      <c r="I492" s="1" t="s">
        <v>1135</v>
      </c>
      <c r="J492" t="s">
        <v>1148</v>
      </c>
    </row>
    <row r="493" spans="1:10" ht="15.75">
      <c r="A493" s="4" t="s">
        <v>10687</v>
      </c>
      <c r="B493" s="2"/>
      <c r="C493" s="2"/>
      <c r="D493" s="2"/>
      <c r="E493" s="3"/>
      <c r="F493" s="4" t="s">
        <v>10688</v>
      </c>
      <c r="G493" s="2"/>
      <c r="H493" s="2"/>
      <c r="I493" s="2"/>
      <c r="J493" s="3"/>
    </row>
    <row r="494" spans="1:10">
      <c r="A494" s="2" t="s">
        <v>0</v>
      </c>
      <c r="B494" s="2" t="s">
        <v>1</v>
      </c>
      <c r="C494" s="2" t="s">
        <v>2</v>
      </c>
      <c r="D494" s="2" t="s">
        <v>3</v>
      </c>
      <c r="E494" s="3" t="s">
        <v>4</v>
      </c>
      <c r="F494" s="2" t="s">
        <v>0</v>
      </c>
      <c r="G494" s="2" t="s">
        <v>1</v>
      </c>
      <c r="H494" s="2" t="s">
        <v>2</v>
      </c>
      <c r="I494" s="2" t="s">
        <v>3</v>
      </c>
      <c r="J494" s="3" t="s">
        <v>4</v>
      </c>
    </row>
    <row r="495" spans="1:10">
      <c r="A495" s="1">
        <v>278812</v>
      </c>
      <c r="B495" s="1">
        <v>3700024099</v>
      </c>
      <c r="C495" s="1">
        <v>14</v>
      </c>
      <c r="D495" s="1" t="s">
        <v>1125</v>
      </c>
      <c r="E495" t="s">
        <v>1149</v>
      </c>
      <c r="F495" s="1">
        <v>680355</v>
      </c>
      <c r="G495" s="1">
        <v>1600016175</v>
      </c>
      <c r="H495" s="1">
        <v>12</v>
      </c>
      <c r="I495" s="1" t="s">
        <v>1180</v>
      </c>
      <c r="J495" t="s">
        <v>1224</v>
      </c>
    </row>
    <row r="496" spans="1:10">
      <c r="A496" s="1">
        <v>706275</v>
      </c>
      <c r="B496" s="1">
        <v>3700023037</v>
      </c>
      <c r="C496" s="1">
        <v>14</v>
      </c>
      <c r="D496" s="1" t="s">
        <v>1125</v>
      </c>
      <c r="E496" t="s">
        <v>1150</v>
      </c>
      <c r="F496" s="1">
        <v>353508</v>
      </c>
      <c r="G496" s="1">
        <v>1600040768</v>
      </c>
      <c r="H496" s="1">
        <v>12</v>
      </c>
      <c r="I496" s="1" t="s">
        <v>1225</v>
      </c>
      <c r="J496" t="s">
        <v>1226</v>
      </c>
    </row>
    <row r="497" spans="1:10">
      <c r="A497" s="1">
        <v>352229</v>
      </c>
      <c r="B497" s="1">
        <v>3700023041</v>
      </c>
      <c r="C497" s="1">
        <v>14</v>
      </c>
      <c r="D497" s="1" t="s">
        <v>1151</v>
      </c>
      <c r="E497" t="s">
        <v>1152</v>
      </c>
      <c r="F497" s="1">
        <v>336529</v>
      </c>
      <c r="G497" s="1">
        <v>1600042973</v>
      </c>
      <c r="H497" s="1">
        <v>12</v>
      </c>
      <c r="I497" s="1" t="s">
        <v>1227</v>
      </c>
      <c r="J497" t="s">
        <v>1228</v>
      </c>
    </row>
    <row r="498" spans="1:10">
      <c r="A498" s="1">
        <v>83022</v>
      </c>
      <c r="B498" s="1">
        <v>3700023042</v>
      </c>
      <c r="C498" s="1">
        <v>14</v>
      </c>
      <c r="D498" s="1" t="s">
        <v>404</v>
      </c>
      <c r="E498" t="s">
        <v>1153</v>
      </c>
      <c r="F498" s="1">
        <v>474825</v>
      </c>
      <c r="G498" s="1">
        <v>1600027536</v>
      </c>
      <c r="H498" s="1">
        <v>12</v>
      </c>
      <c r="I498" s="1" t="s">
        <v>381</v>
      </c>
      <c r="J498" t="s">
        <v>1229</v>
      </c>
    </row>
    <row r="499" spans="1:10">
      <c r="A499" s="1">
        <v>279158</v>
      </c>
      <c r="B499" s="1">
        <v>3700023009</v>
      </c>
      <c r="C499" s="1">
        <v>14</v>
      </c>
      <c r="D499" s="1" t="s">
        <v>1125</v>
      </c>
      <c r="E499" t="s">
        <v>1154</v>
      </c>
      <c r="F499" s="1">
        <v>440586</v>
      </c>
      <c r="G499" s="1">
        <v>1600087700</v>
      </c>
      <c r="H499" s="1">
        <v>10</v>
      </c>
      <c r="I499" s="1" t="s">
        <v>1230</v>
      </c>
      <c r="J499" t="s">
        <v>1231</v>
      </c>
    </row>
    <row r="500" spans="1:10">
      <c r="A500" s="1">
        <v>291328</v>
      </c>
      <c r="B500" s="1">
        <v>3700018506</v>
      </c>
      <c r="C500" s="1">
        <v>12</v>
      </c>
      <c r="D500" s="1" t="s">
        <v>1127</v>
      </c>
      <c r="E500" t="s">
        <v>1155</v>
      </c>
      <c r="F500" s="1">
        <v>339358</v>
      </c>
      <c r="G500" s="1">
        <v>69339261503</v>
      </c>
      <c r="H500" s="1">
        <v>12</v>
      </c>
      <c r="I500" s="1" t="s">
        <v>1232</v>
      </c>
      <c r="J500" t="s">
        <v>1233</v>
      </c>
    </row>
    <row r="501" spans="1:10">
      <c r="A501" s="1">
        <v>601831</v>
      </c>
      <c r="B501" s="1">
        <v>3700018828</v>
      </c>
      <c r="C501" s="1">
        <v>8</v>
      </c>
      <c r="D501" s="1" t="s">
        <v>1142</v>
      </c>
      <c r="E501" t="s">
        <v>1156</v>
      </c>
      <c r="F501" s="1">
        <v>6668</v>
      </c>
      <c r="G501" s="1">
        <v>69339261502</v>
      </c>
      <c r="H501" s="1">
        <v>12</v>
      </c>
      <c r="I501" s="1" t="s">
        <v>1232</v>
      </c>
      <c r="J501" t="s">
        <v>1234</v>
      </c>
    </row>
    <row r="502" spans="1:10">
      <c r="A502" s="1">
        <v>436329</v>
      </c>
      <c r="B502" s="1">
        <v>3700021375</v>
      </c>
      <c r="C502" s="1">
        <v>5</v>
      </c>
      <c r="D502" s="1" t="s">
        <v>360</v>
      </c>
      <c r="E502" t="s">
        <v>1157</v>
      </c>
      <c r="F502" s="1">
        <v>482919</v>
      </c>
      <c r="G502" s="1">
        <v>69339261504</v>
      </c>
      <c r="H502" s="1">
        <v>12</v>
      </c>
      <c r="I502" s="1" t="s">
        <v>1235</v>
      </c>
      <c r="J502" t="s">
        <v>1236</v>
      </c>
    </row>
    <row r="503" spans="1:10">
      <c r="A503" s="1">
        <v>162511</v>
      </c>
      <c r="B503" s="1">
        <v>3700021369</v>
      </c>
      <c r="C503" s="1">
        <v>5</v>
      </c>
      <c r="D503" s="1" t="s">
        <v>360</v>
      </c>
      <c r="E503" t="s">
        <v>1158</v>
      </c>
      <c r="F503" s="1">
        <v>725697</v>
      </c>
      <c r="G503" s="1">
        <v>69339261501</v>
      </c>
      <c r="H503" s="1">
        <v>12</v>
      </c>
      <c r="I503" s="1" t="s">
        <v>1237</v>
      </c>
      <c r="J503" t="s">
        <v>1238</v>
      </c>
    </row>
    <row r="504" spans="1:10">
      <c r="A504" s="1">
        <v>389080</v>
      </c>
      <c r="B504" s="1">
        <v>3700021041</v>
      </c>
      <c r="C504" s="1">
        <v>5</v>
      </c>
      <c r="D504" s="1" t="s">
        <v>360</v>
      </c>
      <c r="E504" t="s">
        <v>1159</v>
      </c>
      <c r="F504" s="1">
        <v>148197</v>
      </c>
      <c r="G504" s="1">
        <v>1600027508</v>
      </c>
      <c r="H504" s="1">
        <v>12</v>
      </c>
      <c r="I504" s="1" t="s">
        <v>401</v>
      </c>
      <c r="J504" t="s">
        <v>1239</v>
      </c>
    </row>
    <row r="505" spans="1:10">
      <c r="A505" s="1">
        <v>444075</v>
      </c>
      <c r="B505" s="1">
        <v>3700021373</v>
      </c>
      <c r="C505" s="1">
        <v>5</v>
      </c>
      <c r="D505" s="1" t="s">
        <v>360</v>
      </c>
      <c r="E505" t="s">
        <v>1160</v>
      </c>
      <c r="F505" s="1">
        <v>662171</v>
      </c>
      <c r="G505" s="1">
        <v>1600014159</v>
      </c>
      <c r="H505" s="1">
        <v>12</v>
      </c>
      <c r="I505" s="1" t="s">
        <v>56</v>
      </c>
      <c r="J505" t="s">
        <v>1240</v>
      </c>
    </row>
    <row r="506" spans="1:10">
      <c r="A506" s="1">
        <v>697888</v>
      </c>
      <c r="B506" s="1">
        <v>3700023004</v>
      </c>
      <c r="C506" s="1">
        <v>14</v>
      </c>
      <c r="D506" s="1" t="s">
        <v>1125</v>
      </c>
      <c r="E506" t="s">
        <v>1161</v>
      </c>
      <c r="F506" s="1">
        <v>422733</v>
      </c>
      <c r="G506" s="1">
        <v>1600027543</v>
      </c>
      <c r="H506" s="1">
        <v>12</v>
      </c>
      <c r="I506" s="1" t="s">
        <v>1241</v>
      </c>
      <c r="J506" t="s">
        <v>1242</v>
      </c>
    </row>
    <row r="507" spans="1:10">
      <c r="A507" s="1">
        <v>578427</v>
      </c>
      <c r="B507" s="1">
        <v>3000016085</v>
      </c>
      <c r="C507" s="1">
        <v>12</v>
      </c>
      <c r="D507" s="1" t="s">
        <v>1162</v>
      </c>
      <c r="E507" t="s">
        <v>1163</v>
      </c>
      <c r="F507" s="1">
        <v>212845</v>
      </c>
      <c r="G507" s="1">
        <v>1600027564</v>
      </c>
      <c r="H507" s="1">
        <v>12</v>
      </c>
      <c r="I507" s="1" t="s">
        <v>259</v>
      </c>
      <c r="J507" t="s">
        <v>1243</v>
      </c>
    </row>
    <row r="508" spans="1:10">
      <c r="A508" s="1">
        <v>501957</v>
      </c>
      <c r="B508" s="1">
        <v>3000016086</v>
      </c>
      <c r="C508" s="1">
        <v>12</v>
      </c>
      <c r="D508" s="1" t="s">
        <v>1162</v>
      </c>
      <c r="E508" t="s">
        <v>1164</v>
      </c>
      <c r="F508" s="1">
        <v>308098</v>
      </c>
      <c r="G508" s="1">
        <v>1600027528</v>
      </c>
      <c r="H508" s="1">
        <v>10</v>
      </c>
      <c r="I508" s="1" t="s">
        <v>632</v>
      </c>
      <c r="J508" t="s">
        <v>1243</v>
      </c>
    </row>
    <row r="509" spans="1:10">
      <c r="A509" s="1">
        <v>177352</v>
      </c>
      <c r="B509" s="1">
        <v>1116617735</v>
      </c>
      <c r="C509" s="1">
        <v>12</v>
      </c>
      <c r="D509" s="1" t="s">
        <v>360</v>
      </c>
      <c r="E509" t="s">
        <v>1165</v>
      </c>
      <c r="F509" s="1">
        <v>330258</v>
      </c>
      <c r="G509" s="1">
        <v>1600027526</v>
      </c>
      <c r="H509" s="1">
        <v>12</v>
      </c>
      <c r="I509" s="1" t="s">
        <v>1244</v>
      </c>
      <c r="J509" t="s">
        <v>1243</v>
      </c>
    </row>
    <row r="510" spans="1:10">
      <c r="A510" s="1">
        <v>498071</v>
      </c>
      <c r="B510" s="1">
        <v>4113021577</v>
      </c>
      <c r="C510" s="1">
        <v>12</v>
      </c>
      <c r="D510" s="1" t="s">
        <v>47</v>
      </c>
      <c r="E510" t="s">
        <v>1166</v>
      </c>
      <c r="F510" s="1">
        <v>704585</v>
      </c>
      <c r="G510" s="1">
        <v>1600027518</v>
      </c>
      <c r="H510" s="1">
        <v>12</v>
      </c>
      <c r="I510" s="1" t="s">
        <v>1195</v>
      </c>
      <c r="J510" t="s">
        <v>1245</v>
      </c>
    </row>
    <row r="511" spans="1:10">
      <c r="A511" s="1">
        <v>548164</v>
      </c>
      <c r="B511" s="1">
        <v>4113021594</v>
      </c>
      <c r="C511" s="1">
        <v>12</v>
      </c>
      <c r="D511" s="1" t="s">
        <v>263</v>
      </c>
      <c r="E511" t="s">
        <v>1167</v>
      </c>
      <c r="F511" s="1">
        <v>49049</v>
      </c>
      <c r="G511" s="1">
        <v>1600027472</v>
      </c>
      <c r="H511" s="1">
        <v>12</v>
      </c>
      <c r="I511" s="1" t="s">
        <v>1246</v>
      </c>
      <c r="J511" t="s">
        <v>1247</v>
      </c>
    </row>
    <row r="512" spans="1:10">
      <c r="A512" s="1">
        <v>196790</v>
      </c>
      <c r="B512" s="1">
        <v>4113021366</v>
      </c>
      <c r="C512" s="1">
        <v>12</v>
      </c>
      <c r="D512" s="1" t="s">
        <v>47</v>
      </c>
      <c r="E512" t="s">
        <v>1168</v>
      </c>
      <c r="F512" s="1">
        <v>574467</v>
      </c>
      <c r="G512" s="1">
        <v>1600027561</v>
      </c>
      <c r="H512" s="1">
        <v>14</v>
      </c>
      <c r="I512" s="1" t="s">
        <v>778</v>
      </c>
      <c r="J512" t="s">
        <v>1248</v>
      </c>
    </row>
    <row r="513" spans="1:10">
      <c r="A513" s="1">
        <v>123893</v>
      </c>
      <c r="B513" s="1">
        <v>4113021367</v>
      </c>
      <c r="C513" s="1">
        <v>12</v>
      </c>
      <c r="D513" s="1" t="s">
        <v>47</v>
      </c>
      <c r="E513" t="s">
        <v>1169</v>
      </c>
      <c r="F513" s="1">
        <v>689943</v>
      </c>
      <c r="G513" s="1">
        <v>1600027554</v>
      </c>
      <c r="H513" s="1">
        <v>12</v>
      </c>
      <c r="I513" s="1" t="s">
        <v>347</v>
      </c>
      <c r="J513" t="s">
        <v>1249</v>
      </c>
    </row>
    <row r="514" spans="1:10">
      <c r="A514" s="1">
        <v>329607</v>
      </c>
      <c r="B514" s="1">
        <v>4113061118</v>
      </c>
      <c r="C514" s="1">
        <v>13</v>
      </c>
      <c r="D514" s="1" t="s">
        <v>399</v>
      </c>
      <c r="E514" t="s">
        <v>1170</v>
      </c>
      <c r="F514" s="1">
        <v>526897</v>
      </c>
      <c r="G514" s="1">
        <v>1600027527</v>
      </c>
      <c r="H514" s="1">
        <v>12</v>
      </c>
      <c r="I514" s="1" t="s">
        <v>596</v>
      </c>
      <c r="J514" t="s">
        <v>1250</v>
      </c>
    </row>
    <row r="515" spans="1:10">
      <c r="A515" s="1">
        <v>234351</v>
      </c>
      <c r="B515" s="1">
        <v>4113061104</v>
      </c>
      <c r="C515" s="1">
        <v>15</v>
      </c>
      <c r="D515" s="1" t="s">
        <v>546</v>
      </c>
      <c r="E515" t="s">
        <v>1171</v>
      </c>
      <c r="F515" s="1">
        <v>674234</v>
      </c>
      <c r="G515" s="1">
        <v>1600027571</v>
      </c>
      <c r="H515" s="1">
        <v>14</v>
      </c>
      <c r="I515" s="1" t="s">
        <v>940</v>
      </c>
      <c r="J515" t="s">
        <v>1250</v>
      </c>
    </row>
    <row r="516" spans="1:10">
      <c r="A516" s="1">
        <v>528406</v>
      </c>
      <c r="B516" s="1">
        <v>4113061103</v>
      </c>
      <c r="C516" s="1">
        <v>15</v>
      </c>
      <c r="D516" s="1" t="s">
        <v>546</v>
      </c>
      <c r="E516" t="s">
        <v>1172</v>
      </c>
      <c r="F516" s="1">
        <v>296780</v>
      </c>
      <c r="G516" s="1">
        <v>1600027512</v>
      </c>
      <c r="H516" s="1">
        <v>10</v>
      </c>
      <c r="I516" s="1" t="s">
        <v>1251</v>
      </c>
      <c r="J516" t="s">
        <v>1250</v>
      </c>
    </row>
    <row r="517" spans="1:10">
      <c r="A517" s="1">
        <v>329946</v>
      </c>
      <c r="B517" s="1">
        <v>4113061111</v>
      </c>
      <c r="C517" s="1">
        <v>11</v>
      </c>
      <c r="D517" s="1" t="s">
        <v>363</v>
      </c>
      <c r="E517" t="s">
        <v>1173</v>
      </c>
      <c r="F517" s="1">
        <v>11643</v>
      </c>
      <c r="G517" s="1">
        <v>1600027562</v>
      </c>
      <c r="H517" s="1">
        <v>14</v>
      </c>
      <c r="I517" s="1" t="s">
        <v>1199</v>
      </c>
      <c r="J517" t="s">
        <v>1252</v>
      </c>
    </row>
    <row r="518" spans="1:10">
      <c r="A518" s="1">
        <v>330035</v>
      </c>
      <c r="B518" s="1">
        <v>4113061110</v>
      </c>
      <c r="C518" s="1">
        <v>11</v>
      </c>
      <c r="D518" s="1" t="s">
        <v>363</v>
      </c>
      <c r="E518" t="s">
        <v>1174</v>
      </c>
      <c r="F518" s="1">
        <v>543611</v>
      </c>
      <c r="G518" s="1">
        <v>1600027515</v>
      </c>
      <c r="H518" s="1">
        <v>12</v>
      </c>
      <c r="I518" s="1" t="s">
        <v>546</v>
      </c>
      <c r="J518" t="s">
        <v>1252</v>
      </c>
    </row>
    <row r="519" spans="1:10">
      <c r="A519" s="1">
        <v>330290</v>
      </c>
      <c r="B519" s="1">
        <v>4113061109</v>
      </c>
      <c r="C519" s="1">
        <v>11</v>
      </c>
      <c r="D519" s="1" t="s">
        <v>703</v>
      </c>
      <c r="E519" t="s">
        <v>1175</v>
      </c>
      <c r="F519" s="1">
        <v>99192</v>
      </c>
      <c r="G519" s="1">
        <v>1600027542</v>
      </c>
      <c r="H519" s="1">
        <v>12</v>
      </c>
      <c r="I519" s="1" t="s">
        <v>1241</v>
      </c>
      <c r="J519" t="s">
        <v>1253</v>
      </c>
    </row>
    <row r="520" spans="1:10">
      <c r="A520" s="1">
        <v>330753</v>
      </c>
      <c r="B520" s="1">
        <v>4113061120</v>
      </c>
      <c r="C520" s="1">
        <v>12</v>
      </c>
      <c r="D520" s="1" t="s">
        <v>381</v>
      </c>
      <c r="E520" t="s">
        <v>1176</v>
      </c>
      <c r="F520" s="1">
        <v>492421</v>
      </c>
      <c r="G520" s="1">
        <v>1600027473</v>
      </c>
      <c r="H520" s="1">
        <v>12</v>
      </c>
      <c r="I520" s="1" t="s">
        <v>1254</v>
      </c>
      <c r="J520" t="s">
        <v>1255</v>
      </c>
    </row>
    <row r="521" spans="1:10">
      <c r="A521" s="1">
        <v>330779</v>
      </c>
      <c r="B521" s="1">
        <v>4113061125</v>
      </c>
      <c r="C521" s="1">
        <v>12</v>
      </c>
      <c r="D521" s="1" t="s">
        <v>381</v>
      </c>
      <c r="E521" t="s">
        <v>1177</v>
      </c>
      <c r="F521" s="1">
        <v>835298</v>
      </c>
      <c r="G521" s="1">
        <v>1600027558</v>
      </c>
      <c r="H521" s="1">
        <v>14</v>
      </c>
      <c r="I521" s="1" t="s">
        <v>259</v>
      </c>
      <c r="J521" t="s">
        <v>1256</v>
      </c>
    </row>
    <row r="522" spans="1:10">
      <c r="A522" s="1">
        <v>456301</v>
      </c>
      <c r="B522" s="1">
        <v>4113061122</v>
      </c>
      <c r="C522" s="1">
        <v>12</v>
      </c>
      <c r="D522" s="1" t="s">
        <v>1096</v>
      </c>
      <c r="E522" t="s">
        <v>1178</v>
      </c>
      <c r="F522" s="1">
        <v>452516</v>
      </c>
      <c r="G522" s="1">
        <v>1600027531</v>
      </c>
      <c r="H522" s="1">
        <v>12</v>
      </c>
      <c r="I522" s="1" t="s">
        <v>1257</v>
      </c>
      <c r="J522" t="s">
        <v>1258</v>
      </c>
    </row>
    <row r="523" spans="1:10">
      <c r="A523" s="1">
        <v>456327</v>
      </c>
      <c r="B523" s="1">
        <v>4113061123</v>
      </c>
      <c r="C523" s="1">
        <v>8</v>
      </c>
      <c r="D523" s="1" t="s">
        <v>910</v>
      </c>
      <c r="E523" t="s">
        <v>1179</v>
      </c>
      <c r="F523" s="1">
        <v>533299</v>
      </c>
      <c r="G523" s="1">
        <v>1600027552</v>
      </c>
      <c r="H523" s="1">
        <v>10</v>
      </c>
      <c r="I523" s="1" t="s">
        <v>259</v>
      </c>
      <c r="J523" t="s">
        <v>1259</v>
      </c>
    </row>
    <row r="524" spans="1:10">
      <c r="A524" s="1">
        <v>456319</v>
      </c>
      <c r="B524" s="1">
        <v>4113061121</v>
      </c>
      <c r="C524" s="1">
        <v>12</v>
      </c>
      <c r="D524" s="1" t="s">
        <v>1096</v>
      </c>
      <c r="E524" t="s">
        <v>1179</v>
      </c>
      <c r="F524" s="1">
        <v>292631</v>
      </c>
      <c r="G524" s="1">
        <v>1600027559</v>
      </c>
      <c r="H524" s="1">
        <v>14</v>
      </c>
      <c r="I524" s="1" t="s">
        <v>1199</v>
      </c>
      <c r="J524" t="s">
        <v>1260</v>
      </c>
    </row>
    <row r="525" spans="1:10">
      <c r="A525" s="1">
        <v>330514</v>
      </c>
      <c r="B525" s="1">
        <v>4113061115</v>
      </c>
      <c r="C525" s="1">
        <v>11</v>
      </c>
      <c r="D525" s="1" t="s">
        <v>1180</v>
      </c>
      <c r="E525" t="s">
        <v>1181</v>
      </c>
      <c r="F525" s="1">
        <v>831404</v>
      </c>
      <c r="G525" s="1">
        <v>1600027549</v>
      </c>
      <c r="H525" s="1">
        <v>10</v>
      </c>
      <c r="I525" s="1" t="s">
        <v>259</v>
      </c>
      <c r="J525" t="s">
        <v>1261</v>
      </c>
    </row>
    <row r="526" spans="1:10">
      <c r="A526" s="1">
        <v>330498</v>
      </c>
      <c r="B526" s="1">
        <v>4113061117</v>
      </c>
      <c r="C526" s="1">
        <v>12</v>
      </c>
      <c r="D526" s="1" t="s">
        <v>742</v>
      </c>
      <c r="E526" t="s">
        <v>1182</v>
      </c>
      <c r="F526" s="1">
        <v>402768</v>
      </c>
      <c r="G526" s="1">
        <v>1600014154</v>
      </c>
      <c r="H526" s="1">
        <v>12</v>
      </c>
      <c r="I526" s="1" t="s">
        <v>31</v>
      </c>
      <c r="J526" t="s">
        <v>1262</v>
      </c>
    </row>
    <row r="527" spans="1:10">
      <c r="A527" s="1">
        <v>330720</v>
      </c>
      <c r="B527" s="1">
        <v>4113061116</v>
      </c>
      <c r="C527" s="1">
        <v>15</v>
      </c>
      <c r="D527" s="1" t="s">
        <v>1180</v>
      </c>
      <c r="E527" t="s">
        <v>1183</v>
      </c>
      <c r="F527" s="1">
        <v>477760</v>
      </c>
      <c r="G527" s="1">
        <v>1600027507</v>
      </c>
      <c r="H527" s="1">
        <v>12</v>
      </c>
      <c r="I527" s="1" t="s">
        <v>1199</v>
      </c>
      <c r="J527" t="s">
        <v>1263</v>
      </c>
    </row>
    <row r="528" spans="1:10">
      <c r="A528" s="1">
        <v>329706</v>
      </c>
      <c r="B528" s="1">
        <v>4113061114</v>
      </c>
      <c r="C528" s="1">
        <v>13</v>
      </c>
      <c r="D528" s="1" t="s">
        <v>363</v>
      </c>
      <c r="E528" t="s">
        <v>1184</v>
      </c>
      <c r="F528" s="1">
        <v>499145</v>
      </c>
      <c r="G528" s="1">
        <v>1600027519</v>
      </c>
      <c r="H528" s="1">
        <v>10</v>
      </c>
      <c r="I528" s="1" t="s">
        <v>940</v>
      </c>
      <c r="J528" t="s">
        <v>1263</v>
      </c>
    </row>
    <row r="529" spans="1:10">
      <c r="A529" s="1">
        <v>175711</v>
      </c>
      <c r="B529" s="1">
        <v>5030011615</v>
      </c>
      <c r="C529" s="1">
        <v>12</v>
      </c>
      <c r="D529" s="1" t="s">
        <v>910</v>
      </c>
      <c r="E529" t="s">
        <v>1185</v>
      </c>
      <c r="F529" s="1">
        <v>294256</v>
      </c>
      <c r="G529" s="1">
        <v>1600027551</v>
      </c>
      <c r="H529" s="1">
        <v>12</v>
      </c>
      <c r="I529" s="1" t="s">
        <v>1264</v>
      </c>
      <c r="J529" t="s">
        <v>1263</v>
      </c>
    </row>
    <row r="530" spans="1:10" ht="15.75">
      <c r="A530" s="4" t="s">
        <v>10688</v>
      </c>
      <c r="B530" s="2"/>
      <c r="C530" s="2"/>
      <c r="D530" s="2"/>
      <c r="E530" s="3"/>
      <c r="F530" s="1">
        <v>73577</v>
      </c>
      <c r="G530" s="1">
        <v>1600027548</v>
      </c>
      <c r="H530" s="1">
        <v>12</v>
      </c>
      <c r="I530" s="1" t="s">
        <v>1265</v>
      </c>
      <c r="J530" t="s">
        <v>1266</v>
      </c>
    </row>
    <row r="531" spans="1:10">
      <c r="A531" s="2" t="s">
        <v>0</v>
      </c>
      <c r="B531" s="2" t="s">
        <v>1</v>
      </c>
      <c r="C531" s="2" t="s">
        <v>2</v>
      </c>
      <c r="D531" s="2" t="s">
        <v>3</v>
      </c>
      <c r="E531" s="3" t="s">
        <v>4</v>
      </c>
      <c r="F531" s="1">
        <v>407288</v>
      </c>
      <c r="G531" s="1">
        <v>1600027523</v>
      </c>
      <c r="H531" s="1">
        <v>12</v>
      </c>
      <c r="I531" s="1" t="s">
        <v>1267</v>
      </c>
      <c r="J531" t="s">
        <v>1268</v>
      </c>
    </row>
    <row r="532" spans="1:10">
      <c r="A532" s="1">
        <v>767012</v>
      </c>
      <c r="B532" s="1">
        <v>1600028605</v>
      </c>
      <c r="C532" s="1">
        <v>12</v>
      </c>
      <c r="D532" s="1" t="s">
        <v>1221</v>
      </c>
      <c r="E532" t="s">
        <v>1222</v>
      </c>
      <c r="F532" s="1">
        <v>373886</v>
      </c>
      <c r="G532" s="1">
        <v>1600027511</v>
      </c>
      <c r="H532" s="1">
        <v>12</v>
      </c>
      <c r="I532" s="1" t="s">
        <v>1269</v>
      </c>
      <c r="J532" t="s">
        <v>1270</v>
      </c>
    </row>
    <row r="533" spans="1:10">
      <c r="A533" s="1">
        <v>321729</v>
      </c>
      <c r="B533" s="1">
        <v>1600026344</v>
      </c>
      <c r="C533" s="1">
        <v>12</v>
      </c>
      <c r="D533" s="1" t="s">
        <v>1180</v>
      </c>
      <c r="E533" t="s">
        <v>1223</v>
      </c>
      <c r="F533" s="1">
        <v>563536</v>
      </c>
      <c r="G533" s="1">
        <v>1600027568</v>
      </c>
      <c r="H533" s="1">
        <v>14</v>
      </c>
      <c r="I533" s="1" t="s">
        <v>1271</v>
      </c>
      <c r="J533" t="s">
        <v>1270</v>
      </c>
    </row>
    <row r="534" spans="1:10" ht="15.75">
      <c r="A534" s="4" t="s">
        <v>10688</v>
      </c>
      <c r="B534" s="2"/>
      <c r="C534" s="2"/>
      <c r="D534" s="2"/>
      <c r="E534" s="3"/>
      <c r="F534" s="4" t="s">
        <v>10688</v>
      </c>
      <c r="G534" s="2"/>
      <c r="H534" s="2"/>
      <c r="I534" s="2"/>
      <c r="J534" s="3"/>
    </row>
    <row r="535" spans="1:10">
      <c r="A535" s="2" t="s">
        <v>0</v>
      </c>
      <c r="B535" s="2" t="s">
        <v>1</v>
      </c>
      <c r="C535" s="2" t="s">
        <v>2</v>
      </c>
      <c r="D535" s="2" t="s">
        <v>3</v>
      </c>
      <c r="E535" s="3" t="s">
        <v>4</v>
      </c>
      <c r="F535" s="2" t="s">
        <v>0</v>
      </c>
      <c r="G535" s="2" t="s">
        <v>1</v>
      </c>
      <c r="H535" s="2" t="s">
        <v>2</v>
      </c>
      <c r="I535" s="2" t="s">
        <v>3</v>
      </c>
      <c r="J535" s="3" t="s">
        <v>4</v>
      </c>
    </row>
    <row r="536" spans="1:10">
      <c r="A536" s="1">
        <v>312421</v>
      </c>
      <c r="B536" s="1">
        <v>1600028608</v>
      </c>
      <c r="C536" s="1">
        <v>12</v>
      </c>
      <c r="D536" s="1" t="s">
        <v>1272</v>
      </c>
      <c r="E536" t="s">
        <v>1273</v>
      </c>
      <c r="F536" s="1">
        <v>121335</v>
      </c>
      <c r="G536" s="1">
        <v>1862774100</v>
      </c>
      <c r="H536" s="1">
        <v>12</v>
      </c>
      <c r="I536" s="1" t="s">
        <v>910</v>
      </c>
      <c r="J536" t="s">
        <v>1315</v>
      </c>
    </row>
    <row r="537" spans="1:10">
      <c r="A537" s="1">
        <v>349647</v>
      </c>
      <c r="B537" s="1">
        <v>1600027517</v>
      </c>
      <c r="C537" s="1">
        <v>12</v>
      </c>
      <c r="D537" s="1" t="s">
        <v>615</v>
      </c>
      <c r="E537" t="s">
        <v>1274</v>
      </c>
      <c r="F537" s="1">
        <v>121319</v>
      </c>
      <c r="G537" s="1">
        <v>1862702350</v>
      </c>
      <c r="H537" s="1">
        <v>12</v>
      </c>
      <c r="I537" s="1" t="s">
        <v>379</v>
      </c>
      <c r="J537" t="s">
        <v>1316</v>
      </c>
    </row>
    <row r="538" spans="1:10">
      <c r="A538" s="1">
        <v>213876</v>
      </c>
      <c r="B538" s="1">
        <v>1600027575</v>
      </c>
      <c r="C538" s="1">
        <v>14</v>
      </c>
      <c r="D538" s="1" t="s">
        <v>1275</v>
      </c>
      <c r="E538" t="s">
        <v>1276</v>
      </c>
      <c r="F538" s="1">
        <v>73742</v>
      </c>
      <c r="G538" s="1">
        <v>1862783700</v>
      </c>
      <c r="H538" s="1">
        <v>12</v>
      </c>
      <c r="I538" s="1" t="s">
        <v>259</v>
      </c>
      <c r="J538" t="s">
        <v>1317</v>
      </c>
    </row>
    <row r="539" spans="1:10">
      <c r="A539" s="1">
        <v>442129</v>
      </c>
      <c r="B539" s="1">
        <v>1600019807</v>
      </c>
      <c r="C539" s="1">
        <v>12</v>
      </c>
      <c r="D539" s="1" t="s">
        <v>1267</v>
      </c>
      <c r="E539" t="s">
        <v>1277</v>
      </c>
      <c r="F539" s="1">
        <v>121327</v>
      </c>
      <c r="G539" s="1">
        <v>1862751002</v>
      </c>
      <c r="H539" s="1">
        <v>12</v>
      </c>
      <c r="I539" s="1" t="s">
        <v>621</v>
      </c>
      <c r="J539" t="s">
        <v>1318</v>
      </c>
    </row>
    <row r="540" spans="1:10">
      <c r="A540" s="1">
        <v>203562</v>
      </c>
      <c r="B540" s="1">
        <v>1600019806</v>
      </c>
      <c r="C540" s="1">
        <v>12</v>
      </c>
      <c r="D540" s="1" t="s">
        <v>363</v>
      </c>
      <c r="E540" t="s">
        <v>1278</v>
      </c>
      <c r="F540" s="1">
        <v>372201</v>
      </c>
      <c r="G540" s="1">
        <v>1862774150</v>
      </c>
      <c r="H540" s="1">
        <v>12</v>
      </c>
      <c r="I540" s="1" t="s">
        <v>910</v>
      </c>
      <c r="J540" t="s">
        <v>1319</v>
      </c>
    </row>
    <row r="541" spans="1:10">
      <c r="A541" s="1">
        <v>562553</v>
      </c>
      <c r="B541" s="1">
        <v>1600040272</v>
      </c>
      <c r="C541" s="1">
        <v>12</v>
      </c>
      <c r="D541" s="1" t="s">
        <v>834</v>
      </c>
      <c r="E541" t="s">
        <v>1279</v>
      </c>
      <c r="F541" s="1">
        <v>2717</v>
      </c>
      <c r="G541" s="1">
        <v>1862751003</v>
      </c>
      <c r="H541" s="1">
        <v>12</v>
      </c>
      <c r="I541" s="1" t="s">
        <v>1320</v>
      </c>
      <c r="J541" t="s">
        <v>1321</v>
      </c>
    </row>
    <row r="542" spans="1:10">
      <c r="A542" s="1">
        <v>451807</v>
      </c>
      <c r="B542" s="1">
        <v>1600027505</v>
      </c>
      <c r="C542" s="1">
        <v>12</v>
      </c>
      <c r="D542" s="1" t="s">
        <v>1280</v>
      </c>
      <c r="E542" t="s">
        <v>1281</v>
      </c>
      <c r="F542" s="1">
        <v>474411</v>
      </c>
      <c r="G542" s="1">
        <v>1862743717</v>
      </c>
      <c r="H542" s="1">
        <v>16</v>
      </c>
      <c r="I542" s="1" t="s">
        <v>706</v>
      </c>
      <c r="J542" t="s">
        <v>1322</v>
      </c>
    </row>
    <row r="543" spans="1:10">
      <c r="A543" s="1">
        <v>281261</v>
      </c>
      <c r="B543" s="1">
        <v>1600016294</v>
      </c>
      <c r="C543" s="1">
        <v>12</v>
      </c>
      <c r="D543" s="1" t="s">
        <v>1275</v>
      </c>
      <c r="E543" t="s">
        <v>1282</v>
      </c>
      <c r="F543" s="1">
        <v>369629</v>
      </c>
      <c r="G543" s="1">
        <v>1862783500</v>
      </c>
      <c r="H543" s="1">
        <v>16</v>
      </c>
      <c r="I543" s="1" t="s">
        <v>706</v>
      </c>
      <c r="J543" t="s">
        <v>1323</v>
      </c>
    </row>
    <row r="544" spans="1:10">
      <c r="A544" s="1">
        <v>463034</v>
      </c>
      <c r="B544" s="1">
        <v>1600027578</v>
      </c>
      <c r="C544" s="1">
        <v>12</v>
      </c>
      <c r="D544" s="1" t="s">
        <v>1254</v>
      </c>
      <c r="E544" t="s">
        <v>1283</v>
      </c>
      <c r="F544" s="1">
        <v>122069</v>
      </c>
      <c r="G544" s="1">
        <v>1862783100</v>
      </c>
      <c r="H544" s="1">
        <v>12</v>
      </c>
      <c r="I544" s="1" t="s">
        <v>401</v>
      </c>
      <c r="J544" t="s">
        <v>1324</v>
      </c>
    </row>
    <row r="545" spans="1:10">
      <c r="A545" s="1">
        <v>396507</v>
      </c>
      <c r="B545" s="1">
        <v>1600027516</v>
      </c>
      <c r="C545" s="1">
        <v>12</v>
      </c>
      <c r="D545" s="1" t="s">
        <v>347</v>
      </c>
      <c r="E545" t="s">
        <v>1284</v>
      </c>
      <c r="F545" s="1">
        <v>121087</v>
      </c>
      <c r="G545" s="1">
        <v>1862783300</v>
      </c>
      <c r="H545" s="1">
        <v>16</v>
      </c>
      <c r="I545" s="1" t="s">
        <v>706</v>
      </c>
      <c r="J545" t="s">
        <v>1325</v>
      </c>
    </row>
    <row r="546" spans="1:10">
      <c r="A546" s="1">
        <v>270736</v>
      </c>
      <c r="B546" s="1">
        <v>1600027533</v>
      </c>
      <c r="C546" s="1">
        <v>10</v>
      </c>
      <c r="D546" s="1" t="s">
        <v>381</v>
      </c>
      <c r="E546" t="s">
        <v>1284</v>
      </c>
      <c r="F546" s="1">
        <v>121301</v>
      </c>
      <c r="G546" s="1">
        <v>1862702345</v>
      </c>
      <c r="H546" s="1">
        <v>12</v>
      </c>
      <c r="I546" s="1" t="s">
        <v>358</v>
      </c>
      <c r="J546" t="s">
        <v>1326</v>
      </c>
    </row>
    <row r="547" spans="1:10">
      <c r="A547" s="1">
        <v>424085</v>
      </c>
      <c r="B547" s="1">
        <v>1600027567</v>
      </c>
      <c r="C547" s="1">
        <v>14</v>
      </c>
      <c r="D547" s="1" t="s">
        <v>347</v>
      </c>
      <c r="E547" t="s">
        <v>1285</v>
      </c>
      <c r="F547" s="1">
        <v>5140</v>
      </c>
      <c r="G547" s="1">
        <v>1862737546</v>
      </c>
      <c r="H547" s="1">
        <v>12</v>
      </c>
      <c r="I547" s="1" t="s">
        <v>259</v>
      </c>
      <c r="J547" t="s">
        <v>1327</v>
      </c>
    </row>
    <row r="548" spans="1:10">
      <c r="A548" s="1">
        <v>696997</v>
      </c>
      <c r="B548" s="1">
        <v>1600027525</v>
      </c>
      <c r="C548" s="1">
        <v>12</v>
      </c>
      <c r="D548" s="1" t="s">
        <v>496</v>
      </c>
      <c r="E548" t="s">
        <v>1285</v>
      </c>
      <c r="F548" s="1">
        <v>703983</v>
      </c>
      <c r="G548" s="1">
        <v>1862724000</v>
      </c>
      <c r="H548" s="1">
        <v>12</v>
      </c>
      <c r="I548" s="1" t="s">
        <v>379</v>
      </c>
      <c r="J548" t="s">
        <v>1328</v>
      </c>
    </row>
    <row r="549" spans="1:10">
      <c r="A549" s="1">
        <v>289918</v>
      </c>
      <c r="B549" s="1">
        <v>1600027579</v>
      </c>
      <c r="C549" s="1">
        <v>12</v>
      </c>
      <c r="D549" s="1" t="s">
        <v>347</v>
      </c>
      <c r="E549" t="s">
        <v>1286</v>
      </c>
      <c r="F549" s="1">
        <v>167221</v>
      </c>
      <c r="G549" s="1">
        <v>3800086350</v>
      </c>
      <c r="H549" s="1">
        <v>60</v>
      </c>
      <c r="I549" s="1" t="s">
        <v>163</v>
      </c>
      <c r="J549" t="s">
        <v>1329</v>
      </c>
    </row>
    <row r="550" spans="1:10">
      <c r="A550" s="1">
        <v>579755</v>
      </c>
      <c r="B550" s="1">
        <v>1600027534</v>
      </c>
      <c r="C550" s="1">
        <v>12</v>
      </c>
      <c r="D550" s="1" t="s">
        <v>703</v>
      </c>
      <c r="E550" t="s">
        <v>1287</v>
      </c>
      <c r="F550" s="1">
        <v>549576</v>
      </c>
      <c r="G550" s="1">
        <v>3800001411</v>
      </c>
      <c r="H550" s="1">
        <v>10</v>
      </c>
      <c r="I550" s="1" t="s">
        <v>1330</v>
      </c>
      <c r="J550" t="s">
        <v>1331</v>
      </c>
    </row>
    <row r="551" spans="1:10">
      <c r="A551" s="1">
        <v>96297</v>
      </c>
      <c r="B551" s="1">
        <v>1600014156</v>
      </c>
      <c r="C551" s="1">
        <v>12</v>
      </c>
      <c r="D551" s="1" t="s">
        <v>130</v>
      </c>
      <c r="E551" t="s">
        <v>1288</v>
      </c>
      <c r="F551" s="1">
        <v>542266</v>
      </c>
      <c r="G551" s="1">
        <v>3800030400</v>
      </c>
      <c r="H551" s="1">
        <v>12</v>
      </c>
      <c r="I551" s="1" t="s">
        <v>1332</v>
      </c>
      <c r="J551" t="s">
        <v>1333</v>
      </c>
    </row>
    <row r="552" spans="1:10">
      <c r="A552" s="1">
        <v>394296</v>
      </c>
      <c r="B552" s="1">
        <v>1600027569</v>
      </c>
      <c r="C552" s="1">
        <v>14</v>
      </c>
      <c r="D552" s="1" t="s">
        <v>381</v>
      </c>
      <c r="E552" t="s">
        <v>1289</v>
      </c>
      <c r="F552" s="1">
        <v>708057</v>
      </c>
      <c r="G552" s="1">
        <v>3800027357</v>
      </c>
      <c r="H552" s="1">
        <v>12</v>
      </c>
      <c r="I552" s="1" t="s">
        <v>1334</v>
      </c>
      <c r="J552" t="s">
        <v>1335</v>
      </c>
    </row>
    <row r="553" spans="1:10">
      <c r="A553" s="1">
        <v>749978</v>
      </c>
      <c r="B553" s="1">
        <v>1600027509</v>
      </c>
      <c r="C553" s="1">
        <v>10</v>
      </c>
      <c r="D553" s="1" t="s">
        <v>439</v>
      </c>
      <c r="E553" t="s">
        <v>1289</v>
      </c>
      <c r="F553" s="1">
        <v>744524</v>
      </c>
      <c r="G553" s="1">
        <v>3800039134</v>
      </c>
      <c r="H553" s="1">
        <v>16</v>
      </c>
      <c r="I553" s="1" t="s">
        <v>1336</v>
      </c>
      <c r="J553" t="s">
        <v>1337</v>
      </c>
    </row>
    <row r="554" spans="1:10">
      <c r="A554" s="1">
        <v>774000</v>
      </c>
      <c r="B554" s="1">
        <v>1600027538</v>
      </c>
      <c r="C554" s="1">
        <v>12</v>
      </c>
      <c r="D554" s="1" t="s">
        <v>940</v>
      </c>
      <c r="E554" t="s">
        <v>1290</v>
      </c>
      <c r="F554" s="1">
        <v>445924</v>
      </c>
      <c r="G554" s="1">
        <v>3800039136</v>
      </c>
      <c r="H554" s="1">
        <v>12</v>
      </c>
      <c r="I554" s="1" t="s">
        <v>940</v>
      </c>
      <c r="J554" t="s">
        <v>1338</v>
      </c>
    </row>
    <row r="555" spans="1:10">
      <c r="A555" s="1">
        <v>449876</v>
      </c>
      <c r="B555" s="1">
        <v>1600027539</v>
      </c>
      <c r="C555" s="1">
        <v>12</v>
      </c>
      <c r="D555" s="1" t="s">
        <v>632</v>
      </c>
      <c r="E555" t="s">
        <v>1291</v>
      </c>
      <c r="F555" s="1">
        <v>702381</v>
      </c>
      <c r="G555" s="1">
        <v>3800039132</v>
      </c>
      <c r="H555" s="1">
        <v>12</v>
      </c>
      <c r="I555" s="1" t="s">
        <v>1339</v>
      </c>
      <c r="J555" t="s">
        <v>1340</v>
      </c>
    </row>
    <row r="556" spans="1:10">
      <c r="A556" s="1">
        <v>837740</v>
      </c>
      <c r="B556" s="1">
        <v>1600027577</v>
      </c>
      <c r="C556" s="1">
        <v>12</v>
      </c>
      <c r="D556" s="1" t="s">
        <v>742</v>
      </c>
      <c r="E556" t="s">
        <v>1292</v>
      </c>
      <c r="F556" s="1">
        <v>471326</v>
      </c>
      <c r="G556" s="1">
        <v>3800038923</v>
      </c>
      <c r="H556" s="1">
        <v>12</v>
      </c>
      <c r="I556" s="1" t="s">
        <v>1341</v>
      </c>
      <c r="J556" t="s">
        <v>1342</v>
      </c>
    </row>
    <row r="557" spans="1:10">
      <c r="A557" s="1">
        <v>753871</v>
      </c>
      <c r="B557" s="1">
        <v>1600027503</v>
      </c>
      <c r="C557" s="1">
        <v>12</v>
      </c>
      <c r="D557" s="1" t="s">
        <v>379</v>
      </c>
      <c r="E557" t="s">
        <v>1293</v>
      </c>
      <c r="F557" s="1">
        <v>708073</v>
      </c>
      <c r="G557" s="1">
        <v>3800026754</v>
      </c>
      <c r="H557" s="1">
        <v>12</v>
      </c>
      <c r="I557" s="1" t="s">
        <v>1343</v>
      </c>
      <c r="J557" t="s">
        <v>1344</v>
      </c>
    </row>
    <row r="558" spans="1:10">
      <c r="A558" s="1">
        <v>351080</v>
      </c>
      <c r="B558" s="1">
        <v>1600027566</v>
      </c>
      <c r="C558" s="1">
        <v>14</v>
      </c>
      <c r="D558" s="1" t="s">
        <v>632</v>
      </c>
      <c r="E558" t="s">
        <v>1293</v>
      </c>
      <c r="F558" s="1">
        <v>659979</v>
      </c>
      <c r="G558" s="1">
        <v>3800038948</v>
      </c>
      <c r="H558" s="1">
        <v>12</v>
      </c>
      <c r="I558" s="1" t="s">
        <v>381</v>
      </c>
      <c r="J558" t="s">
        <v>1345</v>
      </c>
    </row>
    <row r="559" spans="1:10">
      <c r="A559" s="1">
        <v>399113</v>
      </c>
      <c r="B559" s="1">
        <v>1600027529</v>
      </c>
      <c r="C559" s="1">
        <v>12</v>
      </c>
      <c r="D559" s="1" t="s">
        <v>1294</v>
      </c>
      <c r="E559" t="s">
        <v>1295</v>
      </c>
      <c r="F559" s="1">
        <v>42911</v>
      </c>
      <c r="G559" s="1">
        <v>3800028914</v>
      </c>
      <c r="H559" s="1">
        <v>12</v>
      </c>
      <c r="I559" s="1" t="s">
        <v>381</v>
      </c>
      <c r="J559" t="s">
        <v>1346</v>
      </c>
    </row>
    <row r="560" spans="1:10">
      <c r="A560" s="1">
        <v>737296</v>
      </c>
      <c r="B560" s="1">
        <v>1600014164</v>
      </c>
      <c r="C560" s="1">
        <v>12</v>
      </c>
      <c r="D560" s="1" t="s">
        <v>910</v>
      </c>
      <c r="E560" t="s">
        <v>1296</v>
      </c>
      <c r="F560" s="1">
        <v>29447</v>
      </c>
      <c r="G560" s="1">
        <v>3800001302</v>
      </c>
      <c r="H560" s="1">
        <v>12</v>
      </c>
      <c r="I560" s="1" t="s">
        <v>1347</v>
      </c>
      <c r="J560" t="s">
        <v>1348</v>
      </c>
    </row>
    <row r="561" spans="1:10">
      <c r="A561" s="1">
        <v>8128</v>
      </c>
      <c r="B561" s="1">
        <v>1600027576</v>
      </c>
      <c r="C561" s="1">
        <v>12</v>
      </c>
      <c r="D561" s="1" t="s">
        <v>1294</v>
      </c>
      <c r="E561" t="s">
        <v>1297</v>
      </c>
      <c r="F561" s="1">
        <v>132480</v>
      </c>
      <c r="G561" s="1">
        <v>3800000600</v>
      </c>
      <c r="H561" s="1">
        <v>14</v>
      </c>
      <c r="I561" s="1" t="s">
        <v>1349</v>
      </c>
      <c r="J561" t="s">
        <v>1350</v>
      </c>
    </row>
    <row r="562" spans="1:10">
      <c r="A562" s="1">
        <v>510230</v>
      </c>
      <c r="B562" s="1">
        <v>1600027513</v>
      </c>
      <c r="C562" s="1">
        <v>12</v>
      </c>
      <c r="D562" s="1" t="s">
        <v>1298</v>
      </c>
      <c r="E562" t="s">
        <v>1299</v>
      </c>
      <c r="F562" s="1">
        <v>29348</v>
      </c>
      <c r="G562" s="1">
        <v>3800000120</v>
      </c>
      <c r="H562" s="1">
        <v>12</v>
      </c>
      <c r="I562" s="1" t="s">
        <v>632</v>
      </c>
      <c r="J562" t="s">
        <v>1351</v>
      </c>
    </row>
    <row r="563" spans="1:10">
      <c r="A563" s="1">
        <v>145532</v>
      </c>
      <c r="B563" s="1">
        <v>1600027514</v>
      </c>
      <c r="C563" s="1">
        <v>14</v>
      </c>
      <c r="D563" s="1" t="s">
        <v>1300</v>
      </c>
      <c r="E563" t="s">
        <v>1299</v>
      </c>
      <c r="F563" s="1">
        <v>29314</v>
      </c>
      <c r="G563" s="1">
        <v>3800000127</v>
      </c>
      <c r="H563" s="1">
        <v>14</v>
      </c>
      <c r="I563" s="1" t="s">
        <v>439</v>
      </c>
      <c r="J563" t="s">
        <v>1351</v>
      </c>
    </row>
    <row r="564" spans="1:10">
      <c r="A564" s="1">
        <v>27128</v>
      </c>
      <c r="B564" s="1">
        <v>1600027522</v>
      </c>
      <c r="C564" s="1">
        <v>12</v>
      </c>
      <c r="D564" s="1" t="s">
        <v>1301</v>
      </c>
      <c r="E564" t="s">
        <v>1302</v>
      </c>
      <c r="F564" s="1">
        <v>30924</v>
      </c>
      <c r="G564" s="1">
        <v>3800003530</v>
      </c>
      <c r="H564" s="1">
        <v>14</v>
      </c>
      <c r="I564" s="1" t="s">
        <v>347</v>
      </c>
      <c r="J564" t="s">
        <v>1352</v>
      </c>
    </row>
    <row r="565" spans="1:10">
      <c r="A565" s="1">
        <v>887281</v>
      </c>
      <c r="B565" s="1">
        <v>1600027563</v>
      </c>
      <c r="C565" s="1">
        <v>14</v>
      </c>
      <c r="D565" s="1" t="s">
        <v>381</v>
      </c>
      <c r="E565" t="s">
        <v>1302</v>
      </c>
      <c r="F565" s="1">
        <v>136754</v>
      </c>
      <c r="G565" s="1">
        <v>3800005220</v>
      </c>
      <c r="H565" s="1">
        <v>12</v>
      </c>
      <c r="I565" s="1" t="s">
        <v>365</v>
      </c>
      <c r="J565" t="s">
        <v>1353</v>
      </c>
    </row>
    <row r="566" spans="1:10">
      <c r="A566" s="1">
        <v>773697</v>
      </c>
      <c r="B566" s="1">
        <v>1600027532</v>
      </c>
      <c r="C566" s="1">
        <v>12</v>
      </c>
      <c r="D566" s="1" t="s">
        <v>1303</v>
      </c>
      <c r="E566" t="s">
        <v>1304</v>
      </c>
      <c r="F566" s="1">
        <v>29298</v>
      </c>
      <c r="G566" s="1">
        <v>3800000820</v>
      </c>
      <c r="H566" s="1">
        <v>16</v>
      </c>
      <c r="I566" s="1" t="s">
        <v>938</v>
      </c>
      <c r="J566" t="s">
        <v>1354</v>
      </c>
    </row>
    <row r="567" spans="1:10">
      <c r="A567" s="1">
        <v>547026</v>
      </c>
      <c r="B567" s="1">
        <v>1600027572</v>
      </c>
      <c r="C567" s="1">
        <v>14</v>
      </c>
      <c r="D567" s="1" t="s">
        <v>1305</v>
      </c>
      <c r="E567" t="s">
        <v>1304</v>
      </c>
      <c r="F567" s="1">
        <v>30239</v>
      </c>
      <c r="G567" s="1">
        <v>3800000828</v>
      </c>
      <c r="H567" s="1">
        <v>14</v>
      </c>
      <c r="I567" s="1" t="s">
        <v>1355</v>
      </c>
      <c r="J567" t="s">
        <v>1354</v>
      </c>
    </row>
    <row r="568" spans="1:10">
      <c r="A568" s="1">
        <v>749440</v>
      </c>
      <c r="B568" s="1">
        <v>1600027524</v>
      </c>
      <c r="C568" s="1">
        <v>12</v>
      </c>
      <c r="D568" s="1" t="s">
        <v>1227</v>
      </c>
      <c r="E568" t="s">
        <v>1306</v>
      </c>
      <c r="F568" s="1">
        <v>30692</v>
      </c>
      <c r="G568" s="1">
        <v>3800001611</v>
      </c>
      <c r="H568" s="1">
        <v>14</v>
      </c>
      <c r="I568" s="1" t="s">
        <v>347</v>
      </c>
      <c r="J568" t="s">
        <v>1356</v>
      </c>
    </row>
    <row r="569" spans="1:10">
      <c r="A569" s="1">
        <v>462895</v>
      </c>
      <c r="B569" s="1">
        <v>1600027565</v>
      </c>
      <c r="C569" s="1">
        <v>14</v>
      </c>
      <c r="D569" s="1" t="s">
        <v>1275</v>
      </c>
      <c r="E569" t="s">
        <v>1306</v>
      </c>
      <c r="F569" s="1">
        <v>30676</v>
      </c>
      <c r="G569" s="1">
        <v>3800001621</v>
      </c>
      <c r="H569" s="1">
        <v>12</v>
      </c>
      <c r="I569" s="1" t="s">
        <v>632</v>
      </c>
      <c r="J569" t="s">
        <v>1356</v>
      </c>
    </row>
    <row r="570" spans="1:10">
      <c r="A570" s="1">
        <v>849752</v>
      </c>
      <c r="B570" s="1">
        <v>1862738686</v>
      </c>
      <c r="C570" s="1">
        <v>12</v>
      </c>
      <c r="D570" s="1" t="s">
        <v>347</v>
      </c>
      <c r="E570" t="s">
        <v>1307</v>
      </c>
      <c r="F570" s="1">
        <v>136770</v>
      </c>
      <c r="G570" s="1">
        <v>3800005332</v>
      </c>
      <c r="H570" s="1">
        <v>12</v>
      </c>
      <c r="I570" s="1" t="s">
        <v>1357</v>
      </c>
      <c r="J570" t="s">
        <v>1358</v>
      </c>
    </row>
    <row r="571" spans="1:10">
      <c r="A571" s="1">
        <v>121244</v>
      </c>
      <c r="B571" s="1">
        <v>1862702355</v>
      </c>
      <c r="C571" s="1">
        <v>12</v>
      </c>
      <c r="D571" s="1" t="s">
        <v>259</v>
      </c>
      <c r="E571" t="s">
        <v>1308</v>
      </c>
      <c r="F571" s="1">
        <v>30064</v>
      </c>
      <c r="G571" s="1">
        <v>3800002720</v>
      </c>
      <c r="H571" s="1">
        <v>16</v>
      </c>
      <c r="I571" s="1" t="s">
        <v>381</v>
      </c>
      <c r="J571" t="s">
        <v>1359</v>
      </c>
    </row>
    <row r="572" spans="1:10">
      <c r="A572" s="1">
        <v>13698</v>
      </c>
      <c r="B572" s="1">
        <v>1862737544</v>
      </c>
      <c r="C572" s="1">
        <v>12</v>
      </c>
      <c r="D572" s="1" t="s">
        <v>1309</v>
      </c>
      <c r="E572" t="s">
        <v>1310</v>
      </c>
      <c r="F572" s="1">
        <v>802462</v>
      </c>
      <c r="G572" s="1">
        <v>3800032559</v>
      </c>
      <c r="H572" s="1">
        <v>10</v>
      </c>
      <c r="I572" s="1" t="s">
        <v>632</v>
      </c>
      <c r="J572" t="s">
        <v>1360</v>
      </c>
    </row>
    <row r="573" spans="1:10">
      <c r="A573" s="1">
        <v>121343</v>
      </c>
      <c r="B573" s="1">
        <v>1862774000</v>
      </c>
      <c r="C573" s="1">
        <v>12</v>
      </c>
      <c r="D573" s="1" t="s">
        <v>1311</v>
      </c>
      <c r="E573" t="s">
        <v>1312</v>
      </c>
      <c r="F573" s="1">
        <v>665448</v>
      </c>
      <c r="G573" s="1">
        <v>3800039492</v>
      </c>
      <c r="H573" s="1">
        <v>12</v>
      </c>
      <c r="I573" s="1" t="s">
        <v>1361</v>
      </c>
      <c r="J573" t="s">
        <v>1362</v>
      </c>
    </row>
    <row r="574" spans="1:10">
      <c r="A574" s="1">
        <v>341081</v>
      </c>
      <c r="B574" s="1">
        <v>1862743652</v>
      </c>
      <c r="C574" s="1">
        <v>12</v>
      </c>
      <c r="D574" s="1" t="s">
        <v>1313</v>
      </c>
      <c r="E574" t="s">
        <v>1314</v>
      </c>
      <c r="F574" s="1">
        <v>321950</v>
      </c>
      <c r="G574" s="1">
        <v>3800009456</v>
      </c>
      <c r="H574" s="1">
        <v>60</v>
      </c>
      <c r="I574" s="1" t="s">
        <v>1363</v>
      </c>
      <c r="J574" t="s">
        <v>1364</v>
      </c>
    </row>
    <row r="575" spans="1:10" ht="15.75">
      <c r="A575" s="4" t="s">
        <v>10688</v>
      </c>
      <c r="B575" s="2"/>
      <c r="C575" s="2"/>
      <c r="D575" s="2"/>
      <c r="E575" s="3"/>
      <c r="F575" s="4" t="s">
        <v>10688</v>
      </c>
      <c r="G575" s="2"/>
      <c r="H575" s="2"/>
      <c r="I575" s="2"/>
      <c r="J575" s="3"/>
    </row>
    <row r="576" spans="1:10">
      <c r="A576" s="2" t="s">
        <v>0</v>
      </c>
      <c r="B576" s="2" t="s">
        <v>1</v>
      </c>
      <c r="C576" s="2" t="s">
        <v>2</v>
      </c>
      <c r="D576" s="2" t="s">
        <v>3</v>
      </c>
      <c r="E576" s="3" t="s">
        <v>4</v>
      </c>
      <c r="F576" s="2" t="s">
        <v>0</v>
      </c>
      <c r="G576" s="2" t="s">
        <v>1</v>
      </c>
      <c r="H576" s="2" t="s">
        <v>2</v>
      </c>
      <c r="I576" s="2" t="s">
        <v>3</v>
      </c>
      <c r="J576" s="3" t="s">
        <v>4</v>
      </c>
    </row>
    <row r="577" spans="1:10">
      <c r="A577" s="1">
        <v>629741</v>
      </c>
      <c r="B577" s="1">
        <v>3800033916</v>
      </c>
      <c r="C577" s="1">
        <v>12</v>
      </c>
      <c r="D577" s="1" t="s">
        <v>524</v>
      </c>
      <c r="E577" t="s">
        <v>1365</v>
      </c>
      <c r="F577" s="1">
        <v>549584</v>
      </c>
      <c r="G577" s="1">
        <v>3800008020</v>
      </c>
      <c r="H577" s="1">
        <v>10</v>
      </c>
      <c r="I577" s="1" t="s">
        <v>1407</v>
      </c>
      <c r="J577" t="s">
        <v>1408</v>
      </c>
    </row>
    <row r="578" spans="1:10">
      <c r="A578" s="1">
        <v>66902</v>
      </c>
      <c r="B578" s="1">
        <v>3800048280</v>
      </c>
      <c r="C578" s="1">
        <v>6</v>
      </c>
      <c r="D578" s="1" t="s">
        <v>1366</v>
      </c>
      <c r="E578" t="s">
        <v>1367</v>
      </c>
      <c r="F578" s="1">
        <v>575340</v>
      </c>
      <c r="G578" s="1">
        <v>3800042753</v>
      </c>
      <c r="H578" s="1">
        <v>10</v>
      </c>
      <c r="I578" s="1" t="s">
        <v>1409</v>
      </c>
      <c r="J578" t="s">
        <v>1410</v>
      </c>
    </row>
    <row r="579" spans="1:10">
      <c r="A579" s="1">
        <v>30635</v>
      </c>
      <c r="B579" s="1">
        <v>3800000110</v>
      </c>
      <c r="C579" s="1">
        <v>14</v>
      </c>
      <c r="D579" s="1" t="s">
        <v>347</v>
      </c>
      <c r="E579" t="s">
        <v>1368</v>
      </c>
      <c r="F579" s="1">
        <v>255901</v>
      </c>
      <c r="G579" s="1">
        <v>3800042736</v>
      </c>
      <c r="H579" s="1">
        <v>10</v>
      </c>
      <c r="I579" s="1" t="s">
        <v>1409</v>
      </c>
      <c r="J579" t="s">
        <v>1411</v>
      </c>
    </row>
    <row r="580" spans="1:10">
      <c r="A580" s="1">
        <v>488973</v>
      </c>
      <c r="B580" s="1">
        <v>3800000101</v>
      </c>
      <c r="C580" s="1">
        <v>10</v>
      </c>
      <c r="D580" s="1" t="s">
        <v>360</v>
      </c>
      <c r="E580" t="s">
        <v>1368</v>
      </c>
      <c r="F580" s="1">
        <v>33670</v>
      </c>
      <c r="G580" s="1">
        <v>3800001912</v>
      </c>
      <c r="H580" s="1">
        <v>16</v>
      </c>
      <c r="I580" s="1" t="s">
        <v>347</v>
      </c>
      <c r="J580" t="s">
        <v>1412</v>
      </c>
    </row>
    <row r="581" spans="1:10">
      <c r="A581" s="1">
        <v>462291</v>
      </c>
      <c r="B581" s="1">
        <v>3800039109</v>
      </c>
      <c r="C581" s="1">
        <v>16</v>
      </c>
      <c r="D581" s="1" t="s">
        <v>1369</v>
      </c>
      <c r="E581" t="s">
        <v>1370</v>
      </c>
      <c r="F581" s="1">
        <v>497792</v>
      </c>
      <c r="G581" s="1">
        <v>3800000810</v>
      </c>
      <c r="H581" s="1">
        <v>10</v>
      </c>
      <c r="I581" s="1" t="s">
        <v>910</v>
      </c>
      <c r="J581" t="s">
        <v>1413</v>
      </c>
    </row>
    <row r="582" spans="1:10">
      <c r="A582" s="1">
        <v>831537</v>
      </c>
      <c r="B582" s="1">
        <v>3800039111</v>
      </c>
      <c r="C582" s="1">
        <v>12</v>
      </c>
      <c r="D582" s="1" t="s">
        <v>1371</v>
      </c>
      <c r="E582" t="s">
        <v>1370</v>
      </c>
      <c r="F582" s="1">
        <v>28449</v>
      </c>
      <c r="G582" s="1">
        <v>3800075040</v>
      </c>
      <c r="H582" s="1">
        <v>14</v>
      </c>
      <c r="I582" s="1" t="s">
        <v>1355</v>
      </c>
      <c r="J582" t="s">
        <v>1414</v>
      </c>
    </row>
    <row r="583" spans="1:10">
      <c r="A583" s="1">
        <v>452474</v>
      </c>
      <c r="B583" s="1">
        <v>3800039116</v>
      </c>
      <c r="C583" s="1">
        <v>12</v>
      </c>
      <c r="D583" s="1" t="s">
        <v>1372</v>
      </c>
      <c r="E583" t="s">
        <v>1373</v>
      </c>
      <c r="F583" s="1">
        <v>680132</v>
      </c>
      <c r="G583" s="1">
        <v>3800031846</v>
      </c>
      <c r="H583" s="1">
        <v>16</v>
      </c>
      <c r="I583" s="1" t="s">
        <v>347</v>
      </c>
      <c r="J583" t="s">
        <v>1415</v>
      </c>
    </row>
    <row r="584" spans="1:10">
      <c r="A584" s="1">
        <v>184341</v>
      </c>
      <c r="B584" s="1">
        <v>3800037061</v>
      </c>
      <c r="C584" s="1">
        <v>8</v>
      </c>
      <c r="D584" s="1" t="s">
        <v>1193</v>
      </c>
      <c r="E584" t="s">
        <v>1374</v>
      </c>
      <c r="F584" s="1">
        <v>485516</v>
      </c>
      <c r="G584" s="1">
        <v>3800031844</v>
      </c>
      <c r="H584" s="1">
        <v>16</v>
      </c>
      <c r="I584" s="1" t="s">
        <v>546</v>
      </c>
      <c r="J584" t="s">
        <v>1415</v>
      </c>
    </row>
    <row r="585" spans="1:10">
      <c r="A585" s="1">
        <v>864355</v>
      </c>
      <c r="B585" s="1">
        <v>3800063560</v>
      </c>
      <c r="C585" s="1">
        <v>60</v>
      </c>
      <c r="D585" s="1" t="s">
        <v>163</v>
      </c>
      <c r="E585" t="s">
        <v>1375</v>
      </c>
      <c r="F585" s="1">
        <v>781807</v>
      </c>
      <c r="G585" s="1">
        <v>3800029121</v>
      </c>
      <c r="H585" s="1">
        <v>12</v>
      </c>
      <c r="I585" s="1" t="s">
        <v>632</v>
      </c>
      <c r="J585" t="s">
        <v>1416</v>
      </c>
    </row>
    <row r="586" spans="1:10">
      <c r="A586" s="1">
        <v>825539</v>
      </c>
      <c r="B586" s="1">
        <v>3800034495</v>
      </c>
      <c r="C586" s="1">
        <v>10</v>
      </c>
      <c r="D586" s="1" t="s">
        <v>1334</v>
      </c>
      <c r="E586" t="s">
        <v>1376</v>
      </c>
      <c r="F586" s="1">
        <v>550673</v>
      </c>
      <c r="G586" s="1">
        <v>3800086360</v>
      </c>
      <c r="H586" s="1">
        <v>60</v>
      </c>
      <c r="I586" s="1" t="s">
        <v>56</v>
      </c>
      <c r="J586" t="s">
        <v>1417</v>
      </c>
    </row>
    <row r="587" spans="1:10">
      <c r="A587" s="1">
        <v>558668</v>
      </c>
      <c r="B587" s="1">
        <v>3800004530</v>
      </c>
      <c r="C587" s="1">
        <v>10</v>
      </c>
      <c r="D587" s="1" t="s">
        <v>940</v>
      </c>
      <c r="E587" t="s">
        <v>1377</v>
      </c>
      <c r="F587" s="1">
        <v>67108</v>
      </c>
      <c r="G587" s="1">
        <v>3800077900</v>
      </c>
      <c r="H587" s="1">
        <v>6</v>
      </c>
      <c r="I587" s="1" t="s">
        <v>1418</v>
      </c>
      <c r="J587" t="s">
        <v>1419</v>
      </c>
    </row>
    <row r="588" spans="1:10">
      <c r="A588" s="1">
        <v>28340</v>
      </c>
      <c r="B588" s="1">
        <v>3800087010</v>
      </c>
      <c r="C588" s="1">
        <v>16</v>
      </c>
      <c r="D588" s="1" t="s">
        <v>1378</v>
      </c>
      <c r="E588" t="s">
        <v>1379</v>
      </c>
      <c r="F588" s="1">
        <v>546515</v>
      </c>
      <c r="G588" s="1">
        <v>3800042875</v>
      </c>
      <c r="H588" s="1">
        <v>10</v>
      </c>
      <c r="I588" s="1" t="s">
        <v>259</v>
      </c>
      <c r="J588" t="s">
        <v>1420</v>
      </c>
    </row>
    <row r="589" spans="1:10">
      <c r="A589" s="1">
        <v>708024</v>
      </c>
      <c r="B589" s="1">
        <v>3800026817</v>
      </c>
      <c r="C589" s="1">
        <v>10</v>
      </c>
      <c r="D589" s="1" t="s">
        <v>1180</v>
      </c>
      <c r="E589" t="s">
        <v>1380</v>
      </c>
      <c r="F589" s="1">
        <v>357285</v>
      </c>
      <c r="G589" s="1">
        <v>3800031827</v>
      </c>
      <c r="H589" s="1">
        <v>12</v>
      </c>
      <c r="I589" s="1" t="s">
        <v>1320</v>
      </c>
      <c r="J589" t="s">
        <v>1421</v>
      </c>
    </row>
    <row r="590" spans="1:10">
      <c r="A590" s="1">
        <v>31179</v>
      </c>
      <c r="B590" s="1">
        <v>3800001932</v>
      </c>
      <c r="C590" s="1">
        <v>12</v>
      </c>
      <c r="D590" s="1" t="s">
        <v>1271</v>
      </c>
      <c r="E590" t="s">
        <v>1381</v>
      </c>
      <c r="F590" s="1">
        <v>660027</v>
      </c>
      <c r="G590" s="1">
        <v>3800043082</v>
      </c>
      <c r="H590" s="1">
        <v>12</v>
      </c>
      <c r="I590" s="1" t="s">
        <v>940</v>
      </c>
      <c r="J590" t="s">
        <v>1422</v>
      </c>
    </row>
    <row r="591" spans="1:10">
      <c r="A591" s="1">
        <v>281618</v>
      </c>
      <c r="B591" s="1">
        <v>3800063530</v>
      </c>
      <c r="C591" s="1">
        <v>60</v>
      </c>
      <c r="D591" s="1" t="s">
        <v>163</v>
      </c>
      <c r="E591" t="s">
        <v>1382</v>
      </c>
      <c r="F591" s="1">
        <v>470336</v>
      </c>
      <c r="G591" s="1">
        <v>3800039512</v>
      </c>
      <c r="H591" s="1">
        <v>8</v>
      </c>
      <c r="I591" s="1" t="s">
        <v>1423</v>
      </c>
      <c r="J591" t="s">
        <v>1424</v>
      </c>
    </row>
    <row r="592" spans="1:10">
      <c r="A592" s="1">
        <v>417055</v>
      </c>
      <c r="B592" s="1">
        <v>3800039118</v>
      </c>
      <c r="C592" s="1">
        <v>16</v>
      </c>
      <c r="D592" s="1" t="s">
        <v>1336</v>
      </c>
      <c r="E592" t="s">
        <v>1383</v>
      </c>
      <c r="F592" s="1">
        <v>755207</v>
      </c>
      <c r="G592" s="1">
        <v>3800039514</v>
      </c>
      <c r="H592" s="1">
        <v>8</v>
      </c>
      <c r="I592" s="1" t="s">
        <v>352</v>
      </c>
      <c r="J592" t="s">
        <v>1425</v>
      </c>
    </row>
    <row r="593" spans="1:10">
      <c r="A593" s="1">
        <v>701813</v>
      </c>
      <c r="B593" s="1">
        <v>3800039120</v>
      </c>
      <c r="C593" s="1">
        <v>12</v>
      </c>
      <c r="D593" s="1" t="s">
        <v>940</v>
      </c>
      <c r="E593" t="s">
        <v>1383</v>
      </c>
      <c r="F593" s="1">
        <v>200337</v>
      </c>
      <c r="G593" s="1">
        <v>3800022775</v>
      </c>
      <c r="H593" s="1">
        <v>12</v>
      </c>
      <c r="I593" s="1" t="s">
        <v>1426</v>
      </c>
      <c r="J593" t="s">
        <v>1427</v>
      </c>
    </row>
    <row r="594" spans="1:10">
      <c r="A594" s="1">
        <v>364182</v>
      </c>
      <c r="B594" s="1">
        <v>3800039125</v>
      </c>
      <c r="C594" s="1">
        <v>12</v>
      </c>
      <c r="D594" s="1" t="s">
        <v>1339</v>
      </c>
      <c r="E594" t="s">
        <v>1383</v>
      </c>
      <c r="F594" s="1">
        <v>695585</v>
      </c>
      <c r="G594" s="1">
        <v>3800039103</v>
      </c>
      <c r="H594" s="1">
        <v>16</v>
      </c>
      <c r="I594" s="1" t="s">
        <v>1428</v>
      </c>
      <c r="J594" t="s">
        <v>1429</v>
      </c>
    </row>
    <row r="595" spans="1:10">
      <c r="A595" s="1">
        <v>30767</v>
      </c>
      <c r="B595" s="1">
        <v>3800002727</v>
      </c>
      <c r="C595" s="1">
        <v>14</v>
      </c>
      <c r="D595" s="1" t="s">
        <v>1384</v>
      </c>
      <c r="E595" t="s">
        <v>1385</v>
      </c>
      <c r="F595" s="1">
        <v>29280</v>
      </c>
      <c r="G595" s="1">
        <v>3800066330</v>
      </c>
      <c r="H595" s="1">
        <v>16</v>
      </c>
      <c r="I595" s="1" t="s">
        <v>706</v>
      </c>
      <c r="J595" t="s">
        <v>1430</v>
      </c>
    </row>
    <row r="596" spans="1:10">
      <c r="A596" s="1">
        <v>775916</v>
      </c>
      <c r="B596" s="1">
        <v>3800031836</v>
      </c>
      <c r="C596" s="1">
        <v>16</v>
      </c>
      <c r="D596" s="1" t="s">
        <v>259</v>
      </c>
      <c r="E596" t="s">
        <v>1386</v>
      </c>
      <c r="F596" s="1">
        <v>31344</v>
      </c>
      <c r="G596" s="1">
        <v>3800005960</v>
      </c>
      <c r="H596" s="1">
        <v>16</v>
      </c>
      <c r="I596" s="1" t="s">
        <v>370</v>
      </c>
      <c r="J596" t="s">
        <v>1431</v>
      </c>
    </row>
    <row r="597" spans="1:10">
      <c r="A597" s="1">
        <v>695296</v>
      </c>
      <c r="B597" s="1">
        <v>3800031838</v>
      </c>
      <c r="C597" s="1">
        <v>16</v>
      </c>
      <c r="D597" s="1" t="s">
        <v>940</v>
      </c>
      <c r="E597" t="s">
        <v>1386</v>
      </c>
      <c r="F597" s="1">
        <v>708065</v>
      </c>
      <c r="G597" s="1">
        <v>3800024490</v>
      </c>
      <c r="H597" s="1">
        <v>12</v>
      </c>
      <c r="I597" s="1" t="s">
        <v>1426</v>
      </c>
      <c r="J597" t="s">
        <v>1432</v>
      </c>
    </row>
    <row r="598" spans="1:10">
      <c r="A598" s="1">
        <v>767764</v>
      </c>
      <c r="B598" s="1">
        <v>3800031841</v>
      </c>
      <c r="C598" s="1">
        <v>12</v>
      </c>
      <c r="D598" s="1" t="s">
        <v>1387</v>
      </c>
      <c r="E598" t="s">
        <v>1386</v>
      </c>
      <c r="F598" s="1">
        <v>567636</v>
      </c>
      <c r="G598" s="1">
        <v>3800037399</v>
      </c>
      <c r="H598" s="1">
        <v>12</v>
      </c>
      <c r="I598" s="1" t="s">
        <v>1433</v>
      </c>
      <c r="J598" t="s">
        <v>1434</v>
      </c>
    </row>
    <row r="599" spans="1:10">
      <c r="A599" s="1">
        <v>29132</v>
      </c>
      <c r="B599" s="1">
        <v>3800020962</v>
      </c>
      <c r="C599" s="1">
        <v>14</v>
      </c>
      <c r="D599" s="1" t="s">
        <v>706</v>
      </c>
      <c r="E599" t="s">
        <v>1388</v>
      </c>
      <c r="F599" s="1">
        <v>232538</v>
      </c>
      <c r="G599" s="1">
        <v>3800024330</v>
      </c>
      <c r="H599" s="1">
        <v>12</v>
      </c>
      <c r="I599" s="1" t="s">
        <v>1199</v>
      </c>
      <c r="J599" t="s">
        <v>1435</v>
      </c>
    </row>
    <row r="600" spans="1:10">
      <c r="A600" s="1">
        <v>158667</v>
      </c>
      <c r="B600" s="1">
        <v>3800031829</v>
      </c>
      <c r="C600" s="1">
        <v>16</v>
      </c>
      <c r="D600" s="1" t="s">
        <v>632</v>
      </c>
      <c r="E600" t="s">
        <v>1389</v>
      </c>
      <c r="F600" s="1">
        <v>552919</v>
      </c>
      <c r="G600" s="1">
        <v>3800035701</v>
      </c>
      <c r="H600" s="1">
        <v>12</v>
      </c>
      <c r="I600" s="1" t="s">
        <v>1369</v>
      </c>
      <c r="J600" t="s">
        <v>1436</v>
      </c>
    </row>
    <row r="601" spans="1:10">
      <c r="A601" s="1">
        <v>687392</v>
      </c>
      <c r="B601" s="1">
        <v>3800031834</v>
      </c>
      <c r="C601" s="1">
        <v>14</v>
      </c>
      <c r="D601" s="1" t="s">
        <v>439</v>
      </c>
      <c r="E601" t="s">
        <v>1389</v>
      </c>
      <c r="F601" s="1">
        <v>30957</v>
      </c>
      <c r="G601" s="1">
        <v>3800060160</v>
      </c>
      <c r="H601" s="1">
        <v>16</v>
      </c>
      <c r="I601" s="1" t="s">
        <v>347</v>
      </c>
      <c r="J601" t="s">
        <v>1437</v>
      </c>
    </row>
    <row r="602" spans="1:10">
      <c r="A602" s="1">
        <v>66969</v>
      </c>
      <c r="B602" s="1">
        <v>3800091610</v>
      </c>
      <c r="C602" s="1">
        <v>6</v>
      </c>
      <c r="D602" s="1" t="s">
        <v>1390</v>
      </c>
      <c r="E602" t="s">
        <v>1391</v>
      </c>
      <c r="F602" s="1">
        <v>29991</v>
      </c>
      <c r="G602" s="1">
        <v>3800020913</v>
      </c>
      <c r="H602" s="1">
        <v>12</v>
      </c>
      <c r="I602" s="1" t="s">
        <v>1180</v>
      </c>
      <c r="J602" t="s">
        <v>1438</v>
      </c>
    </row>
    <row r="603" spans="1:10">
      <c r="A603" s="1">
        <v>325951</v>
      </c>
      <c r="B603" s="1">
        <v>3800063570</v>
      </c>
      <c r="C603" s="1">
        <v>60</v>
      </c>
      <c r="D603" s="1" t="s">
        <v>212</v>
      </c>
      <c r="E603" t="s">
        <v>1392</v>
      </c>
      <c r="F603" s="1">
        <v>34892</v>
      </c>
      <c r="G603" s="1">
        <v>3800003644</v>
      </c>
      <c r="H603" s="1">
        <v>16</v>
      </c>
      <c r="I603" s="1" t="s">
        <v>1439</v>
      </c>
      <c r="J603" t="s">
        <v>1440</v>
      </c>
    </row>
    <row r="604" spans="1:10">
      <c r="A604" s="1">
        <v>395699</v>
      </c>
      <c r="B604" s="1">
        <v>3800037058</v>
      </c>
      <c r="C604" s="1">
        <v>8</v>
      </c>
      <c r="D604" s="1" t="s">
        <v>1393</v>
      </c>
      <c r="E604" t="s">
        <v>1394</v>
      </c>
      <c r="F604" s="1">
        <v>30460</v>
      </c>
      <c r="G604" s="1">
        <v>3800007648</v>
      </c>
      <c r="H604" s="1">
        <v>12</v>
      </c>
      <c r="I604" s="1" t="s">
        <v>259</v>
      </c>
      <c r="J604" t="s">
        <v>1441</v>
      </c>
    </row>
    <row r="605" spans="1:10">
      <c r="A605" s="1">
        <v>786079</v>
      </c>
      <c r="B605" s="1">
        <v>3800034051</v>
      </c>
      <c r="C605" s="1">
        <v>16</v>
      </c>
      <c r="D605" s="1" t="s">
        <v>963</v>
      </c>
      <c r="E605" t="s">
        <v>1395</v>
      </c>
      <c r="F605" s="1">
        <v>453019</v>
      </c>
      <c r="G605" s="1">
        <v>3800063550</v>
      </c>
      <c r="H605" s="1">
        <v>60</v>
      </c>
      <c r="I605" s="1" t="s">
        <v>15</v>
      </c>
      <c r="J605" t="s">
        <v>1442</v>
      </c>
    </row>
    <row r="606" spans="1:10">
      <c r="A606" s="1">
        <v>346676</v>
      </c>
      <c r="B606" s="1">
        <v>3800033918</v>
      </c>
      <c r="C606" s="1">
        <v>12</v>
      </c>
      <c r="D606" s="1" t="s">
        <v>524</v>
      </c>
      <c r="E606" t="s">
        <v>1396</v>
      </c>
      <c r="F606" s="1">
        <v>168377</v>
      </c>
      <c r="G606" s="1">
        <v>3800043787</v>
      </c>
      <c r="H606" s="1">
        <v>12</v>
      </c>
      <c r="I606" s="1" t="s">
        <v>717</v>
      </c>
      <c r="J606" t="s">
        <v>1443</v>
      </c>
    </row>
    <row r="607" spans="1:10">
      <c r="A607" s="1">
        <v>622720</v>
      </c>
      <c r="B607" s="1">
        <v>3800035801</v>
      </c>
      <c r="C607" s="1">
        <v>12</v>
      </c>
      <c r="D607" s="1" t="s">
        <v>1397</v>
      </c>
      <c r="E607" t="s">
        <v>1398</v>
      </c>
      <c r="F607" s="1">
        <v>192591</v>
      </c>
      <c r="G607" s="1">
        <v>3800030402</v>
      </c>
      <c r="H607" s="1">
        <v>12</v>
      </c>
      <c r="I607" s="1" t="s">
        <v>1444</v>
      </c>
      <c r="J607" t="s">
        <v>1445</v>
      </c>
    </row>
    <row r="608" spans="1:10">
      <c r="A608" s="1">
        <v>23671</v>
      </c>
      <c r="B608" s="1">
        <v>3800039260</v>
      </c>
      <c r="C608" s="1">
        <v>8</v>
      </c>
      <c r="D608" s="1" t="s">
        <v>1393</v>
      </c>
      <c r="E608" t="s">
        <v>1399</v>
      </c>
      <c r="F608" s="1">
        <v>775296</v>
      </c>
      <c r="G608" s="1">
        <v>3800035982</v>
      </c>
      <c r="H608" s="1">
        <v>14</v>
      </c>
      <c r="I608" s="1" t="s">
        <v>632</v>
      </c>
      <c r="J608" t="s">
        <v>1446</v>
      </c>
    </row>
    <row r="609" spans="1:10">
      <c r="A609" s="1">
        <v>629865</v>
      </c>
      <c r="B609" s="1">
        <v>3800043031</v>
      </c>
      <c r="C609" s="1">
        <v>12</v>
      </c>
      <c r="D609" s="1" t="s">
        <v>432</v>
      </c>
      <c r="E609" t="s">
        <v>1400</v>
      </c>
      <c r="F609" s="1">
        <v>745406</v>
      </c>
      <c r="G609" s="1">
        <v>1600040945</v>
      </c>
      <c r="H609" s="1">
        <v>14</v>
      </c>
      <c r="I609" s="1" t="s">
        <v>347</v>
      </c>
      <c r="J609" t="s">
        <v>1447</v>
      </c>
    </row>
    <row r="610" spans="1:10">
      <c r="A610" s="1">
        <v>238634</v>
      </c>
      <c r="B610" s="1">
        <v>3800042206</v>
      </c>
      <c r="C610" s="1">
        <v>12</v>
      </c>
      <c r="D610" s="1" t="s">
        <v>546</v>
      </c>
      <c r="E610" t="s">
        <v>1401</v>
      </c>
      <c r="F610" s="1">
        <v>316331</v>
      </c>
      <c r="G610" s="1">
        <v>4240009887</v>
      </c>
      <c r="H610" s="1">
        <v>12</v>
      </c>
      <c r="I610" s="1" t="s">
        <v>632</v>
      </c>
      <c r="J610" t="s">
        <v>1448</v>
      </c>
    </row>
    <row r="611" spans="1:10">
      <c r="A611" s="1">
        <v>858969</v>
      </c>
      <c r="B611" s="1">
        <v>3800043239</v>
      </c>
      <c r="C611" s="1">
        <v>12</v>
      </c>
      <c r="D611" s="1" t="s">
        <v>904</v>
      </c>
      <c r="E611" t="s">
        <v>1402</v>
      </c>
      <c r="F611" s="1">
        <v>238527</v>
      </c>
      <c r="G611" s="1">
        <v>4240009771</v>
      </c>
      <c r="H611" s="1">
        <v>15</v>
      </c>
      <c r="I611" s="1" t="s">
        <v>1449</v>
      </c>
      <c r="J611" t="s">
        <v>1450</v>
      </c>
    </row>
    <row r="612" spans="1:10">
      <c r="A612" s="1">
        <v>552307</v>
      </c>
      <c r="B612" s="1">
        <v>3800038497</v>
      </c>
      <c r="C612" s="1">
        <v>12</v>
      </c>
      <c r="D612" s="1" t="s">
        <v>370</v>
      </c>
      <c r="E612" t="s">
        <v>1403</v>
      </c>
      <c r="F612" s="1">
        <v>186718</v>
      </c>
      <c r="G612" s="1">
        <v>4240009765</v>
      </c>
      <c r="H612" s="1">
        <v>12</v>
      </c>
      <c r="I612" s="1" t="s">
        <v>1451</v>
      </c>
      <c r="J612" t="s">
        <v>1452</v>
      </c>
    </row>
    <row r="613" spans="1:10">
      <c r="A613" s="1">
        <v>497859</v>
      </c>
      <c r="B613" s="1">
        <v>3800013730</v>
      </c>
      <c r="C613" s="1">
        <v>10</v>
      </c>
      <c r="D613" s="1" t="s">
        <v>632</v>
      </c>
      <c r="E613" t="s">
        <v>1404</v>
      </c>
      <c r="F613" s="1">
        <v>410902</v>
      </c>
      <c r="G613" s="1">
        <v>4240009889</v>
      </c>
      <c r="H613" s="1">
        <v>12</v>
      </c>
      <c r="I613" s="1" t="s">
        <v>381</v>
      </c>
      <c r="J613" t="s">
        <v>1453</v>
      </c>
    </row>
    <row r="614" spans="1:10">
      <c r="A614" s="1">
        <v>497834</v>
      </c>
      <c r="B614" s="1">
        <v>3800013830</v>
      </c>
      <c r="C614" s="1">
        <v>10</v>
      </c>
      <c r="D614" s="1" t="s">
        <v>632</v>
      </c>
      <c r="E614" t="s">
        <v>1405</v>
      </c>
      <c r="F614" s="1">
        <v>499368</v>
      </c>
      <c r="G614" s="1">
        <v>4240009772</v>
      </c>
      <c r="H614" s="1">
        <v>16</v>
      </c>
      <c r="I614" s="1" t="s">
        <v>1454</v>
      </c>
      <c r="J614" t="s">
        <v>1455</v>
      </c>
    </row>
    <row r="615" spans="1:10">
      <c r="A615" s="1">
        <v>30379</v>
      </c>
      <c r="B615" s="1">
        <v>3800086230</v>
      </c>
      <c r="C615" s="1">
        <v>16</v>
      </c>
      <c r="D615" s="1" t="s">
        <v>692</v>
      </c>
      <c r="E615" t="s">
        <v>1406</v>
      </c>
      <c r="F615" s="1">
        <v>306233</v>
      </c>
      <c r="G615" s="1">
        <v>4240009759</v>
      </c>
      <c r="H615" s="1">
        <v>15</v>
      </c>
      <c r="I615" s="1" t="s">
        <v>908</v>
      </c>
      <c r="J615" t="s">
        <v>1456</v>
      </c>
    </row>
    <row r="616" spans="1:10" ht="15.75">
      <c r="A616" s="4" t="s">
        <v>10688</v>
      </c>
      <c r="B616" s="2"/>
      <c r="C616" s="2"/>
      <c r="D616" s="2"/>
      <c r="E616" s="3"/>
      <c r="F616" s="4" t="s">
        <v>10688</v>
      </c>
      <c r="G616" s="2"/>
      <c r="H616" s="2"/>
      <c r="I616" s="2"/>
      <c r="J616" s="3"/>
    </row>
    <row r="617" spans="1:10">
      <c r="A617" s="2" t="s">
        <v>0</v>
      </c>
      <c r="B617" s="2" t="s">
        <v>1</v>
      </c>
      <c r="C617" s="2" t="s">
        <v>2</v>
      </c>
      <c r="D617" s="2" t="s">
        <v>3</v>
      </c>
      <c r="E617" s="3" t="s">
        <v>4</v>
      </c>
      <c r="F617" s="2" t="s">
        <v>0</v>
      </c>
      <c r="G617" s="2" t="s">
        <v>1</v>
      </c>
      <c r="H617" s="2" t="s">
        <v>2</v>
      </c>
      <c r="I617" s="2" t="s">
        <v>3</v>
      </c>
      <c r="J617" s="3" t="s">
        <v>4</v>
      </c>
    </row>
    <row r="618" spans="1:10">
      <c r="A618" s="1">
        <v>260968</v>
      </c>
      <c r="B618" s="1">
        <v>4240009762</v>
      </c>
      <c r="C618" s="1">
        <v>12</v>
      </c>
      <c r="D618" s="1" t="s">
        <v>1361</v>
      </c>
      <c r="E618" t="s">
        <v>1457</v>
      </c>
      <c r="F618" s="1">
        <v>422824</v>
      </c>
      <c r="G618" s="1">
        <v>4300001425</v>
      </c>
      <c r="H618" s="1">
        <v>12</v>
      </c>
      <c r="I618" s="1" t="s">
        <v>1409</v>
      </c>
      <c r="J618" t="s">
        <v>1501</v>
      </c>
    </row>
    <row r="619" spans="1:10">
      <c r="A619" s="1">
        <v>863712</v>
      </c>
      <c r="B619" s="1">
        <v>4240009755</v>
      </c>
      <c r="C619" s="1">
        <v>15</v>
      </c>
      <c r="D619" s="1" t="s">
        <v>1458</v>
      </c>
      <c r="E619" t="s">
        <v>1459</v>
      </c>
      <c r="F619" s="1">
        <v>414417</v>
      </c>
      <c r="G619" s="1">
        <v>4300001427</v>
      </c>
      <c r="H619" s="1">
        <v>10</v>
      </c>
      <c r="I619" s="1" t="s">
        <v>574</v>
      </c>
      <c r="J619" t="s">
        <v>1501</v>
      </c>
    </row>
    <row r="620" spans="1:10">
      <c r="A620" s="1">
        <v>148999</v>
      </c>
      <c r="B620" s="1">
        <v>4240009800</v>
      </c>
      <c r="C620" s="1">
        <v>12</v>
      </c>
      <c r="D620" s="1" t="s">
        <v>1387</v>
      </c>
      <c r="E620" t="s">
        <v>1460</v>
      </c>
      <c r="F620" s="1">
        <v>438226</v>
      </c>
      <c r="G620" s="1">
        <v>4300001279</v>
      </c>
      <c r="H620" s="1">
        <v>12</v>
      </c>
      <c r="I620" s="1" t="s">
        <v>1409</v>
      </c>
      <c r="J620" t="s">
        <v>1502</v>
      </c>
    </row>
    <row r="621" spans="1:10">
      <c r="A621" s="1">
        <v>864926</v>
      </c>
      <c r="B621" s="1">
        <v>4240092578</v>
      </c>
      <c r="C621" s="1">
        <v>6</v>
      </c>
      <c r="D621" s="1" t="s">
        <v>1461</v>
      </c>
      <c r="E621" t="s">
        <v>1462</v>
      </c>
      <c r="F621" s="1">
        <v>162875</v>
      </c>
      <c r="G621" s="1">
        <v>4300001424</v>
      </c>
      <c r="H621" s="1">
        <v>12</v>
      </c>
      <c r="I621" s="1" t="s">
        <v>1409</v>
      </c>
      <c r="J621" t="s">
        <v>1503</v>
      </c>
    </row>
    <row r="622" spans="1:10">
      <c r="A622" s="1">
        <v>145524</v>
      </c>
      <c r="B622" s="1">
        <v>4240009760</v>
      </c>
      <c r="C622" s="1">
        <v>15</v>
      </c>
      <c r="D622" s="1" t="s">
        <v>908</v>
      </c>
      <c r="E622" t="s">
        <v>1463</v>
      </c>
      <c r="F622" s="1">
        <v>336768</v>
      </c>
      <c r="G622" s="1">
        <v>4300002639</v>
      </c>
      <c r="H622" s="1">
        <v>12</v>
      </c>
      <c r="I622" s="1" t="s">
        <v>940</v>
      </c>
      <c r="J622" t="s">
        <v>1504</v>
      </c>
    </row>
    <row r="623" spans="1:10">
      <c r="A623" s="1">
        <v>419705</v>
      </c>
      <c r="B623" s="1">
        <v>4240093778</v>
      </c>
      <c r="C623" s="1">
        <v>6</v>
      </c>
      <c r="D623" s="1" t="s">
        <v>722</v>
      </c>
      <c r="E623" t="s">
        <v>1464</v>
      </c>
      <c r="F623" s="1">
        <v>121046</v>
      </c>
      <c r="G623" s="1">
        <v>4300002640</v>
      </c>
      <c r="H623" s="1">
        <v>12</v>
      </c>
      <c r="I623" s="1" t="s">
        <v>940</v>
      </c>
      <c r="J623" t="s">
        <v>1505</v>
      </c>
    </row>
    <row r="624" spans="1:10">
      <c r="A624" s="1">
        <v>97949</v>
      </c>
      <c r="B624" s="1">
        <v>4240090478</v>
      </c>
      <c r="C624" s="1">
        <v>6</v>
      </c>
      <c r="D624" s="1" t="s">
        <v>1465</v>
      </c>
      <c r="E624" t="s">
        <v>1466</v>
      </c>
      <c r="F624" s="1">
        <v>688168</v>
      </c>
      <c r="G624" s="1">
        <v>4300001786</v>
      </c>
      <c r="H624" s="1">
        <v>12</v>
      </c>
      <c r="I624" s="1" t="s">
        <v>632</v>
      </c>
      <c r="J624" t="s">
        <v>1506</v>
      </c>
    </row>
    <row r="625" spans="1:10">
      <c r="A625" s="1">
        <v>323071</v>
      </c>
      <c r="B625" s="1">
        <v>4240009757</v>
      </c>
      <c r="C625" s="1">
        <v>12</v>
      </c>
      <c r="D625" s="1" t="s">
        <v>908</v>
      </c>
      <c r="E625" t="s">
        <v>1467</v>
      </c>
      <c r="F625" s="1">
        <v>505818</v>
      </c>
      <c r="G625" s="1">
        <v>4300002336</v>
      </c>
      <c r="H625" s="1">
        <v>12</v>
      </c>
      <c r="I625" s="1" t="s">
        <v>1409</v>
      </c>
      <c r="J625" t="s">
        <v>1507</v>
      </c>
    </row>
    <row r="626" spans="1:10">
      <c r="A626" s="1">
        <v>473843</v>
      </c>
      <c r="B626" s="1">
        <v>4240091278</v>
      </c>
      <c r="C626" s="1">
        <v>6</v>
      </c>
      <c r="D626" s="1" t="s">
        <v>1468</v>
      </c>
      <c r="E626" t="s">
        <v>1469</v>
      </c>
      <c r="F626" s="1">
        <v>64204</v>
      </c>
      <c r="G626" s="1">
        <v>4300011221</v>
      </c>
      <c r="H626" s="1">
        <v>12</v>
      </c>
      <c r="I626" s="1" t="s">
        <v>379</v>
      </c>
      <c r="J626" t="s">
        <v>1508</v>
      </c>
    </row>
    <row r="627" spans="1:10">
      <c r="A627" s="1">
        <v>512863</v>
      </c>
      <c r="B627" s="1">
        <v>4240009758</v>
      </c>
      <c r="C627" s="1">
        <v>12</v>
      </c>
      <c r="D627" s="1" t="s">
        <v>574</v>
      </c>
      <c r="E627" t="s">
        <v>1470</v>
      </c>
      <c r="F627" s="1">
        <v>879643</v>
      </c>
      <c r="G627" s="1">
        <v>4300002911</v>
      </c>
      <c r="H627" s="1">
        <v>10</v>
      </c>
      <c r="I627" s="1" t="s">
        <v>1409</v>
      </c>
      <c r="J627" t="s">
        <v>1509</v>
      </c>
    </row>
    <row r="628" spans="1:10">
      <c r="A628" s="1">
        <v>479162</v>
      </c>
      <c r="B628" s="1">
        <v>4240009763</v>
      </c>
      <c r="C628" s="1">
        <v>15</v>
      </c>
      <c r="D628" s="1" t="s">
        <v>1454</v>
      </c>
      <c r="E628" t="s">
        <v>1471</v>
      </c>
      <c r="F628" s="1">
        <v>64097</v>
      </c>
      <c r="G628" s="1">
        <v>4300011275</v>
      </c>
      <c r="H628" s="1">
        <v>12</v>
      </c>
      <c r="I628" s="1" t="s">
        <v>379</v>
      </c>
      <c r="J628" t="s">
        <v>1510</v>
      </c>
    </row>
    <row r="629" spans="1:10">
      <c r="A629" s="1">
        <v>286153</v>
      </c>
      <c r="B629" s="1">
        <v>4240009764</v>
      </c>
      <c r="C629" s="1">
        <v>12</v>
      </c>
      <c r="D629" s="1" t="s">
        <v>574</v>
      </c>
      <c r="E629" t="s">
        <v>1472</v>
      </c>
      <c r="F629" s="1">
        <v>30882</v>
      </c>
      <c r="G629" s="1">
        <v>4300018170</v>
      </c>
      <c r="H629" s="1">
        <v>12</v>
      </c>
      <c r="I629" s="1" t="s">
        <v>938</v>
      </c>
      <c r="J629" t="s">
        <v>1511</v>
      </c>
    </row>
    <row r="630" spans="1:10">
      <c r="A630" s="1">
        <v>100891</v>
      </c>
      <c r="B630" s="1">
        <v>4240091678</v>
      </c>
      <c r="C630" s="1">
        <v>6</v>
      </c>
      <c r="D630" s="1" t="s">
        <v>1473</v>
      </c>
      <c r="E630" t="s">
        <v>1474</v>
      </c>
      <c r="F630" s="1">
        <v>30817</v>
      </c>
      <c r="G630" s="1">
        <v>4300011171</v>
      </c>
      <c r="H630" s="1">
        <v>10</v>
      </c>
      <c r="I630" s="1" t="s">
        <v>1409</v>
      </c>
      <c r="J630" t="s">
        <v>1512</v>
      </c>
    </row>
    <row r="631" spans="1:10">
      <c r="A631" s="1">
        <v>261644</v>
      </c>
      <c r="B631" s="1">
        <v>4240009770</v>
      </c>
      <c r="C631" s="1">
        <v>15</v>
      </c>
      <c r="D631" s="1" t="s">
        <v>1198</v>
      </c>
      <c r="E631" t="s">
        <v>1475</v>
      </c>
      <c r="F631" s="1">
        <v>36236</v>
      </c>
      <c r="G631" s="1">
        <v>4300010460</v>
      </c>
      <c r="H631" s="1">
        <v>14</v>
      </c>
      <c r="I631" s="1" t="s">
        <v>381</v>
      </c>
      <c r="J631" t="s">
        <v>1513</v>
      </c>
    </row>
    <row r="632" spans="1:10">
      <c r="A632" s="1">
        <v>64915</v>
      </c>
      <c r="B632" s="1">
        <v>4240009888</v>
      </c>
      <c r="C632" s="1">
        <v>12</v>
      </c>
      <c r="D632" s="1" t="s">
        <v>706</v>
      </c>
      <c r="E632" t="s">
        <v>1476</v>
      </c>
      <c r="F632" s="1">
        <v>42606</v>
      </c>
      <c r="G632" s="1">
        <v>4300018059</v>
      </c>
      <c r="H632" s="1">
        <v>10</v>
      </c>
      <c r="I632" s="1" t="s">
        <v>632</v>
      </c>
      <c r="J632" t="s">
        <v>1514</v>
      </c>
    </row>
    <row r="633" spans="1:10">
      <c r="A633" s="1">
        <v>489732</v>
      </c>
      <c r="B633" s="1">
        <v>4240091378</v>
      </c>
      <c r="C633" s="1">
        <v>6</v>
      </c>
      <c r="D633" s="1" t="s">
        <v>469</v>
      </c>
      <c r="E633" t="s">
        <v>1477</v>
      </c>
      <c r="F633" s="1">
        <v>287292</v>
      </c>
      <c r="G633" s="1">
        <v>4300002274</v>
      </c>
      <c r="H633" s="1">
        <v>14</v>
      </c>
      <c r="I633" s="1" t="s">
        <v>379</v>
      </c>
      <c r="J633" t="s">
        <v>1515</v>
      </c>
    </row>
    <row r="634" spans="1:10">
      <c r="A634" s="1">
        <v>167767</v>
      </c>
      <c r="B634" s="1">
        <v>4240093978</v>
      </c>
      <c r="C634" s="1">
        <v>8</v>
      </c>
      <c r="D634" s="1" t="s">
        <v>943</v>
      </c>
      <c r="E634" t="s">
        <v>1478</v>
      </c>
      <c r="F634" s="1">
        <v>30916</v>
      </c>
      <c r="G634" s="1">
        <v>4300018160</v>
      </c>
      <c r="H634" s="1">
        <v>12</v>
      </c>
      <c r="I634" s="1" t="s">
        <v>574</v>
      </c>
      <c r="J634" t="s">
        <v>1516</v>
      </c>
    </row>
    <row r="635" spans="1:10">
      <c r="A635" s="1">
        <v>783399</v>
      </c>
      <c r="B635" s="1">
        <v>1600014405</v>
      </c>
      <c r="C635" s="1">
        <v>10</v>
      </c>
      <c r="D635" s="1" t="s">
        <v>259</v>
      </c>
      <c r="E635" t="s">
        <v>1479</v>
      </c>
      <c r="F635" s="1">
        <v>32672</v>
      </c>
      <c r="G635" s="1">
        <v>4300018002</v>
      </c>
      <c r="H635" s="1">
        <v>12</v>
      </c>
      <c r="I635" s="1" t="s">
        <v>489</v>
      </c>
      <c r="J635" t="s">
        <v>1517</v>
      </c>
    </row>
    <row r="636" spans="1:10">
      <c r="A636" s="1">
        <v>896381</v>
      </c>
      <c r="B636" s="1">
        <v>4300001426</v>
      </c>
      <c r="C636" s="1">
        <v>10</v>
      </c>
      <c r="D636" s="1" t="s">
        <v>574</v>
      </c>
      <c r="E636" t="s">
        <v>1480</v>
      </c>
      <c r="F636" s="1">
        <v>32706</v>
      </c>
      <c r="G636" s="1">
        <v>4300018005</v>
      </c>
      <c r="H636" s="1">
        <v>12</v>
      </c>
      <c r="I636" s="1" t="s">
        <v>910</v>
      </c>
      <c r="J636" t="s">
        <v>1517</v>
      </c>
    </row>
    <row r="637" spans="1:10">
      <c r="A637" s="1">
        <v>30650</v>
      </c>
      <c r="B637" s="1">
        <v>4300010305</v>
      </c>
      <c r="C637" s="1">
        <v>14</v>
      </c>
      <c r="D637" s="1" t="s">
        <v>379</v>
      </c>
      <c r="E637" t="s">
        <v>1481</v>
      </c>
      <c r="F637" s="1">
        <v>815555</v>
      </c>
      <c r="G637" s="1">
        <v>4300002907</v>
      </c>
      <c r="H637" s="1">
        <v>14</v>
      </c>
      <c r="I637" s="1" t="s">
        <v>1254</v>
      </c>
      <c r="J637" t="s">
        <v>1518</v>
      </c>
    </row>
    <row r="638" spans="1:10">
      <c r="A638" s="1">
        <v>225441</v>
      </c>
      <c r="B638" s="1">
        <v>4300002509</v>
      </c>
      <c r="C638" s="1">
        <v>10</v>
      </c>
      <c r="D638" s="1" t="s">
        <v>1180</v>
      </c>
      <c r="E638" t="s">
        <v>1482</v>
      </c>
      <c r="F638" s="1">
        <v>33811</v>
      </c>
      <c r="G638" s="1">
        <v>4300018062</v>
      </c>
      <c r="H638" s="1">
        <v>12</v>
      </c>
      <c r="I638" s="1" t="s">
        <v>1519</v>
      </c>
      <c r="J638" t="s">
        <v>1520</v>
      </c>
    </row>
    <row r="639" spans="1:10">
      <c r="A639" s="1">
        <v>65243</v>
      </c>
      <c r="B639" s="1">
        <v>4300011650</v>
      </c>
      <c r="C639" s="1">
        <v>14</v>
      </c>
      <c r="D639" s="1" t="s">
        <v>1483</v>
      </c>
      <c r="E639" t="s">
        <v>1484</v>
      </c>
      <c r="F639" s="1">
        <v>42473</v>
      </c>
      <c r="G639" s="1">
        <v>4300011762</v>
      </c>
      <c r="H639" s="1">
        <v>10</v>
      </c>
      <c r="I639" s="1" t="s">
        <v>940</v>
      </c>
      <c r="J639" t="s">
        <v>1521</v>
      </c>
    </row>
    <row r="640" spans="1:10">
      <c r="A640" s="1">
        <v>64220</v>
      </c>
      <c r="B640" s="1">
        <v>4300010210</v>
      </c>
      <c r="C640" s="1">
        <v>14</v>
      </c>
      <c r="D640" s="1" t="s">
        <v>1180</v>
      </c>
      <c r="E640" t="s">
        <v>1485</v>
      </c>
      <c r="F640" s="1">
        <v>31054</v>
      </c>
      <c r="G640" s="1">
        <v>3000006140</v>
      </c>
      <c r="H640" s="1">
        <v>10</v>
      </c>
      <c r="I640" s="1" t="s">
        <v>908</v>
      </c>
      <c r="J640" t="s">
        <v>1522</v>
      </c>
    </row>
    <row r="641" spans="1:10">
      <c r="A641" s="1">
        <v>30775</v>
      </c>
      <c r="B641" s="1">
        <v>4300011313</v>
      </c>
      <c r="C641" s="1">
        <v>12</v>
      </c>
      <c r="D641" s="1" t="s">
        <v>381</v>
      </c>
      <c r="E641" t="s">
        <v>1486</v>
      </c>
      <c r="F641" s="1">
        <v>31021</v>
      </c>
      <c r="G641" s="1">
        <v>3000006300</v>
      </c>
      <c r="H641" s="1">
        <v>10</v>
      </c>
      <c r="I641" s="1" t="s">
        <v>1198</v>
      </c>
      <c r="J641" t="s">
        <v>1523</v>
      </c>
    </row>
    <row r="642" spans="1:10">
      <c r="A642" s="1">
        <v>42549</v>
      </c>
      <c r="B642" s="1">
        <v>4300012951</v>
      </c>
      <c r="C642" s="1">
        <v>12</v>
      </c>
      <c r="D642" s="1" t="s">
        <v>379</v>
      </c>
      <c r="E642" t="s">
        <v>1487</v>
      </c>
      <c r="F642" s="1">
        <v>31625</v>
      </c>
      <c r="G642" s="1">
        <v>3000006610</v>
      </c>
      <c r="H642" s="1">
        <v>14</v>
      </c>
      <c r="I642" s="1" t="s">
        <v>381</v>
      </c>
      <c r="J642" t="s">
        <v>1524</v>
      </c>
    </row>
    <row r="643" spans="1:10">
      <c r="A643" s="1">
        <v>65763</v>
      </c>
      <c r="B643" s="1">
        <v>4300012971</v>
      </c>
      <c r="C643" s="1">
        <v>12</v>
      </c>
      <c r="D643" s="1" t="s">
        <v>379</v>
      </c>
      <c r="E643" t="s">
        <v>1488</v>
      </c>
      <c r="F643" s="1">
        <v>31765</v>
      </c>
      <c r="G643" s="1">
        <v>3000006500</v>
      </c>
      <c r="H643" s="1">
        <v>14</v>
      </c>
      <c r="I643" s="1" t="s">
        <v>259</v>
      </c>
      <c r="J643" t="s">
        <v>1525</v>
      </c>
    </row>
    <row r="644" spans="1:10">
      <c r="A644" s="1">
        <v>64758</v>
      </c>
      <c r="B644" s="1">
        <v>4300012974</v>
      </c>
      <c r="C644" s="1">
        <v>10</v>
      </c>
      <c r="D644" s="1" t="s">
        <v>940</v>
      </c>
      <c r="E644" t="s">
        <v>1488</v>
      </c>
      <c r="F644" s="1">
        <v>32474</v>
      </c>
      <c r="G644" s="1">
        <v>3000006950</v>
      </c>
      <c r="H644" s="1">
        <v>10</v>
      </c>
      <c r="I644" s="1" t="s">
        <v>347</v>
      </c>
      <c r="J644" t="s">
        <v>1526</v>
      </c>
    </row>
    <row r="645" spans="1:10">
      <c r="A645" s="1">
        <v>354118</v>
      </c>
      <c r="B645" s="1">
        <v>4300012978</v>
      </c>
      <c r="C645" s="1">
        <v>6</v>
      </c>
      <c r="D645" s="1" t="s">
        <v>1489</v>
      </c>
      <c r="E645" t="s">
        <v>1488</v>
      </c>
      <c r="F645" s="1">
        <v>31716</v>
      </c>
      <c r="G645" s="1">
        <v>3000006340</v>
      </c>
      <c r="H645" s="1">
        <v>12</v>
      </c>
      <c r="I645" s="1" t="s">
        <v>910</v>
      </c>
      <c r="J645" t="s">
        <v>1527</v>
      </c>
    </row>
    <row r="646" spans="1:10">
      <c r="A646" s="1">
        <v>31948</v>
      </c>
      <c r="B646" s="1">
        <v>4300010934</v>
      </c>
      <c r="C646" s="1">
        <v>12</v>
      </c>
      <c r="D646" s="1" t="s">
        <v>259</v>
      </c>
      <c r="E646" t="s">
        <v>1490</v>
      </c>
      <c r="F646" s="1">
        <v>31724</v>
      </c>
      <c r="G646" s="1">
        <v>3000006110</v>
      </c>
      <c r="H646" s="1">
        <v>14</v>
      </c>
      <c r="I646" s="1" t="s">
        <v>908</v>
      </c>
      <c r="J646" t="s">
        <v>1527</v>
      </c>
    </row>
    <row r="647" spans="1:10">
      <c r="A647" s="1">
        <v>30718</v>
      </c>
      <c r="B647" s="1">
        <v>4300010510</v>
      </c>
      <c r="C647" s="1">
        <v>12</v>
      </c>
      <c r="D647" s="1" t="s">
        <v>381</v>
      </c>
      <c r="E647" t="s">
        <v>1491</v>
      </c>
      <c r="F647" s="1">
        <v>32458</v>
      </c>
      <c r="G647" s="1">
        <v>3000006430</v>
      </c>
      <c r="H647" s="1">
        <v>12</v>
      </c>
      <c r="I647" s="1" t="s">
        <v>381</v>
      </c>
      <c r="J647" t="s">
        <v>1528</v>
      </c>
    </row>
    <row r="648" spans="1:10">
      <c r="A648" s="1">
        <v>29769</v>
      </c>
      <c r="B648" s="1">
        <v>4300010521</v>
      </c>
      <c r="C648" s="1">
        <v>12</v>
      </c>
      <c r="D648" s="1" t="s">
        <v>439</v>
      </c>
      <c r="E648" t="s">
        <v>1491</v>
      </c>
      <c r="F648" s="1">
        <v>31757</v>
      </c>
      <c r="G648" s="1">
        <v>3000007840</v>
      </c>
      <c r="H648" s="1">
        <v>12</v>
      </c>
      <c r="I648" s="1" t="s">
        <v>347</v>
      </c>
      <c r="J648" t="s">
        <v>1529</v>
      </c>
    </row>
    <row r="649" spans="1:10">
      <c r="A649" s="1">
        <v>31146</v>
      </c>
      <c r="B649" s="1">
        <v>4300011181</v>
      </c>
      <c r="C649" s="1">
        <v>14</v>
      </c>
      <c r="D649" s="1" t="s">
        <v>1492</v>
      </c>
      <c r="E649" t="s">
        <v>1493</v>
      </c>
      <c r="F649" s="1">
        <v>32300</v>
      </c>
      <c r="G649" s="1">
        <v>3000006680</v>
      </c>
      <c r="H649" s="1">
        <v>12</v>
      </c>
      <c r="I649" s="1" t="s">
        <v>381</v>
      </c>
      <c r="J649" t="s">
        <v>1530</v>
      </c>
    </row>
    <row r="650" spans="1:10">
      <c r="A650" s="1">
        <v>30874</v>
      </c>
      <c r="B650" s="1">
        <v>4300011460</v>
      </c>
      <c r="C650" s="1">
        <v>12</v>
      </c>
      <c r="D650" s="1" t="s">
        <v>938</v>
      </c>
      <c r="E650" t="s">
        <v>1494</v>
      </c>
      <c r="F650" s="1">
        <v>31534</v>
      </c>
      <c r="G650" s="1">
        <v>3000006560</v>
      </c>
      <c r="H650" s="1">
        <v>14</v>
      </c>
      <c r="I650" s="1" t="s">
        <v>910</v>
      </c>
      <c r="J650" t="s">
        <v>1531</v>
      </c>
    </row>
    <row r="651" spans="1:10">
      <c r="A651" s="1">
        <v>64824</v>
      </c>
      <c r="B651" s="1">
        <v>4300011470</v>
      </c>
      <c r="C651" s="1">
        <v>10</v>
      </c>
      <c r="D651" s="1" t="s">
        <v>1313</v>
      </c>
      <c r="E651" t="s">
        <v>1494</v>
      </c>
      <c r="F651" s="1">
        <v>31740</v>
      </c>
      <c r="G651" s="1">
        <v>3000006320</v>
      </c>
      <c r="H651" s="1">
        <v>12</v>
      </c>
      <c r="I651" s="1" t="s">
        <v>910</v>
      </c>
      <c r="J651" t="s">
        <v>1532</v>
      </c>
    </row>
    <row r="652" spans="1:10">
      <c r="A652" s="1">
        <v>35444</v>
      </c>
      <c r="B652" s="1">
        <v>4300010370</v>
      </c>
      <c r="C652" s="1">
        <v>10</v>
      </c>
      <c r="D652" s="1" t="s">
        <v>1495</v>
      </c>
      <c r="E652" t="s">
        <v>1496</v>
      </c>
      <c r="F652" s="1">
        <v>34264</v>
      </c>
      <c r="G652" s="1">
        <v>3000006150</v>
      </c>
      <c r="H652" s="1">
        <v>12</v>
      </c>
      <c r="I652" s="1" t="s">
        <v>381</v>
      </c>
      <c r="J652" t="s">
        <v>1533</v>
      </c>
    </row>
    <row r="653" spans="1:10">
      <c r="A653" s="1">
        <v>708099</v>
      </c>
      <c r="B653" s="1">
        <v>4300001119</v>
      </c>
      <c r="C653" s="1">
        <v>12</v>
      </c>
      <c r="D653" s="1" t="s">
        <v>940</v>
      </c>
      <c r="E653" t="s">
        <v>1497</v>
      </c>
      <c r="F653" s="1">
        <v>31799</v>
      </c>
      <c r="G653" s="1">
        <v>3000006080</v>
      </c>
      <c r="H653" s="1">
        <v>14</v>
      </c>
      <c r="I653" s="1" t="s">
        <v>908</v>
      </c>
      <c r="J653" t="s">
        <v>1534</v>
      </c>
    </row>
    <row r="654" spans="1:10">
      <c r="A654" s="1">
        <v>403378</v>
      </c>
      <c r="B654" s="1">
        <v>4300002329</v>
      </c>
      <c r="C654" s="1">
        <v>12</v>
      </c>
      <c r="D654" s="1" t="s">
        <v>940</v>
      </c>
      <c r="E654" t="s">
        <v>1498</v>
      </c>
      <c r="F654" s="1">
        <v>31781</v>
      </c>
      <c r="G654" s="1">
        <v>3000006410</v>
      </c>
      <c r="H654" s="1">
        <v>10</v>
      </c>
      <c r="I654" s="1" t="s">
        <v>1535</v>
      </c>
      <c r="J654" t="s">
        <v>1536</v>
      </c>
    </row>
    <row r="655" spans="1:10">
      <c r="A655" s="1">
        <v>35394</v>
      </c>
      <c r="B655" s="1">
        <v>4300012611</v>
      </c>
      <c r="C655" s="1">
        <v>14</v>
      </c>
      <c r="D655" s="1" t="s">
        <v>381</v>
      </c>
      <c r="E655" t="s">
        <v>1499</v>
      </c>
      <c r="F655" s="1">
        <v>496992</v>
      </c>
      <c r="G655" s="1">
        <v>3000006543</v>
      </c>
      <c r="H655" s="1">
        <v>12</v>
      </c>
      <c r="I655" s="1" t="s">
        <v>259</v>
      </c>
      <c r="J655" t="s">
        <v>1537</v>
      </c>
    </row>
    <row r="656" spans="1:10">
      <c r="A656" s="1">
        <v>35345</v>
      </c>
      <c r="B656" s="1">
        <v>4300012601</v>
      </c>
      <c r="C656" s="1">
        <v>14</v>
      </c>
      <c r="D656" s="1" t="s">
        <v>381</v>
      </c>
      <c r="E656" t="s">
        <v>1500</v>
      </c>
      <c r="F656" s="1">
        <v>234765</v>
      </c>
      <c r="G656" s="1">
        <v>3000006541</v>
      </c>
      <c r="H656" s="1">
        <v>14</v>
      </c>
      <c r="I656" s="1" t="s">
        <v>632</v>
      </c>
      <c r="J656" t="s">
        <v>1537</v>
      </c>
    </row>
    <row r="657" spans="1:10" ht="15.75">
      <c r="A657" s="4" t="s">
        <v>10688</v>
      </c>
      <c r="B657" s="2"/>
      <c r="C657" s="2"/>
      <c r="D657" s="2"/>
      <c r="E657" s="3"/>
      <c r="F657" s="4" t="s">
        <v>10688</v>
      </c>
      <c r="G657" s="2"/>
      <c r="H657" s="2"/>
      <c r="I657" s="2"/>
      <c r="J657" s="3"/>
    </row>
    <row r="658" spans="1:10">
      <c r="A658" s="2" t="s">
        <v>0</v>
      </c>
      <c r="B658" s="2" t="s">
        <v>1</v>
      </c>
      <c r="C658" s="2" t="s">
        <v>2</v>
      </c>
      <c r="D658" s="2" t="s">
        <v>3</v>
      </c>
      <c r="E658" s="3" t="s">
        <v>4</v>
      </c>
      <c r="F658" s="2" t="s">
        <v>0</v>
      </c>
      <c r="G658" s="2" t="s">
        <v>1</v>
      </c>
      <c r="H658" s="2" t="s">
        <v>2</v>
      </c>
      <c r="I658" s="2" t="s">
        <v>3</v>
      </c>
      <c r="J658" s="3" t="s">
        <v>4</v>
      </c>
    </row>
    <row r="659" spans="1:10">
      <c r="A659" s="1">
        <v>32318</v>
      </c>
      <c r="B659" s="1">
        <v>3000006640</v>
      </c>
      <c r="C659" s="1">
        <v>12</v>
      </c>
      <c r="D659" s="1" t="s">
        <v>259</v>
      </c>
      <c r="E659" t="s">
        <v>1538</v>
      </c>
      <c r="F659" s="1">
        <v>210021</v>
      </c>
      <c r="G659" s="1">
        <v>1116603234</v>
      </c>
      <c r="H659" s="1">
        <v>12</v>
      </c>
      <c r="I659" s="1" t="s">
        <v>439</v>
      </c>
      <c r="J659" t="s">
        <v>1581</v>
      </c>
    </row>
    <row r="660" spans="1:10">
      <c r="A660" s="1">
        <v>31773</v>
      </c>
      <c r="B660" s="1">
        <v>3000006190</v>
      </c>
      <c r="C660" s="1">
        <v>10</v>
      </c>
      <c r="D660" s="1" t="s">
        <v>927</v>
      </c>
      <c r="E660" t="s">
        <v>1539</v>
      </c>
      <c r="F660" s="1">
        <v>99895</v>
      </c>
      <c r="G660" s="1">
        <v>1116603170</v>
      </c>
      <c r="H660" s="1">
        <v>12</v>
      </c>
      <c r="I660" s="1" t="s">
        <v>404</v>
      </c>
      <c r="J660" t="s">
        <v>1582</v>
      </c>
    </row>
    <row r="661" spans="1:10">
      <c r="A661" s="1">
        <v>389874</v>
      </c>
      <c r="B661" s="1">
        <v>3000006436</v>
      </c>
      <c r="C661" s="1">
        <v>12</v>
      </c>
      <c r="D661" s="1" t="s">
        <v>381</v>
      </c>
      <c r="E661" t="s">
        <v>1540</v>
      </c>
      <c r="F661" s="1">
        <v>99747</v>
      </c>
      <c r="G661" s="1">
        <v>1116603185</v>
      </c>
      <c r="H661" s="1">
        <v>12</v>
      </c>
      <c r="I661" s="1" t="s">
        <v>404</v>
      </c>
      <c r="J661" t="s">
        <v>1583</v>
      </c>
    </row>
    <row r="662" spans="1:10">
      <c r="A662" s="1">
        <v>117119</v>
      </c>
      <c r="B662" s="1">
        <v>3000001680</v>
      </c>
      <c r="C662" s="1">
        <v>12</v>
      </c>
      <c r="D662" s="1" t="s">
        <v>1483</v>
      </c>
      <c r="E662" t="s">
        <v>1541</v>
      </c>
      <c r="F662" s="1">
        <v>696161</v>
      </c>
      <c r="G662" s="1">
        <v>1116601526</v>
      </c>
      <c r="H662" s="1">
        <v>12</v>
      </c>
      <c r="I662" s="1" t="s">
        <v>1584</v>
      </c>
      <c r="J662" t="s">
        <v>1585</v>
      </c>
    </row>
    <row r="663" spans="1:10">
      <c r="A663" s="1">
        <v>55855</v>
      </c>
      <c r="B663" s="1">
        <v>1116601430</v>
      </c>
      <c r="C663" s="1">
        <v>12</v>
      </c>
      <c r="D663" s="1" t="s">
        <v>1542</v>
      </c>
      <c r="E663" t="s">
        <v>1543</v>
      </c>
      <c r="F663" s="1">
        <v>32987</v>
      </c>
      <c r="G663" s="1">
        <v>1116603298</v>
      </c>
      <c r="H663" s="1">
        <v>12</v>
      </c>
      <c r="I663" s="1" t="s">
        <v>910</v>
      </c>
      <c r="J663" t="s">
        <v>1586</v>
      </c>
    </row>
    <row r="664" spans="1:10" ht="15.75">
      <c r="A664" s="1">
        <v>34140</v>
      </c>
      <c r="B664" s="1">
        <v>1116603414</v>
      </c>
      <c r="C664" s="1">
        <v>12</v>
      </c>
      <c r="D664" s="1" t="s">
        <v>910</v>
      </c>
      <c r="E664" t="s">
        <v>1544</v>
      </c>
      <c r="F664" s="4" t="s">
        <v>10689</v>
      </c>
      <c r="G664" s="2"/>
      <c r="H664" s="2"/>
      <c r="I664" s="2"/>
      <c r="J664" s="3"/>
    </row>
    <row r="665" spans="1:10">
      <c r="A665" s="1">
        <v>287565</v>
      </c>
      <c r="B665" s="1">
        <v>1116601431</v>
      </c>
      <c r="C665" s="1">
        <v>14</v>
      </c>
      <c r="D665" s="1" t="s">
        <v>259</v>
      </c>
      <c r="E665" t="s">
        <v>1545</v>
      </c>
      <c r="F665" s="2" t="s">
        <v>0</v>
      </c>
      <c r="G665" s="2" t="s">
        <v>1</v>
      </c>
      <c r="H665" s="2" t="s">
        <v>2</v>
      </c>
      <c r="I665" s="2" t="s">
        <v>3</v>
      </c>
      <c r="J665" s="3" t="s">
        <v>4</v>
      </c>
    </row>
    <row r="666" spans="1:10">
      <c r="A666" s="1">
        <v>384453</v>
      </c>
      <c r="B666" s="1">
        <v>1116601432</v>
      </c>
      <c r="C666" s="1">
        <v>14</v>
      </c>
      <c r="D666" s="1" t="s">
        <v>1546</v>
      </c>
      <c r="E666" t="s">
        <v>1547</v>
      </c>
      <c r="F666" s="1">
        <v>489484</v>
      </c>
      <c r="G666" s="1">
        <v>74407001017</v>
      </c>
      <c r="H666" s="1">
        <v>12</v>
      </c>
      <c r="I666" s="1" t="s">
        <v>347</v>
      </c>
      <c r="J666" t="s">
        <v>1587</v>
      </c>
    </row>
    <row r="667" spans="1:10">
      <c r="A667" s="1">
        <v>159186</v>
      </c>
      <c r="B667" s="1">
        <v>1116601500</v>
      </c>
      <c r="C667" s="1">
        <v>12</v>
      </c>
      <c r="D667" s="1" t="s">
        <v>1449</v>
      </c>
      <c r="E667" t="s">
        <v>1548</v>
      </c>
      <c r="F667" s="1">
        <v>897033</v>
      </c>
      <c r="G667" s="1">
        <v>74407001018</v>
      </c>
      <c r="H667" s="1">
        <v>12</v>
      </c>
      <c r="I667" s="1" t="s">
        <v>347</v>
      </c>
      <c r="J667" t="s">
        <v>1588</v>
      </c>
    </row>
    <row r="668" spans="1:10">
      <c r="A668" s="1">
        <v>407999</v>
      </c>
      <c r="B668" s="1">
        <v>1116601505</v>
      </c>
      <c r="C668" s="1">
        <v>12</v>
      </c>
      <c r="D668" s="1" t="s">
        <v>632</v>
      </c>
      <c r="E668" t="s">
        <v>1549</v>
      </c>
      <c r="F668" s="1">
        <v>33290</v>
      </c>
      <c r="G668" s="1">
        <v>1313006025</v>
      </c>
      <c r="H668" s="1">
        <v>12</v>
      </c>
      <c r="I668" s="1" t="s">
        <v>347</v>
      </c>
      <c r="J668" t="s">
        <v>1589</v>
      </c>
    </row>
    <row r="669" spans="1:10">
      <c r="A669" s="1">
        <v>82024</v>
      </c>
      <c r="B669" s="1">
        <v>1116601504</v>
      </c>
      <c r="C669" s="1">
        <v>12</v>
      </c>
      <c r="D669" s="1" t="s">
        <v>632</v>
      </c>
      <c r="E669" t="s">
        <v>1550</v>
      </c>
      <c r="F669" s="1">
        <v>242586</v>
      </c>
      <c r="G669" s="1">
        <v>1330012307</v>
      </c>
      <c r="H669" s="1">
        <v>12</v>
      </c>
      <c r="I669" s="1" t="s">
        <v>375</v>
      </c>
      <c r="J669" t="s">
        <v>1590</v>
      </c>
    </row>
    <row r="670" spans="1:10">
      <c r="A670" s="1">
        <v>438150</v>
      </c>
      <c r="B670" s="1">
        <v>1116601501</v>
      </c>
      <c r="C670" s="1">
        <v>12</v>
      </c>
      <c r="D670" s="1" t="s">
        <v>381</v>
      </c>
      <c r="E670" t="s">
        <v>1551</v>
      </c>
      <c r="F670" s="1">
        <v>33373</v>
      </c>
      <c r="G670" s="1">
        <v>1862751101</v>
      </c>
      <c r="H670" s="1">
        <v>6</v>
      </c>
      <c r="I670" s="1" t="s">
        <v>1591</v>
      </c>
      <c r="J670" t="s">
        <v>1592</v>
      </c>
    </row>
    <row r="671" spans="1:10">
      <c r="A671" s="1">
        <v>746628</v>
      </c>
      <c r="B671" s="1">
        <v>1116601468</v>
      </c>
      <c r="C671" s="1">
        <v>14</v>
      </c>
      <c r="D671" s="1" t="s">
        <v>347</v>
      </c>
      <c r="E671" t="s">
        <v>1552</v>
      </c>
      <c r="F671" s="1">
        <v>33282</v>
      </c>
      <c r="G671" s="1">
        <v>1862751100</v>
      </c>
      <c r="H671" s="1">
        <v>6</v>
      </c>
      <c r="I671" s="1" t="s">
        <v>1591</v>
      </c>
      <c r="J671" t="s">
        <v>1593</v>
      </c>
    </row>
    <row r="672" spans="1:10">
      <c r="A672" s="1">
        <v>343616</v>
      </c>
      <c r="B672" s="1">
        <v>1116601416</v>
      </c>
      <c r="C672" s="1">
        <v>16</v>
      </c>
      <c r="D672" s="1" t="s">
        <v>632</v>
      </c>
      <c r="E672" t="s">
        <v>1553</v>
      </c>
      <c r="F672" s="1">
        <v>369736</v>
      </c>
      <c r="G672" s="1">
        <v>1862774210</v>
      </c>
      <c r="H672" s="1">
        <v>6</v>
      </c>
      <c r="I672" s="1" t="s">
        <v>1594</v>
      </c>
      <c r="J672" t="s">
        <v>1595</v>
      </c>
    </row>
    <row r="673" spans="1:10">
      <c r="A673" s="1">
        <v>605915</v>
      </c>
      <c r="B673" s="1">
        <v>1116603266</v>
      </c>
      <c r="C673" s="1">
        <v>14</v>
      </c>
      <c r="D673" s="1" t="s">
        <v>259</v>
      </c>
      <c r="E673" t="s">
        <v>1554</v>
      </c>
      <c r="F673" s="1">
        <v>369645</v>
      </c>
      <c r="G673" s="1">
        <v>1862774200</v>
      </c>
      <c r="H673" s="1">
        <v>6</v>
      </c>
      <c r="I673" s="1" t="s">
        <v>1594</v>
      </c>
      <c r="J673" t="s">
        <v>1596</v>
      </c>
    </row>
    <row r="674" spans="1:10">
      <c r="A674" s="1">
        <v>660878</v>
      </c>
      <c r="B674" s="1">
        <v>1116601499</v>
      </c>
      <c r="C674" s="1">
        <v>12</v>
      </c>
      <c r="D674" s="1" t="s">
        <v>379</v>
      </c>
      <c r="E674" t="s">
        <v>1555</v>
      </c>
      <c r="F674" s="1">
        <v>33381</v>
      </c>
      <c r="G674" s="1">
        <v>1862751102</v>
      </c>
      <c r="H674" s="1">
        <v>6</v>
      </c>
      <c r="I674" s="1" t="s">
        <v>1591</v>
      </c>
      <c r="J674" t="s">
        <v>1597</v>
      </c>
    </row>
    <row r="675" spans="1:10">
      <c r="A675" s="1">
        <v>90183</v>
      </c>
      <c r="B675" s="1">
        <v>1116603299</v>
      </c>
      <c r="C675" s="1">
        <v>12</v>
      </c>
      <c r="D675" s="1" t="s">
        <v>938</v>
      </c>
      <c r="E675" t="s">
        <v>1556</v>
      </c>
      <c r="F675" s="1">
        <v>33050</v>
      </c>
      <c r="G675" s="1">
        <v>3000002190</v>
      </c>
      <c r="H675" s="1">
        <v>12</v>
      </c>
      <c r="I675" s="1" t="s">
        <v>347</v>
      </c>
      <c r="J675" t="s">
        <v>1598</v>
      </c>
    </row>
    <row r="676" spans="1:10">
      <c r="A676" s="1">
        <v>35501</v>
      </c>
      <c r="B676" s="1">
        <v>1116603550</v>
      </c>
      <c r="C676" s="1">
        <v>12</v>
      </c>
      <c r="D676" s="1" t="s">
        <v>259</v>
      </c>
      <c r="E676" t="s">
        <v>1557</v>
      </c>
      <c r="F676" s="1">
        <v>32938</v>
      </c>
      <c r="G676" s="1">
        <v>3000002350</v>
      </c>
      <c r="H676" s="1">
        <v>12</v>
      </c>
      <c r="I676" s="1" t="s">
        <v>363</v>
      </c>
      <c r="J676" t="s">
        <v>1599</v>
      </c>
    </row>
    <row r="677" spans="1:10">
      <c r="A677" s="1">
        <v>15354</v>
      </c>
      <c r="B677" s="1">
        <v>1116603241</v>
      </c>
      <c r="C677" s="1">
        <v>16</v>
      </c>
      <c r="D677" s="1" t="s">
        <v>1495</v>
      </c>
      <c r="E677" t="s">
        <v>1558</v>
      </c>
      <c r="F677" s="1">
        <v>33480</v>
      </c>
      <c r="G677" s="1">
        <v>1313000698</v>
      </c>
      <c r="H677" s="1">
        <v>12</v>
      </c>
      <c r="I677" s="1" t="s">
        <v>259</v>
      </c>
      <c r="J677" t="s">
        <v>1600</v>
      </c>
    </row>
    <row r="678" spans="1:10">
      <c r="A678" s="1">
        <v>270546</v>
      </c>
      <c r="B678" s="1">
        <v>1116601523</v>
      </c>
      <c r="C678" s="1">
        <v>12</v>
      </c>
      <c r="D678" s="1" t="s">
        <v>1559</v>
      </c>
      <c r="E678" t="s">
        <v>1560</v>
      </c>
      <c r="F678" s="1">
        <v>43406</v>
      </c>
      <c r="G678" s="1">
        <v>1313000622</v>
      </c>
      <c r="H678" s="1">
        <v>12</v>
      </c>
      <c r="I678" s="1" t="s">
        <v>954</v>
      </c>
      <c r="J678" t="s">
        <v>1601</v>
      </c>
    </row>
    <row r="679" spans="1:10">
      <c r="A679" s="1">
        <v>774380</v>
      </c>
      <c r="B679" s="1">
        <v>1116601433</v>
      </c>
      <c r="C679" s="1">
        <v>12</v>
      </c>
      <c r="D679" s="1" t="s">
        <v>379</v>
      </c>
      <c r="E679" t="s">
        <v>1561</v>
      </c>
      <c r="F679" s="1">
        <v>324863</v>
      </c>
      <c r="G679" s="1">
        <v>1313000611</v>
      </c>
      <c r="H679" s="1">
        <v>12</v>
      </c>
      <c r="I679" s="1" t="s">
        <v>259</v>
      </c>
      <c r="J679" t="s">
        <v>1602</v>
      </c>
    </row>
    <row r="680" spans="1:10">
      <c r="A680" s="1">
        <v>33357</v>
      </c>
      <c r="B680" s="1">
        <v>1116603335</v>
      </c>
      <c r="C680" s="1">
        <v>12</v>
      </c>
      <c r="D680" s="1" t="s">
        <v>347</v>
      </c>
      <c r="E680" t="s">
        <v>1562</v>
      </c>
      <c r="F680" s="1">
        <v>32953</v>
      </c>
      <c r="G680" s="1">
        <v>1313000612</v>
      </c>
      <c r="H680" s="1">
        <v>12</v>
      </c>
      <c r="I680" s="1" t="s">
        <v>954</v>
      </c>
      <c r="J680" t="s">
        <v>1602</v>
      </c>
    </row>
    <row r="681" spans="1:10">
      <c r="A681" s="1">
        <v>32946</v>
      </c>
      <c r="B681" s="1">
        <v>1116603294</v>
      </c>
      <c r="C681" s="1">
        <v>12</v>
      </c>
      <c r="D681" s="1" t="s">
        <v>632</v>
      </c>
      <c r="E681" t="s">
        <v>1562</v>
      </c>
      <c r="F681" s="1">
        <v>593772</v>
      </c>
      <c r="G681" s="1">
        <v>7089399282</v>
      </c>
      <c r="H681" s="1">
        <v>12</v>
      </c>
      <c r="I681" s="1" t="s">
        <v>1591</v>
      </c>
      <c r="J681" t="s">
        <v>1603</v>
      </c>
    </row>
    <row r="682" spans="1:10">
      <c r="A682" s="1">
        <v>32599</v>
      </c>
      <c r="B682" s="1">
        <v>1116603259</v>
      </c>
      <c r="C682" s="1">
        <v>14</v>
      </c>
      <c r="D682" s="1" t="s">
        <v>347</v>
      </c>
      <c r="E682" t="s">
        <v>1563</v>
      </c>
      <c r="F682" s="1">
        <v>292490</v>
      </c>
      <c r="G682" s="1">
        <v>7089399280</v>
      </c>
      <c r="H682" s="1">
        <v>12</v>
      </c>
      <c r="I682" s="1" t="s">
        <v>1591</v>
      </c>
      <c r="J682" t="s">
        <v>1604</v>
      </c>
    </row>
    <row r="683" spans="1:10">
      <c r="A683" s="1">
        <v>32763</v>
      </c>
      <c r="B683" s="1">
        <v>1116603276</v>
      </c>
      <c r="C683" s="1">
        <v>12</v>
      </c>
      <c r="D683" s="1" t="s">
        <v>1378</v>
      </c>
      <c r="E683" t="s">
        <v>1564</v>
      </c>
      <c r="F683" s="1">
        <v>592378</v>
      </c>
      <c r="G683" s="1">
        <v>7089399281</v>
      </c>
      <c r="H683" s="1">
        <v>12</v>
      </c>
      <c r="I683" s="1" t="s">
        <v>1591</v>
      </c>
      <c r="J683" t="s">
        <v>1605</v>
      </c>
    </row>
    <row r="684" spans="1:10">
      <c r="A684" s="1">
        <v>404970</v>
      </c>
      <c r="B684" s="1">
        <v>1116601525</v>
      </c>
      <c r="C684" s="1">
        <v>12</v>
      </c>
      <c r="D684" s="1" t="s">
        <v>1565</v>
      </c>
      <c r="E684" t="s">
        <v>1566</v>
      </c>
      <c r="F684" s="1">
        <v>3079</v>
      </c>
      <c r="G684" s="1">
        <v>1800063080</v>
      </c>
      <c r="H684" s="1">
        <v>12</v>
      </c>
      <c r="I684" s="1" t="s">
        <v>259</v>
      </c>
      <c r="J684" t="s">
        <v>1606</v>
      </c>
    </row>
    <row r="685" spans="1:10">
      <c r="A685" s="1">
        <v>32698</v>
      </c>
      <c r="B685" s="1">
        <v>1116603269</v>
      </c>
      <c r="C685" s="1">
        <v>14</v>
      </c>
      <c r="D685" s="1" t="s">
        <v>1349</v>
      </c>
      <c r="E685" t="s">
        <v>1567</v>
      </c>
      <c r="F685" s="1">
        <v>29918</v>
      </c>
      <c r="G685" s="1">
        <v>3000026337</v>
      </c>
      <c r="H685" s="1">
        <v>12</v>
      </c>
      <c r="I685" s="1" t="s">
        <v>95</v>
      </c>
      <c r="J685" t="s">
        <v>1607</v>
      </c>
    </row>
    <row r="686" spans="1:10">
      <c r="A686" s="1">
        <v>390468</v>
      </c>
      <c r="B686" s="1">
        <v>1116601434</v>
      </c>
      <c r="C686" s="1">
        <v>16</v>
      </c>
      <c r="D686" s="1" t="s">
        <v>940</v>
      </c>
      <c r="E686" t="s">
        <v>1568</v>
      </c>
      <c r="F686" s="1">
        <v>35469</v>
      </c>
      <c r="G686" s="1">
        <v>3000026847</v>
      </c>
      <c r="H686" s="1">
        <v>12</v>
      </c>
      <c r="I686" s="1" t="s">
        <v>692</v>
      </c>
      <c r="J686" t="s">
        <v>1608</v>
      </c>
    </row>
    <row r="687" spans="1:10">
      <c r="A687" s="1">
        <v>33043</v>
      </c>
      <c r="B687" s="1">
        <v>1116603293</v>
      </c>
      <c r="C687" s="1">
        <v>12</v>
      </c>
      <c r="D687" s="1" t="s">
        <v>910</v>
      </c>
      <c r="E687" t="s">
        <v>1569</v>
      </c>
      <c r="F687" s="1">
        <v>29025</v>
      </c>
      <c r="G687" s="1">
        <v>3000026335</v>
      </c>
      <c r="H687" s="1">
        <v>12</v>
      </c>
      <c r="I687" s="1" t="s">
        <v>95</v>
      </c>
      <c r="J687" t="s">
        <v>1609</v>
      </c>
    </row>
    <row r="688" spans="1:10">
      <c r="A688" s="1">
        <v>239848</v>
      </c>
      <c r="B688" s="1">
        <v>1116601320</v>
      </c>
      <c r="C688" s="1">
        <v>12</v>
      </c>
      <c r="D688" s="1" t="s">
        <v>347</v>
      </c>
      <c r="E688" t="s">
        <v>1570</v>
      </c>
      <c r="F688" s="1">
        <v>31609</v>
      </c>
      <c r="G688" s="1">
        <v>3000001780</v>
      </c>
      <c r="H688" s="1">
        <v>24</v>
      </c>
      <c r="I688" s="1" t="s">
        <v>381</v>
      </c>
      <c r="J688" t="s">
        <v>1610</v>
      </c>
    </row>
    <row r="689" spans="1:10">
      <c r="A689" s="1">
        <v>708115</v>
      </c>
      <c r="B689" s="1">
        <v>1116601319</v>
      </c>
      <c r="C689" s="1">
        <v>14</v>
      </c>
      <c r="D689" s="1" t="s">
        <v>347</v>
      </c>
      <c r="E689" t="s">
        <v>1571</v>
      </c>
      <c r="F689" s="1">
        <v>32227</v>
      </c>
      <c r="G689" s="1">
        <v>3000004090</v>
      </c>
      <c r="H689" s="1">
        <v>12</v>
      </c>
      <c r="I689" s="1" t="s">
        <v>439</v>
      </c>
      <c r="J689" t="s">
        <v>1611</v>
      </c>
    </row>
    <row r="690" spans="1:10">
      <c r="A690" s="1">
        <v>35519</v>
      </c>
      <c r="B690" s="1">
        <v>1116603551</v>
      </c>
      <c r="C690" s="1">
        <v>12</v>
      </c>
      <c r="D690" s="1" t="s">
        <v>379</v>
      </c>
      <c r="E690" t="s">
        <v>1572</v>
      </c>
      <c r="F690" s="1">
        <v>32508</v>
      </c>
      <c r="G690" s="1">
        <v>3000004430</v>
      </c>
      <c r="H690" s="1">
        <v>12</v>
      </c>
      <c r="I690" s="1" t="s">
        <v>347</v>
      </c>
      <c r="J690" t="s">
        <v>1612</v>
      </c>
    </row>
    <row r="691" spans="1:10">
      <c r="A691" s="1">
        <v>36848</v>
      </c>
      <c r="B691" s="1">
        <v>1116603615</v>
      </c>
      <c r="C691" s="1">
        <v>12</v>
      </c>
      <c r="D691" s="1" t="s">
        <v>381</v>
      </c>
      <c r="E691" t="s">
        <v>1573</v>
      </c>
      <c r="F691" s="1">
        <v>222315</v>
      </c>
      <c r="G691" s="1">
        <v>3000026805</v>
      </c>
      <c r="H691" s="1">
        <v>12</v>
      </c>
      <c r="I691" s="1" t="s">
        <v>963</v>
      </c>
      <c r="J691" t="s">
        <v>1613</v>
      </c>
    </row>
    <row r="692" spans="1:10">
      <c r="A692" s="1">
        <v>254938</v>
      </c>
      <c r="B692" s="1">
        <v>1116625493</v>
      </c>
      <c r="C692" s="1">
        <v>12</v>
      </c>
      <c r="D692" s="1" t="s">
        <v>379</v>
      </c>
      <c r="E692" t="s">
        <v>1574</v>
      </c>
      <c r="F692" s="1">
        <v>29900</v>
      </c>
      <c r="G692" s="1">
        <v>3000026873</v>
      </c>
      <c r="H692" s="1">
        <v>12</v>
      </c>
      <c r="I692" s="1" t="s">
        <v>1227</v>
      </c>
      <c r="J692" t="s">
        <v>1614</v>
      </c>
    </row>
    <row r="693" spans="1:10">
      <c r="A693" s="1">
        <v>390054</v>
      </c>
      <c r="B693" s="1">
        <v>1116601495</v>
      </c>
      <c r="C693" s="1">
        <v>12</v>
      </c>
      <c r="D693" s="1" t="s">
        <v>596</v>
      </c>
      <c r="E693" t="s">
        <v>1575</v>
      </c>
      <c r="F693" s="1">
        <v>29777</v>
      </c>
      <c r="G693" s="1">
        <v>3000026874</v>
      </c>
      <c r="H693" s="1">
        <v>12</v>
      </c>
      <c r="I693" s="1" t="s">
        <v>1195</v>
      </c>
      <c r="J693" t="s">
        <v>1615</v>
      </c>
    </row>
    <row r="694" spans="1:10">
      <c r="A694" s="1">
        <v>495622</v>
      </c>
      <c r="B694" s="1">
        <v>1116601264</v>
      </c>
      <c r="C694" s="1">
        <v>12</v>
      </c>
      <c r="D694" s="1" t="s">
        <v>381</v>
      </c>
      <c r="E694" t="s">
        <v>1576</v>
      </c>
      <c r="F694" s="1">
        <v>29272</v>
      </c>
      <c r="G694" s="1">
        <v>3000026872</v>
      </c>
      <c r="H694" s="1">
        <v>12</v>
      </c>
      <c r="I694" s="1" t="s">
        <v>1616</v>
      </c>
      <c r="J694" t="s">
        <v>1617</v>
      </c>
    </row>
    <row r="695" spans="1:10">
      <c r="A695" s="1">
        <v>33845</v>
      </c>
      <c r="B695" s="1">
        <v>1116603237</v>
      </c>
      <c r="C695" s="1">
        <v>12</v>
      </c>
      <c r="D695" s="1" t="s">
        <v>1409</v>
      </c>
      <c r="E695" t="s">
        <v>1577</v>
      </c>
      <c r="F695" s="1">
        <v>222331</v>
      </c>
      <c r="G695" s="1">
        <v>3000026906</v>
      </c>
      <c r="H695" s="1">
        <v>12</v>
      </c>
      <c r="I695" s="1" t="s">
        <v>1618</v>
      </c>
      <c r="J695" t="s">
        <v>1619</v>
      </c>
    </row>
    <row r="696" spans="1:10">
      <c r="A696" s="1">
        <v>242180</v>
      </c>
      <c r="B696" s="1">
        <v>1116601435</v>
      </c>
      <c r="C696" s="1">
        <v>12</v>
      </c>
      <c r="D696" s="1" t="s">
        <v>615</v>
      </c>
      <c r="E696" t="s">
        <v>1578</v>
      </c>
      <c r="F696" s="1">
        <v>222323</v>
      </c>
      <c r="G696" s="1">
        <v>3000026905</v>
      </c>
      <c r="H696" s="1">
        <v>12</v>
      </c>
      <c r="I696" s="1" t="s">
        <v>1618</v>
      </c>
      <c r="J696" t="s">
        <v>1620</v>
      </c>
    </row>
    <row r="697" spans="1:10">
      <c r="A697" s="1">
        <v>549329</v>
      </c>
      <c r="B697" s="1">
        <v>1116601522</v>
      </c>
      <c r="C697" s="1">
        <v>12</v>
      </c>
      <c r="D697" s="1" t="s">
        <v>1579</v>
      </c>
      <c r="E697" t="s">
        <v>1580</v>
      </c>
      <c r="F697" s="1">
        <v>32037</v>
      </c>
      <c r="G697" s="1">
        <v>3000004411</v>
      </c>
      <c r="H697" s="1">
        <v>12</v>
      </c>
      <c r="I697" s="1" t="s">
        <v>347</v>
      </c>
      <c r="J697" t="s">
        <v>1621</v>
      </c>
    </row>
    <row r="698" spans="1:10" ht="15.75">
      <c r="A698" s="4" t="s">
        <v>10689</v>
      </c>
      <c r="B698" s="2"/>
      <c r="C698" s="2"/>
      <c r="D698" s="2"/>
      <c r="E698" s="3"/>
      <c r="F698" s="4" t="s">
        <v>10689</v>
      </c>
      <c r="G698" s="2"/>
      <c r="H698" s="2"/>
      <c r="I698" s="2"/>
      <c r="J698" s="3"/>
    </row>
    <row r="699" spans="1:10">
      <c r="A699" s="2" t="s">
        <v>0</v>
      </c>
      <c r="B699" s="2" t="s">
        <v>1</v>
      </c>
      <c r="C699" s="2" t="s">
        <v>2</v>
      </c>
      <c r="D699" s="2" t="s">
        <v>3</v>
      </c>
      <c r="E699" s="3" t="s">
        <v>4</v>
      </c>
      <c r="F699" s="2" t="s">
        <v>0</v>
      </c>
      <c r="G699" s="2" t="s">
        <v>1</v>
      </c>
      <c r="H699" s="2" t="s">
        <v>2</v>
      </c>
      <c r="I699" s="2" t="s">
        <v>3</v>
      </c>
      <c r="J699" s="3" t="s">
        <v>4</v>
      </c>
    </row>
    <row r="700" spans="1:10">
      <c r="A700" s="1">
        <v>32615</v>
      </c>
      <c r="B700" s="1">
        <v>3000003790</v>
      </c>
      <c r="C700" s="1">
        <v>12</v>
      </c>
      <c r="D700" s="1" t="s">
        <v>347</v>
      </c>
      <c r="E700" t="s">
        <v>1622</v>
      </c>
      <c r="F700" s="1">
        <v>29736</v>
      </c>
      <c r="G700" s="1">
        <v>1116602973</v>
      </c>
      <c r="H700" s="1">
        <v>12</v>
      </c>
      <c r="I700" s="1" t="s">
        <v>1663</v>
      </c>
      <c r="J700" t="s">
        <v>1664</v>
      </c>
    </row>
    <row r="701" spans="1:10">
      <c r="A701" s="1">
        <v>32516</v>
      </c>
      <c r="B701" s="1">
        <v>3000004760</v>
      </c>
      <c r="C701" s="1">
        <v>12</v>
      </c>
      <c r="D701" s="1" t="s">
        <v>347</v>
      </c>
      <c r="E701" t="s">
        <v>1623</v>
      </c>
      <c r="F701" s="1">
        <v>30031</v>
      </c>
      <c r="G701" s="1">
        <v>1116603003</v>
      </c>
      <c r="H701" s="1">
        <v>12</v>
      </c>
      <c r="I701" s="1" t="s">
        <v>1269</v>
      </c>
      <c r="J701" t="s">
        <v>1665</v>
      </c>
    </row>
    <row r="702" spans="1:10">
      <c r="A702" s="1">
        <v>29637</v>
      </c>
      <c r="B702" s="1">
        <v>3000026291</v>
      </c>
      <c r="C702" s="1">
        <v>12</v>
      </c>
      <c r="D702" s="1" t="s">
        <v>1311</v>
      </c>
      <c r="E702" t="s">
        <v>1624</v>
      </c>
      <c r="F702" s="1">
        <v>26203</v>
      </c>
      <c r="G702" s="1">
        <v>1116602620</v>
      </c>
      <c r="H702" s="1">
        <v>12</v>
      </c>
      <c r="I702" s="1" t="s">
        <v>1225</v>
      </c>
      <c r="J702" t="s">
        <v>1666</v>
      </c>
    </row>
    <row r="703" spans="1:10">
      <c r="A703" s="1">
        <v>29652</v>
      </c>
      <c r="B703" s="1">
        <v>3000001210</v>
      </c>
      <c r="C703" s="1">
        <v>12</v>
      </c>
      <c r="D703" s="1" t="s">
        <v>1269</v>
      </c>
      <c r="E703" t="s">
        <v>1625</v>
      </c>
      <c r="F703" s="1">
        <v>860122</v>
      </c>
      <c r="G703" s="1">
        <v>1116601515</v>
      </c>
      <c r="H703" s="1">
        <v>12</v>
      </c>
      <c r="I703" s="1" t="s">
        <v>1667</v>
      </c>
      <c r="J703" t="s">
        <v>1668</v>
      </c>
    </row>
    <row r="704" spans="1:10">
      <c r="A704" s="1">
        <v>29561</v>
      </c>
      <c r="B704" s="1">
        <v>3000001460</v>
      </c>
      <c r="C704" s="1">
        <v>12</v>
      </c>
      <c r="D704" s="1" t="s">
        <v>1626</v>
      </c>
      <c r="E704" t="s">
        <v>1627</v>
      </c>
      <c r="F704" s="1">
        <v>658377</v>
      </c>
      <c r="G704" s="1">
        <v>1116601514</v>
      </c>
      <c r="H704" s="1">
        <v>12</v>
      </c>
      <c r="I704" s="1" t="s">
        <v>347</v>
      </c>
      <c r="J704" t="s">
        <v>1669</v>
      </c>
    </row>
    <row r="705" spans="1:10">
      <c r="A705" s="1">
        <v>31062</v>
      </c>
      <c r="B705" s="1">
        <v>3000001380</v>
      </c>
      <c r="C705" s="1">
        <v>12</v>
      </c>
      <c r="D705" s="1" t="s">
        <v>963</v>
      </c>
      <c r="E705" t="s">
        <v>1628</v>
      </c>
      <c r="F705" s="1">
        <v>177048</v>
      </c>
      <c r="G705" s="1">
        <v>1116601517</v>
      </c>
      <c r="H705" s="1">
        <v>12</v>
      </c>
      <c r="I705" s="1" t="s">
        <v>1670</v>
      </c>
      <c r="J705" t="s">
        <v>1671</v>
      </c>
    </row>
    <row r="706" spans="1:10">
      <c r="A706" s="1">
        <v>29306</v>
      </c>
      <c r="B706" s="1">
        <v>3000001880</v>
      </c>
      <c r="C706" s="1">
        <v>12</v>
      </c>
      <c r="D706" s="1" t="s">
        <v>963</v>
      </c>
      <c r="E706" t="s">
        <v>1629</v>
      </c>
      <c r="F706" s="1">
        <v>92254</v>
      </c>
      <c r="G706" s="1">
        <v>1116601516</v>
      </c>
      <c r="H706" s="1">
        <v>12</v>
      </c>
      <c r="I706" s="1" t="s">
        <v>1672</v>
      </c>
      <c r="J706" t="s">
        <v>1673</v>
      </c>
    </row>
    <row r="707" spans="1:10">
      <c r="A707" s="1">
        <v>29751</v>
      </c>
      <c r="B707" s="1">
        <v>3000026393</v>
      </c>
      <c r="C707" s="1">
        <v>12</v>
      </c>
      <c r="D707" s="1" t="s">
        <v>1225</v>
      </c>
      <c r="E707" t="s">
        <v>1630</v>
      </c>
      <c r="F707" s="1">
        <v>860601</v>
      </c>
      <c r="G707" s="1">
        <v>1116601518</v>
      </c>
      <c r="H707" s="1">
        <v>12</v>
      </c>
      <c r="I707" s="1" t="s">
        <v>1670</v>
      </c>
      <c r="J707" t="s">
        <v>1674</v>
      </c>
    </row>
    <row r="708" spans="1:10">
      <c r="A708" s="1">
        <v>29850</v>
      </c>
      <c r="B708" s="1">
        <v>3000026442</v>
      </c>
      <c r="C708" s="1">
        <v>12</v>
      </c>
      <c r="D708" s="1" t="s">
        <v>1631</v>
      </c>
      <c r="E708" t="s">
        <v>1632</v>
      </c>
      <c r="F708" s="1">
        <v>29504</v>
      </c>
      <c r="G708" s="1">
        <v>1116602950</v>
      </c>
      <c r="H708" s="1">
        <v>12</v>
      </c>
      <c r="I708" s="1" t="s">
        <v>1225</v>
      </c>
      <c r="J708" t="s">
        <v>1675</v>
      </c>
    </row>
    <row r="709" spans="1:10">
      <c r="A709" s="1">
        <v>29264</v>
      </c>
      <c r="B709" s="1">
        <v>3000026394</v>
      </c>
      <c r="C709" s="1">
        <v>12</v>
      </c>
      <c r="D709" s="1" t="s">
        <v>1225</v>
      </c>
      <c r="E709" t="s">
        <v>1633</v>
      </c>
      <c r="F709" s="1">
        <v>11320</v>
      </c>
      <c r="G709" s="1">
        <v>1116601512</v>
      </c>
      <c r="H709" s="1">
        <v>12</v>
      </c>
      <c r="I709" s="1" t="s">
        <v>722</v>
      </c>
      <c r="J709" t="s">
        <v>1676</v>
      </c>
    </row>
    <row r="710" spans="1:10">
      <c r="A710" s="1">
        <v>420869</v>
      </c>
      <c r="B710" s="1">
        <v>3000001499</v>
      </c>
      <c r="C710" s="1">
        <v>12</v>
      </c>
      <c r="D710" s="1" t="s">
        <v>703</v>
      </c>
      <c r="E710" t="s">
        <v>1634</v>
      </c>
      <c r="F710" s="1">
        <v>31518</v>
      </c>
      <c r="G710" s="1">
        <v>1116603151</v>
      </c>
      <c r="H710" s="1">
        <v>12</v>
      </c>
      <c r="I710" s="1" t="s">
        <v>632</v>
      </c>
      <c r="J710" t="s">
        <v>1677</v>
      </c>
    </row>
    <row r="711" spans="1:10">
      <c r="A711" s="1">
        <v>29975</v>
      </c>
      <c r="B711" s="1">
        <v>3000026344</v>
      </c>
      <c r="C711" s="1">
        <v>12</v>
      </c>
      <c r="D711" s="1" t="s">
        <v>95</v>
      </c>
      <c r="E711" t="s">
        <v>1635</v>
      </c>
      <c r="F711" s="1">
        <v>32656</v>
      </c>
      <c r="G711" s="1">
        <v>1116603265</v>
      </c>
      <c r="H711" s="1">
        <v>12</v>
      </c>
      <c r="I711" s="1" t="s">
        <v>439</v>
      </c>
      <c r="J711" t="s">
        <v>1678</v>
      </c>
    </row>
    <row r="712" spans="1:10">
      <c r="A712" s="1">
        <v>29660</v>
      </c>
      <c r="B712" s="1">
        <v>3000001190</v>
      </c>
      <c r="C712" s="1">
        <v>12</v>
      </c>
      <c r="D712" s="1" t="s">
        <v>1225</v>
      </c>
      <c r="E712" t="s">
        <v>1636</v>
      </c>
      <c r="F712" s="1">
        <v>32904</v>
      </c>
      <c r="G712" s="1">
        <v>1116603290</v>
      </c>
      <c r="H712" s="1">
        <v>12</v>
      </c>
      <c r="I712" s="1" t="s">
        <v>632</v>
      </c>
      <c r="J712" t="s">
        <v>1679</v>
      </c>
    </row>
    <row r="713" spans="1:10">
      <c r="A713" s="1">
        <v>29389</v>
      </c>
      <c r="B713" s="1">
        <v>3000001350</v>
      </c>
      <c r="C713" s="1">
        <v>12</v>
      </c>
      <c r="D713" s="1" t="s">
        <v>1280</v>
      </c>
      <c r="E713" t="s">
        <v>1637</v>
      </c>
      <c r="F713" s="1">
        <v>32896</v>
      </c>
      <c r="G713" s="1">
        <v>1116603289</v>
      </c>
      <c r="H713" s="1">
        <v>12</v>
      </c>
      <c r="I713" s="1" t="s">
        <v>722</v>
      </c>
      <c r="J713" t="s">
        <v>1679</v>
      </c>
    </row>
    <row r="714" spans="1:10">
      <c r="A714" s="1">
        <v>29611</v>
      </c>
      <c r="B714" s="1">
        <v>3000001320</v>
      </c>
      <c r="C714" s="1">
        <v>12</v>
      </c>
      <c r="D714" s="1" t="s">
        <v>1225</v>
      </c>
      <c r="E714" t="s">
        <v>1638</v>
      </c>
      <c r="F714" s="1">
        <v>33225</v>
      </c>
      <c r="G714" s="1">
        <v>6414408004</v>
      </c>
      <c r="H714" s="1">
        <v>12</v>
      </c>
      <c r="I714" s="1" t="s">
        <v>938</v>
      </c>
      <c r="J714" t="s">
        <v>1680</v>
      </c>
    </row>
    <row r="715" spans="1:10">
      <c r="A715" s="1">
        <v>29249</v>
      </c>
      <c r="B715" s="1">
        <v>3000001820</v>
      </c>
      <c r="C715" s="1">
        <v>12</v>
      </c>
      <c r="D715" s="1" t="s">
        <v>963</v>
      </c>
      <c r="E715" t="s">
        <v>1639</v>
      </c>
      <c r="F715" s="1">
        <v>825992</v>
      </c>
      <c r="G715" s="1">
        <v>1153550089</v>
      </c>
      <c r="H715" s="1">
        <v>12</v>
      </c>
      <c r="I715" s="1" t="s">
        <v>1681</v>
      </c>
      <c r="J715" t="s">
        <v>1682</v>
      </c>
    </row>
    <row r="716" spans="1:10">
      <c r="A716" s="1">
        <v>29256</v>
      </c>
      <c r="B716" s="1">
        <v>3000001800</v>
      </c>
      <c r="C716" s="1">
        <v>12</v>
      </c>
      <c r="D716" s="1" t="s">
        <v>963</v>
      </c>
      <c r="E716" t="s">
        <v>1640</v>
      </c>
      <c r="F716" s="1">
        <v>8300</v>
      </c>
      <c r="G716" s="1">
        <v>1153550091</v>
      </c>
      <c r="H716" s="1">
        <v>12</v>
      </c>
      <c r="I716" s="1" t="s">
        <v>259</v>
      </c>
      <c r="J716" t="s">
        <v>1683</v>
      </c>
    </row>
    <row r="717" spans="1:10">
      <c r="A717" s="1">
        <v>29165</v>
      </c>
      <c r="B717" s="1">
        <v>3000001240</v>
      </c>
      <c r="C717" s="1">
        <v>12</v>
      </c>
      <c r="D717" s="1" t="s">
        <v>379</v>
      </c>
      <c r="E717" t="s">
        <v>1641</v>
      </c>
      <c r="F717" s="1">
        <v>808287</v>
      </c>
      <c r="G717" s="1">
        <v>1153550095</v>
      </c>
      <c r="H717" s="1">
        <v>12</v>
      </c>
      <c r="I717" s="1" t="s">
        <v>940</v>
      </c>
      <c r="J717" t="s">
        <v>1684</v>
      </c>
    </row>
    <row r="718" spans="1:10">
      <c r="A718" s="1">
        <v>37630</v>
      </c>
      <c r="B718" s="1">
        <v>3000043833</v>
      </c>
      <c r="C718" s="1">
        <v>12</v>
      </c>
      <c r="D718" s="1" t="s">
        <v>692</v>
      </c>
      <c r="E718" t="s">
        <v>1642</v>
      </c>
      <c r="F718" s="1">
        <v>775536</v>
      </c>
      <c r="G718" s="1">
        <v>1153550090</v>
      </c>
      <c r="H718" s="1">
        <v>12</v>
      </c>
      <c r="I718" s="1" t="s">
        <v>259</v>
      </c>
      <c r="J718" t="s">
        <v>1685</v>
      </c>
    </row>
    <row r="719" spans="1:10">
      <c r="A719" s="1">
        <v>38745</v>
      </c>
      <c r="B719" s="1">
        <v>3000043830</v>
      </c>
      <c r="C719" s="1">
        <v>12</v>
      </c>
      <c r="D719" s="1" t="s">
        <v>692</v>
      </c>
      <c r="E719" t="s">
        <v>1643</v>
      </c>
      <c r="F719" s="1">
        <v>410787</v>
      </c>
      <c r="G719" s="1">
        <v>1153550092</v>
      </c>
      <c r="H719" s="1">
        <v>12</v>
      </c>
      <c r="I719" s="1" t="s">
        <v>940</v>
      </c>
      <c r="J719" t="s">
        <v>1686</v>
      </c>
    </row>
    <row r="720" spans="1:10">
      <c r="A720" s="1">
        <v>38208</v>
      </c>
      <c r="B720" s="1">
        <v>3000043831</v>
      </c>
      <c r="C720" s="1">
        <v>12</v>
      </c>
      <c r="D720" s="1" t="s">
        <v>692</v>
      </c>
      <c r="E720" t="s">
        <v>1644</v>
      </c>
      <c r="F720" s="1">
        <v>834929</v>
      </c>
      <c r="G720" s="1">
        <v>1153550094</v>
      </c>
      <c r="H720" s="1">
        <v>12</v>
      </c>
      <c r="I720" s="1" t="s">
        <v>599</v>
      </c>
      <c r="J720" t="s">
        <v>1687</v>
      </c>
    </row>
    <row r="721" spans="1:10">
      <c r="A721" s="1">
        <v>222307</v>
      </c>
      <c r="B721" s="1">
        <v>3000043863</v>
      </c>
      <c r="C721" s="1">
        <v>12</v>
      </c>
      <c r="D721" s="1" t="s">
        <v>692</v>
      </c>
      <c r="E721" t="s">
        <v>1645</v>
      </c>
      <c r="F721" s="1">
        <v>423954</v>
      </c>
      <c r="G721" s="1">
        <v>1153550093</v>
      </c>
      <c r="H721" s="1">
        <v>12</v>
      </c>
      <c r="I721" s="1" t="s">
        <v>599</v>
      </c>
      <c r="J721" t="s">
        <v>1688</v>
      </c>
    </row>
    <row r="722" spans="1:10">
      <c r="A722" s="1">
        <v>445569</v>
      </c>
      <c r="B722" s="1">
        <v>3000043855</v>
      </c>
      <c r="C722" s="1">
        <v>12</v>
      </c>
      <c r="D722" s="1" t="s">
        <v>692</v>
      </c>
      <c r="E722" t="s">
        <v>1646</v>
      </c>
      <c r="F722" s="1">
        <v>866830</v>
      </c>
      <c r="G722" s="1">
        <v>1153550096</v>
      </c>
      <c r="H722" s="1">
        <v>12</v>
      </c>
      <c r="I722" s="1" t="s">
        <v>379</v>
      </c>
      <c r="J722" t="s">
        <v>1689</v>
      </c>
    </row>
    <row r="723" spans="1:10">
      <c r="A723" s="1">
        <v>313742</v>
      </c>
      <c r="B723" s="1">
        <v>3000005257</v>
      </c>
      <c r="C723" s="1">
        <v>12</v>
      </c>
      <c r="D723" s="1" t="s">
        <v>1269</v>
      </c>
      <c r="E723" t="s">
        <v>1647</v>
      </c>
      <c r="F723" s="1">
        <v>865923</v>
      </c>
      <c r="G723" s="1">
        <v>1153550133</v>
      </c>
      <c r="H723" s="1">
        <v>12</v>
      </c>
      <c r="I723" s="1" t="s">
        <v>1681</v>
      </c>
      <c r="J723" t="s">
        <v>1690</v>
      </c>
    </row>
    <row r="724" spans="1:10">
      <c r="A724" s="1">
        <v>75572</v>
      </c>
      <c r="B724" s="1">
        <v>3000043919</v>
      </c>
      <c r="C724" s="1">
        <v>12</v>
      </c>
      <c r="D724" s="1" t="s">
        <v>692</v>
      </c>
      <c r="E724" t="s">
        <v>1648</v>
      </c>
      <c r="F724" s="1">
        <v>489658</v>
      </c>
      <c r="G724" s="1">
        <v>1153550134</v>
      </c>
      <c r="H724" s="1">
        <v>12</v>
      </c>
      <c r="I724" s="1" t="s">
        <v>1681</v>
      </c>
      <c r="J724" t="s">
        <v>1691</v>
      </c>
    </row>
    <row r="725" spans="1:10">
      <c r="A725" s="1">
        <v>843821</v>
      </c>
      <c r="B725" s="1">
        <v>3000026190</v>
      </c>
      <c r="C725" s="1">
        <v>12</v>
      </c>
      <c r="D725" s="1" t="s">
        <v>692</v>
      </c>
      <c r="E725" t="s">
        <v>1649</v>
      </c>
      <c r="F725" s="1">
        <v>893859</v>
      </c>
      <c r="G725" s="1">
        <v>1153550088</v>
      </c>
      <c r="H725" s="1">
        <v>12</v>
      </c>
      <c r="I725" s="1" t="s">
        <v>381</v>
      </c>
      <c r="J725" t="s">
        <v>1692</v>
      </c>
    </row>
    <row r="726" spans="1:10">
      <c r="A726" s="1">
        <v>844118</v>
      </c>
      <c r="B726" s="1">
        <v>3000026966</v>
      </c>
      <c r="C726" s="1">
        <v>12</v>
      </c>
      <c r="D726" s="1" t="s">
        <v>692</v>
      </c>
      <c r="E726" t="s">
        <v>1650</v>
      </c>
      <c r="F726" s="1">
        <v>332866</v>
      </c>
      <c r="G726" s="1">
        <v>1153550087</v>
      </c>
      <c r="H726" s="1">
        <v>12</v>
      </c>
      <c r="I726" s="1" t="s">
        <v>381</v>
      </c>
      <c r="J726" t="s">
        <v>1693</v>
      </c>
    </row>
    <row r="727" spans="1:10" ht="15.75">
      <c r="A727" s="1">
        <v>881011</v>
      </c>
      <c r="B727" s="1">
        <v>3000026192</v>
      </c>
      <c r="C727" s="1">
        <v>12</v>
      </c>
      <c r="D727" s="1" t="s">
        <v>692</v>
      </c>
      <c r="E727" t="s">
        <v>1651</v>
      </c>
      <c r="F727" s="4" t="s">
        <v>10690</v>
      </c>
      <c r="G727" s="2"/>
      <c r="H727" s="2"/>
      <c r="I727" s="2"/>
      <c r="J727" s="3"/>
    </row>
    <row r="728" spans="1:10">
      <c r="A728" s="1">
        <v>184325</v>
      </c>
      <c r="B728" s="1">
        <v>3000005246</v>
      </c>
      <c r="C728" s="1">
        <v>12</v>
      </c>
      <c r="D728" s="1" t="s">
        <v>1269</v>
      </c>
      <c r="E728" t="s">
        <v>1652</v>
      </c>
      <c r="F728" s="2" t="s">
        <v>0</v>
      </c>
      <c r="G728" s="2" t="s">
        <v>1</v>
      </c>
      <c r="H728" s="2" t="s">
        <v>2</v>
      </c>
      <c r="I728" s="2" t="s">
        <v>3</v>
      </c>
      <c r="J728" s="3" t="s">
        <v>4</v>
      </c>
    </row>
    <row r="729" spans="1:10">
      <c r="A729" s="1">
        <v>522649</v>
      </c>
      <c r="B729" s="1">
        <v>3000005259</v>
      </c>
      <c r="C729" s="1">
        <v>12</v>
      </c>
      <c r="D729" s="1" t="s">
        <v>1269</v>
      </c>
      <c r="E729" t="s">
        <v>1653</v>
      </c>
      <c r="F729" s="1">
        <v>165001</v>
      </c>
      <c r="G729" s="1">
        <v>2700048303</v>
      </c>
      <c r="H729" s="1">
        <v>12</v>
      </c>
      <c r="I729" s="1" t="s">
        <v>14</v>
      </c>
      <c r="J729" t="s">
        <v>1694</v>
      </c>
    </row>
    <row r="730" spans="1:10">
      <c r="A730" s="1">
        <v>32250</v>
      </c>
      <c r="B730" s="1">
        <v>3000004170</v>
      </c>
      <c r="C730" s="1">
        <v>12</v>
      </c>
      <c r="D730" s="1" t="s">
        <v>1654</v>
      </c>
      <c r="E730" t="s">
        <v>1655</v>
      </c>
      <c r="F730" s="1">
        <v>165084</v>
      </c>
      <c r="G730" s="1">
        <v>2700048314</v>
      </c>
      <c r="H730" s="1">
        <v>12</v>
      </c>
      <c r="I730" s="1" t="s">
        <v>781</v>
      </c>
      <c r="J730" t="s">
        <v>1695</v>
      </c>
    </row>
    <row r="731" spans="1:10">
      <c r="A731" s="1">
        <v>32268</v>
      </c>
      <c r="B731" s="1">
        <v>3000004190</v>
      </c>
      <c r="C731" s="1">
        <v>12</v>
      </c>
      <c r="D731" s="1" t="s">
        <v>1656</v>
      </c>
      <c r="E731" t="s">
        <v>1657</v>
      </c>
      <c r="F731" s="1">
        <v>165068</v>
      </c>
      <c r="G731" s="1">
        <v>2700048313</v>
      </c>
      <c r="H731" s="1">
        <v>12</v>
      </c>
      <c r="I731" s="1" t="s">
        <v>517</v>
      </c>
      <c r="J731" t="s">
        <v>1696</v>
      </c>
    </row>
    <row r="732" spans="1:10">
      <c r="A732" s="1">
        <v>31963</v>
      </c>
      <c r="B732" s="1">
        <v>3000001180</v>
      </c>
      <c r="C732" s="1">
        <v>24</v>
      </c>
      <c r="D732" s="1" t="s">
        <v>632</v>
      </c>
      <c r="E732" t="s">
        <v>1658</v>
      </c>
      <c r="F732" s="1">
        <v>31088</v>
      </c>
      <c r="G732" s="1">
        <v>3000016910</v>
      </c>
      <c r="H732" s="1">
        <v>12</v>
      </c>
      <c r="I732" s="1" t="s">
        <v>1697</v>
      </c>
      <c r="J732" t="s">
        <v>1698</v>
      </c>
    </row>
    <row r="733" spans="1:10">
      <c r="A733" s="1">
        <v>31989</v>
      </c>
      <c r="B733" s="1">
        <v>3000001200</v>
      </c>
      <c r="C733" s="1">
        <v>12</v>
      </c>
      <c r="D733" s="1" t="s">
        <v>722</v>
      </c>
      <c r="E733" t="s">
        <v>1658</v>
      </c>
      <c r="F733" s="1">
        <v>31120</v>
      </c>
      <c r="G733" s="1">
        <v>3000016920</v>
      </c>
      <c r="H733" s="1">
        <v>12</v>
      </c>
      <c r="I733" s="1" t="s">
        <v>475</v>
      </c>
      <c r="J733" t="s">
        <v>1699</v>
      </c>
    </row>
    <row r="734" spans="1:10">
      <c r="A734" s="1">
        <v>31849</v>
      </c>
      <c r="B734" s="1">
        <v>3000001020</v>
      </c>
      <c r="C734" s="1">
        <v>24</v>
      </c>
      <c r="D734" s="1" t="s">
        <v>632</v>
      </c>
      <c r="E734" t="s">
        <v>1659</v>
      </c>
      <c r="F734" s="1">
        <v>32151</v>
      </c>
      <c r="G734" s="1">
        <v>3000016909</v>
      </c>
      <c r="H734" s="1">
        <v>12</v>
      </c>
      <c r="I734" s="1" t="s">
        <v>958</v>
      </c>
      <c r="J734" t="s">
        <v>1700</v>
      </c>
    </row>
    <row r="735" spans="1:10">
      <c r="A735" s="1">
        <v>31864</v>
      </c>
      <c r="B735" s="1">
        <v>3000001040</v>
      </c>
      <c r="C735" s="1">
        <v>12</v>
      </c>
      <c r="D735" s="1" t="s">
        <v>722</v>
      </c>
      <c r="E735" t="s">
        <v>1659</v>
      </c>
      <c r="F735" s="1">
        <v>31112</v>
      </c>
      <c r="G735" s="1">
        <v>3000016921</v>
      </c>
      <c r="H735" s="1">
        <v>12</v>
      </c>
      <c r="I735" s="1" t="s">
        <v>475</v>
      </c>
      <c r="J735" t="s">
        <v>1701</v>
      </c>
    </row>
    <row r="736" spans="1:10">
      <c r="A736" s="1">
        <v>614735</v>
      </c>
      <c r="B736" s="1">
        <v>3000026920</v>
      </c>
      <c r="C736" s="1">
        <v>12</v>
      </c>
      <c r="D736" s="1" t="s">
        <v>692</v>
      </c>
      <c r="E736" t="s">
        <v>1660</v>
      </c>
      <c r="F736" s="1">
        <v>470500</v>
      </c>
      <c r="G736" s="1">
        <v>3000016051</v>
      </c>
      <c r="H736" s="1">
        <v>8</v>
      </c>
      <c r="I736" s="1" t="s">
        <v>517</v>
      </c>
      <c r="J736" t="s">
        <v>1702</v>
      </c>
    </row>
    <row r="737" spans="1:10">
      <c r="A737" s="1">
        <v>29538</v>
      </c>
      <c r="B737" s="1">
        <v>1116602953</v>
      </c>
      <c r="C737" s="1">
        <v>12</v>
      </c>
      <c r="D737" s="1" t="s">
        <v>963</v>
      </c>
      <c r="E737" t="s">
        <v>1661</v>
      </c>
      <c r="F737" s="1">
        <v>418079</v>
      </c>
      <c r="G737" s="1">
        <v>3000016045</v>
      </c>
      <c r="H737" s="1">
        <v>8</v>
      </c>
      <c r="I737" s="1" t="s">
        <v>517</v>
      </c>
      <c r="J737" t="s">
        <v>1703</v>
      </c>
    </row>
    <row r="738" spans="1:10">
      <c r="A738" s="1">
        <v>29702</v>
      </c>
      <c r="B738" s="1">
        <v>1116602970</v>
      </c>
      <c r="C738" s="1">
        <v>12</v>
      </c>
      <c r="D738" s="1" t="s">
        <v>963</v>
      </c>
      <c r="E738" t="s">
        <v>1662</v>
      </c>
      <c r="F738" s="1">
        <v>294298</v>
      </c>
      <c r="G738" s="1">
        <v>3000016048</v>
      </c>
      <c r="H738" s="1">
        <v>8</v>
      </c>
      <c r="I738" s="1" t="s">
        <v>517</v>
      </c>
      <c r="J738" t="s">
        <v>1704</v>
      </c>
    </row>
    <row r="739" spans="1:10" ht="15.75">
      <c r="A739" s="4" t="s">
        <v>10690</v>
      </c>
      <c r="B739" s="2"/>
      <c r="C739" s="2"/>
      <c r="D739" s="2"/>
      <c r="E739" s="3"/>
      <c r="F739" s="4" t="s">
        <v>10691</v>
      </c>
      <c r="G739" s="2"/>
      <c r="H739" s="2"/>
      <c r="I739" s="2"/>
      <c r="J739" s="3"/>
    </row>
    <row r="740" spans="1:10">
      <c r="A740" s="2" t="s">
        <v>0</v>
      </c>
      <c r="B740" s="2" t="s">
        <v>1</v>
      </c>
      <c r="C740" s="2" t="s">
        <v>2</v>
      </c>
      <c r="D740" s="2" t="s">
        <v>3</v>
      </c>
      <c r="E740" s="3" t="s">
        <v>4</v>
      </c>
      <c r="F740" s="2" t="s">
        <v>0</v>
      </c>
      <c r="G740" s="2" t="s">
        <v>1</v>
      </c>
      <c r="H740" s="2" t="s">
        <v>2</v>
      </c>
      <c r="I740" s="2" t="s">
        <v>3</v>
      </c>
      <c r="J740" s="3" t="s">
        <v>4</v>
      </c>
    </row>
    <row r="741" spans="1:10">
      <c r="A741" s="1">
        <v>762369</v>
      </c>
      <c r="B741" s="1">
        <v>3000016044</v>
      </c>
      <c r="C741" s="1">
        <v>8</v>
      </c>
      <c r="D741" s="1" t="s">
        <v>517</v>
      </c>
      <c r="E741" t="s">
        <v>1705</v>
      </c>
      <c r="F741" s="1">
        <v>42234</v>
      </c>
      <c r="G741" s="1">
        <v>1600015910</v>
      </c>
      <c r="H741" s="1">
        <v>12</v>
      </c>
      <c r="I741" s="1" t="s">
        <v>479</v>
      </c>
      <c r="J741" t="s">
        <v>1750</v>
      </c>
    </row>
    <row r="742" spans="1:10">
      <c r="A742" s="1">
        <v>317461</v>
      </c>
      <c r="B742" s="1">
        <v>3000016043</v>
      </c>
      <c r="C742" s="1">
        <v>8</v>
      </c>
      <c r="D742" s="1" t="s">
        <v>517</v>
      </c>
      <c r="E742" t="s">
        <v>1706</v>
      </c>
      <c r="F742" s="1">
        <v>228155</v>
      </c>
      <c r="G742" s="1">
        <v>1600043144</v>
      </c>
      <c r="H742" s="1">
        <v>10</v>
      </c>
      <c r="I742" s="1" t="s">
        <v>546</v>
      </c>
      <c r="J742" t="s">
        <v>1751</v>
      </c>
    </row>
    <row r="743" spans="1:10">
      <c r="A743" s="1">
        <v>35949</v>
      </c>
      <c r="B743" s="1">
        <v>3000016954</v>
      </c>
      <c r="C743" s="1">
        <v>8</v>
      </c>
      <c r="D743" s="1" t="s">
        <v>1707</v>
      </c>
      <c r="E743" t="s">
        <v>1708</v>
      </c>
      <c r="F743" s="1">
        <v>31351</v>
      </c>
      <c r="G743" s="1">
        <v>1600023760</v>
      </c>
      <c r="H743" s="1">
        <v>10</v>
      </c>
      <c r="I743" s="1" t="s">
        <v>546</v>
      </c>
      <c r="J743" t="s">
        <v>1752</v>
      </c>
    </row>
    <row r="744" spans="1:10">
      <c r="A744" s="1">
        <v>34652</v>
      </c>
      <c r="B744" s="1">
        <v>3000016918</v>
      </c>
      <c r="C744" s="1">
        <v>12</v>
      </c>
      <c r="D744" s="1" t="s">
        <v>106</v>
      </c>
      <c r="E744" t="s">
        <v>1709</v>
      </c>
      <c r="F744" s="1">
        <v>42598</v>
      </c>
      <c r="G744" s="1">
        <v>1600049120</v>
      </c>
      <c r="H744" s="1">
        <v>12</v>
      </c>
      <c r="I744" s="1" t="s">
        <v>479</v>
      </c>
      <c r="J744" t="s">
        <v>1753</v>
      </c>
    </row>
    <row r="745" spans="1:10">
      <c r="A745" s="1">
        <v>31336</v>
      </c>
      <c r="B745" s="1">
        <v>3000016924</v>
      </c>
      <c r="C745" s="1">
        <v>12</v>
      </c>
      <c r="D745" s="1" t="s">
        <v>1162</v>
      </c>
      <c r="E745" t="s">
        <v>1710</v>
      </c>
      <c r="F745" s="1">
        <v>40352</v>
      </c>
      <c r="G745" s="1">
        <v>1600049300</v>
      </c>
      <c r="H745" s="1">
        <v>12</v>
      </c>
      <c r="I745" s="1" t="s">
        <v>106</v>
      </c>
      <c r="J745" t="s">
        <v>1754</v>
      </c>
    </row>
    <row r="746" spans="1:10">
      <c r="A746" s="1">
        <v>712703</v>
      </c>
      <c r="B746" s="1">
        <v>3000016040</v>
      </c>
      <c r="C746" s="1">
        <v>12</v>
      </c>
      <c r="D746" s="1" t="s">
        <v>475</v>
      </c>
      <c r="E746" t="s">
        <v>1711</v>
      </c>
      <c r="F746" s="1">
        <v>676437</v>
      </c>
      <c r="G746" s="1">
        <v>1600014114</v>
      </c>
      <c r="H746" s="1">
        <v>10</v>
      </c>
      <c r="I746" s="1" t="s">
        <v>546</v>
      </c>
      <c r="J746" t="s">
        <v>1755</v>
      </c>
    </row>
    <row r="747" spans="1:10">
      <c r="A747" s="1">
        <v>712695</v>
      </c>
      <c r="B747" s="1">
        <v>3000016038</v>
      </c>
      <c r="C747" s="1">
        <v>12</v>
      </c>
      <c r="D747" s="1" t="s">
        <v>475</v>
      </c>
      <c r="E747" t="s">
        <v>1712</v>
      </c>
      <c r="F747" s="1">
        <v>30809</v>
      </c>
      <c r="G747" s="1">
        <v>1600035540</v>
      </c>
      <c r="H747" s="1">
        <v>14</v>
      </c>
      <c r="I747" s="1" t="s">
        <v>394</v>
      </c>
      <c r="J747" t="s">
        <v>1756</v>
      </c>
    </row>
    <row r="748" spans="1:10">
      <c r="A748" s="1">
        <v>355909</v>
      </c>
      <c r="B748" s="1">
        <v>3000016991</v>
      </c>
      <c r="C748" s="1">
        <v>12</v>
      </c>
      <c r="D748" s="1" t="s">
        <v>475</v>
      </c>
      <c r="E748" t="s">
        <v>1713</v>
      </c>
      <c r="F748" s="1">
        <v>42879</v>
      </c>
      <c r="G748" s="1">
        <v>1600024370</v>
      </c>
      <c r="H748" s="1">
        <v>12</v>
      </c>
      <c r="I748" s="1" t="s">
        <v>479</v>
      </c>
      <c r="J748" t="s">
        <v>1757</v>
      </c>
    </row>
    <row r="749" spans="1:10">
      <c r="A749" s="1">
        <v>33761</v>
      </c>
      <c r="B749" s="1">
        <v>3000016930</v>
      </c>
      <c r="C749" s="1">
        <v>12</v>
      </c>
      <c r="D749" s="1" t="s">
        <v>1162</v>
      </c>
      <c r="E749" t="s">
        <v>1714</v>
      </c>
      <c r="F749" s="1">
        <v>549808</v>
      </c>
      <c r="G749" s="1">
        <v>1600026828</v>
      </c>
      <c r="H749" s="1">
        <v>12</v>
      </c>
      <c r="I749" s="1" t="s">
        <v>619</v>
      </c>
      <c r="J749" t="s">
        <v>1758</v>
      </c>
    </row>
    <row r="750" spans="1:10">
      <c r="A750" s="1">
        <v>32813</v>
      </c>
      <c r="B750" s="1">
        <v>3000016939</v>
      </c>
      <c r="C750" s="1">
        <v>12</v>
      </c>
      <c r="D750" s="1" t="s">
        <v>1715</v>
      </c>
      <c r="E750" t="s">
        <v>1716</v>
      </c>
      <c r="F750" s="1">
        <v>864231</v>
      </c>
      <c r="G750" s="1">
        <v>1600040507</v>
      </c>
      <c r="H750" s="1">
        <v>6</v>
      </c>
      <c r="I750" s="1" t="s">
        <v>580</v>
      </c>
      <c r="J750" t="s">
        <v>1759</v>
      </c>
    </row>
    <row r="751" spans="1:10">
      <c r="A751" s="1">
        <v>35139</v>
      </c>
      <c r="B751" s="1">
        <v>3000016976</v>
      </c>
      <c r="C751" s="1">
        <v>8</v>
      </c>
      <c r="D751" s="1" t="s">
        <v>1707</v>
      </c>
      <c r="E751" t="s">
        <v>1717</v>
      </c>
      <c r="F751" s="1">
        <v>508960</v>
      </c>
      <c r="G751" s="1">
        <v>1600017067</v>
      </c>
      <c r="H751" s="1">
        <v>12</v>
      </c>
      <c r="I751" s="1" t="s">
        <v>1535</v>
      </c>
      <c r="J751" t="s">
        <v>1760</v>
      </c>
    </row>
    <row r="752" spans="1:10">
      <c r="A752" s="1">
        <v>35980</v>
      </c>
      <c r="B752" s="1">
        <v>3000016979</v>
      </c>
      <c r="C752" s="1">
        <v>8</v>
      </c>
      <c r="D752" s="1" t="s">
        <v>1718</v>
      </c>
      <c r="E752" t="s">
        <v>1719</v>
      </c>
      <c r="F752" s="1">
        <v>42622</v>
      </c>
      <c r="G752" s="1">
        <v>1600032830</v>
      </c>
      <c r="H752" s="1">
        <v>12</v>
      </c>
      <c r="I752" s="1" t="s">
        <v>479</v>
      </c>
      <c r="J752" t="s">
        <v>1761</v>
      </c>
    </row>
    <row r="753" spans="1:10">
      <c r="A753" s="1">
        <v>297374</v>
      </c>
      <c r="B753" s="1">
        <v>3000016012</v>
      </c>
      <c r="C753" s="1">
        <v>12</v>
      </c>
      <c r="D753" s="1" t="s">
        <v>1720</v>
      </c>
      <c r="E753" t="s">
        <v>1721</v>
      </c>
      <c r="F753" s="1">
        <v>764605</v>
      </c>
      <c r="G753" s="1">
        <v>1600014344</v>
      </c>
      <c r="H753" s="1">
        <v>12</v>
      </c>
      <c r="I753" s="1" t="s">
        <v>360</v>
      </c>
      <c r="J753" t="s">
        <v>1762</v>
      </c>
    </row>
    <row r="754" spans="1:10">
      <c r="A754" s="1">
        <v>31005</v>
      </c>
      <c r="B754" s="1">
        <v>3000016900</v>
      </c>
      <c r="C754" s="1">
        <v>12</v>
      </c>
      <c r="D754" s="1" t="s">
        <v>1722</v>
      </c>
      <c r="E754" t="s">
        <v>1723</v>
      </c>
      <c r="F754" s="1">
        <v>401406</v>
      </c>
      <c r="G754" s="1">
        <v>1600041781</v>
      </c>
      <c r="H754" s="1">
        <v>12</v>
      </c>
      <c r="I754" s="1" t="s">
        <v>1763</v>
      </c>
      <c r="J754" t="s">
        <v>1764</v>
      </c>
    </row>
    <row r="755" spans="1:10">
      <c r="A755" s="1">
        <v>31567</v>
      </c>
      <c r="B755" s="1">
        <v>3000016902</v>
      </c>
      <c r="C755" s="1">
        <v>12</v>
      </c>
      <c r="D755" s="1" t="s">
        <v>106</v>
      </c>
      <c r="E755" t="s">
        <v>1724</v>
      </c>
      <c r="F755" s="1">
        <v>372326</v>
      </c>
      <c r="G755" s="1">
        <v>1600027108</v>
      </c>
      <c r="H755" s="1">
        <v>12</v>
      </c>
      <c r="I755" s="1" t="s">
        <v>1763</v>
      </c>
      <c r="J755" t="s">
        <v>1765</v>
      </c>
    </row>
    <row r="756" spans="1:10">
      <c r="A756" s="1">
        <v>31633</v>
      </c>
      <c r="B756" s="1">
        <v>3000016901</v>
      </c>
      <c r="C756" s="1">
        <v>12</v>
      </c>
      <c r="D756" s="1" t="s">
        <v>106</v>
      </c>
      <c r="E756" t="s">
        <v>1725</v>
      </c>
      <c r="F756" s="1">
        <v>366989</v>
      </c>
      <c r="G756" s="1">
        <v>1600027107</v>
      </c>
      <c r="H756" s="1">
        <v>12</v>
      </c>
      <c r="I756" s="1" t="s">
        <v>1763</v>
      </c>
      <c r="J756" t="s">
        <v>1766</v>
      </c>
    </row>
    <row r="757" spans="1:10">
      <c r="A757" s="1">
        <v>30759</v>
      </c>
      <c r="B757" s="1">
        <v>3000016947</v>
      </c>
      <c r="C757" s="1">
        <v>12</v>
      </c>
      <c r="D757" s="1" t="s">
        <v>1726</v>
      </c>
      <c r="E757" t="s">
        <v>1727</v>
      </c>
      <c r="F757" s="1">
        <v>30858</v>
      </c>
      <c r="G757" s="1">
        <v>1600043370</v>
      </c>
      <c r="H757" s="1">
        <v>14</v>
      </c>
      <c r="I757" s="1" t="s">
        <v>404</v>
      </c>
      <c r="J757" t="s">
        <v>1767</v>
      </c>
    </row>
    <row r="758" spans="1:10">
      <c r="A758" s="1">
        <v>81703</v>
      </c>
      <c r="B758" s="1">
        <v>3000016047</v>
      </c>
      <c r="C758" s="1">
        <v>8</v>
      </c>
      <c r="D758" s="1" t="s">
        <v>517</v>
      </c>
      <c r="E758" t="s">
        <v>1728</v>
      </c>
      <c r="F758" s="1">
        <v>593699</v>
      </c>
      <c r="G758" s="1">
        <v>1600026711</v>
      </c>
      <c r="H758" s="1">
        <v>12</v>
      </c>
      <c r="I758" s="1" t="s">
        <v>360</v>
      </c>
      <c r="J758" t="s">
        <v>1768</v>
      </c>
    </row>
    <row r="759" spans="1:10">
      <c r="A759" s="1">
        <v>35147</v>
      </c>
      <c r="B759" s="1">
        <v>3000016912</v>
      </c>
      <c r="C759" s="1">
        <v>12</v>
      </c>
      <c r="D759" s="1" t="s">
        <v>192</v>
      </c>
      <c r="E759" t="s">
        <v>1729</v>
      </c>
      <c r="F759" s="1">
        <v>66753</v>
      </c>
      <c r="G759" s="1">
        <v>1600066050</v>
      </c>
      <c r="H759" s="1">
        <v>10</v>
      </c>
      <c r="I759" s="1" t="s">
        <v>365</v>
      </c>
      <c r="J759" t="s">
        <v>1769</v>
      </c>
    </row>
    <row r="760" spans="1:10" ht="15.75">
      <c r="A760" s="4" t="s">
        <v>10691</v>
      </c>
      <c r="B760" s="2"/>
      <c r="C760" s="2"/>
      <c r="D760" s="2"/>
      <c r="E760" s="3"/>
      <c r="F760" s="1">
        <v>101741</v>
      </c>
      <c r="G760" s="1">
        <v>1600041783</v>
      </c>
      <c r="H760" s="1">
        <v>12</v>
      </c>
      <c r="I760" s="1" t="s">
        <v>1763</v>
      </c>
      <c r="J760" t="s">
        <v>1770</v>
      </c>
    </row>
    <row r="761" spans="1:10">
      <c r="A761" s="2" t="s">
        <v>0</v>
      </c>
      <c r="B761" s="2" t="s">
        <v>1</v>
      </c>
      <c r="C761" s="2" t="s">
        <v>2</v>
      </c>
      <c r="D761" s="2" t="s">
        <v>3</v>
      </c>
      <c r="E761" s="3" t="s">
        <v>4</v>
      </c>
      <c r="F761" s="1">
        <v>66464</v>
      </c>
      <c r="G761" s="1">
        <v>1600066090</v>
      </c>
      <c r="H761" s="1">
        <v>10</v>
      </c>
      <c r="I761" s="1" t="s">
        <v>432</v>
      </c>
      <c r="J761" t="s">
        <v>1771</v>
      </c>
    </row>
    <row r="762" spans="1:10">
      <c r="A762" s="1">
        <v>30346</v>
      </c>
      <c r="B762" s="1">
        <v>1600018910</v>
      </c>
      <c r="C762" s="1">
        <v>14</v>
      </c>
      <c r="D762" s="1" t="s">
        <v>394</v>
      </c>
      <c r="E762" t="s">
        <v>1730</v>
      </c>
      <c r="F762" s="1">
        <v>745687</v>
      </c>
      <c r="G762" s="1">
        <v>1600015385</v>
      </c>
      <c r="H762" s="1">
        <v>10</v>
      </c>
      <c r="I762" s="1" t="s">
        <v>1535</v>
      </c>
      <c r="J762" t="s">
        <v>1772</v>
      </c>
    </row>
    <row r="763" spans="1:10">
      <c r="A763" s="1">
        <v>117515</v>
      </c>
      <c r="B763" s="1">
        <v>1600027700</v>
      </c>
      <c r="C763" s="1">
        <v>12</v>
      </c>
      <c r="D763" s="1" t="s">
        <v>106</v>
      </c>
      <c r="E763" t="s">
        <v>1731</v>
      </c>
      <c r="F763" s="1">
        <v>71886</v>
      </c>
      <c r="G763" s="1">
        <v>1600027122</v>
      </c>
      <c r="H763" s="1">
        <v>12</v>
      </c>
      <c r="I763" s="1" t="s">
        <v>360</v>
      </c>
      <c r="J763" t="s">
        <v>1773</v>
      </c>
    </row>
    <row r="764" spans="1:10">
      <c r="A764" s="1">
        <v>30429</v>
      </c>
      <c r="B764" s="1">
        <v>1600017731</v>
      </c>
      <c r="C764" s="1">
        <v>10</v>
      </c>
      <c r="D764" s="1" t="s">
        <v>546</v>
      </c>
      <c r="E764" t="s">
        <v>1732</v>
      </c>
      <c r="F764" s="1">
        <v>164517</v>
      </c>
      <c r="G764" s="1">
        <v>1600015932</v>
      </c>
      <c r="H764" s="1">
        <v>12</v>
      </c>
      <c r="I764" s="1" t="s">
        <v>360</v>
      </c>
      <c r="J764" t="s">
        <v>1774</v>
      </c>
    </row>
    <row r="765" spans="1:10">
      <c r="A765" s="1">
        <v>704635</v>
      </c>
      <c r="B765" s="1">
        <v>1600017374</v>
      </c>
      <c r="C765" s="1">
        <v>6</v>
      </c>
      <c r="D765" s="1" t="s">
        <v>106</v>
      </c>
      <c r="E765" t="s">
        <v>1733</v>
      </c>
      <c r="F765" s="1">
        <v>523597</v>
      </c>
      <c r="G765" s="1">
        <v>1600015933</v>
      </c>
      <c r="H765" s="1">
        <v>12</v>
      </c>
      <c r="I765" s="1" t="s">
        <v>360</v>
      </c>
      <c r="J765" t="s">
        <v>1775</v>
      </c>
    </row>
    <row r="766" spans="1:10">
      <c r="A766" s="1">
        <v>417279</v>
      </c>
      <c r="B766" s="1">
        <v>1600017375</v>
      </c>
      <c r="C766" s="1">
        <v>6</v>
      </c>
      <c r="D766" s="1" t="s">
        <v>106</v>
      </c>
      <c r="E766" t="s">
        <v>1734</v>
      </c>
      <c r="F766" s="1">
        <v>757906</v>
      </c>
      <c r="G766" s="1">
        <v>1600014345</v>
      </c>
      <c r="H766" s="1">
        <v>12</v>
      </c>
      <c r="I766" s="1" t="s">
        <v>360</v>
      </c>
      <c r="J766" t="s">
        <v>1776</v>
      </c>
    </row>
    <row r="767" spans="1:10">
      <c r="A767" s="1">
        <v>42374</v>
      </c>
      <c r="B767" s="1">
        <v>1600016846</v>
      </c>
      <c r="C767" s="1">
        <v>12</v>
      </c>
      <c r="D767" s="1" t="s">
        <v>106</v>
      </c>
      <c r="E767" t="s">
        <v>1735</v>
      </c>
      <c r="F767" s="1">
        <v>659938</v>
      </c>
      <c r="G767" s="1">
        <v>1600016174</v>
      </c>
      <c r="H767" s="1">
        <v>10</v>
      </c>
      <c r="I767" s="1" t="s">
        <v>546</v>
      </c>
      <c r="J767" t="s">
        <v>1777</v>
      </c>
    </row>
    <row r="768" spans="1:10">
      <c r="A768" s="1">
        <v>30593</v>
      </c>
      <c r="B768" s="1">
        <v>1600035510</v>
      </c>
      <c r="C768" s="1">
        <v>14</v>
      </c>
      <c r="D768" s="1" t="s">
        <v>394</v>
      </c>
      <c r="E768" t="s">
        <v>1736</v>
      </c>
      <c r="F768" s="1">
        <v>67926</v>
      </c>
      <c r="G768" s="1">
        <v>1600066450</v>
      </c>
      <c r="H768" s="1">
        <v>10</v>
      </c>
      <c r="I768" s="1" t="s">
        <v>524</v>
      </c>
      <c r="J768" t="s">
        <v>1778</v>
      </c>
    </row>
    <row r="769" spans="1:10">
      <c r="A769" s="1">
        <v>539064</v>
      </c>
      <c r="B769" s="1">
        <v>1600017314</v>
      </c>
      <c r="C769" s="1">
        <v>12</v>
      </c>
      <c r="D769" s="1" t="s">
        <v>1737</v>
      </c>
      <c r="E769" t="s">
        <v>1738</v>
      </c>
      <c r="F769" s="1">
        <v>27334</v>
      </c>
      <c r="G769" s="1">
        <v>1600017711</v>
      </c>
      <c r="H769" s="1">
        <v>10</v>
      </c>
      <c r="I769" s="1" t="s">
        <v>546</v>
      </c>
      <c r="J769" t="s">
        <v>1779</v>
      </c>
    </row>
    <row r="770" spans="1:10">
      <c r="A770" s="1">
        <v>450361</v>
      </c>
      <c r="B770" s="1">
        <v>1600017436</v>
      </c>
      <c r="C770" s="1">
        <v>12</v>
      </c>
      <c r="D770" s="1" t="s">
        <v>1739</v>
      </c>
      <c r="E770" t="s">
        <v>1740</v>
      </c>
      <c r="F770" s="1">
        <v>336461</v>
      </c>
      <c r="G770" s="1">
        <v>87627400056</v>
      </c>
      <c r="H770" s="1">
        <v>24</v>
      </c>
      <c r="I770" s="1" t="s">
        <v>5</v>
      </c>
      <c r="J770" t="s">
        <v>1780</v>
      </c>
    </row>
    <row r="771" spans="1:10">
      <c r="A771" s="1">
        <v>761296</v>
      </c>
      <c r="B771" s="1">
        <v>1600017435</v>
      </c>
      <c r="C771" s="1">
        <v>12</v>
      </c>
      <c r="D771" s="1" t="s">
        <v>1739</v>
      </c>
      <c r="E771" t="s">
        <v>1741</v>
      </c>
      <c r="F771" s="1">
        <v>424903</v>
      </c>
      <c r="G771" s="1">
        <v>4000013385</v>
      </c>
      <c r="H771" s="1">
        <v>10</v>
      </c>
      <c r="I771" s="1" t="s">
        <v>1781</v>
      </c>
      <c r="J771" t="s">
        <v>1782</v>
      </c>
    </row>
    <row r="772" spans="1:10">
      <c r="A772" s="1">
        <v>881912</v>
      </c>
      <c r="B772" s="1">
        <v>1600026297</v>
      </c>
      <c r="C772" s="1">
        <v>12</v>
      </c>
      <c r="D772" s="1" t="s">
        <v>1739</v>
      </c>
      <c r="E772" t="s">
        <v>1742</v>
      </c>
      <c r="F772" s="1">
        <v>369231</v>
      </c>
      <c r="G772" s="1">
        <v>4000013391</v>
      </c>
      <c r="H772" s="1">
        <v>10</v>
      </c>
      <c r="I772" s="1" t="s">
        <v>1781</v>
      </c>
      <c r="J772" t="s">
        <v>1783</v>
      </c>
    </row>
    <row r="773" spans="1:10">
      <c r="A773" s="1">
        <v>31500</v>
      </c>
      <c r="B773" s="1">
        <v>1600018280</v>
      </c>
      <c r="C773" s="1">
        <v>6</v>
      </c>
      <c r="D773" s="1" t="s">
        <v>632</v>
      </c>
      <c r="E773" t="s">
        <v>1743</v>
      </c>
      <c r="F773" s="1">
        <v>184887</v>
      </c>
      <c r="G773" s="1">
        <v>4000013379</v>
      </c>
      <c r="H773" s="1">
        <v>10</v>
      </c>
      <c r="I773" s="1" t="s">
        <v>1784</v>
      </c>
      <c r="J773" t="s">
        <v>1785</v>
      </c>
    </row>
    <row r="774" spans="1:10">
      <c r="A774" s="1">
        <v>777797</v>
      </c>
      <c r="B774" s="1">
        <v>1600017313</v>
      </c>
      <c r="C774" s="1">
        <v>12</v>
      </c>
      <c r="D774" s="1" t="s">
        <v>1737</v>
      </c>
      <c r="E774" t="s">
        <v>1744</v>
      </c>
      <c r="F774" s="1">
        <v>529602</v>
      </c>
      <c r="G774" s="1">
        <v>1600016893</v>
      </c>
      <c r="H774" s="1">
        <v>12</v>
      </c>
      <c r="I774" s="1" t="s">
        <v>1786</v>
      </c>
      <c r="J774" t="s">
        <v>1787</v>
      </c>
    </row>
    <row r="775" spans="1:10">
      <c r="A775" s="1">
        <v>26880</v>
      </c>
      <c r="B775" s="1">
        <v>1600016845</v>
      </c>
      <c r="C775" s="1">
        <v>12</v>
      </c>
      <c r="D775" s="1" t="s">
        <v>106</v>
      </c>
      <c r="E775" t="s">
        <v>1745</v>
      </c>
      <c r="F775" s="1">
        <v>37218</v>
      </c>
      <c r="G775" s="1">
        <v>1600016894</v>
      </c>
      <c r="H775" s="1">
        <v>12</v>
      </c>
      <c r="I775" s="1" t="s">
        <v>1786</v>
      </c>
      <c r="J775" t="s">
        <v>1788</v>
      </c>
    </row>
    <row r="776" spans="1:10">
      <c r="A776" s="1">
        <v>40691</v>
      </c>
      <c r="B776" s="1">
        <v>1600019430</v>
      </c>
      <c r="C776" s="1">
        <v>12</v>
      </c>
      <c r="D776" s="1" t="s">
        <v>106</v>
      </c>
      <c r="E776" t="s">
        <v>1746</v>
      </c>
      <c r="F776" s="1">
        <v>31211</v>
      </c>
      <c r="G776" s="1">
        <v>1600026450</v>
      </c>
      <c r="H776" s="1">
        <v>12</v>
      </c>
      <c r="I776" s="1" t="s">
        <v>1244</v>
      </c>
      <c r="J776" t="s">
        <v>1789</v>
      </c>
    </row>
    <row r="777" spans="1:10">
      <c r="A777" s="1">
        <v>456723</v>
      </c>
      <c r="B777" s="1">
        <v>1600028089</v>
      </c>
      <c r="C777" s="1">
        <v>10</v>
      </c>
      <c r="D777" s="1" t="s">
        <v>546</v>
      </c>
      <c r="E777" t="s">
        <v>1747</v>
      </c>
      <c r="F777" s="1">
        <v>30015</v>
      </c>
      <c r="G777" s="1">
        <v>1600026480</v>
      </c>
      <c r="H777" s="1">
        <v>12</v>
      </c>
      <c r="I777" s="1" t="s">
        <v>1244</v>
      </c>
      <c r="J777" t="s">
        <v>1790</v>
      </c>
    </row>
    <row r="778" spans="1:10">
      <c r="A778" s="1">
        <v>440669</v>
      </c>
      <c r="B778" s="1">
        <v>1600040508</v>
      </c>
      <c r="C778" s="1">
        <v>12</v>
      </c>
      <c r="D778" s="1" t="s">
        <v>479</v>
      </c>
      <c r="E778" t="s">
        <v>1748</v>
      </c>
      <c r="F778" s="1">
        <v>31617</v>
      </c>
      <c r="G778" s="1">
        <v>1600027911</v>
      </c>
      <c r="H778" s="1">
        <v>12</v>
      </c>
      <c r="I778" s="1" t="s">
        <v>1763</v>
      </c>
      <c r="J778" t="s">
        <v>1791</v>
      </c>
    </row>
    <row r="779" spans="1:10">
      <c r="A779" s="1">
        <v>42895</v>
      </c>
      <c r="B779" s="1">
        <v>1600024070</v>
      </c>
      <c r="C779" s="1">
        <v>12</v>
      </c>
      <c r="D779" s="1" t="s">
        <v>479</v>
      </c>
      <c r="E779" t="s">
        <v>1749</v>
      </c>
      <c r="F779" s="1">
        <v>32748</v>
      </c>
      <c r="G779" s="1">
        <v>1600029530</v>
      </c>
      <c r="H779" s="1">
        <v>12</v>
      </c>
      <c r="I779" s="1" t="s">
        <v>1763</v>
      </c>
      <c r="J779" t="s">
        <v>1792</v>
      </c>
    </row>
    <row r="780" spans="1:10" ht="15.75">
      <c r="A780" s="4" t="s">
        <v>10691</v>
      </c>
      <c r="B780" s="2"/>
      <c r="C780" s="2"/>
      <c r="D780" s="2"/>
      <c r="E780" s="3"/>
      <c r="F780" s="4" t="s">
        <v>10691</v>
      </c>
      <c r="G780" s="2"/>
      <c r="H780" s="2"/>
      <c r="I780" s="2"/>
      <c r="J780" s="3"/>
    </row>
    <row r="781" spans="1:10">
      <c r="A781" s="2" t="s">
        <v>0</v>
      </c>
      <c r="B781" s="2" t="s">
        <v>1</v>
      </c>
      <c r="C781" s="2" t="s">
        <v>2</v>
      </c>
      <c r="D781" s="2" t="s">
        <v>3</v>
      </c>
      <c r="E781" s="3" t="s">
        <v>4</v>
      </c>
      <c r="F781" s="2" t="s">
        <v>0</v>
      </c>
      <c r="G781" s="2" t="s">
        <v>1</v>
      </c>
      <c r="H781" s="2" t="s">
        <v>2</v>
      </c>
      <c r="I781" s="2" t="s">
        <v>3</v>
      </c>
      <c r="J781" s="3" t="s">
        <v>4</v>
      </c>
    </row>
    <row r="782" spans="1:10">
      <c r="A782" s="1">
        <v>30395</v>
      </c>
      <c r="B782" s="1">
        <v>1600026460</v>
      </c>
      <c r="C782" s="1">
        <v>12</v>
      </c>
      <c r="D782" s="1" t="s">
        <v>1244</v>
      </c>
      <c r="E782" t="s">
        <v>1793</v>
      </c>
      <c r="F782" s="1">
        <v>264242</v>
      </c>
      <c r="G782" s="1">
        <v>3000045013</v>
      </c>
      <c r="H782" s="1">
        <v>12</v>
      </c>
      <c r="I782" s="1" t="s">
        <v>1426</v>
      </c>
      <c r="J782" t="s">
        <v>1837</v>
      </c>
    </row>
    <row r="783" spans="1:10">
      <c r="A783" s="1">
        <v>32193</v>
      </c>
      <c r="B783" s="1">
        <v>1600028920</v>
      </c>
      <c r="C783" s="1">
        <v>12</v>
      </c>
      <c r="D783" s="1" t="s">
        <v>1244</v>
      </c>
      <c r="E783" t="s">
        <v>1794</v>
      </c>
      <c r="F783" s="1">
        <v>785378</v>
      </c>
      <c r="G783" s="1">
        <v>3000005579</v>
      </c>
      <c r="H783" s="1">
        <v>12</v>
      </c>
      <c r="I783" s="1" t="s">
        <v>1818</v>
      </c>
      <c r="J783" t="s">
        <v>1838</v>
      </c>
    </row>
    <row r="784" spans="1:10">
      <c r="A784" s="1">
        <v>31419</v>
      </c>
      <c r="B784" s="1">
        <v>1600029570</v>
      </c>
      <c r="C784" s="1">
        <v>12</v>
      </c>
      <c r="D784" s="1" t="s">
        <v>1244</v>
      </c>
      <c r="E784" t="s">
        <v>1795</v>
      </c>
      <c r="F784" s="1">
        <v>375774</v>
      </c>
      <c r="G784" s="1">
        <v>3000005568</v>
      </c>
      <c r="H784" s="1">
        <v>12</v>
      </c>
      <c r="I784" s="1" t="s">
        <v>1818</v>
      </c>
      <c r="J784" t="s">
        <v>1839</v>
      </c>
    </row>
    <row r="785" spans="1:10">
      <c r="A785" s="1">
        <v>31203</v>
      </c>
      <c r="B785" s="1">
        <v>1600026470</v>
      </c>
      <c r="C785" s="1">
        <v>12</v>
      </c>
      <c r="D785" s="1" t="s">
        <v>1244</v>
      </c>
      <c r="E785" t="s">
        <v>1796</v>
      </c>
      <c r="F785" s="1">
        <v>381160</v>
      </c>
      <c r="G785" s="1">
        <v>3000005529</v>
      </c>
      <c r="H785" s="1">
        <v>12</v>
      </c>
      <c r="I785" s="1" t="s">
        <v>1840</v>
      </c>
      <c r="J785" t="s">
        <v>1841</v>
      </c>
    </row>
    <row r="786" spans="1:10">
      <c r="A786" s="1">
        <v>30007</v>
      </c>
      <c r="B786" s="1">
        <v>1600026590</v>
      </c>
      <c r="C786" s="1">
        <v>12</v>
      </c>
      <c r="D786" s="1" t="s">
        <v>1244</v>
      </c>
      <c r="E786" t="s">
        <v>1797</v>
      </c>
      <c r="F786" s="1">
        <v>305409</v>
      </c>
      <c r="G786" s="1">
        <v>3000005544</v>
      </c>
      <c r="H786" s="1">
        <v>12</v>
      </c>
      <c r="I786" s="1" t="s">
        <v>1818</v>
      </c>
      <c r="J786" t="s">
        <v>1842</v>
      </c>
    </row>
    <row r="787" spans="1:10">
      <c r="A787" s="1">
        <v>31229</v>
      </c>
      <c r="B787" s="1">
        <v>1600029860</v>
      </c>
      <c r="C787" s="1">
        <v>6</v>
      </c>
      <c r="D787" s="1" t="s">
        <v>632</v>
      </c>
      <c r="E787" t="s">
        <v>1798</v>
      </c>
      <c r="F787" s="1">
        <v>302067</v>
      </c>
      <c r="G787" s="1">
        <v>3000005596</v>
      </c>
      <c r="H787" s="1">
        <v>12</v>
      </c>
      <c r="I787" s="1" t="s">
        <v>1827</v>
      </c>
      <c r="J787" t="s">
        <v>1843</v>
      </c>
    </row>
    <row r="788" spans="1:10">
      <c r="A788" s="1">
        <v>30288</v>
      </c>
      <c r="B788" s="1">
        <v>1600028415</v>
      </c>
      <c r="C788" s="1">
        <v>12</v>
      </c>
      <c r="D788" s="1" t="s">
        <v>1244</v>
      </c>
      <c r="E788" t="s">
        <v>1799</v>
      </c>
      <c r="F788" s="1">
        <v>783191</v>
      </c>
      <c r="G788" s="1">
        <v>3000005595</v>
      </c>
      <c r="H788" s="1">
        <v>12</v>
      </c>
      <c r="I788" s="1" t="s">
        <v>1827</v>
      </c>
      <c r="J788" t="s">
        <v>1844</v>
      </c>
    </row>
    <row r="789" spans="1:10">
      <c r="A789" s="1">
        <v>892901</v>
      </c>
      <c r="B789" s="1">
        <v>1600014624</v>
      </c>
      <c r="C789" s="1">
        <v>12</v>
      </c>
      <c r="D789" s="1" t="s">
        <v>793</v>
      </c>
      <c r="E789" t="s">
        <v>1800</v>
      </c>
      <c r="F789" s="1">
        <v>191718</v>
      </c>
      <c r="G789" s="1">
        <v>3000005594</v>
      </c>
      <c r="H789" s="1">
        <v>12</v>
      </c>
      <c r="I789" s="1" t="s">
        <v>1827</v>
      </c>
      <c r="J789" t="s">
        <v>1845</v>
      </c>
    </row>
    <row r="790" spans="1:10">
      <c r="A790" s="1">
        <v>370536</v>
      </c>
      <c r="B790" s="1">
        <v>1600041098</v>
      </c>
      <c r="C790" s="1">
        <v>12</v>
      </c>
      <c r="D790" s="1" t="s">
        <v>1763</v>
      </c>
      <c r="E790" t="s">
        <v>1801</v>
      </c>
      <c r="F790" s="1">
        <v>486001</v>
      </c>
      <c r="G790" s="1">
        <v>3000005586</v>
      </c>
      <c r="H790" s="1">
        <v>12</v>
      </c>
      <c r="I790" s="1" t="s">
        <v>1818</v>
      </c>
      <c r="J790" t="s">
        <v>1846</v>
      </c>
    </row>
    <row r="791" spans="1:10">
      <c r="A791" s="1">
        <v>30403</v>
      </c>
      <c r="B791" s="1">
        <v>1600027706</v>
      </c>
      <c r="C791" s="1">
        <v>12</v>
      </c>
      <c r="D791" s="1" t="s">
        <v>1763</v>
      </c>
      <c r="E791" t="s">
        <v>1802</v>
      </c>
      <c r="F791" s="1">
        <v>785394</v>
      </c>
      <c r="G791" s="1">
        <v>3000005567</v>
      </c>
      <c r="H791" s="1">
        <v>12</v>
      </c>
      <c r="I791" s="1" t="s">
        <v>1818</v>
      </c>
      <c r="J791" t="s">
        <v>1847</v>
      </c>
    </row>
    <row r="792" spans="1:10">
      <c r="A792" s="1">
        <v>30304</v>
      </c>
      <c r="B792" s="1">
        <v>1600027707</v>
      </c>
      <c r="C792" s="1">
        <v>12</v>
      </c>
      <c r="D792" s="1" t="s">
        <v>1763</v>
      </c>
      <c r="E792" t="s">
        <v>1803</v>
      </c>
      <c r="F792" s="1">
        <v>785386</v>
      </c>
      <c r="G792" s="1">
        <v>3000005569</v>
      </c>
      <c r="H792" s="1">
        <v>12</v>
      </c>
      <c r="I792" s="1" t="s">
        <v>1818</v>
      </c>
      <c r="J792" t="s">
        <v>1848</v>
      </c>
    </row>
    <row r="793" spans="1:10">
      <c r="A793" s="1">
        <v>140418</v>
      </c>
      <c r="B793" s="1">
        <v>1600026282</v>
      </c>
      <c r="C793" s="1">
        <v>8</v>
      </c>
      <c r="D793" s="1" t="s">
        <v>1305</v>
      </c>
      <c r="E793" t="s">
        <v>1804</v>
      </c>
      <c r="F793" s="1">
        <v>7187</v>
      </c>
      <c r="G793" s="1">
        <v>1116600718</v>
      </c>
      <c r="H793" s="1">
        <v>12</v>
      </c>
      <c r="I793" s="1" t="s">
        <v>1244</v>
      </c>
      <c r="J793" t="s">
        <v>1849</v>
      </c>
    </row>
    <row r="794" spans="1:10">
      <c r="A794" s="1">
        <v>14399</v>
      </c>
      <c r="B794" s="1">
        <v>1600026281</v>
      </c>
      <c r="C794" s="1">
        <v>12</v>
      </c>
      <c r="D794" s="1" t="s">
        <v>1763</v>
      </c>
      <c r="E794" t="s">
        <v>1804</v>
      </c>
      <c r="F794" s="1">
        <v>657460</v>
      </c>
      <c r="G794" s="1">
        <v>1116601460</v>
      </c>
      <c r="H794" s="1">
        <v>12</v>
      </c>
      <c r="I794" s="1" t="s">
        <v>1850</v>
      </c>
      <c r="J794" t="s">
        <v>1851</v>
      </c>
    </row>
    <row r="795" spans="1:10">
      <c r="A795" s="1">
        <v>32169</v>
      </c>
      <c r="B795" s="1">
        <v>1600043240</v>
      </c>
      <c r="C795" s="1">
        <v>12</v>
      </c>
      <c r="D795" s="1" t="s">
        <v>1763</v>
      </c>
      <c r="E795" t="s">
        <v>1805</v>
      </c>
      <c r="F795" s="1">
        <v>546358</v>
      </c>
      <c r="G795" s="1">
        <v>1116601461</v>
      </c>
      <c r="H795" s="1">
        <v>12</v>
      </c>
      <c r="I795" s="1" t="s">
        <v>1850</v>
      </c>
      <c r="J795" t="s">
        <v>1852</v>
      </c>
    </row>
    <row r="796" spans="1:10">
      <c r="A796" s="1">
        <v>673335</v>
      </c>
      <c r="B796" s="1">
        <v>1600040761</v>
      </c>
      <c r="C796" s="1">
        <v>12</v>
      </c>
      <c r="D796" s="1" t="s">
        <v>1763</v>
      </c>
      <c r="E796" t="s">
        <v>1806</v>
      </c>
      <c r="F796" s="1">
        <v>523456</v>
      </c>
      <c r="G796" s="1">
        <v>1116601463</v>
      </c>
      <c r="H796" s="1">
        <v>12</v>
      </c>
      <c r="I796" s="1" t="s">
        <v>360</v>
      </c>
      <c r="J796" t="s">
        <v>1853</v>
      </c>
    </row>
    <row r="797" spans="1:10">
      <c r="A797" s="1">
        <v>31971</v>
      </c>
      <c r="B797" s="1">
        <v>1600043980</v>
      </c>
      <c r="C797" s="1">
        <v>12</v>
      </c>
      <c r="D797" s="1" t="s">
        <v>1763</v>
      </c>
      <c r="E797" t="s">
        <v>1807</v>
      </c>
      <c r="F797" s="1">
        <v>31153</v>
      </c>
      <c r="G797" s="1">
        <v>1116601462</v>
      </c>
      <c r="H797" s="1">
        <v>12</v>
      </c>
      <c r="I797" s="1" t="s">
        <v>360</v>
      </c>
      <c r="J797" t="s">
        <v>1854</v>
      </c>
    </row>
    <row r="798" spans="1:10">
      <c r="A798" s="1">
        <v>483164</v>
      </c>
      <c r="B798" s="1">
        <v>1600017045</v>
      </c>
      <c r="C798" s="1">
        <v>12</v>
      </c>
      <c r="D798" s="1" t="s">
        <v>1808</v>
      </c>
      <c r="E798" t="s">
        <v>1809</v>
      </c>
      <c r="F798" s="1">
        <v>660043</v>
      </c>
      <c r="G798" s="1">
        <v>1116601450</v>
      </c>
      <c r="H798" s="1">
        <v>12</v>
      </c>
      <c r="I798" s="1" t="s">
        <v>1818</v>
      </c>
      <c r="J798" t="s">
        <v>1855</v>
      </c>
    </row>
    <row r="799" spans="1:10">
      <c r="A799" s="1">
        <v>32078</v>
      </c>
      <c r="B799" s="1">
        <v>1600024720</v>
      </c>
      <c r="C799" s="1">
        <v>12</v>
      </c>
      <c r="D799" s="1" t="s">
        <v>1763</v>
      </c>
      <c r="E799" t="s">
        <v>1810</v>
      </c>
      <c r="F799" s="1">
        <v>750018</v>
      </c>
      <c r="G799" s="1">
        <v>1116601451</v>
      </c>
      <c r="H799" s="1">
        <v>12</v>
      </c>
      <c r="I799" s="1" t="s">
        <v>1818</v>
      </c>
      <c r="J799" t="s">
        <v>1856</v>
      </c>
    </row>
    <row r="800" spans="1:10">
      <c r="A800" s="1">
        <v>232322</v>
      </c>
      <c r="B800" s="1">
        <v>3000045130</v>
      </c>
      <c r="C800" s="1">
        <v>12</v>
      </c>
      <c r="D800" s="1" t="s">
        <v>1811</v>
      </c>
      <c r="E800" t="s">
        <v>1812</v>
      </c>
      <c r="F800" s="1">
        <v>121053</v>
      </c>
      <c r="G800" s="1">
        <v>1116601452</v>
      </c>
      <c r="H800" s="1">
        <v>12</v>
      </c>
      <c r="I800" s="1" t="s">
        <v>1818</v>
      </c>
      <c r="J800" t="s">
        <v>1857</v>
      </c>
    </row>
    <row r="801" spans="1:10">
      <c r="A801" s="1">
        <v>708149</v>
      </c>
      <c r="B801" s="1">
        <v>3000007563</v>
      </c>
      <c r="C801" s="1">
        <v>6</v>
      </c>
      <c r="D801" s="1" t="s">
        <v>830</v>
      </c>
      <c r="E801" t="s">
        <v>1813</v>
      </c>
      <c r="F801" s="1">
        <v>424960</v>
      </c>
      <c r="G801" s="1">
        <v>1116601449</v>
      </c>
      <c r="H801" s="1">
        <v>12</v>
      </c>
      <c r="I801" s="1" t="s">
        <v>1818</v>
      </c>
      <c r="J801" t="s">
        <v>1858</v>
      </c>
    </row>
    <row r="802" spans="1:10">
      <c r="A802" s="1">
        <v>506972</v>
      </c>
      <c r="B802" s="1">
        <v>3000005766</v>
      </c>
      <c r="C802" s="1">
        <v>6</v>
      </c>
      <c r="D802" s="1" t="s">
        <v>830</v>
      </c>
      <c r="E802" t="s">
        <v>1814</v>
      </c>
      <c r="F802" s="1">
        <v>671875</v>
      </c>
      <c r="G802" s="1">
        <v>1116601464</v>
      </c>
      <c r="H802" s="1">
        <v>12</v>
      </c>
      <c r="I802" s="1" t="s">
        <v>1786</v>
      </c>
      <c r="J802" t="s">
        <v>1859</v>
      </c>
    </row>
    <row r="803" spans="1:10">
      <c r="A803" s="1">
        <v>687962</v>
      </c>
      <c r="B803" s="1">
        <v>3000005552</v>
      </c>
      <c r="C803" s="1">
        <v>12</v>
      </c>
      <c r="D803" s="1" t="s">
        <v>1815</v>
      </c>
      <c r="E803" t="s">
        <v>1816</v>
      </c>
      <c r="F803" s="1">
        <v>110049</v>
      </c>
      <c r="G803" s="1">
        <v>1116611004</v>
      </c>
      <c r="H803" s="1">
        <v>12</v>
      </c>
      <c r="I803" s="1" t="s">
        <v>479</v>
      </c>
      <c r="J803" t="s">
        <v>1860</v>
      </c>
    </row>
    <row r="804" spans="1:10">
      <c r="A804" s="1">
        <v>397802</v>
      </c>
      <c r="B804" s="1">
        <v>3000005553</v>
      </c>
      <c r="C804" s="1">
        <v>12</v>
      </c>
      <c r="D804" s="1" t="s">
        <v>1815</v>
      </c>
      <c r="E804" t="s">
        <v>1817</v>
      </c>
      <c r="F804" s="1">
        <v>109363</v>
      </c>
      <c r="G804" s="1">
        <v>1116610936</v>
      </c>
      <c r="H804" s="1">
        <v>12</v>
      </c>
      <c r="I804" s="1" t="s">
        <v>479</v>
      </c>
      <c r="J804" t="s">
        <v>1861</v>
      </c>
    </row>
    <row r="805" spans="1:10">
      <c r="A805" s="1">
        <v>546820</v>
      </c>
      <c r="B805" s="1">
        <v>3000005575</v>
      </c>
      <c r="C805" s="1">
        <v>12</v>
      </c>
      <c r="D805" s="1" t="s">
        <v>1818</v>
      </c>
      <c r="E805" t="s">
        <v>1819</v>
      </c>
      <c r="F805" s="1">
        <v>109736</v>
      </c>
      <c r="G805" s="1">
        <v>1116610973</v>
      </c>
      <c r="H805" s="1">
        <v>12</v>
      </c>
      <c r="I805" s="1" t="s">
        <v>479</v>
      </c>
      <c r="J805" t="s">
        <v>1862</v>
      </c>
    </row>
    <row r="806" spans="1:10">
      <c r="A806" s="1">
        <v>222356</v>
      </c>
      <c r="B806" s="1">
        <v>3000005508</v>
      </c>
      <c r="C806" s="1">
        <v>12</v>
      </c>
      <c r="D806" s="1" t="s">
        <v>1818</v>
      </c>
      <c r="E806" t="s">
        <v>1820</v>
      </c>
      <c r="F806" s="1">
        <v>109306</v>
      </c>
      <c r="G806" s="1">
        <v>1116610930</v>
      </c>
      <c r="H806" s="1">
        <v>12</v>
      </c>
      <c r="I806" s="1" t="s">
        <v>479</v>
      </c>
      <c r="J806" t="s">
        <v>1863</v>
      </c>
    </row>
    <row r="807" spans="1:10">
      <c r="A807" s="1">
        <v>39107</v>
      </c>
      <c r="B807" s="1">
        <v>3000009590</v>
      </c>
      <c r="C807" s="1">
        <v>12</v>
      </c>
      <c r="D807" s="1" t="s">
        <v>496</v>
      </c>
      <c r="E807" t="s">
        <v>1821</v>
      </c>
      <c r="F807" s="1">
        <v>107680</v>
      </c>
      <c r="G807" s="1">
        <v>1116610768</v>
      </c>
      <c r="H807" s="1">
        <v>12</v>
      </c>
      <c r="I807" s="1" t="s">
        <v>479</v>
      </c>
      <c r="J807" t="s">
        <v>1864</v>
      </c>
    </row>
    <row r="808" spans="1:10">
      <c r="A808" s="1">
        <v>229757</v>
      </c>
      <c r="B808" s="1">
        <v>3000045933</v>
      </c>
      <c r="C808" s="1">
        <v>12</v>
      </c>
      <c r="D808" s="1" t="s">
        <v>1818</v>
      </c>
      <c r="E808" t="s">
        <v>1822</v>
      </c>
      <c r="F808" s="1">
        <v>109116</v>
      </c>
      <c r="G808" s="1">
        <v>1116610911</v>
      </c>
      <c r="H808" s="1">
        <v>12</v>
      </c>
      <c r="I808" s="1" t="s">
        <v>401</v>
      </c>
      <c r="J808" t="s">
        <v>1865</v>
      </c>
    </row>
    <row r="809" spans="1:10">
      <c r="A809" s="1">
        <v>222349</v>
      </c>
      <c r="B809" s="1">
        <v>3000005509</v>
      </c>
      <c r="C809" s="1">
        <v>12</v>
      </c>
      <c r="D809" s="1" t="s">
        <v>1681</v>
      </c>
      <c r="E809" t="s">
        <v>1823</v>
      </c>
      <c r="F809" s="1">
        <v>109199</v>
      </c>
      <c r="G809" s="1">
        <v>1116610919</v>
      </c>
      <c r="H809" s="1">
        <v>12</v>
      </c>
      <c r="I809" s="1" t="s">
        <v>401</v>
      </c>
      <c r="J809" t="s">
        <v>1866</v>
      </c>
    </row>
    <row r="810" spans="1:10">
      <c r="A810" s="1">
        <v>198523</v>
      </c>
      <c r="B810" s="1">
        <v>3000005541</v>
      </c>
      <c r="C810" s="1">
        <v>12</v>
      </c>
      <c r="D810" s="1" t="s">
        <v>1818</v>
      </c>
      <c r="E810" t="s">
        <v>1824</v>
      </c>
      <c r="F810" s="1">
        <v>109181</v>
      </c>
      <c r="G810" s="1">
        <v>1116610918</v>
      </c>
      <c r="H810" s="1">
        <v>12</v>
      </c>
      <c r="I810" s="1" t="s">
        <v>401</v>
      </c>
      <c r="J810" t="s">
        <v>1867</v>
      </c>
    </row>
    <row r="811" spans="1:10">
      <c r="A811" s="1">
        <v>9514</v>
      </c>
      <c r="B811" s="1">
        <v>3000009440</v>
      </c>
      <c r="C811" s="1">
        <v>12</v>
      </c>
      <c r="D811" s="1" t="s">
        <v>1818</v>
      </c>
      <c r="E811" t="s">
        <v>1825</v>
      </c>
      <c r="F811" s="1">
        <v>832402</v>
      </c>
      <c r="G811" s="1">
        <v>1116601363</v>
      </c>
      <c r="H811" s="1">
        <v>12</v>
      </c>
      <c r="I811" s="1" t="s">
        <v>1423</v>
      </c>
      <c r="J811" t="s">
        <v>1868</v>
      </c>
    </row>
    <row r="812" spans="1:10">
      <c r="A812" s="1">
        <v>123398</v>
      </c>
      <c r="B812" s="1">
        <v>3000006900</v>
      </c>
      <c r="C812" s="1">
        <v>12</v>
      </c>
      <c r="D812" s="1" t="s">
        <v>401</v>
      </c>
      <c r="E812" t="s">
        <v>1826</v>
      </c>
      <c r="F812" s="1">
        <v>758680</v>
      </c>
      <c r="G812" s="1">
        <v>1116601429</v>
      </c>
      <c r="H812" s="1">
        <v>12</v>
      </c>
      <c r="I812" s="1" t="s">
        <v>479</v>
      </c>
      <c r="J812" t="s">
        <v>1869</v>
      </c>
    </row>
    <row r="813" spans="1:10">
      <c r="A813" s="1">
        <v>251868</v>
      </c>
      <c r="B813" s="1">
        <v>3000005545</v>
      </c>
      <c r="C813" s="1">
        <v>12</v>
      </c>
      <c r="D813" s="1" t="s">
        <v>1827</v>
      </c>
      <c r="E813" t="s">
        <v>1828</v>
      </c>
      <c r="F813" s="1">
        <v>879890</v>
      </c>
      <c r="G813" s="1">
        <v>3000005515</v>
      </c>
      <c r="H813" s="1">
        <v>12</v>
      </c>
      <c r="I813" s="1" t="s">
        <v>1763</v>
      </c>
      <c r="J813" t="s">
        <v>1870</v>
      </c>
    </row>
    <row r="814" spans="1:10">
      <c r="A814" s="1">
        <v>869180</v>
      </c>
      <c r="B814" s="1">
        <v>3000005599</v>
      </c>
      <c r="C814" s="1">
        <v>12</v>
      </c>
      <c r="D814" s="1" t="s">
        <v>1827</v>
      </c>
      <c r="E814" t="s">
        <v>1829</v>
      </c>
      <c r="F814" s="1">
        <v>257295</v>
      </c>
      <c r="G814" s="1">
        <v>3000005517</v>
      </c>
      <c r="H814" s="1">
        <v>12</v>
      </c>
      <c r="I814" s="1" t="s">
        <v>1763</v>
      </c>
      <c r="J814" t="s">
        <v>1871</v>
      </c>
    </row>
    <row r="815" spans="1:10">
      <c r="A815" s="1">
        <v>882183</v>
      </c>
      <c r="B815" s="1">
        <v>3000015005</v>
      </c>
      <c r="C815" s="1">
        <v>6</v>
      </c>
      <c r="D815" s="1" t="s">
        <v>517</v>
      </c>
      <c r="E815" t="s">
        <v>1830</v>
      </c>
      <c r="F815" s="1">
        <v>788257</v>
      </c>
      <c r="G815" s="1">
        <v>3000005521</v>
      </c>
      <c r="H815" s="1">
        <v>12</v>
      </c>
      <c r="I815" s="1" t="s">
        <v>1763</v>
      </c>
      <c r="J815" t="s">
        <v>1872</v>
      </c>
    </row>
    <row r="816" spans="1:10" ht="15.75">
      <c r="A816" s="1">
        <v>699751</v>
      </c>
      <c r="B816" s="1">
        <v>3000015007</v>
      </c>
      <c r="C816" s="1">
        <v>6</v>
      </c>
      <c r="D816" s="1" t="s">
        <v>517</v>
      </c>
      <c r="E816" t="s">
        <v>1831</v>
      </c>
      <c r="F816" s="4" t="s">
        <v>10692</v>
      </c>
      <c r="G816" s="2"/>
      <c r="H816" s="2"/>
      <c r="I816" s="2"/>
      <c r="J816" s="3"/>
    </row>
    <row r="817" spans="1:10">
      <c r="A817" s="1">
        <v>43083</v>
      </c>
      <c r="B817" s="1">
        <v>3000015006</v>
      </c>
      <c r="C817" s="1">
        <v>6</v>
      </c>
      <c r="D817" s="1" t="s">
        <v>517</v>
      </c>
      <c r="E817" t="s">
        <v>1832</v>
      </c>
      <c r="F817" s="2" t="s">
        <v>0</v>
      </c>
      <c r="G817" s="2" t="s">
        <v>1</v>
      </c>
      <c r="H817" s="2" t="s">
        <v>2</v>
      </c>
      <c r="I817" s="2" t="s">
        <v>3</v>
      </c>
      <c r="J817" s="3" t="s">
        <v>4</v>
      </c>
    </row>
    <row r="818" spans="1:10">
      <c r="A818" s="1">
        <v>786384</v>
      </c>
      <c r="B818" s="1">
        <v>3000009603</v>
      </c>
      <c r="C818" s="1">
        <v>6</v>
      </c>
      <c r="D818" s="1" t="s">
        <v>1833</v>
      </c>
      <c r="E818" t="s">
        <v>1834</v>
      </c>
      <c r="F818" s="1">
        <v>60889</v>
      </c>
      <c r="G818" s="1">
        <v>5000054082</v>
      </c>
      <c r="H818" s="1">
        <v>8</v>
      </c>
      <c r="I818" s="1" t="s">
        <v>746</v>
      </c>
      <c r="J818" t="s">
        <v>1873</v>
      </c>
    </row>
    <row r="819" spans="1:10">
      <c r="A819" s="1">
        <v>273169</v>
      </c>
      <c r="B819" s="1">
        <v>3000009601</v>
      </c>
      <c r="C819" s="1">
        <v>6</v>
      </c>
      <c r="D819" s="1" t="s">
        <v>1833</v>
      </c>
      <c r="E819" t="s">
        <v>1835</v>
      </c>
      <c r="F819" s="1">
        <v>759142</v>
      </c>
      <c r="G819" s="1">
        <v>5000072250</v>
      </c>
      <c r="H819" s="1">
        <v>6</v>
      </c>
      <c r="I819" s="1" t="s">
        <v>692</v>
      </c>
      <c r="J819" t="s">
        <v>1874</v>
      </c>
    </row>
    <row r="820" spans="1:10">
      <c r="A820" s="1">
        <v>701417</v>
      </c>
      <c r="B820" s="1">
        <v>3000005576</v>
      </c>
      <c r="C820" s="1">
        <v>12</v>
      </c>
      <c r="D820" s="1" t="s">
        <v>1818</v>
      </c>
      <c r="E820" t="s">
        <v>1836</v>
      </c>
      <c r="F820" s="1">
        <v>34355</v>
      </c>
      <c r="G820" s="1">
        <v>5000053032</v>
      </c>
      <c r="H820" s="1">
        <v>6</v>
      </c>
      <c r="I820" s="1" t="s">
        <v>692</v>
      </c>
      <c r="J820" t="s">
        <v>1875</v>
      </c>
    </row>
    <row r="821" spans="1:10" ht="15.75">
      <c r="A821" s="4" t="s">
        <v>10692</v>
      </c>
      <c r="B821" s="2"/>
      <c r="C821" s="2"/>
      <c r="D821" s="2"/>
      <c r="E821" s="3"/>
      <c r="F821" s="4" t="s">
        <v>10693</v>
      </c>
      <c r="G821" s="2"/>
      <c r="H821" s="2"/>
      <c r="I821" s="2"/>
      <c r="J821" s="3"/>
    </row>
    <row r="822" spans="1:10">
      <c r="A822" s="2" t="s">
        <v>0</v>
      </c>
      <c r="B822" s="2" t="s">
        <v>1</v>
      </c>
      <c r="C822" s="2" t="s">
        <v>2</v>
      </c>
      <c r="D822" s="2" t="s">
        <v>3</v>
      </c>
      <c r="E822" s="3" t="s">
        <v>4</v>
      </c>
      <c r="F822" s="2" t="s">
        <v>0</v>
      </c>
      <c r="G822" s="2" t="s">
        <v>1</v>
      </c>
      <c r="H822" s="2" t="s">
        <v>2</v>
      </c>
      <c r="I822" s="2" t="s">
        <v>3</v>
      </c>
      <c r="J822" s="3" t="s">
        <v>4</v>
      </c>
    </row>
    <row r="823" spans="1:10">
      <c r="A823" s="1">
        <v>34249</v>
      </c>
      <c r="B823" s="1">
        <v>5000054042</v>
      </c>
      <c r="C823" s="1">
        <v>8</v>
      </c>
      <c r="D823" s="1" t="s">
        <v>1876</v>
      </c>
      <c r="E823" t="s">
        <v>1877</v>
      </c>
      <c r="F823" s="1">
        <v>60822</v>
      </c>
      <c r="G823" s="1">
        <v>3800020494</v>
      </c>
      <c r="H823" s="1">
        <v>12</v>
      </c>
      <c r="I823" s="1" t="s">
        <v>1311</v>
      </c>
      <c r="J823" t="s">
        <v>1917</v>
      </c>
    </row>
    <row r="824" spans="1:10">
      <c r="A824" s="1">
        <v>153072</v>
      </c>
      <c r="B824" s="1">
        <v>5000053172</v>
      </c>
      <c r="C824" s="1">
        <v>6</v>
      </c>
      <c r="D824" s="1" t="s">
        <v>1347</v>
      </c>
      <c r="E824" t="s">
        <v>1878</v>
      </c>
      <c r="F824" s="1">
        <v>61564</v>
      </c>
      <c r="G824" s="1">
        <v>3800031010</v>
      </c>
      <c r="H824" s="1">
        <v>12</v>
      </c>
      <c r="I824" s="1" t="s">
        <v>1334</v>
      </c>
      <c r="J824" t="s">
        <v>1918</v>
      </c>
    </row>
    <row r="825" spans="1:10">
      <c r="A825" s="1">
        <v>34421</v>
      </c>
      <c r="B825" s="1">
        <v>5000053062</v>
      </c>
      <c r="C825" s="1">
        <v>6</v>
      </c>
      <c r="D825" s="1" t="s">
        <v>692</v>
      </c>
      <c r="E825" t="s">
        <v>1879</v>
      </c>
      <c r="F825" s="1">
        <v>62364</v>
      </c>
      <c r="G825" s="1">
        <v>3800031120</v>
      </c>
      <c r="H825" s="1">
        <v>12</v>
      </c>
      <c r="I825" s="1" t="s">
        <v>908</v>
      </c>
      <c r="J825" t="s">
        <v>1919</v>
      </c>
    </row>
    <row r="826" spans="1:10">
      <c r="A826" s="1">
        <v>34397</v>
      </c>
      <c r="B826" s="1">
        <v>5000053052</v>
      </c>
      <c r="C826" s="1">
        <v>6</v>
      </c>
      <c r="D826" s="1" t="s">
        <v>692</v>
      </c>
      <c r="E826" t="s">
        <v>1880</v>
      </c>
      <c r="F826" s="1">
        <v>61556</v>
      </c>
      <c r="G826" s="1">
        <v>3800031610</v>
      </c>
      <c r="H826" s="1">
        <v>12</v>
      </c>
      <c r="I826" s="1" t="s">
        <v>1334</v>
      </c>
      <c r="J826" t="s">
        <v>1920</v>
      </c>
    </row>
    <row r="827" spans="1:10">
      <c r="A827" s="1">
        <v>241257</v>
      </c>
      <c r="B827" s="1">
        <v>5000062611</v>
      </c>
      <c r="C827" s="1">
        <v>3</v>
      </c>
      <c r="D827" s="1" t="s">
        <v>1881</v>
      </c>
      <c r="E827" t="s">
        <v>1882</v>
      </c>
      <c r="F827" s="1">
        <v>62224</v>
      </c>
      <c r="G827" s="1">
        <v>3800031720</v>
      </c>
      <c r="H827" s="1">
        <v>12</v>
      </c>
      <c r="I827" s="1" t="s">
        <v>1198</v>
      </c>
      <c r="J827" t="s">
        <v>1921</v>
      </c>
    </row>
    <row r="828" spans="1:10">
      <c r="A828" s="1">
        <v>121897</v>
      </c>
      <c r="B828" s="1">
        <v>5000042403</v>
      </c>
      <c r="C828" s="1">
        <v>3</v>
      </c>
      <c r="D828" s="1" t="s">
        <v>1881</v>
      </c>
      <c r="E828" t="s">
        <v>1883</v>
      </c>
      <c r="F828" s="1">
        <v>62752</v>
      </c>
      <c r="G828" s="1">
        <v>3800055710</v>
      </c>
      <c r="H828" s="1">
        <v>12</v>
      </c>
      <c r="I828" s="1" t="s">
        <v>1334</v>
      </c>
      <c r="J828" t="s">
        <v>1922</v>
      </c>
    </row>
    <row r="829" spans="1:10">
      <c r="A829" s="1">
        <v>759159</v>
      </c>
      <c r="B829" s="1">
        <v>5000050490</v>
      </c>
      <c r="C829" s="1">
        <v>6</v>
      </c>
      <c r="D829" s="1" t="s">
        <v>692</v>
      </c>
      <c r="E829" t="s">
        <v>1884</v>
      </c>
      <c r="F829" s="1">
        <v>61069</v>
      </c>
      <c r="G829" s="1">
        <v>3800032110</v>
      </c>
      <c r="H829" s="1">
        <v>12</v>
      </c>
      <c r="I829" s="1" t="s">
        <v>1334</v>
      </c>
      <c r="J829" t="s">
        <v>1923</v>
      </c>
    </row>
    <row r="830" spans="1:10" ht="15.75">
      <c r="A830" s="4" t="s">
        <v>10693</v>
      </c>
      <c r="B830" s="2"/>
      <c r="C830" s="2"/>
      <c r="D830" s="2"/>
      <c r="E830" s="3"/>
      <c r="F830" s="1">
        <v>62109</v>
      </c>
      <c r="G830" s="1">
        <v>3800030410</v>
      </c>
      <c r="H830" s="1">
        <v>12</v>
      </c>
      <c r="I830" s="1" t="s">
        <v>1334</v>
      </c>
      <c r="J830" t="s">
        <v>1924</v>
      </c>
    </row>
    <row r="831" spans="1:10">
      <c r="A831" s="2" t="s">
        <v>0</v>
      </c>
      <c r="B831" s="2" t="s">
        <v>1</v>
      </c>
      <c r="C831" s="2" t="s">
        <v>2</v>
      </c>
      <c r="D831" s="2" t="s">
        <v>3</v>
      </c>
      <c r="E831" s="3" t="s">
        <v>4</v>
      </c>
      <c r="F831" s="1">
        <v>62505</v>
      </c>
      <c r="G831" s="1">
        <v>3800030420</v>
      </c>
      <c r="H831" s="1">
        <v>12</v>
      </c>
      <c r="I831" s="1" t="s">
        <v>1198</v>
      </c>
      <c r="J831" t="s">
        <v>1924</v>
      </c>
    </row>
    <row r="832" spans="1:10">
      <c r="A832" s="1">
        <v>487405</v>
      </c>
      <c r="B832" s="1">
        <v>1600045752</v>
      </c>
      <c r="C832" s="1">
        <v>12</v>
      </c>
      <c r="D832" s="1" t="s">
        <v>363</v>
      </c>
      <c r="E832" t="s">
        <v>1885</v>
      </c>
      <c r="F832" s="1">
        <v>232553</v>
      </c>
      <c r="G832" s="1">
        <v>3800024167</v>
      </c>
      <c r="H832" s="1">
        <v>12</v>
      </c>
      <c r="I832" s="1" t="s">
        <v>1311</v>
      </c>
      <c r="J832" t="s">
        <v>1925</v>
      </c>
    </row>
    <row r="833" spans="1:10">
      <c r="A833" s="1">
        <v>225144</v>
      </c>
      <c r="B833" s="1">
        <v>1600045753</v>
      </c>
      <c r="C833" s="1">
        <v>12</v>
      </c>
      <c r="D833" s="1" t="s">
        <v>363</v>
      </c>
      <c r="E833" t="s">
        <v>1886</v>
      </c>
      <c r="F833" s="1">
        <v>62232</v>
      </c>
      <c r="G833" s="1">
        <v>3800031320</v>
      </c>
      <c r="H833" s="1">
        <v>12</v>
      </c>
      <c r="I833" s="1" t="s">
        <v>1198</v>
      </c>
      <c r="J833" t="s">
        <v>1926</v>
      </c>
    </row>
    <row r="834" spans="1:10">
      <c r="A834" s="1">
        <v>557215</v>
      </c>
      <c r="B834" s="1">
        <v>1600045754</v>
      </c>
      <c r="C834" s="1">
        <v>12</v>
      </c>
      <c r="D834" s="1" t="s">
        <v>363</v>
      </c>
      <c r="E834" t="s">
        <v>1887</v>
      </c>
      <c r="F834" s="1">
        <v>61481</v>
      </c>
      <c r="G834" s="1">
        <v>1116606148</v>
      </c>
      <c r="H834" s="1">
        <v>12</v>
      </c>
      <c r="I834" s="1" t="s">
        <v>363</v>
      </c>
      <c r="J834" t="s">
        <v>1927</v>
      </c>
    </row>
    <row r="835" spans="1:10">
      <c r="A835" s="1">
        <v>194779</v>
      </c>
      <c r="B835" s="1">
        <v>1600045755</v>
      </c>
      <c r="C835" s="1">
        <v>12</v>
      </c>
      <c r="D835" s="1" t="s">
        <v>363</v>
      </c>
      <c r="E835" t="s">
        <v>1888</v>
      </c>
      <c r="F835" s="1">
        <v>61440</v>
      </c>
      <c r="G835" s="1">
        <v>1116606144</v>
      </c>
      <c r="H835" s="1">
        <v>12</v>
      </c>
      <c r="I835" s="1" t="s">
        <v>363</v>
      </c>
      <c r="J835" t="s">
        <v>1928</v>
      </c>
    </row>
    <row r="836" spans="1:10">
      <c r="A836" s="1">
        <v>62695</v>
      </c>
      <c r="B836" s="1">
        <v>3800055110</v>
      </c>
      <c r="C836" s="1">
        <v>12</v>
      </c>
      <c r="D836" s="1" t="s">
        <v>1334</v>
      </c>
      <c r="E836" t="s">
        <v>1889</v>
      </c>
      <c r="F836" s="1">
        <v>62398</v>
      </c>
      <c r="G836" s="1">
        <v>1116606239</v>
      </c>
      <c r="H836" s="1">
        <v>12</v>
      </c>
      <c r="I836" s="1" t="s">
        <v>363</v>
      </c>
      <c r="J836" t="s">
        <v>1929</v>
      </c>
    </row>
    <row r="837" spans="1:10">
      <c r="A837" s="1">
        <v>708214</v>
      </c>
      <c r="B837" s="1">
        <v>3800027398</v>
      </c>
      <c r="C837" s="1">
        <v>12</v>
      </c>
      <c r="D837" s="1" t="s">
        <v>1311</v>
      </c>
      <c r="E837" t="s">
        <v>1890</v>
      </c>
      <c r="F837" s="1">
        <v>61515</v>
      </c>
      <c r="G837" s="1">
        <v>1116606151</v>
      </c>
      <c r="H837" s="1">
        <v>12</v>
      </c>
      <c r="I837" s="1" t="s">
        <v>363</v>
      </c>
      <c r="J837" t="s">
        <v>1930</v>
      </c>
    </row>
    <row r="838" spans="1:10">
      <c r="A838" s="1">
        <v>62141</v>
      </c>
      <c r="B838" s="1">
        <v>3800030110</v>
      </c>
      <c r="C838" s="1">
        <v>12</v>
      </c>
      <c r="D838" s="1" t="s">
        <v>259</v>
      </c>
      <c r="E838" t="s">
        <v>1891</v>
      </c>
      <c r="F838" s="1">
        <v>61473</v>
      </c>
      <c r="G838" s="1">
        <v>1116606147</v>
      </c>
      <c r="H838" s="1">
        <v>12</v>
      </c>
      <c r="I838" s="1" t="s">
        <v>363</v>
      </c>
      <c r="J838" t="s">
        <v>1931</v>
      </c>
    </row>
    <row r="839" spans="1:10">
      <c r="A839" s="1">
        <v>559138</v>
      </c>
      <c r="B839" s="1">
        <v>3800002334</v>
      </c>
      <c r="C839" s="1">
        <v>12</v>
      </c>
      <c r="D839" s="1" t="s">
        <v>1198</v>
      </c>
      <c r="E839" t="s">
        <v>1892</v>
      </c>
      <c r="F839" s="1">
        <v>61457</v>
      </c>
      <c r="G839" s="1">
        <v>1116606145</v>
      </c>
      <c r="H839" s="1">
        <v>12</v>
      </c>
      <c r="I839" s="1" t="s">
        <v>363</v>
      </c>
      <c r="J839" t="s">
        <v>1932</v>
      </c>
    </row>
    <row r="840" spans="1:10">
      <c r="A840" s="1">
        <v>62125</v>
      </c>
      <c r="B840" s="1">
        <v>3800030010</v>
      </c>
      <c r="C840" s="1">
        <v>12</v>
      </c>
      <c r="D840" s="1" t="s">
        <v>1334</v>
      </c>
      <c r="E840" t="s">
        <v>1893</v>
      </c>
      <c r="F840" s="1">
        <v>61499</v>
      </c>
      <c r="G840" s="1">
        <v>1116606149</v>
      </c>
      <c r="H840" s="1">
        <v>12</v>
      </c>
      <c r="I840" s="1" t="s">
        <v>363</v>
      </c>
      <c r="J840" t="s">
        <v>1933</v>
      </c>
    </row>
    <row r="841" spans="1:10" ht="15.75">
      <c r="A841" s="1">
        <v>62661</v>
      </c>
      <c r="B841" s="1">
        <v>3800059660</v>
      </c>
      <c r="C841" s="1">
        <v>12</v>
      </c>
      <c r="D841" s="1" t="s">
        <v>1198</v>
      </c>
      <c r="E841" t="s">
        <v>1894</v>
      </c>
      <c r="F841" s="4" t="s">
        <v>10694</v>
      </c>
      <c r="G841" s="2"/>
      <c r="H841" s="2"/>
      <c r="I841" s="2"/>
      <c r="J841" s="3"/>
    </row>
    <row r="842" spans="1:10">
      <c r="A842" s="1">
        <v>62687</v>
      </c>
      <c r="B842" s="1">
        <v>3800031020</v>
      </c>
      <c r="C842" s="1">
        <v>12</v>
      </c>
      <c r="D842" s="1" t="s">
        <v>1198</v>
      </c>
      <c r="E842" t="s">
        <v>1895</v>
      </c>
      <c r="F842" s="2" t="s">
        <v>0</v>
      </c>
      <c r="G842" s="2" t="s">
        <v>1</v>
      </c>
      <c r="H842" s="2" t="s">
        <v>2</v>
      </c>
      <c r="I842" s="2" t="s">
        <v>3</v>
      </c>
      <c r="J842" s="3" t="s">
        <v>4</v>
      </c>
    </row>
    <row r="843" spans="1:10">
      <c r="A843" s="1">
        <v>62604</v>
      </c>
      <c r="B843" s="1">
        <v>3800031820</v>
      </c>
      <c r="C843" s="1">
        <v>12</v>
      </c>
      <c r="D843" s="1" t="s">
        <v>1198</v>
      </c>
      <c r="E843" t="s">
        <v>1896</v>
      </c>
      <c r="F843" s="1">
        <v>70383</v>
      </c>
      <c r="G843" s="1">
        <v>1114110125</v>
      </c>
      <c r="H843" s="1">
        <v>12</v>
      </c>
      <c r="I843" s="1" t="s">
        <v>347</v>
      </c>
      <c r="J843" t="s">
        <v>1934</v>
      </c>
    </row>
    <row r="844" spans="1:10">
      <c r="A844" s="1">
        <v>61721</v>
      </c>
      <c r="B844" s="1">
        <v>3800032120</v>
      </c>
      <c r="C844" s="1">
        <v>12</v>
      </c>
      <c r="D844" s="1" t="s">
        <v>1198</v>
      </c>
      <c r="E844" t="s">
        <v>1897</v>
      </c>
      <c r="F844" s="1">
        <v>72363</v>
      </c>
      <c r="G844" s="1">
        <v>1114110122</v>
      </c>
      <c r="H844" s="1">
        <v>12</v>
      </c>
      <c r="I844" s="1" t="s">
        <v>347</v>
      </c>
      <c r="J844" t="s">
        <v>1935</v>
      </c>
    </row>
    <row r="845" spans="1:10">
      <c r="A845" s="1">
        <v>487017</v>
      </c>
      <c r="B845" s="1">
        <v>3800036648</v>
      </c>
      <c r="C845" s="1">
        <v>12</v>
      </c>
      <c r="D845" s="1" t="s">
        <v>1898</v>
      </c>
      <c r="E845" t="s">
        <v>1899</v>
      </c>
      <c r="F845" s="1">
        <v>70045</v>
      </c>
      <c r="G845" s="1">
        <v>1114110115</v>
      </c>
      <c r="H845" s="1">
        <v>12</v>
      </c>
      <c r="I845" s="1" t="s">
        <v>347</v>
      </c>
      <c r="J845" t="s">
        <v>1936</v>
      </c>
    </row>
    <row r="846" spans="1:10">
      <c r="A846" s="1">
        <v>458976</v>
      </c>
      <c r="B846" s="1">
        <v>3800036650</v>
      </c>
      <c r="C846" s="1">
        <v>12</v>
      </c>
      <c r="D846" s="1" t="s">
        <v>1898</v>
      </c>
      <c r="E846" t="s">
        <v>1900</v>
      </c>
      <c r="F846" s="1">
        <v>543017</v>
      </c>
      <c r="G846" s="1">
        <v>1114110525</v>
      </c>
      <c r="H846" s="1">
        <v>12</v>
      </c>
      <c r="I846" s="1" t="s">
        <v>347</v>
      </c>
      <c r="J846" t="s">
        <v>1937</v>
      </c>
    </row>
    <row r="847" spans="1:10">
      <c r="A847" s="1">
        <v>62166</v>
      </c>
      <c r="B847" s="1">
        <v>3800031310</v>
      </c>
      <c r="C847" s="1">
        <v>12</v>
      </c>
      <c r="D847" s="1" t="s">
        <v>1334</v>
      </c>
      <c r="E847" t="s">
        <v>1901</v>
      </c>
      <c r="F847" s="1">
        <v>72611</v>
      </c>
      <c r="G847" s="1">
        <v>1114110210</v>
      </c>
      <c r="H847" s="1">
        <v>12</v>
      </c>
      <c r="I847" s="1" t="s">
        <v>347</v>
      </c>
      <c r="J847" t="s">
        <v>1938</v>
      </c>
    </row>
    <row r="848" spans="1:10">
      <c r="A848" s="1">
        <v>239426</v>
      </c>
      <c r="B848" s="1">
        <v>3800031810</v>
      </c>
      <c r="C848" s="1">
        <v>12</v>
      </c>
      <c r="D848" s="1" t="s">
        <v>1334</v>
      </c>
      <c r="E848" t="s">
        <v>1902</v>
      </c>
      <c r="F848" s="1">
        <v>70409</v>
      </c>
      <c r="G848" s="1">
        <v>1114110010</v>
      </c>
      <c r="H848" s="1">
        <v>12</v>
      </c>
      <c r="I848" s="1" t="s">
        <v>347</v>
      </c>
      <c r="J848" t="s">
        <v>1939</v>
      </c>
    </row>
    <row r="849" spans="1:10">
      <c r="A849" s="1">
        <v>61622</v>
      </c>
      <c r="B849" s="1">
        <v>3800031110</v>
      </c>
      <c r="C849" s="1">
        <v>12</v>
      </c>
      <c r="D849" s="1" t="s">
        <v>259</v>
      </c>
      <c r="E849" t="s">
        <v>1903</v>
      </c>
      <c r="F849" s="1">
        <v>72272</v>
      </c>
      <c r="G849" s="1">
        <v>1114110118</v>
      </c>
      <c r="H849" s="1">
        <v>12</v>
      </c>
      <c r="I849" s="1" t="s">
        <v>347</v>
      </c>
      <c r="J849" t="s">
        <v>1940</v>
      </c>
    </row>
    <row r="850" spans="1:10">
      <c r="A850" s="1">
        <v>61580</v>
      </c>
      <c r="B850" s="1">
        <v>3800031710</v>
      </c>
      <c r="C850" s="1">
        <v>12</v>
      </c>
      <c r="D850" s="1" t="s">
        <v>1334</v>
      </c>
      <c r="E850" t="s">
        <v>1904</v>
      </c>
      <c r="F850" s="1">
        <v>781716</v>
      </c>
      <c r="G850" s="1">
        <v>1114110029</v>
      </c>
      <c r="H850" s="1">
        <v>12</v>
      </c>
      <c r="I850" s="1" t="s">
        <v>347</v>
      </c>
      <c r="J850" t="s">
        <v>1941</v>
      </c>
    </row>
    <row r="851" spans="1:10">
      <c r="A851" s="1">
        <v>550558</v>
      </c>
      <c r="B851" s="1">
        <v>3800043314</v>
      </c>
      <c r="C851" s="1">
        <v>12</v>
      </c>
      <c r="D851" s="1" t="s">
        <v>1311</v>
      </c>
      <c r="E851" t="s">
        <v>1905</v>
      </c>
      <c r="F851" s="1">
        <v>782821</v>
      </c>
      <c r="G851" s="1">
        <v>1114110036</v>
      </c>
      <c r="H851" s="1">
        <v>6</v>
      </c>
      <c r="I851" s="1" t="s">
        <v>1366</v>
      </c>
      <c r="J851" t="s">
        <v>1942</v>
      </c>
    </row>
    <row r="852" spans="1:10">
      <c r="A852" s="1">
        <v>471094</v>
      </c>
      <c r="B852" s="1">
        <v>3800043670</v>
      </c>
      <c r="C852" s="1">
        <v>12</v>
      </c>
      <c r="D852" s="1" t="s">
        <v>1906</v>
      </c>
      <c r="E852" t="s">
        <v>1907</v>
      </c>
      <c r="F852" s="1">
        <v>484402</v>
      </c>
      <c r="G852" s="1">
        <v>1114110022</v>
      </c>
      <c r="H852" s="1">
        <v>12</v>
      </c>
      <c r="I852" s="1" t="s">
        <v>347</v>
      </c>
      <c r="J852" t="s">
        <v>1943</v>
      </c>
    </row>
    <row r="853" spans="1:10">
      <c r="A853" s="1">
        <v>201962</v>
      </c>
      <c r="B853" s="1">
        <v>3800023267</v>
      </c>
      <c r="C853" s="1">
        <v>12</v>
      </c>
      <c r="D853" s="1" t="s">
        <v>1311</v>
      </c>
      <c r="E853" t="s">
        <v>1908</v>
      </c>
      <c r="F853" s="1">
        <v>267989</v>
      </c>
      <c r="G853" s="1">
        <v>1114110037</v>
      </c>
      <c r="H853" s="1">
        <v>6</v>
      </c>
      <c r="I853" s="1" t="s">
        <v>1366</v>
      </c>
      <c r="J853" t="s">
        <v>1944</v>
      </c>
    </row>
    <row r="854" spans="1:10">
      <c r="A854" s="1">
        <v>656181</v>
      </c>
      <c r="B854" s="1">
        <v>3800043672</v>
      </c>
      <c r="C854" s="1">
        <v>12</v>
      </c>
      <c r="D854" s="1" t="s">
        <v>1906</v>
      </c>
      <c r="E854" t="s">
        <v>1909</v>
      </c>
      <c r="F854" s="1">
        <v>430850</v>
      </c>
      <c r="G854" s="1">
        <v>79849310365</v>
      </c>
      <c r="H854" s="1">
        <v>6</v>
      </c>
      <c r="I854" s="1" t="s">
        <v>347</v>
      </c>
      <c r="J854" t="s">
        <v>1945</v>
      </c>
    </row>
    <row r="855" spans="1:10">
      <c r="A855" s="1">
        <v>202036</v>
      </c>
      <c r="B855" s="1">
        <v>3800023594</v>
      </c>
      <c r="C855" s="1">
        <v>12</v>
      </c>
      <c r="D855" s="1" t="s">
        <v>1311</v>
      </c>
      <c r="E855" t="s">
        <v>1910</v>
      </c>
      <c r="F855" s="1">
        <v>441907</v>
      </c>
      <c r="G855" s="1">
        <v>79849310366</v>
      </c>
      <c r="H855" s="1">
        <v>6</v>
      </c>
      <c r="I855" s="1" t="s">
        <v>347</v>
      </c>
      <c r="J855" t="s">
        <v>1946</v>
      </c>
    </row>
    <row r="856" spans="1:10">
      <c r="A856" s="1">
        <v>67082</v>
      </c>
      <c r="B856" s="1">
        <v>3800006323</v>
      </c>
      <c r="C856" s="1">
        <v>12</v>
      </c>
      <c r="D856" s="1" t="s">
        <v>1334</v>
      </c>
      <c r="E856" t="s">
        <v>1911</v>
      </c>
      <c r="F856" s="1">
        <v>784363</v>
      </c>
      <c r="G856" s="1">
        <v>79849310369</v>
      </c>
      <c r="H856" s="1">
        <v>6</v>
      </c>
      <c r="I856" s="1" t="s">
        <v>347</v>
      </c>
      <c r="J856" t="s">
        <v>1947</v>
      </c>
    </row>
    <row r="857" spans="1:10">
      <c r="A857" s="1">
        <v>441782</v>
      </c>
      <c r="B857" s="1">
        <v>3800031905</v>
      </c>
      <c r="C857" s="1">
        <v>12</v>
      </c>
      <c r="D857" s="1" t="s">
        <v>1198</v>
      </c>
      <c r="E857" t="s">
        <v>1912</v>
      </c>
      <c r="F857" s="1">
        <v>202689</v>
      </c>
      <c r="G857" s="1">
        <v>79849310367</v>
      </c>
      <c r="H857" s="1">
        <v>6</v>
      </c>
      <c r="I857" s="1" t="s">
        <v>347</v>
      </c>
      <c r="J857" t="s">
        <v>1948</v>
      </c>
    </row>
    <row r="858" spans="1:10">
      <c r="A858" s="1">
        <v>312330</v>
      </c>
      <c r="B858" s="1">
        <v>3800034488</v>
      </c>
      <c r="C858" s="1">
        <v>12</v>
      </c>
      <c r="D858" s="1" t="s">
        <v>1311</v>
      </c>
      <c r="E858" t="s">
        <v>1913</v>
      </c>
      <c r="F858" s="1">
        <v>482430</v>
      </c>
      <c r="G858" s="1">
        <v>79849340065</v>
      </c>
      <c r="H858" s="1">
        <v>6</v>
      </c>
      <c r="I858" s="1" t="s">
        <v>347</v>
      </c>
      <c r="J858" t="s">
        <v>1949</v>
      </c>
    </row>
    <row r="859" spans="1:10">
      <c r="A859" s="1">
        <v>84350</v>
      </c>
      <c r="B859" s="1">
        <v>3800031388</v>
      </c>
      <c r="C859" s="1">
        <v>12</v>
      </c>
      <c r="D859" s="1" t="s">
        <v>1311</v>
      </c>
      <c r="E859" t="s">
        <v>1914</v>
      </c>
      <c r="F859" s="1">
        <v>58347</v>
      </c>
      <c r="G859" s="1">
        <v>88133400076</v>
      </c>
      <c r="H859" s="1">
        <v>6</v>
      </c>
      <c r="I859" s="1" t="s">
        <v>363</v>
      </c>
      <c r="J859" t="s">
        <v>1950</v>
      </c>
    </row>
    <row r="860" spans="1:10">
      <c r="A860" s="1">
        <v>396564</v>
      </c>
      <c r="B860" s="1">
        <v>3800039192</v>
      </c>
      <c r="C860" s="1">
        <v>12</v>
      </c>
      <c r="D860" s="1" t="s">
        <v>1311</v>
      </c>
      <c r="E860" t="s">
        <v>1915</v>
      </c>
      <c r="F860" s="1">
        <v>192278</v>
      </c>
      <c r="G860" s="1">
        <v>88133400046</v>
      </c>
      <c r="H860" s="1">
        <v>6</v>
      </c>
      <c r="I860" s="1" t="s">
        <v>347</v>
      </c>
      <c r="J860" t="s">
        <v>1951</v>
      </c>
    </row>
    <row r="861" spans="1:10">
      <c r="A861" s="1">
        <v>287706</v>
      </c>
      <c r="B861" s="1">
        <v>3800043724</v>
      </c>
      <c r="C861" s="1">
        <v>12</v>
      </c>
      <c r="D861" s="1" t="s">
        <v>1311</v>
      </c>
      <c r="E861" t="s">
        <v>1916</v>
      </c>
      <c r="F861" s="1">
        <v>347377</v>
      </c>
      <c r="G861" s="1">
        <v>88133400048</v>
      </c>
      <c r="H861" s="1">
        <v>6</v>
      </c>
      <c r="I861" s="1" t="s">
        <v>347</v>
      </c>
      <c r="J861" t="s">
        <v>1952</v>
      </c>
    </row>
    <row r="862" spans="1:10" ht="15.75">
      <c r="A862" s="4" t="s">
        <v>10694</v>
      </c>
      <c r="B862" s="2"/>
      <c r="C862" s="2"/>
      <c r="D862" s="2"/>
      <c r="E862" s="3"/>
      <c r="F862" s="4" t="s">
        <v>10694</v>
      </c>
      <c r="G862" s="2"/>
      <c r="H862" s="2"/>
      <c r="I862" s="2"/>
      <c r="J862" s="3"/>
    </row>
    <row r="863" spans="1:10">
      <c r="A863" s="2" t="s">
        <v>0</v>
      </c>
      <c r="B863" s="2" t="s">
        <v>1</v>
      </c>
      <c r="C863" s="2" t="s">
        <v>2</v>
      </c>
      <c r="D863" s="2" t="s">
        <v>3</v>
      </c>
      <c r="E863" s="3" t="s">
        <v>4</v>
      </c>
      <c r="F863" s="2" t="s">
        <v>0</v>
      </c>
      <c r="G863" s="2" t="s">
        <v>1</v>
      </c>
      <c r="H863" s="2" t="s">
        <v>2</v>
      </c>
      <c r="I863" s="2" t="s">
        <v>3</v>
      </c>
      <c r="J863" s="3" t="s">
        <v>4</v>
      </c>
    </row>
    <row r="864" spans="1:10">
      <c r="A864" s="1">
        <v>748558</v>
      </c>
      <c r="B864" s="1">
        <v>88133400047</v>
      </c>
      <c r="C864" s="1">
        <v>6</v>
      </c>
      <c r="D864" s="1" t="s">
        <v>347</v>
      </c>
      <c r="E864" t="s">
        <v>1953</v>
      </c>
      <c r="F864" s="1">
        <v>583468</v>
      </c>
      <c r="G864" s="1">
        <v>4116346048</v>
      </c>
      <c r="H864" s="1">
        <v>6</v>
      </c>
      <c r="I864" s="1" t="s">
        <v>489</v>
      </c>
      <c r="J864" t="s">
        <v>1995</v>
      </c>
    </row>
    <row r="865" spans="1:10">
      <c r="A865" s="1">
        <v>566430</v>
      </c>
      <c r="B865" s="1">
        <v>88133400049</v>
      </c>
      <c r="C865" s="1">
        <v>6</v>
      </c>
      <c r="D865" s="1" t="s">
        <v>347</v>
      </c>
      <c r="E865" t="s">
        <v>1954</v>
      </c>
      <c r="F865" s="1">
        <v>440735</v>
      </c>
      <c r="G865" s="1">
        <v>4116346049</v>
      </c>
      <c r="H865" s="1">
        <v>6</v>
      </c>
      <c r="I865" s="1" t="s">
        <v>489</v>
      </c>
      <c r="J865" t="s">
        <v>1996</v>
      </c>
    </row>
    <row r="866" spans="1:10">
      <c r="A866" s="1">
        <v>360354</v>
      </c>
      <c r="B866" s="1">
        <v>88133400051</v>
      </c>
      <c r="C866" s="1">
        <v>6</v>
      </c>
      <c r="D866" s="1" t="s">
        <v>347</v>
      </c>
      <c r="E866" t="s">
        <v>1955</v>
      </c>
      <c r="F866" s="1">
        <v>433235</v>
      </c>
      <c r="G866" s="1">
        <v>4116340380</v>
      </c>
      <c r="H866" s="1">
        <v>6</v>
      </c>
      <c r="I866" s="1" t="s">
        <v>347</v>
      </c>
      <c r="J866" t="s">
        <v>1997</v>
      </c>
    </row>
    <row r="867" spans="1:10">
      <c r="A867" s="1">
        <v>321828</v>
      </c>
      <c r="B867" s="1">
        <v>2550000229</v>
      </c>
      <c r="C867" s="1">
        <v>12</v>
      </c>
      <c r="D867" s="1" t="s">
        <v>1956</v>
      </c>
      <c r="E867" t="s">
        <v>1957</v>
      </c>
      <c r="F867" s="1">
        <v>224048</v>
      </c>
      <c r="G867" s="1">
        <v>4116344849</v>
      </c>
      <c r="H867" s="1">
        <v>6</v>
      </c>
      <c r="I867" s="1" t="s">
        <v>489</v>
      </c>
      <c r="J867" t="s">
        <v>1998</v>
      </c>
    </row>
    <row r="868" spans="1:10">
      <c r="A868" s="1">
        <v>843896</v>
      </c>
      <c r="B868" s="1">
        <v>2550000227</v>
      </c>
      <c r="C868" s="1">
        <v>12</v>
      </c>
      <c r="D868" s="1" t="s">
        <v>1246</v>
      </c>
      <c r="E868" t="s">
        <v>1958</v>
      </c>
      <c r="F868" s="1">
        <v>548321</v>
      </c>
      <c r="G868" s="1">
        <v>4116344844</v>
      </c>
      <c r="H868" s="1">
        <v>6</v>
      </c>
      <c r="I868" s="1" t="s">
        <v>347</v>
      </c>
      <c r="J868" t="s">
        <v>1999</v>
      </c>
    </row>
    <row r="869" spans="1:10">
      <c r="A869" s="1">
        <v>435198</v>
      </c>
      <c r="B869" s="1">
        <v>2550000232</v>
      </c>
      <c r="C869" s="1">
        <v>12</v>
      </c>
      <c r="D869" s="1" t="s">
        <v>1959</v>
      </c>
      <c r="E869" t="s">
        <v>1960</v>
      </c>
      <c r="F869" s="1">
        <v>382325</v>
      </c>
      <c r="G869" s="1">
        <v>4116340382</v>
      </c>
      <c r="H869" s="1">
        <v>6</v>
      </c>
      <c r="I869" s="1" t="s">
        <v>347</v>
      </c>
      <c r="J869" t="s">
        <v>2000</v>
      </c>
    </row>
    <row r="870" spans="1:10">
      <c r="A870" s="1">
        <v>349779</v>
      </c>
      <c r="B870" s="1">
        <v>2550000233</v>
      </c>
      <c r="C870" s="1">
        <v>12</v>
      </c>
      <c r="D870" s="1" t="s">
        <v>1956</v>
      </c>
      <c r="E870" t="s">
        <v>1961</v>
      </c>
      <c r="F870" s="1">
        <v>877670</v>
      </c>
      <c r="G870" s="1">
        <v>4116360009</v>
      </c>
      <c r="H870" s="1">
        <v>10</v>
      </c>
      <c r="I870" s="1" t="s">
        <v>1973</v>
      </c>
      <c r="J870" t="s">
        <v>2001</v>
      </c>
    </row>
    <row r="871" spans="1:10">
      <c r="A871" s="1">
        <v>182964</v>
      </c>
      <c r="B871" s="1">
        <v>2550000228</v>
      </c>
      <c r="C871" s="1">
        <v>12</v>
      </c>
      <c r="D871" s="1" t="s">
        <v>1959</v>
      </c>
      <c r="E871" t="s">
        <v>1962</v>
      </c>
      <c r="F871" s="1">
        <v>260679</v>
      </c>
      <c r="G871" s="1">
        <v>4116360007</v>
      </c>
      <c r="H871" s="1">
        <v>10</v>
      </c>
      <c r="I871" s="1" t="s">
        <v>381</v>
      </c>
      <c r="J871" t="s">
        <v>2002</v>
      </c>
    </row>
    <row r="872" spans="1:10">
      <c r="A872" s="1">
        <v>259135</v>
      </c>
      <c r="B872" s="1">
        <v>2550000234</v>
      </c>
      <c r="C872" s="1">
        <v>12</v>
      </c>
      <c r="D872" s="1" t="s">
        <v>1246</v>
      </c>
      <c r="E872" t="s">
        <v>1963</v>
      </c>
      <c r="F872" s="1">
        <v>300913</v>
      </c>
      <c r="G872" s="1">
        <v>76604700000</v>
      </c>
      <c r="H872" s="1">
        <v>40</v>
      </c>
      <c r="I872" s="1" t="s">
        <v>163</v>
      </c>
      <c r="J872" t="s">
        <v>2003</v>
      </c>
    </row>
    <row r="873" spans="1:10">
      <c r="A873" s="1">
        <v>655373</v>
      </c>
      <c r="B873" s="1">
        <v>2550007095</v>
      </c>
      <c r="C873" s="1">
        <v>6</v>
      </c>
      <c r="D873" s="1" t="s">
        <v>347</v>
      </c>
      <c r="E873" t="s">
        <v>1964</v>
      </c>
      <c r="F873" s="1">
        <v>422501</v>
      </c>
      <c r="G873" s="1">
        <v>4116340381</v>
      </c>
      <c r="H873" s="1">
        <v>6</v>
      </c>
      <c r="I873" s="1" t="s">
        <v>347</v>
      </c>
      <c r="J873" t="s">
        <v>2004</v>
      </c>
    </row>
    <row r="874" spans="1:10">
      <c r="A874" s="1">
        <v>666941</v>
      </c>
      <c r="B874" s="1">
        <v>2550007098</v>
      </c>
      <c r="C874" s="1">
        <v>6</v>
      </c>
      <c r="D874" s="1" t="s">
        <v>347</v>
      </c>
      <c r="E874" t="s">
        <v>1965</v>
      </c>
      <c r="F874" s="1">
        <v>698068</v>
      </c>
      <c r="G874" s="1">
        <v>4116340378</v>
      </c>
      <c r="H874" s="1">
        <v>6</v>
      </c>
      <c r="I874" s="1" t="s">
        <v>347</v>
      </c>
      <c r="J874" t="s">
        <v>2005</v>
      </c>
    </row>
    <row r="875" spans="1:10">
      <c r="A875" s="1">
        <v>568378</v>
      </c>
      <c r="B875" s="1">
        <v>2550007102</v>
      </c>
      <c r="C875" s="1">
        <v>6</v>
      </c>
      <c r="D875" s="1" t="s">
        <v>347</v>
      </c>
      <c r="E875" t="s">
        <v>1966</v>
      </c>
      <c r="F875" s="1">
        <v>417303</v>
      </c>
      <c r="G875" s="1">
        <v>4116344848</v>
      </c>
      <c r="H875" s="1">
        <v>6</v>
      </c>
      <c r="I875" s="1" t="s">
        <v>489</v>
      </c>
      <c r="J875" t="s">
        <v>2006</v>
      </c>
    </row>
    <row r="876" spans="1:10">
      <c r="A876" s="1">
        <v>454496</v>
      </c>
      <c r="B876" s="1">
        <v>2550000268</v>
      </c>
      <c r="C876" s="1">
        <v>6</v>
      </c>
      <c r="D876" s="1" t="s">
        <v>347</v>
      </c>
      <c r="E876" t="s">
        <v>1967</v>
      </c>
      <c r="F876" s="1">
        <v>116426</v>
      </c>
      <c r="G876" s="1">
        <v>4116360004</v>
      </c>
      <c r="H876" s="1">
        <v>10</v>
      </c>
      <c r="I876" s="1" t="s">
        <v>1973</v>
      </c>
      <c r="J876" t="s">
        <v>2007</v>
      </c>
    </row>
    <row r="877" spans="1:10">
      <c r="A877" s="1">
        <v>672352</v>
      </c>
      <c r="B877" s="1">
        <v>2550000458</v>
      </c>
      <c r="C877" s="1">
        <v>6</v>
      </c>
      <c r="D877" s="1" t="s">
        <v>363</v>
      </c>
      <c r="E877" t="s">
        <v>1968</v>
      </c>
      <c r="F877" s="1">
        <v>500298</v>
      </c>
      <c r="G877" s="1">
        <v>4116346045</v>
      </c>
      <c r="H877" s="1">
        <v>6</v>
      </c>
      <c r="I877" s="1" t="s">
        <v>489</v>
      </c>
      <c r="J877" t="s">
        <v>2008</v>
      </c>
    </row>
    <row r="878" spans="1:10">
      <c r="A878" s="1">
        <v>66241</v>
      </c>
      <c r="B878" s="1">
        <v>2550006857</v>
      </c>
      <c r="C878" s="1">
        <v>6</v>
      </c>
      <c r="D878" s="1" t="s">
        <v>1093</v>
      </c>
      <c r="E878" t="s">
        <v>1969</v>
      </c>
      <c r="F878" s="1">
        <v>835561</v>
      </c>
      <c r="G878" s="1">
        <v>4116346119</v>
      </c>
      <c r="H878" s="1">
        <v>6</v>
      </c>
      <c r="I878" s="1" t="s">
        <v>489</v>
      </c>
      <c r="J878" t="s">
        <v>2009</v>
      </c>
    </row>
    <row r="879" spans="1:10">
      <c r="A879" s="1">
        <v>66290</v>
      </c>
      <c r="B879" s="1">
        <v>2550006855</v>
      </c>
      <c r="C879" s="1">
        <v>6</v>
      </c>
      <c r="D879" s="1" t="s">
        <v>1093</v>
      </c>
      <c r="E879" t="s">
        <v>1970</v>
      </c>
      <c r="F879" s="1">
        <v>257816</v>
      </c>
      <c r="G879" s="1">
        <v>4116346121</v>
      </c>
      <c r="H879" s="1">
        <v>6</v>
      </c>
      <c r="I879" s="1" t="s">
        <v>489</v>
      </c>
      <c r="J879" t="s">
        <v>2010</v>
      </c>
    </row>
    <row r="880" spans="1:10">
      <c r="A880" s="1">
        <v>152900</v>
      </c>
      <c r="B880" s="1">
        <v>4116344852</v>
      </c>
      <c r="C880" s="1">
        <v>6</v>
      </c>
      <c r="D880" s="1" t="s">
        <v>489</v>
      </c>
      <c r="E880" t="s">
        <v>1971</v>
      </c>
      <c r="F880" s="1">
        <v>9423</v>
      </c>
      <c r="G880" s="1">
        <v>4116346120</v>
      </c>
      <c r="H880" s="1">
        <v>6</v>
      </c>
      <c r="I880" s="1" t="s">
        <v>489</v>
      </c>
      <c r="J880" t="s">
        <v>2011</v>
      </c>
    </row>
    <row r="881" spans="1:10">
      <c r="A881" s="1">
        <v>458208</v>
      </c>
      <c r="B881" s="1">
        <v>4116340377</v>
      </c>
      <c r="C881" s="1">
        <v>6</v>
      </c>
      <c r="D881" s="1" t="s">
        <v>347</v>
      </c>
      <c r="E881" t="s">
        <v>1972</v>
      </c>
      <c r="F881" s="1">
        <v>350926</v>
      </c>
      <c r="G881" s="1">
        <v>4116344843</v>
      </c>
      <c r="H881" s="1">
        <v>6</v>
      </c>
      <c r="I881" s="1" t="s">
        <v>347</v>
      </c>
      <c r="J881" t="s">
        <v>2012</v>
      </c>
    </row>
    <row r="882" spans="1:10">
      <c r="A882" s="1">
        <v>666396</v>
      </c>
      <c r="B882" s="1">
        <v>4116360002</v>
      </c>
      <c r="C882" s="1">
        <v>10</v>
      </c>
      <c r="D882" s="1" t="s">
        <v>1973</v>
      </c>
      <c r="E882" t="s">
        <v>1974</v>
      </c>
      <c r="F882" s="1">
        <v>855866</v>
      </c>
      <c r="G882" s="1">
        <v>4116360005</v>
      </c>
      <c r="H882" s="1">
        <v>10</v>
      </c>
      <c r="I882" s="1" t="s">
        <v>1973</v>
      </c>
      <c r="J882" t="s">
        <v>2013</v>
      </c>
    </row>
    <row r="883" spans="1:10">
      <c r="A883" s="1">
        <v>34942</v>
      </c>
      <c r="B883" s="1">
        <v>4116344847</v>
      </c>
      <c r="C883" s="1">
        <v>6</v>
      </c>
      <c r="D883" s="1" t="s">
        <v>347</v>
      </c>
      <c r="E883" t="s">
        <v>1975</v>
      </c>
      <c r="F883" s="1">
        <v>38125</v>
      </c>
      <c r="G883" s="1">
        <v>4116340379</v>
      </c>
      <c r="H883" s="1">
        <v>6</v>
      </c>
      <c r="I883" s="1" t="s">
        <v>347</v>
      </c>
      <c r="J883" t="s">
        <v>2014</v>
      </c>
    </row>
    <row r="884" spans="1:10">
      <c r="A884" s="1">
        <v>532788</v>
      </c>
      <c r="B884" s="1">
        <v>4116344912</v>
      </c>
      <c r="C884" s="1">
        <v>10</v>
      </c>
      <c r="D884" s="1" t="s">
        <v>1973</v>
      </c>
      <c r="E884" t="s">
        <v>1976</v>
      </c>
      <c r="F884" s="1">
        <v>891291</v>
      </c>
      <c r="G884" s="1">
        <v>4116360011</v>
      </c>
      <c r="H884" s="1">
        <v>10</v>
      </c>
      <c r="I884" s="1" t="s">
        <v>1973</v>
      </c>
      <c r="J884" t="s">
        <v>2015</v>
      </c>
    </row>
    <row r="885" spans="1:10">
      <c r="A885" s="1">
        <v>413740</v>
      </c>
      <c r="B885" s="1">
        <v>4116344913</v>
      </c>
      <c r="C885" s="1">
        <v>10</v>
      </c>
      <c r="D885" s="1" t="s">
        <v>1973</v>
      </c>
      <c r="E885" t="s">
        <v>1977</v>
      </c>
      <c r="F885" s="1">
        <v>811026</v>
      </c>
      <c r="G885" s="1">
        <v>4116340383</v>
      </c>
      <c r="H885" s="1">
        <v>6</v>
      </c>
      <c r="I885" s="1" t="s">
        <v>347</v>
      </c>
      <c r="J885" t="s">
        <v>2016</v>
      </c>
    </row>
    <row r="886" spans="1:10">
      <c r="A886" s="1">
        <v>87403</v>
      </c>
      <c r="B886" s="1">
        <v>4116344845</v>
      </c>
      <c r="C886" s="1">
        <v>6</v>
      </c>
      <c r="D886" s="1" t="s">
        <v>347</v>
      </c>
      <c r="E886" t="s">
        <v>1978</v>
      </c>
      <c r="F886" s="1">
        <v>35931</v>
      </c>
      <c r="G886" s="1">
        <v>4790010723</v>
      </c>
      <c r="H886" s="1">
        <v>12</v>
      </c>
      <c r="I886" s="1" t="s">
        <v>379</v>
      </c>
      <c r="J886" t="s">
        <v>2017</v>
      </c>
    </row>
    <row r="887" spans="1:10">
      <c r="A887" s="1">
        <v>899336</v>
      </c>
      <c r="B887" s="1">
        <v>4116360008</v>
      </c>
      <c r="C887" s="1">
        <v>10</v>
      </c>
      <c r="D887" s="1" t="s">
        <v>1973</v>
      </c>
      <c r="E887" t="s">
        <v>1979</v>
      </c>
      <c r="F887" s="1">
        <v>74716</v>
      </c>
      <c r="G887" s="1">
        <v>4300074700</v>
      </c>
      <c r="H887" s="1">
        <v>12</v>
      </c>
      <c r="I887" s="1" t="s">
        <v>703</v>
      </c>
      <c r="J887" t="s">
        <v>2018</v>
      </c>
    </row>
    <row r="888" spans="1:10">
      <c r="A888" s="1">
        <v>35865</v>
      </c>
      <c r="B888" s="1">
        <v>4116360001</v>
      </c>
      <c r="C888" s="1">
        <v>10</v>
      </c>
      <c r="D888" s="1" t="s">
        <v>1973</v>
      </c>
      <c r="E888" t="s">
        <v>1980</v>
      </c>
      <c r="F888" s="1">
        <v>68536</v>
      </c>
      <c r="G888" s="1">
        <v>4300070865</v>
      </c>
      <c r="H888" s="1">
        <v>12</v>
      </c>
      <c r="I888" s="1" t="s">
        <v>703</v>
      </c>
      <c r="J888" t="s">
        <v>2019</v>
      </c>
    </row>
    <row r="889" spans="1:10">
      <c r="A889" s="1">
        <v>255265</v>
      </c>
      <c r="B889" s="1">
        <v>4116344851</v>
      </c>
      <c r="C889" s="1">
        <v>6</v>
      </c>
      <c r="D889" s="1" t="s">
        <v>489</v>
      </c>
      <c r="E889" t="s">
        <v>1981</v>
      </c>
      <c r="F889" s="1">
        <v>298083</v>
      </c>
      <c r="G889" s="1">
        <v>4300002951</v>
      </c>
      <c r="H889" s="1">
        <v>12</v>
      </c>
      <c r="I889" s="1" t="s">
        <v>363</v>
      </c>
      <c r="J889" t="s">
        <v>2020</v>
      </c>
    </row>
    <row r="890" spans="1:10">
      <c r="A890" s="1">
        <v>866285</v>
      </c>
      <c r="B890" s="1">
        <v>4116340376</v>
      </c>
      <c r="C890" s="1">
        <v>6</v>
      </c>
      <c r="D890" s="1" t="s">
        <v>347</v>
      </c>
      <c r="E890" t="s">
        <v>1982</v>
      </c>
      <c r="F890" s="1">
        <v>8482</v>
      </c>
      <c r="G890" s="1">
        <v>4300002952</v>
      </c>
      <c r="H890" s="1">
        <v>12</v>
      </c>
      <c r="I890" s="1" t="s">
        <v>363</v>
      </c>
      <c r="J890" t="s">
        <v>2021</v>
      </c>
    </row>
    <row r="891" spans="1:10">
      <c r="A891" s="1">
        <v>677849</v>
      </c>
      <c r="B891" s="1">
        <v>76604700000</v>
      </c>
      <c r="C891" s="1">
        <v>40</v>
      </c>
      <c r="D891" s="1" t="s">
        <v>163</v>
      </c>
      <c r="E891" t="s">
        <v>1983</v>
      </c>
      <c r="F891" s="1">
        <v>71050</v>
      </c>
      <c r="G891" s="1">
        <v>78778077010</v>
      </c>
      <c r="H891" s="1">
        <v>6</v>
      </c>
      <c r="I891" s="1" t="s">
        <v>347</v>
      </c>
      <c r="J891" t="s">
        <v>2022</v>
      </c>
    </row>
    <row r="892" spans="1:10">
      <c r="A892" s="1">
        <v>342121</v>
      </c>
      <c r="B892" s="1">
        <v>76604700000</v>
      </c>
      <c r="C892" s="1">
        <v>40</v>
      </c>
      <c r="D892" s="1" t="s">
        <v>163</v>
      </c>
      <c r="E892" t="s">
        <v>1984</v>
      </c>
      <c r="F892" s="1">
        <v>366633</v>
      </c>
      <c r="G892" s="1">
        <v>78778000010</v>
      </c>
      <c r="H892" s="1">
        <v>6</v>
      </c>
      <c r="I892" s="1" t="s">
        <v>363</v>
      </c>
      <c r="J892" t="s">
        <v>2023</v>
      </c>
    </row>
    <row r="893" spans="1:10">
      <c r="A893" s="1">
        <v>333054</v>
      </c>
      <c r="B893" s="1">
        <v>4116344846</v>
      </c>
      <c r="C893" s="1">
        <v>6</v>
      </c>
      <c r="D893" s="1" t="s">
        <v>347</v>
      </c>
      <c r="E893" t="s">
        <v>1985</v>
      </c>
      <c r="F893" s="1">
        <v>273029</v>
      </c>
      <c r="G893" s="1">
        <v>78778077015</v>
      </c>
      <c r="H893" s="1">
        <v>6</v>
      </c>
      <c r="I893" s="1" t="s">
        <v>546</v>
      </c>
      <c r="J893" t="s">
        <v>2024</v>
      </c>
    </row>
    <row r="894" spans="1:10">
      <c r="A894" s="1">
        <v>658591</v>
      </c>
      <c r="B894" s="1">
        <v>4116340385</v>
      </c>
      <c r="C894" s="1">
        <v>6</v>
      </c>
      <c r="D894" s="1" t="s">
        <v>347</v>
      </c>
      <c r="E894" t="s">
        <v>1986</v>
      </c>
      <c r="F894" s="1">
        <v>112813</v>
      </c>
      <c r="G894" s="1">
        <v>78778077016</v>
      </c>
      <c r="H894" s="1">
        <v>6</v>
      </c>
      <c r="I894" s="1" t="s">
        <v>363</v>
      </c>
      <c r="J894" t="s">
        <v>2025</v>
      </c>
    </row>
    <row r="895" spans="1:10">
      <c r="A895" s="1">
        <v>886143</v>
      </c>
      <c r="B895" s="1">
        <v>4116340384</v>
      </c>
      <c r="C895" s="1">
        <v>6</v>
      </c>
      <c r="D895" s="1" t="s">
        <v>347</v>
      </c>
      <c r="E895" t="s">
        <v>1987</v>
      </c>
      <c r="F895" s="1">
        <v>175851</v>
      </c>
      <c r="G895" s="1">
        <v>78778077014</v>
      </c>
      <c r="H895" s="1">
        <v>6</v>
      </c>
      <c r="I895" s="1" t="s">
        <v>363</v>
      </c>
      <c r="J895" t="s">
        <v>2026</v>
      </c>
    </row>
    <row r="896" spans="1:10">
      <c r="A896" s="1">
        <v>435776</v>
      </c>
      <c r="B896" s="1">
        <v>4116360012</v>
      </c>
      <c r="C896" s="1">
        <v>10</v>
      </c>
      <c r="D896" s="1" t="s">
        <v>1973</v>
      </c>
      <c r="E896" t="s">
        <v>1988</v>
      </c>
      <c r="F896" s="1">
        <v>483818</v>
      </c>
      <c r="G896" s="1">
        <v>78778077018</v>
      </c>
      <c r="H896" s="1">
        <v>6</v>
      </c>
      <c r="I896" s="1" t="s">
        <v>489</v>
      </c>
      <c r="J896" t="s">
        <v>2027</v>
      </c>
    </row>
    <row r="897" spans="1:10">
      <c r="A897" s="1">
        <v>872465</v>
      </c>
      <c r="B897" s="1">
        <v>4116360013</v>
      </c>
      <c r="C897" s="1">
        <v>10</v>
      </c>
      <c r="D897" s="1" t="s">
        <v>1973</v>
      </c>
      <c r="E897" t="s">
        <v>1989</v>
      </c>
      <c r="F897" s="1">
        <v>34843</v>
      </c>
      <c r="G897" s="1">
        <v>1116603484</v>
      </c>
      <c r="H897" s="1">
        <v>12</v>
      </c>
      <c r="I897" s="1" t="s">
        <v>703</v>
      </c>
      <c r="J897" t="s">
        <v>2028</v>
      </c>
    </row>
    <row r="898" spans="1:10">
      <c r="A898" s="1">
        <v>844480</v>
      </c>
      <c r="B898" s="1">
        <v>4116360014</v>
      </c>
      <c r="C898" s="1">
        <v>10</v>
      </c>
      <c r="D898" s="1" t="s">
        <v>1973</v>
      </c>
      <c r="E898" t="s">
        <v>1990</v>
      </c>
      <c r="F898" s="1">
        <v>34934</v>
      </c>
      <c r="G898" s="1">
        <v>1116603491</v>
      </c>
      <c r="H898" s="1">
        <v>12</v>
      </c>
      <c r="I898" s="1" t="s">
        <v>703</v>
      </c>
      <c r="J898" t="s">
        <v>2029</v>
      </c>
    </row>
    <row r="899" spans="1:10">
      <c r="A899" s="1">
        <v>302653</v>
      </c>
      <c r="B899" s="1">
        <v>4116360006</v>
      </c>
      <c r="C899" s="1">
        <v>10</v>
      </c>
      <c r="D899" s="1" t="s">
        <v>1973</v>
      </c>
      <c r="E899" t="s">
        <v>1991</v>
      </c>
      <c r="F899" s="1">
        <v>708438</v>
      </c>
      <c r="G899" s="1">
        <v>67220100701</v>
      </c>
      <c r="H899" s="1">
        <v>6</v>
      </c>
      <c r="I899" s="1" t="s">
        <v>519</v>
      </c>
      <c r="J899" t="s">
        <v>2030</v>
      </c>
    </row>
    <row r="900" spans="1:10">
      <c r="A900" s="1">
        <v>656272</v>
      </c>
      <c r="B900" s="1">
        <v>4116344850</v>
      </c>
      <c r="C900" s="1">
        <v>6</v>
      </c>
      <c r="D900" s="1" t="s">
        <v>489</v>
      </c>
      <c r="E900" t="s">
        <v>1992</v>
      </c>
      <c r="F900" s="1">
        <v>708412</v>
      </c>
      <c r="G900" s="1">
        <v>67220100704</v>
      </c>
      <c r="H900" s="1">
        <v>6</v>
      </c>
      <c r="I900" s="1" t="s">
        <v>519</v>
      </c>
      <c r="J900" t="s">
        <v>2031</v>
      </c>
    </row>
    <row r="901" spans="1:10">
      <c r="A901" s="1">
        <v>127456</v>
      </c>
      <c r="B901" s="1">
        <v>4116346046</v>
      </c>
      <c r="C901" s="1">
        <v>6</v>
      </c>
      <c r="D901" s="1" t="s">
        <v>489</v>
      </c>
      <c r="E901" t="s">
        <v>1993</v>
      </c>
      <c r="F901" s="1">
        <v>708420</v>
      </c>
      <c r="G901" s="1">
        <v>67220100703</v>
      </c>
      <c r="H901" s="1">
        <v>6</v>
      </c>
      <c r="I901" s="1" t="s">
        <v>519</v>
      </c>
      <c r="J901" t="s">
        <v>2032</v>
      </c>
    </row>
    <row r="902" spans="1:10">
      <c r="A902" s="1">
        <v>251850</v>
      </c>
      <c r="B902" s="1">
        <v>4116346047</v>
      </c>
      <c r="C902" s="1">
        <v>6</v>
      </c>
      <c r="D902" s="1" t="s">
        <v>489</v>
      </c>
      <c r="E902" t="s">
        <v>1994</v>
      </c>
      <c r="F902" s="1">
        <v>57307</v>
      </c>
      <c r="G902" s="1">
        <v>76211162289</v>
      </c>
      <c r="H902" s="1">
        <v>6</v>
      </c>
      <c r="I902" s="1" t="s">
        <v>347</v>
      </c>
      <c r="J902" t="s">
        <v>2033</v>
      </c>
    </row>
    <row r="903" spans="1:10" ht="15.75">
      <c r="A903" s="4" t="s">
        <v>10694</v>
      </c>
      <c r="B903" s="2"/>
      <c r="C903" s="2"/>
      <c r="D903" s="2"/>
      <c r="E903" s="3"/>
      <c r="F903" s="4" t="s">
        <v>10695</v>
      </c>
      <c r="G903" s="2"/>
      <c r="H903" s="2"/>
      <c r="I903" s="2"/>
      <c r="J903" s="3"/>
    </row>
    <row r="904" spans="1:10">
      <c r="A904" s="2" t="s">
        <v>0</v>
      </c>
      <c r="B904" s="2" t="s">
        <v>1</v>
      </c>
      <c r="C904" s="2" t="s">
        <v>2</v>
      </c>
      <c r="D904" s="2" t="s">
        <v>3</v>
      </c>
      <c r="E904" s="3" t="s">
        <v>4</v>
      </c>
      <c r="F904" s="2" t="s">
        <v>0</v>
      </c>
      <c r="G904" s="2" t="s">
        <v>1</v>
      </c>
      <c r="H904" s="2" t="s">
        <v>2</v>
      </c>
      <c r="I904" s="2" t="s">
        <v>3</v>
      </c>
      <c r="J904" s="3" t="s">
        <v>4</v>
      </c>
    </row>
    <row r="905" spans="1:10">
      <c r="A905" s="1">
        <v>57265</v>
      </c>
      <c r="B905" s="1">
        <v>76211162287</v>
      </c>
      <c r="C905" s="1">
        <v>6</v>
      </c>
      <c r="D905" s="1" t="s">
        <v>347</v>
      </c>
      <c r="E905" t="s">
        <v>2034</v>
      </c>
      <c r="F905" s="1">
        <v>111419</v>
      </c>
      <c r="G905" s="1">
        <v>2550000393</v>
      </c>
      <c r="H905" s="1">
        <v>6</v>
      </c>
      <c r="I905" s="1" t="s">
        <v>2074</v>
      </c>
      <c r="J905" t="s">
        <v>2073</v>
      </c>
    </row>
    <row r="906" spans="1:10">
      <c r="A906" s="1">
        <v>57422</v>
      </c>
      <c r="B906" s="1">
        <v>76211162286</v>
      </c>
      <c r="C906" s="1">
        <v>6</v>
      </c>
      <c r="D906" s="1" t="s">
        <v>347</v>
      </c>
      <c r="E906" t="s">
        <v>2035</v>
      </c>
      <c r="F906" s="1">
        <v>120626</v>
      </c>
      <c r="G906" s="1">
        <v>2550000385</v>
      </c>
      <c r="H906" s="1">
        <v>6</v>
      </c>
      <c r="I906" s="1" t="s">
        <v>2075</v>
      </c>
      <c r="J906" t="s">
        <v>2076</v>
      </c>
    </row>
    <row r="907" spans="1:10">
      <c r="A907" s="1">
        <v>57067</v>
      </c>
      <c r="B907" s="1">
        <v>76211120611</v>
      </c>
      <c r="C907" s="1">
        <v>6</v>
      </c>
      <c r="D907" s="1" t="s">
        <v>347</v>
      </c>
      <c r="E907" t="s">
        <v>2036</v>
      </c>
      <c r="F907" s="1">
        <v>447128</v>
      </c>
      <c r="G907" s="1">
        <v>2550000444</v>
      </c>
      <c r="H907" s="1">
        <v>6</v>
      </c>
      <c r="I907" s="1" t="s">
        <v>2075</v>
      </c>
      <c r="J907" t="s">
        <v>2077</v>
      </c>
    </row>
    <row r="908" spans="1:10">
      <c r="A908" s="1">
        <v>57455</v>
      </c>
      <c r="B908" s="1">
        <v>76211120610</v>
      </c>
      <c r="C908" s="1">
        <v>6</v>
      </c>
      <c r="D908" s="1" t="s">
        <v>347</v>
      </c>
      <c r="E908" t="s">
        <v>2037</v>
      </c>
      <c r="F908" s="1">
        <v>155986</v>
      </c>
      <c r="G908" s="1">
        <v>2550000389</v>
      </c>
      <c r="H908" s="1">
        <v>6</v>
      </c>
      <c r="I908" s="1" t="s">
        <v>2074</v>
      </c>
      <c r="J908" t="s">
        <v>2078</v>
      </c>
    </row>
    <row r="909" spans="1:10">
      <c r="A909" s="1">
        <v>385427</v>
      </c>
      <c r="B909" s="1">
        <v>76211172859</v>
      </c>
      <c r="C909" s="1">
        <v>6</v>
      </c>
      <c r="D909" s="1" t="s">
        <v>347</v>
      </c>
      <c r="E909" t="s">
        <v>2038</v>
      </c>
      <c r="F909" s="1">
        <v>835736</v>
      </c>
      <c r="G909" s="1">
        <v>2550000371</v>
      </c>
      <c r="H909" s="1">
        <v>12</v>
      </c>
      <c r="I909" s="1" t="s">
        <v>1246</v>
      </c>
      <c r="J909" t="s">
        <v>2079</v>
      </c>
    </row>
    <row r="910" spans="1:10">
      <c r="A910" s="1">
        <v>57174</v>
      </c>
      <c r="B910" s="1">
        <v>76211120609</v>
      </c>
      <c r="C910" s="1">
        <v>6</v>
      </c>
      <c r="D910" s="1" t="s">
        <v>347</v>
      </c>
      <c r="E910" t="s">
        <v>2039</v>
      </c>
      <c r="F910" s="1">
        <v>470690</v>
      </c>
      <c r="G910" s="1">
        <v>2550000374</v>
      </c>
      <c r="H910" s="1">
        <v>6</v>
      </c>
      <c r="I910" s="1" t="s">
        <v>2080</v>
      </c>
      <c r="J910" t="s">
        <v>2079</v>
      </c>
    </row>
    <row r="911" spans="1:10">
      <c r="A911" s="1">
        <v>57398</v>
      </c>
      <c r="B911" s="1">
        <v>76211120608</v>
      </c>
      <c r="C911" s="1">
        <v>6</v>
      </c>
      <c r="D911" s="1" t="s">
        <v>347</v>
      </c>
      <c r="E911" t="s">
        <v>2040</v>
      </c>
      <c r="F911" s="1">
        <v>857219</v>
      </c>
      <c r="G911" s="1">
        <v>2550000375</v>
      </c>
      <c r="H911" s="1">
        <v>6</v>
      </c>
      <c r="I911" s="1" t="s">
        <v>2081</v>
      </c>
      <c r="J911" t="s">
        <v>2079</v>
      </c>
    </row>
    <row r="912" spans="1:10">
      <c r="A912" s="1">
        <v>57257</v>
      </c>
      <c r="B912" s="1">
        <v>76211120603</v>
      </c>
      <c r="C912" s="1">
        <v>6</v>
      </c>
      <c r="D912" s="1" t="s">
        <v>347</v>
      </c>
      <c r="E912" t="s">
        <v>2041</v>
      </c>
      <c r="F912" s="1">
        <v>298166</v>
      </c>
      <c r="G912" s="1">
        <v>2550000366</v>
      </c>
      <c r="H912" s="1">
        <v>6</v>
      </c>
      <c r="I912" s="1" t="s">
        <v>2080</v>
      </c>
      <c r="J912" t="s">
        <v>2082</v>
      </c>
    </row>
    <row r="913" spans="1:10">
      <c r="A913" s="1">
        <v>57356</v>
      </c>
      <c r="B913" s="1">
        <v>76211120602</v>
      </c>
      <c r="C913" s="1">
        <v>6</v>
      </c>
      <c r="D913" s="1" t="s">
        <v>347</v>
      </c>
      <c r="E913" t="s">
        <v>2042</v>
      </c>
      <c r="F913" s="1">
        <v>401158</v>
      </c>
      <c r="G913" s="1">
        <v>2550000367</v>
      </c>
      <c r="H913" s="1">
        <v>6</v>
      </c>
      <c r="I913" s="1" t="s">
        <v>2081</v>
      </c>
      <c r="J913" t="s">
        <v>2082</v>
      </c>
    </row>
    <row r="914" spans="1:10">
      <c r="A914" s="1">
        <v>57349</v>
      </c>
      <c r="B914" s="1">
        <v>76211120612</v>
      </c>
      <c r="C914" s="1">
        <v>6</v>
      </c>
      <c r="D914" s="1" t="s">
        <v>347</v>
      </c>
      <c r="E914" t="s">
        <v>2043</v>
      </c>
      <c r="F914" s="1">
        <v>36087</v>
      </c>
      <c r="G914" s="1">
        <v>2550006874</v>
      </c>
      <c r="H914" s="1">
        <v>12</v>
      </c>
      <c r="I914" s="1" t="s">
        <v>703</v>
      </c>
      <c r="J914" t="s">
        <v>2083</v>
      </c>
    </row>
    <row r="915" spans="1:10">
      <c r="A915" s="1">
        <v>57273</v>
      </c>
      <c r="B915" s="1">
        <v>76211120613</v>
      </c>
      <c r="C915" s="1">
        <v>6</v>
      </c>
      <c r="D915" s="1" t="s">
        <v>347</v>
      </c>
      <c r="E915" t="s">
        <v>2044</v>
      </c>
      <c r="F915" s="1">
        <v>655837</v>
      </c>
      <c r="G915" s="1">
        <v>2550000398</v>
      </c>
      <c r="H915" s="1">
        <v>6</v>
      </c>
      <c r="I915" s="1" t="s">
        <v>2075</v>
      </c>
      <c r="J915" t="s">
        <v>2084</v>
      </c>
    </row>
    <row r="916" spans="1:10">
      <c r="A916" s="1">
        <v>57133</v>
      </c>
      <c r="B916" s="1">
        <v>76211162281</v>
      </c>
      <c r="C916" s="1">
        <v>6</v>
      </c>
      <c r="D916" s="1" t="s">
        <v>347</v>
      </c>
      <c r="E916" t="s">
        <v>2045</v>
      </c>
      <c r="F916" s="1">
        <v>37648</v>
      </c>
      <c r="G916" s="1">
        <v>2550006764</v>
      </c>
      <c r="H916" s="1">
        <v>12</v>
      </c>
      <c r="I916" s="1" t="s">
        <v>703</v>
      </c>
      <c r="J916" t="s">
        <v>2085</v>
      </c>
    </row>
    <row r="917" spans="1:10">
      <c r="A917" s="1">
        <v>57570</v>
      </c>
      <c r="B917" s="1">
        <v>76211120625</v>
      </c>
      <c r="C917" s="1">
        <v>6</v>
      </c>
      <c r="D917" s="1" t="s">
        <v>347</v>
      </c>
      <c r="E917" t="s">
        <v>2046</v>
      </c>
      <c r="F917" s="1">
        <v>346346</v>
      </c>
      <c r="G917" s="1">
        <v>2550000401</v>
      </c>
      <c r="H917" s="1">
        <v>12</v>
      </c>
      <c r="I917" s="1" t="s">
        <v>2065</v>
      </c>
      <c r="J917" t="s">
        <v>2086</v>
      </c>
    </row>
    <row r="918" spans="1:10">
      <c r="A918" s="1">
        <v>480236</v>
      </c>
      <c r="B918" s="1">
        <v>76211172857</v>
      </c>
      <c r="C918" s="1">
        <v>6</v>
      </c>
      <c r="D918" s="1" t="s">
        <v>347</v>
      </c>
      <c r="E918" t="s">
        <v>2047</v>
      </c>
      <c r="F918" s="1">
        <v>438267</v>
      </c>
      <c r="G918" s="1">
        <v>2550000402</v>
      </c>
      <c r="H918" s="1">
        <v>6</v>
      </c>
      <c r="I918" s="1" t="s">
        <v>2075</v>
      </c>
      <c r="J918" t="s">
        <v>2086</v>
      </c>
    </row>
    <row r="919" spans="1:10">
      <c r="A919" s="1">
        <v>57083</v>
      </c>
      <c r="B919" s="1">
        <v>76211120605</v>
      </c>
      <c r="C919" s="1">
        <v>6</v>
      </c>
      <c r="D919" s="1" t="s">
        <v>347</v>
      </c>
      <c r="E919" t="s">
        <v>2048</v>
      </c>
      <c r="F919" s="1">
        <v>37861</v>
      </c>
      <c r="G919" s="1">
        <v>2550006763</v>
      </c>
      <c r="H919" s="1">
        <v>12</v>
      </c>
      <c r="I919" s="1" t="s">
        <v>703</v>
      </c>
      <c r="J919" t="s">
        <v>2087</v>
      </c>
    </row>
    <row r="920" spans="1:10">
      <c r="A920" s="1">
        <v>57562</v>
      </c>
      <c r="B920" s="1">
        <v>76211120604</v>
      </c>
      <c r="C920" s="1">
        <v>6</v>
      </c>
      <c r="D920" s="1" t="s">
        <v>347</v>
      </c>
      <c r="E920" t="s">
        <v>2049</v>
      </c>
      <c r="F920" s="1">
        <v>759175</v>
      </c>
      <c r="G920" s="1">
        <v>2550007084</v>
      </c>
      <c r="H920" s="1">
        <v>12</v>
      </c>
      <c r="I920" s="1" t="s">
        <v>1579</v>
      </c>
      <c r="J920" t="s">
        <v>2088</v>
      </c>
    </row>
    <row r="921" spans="1:10">
      <c r="A921" s="1">
        <v>57141</v>
      </c>
      <c r="B921" s="1">
        <v>76211162285</v>
      </c>
      <c r="C921" s="1">
        <v>6</v>
      </c>
      <c r="D921" s="1" t="s">
        <v>347</v>
      </c>
      <c r="E921" t="s">
        <v>2050</v>
      </c>
      <c r="F921" s="1">
        <v>759167</v>
      </c>
      <c r="G921" s="1">
        <v>2550007085</v>
      </c>
      <c r="H921" s="1">
        <v>12</v>
      </c>
      <c r="I921" s="1" t="s">
        <v>1579</v>
      </c>
      <c r="J921" t="s">
        <v>2089</v>
      </c>
    </row>
    <row r="922" spans="1:10">
      <c r="A922" s="1">
        <v>57281</v>
      </c>
      <c r="B922" s="1">
        <v>76211162283</v>
      </c>
      <c r="C922" s="1">
        <v>6</v>
      </c>
      <c r="D922" s="1" t="s">
        <v>347</v>
      </c>
      <c r="E922" t="s">
        <v>2051</v>
      </c>
      <c r="F922" s="1">
        <v>35766</v>
      </c>
      <c r="G922" s="1">
        <v>2550006321</v>
      </c>
      <c r="H922" s="1">
        <v>6</v>
      </c>
      <c r="I922" s="1" t="s">
        <v>2058</v>
      </c>
      <c r="J922" t="s">
        <v>2090</v>
      </c>
    </row>
    <row r="923" spans="1:10">
      <c r="A923" s="1">
        <v>57125</v>
      </c>
      <c r="B923" s="1">
        <v>76211162291</v>
      </c>
      <c r="C923" s="1">
        <v>6</v>
      </c>
      <c r="D923" s="1" t="s">
        <v>347</v>
      </c>
      <c r="E923" t="s">
        <v>2052</v>
      </c>
      <c r="F923" s="1">
        <v>82974</v>
      </c>
      <c r="G923" s="1">
        <v>4300002926</v>
      </c>
      <c r="H923" s="1">
        <v>12</v>
      </c>
      <c r="I923" s="1" t="s">
        <v>370</v>
      </c>
      <c r="J923" t="s">
        <v>2091</v>
      </c>
    </row>
    <row r="924" spans="1:10">
      <c r="A924" s="1">
        <v>57406</v>
      </c>
      <c r="B924" s="1">
        <v>76211162290</v>
      </c>
      <c r="C924" s="1">
        <v>6</v>
      </c>
      <c r="D924" s="1" t="s">
        <v>347</v>
      </c>
      <c r="E924" t="s">
        <v>2053</v>
      </c>
      <c r="F924" s="1">
        <v>668855</v>
      </c>
      <c r="G924" s="1">
        <v>4300002947</v>
      </c>
      <c r="H924" s="1">
        <v>12</v>
      </c>
      <c r="I924" s="1" t="s">
        <v>370</v>
      </c>
      <c r="J924" t="s">
        <v>2092</v>
      </c>
    </row>
    <row r="925" spans="1:10">
      <c r="A925" s="1">
        <v>57638</v>
      </c>
      <c r="B925" s="1">
        <v>76211120624</v>
      </c>
      <c r="C925" s="1">
        <v>6</v>
      </c>
      <c r="D925" s="1" t="s">
        <v>347</v>
      </c>
      <c r="E925" t="s">
        <v>2054</v>
      </c>
      <c r="F925" s="1">
        <v>334821</v>
      </c>
      <c r="G925" s="1">
        <v>4300002925</v>
      </c>
      <c r="H925" s="1">
        <v>12</v>
      </c>
      <c r="I925" s="1" t="s">
        <v>363</v>
      </c>
      <c r="J925" t="s">
        <v>2093</v>
      </c>
    </row>
    <row r="926" spans="1:10">
      <c r="A926" s="1">
        <v>58065</v>
      </c>
      <c r="B926" s="1">
        <v>1291912212</v>
      </c>
      <c r="C926" s="1">
        <v>6</v>
      </c>
      <c r="D926" s="1" t="s">
        <v>347</v>
      </c>
      <c r="E926" t="s">
        <v>2055</v>
      </c>
      <c r="F926" s="1">
        <v>640961</v>
      </c>
      <c r="G926" s="1">
        <v>4300002931</v>
      </c>
      <c r="H926" s="1">
        <v>12</v>
      </c>
      <c r="I926" s="1" t="s">
        <v>363</v>
      </c>
      <c r="J926" t="s">
        <v>2094</v>
      </c>
    </row>
    <row r="927" spans="1:10">
      <c r="A927" s="1">
        <v>35758</v>
      </c>
      <c r="B927" s="1">
        <v>1291912240</v>
      </c>
      <c r="C927" s="1">
        <v>6</v>
      </c>
      <c r="D927" s="1" t="s">
        <v>347</v>
      </c>
      <c r="E927" t="s">
        <v>2056</v>
      </c>
      <c r="F927" s="1">
        <v>335364</v>
      </c>
      <c r="G927" s="1">
        <v>4300002924</v>
      </c>
      <c r="H927" s="1">
        <v>12</v>
      </c>
      <c r="I927" s="1" t="s">
        <v>363</v>
      </c>
      <c r="J927" t="s">
        <v>2095</v>
      </c>
    </row>
    <row r="928" spans="1:10">
      <c r="A928" s="1">
        <v>57612</v>
      </c>
      <c r="B928" s="1">
        <v>1291912231</v>
      </c>
      <c r="C928" s="1">
        <v>6</v>
      </c>
      <c r="D928" s="1" t="s">
        <v>347</v>
      </c>
      <c r="E928" t="s">
        <v>2057</v>
      </c>
      <c r="F928" s="1">
        <v>500025</v>
      </c>
      <c r="G928" s="1">
        <v>4300002949</v>
      </c>
      <c r="H928" s="1">
        <v>12</v>
      </c>
      <c r="I928" s="1" t="s">
        <v>363</v>
      </c>
      <c r="J928" t="s">
        <v>2096</v>
      </c>
    </row>
    <row r="929" spans="1:10" ht="15.75">
      <c r="A929" s="4" t="s">
        <v>10695</v>
      </c>
      <c r="B929" s="2"/>
      <c r="C929" s="2"/>
      <c r="D929" s="2"/>
      <c r="E929" s="3"/>
      <c r="F929" s="1">
        <v>123018</v>
      </c>
      <c r="G929" s="1">
        <v>4300002935</v>
      </c>
      <c r="H929" s="1">
        <v>12</v>
      </c>
      <c r="I929" s="1" t="s">
        <v>363</v>
      </c>
      <c r="J929" t="s">
        <v>2097</v>
      </c>
    </row>
    <row r="930" spans="1:10">
      <c r="A930" s="2" t="s">
        <v>0</v>
      </c>
      <c r="B930" s="2" t="s">
        <v>1</v>
      </c>
      <c r="C930" s="2" t="s">
        <v>2</v>
      </c>
      <c r="D930" s="2" t="s">
        <v>3</v>
      </c>
      <c r="E930" s="3" t="s">
        <v>4</v>
      </c>
      <c r="F930" s="1">
        <v>550962</v>
      </c>
      <c r="G930" s="1">
        <v>4300002934</v>
      </c>
      <c r="H930" s="1">
        <v>12</v>
      </c>
      <c r="I930" s="1" t="s">
        <v>363</v>
      </c>
      <c r="J930" t="s">
        <v>2098</v>
      </c>
    </row>
    <row r="931" spans="1:10">
      <c r="A931" s="1">
        <v>36251</v>
      </c>
      <c r="B931" s="1">
        <v>7762300048</v>
      </c>
      <c r="C931" s="1">
        <v>6</v>
      </c>
      <c r="D931" s="1" t="s">
        <v>2058</v>
      </c>
      <c r="E931" t="s">
        <v>2059</v>
      </c>
      <c r="F931" s="1">
        <v>203539</v>
      </c>
      <c r="G931" s="1">
        <v>4300002948</v>
      </c>
      <c r="H931" s="1">
        <v>12</v>
      </c>
      <c r="I931" s="1" t="s">
        <v>363</v>
      </c>
      <c r="J931" t="s">
        <v>2099</v>
      </c>
    </row>
    <row r="932" spans="1:10">
      <c r="A932" s="1">
        <v>582890</v>
      </c>
      <c r="B932" s="1">
        <v>7103800051</v>
      </c>
      <c r="C932" s="1">
        <v>12</v>
      </c>
      <c r="D932" s="1" t="s">
        <v>347</v>
      </c>
      <c r="E932" t="s">
        <v>2060</v>
      </c>
      <c r="F932" s="1">
        <v>41335</v>
      </c>
      <c r="G932" s="1">
        <v>4300070590</v>
      </c>
      <c r="H932" s="1">
        <v>12</v>
      </c>
      <c r="I932" s="1" t="s">
        <v>703</v>
      </c>
      <c r="J932" t="s">
        <v>2100</v>
      </c>
    </row>
    <row r="933" spans="1:10">
      <c r="A933" s="1">
        <v>36582</v>
      </c>
      <c r="B933" s="1">
        <v>7103800001</v>
      </c>
      <c r="C933" s="1">
        <v>24</v>
      </c>
      <c r="D933" s="1" t="s">
        <v>379</v>
      </c>
      <c r="E933" t="s">
        <v>2061</v>
      </c>
      <c r="F933" s="1">
        <v>298315</v>
      </c>
      <c r="G933" s="1">
        <v>4300002922</v>
      </c>
      <c r="H933" s="1">
        <v>12</v>
      </c>
      <c r="I933" s="1" t="s">
        <v>703</v>
      </c>
      <c r="J933" t="s">
        <v>2101</v>
      </c>
    </row>
    <row r="934" spans="1:10">
      <c r="A934" s="1">
        <v>36624</v>
      </c>
      <c r="B934" s="1">
        <v>7103800040</v>
      </c>
      <c r="C934" s="1">
        <v>12</v>
      </c>
      <c r="D934" s="1" t="s">
        <v>347</v>
      </c>
      <c r="E934" t="s">
        <v>2062</v>
      </c>
      <c r="F934" s="1">
        <v>46557</v>
      </c>
      <c r="G934" s="1">
        <v>4300002923</v>
      </c>
      <c r="H934" s="1">
        <v>12</v>
      </c>
      <c r="I934" s="1" t="s">
        <v>363</v>
      </c>
      <c r="J934" t="s">
        <v>2102</v>
      </c>
    </row>
    <row r="935" spans="1:10">
      <c r="A935" s="1">
        <v>498162</v>
      </c>
      <c r="B935" s="1">
        <v>7103800200</v>
      </c>
      <c r="C935" s="1">
        <v>12</v>
      </c>
      <c r="D935" s="1" t="s">
        <v>347</v>
      </c>
      <c r="E935" t="s">
        <v>2063</v>
      </c>
      <c r="F935" s="1">
        <v>410365</v>
      </c>
      <c r="G935" s="1">
        <v>4300002946</v>
      </c>
      <c r="H935" s="1">
        <v>12</v>
      </c>
      <c r="I935" s="1" t="s">
        <v>363</v>
      </c>
      <c r="J935" t="s">
        <v>2103</v>
      </c>
    </row>
    <row r="936" spans="1:10">
      <c r="A936" s="1">
        <v>36681</v>
      </c>
      <c r="B936" s="1">
        <v>7103800003</v>
      </c>
      <c r="C936" s="1">
        <v>6</v>
      </c>
      <c r="D936" s="1" t="s">
        <v>1468</v>
      </c>
      <c r="E936" t="s">
        <v>2064</v>
      </c>
      <c r="F936" s="1">
        <v>324426</v>
      </c>
      <c r="G936" s="1">
        <v>4300002945</v>
      </c>
      <c r="H936" s="1">
        <v>12</v>
      </c>
      <c r="I936" s="1" t="s">
        <v>703</v>
      </c>
      <c r="J936" t="s">
        <v>2104</v>
      </c>
    </row>
    <row r="937" spans="1:10">
      <c r="A937" s="1">
        <v>374504</v>
      </c>
      <c r="B937" s="1">
        <v>2550000384</v>
      </c>
      <c r="C937" s="1">
        <v>12</v>
      </c>
      <c r="D937" s="1" t="s">
        <v>2065</v>
      </c>
      <c r="E937" t="s">
        <v>2066</v>
      </c>
      <c r="F937" s="1">
        <v>839431</v>
      </c>
      <c r="G937" s="1">
        <v>4300002800</v>
      </c>
      <c r="H937" s="1">
        <v>12</v>
      </c>
      <c r="I937" s="1" t="s">
        <v>363</v>
      </c>
      <c r="J937" t="s">
        <v>2105</v>
      </c>
    </row>
    <row r="938" spans="1:10">
      <c r="A938" s="1">
        <v>392407</v>
      </c>
      <c r="B938" s="1">
        <v>2550000442</v>
      </c>
      <c r="C938" s="1">
        <v>12</v>
      </c>
      <c r="D938" s="1" t="s">
        <v>1959</v>
      </c>
      <c r="E938" t="s">
        <v>2067</v>
      </c>
      <c r="F938" s="1">
        <v>599407</v>
      </c>
      <c r="G938" s="1">
        <v>4300002937</v>
      </c>
      <c r="H938" s="1">
        <v>6</v>
      </c>
      <c r="I938" s="1" t="s">
        <v>2106</v>
      </c>
      <c r="J938" t="s">
        <v>2107</v>
      </c>
    </row>
    <row r="939" spans="1:10">
      <c r="A939" s="1">
        <v>43489</v>
      </c>
      <c r="B939" s="1">
        <v>2550000388</v>
      </c>
      <c r="C939" s="1">
        <v>12</v>
      </c>
      <c r="D939" s="1" t="s">
        <v>649</v>
      </c>
      <c r="E939" t="s">
        <v>2068</v>
      </c>
      <c r="F939" s="1">
        <v>5041</v>
      </c>
      <c r="G939" s="1">
        <v>4300002944</v>
      </c>
      <c r="H939" s="1">
        <v>6</v>
      </c>
      <c r="I939" s="1" t="s">
        <v>943</v>
      </c>
      <c r="J939" t="s">
        <v>2108</v>
      </c>
    </row>
    <row r="940" spans="1:10">
      <c r="A940" s="1">
        <v>158840</v>
      </c>
      <c r="B940" s="1">
        <v>2550000365</v>
      </c>
      <c r="C940" s="1">
        <v>12</v>
      </c>
      <c r="D940" s="1" t="s">
        <v>2069</v>
      </c>
      <c r="E940" t="s">
        <v>2070</v>
      </c>
      <c r="F940" s="1">
        <v>345983</v>
      </c>
      <c r="G940" s="1">
        <v>4300002938</v>
      </c>
      <c r="H940" s="1">
        <v>6</v>
      </c>
      <c r="I940" s="1" t="s">
        <v>943</v>
      </c>
      <c r="J940" t="s">
        <v>2109</v>
      </c>
    </row>
    <row r="941" spans="1:10">
      <c r="A941" s="1">
        <v>11783</v>
      </c>
      <c r="B941" s="1">
        <v>2550006319</v>
      </c>
      <c r="C941" s="1">
        <v>12</v>
      </c>
      <c r="D941" s="1" t="s">
        <v>703</v>
      </c>
      <c r="E941" t="s">
        <v>2071</v>
      </c>
      <c r="F941" s="1">
        <v>564963</v>
      </c>
      <c r="G941" s="1">
        <v>4300002940</v>
      </c>
      <c r="H941" s="1">
        <v>6</v>
      </c>
      <c r="I941" s="1" t="s">
        <v>943</v>
      </c>
      <c r="J941" t="s">
        <v>2110</v>
      </c>
    </row>
    <row r="942" spans="1:10">
      <c r="A942" s="1">
        <v>438697</v>
      </c>
      <c r="B942" s="1">
        <v>2550000397</v>
      </c>
      <c r="C942" s="1">
        <v>12</v>
      </c>
      <c r="D942" s="1" t="s">
        <v>2065</v>
      </c>
      <c r="E942" t="s">
        <v>2072</v>
      </c>
      <c r="F942" s="1">
        <v>211599</v>
      </c>
      <c r="G942" s="1">
        <v>4300002943</v>
      </c>
      <c r="H942" s="1">
        <v>6</v>
      </c>
      <c r="I942" s="1" t="s">
        <v>943</v>
      </c>
      <c r="J942" t="s">
        <v>2111</v>
      </c>
    </row>
    <row r="943" spans="1:10">
      <c r="A943" s="1">
        <v>558874</v>
      </c>
      <c r="B943" s="1">
        <v>2550000392</v>
      </c>
      <c r="C943" s="1">
        <v>12</v>
      </c>
      <c r="D943" s="1" t="s">
        <v>649</v>
      </c>
      <c r="E943" t="s">
        <v>2073</v>
      </c>
      <c r="F943" s="1">
        <v>71258</v>
      </c>
      <c r="G943" s="1">
        <v>4300070522</v>
      </c>
      <c r="H943" s="1">
        <v>6</v>
      </c>
      <c r="I943" s="1" t="s">
        <v>2058</v>
      </c>
      <c r="J943" t="s">
        <v>2112</v>
      </c>
    </row>
    <row r="944" spans="1:10" ht="15.75">
      <c r="A944" s="4" t="s">
        <v>10695</v>
      </c>
      <c r="B944" s="2"/>
      <c r="C944" s="2"/>
      <c r="D944" s="2"/>
      <c r="E944" s="3"/>
      <c r="F944" s="4" t="s">
        <v>10696</v>
      </c>
      <c r="G944" s="2"/>
      <c r="H944" s="2"/>
      <c r="I944" s="2"/>
      <c r="J944" s="3"/>
    </row>
    <row r="945" spans="1:10">
      <c r="A945" s="2" t="s">
        <v>0</v>
      </c>
      <c r="B945" s="2" t="s">
        <v>1</v>
      </c>
      <c r="C945" s="2" t="s">
        <v>2</v>
      </c>
      <c r="D945" s="2" t="s">
        <v>3</v>
      </c>
      <c r="E945" s="3" t="s">
        <v>4</v>
      </c>
      <c r="F945" s="2" t="s">
        <v>0</v>
      </c>
      <c r="G945" s="2" t="s">
        <v>1</v>
      </c>
      <c r="H945" s="2" t="s">
        <v>2</v>
      </c>
      <c r="I945" s="2" t="s">
        <v>3</v>
      </c>
      <c r="J945" s="3" t="s">
        <v>4</v>
      </c>
    </row>
    <row r="946" spans="1:10">
      <c r="A946" s="1">
        <v>242909</v>
      </c>
      <c r="B946" s="1">
        <v>4300002941</v>
      </c>
      <c r="C946" s="1">
        <v>6</v>
      </c>
      <c r="D946" s="1" t="s">
        <v>2058</v>
      </c>
      <c r="E946" t="s">
        <v>2113</v>
      </c>
      <c r="F946" s="1">
        <v>37879</v>
      </c>
      <c r="G946" s="1">
        <v>4300079460</v>
      </c>
      <c r="H946" s="1">
        <v>12</v>
      </c>
      <c r="I946" s="1" t="s">
        <v>399</v>
      </c>
      <c r="J946" t="s">
        <v>2150</v>
      </c>
    </row>
    <row r="947" spans="1:10">
      <c r="A947" s="1">
        <v>588517</v>
      </c>
      <c r="B947" s="1">
        <v>4300002942</v>
      </c>
      <c r="C947" s="1">
        <v>6</v>
      </c>
      <c r="D947" s="1" t="s">
        <v>943</v>
      </c>
      <c r="E947" t="s">
        <v>2114</v>
      </c>
      <c r="F947" s="1">
        <v>37812</v>
      </c>
      <c r="G947" s="1">
        <v>4300070994</v>
      </c>
      <c r="H947" s="1">
        <v>12</v>
      </c>
      <c r="I947" s="1" t="s">
        <v>1535</v>
      </c>
      <c r="J947" t="s">
        <v>2151</v>
      </c>
    </row>
    <row r="948" spans="1:10">
      <c r="A948" s="1">
        <v>349050</v>
      </c>
      <c r="B948" s="1">
        <v>4300002801</v>
      </c>
      <c r="C948" s="1">
        <v>6</v>
      </c>
      <c r="D948" s="1" t="s">
        <v>943</v>
      </c>
      <c r="E948" t="s">
        <v>2115</v>
      </c>
      <c r="F948" s="1">
        <v>616912</v>
      </c>
      <c r="G948" s="1">
        <v>2800016135</v>
      </c>
      <c r="H948" s="1">
        <v>12</v>
      </c>
      <c r="I948" s="1" t="s">
        <v>399</v>
      </c>
      <c r="J948" t="s">
        <v>2152</v>
      </c>
    </row>
    <row r="949" spans="1:10">
      <c r="A949" s="1">
        <v>37440</v>
      </c>
      <c r="B949" s="1">
        <v>1116603744</v>
      </c>
      <c r="C949" s="1">
        <v>12</v>
      </c>
      <c r="D949" s="1" t="s">
        <v>703</v>
      </c>
      <c r="E949" t="s">
        <v>2116</v>
      </c>
      <c r="F949" s="1">
        <v>105502</v>
      </c>
      <c r="G949" s="1">
        <v>2800016707</v>
      </c>
      <c r="H949" s="1">
        <v>12</v>
      </c>
      <c r="I949" s="1" t="s">
        <v>360</v>
      </c>
      <c r="J949" t="s">
        <v>2153</v>
      </c>
    </row>
    <row r="950" spans="1:10">
      <c r="A950" s="1">
        <v>37341</v>
      </c>
      <c r="B950" s="1">
        <v>1116603734</v>
      </c>
      <c r="C950" s="1">
        <v>6</v>
      </c>
      <c r="D950" s="1" t="s">
        <v>2058</v>
      </c>
      <c r="E950" t="s">
        <v>2117</v>
      </c>
      <c r="F950" s="1">
        <v>35402</v>
      </c>
      <c r="G950" s="1">
        <v>2800030450</v>
      </c>
      <c r="H950" s="1">
        <v>12</v>
      </c>
      <c r="I950" s="1" t="s">
        <v>360</v>
      </c>
      <c r="J950" t="s">
        <v>2154</v>
      </c>
    </row>
    <row r="951" spans="1:10">
      <c r="A951" s="1">
        <v>37317</v>
      </c>
      <c r="B951" s="1">
        <v>1116603731</v>
      </c>
      <c r="C951" s="1">
        <v>24</v>
      </c>
      <c r="D951" s="1" t="s">
        <v>703</v>
      </c>
      <c r="E951" t="s">
        <v>2118</v>
      </c>
      <c r="F951" s="1">
        <v>355198</v>
      </c>
      <c r="G951" s="1">
        <v>2800051520</v>
      </c>
      <c r="H951" s="1">
        <v>6</v>
      </c>
      <c r="I951" s="1" t="s">
        <v>1827</v>
      </c>
      <c r="J951" t="s">
        <v>2155</v>
      </c>
    </row>
    <row r="952" spans="1:10">
      <c r="A952" s="1">
        <v>708404</v>
      </c>
      <c r="B952" s="1">
        <v>67220110357</v>
      </c>
      <c r="C952" s="1">
        <v>6</v>
      </c>
      <c r="D952" s="1" t="s">
        <v>2119</v>
      </c>
      <c r="E952" t="s">
        <v>2120</v>
      </c>
      <c r="F952" s="1">
        <v>37705</v>
      </c>
      <c r="G952" s="1">
        <v>2800030440</v>
      </c>
      <c r="H952" s="1">
        <v>12</v>
      </c>
      <c r="I952" s="1" t="s">
        <v>397</v>
      </c>
      <c r="J952" t="s">
        <v>2156</v>
      </c>
    </row>
    <row r="953" spans="1:10">
      <c r="A953" s="1">
        <v>479410</v>
      </c>
      <c r="B953" s="1">
        <v>67220190798</v>
      </c>
      <c r="C953" s="1">
        <v>6</v>
      </c>
      <c r="D953" s="1" t="s">
        <v>562</v>
      </c>
      <c r="E953" t="s">
        <v>2121</v>
      </c>
      <c r="F953" s="1">
        <v>77008</v>
      </c>
      <c r="G953" s="1">
        <v>2800030430</v>
      </c>
      <c r="H953" s="1">
        <v>12</v>
      </c>
      <c r="I953" s="1" t="s">
        <v>360</v>
      </c>
      <c r="J953" t="s">
        <v>2156</v>
      </c>
    </row>
    <row r="954" spans="1:10">
      <c r="A954" s="1">
        <v>565192</v>
      </c>
      <c r="B954" s="1">
        <v>4113030482</v>
      </c>
      <c r="C954" s="1">
        <v>8</v>
      </c>
      <c r="D954" s="1" t="s">
        <v>2058</v>
      </c>
      <c r="E954" t="s">
        <v>2122</v>
      </c>
      <c r="F954" s="1">
        <v>77297</v>
      </c>
      <c r="G954" s="1">
        <v>2800030100</v>
      </c>
      <c r="H954" s="1">
        <v>12</v>
      </c>
      <c r="I954" s="1" t="s">
        <v>489</v>
      </c>
      <c r="J954" t="s">
        <v>2157</v>
      </c>
    </row>
    <row r="955" spans="1:10">
      <c r="A955" s="1">
        <v>63487</v>
      </c>
      <c r="B955" s="1">
        <v>4300071602</v>
      </c>
      <c r="C955" s="1">
        <v>12</v>
      </c>
      <c r="D955" s="1" t="s">
        <v>347</v>
      </c>
      <c r="E955" t="s">
        <v>2123</v>
      </c>
      <c r="F955" s="1">
        <v>37515</v>
      </c>
      <c r="G955" s="1">
        <v>2800030040</v>
      </c>
      <c r="H955" s="1">
        <v>12</v>
      </c>
      <c r="I955" s="1" t="s">
        <v>397</v>
      </c>
      <c r="J955" t="s">
        <v>2157</v>
      </c>
    </row>
    <row r="956" spans="1:10" ht="15.75">
      <c r="A956" s="4" t="s">
        <v>10696</v>
      </c>
      <c r="B956" s="2"/>
      <c r="C956" s="2"/>
      <c r="D956" s="2"/>
      <c r="E956" s="3"/>
      <c r="F956" s="1">
        <v>77321</v>
      </c>
      <c r="G956" s="1">
        <v>2800030050</v>
      </c>
      <c r="H956" s="1">
        <v>12</v>
      </c>
      <c r="I956" s="1" t="s">
        <v>360</v>
      </c>
      <c r="J956" t="s">
        <v>2157</v>
      </c>
    </row>
    <row r="957" spans="1:10">
      <c r="A957" s="2" t="s">
        <v>0</v>
      </c>
      <c r="B957" s="2" t="s">
        <v>1</v>
      </c>
      <c r="C957" s="2" t="s">
        <v>2</v>
      </c>
      <c r="D957" s="2" t="s">
        <v>3</v>
      </c>
      <c r="E957" s="3" t="s">
        <v>4</v>
      </c>
      <c r="F957" s="1">
        <v>555128</v>
      </c>
      <c r="G957" s="1">
        <v>2800051450</v>
      </c>
      <c r="H957" s="1">
        <v>6</v>
      </c>
      <c r="I957" s="1" t="s">
        <v>1535</v>
      </c>
      <c r="J957" t="s">
        <v>2158</v>
      </c>
    </row>
    <row r="958" spans="1:10">
      <c r="A958" s="1">
        <v>31070</v>
      </c>
      <c r="B958" s="1">
        <v>2550006848</v>
      </c>
      <c r="C958" s="1">
        <v>6</v>
      </c>
      <c r="D958" s="1" t="s">
        <v>381</v>
      </c>
      <c r="E958" t="s">
        <v>2124</v>
      </c>
      <c r="F958" s="1">
        <v>37242</v>
      </c>
      <c r="G958" s="1">
        <v>1116603724</v>
      </c>
      <c r="H958" s="1">
        <v>12</v>
      </c>
      <c r="I958" s="1" t="s">
        <v>397</v>
      </c>
      <c r="J958" t="s">
        <v>2159</v>
      </c>
    </row>
    <row r="959" spans="1:10">
      <c r="A959" s="1">
        <v>34595</v>
      </c>
      <c r="B959" s="1">
        <v>2550006849</v>
      </c>
      <c r="C959" s="1">
        <v>6</v>
      </c>
      <c r="D959" s="1" t="s">
        <v>381</v>
      </c>
      <c r="E959" t="s">
        <v>2125</v>
      </c>
      <c r="F959" s="1">
        <v>36517</v>
      </c>
      <c r="G959" s="1">
        <v>1116603651</v>
      </c>
      <c r="H959" s="1">
        <v>12</v>
      </c>
      <c r="I959" s="1" t="s">
        <v>347</v>
      </c>
      <c r="J959" t="s">
        <v>2160</v>
      </c>
    </row>
    <row r="960" spans="1:10">
      <c r="A960" s="1">
        <v>37374</v>
      </c>
      <c r="B960" s="1">
        <v>2550080202</v>
      </c>
      <c r="C960" s="1">
        <v>12</v>
      </c>
      <c r="D960" s="1" t="s">
        <v>31</v>
      </c>
      <c r="E960" t="s">
        <v>2126</v>
      </c>
      <c r="F960" s="1">
        <v>37192</v>
      </c>
      <c r="G960" s="1">
        <v>1116603719</v>
      </c>
      <c r="H960" s="1">
        <v>24</v>
      </c>
      <c r="I960" s="1" t="s">
        <v>31</v>
      </c>
      <c r="J960" t="s">
        <v>2160</v>
      </c>
    </row>
    <row r="961" spans="1:10">
      <c r="A961" s="1">
        <v>35774</v>
      </c>
      <c r="B961" s="1">
        <v>2550080203</v>
      </c>
      <c r="C961" s="1">
        <v>12</v>
      </c>
      <c r="D961" s="1" t="s">
        <v>397</v>
      </c>
      <c r="E961" t="s">
        <v>2127</v>
      </c>
      <c r="F961" s="1">
        <v>37200</v>
      </c>
      <c r="G961" s="1">
        <v>1116603720</v>
      </c>
      <c r="H961" s="1">
        <v>12</v>
      </c>
      <c r="I961" s="1" t="s">
        <v>397</v>
      </c>
      <c r="J961" t="s">
        <v>2160</v>
      </c>
    </row>
    <row r="962" spans="1:10">
      <c r="A962" s="1">
        <v>37333</v>
      </c>
      <c r="B962" s="1">
        <v>2550000080</v>
      </c>
      <c r="C962" s="1">
        <v>12</v>
      </c>
      <c r="D962" s="1" t="s">
        <v>347</v>
      </c>
      <c r="E962" t="s">
        <v>2128</v>
      </c>
      <c r="F962" s="1">
        <v>37226</v>
      </c>
      <c r="G962" s="1">
        <v>1116603722</v>
      </c>
      <c r="H962" s="1">
        <v>12</v>
      </c>
      <c r="I962" s="1" t="s">
        <v>399</v>
      </c>
      <c r="J962" t="s">
        <v>2160</v>
      </c>
    </row>
    <row r="963" spans="1:10">
      <c r="A963" s="1">
        <v>37614</v>
      </c>
      <c r="B963" s="1">
        <v>2550000088</v>
      </c>
      <c r="C963" s="1">
        <v>12</v>
      </c>
      <c r="D963" s="1" t="s">
        <v>399</v>
      </c>
      <c r="E963" t="s">
        <v>2129</v>
      </c>
      <c r="F963" s="1">
        <v>37788</v>
      </c>
      <c r="G963" s="1">
        <v>4300079333</v>
      </c>
      <c r="H963" s="1">
        <v>12</v>
      </c>
      <c r="I963" s="1" t="s">
        <v>31</v>
      </c>
      <c r="J963" t="s">
        <v>2161</v>
      </c>
    </row>
    <row r="964" spans="1:10">
      <c r="A964" s="1">
        <v>37671</v>
      </c>
      <c r="B964" s="1">
        <v>2550000032</v>
      </c>
      <c r="C964" s="1">
        <v>12</v>
      </c>
      <c r="D964" s="1" t="s">
        <v>31</v>
      </c>
      <c r="E964" t="s">
        <v>2130</v>
      </c>
      <c r="F964" s="1">
        <v>37929</v>
      </c>
      <c r="G964" s="1">
        <v>4300079389</v>
      </c>
      <c r="H964" s="1">
        <v>12</v>
      </c>
      <c r="I964" s="1" t="s">
        <v>399</v>
      </c>
      <c r="J964" t="s">
        <v>2162</v>
      </c>
    </row>
    <row r="965" spans="1:10">
      <c r="A965" s="1">
        <v>37069</v>
      </c>
      <c r="B965" s="1">
        <v>2550000034</v>
      </c>
      <c r="C965" s="1">
        <v>12</v>
      </c>
      <c r="D965" s="1" t="s">
        <v>399</v>
      </c>
      <c r="E965" t="s">
        <v>2131</v>
      </c>
      <c r="F965" s="1">
        <v>454835</v>
      </c>
      <c r="G965" s="1">
        <v>67220190802</v>
      </c>
      <c r="H965" s="1">
        <v>6</v>
      </c>
      <c r="I965" s="1" t="s">
        <v>2163</v>
      </c>
      <c r="J965" t="s">
        <v>2164</v>
      </c>
    </row>
    <row r="966" spans="1:10">
      <c r="A966" s="1">
        <v>37325</v>
      </c>
      <c r="B966" s="1">
        <v>2550000033</v>
      </c>
      <c r="C966" s="1">
        <v>12</v>
      </c>
      <c r="D966" s="1" t="s">
        <v>397</v>
      </c>
      <c r="E966" t="s">
        <v>2132</v>
      </c>
      <c r="F966" s="1">
        <v>836148</v>
      </c>
      <c r="G966" s="1">
        <v>67220190803</v>
      </c>
      <c r="H966" s="1">
        <v>6</v>
      </c>
      <c r="I966" s="1" t="s">
        <v>2163</v>
      </c>
      <c r="J966" t="s">
        <v>2165</v>
      </c>
    </row>
    <row r="967" spans="1:10" ht="15.75">
      <c r="A967" s="1">
        <v>35964</v>
      </c>
      <c r="B967" s="1">
        <v>2550081121</v>
      </c>
      <c r="C967" s="1">
        <v>12</v>
      </c>
      <c r="D967" s="1" t="s">
        <v>14</v>
      </c>
      <c r="E967" t="s">
        <v>2133</v>
      </c>
      <c r="F967" s="4" t="s">
        <v>10697</v>
      </c>
      <c r="G967" s="2"/>
      <c r="H967" s="2"/>
      <c r="I967" s="2"/>
      <c r="J967" s="3"/>
    </row>
    <row r="968" spans="1:10">
      <c r="A968" s="1">
        <v>35907</v>
      </c>
      <c r="B968" s="1">
        <v>2550081122</v>
      </c>
      <c r="C968" s="1">
        <v>12</v>
      </c>
      <c r="D968" s="1" t="s">
        <v>14</v>
      </c>
      <c r="E968" t="s">
        <v>2134</v>
      </c>
      <c r="F968" s="2" t="s">
        <v>0</v>
      </c>
      <c r="G968" s="2" t="s">
        <v>1</v>
      </c>
      <c r="H968" s="2" t="s">
        <v>2</v>
      </c>
      <c r="I968" s="2" t="s">
        <v>3</v>
      </c>
      <c r="J968" s="3" t="s">
        <v>4</v>
      </c>
    </row>
    <row r="969" spans="1:10">
      <c r="A969" s="1">
        <v>38182</v>
      </c>
      <c r="B969" s="1">
        <v>4300070700</v>
      </c>
      <c r="C969" s="1">
        <v>12</v>
      </c>
      <c r="D969" s="1" t="s">
        <v>2135</v>
      </c>
      <c r="E969" t="s">
        <v>2136</v>
      </c>
      <c r="F969" s="1">
        <v>111518</v>
      </c>
      <c r="G969" s="1">
        <v>5000030622</v>
      </c>
      <c r="H969" s="1">
        <v>12</v>
      </c>
      <c r="I969" s="1" t="s">
        <v>381</v>
      </c>
      <c r="J969" t="s">
        <v>2166</v>
      </c>
    </row>
    <row r="970" spans="1:10">
      <c r="A970" s="1">
        <v>38059</v>
      </c>
      <c r="B970" s="1">
        <v>4300000016</v>
      </c>
      <c r="C970" s="1">
        <v>12</v>
      </c>
      <c r="D970" s="1" t="s">
        <v>399</v>
      </c>
      <c r="E970" t="s">
        <v>2137</v>
      </c>
      <c r="F970" s="1">
        <v>111567</v>
      </c>
      <c r="G970" s="1">
        <v>5000030132</v>
      </c>
      <c r="H970" s="1">
        <v>12</v>
      </c>
      <c r="I970" s="1" t="s">
        <v>381</v>
      </c>
      <c r="J970" t="s">
        <v>2167</v>
      </c>
    </row>
    <row r="971" spans="1:10">
      <c r="A971" s="1">
        <v>38133</v>
      </c>
      <c r="B971" s="1">
        <v>4300000082</v>
      </c>
      <c r="C971" s="1">
        <v>12</v>
      </c>
      <c r="D971" s="1" t="s">
        <v>546</v>
      </c>
      <c r="E971" t="s">
        <v>2138</v>
      </c>
      <c r="F971" s="1">
        <v>111146</v>
      </c>
      <c r="G971" s="1">
        <v>5000030302</v>
      </c>
      <c r="H971" s="1">
        <v>6</v>
      </c>
      <c r="I971" s="1" t="s">
        <v>2168</v>
      </c>
      <c r="J971" t="s">
        <v>2169</v>
      </c>
    </row>
    <row r="972" spans="1:10">
      <c r="A972" s="1">
        <v>38075</v>
      </c>
      <c r="B972" s="1">
        <v>4300000014</v>
      </c>
      <c r="C972" s="1">
        <v>12</v>
      </c>
      <c r="D972" s="1" t="s">
        <v>399</v>
      </c>
      <c r="E972" t="s">
        <v>2139</v>
      </c>
      <c r="F972" s="1">
        <v>111401</v>
      </c>
      <c r="G972" s="1">
        <v>5000030152</v>
      </c>
      <c r="H972" s="1">
        <v>12</v>
      </c>
      <c r="I972" s="1" t="s">
        <v>363</v>
      </c>
      <c r="J972" t="s">
        <v>2170</v>
      </c>
    </row>
    <row r="973" spans="1:10">
      <c r="A973" s="1">
        <v>38067</v>
      </c>
      <c r="B973" s="1">
        <v>4300000018</v>
      </c>
      <c r="C973" s="1">
        <v>12</v>
      </c>
      <c r="D973" s="1" t="s">
        <v>489</v>
      </c>
      <c r="E973" t="s">
        <v>2140</v>
      </c>
      <c r="F973" s="1">
        <v>111385</v>
      </c>
      <c r="G973" s="1">
        <v>5000030212</v>
      </c>
      <c r="H973" s="1">
        <v>12</v>
      </c>
      <c r="I973" s="1" t="s">
        <v>1198</v>
      </c>
      <c r="J973" t="s">
        <v>2170</v>
      </c>
    </row>
    <row r="974" spans="1:10">
      <c r="A974" s="1">
        <v>38299</v>
      </c>
      <c r="B974" s="1">
        <v>4300000004</v>
      </c>
      <c r="C974" s="1">
        <v>12</v>
      </c>
      <c r="D974" s="1" t="s">
        <v>546</v>
      </c>
      <c r="E974" t="s">
        <v>2141</v>
      </c>
      <c r="F974" s="1">
        <v>111435</v>
      </c>
      <c r="G974" s="1">
        <v>5000030062</v>
      </c>
      <c r="H974" s="1">
        <v>12</v>
      </c>
      <c r="I974" s="1" t="s">
        <v>404</v>
      </c>
      <c r="J974" t="s">
        <v>2170</v>
      </c>
    </row>
    <row r="975" spans="1:10">
      <c r="A975" s="1">
        <v>38992</v>
      </c>
      <c r="B975" s="1">
        <v>4300000072</v>
      </c>
      <c r="C975" s="1">
        <v>12</v>
      </c>
      <c r="D975" s="1" t="s">
        <v>925</v>
      </c>
      <c r="E975" t="s">
        <v>2142</v>
      </c>
      <c r="F975" s="1">
        <v>153718</v>
      </c>
      <c r="G975" s="1">
        <v>5000004595</v>
      </c>
      <c r="H975" s="1">
        <v>6</v>
      </c>
      <c r="I975" s="1" t="s">
        <v>910</v>
      </c>
      <c r="J975" t="s">
        <v>2171</v>
      </c>
    </row>
    <row r="976" spans="1:10">
      <c r="A976" s="1">
        <v>38117</v>
      </c>
      <c r="B976" s="1">
        <v>4300000009</v>
      </c>
      <c r="C976" s="1">
        <v>12</v>
      </c>
      <c r="D976" s="1" t="s">
        <v>589</v>
      </c>
      <c r="E976" t="s">
        <v>2143</v>
      </c>
      <c r="F976" s="1">
        <v>802348</v>
      </c>
      <c r="G976" s="1">
        <v>5000064249</v>
      </c>
      <c r="H976" s="1">
        <v>6</v>
      </c>
      <c r="I976" s="1" t="s">
        <v>910</v>
      </c>
      <c r="J976" t="s">
        <v>2172</v>
      </c>
    </row>
    <row r="977" spans="1:10">
      <c r="A977" s="1">
        <v>38653</v>
      </c>
      <c r="B977" s="1">
        <v>4300000135</v>
      </c>
      <c r="C977" s="1">
        <v>12</v>
      </c>
      <c r="D977" s="1" t="s">
        <v>589</v>
      </c>
      <c r="E977" t="s">
        <v>2144</v>
      </c>
      <c r="F977" s="1">
        <v>153312</v>
      </c>
      <c r="G977" s="1">
        <v>5000038825</v>
      </c>
      <c r="H977" s="1">
        <v>6</v>
      </c>
      <c r="I977" s="1" t="s">
        <v>2173</v>
      </c>
      <c r="J977" t="s">
        <v>2174</v>
      </c>
    </row>
    <row r="978" spans="1:10">
      <c r="A978" s="1">
        <v>357657</v>
      </c>
      <c r="B978" s="1">
        <v>4300000250</v>
      </c>
      <c r="C978" s="1">
        <v>12</v>
      </c>
      <c r="D978" s="1" t="s">
        <v>399</v>
      </c>
      <c r="E978" t="s">
        <v>2145</v>
      </c>
      <c r="F978" s="1">
        <v>203927</v>
      </c>
      <c r="G978" s="1">
        <v>5000020708</v>
      </c>
      <c r="H978" s="1">
        <v>6</v>
      </c>
      <c r="I978" s="1" t="s">
        <v>910</v>
      </c>
      <c r="J978" t="s">
        <v>2175</v>
      </c>
    </row>
    <row r="979" spans="1:10">
      <c r="A979" s="1">
        <v>37895</v>
      </c>
      <c r="B979" s="1">
        <v>4300079470</v>
      </c>
      <c r="C979" s="1">
        <v>12</v>
      </c>
      <c r="D979" s="1" t="s">
        <v>347</v>
      </c>
      <c r="E979" t="s">
        <v>2146</v>
      </c>
      <c r="F979" s="1">
        <v>455212</v>
      </c>
      <c r="G979" s="1">
        <v>5000035170</v>
      </c>
      <c r="H979" s="1">
        <v>4</v>
      </c>
      <c r="I979" s="1" t="s">
        <v>1219</v>
      </c>
      <c r="J979" t="s">
        <v>2176</v>
      </c>
    </row>
    <row r="980" spans="1:10">
      <c r="A980" s="1">
        <v>37309</v>
      </c>
      <c r="B980" s="1">
        <v>4300079400</v>
      </c>
      <c r="C980" s="1">
        <v>12</v>
      </c>
      <c r="D980" s="1" t="s">
        <v>31</v>
      </c>
      <c r="E980" t="s">
        <v>2146</v>
      </c>
      <c r="F980" s="1">
        <v>203919</v>
      </c>
      <c r="G980" s="1">
        <v>5000031474</v>
      </c>
      <c r="H980" s="1">
        <v>6</v>
      </c>
      <c r="I980" s="1" t="s">
        <v>910</v>
      </c>
      <c r="J980" t="s">
        <v>2177</v>
      </c>
    </row>
    <row r="981" spans="1:10">
      <c r="A981" s="1">
        <v>37382</v>
      </c>
      <c r="B981" s="1">
        <v>4300079450</v>
      </c>
      <c r="C981" s="1">
        <v>12</v>
      </c>
      <c r="D981" s="1" t="s">
        <v>397</v>
      </c>
      <c r="E981" t="s">
        <v>2146</v>
      </c>
      <c r="F981" s="1">
        <v>152652</v>
      </c>
      <c r="G981" s="1">
        <v>5000034934</v>
      </c>
      <c r="H981" s="1">
        <v>6</v>
      </c>
      <c r="I981" s="1" t="s">
        <v>2173</v>
      </c>
      <c r="J981" t="s">
        <v>2178</v>
      </c>
    </row>
    <row r="982" spans="1:10">
      <c r="A982" s="1">
        <v>37820</v>
      </c>
      <c r="B982" s="1">
        <v>4300070992</v>
      </c>
      <c r="C982" s="1">
        <v>12</v>
      </c>
      <c r="D982" s="1" t="s">
        <v>1535</v>
      </c>
      <c r="E982" t="s">
        <v>2147</v>
      </c>
      <c r="F982" s="1">
        <v>152611</v>
      </c>
      <c r="G982" s="1">
        <v>5000033480</v>
      </c>
      <c r="H982" s="1">
        <v>6</v>
      </c>
      <c r="I982" s="1" t="s">
        <v>2173</v>
      </c>
      <c r="J982" t="s">
        <v>2179</v>
      </c>
    </row>
    <row r="983" spans="1:10">
      <c r="A983" s="1">
        <v>33100</v>
      </c>
      <c r="B983" s="1">
        <v>4300070214</v>
      </c>
      <c r="C983" s="1">
        <v>12</v>
      </c>
      <c r="D983" s="1" t="s">
        <v>14</v>
      </c>
      <c r="E983" t="s">
        <v>2148</v>
      </c>
      <c r="F983" s="1">
        <v>203901</v>
      </c>
      <c r="G983" s="1">
        <v>5000002545</v>
      </c>
      <c r="H983" s="1">
        <v>6</v>
      </c>
      <c r="I983" s="1" t="s">
        <v>910</v>
      </c>
      <c r="J983" t="s">
        <v>2180</v>
      </c>
    </row>
    <row r="984" spans="1:10">
      <c r="A984" s="1">
        <v>38026</v>
      </c>
      <c r="B984" s="1">
        <v>4300079830</v>
      </c>
      <c r="C984" s="1">
        <v>12</v>
      </c>
      <c r="D984" s="1" t="s">
        <v>399</v>
      </c>
      <c r="E984" t="s">
        <v>2149</v>
      </c>
      <c r="F984" s="1">
        <v>362673</v>
      </c>
      <c r="G984" s="1">
        <v>5000027324</v>
      </c>
      <c r="H984" s="1">
        <v>6</v>
      </c>
      <c r="I984" s="1" t="s">
        <v>910</v>
      </c>
      <c r="J984" t="s">
        <v>2181</v>
      </c>
    </row>
    <row r="985" spans="1:10" ht="15.75">
      <c r="A985" s="4" t="s">
        <v>10697</v>
      </c>
      <c r="B985" s="2"/>
      <c r="C985" s="2"/>
      <c r="D985" s="2"/>
      <c r="E985" s="3"/>
      <c r="F985" s="4" t="s">
        <v>10698</v>
      </c>
      <c r="G985" s="2"/>
      <c r="H985" s="2"/>
      <c r="I985" s="2"/>
      <c r="J985" s="3"/>
    </row>
    <row r="986" spans="1:10">
      <c r="A986" s="2" t="s">
        <v>0</v>
      </c>
      <c r="B986" s="2" t="s">
        <v>1</v>
      </c>
      <c r="C986" s="2" t="s">
        <v>2</v>
      </c>
      <c r="D986" s="2" t="s">
        <v>3</v>
      </c>
      <c r="E986" s="3" t="s">
        <v>4</v>
      </c>
      <c r="F986" s="2" t="s">
        <v>0</v>
      </c>
      <c r="G986" s="2" t="s">
        <v>1</v>
      </c>
      <c r="H986" s="2" t="s">
        <v>2</v>
      </c>
      <c r="I986" s="2" t="s">
        <v>3</v>
      </c>
      <c r="J986" s="3" t="s">
        <v>4</v>
      </c>
    </row>
    <row r="987" spans="1:10">
      <c r="A987" s="1">
        <v>108910</v>
      </c>
      <c r="B987" s="1">
        <v>5000013993</v>
      </c>
      <c r="C987" s="1">
        <v>12</v>
      </c>
      <c r="D987" s="1" t="s">
        <v>2182</v>
      </c>
      <c r="E987" t="s">
        <v>2183</v>
      </c>
      <c r="F987" s="1">
        <v>149401</v>
      </c>
      <c r="G987" s="1">
        <v>4100010179</v>
      </c>
      <c r="H987" s="1">
        <v>6</v>
      </c>
      <c r="I987" s="1" t="s">
        <v>2218</v>
      </c>
      <c r="J987" t="s">
        <v>2219</v>
      </c>
    </row>
    <row r="988" spans="1:10">
      <c r="A988" s="1">
        <v>786616</v>
      </c>
      <c r="B988" s="1">
        <v>5000005731</v>
      </c>
      <c r="C988" s="1">
        <v>6</v>
      </c>
      <c r="D988" s="1" t="s">
        <v>910</v>
      </c>
      <c r="E988" t="s">
        <v>2184</v>
      </c>
      <c r="F988" s="1">
        <v>747840</v>
      </c>
      <c r="G988" s="1">
        <v>4100020437</v>
      </c>
      <c r="H988" s="1">
        <v>12</v>
      </c>
      <c r="I988" s="1" t="s">
        <v>1220</v>
      </c>
      <c r="J988" t="s">
        <v>2220</v>
      </c>
    </row>
    <row r="989" spans="1:10">
      <c r="A989" s="1">
        <v>111559</v>
      </c>
      <c r="B989" s="1">
        <v>5000030162</v>
      </c>
      <c r="C989" s="1">
        <v>12</v>
      </c>
      <c r="D989" s="1" t="s">
        <v>381</v>
      </c>
      <c r="E989" t="s">
        <v>2185</v>
      </c>
      <c r="F989" s="1">
        <v>149443</v>
      </c>
      <c r="G989" s="1">
        <v>4100010178</v>
      </c>
      <c r="H989" s="1">
        <v>6</v>
      </c>
      <c r="I989" s="1" t="s">
        <v>108</v>
      </c>
      <c r="J989" t="s">
        <v>2221</v>
      </c>
    </row>
    <row r="990" spans="1:10">
      <c r="A990" s="1">
        <v>81133</v>
      </c>
      <c r="B990" s="1">
        <v>5000069444</v>
      </c>
      <c r="C990" s="1">
        <v>6</v>
      </c>
      <c r="D990" s="1" t="s">
        <v>910</v>
      </c>
      <c r="E990" t="s">
        <v>2186</v>
      </c>
      <c r="F990" s="1">
        <v>352559</v>
      </c>
      <c r="G990" s="1">
        <v>4100000272</v>
      </c>
      <c r="H990" s="1">
        <v>12</v>
      </c>
      <c r="I990" s="1" t="s">
        <v>498</v>
      </c>
      <c r="J990" t="s">
        <v>2222</v>
      </c>
    </row>
    <row r="991" spans="1:10">
      <c r="A991" s="1">
        <v>438663</v>
      </c>
      <c r="B991" s="1">
        <v>5000052642</v>
      </c>
      <c r="C991" s="1">
        <v>6</v>
      </c>
      <c r="D991" s="1" t="s">
        <v>910</v>
      </c>
      <c r="E991" t="s">
        <v>2187</v>
      </c>
      <c r="F991" s="1">
        <v>383877</v>
      </c>
      <c r="G991" s="1">
        <v>4100000286</v>
      </c>
      <c r="H991" s="1">
        <v>12</v>
      </c>
      <c r="I991" s="1" t="s">
        <v>386</v>
      </c>
      <c r="J991" t="s">
        <v>2223</v>
      </c>
    </row>
    <row r="992" spans="1:10">
      <c r="A992" s="1">
        <v>477521</v>
      </c>
      <c r="B992" s="1">
        <v>4127102590</v>
      </c>
      <c r="C992" s="1">
        <v>6</v>
      </c>
      <c r="D992" s="1" t="s">
        <v>1220</v>
      </c>
      <c r="E992" t="s">
        <v>2188</v>
      </c>
      <c r="F992" s="1">
        <v>149575</v>
      </c>
      <c r="G992" s="1">
        <v>4100000245</v>
      </c>
      <c r="H992" s="1">
        <v>6</v>
      </c>
      <c r="I992" s="1" t="s">
        <v>108</v>
      </c>
      <c r="J992" t="s">
        <v>2224</v>
      </c>
    </row>
    <row r="993" spans="1:10">
      <c r="A993" s="1">
        <v>347245</v>
      </c>
      <c r="B993" s="1">
        <v>4127102591</v>
      </c>
      <c r="C993" s="1">
        <v>6</v>
      </c>
      <c r="D993" s="1" t="s">
        <v>1220</v>
      </c>
      <c r="E993" t="s">
        <v>2189</v>
      </c>
      <c r="F993" s="1">
        <v>149112</v>
      </c>
      <c r="G993" s="1">
        <v>4100000285</v>
      </c>
      <c r="H993" s="1">
        <v>24</v>
      </c>
      <c r="I993" s="1" t="s">
        <v>15</v>
      </c>
      <c r="J993" t="s">
        <v>2225</v>
      </c>
    </row>
    <row r="994" spans="1:10">
      <c r="A994" s="1">
        <v>422626</v>
      </c>
      <c r="B994" s="1">
        <v>3450063156</v>
      </c>
      <c r="C994" s="1">
        <v>6</v>
      </c>
      <c r="D994" s="1" t="s">
        <v>1220</v>
      </c>
      <c r="E994" t="s">
        <v>2190</v>
      </c>
      <c r="F994" s="1">
        <v>309997</v>
      </c>
      <c r="G994" s="1">
        <v>4790032324</v>
      </c>
      <c r="H994" s="1">
        <v>12</v>
      </c>
      <c r="I994" s="1" t="s">
        <v>1220</v>
      </c>
      <c r="J994" t="s">
        <v>2226</v>
      </c>
    </row>
    <row r="995" spans="1:10">
      <c r="A995" s="1">
        <v>111310</v>
      </c>
      <c r="B995" s="1">
        <v>1116611131</v>
      </c>
      <c r="C995" s="1">
        <v>12</v>
      </c>
      <c r="D995" s="1" t="s">
        <v>399</v>
      </c>
      <c r="E995" t="s">
        <v>2191</v>
      </c>
      <c r="F995" s="1">
        <v>149930</v>
      </c>
      <c r="G995" s="1">
        <v>4790031319</v>
      </c>
      <c r="H995" s="1">
        <v>12</v>
      </c>
      <c r="I995" s="1" t="s">
        <v>1220</v>
      </c>
      <c r="J995" t="s">
        <v>2227</v>
      </c>
    </row>
    <row r="996" spans="1:10">
      <c r="A996" s="1">
        <v>111294</v>
      </c>
      <c r="B996" s="1">
        <v>1116611129</v>
      </c>
      <c r="C996" s="1">
        <v>12</v>
      </c>
      <c r="D996" s="1" t="s">
        <v>399</v>
      </c>
      <c r="E996" t="s">
        <v>2192</v>
      </c>
      <c r="F996" s="1">
        <v>149732</v>
      </c>
      <c r="G996" s="1">
        <v>4790030329</v>
      </c>
      <c r="H996" s="1">
        <v>12</v>
      </c>
      <c r="I996" s="1" t="s">
        <v>1208</v>
      </c>
      <c r="J996" t="s">
        <v>2228</v>
      </c>
    </row>
    <row r="997" spans="1:10">
      <c r="A997" s="1">
        <v>333617</v>
      </c>
      <c r="B997" s="1">
        <v>1116601437</v>
      </c>
      <c r="C997" s="1">
        <v>12</v>
      </c>
      <c r="D997" s="1" t="s">
        <v>910</v>
      </c>
      <c r="E997" t="s">
        <v>2193</v>
      </c>
      <c r="F997" s="1">
        <v>149898</v>
      </c>
      <c r="G997" s="1">
        <v>4790030319</v>
      </c>
      <c r="H997" s="1">
        <v>12</v>
      </c>
      <c r="I997" s="1" t="s">
        <v>1220</v>
      </c>
      <c r="J997" t="s">
        <v>2229</v>
      </c>
    </row>
    <row r="998" spans="1:10">
      <c r="A998" s="1">
        <v>886986</v>
      </c>
      <c r="B998" s="1">
        <v>1116601439</v>
      </c>
      <c r="C998" s="1">
        <v>12</v>
      </c>
      <c r="D998" s="1" t="s">
        <v>910</v>
      </c>
      <c r="E998" t="s">
        <v>2194</v>
      </c>
      <c r="F998" s="1">
        <v>149567</v>
      </c>
      <c r="G998" s="1">
        <v>4790031331</v>
      </c>
      <c r="H998" s="1">
        <v>12</v>
      </c>
      <c r="I998" s="1" t="s">
        <v>1208</v>
      </c>
      <c r="J998" t="s">
        <v>2230</v>
      </c>
    </row>
    <row r="999" spans="1:10">
      <c r="A999" s="1">
        <v>111336</v>
      </c>
      <c r="B999" s="1">
        <v>1116611133</v>
      </c>
      <c r="C999" s="1">
        <v>12</v>
      </c>
      <c r="D999" s="1" t="s">
        <v>399</v>
      </c>
      <c r="E999" t="s">
        <v>2194</v>
      </c>
      <c r="F999" s="1">
        <v>149542</v>
      </c>
      <c r="G999" s="1">
        <v>2070000319</v>
      </c>
      <c r="H999" s="1">
        <v>12</v>
      </c>
      <c r="I999" s="1" t="s">
        <v>399</v>
      </c>
      <c r="J999" t="s">
        <v>2231</v>
      </c>
    </row>
    <row r="1000" spans="1:10">
      <c r="A1000" s="1">
        <v>111328</v>
      </c>
      <c r="B1000" s="1">
        <v>1116611132</v>
      </c>
      <c r="C1000" s="1">
        <v>12</v>
      </c>
      <c r="D1000" s="1" t="s">
        <v>399</v>
      </c>
      <c r="E1000" t="s">
        <v>2195</v>
      </c>
      <c r="F1000" s="1">
        <v>148759</v>
      </c>
      <c r="G1000" s="1">
        <v>1116614875</v>
      </c>
      <c r="H1000" s="1">
        <v>12</v>
      </c>
      <c r="I1000" s="1" t="s">
        <v>1208</v>
      </c>
      <c r="J1000" t="s">
        <v>2232</v>
      </c>
    </row>
    <row r="1001" spans="1:10">
      <c r="A1001" s="1">
        <v>111427</v>
      </c>
      <c r="B1001" s="1">
        <v>1116611142</v>
      </c>
      <c r="C1001" s="1">
        <v>12</v>
      </c>
      <c r="D1001" s="1" t="s">
        <v>381</v>
      </c>
      <c r="E1001" t="s">
        <v>2196</v>
      </c>
      <c r="F1001" s="1">
        <v>148411</v>
      </c>
      <c r="G1001" s="1">
        <v>1116614871</v>
      </c>
      <c r="H1001" s="1">
        <v>12</v>
      </c>
      <c r="I1001" s="1" t="s">
        <v>1220</v>
      </c>
      <c r="J1001" t="s">
        <v>2233</v>
      </c>
    </row>
    <row r="1002" spans="1:10">
      <c r="A1002" s="1">
        <v>111278</v>
      </c>
      <c r="B1002" s="1">
        <v>1116611127</v>
      </c>
      <c r="C1002" s="1">
        <v>12</v>
      </c>
      <c r="D1002" s="1" t="s">
        <v>2168</v>
      </c>
      <c r="E1002" t="s">
        <v>2197</v>
      </c>
      <c r="F1002" s="1">
        <v>148783</v>
      </c>
      <c r="G1002" s="1">
        <v>1116614878</v>
      </c>
      <c r="H1002" s="1">
        <v>12</v>
      </c>
      <c r="I1002" s="1" t="s">
        <v>11</v>
      </c>
      <c r="J1002" t="s">
        <v>2234</v>
      </c>
    </row>
    <row r="1003" spans="1:10">
      <c r="A1003" s="1">
        <v>111005</v>
      </c>
      <c r="B1003" s="1">
        <v>1116611100</v>
      </c>
      <c r="C1003" s="1">
        <v>12</v>
      </c>
      <c r="D1003" s="1" t="s">
        <v>381</v>
      </c>
      <c r="E1003" t="s">
        <v>2198</v>
      </c>
      <c r="F1003" s="1">
        <v>668715</v>
      </c>
      <c r="G1003" s="1">
        <v>1116601265</v>
      </c>
      <c r="H1003" s="1">
        <v>12</v>
      </c>
      <c r="I1003" s="1" t="s">
        <v>1208</v>
      </c>
      <c r="J1003" t="s">
        <v>2235</v>
      </c>
    </row>
    <row r="1004" spans="1:10">
      <c r="A1004" s="1">
        <v>111211</v>
      </c>
      <c r="B1004" s="1">
        <v>1116611121</v>
      </c>
      <c r="C1004" s="1">
        <v>12</v>
      </c>
      <c r="D1004" s="1" t="s">
        <v>363</v>
      </c>
      <c r="E1004" t="s">
        <v>2199</v>
      </c>
      <c r="F1004" s="1">
        <v>149559</v>
      </c>
      <c r="G1004" s="1">
        <v>4113030372</v>
      </c>
      <c r="H1004" s="1">
        <v>12</v>
      </c>
      <c r="I1004" s="1" t="s">
        <v>11</v>
      </c>
      <c r="J1004" t="s">
        <v>2236</v>
      </c>
    </row>
    <row r="1005" spans="1:10">
      <c r="A1005" s="1">
        <v>111229</v>
      </c>
      <c r="B1005" s="1">
        <v>1116611122</v>
      </c>
      <c r="C1005" s="1">
        <v>12</v>
      </c>
      <c r="D1005" s="1" t="s">
        <v>381</v>
      </c>
      <c r="E1005" t="s">
        <v>2199</v>
      </c>
      <c r="F1005" s="1">
        <v>146761</v>
      </c>
      <c r="G1005" s="1">
        <v>79452220078</v>
      </c>
      <c r="H1005" s="1">
        <v>6</v>
      </c>
      <c r="I1005" s="1" t="s">
        <v>13</v>
      </c>
      <c r="J1005" t="s">
        <v>2237</v>
      </c>
    </row>
    <row r="1006" spans="1:10">
      <c r="A1006" s="1">
        <v>111237</v>
      </c>
      <c r="B1006" s="1">
        <v>1116611123</v>
      </c>
      <c r="C1006" s="1">
        <v>12</v>
      </c>
      <c r="D1006" s="1" t="s">
        <v>1198</v>
      </c>
      <c r="E1006" t="s">
        <v>2199</v>
      </c>
      <c r="F1006" s="1">
        <v>155788</v>
      </c>
      <c r="G1006" s="1">
        <v>79452220065</v>
      </c>
      <c r="H1006" s="1">
        <v>6</v>
      </c>
      <c r="I1006" s="1" t="s">
        <v>108</v>
      </c>
      <c r="J1006" t="s">
        <v>2238</v>
      </c>
    </row>
    <row r="1007" spans="1:10">
      <c r="A1007" s="1">
        <v>111203</v>
      </c>
      <c r="B1007" s="1">
        <v>1116611120</v>
      </c>
      <c r="C1007" s="1">
        <v>12</v>
      </c>
      <c r="D1007" s="1" t="s">
        <v>404</v>
      </c>
      <c r="E1007" t="s">
        <v>2199</v>
      </c>
      <c r="F1007" s="1">
        <v>713792</v>
      </c>
      <c r="G1007" s="1">
        <v>1115605180</v>
      </c>
      <c r="H1007" s="1">
        <v>6</v>
      </c>
      <c r="I1007" s="1" t="s">
        <v>786</v>
      </c>
      <c r="J1007" t="s">
        <v>2239</v>
      </c>
    </row>
    <row r="1008" spans="1:10">
      <c r="A1008" s="1">
        <v>17913</v>
      </c>
      <c r="B1008" s="1">
        <v>4113030429</v>
      </c>
      <c r="C1008" s="1">
        <v>12</v>
      </c>
      <c r="D1008" s="1" t="s">
        <v>2168</v>
      </c>
      <c r="E1008" t="s">
        <v>2200</v>
      </c>
      <c r="F1008" s="1">
        <v>713800</v>
      </c>
      <c r="G1008" s="1">
        <v>1115605178</v>
      </c>
      <c r="H1008" s="1">
        <v>6</v>
      </c>
      <c r="I1008" s="1" t="s">
        <v>786</v>
      </c>
      <c r="J1008" t="s">
        <v>2240</v>
      </c>
    </row>
    <row r="1009" spans="1:10">
      <c r="A1009" s="1">
        <v>480210</v>
      </c>
      <c r="B1009" s="1">
        <v>72277624301</v>
      </c>
      <c r="C1009" s="1">
        <v>6</v>
      </c>
      <c r="D1009" s="1" t="s">
        <v>99</v>
      </c>
      <c r="E1009" t="s">
        <v>2201</v>
      </c>
      <c r="F1009" s="1">
        <v>150102</v>
      </c>
      <c r="G1009" s="1">
        <v>1115605140</v>
      </c>
      <c r="H1009" s="1">
        <v>12</v>
      </c>
      <c r="I1009" s="1" t="s">
        <v>2211</v>
      </c>
      <c r="J1009" t="s">
        <v>2241</v>
      </c>
    </row>
    <row r="1010" spans="1:10">
      <c r="A1010" s="1">
        <v>285627</v>
      </c>
      <c r="B1010" s="1">
        <v>72277624302</v>
      </c>
      <c r="C1010" s="1">
        <v>6</v>
      </c>
      <c r="D1010" s="1" t="s">
        <v>99</v>
      </c>
      <c r="E1010" t="s">
        <v>2202</v>
      </c>
      <c r="F1010" s="1">
        <v>37366</v>
      </c>
      <c r="G1010" s="1">
        <v>1115605108</v>
      </c>
      <c r="H1010" s="1">
        <v>12</v>
      </c>
      <c r="I1010" s="1" t="s">
        <v>399</v>
      </c>
      <c r="J1010" t="s">
        <v>2242</v>
      </c>
    </row>
    <row r="1011" spans="1:10" ht="15.75">
      <c r="A1011" s="4" t="s">
        <v>10698</v>
      </c>
      <c r="B1011" s="2"/>
      <c r="C1011" s="2"/>
      <c r="D1011" s="2"/>
      <c r="E1011" s="3"/>
      <c r="F1011" s="1">
        <v>713784</v>
      </c>
      <c r="G1011" s="1">
        <v>1115605450</v>
      </c>
      <c r="H1011" s="1">
        <v>12</v>
      </c>
      <c r="I1011" s="1" t="s">
        <v>1207</v>
      </c>
      <c r="J1011" t="s">
        <v>2243</v>
      </c>
    </row>
    <row r="1012" spans="1:10" ht="15.75">
      <c r="A1012" s="2" t="s">
        <v>0</v>
      </c>
      <c r="B1012" s="2" t="s">
        <v>1</v>
      </c>
      <c r="C1012" s="2" t="s">
        <v>2</v>
      </c>
      <c r="D1012" s="2" t="s">
        <v>3</v>
      </c>
      <c r="E1012" s="3" t="s">
        <v>4</v>
      </c>
      <c r="F1012" s="4" t="s">
        <v>10699</v>
      </c>
      <c r="G1012" s="2"/>
      <c r="H1012" s="2"/>
      <c r="I1012" s="2"/>
      <c r="J1012" s="3"/>
    </row>
    <row r="1013" spans="1:10">
      <c r="A1013" s="1">
        <v>175489</v>
      </c>
      <c r="B1013" s="1">
        <v>74239210016</v>
      </c>
      <c r="C1013" s="1">
        <v>12</v>
      </c>
      <c r="D1013" s="1" t="s">
        <v>11</v>
      </c>
      <c r="E1013" t="s">
        <v>2203</v>
      </c>
      <c r="F1013" s="2" t="s">
        <v>0</v>
      </c>
      <c r="G1013" s="2" t="s">
        <v>1</v>
      </c>
      <c r="H1013" s="2" t="s">
        <v>2</v>
      </c>
      <c r="I1013" s="2" t="s">
        <v>3</v>
      </c>
      <c r="J1013" s="3" t="s">
        <v>4</v>
      </c>
    </row>
    <row r="1014" spans="1:10">
      <c r="A1014" s="1">
        <v>149054</v>
      </c>
      <c r="B1014" s="1">
        <v>8464380681</v>
      </c>
      <c r="C1014" s="1">
        <v>12</v>
      </c>
      <c r="D1014" s="1" t="s">
        <v>1219</v>
      </c>
      <c r="E1014" t="s">
        <v>2204</v>
      </c>
      <c r="F1014" s="1">
        <v>447078</v>
      </c>
      <c r="G1014" s="1">
        <v>4138752458</v>
      </c>
      <c r="H1014" s="1">
        <v>6</v>
      </c>
      <c r="I1014" s="1" t="s">
        <v>2244</v>
      </c>
      <c r="J1014" t="s">
        <v>2245</v>
      </c>
    </row>
    <row r="1015" spans="1:10">
      <c r="A1015" s="1">
        <v>148882</v>
      </c>
      <c r="B1015" s="1">
        <v>8464380680</v>
      </c>
      <c r="C1015" s="1">
        <v>12</v>
      </c>
      <c r="D1015" s="1" t="s">
        <v>1219</v>
      </c>
      <c r="E1015" t="s">
        <v>2205</v>
      </c>
      <c r="F1015" s="1">
        <v>151712</v>
      </c>
      <c r="G1015" s="1">
        <v>4138761358</v>
      </c>
      <c r="H1015" s="1">
        <v>6</v>
      </c>
      <c r="I1015" s="1" t="s">
        <v>2246</v>
      </c>
      <c r="J1015" t="s">
        <v>2247</v>
      </c>
    </row>
    <row r="1016" spans="1:10">
      <c r="A1016" s="1">
        <v>149955</v>
      </c>
      <c r="B1016" s="1">
        <v>4100000287</v>
      </c>
      <c r="C1016" s="1">
        <v>12</v>
      </c>
      <c r="D1016" s="1" t="s">
        <v>399</v>
      </c>
      <c r="E1016" t="s">
        <v>2206</v>
      </c>
      <c r="F1016" s="1">
        <v>78659</v>
      </c>
      <c r="G1016" s="1">
        <v>4138722730</v>
      </c>
      <c r="H1016" s="1">
        <v>8</v>
      </c>
      <c r="I1016" s="1" t="s">
        <v>2248</v>
      </c>
      <c r="J1016" t="s">
        <v>2249</v>
      </c>
    </row>
    <row r="1017" spans="1:10">
      <c r="A1017" s="1">
        <v>148296</v>
      </c>
      <c r="B1017" s="1">
        <v>4100000209</v>
      </c>
      <c r="C1017" s="1">
        <v>6</v>
      </c>
      <c r="D1017" s="1" t="s">
        <v>17</v>
      </c>
      <c r="E1017" t="s">
        <v>2207</v>
      </c>
      <c r="F1017" s="1">
        <v>78626</v>
      </c>
      <c r="G1017" s="1">
        <v>4138722130</v>
      </c>
      <c r="H1017" s="1">
        <v>6</v>
      </c>
      <c r="I1017" s="1" t="s">
        <v>2250</v>
      </c>
      <c r="J1017" t="s">
        <v>2251</v>
      </c>
    </row>
    <row r="1018" spans="1:10">
      <c r="A1018" s="1">
        <v>148155</v>
      </c>
      <c r="B1018" s="1">
        <v>4100000208</v>
      </c>
      <c r="C1018" s="1">
        <v>6</v>
      </c>
      <c r="D1018" s="1" t="s">
        <v>17</v>
      </c>
      <c r="E1018" t="s">
        <v>2208</v>
      </c>
      <c r="F1018" s="1">
        <v>78642</v>
      </c>
      <c r="G1018" s="1">
        <v>4138722110</v>
      </c>
      <c r="H1018" s="1">
        <v>6</v>
      </c>
      <c r="I1018" s="1" t="s">
        <v>2250</v>
      </c>
      <c r="J1018" t="s">
        <v>2252</v>
      </c>
    </row>
    <row r="1019" spans="1:10">
      <c r="A1019" s="1">
        <v>228262</v>
      </c>
      <c r="B1019" s="1">
        <v>4100009003</v>
      </c>
      <c r="C1019" s="1">
        <v>12</v>
      </c>
      <c r="D1019" s="1" t="s">
        <v>498</v>
      </c>
      <c r="E1019" t="s">
        <v>2209</v>
      </c>
      <c r="F1019" s="1">
        <v>151738</v>
      </c>
      <c r="G1019" s="1">
        <v>4138762255</v>
      </c>
      <c r="H1019" s="1">
        <v>12</v>
      </c>
      <c r="I1019" s="1" t="s">
        <v>2253</v>
      </c>
      <c r="J1019" t="s">
        <v>2254</v>
      </c>
    </row>
    <row r="1020" spans="1:10">
      <c r="A1020" s="1">
        <v>211045</v>
      </c>
      <c r="B1020" s="1">
        <v>4100000843</v>
      </c>
      <c r="C1020" s="1">
        <v>6</v>
      </c>
      <c r="D1020" s="1" t="s">
        <v>31</v>
      </c>
      <c r="E1020" t="s">
        <v>2210</v>
      </c>
      <c r="F1020" s="1">
        <v>151761</v>
      </c>
      <c r="G1020" s="1">
        <v>4100000877</v>
      </c>
      <c r="H1020" s="1">
        <v>12</v>
      </c>
      <c r="I1020" s="1" t="s">
        <v>404</v>
      </c>
      <c r="J1020" t="s">
        <v>2255</v>
      </c>
    </row>
    <row r="1021" spans="1:10">
      <c r="A1021" s="1">
        <v>149310</v>
      </c>
      <c r="B1021" s="1">
        <v>4100000271</v>
      </c>
      <c r="C1021" s="1">
        <v>12</v>
      </c>
      <c r="D1021" s="1" t="s">
        <v>2211</v>
      </c>
      <c r="E1021" t="s">
        <v>2212</v>
      </c>
      <c r="F1021" s="1">
        <v>575548</v>
      </c>
      <c r="G1021" s="1">
        <v>61300871781</v>
      </c>
      <c r="H1021" s="1">
        <v>4</v>
      </c>
      <c r="I1021" s="1" t="s">
        <v>1188</v>
      </c>
      <c r="J1021" t="s">
        <v>2256</v>
      </c>
    </row>
    <row r="1022" spans="1:10">
      <c r="A1022" s="1">
        <v>377929</v>
      </c>
      <c r="B1022" s="1">
        <v>4100020438</v>
      </c>
      <c r="C1022" s="1">
        <v>6</v>
      </c>
      <c r="D1022" s="1" t="s">
        <v>1227</v>
      </c>
      <c r="E1022" t="s">
        <v>2213</v>
      </c>
      <c r="F1022" s="1">
        <v>297432</v>
      </c>
      <c r="G1022" s="1">
        <v>61300871019</v>
      </c>
      <c r="H1022" s="1">
        <v>4</v>
      </c>
      <c r="I1022" s="1" t="s">
        <v>1188</v>
      </c>
      <c r="J1022" t="s">
        <v>2257</v>
      </c>
    </row>
    <row r="1023" spans="1:10">
      <c r="A1023" s="1">
        <v>149880</v>
      </c>
      <c r="B1023" s="1">
        <v>4100000273</v>
      </c>
      <c r="C1023" s="1">
        <v>12</v>
      </c>
      <c r="D1023" s="1" t="s">
        <v>2214</v>
      </c>
      <c r="E1023" t="s">
        <v>2215</v>
      </c>
      <c r="F1023" s="1">
        <v>575597</v>
      </c>
      <c r="G1023" s="1">
        <v>61300871512</v>
      </c>
      <c r="H1023" s="1">
        <v>4</v>
      </c>
      <c r="I1023" s="1" t="s">
        <v>2258</v>
      </c>
      <c r="J1023" t="s">
        <v>2259</v>
      </c>
    </row>
    <row r="1024" spans="1:10">
      <c r="A1024" s="1">
        <v>149138</v>
      </c>
      <c r="B1024" s="1">
        <v>4100000813</v>
      </c>
      <c r="C1024" s="1">
        <v>6</v>
      </c>
      <c r="D1024" s="1" t="s">
        <v>99</v>
      </c>
      <c r="E1024" t="s">
        <v>2216</v>
      </c>
      <c r="F1024" s="1">
        <v>575480</v>
      </c>
      <c r="G1024" s="1">
        <v>7336070989</v>
      </c>
      <c r="H1024" s="1">
        <v>4</v>
      </c>
      <c r="I1024" s="1" t="s">
        <v>2258</v>
      </c>
      <c r="J1024" t="s">
        <v>2260</v>
      </c>
    </row>
    <row r="1025" spans="1:10">
      <c r="A1025" s="1">
        <v>148791</v>
      </c>
      <c r="B1025" s="1">
        <v>4100000847</v>
      </c>
      <c r="C1025" s="1">
        <v>6</v>
      </c>
      <c r="D1025" s="1" t="s">
        <v>128</v>
      </c>
      <c r="E1025" t="s">
        <v>2217</v>
      </c>
      <c r="F1025" s="1">
        <v>575498</v>
      </c>
      <c r="G1025" s="1">
        <v>61300871979</v>
      </c>
      <c r="H1025" s="1">
        <v>4</v>
      </c>
      <c r="I1025" s="1" t="s">
        <v>1188</v>
      </c>
      <c r="J1025" t="s">
        <v>2261</v>
      </c>
    </row>
    <row r="1026" spans="1:10" ht="15.75">
      <c r="A1026" s="4" t="s">
        <v>10699</v>
      </c>
      <c r="B1026" s="2"/>
      <c r="C1026" s="2"/>
      <c r="D1026" s="2"/>
      <c r="E1026" s="3"/>
      <c r="F1026" s="4" t="s">
        <v>10700</v>
      </c>
      <c r="G1026" s="2"/>
      <c r="H1026" s="2"/>
      <c r="I1026" s="2"/>
      <c r="J1026" s="3"/>
    </row>
    <row r="1027" spans="1:10">
      <c r="A1027" s="2" t="s">
        <v>0</v>
      </c>
      <c r="B1027" s="2" t="s">
        <v>1</v>
      </c>
      <c r="C1027" s="2" t="s">
        <v>2</v>
      </c>
      <c r="D1027" s="2" t="s">
        <v>3</v>
      </c>
      <c r="E1027" s="3" t="s">
        <v>4</v>
      </c>
      <c r="F1027" s="2" t="s">
        <v>0</v>
      </c>
      <c r="G1027" s="2" t="s">
        <v>1</v>
      </c>
      <c r="H1027" s="2" t="s">
        <v>2</v>
      </c>
      <c r="I1027" s="2" t="s">
        <v>3</v>
      </c>
      <c r="J1027" s="3" t="s">
        <v>4</v>
      </c>
    </row>
    <row r="1028" spans="1:10">
      <c r="A1028" s="1">
        <v>528224</v>
      </c>
      <c r="B1028" s="1">
        <v>4138722442</v>
      </c>
      <c r="C1028" s="1">
        <v>6</v>
      </c>
      <c r="D1028" s="1" t="s">
        <v>347</v>
      </c>
      <c r="E1028" t="s">
        <v>2262</v>
      </c>
      <c r="F1028" s="1">
        <v>110239</v>
      </c>
      <c r="G1028" s="1">
        <v>5000001011</v>
      </c>
      <c r="H1028" s="1">
        <v>24</v>
      </c>
      <c r="I1028" s="1" t="s">
        <v>2303</v>
      </c>
      <c r="J1028" t="s">
        <v>2310</v>
      </c>
    </row>
    <row r="1029" spans="1:10">
      <c r="A1029" s="1">
        <v>76026</v>
      </c>
      <c r="B1029" s="1">
        <v>4138791106</v>
      </c>
      <c r="C1029" s="1">
        <v>6</v>
      </c>
      <c r="D1029" s="1" t="s">
        <v>2244</v>
      </c>
      <c r="E1029" t="s">
        <v>2263</v>
      </c>
      <c r="F1029" s="1">
        <v>110429</v>
      </c>
      <c r="G1029" s="1">
        <v>5000001051</v>
      </c>
      <c r="H1029" s="1">
        <v>48</v>
      </c>
      <c r="I1029" s="1" t="s">
        <v>2308</v>
      </c>
      <c r="J1029" t="s">
        <v>2310</v>
      </c>
    </row>
    <row r="1030" spans="1:10">
      <c r="A1030" s="1">
        <v>396978</v>
      </c>
      <c r="B1030" s="1">
        <v>4138722150</v>
      </c>
      <c r="C1030" s="1">
        <v>6</v>
      </c>
      <c r="D1030" s="1" t="s">
        <v>2250</v>
      </c>
      <c r="E1030" t="s">
        <v>2264</v>
      </c>
      <c r="F1030" s="1">
        <v>110593</v>
      </c>
      <c r="G1030" s="1">
        <v>5000011081</v>
      </c>
      <c r="H1030" s="1">
        <v>24</v>
      </c>
      <c r="I1030" s="1" t="s">
        <v>2311</v>
      </c>
      <c r="J1030" t="s">
        <v>2312</v>
      </c>
    </row>
    <row r="1031" spans="1:10">
      <c r="A1031" s="1">
        <v>673772</v>
      </c>
      <c r="B1031" s="1">
        <v>4138722750</v>
      </c>
      <c r="C1031" s="1">
        <v>8</v>
      </c>
      <c r="D1031" s="1" t="s">
        <v>2265</v>
      </c>
      <c r="E1031" t="s">
        <v>2266</v>
      </c>
      <c r="F1031" s="1">
        <v>110544</v>
      </c>
      <c r="G1031" s="1">
        <v>65272910313</v>
      </c>
      <c r="H1031" s="1">
        <v>24</v>
      </c>
      <c r="I1031" s="1" t="s">
        <v>259</v>
      </c>
      <c r="J1031" t="s">
        <v>2313</v>
      </c>
    </row>
    <row r="1032" spans="1:10">
      <c r="A1032" s="1">
        <v>460212</v>
      </c>
      <c r="B1032" s="1">
        <v>4138782667</v>
      </c>
      <c r="C1032" s="1">
        <v>6</v>
      </c>
      <c r="D1032" s="1" t="s">
        <v>2244</v>
      </c>
      <c r="E1032" t="s">
        <v>2267</v>
      </c>
      <c r="F1032" s="1">
        <v>110551</v>
      </c>
      <c r="G1032" s="1">
        <v>65272910113</v>
      </c>
      <c r="H1032" s="1">
        <v>24</v>
      </c>
      <c r="I1032" s="1" t="s">
        <v>259</v>
      </c>
      <c r="J1032" t="s">
        <v>2314</v>
      </c>
    </row>
    <row r="1033" spans="1:10">
      <c r="A1033" s="1">
        <v>496372</v>
      </c>
      <c r="B1033" s="1">
        <v>4100020855</v>
      </c>
      <c r="C1033" s="1">
        <v>6</v>
      </c>
      <c r="D1033" s="1" t="s">
        <v>1355</v>
      </c>
      <c r="E1033" t="s">
        <v>2268</v>
      </c>
      <c r="F1033" s="1">
        <v>110585</v>
      </c>
      <c r="G1033" s="1">
        <v>5150001181</v>
      </c>
      <c r="H1033" s="1">
        <v>24</v>
      </c>
      <c r="I1033" s="1" t="s">
        <v>2303</v>
      </c>
      <c r="J1033" t="s">
        <v>2315</v>
      </c>
    </row>
    <row r="1034" spans="1:10">
      <c r="A1034" s="1">
        <v>151951</v>
      </c>
      <c r="B1034" s="1">
        <v>4100011975</v>
      </c>
      <c r="C1034" s="1">
        <v>6</v>
      </c>
      <c r="D1034" s="1" t="s">
        <v>2269</v>
      </c>
      <c r="E1034" t="s">
        <v>2270</v>
      </c>
      <c r="F1034" s="1">
        <v>110460</v>
      </c>
      <c r="G1034" s="1">
        <v>5150001111</v>
      </c>
      <c r="H1034" s="1">
        <v>48</v>
      </c>
      <c r="I1034" s="1" t="s">
        <v>2308</v>
      </c>
      <c r="J1034" t="s">
        <v>2316</v>
      </c>
    </row>
    <row r="1035" spans="1:10">
      <c r="A1035" s="1">
        <v>686410</v>
      </c>
      <c r="B1035" s="1">
        <v>4100000845</v>
      </c>
      <c r="C1035" s="1">
        <v>6</v>
      </c>
      <c r="D1035" s="1" t="s">
        <v>2271</v>
      </c>
      <c r="E1035" t="s">
        <v>2272</v>
      </c>
      <c r="F1035" s="1">
        <v>110288</v>
      </c>
      <c r="G1035" s="1">
        <v>5150001124</v>
      </c>
      <c r="H1035" s="1">
        <v>24</v>
      </c>
      <c r="I1035" s="1" t="s">
        <v>2303</v>
      </c>
      <c r="J1035" t="s">
        <v>2317</v>
      </c>
    </row>
    <row r="1036" spans="1:10">
      <c r="A1036" s="1">
        <v>279323</v>
      </c>
      <c r="B1036" s="1">
        <v>4100000892</v>
      </c>
      <c r="C1036" s="1">
        <v>6</v>
      </c>
      <c r="D1036" s="1" t="s">
        <v>2271</v>
      </c>
      <c r="E1036" t="s">
        <v>2273</v>
      </c>
      <c r="F1036" s="1">
        <v>111641</v>
      </c>
      <c r="G1036" s="1">
        <v>1116611020</v>
      </c>
      <c r="H1036" s="1">
        <v>24</v>
      </c>
      <c r="I1036" s="1" t="s">
        <v>2303</v>
      </c>
      <c r="J1036" t="s">
        <v>2318</v>
      </c>
    </row>
    <row r="1037" spans="1:10">
      <c r="A1037" s="1">
        <v>481481</v>
      </c>
      <c r="B1037" s="1">
        <v>4100023253</v>
      </c>
      <c r="C1037" s="1">
        <v>12</v>
      </c>
      <c r="D1037" s="1" t="s">
        <v>2274</v>
      </c>
      <c r="E1037" t="s">
        <v>2275</v>
      </c>
      <c r="F1037" s="1">
        <v>110387</v>
      </c>
      <c r="G1037" s="1">
        <v>1116611038</v>
      </c>
      <c r="H1037" s="1">
        <v>48</v>
      </c>
      <c r="I1037" s="1" t="s">
        <v>2308</v>
      </c>
      <c r="J1037" t="s">
        <v>2318</v>
      </c>
    </row>
    <row r="1038" spans="1:10">
      <c r="A1038" s="1">
        <v>103952</v>
      </c>
      <c r="B1038" s="1">
        <v>4100023252</v>
      </c>
      <c r="C1038" s="1">
        <v>12</v>
      </c>
      <c r="D1038" s="1" t="s">
        <v>2276</v>
      </c>
      <c r="E1038" t="s">
        <v>2277</v>
      </c>
      <c r="F1038" s="1">
        <v>110478</v>
      </c>
      <c r="G1038" s="1">
        <v>1116611047</v>
      </c>
      <c r="H1038" s="1">
        <v>24</v>
      </c>
      <c r="I1038" s="1" t="s">
        <v>2319</v>
      </c>
      <c r="J1038" t="s">
        <v>2320</v>
      </c>
    </row>
    <row r="1039" spans="1:10">
      <c r="A1039" s="1">
        <v>750042</v>
      </c>
      <c r="B1039" s="1">
        <v>4100022656</v>
      </c>
      <c r="C1039" s="1">
        <v>12</v>
      </c>
      <c r="D1039" s="1" t="s">
        <v>2276</v>
      </c>
      <c r="E1039" t="s">
        <v>2278</v>
      </c>
      <c r="F1039" s="1">
        <v>110452</v>
      </c>
      <c r="G1039" s="1">
        <v>1116611045</v>
      </c>
      <c r="H1039" s="1">
        <v>6</v>
      </c>
      <c r="I1039" s="1" t="s">
        <v>2321</v>
      </c>
      <c r="J1039" t="s">
        <v>2322</v>
      </c>
    </row>
    <row r="1040" spans="1:10">
      <c r="A1040" s="1">
        <v>713818</v>
      </c>
      <c r="B1040" s="1">
        <v>4100021158</v>
      </c>
      <c r="C1040" s="1">
        <v>12</v>
      </c>
      <c r="D1040" s="1" t="s">
        <v>2276</v>
      </c>
      <c r="E1040" t="s">
        <v>2279</v>
      </c>
      <c r="F1040" s="1">
        <v>111765</v>
      </c>
      <c r="G1040" s="1">
        <v>1116611176</v>
      </c>
      <c r="H1040" s="1">
        <v>24</v>
      </c>
      <c r="I1040" s="1" t="s">
        <v>2311</v>
      </c>
      <c r="J1040" t="s">
        <v>2323</v>
      </c>
    </row>
    <row r="1041" spans="1:10">
      <c r="A1041" s="1">
        <v>471938</v>
      </c>
      <c r="B1041" s="1">
        <v>4100023254</v>
      </c>
      <c r="C1041" s="1">
        <v>12</v>
      </c>
      <c r="D1041" s="1" t="s">
        <v>2280</v>
      </c>
      <c r="E1041" t="s">
        <v>2281</v>
      </c>
      <c r="F1041" s="1">
        <v>96198</v>
      </c>
      <c r="G1041" s="1">
        <v>4113030241</v>
      </c>
      <c r="H1041" s="1">
        <v>24</v>
      </c>
      <c r="I1041" s="1" t="s">
        <v>2303</v>
      </c>
      <c r="J1041" t="s">
        <v>2324</v>
      </c>
    </row>
    <row r="1042" spans="1:10" ht="15.75">
      <c r="A1042" s="1">
        <v>19323</v>
      </c>
      <c r="B1042" s="1">
        <v>4100022660</v>
      </c>
      <c r="C1042" s="1">
        <v>12</v>
      </c>
      <c r="D1042" s="1" t="s">
        <v>2276</v>
      </c>
      <c r="E1042" t="s">
        <v>2282</v>
      </c>
      <c r="F1042" s="4" t="s">
        <v>10701</v>
      </c>
      <c r="G1042" s="2"/>
      <c r="H1042" s="2"/>
      <c r="I1042" s="2"/>
      <c r="J1042" s="3"/>
    </row>
    <row r="1043" spans="1:10">
      <c r="A1043" s="1">
        <v>205880</v>
      </c>
      <c r="B1043" s="1">
        <v>4100000890</v>
      </c>
      <c r="C1043" s="1">
        <v>6</v>
      </c>
      <c r="D1043" s="1" t="s">
        <v>14</v>
      </c>
      <c r="E1043" t="s">
        <v>2283</v>
      </c>
      <c r="F1043" s="2" t="s">
        <v>0</v>
      </c>
      <c r="G1043" s="2" t="s">
        <v>1</v>
      </c>
      <c r="H1043" s="2" t="s">
        <v>2</v>
      </c>
      <c r="I1043" s="2" t="s">
        <v>3</v>
      </c>
      <c r="J1043" s="3" t="s">
        <v>4</v>
      </c>
    </row>
    <row r="1044" spans="1:10">
      <c r="A1044" s="1">
        <v>151894</v>
      </c>
      <c r="B1044" s="1">
        <v>4100000864</v>
      </c>
      <c r="C1044" s="1">
        <v>6</v>
      </c>
      <c r="D1044" s="1" t="s">
        <v>2244</v>
      </c>
      <c r="E1044" t="s">
        <v>2284</v>
      </c>
      <c r="F1044" s="1">
        <v>492355</v>
      </c>
      <c r="G1044" s="1">
        <v>2800081320</v>
      </c>
      <c r="H1044" s="1">
        <v>6</v>
      </c>
      <c r="I1044" s="1" t="s">
        <v>381</v>
      </c>
      <c r="J1044" t="s">
        <v>2325</v>
      </c>
    </row>
    <row r="1045" spans="1:10">
      <c r="A1045" s="1">
        <v>151944</v>
      </c>
      <c r="B1045" s="1">
        <v>4100011976</v>
      </c>
      <c r="C1045" s="1">
        <v>6</v>
      </c>
      <c r="D1045" s="1" t="s">
        <v>2269</v>
      </c>
      <c r="E1045" t="s">
        <v>2285</v>
      </c>
      <c r="F1045" s="1">
        <v>464347</v>
      </c>
      <c r="G1045" s="1">
        <v>2800067990</v>
      </c>
      <c r="H1045" s="1">
        <v>12</v>
      </c>
      <c r="I1045" s="1" t="s">
        <v>2326</v>
      </c>
      <c r="J1045" t="s">
        <v>2327</v>
      </c>
    </row>
    <row r="1046" spans="1:10">
      <c r="A1046" s="1">
        <v>152009</v>
      </c>
      <c r="B1046" s="1">
        <v>4100041862</v>
      </c>
      <c r="C1046" s="1">
        <v>6</v>
      </c>
      <c r="D1046" s="1" t="s">
        <v>2246</v>
      </c>
      <c r="E1046" t="s">
        <v>2286</v>
      </c>
      <c r="F1046" s="1">
        <v>772673</v>
      </c>
      <c r="G1046" s="1">
        <v>2800068090</v>
      </c>
      <c r="H1046" s="1">
        <v>12</v>
      </c>
      <c r="I1046" s="1" t="s">
        <v>2328</v>
      </c>
      <c r="J1046" t="s">
        <v>2329</v>
      </c>
    </row>
    <row r="1047" spans="1:10">
      <c r="A1047" s="1">
        <v>112540</v>
      </c>
      <c r="B1047" s="1">
        <v>4100000837</v>
      </c>
      <c r="C1047" s="1">
        <v>12</v>
      </c>
      <c r="D1047" s="1" t="s">
        <v>2276</v>
      </c>
      <c r="E1047" t="s">
        <v>2287</v>
      </c>
      <c r="F1047" s="1">
        <v>318311</v>
      </c>
      <c r="G1047" s="1">
        <v>2800068040</v>
      </c>
      <c r="H1047" s="1">
        <v>12</v>
      </c>
      <c r="I1047" s="1" t="s">
        <v>2326</v>
      </c>
      <c r="J1047" t="s">
        <v>2330</v>
      </c>
    </row>
    <row r="1048" spans="1:10">
      <c r="A1048" s="1">
        <v>114520</v>
      </c>
      <c r="B1048" s="1">
        <v>4100000838</v>
      </c>
      <c r="C1048" s="1">
        <v>12</v>
      </c>
      <c r="D1048" s="1" t="s">
        <v>2288</v>
      </c>
      <c r="E1048" t="s">
        <v>2289</v>
      </c>
      <c r="F1048" s="1">
        <v>762377</v>
      </c>
      <c r="G1048" s="1">
        <v>2800068140</v>
      </c>
      <c r="H1048" s="1">
        <v>6</v>
      </c>
      <c r="I1048" s="1" t="s">
        <v>2328</v>
      </c>
      <c r="J1048" t="s">
        <v>2330</v>
      </c>
    </row>
    <row r="1049" spans="1:10">
      <c r="A1049" s="1">
        <v>112987</v>
      </c>
      <c r="B1049" s="1">
        <v>4100000839</v>
      </c>
      <c r="C1049" s="1">
        <v>12</v>
      </c>
      <c r="D1049" s="1" t="s">
        <v>2276</v>
      </c>
      <c r="E1049" t="s">
        <v>2290</v>
      </c>
      <c r="F1049" s="1">
        <v>111138</v>
      </c>
      <c r="G1049" s="1">
        <v>2800024460</v>
      </c>
      <c r="H1049" s="1">
        <v>12</v>
      </c>
      <c r="I1049" s="1" t="s">
        <v>1198</v>
      </c>
      <c r="J1049" t="s">
        <v>2331</v>
      </c>
    </row>
    <row r="1050" spans="1:10">
      <c r="A1050" s="1">
        <v>151936</v>
      </c>
      <c r="B1050" s="1">
        <v>2800033980</v>
      </c>
      <c r="C1050" s="1">
        <v>6</v>
      </c>
      <c r="D1050" s="1" t="s">
        <v>2291</v>
      </c>
      <c r="E1050" t="s">
        <v>2292</v>
      </c>
      <c r="F1050" s="1">
        <v>111179</v>
      </c>
      <c r="G1050" s="1">
        <v>5000012422</v>
      </c>
      <c r="H1050" s="1">
        <v>12</v>
      </c>
      <c r="I1050" s="1" t="s">
        <v>2332</v>
      </c>
      <c r="J1050" t="s">
        <v>2333</v>
      </c>
    </row>
    <row r="1051" spans="1:10">
      <c r="A1051" s="1">
        <v>788315</v>
      </c>
      <c r="B1051" s="1">
        <v>4113020978</v>
      </c>
      <c r="C1051" s="1">
        <v>4</v>
      </c>
      <c r="D1051" s="1" t="s">
        <v>2293</v>
      </c>
      <c r="E1051" t="s">
        <v>2294</v>
      </c>
      <c r="F1051" s="1">
        <v>34629</v>
      </c>
      <c r="G1051" s="1">
        <v>5000012612</v>
      </c>
      <c r="H1051" s="1">
        <v>12</v>
      </c>
      <c r="I1051" s="1" t="s">
        <v>2334</v>
      </c>
      <c r="J1051" t="s">
        <v>2335</v>
      </c>
    </row>
    <row r="1052" spans="1:10">
      <c r="A1052" s="1">
        <v>488676</v>
      </c>
      <c r="B1052" s="1">
        <v>4113020979</v>
      </c>
      <c r="C1052" s="1">
        <v>4</v>
      </c>
      <c r="D1052" s="1" t="s">
        <v>2293</v>
      </c>
      <c r="E1052" t="s">
        <v>2295</v>
      </c>
      <c r="F1052" s="1">
        <v>35550</v>
      </c>
      <c r="G1052" s="1">
        <v>5000020052</v>
      </c>
      <c r="H1052" s="1">
        <v>6</v>
      </c>
      <c r="I1052" s="1" t="s">
        <v>2336</v>
      </c>
      <c r="J1052" t="s">
        <v>2337</v>
      </c>
    </row>
    <row r="1053" spans="1:10">
      <c r="A1053" s="1">
        <v>198168</v>
      </c>
      <c r="B1053" s="1">
        <v>4113020977</v>
      </c>
      <c r="C1053" s="1">
        <v>4</v>
      </c>
      <c r="D1053" s="1" t="s">
        <v>2293</v>
      </c>
      <c r="E1053" t="s">
        <v>2296</v>
      </c>
      <c r="F1053" s="1">
        <v>33191</v>
      </c>
      <c r="G1053" s="1">
        <v>5000011193</v>
      </c>
      <c r="H1053" s="1">
        <v>12</v>
      </c>
      <c r="I1053" s="1" t="s">
        <v>2338</v>
      </c>
      <c r="J1053" t="s">
        <v>2339</v>
      </c>
    </row>
    <row r="1054" spans="1:10">
      <c r="A1054" s="1">
        <v>494575</v>
      </c>
      <c r="B1054" s="1">
        <v>4113020980</v>
      </c>
      <c r="C1054" s="1">
        <v>4</v>
      </c>
      <c r="D1054" s="1" t="s">
        <v>2293</v>
      </c>
      <c r="E1054" t="s">
        <v>2297</v>
      </c>
      <c r="F1054" s="1">
        <v>121640</v>
      </c>
      <c r="G1054" s="1">
        <v>5000011164</v>
      </c>
      <c r="H1054" s="1">
        <v>12</v>
      </c>
      <c r="I1054" s="1" t="s">
        <v>2338</v>
      </c>
      <c r="J1054" t="s">
        <v>2340</v>
      </c>
    </row>
    <row r="1055" spans="1:10">
      <c r="A1055" s="1">
        <v>151332</v>
      </c>
      <c r="B1055" s="1">
        <v>1116615133</v>
      </c>
      <c r="C1055" s="1">
        <v>6</v>
      </c>
      <c r="D1055" s="1" t="s">
        <v>2244</v>
      </c>
      <c r="E1055" t="s">
        <v>2298</v>
      </c>
      <c r="F1055" s="1">
        <v>35543</v>
      </c>
      <c r="G1055" s="1">
        <v>5000009322</v>
      </c>
      <c r="H1055" s="1">
        <v>12</v>
      </c>
      <c r="I1055" s="1" t="s">
        <v>2341</v>
      </c>
      <c r="J1055" t="s">
        <v>2342</v>
      </c>
    </row>
    <row r="1056" spans="1:10">
      <c r="A1056" s="1">
        <v>151316</v>
      </c>
      <c r="B1056" s="1">
        <v>1116615131</v>
      </c>
      <c r="C1056" s="1">
        <v>6</v>
      </c>
      <c r="D1056" s="1" t="s">
        <v>2246</v>
      </c>
      <c r="E1056" t="s">
        <v>2299</v>
      </c>
      <c r="F1056" s="1">
        <v>110007</v>
      </c>
      <c r="G1056" s="1">
        <v>5000011162</v>
      </c>
      <c r="H1056" s="1">
        <v>12</v>
      </c>
      <c r="I1056" s="1" t="s">
        <v>2338</v>
      </c>
      <c r="J1056" t="s">
        <v>2343</v>
      </c>
    </row>
    <row r="1057" spans="1:10">
      <c r="A1057" s="1">
        <v>151456</v>
      </c>
      <c r="B1057" s="1">
        <v>1116615145</v>
      </c>
      <c r="C1057" s="1">
        <v>12</v>
      </c>
      <c r="D1057" s="1" t="s">
        <v>2271</v>
      </c>
      <c r="E1057" t="s">
        <v>2300</v>
      </c>
      <c r="F1057" s="1">
        <v>35212</v>
      </c>
      <c r="G1057" s="1">
        <v>5000011961</v>
      </c>
      <c r="H1057" s="1">
        <v>12</v>
      </c>
      <c r="I1057" s="1" t="s">
        <v>1492</v>
      </c>
      <c r="J1057" t="s">
        <v>2344</v>
      </c>
    </row>
    <row r="1058" spans="1:10">
      <c r="A1058" s="1">
        <v>151779</v>
      </c>
      <c r="B1058" s="1">
        <v>1116615177</v>
      </c>
      <c r="C1058" s="1">
        <v>6</v>
      </c>
      <c r="D1058" s="1" t="s">
        <v>2244</v>
      </c>
      <c r="E1058" t="s">
        <v>2301</v>
      </c>
      <c r="F1058" s="1">
        <v>95901</v>
      </c>
      <c r="G1058" s="1">
        <v>75174603361</v>
      </c>
      <c r="H1058" s="1">
        <v>12</v>
      </c>
      <c r="I1058" s="1" t="s">
        <v>347</v>
      </c>
      <c r="J1058" t="s">
        <v>2345</v>
      </c>
    </row>
    <row r="1059" spans="1:10">
      <c r="A1059" s="1">
        <v>151407</v>
      </c>
      <c r="B1059" s="1">
        <v>1116615140</v>
      </c>
      <c r="C1059" s="1">
        <v>12</v>
      </c>
      <c r="D1059" s="1" t="s">
        <v>14</v>
      </c>
      <c r="E1059" t="s">
        <v>2302</v>
      </c>
      <c r="F1059" s="1">
        <v>35014</v>
      </c>
      <c r="G1059" s="1">
        <v>75174603212</v>
      </c>
      <c r="H1059" s="1">
        <v>12</v>
      </c>
      <c r="I1059" s="1" t="s">
        <v>347</v>
      </c>
      <c r="J1059" t="s">
        <v>2346</v>
      </c>
    </row>
    <row r="1060" spans="1:10" ht="15.75">
      <c r="A1060" s="4" t="s">
        <v>10700</v>
      </c>
      <c r="B1060" s="2"/>
      <c r="C1060" s="2"/>
      <c r="D1060" s="2"/>
      <c r="E1060" s="3"/>
      <c r="F1060" s="1">
        <v>165399</v>
      </c>
      <c r="G1060" s="1">
        <v>75174603218</v>
      </c>
      <c r="H1060" s="1">
        <v>6</v>
      </c>
      <c r="I1060" s="1" t="s">
        <v>632</v>
      </c>
      <c r="J1060" t="s">
        <v>2347</v>
      </c>
    </row>
    <row r="1061" spans="1:10">
      <c r="A1061" s="2" t="s">
        <v>0</v>
      </c>
      <c r="B1061" s="2" t="s">
        <v>1</v>
      </c>
      <c r="C1061" s="2" t="s">
        <v>2</v>
      </c>
      <c r="D1061" s="2" t="s">
        <v>3</v>
      </c>
      <c r="E1061" s="3" t="s">
        <v>4</v>
      </c>
      <c r="F1061" s="1">
        <v>33886</v>
      </c>
      <c r="G1061" s="1">
        <v>1116603388</v>
      </c>
      <c r="H1061" s="1">
        <v>12</v>
      </c>
      <c r="I1061" s="1" t="s">
        <v>489</v>
      </c>
      <c r="J1061" t="s">
        <v>2348</v>
      </c>
    </row>
    <row r="1062" spans="1:10">
      <c r="A1062" s="1">
        <v>110569</v>
      </c>
      <c r="B1062" s="1">
        <v>5000016011</v>
      </c>
      <c r="C1062" s="1">
        <v>24</v>
      </c>
      <c r="D1062" s="1" t="s">
        <v>2303</v>
      </c>
      <c r="E1062" t="s">
        <v>2304</v>
      </c>
      <c r="F1062" s="1">
        <v>33316</v>
      </c>
      <c r="G1062" s="1">
        <v>1116603331</v>
      </c>
      <c r="H1062" s="1">
        <v>12</v>
      </c>
      <c r="I1062" s="1" t="s">
        <v>489</v>
      </c>
      <c r="J1062" t="s">
        <v>2349</v>
      </c>
    </row>
    <row r="1063" spans="1:10">
      <c r="A1063" s="1">
        <v>97907</v>
      </c>
      <c r="B1063" s="1">
        <v>5000010032</v>
      </c>
      <c r="C1063" s="1">
        <v>12</v>
      </c>
      <c r="D1063" s="1" t="s">
        <v>381</v>
      </c>
      <c r="E1063" t="s">
        <v>2305</v>
      </c>
      <c r="F1063" s="1">
        <v>85456</v>
      </c>
      <c r="G1063" s="1">
        <v>1570005517</v>
      </c>
      <c r="H1063" s="1">
        <v>12</v>
      </c>
      <c r="I1063" s="1" t="s">
        <v>1565</v>
      </c>
      <c r="J1063" t="s">
        <v>2350</v>
      </c>
    </row>
    <row r="1064" spans="1:10">
      <c r="A1064" s="1">
        <v>110676</v>
      </c>
      <c r="B1064" s="1">
        <v>5000010012</v>
      </c>
      <c r="C1064" s="1">
        <v>6</v>
      </c>
      <c r="D1064" s="1" t="s">
        <v>375</v>
      </c>
      <c r="E1064" t="s">
        <v>2306</v>
      </c>
      <c r="F1064" s="1">
        <v>687665</v>
      </c>
      <c r="G1064" s="1">
        <v>1570005232</v>
      </c>
      <c r="H1064" s="1">
        <v>12</v>
      </c>
      <c r="I1064" s="1" t="s">
        <v>637</v>
      </c>
      <c r="J1064" t="s">
        <v>2351</v>
      </c>
    </row>
    <row r="1065" spans="1:10">
      <c r="A1065" s="1">
        <v>110510</v>
      </c>
      <c r="B1065" s="1">
        <v>5000015991</v>
      </c>
      <c r="C1065" s="1">
        <v>24</v>
      </c>
      <c r="D1065" s="1" t="s">
        <v>2303</v>
      </c>
      <c r="E1065" t="s">
        <v>2307</v>
      </c>
      <c r="F1065" s="1">
        <v>35162</v>
      </c>
      <c r="G1065" s="1">
        <v>1570007277</v>
      </c>
      <c r="H1065" s="1">
        <v>12</v>
      </c>
      <c r="I1065" s="1" t="s">
        <v>489</v>
      </c>
      <c r="J1065" t="s">
        <v>2352</v>
      </c>
    </row>
    <row r="1066" spans="1:10">
      <c r="A1066" s="1">
        <v>110403</v>
      </c>
      <c r="B1066" s="1">
        <v>5000016031</v>
      </c>
      <c r="C1066" s="1">
        <v>24</v>
      </c>
      <c r="D1066" s="1" t="s">
        <v>2308</v>
      </c>
      <c r="E1066" t="s">
        <v>2309</v>
      </c>
      <c r="F1066" s="1">
        <v>358408</v>
      </c>
      <c r="G1066" s="1">
        <v>1570005230</v>
      </c>
      <c r="H1066" s="1">
        <v>12</v>
      </c>
      <c r="I1066" s="1" t="s">
        <v>637</v>
      </c>
      <c r="J1066" t="s">
        <v>2353</v>
      </c>
    </row>
    <row r="1067" spans="1:10" ht="15.75">
      <c r="A1067" s="4" t="s">
        <v>10701</v>
      </c>
      <c r="B1067" s="2"/>
      <c r="C1067" s="2"/>
      <c r="D1067" s="2"/>
      <c r="E1067" s="3"/>
      <c r="F1067" s="4" t="s">
        <v>10702</v>
      </c>
      <c r="G1067" s="2"/>
      <c r="H1067" s="2"/>
      <c r="I1067" s="2"/>
      <c r="J1067" s="3"/>
    </row>
    <row r="1068" spans="1:10">
      <c r="A1068" s="2" t="s">
        <v>0</v>
      </c>
      <c r="B1068" s="2" t="s">
        <v>1</v>
      </c>
      <c r="C1068" s="2" t="s">
        <v>2</v>
      </c>
      <c r="D1068" s="2" t="s">
        <v>3</v>
      </c>
      <c r="E1068" s="3" t="s">
        <v>4</v>
      </c>
      <c r="F1068" s="2" t="s">
        <v>0</v>
      </c>
      <c r="G1068" s="2" t="s">
        <v>1</v>
      </c>
      <c r="H1068" s="2" t="s">
        <v>2</v>
      </c>
      <c r="I1068" s="2" t="s">
        <v>3</v>
      </c>
      <c r="J1068" s="3" t="s">
        <v>4</v>
      </c>
    </row>
    <row r="1069" spans="1:10">
      <c r="A1069" s="1">
        <v>111195</v>
      </c>
      <c r="B1069" s="1">
        <v>1570005551</v>
      </c>
      <c r="C1069" s="1">
        <v>12</v>
      </c>
      <c r="D1069" s="1" t="s">
        <v>2354</v>
      </c>
      <c r="E1069" t="s">
        <v>2355</v>
      </c>
      <c r="F1069" s="1">
        <v>89839</v>
      </c>
      <c r="G1069" s="1">
        <v>4220000415</v>
      </c>
      <c r="H1069" s="1">
        <v>24</v>
      </c>
      <c r="I1069" s="1" t="s">
        <v>2303</v>
      </c>
      <c r="J1069" t="s">
        <v>2397</v>
      </c>
    </row>
    <row r="1070" spans="1:10">
      <c r="A1070" s="1">
        <v>36210</v>
      </c>
      <c r="B1070" s="1">
        <v>1570005593</v>
      </c>
      <c r="C1070" s="1">
        <v>12</v>
      </c>
      <c r="D1070" s="1" t="s">
        <v>2356</v>
      </c>
      <c r="E1070" t="s">
        <v>2357</v>
      </c>
      <c r="F1070" s="1">
        <v>86850</v>
      </c>
      <c r="G1070" s="1">
        <v>4220000319</v>
      </c>
      <c r="H1070" s="1">
        <v>6</v>
      </c>
      <c r="I1070" s="1" t="s">
        <v>2293</v>
      </c>
      <c r="J1070" t="s">
        <v>2398</v>
      </c>
    </row>
    <row r="1071" spans="1:10">
      <c r="A1071" s="1">
        <v>35196</v>
      </c>
      <c r="B1071" s="1">
        <v>1570007279</v>
      </c>
      <c r="C1071" s="1">
        <v>12</v>
      </c>
      <c r="D1071" s="1" t="s">
        <v>489</v>
      </c>
      <c r="E1071" t="s">
        <v>2358</v>
      </c>
      <c r="F1071" s="1">
        <v>86611</v>
      </c>
      <c r="G1071" s="1">
        <v>4220000414</v>
      </c>
      <c r="H1071" s="1">
        <v>24</v>
      </c>
      <c r="I1071" s="1" t="s">
        <v>2303</v>
      </c>
      <c r="J1071" t="s">
        <v>2399</v>
      </c>
    </row>
    <row r="1072" spans="1:10">
      <c r="A1072" s="1">
        <v>560912</v>
      </c>
      <c r="B1072" s="1">
        <v>1570000000</v>
      </c>
      <c r="C1072" s="1">
        <v>54</v>
      </c>
      <c r="D1072" s="1" t="s">
        <v>10</v>
      </c>
      <c r="E1072" t="s">
        <v>2359</v>
      </c>
      <c r="F1072" s="1">
        <v>80986</v>
      </c>
      <c r="G1072" s="1">
        <v>4113021054</v>
      </c>
      <c r="H1072" s="1">
        <v>4</v>
      </c>
      <c r="I1072" s="1" t="s">
        <v>2369</v>
      </c>
      <c r="J1072" t="s">
        <v>2400</v>
      </c>
    </row>
    <row r="1073" spans="1:10">
      <c r="A1073" s="1">
        <v>560888</v>
      </c>
      <c r="B1073" s="1">
        <v>1570000000</v>
      </c>
      <c r="C1073" s="1">
        <v>54</v>
      </c>
      <c r="D1073" s="1" t="s">
        <v>10</v>
      </c>
      <c r="E1073" t="s">
        <v>2360</v>
      </c>
      <c r="F1073" s="1">
        <v>83899</v>
      </c>
      <c r="G1073" s="1">
        <v>4113021038</v>
      </c>
      <c r="H1073" s="1">
        <v>6</v>
      </c>
      <c r="I1073" s="1" t="s">
        <v>2293</v>
      </c>
      <c r="J1073" t="s">
        <v>2401</v>
      </c>
    </row>
    <row r="1074" spans="1:10">
      <c r="A1074" s="1">
        <v>36202</v>
      </c>
      <c r="B1074" s="1">
        <v>1570005578</v>
      </c>
      <c r="C1074" s="1">
        <v>8</v>
      </c>
      <c r="D1074" s="1" t="s">
        <v>503</v>
      </c>
      <c r="E1074" t="s">
        <v>2361</v>
      </c>
      <c r="F1074" s="1">
        <v>82891</v>
      </c>
      <c r="G1074" s="1">
        <v>4113021071</v>
      </c>
      <c r="H1074" s="1">
        <v>6</v>
      </c>
      <c r="I1074" s="1" t="s">
        <v>2293</v>
      </c>
      <c r="J1074" t="s">
        <v>2402</v>
      </c>
    </row>
    <row r="1075" spans="1:10">
      <c r="A1075" s="1">
        <v>885848</v>
      </c>
      <c r="B1075" s="1">
        <v>1570000091</v>
      </c>
      <c r="C1075" s="1">
        <v>12</v>
      </c>
      <c r="D1075" s="1" t="s">
        <v>399</v>
      </c>
      <c r="E1075" t="s">
        <v>2362</v>
      </c>
      <c r="F1075" s="1">
        <v>82578</v>
      </c>
      <c r="G1075" s="1">
        <v>4113021056</v>
      </c>
      <c r="H1075" s="1">
        <v>4</v>
      </c>
      <c r="I1075" s="1" t="s">
        <v>2369</v>
      </c>
      <c r="J1075" t="s">
        <v>2403</v>
      </c>
    </row>
    <row r="1076" spans="1:10">
      <c r="A1076" s="1">
        <v>316125</v>
      </c>
      <c r="B1076" s="1">
        <v>1570005572</v>
      </c>
      <c r="C1076" s="1">
        <v>12</v>
      </c>
      <c r="D1076" s="1" t="s">
        <v>399</v>
      </c>
      <c r="E1076" t="s">
        <v>2363</v>
      </c>
      <c r="F1076" s="1">
        <v>80531</v>
      </c>
      <c r="G1076" s="1">
        <v>4113021032</v>
      </c>
      <c r="H1076" s="1">
        <v>6</v>
      </c>
      <c r="I1076" s="1" t="s">
        <v>2293</v>
      </c>
      <c r="J1076" t="s">
        <v>2404</v>
      </c>
    </row>
    <row r="1077" spans="1:10">
      <c r="A1077" s="1">
        <v>35592</v>
      </c>
      <c r="B1077" s="1">
        <v>1570007200</v>
      </c>
      <c r="C1077" s="1">
        <v>12</v>
      </c>
      <c r="D1077" s="1" t="s">
        <v>589</v>
      </c>
      <c r="E1077" t="s">
        <v>2364</v>
      </c>
      <c r="F1077" s="1">
        <v>80929</v>
      </c>
      <c r="G1077" s="1">
        <v>4113021018</v>
      </c>
      <c r="H1077" s="1">
        <v>4</v>
      </c>
      <c r="I1077" s="1" t="s">
        <v>2369</v>
      </c>
      <c r="J1077" t="s">
        <v>2405</v>
      </c>
    </row>
    <row r="1078" spans="1:10" ht="15.75">
      <c r="A1078" s="4" t="s">
        <v>10702</v>
      </c>
      <c r="B1078" s="2"/>
      <c r="C1078" s="2"/>
      <c r="D1078" s="2"/>
      <c r="E1078" s="3"/>
      <c r="F1078" s="1">
        <v>80192</v>
      </c>
      <c r="G1078" s="1">
        <v>4113021031</v>
      </c>
      <c r="H1078" s="1">
        <v>6</v>
      </c>
      <c r="I1078" s="1" t="s">
        <v>2293</v>
      </c>
      <c r="J1078" t="s">
        <v>2406</v>
      </c>
    </row>
    <row r="1079" spans="1:10">
      <c r="A1079" s="2" t="s">
        <v>0</v>
      </c>
      <c r="B1079" s="2" t="s">
        <v>1</v>
      </c>
      <c r="C1079" s="2" t="s">
        <v>2</v>
      </c>
      <c r="D1079" s="2" t="s">
        <v>3</v>
      </c>
      <c r="E1079" s="3" t="s">
        <v>4</v>
      </c>
      <c r="F1079" s="1">
        <v>83188</v>
      </c>
      <c r="G1079" s="1">
        <v>4113021062</v>
      </c>
      <c r="H1079" s="1">
        <v>12</v>
      </c>
      <c r="I1079" s="1" t="s">
        <v>1201</v>
      </c>
      <c r="J1079" t="s">
        <v>2407</v>
      </c>
    </row>
    <row r="1080" spans="1:10">
      <c r="A1080" s="1">
        <v>503243</v>
      </c>
      <c r="B1080" s="1">
        <v>4920001503</v>
      </c>
      <c r="C1080" s="1">
        <v>12</v>
      </c>
      <c r="D1080" s="1" t="s">
        <v>2365</v>
      </c>
      <c r="E1080" t="s">
        <v>2366</v>
      </c>
      <c r="F1080" s="1">
        <v>84467</v>
      </c>
      <c r="G1080" s="1">
        <v>4113021000</v>
      </c>
      <c r="H1080" s="1">
        <v>8</v>
      </c>
      <c r="I1080" s="1" t="s">
        <v>2408</v>
      </c>
      <c r="J1080" t="s">
        <v>2409</v>
      </c>
    </row>
    <row r="1081" spans="1:10">
      <c r="A1081" s="1">
        <v>503425</v>
      </c>
      <c r="B1081" s="1">
        <v>4920001502</v>
      </c>
      <c r="C1081" s="1">
        <v>12</v>
      </c>
      <c r="D1081" s="1" t="s">
        <v>2367</v>
      </c>
      <c r="E1081" t="s">
        <v>2368</v>
      </c>
      <c r="F1081" s="1">
        <v>80218</v>
      </c>
      <c r="G1081" s="1">
        <v>4113021007</v>
      </c>
      <c r="H1081" s="1">
        <v>2</v>
      </c>
      <c r="I1081" s="1" t="s">
        <v>2374</v>
      </c>
      <c r="J1081" t="s">
        <v>2410</v>
      </c>
    </row>
    <row r="1082" spans="1:10">
      <c r="A1082" s="1">
        <v>89581</v>
      </c>
      <c r="B1082" s="1">
        <v>7279600700</v>
      </c>
      <c r="C1082" s="1">
        <v>4</v>
      </c>
      <c r="D1082" s="1" t="s">
        <v>2369</v>
      </c>
      <c r="E1082" t="s">
        <v>2370</v>
      </c>
      <c r="F1082" s="1">
        <v>163352</v>
      </c>
      <c r="G1082" s="1">
        <v>4113021155</v>
      </c>
      <c r="H1082" s="1">
        <v>4</v>
      </c>
      <c r="I1082" s="1" t="s">
        <v>2369</v>
      </c>
      <c r="J1082" t="s">
        <v>2411</v>
      </c>
    </row>
    <row r="1083" spans="1:10">
      <c r="A1083" s="1">
        <v>91017</v>
      </c>
      <c r="B1083" s="1">
        <v>7279699000</v>
      </c>
      <c r="C1083" s="1">
        <v>4</v>
      </c>
      <c r="D1083" s="1" t="s">
        <v>2369</v>
      </c>
      <c r="E1083" t="s">
        <v>2371</v>
      </c>
      <c r="F1083" s="1">
        <v>163311</v>
      </c>
      <c r="G1083" s="1">
        <v>4113021146</v>
      </c>
      <c r="H1083" s="1">
        <v>2</v>
      </c>
      <c r="I1083" s="1" t="s">
        <v>2374</v>
      </c>
      <c r="J1083" t="s">
        <v>2412</v>
      </c>
    </row>
    <row r="1084" spans="1:10">
      <c r="A1084" s="1">
        <v>92106</v>
      </c>
      <c r="B1084" s="1">
        <v>7279600281</v>
      </c>
      <c r="C1084" s="1">
        <v>4</v>
      </c>
      <c r="D1084" s="1" t="s">
        <v>2369</v>
      </c>
      <c r="E1084" t="s">
        <v>2372</v>
      </c>
      <c r="F1084" s="1">
        <v>163345</v>
      </c>
      <c r="G1084" s="1">
        <v>4113021150</v>
      </c>
      <c r="H1084" s="1">
        <v>4</v>
      </c>
      <c r="I1084" s="1" t="s">
        <v>2369</v>
      </c>
      <c r="J1084" t="s">
        <v>2413</v>
      </c>
    </row>
    <row r="1085" spans="1:10">
      <c r="A1085" s="1">
        <v>92098</v>
      </c>
      <c r="B1085" s="1">
        <v>7279600271</v>
      </c>
      <c r="C1085" s="1">
        <v>4</v>
      </c>
      <c r="D1085" s="1" t="s">
        <v>2369</v>
      </c>
      <c r="E1085" t="s">
        <v>2373</v>
      </c>
      <c r="F1085" s="1">
        <v>82362</v>
      </c>
      <c r="G1085" s="1">
        <v>4113021019</v>
      </c>
      <c r="H1085" s="1">
        <v>4</v>
      </c>
      <c r="I1085" s="1" t="s">
        <v>2369</v>
      </c>
      <c r="J1085" t="s">
        <v>2414</v>
      </c>
    </row>
    <row r="1086" spans="1:10">
      <c r="A1086" s="1">
        <v>685669</v>
      </c>
      <c r="B1086" s="1">
        <v>62022121220</v>
      </c>
      <c r="C1086" s="1">
        <v>2</v>
      </c>
      <c r="D1086" s="1" t="s">
        <v>2374</v>
      </c>
      <c r="E1086" t="s">
        <v>2375</v>
      </c>
      <c r="F1086" s="1">
        <v>80457</v>
      </c>
      <c r="G1086" s="1">
        <v>4113021036</v>
      </c>
      <c r="H1086" s="1">
        <v>6</v>
      </c>
      <c r="I1086" s="1" t="s">
        <v>2293</v>
      </c>
      <c r="J1086" t="s">
        <v>2415</v>
      </c>
    </row>
    <row r="1087" spans="1:10">
      <c r="A1087" s="1">
        <v>543405</v>
      </c>
      <c r="B1087" s="1">
        <v>62022121235</v>
      </c>
      <c r="C1087" s="1">
        <v>2</v>
      </c>
      <c r="D1087" s="1" t="s">
        <v>2374</v>
      </c>
      <c r="E1087" t="s">
        <v>2376</v>
      </c>
      <c r="F1087" s="1">
        <v>80945</v>
      </c>
      <c r="G1087" s="1">
        <v>4113021074</v>
      </c>
      <c r="H1087" s="1">
        <v>4</v>
      </c>
      <c r="I1087" s="1" t="s">
        <v>2369</v>
      </c>
      <c r="J1087" t="s">
        <v>2416</v>
      </c>
    </row>
    <row r="1088" spans="1:10">
      <c r="A1088" s="1">
        <v>380113</v>
      </c>
      <c r="B1088" s="1">
        <v>62022121209</v>
      </c>
      <c r="C1088" s="1">
        <v>2</v>
      </c>
      <c r="D1088" s="1" t="s">
        <v>2374</v>
      </c>
      <c r="E1088" t="s">
        <v>2377</v>
      </c>
      <c r="F1088" s="1">
        <v>84855</v>
      </c>
      <c r="G1088" s="1">
        <v>4113021034</v>
      </c>
      <c r="H1088" s="1">
        <v>6</v>
      </c>
      <c r="I1088" s="1" t="s">
        <v>2293</v>
      </c>
      <c r="J1088" t="s">
        <v>2417</v>
      </c>
    </row>
    <row r="1089" spans="1:10">
      <c r="A1089" s="1">
        <v>469262</v>
      </c>
      <c r="B1089" s="1">
        <v>62022121210</v>
      </c>
      <c r="C1089" s="1">
        <v>2</v>
      </c>
      <c r="D1089" s="1" t="s">
        <v>2374</v>
      </c>
      <c r="E1089" t="s">
        <v>2378</v>
      </c>
      <c r="F1089" s="1">
        <v>80432</v>
      </c>
      <c r="G1089" s="1">
        <v>4113021021</v>
      </c>
      <c r="H1089" s="1">
        <v>4</v>
      </c>
      <c r="I1089" s="1" t="s">
        <v>2369</v>
      </c>
      <c r="J1089" t="s">
        <v>2418</v>
      </c>
    </row>
    <row r="1090" spans="1:10">
      <c r="A1090" s="1">
        <v>455279</v>
      </c>
      <c r="B1090" s="1">
        <v>62022121502</v>
      </c>
      <c r="C1090" s="1">
        <v>2</v>
      </c>
      <c r="D1090" s="1" t="s">
        <v>2374</v>
      </c>
      <c r="E1090" t="s">
        <v>2379</v>
      </c>
      <c r="F1090" s="1">
        <v>80887</v>
      </c>
      <c r="G1090" s="1">
        <v>4113021010</v>
      </c>
      <c r="H1090" s="1">
        <v>2</v>
      </c>
      <c r="I1090" s="1" t="s">
        <v>2374</v>
      </c>
      <c r="J1090" t="s">
        <v>2419</v>
      </c>
    </row>
    <row r="1091" spans="1:10">
      <c r="A1091" s="1">
        <v>886242</v>
      </c>
      <c r="B1091" s="1">
        <v>62022121509</v>
      </c>
      <c r="C1091" s="1">
        <v>2</v>
      </c>
      <c r="D1091" s="1" t="s">
        <v>2374</v>
      </c>
      <c r="E1091" t="s">
        <v>2380</v>
      </c>
      <c r="F1091" s="1">
        <v>81349</v>
      </c>
      <c r="G1091" s="1">
        <v>4113021008</v>
      </c>
      <c r="H1091" s="1">
        <v>2</v>
      </c>
      <c r="I1091" s="1" t="s">
        <v>2374</v>
      </c>
      <c r="J1091" t="s">
        <v>2420</v>
      </c>
    </row>
    <row r="1092" spans="1:10">
      <c r="A1092" s="1">
        <v>412353</v>
      </c>
      <c r="B1092" s="1">
        <v>62022121201</v>
      </c>
      <c r="C1092" s="1">
        <v>2</v>
      </c>
      <c r="D1092" s="1" t="s">
        <v>2374</v>
      </c>
      <c r="E1092" t="s">
        <v>2381</v>
      </c>
      <c r="F1092" s="1">
        <v>83857</v>
      </c>
      <c r="G1092" s="1">
        <v>4113021041</v>
      </c>
      <c r="H1092" s="1">
        <v>6</v>
      </c>
      <c r="I1092" s="1" t="s">
        <v>2293</v>
      </c>
      <c r="J1092" t="s">
        <v>2421</v>
      </c>
    </row>
    <row r="1093" spans="1:10">
      <c r="A1093" s="1">
        <v>872754</v>
      </c>
      <c r="B1093" s="1">
        <v>4113021608</v>
      </c>
      <c r="C1093" s="1">
        <v>24</v>
      </c>
      <c r="D1093" s="1" t="s">
        <v>1197</v>
      </c>
      <c r="E1093" t="s">
        <v>2382</v>
      </c>
      <c r="F1093" s="1">
        <v>81737</v>
      </c>
      <c r="G1093" s="1">
        <v>4113021073</v>
      </c>
      <c r="H1093" s="1">
        <v>4</v>
      </c>
      <c r="I1093" s="1" t="s">
        <v>2369</v>
      </c>
      <c r="J1093" t="s">
        <v>2422</v>
      </c>
    </row>
    <row r="1094" spans="1:10">
      <c r="A1094" s="1">
        <v>474304</v>
      </c>
      <c r="B1094" s="1">
        <v>4113021607</v>
      </c>
      <c r="C1094" s="1">
        <v>24</v>
      </c>
      <c r="D1094" s="1" t="s">
        <v>1197</v>
      </c>
      <c r="E1094" t="s">
        <v>2383</v>
      </c>
      <c r="F1094" s="1">
        <v>84202</v>
      </c>
      <c r="G1094" s="1">
        <v>4113021035</v>
      </c>
      <c r="H1094" s="1">
        <v>6</v>
      </c>
      <c r="I1094" s="1" t="s">
        <v>2293</v>
      </c>
      <c r="J1094" t="s">
        <v>2423</v>
      </c>
    </row>
    <row r="1095" spans="1:10">
      <c r="A1095" s="1">
        <v>849422</v>
      </c>
      <c r="B1095" s="1">
        <v>4113021609</v>
      </c>
      <c r="C1095" s="1">
        <v>24</v>
      </c>
      <c r="D1095" s="1" t="s">
        <v>1197</v>
      </c>
      <c r="E1095" t="s">
        <v>2384</v>
      </c>
      <c r="F1095" s="1">
        <v>81919</v>
      </c>
      <c r="G1095" s="1">
        <v>4113021016</v>
      </c>
      <c r="H1095" s="1">
        <v>2</v>
      </c>
      <c r="I1095" s="1" t="s">
        <v>2374</v>
      </c>
      <c r="J1095" t="s">
        <v>2424</v>
      </c>
    </row>
    <row r="1096" spans="1:10">
      <c r="A1096" s="1">
        <v>317149</v>
      </c>
      <c r="B1096" s="1">
        <v>4113021610</v>
      </c>
      <c r="C1096" s="1">
        <v>24</v>
      </c>
      <c r="D1096" s="1" t="s">
        <v>1197</v>
      </c>
      <c r="E1096" t="s">
        <v>2385</v>
      </c>
      <c r="F1096" s="1">
        <v>84921</v>
      </c>
      <c r="G1096" s="1">
        <v>4113021015</v>
      </c>
      <c r="H1096" s="1">
        <v>8</v>
      </c>
      <c r="I1096" s="1" t="s">
        <v>2408</v>
      </c>
      <c r="J1096" t="s">
        <v>2425</v>
      </c>
    </row>
    <row r="1097" spans="1:10">
      <c r="A1097" s="1">
        <v>87601</v>
      </c>
      <c r="B1097" s="1">
        <v>4220000400</v>
      </c>
      <c r="C1097" s="1">
        <v>24</v>
      </c>
      <c r="D1097" s="1" t="s">
        <v>2303</v>
      </c>
      <c r="E1097" t="s">
        <v>2386</v>
      </c>
      <c r="F1097" s="1">
        <v>81000</v>
      </c>
      <c r="G1097" s="1">
        <v>4113021025</v>
      </c>
      <c r="H1097" s="1">
        <v>4</v>
      </c>
      <c r="I1097" s="1" t="s">
        <v>2369</v>
      </c>
      <c r="J1097" t="s">
        <v>2426</v>
      </c>
    </row>
    <row r="1098" spans="1:10">
      <c r="A1098" s="1">
        <v>88062</v>
      </c>
      <c r="B1098" s="1">
        <v>4220000405</v>
      </c>
      <c r="C1098" s="1">
        <v>24</v>
      </c>
      <c r="D1098" s="1" t="s">
        <v>2303</v>
      </c>
      <c r="E1098" t="s">
        <v>2387</v>
      </c>
      <c r="F1098" s="1">
        <v>83808</v>
      </c>
      <c r="G1098" s="1">
        <v>4113021033</v>
      </c>
      <c r="H1098" s="1">
        <v>6</v>
      </c>
      <c r="I1098" s="1" t="s">
        <v>2293</v>
      </c>
      <c r="J1098" t="s">
        <v>2427</v>
      </c>
    </row>
    <row r="1099" spans="1:10">
      <c r="A1099" s="1">
        <v>86827</v>
      </c>
      <c r="B1099" s="1">
        <v>4220000305</v>
      </c>
      <c r="C1099" s="1">
        <v>6</v>
      </c>
      <c r="D1099" s="1" t="s">
        <v>2293</v>
      </c>
      <c r="E1099" t="s">
        <v>2388</v>
      </c>
      <c r="F1099" s="1">
        <v>80473</v>
      </c>
      <c r="G1099" s="1">
        <v>4113021023</v>
      </c>
      <c r="H1099" s="1">
        <v>4</v>
      </c>
      <c r="I1099" s="1" t="s">
        <v>2369</v>
      </c>
      <c r="J1099" t="s">
        <v>2428</v>
      </c>
    </row>
    <row r="1100" spans="1:10">
      <c r="A1100" s="1">
        <v>86926</v>
      </c>
      <c r="B1100" s="1">
        <v>4220000314</v>
      </c>
      <c r="C1100" s="1">
        <v>6</v>
      </c>
      <c r="D1100" s="1" t="s">
        <v>2293</v>
      </c>
      <c r="E1100" t="s">
        <v>2389</v>
      </c>
      <c r="F1100" s="1">
        <v>84939</v>
      </c>
      <c r="G1100" s="1">
        <v>4113021005</v>
      </c>
      <c r="H1100" s="1">
        <v>8</v>
      </c>
      <c r="I1100" s="1" t="s">
        <v>2408</v>
      </c>
      <c r="J1100" t="s">
        <v>2429</v>
      </c>
    </row>
    <row r="1101" spans="1:10">
      <c r="A1101" s="1">
        <v>89821</v>
      </c>
      <c r="B1101" s="1">
        <v>4220000408</v>
      </c>
      <c r="C1101" s="1">
        <v>24</v>
      </c>
      <c r="D1101" s="1" t="s">
        <v>2303</v>
      </c>
      <c r="E1101" t="s">
        <v>2390</v>
      </c>
      <c r="F1101" s="1">
        <v>82263</v>
      </c>
      <c r="G1101" s="1">
        <v>4113021012</v>
      </c>
      <c r="H1101" s="1">
        <v>2</v>
      </c>
      <c r="I1101" s="1" t="s">
        <v>2374</v>
      </c>
      <c r="J1101" t="s">
        <v>2430</v>
      </c>
    </row>
    <row r="1102" spans="1:10">
      <c r="A1102" s="1">
        <v>86876</v>
      </c>
      <c r="B1102" s="1">
        <v>4220000306</v>
      </c>
      <c r="C1102" s="1">
        <v>6</v>
      </c>
      <c r="D1102" s="1" t="s">
        <v>2293</v>
      </c>
      <c r="E1102" t="s">
        <v>2391</v>
      </c>
      <c r="F1102" s="1">
        <v>85977</v>
      </c>
      <c r="G1102" s="1">
        <v>4113021030</v>
      </c>
      <c r="H1102" s="1">
        <v>6</v>
      </c>
      <c r="I1102" s="1" t="s">
        <v>2293</v>
      </c>
      <c r="J1102" t="s">
        <v>2431</v>
      </c>
    </row>
    <row r="1103" spans="1:10">
      <c r="A1103" s="1">
        <v>89995</v>
      </c>
      <c r="B1103" s="1">
        <v>4220000409</v>
      </c>
      <c r="C1103" s="1">
        <v>24</v>
      </c>
      <c r="D1103" s="1" t="s">
        <v>2303</v>
      </c>
      <c r="E1103" t="s">
        <v>2392</v>
      </c>
      <c r="F1103" s="1">
        <v>80465</v>
      </c>
      <c r="G1103" s="1">
        <v>4113021022</v>
      </c>
      <c r="H1103" s="1">
        <v>4</v>
      </c>
      <c r="I1103" s="1" t="s">
        <v>2369</v>
      </c>
      <c r="J1103" t="s">
        <v>2432</v>
      </c>
    </row>
    <row r="1104" spans="1:10">
      <c r="A1104" s="1">
        <v>86041</v>
      </c>
      <c r="B1104" s="1">
        <v>4220000419</v>
      </c>
      <c r="C1104" s="1">
        <v>24</v>
      </c>
      <c r="D1104" s="1" t="s">
        <v>2303</v>
      </c>
      <c r="E1104" t="s">
        <v>2393</v>
      </c>
      <c r="F1104" s="1">
        <v>82719</v>
      </c>
      <c r="G1104" s="1">
        <v>4113021011</v>
      </c>
      <c r="H1104" s="1">
        <v>2</v>
      </c>
      <c r="I1104" s="1" t="s">
        <v>2374</v>
      </c>
      <c r="J1104" t="s">
        <v>2433</v>
      </c>
    </row>
    <row r="1105" spans="1:10">
      <c r="A1105" s="1">
        <v>86553</v>
      </c>
      <c r="B1105" s="1">
        <v>4220000412</v>
      </c>
      <c r="C1105" s="1">
        <v>24</v>
      </c>
      <c r="D1105" s="1" t="s">
        <v>2303</v>
      </c>
      <c r="E1105" t="s">
        <v>2394</v>
      </c>
      <c r="F1105" s="1">
        <v>85282</v>
      </c>
      <c r="G1105" s="1">
        <v>4113021040</v>
      </c>
      <c r="H1105" s="1">
        <v>6</v>
      </c>
      <c r="I1105" s="1" t="s">
        <v>2293</v>
      </c>
      <c r="J1105" t="s">
        <v>2434</v>
      </c>
    </row>
    <row r="1106" spans="1:10">
      <c r="A1106" s="1">
        <v>87049</v>
      </c>
      <c r="B1106" s="1">
        <v>4220000308</v>
      </c>
      <c r="C1106" s="1">
        <v>6</v>
      </c>
      <c r="D1106" s="1" t="s">
        <v>2293</v>
      </c>
      <c r="E1106" t="s">
        <v>2395</v>
      </c>
      <c r="F1106" s="1">
        <v>85233</v>
      </c>
      <c r="G1106" s="1">
        <v>4113021064</v>
      </c>
      <c r="H1106" s="1">
        <v>12</v>
      </c>
      <c r="I1106" s="1" t="s">
        <v>1201</v>
      </c>
      <c r="J1106" t="s">
        <v>2435</v>
      </c>
    </row>
    <row r="1107" spans="1:10">
      <c r="A1107" s="1">
        <v>86884</v>
      </c>
      <c r="B1107" s="1">
        <v>4220000312</v>
      </c>
      <c r="C1107" s="1">
        <v>6</v>
      </c>
      <c r="D1107" s="1" t="s">
        <v>2293</v>
      </c>
      <c r="E1107" t="s">
        <v>2396</v>
      </c>
      <c r="F1107" s="1">
        <v>83774</v>
      </c>
      <c r="G1107" s="1">
        <v>4113021065</v>
      </c>
      <c r="H1107" s="1">
        <v>12</v>
      </c>
      <c r="I1107" s="1" t="s">
        <v>1201</v>
      </c>
      <c r="J1107" t="s">
        <v>2436</v>
      </c>
    </row>
    <row r="1108" spans="1:10" ht="15.75">
      <c r="A1108" s="4" t="s">
        <v>10702</v>
      </c>
      <c r="B1108" s="2"/>
      <c r="C1108" s="2"/>
      <c r="D1108" s="2"/>
      <c r="E1108" s="3"/>
      <c r="F1108" s="4" t="s">
        <v>10702</v>
      </c>
      <c r="G1108" s="2"/>
      <c r="H1108" s="2"/>
      <c r="I1108" s="2"/>
      <c r="J1108" s="3"/>
    </row>
    <row r="1109" spans="1:10">
      <c r="A1109" s="2" t="s">
        <v>0</v>
      </c>
      <c r="B1109" s="2" t="s">
        <v>1</v>
      </c>
      <c r="C1109" s="2" t="s">
        <v>2</v>
      </c>
      <c r="D1109" s="2" t="s">
        <v>3</v>
      </c>
      <c r="E1109" s="3" t="s">
        <v>4</v>
      </c>
      <c r="F1109" s="2" t="s">
        <v>0</v>
      </c>
      <c r="G1109" s="2" t="s">
        <v>1</v>
      </c>
      <c r="H1109" s="2" t="s">
        <v>2</v>
      </c>
      <c r="I1109" s="2" t="s">
        <v>3</v>
      </c>
      <c r="J1109" s="3" t="s">
        <v>4</v>
      </c>
    </row>
    <row r="1110" spans="1:10">
      <c r="A1110" s="1">
        <v>82743</v>
      </c>
      <c r="B1110" s="1">
        <v>4113021009</v>
      </c>
      <c r="C1110" s="1">
        <v>2</v>
      </c>
      <c r="D1110" s="1" t="s">
        <v>2374</v>
      </c>
      <c r="E1110" t="s">
        <v>2437</v>
      </c>
      <c r="F1110" s="1">
        <v>91967</v>
      </c>
      <c r="G1110" s="1">
        <v>7252104996</v>
      </c>
      <c r="H1110" s="1">
        <v>12</v>
      </c>
      <c r="I1110" s="1" t="s">
        <v>1201</v>
      </c>
      <c r="J1110" t="s">
        <v>2477</v>
      </c>
    </row>
    <row r="1111" spans="1:10">
      <c r="A1111" s="1">
        <v>80689</v>
      </c>
      <c r="B1111" s="1">
        <v>4113021028</v>
      </c>
      <c r="C1111" s="1">
        <v>6</v>
      </c>
      <c r="D1111" s="1" t="s">
        <v>2293</v>
      </c>
      <c r="E1111" t="s">
        <v>2438</v>
      </c>
      <c r="F1111" s="1">
        <v>449611</v>
      </c>
      <c r="G1111" s="1">
        <v>7252104966</v>
      </c>
      <c r="H1111" s="1">
        <v>12</v>
      </c>
      <c r="I1111" s="1" t="s">
        <v>1201</v>
      </c>
      <c r="J1111" t="s">
        <v>2478</v>
      </c>
    </row>
    <row r="1112" spans="1:10">
      <c r="A1112" s="1">
        <v>83626</v>
      </c>
      <c r="B1112" s="1">
        <v>4113021020</v>
      </c>
      <c r="C1112" s="1">
        <v>4</v>
      </c>
      <c r="D1112" s="1" t="s">
        <v>2369</v>
      </c>
      <c r="E1112" t="s">
        <v>2439</v>
      </c>
      <c r="F1112" s="1">
        <v>95273</v>
      </c>
      <c r="G1112" s="1">
        <v>7169812282</v>
      </c>
      <c r="H1112" s="1">
        <v>2</v>
      </c>
      <c r="I1112" s="1" t="s">
        <v>2374</v>
      </c>
      <c r="J1112" t="s">
        <v>2479</v>
      </c>
    </row>
    <row r="1113" spans="1:10">
      <c r="A1113" s="1">
        <v>80705</v>
      </c>
      <c r="B1113" s="1">
        <v>4113021027</v>
      </c>
      <c r="C1113" s="1">
        <v>6</v>
      </c>
      <c r="D1113" s="1" t="s">
        <v>2293</v>
      </c>
      <c r="E1113" t="s">
        <v>2440</v>
      </c>
      <c r="F1113" s="1">
        <v>254573</v>
      </c>
      <c r="G1113" s="1">
        <v>7169803482</v>
      </c>
      <c r="H1113" s="1">
        <v>8</v>
      </c>
      <c r="I1113" s="1" t="s">
        <v>2408</v>
      </c>
      <c r="J1113" t="s">
        <v>2480</v>
      </c>
    </row>
    <row r="1114" spans="1:10">
      <c r="A1114" s="1">
        <v>80911</v>
      </c>
      <c r="B1114" s="1">
        <v>4113021013</v>
      </c>
      <c r="C1114" s="1">
        <v>2</v>
      </c>
      <c r="D1114" s="1" t="s">
        <v>2374</v>
      </c>
      <c r="E1114" t="s">
        <v>2441</v>
      </c>
      <c r="F1114" s="1">
        <v>254532</v>
      </c>
      <c r="G1114" s="1">
        <v>7169803486</v>
      </c>
      <c r="H1114" s="1">
        <v>8</v>
      </c>
      <c r="I1114" s="1" t="s">
        <v>2408</v>
      </c>
      <c r="J1114" t="s">
        <v>2481</v>
      </c>
    </row>
    <row r="1115" spans="1:10">
      <c r="A1115" s="1">
        <v>80440</v>
      </c>
      <c r="B1115" s="1">
        <v>4113021024</v>
      </c>
      <c r="C1115" s="1">
        <v>4</v>
      </c>
      <c r="D1115" s="1" t="s">
        <v>2369</v>
      </c>
      <c r="E1115" t="s">
        <v>2442</v>
      </c>
      <c r="F1115" s="1">
        <v>92049</v>
      </c>
      <c r="G1115" s="1">
        <v>7169812275</v>
      </c>
      <c r="H1115" s="1">
        <v>2</v>
      </c>
      <c r="I1115" s="1" t="s">
        <v>2374</v>
      </c>
      <c r="J1115" t="s">
        <v>2482</v>
      </c>
    </row>
    <row r="1116" spans="1:10">
      <c r="A1116" s="1">
        <v>84970</v>
      </c>
      <c r="B1116" s="1">
        <v>4113021006</v>
      </c>
      <c r="C1116" s="1">
        <v>8</v>
      </c>
      <c r="D1116" s="1" t="s">
        <v>2408</v>
      </c>
      <c r="E1116" t="s">
        <v>2443</v>
      </c>
      <c r="F1116" s="1">
        <v>254474</v>
      </c>
      <c r="G1116" s="1">
        <v>7169803475</v>
      </c>
      <c r="H1116" s="1">
        <v>8</v>
      </c>
      <c r="I1116" s="1" t="s">
        <v>2408</v>
      </c>
      <c r="J1116" t="s">
        <v>2483</v>
      </c>
    </row>
    <row r="1117" spans="1:10">
      <c r="A1117" s="1">
        <v>87007</v>
      </c>
      <c r="B1117" s="1">
        <v>4113021093</v>
      </c>
      <c r="C1117" s="1">
        <v>4</v>
      </c>
      <c r="D1117" s="1" t="s">
        <v>2369</v>
      </c>
      <c r="E1117" t="s">
        <v>2444</v>
      </c>
      <c r="F1117" s="1">
        <v>92080</v>
      </c>
      <c r="G1117" s="1">
        <v>7169812276</v>
      </c>
      <c r="H1117" s="1">
        <v>2</v>
      </c>
      <c r="I1117" s="1" t="s">
        <v>2374</v>
      </c>
      <c r="J1117" t="s">
        <v>2484</v>
      </c>
    </row>
    <row r="1118" spans="1:10">
      <c r="A1118" s="1">
        <v>84707</v>
      </c>
      <c r="B1118" s="1">
        <v>4113021039</v>
      </c>
      <c r="C1118" s="1">
        <v>6</v>
      </c>
      <c r="D1118" s="1" t="s">
        <v>2293</v>
      </c>
      <c r="E1118" t="s">
        <v>2445</v>
      </c>
      <c r="F1118" s="1">
        <v>254490</v>
      </c>
      <c r="G1118" s="1">
        <v>7169803476</v>
      </c>
      <c r="H1118" s="1">
        <v>8</v>
      </c>
      <c r="I1118" s="1" t="s">
        <v>2408</v>
      </c>
      <c r="J1118" t="s">
        <v>2485</v>
      </c>
    </row>
    <row r="1119" spans="1:10">
      <c r="A1119" s="1">
        <v>85217</v>
      </c>
      <c r="B1119" s="1">
        <v>4113021058</v>
      </c>
      <c r="C1119" s="1">
        <v>8</v>
      </c>
      <c r="D1119" s="1" t="s">
        <v>2446</v>
      </c>
      <c r="E1119" t="s">
        <v>2447</v>
      </c>
      <c r="F1119" s="1">
        <v>254540</v>
      </c>
      <c r="G1119" s="1">
        <v>7169803477</v>
      </c>
      <c r="H1119" s="1">
        <v>8</v>
      </c>
      <c r="I1119" s="1" t="s">
        <v>2408</v>
      </c>
      <c r="J1119" t="s">
        <v>2486</v>
      </c>
    </row>
    <row r="1120" spans="1:10">
      <c r="A1120" s="1">
        <v>80390</v>
      </c>
      <c r="B1120" s="1">
        <v>4113021072</v>
      </c>
      <c r="C1120" s="1">
        <v>4</v>
      </c>
      <c r="D1120" s="1" t="s">
        <v>2369</v>
      </c>
      <c r="E1120" t="s">
        <v>2448</v>
      </c>
      <c r="F1120" s="1">
        <v>94714</v>
      </c>
      <c r="G1120" s="1">
        <v>7169812277</v>
      </c>
      <c r="H1120" s="1">
        <v>2</v>
      </c>
      <c r="I1120" s="1" t="s">
        <v>2374</v>
      </c>
      <c r="J1120" t="s">
        <v>2487</v>
      </c>
    </row>
    <row r="1121" spans="1:10" ht="15.75">
      <c r="A1121" s="1">
        <v>85159</v>
      </c>
      <c r="B1121" s="1">
        <v>4113021059</v>
      </c>
      <c r="C1121" s="1">
        <v>8</v>
      </c>
      <c r="D1121" s="1" t="s">
        <v>2446</v>
      </c>
      <c r="E1121" t="s">
        <v>2449</v>
      </c>
      <c r="F1121" s="4" t="s">
        <v>10703</v>
      </c>
      <c r="G1121" s="2"/>
      <c r="H1121" s="2"/>
      <c r="I1121" s="2"/>
      <c r="J1121" s="3"/>
    </row>
    <row r="1122" spans="1:10">
      <c r="A1122" s="1">
        <v>80028</v>
      </c>
      <c r="B1122" s="1">
        <v>4113021066</v>
      </c>
      <c r="C1122" s="1">
        <v>12</v>
      </c>
      <c r="D1122" s="1" t="s">
        <v>1201</v>
      </c>
      <c r="E1122" t="s">
        <v>2450</v>
      </c>
      <c r="F1122" s="2" t="s">
        <v>0</v>
      </c>
      <c r="G1122" s="2" t="s">
        <v>1</v>
      </c>
      <c r="H1122" s="2" t="s">
        <v>2</v>
      </c>
      <c r="I1122" s="2" t="s">
        <v>3</v>
      </c>
      <c r="J1122" s="3" t="s">
        <v>4</v>
      </c>
    </row>
    <row r="1123" spans="1:10">
      <c r="A1123" s="1">
        <v>84251</v>
      </c>
      <c r="B1123" s="1">
        <v>4113021029</v>
      </c>
      <c r="C1123" s="1">
        <v>6</v>
      </c>
      <c r="D1123" s="1" t="s">
        <v>2293</v>
      </c>
      <c r="E1123" t="s">
        <v>2451</v>
      </c>
      <c r="F1123" s="1">
        <v>871442</v>
      </c>
      <c r="G1123" s="1">
        <v>4900004691</v>
      </c>
      <c r="H1123" s="1">
        <v>4</v>
      </c>
      <c r="I1123" s="1" t="s">
        <v>2293</v>
      </c>
      <c r="J1123" t="s">
        <v>2488</v>
      </c>
    </row>
    <row r="1124" spans="1:10">
      <c r="A1124" s="1">
        <v>80895</v>
      </c>
      <c r="B1124" s="1">
        <v>4113021017</v>
      </c>
      <c r="C1124" s="1">
        <v>2</v>
      </c>
      <c r="D1124" s="1" t="s">
        <v>2374</v>
      </c>
      <c r="E1124" t="s">
        <v>2452</v>
      </c>
      <c r="F1124" s="1">
        <v>442483</v>
      </c>
      <c r="G1124" s="1">
        <v>7109100007</v>
      </c>
      <c r="H1124" s="1">
        <v>6</v>
      </c>
      <c r="I1124" s="1" t="s">
        <v>1188</v>
      </c>
      <c r="J1124" t="s">
        <v>2489</v>
      </c>
    </row>
    <row r="1125" spans="1:10">
      <c r="A1125" s="1">
        <v>84988</v>
      </c>
      <c r="B1125" s="1">
        <v>4113021014</v>
      </c>
      <c r="C1125" s="1">
        <v>8</v>
      </c>
      <c r="D1125" s="1" t="s">
        <v>2408</v>
      </c>
      <c r="E1125" t="s">
        <v>2453</v>
      </c>
      <c r="F1125" s="1">
        <v>255596</v>
      </c>
      <c r="G1125" s="1">
        <v>8265754631</v>
      </c>
      <c r="H1125" s="1">
        <v>2</v>
      </c>
      <c r="I1125" s="1" t="s">
        <v>2490</v>
      </c>
      <c r="J1125" t="s">
        <v>2491</v>
      </c>
    </row>
    <row r="1126" spans="1:10">
      <c r="A1126" s="1">
        <v>80374</v>
      </c>
      <c r="B1126" s="1">
        <v>4113021026</v>
      </c>
      <c r="C1126" s="1">
        <v>4</v>
      </c>
      <c r="D1126" s="1" t="s">
        <v>2369</v>
      </c>
      <c r="E1126" t="s">
        <v>2454</v>
      </c>
      <c r="F1126" s="1">
        <v>73007</v>
      </c>
      <c r="G1126" s="1">
        <v>8265754221</v>
      </c>
      <c r="H1126" s="1">
        <v>4</v>
      </c>
      <c r="I1126" s="1" t="s">
        <v>2492</v>
      </c>
      <c r="J1126" t="s">
        <v>2493</v>
      </c>
    </row>
    <row r="1127" spans="1:10">
      <c r="A1127" s="1">
        <v>80036</v>
      </c>
      <c r="B1127" s="1">
        <v>4113021067</v>
      </c>
      <c r="C1127" s="1">
        <v>12</v>
      </c>
      <c r="D1127" s="1" t="s">
        <v>1201</v>
      </c>
      <c r="E1127" t="s">
        <v>2455</v>
      </c>
      <c r="F1127" s="1">
        <v>761130</v>
      </c>
      <c r="G1127" s="1">
        <v>8265754333</v>
      </c>
      <c r="H1127" s="1">
        <v>24</v>
      </c>
      <c r="I1127" s="1" t="s">
        <v>2494</v>
      </c>
      <c r="J1127" t="s">
        <v>2495</v>
      </c>
    </row>
    <row r="1128" spans="1:10">
      <c r="A1128" s="1">
        <v>84590</v>
      </c>
      <c r="B1128" s="1">
        <v>4113021060</v>
      </c>
      <c r="C1128" s="1">
        <v>8</v>
      </c>
      <c r="D1128" s="1" t="s">
        <v>2408</v>
      </c>
      <c r="E1128" t="s">
        <v>2456</v>
      </c>
      <c r="F1128" s="1">
        <v>785626</v>
      </c>
      <c r="G1128" s="1">
        <v>8265773196</v>
      </c>
      <c r="H1128" s="1">
        <v>4</v>
      </c>
      <c r="I1128" s="1" t="s">
        <v>2496</v>
      </c>
      <c r="J1128" t="s">
        <v>2497</v>
      </c>
    </row>
    <row r="1129" spans="1:10">
      <c r="A1129" s="1">
        <v>80960</v>
      </c>
      <c r="B1129" s="1">
        <v>4113021055</v>
      </c>
      <c r="C1129" s="1">
        <v>4</v>
      </c>
      <c r="D1129" s="1" t="s">
        <v>2369</v>
      </c>
      <c r="E1129" t="s">
        <v>2457</v>
      </c>
      <c r="F1129" s="1">
        <v>168104</v>
      </c>
      <c r="G1129" s="1">
        <v>8265722435</v>
      </c>
      <c r="H1129" s="1">
        <v>3</v>
      </c>
      <c r="I1129" s="1" t="s">
        <v>2498</v>
      </c>
      <c r="J1129" t="s">
        <v>2499</v>
      </c>
    </row>
    <row r="1130" spans="1:10">
      <c r="A1130" s="1">
        <v>164111</v>
      </c>
      <c r="B1130" s="1">
        <v>4113021147</v>
      </c>
      <c r="C1130" s="1">
        <v>6</v>
      </c>
      <c r="D1130" s="1" t="s">
        <v>2293</v>
      </c>
      <c r="E1130" t="s">
        <v>2458</v>
      </c>
      <c r="F1130" s="1">
        <v>750406</v>
      </c>
      <c r="G1130" s="1">
        <v>8265773358</v>
      </c>
      <c r="H1130" s="1">
        <v>12</v>
      </c>
      <c r="I1130" s="1" t="s">
        <v>1201</v>
      </c>
      <c r="J1130" t="s">
        <v>2500</v>
      </c>
    </row>
    <row r="1131" spans="1:10">
      <c r="A1131" s="1">
        <v>83972</v>
      </c>
      <c r="B1131" s="1">
        <v>4113021095</v>
      </c>
      <c r="C1131" s="1">
        <v>12</v>
      </c>
      <c r="D1131" s="1" t="s">
        <v>1201</v>
      </c>
      <c r="E1131" t="s">
        <v>2459</v>
      </c>
      <c r="F1131" s="1">
        <v>821660</v>
      </c>
      <c r="G1131" s="1">
        <v>8265773346</v>
      </c>
      <c r="H1131" s="1">
        <v>4</v>
      </c>
      <c r="I1131" s="1" t="s">
        <v>2293</v>
      </c>
      <c r="J1131" t="s">
        <v>2501</v>
      </c>
    </row>
    <row r="1132" spans="1:10">
      <c r="A1132" s="1">
        <v>127886</v>
      </c>
      <c r="B1132" s="1">
        <v>4113021114</v>
      </c>
      <c r="C1132" s="1">
        <v>4</v>
      </c>
      <c r="D1132" s="1" t="s">
        <v>2369</v>
      </c>
      <c r="E1132" t="s">
        <v>2460</v>
      </c>
      <c r="F1132" s="1">
        <v>679951</v>
      </c>
      <c r="G1132" s="1">
        <v>8265773352</v>
      </c>
      <c r="H1132" s="1">
        <v>4</v>
      </c>
      <c r="I1132" s="1" t="s">
        <v>2293</v>
      </c>
      <c r="J1132" t="s">
        <v>2502</v>
      </c>
    </row>
    <row r="1133" spans="1:10">
      <c r="A1133" s="1">
        <v>127860</v>
      </c>
      <c r="B1133" s="1">
        <v>4113021112</v>
      </c>
      <c r="C1133" s="1">
        <v>4</v>
      </c>
      <c r="D1133" s="1" t="s">
        <v>2369</v>
      </c>
      <c r="E1133" t="s">
        <v>2461</v>
      </c>
      <c r="F1133" s="1">
        <v>676767</v>
      </c>
      <c r="G1133" s="1">
        <v>8265773343</v>
      </c>
      <c r="H1133" s="1">
        <v>4</v>
      </c>
      <c r="I1133" s="1" t="s">
        <v>2293</v>
      </c>
      <c r="J1133" t="s">
        <v>2503</v>
      </c>
    </row>
    <row r="1134" spans="1:10">
      <c r="A1134" s="1">
        <v>127878</v>
      </c>
      <c r="B1134" s="1">
        <v>4113021113</v>
      </c>
      <c r="C1134" s="1">
        <v>4</v>
      </c>
      <c r="D1134" s="1" t="s">
        <v>2369</v>
      </c>
      <c r="E1134" t="s">
        <v>2462</v>
      </c>
      <c r="F1134" s="1">
        <v>320887</v>
      </c>
      <c r="G1134" s="1">
        <v>8265773355</v>
      </c>
      <c r="H1134" s="1">
        <v>12</v>
      </c>
      <c r="I1134" s="1" t="s">
        <v>1201</v>
      </c>
      <c r="J1134" t="s">
        <v>2504</v>
      </c>
    </row>
    <row r="1135" spans="1:10">
      <c r="A1135" s="1">
        <v>83881</v>
      </c>
      <c r="B1135" s="1">
        <v>4113021096</v>
      </c>
      <c r="C1135" s="1">
        <v>12</v>
      </c>
      <c r="D1135" s="1" t="s">
        <v>1201</v>
      </c>
      <c r="E1135" t="s">
        <v>2463</v>
      </c>
      <c r="F1135" s="1">
        <v>181958</v>
      </c>
      <c r="G1135" s="1">
        <v>8265773349</v>
      </c>
      <c r="H1135" s="1">
        <v>4</v>
      </c>
      <c r="I1135" s="1" t="s">
        <v>2293</v>
      </c>
      <c r="J1135" t="s">
        <v>2505</v>
      </c>
    </row>
    <row r="1136" spans="1:10">
      <c r="A1136" s="1">
        <v>82453</v>
      </c>
      <c r="B1136" s="1">
        <v>4113021069</v>
      </c>
      <c r="C1136" s="1">
        <v>6</v>
      </c>
      <c r="D1136" s="1" t="s">
        <v>2293</v>
      </c>
      <c r="E1136" t="s">
        <v>2464</v>
      </c>
      <c r="F1136" s="1">
        <v>85829</v>
      </c>
      <c r="G1136" s="1">
        <v>8265741157</v>
      </c>
      <c r="H1136" s="1">
        <v>4</v>
      </c>
      <c r="I1136" s="1" t="s">
        <v>2506</v>
      </c>
      <c r="J1136" t="s">
        <v>2507</v>
      </c>
    </row>
    <row r="1137" spans="1:10">
      <c r="A1137" s="1">
        <v>80770</v>
      </c>
      <c r="B1137" s="1">
        <v>4113021053</v>
      </c>
      <c r="C1137" s="1">
        <v>2</v>
      </c>
      <c r="D1137" s="1" t="s">
        <v>2374</v>
      </c>
      <c r="E1137" t="s">
        <v>2465</v>
      </c>
      <c r="F1137" s="1">
        <v>432641</v>
      </c>
      <c r="G1137" s="1">
        <v>8265733412</v>
      </c>
      <c r="H1137" s="1">
        <v>6</v>
      </c>
      <c r="I1137" s="1" t="s">
        <v>2293</v>
      </c>
      <c r="J1137" t="s">
        <v>2508</v>
      </c>
    </row>
    <row r="1138" spans="1:10">
      <c r="A1138" s="1">
        <v>80937</v>
      </c>
      <c r="B1138" s="1">
        <v>4113021057</v>
      </c>
      <c r="C1138" s="1">
        <v>4</v>
      </c>
      <c r="D1138" s="1" t="s">
        <v>2369</v>
      </c>
      <c r="E1138" t="s">
        <v>2466</v>
      </c>
      <c r="F1138" s="1">
        <v>85837</v>
      </c>
      <c r="G1138" s="1">
        <v>8265750406</v>
      </c>
      <c r="H1138" s="1">
        <v>1</v>
      </c>
      <c r="I1138" s="1" t="s">
        <v>2509</v>
      </c>
      <c r="J1138" t="s">
        <v>2510</v>
      </c>
    </row>
    <row r="1139" spans="1:10">
      <c r="A1139" s="1">
        <v>83782</v>
      </c>
      <c r="B1139" s="1">
        <v>4113021068</v>
      </c>
      <c r="C1139" s="1">
        <v>12</v>
      </c>
      <c r="D1139" s="1" t="s">
        <v>1201</v>
      </c>
      <c r="E1139" t="s">
        <v>2467</v>
      </c>
      <c r="F1139" s="1">
        <v>85035</v>
      </c>
      <c r="G1139" s="1">
        <v>8265750080</v>
      </c>
      <c r="H1139" s="1">
        <v>2</v>
      </c>
      <c r="I1139" s="1" t="s">
        <v>2511</v>
      </c>
      <c r="J1139" t="s">
        <v>2512</v>
      </c>
    </row>
    <row r="1140" spans="1:10">
      <c r="A1140" s="1">
        <v>86538</v>
      </c>
      <c r="B1140" s="1">
        <v>6150000992</v>
      </c>
      <c r="C1140" s="1">
        <v>1</v>
      </c>
      <c r="D1140" s="1" t="s">
        <v>2374</v>
      </c>
      <c r="E1140" t="s">
        <v>2468</v>
      </c>
      <c r="F1140" s="1">
        <v>86025</v>
      </c>
      <c r="G1140" s="1">
        <v>8265700312</v>
      </c>
      <c r="H1140" s="1">
        <v>2</v>
      </c>
      <c r="I1140" s="1" t="s">
        <v>2513</v>
      </c>
      <c r="J1140" t="s">
        <v>2514</v>
      </c>
    </row>
    <row r="1141" spans="1:10">
      <c r="A1141" s="1">
        <v>80721</v>
      </c>
      <c r="B1141" s="1">
        <v>6150000994</v>
      </c>
      <c r="C1141" s="1">
        <v>1</v>
      </c>
      <c r="D1141" s="1" t="s">
        <v>2374</v>
      </c>
      <c r="E1141" t="s">
        <v>2469</v>
      </c>
      <c r="F1141" s="1">
        <v>85100</v>
      </c>
      <c r="G1141" s="1">
        <v>8265750062</v>
      </c>
      <c r="H1141" s="1">
        <v>12</v>
      </c>
      <c r="I1141" s="1" t="s">
        <v>2515</v>
      </c>
      <c r="J1141" t="s">
        <v>2516</v>
      </c>
    </row>
    <row r="1142" spans="1:10">
      <c r="A1142" s="1">
        <v>83618</v>
      </c>
      <c r="B1142" s="1">
        <v>6150001011</v>
      </c>
      <c r="C1142" s="1">
        <v>1</v>
      </c>
      <c r="D1142" s="1" t="s">
        <v>2374</v>
      </c>
      <c r="E1142" t="s">
        <v>2470</v>
      </c>
      <c r="F1142" s="1">
        <v>85142</v>
      </c>
      <c r="G1142" s="1">
        <v>8265750060</v>
      </c>
      <c r="H1142" s="1">
        <v>6</v>
      </c>
      <c r="I1142" s="1" t="s">
        <v>1188</v>
      </c>
      <c r="J1142" t="s">
        <v>2517</v>
      </c>
    </row>
    <row r="1143" spans="1:10">
      <c r="A1143" s="1">
        <v>91884</v>
      </c>
      <c r="B1143" s="1">
        <v>7252104960</v>
      </c>
      <c r="C1143" s="1">
        <v>12</v>
      </c>
      <c r="D1143" s="1" t="s">
        <v>1201</v>
      </c>
      <c r="E1143" t="s">
        <v>2471</v>
      </c>
      <c r="F1143" s="1">
        <v>85118</v>
      </c>
      <c r="G1143" s="1">
        <v>8265750061</v>
      </c>
      <c r="H1143" s="1">
        <v>4</v>
      </c>
      <c r="I1143" s="1" t="s">
        <v>2293</v>
      </c>
      <c r="J1143" t="s">
        <v>2518</v>
      </c>
    </row>
    <row r="1144" spans="1:10">
      <c r="A1144" s="1">
        <v>83592</v>
      </c>
      <c r="B1144" s="1">
        <v>7252106010</v>
      </c>
      <c r="C1144" s="1">
        <v>1</v>
      </c>
      <c r="D1144" s="1" t="s">
        <v>2374</v>
      </c>
      <c r="E1144" t="s">
        <v>2472</v>
      </c>
      <c r="F1144" s="1">
        <v>86058</v>
      </c>
      <c r="G1144" s="1">
        <v>1906301228</v>
      </c>
      <c r="H1144" s="1">
        <v>4</v>
      </c>
      <c r="I1144" s="1" t="s">
        <v>2506</v>
      </c>
      <c r="J1144" t="s">
        <v>2519</v>
      </c>
    </row>
    <row r="1145" spans="1:10">
      <c r="A1145" s="1">
        <v>91892</v>
      </c>
      <c r="B1145" s="1">
        <v>7252104965</v>
      </c>
      <c r="C1145" s="1">
        <v>12</v>
      </c>
      <c r="D1145" s="1" t="s">
        <v>1201</v>
      </c>
      <c r="E1145" t="s">
        <v>2473</v>
      </c>
      <c r="F1145" s="1">
        <v>86108</v>
      </c>
      <c r="G1145" s="1">
        <v>1906323231</v>
      </c>
      <c r="H1145" s="1">
        <v>4</v>
      </c>
      <c r="I1145" s="1" t="s">
        <v>2506</v>
      </c>
      <c r="J1145" t="s">
        <v>2520</v>
      </c>
    </row>
    <row r="1146" spans="1:10">
      <c r="A1146" s="1">
        <v>91850</v>
      </c>
      <c r="B1146" s="1">
        <v>7252104968</v>
      </c>
      <c r="C1146" s="1">
        <v>12</v>
      </c>
      <c r="D1146" s="1" t="s">
        <v>1201</v>
      </c>
      <c r="E1146" t="s">
        <v>2474</v>
      </c>
      <c r="F1146" s="1">
        <v>85894</v>
      </c>
      <c r="G1146" s="1">
        <v>1906323234</v>
      </c>
      <c r="H1146" s="1">
        <v>4</v>
      </c>
      <c r="I1146" s="1" t="s">
        <v>2506</v>
      </c>
      <c r="J1146" t="s">
        <v>2521</v>
      </c>
    </row>
    <row r="1147" spans="1:10">
      <c r="A1147" s="1">
        <v>96149</v>
      </c>
      <c r="B1147" s="1">
        <v>7252104976</v>
      </c>
      <c r="C1147" s="1">
        <v>12</v>
      </c>
      <c r="D1147" s="1" t="s">
        <v>1201</v>
      </c>
      <c r="E1147" t="s">
        <v>2475</v>
      </c>
      <c r="F1147" s="1">
        <v>387324</v>
      </c>
      <c r="G1147" s="1">
        <v>1906301325</v>
      </c>
      <c r="H1147" s="1">
        <v>12</v>
      </c>
      <c r="I1147" s="1" t="s">
        <v>1201</v>
      </c>
      <c r="J1147" t="s">
        <v>2522</v>
      </c>
    </row>
    <row r="1148" spans="1:10">
      <c r="A1148" s="1">
        <v>91363</v>
      </c>
      <c r="B1148" s="1">
        <v>7252100007</v>
      </c>
      <c r="C1148" s="1">
        <v>8</v>
      </c>
      <c r="D1148" s="1" t="s">
        <v>2408</v>
      </c>
      <c r="E1148" t="s">
        <v>2476</v>
      </c>
      <c r="F1148" s="1">
        <v>273615</v>
      </c>
      <c r="G1148" s="1">
        <v>1906301321</v>
      </c>
      <c r="H1148" s="1">
        <v>12</v>
      </c>
      <c r="I1148" s="1" t="s">
        <v>1201</v>
      </c>
      <c r="J1148" t="s">
        <v>2523</v>
      </c>
    </row>
    <row r="1149" spans="1:10" ht="15.75">
      <c r="A1149" s="4" t="s">
        <v>10703</v>
      </c>
      <c r="B1149" s="2"/>
      <c r="C1149" s="2"/>
      <c r="D1149" s="2"/>
      <c r="E1149" s="3"/>
      <c r="F1149" s="4" t="s">
        <v>10703</v>
      </c>
      <c r="G1149" s="2"/>
      <c r="H1149" s="2"/>
      <c r="I1149" s="2"/>
      <c r="J1149" s="3"/>
    </row>
    <row r="1150" spans="1:10">
      <c r="A1150" s="2" t="s">
        <v>0</v>
      </c>
      <c r="B1150" s="2" t="s">
        <v>1</v>
      </c>
      <c r="C1150" s="2" t="s">
        <v>2</v>
      </c>
      <c r="D1150" s="2" t="s">
        <v>3</v>
      </c>
      <c r="E1150" s="3" t="s">
        <v>4</v>
      </c>
      <c r="F1150" s="2" t="s">
        <v>0</v>
      </c>
      <c r="G1150" s="2" t="s">
        <v>1</v>
      </c>
      <c r="H1150" s="2" t="s">
        <v>2</v>
      </c>
      <c r="I1150" s="2" t="s">
        <v>3</v>
      </c>
      <c r="J1150" s="3" t="s">
        <v>4</v>
      </c>
    </row>
    <row r="1151" spans="1:10">
      <c r="A1151" s="1">
        <v>508523</v>
      </c>
      <c r="B1151" s="1">
        <v>1906301320</v>
      </c>
      <c r="C1151" s="1">
        <v>12</v>
      </c>
      <c r="D1151" s="1" t="s">
        <v>1201</v>
      </c>
      <c r="E1151" t="s">
        <v>2524</v>
      </c>
      <c r="F1151" s="1">
        <v>85704</v>
      </c>
      <c r="G1151" s="1">
        <v>5200050640</v>
      </c>
      <c r="H1151" s="1">
        <v>4</v>
      </c>
      <c r="I1151" s="1" t="s">
        <v>2293</v>
      </c>
      <c r="J1151" t="s">
        <v>2568</v>
      </c>
    </row>
    <row r="1152" spans="1:10">
      <c r="A1152" s="1">
        <v>531939</v>
      </c>
      <c r="B1152" s="1">
        <v>1906301327</v>
      </c>
      <c r="C1152" s="1">
        <v>12</v>
      </c>
      <c r="D1152" s="1" t="s">
        <v>1201</v>
      </c>
      <c r="E1152" t="s">
        <v>2525</v>
      </c>
      <c r="F1152" s="1">
        <v>391805</v>
      </c>
      <c r="G1152" s="1">
        <v>5200000299</v>
      </c>
      <c r="H1152" s="1">
        <v>12</v>
      </c>
      <c r="I1152" s="1" t="s">
        <v>2557</v>
      </c>
      <c r="J1152" t="s">
        <v>2569</v>
      </c>
    </row>
    <row r="1153" spans="1:10">
      <c r="A1153" s="1">
        <v>163725</v>
      </c>
      <c r="B1153" s="1">
        <v>68021402305</v>
      </c>
      <c r="C1153" s="1">
        <v>6</v>
      </c>
      <c r="D1153" s="1" t="s">
        <v>2526</v>
      </c>
      <c r="E1153" t="s">
        <v>2527</v>
      </c>
      <c r="F1153" s="1">
        <v>85969</v>
      </c>
      <c r="G1153" s="1">
        <v>5200050632</v>
      </c>
      <c r="H1153" s="1">
        <v>4</v>
      </c>
      <c r="I1153" s="1" t="s">
        <v>2293</v>
      </c>
      <c r="J1153" t="s">
        <v>2570</v>
      </c>
    </row>
    <row r="1154" spans="1:10">
      <c r="A1154" s="1">
        <v>415059</v>
      </c>
      <c r="B1154" s="1">
        <v>68021402303</v>
      </c>
      <c r="C1154" s="1">
        <v>6</v>
      </c>
      <c r="D1154" s="1" t="s">
        <v>2526</v>
      </c>
      <c r="E1154" t="s">
        <v>2528</v>
      </c>
      <c r="F1154" s="1">
        <v>255273</v>
      </c>
      <c r="G1154" s="1">
        <v>5200000285</v>
      </c>
      <c r="H1154" s="1">
        <v>4</v>
      </c>
      <c r="I1154" s="1" t="s">
        <v>2293</v>
      </c>
      <c r="J1154" t="s">
        <v>2571</v>
      </c>
    </row>
    <row r="1155" spans="1:10">
      <c r="A1155" s="1">
        <v>460873</v>
      </c>
      <c r="B1155" s="1">
        <v>68021402404</v>
      </c>
      <c r="C1155" s="1">
        <v>15</v>
      </c>
      <c r="D1155" s="1" t="s">
        <v>2529</v>
      </c>
      <c r="E1155" t="s">
        <v>2530</v>
      </c>
      <c r="F1155" s="1">
        <v>691584</v>
      </c>
      <c r="G1155" s="1">
        <v>5200000344</v>
      </c>
      <c r="H1155" s="1">
        <v>12</v>
      </c>
      <c r="I1155" s="1" t="s">
        <v>2557</v>
      </c>
      <c r="J1155" t="s">
        <v>2571</v>
      </c>
    </row>
    <row r="1156" spans="1:10">
      <c r="A1156" s="1">
        <v>770198</v>
      </c>
      <c r="B1156" s="1">
        <v>68021402304</v>
      </c>
      <c r="C1156" s="1">
        <v>6</v>
      </c>
      <c r="D1156" s="1" t="s">
        <v>2526</v>
      </c>
      <c r="E1156" t="s">
        <v>2531</v>
      </c>
      <c r="F1156" s="1">
        <v>95232</v>
      </c>
      <c r="G1156" s="1">
        <v>1116609523</v>
      </c>
      <c r="H1156" s="1">
        <v>4</v>
      </c>
      <c r="I1156" s="1" t="s">
        <v>1188</v>
      </c>
      <c r="J1156" t="s">
        <v>2572</v>
      </c>
    </row>
    <row r="1157" spans="1:10">
      <c r="A1157" s="1">
        <v>877571</v>
      </c>
      <c r="B1157" s="1">
        <v>68021402405</v>
      </c>
      <c r="C1157" s="1">
        <v>15</v>
      </c>
      <c r="D1157" s="1" t="s">
        <v>2529</v>
      </c>
      <c r="E1157" t="s">
        <v>2532</v>
      </c>
      <c r="F1157" s="1">
        <v>91389</v>
      </c>
      <c r="G1157" s="1">
        <v>1116609125</v>
      </c>
      <c r="H1157" s="1">
        <v>4</v>
      </c>
      <c r="I1157" s="1" t="s">
        <v>1188</v>
      </c>
      <c r="J1157" t="s">
        <v>2573</v>
      </c>
    </row>
    <row r="1158" spans="1:10">
      <c r="A1158" s="1">
        <v>675280</v>
      </c>
      <c r="B1158" s="1">
        <v>68021402403</v>
      </c>
      <c r="C1158" s="1">
        <v>15</v>
      </c>
      <c r="D1158" s="1" t="s">
        <v>2529</v>
      </c>
      <c r="E1158" t="s">
        <v>2533</v>
      </c>
      <c r="F1158" s="1">
        <v>91405</v>
      </c>
      <c r="G1158" s="1">
        <v>1116609126</v>
      </c>
      <c r="H1158" s="1">
        <v>4</v>
      </c>
      <c r="I1158" s="1" t="s">
        <v>1188</v>
      </c>
      <c r="J1158" t="s">
        <v>2574</v>
      </c>
    </row>
    <row r="1159" spans="1:10">
      <c r="A1159" s="1">
        <v>559484</v>
      </c>
      <c r="B1159" s="1">
        <v>1299310201</v>
      </c>
      <c r="C1159" s="1">
        <v>2</v>
      </c>
      <c r="D1159" s="1" t="s">
        <v>2374</v>
      </c>
      <c r="E1159" t="s">
        <v>2534</v>
      </c>
      <c r="F1159" s="1">
        <v>825513</v>
      </c>
      <c r="G1159" s="1">
        <v>4150880012</v>
      </c>
      <c r="H1159" s="1">
        <v>15</v>
      </c>
      <c r="I1159" s="1" t="s">
        <v>2575</v>
      </c>
      <c r="J1159" t="s">
        <v>2576</v>
      </c>
    </row>
    <row r="1160" spans="1:10">
      <c r="A1160" s="1">
        <v>92957</v>
      </c>
      <c r="B1160" s="1">
        <v>7336037341</v>
      </c>
      <c r="C1160" s="1">
        <v>2</v>
      </c>
      <c r="D1160" s="1" t="s">
        <v>2374</v>
      </c>
      <c r="E1160" t="s">
        <v>2535</v>
      </c>
      <c r="F1160" s="1">
        <v>42671</v>
      </c>
      <c r="G1160" s="1">
        <v>4900004692</v>
      </c>
      <c r="H1160" s="1">
        <v>1</v>
      </c>
      <c r="I1160" s="1" t="s">
        <v>2509</v>
      </c>
      <c r="J1160" t="s">
        <v>2577</v>
      </c>
    </row>
    <row r="1161" spans="1:10">
      <c r="A1161" s="1">
        <v>92361</v>
      </c>
      <c r="B1161" s="1">
        <v>7336074341</v>
      </c>
      <c r="C1161" s="1">
        <v>2</v>
      </c>
      <c r="D1161" s="1" t="s">
        <v>2374</v>
      </c>
      <c r="E1161" t="s">
        <v>2536</v>
      </c>
      <c r="F1161" s="1">
        <v>45963</v>
      </c>
      <c r="G1161" s="1">
        <v>4113021175</v>
      </c>
      <c r="H1161" s="1">
        <v>1</v>
      </c>
      <c r="I1161" s="1" t="s">
        <v>2509</v>
      </c>
      <c r="J1161" t="s">
        <v>2578</v>
      </c>
    </row>
    <row r="1162" spans="1:10">
      <c r="A1162" s="1">
        <v>91835</v>
      </c>
      <c r="B1162" s="1">
        <v>7336070341</v>
      </c>
      <c r="C1162" s="1">
        <v>2</v>
      </c>
      <c r="D1162" s="1" t="s">
        <v>2374</v>
      </c>
      <c r="E1162" t="s">
        <v>2537</v>
      </c>
      <c r="F1162" s="1">
        <v>168187</v>
      </c>
      <c r="G1162" s="1">
        <v>4113021142</v>
      </c>
      <c r="H1162" s="1">
        <v>4</v>
      </c>
      <c r="I1162" s="1" t="s">
        <v>2293</v>
      </c>
      <c r="J1162" t="s">
        <v>2579</v>
      </c>
    </row>
    <row r="1163" spans="1:10">
      <c r="A1163" s="1">
        <v>91819</v>
      </c>
      <c r="B1163" s="1">
        <v>7336023341</v>
      </c>
      <c r="C1163" s="1">
        <v>2</v>
      </c>
      <c r="D1163" s="1" t="s">
        <v>2374</v>
      </c>
      <c r="E1163" t="s">
        <v>2538</v>
      </c>
      <c r="F1163" s="1">
        <v>168237</v>
      </c>
      <c r="G1163" s="1">
        <v>4113021143</v>
      </c>
      <c r="H1163" s="1">
        <v>4</v>
      </c>
      <c r="I1163" s="1" t="s">
        <v>2293</v>
      </c>
      <c r="J1163" t="s">
        <v>2580</v>
      </c>
    </row>
    <row r="1164" spans="1:10">
      <c r="A1164" s="1">
        <v>265926</v>
      </c>
      <c r="B1164" s="1">
        <v>6827435423</v>
      </c>
      <c r="C1164" s="1">
        <v>4</v>
      </c>
      <c r="D1164" s="1" t="s">
        <v>2293</v>
      </c>
      <c r="E1164" t="s">
        <v>2539</v>
      </c>
      <c r="F1164" s="1">
        <v>168252</v>
      </c>
      <c r="G1164" s="1">
        <v>4113021144</v>
      </c>
      <c r="H1164" s="1">
        <v>4</v>
      </c>
      <c r="I1164" s="1" t="s">
        <v>2293</v>
      </c>
      <c r="J1164" t="s">
        <v>2581</v>
      </c>
    </row>
    <row r="1165" spans="1:10">
      <c r="A1165" s="1">
        <v>236083</v>
      </c>
      <c r="B1165" s="1">
        <v>6827491146</v>
      </c>
      <c r="C1165" s="1">
        <v>4</v>
      </c>
      <c r="D1165" s="1" t="s">
        <v>2293</v>
      </c>
      <c r="E1165" t="s">
        <v>2540</v>
      </c>
      <c r="F1165" s="1">
        <v>168260</v>
      </c>
      <c r="G1165" s="1">
        <v>4113021145</v>
      </c>
      <c r="H1165" s="1">
        <v>4</v>
      </c>
      <c r="I1165" s="1" t="s">
        <v>2293</v>
      </c>
      <c r="J1165" t="s">
        <v>2582</v>
      </c>
    </row>
    <row r="1166" spans="1:10">
      <c r="A1166" s="1">
        <v>236091</v>
      </c>
      <c r="B1166" s="1">
        <v>6827491147</v>
      </c>
      <c r="C1166" s="1">
        <v>4</v>
      </c>
      <c r="D1166" s="1" t="s">
        <v>2293</v>
      </c>
      <c r="E1166" t="s">
        <v>2541</v>
      </c>
      <c r="F1166" s="1">
        <v>117333</v>
      </c>
      <c r="G1166" s="1">
        <v>4113021051</v>
      </c>
      <c r="H1166" s="1">
        <v>12</v>
      </c>
      <c r="I1166" s="1" t="s">
        <v>1201</v>
      </c>
      <c r="J1166" t="s">
        <v>2583</v>
      </c>
    </row>
    <row r="1167" spans="1:10">
      <c r="A1167" s="1">
        <v>236075</v>
      </c>
      <c r="B1167" s="1">
        <v>6827491145</v>
      </c>
      <c r="C1167" s="1">
        <v>4</v>
      </c>
      <c r="D1167" s="1" t="s">
        <v>2293</v>
      </c>
      <c r="E1167" t="s">
        <v>2542</v>
      </c>
      <c r="F1167" s="1">
        <v>116343</v>
      </c>
      <c r="G1167" s="1">
        <v>4113021045</v>
      </c>
      <c r="H1167" s="1">
        <v>12</v>
      </c>
      <c r="I1167" s="1" t="s">
        <v>1201</v>
      </c>
      <c r="J1167" t="s">
        <v>2584</v>
      </c>
    </row>
    <row r="1168" spans="1:10">
      <c r="A1168" s="1">
        <v>219360</v>
      </c>
      <c r="B1168" s="1">
        <v>6827492714</v>
      </c>
      <c r="C1168" s="1">
        <v>1</v>
      </c>
      <c r="D1168" s="1" t="s">
        <v>2513</v>
      </c>
      <c r="E1168" t="s">
        <v>2543</v>
      </c>
      <c r="F1168" s="1">
        <v>116202</v>
      </c>
      <c r="G1168" s="1">
        <v>4113021049</v>
      </c>
      <c r="H1168" s="1">
        <v>12</v>
      </c>
      <c r="I1168" s="1" t="s">
        <v>1201</v>
      </c>
      <c r="J1168" t="s">
        <v>2585</v>
      </c>
    </row>
    <row r="1169" spans="1:10">
      <c r="A1169" s="1">
        <v>219386</v>
      </c>
      <c r="B1169" s="1">
        <v>6827493471</v>
      </c>
      <c r="C1169" s="1">
        <v>1</v>
      </c>
      <c r="D1169" s="1" t="s">
        <v>2509</v>
      </c>
      <c r="E1169" t="s">
        <v>2544</v>
      </c>
      <c r="F1169" s="1">
        <v>117366</v>
      </c>
      <c r="G1169" s="1">
        <v>4113021050</v>
      </c>
      <c r="H1169" s="1">
        <v>12</v>
      </c>
      <c r="I1169" s="1" t="s">
        <v>1201</v>
      </c>
      <c r="J1169" t="s">
        <v>2586</v>
      </c>
    </row>
    <row r="1170" spans="1:10">
      <c r="A1170" s="1">
        <v>549899</v>
      </c>
      <c r="B1170" s="1">
        <v>6827443227</v>
      </c>
      <c r="C1170" s="1">
        <v>1</v>
      </c>
      <c r="D1170" s="1" t="s">
        <v>2545</v>
      </c>
      <c r="E1170" t="s">
        <v>2546</v>
      </c>
      <c r="F1170" s="1">
        <v>117267</v>
      </c>
      <c r="G1170" s="1">
        <v>4113021043</v>
      </c>
      <c r="H1170" s="1">
        <v>12</v>
      </c>
      <c r="I1170" s="1" t="s">
        <v>1201</v>
      </c>
      <c r="J1170" t="s">
        <v>2587</v>
      </c>
    </row>
    <row r="1171" spans="1:10">
      <c r="A1171" s="1">
        <v>859546</v>
      </c>
      <c r="B1171" s="1">
        <v>7478064318</v>
      </c>
      <c r="C1171" s="1">
        <v>12</v>
      </c>
      <c r="D1171" s="1" t="s">
        <v>1201</v>
      </c>
      <c r="E1171" t="s">
        <v>2547</v>
      </c>
      <c r="F1171" s="1">
        <v>117374</v>
      </c>
      <c r="G1171" s="1">
        <v>4113021047</v>
      </c>
      <c r="H1171" s="1">
        <v>12</v>
      </c>
      <c r="I1171" s="1" t="s">
        <v>1201</v>
      </c>
      <c r="J1171" t="s">
        <v>2588</v>
      </c>
    </row>
    <row r="1172" spans="1:10">
      <c r="A1172" s="1">
        <v>81281</v>
      </c>
      <c r="B1172" s="1">
        <v>7478063991</v>
      </c>
      <c r="C1172" s="1">
        <v>12</v>
      </c>
      <c r="D1172" s="1" t="s">
        <v>1201</v>
      </c>
      <c r="E1172" t="s">
        <v>2548</v>
      </c>
      <c r="F1172" s="1">
        <v>117556</v>
      </c>
      <c r="G1172" s="1">
        <v>4113021046</v>
      </c>
      <c r="H1172" s="1">
        <v>12</v>
      </c>
      <c r="I1172" s="1" t="s">
        <v>1201</v>
      </c>
      <c r="J1172" t="s">
        <v>2589</v>
      </c>
    </row>
    <row r="1173" spans="1:10">
      <c r="A1173" s="1">
        <v>91223</v>
      </c>
      <c r="B1173" s="1">
        <v>7478000005</v>
      </c>
      <c r="C1173" s="1">
        <v>12</v>
      </c>
      <c r="D1173" s="1" t="s">
        <v>2549</v>
      </c>
      <c r="E1173" t="s">
        <v>2550</v>
      </c>
      <c r="F1173" s="1">
        <v>101212</v>
      </c>
      <c r="G1173" s="1">
        <v>4113021082</v>
      </c>
      <c r="H1173" s="1">
        <v>1</v>
      </c>
      <c r="I1173" s="1" t="s">
        <v>2509</v>
      </c>
      <c r="J1173" t="s">
        <v>2590</v>
      </c>
    </row>
    <row r="1174" spans="1:10">
      <c r="A1174" s="1">
        <v>844852</v>
      </c>
      <c r="B1174" s="1">
        <v>7478091136</v>
      </c>
      <c r="C1174" s="1">
        <v>4</v>
      </c>
      <c r="D1174" s="1" t="s">
        <v>2293</v>
      </c>
      <c r="E1174" t="s">
        <v>2551</v>
      </c>
      <c r="F1174" s="1">
        <v>101246</v>
      </c>
      <c r="G1174" s="1">
        <v>4113021080</v>
      </c>
      <c r="H1174" s="1">
        <v>4</v>
      </c>
      <c r="I1174" s="1" t="s">
        <v>2293</v>
      </c>
      <c r="J1174" t="s">
        <v>2591</v>
      </c>
    </row>
    <row r="1175" spans="1:10">
      <c r="A1175" s="1">
        <v>85381</v>
      </c>
      <c r="B1175" s="1">
        <v>7478000009</v>
      </c>
      <c r="C1175" s="1">
        <v>12</v>
      </c>
      <c r="D1175" s="1" t="s">
        <v>2549</v>
      </c>
      <c r="E1175" t="s">
        <v>2552</v>
      </c>
      <c r="F1175" s="1">
        <v>102731</v>
      </c>
      <c r="G1175" s="1">
        <v>4113021085</v>
      </c>
      <c r="H1175" s="1">
        <v>12</v>
      </c>
      <c r="I1175" s="1" t="s">
        <v>2515</v>
      </c>
      <c r="J1175" t="s">
        <v>2592</v>
      </c>
    </row>
    <row r="1176" spans="1:10">
      <c r="A1176" s="1">
        <v>85399</v>
      </c>
      <c r="B1176" s="1">
        <v>7478000007</v>
      </c>
      <c r="C1176" s="1">
        <v>12</v>
      </c>
      <c r="D1176" s="1" t="s">
        <v>2549</v>
      </c>
      <c r="E1176" t="s">
        <v>2553</v>
      </c>
      <c r="F1176" s="1">
        <v>102541</v>
      </c>
      <c r="G1176" s="1">
        <v>4113021083</v>
      </c>
      <c r="H1176" s="1">
        <v>2</v>
      </c>
      <c r="I1176" s="1" t="s">
        <v>2513</v>
      </c>
      <c r="J1176" t="s">
        <v>2593</v>
      </c>
    </row>
    <row r="1177" spans="1:10">
      <c r="A1177" s="1">
        <v>36939</v>
      </c>
      <c r="B1177" s="1">
        <v>5200051232</v>
      </c>
      <c r="C1177" s="1">
        <v>1</v>
      </c>
      <c r="D1177" s="1" t="s">
        <v>2513</v>
      </c>
      <c r="E1177" t="s">
        <v>2554</v>
      </c>
      <c r="F1177" s="1">
        <v>100438</v>
      </c>
      <c r="G1177" s="1">
        <v>4113021078</v>
      </c>
      <c r="H1177" s="1">
        <v>1</v>
      </c>
      <c r="I1177" s="1" t="s">
        <v>2513</v>
      </c>
      <c r="J1177" t="s">
        <v>2594</v>
      </c>
    </row>
    <row r="1178" spans="1:10">
      <c r="A1178" s="1">
        <v>592022</v>
      </c>
      <c r="B1178" s="1">
        <v>5200000284</v>
      </c>
      <c r="C1178" s="1">
        <v>4</v>
      </c>
      <c r="D1178" s="1" t="s">
        <v>2293</v>
      </c>
      <c r="E1178" t="s">
        <v>2555</v>
      </c>
      <c r="F1178" s="1">
        <v>268953</v>
      </c>
      <c r="G1178" s="1">
        <v>4113021111</v>
      </c>
      <c r="H1178" s="1">
        <v>2</v>
      </c>
      <c r="I1178" s="1" t="s">
        <v>2511</v>
      </c>
      <c r="J1178" t="s">
        <v>2595</v>
      </c>
    </row>
    <row r="1179" spans="1:10">
      <c r="A1179" s="1">
        <v>131995</v>
      </c>
      <c r="B1179" s="1">
        <v>5200000095</v>
      </c>
      <c r="C1179" s="1">
        <v>4</v>
      </c>
      <c r="D1179" s="1" t="s">
        <v>2293</v>
      </c>
      <c r="E1179" t="s">
        <v>2556</v>
      </c>
      <c r="F1179" s="1">
        <v>880005</v>
      </c>
      <c r="G1179" s="1">
        <v>4113021193</v>
      </c>
      <c r="H1179" s="1">
        <v>2</v>
      </c>
      <c r="I1179" s="1" t="s">
        <v>2511</v>
      </c>
      <c r="J1179" t="s">
        <v>2596</v>
      </c>
    </row>
    <row r="1180" spans="1:10">
      <c r="A1180" s="1">
        <v>608778</v>
      </c>
      <c r="B1180" s="1">
        <v>5200000338</v>
      </c>
      <c r="C1180" s="1">
        <v>12</v>
      </c>
      <c r="D1180" s="1" t="s">
        <v>2557</v>
      </c>
      <c r="E1180" t="s">
        <v>2558</v>
      </c>
      <c r="F1180" s="1">
        <v>127902</v>
      </c>
      <c r="G1180" s="1">
        <v>4113021116</v>
      </c>
      <c r="H1180" s="1">
        <v>12</v>
      </c>
      <c r="I1180" s="1" t="s">
        <v>1201</v>
      </c>
      <c r="J1180" t="s">
        <v>2597</v>
      </c>
    </row>
    <row r="1181" spans="1:10">
      <c r="A1181" s="1">
        <v>565945</v>
      </c>
      <c r="B1181" s="1">
        <v>5200051233</v>
      </c>
      <c r="C1181" s="1">
        <v>1</v>
      </c>
      <c r="D1181" s="1" t="s">
        <v>2513</v>
      </c>
      <c r="E1181" t="s">
        <v>2559</v>
      </c>
      <c r="F1181" s="1">
        <v>127894</v>
      </c>
      <c r="G1181" s="1">
        <v>4113021115</v>
      </c>
      <c r="H1181" s="1">
        <v>12</v>
      </c>
      <c r="I1181" s="1" t="s">
        <v>1201</v>
      </c>
      <c r="J1181" t="s">
        <v>2598</v>
      </c>
    </row>
    <row r="1182" spans="1:10">
      <c r="A1182" s="1">
        <v>85183</v>
      </c>
      <c r="B1182" s="1">
        <v>5200050633</v>
      </c>
      <c r="C1182" s="1">
        <v>4</v>
      </c>
      <c r="D1182" s="1" t="s">
        <v>2293</v>
      </c>
      <c r="E1182" t="s">
        <v>2560</v>
      </c>
      <c r="F1182" s="1">
        <v>127910</v>
      </c>
      <c r="G1182" s="1">
        <v>4113021117</v>
      </c>
      <c r="H1182" s="1">
        <v>12</v>
      </c>
      <c r="I1182" s="1" t="s">
        <v>1201</v>
      </c>
      <c r="J1182" t="s">
        <v>2599</v>
      </c>
    </row>
    <row r="1183" spans="1:10">
      <c r="A1183" s="1">
        <v>344366</v>
      </c>
      <c r="B1183" s="1">
        <v>5200000343</v>
      </c>
      <c r="C1183" s="1">
        <v>12</v>
      </c>
      <c r="D1183" s="1" t="s">
        <v>2557</v>
      </c>
      <c r="E1183" t="s">
        <v>2561</v>
      </c>
      <c r="F1183" s="1">
        <v>252411</v>
      </c>
      <c r="G1183" s="1">
        <v>4113021162</v>
      </c>
      <c r="H1183" s="1">
        <v>2</v>
      </c>
      <c r="I1183" s="1" t="s">
        <v>2511</v>
      </c>
      <c r="J1183" t="s">
        <v>2600</v>
      </c>
    </row>
    <row r="1184" spans="1:10">
      <c r="A1184" s="1">
        <v>705772</v>
      </c>
      <c r="B1184" s="1">
        <v>5200000254</v>
      </c>
      <c r="C1184" s="1">
        <v>12</v>
      </c>
      <c r="D1184" s="1" t="s">
        <v>2557</v>
      </c>
      <c r="E1184" t="s">
        <v>2562</v>
      </c>
      <c r="F1184" s="1">
        <v>852699</v>
      </c>
      <c r="G1184" s="1">
        <v>4113021203</v>
      </c>
      <c r="H1184" s="1">
        <v>12</v>
      </c>
      <c r="I1184" s="1" t="s">
        <v>2601</v>
      </c>
      <c r="J1184" t="s">
        <v>2602</v>
      </c>
    </row>
    <row r="1185" spans="1:10">
      <c r="A1185" s="1">
        <v>547950</v>
      </c>
      <c r="B1185" s="1">
        <v>5200000342</v>
      </c>
      <c r="C1185" s="1">
        <v>12</v>
      </c>
      <c r="D1185" s="1" t="s">
        <v>2557</v>
      </c>
      <c r="E1185" t="s">
        <v>2563</v>
      </c>
      <c r="F1185" s="1">
        <v>151159</v>
      </c>
      <c r="G1185" s="1">
        <v>4113021207</v>
      </c>
      <c r="H1185" s="1">
        <v>12</v>
      </c>
      <c r="I1185" s="1" t="s">
        <v>2601</v>
      </c>
      <c r="J1185" t="s">
        <v>2603</v>
      </c>
    </row>
    <row r="1186" spans="1:10">
      <c r="A1186" s="1">
        <v>444919</v>
      </c>
      <c r="B1186" s="1">
        <v>5200051248</v>
      </c>
      <c r="C1186" s="1">
        <v>1</v>
      </c>
      <c r="D1186" s="1" t="s">
        <v>2513</v>
      </c>
      <c r="E1186" t="s">
        <v>2564</v>
      </c>
      <c r="F1186" s="1">
        <v>587121</v>
      </c>
      <c r="G1186" s="1">
        <v>4113021205</v>
      </c>
      <c r="H1186" s="1">
        <v>12</v>
      </c>
      <c r="I1186" s="1" t="s">
        <v>2601</v>
      </c>
      <c r="J1186" t="s">
        <v>2604</v>
      </c>
    </row>
    <row r="1187" spans="1:10">
      <c r="A1187" s="1">
        <v>84053</v>
      </c>
      <c r="B1187" s="1">
        <v>5200050648</v>
      </c>
      <c r="C1187" s="1">
        <v>4</v>
      </c>
      <c r="D1187" s="1" t="s">
        <v>2293</v>
      </c>
      <c r="E1187" t="s">
        <v>2565</v>
      </c>
      <c r="F1187" s="1">
        <v>515494</v>
      </c>
      <c r="G1187" s="1">
        <v>4113021206</v>
      </c>
      <c r="H1187" s="1">
        <v>12</v>
      </c>
      <c r="I1187" s="1" t="s">
        <v>2601</v>
      </c>
      <c r="J1187" t="s">
        <v>2605</v>
      </c>
    </row>
    <row r="1188" spans="1:10">
      <c r="A1188" s="1">
        <v>109751</v>
      </c>
      <c r="B1188" s="1">
        <v>5200000339</v>
      </c>
      <c r="C1188" s="1">
        <v>12</v>
      </c>
      <c r="D1188" s="1" t="s">
        <v>2557</v>
      </c>
      <c r="E1188" t="s">
        <v>2566</v>
      </c>
      <c r="F1188" s="1">
        <v>252023</v>
      </c>
      <c r="G1188" s="1">
        <v>4113021204</v>
      </c>
      <c r="H1188" s="1">
        <v>12</v>
      </c>
      <c r="I1188" s="1" t="s">
        <v>2601</v>
      </c>
      <c r="J1188" t="s">
        <v>2606</v>
      </c>
    </row>
    <row r="1189" spans="1:10">
      <c r="A1189" s="1">
        <v>415646</v>
      </c>
      <c r="B1189" s="1">
        <v>5200051200</v>
      </c>
      <c r="C1189" s="1">
        <v>1</v>
      </c>
      <c r="D1189" s="1" t="s">
        <v>2513</v>
      </c>
      <c r="E1189" t="s">
        <v>2567</v>
      </c>
      <c r="F1189" s="1">
        <v>88633</v>
      </c>
      <c r="G1189" s="1">
        <v>7272101136</v>
      </c>
      <c r="H1189" s="1">
        <v>3</v>
      </c>
      <c r="I1189" s="1" t="s">
        <v>1188</v>
      </c>
      <c r="J1189" t="s">
        <v>2607</v>
      </c>
    </row>
    <row r="1190" spans="1:10" ht="15.75">
      <c r="A1190" s="4" t="s">
        <v>10703</v>
      </c>
      <c r="B1190" s="2"/>
      <c r="C1190" s="2"/>
      <c r="D1190" s="2"/>
      <c r="E1190" s="3"/>
      <c r="F1190" s="4" t="s">
        <v>10704</v>
      </c>
      <c r="G1190" s="2"/>
      <c r="H1190" s="2"/>
      <c r="I1190" s="2"/>
      <c r="J1190" s="3"/>
    </row>
    <row r="1191" spans="1:10">
      <c r="A1191" s="2" t="s">
        <v>0</v>
      </c>
      <c r="B1191" s="2" t="s">
        <v>1</v>
      </c>
      <c r="C1191" s="2" t="s">
        <v>2</v>
      </c>
      <c r="D1191" s="2" t="s">
        <v>3</v>
      </c>
      <c r="E1191" s="3" t="s">
        <v>4</v>
      </c>
      <c r="F1191" s="2" t="s">
        <v>0</v>
      </c>
      <c r="G1191" s="2" t="s">
        <v>1</v>
      </c>
      <c r="H1191" s="2" t="s">
        <v>2</v>
      </c>
      <c r="I1191" s="2" t="s">
        <v>3</v>
      </c>
      <c r="J1191" s="3" t="s">
        <v>4</v>
      </c>
    </row>
    <row r="1192" spans="1:10">
      <c r="A1192" s="1">
        <v>88641</v>
      </c>
      <c r="B1192" s="1">
        <v>7272100225</v>
      </c>
      <c r="C1192" s="1">
        <v>2</v>
      </c>
      <c r="D1192" s="1" t="s">
        <v>2511</v>
      </c>
      <c r="E1192" t="s">
        <v>2608</v>
      </c>
      <c r="F1192" s="1">
        <v>299636</v>
      </c>
      <c r="G1192" s="1">
        <v>4300002337</v>
      </c>
      <c r="H1192" s="1">
        <v>12</v>
      </c>
      <c r="I1192" s="1" t="s">
        <v>329</v>
      </c>
      <c r="J1192" t="s">
        <v>2660</v>
      </c>
    </row>
    <row r="1193" spans="1:10">
      <c r="A1193" s="1">
        <v>271122</v>
      </c>
      <c r="B1193" s="1">
        <v>7272100040</v>
      </c>
      <c r="C1193" s="1">
        <v>3</v>
      </c>
      <c r="D1193" s="1" t="s">
        <v>1188</v>
      </c>
      <c r="E1193" t="s">
        <v>2609</v>
      </c>
      <c r="F1193" s="1">
        <v>740589</v>
      </c>
      <c r="G1193" s="1">
        <v>4300001729</v>
      </c>
      <c r="H1193" s="1">
        <v>12</v>
      </c>
      <c r="I1193" s="1" t="s">
        <v>99</v>
      </c>
      <c r="J1193" t="s">
        <v>2661</v>
      </c>
    </row>
    <row r="1194" spans="1:10">
      <c r="A1194" s="1">
        <v>88484</v>
      </c>
      <c r="B1194" s="1">
        <v>7272100128</v>
      </c>
      <c r="C1194" s="1">
        <v>3</v>
      </c>
      <c r="D1194" s="1" t="s">
        <v>1188</v>
      </c>
      <c r="E1194" t="s">
        <v>2610</v>
      </c>
      <c r="F1194" s="1">
        <v>89672</v>
      </c>
      <c r="G1194" s="1">
        <v>4300095077</v>
      </c>
      <c r="H1194" s="1">
        <v>12</v>
      </c>
      <c r="I1194" s="1" t="s">
        <v>203</v>
      </c>
      <c r="J1194" t="s">
        <v>2662</v>
      </c>
    </row>
    <row r="1195" spans="1:10">
      <c r="A1195" s="1">
        <v>88591</v>
      </c>
      <c r="B1195" s="1">
        <v>7272100025</v>
      </c>
      <c r="C1195" s="1">
        <v>2</v>
      </c>
      <c r="D1195" s="1" t="s">
        <v>2511</v>
      </c>
      <c r="E1195" t="s">
        <v>2610</v>
      </c>
      <c r="F1195" s="1">
        <v>90217</v>
      </c>
      <c r="G1195" s="1">
        <v>4300095051</v>
      </c>
      <c r="H1195" s="1">
        <v>12</v>
      </c>
      <c r="I1195" s="1" t="s">
        <v>2663</v>
      </c>
      <c r="J1195" t="s">
        <v>2664</v>
      </c>
    </row>
    <row r="1196" spans="1:10" ht="15.75">
      <c r="A1196" s="4" t="s">
        <v>10704</v>
      </c>
      <c r="B1196" s="2"/>
      <c r="C1196" s="2"/>
      <c r="D1196" s="2"/>
      <c r="E1196" s="3"/>
      <c r="F1196" s="1">
        <v>90050</v>
      </c>
      <c r="G1196" s="1">
        <v>4300095019</v>
      </c>
      <c r="H1196" s="1">
        <v>12</v>
      </c>
      <c r="I1196" s="1" t="s">
        <v>95</v>
      </c>
      <c r="J1196" t="s">
        <v>2665</v>
      </c>
    </row>
    <row r="1197" spans="1:10">
      <c r="A1197" s="2" t="s">
        <v>0</v>
      </c>
      <c r="B1197" s="2" t="s">
        <v>1</v>
      </c>
      <c r="C1197" s="2" t="s">
        <v>2</v>
      </c>
      <c r="D1197" s="2" t="s">
        <v>3</v>
      </c>
      <c r="E1197" s="3" t="s">
        <v>4</v>
      </c>
      <c r="F1197" s="1">
        <v>89706</v>
      </c>
      <c r="G1197" s="1">
        <v>4300095028</v>
      </c>
      <c r="H1197" s="1">
        <v>12</v>
      </c>
      <c r="I1197" s="1" t="s">
        <v>2666</v>
      </c>
      <c r="J1197" t="s">
        <v>2667</v>
      </c>
    </row>
    <row r="1198" spans="1:10">
      <c r="A1198" s="1">
        <v>713529</v>
      </c>
      <c r="B1198" s="1">
        <v>4138731755</v>
      </c>
      <c r="C1198" s="1">
        <v>6</v>
      </c>
      <c r="D1198" s="1" t="s">
        <v>2611</v>
      </c>
      <c r="E1198" t="s">
        <v>2612</v>
      </c>
      <c r="F1198" s="1">
        <v>89664</v>
      </c>
      <c r="G1198" s="1">
        <v>4300095085</v>
      </c>
      <c r="H1198" s="1">
        <v>12</v>
      </c>
      <c r="I1198" s="1" t="s">
        <v>99</v>
      </c>
      <c r="J1198" t="s">
        <v>2668</v>
      </c>
    </row>
    <row r="1199" spans="1:10">
      <c r="A1199" s="1">
        <v>713495</v>
      </c>
      <c r="B1199" s="1">
        <v>4138732482</v>
      </c>
      <c r="C1199" s="1">
        <v>6</v>
      </c>
      <c r="D1199" s="1" t="s">
        <v>2613</v>
      </c>
      <c r="E1199" t="s">
        <v>2614</v>
      </c>
      <c r="F1199" s="1">
        <v>89425</v>
      </c>
      <c r="G1199" s="1">
        <v>4300094963</v>
      </c>
      <c r="H1199" s="1">
        <v>12</v>
      </c>
      <c r="I1199" s="1" t="s">
        <v>16</v>
      </c>
      <c r="J1199" t="s">
        <v>2669</v>
      </c>
    </row>
    <row r="1200" spans="1:10">
      <c r="A1200" s="1">
        <v>713511</v>
      </c>
      <c r="B1200" s="1">
        <v>4138730757</v>
      </c>
      <c r="C1200" s="1">
        <v>6</v>
      </c>
      <c r="D1200" s="1" t="s">
        <v>2615</v>
      </c>
      <c r="E1200" t="s">
        <v>2616</v>
      </c>
      <c r="F1200" s="1">
        <v>101618</v>
      </c>
      <c r="G1200" s="1">
        <v>4300095016</v>
      </c>
      <c r="H1200" s="1">
        <v>12</v>
      </c>
      <c r="I1200" s="1" t="s">
        <v>203</v>
      </c>
      <c r="J1200" t="s">
        <v>2670</v>
      </c>
    </row>
    <row r="1201" spans="1:10">
      <c r="A1201" s="1">
        <v>457994</v>
      </c>
      <c r="B1201" s="1">
        <v>4138712238</v>
      </c>
      <c r="C1201" s="1">
        <v>6</v>
      </c>
      <c r="D1201" s="1" t="s">
        <v>2617</v>
      </c>
      <c r="E1201" t="s">
        <v>2618</v>
      </c>
      <c r="F1201" s="1">
        <v>89482</v>
      </c>
      <c r="G1201" s="1">
        <v>4300095080</v>
      </c>
      <c r="H1201" s="1">
        <v>12</v>
      </c>
      <c r="I1201" s="1" t="s">
        <v>17</v>
      </c>
      <c r="J1201" t="s">
        <v>2671</v>
      </c>
    </row>
    <row r="1202" spans="1:10">
      <c r="A1202" s="1">
        <v>713503</v>
      </c>
      <c r="B1202" s="1">
        <v>4138791771</v>
      </c>
      <c r="C1202" s="1">
        <v>6</v>
      </c>
      <c r="D1202" s="1" t="s">
        <v>2619</v>
      </c>
      <c r="E1202" t="s">
        <v>2620</v>
      </c>
      <c r="F1202" s="1">
        <v>162651</v>
      </c>
      <c r="G1202" s="1">
        <v>4300002878</v>
      </c>
      <c r="H1202" s="1">
        <v>12</v>
      </c>
      <c r="I1202" s="1" t="s">
        <v>2672</v>
      </c>
      <c r="J1202" t="s">
        <v>2673</v>
      </c>
    </row>
    <row r="1203" spans="1:10">
      <c r="A1203" s="1">
        <v>752204</v>
      </c>
      <c r="B1203" s="1">
        <v>4138772357</v>
      </c>
      <c r="C1203" s="1">
        <v>6</v>
      </c>
      <c r="D1203" s="1" t="s">
        <v>2621</v>
      </c>
      <c r="E1203" t="s">
        <v>2622</v>
      </c>
      <c r="F1203" s="1">
        <v>595645</v>
      </c>
      <c r="G1203" s="1">
        <v>7239233663</v>
      </c>
      <c r="H1203" s="1">
        <v>12</v>
      </c>
      <c r="I1203" s="1" t="s">
        <v>99</v>
      </c>
      <c r="J1203" t="s">
        <v>2674</v>
      </c>
    </row>
    <row r="1204" spans="1:10">
      <c r="A1204" s="1">
        <v>88781</v>
      </c>
      <c r="B1204" s="1">
        <v>4300095117</v>
      </c>
      <c r="C1204" s="1">
        <v>12</v>
      </c>
      <c r="D1204" s="1" t="s">
        <v>574</v>
      </c>
      <c r="E1204" t="s">
        <v>2623</v>
      </c>
      <c r="F1204" s="1">
        <v>301200</v>
      </c>
      <c r="G1204" s="1">
        <v>7239233662</v>
      </c>
      <c r="H1204" s="1">
        <v>12</v>
      </c>
      <c r="I1204" s="1" t="s">
        <v>110</v>
      </c>
      <c r="J1204" t="s">
        <v>2675</v>
      </c>
    </row>
    <row r="1205" spans="1:10">
      <c r="A1205" s="1">
        <v>89110</v>
      </c>
      <c r="B1205" s="1">
        <v>4300095114</v>
      </c>
      <c r="C1205" s="1">
        <v>12</v>
      </c>
      <c r="D1205" s="1" t="s">
        <v>574</v>
      </c>
      <c r="E1205" t="s">
        <v>2624</v>
      </c>
      <c r="F1205" s="1">
        <v>278275</v>
      </c>
      <c r="G1205" s="1">
        <v>7239233665</v>
      </c>
      <c r="H1205" s="1">
        <v>12</v>
      </c>
      <c r="I1205" s="1" t="s">
        <v>2666</v>
      </c>
      <c r="J1205" t="s">
        <v>2676</v>
      </c>
    </row>
    <row r="1206" spans="1:10">
      <c r="A1206" s="1">
        <v>401695</v>
      </c>
      <c r="B1206" s="1">
        <v>4300002339</v>
      </c>
      <c r="C1206" s="1">
        <v>12</v>
      </c>
      <c r="D1206" s="1" t="s">
        <v>2625</v>
      </c>
      <c r="E1206" t="s">
        <v>2626</v>
      </c>
      <c r="F1206" s="1">
        <v>691576</v>
      </c>
      <c r="G1206" s="1">
        <v>7239233666</v>
      </c>
      <c r="H1206" s="1">
        <v>12</v>
      </c>
      <c r="I1206" s="1" t="s">
        <v>2218</v>
      </c>
      <c r="J1206" t="s">
        <v>2677</v>
      </c>
    </row>
    <row r="1207" spans="1:10">
      <c r="A1207" s="1">
        <v>98863</v>
      </c>
      <c r="B1207" s="1">
        <v>4300094542</v>
      </c>
      <c r="C1207" s="1">
        <v>12</v>
      </c>
      <c r="D1207" s="1" t="s">
        <v>2627</v>
      </c>
      <c r="E1207" t="s">
        <v>2628</v>
      </c>
      <c r="F1207" s="1">
        <v>392993</v>
      </c>
      <c r="G1207" s="1">
        <v>4138741600</v>
      </c>
      <c r="H1207" s="1">
        <v>6</v>
      </c>
      <c r="I1207" s="1" t="s">
        <v>546</v>
      </c>
      <c r="J1207" t="s">
        <v>2678</v>
      </c>
    </row>
    <row r="1208" spans="1:10">
      <c r="A1208" s="1">
        <v>572917</v>
      </c>
      <c r="B1208" s="1">
        <v>4300002888</v>
      </c>
      <c r="C1208" s="1">
        <v>12</v>
      </c>
      <c r="D1208" s="1" t="s">
        <v>2629</v>
      </c>
      <c r="E1208" t="s">
        <v>2630</v>
      </c>
      <c r="F1208" s="1">
        <v>595652</v>
      </c>
      <c r="G1208" s="1">
        <v>4138713530</v>
      </c>
      <c r="H1208" s="1">
        <v>6</v>
      </c>
      <c r="I1208" s="1" t="s">
        <v>546</v>
      </c>
      <c r="J1208" t="s">
        <v>2679</v>
      </c>
    </row>
    <row r="1209" spans="1:10">
      <c r="A1209" s="1">
        <v>535542</v>
      </c>
      <c r="B1209" s="1">
        <v>4300002264</v>
      </c>
      <c r="C1209" s="1">
        <v>12</v>
      </c>
      <c r="D1209" s="1" t="s">
        <v>17</v>
      </c>
      <c r="E1209" t="s">
        <v>2631</v>
      </c>
      <c r="F1209" s="1">
        <v>827444</v>
      </c>
      <c r="G1209" s="1">
        <v>4138723442</v>
      </c>
      <c r="H1209" s="1">
        <v>6</v>
      </c>
      <c r="I1209" s="1" t="s">
        <v>347</v>
      </c>
      <c r="J1209" t="s">
        <v>2680</v>
      </c>
    </row>
    <row r="1210" spans="1:10">
      <c r="A1210" s="1">
        <v>713453</v>
      </c>
      <c r="B1210" s="1">
        <v>4300001133</v>
      </c>
      <c r="C1210" s="1">
        <v>12</v>
      </c>
      <c r="D1210" s="1" t="s">
        <v>91</v>
      </c>
      <c r="E1210" t="s">
        <v>2632</v>
      </c>
      <c r="F1210" s="1">
        <v>713578</v>
      </c>
      <c r="G1210" s="1">
        <v>4138722792</v>
      </c>
      <c r="H1210" s="1">
        <v>8</v>
      </c>
      <c r="I1210" s="1" t="s">
        <v>2681</v>
      </c>
      <c r="J1210" t="s">
        <v>2682</v>
      </c>
    </row>
    <row r="1211" spans="1:10">
      <c r="A1211" s="1">
        <v>81943</v>
      </c>
      <c r="B1211" s="1">
        <v>4300002885</v>
      </c>
      <c r="C1211" s="1">
        <v>12</v>
      </c>
      <c r="D1211" s="1" t="s">
        <v>145</v>
      </c>
      <c r="E1211" t="s">
        <v>2633</v>
      </c>
      <c r="F1211" s="1">
        <v>313627</v>
      </c>
      <c r="G1211" s="1">
        <v>5200036002</v>
      </c>
      <c r="H1211" s="1">
        <v>12</v>
      </c>
      <c r="I1211" s="1" t="s">
        <v>1818</v>
      </c>
      <c r="J1211" t="s">
        <v>2683</v>
      </c>
    </row>
    <row r="1212" spans="1:10">
      <c r="A1212" s="1">
        <v>432278</v>
      </c>
      <c r="B1212" s="1">
        <v>4300001288</v>
      </c>
      <c r="C1212" s="1">
        <v>12</v>
      </c>
      <c r="D1212" s="1" t="s">
        <v>200</v>
      </c>
      <c r="E1212" t="s">
        <v>2634</v>
      </c>
      <c r="F1212" s="1">
        <v>670406</v>
      </c>
      <c r="G1212" s="1">
        <v>5200036204</v>
      </c>
      <c r="H1212" s="1">
        <v>10</v>
      </c>
      <c r="I1212" s="1" t="s">
        <v>106</v>
      </c>
      <c r="J1212" t="s">
        <v>2684</v>
      </c>
    </row>
    <row r="1213" spans="1:10">
      <c r="A1213" s="1">
        <v>89458</v>
      </c>
      <c r="B1213" s="1">
        <v>4300095064</v>
      </c>
      <c r="C1213" s="1">
        <v>12</v>
      </c>
      <c r="D1213" s="1" t="s">
        <v>108</v>
      </c>
      <c r="E1213" t="s">
        <v>2635</v>
      </c>
      <c r="F1213" s="1">
        <v>695122</v>
      </c>
      <c r="G1213" s="1">
        <v>5200036200</v>
      </c>
      <c r="H1213" s="1">
        <v>10</v>
      </c>
      <c r="I1213" s="1" t="s">
        <v>106</v>
      </c>
      <c r="J1213" t="s">
        <v>2685</v>
      </c>
    </row>
    <row r="1214" spans="1:10">
      <c r="A1214" s="1">
        <v>441295</v>
      </c>
      <c r="B1214" s="1">
        <v>4300002259</v>
      </c>
      <c r="C1214" s="1">
        <v>12</v>
      </c>
      <c r="D1214" s="1" t="s">
        <v>2636</v>
      </c>
      <c r="E1214" t="s">
        <v>2637</v>
      </c>
      <c r="F1214" s="1">
        <v>432716</v>
      </c>
      <c r="G1214" s="1">
        <v>5200036000</v>
      </c>
      <c r="H1214" s="1">
        <v>12</v>
      </c>
      <c r="I1214" s="1" t="s">
        <v>1818</v>
      </c>
      <c r="J1214" t="s">
        <v>2686</v>
      </c>
    </row>
    <row r="1215" spans="1:10">
      <c r="A1215" s="1">
        <v>89441</v>
      </c>
      <c r="B1215" s="1">
        <v>4300095065</v>
      </c>
      <c r="C1215" s="1">
        <v>12</v>
      </c>
      <c r="D1215" s="1" t="s">
        <v>251</v>
      </c>
      <c r="E1215" t="s">
        <v>2638</v>
      </c>
      <c r="F1215" s="1">
        <v>457424</v>
      </c>
      <c r="G1215" s="1">
        <v>5200036001</v>
      </c>
      <c r="H1215" s="1">
        <v>12</v>
      </c>
      <c r="I1215" s="1" t="s">
        <v>1818</v>
      </c>
      <c r="J1215" t="s">
        <v>2687</v>
      </c>
    </row>
    <row r="1216" spans="1:10">
      <c r="A1216" s="1">
        <v>88831</v>
      </c>
      <c r="B1216" s="1">
        <v>4300095023</v>
      </c>
      <c r="C1216" s="1">
        <v>12</v>
      </c>
      <c r="D1216" s="1" t="s">
        <v>212</v>
      </c>
      <c r="E1216" t="s">
        <v>2639</v>
      </c>
      <c r="F1216" s="1">
        <v>150573</v>
      </c>
      <c r="G1216" s="1">
        <v>4300001714</v>
      </c>
      <c r="H1216" s="1">
        <v>192</v>
      </c>
      <c r="I1216" s="1" t="s">
        <v>2688</v>
      </c>
      <c r="J1216" t="s">
        <v>2689</v>
      </c>
    </row>
    <row r="1217" spans="1:10">
      <c r="A1217" s="1">
        <v>92023</v>
      </c>
      <c r="B1217" s="1">
        <v>4300094502</v>
      </c>
      <c r="C1217" s="1">
        <v>12</v>
      </c>
      <c r="D1217" s="1" t="s">
        <v>108</v>
      </c>
      <c r="E1217" t="s">
        <v>2640</v>
      </c>
      <c r="F1217" s="1">
        <v>295204</v>
      </c>
      <c r="G1217" s="1">
        <v>4300095687</v>
      </c>
      <c r="H1217" s="1">
        <v>192</v>
      </c>
      <c r="I1217" s="1" t="s">
        <v>2690</v>
      </c>
      <c r="J1217" t="s">
        <v>2691</v>
      </c>
    </row>
    <row r="1218" spans="1:10">
      <c r="A1218" s="1">
        <v>92056</v>
      </c>
      <c r="B1218" s="1">
        <v>4300094509</v>
      </c>
      <c r="C1218" s="1">
        <v>12</v>
      </c>
      <c r="D1218" s="1" t="s">
        <v>2288</v>
      </c>
      <c r="E1218" t="s">
        <v>2641</v>
      </c>
      <c r="F1218" s="1">
        <v>499384</v>
      </c>
      <c r="G1218" s="1">
        <v>4300095567</v>
      </c>
      <c r="H1218" s="1">
        <v>192</v>
      </c>
      <c r="I1218" s="1" t="s">
        <v>2692</v>
      </c>
      <c r="J1218" t="s">
        <v>2693</v>
      </c>
    </row>
    <row r="1219" spans="1:10">
      <c r="A1219" s="1">
        <v>713412</v>
      </c>
      <c r="B1219" s="1">
        <v>4300001120</v>
      </c>
      <c r="C1219" s="1">
        <v>12</v>
      </c>
      <c r="D1219" s="1" t="s">
        <v>2642</v>
      </c>
      <c r="E1219" t="s">
        <v>2643</v>
      </c>
      <c r="F1219" s="1">
        <v>245910</v>
      </c>
      <c r="G1219" s="1">
        <v>4300095562</v>
      </c>
      <c r="H1219" s="1">
        <v>192</v>
      </c>
      <c r="I1219" s="1" t="s">
        <v>2692</v>
      </c>
      <c r="J1219" t="s">
        <v>2694</v>
      </c>
    </row>
    <row r="1220" spans="1:10">
      <c r="A1220" s="1">
        <v>597195</v>
      </c>
      <c r="B1220" s="1">
        <v>4300094511</v>
      </c>
      <c r="C1220" s="1">
        <v>12</v>
      </c>
      <c r="D1220" s="1" t="s">
        <v>2644</v>
      </c>
      <c r="E1220" t="s">
        <v>2645</v>
      </c>
      <c r="F1220" s="1">
        <v>194225</v>
      </c>
      <c r="G1220" s="1">
        <v>4300095563</v>
      </c>
      <c r="H1220" s="1">
        <v>192</v>
      </c>
      <c r="I1220" s="1" t="s">
        <v>2695</v>
      </c>
      <c r="J1220" t="s">
        <v>2696</v>
      </c>
    </row>
    <row r="1221" spans="1:10">
      <c r="A1221" s="1">
        <v>377879</v>
      </c>
      <c r="B1221" s="1">
        <v>4300001728</v>
      </c>
      <c r="C1221" s="1">
        <v>12</v>
      </c>
      <c r="D1221" s="1" t="s">
        <v>2646</v>
      </c>
      <c r="E1221" t="s">
        <v>2647</v>
      </c>
      <c r="F1221" s="1">
        <v>211656</v>
      </c>
      <c r="G1221" s="1">
        <v>4300095547</v>
      </c>
      <c r="H1221" s="1">
        <v>192</v>
      </c>
      <c r="I1221" s="1" t="s">
        <v>2690</v>
      </c>
      <c r="J1221" t="s">
        <v>2697</v>
      </c>
    </row>
    <row r="1222" spans="1:10">
      <c r="A1222" s="1">
        <v>713420</v>
      </c>
      <c r="B1222" s="1">
        <v>4300001117</v>
      </c>
      <c r="C1222" s="1">
        <v>12</v>
      </c>
      <c r="D1222" s="1" t="s">
        <v>85</v>
      </c>
      <c r="E1222" t="s">
        <v>2648</v>
      </c>
      <c r="F1222" s="1">
        <v>577940</v>
      </c>
      <c r="G1222" s="1">
        <v>4300095499</v>
      </c>
      <c r="H1222" s="1">
        <v>192</v>
      </c>
      <c r="I1222" s="1" t="s">
        <v>2692</v>
      </c>
      <c r="J1222" t="s">
        <v>2698</v>
      </c>
    </row>
    <row r="1223" spans="1:10">
      <c r="A1223" s="1">
        <v>485789</v>
      </c>
      <c r="B1223" s="1">
        <v>4300001286</v>
      </c>
      <c r="C1223" s="1">
        <v>12</v>
      </c>
      <c r="D1223" s="1" t="s">
        <v>2218</v>
      </c>
      <c r="E1223" t="s">
        <v>2649</v>
      </c>
      <c r="F1223" s="1">
        <v>755728</v>
      </c>
      <c r="G1223" s="1">
        <v>4300095569</v>
      </c>
      <c r="H1223" s="1">
        <v>192</v>
      </c>
      <c r="I1223" s="1" t="s">
        <v>2699</v>
      </c>
      <c r="J1223" t="s">
        <v>2700</v>
      </c>
    </row>
    <row r="1224" spans="1:10">
      <c r="A1224" s="1">
        <v>787424</v>
      </c>
      <c r="B1224" s="1">
        <v>4300002222</v>
      </c>
      <c r="C1224" s="1">
        <v>12</v>
      </c>
      <c r="D1224" s="1" t="s">
        <v>2642</v>
      </c>
      <c r="E1224" t="s">
        <v>2650</v>
      </c>
      <c r="F1224" s="1">
        <v>279836</v>
      </c>
      <c r="G1224" s="1">
        <v>4300095611</v>
      </c>
      <c r="H1224" s="1">
        <v>192</v>
      </c>
      <c r="I1224" s="1" t="s">
        <v>2701</v>
      </c>
      <c r="J1224" t="s">
        <v>2702</v>
      </c>
    </row>
    <row r="1225" spans="1:10">
      <c r="A1225" s="1">
        <v>506311</v>
      </c>
      <c r="B1225" s="1">
        <v>4300001287</v>
      </c>
      <c r="C1225" s="1">
        <v>12</v>
      </c>
      <c r="D1225" s="1" t="s">
        <v>2218</v>
      </c>
      <c r="E1225" t="s">
        <v>2651</v>
      </c>
      <c r="F1225" s="1">
        <v>755173</v>
      </c>
      <c r="G1225" s="1">
        <v>4300095531</v>
      </c>
      <c r="H1225" s="1">
        <v>192</v>
      </c>
      <c r="I1225" s="1" t="s">
        <v>2688</v>
      </c>
      <c r="J1225" t="s">
        <v>2703</v>
      </c>
    </row>
    <row r="1226" spans="1:10">
      <c r="A1226" s="1">
        <v>16360</v>
      </c>
      <c r="B1226" s="1">
        <v>4300002209</v>
      </c>
      <c r="C1226" s="1">
        <v>12</v>
      </c>
      <c r="D1226" s="1" t="s">
        <v>91</v>
      </c>
      <c r="E1226" t="s">
        <v>2652</v>
      </c>
      <c r="F1226" s="1">
        <v>549360</v>
      </c>
      <c r="G1226" s="1">
        <v>4300095570</v>
      </c>
      <c r="H1226" s="1">
        <v>192</v>
      </c>
      <c r="I1226" s="1" t="s">
        <v>2699</v>
      </c>
      <c r="J1226" t="s">
        <v>2704</v>
      </c>
    </row>
    <row r="1227" spans="1:10">
      <c r="A1227" s="1">
        <v>399097</v>
      </c>
      <c r="B1227" s="1">
        <v>4300001564</v>
      </c>
      <c r="C1227" s="1">
        <v>12</v>
      </c>
      <c r="D1227" s="1" t="s">
        <v>2653</v>
      </c>
      <c r="E1227" t="s">
        <v>2654</v>
      </c>
      <c r="F1227" s="1">
        <v>476028</v>
      </c>
      <c r="G1227" s="1">
        <v>4300095561</v>
      </c>
      <c r="H1227" s="1">
        <v>192</v>
      </c>
      <c r="I1227" s="1" t="s">
        <v>2695</v>
      </c>
      <c r="J1227" t="s">
        <v>2705</v>
      </c>
    </row>
    <row r="1228" spans="1:10">
      <c r="A1228" s="1">
        <v>26997</v>
      </c>
      <c r="B1228" s="1">
        <v>4300002886</v>
      </c>
      <c r="C1228" s="1">
        <v>12</v>
      </c>
      <c r="D1228" s="1" t="s">
        <v>56</v>
      </c>
      <c r="E1228" t="s">
        <v>2655</v>
      </c>
      <c r="F1228" s="1">
        <v>141879</v>
      </c>
      <c r="G1228" s="1">
        <v>4300095543</v>
      </c>
      <c r="H1228" s="1">
        <v>192</v>
      </c>
      <c r="I1228" s="1" t="s">
        <v>2701</v>
      </c>
      <c r="J1228" t="s">
        <v>2706</v>
      </c>
    </row>
    <row r="1229" spans="1:10">
      <c r="A1229" s="1">
        <v>832428</v>
      </c>
      <c r="B1229" s="1">
        <v>4300003024</v>
      </c>
      <c r="C1229" s="1">
        <v>12</v>
      </c>
      <c r="D1229" s="1" t="s">
        <v>2656</v>
      </c>
      <c r="E1229" t="s">
        <v>2657</v>
      </c>
      <c r="F1229" s="1">
        <v>84483</v>
      </c>
      <c r="G1229" s="1">
        <v>4300095355</v>
      </c>
      <c r="H1229" s="1">
        <v>12</v>
      </c>
      <c r="I1229" s="1" t="s">
        <v>574</v>
      </c>
      <c r="J1229" t="s">
        <v>2707</v>
      </c>
    </row>
    <row r="1230" spans="1:10">
      <c r="A1230" s="1">
        <v>165811</v>
      </c>
      <c r="B1230" s="1">
        <v>4300002880</v>
      </c>
      <c r="C1230" s="1">
        <v>12</v>
      </c>
      <c r="D1230" s="1" t="s">
        <v>2658</v>
      </c>
      <c r="E1230" t="s">
        <v>2659</v>
      </c>
      <c r="F1230" s="1">
        <v>60046</v>
      </c>
      <c r="G1230" s="1">
        <v>4300002258</v>
      </c>
      <c r="H1230" s="1">
        <v>12</v>
      </c>
      <c r="I1230" s="1" t="s">
        <v>2708</v>
      </c>
      <c r="J1230" t="s">
        <v>2709</v>
      </c>
    </row>
    <row r="1231" spans="1:10" ht="15.75">
      <c r="A1231" s="4" t="s">
        <v>10704</v>
      </c>
      <c r="B1231" s="2"/>
      <c r="C1231" s="2"/>
      <c r="D1231" s="2"/>
      <c r="E1231" s="3"/>
      <c r="F1231" s="4" t="s">
        <v>10705</v>
      </c>
      <c r="G1231" s="2"/>
      <c r="H1231" s="2"/>
      <c r="I1231" s="2"/>
      <c r="J1231" s="3"/>
    </row>
    <row r="1232" spans="1:10">
      <c r="A1232" s="2" t="s">
        <v>0</v>
      </c>
      <c r="B1232" s="2" t="s">
        <v>1</v>
      </c>
      <c r="C1232" s="2" t="s">
        <v>2</v>
      </c>
      <c r="D1232" s="2" t="s">
        <v>3</v>
      </c>
      <c r="E1232" s="3" t="s">
        <v>4</v>
      </c>
      <c r="F1232" s="2" t="s">
        <v>0</v>
      </c>
      <c r="G1232" s="2" t="s">
        <v>1</v>
      </c>
      <c r="H1232" s="2" t="s">
        <v>2</v>
      </c>
      <c r="I1232" s="2" t="s">
        <v>3</v>
      </c>
      <c r="J1232" s="3" t="s">
        <v>4</v>
      </c>
    </row>
    <row r="1233" spans="1:10">
      <c r="A1233" s="1">
        <v>567768</v>
      </c>
      <c r="B1233" s="1">
        <v>4300002257</v>
      </c>
      <c r="C1233" s="1">
        <v>12</v>
      </c>
      <c r="D1233" s="1" t="s">
        <v>108</v>
      </c>
      <c r="E1233" t="s">
        <v>2710</v>
      </c>
      <c r="F1233" s="1">
        <v>709089</v>
      </c>
      <c r="G1233" s="1">
        <v>4113021592</v>
      </c>
      <c r="H1233" s="1">
        <v>1</v>
      </c>
      <c r="I1233" s="1" t="s">
        <v>11</v>
      </c>
      <c r="J1233" t="s">
        <v>2751</v>
      </c>
    </row>
    <row r="1234" spans="1:10" ht="15.75">
      <c r="A1234" s="1">
        <v>251389</v>
      </c>
      <c r="B1234" s="1">
        <v>4300002256</v>
      </c>
      <c r="C1234" s="1">
        <v>12</v>
      </c>
      <c r="D1234" s="1" t="s">
        <v>136</v>
      </c>
      <c r="E1234" t="s">
        <v>2711</v>
      </c>
      <c r="F1234" s="4" t="s">
        <v>10706</v>
      </c>
      <c r="G1234" s="2"/>
      <c r="H1234" s="2"/>
      <c r="I1234" s="2"/>
      <c r="J1234" s="3"/>
    </row>
    <row r="1235" spans="1:10">
      <c r="A1235" s="1">
        <v>84640</v>
      </c>
      <c r="B1235" s="1">
        <v>4300095354</v>
      </c>
      <c r="C1235" s="1">
        <v>12</v>
      </c>
      <c r="D1235" s="1" t="s">
        <v>574</v>
      </c>
      <c r="E1235" t="s">
        <v>2712</v>
      </c>
      <c r="F1235" s="2" t="s">
        <v>0</v>
      </c>
      <c r="G1235" s="2" t="s">
        <v>1</v>
      </c>
      <c r="H1235" s="2" t="s">
        <v>2</v>
      </c>
      <c r="I1235" s="2" t="s">
        <v>3</v>
      </c>
      <c r="J1235" s="3" t="s">
        <v>4</v>
      </c>
    </row>
    <row r="1236" spans="1:10">
      <c r="A1236" s="1">
        <v>84798</v>
      </c>
      <c r="B1236" s="1">
        <v>4300095353</v>
      </c>
      <c r="C1236" s="1">
        <v>12</v>
      </c>
      <c r="D1236" s="1" t="s">
        <v>574</v>
      </c>
      <c r="E1236" t="s">
        <v>2713</v>
      </c>
      <c r="F1236" s="1">
        <v>455139</v>
      </c>
      <c r="G1236" s="1">
        <v>5100014756</v>
      </c>
      <c r="H1236" s="1">
        <v>8</v>
      </c>
      <c r="I1236" s="1" t="s">
        <v>2496</v>
      </c>
      <c r="J1236" t="s">
        <v>2752</v>
      </c>
    </row>
    <row r="1237" spans="1:10">
      <c r="A1237" s="1">
        <v>84756</v>
      </c>
      <c r="B1237" s="1">
        <v>4300095352</v>
      </c>
      <c r="C1237" s="1">
        <v>12</v>
      </c>
      <c r="D1237" s="1" t="s">
        <v>574</v>
      </c>
      <c r="E1237" t="s">
        <v>2714</v>
      </c>
      <c r="F1237" s="1">
        <v>92031</v>
      </c>
      <c r="G1237" s="1">
        <v>5100000285</v>
      </c>
      <c r="H1237" s="1">
        <v>12</v>
      </c>
      <c r="I1237" s="1" t="s">
        <v>1189</v>
      </c>
      <c r="J1237" t="s">
        <v>2753</v>
      </c>
    </row>
    <row r="1238" spans="1:10">
      <c r="A1238" s="1">
        <v>356147</v>
      </c>
      <c r="B1238" s="1">
        <v>4300095407</v>
      </c>
      <c r="C1238" s="1">
        <v>12</v>
      </c>
      <c r="D1238" s="1" t="s">
        <v>938</v>
      </c>
      <c r="E1238" t="s">
        <v>2715</v>
      </c>
      <c r="F1238" s="1">
        <v>91249</v>
      </c>
      <c r="G1238" s="1">
        <v>5100000366</v>
      </c>
      <c r="H1238" s="1">
        <v>12</v>
      </c>
      <c r="I1238" s="1" t="s">
        <v>2754</v>
      </c>
      <c r="J1238" t="s">
        <v>2753</v>
      </c>
    </row>
    <row r="1239" spans="1:10">
      <c r="A1239" s="1">
        <v>85209</v>
      </c>
      <c r="B1239" s="1">
        <v>4300095350</v>
      </c>
      <c r="C1239" s="1">
        <v>12</v>
      </c>
      <c r="D1239" s="1" t="s">
        <v>574</v>
      </c>
      <c r="E1239" t="s">
        <v>2716</v>
      </c>
      <c r="F1239" s="1">
        <v>91314</v>
      </c>
      <c r="G1239" s="1">
        <v>5100000007</v>
      </c>
      <c r="H1239" s="1">
        <v>8</v>
      </c>
      <c r="I1239" s="1" t="s">
        <v>2755</v>
      </c>
      <c r="J1239" t="s">
        <v>2756</v>
      </c>
    </row>
    <row r="1240" spans="1:10">
      <c r="A1240" s="1">
        <v>494013</v>
      </c>
      <c r="B1240" s="1">
        <v>4300002346</v>
      </c>
      <c r="C1240" s="1">
        <v>12</v>
      </c>
      <c r="D1240" s="1" t="s">
        <v>1737</v>
      </c>
      <c r="E1240" t="s">
        <v>2717</v>
      </c>
      <c r="F1240" s="1">
        <v>92544</v>
      </c>
      <c r="G1240" s="1">
        <v>5100002025</v>
      </c>
      <c r="H1240" s="1">
        <v>12</v>
      </c>
      <c r="I1240" s="1" t="s">
        <v>2754</v>
      </c>
      <c r="J1240" t="s">
        <v>2757</v>
      </c>
    </row>
    <row r="1241" spans="1:10">
      <c r="A1241" s="1">
        <v>448845</v>
      </c>
      <c r="B1241" s="1">
        <v>5200050262</v>
      </c>
      <c r="C1241" s="1">
        <v>12</v>
      </c>
      <c r="D1241" s="1" t="s">
        <v>212</v>
      </c>
      <c r="E1241" t="s">
        <v>2718</v>
      </c>
      <c r="F1241" s="1">
        <v>92593</v>
      </c>
      <c r="G1241" s="1">
        <v>5100001293</v>
      </c>
      <c r="H1241" s="1">
        <v>24</v>
      </c>
      <c r="I1241" s="1" t="s">
        <v>2758</v>
      </c>
      <c r="J1241" t="s">
        <v>2759</v>
      </c>
    </row>
    <row r="1242" spans="1:10">
      <c r="A1242" s="1">
        <v>196576</v>
      </c>
      <c r="B1242" s="1">
        <v>5200050260</v>
      </c>
      <c r="C1242" s="1">
        <v>12</v>
      </c>
      <c r="D1242" s="1" t="s">
        <v>31</v>
      </c>
      <c r="E1242" t="s">
        <v>2719</v>
      </c>
      <c r="F1242" s="1">
        <v>475020</v>
      </c>
      <c r="G1242" s="1">
        <v>5100014757</v>
      </c>
      <c r="H1242" s="1">
        <v>8</v>
      </c>
      <c r="I1242" s="1" t="s">
        <v>2496</v>
      </c>
      <c r="J1242" t="s">
        <v>2760</v>
      </c>
    </row>
    <row r="1243" spans="1:10">
      <c r="A1243" s="1">
        <v>74591</v>
      </c>
      <c r="B1243" s="1">
        <v>5200050261</v>
      </c>
      <c r="C1243" s="1">
        <v>12</v>
      </c>
      <c r="D1243" s="1" t="s">
        <v>212</v>
      </c>
      <c r="E1243" t="s">
        <v>2720</v>
      </c>
      <c r="F1243" s="1">
        <v>90324</v>
      </c>
      <c r="G1243" s="1">
        <v>3890000818</v>
      </c>
      <c r="H1243" s="1">
        <v>12</v>
      </c>
      <c r="I1243" s="1" t="s">
        <v>2754</v>
      </c>
      <c r="J1243" t="s">
        <v>2761</v>
      </c>
    </row>
    <row r="1244" spans="1:10">
      <c r="A1244" s="1">
        <v>664656</v>
      </c>
      <c r="B1244" s="1">
        <v>5200050263</v>
      </c>
      <c r="C1244" s="1">
        <v>12</v>
      </c>
      <c r="D1244" s="1" t="s">
        <v>31</v>
      </c>
      <c r="E1244" t="s">
        <v>2721</v>
      </c>
      <c r="F1244" s="1">
        <v>90332</v>
      </c>
      <c r="G1244" s="1">
        <v>3890000947</v>
      </c>
      <c r="H1244" s="1">
        <v>8</v>
      </c>
      <c r="I1244" s="1" t="s">
        <v>2762</v>
      </c>
      <c r="J1244" t="s">
        <v>2763</v>
      </c>
    </row>
    <row r="1245" spans="1:10">
      <c r="A1245" s="1">
        <v>124990</v>
      </c>
      <c r="B1245" s="1">
        <v>5200050606</v>
      </c>
      <c r="C1245" s="1">
        <v>12</v>
      </c>
      <c r="D1245" s="1" t="s">
        <v>31</v>
      </c>
      <c r="E1245" t="s">
        <v>2722</v>
      </c>
      <c r="F1245" s="1">
        <v>189647</v>
      </c>
      <c r="G1245" s="1">
        <v>2880017429</v>
      </c>
      <c r="H1245" s="1">
        <v>12</v>
      </c>
      <c r="I1245" s="1" t="s">
        <v>2754</v>
      </c>
      <c r="J1245" t="s">
        <v>2764</v>
      </c>
    </row>
    <row r="1246" spans="1:10">
      <c r="A1246" s="1">
        <v>85274</v>
      </c>
      <c r="B1246" s="1">
        <v>1116608527</v>
      </c>
      <c r="C1246" s="1">
        <v>12</v>
      </c>
      <c r="D1246" s="1" t="s">
        <v>574</v>
      </c>
      <c r="E1246" t="s">
        <v>2723</v>
      </c>
      <c r="F1246" s="1">
        <v>189639</v>
      </c>
      <c r="G1246" s="1">
        <v>2880017419</v>
      </c>
      <c r="H1246" s="1">
        <v>12</v>
      </c>
      <c r="I1246" s="1" t="s">
        <v>2754</v>
      </c>
      <c r="J1246" t="s">
        <v>2765</v>
      </c>
    </row>
    <row r="1247" spans="1:10">
      <c r="A1247" s="1">
        <v>84038</v>
      </c>
      <c r="B1247" s="1">
        <v>1116608403</v>
      </c>
      <c r="C1247" s="1">
        <v>12</v>
      </c>
      <c r="D1247" s="1" t="s">
        <v>574</v>
      </c>
      <c r="E1247" t="s">
        <v>2724</v>
      </c>
      <c r="F1247" s="1">
        <v>355875</v>
      </c>
      <c r="G1247" s="1">
        <v>4175500119</v>
      </c>
      <c r="H1247" s="1">
        <v>12</v>
      </c>
      <c r="I1247" s="1" t="s">
        <v>1189</v>
      </c>
      <c r="J1247" t="s">
        <v>2766</v>
      </c>
    </row>
    <row r="1248" spans="1:10">
      <c r="A1248" s="1">
        <v>84962</v>
      </c>
      <c r="B1248" s="1">
        <v>1116608496</v>
      </c>
      <c r="C1248" s="1">
        <v>12</v>
      </c>
      <c r="D1248" s="1" t="s">
        <v>574</v>
      </c>
      <c r="E1248" t="s">
        <v>2725</v>
      </c>
      <c r="F1248" s="1">
        <v>467233</v>
      </c>
      <c r="G1248" s="1">
        <v>4175500821</v>
      </c>
      <c r="H1248" s="1">
        <v>8</v>
      </c>
      <c r="I1248" s="1" t="s">
        <v>2496</v>
      </c>
      <c r="J1248" t="s">
        <v>2767</v>
      </c>
    </row>
    <row r="1249" spans="1:10">
      <c r="A1249" s="1">
        <v>84210</v>
      </c>
      <c r="B1249" s="1">
        <v>1116608421</v>
      </c>
      <c r="C1249" s="1">
        <v>12</v>
      </c>
      <c r="D1249" s="1" t="s">
        <v>574</v>
      </c>
      <c r="E1249" t="s">
        <v>2726</v>
      </c>
      <c r="F1249" s="1">
        <v>91710</v>
      </c>
      <c r="G1249" s="1">
        <v>1480051324</v>
      </c>
      <c r="H1249" s="1">
        <v>12</v>
      </c>
      <c r="I1249" s="1" t="s">
        <v>1189</v>
      </c>
      <c r="J1249" t="s">
        <v>2768</v>
      </c>
    </row>
    <row r="1250" spans="1:10">
      <c r="A1250" s="1">
        <v>84319</v>
      </c>
      <c r="B1250" s="1">
        <v>1116608431</v>
      </c>
      <c r="C1250" s="1">
        <v>12</v>
      </c>
      <c r="D1250" s="1" t="s">
        <v>574</v>
      </c>
      <c r="E1250" t="s">
        <v>2727</v>
      </c>
      <c r="F1250" s="1">
        <v>91736</v>
      </c>
      <c r="G1250" s="1">
        <v>1480052322</v>
      </c>
      <c r="H1250" s="1">
        <v>12</v>
      </c>
      <c r="I1250" s="1" t="s">
        <v>1189</v>
      </c>
      <c r="J1250" t="s">
        <v>2769</v>
      </c>
    </row>
    <row r="1251" spans="1:10">
      <c r="A1251" s="1">
        <v>784454</v>
      </c>
      <c r="B1251" s="1">
        <v>1116601425</v>
      </c>
      <c r="C1251" s="1">
        <v>12</v>
      </c>
      <c r="D1251" s="1" t="s">
        <v>251</v>
      </c>
      <c r="E1251" t="s">
        <v>2728</v>
      </c>
      <c r="F1251" s="1">
        <v>140509</v>
      </c>
      <c r="G1251" s="1">
        <v>1480000051</v>
      </c>
      <c r="H1251" s="1">
        <v>4</v>
      </c>
      <c r="I1251" s="1" t="s">
        <v>2755</v>
      </c>
      <c r="J1251" t="s">
        <v>2770</v>
      </c>
    </row>
    <row r="1252" spans="1:10">
      <c r="A1252" s="1">
        <v>477786</v>
      </c>
      <c r="B1252" s="1">
        <v>1116601421</v>
      </c>
      <c r="C1252" s="1">
        <v>10</v>
      </c>
      <c r="D1252" s="1" t="s">
        <v>2729</v>
      </c>
      <c r="E1252" t="s">
        <v>2730</v>
      </c>
      <c r="F1252" s="1">
        <v>239418</v>
      </c>
      <c r="G1252" s="1">
        <v>3120029924</v>
      </c>
      <c r="H1252" s="1">
        <v>6</v>
      </c>
      <c r="I1252" s="1" t="s">
        <v>149</v>
      </c>
      <c r="J1252" t="s">
        <v>2771</v>
      </c>
    </row>
    <row r="1253" spans="1:10">
      <c r="A1253" s="1">
        <v>528000</v>
      </c>
      <c r="B1253" s="1">
        <v>1116601426</v>
      </c>
      <c r="C1253" s="1">
        <v>12</v>
      </c>
      <c r="D1253" s="1" t="s">
        <v>251</v>
      </c>
      <c r="E1253" t="s">
        <v>2731</v>
      </c>
      <c r="F1253" s="1">
        <v>227199</v>
      </c>
      <c r="G1253" s="1">
        <v>3120029925</v>
      </c>
      <c r="H1253" s="1">
        <v>6</v>
      </c>
      <c r="I1253" s="1" t="s">
        <v>149</v>
      </c>
      <c r="J1253" t="s">
        <v>2772</v>
      </c>
    </row>
    <row r="1254" spans="1:10">
      <c r="A1254" s="1">
        <v>386334</v>
      </c>
      <c r="B1254" s="1">
        <v>1116601422</v>
      </c>
      <c r="C1254" s="1">
        <v>10</v>
      </c>
      <c r="D1254" s="1" t="s">
        <v>1127</v>
      </c>
      <c r="E1254" t="s">
        <v>2732</v>
      </c>
      <c r="F1254" s="1">
        <v>442004</v>
      </c>
      <c r="G1254" s="1">
        <v>3120020080</v>
      </c>
      <c r="H1254" s="1">
        <v>8</v>
      </c>
      <c r="I1254" s="1" t="s">
        <v>2754</v>
      </c>
      <c r="J1254" t="s">
        <v>2773</v>
      </c>
    </row>
    <row r="1255" spans="1:10">
      <c r="A1255" s="1">
        <v>84087</v>
      </c>
      <c r="B1255" s="1">
        <v>1116608408</v>
      </c>
      <c r="C1255" s="1">
        <v>12</v>
      </c>
      <c r="D1255" s="1" t="s">
        <v>1906</v>
      </c>
      <c r="E1255" t="s">
        <v>2733</v>
      </c>
      <c r="F1255" s="1">
        <v>346908</v>
      </c>
      <c r="G1255" s="1">
        <v>3120020085</v>
      </c>
      <c r="H1255" s="1">
        <v>8</v>
      </c>
      <c r="I1255" s="1" t="s">
        <v>2754</v>
      </c>
      <c r="J1255" t="s">
        <v>2774</v>
      </c>
    </row>
    <row r="1256" spans="1:10">
      <c r="A1256" s="1">
        <v>740670</v>
      </c>
      <c r="B1256" s="1">
        <v>1116601427</v>
      </c>
      <c r="C1256" s="1">
        <v>12</v>
      </c>
      <c r="D1256" s="1" t="s">
        <v>251</v>
      </c>
      <c r="E1256" t="s">
        <v>2734</v>
      </c>
      <c r="F1256" s="1">
        <v>343491</v>
      </c>
      <c r="G1256" s="1">
        <v>3120000220</v>
      </c>
      <c r="H1256" s="1">
        <v>6</v>
      </c>
      <c r="I1256" s="1" t="s">
        <v>1200</v>
      </c>
      <c r="J1256" t="s">
        <v>2775</v>
      </c>
    </row>
    <row r="1257" spans="1:10">
      <c r="A1257" s="1">
        <v>509844</v>
      </c>
      <c r="B1257" s="1">
        <v>1116601423</v>
      </c>
      <c r="C1257" s="1">
        <v>10</v>
      </c>
      <c r="D1257" s="1" t="s">
        <v>2729</v>
      </c>
      <c r="E1257" t="s">
        <v>2735</v>
      </c>
      <c r="F1257" s="1">
        <v>818450</v>
      </c>
      <c r="G1257" s="1">
        <v>3120029905</v>
      </c>
      <c r="H1257" s="1">
        <v>6</v>
      </c>
      <c r="I1257" s="1" t="s">
        <v>149</v>
      </c>
      <c r="J1257" t="s">
        <v>2776</v>
      </c>
    </row>
    <row r="1258" spans="1:10">
      <c r="A1258" s="1">
        <v>775437</v>
      </c>
      <c r="B1258" s="1">
        <v>1116601428</v>
      </c>
      <c r="C1258" s="1">
        <v>12</v>
      </c>
      <c r="D1258" s="1" t="s">
        <v>251</v>
      </c>
      <c r="E1258" t="s">
        <v>2736</v>
      </c>
      <c r="F1258" s="1">
        <v>749408</v>
      </c>
      <c r="G1258" s="1">
        <v>3120029909</v>
      </c>
      <c r="H1258" s="1">
        <v>6</v>
      </c>
      <c r="I1258" s="1" t="s">
        <v>149</v>
      </c>
      <c r="J1258" t="s">
        <v>2777</v>
      </c>
    </row>
    <row r="1259" spans="1:10">
      <c r="A1259" s="1">
        <v>331900</v>
      </c>
      <c r="B1259" s="1">
        <v>1116601424</v>
      </c>
      <c r="C1259" s="1">
        <v>10</v>
      </c>
      <c r="D1259" s="1" t="s">
        <v>2729</v>
      </c>
      <c r="E1259" t="s">
        <v>2737</v>
      </c>
      <c r="F1259" s="1">
        <v>748038</v>
      </c>
      <c r="G1259" s="1">
        <v>3120020157</v>
      </c>
      <c r="H1259" s="1">
        <v>8</v>
      </c>
      <c r="I1259" s="1" t="s">
        <v>2496</v>
      </c>
      <c r="J1259" t="s">
        <v>2778</v>
      </c>
    </row>
    <row r="1260" spans="1:10">
      <c r="A1260" s="1">
        <v>84749</v>
      </c>
      <c r="B1260" s="1">
        <v>1116608474</v>
      </c>
      <c r="C1260" s="1">
        <v>72</v>
      </c>
      <c r="D1260" s="1" t="s">
        <v>2695</v>
      </c>
      <c r="E1260" t="s">
        <v>2738</v>
      </c>
      <c r="F1260" s="1">
        <v>662072</v>
      </c>
      <c r="G1260" s="1">
        <v>80276311489</v>
      </c>
      <c r="H1260" s="1">
        <v>8</v>
      </c>
      <c r="I1260" s="1" t="s">
        <v>1200</v>
      </c>
      <c r="J1260" t="s">
        <v>2779</v>
      </c>
    </row>
    <row r="1261" spans="1:10">
      <c r="A1261" s="1">
        <v>84715</v>
      </c>
      <c r="B1261" s="1">
        <v>1116608471</v>
      </c>
      <c r="C1261" s="1">
        <v>72</v>
      </c>
      <c r="D1261" s="1" t="s">
        <v>2695</v>
      </c>
      <c r="E1261" t="s">
        <v>2739</v>
      </c>
      <c r="F1261" s="1">
        <v>885111</v>
      </c>
      <c r="G1261" s="1">
        <v>1116601367</v>
      </c>
      <c r="H1261" s="1">
        <v>8</v>
      </c>
      <c r="I1261" s="1" t="s">
        <v>2496</v>
      </c>
      <c r="J1261" t="s">
        <v>2780</v>
      </c>
    </row>
    <row r="1262" spans="1:10">
      <c r="A1262" s="1">
        <v>84277</v>
      </c>
      <c r="B1262" s="1">
        <v>1116608427</v>
      </c>
      <c r="C1262" s="1">
        <v>72</v>
      </c>
      <c r="D1262" s="1" t="s">
        <v>2740</v>
      </c>
      <c r="E1262" t="s">
        <v>2741</v>
      </c>
      <c r="F1262" s="1">
        <v>226167</v>
      </c>
      <c r="G1262" s="1">
        <v>1116601368</v>
      </c>
      <c r="H1262" s="1">
        <v>8</v>
      </c>
      <c r="I1262" s="1" t="s">
        <v>2496</v>
      </c>
      <c r="J1262" t="s">
        <v>2781</v>
      </c>
    </row>
    <row r="1263" spans="1:10">
      <c r="A1263" s="1">
        <v>84269</v>
      </c>
      <c r="B1263" s="1">
        <v>1116608426</v>
      </c>
      <c r="C1263" s="1">
        <v>72</v>
      </c>
      <c r="D1263" s="1" t="s">
        <v>2742</v>
      </c>
      <c r="E1263" t="s">
        <v>2743</v>
      </c>
      <c r="F1263" s="1">
        <v>362590</v>
      </c>
      <c r="G1263" s="1">
        <v>1116601369</v>
      </c>
      <c r="H1263" s="1">
        <v>8</v>
      </c>
      <c r="I1263" s="1" t="s">
        <v>2496</v>
      </c>
      <c r="J1263" t="s">
        <v>2782</v>
      </c>
    </row>
    <row r="1264" spans="1:10">
      <c r="A1264" s="1">
        <v>84723</v>
      </c>
      <c r="B1264" s="1">
        <v>1116608472</v>
      </c>
      <c r="C1264" s="1">
        <v>72</v>
      </c>
      <c r="D1264" s="1" t="s">
        <v>2695</v>
      </c>
      <c r="E1264" t="s">
        <v>2744</v>
      </c>
      <c r="F1264" s="1">
        <v>253542</v>
      </c>
      <c r="G1264" s="1">
        <v>1116601327</v>
      </c>
      <c r="H1264" s="1">
        <v>8</v>
      </c>
      <c r="I1264" s="1" t="s">
        <v>2762</v>
      </c>
      <c r="J1264" t="s">
        <v>2783</v>
      </c>
    </row>
    <row r="1265" spans="1:10">
      <c r="A1265" s="1">
        <v>789180</v>
      </c>
      <c r="B1265" s="1">
        <v>4300001588</v>
      </c>
      <c r="C1265" s="1">
        <v>12</v>
      </c>
      <c r="D1265" s="1" t="s">
        <v>963</v>
      </c>
      <c r="E1265" t="s">
        <v>2745</v>
      </c>
      <c r="F1265" s="1">
        <v>337543</v>
      </c>
      <c r="G1265" s="1">
        <v>1116601326</v>
      </c>
      <c r="H1265" s="1">
        <v>12</v>
      </c>
      <c r="I1265" s="1" t="s">
        <v>2754</v>
      </c>
      <c r="J1265" t="s">
        <v>2784</v>
      </c>
    </row>
    <row r="1266" spans="1:10" ht="15.75">
      <c r="A1266" s="4" t="s">
        <v>10705</v>
      </c>
      <c r="B1266" s="2"/>
      <c r="C1266" s="2"/>
      <c r="D1266" s="2"/>
      <c r="E1266" s="3"/>
      <c r="F1266" s="1">
        <v>89789</v>
      </c>
      <c r="G1266" s="1">
        <v>1116601235</v>
      </c>
      <c r="H1266" s="1">
        <v>12</v>
      </c>
      <c r="I1266" s="1" t="s">
        <v>2754</v>
      </c>
      <c r="J1266" t="s">
        <v>2785</v>
      </c>
    </row>
    <row r="1267" spans="1:10">
      <c r="A1267" s="2" t="s">
        <v>0</v>
      </c>
      <c r="B1267" s="2" t="s">
        <v>1</v>
      </c>
      <c r="C1267" s="2" t="s">
        <v>2</v>
      </c>
      <c r="D1267" s="2" t="s">
        <v>3</v>
      </c>
      <c r="E1267" s="3" t="s">
        <v>4</v>
      </c>
      <c r="F1267" s="1">
        <v>96537</v>
      </c>
      <c r="G1267" s="1">
        <v>1116609653</v>
      </c>
      <c r="H1267" s="1">
        <v>8</v>
      </c>
      <c r="I1267" s="1" t="s">
        <v>1200</v>
      </c>
      <c r="J1267" t="s">
        <v>2786</v>
      </c>
    </row>
    <row r="1268" spans="1:10">
      <c r="A1268" s="1">
        <v>709063</v>
      </c>
      <c r="B1268" s="1">
        <v>7239292100</v>
      </c>
      <c r="C1268" s="1">
        <v>1</v>
      </c>
      <c r="D1268" s="1" t="s">
        <v>2746</v>
      </c>
      <c r="E1268" t="s">
        <v>2747</v>
      </c>
      <c r="F1268" s="1">
        <v>96529</v>
      </c>
      <c r="G1268" s="1">
        <v>1116609652</v>
      </c>
      <c r="H1268" s="1">
        <v>8</v>
      </c>
      <c r="I1268" s="1" t="s">
        <v>2496</v>
      </c>
      <c r="J1268" t="s">
        <v>2787</v>
      </c>
    </row>
    <row r="1269" spans="1:10">
      <c r="A1269" s="1">
        <v>737189</v>
      </c>
      <c r="B1269" s="1">
        <v>7239293096</v>
      </c>
      <c r="C1269" s="1">
        <v>12</v>
      </c>
      <c r="D1269" s="1" t="s">
        <v>439</v>
      </c>
      <c r="E1269" t="s">
        <v>2748</v>
      </c>
      <c r="F1269" s="1">
        <v>555250</v>
      </c>
      <c r="G1269" s="1">
        <v>1116609072</v>
      </c>
      <c r="H1269" s="1">
        <v>12</v>
      </c>
      <c r="I1269" s="1" t="s">
        <v>2754</v>
      </c>
      <c r="J1269" t="s">
        <v>2788</v>
      </c>
    </row>
    <row r="1270" spans="1:10">
      <c r="A1270" s="1">
        <v>48603</v>
      </c>
      <c r="B1270" s="1">
        <v>7239290248</v>
      </c>
      <c r="C1270" s="1">
        <v>12</v>
      </c>
      <c r="D1270" s="1" t="s">
        <v>1366</v>
      </c>
      <c r="E1270" t="s">
        <v>2749</v>
      </c>
      <c r="F1270" s="1">
        <v>74211</v>
      </c>
      <c r="G1270" s="1">
        <v>1116607421</v>
      </c>
      <c r="H1270" s="1">
        <v>12</v>
      </c>
      <c r="I1270" s="1" t="s">
        <v>2754</v>
      </c>
      <c r="J1270" t="s">
        <v>2789</v>
      </c>
    </row>
    <row r="1271" spans="1:10">
      <c r="A1271" s="1">
        <v>709071</v>
      </c>
      <c r="B1271" s="1">
        <v>7239273100</v>
      </c>
      <c r="C1271" s="1">
        <v>1</v>
      </c>
      <c r="D1271" s="1" t="s">
        <v>2746</v>
      </c>
      <c r="E1271" t="s">
        <v>2750</v>
      </c>
      <c r="F1271" s="1">
        <v>805275</v>
      </c>
      <c r="G1271" s="1">
        <v>1116603854</v>
      </c>
      <c r="H1271" s="1">
        <v>12</v>
      </c>
      <c r="I1271" s="1" t="s">
        <v>2754</v>
      </c>
      <c r="J1271" t="s">
        <v>2790</v>
      </c>
    </row>
    <row r="1272" spans="1:10" ht="15.75">
      <c r="A1272" s="4" t="s">
        <v>10706</v>
      </c>
      <c r="B1272" s="2"/>
      <c r="C1272" s="2"/>
      <c r="D1272" s="2"/>
      <c r="E1272" s="3"/>
      <c r="F1272" s="4" t="s">
        <v>10707</v>
      </c>
      <c r="G1272" s="2"/>
      <c r="H1272" s="2"/>
      <c r="I1272" s="2"/>
      <c r="J1272" s="3"/>
    </row>
    <row r="1273" spans="1:10">
      <c r="A1273" s="2" t="s">
        <v>0</v>
      </c>
      <c r="B1273" s="2" t="s">
        <v>1</v>
      </c>
      <c r="C1273" s="2" t="s">
        <v>2</v>
      </c>
      <c r="D1273" s="2" t="s">
        <v>3</v>
      </c>
      <c r="E1273" s="3" t="s">
        <v>4</v>
      </c>
      <c r="F1273" s="2" t="s">
        <v>0</v>
      </c>
      <c r="G1273" s="2" t="s">
        <v>1</v>
      </c>
      <c r="H1273" s="2" t="s">
        <v>2</v>
      </c>
      <c r="I1273" s="2" t="s">
        <v>3</v>
      </c>
      <c r="J1273" s="3" t="s">
        <v>4</v>
      </c>
    </row>
    <row r="1274" spans="1:10">
      <c r="A1274" s="1">
        <v>74203</v>
      </c>
      <c r="B1274" s="1">
        <v>1116607420</v>
      </c>
      <c r="C1274" s="1">
        <v>12</v>
      </c>
      <c r="D1274" s="1" t="s">
        <v>2754</v>
      </c>
      <c r="E1274" t="s">
        <v>2791</v>
      </c>
      <c r="F1274" s="1">
        <v>85688</v>
      </c>
      <c r="G1274" s="1">
        <v>1116608568</v>
      </c>
      <c r="H1274" s="1">
        <v>12</v>
      </c>
      <c r="I1274" s="1" t="s">
        <v>1189</v>
      </c>
      <c r="J1274" t="s">
        <v>2829</v>
      </c>
    </row>
    <row r="1275" spans="1:10" ht="15.75">
      <c r="A1275" s="1">
        <v>74427</v>
      </c>
      <c r="B1275" s="1">
        <v>1116607442</v>
      </c>
      <c r="C1275" s="1">
        <v>8</v>
      </c>
      <c r="D1275" s="1" t="s">
        <v>2496</v>
      </c>
      <c r="E1275" t="s">
        <v>2792</v>
      </c>
      <c r="F1275" s="4" t="s">
        <v>10708</v>
      </c>
      <c r="G1275" s="2"/>
      <c r="H1275" s="2"/>
      <c r="I1275" s="2"/>
      <c r="J1275" s="3"/>
    </row>
    <row r="1276" spans="1:10">
      <c r="A1276" s="1">
        <v>74583</v>
      </c>
      <c r="B1276" s="1">
        <v>1116607458</v>
      </c>
      <c r="C1276" s="1">
        <v>8</v>
      </c>
      <c r="D1276" s="1" t="s">
        <v>2496</v>
      </c>
      <c r="E1276" t="s">
        <v>2793</v>
      </c>
      <c r="F1276" s="2" t="s">
        <v>0</v>
      </c>
      <c r="G1276" s="2" t="s">
        <v>1</v>
      </c>
      <c r="H1276" s="2" t="s">
        <v>2</v>
      </c>
      <c r="I1276" s="2" t="s">
        <v>3</v>
      </c>
      <c r="J1276" s="3" t="s">
        <v>4</v>
      </c>
    </row>
    <row r="1277" spans="1:10">
      <c r="A1277" s="1">
        <v>74617</v>
      </c>
      <c r="B1277" s="1">
        <v>1116607461</v>
      </c>
      <c r="C1277" s="1">
        <v>8</v>
      </c>
      <c r="D1277" s="1" t="s">
        <v>2496</v>
      </c>
      <c r="E1277" t="s">
        <v>2794</v>
      </c>
      <c r="F1277" s="1">
        <v>179580</v>
      </c>
      <c r="G1277" s="1">
        <v>4138711102</v>
      </c>
      <c r="H1277" s="1">
        <v>6</v>
      </c>
      <c r="I1277" s="1" t="s">
        <v>2830</v>
      </c>
      <c r="J1277" t="s">
        <v>2831</v>
      </c>
    </row>
    <row r="1278" spans="1:10">
      <c r="A1278" s="1">
        <v>98400</v>
      </c>
      <c r="B1278" s="1">
        <v>7294076002</v>
      </c>
      <c r="C1278" s="1">
        <v>12</v>
      </c>
      <c r="D1278" s="1" t="s">
        <v>2754</v>
      </c>
      <c r="E1278" t="s">
        <v>2795</v>
      </c>
      <c r="F1278" s="1">
        <v>569111</v>
      </c>
      <c r="G1278" s="1">
        <v>4138741590</v>
      </c>
      <c r="H1278" s="1">
        <v>6</v>
      </c>
      <c r="I1278" s="1" t="s">
        <v>2830</v>
      </c>
      <c r="J1278" t="s">
        <v>2832</v>
      </c>
    </row>
    <row r="1279" spans="1:10">
      <c r="A1279" s="1">
        <v>92551</v>
      </c>
      <c r="B1279" s="1">
        <v>4113030111</v>
      </c>
      <c r="C1279" s="1">
        <v>12</v>
      </c>
      <c r="D1279" s="1" t="s">
        <v>2754</v>
      </c>
      <c r="E1279" t="s">
        <v>2796</v>
      </c>
      <c r="F1279" s="1">
        <v>83097</v>
      </c>
      <c r="G1279" s="1">
        <v>7480600146</v>
      </c>
      <c r="H1279" s="1">
        <v>24</v>
      </c>
      <c r="I1279" s="1" t="s">
        <v>1191</v>
      </c>
      <c r="J1279" t="s">
        <v>2833</v>
      </c>
    </row>
    <row r="1280" spans="1:10">
      <c r="A1280" s="1">
        <v>429357</v>
      </c>
      <c r="B1280" s="1">
        <v>80276311486</v>
      </c>
      <c r="C1280" s="1">
        <v>8</v>
      </c>
      <c r="D1280" s="1" t="s">
        <v>1200</v>
      </c>
      <c r="E1280" t="s">
        <v>2797</v>
      </c>
      <c r="F1280" s="1">
        <v>83519</v>
      </c>
      <c r="G1280" s="1">
        <v>7480600143</v>
      </c>
      <c r="H1280" s="1">
        <v>24</v>
      </c>
      <c r="I1280" s="1" t="s">
        <v>1191</v>
      </c>
      <c r="J1280" t="s">
        <v>2834</v>
      </c>
    </row>
    <row r="1281" spans="1:10">
      <c r="A1281" s="1">
        <v>90746</v>
      </c>
      <c r="B1281" s="1">
        <v>7045011328</v>
      </c>
      <c r="C1281" s="1">
        <v>12</v>
      </c>
      <c r="D1281" s="1" t="s">
        <v>1189</v>
      </c>
      <c r="E1281" t="s">
        <v>2798</v>
      </c>
      <c r="F1281" s="1">
        <v>83493</v>
      </c>
      <c r="G1281" s="1">
        <v>7480600145</v>
      </c>
      <c r="H1281" s="1">
        <v>24</v>
      </c>
      <c r="I1281" s="1" t="s">
        <v>1191</v>
      </c>
      <c r="J1281" t="s">
        <v>2835</v>
      </c>
    </row>
    <row r="1282" spans="1:10">
      <c r="A1282" s="1">
        <v>90902</v>
      </c>
      <c r="B1282" s="1">
        <v>7045011484</v>
      </c>
      <c r="C1282" s="1">
        <v>8</v>
      </c>
      <c r="D1282" s="1" t="s">
        <v>1200</v>
      </c>
      <c r="E1282" t="s">
        <v>2798</v>
      </c>
      <c r="F1282" s="1">
        <v>83501</v>
      </c>
      <c r="G1282" s="1">
        <v>7480600144</v>
      </c>
      <c r="H1282" s="1">
        <v>24</v>
      </c>
      <c r="I1282" s="1" t="s">
        <v>1191</v>
      </c>
      <c r="J1282" t="s">
        <v>2836</v>
      </c>
    </row>
    <row r="1283" spans="1:10">
      <c r="A1283" s="1">
        <v>90753</v>
      </c>
      <c r="B1283" s="1">
        <v>7045011080</v>
      </c>
      <c r="C1283" s="1">
        <v>8</v>
      </c>
      <c r="D1283" s="1" t="s">
        <v>2755</v>
      </c>
      <c r="E1283" t="s">
        <v>2799</v>
      </c>
      <c r="F1283" s="1">
        <v>83485</v>
      </c>
      <c r="G1283" s="1">
        <v>7480600140</v>
      </c>
      <c r="H1283" s="1">
        <v>24</v>
      </c>
      <c r="I1283" s="1" t="s">
        <v>1191</v>
      </c>
      <c r="J1283" t="s">
        <v>2837</v>
      </c>
    </row>
    <row r="1284" spans="1:10">
      <c r="A1284" s="1">
        <v>90472</v>
      </c>
      <c r="B1284" s="1">
        <v>7045011864</v>
      </c>
      <c r="C1284" s="1">
        <v>8</v>
      </c>
      <c r="D1284" s="1" t="s">
        <v>2496</v>
      </c>
      <c r="E1284" t="s">
        <v>2800</v>
      </c>
      <c r="F1284" s="1">
        <v>83477</v>
      </c>
      <c r="G1284" s="1">
        <v>7480600141</v>
      </c>
      <c r="H1284" s="1">
        <v>24</v>
      </c>
      <c r="I1284" s="1" t="s">
        <v>1191</v>
      </c>
      <c r="J1284" t="s">
        <v>2838</v>
      </c>
    </row>
    <row r="1285" spans="1:10">
      <c r="A1285" s="1">
        <v>90761</v>
      </c>
      <c r="B1285" s="1">
        <v>7045011865</v>
      </c>
      <c r="C1285" s="1">
        <v>8</v>
      </c>
      <c r="D1285" s="1" t="s">
        <v>2496</v>
      </c>
      <c r="E1285" t="s">
        <v>2801</v>
      </c>
      <c r="F1285" s="1">
        <v>592394</v>
      </c>
      <c r="G1285" s="1">
        <v>4116345278</v>
      </c>
      <c r="H1285" s="1">
        <v>12</v>
      </c>
      <c r="I1285" s="1" t="s">
        <v>89</v>
      </c>
      <c r="J1285" t="s">
        <v>2839</v>
      </c>
    </row>
    <row r="1286" spans="1:10">
      <c r="A1286" s="1">
        <v>300491</v>
      </c>
      <c r="B1286" s="1">
        <v>5100017861</v>
      </c>
      <c r="C1286" s="1">
        <v>12</v>
      </c>
      <c r="D1286" s="1" t="s">
        <v>2754</v>
      </c>
      <c r="E1286" t="s">
        <v>2802</v>
      </c>
      <c r="F1286" s="1">
        <v>292110</v>
      </c>
      <c r="G1286" s="1">
        <v>4116345269</v>
      </c>
      <c r="H1286" s="1">
        <v>12</v>
      </c>
      <c r="I1286" s="1" t="s">
        <v>2575</v>
      </c>
      <c r="J1286" t="s">
        <v>2840</v>
      </c>
    </row>
    <row r="1287" spans="1:10">
      <c r="A1287" s="1">
        <v>92700</v>
      </c>
      <c r="B1287" s="1">
        <v>5100012308</v>
      </c>
      <c r="C1287" s="1">
        <v>12</v>
      </c>
      <c r="D1287" s="1" t="s">
        <v>2754</v>
      </c>
      <c r="E1287" t="s">
        <v>2803</v>
      </c>
      <c r="F1287" s="1">
        <v>371468</v>
      </c>
      <c r="G1287" s="1">
        <v>4116345272</v>
      </c>
      <c r="H1287" s="1">
        <v>12</v>
      </c>
      <c r="I1287" s="1" t="s">
        <v>89</v>
      </c>
      <c r="J1287" t="s">
        <v>2841</v>
      </c>
    </row>
    <row r="1288" spans="1:10">
      <c r="A1288" s="1">
        <v>90530</v>
      </c>
      <c r="B1288" s="1">
        <v>5100012157</v>
      </c>
      <c r="C1288" s="1">
        <v>12</v>
      </c>
      <c r="D1288" s="1" t="s">
        <v>2754</v>
      </c>
      <c r="E1288" t="s">
        <v>2804</v>
      </c>
      <c r="F1288" s="1">
        <v>696369</v>
      </c>
      <c r="G1288" s="1">
        <v>4116345263</v>
      </c>
      <c r="H1288" s="1">
        <v>12</v>
      </c>
      <c r="I1288" s="1" t="s">
        <v>2575</v>
      </c>
      <c r="J1288" t="s">
        <v>2842</v>
      </c>
    </row>
    <row r="1289" spans="1:10">
      <c r="A1289" s="1">
        <v>168526</v>
      </c>
      <c r="B1289" s="1">
        <v>5100000004</v>
      </c>
      <c r="C1289" s="1">
        <v>8</v>
      </c>
      <c r="D1289" s="1" t="s">
        <v>2755</v>
      </c>
      <c r="E1289" t="s">
        <v>2805</v>
      </c>
      <c r="F1289" s="1">
        <v>652008</v>
      </c>
      <c r="G1289" s="1">
        <v>4116345276</v>
      </c>
      <c r="H1289" s="1">
        <v>12</v>
      </c>
      <c r="I1289" s="1" t="s">
        <v>89</v>
      </c>
      <c r="J1289" t="s">
        <v>2843</v>
      </c>
    </row>
    <row r="1290" spans="1:10">
      <c r="A1290" s="1">
        <v>455188</v>
      </c>
      <c r="B1290" s="1">
        <v>5100015278</v>
      </c>
      <c r="C1290" s="1">
        <v>8</v>
      </c>
      <c r="D1290" s="1" t="s">
        <v>2496</v>
      </c>
      <c r="E1290" t="s">
        <v>2806</v>
      </c>
      <c r="F1290" s="1">
        <v>190165</v>
      </c>
      <c r="G1290" s="1">
        <v>4116345267</v>
      </c>
      <c r="H1290" s="1">
        <v>12</v>
      </c>
      <c r="I1290" s="1" t="s">
        <v>2575</v>
      </c>
      <c r="J1290" t="s">
        <v>2844</v>
      </c>
    </row>
    <row r="1291" spans="1:10">
      <c r="A1291" s="1">
        <v>91033</v>
      </c>
      <c r="B1291" s="1">
        <v>5100000067</v>
      </c>
      <c r="C1291" s="1">
        <v>8</v>
      </c>
      <c r="D1291" s="1" t="s">
        <v>2755</v>
      </c>
      <c r="E1291" t="s">
        <v>2807</v>
      </c>
      <c r="F1291" s="1">
        <v>85464</v>
      </c>
      <c r="G1291" s="1">
        <v>4116345281</v>
      </c>
      <c r="H1291" s="1">
        <v>12</v>
      </c>
      <c r="I1291" s="1" t="s">
        <v>2845</v>
      </c>
      <c r="J1291" t="s">
        <v>2846</v>
      </c>
    </row>
    <row r="1292" spans="1:10">
      <c r="A1292" s="1">
        <v>786582</v>
      </c>
      <c r="B1292" s="1">
        <v>5100017100</v>
      </c>
      <c r="C1292" s="1">
        <v>4</v>
      </c>
      <c r="D1292" s="1" t="s">
        <v>2808</v>
      </c>
      <c r="E1292" t="s">
        <v>2809</v>
      </c>
      <c r="F1292" s="1">
        <v>125096</v>
      </c>
      <c r="G1292" s="1">
        <v>4116345280</v>
      </c>
      <c r="H1292" s="1">
        <v>12</v>
      </c>
      <c r="I1292" s="1" t="s">
        <v>2845</v>
      </c>
      <c r="J1292" t="s">
        <v>2847</v>
      </c>
    </row>
    <row r="1293" spans="1:10">
      <c r="A1293" s="1">
        <v>862094</v>
      </c>
      <c r="B1293" s="1">
        <v>5100017085</v>
      </c>
      <c r="C1293" s="1">
        <v>24</v>
      </c>
      <c r="D1293" s="1" t="s">
        <v>2758</v>
      </c>
      <c r="E1293" t="s">
        <v>2810</v>
      </c>
      <c r="F1293" s="1">
        <v>583393</v>
      </c>
      <c r="G1293" s="1">
        <v>4116345274</v>
      </c>
      <c r="H1293" s="1">
        <v>12</v>
      </c>
      <c r="I1293" s="1" t="s">
        <v>89</v>
      </c>
      <c r="J1293" t="s">
        <v>2848</v>
      </c>
    </row>
    <row r="1294" spans="1:10">
      <c r="A1294" s="1">
        <v>89649</v>
      </c>
      <c r="B1294" s="1">
        <v>5100015318</v>
      </c>
      <c r="C1294" s="1">
        <v>4</v>
      </c>
      <c r="D1294" s="1" t="s">
        <v>2808</v>
      </c>
      <c r="E1294" t="s">
        <v>2811</v>
      </c>
      <c r="F1294" s="1">
        <v>63669</v>
      </c>
      <c r="G1294" s="1">
        <v>4116345265</v>
      </c>
      <c r="H1294" s="1">
        <v>12</v>
      </c>
      <c r="I1294" s="1" t="s">
        <v>2575</v>
      </c>
      <c r="J1294" t="s">
        <v>2849</v>
      </c>
    </row>
    <row r="1295" spans="1:10">
      <c r="A1295" s="1">
        <v>91843</v>
      </c>
      <c r="B1295" s="1">
        <v>5100000336</v>
      </c>
      <c r="C1295" s="1">
        <v>12</v>
      </c>
      <c r="D1295" s="1" t="s">
        <v>2754</v>
      </c>
      <c r="E1295" t="s">
        <v>2812</v>
      </c>
      <c r="F1295" s="1">
        <v>825208</v>
      </c>
      <c r="G1295" s="1">
        <v>4116345273</v>
      </c>
      <c r="H1295" s="1">
        <v>12</v>
      </c>
      <c r="I1295" s="1" t="s">
        <v>89</v>
      </c>
      <c r="J1295" t="s">
        <v>2850</v>
      </c>
    </row>
    <row r="1296" spans="1:10">
      <c r="A1296" s="1">
        <v>92973</v>
      </c>
      <c r="B1296" s="1">
        <v>5100000284</v>
      </c>
      <c r="C1296" s="1">
        <v>12</v>
      </c>
      <c r="D1296" s="1" t="s">
        <v>1189</v>
      </c>
      <c r="E1296" t="s">
        <v>2813</v>
      </c>
      <c r="F1296" s="1">
        <v>106195</v>
      </c>
      <c r="G1296" s="1">
        <v>4116345264</v>
      </c>
      <c r="H1296" s="1">
        <v>12</v>
      </c>
      <c r="I1296" s="1" t="s">
        <v>2575</v>
      </c>
      <c r="J1296" t="s">
        <v>2851</v>
      </c>
    </row>
    <row r="1297" spans="1:10">
      <c r="A1297" s="1">
        <v>91041</v>
      </c>
      <c r="B1297" s="1">
        <v>5100000020</v>
      </c>
      <c r="C1297" s="1">
        <v>8</v>
      </c>
      <c r="D1297" s="1" t="s">
        <v>2755</v>
      </c>
      <c r="E1297" t="s">
        <v>2814</v>
      </c>
      <c r="F1297" s="1">
        <v>604553</v>
      </c>
      <c r="G1297" s="1">
        <v>4116345277</v>
      </c>
      <c r="H1297" s="1">
        <v>12</v>
      </c>
      <c r="I1297" s="1" t="s">
        <v>89</v>
      </c>
      <c r="J1297" t="s">
        <v>2852</v>
      </c>
    </row>
    <row r="1298" spans="1:10">
      <c r="A1298" s="1">
        <v>93336</v>
      </c>
      <c r="B1298" s="1">
        <v>5100015315</v>
      </c>
      <c r="C1298" s="1">
        <v>24</v>
      </c>
      <c r="D1298" s="1" t="s">
        <v>2758</v>
      </c>
      <c r="E1298" t="s">
        <v>2815</v>
      </c>
      <c r="F1298" s="1">
        <v>528646</v>
      </c>
      <c r="G1298" s="1">
        <v>4116345268</v>
      </c>
      <c r="H1298" s="1">
        <v>12</v>
      </c>
      <c r="I1298" s="1" t="s">
        <v>2575</v>
      </c>
      <c r="J1298" t="s">
        <v>2853</v>
      </c>
    </row>
    <row r="1299" spans="1:10">
      <c r="A1299" s="1">
        <v>91413</v>
      </c>
      <c r="B1299" s="1">
        <v>5100000803</v>
      </c>
      <c r="C1299" s="1">
        <v>12</v>
      </c>
      <c r="D1299" s="1" t="s">
        <v>2754</v>
      </c>
      <c r="E1299" t="s">
        <v>2816</v>
      </c>
      <c r="F1299" s="1">
        <v>70003</v>
      </c>
      <c r="G1299" s="1">
        <v>4116345271</v>
      </c>
      <c r="H1299" s="1">
        <v>12</v>
      </c>
      <c r="I1299" s="1" t="s">
        <v>89</v>
      </c>
      <c r="J1299" t="s">
        <v>2854</v>
      </c>
    </row>
    <row r="1300" spans="1:10">
      <c r="A1300" s="1">
        <v>90969</v>
      </c>
      <c r="B1300" s="1">
        <v>5100012156</v>
      </c>
      <c r="C1300" s="1">
        <v>12</v>
      </c>
      <c r="D1300" s="1" t="s">
        <v>2754</v>
      </c>
      <c r="E1300" t="s">
        <v>2817</v>
      </c>
      <c r="F1300" s="1">
        <v>484451</v>
      </c>
      <c r="G1300" s="1">
        <v>4116345262</v>
      </c>
      <c r="H1300" s="1">
        <v>12</v>
      </c>
      <c r="I1300" s="1" t="s">
        <v>2575</v>
      </c>
      <c r="J1300" t="s">
        <v>2855</v>
      </c>
    </row>
    <row r="1301" spans="1:10">
      <c r="A1301" s="1">
        <v>92999</v>
      </c>
      <c r="B1301" s="1">
        <v>5100013553</v>
      </c>
      <c r="C1301" s="1">
        <v>12</v>
      </c>
      <c r="D1301" s="1" t="s">
        <v>2754</v>
      </c>
      <c r="E1301" t="s">
        <v>2818</v>
      </c>
      <c r="F1301" s="1">
        <v>595850</v>
      </c>
      <c r="G1301" s="1">
        <v>4116345275</v>
      </c>
      <c r="H1301" s="1">
        <v>12</v>
      </c>
      <c r="I1301" s="1" t="s">
        <v>89</v>
      </c>
      <c r="J1301" t="s">
        <v>2856</v>
      </c>
    </row>
    <row r="1302" spans="1:10">
      <c r="A1302" s="1">
        <v>455196</v>
      </c>
      <c r="B1302" s="1">
        <v>5100006992</v>
      </c>
      <c r="C1302" s="1">
        <v>8</v>
      </c>
      <c r="D1302" s="1" t="s">
        <v>2496</v>
      </c>
      <c r="E1302" t="s">
        <v>2819</v>
      </c>
      <c r="F1302" s="1">
        <v>61085</v>
      </c>
      <c r="G1302" s="1">
        <v>4116345266</v>
      </c>
      <c r="H1302" s="1">
        <v>12</v>
      </c>
      <c r="I1302" s="1" t="s">
        <v>2575</v>
      </c>
      <c r="J1302" t="s">
        <v>2857</v>
      </c>
    </row>
    <row r="1303" spans="1:10">
      <c r="A1303" s="1">
        <v>92684</v>
      </c>
      <c r="B1303" s="1">
        <v>5100011977</v>
      </c>
      <c r="C1303" s="1">
        <v>8</v>
      </c>
      <c r="D1303" s="1" t="s">
        <v>2755</v>
      </c>
      <c r="E1303" t="s">
        <v>2820</v>
      </c>
      <c r="F1303" s="1">
        <v>257469</v>
      </c>
      <c r="G1303" s="1">
        <v>4116345279</v>
      </c>
      <c r="H1303" s="1">
        <v>12</v>
      </c>
      <c r="I1303" s="1" t="s">
        <v>2845</v>
      </c>
      <c r="J1303" t="s">
        <v>2858</v>
      </c>
    </row>
    <row r="1304" spans="1:10">
      <c r="A1304" s="1">
        <v>512525</v>
      </c>
      <c r="B1304" s="1">
        <v>4180020023</v>
      </c>
      <c r="C1304" s="1">
        <v>8</v>
      </c>
      <c r="D1304" s="1" t="s">
        <v>2821</v>
      </c>
      <c r="E1304" t="s">
        <v>2822</v>
      </c>
      <c r="F1304" s="1">
        <v>334896</v>
      </c>
      <c r="G1304" s="1">
        <v>4116345261</v>
      </c>
      <c r="H1304" s="1">
        <v>12</v>
      </c>
      <c r="I1304" s="1" t="s">
        <v>2575</v>
      </c>
      <c r="J1304" t="s">
        <v>2859</v>
      </c>
    </row>
    <row r="1305" spans="1:10">
      <c r="A1305" s="1">
        <v>777250</v>
      </c>
      <c r="B1305" s="1">
        <v>4180020022</v>
      </c>
      <c r="C1305" s="1">
        <v>8</v>
      </c>
      <c r="D1305" s="1" t="s">
        <v>2821</v>
      </c>
      <c r="E1305" t="s">
        <v>2823</v>
      </c>
      <c r="F1305" s="1">
        <v>558346</v>
      </c>
      <c r="G1305" s="1">
        <v>4116345270</v>
      </c>
      <c r="H1305" s="1">
        <v>12</v>
      </c>
      <c r="I1305" s="1" t="s">
        <v>89</v>
      </c>
      <c r="J1305" t="s">
        <v>2860</v>
      </c>
    </row>
    <row r="1306" spans="1:10">
      <c r="A1306" s="1">
        <v>705418</v>
      </c>
      <c r="B1306" s="1">
        <v>4180020025</v>
      </c>
      <c r="C1306" s="1">
        <v>8</v>
      </c>
      <c r="D1306" s="1" t="s">
        <v>2821</v>
      </c>
      <c r="E1306" t="s">
        <v>2824</v>
      </c>
      <c r="F1306" s="1">
        <v>224261</v>
      </c>
      <c r="G1306" s="1">
        <v>1630015352</v>
      </c>
      <c r="H1306" s="1">
        <v>4</v>
      </c>
      <c r="I1306" s="1" t="s">
        <v>2755</v>
      </c>
      <c r="J1306" t="s">
        <v>2861</v>
      </c>
    </row>
    <row r="1307" spans="1:10" ht="15.75">
      <c r="A1307" s="4" t="s">
        <v>10707</v>
      </c>
      <c r="B1307" s="2"/>
      <c r="C1307" s="2"/>
      <c r="D1307" s="2"/>
      <c r="E1307" s="3"/>
      <c r="F1307" s="1">
        <v>42036</v>
      </c>
      <c r="G1307" s="1">
        <v>4138741592</v>
      </c>
      <c r="H1307" s="1">
        <v>6</v>
      </c>
      <c r="I1307" s="1" t="s">
        <v>2862</v>
      </c>
      <c r="J1307" t="s">
        <v>2863</v>
      </c>
    </row>
    <row r="1308" spans="1:10">
      <c r="A1308" s="2" t="s">
        <v>0</v>
      </c>
      <c r="B1308" s="2" t="s">
        <v>1</v>
      </c>
      <c r="C1308" s="2" t="s">
        <v>2</v>
      </c>
      <c r="D1308" s="2" t="s">
        <v>3</v>
      </c>
      <c r="E1308" s="3" t="s">
        <v>4</v>
      </c>
      <c r="F1308" s="1">
        <v>557348</v>
      </c>
      <c r="G1308" s="1">
        <v>4138713500</v>
      </c>
      <c r="H1308" s="1">
        <v>6</v>
      </c>
      <c r="I1308" s="1" t="s">
        <v>2864</v>
      </c>
      <c r="J1308" t="s">
        <v>2865</v>
      </c>
    </row>
    <row r="1309" spans="1:10">
      <c r="A1309" s="1">
        <v>86678</v>
      </c>
      <c r="B1309" s="1">
        <v>1480058226</v>
      </c>
      <c r="C1309" s="1">
        <v>12</v>
      </c>
      <c r="D1309" s="1" t="s">
        <v>1189</v>
      </c>
      <c r="E1309" t="s">
        <v>2825</v>
      </c>
      <c r="F1309" s="1">
        <v>710301</v>
      </c>
      <c r="G1309" s="1">
        <v>5200020891</v>
      </c>
      <c r="H1309" s="1">
        <v>3</v>
      </c>
      <c r="I1309" s="1" t="s">
        <v>2866</v>
      </c>
      <c r="J1309" t="s">
        <v>2867</v>
      </c>
    </row>
    <row r="1310" spans="1:10">
      <c r="A1310" s="1">
        <v>82941</v>
      </c>
      <c r="B1310" s="1">
        <v>1480058221</v>
      </c>
      <c r="C1310" s="1">
        <v>12</v>
      </c>
      <c r="D1310" s="1" t="s">
        <v>1197</v>
      </c>
      <c r="E1310" t="s">
        <v>2825</v>
      </c>
      <c r="F1310" s="1">
        <v>102509</v>
      </c>
      <c r="G1310" s="1">
        <v>5200012125</v>
      </c>
      <c r="H1310" s="1">
        <v>4</v>
      </c>
      <c r="I1310" s="1" t="s">
        <v>2369</v>
      </c>
      <c r="J1310" t="s">
        <v>2868</v>
      </c>
    </row>
    <row r="1311" spans="1:10">
      <c r="A1311" s="1">
        <v>80549</v>
      </c>
      <c r="B1311" s="1">
        <v>1480058223</v>
      </c>
      <c r="C1311" s="1">
        <v>12</v>
      </c>
      <c r="D1311" s="1" t="s">
        <v>2826</v>
      </c>
      <c r="E1311" t="s">
        <v>2827</v>
      </c>
      <c r="F1311" s="1">
        <v>84194</v>
      </c>
      <c r="G1311" s="1">
        <v>5200012174</v>
      </c>
      <c r="H1311" s="1">
        <v>4</v>
      </c>
      <c r="I1311" s="1" t="s">
        <v>2369</v>
      </c>
      <c r="J1311" t="s">
        <v>2869</v>
      </c>
    </row>
    <row r="1312" spans="1:10">
      <c r="A1312" s="1">
        <v>86868</v>
      </c>
      <c r="B1312" s="1">
        <v>1480058204</v>
      </c>
      <c r="C1312" s="1">
        <v>12</v>
      </c>
      <c r="D1312" s="1" t="s">
        <v>1197</v>
      </c>
      <c r="E1312" t="s">
        <v>2828</v>
      </c>
      <c r="F1312" s="1">
        <v>102582</v>
      </c>
      <c r="G1312" s="1">
        <v>5200012126</v>
      </c>
      <c r="H1312" s="1">
        <v>4</v>
      </c>
      <c r="I1312" s="1" t="s">
        <v>2369</v>
      </c>
      <c r="J1312" t="s">
        <v>2870</v>
      </c>
    </row>
    <row r="1313" spans="1:10" ht="15.75">
      <c r="A1313" s="4" t="s">
        <v>10708</v>
      </c>
      <c r="B1313" s="2"/>
      <c r="C1313" s="2"/>
      <c r="D1313" s="2"/>
      <c r="E1313" s="3"/>
      <c r="F1313" s="4" t="s">
        <v>10708</v>
      </c>
      <c r="G1313" s="2"/>
      <c r="H1313" s="2"/>
      <c r="I1313" s="2"/>
      <c r="J1313" s="3"/>
    </row>
    <row r="1314" spans="1:10">
      <c r="A1314" s="2" t="s">
        <v>0</v>
      </c>
      <c r="B1314" s="2" t="s">
        <v>1</v>
      </c>
      <c r="C1314" s="2" t="s">
        <v>2</v>
      </c>
      <c r="D1314" s="2" t="s">
        <v>3</v>
      </c>
      <c r="E1314" s="3" t="s">
        <v>4</v>
      </c>
      <c r="F1314" s="2" t="s">
        <v>0</v>
      </c>
      <c r="G1314" s="2" t="s">
        <v>1</v>
      </c>
      <c r="H1314" s="2" t="s">
        <v>2</v>
      </c>
      <c r="I1314" s="2" t="s">
        <v>3</v>
      </c>
      <c r="J1314" s="3" t="s">
        <v>4</v>
      </c>
    </row>
    <row r="1315" spans="1:10">
      <c r="A1315" s="1">
        <v>710160</v>
      </c>
      <c r="B1315" s="1">
        <v>5200012934</v>
      </c>
      <c r="C1315" s="1">
        <v>4</v>
      </c>
      <c r="D1315" s="1" t="s">
        <v>2369</v>
      </c>
      <c r="E1315" t="s">
        <v>2871</v>
      </c>
      <c r="F1315" s="1">
        <v>433052</v>
      </c>
      <c r="G1315" s="1">
        <v>5200020967</v>
      </c>
      <c r="H1315" s="1">
        <v>3</v>
      </c>
      <c r="I1315" s="1" t="s">
        <v>2866</v>
      </c>
      <c r="J1315" t="s">
        <v>2906</v>
      </c>
    </row>
    <row r="1316" spans="1:10" ht="15.75" customHeight="1">
      <c r="A1316" s="1">
        <v>150458</v>
      </c>
      <c r="B1316" s="1">
        <v>5200012215</v>
      </c>
      <c r="C1316" s="1">
        <v>4</v>
      </c>
      <c r="D1316" s="1" t="s">
        <v>2369</v>
      </c>
      <c r="E1316" t="s">
        <v>2872</v>
      </c>
      <c r="F1316" s="1">
        <v>95547</v>
      </c>
      <c r="G1316" s="1">
        <v>5200020808</v>
      </c>
      <c r="H1316" s="1">
        <v>3</v>
      </c>
      <c r="I1316" s="1" t="s">
        <v>2866</v>
      </c>
      <c r="J1316" t="s">
        <v>2907</v>
      </c>
    </row>
    <row r="1317" spans="1:10" ht="15.75" customHeight="1">
      <c r="A1317" s="1">
        <v>81653</v>
      </c>
      <c r="B1317" s="1">
        <v>5200012107</v>
      </c>
      <c r="C1317" s="1">
        <v>4</v>
      </c>
      <c r="D1317" s="1" t="s">
        <v>2369</v>
      </c>
      <c r="E1317" t="s">
        <v>2873</v>
      </c>
      <c r="F1317" s="1">
        <v>97170</v>
      </c>
      <c r="G1317" s="1">
        <v>5200032016</v>
      </c>
      <c r="H1317" s="1">
        <v>12</v>
      </c>
      <c r="I1317" s="1" t="s">
        <v>1189</v>
      </c>
      <c r="J1317" t="s">
        <v>2908</v>
      </c>
    </row>
    <row r="1318" spans="1:10" ht="15.75" customHeight="1">
      <c r="A1318" s="1">
        <v>710178</v>
      </c>
      <c r="B1318" s="1">
        <v>5200012935</v>
      </c>
      <c r="C1318" s="1">
        <v>4</v>
      </c>
      <c r="D1318" s="1" t="s">
        <v>2369</v>
      </c>
      <c r="E1318" t="s">
        <v>2874</v>
      </c>
      <c r="F1318" s="1">
        <v>101857</v>
      </c>
      <c r="G1318" s="1">
        <v>5200033582</v>
      </c>
      <c r="H1318" s="1">
        <v>8</v>
      </c>
      <c r="I1318" s="1" t="s">
        <v>2496</v>
      </c>
      <c r="J1318" t="s">
        <v>2908</v>
      </c>
    </row>
    <row r="1319" spans="1:10" ht="15.75" customHeight="1">
      <c r="A1319" s="1">
        <v>710186</v>
      </c>
      <c r="B1319" s="1">
        <v>5200012936</v>
      </c>
      <c r="C1319" s="1">
        <v>4</v>
      </c>
      <c r="D1319" s="1" t="s">
        <v>2369</v>
      </c>
      <c r="E1319" t="s">
        <v>2875</v>
      </c>
      <c r="F1319" s="1">
        <v>97444</v>
      </c>
      <c r="G1319" s="1">
        <v>5200020805</v>
      </c>
      <c r="H1319" s="1">
        <v>3</v>
      </c>
      <c r="I1319" s="1" t="s">
        <v>2866</v>
      </c>
      <c r="J1319" t="s">
        <v>2909</v>
      </c>
    </row>
    <row r="1320" spans="1:10" ht="15.75" customHeight="1">
      <c r="A1320" s="1">
        <v>562579</v>
      </c>
      <c r="B1320" s="1">
        <v>5200032212</v>
      </c>
      <c r="C1320" s="1">
        <v>12</v>
      </c>
      <c r="D1320" s="1" t="s">
        <v>1189</v>
      </c>
      <c r="E1320" t="s">
        <v>2876</v>
      </c>
      <c r="F1320" s="1">
        <v>661736</v>
      </c>
      <c r="G1320" s="1">
        <v>5200020898</v>
      </c>
      <c r="H1320" s="1">
        <v>3</v>
      </c>
      <c r="I1320" s="1" t="s">
        <v>2866</v>
      </c>
      <c r="J1320" t="s">
        <v>2910</v>
      </c>
    </row>
    <row r="1321" spans="1:10" ht="15.75" customHeight="1">
      <c r="A1321" s="1">
        <v>783274</v>
      </c>
      <c r="B1321" s="1">
        <v>5200020911</v>
      </c>
      <c r="C1321" s="1">
        <v>3</v>
      </c>
      <c r="D1321" s="1" t="s">
        <v>2866</v>
      </c>
      <c r="E1321" t="s">
        <v>2877</v>
      </c>
      <c r="F1321" s="1">
        <v>97253</v>
      </c>
      <c r="G1321" s="1">
        <v>5200020807</v>
      </c>
      <c r="H1321" s="1">
        <v>3</v>
      </c>
      <c r="I1321" s="1" t="s">
        <v>2866</v>
      </c>
      <c r="J1321" t="s">
        <v>2911</v>
      </c>
    </row>
    <row r="1322" spans="1:10">
      <c r="A1322" s="1">
        <v>447441</v>
      </c>
      <c r="B1322" s="1">
        <v>5200020912</v>
      </c>
      <c r="C1322" s="1">
        <v>3</v>
      </c>
      <c r="D1322" s="1" t="s">
        <v>2866</v>
      </c>
      <c r="E1322" t="s">
        <v>2878</v>
      </c>
      <c r="F1322" s="1">
        <v>94961</v>
      </c>
      <c r="G1322" s="1">
        <v>5200033830</v>
      </c>
      <c r="H1322" s="1">
        <v>8</v>
      </c>
      <c r="I1322" s="1" t="s">
        <v>2496</v>
      </c>
      <c r="J1322" t="s">
        <v>2912</v>
      </c>
    </row>
    <row r="1323" spans="1:10">
      <c r="A1323" s="1">
        <v>427229</v>
      </c>
      <c r="B1323" s="1">
        <v>5200032213</v>
      </c>
      <c r="C1323" s="1">
        <v>12</v>
      </c>
      <c r="D1323" s="1" t="s">
        <v>1189</v>
      </c>
      <c r="E1323" t="s">
        <v>2879</v>
      </c>
      <c r="F1323" s="1">
        <v>710194</v>
      </c>
      <c r="G1323" s="1">
        <v>5200032431</v>
      </c>
      <c r="H1323" s="1">
        <v>12</v>
      </c>
      <c r="I1323" s="1" t="s">
        <v>1189</v>
      </c>
      <c r="J1323" t="s">
        <v>2913</v>
      </c>
    </row>
    <row r="1324" spans="1:10">
      <c r="A1324" s="1">
        <v>201970</v>
      </c>
      <c r="B1324" s="1">
        <v>5200020972</v>
      </c>
      <c r="C1324" s="1">
        <v>3</v>
      </c>
      <c r="D1324" s="1" t="s">
        <v>2866</v>
      </c>
      <c r="E1324" t="s">
        <v>2880</v>
      </c>
      <c r="F1324" s="1">
        <v>710202</v>
      </c>
      <c r="G1324" s="1">
        <v>5200032432</v>
      </c>
      <c r="H1324" s="1">
        <v>12</v>
      </c>
      <c r="I1324" s="1" t="s">
        <v>1189</v>
      </c>
      <c r="J1324" t="s">
        <v>2914</v>
      </c>
    </row>
    <row r="1325" spans="1:10">
      <c r="A1325" s="1">
        <v>125443</v>
      </c>
      <c r="B1325" s="1">
        <v>5200032256</v>
      </c>
      <c r="C1325" s="1">
        <v>12</v>
      </c>
      <c r="D1325" s="1" t="s">
        <v>1189</v>
      </c>
      <c r="E1325" t="s">
        <v>2880</v>
      </c>
      <c r="F1325" s="1">
        <v>277913</v>
      </c>
      <c r="G1325" s="1">
        <v>5200032434</v>
      </c>
      <c r="H1325" s="1">
        <v>12</v>
      </c>
      <c r="I1325" s="1" t="s">
        <v>1189</v>
      </c>
      <c r="J1325" t="s">
        <v>2915</v>
      </c>
    </row>
    <row r="1326" spans="1:10">
      <c r="A1326" s="1">
        <v>88799</v>
      </c>
      <c r="B1326" s="1">
        <v>5200032555</v>
      </c>
      <c r="C1326" s="1">
        <v>12</v>
      </c>
      <c r="D1326" s="1" t="s">
        <v>1189</v>
      </c>
      <c r="E1326" t="s">
        <v>2881</v>
      </c>
      <c r="F1326" s="1">
        <v>710210</v>
      </c>
      <c r="G1326" s="1">
        <v>5200032433</v>
      </c>
      <c r="H1326" s="1">
        <v>12</v>
      </c>
      <c r="I1326" s="1" t="s">
        <v>1189</v>
      </c>
      <c r="J1326" t="s">
        <v>2916</v>
      </c>
    </row>
    <row r="1327" spans="1:10">
      <c r="A1327" s="1">
        <v>96065</v>
      </c>
      <c r="B1327" s="1">
        <v>5200020844</v>
      </c>
      <c r="C1327" s="1">
        <v>3</v>
      </c>
      <c r="D1327" s="1" t="s">
        <v>2866</v>
      </c>
      <c r="E1327" t="s">
        <v>2882</v>
      </c>
      <c r="F1327" s="1">
        <v>514802</v>
      </c>
      <c r="G1327" s="1">
        <v>5200020899</v>
      </c>
      <c r="H1327" s="1">
        <v>3</v>
      </c>
      <c r="I1327" s="1" t="s">
        <v>2866</v>
      </c>
      <c r="J1327" t="s">
        <v>2917</v>
      </c>
    </row>
    <row r="1328" spans="1:10">
      <c r="A1328" s="1">
        <v>97204</v>
      </c>
      <c r="B1328" s="1">
        <v>5200032669</v>
      </c>
      <c r="C1328" s="1">
        <v>8</v>
      </c>
      <c r="D1328" s="1" t="s">
        <v>2496</v>
      </c>
      <c r="E1328" t="s">
        <v>2883</v>
      </c>
      <c r="F1328" s="1">
        <v>490102</v>
      </c>
      <c r="G1328" s="1">
        <v>5200032237</v>
      </c>
      <c r="H1328" s="1">
        <v>12</v>
      </c>
      <c r="I1328" s="1" t="s">
        <v>1189</v>
      </c>
      <c r="J1328" t="s">
        <v>2918</v>
      </c>
    </row>
    <row r="1329" spans="1:10">
      <c r="A1329" s="1">
        <v>88286</v>
      </c>
      <c r="B1329" s="1">
        <v>5200033877</v>
      </c>
      <c r="C1329" s="1">
        <v>12</v>
      </c>
      <c r="D1329" s="1" t="s">
        <v>1189</v>
      </c>
      <c r="E1329" t="s">
        <v>2884</v>
      </c>
      <c r="F1329" s="1">
        <v>429886</v>
      </c>
      <c r="G1329" s="1">
        <v>5200032238</v>
      </c>
      <c r="H1329" s="1">
        <v>12</v>
      </c>
      <c r="I1329" s="1" t="s">
        <v>1189</v>
      </c>
      <c r="J1329" t="s">
        <v>2919</v>
      </c>
    </row>
    <row r="1330" spans="1:10">
      <c r="A1330" s="1">
        <v>98012</v>
      </c>
      <c r="B1330" s="1">
        <v>5200033776</v>
      </c>
      <c r="C1330" s="1">
        <v>4</v>
      </c>
      <c r="D1330" s="1" t="s">
        <v>1188</v>
      </c>
      <c r="E1330" t="s">
        <v>2885</v>
      </c>
      <c r="F1330" s="1">
        <v>527929</v>
      </c>
      <c r="G1330" s="1">
        <v>5200032236</v>
      </c>
      <c r="H1330" s="1">
        <v>12</v>
      </c>
      <c r="I1330" s="1" t="s">
        <v>1189</v>
      </c>
      <c r="J1330" t="s">
        <v>2920</v>
      </c>
    </row>
    <row r="1331" spans="1:10">
      <c r="A1331" s="1">
        <v>94953</v>
      </c>
      <c r="B1331" s="1">
        <v>5200033832</v>
      </c>
      <c r="C1331" s="1">
        <v>8</v>
      </c>
      <c r="D1331" s="1" t="s">
        <v>2496</v>
      </c>
      <c r="E1331" t="s">
        <v>2885</v>
      </c>
      <c r="F1331" s="1">
        <v>608885</v>
      </c>
      <c r="G1331" s="1">
        <v>5200032248</v>
      </c>
      <c r="H1331" s="1">
        <v>12</v>
      </c>
      <c r="I1331" s="1" t="s">
        <v>1189</v>
      </c>
      <c r="J1331" t="s">
        <v>2921</v>
      </c>
    </row>
    <row r="1332" spans="1:10">
      <c r="A1332" s="1">
        <v>97998</v>
      </c>
      <c r="B1332" s="1">
        <v>5200033777</v>
      </c>
      <c r="C1332" s="1">
        <v>4</v>
      </c>
      <c r="D1332" s="1" t="s">
        <v>1188</v>
      </c>
      <c r="E1332" t="s">
        <v>2886</v>
      </c>
      <c r="F1332" s="1">
        <v>74096</v>
      </c>
      <c r="G1332" s="1">
        <v>5200053805</v>
      </c>
      <c r="H1332" s="1">
        <v>3</v>
      </c>
      <c r="I1332" s="1" t="s">
        <v>2922</v>
      </c>
      <c r="J1332" t="s">
        <v>2923</v>
      </c>
    </row>
    <row r="1333" spans="1:10">
      <c r="A1333" s="1">
        <v>88278</v>
      </c>
      <c r="B1333" s="1">
        <v>5200033876</v>
      </c>
      <c r="C1333" s="1">
        <v>12</v>
      </c>
      <c r="D1333" s="1" t="s">
        <v>1189</v>
      </c>
      <c r="E1333" t="s">
        <v>2886</v>
      </c>
      <c r="F1333" s="1">
        <v>845867</v>
      </c>
      <c r="G1333" s="1">
        <v>5200053804</v>
      </c>
      <c r="H1333" s="1">
        <v>3</v>
      </c>
      <c r="I1333" s="1" t="s">
        <v>2922</v>
      </c>
      <c r="J1333" t="s">
        <v>2924</v>
      </c>
    </row>
    <row r="1334" spans="1:10">
      <c r="A1334" s="1">
        <v>94904</v>
      </c>
      <c r="B1334" s="1">
        <v>5200033831</v>
      </c>
      <c r="C1334" s="1">
        <v>8</v>
      </c>
      <c r="D1334" s="1" t="s">
        <v>2496</v>
      </c>
      <c r="E1334" t="s">
        <v>2886</v>
      </c>
      <c r="F1334" s="1">
        <v>84541</v>
      </c>
      <c r="G1334" s="1">
        <v>5200032586</v>
      </c>
      <c r="H1334" s="1">
        <v>12</v>
      </c>
      <c r="I1334" s="1" t="s">
        <v>1189</v>
      </c>
      <c r="J1334" t="s">
        <v>2925</v>
      </c>
    </row>
    <row r="1335" spans="1:10">
      <c r="A1335" s="1">
        <v>85092</v>
      </c>
      <c r="B1335" s="1">
        <v>5200003962</v>
      </c>
      <c r="C1335" s="1">
        <v>12</v>
      </c>
      <c r="D1335" s="1" t="s">
        <v>2887</v>
      </c>
      <c r="E1335" t="s">
        <v>2888</v>
      </c>
      <c r="F1335" s="1">
        <v>84509</v>
      </c>
      <c r="G1335" s="1">
        <v>5200032585</v>
      </c>
      <c r="H1335" s="1">
        <v>12</v>
      </c>
      <c r="I1335" s="1" t="s">
        <v>1189</v>
      </c>
      <c r="J1335" t="s">
        <v>2926</v>
      </c>
    </row>
    <row r="1336" spans="1:10">
      <c r="A1336" s="1">
        <v>579409</v>
      </c>
      <c r="B1336" s="1">
        <v>5200032526</v>
      </c>
      <c r="C1336" s="1">
        <v>12</v>
      </c>
      <c r="D1336" s="1" t="s">
        <v>1189</v>
      </c>
      <c r="E1336" t="s">
        <v>2889</v>
      </c>
      <c r="F1336" s="1">
        <v>760769</v>
      </c>
      <c r="G1336" s="1">
        <v>1480064685</v>
      </c>
      <c r="H1336" s="1">
        <v>4</v>
      </c>
      <c r="I1336" s="1" t="s">
        <v>1188</v>
      </c>
      <c r="J1336" t="s">
        <v>2927</v>
      </c>
    </row>
    <row r="1337" spans="1:10">
      <c r="A1337" s="1">
        <v>97188</v>
      </c>
      <c r="B1337" s="1">
        <v>5200032673</v>
      </c>
      <c r="C1337" s="1">
        <v>12</v>
      </c>
      <c r="D1337" s="1" t="s">
        <v>1189</v>
      </c>
      <c r="E1337" t="s">
        <v>2890</v>
      </c>
      <c r="F1337" s="1">
        <v>572305</v>
      </c>
      <c r="G1337" s="1">
        <v>1480064687</v>
      </c>
      <c r="H1337" s="1">
        <v>4</v>
      </c>
      <c r="I1337" s="1" t="s">
        <v>1188</v>
      </c>
      <c r="J1337" t="s">
        <v>2928</v>
      </c>
    </row>
    <row r="1338" spans="1:10">
      <c r="A1338" s="1">
        <v>97485</v>
      </c>
      <c r="B1338" s="1">
        <v>5200032069</v>
      </c>
      <c r="C1338" s="1">
        <v>12</v>
      </c>
      <c r="D1338" s="1" t="s">
        <v>1189</v>
      </c>
      <c r="E1338" t="s">
        <v>2891</v>
      </c>
      <c r="F1338" s="1">
        <v>493734</v>
      </c>
      <c r="G1338" s="1">
        <v>1480064601</v>
      </c>
      <c r="H1338" s="1">
        <v>8</v>
      </c>
      <c r="I1338" s="1" t="s">
        <v>2496</v>
      </c>
      <c r="J1338" t="s">
        <v>2929</v>
      </c>
    </row>
    <row r="1339" spans="1:10">
      <c r="A1339" s="1">
        <v>88666</v>
      </c>
      <c r="B1339" s="1">
        <v>5200032552</v>
      </c>
      <c r="C1339" s="1">
        <v>12</v>
      </c>
      <c r="D1339" s="1" t="s">
        <v>1189</v>
      </c>
      <c r="E1339" t="s">
        <v>2892</v>
      </c>
      <c r="F1339" s="1">
        <v>82933</v>
      </c>
      <c r="G1339" s="1">
        <v>1480064609</v>
      </c>
      <c r="H1339" s="1">
        <v>4</v>
      </c>
      <c r="I1339" s="1" t="s">
        <v>1188</v>
      </c>
      <c r="J1339" t="s">
        <v>2930</v>
      </c>
    </row>
    <row r="1340" spans="1:10">
      <c r="A1340" s="1">
        <v>96057</v>
      </c>
      <c r="B1340" s="1">
        <v>5200020842</v>
      </c>
      <c r="C1340" s="1">
        <v>3</v>
      </c>
      <c r="D1340" s="1" t="s">
        <v>2866</v>
      </c>
      <c r="E1340" t="s">
        <v>2893</v>
      </c>
      <c r="F1340" s="1">
        <v>82909</v>
      </c>
      <c r="G1340" s="1">
        <v>1480064600</v>
      </c>
      <c r="H1340" s="1">
        <v>8</v>
      </c>
      <c r="I1340" s="1" t="s">
        <v>2496</v>
      </c>
      <c r="J1340" t="s">
        <v>2931</v>
      </c>
    </row>
    <row r="1341" spans="1:10">
      <c r="A1341" s="1">
        <v>102087</v>
      </c>
      <c r="B1341" s="1">
        <v>5200032012</v>
      </c>
      <c r="C1341" s="1">
        <v>12</v>
      </c>
      <c r="D1341" s="1" t="s">
        <v>1189</v>
      </c>
      <c r="E1341" t="s">
        <v>2894</v>
      </c>
      <c r="F1341" s="1">
        <v>91918</v>
      </c>
      <c r="G1341" s="1">
        <v>4175500825</v>
      </c>
      <c r="H1341" s="1">
        <v>8</v>
      </c>
      <c r="I1341" s="1" t="s">
        <v>2496</v>
      </c>
      <c r="J1341" t="s">
        <v>2932</v>
      </c>
    </row>
    <row r="1342" spans="1:10">
      <c r="A1342" s="1">
        <v>97196</v>
      </c>
      <c r="B1342" s="1">
        <v>5200020806</v>
      </c>
      <c r="C1342" s="1">
        <v>3</v>
      </c>
      <c r="D1342" s="1" t="s">
        <v>2866</v>
      </c>
      <c r="E1342" t="s">
        <v>2895</v>
      </c>
      <c r="F1342" s="1">
        <v>93948</v>
      </c>
      <c r="G1342" s="1">
        <v>4175500830</v>
      </c>
      <c r="H1342" s="1">
        <v>8</v>
      </c>
      <c r="I1342" s="1" t="s">
        <v>2496</v>
      </c>
      <c r="J1342" t="s">
        <v>2933</v>
      </c>
    </row>
    <row r="1343" spans="1:10">
      <c r="A1343" s="1">
        <v>95430</v>
      </c>
      <c r="B1343" s="1">
        <v>5200033775</v>
      </c>
      <c r="C1343" s="1">
        <v>4</v>
      </c>
      <c r="D1343" s="1" t="s">
        <v>1188</v>
      </c>
      <c r="E1343" t="s">
        <v>2896</v>
      </c>
      <c r="F1343" s="1">
        <v>95158</v>
      </c>
      <c r="G1343" s="1">
        <v>4175500800</v>
      </c>
      <c r="H1343" s="1">
        <v>8</v>
      </c>
      <c r="I1343" s="1" t="s">
        <v>2496</v>
      </c>
      <c r="J1343" t="s">
        <v>2934</v>
      </c>
    </row>
    <row r="1344" spans="1:10">
      <c r="A1344" s="1">
        <v>88310</v>
      </c>
      <c r="B1344" s="1">
        <v>5200033875</v>
      </c>
      <c r="C1344" s="1">
        <v>12</v>
      </c>
      <c r="D1344" s="1" t="s">
        <v>1189</v>
      </c>
      <c r="E1344" t="s">
        <v>2896</v>
      </c>
      <c r="F1344" s="1">
        <v>365403</v>
      </c>
      <c r="G1344" s="1">
        <v>4175500842</v>
      </c>
      <c r="H1344" s="1">
        <v>8</v>
      </c>
      <c r="I1344" s="1" t="s">
        <v>2496</v>
      </c>
      <c r="J1344" t="s">
        <v>2935</v>
      </c>
    </row>
    <row r="1345" spans="1:10">
      <c r="A1345" s="1">
        <v>528604</v>
      </c>
      <c r="B1345" s="1">
        <v>5200020870</v>
      </c>
      <c r="C1345" s="1">
        <v>3</v>
      </c>
      <c r="D1345" s="1" t="s">
        <v>2866</v>
      </c>
      <c r="E1345" t="s">
        <v>2897</v>
      </c>
      <c r="F1345" s="1">
        <v>91207</v>
      </c>
      <c r="G1345" s="1">
        <v>4175500810</v>
      </c>
      <c r="H1345" s="1">
        <v>8</v>
      </c>
      <c r="I1345" s="1" t="s">
        <v>2496</v>
      </c>
      <c r="J1345" t="s">
        <v>2936</v>
      </c>
    </row>
    <row r="1346" spans="1:10">
      <c r="A1346" s="1">
        <v>140715</v>
      </c>
      <c r="B1346" s="1">
        <v>5200032198</v>
      </c>
      <c r="C1346" s="1">
        <v>12</v>
      </c>
      <c r="D1346" s="1" t="s">
        <v>1189</v>
      </c>
      <c r="E1346" t="s">
        <v>2898</v>
      </c>
      <c r="F1346" s="1">
        <v>95554</v>
      </c>
      <c r="G1346" s="1">
        <v>4175500860</v>
      </c>
      <c r="H1346" s="1">
        <v>8</v>
      </c>
      <c r="I1346" s="1" t="s">
        <v>2496</v>
      </c>
      <c r="J1346" t="s">
        <v>2937</v>
      </c>
    </row>
    <row r="1347" spans="1:10">
      <c r="A1347" s="1">
        <v>168492</v>
      </c>
      <c r="B1347" s="1">
        <v>5200032199</v>
      </c>
      <c r="C1347" s="1">
        <v>12</v>
      </c>
      <c r="D1347" s="1" t="s">
        <v>1189</v>
      </c>
      <c r="E1347" t="s">
        <v>2899</v>
      </c>
      <c r="F1347" s="1">
        <v>93096</v>
      </c>
      <c r="G1347" s="1">
        <v>4175500814</v>
      </c>
      <c r="H1347" s="1">
        <v>8</v>
      </c>
      <c r="I1347" s="1" t="s">
        <v>2496</v>
      </c>
      <c r="J1347" t="s">
        <v>2938</v>
      </c>
    </row>
    <row r="1348" spans="1:10">
      <c r="A1348" s="1">
        <v>693333</v>
      </c>
      <c r="B1348" s="1">
        <v>5200020871</v>
      </c>
      <c r="C1348" s="1">
        <v>3</v>
      </c>
      <c r="D1348" s="1" t="s">
        <v>2866</v>
      </c>
      <c r="E1348" t="s">
        <v>2900</v>
      </c>
      <c r="F1348" s="1">
        <v>262733</v>
      </c>
      <c r="G1348" s="1">
        <v>4175500853</v>
      </c>
      <c r="H1348" s="1">
        <v>8</v>
      </c>
      <c r="I1348" s="1" t="s">
        <v>2496</v>
      </c>
      <c r="J1348" t="s">
        <v>2939</v>
      </c>
    </row>
    <row r="1349" spans="1:10">
      <c r="A1349" s="1">
        <v>484949</v>
      </c>
      <c r="B1349" s="1">
        <v>5200032251</v>
      </c>
      <c r="C1349" s="1">
        <v>12</v>
      </c>
      <c r="D1349" s="1" t="s">
        <v>1189</v>
      </c>
      <c r="E1349" t="s">
        <v>2901</v>
      </c>
      <c r="F1349" s="1">
        <v>95455</v>
      </c>
      <c r="G1349" s="1">
        <v>4175500260</v>
      </c>
      <c r="H1349" s="1">
        <v>8</v>
      </c>
      <c r="I1349" s="1" t="s">
        <v>2496</v>
      </c>
      <c r="J1349" t="s">
        <v>2940</v>
      </c>
    </row>
    <row r="1350" spans="1:10">
      <c r="A1350" s="1">
        <v>835595</v>
      </c>
      <c r="B1350" s="1">
        <v>5200020968</v>
      </c>
      <c r="C1350" s="1">
        <v>3</v>
      </c>
      <c r="D1350" s="1" t="s">
        <v>2866</v>
      </c>
      <c r="E1350" t="s">
        <v>2902</v>
      </c>
      <c r="F1350" s="1">
        <v>235820</v>
      </c>
      <c r="G1350" s="1">
        <v>4175500808</v>
      </c>
      <c r="H1350" s="1">
        <v>8</v>
      </c>
      <c r="I1350" s="1" t="s">
        <v>2496</v>
      </c>
      <c r="J1350" t="s">
        <v>2941</v>
      </c>
    </row>
    <row r="1351" spans="1:10">
      <c r="A1351" s="1">
        <v>336669</v>
      </c>
      <c r="B1351" s="1">
        <v>5200032217</v>
      </c>
      <c r="C1351" s="1">
        <v>12</v>
      </c>
      <c r="D1351" s="1" t="s">
        <v>1189</v>
      </c>
      <c r="E1351" t="s">
        <v>2903</v>
      </c>
      <c r="F1351" s="1">
        <v>235846</v>
      </c>
      <c r="G1351" s="1">
        <v>4175500851</v>
      </c>
      <c r="H1351" s="1">
        <v>8</v>
      </c>
      <c r="I1351" s="1" t="s">
        <v>2496</v>
      </c>
      <c r="J1351" t="s">
        <v>2942</v>
      </c>
    </row>
    <row r="1352" spans="1:10">
      <c r="A1352" s="1">
        <v>887331</v>
      </c>
      <c r="B1352" s="1">
        <v>5200020872</v>
      </c>
      <c r="C1352" s="1">
        <v>3</v>
      </c>
      <c r="D1352" s="1" t="s">
        <v>2866</v>
      </c>
      <c r="E1352" t="s">
        <v>2904</v>
      </c>
      <c r="F1352" s="1">
        <v>235895</v>
      </c>
      <c r="G1352" s="1">
        <v>4175500850</v>
      </c>
      <c r="H1352" s="1">
        <v>8</v>
      </c>
      <c r="I1352" s="1" t="s">
        <v>2496</v>
      </c>
      <c r="J1352" t="s">
        <v>2943</v>
      </c>
    </row>
    <row r="1353" spans="1:10">
      <c r="A1353" s="1">
        <v>763870</v>
      </c>
      <c r="B1353" s="1">
        <v>5200032250</v>
      </c>
      <c r="C1353" s="1">
        <v>12</v>
      </c>
      <c r="D1353" s="1" t="s">
        <v>1189</v>
      </c>
      <c r="E1353" t="s">
        <v>2905</v>
      </c>
      <c r="F1353" s="1">
        <v>235804</v>
      </c>
      <c r="G1353" s="1">
        <v>4175500852</v>
      </c>
      <c r="H1353" s="1">
        <v>8</v>
      </c>
      <c r="I1353" s="1" t="s">
        <v>2496</v>
      </c>
      <c r="J1353" t="s">
        <v>2944</v>
      </c>
    </row>
    <row r="1354" spans="1:10" ht="15.75">
      <c r="A1354" s="4" t="s">
        <v>10708</v>
      </c>
      <c r="B1354" s="2"/>
      <c r="C1354" s="2"/>
      <c r="D1354" s="2"/>
      <c r="E1354" s="3"/>
      <c r="F1354" s="4" t="s">
        <v>10708</v>
      </c>
      <c r="G1354" s="2"/>
      <c r="H1354" s="2"/>
      <c r="I1354" s="2"/>
      <c r="J1354" s="3"/>
    </row>
    <row r="1355" spans="1:10">
      <c r="A1355" s="2" t="s">
        <v>0</v>
      </c>
      <c r="B1355" s="2" t="s">
        <v>1</v>
      </c>
      <c r="C1355" s="2" t="s">
        <v>2</v>
      </c>
      <c r="D1355" s="2" t="s">
        <v>3</v>
      </c>
      <c r="E1355" s="3" t="s">
        <v>4</v>
      </c>
      <c r="F1355" s="2" t="s">
        <v>0</v>
      </c>
      <c r="G1355" s="2" t="s">
        <v>1</v>
      </c>
      <c r="H1355" s="2" t="s">
        <v>2</v>
      </c>
      <c r="I1355" s="2" t="s">
        <v>3</v>
      </c>
      <c r="J1355" s="3" t="s">
        <v>4</v>
      </c>
    </row>
    <row r="1356" spans="1:10">
      <c r="A1356" s="1">
        <v>254912</v>
      </c>
      <c r="B1356" s="1">
        <v>2850012460</v>
      </c>
      <c r="C1356" s="1">
        <v>12</v>
      </c>
      <c r="D1356" s="1" t="s">
        <v>2945</v>
      </c>
      <c r="E1356" t="s">
        <v>2946</v>
      </c>
      <c r="F1356" s="1">
        <v>87569</v>
      </c>
      <c r="G1356" s="1">
        <v>3120020302</v>
      </c>
      <c r="H1356" s="1">
        <v>6</v>
      </c>
      <c r="I1356" s="1" t="s">
        <v>2972</v>
      </c>
      <c r="J1356" t="s">
        <v>2986</v>
      </c>
    </row>
    <row r="1357" spans="1:10">
      <c r="A1357" s="1">
        <v>376590</v>
      </c>
      <c r="B1357" s="1">
        <v>4116343529</v>
      </c>
      <c r="C1357" s="1">
        <v>6</v>
      </c>
      <c r="D1357" s="1" t="s">
        <v>2947</v>
      </c>
      <c r="E1357" t="s">
        <v>2948</v>
      </c>
      <c r="F1357" s="1">
        <v>70953</v>
      </c>
      <c r="G1357" s="1">
        <v>3120034003</v>
      </c>
      <c r="H1357" s="1">
        <v>8</v>
      </c>
      <c r="I1357" s="1" t="s">
        <v>2754</v>
      </c>
      <c r="J1357" t="s">
        <v>2987</v>
      </c>
    </row>
    <row r="1358" spans="1:10">
      <c r="A1358" s="1">
        <v>17368</v>
      </c>
      <c r="B1358" s="1">
        <v>4116343981</v>
      </c>
      <c r="C1358" s="1">
        <v>24</v>
      </c>
      <c r="D1358" s="1" t="s">
        <v>1191</v>
      </c>
      <c r="E1358" t="s">
        <v>2949</v>
      </c>
      <c r="F1358" s="1">
        <v>86595</v>
      </c>
      <c r="G1358" s="1">
        <v>3120000462</v>
      </c>
      <c r="H1358" s="1">
        <v>6</v>
      </c>
      <c r="I1358" s="1" t="s">
        <v>1200</v>
      </c>
      <c r="J1358" t="s">
        <v>2988</v>
      </c>
    </row>
    <row r="1359" spans="1:10">
      <c r="A1359" s="1">
        <v>267468</v>
      </c>
      <c r="B1359" s="1">
        <v>4116343530</v>
      </c>
      <c r="C1359" s="1">
        <v>6</v>
      </c>
      <c r="D1359" s="1" t="s">
        <v>2947</v>
      </c>
      <c r="E1359" t="s">
        <v>2950</v>
      </c>
      <c r="F1359" s="1">
        <v>87213</v>
      </c>
      <c r="G1359" s="1">
        <v>3120027628</v>
      </c>
      <c r="H1359" s="1">
        <v>8</v>
      </c>
      <c r="I1359" s="1" t="s">
        <v>2496</v>
      </c>
      <c r="J1359" t="s">
        <v>2989</v>
      </c>
    </row>
    <row r="1360" spans="1:10">
      <c r="A1360" s="1">
        <v>452896</v>
      </c>
      <c r="B1360" s="1">
        <v>4116343982</v>
      </c>
      <c r="C1360" s="1">
        <v>24</v>
      </c>
      <c r="D1360" s="1" t="s">
        <v>1191</v>
      </c>
      <c r="E1360" t="s">
        <v>2951</v>
      </c>
      <c r="F1360" s="1">
        <v>595223</v>
      </c>
      <c r="G1360" s="1">
        <v>3120020088</v>
      </c>
      <c r="H1360" s="1">
        <v>8</v>
      </c>
      <c r="I1360" s="1" t="s">
        <v>2496</v>
      </c>
      <c r="J1360" t="s">
        <v>2990</v>
      </c>
    </row>
    <row r="1361" spans="1:10">
      <c r="A1361" s="1">
        <v>18143</v>
      </c>
      <c r="B1361" s="1">
        <v>4116343700</v>
      </c>
      <c r="C1361" s="1">
        <v>24</v>
      </c>
      <c r="D1361" s="1" t="s">
        <v>1191</v>
      </c>
      <c r="E1361" t="s">
        <v>2952</v>
      </c>
      <c r="F1361" s="1">
        <v>97956</v>
      </c>
      <c r="G1361" s="1">
        <v>3120027627</v>
      </c>
      <c r="H1361" s="1">
        <v>8</v>
      </c>
      <c r="I1361" s="1" t="s">
        <v>2496</v>
      </c>
      <c r="J1361" t="s">
        <v>2991</v>
      </c>
    </row>
    <row r="1362" spans="1:10">
      <c r="A1362" s="1">
        <v>744987</v>
      </c>
      <c r="B1362" s="1">
        <v>4116343699</v>
      </c>
      <c r="C1362" s="1">
        <v>24</v>
      </c>
      <c r="D1362" s="1" t="s">
        <v>1191</v>
      </c>
      <c r="E1362" t="s">
        <v>2953</v>
      </c>
      <c r="F1362" s="1">
        <v>88674</v>
      </c>
      <c r="G1362" s="1">
        <v>3120023027</v>
      </c>
      <c r="H1362" s="1">
        <v>8</v>
      </c>
      <c r="I1362" s="1" t="s">
        <v>2496</v>
      </c>
      <c r="J1362" t="s">
        <v>2992</v>
      </c>
    </row>
    <row r="1363" spans="1:10">
      <c r="A1363" s="1">
        <v>86512</v>
      </c>
      <c r="B1363" s="1">
        <v>1480000034</v>
      </c>
      <c r="C1363" s="1">
        <v>8</v>
      </c>
      <c r="D1363" s="1" t="s">
        <v>2496</v>
      </c>
      <c r="E1363" t="s">
        <v>2954</v>
      </c>
      <c r="F1363" s="1">
        <v>89326</v>
      </c>
      <c r="G1363" s="1">
        <v>3120033027</v>
      </c>
      <c r="H1363" s="1">
        <v>8</v>
      </c>
      <c r="I1363" s="1" t="s">
        <v>2496</v>
      </c>
      <c r="J1363" t="s">
        <v>2993</v>
      </c>
    </row>
    <row r="1364" spans="1:10">
      <c r="A1364" s="1">
        <v>61226</v>
      </c>
      <c r="B1364" s="1">
        <v>1480032100</v>
      </c>
      <c r="C1364" s="1">
        <v>8</v>
      </c>
      <c r="D1364" s="1" t="s">
        <v>2496</v>
      </c>
      <c r="E1364" t="s">
        <v>2955</v>
      </c>
      <c r="F1364" s="1">
        <v>88344</v>
      </c>
      <c r="G1364" s="1">
        <v>3120021007</v>
      </c>
      <c r="H1364" s="1">
        <v>8</v>
      </c>
      <c r="I1364" s="1" t="s">
        <v>2496</v>
      </c>
      <c r="J1364" t="s">
        <v>2994</v>
      </c>
    </row>
    <row r="1365" spans="1:10">
      <c r="A1365" s="1">
        <v>86520</v>
      </c>
      <c r="B1365" s="1">
        <v>1480031656</v>
      </c>
      <c r="C1365" s="1">
        <v>8</v>
      </c>
      <c r="D1365" s="1" t="s">
        <v>2496</v>
      </c>
      <c r="E1365" t="s">
        <v>2956</v>
      </c>
      <c r="F1365" s="1">
        <v>88021</v>
      </c>
      <c r="G1365" s="1">
        <v>3120022007</v>
      </c>
      <c r="H1365" s="1">
        <v>8</v>
      </c>
      <c r="I1365" s="1" t="s">
        <v>2496</v>
      </c>
      <c r="J1365" t="s">
        <v>2995</v>
      </c>
    </row>
    <row r="1366" spans="1:10">
      <c r="A1366" s="1">
        <v>85324</v>
      </c>
      <c r="B1366" s="1">
        <v>3732312044</v>
      </c>
      <c r="C1366" s="1">
        <v>8</v>
      </c>
      <c r="D1366" s="1" t="s">
        <v>2496</v>
      </c>
      <c r="E1366" t="s">
        <v>2957</v>
      </c>
      <c r="F1366" s="1">
        <v>88351</v>
      </c>
      <c r="G1366" s="1">
        <v>3120026107</v>
      </c>
      <c r="H1366" s="1">
        <v>8</v>
      </c>
      <c r="I1366" s="1" t="s">
        <v>2496</v>
      </c>
      <c r="J1366" t="s">
        <v>2996</v>
      </c>
    </row>
    <row r="1367" spans="1:10">
      <c r="A1367" s="1">
        <v>85332</v>
      </c>
      <c r="B1367" s="1">
        <v>3732312073</v>
      </c>
      <c r="C1367" s="1">
        <v>4</v>
      </c>
      <c r="D1367" s="1" t="s">
        <v>1188</v>
      </c>
      <c r="E1367" t="s">
        <v>2958</v>
      </c>
      <c r="F1367" s="1">
        <v>88336</v>
      </c>
      <c r="G1367" s="1">
        <v>3120020007</v>
      </c>
      <c r="H1367" s="1">
        <v>8</v>
      </c>
      <c r="I1367" s="1" t="s">
        <v>2496</v>
      </c>
      <c r="J1367" t="s">
        <v>2997</v>
      </c>
    </row>
    <row r="1368" spans="1:10">
      <c r="A1368" s="1">
        <v>85134</v>
      </c>
      <c r="B1368" s="1">
        <v>3732312065</v>
      </c>
      <c r="C1368" s="1">
        <v>8</v>
      </c>
      <c r="D1368" s="1" t="s">
        <v>2496</v>
      </c>
      <c r="E1368" t="s">
        <v>2958</v>
      </c>
      <c r="F1368" s="1">
        <v>87684</v>
      </c>
      <c r="G1368" s="1">
        <v>3120034327</v>
      </c>
      <c r="H1368" s="1">
        <v>8</v>
      </c>
      <c r="I1368" s="1" t="s">
        <v>2496</v>
      </c>
      <c r="J1368" t="s">
        <v>2998</v>
      </c>
    </row>
    <row r="1369" spans="1:10">
      <c r="A1369" s="1">
        <v>88468</v>
      </c>
      <c r="B1369" s="1">
        <v>75379200201</v>
      </c>
      <c r="C1369" s="1">
        <v>8</v>
      </c>
      <c r="D1369" s="1" t="s">
        <v>2496</v>
      </c>
      <c r="E1369" t="s">
        <v>2959</v>
      </c>
      <c r="F1369" s="1">
        <v>87692</v>
      </c>
      <c r="G1369" s="1">
        <v>3120035027</v>
      </c>
      <c r="H1369" s="1">
        <v>8</v>
      </c>
      <c r="I1369" s="1" t="s">
        <v>2496</v>
      </c>
      <c r="J1369" t="s">
        <v>2999</v>
      </c>
    </row>
    <row r="1370" spans="1:10">
      <c r="A1370" s="1">
        <v>88443</v>
      </c>
      <c r="B1370" s="1">
        <v>75379200203</v>
      </c>
      <c r="C1370" s="1">
        <v>8</v>
      </c>
      <c r="D1370" s="1" t="s">
        <v>2496</v>
      </c>
      <c r="E1370" t="s">
        <v>2960</v>
      </c>
      <c r="F1370" s="1">
        <v>536292</v>
      </c>
      <c r="G1370" s="1">
        <v>3120020031</v>
      </c>
      <c r="H1370" s="1">
        <v>8</v>
      </c>
      <c r="I1370" s="1" t="s">
        <v>2496</v>
      </c>
      <c r="J1370" t="s">
        <v>3000</v>
      </c>
    </row>
    <row r="1371" spans="1:10">
      <c r="A1371" s="1">
        <v>88435</v>
      </c>
      <c r="B1371" s="1">
        <v>75379200204</v>
      </c>
      <c r="C1371" s="1">
        <v>8</v>
      </c>
      <c r="D1371" s="1" t="s">
        <v>2496</v>
      </c>
      <c r="E1371" t="s">
        <v>2961</v>
      </c>
      <c r="F1371" s="1">
        <v>87676</v>
      </c>
      <c r="G1371" s="1">
        <v>3120034227</v>
      </c>
      <c r="H1371" s="1">
        <v>8</v>
      </c>
      <c r="I1371" s="1" t="s">
        <v>2496</v>
      </c>
      <c r="J1371" t="s">
        <v>3001</v>
      </c>
    </row>
    <row r="1372" spans="1:10">
      <c r="A1372" s="1">
        <v>96032</v>
      </c>
      <c r="B1372" s="1">
        <v>3120036827</v>
      </c>
      <c r="C1372" s="1">
        <v>8</v>
      </c>
      <c r="D1372" s="1" t="s">
        <v>2496</v>
      </c>
      <c r="E1372" t="s">
        <v>2962</v>
      </c>
      <c r="F1372" s="1">
        <v>87635</v>
      </c>
      <c r="G1372" s="1">
        <v>3120028127</v>
      </c>
      <c r="H1372" s="1">
        <v>8</v>
      </c>
      <c r="I1372" s="1" t="s">
        <v>2496</v>
      </c>
      <c r="J1372" t="s">
        <v>3002</v>
      </c>
    </row>
    <row r="1373" spans="1:10">
      <c r="A1373" s="1">
        <v>159681</v>
      </c>
      <c r="B1373" s="1">
        <v>3120036727</v>
      </c>
      <c r="C1373" s="1">
        <v>8</v>
      </c>
      <c r="D1373" s="1" t="s">
        <v>2496</v>
      </c>
      <c r="E1373" t="s">
        <v>2963</v>
      </c>
      <c r="F1373" s="1">
        <v>87643</v>
      </c>
      <c r="G1373" s="1">
        <v>3120028131</v>
      </c>
      <c r="H1373" s="1">
        <v>8</v>
      </c>
      <c r="I1373" s="1" t="s">
        <v>2496</v>
      </c>
      <c r="J1373" t="s">
        <v>3003</v>
      </c>
    </row>
    <row r="1374" spans="1:10">
      <c r="A1374" s="1">
        <v>95588</v>
      </c>
      <c r="B1374" s="1">
        <v>3120036627</v>
      </c>
      <c r="C1374" s="1">
        <v>8</v>
      </c>
      <c r="D1374" s="1" t="s">
        <v>2496</v>
      </c>
      <c r="E1374" t="s">
        <v>2964</v>
      </c>
      <c r="F1374" s="1">
        <v>87650</v>
      </c>
      <c r="G1374" s="1">
        <v>3120028130</v>
      </c>
      <c r="H1374" s="1">
        <v>8</v>
      </c>
      <c r="I1374" s="1" t="s">
        <v>2496</v>
      </c>
      <c r="J1374" t="s">
        <v>3004</v>
      </c>
    </row>
    <row r="1375" spans="1:10">
      <c r="A1375" s="1">
        <v>98780</v>
      </c>
      <c r="B1375" s="1">
        <v>3120027007</v>
      </c>
      <c r="C1375" s="1">
        <v>8</v>
      </c>
      <c r="D1375" s="1" t="s">
        <v>2496</v>
      </c>
      <c r="E1375" t="s">
        <v>2965</v>
      </c>
      <c r="F1375" s="1">
        <v>826735</v>
      </c>
      <c r="G1375" s="1">
        <v>7535511210</v>
      </c>
      <c r="H1375" s="1">
        <v>8</v>
      </c>
      <c r="I1375" s="1" t="s">
        <v>2496</v>
      </c>
      <c r="J1375" t="s">
        <v>3005</v>
      </c>
    </row>
    <row r="1376" spans="1:10">
      <c r="A1376" s="1">
        <v>89243</v>
      </c>
      <c r="B1376" s="1">
        <v>3120028827</v>
      </c>
      <c r="C1376" s="1">
        <v>8</v>
      </c>
      <c r="D1376" s="1" t="s">
        <v>2496</v>
      </c>
      <c r="E1376" t="s">
        <v>2966</v>
      </c>
      <c r="F1376" s="1">
        <v>87486</v>
      </c>
      <c r="G1376" s="1">
        <v>7535511216</v>
      </c>
      <c r="H1376" s="1">
        <v>8</v>
      </c>
      <c r="I1376" s="1" t="s">
        <v>2496</v>
      </c>
      <c r="J1376" t="s">
        <v>3006</v>
      </c>
    </row>
    <row r="1377" spans="1:10">
      <c r="A1377" s="1">
        <v>83931</v>
      </c>
      <c r="B1377" s="1">
        <v>3120033629</v>
      </c>
      <c r="C1377" s="1">
        <v>8</v>
      </c>
      <c r="D1377" s="1" t="s">
        <v>2496</v>
      </c>
      <c r="E1377" t="s">
        <v>2967</v>
      </c>
      <c r="F1377" s="1">
        <v>451401</v>
      </c>
      <c r="G1377" s="1">
        <v>7535511166</v>
      </c>
      <c r="H1377" s="1">
        <v>8</v>
      </c>
      <c r="I1377" s="1" t="s">
        <v>2496</v>
      </c>
      <c r="J1377" t="s">
        <v>3007</v>
      </c>
    </row>
    <row r="1378" spans="1:10">
      <c r="A1378" s="1">
        <v>111989</v>
      </c>
      <c r="B1378" s="1">
        <v>3120020026</v>
      </c>
      <c r="C1378" s="1">
        <v>8</v>
      </c>
      <c r="D1378" s="1" t="s">
        <v>2754</v>
      </c>
      <c r="E1378" t="s">
        <v>2968</v>
      </c>
      <c r="F1378" s="1">
        <v>530998</v>
      </c>
      <c r="G1378" s="1">
        <v>7535511163</v>
      </c>
      <c r="H1378" s="1">
        <v>8</v>
      </c>
      <c r="I1378" s="1" t="s">
        <v>2496</v>
      </c>
      <c r="J1378" t="s">
        <v>3008</v>
      </c>
    </row>
    <row r="1379" spans="1:10">
      <c r="A1379" s="1">
        <v>136846</v>
      </c>
      <c r="B1379" s="1">
        <v>3120027015</v>
      </c>
      <c r="C1379" s="1">
        <v>8</v>
      </c>
      <c r="D1379" s="1" t="s">
        <v>2496</v>
      </c>
      <c r="E1379" t="s">
        <v>2969</v>
      </c>
      <c r="F1379" s="1">
        <v>512459</v>
      </c>
      <c r="G1379" s="1">
        <v>7535511161</v>
      </c>
      <c r="H1379" s="1">
        <v>8</v>
      </c>
      <c r="I1379" s="1" t="s">
        <v>2496</v>
      </c>
      <c r="J1379" t="s">
        <v>3009</v>
      </c>
    </row>
    <row r="1380" spans="1:10">
      <c r="A1380" s="1">
        <v>851493</v>
      </c>
      <c r="B1380" s="1">
        <v>3120033630</v>
      </c>
      <c r="C1380" s="1">
        <v>8</v>
      </c>
      <c r="D1380" s="1" t="s">
        <v>2496</v>
      </c>
      <c r="E1380" t="s">
        <v>2970</v>
      </c>
      <c r="F1380" s="1">
        <v>335687</v>
      </c>
      <c r="G1380" s="1">
        <v>7535511164</v>
      </c>
      <c r="H1380" s="1">
        <v>8</v>
      </c>
      <c r="I1380" s="1" t="s">
        <v>2496</v>
      </c>
      <c r="J1380" t="s">
        <v>3010</v>
      </c>
    </row>
    <row r="1381" spans="1:10">
      <c r="A1381" s="1">
        <v>281493</v>
      </c>
      <c r="B1381" s="1">
        <v>3120021014</v>
      </c>
      <c r="C1381" s="1">
        <v>8</v>
      </c>
      <c r="D1381" s="1" t="s">
        <v>2754</v>
      </c>
      <c r="E1381" t="s">
        <v>2971</v>
      </c>
      <c r="F1381" s="1">
        <v>231076</v>
      </c>
      <c r="G1381" s="1">
        <v>7535511225</v>
      </c>
      <c r="H1381" s="1">
        <v>8</v>
      </c>
      <c r="I1381" s="1" t="s">
        <v>2496</v>
      </c>
      <c r="J1381" t="s">
        <v>3011</v>
      </c>
    </row>
    <row r="1382" spans="1:10">
      <c r="A1382" s="1">
        <v>87817</v>
      </c>
      <c r="B1382" s="1">
        <v>3120020300</v>
      </c>
      <c r="C1382" s="1">
        <v>6</v>
      </c>
      <c r="D1382" s="1" t="s">
        <v>2972</v>
      </c>
      <c r="E1382" t="s">
        <v>2973</v>
      </c>
      <c r="F1382" s="1">
        <v>231035</v>
      </c>
      <c r="G1382" s="1">
        <v>7535511229</v>
      </c>
      <c r="H1382" s="1">
        <v>8</v>
      </c>
      <c r="I1382" s="1" t="s">
        <v>2496</v>
      </c>
      <c r="J1382" t="s">
        <v>3012</v>
      </c>
    </row>
    <row r="1383" spans="1:10">
      <c r="A1383" s="1">
        <v>71670</v>
      </c>
      <c r="B1383" s="1">
        <v>3120000454</v>
      </c>
      <c r="C1383" s="1">
        <v>6</v>
      </c>
      <c r="D1383" s="1" t="s">
        <v>1200</v>
      </c>
      <c r="E1383" t="s">
        <v>2974</v>
      </c>
      <c r="F1383" s="1">
        <v>231043</v>
      </c>
      <c r="G1383" s="1">
        <v>7535511228</v>
      </c>
      <c r="H1383" s="1">
        <v>8</v>
      </c>
      <c r="I1383" s="1" t="s">
        <v>2496</v>
      </c>
      <c r="J1383" t="s">
        <v>3013</v>
      </c>
    </row>
    <row r="1384" spans="1:10">
      <c r="A1384" s="1">
        <v>73890</v>
      </c>
      <c r="B1384" s="1">
        <v>3120000455</v>
      </c>
      <c r="C1384" s="1">
        <v>6</v>
      </c>
      <c r="D1384" s="1" t="s">
        <v>1200</v>
      </c>
      <c r="E1384" t="s">
        <v>2975</v>
      </c>
      <c r="F1384" s="1">
        <v>87791</v>
      </c>
      <c r="G1384" s="1">
        <v>7535511213</v>
      </c>
      <c r="H1384" s="1">
        <v>8</v>
      </c>
      <c r="I1384" s="1" t="s">
        <v>2496</v>
      </c>
      <c r="J1384" t="s">
        <v>3014</v>
      </c>
    </row>
    <row r="1385" spans="1:10">
      <c r="A1385" s="1">
        <v>87783</v>
      </c>
      <c r="B1385" s="1">
        <v>3120020298</v>
      </c>
      <c r="C1385" s="1">
        <v>6</v>
      </c>
      <c r="D1385" s="1" t="s">
        <v>2972</v>
      </c>
      <c r="E1385" t="s">
        <v>2976</v>
      </c>
      <c r="F1385" s="1">
        <v>86447</v>
      </c>
      <c r="G1385" s="1">
        <v>1116608644</v>
      </c>
      <c r="H1385" s="1">
        <v>8</v>
      </c>
      <c r="I1385" s="1" t="s">
        <v>2496</v>
      </c>
      <c r="J1385" t="s">
        <v>3015</v>
      </c>
    </row>
    <row r="1386" spans="1:10">
      <c r="A1386" s="1">
        <v>281477</v>
      </c>
      <c r="B1386" s="1">
        <v>3120022003</v>
      </c>
      <c r="C1386" s="1">
        <v>8</v>
      </c>
      <c r="D1386" s="1" t="s">
        <v>2754</v>
      </c>
      <c r="E1386" t="s">
        <v>2977</v>
      </c>
      <c r="F1386" s="1">
        <v>86033</v>
      </c>
      <c r="G1386" s="1">
        <v>1116608603</v>
      </c>
      <c r="H1386" s="1">
        <v>4</v>
      </c>
      <c r="I1386" s="1" t="s">
        <v>1188</v>
      </c>
      <c r="J1386" t="s">
        <v>3016</v>
      </c>
    </row>
    <row r="1387" spans="1:10">
      <c r="A1387" s="1">
        <v>87619</v>
      </c>
      <c r="B1387" s="1">
        <v>3120020299</v>
      </c>
      <c r="C1387" s="1">
        <v>6</v>
      </c>
      <c r="D1387" s="1" t="s">
        <v>2972</v>
      </c>
      <c r="E1387" t="s">
        <v>2978</v>
      </c>
      <c r="F1387" s="1">
        <v>89375</v>
      </c>
      <c r="G1387" s="1">
        <v>1116608937</v>
      </c>
      <c r="H1387" s="1">
        <v>8</v>
      </c>
      <c r="I1387" s="1" t="s">
        <v>2496</v>
      </c>
      <c r="J1387" t="s">
        <v>3017</v>
      </c>
    </row>
    <row r="1388" spans="1:10">
      <c r="A1388" s="1">
        <v>682872</v>
      </c>
      <c r="B1388" s="1">
        <v>3120000449</v>
      </c>
      <c r="C1388" s="1">
        <v>6</v>
      </c>
      <c r="D1388" s="1" t="s">
        <v>1200</v>
      </c>
      <c r="E1388" t="s">
        <v>2979</v>
      </c>
      <c r="F1388" s="1">
        <v>88823</v>
      </c>
      <c r="G1388" s="1">
        <v>1116608882</v>
      </c>
      <c r="H1388" s="1">
        <v>8</v>
      </c>
      <c r="I1388" s="1" t="s">
        <v>2496</v>
      </c>
      <c r="J1388" t="s">
        <v>3018</v>
      </c>
    </row>
    <row r="1389" spans="1:10">
      <c r="A1389" s="1">
        <v>495135</v>
      </c>
      <c r="B1389" s="1">
        <v>3120020156</v>
      </c>
      <c r="C1389" s="1">
        <v>12</v>
      </c>
      <c r="D1389" s="1" t="s">
        <v>1201</v>
      </c>
      <c r="E1389" t="s">
        <v>2980</v>
      </c>
      <c r="F1389" s="1">
        <v>89235</v>
      </c>
      <c r="G1389" s="1">
        <v>1116608923</v>
      </c>
      <c r="H1389" s="1">
        <v>8</v>
      </c>
      <c r="I1389" s="1" t="s">
        <v>2496</v>
      </c>
      <c r="J1389" t="s">
        <v>3019</v>
      </c>
    </row>
    <row r="1390" spans="1:10">
      <c r="A1390" s="1">
        <v>81828</v>
      </c>
      <c r="B1390" s="1">
        <v>3120027016</v>
      </c>
      <c r="C1390" s="1">
        <v>8</v>
      </c>
      <c r="D1390" s="1" t="s">
        <v>2496</v>
      </c>
      <c r="E1390" t="s">
        <v>2981</v>
      </c>
      <c r="F1390" s="1">
        <v>88757</v>
      </c>
      <c r="G1390" s="1">
        <v>1116608875</v>
      </c>
      <c r="H1390" s="1">
        <v>8</v>
      </c>
      <c r="I1390" s="1" t="s">
        <v>2496</v>
      </c>
      <c r="J1390" t="s">
        <v>3020</v>
      </c>
    </row>
    <row r="1391" spans="1:10">
      <c r="A1391" s="1">
        <v>710368</v>
      </c>
      <c r="B1391" s="1">
        <v>3120000197</v>
      </c>
      <c r="C1391" s="1">
        <v>6</v>
      </c>
      <c r="D1391" s="1" t="s">
        <v>1200</v>
      </c>
      <c r="E1391" t="s">
        <v>2982</v>
      </c>
      <c r="F1391" s="1">
        <v>89300</v>
      </c>
      <c r="G1391" s="1">
        <v>1116608930</v>
      </c>
      <c r="H1391" s="1">
        <v>8</v>
      </c>
      <c r="I1391" s="1" t="s">
        <v>2496</v>
      </c>
      <c r="J1391" t="s">
        <v>3021</v>
      </c>
    </row>
    <row r="1392" spans="1:10">
      <c r="A1392" s="1">
        <v>710624</v>
      </c>
      <c r="B1392" s="1">
        <v>3120020151</v>
      </c>
      <c r="C1392" s="1">
        <v>12</v>
      </c>
      <c r="D1392" s="1" t="s">
        <v>1201</v>
      </c>
      <c r="E1392" t="s">
        <v>2983</v>
      </c>
      <c r="F1392" s="1">
        <v>87528</v>
      </c>
      <c r="G1392" s="1">
        <v>1116608752</v>
      </c>
      <c r="H1392" s="1">
        <v>8</v>
      </c>
      <c r="I1392" s="1" t="s">
        <v>2496</v>
      </c>
      <c r="J1392" t="s">
        <v>3022</v>
      </c>
    </row>
    <row r="1393" spans="1:10">
      <c r="A1393" s="1">
        <v>421701</v>
      </c>
      <c r="B1393" s="1">
        <v>3120000208</v>
      </c>
      <c r="C1393" s="1">
        <v>6</v>
      </c>
      <c r="D1393" s="1" t="s">
        <v>1200</v>
      </c>
      <c r="E1393" t="s">
        <v>2984</v>
      </c>
      <c r="F1393" s="1">
        <v>862680</v>
      </c>
      <c r="G1393" s="1">
        <v>1116601330</v>
      </c>
      <c r="H1393" s="1">
        <v>8</v>
      </c>
      <c r="I1393" s="1" t="s">
        <v>2496</v>
      </c>
      <c r="J1393" t="s">
        <v>3023</v>
      </c>
    </row>
    <row r="1394" spans="1:10">
      <c r="A1394" s="1">
        <v>560037</v>
      </c>
      <c r="B1394" s="1">
        <v>3120027017</v>
      </c>
      <c r="C1394" s="1">
        <v>8</v>
      </c>
      <c r="D1394" s="1" t="s">
        <v>2496</v>
      </c>
      <c r="E1394" t="s">
        <v>2985</v>
      </c>
      <c r="F1394" s="1">
        <v>373092</v>
      </c>
      <c r="G1394" s="1">
        <v>1116601328</v>
      </c>
      <c r="H1394" s="1">
        <v>8</v>
      </c>
      <c r="I1394" s="1" t="s">
        <v>2496</v>
      </c>
      <c r="J1394" t="s">
        <v>3024</v>
      </c>
    </row>
    <row r="1395" spans="1:10" ht="15.75">
      <c r="A1395" s="4" t="s">
        <v>10708</v>
      </c>
      <c r="B1395" s="2"/>
      <c r="C1395" s="2"/>
      <c r="D1395" s="2"/>
      <c r="E1395" s="3"/>
      <c r="F1395" s="4" t="s">
        <v>10708</v>
      </c>
      <c r="G1395" s="2"/>
      <c r="H1395" s="2"/>
      <c r="I1395" s="2"/>
      <c r="J1395" s="3"/>
    </row>
    <row r="1396" spans="1:10">
      <c r="A1396" s="2" t="s">
        <v>0</v>
      </c>
      <c r="B1396" s="2" t="s">
        <v>1</v>
      </c>
      <c r="C1396" s="2" t="s">
        <v>2</v>
      </c>
      <c r="D1396" s="2" t="s">
        <v>3</v>
      </c>
      <c r="E1396" s="3" t="s">
        <v>4</v>
      </c>
      <c r="F1396" s="2" t="s">
        <v>0</v>
      </c>
      <c r="G1396" s="2" t="s">
        <v>1</v>
      </c>
      <c r="H1396" s="2" t="s">
        <v>2</v>
      </c>
      <c r="I1396" s="2" t="s">
        <v>3</v>
      </c>
      <c r="J1396" s="3" t="s">
        <v>4</v>
      </c>
    </row>
    <row r="1397" spans="1:10">
      <c r="A1397" s="1">
        <v>383117</v>
      </c>
      <c r="B1397" s="1">
        <v>1116601329</v>
      </c>
      <c r="C1397" s="1">
        <v>8</v>
      </c>
      <c r="D1397" s="1" t="s">
        <v>2496</v>
      </c>
      <c r="E1397" t="s">
        <v>3025</v>
      </c>
      <c r="F1397" s="1">
        <v>142364</v>
      </c>
      <c r="G1397" s="1">
        <v>5100016983</v>
      </c>
      <c r="H1397" s="1">
        <v>8</v>
      </c>
      <c r="I1397" s="1" t="s">
        <v>2754</v>
      </c>
      <c r="J1397" t="s">
        <v>3068</v>
      </c>
    </row>
    <row r="1398" spans="1:10">
      <c r="A1398" s="1">
        <v>302463</v>
      </c>
      <c r="B1398" s="1">
        <v>1116601331</v>
      </c>
      <c r="C1398" s="1">
        <v>8</v>
      </c>
      <c r="D1398" s="1" t="s">
        <v>2496</v>
      </c>
      <c r="E1398" t="s">
        <v>3026</v>
      </c>
      <c r="F1398" s="1">
        <v>97006</v>
      </c>
      <c r="G1398" s="1">
        <v>5100014412</v>
      </c>
      <c r="H1398" s="1">
        <v>8</v>
      </c>
      <c r="I1398" s="1" t="s">
        <v>2496</v>
      </c>
      <c r="J1398" t="s">
        <v>3069</v>
      </c>
    </row>
    <row r="1399" spans="1:10">
      <c r="A1399" s="1">
        <v>86371</v>
      </c>
      <c r="B1399" s="1">
        <v>1116608637</v>
      </c>
      <c r="C1399" s="1">
        <v>8</v>
      </c>
      <c r="D1399" s="1" t="s">
        <v>2496</v>
      </c>
      <c r="E1399" t="s">
        <v>3027</v>
      </c>
      <c r="F1399" s="1">
        <v>97931</v>
      </c>
      <c r="G1399" s="1">
        <v>5100015277</v>
      </c>
      <c r="H1399" s="1">
        <v>8</v>
      </c>
      <c r="I1399" s="1" t="s">
        <v>2496</v>
      </c>
      <c r="J1399" t="s">
        <v>3070</v>
      </c>
    </row>
    <row r="1400" spans="1:10">
      <c r="A1400" s="1">
        <v>89409</v>
      </c>
      <c r="B1400" s="1">
        <v>1116608940</v>
      </c>
      <c r="C1400" s="1">
        <v>8</v>
      </c>
      <c r="D1400" s="1" t="s">
        <v>2496</v>
      </c>
      <c r="E1400" t="s">
        <v>3028</v>
      </c>
      <c r="F1400" s="1">
        <v>97279</v>
      </c>
      <c r="G1400" s="1">
        <v>5100014426</v>
      </c>
      <c r="H1400" s="1">
        <v>8</v>
      </c>
      <c r="I1400" s="1" t="s">
        <v>2496</v>
      </c>
      <c r="J1400" t="s">
        <v>3071</v>
      </c>
    </row>
    <row r="1401" spans="1:10">
      <c r="A1401" s="1">
        <v>87502</v>
      </c>
      <c r="B1401" s="1">
        <v>1116608750</v>
      </c>
      <c r="C1401" s="1">
        <v>8</v>
      </c>
      <c r="D1401" s="1" t="s">
        <v>2496</v>
      </c>
      <c r="E1401" t="s">
        <v>3029</v>
      </c>
      <c r="F1401" s="1">
        <v>95067</v>
      </c>
      <c r="G1401" s="1">
        <v>5100012711</v>
      </c>
      <c r="H1401" s="1">
        <v>8</v>
      </c>
      <c r="I1401" s="1" t="s">
        <v>2496</v>
      </c>
      <c r="J1401" t="s">
        <v>3072</v>
      </c>
    </row>
    <row r="1402" spans="1:10">
      <c r="A1402" s="1">
        <v>350025</v>
      </c>
      <c r="B1402" s="1">
        <v>4220000261</v>
      </c>
      <c r="C1402" s="1">
        <v>24</v>
      </c>
      <c r="D1402" s="1" t="s">
        <v>1191</v>
      </c>
      <c r="E1402" t="s">
        <v>3030</v>
      </c>
      <c r="F1402" s="1">
        <v>97295</v>
      </c>
      <c r="G1402" s="1">
        <v>5100013062</v>
      </c>
      <c r="H1402" s="1">
        <v>8</v>
      </c>
      <c r="I1402" s="1" t="s">
        <v>2496</v>
      </c>
      <c r="J1402" t="s">
        <v>3073</v>
      </c>
    </row>
    <row r="1403" spans="1:10">
      <c r="A1403" s="1">
        <v>569202</v>
      </c>
      <c r="B1403" s="1">
        <v>3710000345</v>
      </c>
      <c r="C1403" s="1">
        <v>8</v>
      </c>
      <c r="D1403" s="1" t="s">
        <v>2754</v>
      </c>
      <c r="E1403" t="s">
        <v>3031</v>
      </c>
      <c r="F1403" s="1">
        <v>95372</v>
      </c>
      <c r="G1403" s="1">
        <v>5100012773</v>
      </c>
      <c r="H1403" s="1">
        <v>8</v>
      </c>
      <c r="I1403" s="1" t="s">
        <v>2496</v>
      </c>
      <c r="J1403" t="s">
        <v>3074</v>
      </c>
    </row>
    <row r="1404" spans="1:10">
      <c r="A1404" s="1">
        <v>89029</v>
      </c>
      <c r="B1404" s="1">
        <v>4113030294</v>
      </c>
      <c r="C1404" s="1">
        <v>4</v>
      </c>
      <c r="D1404" s="1" t="s">
        <v>1188</v>
      </c>
      <c r="E1404" t="s">
        <v>3032</v>
      </c>
      <c r="F1404" s="1">
        <v>96115</v>
      </c>
      <c r="G1404" s="1">
        <v>5100012573</v>
      </c>
      <c r="H1404" s="1">
        <v>8</v>
      </c>
      <c r="I1404" s="1" t="s">
        <v>2496</v>
      </c>
      <c r="J1404" t="s">
        <v>3075</v>
      </c>
    </row>
    <row r="1405" spans="1:10">
      <c r="A1405" s="1">
        <v>83261</v>
      </c>
      <c r="B1405" s="1">
        <v>4113030424</v>
      </c>
      <c r="C1405" s="1">
        <v>8</v>
      </c>
      <c r="D1405" s="1" t="s">
        <v>2496</v>
      </c>
      <c r="E1405" t="s">
        <v>3033</v>
      </c>
      <c r="F1405" s="1">
        <v>90068</v>
      </c>
      <c r="G1405" s="1">
        <v>4180021800</v>
      </c>
      <c r="H1405" s="1">
        <v>8</v>
      </c>
      <c r="I1405" s="1" t="s">
        <v>2754</v>
      </c>
      <c r="J1405" t="s">
        <v>3076</v>
      </c>
    </row>
    <row r="1406" spans="1:10">
      <c r="A1406" s="1">
        <v>83105</v>
      </c>
      <c r="B1406" s="1">
        <v>4113030416</v>
      </c>
      <c r="C1406" s="1">
        <v>8</v>
      </c>
      <c r="D1406" s="1" t="s">
        <v>2496</v>
      </c>
      <c r="E1406" t="s">
        <v>3034</v>
      </c>
      <c r="F1406" s="1">
        <v>94193</v>
      </c>
      <c r="G1406" s="1">
        <v>4180026100</v>
      </c>
      <c r="H1406" s="1">
        <v>6</v>
      </c>
      <c r="I1406" s="1" t="s">
        <v>3077</v>
      </c>
      <c r="J1406" t="s">
        <v>3078</v>
      </c>
    </row>
    <row r="1407" spans="1:10">
      <c r="A1407" s="1">
        <v>488999</v>
      </c>
      <c r="B1407" s="1">
        <v>4113030509</v>
      </c>
      <c r="C1407" s="1">
        <v>8</v>
      </c>
      <c r="D1407" s="1" t="s">
        <v>3035</v>
      </c>
      <c r="E1407" t="s">
        <v>3036</v>
      </c>
      <c r="F1407" s="1">
        <v>91934</v>
      </c>
      <c r="G1407" s="1">
        <v>4180027100</v>
      </c>
      <c r="H1407" s="1">
        <v>8</v>
      </c>
      <c r="I1407" s="1" t="s">
        <v>2496</v>
      </c>
      <c r="J1407" t="s">
        <v>3079</v>
      </c>
    </row>
    <row r="1408" spans="1:10">
      <c r="A1408" s="1">
        <v>83212</v>
      </c>
      <c r="B1408" s="1">
        <v>4113030411</v>
      </c>
      <c r="C1408" s="1">
        <v>8</v>
      </c>
      <c r="D1408" s="1" t="s">
        <v>2496</v>
      </c>
      <c r="E1408" t="s">
        <v>3037</v>
      </c>
      <c r="F1408" s="1">
        <v>91942</v>
      </c>
      <c r="G1408" s="1">
        <v>4180022600</v>
      </c>
      <c r="H1408" s="1">
        <v>8</v>
      </c>
      <c r="I1408" s="1" t="s">
        <v>2496</v>
      </c>
      <c r="J1408" t="s">
        <v>3080</v>
      </c>
    </row>
    <row r="1409" spans="1:10">
      <c r="A1409" s="1">
        <v>83220</v>
      </c>
      <c r="B1409" s="1">
        <v>4113030410</v>
      </c>
      <c r="C1409" s="1">
        <v>8</v>
      </c>
      <c r="D1409" s="1" t="s">
        <v>2496</v>
      </c>
      <c r="E1409" t="s">
        <v>3038</v>
      </c>
      <c r="F1409" s="1">
        <v>87098</v>
      </c>
      <c r="G1409" s="1">
        <v>4180020750</v>
      </c>
      <c r="H1409" s="1">
        <v>8</v>
      </c>
      <c r="I1409" s="1" t="s">
        <v>2496</v>
      </c>
      <c r="J1409" t="s">
        <v>3081</v>
      </c>
    </row>
    <row r="1410" spans="1:10">
      <c r="A1410" s="1">
        <v>883140</v>
      </c>
      <c r="B1410" s="1">
        <v>4113030551</v>
      </c>
      <c r="C1410" s="1">
        <v>8</v>
      </c>
      <c r="D1410" s="1" t="s">
        <v>2496</v>
      </c>
      <c r="E1410" t="s">
        <v>3039</v>
      </c>
      <c r="F1410" s="1">
        <v>90712</v>
      </c>
      <c r="G1410" s="1">
        <v>4180022700</v>
      </c>
      <c r="H1410" s="1">
        <v>8</v>
      </c>
      <c r="I1410" s="1" t="s">
        <v>2496</v>
      </c>
      <c r="J1410" t="s">
        <v>3082</v>
      </c>
    </row>
    <row r="1411" spans="1:10">
      <c r="A1411" s="1">
        <v>760884</v>
      </c>
      <c r="B1411" s="1">
        <v>5360010600</v>
      </c>
      <c r="C1411" s="1">
        <v>5</v>
      </c>
      <c r="D1411" s="1" t="s">
        <v>3040</v>
      </c>
      <c r="E1411" t="s">
        <v>3041</v>
      </c>
      <c r="F1411" s="1">
        <v>92494</v>
      </c>
      <c r="G1411" s="1">
        <v>4180022000</v>
      </c>
      <c r="H1411" s="1">
        <v>8</v>
      </c>
      <c r="I1411" s="1" t="s">
        <v>2754</v>
      </c>
      <c r="J1411" t="s">
        <v>3083</v>
      </c>
    </row>
    <row r="1412" spans="1:10">
      <c r="A1412" s="1">
        <v>82545</v>
      </c>
      <c r="B1412" s="1">
        <v>5360010271</v>
      </c>
      <c r="C1412" s="1">
        <v>4</v>
      </c>
      <c r="D1412" s="1" t="s">
        <v>3042</v>
      </c>
      <c r="E1412" t="s">
        <v>3043</v>
      </c>
      <c r="F1412" s="1">
        <v>87379</v>
      </c>
      <c r="G1412" s="1">
        <v>4180020850</v>
      </c>
      <c r="H1412" s="1">
        <v>8</v>
      </c>
      <c r="I1412" s="1" t="s">
        <v>2496</v>
      </c>
      <c r="J1412" t="s">
        <v>3084</v>
      </c>
    </row>
    <row r="1413" spans="1:10">
      <c r="A1413" s="1">
        <v>82651</v>
      </c>
      <c r="B1413" s="1">
        <v>5360010268</v>
      </c>
      <c r="C1413" s="1">
        <v>4</v>
      </c>
      <c r="D1413" s="1" t="s">
        <v>3044</v>
      </c>
      <c r="E1413" t="s">
        <v>3045</v>
      </c>
      <c r="F1413" s="1">
        <v>221796</v>
      </c>
      <c r="G1413" s="1">
        <v>4180071500</v>
      </c>
      <c r="H1413" s="1">
        <v>12</v>
      </c>
      <c r="I1413" s="1" t="s">
        <v>3085</v>
      </c>
      <c r="J1413" t="s">
        <v>3086</v>
      </c>
    </row>
    <row r="1414" spans="1:10">
      <c r="A1414" s="1">
        <v>82669</v>
      </c>
      <c r="B1414" s="1">
        <v>5360010267</v>
      </c>
      <c r="C1414" s="1">
        <v>4</v>
      </c>
      <c r="D1414" s="1" t="s">
        <v>3042</v>
      </c>
      <c r="E1414" t="s">
        <v>3046</v>
      </c>
      <c r="F1414" s="1">
        <v>98194</v>
      </c>
      <c r="G1414" s="1">
        <v>4180034800</v>
      </c>
      <c r="H1414" s="1">
        <v>4</v>
      </c>
      <c r="I1414" s="1" t="s">
        <v>3087</v>
      </c>
      <c r="J1414" t="s">
        <v>3088</v>
      </c>
    </row>
    <row r="1415" spans="1:10">
      <c r="A1415" s="1">
        <v>82594</v>
      </c>
      <c r="B1415" s="1">
        <v>5360010270</v>
      </c>
      <c r="C1415" s="1">
        <v>4</v>
      </c>
      <c r="D1415" s="1" t="s">
        <v>3044</v>
      </c>
      <c r="E1415" t="s">
        <v>3047</v>
      </c>
      <c r="F1415" s="1">
        <v>86546</v>
      </c>
      <c r="G1415" s="1">
        <v>4360000410</v>
      </c>
      <c r="H1415" s="1">
        <v>12</v>
      </c>
      <c r="I1415" s="1" t="s">
        <v>1189</v>
      </c>
      <c r="J1415" t="s">
        <v>3089</v>
      </c>
    </row>
    <row r="1416" spans="1:10">
      <c r="A1416" s="1">
        <v>710483</v>
      </c>
      <c r="B1416" s="1">
        <v>5360010305</v>
      </c>
      <c r="C1416" s="1">
        <v>4</v>
      </c>
      <c r="D1416" s="1" t="s">
        <v>3042</v>
      </c>
      <c r="E1416" t="s">
        <v>3048</v>
      </c>
      <c r="F1416" s="1">
        <v>91181</v>
      </c>
      <c r="G1416" s="1">
        <v>4360000403</v>
      </c>
      <c r="H1416" s="1">
        <v>8</v>
      </c>
      <c r="I1416" s="1" t="s">
        <v>2754</v>
      </c>
      <c r="J1416" t="s">
        <v>3089</v>
      </c>
    </row>
    <row r="1417" spans="1:10">
      <c r="A1417" s="1">
        <v>710475</v>
      </c>
      <c r="B1417" s="1">
        <v>5360010304</v>
      </c>
      <c r="C1417" s="1">
        <v>4</v>
      </c>
      <c r="D1417" s="1" t="s">
        <v>3042</v>
      </c>
      <c r="E1417" t="s">
        <v>3049</v>
      </c>
      <c r="F1417" s="1">
        <v>86462</v>
      </c>
      <c r="G1417" s="1">
        <v>4360000131</v>
      </c>
      <c r="H1417" s="1">
        <v>4</v>
      </c>
      <c r="I1417" s="1" t="s">
        <v>3090</v>
      </c>
      <c r="J1417" t="s">
        <v>3091</v>
      </c>
    </row>
    <row r="1418" spans="1:10">
      <c r="A1418" s="1">
        <v>82610</v>
      </c>
      <c r="B1418" s="1">
        <v>5360010269</v>
      </c>
      <c r="C1418" s="1">
        <v>4</v>
      </c>
      <c r="D1418" s="1" t="s">
        <v>3044</v>
      </c>
      <c r="E1418" t="s">
        <v>3050</v>
      </c>
      <c r="F1418" s="1">
        <v>82602</v>
      </c>
      <c r="G1418" s="1">
        <v>4360000414</v>
      </c>
      <c r="H1418" s="1">
        <v>4</v>
      </c>
      <c r="I1418" s="1" t="s">
        <v>1188</v>
      </c>
      <c r="J1418" t="s">
        <v>3092</v>
      </c>
    </row>
    <row r="1419" spans="1:10">
      <c r="A1419" s="1">
        <v>336495</v>
      </c>
      <c r="B1419" s="1">
        <v>4113021163</v>
      </c>
      <c r="C1419" s="1">
        <v>12</v>
      </c>
      <c r="D1419" s="1" t="s">
        <v>1201</v>
      </c>
      <c r="E1419" t="s">
        <v>3051</v>
      </c>
      <c r="F1419" s="1">
        <v>91447</v>
      </c>
      <c r="G1419" s="1">
        <v>7235000001</v>
      </c>
      <c r="H1419" s="1">
        <v>4</v>
      </c>
      <c r="I1419" s="1" t="s">
        <v>3093</v>
      </c>
      <c r="J1419" t="s">
        <v>3094</v>
      </c>
    </row>
    <row r="1420" spans="1:10">
      <c r="A1420" s="1">
        <v>691485</v>
      </c>
      <c r="B1420" s="1">
        <v>4113021164</v>
      </c>
      <c r="C1420" s="1">
        <v>12</v>
      </c>
      <c r="D1420" s="1" t="s">
        <v>1201</v>
      </c>
      <c r="E1420" t="s">
        <v>3052</v>
      </c>
      <c r="F1420" s="1">
        <v>91009</v>
      </c>
      <c r="G1420" s="1">
        <v>7235002027</v>
      </c>
      <c r="H1420" s="1">
        <v>1</v>
      </c>
      <c r="I1420" s="1" t="s">
        <v>3095</v>
      </c>
      <c r="J1420" t="s">
        <v>3096</v>
      </c>
    </row>
    <row r="1421" spans="1:10" ht="15.75">
      <c r="A1421" s="1">
        <v>391375</v>
      </c>
      <c r="B1421" s="1">
        <v>4113021165</v>
      </c>
      <c r="C1421" s="1">
        <v>12</v>
      </c>
      <c r="D1421" s="1" t="s">
        <v>1201</v>
      </c>
      <c r="E1421" t="s">
        <v>3053</v>
      </c>
      <c r="F1421" s="4" t="s">
        <v>10709</v>
      </c>
      <c r="G1421" s="2"/>
      <c r="H1421" s="2"/>
      <c r="I1421" s="2"/>
      <c r="J1421" s="3"/>
    </row>
    <row r="1422" spans="1:10">
      <c r="A1422" s="1">
        <v>307397</v>
      </c>
      <c r="B1422" s="1">
        <v>4113021166</v>
      </c>
      <c r="C1422" s="1">
        <v>12</v>
      </c>
      <c r="D1422" s="1" t="s">
        <v>1201</v>
      </c>
      <c r="E1422" t="s">
        <v>3054</v>
      </c>
      <c r="F1422" s="2" t="s">
        <v>0</v>
      </c>
      <c r="G1422" s="2" t="s">
        <v>1</v>
      </c>
      <c r="H1422" s="2" t="s">
        <v>2</v>
      </c>
      <c r="I1422" s="2" t="s">
        <v>3</v>
      </c>
      <c r="J1422" s="3" t="s">
        <v>4</v>
      </c>
    </row>
    <row r="1423" spans="1:10">
      <c r="A1423" s="1">
        <v>73254</v>
      </c>
      <c r="B1423" s="1">
        <v>1116670314</v>
      </c>
      <c r="C1423" s="1">
        <v>4</v>
      </c>
      <c r="D1423" s="1" t="s">
        <v>1188</v>
      </c>
      <c r="E1423" t="s">
        <v>3055</v>
      </c>
      <c r="F1423" s="1">
        <v>85886</v>
      </c>
      <c r="G1423" s="1">
        <v>7480617000</v>
      </c>
      <c r="H1423" s="1">
        <v>24</v>
      </c>
      <c r="I1423" s="1" t="s">
        <v>1191</v>
      </c>
      <c r="J1423" t="s">
        <v>3097</v>
      </c>
    </row>
    <row r="1424" spans="1:10">
      <c r="A1424" s="1">
        <v>73262</v>
      </c>
      <c r="B1424" s="1">
        <v>1116670354</v>
      </c>
      <c r="C1424" s="1">
        <v>4</v>
      </c>
      <c r="D1424" s="1" t="s">
        <v>1188</v>
      </c>
      <c r="E1424" t="s">
        <v>3056</v>
      </c>
      <c r="F1424" s="1">
        <v>85191</v>
      </c>
      <c r="G1424" s="1">
        <v>7480617002</v>
      </c>
      <c r="H1424" s="1">
        <v>24</v>
      </c>
      <c r="I1424" s="1" t="s">
        <v>1191</v>
      </c>
      <c r="J1424" t="s">
        <v>3098</v>
      </c>
    </row>
    <row r="1425" spans="1:10">
      <c r="A1425" s="1">
        <v>73981</v>
      </c>
      <c r="B1425" s="1">
        <v>1116670689</v>
      </c>
      <c r="C1425" s="1">
        <v>4</v>
      </c>
      <c r="D1425" s="1" t="s">
        <v>1188</v>
      </c>
      <c r="E1425" t="s">
        <v>3057</v>
      </c>
      <c r="F1425" s="1">
        <v>58628</v>
      </c>
      <c r="G1425" s="1">
        <v>8768400969</v>
      </c>
      <c r="H1425" s="1">
        <v>4</v>
      </c>
      <c r="I1425" s="1" t="s">
        <v>3044</v>
      </c>
      <c r="J1425" t="s">
        <v>3099</v>
      </c>
    </row>
    <row r="1426" spans="1:10">
      <c r="A1426" s="1">
        <v>73288</v>
      </c>
      <c r="B1426" s="1">
        <v>1116670679</v>
      </c>
      <c r="C1426" s="1">
        <v>4</v>
      </c>
      <c r="D1426" s="1" t="s">
        <v>1188</v>
      </c>
      <c r="E1426" t="s">
        <v>3058</v>
      </c>
      <c r="F1426" s="1">
        <v>58636</v>
      </c>
      <c r="G1426" s="1">
        <v>8768400970</v>
      </c>
      <c r="H1426" s="1">
        <v>4</v>
      </c>
      <c r="I1426" s="1" t="s">
        <v>3044</v>
      </c>
      <c r="J1426" t="s">
        <v>3100</v>
      </c>
    </row>
    <row r="1427" spans="1:10">
      <c r="A1427" s="1">
        <v>278911</v>
      </c>
      <c r="B1427" s="1">
        <v>5100016987</v>
      </c>
      <c r="C1427" s="1">
        <v>8</v>
      </c>
      <c r="D1427" s="1" t="s">
        <v>2754</v>
      </c>
      <c r="E1427" t="s">
        <v>3059</v>
      </c>
      <c r="F1427" s="1">
        <v>87510</v>
      </c>
      <c r="G1427" s="1">
        <v>8768400957</v>
      </c>
      <c r="H1427" s="1">
        <v>4</v>
      </c>
      <c r="I1427" s="1" t="s">
        <v>3044</v>
      </c>
      <c r="J1427" t="s">
        <v>3101</v>
      </c>
    </row>
    <row r="1428" spans="1:10">
      <c r="A1428" s="1">
        <v>383596</v>
      </c>
      <c r="B1428" s="1">
        <v>5100016985</v>
      </c>
      <c r="C1428" s="1">
        <v>8</v>
      </c>
      <c r="D1428" s="1" t="s">
        <v>2754</v>
      </c>
      <c r="E1428" t="s">
        <v>3060</v>
      </c>
      <c r="F1428" s="1">
        <v>128777</v>
      </c>
      <c r="G1428" s="1">
        <v>8768493700</v>
      </c>
      <c r="H1428" s="1">
        <v>4</v>
      </c>
      <c r="I1428" s="1" t="s">
        <v>3044</v>
      </c>
      <c r="J1428" t="s">
        <v>3102</v>
      </c>
    </row>
    <row r="1429" spans="1:10">
      <c r="A1429" s="1">
        <v>885830</v>
      </c>
      <c r="B1429" s="1">
        <v>5100017682</v>
      </c>
      <c r="C1429" s="1">
        <v>8</v>
      </c>
      <c r="D1429" s="1" t="s">
        <v>2754</v>
      </c>
      <c r="E1429" t="s">
        <v>3061</v>
      </c>
      <c r="F1429" s="1">
        <v>90548</v>
      </c>
      <c r="G1429" s="1">
        <v>8768400991</v>
      </c>
      <c r="H1429" s="1">
        <v>4</v>
      </c>
      <c r="I1429" s="1" t="s">
        <v>3044</v>
      </c>
      <c r="J1429" t="s">
        <v>3103</v>
      </c>
    </row>
    <row r="1430" spans="1:10">
      <c r="A1430" s="1">
        <v>93526</v>
      </c>
      <c r="B1430" s="1">
        <v>5100014331</v>
      </c>
      <c r="C1430" s="1">
        <v>8</v>
      </c>
      <c r="D1430" s="1" t="s">
        <v>2754</v>
      </c>
      <c r="E1430" t="s">
        <v>3062</v>
      </c>
      <c r="F1430" s="1">
        <v>90506</v>
      </c>
      <c r="G1430" s="1">
        <v>8768400985</v>
      </c>
      <c r="H1430" s="1">
        <v>4</v>
      </c>
      <c r="I1430" s="1" t="s">
        <v>3044</v>
      </c>
      <c r="J1430" t="s">
        <v>3104</v>
      </c>
    </row>
    <row r="1431" spans="1:10">
      <c r="A1431" s="1">
        <v>97766</v>
      </c>
      <c r="B1431" s="1">
        <v>5100015325</v>
      </c>
      <c r="C1431" s="1">
        <v>8</v>
      </c>
      <c r="D1431" s="1" t="s">
        <v>2754</v>
      </c>
      <c r="E1431" t="s">
        <v>3063</v>
      </c>
      <c r="F1431" s="1">
        <v>90373</v>
      </c>
      <c r="G1431" s="1">
        <v>8768400993</v>
      </c>
      <c r="H1431" s="1">
        <v>4</v>
      </c>
      <c r="I1431" s="1" t="s">
        <v>3044</v>
      </c>
      <c r="J1431" t="s">
        <v>3105</v>
      </c>
    </row>
    <row r="1432" spans="1:10">
      <c r="A1432" s="1">
        <v>710400</v>
      </c>
      <c r="B1432" s="1">
        <v>5100015341</v>
      </c>
      <c r="C1432" s="1">
        <v>8</v>
      </c>
      <c r="D1432" s="1" t="s">
        <v>2754</v>
      </c>
      <c r="E1432" t="s">
        <v>3064</v>
      </c>
      <c r="F1432" s="1">
        <v>443671</v>
      </c>
      <c r="G1432" s="1">
        <v>8768400980</v>
      </c>
      <c r="H1432" s="1">
        <v>4</v>
      </c>
      <c r="I1432" s="1" t="s">
        <v>3044</v>
      </c>
      <c r="J1432" t="s">
        <v>3106</v>
      </c>
    </row>
    <row r="1433" spans="1:10">
      <c r="A1433" s="1">
        <v>710434</v>
      </c>
      <c r="B1433" s="1">
        <v>5100015339</v>
      </c>
      <c r="C1433" s="1">
        <v>8</v>
      </c>
      <c r="D1433" s="1" t="s">
        <v>2754</v>
      </c>
      <c r="E1433" t="s">
        <v>3065</v>
      </c>
      <c r="F1433" s="1">
        <v>409482</v>
      </c>
      <c r="G1433" s="1">
        <v>8768400998</v>
      </c>
      <c r="H1433" s="1">
        <v>4</v>
      </c>
      <c r="I1433" s="1" t="s">
        <v>3044</v>
      </c>
      <c r="J1433" t="s">
        <v>3107</v>
      </c>
    </row>
    <row r="1434" spans="1:10">
      <c r="A1434" s="1">
        <v>710426</v>
      </c>
      <c r="B1434" s="1">
        <v>5100015340</v>
      </c>
      <c r="C1434" s="1">
        <v>8</v>
      </c>
      <c r="D1434" s="1" t="s">
        <v>2754</v>
      </c>
      <c r="E1434" t="s">
        <v>3066</v>
      </c>
      <c r="F1434" s="1">
        <v>443663</v>
      </c>
      <c r="G1434" s="1">
        <v>8768400975</v>
      </c>
      <c r="H1434" s="1">
        <v>4</v>
      </c>
      <c r="I1434" s="1" t="s">
        <v>3044</v>
      </c>
      <c r="J1434" t="s">
        <v>3108</v>
      </c>
    </row>
    <row r="1435" spans="1:10">
      <c r="A1435" s="1">
        <v>750984</v>
      </c>
      <c r="B1435" s="1">
        <v>5100017723</v>
      </c>
      <c r="C1435" s="1">
        <v>8</v>
      </c>
      <c r="D1435" s="1" t="s">
        <v>2754</v>
      </c>
      <c r="E1435" t="s">
        <v>3067</v>
      </c>
      <c r="F1435" s="1">
        <v>409474</v>
      </c>
      <c r="G1435" s="1">
        <v>8768400974</v>
      </c>
      <c r="H1435" s="1">
        <v>4</v>
      </c>
      <c r="I1435" s="1" t="s">
        <v>3044</v>
      </c>
      <c r="J1435" t="s">
        <v>3109</v>
      </c>
    </row>
    <row r="1436" spans="1:10" ht="15.75">
      <c r="A1436" s="4" t="s">
        <v>10709</v>
      </c>
      <c r="B1436" s="2"/>
      <c r="C1436" s="2"/>
      <c r="D1436" s="2"/>
      <c r="E1436" s="3"/>
      <c r="F1436" s="4" t="s">
        <v>10709</v>
      </c>
      <c r="G1436" s="2"/>
      <c r="H1436" s="2"/>
      <c r="I1436" s="2"/>
      <c r="J1436" s="3"/>
    </row>
    <row r="1437" spans="1:10">
      <c r="A1437" s="2" t="s">
        <v>0</v>
      </c>
      <c r="B1437" s="2" t="s">
        <v>1</v>
      </c>
      <c r="C1437" s="2" t="s">
        <v>2</v>
      </c>
      <c r="D1437" s="2" t="s">
        <v>3</v>
      </c>
      <c r="E1437" s="3" t="s">
        <v>4</v>
      </c>
      <c r="F1437" s="2" t="s">
        <v>0</v>
      </c>
      <c r="G1437" s="2" t="s">
        <v>1</v>
      </c>
      <c r="H1437" s="2" t="s">
        <v>2</v>
      </c>
      <c r="I1437" s="2" t="s">
        <v>3</v>
      </c>
      <c r="J1437" s="3" t="s">
        <v>4</v>
      </c>
    </row>
    <row r="1438" spans="1:10">
      <c r="A1438" s="1">
        <v>58693</v>
      </c>
      <c r="B1438" s="1">
        <v>8768400971</v>
      </c>
      <c r="C1438" s="1">
        <v>4</v>
      </c>
      <c r="D1438" s="1" t="s">
        <v>3044</v>
      </c>
      <c r="E1438" t="s">
        <v>3110</v>
      </c>
      <c r="F1438" s="1">
        <v>87544</v>
      </c>
      <c r="G1438" s="1">
        <v>2800039400</v>
      </c>
      <c r="H1438" s="1">
        <v>12</v>
      </c>
      <c r="I1438" s="1" t="s">
        <v>2754</v>
      </c>
      <c r="J1438" t="s">
        <v>3151</v>
      </c>
    </row>
    <row r="1439" spans="1:10">
      <c r="A1439" s="1">
        <v>89797</v>
      </c>
      <c r="B1439" s="1">
        <v>8768493631</v>
      </c>
      <c r="C1439" s="1">
        <v>4</v>
      </c>
      <c r="D1439" s="1" t="s">
        <v>3044</v>
      </c>
      <c r="E1439" t="s">
        <v>3111</v>
      </c>
      <c r="F1439" s="1">
        <v>88476</v>
      </c>
      <c r="G1439" s="1">
        <v>2800039200</v>
      </c>
      <c r="H1439" s="1">
        <v>12</v>
      </c>
      <c r="I1439" s="1" t="s">
        <v>2754</v>
      </c>
      <c r="J1439" t="s">
        <v>3152</v>
      </c>
    </row>
    <row r="1440" spans="1:10">
      <c r="A1440" s="1">
        <v>409441</v>
      </c>
      <c r="B1440" s="1">
        <v>8768400965</v>
      </c>
      <c r="C1440" s="1">
        <v>4</v>
      </c>
      <c r="D1440" s="1" t="s">
        <v>3044</v>
      </c>
      <c r="E1440" t="s">
        <v>3112</v>
      </c>
      <c r="F1440" s="1">
        <v>86736</v>
      </c>
      <c r="G1440" s="1">
        <v>2800020350</v>
      </c>
      <c r="H1440" s="1">
        <v>12</v>
      </c>
      <c r="I1440" s="1" t="s">
        <v>2754</v>
      </c>
      <c r="J1440" t="s">
        <v>3153</v>
      </c>
    </row>
    <row r="1441" spans="1:10">
      <c r="A1441" s="1">
        <v>273144</v>
      </c>
      <c r="B1441" s="1">
        <v>8768400083</v>
      </c>
      <c r="C1441" s="1">
        <v>4</v>
      </c>
      <c r="D1441" s="1" t="s">
        <v>3044</v>
      </c>
      <c r="E1441" t="s">
        <v>3113</v>
      </c>
      <c r="F1441" s="1">
        <v>86090</v>
      </c>
      <c r="G1441" s="1">
        <v>2800000850</v>
      </c>
      <c r="H1441" s="1">
        <v>8</v>
      </c>
      <c r="I1441" s="1" t="s">
        <v>2754</v>
      </c>
      <c r="J1441" t="s">
        <v>3154</v>
      </c>
    </row>
    <row r="1442" spans="1:10">
      <c r="A1442" s="1">
        <v>89870</v>
      </c>
      <c r="B1442" s="1">
        <v>8768400982</v>
      </c>
      <c r="C1442" s="1">
        <v>4</v>
      </c>
      <c r="D1442" s="1" t="s">
        <v>3044</v>
      </c>
      <c r="E1442" t="s">
        <v>3114</v>
      </c>
      <c r="F1442" s="1">
        <v>618710</v>
      </c>
      <c r="G1442" s="1">
        <v>2800021521</v>
      </c>
      <c r="H1442" s="1">
        <v>8</v>
      </c>
      <c r="I1442" s="1" t="s">
        <v>1201</v>
      </c>
      <c r="J1442" t="s">
        <v>3155</v>
      </c>
    </row>
    <row r="1443" spans="1:10">
      <c r="A1443" s="1">
        <v>710632</v>
      </c>
      <c r="B1443" s="1">
        <v>8768400018</v>
      </c>
      <c r="C1443" s="1">
        <v>4</v>
      </c>
      <c r="D1443" s="1" t="s">
        <v>3044</v>
      </c>
      <c r="E1443" t="s">
        <v>3115</v>
      </c>
      <c r="F1443" s="1">
        <v>410472</v>
      </c>
      <c r="G1443" s="1">
        <v>2800052131</v>
      </c>
      <c r="H1443" s="1">
        <v>8</v>
      </c>
      <c r="I1443" s="1" t="s">
        <v>1201</v>
      </c>
      <c r="J1443" t="s">
        <v>3156</v>
      </c>
    </row>
    <row r="1444" spans="1:10">
      <c r="A1444" s="1">
        <v>710707</v>
      </c>
      <c r="B1444" s="1">
        <v>8768400020</v>
      </c>
      <c r="C1444" s="1">
        <v>4</v>
      </c>
      <c r="D1444" s="1" t="s">
        <v>3044</v>
      </c>
      <c r="E1444" t="s">
        <v>3116</v>
      </c>
      <c r="F1444" s="1">
        <v>90613</v>
      </c>
      <c r="G1444" s="1">
        <v>2800000823</v>
      </c>
      <c r="H1444" s="1">
        <v>8</v>
      </c>
      <c r="I1444" s="1" t="s">
        <v>2496</v>
      </c>
      <c r="J1444" t="s">
        <v>3157</v>
      </c>
    </row>
    <row r="1445" spans="1:10">
      <c r="A1445" s="1">
        <v>269712</v>
      </c>
      <c r="B1445" s="1">
        <v>8768400039</v>
      </c>
      <c r="C1445" s="1">
        <v>4</v>
      </c>
      <c r="D1445" s="1" t="s">
        <v>3044</v>
      </c>
      <c r="E1445" t="s">
        <v>3117</v>
      </c>
      <c r="F1445" s="1">
        <v>597518</v>
      </c>
      <c r="G1445" s="1">
        <v>2800072596</v>
      </c>
      <c r="H1445" s="1">
        <v>5</v>
      </c>
      <c r="I1445" s="1" t="s">
        <v>3143</v>
      </c>
      <c r="J1445" t="s">
        <v>3158</v>
      </c>
    </row>
    <row r="1446" spans="1:10">
      <c r="A1446" s="1">
        <v>515981</v>
      </c>
      <c r="B1446" s="1">
        <v>8768400125</v>
      </c>
      <c r="C1446" s="1">
        <v>4</v>
      </c>
      <c r="D1446" s="1" t="s">
        <v>3044</v>
      </c>
      <c r="E1446" t="s">
        <v>3118</v>
      </c>
      <c r="F1446" s="1">
        <v>810911</v>
      </c>
      <c r="G1446" s="1">
        <v>2800087457</v>
      </c>
      <c r="H1446" s="1">
        <v>4</v>
      </c>
      <c r="I1446" s="1" t="s">
        <v>3040</v>
      </c>
      <c r="J1446" t="s">
        <v>3159</v>
      </c>
    </row>
    <row r="1447" spans="1:10">
      <c r="A1447" s="1">
        <v>90654</v>
      </c>
      <c r="B1447" s="1">
        <v>8768400995</v>
      </c>
      <c r="C1447" s="1">
        <v>4</v>
      </c>
      <c r="D1447" s="1" t="s">
        <v>3044</v>
      </c>
      <c r="E1447" t="s">
        <v>3119</v>
      </c>
      <c r="F1447" s="1">
        <v>537993</v>
      </c>
      <c r="G1447" s="1">
        <v>2800008447</v>
      </c>
      <c r="H1447" s="1">
        <v>8</v>
      </c>
      <c r="I1447" s="1" t="s">
        <v>2754</v>
      </c>
      <c r="J1447" t="s">
        <v>3160</v>
      </c>
    </row>
    <row r="1448" spans="1:10">
      <c r="A1448" s="1">
        <v>835033</v>
      </c>
      <c r="B1448" s="1">
        <v>8768400124</v>
      </c>
      <c r="C1448" s="1">
        <v>4</v>
      </c>
      <c r="D1448" s="1" t="s">
        <v>3044</v>
      </c>
      <c r="E1448" t="s">
        <v>3120</v>
      </c>
      <c r="F1448" s="1">
        <v>880641</v>
      </c>
      <c r="G1448" s="1">
        <v>2800008449</v>
      </c>
      <c r="H1448" s="1">
        <v>8</v>
      </c>
      <c r="I1448" s="1" t="s">
        <v>2754</v>
      </c>
      <c r="J1448" t="s">
        <v>3161</v>
      </c>
    </row>
    <row r="1449" spans="1:10">
      <c r="A1449" s="1">
        <v>254557</v>
      </c>
      <c r="B1449" s="1">
        <v>8768400126</v>
      </c>
      <c r="C1449" s="1">
        <v>4</v>
      </c>
      <c r="D1449" s="1" t="s">
        <v>3044</v>
      </c>
      <c r="E1449" t="s">
        <v>3121</v>
      </c>
      <c r="F1449" s="1">
        <v>68676</v>
      </c>
      <c r="G1449" s="1">
        <v>2800052102</v>
      </c>
      <c r="H1449" s="1">
        <v>8</v>
      </c>
      <c r="I1449" s="1" t="s">
        <v>1201</v>
      </c>
      <c r="J1449" t="s">
        <v>3162</v>
      </c>
    </row>
    <row r="1450" spans="1:10">
      <c r="A1450" s="1">
        <v>433664</v>
      </c>
      <c r="B1450" s="1">
        <v>7085932304</v>
      </c>
      <c r="C1450" s="1">
        <v>11</v>
      </c>
      <c r="D1450" s="1" t="s">
        <v>3122</v>
      </c>
      <c r="E1450" t="s">
        <v>3123</v>
      </c>
      <c r="F1450" s="1">
        <v>599696</v>
      </c>
      <c r="G1450" s="1">
        <v>2800021412</v>
      </c>
      <c r="H1450" s="1">
        <v>8</v>
      </c>
      <c r="I1450" s="1" t="s">
        <v>1201</v>
      </c>
      <c r="J1450" t="s">
        <v>3163</v>
      </c>
    </row>
    <row r="1451" spans="1:10">
      <c r="A1451" s="1">
        <v>373613</v>
      </c>
      <c r="B1451" s="1">
        <v>7085932344</v>
      </c>
      <c r="C1451" s="1">
        <v>11</v>
      </c>
      <c r="D1451" s="1" t="s">
        <v>3122</v>
      </c>
      <c r="E1451" t="s">
        <v>3124</v>
      </c>
      <c r="F1451" s="1">
        <v>90977</v>
      </c>
      <c r="G1451" s="1">
        <v>2800010836</v>
      </c>
      <c r="H1451" s="1">
        <v>8</v>
      </c>
      <c r="I1451" s="1" t="s">
        <v>2496</v>
      </c>
      <c r="J1451" t="s">
        <v>3164</v>
      </c>
    </row>
    <row r="1452" spans="1:10">
      <c r="A1452" s="1">
        <v>281329</v>
      </c>
      <c r="B1452" s="1">
        <v>7085932307</v>
      </c>
      <c r="C1452" s="1">
        <v>11</v>
      </c>
      <c r="D1452" s="1" t="s">
        <v>3122</v>
      </c>
      <c r="E1452" t="s">
        <v>3125</v>
      </c>
      <c r="F1452" s="1">
        <v>90639</v>
      </c>
      <c r="G1452" s="1">
        <v>2800000822</v>
      </c>
      <c r="H1452" s="1">
        <v>8</v>
      </c>
      <c r="I1452" s="1" t="s">
        <v>2496</v>
      </c>
      <c r="J1452" t="s">
        <v>3165</v>
      </c>
    </row>
    <row r="1453" spans="1:10">
      <c r="A1453" s="1">
        <v>69617</v>
      </c>
      <c r="B1453" s="1">
        <v>7085932308</v>
      </c>
      <c r="C1453" s="1">
        <v>11</v>
      </c>
      <c r="D1453" s="1" t="s">
        <v>3122</v>
      </c>
      <c r="E1453" t="s">
        <v>3126</v>
      </c>
      <c r="F1453" s="1">
        <v>86801</v>
      </c>
      <c r="G1453" s="1">
        <v>2800062802</v>
      </c>
      <c r="H1453" s="1">
        <v>8</v>
      </c>
      <c r="I1453" s="1" t="s">
        <v>2754</v>
      </c>
      <c r="J1453" t="s">
        <v>3166</v>
      </c>
    </row>
    <row r="1454" spans="1:10">
      <c r="A1454" s="1">
        <v>412627</v>
      </c>
      <c r="B1454" s="1">
        <v>1480064647</v>
      </c>
      <c r="C1454" s="1">
        <v>4</v>
      </c>
      <c r="D1454" s="1" t="s">
        <v>1188</v>
      </c>
      <c r="E1454" t="s">
        <v>3127</v>
      </c>
      <c r="F1454" s="1">
        <v>86629</v>
      </c>
      <c r="G1454" s="1">
        <v>2800062804</v>
      </c>
      <c r="H1454" s="1">
        <v>8</v>
      </c>
      <c r="I1454" s="1" t="s">
        <v>2754</v>
      </c>
      <c r="J1454" t="s">
        <v>3167</v>
      </c>
    </row>
    <row r="1455" spans="1:10">
      <c r="A1455" s="1">
        <v>822908</v>
      </c>
      <c r="B1455" s="1">
        <v>1480064617</v>
      </c>
      <c r="C1455" s="1">
        <v>4</v>
      </c>
      <c r="D1455" s="1" t="s">
        <v>1188</v>
      </c>
      <c r="E1455" t="s">
        <v>3128</v>
      </c>
      <c r="F1455" s="1">
        <v>90647</v>
      </c>
      <c r="G1455" s="1">
        <v>2800000821</v>
      </c>
      <c r="H1455" s="1">
        <v>8</v>
      </c>
      <c r="I1455" s="1" t="s">
        <v>2496</v>
      </c>
      <c r="J1455" t="s">
        <v>3168</v>
      </c>
    </row>
    <row r="1456" spans="1:10">
      <c r="A1456" s="1">
        <v>81984</v>
      </c>
      <c r="B1456" s="1">
        <v>1480064608</v>
      </c>
      <c r="C1456" s="1">
        <v>4</v>
      </c>
      <c r="D1456" s="1" t="s">
        <v>1188</v>
      </c>
      <c r="E1456" t="s">
        <v>3129</v>
      </c>
      <c r="F1456" s="1">
        <v>86306</v>
      </c>
      <c r="G1456" s="1">
        <v>2800001323</v>
      </c>
      <c r="H1456" s="1">
        <v>8</v>
      </c>
      <c r="I1456" s="1" t="s">
        <v>2754</v>
      </c>
      <c r="J1456" t="s">
        <v>3169</v>
      </c>
    </row>
    <row r="1457" spans="1:10">
      <c r="A1457" s="1">
        <v>544460</v>
      </c>
      <c r="B1457" s="1">
        <v>1480064642</v>
      </c>
      <c r="C1457" s="1">
        <v>4</v>
      </c>
      <c r="D1457" s="1" t="s">
        <v>1188</v>
      </c>
      <c r="E1457" t="s">
        <v>3130</v>
      </c>
      <c r="F1457" s="1">
        <v>88104</v>
      </c>
      <c r="G1457" s="1">
        <v>2800050579</v>
      </c>
      <c r="H1457" s="1">
        <v>12</v>
      </c>
      <c r="I1457" s="1" t="s">
        <v>2754</v>
      </c>
      <c r="J1457" t="s">
        <v>3170</v>
      </c>
    </row>
    <row r="1458" spans="1:10">
      <c r="A1458" s="1">
        <v>61093</v>
      </c>
      <c r="B1458" s="1">
        <v>1480064666</v>
      </c>
      <c r="C1458" s="1">
        <v>4</v>
      </c>
      <c r="D1458" s="1" t="s">
        <v>1188</v>
      </c>
      <c r="E1458" t="s">
        <v>3131</v>
      </c>
      <c r="F1458" s="1">
        <v>529735</v>
      </c>
      <c r="G1458" s="1">
        <v>2800054136</v>
      </c>
      <c r="H1458" s="1">
        <v>4</v>
      </c>
      <c r="I1458" s="1" t="s">
        <v>3040</v>
      </c>
      <c r="J1458" t="s">
        <v>3171</v>
      </c>
    </row>
    <row r="1459" spans="1:10">
      <c r="A1459" s="1">
        <v>61234</v>
      </c>
      <c r="B1459" s="1">
        <v>1480064657</v>
      </c>
      <c r="C1459" s="1">
        <v>4</v>
      </c>
      <c r="D1459" s="1" t="s">
        <v>1188</v>
      </c>
      <c r="E1459" t="s">
        <v>3132</v>
      </c>
      <c r="F1459" s="1">
        <v>356105</v>
      </c>
      <c r="G1459" s="1">
        <v>2800096878</v>
      </c>
      <c r="H1459" s="1">
        <v>5</v>
      </c>
      <c r="I1459" s="1" t="s">
        <v>3143</v>
      </c>
      <c r="J1459" t="s">
        <v>3172</v>
      </c>
    </row>
    <row r="1460" spans="1:10">
      <c r="A1460" s="1">
        <v>87460</v>
      </c>
      <c r="B1460" s="1">
        <v>2500000814</v>
      </c>
      <c r="C1460" s="1">
        <v>4</v>
      </c>
      <c r="D1460" s="1" t="s">
        <v>3044</v>
      </c>
      <c r="E1460" t="s">
        <v>3133</v>
      </c>
      <c r="F1460" s="1">
        <v>86686</v>
      </c>
      <c r="G1460" s="1">
        <v>2800021397</v>
      </c>
      <c r="H1460" s="1">
        <v>8</v>
      </c>
      <c r="I1460" s="1" t="s">
        <v>2754</v>
      </c>
      <c r="J1460" t="s">
        <v>3173</v>
      </c>
    </row>
    <row r="1461" spans="1:10">
      <c r="A1461" s="1">
        <v>87387</v>
      </c>
      <c r="B1461" s="1">
        <v>2500000805</v>
      </c>
      <c r="C1461" s="1">
        <v>4</v>
      </c>
      <c r="D1461" s="1" t="s">
        <v>3044</v>
      </c>
      <c r="E1461" t="s">
        <v>3134</v>
      </c>
      <c r="F1461" s="1">
        <v>836908</v>
      </c>
      <c r="G1461" s="1">
        <v>2800034859</v>
      </c>
      <c r="H1461" s="1">
        <v>5</v>
      </c>
      <c r="I1461" s="1" t="s">
        <v>3143</v>
      </c>
      <c r="J1461" t="s">
        <v>3174</v>
      </c>
    </row>
    <row r="1462" spans="1:10">
      <c r="A1462" s="1">
        <v>87478</v>
      </c>
      <c r="B1462" s="1">
        <v>2500000800</v>
      </c>
      <c r="C1462" s="1">
        <v>4</v>
      </c>
      <c r="D1462" s="1" t="s">
        <v>3044</v>
      </c>
      <c r="E1462" t="s">
        <v>3135</v>
      </c>
      <c r="F1462" s="1">
        <v>167478</v>
      </c>
      <c r="G1462" s="1">
        <v>2800025895</v>
      </c>
      <c r="H1462" s="1">
        <v>4</v>
      </c>
      <c r="I1462" s="1" t="s">
        <v>3040</v>
      </c>
      <c r="J1462" t="s">
        <v>3175</v>
      </c>
    </row>
    <row r="1463" spans="1:10">
      <c r="A1463" s="1">
        <v>87437</v>
      </c>
      <c r="B1463" s="1">
        <v>2500000802</v>
      </c>
      <c r="C1463" s="1">
        <v>4</v>
      </c>
      <c r="D1463" s="1" t="s">
        <v>3044</v>
      </c>
      <c r="E1463" t="s">
        <v>3136</v>
      </c>
      <c r="F1463" s="1">
        <v>87155</v>
      </c>
      <c r="G1463" s="1">
        <v>2800000840</v>
      </c>
      <c r="H1463" s="1">
        <v>8</v>
      </c>
      <c r="I1463" s="1" t="s">
        <v>2754</v>
      </c>
      <c r="J1463" t="s">
        <v>3176</v>
      </c>
    </row>
    <row r="1464" spans="1:10">
      <c r="A1464" s="1">
        <v>87452</v>
      </c>
      <c r="B1464" s="1">
        <v>2500000801</v>
      </c>
      <c r="C1464" s="1">
        <v>4</v>
      </c>
      <c r="D1464" s="1" t="s">
        <v>3044</v>
      </c>
      <c r="E1464" t="s">
        <v>3137</v>
      </c>
      <c r="F1464" s="1">
        <v>86330</v>
      </c>
      <c r="G1464" s="1">
        <v>2800000890</v>
      </c>
      <c r="H1464" s="1">
        <v>8</v>
      </c>
      <c r="I1464" s="1" t="s">
        <v>2754</v>
      </c>
      <c r="J1464" t="s">
        <v>3177</v>
      </c>
    </row>
    <row r="1465" spans="1:10">
      <c r="A1465" s="1">
        <v>86256</v>
      </c>
      <c r="B1465" s="1">
        <v>2500000907</v>
      </c>
      <c r="C1465" s="1">
        <v>4</v>
      </c>
      <c r="D1465" s="1" t="s">
        <v>3044</v>
      </c>
      <c r="E1465" t="s">
        <v>3138</v>
      </c>
      <c r="F1465" s="1">
        <v>86140</v>
      </c>
      <c r="G1465" s="1">
        <v>2800000870</v>
      </c>
      <c r="H1465" s="1">
        <v>8</v>
      </c>
      <c r="I1465" s="1" t="s">
        <v>2754</v>
      </c>
      <c r="J1465" t="s">
        <v>3178</v>
      </c>
    </row>
    <row r="1466" spans="1:10">
      <c r="A1466" s="1">
        <v>86454</v>
      </c>
      <c r="B1466" s="1">
        <v>2500000906</v>
      </c>
      <c r="C1466" s="1">
        <v>4</v>
      </c>
      <c r="D1466" s="1" t="s">
        <v>3044</v>
      </c>
      <c r="E1466" t="s">
        <v>3139</v>
      </c>
      <c r="F1466" s="1">
        <v>88203</v>
      </c>
      <c r="G1466" s="1">
        <v>2800062806</v>
      </c>
      <c r="H1466" s="1">
        <v>8</v>
      </c>
      <c r="I1466" s="1" t="s">
        <v>2754</v>
      </c>
      <c r="J1466" t="s">
        <v>3179</v>
      </c>
    </row>
    <row r="1467" spans="1:10">
      <c r="A1467" s="1">
        <v>87411</v>
      </c>
      <c r="B1467" s="1">
        <v>2500000803</v>
      </c>
      <c r="C1467" s="1">
        <v>4</v>
      </c>
      <c r="D1467" s="1" t="s">
        <v>3044</v>
      </c>
      <c r="E1467" t="s">
        <v>3140</v>
      </c>
      <c r="F1467" s="1">
        <v>86124</v>
      </c>
      <c r="G1467" s="1">
        <v>2800000860</v>
      </c>
      <c r="H1467" s="1">
        <v>8</v>
      </c>
      <c r="I1467" s="1" t="s">
        <v>2754</v>
      </c>
      <c r="J1467" t="s">
        <v>3180</v>
      </c>
    </row>
    <row r="1468" spans="1:10">
      <c r="A1468" s="1">
        <v>87445</v>
      </c>
      <c r="B1468" s="1">
        <v>2500000816</v>
      </c>
      <c r="C1468" s="1">
        <v>4</v>
      </c>
      <c r="D1468" s="1" t="s">
        <v>3044</v>
      </c>
      <c r="E1468" t="s">
        <v>3141</v>
      </c>
      <c r="F1468" s="1">
        <v>82586</v>
      </c>
      <c r="G1468" s="1">
        <v>2800043980</v>
      </c>
      <c r="H1468" s="1">
        <v>8</v>
      </c>
      <c r="I1468" s="1" t="s">
        <v>2754</v>
      </c>
      <c r="J1468" t="s">
        <v>3181</v>
      </c>
    </row>
    <row r="1469" spans="1:10">
      <c r="A1469" s="1">
        <v>87338</v>
      </c>
      <c r="B1469" s="1">
        <v>2500000806</v>
      </c>
      <c r="C1469" s="1">
        <v>4</v>
      </c>
      <c r="D1469" s="1" t="s">
        <v>3044</v>
      </c>
      <c r="E1469" t="s">
        <v>3142</v>
      </c>
      <c r="F1469" s="1">
        <v>82644</v>
      </c>
      <c r="G1469" s="1">
        <v>2800044000</v>
      </c>
      <c r="H1469" s="1">
        <v>8</v>
      </c>
      <c r="I1469" s="1" t="s">
        <v>2754</v>
      </c>
      <c r="J1469" t="s">
        <v>3182</v>
      </c>
    </row>
    <row r="1470" spans="1:10">
      <c r="A1470" s="1">
        <v>359547</v>
      </c>
      <c r="B1470" s="1">
        <v>2800098443</v>
      </c>
      <c r="C1470" s="1">
        <v>5</v>
      </c>
      <c r="D1470" s="1" t="s">
        <v>3143</v>
      </c>
      <c r="E1470" t="s">
        <v>3144</v>
      </c>
      <c r="F1470" s="1">
        <v>820324</v>
      </c>
      <c r="G1470" s="1">
        <v>2800096347</v>
      </c>
      <c r="H1470" s="1">
        <v>5</v>
      </c>
      <c r="I1470" s="1" t="s">
        <v>3143</v>
      </c>
      <c r="J1470" t="s">
        <v>3183</v>
      </c>
    </row>
    <row r="1471" spans="1:10">
      <c r="A1471" s="1">
        <v>92585</v>
      </c>
      <c r="B1471" s="1">
        <v>2800000824</v>
      </c>
      <c r="C1471" s="1">
        <v>8</v>
      </c>
      <c r="D1471" s="1" t="s">
        <v>2496</v>
      </c>
      <c r="E1471" t="s">
        <v>3145</v>
      </c>
      <c r="F1471" s="1">
        <v>90621</v>
      </c>
      <c r="G1471" s="1">
        <v>2800000820</v>
      </c>
      <c r="H1471" s="1">
        <v>8</v>
      </c>
      <c r="I1471" s="1" t="s">
        <v>2496</v>
      </c>
      <c r="J1471" t="s">
        <v>3184</v>
      </c>
    </row>
    <row r="1472" spans="1:10">
      <c r="A1472" s="1">
        <v>89714</v>
      </c>
      <c r="B1472" s="1">
        <v>2800085236</v>
      </c>
      <c r="C1472" s="1">
        <v>4</v>
      </c>
      <c r="D1472" s="1" t="s">
        <v>3040</v>
      </c>
      <c r="E1472" t="s">
        <v>3146</v>
      </c>
      <c r="F1472" s="1">
        <v>307058</v>
      </c>
      <c r="G1472" s="1">
        <v>2800052145</v>
      </c>
      <c r="H1472" s="1">
        <v>4</v>
      </c>
      <c r="I1472" s="1" t="s">
        <v>3040</v>
      </c>
      <c r="J1472" t="s">
        <v>3185</v>
      </c>
    </row>
    <row r="1473" spans="1:10">
      <c r="A1473" s="1">
        <v>427682</v>
      </c>
      <c r="B1473" s="1">
        <v>2800014325</v>
      </c>
      <c r="C1473" s="1">
        <v>5</v>
      </c>
      <c r="D1473" s="1" t="s">
        <v>3143</v>
      </c>
      <c r="E1473" t="s">
        <v>3147</v>
      </c>
      <c r="F1473" s="1">
        <v>82677</v>
      </c>
      <c r="G1473" s="1">
        <v>2800043970</v>
      </c>
      <c r="H1473" s="1">
        <v>8</v>
      </c>
      <c r="I1473" s="1" t="s">
        <v>2496</v>
      </c>
      <c r="J1473" t="s">
        <v>3186</v>
      </c>
    </row>
    <row r="1474" spans="1:10">
      <c r="A1474" s="1">
        <v>764134</v>
      </c>
      <c r="B1474" s="1">
        <v>2800015976</v>
      </c>
      <c r="C1474" s="1">
        <v>4</v>
      </c>
      <c r="D1474" s="1" t="s">
        <v>3040</v>
      </c>
      <c r="E1474" t="s">
        <v>3148</v>
      </c>
      <c r="F1474" s="1">
        <v>319632</v>
      </c>
      <c r="G1474" s="1">
        <v>2800099874</v>
      </c>
      <c r="H1474" s="1">
        <v>4</v>
      </c>
      <c r="I1474" s="1" t="s">
        <v>3040</v>
      </c>
      <c r="J1474" t="s">
        <v>3187</v>
      </c>
    </row>
    <row r="1475" spans="1:10">
      <c r="A1475" s="1">
        <v>88088</v>
      </c>
      <c r="B1475" s="1">
        <v>2800039301</v>
      </c>
      <c r="C1475" s="1">
        <v>12</v>
      </c>
      <c r="D1475" s="1" t="s">
        <v>2754</v>
      </c>
      <c r="E1475" t="s">
        <v>3149</v>
      </c>
      <c r="F1475" s="1">
        <v>571497</v>
      </c>
      <c r="G1475" s="1">
        <v>4300001761</v>
      </c>
      <c r="H1475" s="1">
        <v>1</v>
      </c>
      <c r="I1475" s="1" t="s">
        <v>3188</v>
      </c>
      <c r="J1475" t="s">
        <v>3189</v>
      </c>
    </row>
    <row r="1476" spans="1:10">
      <c r="A1476" s="1">
        <v>87577</v>
      </c>
      <c r="B1476" s="1">
        <v>2800039700</v>
      </c>
      <c r="C1476" s="1">
        <v>12</v>
      </c>
      <c r="D1476" s="1" t="s">
        <v>2754</v>
      </c>
      <c r="E1476" t="s">
        <v>3150</v>
      </c>
      <c r="F1476" s="1">
        <v>88534</v>
      </c>
      <c r="G1476" s="1">
        <v>4300095368</v>
      </c>
      <c r="H1476" s="1">
        <v>8</v>
      </c>
      <c r="I1476" s="1" t="s">
        <v>3190</v>
      </c>
      <c r="J1476" t="s">
        <v>3191</v>
      </c>
    </row>
    <row r="1477" spans="1:10" ht="15.75">
      <c r="A1477" s="4" t="s">
        <v>10709</v>
      </c>
      <c r="B1477" s="2"/>
      <c r="C1477" s="2"/>
      <c r="D1477" s="2"/>
      <c r="E1477" s="3"/>
      <c r="F1477" s="4" t="s">
        <v>10709</v>
      </c>
      <c r="G1477" s="2"/>
      <c r="H1477" s="2"/>
      <c r="I1477" s="2"/>
      <c r="J1477" s="3"/>
    </row>
    <row r="1478" spans="1:10">
      <c r="A1478" s="2" t="s">
        <v>0</v>
      </c>
      <c r="B1478" s="2" t="s">
        <v>1</v>
      </c>
      <c r="C1478" s="2" t="s">
        <v>2</v>
      </c>
      <c r="D1478" s="2" t="s">
        <v>3</v>
      </c>
      <c r="E1478" s="3" t="s">
        <v>4</v>
      </c>
      <c r="F1478" s="2" t="s">
        <v>0</v>
      </c>
      <c r="G1478" s="2" t="s">
        <v>1</v>
      </c>
      <c r="H1478" s="2" t="s">
        <v>2</v>
      </c>
      <c r="I1478" s="2" t="s">
        <v>3</v>
      </c>
      <c r="J1478" s="3" t="s">
        <v>4</v>
      </c>
    </row>
    <row r="1479" spans="1:10">
      <c r="A1479" s="1">
        <v>88617</v>
      </c>
      <c r="B1479" s="1">
        <v>4300095373</v>
      </c>
      <c r="C1479" s="1">
        <v>8</v>
      </c>
      <c r="D1479" s="1" t="s">
        <v>3190</v>
      </c>
      <c r="E1479" t="s">
        <v>3192</v>
      </c>
      <c r="F1479" s="1">
        <v>89052</v>
      </c>
      <c r="G1479" s="1">
        <v>7239234161</v>
      </c>
      <c r="H1479" s="1">
        <v>8</v>
      </c>
      <c r="I1479" s="1" t="s">
        <v>3190</v>
      </c>
      <c r="J1479" t="s">
        <v>3231</v>
      </c>
    </row>
    <row r="1480" spans="1:10">
      <c r="A1480" s="1">
        <v>597534</v>
      </c>
      <c r="B1480" s="1">
        <v>4300002071</v>
      </c>
      <c r="C1480" s="1">
        <v>8</v>
      </c>
      <c r="D1480" s="1" t="s">
        <v>3190</v>
      </c>
      <c r="E1480" t="s">
        <v>3193</v>
      </c>
      <c r="F1480" s="1">
        <v>89045</v>
      </c>
      <c r="G1480" s="1">
        <v>7239234160</v>
      </c>
      <c r="H1480" s="1">
        <v>8</v>
      </c>
      <c r="I1480" s="1" t="s">
        <v>3190</v>
      </c>
      <c r="J1480" t="s">
        <v>3232</v>
      </c>
    </row>
    <row r="1481" spans="1:10">
      <c r="A1481" s="1">
        <v>404210</v>
      </c>
      <c r="B1481" s="1">
        <v>4300002072</v>
      </c>
      <c r="C1481" s="1">
        <v>8</v>
      </c>
      <c r="D1481" s="1" t="s">
        <v>3190</v>
      </c>
      <c r="E1481" t="s">
        <v>3194</v>
      </c>
      <c r="F1481" s="1">
        <v>97782</v>
      </c>
      <c r="G1481" s="1">
        <v>1480031846</v>
      </c>
      <c r="H1481" s="1">
        <v>3</v>
      </c>
      <c r="I1481" s="1" t="s">
        <v>3233</v>
      </c>
      <c r="J1481" t="s">
        <v>3234</v>
      </c>
    </row>
    <row r="1482" spans="1:10">
      <c r="A1482" s="1">
        <v>88559</v>
      </c>
      <c r="B1482" s="1">
        <v>4300095370</v>
      </c>
      <c r="C1482" s="1">
        <v>8</v>
      </c>
      <c r="D1482" s="1" t="s">
        <v>3190</v>
      </c>
      <c r="E1482" t="s">
        <v>3195</v>
      </c>
      <c r="F1482" s="1">
        <v>428458</v>
      </c>
      <c r="G1482" s="1">
        <v>1480031821</v>
      </c>
      <c r="H1482" s="1">
        <v>8</v>
      </c>
      <c r="I1482" s="1" t="s">
        <v>2496</v>
      </c>
      <c r="J1482" t="s">
        <v>3235</v>
      </c>
    </row>
    <row r="1483" spans="1:10">
      <c r="A1483" s="1">
        <v>88583</v>
      </c>
      <c r="B1483" s="1">
        <v>4300095369</v>
      </c>
      <c r="C1483" s="1">
        <v>8</v>
      </c>
      <c r="D1483" s="1" t="s">
        <v>3190</v>
      </c>
      <c r="E1483" t="s">
        <v>3196</v>
      </c>
      <c r="F1483" s="1">
        <v>185439</v>
      </c>
      <c r="G1483" s="1">
        <v>1480031822</v>
      </c>
      <c r="H1483" s="1">
        <v>8</v>
      </c>
      <c r="I1483" s="1" t="s">
        <v>2496</v>
      </c>
      <c r="J1483" t="s">
        <v>3236</v>
      </c>
    </row>
    <row r="1484" spans="1:10">
      <c r="A1484" s="1">
        <v>164699</v>
      </c>
      <c r="B1484" s="1">
        <v>4300002070</v>
      </c>
      <c r="C1484" s="1">
        <v>8</v>
      </c>
      <c r="D1484" s="1" t="s">
        <v>3190</v>
      </c>
      <c r="E1484" t="s">
        <v>3197</v>
      </c>
      <c r="F1484" s="1">
        <v>679332</v>
      </c>
      <c r="G1484" s="1">
        <v>1480031820</v>
      </c>
      <c r="H1484" s="1">
        <v>8</v>
      </c>
      <c r="I1484" s="1" t="s">
        <v>2496</v>
      </c>
      <c r="J1484" t="s">
        <v>3237</v>
      </c>
    </row>
    <row r="1485" spans="1:10">
      <c r="A1485" s="1">
        <v>81430</v>
      </c>
      <c r="B1485" s="1">
        <v>4300090007</v>
      </c>
      <c r="C1485" s="1">
        <v>4</v>
      </c>
      <c r="D1485" s="1" t="s">
        <v>3044</v>
      </c>
      <c r="E1485" t="s">
        <v>3198</v>
      </c>
      <c r="F1485" s="1">
        <v>810432</v>
      </c>
      <c r="G1485" s="1">
        <v>75379200231</v>
      </c>
      <c r="H1485" s="1">
        <v>8</v>
      </c>
      <c r="I1485" s="1" t="s">
        <v>2496</v>
      </c>
      <c r="J1485" t="s">
        <v>3238</v>
      </c>
    </row>
    <row r="1486" spans="1:10">
      <c r="A1486" s="1">
        <v>89383</v>
      </c>
      <c r="B1486" s="1">
        <v>4300095689</v>
      </c>
      <c r="C1486" s="1">
        <v>4</v>
      </c>
      <c r="D1486" s="1" t="s">
        <v>3044</v>
      </c>
      <c r="E1486" t="s">
        <v>3199</v>
      </c>
      <c r="F1486" s="1">
        <v>118604</v>
      </c>
      <c r="G1486" s="1">
        <v>3120000101</v>
      </c>
      <c r="H1486" s="1">
        <v>6</v>
      </c>
      <c r="I1486" s="1" t="s">
        <v>1200</v>
      </c>
      <c r="J1486" t="s">
        <v>3239</v>
      </c>
    </row>
    <row r="1487" spans="1:10">
      <c r="A1487" s="1">
        <v>89060</v>
      </c>
      <c r="B1487" s="1">
        <v>4300095690</v>
      </c>
      <c r="C1487" s="1">
        <v>4</v>
      </c>
      <c r="D1487" s="1" t="s">
        <v>3044</v>
      </c>
      <c r="E1487" t="s">
        <v>3200</v>
      </c>
      <c r="F1487" s="1">
        <v>845008</v>
      </c>
      <c r="G1487" s="1">
        <v>3120020082</v>
      </c>
      <c r="H1487" s="1">
        <v>8</v>
      </c>
      <c r="I1487" s="1" t="s">
        <v>2754</v>
      </c>
      <c r="J1487" t="s">
        <v>3240</v>
      </c>
    </row>
    <row r="1488" spans="1:10">
      <c r="A1488" s="1">
        <v>81471</v>
      </c>
      <c r="B1488" s="1">
        <v>4300095693</v>
      </c>
      <c r="C1488" s="1">
        <v>4</v>
      </c>
      <c r="D1488" s="1" t="s">
        <v>3044</v>
      </c>
      <c r="E1488" t="s">
        <v>3201</v>
      </c>
      <c r="F1488" s="1">
        <v>429852</v>
      </c>
      <c r="G1488" s="1">
        <v>3120000187</v>
      </c>
      <c r="H1488" s="1">
        <v>6</v>
      </c>
      <c r="I1488" s="1" t="s">
        <v>1200</v>
      </c>
      <c r="J1488" t="s">
        <v>3241</v>
      </c>
    </row>
    <row r="1489" spans="1:10">
      <c r="A1489" s="1">
        <v>89342</v>
      </c>
      <c r="B1489" s="1">
        <v>4300090002</v>
      </c>
      <c r="C1489" s="1">
        <v>4</v>
      </c>
      <c r="D1489" s="1" t="s">
        <v>3044</v>
      </c>
      <c r="E1489" t="s">
        <v>3202</v>
      </c>
      <c r="F1489" s="1">
        <v>463653</v>
      </c>
      <c r="G1489" s="1">
        <v>3120000186</v>
      </c>
      <c r="H1489" s="1">
        <v>6</v>
      </c>
      <c r="I1489" s="1" t="s">
        <v>1200</v>
      </c>
      <c r="J1489" t="s">
        <v>3242</v>
      </c>
    </row>
    <row r="1490" spans="1:10">
      <c r="A1490" s="1">
        <v>89698</v>
      </c>
      <c r="B1490" s="1">
        <v>4300095691</v>
      </c>
      <c r="C1490" s="1">
        <v>4</v>
      </c>
      <c r="D1490" s="1" t="s">
        <v>3044</v>
      </c>
      <c r="E1490" t="s">
        <v>3203</v>
      </c>
      <c r="F1490" s="1">
        <v>86496</v>
      </c>
      <c r="G1490" s="1">
        <v>1116608649</v>
      </c>
      <c r="H1490" s="1">
        <v>8</v>
      </c>
      <c r="I1490" s="1" t="s">
        <v>2496</v>
      </c>
      <c r="J1490" t="s">
        <v>3243</v>
      </c>
    </row>
    <row r="1491" spans="1:10">
      <c r="A1491" s="1">
        <v>89102</v>
      </c>
      <c r="B1491" s="1">
        <v>4300095688</v>
      </c>
      <c r="C1491" s="1">
        <v>4</v>
      </c>
      <c r="D1491" s="1" t="s">
        <v>3044</v>
      </c>
      <c r="E1491" t="s">
        <v>3204</v>
      </c>
      <c r="F1491" s="1">
        <v>86249</v>
      </c>
      <c r="G1491" s="1">
        <v>1116608624</v>
      </c>
      <c r="H1491" s="1">
        <v>12</v>
      </c>
      <c r="I1491" s="1" t="s">
        <v>2754</v>
      </c>
      <c r="J1491" t="s">
        <v>3244</v>
      </c>
    </row>
    <row r="1492" spans="1:10">
      <c r="A1492" s="1">
        <v>280222</v>
      </c>
      <c r="B1492" s="1">
        <v>4175500828</v>
      </c>
      <c r="C1492" s="1">
        <v>8</v>
      </c>
      <c r="D1492" s="1" t="s">
        <v>2496</v>
      </c>
      <c r="E1492" t="s">
        <v>3205</v>
      </c>
      <c r="F1492" s="1">
        <v>86157</v>
      </c>
      <c r="G1492" s="1">
        <v>1116608615</v>
      </c>
      <c r="H1492" s="1">
        <v>8</v>
      </c>
      <c r="I1492" s="1" t="s">
        <v>2762</v>
      </c>
      <c r="J1492" t="s">
        <v>3245</v>
      </c>
    </row>
    <row r="1493" spans="1:10">
      <c r="A1493" s="1">
        <v>192658</v>
      </c>
      <c r="B1493" s="1">
        <v>7480601500</v>
      </c>
      <c r="C1493" s="1">
        <v>1</v>
      </c>
      <c r="D1493" s="1" t="s">
        <v>2866</v>
      </c>
      <c r="E1493" t="s">
        <v>3206</v>
      </c>
      <c r="F1493" s="1">
        <v>692947</v>
      </c>
      <c r="G1493" s="1">
        <v>1116601373</v>
      </c>
      <c r="H1493" s="1">
        <v>8</v>
      </c>
      <c r="I1493" s="1" t="s">
        <v>2754</v>
      </c>
      <c r="J1493" t="s">
        <v>3246</v>
      </c>
    </row>
    <row r="1494" spans="1:10">
      <c r="A1494" s="1">
        <v>864041</v>
      </c>
      <c r="B1494" s="1">
        <v>7480600080</v>
      </c>
      <c r="C1494" s="1">
        <v>40</v>
      </c>
      <c r="D1494" s="1" t="s">
        <v>1197</v>
      </c>
      <c r="E1494" t="s">
        <v>3207</v>
      </c>
      <c r="F1494" s="1">
        <v>317008</v>
      </c>
      <c r="G1494" s="1">
        <v>1116601372</v>
      </c>
      <c r="H1494" s="1">
        <v>8</v>
      </c>
      <c r="I1494" s="1" t="s">
        <v>2754</v>
      </c>
      <c r="J1494" t="s">
        <v>3247</v>
      </c>
    </row>
    <row r="1495" spans="1:10">
      <c r="A1495" s="1">
        <v>314096</v>
      </c>
      <c r="B1495" s="1">
        <v>7480600072</v>
      </c>
      <c r="C1495" s="1">
        <v>40</v>
      </c>
      <c r="D1495" s="1" t="s">
        <v>1197</v>
      </c>
      <c r="E1495" t="s">
        <v>3208</v>
      </c>
      <c r="F1495" s="1">
        <v>37994</v>
      </c>
      <c r="G1495" s="1">
        <v>1116601374</v>
      </c>
      <c r="H1495" s="1">
        <v>8</v>
      </c>
      <c r="I1495" s="1" t="s">
        <v>2754</v>
      </c>
      <c r="J1495" t="s">
        <v>3248</v>
      </c>
    </row>
    <row r="1496" spans="1:10">
      <c r="A1496" s="1">
        <v>156158</v>
      </c>
      <c r="B1496" s="1">
        <v>7480600074</v>
      </c>
      <c r="C1496" s="1">
        <v>40</v>
      </c>
      <c r="D1496" s="1" t="s">
        <v>1197</v>
      </c>
      <c r="E1496" t="s">
        <v>3209</v>
      </c>
      <c r="F1496" s="1">
        <v>86264</v>
      </c>
      <c r="G1496" s="1">
        <v>1116608626</v>
      </c>
      <c r="H1496" s="1">
        <v>12</v>
      </c>
      <c r="I1496" s="1" t="s">
        <v>2754</v>
      </c>
      <c r="J1496" t="s">
        <v>3249</v>
      </c>
    </row>
    <row r="1497" spans="1:10">
      <c r="A1497" s="1">
        <v>820639</v>
      </c>
      <c r="B1497" s="1">
        <v>7480600071</v>
      </c>
      <c r="C1497" s="1">
        <v>40</v>
      </c>
      <c r="D1497" s="1" t="s">
        <v>1197</v>
      </c>
      <c r="E1497" t="s">
        <v>3210</v>
      </c>
      <c r="F1497" s="1">
        <v>86207</v>
      </c>
      <c r="G1497" s="1">
        <v>1116608620</v>
      </c>
      <c r="H1497" s="1">
        <v>12</v>
      </c>
      <c r="I1497" s="1" t="s">
        <v>2754</v>
      </c>
      <c r="J1497" t="s">
        <v>3250</v>
      </c>
    </row>
    <row r="1498" spans="1:10">
      <c r="A1498" s="1">
        <v>198564</v>
      </c>
      <c r="B1498" s="1">
        <v>7480600075</v>
      </c>
      <c r="C1498" s="1">
        <v>40</v>
      </c>
      <c r="D1498" s="1" t="s">
        <v>1197</v>
      </c>
      <c r="E1498" t="s">
        <v>3211</v>
      </c>
      <c r="F1498" s="1">
        <v>86165</v>
      </c>
      <c r="G1498" s="1">
        <v>1116608616</v>
      </c>
      <c r="H1498" s="1">
        <v>8</v>
      </c>
      <c r="I1498" s="1" t="s">
        <v>2762</v>
      </c>
      <c r="J1498" t="s">
        <v>3251</v>
      </c>
    </row>
    <row r="1499" spans="1:10">
      <c r="A1499" s="1">
        <v>96594</v>
      </c>
      <c r="B1499" s="1">
        <v>7379805025</v>
      </c>
      <c r="C1499" s="1">
        <v>1</v>
      </c>
      <c r="D1499" s="1" t="s">
        <v>2866</v>
      </c>
      <c r="E1499" t="s">
        <v>3212</v>
      </c>
      <c r="F1499" s="1">
        <v>73205</v>
      </c>
      <c r="G1499" s="1">
        <v>1116670713</v>
      </c>
      <c r="H1499" s="1">
        <v>4</v>
      </c>
      <c r="I1499" s="1" t="s">
        <v>1188</v>
      </c>
      <c r="J1499" t="s">
        <v>3252</v>
      </c>
    </row>
    <row r="1500" spans="1:10">
      <c r="A1500" s="1">
        <v>90241</v>
      </c>
      <c r="B1500" s="1">
        <v>2500000500</v>
      </c>
      <c r="C1500" s="1">
        <v>4</v>
      </c>
      <c r="D1500" s="1" t="s">
        <v>3044</v>
      </c>
      <c r="E1500" t="s">
        <v>3213</v>
      </c>
      <c r="F1500" s="1">
        <v>73684</v>
      </c>
      <c r="G1500" s="1">
        <v>1116670738</v>
      </c>
      <c r="H1500" s="1">
        <v>4</v>
      </c>
      <c r="I1500" s="1" t="s">
        <v>1188</v>
      </c>
      <c r="J1500" t="s">
        <v>3253</v>
      </c>
    </row>
    <row r="1501" spans="1:10">
      <c r="A1501" s="1">
        <v>87346</v>
      </c>
      <c r="B1501" s="1">
        <v>2500000279</v>
      </c>
      <c r="C1501" s="1">
        <v>4</v>
      </c>
      <c r="D1501" s="1" t="s">
        <v>3044</v>
      </c>
      <c r="E1501" t="s">
        <v>3214</v>
      </c>
      <c r="F1501" s="1">
        <v>544791</v>
      </c>
      <c r="G1501" s="1">
        <v>5100018467</v>
      </c>
      <c r="H1501" s="1">
        <v>8</v>
      </c>
      <c r="I1501" s="1" t="s">
        <v>2754</v>
      </c>
      <c r="J1501" t="s">
        <v>3254</v>
      </c>
    </row>
    <row r="1502" spans="1:10">
      <c r="A1502" s="1">
        <v>91371</v>
      </c>
      <c r="B1502" s="1">
        <v>2500000583</v>
      </c>
      <c r="C1502" s="1">
        <v>4</v>
      </c>
      <c r="D1502" s="1" t="s">
        <v>3044</v>
      </c>
      <c r="E1502" t="s">
        <v>3215</v>
      </c>
      <c r="F1502" s="1">
        <v>188623</v>
      </c>
      <c r="G1502" s="1">
        <v>5100018428</v>
      </c>
      <c r="H1502" s="1">
        <v>8</v>
      </c>
      <c r="I1502" s="1" t="s">
        <v>2754</v>
      </c>
      <c r="J1502" t="s">
        <v>3255</v>
      </c>
    </row>
    <row r="1503" spans="1:10">
      <c r="A1503" s="1">
        <v>87395</v>
      </c>
      <c r="B1503" s="1">
        <v>2500000278</v>
      </c>
      <c r="C1503" s="1">
        <v>4</v>
      </c>
      <c r="D1503" s="1" t="s">
        <v>3044</v>
      </c>
      <c r="E1503" t="s">
        <v>3216</v>
      </c>
      <c r="F1503" s="1">
        <v>94417</v>
      </c>
      <c r="G1503" s="1">
        <v>4180020021</v>
      </c>
      <c r="H1503" s="1">
        <v>8</v>
      </c>
      <c r="I1503" s="1" t="s">
        <v>2821</v>
      </c>
      <c r="J1503" t="s">
        <v>3256</v>
      </c>
    </row>
    <row r="1504" spans="1:10">
      <c r="A1504" s="1">
        <v>710517</v>
      </c>
      <c r="B1504" s="1">
        <v>2500005676</v>
      </c>
      <c r="C1504" s="1">
        <v>4</v>
      </c>
      <c r="D1504" s="1" t="s">
        <v>3087</v>
      </c>
      <c r="E1504" t="s">
        <v>3217</v>
      </c>
      <c r="F1504" s="1">
        <v>539353</v>
      </c>
      <c r="G1504" s="1">
        <v>4180020020</v>
      </c>
      <c r="H1504" s="1">
        <v>8</v>
      </c>
      <c r="I1504" s="1" t="s">
        <v>2821</v>
      </c>
      <c r="J1504" t="s">
        <v>3257</v>
      </c>
    </row>
    <row r="1505" spans="1:10">
      <c r="A1505" s="1">
        <v>187666</v>
      </c>
      <c r="B1505" s="1">
        <v>2500005351</v>
      </c>
      <c r="C1505" s="1">
        <v>4</v>
      </c>
      <c r="D1505" s="1" t="s">
        <v>3044</v>
      </c>
      <c r="E1505" t="s">
        <v>3218</v>
      </c>
      <c r="F1505" s="1">
        <v>573410</v>
      </c>
      <c r="G1505" s="1">
        <v>4180020019</v>
      </c>
      <c r="H1505" s="1">
        <v>8</v>
      </c>
      <c r="I1505" s="1" t="s">
        <v>2821</v>
      </c>
      <c r="J1505" t="s">
        <v>3258</v>
      </c>
    </row>
    <row r="1506" spans="1:10">
      <c r="A1506" s="1">
        <v>87239</v>
      </c>
      <c r="B1506" s="1">
        <v>2500000560</v>
      </c>
      <c r="C1506" s="1">
        <v>4</v>
      </c>
      <c r="D1506" s="1" t="s">
        <v>3044</v>
      </c>
      <c r="E1506" t="s">
        <v>3219</v>
      </c>
      <c r="F1506" s="1">
        <v>500389</v>
      </c>
      <c r="G1506" s="1">
        <v>4180020013</v>
      </c>
      <c r="H1506" s="1">
        <v>8</v>
      </c>
      <c r="I1506" s="1" t="s">
        <v>3035</v>
      </c>
      <c r="J1506" t="s">
        <v>3259</v>
      </c>
    </row>
    <row r="1507" spans="1:10">
      <c r="A1507" s="1">
        <v>90233</v>
      </c>
      <c r="B1507" s="1">
        <v>2500000502</v>
      </c>
      <c r="C1507" s="1">
        <v>4</v>
      </c>
      <c r="D1507" s="1" t="s">
        <v>3044</v>
      </c>
      <c r="E1507" t="s">
        <v>3220</v>
      </c>
      <c r="F1507" s="1">
        <v>387084</v>
      </c>
      <c r="G1507" s="1">
        <v>4180033711</v>
      </c>
      <c r="H1507" s="1">
        <v>4</v>
      </c>
      <c r="I1507" s="1" t="s">
        <v>3087</v>
      </c>
      <c r="J1507" t="s">
        <v>3260</v>
      </c>
    </row>
    <row r="1508" spans="1:10">
      <c r="A1508" s="1">
        <v>505081</v>
      </c>
      <c r="B1508" s="1">
        <v>2500005350</v>
      </c>
      <c r="C1508" s="1">
        <v>4</v>
      </c>
      <c r="D1508" s="1" t="s">
        <v>3044</v>
      </c>
      <c r="E1508" t="s">
        <v>3221</v>
      </c>
      <c r="F1508" s="1">
        <v>22616</v>
      </c>
      <c r="G1508" s="1">
        <v>4360000417</v>
      </c>
      <c r="H1508" s="1">
        <v>8</v>
      </c>
      <c r="I1508" s="1" t="s">
        <v>2496</v>
      </c>
      <c r="J1508" t="s">
        <v>3261</v>
      </c>
    </row>
    <row r="1509" spans="1:10">
      <c r="A1509" s="1">
        <v>90563</v>
      </c>
      <c r="B1509" s="1">
        <v>2500000510</v>
      </c>
      <c r="C1509" s="1">
        <v>4</v>
      </c>
      <c r="D1509" s="1" t="s">
        <v>3044</v>
      </c>
      <c r="E1509" t="s">
        <v>3222</v>
      </c>
      <c r="F1509" s="1">
        <v>86348</v>
      </c>
      <c r="G1509" s="1">
        <v>4360000415</v>
      </c>
      <c r="H1509" s="1">
        <v>8</v>
      </c>
      <c r="I1509" s="1" t="s">
        <v>2496</v>
      </c>
      <c r="J1509" t="s">
        <v>3262</v>
      </c>
    </row>
    <row r="1510" spans="1:10">
      <c r="A1510" s="1">
        <v>710715</v>
      </c>
      <c r="B1510" s="1">
        <v>2500005680</v>
      </c>
      <c r="C1510" s="1">
        <v>4</v>
      </c>
      <c r="D1510" s="1" t="s">
        <v>3044</v>
      </c>
      <c r="E1510" t="s">
        <v>3223</v>
      </c>
      <c r="F1510" s="1">
        <v>702134</v>
      </c>
      <c r="G1510" s="1">
        <v>4360000412</v>
      </c>
      <c r="H1510" s="1">
        <v>8</v>
      </c>
      <c r="I1510" s="1" t="s">
        <v>2496</v>
      </c>
      <c r="J1510" t="s">
        <v>3263</v>
      </c>
    </row>
    <row r="1511" spans="1:10" ht="15.75">
      <c r="A1511" s="1">
        <v>90258</v>
      </c>
      <c r="B1511" s="1">
        <v>2500000501</v>
      </c>
      <c r="C1511" s="1">
        <v>4</v>
      </c>
      <c r="D1511" s="1" t="s">
        <v>3044</v>
      </c>
      <c r="E1511" t="s">
        <v>3224</v>
      </c>
      <c r="F1511" s="4" t="s">
        <v>10710</v>
      </c>
      <c r="G1511" s="2"/>
      <c r="H1511" s="2"/>
      <c r="I1511" s="2"/>
      <c r="J1511" s="3"/>
    </row>
    <row r="1512" spans="1:10">
      <c r="A1512" s="1">
        <v>90084</v>
      </c>
      <c r="B1512" s="1">
        <v>2500000504</v>
      </c>
      <c r="C1512" s="1">
        <v>4</v>
      </c>
      <c r="D1512" s="1" t="s">
        <v>3044</v>
      </c>
      <c r="E1512" t="s">
        <v>3225</v>
      </c>
      <c r="F1512" s="2" t="s">
        <v>0</v>
      </c>
      <c r="G1512" s="2" t="s">
        <v>1</v>
      </c>
      <c r="H1512" s="2" t="s">
        <v>2</v>
      </c>
      <c r="I1512" s="2" t="s">
        <v>3</v>
      </c>
      <c r="J1512" s="3" t="s">
        <v>4</v>
      </c>
    </row>
    <row r="1513" spans="1:10">
      <c r="A1513" s="1">
        <v>710509</v>
      </c>
      <c r="B1513" s="1">
        <v>2500005679</v>
      </c>
      <c r="C1513" s="1">
        <v>4</v>
      </c>
      <c r="D1513" s="1" t="s">
        <v>3087</v>
      </c>
      <c r="E1513" t="s">
        <v>3226</v>
      </c>
      <c r="F1513" s="1">
        <v>72751</v>
      </c>
      <c r="G1513" s="1">
        <v>2400016700</v>
      </c>
      <c r="H1513" s="1">
        <v>12</v>
      </c>
      <c r="I1513" s="1" t="s">
        <v>1037</v>
      </c>
      <c r="J1513" t="s">
        <v>3264</v>
      </c>
    </row>
    <row r="1514" spans="1:10">
      <c r="A1514" s="1">
        <v>710491</v>
      </c>
      <c r="B1514" s="1">
        <v>2500005677</v>
      </c>
      <c r="C1514" s="1">
        <v>4</v>
      </c>
      <c r="D1514" s="1" t="s">
        <v>3087</v>
      </c>
      <c r="E1514" t="s">
        <v>3227</v>
      </c>
      <c r="F1514" s="1">
        <v>530873</v>
      </c>
      <c r="G1514" s="1">
        <v>2400057497</v>
      </c>
      <c r="H1514" s="1">
        <v>6</v>
      </c>
      <c r="I1514" s="1" t="s">
        <v>381</v>
      </c>
      <c r="J1514" t="s">
        <v>3265</v>
      </c>
    </row>
    <row r="1515" spans="1:10">
      <c r="A1515" s="1">
        <v>87221</v>
      </c>
      <c r="B1515" s="1">
        <v>2500000563</v>
      </c>
      <c r="C1515" s="1">
        <v>4</v>
      </c>
      <c r="D1515" s="1" t="s">
        <v>3044</v>
      </c>
      <c r="E1515" t="s">
        <v>3228</v>
      </c>
      <c r="F1515" s="1">
        <v>590737</v>
      </c>
      <c r="G1515" s="1">
        <v>2400057440</v>
      </c>
      <c r="H1515" s="1">
        <v>6</v>
      </c>
      <c r="I1515" s="1" t="s">
        <v>381</v>
      </c>
      <c r="J1515" t="s">
        <v>3266</v>
      </c>
    </row>
    <row r="1516" spans="1:10">
      <c r="A1516" s="1">
        <v>89094</v>
      </c>
      <c r="B1516" s="1">
        <v>7239234162</v>
      </c>
      <c r="C1516" s="1">
        <v>8</v>
      </c>
      <c r="D1516" s="1" t="s">
        <v>3190</v>
      </c>
      <c r="E1516" t="s">
        <v>3229</v>
      </c>
      <c r="F1516" s="1">
        <v>45989</v>
      </c>
      <c r="G1516" s="1">
        <v>2400005198</v>
      </c>
      <c r="H1516" s="1">
        <v>6</v>
      </c>
      <c r="I1516" s="1" t="s">
        <v>632</v>
      </c>
      <c r="J1516" t="s">
        <v>3267</v>
      </c>
    </row>
    <row r="1517" spans="1:10">
      <c r="A1517" s="1">
        <v>89185</v>
      </c>
      <c r="B1517" s="1">
        <v>7239234164</v>
      </c>
      <c r="C1517" s="1">
        <v>8</v>
      </c>
      <c r="D1517" s="1" t="s">
        <v>3190</v>
      </c>
      <c r="E1517" t="s">
        <v>3230</v>
      </c>
      <c r="F1517" s="1">
        <v>45575</v>
      </c>
      <c r="G1517" s="1">
        <v>2400005044</v>
      </c>
      <c r="H1517" s="1">
        <v>6</v>
      </c>
      <c r="I1517" s="1" t="s">
        <v>381</v>
      </c>
      <c r="J1517" t="s">
        <v>3268</v>
      </c>
    </row>
    <row r="1518" spans="1:10" ht="15.75">
      <c r="A1518" s="4" t="s">
        <v>10710</v>
      </c>
      <c r="B1518" s="2"/>
      <c r="C1518" s="2"/>
      <c r="D1518" s="2"/>
      <c r="E1518" s="3"/>
      <c r="F1518" s="4" t="s">
        <v>10711</v>
      </c>
      <c r="G1518" s="2"/>
      <c r="H1518" s="2"/>
      <c r="I1518" s="2"/>
      <c r="J1518" s="3"/>
    </row>
    <row r="1519" spans="1:10">
      <c r="A1519" s="2" t="s">
        <v>0</v>
      </c>
      <c r="B1519" s="2" t="s">
        <v>1</v>
      </c>
      <c r="C1519" s="2" t="s">
        <v>2</v>
      </c>
      <c r="D1519" s="2" t="s">
        <v>3</v>
      </c>
      <c r="E1519" s="3" t="s">
        <v>4</v>
      </c>
      <c r="F1519" s="2" t="s">
        <v>0</v>
      </c>
      <c r="G1519" s="2" t="s">
        <v>1</v>
      </c>
      <c r="H1519" s="2" t="s">
        <v>2</v>
      </c>
      <c r="I1519" s="2" t="s">
        <v>3</v>
      </c>
      <c r="J1519" s="3" t="s">
        <v>4</v>
      </c>
    </row>
    <row r="1520" spans="1:10">
      <c r="A1520" s="1">
        <v>72751</v>
      </c>
      <c r="B1520" s="1">
        <v>2400016700</v>
      </c>
      <c r="C1520" s="1">
        <v>12</v>
      </c>
      <c r="D1520" s="1" t="s">
        <v>1037</v>
      </c>
      <c r="E1520" t="s">
        <v>3264</v>
      </c>
      <c r="F1520" s="1">
        <v>192948</v>
      </c>
      <c r="G1520" s="1">
        <v>2850031000</v>
      </c>
      <c r="H1520" s="1">
        <v>6</v>
      </c>
      <c r="I1520" s="1" t="s">
        <v>3302</v>
      </c>
      <c r="J1520" t="s">
        <v>3303</v>
      </c>
    </row>
    <row r="1521" spans="1:10">
      <c r="A1521" s="1">
        <v>530873</v>
      </c>
      <c r="B1521" s="1">
        <v>2400057497</v>
      </c>
      <c r="C1521" s="1">
        <v>6</v>
      </c>
      <c r="D1521" s="1" t="s">
        <v>381</v>
      </c>
      <c r="E1521" t="s">
        <v>3265</v>
      </c>
      <c r="F1521" s="1">
        <v>274076</v>
      </c>
      <c r="G1521" s="1">
        <v>2850030574</v>
      </c>
      <c r="H1521" s="1">
        <v>6</v>
      </c>
      <c r="I1521" s="1" t="s">
        <v>3304</v>
      </c>
      <c r="J1521" t="s">
        <v>3305</v>
      </c>
    </row>
    <row r="1522" spans="1:10">
      <c r="A1522" s="1">
        <v>590737</v>
      </c>
      <c r="B1522" s="1">
        <v>2400057440</v>
      </c>
      <c r="C1522" s="1">
        <v>6</v>
      </c>
      <c r="D1522" s="1" t="s">
        <v>381</v>
      </c>
      <c r="E1522" t="s">
        <v>3266</v>
      </c>
      <c r="F1522" s="1">
        <v>74229</v>
      </c>
      <c r="G1522" s="1">
        <v>1480000020</v>
      </c>
      <c r="H1522" s="1">
        <v>6</v>
      </c>
      <c r="I1522" s="1" t="s">
        <v>865</v>
      </c>
      <c r="J1522" t="s">
        <v>3306</v>
      </c>
    </row>
    <row r="1523" spans="1:10">
      <c r="A1523" s="1">
        <v>45989</v>
      </c>
      <c r="B1523" s="1">
        <v>2400005198</v>
      </c>
      <c r="C1523" s="1">
        <v>6</v>
      </c>
      <c r="D1523" s="1" t="s">
        <v>632</v>
      </c>
      <c r="E1523" t="s">
        <v>3267</v>
      </c>
      <c r="F1523" s="1">
        <v>74534</v>
      </c>
      <c r="G1523" s="1">
        <v>1480000005</v>
      </c>
      <c r="H1523" s="1">
        <v>12</v>
      </c>
      <c r="I1523" s="1" t="s">
        <v>439</v>
      </c>
      <c r="J1523" t="s">
        <v>3307</v>
      </c>
    </row>
    <row r="1524" spans="1:10">
      <c r="A1524" s="1">
        <v>45575</v>
      </c>
      <c r="B1524" s="1">
        <v>2400005044</v>
      </c>
      <c r="C1524" s="1">
        <v>6</v>
      </c>
      <c r="D1524" s="1" t="s">
        <v>381</v>
      </c>
      <c r="E1524" t="s">
        <v>3268</v>
      </c>
      <c r="F1524" s="1">
        <v>60996</v>
      </c>
      <c r="G1524" s="1">
        <v>1480024480</v>
      </c>
      <c r="H1524" s="1">
        <v>6</v>
      </c>
      <c r="I1524" s="1" t="s">
        <v>865</v>
      </c>
      <c r="J1524" t="s">
        <v>3307</v>
      </c>
    </row>
    <row r="1525" spans="1:10">
      <c r="A1525" s="1">
        <v>76422</v>
      </c>
      <c r="B1525" s="1">
        <v>2400001148</v>
      </c>
      <c r="C1525" s="1">
        <v>24</v>
      </c>
      <c r="D1525" s="1" t="s">
        <v>363</v>
      </c>
      <c r="E1525" t="s">
        <v>3269</v>
      </c>
      <c r="F1525" s="1">
        <v>71613</v>
      </c>
      <c r="G1525" s="1">
        <v>1480000002</v>
      </c>
      <c r="H1525" s="1">
        <v>12</v>
      </c>
      <c r="I1525" s="1" t="s">
        <v>1387</v>
      </c>
      <c r="J1525" t="s">
        <v>3308</v>
      </c>
    </row>
    <row r="1526" spans="1:10">
      <c r="A1526" s="1">
        <v>2766</v>
      </c>
      <c r="B1526" s="1">
        <v>2400036703</v>
      </c>
      <c r="C1526" s="1">
        <v>12</v>
      </c>
      <c r="D1526" s="1" t="s">
        <v>910</v>
      </c>
      <c r="E1526" t="s">
        <v>3270</v>
      </c>
      <c r="F1526" s="1">
        <v>60988</v>
      </c>
      <c r="G1526" s="1">
        <v>1480023463</v>
      </c>
      <c r="H1526" s="1">
        <v>6</v>
      </c>
      <c r="I1526" s="1" t="s">
        <v>3309</v>
      </c>
      <c r="J1526" t="s">
        <v>3308</v>
      </c>
    </row>
    <row r="1527" spans="1:10">
      <c r="A1527" s="1">
        <v>76430</v>
      </c>
      <c r="B1527" s="1">
        <v>2400003421</v>
      </c>
      <c r="C1527" s="1">
        <v>24</v>
      </c>
      <c r="D1527" s="1" t="s">
        <v>910</v>
      </c>
      <c r="E1527" t="s">
        <v>3269</v>
      </c>
      <c r="F1527" s="1">
        <v>74245</v>
      </c>
      <c r="G1527" s="1">
        <v>1480000001</v>
      </c>
      <c r="H1527" s="1">
        <v>12</v>
      </c>
      <c r="I1527" s="1" t="s">
        <v>439</v>
      </c>
      <c r="J1527" t="s">
        <v>3310</v>
      </c>
    </row>
    <row r="1528" spans="1:10">
      <c r="A1528" s="1">
        <v>235705</v>
      </c>
      <c r="B1528" s="1">
        <v>2400007027</v>
      </c>
      <c r="C1528" s="1">
        <v>12</v>
      </c>
      <c r="D1528" s="1" t="s">
        <v>3271</v>
      </c>
      <c r="E1528" t="s">
        <v>3269</v>
      </c>
      <c r="F1528" s="1">
        <v>41954</v>
      </c>
      <c r="G1528" s="1">
        <v>1480000023</v>
      </c>
      <c r="H1528" s="1">
        <v>12</v>
      </c>
      <c r="I1528" s="1" t="s">
        <v>439</v>
      </c>
      <c r="J1528" t="s">
        <v>3311</v>
      </c>
    </row>
    <row r="1529" spans="1:10">
      <c r="A1529" s="1">
        <v>75424</v>
      </c>
      <c r="B1529" s="1">
        <v>2400002183</v>
      </c>
      <c r="C1529" s="1">
        <v>12</v>
      </c>
      <c r="D1529" s="1" t="s">
        <v>3272</v>
      </c>
      <c r="E1529" t="s">
        <v>3269</v>
      </c>
      <c r="F1529" s="1">
        <v>72199</v>
      </c>
      <c r="G1529" s="1">
        <v>1480000010</v>
      </c>
      <c r="H1529" s="1">
        <v>12</v>
      </c>
      <c r="I1529" s="1" t="s">
        <v>439</v>
      </c>
      <c r="J1529" t="s">
        <v>3312</v>
      </c>
    </row>
    <row r="1530" spans="1:10">
      <c r="A1530" s="1">
        <v>76703</v>
      </c>
      <c r="B1530" s="1">
        <v>2400001505</v>
      </c>
      <c r="C1530" s="1">
        <v>12</v>
      </c>
      <c r="D1530" s="1" t="s">
        <v>381</v>
      </c>
      <c r="E1530" t="s">
        <v>3273</v>
      </c>
      <c r="F1530" s="1">
        <v>71902</v>
      </c>
      <c r="G1530" s="1">
        <v>1480000082</v>
      </c>
      <c r="H1530" s="1">
        <v>12</v>
      </c>
      <c r="I1530" s="1" t="s">
        <v>439</v>
      </c>
      <c r="J1530" t="s">
        <v>3313</v>
      </c>
    </row>
    <row r="1531" spans="1:10">
      <c r="A1531" s="1">
        <v>181446</v>
      </c>
      <c r="B1531" s="1">
        <v>2400036702</v>
      </c>
      <c r="C1531" s="1">
        <v>6</v>
      </c>
      <c r="D1531" s="1" t="s">
        <v>381</v>
      </c>
      <c r="E1531" t="s">
        <v>3274</v>
      </c>
      <c r="F1531" s="1">
        <v>704460</v>
      </c>
      <c r="G1531" s="1">
        <v>1480025274</v>
      </c>
      <c r="H1531" s="1">
        <v>12</v>
      </c>
      <c r="I1531" s="1" t="s">
        <v>1275</v>
      </c>
      <c r="J1531" t="s">
        <v>3314</v>
      </c>
    </row>
    <row r="1532" spans="1:10">
      <c r="A1532" s="1">
        <v>45476</v>
      </c>
      <c r="B1532" s="1">
        <v>2400003056</v>
      </c>
      <c r="C1532" s="1">
        <v>6</v>
      </c>
      <c r="D1532" s="1" t="s">
        <v>632</v>
      </c>
      <c r="E1532" t="s">
        <v>3275</v>
      </c>
      <c r="F1532" s="1">
        <v>487082</v>
      </c>
      <c r="G1532" s="1">
        <v>1480025270</v>
      </c>
      <c r="H1532" s="1">
        <v>12</v>
      </c>
      <c r="I1532" s="1" t="s">
        <v>1275</v>
      </c>
      <c r="J1532" t="s">
        <v>3315</v>
      </c>
    </row>
    <row r="1533" spans="1:10">
      <c r="A1533" s="1">
        <v>42119</v>
      </c>
      <c r="B1533" s="1">
        <v>73380310257</v>
      </c>
      <c r="C1533" s="1">
        <v>12</v>
      </c>
      <c r="D1533" s="1" t="s">
        <v>399</v>
      </c>
      <c r="E1533" t="s">
        <v>3276</v>
      </c>
      <c r="F1533" s="1">
        <v>192930</v>
      </c>
      <c r="G1533" s="1">
        <v>1480021089</v>
      </c>
      <c r="H1533" s="1">
        <v>12</v>
      </c>
      <c r="I1533" s="1" t="s">
        <v>3316</v>
      </c>
      <c r="J1533" t="s">
        <v>3317</v>
      </c>
    </row>
    <row r="1534" spans="1:10">
      <c r="A1534" s="1">
        <v>75697</v>
      </c>
      <c r="B1534" s="1">
        <v>73380310357</v>
      </c>
      <c r="C1534" s="1">
        <v>12</v>
      </c>
      <c r="D1534" s="1" t="s">
        <v>910</v>
      </c>
      <c r="E1534" t="s">
        <v>3277</v>
      </c>
      <c r="F1534" s="1">
        <v>44388</v>
      </c>
      <c r="G1534" s="1">
        <v>1480021084</v>
      </c>
      <c r="H1534" s="1">
        <v>12</v>
      </c>
      <c r="I1534" s="1" t="s">
        <v>3316</v>
      </c>
      <c r="J1534" t="s">
        <v>3318</v>
      </c>
    </row>
    <row r="1535" spans="1:10">
      <c r="A1535" s="1">
        <v>709121</v>
      </c>
      <c r="B1535" s="1">
        <v>3890003014</v>
      </c>
      <c r="C1535" s="1">
        <v>6</v>
      </c>
      <c r="D1535" s="1" t="s">
        <v>778</v>
      </c>
      <c r="E1535" t="s">
        <v>3278</v>
      </c>
      <c r="F1535" s="1">
        <v>44230</v>
      </c>
      <c r="G1535" s="1">
        <v>1480021078</v>
      </c>
      <c r="H1535" s="1">
        <v>12</v>
      </c>
      <c r="I1535" s="1" t="s">
        <v>439</v>
      </c>
      <c r="J1535" t="s">
        <v>3319</v>
      </c>
    </row>
    <row r="1536" spans="1:10">
      <c r="A1536" s="1">
        <v>534883</v>
      </c>
      <c r="B1536" s="1">
        <v>3890003013</v>
      </c>
      <c r="C1536" s="1">
        <v>6</v>
      </c>
      <c r="D1536" s="1" t="s">
        <v>397</v>
      </c>
      <c r="E1536" t="s">
        <v>3279</v>
      </c>
      <c r="F1536" s="1">
        <v>41962</v>
      </c>
      <c r="G1536" s="1">
        <v>1480000007</v>
      </c>
      <c r="H1536" s="1">
        <v>12</v>
      </c>
      <c r="I1536" s="1" t="s">
        <v>3316</v>
      </c>
      <c r="J1536" t="s">
        <v>3320</v>
      </c>
    </row>
    <row r="1537" spans="1:10">
      <c r="A1537" s="1">
        <v>218529</v>
      </c>
      <c r="B1537" s="1">
        <v>3890004215</v>
      </c>
      <c r="C1537" s="1">
        <v>24</v>
      </c>
      <c r="D1537" s="1" t="s">
        <v>910</v>
      </c>
      <c r="E1537" t="s">
        <v>3280</v>
      </c>
      <c r="F1537" s="1">
        <v>61010</v>
      </c>
      <c r="G1537" s="1">
        <v>1480025261</v>
      </c>
      <c r="H1537" s="1">
        <v>12</v>
      </c>
      <c r="I1537" s="1" t="s">
        <v>439</v>
      </c>
      <c r="J1537" t="s">
        <v>3321</v>
      </c>
    </row>
    <row r="1538" spans="1:10">
      <c r="A1538" s="1">
        <v>76398</v>
      </c>
      <c r="B1538" s="1">
        <v>3890004205</v>
      </c>
      <c r="C1538" s="1">
        <v>24</v>
      </c>
      <c r="D1538" s="1" t="s">
        <v>363</v>
      </c>
      <c r="E1538" t="s">
        <v>3281</v>
      </c>
      <c r="F1538" s="1">
        <v>361873</v>
      </c>
      <c r="G1538" s="1">
        <v>1480025280</v>
      </c>
      <c r="H1538" s="1">
        <v>12</v>
      </c>
      <c r="I1538" s="1" t="s">
        <v>3316</v>
      </c>
      <c r="J1538" t="s">
        <v>3322</v>
      </c>
    </row>
    <row r="1539" spans="1:10">
      <c r="A1539" s="1">
        <v>41798</v>
      </c>
      <c r="B1539" s="1">
        <v>3890004207</v>
      </c>
      <c r="C1539" s="1">
        <v>6</v>
      </c>
      <c r="D1539" s="1" t="s">
        <v>381</v>
      </c>
      <c r="E1539" t="s">
        <v>3282</v>
      </c>
      <c r="F1539" s="1">
        <v>588897</v>
      </c>
      <c r="G1539" s="1">
        <v>1480025276</v>
      </c>
      <c r="H1539" s="1">
        <v>12</v>
      </c>
      <c r="I1539" s="1" t="s">
        <v>3316</v>
      </c>
      <c r="J1539" t="s">
        <v>3323</v>
      </c>
    </row>
    <row r="1540" spans="1:10">
      <c r="A1540" s="1">
        <v>41921</v>
      </c>
      <c r="B1540" s="1">
        <v>3890003033</v>
      </c>
      <c r="C1540" s="1">
        <v>6</v>
      </c>
      <c r="D1540" s="1" t="s">
        <v>778</v>
      </c>
      <c r="E1540" t="s">
        <v>3283</v>
      </c>
      <c r="F1540" s="1">
        <v>203315</v>
      </c>
      <c r="G1540" s="1">
        <v>1480025278</v>
      </c>
      <c r="H1540" s="1">
        <v>12</v>
      </c>
      <c r="I1540" s="1" t="s">
        <v>3316</v>
      </c>
      <c r="J1540" t="s">
        <v>3324</v>
      </c>
    </row>
    <row r="1541" spans="1:10">
      <c r="A1541" s="1">
        <v>279406</v>
      </c>
      <c r="B1541" s="1">
        <v>3890003099</v>
      </c>
      <c r="C1541" s="1">
        <v>8</v>
      </c>
      <c r="D1541" s="1" t="s">
        <v>3284</v>
      </c>
      <c r="E1541" t="s">
        <v>3285</v>
      </c>
      <c r="F1541" s="1">
        <v>488619</v>
      </c>
      <c r="G1541" s="1">
        <v>1480025272</v>
      </c>
      <c r="H1541" s="1">
        <v>12</v>
      </c>
      <c r="I1541" s="1" t="s">
        <v>1275</v>
      </c>
      <c r="J1541" t="s">
        <v>3325</v>
      </c>
    </row>
    <row r="1542" spans="1:10">
      <c r="A1542" s="1">
        <v>709139</v>
      </c>
      <c r="B1542" s="1">
        <v>3890003012</v>
      </c>
      <c r="C1542" s="1">
        <v>6</v>
      </c>
      <c r="D1542" s="1" t="s">
        <v>778</v>
      </c>
      <c r="E1542" t="s">
        <v>3286</v>
      </c>
      <c r="F1542" s="1">
        <v>61002</v>
      </c>
      <c r="G1542" s="1">
        <v>1480025260</v>
      </c>
      <c r="H1542" s="1">
        <v>12</v>
      </c>
      <c r="I1542" s="1" t="s">
        <v>1387</v>
      </c>
      <c r="J1542" t="s">
        <v>3326</v>
      </c>
    </row>
    <row r="1543" spans="1:10">
      <c r="A1543" s="1">
        <v>399741</v>
      </c>
      <c r="B1543" s="1">
        <v>3890003533</v>
      </c>
      <c r="C1543" s="1">
        <v>6</v>
      </c>
      <c r="D1543" s="1" t="s">
        <v>397</v>
      </c>
      <c r="E1543" t="s">
        <v>3287</v>
      </c>
      <c r="F1543" s="1">
        <v>122572</v>
      </c>
      <c r="G1543" s="1">
        <v>3732311878</v>
      </c>
      <c r="H1543" s="1">
        <v>8</v>
      </c>
      <c r="I1543" s="1" t="s">
        <v>3309</v>
      </c>
      <c r="J1543" t="s">
        <v>3327</v>
      </c>
    </row>
    <row r="1544" spans="1:10">
      <c r="A1544" s="1">
        <v>43638</v>
      </c>
      <c r="B1544" s="1">
        <v>73639354001</v>
      </c>
      <c r="C1544" s="1">
        <v>12</v>
      </c>
      <c r="D1544" s="1" t="s">
        <v>910</v>
      </c>
      <c r="E1544" t="s">
        <v>3288</v>
      </c>
      <c r="F1544" s="1">
        <v>122580</v>
      </c>
      <c r="G1544" s="1">
        <v>3732311615</v>
      </c>
      <c r="H1544" s="1">
        <v>12</v>
      </c>
      <c r="I1544" s="1" t="s">
        <v>439</v>
      </c>
      <c r="J1544" t="s">
        <v>3328</v>
      </c>
    </row>
    <row r="1545" spans="1:10">
      <c r="A1545" s="1">
        <v>709204</v>
      </c>
      <c r="B1545" s="1">
        <v>6414406243</v>
      </c>
      <c r="C1545" s="1">
        <v>12</v>
      </c>
      <c r="D1545" s="1" t="s">
        <v>381</v>
      </c>
      <c r="E1545" t="s">
        <v>3289</v>
      </c>
      <c r="F1545" s="1">
        <v>73692</v>
      </c>
      <c r="G1545" s="1">
        <v>3732312518</v>
      </c>
      <c r="H1545" s="1">
        <v>12</v>
      </c>
      <c r="I1545" s="1" t="s">
        <v>439</v>
      </c>
      <c r="J1545" t="s">
        <v>3329</v>
      </c>
    </row>
    <row r="1546" spans="1:10">
      <c r="A1546" s="1">
        <v>709196</v>
      </c>
      <c r="B1546" s="1">
        <v>6414406244</v>
      </c>
      <c r="C1546" s="1">
        <v>12</v>
      </c>
      <c r="D1546" s="1" t="s">
        <v>910</v>
      </c>
      <c r="E1546" t="s">
        <v>3290</v>
      </c>
      <c r="F1546" s="1">
        <v>73825</v>
      </c>
      <c r="G1546" s="1">
        <v>3732312528</v>
      </c>
      <c r="H1546" s="1">
        <v>8</v>
      </c>
      <c r="I1546" s="1" t="s">
        <v>3309</v>
      </c>
      <c r="J1546" t="s">
        <v>3330</v>
      </c>
    </row>
    <row r="1547" spans="1:10">
      <c r="A1547" s="1">
        <v>75713</v>
      </c>
      <c r="B1547" s="1">
        <v>4134510512</v>
      </c>
      <c r="C1547" s="1">
        <v>8</v>
      </c>
      <c r="D1547" s="1" t="s">
        <v>910</v>
      </c>
      <c r="E1547" t="s">
        <v>3291</v>
      </c>
      <c r="F1547" s="1">
        <v>71936</v>
      </c>
      <c r="G1547" s="1">
        <v>3732311870</v>
      </c>
      <c r="H1547" s="1">
        <v>12</v>
      </c>
      <c r="I1547" s="1" t="s">
        <v>1387</v>
      </c>
      <c r="J1547" t="s">
        <v>3331</v>
      </c>
    </row>
    <row r="1548" spans="1:10">
      <c r="A1548" s="1">
        <v>75721</v>
      </c>
      <c r="B1548" s="1">
        <v>4134511512</v>
      </c>
      <c r="C1548" s="1">
        <v>8</v>
      </c>
      <c r="D1548" s="1" t="s">
        <v>910</v>
      </c>
      <c r="E1548" t="s">
        <v>3292</v>
      </c>
      <c r="F1548" s="1">
        <v>667469</v>
      </c>
      <c r="G1548" s="1">
        <v>3732311511</v>
      </c>
      <c r="H1548" s="1">
        <v>12</v>
      </c>
      <c r="I1548" s="1" t="s">
        <v>439</v>
      </c>
      <c r="J1548" t="s">
        <v>3332</v>
      </c>
    </row>
    <row r="1549" spans="1:10">
      <c r="A1549" s="1">
        <v>515858</v>
      </c>
      <c r="B1549" s="1">
        <v>7402700260</v>
      </c>
      <c r="C1549" s="1">
        <v>12</v>
      </c>
      <c r="D1549" s="1" t="s">
        <v>397</v>
      </c>
      <c r="E1549" t="s">
        <v>3293</v>
      </c>
      <c r="F1549" s="1">
        <v>197772</v>
      </c>
      <c r="G1549" s="1">
        <v>3732312724</v>
      </c>
      <c r="H1549" s="1">
        <v>12</v>
      </c>
      <c r="I1549" s="1" t="s">
        <v>439</v>
      </c>
      <c r="J1549" t="s">
        <v>3332</v>
      </c>
    </row>
    <row r="1550" spans="1:10">
      <c r="A1550" s="1">
        <v>72777</v>
      </c>
      <c r="B1550" s="1">
        <v>1116607277</v>
      </c>
      <c r="C1550" s="1">
        <v>24</v>
      </c>
      <c r="D1550" s="1" t="s">
        <v>1037</v>
      </c>
      <c r="E1550" t="s">
        <v>3294</v>
      </c>
      <c r="F1550" s="1">
        <v>127266</v>
      </c>
      <c r="G1550" s="1">
        <v>3732311441</v>
      </c>
      <c r="H1550" s="1">
        <v>12</v>
      </c>
      <c r="I1550" s="1" t="s">
        <v>439</v>
      </c>
      <c r="J1550" t="s">
        <v>3333</v>
      </c>
    </row>
    <row r="1551" spans="1:10">
      <c r="A1551" s="1">
        <v>76075</v>
      </c>
      <c r="B1551" s="1">
        <v>1116607607</v>
      </c>
      <c r="C1551" s="1">
        <v>24</v>
      </c>
      <c r="D1551" s="1" t="s">
        <v>910</v>
      </c>
      <c r="E1551" t="s">
        <v>3295</v>
      </c>
      <c r="F1551" s="1">
        <v>75333</v>
      </c>
      <c r="G1551" s="1">
        <v>3732311477</v>
      </c>
      <c r="H1551" s="1">
        <v>8</v>
      </c>
      <c r="I1551" s="1" t="s">
        <v>865</v>
      </c>
      <c r="J1551" t="s">
        <v>3334</v>
      </c>
    </row>
    <row r="1552" spans="1:10">
      <c r="A1552" s="1">
        <v>3012</v>
      </c>
      <c r="B1552" s="1">
        <v>1116601212</v>
      </c>
      <c r="C1552" s="1">
        <v>6</v>
      </c>
      <c r="D1552" s="1" t="s">
        <v>381</v>
      </c>
      <c r="E1552" t="s">
        <v>3296</v>
      </c>
      <c r="F1552" s="1">
        <v>75341</v>
      </c>
      <c r="G1552" s="1">
        <v>3732311470</v>
      </c>
      <c r="H1552" s="1">
        <v>12</v>
      </c>
      <c r="I1552" s="1" t="s">
        <v>439</v>
      </c>
      <c r="J1552" t="s">
        <v>3335</v>
      </c>
    </row>
    <row r="1553" spans="1:10">
      <c r="A1553" s="1">
        <v>288787</v>
      </c>
      <c r="B1553" s="1">
        <v>1116601263</v>
      </c>
      <c r="C1553" s="1">
        <v>24</v>
      </c>
      <c r="D1553" s="1" t="s">
        <v>910</v>
      </c>
      <c r="E1553" t="s">
        <v>3297</v>
      </c>
      <c r="F1553" s="1">
        <v>743252</v>
      </c>
      <c r="G1553" s="1">
        <v>3732311220</v>
      </c>
      <c r="H1553" s="1">
        <v>12</v>
      </c>
      <c r="I1553" s="1" t="s">
        <v>381</v>
      </c>
      <c r="J1553" t="s">
        <v>3336</v>
      </c>
    </row>
    <row r="1554" spans="1:10">
      <c r="A1554" s="1">
        <v>76372</v>
      </c>
      <c r="B1554" s="1">
        <v>1116607637</v>
      </c>
      <c r="C1554" s="1">
        <v>24</v>
      </c>
      <c r="D1554" s="1" t="s">
        <v>363</v>
      </c>
      <c r="E1554" t="s">
        <v>3298</v>
      </c>
      <c r="F1554" s="1">
        <v>659789</v>
      </c>
      <c r="G1554" s="1">
        <v>3732311221</v>
      </c>
      <c r="H1554" s="1">
        <v>12</v>
      </c>
      <c r="I1554" s="1" t="s">
        <v>381</v>
      </c>
      <c r="J1554" t="s">
        <v>3337</v>
      </c>
    </row>
    <row r="1555" spans="1:10">
      <c r="A1555" s="1">
        <v>81208</v>
      </c>
      <c r="B1555" s="1">
        <v>7045016160</v>
      </c>
      <c r="C1555" s="1">
        <v>12</v>
      </c>
      <c r="D1555" s="1" t="s">
        <v>381</v>
      </c>
      <c r="E1555" t="s">
        <v>3299</v>
      </c>
      <c r="F1555" s="1">
        <v>11569</v>
      </c>
      <c r="G1555" s="1">
        <v>3732311222</v>
      </c>
      <c r="H1555" s="1">
        <v>12</v>
      </c>
      <c r="I1555" s="1" t="s">
        <v>381</v>
      </c>
      <c r="J1555" t="s">
        <v>3338</v>
      </c>
    </row>
    <row r="1556" spans="1:10">
      <c r="A1556" s="1">
        <v>72926</v>
      </c>
      <c r="B1556" s="1">
        <v>4360000301</v>
      </c>
      <c r="C1556" s="1">
        <v>12</v>
      </c>
      <c r="D1556" s="1" t="s">
        <v>910</v>
      </c>
      <c r="E1556" t="s">
        <v>3300</v>
      </c>
      <c r="F1556" s="1">
        <v>873612</v>
      </c>
      <c r="G1556" s="1">
        <v>3732311449</v>
      </c>
      <c r="H1556" s="1">
        <v>12</v>
      </c>
      <c r="I1556" s="1" t="s">
        <v>439</v>
      </c>
      <c r="J1556" t="s">
        <v>3339</v>
      </c>
    </row>
    <row r="1557" spans="1:10">
      <c r="A1557" s="1">
        <v>72983</v>
      </c>
      <c r="B1557" s="1">
        <v>4360000040</v>
      </c>
      <c r="C1557" s="1">
        <v>12</v>
      </c>
      <c r="D1557" s="1" t="s">
        <v>259</v>
      </c>
      <c r="E1557" t="s">
        <v>3301</v>
      </c>
      <c r="F1557" s="1">
        <v>382952</v>
      </c>
      <c r="G1557" s="1">
        <v>3732311377</v>
      </c>
      <c r="H1557" s="1">
        <v>12</v>
      </c>
      <c r="I1557" s="1" t="s">
        <v>381</v>
      </c>
      <c r="J1557" t="s">
        <v>3340</v>
      </c>
    </row>
    <row r="1558" spans="1:10">
      <c r="F1558" s="1">
        <v>127233</v>
      </c>
      <c r="G1558" s="1">
        <v>3732311611</v>
      </c>
      <c r="H1558" s="1">
        <v>12</v>
      </c>
      <c r="I1558" s="1" t="s">
        <v>439</v>
      </c>
      <c r="J1558" t="s">
        <v>3341</v>
      </c>
    </row>
    <row r="1559" spans="1:10" ht="15.75">
      <c r="A1559" s="4" t="s">
        <v>10711</v>
      </c>
      <c r="B1559" s="2"/>
      <c r="C1559" s="2"/>
      <c r="D1559" s="2"/>
      <c r="E1559" s="3"/>
      <c r="F1559" s="4" t="s">
        <v>10712</v>
      </c>
      <c r="G1559" s="2"/>
      <c r="H1559" s="2"/>
      <c r="I1559" s="2"/>
      <c r="J1559" s="3"/>
    </row>
    <row r="1560" spans="1:10">
      <c r="A1560" s="2" t="s">
        <v>0</v>
      </c>
      <c r="B1560" s="2" t="s">
        <v>1</v>
      </c>
      <c r="C1560" s="2" t="s">
        <v>2</v>
      </c>
      <c r="D1560" s="2" t="s">
        <v>3</v>
      </c>
      <c r="E1560" s="3" t="s">
        <v>4</v>
      </c>
      <c r="F1560" s="2" t="s">
        <v>0</v>
      </c>
      <c r="G1560" s="2" t="s">
        <v>1</v>
      </c>
      <c r="H1560" s="2" t="s">
        <v>2</v>
      </c>
      <c r="I1560" s="2" t="s">
        <v>3</v>
      </c>
      <c r="J1560" s="3" t="s">
        <v>4</v>
      </c>
    </row>
    <row r="1561" spans="1:10">
      <c r="A1561" s="1">
        <v>737049</v>
      </c>
      <c r="B1561" s="1">
        <v>3732312551</v>
      </c>
      <c r="C1561" s="1">
        <v>12</v>
      </c>
      <c r="D1561" s="1" t="s">
        <v>1387</v>
      </c>
      <c r="E1561" t="s">
        <v>3342</v>
      </c>
      <c r="F1561" s="1">
        <v>75747</v>
      </c>
      <c r="G1561" s="1">
        <v>4134531712</v>
      </c>
      <c r="H1561" s="1">
        <v>8</v>
      </c>
      <c r="I1561" s="1" t="s">
        <v>910</v>
      </c>
      <c r="J1561" t="s">
        <v>3381</v>
      </c>
    </row>
    <row r="1562" spans="1:10">
      <c r="A1562" s="1">
        <v>527291</v>
      </c>
      <c r="B1562" s="1">
        <v>3732311376</v>
      </c>
      <c r="C1562" s="1">
        <v>12</v>
      </c>
      <c r="D1562" s="1" t="s">
        <v>381</v>
      </c>
      <c r="E1562" t="s">
        <v>3343</v>
      </c>
      <c r="F1562" s="1">
        <v>75648</v>
      </c>
      <c r="G1562" s="1">
        <v>4134551718</v>
      </c>
      <c r="H1562" s="1">
        <v>8</v>
      </c>
      <c r="I1562" s="1" t="s">
        <v>1409</v>
      </c>
      <c r="J1562" t="s">
        <v>3382</v>
      </c>
    </row>
    <row r="1563" spans="1:10">
      <c r="A1563" s="1">
        <v>127142</v>
      </c>
      <c r="B1563" s="1">
        <v>3732311011</v>
      </c>
      <c r="C1563" s="1">
        <v>12</v>
      </c>
      <c r="D1563" s="1" t="s">
        <v>439</v>
      </c>
      <c r="E1563" t="s">
        <v>3344</v>
      </c>
      <c r="F1563" s="1">
        <v>76901</v>
      </c>
      <c r="G1563" s="1">
        <v>1116607386</v>
      </c>
      <c r="H1563" s="1">
        <v>12</v>
      </c>
      <c r="I1563" s="1" t="s">
        <v>489</v>
      </c>
      <c r="J1563" t="s">
        <v>3383</v>
      </c>
    </row>
    <row r="1564" spans="1:10">
      <c r="A1564" s="1">
        <v>536409</v>
      </c>
      <c r="B1564" s="1">
        <v>3732311201</v>
      </c>
      <c r="C1564" s="1">
        <v>12</v>
      </c>
      <c r="D1564" s="1" t="s">
        <v>381</v>
      </c>
      <c r="E1564" t="s">
        <v>3345</v>
      </c>
      <c r="F1564" s="1">
        <v>76935</v>
      </c>
      <c r="G1564" s="1">
        <v>1116607385</v>
      </c>
      <c r="H1564" s="1">
        <v>12</v>
      </c>
      <c r="I1564" s="1" t="s">
        <v>404</v>
      </c>
      <c r="J1564" t="s">
        <v>3383</v>
      </c>
    </row>
    <row r="1565" spans="1:10">
      <c r="A1565" s="1">
        <v>881128</v>
      </c>
      <c r="B1565" s="1">
        <v>3732311200</v>
      </c>
      <c r="C1565" s="1">
        <v>12</v>
      </c>
      <c r="D1565" s="1" t="s">
        <v>381</v>
      </c>
      <c r="E1565" t="s">
        <v>3346</v>
      </c>
      <c r="F1565" s="1">
        <v>76893</v>
      </c>
      <c r="G1565" s="1">
        <v>1116607391</v>
      </c>
      <c r="H1565" s="1">
        <v>12</v>
      </c>
      <c r="I1565" s="1" t="s">
        <v>489</v>
      </c>
      <c r="J1565" t="s">
        <v>3384</v>
      </c>
    </row>
    <row r="1566" spans="1:10">
      <c r="A1566" s="1">
        <v>469387</v>
      </c>
      <c r="B1566" s="1">
        <v>3732311202</v>
      </c>
      <c r="C1566" s="1">
        <v>12</v>
      </c>
      <c r="D1566" s="1" t="s">
        <v>381</v>
      </c>
      <c r="E1566" t="s">
        <v>3347</v>
      </c>
      <c r="F1566" s="1">
        <v>73155</v>
      </c>
      <c r="G1566" s="1">
        <v>1116607315</v>
      </c>
      <c r="H1566" s="1">
        <v>12</v>
      </c>
      <c r="I1566" s="1" t="s">
        <v>381</v>
      </c>
      <c r="J1566" t="s">
        <v>3385</v>
      </c>
    </row>
    <row r="1567" spans="1:10">
      <c r="A1567" s="1">
        <v>73759</v>
      </c>
      <c r="B1567" s="1">
        <v>3732312527</v>
      </c>
      <c r="C1567" s="1">
        <v>8</v>
      </c>
      <c r="D1567" s="1" t="s">
        <v>865</v>
      </c>
      <c r="E1567" t="s">
        <v>3348</v>
      </c>
      <c r="F1567" s="1">
        <v>73874</v>
      </c>
      <c r="G1567" s="1">
        <v>1116607387</v>
      </c>
      <c r="H1567" s="1">
        <v>12</v>
      </c>
      <c r="I1567" s="1" t="s">
        <v>381</v>
      </c>
      <c r="J1567" t="s">
        <v>3386</v>
      </c>
    </row>
    <row r="1568" spans="1:10" ht="15.75">
      <c r="A1568" s="1">
        <v>74914</v>
      </c>
      <c r="B1568" s="1">
        <v>1116607491</v>
      </c>
      <c r="C1568" s="1">
        <v>12</v>
      </c>
      <c r="D1568" s="1" t="s">
        <v>439</v>
      </c>
      <c r="E1568" t="s">
        <v>3349</v>
      </c>
      <c r="F1568" s="4" t="s">
        <v>10713</v>
      </c>
      <c r="G1568" s="2"/>
      <c r="H1568" s="2"/>
      <c r="I1568" s="2"/>
      <c r="J1568" s="3"/>
    </row>
    <row r="1569" spans="1:10">
      <c r="A1569" s="1">
        <v>74922</v>
      </c>
      <c r="B1569" s="1">
        <v>1116607492</v>
      </c>
      <c r="C1569" s="1">
        <v>12</v>
      </c>
      <c r="D1569" s="1" t="s">
        <v>439</v>
      </c>
      <c r="E1569" t="s">
        <v>3350</v>
      </c>
      <c r="F1569" s="2" t="s">
        <v>0</v>
      </c>
      <c r="G1569" s="2" t="s">
        <v>1</v>
      </c>
      <c r="H1569" s="2" t="s">
        <v>2</v>
      </c>
      <c r="I1569" s="2" t="s">
        <v>3</v>
      </c>
      <c r="J1569" s="3" t="s">
        <v>4</v>
      </c>
    </row>
    <row r="1570" spans="1:10">
      <c r="A1570" s="1">
        <v>74930</v>
      </c>
      <c r="B1570" s="1">
        <v>1116607493</v>
      </c>
      <c r="C1570" s="1">
        <v>12</v>
      </c>
      <c r="D1570" s="1" t="s">
        <v>439</v>
      </c>
      <c r="E1570" t="s">
        <v>3351</v>
      </c>
      <c r="F1570" s="1">
        <v>74872</v>
      </c>
      <c r="G1570" s="1">
        <v>3120001005</v>
      </c>
      <c r="H1570" s="1">
        <v>24</v>
      </c>
      <c r="I1570" s="1" t="s">
        <v>399</v>
      </c>
      <c r="J1570" t="s">
        <v>3387</v>
      </c>
    </row>
    <row r="1571" spans="1:10">
      <c r="A1571" s="1">
        <v>70904</v>
      </c>
      <c r="B1571" s="1">
        <v>1116607090</v>
      </c>
      <c r="C1571" s="1">
        <v>24</v>
      </c>
      <c r="D1571" s="1" t="s">
        <v>1483</v>
      </c>
      <c r="E1571" t="s">
        <v>3352</v>
      </c>
      <c r="F1571" s="1">
        <v>74740</v>
      </c>
      <c r="G1571" s="1">
        <v>3120001000</v>
      </c>
      <c r="H1571" s="1">
        <v>24</v>
      </c>
      <c r="I1571" s="1" t="s">
        <v>381</v>
      </c>
      <c r="J1571" t="s">
        <v>3388</v>
      </c>
    </row>
    <row r="1572" spans="1:10">
      <c r="A1572" s="1">
        <v>71878</v>
      </c>
      <c r="B1572" s="1">
        <v>1116607187</v>
      </c>
      <c r="C1572" s="1">
        <v>12</v>
      </c>
      <c r="D1572" s="1" t="s">
        <v>1313</v>
      </c>
      <c r="E1572" t="s">
        <v>3353</v>
      </c>
      <c r="F1572" s="1">
        <v>74781</v>
      </c>
      <c r="G1572" s="1">
        <v>3120001035</v>
      </c>
      <c r="H1572" s="1">
        <v>24</v>
      </c>
      <c r="I1572" s="1" t="s">
        <v>381</v>
      </c>
      <c r="J1572" t="s">
        <v>3389</v>
      </c>
    </row>
    <row r="1573" spans="1:10">
      <c r="A1573" s="1">
        <v>70946</v>
      </c>
      <c r="B1573" s="1">
        <v>1116607094</v>
      </c>
      <c r="C1573" s="1">
        <v>6</v>
      </c>
      <c r="D1573" s="1" t="s">
        <v>3354</v>
      </c>
      <c r="E1573" t="s">
        <v>3355</v>
      </c>
      <c r="F1573" s="1">
        <v>74542</v>
      </c>
      <c r="G1573" s="1">
        <v>1116607454</v>
      </c>
      <c r="H1573" s="1">
        <v>24</v>
      </c>
      <c r="I1573" s="1" t="s">
        <v>381</v>
      </c>
      <c r="J1573" t="s">
        <v>3390</v>
      </c>
    </row>
    <row r="1574" spans="1:10">
      <c r="A1574" s="1">
        <v>70912</v>
      </c>
      <c r="B1574" s="1">
        <v>1116607091</v>
      </c>
      <c r="C1574" s="1">
        <v>12</v>
      </c>
      <c r="D1574" s="1" t="s">
        <v>1313</v>
      </c>
      <c r="E1574" t="s">
        <v>3356</v>
      </c>
      <c r="F1574" s="1">
        <v>74526</v>
      </c>
      <c r="G1574" s="1">
        <v>1116607452</v>
      </c>
      <c r="H1574" s="1">
        <v>24</v>
      </c>
      <c r="I1574" s="1" t="s">
        <v>381</v>
      </c>
      <c r="J1574" t="s">
        <v>3391</v>
      </c>
    </row>
    <row r="1575" spans="1:10" ht="15.75">
      <c r="A1575" s="1">
        <v>70920</v>
      </c>
      <c r="B1575" s="1">
        <v>1116607092</v>
      </c>
      <c r="C1575" s="1">
        <v>6</v>
      </c>
      <c r="D1575" s="1" t="s">
        <v>3354</v>
      </c>
      <c r="E1575" t="s">
        <v>3356</v>
      </c>
      <c r="F1575" s="4" t="s">
        <v>10714</v>
      </c>
      <c r="G1575" s="2"/>
      <c r="H1575" s="2"/>
      <c r="I1575" s="2"/>
      <c r="J1575" s="3"/>
    </row>
    <row r="1576" spans="1:10">
      <c r="A1576" s="1">
        <v>548230</v>
      </c>
      <c r="B1576" s="1">
        <v>1116601293</v>
      </c>
      <c r="C1576" s="1">
        <v>6</v>
      </c>
      <c r="D1576" s="1" t="s">
        <v>3354</v>
      </c>
      <c r="E1576" t="s">
        <v>3357</v>
      </c>
      <c r="F1576" s="2" t="s">
        <v>0</v>
      </c>
      <c r="G1576" s="2" t="s">
        <v>1</v>
      </c>
      <c r="H1576" s="2" t="s">
        <v>2</v>
      </c>
      <c r="I1576" s="2" t="s">
        <v>3</v>
      </c>
      <c r="J1576" s="3" t="s">
        <v>4</v>
      </c>
    </row>
    <row r="1577" spans="1:10">
      <c r="A1577" s="1">
        <v>556159</v>
      </c>
      <c r="B1577" s="1">
        <v>1116601294</v>
      </c>
      <c r="C1577" s="1">
        <v>12</v>
      </c>
      <c r="D1577" s="1" t="s">
        <v>439</v>
      </c>
      <c r="E1577" t="s">
        <v>3358</v>
      </c>
      <c r="F1577" s="1">
        <v>42432</v>
      </c>
      <c r="G1577" s="1">
        <v>2400001539</v>
      </c>
      <c r="H1577" s="1">
        <v>12</v>
      </c>
      <c r="I1577" s="1" t="s">
        <v>3272</v>
      </c>
      <c r="J1577" t="s">
        <v>3392</v>
      </c>
    </row>
    <row r="1578" spans="1:10">
      <c r="A1578" s="1">
        <v>71274</v>
      </c>
      <c r="B1578" s="1">
        <v>1116607127</v>
      </c>
      <c r="C1578" s="1">
        <v>12</v>
      </c>
      <c r="D1578" s="1" t="s">
        <v>1313</v>
      </c>
      <c r="E1578" t="s">
        <v>3359</v>
      </c>
      <c r="F1578" s="1">
        <v>42127</v>
      </c>
      <c r="G1578" s="1">
        <v>73380310277</v>
      </c>
      <c r="H1578" s="1">
        <v>12</v>
      </c>
      <c r="I1578" s="1" t="s">
        <v>399</v>
      </c>
      <c r="J1578" t="s">
        <v>3393</v>
      </c>
    </row>
    <row r="1579" spans="1:10">
      <c r="A1579" s="1">
        <v>71084</v>
      </c>
      <c r="B1579" s="1">
        <v>1116607108</v>
      </c>
      <c r="C1579" s="1">
        <v>12</v>
      </c>
      <c r="D1579" s="1" t="s">
        <v>1313</v>
      </c>
      <c r="E1579" t="s">
        <v>3360</v>
      </c>
      <c r="F1579" s="1">
        <v>45450</v>
      </c>
      <c r="G1579" s="1">
        <v>2400003410</v>
      </c>
      <c r="H1579" s="1">
        <v>6</v>
      </c>
      <c r="I1579" s="1" t="s">
        <v>381</v>
      </c>
      <c r="J1579" t="s">
        <v>3394</v>
      </c>
    </row>
    <row r="1580" spans="1:10">
      <c r="A1580" s="1">
        <v>38893</v>
      </c>
      <c r="B1580" s="1">
        <v>4113030105</v>
      </c>
      <c r="C1580" s="1">
        <v>6</v>
      </c>
      <c r="D1580" s="1" t="s">
        <v>3354</v>
      </c>
      <c r="E1580" t="s">
        <v>3361</v>
      </c>
      <c r="F1580" s="1">
        <v>80804</v>
      </c>
      <c r="G1580" s="1">
        <v>2400016710</v>
      </c>
      <c r="H1580" s="1">
        <v>24</v>
      </c>
      <c r="I1580" s="1" t="s">
        <v>910</v>
      </c>
      <c r="J1580" t="s">
        <v>3395</v>
      </c>
    </row>
    <row r="1581" spans="1:10">
      <c r="A1581" s="1">
        <v>71027</v>
      </c>
      <c r="B1581" s="1">
        <v>4360000201</v>
      </c>
      <c r="C1581" s="1">
        <v>24</v>
      </c>
      <c r="D1581" s="1" t="s">
        <v>1483</v>
      </c>
      <c r="E1581" t="s">
        <v>3362</v>
      </c>
      <c r="F1581" s="1">
        <v>313940</v>
      </c>
      <c r="G1581" s="1">
        <v>2400083097</v>
      </c>
      <c r="H1581" s="1">
        <v>6</v>
      </c>
      <c r="I1581" s="1" t="s">
        <v>632</v>
      </c>
      <c r="J1581" t="s">
        <v>3396</v>
      </c>
    </row>
    <row r="1582" spans="1:10">
      <c r="A1582" s="1">
        <v>308965</v>
      </c>
      <c r="B1582" s="1">
        <v>4360000108</v>
      </c>
      <c r="C1582" s="1">
        <v>12</v>
      </c>
      <c r="D1582" s="1" t="s">
        <v>439</v>
      </c>
      <c r="E1582" t="s">
        <v>3363</v>
      </c>
      <c r="F1582" s="1">
        <v>16980</v>
      </c>
      <c r="G1582" s="1">
        <v>2400083099</v>
      </c>
      <c r="H1582" s="1">
        <v>6</v>
      </c>
      <c r="I1582" s="1" t="s">
        <v>632</v>
      </c>
      <c r="J1582" t="s">
        <v>3397</v>
      </c>
    </row>
    <row r="1583" spans="1:10">
      <c r="A1583" s="1">
        <v>71209</v>
      </c>
      <c r="B1583" s="1">
        <v>4360000008</v>
      </c>
      <c r="C1583" s="1">
        <v>12</v>
      </c>
      <c r="D1583" s="1" t="s">
        <v>439</v>
      </c>
      <c r="E1583" t="s">
        <v>3364</v>
      </c>
      <c r="F1583" s="1">
        <v>477935</v>
      </c>
      <c r="G1583" s="1">
        <v>2400001633</v>
      </c>
      <c r="H1583" s="1">
        <v>6</v>
      </c>
      <c r="I1583" s="1" t="s">
        <v>3398</v>
      </c>
      <c r="J1583" t="s">
        <v>3399</v>
      </c>
    </row>
    <row r="1584" spans="1:10">
      <c r="A1584" s="1">
        <v>71944</v>
      </c>
      <c r="B1584" s="1">
        <v>4360000014</v>
      </c>
      <c r="C1584" s="1">
        <v>12</v>
      </c>
      <c r="D1584" s="1" t="s">
        <v>439</v>
      </c>
      <c r="E1584" t="s">
        <v>3365</v>
      </c>
      <c r="F1584" s="1">
        <v>75390</v>
      </c>
      <c r="G1584" s="1">
        <v>2400016704</v>
      </c>
      <c r="H1584" s="1">
        <v>24</v>
      </c>
      <c r="I1584" s="1" t="s">
        <v>910</v>
      </c>
      <c r="J1584" t="s">
        <v>3400</v>
      </c>
    </row>
    <row r="1585" spans="1:10">
      <c r="A1585" s="1">
        <v>71142</v>
      </c>
      <c r="B1585" s="1">
        <v>4360000004</v>
      </c>
      <c r="C1585" s="1">
        <v>12</v>
      </c>
      <c r="D1585" s="1" t="s">
        <v>439</v>
      </c>
      <c r="E1585" t="s">
        <v>3366</v>
      </c>
      <c r="F1585" s="1">
        <v>80812</v>
      </c>
      <c r="G1585" s="1">
        <v>2400016703</v>
      </c>
      <c r="H1585" s="1">
        <v>12</v>
      </c>
      <c r="I1585" s="1" t="s">
        <v>910</v>
      </c>
      <c r="J1585" t="s">
        <v>3399</v>
      </c>
    </row>
    <row r="1586" spans="1:10">
      <c r="A1586" s="1">
        <v>71167</v>
      </c>
      <c r="B1586" s="1">
        <v>4360000077</v>
      </c>
      <c r="C1586" s="1">
        <v>12</v>
      </c>
      <c r="D1586" s="1" t="s">
        <v>1387</v>
      </c>
      <c r="E1586" t="s">
        <v>3367</v>
      </c>
      <c r="F1586" s="1">
        <v>80820</v>
      </c>
      <c r="G1586" s="1">
        <v>2400016707</v>
      </c>
      <c r="H1586" s="1">
        <v>24</v>
      </c>
      <c r="I1586" s="1" t="s">
        <v>910</v>
      </c>
      <c r="J1586" t="s">
        <v>3401</v>
      </c>
    </row>
    <row r="1587" spans="1:10">
      <c r="A1587" s="1">
        <v>71191</v>
      </c>
      <c r="B1587" s="1">
        <v>4360000005</v>
      </c>
      <c r="C1587" s="1">
        <v>6</v>
      </c>
      <c r="D1587" s="1" t="s">
        <v>865</v>
      </c>
      <c r="E1587" t="s">
        <v>3368</v>
      </c>
      <c r="F1587" s="1">
        <v>749192</v>
      </c>
      <c r="G1587" s="1">
        <v>2400039564</v>
      </c>
      <c r="H1587" s="1">
        <v>12</v>
      </c>
      <c r="I1587" s="1" t="s">
        <v>910</v>
      </c>
      <c r="J1587" t="s">
        <v>3402</v>
      </c>
    </row>
    <row r="1588" spans="1:10">
      <c r="A1588" s="1">
        <v>73429</v>
      </c>
      <c r="B1588" s="1">
        <v>4360000016</v>
      </c>
      <c r="C1588" s="1">
        <v>6</v>
      </c>
      <c r="D1588" s="1" t="s">
        <v>865</v>
      </c>
      <c r="E1588" t="s">
        <v>3369</v>
      </c>
      <c r="F1588" s="1">
        <v>75630</v>
      </c>
      <c r="G1588" s="1">
        <v>2400001092</v>
      </c>
      <c r="H1588" s="1">
        <v>12</v>
      </c>
      <c r="I1588" s="1" t="s">
        <v>469</v>
      </c>
      <c r="J1588" t="s">
        <v>3399</v>
      </c>
    </row>
    <row r="1589" spans="1:10">
      <c r="A1589" s="1">
        <v>73437</v>
      </c>
      <c r="B1589" s="1">
        <v>4360000015</v>
      </c>
      <c r="C1589" s="1">
        <v>6</v>
      </c>
      <c r="D1589" s="1" t="s">
        <v>865</v>
      </c>
      <c r="E1589" t="s">
        <v>3370</v>
      </c>
      <c r="F1589" s="1">
        <v>80713</v>
      </c>
      <c r="G1589" s="1">
        <v>2400002140</v>
      </c>
      <c r="H1589" s="1">
        <v>12</v>
      </c>
      <c r="I1589" s="1" t="s">
        <v>399</v>
      </c>
      <c r="J1589" t="s">
        <v>3400</v>
      </c>
    </row>
    <row r="1590" spans="1:10">
      <c r="A1590" s="1">
        <v>769349</v>
      </c>
      <c r="B1590" s="1">
        <v>4360000106</v>
      </c>
      <c r="C1590" s="1">
        <v>12</v>
      </c>
      <c r="D1590" s="1" t="s">
        <v>439</v>
      </c>
      <c r="E1590" t="s">
        <v>3371</v>
      </c>
      <c r="F1590" s="1">
        <v>75812</v>
      </c>
      <c r="G1590" s="1">
        <v>2400001735</v>
      </c>
      <c r="H1590" s="1">
        <v>12</v>
      </c>
      <c r="I1590" s="1" t="s">
        <v>3271</v>
      </c>
      <c r="J1590" t="s">
        <v>3403</v>
      </c>
    </row>
    <row r="1591" spans="1:10">
      <c r="A1591" s="1">
        <v>485276</v>
      </c>
      <c r="B1591" s="1">
        <v>4360000110</v>
      </c>
      <c r="C1591" s="1">
        <v>12</v>
      </c>
      <c r="D1591" s="1" t="s">
        <v>439</v>
      </c>
      <c r="E1591" t="s">
        <v>3372</v>
      </c>
      <c r="F1591" s="1">
        <v>80556</v>
      </c>
      <c r="G1591" s="1">
        <v>2400002141</v>
      </c>
      <c r="H1591" s="1">
        <v>12</v>
      </c>
      <c r="I1591" s="1" t="s">
        <v>3272</v>
      </c>
      <c r="J1591" t="s">
        <v>3403</v>
      </c>
    </row>
    <row r="1592" spans="1:10">
      <c r="A1592" s="1">
        <v>756262</v>
      </c>
      <c r="B1592" s="1">
        <v>4360000333</v>
      </c>
      <c r="C1592" s="1">
        <v>12</v>
      </c>
      <c r="D1592" s="1" t="s">
        <v>439</v>
      </c>
      <c r="E1592" t="s">
        <v>3373</v>
      </c>
      <c r="F1592" s="1">
        <v>41947</v>
      </c>
      <c r="G1592" s="1">
        <v>2400011552</v>
      </c>
      <c r="H1592" s="1">
        <v>12</v>
      </c>
      <c r="I1592" s="1" t="s">
        <v>381</v>
      </c>
      <c r="J1592" t="s">
        <v>3404</v>
      </c>
    </row>
    <row r="1593" spans="1:10">
      <c r="A1593" s="1">
        <v>71290</v>
      </c>
      <c r="B1593" s="1">
        <v>4360000078</v>
      </c>
      <c r="C1593" s="1">
        <v>6</v>
      </c>
      <c r="D1593" s="1" t="s">
        <v>3309</v>
      </c>
      <c r="E1593" t="s">
        <v>3374</v>
      </c>
      <c r="F1593" s="1">
        <v>80796</v>
      </c>
      <c r="G1593" s="1">
        <v>2400016712</v>
      </c>
      <c r="H1593" s="1">
        <v>12</v>
      </c>
      <c r="I1593" s="1" t="s">
        <v>910</v>
      </c>
      <c r="J1593" t="s">
        <v>3405</v>
      </c>
    </row>
    <row r="1594" spans="1:10">
      <c r="A1594" s="1">
        <v>530089</v>
      </c>
      <c r="B1594" s="1">
        <v>4360000109</v>
      </c>
      <c r="C1594" s="1">
        <v>12</v>
      </c>
      <c r="D1594" s="1" t="s">
        <v>439</v>
      </c>
      <c r="E1594" t="s">
        <v>3375</v>
      </c>
      <c r="F1594" s="1">
        <v>41715</v>
      </c>
      <c r="G1594" s="1">
        <v>2400000231</v>
      </c>
      <c r="H1594" s="1">
        <v>12</v>
      </c>
      <c r="I1594" s="1" t="s">
        <v>381</v>
      </c>
      <c r="J1594" t="s">
        <v>3406</v>
      </c>
    </row>
    <row r="1595" spans="1:10">
      <c r="A1595" s="1">
        <v>228064</v>
      </c>
      <c r="B1595" s="1">
        <v>4360000332</v>
      </c>
      <c r="C1595" s="1">
        <v>12</v>
      </c>
      <c r="D1595" s="1" t="s">
        <v>439</v>
      </c>
      <c r="E1595" t="s">
        <v>3376</v>
      </c>
      <c r="F1595" s="1">
        <v>75655</v>
      </c>
      <c r="G1595" s="1">
        <v>2400016709</v>
      </c>
      <c r="H1595" s="1">
        <v>24</v>
      </c>
      <c r="I1595" s="1" t="s">
        <v>1426</v>
      </c>
      <c r="J1595" t="s">
        <v>3407</v>
      </c>
    </row>
    <row r="1596" spans="1:10">
      <c r="A1596" s="1">
        <v>254920</v>
      </c>
      <c r="B1596" s="1">
        <v>4360000300</v>
      </c>
      <c r="C1596" s="1">
        <v>12</v>
      </c>
      <c r="D1596" s="1" t="s">
        <v>938</v>
      </c>
      <c r="E1596" t="s">
        <v>3377</v>
      </c>
      <c r="F1596" s="1">
        <v>80838</v>
      </c>
      <c r="G1596" s="1">
        <v>2400002744</v>
      </c>
      <c r="H1596" s="1">
        <v>12</v>
      </c>
      <c r="I1596" s="1" t="s">
        <v>3272</v>
      </c>
      <c r="J1596" t="s">
        <v>3407</v>
      </c>
    </row>
    <row r="1597" spans="1:10">
      <c r="A1597" s="1">
        <v>355313</v>
      </c>
      <c r="B1597" s="1">
        <v>4360000330</v>
      </c>
      <c r="C1597" s="1">
        <v>12</v>
      </c>
      <c r="D1597" s="1" t="s">
        <v>439</v>
      </c>
      <c r="E1597" t="s">
        <v>3378</v>
      </c>
      <c r="F1597" s="1">
        <v>75838</v>
      </c>
      <c r="G1597" s="1">
        <v>2400004860</v>
      </c>
      <c r="H1597" s="1">
        <v>12</v>
      </c>
      <c r="I1597" s="1" t="s">
        <v>3272</v>
      </c>
      <c r="J1597" t="s">
        <v>3408</v>
      </c>
    </row>
    <row r="1598" spans="1:10">
      <c r="A1598" s="1">
        <v>357160</v>
      </c>
      <c r="B1598" s="1">
        <v>4360000331</v>
      </c>
      <c r="C1598" s="1">
        <v>12</v>
      </c>
      <c r="D1598" s="1" t="s">
        <v>439</v>
      </c>
      <c r="E1598" t="s">
        <v>3379</v>
      </c>
      <c r="F1598" s="1">
        <v>75788</v>
      </c>
      <c r="G1598" s="1">
        <v>2400011696</v>
      </c>
      <c r="H1598" s="1">
        <v>6</v>
      </c>
      <c r="I1598" s="1" t="s">
        <v>3398</v>
      </c>
      <c r="J1598" t="s">
        <v>3409</v>
      </c>
    </row>
    <row r="1599" spans="1:10">
      <c r="A1599" s="1">
        <v>677757</v>
      </c>
      <c r="B1599" s="1">
        <v>4360000146</v>
      </c>
      <c r="C1599" s="1">
        <v>12</v>
      </c>
      <c r="D1599" s="1" t="s">
        <v>439</v>
      </c>
      <c r="E1599" t="s">
        <v>3380</v>
      </c>
      <c r="F1599" s="1">
        <v>80606</v>
      </c>
      <c r="G1599" s="1">
        <v>2400001909</v>
      </c>
      <c r="H1599" s="1">
        <v>24</v>
      </c>
      <c r="I1599" s="1" t="s">
        <v>910</v>
      </c>
      <c r="J1599" t="s">
        <v>3410</v>
      </c>
    </row>
    <row r="1600" spans="1:10" ht="15.75">
      <c r="A1600" s="4" t="s">
        <v>10714</v>
      </c>
      <c r="B1600" s="2"/>
      <c r="C1600" s="2"/>
      <c r="D1600" s="2"/>
      <c r="E1600" s="3"/>
      <c r="F1600" s="4" t="s">
        <v>10715</v>
      </c>
      <c r="G1600" s="2"/>
      <c r="H1600" s="2"/>
      <c r="I1600" s="2"/>
      <c r="J1600" s="3"/>
    </row>
    <row r="1601" spans="1:10">
      <c r="A1601" s="2" t="s">
        <v>0</v>
      </c>
      <c r="B1601" s="2" t="s">
        <v>1</v>
      </c>
      <c r="C1601" s="2" t="s">
        <v>2</v>
      </c>
      <c r="D1601" s="2" t="s">
        <v>3</v>
      </c>
      <c r="E1601" s="3" t="s">
        <v>4</v>
      </c>
      <c r="F1601" s="2" t="s">
        <v>0</v>
      </c>
      <c r="G1601" s="2" t="s">
        <v>1</v>
      </c>
      <c r="H1601" s="2" t="s">
        <v>2</v>
      </c>
      <c r="I1601" s="2" t="s">
        <v>3</v>
      </c>
      <c r="J1601" s="3" t="s">
        <v>4</v>
      </c>
    </row>
    <row r="1602" spans="1:10">
      <c r="A1602" s="1">
        <v>45997</v>
      </c>
      <c r="B1602" s="1">
        <v>2400005199</v>
      </c>
      <c r="C1602" s="1">
        <v>6</v>
      </c>
      <c r="D1602" s="1" t="s">
        <v>632</v>
      </c>
      <c r="E1602" t="s">
        <v>3411</v>
      </c>
      <c r="F1602" s="1">
        <v>46102</v>
      </c>
      <c r="G1602" s="1">
        <v>2400005197</v>
      </c>
      <c r="H1602" s="1">
        <v>6</v>
      </c>
      <c r="I1602" s="1" t="s">
        <v>632</v>
      </c>
      <c r="J1602" t="s">
        <v>3449</v>
      </c>
    </row>
    <row r="1603" spans="1:10">
      <c r="A1603" s="1">
        <v>72157</v>
      </c>
      <c r="B1603" s="1">
        <v>2400013211</v>
      </c>
      <c r="C1603" s="1">
        <v>12</v>
      </c>
      <c r="D1603" s="1" t="s">
        <v>1409</v>
      </c>
      <c r="E1603" t="s">
        <v>3412</v>
      </c>
      <c r="F1603" s="1">
        <v>78279</v>
      </c>
      <c r="G1603" s="1">
        <v>2400016723</v>
      </c>
      <c r="H1603" s="1">
        <v>12</v>
      </c>
      <c r="I1603" s="1" t="s">
        <v>910</v>
      </c>
      <c r="J1603" t="s">
        <v>3450</v>
      </c>
    </row>
    <row r="1604" spans="1:10">
      <c r="A1604" s="1">
        <v>75671</v>
      </c>
      <c r="B1604" s="1">
        <v>73380310377</v>
      </c>
      <c r="C1604" s="1">
        <v>12</v>
      </c>
      <c r="D1604" s="1" t="s">
        <v>910</v>
      </c>
      <c r="E1604" t="s">
        <v>3413</v>
      </c>
      <c r="F1604" s="1">
        <v>78428</v>
      </c>
      <c r="G1604" s="1">
        <v>2400001911</v>
      </c>
      <c r="H1604" s="1">
        <v>12</v>
      </c>
      <c r="I1604" s="1" t="s">
        <v>910</v>
      </c>
      <c r="J1604" t="s">
        <v>3451</v>
      </c>
    </row>
    <row r="1605" spans="1:10">
      <c r="A1605" s="1">
        <v>128199</v>
      </c>
      <c r="B1605" s="1">
        <v>2400002211</v>
      </c>
      <c r="C1605" s="1">
        <v>12</v>
      </c>
      <c r="D1605" s="1" t="s">
        <v>910</v>
      </c>
      <c r="E1605" t="s">
        <v>3414</v>
      </c>
      <c r="F1605" s="1">
        <v>78410</v>
      </c>
      <c r="G1605" s="1">
        <v>2400001912</v>
      </c>
      <c r="H1605" s="1">
        <v>12</v>
      </c>
      <c r="I1605" s="1" t="s">
        <v>910</v>
      </c>
      <c r="J1605" t="s">
        <v>3452</v>
      </c>
    </row>
    <row r="1606" spans="1:10">
      <c r="A1606" s="1">
        <v>235663</v>
      </c>
      <c r="B1606" s="1">
        <v>2400013243</v>
      </c>
      <c r="C1606" s="1">
        <v>12</v>
      </c>
      <c r="D1606" s="1" t="s">
        <v>3271</v>
      </c>
      <c r="E1606" t="s">
        <v>3415</v>
      </c>
      <c r="F1606" s="1">
        <v>45401</v>
      </c>
      <c r="G1606" s="1">
        <v>2400003057</v>
      </c>
      <c r="H1606" s="1">
        <v>6</v>
      </c>
      <c r="I1606" s="1" t="s">
        <v>381</v>
      </c>
      <c r="J1606" t="s">
        <v>3453</v>
      </c>
    </row>
    <row r="1607" spans="1:10">
      <c r="A1607" s="1">
        <v>72397</v>
      </c>
      <c r="B1607" s="1">
        <v>2400003559</v>
      </c>
      <c r="C1607" s="1">
        <v>6</v>
      </c>
      <c r="D1607" s="1" t="s">
        <v>381</v>
      </c>
      <c r="E1607" t="s">
        <v>3416</v>
      </c>
      <c r="F1607" s="1">
        <v>41707</v>
      </c>
      <c r="G1607" s="1">
        <v>2400000210</v>
      </c>
      <c r="H1607" s="1">
        <v>12</v>
      </c>
      <c r="I1607" s="1" t="s">
        <v>381</v>
      </c>
      <c r="J1607" t="s">
        <v>3454</v>
      </c>
    </row>
    <row r="1608" spans="1:10">
      <c r="A1608" s="1">
        <v>45310</v>
      </c>
      <c r="B1608" s="1">
        <v>2400003412</v>
      </c>
      <c r="C1608" s="1">
        <v>6</v>
      </c>
      <c r="D1608" s="1" t="s">
        <v>381</v>
      </c>
      <c r="E1608" t="s">
        <v>3417</v>
      </c>
      <c r="F1608" s="1">
        <v>77198</v>
      </c>
      <c r="G1608" s="1">
        <v>2400016714</v>
      </c>
      <c r="H1608" s="1">
        <v>24</v>
      </c>
      <c r="I1608" s="1" t="s">
        <v>1037</v>
      </c>
      <c r="J1608" t="s">
        <v>3455</v>
      </c>
    </row>
    <row r="1609" spans="1:10">
      <c r="A1609" s="1">
        <v>278036</v>
      </c>
      <c r="B1609" s="1">
        <v>3890002060</v>
      </c>
      <c r="C1609" s="1">
        <v>6</v>
      </c>
      <c r="D1609" s="1" t="s">
        <v>381</v>
      </c>
      <c r="E1609" t="s">
        <v>3418</v>
      </c>
      <c r="F1609" s="1">
        <v>77719</v>
      </c>
      <c r="G1609" s="1">
        <v>2400001041</v>
      </c>
      <c r="H1609" s="1">
        <v>12</v>
      </c>
      <c r="I1609" s="1" t="s">
        <v>3271</v>
      </c>
      <c r="J1609" t="s">
        <v>3456</v>
      </c>
    </row>
    <row r="1610" spans="1:10">
      <c r="A1610" s="1">
        <v>278069</v>
      </c>
      <c r="B1610" s="1">
        <v>3890003008</v>
      </c>
      <c r="C1610" s="1">
        <v>6</v>
      </c>
      <c r="D1610" s="1" t="s">
        <v>778</v>
      </c>
      <c r="E1610" t="s">
        <v>3419</v>
      </c>
      <c r="F1610" s="1">
        <v>78261</v>
      </c>
      <c r="G1610" s="1">
        <v>2400016722</v>
      </c>
      <c r="H1610" s="1">
        <v>12</v>
      </c>
      <c r="I1610" s="1" t="s">
        <v>1037</v>
      </c>
      <c r="J1610" t="s">
        <v>3457</v>
      </c>
    </row>
    <row r="1611" spans="1:10">
      <c r="A1611" s="1">
        <v>327627</v>
      </c>
      <c r="B1611" s="1">
        <v>3890003535</v>
      </c>
      <c r="C1611" s="1">
        <v>6</v>
      </c>
      <c r="D1611" s="1" t="s">
        <v>1371</v>
      </c>
      <c r="E1611" t="s">
        <v>3420</v>
      </c>
      <c r="F1611" s="1">
        <v>75804</v>
      </c>
      <c r="G1611" s="1">
        <v>2400001745</v>
      </c>
      <c r="H1611" s="1">
        <v>12</v>
      </c>
      <c r="I1611" s="1" t="s">
        <v>3271</v>
      </c>
      <c r="J1611" t="s">
        <v>3458</v>
      </c>
    </row>
    <row r="1612" spans="1:10">
      <c r="A1612" s="1">
        <v>40162</v>
      </c>
      <c r="B1612" s="1">
        <v>3890009081</v>
      </c>
      <c r="C1612" s="1">
        <v>24</v>
      </c>
      <c r="D1612" s="1" t="s">
        <v>1426</v>
      </c>
      <c r="E1612" t="s">
        <v>3421</v>
      </c>
      <c r="F1612" s="1">
        <v>77388</v>
      </c>
      <c r="G1612" s="1">
        <v>2400016713</v>
      </c>
      <c r="H1612" s="1">
        <v>12</v>
      </c>
      <c r="I1612" s="1" t="s">
        <v>910</v>
      </c>
      <c r="J1612" t="s">
        <v>3459</v>
      </c>
    </row>
    <row r="1613" spans="1:10">
      <c r="A1613" s="1">
        <v>709154</v>
      </c>
      <c r="B1613" s="1">
        <v>3890004000</v>
      </c>
      <c r="C1613" s="1">
        <v>8</v>
      </c>
      <c r="D1613" s="1" t="s">
        <v>3422</v>
      </c>
      <c r="E1613" t="s">
        <v>3423</v>
      </c>
      <c r="F1613" s="1">
        <v>77727</v>
      </c>
      <c r="G1613" s="1">
        <v>2400001062</v>
      </c>
      <c r="H1613" s="1">
        <v>12</v>
      </c>
      <c r="I1613" s="1" t="s">
        <v>3271</v>
      </c>
      <c r="J1613" t="s">
        <v>3459</v>
      </c>
    </row>
    <row r="1614" spans="1:10">
      <c r="A1614" s="1">
        <v>80853</v>
      </c>
      <c r="B1614" s="1">
        <v>3890003006</v>
      </c>
      <c r="C1614" s="1">
        <v>6</v>
      </c>
      <c r="D1614" s="1" t="s">
        <v>778</v>
      </c>
      <c r="E1614" t="s">
        <v>3424</v>
      </c>
      <c r="F1614" s="1">
        <v>77289</v>
      </c>
      <c r="G1614" s="1">
        <v>2400016719</v>
      </c>
      <c r="H1614" s="1">
        <v>24</v>
      </c>
      <c r="I1614" s="1" t="s">
        <v>910</v>
      </c>
      <c r="J1614" t="s">
        <v>3460</v>
      </c>
    </row>
    <row r="1615" spans="1:10">
      <c r="A1615" s="1">
        <v>41673</v>
      </c>
      <c r="B1615" s="1">
        <v>3890003060</v>
      </c>
      <c r="C1615" s="1">
        <v>6</v>
      </c>
      <c r="D1615" s="1" t="s">
        <v>381</v>
      </c>
      <c r="E1615" t="s">
        <v>3425</v>
      </c>
      <c r="F1615" s="1">
        <v>77313</v>
      </c>
      <c r="G1615" s="1">
        <v>2400016717</v>
      </c>
      <c r="H1615" s="1">
        <v>24</v>
      </c>
      <c r="I1615" s="1" t="s">
        <v>1407</v>
      </c>
      <c r="J1615" t="s">
        <v>3461</v>
      </c>
    </row>
    <row r="1616" spans="1:10">
      <c r="A1616" s="1">
        <v>40477</v>
      </c>
      <c r="B1616" s="1">
        <v>3890003097</v>
      </c>
      <c r="C1616" s="1">
        <v>8</v>
      </c>
      <c r="D1616" s="1" t="s">
        <v>3284</v>
      </c>
      <c r="E1616" t="s">
        <v>3426</v>
      </c>
      <c r="F1616" s="1">
        <v>42093</v>
      </c>
      <c r="G1616" s="1">
        <v>2400001523</v>
      </c>
      <c r="H1616" s="1">
        <v>12</v>
      </c>
      <c r="I1616" s="1" t="s">
        <v>399</v>
      </c>
      <c r="J1616" t="s">
        <v>3462</v>
      </c>
    </row>
    <row r="1617" spans="1:10">
      <c r="A1617" s="1">
        <v>41681</v>
      </c>
      <c r="B1617" s="1">
        <v>3890003039</v>
      </c>
      <c r="C1617" s="1">
        <v>6</v>
      </c>
      <c r="D1617" s="1" t="s">
        <v>381</v>
      </c>
      <c r="E1617" t="s">
        <v>3427</v>
      </c>
      <c r="F1617" s="1">
        <v>755660</v>
      </c>
      <c r="G1617" s="1">
        <v>2400002072</v>
      </c>
      <c r="H1617" s="1">
        <v>6</v>
      </c>
      <c r="I1617" s="1" t="s">
        <v>3398</v>
      </c>
      <c r="J1617" t="s">
        <v>3463</v>
      </c>
    </row>
    <row r="1618" spans="1:10">
      <c r="A1618" s="1">
        <v>165886</v>
      </c>
      <c r="B1618" s="1">
        <v>7402707506</v>
      </c>
      <c r="C1618" s="1">
        <v>12</v>
      </c>
      <c r="D1618" s="1" t="s">
        <v>489</v>
      </c>
      <c r="E1618" t="s">
        <v>3428</v>
      </c>
      <c r="F1618" s="1">
        <v>80663</v>
      </c>
      <c r="G1618" s="1">
        <v>2400002142</v>
      </c>
      <c r="H1618" s="1">
        <v>12</v>
      </c>
      <c r="I1618" s="1" t="s">
        <v>399</v>
      </c>
      <c r="J1618" t="s">
        <v>3464</v>
      </c>
    </row>
    <row r="1619" spans="1:10">
      <c r="A1619" s="1">
        <v>595355</v>
      </c>
      <c r="B1619" s="1">
        <v>7402700264</v>
      </c>
      <c r="C1619" s="1">
        <v>12</v>
      </c>
      <c r="D1619" s="1" t="s">
        <v>397</v>
      </c>
      <c r="E1619" t="s">
        <v>3429</v>
      </c>
      <c r="F1619" s="1">
        <v>41749</v>
      </c>
      <c r="G1619" s="1">
        <v>3890002970</v>
      </c>
      <c r="H1619" s="1">
        <v>6</v>
      </c>
      <c r="I1619" s="1" t="s">
        <v>381</v>
      </c>
      <c r="J1619" t="s">
        <v>3465</v>
      </c>
    </row>
    <row r="1620" spans="1:10">
      <c r="A1620" s="1">
        <v>75366</v>
      </c>
      <c r="B1620" s="1">
        <v>1116607536</v>
      </c>
      <c r="C1620" s="1">
        <v>24</v>
      </c>
      <c r="D1620" s="1" t="s">
        <v>910</v>
      </c>
      <c r="E1620" t="s">
        <v>3430</v>
      </c>
      <c r="F1620" s="1">
        <v>41970</v>
      </c>
      <c r="G1620" s="1">
        <v>3890003032</v>
      </c>
      <c r="H1620" s="1">
        <v>6</v>
      </c>
      <c r="I1620" s="1" t="s">
        <v>778</v>
      </c>
      <c r="J1620" t="s">
        <v>3466</v>
      </c>
    </row>
    <row r="1621" spans="1:10">
      <c r="A1621" s="1">
        <v>75283</v>
      </c>
      <c r="B1621" s="1">
        <v>1116607528</v>
      </c>
      <c r="C1621" s="1">
        <v>24</v>
      </c>
      <c r="D1621" s="1" t="s">
        <v>1096</v>
      </c>
      <c r="E1621" t="s">
        <v>3430</v>
      </c>
      <c r="F1621" s="1">
        <v>709147</v>
      </c>
      <c r="G1621" s="1">
        <v>3890003011</v>
      </c>
      <c r="H1621" s="1">
        <v>6</v>
      </c>
      <c r="I1621" s="1" t="s">
        <v>778</v>
      </c>
      <c r="J1621" t="s">
        <v>3467</v>
      </c>
    </row>
    <row r="1622" spans="1:10">
      <c r="A1622" s="1">
        <v>75408</v>
      </c>
      <c r="B1622" s="1">
        <v>1116607540</v>
      </c>
      <c r="C1622" s="1">
        <v>12</v>
      </c>
      <c r="D1622" s="1" t="s">
        <v>469</v>
      </c>
      <c r="E1622" t="s">
        <v>3431</v>
      </c>
      <c r="F1622" s="1">
        <v>40493</v>
      </c>
      <c r="G1622" s="1">
        <v>3890003098</v>
      </c>
      <c r="H1622" s="1">
        <v>8</v>
      </c>
      <c r="I1622" s="1" t="s">
        <v>3284</v>
      </c>
      <c r="J1622" t="s">
        <v>3468</v>
      </c>
    </row>
    <row r="1623" spans="1:10">
      <c r="A1623" s="1">
        <v>75374</v>
      </c>
      <c r="B1623" s="1">
        <v>1116607537</v>
      </c>
      <c r="C1623" s="1">
        <v>24</v>
      </c>
      <c r="D1623" s="1" t="s">
        <v>910</v>
      </c>
      <c r="E1623" t="s">
        <v>3432</v>
      </c>
      <c r="F1623" s="1">
        <v>581298</v>
      </c>
      <c r="G1623" s="1">
        <v>7402700261</v>
      </c>
      <c r="H1623" s="1">
        <v>12</v>
      </c>
      <c r="I1623" s="1" t="s">
        <v>397</v>
      </c>
      <c r="J1623" t="s">
        <v>3469</v>
      </c>
    </row>
    <row r="1624" spans="1:10">
      <c r="A1624" s="1">
        <v>2873</v>
      </c>
      <c r="B1624" s="1">
        <v>1116601213</v>
      </c>
      <c r="C1624" s="1">
        <v>6</v>
      </c>
      <c r="D1624" s="1" t="s">
        <v>381</v>
      </c>
      <c r="E1624" t="s">
        <v>3433</v>
      </c>
      <c r="F1624" s="1">
        <v>2824</v>
      </c>
      <c r="G1624" s="1">
        <v>1116601211</v>
      </c>
      <c r="H1624" s="1">
        <v>6</v>
      </c>
      <c r="I1624" s="1" t="s">
        <v>381</v>
      </c>
      <c r="J1624" t="s">
        <v>3470</v>
      </c>
    </row>
    <row r="1625" spans="1:10">
      <c r="A1625" s="1">
        <v>2964</v>
      </c>
      <c r="B1625" s="1">
        <v>1116601215</v>
      </c>
      <c r="C1625" s="1">
        <v>6</v>
      </c>
      <c r="D1625" s="1" t="s">
        <v>381</v>
      </c>
      <c r="E1625" t="s">
        <v>3434</v>
      </c>
      <c r="F1625" s="1">
        <v>77149</v>
      </c>
      <c r="G1625" s="1">
        <v>1116607714</v>
      </c>
      <c r="H1625" s="1">
        <v>24</v>
      </c>
      <c r="I1625" s="1" t="s">
        <v>1426</v>
      </c>
      <c r="J1625" t="s">
        <v>3471</v>
      </c>
    </row>
    <row r="1626" spans="1:10">
      <c r="A1626" s="1">
        <v>346569</v>
      </c>
      <c r="B1626" s="1">
        <v>4113030009</v>
      </c>
      <c r="C1626" s="1">
        <v>12</v>
      </c>
      <c r="D1626" s="1" t="s">
        <v>3271</v>
      </c>
      <c r="E1626" t="s">
        <v>3435</v>
      </c>
      <c r="F1626" s="1">
        <v>77164</v>
      </c>
      <c r="G1626" s="1">
        <v>1116607716</v>
      </c>
      <c r="H1626" s="1">
        <v>24</v>
      </c>
      <c r="I1626" s="1" t="s">
        <v>1426</v>
      </c>
      <c r="J1626" t="s">
        <v>3472</v>
      </c>
    </row>
    <row r="1627" spans="1:10" ht="15.75">
      <c r="A1627" s="4" t="s">
        <v>10715</v>
      </c>
      <c r="B1627" s="2"/>
      <c r="C1627" s="2"/>
      <c r="D1627" s="2"/>
      <c r="E1627" s="3"/>
      <c r="F1627" s="1">
        <v>77156</v>
      </c>
      <c r="G1627" s="1">
        <v>1116607715</v>
      </c>
      <c r="H1627" s="1">
        <v>24</v>
      </c>
      <c r="I1627" s="1" t="s">
        <v>910</v>
      </c>
      <c r="J1627" t="s">
        <v>3473</v>
      </c>
    </row>
    <row r="1628" spans="1:10">
      <c r="A1628" s="2" t="s">
        <v>0</v>
      </c>
      <c r="B1628" s="2" t="s">
        <v>1</v>
      </c>
      <c r="C1628" s="2" t="s">
        <v>2</v>
      </c>
      <c r="D1628" s="2" t="s">
        <v>3</v>
      </c>
      <c r="E1628" s="3" t="s">
        <v>4</v>
      </c>
      <c r="F1628" s="1">
        <v>77172</v>
      </c>
      <c r="G1628" s="1">
        <v>1116607717</v>
      </c>
      <c r="H1628" s="1">
        <v>24</v>
      </c>
      <c r="I1628" s="1" t="s">
        <v>910</v>
      </c>
      <c r="J1628" t="s">
        <v>3474</v>
      </c>
    </row>
    <row r="1629" spans="1:10">
      <c r="A1629" s="1">
        <v>736538</v>
      </c>
      <c r="B1629" s="1">
        <v>2400006473</v>
      </c>
      <c r="C1629" s="1">
        <v>24</v>
      </c>
      <c r="D1629" s="1" t="s">
        <v>3271</v>
      </c>
      <c r="E1629" t="s">
        <v>3436</v>
      </c>
      <c r="F1629" s="1">
        <v>77487</v>
      </c>
      <c r="G1629" s="1">
        <v>1116607748</v>
      </c>
      <c r="H1629" s="1">
        <v>12</v>
      </c>
      <c r="I1629" s="1" t="s">
        <v>3271</v>
      </c>
      <c r="J1629" t="s">
        <v>3475</v>
      </c>
    </row>
    <row r="1630" spans="1:10">
      <c r="A1630" s="1">
        <v>45443</v>
      </c>
      <c r="B1630" s="1">
        <v>2400003411</v>
      </c>
      <c r="C1630" s="1">
        <v>6</v>
      </c>
      <c r="D1630" s="1" t="s">
        <v>381</v>
      </c>
      <c r="E1630" t="s">
        <v>3437</v>
      </c>
      <c r="F1630" s="1">
        <v>77503</v>
      </c>
      <c r="G1630" s="1">
        <v>1116607750</v>
      </c>
      <c r="H1630" s="1">
        <v>12</v>
      </c>
      <c r="I1630" s="1" t="s">
        <v>3271</v>
      </c>
      <c r="J1630" t="s">
        <v>3476</v>
      </c>
    </row>
    <row r="1631" spans="1:10">
      <c r="A1631" s="1">
        <v>692756</v>
      </c>
      <c r="B1631" s="1">
        <v>2400056646</v>
      </c>
      <c r="C1631" s="1">
        <v>6</v>
      </c>
      <c r="D1631" s="1" t="s">
        <v>632</v>
      </c>
      <c r="E1631" t="s">
        <v>3438</v>
      </c>
      <c r="F1631" s="1">
        <v>76687</v>
      </c>
      <c r="G1631" s="1">
        <v>1116607668</v>
      </c>
      <c r="H1631" s="1">
        <v>24</v>
      </c>
      <c r="I1631" s="1" t="s">
        <v>1096</v>
      </c>
      <c r="J1631" t="s">
        <v>3477</v>
      </c>
    </row>
    <row r="1632" spans="1:10">
      <c r="A1632" s="1">
        <v>72314</v>
      </c>
      <c r="B1632" s="1">
        <v>2400001211</v>
      </c>
      <c r="C1632" s="1">
        <v>12</v>
      </c>
      <c r="D1632" s="1" t="s">
        <v>381</v>
      </c>
      <c r="E1632" t="s">
        <v>3439</v>
      </c>
      <c r="F1632" s="1">
        <v>898536</v>
      </c>
      <c r="G1632" s="1">
        <v>4113030141</v>
      </c>
      <c r="H1632" s="1">
        <v>12</v>
      </c>
      <c r="I1632" s="1" t="s">
        <v>3271</v>
      </c>
      <c r="J1632" t="s">
        <v>3478</v>
      </c>
    </row>
    <row r="1633" spans="1:10" ht="15.75">
      <c r="A1633" s="1">
        <v>80564</v>
      </c>
      <c r="B1633" s="1">
        <v>2400002143</v>
      </c>
      <c r="C1633" s="1">
        <v>12</v>
      </c>
      <c r="D1633" s="1" t="s">
        <v>399</v>
      </c>
      <c r="E1633" t="s">
        <v>3440</v>
      </c>
      <c r="F1633" s="4" t="s">
        <v>10716</v>
      </c>
      <c r="G1633" s="2"/>
      <c r="H1633" s="2"/>
      <c r="I1633" s="2"/>
      <c r="J1633" s="3"/>
    </row>
    <row r="1634" spans="1:10">
      <c r="A1634" s="1">
        <v>72140</v>
      </c>
      <c r="B1634" s="1">
        <v>2400013215</v>
      </c>
      <c r="C1634" s="1">
        <v>12</v>
      </c>
      <c r="D1634" s="1" t="s">
        <v>3441</v>
      </c>
      <c r="E1634" t="s">
        <v>3442</v>
      </c>
      <c r="F1634" s="2" t="s">
        <v>0</v>
      </c>
      <c r="G1634" s="2" t="s">
        <v>1</v>
      </c>
      <c r="H1634" s="2" t="s">
        <v>2</v>
      </c>
      <c r="I1634" s="2" t="s">
        <v>3</v>
      </c>
      <c r="J1634" s="3" t="s">
        <v>4</v>
      </c>
    </row>
    <row r="1635" spans="1:10">
      <c r="A1635" s="1">
        <v>81687</v>
      </c>
      <c r="B1635" s="1">
        <v>2400013207</v>
      </c>
      <c r="C1635" s="1">
        <v>12</v>
      </c>
      <c r="D1635" s="1" t="s">
        <v>1254</v>
      </c>
      <c r="E1635" t="s">
        <v>3443</v>
      </c>
      <c r="F1635" s="1">
        <v>81711</v>
      </c>
      <c r="G1635" s="1">
        <v>2400013217</v>
      </c>
      <c r="H1635" s="1">
        <v>12</v>
      </c>
      <c r="I1635" s="1" t="s">
        <v>3272</v>
      </c>
      <c r="J1635" t="s">
        <v>3479</v>
      </c>
    </row>
    <row r="1636" spans="1:10">
      <c r="A1636" s="1">
        <v>255109</v>
      </c>
      <c r="B1636" s="1">
        <v>2400039342</v>
      </c>
      <c r="C1636" s="1">
        <v>6</v>
      </c>
      <c r="D1636" s="1" t="s">
        <v>381</v>
      </c>
      <c r="E1636" t="s">
        <v>3444</v>
      </c>
      <c r="F1636" s="1">
        <v>81695</v>
      </c>
      <c r="G1636" s="1">
        <v>2400013209</v>
      </c>
      <c r="H1636" s="1">
        <v>12</v>
      </c>
      <c r="I1636" s="1" t="s">
        <v>1409</v>
      </c>
      <c r="J1636" t="s">
        <v>3480</v>
      </c>
    </row>
    <row r="1637" spans="1:10">
      <c r="A1637" s="1">
        <v>72132</v>
      </c>
      <c r="B1637" s="1">
        <v>2400011562</v>
      </c>
      <c r="C1637" s="1">
        <v>12</v>
      </c>
      <c r="D1637" s="1" t="s">
        <v>381</v>
      </c>
      <c r="E1637" t="s">
        <v>3445</v>
      </c>
      <c r="F1637" s="1">
        <v>320655</v>
      </c>
      <c r="G1637" s="1">
        <v>2400039344</v>
      </c>
      <c r="H1637" s="1">
        <v>6</v>
      </c>
      <c r="I1637" s="1" t="s">
        <v>381</v>
      </c>
      <c r="J1637" t="s">
        <v>3481</v>
      </c>
    </row>
    <row r="1638" spans="1:10">
      <c r="A1638" s="1">
        <v>45252</v>
      </c>
      <c r="B1638" s="1">
        <v>2400003409</v>
      </c>
      <c r="C1638" s="1">
        <v>6</v>
      </c>
      <c r="D1638" s="1" t="s">
        <v>381</v>
      </c>
      <c r="E1638" t="s">
        <v>3446</v>
      </c>
      <c r="F1638" s="1">
        <v>80788</v>
      </c>
      <c r="G1638" s="1">
        <v>2400016724</v>
      </c>
      <c r="H1638" s="1">
        <v>12</v>
      </c>
      <c r="I1638" s="1" t="s">
        <v>910</v>
      </c>
      <c r="J1638" t="s">
        <v>3482</v>
      </c>
    </row>
    <row r="1639" spans="1:10">
      <c r="A1639" s="1">
        <v>77305</v>
      </c>
      <c r="B1639" s="1">
        <v>2400016716</v>
      </c>
      <c r="C1639" s="1">
        <v>24</v>
      </c>
      <c r="D1639" s="1" t="s">
        <v>910</v>
      </c>
      <c r="E1639" t="s">
        <v>3447</v>
      </c>
      <c r="F1639" s="1">
        <v>78790</v>
      </c>
      <c r="G1639" s="1">
        <v>2400016725</v>
      </c>
      <c r="H1639" s="1">
        <v>24</v>
      </c>
      <c r="I1639" s="1" t="s">
        <v>1037</v>
      </c>
      <c r="J1639" t="s">
        <v>3482</v>
      </c>
    </row>
    <row r="1640" spans="1:10">
      <c r="A1640" s="1">
        <v>658336</v>
      </c>
      <c r="B1640" s="1">
        <v>2400039555</v>
      </c>
      <c r="C1640" s="1">
        <v>12</v>
      </c>
      <c r="D1640" s="1" t="s">
        <v>910</v>
      </c>
      <c r="E1640" t="s">
        <v>3448</v>
      </c>
      <c r="F1640" s="1">
        <v>78964</v>
      </c>
      <c r="G1640" s="1">
        <v>2400002144</v>
      </c>
      <c r="H1640" s="1">
        <v>12</v>
      </c>
      <c r="I1640" s="1" t="s">
        <v>365</v>
      </c>
      <c r="J1640" t="s">
        <v>3482</v>
      </c>
    </row>
    <row r="1641" spans="1:10" ht="15.75">
      <c r="A1641" s="4" t="s">
        <v>10716</v>
      </c>
      <c r="B1641" s="2"/>
      <c r="C1641" s="2"/>
      <c r="D1641" s="2"/>
      <c r="E1641" s="3"/>
      <c r="F1641" s="4" t="s">
        <v>10718</v>
      </c>
      <c r="G1641" s="2"/>
      <c r="H1641" s="2"/>
      <c r="I1641" s="2"/>
      <c r="J1641" s="3"/>
    </row>
    <row r="1642" spans="1:10">
      <c r="A1642" s="2" t="s">
        <v>0</v>
      </c>
      <c r="B1642" s="2" t="s">
        <v>1</v>
      </c>
      <c r="C1642" s="2" t="s">
        <v>2</v>
      </c>
      <c r="D1642" s="2" t="s">
        <v>3</v>
      </c>
      <c r="E1642" s="3" t="s">
        <v>4</v>
      </c>
      <c r="F1642" s="2" t="s">
        <v>0</v>
      </c>
      <c r="G1642" s="2" t="s">
        <v>1</v>
      </c>
      <c r="H1642" s="2" t="s">
        <v>2</v>
      </c>
      <c r="I1642" s="2" t="s">
        <v>3</v>
      </c>
      <c r="J1642" s="3" t="s">
        <v>4</v>
      </c>
    </row>
    <row r="1643" spans="1:10">
      <c r="A1643" s="1">
        <v>78311</v>
      </c>
      <c r="B1643" s="1">
        <v>2400003517</v>
      </c>
      <c r="C1643" s="1">
        <v>12</v>
      </c>
      <c r="D1643" s="1" t="s">
        <v>910</v>
      </c>
      <c r="E1643" t="s">
        <v>3483</v>
      </c>
      <c r="F1643" s="1">
        <v>79905</v>
      </c>
      <c r="G1643" s="1">
        <v>2400000170</v>
      </c>
      <c r="H1643" s="1">
        <v>24</v>
      </c>
      <c r="I1643" s="1" t="s">
        <v>399</v>
      </c>
      <c r="J1643" t="s">
        <v>3518</v>
      </c>
    </row>
    <row r="1644" spans="1:10">
      <c r="A1644" s="1">
        <v>78774</v>
      </c>
      <c r="B1644" s="1">
        <v>2400016727</v>
      </c>
      <c r="C1644" s="1">
        <v>24</v>
      </c>
      <c r="D1644" s="1" t="s">
        <v>910</v>
      </c>
      <c r="E1644" t="s">
        <v>3484</v>
      </c>
      <c r="F1644" s="1">
        <v>79624</v>
      </c>
      <c r="G1644" s="1">
        <v>2400000365</v>
      </c>
      <c r="H1644" s="1">
        <v>24</v>
      </c>
      <c r="I1644" s="1" t="s">
        <v>3272</v>
      </c>
      <c r="J1644" t="s">
        <v>3519</v>
      </c>
    </row>
    <row r="1645" spans="1:10">
      <c r="A1645" s="1">
        <v>445767</v>
      </c>
      <c r="B1645" s="1">
        <v>2400002560</v>
      </c>
      <c r="C1645" s="1">
        <v>12</v>
      </c>
      <c r="D1645" s="1" t="s">
        <v>381</v>
      </c>
      <c r="E1645" t="s">
        <v>3485</v>
      </c>
      <c r="F1645" s="1">
        <v>75820</v>
      </c>
      <c r="G1645" s="1">
        <v>2400001414</v>
      </c>
      <c r="H1645" s="1">
        <v>12</v>
      </c>
      <c r="I1645" s="1" t="s">
        <v>3272</v>
      </c>
      <c r="J1645" t="s">
        <v>3520</v>
      </c>
    </row>
    <row r="1646" spans="1:10">
      <c r="A1646" s="1">
        <v>78972</v>
      </c>
      <c r="B1646" s="1">
        <v>2400001022</v>
      </c>
      <c r="C1646" s="1">
        <v>12</v>
      </c>
      <c r="D1646" s="1" t="s">
        <v>3271</v>
      </c>
      <c r="E1646" t="s">
        <v>3486</v>
      </c>
      <c r="F1646" s="1">
        <v>72736</v>
      </c>
      <c r="G1646" s="1">
        <v>2400003558</v>
      </c>
      <c r="H1646" s="1">
        <v>6</v>
      </c>
      <c r="I1646" s="1" t="s">
        <v>381</v>
      </c>
      <c r="J1646" t="s">
        <v>3521</v>
      </c>
    </row>
    <row r="1647" spans="1:10">
      <c r="A1647" s="1">
        <v>78477</v>
      </c>
      <c r="B1647" s="1">
        <v>2400001746</v>
      </c>
      <c r="C1647" s="1">
        <v>12</v>
      </c>
      <c r="D1647" s="1" t="s">
        <v>3271</v>
      </c>
      <c r="E1647" t="s">
        <v>3487</v>
      </c>
      <c r="F1647" s="1">
        <v>80382</v>
      </c>
      <c r="G1647" s="1">
        <v>3890000619</v>
      </c>
      <c r="H1647" s="1">
        <v>24</v>
      </c>
      <c r="I1647" s="1" t="s">
        <v>399</v>
      </c>
      <c r="J1647" t="s">
        <v>3522</v>
      </c>
    </row>
    <row r="1648" spans="1:10">
      <c r="A1648" s="1">
        <v>80655</v>
      </c>
      <c r="B1648" s="1">
        <v>2400002797</v>
      </c>
      <c r="C1648" s="1">
        <v>12</v>
      </c>
      <c r="D1648" s="1" t="s">
        <v>365</v>
      </c>
      <c r="E1648" t="s">
        <v>3488</v>
      </c>
      <c r="F1648" s="1">
        <v>80416</v>
      </c>
      <c r="G1648" s="1">
        <v>3890000473</v>
      </c>
      <c r="H1648" s="1">
        <v>24</v>
      </c>
      <c r="I1648" s="1" t="s">
        <v>938</v>
      </c>
      <c r="J1648" t="s">
        <v>3523</v>
      </c>
    </row>
    <row r="1649" spans="1:10">
      <c r="A1649" s="1">
        <v>80648</v>
      </c>
      <c r="B1649" s="1">
        <v>2400016729</v>
      </c>
      <c r="C1649" s="1">
        <v>24</v>
      </c>
      <c r="D1649" s="1" t="s">
        <v>1037</v>
      </c>
      <c r="E1649" t="s">
        <v>3489</v>
      </c>
      <c r="F1649" s="1">
        <v>325183</v>
      </c>
      <c r="G1649" s="1">
        <v>3890000462</v>
      </c>
      <c r="H1649" s="1">
        <v>24</v>
      </c>
      <c r="I1649" s="1" t="s">
        <v>938</v>
      </c>
      <c r="J1649" t="s">
        <v>3524</v>
      </c>
    </row>
    <row r="1650" spans="1:10">
      <c r="A1650" s="1">
        <v>79194</v>
      </c>
      <c r="B1650" s="1">
        <v>2400002145</v>
      </c>
      <c r="C1650" s="1">
        <v>12</v>
      </c>
      <c r="D1650" s="1" t="s">
        <v>3272</v>
      </c>
      <c r="E1650" t="s">
        <v>3490</v>
      </c>
      <c r="F1650" s="1">
        <v>80366</v>
      </c>
      <c r="G1650" s="1">
        <v>3890000469</v>
      </c>
      <c r="H1650" s="1">
        <v>24</v>
      </c>
      <c r="I1650" s="1" t="s">
        <v>399</v>
      </c>
      <c r="J1650" t="s">
        <v>3525</v>
      </c>
    </row>
    <row r="1651" spans="1:10">
      <c r="A1651" s="1">
        <v>41434</v>
      </c>
      <c r="B1651" s="1">
        <v>3890002900</v>
      </c>
      <c r="C1651" s="1">
        <v>6</v>
      </c>
      <c r="D1651" s="1" t="s">
        <v>381</v>
      </c>
      <c r="E1651" t="s">
        <v>3491</v>
      </c>
      <c r="F1651" s="1">
        <v>40527</v>
      </c>
      <c r="G1651" s="1">
        <v>3890003096</v>
      </c>
      <c r="H1651" s="1">
        <v>8</v>
      </c>
      <c r="I1651" s="1" t="s">
        <v>3284</v>
      </c>
      <c r="J1651" t="s">
        <v>3526</v>
      </c>
    </row>
    <row r="1652" spans="1:10">
      <c r="A1652" s="1">
        <v>408153</v>
      </c>
      <c r="B1652" s="1">
        <v>2130016139</v>
      </c>
      <c r="C1652" s="1">
        <v>12</v>
      </c>
      <c r="D1652" s="1" t="s">
        <v>910</v>
      </c>
      <c r="E1652" t="s">
        <v>3492</v>
      </c>
      <c r="F1652" s="1">
        <v>80424</v>
      </c>
      <c r="G1652" s="1">
        <v>3890000613</v>
      </c>
      <c r="H1652" s="1">
        <v>24</v>
      </c>
      <c r="I1652" s="1" t="s">
        <v>938</v>
      </c>
      <c r="J1652" t="s">
        <v>3527</v>
      </c>
    </row>
    <row r="1653" spans="1:10">
      <c r="A1653" s="1">
        <v>257345</v>
      </c>
      <c r="B1653" s="1">
        <v>7402700262</v>
      </c>
      <c r="C1653" s="1">
        <v>12</v>
      </c>
      <c r="D1653" s="1" t="s">
        <v>397</v>
      </c>
      <c r="E1653" t="s">
        <v>3493</v>
      </c>
      <c r="F1653" s="1">
        <v>80408</v>
      </c>
      <c r="G1653" s="1">
        <v>3890000143</v>
      </c>
      <c r="H1653" s="1">
        <v>24</v>
      </c>
      <c r="I1653" s="1" t="s">
        <v>938</v>
      </c>
      <c r="J1653" t="s">
        <v>3528</v>
      </c>
    </row>
    <row r="1654" spans="1:10">
      <c r="A1654" s="1">
        <v>78709</v>
      </c>
      <c r="B1654" s="1">
        <v>1116607870</v>
      </c>
      <c r="C1654" s="1">
        <v>24</v>
      </c>
      <c r="D1654" s="1" t="s">
        <v>365</v>
      </c>
      <c r="E1654" t="s">
        <v>3494</v>
      </c>
      <c r="F1654" s="1">
        <v>80341</v>
      </c>
      <c r="G1654" s="1">
        <v>3890000139</v>
      </c>
      <c r="H1654" s="1">
        <v>24</v>
      </c>
      <c r="I1654" s="1" t="s">
        <v>399</v>
      </c>
      <c r="J1654" t="s">
        <v>3528</v>
      </c>
    </row>
    <row r="1655" spans="1:10">
      <c r="A1655" s="1">
        <v>78766</v>
      </c>
      <c r="B1655" s="1">
        <v>1116607876</v>
      </c>
      <c r="C1655" s="1">
        <v>24</v>
      </c>
      <c r="D1655" s="1" t="s">
        <v>1037</v>
      </c>
      <c r="E1655" t="s">
        <v>3495</v>
      </c>
      <c r="F1655" s="1">
        <v>41913</v>
      </c>
      <c r="G1655" s="1">
        <v>3890003031</v>
      </c>
      <c r="H1655" s="1">
        <v>6</v>
      </c>
      <c r="I1655" s="1" t="s">
        <v>778</v>
      </c>
      <c r="J1655" t="s">
        <v>3529</v>
      </c>
    </row>
    <row r="1656" spans="1:10">
      <c r="A1656" s="1">
        <v>78469</v>
      </c>
      <c r="B1656" s="1">
        <v>1116607896</v>
      </c>
      <c r="C1656" s="1">
        <v>12</v>
      </c>
      <c r="D1656" s="1" t="s">
        <v>3271</v>
      </c>
      <c r="E1656" t="s">
        <v>3496</v>
      </c>
      <c r="F1656" s="1">
        <v>41756</v>
      </c>
      <c r="G1656" s="1">
        <v>3890000407</v>
      </c>
      <c r="H1656" s="1">
        <v>6</v>
      </c>
      <c r="I1656" s="1" t="s">
        <v>381</v>
      </c>
      <c r="J1656" t="s">
        <v>3530</v>
      </c>
    </row>
    <row r="1657" spans="1:10">
      <c r="A1657" s="1">
        <v>78758</v>
      </c>
      <c r="B1657" s="1">
        <v>1116607875</v>
      </c>
      <c r="C1657" s="1">
        <v>24</v>
      </c>
      <c r="D1657" s="1" t="s">
        <v>910</v>
      </c>
      <c r="E1657" t="s">
        <v>3497</v>
      </c>
      <c r="F1657" s="1">
        <v>535500</v>
      </c>
      <c r="G1657" s="1">
        <v>7402700263</v>
      </c>
      <c r="H1657" s="1">
        <v>12</v>
      </c>
      <c r="I1657" s="1" t="s">
        <v>397</v>
      </c>
      <c r="J1657" t="s">
        <v>3531</v>
      </c>
    </row>
    <row r="1658" spans="1:10">
      <c r="A1658" s="1">
        <v>59105</v>
      </c>
      <c r="B1658" s="1">
        <v>4113030140</v>
      </c>
      <c r="C1658" s="1">
        <v>12</v>
      </c>
      <c r="D1658" s="1" t="s">
        <v>3271</v>
      </c>
      <c r="E1658" t="s">
        <v>3498</v>
      </c>
      <c r="F1658" s="1">
        <v>79657</v>
      </c>
      <c r="G1658" s="1">
        <v>1116607965</v>
      </c>
      <c r="H1658" s="1">
        <v>24</v>
      </c>
      <c r="I1658" s="1" t="s">
        <v>938</v>
      </c>
      <c r="J1658" t="s">
        <v>3532</v>
      </c>
    </row>
    <row r="1659" spans="1:10" ht="15.75">
      <c r="A1659" s="4" t="s">
        <v>10717</v>
      </c>
      <c r="B1659" s="2"/>
      <c r="C1659" s="2"/>
      <c r="D1659" s="2"/>
      <c r="E1659" s="3"/>
      <c r="F1659" s="1">
        <v>79632</v>
      </c>
      <c r="G1659" s="1">
        <v>1116607963</v>
      </c>
      <c r="H1659" s="1">
        <v>24</v>
      </c>
      <c r="I1659" s="1" t="s">
        <v>938</v>
      </c>
      <c r="J1659" t="s">
        <v>3533</v>
      </c>
    </row>
    <row r="1660" spans="1:10">
      <c r="A1660" s="2" t="s">
        <v>0</v>
      </c>
      <c r="B1660" s="2" t="s">
        <v>1</v>
      </c>
      <c r="C1660" s="2" t="s">
        <v>2</v>
      </c>
      <c r="D1660" s="2" t="s">
        <v>3</v>
      </c>
      <c r="E1660" s="3" t="s">
        <v>4</v>
      </c>
      <c r="F1660" s="1">
        <v>79640</v>
      </c>
      <c r="G1660" s="1">
        <v>1116607964</v>
      </c>
      <c r="H1660" s="1">
        <v>24</v>
      </c>
      <c r="I1660" s="1" t="s">
        <v>938</v>
      </c>
      <c r="J1660" t="s">
        <v>3534</v>
      </c>
    </row>
    <row r="1661" spans="1:10" ht="15.75">
      <c r="A1661" s="1">
        <v>72470</v>
      </c>
      <c r="B1661" s="1">
        <v>2850010020</v>
      </c>
      <c r="C1661" s="1">
        <v>12</v>
      </c>
      <c r="D1661" s="1" t="s">
        <v>908</v>
      </c>
      <c r="E1661" t="s">
        <v>3499</v>
      </c>
      <c r="F1661" s="4" t="s">
        <v>10719</v>
      </c>
      <c r="G1661" s="2"/>
      <c r="H1661" s="2"/>
      <c r="I1661" s="2"/>
      <c r="J1661" s="3"/>
    </row>
    <row r="1662" spans="1:10">
      <c r="A1662" s="1">
        <v>72868</v>
      </c>
      <c r="B1662" s="1">
        <v>2850010030</v>
      </c>
      <c r="C1662" s="1">
        <v>12</v>
      </c>
      <c r="D1662" s="1" t="s">
        <v>1198</v>
      </c>
      <c r="E1662" t="s">
        <v>3500</v>
      </c>
      <c r="F1662" s="2" t="s">
        <v>0</v>
      </c>
      <c r="G1662" s="2" t="s">
        <v>1</v>
      </c>
      <c r="H1662" s="2" t="s">
        <v>2</v>
      </c>
      <c r="I1662" s="2" t="s">
        <v>3</v>
      </c>
      <c r="J1662" s="3" t="s">
        <v>4</v>
      </c>
    </row>
    <row r="1663" spans="1:10">
      <c r="A1663" s="1">
        <v>72108</v>
      </c>
      <c r="B1663" s="1">
        <v>2850010225</v>
      </c>
      <c r="C1663" s="1">
        <v>12</v>
      </c>
      <c r="D1663" s="1" t="s">
        <v>938</v>
      </c>
      <c r="E1663" t="s">
        <v>3501</v>
      </c>
      <c r="F1663" s="1">
        <v>81612</v>
      </c>
      <c r="G1663" s="1">
        <v>7570004502</v>
      </c>
      <c r="H1663" s="1">
        <v>12</v>
      </c>
      <c r="I1663" s="1" t="s">
        <v>399</v>
      </c>
      <c r="J1663" t="s">
        <v>3535</v>
      </c>
    </row>
    <row r="1664" spans="1:10">
      <c r="A1664" s="1">
        <v>72553</v>
      </c>
      <c r="B1664" s="1">
        <v>2850010040</v>
      </c>
      <c r="C1664" s="1">
        <v>12</v>
      </c>
      <c r="D1664" s="1" t="s">
        <v>908</v>
      </c>
      <c r="E1664" t="s">
        <v>3502</v>
      </c>
      <c r="F1664" s="1">
        <v>81620</v>
      </c>
      <c r="G1664" s="1">
        <v>7570004500</v>
      </c>
      <c r="H1664" s="1">
        <v>12</v>
      </c>
      <c r="I1664" s="1" t="s">
        <v>399</v>
      </c>
      <c r="J1664" t="s">
        <v>3536</v>
      </c>
    </row>
    <row r="1665" spans="1:10">
      <c r="A1665" s="1">
        <v>72504</v>
      </c>
      <c r="B1665" s="1">
        <v>2850010245</v>
      </c>
      <c r="C1665" s="1">
        <v>12</v>
      </c>
      <c r="D1665" s="1" t="s">
        <v>908</v>
      </c>
      <c r="E1665" t="s">
        <v>3503</v>
      </c>
      <c r="F1665" s="1">
        <v>82255</v>
      </c>
      <c r="G1665" s="1">
        <v>7570003208</v>
      </c>
      <c r="H1665" s="1">
        <v>12</v>
      </c>
      <c r="I1665" s="1" t="s">
        <v>347</v>
      </c>
      <c r="J1665" t="s">
        <v>3537</v>
      </c>
    </row>
    <row r="1666" spans="1:10">
      <c r="A1666" s="1">
        <v>590182</v>
      </c>
      <c r="B1666" s="1">
        <v>2850010060</v>
      </c>
      <c r="C1666" s="1">
        <v>12</v>
      </c>
      <c r="D1666" s="1" t="s">
        <v>908</v>
      </c>
      <c r="E1666" t="s">
        <v>3504</v>
      </c>
      <c r="F1666" s="1">
        <v>386847</v>
      </c>
      <c r="G1666" s="1">
        <v>7912632965</v>
      </c>
      <c r="H1666" s="1">
        <v>12</v>
      </c>
      <c r="I1666" s="1" t="s">
        <v>558</v>
      </c>
      <c r="J1666" t="s">
        <v>3538</v>
      </c>
    </row>
    <row r="1667" spans="1:10">
      <c r="A1667" s="1">
        <v>409748</v>
      </c>
      <c r="B1667" s="1">
        <v>2850010025</v>
      </c>
      <c r="C1667" s="1">
        <v>12</v>
      </c>
      <c r="D1667" s="1" t="s">
        <v>908</v>
      </c>
      <c r="E1667" t="s">
        <v>3505</v>
      </c>
      <c r="F1667" s="1">
        <v>92759</v>
      </c>
      <c r="G1667" s="1">
        <v>7912633002</v>
      </c>
      <c r="H1667" s="1">
        <v>12</v>
      </c>
      <c r="I1667" s="1" t="s">
        <v>558</v>
      </c>
      <c r="J1667" t="s">
        <v>3539</v>
      </c>
    </row>
    <row r="1668" spans="1:10">
      <c r="A1668" s="1">
        <v>174342</v>
      </c>
      <c r="B1668" s="1">
        <v>3900004504</v>
      </c>
      <c r="C1668" s="1">
        <v>24</v>
      </c>
      <c r="D1668" s="1" t="s">
        <v>910</v>
      </c>
      <c r="E1668" t="s">
        <v>3506</v>
      </c>
      <c r="F1668" s="1">
        <v>497958</v>
      </c>
      <c r="G1668" s="1">
        <v>7912633095</v>
      </c>
      <c r="H1668" s="1">
        <v>12</v>
      </c>
      <c r="I1668" s="1" t="s">
        <v>558</v>
      </c>
      <c r="J1668" t="s">
        <v>3540</v>
      </c>
    </row>
    <row r="1669" spans="1:10">
      <c r="A1669" s="1">
        <v>72769</v>
      </c>
      <c r="B1669" s="1">
        <v>3900004521</v>
      </c>
      <c r="C1669" s="1">
        <v>12</v>
      </c>
      <c r="D1669" s="1" t="s">
        <v>469</v>
      </c>
      <c r="E1669" t="s">
        <v>3507</v>
      </c>
      <c r="F1669" s="1">
        <v>76745</v>
      </c>
      <c r="G1669" s="1">
        <v>3120000231</v>
      </c>
      <c r="H1669" s="1">
        <v>12</v>
      </c>
      <c r="I1669" s="1" t="s">
        <v>404</v>
      </c>
      <c r="J1669" t="s">
        <v>3541</v>
      </c>
    </row>
    <row r="1670" spans="1:10">
      <c r="A1670" s="1">
        <v>153494</v>
      </c>
      <c r="B1670" s="1">
        <v>3900004512</v>
      </c>
      <c r="C1670" s="1">
        <v>12</v>
      </c>
      <c r="D1670" s="1" t="s">
        <v>3271</v>
      </c>
      <c r="E1670" t="s">
        <v>3508</v>
      </c>
      <c r="F1670" s="1">
        <v>709246</v>
      </c>
      <c r="G1670" s="1">
        <v>3120029450</v>
      </c>
      <c r="H1670" s="1">
        <v>12</v>
      </c>
      <c r="I1670" s="1" t="s">
        <v>347</v>
      </c>
      <c r="J1670" t="s">
        <v>3542</v>
      </c>
    </row>
    <row r="1671" spans="1:10">
      <c r="A1671" s="1">
        <v>72496</v>
      </c>
      <c r="B1671" s="1">
        <v>2850010005</v>
      </c>
      <c r="C1671" s="1">
        <v>12</v>
      </c>
      <c r="D1671" s="1" t="s">
        <v>908</v>
      </c>
      <c r="E1671" t="s">
        <v>3509</v>
      </c>
      <c r="F1671" s="1">
        <v>74799</v>
      </c>
      <c r="G1671" s="1">
        <v>3120000159</v>
      </c>
      <c r="H1671" s="1">
        <v>12</v>
      </c>
      <c r="I1671" s="1" t="s">
        <v>404</v>
      </c>
      <c r="J1671" t="s">
        <v>3543</v>
      </c>
    </row>
    <row r="1672" spans="1:10">
      <c r="A1672" s="1">
        <v>73643</v>
      </c>
      <c r="B1672" s="1">
        <v>1116607364</v>
      </c>
      <c r="C1672" s="1">
        <v>12</v>
      </c>
      <c r="D1672" s="1" t="s">
        <v>908</v>
      </c>
      <c r="E1672" t="s">
        <v>3510</v>
      </c>
      <c r="F1672" s="1">
        <v>870386</v>
      </c>
      <c r="G1672" s="1">
        <v>3120029451</v>
      </c>
      <c r="H1672" s="1">
        <v>12</v>
      </c>
      <c r="I1672" s="1" t="s">
        <v>404</v>
      </c>
      <c r="J1672" t="s">
        <v>3544</v>
      </c>
    </row>
    <row r="1673" spans="1:10">
      <c r="A1673" s="1">
        <v>73650</v>
      </c>
      <c r="B1673" s="1">
        <v>1116607365</v>
      </c>
      <c r="C1673" s="1">
        <v>12</v>
      </c>
      <c r="D1673" s="1" t="s">
        <v>938</v>
      </c>
      <c r="E1673" t="s">
        <v>3511</v>
      </c>
      <c r="F1673" s="1">
        <v>76810</v>
      </c>
      <c r="G1673" s="1">
        <v>3120000178</v>
      </c>
      <c r="H1673" s="1">
        <v>12</v>
      </c>
      <c r="I1673" s="1" t="s">
        <v>404</v>
      </c>
      <c r="J1673" t="s">
        <v>3545</v>
      </c>
    </row>
    <row r="1674" spans="1:10">
      <c r="A1674" s="1">
        <v>73700</v>
      </c>
      <c r="B1674" s="1">
        <v>1116607370</v>
      </c>
      <c r="C1674" s="1">
        <v>12</v>
      </c>
      <c r="D1674" s="1" t="s">
        <v>908</v>
      </c>
      <c r="E1674" t="s">
        <v>3512</v>
      </c>
      <c r="F1674" s="1">
        <v>76711</v>
      </c>
      <c r="G1674" s="1">
        <v>3120000179</v>
      </c>
      <c r="H1674" s="1">
        <v>12</v>
      </c>
      <c r="I1674" s="1" t="s">
        <v>404</v>
      </c>
      <c r="J1674" t="s">
        <v>3546</v>
      </c>
    </row>
    <row r="1675" spans="1:10" ht="15.75">
      <c r="A1675" s="4" t="s">
        <v>10718</v>
      </c>
      <c r="B1675" s="2"/>
      <c r="C1675" s="2"/>
      <c r="D1675" s="2"/>
      <c r="E1675" s="3"/>
      <c r="F1675" s="1">
        <v>82008</v>
      </c>
      <c r="G1675" s="1">
        <v>1116608200</v>
      </c>
      <c r="H1675" s="1">
        <v>24</v>
      </c>
      <c r="I1675" s="1" t="s">
        <v>347</v>
      </c>
      <c r="J1675" t="s">
        <v>3547</v>
      </c>
    </row>
    <row r="1676" spans="1:10">
      <c r="A1676" s="2" t="s">
        <v>0</v>
      </c>
      <c r="B1676" s="2" t="s">
        <v>1</v>
      </c>
      <c r="C1676" s="2" t="s">
        <v>2</v>
      </c>
      <c r="D1676" s="2" t="s">
        <v>3</v>
      </c>
      <c r="E1676" s="3" t="s">
        <v>4</v>
      </c>
      <c r="F1676" s="1">
        <v>83279</v>
      </c>
      <c r="G1676" s="1">
        <v>1116608327</v>
      </c>
      <c r="H1676" s="1">
        <v>24</v>
      </c>
      <c r="I1676" s="1" t="s">
        <v>546</v>
      </c>
      <c r="J1676" t="s">
        <v>3548</v>
      </c>
    </row>
    <row r="1677" spans="1:10">
      <c r="A1677" s="1">
        <v>880310</v>
      </c>
      <c r="B1677" s="1">
        <v>2400000164</v>
      </c>
      <c r="C1677" s="1">
        <v>12</v>
      </c>
      <c r="D1677" s="1" t="s">
        <v>938</v>
      </c>
      <c r="E1677" t="s">
        <v>3513</v>
      </c>
      <c r="F1677" s="1">
        <v>82206</v>
      </c>
      <c r="G1677" s="1">
        <v>1116608220</v>
      </c>
      <c r="H1677" s="1">
        <v>12</v>
      </c>
      <c r="I1677" s="1" t="s">
        <v>439</v>
      </c>
      <c r="J1677" t="s">
        <v>3549</v>
      </c>
    </row>
    <row r="1678" spans="1:10">
      <c r="A1678" s="1">
        <v>828608</v>
      </c>
      <c r="B1678" s="1">
        <v>2400000165</v>
      </c>
      <c r="C1678" s="1">
        <v>12</v>
      </c>
      <c r="D1678" s="1" t="s">
        <v>938</v>
      </c>
      <c r="E1678" t="s">
        <v>3514</v>
      </c>
      <c r="F1678" s="1">
        <v>83659</v>
      </c>
      <c r="G1678" s="1">
        <v>1116608365</v>
      </c>
      <c r="H1678" s="1">
        <v>24</v>
      </c>
      <c r="I1678" s="1" t="s">
        <v>347</v>
      </c>
      <c r="J1678" t="s">
        <v>3550</v>
      </c>
    </row>
    <row r="1679" spans="1:10">
      <c r="A1679" s="1">
        <v>524587</v>
      </c>
      <c r="B1679" s="1">
        <v>2400001185</v>
      </c>
      <c r="C1679" s="1">
        <v>12</v>
      </c>
      <c r="D1679" s="1" t="s">
        <v>938</v>
      </c>
      <c r="E1679" t="s">
        <v>3515</v>
      </c>
      <c r="F1679" s="1">
        <v>80499</v>
      </c>
      <c r="G1679" s="1">
        <v>4114307050</v>
      </c>
      <c r="H1679" s="1">
        <v>10</v>
      </c>
      <c r="I1679" s="1" t="s">
        <v>394</v>
      </c>
      <c r="J1679" t="s">
        <v>3551</v>
      </c>
    </row>
    <row r="1680" spans="1:10">
      <c r="A1680" s="1">
        <v>756536</v>
      </c>
      <c r="B1680" s="1">
        <v>2400001795</v>
      </c>
      <c r="C1680" s="1">
        <v>12</v>
      </c>
      <c r="D1680" s="1" t="s">
        <v>938</v>
      </c>
      <c r="E1680" t="s">
        <v>3516</v>
      </c>
      <c r="F1680" s="1">
        <v>81273</v>
      </c>
      <c r="G1680" s="1">
        <v>4114302230</v>
      </c>
      <c r="H1680" s="1">
        <v>12</v>
      </c>
      <c r="I1680" s="1" t="s">
        <v>404</v>
      </c>
      <c r="J1680" t="s">
        <v>3552</v>
      </c>
    </row>
    <row r="1681" spans="1:10">
      <c r="A1681" s="1">
        <v>79889</v>
      </c>
      <c r="B1681" s="1">
        <v>2400000168</v>
      </c>
      <c r="C1681" s="1">
        <v>24</v>
      </c>
      <c r="D1681" s="1" t="s">
        <v>399</v>
      </c>
      <c r="E1681" t="s">
        <v>3517</v>
      </c>
      <c r="F1681" s="1">
        <v>83600</v>
      </c>
      <c r="G1681" s="1">
        <v>4114307170</v>
      </c>
      <c r="H1681" s="1">
        <v>12</v>
      </c>
      <c r="I1681" s="1" t="s">
        <v>404</v>
      </c>
      <c r="J1681" t="s">
        <v>3553</v>
      </c>
    </row>
    <row r="1682" spans="1:10" ht="15.75">
      <c r="A1682" s="4" t="s">
        <v>10719</v>
      </c>
      <c r="B1682" s="2"/>
      <c r="C1682" s="2"/>
      <c r="D1682" s="2"/>
      <c r="E1682" s="3"/>
      <c r="F1682" s="4" t="s">
        <v>10720</v>
      </c>
      <c r="G1682" s="2"/>
      <c r="H1682" s="2"/>
      <c r="I1682" s="2"/>
      <c r="J1682" s="3"/>
    </row>
    <row r="1683" spans="1:10">
      <c r="A1683" s="2" t="s">
        <v>0</v>
      </c>
      <c r="B1683" s="2" t="s">
        <v>1</v>
      </c>
      <c r="C1683" s="2" t="s">
        <v>2</v>
      </c>
      <c r="D1683" s="2" t="s">
        <v>3</v>
      </c>
      <c r="E1683" s="3" t="s">
        <v>4</v>
      </c>
      <c r="F1683" s="2" t="s">
        <v>0</v>
      </c>
      <c r="G1683" s="2" t="s">
        <v>1</v>
      </c>
      <c r="H1683" s="2" t="s">
        <v>2</v>
      </c>
      <c r="I1683" s="2" t="s">
        <v>3</v>
      </c>
      <c r="J1683" s="3" t="s">
        <v>4</v>
      </c>
    </row>
    <row r="1684" spans="1:10">
      <c r="A1684" s="1">
        <v>571190</v>
      </c>
      <c r="B1684" s="1">
        <v>4114307200</v>
      </c>
      <c r="C1684" s="1">
        <v>12</v>
      </c>
      <c r="D1684" s="1" t="s">
        <v>404</v>
      </c>
      <c r="E1684" t="s">
        <v>3554</v>
      </c>
      <c r="F1684" s="1">
        <v>152553</v>
      </c>
      <c r="G1684" s="1">
        <v>2400003117</v>
      </c>
      <c r="H1684" s="1">
        <v>12</v>
      </c>
      <c r="I1684" s="1" t="s">
        <v>370</v>
      </c>
      <c r="J1684" t="s">
        <v>3592</v>
      </c>
    </row>
    <row r="1685" spans="1:10">
      <c r="A1685" s="1">
        <v>80002</v>
      </c>
      <c r="B1685" s="1">
        <v>4114308808</v>
      </c>
      <c r="C1685" s="1">
        <v>10</v>
      </c>
      <c r="D1685" s="1" t="s">
        <v>399</v>
      </c>
      <c r="E1685" t="s">
        <v>3555</v>
      </c>
      <c r="F1685" s="1">
        <v>152074</v>
      </c>
      <c r="G1685" s="1">
        <v>2400011779</v>
      </c>
      <c r="H1685" s="1">
        <v>12</v>
      </c>
      <c r="I1685" s="1" t="s">
        <v>347</v>
      </c>
      <c r="J1685" t="s">
        <v>3593</v>
      </c>
    </row>
    <row r="1686" spans="1:10">
      <c r="A1686" s="1">
        <v>82297</v>
      </c>
      <c r="B1686" s="1">
        <v>4114307190</v>
      </c>
      <c r="C1686" s="1">
        <v>12</v>
      </c>
      <c r="D1686" s="1" t="s">
        <v>404</v>
      </c>
      <c r="E1686" t="s">
        <v>3556</v>
      </c>
      <c r="F1686" s="1">
        <v>669887</v>
      </c>
      <c r="G1686" s="1">
        <v>2000010434</v>
      </c>
      <c r="H1686" s="1">
        <v>12</v>
      </c>
      <c r="I1686" s="1" t="s">
        <v>370</v>
      </c>
      <c r="J1686" t="s">
        <v>3594</v>
      </c>
    </row>
    <row r="1687" spans="1:10">
      <c r="A1687" s="1">
        <v>409706</v>
      </c>
      <c r="B1687" s="1">
        <v>4114307140</v>
      </c>
      <c r="C1687" s="1">
        <v>12</v>
      </c>
      <c r="D1687" s="1" t="s">
        <v>404</v>
      </c>
      <c r="E1687" t="s">
        <v>3557</v>
      </c>
      <c r="F1687" s="1">
        <v>152058</v>
      </c>
      <c r="G1687" s="1">
        <v>2000010039</v>
      </c>
      <c r="H1687" s="1">
        <v>12</v>
      </c>
      <c r="I1687" s="1" t="s">
        <v>910</v>
      </c>
      <c r="J1687" t="s">
        <v>3595</v>
      </c>
    </row>
    <row r="1688" spans="1:10">
      <c r="A1688" s="1">
        <v>83717</v>
      </c>
      <c r="B1688" s="1">
        <v>4114304100</v>
      </c>
      <c r="C1688" s="1">
        <v>12</v>
      </c>
      <c r="D1688" s="1" t="s">
        <v>489</v>
      </c>
      <c r="E1688" t="s">
        <v>3558</v>
      </c>
      <c r="F1688" s="1">
        <v>152041</v>
      </c>
      <c r="G1688" s="1">
        <v>1116615204</v>
      </c>
      <c r="H1688" s="1">
        <v>24</v>
      </c>
      <c r="I1688" s="1" t="s">
        <v>1409</v>
      </c>
      <c r="J1688" t="s">
        <v>3596</v>
      </c>
    </row>
    <row r="1689" spans="1:10">
      <c r="A1689" s="1">
        <v>81992</v>
      </c>
      <c r="B1689" s="1">
        <v>4114307000</v>
      </c>
      <c r="C1689" s="1">
        <v>12</v>
      </c>
      <c r="D1689" s="1" t="s">
        <v>360</v>
      </c>
      <c r="E1689" t="s">
        <v>3559</v>
      </c>
      <c r="F1689" s="1">
        <v>152538</v>
      </c>
      <c r="G1689" s="1">
        <v>1116615253</v>
      </c>
      <c r="H1689" s="1">
        <v>12</v>
      </c>
      <c r="I1689" s="1" t="s">
        <v>910</v>
      </c>
      <c r="J1689" t="s">
        <v>3597</v>
      </c>
    </row>
    <row r="1690" spans="1:10" ht="15.75">
      <c r="A1690" s="1">
        <v>81240</v>
      </c>
      <c r="B1690" s="1">
        <v>4114307120</v>
      </c>
      <c r="C1690" s="1">
        <v>12</v>
      </c>
      <c r="D1690" s="1" t="s">
        <v>404</v>
      </c>
      <c r="E1690" t="s">
        <v>3560</v>
      </c>
      <c r="F1690" s="4" t="s">
        <v>10721</v>
      </c>
      <c r="G1690" s="2"/>
      <c r="H1690" s="2"/>
      <c r="I1690" s="2"/>
      <c r="J1690" s="3"/>
    </row>
    <row r="1691" spans="1:10">
      <c r="A1691" s="1">
        <v>81745</v>
      </c>
      <c r="B1691" s="1">
        <v>4114308956</v>
      </c>
      <c r="C1691" s="1">
        <v>10</v>
      </c>
      <c r="D1691" s="1" t="s">
        <v>347</v>
      </c>
      <c r="E1691" t="s">
        <v>3561</v>
      </c>
      <c r="F1691" s="2" t="s">
        <v>0</v>
      </c>
      <c r="G1691" s="2" t="s">
        <v>1</v>
      </c>
      <c r="H1691" s="2" t="s">
        <v>2</v>
      </c>
      <c r="I1691" s="2" t="s">
        <v>3</v>
      </c>
      <c r="J1691" s="3" t="s">
        <v>4</v>
      </c>
    </row>
    <row r="1692" spans="1:10">
      <c r="A1692" s="1">
        <v>83873</v>
      </c>
      <c r="B1692" s="1">
        <v>4114307571</v>
      </c>
      <c r="C1692" s="1">
        <v>12</v>
      </c>
      <c r="D1692" s="1" t="s">
        <v>910</v>
      </c>
      <c r="E1692" t="s">
        <v>3562</v>
      </c>
      <c r="F1692" s="1">
        <v>154823</v>
      </c>
      <c r="G1692" s="1">
        <v>4780033011</v>
      </c>
      <c r="H1692" s="1">
        <v>24</v>
      </c>
      <c r="I1692" s="1" t="s">
        <v>381</v>
      </c>
      <c r="J1692" t="s">
        <v>3598</v>
      </c>
    </row>
    <row r="1693" spans="1:10">
      <c r="A1693" s="1">
        <v>90522</v>
      </c>
      <c r="B1693" s="1">
        <v>4114307171</v>
      </c>
      <c r="C1693" s="1">
        <v>12</v>
      </c>
      <c r="D1693" s="1" t="s">
        <v>360</v>
      </c>
      <c r="E1693" t="s">
        <v>3563</v>
      </c>
      <c r="F1693" s="1">
        <v>443077</v>
      </c>
      <c r="G1693" s="1">
        <v>4780000035</v>
      </c>
      <c r="H1693" s="1">
        <v>12</v>
      </c>
      <c r="I1693" s="1" t="s">
        <v>632</v>
      </c>
      <c r="J1693" t="s">
        <v>3599</v>
      </c>
    </row>
    <row r="1694" spans="1:10">
      <c r="A1694" s="1">
        <v>497255</v>
      </c>
      <c r="B1694" s="1">
        <v>4114302570</v>
      </c>
      <c r="C1694" s="1">
        <v>18</v>
      </c>
      <c r="D1694" s="1" t="s">
        <v>360</v>
      </c>
      <c r="E1694" t="s">
        <v>3564</v>
      </c>
      <c r="F1694" s="1">
        <v>103226</v>
      </c>
      <c r="G1694" s="1">
        <v>3940001614</v>
      </c>
      <c r="H1694" s="1">
        <v>12</v>
      </c>
      <c r="I1694" s="1" t="s">
        <v>954</v>
      </c>
      <c r="J1694" t="s">
        <v>3600</v>
      </c>
    </row>
    <row r="1695" spans="1:10">
      <c r="A1695" s="1">
        <v>81497</v>
      </c>
      <c r="B1695" s="1">
        <v>4114307100</v>
      </c>
      <c r="C1695" s="1">
        <v>12</v>
      </c>
      <c r="D1695" s="1" t="s">
        <v>360</v>
      </c>
      <c r="E1695" t="s">
        <v>3565</v>
      </c>
      <c r="F1695" s="1">
        <v>783555</v>
      </c>
      <c r="G1695" s="1">
        <v>3940001628</v>
      </c>
      <c r="H1695" s="1">
        <v>6</v>
      </c>
      <c r="I1695" s="1" t="s">
        <v>3601</v>
      </c>
      <c r="J1695" t="s">
        <v>3602</v>
      </c>
    </row>
    <row r="1696" spans="1:10">
      <c r="A1696" s="1">
        <v>81380</v>
      </c>
      <c r="B1696" s="1">
        <v>4114307080</v>
      </c>
      <c r="C1696" s="1">
        <v>12</v>
      </c>
      <c r="D1696" s="1" t="s">
        <v>404</v>
      </c>
      <c r="E1696" t="s">
        <v>3566</v>
      </c>
      <c r="F1696" s="1">
        <v>156380</v>
      </c>
      <c r="G1696" s="1">
        <v>3940001629</v>
      </c>
      <c r="H1696" s="1">
        <v>12</v>
      </c>
      <c r="I1696" s="1" t="s">
        <v>3603</v>
      </c>
      <c r="J1696" t="s">
        <v>3604</v>
      </c>
    </row>
    <row r="1697" spans="1:10">
      <c r="A1697" s="1">
        <v>426403</v>
      </c>
      <c r="B1697" s="1">
        <v>4114307020</v>
      </c>
      <c r="C1697" s="1">
        <v>12</v>
      </c>
      <c r="D1697" s="1" t="s">
        <v>404</v>
      </c>
      <c r="E1697" t="s">
        <v>3567</v>
      </c>
      <c r="F1697" s="1">
        <v>154567</v>
      </c>
      <c r="G1697" s="1">
        <v>3940001617</v>
      </c>
      <c r="H1697" s="1">
        <v>12</v>
      </c>
      <c r="I1697" s="1" t="s">
        <v>3603</v>
      </c>
      <c r="J1697" t="s">
        <v>3605</v>
      </c>
    </row>
    <row r="1698" spans="1:10">
      <c r="A1698" s="1">
        <v>85662</v>
      </c>
      <c r="B1698" s="1">
        <v>4114309867</v>
      </c>
      <c r="C1698" s="1">
        <v>12</v>
      </c>
      <c r="D1698" s="1" t="s">
        <v>381</v>
      </c>
      <c r="E1698" t="s">
        <v>3568</v>
      </c>
      <c r="F1698" s="1">
        <v>89532</v>
      </c>
      <c r="G1698" s="1">
        <v>3940001956</v>
      </c>
      <c r="H1698" s="1">
        <v>12</v>
      </c>
      <c r="I1698" s="1" t="s">
        <v>954</v>
      </c>
      <c r="J1698" t="s">
        <v>3606</v>
      </c>
    </row>
    <row r="1699" spans="1:10">
      <c r="A1699" s="1">
        <v>85803</v>
      </c>
      <c r="B1699" s="1">
        <v>4114309908</v>
      </c>
      <c r="C1699" s="1">
        <v>12</v>
      </c>
      <c r="D1699" s="1" t="s">
        <v>399</v>
      </c>
      <c r="E1699" t="s">
        <v>3568</v>
      </c>
      <c r="F1699" s="1">
        <v>103648</v>
      </c>
      <c r="G1699" s="1">
        <v>3940001970</v>
      </c>
      <c r="H1699" s="1">
        <v>12</v>
      </c>
      <c r="I1699" s="1" t="s">
        <v>954</v>
      </c>
      <c r="J1699" t="s">
        <v>3607</v>
      </c>
    </row>
    <row r="1700" spans="1:10">
      <c r="A1700" s="1">
        <v>83444</v>
      </c>
      <c r="B1700" s="1">
        <v>4114302010</v>
      </c>
      <c r="C1700" s="1">
        <v>24</v>
      </c>
      <c r="D1700" s="1" t="s">
        <v>3569</v>
      </c>
      <c r="E1700" t="s">
        <v>3570</v>
      </c>
      <c r="F1700" s="1">
        <v>259820</v>
      </c>
      <c r="G1700" s="1">
        <v>3940005500</v>
      </c>
      <c r="H1700" s="1">
        <v>12</v>
      </c>
      <c r="I1700" s="1" t="s">
        <v>358</v>
      </c>
      <c r="J1700" t="s">
        <v>3608</v>
      </c>
    </row>
    <row r="1701" spans="1:10">
      <c r="A1701" s="1">
        <v>83683</v>
      </c>
      <c r="B1701" s="1">
        <v>4114305160</v>
      </c>
      <c r="C1701" s="1">
        <v>24</v>
      </c>
      <c r="D1701" s="1" t="s">
        <v>910</v>
      </c>
      <c r="E1701" t="s">
        <v>3571</v>
      </c>
      <c r="F1701" s="1">
        <v>155150</v>
      </c>
      <c r="G1701" s="1">
        <v>3940001603</v>
      </c>
      <c r="H1701" s="1">
        <v>12</v>
      </c>
      <c r="I1701" s="1" t="s">
        <v>954</v>
      </c>
      <c r="J1701" t="s">
        <v>3609</v>
      </c>
    </row>
    <row r="1702" spans="1:10">
      <c r="A1702" s="1">
        <v>84764</v>
      </c>
      <c r="B1702" s="1">
        <v>4114302956</v>
      </c>
      <c r="C1702" s="1">
        <v>12</v>
      </c>
      <c r="D1702" s="1" t="s">
        <v>347</v>
      </c>
      <c r="E1702" t="s">
        <v>3572</v>
      </c>
      <c r="F1702" s="1">
        <v>155119</v>
      </c>
      <c r="G1702" s="1">
        <v>3940001594</v>
      </c>
      <c r="H1702" s="1">
        <v>12</v>
      </c>
      <c r="I1702" s="1" t="s">
        <v>954</v>
      </c>
      <c r="J1702" t="s">
        <v>3610</v>
      </c>
    </row>
    <row r="1703" spans="1:10">
      <c r="A1703" s="1">
        <v>82313</v>
      </c>
      <c r="B1703" s="1">
        <v>4114302870</v>
      </c>
      <c r="C1703" s="1">
        <v>12</v>
      </c>
      <c r="D1703" s="1" t="s">
        <v>439</v>
      </c>
      <c r="E1703" t="s">
        <v>3573</v>
      </c>
      <c r="F1703" s="1">
        <v>155135</v>
      </c>
      <c r="G1703" s="1">
        <v>3940001635</v>
      </c>
      <c r="H1703" s="1">
        <v>12</v>
      </c>
      <c r="I1703" s="1" t="s">
        <v>954</v>
      </c>
      <c r="J1703" t="s">
        <v>3611</v>
      </c>
    </row>
    <row r="1704" spans="1:10">
      <c r="A1704" s="1">
        <v>83543</v>
      </c>
      <c r="B1704" s="1">
        <v>4114302460</v>
      </c>
      <c r="C1704" s="1">
        <v>24</v>
      </c>
      <c r="D1704" s="1" t="s">
        <v>910</v>
      </c>
      <c r="E1704" t="s">
        <v>3574</v>
      </c>
      <c r="F1704" s="1">
        <v>155184</v>
      </c>
      <c r="G1704" s="1">
        <v>3940001960</v>
      </c>
      <c r="H1704" s="1">
        <v>12</v>
      </c>
      <c r="I1704" s="1" t="s">
        <v>954</v>
      </c>
      <c r="J1704" t="s">
        <v>3612</v>
      </c>
    </row>
    <row r="1705" spans="1:10">
      <c r="A1705" s="1">
        <v>83527</v>
      </c>
      <c r="B1705" s="1">
        <v>4114302450</v>
      </c>
      <c r="C1705" s="1">
        <v>24</v>
      </c>
      <c r="D1705" s="1" t="s">
        <v>546</v>
      </c>
      <c r="E1705" t="s">
        <v>3574</v>
      </c>
      <c r="F1705" s="1">
        <v>12237</v>
      </c>
      <c r="G1705" s="1">
        <v>3940001910</v>
      </c>
      <c r="H1705" s="1">
        <v>12</v>
      </c>
      <c r="I1705" s="1" t="s">
        <v>1198</v>
      </c>
      <c r="J1705" t="s">
        <v>3613</v>
      </c>
    </row>
    <row r="1706" spans="1:10">
      <c r="A1706" s="1">
        <v>208272</v>
      </c>
      <c r="B1706" s="1">
        <v>4114309290</v>
      </c>
      <c r="C1706" s="1">
        <v>12</v>
      </c>
      <c r="D1706" s="1" t="s">
        <v>404</v>
      </c>
      <c r="E1706" t="s">
        <v>3575</v>
      </c>
      <c r="F1706" s="1">
        <v>103184</v>
      </c>
      <c r="G1706" s="1">
        <v>3940001974</v>
      </c>
      <c r="H1706" s="1">
        <v>12</v>
      </c>
      <c r="I1706" s="1" t="s">
        <v>954</v>
      </c>
      <c r="J1706" t="s">
        <v>3614</v>
      </c>
    </row>
    <row r="1707" spans="1:10">
      <c r="A1707" s="1">
        <v>81505</v>
      </c>
      <c r="B1707" s="1">
        <v>4114307010</v>
      </c>
      <c r="C1707" s="1">
        <v>12</v>
      </c>
      <c r="D1707" s="1" t="s">
        <v>360</v>
      </c>
      <c r="E1707" t="s">
        <v>3576</v>
      </c>
      <c r="F1707" s="1">
        <v>307272</v>
      </c>
      <c r="G1707" s="1">
        <v>3940001972</v>
      </c>
      <c r="H1707" s="1">
        <v>12</v>
      </c>
      <c r="I1707" s="1" t="s">
        <v>381</v>
      </c>
      <c r="J1707" t="s">
        <v>3615</v>
      </c>
    </row>
    <row r="1708" spans="1:10">
      <c r="A1708" s="1">
        <v>81968</v>
      </c>
      <c r="B1708" s="1">
        <v>4114309270</v>
      </c>
      <c r="C1708" s="1">
        <v>12</v>
      </c>
      <c r="D1708" s="1" t="s">
        <v>399</v>
      </c>
      <c r="E1708" t="s">
        <v>3577</v>
      </c>
      <c r="F1708" s="1">
        <v>573345</v>
      </c>
      <c r="G1708" s="1">
        <v>3940001592</v>
      </c>
      <c r="H1708" s="1">
        <v>12</v>
      </c>
      <c r="I1708" s="1" t="s">
        <v>381</v>
      </c>
      <c r="J1708" t="s">
        <v>3616</v>
      </c>
    </row>
    <row r="1709" spans="1:10">
      <c r="A1709" s="1">
        <v>81760</v>
      </c>
      <c r="B1709" s="1">
        <v>4114309071</v>
      </c>
      <c r="C1709" s="1">
        <v>18</v>
      </c>
      <c r="D1709" s="1" t="s">
        <v>404</v>
      </c>
      <c r="E1709" t="s">
        <v>3578</v>
      </c>
      <c r="F1709" s="1">
        <v>434498</v>
      </c>
      <c r="G1709" s="1">
        <v>3940001984</v>
      </c>
      <c r="H1709" s="1">
        <v>12</v>
      </c>
      <c r="I1709" s="1" t="s">
        <v>381</v>
      </c>
      <c r="J1709" t="s">
        <v>3617</v>
      </c>
    </row>
    <row r="1710" spans="1:10">
      <c r="A1710" s="1">
        <v>500223</v>
      </c>
      <c r="B1710" s="1">
        <v>4114307240</v>
      </c>
      <c r="C1710" s="1">
        <v>12</v>
      </c>
      <c r="D1710" s="1" t="s">
        <v>360</v>
      </c>
      <c r="E1710" t="s">
        <v>3579</v>
      </c>
      <c r="F1710" s="1">
        <v>713883</v>
      </c>
      <c r="G1710" s="1">
        <v>3940001985</v>
      </c>
      <c r="H1710" s="1">
        <v>12</v>
      </c>
      <c r="I1710" s="1" t="s">
        <v>954</v>
      </c>
      <c r="J1710" t="s">
        <v>3617</v>
      </c>
    </row>
    <row r="1711" spans="1:10">
      <c r="A1711" s="1">
        <v>752436</v>
      </c>
      <c r="B1711" s="1">
        <v>4114307125</v>
      </c>
      <c r="C1711" s="1">
        <v>12</v>
      </c>
      <c r="D1711" s="1" t="s">
        <v>404</v>
      </c>
      <c r="E1711" t="s">
        <v>3580</v>
      </c>
      <c r="F1711" s="1">
        <v>180919</v>
      </c>
      <c r="G1711" s="1">
        <v>3940001969</v>
      </c>
      <c r="H1711" s="1">
        <v>12</v>
      </c>
      <c r="I1711" s="1" t="s">
        <v>381</v>
      </c>
      <c r="J1711" t="s">
        <v>3618</v>
      </c>
    </row>
    <row r="1712" spans="1:10">
      <c r="A1712" s="1">
        <v>432674</v>
      </c>
      <c r="B1712" s="1">
        <v>80276302889</v>
      </c>
      <c r="C1712" s="1">
        <v>12</v>
      </c>
      <c r="D1712" s="1" t="s">
        <v>546</v>
      </c>
      <c r="E1712" t="s">
        <v>3581</v>
      </c>
      <c r="F1712" s="1">
        <v>282731</v>
      </c>
      <c r="G1712" s="1">
        <v>3940001601</v>
      </c>
      <c r="H1712" s="1">
        <v>12</v>
      </c>
      <c r="I1712" s="1" t="s">
        <v>381</v>
      </c>
      <c r="J1712" t="s">
        <v>3619</v>
      </c>
    </row>
    <row r="1713" spans="1:10">
      <c r="A1713" s="1">
        <v>634709</v>
      </c>
      <c r="B1713" s="1">
        <v>7045008080</v>
      </c>
      <c r="C1713" s="1">
        <v>12</v>
      </c>
      <c r="D1713" s="1" t="s">
        <v>489</v>
      </c>
      <c r="E1713" t="s">
        <v>3582</v>
      </c>
      <c r="F1713" s="1">
        <v>562009</v>
      </c>
      <c r="G1713" s="1">
        <v>3940001612</v>
      </c>
      <c r="H1713" s="1">
        <v>12</v>
      </c>
      <c r="I1713" s="1" t="s">
        <v>381</v>
      </c>
      <c r="J1713" t="s">
        <v>3620</v>
      </c>
    </row>
    <row r="1714" spans="1:10">
      <c r="A1714" s="1">
        <v>753723</v>
      </c>
      <c r="B1714" s="1">
        <v>80276302882</v>
      </c>
      <c r="C1714" s="1">
        <v>12</v>
      </c>
      <c r="D1714" s="1" t="s">
        <v>632</v>
      </c>
      <c r="E1714" t="s">
        <v>3583</v>
      </c>
      <c r="F1714" s="1">
        <v>382853</v>
      </c>
      <c r="G1714" s="1">
        <v>3940001912</v>
      </c>
      <c r="H1714" s="1">
        <v>12</v>
      </c>
      <c r="I1714" s="1" t="s">
        <v>1198</v>
      </c>
      <c r="J1714" t="s">
        <v>3621</v>
      </c>
    </row>
    <row r="1715" spans="1:10">
      <c r="A1715" s="1">
        <v>281303</v>
      </c>
      <c r="B1715" s="1">
        <v>80276302880</v>
      </c>
      <c r="C1715" s="1">
        <v>12</v>
      </c>
      <c r="D1715" s="1" t="s">
        <v>632</v>
      </c>
      <c r="E1715" t="s">
        <v>3584</v>
      </c>
      <c r="F1715" s="1">
        <v>297523</v>
      </c>
      <c r="G1715" s="1">
        <v>3940001914</v>
      </c>
      <c r="H1715" s="1">
        <v>12</v>
      </c>
      <c r="I1715" s="1" t="s">
        <v>1198</v>
      </c>
      <c r="J1715" t="s">
        <v>3622</v>
      </c>
    </row>
    <row r="1716" spans="1:10">
      <c r="A1716" s="1">
        <v>113902</v>
      </c>
      <c r="B1716" s="1">
        <v>80276333120</v>
      </c>
      <c r="C1716" s="1">
        <v>10</v>
      </c>
      <c r="D1716" s="1" t="s">
        <v>360</v>
      </c>
      <c r="E1716" t="s">
        <v>3585</v>
      </c>
      <c r="F1716" s="1">
        <v>445841</v>
      </c>
      <c r="G1716" s="1">
        <v>3940001916</v>
      </c>
      <c r="H1716" s="1">
        <v>12</v>
      </c>
      <c r="I1716" s="1" t="s">
        <v>1198</v>
      </c>
      <c r="J1716" t="s">
        <v>3623</v>
      </c>
    </row>
    <row r="1717" spans="1:10">
      <c r="A1717" s="1">
        <v>858811</v>
      </c>
      <c r="B1717" s="1">
        <v>80276302862</v>
      </c>
      <c r="C1717" s="1">
        <v>12</v>
      </c>
      <c r="D1717" s="1" t="s">
        <v>360</v>
      </c>
      <c r="E1717" t="s">
        <v>3586</v>
      </c>
      <c r="F1717" s="1">
        <v>774273</v>
      </c>
      <c r="G1717" s="1">
        <v>3940001633</v>
      </c>
      <c r="H1717" s="1">
        <v>12</v>
      </c>
      <c r="I1717" s="1" t="s">
        <v>381</v>
      </c>
      <c r="J1717" t="s">
        <v>3624</v>
      </c>
    </row>
    <row r="1718" spans="1:10">
      <c r="A1718" s="1">
        <v>887067</v>
      </c>
      <c r="B1718" s="1">
        <v>80276304000</v>
      </c>
      <c r="C1718" s="1">
        <v>12</v>
      </c>
      <c r="D1718" s="1" t="s">
        <v>404</v>
      </c>
      <c r="E1718" t="s">
        <v>3587</v>
      </c>
      <c r="F1718" s="1">
        <v>153833</v>
      </c>
      <c r="G1718" s="1">
        <v>5100011285</v>
      </c>
      <c r="H1718" s="1">
        <v>24</v>
      </c>
      <c r="I1718" s="1" t="s">
        <v>363</v>
      </c>
      <c r="J1718" t="s">
        <v>3625</v>
      </c>
    </row>
    <row r="1719" spans="1:10">
      <c r="A1719" s="1">
        <v>268862</v>
      </c>
      <c r="B1719" s="1">
        <v>7045002049</v>
      </c>
      <c r="C1719" s="1">
        <v>12</v>
      </c>
      <c r="D1719" s="1" t="s">
        <v>546</v>
      </c>
      <c r="E1719" t="s">
        <v>3588</v>
      </c>
      <c r="F1719" s="1">
        <v>153999</v>
      </c>
      <c r="G1719" s="1">
        <v>5100002952</v>
      </c>
      <c r="H1719" s="1">
        <v>24</v>
      </c>
      <c r="I1719" s="1" t="s">
        <v>3626</v>
      </c>
      <c r="J1719" t="s">
        <v>3625</v>
      </c>
    </row>
    <row r="1720" spans="1:10">
      <c r="A1720" s="1">
        <v>625624</v>
      </c>
      <c r="B1720" s="1">
        <v>4180058200</v>
      </c>
      <c r="C1720" s="1">
        <v>12</v>
      </c>
      <c r="D1720" s="1" t="s">
        <v>404</v>
      </c>
      <c r="E1720" t="s">
        <v>3589</v>
      </c>
      <c r="F1720" s="1">
        <v>153981</v>
      </c>
      <c r="G1720" s="1">
        <v>5100002958</v>
      </c>
      <c r="H1720" s="1">
        <v>12</v>
      </c>
      <c r="I1720" s="1" t="s">
        <v>534</v>
      </c>
      <c r="J1720" t="s">
        <v>3625</v>
      </c>
    </row>
    <row r="1721" spans="1:10">
      <c r="A1721" s="1">
        <v>417402</v>
      </c>
      <c r="B1721" s="1">
        <v>4180058000</v>
      </c>
      <c r="C1721" s="1">
        <v>12</v>
      </c>
      <c r="D1721" s="1" t="s">
        <v>781</v>
      </c>
      <c r="E1721" t="s">
        <v>3590</v>
      </c>
      <c r="F1721" s="1">
        <v>153965</v>
      </c>
      <c r="G1721" s="1">
        <v>5100002954</v>
      </c>
      <c r="H1721" s="1">
        <v>12</v>
      </c>
      <c r="I1721" s="1" t="s">
        <v>954</v>
      </c>
      <c r="J1721" t="s">
        <v>3627</v>
      </c>
    </row>
    <row r="1722" spans="1:10">
      <c r="A1722" s="1">
        <v>416214</v>
      </c>
      <c r="B1722" s="1">
        <v>4180058050</v>
      </c>
      <c r="C1722" s="1">
        <v>12</v>
      </c>
      <c r="D1722" s="1" t="s">
        <v>404</v>
      </c>
      <c r="E1722" t="s">
        <v>3591</v>
      </c>
      <c r="F1722" s="1">
        <v>154179</v>
      </c>
      <c r="G1722" s="1">
        <v>5100002858</v>
      </c>
      <c r="H1722" s="1">
        <v>12</v>
      </c>
      <c r="I1722" s="1" t="s">
        <v>3628</v>
      </c>
      <c r="J1722" t="s">
        <v>3629</v>
      </c>
    </row>
    <row r="1723" spans="1:10" ht="15.75">
      <c r="A1723" s="4" t="s">
        <v>10721</v>
      </c>
      <c r="B1723" s="2"/>
      <c r="C1723" s="2"/>
      <c r="D1723" s="2"/>
      <c r="E1723" s="3"/>
      <c r="F1723" s="4" t="s">
        <v>10722</v>
      </c>
      <c r="G1723" s="2"/>
      <c r="H1723" s="2"/>
      <c r="I1723" s="2"/>
      <c r="J1723" s="3"/>
    </row>
    <row r="1724" spans="1:10">
      <c r="A1724" s="2" t="s">
        <v>0</v>
      </c>
      <c r="B1724" s="2" t="s">
        <v>1</v>
      </c>
      <c r="C1724" s="2" t="s">
        <v>2</v>
      </c>
      <c r="D1724" s="2" t="s">
        <v>3</v>
      </c>
      <c r="E1724" s="3" t="s">
        <v>4</v>
      </c>
      <c r="F1724" s="2" t="s">
        <v>0</v>
      </c>
      <c r="G1724" s="2" t="s">
        <v>1</v>
      </c>
      <c r="H1724" s="2" t="s">
        <v>2</v>
      </c>
      <c r="I1724" s="2" t="s">
        <v>3</v>
      </c>
      <c r="J1724" s="3" t="s">
        <v>4</v>
      </c>
    </row>
    <row r="1725" spans="1:10">
      <c r="A1725" s="1">
        <v>154898</v>
      </c>
      <c r="B1725" s="1">
        <v>2880013246</v>
      </c>
      <c r="C1725" s="1">
        <v>24</v>
      </c>
      <c r="D1725" s="1" t="s">
        <v>381</v>
      </c>
      <c r="E1725" t="s">
        <v>3630</v>
      </c>
      <c r="F1725" s="1">
        <v>411751</v>
      </c>
      <c r="G1725" s="1">
        <v>73639351002</v>
      </c>
      <c r="H1725" s="1">
        <v>12</v>
      </c>
      <c r="I1725" s="1" t="s">
        <v>910</v>
      </c>
      <c r="J1725" t="s">
        <v>3670</v>
      </c>
    </row>
    <row r="1726" spans="1:10">
      <c r="A1726" s="1">
        <v>154021</v>
      </c>
      <c r="B1726" s="1">
        <v>2880013243</v>
      </c>
      <c r="C1726" s="1">
        <v>12</v>
      </c>
      <c r="D1726" s="1" t="s">
        <v>3631</v>
      </c>
      <c r="E1726" t="s">
        <v>3630</v>
      </c>
      <c r="F1726" s="1">
        <v>771311</v>
      </c>
      <c r="G1726" s="1">
        <v>73639351003</v>
      </c>
      <c r="H1726" s="1">
        <v>12</v>
      </c>
      <c r="I1726" s="1" t="s">
        <v>910</v>
      </c>
      <c r="J1726" t="s">
        <v>3671</v>
      </c>
    </row>
    <row r="1727" spans="1:10">
      <c r="A1727" s="1">
        <v>155374</v>
      </c>
      <c r="B1727" s="1">
        <v>2880014145</v>
      </c>
      <c r="C1727" s="1">
        <v>24</v>
      </c>
      <c r="D1727" s="1" t="s">
        <v>381</v>
      </c>
      <c r="E1727" t="s">
        <v>3632</v>
      </c>
      <c r="F1727" s="1">
        <v>166629</v>
      </c>
      <c r="G1727" s="1">
        <v>73639351004</v>
      </c>
      <c r="H1727" s="1">
        <v>12</v>
      </c>
      <c r="I1727" s="1" t="s">
        <v>1449</v>
      </c>
      <c r="J1727" t="s">
        <v>3672</v>
      </c>
    </row>
    <row r="1728" spans="1:10">
      <c r="A1728" s="1">
        <v>155341</v>
      </c>
      <c r="B1728" s="1">
        <v>2880014147</v>
      </c>
      <c r="C1728" s="1">
        <v>12</v>
      </c>
      <c r="D1728" s="1" t="s">
        <v>3633</v>
      </c>
      <c r="E1728" t="s">
        <v>3634</v>
      </c>
      <c r="F1728" s="1">
        <v>198366</v>
      </c>
      <c r="G1728" s="1">
        <v>73639350343</v>
      </c>
      <c r="H1728" s="1">
        <v>12</v>
      </c>
      <c r="I1728" s="1" t="s">
        <v>1449</v>
      </c>
      <c r="J1728" t="s">
        <v>3673</v>
      </c>
    </row>
    <row r="1729" spans="1:10">
      <c r="A1729" s="1">
        <v>188656</v>
      </c>
      <c r="B1729" s="1">
        <v>2880013436</v>
      </c>
      <c r="C1729" s="1">
        <v>6</v>
      </c>
      <c r="D1729" s="1" t="s">
        <v>3635</v>
      </c>
      <c r="E1729" t="s">
        <v>3636</v>
      </c>
      <c r="F1729" s="1">
        <v>483545</v>
      </c>
      <c r="G1729" s="1">
        <v>73639350943</v>
      </c>
      <c r="H1729" s="1">
        <v>12</v>
      </c>
      <c r="I1729" s="1" t="s">
        <v>910</v>
      </c>
      <c r="J1729" t="s">
        <v>3674</v>
      </c>
    </row>
    <row r="1730" spans="1:10">
      <c r="A1730" s="1">
        <v>153619</v>
      </c>
      <c r="B1730" s="1">
        <v>2880013430</v>
      </c>
      <c r="C1730" s="1">
        <v>24</v>
      </c>
      <c r="D1730" s="1" t="s">
        <v>381</v>
      </c>
      <c r="E1730" t="s">
        <v>3636</v>
      </c>
      <c r="F1730" s="1">
        <v>155879</v>
      </c>
      <c r="G1730" s="1">
        <v>2880014313</v>
      </c>
      <c r="H1730" s="1">
        <v>12</v>
      </c>
      <c r="I1730" s="1" t="s">
        <v>3675</v>
      </c>
      <c r="J1730" t="s">
        <v>3676</v>
      </c>
    </row>
    <row r="1731" spans="1:10">
      <c r="A1731" s="1">
        <v>154617</v>
      </c>
      <c r="B1731" s="1">
        <v>1300045160</v>
      </c>
      <c r="C1731" s="1">
        <v>24</v>
      </c>
      <c r="D1731" s="1" t="s">
        <v>381</v>
      </c>
      <c r="E1731" t="s">
        <v>3637</v>
      </c>
      <c r="F1731" s="1">
        <v>155861</v>
      </c>
      <c r="G1731" s="1">
        <v>2880014315</v>
      </c>
      <c r="H1731" s="1">
        <v>24</v>
      </c>
      <c r="I1731" s="1" t="s">
        <v>1483</v>
      </c>
      <c r="J1731" t="s">
        <v>3677</v>
      </c>
    </row>
    <row r="1732" spans="1:10">
      <c r="A1732" s="1">
        <v>182204</v>
      </c>
      <c r="B1732" s="1">
        <v>6414406101</v>
      </c>
      <c r="C1732" s="1">
        <v>24</v>
      </c>
      <c r="D1732" s="1" t="s">
        <v>910</v>
      </c>
      <c r="E1732" t="s">
        <v>3638</v>
      </c>
      <c r="F1732" s="1">
        <v>155267</v>
      </c>
      <c r="G1732" s="1">
        <v>2880016205</v>
      </c>
      <c r="H1732" s="1">
        <v>24</v>
      </c>
      <c r="I1732" s="1" t="s">
        <v>910</v>
      </c>
      <c r="J1732" t="s">
        <v>3678</v>
      </c>
    </row>
    <row r="1733" spans="1:10">
      <c r="A1733" s="1">
        <v>182261</v>
      </c>
      <c r="B1733" s="1">
        <v>6414406103</v>
      </c>
      <c r="C1733" s="1">
        <v>24</v>
      </c>
      <c r="D1733" s="1" t="s">
        <v>910</v>
      </c>
      <c r="E1733" t="s">
        <v>3639</v>
      </c>
      <c r="F1733" s="1">
        <v>155242</v>
      </c>
      <c r="G1733" s="1">
        <v>2880016501</v>
      </c>
      <c r="H1733" s="1">
        <v>24</v>
      </c>
      <c r="I1733" s="1" t="s">
        <v>1483</v>
      </c>
      <c r="J1733" t="s">
        <v>3679</v>
      </c>
    </row>
    <row r="1734" spans="1:10">
      <c r="A1734" s="1">
        <v>181990</v>
      </c>
      <c r="B1734" s="1">
        <v>6414406139</v>
      </c>
      <c r="C1734" s="1">
        <v>24</v>
      </c>
      <c r="D1734" s="1" t="s">
        <v>910</v>
      </c>
      <c r="E1734" t="s">
        <v>3640</v>
      </c>
      <c r="F1734" s="1">
        <v>155945</v>
      </c>
      <c r="G1734" s="1">
        <v>2880014503</v>
      </c>
      <c r="H1734" s="1">
        <v>12</v>
      </c>
      <c r="I1734" s="1" t="s">
        <v>3675</v>
      </c>
      <c r="J1734" t="s">
        <v>3680</v>
      </c>
    </row>
    <row r="1735" spans="1:10">
      <c r="A1735" s="1">
        <v>28753</v>
      </c>
      <c r="B1735" s="1">
        <v>4144311633</v>
      </c>
      <c r="C1735" s="1">
        <v>12</v>
      </c>
      <c r="D1735" s="1" t="s">
        <v>1409</v>
      </c>
      <c r="E1735" t="s">
        <v>3641</v>
      </c>
      <c r="F1735" s="1">
        <v>155937</v>
      </c>
      <c r="G1735" s="1">
        <v>2880014501</v>
      </c>
      <c r="H1735" s="1">
        <v>24</v>
      </c>
      <c r="I1735" s="1" t="s">
        <v>1483</v>
      </c>
      <c r="J1735" t="s">
        <v>3681</v>
      </c>
    </row>
    <row r="1736" spans="1:10">
      <c r="A1736" s="1">
        <v>154955</v>
      </c>
      <c r="B1736" s="1">
        <v>2880000046</v>
      </c>
      <c r="C1736" s="1">
        <v>24</v>
      </c>
      <c r="D1736" s="1" t="s">
        <v>358</v>
      </c>
      <c r="E1736" t="s">
        <v>3642</v>
      </c>
      <c r="F1736" s="1">
        <v>155234</v>
      </c>
      <c r="G1736" s="1">
        <v>2880016301</v>
      </c>
      <c r="H1736" s="1">
        <v>24</v>
      </c>
      <c r="I1736" s="1" t="s">
        <v>1483</v>
      </c>
      <c r="J1736" t="s">
        <v>3682</v>
      </c>
    </row>
    <row r="1737" spans="1:10">
      <c r="A1737" s="1">
        <v>154153</v>
      </c>
      <c r="B1737" s="1">
        <v>2880013256</v>
      </c>
      <c r="C1737" s="1">
        <v>24</v>
      </c>
      <c r="D1737" s="1" t="s">
        <v>381</v>
      </c>
      <c r="E1737" t="s">
        <v>3643</v>
      </c>
      <c r="F1737" s="1">
        <v>155275</v>
      </c>
      <c r="G1737" s="1">
        <v>2880016305</v>
      </c>
      <c r="H1737" s="1">
        <v>12</v>
      </c>
      <c r="I1737" s="1" t="s">
        <v>3675</v>
      </c>
      <c r="J1737" t="s">
        <v>3683</v>
      </c>
    </row>
    <row r="1738" spans="1:10">
      <c r="A1738" s="1">
        <v>153932</v>
      </c>
      <c r="B1738" s="1">
        <v>2880000044</v>
      </c>
      <c r="C1738" s="1">
        <v>24</v>
      </c>
      <c r="D1738" s="1" t="s">
        <v>399</v>
      </c>
      <c r="E1738" t="s">
        <v>3644</v>
      </c>
      <c r="F1738" s="1">
        <v>188979</v>
      </c>
      <c r="G1738" s="1">
        <v>2880014312</v>
      </c>
      <c r="H1738" s="1">
        <v>6</v>
      </c>
      <c r="I1738" s="1" t="s">
        <v>3302</v>
      </c>
      <c r="J1738" t="s">
        <v>3684</v>
      </c>
    </row>
    <row r="1739" spans="1:10">
      <c r="A1739" s="1">
        <v>559302</v>
      </c>
      <c r="B1739" s="1">
        <v>1116601221</v>
      </c>
      <c r="C1739" s="1">
        <v>12</v>
      </c>
      <c r="D1739" s="1" t="s">
        <v>954</v>
      </c>
      <c r="E1739" t="s">
        <v>3645</v>
      </c>
      <c r="F1739" s="1">
        <v>155226</v>
      </c>
      <c r="G1739" s="1">
        <v>2880015701</v>
      </c>
      <c r="H1739" s="1">
        <v>24</v>
      </c>
      <c r="I1739" s="1" t="s">
        <v>1483</v>
      </c>
      <c r="J1739" t="s">
        <v>3685</v>
      </c>
    </row>
    <row r="1740" spans="1:10">
      <c r="A1740" s="1">
        <v>153957</v>
      </c>
      <c r="B1740" s="1">
        <v>1116615395</v>
      </c>
      <c r="C1740" s="1">
        <v>12</v>
      </c>
      <c r="D1740" s="1" t="s">
        <v>553</v>
      </c>
      <c r="E1740" t="s">
        <v>3646</v>
      </c>
      <c r="F1740" s="1">
        <v>156554</v>
      </c>
      <c r="G1740" s="1">
        <v>2880014166</v>
      </c>
      <c r="H1740" s="1">
        <v>12</v>
      </c>
      <c r="I1740" s="1" t="s">
        <v>3675</v>
      </c>
      <c r="J1740" t="s">
        <v>3685</v>
      </c>
    </row>
    <row r="1741" spans="1:10">
      <c r="A1741" s="1">
        <v>153924</v>
      </c>
      <c r="B1741" s="1">
        <v>1116615391</v>
      </c>
      <c r="C1741" s="1">
        <v>24</v>
      </c>
      <c r="D1741" s="1" t="s">
        <v>910</v>
      </c>
      <c r="E1741" t="s">
        <v>3647</v>
      </c>
      <c r="F1741" s="1">
        <v>182212</v>
      </c>
      <c r="G1741" s="1">
        <v>6414406124</v>
      </c>
      <c r="H1741" s="1">
        <v>24</v>
      </c>
      <c r="I1741" s="1" t="s">
        <v>910</v>
      </c>
      <c r="J1741" t="s">
        <v>3686</v>
      </c>
    </row>
    <row r="1742" spans="1:10">
      <c r="A1742" s="1">
        <v>200352</v>
      </c>
      <c r="B1742" s="1">
        <v>5200002190</v>
      </c>
      <c r="C1742" s="1">
        <v>12</v>
      </c>
      <c r="D1742" s="1" t="s">
        <v>954</v>
      </c>
      <c r="E1742" t="s">
        <v>3648</v>
      </c>
      <c r="F1742" s="1">
        <v>588210</v>
      </c>
      <c r="G1742" s="1">
        <v>4144311813</v>
      </c>
      <c r="H1742" s="1">
        <v>12</v>
      </c>
      <c r="I1742" s="1" t="s">
        <v>910</v>
      </c>
      <c r="J1742" t="s">
        <v>3687</v>
      </c>
    </row>
    <row r="1743" spans="1:10">
      <c r="A1743" s="1">
        <v>154906</v>
      </c>
      <c r="B1743" s="1">
        <v>5200001248</v>
      </c>
      <c r="C1743" s="1">
        <v>24</v>
      </c>
      <c r="D1743" s="1" t="s">
        <v>3441</v>
      </c>
      <c r="E1743" t="s">
        <v>3649</v>
      </c>
      <c r="F1743" s="1">
        <v>172817</v>
      </c>
      <c r="G1743" s="1">
        <v>4119602122</v>
      </c>
      <c r="H1743" s="1">
        <v>24</v>
      </c>
      <c r="I1743" s="1" t="s">
        <v>910</v>
      </c>
      <c r="J1743" t="s">
        <v>3688</v>
      </c>
    </row>
    <row r="1744" spans="1:10">
      <c r="A1744" s="1">
        <v>200402</v>
      </c>
      <c r="B1744" s="1">
        <v>5200002178</v>
      </c>
      <c r="C1744" s="1">
        <v>12</v>
      </c>
      <c r="D1744" s="1" t="s">
        <v>954</v>
      </c>
      <c r="E1744" t="s">
        <v>3650</v>
      </c>
      <c r="F1744" s="1">
        <v>559310</v>
      </c>
      <c r="G1744" s="1">
        <v>1116601223</v>
      </c>
      <c r="H1744" s="1">
        <v>24</v>
      </c>
      <c r="I1744" s="1" t="s">
        <v>1483</v>
      </c>
      <c r="J1744" t="s">
        <v>3689</v>
      </c>
    </row>
    <row r="1745" spans="1:10">
      <c r="A1745" s="1">
        <v>154401</v>
      </c>
      <c r="B1745" s="1">
        <v>5200001122</v>
      </c>
      <c r="C1745" s="1">
        <v>24</v>
      </c>
      <c r="D1745" s="1" t="s">
        <v>910</v>
      </c>
      <c r="E1745" t="s">
        <v>3651</v>
      </c>
      <c r="F1745" s="1">
        <v>155408</v>
      </c>
      <c r="G1745" s="1">
        <v>1116615540</v>
      </c>
      <c r="H1745" s="1">
        <v>24</v>
      </c>
      <c r="I1745" s="1" t="s">
        <v>910</v>
      </c>
      <c r="J1745" t="s">
        <v>3690</v>
      </c>
    </row>
    <row r="1746" spans="1:10" ht="15.75">
      <c r="A1746" s="4" t="s">
        <v>10722</v>
      </c>
      <c r="B1746" s="2"/>
      <c r="C1746" s="2"/>
      <c r="D1746" s="2"/>
      <c r="E1746" s="3"/>
      <c r="F1746" s="1">
        <v>155739</v>
      </c>
      <c r="G1746" s="1">
        <v>1116615573</v>
      </c>
      <c r="H1746" s="1">
        <v>12</v>
      </c>
      <c r="I1746" s="1" t="s">
        <v>553</v>
      </c>
      <c r="J1746" t="s">
        <v>3691</v>
      </c>
    </row>
    <row r="1747" spans="1:10">
      <c r="A1747" s="2" t="s">
        <v>0</v>
      </c>
      <c r="B1747" s="2" t="s">
        <v>1</v>
      </c>
      <c r="C1747" s="2" t="s">
        <v>2</v>
      </c>
      <c r="D1747" s="2" t="s">
        <v>3</v>
      </c>
      <c r="E1747" s="3" t="s">
        <v>4</v>
      </c>
      <c r="F1747" s="1">
        <v>147496</v>
      </c>
      <c r="G1747" s="1">
        <v>1116614749</v>
      </c>
      <c r="H1747" s="1">
        <v>24</v>
      </c>
      <c r="I1747" s="1" t="s">
        <v>910</v>
      </c>
      <c r="J1747" t="s">
        <v>3692</v>
      </c>
    </row>
    <row r="1748" spans="1:10">
      <c r="A1748" s="1">
        <v>868158</v>
      </c>
      <c r="B1748" s="1">
        <v>2880016210</v>
      </c>
      <c r="C1748" s="1">
        <v>6</v>
      </c>
      <c r="D1748" s="1" t="s">
        <v>3652</v>
      </c>
      <c r="E1748" t="s">
        <v>3653</v>
      </c>
      <c r="F1748" s="1">
        <v>181040</v>
      </c>
      <c r="G1748" s="1">
        <v>1116618104</v>
      </c>
      <c r="H1748" s="1">
        <v>24</v>
      </c>
      <c r="I1748" s="1" t="s">
        <v>910</v>
      </c>
      <c r="J1748" t="s">
        <v>3693</v>
      </c>
    </row>
    <row r="1749" spans="1:10">
      <c r="A1749" s="1">
        <v>474841</v>
      </c>
      <c r="B1749" s="1">
        <v>3940001606</v>
      </c>
      <c r="C1749" s="1">
        <v>12</v>
      </c>
      <c r="D1749" s="1" t="s">
        <v>1781</v>
      </c>
      <c r="E1749" t="s">
        <v>3654</v>
      </c>
      <c r="F1749" s="1">
        <v>181065</v>
      </c>
      <c r="G1749" s="1">
        <v>1116618106</v>
      </c>
      <c r="H1749" s="1">
        <v>24</v>
      </c>
      <c r="I1749" s="1" t="s">
        <v>910</v>
      </c>
      <c r="J1749" t="s">
        <v>3694</v>
      </c>
    </row>
    <row r="1750" spans="1:10">
      <c r="A1750" s="1">
        <v>775072</v>
      </c>
      <c r="B1750" s="1">
        <v>3940001880</v>
      </c>
      <c r="C1750" s="1">
        <v>12</v>
      </c>
      <c r="D1750" s="1" t="s">
        <v>910</v>
      </c>
      <c r="E1750" t="s">
        <v>3655</v>
      </c>
      <c r="F1750" s="1">
        <v>155721</v>
      </c>
      <c r="G1750" s="1">
        <v>1116615572</v>
      </c>
      <c r="H1750" s="1">
        <v>24</v>
      </c>
      <c r="I1750" s="1" t="s">
        <v>910</v>
      </c>
      <c r="J1750" t="s">
        <v>3695</v>
      </c>
    </row>
    <row r="1751" spans="1:10" ht="15.75">
      <c r="A1751" s="1">
        <v>14134</v>
      </c>
      <c r="B1751" s="1">
        <v>3940001884</v>
      </c>
      <c r="C1751" s="1">
        <v>12</v>
      </c>
      <c r="D1751" s="1" t="s">
        <v>910</v>
      </c>
      <c r="E1751" t="s">
        <v>3656</v>
      </c>
      <c r="F1751" s="4" t="s">
        <v>10723</v>
      </c>
      <c r="G1751" s="2"/>
      <c r="H1751" s="2"/>
      <c r="I1751" s="2"/>
      <c r="J1751" s="3"/>
    </row>
    <row r="1752" spans="1:10">
      <c r="A1752" s="1">
        <v>155259</v>
      </c>
      <c r="B1752" s="1">
        <v>3940001687</v>
      </c>
      <c r="C1752" s="1">
        <v>12</v>
      </c>
      <c r="D1752" s="1" t="s">
        <v>3633</v>
      </c>
      <c r="E1752" t="s">
        <v>3657</v>
      </c>
      <c r="F1752" s="2" t="s">
        <v>0</v>
      </c>
      <c r="G1752" s="2" t="s">
        <v>1</v>
      </c>
      <c r="H1752" s="2" t="s">
        <v>2</v>
      </c>
      <c r="I1752" s="2" t="s">
        <v>3</v>
      </c>
      <c r="J1752" s="3" t="s">
        <v>4</v>
      </c>
    </row>
    <row r="1753" spans="1:10">
      <c r="A1753" s="1">
        <v>182618</v>
      </c>
      <c r="B1753" s="1">
        <v>3940001900</v>
      </c>
      <c r="C1753" s="1">
        <v>12</v>
      </c>
      <c r="D1753" s="1" t="s">
        <v>1483</v>
      </c>
      <c r="E1753" t="s">
        <v>3658</v>
      </c>
      <c r="F1753" s="1">
        <v>40576</v>
      </c>
      <c r="G1753" s="1">
        <v>3940001673</v>
      </c>
      <c r="H1753" s="1">
        <v>12</v>
      </c>
      <c r="I1753" s="1" t="s">
        <v>381</v>
      </c>
      <c r="J1753" t="s">
        <v>3696</v>
      </c>
    </row>
    <row r="1754" spans="1:10">
      <c r="A1754" s="1">
        <v>690156</v>
      </c>
      <c r="B1754" s="1">
        <v>3940001734</v>
      </c>
      <c r="C1754" s="1">
        <v>12</v>
      </c>
      <c r="D1754" s="1" t="s">
        <v>381</v>
      </c>
      <c r="E1754" t="s">
        <v>3659</v>
      </c>
      <c r="F1754" s="1">
        <v>159418</v>
      </c>
      <c r="G1754" s="1">
        <v>2400016295</v>
      </c>
      <c r="H1754" s="1">
        <v>24</v>
      </c>
      <c r="I1754" s="1" t="s">
        <v>1426</v>
      </c>
      <c r="J1754" t="s">
        <v>3697</v>
      </c>
    </row>
    <row r="1755" spans="1:10">
      <c r="A1755" s="1">
        <v>572693</v>
      </c>
      <c r="B1755" s="1">
        <v>3940001700</v>
      </c>
      <c r="C1755" s="1">
        <v>12</v>
      </c>
      <c r="D1755" s="1" t="s">
        <v>381</v>
      </c>
      <c r="E1755" t="s">
        <v>3660</v>
      </c>
      <c r="F1755" s="1">
        <v>159012</v>
      </c>
      <c r="G1755" s="1">
        <v>2400001397</v>
      </c>
      <c r="H1755" s="1">
        <v>12</v>
      </c>
      <c r="I1755" s="1" t="s">
        <v>365</v>
      </c>
      <c r="J1755" t="s">
        <v>3697</v>
      </c>
    </row>
    <row r="1756" spans="1:10">
      <c r="A1756" s="1">
        <v>432369</v>
      </c>
      <c r="B1756" s="1">
        <v>3940001782</v>
      </c>
      <c r="C1756" s="1">
        <v>12</v>
      </c>
      <c r="D1756" s="1" t="s">
        <v>3661</v>
      </c>
      <c r="E1756" t="s">
        <v>3662</v>
      </c>
      <c r="F1756" s="1">
        <v>700583</v>
      </c>
      <c r="G1756" s="1">
        <v>73639350800</v>
      </c>
      <c r="H1756" s="1">
        <v>12</v>
      </c>
      <c r="I1756" s="1" t="s">
        <v>910</v>
      </c>
      <c r="J1756" t="s">
        <v>3698</v>
      </c>
    </row>
    <row r="1757" spans="1:10">
      <c r="A1757" s="1">
        <v>314393</v>
      </c>
      <c r="B1757" s="1">
        <v>3940001747</v>
      </c>
      <c r="C1757" s="1">
        <v>12</v>
      </c>
      <c r="D1757" s="1" t="s">
        <v>381</v>
      </c>
      <c r="E1757" t="s">
        <v>3663</v>
      </c>
      <c r="F1757" s="1">
        <v>159723</v>
      </c>
      <c r="G1757" s="1">
        <v>2880015010</v>
      </c>
      <c r="H1757" s="1">
        <v>24</v>
      </c>
      <c r="I1757" s="1" t="s">
        <v>1483</v>
      </c>
      <c r="J1757" t="s">
        <v>3699</v>
      </c>
    </row>
    <row r="1758" spans="1:10">
      <c r="A1758" s="1">
        <v>409599</v>
      </c>
      <c r="B1758" s="1">
        <v>3940001774</v>
      </c>
      <c r="C1758" s="1">
        <v>12</v>
      </c>
      <c r="D1758" s="1" t="s">
        <v>381</v>
      </c>
      <c r="E1758" t="s">
        <v>3664</v>
      </c>
      <c r="F1758" s="1">
        <v>278986</v>
      </c>
      <c r="G1758" s="1">
        <v>3710003407</v>
      </c>
      <c r="H1758" s="1">
        <v>12</v>
      </c>
      <c r="I1758" s="1" t="s">
        <v>910</v>
      </c>
      <c r="J1758" t="s">
        <v>3700</v>
      </c>
    </row>
    <row r="1759" spans="1:10">
      <c r="A1759" s="1">
        <v>261602</v>
      </c>
      <c r="B1759" s="1">
        <v>3940001810</v>
      </c>
      <c r="C1759" s="1">
        <v>12</v>
      </c>
      <c r="D1759" s="1" t="s">
        <v>381</v>
      </c>
      <c r="E1759" t="s">
        <v>3665</v>
      </c>
      <c r="F1759" s="1">
        <v>182402</v>
      </c>
      <c r="G1759" s="1">
        <v>6414406104</v>
      </c>
      <c r="H1759" s="1">
        <v>24</v>
      </c>
      <c r="I1759" s="1" t="s">
        <v>910</v>
      </c>
      <c r="J1759" t="s">
        <v>3701</v>
      </c>
    </row>
    <row r="1760" spans="1:10">
      <c r="A1760" s="1">
        <v>508184</v>
      </c>
      <c r="B1760" s="1">
        <v>3940001690</v>
      </c>
      <c r="C1760" s="1">
        <v>12</v>
      </c>
      <c r="D1760" s="1" t="s">
        <v>381</v>
      </c>
      <c r="E1760" t="s">
        <v>3666</v>
      </c>
      <c r="F1760" s="1">
        <v>261529</v>
      </c>
      <c r="G1760" s="1">
        <v>4144311901</v>
      </c>
      <c r="H1760" s="1">
        <v>12</v>
      </c>
      <c r="I1760" s="1" t="s">
        <v>910</v>
      </c>
      <c r="J1760" t="s">
        <v>3702</v>
      </c>
    </row>
    <row r="1761" spans="1:10">
      <c r="A1761" s="1">
        <v>499343</v>
      </c>
      <c r="B1761" s="1">
        <v>3940001733</v>
      </c>
      <c r="C1761" s="1">
        <v>12</v>
      </c>
      <c r="D1761" s="1" t="s">
        <v>381</v>
      </c>
      <c r="E1761" t="s">
        <v>3667</v>
      </c>
      <c r="F1761" s="1">
        <v>156349</v>
      </c>
      <c r="G1761" s="1">
        <v>1116615634</v>
      </c>
      <c r="H1761" s="1">
        <v>24</v>
      </c>
      <c r="I1761" s="1" t="s">
        <v>910</v>
      </c>
      <c r="J1761" t="s">
        <v>3703</v>
      </c>
    </row>
    <row r="1762" spans="1:10">
      <c r="A1762" s="1">
        <v>174367</v>
      </c>
      <c r="B1762" s="1">
        <v>4118804043</v>
      </c>
      <c r="C1762" s="1">
        <v>24</v>
      </c>
      <c r="D1762" s="1" t="s">
        <v>1483</v>
      </c>
      <c r="E1762" t="s">
        <v>3668</v>
      </c>
      <c r="F1762" s="1">
        <v>156356</v>
      </c>
      <c r="G1762" s="1">
        <v>1116615635</v>
      </c>
      <c r="H1762" s="1">
        <v>24</v>
      </c>
      <c r="I1762" s="1" t="s">
        <v>910</v>
      </c>
      <c r="J1762" t="s">
        <v>3704</v>
      </c>
    </row>
    <row r="1763" spans="1:10">
      <c r="A1763" s="1">
        <v>183996</v>
      </c>
      <c r="B1763" s="1">
        <v>73639350413</v>
      </c>
      <c r="C1763" s="1">
        <v>12</v>
      </c>
      <c r="D1763" s="1" t="s">
        <v>910</v>
      </c>
      <c r="E1763" t="s">
        <v>3669</v>
      </c>
      <c r="F1763" s="1">
        <v>156471</v>
      </c>
      <c r="G1763" s="1">
        <v>5030033015</v>
      </c>
      <c r="H1763" s="1">
        <v>24</v>
      </c>
      <c r="I1763" s="1" t="s">
        <v>1483</v>
      </c>
      <c r="J1763" t="s">
        <v>3705</v>
      </c>
    </row>
    <row r="1764" spans="1:10" ht="15.75">
      <c r="A1764" s="4" t="s">
        <v>10723</v>
      </c>
      <c r="B1764" s="2"/>
      <c r="C1764" s="2"/>
      <c r="D1764" s="2"/>
      <c r="E1764" s="3"/>
      <c r="F1764" s="4" t="s">
        <v>10724</v>
      </c>
      <c r="G1764" s="2"/>
      <c r="H1764" s="2"/>
      <c r="I1764" s="2"/>
      <c r="J1764" s="3"/>
    </row>
    <row r="1765" spans="1:10">
      <c r="A1765" s="2" t="s">
        <v>0</v>
      </c>
      <c r="B1765" s="2" t="s">
        <v>1</v>
      </c>
      <c r="C1765" s="2" t="s">
        <v>2</v>
      </c>
      <c r="D1765" s="2" t="s">
        <v>3</v>
      </c>
      <c r="E1765" s="3" t="s">
        <v>4</v>
      </c>
      <c r="F1765" s="2" t="s">
        <v>0</v>
      </c>
      <c r="G1765" s="2" t="s">
        <v>1</v>
      </c>
      <c r="H1765" s="2" t="s">
        <v>2</v>
      </c>
      <c r="I1765" s="2" t="s">
        <v>3</v>
      </c>
      <c r="J1765" s="3" t="s">
        <v>4</v>
      </c>
    </row>
    <row r="1766" spans="1:10">
      <c r="A1766" s="1">
        <v>156489</v>
      </c>
      <c r="B1766" s="1">
        <v>5030031490</v>
      </c>
      <c r="C1766" s="1">
        <v>24</v>
      </c>
      <c r="D1766" s="1" t="s">
        <v>910</v>
      </c>
      <c r="E1766" t="s">
        <v>3706</v>
      </c>
      <c r="F1766" s="1">
        <v>159806</v>
      </c>
      <c r="G1766" s="1">
        <v>1116615980</v>
      </c>
      <c r="H1766" s="1">
        <v>24</v>
      </c>
      <c r="I1766" s="1" t="s">
        <v>399</v>
      </c>
      <c r="J1766" t="s">
        <v>3742</v>
      </c>
    </row>
    <row r="1767" spans="1:10">
      <c r="A1767" s="1">
        <v>178897</v>
      </c>
      <c r="B1767" s="1">
        <v>5030033445</v>
      </c>
      <c r="C1767" s="1">
        <v>12</v>
      </c>
      <c r="D1767" s="1" t="s">
        <v>910</v>
      </c>
      <c r="E1767" t="s">
        <v>3707</v>
      </c>
      <c r="F1767" s="1">
        <v>160374</v>
      </c>
      <c r="G1767" s="1">
        <v>1116616037</v>
      </c>
      <c r="H1767" s="1">
        <v>24</v>
      </c>
      <c r="I1767" s="1" t="s">
        <v>1409</v>
      </c>
      <c r="J1767" t="s">
        <v>3743</v>
      </c>
    </row>
    <row r="1768" spans="1:10" ht="15.75">
      <c r="A1768" s="4" t="s">
        <v>10724</v>
      </c>
      <c r="B1768" s="2"/>
      <c r="C1768" s="2"/>
      <c r="D1768" s="2"/>
      <c r="E1768" s="3"/>
      <c r="F1768" s="1">
        <v>159822</v>
      </c>
      <c r="G1768" s="1">
        <v>1116615982</v>
      </c>
      <c r="H1768" s="1">
        <v>24</v>
      </c>
      <c r="I1768" s="1" t="s">
        <v>399</v>
      </c>
      <c r="J1768" t="s">
        <v>3744</v>
      </c>
    </row>
    <row r="1769" spans="1:10">
      <c r="A1769" s="2" t="s">
        <v>0</v>
      </c>
      <c r="B1769" s="2" t="s">
        <v>1</v>
      </c>
      <c r="C1769" s="2" t="s">
        <v>2</v>
      </c>
      <c r="D1769" s="2" t="s">
        <v>3</v>
      </c>
      <c r="E1769" s="3" t="s">
        <v>4</v>
      </c>
      <c r="F1769" s="1">
        <v>161182</v>
      </c>
      <c r="G1769" s="1">
        <v>1116616118</v>
      </c>
      <c r="H1769" s="1">
        <v>12</v>
      </c>
      <c r="I1769" s="1" t="s">
        <v>954</v>
      </c>
      <c r="J1769" t="s">
        <v>3745</v>
      </c>
    </row>
    <row r="1770" spans="1:10">
      <c r="A1770" s="1">
        <v>579185</v>
      </c>
      <c r="B1770" s="1">
        <v>2400016472</v>
      </c>
      <c r="C1770" s="1">
        <v>24</v>
      </c>
      <c r="D1770" s="1" t="s">
        <v>1409</v>
      </c>
      <c r="E1770" t="s">
        <v>3708</v>
      </c>
      <c r="F1770" s="1">
        <v>160333</v>
      </c>
      <c r="G1770" s="1">
        <v>1116616033</v>
      </c>
      <c r="H1770" s="1">
        <v>24</v>
      </c>
      <c r="I1770" s="1" t="s">
        <v>1409</v>
      </c>
      <c r="J1770" t="s">
        <v>3746</v>
      </c>
    </row>
    <row r="1771" spans="1:10">
      <c r="A1771" s="1">
        <v>569525</v>
      </c>
      <c r="B1771" s="1">
        <v>2400056667</v>
      </c>
      <c r="C1771" s="1">
        <v>12</v>
      </c>
      <c r="D1771" s="1" t="s">
        <v>1409</v>
      </c>
      <c r="E1771" t="s">
        <v>3709</v>
      </c>
      <c r="F1771" s="1">
        <v>160366</v>
      </c>
      <c r="G1771" s="1">
        <v>1116616036</v>
      </c>
      <c r="H1771" s="1">
        <v>24</v>
      </c>
      <c r="I1771" s="1" t="s">
        <v>1409</v>
      </c>
      <c r="J1771" t="s">
        <v>3747</v>
      </c>
    </row>
    <row r="1772" spans="1:10">
      <c r="A1772" s="1">
        <v>161703</v>
      </c>
      <c r="B1772" s="1">
        <v>2400001830</v>
      </c>
      <c r="C1772" s="1">
        <v>12</v>
      </c>
      <c r="D1772" s="1" t="s">
        <v>954</v>
      </c>
      <c r="E1772" t="s">
        <v>3710</v>
      </c>
      <c r="F1772" s="1">
        <v>161034</v>
      </c>
      <c r="G1772" s="1">
        <v>1116616103</v>
      </c>
      <c r="H1772" s="1">
        <v>12</v>
      </c>
      <c r="I1772" s="1" t="s">
        <v>1409</v>
      </c>
      <c r="J1772" t="s">
        <v>3748</v>
      </c>
    </row>
    <row r="1773" spans="1:10">
      <c r="A1773" s="1">
        <v>159863</v>
      </c>
      <c r="B1773" s="1">
        <v>2400001398</v>
      </c>
      <c r="C1773" s="1">
        <v>12</v>
      </c>
      <c r="D1773" s="1" t="s">
        <v>399</v>
      </c>
      <c r="E1773" t="s">
        <v>3711</v>
      </c>
      <c r="F1773" s="1">
        <v>160341</v>
      </c>
      <c r="G1773" s="1">
        <v>1116616034</v>
      </c>
      <c r="H1773" s="1">
        <v>24</v>
      </c>
      <c r="I1773" s="1" t="s">
        <v>1409</v>
      </c>
      <c r="J1773" t="s">
        <v>3749</v>
      </c>
    </row>
    <row r="1774" spans="1:10">
      <c r="A1774" s="1">
        <v>161323</v>
      </c>
      <c r="B1774" s="1">
        <v>2400001271</v>
      </c>
      <c r="C1774" s="1">
        <v>12</v>
      </c>
      <c r="D1774" s="1" t="s">
        <v>3354</v>
      </c>
      <c r="E1774" t="s">
        <v>3712</v>
      </c>
      <c r="F1774" s="1">
        <v>160382</v>
      </c>
      <c r="G1774" s="1">
        <v>1116616038</v>
      </c>
      <c r="H1774" s="1">
        <v>24</v>
      </c>
      <c r="I1774" s="1" t="s">
        <v>1409</v>
      </c>
      <c r="J1774" t="s">
        <v>3750</v>
      </c>
    </row>
    <row r="1775" spans="1:10">
      <c r="A1775" s="1">
        <v>160770</v>
      </c>
      <c r="B1775" s="1">
        <v>2400016286</v>
      </c>
      <c r="C1775" s="1">
        <v>24</v>
      </c>
      <c r="D1775" s="1" t="s">
        <v>1409</v>
      </c>
      <c r="E1775" t="s">
        <v>3713</v>
      </c>
      <c r="F1775" s="1">
        <v>501825</v>
      </c>
      <c r="G1775" s="1">
        <v>3940001015</v>
      </c>
      <c r="H1775" s="1">
        <v>12</v>
      </c>
      <c r="I1775" s="1" t="s">
        <v>3271</v>
      </c>
      <c r="J1775" t="s">
        <v>3751</v>
      </c>
    </row>
    <row r="1776" spans="1:10">
      <c r="A1776" s="1">
        <v>160275</v>
      </c>
      <c r="B1776" s="1">
        <v>2400000087</v>
      </c>
      <c r="C1776" s="1">
        <v>12</v>
      </c>
      <c r="D1776" s="1" t="s">
        <v>399</v>
      </c>
      <c r="E1776" t="s">
        <v>3714</v>
      </c>
      <c r="F1776" s="1">
        <v>352427</v>
      </c>
      <c r="G1776" s="1">
        <v>4113030464</v>
      </c>
      <c r="H1776" s="1">
        <v>24</v>
      </c>
      <c r="I1776" s="1" t="s">
        <v>1409</v>
      </c>
      <c r="J1776" t="s">
        <v>3752</v>
      </c>
    </row>
    <row r="1777" spans="1:10">
      <c r="A1777" s="1">
        <v>160853</v>
      </c>
      <c r="B1777" s="1">
        <v>2400016293</v>
      </c>
      <c r="C1777" s="1">
        <v>24</v>
      </c>
      <c r="D1777" s="1" t="s">
        <v>1409</v>
      </c>
      <c r="E1777" t="s">
        <v>3715</v>
      </c>
      <c r="F1777" s="1">
        <v>17822</v>
      </c>
      <c r="G1777" s="1">
        <v>4113030471</v>
      </c>
      <c r="H1777" s="1">
        <v>24</v>
      </c>
      <c r="I1777" s="1" t="s">
        <v>1254</v>
      </c>
      <c r="J1777" t="s">
        <v>3753</v>
      </c>
    </row>
    <row r="1778" spans="1:10">
      <c r="A1778" s="1">
        <v>160317</v>
      </c>
      <c r="B1778" s="1">
        <v>2400016287</v>
      </c>
      <c r="C1778" s="1">
        <v>24</v>
      </c>
      <c r="D1778" s="1" t="s">
        <v>1409</v>
      </c>
      <c r="E1778" t="s">
        <v>3716</v>
      </c>
      <c r="F1778" s="1">
        <v>17848</v>
      </c>
      <c r="G1778" s="1">
        <v>4113030672</v>
      </c>
      <c r="H1778" s="1">
        <v>24</v>
      </c>
      <c r="I1778" s="1" t="s">
        <v>1409</v>
      </c>
      <c r="J1778" t="s">
        <v>3754</v>
      </c>
    </row>
    <row r="1779" spans="1:10" ht="15.75">
      <c r="A1779" s="1">
        <v>160911</v>
      </c>
      <c r="B1779" s="1">
        <v>2400016289</v>
      </c>
      <c r="C1779" s="1">
        <v>24</v>
      </c>
      <c r="D1779" s="1" t="s">
        <v>1409</v>
      </c>
      <c r="E1779" t="s">
        <v>3717</v>
      </c>
      <c r="F1779" s="4" t="s">
        <v>10725</v>
      </c>
      <c r="G1779" s="2"/>
      <c r="H1779" s="2"/>
      <c r="I1779" s="2"/>
      <c r="J1779" s="3"/>
    </row>
    <row r="1780" spans="1:10">
      <c r="A1780" s="1">
        <v>160507</v>
      </c>
      <c r="B1780" s="1">
        <v>2400016290</v>
      </c>
      <c r="C1780" s="1">
        <v>24</v>
      </c>
      <c r="D1780" s="1" t="s">
        <v>1409</v>
      </c>
      <c r="E1780" t="s">
        <v>3718</v>
      </c>
      <c r="F1780" s="2" t="s">
        <v>0</v>
      </c>
      <c r="G1780" s="2" t="s">
        <v>1</v>
      </c>
      <c r="H1780" s="2" t="s">
        <v>2</v>
      </c>
      <c r="I1780" s="2" t="s">
        <v>3</v>
      </c>
      <c r="J1780" s="3" t="s">
        <v>4</v>
      </c>
    </row>
    <row r="1781" spans="1:10">
      <c r="A1781" s="1">
        <v>160549</v>
      </c>
      <c r="B1781" s="1">
        <v>2400016294</v>
      </c>
      <c r="C1781" s="1">
        <v>12</v>
      </c>
      <c r="D1781" s="1" t="s">
        <v>1409</v>
      </c>
      <c r="E1781" t="s">
        <v>3719</v>
      </c>
      <c r="F1781" s="1">
        <v>513523</v>
      </c>
      <c r="G1781" s="1">
        <v>4430005462</v>
      </c>
      <c r="H1781" s="1">
        <v>12</v>
      </c>
      <c r="I1781" s="1" t="s">
        <v>1483</v>
      </c>
      <c r="J1781" t="s">
        <v>3755</v>
      </c>
    </row>
    <row r="1782" spans="1:10">
      <c r="A1782" s="1">
        <v>160945</v>
      </c>
      <c r="B1782" s="1">
        <v>2400016292</v>
      </c>
      <c r="C1782" s="1">
        <v>12</v>
      </c>
      <c r="D1782" s="1" t="s">
        <v>1409</v>
      </c>
      <c r="E1782" t="s">
        <v>3720</v>
      </c>
      <c r="F1782" s="1">
        <v>513556</v>
      </c>
      <c r="G1782" s="1">
        <v>4430005463</v>
      </c>
      <c r="H1782" s="1">
        <v>12</v>
      </c>
      <c r="I1782" s="1" t="s">
        <v>381</v>
      </c>
      <c r="J1782" t="s">
        <v>3756</v>
      </c>
    </row>
    <row r="1783" spans="1:10">
      <c r="A1783" s="1">
        <v>160788</v>
      </c>
      <c r="B1783" s="1">
        <v>2400016296</v>
      </c>
      <c r="C1783" s="1">
        <v>12</v>
      </c>
      <c r="D1783" s="1" t="s">
        <v>1409</v>
      </c>
      <c r="E1783" t="s">
        <v>3721</v>
      </c>
      <c r="F1783" s="1">
        <v>163204</v>
      </c>
      <c r="G1783" s="1">
        <v>2400001409</v>
      </c>
      <c r="H1783" s="1">
        <v>12</v>
      </c>
      <c r="I1783" s="1" t="s">
        <v>381</v>
      </c>
      <c r="J1783" t="s">
        <v>3757</v>
      </c>
    </row>
    <row r="1784" spans="1:10">
      <c r="A1784" s="1">
        <v>160283</v>
      </c>
      <c r="B1784" s="1">
        <v>2400001393</v>
      </c>
      <c r="C1784" s="1">
        <v>12</v>
      </c>
      <c r="D1784" s="1" t="s">
        <v>399</v>
      </c>
      <c r="E1784" t="s">
        <v>3722</v>
      </c>
      <c r="F1784" s="1">
        <v>162412</v>
      </c>
      <c r="G1784" s="1">
        <v>2400016297</v>
      </c>
      <c r="H1784" s="1">
        <v>24</v>
      </c>
      <c r="I1784" s="1" t="s">
        <v>1409</v>
      </c>
      <c r="J1784" t="s">
        <v>3758</v>
      </c>
    </row>
    <row r="1785" spans="1:10">
      <c r="A1785" s="1">
        <v>713891</v>
      </c>
      <c r="B1785" s="1">
        <v>2400039362</v>
      </c>
      <c r="C1785" s="1">
        <v>12</v>
      </c>
      <c r="D1785" s="1" t="s">
        <v>1409</v>
      </c>
      <c r="E1785" t="s">
        <v>3723</v>
      </c>
      <c r="F1785" s="1">
        <v>162438</v>
      </c>
      <c r="G1785" s="1">
        <v>2400001408</v>
      </c>
      <c r="H1785" s="1">
        <v>12</v>
      </c>
      <c r="I1785" s="1" t="s">
        <v>3272</v>
      </c>
      <c r="J1785" t="s">
        <v>3759</v>
      </c>
    </row>
    <row r="1786" spans="1:10">
      <c r="A1786" s="1">
        <v>161901</v>
      </c>
      <c r="B1786" s="1">
        <v>2400001546</v>
      </c>
      <c r="C1786" s="1">
        <v>12</v>
      </c>
      <c r="D1786" s="1" t="s">
        <v>954</v>
      </c>
      <c r="E1786" t="s">
        <v>3724</v>
      </c>
      <c r="F1786" s="1">
        <v>163329</v>
      </c>
      <c r="G1786" s="1">
        <v>4125543133</v>
      </c>
      <c r="H1786" s="1">
        <v>12</v>
      </c>
      <c r="I1786" s="1" t="s">
        <v>381</v>
      </c>
      <c r="J1786" t="s">
        <v>3760</v>
      </c>
    </row>
    <row r="1787" spans="1:10">
      <c r="A1787" s="1">
        <v>772087</v>
      </c>
      <c r="B1787" s="1">
        <v>2400017021</v>
      </c>
      <c r="C1787" s="1">
        <v>12</v>
      </c>
      <c r="D1787" s="1" t="s">
        <v>1058</v>
      </c>
      <c r="E1787" t="s">
        <v>3725</v>
      </c>
      <c r="F1787" s="1">
        <v>163337</v>
      </c>
      <c r="G1787" s="1">
        <v>4125543128</v>
      </c>
      <c r="H1787" s="1">
        <v>12</v>
      </c>
      <c r="I1787" s="1" t="s">
        <v>381</v>
      </c>
      <c r="J1787" t="s">
        <v>3761</v>
      </c>
    </row>
    <row r="1788" spans="1:10">
      <c r="A1788" s="1">
        <v>587402</v>
      </c>
      <c r="B1788" s="1">
        <v>2400039201</v>
      </c>
      <c r="C1788" s="1">
        <v>12</v>
      </c>
      <c r="D1788" s="1" t="s">
        <v>1058</v>
      </c>
      <c r="E1788" t="s">
        <v>3726</v>
      </c>
      <c r="F1788" s="1">
        <v>163303</v>
      </c>
      <c r="G1788" s="1">
        <v>4125543126</v>
      </c>
      <c r="H1788" s="1">
        <v>12</v>
      </c>
      <c r="I1788" s="1" t="s">
        <v>381</v>
      </c>
      <c r="J1788" t="s">
        <v>3762</v>
      </c>
    </row>
    <row r="1789" spans="1:10">
      <c r="A1789" s="1">
        <v>160010</v>
      </c>
      <c r="B1789" s="1">
        <v>73639370200</v>
      </c>
      <c r="C1789" s="1">
        <v>12</v>
      </c>
      <c r="D1789" s="1" t="s">
        <v>3633</v>
      </c>
      <c r="E1789" t="s">
        <v>3727</v>
      </c>
      <c r="F1789" s="1">
        <v>278705</v>
      </c>
      <c r="G1789" s="1">
        <v>3710003226</v>
      </c>
      <c r="H1789" s="1">
        <v>12</v>
      </c>
      <c r="I1789" s="1" t="s">
        <v>910</v>
      </c>
      <c r="J1789" t="s">
        <v>3763</v>
      </c>
    </row>
    <row r="1790" spans="1:10">
      <c r="A1790" s="1">
        <v>220749</v>
      </c>
      <c r="B1790" s="1">
        <v>73639370343</v>
      </c>
      <c r="C1790" s="1">
        <v>12</v>
      </c>
      <c r="D1790" s="1" t="s">
        <v>1037</v>
      </c>
      <c r="E1790" t="s">
        <v>3728</v>
      </c>
      <c r="F1790" s="1">
        <v>278903</v>
      </c>
      <c r="G1790" s="1">
        <v>3710003234</v>
      </c>
      <c r="H1790" s="1">
        <v>12</v>
      </c>
      <c r="I1790" s="1" t="s">
        <v>910</v>
      </c>
      <c r="J1790" t="s">
        <v>3764</v>
      </c>
    </row>
    <row r="1791" spans="1:10">
      <c r="A1791" s="1">
        <v>160051</v>
      </c>
      <c r="B1791" s="1">
        <v>73639370100</v>
      </c>
      <c r="C1791" s="1">
        <v>12</v>
      </c>
      <c r="D1791" s="1" t="s">
        <v>3633</v>
      </c>
      <c r="E1791" t="s">
        <v>3729</v>
      </c>
      <c r="F1791" s="1">
        <v>278978</v>
      </c>
      <c r="G1791" s="1">
        <v>3710003217</v>
      </c>
      <c r="H1791" s="1">
        <v>12</v>
      </c>
      <c r="I1791" s="1" t="s">
        <v>910</v>
      </c>
      <c r="J1791" t="s">
        <v>3765</v>
      </c>
    </row>
    <row r="1792" spans="1:10">
      <c r="A1792" s="1">
        <v>160390</v>
      </c>
      <c r="B1792" s="1">
        <v>2000011196</v>
      </c>
      <c r="C1792" s="1">
        <v>24</v>
      </c>
      <c r="D1792" s="1" t="s">
        <v>1409</v>
      </c>
      <c r="E1792" t="s">
        <v>3730</v>
      </c>
      <c r="F1792" s="1">
        <v>162081</v>
      </c>
      <c r="G1792" s="1">
        <v>1116616208</v>
      </c>
      <c r="H1792" s="1">
        <v>12</v>
      </c>
      <c r="I1792" s="1" t="s">
        <v>381</v>
      </c>
      <c r="J1792" t="s">
        <v>3766</v>
      </c>
    </row>
    <row r="1793" spans="1:10">
      <c r="A1793" s="1">
        <v>160747</v>
      </c>
      <c r="B1793" s="1">
        <v>2000011197</v>
      </c>
      <c r="C1793" s="1">
        <v>24</v>
      </c>
      <c r="D1793" s="1" t="s">
        <v>1409</v>
      </c>
      <c r="E1793" t="s">
        <v>3731</v>
      </c>
      <c r="F1793" s="1">
        <v>162073</v>
      </c>
      <c r="G1793" s="1">
        <v>1116616207</v>
      </c>
      <c r="H1793" s="1">
        <v>24</v>
      </c>
      <c r="I1793" s="1" t="s">
        <v>910</v>
      </c>
      <c r="J1793" t="s">
        <v>3767</v>
      </c>
    </row>
    <row r="1794" spans="1:10">
      <c r="A1794" s="1">
        <v>160739</v>
      </c>
      <c r="B1794" s="1">
        <v>2000011167</v>
      </c>
      <c r="C1794" s="1">
        <v>24</v>
      </c>
      <c r="D1794" s="1" t="s">
        <v>1409</v>
      </c>
      <c r="E1794" t="s">
        <v>3732</v>
      </c>
      <c r="F1794" s="1">
        <v>162057</v>
      </c>
      <c r="G1794" s="1">
        <v>1116616205</v>
      </c>
      <c r="H1794" s="1">
        <v>24</v>
      </c>
      <c r="I1794" s="1" t="s">
        <v>3272</v>
      </c>
      <c r="J1794" t="s">
        <v>3767</v>
      </c>
    </row>
    <row r="1795" spans="1:10">
      <c r="A1795" s="1">
        <v>160481</v>
      </c>
      <c r="B1795" s="1">
        <v>2880010314</v>
      </c>
      <c r="C1795" s="1">
        <v>12</v>
      </c>
      <c r="D1795" s="1" t="s">
        <v>3354</v>
      </c>
      <c r="E1795" t="s">
        <v>3733</v>
      </c>
      <c r="F1795" s="1">
        <v>162768</v>
      </c>
      <c r="G1795" s="1">
        <v>1116616276</v>
      </c>
      <c r="H1795" s="1">
        <v>24</v>
      </c>
      <c r="I1795" s="1" t="s">
        <v>910</v>
      </c>
      <c r="J1795" t="s">
        <v>3768</v>
      </c>
    </row>
    <row r="1796" spans="1:10">
      <c r="A1796" s="1">
        <v>160531</v>
      </c>
      <c r="B1796" s="1">
        <v>2880010317</v>
      </c>
      <c r="C1796" s="1">
        <v>12</v>
      </c>
      <c r="D1796" s="1" t="s">
        <v>3284</v>
      </c>
      <c r="E1796" t="s">
        <v>3734</v>
      </c>
      <c r="F1796" s="1">
        <v>162065</v>
      </c>
      <c r="G1796" s="1">
        <v>1116616206</v>
      </c>
      <c r="H1796" s="1">
        <v>12</v>
      </c>
      <c r="I1796" s="1" t="s">
        <v>910</v>
      </c>
      <c r="J1796" t="s">
        <v>3769</v>
      </c>
    </row>
    <row r="1797" spans="1:10" ht="15.75">
      <c r="A1797" s="1">
        <v>160499</v>
      </c>
      <c r="B1797" s="1">
        <v>2880010313</v>
      </c>
      <c r="C1797" s="1">
        <v>12</v>
      </c>
      <c r="D1797" s="1" t="s">
        <v>1473</v>
      </c>
      <c r="E1797" t="s">
        <v>3735</v>
      </c>
      <c r="F1797" s="4" t="s">
        <v>10726</v>
      </c>
      <c r="G1797" s="2"/>
      <c r="H1797" s="2"/>
      <c r="I1797" s="2"/>
      <c r="J1797" s="3"/>
    </row>
    <row r="1798" spans="1:10">
      <c r="A1798" s="1">
        <v>160473</v>
      </c>
      <c r="B1798" s="1">
        <v>2880010901</v>
      </c>
      <c r="C1798" s="1">
        <v>12</v>
      </c>
      <c r="D1798" s="1" t="s">
        <v>1468</v>
      </c>
      <c r="E1798" t="s">
        <v>3736</v>
      </c>
      <c r="F1798" s="2" t="s">
        <v>0</v>
      </c>
      <c r="G1798" s="2" t="s">
        <v>1</v>
      </c>
      <c r="H1798" s="2" t="s">
        <v>2</v>
      </c>
      <c r="I1798" s="2" t="s">
        <v>3</v>
      </c>
      <c r="J1798" s="3" t="s">
        <v>4</v>
      </c>
    </row>
    <row r="1799" spans="1:10">
      <c r="A1799" s="1">
        <v>189365</v>
      </c>
      <c r="B1799" s="1">
        <v>2880010312</v>
      </c>
      <c r="C1799" s="1">
        <v>6</v>
      </c>
      <c r="D1799" s="1" t="s">
        <v>3737</v>
      </c>
      <c r="E1799" t="s">
        <v>3738</v>
      </c>
      <c r="F1799" s="1">
        <v>163782</v>
      </c>
      <c r="G1799" s="1">
        <v>2400016299</v>
      </c>
      <c r="H1799" s="1">
        <v>24</v>
      </c>
      <c r="I1799" s="1" t="s">
        <v>1409</v>
      </c>
      <c r="J1799" t="s">
        <v>3770</v>
      </c>
    </row>
    <row r="1800" spans="1:10">
      <c r="A1800" s="1">
        <v>160754</v>
      </c>
      <c r="B1800" s="1">
        <v>3710003318</v>
      </c>
      <c r="C1800" s="1">
        <v>24</v>
      </c>
      <c r="D1800" s="1" t="s">
        <v>1409</v>
      </c>
      <c r="E1800" t="s">
        <v>3739</v>
      </c>
      <c r="F1800" s="1">
        <v>163816</v>
      </c>
      <c r="G1800" s="1">
        <v>2400001488</v>
      </c>
      <c r="H1800" s="1">
        <v>12</v>
      </c>
      <c r="I1800" s="1" t="s">
        <v>3272</v>
      </c>
      <c r="J1800" t="s">
        <v>3770</v>
      </c>
    </row>
    <row r="1801" spans="1:10">
      <c r="A1801" s="1">
        <v>685388</v>
      </c>
      <c r="B1801" s="1">
        <v>3710003443</v>
      </c>
      <c r="C1801" s="1">
        <v>6</v>
      </c>
      <c r="D1801" s="1" t="s">
        <v>3737</v>
      </c>
      <c r="E1801" t="s">
        <v>3740</v>
      </c>
      <c r="F1801" s="1">
        <v>163774</v>
      </c>
      <c r="G1801" s="1">
        <v>73639350214</v>
      </c>
      <c r="H1801" s="1">
        <v>12</v>
      </c>
      <c r="I1801" s="1" t="s">
        <v>910</v>
      </c>
      <c r="J1801" t="s">
        <v>3771</v>
      </c>
    </row>
    <row r="1802" spans="1:10">
      <c r="A1802" s="1">
        <v>160762</v>
      </c>
      <c r="B1802" s="1">
        <v>3710003332</v>
      </c>
      <c r="C1802" s="1">
        <v>24</v>
      </c>
      <c r="D1802" s="1" t="s">
        <v>1409</v>
      </c>
      <c r="E1802" t="s">
        <v>3741</v>
      </c>
      <c r="F1802" s="1">
        <v>172502</v>
      </c>
      <c r="G1802" s="1">
        <v>2000011307</v>
      </c>
      <c r="H1802" s="1">
        <v>12</v>
      </c>
      <c r="I1802" s="1" t="s">
        <v>910</v>
      </c>
      <c r="J1802" t="s">
        <v>3772</v>
      </c>
    </row>
    <row r="1803" spans="1:10">
      <c r="A1803" s="1">
        <v>160358</v>
      </c>
      <c r="B1803" s="1">
        <v>1116616035</v>
      </c>
      <c r="C1803" s="1">
        <v>24</v>
      </c>
      <c r="D1803" s="1" t="s">
        <v>1409</v>
      </c>
      <c r="E1803" t="s">
        <v>3742</v>
      </c>
      <c r="F1803" s="1">
        <v>351833</v>
      </c>
      <c r="G1803" s="1">
        <v>3710003585</v>
      </c>
      <c r="H1803" s="1">
        <v>6</v>
      </c>
      <c r="I1803" s="1" t="s">
        <v>3773</v>
      </c>
      <c r="J1803" t="s">
        <v>3774</v>
      </c>
    </row>
    <row r="1804" spans="1:10">
      <c r="A1804" s="1">
        <v>160408</v>
      </c>
      <c r="B1804" s="1">
        <v>1116616040</v>
      </c>
      <c r="C1804" s="1">
        <v>12</v>
      </c>
      <c r="D1804" s="1" t="s">
        <v>1473</v>
      </c>
      <c r="E1804" t="s">
        <v>3742</v>
      </c>
      <c r="F1804" s="1">
        <v>160721</v>
      </c>
      <c r="G1804" s="1">
        <v>3710003578</v>
      </c>
      <c r="H1804" s="1">
        <v>12</v>
      </c>
      <c r="I1804" s="1" t="s">
        <v>1409</v>
      </c>
      <c r="J1804" t="s">
        <v>3774</v>
      </c>
    </row>
    <row r="1805" spans="1:10" ht="15.75">
      <c r="A1805" s="4" t="s">
        <v>10726</v>
      </c>
      <c r="B1805" s="2"/>
      <c r="C1805" s="2"/>
      <c r="D1805" s="2"/>
      <c r="E1805" s="3"/>
      <c r="F1805" s="4" t="s">
        <v>10727</v>
      </c>
      <c r="G1805" s="2"/>
      <c r="H1805" s="2"/>
      <c r="I1805" s="2"/>
      <c r="J1805" s="3"/>
    </row>
    <row r="1806" spans="1:10">
      <c r="A1806" s="2" t="s">
        <v>0</v>
      </c>
      <c r="B1806" s="2" t="s">
        <v>1</v>
      </c>
      <c r="C1806" s="2" t="s">
        <v>2</v>
      </c>
      <c r="D1806" s="2" t="s">
        <v>3</v>
      </c>
      <c r="E1806" s="3" t="s">
        <v>4</v>
      </c>
      <c r="F1806" s="2" t="s">
        <v>0</v>
      </c>
      <c r="G1806" s="2" t="s">
        <v>1</v>
      </c>
      <c r="H1806" s="2" t="s">
        <v>2</v>
      </c>
      <c r="I1806" s="2" t="s">
        <v>3</v>
      </c>
      <c r="J1806" s="3" t="s">
        <v>4</v>
      </c>
    </row>
    <row r="1807" spans="1:10">
      <c r="A1807" s="1">
        <v>163519</v>
      </c>
      <c r="B1807" s="1">
        <v>1116616351</v>
      </c>
      <c r="C1807" s="1">
        <v>24</v>
      </c>
      <c r="D1807" s="1" t="s">
        <v>1409</v>
      </c>
      <c r="E1807" t="s">
        <v>3775</v>
      </c>
      <c r="F1807" s="1">
        <v>164665</v>
      </c>
      <c r="G1807" s="1">
        <v>1116616466</v>
      </c>
      <c r="H1807" s="1">
        <v>24</v>
      </c>
      <c r="I1807" s="1" t="s">
        <v>1037</v>
      </c>
      <c r="J1807" t="s">
        <v>3811</v>
      </c>
    </row>
    <row r="1808" spans="1:10">
      <c r="A1808" s="1">
        <v>163527</v>
      </c>
      <c r="B1808" s="1">
        <v>1116616352</v>
      </c>
      <c r="C1808" s="1">
        <v>24</v>
      </c>
      <c r="D1808" s="1" t="s">
        <v>1409</v>
      </c>
      <c r="E1808" t="s">
        <v>3776</v>
      </c>
      <c r="F1808" s="1">
        <v>167981</v>
      </c>
      <c r="G1808" s="1">
        <v>1116616798</v>
      </c>
      <c r="H1808" s="1">
        <v>24</v>
      </c>
      <c r="I1808" s="1" t="s">
        <v>910</v>
      </c>
      <c r="J1808" t="s">
        <v>3812</v>
      </c>
    </row>
    <row r="1809" spans="1:10" ht="15.75">
      <c r="A1809" s="4" t="s">
        <v>10727</v>
      </c>
      <c r="B1809" s="2"/>
      <c r="C1809" s="2"/>
      <c r="D1809" s="2"/>
      <c r="E1809" s="3"/>
      <c r="F1809" s="1">
        <v>165662</v>
      </c>
      <c r="G1809" s="1">
        <v>1116616566</v>
      </c>
      <c r="H1809" s="1">
        <v>24</v>
      </c>
      <c r="I1809" s="1" t="s">
        <v>1037</v>
      </c>
      <c r="J1809" t="s">
        <v>3813</v>
      </c>
    </row>
    <row r="1810" spans="1:10">
      <c r="A1810" s="2" t="s">
        <v>0</v>
      </c>
      <c r="B1810" s="2" t="s">
        <v>1</v>
      </c>
      <c r="C1810" s="2" t="s">
        <v>2</v>
      </c>
      <c r="D1810" s="2" t="s">
        <v>3</v>
      </c>
      <c r="E1810" s="3" t="s">
        <v>4</v>
      </c>
      <c r="F1810" s="1">
        <v>165670</v>
      </c>
      <c r="G1810" s="1">
        <v>1116616567</v>
      </c>
      <c r="H1810" s="1">
        <v>24</v>
      </c>
      <c r="I1810" s="1" t="s">
        <v>1037</v>
      </c>
      <c r="J1810" t="s">
        <v>3814</v>
      </c>
    </row>
    <row r="1811" spans="1:10">
      <c r="A1811" s="1">
        <v>895532</v>
      </c>
      <c r="B1811" s="1">
        <v>3940001723</v>
      </c>
      <c r="C1811" s="1">
        <v>12</v>
      </c>
      <c r="D1811" s="1" t="s">
        <v>1483</v>
      </c>
      <c r="E1811" t="s">
        <v>3777</v>
      </c>
      <c r="F1811" s="1">
        <v>165779</v>
      </c>
      <c r="G1811" s="1">
        <v>1116616577</v>
      </c>
      <c r="H1811" s="1">
        <v>24</v>
      </c>
      <c r="I1811" s="1" t="s">
        <v>365</v>
      </c>
      <c r="J1811" t="s">
        <v>3813</v>
      </c>
    </row>
    <row r="1812" spans="1:10">
      <c r="A1812" s="1">
        <v>409235</v>
      </c>
      <c r="B1812" s="1">
        <v>2400056669</v>
      </c>
      <c r="C1812" s="1">
        <v>12</v>
      </c>
      <c r="D1812" s="1" t="s">
        <v>1037</v>
      </c>
      <c r="E1812" t="s">
        <v>3778</v>
      </c>
      <c r="F1812" s="1">
        <v>17798</v>
      </c>
      <c r="G1812" s="1">
        <v>4113030463</v>
      </c>
      <c r="H1812" s="1">
        <v>24</v>
      </c>
      <c r="I1812" s="1" t="s">
        <v>1409</v>
      </c>
      <c r="J1812" t="s">
        <v>3815</v>
      </c>
    </row>
    <row r="1813" spans="1:10">
      <c r="A1813" s="1">
        <v>166728</v>
      </c>
      <c r="B1813" s="1">
        <v>2400016301</v>
      </c>
      <c r="C1813" s="1">
        <v>24</v>
      </c>
      <c r="D1813" s="1" t="s">
        <v>3779</v>
      </c>
      <c r="E1813" t="s">
        <v>3780</v>
      </c>
      <c r="F1813" s="1">
        <v>17780</v>
      </c>
      <c r="G1813" s="1">
        <v>4113030462</v>
      </c>
      <c r="H1813" s="1">
        <v>24</v>
      </c>
      <c r="I1813" s="1" t="s">
        <v>1037</v>
      </c>
      <c r="J1813" t="s">
        <v>3816</v>
      </c>
    </row>
    <row r="1814" spans="1:10">
      <c r="A1814" s="1">
        <v>166694</v>
      </c>
      <c r="B1814" s="1">
        <v>2400016303</v>
      </c>
      <c r="C1814" s="1">
        <v>12</v>
      </c>
      <c r="D1814" s="1" t="s">
        <v>3779</v>
      </c>
      <c r="E1814" t="s">
        <v>3781</v>
      </c>
      <c r="F1814" s="1">
        <v>178889</v>
      </c>
      <c r="G1814" s="1">
        <v>5030031465</v>
      </c>
      <c r="H1814" s="1">
        <v>12</v>
      </c>
      <c r="I1814" s="1" t="s">
        <v>1037</v>
      </c>
      <c r="J1814" t="s">
        <v>3817</v>
      </c>
    </row>
    <row r="1815" spans="1:10" ht="15.75">
      <c r="A1815" s="1">
        <v>166132</v>
      </c>
      <c r="B1815" s="1">
        <v>2400016300</v>
      </c>
      <c r="C1815" s="1">
        <v>24</v>
      </c>
      <c r="D1815" s="1" t="s">
        <v>3779</v>
      </c>
      <c r="E1815" t="s">
        <v>3782</v>
      </c>
      <c r="F1815" s="4" t="s">
        <v>10728</v>
      </c>
      <c r="G1815" s="2"/>
      <c r="H1815" s="2"/>
      <c r="I1815" s="2"/>
      <c r="J1815" s="3"/>
    </row>
    <row r="1816" spans="1:10">
      <c r="A1816" s="1">
        <v>165860</v>
      </c>
      <c r="B1816" s="1">
        <v>2400001441</v>
      </c>
      <c r="C1816" s="1">
        <v>12</v>
      </c>
      <c r="D1816" s="1" t="s">
        <v>3272</v>
      </c>
      <c r="E1816" t="s">
        <v>3783</v>
      </c>
      <c r="F1816" s="2" t="s">
        <v>0</v>
      </c>
      <c r="G1816" s="2" t="s">
        <v>1</v>
      </c>
      <c r="H1816" s="2" t="s">
        <v>2</v>
      </c>
      <c r="I1816" s="2" t="s">
        <v>3</v>
      </c>
      <c r="J1816" s="3" t="s">
        <v>4</v>
      </c>
    </row>
    <row r="1817" spans="1:10">
      <c r="A1817" s="1">
        <v>167510</v>
      </c>
      <c r="B1817" s="1">
        <v>2400003171</v>
      </c>
      <c r="C1817" s="1">
        <v>12</v>
      </c>
      <c r="D1817" s="1" t="s">
        <v>3271</v>
      </c>
      <c r="E1817" t="s">
        <v>3784</v>
      </c>
      <c r="F1817" s="1">
        <v>169599</v>
      </c>
      <c r="G1817" s="1">
        <v>2400002764</v>
      </c>
      <c r="H1817" s="1">
        <v>24</v>
      </c>
      <c r="I1817" s="1" t="s">
        <v>1409</v>
      </c>
      <c r="J1817" t="s">
        <v>3818</v>
      </c>
    </row>
    <row r="1818" spans="1:10">
      <c r="A1818" s="1">
        <v>165902</v>
      </c>
      <c r="B1818" s="1">
        <v>2400001544</v>
      </c>
      <c r="C1818" s="1">
        <v>24</v>
      </c>
      <c r="D1818" s="1" t="s">
        <v>363</v>
      </c>
      <c r="E1818" t="s">
        <v>3785</v>
      </c>
      <c r="F1818" s="1">
        <v>175968</v>
      </c>
      <c r="G1818" s="1">
        <v>2400016311</v>
      </c>
      <c r="H1818" s="1">
        <v>12</v>
      </c>
      <c r="I1818" s="1" t="s">
        <v>1409</v>
      </c>
      <c r="J1818" t="s">
        <v>3819</v>
      </c>
    </row>
    <row r="1819" spans="1:10">
      <c r="A1819" s="1">
        <v>167098</v>
      </c>
      <c r="B1819" s="1">
        <v>2400016305</v>
      </c>
      <c r="C1819" s="1">
        <v>24</v>
      </c>
      <c r="D1819" s="1" t="s">
        <v>1037</v>
      </c>
      <c r="E1819" t="s">
        <v>3786</v>
      </c>
      <c r="F1819" s="1">
        <v>175042</v>
      </c>
      <c r="G1819" s="1">
        <v>2400001320</v>
      </c>
      <c r="H1819" s="1">
        <v>12</v>
      </c>
      <c r="I1819" s="1" t="s">
        <v>365</v>
      </c>
      <c r="J1819" t="s">
        <v>3819</v>
      </c>
    </row>
    <row r="1820" spans="1:10">
      <c r="A1820" s="1">
        <v>166637</v>
      </c>
      <c r="B1820" s="1">
        <v>2400000095</v>
      </c>
      <c r="C1820" s="1">
        <v>12</v>
      </c>
      <c r="D1820" s="1" t="s">
        <v>1096</v>
      </c>
      <c r="E1820" t="s">
        <v>3787</v>
      </c>
      <c r="F1820" s="1">
        <v>169540</v>
      </c>
      <c r="G1820" s="1">
        <v>2400016319</v>
      </c>
      <c r="H1820" s="1">
        <v>24</v>
      </c>
      <c r="I1820" s="1" t="s">
        <v>1409</v>
      </c>
      <c r="J1820" t="s">
        <v>3820</v>
      </c>
    </row>
    <row r="1821" spans="1:10">
      <c r="A1821" s="1">
        <v>167270</v>
      </c>
      <c r="B1821" s="1">
        <v>2400016302</v>
      </c>
      <c r="C1821" s="1">
        <v>24</v>
      </c>
      <c r="D1821" s="1" t="s">
        <v>1037</v>
      </c>
      <c r="E1821" t="s">
        <v>3788</v>
      </c>
      <c r="F1821" s="1">
        <v>169581</v>
      </c>
      <c r="G1821" s="1">
        <v>2400001458</v>
      </c>
      <c r="H1821" s="1">
        <v>12</v>
      </c>
      <c r="I1821" s="1" t="s">
        <v>3272</v>
      </c>
      <c r="J1821" t="s">
        <v>3820</v>
      </c>
    </row>
    <row r="1822" spans="1:10">
      <c r="A1822" s="1">
        <v>166678</v>
      </c>
      <c r="B1822" s="1">
        <v>2400001440</v>
      </c>
      <c r="C1822" s="1">
        <v>12</v>
      </c>
      <c r="D1822" s="1" t="s">
        <v>1096</v>
      </c>
      <c r="E1822" t="s">
        <v>3788</v>
      </c>
      <c r="F1822" s="1">
        <v>434563</v>
      </c>
      <c r="G1822" s="1">
        <v>73639350218</v>
      </c>
      <c r="H1822" s="1">
        <v>12</v>
      </c>
      <c r="I1822" s="1" t="s">
        <v>1037</v>
      </c>
      <c r="J1822" t="s">
        <v>3821</v>
      </c>
    </row>
    <row r="1823" spans="1:10">
      <c r="A1823" s="1">
        <v>165985</v>
      </c>
      <c r="B1823" s="1">
        <v>2400002771</v>
      </c>
      <c r="C1823" s="1">
        <v>12</v>
      </c>
      <c r="D1823" s="1" t="s">
        <v>1037</v>
      </c>
      <c r="E1823" t="s">
        <v>3789</v>
      </c>
      <c r="F1823" s="1">
        <v>188904</v>
      </c>
      <c r="G1823" s="1">
        <v>2880012606</v>
      </c>
      <c r="H1823" s="1">
        <v>6</v>
      </c>
      <c r="I1823" s="1" t="s">
        <v>3304</v>
      </c>
      <c r="J1823" t="s">
        <v>3822</v>
      </c>
    </row>
    <row r="1824" spans="1:10">
      <c r="A1824" s="1">
        <v>165977</v>
      </c>
      <c r="B1824" s="1">
        <v>2400016304</v>
      </c>
      <c r="C1824" s="1">
        <v>12</v>
      </c>
      <c r="D1824" s="1" t="s">
        <v>1037</v>
      </c>
      <c r="E1824" t="s">
        <v>3790</v>
      </c>
      <c r="F1824" s="1">
        <v>10462</v>
      </c>
      <c r="G1824" s="1">
        <v>3710004310</v>
      </c>
      <c r="H1824" s="1">
        <v>12</v>
      </c>
      <c r="I1824" s="1" t="s">
        <v>910</v>
      </c>
      <c r="J1824" t="s">
        <v>3823</v>
      </c>
    </row>
    <row r="1825" spans="1:10">
      <c r="A1825" s="1">
        <v>757716</v>
      </c>
      <c r="B1825" s="1">
        <v>2400039303</v>
      </c>
      <c r="C1825" s="1">
        <v>12</v>
      </c>
      <c r="D1825" s="1" t="s">
        <v>1037</v>
      </c>
      <c r="E1825" t="s">
        <v>3791</v>
      </c>
      <c r="F1825" s="1">
        <v>168799</v>
      </c>
      <c r="G1825" s="1">
        <v>3710003817</v>
      </c>
      <c r="H1825" s="1">
        <v>12</v>
      </c>
      <c r="I1825" s="1" t="s">
        <v>910</v>
      </c>
      <c r="J1825" t="s">
        <v>3824</v>
      </c>
    </row>
    <row r="1826" spans="1:10">
      <c r="A1826" s="1">
        <v>166884</v>
      </c>
      <c r="B1826" s="1">
        <v>73639350213</v>
      </c>
      <c r="C1826" s="1">
        <v>12</v>
      </c>
      <c r="D1826" s="1" t="s">
        <v>910</v>
      </c>
      <c r="E1826" t="s">
        <v>3792</v>
      </c>
      <c r="F1826" s="1">
        <v>150177</v>
      </c>
      <c r="G1826" s="1">
        <v>4144311053</v>
      </c>
      <c r="H1826" s="1">
        <v>12</v>
      </c>
      <c r="I1826" s="1" t="s">
        <v>910</v>
      </c>
      <c r="J1826" t="s">
        <v>3825</v>
      </c>
    </row>
    <row r="1827" spans="1:10">
      <c r="A1827" s="1">
        <v>165787</v>
      </c>
      <c r="B1827" s="1">
        <v>2000010591</v>
      </c>
      <c r="C1827" s="1">
        <v>24</v>
      </c>
      <c r="D1827" s="1" t="s">
        <v>3779</v>
      </c>
      <c r="E1827" t="s">
        <v>3793</v>
      </c>
      <c r="F1827" s="1">
        <v>168336</v>
      </c>
      <c r="G1827" s="1">
        <v>1116616833</v>
      </c>
      <c r="H1827" s="1">
        <v>24</v>
      </c>
      <c r="I1827" s="1" t="s">
        <v>910</v>
      </c>
      <c r="J1827" t="s">
        <v>3826</v>
      </c>
    </row>
    <row r="1828" spans="1:10">
      <c r="A1828" s="1">
        <v>167007</v>
      </c>
      <c r="B1828" s="1">
        <v>2000010453</v>
      </c>
      <c r="C1828" s="1">
        <v>12</v>
      </c>
      <c r="D1828" s="1" t="s">
        <v>363</v>
      </c>
      <c r="E1828" t="s">
        <v>3794</v>
      </c>
      <c r="F1828" s="1">
        <v>168328</v>
      </c>
      <c r="G1828" s="1">
        <v>1116616832</v>
      </c>
      <c r="H1828" s="1">
        <v>24</v>
      </c>
      <c r="I1828" s="1" t="s">
        <v>3272</v>
      </c>
      <c r="J1828" t="s">
        <v>3826</v>
      </c>
    </row>
    <row r="1829" spans="1:10">
      <c r="A1829" s="1">
        <v>166991</v>
      </c>
      <c r="B1829" s="1">
        <v>2000010419</v>
      </c>
      <c r="C1829" s="1">
        <v>24</v>
      </c>
      <c r="D1829" s="1" t="s">
        <v>363</v>
      </c>
      <c r="E1829" t="s">
        <v>3795</v>
      </c>
      <c r="F1829" s="1">
        <v>168310</v>
      </c>
      <c r="G1829" s="1">
        <v>1116616831</v>
      </c>
      <c r="H1829" s="1">
        <v>24</v>
      </c>
      <c r="I1829" s="1" t="s">
        <v>910</v>
      </c>
      <c r="J1829" t="s">
        <v>3827</v>
      </c>
    </row>
    <row r="1830" spans="1:10">
      <c r="A1830" s="1">
        <v>167197</v>
      </c>
      <c r="B1830" s="1">
        <v>2000011274</v>
      </c>
      <c r="C1830" s="1">
        <v>12</v>
      </c>
      <c r="D1830" s="1" t="s">
        <v>363</v>
      </c>
      <c r="E1830" t="s">
        <v>3796</v>
      </c>
      <c r="F1830" s="1">
        <v>168302</v>
      </c>
      <c r="G1830" s="1">
        <v>1116616830</v>
      </c>
      <c r="H1830" s="1">
        <v>24</v>
      </c>
      <c r="I1830" s="1" t="s">
        <v>365</v>
      </c>
      <c r="J1830" t="s">
        <v>3827</v>
      </c>
    </row>
    <row r="1831" spans="1:10">
      <c r="A1831" s="1">
        <v>166017</v>
      </c>
      <c r="B1831" s="1">
        <v>2000010390</v>
      </c>
      <c r="C1831" s="1">
        <v>24</v>
      </c>
      <c r="D1831" s="1" t="s">
        <v>1037</v>
      </c>
      <c r="E1831" t="s">
        <v>3797</v>
      </c>
      <c r="F1831" s="1">
        <v>168682</v>
      </c>
      <c r="G1831" s="1">
        <v>3470000049</v>
      </c>
      <c r="H1831" s="1">
        <v>24</v>
      </c>
      <c r="I1831" s="1" t="s">
        <v>910</v>
      </c>
      <c r="J1831" t="s">
        <v>3828</v>
      </c>
    </row>
    <row r="1832" spans="1:10" ht="15.75">
      <c r="A1832" s="1">
        <v>167189</v>
      </c>
      <c r="B1832" s="1">
        <v>2000010473</v>
      </c>
      <c r="C1832" s="1">
        <v>24</v>
      </c>
      <c r="D1832" s="1" t="s">
        <v>1037</v>
      </c>
      <c r="E1832" t="s">
        <v>3798</v>
      </c>
      <c r="F1832" s="4" t="s">
        <v>10729</v>
      </c>
      <c r="G1832" s="2"/>
      <c r="H1832" s="2"/>
      <c r="I1832" s="2"/>
      <c r="J1832" s="3"/>
    </row>
    <row r="1833" spans="1:10">
      <c r="A1833" s="1">
        <v>703934</v>
      </c>
      <c r="B1833" s="1">
        <v>2000045746</v>
      </c>
      <c r="C1833" s="1">
        <v>12</v>
      </c>
      <c r="D1833" s="1" t="s">
        <v>363</v>
      </c>
      <c r="E1833" t="s">
        <v>3799</v>
      </c>
      <c r="F1833" s="2" t="s">
        <v>0</v>
      </c>
      <c r="G1833" s="2" t="s">
        <v>1</v>
      </c>
      <c r="H1833" s="2" t="s">
        <v>2</v>
      </c>
      <c r="I1833" s="2" t="s">
        <v>3</v>
      </c>
      <c r="J1833" s="3" t="s">
        <v>4</v>
      </c>
    </row>
    <row r="1834" spans="1:10">
      <c r="A1834" s="1">
        <v>509307</v>
      </c>
      <c r="B1834" s="1">
        <v>2000010821</v>
      </c>
      <c r="C1834" s="1">
        <v>24</v>
      </c>
      <c r="D1834" s="1" t="s">
        <v>363</v>
      </c>
      <c r="E1834" t="s">
        <v>3800</v>
      </c>
      <c r="F1834" s="1">
        <v>423285</v>
      </c>
      <c r="G1834" s="1">
        <v>2880015902</v>
      </c>
      <c r="H1834" s="1">
        <v>6</v>
      </c>
      <c r="I1834" s="1" t="s">
        <v>3829</v>
      </c>
      <c r="J1834" t="s">
        <v>3830</v>
      </c>
    </row>
    <row r="1835" spans="1:10">
      <c r="A1835" s="1">
        <v>166983</v>
      </c>
      <c r="B1835" s="1">
        <v>2000010546</v>
      </c>
      <c r="C1835" s="1">
        <v>12</v>
      </c>
      <c r="D1835" s="1" t="s">
        <v>363</v>
      </c>
      <c r="E1835" t="s">
        <v>3801</v>
      </c>
      <c r="F1835" s="1">
        <v>540930</v>
      </c>
      <c r="G1835" s="1">
        <v>3940001368</v>
      </c>
      <c r="H1835" s="1">
        <v>12</v>
      </c>
      <c r="I1835" s="1" t="s">
        <v>3661</v>
      </c>
      <c r="J1835" t="s">
        <v>3831</v>
      </c>
    </row>
    <row r="1836" spans="1:10">
      <c r="A1836" s="1">
        <v>189522</v>
      </c>
      <c r="B1836" s="1">
        <v>2880012302</v>
      </c>
      <c r="C1836" s="1">
        <v>6</v>
      </c>
      <c r="D1836" s="1" t="s">
        <v>3398</v>
      </c>
      <c r="E1836" t="s">
        <v>3802</v>
      </c>
      <c r="F1836" s="1">
        <v>157255</v>
      </c>
      <c r="G1836" s="1">
        <v>2400056515</v>
      </c>
      <c r="H1836" s="1">
        <v>12</v>
      </c>
      <c r="I1836" s="1" t="s">
        <v>910</v>
      </c>
      <c r="J1836" t="s">
        <v>3832</v>
      </c>
    </row>
    <row r="1837" spans="1:10">
      <c r="A1837" s="1">
        <v>166611</v>
      </c>
      <c r="B1837" s="1">
        <v>3710003662</v>
      </c>
      <c r="C1837" s="1">
        <v>24</v>
      </c>
      <c r="D1837" s="1" t="s">
        <v>910</v>
      </c>
      <c r="E1837" t="s">
        <v>3803</v>
      </c>
      <c r="F1837" s="1">
        <v>11973</v>
      </c>
      <c r="G1837" s="1">
        <v>2400039205</v>
      </c>
      <c r="H1837" s="1">
        <v>12</v>
      </c>
      <c r="I1837" s="1" t="s">
        <v>910</v>
      </c>
      <c r="J1837" t="s">
        <v>3833</v>
      </c>
    </row>
    <row r="1838" spans="1:10">
      <c r="A1838" s="1">
        <v>166603</v>
      </c>
      <c r="B1838" s="1">
        <v>3710003613</v>
      </c>
      <c r="C1838" s="1">
        <v>24</v>
      </c>
      <c r="D1838" s="1" t="s">
        <v>3779</v>
      </c>
      <c r="E1838" t="s">
        <v>3804</v>
      </c>
      <c r="F1838" s="1">
        <v>172437</v>
      </c>
      <c r="G1838" s="1">
        <v>2400001315</v>
      </c>
      <c r="H1838" s="1">
        <v>12</v>
      </c>
      <c r="I1838" s="1" t="s">
        <v>365</v>
      </c>
      <c r="J1838" t="s">
        <v>3834</v>
      </c>
    </row>
    <row r="1839" spans="1:10">
      <c r="A1839" s="1">
        <v>160713</v>
      </c>
      <c r="B1839" s="1">
        <v>3710004955</v>
      </c>
      <c r="C1839" s="1">
        <v>12</v>
      </c>
      <c r="D1839" s="1" t="s">
        <v>1037</v>
      </c>
      <c r="E1839" t="s">
        <v>3805</v>
      </c>
      <c r="F1839" s="1">
        <v>172908</v>
      </c>
      <c r="G1839" s="1">
        <v>2400016307</v>
      </c>
      <c r="H1839" s="1">
        <v>24</v>
      </c>
      <c r="I1839" s="1" t="s">
        <v>910</v>
      </c>
      <c r="J1839" t="s">
        <v>3835</v>
      </c>
    </row>
    <row r="1840" spans="1:10">
      <c r="A1840" s="1">
        <v>402909</v>
      </c>
      <c r="B1840" s="1">
        <v>3710003663</v>
      </c>
      <c r="C1840" s="1">
        <v>6</v>
      </c>
      <c r="D1840" s="1" t="s">
        <v>3398</v>
      </c>
      <c r="E1840" t="s">
        <v>3806</v>
      </c>
      <c r="F1840" s="1">
        <v>172924</v>
      </c>
      <c r="G1840" s="1">
        <v>2400016308</v>
      </c>
      <c r="H1840" s="1">
        <v>24</v>
      </c>
      <c r="I1840" s="1" t="s">
        <v>910</v>
      </c>
      <c r="J1840" t="s">
        <v>3836</v>
      </c>
    </row>
    <row r="1841" spans="1:10">
      <c r="A1841" s="1">
        <v>168062</v>
      </c>
      <c r="B1841" s="1">
        <v>7159801200</v>
      </c>
      <c r="C1841" s="1">
        <v>12</v>
      </c>
      <c r="D1841" s="1" t="s">
        <v>938</v>
      </c>
      <c r="E1841" t="s">
        <v>3807</v>
      </c>
      <c r="F1841" s="1">
        <v>353680</v>
      </c>
      <c r="G1841" s="1">
        <v>73639350100</v>
      </c>
      <c r="H1841" s="1">
        <v>12</v>
      </c>
      <c r="I1841" s="1" t="s">
        <v>910</v>
      </c>
      <c r="J1841" t="s">
        <v>3837</v>
      </c>
    </row>
    <row r="1842" spans="1:10">
      <c r="A1842" s="1">
        <v>165522</v>
      </c>
      <c r="B1842" s="1">
        <v>4145911111</v>
      </c>
      <c r="C1842" s="1">
        <v>24</v>
      </c>
      <c r="D1842" s="1" t="s">
        <v>1483</v>
      </c>
      <c r="E1842" t="s">
        <v>3808</v>
      </c>
      <c r="F1842" s="1">
        <v>505636</v>
      </c>
      <c r="G1842" s="1">
        <v>73639351001</v>
      </c>
      <c r="H1842" s="1">
        <v>12</v>
      </c>
      <c r="I1842" s="1" t="s">
        <v>910</v>
      </c>
      <c r="J1842" t="s">
        <v>3838</v>
      </c>
    </row>
    <row r="1843" spans="1:10">
      <c r="A1843" s="1">
        <v>165126</v>
      </c>
      <c r="B1843" s="1">
        <v>1116616512</v>
      </c>
      <c r="C1843" s="1">
        <v>24</v>
      </c>
      <c r="D1843" s="1" t="s">
        <v>365</v>
      </c>
      <c r="E1843" t="s">
        <v>3809</v>
      </c>
      <c r="F1843" s="1">
        <v>321737</v>
      </c>
      <c r="G1843" s="1">
        <v>73639350143</v>
      </c>
      <c r="H1843" s="1">
        <v>12</v>
      </c>
      <c r="I1843" s="1" t="s">
        <v>910</v>
      </c>
      <c r="J1843" t="s">
        <v>3839</v>
      </c>
    </row>
    <row r="1844" spans="1:10">
      <c r="A1844" s="1">
        <v>165647</v>
      </c>
      <c r="B1844" s="1">
        <v>1116616564</v>
      </c>
      <c r="C1844" s="1">
        <v>24</v>
      </c>
      <c r="D1844" s="1" t="s">
        <v>3779</v>
      </c>
      <c r="E1844" t="s">
        <v>3810</v>
      </c>
      <c r="F1844" s="1">
        <v>766352</v>
      </c>
      <c r="G1844" s="1">
        <v>2000010154</v>
      </c>
      <c r="H1844" s="1">
        <v>12</v>
      </c>
      <c r="I1844" s="1" t="s">
        <v>365</v>
      </c>
      <c r="J1844" t="s">
        <v>3840</v>
      </c>
    </row>
    <row r="1845" spans="1:10">
      <c r="A1845" s="1">
        <v>165761</v>
      </c>
      <c r="B1845" s="1">
        <v>1116616576</v>
      </c>
      <c r="C1845" s="1">
        <v>24</v>
      </c>
      <c r="D1845" s="1" t="s">
        <v>365</v>
      </c>
      <c r="E1845" t="s">
        <v>3810</v>
      </c>
      <c r="F1845" s="1">
        <v>173021</v>
      </c>
      <c r="G1845" s="1">
        <v>2000010381</v>
      </c>
      <c r="H1845" s="1">
        <v>24</v>
      </c>
      <c r="I1845" s="1" t="s">
        <v>910</v>
      </c>
      <c r="J1845" t="s">
        <v>3841</v>
      </c>
    </row>
    <row r="1846" spans="1:10" ht="15.75">
      <c r="A1846" s="4" t="s">
        <v>10729</v>
      </c>
      <c r="B1846" s="2"/>
      <c r="C1846" s="2"/>
      <c r="D1846" s="2"/>
      <c r="E1846" s="3"/>
      <c r="F1846" s="4" t="s">
        <v>10730</v>
      </c>
      <c r="G1846" s="2"/>
      <c r="H1846" s="2"/>
      <c r="I1846" s="2"/>
      <c r="J1846" s="3"/>
    </row>
    <row r="1847" spans="1:10">
      <c r="A1847" s="2" t="s">
        <v>0</v>
      </c>
      <c r="B1847" s="2" t="s">
        <v>1</v>
      </c>
      <c r="C1847" s="2" t="s">
        <v>2</v>
      </c>
      <c r="D1847" s="2" t="s">
        <v>3</v>
      </c>
      <c r="E1847" s="3" t="s">
        <v>4</v>
      </c>
      <c r="F1847" s="2" t="s">
        <v>0</v>
      </c>
      <c r="G1847" s="2" t="s">
        <v>1</v>
      </c>
      <c r="H1847" s="2" t="s">
        <v>2</v>
      </c>
      <c r="I1847" s="2" t="s">
        <v>3</v>
      </c>
      <c r="J1847" s="3" t="s">
        <v>4</v>
      </c>
    </row>
    <row r="1848" spans="1:10">
      <c r="A1848" s="1">
        <v>182014</v>
      </c>
      <c r="B1848" s="1">
        <v>2880015801</v>
      </c>
      <c r="C1848" s="1">
        <v>24</v>
      </c>
      <c r="D1848" s="1" t="s">
        <v>1483</v>
      </c>
      <c r="E1848" t="s">
        <v>3842</v>
      </c>
      <c r="F1848" s="1">
        <v>508895</v>
      </c>
      <c r="G1848" s="1">
        <v>1600027441</v>
      </c>
      <c r="H1848" s="1">
        <v>12</v>
      </c>
      <c r="I1848" s="1" t="s">
        <v>1737</v>
      </c>
      <c r="J1848" t="s">
        <v>3880</v>
      </c>
    </row>
    <row r="1849" spans="1:10">
      <c r="A1849" s="1">
        <v>174417</v>
      </c>
      <c r="B1849" s="1">
        <v>2880015901</v>
      </c>
      <c r="C1849" s="1">
        <v>24</v>
      </c>
      <c r="D1849" s="1" t="s">
        <v>1483</v>
      </c>
      <c r="E1849" t="s">
        <v>3843</v>
      </c>
      <c r="F1849" s="1">
        <v>242925</v>
      </c>
      <c r="G1849" s="1">
        <v>1600015627</v>
      </c>
      <c r="H1849" s="1">
        <v>12</v>
      </c>
      <c r="I1849" s="1" t="s">
        <v>3881</v>
      </c>
      <c r="J1849" t="s">
        <v>3882</v>
      </c>
    </row>
    <row r="1850" spans="1:10">
      <c r="A1850" s="1">
        <v>174391</v>
      </c>
      <c r="B1850" s="1">
        <v>2880000057</v>
      </c>
      <c r="C1850" s="1">
        <v>24</v>
      </c>
      <c r="D1850" s="1" t="s">
        <v>3441</v>
      </c>
      <c r="E1850" t="s">
        <v>3844</v>
      </c>
      <c r="F1850" s="1">
        <v>554915</v>
      </c>
      <c r="G1850" s="1">
        <v>1600015626</v>
      </c>
      <c r="H1850" s="1">
        <v>12</v>
      </c>
      <c r="I1850" s="1" t="s">
        <v>498</v>
      </c>
      <c r="J1850" t="s">
        <v>3883</v>
      </c>
    </row>
    <row r="1851" spans="1:10">
      <c r="A1851" s="1">
        <v>172668</v>
      </c>
      <c r="B1851" s="1">
        <v>2000011284</v>
      </c>
      <c r="C1851" s="1">
        <v>12</v>
      </c>
      <c r="D1851" s="1" t="s">
        <v>910</v>
      </c>
      <c r="E1851" t="s">
        <v>3845</v>
      </c>
      <c r="F1851" s="1">
        <v>177238</v>
      </c>
      <c r="G1851" s="1">
        <v>5150028060</v>
      </c>
      <c r="H1851" s="1">
        <v>12</v>
      </c>
      <c r="I1851" s="1" t="s">
        <v>958</v>
      </c>
      <c r="J1851" t="s">
        <v>3884</v>
      </c>
    </row>
    <row r="1852" spans="1:10">
      <c r="A1852" s="1">
        <v>173328</v>
      </c>
      <c r="B1852" s="1">
        <v>2000010165</v>
      </c>
      <c r="C1852" s="1">
        <v>24</v>
      </c>
      <c r="D1852" s="1" t="s">
        <v>910</v>
      </c>
      <c r="E1852" t="s">
        <v>3846</v>
      </c>
      <c r="F1852" s="1">
        <v>184986</v>
      </c>
      <c r="G1852" s="1">
        <v>5150028058</v>
      </c>
      <c r="H1852" s="1">
        <v>12</v>
      </c>
      <c r="I1852" s="1" t="s">
        <v>958</v>
      </c>
      <c r="J1852" t="s">
        <v>3885</v>
      </c>
    </row>
    <row r="1853" spans="1:10">
      <c r="A1853" s="1">
        <v>173179</v>
      </c>
      <c r="B1853" s="1">
        <v>3710004213</v>
      </c>
      <c r="C1853" s="1">
        <v>24</v>
      </c>
      <c r="D1853" s="1" t="s">
        <v>910</v>
      </c>
      <c r="E1853" t="s">
        <v>3847</v>
      </c>
      <c r="F1853" s="1">
        <v>170621</v>
      </c>
      <c r="G1853" s="1">
        <v>5150028161</v>
      </c>
      <c r="H1853" s="1">
        <v>10</v>
      </c>
      <c r="I1853" s="1" t="s">
        <v>89</v>
      </c>
      <c r="J1853" t="s">
        <v>3886</v>
      </c>
    </row>
    <row r="1854" spans="1:10">
      <c r="A1854" s="1">
        <v>748251</v>
      </c>
      <c r="B1854" s="1">
        <v>3710004243</v>
      </c>
      <c r="C1854" s="1">
        <v>6</v>
      </c>
      <c r="D1854" s="1" t="s">
        <v>3398</v>
      </c>
      <c r="E1854" t="s">
        <v>3848</v>
      </c>
      <c r="F1854" s="1">
        <v>171306</v>
      </c>
      <c r="G1854" s="1">
        <v>5150028162</v>
      </c>
      <c r="H1854" s="1">
        <v>10</v>
      </c>
      <c r="I1854" s="1" t="s">
        <v>89</v>
      </c>
      <c r="J1854" t="s">
        <v>3887</v>
      </c>
    </row>
    <row r="1855" spans="1:10">
      <c r="A1855" s="1">
        <v>182105</v>
      </c>
      <c r="B1855" s="1">
        <v>6414406102</v>
      </c>
      <c r="C1855" s="1">
        <v>24</v>
      </c>
      <c r="D1855" s="1" t="s">
        <v>910</v>
      </c>
      <c r="E1855" t="s">
        <v>3849</v>
      </c>
      <c r="F1855" s="1">
        <v>170654</v>
      </c>
      <c r="G1855" s="1">
        <v>5150028163</v>
      </c>
      <c r="H1855" s="1">
        <v>10</v>
      </c>
      <c r="I1855" s="1" t="s">
        <v>89</v>
      </c>
      <c r="J1855" t="s">
        <v>3888</v>
      </c>
    </row>
    <row r="1856" spans="1:10">
      <c r="A1856" s="1">
        <v>262956</v>
      </c>
      <c r="B1856" s="1">
        <v>4144303303</v>
      </c>
      <c r="C1856" s="1">
        <v>12</v>
      </c>
      <c r="D1856" s="1" t="s">
        <v>910</v>
      </c>
      <c r="E1856" t="s">
        <v>3850</v>
      </c>
      <c r="F1856" s="1">
        <v>712521</v>
      </c>
      <c r="G1856" s="1">
        <v>5150028165</v>
      </c>
      <c r="H1856" s="1">
        <v>10</v>
      </c>
      <c r="I1856" s="1" t="s">
        <v>89</v>
      </c>
      <c r="J1856" t="s">
        <v>3889</v>
      </c>
    </row>
    <row r="1857" spans="1:10">
      <c r="A1857" s="1">
        <v>445205</v>
      </c>
      <c r="B1857" s="1">
        <v>4144302323</v>
      </c>
      <c r="C1857" s="1">
        <v>12</v>
      </c>
      <c r="D1857" s="1" t="s">
        <v>910</v>
      </c>
      <c r="E1857" t="s">
        <v>3851</v>
      </c>
      <c r="F1857" s="1">
        <v>171298</v>
      </c>
      <c r="G1857" s="1">
        <v>5150028160</v>
      </c>
      <c r="H1857" s="1">
        <v>10</v>
      </c>
      <c r="I1857" s="1" t="s">
        <v>386</v>
      </c>
      <c r="J1857" t="s">
        <v>3890</v>
      </c>
    </row>
    <row r="1858" spans="1:10">
      <c r="A1858" s="1">
        <v>181057</v>
      </c>
      <c r="B1858" s="1">
        <v>1116618105</v>
      </c>
      <c r="C1858" s="1">
        <v>24</v>
      </c>
      <c r="D1858" s="1" t="s">
        <v>910</v>
      </c>
      <c r="E1858" t="s">
        <v>3852</v>
      </c>
      <c r="F1858" s="1">
        <v>174896</v>
      </c>
      <c r="G1858" s="1">
        <v>5150087102</v>
      </c>
      <c r="H1858" s="1">
        <v>12</v>
      </c>
      <c r="I1858" s="1" t="s">
        <v>1407</v>
      </c>
      <c r="J1858" t="s">
        <v>3891</v>
      </c>
    </row>
    <row r="1859" spans="1:10">
      <c r="A1859" s="1">
        <v>169805</v>
      </c>
      <c r="B1859" s="1">
        <v>1116616980</v>
      </c>
      <c r="C1859" s="1">
        <v>24</v>
      </c>
      <c r="D1859" s="1" t="s">
        <v>1483</v>
      </c>
      <c r="E1859" t="s">
        <v>3853</v>
      </c>
      <c r="F1859" s="1">
        <v>174862</v>
      </c>
      <c r="G1859" s="1">
        <v>5150079800</v>
      </c>
      <c r="H1859" s="1">
        <v>12</v>
      </c>
      <c r="I1859" s="1" t="s">
        <v>3892</v>
      </c>
      <c r="J1859" t="s">
        <v>3893</v>
      </c>
    </row>
    <row r="1860" spans="1:10">
      <c r="A1860" s="1">
        <v>172841</v>
      </c>
      <c r="B1860" s="1">
        <v>1116617284</v>
      </c>
      <c r="C1860" s="1">
        <v>24</v>
      </c>
      <c r="D1860" s="1" t="s">
        <v>910</v>
      </c>
      <c r="E1860" t="s">
        <v>3854</v>
      </c>
      <c r="F1860" s="1">
        <v>174912</v>
      </c>
      <c r="G1860" s="1">
        <v>5150087206</v>
      </c>
      <c r="H1860" s="1">
        <v>12</v>
      </c>
      <c r="I1860" s="1" t="s">
        <v>1737</v>
      </c>
      <c r="J1860" t="s">
        <v>3894</v>
      </c>
    </row>
    <row r="1861" spans="1:10">
      <c r="A1861" s="1">
        <v>172288</v>
      </c>
      <c r="B1861" s="1">
        <v>1116617228</v>
      </c>
      <c r="C1861" s="1">
        <v>24</v>
      </c>
      <c r="D1861" s="1" t="s">
        <v>365</v>
      </c>
      <c r="E1861" t="s">
        <v>3855</v>
      </c>
      <c r="F1861" s="1">
        <v>173575</v>
      </c>
      <c r="G1861" s="1">
        <v>2970000145</v>
      </c>
      <c r="H1861" s="1">
        <v>12</v>
      </c>
      <c r="I1861" s="1" t="s">
        <v>397</v>
      </c>
      <c r="J1861" t="s">
        <v>3895</v>
      </c>
    </row>
    <row r="1862" spans="1:10">
      <c r="A1862" s="1">
        <v>172791</v>
      </c>
      <c r="B1862" s="1">
        <v>1116617279</v>
      </c>
      <c r="C1862" s="1">
        <v>24</v>
      </c>
      <c r="D1862" s="1" t="s">
        <v>910</v>
      </c>
      <c r="E1862" t="s">
        <v>3856</v>
      </c>
      <c r="F1862" s="1">
        <v>448381</v>
      </c>
      <c r="G1862" s="1">
        <v>2970000138</v>
      </c>
      <c r="H1862" s="1">
        <v>10</v>
      </c>
      <c r="I1862" s="1" t="s">
        <v>2135</v>
      </c>
      <c r="J1862" t="s">
        <v>3896</v>
      </c>
    </row>
    <row r="1863" spans="1:10">
      <c r="A1863" s="1">
        <v>172296</v>
      </c>
      <c r="B1863" s="1">
        <v>1116617229</v>
      </c>
      <c r="C1863" s="1">
        <v>24</v>
      </c>
      <c r="D1863" s="1" t="s">
        <v>365</v>
      </c>
      <c r="E1863" t="s">
        <v>3857</v>
      </c>
      <c r="F1863" s="1">
        <v>173674</v>
      </c>
      <c r="G1863" s="1">
        <v>2970000146</v>
      </c>
      <c r="H1863" s="1">
        <v>12</v>
      </c>
      <c r="I1863" s="1" t="s">
        <v>397</v>
      </c>
      <c r="J1863" t="s">
        <v>3897</v>
      </c>
    </row>
    <row r="1864" spans="1:10">
      <c r="A1864" s="1">
        <v>172866</v>
      </c>
      <c r="B1864" s="1">
        <v>1116617286</v>
      </c>
      <c r="C1864" s="1">
        <v>24</v>
      </c>
      <c r="D1864" s="1" t="s">
        <v>910</v>
      </c>
      <c r="E1864" t="s">
        <v>3858</v>
      </c>
      <c r="F1864" s="1">
        <v>712513</v>
      </c>
      <c r="G1864" s="1">
        <v>2970000141</v>
      </c>
      <c r="H1864" s="1">
        <v>12</v>
      </c>
      <c r="I1864" s="1" t="s">
        <v>397</v>
      </c>
      <c r="J1864" t="s">
        <v>3898</v>
      </c>
    </row>
    <row r="1865" spans="1:10">
      <c r="A1865" s="1">
        <v>17814</v>
      </c>
      <c r="B1865" s="1">
        <v>4113030465</v>
      </c>
      <c r="C1865" s="1">
        <v>24</v>
      </c>
      <c r="D1865" s="1" t="s">
        <v>910</v>
      </c>
      <c r="E1865" t="s">
        <v>3859</v>
      </c>
      <c r="F1865" s="1">
        <v>892372</v>
      </c>
      <c r="G1865" s="1">
        <v>2970000137</v>
      </c>
      <c r="H1865" s="1">
        <v>10</v>
      </c>
      <c r="I1865" s="1" t="s">
        <v>2135</v>
      </c>
      <c r="J1865" t="s">
        <v>3899</v>
      </c>
    </row>
    <row r="1866" spans="1:10" ht="15.75">
      <c r="A1866" s="4" t="s">
        <v>10730</v>
      </c>
      <c r="B1866" s="2"/>
      <c r="C1866" s="2"/>
      <c r="D1866" s="2"/>
      <c r="E1866" s="3"/>
      <c r="F1866" s="1">
        <v>173617</v>
      </c>
      <c r="G1866" s="1">
        <v>2970000148</v>
      </c>
      <c r="H1866" s="1">
        <v>12</v>
      </c>
      <c r="I1866" s="1" t="s">
        <v>397</v>
      </c>
      <c r="J1866" t="s">
        <v>3900</v>
      </c>
    </row>
    <row r="1867" spans="1:10">
      <c r="A1867" s="2" t="s">
        <v>0</v>
      </c>
      <c r="B1867" s="2" t="s">
        <v>1</v>
      </c>
      <c r="C1867" s="2" t="s">
        <v>2</v>
      </c>
      <c r="D1867" s="2" t="s">
        <v>3</v>
      </c>
      <c r="E1867" s="3" t="s">
        <v>4</v>
      </c>
      <c r="F1867" s="1">
        <v>171777</v>
      </c>
      <c r="G1867" s="1">
        <v>2970000112</v>
      </c>
      <c r="H1867" s="1">
        <v>24</v>
      </c>
      <c r="I1867" s="1" t="s">
        <v>31</v>
      </c>
      <c r="J1867" t="s">
        <v>3901</v>
      </c>
    </row>
    <row r="1868" spans="1:10">
      <c r="A1868" s="1">
        <v>175109</v>
      </c>
      <c r="B1868" s="1">
        <v>1600039510</v>
      </c>
      <c r="C1868" s="1">
        <v>12</v>
      </c>
      <c r="D1868" s="1" t="s">
        <v>394</v>
      </c>
      <c r="E1868" t="s">
        <v>3860</v>
      </c>
      <c r="F1868" s="1">
        <v>171496</v>
      </c>
      <c r="G1868" s="1">
        <v>2970000116</v>
      </c>
      <c r="H1868" s="1">
        <v>12</v>
      </c>
      <c r="I1868" s="1" t="s">
        <v>399</v>
      </c>
      <c r="J1868" t="s">
        <v>3901</v>
      </c>
    </row>
    <row r="1869" spans="1:10">
      <c r="A1869" s="1">
        <v>81810</v>
      </c>
      <c r="B1869" s="1">
        <v>1600027443</v>
      </c>
      <c r="C1869" s="1">
        <v>12</v>
      </c>
      <c r="D1869" s="1" t="s">
        <v>1737</v>
      </c>
      <c r="E1869" t="s">
        <v>3861</v>
      </c>
      <c r="F1869" s="1">
        <v>171488</v>
      </c>
      <c r="G1869" s="1">
        <v>2970000121</v>
      </c>
      <c r="H1869" s="1">
        <v>6</v>
      </c>
      <c r="I1869" s="1" t="s">
        <v>954</v>
      </c>
      <c r="J1869" t="s">
        <v>3902</v>
      </c>
    </row>
    <row r="1870" spans="1:10">
      <c r="A1870" s="1">
        <v>174771</v>
      </c>
      <c r="B1870" s="1">
        <v>1600024220</v>
      </c>
      <c r="C1870" s="1">
        <v>12</v>
      </c>
      <c r="D1870" s="1" t="s">
        <v>793</v>
      </c>
      <c r="E1870" t="s">
        <v>3862</v>
      </c>
      <c r="F1870" s="1">
        <v>173880</v>
      </c>
      <c r="G1870" s="1">
        <v>2970000147</v>
      </c>
      <c r="H1870" s="1">
        <v>12</v>
      </c>
      <c r="I1870" s="1" t="s">
        <v>397</v>
      </c>
      <c r="J1870" t="s">
        <v>3903</v>
      </c>
    </row>
    <row r="1871" spans="1:10">
      <c r="A1871" s="1">
        <v>174623</v>
      </c>
      <c r="B1871" s="1">
        <v>1600041750</v>
      </c>
      <c r="C1871" s="1">
        <v>12</v>
      </c>
      <c r="D1871" s="1" t="s">
        <v>958</v>
      </c>
      <c r="E1871" t="s">
        <v>3863</v>
      </c>
      <c r="F1871" s="1">
        <v>501320</v>
      </c>
      <c r="G1871" s="1">
        <v>2970002144</v>
      </c>
      <c r="H1871" s="1">
        <v>12</v>
      </c>
      <c r="I1871" s="1" t="s">
        <v>397</v>
      </c>
      <c r="J1871" t="s">
        <v>3904</v>
      </c>
    </row>
    <row r="1872" spans="1:10">
      <c r="A1872" s="1">
        <v>467019</v>
      </c>
      <c r="B1872" s="1">
        <v>1600027442</v>
      </c>
      <c r="C1872" s="1">
        <v>12</v>
      </c>
      <c r="D1872" s="1" t="s">
        <v>1737</v>
      </c>
      <c r="E1872" t="s">
        <v>3864</v>
      </c>
      <c r="F1872" s="1">
        <v>712505</v>
      </c>
      <c r="G1872" s="1">
        <v>2970000149</v>
      </c>
      <c r="H1872" s="1">
        <v>12</v>
      </c>
      <c r="I1872" s="1" t="s">
        <v>397</v>
      </c>
      <c r="J1872" t="s">
        <v>3905</v>
      </c>
    </row>
    <row r="1873" spans="1:10">
      <c r="A1873" s="1">
        <v>769695</v>
      </c>
      <c r="B1873" s="1">
        <v>1600027051</v>
      </c>
      <c r="C1873" s="1">
        <v>8</v>
      </c>
      <c r="D1873" s="1" t="s">
        <v>192</v>
      </c>
      <c r="E1873" t="s">
        <v>3865</v>
      </c>
      <c r="F1873" s="1">
        <v>93443</v>
      </c>
      <c r="G1873" s="1">
        <v>2100077858</v>
      </c>
      <c r="H1873" s="1">
        <v>8</v>
      </c>
      <c r="I1873" s="1" t="s">
        <v>3906</v>
      </c>
      <c r="J1873" t="s">
        <v>3907</v>
      </c>
    </row>
    <row r="1874" spans="1:10">
      <c r="A1874" s="1">
        <v>509489</v>
      </c>
      <c r="B1874" s="1">
        <v>1600027052</v>
      </c>
      <c r="C1874" s="1">
        <v>8</v>
      </c>
      <c r="D1874" s="1" t="s">
        <v>192</v>
      </c>
      <c r="E1874" t="s">
        <v>3866</v>
      </c>
      <c r="F1874" s="1">
        <v>93401</v>
      </c>
      <c r="G1874" s="1">
        <v>2100077859</v>
      </c>
      <c r="H1874" s="1">
        <v>8</v>
      </c>
      <c r="I1874" s="1" t="s">
        <v>3906</v>
      </c>
      <c r="J1874" t="s">
        <v>3908</v>
      </c>
    </row>
    <row r="1875" spans="1:10">
      <c r="A1875" s="1">
        <v>712539</v>
      </c>
      <c r="B1875" s="1">
        <v>1600041880</v>
      </c>
      <c r="C1875" s="1">
        <v>12</v>
      </c>
      <c r="D1875" s="1" t="s">
        <v>352</v>
      </c>
      <c r="E1875" t="s">
        <v>3867</v>
      </c>
      <c r="F1875" s="1">
        <v>175166</v>
      </c>
      <c r="G1875" s="1">
        <v>5150042500</v>
      </c>
      <c r="H1875" s="1">
        <v>12</v>
      </c>
      <c r="I1875" s="1" t="s">
        <v>1123</v>
      </c>
      <c r="J1875" t="s">
        <v>3909</v>
      </c>
    </row>
    <row r="1876" spans="1:10">
      <c r="A1876" s="1">
        <v>125583</v>
      </c>
      <c r="B1876" s="1">
        <v>1600027444</v>
      </c>
      <c r="C1876" s="1">
        <v>12</v>
      </c>
      <c r="D1876" s="1" t="s">
        <v>1737</v>
      </c>
      <c r="E1876" t="s">
        <v>3868</v>
      </c>
      <c r="F1876" s="1">
        <v>175026</v>
      </c>
      <c r="G1876" s="1">
        <v>5150042300</v>
      </c>
      <c r="H1876" s="1">
        <v>12</v>
      </c>
      <c r="I1876" s="1" t="s">
        <v>465</v>
      </c>
      <c r="J1876" t="s">
        <v>3910</v>
      </c>
    </row>
    <row r="1877" spans="1:10">
      <c r="A1877" s="1">
        <v>174714</v>
      </c>
      <c r="B1877" s="1">
        <v>1600041820</v>
      </c>
      <c r="C1877" s="1">
        <v>12</v>
      </c>
      <c r="D1877" s="1" t="s">
        <v>3869</v>
      </c>
      <c r="E1877" t="s">
        <v>3870</v>
      </c>
      <c r="F1877" s="1">
        <v>174680</v>
      </c>
      <c r="G1877" s="1">
        <v>1116617468</v>
      </c>
      <c r="H1877" s="1">
        <v>12</v>
      </c>
      <c r="I1877" s="1" t="s">
        <v>2214</v>
      </c>
      <c r="J1877" t="s">
        <v>3911</v>
      </c>
    </row>
    <row r="1878" spans="1:10">
      <c r="A1878" s="1">
        <v>662601</v>
      </c>
      <c r="B1878" s="1">
        <v>1600040770</v>
      </c>
      <c r="C1878" s="1">
        <v>12</v>
      </c>
      <c r="D1878" s="1" t="s">
        <v>3871</v>
      </c>
      <c r="E1878" t="s">
        <v>3872</v>
      </c>
      <c r="F1878" s="1">
        <v>174599</v>
      </c>
      <c r="G1878" s="1">
        <v>1116617459</v>
      </c>
      <c r="H1878" s="1">
        <v>12</v>
      </c>
      <c r="I1878" s="1" t="s">
        <v>1123</v>
      </c>
      <c r="J1878" t="s">
        <v>3912</v>
      </c>
    </row>
    <row r="1879" spans="1:10">
      <c r="A1879" s="1">
        <v>174656</v>
      </c>
      <c r="B1879" s="1">
        <v>1600044970</v>
      </c>
      <c r="C1879" s="1">
        <v>12</v>
      </c>
      <c r="D1879" s="1" t="s">
        <v>793</v>
      </c>
      <c r="E1879" t="s">
        <v>3873</v>
      </c>
      <c r="F1879" s="1">
        <v>174607</v>
      </c>
      <c r="G1879" s="1">
        <v>1116617460</v>
      </c>
      <c r="H1879" s="1">
        <v>12</v>
      </c>
      <c r="I1879" s="1" t="s">
        <v>404</v>
      </c>
      <c r="J1879" t="s">
        <v>3912</v>
      </c>
    </row>
    <row r="1880" spans="1:10">
      <c r="A1880" s="1">
        <v>174763</v>
      </c>
      <c r="B1880" s="1">
        <v>1600041610</v>
      </c>
      <c r="C1880" s="1">
        <v>12</v>
      </c>
      <c r="D1880" s="1" t="s">
        <v>1495</v>
      </c>
      <c r="E1880" t="s">
        <v>3874</v>
      </c>
      <c r="F1880" s="1">
        <v>174698</v>
      </c>
      <c r="G1880" s="1">
        <v>1116617469</v>
      </c>
      <c r="H1880" s="1">
        <v>12</v>
      </c>
      <c r="I1880" s="1" t="s">
        <v>2214</v>
      </c>
      <c r="J1880" t="s">
        <v>3913</v>
      </c>
    </row>
    <row r="1881" spans="1:10">
      <c r="A1881" s="1">
        <v>174755</v>
      </c>
      <c r="B1881" s="1">
        <v>1600041660</v>
      </c>
      <c r="C1881" s="1">
        <v>12</v>
      </c>
      <c r="D1881" s="1" t="s">
        <v>954</v>
      </c>
      <c r="E1881" t="s">
        <v>3874</v>
      </c>
      <c r="F1881" s="1">
        <v>174722</v>
      </c>
      <c r="G1881" s="1">
        <v>1116617472</v>
      </c>
      <c r="H1881" s="1">
        <v>12</v>
      </c>
      <c r="I1881" s="1" t="s">
        <v>394</v>
      </c>
      <c r="J1881" t="s">
        <v>3914</v>
      </c>
    </row>
    <row r="1882" spans="1:10">
      <c r="A1882" s="1">
        <v>576041</v>
      </c>
      <c r="B1882" s="1">
        <v>1600027446</v>
      </c>
      <c r="C1882" s="1">
        <v>12</v>
      </c>
      <c r="D1882" s="1" t="s">
        <v>1737</v>
      </c>
      <c r="E1882" t="s">
        <v>3875</v>
      </c>
      <c r="F1882" s="1">
        <v>17756</v>
      </c>
      <c r="G1882" s="1">
        <v>4113030426</v>
      </c>
      <c r="H1882" s="1">
        <v>6</v>
      </c>
      <c r="I1882" s="1" t="s">
        <v>375</v>
      </c>
      <c r="J1882" t="s">
        <v>3915</v>
      </c>
    </row>
    <row r="1883" spans="1:10" ht="15.75">
      <c r="A1883" s="1">
        <v>593095</v>
      </c>
      <c r="B1883" s="1">
        <v>1600027445</v>
      </c>
      <c r="C1883" s="1">
        <v>12</v>
      </c>
      <c r="D1883" s="1" t="s">
        <v>1737</v>
      </c>
      <c r="E1883" t="s">
        <v>3876</v>
      </c>
      <c r="F1883" s="4" t="s">
        <v>10731</v>
      </c>
      <c r="G1883" s="2"/>
      <c r="H1883" s="2"/>
      <c r="I1883" s="2"/>
      <c r="J1883" s="3"/>
    </row>
    <row r="1884" spans="1:10">
      <c r="A1884" s="1">
        <v>222232</v>
      </c>
      <c r="B1884" s="1">
        <v>1600040760</v>
      </c>
      <c r="C1884" s="1">
        <v>12</v>
      </c>
      <c r="D1884" s="1" t="s">
        <v>463</v>
      </c>
      <c r="E1884" t="s">
        <v>3877</v>
      </c>
      <c r="F1884" s="2" t="s">
        <v>0</v>
      </c>
      <c r="G1884" s="2" t="s">
        <v>1</v>
      </c>
      <c r="H1884" s="2" t="s">
        <v>2</v>
      </c>
      <c r="I1884" s="2" t="s">
        <v>3</v>
      </c>
      <c r="J1884" s="3" t="s">
        <v>4</v>
      </c>
    </row>
    <row r="1885" spans="1:10">
      <c r="A1885" s="1">
        <v>174664</v>
      </c>
      <c r="B1885" s="1">
        <v>1600041850</v>
      </c>
      <c r="C1885" s="1">
        <v>12</v>
      </c>
      <c r="D1885" s="1" t="s">
        <v>958</v>
      </c>
      <c r="E1885" t="s">
        <v>3878</v>
      </c>
      <c r="F1885" s="1">
        <v>177055</v>
      </c>
      <c r="G1885" s="1">
        <v>2400016314</v>
      </c>
      <c r="H1885" s="1">
        <v>24</v>
      </c>
      <c r="I1885" s="1" t="s">
        <v>1409</v>
      </c>
      <c r="J1885" t="s">
        <v>3916</v>
      </c>
    </row>
    <row r="1886" spans="1:10">
      <c r="A1886" s="1">
        <v>594929</v>
      </c>
      <c r="B1886" s="1">
        <v>1600017722</v>
      </c>
      <c r="C1886" s="1">
        <v>12</v>
      </c>
      <c r="D1886" s="1" t="s">
        <v>106</v>
      </c>
      <c r="E1886" t="s">
        <v>3879</v>
      </c>
      <c r="F1886" s="1">
        <v>177402</v>
      </c>
      <c r="G1886" s="1">
        <v>2400001478</v>
      </c>
      <c r="H1886" s="1">
        <v>12</v>
      </c>
      <c r="I1886" s="1" t="s">
        <v>399</v>
      </c>
      <c r="J1886" t="s">
        <v>3916</v>
      </c>
    </row>
    <row r="1887" spans="1:10" ht="15.75">
      <c r="A1887" s="4" t="s">
        <v>10731</v>
      </c>
      <c r="B1887" s="2"/>
      <c r="C1887" s="2"/>
      <c r="D1887" s="2"/>
      <c r="E1887" s="3"/>
      <c r="F1887" s="4" t="s">
        <v>10732</v>
      </c>
      <c r="G1887" s="2"/>
      <c r="H1887" s="2"/>
      <c r="I1887" s="2"/>
      <c r="J1887" s="3"/>
    </row>
    <row r="1888" spans="1:10">
      <c r="A1888" s="2" t="s">
        <v>0</v>
      </c>
      <c r="B1888" s="2" t="s">
        <v>1</v>
      </c>
      <c r="C1888" s="2" t="s">
        <v>2</v>
      </c>
      <c r="D1888" s="2" t="s">
        <v>3</v>
      </c>
      <c r="E1888" s="3" t="s">
        <v>4</v>
      </c>
      <c r="F1888" s="2" t="s">
        <v>0</v>
      </c>
      <c r="G1888" s="2" t="s">
        <v>1</v>
      </c>
      <c r="H1888" s="2" t="s">
        <v>2</v>
      </c>
      <c r="I1888" s="2" t="s">
        <v>3</v>
      </c>
      <c r="J1888" s="3" t="s">
        <v>4</v>
      </c>
    </row>
    <row r="1889" spans="1:10">
      <c r="A1889" s="1">
        <v>177022</v>
      </c>
      <c r="B1889" s="1">
        <v>3710004607</v>
      </c>
      <c r="C1889" s="1">
        <v>12</v>
      </c>
      <c r="D1889" s="1" t="s">
        <v>1409</v>
      </c>
      <c r="E1889" t="s">
        <v>3917</v>
      </c>
      <c r="F1889" s="1">
        <v>175380</v>
      </c>
      <c r="G1889" s="1">
        <v>1116617538</v>
      </c>
      <c r="H1889" s="1">
        <v>24</v>
      </c>
      <c r="I1889" s="1" t="s">
        <v>910</v>
      </c>
      <c r="J1889" t="s">
        <v>3943</v>
      </c>
    </row>
    <row r="1890" spans="1:10">
      <c r="A1890" s="1">
        <v>177030</v>
      </c>
      <c r="B1890" s="1">
        <v>3710004621</v>
      </c>
      <c r="C1890" s="1">
        <v>12</v>
      </c>
      <c r="D1890" s="1" t="s">
        <v>3633</v>
      </c>
      <c r="E1890" t="s">
        <v>3918</v>
      </c>
      <c r="F1890" s="1">
        <v>175406</v>
      </c>
      <c r="G1890" s="1">
        <v>1116617540</v>
      </c>
      <c r="H1890" s="1">
        <v>24</v>
      </c>
      <c r="I1890" s="1" t="s">
        <v>910</v>
      </c>
      <c r="J1890" t="s">
        <v>3944</v>
      </c>
    </row>
    <row r="1891" spans="1:10" ht="15.75">
      <c r="A1891" s="1">
        <v>176891</v>
      </c>
      <c r="B1891" s="1">
        <v>1116617689</v>
      </c>
      <c r="C1891" s="1">
        <v>24</v>
      </c>
      <c r="D1891" s="1" t="s">
        <v>259</v>
      </c>
      <c r="E1891" t="s">
        <v>3919</v>
      </c>
      <c r="F1891" s="4" t="s">
        <v>10733</v>
      </c>
      <c r="G1891" s="2"/>
      <c r="H1891" s="2"/>
      <c r="I1891" s="2"/>
      <c r="J1891" s="3"/>
    </row>
    <row r="1892" spans="1:10">
      <c r="A1892" s="1">
        <v>176867</v>
      </c>
      <c r="B1892" s="1">
        <v>1116617686</v>
      </c>
      <c r="C1892" s="1">
        <v>24</v>
      </c>
      <c r="D1892" s="1" t="s">
        <v>3633</v>
      </c>
      <c r="E1892" t="s">
        <v>3919</v>
      </c>
      <c r="F1892" s="2" t="s">
        <v>0</v>
      </c>
      <c r="G1892" s="2" t="s">
        <v>1</v>
      </c>
      <c r="H1892" s="2" t="s">
        <v>2</v>
      </c>
      <c r="I1892" s="2" t="s">
        <v>3</v>
      </c>
      <c r="J1892" s="3" t="s">
        <v>4</v>
      </c>
    </row>
    <row r="1893" spans="1:10">
      <c r="A1893" s="1">
        <v>176842</v>
      </c>
      <c r="B1893" s="1">
        <v>1116617684</v>
      </c>
      <c r="C1893" s="1">
        <v>24</v>
      </c>
      <c r="D1893" s="1" t="s">
        <v>399</v>
      </c>
      <c r="E1893" t="s">
        <v>3919</v>
      </c>
      <c r="F1893" s="1">
        <v>182303</v>
      </c>
      <c r="G1893" s="1">
        <v>2400034856</v>
      </c>
      <c r="H1893" s="1">
        <v>12</v>
      </c>
      <c r="I1893" s="1" t="s">
        <v>954</v>
      </c>
      <c r="J1893" t="s">
        <v>3945</v>
      </c>
    </row>
    <row r="1894" spans="1:10">
      <c r="A1894" s="1">
        <v>567529</v>
      </c>
      <c r="B1894" s="1">
        <v>2300035145</v>
      </c>
      <c r="C1894" s="1">
        <v>24</v>
      </c>
      <c r="D1894" s="1" t="s">
        <v>1053</v>
      </c>
      <c r="E1894" t="s">
        <v>3920</v>
      </c>
      <c r="F1894" s="1">
        <v>18481</v>
      </c>
      <c r="G1894" s="1">
        <v>2400022876</v>
      </c>
      <c r="H1894" s="1">
        <v>12</v>
      </c>
      <c r="I1894" s="1" t="s">
        <v>1409</v>
      </c>
      <c r="J1894" t="s">
        <v>3946</v>
      </c>
    </row>
    <row r="1895" spans="1:10">
      <c r="A1895" s="1">
        <v>567537</v>
      </c>
      <c r="B1895" s="1">
        <v>2300035195</v>
      </c>
      <c r="C1895" s="1">
        <v>24</v>
      </c>
      <c r="D1895" s="1" t="s">
        <v>3633</v>
      </c>
      <c r="E1895" t="s">
        <v>3920</v>
      </c>
      <c r="F1895" s="1">
        <v>103747</v>
      </c>
      <c r="G1895" s="1">
        <v>2400035487</v>
      </c>
      <c r="H1895" s="1">
        <v>12</v>
      </c>
      <c r="I1895" s="1" t="s">
        <v>1409</v>
      </c>
      <c r="J1895" t="s">
        <v>3947</v>
      </c>
    </row>
    <row r="1896" spans="1:10" ht="15.75">
      <c r="A1896" s="4" t="s">
        <v>10731</v>
      </c>
      <c r="B1896" s="2"/>
      <c r="C1896" s="2"/>
      <c r="D1896" s="2"/>
      <c r="E1896" s="3"/>
      <c r="F1896" s="1">
        <v>81455</v>
      </c>
      <c r="G1896" s="1">
        <v>2400057499</v>
      </c>
      <c r="H1896" s="1">
        <v>12</v>
      </c>
      <c r="I1896" s="1" t="s">
        <v>1409</v>
      </c>
      <c r="J1896" t="s">
        <v>3948</v>
      </c>
    </row>
    <row r="1897" spans="1:10">
      <c r="A1897" s="2" t="s">
        <v>0</v>
      </c>
      <c r="B1897" s="2" t="s">
        <v>1</v>
      </c>
      <c r="C1897" s="2" t="s">
        <v>2</v>
      </c>
      <c r="D1897" s="2" t="s">
        <v>3</v>
      </c>
      <c r="E1897" s="3" t="s">
        <v>4</v>
      </c>
      <c r="F1897" s="1">
        <v>236166</v>
      </c>
      <c r="G1897" s="1">
        <v>2400001653</v>
      </c>
      <c r="H1897" s="1">
        <v>12</v>
      </c>
      <c r="I1897" s="1" t="s">
        <v>1409</v>
      </c>
      <c r="J1897" t="s">
        <v>3949</v>
      </c>
    </row>
    <row r="1898" spans="1:10">
      <c r="A1898" s="1">
        <v>177691</v>
      </c>
      <c r="B1898" s="1">
        <v>2400016317</v>
      </c>
      <c r="C1898" s="1">
        <v>24</v>
      </c>
      <c r="D1898" s="1" t="s">
        <v>1180</v>
      </c>
      <c r="E1898" t="s">
        <v>3921</v>
      </c>
      <c r="F1898" s="1">
        <v>184036</v>
      </c>
      <c r="G1898" s="1">
        <v>2400001107</v>
      </c>
      <c r="H1898" s="1">
        <v>12</v>
      </c>
      <c r="I1898" s="1" t="s">
        <v>1409</v>
      </c>
      <c r="J1898" t="s">
        <v>3950</v>
      </c>
    </row>
    <row r="1899" spans="1:10">
      <c r="A1899" s="1">
        <v>177964</v>
      </c>
      <c r="B1899" s="1">
        <v>2400001481</v>
      </c>
      <c r="C1899" s="1">
        <v>12</v>
      </c>
      <c r="D1899" s="1" t="s">
        <v>3633</v>
      </c>
      <c r="E1899" t="s">
        <v>3921</v>
      </c>
      <c r="F1899" s="1">
        <v>180745</v>
      </c>
      <c r="G1899" s="1">
        <v>2400007139</v>
      </c>
      <c r="H1899" s="1">
        <v>12</v>
      </c>
      <c r="I1899" s="1" t="s">
        <v>1409</v>
      </c>
      <c r="J1899" t="s">
        <v>3951</v>
      </c>
    </row>
    <row r="1900" spans="1:10">
      <c r="A1900" s="1">
        <v>177683</v>
      </c>
      <c r="B1900" s="1">
        <v>2400016316</v>
      </c>
      <c r="C1900" s="1">
        <v>24</v>
      </c>
      <c r="D1900" s="1" t="s">
        <v>1180</v>
      </c>
      <c r="E1900" t="s">
        <v>3922</v>
      </c>
      <c r="F1900" s="1">
        <v>182089</v>
      </c>
      <c r="G1900" s="1">
        <v>2400001738</v>
      </c>
      <c r="H1900" s="1">
        <v>24</v>
      </c>
      <c r="I1900" s="1" t="s">
        <v>1409</v>
      </c>
      <c r="J1900" t="s">
        <v>3952</v>
      </c>
    </row>
    <row r="1901" spans="1:10">
      <c r="A1901" s="1">
        <v>177832</v>
      </c>
      <c r="B1901" s="1">
        <v>2400001490</v>
      </c>
      <c r="C1901" s="1">
        <v>12</v>
      </c>
      <c r="D1901" s="1" t="s">
        <v>3441</v>
      </c>
      <c r="E1901" t="s">
        <v>3923</v>
      </c>
      <c r="F1901" s="1">
        <v>787515</v>
      </c>
      <c r="G1901" s="1">
        <v>2400057506</v>
      </c>
      <c r="H1901" s="1">
        <v>12</v>
      </c>
      <c r="I1901" s="1" t="s">
        <v>1409</v>
      </c>
      <c r="J1901" t="s">
        <v>3953</v>
      </c>
    </row>
    <row r="1902" spans="1:10">
      <c r="A1902" s="1">
        <v>177717</v>
      </c>
      <c r="B1902" s="1">
        <v>2400016318</v>
      </c>
      <c r="C1902" s="1">
        <v>24</v>
      </c>
      <c r="D1902" s="1" t="s">
        <v>1180</v>
      </c>
      <c r="E1902" t="s">
        <v>3924</v>
      </c>
      <c r="F1902" s="1">
        <v>180935</v>
      </c>
      <c r="G1902" s="1">
        <v>2400006699</v>
      </c>
      <c r="H1902" s="1">
        <v>12</v>
      </c>
      <c r="I1902" s="1" t="s">
        <v>954</v>
      </c>
      <c r="J1902" t="s">
        <v>3954</v>
      </c>
    </row>
    <row r="1903" spans="1:10">
      <c r="A1903" s="1">
        <v>857235</v>
      </c>
      <c r="B1903" s="1">
        <v>73639310632</v>
      </c>
      <c r="C1903" s="1">
        <v>12</v>
      </c>
      <c r="D1903" s="1" t="s">
        <v>3633</v>
      </c>
      <c r="E1903" t="s">
        <v>3925</v>
      </c>
      <c r="F1903" s="1">
        <v>180315</v>
      </c>
      <c r="G1903" s="1">
        <v>2400001492</v>
      </c>
      <c r="H1903" s="1">
        <v>12</v>
      </c>
      <c r="I1903" s="1" t="s">
        <v>1409</v>
      </c>
      <c r="J1903" t="s">
        <v>3955</v>
      </c>
    </row>
    <row r="1904" spans="1:10">
      <c r="A1904" s="1">
        <v>177725</v>
      </c>
      <c r="B1904" s="1">
        <v>1116617772</v>
      </c>
      <c r="C1904" s="1">
        <v>24</v>
      </c>
      <c r="D1904" s="1" t="s">
        <v>3441</v>
      </c>
      <c r="E1904" t="s">
        <v>3926</v>
      </c>
      <c r="F1904" s="1">
        <v>182196</v>
      </c>
      <c r="G1904" s="1">
        <v>2400001941</v>
      </c>
      <c r="H1904" s="1">
        <v>12</v>
      </c>
      <c r="I1904" s="1" t="s">
        <v>1409</v>
      </c>
      <c r="J1904" t="s">
        <v>3956</v>
      </c>
    </row>
    <row r="1905" spans="1:10">
      <c r="A1905" s="1">
        <v>177741</v>
      </c>
      <c r="B1905" s="1">
        <v>1116617774</v>
      </c>
      <c r="C1905" s="1">
        <v>24</v>
      </c>
      <c r="D1905" s="1" t="s">
        <v>1180</v>
      </c>
      <c r="E1905" t="s">
        <v>3927</v>
      </c>
      <c r="F1905" s="1">
        <v>174821</v>
      </c>
      <c r="G1905" s="1">
        <v>2400001014</v>
      </c>
      <c r="H1905" s="1">
        <v>12</v>
      </c>
      <c r="I1905" s="1" t="s">
        <v>1409</v>
      </c>
      <c r="J1905" t="s">
        <v>3957</v>
      </c>
    </row>
    <row r="1906" spans="1:10">
      <c r="A1906" s="1">
        <v>177733</v>
      </c>
      <c r="B1906" s="1">
        <v>1116617775</v>
      </c>
      <c r="C1906" s="1">
        <v>12</v>
      </c>
      <c r="D1906" s="1" t="s">
        <v>3633</v>
      </c>
      <c r="E1906" t="s">
        <v>3927</v>
      </c>
      <c r="F1906" s="1">
        <v>182824</v>
      </c>
      <c r="G1906" s="1">
        <v>2400001739</v>
      </c>
      <c r="H1906" s="1">
        <v>12</v>
      </c>
      <c r="I1906" s="1" t="s">
        <v>1409</v>
      </c>
      <c r="J1906" t="s">
        <v>3958</v>
      </c>
    </row>
    <row r="1907" spans="1:10">
      <c r="A1907" s="1">
        <v>177766</v>
      </c>
      <c r="B1907" s="1">
        <v>1116617776</v>
      </c>
      <c r="C1907" s="1">
        <v>24</v>
      </c>
      <c r="D1907" s="1" t="s">
        <v>1180</v>
      </c>
      <c r="E1907" t="s">
        <v>3928</v>
      </c>
      <c r="F1907" s="1">
        <v>180612</v>
      </c>
      <c r="G1907" s="1">
        <v>2400001786</v>
      </c>
      <c r="H1907" s="1">
        <v>24</v>
      </c>
      <c r="I1907" s="1" t="s">
        <v>1409</v>
      </c>
      <c r="J1907" t="s">
        <v>3959</v>
      </c>
    </row>
    <row r="1908" spans="1:10" ht="15.75">
      <c r="A1908" s="4" t="s">
        <v>10732</v>
      </c>
      <c r="B1908" s="2"/>
      <c r="C1908" s="2"/>
      <c r="D1908" s="2"/>
      <c r="E1908" s="3"/>
      <c r="F1908" s="1">
        <v>180760</v>
      </c>
      <c r="G1908" s="1">
        <v>2400001323</v>
      </c>
      <c r="H1908" s="1">
        <v>24</v>
      </c>
      <c r="I1908" s="1" t="s">
        <v>1409</v>
      </c>
      <c r="J1908" t="s">
        <v>3960</v>
      </c>
    </row>
    <row r="1909" spans="1:10">
      <c r="A1909" s="2" t="s">
        <v>0</v>
      </c>
      <c r="B1909" s="2" t="s">
        <v>1</v>
      </c>
      <c r="C1909" s="2" t="s">
        <v>2</v>
      </c>
      <c r="D1909" s="2" t="s">
        <v>3</v>
      </c>
      <c r="E1909" s="3" t="s">
        <v>4</v>
      </c>
      <c r="F1909" s="1">
        <v>181677</v>
      </c>
      <c r="G1909" s="1">
        <v>2400001788</v>
      </c>
      <c r="H1909" s="1">
        <v>12</v>
      </c>
      <c r="I1909" s="1" t="s">
        <v>1409</v>
      </c>
      <c r="J1909" t="s">
        <v>3961</v>
      </c>
    </row>
    <row r="1910" spans="1:10">
      <c r="A1910" s="1">
        <v>662734</v>
      </c>
      <c r="B1910" s="1">
        <v>1760004441</v>
      </c>
      <c r="C1910" s="1">
        <v>6</v>
      </c>
      <c r="D1910" s="1" t="s">
        <v>3929</v>
      </c>
      <c r="E1910" t="s">
        <v>3930</v>
      </c>
      <c r="F1910" s="1">
        <v>180828</v>
      </c>
      <c r="G1910" s="1">
        <v>2400001685</v>
      </c>
      <c r="H1910" s="1">
        <v>12</v>
      </c>
      <c r="I1910" s="1" t="s">
        <v>1409</v>
      </c>
      <c r="J1910" t="s">
        <v>3962</v>
      </c>
    </row>
    <row r="1911" spans="1:10">
      <c r="A1911" s="1">
        <v>445312</v>
      </c>
      <c r="B1911" s="1">
        <v>1760004321</v>
      </c>
      <c r="C1911" s="1">
        <v>24</v>
      </c>
      <c r="D1911" s="1" t="s">
        <v>910</v>
      </c>
      <c r="E1911" t="s">
        <v>3930</v>
      </c>
      <c r="F1911" s="1">
        <v>180638</v>
      </c>
      <c r="G1911" s="1">
        <v>2400001213</v>
      </c>
      <c r="H1911" s="1">
        <v>12</v>
      </c>
      <c r="I1911" s="1" t="s">
        <v>954</v>
      </c>
      <c r="J1911" t="s">
        <v>3963</v>
      </c>
    </row>
    <row r="1912" spans="1:10">
      <c r="A1912" s="1">
        <v>179937</v>
      </c>
      <c r="B1912" s="1">
        <v>1760004371</v>
      </c>
      <c r="C1912" s="1">
        <v>12</v>
      </c>
      <c r="D1912" s="1" t="s">
        <v>3271</v>
      </c>
      <c r="E1912" t="s">
        <v>3931</v>
      </c>
      <c r="F1912" s="1">
        <v>180372</v>
      </c>
      <c r="G1912" s="1">
        <v>2400001938</v>
      </c>
      <c r="H1912" s="1">
        <v>24</v>
      </c>
      <c r="I1912" s="1" t="s">
        <v>1409</v>
      </c>
      <c r="J1912" t="s">
        <v>3964</v>
      </c>
    </row>
    <row r="1913" spans="1:10">
      <c r="A1913" s="1">
        <v>179796</v>
      </c>
      <c r="B1913" s="1">
        <v>1760004386</v>
      </c>
      <c r="C1913" s="1">
        <v>12</v>
      </c>
      <c r="D1913" s="1" t="s">
        <v>553</v>
      </c>
      <c r="E1913" t="s">
        <v>3931</v>
      </c>
      <c r="F1913" s="1">
        <v>180604</v>
      </c>
      <c r="G1913" s="1">
        <v>2400000201</v>
      </c>
      <c r="H1913" s="1">
        <v>12</v>
      </c>
      <c r="I1913" s="1" t="s">
        <v>1409</v>
      </c>
      <c r="J1913" t="s">
        <v>3965</v>
      </c>
    </row>
    <row r="1914" spans="1:10">
      <c r="A1914" s="1">
        <v>249912</v>
      </c>
      <c r="B1914" s="1">
        <v>1760004319</v>
      </c>
      <c r="C1914" s="1">
        <v>12</v>
      </c>
      <c r="D1914" s="1" t="s">
        <v>940</v>
      </c>
      <c r="E1914" t="s">
        <v>3932</v>
      </c>
      <c r="F1914" s="1">
        <v>182493</v>
      </c>
      <c r="G1914" s="1">
        <v>2400001267</v>
      </c>
      <c r="H1914" s="1">
        <v>12</v>
      </c>
      <c r="I1914" s="1" t="s">
        <v>1409</v>
      </c>
      <c r="J1914" t="s">
        <v>3966</v>
      </c>
    </row>
    <row r="1915" spans="1:10">
      <c r="A1915" s="1">
        <v>171322</v>
      </c>
      <c r="B1915" s="1">
        <v>2400002000</v>
      </c>
      <c r="C1915" s="1">
        <v>24</v>
      </c>
      <c r="D1915" s="1" t="s">
        <v>1409</v>
      </c>
      <c r="E1915" t="s">
        <v>3933</v>
      </c>
      <c r="F1915" s="1">
        <v>180398</v>
      </c>
      <c r="G1915" s="1">
        <v>2400003470</v>
      </c>
      <c r="H1915" s="1">
        <v>12</v>
      </c>
      <c r="I1915" s="1" t="s">
        <v>1409</v>
      </c>
      <c r="J1915" t="s">
        <v>3967</v>
      </c>
    </row>
    <row r="1916" spans="1:10">
      <c r="A1916" s="1">
        <v>172056</v>
      </c>
      <c r="B1916" s="1">
        <v>2400016313</v>
      </c>
      <c r="C1916" s="1">
        <v>24</v>
      </c>
      <c r="D1916" s="1" t="s">
        <v>1409</v>
      </c>
      <c r="E1916" t="s">
        <v>3934</v>
      </c>
      <c r="F1916" s="1">
        <v>180448</v>
      </c>
      <c r="G1916" s="1">
        <v>2400003472</v>
      </c>
      <c r="H1916" s="1">
        <v>12</v>
      </c>
      <c r="I1916" s="1" t="s">
        <v>1409</v>
      </c>
      <c r="J1916" t="s">
        <v>3968</v>
      </c>
    </row>
    <row r="1917" spans="1:10">
      <c r="A1917" s="1">
        <v>172346</v>
      </c>
      <c r="B1917" s="1">
        <v>2400003172</v>
      </c>
      <c r="C1917" s="1">
        <v>12</v>
      </c>
      <c r="D1917" s="1" t="s">
        <v>3271</v>
      </c>
      <c r="E1917" t="s">
        <v>3934</v>
      </c>
      <c r="F1917" s="1">
        <v>182337</v>
      </c>
      <c r="G1917" s="1">
        <v>4118804683</v>
      </c>
      <c r="H1917" s="1">
        <v>12</v>
      </c>
      <c r="I1917" s="1" t="s">
        <v>954</v>
      </c>
      <c r="J1917" t="s">
        <v>3969</v>
      </c>
    </row>
    <row r="1918" spans="1:10">
      <c r="A1918" s="1">
        <v>172130</v>
      </c>
      <c r="B1918" s="1">
        <v>2400016312</v>
      </c>
      <c r="C1918" s="1">
        <v>24</v>
      </c>
      <c r="D1918" s="1" t="s">
        <v>1409</v>
      </c>
      <c r="E1918" t="s">
        <v>3935</v>
      </c>
      <c r="F1918" s="1">
        <v>29686</v>
      </c>
      <c r="G1918" s="1">
        <v>4118804504</v>
      </c>
      <c r="H1918" s="1">
        <v>12</v>
      </c>
      <c r="I1918" s="1" t="s">
        <v>954</v>
      </c>
      <c r="J1918" t="s">
        <v>3970</v>
      </c>
    </row>
    <row r="1919" spans="1:10">
      <c r="A1919" s="1">
        <v>43646</v>
      </c>
      <c r="B1919" s="1">
        <v>73639320320</v>
      </c>
      <c r="C1919" s="1">
        <v>12</v>
      </c>
      <c r="D1919" s="1" t="s">
        <v>375</v>
      </c>
      <c r="E1919" t="s">
        <v>3936</v>
      </c>
      <c r="F1919" s="1">
        <v>180190</v>
      </c>
      <c r="G1919" s="1">
        <v>4118804465</v>
      </c>
      <c r="H1919" s="1">
        <v>12</v>
      </c>
      <c r="I1919" s="1" t="s">
        <v>954</v>
      </c>
      <c r="J1919" t="s">
        <v>3971</v>
      </c>
    </row>
    <row r="1920" spans="1:10">
      <c r="A1920" s="1">
        <v>332098</v>
      </c>
      <c r="B1920" s="1">
        <v>73639320300</v>
      </c>
      <c r="C1920" s="1">
        <v>12</v>
      </c>
      <c r="D1920" s="1" t="s">
        <v>3271</v>
      </c>
      <c r="E1920" t="s">
        <v>3937</v>
      </c>
      <c r="F1920" s="1">
        <v>180943</v>
      </c>
      <c r="G1920" s="1">
        <v>4118804649</v>
      </c>
      <c r="H1920" s="1">
        <v>12</v>
      </c>
      <c r="I1920" s="1" t="s">
        <v>954</v>
      </c>
      <c r="J1920" t="s">
        <v>3972</v>
      </c>
    </row>
    <row r="1921" spans="1:10">
      <c r="A1921" s="1">
        <v>223164</v>
      </c>
      <c r="B1921" s="1">
        <v>73639320321</v>
      </c>
      <c r="C1921" s="1">
        <v>12</v>
      </c>
      <c r="D1921" s="1" t="s">
        <v>910</v>
      </c>
      <c r="E1921" t="s">
        <v>3938</v>
      </c>
      <c r="F1921" s="1">
        <v>182188</v>
      </c>
      <c r="G1921" s="1">
        <v>4118804674</v>
      </c>
      <c r="H1921" s="1">
        <v>12</v>
      </c>
      <c r="I1921" s="1" t="s">
        <v>954</v>
      </c>
      <c r="J1921" t="s">
        <v>3973</v>
      </c>
    </row>
    <row r="1922" spans="1:10">
      <c r="A1922" s="1">
        <v>189381</v>
      </c>
      <c r="B1922" s="1">
        <v>2880012656</v>
      </c>
      <c r="C1922" s="1">
        <v>6</v>
      </c>
      <c r="D1922" s="1" t="s">
        <v>3652</v>
      </c>
      <c r="E1922" t="s">
        <v>3939</v>
      </c>
      <c r="F1922" s="1">
        <v>182832</v>
      </c>
      <c r="G1922" s="1">
        <v>4118804685</v>
      </c>
      <c r="H1922" s="1">
        <v>12</v>
      </c>
      <c r="I1922" s="1" t="s">
        <v>954</v>
      </c>
      <c r="J1922" t="s">
        <v>3974</v>
      </c>
    </row>
    <row r="1923" spans="1:10">
      <c r="A1923" s="1">
        <v>200279</v>
      </c>
      <c r="B1923" s="1">
        <v>3470009320</v>
      </c>
      <c r="C1923" s="1">
        <v>12</v>
      </c>
      <c r="D1923" s="1" t="s">
        <v>553</v>
      </c>
      <c r="E1923" t="s">
        <v>3940</v>
      </c>
      <c r="F1923" s="1">
        <v>180380</v>
      </c>
      <c r="G1923" s="1">
        <v>4118804184</v>
      </c>
      <c r="H1923" s="1">
        <v>12</v>
      </c>
      <c r="I1923" s="1" t="s">
        <v>954</v>
      </c>
      <c r="J1923" t="s">
        <v>3975</v>
      </c>
    </row>
    <row r="1924" spans="1:10">
      <c r="A1924" s="1">
        <v>484097</v>
      </c>
      <c r="B1924" s="1">
        <v>7067271150</v>
      </c>
      <c r="C1924" s="1">
        <v>12</v>
      </c>
      <c r="D1924" s="1" t="s">
        <v>910</v>
      </c>
      <c r="E1924" t="s">
        <v>3941</v>
      </c>
      <c r="F1924" s="1">
        <v>180539</v>
      </c>
      <c r="G1924" s="1">
        <v>4118804259</v>
      </c>
      <c r="H1924" s="1">
        <v>12</v>
      </c>
      <c r="I1924" s="1" t="s">
        <v>910</v>
      </c>
      <c r="J1924" t="s">
        <v>3976</v>
      </c>
    </row>
    <row r="1925" spans="1:10">
      <c r="A1925" s="1">
        <v>53546</v>
      </c>
      <c r="B1925" s="1">
        <v>1116605354</v>
      </c>
      <c r="C1925" s="1">
        <v>24</v>
      </c>
      <c r="D1925" s="1" t="s">
        <v>910</v>
      </c>
      <c r="E1925" t="s">
        <v>3942</v>
      </c>
      <c r="F1925" s="1">
        <v>180364</v>
      </c>
      <c r="G1925" s="1">
        <v>4118804070</v>
      </c>
      <c r="H1925" s="1">
        <v>12</v>
      </c>
      <c r="I1925" s="1" t="s">
        <v>954</v>
      </c>
      <c r="J1925" t="s">
        <v>3976</v>
      </c>
    </row>
    <row r="1926" spans="1:10">
      <c r="A1926" s="1">
        <v>179051</v>
      </c>
      <c r="B1926" s="1">
        <v>1116605355</v>
      </c>
      <c r="C1926" s="1">
        <v>12</v>
      </c>
      <c r="D1926" s="1" t="s">
        <v>3271</v>
      </c>
      <c r="E1926" t="s">
        <v>3942</v>
      </c>
      <c r="F1926" s="1">
        <v>180356</v>
      </c>
      <c r="G1926" s="1">
        <v>4118804066</v>
      </c>
      <c r="H1926" s="1">
        <v>12</v>
      </c>
      <c r="I1926" s="1" t="s">
        <v>954</v>
      </c>
      <c r="J1926" t="s">
        <v>3977</v>
      </c>
    </row>
    <row r="1927" spans="1:10">
      <c r="A1927" s="1">
        <v>53520</v>
      </c>
      <c r="B1927" s="1">
        <v>1116605352</v>
      </c>
      <c r="C1927" s="1">
        <v>12</v>
      </c>
      <c r="D1927" s="1" t="s">
        <v>553</v>
      </c>
      <c r="E1927" t="s">
        <v>3942</v>
      </c>
      <c r="F1927" s="1">
        <v>180430</v>
      </c>
      <c r="G1927" s="1">
        <v>4118804316</v>
      </c>
      <c r="H1927" s="1">
        <v>12</v>
      </c>
      <c r="I1927" s="1" t="s">
        <v>1409</v>
      </c>
      <c r="J1927" t="s">
        <v>3978</v>
      </c>
    </row>
    <row r="1928" spans="1:10" ht="15.75">
      <c r="A1928" s="4" t="s">
        <v>10733</v>
      </c>
      <c r="B1928" s="2"/>
      <c r="C1928" s="2"/>
      <c r="D1928" s="2"/>
      <c r="E1928" s="3"/>
      <c r="F1928" s="4" t="s">
        <v>10733</v>
      </c>
      <c r="G1928" s="2"/>
      <c r="H1928" s="2"/>
      <c r="I1928" s="2"/>
      <c r="J1928" s="3"/>
    </row>
    <row r="1929" spans="1:10">
      <c r="A1929" s="2" t="s">
        <v>0</v>
      </c>
      <c r="B1929" s="2" t="s">
        <v>1</v>
      </c>
      <c r="C1929" s="2" t="s">
        <v>2</v>
      </c>
      <c r="D1929" s="2" t="s">
        <v>3</v>
      </c>
      <c r="E1929" s="3" t="s">
        <v>4</v>
      </c>
      <c r="F1929" s="2" t="s">
        <v>0</v>
      </c>
      <c r="G1929" s="2" t="s">
        <v>1</v>
      </c>
      <c r="H1929" s="2" t="s">
        <v>2</v>
      </c>
      <c r="I1929" s="2" t="s">
        <v>3</v>
      </c>
      <c r="J1929" s="3" t="s">
        <v>4</v>
      </c>
    </row>
    <row r="1930" spans="1:10">
      <c r="A1930" s="1">
        <v>180844</v>
      </c>
      <c r="B1930" s="1">
        <v>2700037882</v>
      </c>
      <c r="C1930" s="1">
        <v>12</v>
      </c>
      <c r="D1930" s="1" t="s">
        <v>954</v>
      </c>
      <c r="E1930" t="s">
        <v>3979</v>
      </c>
      <c r="F1930" s="1">
        <v>174888</v>
      </c>
      <c r="G1930" s="1">
        <v>1116617488</v>
      </c>
      <c r="H1930" s="1">
        <v>12</v>
      </c>
      <c r="I1930" s="1" t="s">
        <v>954</v>
      </c>
      <c r="J1930" t="s">
        <v>4018</v>
      </c>
    </row>
    <row r="1931" spans="1:10">
      <c r="A1931" s="1">
        <v>180893</v>
      </c>
      <c r="B1931" s="1">
        <v>2700038112</v>
      </c>
      <c r="C1931" s="1">
        <v>12</v>
      </c>
      <c r="D1931" s="1" t="s">
        <v>1409</v>
      </c>
      <c r="E1931" t="s">
        <v>3980</v>
      </c>
      <c r="F1931" s="1">
        <v>180711</v>
      </c>
      <c r="G1931" s="1">
        <v>1116618071</v>
      </c>
      <c r="H1931" s="1">
        <v>24</v>
      </c>
      <c r="I1931" s="1" t="s">
        <v>1409</v>
      </c>
      <c r="J1931" t="s">
        <v>4019</v>
      </c>
    </row>
    <row r="1932" spans="1:10">
      <c r="A1932" s="1">
        <v>180596</v>
      </c>
      <c r="B1932" s="1">
        <v>2700037832</v>
      </c>
      <c r="C1932" s="1">
        <v>12</v>
      </c>
      <c r="D1932" s="1" t="s">
        <v>1409</v>
      </c>
      <c r="E1932" t="s">
        <v>3981</v>
      </c>
      <c r="F1932" s="1">
        <v>180737</v>
      </c>
      <c r="G1932" s="1">
        <v>1116618073</v>
      </c>
      <c r="H1932" s="1">
        <v>24</v>
      </c>
      <c r="I1932" s="1" t="s">
        <v>1409</v>
      </c>
      <c r="J1932" t="s">
        <v>4020</v>
      </c>
    </row>
    <row r="1933" spans="1:10">
      <c r="A1933" s="1">
        <v>180976</v>
      </c>
      <c r="B1933" s="1">
        <v>2700037834</v>
      </c>
      <c r="C1933" s="1">
        <v>12</v>
      </c>
      <c r="D1933" s="1" t="s">
        <v>1409</v>
      </c>
      <c r="E1933" t="s">
        <v>3982</v>
      </c>
      <c r="F1933" s="1">
        <v>180232</v>
      </c>
      <c r="G1933" s="1">
        <v>1116618023</v>
      </c>
      <c r="H1933" s="1">
        <v>24</v>
      </c>
      <c r="I1933" s="1" t="s">
        <v>1409</v>
      </c>
      <c r="J1933" t="s">
        <v>4021</v>
      </c>
    </row>
    <row r="1934" spans="1:10">
      <c r="A1934" s="1">
        <v>772657</v>
      </c>
      <c r="B1934" s="1">
        <v>2700037800</v>
      </c>
      <c r="C1934" s="1">
        <v>12</v>
      </c>
      <c r="D1934" s="1" t="s">
        <v>1409</v>
      </c>
      <c r="E1934" t="s">
        <v>3983</v>
      </c>
      <c r="F1934" s="1">
        <v>180729</v>
      </c>
      <c r="G1934" s="1">
        <v>1116618072</v>
      </c>
      <c r="H1934" s="1">
        <v>24</v>
      </c>
      <c r="I1934" s="1" t="s">
        <v>1409</v>
      </c>
      <c r="J1934" t="s">
        <v>4022</v>
      </c>
    </row>
    <row r="1935" spans="1:10">
      <c r="A1935" s="1">
        <v>478495</v>
      </c>
      <c r="B1935" s="1">
        <v>2700037801</v>
      </c>
      <c r="C1935" s="1">
        <v>12</v>
      </c>
      <c r="D1935" s="1" t="s">
        <v>1409</v>
      </c>
      <c r="E1935" t="s">
        <v>3984</v>
      </c>
      <c r="F1935" s="1">
        <v>223966</v>
      </c>
      <c r="G1935" s="1">
        <v>1116601335</v>
      </c>
      <c r="H1935" s="1">
        <v>24</v>
      </c>
      <c r="I1935" s="1" t="s">
        <v>1409</v>
      </c>
      <c r="J1935" t="s">
        <v>4023</v>
      </c>
    </row>
    <row r="1936" spans="1:10">
      <c r="A1936" s="1">
        <v>192666</v>
      </c>
      <c r="B1936" s="1">
        <v>2700037998</v>
      </c>
      <c r="C1936" s="1">
        <v>12</v>
      </c>
      <c r="D1936" s="1" t="s">
        <v>954</v>
      </c>
      <c r="E1936" t="s">
        <v>3985</v>
      </c>
      <c r="F1936" s="1">
        <v>782847</v>
      </c>
      <c r="G1936" s="1">
        <v>1116601334</v>
      </c>
      <c r="H1936" s="1">
        <v>24</v>
      </c>
      <c r="I1936" s="1" t="s">
        <v>1409</v>
      </c>
      <c r="J1936" t="s">
        <v>4024</v>
      </c>
    </row>
    <row r="1937" spans="1:10">
      <c r="A1937" s="1">
        <v>802090</v>
      </c>
      <c r="B1937" s="1">
        <v>2700038012</v>
      </c>
      <c r="C1937" s="1">
        <v>12</v>
      </c>
      <c r="D1937" s="1" t="s">
        <v>954</v>
      </c>
      <c r="E1937" t="s">
        <v>3986</v>
      </c>
      <c r="F1937" s="1">
        <v>180505</v>
      </c>
      <c r="G1937" s="1">
        <v>1116618050</v>
      </c>
      <c r="H1937" s="1">
        <v>24</v>
      </c>
      <c r="I1937" s="1" t="s">
        <v>1409</v>
      </c>
      <c r="J1937" t="s">
        <v>4025</v>
      </c>
    </row>
    <row r="1938" spans="1:10">
      <c r="A1938" s="1">
        <v>387464</v>
      </c>
      <c r="B1938" s="1">
        <v>2700037723</v>
      </c>
      <c r="C1938" s="1">
        <v>12</v>
      </c>
      <c r="D1938" s="1" t="s">
        <v>1409</v>
      </c>
      <c r="E1938" t="s">
        <v>3987</v>
      </c>
      <c r="F1938" s="1">
        <v>180554</v>
      </c>
      <c r="G1938" s="1">
        <v>1116618055</v>
      </c>
      <c r="H1938" s="1">
        <v>12</v>
      </c>
      <c r="I1938" s="1" t="s">
        <v>954</v>
      </c>
      <c r="J1938" t="s">
        <v>4026</v>
      </c>
    </row>
    <row r="1939" spans="1:10">
      <c r="A1939" s="1">
        <v>389791</v>
      </c>
      <c r="B1939" s="1">
        <v>2700037731</v>
      </c>
      <c r="C1939" s="1">
        <v>12</v>
      </c>
      <c r="D1939" s="1" t="s">
        <v>954</v>
      </c>
      <c r="E1939" t="s">
        <v>3988</v>
      </c>
      <c r="F1939" s="1">
        <v>522359</v>
      </c>
      <c r="G1939" s="1">
        <v>1116601336</v>
      </c>
      <c r="H1939" s="1">
        <v>12</v>
      </c>
      <c r="I1939" s="1" t="s">
        <v>954</v>
      </c>
      <c r="J1939" t="s">
        <v>4027</v>
      </c>
    </row>
    <row r="1940" spans="1:10">
      <c r="A1940" s="1">
        <v>389668</v>
      </c>
      <c r="B1940" s="1">
        <v>2700037720</v>
      </c>
      <c r="C1940" s="1">
        <v>12</v>
      </c>
      <c r="D1940" s="1" t="s">
        <v>1409</v>
      </c>
      <c r="E1940" t="s">
        <v>3989</v>
      </c>
      <c r="F1940" s="1">
        <v>62935</v>
      </c>
      <c r="G1940" s="1">
        <v>1116601225</v>
      </c>
      <c r="H1940" s="1">
        <v>24</v>
      </c>
      <c r="I1940" s="1" t="s">
        <v>1409</v>
      </c>
      <c r="J1940" t="s">
        <v>4028</v>
      </c>
    </row>
    <row r="1941" spans="1:10">
      <c r="A1941" s="1">
        <v>389114</v>
      </c>
      <c r="B1941" s="1">
        <v>2700037702</v>
      </c>
      <c r="C1941" s="1">
        <v>12</v>
      </c>
      <c r="D1941" s="1" t="s">
        <v>954</v>
      </c>
      <c r="E1941" t="s">
        <v>3990</v>
      </c>
      <c r="F1941" s="1">
        <v>62984</v>
      </c>
      <c r="G1941" s="1">
        <v>1116601226</v>
      </c>
      <c r="H1941" s="1">
        <v>12</v>
      </c>
      <c r="I1941" s="1" t="s">
        <v>954</v>
      </c>
      <c r="J1941" t="s">
        <v>4028</v>
      </c>
    </row>
    <row r="1942" spans="1:10">
      <c r="A1942" s="1">
        <v>181354</v>
      </c>
      <c r="B1942" s="1">
        <v>2700037837</v>
      </c>
      <c r="C1942" s="1">
        <v>12</v>
      </c>
      <c r="D1942" s="1" t="s">
        <v>954</v>
      </c>
      <c r="E1942" t="s">
        <v>3991</v>
      </c>
      <c r="F1942" s="1">
        <v>180224</v>
      </c>
      <c r="G1942" s="1">
        <v>1116618022</v>
      </c>
      <c r="H1942" s="1">
        <v>12</v>
      </c>
      <c r="I1942" s="1" t="s">
        <v>954</v>
      </c>
      <c r="J1942" t="s">
        <v>4029</v>
      </c>
    </row>
    <row r="1943" spans="1:10">
      <c r="A1943" s="1">
        <v>472209</v>
      </c>
      <c r="B1943" s="1">
        <v>2700037913</v>
      </c>
      <c r="C1943" s="1">
        <v>24</v>
      </c>
      <c r="D1943" s="1" t="s">
        <v>1409</v>
      </c>
      <c r="E1943" t="s">
        <v>3992</v>
      </c>
      <c r="F1943" s="1">
        <v>180257</v>
      </c>
      <c r="G1943" s="1">
        <v>1116618025</v>
      </c>
      <c r="H1943" s="1">
        <v>24</v>
      </c>
      <c r="I1943" s="1" t="s">
        <v>1409</v>
      </c>
      <c r="J1943" t="s">
        <v>4030</v>
      </c>
    </row>
    <row r="1944" spans="1:10">
      <c r="A1944" s="1">
        <v>180851</v>
      </c>
      <c r="B1944" s="1">
        <v>2700037831</v>
      </c>
      <c r="C1944" s="1">
        <v>12</v>
      </c>
      <c r="D1944" s="1" t="s">
        <v>1409</v>
      </c>
      <c r="E1944" t="s">
        <v>3993</v>
      </c>
      <c r="F1944" s="1">
        <v>180414</v>
      </c>
      <c r="G1944" s="1">
        <v>6414428243</v>
      </c>
      <c r="H1944" s="1">
        <v>24</v>
      </c>
      <c r="I1944" s="1" t="s">
        <v>489</v>
      </c>
      <c r="J1944" t="s">
        <v>4031</v>
      </c>
    </row>
    <row r="1945" spans="1:10">
      <c r="A1945" s="1">
        <v>180786</v>
      </c>
      <c r="B1945" s="1">
        <v>2700038110</v>
      </c>
      <c r="C1945" s="1">
        <v>12</v>
      </c>
      <c r="D1945" s="1" t="s">
        <v>1409</v>
      </c>
      <c r="E1945" t="s">
        <v>3994</v>
      </c>
      <c r="F1945" s="1">
        <v>180463</v>
      </c>
      <c r="G1945" s="1">
        <v>6414428125</v>
      </c>
      <c r="H1945" s="1">
        <v>24</v>
      </c>
      <c r="I1945" s="1" t="s">
        <v>489</v>
      </c>
      <c r="J1945" t="s">
        <v>4032</v>
      </c>
    </row>
    <row r="1946" spans="1:10">
      <c r="A1946" s="1">
        <v>180547</v>
      </c>
      <c r="B1946" s="1">
        <v>2700037833</v>
      </c>
      <c r="C1946" s="1">
        <v>12</v>
      </c>
      <c r="D1946" s="1" t="s">
        <v>1409</v>
      </c>
      <c r="E1946" t="s">
        <v>3995</v>
      </c>
      <c r="F1946" s="1">
        <v>385187</v>
      </c>
      <c r="G1946" s="1">
        <v>6414428266</v>
      </c>
      <c r="H1946" s="1">
        <v>24</v>
      </c>
      <c r="I1946" s="1" t="s">
        <v>489</v>
      </c>
      <c r="J1946" t="s">
        <v>4033</v>
      </c>
    </row>
    <row r="1947" spans="1:10">
      <c r="A1947" s="1">
        <v>180794</v>
      </c>
      <c r="B1947" s="1">
        <v>2700037895</v>
      </c>
      <c r="C1947" s="1">
        <v>12</v>
      </c>
      <c r="D1947" s="1" t="s">
        <v>1409</v>
      </c>
      <c r="E1947" t="s">
        <v>3996</v>
      </c>
      <c r="F1947" s="1">
        <v>180455</v>
      </c>
      <c r="G1947" s="1">
        <v>6414428263</v>
      </c>
      <c r="H1947" s="1">
        <v>24</v>
      </c>
      <c r="I1947" s="1" t="s">
        <v>489</v>
      </c>
      <c r="J1947" t="s">
        <v>4034</v>
      </c>
    </row>
    <row r="1948" spans="1:10">
      <c r="A1948" s="1">
        <v>180802</v>
      </c>
      <c r="B1948" s="1">
        <v>2700038040</v>
      </c>
      <c r="C1948" s="1">
        <v>24</v>
      </c>
      <c r="D1948" s="1" t="s">
        <v>1409</v>
      </c>
      <c r="E1948" t="s">
        <v>3997</v>
      </c>
      <c r="F1948" s="1">
        <v>17640</v>
      </c>
      <c r="G1948" s="1">
        <v>4113030139</v>
      </c>
      <c r="H1948" s="1">
        <v>24</v>
      </c>
      <c r="I1948" s="1" t="s">
        <v>1409</v>
      </c>
      <c r="J1948" t="s">
        <v>4035</v>
      </c>
    </row>
    <row r="1949" spans="1:10">
      <c r="A1949" s="1">
        <v>180307</v>
      </c>
      <c r="B1949" s="1">
        <v>2700038007</v>
      </c>
      <c r="C1949" s="1">
        <v>24</v>
      </c>
      <c r="D1949" s="1" t="s">
        <v>1409</v>
      </c>
      <c r="E1949" t="s">
        <v>3998</v>
      </c>
      <c r="F1949" s="1">
        <v>17632</v>
      </c>
      <c r="G1949" s="1">
        <v>4113030553</v>
      </c>
      <c r="H1949" s="1">
        <v>24</v>
      </c>
      <c r="I1949" s="1" t="s">
        <v>1409</v>
      </c>
      <c r="J1949" t="s">
        <v>4036</v>
      </c>
    </row>
    <row r="1950" spans="1:10">
      <c r="A1950" s="1">
        <v>180810</v>
      </c>
      <c r="B1950" s="1">
        <v>2700038011</v>
      </c>
      <c r="C1950" s="1">
        <v>12</v>
      </c>
      <c r="D1950" s="1" t="s">
        <v>954</v>
      </c>
      <c r="E1950" t="s">
        <v>3999</v>
      </c>
      <c r="F1950" s="1">
        <v>759407</v>
      </c>
      <c r="G1950" s="1">
        <v>7294075600</v>
      </c>
      <c r="H1950" s="1">
        <v>12</v>
      </c>
      <c r="I1950" s="1" t="s">
        <v>954</v>
      </c>
      <c r="J1950" t="s">
        <v>4037</v>
      </c>
    </row>
    <row r="1951" spans="1:10" ht="15.75">
      <c r="A1951" s="1">
        <v>180869</v>
      </c>
      <c r="B1951" s="1">
        <v>2700037909</v>
      </c>
      <c r="C1951" s="1">
        <v>12</v>
      </c>
      <c r="D1951" s="1" t="s">
        <v>954</v>
      </c>
      <c r="E1951" t="s">
        <v>4000</v>
      </c>
      <c r="F1951" s="4" t="s">
        <v>10734</v>
      </c>
      <c r="G1951" s="2"/>
      <c r="H1951" s="2"/>
      <c r="I1951" s="2"/>
      <c r="J1951" s="3"/>
    </row>
    <row r="1952" spans="1:10">
      <c r="A1952" s="1">
        <v>180752</v>
      </c>
      <c r="B1952" s="1">
        <v>2700038010</v>
      </c>
      <c r="C1952" s="1">
        <v>24</v>
      </c>
      <c r="D1952" s="1" t="s">
        <v>1409</v>
      </c>
      <c r="E1952" t="s">
        <v>4001</v>
      </c>
      <c r="F1952" s="2" t="s">
        <v>0</v>
      </c>
      <c r="G1952" s="2" t="s">
        <v>1</v>
      </c>
      <c r="H1952" s="2" t="s">
        <v>2</v>
      </c>
      <c r="I1952" s="2" t="s">
        <v>3</v>
      </c>
      <c r="J1952" s="3" t="s">
        <v>4</v>
      </c>
    </row>
    <row r="1953" spans="1:10">
      <c r="A1953" s="1">
        <v>529859</v>
      </c>
      <c r="B1953" s="1">
        <v>4144311023</v>
      </c>
      <c r="C1953" s="1">
        <v>12</v>
      </c>
      <c r="D1953" s="1" t="s">
        <v>910</v>
      </c>
      <c r="E1953" t="s">
        <v>4002</v>
      </c>
      <c r="F1953" s="1">
        <v>280214</v>
      </c>
      <c r="G1953" s="1">
        <v>3940001166</v>
      </c>
      <c r="H1953" s="1">
        <v>12</v>
      </c>
      <c r="I1953" s="1" t="s">
        <v>1409</v>
      </c>
      <c r="J1953" t="s">
        <v>4038</v>
      </c>
    </row>
    <row r="1954" spans="1:10">
      <c r="A1954" s="1">
        <v>28712</v>
      </c>
      <c r="B1954" s="1">
        <v>4144311043</v>
      </c>
      <c r="C1954" s="1">
        <v>12</v>
      </c>
      <c r="D1954" s="1" t="s">
        <v>910</v>
      </c>
      <c r="E1954" t="s">
        <v>4003</v>
      </c>
      <c r="F1954" s="1">
        <v>762930</v>
      </c>
      <c r="G1954" s="1">
        <v>3940001153</v>
      </c>
      <c r="H1954" s="1">
        <v>12</v>
      </c>
      <c r="I1954" s="1" t="s">
        <v>1409</v>
      </c>
      <c r="J1954" t="s">
        <v>4039</v>
      </c>
    </row>
    <row r="1955" spans="1:10">
      <c r="A1955" s="1">
        <v>756460</v>
      </c>
      <c r="B1955" s="1">
        <v>7294081201</v>
      </c>
      <c r="C1955" s="1">
        <v>6</v>
      </c>
      <c r="D1955" s="1" t="s">
        <v>4004</v>
      </c>
      <c r="E1955" t="s">
        <v>4005</v>
      </c>
      <c r="F1955" s="1">
        <v>856252</v>
      </c>
      <c r="G1955" s="1">
        <v>3940001127</v>
      </c>
      <c r="H1955" s="1">
        <v>12</v>
      </c>
      <c r="I1955" s="1" t="s">
        <v>1058</v>
      </c>
      <c r="J1955" t="s">
        <v>4040</v>
      </c>
    </row>
    <row r="1956" spans="1:10">
      <c r="A1956" s="1">
        <v>480350</v>
      </c>
      <c r="B1956" s="1">
        <v>7294074205</v>
      </c>
      <c r="C1956" s="1">
        <v>12</v>
      </c>
      <c r="D1956" s="1" t="s">
        <v>1058</v>
      </c>
      <c r="E1956" t="s">
        <v>4006</v>
      </c>
      <c r="F1956" s="1">
        <v>559070</v>
      </c>
      <c r="G1956" s="1">
        <v>3940001140</v>
      </c>
      <c r="H1956" s="1">
        <v>12</v>
      </c>
      <c r="I1956" s="1" t="s">
        <v>1409</v>
      </c>
      <c r="J1956" t="s">
        <v>4041</v>
      </c>
    </row>
    <row r="1957" spans="1:10">
      <c r="A1957" s="1">
        <v>857375</v>
      </c>
      <c r="B1957" s="1">
        <v>7294074201</v>
      </c>
      <c r="C1957" s="1">
        <v>12</v>
      </c>
      <c r="D1957" s="1" t="s">
        <v>1409</v>
      </c>
      <c r="E1957" t="s">
        <v>4007</v>
      </c>
      <c r="F1957" s="1">
        <v>498402</v>
      </c>
      <c r="G1957" s="1">
        <v>3940001182</v>
      </c>
      <c r="H1957" s="1">
        <v>12</v>
      </c>
      <c r="I1957" s="1" t="s">
        <v>1409</v>
      </c>
      <c r="J1957" t="s">
        <v>4042</v>
      </c>
    </row>
    <row r="1958" spans="1:10">
      <c r="A1958" s="1">
        <v>76141</v>
      </c>
      <c r="B1958" s="1">
        <v>7294074207</v>
      </c>
      <c r="C1958" s="1">
        <v>12</v>
      </c>
      <c r="D1958" s="1" t="s">
        <v>1409</v>
      </c>
      <c r="E1958" t="s">
        <v>4008</v>
      </c>
      <c r="F1958" s="1">
        <v>177428</v>
      </c>
      <c r="G1958" s="1">
        <v>2400016320</v>
      </c>
      <c r="H1958" s="1">
        <v>12</v>
      </c>
      <c r="I1958" s="1" t="s">
        <v>1409</v>
      </c>
      <c r="J1958" t="s">
        <v>4043</v>
      </c>
    </row>
    <row r="1959" spans="1:10">
      <c r="A1959" s="1">
        <v>692632</v>
      </c>
      <c r="B1959" s="1">
        <v>7294074206</v>
      </c>
      <c r="C1959" s="1">
        <v>12</v>
      </c>
      <c r="D1959" s="1" t="s">
        <v>954</v>
      </c>
      <c r="E1959" t="s">
        <v>4009</v>
      </c>
      <c r="F1959" s="1">
        <v>178327</v>
      </c>
      <c r="G1959" s="1">
        <v>73639350216</v>
      </c>
      <c r="H1959" s="1">
        <v>12</v>
      </c>
      <c r="I1959" s="1" t="s">
        <v>910</v>
      </c>
      <c r="J1959" t="s">
        <v>4044</v>
      </c>
    </row>
    <row r="1960" spans="1:10">
      <c r="A1960" s="1">
        <v>13045</v>
      </c>
      <c r="B1960" s="1">
        <v>7294074209</v>
      </c>
      <c r="C1960" s="1">
        <v>12</v>
      </c>
      <c r="D1960" s="1" t="s">
        <v>1058</v>
      </c>
      <c r="E1960" t="s">
        <v>4010</v>
      </c>
      <c r="F1960" s="1">
        <v>488478</v>
      </c>
      <c r="G1960" s="1">
        <v>73639310343</v>
      </c>
      <c r="H1960" s="1">
        <v>12</v>
      </c>
      <c r="I1960" s="1" t="s">
        <v>1409</v>
      </c>
      <c r="J1960" t="s">
        <v>4045</v>
      </c>
    </row>
    <row r="1961" spans="1:10">
      <c r="A1961" s="1">
        <v>434423</v>
      </c>
      <c r="B1961" s="1">
        <v>7294074216</v>
      </c>
      <c r="C1961" s="1">
        <v>12</v>
      </c>
      <c r="D1961" s="1" t="s">
        <v>1058</v>
      </c>
      <c r="E1961" t="s">
        <v>4011</v>
      </c>
      <c r="F1961" s="1">
        <v>49437</v>
      </c>
      <c r="G1961" s="1">
        <v>73639310300</v>
      </c>
      <c r="H1961" s="1">
        <v>12</v>
      </c>
      <c r="I1961" s="1" t="s">
        <v>3633</v>
      </c>
      <c r="J1961" t="s">
        <v>4045</v>
      </c>
    </row>
    <row r="1962" spans="1:10">
      <c r="A1962" s="1">
        <v>341602</v>
      </c>
      <c r="B1962" s="1">
        <v>7294074210</v>
      </c>
      <c r="C1962" s="1">
        <v>12</v>
      </c>
      <c r="D1962" s="1" t="s">
        <v>954</v>
      </c>
      <c r="E1962" t="s">
        <v>4011</v>
      </c>
      <c r="F1962" s="1">
        <v>248260</v>
      </c>
      <c r="G1962" s="1">
        <v>73639351006</v>
      </c>
      <c r="H1962" s="1">
        <v>12</v>
      </c>
      <c r="I1962" s="1" t="s">
        <v>910</v>
      </c>
      <c r="J1962" t="s">
        <v>4046</v>
      </c>
    </row>
    <row r="1963" spans="1:10">
      <c r="A1963" s="1">
        <v>71951</v>
      </c>
      <c r="B1963" s="1">
        <v>7294074300</v>
      </c>
      <c r="C1963" s="1">
        <v>12</v>
      </c>
      <c r="D1963" s="1" t="s">
        <v>1058</v>
      </c>
      <c r="E1963" t="s">
        <v>4012</v>
      </c>
      <c r="F1963" s="1">
        <v>340489</v>
      </c>
      <c r="G1963" s="1">
        <v>73639310143</v>
      </c>
      <c r="H1963" s="1">
        <v>12</v>
      </c>
      <c r="I1963" s="1" t="s">
        <v>1409</v>
      </c>
      <c r="J1963" t="s">
        <v>4047</v>
      </c>
    </row>
    <row r="1964" spans="1:10">
      <c r="A1964" s="1">
        <v>802660</v>
      </c>
      <c r="B1964" s="1">
        <v>7294074501</v>
      </c>
      <c r="C1964" s="1">
        <v>12</v>
      </c>
      <c r="D1964" s="1" t="s">
        <v>3271</v>
      </c>
      <c r="E1964" t="s">
        <v>4013</v>
      </c>
      <c r="F1964" s="1">
        <v>567958</v>
      </c>
      <c r="G1964" s="1">
        <v>73639310116</v>
      </c>
      <c r="H1964" s="1">
        <v>6</v>
      </c>
      <c r="I1964" s="1" t="s">
        <v>4048</v>
      </c>
      <c r="J1964" t="s">
        <v>4047</v>
      </c>
    </row>
    <row r="1965" spans="1:10">
      <c r="A1965" s="1">
        <v>535815</v>
      </c>
      <c r="B1965" s="1">
        <v>7294081102</v>
      </c>
      <c r="C1965" s="1">
        <v>6</v>
      </c>
      <c r="D1965" s="1" t="s">
        <v>4004</v>
      </c>
      <c r="E1965" t="s">
        <v>4014</v>
      </c>
      <c r="F1965" s="1">
        <v>49411</v>
      </c>
      <c r="G1965" s="1">
        <v>73639310500</v>
      </c>
      <c r="H1965" s="1">
        <v>12</v>
      </c>
      <c r="I1965" s="1" t="s">
        <v>3633</v>
      </c>
      <c r="J1965" t="s">
        <v>4049</v>
      </c>
    </row>
    <row r="1966" spans="1:10">
      <c r="A1966" s="1">
        <v>30601</v>
      </c>
      <c r="B1966" s="1">
        <v>7294074401</v>
      </c>
      <c r="C1966" s="1">
        <v>12</v>
      </c>
      <c r="D1966" s="1" t="s">
        <v>954</v>
      </c>
      <c r="E1966" t="s">
        <v>4015</v>
      </c>
      <c r="F1966" s="1">
        <v>504498</v>
      </c>
      <c r="G1966" s="1">
        <v>73639310200</v>
      </c>
      <c r="H1966" s="1">
        <v>12</v>
      </c>
      <c r="I1966" s="1" t="s">
        <v>3633</v>
      </c>
      <c r="J1966" t="s">
        <v>4050</v>
      </c>
    </row>
    <row r="1967" spans="1:10">
      <c r="A1967" s="1">
        <v>29454</v>
      </c>
      <c r="B1967" s="1">
        <v>7294074203</v>
      </c>
      <c r="C1967" s="1">
        <v>12</v>
      </c>
      <c r="D1967" s="1" t="s">
        <v>954</v>
      </c>
      <c r="E1967" t="s">
        <v>4016</v>
      </c>
      <c r="F1967" s="1">
        <v>567933</v>
      </c>
      <c r="G1967" s="1">
        <v>73639310423</v>
      </c>
      <c r="H1967" s="1">
        <v>12</v>
      </c>
      <c r="I1967" s="1" t="s">
        <v>1409</v>
      </c>
      <c r="J1967" t="s">
        <v>4051</v>
      </c>
    </row>
    <row r="1968" spans="1:10">
      <c r="A1968" s="1">
        <v>29470</v>
      </c>
      <c r="B1968" s="1">
        <v>7294074003</v>
      </c>
      <c r="C1968" s="1">
        <v>12</v>
      </c>
      <c r="D1968" s="1" t="s">
        <v>954</v>
      </c>
      <c r="E1968" t="s">
        <v>4017</v>
      </c>
      <c r="F1968" s="1">
        <v>567941</v>
      </c>
      <c r="G1968" s="1">
        <v>73639310323</v>
      </c>
      <c r="H1968" s="1">
        <v>12</v>
      </c>
      <c r="I1968" s="1" t="s">
        <v>1409</v>
      </c>
      <c r="J1968" t="s">
        <v>4052</v>
      </c>
    </row>
    <row r="1969" spans="1:10" ht="15.75">
      <c r="A1969" s="4" t="s">
        <v>10734</v>
      </c>
      <c r="B1969" s="2"/>
      <c r="C1969" s="2"/>
      <c r="D1969" s="2"/>
      <c r="E1969" s="3"/>
      <c r="F1969" s="4" t="s">
        <v>10735</v>
      </c>
      <c r="G1969" s="2"/>
      <c r="H1969" s="2"/>
      <c r="I1969" s="2"/>
      <c r="J1969" s="3"/>
    </row>
    <row r="1970" spans="1:10">
      <c r="A1970" s="2" t="s">
        <v>0</v>
      </c>
      <c r="B1970" s="2" t="s">
        <v>1</v>
      </c>
      <c r="C1970" s="2" t="s">
        <v>2</v>
      </c>
      <c r="D1970" s="2" t="s">
        <v>3</v>
      </c>
      <c r="E1970" s="3" t="s">
        <v>4</v>
      </c>
      <c r="F1970" s="2" t="s">
        <v>0</v>
      </c>
      <c r="G1970" s="2" t="s">
        <v>1</v>
      </c>
      <c r="H1970" s="2" t="s">
        <v>2</v>
      </c>
      <c r="I1970" s="2" t="s">
        <v>3</v>
      </c>
      <c r="J1970" s="3" t="s">
        <v>4</v>
      </c>
    </row>
    <row r="1971" spans="1:10">
      <c r="A1971" s="1">
        <v>49502</v>
      </c>
      <c r="B1971" s="1">
        <v>73639310400</v>
      </c>
      <c r="C1971" s="1">
        <v>12</v>
      </c>
      <c r="D1971" s="1" t="s">
        <v>3633</v>
      </c>
      <c r="E1971" t="s">
        <v>4053</v>
      </c>
      <c r="F1971" s="1">
        <v>112896</v>
      </c>
      <c r="G1971" s="1">
        <v>7047506304</v>
      </c>
      <c r="H1971" s="1">
        <v>12</v>
      </c>
      <c r="I1971" s="1" t="s">
        <v>106</v>
      </c>
      <c r="J1971" t="s">
        <v>4089</v>
      </c>
    </row>
    <row r="1972" spans="1:10">
      <c r="A1972" s="1">
        <v>488296</v>
      </c>
      <c r="B1972" s="1">
        <v>73639310443</v>
      </c>
      <c r="C1972" s="1">
        <v>12</v>
      </c>
      <c r="D1972" s="1" t="s">
        <v>1409</v>
      </c>
      <c r="E1972" t="s">
        <v>4054</v>
      </c>
      <c r="F1972" s="1">
        <v>112946</v>
      </c>
      <c r="G1972" s="1">
        <v>7047500081</v>
      </c>
      <c r="H1972" s="1">
        <v>24</v>
      </c>
      <c r="I1972" s="1" t="s">
        <v>399</v>
      </c>
      <c r="J1972" t="s">
        <v>4090</v>
      </c>
    </row>
    <row r="1973" spans="1:10">
      <c r="A1973" s="1">
        <v>567966</v>
      </c>
      <c r="B1973" s="1">
        <v>73639310316</v>
      </c>
      <c r="C1973" s="1">
        <v>6</v>
      </c>
      <c r="D1973" s="1" t="s">
        <v>4048</v>
      </c>
      <c r="E1973" t="s">
        <v>4055</v>
      </c>
      <c r="F1973" s="1">
        <v>112961</v>
      </c>
      <c r="G1973" s="1">
        <v>7047500041</v>
      </c>
      <c r="H1973" s="1">
        <v>24</v>
      </c>
      <c r="I1973" s="1" t="s">
        <v>397</v>
      </c>
      <c r="J1973" t="s">
        <v>4091</v>
      </c>
    </row>
    <row r="1974" spans="1:10">
      <c r="A1974" s="1">
        <v>49429</v>
      </c>
      <c r="B1974" s="1">
        <v>73639310100</v>
      </c>
      <c r="C1974" s="1">
        <v>12</v>
      </c>
      <c r="D1974" s="1" t="s">
        <v>3633</v>
      </c>
      <c r="E1974" t="s">
        <v>4056</v>
      </c>
      <c r="F1974" s="1">
        <v>112433</v>
      </c>
      <c r="G1974" s="1">
        <v>7047500144</v>
      </c>
      <c r="H1974" s="1">
        <v>24</v>
      </c>
      <c r="I1974" s="1" t="s">
        <v>397</v>
      </c>
      <c r="J1974" t="s">
        <v>4092</v>
      </c>
    </row>
    <row r="1975" spans="1:10">
      <c r="A1975" s="1">
        <v>123109</v>
      </c>
      <c r="B1975" s="1">
        <v>4125543135</v>
      </c>
      <c r="C1975" s="1">
        <v>12</v>
      </c>
      <c r="D1975" s="1" t="s">
        <v>381</v>
      </c>
      <c r="E1975" t="s">
        <v>4057</v>
      </c>
      <c r="F1975" s="1">
        <v>112078</v>
      </c>
      <c r="G1975" s="1">
        <v>2000010728</v>
      </c>
      <c r="H1975" s="1">
        <v>12</v>
      </c>
      <c r="I1975" s="1" t="s">
        <v>106</v>
      </c>
      <c r="J1975" t="s">
        <v>4093</v>
      </c>
    </row>
    <row r="1976" spans="1:10">
      <c r="A1976" s="1">
        <v>160994</v>
      </c>
      <c r="B1976" s="1">
        <v>2880000001</v>
      </c>
      <c r="C1976" s="1">
        <v>12</v>
      </c>
      <c r="D1976" s="1" t="s">
        <v>381</v>
      </c>
      <c r="E1976" t="s">
        <v>4058</v>
      </c>
      <c r="F1976" s="1">
        <v>112110</v>
      </c>
      <c r="G1976" s="1">
        <v>2000010741</v>
      </c>
      <c r="H1976" s="1">
        <v>12</v>
      </c>
      <c r="I1976" s="1" t="s">
        <v>106</v>
      </c>
      <c r="J1976" t="s">
        <v>4094</v>
      </c>
    </row>
    <row r="1977" spans="1:10">
      <c r="A1977" s="1">
        <v>741074</v>
      </c>
      <c r="B1977" s="1">
        <v>4144310211</v>
      </c>
      <c r="C1977" s="1">
        <v>12</v>
      </c>
      <c r="D1977" s="1" t="s">
        <v>910</v>
      </c>
      <c r="E1977" t="s">
        <v>4059</v>
      </c>
      <c r="F1977" s="1">
        <v>442350</v>
      </c>
      <c r="G1977" s="1">
        <v>2880017507</v>
      </c>
      <c r="H1977" s="1">
        <v>12</v>
      </c>
      <c r="I1977" s="1" t="s">
        <v>381</v>
      </c>
      <c r="J1977" t="s">
        <v>4095</v>
      </c>
    </row>
    <row r="1978" spans="1:10">
      <c r="A1978" s="1">
        <v>448589</v>
      </c>
      <c r="B1978" s="1">
        <v>4144310231</v>
      </c>
      <c r="C1978" s="1">
        <v>12</v>
      </c>
      <c r="D1978" s="1" t="s">
        <v>910</v>
      </c>
      <c r="E1978" t="s">
        <v>4060</v>
      </c>
      <c r="F1978" s="1">
        <v>361774</v>
      </c>
      <c r="G1978" s="1">
        <v>1116601385</v>
      </c>
      <c r="H1978" s="1">
        <v>24</v>
      </c>
      <c r="I1978" s="1" t="s">
        <v>397</v>
      </c>
      <c r="J1978" t="s">
        <v>4096</v>
      </c>
    </row>
    <row r="1979" spans="1:10">
      <c r="A1979" s="1">
        <v>325811</v>
      </c>
      <c r="B1979" s="1">
        <v>4144310251</v>
      </c>
      <c r="C1979" s="1">
        <v>12</v>
      </c>
      <c r="D1979" s="1" t="s">
        <v>910</v>
      </c>
      <c r="E1979" t="s">
        <v>4061</v>
      </c>
      <c r="F1979" s="1">
        <v>111591</v>
      </c>
      <c r="G1979" s="1">
        <v>1116611159</v>
      </c>
      <c r="H1979" s="1">
        <v>24</v>
      </c>
      <c r="I1979" s="1" t="s">
        <v>397</v>
      </c>
      <c r="J1979" t="s">
        <v>4097</v>
      </c>
    </row>
    <row r="1980" spans="1:10">
      <c r="A1980" s="1">
        <v>372813</v>
      </c>
      <c r="B1980" s="1">
        <v>4144311321</v>
      </c>
      <c r="C1980" s="1">
        <v>12</v>
      </c>
      <c r="D1980" s="1" t="s">
        <v>910</v>
      </c>
      <c r="E1980" t="s">
        <v>4062</v>
      </c>
      <c r="F1980" s="1">
        <v>111609</v>
      </c>
      <c r="G1980" s="1">
        <v>1116611160</v>
      </c>
      <c r="H1980" s="1">
        <v>24</v>
      </c>
      <c r="I1980" s="1" t="s">
        <v>399</v>
      </c>
      <c r="J1980" t="s">
        <v>4097</v>
      </c>
    </row>
    <row r="1981" spans="1:10">
      <c r="A1981" s="1">
        <v>239558</v>
      </c>
      <c r="B1981" s="1">
        <v>4144390194</v>
      </c>
      <c r="C1981" s="1">
        <v>12</v>
      </c>
      <c r="D1981" s="1" t="s">
        <v>3633</v>
      </c>
      <c r="E1981" t="s">
        <v>4063</v>
      </c>
      <c r="F1981" s="1">
        <v>111583</v>
      </c>
      <c r="G1981" s="1">
        <v>1116611158</v>
      </c>
      <c r="H1981" s="1">
        <v>24</v>
      </c>
      <c r="I1981" s="1" t="s">
        <v>397</v>
      </c>
      <c r="J1981" t="s">
        <v>4098</v>
      </c>
    </row>
    <row r="1982" spans="1:10">
      <c r="A1982" s="1">
        <v>49874</v>
      </c>
      <c r="B1982" s="1">
        <v>4144311843</v>
      </c>
      <c r="C1982" s="1">
        <v>12</v>
      </c>
      <c r="D1982" s="1" t="s">
        <v>910</v>
      </c>
      <c r="E1982" t="s">
        <v>4064</v>
      </c>
      <c r="F1982" s="1">
        <v>111575</v>
      </c>
      <c r="G1982" s="1">
        <v>1116611157</v>
      </c>
      <c r="H1982" s="1">
        <v>24</v>
      </c>
      <c r="I1982" s="1" t="s">
        <v>397</v>
      </c>
      <c r="J1982" t="s">
        <v>4099</v>
      </c>
    </row>
    <row r="1983" spans="1:10" ht="15.75">
      <c r="A1983" s="1">
        <v>188433</v>
      </c>
      <c r="B1983" s="1">
        <v>4144311212</v>
      </c>
      <c r="C1983" s="1">
        <v>6</v>
      </c>
      <c r="D1983" s="1" t="s">
        <v>4004</v>
      </c>
      <c r="E1983" t="s">
        <v>4065</v>
      </c>
      <c r="F1983" s="4" t="s">
        <v>10736</v>
      </c>
      <c r="G1983" s="2"/>
      <c r="H1983" s="2"/>
      <c r="I1983" s="2"/>
      <c r="J1983" s="3"/>
    </row>
    <row r="1984" spans="1:10">
      <c r="A1984" s="1">
        <v>188532</v>
      </c>
      <c r="B1984" s="1">
        <v>4144311222</v>
      </c>
      <c r="C1984" s="1">
        <v>6</v>
      </c>
      <c r="D1984" s="1" t="s">
        <v>4004</v>
      </c>
      <c r="E1984" t="s">
        <v>4066</v>
      </c>
      <c r="F1984" s="2" t="s">
        <v>0</v>
      </c>
      <c r="G1984" s="2" t="s">
        <v>1</v>
      </c>
      <c r="H1984" s="2" t="s">
        <v>2</v>
      </c>
      <c r="I1984" s="2" t="s">
        <v>3</v>
      </c>
      <c r="J1984" s="3" t="s">
        <v>4</v>
      </c>
    </row>
    <row r="1985" spans="1:10">
      <c r="A1985" s="1">
        <v>115048</v>
      </c>
      <c r="B1985" s="1">
        <v>4144311224</v>
      </c>
      <c r="C1985" s="1">
        <v>12</v>
      </c>
      <c r="D1985" s="1" t="s">
        <v>3633</v>
      </c>
      <c r="E1985" t="s">
        <v>4066</v>
      </c>
      <c r="F1985" s="1">
        <v>29157</v>
      </c>
      <c r="G1985" s="1">
        <v>2400037126</v>
      </c>
      <c r="H1985" s="1">
        <v>24</v>
      </c>
      <c r="I1985" s="1" t="s">
        <v>404</v>
      </c>
      <c r="J1985" t="s">
        <v>4100</v>
      </c>
    </row>
    <row r="1986" spans="1:10">
      <c r="A1986" s="1">
        <v>49726</v>
      </c>
      <c r="B1986" s="1">
        <v>4144311274</v>
      </c>
      <c r="C1986" s="1">
        <v>12</v>
      </c>
      <c r="D1986" s="1" t="s">
        <v>3633</v>
      </c>
      <c r="E1986" t="s">
        <v>4067</v>
      </c>
      <c r="F1986" s="1">
        <v>29140</v>
      </c>
      <c r="G1986" s="1">
        <v>2400004106</v>
      </c>
      <c r="H1986" s="1">
        <v>48</v>
      </c>
      <c r="I1986" s="1" t="s">
        <v>404</v>
      </c>
      <c r="J1986" t="s">
        <v>4101</v>
      </c>
    </row>
    <row r="1987" spans="1:10">
      <c r="A1987" s="1">
        <v>49478</v>
      </c>
      <c r="B1987" s="1">
        <v>4144310214</v>
      </c>
      <c r="C1987" s="1">
        <v>12</v>
      </c>
      <c r="D1987" s="1" t="s">
        <v>3633</v>
      </c>
      <c r="E1987" t="s">
        <v>4068</v>
      </c>
      <c r="F1987" s="1">
        <v>101956</v>
      </c>
      <c r="G1987" s="1">
        <v>2400004456</v>
      </c>
      <c r="H1987" s="1">
        <v>24</v>
      </c>
      <c r="I1987" s="1" t="s">
        <v>404</v>
      </c>
      <c r="J1987" t="s">
        <v>4102</v>
      </c>
    </row>
    <row r="1988" spans="1:10">
      <c r="A1988" s="1">
        <v>512004</v>
      </c>
      <c r="B1988" s="1">
        <v>4144311334</v>
      </c>
      <c r="C1988" s="1">
        <v>12</v>
      </c>
      <c r="D1988" s="1" t="s">
        <v>3633</v>
      </c>
      <c r="E1988" t="s">
        <v>4069</v>
      </c>
      <c r="F1988" s="1">
        <v>28928</v>
      </c>
      <c r="G1988" s="1">
        <v>2400034336</v>
      </c>
      <c r="H1988" s="1">
        <v>48</v>
      </c>
      <c r="I1988" s="1" t="s">
        <v>399</v>
      </c>
      <c r="J1988" t="s">
        <v>4103</v>
      </c>
    </row>
    <row r="1989" spans="1:10">
      <c r="A1989" s="1">
        <v>581868</v>
      </c>
      <c r="B1989" s="1">
        <v>4144390184</v>
      </c>
      <c r="C1989" s="1">
        <v>12</v>
      </c>
      <c r="D1989" s="1" t="s">
        <v>3633</v>
      </c>
      <c r="E1989" t="s">
        <v>4070</v>
      </c>
      <c r="F1989" s="1">
        <v>456707</v>
      </c>
      <c r="G1989" s="1">
        <v>2400039191</v>
      </c>
      <c r="H1989" s="1">
        <v>24</v>
      </c>
      <c r="I1989" s="1" t="s">
        <v>404</v>
      </c>
      <c r="J1989" t="s">
        <v>4104</v>
      </c>
    </row>
    <row r="1990" spans="1:10">
      <c r="A1990" s="1">
        <v>421909</v>
      </c>
      <c r="B1990" s="1">
        <v>4144390204</v>
      </c>
      <c r="C1990" s="1">
        <v>12</v>
      </c>
      <c r="D1990" s="1" t="s">
        <v>3633</v>
      </c>
      <c r="E1990" t="s">
        <v>4071</v>
      </c>
      <c r="F1990" s="1">
        <v>180422</v>
      </c>
      <c r="G1990" s="1">
        <v>4118804183</v>
      </c>
      <c r="H1990" s="1">
        <v>12</v>
      </c>
      <c r="I1990" s="1" t="s">
        <v>954</v>
      </c>
      <c r="J1990" t="s">
        <v>4105</v>
      </c>
    </row>
    <row r="1991" spans="1:10">
      <c r="A1991" s="1">
        <v>258988</v>
      </c>
      <c r="B1991" s="1">
        <v>4144311872</v>
      </c>
      <c r="C1991" s="1">
        <v>6</v>
      </c>
      <c r="D1991" s="1" t="s">
        <v>4004</v>
      </c>
      <c r="E1991" t="s">
        <v>4072</v>
      </c>
      <c r="F1991" s="1">
        <v>28795</v>
      </c>
      <c r="G1991" s="1">
        <v>4118804161</v>
      </c>
      <c r="H1991" s="1">
        <v>12</v>
      </c>
      <c r="I1991" s="1" t="s">
        <v>954</v>
      </c>
      <c r="J1991" t="s">
        <v>4106</v>
      </c>
    </row>
    <row r="1992" spans="1:10">
      <c r="A1992" s="1">
        <v>702290</v>
      </c>
      <c r="B1992" s="1">
        <v>4144311752</v>
      </c>
      <c r="C1992" s="1">
        <v>6</v>
      </c>
      <c r="D1992" s="1" t="s">
        <v>4004</v>
      </c>
      <c r="E1992" t="s">
        <v>4073</v>
      </c>
      <c r="F1992" s="1">
        <v>131730</v>
      </c>
      <c r="G1992" s="1">
        <v>2700039334</v>
      </c>
      <c r="H1992" s="1">
        <v>12</v>
      </c>
      <c r="I1992" s="1" t="s">
        <v>1037</v>
      </c>
      <c r="J1992" t="s">
        <v>4107</v>
      </c>
    </row>
    <row r="1993" spans="1:10">
      <c r="A1993" s="1">
        <v>49866</v>
      </c>
      <c r="B1993" s="1">
        <v>4144311603</v>
      </c>
      <c r="C1993" s="1">
        <v>12</v>
      </c>
      <c r="D1993" s="1" t="s">
        <v>910</v>
      </c>
      <c r="E1993" t="s">
        <v>4074</v>
      </c>
      <c r="F1993" s="1">
        <v>29231</v>
      </c>
      <c r="G1993" s="1">
        <v>2700038807</v>
      </c>
      <c r="H1993" s="1">
        <v>24</v>
      </c>
      <c r="I1993" s="1" t="s">
        <v>404</v>
      </c>
      <c r="J1993" t="s">
        <v>4108</v>
      </c>
    </row>
    <row r="1994" spans="1:10">
      <c r="A1994" s="1">
        <v>188219</v>
      </c>
      <c r="B1994" s="1">
        <v>4144311252</v>
      </c>
      <c r="C1994" s="1">
        <v>6</v>
      </c>
      <c r="D1994" s="1" t="s">
        <v>4004</v>
      </c>
      <c r="E1994" t="s">
        <v>4075</v>
      </c>
      <c r="F1994" s="1">
        <v>131599</v>
      </c>
      <c r="G1994" s="1">
        <v>2700039221</v>
      </c>
      <c r="H1994" s="1">
        <v>12</v>
      </c>
      <c r="I1994" s="1" t="s">
        <v>910</v>
      </c>
      <c r="J1994" t="s">
        <v>4109</v>
      </c>
    </row>
    <row r="1995" spans="1:10">
      <c r="A1995" s="1">
        <v>49858</v>
      </c>
      <c r="B1995" s="1">
        <v>4144311264</v>
      </c>
      <c r="C1995" s="1">
        <v>12</v>
      </c>
      <c r="D1995" s="1" t="s">
        <v>3633</v>
      </c>
      <c r="E1995" t="s">
        <v>4076</v>
      </c>
      <c r="F1995" s="1">
        <v>29710</v>
      </c>
      <c r="G1995" s="1">
        <v>2700039103</v>
      </c>
      <c r="H1995" s="1">
        <v>24</v>
      </c>
      <c r="I1995" s="1" t="s">
        <v>399</v>
      </c>
      <c r="J1995" t="s">
        <v>4110</v>
      </c>
    </row>
    <row r="1996" spans="1:10">
      <c r="A1996" s="1">
        <v>49809</v>
      </c>
      <c r="B1996" s="1">
        <v>4144310254</v>
      </c>
      <c r="C1996" s="1">
        <v>12</v>
      </c>
      <c r="D1996" s="1" t="s">
        <v>3633</v>
      </c>
      <c r="E1996" t="s">
        <v>4077</v>
      </c>
      <c r="F1996" s="1">
        <v>29942</v>
      </c>
      <c r="G1996" s="1">
        <v>2700039104</v>
      </c>
      <c r="H1996" s="1">
        <v>24</v>
      </c>
      <c r="I1996" s="1" t="s">
        <v>399</v>
      </c>
      <c r="J1996" t="s">
        <v>4111</v>
      </c>
    </row>
    <row r="1997" spans="1:10">
      <c r="A1997" s="1">
        <v>471</v>
      </c>
      <c r="B1997" s="1">
        <v>1116601443</v>
      </c>
      <c r="C1997" s="1">
        <v>12</v>
      </c>
      <c r="D1997" s="1" t="s">
        <v>259</v>
      </c>
      <c r="E1997" t="s">
        <v>4078</v>
      </c>
      <c r="F1997" s="1">
        <v>29181</v>
      </c>
      <c r="G1997" s="1">
        <v>2700038823</v>
      </c>
      <c r="H1997" s="1">
        <v>48</v>
      </c>
      <c r="I1997" s="1" t="s">
        <v>404</v>
      </c>
      <c r="J1997" t="s">
        <v>4112</v>
      </c>
    </row>
    <row r="1998" spans="1:10">
      <c r="A1998" s="1">
        <v>536987</v>
      </c>
      <c r="B1998" s="1">
        <v>1116601442</v>
      </c>
      <c r="C1998" s="1">
        <v>12</v>
      </c>
      <c r="D1998" s="1" t="s">
        <v>4079</v>
      </c>
      <c r="E1998" t="s">
        <v>4080</v>
      </c>
      <c r="F1998" s="1">
        <v>29108</v>
      </c>
      <c r="G1998" s="1">
        <v>2700038811</v>
      </c>
      <c r="H1998" s="1">
        <v>24</v>
      </c>
      <c r="I1998" s="1" t="s">
        <v>347</v>
      </c>
      <c r="J1998" t="s">
        <v>4113</v>
      </c>
    </row>
    <row r="1999" spans="1:10">
      <c r="A1999" s="1">
        <v>180927</v>
      </c>
      <c r="B1999" s="1">
        <v>1116618092</v>
      </c>
      <c r="C1999" s="1">
        <v>24</v>
      </c>
      <c r="D1999" s="1" t="s">
        <v>259</v>
      </c>
      <c r="E1999" t="s">
        <v>4081</v>
      </c>
      <c r="F1999" s="1">
        <v>29124</v>
      </c>
      <c r="G1999" s="1">
        <v>2700038827</v>
      </c>
      <c r="H1999" s="1">
        <v>24</v>
      </c>
      <c r="I1999" s="1" t="s">
        <v>632</v>
      </c>
      <c r="J1999" t="s">
        <v>4113</v>
      </c>
    </row>
    <row r="2000" spans="1:10">
      <c r="A2000" s="1">
        <v>181008</v>
      </c>
      <c r="B2000" s="1">
        <v>1116618094</v>
      </c>
      <c r="C2000" s="1">
        <v>12</v>
      </c>
      <c r="D2000" s="1" t="s">
        <v>954</v>
      </c>
      <c r="E2000" t="s">
        <v>4082</v>
      </c>
      <c r="F2000" s="1">
        <v>29066</v>
      </c>
      <c r="G2000" s="1">
        <v>2700038815</v>
      </c>
      <c r="H2000" s="1">
        <v>48</v>
      </c>
      <c r="I2000" s="1" t="s">
        <v>404</v>
      </c>
      <c r="J2000" t="s">
        <v>4113</v>
      </c>
    </row>
    <row r="2001" spans="1:10">
      <c r="A2001" s="1">
        <v>180968</v>
      </c>
      <c r="B2001" s="1">
        <v>1116618096</v>
      </c>
      <c r="C2001" s="1">
        <v>24</v>
      </c>
      <c r="D2001" s="1" t="s">
        <v>259</v>
      </c>
      <c r="E2001" t="s">
        <v>4083</v>
      </c>
      <c r="F2001" s="1">
        <v>101840</v>
      </c>
      <c r="G2001" s="1">
        <v>2700038963</v>
      </c>
      <c r="H2001" s="1">
        <v>24</v>
      </c>
      <c r="I2001" s="1" t="s">
        <v>1303</v>
      </c>
      <c r="J2001" t="s">
        <v>4114</v>
      </c>
    </row>
    <row r="2002" spans="1:10">
      <c r="A2002" s="1">
        <v>181032</v>
      </c>
      <c r="B2002" s="1">
        <v>1116618097</v>
      </c>
      <c r="C2002" s="1">
        <v>12</v>
      </c>
      <c r="D2002" s="1" t="s">
        <v>3633</v>
      </c>
      <c r="E2002" t="s">
        <v>4083</v>
      </c>
      <c r="F2002" s="1">
        <v>29967</v>
      </c>
      <c r="G2002" s="1">
        <v>2700039014</v>
      </c>
      <c r="H2002" s="1">
        <v>24</v>
      </c>
      <c r="I2002" s="1" t="s">
        <v>910</v>
      </c>
      <c r="J2002" t="s">
        <v>4115</v>
      </c>
    </row>
    <row r="2003" spans="1:10">
      <c r="A2003" s="1">
        <v>180984</v>
      </c>
      <c r="B2003" s="1">
        <v>1116618098</v>
      </c>
      <c r="C2003" s="1">
        <v>24</v>
      </c>
      <c r="D2003" s="1" t="s">
        <v>259</v>
      </c>
      <c r="E2003" t="s">
        <v>4084</v>
      </c>
      <c r="F2003" s="1">
        <v>29959</v>
      </c>
      <c r="G2003" s="1">
        <v>2700039023</v>
      </c>
      <c r="H2003" s="1">
        <v>12</v>
      </c>
      <c r="I2003" s="1" t="s">
        <v>3271</v>
      </c>
      <c r="J2003" t="s">
        <v>4115</v>
      </c>
    </row>
    <row r="2004" spans="1:10">
      <c r="A2004" s="1">
        <v>181024</v>
      </c>
      <c r="B2004" s="1">
        <v>1116618102</v>
      </c>
      <c r="C2004" s="1">
        <v>24</v>
      </c>
      <c r="D2004" s="1" t="s">
        <v>259</v>
      </c>
      <c r="E2004" t="s">
        <v>4085</v>
      </c>
      <c r="F2004" s="1">
        <v>28985</v>
      </c>
      <c r="G2004" s="1">
        <v>2700039005</v>
      </c>
      <c r="H2004" s="1">
        <v>48</v>
      </c>
      <c r="I2004" s="1" t="s">
        <v>399</v>
      </c>
      <c r="J2004" t="s">
        <v>4115</v>
      </c>
    </row>
    <row r="2005" spans="1:10">
      <c r="A2005" s="1">
        <v>180992</v>
      </c>
      <c r="B2005" s="1">
        <v>1116618099</v>
      </c>
      <c r="C2005" s="1">
        <v>24</v>
      </c>
      <c r="D2005" s="1" t="s">
        <v>259</v>
      </c>
      <c r="E2005" t="s">
        <v>4086</v>
      </c>
      <c r="F2005" s="1">
        <v>29207</v>
      </c>
      <c r="G2005" s="1">
        <v>2700039007</v>
      </c>
      <c r="H2005" s="1">
        <v>48</v>
      </c>
      <c r="I2005" s="1" t="s">
        <v>399</v>
      </c>
      <c r="J2005" t="s">
        <v>4116</v>
      </c>
    </row>
    <row r="2006" spans="1:10">
      <c r="A2006" s="1">
        <v>181016</v>
      </c>
      <c r="B2006" s="1">
        <v>1116618900</v>
      </c>
      <c r="C2006" s="1">
        <v>12</v>
      </c>
      <c r="D2006" s="1" t="s">
        <v>3633</v>
      </c>
      <c r="E2006" t="s">
        <v>4087</v>
      </c>
      <c r="F2006" s="1">
        <v>29017</v>
      </c>
      <c r="G2006" s="1">
        <v>1116602901</v>
      </c>
      <c r="H2006" s="1">
        <v>24</v>
      </c>
      <c r="I2006" s="1" t="s">
        <v>347</v>
      </c>
      <c r="J2006" t="s">
        <v>4117</v>
      </c>
    </row>
    <row r="2007" spans="1:10" ht="15.75">
      <c r="A2007" s="4" t="s">
        <v>10735</v>
      </c>
      <c r="B2007" s="2"/>
      <c r="C2007" s="2"/>
      <c r="D2007" s="2"/>
      <c r="E2007" s="3"/>
      <c r="F2007" s="1">
        <v>23622</v>
      </c>
      <c r="G2007" s="1">
        <v>1116602903</v>
      </c>
      <c r="H2007" s="1">
        <v>24</v>
      </c>
      <c r="I2007" s="1" t="s">
        <v>404</v>
      </c>
      <c r="J2007" t="s">
        <v>4117</v>
      </c>
    </row>
    <row r="2008" spans="1:10">
      <c r="A2008" s="2" t="s">
        <v>0</v>
      </c>
      <c r="B2008" s="2" t="s">
        <v>1</v>
      </c>
      <c r="C2008" s="2" t="s">
        <v>2</v>
      </c>
      <c r="D2008" s="2" t="s">
        <v>3</v>
      </c>
      <c r="E2008" s="3" t="s">
        <v>4</v>
      </c>
      <c r="F2008" s="1">
        <v>30486</v>
      </c>
      <c r="G2008" s="1">
        <v>1116603048</v>
      </c>
      <c r="H2008" s="1">
        <v>12</v>
      </c>
      <c r="I2008" s="1" t="s">
        <v>954</v>
      </c>
      <c r="J2008" t="s">
        <v>4118</v>
      </c>
    </row>
    <row r="2009" spans="1:10">
      <c r="A2009" s="1">
        <v>112904</v>
      </c>
      <c r="B2009" s="1">
        <v>7047506204</v>
      </c>
      <c r="C2009" s="1">
        <v>12</v>
      </c>
      <c r="D2009" s="1" t="s">
        <v>106</v>
      </c>
      <c r="E2009" t="s">
        <v>4088</v>
      </c>
      <c r="F2009" s="1">
        <v>28894</v>
      </c>
      <c r="G2009" s="1">
        <v>1116602889</v>
      </c>
      <c r="H2009" s="1">
        <v>24</v>
      </c>
      <c r="I2009" s="1" t="s">
        <v>910</v>
      </c>
      <c r="J2009" t="s">
        <v>4119</v>
      </c>
    </row>
    <row r="2010" spans="1:10" ht="15.75">
      <c r="A2010" s="4" t="s">
        <v>10736</v>
      </c>
      <c r="B2010" s="2"/>
      <c r="C2010" s="2"/>
      <c r="D2010" s="2"/>
      <c r="E2010" s="3"/>
      <c r="F2010" s="4" t="s">
        <v>10738</v>
      </c>
      <c r="G2010" s="2"/>
      <c r="H2010" s="2"/>
      <c r="I2010" s="2"/>
      <c r="J2010" s="3"/>
    </row>
    <row r="2011" spans="1:10">
      <c r="A2011" s="2" t="s">
        <v>0</v>
      </c>
      <c r="B2011" s="2" t="s">
        <v>1</v>
      </c>
      <c r="C2011" s="2" t="s">
        <v>2</v>
      </c>
      <c r="D2011" s="2" t="s">
        <v>3</v>
      </c>
      <c r="E2011" s="3" t="s">
        <v>4</v>
      </c>
      <c r="F2011" s="2" t="s">
        <v>0</v>
      </c>
      <c r="G2011" s="2" t="s">
        <v>1</v>
      </c>
      <c r="H2011" s="2" t="s">
        <v>2</v>
      </c>
      <c r="I2011" s="2" t="s">
        <v>3</v>
      </c>
      <c r="J2011" s="3" t="s">
        <v>4</v>
      </c>
    </row>
    <row r="2012" spans="1:10">
      <c r="A2012" s="1">
        <v>28837</v>
      </c>
      <c r="B2012" s="1">
        <v>1116602883</v>
      </c>
      <c r="C2012" s="1">
        <v>12</v>
      </c>
      <c r="D2012" s="1" t="s">
        <v>954</v>
      </c>
      <c r="E2012" t="s">
        <v>4119</v>
      </c>
      <c r="F2012" s="1">
        <v>751859</v>
      </c>
      <c r="G2012" s="1">
        <v>3620021934</v>
      </c>
      <c r="H2012" s="1">
        <v>12</v>
      </c>
      <c r="I2012" s="1" t="s">
        <v>439</v>
      </c>
      <c r="J2012" t="s">
        <v>4156</v>
      </c>
    </row>
    <row r="2013" spans="1:10">
      <c r="A2013" s="1">
        <v>28902</v>
      </c>
      <c r="B2013" s="1">
        <v>1116602890</v>
      </c>
      <c r="C2013" s="1">
        <v>48</v>
      </c>
      <c r="D2013" s="1" t="s">
        <v>399</v>
      </c>
      <c r="E2013" t="s">
        <v>4119</v>
      </c>
      <c r="F2013" s="1">
        <v>101204</v>
      </c>
      <c r="G2013" s="1">
        <v>4112927463</v>
      </c>
      <c r="H2013" s="1">
        <v>12</v>
      </c>
      <c r="I2013" s="1" t="s">
        <v>910</v>
      </c>
      <c r="J2013" t="s">
        <v>4157</v>
      </c>
    </row>
    <row r="2014" spans="1:10">
      <c r="A2014" s="1">
        <v>29090</v>
      </c>
      <c r="B2014" s="1">
        <v>4113030135</v>
      </c>
      <c r="C2014" s="1">
        <v>24</v>
      </c>
      <c r="D2014" s="1" t="s">
        <v>404</v>
      </c>
      <c r="E2014" t="s">
        <v>4120</v>
      </c>
      <c r="F2014" s="1">
        <v>272443</v>
      </c>
      <c r="G2014" s="1">
        <v>4112907764</v>
      </c>
      <c r="H2014" s="1">
        <v>12</v>
      </c>
      <c r="I2014" s="1" t="s">
        <v>910</v>
      </c>
      <c r="J2014" t="s">
        <v>4158</v>
      </c>
    </row>
    <row r="2015" spans="1:10">
      <c r="A2015" s="1">
        <v>18275</v>
      </c>
      <c r="B2015" s="1">
        <v>4113030131</v>
      </c>
      <c r="C2015" s="1">
        <v>48</v>
      </c>
      <c r="D2015" s="1" t="s">
        <v>399</v>
      </c>
      <c r="E2015" t="s">
        <v>4121</v>
      </c>
      <c r="F2015" s="1">
        <v>612523</v>
      </c>
      <c r="G2015" s="1">
        <v>4112907763</v>
      </c>
      <c r="H2015" s="1">
        <v>12</v>
      </c>
      <c r="I2015" s="1" t="s">
        <v>910</v>
      </c>
      <c r="J2015" t="s">
        <v>4159</v>
      </c>
    </row>
    <row r="2016" spans="1:10">
      <c r="A2016" s="1">
        <v>759415</v>
      </c>
      <c r="B2016" s="1">
        <v>7294075701</v>
      </c>
      <c r="C2016" s="1">
        <v>12</v>
      </c>
      <c r="D2016" s="1" t="s">
        <v>954</v>
      </c>
      <c r="E2016" t="s">
        <v>4122</v>
      </c>
      <c r="F2016" s="1">
        <v>177121</v>
      </c>
      <c r="G2016" s="1">
        <v>4112927445</v>
      </c>
      <c r="H2016" s="1">
        <v>12</v>
      </c>
      <c r="I2016" s="1" t="s">
        <v>439</v>
      </c>
      <c r="J2016" t="s">
        <v>4160</v>
      </c>
    </row>
    <row r="2017" spans="1:10" ht="15.75">
      <c r="A2017" s="4" t="s">
        <v>10737</v>
      </c>
      <c r="B2017" s="2"/>
      <c r="C2017" s="2"/>
      <c r="D2017" s="2"/>
      <c r="E2017" s="3"/>
      <c r="F2017" s="1">
        <v>590109</v>
      </c>
      <c r="G2017" s="1">
        <v>4112963110</v>
      </c>
      <c r="H2017" s="1">
        <v>12</v>
      </c>
      <c r="I2017" s="1" t="s">
        <v>439</v>
      </c>
      <c r="J2017" t="s">
        <v>4161</v>
      </c>
    </row>
    <row r="2018" spans="1:10">
      <c r="A2018" s="2" t="s">
        <v>0</v>
      </c>
      <c r="B2018" s="2" t="s">
        <v>1</v>
      </c>
      <c r="C2018" s="2" t="s">
        <v>2</v>
      </c>
      <c r="D2018" s="2" t="s">
        <v>3</v>
      </c>
      <c r="E2018" s="3" t="s">
        <v>4</v>
      </c>
      <c r="F2018" s="1">
        <v>167502</v>
      </c>
      <c r="G2018" s="1">
        <v>4112907762</v>
      </c>
      <c r="H2018" s="1">
        <v>12</v>
      </c>
      <c r="I2018" s="1" t="s">
        <v>439</v>
      </c>
      <c r="J2018" t="s">
        <v>4162</v>
      </c>
    </row>
    <row r="2019" spans="1:10">
      <c r="A2019" s="1">
        <v>93682</v>
      </c>
      <c r="B2019" s="1">
        <v>6414404343</v>
      </c>
      <c r="C2019" s="1">
        <v>12</v>
      </c>
      <c r="D2019" s="1" t="s">
        <v>4123</v>
      </c>
      <c r="E2019" t="s">
        <v>4124</v>
      </c>
      <c r="F2019" s="1">
        <v>664227</v>
      </c>
      <c r="G2019" s="1">
        <v>4112907702</v>
      </c>
      <c r="H2019" s="1">
        <v>12</v>
      </c>
      <c r="I2019" s="1" t="s">
        <v>439</v>
      </c>
      <c r="J2019" t="s">
        <v>4163</v>
      </c>
    </row>
    <row r="2020" spans="1:10">
      <c r="A2020" s="1">
        <v>93690</v>
      </c>
      <c r="B2020" s="1">
        <v>6414404342</v>
      </c>
      <c r="C2020" s="1">
        <v>12</v>
      </c>
      <c r="D2020" s="1" t="s">
        <v>4125</v>
      </c>
      <c r="E2020" t="s">
        <v>4126</v>
      </c>
      <c r="F2020" s="1">
        <v>79228</v>
      </c>
      <c r="G2020" s="1">
        <v>4112963240</v>
      </c>
      <c r="H2020" s="1">
        <v>12</v>
      </c>
      <c r="I2020" s="1" t="s">
        <v>439</v>
      </c>
      <c r="J2020" t="s">
        <v>4164</v>
      </c>
    </row>
    <row r="2021" spans="1:10">
      <c r="A2021" s="1">
        <v>429225</v>
      </c>
      <c r="B2021" s="1">
        <v>1600030200</v>
      </c>
      <c r="C2021" s="1">
        <v>24</v>
      </c>
      <c r="D2021" s="1" t="s">
        <v>465</v>
      </c>
      <c r="E2021" t="s">
        <v>4127</v>
      </c>
      <c r="F2021" s="1">
        <v>108266</v>
      </c>
      <c r="G2021" s="1">
        <v>4112963250</v>
      </c>
      <c r="H2021" s="1">
        <v>12</v>
      </c>
      <c r="I2021" s="1" t="s">
        <v>910</v>
      </c>
      <c r="J2021" t="s">
        <v>4165</v>
      </c>
    </row>
    <row r="2022" spans="1:10">
      <c r="A2022" s="1">
        <v>101402</v>
      </c>
      <c r="B2022" s="1">
        <v>1330051501</v>
      </c>
      <c r="C2022" s="1">
        <v>24</v>
      </c>
      <c r="D2022" s="1" t="s">
        <v>465</v>
      </c>
      <c r="E2022" t="s">
        <v>4128</v>
      </c>
      <c r="F2022" s="1">
        <v>52431</v>
      </c>
      <c r="G2022" s="1">
        <v>4112963210</v>
      </c>
      <c r="H2022" s="1">
        <v>12</v>
      </c>
      <c r="I2022" s="1" t="s">
        <v>439</v>
      </c>
      <c r="J2022" t="s">
        <v>4166</v>
      </c>
    </row>
    <row r="2023" spans="1:10">
      <c r="A2023" s="1">
        <v>802066</v>
      </c>
      <c r="B2023" s="1">
        <v>7234300009</v>
      </c>
      <c r="C2023" s="1">
        <v>12</v>
      </c>
      <c r="D2023" s="1" t="s">
        <v>381</v>
      </c>
      <c r="E2023" t="s">
        <v>4129</v>
      </c>
      <c r="F2023" s="1">
        <v>111351</v>
      </c>
      <c r="G2023" s="1">
        <v>4112963180</v>
      </c>
      <c r="H2023" s="1">
        <v>12</v>
      </c>
      <c r="I2023" s="1" t="s">
        <v>439</v>
      </c>
      <c r="J2023" t="s">
        <v>4167</v>
      </c>
    </row>
    <row r="2024" spans="1:10">
      <c r="A2024" s="1">
        <v>94789</v>
      </c>
      <c r="B2024" s="1">
        <v>3620000580</v>
      </c>
      <c r="C2024" s="1">
        <v>12</v>
      </c>
      <c r="D2024" s="1" t="s">
        <v>259</v>
      </c>
      <c r="E2024" t="s">
        <v>4130</v>
      </c>
      <c r="F2024" s="1">
        <v>60806</v>
      </c>
      <c r="G2024" s="1">
        <v>4112907765</v>
      </c>
      <c r="H2024" s="1">
        <v>12</v>
      </c>
      <c r="I2024" s="1" t="s">
        <v>910</v>
      </c>
      <c r="J2024" t="s">
        <v>4168</v>
      </c>
    </row>
    <row r="2025" spans="1:10">
      <c r="A2025" s="1">
        <v>93641</v>
      </c>
      <c r="B2025" s="1">
        <v>3620000550</v>
      </c>
      <c r="C2025" s="1">
        <v>12</v>
      </c>
      <c r="D2025" s="1" t="s">
        <v>259</v>
      </c>
      <c r="E2025" t="s">
        <v>4131</v>
      </c>
      <c r="F2025" s="1">
        <v>532556</v>
      </c>
      <c r="G2025" s="1">
        <v>4112907722</v>
      </c>
      <c r="H2025" s="1">
        <v>12</v>
      </c>
      <c r="I2025" s="1" t="s">
        <v>439</v>
      </c>
      <c r="J2025" t="s">
        <v>4169</v>
      </c>
    </row>
    <row r="2026" spans="1:10">
      <c r="A2026" s="1">
        <v>117143</v>
      </c>
      <c r="B2026" s="1">
        <v>1116611714</v>
      </c>
      <c r="C2026" s="1">
        <v>12</v>
      </c>
      <c r="D2026" s="1" t="s">
        <v>259</v>
      </c>
      <c r="E2026" t="s">
        <v>4132</v>
      </c>
      <c r="F2026" s="1">
        <v>593285</v>
      </c>
      <c r="G2026" s="1">
        <v>4112907712</v>
      </c>
      <c r="H2026" s="1">
        <v>12</v>
      </c>
      <c r="I2026" s="1" t="s">
        <v>439</v>
      </c>
      <c r="J2026" t="s">
        <v>4170</v>
      </c>
    </row>
    <row r="2027" spans="1:10" ht="15.75">
      <c r="A2027" s="4" t="s">
        <v>10738</v>
      </c>
      <c r="B2027" s="2"/>
      <c r="C2027" s="2"/>
      <c r="D2027" s="2"/>
      <c r="E2027" s="3"/>
      <c r="F2027" s="1">
        <v>219105</v>
      </c>
      <c r="G2027" s="1">
        <v>4112907742</v>
      </c>
      <c r="H2027" s="1">
        <v>12</v>
      </c>
      <c r="I2027" s="1" t="s">
        <v>439</v>
      </c>
      <c r="J2027" t="s">
        <v>4171</v>
      </c>
    </row>
    <row r="2028" spans="1:10">
      <c r="A2028" s="2" t="s">
        <v>0</v>
      </c>
      <c r="B2028" s="2" t="s">
        <v>1</v>
      </c>
      <c r="C2028" s="2" t="s">
        <v>2</v>
      </c>
      <c r="D2028" s="2" t="s">
        <v>3</v>
      </c>
      <c r="E2028" s="3" t="s">
        <v>4</v>
      </c>
      <c r="F2028" s="1">
        <v>527556</v>
      </c>
      <c r="G2028" s="1">
        <v>4112907782</v>
      </c>
      <c r="H2028" s="1">
        <v>12</v>
      </c>
      <c r="I2028" s="1" t="s">
        <v>439</v>
      </c>
      <c r="J2028" t="s">
        <v>4172</v>
      </c>
    </row>
    <row r="2029" spans="1:10">
      <c r="A2029" s="1">
        <v>96909</v>
      </c>
      <c r="B2029" s="1">
        <v>4138733126</v>
      </c>
      <c r="C2029" s="1">
        <v>12</v>
      </c>
      <c r="D2029" s="1" t="s">
        <v>404</v>
      </c>
      <c r="E2029" t="s">
        <v>4133</v>
      </c>
      <c r="F2029" s="1">
        <v>607960</v>
      </c>
      <c r="G2029" s="1">
        <v>4112907700</v>
      </c>
      <c r="H2029" s="1">
        <v>12</v>
      </c>
      <c r="I2029" s="1" t="s">
        <v>439</v>
      </c>
      <c r="J2029" t="s">
        <v>4173</v>
      </c>
    </row>
    <row r="2030" spans="1:10">
      <c r="A2030" s="1">
        <v>534461</v>
      </c>
      <c r="B2030" s="1">
        <v>70601011301</v>
      </c>
      <c r="C2030" s="1">
        <v>12</v>
      </c>
      <c r="D2030" s="1" t="s">
        <v>439</v>
      </c>
      <c r="E2030" t="s">
        <v>4134</v>
      </c>
      <c r="F2030" s="1">
        <v>301457</v>
      </c>
      <c r="G2030" s="1">
        <v>4112907769</v>
      </c>
      <c r="H2030" s="1">
        <v>12</v>
      </c>
      <c r="I2030" s="1" t="s">
        <v>910</v>
      </c>
      <c r="J2030" t="s">
        <v>4174</v>
      </c>
    </row>
    <row r="2031" spans="1:10">
      <c r="A2031" s="1">
        <v>83014</v>
      </c>
      <c r="B2031" s="1">
        <v>70601011292</v>
      </c>
      <c r="C2031" s="1">
        <v>12</v>
      </c>
      <c r="D2031" s="1" t="s">
        <v>439</v>
      </c>
      <c r="E2031" t="s">
        <v>4135</v>
      </c>
      <c r="F2031" s="1">
        <v>182436</v>
      </c>
      <c r="G2031" s="1">
        <v>4112907790</v>
      </c>
      <c r="H2031" s="1">
        <v>12</v>
      </c>
      <c r="I2031" s="1" t="s">
        <v>439</v>
      </c>
      <c r="J2031" t="s">
        <v>4175</v>
      </c>
    </row>
    <row r="2032" spans="1:10">
      <c r="A2032" s="1">
        <v>128181</v>
      </c>
      <c r="B2032" s="1">
        <v>70601011297</v>
      </c>
      <c r="C2032" s="1">
        <v>12</v>
      </c>
      <c r="D2032" s="1" t="s">
        <v>439</v>
      </c>
      <c r="E2032" t="s">
        <v>4136</v>
      </c>
      <c r="F2032" s="1">
        <v>657072</v>
      </c>
      <c r="G2032" s="1">
        <v>4112907785</v>
      </c>
      <c r="H2032" s="1">
        <v>12</v>
      </c>
      <c r="I2032" s="1" t="s">
        <v>439</v>
      </c>
      <c r="J2032" t="s">
        <v>4176</v>
      </c>
    </row>
    <row r="2033" spans="1:10">
      <c r="A2033" s="1">
        <v>83402</v>
      </c>
      <c r="B2033" s="1">
        <v>70601011588</v>
      </c>
      <c r="C2033" s="1">
        <v>12</v>
      </c>
      <c r="D2033" s="1" t="s">
        <v>439</v>
      </c>
      <c r="E2033" t="s">
        <v>4137</v>
      </c>
      <c r="F2033" s="1">
        <v>127852</v>
      </c>
      <c r="G2033" s="1">
        <v>4112907705</v>
      </c>
      <c r="H2033" s="1">
        <v>12</v>
      </c>
      <c r="I2033" s="1" t="s">
        <v>439</v>
      </c>
      <c r="J2033" t="s">
        <v>4177</v>
      </c>
    </row>
    <row r="2034" spans="1:10">
      <c r="A2034" s="1">
        <v>83055</v>
      </c>
      <c r="B2034" s="1">
        <v>70601011293</v>
      </c>
      <c r="C2034" s="1">
        <v>12</v>
      </c>
      <c r="D2034" s="1" t="s">
        <v>439</v>
      </c>
      <c r="E2034" t="s">
        <v>4138</v>
      </c>
      <c r="F2034" s="1">
        <v>653733</v>
      </c>
      <c r="G2034" s="1">
        <v>7592530120</v>
      </c>
      <c r="H2034" s="1">
        <v>12</v>
      </c>
      <c r="I2034" s="1" t="s">
        <v>399</v>
      </c>
      <c r="J2034" t="s">
        <v>4178</v>
      </c>
    </row>
    <row r="2035" spans="1:10">
      <c r="A2035" s="1">
        <v>83329</v>
      </c>
      <c r="B2035" s="1">
        <v>70601011296</v>
      </c>
      <c r="C2035" s="1">
        <v>12</v>
      </c>
      <c r="D2035" s="1" t="s">
        <v>439</v>
      </c>
      <c r="E2035" t="s">
        <v>4139</v>
      </c>
      <c r="F2035" s="1">
        <v>182378</v>
      </c>
      <c r="G2035" s="1">
        <v>2400001252</v>
      </c>
      <c r="H2035" s="1">
        <v>12</v>
      </c>
      <c r="I2035" s="1" t="s">
        <v>637</v>
      </c>
      <c r="J2035" t="s">
        <v>4179</v>
      </c>
    </row>
    <row r="2036" spans="1:10">
      <c r="A2036" s="1">
        <v>83923</v>
      </c>
      <c r="B2036" s="1">
        <v>3620021929</v>
      </c>
      <c r="C2036" s="1">
        <v>12</v>
      </c>
      <c r="D2036" s="1" t="s">
        <v>910</v>
      </c>
      <c r="E2036" t="s">
        <v>4140</v>
      </c>
      <c r="F2036" s="1">
        <v>182592</v>
      </c>
      <c r="G2036" s="1">
        <v>2400001839</v>
      </c>
      <c r="H2036" s="1">
        <v>12</v>
      </c>
      <c r="I2036" s="1" t="s">
        <v>2271</v>
      </c>
      <c r="J2036" t="s">
        <v>4180</v>
      </c>
    </row>
    <row r="2037" spans="1:10">
      <c r="A2037" s="1">
        <v>524025</v>
      </c>
      <c r="B2037" s="1">
        <v>3620022626</v>
      </c>
      <c r="C2037" s="1">
        <v>12</v>
      </c>
      <c r="D2037" s="1" t="s">
        <v>439</v>
      </c>
      <c r="E2037" t="s">
        <v>4141</v>
      </c>
      <c r="F2037" s="1">
        <v>182030</v>
      </c>
      <c r="G2037" s="1">
        <v>2400001108</v>
      </c>
      <c r="H2037" s="1">
        <v>12</v>
      </c>
      <c r="I2037" s="1" t="s">
        <v>2271</v>
      </c>
      <c r="J2037" t="s">
        <v>4181</v>
      </c>
    </row>
    <row r="2038" spans="1:10">
      <c r="A2038" s="1">
        <v>411983</v>
      </c>
      <c r="B2038" s="1">
        <v>3620021922</v>
      </c>
      <c r="C2038" s="1">
        <v>12</v>
      </c>
      <c r="D2038" s="1" t="s">
        <v>439</v>
      </c>
      <c r="E2038" t="s">
        <v>4142</v>
      </c>
      <c r="F2038" s="1">
        <v>182048</v>
      </c>
      <c r="G2038" s="1">
        <v>2400001110</v>
      </c>
      <c r="H2038" s="1">
        <v>12</v>
      </c>
      <c r="I2038" s="1" t="s">
        <v>2271</v>
      </c>
      <c r="J2038" t="s">
        <v>4182</v>
      </c>
    </row>
    <row r="2039" spans="1:10">
      <c r="A2039" s="1">
        <v>749291</v>
      </c>
      <c r="B2039" s="1">
        <v>3620021919</v>
      </c>
      <c r="C2039" s="1">
        <v>12</v>
      </c>
      <c r="D2039" s="1" t="s">
        <v>910</v>
      </c>
      <c r="E2039" t="s">
        <v>4143</v>
      </c>
      <c r="F2039" s="1">
        <v>182022</v>
      </c>
      <c r="G2039" s="1">
        <v>2400001049</v>
      </c>
      <c r="H2039" s="1">
        <v>12</v>
      </c>
      <c r="I2039" s="1" t="s">
        <v>2271</v>
      </c>
      <c r="J2039" t="s">
        <v>4183</v>
      </c>
    </row>
    <row r="2040" spans="1:10">
      <c r="A2040" s="1">
        <v>153304</v>
      </c>
      <c r="B2040" s="1">
        <v>3620021920</v>
      </c>
      <c r="C2040" s="1">
        <v>12</v>
      </c>
      <c r="D2040" s="1" t="s">
        <v>439</v>
      </c>
      <c r="E2040" t="s">
        <v>4144</v>
      </c>
      <c r="F2040" s="1">
        <v>182055</v>
      </c>
      <c r="G2040" s="1">
        <v>2400001123</v>
      </c>
      <c r="H2040" s="1">
        <v>12</v>
      </c>
      <c r="I2040" s="1" t="s">
        <v>2271</v>
      </c>
      <c r="J2040" t="s">
        <v>4184</v>
      </c>
    </row>
    <row r="2041" spans="1:10">
      <c r="A2041" s="1">
        <v>526970</v>
      </c>
      <c r="B2041" s="1">
        <v>3620021930</v>
      </c>
      <c r="C2041" s="1">
        <v>12</v>
      </c>
      <c r="D2041" s="1" t="s">
        <v>910</v>
      </c>
      <c r="E2041" t="s">
        <v>4145</v>
      </c>
      <c r="F2041" s="1">
        <v>182071</v>
      </c>
      <c r="G2041" s="1">
        <v>2400001026</v>
      </c>
      <c r="H2041" s="1">
        <v>12</v>
      </c>
      <c r="I2041" s="1" t="s">
        <v>2271</v>
      </c>
      <c r="J2041" t="s">
        <v>4185</v>
      </c>
    </row>
    <row r="2042" spans="1:10">
      <c r="A2042" s="1">
        <v>342378</v>
      </c>
      <c r="B2042" s="1">
        <v>3620021933</v>
      </c>
      <c r="C2042" s="1">
        <v>12</v>
      </c>
      <c r="D2042" s="1" t="s">
        <v>439</v>
      </c>
      <c r="E2042" t="s">
        <v>4146</v>
      </c>
      <c r="F2042" s="1">
        <v>387217</v>
      </c>
      <c r="G2042" s="1">
        <v>7764490139</v>
      </c>
      <c r="H2042" s="1">
        <v>8</v>
      </c>
      <c r="I2042" s="1" t="s">
        <v>697</v>
      </c>
      <c r="J2042" t="s">
        <v>4186</v>
      </c>
    </row>
    <row r="2043" spans="1:10">
      <c r="A2043" s="1">
        <v>379230</v>
      </c>
      <c r="B2043" s="1">
        <v>3620022302</v>
      </c>
      <c r="C2043" s="1">
        <v>12</v>
      </c>
      <c r="D2043" s="1" t="s">
        <v>439</v>
      </c>
      <c r="E2043" t="s">
        <v>4147</v>
      </c>
      <c r="F2043" s="1">
        <v>387175</v>
      </c>
      <c r="G2043" s="1">
        <v>7764490138</v>
      </c>
      <c r="H2043" s="1">
        <v>8</v>
      </c>
      <c r="I2043" s="1" t="s">
        <v>697</v>
      </c>
      <c r="J2043" t="s">
        <v>4187</v>
      </c>
    </row>
    <row r="2044" spans="1:10">
      <c r="A2044" s="1">
        <v>621904</v>
      </c>
      <c r="B2044" s="1">
        <v>3620022284</v>
      </c>
      <c r="C2044" s="1">
        <v>12</v>
      </c>
      <c r="D2044" s="1" t="s">
        <v>439</v>
      </c>
      <c r="E2044" t="s">
        <v>4148</v>
      </c>
      <c r="F2044" s="1">
        <v>387415</v>
      </c>
      <c r="G2044" s="1">
        <v>7764490141</v>
      </c>
      <c r="H2044" s="1">
        <v>8</v>
      </c>
      <c r="I2044" s="1" t="s">
        <v>697</v>
      </c>
      <c r="J2044" t="s">
        <v>4188</v>
      </c>
    </row>
    <row r="2045" spans="1:10">
      <c r="A2045" s="1">
        <v>196691</v>
      </c>
      <c r="B2045" s="1">
        <v>3620023041</v>
      </c>
      <c r="C2045" s="1">
        <v>6</v>
      </c>
      <c r="D2045" s="1" t="s">
        <v>4149</v>
      </c>
      <c r="E2045" t="s">
        <v>4150</v>
      </c>
      <c r="F2045" s="1">
        <v>96651</v>
      </c>
      <c r="G2045" s="1">
        <v>7764430332</v>
      </c>
      <c r="H2045" s="1">
        <v>12</v>
      </c>
      <c r="I2045" s="1" t="s">
        <v>439</v>
      </c>
      <c r="J2045" t="s">
        <v>4189</v>
      </c>
    </row>
    <row r="2046" spans="1:10">
      <c r="A2046" s="1">
        <v>435651</v>
      </c>
      <c r="B2046" s="1">
        <v>3620023039</v>
      </c>
      <c r="C2046" s="1">
        <v>6</v>
      </c>
      <c r="D2046" s="1" t="s">
        <v>4149</v>
      </c>
      <c r="E2046" t="s">
        <v>4151</v>
      </c>
      <c r="F2046" s="1">
        <v>871863</v>
      </c>
      <c r="G2046" s="1">
        <v>2880012932</v>
      </c>
      <c r="H2046" s="1">
        <v>6</v>
      </c>
      <c r="I2046" s="1" t="s">
        <v>3398</v>
      </c>
      <c r="J2046" t="s">
        <v>4190</v>
      </c>
    </row>
    <row r="2047" spans="1:10">
      <c r="A2047" s="1">
        <v>895508</v>
      </c>
      <c r="B2047" s="1">
        <v>3620022628</v>
      </c>
      <c r="C2047" s="1">
        <v>12</v>
      </c>
      <c r="D2047" s="1" t="s">
        <v>439</v>
      </c>
      <c r="E2047" t="s">
        <v>4152</v>
      </c>
      <c r="F2047" s="1">
        <v>131557</v>
      </c>
      <c r="G2047" s="1">
        <v>2700042264</v>
      </c>
      <c r="H2047" s="1">
        <v>12</v>
      </c>
      <c r="I2047" s="1" t="s">
        <v>637</v>
      </c>
      <c r="J2047" t="s">
        <v>4191</v>
      </c>
    </row>
    <row r="2048" spans="1:10">
      <c r="A2048" s="1">
        <v>510867</v>
      </c>
      <c r="B2048" s="1">
        <v>3620021931</v>
      </c>
      <c r="C2048" s="1">
        <v>12</v>
      </c>
      <c r="D2048" s="1" t="s">
        <v>439</v>
      </c>
      <c r="E2048" t="s">
        <v>4153</v>
      </c>
      <c r="F2048" s="1">
        <v>95661</v>
      </c>
      <c r="G2048" s="1">
        <v>2700042234</v>
      </c>
      <c r="H2048" s="1">
        <v>12</v>
      </c>
      <c r="I2048" s="1" t="s">
        <v>637</v>
      </c>
      <c r="J2048" t="s">
        <v>4192</v>
      </c>
    </row>
    <row r="2049" spans="1:10">
      <c r="A2049" s="1">
        <v>578054</v>
      </c>
      <c r="B2049" s="1">
        <v>3620021921</v>
      </c>
      <c r="C2049" s="1">
        <v>12</v>
      </c>
      <c r="D2049" s="1" t="s">
        <v>439</v>
      </c>
      <c r="E2049" t="s">
        <v>4154</v>
      </c>
      <c r="F2049" s="1">
        <v>132175</v>
      </c>
      <c r="G2049" s="1">
        <v>2700042231</v>
      </c>
      <c r="H2049" s="1">
        <v>12</v>
      </c>
      <c r="I2049" s="1" t="s">
        <v>2271</v>
      </c>
      <c r="J2049" t="s">
        <v>4193</v>
      </c>
    </row>
    <row r="2050" spans="1:10">
      <c r="A2050" s="1">
        <v>744615</v>
      </c>
      <c r="B2050" s="1">
        <v>3620021932</v>
      </c>
      <c r="C2050" s="1">
        <v>12</v>
      </c>
      <c r="D2050" s="1" t="s">
        <v>439</v>
      </c>
      <c r="E2050" t="s">
        <v>4155</v>
      </c>
      <c r="F2050" s="1">
        <v>95091</v>
      </c>
      <c r="G2050" s="1">
        <v>2700042274</v>
      </c>
      <c r="H2050" s="1">
        <v>12</v>
      </c>
      <c r="I2050" s="1" t="s">
        <v>637</v>
      </c>
      <c r="J2050" t="s">
        <v>4194</v>
      </c>
    </row>
    <row r="2051" spans="1:10" ht="15.75">
      <c r="A2051" s="4" t="s">
        <v>10738</v>
      </c>
      <c r="B2051" s="2"/>
      <c r="C2051" s="2"/>
      <c r="D2051" s="2"/>
      <c r="E2051" s="3"/>
      <c r="F2051" s="4" t="s">
        <v>10738</v>
      </c>
      <c r="G2051" s="2"/>
      <c r="H2051" s="2"/>
      <c r="I2051" s="2"/>
      <c r="J2051" s="3"/>
    </row>
    <row r="2052" spans="1:10">
      <c r="A2052" s="2" t="s">
        <v>0</v>
      </c>
      <c r="B2052" s="2" t="s">
        <v>1</v>
      </c>
      <c r="C2052" s="2" t="s">
        <v>2</v>
      </c>
      <c r="D2052" s="2" t="s">
        <v>3</v>
      </c>
      <c r="E2052" s="3" t="s">
        <v>4</v>
      </c>
      <c r="F2052" s="2" t="s">
        <v>0</v>
      </c>
      <c r="G2052" s="2" t="s">
        <v>1</v>
      </c>
      <c r="H2052" s="2" t="s">
        <v>2</v>
      </c>
      <c r="I2052" s="2" t="s">
        <v>3</v>
      </c>
      <c r="J2052" s="3" t="s">
        <v>4</v>
      </c>
    </row>
    <row r="2053" spans="1:10">
      <c r="A2053" s="1">
        <v>131441</v>
      </c>
      <c r="B2053" s="1">
        <v>2700042240</v>
      </c>
      <c r="C2053" s="1">
        <v>12</v>
      </c>
      <c r="D2053" s="1" t="s">
        <v>2271</v>
      </c>
      <c r="E2053" t="s">
        <v>4195</v>
      </c>
      <c r="F2053" s="1">
        <v>91900</v>
      </c>
      <c r="G2053" s="1">
        <v>5100002793</v>
      </c>
      <c r="H2053" s="1">
        <v>12</v>
      </c>
      <c r="I2053" s="1" t="s">
        <v>259</v>
      </c>
      <c r="J2053" t="s">
        <v>4231</v>
      </c>
    </row>
    <row r="2054" spans="1:10">
      <c r="A2054" s="1">
        <v>95083</v>
      </c>
      <c r="B2054" s="1">
        <v>2700042273</v>
      </c>
      <c r="C2054" s="1">
        <v>12</v>
      </c>
      <c r="D2054" s="1" t="s">
        <v>637</v>
      </c>
      <c r="E2054" t="s">
        <v>4196</v>
      </c>
      <c r="F2054" s="1">
        <v>94763</v>
      </c>
      <c r="G2054" s="1">
        <v>5100001210</v>
      </c>
      <c r="H2054" s="1">
        <v>12</v>
      </c>
      <c r="I2054" s="1" t="s">
        <v>1194</v>
      </c>
      <c r="J2054" t="s">
        <v>4232</v>
      </c>
    </row>
    <row r="2055" spans="1:10">
      <c r="A2055" s="1">
        <v>131458</v>
      </c>
      <c r="B2055" s="1">
        <v>2700042238</v>
      </c>
      <c r="C2055" s="1">
        <v>12</v>
      </c>
      <c r="D2055" s="1" t="s">
        <v>2271</v>
      </c>
      <c r="E2055" t="s">
        <v>4197</v>
      </c>
      <c r="F2055" s="1">
        <v>94797</v>
      </c>
      <c r="G2055" s="1">
        <v>5100001214</v>
      </c>
      <c r="H2055" s="1">
        <v>12</v>
      </c>
      <c r="I2055" s="1" t="s">
        <v>637</v>
      </c>
      <c r="J2055" t="s">
        <v>4233</v>
      </c>
    </row>
    <row r="2056" spans="1:10">
      <c r="A2056" s="1">
        <v>131466</v>
      </c>
      <c r="B2056" s="1">
        <v>2700042239</v>
      </c>
      <c r="C2056" s="1">
        <v>12</v>
      </c>
      <c r="D2056" s="1" t="s">
        <v>2271</v>
      </c>
      <c r="E2056" t="s">
        <v>4198</v>
      </c>
      <c r="F2056" s="1">
        <v>91926</v>
      </c>
      <c r="G2056" s="1">
        <v>5100002548</v>
      </c>
      <c r="H2056" s="1">
        <v>12</v>
      </c>
      <c r="I2056" s="1" t="s">
        <v>259</v>
      </c>
      <c r="J2056" t="s">
        <v>4234</v>
      </c>
    </row>
    <row r="2057" spans="1:10">
      <c r="A2057" s="1">
        <v>132027</v>
      </c>
      <c r="B2057" s="1">
        <v>2700042254</v>
      </c>
      <c r="C2057" s="1">
        <v>12</v>
      </c>
      <c r="D2057" s="1" t="s">
        <v>2271</v>
      </c>
      <c r="E2057" t="s">
        <v>4199</v>
      </c>
      <c r="F2057" s="1">
        <v>91306</v>
      </c>
      <c r="G2057" s="1">
        <v>5100002549</v>
      </c>
      <c r="H2057" s="1">
        <v>12</v>
      </c>
      <c r="I2057" s="1" t="s">
        <v>637</v>
      </c>
      <c r="J2057" t="s">
        <v>4234</v>
      </c>
    </row>
    <row r="2058" spans="1:10">
      <c r="A2058" s="1">
        <v>95653</v>
      </c>
      <c r="B2058" s="1">
        <v>2700042232</v>
      </c>
      <c r="C2058" s="1">
        <v>12</v>
      </c>
      <c r="D2058" s="1" t="s">
        <v>637</v>
      </c>
      <c r="E2058" t="s">
        <v>4200</v>
      </c>
      <c r="F2058" s="1">
        <v>91108</v>
      </c>
      <c r="G2058" s="1">
        <v>5100009324</v>
      </c>
      <c r="H2058" s="1">
        <v>12</v>
      </c>
      <c r="I2058" s="1" t="s">
        <v>637</v>
      </c>
      <c r="J2058" t="s">
        <v>4235</v>
      </c>
    </row>
    <row r="2059" spans="1:10">
      <c r="A2059" s="1">
        <v>384297</v>
      </c>
      <c r="B2059" s="1">
        <v>2700042241</v>
      </c>
      <c r="C2059" s="1">
        <v>12</v>
      </c>
      <c r="D2059" s="1" t="s">
        <v>637</v>
      </c>
      <c r="E2059" t="s">
        <v>4201</v>
      </c>
      <c r="F2059" s="1">
        <v>304683</v>
      </c>
      <c r="G2059" s="1">
        <v>5100012013</v>
      </c>
      <c r="H2059" s="1">
        <v>12</v>
      </c>
      <c r="I2059" s="1" t="s">
        <v>637</v>
      </c>
      <c r="J2059" t="s">
        <v>4236</v>
      </c>
    </row>
    <row r="2060" spans="1:10">
      <c r="A2060" s="1">
        <v>836965</v>
      </c>
      <c r="B2060" s="1">
        <v>2100061541</v>
      </c>
      <c r="C2060" s="1">
        <v>12</v>
      </c>
      <c r="D2060" s="1" t="s">
        <v>399</v>
      </c>
      <c r="E2060" t="s">
        <v>4202</v>
      </c>
      <c r="F2060" s="1">
        <v>91983</v>
      </c>
      <c r="G2060" s="1">
        <v>5100013281</v>
      </c>
      <c r="H2060" s="1">
        <v>12</v>
      </c>
      <c r="I2060" s="1" t="s">
        <v>637</v>
      </c>
      <c r="J2060" t="s">
        <v>4237</v>
      </c>
    </row>
    <row r="2061" spans="1:10">
      <c r="A2061" s="1">
        <v>802058</v>
      </c>
      <c r="B2061" s="1">
        <v>2100061480</v>
      </c>
      <c r="C2061" s="1">
        <v>12</v>
      </c>
      <c r="D2061" s="1" t="s">
        <v>399</v>
      </c>
      <c r="E2061" t="s">
        <v>4203</v>
      </c>
      <c r="F2061" s="1">
        <v>85555</v>
      </c>
      <c r="G2061" s="1">
        <v>5100008725</v>
      </c>
      <c r="H2061" s="1">
        <v>8</v>
      </c>
      <c r="I2061" s="1" t="s">
        <v>865</v>
      </c>
      <c r="J2061" t="s">
        <v>4238</v>
      </c>
    </row>
    <row r="2062" spans="1:10">
      <c r="A2062" s="1">
        <v>491613</v>
      </c>
      <c r="B2062" s="1">
        <v>2100061542</v>
      </c>
      <c r="C2062" s="1">
        <v>24</v>
      </c>
      <c r="D2062" s="1" t="s">
        <v>14</v>
      </c>
      <c r="E2062" t="s">
        <v>4204</v>
      </c>
      <c r="F2062" s="1">
        <v>94912</v>
      </c>
      <c r="G2062" s="1">
        <v>5100002310</v>
      </c>
      <c r="H2062" s="1">
        <v>12</v>
      </c>
      <c r="I2062" s="1" t="s">
        <v>637</v>
      </c>
      <c r="J2062" t="s">
        <v>4239</v>
      </c>
    </row>
    <row r="2063" spans="1:10">
      <c r="A2063" s="1">
        <v>703876</v>
      </c>
      <c r="B2063" s="1">
        <v>2100061531</v>
      </c>
      <c r="C2063" s="1">
        <v>24</v>
      </c>
      <c r="D2063" s="1" t="s">
        <v>399</v>
      </c>
      <c r="E2063" t="s">
        <v>4204</v>
      </c>
      <c r="F2063" s="1">
        <v>85530</v>
      </c>
      <c r="G2063" s="1">
        <v>5100008726</v>
      </c>
      <c r="H2063" s="1">
        <v>8</v>
      </c>
      <c r="I2063" s="1" t="s">
        <v>865</v>
      </c>
      <c r="J2063" t="s">
        <v>4240</v>
      </c>
    </row>
    <row r="2064" spans="1:10">
      <c r="A2064" s="1">
        <v>267575</v>
      </c>
      <c r="B2064" s="1">
        <v>7234300014</v>
      </c>
      <c r="C2064" s="1">
        <v>12</v>
      </c>
      <c r="D2064" s="1" t="s">
        <v>375</v>
      </c>
      <c r="E2064" t="s">
        <v>4205</v>
      </c>
      <c r="F2064" s="1">
        <v>117184</v>
      </c>
      <c r="G2064" s="1">
        <v>3620001369</v>
      </c>
      <c r="H2064" s="1">
        <v>12</v>
      </c>
      <c r="I2064" s="1" t="s">
        <v>381</v>
      </c>
      <c r="J2064" t="s">
        <v>4241</v>
      </c>
    </row>
    <row r="2065" spans="1:10">
      <c r="A2065" s="1">
        <v>599969</v>
      </c>
      <c r="B2065" s="1">
        <v>7234300001</v>
      </c>
      <c r="C2065" s="1">
        <v>12</v>
      </c>
      <c r="D2065" s="1" t="s">
        <v>375</v>
      </c>
      <c r="E2065" t="s">
        <v>4206</v>
      </c>
      <c r="F2065" s="1">
        <v>115873</v>
      </c>
      <c r="G2065" s="1">
        <v>3620001498</v>
      </c>
      <c r="H2065" s="1">
        <v>12</v>
      </c>
      <c r="I2065" s="1" t="s">
        <v>697</v>
      </c>
      <c r="J2065" t="s">
        <v>4242</v>
      </c>
    </row>
    <row r="2066" spans="1:10">
      <c r="A2066" s="1">
        <v>156760</v>
      </c>
      <c r="B2066" s="1">
        <v>7234300002</v>
      </c>
      <c r="C2066" s="1">
        <v>12</v>
      </c>
      <c r="D2066" s="1" t="s">
        <v>375</v>
      </c>
      <c r="E2066" t="s">
        <v>4207</v>
      </c>
      <c r="F2066" s="1">
        <v>95364</v>
      </c>
      <c r="G2066" s="1">
        <v>3620001494</v>
      </c>
      <c r="H2066" s="1">
        <v>12</v>
      </c>
      <c r="I2066" s="1" t="s">
        <v>697</v>
      </c>
      <c r="J2066" t="s">
        <v>4243</v>
      </c>
    </row>
    <row r="2067" spans="1:10">
      <c r="A2067" s="1">
        <v>155762</v>
      </c>
      <c r="B2067" s="1">
        <v>7234300012</v>
      </c>
      <c r="C2067" s="1">
        <v>12</v>
      </c>
      <c r="D2067" s="1" t="s">
        <v>375</v>
      </c>
      <c r="E2067" t="s">
        <v>4208</v>
      </c>
      <c r="F2067" s="1">
        <v>118240</v>
      </c>
      <c r="G2067" s="1">
        <v>3620000218</v>
      </c>
      <c r="H2067" s="1">
        <v>12</v>
      </c>
      <c r="I2067" s="1" t="s">
        <v>381</v>
      </c>
      <c r="J2067" t="s">
        <v>4244</v>
      </c>
    </row>
    <row r="2068" spans="1:10">
      <c r="A2068" s="1">
        <v>876219</v>
      </c>
      <c r="B2068" s="1">
        <v>2066200461</v>
      </c>
      <c r="C2068" s="1">
        <v>12</v>
      </c>
      <c r="D2068" s="1" t="s">
        <v>439</v>
      </c>
      <c r="E2068" t="s">
        <v>4209</v>
      </c>
      <c r="F2068" s="1">
        <v>95398</v>
      </c>
      <c r="G2068" s="1">
        <v>3620001495</v>
      </c>
      <c r="H2068" s="1">
        <v>12</v>
      </c>
      <c r="I2068" s="1" t="s">
        <v>697</v>
      </c>
      <c r="J2068" t="s">
        <v>4245</v>
      </c>
    </row>
    <row r="2069" spans="1:10">
      <c r="A2069" s="1">
        <v>292383</v>
      </c>
      <c r="B2069" s="1">
        <v>2066200028</v>
      </c>
      <c r="C2069" s="1">
        <v>12</v>
      </c>
      <c r="D2069" s="1" t="s">
        <v>439</v>
      </c>
      <c r="E2069" t="s">
        <v>4210</v>
      </c>
      <c r="F2069" s="1">
        <v>95703</v>
      </c>
      <c r="G2069" s="1">
        <v>3620001499</v>
      </c>
      <c r="H2069" s="1">
        <v>12</v>
      </c>
      <c r="I2069" s="1" t="s">
        <v>697</v>
      </c>
      <c r="J2069" t="s">
        <v>4246</v>
      </c>
    </row>
    <row r="2070" spans="1:10">
      <c r="A2070" s="1">
        <v>292433</v>
      </c>
      <c r="B2070" s="1">
        <v>2066200022</v>
      </c>
      <c r="C2070" s="1">
        <v>12</v>
      </c>
      <c r="D2070" s="1" t="s">
        <v>439</v>
      </c>
      <c r="E2070" t="s">
        <v>4211</v>
      </c>
      <c r="F2070" s="1">
        <v>95422</v>
      </c>
      <c r="G2070" s="1">
        <v>3620000443</v>
      </c>
      <c r="H2070" s="1">
        <v>12</v>
      </c>
      <c r="I2070" s="1" t="s">
        <v>637</v>
      </c>
      <c r="J2070" t="s">
        <v>4247</v>
      </c>
    </row>
    <row r="2071" spans="1:10">
      <c r="A2071" s="1">
        <v>292425</v>
      </c>
      <c r="B2071" s="1">
        <v>2066200020</v>
      </c>
      <c r="C2071" s="1">
        <v>12</v>
      </c>
      <c r="D2071" s="1" t="s">
        <v>439</v>
      </c>
      <c r="E2071" t="s">
        <v>4212</v>
      </c>
      <c r="F2071" s="1">
        <v>95521</v>
      </c>
      <c r="G2071" s="1">
        <v>3620001365</v>
      </c>
      <c r="H2071" s="1">
        <v>12</v>
      </c>
      <c r="I2071" s="1" t="s">
        <v>637</v>
      </c>
      <c r="J2071" t="s">
        <v>4248</v>
      </c>
    </row>
    <row r="2072" spans="1:10">
      <c r="A2072" s="1">
        <v>91298</v>
      </c>
      <c r="B2072" s="1">
        <v>5100010546</v>
      </c>
      <c r="C2072" s="1">
        <v>12</v>
      </c>
      <c r="D2072" s="1" t="s">
        <v>637</v>
      </c>
      <c r="E2072" t="s">
        <v>4213</v>
      </c>
      <c r="F2072" s="1">
        <v>123067</v>
      </c>
      <c r="G2072" s="1">
        <v>3620001515</v>
      </c>
      <c r="H2072" s="1">
        <v>12</v>
      </c>
      <c r="I2072" s="1" t="s">
        <v>697</v>
      </c>
      <c r="J2072" t="s">
        <v>4249</v>
      </c>
    </row>
    <row r="2073" spans="1:10">
      <c r="A2073" s="1">
        <v>771535</v>
      </c>
      <c r="B2073" s="1">
        <v>5100017346</v>
      </c>
      <c r="C2073" s="1">
        <v>12</v>
      </c>
      <c r="D2073" s="1" t="s">
        <v>1355</v>
      </c>
      <c r="E2073" t="s">
        <v>4214</v>
      </c>
      <c r="F2073" s="1">
        <v>95299</v>
      </c>
      <c r="G2073" s="1">
        <v>3620000451</v>
      </c>
      <c r="H2073" s="1">
        <v>12</v>
      </c>
      <c r="I2073" s="1" t="s">
        <v>637</v>
      </c>
      <c r="J2073" t="s">
        <v>4250</v>
      </c>
    </row>
    <row r="2074" spans="1:10">
      <c r="A2074" s="1">
        <v>661462</v>
      </c>
      <c r="B2074" s="1">
        <v>5100017345</v>
      </c>
      <c r="C2074" s="1">
        <v>12</v>
      </c>
      <c r="D2074" s="1" t="s">
        <v>1355</v>
      </c>
      <c r="E2074" t="s">
        <v>4215</v>
      </c>
      <c r="F2074" s="1">
        <v>95513</v>
      </c>
      <c r="G2074" s="1">
        <v>3620001364</v>
      </c>
      <c r="H2074" s="1">
        <v>12</v>
      </c>
      <c r="I2074" s="1" t="s">
        <v>637</v>
      </c>
      <c r="J2074" t="s">
        <v>4251</v>
      </c>
    </row>
    <row r="2075" spans="1:10">
      <c r="A2075" s="1">
        <v>92775</v>
      </c>
      <c r="B2075" s="1">
        <v>5100012911</v>
      </c>
      <c r="C2075" s="1">
        <v>12</v>
      </c>
      <c r="D2075" s="1" t="s">
        <v>4216</v>
      </c>
      <c r="E2075" t="s">
        <v>4217</v>
      </c>
      <c r="F2075" s="1">
        <v>93468</v>
      </c>
      <c r="G2075" s="1">
        <v>3620001401</v>
      </c>
      <c r="H2075" s="1">
        <v>12</v>
      </c>
      <c r="I2075" s="1" t="s">
        <v>697</v>
      </c>
      <c r="J2075" t="s">
        <v>4252</v>
      </c>
    </row>
    <row r="2076" spans="1:10">
      <c r="A2076" s="1">
        <v>82735</v>
      </c>
      <c r="B2076" s="1">
        <v>5100002799</v>
      </c>
      <c r="C2076" s="1">
        <v>12</v>
      </c>
      <c r="D2076" s="1" t="s">
        <v>1313</v>
      </c>
      <c r="E2076" t="s">
        <v>4218</v>
      </c>
      <c r="F2076" s="1">
        <v>93435</v>
      </c>
      <c r="G2076" s="1">
        <v>3620001411</v>
      </c>
      <c r="H2076" s="1">
        <v>12</v>
      </c>
      <c r="I2076" s="1" t="s">
        <v>697</v>
      </c>
      <c r="J2076" t="s">
        <v>4253</v>
      </c>
    </row>
    <row r="2077" spans="1:10">
      <c r="A2077" s="1">
        <v>94771</v>
      </c>
      <c r="B2077" s="1">
        <v>5100001212</v>
      </c>
      <c r="C2077" s="1">
        <v>12</v>
      </c>
      <c r="D2077" s="1" t="s">
        <v>637</v>
      </c>
      <c r="E2077" t="s">
        <v>4219</v>
      </c>
      <c r="F2077" s="1">
        <v>94243</v>
      </c>
      <c r="G2077" s="1">
        <v>3620001802</v>
      </c>
      <c r="H2077" s="1">
        <v>6</v>
      </c>
      <c r="I2077" s="1" t="s">
        <v>4254</v>
      </c>
      <c r="J2077" t="s">
        <v>4253</v>
      </c>
    </row>
    <row r="2078" spans="1:10">
      <c r="A2078" s="1">
        <v>91348</v>
      </c>
      <c r="B2078" s="1">
        <v>5100011464</v>
      </c>
      <c r="C2078" s="1">
        <v>12</v>
      </c>
      <c r="D2078" s="1" t="s">
        <v>1194</v>
      </c>
      <c r="E2078" t="s">
        <v>4220</v>
      </c>
      <c r="F2078" s="1">
        <v>94102</v>
      </c>
      <c r="G2078" s="1">
        <v>3620001800</v>
      </c>
      <c r="H2078" s="1">
        <v>6</v>
      </c>
      <c r="I2078" s="1" t="s">
        <v>4254</v>
      </c>
      <c r="J2078" t="s">
        <v>4255</v>
      </c>
    </row>
    <row r="2079" spans="1:10">
      <c r="A2079" s="1">
        <v>127670</v>
      </c>
      <c r="B2079" s="1">
        <v>5100015829</v>
      </c>
      <c r="C2079" s="1">
        <v>12</v>
      </c>
      <c r="D2079" s="1" t="s">
        <v>1313</v>
      </c>
      <c r="E2079" t="s">
        <v>4221</v>
      </c>
      <c r="F2079" s="1">
        <v>89417</v>
      </c>
      <c r="G2079" s="1">
        <v>3620003802</v>
      </c>
      <c r="H2079" s="1">
        <v>12</v>
      </c>
      <c r="I2079" s="1" t="s">
        <v>637</v>
      </c>
      <c r="J2079" t="s">
        <v>4256</v>
      </c>
    </row>
    <row r="2080" spans="1:10">
      <c r="A2080" s="1">
        <v>198747</v>
      </c>
      <c r="B2080" s="1">
        <v>5100012910</v>
      </c>
      <c r="C2080" s="1">
        <v>12</v>
      </c>
      <c r="D2080" s="1" t="s">
        <v>637</v>
      </c>
      <c r="E2080" t="s">
        <v>4222</v>
      </c>
      <c r="F2080" s="1">
        <v>89359</v>
      </c>
      <c r="G2080" s="1">
        <v>3620003800</v>
      </c>
      <c r="H2080" s="1">
        <v>12</v>
      </c>
      <c r="I2080" s="1" t="s">
        <v>637</v>
      </c>
      <c r="J2080" t="s">
        <v>4257</v>
      </c>
    </row>
    <row r="2081" spans="1:10">
      <c r="A2081" s="1">
        <v>92841</v>
      </c>
      <c r="B2081" s="1">
        <v>5100012909</v>
      </c>
      <c r="C2081" s="1">
        <v>12</v>
      </c>
      <c r="D2081" s="1" t="s">
        <v>637</v>
      </c>
      <c r="E2081" t="s">
        <v>4223</v>
      </c>
      <c r="F2081" s="1">
        <v>512780</v>
      </c>
      <c r="G2081" s="1">
        <v>3620003570</v>
      </c>
      <c r="H2081" s="1">
        <v>12</v>
      </c>
      <c r="I2081" s="1" t="s">
        <v>637</v>
      </c>
      <c r="J2081" t="s">
        <v>4258</v>
      </c>
    </row>
    <row r="2082" spans="1:10">
      <c r="A2082" s="1">
        <v>91165</v>
      </c>
      <c r="B2082" s="1">
        <v>5100005043</v>
      </c>
      <c r="C2082" s="1">
        <v>12</v>
      </c>
      <c r="D2082" s="1" t="s">
        <v>637</v>
      </c>
      <c r="E2082" t="s">
        <v>4224</v>
      </c>
      <c r="F2082" s="1">
        <v>96602</v>
      </c>
      <c r="G2082" s="1">
        <v>3620001376</v>
      </c>
      <c r="H2082" s="1">
        <v>12</v>
      </c>
      <c r="I2082" s="1" t="s">
        <v>637</v>
      </c>
      <c r="J2082" t="s">
        <v>4259</v>
      </c>
    </row>
    <row r="2083" spans="1:10">
      <c r="A2083" s="1">
        <v>91157</v>
      </c>
      <c r="B2083" s="1">
        <v>5100005044</v>
      </c>
      <c r="C2083" s="1">
        <v>12</v>
      </c>
      <c r="D2083" s="1" t="s">
        <v>1194</v>
      </c>
      <c r="E2083" t="s">
        <v>4225</v>
      </c>
      <c r="F2083" s="1">
        <v>95943</v>
      </c>
      <c r="G2083" s="1">
        <v>3620000480</v>
      </c>
      <c r="H2083" s="1">
        <v>12</v>
      </c>
      <c r="I2083" s="1" t="s">
        <v>637</v>
      </c>
      <c r="J2083" t="s">
        <v>4260</v>
      </c>
    </row>
    <row r="2084" spans="1:10">
      <c r="A2084" s="1">
        <v>91132</v>
      </c>
      <c r="B2084" s="1">
        <v>5100002794</v>
      </c>
      <c r="C2084" s="1">
        <v>12</v>
      </c>
      <c r="D2084" s="1" t="s">
        <v>637</v>
      </c>
      <c r="E2084" t="s">
        <v>4226</v>
      </c>
      <c r="F2084" s="1">
        <v>96420</v>
      </c>
      <c r="G2084" s="1">
        <v>3620000464</v>
      </c>
      <c r="H2084" s="1">
        <v>12</v>
      </c>
      <c r="I2084" s="1" t="s">
        <v>637</v>
      </c>
      <c r="J2084" t="s">
        <v>4261</v>
      </c>
    </row>
    <row r="2085" spans="1:10">
      <c r="A2085" s="1">
        <v>84731</v>
      </c>
      <c r="B2085" s="1">
        <v>5100002792</v>
      </c>
      <c r="C2085" s="1">
        <v>8</v>
      </c>
      <c r="D2085" s="1" t="s">
        <v>865</v>
      </c>
      <c r="E2085" t="s">
        <v>4226</v>
      </c>
      <c r="F2085" s="1">
        <v>98467</v>
      </c>
      <c r="G2085" s="1">
        <v>3620000468</v>
      </c>
      <c r="H2085" s="1">
        <v>12</v>
      </c>
      <c r="I2085" s="1" t="s">
        <v>637</v>
      </c>
      <c r="J2085" t="s">
        <v>4262</v>
      </c>
    </row>
    <row r="2086" spans="1:10">
      <c r="A2086" s="1">
        <v>91058</v>
      </c>
      <c r="B2086" s="1">
        <v>5100001598</v>
      </c>
      <c r="C2086" s="1">
        <v>6</v>
      </c>
      <c r="D2086" s="1" t="s">
        <v>4227</v>
      </c>
      <c r="E2086" t="s">
        <v>4228</v>
      </c>
      <c r="F2086" s="1">
        <v>442731</v>
      </c>
      <c r="G2086" s="1">
        <v>3620000488</v>
      </c>
      <c r="H2086" s="1">
        <v>12</v>
      </c>
      <c r="I2086" s="1" t="s">
        <v>637</v>
      </c>
      <c r="J2086" t="s">
        <v>4263</v>
      </c>
    </row>
    <row r="2087" spans="1:10">
      <c r="A2087" s="1">
        <v>94748</v>
      </c>
      <c r="B2087" s="1">
        <v>5100002795</v>
      </c>
      <c r="C2087" s="1">
        <v>12</v>
      </c>
      <c r="D2087" s="1" t="s">
        <v>259</v>
      </c>
      <c r="E2087" t="s">
        <v>4229</v>
      </c>
      <c r="F2087" s="1">
        <v>96610</v>
      </c>
      <c r="G2087" s="1">
        <v>3620001375</v>
      </c>
      <c r="H2087" s="1">
        <v>12</v>
      </c>
      <c r="I2087" s="1" t="s">
        <v>637</v>
      </c>
      <c r="J2087" t="s">
        <v>4264</v>
      </c>
    </row>
    <row r="2088" spans="1:10">
      <c r="A2088" s="1">
        <v>90571</v>
      </c>
      <c r="B2088" s="1">
        <v>5100002796</v>
      </c>
      <c r="C2088" s="1">
        <v>12</v>
      </c>
      <c r="D2088" s="1" t="s">
        <v>637</v>
      </c>
      <c r="E2088" t="s">
        <v>4229</v>
      </c>
      <c r="F2088" s="1">
        <v>118265</v>
      </c>
      <c r="G2088" s="1">
        <v>3620000217</v>
      </c>
      <c r="H2088" s="1">
        <v>12</v>
      </c>
      <c r="I2088" s="1" t="s">
        <v>381</v>
      </c>
      <c r="J2088" t="s">
        <v>4265</v>
      </c>
    </row>
    <row r="2089" spans="1:10">
      <c r="A2089" s="1">
        <v>82701</v>
      </c>
      <c r="B2089" s="1">
        <v>5100002797</v>
      </c>
      <c r="C2089" s="1">
        <v>8</v>
      </c>
      <c r="D2089" s="1" t="s">
        <v>865</v>
      </c>
      <c r="E2089" t="s">
        <v>4229</v>
      </c>
      <c r="F2089" s="1">
        <v>93914</v>
      </c>
      <c r="G2089" s="1">
        <v>3620000444</v>
      </c>
      <c r="H2089" s="1">
        <v>12</v>
      </c>
      <c r="I2089" s="1" t="s">
        <v>637</v>
      </c>
      <c r="J2089" t="s">
        <v>4266</v>
      </c>
    </row>
    <row r="2090" spans="1:10">
      <c r="A2090" s="1">
        <v>86645</v>
      </c>
      <c r="B2090" s="1">
        <v>5100002511</v>
      </c>
      <c r="C2090" s="1">
        <v>8</v>
      </c>
      <c r="D2090" s="1" t="s">
        <v>865</v>
      </c>
      <c r="E2090" t="s">
        <v>4230</v>
      </c>
      <c r="F2090" s="1">
        <v>117309</v>
      </c>
      <c r="G2090" s="1">
        <v>3620001368</v>
      </c>
      <c r="H2090" s="1">
        <v>12</v>
      </c>
      <c r="I2090" s="1" t="s">
        <v>381</v>
      </c>
      <c r="J2090" t="s">
        <v>4267</v>
      </c>
    </row>
    <row r="2091" spans="1:10">
      <c r="A2091" s="1">
        <v>91066</v>
      </c>
      <c r="B2091" s="1">
        <v>5100001588</v>
      </c>
      <c r="C2091" s="1">
        <v>6</v>
      </c>
      <c r="D2091" s="1" t="s">
        <v>4227</v>
      </c>
      <c r="E2091" t="s">
        <v>4230</v>
      </c>
      <c r="F2091" s="1">
        <v>93955</v>
      </c>
      <c r="G2091" s="1">
        <v>3620000100</v>
      </c>
      <c r="H2091" s="1">
        <v>12</v>
      </c>
      <c r="I2091" s="1" t="s">
        <v>259</v>
      </c>
      <c r="J2091" t="s">
        <v>4268</v>
      </c>
    </row>
    <row r="2092" spans="1:10" ht="15.75">
      <c r="A2092" s="4" t="s">
        <v>10738</v>
      </c>
      <c r="B2092" s="2"/>
      <c r="C2092" s="2"/>
      <c r="D2092" s="2"/>
      <c r="E2092" s="3"/>
      <c r="F2092" s="4" t="s">
        <v>10739</v>
      </c>
      <c r="G2092" s="2"/>
      <c r="H2092" s="2"/>
      <c r="I2092" s="2"/>
      <c r="J2092" s="3"/>
    </row>
    <row r="2093" spans="1:10">
      <c r="A2093" s="2" t="s">
        <v>0</v>
      </c>
      <c r="B2093" s="2" t="s">
        <v>1</v>
      </c>
      <c r="C2093" s="2" t="s">
        <v>2</v>
      </c>
      <c r="D2093" s="2" t="s">
        <v>3</v>
      </c>
      <c r="E2093" s="3" t="s">
        <v>4</v>
      </c>
      <c r="F2093" s="2" t="s">
        <v>0</v>
      </c>
      <c r="G2093" s="2" t="s">
        <v>1</v>
      </c>
      <c r="H2093" s="2" t="s">
        <v>2</v>
      </c>
      <c r="I2093" s="2" t="s">
        <v>3</v>
      </c>
      <c r="J2093" s="3" t="s">
        <v>4</v>
      </c>
    </row>
    <row r="2094" spans="1:10">
      <c r="A2094" s="1">
        <v>93963</v>
      </c>
      <c r="B2094" s="1">
        <v>3620000050</v>
      </c>
      <c r="C2094" s="1">
        <v>12</v>
      </c>
      <c r="D2094" s="1" t="s">
        <v>259</v>
      </c>
      <c r="E2094" t="s">
        <v>4269</v>
      </c>
      <c r="F2094" s="1">
        <v>91199</v>
      </c>
      <c r="G2094" s="1">
        <v>7680850108</v>
      </c>
      <c r="H2094" s="1">
        <v>16</v>
      </c>
      <c r="I2094" s="1" t="s">
        <v>381</v>
      </c>
      <c r="J2094" t="s">
        <v>4305</v>
      </c>
    </row>
    <row r="2095" spans="1:10">
      <c r="A2095" s="1">
        <v>95380</v>
      </c>
      <c r="B2095" s="1">
        <v>3620000441</v>
      </c>
      <c r="C2095" s="1">
        <v>12</v>
      </c>
      <c r="D2095" s="1" t="s">
        <v>637</v>
      </c>
      <c r="E2095" t="s">
        <v>4270</v>
      </c>
      <c r="F2095" s="1">
        <v>78881</v>
      </c>
      <c r="G2095" s="1">
        <v>7680852009</v>
      </c>
      <c r="H2095" s="1">
        <v>16</v>
      </c>
      <c r="I2095" s="1" t="s">
        <v>381</v>
      </c>
      <c r="J2095" t="s">
        <v>4306</v>
      </c>
    </row>
    <row r="2096" spans="1:10">
      <c r="A2096" s="1">
        <v>95356</v>
      </c>
      <c r="B2096" s="1">
        <v>3620000440</v>
      </c>
      <c r="C2096" s="1">
        <v>12</v>
      </c>
      <c r="D2096" s="1" t="s">
        <v>637</v>
      </c>
      <c r="E2096" t="s">
        <v>4271</v>
      </c>
      <c r="F2096" s="1">
        <v>91520</v>
      </c>
      <c r="G2096" s="1">
        <v>7680850643</v>
      </c>
      <c r="H2096" s="1">
        <v>16</v>
      </c>
      <c r="I2096" s="1" t="s">
        <v>381</v>
      </c>
      <c r="J2096" t="s">
        <v>4307</v>
      </c>
    </row>
    <row r="2097" spans="1:10">
      <c r="A2097" s="1">
        <v>93534</v>
      </c>
      <c r="B2097" s="1">
        <v>3620000350</v>
      </c>
      <c r="C2097" s="1">
        <v>12</v>
      </c>
      <c r="D2097" s="1" t="s">
        <v>637</v>
      </c>
      <c r="E2097" t="s">
        <v>4272</v>
      </c>
      <c r="F2097" s="1">
        <v>78436</v>
      </c>
      <c r="G2097" s="1">
        <v>7680851708</v>
      </c>
      <c r="H2097" s="1">
        <v>12</v>
      </c>
      <c r="I2097" s="1" t="s">
        <v>347</v>
      </c>
      <c r="J2097" t="s">
        <v>4308</v>
      </c>
    </row>
    <row r="2098" spans="1:10">
      <c r="A2098" s="1">
        <v>95851</v>
      </c>
      <c r="B2098" s="1">
        <v>3620000445</v>
      </c>
      <c r="C2098" s="1">
        <v>12</v>
      </c>
      <c r="D2098" s="1" t="s">
        <v>637</v>
      </c>
      <c r="E2098" t="s">
        <v>4273</v>
      </c>
      <c r="F2098" s="1">
        <v>79368</v>
      </c>
      <c r="G2098" s="1">
        <v>7680851558</v>
      </c>
      <c r="H2098" s="1">
        <v>12</v>
      </c>
      <c r="I2098" s="1" t="s">
        <v>546</v>
      </c>
      <c r="J2098" t="s">
        <v>4309</v>
      </c>
    </row>
    <row r="2099" spans="1:10">
      <c r="A2099" s="1">
        <v>95349</v>
      </c>
      <c r="B2099" s="1">
        <v>3620000240</v>
      </c>
      <c r="C2099" s="1">
        <v>12</v>
      </c>
      <c r="D2099" s="1" t="s">
        <v>259</v>
      </c>
      <c r="E2099" t="s">
        <v>4274</v>
      </c>
      <c r="F2099" s="1">
        <v>79350</v>
      </c>
      <c r="G2099" s="1">
        <v>7680851798</v>
      </c>
      <c r="H2099" s="1">
        <v>16</v>
      </c>
      <c r="I2099" s="1" t="s">
        <v>381</v>
      </c>
      <c r="J2099" t="s">
        <v>4310</v>
      </c>
    </row>
    <row r="2100" spans="1:10">
      <c r="A2100" s="1">
        <v>93559</v>
      </c>
      <c r="B2100" s="1">
        <v>3620000300</v>
      </c>
      <c r="C2100" s="1">
        <v>12</v>
      </c>
      <c r="D2100" s="1" t="s">
        <v>637</v>
      </c>
      <c r="E2100" t="s">
        <v>4275</v>
      </c>
      <c r="F2100" s="1">
        <v>91496</v>
      </c>
      <c r="G2100" s="1">
        <v>7680850106</v>
      </c>
      <c r="H2100" s="1">
        <v>20</v>
      </c>
      <c r="I2100" s="1" t="s">
        <v>381</v>
      </c>
      <c r="J2100" t="s">
        <v>4311</v>
      </c>
    </row>
    <row r="2101" spans="1:10">
      <c r="A2101" s="1">
        <v>826917</v>
      </c>
      <c r="B2101" s="1">
        <v>3620000400</v>
      </c>
      <c r="C2101" s="1">
        <v>12</v>
      </c>
      <c r="D2101" s="1" t="s">
        <v>637</v>
      </c>
      <c r="E2101" t="s">
        <v>4276</v>
      </c>
      <c r="F2101" s="1">
        <v>128165</v>
      </c>
      <c r="G2101" s="1">
        <v>7680850738</v>
      </c>
      <c r="H2101" s="1">
        <v>20</v>
      </c>
      <c r="I2101" s="1" t="s">
        <v>381</v>
      </c>
      <c r="J2101" t="s">
        <v>4312</v>
      </c>
    </row>
    <row r="2102" spans="1:10">
      <c r="A2102" s="1">
        <v>95414</v>
      </c>
      <c r="B2102" s="1">
        <v>3620000442</v>
      </c>
      <c r="C2102" s="1">
        <v>12</v>
      </c>
      <c r="D2102" s="1" t="s">
        <v>637</v>
      </c>
      <c r="E2102" t="s">
        <v>4277</v>
      </c>
      <c r="F2102" s="1">
        <v>91231</v>
      </c>
      <c r="G2102" s="1">
        <v>7680850112</v>
      </c>
      <c r="H2102" s="1">
        <v>16</v>
      </c>
      <c r="I2102" s="1" t="s">
        <v>381</v>
      </c>
      <c r="J2102" t="s">
        <v>4313</v>
      </c>
    </row>
    <row r="2103" spans="1:10">
      <c r="A2103" s="1">
        <v>95810</v>
      </c>
      <c r="B2103" s="1">
        <v>3620000446</v>
      </c>
      <c r="C2103" s="1">
        <v>12</v>
      </c>
      <c r="D2103" s="1" t="s">
        <v>637</v>
      </c>
      <c r="E2103" t="s">
        <v>4278</v>
      </c>
      <c r="F2103" s="1">
        <v>91140</v>
      </c>
      <c r="G2103" s="1">
        <v>7680828017</v>
      </c>
      <c r="H2103" s="1">
        <v>20</v>
      </c>
      <c r="I2103" s="1" t="s">
        <v>381</v>
      </c>
      <c r="J2103" t="s">
        <v>4314</v>
      </c>
    </row>
    <row r="2104" spans="1:10">
      <c r="A2104" s="1">
        <v>64428</v>
      </c>
      <c r="B2104" s="1">
        <v>3620002443</v>
      </c>
      <c r="C2104" s="1">
        <v>12</v>
      </c>
      <c r="D2104" s="1" t="s">
        <v>637</v>
      </c>
      <c r="E2104" t="s">
        <v>4279</v>
      </c>
      <c r="F2104" s="1">
        <v>77438</v>
      </c>
      <c r="G2104" s="1">
        <v>7680851398</v>
      </c>
      <c r="H2104" s="1">
        <v>16</v>
      </c>
      <c r="I2104" s="1" t="s">
        <v>381</v>
      </c>
      <c r="J2104" t="s">
        <v>4315</v>
      </c>
    </row>
    <row r="2105" spans="1:10">
      <c r="A2105" s="1">
        <v>93575</v>
      </c>
      <c r="B2105" s="1">
        <v>3620000250</v>
      </c>
      <c r="C2105" s="1">
        <v>12</v>
      </c>
      <c r="D2105" s="1" t="s">
        <v>637</v>
      </c>
      <c r="E2105" t="s">
        <v>4280</v>
      </c>
      <c r="F2105" s="1">
        <v>90910</v>
      </c>
      <c r="G2105" s="1">
        <v>7680828008</v>
      </c>
      <c r="H2105" s="1">
        <v>20</v>
      </c>
      <c r="I2105" s="1" t="s">
        <v>381</v>
      </c>
      <c r="J2105" t="s">
        <v>4316</v>
      </c>
    </row>
    <row r="2106" spans="1:10">
      <c r="A2106" s="1">
        <v>623496</v>
      </c>
      <c r="B2106" s="1">
        <v>1116663768</v>
      </c>
      <c r="C2106" s="1">
        <v>24</v>
      </c>
      <c r="D2106" s="1" t="s">
        <v>14</v>
      </c>
      <c r="E2106" t="s">
        <v>4281</v>
      </c>
      <c r="F2106" s="1">
        <v>90993</v>
      </c>
      <c r="G2106" s="1">
        <v>7680828009</v>
      </c>
      <c r="H2106" s="1">
        <v>20</v>
      </c>
      <c r="I2106" s="1" t="s">
        <v>381</v>
      </c>
      <c r="J2106" t="s">
        <v>4317</v>
      </c>
    </row>
    <row r="2107" spans="1:10">
      <c r="A2107" s="1">
        <v>419325</v>
      </c>
      <c r="B2107" s="1">
        <v>1116663769</v>
      </c>
      <c r="C2107" s="1">
        <v>12</v>
      </c>
      <c r="D2107" s="1" t="s">
        <v>399</v>
      </c>
      <c r="E2107" t="s">
        <v>4282</v>
      </c>
      <c r="F2107" s="1">
        <v>91173</v>
      </c>
      <c r="G2107" s="1">
        <v>7680828073</v>
      </c>
      <c r="H2107" s="1">
        <v>16</v>
      </c>
      <c r="I2107" s="1" t="s">
        <v>381</v>
      </c>
      <c r="J2107" t="s">
        <v>4318</v>
      </c>
    </row>
    <row r="2108" spans="1:10">
      <c r="A2108" s="1">
        <v>91728</v>
      </c>
      <c r="B2108" s="1">
        <v>1116609172</v>
      </c>
      <c r="C2108" s="1">
        <v>12</v>
      </c>
      <c r="D2108" s="1" t="s">
        <v>637</v>
      </c>
      <c r="E2108" t="s">
        <v>4283</v>
      </c>
      <c r="F2108" s="1">
        <v>91504</v>
      </c>
      <c r="G2108" s="1">
        <v>7680850295</v>
      </c>
      <c r="H2108" s="1">
        <v>16</v>
      </c>
      <c r="I2108" s="1" t="s">
        <v>381</v>
      </c>
      <c r="J2108" t="s">
        <v>4318</v>
      </c>
    </row>
    <row r="2109" spans="1:10">
      <c r="A2109" s="1">
        <v>92072</v>
      </c>
      <c r="B2109" s="1">
        <v>1116609207</v>
      </c>
      <c r="C2109" s="1">
        <v>12</v>
      </c>
      <c r="D2109" s="1" t="s">
        <v>637</v>
      </c>
      <c r="E2109" t="s">
        <v>4284</v>
      </c>
      <c r="F2109" s="1">
        <v>701979</v>
      </c>
      <c r="G2109" s="1">
        <v>7680853557</v>
      </c>
      <c r="H2109" s="1">
        <v>16</v>
      </c>
      <c r="I2109" s="1" t="s">
        <v>381</v>
      </c>
      <c r="J2109" t="s">
        <v>4319</v>
      </c>
    </row>
    <row r="2110" spans="1:10">
      <c r="A2110" s="1">
        <v>577130</v>
      </c>
      <c r="B2110" s="1">
        <v>1116663734</v>
      </c>
      <c r="C2110" s="1">
        <v>12</v>
      </c>
      <c r="D2110" s="1" t="s">
        <v>399</v>
      </c>
      <c r="E2110" t="s">
        <v>4285</v>
      </c>
      <c r="F2110" s="1">
        <v>704379</v>
      </c>
      <c r="G2110" s="1">
        <v>7680853558</v>
      </c>
      <c r="H2110" s="1">
        <v>16</v>
      </c>
      <c r="I2110" s="1" t="s">
        <v>381</v>
      </c>
      <c r="J2110" t="s">
        <v>4320</v>
      </c>
    </row>
    <row r="2111" spans="1:10">
      <c r="A2111" s="1">
        <v>92866</v>
      </c>
      <c r="B2111" s="1">
        <v>1116609286</v>
      </c>
      <c r="C2111" s="1">
        <v>12</v>
      </c>
      <c r="D2111" s="1" t="s">
        <v>637</v>
      </c>
      <c r="E2111" t="s">
        <v>4286</v>
      </c>
      <c r="F2111" s="1">
        <v>585588</v>
      </c>
      <c r="G2111" s="1">
        <v>7680853560</v>
      </c>
      <c r="H2111" s="1">
        <v>16</v>
      </c>
      <c r="I2111" s="1" t="s">
        <v>381</v>
      </c>
      <c r="J2111" t="s">
        <v>4321</v>
      </c>
    </row>
    <row r="2112" spans="1:10">
      <c r="A2112" s="1">
        <v>92387</v>
      </c>
      <c r="B2112" s="1">
        <v>1116609238</v>
      </c>
      <c r="C2112" s="1">
        <v>12</v>
      </c>
      <c r="D2112" s="1" t="s">
        <v>637</v>
      </c>
      <c r="E2112" t="s">
        <v>4287</v>
      </c>
      <c r="F2112" s="1">
        <v>396663</v>
      </c>
      <c r="G2112" s="1">
        <v>7680853559</v>
      </c>
      <c r="H2112" s="1">
        <v>16</v>
      </c>
      <c r="I2112" s="1" t="s">
        <v>381</v>
      </c>
      <c r="J2112" t="s">
        <v>4322</v>
      </c>
    </row>
    <row r="2113" spans="1:10">
      <c r="A2113" s="1">
        <v>91751</v>
      </c>
      <c r="B2113" s="1">
        <v>1116609175</v>
      </c>
      <c r="C2113" s="1">
        <v>12</v>
      </c>
      <c r="D2113" s="1" t="s">
        <v>637</v>
      </c>
      <c r="E2113" t="s">
        <v>4288</v>
      </c>
      <c r="F2113" s="1">
        <v>438176</v>
      </c>
      <c r="G2113" s="1">
        <v>7680852007</v>
      </c>
      <c r="H2113" s="1">
        <v>16</v>
      </c>
      <c r="I2113" s="1" t="s">
        <v>381</v>
      </c>
      <c r="J2113" t="s">
        <v>4323</v>
      </c>
    </row>
    <row r="2114" spans="1:10">
      <c r="A2114" s="1">
        <v>91538</v>
      </c>
      <c r="B2114" s="1">
        <v>1116609153</v>
      </c>
      <c r="C2114" s="1">
        <v>12</v>
      </c>
      <c r="D2114" s="1" t="s">
        <v>637</v>
      </c>
      <c r="E2114" t="s">
        <v>4289</v>
      </c>
      <c r="F2114" s="1">
        <v>96289</v>
      </c>
      <c r="G2114" s="1">
        <v>7680853355</v>
      </c>
      <c r="H2114" s="1">
        <v>20</v>
      </c>
      <c r="I2114" s="1" t="s">
        <v>1409</v>
      </c>
      <c r="J2114" t="s">
        <v>4324</v>
      </c>
    </row>
    <row r="2115" spans="1:10">
      <c r="A2115" s="1">
        <v>96107</v>
      </c>
      <c r="B2115" s="1">
        <v>1116609610</v>
      </c>
      <c r="C2115" s="1">
        <v>12</v>
      </c>
      <c r="D2115" s="1" t="s">
        <v>637</v>
      </c>
      <c r="E2115" t="s">
        <v>4290</v>
      </c>
      <c r="F2115" s="1">
        <v>84822</v>
      </c>
      <c r="G2115" s="1">
        <v>7680853359</v>
      </c>
      <c r="H2115" s="1">
        <v>16</v>
      </c>
      <c r="I2115" s="1" t="s">
        <v>1409</v>
      </c>
      <c r="J2115" t="s">
        <v>4325</v>
      </c>
    </row>
    <row r="2116" spans="1:10">
      <c r="A2116" s="1">
        <v>600502</v>
      </c>
      <c r="B2116" s="1">
        <v>7764430432</v>
      </c>
      <c r="C2116" s="1">
        <v>12</v>
      </c>
      <c r="D2116" s="1" t="s">
        <v>439</v>
      </c>
      <c r="E2116" t="s">
        <v>4291</v>
      </c>
      <c r="F2116" s="1">
        <v>89284</v>
      </c>
      <c r="G2116" s="1">
        <v>7680853360</v>
      </c>
      <c r="H2116" s="1">
        <v>16</v>
      </c>
      <c r="I2116" s="1" t="s">
        <v>1409</v>
      </c>
      <c r="J2116" t="s">
        <v>4326</v>
      </c>
    </row>
    <row r="2117" spans="1:10">
      <c r="A2117" s="1">
        <v>96685</v>
      </c>
      <c r="B2117" s="1">
        <v>7764490041</v>
      </c>
      <c r="C2117" s="1">
        <v>12</v>
      </c>
      <c r="D2117" s="1" t="s">
        <v>439</v>
      </c>
      <c r="E2117" t="s">
        <v>4292</v>
      </c>
      <c r="F2117" s="1">
        <v>89292</v>
      </c>
      <c r="G2117" s="1">
        <v>7680853358</v>
      </c>
      <c r="H2117" s="1">
        <v>16</v>
      </c>
      <c r="I2117" s="1" t="s">
        <v>1409</v>
      </c>
      <c r="J2117" t="s">
        <v>4327</v>
      </c>
    </row>
    <row r="2118" spans="1:10">
      <c r="A2118" s="1">
        <v>96628</v>
      </c>
      <c r="B2118" s="1">
        <v>7764490047</v>
      </c>
      <c r="C2118" s="1">
        <v>12</v>
      </c>
      <c r="D2118" s="1" t="s">
        <v>439</v>
      </c>
      <c r="E2118" t="s">
        <v>4293</v>
      </c>
      <c r="F2118" s="1">
        <v>96164</v>
      </c>
      <c r="G2118" s="1">
        <v>7680853357</v>
      </c>
      <c r="H2118" s="1">
        <v>20</v>
      </c>
      <c r="I2118" s="1" t="s">
        <v>1409</v>
      </c>
      <c r="J2118" t="s">
        <v>4328</v>
      </c>
    </row>
    <row r="2119" spans="1:10">
      <c r="A2119" s="1">
        <v>96644</v>
      </c>
      <c r="B2119" s="1">
        <v>7764430232</v>
      </c>
      <c r="C2119" s="1">
        <v>12</v>
      </c>
      <c r="D2119" s="1" t="s">
        <v>439</v>
      </c>
      <c r="E2119" t="s">
        <v>4294</v>
      </c>
      <c r="F2119" s="1">
        <v>97402</v>
      </c>
      <c r="G2119" s="1">
        <v>7680853356</v>
      </c>
      <c r="H2119" s="1">
        <v>20</v>
      </c>
      <c r="I2119" s="1" t="s">
        <v>1409</v>
      </c>
      <c r="J2119" t="s">
        <v>4329</v>
      </c>
    </row>
    <row r="2120" spans="1:10">
      <c r="A2120" s="1">
        <v>96636</v>
      </c>
      <c r="B2120" s="1">
        <v>7764430132</v>
      </c>
      <c r="C2120" s="1">
        <v>12</v>
      </c>
      <c r="D2120" s="1" t="s">
        <v>439</v>
      </c>
      <c r="E2120" t="s">
        <v>4295</v>
      </c>
      <c r="F2120" s="1">
        <v>70441</v>
      </c>
      <c r="G2120" s="1">
        <v>7680851697</v>
      </c>
      <c r="H2120" s="1">
        <v>10</v>
      </c>
      <c r="I2120" s="1" t="s">
        <v>399</v>
      </c>
      <c r="J2120" t="s">
        <v>4330</v>
      </c>
    </row>
    <row r="2121" spans="1:10">
      <c r="A2121" s="1">
        <v>96545</v>
      </c>
      <c r="B2121" s="1">
        <v>7764490045</v>
      </c>
      <c r="C2121" s="1">
        <v>12</v>
      </c>
      <c r="D2121" s="1" t="s">
        <v>439</v>
      </c>
      <c r="E2121" t="s">
        <v>4296</v>
      </c>
      <c r="F2121" s="1">
        <v>91256</v>
      </c>
      <c r="G2121" s="1">
        <v>7680850294</v>
      </c>
      <c r="H2121" s="1">
        <v>16</v>
      </c>
      <c r="I2121" s="1" t="s">
        <v>381</v>
      </c>
      <c r="J2121" t="s">
        <v>4331</v>
      </c>
    </row>
    <row r="2122" spans="1:10">
      <c r="A2122" s="1">
        <v>96669</v>
      </c>
      <c r="B2122" s="1">
        <v>7764490040</v>
      </c>
      <c r="C2122" s="1">
        <v>12</v>
      </c>
      <c r="D2122" s="1" t="s">
        <v>439</v>
      </c>
      <c r="E2122" t="s">
        <v>4297</v>
      </c>
      <c r="F2122" s="1">
        <v>91488</v>
      </c>
      <c r="G2122" s="1">
        <v>7680828098</v>
      </c>
      <c r="H2122" s="1">
        <v>16</v>
      </c>
      <c r="I2122" s="1" t="s">
        <v>381</v>
      </c>
      <c r="J2122" t="s">
        <v>4332</v>
      </c>
    </row>
    <row r="2123" spans="1:10">
      <c r="A2123" s="1">
        <v>200691</v>
      </c>
      <c r="B2123" s="1">
        <v>7127191003</v>
      </c>
      <c r="C2123" s="1">
        <v>12</v>
      </c>
      <c r="D2123" s="1" t="s">
        <v>399</v>
      </c>
      <c r="E2123" t="s">
        <v>4298</v>
      </c>
      <c r="F2123" s="1">
        <v>90555</v>
      </c>
      <c r="G2123" s="1">
        <v>7680852180</v>
      </c>
      <c r="H2123" s="1">
        <v>20</v>
      </c>
      <c r="I2123" s="1" t="s">
        <v>910</v>
      </c>
      <c r="J2123" t="s">
        <v>4333</v>
      </c>
    </row>
    <row r="2124" spans="1:10">
      <c r="A2124" s="1">
        <v>714030</v>
      </c>
      <c r="B2124" s="1">
        <v>7127191110</v>
      </c>
      <c r="C2124" s="1">
        <v>12</v>
      </c>
      <c r="D2124" s="1" t="s">
        <v>399</v>
      </c>
      <c r="E2124" t="s">
        <v>4299</v>
      </c>
      <c r="F2124" s="1">
        <v>92916</v>
      </c>
      <c r="G2124" s="1">
        <v>7680851504</v>
      </c>
      <c r="H2124" s="1">
        <v>20</v>
      </c>
      <c r="I2124" s="1" t="s">
        <v>381</v>
      </c>
      <c r="J2124" t="s">
        <v>4334</v>
      </c>
    </row>
    <row r="2125" spans="1:10" ht="15.75">
      <c r="A2125" s="4" t="s">
        <v>10739</v>
      </c>
      <c r="B2125" s="2"/>
      <c r="C2125" s="2"/>
      <c r="D2125" s="2"/>
      <c r="E2125" s="3"/>
      <c r="F2125" s="1">
        <v>77347</v>
      </c>
      <c r="G2125" s="1">
        <v>7680851829</v>
      </c>
      <c r="H2125" s="1">
        <v>16</v>
      </c>
      <c r="I2125" s="1" t="s">
        <v>347</v>
      </c>
      <c r="J2125" t="s">
        <v>4335</v>
      </c>
    </row>
    <row r="2126" spans="1:10">
      <c r="A2126" s="2" t="s">
        <v>0</v>
      </c>
      <c r="B2126" s="2" t="s">
        <v>1</v>
      </c>
      <c r="C2126" s="2" t="s">
        <v>2</v>
      </c>
      <c r="D2126" s="2" t="s">
        <v>3</v>
      </c>
      <c r="E2126" s="3" t="s">
        <v>4</v>
      </c>
      <c r="F2126" s="1">
        <v>562462</v>
      </c>
      <c r="G2126" s="1">
        <v>89505900061</v>
      </c>
      <c r="H2126" s="1">
        <v>12</v>
      </c>
      <c r="I2126" s="1" t="s">
        <v>381</v>
      </c>
      <c r="J2126" t="s">
        <v>4336</v>
      </c>
    </row>
    <row r="2127" spans="1:10">
      <c r="A2127" s="1">
        <v>70425</v>
      </c>
      <c r="B2127" s="1">
        <v>7680852298</v>
      </c>
      <c r="C2127" s="1">
        <v>8</v>
      </c>
      <c r="D2127" s="1" t="s">
        <v>379</v>
      </c>
      <c r="E2127" t="s">
        <v>4300</v>
      </c>
      <c r="F2127" s="1">
        <v>353029</v>
      </c>
      <c r="G2127" s="1">
        <v>7680853327</v>
      </c>
      <c r="H2127" s="1">
        <v>20</v>
      </c>
      <c r="I2127" s="1" t="s">
        <v>4337</v>
      </c>
      <c r="J2127" t="s">
        <v>4338</v>
      </c>
    </row>
    <row r="2128" spans="1:10">
      <c r="A2128" s="1">
        <v>70417</v>
      </c>
      <c r="B2128" s="1">
        <v>7680851698</v>
      </c>
      <c r="C2128" s="1">
        <v>10</v>
      </c>
      <c r="D2128" s="1" t="s">
        <v>399</v>
      </c>
      <c r="E2128" t="s">
        <v>4300</v>
      </c>
      <c r="F2128" s="1">
        <v>122994</v>
      </c>
      <c r="G2128" s="1">
        <v>7680853413</v>
      </c>
      <c r="H2128" s="1">
        <v>20</v>
      </c>
      <c r="I2128" s="1" t="s">
        <v>4337</v>
      </c>
      <c r="J2128" t="s">
        <v>4339</v>
      </c>
    </row>
    <row r="2129" spans="1:10">
      <c r="A2129" s="1">
        <v>85431</v>
      </c>
      <c r="B2129" s="1">
        <v>7680851613</v>
      </c>
      <c r="C2129" s="1">
        <v>16</v>
      </c>
      <c r="D2129" s="1" t="s">
        <v>381</v>
      </c>
      <c r="E2129" t="s">
        <v>4301</v>
      </c>
      <c r="F2129" s="1">
        <v>739581</v>
      </c>
      <c r="G2129" s="1">
        <v>7680853328</v>
      </c>
      <c r="H2129" s="1">
        <v>16</v>
      </c>
      <c r="I2129" s="1" t="s">
        <v>4337</v>
      </c>
      <c r="J2129" t="s">
        <v>4340</v>
      </c>
    </row>
    <row r="2130" spans="1:10">
      <c r="A2130" s="1">
        <v>78303</v>
      </c>
      <c r="B2130" s="1">
        <v>7680851433</v>
      </c>
      <c r="C2130" s="1">
        <v>16</v>
      </c>
      <c r="D2130" s="1" t="s">
        <v>381</v>
      </c>
      <c r="E2130" t="s">
        <v>4302</v>
      </c>
      <c r="F2130" s="1">
        <v>491308</v>
      </c>
      <c r="G2130" s="1">
        <v>7680853412</v>
      </c>
      <c r="H2130" s="1">
        <v>16</v>
      </c>
      <c r="I2130" s="1" t="s">
        <v>4337</v>
      </c>
      <c r="J2130" t="s">
        <v>4341</v>
      </c>
    </row>
    <row r="2131" spans="1:10">
      <c r="A2131" s="1">
        <v>77586</v>
      </c>
      <c r="B2131" s="1">
        <v>7680851437</v>
      </c>
      <c r="C2131" s="1">
        <v>16</v>
      </c>
      <c r="D2131" s="1" t="s">
        <v>381</v>
      </c>
      <c r="E2131" t="s">
        <v>4303</v>
      </c>
      <c r="F2131" s="1">
        <v>78352</v>
      </c>
      <c r="G2131" s="1">
        <v>7680828074</v>
      </c>
      <c r="H2131" s="1">
        <v>16</v>
      </c>
      <c r="I2131" s="1" t="s">
        <v>381</v>
      </c>
      <c r="J2131" t="s">
        <v>4342</v>
      </c>
    </row>
    <row r="2132" spans="1:10">
      <c r="A2132" s="1">
        <v>70433</v>
      </c>
      <c r="B2132" s="1">
        <v>7680852299</v>
      </c>
      <c r="C2132" s="1">
        <v>8</v>
      </c>
      <c r="D2132" s="1" t="s">
        <v>379</v>
      </c>
      <c r="E2132" t="s">
        <v>4304</v>
      </c>
      <c r="F2132" s="1">
        <v>695312</v>
      </c>
      <c r="G2132" s="1">
        <v>76738703409</v>
      </c>
      <c r="H2132" s="1">
        <v>12</v>
      </c>
      <c r="I2132" s="1" t="s">
        <v>4337</v>
      </c>
      <c r="J2132" t="s">
        <v>4343</v>
      </c>
    </row>
    <row r="2133" spans="1:10" ht="15.75">
      <c r="A2133" s="4" t="s">
        <v>10739</v>
      </c>
      <c r="B2133" s="2"/>
      <c r="C2133" s="2"/>
      <c r="D2133" s="2"/>
      <c r="E2133" s="3"/>
      <c r="F2133" s="4" t="s">
        <v>10739</v>
      </c>
      <c r="G2133" s="2"/>
      <c r="H2133" s="2"/>
      <c r="I2133" s="2"/>
      <c r="J2133" s="3"/>
    </row>
    <row r="2134" spans="1:10">
      <c r="A2134" s="2" t="s">
        <v>0</v>
      </c>
      <c r="B2134" s="2" t="s">
        <v>1</v>
      </c>
      <c r="C2134" s="2" t="s">
        <v>2</v>
      </c>
      <c r="D2134" s="2" t="s">
        <v>3</v>
      </c>
      <c r="E2134" s="3" t="s">
        <v>4</v>
      </c>
      <c r="F2134" s="2" t="s">
        <v>0</v>
      </c>
      <c r="G2134" s="2" t="s">
        <v>1</v>
      </c>
      <c r="H2134" s="2" t="s">
        <v>2</v>
      </c>
      <c r="I2134" s="2" t="s">
        <v>3</v>
      </c>
      <c r="J2134" s="3" t="s">
        <v>4</v>
      </c>
    </row>
    <row r="2135" spans="1:10">
      <c r="A2135" s="1">
        <v>764506</v>
      </c>
      <c r="B2135" s="1">
        <v>76738703419</v>
      </c>
      <c r="C2135" s="1">
        <v>12</v>
      </c>
      <c r="D2135" s="1" t="s">
        <v>4337</v>
      </c>
      <c r="E2135" t="s">
        <v>4344</v>
      </c>
      <c r="F2135" s="1">
        <v>92924</v>
      </c>
      <c r="G2135" s="1">
        <v>2920000102</v>
      </c>
      <c r="H2135" s="1">
        <v>24</v>
      </c>
      <c r="I2135" s="1" t="s">
        <v>399</v>
      </c>
      <c r="J2135" t="s">
        <v>4380</v>
      </c>
    </row>
    <row r="2136" spans="1:10">
      <c r="A2136" s="1">
        <v>684050</v>
      </c>
      <c r="B2136" s="1">
        <v>76738703420</v>
      </c>
      <c r="C2136" s="1">
        <v>12</v>
      </c>
      <c r="D2136" s="1" t="s">
        <v>4337</v>
      </c>
      <c r="E2136" t="s">
        <v>4345</v>
      </c>
      <c r="F2136" s="1">
        <v>93237</v>
      </c>
      <c r="G2136" s="1">
        <v>2920000351</v>
      </c>
      <c r="H2136" s="1">
        <v>12</v>
      </c>
      <c r="I2136" s="1" t="s">
        <v>375</v>
      </c>
      <c r="J2136" t="s">
        <v>4381</v>
      </c>
    </row>
    <row r="2137" spans="1:10">
      <c r="A2137" s="1">
        <v>360552</v>
      </c>
      <c r="B2137" s="1">
        <v>76738703404</v>
      </c>
      <c r="C2137" s="1">
        <v>20</v>
      </c>
      <c r="D2137" s="1" t="s">
        <v>4337</v>
      </c>
      <c r="E2137" t="s">
        <v>4346</v>
      </c>
      <c r="F2137" s="1">
        <v>562066</v>
      </c>
      <c r="G2137" s="1">
        <v>4732530201</v>
      </c>
      <c r="H2137" s="1">
        <v>12</v>
      </c>
      <c r="I2137" s="1" t="s">
        <v>381</v>
      </c>
      <c r="J2137" t="s">
        <v>4382</v>
      </c>
    </row>
    <row r="2138" spans="1:10">
      <c r="A2138" s="1">
        <v>323691</v>
      </c>
      <c r="B2138" s="1">
        <v>3340007010</v>
      </c>
      <c r="C2138" s="1">
        <v>15</v>
      </c>
      <c r="D2138" s="1" t="s">
        <v>4337</v>
      </c>
      <c r="E2138" t="s">
        <v>4347</v>
      </c>
      <c r="F2138" s="1">
        <v>93245</v>
      </c>
      <c r="G2138" s="1">
        <v>2920000350</v>
      </c>
      <c r="H2138" s="1">
        <v>12</v>
      </c>
      <c r="I2138" s="1" t="s">
        <v>375</v>
      </c>
      <c r="J2138" t="s">
        <v>4383</v>
      </c>
    </row>
    <row r="2139" spans="1:10">
      <c r="A2139" s="1">
        <v>710848</v>
      </c>
      <c r="B2139" s="1">
        <v>3340007006</v>
      </c>
      <c r="C2139" s="1">
        <v>20</v>
      </c>
      <c r="D2139" s="1" t="s">
        <v>4337</v>
      </c>
      <c r="E2139" t="s">
        <v>4348</v>
      </c>
      <c r="F2139" s="1">
        <v>95059</v>
      </c>
      <c r="G2139" s="1">
        <v>2920000216</v>
      </c>
      <c r="H2139" s="1">
        <v>12</v>
      </c>
      <c r="I2139" s="1" t="s">
        <v>381</v>
      </c>
      <c r="J2139" t="s">
        <v>4384</v>
      </c>
    </row>
    <row r="2140" spans="1:10">
      <c r="A2140" s="1">
        <v>94300</v>
      </c>
      <c r="B2140" s="1">
        <v>3340006502</v>
      </c>
      <c r="C2140" s="1">
        <v>20</v>
      </c>
      <c r="D2140" s="1" t="s">
        <v>4337</v>
      </c>
      <c r="E2140" t="s">
        <v>4349</v>
      </c>
      <c r="F2140" s="1">
        <v>710855</v>
      </c>
      <c r="G2140" s="1">
        <v>4732500757</v>
      </c>
      <c r="H2140" s="1">
        <v>20</v>
      </c>
      <c r="I2140" s="1" t="s">
        <v>347</v>
      </c>
      <c r="J2140" t="s">
        <v>4385</v>
      </c>
    </row>
    <row r="2141" spans="1:10">
      <c r="A2141" s="1">
        <v>91074</v>
      </c>
      <c r="B2141" s="1">
        <v>3340006503</v>
      </c>
      <c r="C2141" s="1">
        <v>20</v>
      </c>
      <c r="D2141" s="1" t="s">
        <v>4337</v>
      </c>
      <c r="E2141" t="s">
        <v>4350</v>
      </c>
      <c r="F2141" s="1">
        <v>96792</v>
      </c>
      <c r="G2141" s="1">
        <v>7173000716</v>
      </c>
      <c r="H2141" s="1">
        <v>12</v>
      </c>
      <c r="I2141" s="1" t="s">
        <v>347</v>
      </c>
      <c r="J2141" t="s">
        <v>4386</v>
      </c>
    </row>
    <row r="2142" spans="1:10">
      <c r="A2142" s="1">
        <v>710830</v>
      </c>
      <c r="B2142" s="1">
        <v>3340007005</v>
      </c>
      <c r="C2142" s="1">
        <v>20</v>
      </c>
      <c r="D2142" s="1" t="s">
        <v>4337</v>
      </c>
      <c r="E2142" t="s">
        <v>4351</v>
      </c>
      <c r="F2142" s="1">
        <v>96891</v>
      </c>
      <c r="G2142" s="1">
        <v>7173000720</v>
      </c>
      <c r="H2142" s="1">
        <v>12</v>
      </c>
      <c r="I2142" s="1" t="s">
        <v>347</v>
      </c>
      <c r="J2142" t="s">
        <v>4387</v>
      </c>
    </row>
    <row r="2143" spans="1:10">
      <c r="A2143" s="1">
        <v>701094</v>
      </c>
      <c r="B2143" s="1">
        <v>3340007011</v>
      </c>
      <c r="C2143" s="1">
        <v>12</v>
      </c>
      <c r="D2143" s="1" t="s">
        <v>4337</v>
      </c>
      <c r="E2143" t="s">
        <v>4352</v>
      </c>
      <c r="F2143" s="1">
        <v>96834</v>
      </c>
      <c r="G2143" s="1">
        <v>7173000715</v>
      </c>
      <c r="H2143" s="1">
        <v>12</v>
      </c>
      <c r="I2143" s="1" t="s">
        <v>347</v>
      </c>
      <c r="J2143" t="s">
        <v>4388</v>
      </c>
    </row>
    <row r="2144" spans="1:10">
      <c r="A2144" s="1">
        <v>464297</v>
      </c>
      <c r="B2144" s="1">
        <v>3340006500</v>
      </c>
      <c r="C2144" s="1">
        <v>15</v>
      </c>
      <c r="D2144" s="1" t="s">
        <v>4337</v>
      </c>
      <c r="E2144" t="s">
        <v>4353</v>
      </c>
      <c r="F2144" s="1">
        <v>96586</v>
      </c>
      <c r="G2144" s="1">
        <v>1510002501</v>
      </c>
      <c r="H2144" s="1">
        <v>12</v>
      </c>
      <c r="I2144" s="1" t="s">
        <v>381</v>
      </c>
      <c r="J2144" t="s">
        <v>4389</v>
      </c>
    </row>
    <row r="2145" spans="1:10">
      <c r="A2145" s="1">
        <v>92288</v>
      </c>
      <c r="B2145" s="1">
        <v>3340006507</v>
      </c>
      <c r="C2145" s="1">
        <v>12</v>
      </c>
      <c r="D2145" s="1" t="s">
        <v>347</v>
      </c>
      <c r="E2145" t="s">
        <v>4354</v>
      </c>
      <c r="F2145" s="1">
        <v>92304</v>
      </c>
      <c r="G2145" s="1">
        <v>1510002650</v>
      </c>
      <c r="H2145" s="1">
        <v>12</v>
      </c>
      <c r="I2145" s="1" t="s">
        <v>381</v>
      </c>
      <c r="J2145" t="s">
        <v>4390</v>
      </c>
    </row>
    <row r="2146" spans="1:10">
      <c r="A2146" s="1">
        <v>751446</v>
      </c>
      <c r="B2146" s="1">
        <v>3340006504</v>
      </c>
      <c r="C2146" s="1">
        <v>15</v>
      </c>
      <c r="D2146" s="1" t="s">
        <v>4337</v>
      </c>
      <c r="E2146" t="s">
        <v>4355</v>
      </c>
      <c r="F2146" s="1">
        <v>96776</v>
      </c>
      <c r="G2146" s="1">
        <v>1116609677</v>
      </c>
      <c r="H2146" s="1">
        <v>12</v>
      </c>
      <c r="I2146" s="1" t="s">
        <v>347</v>
      </c>
      <c r="J2146" t="s">
        <v>4391</v>
      </c>
    </row>
    <row r="2147" spans="1:10">
      <c r="A2147" s="1">
        <v>93203</v>
      </c>
      <c r="B2147" s="1">
        <v>2920000213</v>
      </c>
      <c r="C2147" s="1">
        <v>20</v>
      </c>
      <c r="D2147" s="1" t="s">
        <v>381</v>
      </c>
      <c r="E2147" t="s">
        <v>4356</v>
      </c>
      <c r="F2147" s="1">
        <v>96719</v>
      </c>
      <c r="G2147" s="1">
        <v>1116609671</v>
      </c>
      <c r="H2147" s="1">
        <v>12</v>
      </c>
      <c r="I2147" s="1" t="s">
        <v>381</v>
      </c>
      <c r="J2147" t="s">
        <v>4392</v>
      </c>
    </row>
    <row r="2148" spans="1:10">
      <c r="A2148" s="1">
        <v>92635</v>
      </c>
      <c r="B2148" s="1">
        <v>2920000205</v>
      </c>
      <c r="C2148" s="1">
        <v>20</v>
      </c>
      <c r="D2148" s="1" t="s">
        <v>381</v>
      </c>
      <c r="E2148" t="s">
        <v>4357</v>
      </c>
      <c r="F2148" s="1">
        <v>97360</v>
      </c>
      <c r="G2148" s="1">
        <v>1116609736</v>
      </c>
      <c r="H2148" s="1">
        <v>12</v>
      </c>
      <c r="I2148" s="1" t="s">
        <v>375</v>
      </c>
      <c r="J2148" t="s">
        <v>4393</v>
      </c>
    </row>
    <row r="2149" spans="1:10">
      <c r="A2149" s="1">
        <v>562074</v>
      </c>
      <c r="B2149" s="1">
        <v>4732530200</v>
      </c>
      <c r="C2149" s="1">
        <v>12</v>
      </c>
      <c r="D2149" s="1" t="s">
        <v>381</v>
      </c>
      <c r="E2149" t="s">
        <v>4358</v>
      </c>
      <c r="F2149" s="1">
        <v>92478</v>
      </c>
      <c r="G2149" s="1">
        <v>1116609247</v>
      </c>
      <c r="H2149" s="1">
        <v>20</v>
      </c>
      <c r="I2149" s="1" t="s">
        <v>381</v>
      </c>
      <c r="J2149" t="s">
        <v>4394</v>
      </c>
    </row>
    <row r="2150" spans="1:10">
      <c r="A2150" s="1">
        <v>90175</v>
      </c>
      <c r="B2150" s="1">
        <v>2920000307</v>
      </c>
      <c r="C2150" s="1">
        <v>12</v>
      </c>
      <c r="D2150" s="1" t="s">
        <v>381</v>
      </c>
      <c r="E2150" t="s">
        <v>4359</v>
      </c>
      <c r="F2150" s="1">
        <v>96750</v>
      </c>
      <c r="G2150" s="1">
        <v>1116609675</v>
      </c>
      <c r="H2150" s="1">
        <v>20</v>
      </c>
      <c r="I2150" s="1" t="s">
        <v>381</v>
      </c>
      <c r="J2150" t="s">
        <v>4395</v>
      </c>
    </row>
    <row r="2151" spans="1:10">
      <c r="A2151" s="1">
        <v>93344</v>
      </c>
      <c r="B2151" s="1">
        <v>2920000300</v>
      </c>
      <c r="C2151" s="1">
        <v>12</v>
      </c>
      <c r="D2151" s="1" t="s">
        <v>399</v>
      </c>
      <c r="E2151" t="s">
        <v>4360</v>
      </c>
      <c r="F2151" s="1">
        <v>96677</v>
      </c>
      <c r="G2151" s="1">
        <v>1116609667</v>
      </c>
      <c r="H2151" s="1">
        <v>12</v>
      </c>
      <c r="I2151" s="1" t="s">
        <v>381</v>
      </c>
      <c r="J2151" t="s">
        <v>4396</v>
      </c>
    </row>
    <row r="2152" spans="1:10">
      <c r="A2152" s="1">
        <v>93021</v>
      </c>
      <c r="B2152" s="1">
        <v>2920000220</v>
      </c>
      <c r="C2152" s="1">
        <v>20</v>
      </c>
      <c r="D2152" s="1" t="s">
        <v>381</v>
      </c>
      <c r="E2152" t="s">
        <v>4361</v>
      </c>
      <c r="F2152" s="1">
        <v>92569</v>
      </c>
      <c r="G2152" s="1">
        <v>1116609256</v>
      </c>
      <c r="H2152" s="1">
        <v>20</v>
      </c>
      <c r="I2152" s="1" t="s">
        <v>381</v>
      </c>
      <c r="J2152" t="s">
        <v>4397</v>
      </c>
    </row>
    <row r="2153" spans="1:10">
      <c r="A2153" s="1">
        <v>93120</v>
      </c>
      <c r="B2153" s="1">
        <v>2920000903</v>
      </c>
      <c r="C2153" s="1">
        <v>12</v>
      </c>
      <c r="D2153" s="1" t="s">
        <v>399</v>
      </c>
      <c r="E2153" t="s">
        <v>4362</v>
      </c>
      <c r="F2153" s="1">
        <v>300509</v>
      </c>
      <c r="G2153" s="1">
        <v>1116601409</v>
      </c>
      <c r="H2153" s="1">
        <v>12</v>
      </c>
      <c r="I2153" s="1" t="s">
        <v>4337</v>
      </c>
      <c r="J2153" t="s">
        <v>4398</v>
      </c>
    </row>
    <row r="2154" spans="1:10">
      <c r="A2154" s="1">
        <v>93138</v>
      </c>
      <c r="B2154" s="1">
        <v>2920000703</v>
      </c>
      <c r="C2154" s="1">
        <v>12</v>
      </c>
      <c r="D2154" s="1" t="s">
        <v>399</v>
      </c>
      <c r="E2154" t="s">
        <v>4363</v>
      </c>
      <c r="F2154" s="1">
        <v>95752</v>
      </c>
      <c r="G2154" s="1">
        <v>1116609575</v>
      </c>
      <c r="H2154" s="1">
        <v>12</v>
      </c>
      <c r="I2154" s="1" t="s">
        <v>381</v>
      </c>
      <c r="J2154" t="s">
        <v>4399</v>
      </c>
    </row>
    <row r="2155" spans="1:10">
      <c r="A2155" s="1">
        <v>562058</v>
      </c>
      <c r="B2155" s="1">
        <v>4732530197</v>
      </c>
      <c r="C2155" s="1">
        <v>12</v>
      </c>
      <c r="D2155" s="1" t="s">
        <v>381</v>
      </c>
      <c r="E2155" t="s">
        <v>4364</v>
      </c>
      <c r="F2155" s="1">
        <v>92353</v>
      </c>
      <c r="G2155" s="1">
        <v>1116609235</v>
      </c>
      <c r="H2155" s="1">
        <v>20</v>
      </c>
      <c r="I2155" s="1" t="s">
        <v>381</v>
      </c>
      <c r="J2155" t="s">
        <v>4400</v>
      </c>
    </row>
    <row r="2156" spans="1:10">
      <c r="A2156" s="1">
        <v>562041</v>
      </c>
      <c r="B2156" s="1">
        <v>4732530198</v>
      </c>
      <c r="C2156" s="1">
        <v>12</v>
      </c>
      <c r="D2156" s="1" t="s">
        <v>381</v>
      </c>
      <c r="E2156" t="s">
        <v>4365</v>
      </c>
      <c r="F2156" s="1">
        <v>710913</v>
      </c>
      <c r="G2156" s="1">
        <v>1116601250</v>
      </c>
      <c r="H2156" s="1">
        <v>12</v>
      </c>
      <c r="I2156" s="1" t="s">
        <v>381</v>
      </c>
      <c r="J2156" t="s">
        <v>4401</v>
      </c>
    </row>
    <row r="2157" spans="1:10">
      <c r="A2157" s="1">
        <v>926501</v>
      </c>
      <c r="B2157" s="1">
        <v>2920000206</v>
      </c>
      <c r="C2157" s="1">
        <v>20</v>
      </c>
      <c r="D2157" s="1" t="s">
        <v>381</v>
      </c>
      <c r="E2157" t="s">
        <v>4366</v>
      </c>
      <c r="F2157" s="1">
        <v>96735</v>
      </c>
      <c r="G2157" s="1">
        <v>1116609673</v>
      </c>
      <c r="H2157" s="1">
        <v>20</v>
      </c>
      <c r="I2157" s="1" t="s">
        <v>381</v>
      </c>
      <c r="J2157" t="s">
        <v>4402</v>
      </c>
    </row>
    <row r="2158" spans="1:10">
      <c r="A2158" s="1">
        <v>90464</v>
      </c>
      <c r="B2158" s="1">
        <v>2920000771</v>
      </c>
      <c r="C2158" s="1">
        <v>12</v>
      </c>
      <c r="D2158" s="1" t="s">
        <v>347</v>
      </c>
      <c r="E2158" t="s">
        <v>4367</v>
      </c>
      <c r="F2158" s="1">
        <v>755165</v>
      </c>
      <c r="G2158" s="1">
        <v>1116601410</v>
      </c>
      <c r="H2158" s="1">
        <v>12</v>
      </c>
      <c r="I2158" s="1" t="s">
        <v>4337</v>
      </c>
      <c r="J2158" t="s">
        <v>4403</v>
      </c>
    </row>
    <row r="2159" spans="1:10">
      <c r="A2159" s="1">
        <v>92965</v>
      </c>
      <c r="B2159" s="1">
        <v>2920000103</v>
      </c>
      <c r="C2159" s="1">
        <v>24</v>
      </c>
      <c r="D2159" s="1" t="s">
        <v>399</v>
      </c>
      <c r="E2159" t="s">
        <v>4368</v>
      </c>
      <c r="F2159" s="1">
        <v>96743</v>
      </c>
      <c r="G2159" s="1">
        <v>1116609674</v>
      </c>
      <c r="H2159" s="1">
        <v>20</v>
      </c>
      <c r="I2159" s="1" t="s">
        <v>381</v>
      </c>
      <c r="J2159" t="s">
        <v>4404</v>
      </c>
    </row>
    <row r="2160" spans="1:10">
      <c r="A2160" s="1">
        <v>90316</v>
      </c>
      <c r="B2160" s="1">
        <v>2920000421</v>
      </c>
      <c r="C2160" s="1">
        <v>8</v>
      </c>
      <c r="D2160" s="1" t="s">
        <v>865</v>
      </c>
      <c r="E2160" t="s">
        <v>4369</v>
      </c>
      <c r="F2160" s="1">
        <v>250621</v>
      </c>
      <c r="G2160" s="1">
        <v>1116601411</v>
      </c>
      <c r="H2160" s="1">
        <v>12</v>
      </c>
      <c r="I2160" s="1" t="s">
        <v>4337</v>
      </c>
      <c r="J2160" t="s">
        <v>4405</v>
      </c>
    </row>
    <row r="2161" spans="1:10">
      <c r="A2161" s="1">
        <v>93310</v>
      </c>
      <c r="B2161" s="1">
        <v>2920000301</v>
      </c>
      <c r="C2161" s="1">
        <v>12</v>
      </c>
      <c r="D2161" s="1" t="s">
        <v>381</v>
      </c>
      <c r="E2161" t="s">
        <v>4370</v>
      </c>
      <c r="F2161" s="1">
        <v>97394</v>
      </c>
      <c r="G2161" s="1">
        <v>1116609739</v>
      </c>
      <c r="H2161" s="1">
        <v>20</v>
      </c>
      <c r="I2161" s="1" t="s">
        <v>381</v>
      </c>
      <c r="J2161" t="s">
        <v>4406</v>
      </c>
    </row>
    <row r="2162" spans="1:10">
      <c r="A2162" s="1">
        <v>90225</v>
      </c>
      <c r="B2162" s="1">
        <v>2920000306</v>
      </c>
      <c r="C2162" s="1">
        <v>12</v>
      </c>
      <c r="D2162" s="1" t="s">
        <v>381</v>
      </c>
      <c r="E2162" t="s">
        <v>4371</v>
      </c>
      <c r="F2162" s="1">
        <v>356899</v>
      </c>
      <c r="G2162" s="1">
        <v>1116601413</v>
      </c>
      <c r="H2162" s="1">
        <v>20</v>
      </c>
      <c r="I2162" s="1" t="s">
        <v>4337</v>
      </c>
      <c r="J2162" t="s">
        <v>4407</v>
      </c>
    </row>
    <row r="2163" spans="1:10">
      <c r="A2163" s="1">
        <v>93716</v>
      </c>
      <c r="B2163" s="1">
        <v>2920000164</v>
      </c>
      <c r="C2163" s="1">
        <v>12</v>
      </c>
      <c r="D2163" s="1" t="s">
        <v>381</v>
      </c>
      <c r="E2163" t="s">
        <v>4372</v>
      </c>
      <c r="F2163" s="1">
        <v>452136</v>
      </c>
      <c r="G2163" s="1">
        <v>1116601412</v>
      </c>
      <c r="H2163" s="1">
        <v>20</v>
      </c>
      <c r="I2163" s="1" t="s">
        <v>4337</v>
      </c>
      <c r="J2163" t="s">
        <v>4408</v>
      </c>
    </row>
    <row r="2164" spans="1:10">
      <c r="A2164" s="1">
        <v>93302</v>
      </c>
      <c r="B2164" s="1">
        <v>2920000212</v>
      </c>
      <c r="C2164" s="1">
        <v>20</v>
      </c>
      <c r="D2164" s="1" t="s">
        <v>381</v>
      </c>
      <c r="E2164" t="s">
        <v>4373</v>
      </c>
      <c r="F2164" s="1">
        <v>96768</v>
      </c>
      <c r="G2164" s="1">
        <v>1116609676</v>
      </c>
      <c r="H2164" s="1">
        <v>20</v>
      </c>
      <c r="I2164" s="1" t="s">
        <v>381</v>
      </c>
      <c r="J2164" t="s">
        <v>4409</v>
      </c>
    </row>
    <row r="2165" spans="1:10">
      <c r="A2165" s="1">
        <v>90605</v>
      </c>
      <c r="B2165" s="1">
        <v>2920000423</v>
      </c>
      <c r="C2165" s="1">
        <v>8</v>
      </c>
      <c r="D2165" s="1" t="s">
        <v>865</v>
      </c>
      <c r="E2165" t="s">
        <v>4373</v>
      </c>
      <c r="F2165" s="1">
        <v>301713</v>
      </c>
      <c r="G2165" s="1">
        <v>1116601446</v>
      </c>
      <c r="H2165" s="1">
        <v>12</v>
      </c>
      <c r="I2165" s="1" t="s">
        <v>1058</v>
      </c>
      <c r="J2165" t="s">
        <v>4410</v>
      </c>
    </row>
    <row r="2166" spans="1:10">
      <c r="A2166" s="1">
        <v>93286</v>
      </c>
      <c r="B2166" s="1">
        <v>2920000214</v>
      </c>
      <c r="C2166" s="1">
        <v>20</v>
      </c>
      <c r="D2166" s="1" t="s">
        <v>381</v>
      </c>
      <c r="E2166" t="s">
        <v>4374</v>
      </c>
      <c r="F2166" s="1">
        <v>92502</v>
      </c>
      <c r="G2166" s="1">
        <v>1116609250</v>
      </c>
      <c r="H2166" s="1">
        <v>20</v>
      </c>
      <c r="I2166" s="1" t="s">
        <v>381</v>
      </c>
      <c r="J2166" t="s">
        <v>4411</v>
      </c>
    </row>
    <row r="2167" spans="1:10">
      <c r="A2167" s="1">
        <v>92908</v>
      </c>
      <c r="B2167" s="1">
        <v>2920000104</v>
      </c>
      <c r="C2167" s="1">
        <v>24</v>
      </c>
      <c r="D2167" s="1" t="s">
        <v>399</v>
      </c>
      <c r="E2167" t="s">
        <v>4374</v>
      </c>
      <c r="F2167" s="1">
        <v>834242</v>
      </c>
      <c r="G2167" s="1">
        <v>1116601445</v>
      </c>
      <c r="H2167" s="1">
        <v>12</v>
      </c>
      <c r="I2167" s="1" t="s">
        <v>1409</v>
      </c>
      <c r="J2167" t="s">
        <v>4412</v>
      </c>
    </row>
    <row r="2168" spans="1:10">
      <c r="A2168" s="1">
        <v>95141</v>
      </c>
      <c r="B2168" s="1">
        <v>2920000217</v>
      </c>
      <c r="C2168" s="1">
        <v>12</v>
      </c>
      <c r="D2168" s="1" t="s">
        <v>381</v>
      </c>
      <c r="E2168" t="s">
        <v>4375</v>
      </c>
      <c r="F2168" s="1">
        <v>97386</v>
      </c>
      <c r="G2168" s="1">
        <v>1116609738</v>
      </c>
      <c r="H2168" s="1">
        <v>12</v>
      </c>
      <c r="I2168" s="1" t="s">
        <v>375</v>
      </c>
      <c r="J2168" t="s">
        <v>4413</v>
      </c>
    </row>
    <row r="2169" spans="1:10">
      <c r="A2169" s="1">
        <v>93062</v>
      </c>
      <c r="B2169" s="1">
        <v>2920000153</v>
      </c>
      <c r="C2169" s="1">
        <v>12</v>
      </c>
      <c r="D2169" s="1" t="s">
        <v>347</v>
      </c>
      <c r="E2169" t="s">
        <v>4376</v>
      </c>
      <c r="F2169" s="1">
        <v>77339</v>
      </c>
      <c r="G2169" s="1">
        <v>1116601444</v>
      </c>
      <c r="H2169" s="1">
        <v>20</v>
      </c>
      <c r="I2169" s="1" t="s">
        <v>1409</v>
      </c>
      <c r="J2169" t="s">
        <v>4414</v>
      </c>
    </row>
    <row r="2170" spans="1:10">
      <c r="A2170" s="1">
        <v>93328</v>
      </c>
      <c r="B2170" s="1">
        <v>2920000218</v>
      </c>
      <c r="C2170" s="1">
        <v>20</v>
      </c>
      <c r="D2170" s="1" t="s">
        <v>381</v>
      </c>
      <c r="E2170" t="s">
        <v>4377</v>
      </c>
      <c r="F2170" s="1">
        <v>92130</v>
      </c>
      <c r="G2170" s="1">
        <v>1116609213</v>
      </c>
      <c r="H2170" s="1">
        <v>20</v>
      </c>
      <c r="I2170" s="1" t="s">
        <v>381</v>
      </c>
      <c r="J2170" t="s">
        <v>4415</v>
      </c>
    </row>
    <row r="2171" spans="1:10">
      <c r="A2171" s="1">
        <v>95075</v>
      </c>
      <c r="B2171" s="1">
        <v>2920000215</v>
      </c>
      <c r="C2171" s="1">
        <v>12</v>
      </c>
      <c r="D2171" s="1" t="s">
        <v>381</v>
      </c>
      <c r="E2171" t="s">
        <v>4378</v>
      </c>
      <c r="F2171" s="1">
        <v>97378</v>
      </c>
      <c r="G2171" s="1">
        <v>1116609737</v>
      </c>
      <c r="H2171" s="1">
        <v>12</v>
      </c>
      <c r="I2171" s="1" t="s">
        <v>375</v>
      </c>
      <c r="J2171" t="s">
        <v>4416</v>
      </c>
    </row>
    <row r="2172" spans="1:10">
      <c r="A2172" s="1">
        <v>90340</v>
      </c>
      <c r="B2172" s="1">
        <v>2920000167</v>
      </c>
      <c r="C2172" s="1">
        <v>12</v>
      </c>
      <c r="D2172" s="1" t="s">
        <v>381</v>
      </c>
      <c r="E2172" t="s">
        <v>4379</v>
      </c>
      <c r="F2172" s="1">
        <v>92312</v>
      </c>
      <c r="G2172" s="1">
        <v>1116609231</v>
      </c>
      <c r="H2172" s="1">
        <v>20</v>
      </c>
      <c r="I2172" s="1" t="s">
        <v>381</v>
      </c>
      <c r="J2172" t="s">
        <v>4417</v>
      </c>
    </row>
    <row r="2173" spans="1:10">
      <c r="A2173" s="1">
        <v>93252</v>
      </c>
      <c r="B2173" s="1">
        <v>2920000352</v>
      </c>
      <c r="C2173" s="1">
        <v>12</v>
      </c>
      <c r="D2173" s="1" t="s">
        <v>375</v>
      </c>
      <c r="E2173" t="s">
        <v>4380</v>
      </c>
      <c r="F2173" s="1">
        <v>96917</v>
      </c>
      <c r="G2173" s="1">
        <v>1116609691</v>
      </c>
      <c r="H2173" s="1">
        <v>20</v>
      </c>
      <c r="I2173" s="1" t="s">
        <v>381</v>
      </c>
      <c r="J2173" t="s">
        <v>4418</v>
      </c>
    </row>
    <row r="2174" spans="1:10" ht="15.75">
      <c r="A2174" s="4" t="s">
        <v>10739</v>
      </c>
      <c r="B2174" s="2"/>
      <c r="C2174" s="2"/>
      <c r="D2174" s="2"/>
      <c r="E2174" s="3"/>
      <c r="F2174" s="4" t="s">
        <v>10739</v>
      </c>
      <c r="G2174" s="2"/>
      <c r="H2174" s="2"/>
      <c r="I2174" s="2"/>
      <c r="J2174" s="3"/>
    </row>
    <row r="2175" spans="1:10">
      <c r="A2175" s="2" t="s">
        <v>0</v>
      </c>
      <c r="B2175" s="2" t="s">
        <v>1</v>
      </c>
      <c r="C2175" s="2" t="s">
        <v>2</v>
      </c>
      <c r="D2175" s="2" t="s">
        <v>3</v>
      </c>
      <c r="E2175" s="3" t="s">
        <v>4</v>
      </c>
      <c r="F2175" s="2" t="s">
        <v>0</v>
      </c>
      <c r="G2175" s="2" t="s">
        <v>1</v>
      </c>
      <c r="H2175" s="2" t="s">
        <v>2</v>
      </c>
      <c r="I2175" s="2" t="s">
        <v>3</v>
      </c>
      <c r="J2175" s="3" t="s">
        <v>4</v>
      </c>
    </row>
    <row r="2176" spans="1:10">
      <c r="A2176" s="1">
        <v>96693</v>
      </c>
      <c r="B2176" s="1">
        <v>1116609669</v>
      </c>
      <c r="C2176" s="1">
        <v>12</v>
      </c>
      <c r="D2176" s="1" t="s">
        <v>381</v>
      </c>
      <c r="E2176" t="s">
        <v>4419</v>
      </c>
      <c r="F2176" s="1">
        <v>531079</v>
      </c>
      <c r="G2176" s="1">
        <v>7130005004</v>
      </c>
      <c r="H2176" s="1">
        <v>15</v>
      </c>
      <c r="I2176" s="1" t="s">
        <v>1409</v>
      </c>
      <c r="J2176" t="s">
        <v>4458</v>
      </c>
    </row>
    <row r="2177" spans="1:10">
      <c r="A2177" s="1">
        <v>457986</v>
      </c>
      <c r="B2177" s="1">
        <v>7130055003</v>
      </c>
      <c r="C2177" s="1">
        <v>12</v>
      </c>
      <c r="D2177" s="1" t="s">
        <v>399</v>
      </c>
      <c r="E2177" t="s">
        <v>4420</v>
      </c>
      <c r="F2177" s="1">
        <v>531590</v>
      </c>
      <c r="G2177" s="1">
        <v>7130005003</v>
      </c>
      <c r="H2177" s="1">
        <v>15</v>
      </c>
      <c r="I2177" s="1" t="s">
        <v>1409</v>
      </c>
      <c r="J2177" t="s">
        <v>4459</v>
      </c>
    </row>
    <row r="2178" spans="1:10">
      <c r="A2178" s="1">
        <v>409912</v>
      </c>
      <c r="B2178" s="1">
        <v>7130055004</v>
      </c>
      <c r="C2178" s="1">
        <v>12</v>
      </c>
      <c r="D2178" s="1" t="s">
        <v>399</v>
      </c>
      <c r="E2178" t="s">
        <v>4421</v>
      </c>
      <c r="F2178" s="1">
        <v>351296</v>
      </c>
      <c r="G2178" s="1">
        <v>7130005000</v>
      </c>
      <c r="H2178" s="1">
        <v>20</v>
      </c>
      <c r="I2178" s="1" t="s">
        <v>1409</v>
      </c>
      <c r="J2178" t="s">
        <v>4460</v>
      </c>
    </row>
    <row r="2179" spans="1:10">
      <c r="A2179" s="1">
        <v>59576</v>
      </c>
      <c r="B2179" s="1">
        <v>7130055002</v>
      </c>
      <c r="C2179" s="1">
        <v>12</v>
      </c>
      <c r="D2179" s="1" t="s">
        <v>399</v>
      </c>
      <c r="E2179" t="s">
        <v>4422</v>
      </c>
      <c r="F2179" s="1">
        <v>848911</v>
      </c>
      <c r="G2179" s="1">
        <v>7130005001</v>
      </c>
      <c r="H2179" s="1">
        <v>20</v>
      </c>
      <c r="I2179" s="1" t="s">
        <v>1409</v>
      </c>
      <c r="J2179" t="s">
        <v>4461</v>
      </c>
    </row>
    <row r="2180" spans="1:10">
      <c r="A2180" s="1">
        <v>848408</v>
      </c>
      <c r="B2180" s="1">
        <v>7130055001</v>
      </c>
      <c r="C2180" s="1">
        <v>12</v>
      </c>
      <c r="D2180" s="1" t="s">
        <v>399</v>
      </c>
      <c r="E2180" t="s">
        <v>4423</v>
      </c>
      <c r="F2180" s="1">
        <v>95604</v>
      </c>
      <c r="G2180" s="1">
        <v>7173000677</v>
      </c>
      <c r="H2180" s="1">
        <v>12</v>
      </c>
      <c r="I2180" s="1" t="s">
        <v>347</v>
      </c>
      <c r="J2180" t="s">
        <v>4462</v>
      </c>
    </row>
    <row r="2181" spans="1:10">
      <c r="A2181" s="1">
        <v>95646</v>
      </c>
      <c r="B2181" s="1">
        <v>3340006508</v>
      </c>
      <c r="C2181" s="1">
        <v>12</v>
      </c>
      <c r="D2181" s="1" t="s">
        <v>347</v>
      </c>
      <c r="E2181" t="s">
        <v>4424</v>
      </c>
      <c r="F2181" s="1">
        <v>95489</v>
      </c>
      <c r="G2181" s="1">
        <v>7173000676</v>
      </c>
      <c r="H2181" s="1">
        <v>12</v>
      </c>
      <c r="I2181" s="1" t="s">
        <v>347</v>
      </c>
      <c r="J2181" t="s">
        <v>4463</v>
      </c>
    </row>
    <row r="2182" spans="1:10" ht="15.75">
      <c r="A2182" s="1">
        <v>34777</v>
      </c>
      <c r="B2182" s="1">
        <v>3340060128</v>
      </c>
      <c r="C2182" s="1">
        <v>15</v>
      </c>
      <c r="D2182" s="1" t="s">
        <v>381</v>
      </c>
      <c r="E2182" t="s">
        <v>4425</v>
      </c>
      <c r="F2182" s="4" t="s">
        <v>10740</v>
      </c>
      <c r="G2182" s="2"/>
      <c r="H2182" s="2"/>
      <c r="I2182" s="2"/>
      <c r="J2182" s="3"/>
    </row>
    <row r="2183" spans="1:10">
      <c r="A2183" s="1">
        <v>701805</v>
      </c>
      <c r="B2183" s="1">
        <v>3340060171</v>
      </c>
      <c r="C2183" s="1">
        <v>15</v>
      </c>
      <c r="D2183" s="1" t="s">
        <v>347</v>
      </c>
      <c r="E2183" t="s">
        <v>4426</v>
      </c>
      <c r="F2183" s="2" t="s">
        <v>0</v>
      </c>
      <c r="G2183" s="2" t="s">
        <v>1</v>
      </c>
      <c r="H2183" s="2" t="s">
        <v>2</v>
      </c>
      <c r="I2183" s="2" t="s">
        <v>3</v>
      </c>
      <c r="J2183" s="3" t="s">
        <v>4</v>
      </c>
    </row>
    <row r="2184" spans="1:10">
      <c r="A2184" s="1">
        <v>115451</v>
      </c>
      <c r="B2184" s="1">
        <v>3340061192</v>
      </c>
      <c r="C2184" s="1">
        <v>12</v>
      </c>
      <c r="D2184" s="1" t="s">
        <v>347</v>
      </c>
      <c r="E2184" t="s">
        <v>4427</v>
      </c>
      <c r="F2184" s="1">
        <v>97923</v>
      </c>
      <c r="G2184" s="1">
        <v>1600017290</v>
      </c>
      <c r="H2184" s="1">
        <v>12</v>
      </c>
      <c r="I2184" s="1" t="s">
        <v>927</v>
      </c>
      <c r="J2184" t="s">
        <v>4464</v>
      </c>
    </row>
    <row r="2185" spans="1:10">
      <c r="A2185" s="1">
        <v>387118</v>
      </c>
      <c r="B2185" s="1">
        <v>3340060150</v>
      </c>
      <c r="C2185" s="1">
        <v>12</v>
      </c>
      <c r="D2185" s="1" t="s">
        <v>381</v>
      </c>
      <c r="E2185" t="s">
        <v>4428</v>
      </c>
      <c r="F2185" s="1">
        <v>90357</v>
      </c>
      <c r="G2185" s="1">
        <v>1600036630</v>
      </c>
      <c r="H2185" s="1">
        <v>12</v>
      </c>
      <c r="I2185" s="1" t="s">
        <v>4465</v>
      </c>
      <c r="J2185" t="s">
        <v>4466</v>
      </c>
    </row>
    <row r="2186" spans="1:10">
      <c r="A2186" s="1">
        <v>115477</v>
      </c>
      <c r="B2186" s="1">
        <v>3340060181</v>
      </c>
      <c r="C2186" s="1">
        <v>12</v>
      </c>
      <c r="D2186" s="1" t="s">
        <v>399</v>
      </c>
      <c r="E2186" t="s">
        <v>4429</v>
      </c>
      <c r="F2186" s="1">
        <v>94086</v>
      </c>
      <c r="G2186" s="1">
        <v>1600043673</v>
      </c>
      <c r="H2186" s="1">
        <v>12</v>
      </c>
      <c r="I2186" s="1" t="s">
        <v>358</v>
      </c>
      <c r="J2186" t="s">
        <v>4467</v>
      </c>
    </row>
    <row r="2187" spans="1:10">
      <c r="A2187" s="1">
        <v>94334</v>
      </c>
      <c r="B2187" s="1">
        <v>3340061127</v>
      </c>
      <c r="C2187" s="1">
        <v>12</v>
      </c>
      <c r="D2187" s="1" t="s">
        <v>347</v>
      </c>
      <c r="E2187" t="s">
        <v>4430</v>
      </c>
      <c r="F2187" s="1">
        <v>94607</v>
      </c>
      <c r="G2187" s="1">
        <v>1600041420</v>
      </c>
      <c r="H2187" s="1">
        <v>12</v>
      </c>
      <c r="I2187" s="1" t="s">
        <v>619</v>
      </c>
      <c r="J2187" t="s">
        <v>4468</v>
      </c>
    </row>
    <row r="2188" spans="1:10">
      <c r="A2188" s="1">
        <v>307439</v>
      </c>
      <c r="B2188" s="1">
        <v>3340060151</v>
      </c>
      <c r="C2188" s="1">
        <v>15</v>
      </c>
      <c r="D2188" s="1" t="s">
        <v>381</v>
      </c>
      <c r="E2188" t="s">
        <v>4431</v>
      </c>
      <c r="F2188" s="1">
        <v>97568</v>
      </c>
      <c r="G2188" s="1">
        <v>1600040860</v>
      </c>
      <c r="H2188" s="1">
        <v>12</v>
      </c>
      <c r="I2188" s="1" t="s">
        <v>465</v>
      </c>
      <c r="J2188" t="s">
        <v>4469</v>
      </c>
    </row>
    <row r="2189" spans="1:10">
      <c r="A2189" s="1">
        <v>201483</v>
      </c>
      <c r="B2189" s="1">
        <v>3340060175</v>
      </c>
      <c r="C2189" s="1">
        <v>15</v>
      </c>
      <c r="D2189" s="1" t="s">
        <v>381</v>
      </c>
      <c r="E2189" t="s">
        <v>4432</v>
      </c>
      <c r="F2189" s="1">
        <v>94631</v>
      </c>
      <c r="G2189" s="1">
        <v>1600041400</v>
      </c>
      <c r="H2189" s="1">
        <v>12</v>
      </c>
      <c r="I2189" s="1" t="s">
        <v>4470</v>
      </c>
      <c r="J2189" t="s">
        <v>4471</v>
      </c>
    </row>
    <row r="2190" spans="1:10">
      <c r="A2190" s="1">
        <v>95190</v>
      </c>
      <c r="B2190" s="1">
        <v>3340061125</v>
      </c>
      <c r="C2190" s="1">
        <v>12</v>
      </c>
      <c r="D2190" s="1" t="s">
        <v>347</v>
      </c>
      <c r="E2190" t="s">
        <v>4433</v>
      </c>
      <c r="F2190" s="1">
        <v>228197</v>
      </c>
      <c r="G2190" s="1">
        <v>1600040358</v>
      </c>
      <c r="H2190" s="1">
        <v>12</v>
      </c>
      <c r="I2190" s="1" t="s">
        <v>1192</v>
      </c>
      <c r="J2190" t="s">
        <v>4472</v>
      </c>
    </row>
    <row r="2191" spans="1:10">
      <c r="A2191" s="1">
        <v>92239</v>
      </c>
      <c r="B2191" s="1">
        <v>3340060135</v>
      </c>
      <c r="C2191" s="1">
        <v>20</v>
      </c>
      <c r="D2191" s="1" t="s">
        <v>381</v>
      </c>
      <c r="E2191" t="s">
        <v>4434</v>
      </c>
      <c r="F2191" s="1">
        <v>477034</v>
      </c>
      <c r="G2191" s="1">
        <v>1600027718</v>
      </c>
      <c r="H2191" s="1">
        <v>12</v>
      </c>
      <c r="I2191" s="1" t="s">
        <v>1739</v>
      </c>
      <c r="J2191" t="s">
        <v>4473</v>
      </c>
    </row>
    <row r="2192" spans="1:10">
      <c r="A2192" s="1">
        <v>94722</v>
      </c>
      <c r="B2192" s="1">
        <v>3340061193</v>
      </c>
      <c r="C2192" s="1">
        <v>12</v>
      </c>
      <c r="D2192" s="1" t="s">
        <v>347</v>
      </c>
      <c r="E2192" t="s">
        <v>4435</v>
      </c>
      <c r="F2192" s="1">
        <v>263459</v>
      </c>
      <c r="G2192" s="1">
        <v>1600019379</v>
      </c>
      <c r="H2192" s="1">
        <v>12</v>
      </c>
      <c r="I2192" s="1" t="s">
        <v>404</v>
      </c>
      <c r="J2192" t="s">
        <v>4474</v>
      </c>
    </row>
    <row r="2193" spans="1:10">
      <c r="A2193" s="1">
        <v>92189</v>
      </c>
      <c r="B2193" s="1">
        <v>3340061198</v>
      </c>
      <c r="C2193" s="1">
        <v>12</v>
      </c>
      <c r="D2193" s="1" t="s">
        <v>347</v>
      </c>
      <c r="E2193" t="s">
        <v>4436</v>
      </c>
      <c r="F2193" s="1">
        <v>95018</v>
      </c>
      <c r="G2193" s="1">
        <v>1600028423</v>
      </c>
      <c r="H2193" s="1">
        <v>12</v>
      </c>
      <c r="I2193" s="1" t="s">
        <v>4470</v>
      </c>
      <c r="J2193" t="s">
        <v>4475</v>
      </c>
    </row>
    <row r="2194" spans="1:10">
      <c r="A2194" s="1">
        <v>92197</v>
      </c>
      <c r="B2194" s="1">
        <v>3340061152</v>
      </c>
      <c r="C2194" s="1">
        <v>12</v>
      </c>
      <c r="D2194" s="1" t="s">
        <v>347</v>
      </c>
      <c r="E2194" t="s">
        <v>4437</v>
      </c>
      <c r="F2194" s="1">
        <v>94508</v>
      </c>
      <c r="G2194" s="1">
        <v>1600041130</v>
      </c>
      <c r="H2194" s="1">
        <v>12</v>
      </c>
      <c r="I2194" s="1" t="s">
        <v>927</v>
      </c>
      <c r="J2194" t="s">
        <v>4476</v>
      </c>
    </row>
    <row r="2195" spans="1:10">
      <c r="A2195" s="1">
        <v>92163</v>
      </c>
      <c r="B2195" s="1">
        <v>3340060833</v>
      </c>
      <c r="C2195" s="1">
        <v>12</v>
      </c>
      <c r="D2195" s="1" t="s">
        <v>399</v>
      </c>
      <c r="E2195" t="s">
        <v>4438</v>
      </c>
      <c r="F2195" s="1">
        <v>95307</v>
      </c>
      <c r="G2195" s="1">
        <v>1600047200</v>
      </c>
      <c r="H2195" s="1">
        <v>12</v>
      </c>
      <c r="I2195" s="1" t="s">
        <v>465</v>
      </c>
      <c r="J2195" t="s">
        <v>4477</v>
      </c>
    </row>
    <row r="2196" spans="1:10">
      <c r="A2196" s="1">
        <v>92148</v>
      </c>
      <c r="B2196" s="1">
        <v>3340061282</v>
      </c>
      <c r="C2196" s="1">
        <v>12</v>
      </c>
      <c r="D2196" s="1" t="s">
        <v>347</v>
      </c>
      <c r="E2196" t="s">
        <v>4439</v>
      </c>
      <c r="F2196" s="1">
        <v>533380</v>
      </c>
      <c r="G2196" s="1">
        <v>1600027717</v>
      </c>
      <c r="H2196" s="1">
        <v>12</v>
      </c>
      <c r="I2196" s="1" t="s">
        <v>4478</v>
      </c>
      <c r="J2196" t="s">
        <v>4479</v>
      </c>
    </row>
    <row r="2197" spans="1:10">
      <c r="A2197" s="1">
        <v>93054</v>
      </c>
      <c r="B2197" s="1">
        <v>3340060208</v>
      </c>
      <c r="C2197" s="1">
        <v>12</v>
      </c>
      <c r="D2197" s="1" t="s">
        <v>375</v>
      </c>
      <c r="E2197" t="s">
        <v>4440</v>
      </c>
      <c r="F2197" s="1">
        <v>94524</v>
      </c>
      <c r="G2197" s="1">
        <v>1600041300</v>
      </c>
      <c r="H2197" s="1">
        <v>12</v>
      </c>
      <c r="I2197" s="1" t="s">
        <v>358</v>
      </c>
      <c r="J2197" t="s">
        <v>4480</v>
      </c>
    </row>
    <row r="2198" spans="1:10">
      <c r="A2198" s="1">
        <v>92262</v>
      </c>
      <c r="B2198" s="1">
        <v>3340060176</v>
      </c>
      <c r="C2198" s="1">
        <v>12</v>
      </c>
      <c r="D2198" s="1" t="s">
        <v>381</v>
      </c>
      <c r="E2198" t="s">
        <v>4441</v>
      </c>
      <c r="F2198" s="1">
        <v>94987</v>
      </c>
      <c r="G2198" s="1">
        <v>1600028424</v>
      </c>
      <c r="H2198" s="1">
        <v>12</v>
      </c>
      <c r="I2198" s="1" t="s">
        <v>1763</v>
      </c>
      <c r="J2198" t="s">
        <v>4481</v>
      </c>
    </row>
    <row r="2199" spans="1:10">
      <c r="A2199" s="1">
        <v>92213</v>
      </c>
      <c r="B2199" s="1">
        <v>3340060108</v>
      </c>
      <c r="C2199" s="1">
        <v>20</v>
      </c>
      <c r="D2199" s="1" t="s">
        <v>381</v>
      </c>
      <c r="E2199" t="s">
        <v>4442</v>
      </c>
      <c r="F2199" s="1">
        <v>94136</v>
      </c>
      <c r="G2199" s="1">
        <v>1600043674</v>
      </c>
      <c r="H2199" s="1">
        <v>12</v>
      </c>
      <c r="I2199" s="1" t="s">
        <v>496</v>
      </c>
      <c r="J2199" t="s">
        <v>4482</v>
      </c>
    </row>
    <row r="2200" spans="1:10">
      <c r="A2200" s="1">
        <v>92205</v>
      </c>
      <c r="B2200" s="1">
        <v>3340060109</v>
      </c>
      <c r="C2200" s="1">
        <v>20</v>
      </c>
      <c r="D2200" s="1" t="s">
        <v>381</v>
      </c>
      <c r="E2200" t="s">
        <v>4443</v>
      </c>
      <c r="F2200" s="1">
        <v>131839</v>
      </c>
      <c r="G2200" s="1">
        <v>1600016636</v>
      </c>
      <c r="H2200" s="1">
        <v>8</v>
      </c>
      <c r="I2200" s="1" t="s">
        <v>4483</v>
      </c>
      <c r="J2200" t="s">
        <v>4484</v>
      </c>
    </row>
    <row r="2201" spans="1:10">
      <c r="A2201" s="1">
        <v>92882</v>
      </c>
      <c r="B2201" s="1">
        <v>3340060209</v>
      </c>
      <c r="C2201" s="1">
        <v>12</v>
      </c>
      <c r="D2201" s="1" t="s">
        <v>375</v>
      </c>
      <c r="E2201" t="s">
        <v>4444</v>
      </c>
      <c r="F2201" s="1">
        <v>161158</v>
      </c>
      <c r="G2201" s="1">
        <v>1600016638</v>
      </c>
      <c r="H2201" s="1">
        <v>8</v>
      </c>
      <c r="I2201" s="1" t="s">
        <v>830</v>
      </c>
      <c r="J2201" t="s">
        <v>4485</v>
      </c>
    </row>
    <row r="2202" spans="1:10">
      <c r="A2202" s="1">
        <v>92155</v>
      </c>
      <c r="B2202" s="1">
        <v>3340060177</v>
      </c>
      <c r="C2202" s="1">
        <v>12</v>
      </c>
      <c r="D2202" s="1" t="s">
        <v>381</v>
      </c>
      <c r="E2202" t="s">
        <v>4445</v>
      </c>
      <c r="F2202" s="1">
        <v>536862</v>
      </c>
      <c r="G2202" s="1">
        <v>1600016635</v>
      </c>
      <c r="H2202" s="1">
        <v>8</v>
      </c>
      <c r="I2202" s="1" t="s">
        <v>399</v>
      </c>
      <c r="J2202" t="s">
        <v>4486</v>
      </c>
    </row>
    <row r="2203" spans="1:10">
      <c r="A2203" s="1">
        <v>92015</v>
      </c>
      <c r="B2203" s="1">
        <v>3340060110</v>
      </c>
      <c r="C2203" s="1">
        <v>20</v>
      </c>
      <c r="D2203" s="1" t="s">
        <v>381</v>
      </c>
      <c r="E2203" t="s">
        <v>4446</v>
      </c>
      <c r="F2203" s="1">
        <v>774778</v>
      </c>
      <c r="G2203" s="1">
        <v>1600016637</v>
      </c>
      <c r="H2203" s="1">
        <v>8</v>
      </c>
      <c r="I2203" s="1" t="s">
        <v>1378</v>
      </c>
      <c r="J2203" t="s">
        <v>4487</v>
      </c>
    </row>
    <row r="2204" spans="1:10">
      <c r="A2204" s="1">
        <v>92296</v>
      </c>
      <c r="B2204" s="1">
        <v>3340061283</v>
      </c>
      <c r="C2204" s="1">
        <v>12</v>
      </c>
      <c r="D2204" s="1" t="s">
        <v>347</v>
      </c>
      <c r="E2204" t="s">
        <v>4447</v>
      </c>
      <c r="F2204" s="1">
        <v>97675</v>
      </c>
      <c r="G2204" s="1">
        <v>1600050330</v>
      </c>
      <c r="H2204" s="1">
        <v>12</v>
      </c>
      <c r="I2204" s="1" t="s">
        <v>3441</v>
      </c>
      <c r="J2204" t="s">
        <v>4488</v>
      </c>
    </row>
    <row r="2205" spans="1:10">
      <c r="A2205" s="1">
        <v>95570</v>
      </c>
      <c r="B2205" s="1">
        <v>3340061280</v>
      </c>
      <c r="C2205" s="1">
        <v>12</v>
      </c>
      <c r="D2205" s="1" t="s">
        <v>347</v>
      </c>
      <c r="E2205" t="s">
        <v>4448</v>
      </c>
      <c r="F2205" s="1">
        <v>34553</v>
      </c>
      <c r="G2205" s="1">
        <v>1600017670</v>
      </c>
      <c r="H2205" s="1">
        <v>12</v>
      </c>
      <c r="I2205" s="1" t="s">
        <v>1781</v>
      </c>
      <c r="J2205" t="s">
        <v>4489</v>
      </c>
    </row>
    <row r="2206" spans="1:10">
      <c r="A2206" s="1">
        <v>92221</v>
      </c>
      <c r="B2206" s="1">
        <v>3340060111</v>
      </c>
      <c r="C2206" s="1">
        <v>20</v>
      </c>
      <c r="D2206" s="1" t="s">
        <v>381</v>
      </c>
      <c r="E2206" t="s">
        <v>4449</v>
      </c>
      <c r="F2206" s="1">
        <v>99051</v>
      </c>
      <c r="G2206" s="1">
        <v>1600050940</v>
      </c>
      <c r="H2206" s="1">
        <v>12</v>
      </c>
      <c r="I2206" s="1" t="s">
        <v>358</v>
      </c>
      <c r="J2206" t="s">
        <v>4490</v>
      </c>
    </row>
    <row r="2207" spans="1:10">
      <c r="A2207" s="1">
        <v>94649</v>
      </c>
      <c r="B2207" s="1">
        <v>3340060119</v>
      </c>
      <c r="C2207" s="1">
        <v>20</v>
      </c>
      <c r="D2207" s="1" t="s">
        <v>381</v>
      </c>
      <c r="E2207" t="s">
        <v>4450</v>
      </c>
      <c r="F2207" s="1">
        <v>94581</v>
      </c>
      <c r="G2207" s="1">
        <v>1600041030</v>
      </c>
      <c r="H2207" s="1">
        <v>12</v>
      </c>
      <c r="I2207" s="1" t="s">
        <v>4491</v>
      </c>
      <c r="J2207" t="s">
        <v>4492</v>
      </c>
    </row>
    <row r="2208" spans="1:10">
      <c r="A2208" s="1">
        <v>279471</v>
      </c>
      <c r="B2208" s="1">
        <v>3340060173</v>
      </c>
      <c r="C2208" s="1">
        <v>15</v>
      </c>
      <c r="D2208" s="1" t="s">
        <v>381</v>
      </c>
      <c r="E2208" t="s">
        <v>4451</v>
      </c>
      <c r="F2208" s="1">
        <v>95794</v>
      </c>
      <c r="G2208" s="1">
        <v>1600016970</v>
      </c>
      <c r="H2208" s="1">
        <v>12</v>
      </c>
      <c r="I2208" s="1" t="s">
        <v>1818</v>
      </c>
      <c r="J2208" t="s">
        <v>4493</v>
      </c>
    </row>
    <row r="2209" spans="1:10">
      <c r="A2209" s="1">
        <v>387142</v>
      </c>
      <c r="B2209" s="1">
        <v>3340060123</v>
      </c>
      <c r="C2209" s="1">
        <v>12</v>
      </c>
      <c r="D2209" s="1" t="s">
        <v>381</v>
      </c>
      <c r="E2209" t="s">
        <v>4452</v>
      </c>
      <c r="F2209" s="1">
        <v>110809</v>
      </c>
      <c r="G2209" s="1">
        <v>5010040598</v>
      </c>
      <c r="H2209" s="1">
        <v>6</v>
      </c>
      <c r="I2209" s="1" t="s">
        <v>4494</v>
      </c>
      <c r="J2209" t="s">
        <v>4495</v>
      </c>
    </row>
    <row r="2210" spans="1:10">
      <c r="A2210" s="1">
        <v>387159</v>
      </c>
      <c r="B2210" s="1">
        <v>3340060125</v>
      </c>
      <c r="C2210" s="1">
        <v>12</v>
      </c>
      <c r="D2210" s="1" t="s">
        <v>381</v>
      </c>
      <c r="E2210" t="s">
        <v>4453</v>
      </c>
      <c r="F2210" s="1">
        <v>110924</v>
      </c>
      <c r="G2210" s="1">
        <v>5010040708</v>
      </c>
      <c r="H2210" s="1">
        <v>6</v>
      </c>
      <c r="I2210" s="1" t="s">
        <v>4496</v>
      </c>
      <c r="J2210" t="s">
        <v>4497</v>
      </c>
    </row>
    <row r="2211" spans="1:10">
      <c r="A2211" s="1">
        <v>69096</v>
      </c>
      <c r="B2211" s="1">
        <v>3340060198</v>
      </c>
      <c r="C2211" s="1">
        <v>20</v>
      </c>
      <c r="D2211" s="1" t="s">
        <v>381</v>
      </c>
      <c r="E2211" t="s">
        <v>4454</v>
      </c>
      <c r="F2211" s="1">
        <v>110742</v>
      </c>
      <c r="G2211" s="1">
        <v>5010040596</v>
      </c>
      <c r="H2211" s="1">
        <v>6</v>
      </c>
      <c r="I2211" s="1" t="s">
        <v>4494</v>
      </c>
      <c r="J2211" t="s">
        <v>4498</v>
      </c>
    </row>
    <row r="2212" spans="1:10">
      <c r="A2212" s="1">
        <v>96255</v>
      </c>
      <c r="B2212" s="1">
        <v>3340060120</v>
      </c>
      <c r="C2212" s="1">
        <v>20</v>
      </c>
      <c r="D2212" s="1" t="s">
        <v>381</v>
      </c>
      <c r="E2212" t="s">
        <v>4455</v>
      </c>
      <c r="F2212" s="1">
        <v>22012</v>
      </c>
      <c r="G2212" s="1">
        <v>1600015972</v>
      </c>
      <c r="H2212" s="1">
        <v>12</v>
      </c>
      <c r="I2212" s="1" t="s">
        <v>404</v>
      </c>
      <c r="J2212" t="s">
        <v>4499</v>
      </c>
    </row>
    <row r="2213" spans="1:10">
      <c r="A2213" s="1">
        <v>92247</v>
      </c>
      <c r="B2213" s="1">
        <v>3340060179</v>
      </c>
      <c r="C2213" s="1">
        <v>12</v>
      </c>
      <c r="D2213" s="1" t="s">
        <v>381</v>
      </c>
      <c r="E2213" t="s">
        <v>4456</v>
      </c>
      <c r="F2213" s="1">
        <v>744078</v>
      </c>
      <c r="G2213" s="1">
        <v>1600015975</v>
      </c>
      <c r="H2213" s="1">
        <v>12</v>
      </c>
      <c r="I2213" s="1" t="s">
        <v>619</v>
      </c>
      <c r="J2213" t="s">
        <v>4500</v>
      </c>
    </row>
    <row r="2214" spans="1:10">
      <c r="A2214" s="1">
        <v>769620</v>
      </c>
      <c r="B2214" s="1">
        <v>7130005002</v>
      </c>
      <c r="C2214" s="1">
        <v>20</v>
      </c>
      <c r="D2214" s="1" t="s">
        <v>1409</v>
      </c>
      <c r="E2214" t="s">
        <v>4457</v>
      </c>
      <c r="F2214" s="1">
        <v>430892</v>
      </c>
      <c r="G2214" s="1">
        <v>1600028201</v>
      </c>
      <c r="H2214" s="1">
        <v>12</v>
      </c>
      <c r="I2214" s="1" t="s">
        <v>1827</v>
      </c>
      <c r="J2214" t="s">
        <v>4501</v>
      </c>
    </row>
    <row r="2215" spans="1:10" ht="15.75">
      <c r="A2215" s="4" t="s">
        <v>10740</v>
      </c>
      <c r="B2215" s="2"/>
      <c r="C2215" s="2"/>
      <c r="D2215" s="2"/>
      <c r="E2215" s="3"/>
      <c r="F2215" s="4" t="s">
        <v>10740</v>
      </c>
      <c r="G2215" s="2"/>
      <c r="H2215" s="2"/>
      <c r="I2215" s="2"/>
      <c r="J2215" s="3"/>
    </row>
    <row r="2216" spans="1:10">
      <c r="A2216" s="2" t="s">
        <v>0</v>
      </c>
      <c r="B2216" s="2" t="s">
        <v>1</v>
      </c>
      <c r="C2216" s="2" t="s">
        <v>2</v>
      </c>
      <c r="D2216" s="2" t="s">
        <v>3</v>
      </c>
      <c r="E2216" s="3" t="s">
        <v>4</v>
      </c>
      <c r="F2216" s="2" t="s">
        <v>0</v>
      </c>
      <c r="G2216" s="2" t="s">
        <v>1</v>
      </c>
      <c r="H2216" s="2" t="s">
        <v>2</v>
      </c>
      <c r="I2216" s="2" t="s">
        <v>3</v>
      </c>
      <c r="J2216" s="3" t="s">
        <v>4</v>
      </c>
    </row>
    <row r="2217" spans="1:10">
      <c r="A2217" s="1">
        <v>411686</v>
      </c>
      <c r="B2217" s="1">
        <v>1600028382</v>
      </c>
      <c r="C2217" s="1">
        <v>12</v>
      </c>
      <c r="D2217" s="1" t="s">
        <v>1827</v>
      </c>
      <c r="E2217" t="s">
        <v>4502</v>
      </c>
      <c r="F2217" s="1">
        <v>94540</v>
      </c>
      <c r="G2217" s="1">
        <v>2100065897</v>
      </c>
      <c r="H2217" s="1">
        <v>24</v>
      </c>
      <c r="I2217" s="1" t="s">
        <v>781</v>
      </c>
      <c r="J2217" t="s">
        <v>4549</v>
      </c>
    </row>
    <row r="2218" spans="1:10">
      <c r="A2218" s="1">
        <v>619254</v>
      </c>
      <c r="B2218" s="1">
        <v>1600028383</v>
      </c>
      <c r="C2218" s="1">
        <v>12</v>
      </c>
      <c r="D2218" s="1" t="s">
        <v>781</v>
      </c>
      <c r="E2218" t="s">
        <v>4503</v>
      </c>
      <c r="F2218" s="1">
        <v>94847</v>
      </c>
      <c r="G2218" s="1">
        <v>2100065371</v>
      </c>
      <c r="H2218" s="1">
        <v>24</v>
      </c>
      <c r="I2218" s="1" t="s">
        <v>4491</v>
      </c>
      <c r="J2218" t="s">
        <v>4550</v>
      </c>
    </row>
    <row r="2219" spans="1:10">
      <c r="A2219" s="1">
        <v>351817</v>
      </c>
      <c r="B2219" s="1">
        <v>1600028205</v>
      </c>
      <c r="C2219" s="1">
        <v>12</v>
      </c>
      <c r="D2219" s="1" t="s">
        <v>1135</v>
      </c>
      <c r="E2219" t="s">
        <v>4504</v>
      </c>
      <c r="F2219" s="1">
        <v>95448</v>
      </c>
      <c r="G2219" s="1">
        <v>2100065321</v>
      </c>
      <c r="H2219" s="1">
        <v>24</v>
      </c>
      <c r="I2219" s="1" t="s">
        <v>4491</v>
      </c>
      <c r="J2219" t="s">
        <v>4551</v>
      </c>
    </row>
    <row r="2220" spans="1:10">
      <c r="A2220" s="1">
        <v>507780</v>
      </c>
      <c r="B2220" s="1">
        <v>1600028204</v>
      </c>
      <c r="C2220" s="1">
        <v>12</v>
      </c>
      <c r="D2220" s="1" t="s">
        <v>358</v>
      </c>
      <c r="E2220" t="s">
        <v>4505</v>
      </c>
      <c r="F2220" s="1">
        <v>94318</v>
      </c>
      <c r="G2220" s="1">
        <v>2100065893</v>
      </c>
      <c r="H2220" s="1">
        <v>24</v>
      </c>
      <c r="I2220" s="1" t="s">
        <v>347</v>
      </c>
      <c r="J2220" t="s">
        <v>4552</v>
      </c>
    </row>
    <row r="2221" spans="1:10">
      <c r="A2221" s="1">
        <v>345058</v>
      </c>
      <c r="B2221" s="1">
        <v>1600028203</v>
      </c>
      <c r="C2221" s="1">
        <v>12</v>
      </c>
      <c r="D2221" s="1" t="s">
        <v>2338</v>
      </c>
      <c r="E2221" t="s">
        <v>4506</v>
      </c>
      <c r="F2221" s="1">
        <v>94664</v>
      </c>
      <c r="G2221" s="1">
        <v>4100002801</v>
      </c>
      <c r="H2221" s="1">
        <v>12</v>
      </c>
      <c r="I2221" s="1" t="s">
        <v>589</v>
      </c>
      <c r="J2221" t="s">
        <v>4553</v>
      </c>
    </row>
    <row r="2222" spans="1:10">
      <c r="A2222" s="1">
        <v>33142</v>
      </c>
      <c r="B2222" s="1">
        <v>5100015827</v>
      </c>
      <c r="C2222" s="1">
        <v>8</v>
      </c>
      <c r="D2222" s="1" t="s">
        <v>4507</v>
      </c>
      <c r="E2222" t="s">
        <v>4508</v>
      </c>
      <c r="F2222" s="1">
        <v>94326</v>
      </c>
      <c r="G2222" s="1">
        <v>4100002802</v>
      </c>
      <c r="H2222" s="1">
        <v>12</v>
      </c>
      <c r="I2222" s="1" t="s">
        <v>624</v>
      </c>
      <c r="J2222" t="s">
        <v>4554</v>
      </c>
    </row>
    <row r="2223" spans="1:10">
      <c r="A2223" s="1">
        <v>110114</v>
      </c>
      <c r="B2223" s="1">
        <v>5100014043</v>
      </c>
      <c r="C2223" s="1">
        <v>8</v>
      </c>
      <c r="D2223" s="1" t="s">
        <v>938</v>
      </c>
      <c r="E2223" t="s">
        <v>4509</v>
      </c>
      <c r="F2223" s="1">
        <v>132332</v>
      </c>
      <c r="G2223" s="1">
        <v>4100002290</v>
      </c>
      <c r="H2223" s="1">
        <v>12</v>
      </c>
      <c r="I2223" s="1" t="s">
        <v>958</v>
      </c>
      <c r="J2223" t="s">
        <v>4555</v>
      </c>
    </row>
    <row r="2224" spans="1:10">
      <c r="A2224" s="1">
        <v>110718</v>
      </c>
      <c r="B2224" s="1">
        <v>5100014045</v>
      </c>
      <c r="C2224" s="1">
        <v>8</v>
      </c>
      <c r="D2224" s="1" t="s">
        <v>4510</v>
      </c>
      <c r="E2224" t="s">
        <v>4511</v>
      </c>
      <c r="F2224" s="1">
        <v>98640</v>
      </c>
      <c r="G2224" s="1">
        <v>4100002282</v>
      </c>
      <c r="H2224" s="1">
        <v>12</v>
      </c>
      <c r="I2224" s="1" t="s">
        <v>106</v>
      </c>
      <c r="J2224" t="s">
        <v>4556</v>
      </c>
    </row>
    <row r="2225" spans="1:10">
      <c r="A2225" s="1">
        <v>110353</v>
      </c>
      <c r="B2225" s="1">
        <v>5100014022</v>
      </c>
      <c r="C2225" s="1">
        <v>8</v>
      </c>
      <c r="D2225" s="1" t="s">
        <v>4512</v>
      </c>
      <c r="E2225" t="s">
        <v>4513</v>
      </c>
      <c r="F2225" s="1">
        <v>693820</v>
      </c>
      <c r="G2225" s="1">
        <v>4100022586</v>
      </c>
      <c r="H2225" s="1">
        <v>12</v>
      </c>
      <c r="I2225" s="1" t="s">
        <v>4557</v>
      </c>
      <c r="J2225" t="s">
        <v>4558</v>
      </c>
    </row>
    <row r="2226" spans="1:10">
      <c r="A2226" s="1">
        <v>97162</v>
      </c>
      <c r="B2226" s="1">
        <v>6414404111</v>
      </c>
      <c r="C2226" s="1">
        <v>12</v>
      </c>
      <c r="D2226" s="1" t="s">
        <v>4514</v>
      </c>
      <c r="E2226" t="s">
        <v>4515</v>
      </c>
      <c r="F2226" s="1">
        <v>577114</v>
      </c>
      <c r="G2226" s="1">
        <v>4100022590</v>
      </c>
      <c r="H2226" s="1">
        <v>12</v>
      </c>
      <c r="I2226" s="1" t="s">
        <v>958</v>
      </c>
      <c r="J2226" t="s">
        <v>4559</v>
      </c>
    </row>
    <row r="2227" spans="1:10">
      <c r="A2227" s="1">
        <v>309427</v>
      </c>
      <c r="B2227" s="1">
        <v>1600017471</v>
      </c>
      <c r="C2227" s="1">
        <v>12</v>
      </c>
      <c r="D2227" s="1" t="s">
        <v>352</v>
      </c>
      <c r="E2227" t="s">
        <v>4516</v>
      </c>
      <c r="F2227" s="1">
        <v>485797</v>
      </c>
      <c r="G2227" s="1">
        <v>4100022584</v>
      </c>
      <c r="H2227" s="1">
        <v>12</v>
      </c>
      <c r="I2227" s="1" t="s">
        <v>479</v>
      </c>
      <c r="J2227" t="s">
        <v>4560</v>
      </c>
    </row>
    <row r="2228" spans="1:10">
      <c r="A2228" s="1">
        <v>691014</v>
      </c>
      <c r="B2228" s="1">
        <v>4118803237</v>
      </c>
      <c r="C2228" s="1">
        <v>12</v>
      </c>
      <c r="D2228" s="1" t="s">
        <v>1483</v>
      </c>
      <c r="E2228" t="s">
        <v>4517</v>
      </c>
      <c r="F2228" s="1">
        <v>94706</v>
      </c>
      <c r="G2228" s="1">
        <v>4100002253</v>
      </c>
      <c r="H2228" s="1">
        <v>12</v>
      </c>
      <c r="I2228" s="1" t="s">
        <v>589</v>
      </c>
      <c r="J2228" t="s">
        <v>4561</v>
      </c>
    </row>
    <row r="2229" spans="1:10">
      <c r="A2229" s="1">
        <v>486738</v>
      </c>
      <c r="B2229" s="1">
        <v>1600013925</v>
      </c>
      <c r="C2229" s="1">
        <v>12</v>
      </c>
      <c r="D2229" s="1" t="s">
        <v>4518</v>
      </c>
      <c r="E2229" t="s">
        <v>4519</v>
      </c>
      <c r="F2229" s="1">
        <v>94805</v>
      </c>
      <c r="G2229" s="1">
        <v>4100002255</v>
      </c>
      <c r="H2229" s="1">
        <v>12</v>
      </c>
      <c r="I2229" s="1" t="s">
        <v>4557</v>
      </c>
      <c r="J2229" t="s">
        <v>4562</v>
      </c>
    </row>
    <row r="2230" spans="1:10">
      <c r="A2230" s="1">
        <v>431122</v>
      </c>
      <c r="B2230" s="1">
        <v>1600043243</v>
      </c>
      <c r="C2230" s="1">
        <v>12</v>
      </c>
      <c r="D2230" s="1" t="s">
        <v>4518</v>
      </c>
      <c r="E2230" t="s">
        <v>4520</v>
      </c>
      <c r="F2230" s="1">
        <v>94185</v>
      </c>
      <c r="G2230" s="1">
        <v>4100002246</v>
      </c>
      <c r="H2230" s="1">
        <v>12</v>
      </c>
      <c r="I2230" s="1" t="s">
        <v>4557</v>
      </c>
      <c r="J2230" t="s">
        <v>4563</v>
      </c>
    </row>
    <row r="2231" spans="1:10">
      <c r="A2231" s="1">
        <v>395079</v>
      </c>
      <c r="B2231" s="1">
        <v>1600041185</v>
      </c>
      <c r="C2231" s="1">
        <v>12</v>
      </c>
      <c r="D2231" s="1" t="s">
        <v>4518</v>
      </c>
      <c r="E2231" t="s">
        <v>4521</v>
      </c>
      <c r="F2231" s="1">
        <v>94177</v>
      </c>
      <c r="G2231" s="1">
        <v>4100002248</v>
      </c>
      <c r="H2231" s="1">
        <v>12</v>
      </c>
      <c r="I2231" s="1" t="s">
        <v>4557</v>
      </c>
      <c r="J2231" t="s">
        <v>4564</v>
      </c>
    </row>
    <row r="2232" spans="1:10">
      <c r="A2232" s="1">
        <v>832923</v>
      </c>
      <c r="B2232" s="1">
        <v>1600041184</v>
      </c>
      <c r="C2232" s="1">
        <v>12</v>
      </c>
      <c r="D2232" s="1" t="s">
        <v>619</v>
      </c>
      <c r="E2232" t="s">
        <v>4522</v>
      </c>
      <c r="F2232" s="1">
        <v>95695</v>
      </c>
      <c r="G2232" s="1">
        <v>4100002243</v>
      </c>
      <c r="H2232" s="1">
        <v>12</v>
      </c>
      <c r="I2232" s="1" t="s">
        <v>106</v>
      </c>
      <c r="J2232" t="s">
        <v>4565</v>
      </c>
    </row>
    <row r="2233" spans="1:10">
      <c r="A2233" s="1">
        <v>351049</v>
      </c>
      <c r="B2233" s="1">
        <v>1600043241</v>
      </c>
      <c r="C2233" s="1">
        <v>12</v>
      </c>
      <c r="D2233" s="1" t="s">
        <v>404</v>
      </c>
      <c r="E2233" t="s">
        <v>4523</v>
      </c>
      <c r="F2233" s="1">
        <v>132969</v>
      </c>
      <c r="G2233" s="1">
        <v>4100002298</v>
      </c>
      <c r="H2233" s="1">
        <v>12</v>
      </c>
      <c r="I2233" s="1" t="s">
        <v>517</v>
      </c>
      <c r="J2233" t="s">
        <v>4566</v>
      </c>
    </row>
    <row r="2234" spans="1:10">
      <c r="A2234" s="1">
        <v>455956</v>
      </c>
      <c r="B2234" s="1">
        <v>5010040859</v>
      </c>
      <c r="C2234" s="1">
        <v>6</v>
      </c>
      <c r="D2234" s="1" t="s">
        <v>4524</v>
      </c>
      <c r="E2234" t="s">
        <v>4525</v>
      </c>
      <c r="F2234" s="1">
        <v>140178</v>
      </c>
      <c r="G2234" s="1">
        <v>4100002286</v>
      </c>
      <c r="H2234" s="1">
        <v>12</v>
      </c>
      <c r="I2234" s="1" t="s">
        <v>498</v>
      </c>
      <c r="J2234" t="s">
        <v>4567</v>
      </c>
    </row>
    <row r="2235" spans="1:10">
      <c r="A2235" s="1">
        <v>239863</v>
      </c>
      <c r="B2235" s="1">
        <v>4100001195</v>
      </c>
      <c r="C2235" s="1">
        <v>12</v>
      </c>
      <c r="D2235" s="1" t="s">
        <v>589</v>
      </c>
      <c r="E2235" t="s">
        <v>4526</v>
      </c>
      <c r="F2235" s="1">
        <v>141457</v>
      </c>
      <c r="G2235" s="1">
        <v>4100002297</v>
      </c>
      <c r="H2235" s="1">
        <v>12</v>
      </c>
      <c r="I2235" s="1" t="s">
        <v>517</v>
      </c>
      <c r="J2235" t="s">
        <v>4568</v>
      </c>
    </row>
    <row r="2236" spans="1:10">
      <c r="A2236" s="1">
        <v>94730</v>
      </c>
      <c r="B2236" s="1">
        <v>2100077436</v>
      </c>
      <c r="C2236" s="1">
        <v>5</v>
      </c>
      <c r="D2236" s="1" t="s">
        <v>4527</v>
      </c>
      <c r="E2236" t="s">
        <v>4528</v>
      </c>
      <c r="F2236" s="1">
        <v>408625</v>
      </c>
      <c r="G2236" s="1">
        <v>4100002251</v>
      </c>
      <c r="H2236" s="1">
        <v>12</v>
      </c>
      <c r="I2236" s="1" t="s">
        <v>589</v>
      </c>
      <c r="J2236" t="s">
        <v>4569</v>
      </c>
    </row>
    <row r="2237" spans="1:10">
      <c r="A2237" s="1">
        <v>802173</v>
      </c>
      <c r="B2237" s="1">
        <v>2100002053</v>
      </c>
      <c r="C2237" s="1">
        <v>12</v>
      </c>
      <c r="D2237" s="1" t="s">
        <v>489</v>
      </c>
      <c r="E2237" t="s">
        <v>4529</v>
      </c>
      <c r="F2237" s="1">
        <v>132886</v>
      </c>
      <c r="G2237" s="1">
        <v>4100002289</v>
      </c>
      <c r="H2237" s="1">
        <v>12</v>
      </c>
      <c r="I2237" s="1" t="s">
        <v>4557</v>
      </c>
      <c r="J2237" t="s">
        <v>4570</v>
      </c>
    </row>
    <row r="2238" spans="1:10">
      <c r="A2238" s="1">
        <v>99093</v>
      </c>
      <c r="B2238" s="1">
        <v>2100065493</v>
      </c>
      <c r="C2238" s="1">
        <v>12</v>
      </c>
      <c r="D2238" s="1" t="s">
        <v>259</v>
      </c>
      <c r="E2238" t="s">
        <v>4530</v>
      </c>
      <c r="F2238" s="1">
        <v>94813</v>
      </c>
      <c r="G2238" s="1">
        <v>4100002254</v>
      </c>
      <c r="H2238" s="1">
        <v>12</v>
      </c>
      <c r="I2238" s="1" t="s">
        <v>397</v>
      </c>
      <c r="J2238" t="s">
        <v>4571</v>
      </c>
    </row>
    <row r="2239" spans="1:10">
      <c r="A2239" s="1">
        <v>94052</v>
      </c>
      <c r="B2239" s="1">
        <v>2100065886</v>
      </c>
      <c r="C2239" s="1">
        <v>24</v>
      </c>
      <c r="D2239" s="1" t="s">
        <v>259</v>
      </c>
      <c r="E2239" t="s">
        <v>4531</v>
      </c>
      <c r="F2239" s="1">
        <v>94169</v>
      </c>
      <c r="G2239" s="1">
        <v>4100002249</v>
      </c>
      <c r="H2239" s="1">
        <v>12</v>
      </c>
      <c r="I2239" s="1" t="s">
        <v>106</v>
      </c>
      <c r="J2239" t="s">
        <v>4572</v>
      </c>
    </row>
    <row r="2240" spans="1:10">
      <c r="A2240" s="1">
        <v>94854</v>
      </c>
      <c r="B2240" s="1">
        <v>2100065655</v>
      </c>
      <c r="C2240" s="1">
        <v>12</v>
      </c>
      <c r="D2240" s="1" t="s">
        <v>259</v>
      </c>
      <c r="E2240" t="s">
        <v>4532</v>
      </c>
      <c r="F2240" s="1">
        <v>141804</v>
      </c>
      <c r="G2240" s="1">
        <v>4100002805</v>
      </c>
      <c r="H2240" s="1">
        <v>12</v>
      </c>
      <c r="I2240" s="1" t="s">
        <v>589</v>
      </c>
      <c r="J2240" t="s">
        <v>4573</v>
      </c>
    </row>
    <row r="2241" spans="1:10">
      <c r="A2241" s="1">
        <v>893271</v>
      </c>
      <c r="B2241" s="1">
        <v>2100002317</v>
      </c>
      <c r="C2241" s="1">
        <v>9</v>
      </c>
      <c r="D2241" s="1" t="s">
        <v>439</v>
      </c>
      <c r="E2241" t="s">
        <v>4533</v>
      </c>
      <c r="F2241" s="1">
        <v>184580</v>
      </c>
      <c r="G2241" s="1">
        <v>1530044051</v>
      </c>
      <c r="H2241" s="1">
        <v>12</v>
      </c>
      <c r="I2241" s="1" t="s">
        <v>498</v>
      </c>
      <c r="J2241" t="s">
        <v>4574</v>
      </c>
    </row>
    <row r="2242" spans="1:10">
      <c r="A2242" s="1">
        <v>94482</v>
      </c>
      <c r="B2242" s="1">
        <v>2100077853</v>
      </c>
      <c r="C2242" s="1">
        <v>8</v>
      </c>
      <c r="D2242" s="1" t="s">
        <v>1195</v>
      </c>
      <c r="E2242" t="s">
        <v>4534</v>
      </c>
      <c r="F2242" s="1">
        <v>93658</v>
      </c>
      <c r="G2242" s="1">
        <v>1530044035</v>
      </c>
      <c r="H2242" s="1">
        <v>12</v>
      </c>
      <c r="I2242" s="1" t="s">
        <v>624</v>
      </c>
      <c r="J2242" t="s">
        <v>4575</v>
      </c>
    </row>
    <row r="2243" spans="1:10">
      <c r="A2243" s="1">
        <v>95539</v>
      </c>
      <c r="B2243" s="1">
        <v>2100067148</v>
      </c>
      <c r="C2243" s="1">
        <v>8</v>
      </c>
      <c r="D2243" s="1" t="s">
        <v>1195</v>
      </c>
      <c r="E2243" t="s">
        <v>4535</v>
      </c>
      <c r="F2243" s="1">
        <v>131862</v>
      </c>
      <c r="G2243" s="1">
        <v>1530044017</v>
      </c>
      <c r="H2243" s="1">
        <v>12</v>
      </c>
      <c r="I2243" s="1" t="s">
        <v>624</v>
      </c>
      <c r="J2243" t="s">
        <v>4576</v>
      </c>
    </row>
    <row r="2244" spans="1:10">
      <c r="A2244" s="1">
        <v>94870</v>
      </c>
      <c r="B2244" s="1">
        <v>2100077861</v>
      </c>
      <c r="C2244" s="1">
        <v>8</v>
      </c>
      <c r="D2244" s="1" t="s">
        <v>1195</v>
      </c>
      <c r="E2244" t="s">
        <v>4536</v>
      </c>
      <c r="F2244" s="1">
        <v>184267</v>
      </c>
      <c r="G2244" s="1">
        <v>1530044032</v>
      </c>
      <c r="H2244" s="1">
        <v>12</v>
      </c>
      <c r="I2244" s="1" t="s">
        <v>920</v>
      </c>
      <c r="J2244" t="s">
        <v>4577</v>
      </c>
    </row>
    <row r="2245" spans="1:10">
      <c r="A2245" s="1">
        <v>95315</v>
      </c>
      <c r="B2245" s="1">
        <v>2100065320</v>
      </c>
      <c r="C2245" s="1">
        <v>9</v>
      </c>
      <c r="D2245" s="1" t="s">
        <v>439</v>
      </c>
      <c r="E2245" t="s">
        <v>4537</v>
      </c>
      <c r="F2245" s="1">
        <v>131946</v>
      </c>
      <c r="G2245" s="1">
        <v>1530044025</v>
      </c>
      <c r="H2245" s="1">
        <v>12</v>
      </c>
      <c r="I2245" s="1" t="s">
        <v>3869</v>
      </c>
      <c r="J2245" t="s">
        <v>4578</v>
      </c>
    </row>
    <row r="2246" spans="1:10">
      <c r="A2246" s="1">
        <v>436766</v>
      </c>
      <c r="B2246" s="1">
        <v>2100001373</v>
      </c>
      <c r="C2246" s="1">
        <v>12</v>
      </c>
      <c r="D2246" s="1" t="s">
        <v>2338</v>
      </c>
      <c r="E2246" t="s">
        <v>4538</v>
      </c>
      <c r="F2246" s="1">
        <v>184598</v>
      </c>
      <c r="G2246" s="1">
        <v>1530044049</v>
      </c>
      <c r="H2246" s="1">
        <v>12</v>
      </c>
      <c r="I2246" s="1" t="s">
        <v>521</v>
      </c>
      <c r="J2246" t="s">
        <v>4579</v>
      </c>
    </row>
    <row r="2247" spans="1:10">
      <c r="A2247" s="1">
        <v>94110</v>
      </c>
      <c r="B2247" s="1">
        <v>2100065894</v>
      </c>
      <c r="C2247" s="1">
        <v>24</v>
      </c>
      <c r="D2247" s="1" t="s">
        <v>1409</v>
      </c>
      <c r="E2247" t="s">
        <v>4539</v>
      </c>
      <c r="F2247" s="1">
        <v>135327</v>
      </c>
      <c r="G2247" s="1">
        <v>1530044132</v>
      </c>
      <c r="H2247" s="1">
        <v>12</v>
      </c>
      <c r="I2247" s="1" t="s">
        <v>624</v>
      </c>
      <c r="J2247" t="s">
        <v>4580</v>
      </c>
    </row>
    <row r="2248" spans="1:10">
      <c r="A2248" s="1">
        <v>507236</v>
      </c>
      <c r="B2248" s="1">
        <v>2100065883</v>
      </c>
      <c r="C2248" s="1">
        <v>35</v>
      </c>
      <c r="D2248" s="1" t="s">
        <v>4491</v>
      </c>
      <c r="E2248" t="s">
        <v>4540</v>
      </c>
      <c r="F2248" s="1">
        <v>131870</v>
      </c>
      <c r="G2248" s="1">
        <v>1530044023</v>
      </c>
      <c r="H2248" s="1">
        <v>12</v>
      </c>
      <c r="I2248" s="1" t="s">
        <v>498</v>
      </c>
      <c r="J2248" t="s">
        <v>4581</v>
      </c>
    </row>
    <row r="2249" spans="1:10">
      <c r="A2249" s="1">
        <v>94151</v>
      </c>
      <c r="B2249" s="1">
        <v>2100067189</v>
      </c>
      <c r="C2249" s="1">
        <v>24</v>
      </c>
      <c r="D2249" s="1" t="s">
        <v>259</v>
      </c>
      <c r="E2249" t="s">
        <v>4541</v>
      </c>
      <c r="F2249" s="1">
        <v>268805</v>
      </c>
      <c r="G2249" s="1">
        <v>1530044082</v>
      </c>
      <c r="H2249" s="1">
        <v>12</v>
      </c>
      <c r="I2249" s="1" t="s">
        <v>3869</v>
      </c>
      <c r="J2249" t="s">
        <v>4582</v>
      </c>
    </row>
    <row r="2250" spans="1:10">
      <c r="A2250" s="1">
        <v>96941</v>
      </c>
      <c r="B2250" s="1">
        <v>2100065356</v>
      </c>
      <c r="C2250" s="1">
        <v>24</v>
      </c>
      <c r="D2250" s="1" t="s">
        <v>4542</v>
      </c>
      <c r="E2250" t="s">
        <v>4543</v>
      </c>
      <c r="F2250" s="1">
        <v>99812</v>
      </c>
      <c r="G2250" s="1">
        <v>1116609981</v>
      </c>
      <c r="H2250" s="1">
        <v>12</v>
      </c>
      <c r="I2250" s="1" t="s">
        <v>399</v>
      </c>
      <c r="J2250" t="s">
        <v>4583</v>
      </c>
    </row>
    <row r="2251" spans="1:10">
      <c r="A2251" s="1">
        <v>879908</v>
      </c>
      <c r="B2251" s="1">
        <v>2100001254</v>
      </c>
      <c r="C2251" s="1">
        <v>12</v>
      </c>
      <c r="D2251" s="1" t="s">
        <v>404</v>
      </c>
      <c r="E2251" t="s">
        <v>4544</v>
      </c>
      <c r="F2251" s="1">
        <v>74724</v>
      </c>
      <c r="G2251" s="1">
        <v>1116607472</v>
      </c>
      <c r="H2251" s="1">
        <v>12</v>
      </c>
      <c r="I2251" s="1" t="s">
        <v>1815</v>
      </c>
      <c r="J2251" t="s">
        <v>4584</v>
      </c>
    </row>
    <row r="2252" spans="1:10">
      <c r="A2252" s="1">
        <v>491761</v>
      </c>
      <c r="B2252" s="1">
        <v>2100001255</v>
      </c>
      <c r="C2252" s="1">
        <v>12</v>
      </c>
      <c r="D2252" s="1" t="s">
        <v>404</v>
      </c>
      <c r="E2252" t="s">
        <v>4545</v>
      </c>
      <c r="F2252" s="1">
        <v>74732</v>
      </c>
      <c r="G2252" s="1">
        <v>1116607473</v>
      </c>
      <c r="H2252" s="1">
        <v>12</v>
      </c>
      <c r="I2252" s="1" t="s">
        <v>3272</v>
      </c>
      <c r="J2252" t="s">
        <v>4585</v>
      </c>
    </row>
    <row r="2253" spans="1:10">
      <c r="A2253" s="1">
        <v>141515</v>
      </c>
      <c r="B2253" s="1">
        <v>2100064940</v>
      </c>
      <c r="C2253" s="1">
        <v>12</v>
      </c>
      <c r="D2253" s="1" t="s">
        <v>546</v>
      </c>
      <c r="E2253" t="s">
        <v>4546</v>
      </c>
      <c r="F2253" s="1">
        <v>100750</v>
      </c>
      <c r="G2253" s="1">
        <v>1116610075</v>
      </c>
      <c r="H2253" s="1">
        <v>12</v>
      </c>
      <c r="I2253" s="1" t="s">
        <v>4586</v>
      </c>
      <c r="J2253" t="s">
        <v>4587</v>
      </c>
    </row>
    <row r="2254" spans="1:10">
      <c r="A2254" s="1">
        <v>141135</v>
      </c>
      <c r="B2254" s="1">
        <v>2100064936</v>
      </c>
      <c r="C2254" s="1">
        <v>12</v>
      </c>
      <c r="D2254" s="1" t="s">
        <v>401</v>
      </c>
      <c r="E2254" t="s">
        <v>4547</v>
      </c>
      <c r="F2254" s="1">
        <v>95463</v>
      </c>
      <c r="G2254" s="1">
        <v>1116609546</v>
      </c>
      <c r="H2254" s="1">
        <v>12</v>
      </c>
      <c r="I2254" s="1" t="s">
        <v>259</v>
      </c>
      <c r="J2254" t="s">
        <v>4588</v>
      </c>
    </row>
    <row r="2255" spans="1:10">
      <c r="A2255" s="1">
        <v>90027</v>
      </c>
      <c r="B2255" s="1">
        <v>2100064062</v>
      </c>
      <c r="C2255" s="1">
        <v>24</v>
      </c>
      <c r="D2255" s="1" t="s">
        <v>781</v>
      </c>
      <c r="E2255" t="s">
        <v>4548</v>
      </c>
      <c r="F2255" s="1">
        <v>96479</v>
      </c>
      <c r="G2255" s="1">
        <v>1116609647</v>
      </c>
      <c r="H2255" s="1">
        <v>12</v>
      </c>
      <c r="I2255" s="1" t="s">
        <v>347</v>
      </c>
      <c r="J2255" t="s">
        <v>4589</v>
      </c>
    </row>
    <row r="2256" spans="1:10" ht="15.75">
      <c r="A2256" s="4" t="s">
        <v>10740</v>
      </c>
      <c r="B2256" s="2"/>
      <c r="C2256" s="2"/>
      <c r="D2256" s="2"/>
      <c r="E2256" s="3"/>
      <c r="F2256" s="4" t="s">
        <v>10742</v>
      </c>
      <c r="G2256" s="2"/>
      <c r="H2256" s="2"/>
      <c r="I2256" s="2"/>
      <c r="J2256" s="3"/>
    </row>
    <row r="2257" spans="1:10">
      <c r="A2257" s="2" t="s">
        <v>0</v>
      </c>
      <c r="B2257" s="2" t="s">
        <v>1</v>
      </c>
      <c r="C2257" s="2" t="s">
        <v>2</v>
      </c>
      <c r="D2257" s="2" t="s">
        <v>3</v>
      </c>
      <c r="E2257" s="3" t="s">
        <v>4</v>
      </c>
      <c r="F2257" s="2" t="s">
        <v>0</v>
      </c>
      <c r="G2257" s="2" t="s">
        <v>1</v>
      </c>
      <c r="H2257" s="2" t="s">
        <v>2</v>
      </c>
      <c r="I2257" s="2" t="s">
        <v>3</v>
      </c>
      <c r="J2257" s="3" t="s">
        <v>4</v>
      </c>
    </row>
    <row r="2258" spans="1:10">
      <c r="A2258" s="1">
        <v>74708</v>
      </c>
      <c r="B2258" s="1">
        <v>1116607470</v>
      </c>
      <c r="C2258" s="1">
        <v>12</v>
      </c>
      <c r="D2258" s="1" t="s">
        <v>399</v>
      </c>
      <c r="E2258" t="s">
        <v>4590</v>
      </c>
      <c r="F2258" s="1">
        <v>94532</v>
      </c>
      <c r="G2258" s="1">
        <v>6414404849</v>
      </c>
      <c r="H2258" s="1">
        <v>24</v>
      </c>
      <c r="I2258" s="1" t="s">
        <v>910</v>
      </c>
      <c r="J2258" t="s">
        <v>4626</v>
      </c>
    </row>
    <row r="2259" spans="1:10">
      <c r="A2259" s="1">
        <v>100735</v>
      </c>
      <c r="B2259" s="1">
        <v>1116610073</v>
      </c>
      <c r="C2259" s="1">
        <v>12</v>
      </c>
      <c r="D2259" s="1" t="s">
        <v>3441</v>
      </c>
      <c r="E2259" t="s">
        <v>4591</v>
      </c>
      <c r="F2259" s="1">
        <v>94516</v>
      </c>
      <c r="G2259" s="1">
        <v>6414404551</v>
      </c>
      <c r="H2259" s="1">
        <v>24</v>
      </c>
      <c r="I2259" s="1" t="s">
        <v>910</v>
      </c>
      <c r="J2259" t="s">
        <v>4627</v>
      </c>
    </row>
    <row r="2260" spans="1:10">
      <c r="A2260" s="1">
        <v>93617</v>
      </c>
      <c r="B2260" s="1">
        <v>1116609361</v>
      </c>
      <c r="C2260" s="1">
        <v>24</v>
      </c>
      <c r="D2260" s="1" t="s">
        <v>4491</v>
      </c>
      <c r="E2260" t="s">
        <v>4592</v>
      </c>
      <c r="F2260" s="1">
        <v>93781</v>
      </c>
      <c r="G2260" s="1">
        <v>6414404315</v>
      </c>
      <c r="H2260" s="1">
        <v>24</v>
      </c>
      <c r="I2260" s="1" t="s">
        <v>910</v>
      </c>
      <c r="J2260" t="s">
        <v>4628</v>
      </c>
    </row>
    <row r="2261" spans="1:10">
      <c r="A2261" s="1">
        <v>93856</v>
      </c>
      <c r="B2261" s="1">
        <v>1116609385</v>
      </c>
      <c r="C2261" s="1">
        <v>24</v>
      </c>
      <c r="D2261" s="1" t="s">
        <v>4491</v>
      </c>
      <c r="E2261" t="s">
        <v>4593</v>
      </c>
      <c r="F2261" s="1">
        <v>93807</v>
      </c>
      <c r="G2261" s="1">
        <v>6414404317</v>
      </c>
      <c r="H2261" s="1">
        <v>12</v>
      </c>
      <c r="I2261" s="1" t="s">
        <v>553</v>
      </c>
      <c r="J2261" t="s">
        <v>4628</v>
      </c>
    </row>
    <row r="2262" spans="1:10">
      <c r="A2262" s="1">
        <v>93625</v>
      </c>
      <c r="B2262" s="1">
        <v>1116609362</v>
      </c>
      <c r="C2262" s="1">
        <v>8</v>
      </c>
      <c r="D2262" s="1" t="s">
        <v>1195</v>
      </c>
      <c r="E2262" t="s">
        <v>4594</v>
      </c>
      <c r="F2262" s="1">
        <v>102954</v>
      </c>
      <c r="G2262" s="1">
        <v>6414486090</v>
      </c>
      <c r="H2262" s="1">
        <v>24</v>
      </c>
      <c r="I2262" s="1" t="s">
        <v>360</v>
      </c>
      <c r="J2262" t="s">
        <v>4628</v>
      </c>
    </row>
    <row r="2263" spans="1:10">
      <c r="A2263" s="1">
        <v>95331</v>
      </c>
      <c r="B2263" s="1">
        <v>1116609533</v>
      </c>
      <c r="C2263" s="1">
        <v>12</v>
      </c>
      <c r="D2263" s="1" t="s">
        <v>4557</v>
      </c>
      <c r="E2263" t="s">
        <v>4595</v>
      </c>
      <c r="F2263" s="1">
        <v>93765</v>
      </c>
      <c r="G2263" s="1">
        <v>6414404306</v>
      </c>
      <c r="H2263" s="1">
        <v>24</v>
      </c>
      <c r="I2263" s="1" t="s">
        <v>910</v>
      </c>
      <c r="J2263" t="s">
        <v>4629</v>
      </c>
    </row>
    <row r="2264" spans="1:10">
      <c r="A2264" s="1">
        <v>95406</v>
      </c>
      <c r="B2264" s="1">
        <v>1116609540</v>
      </c>
      <c r="C2264" s="1">
        <v>12</v>
      </c>
      <c r="D2264" s="1" t="s">
        <v>106</v>
      </c>
      <c r="E2264" t="s">
        <v>4596</v>
      </c>
      <c r="F2264" s="1">
        <v>93666</v>
      </c>
      <c r="G2264" s="1">
        <v>6414404323</v>
      </c>
      <c r="H2264" s="1">
        <v>12</v>
      </c>
      <c r="I2264" s="1" t="s">
        <v>1468</v>
      </c>
      <c r="J2264" t="s">
        <v>4630</v>
      </c>
    </row>
    <row r="2265" spans="1:10">
      <c r="A2265" s="1">
        <v>95323</v>
      </c>
      <c r="B2265" s="1">
        <v>1116609532</v>
      </c>
      <c r="C2265" s="1">
        <v>12</v>
      </c>
      <c r="D2265" s="1" t="s">
        <v>536</v>
      </c>
      <c r="E2265" t="s">
        <v>4597</v>
      </c>
      <c r="F2265" s="1">
        <v>93583</v>
      </c>
      <c r="G2265" s="1">
        <v>6414404322</v>
      </c>
      <c r="H2265" s="1">
        <v>24</v>
      </c>
      <c r="I2265" s="1" t="s">
        <v>1409</v>
      </c>
      <c r="J2265" t="s">
        <v>4631</v>
      </c>
    </row>
    <row r="2266" spans="1:10">
      <c r="A2266" s="1">
        <v>93476</v>
      </c>
      <c r="B2266" s="1">
        <v>1116609347</v>
      </c>
      <c r="C2266" s="1">
        <v>24</v>
      </c>
      <c r="D2266" s="1" t="s">
        <v>4542</v>
      </c>
      <c r="E2266" t="s">
        <v>4598</v>
      </c>
      <c r="F2266" s="1">
        <v>94292</v>
      </c>
      <c r="G2266" s="1">
        <v>6414404213</v>
      </c>
      <c r="H2266" s="1">
        <v>24</v>
      </c>
      <c r="I2266" s="1" t="s">
        <v>1409</v>
      </c>
      <c r="J2266" t="s">
        <v>4632</v>
      </c>
    </row>
    <row r="2267" spans="1:10">
      <c r="A2267" s="1">
        <v>17723</v>
      </c>
      <c r="B2267" s="1">
        <v>4113030157</v>
      </c>
      <c r="C2267" s="1">
        <v>24</v>
      </c>
      <c r="D2267" s="1" t="s">
        <v>4491</v>
      </c>
      <c r="E2267" t="s">
        <v>4599</v>
      </c>
      <c r="F2267" s="1">
        <v>93724</v>
      </c>
      <c r="G2267" s="1">
        <v>6414486833</v>
      </c>
      <c r="H2267" s="1">
        <v>24</v>
      </c>
      <c r="I2267" s="1" t="s">
        <v>910</v>
      </c>
      <c r="J2267" t="s">
        <v>4633</v>
      </c>
    </row>
    <row r="2268" spans="1:10">
      <c r="A2268" s="1">
        <v>94037</v>
      </c>
      <c r="B2268" s="1">
        <v>2100065889</v>
      </c>
      <c r="C2268" s="1">
        <v>12</v>
      </c>
      <c r="D2268" s="1" t="s">
        <v>489</v>
      </c>
      <c r="E2268" t="s">
        <v>4600</v>
      </c>
      <c r="F2268" s="1">
        <v>93708</v>
      </c>
      <c r="G2268" s="1">
        <v>6414486831</v>
      </c>
      <c r="H2268" s="1">
        <v>24</v>
      </c>
      <c r="I2268" s="1" t="s">
        <v>910</v>
      </c>
      <c r="J2268" t="s">
        <v>4634</v>
      </c>
    </row>
    <row r="2269" spans="1:10">
      <c r="A2269" s="1">
        <v>95000</v>
      </c>
      <c r="B2269" s="1">
        <v>2100065492</v>
      </c>
      <c r="C2269" s="1">
        <v>12</v>
      </c>
      <c r="D2269" s="1" t="s">
        <v>347</v>
      </c>
      <c r="E2269" t="s">
        <v>4601</v>
      </c>
      <c r="F2269" s="1">
        <v>531368</v>
      </c>
      <c r="G2269" s="1">
        <v>6414404696</v>
      </c>
      <c r="H2269" s="1">
        <v>12</v>
      </c>
      <c r="I2269" s="1" t="s">
        <v>4491</v>
      </c>
      <c r="J2269" t="s">
        <v>4635</v>
      </c>
    </row>
    <row r="2270" spans="1:10">
      <c r="A2270" s="1">
        <v>92601</v>
      </c>
      <c r="B2270" s="1">
        <v>2100065643</v>
      </c>
      <c r="C2270" s="1">
        <v>12</v>
      </c>
      <c r="D2270" s="1" t="s">
        <v>4602</v>
      </c>
      <c r="E2270" t="s">
        <v>4603</v>
      </c>
      <c r="F2270" s="1">
        <v>374694</v>
      </c>
      <c r="G2270" s="1">
        <v>6414404771</v>
      </c>
      <c r="H2270" s="1">
        <v>24</v>
      </c>
      <c r="I2270" s="1" t="s">
        <v>3779</v>
      </c>
      <c r="J2270" t="s">
        <v>4636</v>
      </c>
    </row>
    <row r="2271" spans="1:10" ht="15.75">
      <c r="A2271" s="4" t="s">
        <v>10742</v>
      </c>
      <c r="B2271" s="2"/>
      <c r="C2271" s="2"/>
      <c r="D2271" s="2"/>
      <c r="E2271" s="3"/>
      <c r="F2271" s="1">
        <v>333062</v>
      </c>
      <c r="G2271" s="1">
        <v>6414404900</v>
      </c>
      <c r="H2271" s="1">
        <v>12</v>
      </c>
      <c r="I2271" s="1" t="s">
        <v>358</v>
      </c>
      <c r="J2271" t="s">
        <v>4637</v>
      </c>
    </row>
    <row r="2272" spans="1:10">
      <c r="A2272" s="2" t="s">
        <v>0</v>
      </c>
      <c r="B2272" s="2" t="s">
        <v>1</v>
      </c>
      <c r="C2272" s="2" t="s">
        <v>2</v>
      </c>
      <c r="D2272" s="2" t="s">
        <v>3</v>
      </c>
      <c r="E2272" s="3" t="s">
        <v>4</v>
      </c>
      <c r="F2272" s="1">
        <v>655746</v>
      </c>
      <c r="G2272" s="1">
        <v>6414404699</v>
      </c>
      <c r="H2272" s="1">
        <v>24</v>
      </c>
      <c r="I2272" s="1" t="s">
        <v>910</v>
      </c>
      <c r="J2272" t="s">
        <v>4638</v>
      </c>
    </row>
    <row r="2273" spans="1:10">
      <c r="A2273" s="1">
        <v>140426</v>
      </c>
      <c r="B2273" s="1">
        <v>5100013819</v>
      </c>
      <c r="C2273" s="1">
        <v>12</v>
      </c>
      <c r="D2273" s="1" t="s">
        <v>910</v>
      </c>
      <c r="E2273" t="s">
        <v>4604</v>
      </c>
      <c r="F2273" s="1">
        <v>93385</v>
      </c>
      <c r="G2273" s="1">
        <v>1116609338</v>
      </c>
      <c r="H2273" s="1">
        <v>24</v>
      </c>
      <c r="I2273" s="1" t="s">
        <v>910</v>
      </c>
      <c r="J2273" t="s">
        <v>4639</v>
      </c>
    </row>
    <row r="2274" spans="1:10">
      <c r="A2274" s="1">
        <v>94383</v>
      </c>
      <c r="B2274" s="1">
        <v>5100002512</v>
      </c>
      <c r="C2274" s="1">
        <v>24</v>
      </c>
      <c r="D2274" s="1" t="s">
        <v>3779</v>
      </c>
      <c r="E2274" t="s">
        <v>4605</v>
      </c>
      <c r="F2274" s="1">
        <v>93815</v>
      </c>
      <c r="G2274" s="1">
        <v>1116609315</v>
      </c>
      <c r="H2274" s="1">
        <v>12</v>
      </c>
      <c r="I2274" s="1" t="s">
        <v>553</v>
      </c>
      <c r="J2274" t="s">
        <v>4640</v>
      </c>
    </row>
    <row r="2275" spans="1:10">
      <c r="A2275" s="1">
        <v>94342</v>
      </c>
      <c r="B2275" s="1">
        <v>5100002524</v>
      </c>
      <c r="C2275" s="1">
        <v>24</v>
      </c>
      <c r="D2275" s="1" t="s">
        <v>910</v>
      </c>
      <c r="E2275" t="s">
        <v>4606</v>
      </c>
      <c r="F2275" s="1">
        <v>93369</v>
      </c>
      <c r="G2275" s="1">
        <v>1116609336</v>
      </c>
      <c r="H2275" s="1">
        <v>24</v>
      </c>
      <c r="I2275" s="1" t="s">
        <v>910</v>
      </c>
      <c r="J2275" t="s">
        <v>4641</v>
      </c>
    </row>
    <row r="2276" spans="1:10">
      <c r="A2276" s="1">
        <v>94359</v>
      </c>
      <c r="B2276" s="1">
        <v>5100002523</v>
      </c>
      <c r="C2276" s="1">
        <v>12</v>
      </c>
      <c r="D2276" s="1" t="s">
        <v>637</v>
      </c>
      <c r="E2276" t="s">
        <v>4606</v>
      </c>
      <c r="F2276" s="1">
        <v>93922</v>
      </c>
      <c r="G2276" s="1">
        <v>1116609392</v>
      </c>
      <c r="H2276" s="1">
        <v>12</v>
      </c>
      <c r="I2276" s="1" t="s">
        <v>553</v>
      </c>
      <c r="J2276" t="s">
        <v>4642</v>
      </c>
    </row>
    <row r="2277" spans="1:10">
      <c r="A2277" s="1">
        <v>94276</v>
      </c>
      <c r="B2277" s="1">
        <v>5100002639</v>
      </c>
      <c r="C2277" s="1">
        <v>24</v>
      </c>
      <c r="D2277" s="1" t="s">
        <v>358</v>
      </c>
      <c r="E2277" t="s">
        <v>4606</v>
      </c>
      <c r="F2277" s="1">
        <v>785543</v>
      </c>
      <c r="G2277" s="1">
        <v>1116601219</v>
      </c>
      <c r="H2277" s="1">
        <v>24</v>
      </c>
      <c r="I2277" s="1" t="s">
        <v>1409</v>
      </c>
      <c r="J2277" t="s">
        <v>4643</v>
      </c>
    </row>
    <row r="2278" spans="1:10">
      <c r="A2278" s="1">
        <v>96180</v>
      </c>
      <c r="B2278" s="1">
        <v>5100015446</v>
      </c>
      <c r="C2278" s="1">
        <v>24</v>
      </c>
      <c r="D2278" s="1" t="s">
        <v>910</v>
      </c>
      <c r="E2278" t="s">
        <v>4607</v>
      </c>
      <c r="F2278" s="1">
        <v>93104</v>
      </c>
      <c r="G2278" s="1">
        <v>1116609310</v>
      </c>
      <c r="H2278" s="1">
        <v>24</v>
      </c>
      <c r="I2278" s="1" t="s">
        <v>910</v>
      </c>
      <c r="J2278" t="s">
        <v>4644</v>
      </c>
    </row>
    <row r="2279" spans="1:10">
      <c r="A2279" s="1">
        <v>94375</v>
      </c>
      <c r="B2279" s="1">
        <v>5100002527</v>
      </c>
      <c r="C2279" s="1">
        <v>24</v>
      </c>
      <c r="D2279" s="1" t="s">
        <v>3779</v>
      </c>
      <c r="E2279" t="s">
        <v>4608</v>
      </c>
      <c r="F2279" s="1">
        <v>93161</v>
      </c>
      <c r="G2279" s="1">
        <v>1116609316</v>
      </c>
      <c r="H2279" s="1">
        <v>24</v>
      </c>
      <c r="I2279" s="1" t="s">
        <v>910</v>
      </c>
      <c r="J2279" t="s">
        <v>4645</v>
      </c>
    </row>
    <row r="2280" spans="1:10">
      <c r="A2280" s="1">
        <v>94367</v>
      </c>
      <c r="B2280" s="1">
        <v>5100002526</v>
      </c>
      <c r="C2280" s="1">
        <v>24</v>
      </c>
      <c r="D2280" s="1" t="s">
        <v>3779</v>
      </c>
      <c r="E2280" t="s">
        <v>4609</v>
      </c>
      <c r="F2280" s="1">
        <v>93492</v>
      </c>
      <c r="G2280" s="1">
        <v>1116609349</v>
      </c>
      <c r="H2280" s="1">
        <v>24</v>
      </c>
      <c r="I2280" s="1" t="s">
        <v>3779</v>
      </c>
      <c r="J2280" t="s">
        <v>4646</v>
      </c>
    </row>
    <row r="2281" spans="1:10">
      <c r="A2281" s="1">
        <v>97246</v>
      </c>
      <c r="B2281" s="1">
        <v>5100002520</v>
      </c>
      <c r="C2281" s="1">
        <v>12</v>
      </c>
      <c r="D2281" s="1" t="s">
        <v>4610</v>
      </c>
      <c r="E2281" t="s">
        <v>4609</v>
      </c>
      <c r="F2281" s="1">
        <v>93070</v>
      </c>
      <c r="G2281" s="1">
        <v>1116609307</v>
      </c>
      <c r="H2281" s="1">
        <v>24</v>
      </c>
      <c r="I2281" s="1" t="s">
        <v>910</v>
      </c>
      <c r="J2281" t="s">
        <v>4647</v>
      </c>
    </row>
    <row r="2282" spans="1:10">
      <c r="A2282" s="1">
        <v>486712</v>
      </c>
      <c r="B2282" s="1">
        <v>6414404166</v>
      </c>
      <c r="C2282" s="1">
        <v>24</v>
      </c>
      <c r="D2282" s="1" t="s">
        <v>910</v>
      </c>
      <c r="E2282" t="s">
        <v>4611</v>
      </c>
      <c r="F2282" s="1">
        <v>44438</v>
      </c>
      <c r="G2282" s="1">
        <v>5100018001</v>
      </c>
      <c r="H2282" s="1">
        <v>24</v>
      </c>
      <c r="I2282" s="1" t="s">
        <v>910</v>
      </c>
      <c r="J2282" t="s">
        <v>4648</v>
      </c>
    </row>
    <row r="2283" spans="1:10">
      <c r="A2283" s="1">
        <v>93005</v>
      </c>
      <c r="B2283" s="1">
        <v>6414404334</v>
      </c>
      <c r="C2283" s="1">
        <v>24</v>
      </c>
      <c r="D2283" s="1" t="s">
        <v>3779</v>
      </c>
      <c r="E2283" t="s">
        <v>4612</v>
      </c>
      <c r="F2283" s="1">
        <v>563544</v>
      </c>
      <c r="G2283" s="1">
        <v>5100018203</v>
      </c>
      <c r="H2283" s="1">
        <v>24</v>
      </c>
      <c r="I2283" s="1" t="s">
        <v>3779</v>
      </c>
      <c r="J2283" t="s">
        <v>4649</v>
      </c>
    </row>
    <row r="2284" spans="1:10" ht="15.75">
      <c r="A2284" s="1">
        <v>94250</v>
      </c>
      <c r="B2284" s="1">
        <v>6414404829</v>
      </c>
      <c r="C2284" s="1">
        <v>24</v>
      </c>
      <c r="D2284" s="1" t="s">
        <v>910</v>
      </c>
      <c r="E2284" t="s">
        <v>4613</v>
      </c>
      <c r="F2284" s="4" t="s">
        <v>10741</v>
      </c>
      <c r="G2284" s="2"/>
      <c r="H2284" s="2"/>
      <c r="I2284" s="2"/>
      <c r="J2284" s="3"/>
    </row>
    <row r="2285" spans="1:10">
      <c r="A2285" s="1">
        <v>93864</v>
      </c>
      <c r="B2285" s="1">
        <v>6414404302</v>
      </c>
      <c r="C2285" s="1">
        <v>24</v>
      </c>
      <c r="D2285" s="1" t="s">
        <v>910</v>
      </c>
      <c r="E2285" t="s">
        <v>4614</v>
      </c>
      <c r="F2285" s="2" t="s">
        <v>0</v>
      </c>
      <c r="G2285" s="2" t="s">
        <v>1</v>
      </c>
      <c r="H2285" s="2" t="s">
        <v>2</v>
      </c>
      <c r="I2285" s="2" t="s">
        <v>3</v>
      </c>
      <c r="J2285" s="3" t="s">
        <v>4</v>
      </c>
    </row>
    <row r="2286" spans="1:10">
      <c r="A2286" s="1">
        <v>93872</v>
      </c>
      <c r="B2286" s="1">
        <v>6414404164</v>
      </c>
      <c r="C2286" s="1">
        <v>24</v>
      </c>
      <c r="D2286" s="1" t="s">
        <v>910</v>
      </c>
      <c r="E2286" t="s">
        <v>4615</v>
      </c>
      <c r="F2286" s="1">
        <v>132209</v>
      </c>
      <c r="G2286" s="1">
        <v>1740010960</v>
      </c>
      <c r="H2286" s="1">
        <v>8</v>
      </c>
      <c r="I2286" s="1" t="s">
        <v>4650</v>
      </c>
      <c r="J2286" t="s">
        <v>4651</v>
      </c>
    </row>
    <row r="2287" spans="1:10">
      <c r="A2287" s="1">
        <v>93880</v>
      </c>
      <c r="B2287" s="1">
        <v>6414404303</v>
      </c>
      <c r="C2287" s="1">
        <v>12</v>
      </c>
      <c r="D2287" s="1" t="s">
        <v>553</v>
      </c>
      <c r="E2287" t="s">
        <v>4616</v>
      </c>
      <c r="F2287" s="1">
        <v>272435</v>
      </c>
      <c r="G2287" s="1">
        <v>1740011000</v>
      </c>
      <c r="H2287" s="1">
        <v>3</v>
      </c>
      <c r="I2287" s="1" t="s">
        <v>4652</v>
      </c>
      <c r="J2287" t="s">
        <v>4653</v>
      </c>
    </row>
    <row r="2288" spans="1:10">
      <c r="A2288" s="1">
        <v>93674</v>
      </c>
      <c r="B2288" s="1">
        <v>6414404304</v>
      </c>
      <c r="C2288" s="1">
        <v>24</v>
      </c>
      <c r="D2288" s="1" t="s">
        <v>910</v>
      </c>
      <c r="E2288" t="s">
        <v>4617</v>
      </c>
      <c r="F2288" s="1">
        <v>335109</v>
      </c>
      <c r="G2288" s="1">
        <v>1340008362</v>
      </c>
      <c r="H2288" s="1">
        <v>12</v>
      </c>
      <c r="I2288" s="1" t="s">
        <v>860</v>
      </c>
      <c r="J2288" t="s">
        <v>4654</v>
      </c>
    </row>
    <row r="2289" spans="1:10">
      <c r="A2289" s="1">
        <v>252668</v>
      </c>
      <c r="B2289" s="1">
        <v>6414404310</v>
      </c>
      <c r="C2289" s="1">
        <v>12</v>
      </c>
      <c r="D2289" s="1" t="s">
        <v>553</v>
      </c>
      <c r="E2289" t="s">
        <v>4618</v>
      </c>
      <c r="F2289" s="1">
        <v>133116</v>
      </c>
      <c r="G2289" s="1">
        <v>1340038271</v>
      </c>
      <c r="H2289" s="1">
        <v>1</v>
      </c>
      <c r="I2289" s="1" t="s">
        <v>4652</v>
      </c>
      <c r="J2289" t="s">
        <v>4655</v>
      </c>
    </row>
    <row r="2290" spans="1:10">
      <c r="A2290" s="1">
        <v>102962</v>
      </c>
      <c r="B2290" s="1">
        <v>6414486170</v>
      </c>
      <c r="C2290" s="1">
        <v>24</v>
      </c>
      <c r="D2290" s="1" t="s">
        <v>360</v>
      </c>
      <c r="E2290" t="s">
        <v>4619</v>
      </c>
      <c r="F2290" s="1">
        <v>162941</v>
      </c>
      <c r="G2290" s="1">
        <v>1340008275</v>
      </c>
      <c r="H2290" s="1">
        <v>12</v>
      </c>
      <c r="I2290" s="1" t="s">
        <v>860</v>
      </c>
      <c r="J2290" t="s">
        <v>4656</v>
      </c>
    </row>
    <row r="2291" spans="1:10">
      <c r="A2291" s="1">
        <v>399618</v>
      </c>
      <c r="B2291" s="1">
        <v>6414404395</v>
      </c>
      <c r="C2291" s="1">
        <v>24</v>
      </c>
      <c r="D2291" s="1" t="s">
        <v>910</v>
      </c>
      <c r="E2291" t="s">
        <v>4620</v>
      </c>
      <c r="F2291" s="1">
        <v>132340</v>
      </c>
      <c r="G2291" s="1">
        <v>1340005263</v>
      </c>
      <c r="H2291" s="1">
        <v>24</v>
      </c>
      <c r="I2291" s="1" t="s">
        <v>1973</v>
      </c>
      <c r="J2291" t="s">
        <v>4657</v>
      </c>
    </row>
    <row r="2292" spans="1:10">
      <c r="A2292" s="1">
        <v>474247</v>
      </c>
      <c r="B2292" s="1">
        <v>6414404075</v>
      </c>
      <c r="C2292" s="1">
        <v>24</v>
      </c>
      <c r="D2292" s="1" t="s">
        <v>910</v>
      </c>
      <c r="E2292" t="s">
        <v>4621</v>
      </c>
      <c r="F2292" s="1">
        <v>132803</v>
      </c>
      <c r="G2292" s="1">
        <v>1340005275</v>
      </c>
      <c r="H2292" s="1">
        <v>15</v>
      </c>
      <c r="I2292" s="1" t="s">
        <v>860</v>
      </c>
      <c r="J2292" t="s">
        <v>4657</v>
      </c>
    </row>
    <row r="2293" spans="1:10">
      <c r="A2293" s="1">
        <v>93146</v>
      </c>
      <c r="B2293" s="1">
        <v>6414404335</v>
      </c>
      <c r="C2293" s="1">
        <v>24</v>
      </c>
      <c r="D2293" s="1" t="s">
        <v>910</v>
      </c>
      <c r="E2293" t="s">
        <v>4622</v>
      </c>
      <c r="F2293" s="1">
        <v>132829</v>
      </c>
      <c r="G2293" s="1">
        <v>1340005279</v>
      </c>
      <c r="H2293" s="1">
        <v>8</v>
      </c>
      <c r="I2293" s="1" t="s">
        <v>4658</v>
      </c>
      <c r="J2293" t="s">
        <v>4659</v>
      </c>
    </row>
    <row r="2294" spans="1:10">
      <c r="A2294" s="1">
        <v>656280</v>
      </c>
      <c r="B2294" s="1">
        <v>6414404101</v>
      </c>
      <c r="C2294" s="1">
        <v>24</v>
      </c>
      <c r="D2294" s="1" t="s">
        <v>910</v>
      </c>
      <c r="E2294" t="s">
        <v>4623</v>
      </c>
      <c r="F2294" s="1">
        <v>838045</v>
      </c>
      <c r="G2294" s="1">
        <v>1862736461</v>
      </c>
      <c r="H2294" s="1">
        <v>12</v>
      </c>
      <c r="I2294" s="1" t="s">
        <v>365</v>
      </c>
      <c r="J2294" t="s">
        <v>4660</v>
      </c>
    </row>
    <row r="2295" spans="1:10">
      <c r="A2295" s="1">
        <v>94433</v>
      </c>
      <c r="B2295" s="1">
        <v>6414404828</v>
      </c>
      <c r="C2295" s="1">
        <v>24</v>
      </c>
      <c r="D2295" s="1" t="s">
        <v>3779</v>
      </c>
      <c r="E2295" t="s">
        <v>4624</v>
      </c>
      <c r="F2295" s="1">
        <v>411322</v>
      </c>
      <c r="G2295" s="1">
        <v>1862736465</v>
      </c>
      <c r="H2295" s="1">
        <v>12</v>
      </c>
      <c r="I2295" s="1" t="s">
        <v>365</v>
      </c>
      <c r="J2295" t="s">
        <v>4661</v>
      </c>
    </row>
    <row r="2296" spans="1:10">
      <c r="A2296" s="1">
        <v>93567</v>
      </c>
      <c r="B2296" s="1">
        <v>6414404881</v>
      </c>
      <c r="C2296" s="1">
        <v>24</v>
      </c>
      <c r="D2296" s="1" t="s">
        <v>1409</v>
      </c>
      <c r="E2296" t="s">
        <v>4625</v>
      </c>
      <c r="F2296" s="1">
        <v>757567</v>
      </c>
      <c r="G2296" s="1">
        <v>1862736463</v>
      </c>
      <c r="H2296" s="1">
        <v>12</v>
      </c>
      <c r="I2296" s="1" t="s">
        <v>365</v>
      </c>
      <c r="J2296" t="s">
        <v>4662</v>
      </c>
    </row>
    <row r="2297" spans="1:10" ht="15.75">
      <c r="A2297" s="4" t="s">
        <v>10741</v>
      </c>
      <c r="B2297" s="2"/>
      <c r="C2297" s="2"/>
      <c r="D2297" s="2"/>
      <c r="E2297" s="3"/>
      <c r="F2297" s="4" t="s">
        <v>10741</v>
      </c>
      <c r="G2297" s="2"/>
      <c r="H2297" s="2"/>
      <c r="I2297" s="2"/>
      <c r="J2297" s="3"/>
    </row>
    <row r="2298" spans="1:10">
      <c r="A2298" s="2" t="s">
        <v>0</v>
      </c>
      <c r="B2298" s="2" t="s">
        <v>1</v>
      </c>
      <c r="C2298" s="2" t="s">
        <v>2</v>
      </c>
      <c r="D2298" s="2" t="s">
        <v>3</v>
      </c>
      <c r="E2298" s="3" t="s">
        <v>4</v>
      </c>
      <c r="F2298" s="2" t="s">
        <v>0</v>
      </c>
      <c r="G2298" s="2" t="s">
        <v>1</v>
      </c>
      <c r="H2298" s="2" t="s">
        <v>2</v>
      </c>
      <c r="I2298" s="2" t="s">
        <v>3</v>
      </c>
      <c r="J2298" s="3" t="s">
        <v>4</v>
      </c>
    </row>
    <row r="2299" spans="1:10">
      <c r="A2299" s="1">
        <v>445478</v>
      </c>
      <c r="B2299" s="1">
        <v>4100022594</v>
      </c>
      <c r="C2299" s="1">
        <v>12</v>
      </c>
      <c r="D2299" s="1" t="s">
        <v>624</v>
      </c>
      <c r="E2299" t="s">
        <v>4663</v>
      </c>
      <c r="F2299" s="1">
        <v>133231</v>
      </c>
      <c r="G2299" s="1">
        <v>1530043785</v>
      </c>
      <c r="H2299" s="1">
        <v>12</v>
      </c>
      <c r="I2299" s="1" t="s">
        <v>920</v>
      </c>
      <c r="J2299" t="s">
        <v>4701</v>
      </c>
    </row>
    <row r="2300" spans="1:10">
      <c r="A2300" s="1">
        <v>386417</v>
      </c>
      <c r="B2300" s="1">
        <v>4100022596</v>
      </c>
      <c r="C2300" s="1">
        <v>12</v>
      </c>
      <c r="D2300" s="1" t="s">
        <v>1535</v>
      </c>
      <c r="E2300" t="s">
        <v>4664</v>
      </c>
      <c r="F2300" s="1">
        <v>32375</v>
      </c>
      <c r="G2300" s="1">
        <v>1530043940</v>
      </c>
      <c r="H2300" s="1">
        <v>12</v>
      </c>
      <c r="I2300" s="1" t="s">
        <v>3881</v>
      </c>
      <c r="J2300" t="s">
        <v>4702</v>
      </c>
    </row>
    <row r="2301" spans="1:10">
      <c r="A2301" s="1">
        <v>773465</v>
      </c>
      <c r="B2301" s="1">
        <v>4100001196</v>
      </c>
      <c r="C2301" s="1">
        <v>12</v>
      </c>
      <c r="D2301" s="1" t="s">
        <v>3869</v>
      </c>
      <c r="E2301" t="s">
        <v>4665</v>
      </c>
      <c r="F2301" s="1">
        <v>133520</v>
      </c>
      <c r="G2301" s="1">
        <v>1530043061</v>
      </c>
      <c r="H2301" s="1">
        <v>12</v>
      </c>
      <c r="I2301" s="1" t="s">
        <v>4470</v>
      </c>
      <c r="J2301" t="s">
        <v>4703</v>
      </c>
    </row>
    <row r="2302" spans="1:10">
      <c r="A2302" s="1">
        <v>835900</v>
      </c>
      <c r="B2302" s="1">
        <v>4100001197</v>
      </c>
      <c r="C2302" s="1">
        <v>12</v>
      </c>
      <c r="D2302" s="1" t="s">
        <v>589</v>
      </c>
      <c r="E2302" t="s">
        <v>4666</v>
      </c>
      <c r="F2302" s="1">
        <v>206060</v>
      </c>
      <c r="G2302" s="1">
        <v>1530043200</v>
      </c>
      <c r="H2302" s="1">
        <v>12</v>
      </c>
      <c r="I2302" s="1" t="s">
        <v>394</v>
      </c>
      <c r="J2302" t="s">
        <v>4704</v>
      </c>
    </row>
    <row r="2303" spans="1:10">
      <c r="A2303" s="1">
        <v>94896</v>
      </c>
      <c r="B2303" s="1">
        <v>4100002235</v>
      </c>
      <c r="C2303" s="1">
        <v>12</v>
      </c>
      <c r="D2303" s="1" t="s">
        <v>927</v>
      </c>
      <c r="E2303" t="s">
        <v>4667</v>
      </c>
      <c r="F2303" s="1">
        <v>32631</v>
      </c>
      <c r="G2303" s="1">
        <v>1530043941</v>
      </c>
      <c r="H2303" s="1">
        <v>12</v>
      </c>
      <c r="I2303" s="1" t="s">
        <v>4518</v>
      </c>
      <c r="J2303" t="s">
        <v>4705</v>
      </c>
    </row>
    <row r="2304" spans="1:10">
      <c r="A2304" s="1">
        <v>234286</v>
      </c>
      <c r="B2304" s="1">
        <v>4100002608</v>
      </c>
      <c r="C2304" s="1">
        <v>12</v>
      </c>
      <c r="D2304" s="1" t="s">
        <v>781</v>
      </c>
      <c r="E2304" t="s">
        <v>4668</v>
      </c>
      <c r="F2304" s="1">
        <v>134825</v>
      </c>
      <c r="G2304" s="1">
        <v>1530043000</v>
      </c>
      <c r="H2304" s="1">
        <v>12</v>
      </c>
      <c r="I2304" s="1" t="s">
        <v>2065</v>
      </c>
      <c r="J2304" t="s">
        <v>4706</v>
      </c>
    </row>
    <row r="2305" spans="1:10">
      <c r="A2305" s="1">
        <v>132365</v>
      </c>
      <c r="B2305" s="1">
        <v>4100002280</v>
      </c>
      <c r="C2305" s="1">
        <v>12</v>
      </c>
      <c r="D2305" s="1" t="s">
        <v>106</v>
      </c>
      <c r="E2305" t="s">
        <v>4669</v>
      </c>
      <c r="F2305" s="1">
        <v>141374</v>
      </c>
      <c r="G2305" s="1">
        <v>1530043034</v>
      </c>
      <c r="H2305" s="1">
        <v>12</v>
      </c>
      <c r="I2305" s="1" t="s">
        <v>958</v>
      </c>
      <c r="J2305" t="s">
        <v>4707</v>
      </c>
    </row>
    <row r="2306" spans="1:10">
      <c r="A2306" s="1">
        <v>138636</v>
      </c>
      <c r="B2306" s="1">
        <v>4100002262</v>
      </c>
      <c r="C2306" s="1">
        <v>12</v>
      </c>
      <c r="D2306" s="1" t="s">
        <v>106</v>
      </c>
      <c r="E2306" t="s">
        <v>4670</v>
      </c>
      <c r="F2306" s="1">
        <v>134643</v>
      </c>
      <c r="G2306" s="1">
        <v>1530043048</v>
      </c>
      <c r="H2306" s="1">
        <v>24</v>
      </c>
      <c r="I2306" s="1" t="s">
        <v>920</v>
      </c>
      <c r="J2306" t="s">
        <v>4708</v>
      </c>
    </row>
    <row r="2307" spans="1:10">
      <c r="A2307" s="1">
        <v>23846</v>
      </c>
      <c r="B2307" s="1">
        <v>4100002604</v>
      </c>
      <c r="C2307" s="1">
        <v>12</v>
      </c>
      <c r="D2307" s="1" t="s">
        <v>479</v>
      </c>
      <c r="E2307" t="s">
        <v>4671</v>
      </c>
      <c r="F2307" s="1">
        <v>133041</v>
      </c>
      <c r="G2307" s="1">
        <v>1530043060</v>
      </c>
      <c r="H2307" s="1">
        <v>12</v>
      </c>
      <c r="I2307" s="1" t="s">
        <v>793</v>
      </c>
      <c r="J2307" t="s">
        <v>4709</v>
      </c>
    </row>
    <row r="2308" spans="1:10">
      <c r="A2308" s="1">
        <v>132845</v>
      </c>
      <c r="B2308" s="1">
        <v>4100002278</v>
      </c>
      <c r="C2308" s="1">
        <v>12</v>
      </c>
      <c r="D2308" s="1" t="s">
        <v>798</v>
      </c>
      <c r="E2308" t="s">
        <v>4672</v>
      </c>
      <c r="F2308" s="1">
        <v>133074</v>
      </c>
      <c r="G2308" s="1">
        <v>1530043059</v>
      </c>
      <c r="H2308" s="1">
        <v>12</v>
      </c>
      <c r="I2308" s="1" t="s">
        <v>793</v>
      </c>
      <c r="J2308" t="s">
        <v>4710</v>
      </c>
    </row>
    <row r="2309" spans="1:10">
      <c r="A2309" s="1">
        <v>132258</v>
      </c>
      <c r="B2309" s="1">
        <v>4100002263</v>
      </c>
      <c r="C2309" s="1">
        <v>12</v>
      </c>
      <c r="D2309" s="1" t="s">
        <v>781</v>
      </c>
      <c r="E2309" t="s">
        <v>4673</v>
      </c>
      <c r="F2309" s="1">
        <v>133835</v>
      </c>
      <c r="G2309" s="1">
        <v>1530043047</v>
      </c>
      <c r="H2309" s="1">
        <v>12</v>
      </c>
      <c r="I2309" s="1" t="s">
        <v>4557</v>
      </c>
      <c r="J2309" t="s">
        <v>4711</v>
      </c>
    </row>
    <row r="2310" spans="1:10">
      <c r="A2310" s="1">
        <v>132902</v>
      </c>
      <c r="B2310" s="1">
        <v>4100002273</v>
      </c>
      <c r="C2310" s="1">
        <v>12</v>
      </c>
      <c r="D2310" s="1" t="s">
        <v>798</v>
      </c>
      <c r="E2310" t="s">
        <v>4674</v>
      </c>
      <c r="F2310" s="1">
        <v>132506</v>
      </c>
      <c r="G2310" s="1">
        <v>1530043053</v>
      </c>
      <c r="H2310" s="1">
        <v>12</v>
      </c>
      <c r="I2310" s="1" t="s">
        <v>1135</v>
      </c>
      <c r="J2310" t="s">
        <v>4712</v>
      </c>
    </row>
    <row r="2311" spans="1:10">
      <c r="A2311" s="1">
        <v>132316</v>
      </c>
      <c r="B2311" s="1">
        <v>4100002269</v>
      </c>
      <c r="C2311" s="1">
        <v>12</v>
      </c>
      <c r="D2311" s="1" t="s">
        <v>479</v>
      </c>
      <c r="E2311" t="s">
        <v>4675</v>
      </c>
      <c r="F2311" s="1">
        <v>713933</v>
      </c>
      <c r="G2311" s="1">
        <v>1530043951</v>
      </c>
      <c r="H2311" s="1">
        <v>12</v>
      </c>
      <c r="I2311" s="1" t="s">
        <v>828</v>
      </c>
      <c r="J2311" t="s">
        <v>4713</v>
      </c>
    </row>
    <row r="2312" spans="1:10">
      <c r="A2312" s="1">
        <v>132290</v>
      </c>
      <c r="B2312" s="1">
        <v>4100002266</v>
      </c>
      <c r="C2312" s="1">
        <v>12</v>
      </c>
      <c r="D2312" s="1" t="s">
        <v>619</v>
      </c>
      <c r="E2312" t="s">
        <v>4676</v>
      </c>
      <c r="F2312" s="1">
        <v>713958</v>
      </c>
      <c r="G2312" s="1">
        <v>1530043953</v>
      </c>
      <c r="H2312" s="1">
        <v>12</v>
      </c>
      <c r="I2312" s="1" t="s">
        <v>397</v>
      </c>
      <c r="J2312" t="s">
        <v>4714</v>
      </c>
    </row>
    <row r="2313" spans="1:10">
      <c r="A2313" s="1">
        <v>138461</v>
      </c>
      <c r="B2313" s="1">
        <v>4100002270</v>
      </c>
      <c r="C2313" s="1">
        <v>12</v>
      </c>
      <c r="D2313" s="1" t="s">
        <v>781</v>
      </c>
      <c r="E2313" t="s">
        <v>4677</v>
      </c>
      <c r="F2313" s="1">
        <v>713941</v>
      </c>
      <c r="G2313" s="1">
        <v>1530043952</v>
      </c>
      <c r="H2313" s="1">
        <v>12</v>
      </c>
      <c r="I2313" s="1" t="s">
        <v>3869</v>
      </c>
      <c r="J2313" t="s">
        <v>4715</v>
      </c>
    </row>
    <row r="2314" spans="1:10">
      <c r="A2314" s="1">
        <v>132308</v>
      </c>
      <c r="B2314" s="1">
        <v>4100002267</v>
      </c>
      <c r="C2314" s="1">
        <v>12</v>
      </c>
      <c r="D2314" s="1" t="s">
        <v>781</v>
      </c>
      <c r="E2314" t="s">
        <v>4678</v>
      </c>
      <c r="F2314" s="1">
        <v>132100</v>
      </c>
      <c r="G2314" s="1">
        <v>1116613205</v>
      </c>
      <c r="H2314" s="1">
        <v>12</v>
      </c>
      <c r="I2314" s="1" t="s">
        <v>1135</v>
      </c>
      <c r="J2314" t="s">
        <v>4716</v>
      </c>
    </row>
    <row r="2315" spans="1:10">
      <c r="A2315" s="1">
        <v>138347</v>
      </c>
      <c r="B2315" s="1">
        <v>4100002259</v>
      </c>
      <c r="C2315" s="1">
        <v>12</v>
      </c>
      <c r="D2315" s="1" t="s">
        <v>394</v>
      </c>
      <c r="E2315" t="s">
        <v>4679</v>
      </c>
      <c r="F2315" s="1">
        <v>131789</v>
      </c>
      <c r="G2315" s="1">
        <v>1116613178</v>
      </c>
      <c r="H2315" s="1">
        <v>12</v>
      </c>
      <c r="I2315" s="1" t="s">
        <v>259</v>
      </c>
      <c r="J2315" t="s">
        <v>4717</v>
      </c>
    </row>
    <row r="2316" spans="1:10">
      <c r="A2316" s="1">
        <v>368407</v>
      </c>
      <c r="B2316" s="1">
        <v>4100002302</v>
      </c>
      <c r="C2316" s="1">
        <v>12</v>
      </c>
      <c r="D2316" s="1" t="s">
        <v>479</v>
      </c>
      <c r="E2316" t="s">
        <v>4680</v>
      </c>
      <c r="F2316" s="1">
        <v>131797</v>
      </c>
      <c r="G2316" s="1">
        <v>1116613194</v>
      </c>
      <c r="H2316" s="1">
        <v>12</v>
      </c>
      <c r="I2316" s="1" t="s">
        <v>954</v>
      </c>
      <c r="J2316" t="s">
        <v>4717</v>
      </c>
    </row>
    <row r="2317" spans="1:10">
      <c r="A2317" s="1">
        <v>132282</v>
      </c>
      <c r="B2317" s="1">
        <v>4100002268</v>
      </c>
      <c r="C2317" s="1">
        <v>12</v>
      </c>
      <c r="D2317" s="1" t="s">
        <v>619</v>
      </c>
      <c r="E2317" t="s">
        <v>4681</v>
      </c>
      <c r="F2317" s="1">
        <v>131953</v>
      </c>
      <c r="G2317" s="1">
        <v>1116613190</v>
      </c>
      <c r="H2317" s="1">
        <v>24</v>
      </c>
      <c r="I2317" s="1" t="s">
        <v>381</v>
      </c>
      <c r="J2317" t="s">
        <v>4718</v>
      </c>
    </row>
    <row r="2318" spans="1:10">
      <c r="A2318" s="1">
        <v>132878</v>
      </c>
      <c r="B2318" s="1">
        <v>4100002231</v>
      </c>
      <c r="C2318" s="1">
        <v>12</v>
      </c>
      <c r="D2318" s="1" t="s">
        <v>479</v>
      </c>
      <c r="E2318" t="s">
        <v>4682</v>
      </c>
      <c r="F2318" s="1">
        <v>131979</v>
      </c>
      <c r="G2318" s="1">
        <v>1116613195</v>
      </c>
      <c r="H2318" s="1">
        <v>12</v>
      </c>
      <c r="I2318" s="1" t="s">
        <v>375</v>
      </c>
      <c r="J2318" t="s">
        <v>4718</v>
      </c>
    </row>
    <row r="2319" spans="1:10">
      <c r="A2319" s="1">
        <v>14670</v>
      </c>
      <c r="B2319" s="1">
        <v>1740010667</v>
      </c>
      <c r="C2319" s="1">
        <v>12</v>
      </c>
      <c r="D2319" s="1" t="s">
        <v>860</v>
      </c>
      <c r="E2319" t="s">
        <v>4683</v>
      </c>
      <c r="F2319" s="1">
        <v>134114</v>
      </c>
      <c r="G2319" s="1">
        <v>1116613197</v>
      </c>
      <c r="H2319" s="1">
        <v>6</v>
      </c>
      <c r="I2319" s="1" t="s">
        <v>4658</v>
      </c>
      <c r="J2319" t="s">
        <v>4718</v>
      </c>
    </row>
    <row r="2320" spans="1:10">
      <c r="A2320" s="1">
        <v>132415</v>
      </c>
      <c r="B2320" s="1">
        <v>1740010535</v>
      </c>
      <c r="C2320" s="1">
        <v>12</v>
      </c>
      <c r="D2320" s="1" t="s">
        <v>954</v>
      </c>
      <c r="E2320" t="s">
        <v>4684</v>
      </c>
      <c r="F2320" s="1">
        <v>135400</v>
      </c>
      <c r="G2320" s="1">
        <v>1116613540</v>
      </c>
      <c r="H2320" s="1">
        <v>4</v>
      </c>
      <c r="I2320" s="1" t="s">
        <v>4719</v>
      </c>
      <c r="J2320" t="s">
        <v>4720</v>
      </c>
    </row>
    <row r="2321" spans="1:10">
      <c r="A2321" s="1">
        <v>133645</v>
      </c>
      <c r="B2321" s="1">
        <v>1740010675</v>
      </c>
      <c r="C2321" s="1">
        <v>18</v>
      </c>
      <c r="D2321" s="1" t="s">
        <v>860</v>
      </c>
      <c r="E2321" t="s">
        <v>4685</v>
      </c>
      <c r="F2321" s="1">
        <v>132852</v>
      </c>
      <c r="G2321" s="1">
        <v>1116613285</v>
      </c>
      <c r="H2321" s="1">
        <v>12</v>
      </c>
      <c r="I2321" s="1" t="s">
        <v>106</v>
      </c>
      <c r="J2321" t="s">
        <v>4721</v>
      </c>
    </row>
    <row r="2322" spans="1:10">
      <c r="A2322" s="1">
        <v>132860</v>
      </c>
      <c r="B2322" s="1">
        <v>1740010695</v>
      </c>
      <c r="C2322" s="1">
        <v>18</v>
      </c>
      <c r="D2322" s="1" t="s">
        <v>860</v>
      </c>
      <c r="E2322" t="s">
        <v>4686</v>
      </c>
      <c r="F2322" s="1">
        <v>132761</v>
      </c>
      <c r="G2322" s="1">
        <v>1116613276</v>
      </c>
      <c r="H2322" s="1">
        <v>12</v>
      </c>
      <c r="I2322" s="1" t="s">
        <v>589</v>
      </c>
      <c r="J2322" t="s">
        <v>4722</v>
      </c>
    </row>
    <row r="2323" spans="1:10">
      <c r="A2323" s="1">
        <v>132274</v>
      </c>
      <c r="B2323" s="1">
        <v>1740010932</v>
      </c>
      <c r="C2323" s="1">
        <v>8</v>
      </c>
      <c r="D2323" s="1" t="s">
        <v>4658</v>
      </c>
      <c r="E2323" t="s">
        <v>4687</v>
      </c>
      <c r="F2323" s="1">
        <v>624874</v>
      </c>
      <c r="G2323" s="1">
        <v>1116613193</v>
      </c>
      <c r="H2323" s="1">
        <v>8</v>
      </c>
      <c r="I2323" s="1" t="s">
        <v>4723</v>
      </c>
      <c r="J2323" t="s">
        <v>4724</v>
      </c>
    </row>
    <row r="2324" spans="1:10">
      <c r="A2324" s="1">
        <v>132407</v>
      </c>
      <c r="B2324" s="1">
        <v>1740010505</v>
      </c>
      <c r="C2324" s="1">
        <v>24</v>
      </c>
      <c r="D2324" s="1" t="s">
        <v>394</v>
      </c>
      <c r="E2324" t="s">
        <v>4688</v>
      </c>
      <c r="F2324" s="1">
        <v>132118</v>
      </c>
      <c r="G2324" s="1">
        <v>1116613200</v>
      </c>
      <c r="H2324" s="1">
        <v>12</v>
      </c>
      <c r="I2324" s="1" t="s">
        <v>4470</v>
      </c>
      <c r="J2324" t="s">
        <v>4725</v>
      </c>
    </row>
    <row r="2325" spans="1:10">
      <c r="A2325" s="1">
        <v>572552</v>
      </c>
      <c r="B2325" s="1">
        <v>1740011840</v>
      </c>
      <c r="C2325" s="1">
        <v>12</v>
      </c>
      <c r="D2325" s="1" t="s">
        <v>259</v>
      </c>
      <c r="E2325" t="s">
        <v>4689</v>
      </c>
      <c r="F2325" s="1">
        <v>132043</v>
      </c>
      <c r="G2325" s="1">
        <v>1740010150</v>
      </c>
      <c r="H2325" s="1">
        <v>30</v>
      </c>
      <c r="I2325" s="1" t="s">
        <v>381</v>
      </c>
      <c r="J2325" t="s">
        <v>4726</v>
      </c>
    </row>
    <row r="2326" spans="1:10">
      <c r="A2326" s="1">
        <v>43604</v>
      </c>
      <c r="B2326" s="1">
        <v>1740011845</v>
      </c>
      <c r="C2326" s="1">
        <v>12</v>
      </c>
      <c r="D2326" s="1" t="s">
        <v>259</v>
      </c>
      <c r="E2326" t="s">
        <v>4690</v>
      </c>
      <c r="F2326" s="1">
        <v>132084</v>
      </c>
      <c r="G2326" s="1">
        <v>1740010270</v>
      </c>
      <c r="H2326" s="1">
        <v>18</v>
      </c>
      <c r="I2326" s="1" t="s">
        <v>375</v>
      </c>
      <c r="J2326" t="s">
        <v>4726</v>
      </c>
    </row>
    <row r="2327" spans="1:10">
      <c r="A2327" s="1">
        <v>237487</v>
      </c>
      <c r="B2327" s="1">
        <v>1740011850</v>
      </c>
      <c r="C2327" s="1">
        <v>18</v>
      </c>
      <c r="D2327" s="1" t="s">
        <v>954</v>
      </c>
      <c r="E2327" t="s">
        <v>4690</v>
      </c>
      <c r="F2327" s="1">
        <v>132894</v>
      </c>
      <c r="G2327" s="1">
        <v>1740010975</v>
      </c>
      <c r="H2327" s="1">
        <v>8</v>
      </c>
      <c r="I2327" s="1" t="s">
        <v>4658</v>
      </c>
      <c r="J2327" t="s">
        <v>4727</v>
      </c>
    </row>
    <row r="2328" spans="1:10">
      <c r="A2328" s="1">
        <v>524298</v>
      </c>
      <c r="B2328" s="1">
        <v>1740011805</v>
      </c>
      <c r="C2328" s="1">
        <v>18</v>
      </c>
      <c r="D2328" s="1" t="s">
        <v>259</v>
      </c>
      <c r="E2328" t="s">
        <v>4691</v>
      </c>
      <c r="F2328" s="1">
        <v>444935</v>
      </c>
      <c r="G2328" s="1">
        <v>1740011810</v>
      </c>
      <c r="H2328" s="1">
        <v>18</v>
      </c>
      <c r="I2328" s="1" t="s">
        <v>954</v>
      </c>
      <c r="J2328" t="s">
        <v>4728</v>
      </c>
    </row>
    <row r="2329" spans="1:10">
      <c r="A2329" s="1">
        <v>513242</v>
      </c>
      <c r="B2329" s="1">
        <v>1740011830</v>
      </c>
      <c r="C2329" s="1">
        <v>12</v>
      </c>
      <c r="D2329" s="1" t="s">
        <v>259</v>
      </c>
      <c r="E2329" t="s">
        <v>4692</v>
      </c>
      <c r="F2329" s="1">
        <v>455576</v>
      </c>
      <c r="G2329" s="1">
        <v>4113030794</v>
      </c>
      <c r="H2329" s="1">
        <v>6</v>
      </c>
      <c r="I2329" s="1" t="s">
        <v>4658</v>
      </c>
      <c r="J2329" t="s">
        <v>4729</v>
      </c>
    </row>
    <row r="2330" spans="1:10">
      <c r="A2330" s="1">
        <v>254235</v>
      </c>
      <c r="B2330" s="1">
        <v>1740014004</v>
      </c>
      <c r="C2330" s="1">
        <v>8</v>
      </c>
      <c r="D2330" s="1" t="s">
        <v>524</v>
      </c>
      <c r="E2330" t="s">
        <v>4693</v>
      </c>
      <c r="F2330" s="1">
        <v>736983</v>
      </c>
      <c r="G2330" s="1">
        <v>4113030732</v>
      </c>
      <c r="H2330" s="1">
        <v>4</v>
      </c>
      <c r="I2330" s="1" t="s">
        <v>4719</v>
      </c>
      <c r="J2330" t="s">
        <v>4730</v>
      </c>
    </row>
    <row r="2331" spans="1:10">
      <c r="A2331" s="1">
        <v>642744</v>
      </c>
      <c r="B2331" s="1">
        <v>1740014001</v>
      </c>
      <c r="C2331" s="1">
        <v>8</v>
      </c>
      <c r="D2331" s="1" t="s">
        <v>524</v>
      </c>
      <c r="E2331" t="s">
        <v>4694</v>
      </c>
      <c r="F2331" s="1">
        <v>203935</v>
      </c>
      <c r="G2331" s="1">
        <v>1740010041</v>
      </c>
      <c r="H2331" s="1">
        <v>8</v>
      </c>
      <c r="I2331" s="1" t="s">
        <v>375</v>
      </c>
      <c r="J2331" t="s">
        <v>4731</v>
      </c>
    </row>
    <row r="2332" spans="1:10">
      <c r="A2332" s="1">
        <v>677500</v>
      </c>
      <c r="B2332" s="1">
        <v>1740014003</v>
      </c>
      <c r="C2332" s="1">
        <v>8</v>
      </c>
      <c r="D2332" s="1" t="s">
        <v>524</v>
      </c>
      <c r="E2332" t="s">
        <v>4695</v>
      </c>
      <c r="F2332" s="1">
        <v>203943</v>
      </c>
      <c r="G2332" s="1">
        <v>1740010076</v>
      </c>
      <c r="H2332" s="1">
        <v>12</v>
      </c>
      <c r="I2332" s="1" t="s">
        <v>259</v>
      </c>
      <c r="J2332" t="s">
        <v>4732</v>
      </c>
    </row>
    <row r="2333" spans="1:10">
      <c r="A2333" s="1">
        <v>210849</v>
      </c>
      <c r="B2333" s="1">
        <v>1530043980</v>
      </c>
      <c r="C2333" s="1">
        <v>12</v>
      </c>
      <c r="D2333" s="1" t="s">
        <v>927</v>
      </c>
      <c r="E2333" t="s">
        <v>4696</v>
      </c>
      <c r="F2333" s="1">
        <v>132266</v>
      </c>
      <c r="G2333" s="1">
        <v>1740010077</v>
      </c>
      <c r="H2333" s="1">
        <v>12</v>
      </c>
      <c r="I2333" s="1" t="s">
        <v>259</v>
      </c>
      <c r="J2333" t="s">
        <v>4733</v>
      </c>
    </row>
    <row r="2334" spans="1:10">
      <c r="A2334" s="1">
        <v>133082</v>
      </c>
      <c r="B2334" s="1">
        <v>1530043028</v>
      </c>
      <c r="C2334" s="1">
        <v>24</v>
      </c>
      <c r="D2334" s="1" t="s">
        <v>1135</v>
      </c>
      <c r="E2334" t="s">
        <v>4697</v>
      </c>
      <c r="F2334" s="1">
        <v>132241</v>
      </c>
      <c r="G2334" s="1">
        <v>1740010017</v>
      </c>
      <c r="H2334" s="1">
        <v>12</v>
      </c>
      <c r="I2334" s="1" t="s">
        <v>360</v>
      </c>
      <c r="J2334" t="s">
        <v>4734</v>
      </c>
    </row>
    <row r="2335" spans="1:10">
      <c r="A2335" s="1">
        <v>164541</v>
      </c>
      <c r="B2335" s="1">
        <v>1530043065</v>
      </c>
      <c r="C2335" s="1">
        <v>12</v>
      </c>
      <c r="D2335" s="1" t="s">
        <v>1135</v>
      </c>
      <c r="E2335" t="s">
        <v>4698</v>
      </c>
      <c r="F2335" s="1">
        <v>136192</v>
      </c>
      <c r="G2335" s="1">
        <v>1740010078</v>
      </c>
      <c r="H2335" s="1">
        <v>12</v>
      </c>
      <c r="I2335" s="1" t="s">
        <v>259</v>
      </c>
      <c r="J2335" t="s">
        <v>4735</v>
      </c>
    </row>
    <row r="2336" spans="1:10">
      <c r="A2336" s="1">
        <v>141366</v>
      </c>
      <c r="B2336" s="1">
        <v>1530043024</v>
      </c>
      <c r="C2336" s="1">
        <v>12</v>
      </c>
      <c r="D2336" s="1" t="s">
        <v>465</v>
      </c>
      <c r="E2336" t="s">
        <v>4699</v>
      </c>
      <c r="F2336" s="1">
        <v>132068</v>
      </c>
      <c r="G2336" s="1">
        <v>1740010177</v>
      </c>
      <c r="H2336" s="1">
        <v>12</v>
      </c>
      <c r="I2336" s="1" t="s">
        <v>908</v>
      </c>
      <c r="J2336" t="s">
        <v>4736</v>
      </c>
    </row>
    <row r="2337" spans="1:10">
      <c r="A2337" s="1">
        <v>133066</v>
      </c>
      <c r="B2337" s="1">
        <v>1530043023</v>
      </c>
      <c r="C2337" s="1">
        <v>24</v>
      </c>
      <c r="D2337" s="1" t="s">
        <v>4470</v>
      </c>
      <c r="E2337" t="s">
        <v>4700</v>
      </c>
      <c r="F2337" s="1">
        <v>131938</v>
      </c>
      <c r="G2337" s="1">
        <v>1740010207</v>
      </c>
      <c r="H2337" s="1">
        <v>8</v>
      </c>
      <c r="I2337" s="1" t="s">
        <v>375</v>
      </c>
      <c r="J2337" t="s">
        <v>4737</v>
      </c>
    </row>
    <row r="2338" spans="1:10" ht="15.75">
      <c r="A2338" s="4" t="s">
        <v>10741</v>
      </c>
      <c r="B2338" s="2"/>
      <c r="C2338" s="2"/>
      <c r="D2338" s="2"/>
      <c r="E2338" s="3"/>
      <c r="F2338" s="4" t="s">
        <v>10741</v>
      </c>
      <c r="G2338" s="2"/>
      <c r="H2338" s="2"/>
      <c r="I2338" s="2"/>
      <c r="J2338" s="3"/>
    </row>
    <row r="2339" spans="1:10">
      <c r="A2339" s="2" t="s">
        <v>0</v>
      </c>
      <c r="B2339" s="2" t="s">
        <v>1</v>
      </c>
      <c r="C2339" s="2" t="s">
        <v>2</v>
      </c>
      <c r="D2339" s="2" t="s">
        <v>3</v>
      </c>
      <c r="E2339" s="3" t="s">
        <v>4</v>
      </c>
      <c r="F2339" s="2" t="s">
        <v>0</v>
      </c>
      <c r="G2339" s="2" t="s">
        <v>1</v>
      </c>
      <c r="H2339" s="2" t="s">
        <v>2</v>
      </c>
      <c r="I2339" s="2" t="s">
        <v>3</v>
      </c>
      <c r="J2339" s="3" t="s">
        <v>4</v>
      </c>
    </row>
    <row r="2340" spans="1:10">
      <c r="A2340" s="1">
        <v>714006</v>
      </c>
      <c r="B2340" s="1">
        <v>5480003235</v>
      </c>
      <c r="C2340" s="1">
        <v>12</v>
      </c>
      <c r="D2340" s="1" t="s">
        <v>524</v>
      </c>
      <c r="E2340" t="s">
        <v>4738</v>
      </c>
      <c r="F2340" s="1">
        <v>250522</v>
      </c>
      <c r="G2340" s="1">
        <v>5480034429</v>
      </c>
      <c r="H2340" s="1">
        <v>18</v>
      </c>
      <c r="I2340" s="1" t="s">
        <v>954</v>
      </c>
      <c r="J2340" t="s">
        <v>4773</v>
      </c>
    </row>
    <row r="2341" spans="1:10">
      <c r="A2341" s="1">
        <v>143230</v>
      </c>
      <c r="B2341" s="1">
        <v>5480005005</v>
      </c>
      <c r="C2341" s="1">
        <v>12</v>
      </c>
      <c r="D2341" s="1" t="s">
        <v>404</v>
      </c>
      <c r="E2341" t="s">
        <v>4739</v>
      </c>
      <c r="F2341" s="1">
        <v>839894</v>
      </c>
      <c r="G2341" s="1">
        <v>5480023325</v>
      </c>
      <c r="H2341" s="1">
        <v>12</v>
      </c>
      <c r="I2341" s="1" t="s">
        <v>365</v>
      </c>
      <c r="J2341" t="s">
        <v>4774</v>
      </c>
    </row>
    <row r="2342" spans="1:10">
      <c r="A2342" s="1">
        <v>143180</v>
      </c>
      <c r="B2342" s="1">
        <v>5480005109</v>
      </c>
      <c r="C2342" s="1">
        <v>12</v>
      </c>
      <c r="D2342" s="1" t="s">
        <v>404</v>
      </c>
      <c r="E2342" t="s">
        <v>4740</v>
      </c>
      <c r="F2342" s="1">
        <v>149617</v>
      </c>
      <c r="G2342" s="1">
        <v>5480023334</v>
      </c>
      <c r="H2342" s="1">
        <v>12</v>
      </c>
      <c r="I2342" s="1" t="s">
        <v>365</v>
      </c>
      <c r="J2342" t="s">
        <v>4775</v>
      </c>
    </row>
    <row r="2343" spans="1:10">
      <c r="A2343" s="1">
        <v>143214</v>
      </c>
      <c r="B2343" s="1">
        <v>5480005306</v>
      </c>
      <c r="C2343" s="1">
        <v>12</v>
      </c>
      <c r="D2343" s="1" t="s">
        <v>404</v>
      </c>
      <c r="E2343" t="s">
        <v>4741</v>
      </c>
      <c r="F2343" s="1">
        <v>345108</v>
      </c>
      <c r="G2343" s="1">
        <v>5480023335</v>
      </c>
      <c r="H2343" s="1">
        <v>12</v>
      </c>
      <c r="I2343" s="1" t="s">
        <v>365</v>
      </c>
      <c r="J2343" t="s">
        <v>4776</v>
      </c>
    </row>
    <row r="2344" spans="1:10">
      <c r="A2344" s="1">
        <v>143172</v>
      </c>
      <c r="B2344" s="1">
        <v>5480005204</v>
      </c>
      <c r="C2344" s="1">
        <v>12</v>
      </c>
      <c r="D2344" s="1" t="s">
        <v>404</v>
      </c>
      <c r="E2344" t="s">
        <v>4742</v>
      </c>
      <c r="F2344" s="1">
        <v>788018</v>
      </c>
      <c r="G2344" s="1">
        <v>7142901001</v>
      </c>
      <c r="H2344" s="1">
        <v>12</v>
      </c>
      <c r="I2344" s="1" t="s">
        <v>527</v>
      </c>
      <c r="J2344" t="s">
        <v>4777</v>
      </c>
    </row>
    <row r="2345" spans="1:10">
      <c r="A2345" s="1">
        <v>143222</v>
      </c>
      <c r="B2345" s="1">
        <v>5480005103</v>
      </c>
      <c r="C2345" s="1">
        <v>12</v>
      </c>
      <c r="D2345" s="1" t="s">
        <v>404</v>
      </c>
      <c r="E2345" t="s">
        <v>4743</v>
      </c>
      <c r="F2345" s="1">
        <v>131227</v>
      </c>
      <c r="G2345" s="1">
        <v>7142909961</v>
      </c>
      <c r="H2345" s="1">
        <v>12</v>
      </c>
      <c r="I2345" s="1" t="s">
        <v>399</v>
      </c>
      <c r="J2345" t="s">
        <v>4778</v>
      </c>
    </row>
    <row r="2346" spans="1:10">
      <c r="A2346" s="1">
        <v>37887</v>
      </c>
      <c r="B2346" s="1">
        <v>5480012001</v>
      </c>
      <c r="C2346" s="1">
        <v>12</v>
      </c>
      <c r="D2346" s="1" t="s">
        <v>259</v>
      </c>
      <c r="E2346" t="s">
        <v>4744</v>
      </c>
      <c r="F2346" s="1">
        <v>358879</v>
      </c>
      <c r="G2346" s="1">
        <v>7142901000</v>
      </c>
      <c r="H2346" s="1">
        <v>12</v>
      </c>
      <c r="I2346" s="1" t="s">
        <v>4779</v>
      </c>
      <c r="J2346" t="s">
        <v>4780</v>
      </c>
    </row>
    <row r="2347" spans="1:10">
      <c r="A2347" s="1">
        <v>713990</v>
      </c>
      <c r="B2347" s="1">
        <v>5480003234</v>
      </c>
      <c r="C2347" s="1">
        <v>12</v>
      </c>
      <c r="D2347" s="1" t="s">
        <v>524</v>
      </c>
      <c r="E2347" t="s">
        <v>4745</v>
      </c>
      <c r="F2347" s="1">
        <v>130740</v>
      </c>
      <c r="G2347" s="1">
        <v>7142909101</v>
      </c>
      <c r="H2347" s="1">
        <v>12</v>
      </c>
      <c r="I2347" s="1" t="s">
        <v>360</v>
      </c>
      <c r="J2347" t="s">
        <v>4781</v>
      </c>
    </row>
    <row r="2348" spans="1:10">
      <c r="A2348" s="1">
        <v>813014</v>
      </c>
      <c r="B2348" s="1">
        <v>5480023271</v>
      </c>
      <c r="C2348" s="1">
        <v>12</v>
      </c>
      <c r="D2348" s="1" t="s">
        <v>404</v>
      </c>
      <c r="E2348" t="s">
        <v>4746</v>
      </c>
      <c r="F2348" s="1">
        <v>130971</v>
      </c>
      <c r="G2348" s="1">
        <v>7142909523</v>
      </c>
      <c r="H2348" s="1">
        <v>12</v>
      </c>
      <c r="I2348" s="1" t="s">
        <v>399</v>
      </c>
      <c r="J2348" t="s">
        <v>4782</v>
      </c>
    </row>
    <row r="2349" spans="1:10">
      <c r="A2349" s="1">
        <v>132589</v>
      </c>
      <c r="B2349" s="1">
        <v>5480002107</v>
      </c>
      <c r="C2349" s="1">
        <v>12</v>
      </c>
      <c r="D2349" s="1" t="s">
        <v>4478</v>
      </c>
      <c r="E2349" t="s">
        <v>4747</v>
      </c>
      <c r="F2349" s="1">
        <v>428284</v>
      </c>
      <c r="G2349" s="1">
        <v>7142909980</v>
      </c>
      <c r="H2349" s="1">
        <v>12</v>
      </c>
      <c r="I2349" s="1" t="s">
        <v>399</v>
      </c>
      <c r="J2349" t="s">
        <v>4783</v>
      </c>
    </row>
    <row r="2350" spans="1:10">
      <c r="A2350" s="1">
        <v>188920</v>
      </c>
      <c r="B2350" s="1">
        <v>5480035705</v>
      </c>
      <c r="C2350" s="1">
        <v>12</v>
      </c>
      <c r="D2350" s="1" t="s">
        <v>259</v>
      </c>
      <c r="E2350" t="s">
        <v>4748</v>
      </c>
      <c r="F2350" s="1">
        <v>773267</v>
      </c>
      <c r="G2350" s="1">
        <v>7142909983</v>
      </c>
      <c r="H2350" s="1">
        <v>12</v>
      </c>
      <c r="I2350" s="1" t="s">
        <v>399</v>
      </c>
      <c r="J2350" t="s">
        <v>4784</v>
      </c>
    </row>
    <row r="2351" spans="1:10">
      <c r="A2351" s="1">
        <v>143206</v>
      </c>
      <c r="B2351" s="1">
        <v>5480005201</v>
      </c>
      <c r="C2351" s="1">
        <v>12</v>
      </c>
      <c r="D2351" s="1" t="s">
        <v>404</v>
      </c>
      <c r="E2351" t="s">
        <v>4749</v>
      </c>
      <c r="F2351" s="1">
        <v>349480</v>
      </c>
      <c r="G2351" s="1">
        <v>7142909985</v>
      </c>
      <c r="H2351" s="1">
        <v>12</v>
      </c>
      <c r="I2351" s="1" t="s">
        <v>399</v>
      </c>
      <c r="J2351" t="s">
        <v>4785</v>
      </c>
    </row>
    <row r="2352" spans="1:10">
      <c r="A2352" s="1">
        <v>243923</v>
      </c>
      <c r="B2352" s="1">
        <v>5480034445</v>
      </c>
      <c r="C2352" s="1">
        <v>12</v>
      </c>
      <c r="D2352" s="1" t="s">
        <v>365</v>
      </c>
      <c r="E2352" t="s">
        <v>4750</v>
      </c>
      <c r="F2352" s="1">
        <v>130898</v>
      </c>
      <c r="G2352" s="1">
        <v>7142909849</v>
      </c>
      <c r="H2352" s="1">
        <v>12</v>
      </c>
      <c r="I2352" s="1" t="s">
        <v>399</v>
      </c>
      <c r="J2352" t="s">
        <v>4786</v>
      </c>
    </row>
    <row r="2353" spans="1:10">
      <c r="A2353" s="1">
        <v>570176</v>
      </c>
      <c r="B2353" s="1">
        <v>5480008547</v>
      </c>
      <c r="C2353" s="1">
        <v>12</v>
      </c>
      <c r="D2353" s="1" t="s">
        <v>524</v>
      </c>
      <c r="E2353" t="s">
        <v>4751</v>
      </c>
      <c r="F2353" s="1">
        <v>130732</v>
      </c>
      <c r="G2353" s="1">
        <v>7142909943</v>
      </c>
      <c r="H2353" s="1">
        <v>12</v>
      </c>
      <c r="I2353" s="1" t="s">
        <v>360</v>
      </c>
      <c r="J2353" t="s">
        <v>4787</v>
      </c>
    </row>
    <row r="2354" spans="1:10">
      <c r="A2354" s="1">
        <v>453431</v>
      </c>
      <c r="B2354" s="1">
        <v>5480028720</v>
      </c>
      <c r="C2354" s="1">
        <v>12</v>
      </c>
      <c r="D2354" s="1" t="s">
        <v>365</v>
      </c>
      <c r="E2354" t="s">
        <v>4752</v>
      </c>
      <c r="F2354" s="1">
        <v>196170</v>
      </c>
      <c r="G2354" s="1">
        <v>7142909705</v>
      </c>
      <c r="H2354" s="1">
        <v>12</v>
      </c>
      <c r="I2354" s="1" t="s">
        <v>3881</v>
      </c>
      <c r="J2354" t="s">
        <v>4788</v>
      </c>
    </row>
    <row r="2355" spans="1:10">
      <c r="A2355" s="1">
        <v>523274</v>
      </c>
      <c r="B2355" s="1">
        <v>5480034446</v>
      </c>
      <c r="C2355" s="1">
        <v>12</v>
      </c>
      <c r="D2355" s="1" t="s">
        <v>365</v>
      </c>
      <c r="E2355" t="s">
        <v>4753</v>
      </c>
      <c r="F2355" s="1">
        <v>130559</v>
      </c>
      <c r="G2355" s="1">
        <v>7142909840</v>
      </c>
      <c r="H2355" s="1">
        <v>12</v>
      </c>
      <c r="I2355" s="1" t="s">
        <v>360</v>
      </c>
      <c r="J2355" t="s">
        <v>4789</v>
      </c>
    </row>
    <row r="2356" spans="1:10">
      <c r="A2356" s="1">
        <v>570168</v>
      </c>
      <c r="B2356" s="1">
        <v>5480008545</v>
      </c>
      <c r="C2356" s="1">
        <v>12</v>
      </c>
      <c r="D2356" s="1" t="s">
        <v>524</v>
      </c>
      <c r="E2356" t="s">
        <v>4754</v>
      </c>
      <c r="F2356" s="1">
        <v>130807</v>
      </c>
      <c r="G2356" s="1">
        <v>7142909535</v>
      </c>
      <c r="H2356" s="1">
        <v>12</v>
      </c>
      <c r="I2356" s="1" t="s">
        <v>399</v>
      </c>
      <c r="J2356" t="s">
        <v>4790</v>
      </c>
    </row>
    <row r="2357" spans="1:10">
      <c r="A2357" s="1">
        <v>143354</v>
      </c>
      <c r="B2357" s="1">
        <v>5480008546</v>
      </c>
      <c r="C2357" s="1">
        <v>12</v>
      </c>
      <c r="D2357" s="1" t="s">
        <v>524</v>
      </c>
      <c r="E2357" t="s">
        <v>4755</v>
      </c>
      <c r="F2357" s="1">
        <v>147405</v>
      </c>
      <c r="G2357" s="1">
        <v>7142909950</v>
      </c>
      <c r="H2357" s="1">
        <v>12</v>
      </c>
      <c r="I2357" s="1" t="s">
        <v>3881</v>
      </c>
      <c r="J2357" t="s">
        <v>4791</v>
      </c>
    </row>
    <row r="2358" spans="1:10">
      <c r="A2358" s="1">
        <v>247189</v>
      </c>
      <c r="B2358" s="1">
        <v>5480003177</v>
      </c>
      <c r="C2358" s="1">
        <v>12</v>
      </c>
      <c r="D2358" s="1" t="s">
        <v>524</v>
      </c>
      <c r="E2358" t="s">
        <v>4756</v>
      </c>
      <c r="F2358" s="1">
        <v>130823</v>
      </c>
      <c r="G2358" s="1">
        <v>7142909945</v>
      </c>
      <c r="H2358" s="1">
        <v>12</v>
      </c>
      <c r="I2358" s="1" t="s">
        <v>399</v>
      </c>
      <c r="J2358" t="s">
        <v>4792</v>
      </c>
    </row>
    <row r="2359" spans="1:10">
      <c r="A2359" s="1">
        <v>345611</v>
      </c>
      <c r="B2359" s="1">
        <v>5480020762</v>
      </c>
      <c r="C2359" s="1">
        <v>12</v>
      </c>
      <c r="D2359" s="1" t="s">
        <v>365</v>
      </c>
      <c r="E2359" t="s">
        <v>4757</v>
      </c>
      <c r="F2359" s="1">
        <v>232900</v>
      </c>
      <c r="G2359" s="1">
        <v>7142909714</v>
      </c>
      <c r="H2359" s="1">
        <v>12</v>
      </c>
      <c r="I2359" s="1" t="s">
        <v>399</v>
      </c>
      <c r="J2359" t="s">
        <v>4793</v>
      </c>
    </row>
    <row r="2360" spans="1:10">
      <c r="A2360" s="1">
        <v>247122</v>
      </c>
      <c r="B2360" s="1">
        <v>5480003077</v>
      </c>
      <c r="C2360" s="1">
        <v>12</v>
      </c>
      <c r="D2360" s="1" t="s">
        <v>524</v>
      </c>
      <c r="E2360" t="s">
        <v>4758</v>
      </c>
      <c r="F2360" s="1">
        <v>130815</v>
      </c>
      <c r="G2360" s="1">
        <v>7142909770</v>
      </c>
      <c r="H2360" s="1">
        <v>12</v>
      </c>
      <c r="I2360" s="1" t="s">
        <v>1763</v>
      </c>
      <c r="J2360" t="s">
        <v>4794</v>
      </c>
    </row>
    <row r="2361" spans="1:10" ht="15.75">
      <c r="A2361" s="1">
        <v>247312</v>
      </c>
      <c r="B2361" s="1">
        <v>5480003176</v>
      </c>
      <c r="C2361" s="1">
        <v>12</v>
      </c>
      <c r="D2361" s="1" t="s">
        <v>524</v>
      </c>
      <c r="E2361" t="s">
        <v>4759</v>
      </c>
      <c r="F2361" s="4" t="s">
        <v>10743</v>
      </c>
      <c r="G2361" s="2"/>
      <c r="H2361" s="2"/>
      <c r="I2361" s="2"/>
      <c r="J2361" s="3"/>
    </row>
    <row r="2362" spans="1:10">
      <c r="A2362" s="1">
        <v>247148</v>
      </c>
      <c r="B2362" s="1">
        <v>5480003076</v>
      </c>
      <c r="C2362" s="1">
        <v>12</v>
      </c>
      <c r="D2362" s="1" t="s">
        <v>524</v>
      </c>
      <c r="E2362" t="s">
        <v>4760</v>
      </c>
      <c r="F2362" s="2" t="s">
        <v>0</v>
      </c>
      <c r="G2362" s="2" t="s">
        <v>1</v>
      </c>
      <c r="H2362" s="2" t="s">
        <v>2</v>
      </c>
      <c r="I2362" s="2" t="s">
        <v>3</v>
      </c>
      <c r="J2362" s="3" t="s">
        <v>4</v>
      </c>
    </row>
    <row r="2363" spans="1:10">
      <c r="A2363" s="1">
        <v>247718</v>
      </c>
      <c r="B2363" s="1">
        <v>5480003080</v>
      </c>
      <c r="C2363" s="1">
        <v>12</v>
      </c>
      <c r="D2363" s="1" t="s">
        <v>524</v>
      </c>
      <c r="E2363" t="s">
        <v>4761</v>
      </c>
      <c r="F2363" s="1">
        <v>184994</v>
      </c>
      <c r="G2363" s="1">
        <v>2520000116</v>
      </c>
      <c r="H2363" s="1">
        <v>12</v>
      </c>
      <c r="I2363" s="1" t="s">
        <v>938</v>
      </c>
      <c r="J2363" t="s">
        <v>4795</v>
      </c>
    </row>
    <row r="2364" spans="1:10">
      <c r="A2364" s="1">
        <v>132795</v>
      </c>
      <c r="B2364" s="1">
        <v>5480004528</v>
      </c>
      <c r="C2364" s="1">
        <v>12</v>
      </c>
      <c r="D2364" s="1" t="s">
        <v>1815</v>
      </c>
      <c r="E2364" t="s">
        <v>4762</v>
      </c>
      <c r="F2364" s="1">
        <v>184432</v>
      </c>
      <c r="G2364" s="1">
        <v>2520000114</v>
      </c>
      <c r="H2364" s="1">
        <v>12</v>
      </c>
      <c r="I2364" s="1" t="s">
        <v>938</v>
      </c>
      <c r="J2364" t="s">
        <v>4796</v>
      </c>
    </row>
    <row r="2365" spans="1:10">
      <c r="A2365" s="1">
        <v>132811</v>
      </c>
      <c r="B2365" s="1">
        <v>5480004023</v>
      </c>
      <c r="C2365" s="1">
        <v>12</v>
      </c>
      <c r="D2365" s="1" t="s">
        <v>3661</v>
      </c>
      <c r="E2365" t="s">
        <v>4763</v>
      </c>
      <c r="F2365" s="1">
        <v>184390</v>
      </c>
      <c r="G2365" s="1">
        <v>2520000113</v>
      </c>
      <c r="H2365" s="1">
        <v>12</v>
      </c>
      <c r="I2365" s="1" t="s">
        <v>938</v>
      </c>
      <c r="J2365" t="s">
        <v>4797</v>
      </c>
    </row>
    <row r="2366" spans="1:10">
      <c r="A2366" s="1">
        <v>356394</v>
      </c>
      <c r="B2366" s="1">
        <v>5480001024</v>
      </c>
      <c r="C2366" s="1">
        <v>4</v>
      </c>
      <c r="D2366" s="1" t="s">
        <v>4719</v>
      </c>
      <c r="E2366" t="s">
        <v>4764</v>
      </c>
      <c r="F2366" s="1">
        <v>185033</v>
      </c>
      <c r="G2366" s="1">
        <v>2520000118</v>
      </c>
      <c r="H2366" s="1">
        <v>12</v>
      </c>
      <c r="I2366" s="1" t="s">
        <v>938</v>
      </c>
      <c r="J2366" t="s">
        <v>4798</v>
      </c>
    </row>
    <row r="2367" spans="1:10">
      <c r="A2367" s="1">
        <v>232025</v>
      </c>
      <c r="B2367" s="1">
        <v>5480001002</v>
      </c>
      <c r="C2367" s="1">
        <v>12</v>
      </c>
      <c r="D2367" s="1" t="s">
        <v>381</v>
      </c>
      <c r="E2367" t="s">
        <v>4764</v>
      </c>
      <c r="F2367" s="1">
        <v>184374</v>
      </c>
      <c r="G2367" s="1">
        <v>2520000611</v>
      </c>
      <c r="H2367" s="1">
        <v>12</v>
      </c>
      <c r="I2367" s="1" t="s">
        <v>938</v>
      </c>
      <c r="J2367" t="s">
        <v>4799</v>
      </c>
    </row>
    <row r="2368" spans="1:10">
      <c r="A2368" s="1">
        <v>132530</v>
      </c>
      <c r="B2368" s="1">
        <v>5480001008</v>
      </c>
      <c r="C2368" s="1">
        <v>18</v>
      </c>
      <c r="D2368" s="1" t="s">
        <v>375</v>
      </c>
      <c r="E2368" t="s">
        <v>4764</v>
      </c>
      <c r="F2368" s="1">
        <v>184606</v>
      </c>
      <c r="G2368" s="1">
        <v>2520000102</v>
      </c>
      <c r="H2368" s="1">
        <v>12</v>
      </c>
      <c r="I2368" s="1" t="s">
        <v>938</v>
      </c>
      <c r="J2368" t="s">
        <v>4800</v>
      </c>
    </row>
    <row r="2369" spans="1:10">
      <c r="A2369" s="1">
        <v>132621</v>
      </c>
      <c r="B2369" s="1">
        <v>5480001009</v>
      </c>
      <c r="C2369" s="1">
        <v>12</v>
      </c>
      <c r="D2369" s="1" t="s">
        <v>865</v>
      </c>
      <c r="E2369" t="s">
        <v>4764</v>
      </c>
      <c r="F2369" s="1">
        <v>29330</v>
      </c>
      <c r="G2369" s="1">
        <v>3000007200</v>
      </c>
      <c r="H2369" s="1">
        <v>12</v>
      </c>
      <c r="I2369" s="1" t="s">
        <v>381</v>
      </c>
      <c r="J2369" t="s">
        <v>4801</v>
      </c>
    </row>
    <row r="2370" spans="1:10">
      <c r="A2370" s="1">
        <v>132670</v>
      </c>
      <c r="B2370" s="1">
        <v>5480001007</v>
      </c>
      <c r="C2370" s="1">
        <v>6</v>
      </c>
      <c r="D2370" s="1" t="s">
        <v>4650</v>
      </c>
      <c r="E2370" t="s">
        <v>4764</v>
      </c>
      <c r="F2370" s="1">
        <v>183970</v>
      </c>
      <c r="G2370" s="1">
        <v>1116618397</v>
      </c>
      <c r="H2370" s="1">
        <v>12</v>
      </c>
      <c r="I2370" s="1" t="s">
        <v>938</v>
      </c>
      <c r="J2370" t="s">
        <v>4802</v>
      </c>
    </row>
    <row r="2371" spans="1:10">
      <c r="A2371" s="1">
        <v>143263</v>
      </c>
      <c r="B2371" s="1">
        <v>5480005009</v>
      </c>
      <c r="C2371" s="1">
        <v>12</v>
      </c>
      <c r="D2371" s="1" t="s">
        <v>404</v>
      </c>
      <c r="E2371" t="s">
        <v>4765</v>
      </c>
      <c r="F2371" s="1">
        <v>183772</v>
      </c>
      <c r="G2371" s="1">
        <v>1116618377</v>
      </c>
      <c r="H2371" s="1">
        <v>24</v>
      </c>
      <c r="I2371" s="1" t="s">
        <v>1973</v>
      </c>
      <c r="J2371" t="s">
        <v>4803</v>
      </c>
    </row>
    <row r="2372" spans="1:10">
      <c r="A2372" s="1">
        <v>132688</v>
      </c>
      <c r="B2372" s="1">
        <v>5480004200</v>
      </c>
      <c r="C2372" s="1">
        <v>12</v>
      </c>
      <c r="D2372" s="1" t="s">
        <v>259</v>
      </c>
      <c r="E2372" t="s">
        <v>4766</v>
      </c>
      <c r="F2372" s="1">
        <v>183871</v>
      </c>
      <c r="G2372" s="1">
        <v>1116618387</v>
      </c>
      <c r="H2372" s="1">
        <v>24</v>
      </c>
      <c r="I2372" s="1" t="s">
        <v>1973</v>
      </c>
      <c r="J2372" t="s">
        <v>4804</v>
      </c>
    </row>
    <row r="2373" spans="1:10">
      <c r="A2373" s="1">
        <v>232678</v>
      </c>
      <c r="B2373" s="1">
        <v>5480002001</v>
      </c>
      <c r="C2373" s="1">
        <v>12</v>
      </c>
      <c r="D2373" s="1" t="s">
        <v>404</v>
      </c>
      <c r="E2373" t="s">
        <v>4767</v>
      </c>
      <c r="F2373" s="1">
        <v>183780</v>
      </c>
      <c r="G2373" s="1">
        <v>1116618378</v>
      </c>
      <c r="H2373" s="1">
        <v>24</v>
      </c>
      <c r="I2373" s="1" t="s">
        <v>1973</v>
      </c>
      <c r="J2373" t="s">
        <v>4805</v>
      </c>
    </row>
    <row r="2374" spans="1:10">
      <c r="A2374" s="1">
        <v>143255</v>
      </c>
      <c r="B2374" s="1">
        <v>5480005101</v>
      </c>
      <c r="C2374" s="1">
        <v>12</v>
      </c>
      <c r="D2374" s="1" t="s">
        <v>404</v>
      </c>
      <c r="E2374" t="s">
        <v>4768</v>
      </c>
      <c r="F2374" s="1">
        <v>180075</v>
      </c>
      <c r="G2374" s="1">
        <v>1116618007</v>
      </c>
      <c r="H2374" s="1">
        <v>12</v>
      </c>
      <c r="I2374" s="1" t="s">
        <v>860</v>
      </c>
      <c r="J2374" t="s">
        <v>3852</v>
      </c>
    </row>
    <row r="2375" spans="1:10">
      <c r="A2375" s="1">
        <v>132522</v>
      </c>
      <c r="B2375" s="1">
        <v>5480002011</v>
      </c>
      <c r="C2375" s="1">
        <v>12</v>
      </c>
      <c r="D2375" s="1" t="s">
        <v>920</v>
      </c>
      <c r="E2375" t="s">
        <v>4769</v>
      </c>
      <c r="F2375" s="1">
        <v>183814</v>
      </c>
      <c r="G2375" s="1">
        <v>1116618381</v>
      </c>
      <c r="H2375" s="1">
        <v>24</v>
      </c>
      <c r="I2375" s="1" t="s">
        <v>1973</v>
      </c>
      <c r="J2375" t="s">
        <v>4806</v>
      </c>
    </row>
    <row r="2376" spans="1:10">
      <c r="A2376" s="1">
        <v>132787</v>
      </c>
      <c r="B2376" s="1">
        <v>5480002103</v>
      </c>
      <c r="C2376" s="1">
        <v>12</v>
      </c>
      <c r="D2376" s="1" t="s">
        <v>404</v>
      </c>
      <c r="E2376" t="s">
        <v>4770</v>
      </c>
      <c r="F2376" s="1">
        <v>180059</v>
      </c>
      <c r="G2376" s="1">
        <v>1116618005</v>
      </c>
      <c r="H2376" s="1">
        <v>12</v>
      </c>
      <c r="I2376" s="1" t="s">
        <v>860</v>
      </c>
      <c r="J2376" t="s">
        <v>4807</v>
      </c>
    </row>
    <row r="2377" spans="1:10">
      <c r="A2377" s="1">
        <v>412387</v>
      </c>
      <c r="B2377" s="1">
        <v>5480023273</v>
      </c>
      <c r="C2377" s="1">
        <v>12</v>
      </c>
      <c r="D2377" s="1" t="s">
        <v>404</v>
      </c>
      <c r="E2377" t="s">
        <v>4771</v>
      </c>
      <c r="F2377" s="1">
        <v>183855</v>
      </c>
      <c r="G2377" s="1">
        <v>1116618385</v>
      </c>
      <c r="H2377" s="1">
        <v>24</v>
      </c>
      <c r="I2377" s="1" t="s">
        <v>1973</v>
      </c>
      <c r="J2377" t="s">
        <v>4808</v>
      </c>
    </row>
    <row r="2378" spans="1:10">
      <c r="A2378" s="1">
        <v>584508</v>
      </c>
      <c r="B2378" s="1">
        <v>5480033905</v>
      </c>
      <c r="C2378" s="1">
        <v>12</v>
      </c>
      <c r="D2378" s="1" t="s">
        <v>259</v>
      </c>
      <c r="E2378" t="s">
        <v>4772</v>
      </c>
      <c r="F2378" s="1">
        <v>183822</v>
      </c>
      <c r="G2378" s="1">
        <v>1116618382</v>
      </c>
      <c r="H2378" s="1">
        <v>24</v>
      </c>
      <c r="I2378" s="1" t="s">
        <v>1973</v>
      </c>
      <c r="J2378" t="s">
        <v>4809</v>
      </c>
    </row>
    <row r="2379" spans="1:10" ht="15.75">
      <c r="A2379" s="4" t="s">
        <v>10744</v>
      </c>
      <c r="B2379" s="2"/>
      <c r="C2379" s="2"/>
      <c r="D2379" s="2"/>
      <c r="E2379" s="3"/>
      <c r="F2379" s="4" t="s">
        <v>10745</v>
      </c>
      <c r="G2379" s="2"/>
      <c r="H2379" s="2"/>
      <c r="I2379" s="2"/>
      <c r="J2379" s="3"/>
    </row>
    <row r="2380" spans="1:10">
      <c r="A2380" s="2" t="s">
        <v>0</v>
      </c>
      <c r="B2380" s="2" t="s">
        <v>1</v>
      </c>
      <c r="C2380" s="2" t="s">
        <v>2</v>
      </c>
      <c r="D2380" s="2" t="s">
        <v>3</v>
      </c>
      <c r="E2380" s="3" t="s">
        <v>4</v>
      </c>
      <c r="F2380" s="2" t="s">
        <v>0</v>
      </c>
      <c r="G2380" s="2" t="s">
        <v>1</v>
      </c>
      <c r="H2380" s="2" t="s">
        <v>2</v>
      </c>
      <c r="I2380" s="2" t="s">
        <v>3</v>
      </c>
      <c r="J2380" s="3" t="s">
        <v>4</v>
      </c>
    </row>
    <row r="2381" spans="1:10">
      <c r="A2381" s="1">
        <v>183798</v>
      </c>
      <c r="B2381" s="1">
        <v>1116618379</v>
      </c>
      <c r="C2381" s="1">
        <v>24</v>
      </c>
      <c r="D2381" s="1" t="s">
        <v>1973</v>
      </c>
      <c r="E2381" t="s">
        <v>4810</v>
      </c>
      <c r="F2381" s="1">
        <v>644427</v>
      </c>
      <c r="G2381" s="1">
        <v>3114625030</v>
      </c>
      <c r="H2381" s="1">
        <v>12</v>
      </c>
      <c r="I2381" s="1" t="s">
        <v>1162</v>
      </c>
      <c r="J2381" t="s">
        <v>4840</v>
      </c>
    </row>
    <row r="2382" spans="1:10">
      <c r="A2382" s="1">
        <v>180034</v>
      </c>
      <c r="B2382" s="1">
        <v>1116618003</v>
      </c>
      <c r="C2382" s="1">
        <v>12</v>
      </c>
      <c r="D2382" s="1" t="s">
        <v>860</v>
      </c>
      <c r="E2382" t="s">
        <v>4811</v>
      </c>
      <c r="F2382" s="1">
        <v>19877</v>
      </c>
      <c r="G2382" s="1">
        <v>3114626257</v>
      </c>
      <c r="H2382" s="1">
        <v>12</v>
      </c>
      <c r="I2382" s="1" t="s">
        <v>1162</v>
      </c>
      <c r="J2382" t="s">
        <v>4841</v>
      </c>
    </row>
    <row r="2383" spans="1:10">
      <c r="A2383" s="1">
        <v>183830</v>
      </c>
      <c r="B2383" s="1">
        <v>1116618383</v>
      </c>
      <c r="C2383" s="1">
        <v>24</v>
      </c>
      <c r="D2383" s="1" t="s">
        <v>1973</v>
      </c>
      <c r="E2383" t="s">
        <v>4812</v>
      </c>
      <c r="F2383" s="1">
        <v>97865</v>
      </c>
      <c r="G2383" s="1">
        <v>1116609786</v>
      </c>
      <c r="H2383" s="1">
        <v>12</v>
      </c>
      <c r="I2383" s="1" t="s">
        <v>4819</v>
      </c>
      <c r="J2383" t="s">
        <v>4842</v>
      </c>
    </row>
    <row r="2384" spans="1:10">
      <c r="A2384" s="1">
        <v>180042</v>
      </c>
      <c r="B2384" s="1">
        <v>1116618004</v>
      </c>
      <c r="C2384" s="1">
        <v>12</v>
      </c>
      <c r="D2384" s="1" t="s">
        <v>860</v>
      </c>
      <c r="E2384" t="s">
        <v>4812</v>
      </c>
      <c r="F2384" s="1">
        <v>170738</v>
      </c>
      <c r="G2384" s="1">
        <v>1116617073</v>
      </c>
      <c r="H2384" s="1">
        <v>12</v>
      </c>
      <c r="I2384" s="1" t="s">
        <v>4819</v>
      </c>
      <c r="J2384" t="s">
        <v>4843</v>
      </c>
    </row>
    <row r="2385" spans="1:10">
      <c r="A2385" s="1">
        <v>183848</v>
      </c>
      <c r="B2385" s="1">
        <v>1116618384</v>
      </c>
      <c r="C2385" s="1">
        <v>24</v>
      </c>
      <c r="D2385" s="1" t="s">
        <v>1973</v>
      </c>
      <c r="E2385" t="s">
        <v>4813</v>
      </c>
      <c r="F2385" s="1">
        <v>500017</v>
      </c>
      <c r="G2385" s="1">
        <v>1116601392</v>
      </c>
      <c r="H2385" s="1">
        <v>24</v>
      </c>
      <c r="I2385" s="1" t="s">
        <v>399</v>
      </c>
      <c r="J2385" t="s">
        <v>4844</v>
      </c>
    </row>
    <row r="2386" spans="1:10">
      <c r="A2386" s="1">
        <v>183863</v>
      </c>
      <c r="B2386" s="1">
        <v>1116618386</v>
      </c>
      <c r="C2386" s="1">
        <v>24</v>
      </c>
      <c r="D2386" s="1" t="s">
        <v>1973</v>
      </c>
      <c r="E2386" t="s">
        <v>4814</v>
      </c>
      <c r="F2386" s="1">
        <v>458893</v>
      </c>
      <c r="G2386" s="1">
        <v>1600017331</v>
      </c>
      <c r="H2386" s="1">
        <v>6</v>
      </c>
      <c r="I2386" s="1" t="s">
        <v>4845</v>
      </c>
      <c r="J2386" t="s">
        <v>4846</v>
      </c>
    </row>
    <row r="2387" spans="1:10">
      <c r="A2387" s="1">
        <v>180067</v>
      </c>
      <c r="B2387" s="1">
        <v>1116618437</v>
      </c>
      <c r="C2387" s="1">
        <v>12</v>
      </c>
      <c r="D2387" s="1" t="s">
        <v>860</v>
      </c>
      <c r="E2387" t="s">
        <v>4814</v>
      </c>
      <c r="F2387" s="1">
        <v>524496</v>
      </c>
      <c r="G2387" s="1">
        <v>1600017332</v>
      </c>
      <c r="H2387" s="1">
        <v>6</v>
      </c>
      <c r="I2387" s="1" t="s">
        <v>1199</v>
      </c>
      <c r="J2387" t="s">
        <v>4847</v>
      </c>
    </row>
    <row r="2388" spans="1:10">
      <c r="A2388" s="1">
        <v>183889</v>
      </c>
      <c r="B2388" s="1">
        <v>1116618388</v>
      </c>
      <c r="C2388" s="1">
        <v>24</v>
      </c>
      <c r="D2388" s="1" t="s">
        <v>1973</v>
      </c>
      <c r="E2388" t="s">
        <v>3694</v>
      </c>
      <c r="F2388" s="1">
        <v>777946</v>
      </c>
      <c r="G2388" s="1">
        <v>1600017333</v>
      </c>
      <c r="H2388" s="1">
        <v>6</v>
      </c>
      <c r="I2388" s="1" t="s">
        <v>4848</v>
      </c>
      <c r="J2388" t="s">
        <v>4849</v>
      </c>
    </row>
    <row r="2389" spans="1:10">
      <c r="A2389" s="1">
        <v>180026</v>
      </c>
      <c r="B2389" s="1">
        <v>1116618002</v>
      </c>
      <c r="C2389" s="1">
        <v>12</v>
      </c>
      <c r="D2389" s="1" t="s">
        <v>860</v>
      </c>
      <c r="E2389" t="s">
        <v>3694</v>
      </c>
      <c r="F2389" s="1">
        <v>42739</v>
      </c>
      <c r="G2389" s="1">
        <v>1600017312</v>
      </c>
      <c r="H2389" s="1">
        <v>6</v>
      </c>
      <c r="I2389" s="1" t="s">
        <v>4850</v>
      </c>
      <c r="J2389" t="s">
        <v>4851</v>
      </c>
    </row>
    <row r="2390" spans="1:10" ht="15.75">
      <c r="A2390" s="1">
        <v>180018</v>
      </c>
      <c r="B2390" s="1">
        <v>1116618001</v>
      </c>
      <c r="C2390" s="1">
        <v>6</v>
      </c>
      <c r="D2390" s="1" t="s">
        <v>4815</v>
      </c>
      <c r="E2390" t="s">
        <v>3694</v>
      </c>
      <c r="F2390" s="4" t="s">
        <v>10746</v>
      </c>
      <c r="G2390" s="2"/>
      <c r="H2390" s="2"/>
      <c r="I2390" s="2"/>
      <c r="J2390" s="3"/>
    </row>
    <row r="2391" spans="1:10">
      <c r="A2391" s="1">
        <v>183806</v>
      </c>
      <c r="B2391" s="1">
        <v>1116618380</v>
      </c>
      <c r="C2391" s="1">
        <v>24</v>
      </c>
      <c r="D2391" s="1" t="s">
        <v>1973</v>
      </c>
      <c r="E2391" t="s">
        <v>4816</v>
      </c>
      <c r="F2391" s="2" t="s">
        <v>0</v>
      </c>
      <c r="G2391" s="2" t="s">
        <v>1</v>
      </c>
      <c r="H2391" s="2" t="s">
        <v>2</v>
      </c>
      <c r="I2391" s="2" t="s">
        <v>3</v>
      </c>
      <c r="J2391" s="3" t="s">
        <v>4</v>
      </c>
    </row>
    <row r="2392" spans="1:10" ht="15.75">
      <c r="A2392" s="4" t="s">
        <v>10745</v>
      </c>
      <c r="B2392" s="2"/>
      <c r="C2392" s="2"/>
      <c r="D2392" s="2"/>
      <c r="E2392" s="3"/>
      <c r="F2392" s="1">
        <v>583542</v>
      </c>
      <c r="G2392" s="1">
        <v>7447100050</v>
      </c>
      <c r="H2392" s="1">
        <v>12</v>
      </c>
      <c r="I2392" s="1" t="s">
        <v>489</v>
      </c>
      <c r="J2392" t="s">
        <v>4852</v>
      </c>
    </row>
    <row r="2393" spans="1:10">
      <c r="A2393" s="2" t="s">
        <v>0</v>
      </c>
      <c r="B2393" s="2" t="s">
        <v>1</v>
      </c>
      <c r="C2393" s="2" t="s">
        <v>2</v>
      </c>
      <c r="D2393" s="2" t="s">
        <v>3</v>
      </c>
      <c r="E2393" s="3" t="s">
        <v>4</v>
      </c>
      <c r="F2393" s="1">
        <v>545921</v>
      </c>
      <c r="G2393" s="1">
        <v>4113027039</v>
      </c>
      <c r="H2393" s="1">
        <v>24</v>
      </c>
      <c r="I2393" s="1" t="s">
        <v>910</v>
      </c>
      <c r="J2393" t="s">
        <v>4853</v>
      </c>
    </row>
    <row r="2394" spans="1:10">
      <c r="A2394" s="1">
        <v>77784</v>
      </c>
      <c r="B2394" s="1">
        <v>7760015844</v>
      </c>
      <c r="C2394" s="1">
        <v>12</v>
      </c>
      <c r="D2394" s="1" t="s">
        <v>399</v>
      </c>
      <c r="E2394" t="s">
        <v>4817</v>
      </c>
      <c r="F2394" s="1">
        <v>10330</v>
      </c>
      <c r="G2394" s="1">
        <v>4113027002</v>
      </c>
      <c r="H2394" s="1">
        <v>24</v>
      </c>
      <c r="I2394" s="1" t="s">
        <v>381</v>
      </c>
      <c r="J2394" t="s">
        <v>4854</v>
      </c>
    </row>
    <row r="2395" spans="1:10">
      <c r="A2395" s="1">
        <v>77974</v>
      </c>
      <c r="B2395" s="1">
        <v>7760015834</v>
      </c>
      <c r="C2395" s="1">
        <v>12</v>
      </c>
      <c r="D2395" s="1" t="s">
        <v>399</v>
      </c>
      <c r="E2395" t="s">
        <v>4818</v>
      </c>
      <c r="F2395" s="1">
        <v>10306</v>
      </c>
      <c r="G2395" s="1">
        <v>4113027000</v>
      </c>
      <c r="H2395" s="1">
        <v>24</v>
      </c>
      <c r="I2395" s="1" t="s">
        <v>381</v>
      </c>
      <c r="J2395" t="s">
        <v>4855</v>
      </c>
    </row>
    <row r="2396" spans="1:10">
      <c r="A2396" s="1">
        <v>171173</v>
      </c>
      <c r="B2396" s="1">
        <v>4139000002</v>
      </c>
      <c r="C2396" s="1">
        <v>12</v>
      </c>
      <c r="D2396" s="1" t="s">
        <v>4819</v>
      </c>
      <c r="E2396" t="s">
        <v>4820</v>
      </c>
      <c r="F2396" s="1">
        <v>428128</v>
      </c>
      <c r="G2396" s="1">
        <v>4113027041</v>
      </c>
      <c r="H2396" s="1">
        <v>12</v>
      </c>
      <c r="I2396" s="1" t="s">
        <v>4856</v>
      </c>
      <c r="J2396" t="s">
        <v>4855</v>
      </c>
    </row>
    <row r="2397" spans="1:10">
      <c r="A2397" s="1">
        <v>171405</v>
      </c>
      <c r="B2397" s="1">
        <v>4139000105</v>
      </c>
      <c r="C2397" s="1">
        <v>12</v>
      </c>
      <c r="D2397" s="1" t="s">
        <v>4819</v>
      </c>
      <c r="E2397" t="s">
        <v>4821</v>
      </c>
      <c r="F2397" s="1">
        <v>10405</v>
      </c>
      <c r="G2397" s="1">
        <v>4113027008</v>
      </c>
      <c r="H2397" s="1">
        <v>12</v>
      </c>
      <c r="I2397" s="1" t="s">
        <v>347</v>
      </c>
      <c r="J2397" t="s">
        <v>4857</v>
      </c>
    </row>
    <row r="2398" spans="1:10">
      <c r="A2398" s="1">
        <v>171397</v>
      </c>
      <c r="B2398" s="1">
        <v>4139002070</v>
      </c>
      <c r="C2398" s="1">
        <v>12</v>
      </c>
      <c r="D2398" s="1" t="s">
        <v>4822</v>
      </c>
      <c r="E2398" t="s">
        <v>4823</v>
      </c>
      <c r="F2398" s="1">
        <v>10371</v>
      </c>
      <c r="G2398" s="1">
        <v>4113027032</v>
      </c>
      <c r="H2398" s="1">
        <v>24</v>
      </c>
      <c r="I2398" s="1" t="s">
        <v>397</v>
      </c>
      <c r="J2398" t="s">
        <v>4858</v>
      </c>
    </row>
    <row r="2399" spans="1:10">
      <c r="A2399" s="1">
        <v>171413</v>
      </c>
      <c r="B2399" s="1">
        <v>4139001040</v>
      </c>
      <c r="C2399" s="1">
        <v>12</v>
      </c>
      <c r="D2399" s="1" t="s">
        <v>4819</v>
      </c>
      <c r="E2399" t="s">
        <v>4824</v>
      </c>
      <c r="F2399" s="1">
        <v>10363</v>
      </c>
      <c r="G2399" s="1">
        <v>4113027007</v>
      </c>
      <c r="H2399" s="1">
        <v>24</v>
      </c>
      <c r="I2399" s="1" t="s">
        <v>397</v>
      </c>
      <c r="J2399" t="s">
        <v>4859</v>
      </c>
    </row>
    <row r="2400" spans="1:10">
      <c r="A2400" s="1">
        <v>171181</v>
      </c>
      <c r="B2400" s="1">
        <v>4139000005</v>
      </c>
      <c r="C2400" s="1">
        <v>12</v>
      </c>
      <c r="D2400" s="1" t="s">
        <v>4819</v>
      </c>
      <c r="E2400" t="s">
        <v>4825</v>
      </c>
      <c r="F2400" s="1">
        <v>10355</v>
      </c>
      <c r="G2400" s="1">
        <v>4113027006</v>
      </c>
      <c r="H2400" s="1">
        <v>24</v>
      </c>
      <c r="I2400" s="1" t="s">
        <v>397</v>
      </c>
      <c r="J2400" t="s">
        <v>4860</v>
      </c>
    </row>
    <row r="2401" spans="1:10">
      <c r="A2401" s="1">
        <v>171454</v>
      </c>
      <c r="B2401" s="1">
        <v>4139001052</v>
      </c>
      <c r="C2401" s="1">
        <v>12</v>
      </c>
      <c r="D2401" s="1" t="s">
        <v>4819</v>
      </c>
      <c r="E2401" t="s">
        <v>4826</v>
      </c>
      <c r="F2401" s="1">
        <v>9027</v>
      </c>
      <c r="G2401" s="1">
        <v>4113027025</v>
      </c>
      <c r="H2401" s="1">
        <v>12</v>
      </c>
      <c r="I2401" s="1" t="s">
        <v>1483</v>
      </c>
      <c r="J2401" t="s">
        <v>4861</v>
      </c>
    </row>
    <row r="2402" spans="1:10">
      <c r="A2402" s="1">
        <v>172429</v>
      </c>
      <c r="B2402" s="1">
        <v>4139000090</v>
      </c>
      <c r="C2402" s="1">
        <v>12</v>
      </c>
      <c r="D2402" s="1" t="s">
        <v>2826</v>
      </c>
      <c r="E2402" t="s">
        <v>4827</v>
      </c>
      <c r="F2402" s="1">
        <v>10322</v>
      </c>
      <c r="G2402" s="1">
        <v>4113027001</v>
      </c>
      <c r="H2402" s="1">
        <v>24</v>
      </c>
      <c r="I2402" s="1" t="s">
        <v>381</v>
      </c>
      <c r="J2402" t="s">
        <v>4862</v>
      </c>
    </row>
    <row r="2403" spans="1:10">
      <c r="A2403" s="1">
        <v>171868</v>
      </c>
      <c r="B2403" s="1">
        <v>4139000001</v>
      </c>
      <c r="C2403" s="1">
        <v>12</v>
      </c>
      <c r="D2403" s="1" t="s">
        <v>2308</v>
      </c>
      <c r="E2403" t="s">
        <v>4827</v>
      </c>
      <c r="F2403" s="1">
        <v>9449</v>
      </c>
      <c r="G2403" s="1">
        <v>4113027010</v>
      </c>
      <c r="H2403" s="1">
        <v>12</v>
      </c>
      <c r="I2403" s="1" t="s">
        <v>381</v>
      </c>
      <c r="J2403" t="s">
        <v>4863</v>
      </c>
    </row>
    <row r="2404" spans="1:10">
      <c r="A2404" s="1">
        <v>711986</v>
      </c>
      <c r="B2404" s="1">
        <v>4139000150</v>
      </c>
      <c r="C2404" s="1">
        <v>6</v>
      </c>
      <c r="D2404" s="1" t="s">
        <v>2496</v>
      </c>
      <c r="E2404" t="s">
        <v>4827</v>
      </c>
      <c r="F2404" s="1">
        <v>8714</v>
      </c>
      <c r="G2404" s="1">
        <v>4113027015</v>
      </c>
      <c r="H2404" s="1">
        <v>12</v>
      </c>
      <c r="I2404" s="1" t="s">
        <v>1483</v>
      </c>
      <c r="J2404" t="s">
        <v>4864</v>
      </c>
    </row>
    <row r="2405" spans="1:10">
      <c r="A2405" s="1">
        <v>171389</v>
      </c>
      <c r="B2405" s="1">
        <v>4139001110</v>
      </c>
      <c r="C2405" s="1">
        <v>12</v>
      </c>
      <c r="D2405" s="1" t="s">
        <v>2303</v>
      </c>
      <c r="E2405" t="s">
        <v>4828</v>
      </c>
      <c r="F2405" s="1">
        <v>9050</v>
      </c>
      <c r="G2405" s="1">
        <v>4113027024</v>
      </c>
      <c r="H2405" s="1">
        <v>12</v>
      </c>
      <c r="I2405" s="1" t="s">
        <v>381</v>
      </c>
      <c r="J2405" t="s">
        <v>4865</v>
      </c>
    </row>
    <row r="2406" spans="1:10">
      <c r="A2406" s="1">
        <v>171991</v>
      </c>
      <c r="B2406" s="1">
        <v>74139001030</v>
      </c>
      <c r="C2406" s="1">
        <v>12</v>
      </c>
      <c r="D2406" s="1" t="s">
        <v>2826</v>
      </c>
      <c r="E2406" t="s">
        <v>4829</v>
      </c>
      <c r="F2406" s="1">
        <v>9761</v>
      </c>
      <c r="G2406" s="1">
        <v>4113027011</v>
      </c>
      <c r="H2406" s="1">
        <v>12</v>
      </c>
      <c r="I2406" s="1" t="s">
        <v>381</v>
      </c>
      <c r="J2406" t="s">
        <v>4866</v>
      </c>
    </row>
    <row r="2407" spans="1:10">
      <c r="A2407" s="1">
        <v>171611</v>
      </c>
      <c r="B2407" s="1">
        <v>4430012330</v>
      </c>
      <c r="C2407" s="1">
        <v>12</v>
      </c>
      <c r="D2407" s="1" t="s">
        <v>259</v>
      </c>
      <c r="E2407" t="s">
        <v>4830</v>
      </c>
      <c r="F2407" s="1">
        <v>9878</v>
      </c>
      <c r="G2407" s="1">
        <v>4113027018</v>
      </c>
      <c r="H2407" s="1">
        <v>12</v>
      </c>
      <c r="I2407" s="1" t="s">
        <v>381</v>
      </c>
      <c r="J2407" t="s">
        <v>4867</v>
      </c>
    </row>
    <row r="2408" spans="1:10">
      <c r="A2408" s="1">
        <v>171462</v>
      </c>
      <c r="B2408" s="1">
        <v>4430012113</v>
      </c>
      <c r="C2408" s="1">
        <v>12</v>
      </c>
      <c r="D2408" s="1" t="s">
        <v>722</v>
      </c>
      <c r="E2408" t="s">
        <v>4831</v>
      </c>
      <c r="F2408" s="1">
        <v>9951</v>
      </c>
      <c r="G2408" s="1">
        <v>4113027017</v>
      </c>
      <c r="H2408" s="1">
        <v>12</v>
      </c>
      <c r="I2408" s="1" t="s">
        <v>381</v>
      </c>
      <c r="J2408" t="s">
        <v>4868</v>
      </c>
    </row>
    <row r="2409" spans="1:10">
      <c r="A2409" s="1">
        <v>171546</v>
      </c>
      <c r="B2409" s="1">
        <v>4430012111</v>
      </c>
      <c r="C2409" s="1">
        <v>12</v>
      </c>
      <c r="D2409" s="1" t="s">
        <v>722</v>
      </c>
      <c r="E2409" t="s">
        <v>4832</v>
      </c>
      <c r="F2409" s="1">
        <v>250100</v>
      </c>
      <c r="G2409" s="1">
        <v>4113027050</v>
      </c>
      <c r="H2409" s="1">
        <v>12</v>
      </c>
      <c r="I2409" s="1" t="s">
        <v>381</v>
      </c>
      <c r="J2409" t="s">
        <v>4869</v>
      </c>
    </row>
    <row r="2410" spans="1:10">
      <c r="A2410" s="1">
        <v>171249</v>
      </c>
      <c r="B2410" s="1">
        <v>4430012178</v>
      </c>
      <c r="C2410" s="1">
        <v>24</v>
      </c>
      <c r="D2410" s="1" t="s">
        <v>14</v>
      </c>
      <c r="E2410" t="s">
        <v>4833</v>
      </c>
      <c r="F2410" s="1">
        <v>10272</v>
      </c>
      <c r="G2410" s="1">
        <v>4113027021</v>
      </c>
      <c r="H2410" s="1">
        <v>12</v>
      </c>
      <c r="I2410" s="1" t="s">
        <v>439</v>
      </c>
      <c r="J2410" t="s">
        <v>4870</v>
      </c>
    </row>
    <row r="2411" spans="1:10">
      <c r="A2411" s="1">
        <v>171264</v>
      </c>
      <c r="B2411" s="1">
        <v>4430012171</v>
      </c>
      <c r="C2411" s="1">
        <v>24</v>
      </c>
      <c r="D2411" s="1" t="s">
        <v>394</v>
      </c>
      <c r="E2411" t="s">
        <v>4833</v>
      </c>
      <c r="F2411" s="1">
        <v>288852</v>
      </c>
      <c r="G2411" s="1">
        <v>4113027038</v>
      </c>
      <c r="H2411" s="1">
        <v>6</v>
      </c>
      <c r="I2411" s="1" t="s">
        <v>4871</v>
      </c>
      <c r="J2411" t="s">
        <v>4872</v>
      </c>
    </row>
    <row r="2412" spans="1:10">
      <c r="A2412" s="1">
        <v>171090</v>
      </c>
      <c r="B2412" s="1">
        <v>4430012520</v>
      </c>
      <c r="C2412" s="1">
        <v>12</v>
      </c>
      <c r="D2412" s="1" t="s">
        <v>4819</v>
      </c>
      <c r="E2412" t="s">
        <v>4834</v>
      </c>
      <c r="F2412" s="1">
        <v>9902</v>
      </c>
      <c r="G2412" s="1">
        <v>4113027016</v>
      </c>
      <c r="H2412" s="1">
        <v>12</v>
      </c>
      <c r="I2412" s="1" t="s">
        <v>381</v>
      </c>
      <c r="J2412" t="s">
        <v>4873</v>
      </c>
    </row>
    <row r="2413" spans="1:10">
      <c r="A2413" s="1">
        <v>171033</v>
      </c>
      <c r="B2413" s="1">
        <v>4430012391</v>
      </c>
      <c r="C2413" s="1">
        <v>12</v>
      </c>
      <c r="D2413" s="1" t="s">
        <v>399</v>
      </c>
      <c r="E2413" t="s">
        <v>4835</v>
      </c>
      <c r="F2413" s="1">
        <v>10264</v>
      </c>
      <c r="G2413" s="1">
        <v>4113027020</v>
      </c>
      <c r="H2413" s="1">
        <v>12</v>
      </c>
      <c r="I2413" s="1" t="s">
        <v>439</v>
      </c>
      <c r="J2413" t="s">
        <v>4873</v>
      </c>
    </row>
    <row r="2414" spans="1:10">
      <c r="A2414" s="1">
        <v>171223</v>
      </c>
      <c r="B2414" s="1">
        <v>4430012513</v>
      </c>
      <c r="C2414" s="1">
        <v>12</v>
      </c>
      <c r="D2414" s="1" t="s">
        <v>4819</v>
      </c>
      <c r="E2414" t="s">
        <v>4836</v>
      </c>
      <c r="F2414" s="1">
        <v>420463</v>
      </c>
      <c r="G2414" s="1">
        <v>4113027051</v>
      </c>
      <c r="H2414" s="1">
        <v>12</v>
      </c>
      <c r="I2414" s="1" t="s">
        <v>381</v>
      </c>
      <c r="J2414" t="s">
        <v>4874</v>
      </c>
    </row>
    <row r="2415" spans="1:10">
      <c r="A2415" s="1">
        <v>170969</v>
      </c>
      <c r="B2415" s="1">
        <v>4430012511</v>
      </c>
      <c r="C2415" s="1">
        <v>12</v>
      </c>
      <c r="D2415" s="1" t="s">
        <v>910</v>
      </c>
      <c r="E2415" t="s">
        <v>4836</v>
      </c>
      <c r="F2415" s="1">
        <v>9779</v>
      </c>
      <c r="G2415" s="1">
        <v>4113027012</v>
      </c>
      <c r="H2415" s="1">
        <v>12</v>
      </c>
      <c r="I2415" s="1" t="s">
        <v>381</v>
      </c>
      <c r="J2415" t="s">
        <v>4875</v>
      </c>
    </row>
    <row r="2416" spans="1:10">
      <c r="A2416" s="1">
        <v>171330</v>
      </c>
      <c r="B2416" s="1">
        <v>4430012515</v>
      </c>
      <c r="C2416" s="1">
        <v>24</v>
      </c>
      <c r="D2416" s="1" t="s">
        <v>2308</v>
      </c>
      <c r="E2416" t="s">
        <v>4836</v>
      </c>
      <c r="F2416" s="1">
        <v>8631</v>
      </c>
      <c r="G2416" s="1">
        <v>4113027003</v>
      </c>
      <c r="H2416" s="1">
        <v>12</v>
      </c>
      <c r="I2416" s="1" t="s">
        <v>910</v>
      </c>
      <c r="J2416" t="s">
        <v>4876</v>
      </c>
    </row>
    <row r="2417" spans="1:10">
      <c r="A2417" s="1">
        <v>171199</v>
      </c>
      <c r="B2417" s="1">
        <v>4430012551</v>
      </c>
      <c r="C2417" s="1">
        <v>12</v>
      </c>
      <c r="D2417" s="1" t="s">
        <v>489</v>
      </c>
      <c r="E2417" t="s">
        <v>4837</v>
      </c>
      <c r="F2417" s="1">
        <v>296764</v>
      </c>
      <c r="G2417" s="1">
        <v>4113027044</v>
      </c>
      <c r="H2417" s="1">
        <v>12</v>
      </c>
      <c r="I2417" s="1" t="s">
        <v>3271</v>
      </c>
      <c r="J2417" t="s">
        <v>4877</v>
      </c>
    </row>
    <row r="2418" spans="1:10">
      <c r="A2418" s="1">
        <v>171066</v>
      </c>
      <c r="B2418" s="1">
        <v>4430012531</v>
      </c>
      <c r="C2418" s="1">
        <v>12</v>
      </c>
      <c r="D2418" s="1" t="s">
        <v>4819</v>
      </c>
      <c r="E2418" t="s">
        <v>4838</v>
      </c>
      <c r="F2418" s="1">
        <v>9076</v>
      </c>
      <c r="G2418" s="1">
        <v>4113027023</v>
      </c>
      <c r="H2418" s="1">
        <v>12</v>
      </c>
      <c r="I2418" s="1" t="s">
        <v>381</v>
      </c>
      <c r="J2418" t="s">
        <v>4878</v>
      </c>
    </row>
    <row r="2419" spans="1:10">
      <c r="A2419" s="1">
        <v>352955</v>
      </c>
      <c r="B2419" s="1">
        <v>3114625010</v>
      </c>
      <c r="C2419" s="1">
        <v>12</v>
      </c>
      <c r="D2419" s="1" t="s">
        <v>1162</v>
      </c>
      <c r="E2419" t="s">
        <v>4839</v>
      </c>
      <c r="F2419" s="1">
        <v>9365</v>
      </c>
      <c r="G2419" s="1">
        <v>4113027022</v>
      </c>
      <c r="H2419" s="1">
        <v>12</v>
      </c>
      <c r="I2419" s="1" t="s">
        <v>381</v>
      </c>
      <c r="J2419" t="s">
        <v>4879</v>
      </c>
    </row>
    <row r="2420" spans="1:10" ht="15.75">
      <c r="A2420" s="4" t="s">
        <v>10746</v>
      </c>
      <c r="B2420" s="2"/>
      <c r="C2420" s="2"/>
      <c r="D2420" s="2"/>
      <c r="E2420" s="3"/>
      <c r="F2420" s="4" t="s">
        <v>10746</v>
      </c>
      <c r="G2420" s="2"/>
      <c r="H2420" s="2"/>
      <c r="I2420" s="2"/>
      <c r="J2420" s="3"/>
    </row>
    <row r="2421" spans="1:10">
      <c r="A2421" s="2" t="s">
        <v>0</v>
      </c>
      <c r="B2421" s="2" t="s">
        <v>1</v>
      </c>
      <c r="C2421" s="2" t="s">
        <v>2</v>
      </c>
      <c r="D2421" s="2" t="s">
        <v>3</v>
      </c>
      <c r="E2421" s="3" t="s">
        <v>4</v>
      </c>
      <c r="F2421" s="2" t="s">
        <v>0</v>
      </c>
      <c r="G2421" s="2" t="s">
        <v>1</v>
      </c>
      <c r="H2421" s="2" t="s">
        <v>2</v>
      </c>
      <c r="I2421" s="2" t="s">
        <v>3</v>
      </c>
      <c r="J2421" s="3" t="s">
        <v>4</v>
      </c>
    </row>
    <row r="2422" spans="1:10">
      <c r="A2422" s="1">
        <v>157875</v>
      </c>
      <c r="B2422" s="1">
        <v>4113027043</v>
      </c>
      <c r="C2422" s="1">
        <v>12</v>
      </c>
      <c r="D2422" s="1" t="s">
        <v>910</v>
      </c>
      <c r="E2422" t="s">
        <v>4880</v>
      </c>
      <c r="F2422" s="1">
        <v>462697</v>
      </c>
      <c r="G2422" s="1">
        <v>4133112446</v>
      </c>
      <c r="H2422" s="1">
        <v>24</v>
      </c>
      <c r="I2422" s="1" t="s">
        <v>1483</v>
      </c>
      <c r="J2422" t="s">
        <v>4918</v>
      </c>
    </row>
    <row r="2423" spans="1:10">
      <c r="A2423" s="1">
        <v>9175</v>
      </c>
      <c r="B2423" s="1">
        <v>4113027009</v>
      </c>
      <c r="C2423" s="1">
        <v>12</v>
      </c>
      <c r="D2423" s="1" t="s">
        <v>381</v>
      </c>
      <c r="E2423" t="s">
        <v>4881</v>
      </c>
      <c r="F2423" s="1">
        <v>845685</v>
      </c>
      <c r="G2423" s="1">
        <v>4133112422</v>
      </c>
      <c r="H2423" s="1">
        <v>24</v>
      </c>
      <c r="I2423" s="1" t="s">
        <v>1483</v>
      </c>
      <c r="J2423" t="s">
        <v>4919</v>
      </c>
    </row>
    <row r="2424" spans="1:10">
      <c r="A2424" s="1">
        <v>8359</v>
      </c>
      <c r="B2424" s="1">
        <v>4113027005</v>
      </c>
      <c r="C2424" s="1">
        <v>12</v>
      </c>
      <c r="D2424" s="1" t="s">
        <v>812</v>
      </c>
      <c r="E2424" t="s">
        <v>4882</v>
      </c>
      <c r="F2424" s="1">
        <v>468942</v>
      </c>
      <c r="G2424" s="1">
        <v>4133102163</v>
      </c>
      <c r="H2424" s="1">
        <v>24</v>
      </c>
      <c r="I2424" s="1" t="s">
        <v>910</v>
      </c>
      <c r="J2424" t="s">
        <v>4920</v>
      </c>
    </row>
    <row r="2425" spans="1:10">
      <c r="A2425" s="1">
        <v>8755</v>
      </c>
      <c r="B2425" s="1">
        <v>4113027019</v>
      </c>
      <c r="C2425" s="1">
        <v>12</v>
      </c>
      <c r="D2425" s="1" t="s">
        <v>381</v>
      </c>
      <c r="E2425" t="s">
        <v>4883</v>
      </c>
      <c r="F2425" s="1">
        <v>259325</v>
      </c>
      <c r="G2425" s="1">
        <v>4133102485</v>
      </c>
      <c r="H2425" s="1">
        <v>24</v>
      </c>
      <c r="I2425" s="1" t="s">
        <v>1973</v>
      </c>
      <c r="J2425" t="s">
        <v>4921</v>
      </c>
    </row>
    <row r="2426" spans="1:10">
      <c r="A2426" s="1">
        <v>8508</v>
      </c>
      <c r="B2426" s="1">
        <v>4113027004</v>
      </c>
      <c r="C2426" s="1">
        <v>12</v>
      </c>
      <c r="D2426" s="1" t="s">
        <v>347</v>
      </c>
      <c r="E2426" t="s">
        <v>4884</v>
      </c>
      <c r="F2426" s="1">
        <v>884205</v>
      </c>
      <c r="G2426" s="1">
        <v>4133103837</v>
      </c>
      <c r="H2426" s="1">
        <v>36</v>
      </c>
      <c r="I2426" s="1" t="s">
        <v>1127</v>
      </c>
      <c r="J2426" t="s">
        <v>4922</v>
      </c>
    </row>
    <row r="2427" spans="1:10">
      <c r="A2427" s="1">
        <v>246561</v>
      </c>
      <c r="B2427" s="1">
        <v>4113027076</v>
      </c>
      <c r="C2427" s="1">
        <v>12</v>
      </c>
      <c r="D2427" s="1" t="s">
        <v>910</v>
      </c>
      <c r="E2427" t="s">
        <v>4885</v>
      </c>
      <c r="F2427" s="1">
        <v>546028</v>
      </c>
      <c r="G2427" s="1">
        <v>4133102481</v>
      </c>
      <c r="H2427" s="1">
        <v>24</v>
      </c>
      <c r="I2427" s="1" t="s">
        <v>1973</v>
      </c>
      <c r="J2427" t="s">
        <v>4923</v>
      </c>
    </row>
    <row r="2428" spans="1:10">
      <c r="A2428" s="1">
        <v>8573</v>
      </c>
      <c r="B2428" s="1">
        <v>4113027027</v>
      </c>
      <c r="C2428" s="1">
        <v>12</v>
      </c>
      <c r="D2428" s="1" t="s">
        <v>940</v>
      </c>
      <c r="E2428" t="s">
        <v>4886</v>
      </c>
      <c r="F2428" s="1">
        <v>539981</v>
      </c>
      <c r="G2428" s="1">
        <v>4133103984</v>
      </c>
      <c r="H2428" s="1">
        <v>4</v>
      </c>
      <c r="I2428" s="1" t="s">
        <v>347</v>
      </c>
      <c r="J2428" t="s">
        <v>4924</v>
      </c>
    </row>
    <row r="2429" spans="1:10">
      <c r="A2429" s="1">
        <v>8458</v>
      </c>
      <c r="B2429" s="1">
        <v>4113027028</v>
      </c>
      <c r="C2429" s="1">
        <v>12</v>
      </c>
      <c r="D2429" s="1" t="s">
        <v>381</v>
      </c>
      <c r="E2429" t="s">
        <v>4887</v>
      </c>
      <c r="F2429" s="1">
        <v>425314</v>
      </c>
      <c r="G2429" s="1">
        <v>4133102602</v>
      </c>
      <c r="H2429" s="1">
        <v>20</v>
      </c>
      <c r="I2429" s="1" t="s">
        <v>4723</v>
      </c>
      <c r="J2429" t="s">
        <v>4925</v>
      </c>
    </row>
    <row r="2430" spans="1:10">
      <c r="A2430" s="1">
        <v>8540</v>
      </c>
      <c r="B2430" s="1">
        <v>4113027026</v>
      </c>
      <c r="C2430" s="1">
        <v>12</v>
      </c>
      <c r="D2430" s="1" t="s">
        <v>489</v>
      </c>
      <c r="E2430" t="s">
        <v>4888</v>
      </c>
      <c r="F2430" s="1">
        <v>427476</v>
      </c>
      <c r="G2430" s="1">
        <v>4133102605</v>
      </c>
      <c r="H2430" s="1">
        <v>6</v>
      </c>
      <c r="I2430" s="1" t="s">
        <v>4719</v>
      </c>
      <c r="J2430" t="s">
        <v>4926</v>
      </c>
    </row>
    <row r="2431" spans="1:10">
      <c r="A2431" s="1">
        <v>11460</v>
      </c>
      <c r="B2431" s="1">
        <v>4335400725</v>
      </c>
      <c r="C2431" s="1">
        <v>12</v>
      </c>
      <c r="D2431" s="1" t="s">
        <v>940</v>
      </c>
      <c r="E2431" t="s">
        <v>4889</v>
      </c>
      <c r="F2431" s="1">
        <v>186387</v>
      </c>
      <c r="G2431" s="1">
        <v>4133102603</v>
      </c>
      <c r="H2431" s="1">
        <v>12</v>
      </c>
      <c r="I2431" s="1" t="s">
        <v>4658</v>
      </c>
      <c r="J2431" t="s">
        <v>4926</v>
      </c>
    </row>
    <row r="2432" spans="1:10">
      <c r="A2432" s="1">
        <v>11924</v>
      </c>
      <c r="B2432" s="1">
        <v>4335400780</v>
      </c>
      <c r="C2432" s="1">
        <v>12</v>
      </c>
      <c r="D2432" s="1" t="s">
        <v>546</v>
      </c>
      <c r="E2432" t="s">
        <v>4890</v>
      </c>
      <c r="F2432" s="1">
        <v>253229</v>
      </c>
      <c r="G2432" s="1">
        <v>4133102164</v>
      </c>
      <c r="H2432" s="1">
        <v>24</v>
      </c>
      <c r="I2432" s="1" t="s">
        <v>1180</v>
      </c>
      <c r="J2432" t="s">
        <v>4927</v>
      </c>
    </row>
    <row r="2433" spans="1:10">
      <c r="A2433" s="1">
        <v>392100</v>
      </c>
      <c r="B2433" s="1">
        <v>3760051773</v>
      </c>
      <c r="C2433" s="1">
        <v>12</v>
      </c>
      <c r="D2433" s="1" t="s">
        <v>381</v>
      </c>
      <c r="E2433" t="s">
        <v>4891</v>
      </c>
      <c r="F2433" s="1">
        <v>468926</v>
      </c>
      <c r="G2433" s="1">
        <v>4133103060</v>
      </c>
      <c r="H2433" s="1">
        <v>12</v>
      </c>
      <c r="I2433" s="1" t="s">
        <v>439</v>
      </c>
      <c r="J2433" t="s">
        <v>4928</v>
      </c>
    </row>
    <row r="2434" spans="1:10">
      <c r="A2434" s="1">
        <v>560821</v>
      </c>
      <c r="B2434" s="1">
        <v>4335400750</v>
      </c>
      <c r="C2434" s="1">
        <v>48</v>
      </c>
      <c r="D2434" s="1" t="s">
        <v>381</v>
      </c>
      <c r="E2434" t="s">
        <v>4892</v>
      </c>
      <c r="F2434" s="1">
        <v>894139</v>
      </c>
      <c r="G2434" s="1">
        <v>4133102490</v>
      </c>
      <c r="H2434" s="1">
        <v>24</v>
      </c>
      <c r="I2434" s="1" t="s">
        <v>1973</v>
      </c>
      <c r="J2434" t="s">
        <v>4929</v>
      </c>
    </row>
    <row r="2435" spans="1:10">
      <c r="A2435" s="1">
        <v>11445</v>
      </c>
      <c r="B2435" s="1">
        <v>4335400750</v>
      </c>
      <c r="C2435" s="1">
        <v>12</v>
      </c>
      <c r="D2435" s="1" t="s">
        <v>381</v>
      </c>
      <c r="E2435" t="s">
        <v>4893</v>
      </c>
      <c r="F2435" s="1">
        <v>488569</v>
      </c>
      <c r="G2435" s="1">
        <v>4133102487</v>
      </c>
      <c r="H2435" s="1">
        <v>24</v>
      </c>
      <c r="I2435" s="1" t="s">
        <v>1973</v>
      </c>
      <c r="J2435" t="s">
        <v>4930</v>
      </c>
    </row>
    <row r="2436" spans="1:10">
      <c r="A2436" s="1">
        <v>265520</v>
      </c>
      <c r="B2436" s="1">
        <v>3760015712</v>
      </c>
      <c r="C2436" s="1">
        <v>12</v>
      </c>
      <c r="D2436" s="1" t="s">
        <v>439</v>
      </c>
      <c r="E2436" t="s">
        <v>4894</v>
      </c>
      <c r="F2436" s="1">
        <v>786343</v>
      </c>
      <c r="G2436" s="1">
        <v>4133112001</v>
      </c>
      <c r="H2436" s="1">
        <v>24</v>
      </c>
      <c r="I2436" s="1" t="s">
        <v>910</v>
      </c>
      <c r="J2436" t="s">
        <v>4931</v>
      </c>
    </row>
    <row r="2437" spans="1:10">
      <c r="A2437" s="1">
        <v>174037</v>
      </c>
      <c r="B2437" s="1">
        <v>3760039799</v>
      </c>
      <c r="C2437" s="1">
        <v>12</v>
      </c>
      <c r="D2437" s="1" t="s">
        <v>381</v>
      </c>
      <c r="E2437" t="s">
        <v>4895</v>
      </c>
      <c r="F2437" s="1">
        <v>474189</v>
      </c>
      <c r="G2437" s="1">
        <v>4133112406</v>
      </c>
      <c r="H2437" s="1">
        <v>24</v>
      </c>
      <c r="I2437" s="1" t="s">
        <v>1483</v>
      </c>
      <c r="J2437" t="s">
        <v>4932</v>
      </c>
    </row>
    <row r="2438" spans="1:10">
      <c r="A2438" s="1">
        <v>174375</v>
      </c>
      <c r="B2438" s="1">
        <v>3760011806</v>
      </c>
      <c r="C2438" s="1">
        <v>12</v>
      </c>
      <c r="D2438" s="1" t="s">
        <v>381</v>
      </c>
      <c r="E2438" t="s">
        <v>4896</v>
      </c>
      <c r="F2438" s="1">
        <v>172270</v>
      </c>
      <c r="G2438" s="1">
        <v>4133102472</v>
      </c>
      <c r="H2438" s="1">
        <v>24</v>
      </c>
      <c r="I2438" s="1" t="s">
        <v>381</v>
      </c>
      <c r="J2438" t="s">
        <v>4933</v>
      </c>
    </row>
    <row r="2439" spans="1:10">
      <c r="A2439" s="1">
        <v>265512</v>
      </c>
      <c r="B2439" s="1">
        <v>3760012288</v>
      </c>
      <c r="C2439" s="1">
        <v>12</v>
      </c>
      <c r="D2439" s="1" t="s">
        <v>439</v>
      </c>
      <c r="E2439" t="s">
        <v>4896</v>
      </c>
      <c r="F2439" s="1">
        <v>523647</v>
      </c>
      <c r="G2439" s="1">
        <v>4133112437</v>
      </c>
      <c r="H2439" s="1">
        <v>24</v>
      </c>
      <c r="I2439" s="1" t="s">
        <v>1483</v>
      </c>
      <c r="J2439" t="s">
        <v>4934</v>
      </c>
    </row>
    <row r="2440" spans="1:10">
      <c r="A2440" s="1">
        <v>174029</v>
      </c>
      <c r="B2440" s="1">
        <v>3760029538</v>
      </c>
      <c r="C2440" s="1">
        <v>12</v>
      </c>
      <c r="D2440" s="1" t="s">
        <v>381</v>
      </c>
      <c r="E2440" t="s">
        <v>4897</v>
      </c>
      <c r="F2440" s="1">
        <v>420430</v>
      </c>
      <c r="G2440" s="1">
        <v>4133102152</v>
      </c>
      <c r="H2440" s="1">
        <v>24</v>
      </c>
      <c r="I2440" s="1" t="s">
        <v>347</v>
      </c>
      <c r="J2440" t="s">
        <v>4935</v>
      </c>
    </row>
    <row r="2441" spans="1:10">
      <c r="A2441" s="1">
        <v>11478</v>
      </c>
      <c r="B2441" s="1">
        <v>4335400720</v>
      </c>
      <c r="C2441" s="1">
        <v>12</v>
      </c>
      <c r="D2441" s="1" t="s">
        <v>347</v>
      </c>
      <c r="E2441" t="s">
        <v>4898</v>
      </c>
      <c r="F2441" s="1">
        <v>298133</v>
      </c>
      <c r="G2441" s="1">
        <v>4133102051</v>
      </c>
      <c r="H2441" s="1">
        <v>24</v>
      </c>
      <c r="I2441" s="1" t="s">
        <v>910</v>
      </c>
      <c r="J2441" t="s">
        <v>4936</v>
      </c>
    </row>
    <row r="2442" spans="1:10">
      <c r="A2442" s="1">
        <v>175471</v>
      </c>
      <c r="B2442" s="1">
        <v>3760032845</v>
      </c>
      <c r="C2442" s="1">
        <v>12</v>
      </c>
      <c r="D2442" s="1" t="s">
        <v>1763</v>
      </c>
      <c r="E2442" t="s">
        <v>4899</v>
      </c>
      <c r="F2442" s="1">
        <v>330399</v>
      </c>
      <c r="G2442" s="1">
        <v>4133102471</v>
      </c>
      <c r="H2442" s="1">
        <v>24</v>
      </c>
      <c r="I2442" s="1" t="s">
        <v>381</v>
      </c>
      <c r="J2442" t="s">
        <v>4936</v>
      </c>
    </row>
    <row r="2443" spans="1:10">
      <c r="A2443" s="1">
        <v>756981</v>
      </c>
      <c r="B2443" s="1">
        <v>3760051772</v>
      </c>
      <c r="C2443" s="1">
        <v>12</v>
      </c>
      <c r="D2443" s="1" t="s">
        <v>259</v>
      </c>
      <c r="E2443" t="s">
        <v>4900</v>
      </c>
      <c r="F2443" s="1">
        <v>364547</v>
      </c>
      <c r="G2443" s="1">
        <v>4133103776</v>
      </c>
      <c r="H2443" s="1">
        <v>15</v>
      </c>
      <c r="I2443" s="1" t="s">
        <v>4937</v>
      </c>
      <c r="J2443" t="s">
        <v>4938</v>
      </c>
    </row>
    <row r="2444" spans="1:10">
      <c r="A2444" s="1">
        <v>475236</v>
      </c>
      <c r="B2444" s="1">
        <v>3760000371</v>
      </c>
      <c r="C2444" s="1">
        <v>12</v>
      </c>
      <c r="D2444" s="1" t="s">
        <v>347</v>
      </c>
      <c r="E2444" t="s">
        <v>4901</v>
      </c>
      <c r="F2444" s="1">
        <v>27730</v>
      </c>
      <c r="G2444" s="1">
        <v>4133103784</v>
      </c>
      <c r="H2444" s="1">
        <v>36</v>
      </c>
      <c r="I2444" s="1" t="s">
        <v>1127</v>
      </c>
      <c r="J2444" t="s">
        <v>4939</v>
      </c>
    </row>
    <row r="2445" spans="1:10">
      <c r="A2445" s="1">
        <v>334953</v>
      </c>
      <c r="B2445" s="1">
        <v>3760000366</v>
      </c>
      <c r="C2445" s="1">
        <v>12</v>
      </c>
      <c r="D2445" s="1" t="s">
        <v>381</v>
      </c>
      <c r="E2445" t="s">
        <v>4902</v>
      </c>
      <c r="F2445" s="1">
        <v>460279</v>
      </c>
      <c r="G2445" s="1">
        <v>4133103781</v>
      </c>
      <c r="H2445" s="1">
        <v>24</v>
      </c>
      <c r="I2445" s="1" t="s">
        <v>4940</v>
      </c>
      <c r="J2445" t="s">
        <v>4941</v>
      </c>
    </row>
    <row r="2446" spans="1:10">
      <c r="A2446" s="1">
        <v>877605</v>
      </c>
      <c r="B2446" s="1">
        <v>3760000364</v>
      </c>
      <c r="C2446" s="1">
        <v>12</v>
      </c>
      <c r="D2446" s="1" t="s">
        <v>381</v>
      </c>
      <c r="E2446" t="s">
        <v>4903</v>
      </c>
      <c r="F2446" s="1">
        <v>862847</v>
      </c>
      <c r="G2446" s="1">
        <v>4133103778</v>
      </c>
      <c r="H2446" s="1">
        <v>18</v>
      </c>
      <c r="I2446" s="1" t="s">
        <v>475</v>
      </c>
      <c r="J2446" t="s">
        <v>4942</v>
      </c>
    </row>
    <row r="2447" spans="1:10">
      <c r="A2447" s="1">
        <v>96073</v>
      </c>
      <c r="B2447" s="1">
        <v>3500053020</v>
      </c>
      <c r="C2447" s="1">
        <v>12</v>
      </c>
      <c r="D2447" s="1" t="s">
        <v>4904</v>
      </c>
      <c r="E2447" t="s">
        <v>4905</v>
      </c>
      <c r="F2447" s="1">
        <v>474916</v>
      </c>
      <c r="G2447" s="1">
        <v>4133103779</v>
      </c>
      <c r="H2447" s="1">
        <v>18</v>
      </c>
      <c r="I2447" s="1" t="s">
        <v>475</v>
      </c>
      <c r="J2447" t="s">
        <v>4943</v>
      </c>
    </row>
    <row r="2448" spans="1:10">
      <c r="A2448" s="1">
        <v>693515</v>
      </c>
      <c r="B2448" s="1">
        <v>3500053022</v>
      </c>
      <c r="C2448" s="1">
        <v>12</v>
      </c>
      <c r="D2448" s="1" t="s">
        <v>4904</v>
      </c>
      <c r="E2448" t="s">
        <v>4906</v>
      </c>
      <c r="F2448" s="1">
        <v>424879</v>
      </c>
      <c r="G2448" s="1">
        <v>4133103828</v>
      </c>
      <c r="H2448" s="1">
        <v>24</v>
      </c>
      <c r="I2448" s="1" t="s">
        <v>399</v>
      </c>
      <c r="J2448" t="s">
        <v>4944</v>
      </c>
    </row>
    <row r="2449" spans="1:10">
      <c r="A2449" s="1">
        <v>459248</v>
      </c>
      <c r="B2449" s="1">
        <v>4133103829</v>
      </c>
      <c r="C2449" s="1">
        <v>24</v>
      </c>
      <c r="D2449" s="1" t="s">
        <v>399</v>
      </c>
      <c r="E2449" t="s">
        <v>4907</v>
      </c>
      <c r="F2449" s="1">
        <v>816801</v>
      </c>
      <c r="G2449" s="1">
        <v>4133103782</v>
      </c>
      <c r="H2449" s="1">
        <v>36</v>
      </c>
      <c r="I2449" s="1" t="s">
        <v>1127</v>
      </c>
      <c r="J2449" t="s">
        <v>4945</v>
      </c>
    </row>
    <row r="2450" spans="1:10">
      <c r="A2450" s="1">
        <v>527432</v>
      </c>
      <c r="B2450" s="1">
        <v>4133103918</v>
      </c>
      <c r="C2450" s="1">
        <v>12</v>
      </c>
      <c r="D2450" s="1" t="s">
        <v>404</v>
      </c>
      <c r="E2450" t="s">
        <v>4908</v>
      </c>
      <c r="F2450" s="1">
        <v>283689</v>
      </c>
      <c r="G2450" s="1">
        <v>4133112420</v>
      </c>
      <c r="H2450" s="1">
        <v>24</v>
      </c>
      <c r="I2450" s="1" t="s">
        <v>1483</v>
      </c>
      <c r="J2450" t="s">
        <v>4946</v>
      </c>
    </row>
    <row r="2451" spans="1:10">
      <c r="A2451" s="1">
        <v>765875</v>
      </c>
      <c r="B2451" s="1">
        <v>4133102473</v>
      </c>
      <c r="C2451" s="1">
        <v>24</v>
      </c>
      <c r="D2451" s="1" t="s">
        <v>1973</v>
      </c>
      <c r="E2451" t="s">
        <v>4909</v>
      </c>
      <c r="F2451" s="1">
        <v>204925</v>
      </c>
      <c r="G2451" s="1">
        <v>4133112412</v>
      </c>
      <c r="H2451" s="1">
        <v>24</v>
      </c>
      <c r="I2451" s="1" t="s">
        <v>1483</v>
      </c>
      <c r="J2451" t="s">
        <v>4947</v>
      </c>
    </row>
    <row r="2452" spans="1:10">
      <c r="A2452" s="1">
        <v>379370</v>
      </c>
      <c r="B2452" s="1">
        <v>4133102476</v>
      </c>
      <c r="C2452" s="1">
        <v>24</v>
      </c>
      <c r="D2452" s="1" t="s">
        <v>1973</v>
      </c>
      <c r="E2452" t="s">
        <v>4910</v>
      </c>
      <c r="F2452" s="1">
        <v>382499</v>
      </c>
      <c r="G2452" s="1">
        <v>4133102486</v>
      </c>
      <c r="H2452" s="1">
        <v>24</v>
      </c>
      <c r="I2452" s="1" t="s">
        <v>1973</v>
      </c>
      <c r="J2452" t="s">
        <v>4948</v>
      </c>
    </row>
    <row r="2453" spans="1:10">
      <c r="A2453" s="1">
        <v>657486</v>
      </c>
      <c r="B2453" s="1">
        <v>4133102479</v>
      </c>
      <c r="C2453" s="1">
        <v>24</v>
      </c>
      <c r="D2453" s="1" t="s">
        <v>381</v>
      </c>
      <c r="E2453" t="s">
        <v>4911</v>
      </c>
      <c r="F2453" s="1">
        <v>195479</v>
      </c>
      <c r="G2453" s="1">
        <v>4133104008</v>
      </c>
      <c r="H2453" s="1">
        <v>4</v>
      </c>
      <c r="I2453" s="1" t="s">
        <v>360</v>
      </c>
      <c r="J2453" t="s">
        <v>4949</v>
      </c>
    </row>
    <row r="2454" spans="1:10">
      <c r="A2454" s="1">
        <v>344598</v>
      </c>
      <c r="B2454" s="1">
        <v>4133112402</v>
      </c>
      <c r="C2454" s="1">
        <v>24</v>
      </c>
      <c r="D2454" s="1" t="s">
        <v>1483</v>
      </c>
      <c r="E2454" t="s">
        <v>4912</v>
      </c>
      <c r="F2454" s="1">
        <v>38315</v>
      </c>
      <c r="G2454" s="1">
        <v>4133102146</v>
      </c>
      <c r="H2454" s="1">
        <v>24</v>
      </c>
      <c r="I2454" s="1" t="s">
        <v>347</v>
      </c>
      <c r="J2454" t="s">
        <v>4950</v>
      </c>
    </row>
    <row r="2455" spans="1:10">
      <c r="A2455" s="1">
        <v>872531</v>
      </c>
      <c r="B2455" s="1">
        <v>4133102067</v>
      </c>
      <c r="C2455" s="1">
        <v>24</v>
      </c>
      <c r="D2455" s="1" t="s">
        <v>910</v>
      </c>
      <c r="E2455" t="s">
        <v>4913</v>
      </c>
      <c r="F2455" s="1">
        <v>150581</v>
      </c>
      <c r="G2455" s="1">
        <v>4133103961</v>
      </c>
      <c r="H2455" s="1">
        <v>48</v>
      </c>
      <c r="I2455" s="1" t="s">
        <v>399</v>
      </c>
      <c r="J2455" t="s">
        <v>4951</v>
      </c>
    </row>
    <row r="2456" spans="1:10">
      <c r="A2456" s="1">
        <v>51730</v>
      </c>
      <c r="B2456" s="1">
        <v>4133102465</v>
      </c>
      <c r="C2456" s="1">
        <v>12</v>
      </c>
      <c r="D2456" s="1" t="s">
        <v>3271</v>
      </c>
      <c r="E2456" t="s">
        <v>4914</v>
      </c>
      <c r="F2456" s="1">
        <v>329524</v>
      </c>
      <c r="G2456" s="1">
        <v>4133101105</v>
      </c>
      <c r="H2456" s="1">
        <v>25</v>
      </c>
      <c r="I2456" s="1" t="s">
        <v>365</v>
      </c>
      <c r="J2456" t="s">
        <v>4952</v>
      </c>
    </row>
    <row r="2457" spans="1:10">
      <c r="A2457" s="1">
        <v>59402</v>
      </c>
      <c r="B2457" s="1">
        <v>4133112466</v>
      </c>
      <c r="C2457" s="1">
        <v>24</v>
      </c>
      <c r="D2457" s="1" t="s">
        <v>1483</v>
      </c>
      <c r="E2457" t="s">
        <v>4915</v>
      </c>
      <c r="F2457" s="1">
        <v>872929</v>
      </c>
      <c r="G2457" s="1">
        <v>4133102662</v>
      </c>
      <c r="H2457" s="1">
        <v>24</v>
      </c>
      <c r="I2457" s="1" t="s">
        <v>399</v>
      </c>
      <c r="J2457" t="s">
        <v>4953</v>
      </c>
    </row>
    <row r="2458" spans="1:10">
      <c r="A2458" s="1">
        <v>312561</v>
      </c>
      <c r="B2458" s="1">
        <v>4133102474</v>
      </c>
      <c r="C2458" s="1">
        <v>24</v>
      </c>
      <c r="D2458" s="1" t="s">
        <v>1973</v>
      </c>
      <c r="E2458" t="s">
        <v>4916</v>
      </c>
      <c r="F2458" s="1">
        <v>361980</v>
      </c>
      <c r="G2458" s="1">
        <v>4133102491</v>
      </c>
      <c r="H2458" s="1">
        <v>24</v>
      </c>
      <c r="I2458" s="1" t="s">
        <v>1973</v>
      </c>
      <c r="J2458" t="s">
        <v>4954</v>
      </c>
    </row>
    <row r="2459" spans="1:10">
      <c r="A2459" s="1">
        <v>408005</v>
      </c>
      <c r="B2459" s="1">
        <v>4133112426</v>
      </c>
      <c r="C2459" s="1">
        <v>24</v>
      </c>
      <c r="D2459" s="1" t="s">
        <v>1483</v>
      </c>
      <c r="E2459" t="s">
        <v>4916</v>
      </c>
      <c r="F2459" s="1">
        <v>108340</v>
      </c>
      <c r="G2459" s="1">
        <v>3760021629</v>
      </c>
      <c r="H2459" s="1">
        <v>12</v>
      </c>
      <c r="I2459" s="1" t="s">
        <v>910</v>
      </c>
      <c r="J2459" t="s">
        <v>4955</v>
      </c>
    </row>
    <row r="2460" spans="1:10">
      <c r="A2460" s="1">
        <v>885574</v>
      </c>
      <c r="B2460" s="1">
        <v>4133102666</v>
      </c>
      <c r="C2460" s="1">
        <v>24</v>
      </c>
      <c r="D2460" s="1" t="s">
        <v>399</v>
      </c>
      <c r="E2460" t="s">
        <v>4917</v>
      </c>
      <c r="F2460" s="1">
        <v>18176</v>
      </c>
      <c r="G2460" s="1">
        <v>7640602170</v>
      </c>
      <c r="H2460" s="1">
        <v>24</v>
      </c>
      <c r="I2460" s="1" t="s">
        <v>4956</v>
      </c>
      <c r="J2460" t="s">
        <v>4957</v>
      </c>
    </row>
    <row r="2461" spans="1:10" ht="15.75">
      <c r="A2461" s="4" t="s">
        <v>10746</v>
      </c>
      <c r="B2461" s="2"/>
      <c r="C2461" s="2"/>
      <c r="D2461" s="2"/>
      <c r="E2461" s="3"/>
      <c r="F2461" s="4" t="s">
        <v>10746</v>
      </c>
      <c r="G2461" s="2"/>
      <c r="H2461" s="2"/>
      <c r="I2461" s="2"/>
      <c r="J2461" s="3"/>
    </row>
    <row r="2462" spans="1:10">
      <c r="A2462" s="2" t="s">
        <v>0</v>
      </c>
      <c r="B2462" s="2" t="s">
        <v>1</v>
      </c>
      <c r="C2462" s="2" t="s">
        <v>2</v>
      </c>
      <c r="D2462" s="2" t="s">
        <v>3</v>
      </c>
      <c r="E2462" s="3" t="s">
        <v>4</v>
      </c>
      <c r="F2462" s="2" t="s">
        <v>0</v>
      </c>
      <c r="G2462" s="2" t="s">
        <v>1</v>
      </c>
      <c r="H2462" s="2" t="s">
        <v>2</v>
      </c>
      <c r="I2462" s="2" t="s">
        <v>3</v>
      </c>
      <c r="J2462" s="3" t="s">
        <v>4</v>
      </c>
    </row>
    <row r="2463" spans="1:10">
      <c r="A2463" s="1">
        <v>18796</v>
      </c>
      <c r="B2463" s="1">
        <v>7640602150</v>
      </c>
      <c r="C2463" s="1">
        <v>24</v>
      </c>
      <c r="D2463" s="1" t="s">
        <v>4956</v>
      </c>
      <c r="E2463" t="s">
        <v>4958</v>
      </c>
      <c r="F2463" s="1">
        <v>35071</v>
      </c>
      <c r="G2463" s="1">
        <v>2800032600</v>
      </c>
      <c r="H2463" s="1">
        <v>12</v>
      </c>
      <c r="I2463" s="1" t="s">
        <v>360</v>
      </c>
      <c r="J2463" t="s">
        <v>5002</v>
      </c>
    </row>
    <row r="2464" spans="1:10">
      <c r="A2464" s="1">
        <v>18713</v>
      </c>
      <c r="B2464" s="1">
        <v>7640606160</v>
      </c>
      <c r="C2464" s="1">
        <v>12</v>
      </c>
      <c r="D2464" s="1" t="s">
        <v>1201</v>
      </c>
      <c r="E2464" t="s">
        <v>4959</v>
      </c>
      <c r="F2464" s="1">
        <v>170977</v>
      </c>
      <c r="G2464" s="1">
        <v>4600082011</v>
      </c>
      <c r="H2464" s="1">
        <v>12</v>
      </c>
      <c r="I2464" s="1" t="s">
        <v>381</v>
      </c>
      <c r="J2464" t="s">
        <v>5003</v>
      </c>
    </row>
    <row r="2465" spans="1:10">
      <c r="A2465" s="1">
        <v>18705</v>
      </c>
      <c r="B2465" s="1">
        <v>7640606180</v>
      </c>
      <c r="C2465" s="1">
        <v>12</v>
      </c>
      <c r="D2465" s="1" t="s">
        <v>1201</v>
      </c>
      <c r="E2465" t="s">
        <v>4960</v>
      </c>
      <c r="F2465" s="1">
        <v>172148</v>
      </c>
      <c r="G2465" s="1">
        <v>4600082121</v>
      </c>
      <c r="H2465" s="1">
        <v>24</v>
      </c>
      <c r="I2465" s="1" t="s">
        <v>381</v>
      </c>
      <c r="J2465" t="s">
        <v>5004</v>
      </c>
    </row>
    <row r="2466" spans="1:10">
      <c r="A2466" s="1">
        <v>18697</v>
      </c>
      <c r="B2466" s="1">
        <v>7640606190</v>
      </c>
      <c r="C2466" s="1">
        <v>12</v>
      </c>
      <c r="D2466" s="1" t="s">
        <v>1201</v>
      </c>
      <c r="E2466" t="s">
        <v>4961</v>
      </c>
      <c r="F2466" s="1">
        <v>172395</v>
      </c>
      <c r="G2466" s="1">
        <v>4600082131</v>
      </c>
      <c r="H2466" s="1">
        <v>12</v>
      </c>
      <c r="I2466" s="1" t="s">
        <v>4856</v>
      </c>
      <c r="J2466" t="s">
        <v>5004</v>
      </c>
    </row>
    <row r="2467" spans="1:10">
      <c r="A2467" s="1">
        <v>407411</v>
      </c>
      <c r="B2467" s="1">
        <v>7640602260</v>
      </c>
      <c r="C2467" s="1">
        <v>24</v>
      </c>
      <c r="D2467" s="1" t="s">
        <v>1246</v>
      </c>
      <c r="E2467" t="s">
        <v>4962</v>
      </c>
      <c r="F2467" s="1">
        <v>174326</v>
      </c>
      <c r="G2467" s="1">
        <v>4600084351</v>
      </c>
      <c r="H2467" s="1">
        <v>12</v>
      </c>
      <c r="I2467" s="1" t="s">
        <v>381</v>
      </c>
      <c r="J2467" t="s">
        <v>5005</v>
      </c>
    </row>
    <row r="2468" spans="1:10">
      <c r="A2468" s="1">
        <v>18572</v>
      </c>
      <c r="B2468" s="1">
        <v>7640602240</v>
      </c>
      <c r="C2468" s="1">
        <v>24</v>
      </c>
      <c r="D2468" s="1" t="s">
        <v>4956</v>
      </c>
      <c r="E2468" t="s">
        <v>4963</v>
      </c>
      <c r="F2468" s="1">
        <v>172122</v>
      </c>
      <c r="G2468" s="1">
        <v>4600082161</v>
      </c>
      <c r="H2468" s="1">
        <v>12</v>
      </c>
      <c r="I2468" s="1" t="s">
        <v>381</v>
      </c>
      <c r="J2468" t="s">
        <v>5006</v>
      </c>
    </row>
    <row r="2469" spans="1:10">
      <c r="A2469" s="1">
        <v>107144</v>
      </c>
      <c r="B2469" s="1">
        <v>7640606580</v>
      </c>
      <c r="C2469" s="1">
        <v>8</v>
      </c>
      <c r="D2469" s="1" t="s">
        <v>4964</v>
      </c>
      <c r="E2469" t="s">
        <v>4965</v>
      </c>
      <c r="F2469" s="1">
        <v>172221</v>
      </c>
      <c r="G2469" s="1">
        <v>4600083251</v>
      </c>
      <c r="H2469" s="1">
        <v>24</v>
      </c>
      <c r="I2469" s="1" t="s">
        <v>397</v>
      </c>
      <c r="J2469" t="s">
        <v>5007</v>
      </c>
    </row>
    <row r="2470" spans="1:10">
      <c r="A2470" s="1">
        <v>18788</v>
      </c>
      <c r="B2470" s="1">
        <v>7640602180</v>
      </c>
      <c r="C2470" s="1">
        <v>24</v>
      </c>
      <c r="D2470" s="1" t="s">
        <v>4956</v>
      </c>
      <c r="E2470" t="s">
        <v>4966</v>
      </c>
      <c r="F2470" s="1">
        <v>172189</v>
      </c>
      <c r="G2470" s="1">
        <v>4600086011</v>
      </c>
      <c r="H2470" s="1">
        <v>12</v>
      </c>
      <c r="I2470" s="1" t="s">
        <v>489</v>
      </c>
      <c r="J2470" t="s">
        <v>5008</v>
      </c>
    </row>
    <row r="2471" spans="1:10">
      <c r="A2471" s="1">
        <v>18804</v>
      </c>
      <c r="B2471" s="1">
        <v>7640602160</v>
      </c>
      <c r="C2471" s="1">
        <v>24</v>
      </c>
      <c r="D2471" s="1" t="s">
        <v>4956</v>
      </c>
      <c r="E2471" t="s">
        <v>4967</v>
      </c>
      <c r="F2471" s="1">
        <v>172585</v>
      </c>
      <c r="G2471" s="1">
        <v>4600081215</v>
      </c>
      <c r="H2471" s="1">
        <v>12</v>
      </c>
      <c r="I2471" s="1" t="s">
        <v>1763</v>
      </c>
      <c r="J2471" t="s">
        <v>5009</v>
      </c>
    </row>
    <row r="2472" spans="1:10">
      <c r="A2472" s="1">
        <v>18770</v>
      </c>
      <c r="B2472" s="1">
        <v>7640602190</v>
      </c>
      <c r="C2472" s="1">
        <v>24</v>
      </c>
      <c r="D2472" s="1" t="s">
        <v>4956</v>
      </c>
      <c r="E2472" t="s">
        <v>4968</v>
      </c>
      <c r="F2472" s="1">
        <v>172684</v>
      </c>
      <c r="G2472" s="1">
        <v>4600085281</v>
      </c>
      <c r="H2472" s="1">
        <v>12</v>
      </c>
      <c r="I2472" s="1" t="s">
        <v>347</v>
      </c>
      <c r="J2472" t="s">
        <v>5010</v>
      </c>
    </row>
    <row r="2473" spans="1:10">
      <c r="A2473" s="1">
        <v>18762</v>
      </c>
      <c r="B2473" s="1">
        <v>7640602200</v>
      </c>
      <c r="C2473" s="1">
        <v>24</v>
      </c>
      <c r="D2473" s="1" t="s">
        <v>4956</v>
      </c>
      <c r="E2473" t="s">
        <v>4969</v>
      </c>
      <c r="F2473" s="1">
        <v>172577</v>
      </c>
      <c r="G2473" s="1">
        <v>4600085341</v>
      </c>
      <c r="H2473" s="1">
        <v>12</v>
      </c>
      <c r="I2473" s="1" t="s">
        <v>381</v>
      </c>
      <c r="J2473" t="s">
        <v>5011</v>
      </c>
    </row>
    <row r="2474" spans="1:10">
      <c r="A2474" s="1">
        <v>18416</v>
      </c>
      <c r="B2474" s="1">
        <v>7640602130</v>
      </c>
      <c r="C2474" s="1">
        <v>24</v>
      </c>
      <c r="D2474" s="1" t="s">
        <v>4956</v>
      </c>
      <c r="E2474" t="s">
        <v>4970</v>
      </c>
      <c r="F2474" s="1">
        <v>172312</v>
      </c>
      <c r="G2474" s="1">
        <v>4600085331</v>
      </c>
      <c r="H2474" s="1">
        <v>12</v>
      </c>
      <c r="I2474" s="1" t="s">
        <v>381</v>
      </c>
      <c r="J2474" t="s">
        <v>5012</v>
      </c>
    </row>
    <row r="2475" spans="1:10">
      <c r="A2475" s="1">
        <v>18440</v>
      </c>
      <c r="B2475" s="1">
        <v>7640602210</v>
      </c>
      <c r="C2475" s="1">
        <v>24</v>
      </c>
      <c r="D2475" s="1" t="s">
        <v>1246</v>
      </c>
      <c r="E2475" t="s">
        <v>4971</v>
      </c>
      <c r="F2475" s="1">
        <v>174219</v>
      </c>
      <c r="G2475" s="1">
        <v>4600085531</v>
      </c>
      <c r="H2475" s="1">
        <v>12</v>
      </c>
      <c r="I2475" s="1" t="s">
        <v>439</v>
      </c>
      <c r="J2475" t="s">
        <v>5013</v>
      </c>
    </row>
    <row r="2476" spans="1:10">
      <c r="A2476" s="1">
        <v>18671</v>
      </c>
      <c r="B2476" s="1">
        <v>7640606310</v>
      </c>
      <c r="C2476" s="1">
        <v>12</v>
      </c>
      <c r="D2476" s="1" t="s">
        <v>1201</v>
      </c>
      <c r="E2476" t="s">
        <v>4972</v>
      </c>
      <c r="F2476" s="1">
        <v>172957</v>
      </c>
      <c r="G2476" s="1">
        <v>4600027918</v>
      </c>
      <c r="H2476" s="1">
        <v>12</v>
      </c>
      <c r="I2476" s="1" t="s">
        <v>624</v>
      </c>
      <c r="J2476" t="s">
        <v>5014</v>
      </c>
    </row>
    <row r="2477" spans="1:10">
      <c r="A2477" s="1">
        <v>18739</v>
      </c>
      <c r="B2477" s="1">
        <v>7640602230</v>
      </c>
      <c r="C2477" s="1">
        <v>24</v>
      </c>
      <c r="D2477" s="1" t="s">
        <v>4956</v>
      </c>
      <c r="E2477" t="s">
        <v>4973</v>
      </c>
      <c r="F2477" s="1">
        <v>172114</v>
      </c>
      <c r="G2477" s="1">
        <v>4600085141</v>
      </c>
      <c r="H2477" s="1">
        <v>12</v>
      </c>
      <c r="I2477" s="1" t="s">
        <v>381</v>
      </c>
      <c r="J2477" t="s">
        <v>5015</v>
      </c>
    </row>
    <row r="2478" spans="1:10">
      <c r="A2478" s="1">
        <v>18721</v>
      </c>
      <c r="B2478" s="1">
        <v>7640602310</v>
      </c>
      <c r="C2478" s="1">
        <v>24</v>
      </c>
      <c r="D2478" s="1" t="s">
        <v>4956</v>
      </c>
      <c r="E2478" t="s">
        <v>4974</v>
      </c>
      <c r="F2478" s="1">
        <v>172015</v>
      </c>
      <c r="G2478" s="1">
        <v>4600085011</v>
      </c>
      <c r="H2478" s="1">
        <v>12</v>
      </c>
      <c r="I2478" s="1" t="s">
        <v>399</v>
      </c>
      <c r="J2478" t="s">
        <v>5016</v>
      </c>
    </row>
    <row r="2479" spans="1:10">
      <c r="A2479" s="1">
        <v>18614</v>
      </c>
      <c r="B2479" s="1">
        <v>7640602250</v>
      </c>
      <c r="C2479" s="1">
        <v>24</v>
      </c>
      <c r="D2479" s="1" t="s">
        <v>4956</v>
      </c>
      <c r="E2479" t="s">
        <v>4975</v>
      </c>
      <c r="F2479" s="1">
        <v>172106</v>
      </c>
      <c r="G2479" s="1">
        <v>4600081101</v>
      </c>
      <c r="H2479" s="1">
        <v>12</v>
      </c>
      <c r="I2479" s="1" t="s">
        <v>3869</v>
      </c>
      <c r="J2479" t="s">
        <v>5017</v>
      </c>
    </row>
    <row r="2480" spans="1:10">
      <c r="A2480" s="1">
        <v>424630</v>
      </c>
      <c r="B2480" s="1">
        <v>7640606170</v>
      </c>
      <c r="C2480" s="1">
        <v>12</v>
      </c>
      <c r="D2480" s="1" t="s">
        <v>4976</v>
      </c>
      <c r="E2480" t="s">
        <v>4977</v>
      </c>
      <c r="F2480" s="1">
        <v>173146</v>
      </c>
      <c r="G2480" s="1">
        <v>4600081121</v>
      </c>
      <c r="H2480" s="1">
        <v>12</v>
      </c>
      <c r="I2480" s="1" t="s">
        <v>3869</v>
      </c>
      <c r="J2480" t="s">
        <v>5018</v>
      </c>
    </row>
    <row r="2481" spans="1:10">
      <c r="A2481" s="1">
        <v>740753</v>
      </c>
      <c r="B2481" s="1">
        <v>7640606230</v>
      </c>
      <c r="C2481" s="1">
        <v>12</v>
      </c>
      <c r="D2481" s="1" t="s">
        <v>4976</v>
      </c>
      <c r="E2481" t="s">
        <v>4978</v>
      </c>
      <c r="F2481" s="1">
        <v>337261</v>
      </c>
      <c r="G2481" s="1">
        <v>4600040616</v>
      </c>
      <c r="H2481" s="1">
        <v>12</v>
      </c>
      <c r="I2481" s="1" t="s">
        <v>399</v>
      </c>
      <c r="J2481" t="s">
        <v>5019</v>
      </c>
    </row>
    <row r="2482" spans="1:10">
      <c r="A2482" s="1">
        <v>18234</v>
      </c>
      <c r="B2482" s="1">
        <v>7639703250</v>
      </c>
      <c r="C2482" s="1">
        <v>12</v>
      </c>
      <c r="D2482" s="1" t="s">
        <v>4979</v>
      </c>
      <c r="E2482" t="s">
        <v>4980</v>
      </c>
      <c r="F2482" s="1">
        <v>4861</v>
      </c>
      <c r="G2482" s="1">
        <v>4600028737</v>
      </c>
      <c r="H2482" s="1">
        <v>12</v>
      </c>
      <c r="I2482" s="1" t="s">
        <v>742</v>
      </c>
      <c r="J2482" t="s">
        <v>5020</v>
      </c>
    </row>
    <row r="2483" spans="1:10">
      <c r="A2483" s="1">
        <v>18010</v>
      </c>
      <c r="B2483" s="1">
        <v>7639700412</v>
      </c>
      <c r="C2483" s="1">
        <v>12</v>
      </c>
      <c r="D2483" s="1" t="s">
        <v>347</v>
      </c>
      <c r="E2483" t="s">
        <v>4981</v>
      </c>
      <c r="F2483" s="1">
        <v>226779</v>
      </c>
      <c r="G2483" s="1">
        <v>4600028739</v>
      </c>
      <c r="H2483" s="1">
        <v>12</v>
      </c>
      <c r="I2483" s="1" t="s">
        <v>259</v>
      </c>
      <c r="J2483" t="s">
        <v>5021</v>
      </c>
    </row>
    <row r="2484" spans="1:10">
      <c r="A2484" s="1">
        <v>18986</v>
      </c>
      <c r="B2484" s="1">
        <v>7639700407</v>
      </c>
      <c r="C2484" s="1">
        <v>24</v>
      </c>
      <c r="D2484" s="1" t="s">
        <v>360</v>
      </c>
      <c r="E2484" t="s">
        <v>4982</v>
      </c>
      <c r="F2484" s="1">
        <v>229203</v>
      </c>
      <c r="G2484" s="1">
        <v>4600028738</v>
      </c>
      <c r="H2484" s="1">
        <v>12</v>
      </c>
      <c r="I2484" s="1" t="s">
        <v>742</v>
      </c>
      <c r="J2484" t="s">
        <v>5022</v>
      </c>
    </row>
    <row r="2485" spans="1:10">
      <c r="A2485" s="1">
        <v>18903</v>
      </c>
      <c r="B2485" s="1">
        <v>7639710511</v>
      </c>
      <c r="C2485" s="1">
        <v>12</v>
      </c>
      <c r="D2485" s="1" t="s">
        <v>1483</v>
      </c>
      <c r="E2485" t="s">
        <v>4983</v>
      </c>
      <c r="F2485" s="1">
        <v>183921</v>
      </c>
      <c r="G2485" s="1">
        <v>4600040622</v>
      </c>
      <c r="H2485" s="1">
        <v>8</v>
      </c>
      <c r="I2485" s="1" t="s">
        <v>4483</v>
      </c>
      <c r="J2485" t="s">
        <v>5023</v>
      </c>
    </row>
    <row r="2486" spans="1:10">
      <c r="A2486" s="1">
        <v>18119</v>
      </c>
      <c r="B2486" s="1">
        <v>7639700828</v>
      </c>
      <c r="C2486" s="1">
        <v>12</v>
      </c>
      <c r="D2486" s="1" t="s">
        <v>954</v>
      </c>
      <c r="E2486" t="s">
        <v>4984</v>
      </c>
      <c r="F2486" s="1">
        <v>899831</v>
      </c>
      <c r="G2486" s="1">
        <v>4600027341</v>
      </c>
      <c r="H2486" s="1">
        <v>12</v>
      </c>
      <c r="I2486" s="1" t="s">
        <v>4483</v>
      </c>
      <c r="J2486" t="s">
        <v>5024</v>
      </c>
    </row>
    <row r="2487" spans="1:10">
      <c r="A2487" s="1">
        <v>18853</v>
      </c>
      <c r="B2487" s="1">
        <v>7639700212</v>
      </c>
      <c r="C2487" s="1">
        <v>12</v>
      </c>
      <c r="D2487" s="1" t="s">
        <v>347</v>
      </c>
      <c r="E2487" t="s">
        <v>4985</v>
      </c>
      <c r="F2487" s="1">
        <v>641092</v>
      </c>
      <c r="G2487" s="1">
        <v>4600028734</v>
      </c>
      <c r="H2487" s="1">
        <v>12</v>
      </c>
      <c r="I2487" s="1" t="s">
        <v>717</v>
      </c>
      <c r="J2487" t="s">
        <v>5025</v>
      </c>
    </row>
    <row r="2488" spans="1:10">
      <c r="A2488" s="1">
        <v>18911</v>
      </c>
      <c r="B2488" s="1">
        <v>7639700112</v>
      </c>
      <c r="C2488" s="1">
        <v>12</v>
      </c>
      <c r="D2488" s="1" t="s">
        <v>347</v>
      </c>
      <c r="E2488" t="s">
        <v>4986</v>
      </c>
      <c r="F2488" s="1">
        <v>303453</v>
      </c>
      <c r="G2488" s="1">
        <v>4600040621</v>
      </c>
      <c r="H2488" s="1">
        <v>8</v>
      </c>
      <c r="I2488" s="1" t="s">
        <v>399</v>
      </c>
      <c r="J2488" t="s">
        <v>5026</v>
      </c>
    </row>
    <row r="2489" spans="1:10">
      <c r="A2489" s="1">
        <v>18861</v>
      </c>
      <c r="B2489" s="1">
        <v>7639700107</v>
      </c>
      <c r="C2489" s="1">
        <v>24</v>
      </c>
      <c r="D2489" s="1" t="s">
        <v>360</v>
      </c>
      <c r="E2489" t="s">
        <v>4986</v>
      </c>
      <c r="F2489" s="1">
        <v>321810</v>
      </c>
      <c r="G2489" s="1">
        <v>4600072183</v>
      </c>
      <c r="H2489" s="1">
        <v>12</v>
      </c>
      <c r="I2489" s="1" t="s">
        <v>954</v>
      </c>
      <c r="J2489" t="s">
        <v>5027</v>
      </c>
    </row>
    <row r="2490" spans="1:10">
      <c r="A2490" s="1">
        <v>18135</v>
      </c>
      <c r="B2490" s="1">
        <v>7639700928</v>
      </c>
      <c r="C2490" s="1">
        <v>12</v>
      </c>
      <c r="D2490" s="1" t="s">
        <v>4987</v>
      </c>
      <c r="E2490" t="s">
        <v>4988</v>
      </c>
      <c r="F2490" s="1">
        <v>545889</v>
      </c>
      <c r="G2490" s="1">
        <v>4600028732</v>
      </c>
      <c r="H2490" s="1">
        <v>12</v>
      </c>
      <c r="I2490" s="1" t="s">
        <v>742</v>
      </c>
      <c r="J2490" t="s">
        <v>5028</v>
      </c>
    </row>
    <row r="2491" spans="1:10">
      <c r="A2491" s="1">
        <v>18846</v>
      </c>
      <c r="B2491" s="1">
        <v>7639700511</v>
      </c>
      <c r="C2491" s="1">
        <v>12</v>
      </c>
      <c r="D2491" s="1" t="s">
        <v>347</v>
      </c>
      <c r="E2491" t="s">
        <v>4989</v>
      </c>
      <c r="F2491" s="1">
        <v>703116</v>
      </c>
      <c r="G2491" s="1">
        <v>4600028736</v>
      </c>
      <c r="H2491" s="1">
        <v>12</v>
      </c>
      <c r="I2491" s="1" t="s">
        <v>524</v>
      </c>
      <c r="J2491" t="s">
        <v>5029</v>
      </c>
    </row>
    <row r="2492" spans="1:10">
      <c r="A2492" s="1">
        <v>18952</v>
      </c>
      <c r="B2492" s="1">
        <v>7639701028</v>
      </c>
      <c r="C2492" s="1">
        <v>12</v>
      </c>
      <c r="D2492" s="1" t="s">
        <v>954</v>
      </c>
      <c r="E2492" t="s">
        <v>4990</v>
      </c>
      <c r="F2492" s="1">
        <v>238279</v>
      </c>
      <c r="G2492" s="1">
        <v>4600028735</v>
      </c>
      <c r="H2492" s="1">
        <v>12</v>
      </c>
      <c r="I2492" s="1" t="s">
        <v>524</v>
      </c>
      <c r="J2492" t="s">
        <v>5030</v>
      </c>
    </row>
    <row r="2493" spans="1:10">
      <c r="A2493" s="1">
        <v>18267</v>
      </c>
      <c r="B2493" s="1">
        <v>7639703150</v>
      </c>
      <c r="C2493" s="1">
        <v>12</v>
      </c>
      <c r="D2493" s="1" t="s">
        <v>4991</v>
      </c>
      <c r="E2493" t="s">
        <v>4992</v>
      </c>
      <c r="F2493" s="1">
        <v>172304</v>
      </c>
      <c r="G2493" s="1">
        <v>4600081151</v>
      </c>
      <c r="H2493" s="1">
        <v>12</v>
      </c>
      <c r="I2493" s="1" t="s">
        <v>5031</v>
      </c>
      <c r="J2493" t="s">
        <v>5032</v>
      </c>
    </row>
    <row r="2494" spans="1:10">
      <c r="A2494" s="1">
        <v>18747</v>
      </c>
      <c r="B2494" s="1">
        <v>7639700328</v>
      </c>
      <c r="C2494" s="1">
        <v>12</v>
      </c>
      <c r="D2494" s="1" t="s">
        <v>637</v>
      </c>
      <c r="E2494" t="s">
        <v>4993</v>
      </c>
      <c r="F2494" s="1">
        <v>172353</v>
      </c>
      <c r="G2494" s="1">
        <v>4600085321</v>
      </c>
      <c r="H2494" s="1">
        <v>12</v>
      </c>
      <c r="I2494" s="1" t="s">
        <v>381</v>
      </c>
      <c r="J2494" t="s">
        <v>5033</v>
      </c>
    </row>
    <row r="2495" spans="1:10">
      <c r="A2495" s="1">
        <v>18937</v>
      </c>
      <c r="B2495" s="1">
        <v>7639700228</v>
      </c>
      <c r="C2495" s="1">
        <v>12</v>
      </c>
      <c r="D2495" s="1" t="s">
        <v>954</v>
      </c>
      <c r="E2495" t="s">
        <v>4994</v>
      </c>
      <c r="F2495" s="1">
        <v>172973</v>
      </c>
      <c r="G2495" s="1">
        <v>3900001562</v>
      </c>
      <c r="H2495" s="1">
        <v>12</v>
      </c>
      <c r="I2495" s="1" t="s">
        <v>381</v>
      </c>
      <c r="J2495" t="s">
        <v>5034</v>
      </c>
    </row>
    <row r="2496" spans="1:10">
      <c r="A2496" s="1">
        <v>18200</v>
      </c>
      <c r="B2496" s="1">
        <v>7639703200</v>
      </c>
      <c r="C2496" s="1">
        <v>12</v>
      </c>
      <c r="D2496" s="1" t="s">
        <v>534</v>
      </c>
      <c r="E2496" t="s">
        <v>4995</v>
      </c>
      <c r="F2496" s="1">
        <v>173138</v>
      </c>
      <c r="G2496" s="1">
        <v>3900001892</v>
      </c>
      <c r="H2496" s="1">
        <v>12</v>
      </c>
      <c r="I2496" s="1" t="s">
        <v>399</v>
      </c>
      <c r="J2496" t="s">
        <v>5035</v>
      </c>
    </row>
    <row r="2497" spans="1:10">
      <c r="A2497" s="1">
        <v>18945</v>
      </c>
      <c r="B2497" s="1">
        <v>7639700128</v>
      </c>
      <c r="C2497" s="1">
        <v>12</v>
      </c>
      <c r="D2497" s="1" t="s">
        <v>637</v>
      </c>
      <c r="E2497" t="s">
        <v>4996</v>
      </c>
      <c r="F2497" s="1">
        <v>173286</v>
      </c>
      <c r="G2497" s="1">
        <v>3900000890</v>
      </c>
      <c r="H2497" s="1">
        <v>12</v>
      </c>
      <c r="I2497" s="1" t="s">
        <v>399</v>
      </c>
      <c r="J2497" t="s">
        <v>5036</v>
      </c>
    </row>
    <row r="2498" spans="1:10">
      <c r="A2498" s="1">
        <v>18812</v>
      </c>
      <c r="B2498" s="1">
        <v>7639703100</v>
      </c>
      <c r="C2498" s="1">
        <v>12</v>
      </c>
      <c r="D2498" s="1" t="s">
        <v>534</v>
      </c>
      <c r="E2498" t="s">
        <v>4997</v>
      </c>
      <c r="F2498" s="1">
        <v>173302</v>
      </c>
      <c r="G2498" s="1">
        <v>3900001095</v>
      </c>
      <c r="H2498" s="1">
        <v>12</v>
      </c>
      <c r="I2498" s="1" t="s">
        <v>381</v>
      </c>
      <c r="J2498" t="s">
        <v>5037</v>
      </c>
    </row>
    <row r="2499" spans="1:10">
      <c r="A2499" s="1">
        <v>11999</v>
      </c>
      <c r="B2499" s="1">
        <v>4335400790</v>
      </c>
      <c r="C2499" s="1">
        <v>12</v>
      </c>
      <c r="D2499" s="1" t="s">
        <v>381</v>
      </c>
      <c r="E2499" t="s">
        <v>4998</v>
      </c>
      <c r="F2499" s="1">
        <v>172825</v>
      </c>
      <c r="G2499" s="1">
        <v>3900056756</v>
      </c>
      <c r="H2499" s="1">
        <v>12</v>
      </c>
      <c r="I2499" s="1" t="s">
        <v>381</v>
      </c>
      <c r="J2499" t="s">
        <v>5038</v>
      </c>
    </row>
    <row r="2500" spans="1:10">
      <c r="A2500" s="1">
        <v>10017</v>
      </c>
      <c r="B2500" s="1">
        <v>3729791447</v>
      </c>
      <c r="C2500" s="1">
        <v>10</v>
      </c>
      <c r="D2500" s="1" t="s">
        <v>4999</v>
      </c>
      <c r="E2500" t="s">
        <v>5000</v>
      </c>
      <c r="F2500" s="1">
        <v>171959</v>
      </c>
      <c r="G2500" s="1">
        <v>3900056523</v>
      </c>
      <c r="H2500" s="1">
        <v>12</v>
      </c>
      <c r="I2500" s="1" t="s">
        <v>381</v>
      </c>
      <c r="J2500" t="s">
        <v>5039</v>
      </c>
    </row>
    <row r="2501" spans="1:10">
      <c r="A2501" s="1">
        <v>712042</v>
      </c>
      <c r="B2501" s="1">
        <v>3729794447</v>
      </c>
      <c r="C2501" s="1">
        <v>10</v>
      </c>
      <c r="D2501" s="1" t="s">
        <v>4999</v>
      </c>
      <c r="E2501" t="s">
        <v>5001</v>
      </c>
      <c r="F2501" s="1">
        <v>173310</v>
      </c>
      <c r="G2501" s="1">
        <v>3900000800</v>
      </c>
      <c r="H2501" s="1">
        <v>12</v>
      </c>
      <c r="I2501" s="1" t="s">
        <v>4518</v>
      </c>
      <c r="J2501" t="s">
        <v>5040</v>
      </c>
    </row>
    <row r="2502" spans="1:10" ht="15.75">
      <c r="A2502" s="4" t="s">
        <v>10746</v>
      </c>
      <c r="B2502" s="2"/>
      <c r="C2502" s="2"/>
      <c r="D2502" s="2"/>
      <c r="E2502" s="3"/>
      <c r="F2502" s="4" t="s">
        <v>10747</v>
      </c>
      <c r="G2502" s="2"/>
      <c r="H2502" s="2"/>
      <c r="I2502" s="2"/>
      <c r="J2502" s="3"/>
    </row>
    <row r="2503" spans="1:10">
      <c r="A2503" s="2" t="s">
        <v>0</v>
      </c>
      <c r="B2503" s="2" t="s">
        <v>1</v>
      </c>
      <c r="C2503" s="2" t="s">
        <v>2</v>
      </c>
      <c r="D2503" s="2" t="s">
        <v>3</v>
      </c>
      <c r="E2503" s="3" t="s">
        <v>4</v>
      </c>
      <c r="F2503" s="2" t="s">
        <v>0</v>
      </c>
      <c r="G2503" s="2" t="s">
        <v>1</v>
      </c>
      <c r="H2503" s="2" t="s">
        <v>2</v>
      </c>
      <c r="I2503" s="2" t="s">
        <v>3</v>
      </c>
      <c r="J2503" s="3" t="s">
        <v>4</v>
      </c>
    </row>
    <row r="2504" spans="1:10">
      <c r="A2504" s="1">
        <v>702464</v>
      </c>
      <c r="B2504" s="1">
        <v>4156517651</v>
      </c>
      <c r="C2504" s="1">
        <v>12</v>
      </c>
      <c r="D2504" s="1" t="s">
        <v>381</v>
      </c>
      <c r="E2504" t="s">
        <v>5041</v>
      </c>
      <c r="F2504" s="1">
        <v>838847</v>
      </c>
      <c r="G2504" s="1">
        <v>1300079770</v>
      </c>
      <c r="H2504" s="1">
        <v>12</v>
      </c>
      <c r="I2504" s="1" t="s">
        <v>632</v>
      </c>
      <c r="J2504" t="s">
        <v>5078</v>
      </c>
    </row>
    <row r="2505" spans="1:10">
      <c r="A2505" s="1">
        <v>174409</v>
      </c>
      <c r="B2505" s="1">
        <v>4156500019</v>
      </c>
      <c r="C2505" s="1">
        <v>12</v>
      </c>
      <c r="D2505" s="1" t="s">
        <v>381</v>
      </c>
      <c r="E2505" t="s">
        <v>5042</v>
      </c>
      <c r="F2505" s="1">
        <v>110619</v>
      </c>
      <c r="G2505" s="1">
        <v>1300079850</v>
      </c>
      <c r="H2505" s="1">
        <v>12</v>
      </c>
      <c r="I2505" s="1" t="s">
        <v>347</v>
      </c>
      <c r="J2505" t="s">
        <v>5079</v>
      </c>
    </row>
    <row r="2506" spans="1:10">
      <c r="A2506" s="1">
        <v>534347</v>
      </c>
      <c r="B2506" s="1">
        <v>4156517578</v>
      </c>
      <c r="C2506" s="1">
        <v>12</v>
      </c>
      <c r="D2506" s="1" t="s">
        <v>381</v>
      </c>
      <c r="E2506" t="s">
        <v>5043</v>
      </c>
      <c r="F2506" s="1">
        <v>110221</v>
      </c>
      <c r="G2506" s="1">
        <v>1300079620</v>
      </c>
      <c r="H2506" s="1">
        <v>12</v>
      </c>
      <c r="I2506" s="1" t="s">
        <v>347</v>
      </c>
      <c r="J2506" t="s">
        <v>5080</v>
      </c>
    </row>
    <row r="2507" spans="1:10">
      <c r="A2507" s="1">
        <v>173989</v>
      </c>
      <c r="B2507" s="1">
        <v>4156514016</v>
      </c>
      <c r="C2507" s="1">
        <v>12</v>
      </c>
      <c r="D2507" s="1" t="s">
        <v>381</v>
      </c>
      <c r="E2507" t="s">
        <v>5044</v>
      </c>
      <c r="F2507" s="1">
        <v>110163</v>
      </c>
      <c r="G2507" s="1">
        <v>1300079800</v>
      </c>
      <c r="H2507" s="1">
        <v>12</v>
      </c>
      <c r="I2507" s="1" t="s">
        <v>347</v>
      </c>
      <c r="J2507" t="s">
        <v>5081</v>
      </c>
    </row>
    <row r="2508" spans="1:10">
      <c r="A2508" s="1">
        <v>265736</v>
      </c>
      <c r="B2508" s="1">
        <v>4156514116</v>
      </c>
      <c r="C2508" s="1">
        <v>12</v>
      </c>
      <c r="D2508" s="1" t="s">
        <v>381</v>
      </c>
      <c r="E2508" t="s">
        <v>5045</v>
      </c>
      <c r="F2508" s="1">
        <v>110155</v>
      </c>
      <c r="G2508" s="1">
        <v>1300079820</v>
      </c>
      <c r="H2508" s="1">
        <v>12</v>
      </c>
      <c r="I2508" s="1" t="s">
        <v>347</v>
      </c>
      <c r="J2508" t="s">
        <v>5082</v>
      </c>
    </row>
    <row r="2509" spans="1:10">
      <c r="A2509" s="1">
        <v>457978</v>
      </c>
      <c r="B2509" s="1">
        <v>4156517414</v>
      </c>
      <c r="C2509" s="1">
        <v>12</v>
      </c>
      <c r="D2509" s="1" t="s">
        <v>381</v>
      </c>
      <c r="E2509" t="s">
        <v>5046</v>
      </c>
      <c r="F2509" s="1">
        <v>458075</v>
      </c>
      <c r="G2509" s="1">
        <v>1300079860</v>
      </c>
      <c r="H2509" s="1">
        <v>12</v>
      </c>
      <c r="I2509" s="1" t="s">
        <v>632</v>
      </c>
      <c r="J2509" t="s">
        <v>5082</v>
      </c>
    </row>
    <row r="2510" spans="1:10">
      <c r="A2510" s="1">
        <v>265637</v>
      </c>
      <c r="B2510" s="1">
        <v>4156500006</v>
      </c>
      <c r="C2510" s="1">
        <v>12</v>
      </c>
      <c r="D2510" s="1" t="s">
        <v>381</v>
      </c>
      <c r="E2510" t="s">
        <v>5047</v>
      </c>
      <c r="F2510" s="1">
        <v>110106</v>
      </c>
      <c r="G2510" s="1">
        <v>1300079710</v>
      </c>
      <c r="H2510" s="1">
        <v>12</v>
      </c>
      <c r="I2510" s="1" t="s">
        <v>347</v>
      </c>
      <c r="J2510" t="s">
        <v>5083</v>
      </c>
    </row>
    <row r="2511" spans="1:10">
      <c r="A2511" s="1">
        <v>174136</v>
      </c>
      <c r="B2511" s="1">
        <v>4156500024</v>
      </c>
      <c r="C2511" s="1">
        <v>12</v>
      </c>
      <c r="D2511" s="1" t="s">
        <v>439</v>
      </c>
      <c r="E2511" t="s">
        <v>5047</v>
      </c>
      <c r="F2511" s="1">
        <v>110189</v>
      </c>
      <c r="G2511" s="1">
        <v>1300079830</v>
      </c>
      <c r="H2511" s="1">
        <v>12</v>
      </c>
      <c r="I2511" s="1" t="s">
        <v>347</v>
      </c>
      <c r="J2511" t="s">
        <v>5084</v>
      </c>
    </row>
    <row r="2512" spans="1:10">
      <c r="A2512" s="1">
        <v>265645</v>
      </c>
      <c r="B2512" s="1">
        <v>4156500017</v>
      </c>
      <c r="C2512" s="1">
        <v>12</v>
      </c>
      <c r="D2512" s="1" t="s">
        <v>381</v>
      </c>
      <c r="E2512" t="s">
        <v>5048</v>
      </c>
      <c r="F2512" s="1">
        <v>110197</v>
      </c>
      <c r="G2512" s="1">
        <v>1300079910</v>
      </c>
      <c r="H2512" s="1">
        <v>12</v>
      </c>
      <c r="I2512" s="1" t="s">
        <v>347</v>
      </c>
      <c r="J2512" t="s">
        <v>5085</v>
      </c>
    </row>
    <row r="2513" spans="1:10">
      <c r="A2513" s="1">
        <v>341792</v>
      </c>
      <c r="B2513" s="1">
        <v>4156517724</v>
      </c>
      <c r="C2513" s="1">
        <v>12</v>
      </c>
      <c r="D2513" s="1" t="s">
        <v>381</v>
      </c>
      <c r="E2513" t="s">
        <v>5049</v>
      </c>
      <c r="F2513" s="1">
        <v>110171</v>
      </c>
      <c r="G2513" s="1">
        <v>1300079810</v>
      </c>
      <c r="H2513" s="1">
        <v>12</v>
      </c>
      <c r="I2513" s="1" t="s">
        <v>347</v>
      </c>
      <c r="J2513" t="s">
        <v>5086</v>
      </c>
    </row>
    <row r="2514" spans="1:10">
      <c r="A2514" s="1">
        <v>430942</v>
      </c>
      <c r="B2514" s="1">
        <v>3500039160</v>
      </c>
      <c r="C2514" s="1">
        <v>6</v>
      </c>
      <c r="D2514" s="1" t="s">
        <v>5050</v>
      </c>
      <c r="E2514" t="s">
        <v>5051</v>
      </c>
      <c r="F2514" s="1">
        <v>110627</v>
      </c>
      <c r="G2514" s="1">
        <v>1300079890</v>
      </c>
      <c r="H2514" s="1">
        <v>12</v>
      </c>
      <c r="I2514" s="1" t="s">
        <v>347</v>
      </c>
      <c r="J2514" t="s">
        <v>5087</v>
      </c>
    </row>
    <row r="2515" spans="1:10">
      <c r="A2515" s="1">
        <v>199828</v>
      </c>
      <c r="B2515" s="1">
        <v>3500039161</v>
      </c>
      <c r="C2515" s="1">
        <v>6</v>
      </c>
      <c r="D2515" s="1" t="s">
        <v>5050</v>
      </c>
      <c r="E2515" t="s">
        <v>5052</v>
      </c>
      <c r="F2515" s="1">
        <v>110254</v>
      </c>
      <c r="G2515" s="1">
        <v>1300079630</v>
      </c>
      <c r="H2515" s="1">
        <v>12</v>
      </c>
      <c r="I2515" s="1" t="s">
        <v>347</v>
      </c>
      <c r="J2515" t="s">
        <v>5088</v>
      </c>
    </row>
    <row r="2516" spans="1:10">
      <c r="A2516" s="1">
        <v>171967</v>
      </c>
      <c r="B2516" s="1">
        <v>2100077054</v>
      </c>
      <c r="C2516" s="1">
        <v>10</v>
      </c>
      <c r="D2516" s="1" t="s">
        <v>1254</v>
      </c>
      <c r="E2516" t="s">
        <v>5053</v>
      </c>
      <c r="F2516" s="1">
        <v>382176</v>
      </c>
      <c r="G2516" s="1">
        <v>1300079840</v>
      </c>
      <c r="H2516" s="1">
        <v>12</v>
      </c>
      <c r="I2516" s="1" t="s">
        <v>632</v>
      </c>
      <c r="J2516" t="s">
        <v>5089</v>
      </c>
    </row>
    <row r="2517" spans="1:10">
      <c r="A2517" s="1">
        <v>171041</v>
      </c>
      <c r="B2517" s="1">
        <v>2840001170</v>
      </c>
      <c r="C2517" s="1">
        <v>12</v>
      </c>
      <c r="D2517" s="1" t="s">
        <v>5054</v>
      </c>
      <c r="E2517" t="s">
        <v>5055</v>
      </c>
      <c r="F2517" s="1">
        <v>134767</v>
      </c>
      <c r="G2517" s="1">
        <v>7110000052</v>
      </c>
      <c r="H2517" s="1">
        <v>12</v>
      </c>
      <c r="I2517" s="1" t="s">
        <v>1190</v>
      </c>
      <c r="J2517" t="s">
        <v>5090</v>
      </c>
    </row>
    <row r="2518" spans="1:10">
      <c r="A2518" s="1">
        <v>291161</v>
      </c>
      <c r="B2518" s="1">
        <v>2100001060</v>
      </c>
      <c r="C2518" s="1">
        <v>10</v>
      </c>
      <c r="D2518" s="1" t="s">
        <v>5056</v>
      </c>
      <c r="E2518" t="s">
        <v>5057</v>
      </c>
      <c r="F2518" s="1">
        <v>110122</v>
      </c>
      <c r="G2518" s="1">
        <v>3900060020</v>
      </c>
      <c r="H2518" s="1">
        <v>12</v>
      </c>
      <c r="I2518" s="1" t="s">
        <v>910</v>
      </c>
      <c r="J2518" t="s">
        <v>5091</v>
      </c>
    </row>
    <row r="2519" spans="1:10">
      <c r="A2519" s="1">
        <v>171132</v>
      </c>
      <c r="B2519" s="1">
        <v>2840008138</v>
      </c>
      <c r="C2519" s="1">
        <v>12</v>
      </c>
      <c r="D2519" s="1" t="s">
        <v>381</v>
      </c>
      <c r="E2519" t="s">
        <v>5058</v>
      </c>
      <c r="F2519" s="1">
        <v>109603</v>
      </c>
      <c r="G2519" s="1">
        <v>1116610960</v>
      </c>
      <c r="H2519" s="1">
        <v>24</v>
      </c>
      <c r="I2519" s="1" t="s">
        <v>370</v>
      </c>
      <c r="J2519" t="s">
        <v>5092</v>
      </c>
    </row>
    <row r="2520" spans="1:10">
      <c r="A2520" s="1">
        <v>171256</v>
      </c>
      <c r="B2520" s="1">
        <v>2840008137</v>
      </c>
      <c r="C2520" s="1">
        <v>12</v>
      </c>
      <c r="D2520" s="1" t="s">
        <v>381</v>
      </c>
      <c r="E2520" t="s">
        <v>5059</v>
      </c>
      <c r="F2520" s="1">
        <v>109587</v>
      </c>
      <c r="G2520" s="1">
        <v>1116610958</v>
      </c>
      <c r="H2520" s="1">
        <v>24</v>
      </c>
      <c r="I2520" s="1" t="s">
        <v>370</v>
      </c>
      <c r="J2520" t="s">
        <v>5093</v>
      </c>
    </row>
    <row r="2521" spans="1:10">
      <c r="A2521" s="1">
        <v>171082</v>
      </c>
      <c r="B2521" s="1">
        <v>2840000506</v>
      </c>
      <c r="C2521" s="1">
        <v>12</v>
      </c>
      <c r="D2521" s="1" t="s">
        <v>399</v>
      </c>
      <c r="E2521" t="s">
        <v>5060</v>
      </c>
      <c r="F2521" s="1">
        <v>109553</v>
      </c>
      <c r="G2521" s="1">
        <v>1116610955</v>
      </c>
      <c r="H2521" s="1">
        <v>24</v>
      </c>
      <c r="I2521" s="1" t="s">
        <v>370</v>
      </c>
      <c r="J2521" t="s">
        <v>5094</v>
      </c>
    </row>
    <row r="2522" spans="1:10">
      <c r="A2522" s="1">
        <v>171272</v>
      </c>
      <c r="B2522" s="1">
        <v>2840001095</v>
      </c>
      <c r="C2522" s="1">
        <v>12</v>
      </c>
      <c r="D2522" s="1" t="s">
        <v>381</v>
      </c>
      <c r="E2522" t="s">
        <v>5061</v>
      </c>
      <c r="F2522" s="1">
        <v>110783</v>
      </c>
      <c r="G2522" s="1">
        <v>1116611078</v>
      </c>
      <c r="H2522" s="1">
        <v>12</v>
      </c>
      <c r="I2522" s="1" t="s">
        <v>347</v>
      </c>
      <c r="J2522" t="s">
        <v>5095</v>
      </c>
    </row>
    <row r="2523" spans="1:10">
      <c r="A2523" s="1">
        <v>97980</v>
      </c>
      <c r="B2523" s="1">
        <v>2840005298</v>
      </c>
      <c r="C2523" s="1">
        <v>12</v>
      </c>
      <c r="D2523" s="1" t="s">
        <v>399</v>
      </c>
      <c r="E2523" t="s">
        <v>5062</v>
      </c>
      <c r="F2523" s="1">
        <v>111773</v>
      </c>
      <c r="G2523" s="1">
        <v>1116611177</v>
      </c>
      <c r="H2523" s="1">
        <v>12</v>
      </c>
      <c r="I2523" s="1" t="s">
        <v>347</v>
      </c>
      <c r="J2523" t="s">
        <v>5096</v>
      </c>
    </row>
    <row r="2524" spans="1:10">
      <c r="A2524" s="1">
        <v>171074</v>
      </c>
      <c r="B2524" s="1">
        <v>2840000417</v>
      </c>
      <c r="C2524" s="1">
        <v>12</v>
      </c>
      <c r="D2524" s="1" t="s">
        <v>106</v>
      </c>
      <c r="E2524" t="s">
        <v>5063</v>
      </c>
      <c r="F2524" s="1">
        <v>111781</v>
      </c>
      <c r="G2524" s="1">
        <v>1116611178</v>
      </c>
      <c r="H2524" s="1">
        <v>12</v>
      </c>
      <c r="I2524" s="1" t="s">
        <v>347</v>
      </c>
      <c r="J2524" t="s">
        <v>5097</v>
      </c>
    </row>
    <row r="2525" spans="1:10" ht="15.75">
      <c r="A2525" s="4" t="s">
        <v>10747</v>
      </c>
      <c r="B2525" s="2"/>
      <c r="C2525" s="2"/>
      <c r="D2525" s="2"/>
      <c r="E2525" s="3"/>
      <c r="F2525" s="4" t="s">
        <v>10748</v>
      </c>
      <c r="G2525" s="2"/>
      <c r="H2525" s="2"/>
      <c r="I2525" s="2"/>
      <c r="J2525" s="3"/>
    </row>
    <row r="2526" spans="1:10">
      <c r="A2526" s="2" t="s">
        <v>0</v>
      </c>
      <c r="B2526" s="2" t="s">
        <v>1</v>
      </c>
      <c r="C2526" s="2" t="s">
        <v>2</v>
      </c>
      <c r="D2526" s="2" t="s">
        <v>3</v>
      </c>
      <c r="E2526" s="3" t="s">
        <v>4</v>
      </c>
      <c r="F2526" s="2" t="s">
        <v>0</v>
      </c>
      <c r="G2526" s="2" t="s">
        <v>1</v>
      </c>
      <c r="H2526" s="2" t="s">
        <v>2</v>
      </c>
      <c r="I2526" s="2" t="s">
        <v>3</v>
      </c>
      <c r="J2526" s="3" t="s">
        <v>4</v>
      </c>
    </row>
    <row r="2527" spans="1:10">
      <c r="A2527" s="1">
        <v>110882</v>
      </c>
      <c r="B2527" s="1">
        <v>1300079532</v>
      </c>
      <c r="C2527" s="1">
        <v>12</v>
      </c>
      <c r="D2527" s="1" t="s">
        <v>347</v>
      </c>
      <c r="E2527" t="s">
        <v>5064</v>
      </c>
      <c r="F2527" s="1">
        <v>106187</v>
      </c>
      <c r="G2527" s="1">
        <v>7239610000</v>
      </c>
      <c r="H2527" s="1">
        <v>12</v>
      </c>
      <c r="I2527" s="1" t="s">
        <v>397</v>
      </c>
      <c r="J2527" t="s">
        <v>5098</v>
      </c>
    </row>
    <row r="2528" spans="1:10">
      <c r="A2528" s="1">
        <v>110296</v>
      </c>
      <c r="B2528" s="1">
        <v>1300079531</v>
      </c>
      <c r="C2528" s="1">
        <v>12</v>
      </c>
      <c r="D2528" s="1" t="s">
        <v>347</v>
      </c>
      <c r="E2528" t="s">
        <v>5065</v>
      </c>
      <c r="F2528" s="1">
        <v>678938</v>
      </c>
      <c r="G2528" s="1">
        <v>4113027048</v>
      </c>
      <c r="H2528" s="1">
        <v>24</v>
      </c>
      <c r="I2528" s="1" t="s">
        <v>15</v>
      </c>
      <c r="J2528" t="s">
        <v>5099</v>
      </c>
    </row>
    <row r="2529" spans="1:10">
      <c r="A2529" s="1">
        <v>110205</v>
      </c>
      <c r="B2529" s="1">
        <v>1300079533</v>
      </c>
      <c r="C2529" s="1">
        <v>12</v>
      </c>
      <c r="D2529" s="1" t="s">
        <v>347</v>
      </c>
      <c r="E2529" t="s">
        <v>5066</v>
      </c>
      <c r="F2529" s="1">
        <v>486860</v>
      </c>
      <c r="G2529" s="1">
        <v>4113027036</v>
      </c>
      <c r="H2529" s="1">
        <v>24</v>
      </c>
      <c r="I2529" s="1" t="s">
        <v>15</v>
      </c>
      <c r="J2529" t="s">
        <v>5100</v>
      </c>
    </row>
    <row r="2530" spans="1:10">
      <c r="A2530" s="1">
        <v>109918</v>
      </c>
      <c r="B2530" s="1">
        <v>5100002558</v>
      </c>
      <c r="C2530" s="1">
        <v>24</v>
      </c>
      <c r="D2530" s="1" t="s">
        <v>370</v>
      </c>
      <c r="E2530" t="s">
        <v>5067</v>
      </c>
      <c r="F2530" s="1">
        <v>784702</v>
      </c>
      <c r="G2530" s="1">
        <v>4760091630</v>
      </c>
      <c r="H2530" s="1">
        <v>12</v>
      </c>
      <c r="I2530" s="1" t="s">
        <v>5101</v>
      </c>
      <c r="J2530" t="s">
        <v>5102</v>
      </c>
    </row>
    <row r="2531" spans="1:10">
      <c r="A2531" s="1">
        <v>109959</v>
      </c>
      <c r="B2531" s="1">
        <v>5100002550</v>
      </c>
      <c r="C2531" s="1">
        <v>24</v>
      </c>
      <c r="D2531" s="1" t="s">
        <v>2173</v>
      </c>
      <c r="E2531" t="s">
        <v>5068</v>
      </c>
      <c r="F2531" s="1">
        <v>384792</v>
      </c>
      <c r="G2531" s="1">
        <v>4150005829</v>
      </c>
      <c r="H2531" s="1">
        <v>18</v>
      </c>
      <c r="I2531" s="1" t="s">
        <v>417</v>
      </c>
      <c r="J2531" t="s">
        <v>5103</v>
      </c>
    </row>
    <row r="2532" spans="1:10">
      <c r="A2532" s="1">
        <v>109892</v>
      </c>
      <c r="B2532" s="1">
        <v>5100002552</v>
      </c>
      <c r="C2532" s="1">
        <v>24</v>
      </c>
      <c r="D2532" s="1" t="s">
        <v>1409</v>
      </c>
      <c r="E2532" t="s">
        <v>5068</v>
      </c>
      <c r="F2532" s="1">
        <v>43117</v>
      </c>
      <c r="G2532" s="1">
        <v>4150005807</v>
      </c>
      <c r="H2532" s="1">
        <v>18</v>
      </c>
      <c r="I2532" s="1" t="s">
        <v>18</v>
      </c>
      <c r="J2532" t="s">
        <v>5104</v>
      </c>
    </row>
    <row r="2533" spans="1:10">
      <c r="A2533" s="1">
        <v>109900</v>
      </c>
      <c r="B2533" s="1">
        <v>5100002577</v>
      </c>
      <c r="C2533" s="1">
        <v>24</v>
      </c>
      <c r="D2533" s="1" t="s">
        <v>370</v>
      </c>
      <c r="E2533" t="s">
        <v>5069</v>
      </c>
      <c r="F2533" s="1">
        <v>599399</v>
      </c>
      <c r="G2533" s="1">
        <v>4150005890</v>
      </c>
      <c r="H2533" s="1">
        <v>24</v>
      </c>
      <c r="I2533" s="1" t="s">
        <v>15</v>
      </c>
      <c r="J2533" t="s">
        <v>5105</v>
      </c>
    </row>
    <row r="2534" spans="1:10">
      <c r="A2534" s="1">
        <v>109843</v>
      </c>
      <c r="B2534" s="1">
        <v>5100002578</v>
      </c>
      <c r="C2534" s="1">
        <v>24</v>
      </c>
      <c r="D2534" s="1" t="s">
        <v>1409</v>
      </c>
      <c r="E2534" t="s">
        <v>5069</v>
      </c>
      <c r="F2534" s="1">
        <v>449652</v>
      </c>
      <c r="G2534" s="1">
        <v>2150011100</v>
      </c>
      <c r="H2534" s="1">
        <v>24</v>
      </c>
      <c r="I2534" s="1" t="s">
        <v>17</v>
      </c>
      <c r="J2534" t="s">
        <v>5106</v>
      </c>
    </row>
    <row r="2535" spans="1:10">
      <c r="A2535" s="1">
        <v>109520</v>
      </c>
      <c r="B2535" s="1">
        <v>5100015032</v>
      </c>
      <c r="C2535" s="1">
        <v>24</v>
      </c>
      <c r="D2535" s="1" t="s">
        <v>1409</v>
      </c>
      <c r="E2535" t="s">
        <v>5070</v>
      </c>
      <c r="F2535" s="1">
        <v>136523</v>
      </c>
      <c r="G2535" s="1">
        <v>5210004081</v>
      </c>
      <c r="H2535" s="1">
        <v>24</v>
      </c>
      <c r="I2535" s="1" t="s">
        <v>15</v>
      </c>
      <c r="J2535" t="s">
        <v>5107</v>
      </c>
    </row>
    <row r="2536" spans="1:10">
      <c r="A2536" s="1">
        <v>109942</v>
      </c>
      <c r="B2536" s="1">
        <v>5100002555</v>
      </c>
      <c r="C2536" s="1">
        <v>24</v>
      </c>
      <c r="D2536" s="1" t="s">
        <v>370</v>
      </c>
      <c r="E2536" t="s">
        <v>5071</v>
      </c>
      <c r="F2536" s="1">
        <v>327817</v>
      </c>
      <c r="G2536" s="1">
        <v>5210035188</v>
      </c>
      <c r="H2536" s="1">
        <v>12</v>
      </c>
      <c r="I2536" s="1" t="s">
        <v>203</v>
      </c>
      <c r="J2536" t="s">
        <v>5108</v>
      </c>
    </row>
    <row r="2537" spans="1:10">
      <c r="A2537" s="1">
        <v>109876</v>
      </c>
      <c r="B2537" s="1">
        <v>5100010775</v>
      </c>
      <c r="C2537" s="1">
        <v>24</v>
      </c>
      <c r="D2537" s="1" t="s">
        <v>1409</v>
      </c>
      <c r="E2537" t="s">
        <v>5072</v>
      </c>
      <c r="F2537" s="1">
        <v>143529</v>
      </c>
      <c r="G2537" s="1">
        <v>5210003850</v>
      </c>
      <c r="H2537" s="1">
        <v>12</v>
      </c>
      <c r="I2537" s="1" t="s">
        <v>17</v>
      </c>
      <c r="J2537" t="s">
        <v>5109</v>
      </c>
    </row>
    <row r="2538" spans="1:10">
      <c r="A2538" s="1">
        <v>109934</v>
      </c>
      <c r="B2538" s="1">
        <v>5100002554</v>
      </c>
      <c r="C2538" s="1">
        <v>24</v>
      </c>
      <c r="D2538" s="1" t="s">
        <v>370</v>
      </c>
      <c r="E2538" t="s">
        <v>5073</v>
      </c>
      <c r="F2538" s="1">
        <v>134379</v>
      </c>
      <c r="G2538" s="1">
        <v>5210074758</v>
      </c>
      <c r="H2538" s="1">
        <v>12</v>
      </c>
      <c r="I2538" s="1" t="s">
        <v>85</v>
      </c>
      <c r="J2538" t="s">
        <v>5110</v>
      </c>
    </row>
    <row r="2539" spans="1:10">
      <c r="A2539" s="1">
        <v>116434</v>
      </c>
      <c r="B2539" s="1">
        <v>5100012568</v>
      </c>
      <c r="C2539" s="1">
        <v>12</v>
      </c>
      <c r="D2539" s="1" t="s">
        <v>347</v>
      </c>
      <c r="E2539" t="s">
        <v>5074</v>
      </c>
      <c r="F2539" s="1">
        <v>456087</v>
      </c>
      <c r="G2539" s="1">
        <v>5210015747</v>
      </c>
      <c r="H2539" s="1">
        <v>6</v>
      </c>
      <c r="I2539" s="1" t="s">
        <v>99</v>
      </c>
      <c r="J2539" t="s">
        <v>5111</v>
      </c>
    </row>
    <row r="2540" spans="1:10">
      <c r="A2540" s="1">
        <v>116418</v>
      </c>
      <c r="B2540" s="1">
        <v>5100011673</v>
      </c>
      <c r="C2540" s="1">
        <v>12</v>
      </c>
      <c r="D2540" s="1" t="s">
        <v>347</v>
      </c>
      <c r="E2540" t="s">
        <v>5075</v>
      </c>
      <c r="F2540" s="1">
        <v>89961</v>
      </c>
      <c r="G2540" s="1">
        <v>5210015746</v>
      </c>
      <c r="H2540" s="1">
        <v>6</v>
      </c>
      <c r="I2540" s="1" t="s">
        <v>15</v>
      </c>
      <c r="J2540" t="s">
        <v>5112</v>
      </c>
    </row>
    <row r="2541" spans="1:10">
      <c r="A2541" s="1">
        <v>110320</v>
      </c>
      <c r="B2541" s="1">
        <v>5100001595</v>
      </c>
      <c r="C2541" s="1">
        <v>12</v>
      </c>
      <c r="D2541" s="1" t="s">
        <v>347</v>
      </c>
      <c r="E2541" t="s">
        <v>5076</v>
      </c>
      <c r="F2541" s="1">
        <v>156802</v>
      </c>
      <c r="G2541" s="1">
        <v>5210015743</v>
      </c>
      <c r="H2541" s="1">
        <v>6</v>
      </c>
      <c r="I2541" s="1" t="s">
        <v>5113</v>
      </c>
      <c r="J2541" t="s">
        <v>5114</v>
      </c>
    </row>
    <row r="2542" spans="1:10">
      <c r="A2542" s="1">
        <v>257394</v>
      </c>
      <c r="B2542" s="1">
        <v>5000005328</v>
      </c>
      <c r="C2542" s="1">
        <v>6</v>
      </c>
      <c r="D2542" s="1" t="s">
        <v>3773</v>
      </c>
      <c r="E2542" t="s">
        <v>5077</v>
      </c>
      <c r="F2542" s="1">
        <v>206086</v>
      </c>
      <c r="G2542" s="1">
        <v>5210015742</v>
      </c>
      <c r="H2542" s="1">
        <v>6</v>
      </c>
      <c r="I2542" s="1" t="s">
        <v>112</v>
      </c>
      <c r="J2542" t="s">
        <v>5115</v>
      </c>
    </row>
    <row r="2543" spans="1:10" ht="15.75">
      <c r="A2543" s="4" t="s">
        <v>10748</v>
      </c>
      <c r="B2543" s="2"/>
      <c r="C2543" s="2"/>
      <c r="D2543" s="2"/>
      <c r="E2543" s="3"/>
      <c r="F2543" s="4" t="s">
        <v>10748</v>
      </c>
      <c r="G2543" s="2"/>
      <c r="H2543" s="2"/>
      <c r="I2543" s="2"/>
      <c r="J2543" s="3"/>
    </row>
    <row r="2544" spans="1:10">
      <c r="A2544" s="2" t="s">
        <v>0</v>
      </c>
      <c r="B2544" s="2" t="s">
        <v>1</v>
      </c>
      <c r="C2544" s="2" t="s">
        <v>2</v>
      </c>
      <c r="D2544" s="2" t="s">
        <v>3</v>
      </c>
      <c r="E2544" s="3" t="s">
        <v>4</v>
      </c>
      <c r="F2544" s="2" t="s">
        <v>0</v>
      </c>
      <c r="G2544" s="2" t="s">
        <v>1</v>
      </c>
      <c r="H2544" s="2" t="s">
        <v>2</v>
      </c>
      <c r="I2544" s="2" t="s">
        <v>3</v>
      </c>
      <c r="J2544" s="3" t="s">
        <v>4</v>
      </c>
    </row>
    <row r="2545" spans="1:10">
      <c r="A2545" s="1">
        <v>696864</v>
      </c>
      <c r="B2545" s="1">
        <v>5210015745</v>
      </c>
      <c r="C2545" s="1">
        <v>6</v>
      </c>
      <c r="D2545" s="1" t="s">
        <v>5116</v>
      </c>
      <c r="E2545" t="s">
        <v>5117</v>
      </c>
      <c r="F2545" s="1">
        <v>529636</v>
      </c>
      <c r="G2545" s="1">
        <v>5210052178</v>
      </c>
      <c r="H2545" s="1">
        <v>12</v>
      </c>
      <c r="I2545" s="1" t="s">
        <v>15</v>
      </c>
      <c r="J2545" t="s">
        <v>5159</v>
      </c>
    </row>
    <row r="2546" spans="1:10">
      <c r="A2546" s="1">
        <v>479444</v>
      </c>
      <c r="B2546" s="1">
        <v>5210015744</v>
      </c>
      <c r="C2546" s="1">
        <v>6</v>
      </c>
      <c r="D2546" s="1" t="s">
        <v>5116</v>
      </c>
      <c r="E2546" t="s">
        <v>5118</v>
      </c>
      <c r="F2546" s="1">
        <v>81216</v>
      </c>
      <c r="G2546" s="1">
        <v>5210015737</v>
      </c>
      <c r="H2546" s="1">
        <v>6</v>
      </c>
      <c r="I2546" s="1" t="s">
        <v>5116</v>
      </c>
      <c r="J2546" t="s">
        <v>5160</v>
      </c>
    </row>
    <row r="2547" spans="1:10">
      <c r="A2547" s="1">
        <v>607473</v>
      </c>
      <c r="B2547" s="1">
        <v>5210015741</v>
      </c>
      <c r="C2547" s="1">
        <v>6</v>
      </c>
      <c r="D2547" s="1" t="s">
        <v>5119</v>
      </c>
      <c r="E2547" t="s">
        <v>5120</v>
      </c>
      <c r="F2547" s="1">
        <v>898908</v>
      </c>
      <c r="G2547" s="1">
        <v>5210015738</v>
      </c>
      <c r="H2547" s="1">
        <v>6</v>
      </c>
      <c r="I2547" s="1" t="s">
        <v>5116</v>
      </c>
      <c r="J2547" t="s">
        <v>5161</v>
      </c>
    </row>
    <row r="2548" spans="1:10">
      <c r="A2548" s="1">
        <v>768176</v>
      </c>
      <c r="B2548" s="1">
        <v>5210015740</v>
      </c>
      <c r="C2548" s="1">
        <v>6</v>
      </c>
      <c r="D2548" s="1" t="s">
        <v>203</v>
      </c>
      <c r="E2548" t="s">
        <v>5121</v>
      </c>
      <c r="F2548" s="1">
        <v>450320</v>
      </c>
      <c r="G2548" s="1">
        <v>5210051598</v>
      </c>
      <c r="H2548" s="1">
        <v>12</v>
      </c>
      <c r="I2548" s="1" t="s">
        <v>15</v>
      </c>
      <c r="J2548" t="s">
        <v>5162</v>
      </c>
    </row>
    <row r="2549" spans="1:10">
      <c r="A2549" s="1">
        <v>881839</v>
      </c>
      <c r="B2549" s="1">
        <v>5210045150</v>
      </c>
      <c r="C2549" s="1">
        <v>12</v>
      </c>
      <c r="D2549" s="1" t="s">
        <v>200</v>
      </c>
      <c r="E2549" t="s">
        <v>5122</v>
      </c>
      <c r="F2549" s="1">
        <v>232694</v>
      </c>
      <c r="G2549" s="1">
        <v>5210028943</v>
      </c>
      <c r="H2549" s="1">
        <v>12</v>
      </c>
      <c r="I2549" s="1" t="s">
        <v>2644</v>
      </c>
      <c r="J2549" t="s">
        <v>5163</v>
      </c>
    </row>
    <row r="2550" spans="1:10">
      <c r="A2550" s="1">
        <v>232686</v>
      </c>
      <c r="B2550" s="1">
        <v>5210094269</v>
      </c>
      <c r="C2550" s="1">
        <v>12</v>
      </c>
      <c r="D2550" s="1" t="s">
        <v>15</v>
      </c>
      <c r="E2550" t="s">
        <v>5123</v>
      </c>
      <c r="F2550" s="1">
        <v>508564</v>
      </c>
      <c r="G2550" s="1">
        <v>5210015734</v>
      </c>
      <c r="H2550" s="1">
        <v>6</v>
      </c>
      <c r="I2550" s="1" t="s">
        <v>421</v>
      </c>
      <c r="J2550" t="s">
        <v>5164</v>
      </c>
    </row>
    <row r="2551" spans="1:10">
      <c r="A2551" s="1">
        <v>443879</v>
      </c>
      <c r="B2551" s="1">
        <v>5210015520</v>
      </c>
      <c r="C2551" s="1">
        <v>24</v>
      </c>
      <c r="D2551" s="1" t="s">
        <v>15</v>
      </c>
      <c r="E2551" t="s">
        <v>5124</v>
      </c>
      <c r="F2551" s="1">
        <v>134270</v>
      </c>
      <c r="G2551" s="1">
        <v>5210004360</v>
      </c>
      <c r="H2551" s="1">
        <v>24</v>
      </c>
      <c r="I2551" s="1" t="s">
        <v>17</v>
      </c>
      <c r="J2551" t="s">
        <v>5165</v>
      </c>
    </row>
    <row r="2552" spans="1:10">
      <c r="A2552" s="1">
        <v>443846</v>
      </c>
      <c r="B2552" s="1">
        <v>5210009110</v>
      </c>
      <c r="C2552" s="1">
        <v>24</v>
      </c>
      <c r="D2552" s="1" t="s">
        <v>15</v>
      </c>
      <c r="E2552" t="s">
        <v>5125</v>
      </c>
      <c r="F2552" s="1">
        <v>133975</v>
      </c>
      <c r="G2552" s="1">
        <v>5210002122</v>
      </c>
      <c r="H2552" s="1">
        <v>12</v>
      </c>
      <c r="I2552" s="1" t="s">
        <v>15</v>
      </c>
      <c r="J2552" t="s">
        <v>5166</v>
      </c>
    </row>
    <row r="2553" spans="1:10">
      <c r="A2553" s="1">
        <v>134494</v>
      </c>
      <c r="B2553" s="1">
        <v>5210009150</v>
      </c>
      <c r="C2553" s="1">
        <v>24</v>
      </c>
      <c r="D2553" s="1" t="s">
        <v>15</v>
      </c>
      <c r="E2553" t="s">
        <v>5126</v>
      </c>
      <c r="F2553" s="1">
        <v>55772</v>
      </c>
      <c r="G2553" s="1">
        <v>5210065128</v>
      </c>
      <c r="H2553" s="1">
        <v>12</v>
      </c>
      <c r="I2553" s="1" t="s">
        <v>17</v>
      </c>
      <c r="J2553" t="s">
        <v>5167</v>
      </c>
    </row>
    <row r="2554" spans="1:10">
      <c r="A2554" s="1">
        <v>145896</v>
      </c>
      <c r="B2554" s="1">
        <v>5210015633</v>
      </c>
      <c r="C2554" s="1">
        <v>12</v>
      </c>
      <c r="D2554" s="1" t="s">
        <v>163</v>
      </c>
      <c r="E2554" t="s">
        <v>5127</v>
      </c>
      <c r="F2554" s="1">
        <v>492488</v>
      </c>
      <c r="G2554" s="1">
        <v>5210065188</v>
      </c>
      <c r="H2554" s="1">
        <v>12</v>
      </c>
      <c r="I2554" s="1" t="s">
        <v>17</v>
      </c>
      <c r="J2554" t="s">
        <v>5168</v>
      </c>
    </row>
    <row r="2555" spans="1:10">
      <c r="A2555" s="1">
        <v>320234</v>
      </c>
      <c r="B2555" s="1">
        <v>5210015612</v>
      </c>
      <c r="C2555" s="1">
        <v>12</v>
      </c>
      <c r="D2555" s="1" t="s">
        <v>163</v>
      </c>
      <c r="E2555" t="s">
        <v>5128</v>
      </c>
      <c r="F2555" s="1">
        <v>134510</v>
      </c>
      <c r="G2555" s="1">
        <v>5210008480</v>
      </c>
      <c r="H2555" s="1">
        <v>24</v>
      </c>
      <c r="I2555" s="1" t="s">
        <v>5169</v>
      </c>
      <c r="J2555" t="s">
        <v>5170</v>
      </c>
    </row>
    <row r="2556" spans="1:10">
      <c r="A2556" s="1">
        <v>542738</v>
      </c>
      <c r="B2556" s="1">
        <v>5210044124</v>
      </c>
      <c r="C2556" s="1">
        <v>12</v>
      </c>
      <c r="D2556" s="1" t="s">
        <v>1187</v>
      </c>
      <c r="E2556" t="s">
        <v>5129</v>
      </c>
      <c r="F2556" s="1">
        <v>232751</v>
      </c>
      <c r="G2556" s="1">
        <v>5210073568</v>
      </c>
      <c r="H2556" s="1">
        <v>12</v>
      </c>
      <c r="I2556" s="1" t="s">
        <v>128</v>
      </c>
      <c r="J2556" t="s">
        <v>5171</v>
      </c>
    </row>
    <row r="2557" spans="1:10">
      <c r="A2557" s="1">
        <v>134791</v>
      </c>
      <c r="B2557" s="1">
        <v>5210009160</v>
      </c>
      <c r="C2557" s="1">
        <v>12</v>
      </c>
      <c r="D2557" s="1" t="s">
        <v>17</v>
      </c>
      <c r="E2557" t="s">
        <v>5130</v>
      </c>
      <c r="F2557" s="1">
        <v>232736</v>
      </c>
      <c r="G2557" s="1">
        <v>5210049932</v>
      </c>
      <c r="H2557" s="1">
        <v>12</v>
      </c>
      <c r="I2557" s="1" t="s">
        <v>17</v>
      </c>
      <c r="J2557" t="s">
        <v>5172</v>
      </c>
    </row>
    <row r="2558" spans="1:10">
      <c r="A2558" s="1">
        <v>103150</v>
      </c>
      <c r="B2558" s="1">
        <v>5210002121</v>
      </c>
      <c r="C2558" s="1">
        <v>12</v>
      </c>
      <c r="D2558" s="1" t="s">
        <v>200</v>
      </c>
      <c r="E2558" t="s">
        <v>5131</v>
      </c>
      <c r="F2558" s="1">
        <v>232744</v>
      </c>
      <c r="G2558" s="1">
        <v>5210065992</v>
      </c>
      <c r="H2558" s="1">
        <v>12</v>
      </c>
      <c r="I2558" s="1" t="s">
        <v>17</v>
      </c>
      <c r="J2558" t="s">
        <v>5173</v>
      </c>
    </row>
    <row r="2559" spans="1:10">
      <c r="A2559" s="1">
        <v>871582</v>
      </c>
      <c r="B2559" s="1">
        <v>5210057409</v>
      </c>
      <c r="C2559" s="1">
        <v>12</v>
      </c>
      <c r="D2559" s="1" t="s">
        <v>15</v>
      </c>
      <c r="E2559" t="s">
        <v>5132</v>
      </c>
      <c r="F2559" s="1">
        <v>232728</v>
      </c>
      <c r="G2559" s="1">
        <v>5210038245</v>
      </c>
      <c r="H2559" s="1">
        <v>12</v>
      </c>
      <c r="I2559" s="1" t="s">
        <v>56</v>
      </c>
      <c r="J2559" t="s">
        <v>5174</v>
      </c>
    </row>
    <row r="2560" spans="1:10">
      <c r="A2560" s="1">
        <v>708842</v>
      </c>
      <c r="B2560" s="1">
        <v>5210068452</v>
      </c>
      <c r="C2560" s="1">
        <v>12</v>
      </c>
      <c r="D2560" s="1" t="s">
        <v>15</v>
      </c>
      <c r="E2560" t="s">
        <v>5133</v>
      </c>
      <c r="F2560" s="1">
        <v>134676</v>
      </c>
      <c r="G2560" s="1">
        <v>5210009140</v>
      </c>
      <c r="H2560" s="1">
        <v>24</v>
      </c>
      <c r="I2560" s="1" t="s">
        <v>17</v>
      </c>
      <c r="J2560" t="s">
        <v>5175</v>
      </c>
    </row>
    <row r="2561" spans="1:10">
      <c r="A2561" s="1">
        <v>832048</v>
      </c>
      <c r="B2561" s="1">
        <v>5210057410</v>
      </c>
      <c r="C2561" s="1">
        <v>12</v>
      </c>
      <c r="D2561" s="1" t="s">
        <v>5113</v>
      </c>
      <c r="E2561" t="s">
        <v>5134</v>
      </c>
      <c r="F2561" s="1">
        <v>281766</v>
      </c>
      <c r="G2561" s="1">
        <v>5210015733</v>
      </c>
      <c r="H2561" s="1">
        <v>6</v>
      </c>
      <c r="I2561" s="1" t="s">
        <v>4940</v>
      </c>
      <c r="J2561" t="s">
        <v>5176</v>
      </c>
    </row>
    <row r="2562" spans="1:10">
      <c r="A2562" s="1">
        <v>232629</v>
      </c>
      <c r="B2562" s="1">
        <v>5210096842</v>
      </c>
      <c r="C2562" s="1">
        <v>12</v>
      </c>
      <c r="D2562" s="1" t="s">
        <v>5135</v>
      </c>
      <c r="E2562" t="s">
        <v>5136</v>
      </c>
      <c r="F2562" s="1">
        <v>133967</v>
      </c>
      <c r="G2562" s="1">
        <v>5210002123</v>
      </c>
      <c r="H2562" s="1">
        <v>12</v>
      </c>
      <c r="I2562" s="1" t="s">
        <v>15</v>
      </c>
      <c r="J2562" t="s">
        <v>5177</v>
      </c>
    </row>
    <row r="2563" spans="1:10">
      <c r="A2563" s="1">
        <v>232603</v>
      </c>
      <c r="B2563" s="1">
        <v>5210074862</v>
      </c>
      <c r="C2563" s="1">
        <v>12</v>
      </c>
      <c r="D2563" s="1" t="s">
        <v>2666</v>
      </c>
      <c r="E2563" t="s">
        <v>5137</v>
      </c>
      <c r="F2563" s="1">
        <v>134403</v>
      </c>
      <c r="G2563" s="1">
        <v>5210009170</v>
      </c>
      <c r="H2563" s="1">
        <v>24</v>
      </c>
      <c r="I2563" s="1" t="s">
        <v>15</v>
      </c>
      <c r="J2563" t="s">
        <v>5178</v>
      </c>
    </row>
    <row r="2564" spans="1:10">
      <c r="A2564" s="1">
        <v>232637</v>
      </c>
      <c r="B2564" s="1">
        <v>5210085854</v>
      </c>
      <c r="C2564" s="1">
        <v>12</v>
      </c>
      <c r="D2564" s="1" t="s">
        <v>5135</v>
      </c>
      <c r="E2564" t="s">
        <v>5138</v>
      </c>
      <c r="F2564" s="1">
        <v>73973</v>
      </c>
      <c r="G2564" s="1">
        <v>5210076067</v>
      </c>
      <c r="H2564" s="1">
        <v>12</v>
      </c>
      <c r="I2564" s="1" t="s">
        <v>203</v>
      </c>
      <c r="J2564" t="s">
        <v>5179</v>
      </c>
    </row>
    <row r="2565" spans="1:10">
      <c r="A2565" s="1">
        <v>143404</v>
      </c>
      <c r="B2565" s="1">
        <v>5210002579</v>
      </c>
      <c r="C2565" s="1">
        <v>12</v>
      </c>
      <c r="D2565" s="1" t="s">
        <v>5113</v>
      </c>
      <c r="E2565" t="s">
        <v>5139</v>
      </c>
      <c r="F2565" s="1">
        <v>443838</v>
      </c>
      <c r="G2565" s="1">
        <v>5210009100</v>
      </c>
      <c r="H2565" s="1">
        <v>24</v>
      </c>
      <c r="I2565" s="1" t="s">
        <v>17</v>
      </c>
      <c r="J2565" t="s">
        <v>5180</v>
      </c>
    </row>
    <row r="2566" spans="1:10">
      <c r="A2566" s="1">
        <v>459594</v>
      </c>
      <c r="B2566" s="1">
        <v>5210044496</v>
      </c>
      <c r="C2566" s="1">
        <v>12</v>
      </c>
      <c r="D2566" s="1" t="s">
        <v>128</v>
      </c>
      <c r="E2566" t="s">
        <v>5140</v>
      </c>
      <c r="F2566" s="1">
        <v>104133</v>
      </c>
      <c r="G2566" s="1">
        <v>5210010779</v>
      </c>
      <c r="H2566" s="1">
        <v>12</v>
      </c>
      <c r="I2566" s="1" t="s">
        <v>15</v>
      </c>
      <c r="J2566" t="s">
        <v>5181</v>
      </c>
    </row>
    <row r="2567" spans="1:10">
      <c r="A2567" s="1">
        <v>495440</v>
      </c>
      <c r="B2567" s="1">
        <v>5210035211</v>
      </c>
      <c r="C2567" s="1">
        <v>12</v>
      </c>
      <c r="D2567" s="1" t="s">
        <v>5141</v>
      </c>
      <c r="E2567" t="s">
        <v>5142</v>
      </c>
      <c r="F2567" s="1">
        <v>444695</v>
      </c>
      <c r="G2567" s="1">
        <v>5210034519</v>
      </c>
      <c r="H2567" s="1">
        <v>12</v>
      </c>
      <c r="I2567" s="1" t="s">
        <v>1187</v>
      </c>
      <c r="J2567" t="s">
        <v>5182</v>
      </c>
    </row>
    <row r="2568" spans="1:10">
      <c r="A2568" s="1">
        <v>143602</v>
      </c>
      <c r="B2568" s="1">
        <v>5210002581</v>
      </c>
      <c r="C2568" s="1">
        <v>12</v>
      </c>
      <c r="D2568" s="1" t="s">
        <v>5113</v>
      </c>
      <c r="E2568" t="s">
        <v>5143</v>
      </c>
      <c r="F2568" s="1">
        <v>877431</v>
      </c>
      <c r="G2568" s="1">
        <v>5210015732</v>
      </c>
      <c r="H2568" s="1">
        <v>6</v>
      </c>
      <c r="I2568" s="1" t="s">
        <v>15</v>
      </c>
      <c r="J2568" t="s">
        <v>5183</v>
      </c>
    </row>
    <row r="2569" spans="1:10">
      <c r="A2569" s="1">
        <v>143594</v>
      </c>
      <c r="B2569" s="1">
        <v>5210002580</v>
      </c>
      <c r="C2569" s="1">
        <v>12</v>
      </c>
      <c r="D2569" s="1" t="s">
        <v>15</v>
      </c>
      <c r="E2569" t="s">
        <v>5144</v>
      </c>
      <c r="F2569" s="1">
        <v>256263</v>
      </c>
      <c r="G2569" s="1">
        <v>5210015731</v>
      </c>
      <c r="H2569" s="1">
        <v>6</v>
      </c>
      <c r="I2569" s="1" t="s">
        <v>5184</v>
      </c>
      <c r="J2569" t="s">
        <v>5185</v>
      </c>
    </row>
    <row r="2570" spans="1:10">
      <c r="A2570" s="1">
        <v>73932</v>
      </c>
      <c r="B2570" s="1">
        <v>5210076069</v>
      </c>
      <c r="C2570" s="1">
        <v>12</v>
      </c>
      <c r="D2570" s="1" t="s">
        <v>5141</v>
      </c>
      <c r="E2570" t="s">
        <v>5145</v>
      </c>
      <c r="F2570" s="1">
        <v>104315</v>
      </c>
      <c r="G2570" s="1">
        <v>5210000780</v>
      </c>
      <c r="H2570" s="1">
        <v>12</v>
      </c>
      <c r="I2570" s="1" t="s">
        <v>15</v>
      </c>
      <c r="J2570" t="s">
        <v>5186</v>
      </c>
    </row>
    <row r="2571" spans="1:10">
      <c r="A2571" s="1">
        <v>232611</v>
      </c>
      <c r="B2571" s="1">
        <v>5210062534</v>
      </c>
      <c r="C2571" s="1">
        <v>12</v>
      </c>
      <c r="D2571" s="1" t="s">
        <v>2666</v>
      </c>
      <c r="E2571" t="s">
        <v>5146</v>
      </c>
      <c r="F2571" s="1">
        <v>21261</v>
      </c>
      <c r="G2571" s="1">
        <v>2460001750</v>
      </c>
      <c r="H2571" s="1">
        <v>12</v>
      </c>
      <c r="I2571" s="1" t="s">
        <v>971</v>
      </c>
      <c r="J2571" t="s">
        <v>5187</v>
      </c>
    </row>
    <row r="2572" spans="1:10">
      <c r="A2572" s="1">
        <v>232710</v>
      </c>
      <c r="B2572" s="1">
        <v>5210027462</v>
      </c>
      <c r="C2572" s="1">
        <v>12</v>
      </c>
      <c r="D2572" s="1" t="s">
        <v>203</v>
      </c>
      <c r="E2572" t="s">
        <v>5147</v>
      </c>
      <c r="F2572" s="1">
        <v>492769</v>
      </c>
      <c r="G2572" s="1">
        <v>4600028874</v>
      </c>
      <c r="H2572" s="1">
        <v>32</v>
      </c>
      <c r="I2572" s="1" t="s">
        <v>203</v>
      </c>
      <c r="J2572" t="s">
        <v>5188</v>
      </c>
    </row>
    <row r="2573" spans="1:10">
      <c r="A2573" s="1">
        <v>438515</v>
      </c>
      <c r="B2573" s="1">
        <v>5210044137</v>
      </c>
      <c r="C2573" s="1">
        <v>12</v>
      </c>
      <c r="D2573" s="1" t="s">
        <v>128</v>
      </c>
      <c r="E2573" t="s">
        <v>5148</v>
      </c>
      <c r="F2573" s="1">
        <v>789511</v>
      </c>
      <c r="G2573" s="1">
        <v>4600028877</v>
      </c>
      <c r="H2573" s="1">
        <v>32</v>
      </c>
      <c r="I2573" s="1" t="s">
        <v>203</v>
      </c>
      <c r="J2573" t="s">
        <v>5189</v>
      </c>
    </row>
    <row r="2574" spans="1:10">
      <c r="A2574" s="1">
        <v>134395</v>
      </c>
      <c r="B2574" s="1">
        <v>5210074757</v>
      </c>
      <c r="C2574" s="1">
        <v>12</v>
      </c>
      <c r="D2574" s="1" t="s">
        <v>15</v>
      </c>
      <c r="E2574" t="s">
        <v>5149</v>
      </c>
      <c r="F2574" s="1">
        <v>373571</v>
      </c>
      <c r="G2574" s="1">
        <v>4600028869</v>
      </c>
      <c r="H2574" s="1">
        <v>32</v>
      </c>
      <c r="I2574" s="1" t="s">
        <v>203</v>
      </c>
      <c r="J2574" t="s">
        <v>5190</v>
      </c>
    </row>
    <row r="2575" spans="1:10">
      <c r="A2575" s="1">
        <v>133991</v>
      </c>
      <c r="B2575" s="1">
        <v>5210074759</v>
      </c>
      <c r="C2575" s="1">
        <v>12</v>
      </c>
      <c r="D2575" s="1" t="s">
        <v>15</v>
      </c>
      <c r="E2575" t="s">
        <v>5150</v>
      </c>
      <c r="F2575" s="1">
        <v>173492</v>
      </c>
      <c r="G2575" s="1">
        <v>3900008150</v>
      </c>
      <c r="H2575" s="1">
        <v>12</v>
      </c>
      <c r="I2575" s="1" t="s">
        <v>15</v>
      </c>
      <c r="J2575" t="s">
        <v>5191</v>
      </c>
    </row>
    <row r="2576" spans="1:10">
      <c r="A2576" s="1">
        <v>143412</v>
      </c>
      <c r="B2576" s="1">
        <v>5210002578</v>
      </c>
      <c r="C2576" s="1">
        <v>12</v>
      </c>
      <c r="D2576" s="1" t="s">
        <v>5113</v>
      </c>
      <c r="E2576" t="s">
        <v>5151</v>
      </c>
      <c r="F2576" s="1">
        <v>173278</v>
      </c>
      <c r="G2576" s="1">
        <v>3900000820</v>
      </c>
      <c r="H2576" s="1">
        <v>24</v>
      </c>
      <c r="I2576" s="1" t="s">
        <v>15</v>
      </c>
      <c r="J2576" t="s">
        <v>5192</v>
      </c>
    </row>
    <row r="2577" spans="1:10">
      <c r="A2577" s="1">
        <v>134650</v>
      </c>
      <c r="B2577" s="1">
        <v>5210009550</v>
      </c>
      <c r="C2577" s="1">
        <v>24</v>
      </c>
      <c r="D2577" s="1" t="s">
        <v>17</v>
      </c>
      <c r="E2577" t="s">
        <v>5152</v>
      </c>
      <c r="F2577" s="1">
        <v>108167</v>
      </c>
      <c r="G2577" s="1">
        <v>1116610816</v>
      </c>
      <c r="H2577" s="1">
        <v>12</v>
      </c>
      <c r="I2577" s="1" t="s">
        <v>5116</v>
      </c>
      <c r="J2577" t="s">
        <v>5193</v>
      </c>
    </row>
    <row r="2578" spans="1:10">
      <c r="A2578" s="1">
        <v>134361</v>
      </c>
      <c r="B2578" s="1">
        <v>5210009800</v>
      </c>
      <c r="C2578" s="1">
        <v>12</v>
      </c>
      <c r="D2578" s="1" t="s">
        <v>200</v>
      </c>
      <c r="E2578" t="s">
        <v>5153</v>
      </c>
      <c r="F2578" s="1">
        <v>108084</v>
      </c>
      <c r="G2578" s="1">
        <v>1116610808</v>
      </c>
      <c r="H2578" s="1">
        <v>12</v>
      </c>
      <c r="I2578" s="1" t="s">
        <v>112</v>
      </c>
      <c r="J2578" t="s">
        <v>5194</v>
      </c>
    </row>
    <row r="2579" spans="1:10">
      <c r="A2579" s="1">
        <v>443820</v>
      </c>
      <c r="B2579" s="1">
        <v>5210009040</v>
      </c>
      <c r="C2579" s="1">
        <v>24</v>
      </c>
      <c r="D2579" s="1" t="s">
        <v>5116</v>
      </c>
      <c r="E2579" t="s">
        <v>5154</v>
      </c>
      <c r="F2579" s="1">
        <v>108076</v>
      </c>
      <c r="G2579" s="1">
        <v>1116610807</v>
      </c>
      <c r="H2579" s="1">
        <v>12</v>
      </c>
      <c r="I2579" s="1" t="s">
        <v>5116</v>
      </c>
      <c r="J2579" t="s">
        <v>5195</v>
      </c>
    </row>
    <row r="2580" spans="1:10">
      <c r="A2580" s="1">
        <v>616862</v>
      </c>
      <c r="B2580" s="1">
        <v>5210015636</v>
      </c>
      <c r="C2580" s="1">
        <v>12</v>
      </c>
      <c r="D2580" s="1" t="s">
        <v>163</v>
      </c>
      <c r="E2580" t="s">
        <v>5155</v>
      </c>
      <c r="F2580" s="1">
        <v>569723</v>
      </c>
      <c r="G2580" s="1">
        <v>1116601346</v>
      </c>
      <c r="H2580" s="1">
        <v>24</v>
      </c>
      <c r="I2580" s="1" t="s">
        <v>220</v>
      </c>
      <c r="J2580" t="s">
        <v>5196</v>
      </c>
    </row>
    <row r="2581" spans="1:10">
      <c r="A2581" s="1">
        <v>398941</v>
      </c>
      <c r="B2581" s="1">
        <v>5210015635</v>
      </c>
      <c r="C2581" s="1">
        <v>12</v>
      </c>
      <c r="D2581" s="1" t="s">
        <v>163</v>
      </c>
      <c r="E2581" t="s">
        <v>5156</v>
      </c>
      <c r="F2581" s="1">
        <v>800862</v>
      </c>
      <c r="G2581" s="1">
        <v>1116601348</v>
      </c>
      <c r="H2581" s="1">
        <v>24</v>
      </c>
      <c r="I2581" s="1" t="s">
        <v>15</v>
      </c>
      <c r="J2581" t="s">
        <v>5197</v>
      </c>
    </row>
    <row r="2582" spans="1:10">
      <c r="A2582" s="1">
        <v>682716</v>
      </c>
      <c r="B2582" s="1">
        <v>5210046450</v>
      </c>
      <c r="C2582" s="1">
        <v>12</v>
      </c>
      <c r="D2582" s="1" t="s">
        <v>128</v>
      </c>
      <c r="E2582" t="s">
        <v>5157</v>
      </c>
      <c r="F2582" s="1">
        <v>162230</v>
      </c>
      <c r="G2582" s="1">
        <v>1116601347</v>
      </c>
      <c r="H2582" s="1">
        <v>24</v>
      </c>
      <c r="I2582" s="1" t="s">
        <v>5198</v>
      </c>
      <c r="J2582" t="s">
        <v>5199</v>
      </c>
    </row>
    <row r="2583" spans="1:10">
      <c r="A2583" s="1">
        <v>137059</v>
      </c>
      <c r="B2583" s="1">
        <v>5210074763</v>
      </c>
      <c r="C2583" s="1">
        <v>12</v>
      </c>
      <c r="D2583" s="1" t="s">
        <v>2280</v>
      </c>
      <c r="E2583" t="s">
        <v>5158</v>
      </c>
      <c r="F2583" s="1">
        <v>708867</v>
      </c>
      <c r="G2583" s="1">
        <v>1116601311</v>
      </c>
      <c r="H2583" s="1">
        <v>24</v>
      </c>
      <c r="I2583" s="1" t="s">
        <v>220</v>
      </c>
      <c r="J2583" t="s">
        <v>5200</v>
      </c>
    </row>
    <row r="2584" spans="1:10" ht="15.75">
      <c r="A2584" s="4" t="s">
        <v>10748</v>
      </c>
      <c r="B2584" s="2"/>
      <c r="C2584" s="2"/>
      <c r="D2584" s="2"/>
      <c r="E2584" s="3"/>
      <c r="F2584" s="4" t="s">
        <v>10748</v>
      </c>
      <c r="G2584" s="2"/>
      <c r="H2584" s="2"/>
      <c r="I2584" s="2"/>
      <c r="J2584" s="3"/>
    </row>
    <row r="2585" spans="1:10">
      <c r="A2585" s="2" t="s">
        <v>0</v>
      </c>
      <c r="B2585" s="2" t="s">
        <v>1</v>
      </c>
      <c r="C2585" s="2" t="s">
        <v>2</v>
      </c>
      <c r="D2585" s="2" t="s">
        <v>3</v>
      </c>
      <c r="E2585" s="3" t="s">
        <v>4</v>
      </c>
      <c r="F2585" s="2" t="s">
        <v>0</v>
      </c>
      <c r="G2585" s="2" t="s">
        <v>1</v>
      </c>
      <c r="H2585" s="2" t="s">
        <v>2</v>
      </c>
      <c r="I2585" s="2" t="s">
        <v>3</v>
      </c>
      <c r="J2585" s="3" t="s">
        <v>4</v>
      </c>
    </row>
    <row r="2586" spans="1:10">
      <c r="A2586" s="1">
        <v>708859</v>
      </c>
      <c r="B2586" s="1">
        <v>1116601310</v>
      </c>
      <c r="C2586" s="1">
        <v>24</v>
      </c>
      <c r="D2586" s="1" t="s">
        <v>203</v>
      </c>
      <c r="E2586" t="s">
        <v>5201</v>
      </c>
      <c r="F2586" s="1">
        <v>372714</v>
      </c>
      <c r="G2586" s="1">
        <v>5250002554</v>
      </c>
      <c r="H2586" s="1">
        <v>12</v>
      </c>
      <c r="I2586" s="1" t="s">
        <v>142</v>
      </c>
      <c r="J2586" t="s">
        <v>5245</v>
      </c>
    </row>
    <row r="2587" spans="1:10">
      <c r="A2587" s="1">
        <v>139352</v>
      </c>
      <c r="B2587" s="1">
        <v>1116613835</v>
      </c>
      <c r="C2587" s="1">
        <v>24</v>
      </c>
      <c r="D2587" s="1" t="s">
        <v>15</v>
      </c>
      <c r="E2587" t="s">
        <v>5202</v>
      </c>
      <c r="F2587" s="1">
        <v>134098</v>
      </c>
      <c r="G2587" s="1">
        <v>5250002392</v>
      </c>
      <c r="H2587" s="1">
        <v>24</v>
      </c>
      <c r="I2587" s="1" t="s">
        <v>17</v>
      </c>
      <c r="J2587" t="s">
        <v>5246</v>
      </c>
    </row>
    <row r="2588" spans="1:10">
      <c r="A2588" s="1">
        <v>134593</v>
      </c>
      <c r="B2588" s="1">
        <v>5250002525</v>
      </c>
      <c r="C2588" s="1">
        <v>12</v>
      </c>
      <c r="D2588" s="1" t="s">
        <v>5203</v>
      </c>
      <c r="E2588" t="s">
        <v>5204</v>
      </c>
      <c r="F2588" s="1">
        <v>527507</v>
      </c>
      <c r="G2588" s="1">
        <v>5250002369</v>
      </c>
      <c r="H2588" s="1">
        <v>12</v>
      </c>
      <c r="I2588" s="1" t="s">
        <v>5113</v>
      </c>
      <c r="J2588" t="s">
        <v>5247</v>
      </c>
    </row>
    <row r="2589" spans="1:10">
      <c r="A2589" s="1">
        <v>133025</v>
      </c>
      <c r="B2589" s="1">
        <v>5250002540</v>
      </c>
      <c r="C2589" s="1">
        <v>12</v>
      </c>
      <c r="D2589" s="1" t="s">
        <v>203</v>
      </c>
      <c r="E2589" t="s">
        <v>5205</v>
      </c>
      <c r="F2589" s="1">
        <v>171710</v>
      </c>
      <c r="G2589" s="1">
        <v>5210000886</v>
      </c>
      <c r="H2589" s="1">
        <v>12</v>
      </c>
      <c r="I2589" s="1" t="s">
        <v>5248</v>
      </c>
      <c r="J2589" t="s">
        <v>5249</v>
      </c>
    </row>
    <row r="2590" spans="1:10">
      <c r="A2590" s="1">
        <v>755652</v>
      </c>
      <c r="B2590" s="1">
        <v>5250002360</v>
      </c>
      <c r="C2590" s="1">
        <v>12</v>
      </c>
      <c r="D2590" s="1" t="s">
        <v>128</v>
      </c>
      <c r="E2590" t="s">
        <v>5206</v>
      </c>
      <c r="F2590" s="1">
        <v>249458</v>
      </c>
      <c r="G2590" s="1">
        <v>8105701837</v>
      </c>
      <c r="H2590" s="1">
        <v>6</v>
      </c>
      <c r="I2590" s="1" t="s">
        <v>99</v>
      </c>
      <c r="J2590" t="s">
        <v>5250</v>
      </c>
    </row>
    <row r="2591" spans="1:10">
      <c r="A2591" s="1">
        <v>883397</v>
      </c>
      <c r="B2591" s="1">
        <v>5250002362</v>
      </c>
      <c r="C2591" s="1">
        <v>12</v>
      </c>
      <c r="D2591" s="1" t="s">
        <v>203</v>
      </c>
      <c r="E2591" t="s">
        <v>5207</v>
      </c>
      <c r="F2591" s="1">
        <v>171058</v>
      </c>
      <c r="G2591" s="1">
        <v>2840000239</v>
      </c>
      <c r="H2591" s="1">
        <v>24</v>
      </c>
      <c r="I2591" s="1" t="s">
        <v>15</v>
      </c>
      <c r="J2591" t="s">
        <v>5251</v>
      </c>
    </row>
    <row r="2592" spans="1:10">
      <c r="A2592" s="1">
        <v>132977</v>
      </c>
      <c r="B2592" s="1">
        <v>5250002505</v>
      </c>
      <c r="C2592" s="1">
        <v>12</v>
      </c>
      <c r="D2592" s="1" t="s">
        <v>17</v>
      </c>
      <c r="E2592" t="s">
        <v>5208</v>
      </c>
      <c r="F2592" s="1">
        <v>807818</v>
      </c>
      <c r="G2592" s="1">
        <v>4760001183</v>
      </c>
      <c r="H2592" s="1">
        <v>12</v>
      </c>
      <c r="I2592" s="1" t="s">
        <v>200</v>
      </c>
      <c r="J2592" t="s">
        <v>5252</v>
      </c>
    </row>
    <row r="2593" spans="1:10">
      <c r="A2593" s="1">
        <v>134122</v>
      </c>
      <c r="B2593" s="1">
        <v>5250002304</v>
      </c>
      <c r="C2593" s="1">
        <v>24</v>
      </c>
      <c r="D2593" s="1" t="s">
        <v>17</v>
      </c>
      <c r="E2593" t="s">
        <v>5208</v>
      </c>
      <c r="F2593" s="1">
        <v>107060</v>
      </c>
      <c r="G2593" s="1">
        <v>4760001181</v>
      </c>
      <c r="H2593" s="1">
        <v>12</v>
      </c>
      <c r="I2593" s="1" t="s">
        <v>200</v>
      </c>
      <c r="J2593" t="s">
        <v>5253</v>
      </c>
    </row>
    <row r="2594" spans="1:10">
      <c r="A2594" s="1">
        <v>708875</v>
      </c>
      <c r="B2594" s="1">
        <v>5250002308</v>
      </c>
      <c r="C2594" s="1">
        <v>12</v>
      </c>
      <c r="D2594" s="1" t="s">
        <v>15</v>
      </c>
      <c r="E2594" t="s">
        <v>5209</v>
      </c>
      <c r="F2594" s="1">
        <v>130591</v>
      </c>
      <c r="G2594" s="1">
        <v>4760001182</v>
      </c>
      <c r="H2594" s="1">
        <v>12</v>
      </c>
      <c r="I2594" s="1" t="s">
        <v>200</v>
      </c>
      <c r="J2594" t="s">
        <v>5254</v>
      </c>
    </row>
    <row r="2595" spans="1:10">
      <c r="A2595" s="1">
        <v>191528</v>
      </c>
      <c r="B2595" s="1">
        <v>5250002512</v>
      </c>
      <c r="C2595" s="1">
        <v>12</v>
      </c>
      <c r="D2595" s="1" t="s">
        <v>18</v>
      </c>
      <c r="E2595" t="s">
        <v>5210</v>
      </c>
      <c r="F2595" s="1">
        <v>598839</v>
      </c>
      <c r="G2595" s="1">
        <v>4760001186</v>
      </c>
      <c r="H2595" s="1">
        <v>12</v>
      </c>
      <c r="I2595" s="1" t="s">
        <v>200</v>
      </c>
      <c r="J2595" t="s">
        <v>5255</v>
      </c>
    </row>
    <row r="2596" spans="1:10" ht="15.75">
      <c r="A2596" s="1">
        <v>352039</v>
      </c>
      <c r="B2596" s="1">
        <v>5250002363</v>
      </c>
      <c r="C2596" s="1">
        <v>12</v>
      </c>
      <c r="D2596" s="1" t="s">
        <v>5211</v>
      </c>
      <c r="E2596" t="s">
        <v>5212</v>
      </c>
      <c r="F2596" s="4" t="s">
        <v>10749</v>
      </c>
      <c r="G2596" s="2"/>
      <c r="H2596" s="2"/>
      <c r="I2596" s="2"/>
      <c r="J2596" s="3"/>
    </row>
    <row r="2597" spans="1:10">
      <c r="A2597" s="1">
        <v>263673</v>
      </c>
      <c r="B2597" s="1">
        <v>5250002364</v>
      </c>
      <c r="C2597" s="1">
        <v>12</v>
      </c>
      <c r="D2597" s="1" t="s">
        <v>15</v>
      </c>
      <c r="E2597" t="s">
        <v>5213</v>
      </c>
      <c r="F2597" s="2" t="s">
        <v>0</v>
      </c>
      <c r="G2597" s="2" t="s">
        <v>1</v>
      </c>
      <c r="H2597" s="2" t="s">
        <v>2</v>
      </c>
      <c r="I2597" s="2" t="s">
        <v>3</v>
      </c>
      <c r="J2597" s="3" t="s">
        <v>4</v>
      </c>
    </row>
    <row r="2598" spans="1:10">
      <c r="A2598" s="1">
        <v>134171</v>
      </c>
      <c r="B2598" s="1">
        <v>5250002324</v>
      </c>
      <c r="C2598" s="1">
        <v>24</v>
      </c>
      <c r="D2598" s="1" t="s">
        <v>17</v>
      </c>
      <c r="E2598" t="s">
        <v>5214</v>
      </c>
      <c r="F2598" s="1">
        <v>682427</v>
      </c>
      <c r="G2598" s="1">
        <v>4150005802</v>
      </c>
      <c r="H2598" s="1">
        <v>24</v>
      </c>
      <c r="I2598" s="1" t="s">
        <v>33</v>
      </c>
      <c r="J2598" t="s">
        <v>5256</v>
      </c>
    </row>
    <row r="2599" spans="1:10">
      <c r="A2599" s="1">
        <v>151449</v>
      </c>
      <c r="B2599" s="1">
        <v>5250002365</v>
      </c>
      <c r="C2599" s="1">
        <v>12</v>
      </c>
      <c r="D2599" s="1" t="s">
        <v>128</v>
      </c>
      <c r="E2599" t="s">
        <v>5215</v>
      </c>
      <c r="F2599" s="1">
        <v>305177</v>
      </c>
      <c r="G2599" s="1">
        <v>4150005712</v>
      </c>
      <c r="H2599" s="1">
        <v>24</v>
      </c>
      <c r="I2599" s="1" t="s">
        <v>5203</v>
      </c>
      <c r="J2599" t="s">
        <v>5257</v>
      </c>
    </row>
    <row r="2600" spans="1:10">
      <c r="A2600" s="1">
        <v>134908</v>
      </c>
      <c r="B2600" s="1">
        <v>5250002330</v>
      </c>
      <c r="C2600" s="1">
        <v>12</v>
      </c>
      <c r="D2600" s="1" t="s">
        <v>33</v>
      </c>
      <c r="E2600" t="s">
        <v>5216</v>
      </c>
      <c r="F2600" s="1">
        <v>134312</v>
      </c>
      <c r="G2600" s="1">
        <v>5210009690</v>
      </c>
      <c r="H2600" s="1">
        <v>12</v>
      </c>
      <c r="I2600" s="1" t="s">
        <v>203</v>
      </c>
      <c r="J2600" t="s">
        <v>5258</v>
      </c>
    </row>
    <row r="2601" spans="1:10">
      <c r="A2601" s="1">
        <v>134205</v>
      </c>
      <c r="B2601" s="1">
        <v>5250002336</v>
      </c>
      <c r="C2601" s="1">
        <v>12</v>
      </c>
      <c r="D2601" s="1" t="s">
        <v>33</v>
      </c>
      <c r="E2601" t="s">
        <v>5217</v>
      </c>
      <c r="F2601" s="1">
        <v>232645</v>
      </c>
      <c r="G2601" s="1">
        <v>5210076249</v>
      </c>
      <c r="H2601" s="1">
        <v>12</v>
      </c>
      <c r="I2601" s="1" t="s">
        <v>2666</v>
      </c>
      <c r="J2601" t="s">
        <v>5259</v>
      </c>
    </row>
    <row r="2602" spans="1:10">
      <c r="A2602" s="1">
        <v>143545</v>
      </c>
      <c r="B2602" s="1">
        <v>5250002340</v>
      </c>
      <c r="C2602" s="1">
        <v>12</v>
      </c>
      <c r="D2602" s="1" t="s">
        <v>5135</v>
      </c>
      <c r="E2602" t="s">
        <v>5218</v>
      </c>
      <c r="F2602" s="1">
        <v>58990</v>
      </c>
      <c r="G2602" s="1">
        <v>5210044119</v>
      </c>
      <c r="H2602" s="1">
        <v>12</v>
      </c>
      <c r="I2602" s="1" t="s">
        <v>15</v>
      </c>
      <c r="J2602" t="s">
        <v>5260</v>
      </c>
    </row>
    <row r="2603" spans="1:10">
      <c r="A2603" s="1">
        <v>134932</v>
      </c>
      <c r="B2603" s="1">
        <v>5250002325</v>
      </c>
      <c r="C2603" s="1">
        <v>12</v>
      </c>
      <c r="D2603" s="1" t="s">
        <v>15</v>
      </c>
      <c r="E2603" t="s">
        <v>5219</v>
      </c>
      <c r="F2603" s="1">
        <v>78816</v>
      </c>
      <c r="G2603" s="1">
        <v>5210044152</v>
      </c>
      <c r="H2603" s="1">
        <v>10</v>
      </c>
      <c r="I2603" s="1" t="s">
        <v>5261</v>
      </c>
      <c r="J2603" t="s">
        <v>5262</v>
      </c>
    </row>
    <row r="2604" spans="1:10">
      <c r="A2604" s="1">
        <v>134072</v>
      </c>
      <c r="B2604" s="1">
        <v>5250002348</v>
      </c>
      <c r="C2604" s="1">
        <v>12</v>
      </c>
      <c r="D2604" s="1" t="s">
        <v>2642</v>
      </c>
      <c r="E2604" t="s">
        <v>5220</v>
      </c>
      <c r="F2604" s="1">
        <v>134080</v>
      </c>
      <c r="G2604" s="1">
        <v>5210009722</v>
      </c>
      <c r="H2604" s="1">
        <v>10</v>
      </c>
      <c r="I2604" s="1" t="s">
        <v>5261</v>
      </c>
      <c r="J2604" t="s">
        <v>5263</v>
      </c>
    </row>
    <row r="2605" spans="1:10">
      <c r="A2605" s="1">
        <v>133033</v>
      </c>
      <c r="B2605" s="1">
        <v>5250002515</v>
      </c>
      <c r="C2605" s="1">
        <v>12</v>
      </c>
      <c r="D2605" s="1" t="s">
        <v>5116</v>
      </c>
      <c r="E2605" t="s">
        <v>5221</v>
      </c>
      <c r="F2605" s="1">
        <v>135046</v>
      </c>
      <c r="G2605" s="1">
        <v>5210011780</v>
      </c>
      <c r="H2605" s="1">
        <v>12</v>
      </c>
      <c r="I2605" s="1" t="s">
        <v>2666</v>
      </c>
      <c r="J2605" t="s">
        <v>5264</v>
      </c>
    </row>
    <row r="2606" spans="1:10">
      <c r="A2606" s="1">
        <v>134197</v>
      </c>
      <c r="B2606" s="1">
        <v>5250002344</v>
      </c>
      <c r="C2606" s="1">
        <v>24</v>
      </c>
      <c r="D2606" s="1" t="s">
        <v>17</v>
      </c>
      <c r="E2606" t="s">
        <v>5221</v>
      </c>
      <c r="F2606" s="1">
        <v>134486</v>
      </c>
      <c r="G2606" s="1">
        <v>5210009860</v>
      </c>
      <c r="H2606" s="1">
        <v>24</v>
      </c>
      <c r="I2606" s="1" t="s">
        <v>2666</v>
      </c>
      <c r="J2606" t="s">
        <v>5265</v>
      </c>
    </row>
    <row r="2607" spans="1:10">
      <c r="A2607" s="1">
        <v>847319</v>
      </c>
      <c r="B2607" s="1">
        <v>5250002366</v>
      </c>
      <c r="C2607" s="1">
        <v>12</v>
      </c>
      <c r="D2607" s="1" t="s">
        <v>5113</v>
      </c>
      <c r="E2607" t="s">
        <v>5222</v>
      </c>
      <c r="F2607" s="1">
        <v>73833</v>
      </c>
      <c r="G2607" s="1">
        <v>5210003780</v>
      </c>
      <c r="H2607" s="1">
        <v>24</v>
      </c>
      <c r="I2607" s="1" t="s">
        <v>2666</v>
      </c>
      <c r="J2607" t="s">
        <v>5266</v>
      </c>
    </row>
    <row r="2608" spans="1:10">
      <c r="A2608" s="1">
        <v>584359</v>
      </c>
      <c r="B2608" s="1">
        <v>5250002368</v>
      </c>
      <c r="C2608" s="1">
        <v>12</v>
      </c>
      <c r="D2608" s="1" t="s">
        <v>5223</v>
      </c>
      <c r="E2608" t="s">
        <v>5224</v>
      </c>
      <c r="F2608" s="1">
        <v>134502</v>
      </c>
      <c r="G2608" s="1">
        <v>5210009880</v>
      </c>
      <c r="H2608" s="1">
        <v>12</v>
      </c>
      <c r="I2608" s="1" t="s">
        <v>2666</v>
      </c>
      <c r="J2608" t="s">
        <v>5267</v>
      </c>
    </row>
    <row r="2609" spans="1:10">
      <c r="A2609" s="1">
        <v>24430</v>
      </c>
      <c r="B2609" s="1">
        <v>5250002367</v>
      </c>
      <c r="C2609" s="1">
        <v>12</v>
      </c>
      <c r="D2609" s="1" t="s">
        <v>5135</v>
      </c>
      <c r="E2609" t="s">
        <v>5225</v>
      </c>
      <c r="F2609" s="1">
        <v>443853</v>
      </c>
      <c r="G2609" s="1">
        <v>5210009650</v>
      </c>
      <c r="H2609" s="1">
        <v>24</v>
      </c>
      <c r="I2609" s="1" t="s">
        <v>2666</v>
      </c>
      <c r="J2609" t="s">
        <v>5268</v>
      </c>
    </row>
    <row r="2610" spans="1:10">
      <c r="A2610" s="1">
        <v>134460</v>
      </c>
      <c r="B2610" s="1">
        <v>5250002530</v>
      </c>
      <c r="C2610" s="1">
        <v>12</v>
      </c>
      <c r="D2610" s="1" t="s">
        <v>5116</v>
      </c>
      <c r="E2610" t="s">
        <v>5226</v>
      </c>
      <c r="F2610" s="1">
        <v>134262</v>
      </c>
      <c r="G2610" s="1">
        <v>5210009030</v>
      </c>
      <c r="H2610" s="1">
        <v>24</v>
      </c>
      <c r="I2610" s="1" t="s">
        <v>2666</v>
      </c>
      <c r="J2610" t="s">
        <v>5269</v>
      </c>
    </row>
    <row r="2611" spans="1:10">
      <c r="A2611" s="1">
        <v>135434</v>
      </c>
      <c r="B2611" s="1">
        <v>5250002532</v>
      </c>
      <c r="C2611" s="1">
        <v>12</v>
      </c>
      <c r="D2611" s="1" t="s">
        <v>56</v>
      </c>
      <c r="E2611" t="s">
        <v>5227</v>
      </c>
      <c r="F2611" s="1">
        <v>135053</v>
      </c>
      <c r="G2611" s="1">
        <v>5210008980</v>
      </c>
      <c r="H2611" s="1">
        <v>12</v>
      </c>
      <c r="I2611" s="1" t="s">
        <v>33</v>
      </c>
      <c r="J2611" t="s">
        <v>5270</v>
      </c>
    </row>
    <row r="2612" spans="1:10">
      <c r="A2612" s="1">
        <v>134551</v>
      </c>
      <c r="B2612" s="1">
        <v>5250002520</v>
      </c>
      <c r="C2612" s="1">
        <v>12</v>
      </c>
      <c r="D2612" s="1" t="s">
        <v>15</v>
      </c>
      <c r="E2612" t="s">
        <v>5228</v>
      </c>
      <c r="F2612" s="1">
        <v>134296</v>
      </c>
      <c r="G2612" s="1">
        <v>5210009020</v>
      </c>
      <c r="H2612" s="1">
        <v>12</v>
      </c>
      <c r="I2612" s="1" t="s">
        <v>33</v>
      </c>
      <c r="J2612" t="s">
        <v>5271</v>
      </c>
    </row>
    <row r="2613" spans="1:10">
      <c r="A2613" s="1">
        <v>134239</v>
      </c>
      <c r="B2613" s="1">
        <v>5250002376</v>
      </c>
      <c r="C2613" s="1">
        <v>12</v>
      </c>
      <c r="D2613" s="1" t="s">
        <v>18</v>
      </c>
      <c r="E2613" t="s">
        <v>5229</v>
      </c>
      <c r="F2613" s="1">
        <v>134106</v>
      </c>
      <c r="G2613" s="1">
        <v>5210009723</v>
      </c>
      <c r="H2613" s="1">
        <v>10</v>
      </c>
      <c r="I2613" s="1" t="s">
        <v>5261</v>
      </c>
      <c r="J2613" t="s">
        <v>5272</v>
      </c>
    </row>
    <row r="2614" spans="1:10">
      <c r="A2614" s="1">
        <v>55095</v>
      </c>
      <c r="B2614" s="1">
        <v>5250002400</v>
      </c>
      <c r="C2614" s="1">
        <v>12</v>
      </c>
      <c r="D2614" s="1" t="s">
        <v>5230</v>
      </c>
      <c r="E2614" t="s">
        <v>5231</v>
      </c>
      <c r="F2614" s="1">
        <v>687194</v>
      </c>
      <c r="G2614" s="1">
        <v>5210064124</v>
      </c>
      <c r="H2614" s="1">
        <v>12</v>
      </c>
      <c r="I2614" s="1" t="s">
        <v>15</v>
      </c>
      <c r="J2614" t="s">
        <v>5273</v>
      </c>
    </row>
    <row r="2615" spans="1:10">
      <c r="A2615" s="1">
        <v>360826</v>
      </c>
      <c r="B2615" s="1">
        <v>5250002401</v>
      </c>
      <c r="C2615" s="1">
        <v>12</v>
      </c>
      <c r="D2615" s="1" t="s">
        <v>163</v>
      </c>
      <c r="E2615" t="s">
        <v>5232</v>
      </c>
      <c r="F2615" s="1">
        <v>260513</v>
      </c>
      <c r="G2615" s="1">
        <v>5210062354</v>
      </c>
      <c r="H2615" s="1">
        <v>12</v>
      </c>
      <c r="I2615" s="1" t="s">
        <v>15</v>
      </c>
      <c r="J2615" t="s">
        <v>5274</v>
      </c>
    </row>
    <row r="2616" spans="1:10">
      <c r="A2616" s="1">
        <v>568709</v>
      </c>
      <c r="B2616" s="1">
        <v>5250002402</v>
      </c>
      <c r="C2616" s="1">
        <v>12</v>
      </c>
      <c r="D2616" s="1" t="s">
        <v>97</v>
      </c>
      <c r="E2616" t="s">
        <v>5233</v>
      </c>
      <c r="F2616" s="1">
        <v>318402</v>
      </c>
      <c r="G2616" s="1">
        <v>5210044327</v>
      </c>
      <c r="H2616" s="1">
        <v>12</v>
      </c>
      <c r="I2616" s="1" t="s">
        <v>15</v>
      </c>
      <c r="J2616" t="s">
        <v>5275</v>
      </c>
    </row>
    <row r="2617" spans="1:10">
      <c r="A2617" s="1">
        <v>134254</v>
      </c>
      <c r="B2617" s="1">
        <v>5250002383</v>
      </c>
      <c r="C2617" s="1">
        <v>24</v>
      </c>
      <c r="D2617" s="1" t="s">
        <v>17</v>
      </c>
      <c r="E2617" t="s">
        <v>5234</v>
      </c>
      <c r="F2617" s="1">
        <v>863217</v>
      </c>
      <c r="G2617" s="1">
        <v>5150033412</v>
      </c>
      <c r="H2617" s="1">
        <v>24</v>
      </c>
      <c r="I2617" s="1" t="s">
        <v>112</v>
      </c>
      <c r="J2617" t="s">
        <v>5276</v>
      </c>
    </row>
    <row r="2618" spans="1:10">
      <c r="A2618" s="1">
        <v>133090</v>
      </c>
      <c r="B2618" s="1">
        <v>5250002535</v>
      </c>
      <c r="C2618" s="1">
        <v>12</v>
      </c>
      <c r="D2618" s="1" t="s">
        <v>5235</v>
      </c>
      <c r="E2618" t="s">
        <v>5236</v>
      </c>
      <c r="F2618" s="1">
        <v>333237</v>
      </c>
      <c r="G2618" s="1">
        <v>5150033414</v>
      </c>
      <c r="H2618" s="1">
        <v>24</v>
      </c>
      <c r="I2618" s="1" t="s">
        <v>112</v>
      </c>
      <c r="J2618" t="s">
        <v>5277</v>
      </c>
    </row>
    <row r="2619" spans="1:10">
      <c r="A2619" s="1">
        <v>313924</v>
      </c>
      <c r="B2619" s="1">
        <v>5250002513</v>
      </c>
      <c r="C2619" s="1">
        <v>12</v>
      </c>
      <c r="D2619" s="1" t="s">
        <v>18</v>
      </c>
      <c r="E2619" t="s">
        <v>5237</v>
      </c>
      <c r="F2619" s="1">
        <v>313403</v>
      </c>
      <c r="G2619" s="1">
        <v>1116601344</v>
      </c>
      <c r="H2619" s="1">
        <v>24</v>
      </c>
      <c r="I2619" s="1" t="s">
        <v>203</v>
      </c>
      <c r="J2619" t="s">
        <v>5278</v>
      </c>
    </row>
    <row r="2620" spans="1:10">
      <c r="A2620" s="1">
        <v>751818</v>
      </c>
      <c r="B2620" s="1">
        <v>5250002361</v>
      </c>
      <c r="C2620" s="1">
        <v>12</v>
      </c>
      <c r="D2620" s="1" t="s">
        <v>5238</v>
      </c>
      <c r="E2620" t="s">
        <v>5239</v>
      </c>
      <c r="F2620" s="1">
        <v>139493</v>
      </c>
      <c r="G2620" s="1">
        <v>1116613949</v>
      </c>
      <c r="H2620" s="1">
        <v>24</v>
      </c>
      <c r="I2620" s="1" t="s">
        <v>2666</v>
      </c>
      <c r="J2620" t="s">
        <v>5279</v>
      </c>
    </row>
    <row r="2621" spans="1:10">
      <c r="A2621" s="1">
        <v>48058</v>
      </c>
      <c r="B2621" s="1">
        <v>5250002550</v>
      </c>
      <c r="C2621" s="1">
        <v>12</v>
      </c>
      <c r="D2621" s="1" t="s">
        <v>5240</v>
      </c>
      <c r="E2621" t="s">
        <v>5241</v>
      </c>
      <c r="F2621" s="1">
        <v>754986</v>
      </c>
      <c r="G2621" s="1">
        <v>1116601345</v>
      </c>
      <c r="H2621" s="1">
        <v>24</v>
      </c>
      <c r="I2621" s="1" t="s">
        <v>33</v>
      </c>
      <c r="J2621" t="s">
        <v>5280</v>
      </c>
    </row>
    <row r="2622" spans="1:10">
      <c r="A2622" s="1">
        <v>109793</v>
      </c>
      <c r="B2622" s="1">
        <v>5250002551</v>
      </c>
      <c r="C2622" s="1">
        <v>12</v>
      </c>
      <c r="D2622" s="1" t="s">
        <v>15</v>
      </c>
      <c r="E2622" t="s">
        <v>5242</v>
      </c>
      <c r="F2622" s="1">
        <v>708768</v>
      </c>
      <c r="G2622" s="1">
        <v>1116601307</v>
      </c>
      <c r="H2622" s="1">
        <v>24</v>
      </c>
      <c r="I2622" s="1" t="s">
        <v>5238</v>
      </c>
      <c r="J2622" t="s">
        <v>5281</v>
      </c>
    </row>
    <row r="2623" spans="1:10">
      <c r="A2623" s="1">
        <v>357871</v>
      </c>
      <c r="B2623" s="1">
        <v>5250002552</v>
      </c>
      <c r="C2623" s="1">
        <v>12</v>
      </c>
      <c r="D2623" s="1" t="s">
        <v>97</v>
      </c>
      <c r="E2623" t="s">
        <v>5243</v>
      </c>
      <c r="F2623" s="1">
        <v>708750</v>
      </c>
      <c r="G2623" s="1">
        <v>1116601309</v>
      </c>
      <c r="H2623" s="1">
        <v>24</v>
      </c>
      <c r="I2623" s="1" t="s">
        <v>5238</v>
      </c>
      <c r="J2623" t="s">
        <v>5282</v>
      </c>
    </row>
    <row r="2624" spans="1:10">
      <c r="A2624" s="1">
        <v>757989</v>
      </c>
      <c r="B2624" s="1">
        <v>5250002553</v>
      </c>
      <c r="C2624" s="1">
        <v>12</v>
      </c>
      <c r="D2624" s="1" t="s">
        <v>5169</v>
      </c>
      <c r="E2624" t="s">
        <v>5244</v>
      </c>
      <c r="F2624" s="1">
        <v>708776</v>
      </c>
      <c r="G2624" s="1">
        <v>1116601312</v>
      </c>
      <c r="H2624" s="1">
        <v>24</v>
      </c>
      <c r="I2624" s="1" t="s">
        <v>203</v>
      </c>
      <c r="J2624" t="s">
        <v>5283</v>
      </c>
    </row>
    <row r="2625" spans="1:10" ht="15.75">
      <c r="A2625" s="4" t="s">
        <v>10749</v>
      </c>
      <c r="B2625" s="2"/>
      <c r="C2625" s="2"/>
      <c r="D2625" s="2"/>
      <c r="E2625" s="3"/>
      <c r="F2625" s="4" t="s">
        <v>10751</v>
      </c>
      <c r="G2625" s="2"/>
      <c r="H2625" s="2"/>
      <c r="I2625" s="2"/>
      <c r="J2625" s="3"/>
    </row>
    <row r="2626" spans="1:10">
      <c r="A2626" s="2" t="s">
        <v>0</v>
      </c>
      <c r="B2626" s="2" t="s">
        <v>1</v>
      </c>
      <c r="C2626" s="2" t="s">
        <v>2</v>
      </c>
      <c r="D2626" s="2" t="s">
        <v>3</v>
      </c>
      <c r="E2626" s="3" t="s">
        <v>4</v>
      </c>
      <c r="F2626" s="2" t="s">
        <v>0</v>
      </c>
      <c r="G2626" s="2" t="s">
        <v>1</v>
      </c>
      <c r="H2626" s="2" t="s">
        <v>2</v>
      </c>
      <c r="I2626" s="2" t="s">
        <v>3</v>
      </c>
      <c r="J2626" s="3" t="s">
        <v>4</v>
      </c>
    </row>
    <row r="2627" spans="1:10">
      <c r="A2627" s="1">
        <v>708784</v>
      </c>
      <c r="B2627" s="1">
        <v>1116601308</v>
      </c>
      <c r="C2627" s="1">
        <v>24</v>
      </c>
      <c r="D2627" s="1" t="s">
        <v>15</v>
      </c>
      <c r="E2627" t="s">
        <v>5284</v>
      </c>
      <c r="F2627" s="1">
        <v>103218</v>
      </c>
      <c r="G2627" s="1">
        <v>3760045021</v>
      </c>
      <c r="H2627" s="1">
        <v>12</v>
      </c>
      <c r="I2627" s="1" t="s">
        <v>910</v>
      </c>
      <c r="J2627" t="s">
        <v>5315</v>
      </c>
    </row>
    <row r="2628" spans="1:10">
      <c r="A2628" s="1">
        <v>134346</v>
      </c>
      <c r="B2628" s="1">
        <v>5250002314</v>
      </c>
      <c r="C2628" s="1">
        <v>24</v>
      </c>
      <c r="D2628" s="1" t="s">
        <v>33</v>
      </c>
      <c r="E2628" t="s">
        <v>5285</v>
      </c>
      <c r="F2628" s="1">
        <v>647081</v>
      </c>
      <c r="G2628" s="1">
        <v>4163600020</v>
      </c>
      <c r="H2628" s="1">
        <v>12</v>
      </c>
      <c r="I2628" s="1" t="s">
        <v>938</v>
      </c>
      <c r="J2628" t="s">
        <v>5316</v>
      </c>
    </row>
    <row r="2629" spans="1:10">
      <c r="A2629" s="1">
        <v>134148</v>
      </c>
      <c r="B2629" s="1">
        <v>5250002312</v>
      </c>
      <c r="C2629" s="1">
        <v>24</v>
      </c>
      <c r="D2629" s="1" t="s">
        <v>33</v>
      </c>
      <c r="E2629" t="s">
        <v>5286</v>
      </c>
      <c r="F2629" s="1">
        <v>740316</v>
      </c>
      <c r="G2629" s="1">
        <v>4163600029</v>
      </c>
      <c r="H2629" s="1">
        <v>12</v>
      </c>
      <c r="I2629" s="1" t="s">
        <v>3271</v>
      </c>
      <c r="J2629" t="s">
        <v>5317</v>
      </c>
    </row>
    <row r="2630" spans="1:10">
      <c r="A2630" s="1">
        <v>133918</v>
      </c>
      <c r="B2630" s="1">
        <v>5250000691</v>
      </c>
      <c r="C2630" s="1">
        <v>6</v>
      </c>
      <c r="D2630" s="1" t="s">
        <v>106</v>
      </c>
      <c r="E2630" t="s">
        <v>5286</v>
      </c>
      <c r="F2630" s="1">
        <v>103366</v>
      </c>
      <c r="G2630" s="1">
        <v>1116610336</v>
      </c>
      <c r="H2630" s="1">
        <v>12</v>
      </c>
      <c r="I2630" s="1" t="s">
        <v>439</v>
      </c>
      <c r="J2630" t="s">
        <v>5318</v>
      </c>
    </row>
    <row r="2631" spans="1:10" ht="15.75">
      <c r="A2631" s="1">
        <v>134221</v>
      </c>
      <c r="B2631" s="1">
        <v>5250002356</v>
      </c>
      <c r="C2631" s="1">
        <v>12</v>
      </c>
      <c r="D2631" s="1" t="s">
        <v>5135</v>
      </c>
      <c r="E2631" t="s">
        <v>5287</v>
      </c>
      <c r="F2631" s="4" t="s">
        <v>10752</v>
      </c>
      <c r="G2631" s="2"/>
      <c r="H2631" s="2"/>
      <c r="I2631" s="2"/>
      <c r="J2631" s="3"/>
    </row>
    <row r="2632" spans="1:10">
      <c r="A2632" s="1">
        <v>133108</v>
      </c>
      <c r="B2632" s="1">
        <v>5250001507</v>
      </c>
      <c r="C2632" s="1">
        <v>6</v>
      </c>
      <c r="D2632" s="1" t="s">
        <v>489</v>
      </c>
      <c r="E2632" t="s">
        <v>5288</v>
      </c>
      <c r="F2632" s="2" t="s">
        <v>0</v>
      </c>
      <c r="G2632" s="2" t="s">
        <v>1</v>
      </c>
      <c r="H2632" s="2" t="s">
        <v>2</v>
      </c>
      <c r="I2632" s="2" t="s">
        <v>3</v>
      </c>
      <c r="J2632" s="3" t="s">
        <v>4</v>
      </c>
    </row>
    <row r="2633" spans="1:10">
      <c r="A2633" s="1">
        <v>364604</v>
      </c>
      <c r="B2633" s="1">
        <v>5250002327</v>
      </c>
      <c r="C2633" s="1">
        <v>12</v>
      </c>
      <c r="D2633" s="1" t="s">
        <v>5169</v>
      </c>
      <c r="E2633" t="s">
        <v>5289</v>
      </c>
      <c r="F2633" s="1">
        <v>894204</v>
      </c>
      <c r="G2633" s="1">
        <v>1700001646</v>
      </c>
      <c r="H2633" s="1">
        <v>48</v>
      </c>
      <c r="I2633" s="1" t="s">
        <v>394</v>
      </c>
      <c r="J2633" t="s">
        <v>5319</v>
      </c>
    </row>
    <row r="2634" spans="1:10">
      <c r="A2634" s="1">
        <v>134635</v>
      </c>
      <c r="B2634" s="1">
        <v>5250002300</v>
      </c>
      <c r="C2634" s="1">
        <v>12</v>
      </c>
      <c r="D2634" s="1" t="s">
        <v>33</v>
      </c>
      <c r="E2634" t="s">
        <v>5290</v>
      </c>
      <c r="F2634" s="1">
        <v>103945</v>
      </c>
      <c r="G2634" s="1">
        <v>1700000925</v>
      </c>
      <c r="H2634" s="1">
        <v>48</v>
      </c>
      <c r="I2634" s="1" t="s">
        <v>394</v>
      </c>
      <c r="J2634" t="s">
        <v>5320</v>
      </c>
    </row>
    <row r="2635" spans="1:10">
      <c r="A2635" s="1">
        <v>134775</v>
      </c>
      <c r="B2635" s="1">
        <v>5250002313</v>
      </c>
      <c r="C2635" s="1">
        <v>24</v>
      </c>
      <c r="D2635" s="1" t="s">
        <v>33</v>
      </c>
      <c r="E2635" t="s">
        <v>5291</v>
      </c>
      <c r="F2635" s="1">
        <v>104000</v>
      </c>
      <c r="G2635" s="1">
        <v>1700000931</v>
      </c>
      <c r="H2635" s="1">
        <v>24</v>
      </c>
      <c r="I2635" s="1" t="s">
        <v>5321</v>
      </c>
      <c r="J2635" t="s">
        <v>5320</v>
      </c>
    </row>
    <row r="2636" spans="1:10">
      <c r="A2636" s="1">
        <v>134163</v>
      </c>
      <c r="B2636" s="1">
        <v>5250002320</v>
      </c>
      <c r="C2636" s="1">
        <v>12</v>
      </c>
      <c r="D2636" s="1" t="s">
        <v>200</v>
      </c>
      <c r="E2636" t="s">
        <v>5292</v>
      </c>
      <c r="F2636" s="1">
        <v>421438</v>
      </c>
      <c r="G2636" s="1">
        <v>1700007941</v>
      </c>
      <c r="H2636" s="1">
        <v>8</v>
      </c>
      <c r="I2636" s="1" t="s">
        <v>469</v>
      </c>
      <c r="J2636" t="s">
        <v>5322</v>
      </c>
    </row>
    <row r="2637" spans="1:10">
      <c r="A2637" s="1">
        <v>134213</v>
      </c>
      <c r="B2637" s="1">
        <v>5250002352</v>
      </c>
      <c r="C2637" s="1">
        <v>12</v>
      </c>
      <c r="D2637" s="1" t="s">
        <v>2666</v>
      </c>
      <c r="E2637" t="s">
        <v>5293</v>
      </c>
      <c r="F2637" s="1">
        <v>103937</v>
      </c>
      <c r="G2637" s="1">
        <v>1700000936</v>
      </c>
      <c r="H2637" s="1">
        <v>24</v>
      </c>
      <c r="I2637" s="1" t="s">
        <v>394</v>
      </c>
      <c r="J2637" t="s">
        <v>5323</v>
      </c>
    </row>
    <row r="2638" spans="1:10">
      <c r="A2638" s="1">
        <v>134056</v>
      </c>
      <c r="B2638" s="1">
        <v>5250002394</v>
      </c>
      <c r="C2638" s="1">
        <v>24</v>
      </c>
      <c r="D2638" s="1" t="s">
        <v>2666</v>
      </c>
      <c r="E2638" t="s">
        <v>5294</v>
      </c>
      <c r="F2638" s="1">
        <v>103960</v>
      </c>
      <c r="G2638" s="1">
        <v>1700000937</v>
      </c>
      <c r="H2638" s="1">
        <v>24</v>
      </c>
      <c r="I2638" s="1" t="s">
        <v>394</v>
      </c>
      <c r="J2638" t="s">
        <v>5324</v>
      </c>
    </row>
    <row r="2639" spans="1:10">
      <c r="A2639" s="1">
        <v>132993</v>
      </c>
      <c r="B2639" s="1">
        <v>5250002373</v>
      </c>
      <c r="C2639" s="1">
        <v>12</v>
      </c>
      <c r="D2639" s="1" t="s">
        <v>5203</v>
      </c>
      <c r="E2639" t="s">
        <v>5295</v>
      </c>
      <c r="F2639" s="1">
        <v>103978</v>
      </c>
      <c r="G2639" s="1">
        <v>1700000933</v>
      </c>
      <c r="H2639" s="1">
        <v>24</v>
      </c>
      <c r="I2639" s="1" t="s">
        <v>394</v>
      </c>
      <c r="J2639" t="s">
        <v>5325</v>
      </c>
    </row>
    <row r="2640" spans="1:10">
      <c r="A2640" s="1">
        <v>135889</v>
      </c>
      <c r="B2640" s="1">
        <v>7026900055</v>
      </c>
      <c r="C2640" s="1">
        <v>24</v>
      </c>
      <c r="D2640" s="1" t="s">
        <v>15</v>
      </c>
      <c r="E2640" t="s">
        <v>5296</v>
      </c>
      <c r="F2640" s="1">
        <v>200238</v>
      </c>
      <c r="G2640" s="1">
        <v>1700001518</v>
      </c>
      <c r="H2640" s="1">
        <v>24</v>
      </c>
      <c r="I2640" s="1" t="s">
        <v>370</v>
      </c>
      <c r="J2640" t="s">
        <v>5326</v>
      </c>
    </row>
    <row r="2641" spans="1:10">
      <c r="A2641" s="1">
        <v>135855</v>
      </c>
      <c r="B2641" s="1">
        <v>7026900066</v>
      </c>
      <c r="C2641" s="1">
        <v>24</v>
      </c>
      <c r="D2641" s="1" t="s">
        <v>15</v>
      </c>
      <c r="E2641" t="s">
        <v>5297</v>
      </c>
      <c r="F2641" s="1">
        <v>103903</v>
      </c>
      <c r="G2641" s="1">
        <v>3900008589</v>
      </c>
      <c r="H2641" s="1">
        <v>48</v>
      </c>
      <c r="I2641" s="1" t="s">
        <v>394</v>
      </c>
      <c r="J2641" t="s">
        <v>5327</v>
      </c>
    </row>
    <row r="2642" spans="1:10">
      <c r="A2642" s="1">
        <v>135491</v>
      </c>
      <c r="B2642" s="1">
        <v>7026900077</v>
      </c>
      <c r="C2642" s="1">
        <v>24</v>
      </c>
      <c r="D2642" s="1" t="s">
        <v>15</v>
      </c>
      <c r="E2642" t="s">
        <v>5298</v>
      </c>
      <c r="F2642" s="1">
        <v>44040</v>
      </c>
      <c r="G2642" s="1">
        <v>3900008538</v>
      </c>
      <c r="H2642" s="1">
        <v>24</v>
      </c>
      <c r="I2642" s="1" t="s">
        <v>394</v>
      </c>
      <c r="J2642" t="s">
        <v>5328</v>
      </c>
    </row>
    <row r="2643" spans="1:10" ht="15.75">
      <c r="A2643" s="4" t="s">
        <v>10750</v>
      </c>
      <c r="B2643" s="2"/>
      <c r="C2643" s="2"/>
      <c r="D2643" s="2"/>
      <c r="E2643" s="3"/>
      <c r="F2643" s="1">
        <v>44628</v>
      </c>
      <c r="G2643" s="1">
        <v>3900008643</v>
      </c>
      <c r="H2643" s="1">
        <v>24</v>
      </c>
      <c r="I2643" s="1" t="s">
        <v>394</v>
      </c>
      <c r="J2643" t="s">
        <v>5329</v>
      </c>
    </row>
    <row r="2644" spans="1:10">
      <c r="A2644" s="2" t="s">
        <v>0</v>
      </c>
      <c r="B2644" s="2" t="s">
        <v>1</v>
      </c>
      <c r="C2644" s="2" t="s">
        <v>2</v>
      </c>
      <c r="D2644" s="2" t="s">
        <v>3</v>
      </c>
      <c r="E2644" s="3" t="s">
        <v>4</v>
      </c>
      <c r="F2644" s="1">
        <v>104224</v>
      </c>
      <c r="G2644" s="1">
        <v>2620012000</v>
      </c>
      <c r="H2644" s="1">
        <v>12</v>
      </c>
      <c r="I2644" s="1" t="s">
        <v>2135</v>
      </c>
      <c r="J2644" t="s">
        <v>5330</v>
      </c>
    </row>
    <row r="2645" spans="1:10">
      <c r="A2645" s="1">
        <v>101584</v>
      </c>
      <c r="B2645" s="1">
        <v>1700001323</v>
      </c>
      <c r="C2645" s="1">
        <v>24</v>
      </c>
      <c r="D2645" s="1" t="s">
        <v>347</v>
      </c>
      <c r="E2645" t="s">
        <v>5299</v>
      </c>
      <c r="F2645" s="1">
        <v>104232</v>
      </c>
      <c r="G2645" s="1">
        <v>2620012010</v>
      </c>
      <c r="H2645" s="1">
        <v>12</v>
      </c>
      <c r="I2645" s="1" t="s">
        <v>5331</v>
      </c>
      <c r="J2645" t="s">
        <v>5330</v>
      </c>
    </row>
    <row r="2646" spans="1:10" ht="15.75">
      <c r="A2646" s="1">
        <v>101576</v>
      </c>
      <c r="B2646" s="1">
        <v>3760011544</v>
      </c>
      <c r="C2646" s="1">
        <v>12</v>
      </c>
      <c r="D2646" s="1" t="s">
        <v>347</v>
      </c>
      <c r="E2646" t="s">
        <v>5300</v>
      </c>
      <c r="F2646" s="4" t="s">
        <v>10753</v>
      </c>
      <c r="G2646" s="2"/>
      <c r="H2646" s="2"/>
      <c r="I2646" s="2"/>
      <c r="J2646" s="3"/>
    </row>
    <row r="2647" spans="1:10">
      <c r="A2647" s="1">
        <v>101543</v>
      </c>
      <c r="B2647" s="1">
        <v>3760013872</v>
      </c>
      <c r="C2647" s="1">
        <v>24</v>
      </c>
      <c r="D2647" s="1" t="s">
        <v>347</v>
      </c>
      <c r="E2647" t="s">
        <v>5301</v>
      </c>
      <c r="F2647" s="2" t="s">
        <v>0</v>
      </c>
      <c r="G2647" s="2" t="s">
        <v>1</v>
      </c>
      <c r="H2647" s="2" t="s">
        <v>2</v>
      </c>
      <c r="I2647" s="2" t="s">
        <v>3</v>
      </c>
      <c r="J2647" s="3" t="s">
        <v>4</v>
      </c>
    </row>
    <row r="2648" spans="1:10">
      <c r="A2648" s="1">
        <v>101535</v>
      </c>
      <c r="B2648" s="1">
        <v>3760000001</v>
      </c>
      <c r="C2648" s="1">
        <v>24</v>
      </c>
      <c r="D2648" s="1" t="s">
        <v>360</v>
      </c>
      <c r="E2648" t="s">
        <v>5301</v>
      </c>
      <c r="F2648" s="1">
        <v>105080</v>
      </c>
      <c r="G2648" s="1">
        <v>1700001926</v>
      </c>
      <c r="H2648" s="1">
        <v>24</v>
      </c>
      <c r="I2648" s="1" t="s">
        <v>910</v>
      </c>
      <c r="J2648" t="s">
        <v>5332</v>
      </c>
    </row>
    <row r="2649" spans="1:10">
      <c r="A2649" s="1">
        <v>101188</v>
      </c>
      <c r="B2649" s="1">
        <v>3760017534</v>
      </c>
      <c r="C2649" s="1">
        <v>12</v>
      </c>
      <c r="D2649" s="1" t="s">
        <v>347</v>
      </c>
      <c r="E2649" t="s">
        <v>5302</v>
      </c>
      <c r="F2649" s="1">
        <v>380857</v>
      </c>
      <c r="G2649" s="1">
        <v>5000005178</v>
      </c>
      <c r="H2649" s="1">
        <v>6</v>
      </c>
      <c r="I2649" s="1" t="s">
        <v>5333</v>
      </c>
      <c r="J2649" t="s">
        <v>5334</v>
      </c>
    </row>
    <row r="2650" spans="1:10">
      <c r="A2650" s="1">
        <v>102780</v>
      </c>
      <c r="B2650" s="1">
        <v>3760014173</v>
      </c>
      <c r="C2650" s="1">
        <v>12</v>
      </c>
      <c r="D2650" s="1" t="s">
        <v>347</v>
      </c>
      <c r="E2650" t="s">
        <v>5303</v>
      </c>
      <c r="F2650" s="1">
        <v>102178</v>
      </c>
      <c r="G2650" s="1">
        <v>7161590101</v>
      </c>
      <c r="H2650" s="1">
        <v>12</v>
      </c>
      <c r="I2650" s="1" t="s">
        <v>347</v>
      </c>
      <c r="J2650" t="s">
        <v>5335</v>
      </c>
    </row>
    <row r="2651" spans="1:10">
      <c r="A2651" s="1">
        <v>389965</v>
      </c>
      <c r="B2651" s="1">
        <v>3760019067</v>
      </c>
      <c r="C2651" s="1">
        <v>24</v>
      </c>
      <c r="D2651" s="1" t="s">
        <v>14</v>
      </c>
      <c r="E2651" t="s">
        <v>5304</v>
      </c>
      <c r="F2651" s="1">
        <v>102699</v>
      </c>
      <c r="G2651" s="1">
        <v>3760018888</v>
      </c>
      <c r="H2651" s="1">
        <v>12</v>
      </c>
      <c r="I2651" s="1" t="s">
        <v>347</v>
      </c>
      <c r="J2651" t="s">
        <v>5336</v>
      </c>
    </row>
    <row r="2652" spans="1:10">
      <c r="A2652" s="1">
        <v>505008</v>
      </c>
      <c r="B2652" s="1">
        <v>3760046585</v>
      </c>
      <c r="C2652" s="1">
        <v>24</v>
      </c>
      <c r="D2652" s="1" t="s">
        <v>14</v>
      </c>
      <c r="E2652" t="s">
        <v>5305</v>
      </c>
      <c r="F2652" s="1">
        <v>105478</v>
      </c>
      <c r="G2652" s="1">
        <v>3760019991</v>
      </c>
      <c r="H2652" s="1">
        <v>12</v>
      </c>
      <c r="I2652" s="1" t="s">
        <v>910</v>
      </c>
      <c r="J2652" t="s">
        <v>5337</v>
      </c>
    </row>
    <row r="2653" spans="1:10" ht="15.75">
      <c r="A2653" s="4" t="s">
        <v>10751</v>
      </c>
      <c r="B2653" s="2"/>
      <c r="C2653" s="2"/>
      <c r="D2653" s="2"/>
      <c r="E2653" s="3"/>
      <c r="F2653" s="1">
        <v>102301</v>
      </c>
      <c r="G2653" s="1">
        <v>3900008104</v>
      </c>
      <c r="H2653" s="1">
        <v>24</v>
      </c>
      <c r="I2653" s="1" t="s">
        <v>347</v>
      </c>
      <c r="J2653" t="s">
        <v>5338</v>
      </c>
    </row>
    <row r="2654" spans="1:10">
      <c r="A2654" s="2" t="s">
        <v>0</v>
      </c>
      <c r="B2654" s="2" t="s">
        <v>1</v>
      </c>
      <c r="C2654" s="2" t="s">
        <v>2</v>
      </c>
      <c r="D2654" s="2" t="s">
        <v>3</v>
      </c>
      <c r="E2654" s="3" t="s">
        <v>4</v>
      </c>
      <c r="F2654" s="1">
        <v>105056</v>
      </c>
      <c r="G2654" s="1">
        <v>3900008568</v>
      </c>
      <c r="H2654" s="1">
        <v>12</v>
      </c>
      <c r="I2654" s="1" t="s">
        <v>910</v>
      </c>
      <c r="J2654" t="s">
        <v>5339</v>
      </c>
    </row>
    <row r="2655" spans="1:10">
      <c r="A2655" s="1">
        <v>438671</v>
      </c>
      <c r="B2655" s="1">
        <v>3030000828</v>
      </c>
      <c r="C2655" s="1">
        <v>12</v>
      </c>
      <c r="D2655" s="1" t="s">
        <v>439</v>
      </c>
      <c r="E2655" t="s">
        <v>5306</v>
      </c>
      <c r="F2655" s="1">
        <v>102285</v>
      </c>
      <c r="G2655" s="1">
        <v>3900008110</v>
      </c>
      <c r="H2655" s="1">
        <v>24</v>
      </c>
      <c r="I2655" s="1" t="s">
        <v>360</v>
      </c>
      <c r="J2655" t="s">
        <v>5340</v>
      </c>
    </row>
    <row r="2656" spans="1:10">
      <c r="A2656" s="1">
        <v>309260</v>
      </c>
      <c r="B2656" s="1">
        <v>5410018400</v>
      </c>
      <c r="C2656" s="1">
        <v>12</v>
      </c>
      <c r="D2656" s="1" t="s">
        <v>910</v>
      </c>
      <c r="E2656" t="s">
        <v>5307</v>
      </c>
      <c r="F2656" s="1">
        <v>104919</v>
      </c>
      <c r="G2656" s="1">
        <v>3760019646</v>
      </c>
      <c r="H2656" s="1">
        <v>12</v>
      </c>
      <c r="I2656" s="1" t="s">
        <v>910</v>
      </c>
      <c r="J2656" t="s">
        <v>5341</v>
      </c>
    </row>
    <row r="2657" spans="1:10">
      <c r="A2657" s="1">
        <v>563171</v>
      </c>
      <c r="B2657" s="1">
        <v>3760051259</v>
      </c>
      <c r="C2657" s="1">
        <v>8</v>
      </c>
      <c r="D2657" s="1" t="s">
        <v>910</v>
      </c>
      <c r="E2657" t="s">
        <v>5308</v>
      </c>
      <c r="F2657" s="1">
        <v>104901</v>
      </c>
      <c r="G2657" s="1">
        <v>3760001304</v>
      </c>
      <c r="H2657" s="1">
        <v>12</v>
      </c>
      <c r="I2657" s="1" t="s">
        <v>358</v>
      </c>
      <c r="J2657" t="s">
        <v>5342</v>
      </c>
    </row>
    <row r="2658" spans="1:10">
      <c r="A2658" s="1">
        <v>896092</v>
      </c>
      <c r="B2658" s="1">
        <v>3760017952</v>
      </c>
      <c r="C2658" s="1">
        <v>8</v>
      </c>
      <c r="D2658" s="1" t="s">
        <v>910</v>
      </c>
      <c r="E2658" t="s">
        <v>5309</v>
      </c>
      <c r="F2658" s="1">
        <v>104505</v>
      </c>
      <c r="G2658" s="1">
        <v>3760040603</v>
      </c>
      <c r="H2658" s="1">
        <v>12</v>
      </c>
      <c r="I2658" s="1" t="s">
        <v>910</v>
      </c>
      <c r="J2658" t="s">
        <v>5343</v>
      </c>
    </row>
    <row r="2659" spans="1:10">
      <c r="A2659" s="1">
        <v>368423</v>
      </c>
      <c r="B2659" s="1">
        <v>3760051260</v>
      </c>
      <c r="C2659" s="1">
        <v>8</v>
      </c>
      <c r="D2659" s="1" t="s">
        <v>910</v>
      </c>
      <c r="E2659" t="s">
        <v>5310</v>
      </c>
      <c r="F2659" s="1">
        <v>104893</v>
      </c>
      <c r="G2659" s="1">
        <v>1116610489</v>
      </c>
      <c r="H2659" s="1">
        <v>12</v>
      </c>
      <c r="I2659" s="1" t="s">
        <v>910</v>
      </c>
      <c r="J2659" t="s">
        <v>5344</v>
      </c>
    </row>
    <row r="2660" spans="1:10" ht="15.75">
      <c r="A2660" s="1">
        <v>886374</v>
      </c>
      <c r="B2660" s="1">
        <v>3760051257</v>
      </c>
      <c r="C2660" s="1">
        <v>8</v>
      </c>
      <c r="D2660" s="1" t="s">
        <v>910</v>
      </c>
      <c r="E2660" t="s">
        <v>5311</v>
      </c>
      <c r="F2660" s="4" t="s">
        <v>10754</v>
      </c>
      <c r="G2660" s="2"/>
      <c r="H2660" s="2"/>
      <c r="I2660" s="2"/>
      <c r="J2660" s="3"/>
    </row>
    <row r="2661" spans="1:10">
      <c r="A2661" s="1">
        <v>103374</v>
      </c>
      <c r="B2661" s="1">
        <v>3760021583</v>
      </c>
      <c r="C2661" s="1">
        <v>12</v>
      </c>
      <c r="D2661" s="1" t="s">
        <v>439</v>
      </c>
      <c r="E2661" t="s">
        <v>5312</v>
      </c>
      <c r="F2661" s="2" t="s">
        <v>0</v>
      </c>
      <c r="G2661" s="2" t="s">
        <v>1</v>
      </c>
      <c r="H2661" s="2" t="s">
        <v>2</v>
      </c>
      <c r="I2661" s="2" t="s">
        <v>3</v>
      </c>
      <c r="J2661" s="3" t="s">
        <v>4</v>
      </c>
    </row>
    <row r="2662" spans="1:10">
      <c r="A2662" s="1">
        <v>103382</v>
      </c>
      <c r="B2662" s="1">
        <v>3760024687</v>
      </c>
      <c r="C2662" s="1">
        <v>12</v>
      </c>
      <c r="D2662" s="1" t="s">
        <v>553</v>
      </c>
      <c r="E2662" t="s">
        <v>5312</v>
      </c>
      <c r="F2662" s="1">
        <v>445122</v>
      </c>
      <c r="G2662" s="1">
        <v>2400001164</v>
      </c>
      <c r="H2662" s="1">
        <v>12</v>
      </c>
      <c r="I2662" s="1" t="s">
        <v>910</v>
      </c>
      <c r="J2662" t="s">
        <v>5345</v>
      </c>
    </row>
    <row r="2663" spans="1:10">
      <c r="A2663" s="1">
        <v>103127</v>
      </c>
      <c r="B2663" s="1">
        <v>3760008899</v>
      </c>
      <c r="C2663" s="1">
        <v>12</v>
      </c>
      <c r="D2663" s="1" t="s">
        <v>358</v>
      </c>
      <c r="E2663" t="s">
        <v>5312</v>
      </c>
      <c r="F2663" s="1">
        <v>136952</v>
      </c>
      <c r="G2663" s="1">
        <v>1300052130</v>
      </c>
      <c r="H2663" s="1">
        <v>12</v>
      </c>
      <c r="I2663" s="1" t="s">
        <v>1483</v>
      </c>
      <c r="J2663" t="s">
        <v>5346</v>
      </c>
    </row>
    <row r="2664" spans="1:10">
      <c r="A2664" s="1">
        <v>103523</v>
      </c>
      <c r="B2664" s="1">
        <v>3760011346</v>
      </c>
      <c r="C2664" s="1">
        <v>12</v>
      </c>
      <c r="D2664" s="1" t="s">
        <v>910</v>
      </c>
      <c r="E2664" t="s">
        <v>5313</v>
      </c>
      <c r="F2664" s="1">
        <v>398545</v>
      </c>
      <c r="G2664" s="1">
        <v>2700044193</v>
      </c>
      <c r="H2664" s="1">
        <v>24</v>
      </c>
      <c r="I2664" s="1" t="s">
        <v>1483</v>
      </c>
      <c r="J2664" t="s">
        <v>5347</v>
      </c>
    </row>
    <row r="2665" spans="1:10">
      <c r="A2665" s="1">
        <v>103416</v>
      </c>
      <c r="B2665" s="1">
        <v>3760024609</v>
      </c>
      <c r="C2665" s="1">
        <v>12</v>
      </c>
      <c r="D2665" s="1" t="s">
        <v>910</v>
      </c>
      <c r="E2665" t="s">
        <v>5314</v>
      </c>
      <c r="F2665" s="1">
        <v>461509</v>
      </c>
      <c r="G2665" s="1">
        <v>2700044171</v>
      </c>
      <c r="H2665" s="1">
        <v>12</v>
      </c>
      <c r="I2665" s="1" t="s">
        <v>381</v>
      </c>
      <c r="J2665" t="s">
        <v>5348</v>
      </c>
    </row>
    <row r="2666" spans="1:10" ht="15.75">
      <c r="A2666" s="4" t="s">
        <v>10754</v>
      </c>
      <c r="B2666" s="2"/>
      <c r="C2666" s="2"/>
      <c r="D2666" s="2"/>
      <c r="E2666" s="3"/>
      <c r="F2666" s="4" t="s">
        <v>10756</v>
      </c>
      <c r="G2666" s="2"/>
      <c r="H2666" s="2"/>
      <c r="I2666" s="2"/>
      <c r="J2666" s="3"/>
    </row>
    <row r="2667" spans="1:10">
      <c r="A2667" s="2" t="s">
        <v>0</v>
      </c>
      <c r="B2667" s="2" t="s">
        <v>1</v>
      </c>
      <c r="C2667" s="2" t="s">
        <v>2</v>
      </c>
      <c r="D2667" s="2" t="s">
        <v>3</v>
      </c>
      <c r="E2667" s="3" t="s">
        <v>4</v>
      </c>
      <c r="F2667" s="2" t="s">
        <v>0</v>
      </c>
      <c r="G2667" s="2" t="s">
        <v>1</v>
      </c>
      <c r="H2667" s="2" t="s">
        <v>2</v>
      </c>
      <c r="I2667" s="2" t="s">
        <v>3</v>
      </c>
      <c r="J2667" s="3" t="s">
        <v>4</v>
      </c>
    </row>
    <row r="2668" spans="1:10">
      <c r="A2668" s="1">
        <v>445122</v>
      </c>
      <c r="B2668" s="1">
        <v>2400001164</v>
      </c>
      <c r="C2668" s="1">
        <v>12</v>
      </c>
      <c r="D2668" s="1" t="s">
        <v>910</v>
      </c>
      <c r="E2668" t="s">
        <v>5345</v>
      </c>
      <c r="F2668" s="1">
        <v>106773</v>
      </c>
      <c r="G2668" s="1">
        <v>4780000011</v>
      </c>
      <c r="H2668" s="1">
        <v>48</v>
      </c>
      <c r="I2668" s="1" t="s">
        <v>31</v>
      </c>
      <c r="J2668" t="s">
        <v>5378</v>
      </c>
    </row>
    <row r="2669" spans="1:10">
      <c r="A2669" s="1">
        <v>136952</v>
      </c>
      <c r="B2669" s="1">
        <v>1300052130</v>
      </c>
      <c r="C2669" s="1">
        <v>12</v>
      </c>
      <c r="D2669" s="1" t="s">
        <v>1483</v>
      </c>
      <c r="E2669" t="s">
        <v>5346</v>
      </c>
      <c r="F2669" s="1">
        <v>106781</v>
      </c>
      <c r="G2669" s="1">
        <v>4780000015</v>
      </c>
      <c r="H2669" s="1">
        <v>24</v>
      </c>
      <c r="I2669" s="1" t="s">
        <v>536</v>
      </c>
      <c r="J2669" t="s">
        <v>5379</v>
      </c>
    </row>
    <row r="2670" spans="1:10" ht="15.75">
      <c r="A2670" s="1">
        <v>398545</v>
      </c>
      <c r="B2670" s="1">
        <v>2700044193</v>
      </c>
      <c r="C2670" s="1">
        <v>24</v>
      </c>
      <c r="D2670" s="1" t="s">
        <v>1483</v>
      </c>
      <c r="E2670" t="s">
        <v>5347</v>
      </c>
      <c r="F2670" s="4" t="s">
        <v>10757</v>
      </c>
      <c r="G2670" s="2"/>
      <c r="H2670" s="2"/>
      <c r="I2670" s="2"/>
      <c r="J2670" s="3"/>
    </row>
    <row r="2671" spans="1:10">
      <c r="A2671" s="1">
        <v>461509</v>
      </c>
      <c r="B2671" s="1">
        <v>2700044171</v>
      </c>
      <c r="C2671" s="1">
        <v>12</v>
      </c>
      <c r="D2671" s="1" t="s">
        <v>381</v>
      </c>
      <c r="E2671" t="s">
        <v>5348</v>
      </c>
      <c r="F2671" s="2" t="s">
        <v>0</v>
      </c>
      <c r="G2671" s="2" t="s">
        <v>1</v>
      </c>
      <c r="H2671" s="2" t="s">
        <v>2</v>
      </c>
      <c r="I2671" s="2" t="s">
        <v>3</v>
      </c>
      <c r="J2671" s="3" t="s">
        <v>4</v>
      </c>
    </row>
    <row r="2672" spans="1:10">
      <c r="A2672" s="1">
        <v>109371</v>
      </c>
      <c r="B2672" s="1">
        <v>2700044110</v>
      </c>
      <c r="C2672" s="1">
        <v>24</v>
      </c>
      <c r="D2672" s="1" t="s">
        <v>1483</v>
      </c>
      <c r="E2672" t="s">
        <v>5349</v>
      </c>
      <c r="F2672" s="1">
        <v>33787</v>
      </c>
      <c r="G2672" s="1">
        <v>2620058400</v>
      </c>
      <c r="H2672" s="1">
        <v>12</v>
      </c>
      <c r="I2672" s="1" t="s">
        <v>5380</v>
      </c>
      <c r="J2672" t="s">
        <v>5381</v>
      </c>
    </row>
    <row r="2673" spans="1:10">
      <c r="A2673" s="1">
        <v>109389</v>
      </c>
      <c r="B2673" s="1">
        <v>2700044118</v>
      </c>
      <c r="C2673" s="1">
        <v>12</v>
      </c>
      <c r="D2673" s="1" t="s">
        <v>2271</v>
      </c>
      <c r="E2673" t="s">
        <v>5350</v>
      </c>
      <c r="F2673" s="1">
        <v>381699</v>
      </c>
      <c r="G2673" s="1">
        <v>2620058182</v>
      </c>
      <c r="H2673" s="1">
        <v>12</v>
      </c>
      <c r="I2673" s="1" t="s">
        <v>5380</v>
      </c>
      <c r="J2673" t="s">
        <v>5382</v>
      </c>
    </row>
    <row r="2674" spans="1:10">
      <c r="A2674" s="1">
        <v>109678</v>
      </c>
      <c r="B2674" s="1">
        <v>1116610967</v>
      </c>
      <c r="C2674" s="1">
        <v>24</v>
      </c>
      <c r="D2674" s="1" t="s">
        <v>1483</v>
      </c>
      <c r="E2674" t="s">
        <v>5351</v>
      </c>
      <c r="F2674" s="1">
        <v>33753</v>
      </c>
      <c r="G2674" s="1">
        <v>2620058460</v>
      </c>
      <c r="H2674" s="1">
        <v>12</v>
      </c>
      <c r="I2674" s="1" t="s">
        <v>5380</v>
      </c>
      <c r="J2674" t="s">
        <v>5383</v>
      </c>
    </row>
    <row r="2675" spans="1:10" ht="15.75">
      <c r="A2675" s="4" t="s">
        <v>10755</v>
      </c>
      <c r="B2675" s="2"/>
      <c r="C2675" s="2"/>
      <c r="D2675" s="2"/>
      <c r="E2675" s="3"/>
      <c r="F2675" s="1">
        <v>34520</v>
      </c>
      <c r="G2675" s="1">
        <v>2620039190</v>
      </c>
      <c r="H2675" s="1">
        <v>12</v>
      </c>
      <c r="I2675" s="1" t="s">
        <v>5384</v>
      </c>
      <c r="J2675" t="s">
        <v>5385</v>
      </c>
    </row>
    <row r="2676" spans="1:10">
      <c r="A2676" s="2" t="s">
        <v>0</v>
      </c>
      <c r="B2676" s="2" t="s">
        <v>1</v>
      </c>
      <c r="C2676" s="2" t="s">
        <v>2</v>
      </c>
      <c r="D2676" s="2" t="s">
        <v>3</v>
      </c>
      <c r="E2676" s="3" t="s">
        <v>4</v>
      </c>
      <c r="F2676" s="1">
        <v>33928</v>
      </c>
      <c r="G2676" s="1">
        <v>2620018700</v>
      </c>
      <c r="H2676" s="1">
        <v>24</v>
      </c>
      <c r="I2676" s="1" t="s">
        <v>5386</v>
      </c>
      <c r="J2676" t="s">
        <v>5387</v>
      </c>
    </row>
    <row r="2677" spans="1:10">
      <c r="A2677" s="1">
        <v>135616</v>
      </c>
      <c r="B2677" s="1">
        <v>1700001678</v>
      </c>
      <c r="C2677" s="1">
        <v>12</v>
      </c>
      <c r="D2677" s="1" t="s">
        <v>417</v>
      </c>
      <c r="E2677" t="s">
        <v>5352</v>
      </c>
      <c r="F2677" s="1">
        <v>34538</v>
      </c>
      <c r="G2677" s="1">
        <v>2620011750</v>
      </c>
      <c r="H2677" s="1">
        <v>24</v>
      </c>
      <c r="I2677" s="1" t="s">
        <v>2653</v>
      </c>
      <c r="J2677" t="s">
        <v>5388</v>
      </c>
    </row>
    <row r="2678" spans="1:10">
      <c r="A2678" s="1">
        <v>110015</v>
      </c>
      <c r="B2678" s="1">
        <v>1700001686</v>
      </c>
      <c r="C2678" s="1">
        <v>12</v>
      </c>
      <c r="D2678" s="1" t="s">
        <v>106</v>
      </c>
      <c r="E2678" t="s">
        <v>5353</v>
      </c>
      <c r="F2678" s="1">
        <v>127845</v>
      </c>
      <c r="G2678" s="1">
        <v>2620011700</v>
      </c>
      <c r="H2678" s="1">
        <v>24</v>
      </c>
      <c r="I2678" s="1" t="s">
        <v>2653</v>
      </c>
      <c r="J2678" t="s">
        <v>5389</v>
      </c>
    </row>
    <row r="2679" spans="1:10">
      <c r="A2679" s="1">
        <v>103838</v>
      </c>
      <c r="B2679" s="1">
        <v>3760039511</v>
      </c>
      <c r="C2679" s="1">
        <v>12</v>
      </c>
      <c r="D2679" s="1" t="s">
        <v>439</v>
      </c>
      <c r="E2679" t="s">
        <v>5354</v>
      </c>
      <c r="F2679" s="1">
        <v>127829</v>
      </c>
      <c r="G2679" s="1">
        <v>2620011770</v>
      </c>
      <c r="H2679" s="1">
        <v>24</v>
      </c>
      <c r="I2679" s="1" t="s">
        <v>2653</v>
      </c>
      <c r="J2679" t="s">
        <v>5390</v>
      </c>
    </row>
    <row r="2680" spans="1:10">
      <c r="A2680" s="1">
        <v>384529</v>
      </c>
      <c r="B2680" s="1">
        <v>3760036974</v>
      </c>
      <c r="C2680" s="1">
        <v>12</v>
      </c>
      <c r="D2680" s="1" t="s">
        <v>1369</v>
      </c>
      <c r="E2680" t="s">
        <v>5355</v>
      </c>
      <c r="F2680" s="1">
        <v>33910</v>
      </c>
      <c r="G2680" s="1">
        <v>2620011730</v>
      </c>
      <c r="H2680" s="1">
        <v>24</v>
      </c>
      <c r="I2680" s="1" t="s">
        <v>2653</v>
      </c>
      <c r="J2680" t="s">
        <v>5391</v>
      </c>
    </row>
    <row r="2681" spans="1:10">
      <c r="A2681" s="1">
        <v>103770</v>
      </c>
      <c r="B2681" s="1">
        <v>3760026701</v>
      </c>
      <c r="C2681" s="1">
        <v>12</v>
      </c>
      <c r="D2681" s="1" t="s">
        <v>394</v>
      </c>
      <c r="E2681" t="s">
        <v>5356</v>
      </c>
      <c r="F2681" s="1">
        <v>592717</v>
      </c>
      <c r="G2681" s="1">
        <v>2620001462</v>
      </c>
      <c r="H2681" s="1">
        <v>12</v>
      </c>
      <c r="I2681" s="1" t="s">
        <v>6</v>
      </c>
      <c r="J2681" t="s">
        <v>5392</v>
      </c>
    </row>
    <row r="2682" spans="1:10">
      <c r="A2682" s="1">
        <v>101451</v>
      </c>
      <c r="B2682" s="1">
        <v>3760016706</v>
      </c>
      <c r="C2682" s="1">
        <v>12</v>
      </c>
      <c r="D2682" s="1" t="s">
        <v>394</v>
      </c>
      <c r="E2682" t="s">
        <v>5357</v>
      </c>
      <c r="F2682" s="1">
        <v>240507</v>
      </c>
      <c r="G2682" s="1">
        <v>2620011385</v>
      </c>
      <c r="H2682" s="1">
        <v>12</v>
      </c>
      <c r="I2682" s="1" t="s">
        <v>419</v>
      </c>
      <c r="J2682" t="s">
        <v>5393</v>
      </c>
    </row>
    <row r="2683" spans="1:10">
      <c r="A2683" s="1">
        <v>108506</v>
      </c>
      <c r="B2683" s="1">
        <v>3760000061</v>
      </c>
      <c r="C2683" s="1">
        <v>12</v>
      </c>
      <c r="D2683" s="1" t="s">
        <v>546</v>
      </c>
      <c r="E2683" t="s">
        <v>5358</v>
      </c>
      <c r="F2683" s="1">
        <v>746727</v>
      </c>
      <c r="G2683" s="1">
        <v>2620018310</v>
      </c>
      <c r="H2683" s="1">
        <v>12</v>
      </c>
      <c r="I2683" s="1" t="s">
        <v>2663</v>
      </c>
      <c r="J2683" t="s">
        <v>5394</v>
      </c>
    </row>
    <row r="2684" spans="1:10">
      <c r="A2684" s="1">
        <v>101717</v>
      </c>
      <c r="B2684" s="1">
        <v>3760016900</v>
      </c>
      <c r="C2684" s="1">
        <v>12</v>
      </c>
      <c r="D2684" s="1" t="s">
        <v>347</v>
      </c>
      <c r="E2684" t="s">
        <v>5359</v>
      </c>
      <c r="F2684" s="1">
        <v>594200</v>
      </c>
      <c r="G2684" s="1">
        <v>2620001472</v>
      </c>
      <c r="H2684" s="1">
        <v>12</v>
      </c>
      <c r="I2684" s="1" t="s">
        <v>6</v>
      </c>
      <c r="J2684" t="s">
        <v>5395</v>
      </c>
    </row>
    <row r="2685" spans="1:10">
      <c r="A2685" s="1">
        <v>101352</v>
      </c>
      <c r="B2685" s="1">
        <v>3760003545</v>
      </c>
      <c r="C2685" s="1">
        <v>12</v>
      </c>
      <c r="D2685" s="1" t="s">
        <v>394</v>
      </c>
      <c r="E2685" t="s">
        <v>5360</v>
      </c>
      <c r="F2685" s="1">
        <v>198002</v>
      </c>
      <c r="G2685" s="1">
        <v>2620016021</v>
      </c>
      <c r="H2685" s="1">
        <v>12</v>
      </c>
      <c r="I2685" s="1" t="s">
        <v>419</v>
      </c>
      <c r="J2685" t="s">
        <v>5396</v>
      </c>
    </row>
    <row r="2686" spans="1:10">
      <c r="A2686" s="1">
        <v>102251</v>
      </c>
      <c r="B2686" s="1">
        <v>6414406628</v>
      </c>
      <c r="C2686" s="1">
        <v>24</v>
      </c>
      <c r="D2686" s="1" t="s">
        <v>910</v>
      </c>
      <c r="E2686" t="s">
        <v>5361</v>
      </c>
      <c r="F2686" s="1">
        <v>448183</v>
      </c>
      <c r="G2686" s="1">
        <v>2620018315</v>
      </c>
      <c r="H2686" s="1">
        <v>12</v>
      </c>
      <c r="I2686" s="1" t="s">
        <v>2663</v>
      </c>
      <c r="J2686" t="s">
        <v>5397</v>
      </c>
    </row>
    <row r="2687" spans="1:10">
      <c r="A2687" s="1">
        <v>102152</v>
      </c>
      <c r="B2687" s="1">
        <v>1116610215</v>
      </c>
      <c r="C2687" s="1">
        <v>12</v>
      </c>
      <c r="D2687" s="1" t="s">
        <v>489</v>
      </c>
      <c r="E2687" t="s">
        <v>5362</v>
      </c>
      <c r="F2687" s="1">
        <v>217141</v>
      </c>
      <c r="G2687" s="1">
        <v>2620016001</v>
      </c>
      <c r="H2687" s="1">
        <v>12</v>
      </c>
      <c r="I2687" s="1" t="s">
        <v>419</v>
      </c>
      <c r="J2687" t="s">
        <v>5398</v>
      </c>
    </row>
    <row r="2688" spans="1:10">
      <c r="A2688" s="1">
        <v>102442</v>
      </c>
      <c r="B2688" s="1">
        <v>1116610244</v>
      </c>
      <c r="C2688" s="1">
        <v>24</v>
      </c>
      <c r="D2688" s="1" t="s">
        <v>394</v>
      </c>
      <c r="E2688" t="s">
        <v>5362</v>
      </c>
      <c r="F2688" s="1">
        <v>184838</v>
      </c>
      <c r="G2688" s="1">
        <v>2620011432</v>
      </c>
      <c r="H2688" s="1">
        <v>12</v>
      </c>
      <c r="I2688" s="1" t="s">
        <v>419</v>
      </c>
      <c r="J2688" t="s">
        <v>5399</v>
      </c>
    </row>
    <row r="2689" spans="1:10" ht="15.75">
      <c r="A2689" s="1">
        <v>101733</v>
      </c>
      <c r="B2689" s="1">
        <v>5100010348</v>
      </c>
      <c r="C2689" s="1">
        <v>12</v>
      </c>
      <c r="D2689" s="1" t="s">
        <v>489</v>
      </c>
      <c r="E2689" t="s">
        <v>5363</v>
      </c>
      <c r="F2689" s="4" t="s">
        <v>10758</v>
      </c>
      <c r="G2689" s="2"/>
      <c r="H2689" s="2"/>
      <c r="I2689" s="2"/>
      <c r="J2689" s="3"/>
    </row>
    <row r="2690" spans="1:10">
      <c r="A2690" s="1">
        <v>101568</v>
      </c>
      <c r="B2690" s="1">
        <v>5100005300</v>
      </c>
      <c r="C2690" s="1">
        <v>8</v>
      </c>
      <c r="D2690" s="1" t="s">
        <v>546</v>
      </c>
      <c r="E2690" t="s">
        <v>5364</v>
      </c>
      <c r="F2690" s="2" t="s">
        <v>0</v>
      </c>
      <c r="G2690" s="2" t="s">
        <v>1</v>
      </c>
      <c r="H2690" s="2" t="s">
        <v>2</v>
      </c>
      <c r="I2690" s="2" t="s">
        <v>3</v>
      </c>
      <c r="J2690" s="3" t="s">
        <v>4</v>
      </c>
    </row>
    <row r="2691" spans="1:10">
      <c r="A2691" s="1">
        <v>101659</v>
      </c>
      <c r="B2691" s="1">
        <v>5100002379</v>
      </c>
      <c r="C2691" s="1">
        <v>24</v>
      </c>
      <c r="D2691" s="1" t="s">
        <v>106</v>
      </c>
      <c r="E2691" t="s">
        <v>5365</v>
      </c>
      <c r="F2691" s="1">
        <v>427021</v>
      </c>
      <c r="G2691" s="1">
        <v>1600016577</v>
      </c>
      <c r="H2691" s="1">
        <v>12</v>
      </c>
      <c r="I2691" s="1" t="s">
        <v>128</v>
      </c>
      <c r="J2691" t="s">
        <v>5400</v>
      </c>
    </row>
    <row r="2692" spans="1:10">
      <c r="A2692" s="1">
        <v>109215</v>
      </c>
      <c r="B2692" s="1">
        <v>5100002402</v>
      </c>
      <c r="C2692" s="1">
        <v>12</v>
      </c>
      <c r="D2692" s="1" t="s">
        <v>370</v>
      </c>
      <c r="E2692" t="s">
        <v>5366</v>
      </c>
      <c r="F2692" s="1">
        <v>761163</v>
      </c>
      <c r="G2692" s="1">
        <v>1600016578</v>
      </c>
      <c r="H2692" s="1">
        <v>12</v>
      </c>
      <c r="I2692" s="1" t="s">
        <v>17</v>
      </c>
      <c r="J2692" t="s">
        <v>5401</v>
      </c>
    </row>
    <row r="2693" spans="1:10">
      <c r="A2693" s="1">
        <v>108829</v>
      </c>
      <c r="B2693" s="1">
        <v>4135850012</v>
      </c>
      <c r="C2693" s="1">
        <v>12</v>
      </c>
      <c r="D2693" s="1" t="s">
        <v>439</v>
      </c>
      <c r="E2693" t="s">
        <v>5367</v>
      </c>
      <c r="F2693" s="1">
        <v>382390</v>
      </c>
      <c r="G2693" s="1">
        <v>5010014204</v>
      </c>
      <c r="H2693" s="1">
        <v>6</v>
      </c>
      <c r="I2693" s="1" t="s">
        <v>5402</v>
      </c>
      <c r="J2693" t="s">
        <v>5403</v>
      </c>
    </row>
    <row r="2694" spans="1:10">
      <c r="A2694" s="1">
        <v>106062</v>
      </c>
      <c r="B2694" s="1">
        <v>7550000010</v>
      </c>
      <c r="C2694" s="1">
        <v>24</v>
      </c>
      <c r="D2694" s="1" t="s">
        <v>489</v>
      </c>
      <c r="E2694" t="s">
        <v>5368</v>
      </c>
      <c r="F2694" s="1">
        <v>697748</v>
      </c>
      <c r="G2694" s="1">
        <v>5010014211</v>
      </c>
      <c r="H2694" s="1">
        <v>6</v>
      </c>
      <c r="I2694" s="1" t="s">
        <v>5404</v>
      </c>
      <c r="J2694" t="s">
        <v>5405</v>
      </c>
    </row>
    <row r="2695" spans="1:10">
      <c r="A2695" s="1">
        <v>101949</v>
      </c>
      <c r="B2695" s="1">
        <v>7478505280</v>
      </c>
      <c r="C2695" s="1">
        <v>24</v>
      </c>
      <c r="D2695" s="1" t="s">
        <v>394</v>
      </c>
      <c r="E2695" t="s">
        <v>5369</v>
      </c>
      <c r="F2695" s="1">
        <v>103762</v>
      </c>
      <c r="G2695" s="1">
        <v>6414404710</v>
      </c>
      <c r="H2695" s="1">
        <v>12</v>
      </c>
      <c r="I2695" s="1" t="s">
        <v>358</v>
      </c>
      <c r="J2695" t="s">
        <v>5406</v>
      </c>
    </row>
    <row r="2696" spans="1:10">
      <c r="A2696" s="1">
        <v>101725</v>
      </c>
      <c r="B2696" s="1">
        <v>7478510210</v>
      </c>
      <c r="C2696" s="1">
        <v>12</v>
      </c>
      <c r="D2696" s="1" t="s">
        <v>489</v>
      </c>
      <c r="E2696" t="s">
        <v>5370</v>
      </c>
      <c r="F2696" s="1">
        <v>103739</v>
      </c>
      <c r="G2696" s="1">
        <v>6414404707</v>
      </c>
      <c r="H2696" s="1">
        <v>12</v>
      </c>
      <c r="I2696" s="1" t="s">
        <v>358</v>
      </c>
      <c r="J2696" t="s">
        <v>5407</v>
      </c>
    </row>
    <row r="2697" spans="1:10">
      <c r="A2697" s="1">
        <v>48991</v>
      </c>
      <c r="B2697" s="1">
        <v>7478507755</v>
      </c>
      <c r="C2697" s="1">
        <v>12</v>
      </c>
      <c r="D2697" s="1" t="s">
        <v>360</v>
      </c>
      <c r="E2697" t="s">
        <v>5371</v>
      </c>
      <c r="F2697" s="1">
        <v>103044</v>
      </c>
      <c r="G2697" s="1">
        <v>6414404718</v>
      </c>
      <c r="H2697" s="1">
        <v>12</v>
      </c>
      <c r="I2697" s="1" t="s">
        <v>358</v>
      </c>
      <c r="J2697" t="s">
        <v>5408</v>
      </c>
    </row>
    <row r="2698" spans="1:10">
      <c r="A2698" s="1">
        <v>625970</v>
      </c>
      <c r="B2698" s="1">
        <v>7478553422</v>
      </c>
      <c r="C2698" s="1">
        <v>12</v>
      </c>
      <c r="D2698" s="1" t="s">
        <v>742</v>
      </c>
      <c r="E2698" t="s">
        <v>5372</v>
      </c>
      <c r="F2698" s="1">
        <v>103069</v>
      </c>
      <c r="G2698" s="1">
        <v>6414404709</v>
      </c>
      <c r="H2698" s="1">
        <v>12</v>
      </c>
      <c r="I2698" s="1" t="s">
        <v>358</v>
      </c>
      <c r="J2698" t="s">
        <v>5409</v>
      </c>
    </row>
    <row r="2699" spans="1:10">
      <c r="A2699" s="1">
        <v>461871</v>
      </c>
      <c r="B2699" s="1">
        <v>7478503283</v>
      </c>
      <c r="C2699" s="1">
        <v>8</v>
      </c>
      <c r="D2699" s="1" t="s">
        <v>546</v>
      </c>
      <c r="E2699" t="s">
        <v>5373</v>
      </c>
      <c r="F2699" s="1">
        <v>105379</v>
      </c>
      <c r="G2699" s="1">
        <v>6414404713</v>
      </c>
      <c r="H2699" s="1">
        <v>12</v>
      </c>
      <c r="I2699" s="1" t="s">
        <v>358</v>
      </c>
      <c r="J2699" t="s">
        <v>5410</v>
      </c>
    </row>
    <row r="2700" spans="1:10" ht="15.75">
      <c r="A2700" s="4" t="s">
        <v>10756</v>
      </c>
      <c r="B2700" s="2"/>
      <c r="C2700" s="2"/>
      <c r="D2700" s="2"/>
      <c r="E2700" s="3"/>
      <c r="F2700" s="1">
        <v>103028</v>
      </c>
      <c r="G2700" s="1">
        <v>6414404730</v>
      </c>
      <c r="H2700" s="1">
        <v>12</v>
      </c>
      <c r="I2700" s="1" t="s">
        <v>358</v>
      </c>
      <c r="J2700" t="s">
        <v>5411</v>
      </c>
    </row>
    <row r="2701" spans="1:10">
      <c r="A2701" s="2" t="s">
        <v>0</v>
      </c>
      <c r="B2701" s="2" t="s">
        <v>1</v>
      </c>
      <c r="C2701" s="2" t="s">
        <v>2</v>
      </c>
      <c r="D2701" s="2" t="s">
        <v>3</v>
      </c>
      <c r="E2701" s="3" t="s">
        <v>4</v>
      </c>
      <c r="F2701" s="1">
        <v>103077</v>
      </c>
      <c r="G2701" s="1">
        <v>6414404734</v>
      </c>
      <c r="H2701" s="1">
        <v>12</v>
      </c>
      <c r="I2701" s="1" t="s">
        <v>358</v>
      </c>
      <c r="J2701" t="s">
        <v>5412</v>
      </c>
    </row>
    <row r="2702" spans="1:10">
      <c r="A2702" s="1">
        <v>104620</v>
      </c>
      <c r="B2702" s="1">
        <v>1700000946</v>
      </c>
      <c r="C2702" s="1">
        <v>48</v>
      </c>
      <c r="D2702" s="1" t="s">
        <v>14</v>
      </c>
      <c r="E2702" t="s">
        <v>5374</v>
      </c>
      <c r="F2702" s="1">
        <v>103010</v>
      </c>
      <c r="G2702" s="1">
        <v>6414404702</v>
      </c>
      <c r="H2702" s="1">
        <v>12</v>
      </c>
      <c r="I2702" s="1" t="s">
        <v>358</v>
      </c>
      <c r="J2702" t="s">
        <v>5413</v>
      </c>
    </row>
    <row r="2703" spans="1:10">
      <c r="A2703" s="1">
        <v>104646</v>
      </c>
      <c r="B2703" s="1">
        <v>1700000950</v>
      </c>
      <c r="C2703" s="1">
        <v>24</v>
      </c>
      <c r="D2703" s="1" t="s">
        <v>781</v>
      </c>
      <c r="E2703" t="s">
        <v>5374</v>
      </c>
      <c r="F2703" s="1">
        <v>103051</v>
      </c>
      <c r="G2703" s="1">
        <v>6414404717</v>
      </c>
      <c r="H2703" s="1">
        <v>12</v>
      </c>
      <c r="I2703" s="1" t="s">
        <v>4491</v>
      </c>
      <c r="J2703" t="s">
        <v>5414</v>
      </c>
    </row>
    <row r="2704" spans="1:10">
      <c r="A2704" s="1">
        <v>104687</v>
      </c>
      <c r="B2704" s="1">
        <v>3900008594</v>
      </c>
      <c r="C2704" s="1">
        <v>48</v>
      </c>
      <c r="D2704" s="1" t="s">
        <v>14</v>
      </c>
      <c r="E2704" t="s">
        <v>5375</v>
      </c>
      <c r="F2704" s="1">
        <v>103143</v>
      </c>
      <c r="G2704" s="1">
        <v>6414404756</v>
      </c>
      <c r="H2704" s="1">
        <v>12</v>
      </c>
      <c r="I2704" s="1" t="s">
        <v>358</v>
      </c>
      <c r="J2704" t="s">
        <v>5415</v>
      </c>
    </row>
    <row r="2705" spans="1:10">
      <c r="A2705" s="1">
        <v>106625</v>
      </c>
      <c r="B2705" s="1">
        <v>3760000002</v>
      </c>
      <c r="C2705" s="1">
        <v>24</v>
      </c>
      <c r="D2705" s="1" t="s">
        <v>14</v>
      </c>
      <c r="E2705" t="s">
        <v>5376</v>
      </c>
      <c r="F2705" s="1">
        <v>387431</v>
      </c>
      <c r="G2705" s="1">
        <v>6414486358</v>
      </c>
      <c r="H2705" s="1">
        <v>12</v>
      </c>
      <c r="I2705" s="1" t="s">
        <v>1254</v>
      </c>
      <c r="J2705" t="s">
        <v>5416</v>
      </c>
    </row>
    <row r="2706" spans="1:10">
      <c r="A2706" s="1">
        <v>109165</v>
      </c>
      <c r="B2706" s="1">
        <v>4780000021</v>
      </c>
      <c r="C2706" s="1">
        <v>24</v>
      </c>
      <c r="D2706" s="1" t="s">
        <v>536</v>
      </c>
      <c r="E2706" t="s">
        <v>5377</v>
      </c>
      <c r="F2706" s="1">
        <v>387423</v>
      </c>
      <c r="G2706" s="1">
        <v>6414486355</v>
      </c>
      <c r="H2706" s="1">
        <v>12</v>
      </c>
      <c r="I2706" s="1" t="s">
        <v>1409</v>
      </c>
      <c r="J2706" t="s">
        <v>5417</v>
      </c>
    </row>
    <row r="2707" spans="1:10" ht="15.75">
      <c r="A2707" s="4" t="s">
        <v>10758</v>
      </c>
      <c r="B2707" s="2"/>
      <c r="C2707" s="2"/>
      <c r="D2707" s="2"/>
      <c r="E2707" s="3"/>
      <c r="F2707" s="4" t="s">
        <v>10758</v>
      </c>
      <c r="G2707" s="2"/>
      <c r="H2707" s="2"/>
      <c r="I2707" s="2"/>
      <c r="J2707" s="3"/>
    </row>
    <row r="2708" spans="1:10">
      <c r="A2708" s="2" t="s">
        <v>0</v>
      </c>
      <c r="B2708" s="2" t="s">
        <v>1</v>
      </c>
      <c r="C2708" s="2" t="s">
        <v>2</v>
      </c>
      <c r="D2708" s="2" t="s">
        <v>3</v>
      </c>
      <c r="E2708" s="3" t="s">
        <v>4</v>
      </c>
      <c r="F2708" s="2" t="s">
        <v>0</v>
      </c>
      <c r="G2708" s="2" t="s">
        <v>1</v>
      </c>
      <c r="H2708" s="2" t="s">
        <v>2</v>
      </c>
      <c r="I2708" s="2" t="s">
        <v>3</v>
      </c>
      <c r="J2708" s="3" t="s">
        <v>4</v>
      </c>
    </row>
    <row r="2709" spans="1:10">
      <c r="A2709" s="1">
        <v>424440</v>
      </c>
      <c r="B2709" s="1">
        <v>6414486357</v>
      </c>
      <c r="C2709" s="1">
        <v>12</v>
      </c>
      <c r="D2709" s="1" t="s">
        <v>1254</v>
      </c>
      <c r="E2709" t="s">
        <v>5418</v>
      </c>
      <c r="F2709" s="1">
        <v>105742</v>
      </c>
      <c r="G2709" s="1">
        <v>3760040556</v>
      </c>
      <c r="H2709" s="1">
        <v>12</v>
      </c>
      <c r="I2709" s="1" t="s">
        <v>358</v>
      </c>
      <c r="J2709" t="s">
        <v>5459</v>
      </c>
    </row>
    <row r="2710" spans="1:10">
      <c r="A2710" s="1">
        <v>464164</v>
      </c>
      <c r="B2710" s="1">
        <v>6414486370</v>
      </c>
      <c r="C2710" s="1">
        <v>12</v>
      </c>
      <c r="D2710" s="1" t="s">
        <v>1254</v>
      </c>
      <c r="E2710" t="s">
        <v>5419</v>
      </c>
      <c r="F2710" s="1">
        <v>105908</v>
      </c>
      <c r="G2710" s="1">
        <v>3760023054</v>
      </c>
      <c r="H2710" s="1">
        <v>12</v>
      </c>
      <c r="I2710" s="1" t="s">
        <v>358</v>
      </c>
      <c r="J2710" t="s">
        <v>5460</v>
      </c>
    </row>
    <row r="2711" spans="1:10">
      <c r="A2711" s="1">
        <v>387449</v>
      </c>
      <c r="B2711" s="1">
        <v>6414486359</v>
      </c>
      <c r="C2711" s="1">
        <v>12</v>
      </c>
      <c r="D2711" s="1" t="s">
        <v>1254</v>
      </c>
      <c r="E2711" t="s">
        <v>5420</v>
      </c>
      <c r="F2711" s="1">
        <v>158717</v>
      </c>
      <c r="G2711" s="1">
        <v>2100002065</v>
      </c>
      <c r="H2711" s="1">
        <v>10</v>
      </c>
      <c r="I2711" s="1" t="s">
        <v>178</v>
      </c>
      <c r="J2711" t="s">
        <v>5461</v>
      </c>
    </row>
    <row r="2712" spans="1:10">
      <c r="A2712" s="1">
        <v>103101</v>
      </c>
      <c r="B2712" s="1">
        <v>6414404965</v>
      </c>
      <c r="C2712" s="1">
        <v>12</v>
      </c>
      <c r="D2712" s="1" t="s">
        <v>358</v>
      </c>
      <c r="E2712" t="s">
        <v>5421</v>
      </c>
      <c r="F2712" s="1">
        <v>806760</v>
      </c>
      <c r="G2712" s="1">
        <v>2100001087</v>
      </c>
      <c r="H2712" s="1">
        <v>10</v>
      </c>
      <c r="I2712" s="1" t="s">
        <v>178</v>
      </c>
      <c r="J2712" t="s">
        <v>5462</v>
      </c>
    </row>
    <row r="2713" spans="1:10">
      <c r="A2713" s="1">
        <v>494260</v>
      </c>
      <c r="B2713" s="1">
        <v>6414404748</v>
      </c>
      <c r="C2713" s="1">
        <v>12</v>
      </c>
      <c r="D2713" s="1" t="s">
        <v>358</v>
      </c>
      <c r="E2713" t="s">
        <v>5422</v>
      </c>
      <c r="F2713" s="1">
        <v>399055</v>
      </c>
      <c r="G2713" s="1">
        <v>2100001400</v>
      </c>
      <c r="H2713" s="1">
        <v>10</v>
      </c>
      <c r="I2713" s="1" t="s">
        <v>178</v>
      </c>
      <c r="J2713" t="s">
        <v>5463</v>
      </c>
    </row>
    <row r="2714" spans="1:10">
      <c r="A2714" s="1">
        <v>588244</v>
      </c>
      <c r="B2714" s="1">
        <v>5000005348</v>
      </c>
      <c r="C2714" s="1">
        <v>6</v>
      </c>
      <c r="D2714" s="1" t="s">
        <v>5333</v>
      </c>
      <c r="E2714" t="s">
        <v>5423</v>
      </c>
      <c r="F2714" s="1">
        <v>826610</v>
      </c>
      <c r="G2714" s="1">
        <v>2100001088</v>
      </c>
      <c r="H2714" s="1">
        <v>10</v>
      </c>
      <c r="I2714" s="1" t="s">
        <v>178</v>
      </c>
      <c r="J2714" t="s">
        <v>5464</v>
      </c>
    </row>
    <row r="2715" spans="1:10">
      <c r="A2715" s="1">
        <v>786103</v>
      </c>
      <c r="B2715" s="1">
        <v>3760051542</v>
      </c>
      <c r="C2715" s="1">
        <v>6</v>
      </c>
      <c r="D2715" s="1" t="s">
        <v>489</v>
      </c>
      <c r="E2715" t="s">
        <v>5424</v>
      </c>
      <c r="F2715" s="1">
        <v>859348</v>
      </c>
      <c r="G2715" s="1">
        <v>2100001582</v>
      </c>
      <c r="H2715" s="1">
        <v>10</v>
      </c>
      <c r="I2715" s="1" t="s">
        <v>178</v>
      </c>
      <c r="J2715" t="s">
        <v>5465</v>
      </c>
    </row>
    <row r="2716" spans="1:10">
      <c r="A2716" s="1">
        <v>766709</v>
      </c>
      <c r="B2716" s="1">
        <v>3760051543</v>
      </c>
      <c r="C2716" s="1">
        <v>6</v>
      </c>
      <c r="D2716" s="1" t="s">
        <v>489</v>
      </c>
      <c r="E2716" t="s">
        <v>5425</v>
      </c>
      <c r="F2716" s="1">
        <v>362202</v>
      </c>
      <c r="G2716" s="1">
        <v>2100001580</v>
      </c>
      <c r="H2716" s="1">
        <v>10</v>
      </c>
      <c r="I2716" s="1" t="s">
        <v>178</v>
      </c>
      <c r="J2716" t="s">
        <v>5466</v>
      </c>
    </row>
    <row r="2717" spans="1:10">
      <c r="A2717" s="1">
        <v>110726</v>
      </c>
      <c r="B2717" s="1">
        <v>3760051541</v>
      </c>
      <c r="C2717" s="1">
        <v>6</v>
      </c>
      <c r="D2717" s="1" t="s">
        <v>489</v>
      </c>
      <c r="E2717" t="s">
        <v>5426</v>
      </c>
      <c r="F2717" s="1">
        <v>882993</v>
      </c>
      <c r="G2717" s="1">
        <v>2100001912</v>
      </c>
      <c r="H2717" s="1">
        <v>10</v>
      </c>
      <c r="I2717" s="1" t="s">
        <v>178</v>
      </c>
      <c r="J2717" t="s">
        <v>5467</v>
      </c>
    </row>
    <row r="2718" spans="1:10">
      <c r="A2718" s="1">
        <v>239756</v>
      </c>
      <c r="B2718" s="1">
        <v>3760051540</v>
      </c>
      <c r="C2718" s="1">
        <v>6</v>
      </c>
      <c r="D2718" s="1" t="s">
        <v>489</v>
      </c>
      <c r="E2718" t="s">
        <v>5427</v>
      </c>
      <c r="F2718" s="1">
        <v>804021</v>
      </c>
      <c r="G2718" s="1">
        <v>2100002323</v>
      </c>
      <c r="H2718" s="1">
        <v>10</v>
      </c>
      <c r="I2718" s="1" t="s">
        <v>5468</v>
      </c>
      <c r="J2718" t="s">
        <v>5469</v>
      </c>
    </row>
    <row r="2719" spans="1:10">
      <c r="A2719" s="1">
        <v>105593</v>
      </c>
      <c r="B2719" s="1">
        <v>3760049231</v>
      </c>
      <c r="C2719" s="1">
        <v>6</v>
      </c>
      <c r="D2719" s="1" t="s">
        <v>489</v>
      </c>
      <c r="E2719" t="s">
        <v>5428</v>
      </c>
      <c r="F2719" s="1">
        <v>190629</v>
      </c>
      <c r="G2719" s="1">
        <v>2100002318</v>
      </c>
      <c r="H2719" s="1">
        <v>10</v>
      </c>
      <c r="I2719" s="1" t="s">
        <v>5470</v>
      </c>
      <c r="J2719" t="s">
        <v>5471</v>
      </c>
    </row>
    <row r="2720" spans="1:10">
      <c r="A2720" s="1">
        <v>103655</v>
      </c>
      <c r="B2720" s="1">
        <v>3760008529</v>
      </c>
      <c r="C2720" s="1">
        <v>6</v>
      </c>
      <c r="D2720" s="1" t="s">
        <v>489</v>
      </c>
      <c r="E2720" t="s">
        <v>5429</v>
      </c>
      <c r="F2720" s="1">
        <v>594119</v>
      </c>
      <c r="G2720" s="1">
        <v>2100002322</v>
      </c>
      <c r="H2720" s="1">
        <v>10</v>
      </c>
      <c r="I2720" s="1" t="s">
        <v>5472</v>
      </c>
      <c r="J2720" t="s">
        <v>5473</v>
      </c>
    </row>
    <row r="2721" spans="1:10">
      <c r="A2721" s="1">
        <v>103663</v>
      </c>
      <c r="B2721" s="1">
        <v>3760036918</v>
      </c>
      <c r="C2721" s="1">
        <v>6</v>
      </c>
      <c r="D2721" s="1" t="s">
        <v>489</v>
      </c>
      <c r="E2721" t="s">
        <v>5430</v>
      </c>
      <c r="F2721" s="1">
        <v>184481</v>
      </c>
      <c r="G2721" s="1">
        <v>6414406805</v>
      </c>
      <c r="H2721" s="1">
        <v>12</v>
      </c>
      <c r="I2721" s="1" t="s">
        <v>358</v>
      </c>
      <c r="J2721" t="s">
        <v>5474</v>
      </c>
    </row>
    <row r="2722" spans="1:10" ht="15.75">
      <c r="A2722" s="1">
        <v>103671</v>
      </c>
      <c r="B2722" s="1">
        <v>3760007060</v>
      </c>
      <c r="C2722" s="1">
        <v>6</v>
      </c>
      <c r="D2722" s="1" t="s">
        <v>489</v>
      </c>
      <c r="E2722" t="s">
        <v>5431</v>
      </c>
      <c r="F2722" s="4" t="s">
        <v>10759</v>
      </c>
      <c r="G2722" s="2"/>
      <c r="H2722" s="2"/>
      <c r="I2722" s="2"/>
      <c r="J2722" s="3"/>
    </row>
    <row r="2723" spans="1:10">
      <c r="A2723" s="1">
        <v>103176</v>
      </c>
      <c r="B2723" s="1">
        <v>3760015842</v>
      </c>
      <c r="C2723" s="1">
        <v>12</v>
      </c>
      <c r="D2723" s="1" t="s">
        <v>358</v>
      </c>
      <c r="E2723" t="s">
        <v>5432</v>
      </c>
      <c r="F2723" s="2" t="s">
        <v>0</v>
      </c>
      <c r="G2723" s="2" t="s">
        <v>1</v>
      </c>
      <c r="H2723" s="2" t="s">
        <v>2</v>
      </c>
      <c r="I2723" s="2" t="s">
        <v>3</v>
      </c>
      <c r="J2723" s="3" t="s">
        <v>4</v>
      </c>
    </row>
    <row r="2724" spans="1:10">
      <c r="A2724" s="1">
        <v>690461</v>
      </c>
      <c r="B2724" s="1">
        <v>5010060031</v>
      </c>
      <c r="C2724" s="1">
        <v>6</v>
      </c>
      <c r="D2724" s="1" t="s">
        <v>5433</v>
      </c>
      <c r="E2724" t="s">
        <v>5434</v>
      </c>
      <c r="F2724" s="1">
        <v>54296</v>
      </c>
      <c r="G2724" s="1">
        <v>2010000020</v>
      </c>
      <c r="H2724" s="1">
        <v>24</v>
      </c>
      <c r="I2724" s="1" t="s">
        <v>386</v>
      </c>
      <c r="J2724" t="s">
        <v>5475</v>
      </c>
    </row>
    <row r="2725" spans="1:10">
      <c r="A2725" s="1">
        <v>549691</v>
      </c>
      <c r="B2725" s="1">
        <v>5010060011</v>
      </c>
      <c r="C2725" s="1">
        <v>6</v>
      </c>
      <c r="D2725" s="1" t="s">
        <v>5435</v>
      </c>
      <c r="E2725" t="s">
        <v>5436</v>
      </c>
      <c r="F2725" s="1">
        <v>55442</v>
      </c>
      <c r="G2725" s="1">
        <v>2010000019</v>
      </c>
      <c r="H2725" s="1">
        <v>24</v>
      </c>
      <c r="I2725" s="1" t="s">
        <v>190</v>
      </c>
      <c r="J2725" t="s">
        <v>5476</v>
      </c>
    </row>
    <row r="2726" spans="1:10">
      <c r="A2726" s="1">
        <v>495069</v>
      </c>
      <c r="B2726" s="1">
        <v>5010060010</v>
      </c>
      <c r="C2726" s="1">
        <v>6</v>
      </c>
      <c r="D2726" s="1" t="s">
        <v>5435</v>
      </c>
      <c r="E2726" t="s">
        <v>5437</v>
      </c>
      <c r="F2726" s="1">
        <v>54528</v>
      </c>
      <c r="G2726" s="1">
        <v>2010000021</v>
      </c>
      <c r="H2726" s="1">
        <v>24</v>
      </c>
      <c r="I2726" s="1" t="s">
        <v>386</v>
      </c>
      <c r="J2726" t="s">
        <v>5477</v>
      </c>
    </row>
    <row r="2727" spans="1:10">
      <c r="A2727" s="1">
        <v>179929</v>
      </c>
      <c r="B2727" s="1">
        <v>5010060021</v>
      </c>
      <c r="C2727" s="1">
        <v>6</v>
      </c>
      <c r="D2727" s="1" t="s">
        <v>5435</v>
      </c>
      <c r="E2727" t="s">
        <v>5438</v>
      </c>
      <c r="F2727" s="1">
        <v>54478</v>
      </c>
      <c r="G2727" s="1">
        <v>2010000025</v>
      </c>
      <c r="H2727" s="1">
        <v>24</v>
      </c>
      <c r="I2727" s="1" t="s">
        <v>386</v>
      </c>
      <c r="J2727" t="s">
        <v>5478</v>
      </c>
    </row>
    <row r="2728" spans="1:10">
      <c r="A2728" s="1">
        <v>445106</v>
      </c>
      <c r="B2728" s="1">
        <v>5010060051</v>
      </c>
      <c r="C2728" s="1">
        <v>6</v>
      </c>
      <c r="D2728" s="1" t="s">
        <v>5433</v>
      </c>
      <c r="E2728" t="s">
        <v>5439</v>
      </c>
      <c r="F2728" s="1">
        <v>54239</v>
      </c>
      <c r="G2728" s="1">
        <v>2010000024</v>
      </c>
      <c r="H2728" s="1">
        <v>24</v>
      </c>
      <c r="I2728" s="1" t="s">
        <v>386</v>
      </c>
      <c r="J2728" t="s">
        <v>5479</v>
      </c>
    </row>
    <row r="2729" spans="1:10">
      <c r="A2729" s="1">
        <v>197459</v>
      </c>
      <c r="B2729" s="1">
        <v>3760010344</v>
      </c>
      <c r="C2729" s="1">
        <v>6</v>
      </c>
      <c r="D2729" s="1" t="s">
        <v>489</v>
      </c>
      <c r="E2729" t="s">
        <v>5440</v>
      </c>
      <c r="F2729" s="1">
        <v>54767</v>
      </c>
      <c r="G2729" s="1">
        <v>2010000022</v>
      </c>
      <c r="H2729" s="1">
        <v>24</v>
      </c>
      <c r="I2729" s="1" t="s">
        <v>386</v>
      </c>
      <c r="J2729" t="s">
        <v>5480</v>
      </c>
    </row>
    <row r="2730" spans="1:10">
      <c r="A2730" s="1">
        <v>784389</v>
      </c>
      <c r="B2730" s="1">
        <v>3760010347</v>
      </c>
      <c r="C2730" s="1">
        <v>6</v>
      </c>
      <c r="D2730" s="1" t="s">
        <v>489</v>
      </c>
      <c r="E2730" t="s">
        <v>5441</v>
      </c>
      <c r="F2730" s="1">
        <v>55244</v>
      </c>
      <c r="G2730" s="1">
        <v>2010000006</v>
      </c>
      <c r="H2730" s="1">
        <v>24</v>
      </c>
      <c r="I2730" s="1" t="s">
        <v>386</v>
      </c>
      <c r="J2730" t="s">
        <v>5481</v>
      </c>
    </row>
    <row r="2731" spans="1:10">
      <c r="A2731" s="1">
        <v>105015</v>
      </c>
      <c r="B2731" s="1">
        <v>3760028183</v>
      </c>
      <c r="C2731" s="1">
        <v>12</v>
      </c>
      <c r="D2731" s="1" t="s">
        <v>358</v>
      </c>
      <c r="E2731" t="s">
        <v>5442</v>
      </c>
      <c r="F2731" s="1">
        <v>55236</v>
      </c>
      <c r="G2731" s="1">
        <v>2010000046</v>
      </c>
      <c r="H2731" s="1">
        <v>24</v>
      </c>
      <c r="I2731" s="1" t="s">
        <v>386</v>
      </c>
      <c r="J2731" t="s">
        <v>5482</v>
      </c>
    </row>
    <row r="2732" spans="1:10">
      <c r="A2732" s="1">
        <v>24604</v>
      </c>
      <c r="B2732" s="1">
        <v>3760038782</v>
      </c>
      <c r="C2732" s="1">
        <v>6</v>
      </c>
      <c r="D2732" s="1" t="s">
        <v>489</v>
      </c>
      <c r="E2732" t="s">
        <v>5443</v>
      </c>
      <c r="F2732" s="1">
        <v>54544</v>
      </c>
      <c r="G2732" s="1">
        <v>6661317506</v>
      </c>
      <c r="H2732" s="1">
        <v>18</v>
      </c>
      <c r="I2732" s="1" t="s">
        <v>5483</v>
      </c>
      <c r="J2732" t="s">
        <v>5484</v>
      </c>
    </row>
    <row r="2733" spans="1:10">
      <c r="A2733" s="1">
        <v>253534</v>
      </c>
      <c r="B2733" s="1">
        <v>3760049547</v>
      </c>
      <c r="C2733" s="1">
        <v>6</v>
      </c>
      <c r="D2733" s="1" t="s">
        <v>489</v>
      </c>
      <c r="E2733" t="s">
        <v>5444</v>
      </c>
      <c r="F2733" s="1">
        <v>54122</v>
      </c>
      <c r="G2733" s="1">
        <v>6661315809</v>
      </c>
      <c r="H2733" s="1">
        <v>18</v>
      </c>
      <c r="I2733" s="1" t="s">
        <v>5483</v>
      </c>
      <c r="J2733" t="s">
        <v>5485</v>
      </c>
    </row>
    <row r="2734" spans="1:10">
      <c r="A2734" s="1">
        <v>216010</v>
      </c>
      <c r="B2734" s="1">
        <v>3760054684</v>
      </c>
      <c r="C2734" s="1">
        <v>6</v>
      </c>
      <c r="D2734" s="1" t="s">
        <v>489</v>
      </c>
      <c r="E2734" t="s">
        <v>5445</v>
      </c>
      <c r="F2734" s="1">
        <v>54403</v>
      </c>
      <c r="G2734" s="1">
        <v>6661321704</v>
      </c>
      <c r="H2734" s="1">
        <v>12</v>
      </c>
      <c r="I2734" s="1" t="s">
        <v>14</v>
      </c>
      <c r="J2734" t="s">
        <v>5486</v>
      </c>
    </row>
    <row r="2735" spans="1:10">
      <c r="A2735" s="1">
        <v>150110</v>
      </c>
      <c r="B2735" s="1">
        <v>3760054683</v>
      </c>
      <c r="C2735" s="1">
        <v>6</v>
      </c>
      <c r="D2735" s="1" t="s">
        <v>489</v>
      </c>
      <c r="E2735" t="s">
        <v>5446</v>
      </c>
      <c r="F2735" s="1">
        <v>54015</v>
      </c>
      <c r="G2735" s="1">
        <v>6661311103</v>
      </c>
      <c r="H2735" s="1">
        <v>25</v>
      </c>
      <c r="I2735" s="1" t="s">
        <v>386</v>
      </c>
      <c r="J2735" t="s">
        <v>5487</v>
      </c>
    </row>
    <row r="2736" spans="1:10">
      <c r="A2736" s="1">
        <v>637256</v>
      </c>
      <c r="B2736" s="1">
        <v>3760037237</v>
      </c>
      <c r="C2736" s="1">
        <v>6</v>
      </c>
      <c r="D2736" s="1" t="s">
        <v>489</v>
      </c>
      <c r="E2736" t="s">
        <v>5447</v>
      </c>
      <c r="F2736" s="1">
        <v>54106</v>
      </c>
      <c r="G2736" s="1">
        <v>6661300009</v>
      </c>
      <c r="H2736" s="1">
        <v>25</v>
      </c>
      <c r="I2736" s="1" t="s">
        <v>386</v>
      </c>
      <c r="J2736" t="s">
        <v>5488</v>
      </c>
    </row>
    <row r="2737" spans="1:10">
      <c r="A2737" s="1">
        <v>12609</v>
      </c>
      <c r="B2737" s="1">
        <v>3760030209</v>
      </c>
      <c r="C2737" s="1">
        <v>6</v>
      </c>
      <c r="D2737" s="1" t="s">
        <v>489</v>
      </c>
      <c r="E2737" t="s">
        <v>5448</v>
      </c>
      <c r="F2737" s="1">
        <v>54080</v>
      </c>
      <c r="G2737" s="1">
        <v>6661302861</v>
      </c>
      <c r="H2737" s="1">
        <v>25</v>
      </c>
      <c r="I2737" s="1" t="s">
        <v>386</v>
      </c>
      <c r="J2737" t="s">
        <v>5489</v>
      </c>
    </row>
    <row r="2738" spans="1:10">
      <c r="A2738" s="1">
        <v>105031</v>
      </c>
      <c r="B2738" s="1">
        <v>3760002625</v>
      </c>
      <c r="C2738" s="1">
        <v>12</v>
      </c>
      <c r="D2738" s="1" t="s">
        <v>358</v>
      </c>
      <c r="E2738" t="s">
        <v>5449</v>
      </c>
      <c r="F2738" s="1">
        <v>57703</v>
      </c>
      <c r="G2738" s="1">
        <v>8660070252</v>
      </c>
      <c r="H2738" s="1">
        <v>12</v>
      </c>
      <c r="I2738" s="1" t="s">
        <v>404</v>
      </c>
      <c r="J2738" t="s">
        <v>5490</v>
      </c>
    </row>
    <row r="2739" spans="1:10">
      <c r="A2739" s="1">
        <v>378893</v>
      </c>
      <c r="B2739" s="1">
        <v>3760014394</v>
      </c>
      <c r="C2739" s="1">
        <v>6</v>
      </c>
      <c r="D2739" s="1" t="s">
        <v>489</v>
      </c>
      <c r="E2739" t="s">
        <v>5450</v>
      </c>
      <c r="F2739" s="1">
        <v>56457</v>
      </c>
      <c r="G2739" s="1">
        <v>8660070251</v>
      </c>
      <c r="H2739" s="1">
        <v>12</v>
      </c>
      <c r="I2739" s="1" t="s">
        <v>404</v>
      </c>
      <c r="J2739" t="s">
        <v>5491</v>
      </c>
    </row>
    <row r="2740" spans="1:10">
      <c r="A2740" s="1">
        <v>408658</v>
      </c>
      <c r="B2740" s="1">
        <v>3760018630</v>
      </c>
      <c r="C2740" s="1">
        <v>6</v>
      </c>
      <c r="D2740" s="1" t="s">
        <v>489</v>
      </c>
      <c r="E2740" t="s">
        <v>5451</v>
      </c>
      <c r="F2740" s="1">
        <v>57851</v>
      </c>
      <c r="G2740" s="1">
        <v>8660070033</v>
      </c>
      <c r="H2740" s="1">
        <v>18</v>
      </c>
      <c r="I2740" s="1" t="s">
        <v>386</v>
      </c>
      <c r="J2740" t="s">
        <v>5492</v>
      </c>
    </row>
    <row r="2741" spans="1:10">
      <c r="A2741" s="1">
        <v>254367</v>
      </c>
      <c r="B2741" s="1">
        <v>3760029630</v>
      </c>
      <c r="C2741" s="1">
        <v>6</v>
      </c>
      <c r="D2741" s="1" t="s">
        <v>489</v>
      </c>
      <c r="E2741" t="s">
        <v>5452</v>
      </c>
      <c r="F2741" s="1">
        <v>57794</v>
      </c>
      <c r="G2741" s="1">
        <v>8660075254</v>
      </c>
      <c r="H2741" s="1">
        <v>12</v>
      </c>
      <c r="I2741" s="1" t="s">
        <v>404</v>
      </c>
      <c r="J2741" t="s">
        <v>5493</v>
      </c>
    </row>
    <row r="2742" spans="1:10">
      <c r="A2742" s="1">
        <v>105320</v>
      </c>
      <c r="B2742" s="1">
        <v>3760027590</v>
      </c>
      <c r="C2742" s="1">
        <v>12</v>
      </c>
      <c r="D2742" s="1" t="s">
        <v>358</v>
      </c>
      <c r="E2742" t="s">
        <v>5453</v>
      </c>
      <c r="F2742" s="1">
        <v>55913</v>
      </c>
      <c r="G2742" s="1">
        <v>8660075075</v>
      </c>
      <c r="H2742" s="1">
        <v>24</v>
      </c>
      <c r="I2742" s="1" t="s">
        <v>386</v>
      </c>
      <c r="J2742" t="s">
        <v>5494</v>
      </c>
    </row>
    <row r="2743" spans="1:10">
      <c r="A2743" s="1">
        <v>461749</v>
      </c>
      <c r="B2743" s="1">
        <v>3760037857</v>
      </c>
      <c r="C2743" s="1">
        <v>6</v>
      </c>
      <c r="D2743" s="1" t="s">
        <v>489</v>
      </c>
      <c r="E2743" t="s">
        <v>5454</v>
      </c>
      <c r="F2743" s="1">
        <v>55343</v>
      </c>
      <c r="G2743" s="1">
        <v>8660075077</v>
      </c>
      <c r="H2743" s="1">
        <v>24</v>
      </c>
      <c r="I2743" s="1" t="s">
        <v>386</v>
      </c>
      <c r="J2743" t="s">
        <v>5495</v>
      </c>
    </row>
    <row r="2744" spans="1:10">
      <c r="A2744" s="1">
        <v>104109</v>
      </c>
      <c r="B2744" s="1">
        <v>3760033959</v>
      </c>
      <c r="C2744" s="1">
        <v>12</v>
      </c>
      <c r="D2744" s="1" t="s">
        <v>358</v>
      </c>
      <c r="E2744" t="s">
        <v>5455</v>
      </c>
      <c r="F2744" s="1">
        <v>55871</v>
      </c>
      <c r="G2744" s="1">
        <v>8660075070</v>
      </c>
      <c r="H2744" s="1">
        <v>24</v>
      </c>
      <c r="I2744" s="1" t="s">
        <v>386</v>
      </c>
      <c r="J2744" t="s">
        <v>5496</v>
      </c>
    </row>
    <row r="2745" spans="1:10">
      <c r="A2745" s="1">
        <v>105767</v>
      </c>
      <c r="B2745" s="1">
        <v>3760026273</v>
      </c>
      <c r="C2745" s="1">
        <v>12</v>
      </c>
      <c r="D2745" s="1" t="s">
        <v>358</v>
      </c>
      <c r="E2745" t="s">
        <v>5456</v>
      </c>
      <c r="F2745" s="1">
        <v>57885</v>
      </c>
      <c r="G2745" s="1">
        <v>8660070030</v>
      </c>
      <c r="H2745" s="1">
        <v>12</v>
      </c>
      <c r="I2745" s="1" t="s">
        <v>399</v>
      </c>
      <c r="J2745" t="s">
        <v>5497</v>
      </c>
    </row>
    <row r="2746" spans="1:10">
      <c r="A2746" s="1">
        <v>105874</v>
      </c>
      <c r="B2746" s="1">
        <v>3760014704</v>
      </c>
      <c r="C2746" s="1">
        <v>12</v>
      </c>
      <c r="D2746" s="1" t="s">
        <v>358</v>
      </c>
      <c r="E2746" t="s">
        <v>5457</v>
      </c>
      <c r="F2746" s="1">
        <v>55418</v>
      </c>
      <c r="G2746" s="1">
        <v>4800000180</v>
      </c>
      <c r="H2746" s="1">
        <v>12</v>
      </c>
      <c r="I2746" s="1" t="s">
        <v>5483</v>
      </c>
      <c r="J2746" t="s">
        <v>5498</v>
      </c>
    </row>
    <row r="2747" spans="1:10">
      <c r="A2747" s="1">
        <v>105882</v>
      </c>
      <c r="B2747" s="1">
        <v>3760011149</v>
      </c>
      <c r="C2747" s="1">
        <v>12</v>
      </c>
      <c r="D2747" s="1" t="s">
        <v>358</v>
      </c>
      <c r="E2747" t="s">
        <v>5458</v>
      </c>
      <c r="F2747" s="1">
        <v>121418</v>
      </c>
      <c r="G2747" s="1">
        <v>7323000031</v>
      </c>
      <c r="H2747" s="1">
        <v>25</v>
      </c>
      <c r="I2747" s="1" t="s">
        <v>31</v>
      </c>
      <c r="J2747" t="s">
        <v>5499</v>
      </c>
    </row>
    <row r="2748" spans="1:10" ht="15.75">
      <c r="A2748" s="4" t="s">
        <v>10759</v>
      </c>
      <c r="B2748" s="2"/>
      <c r="C2748" s="2"/>
      <c r="D2748" s="2"/>
      <c r="E2748" s="3"/>
      <c r="F2748" s="4" t="s">
        <v>10761</v>
      </c>
      <c r="G2748" s="2"/>
      <c r="H2748" s="2"/>
      <c r="I2748" s="2"/>
      <c r="J2748" s="3"/>
    </row>
    <row r="2749" spans="1:10">
      <c r="A2749" s="2" t="s">
        <v>0</v>
      </c>
      <c r="B2749" s="2" t="s">
        <v>1</v>
      </c>
      <c r="C2749" s="2" t="s">
        <v>2</v>
      </c>
      <c r="D2749" s="2" t="s">
        <v>3</v>
      </c>
      <c r="E2749" s="3" t="s">
        <v>4</v>
      </c>
      <c r="F2749" s="2" t="s">
        <v>0</v>
      </c>
      <c r="G2749" s="2" t="s">
        <v>1</v>
      </c>
      <c r="H2749" s="2" t="s">
        <v>2</v>
      </c>
      <c r="I2749" s="2" t="s">
        <v>3</v>
      </c>
      <c r="J2749" s="3" t="s">
        <v>4</v>
      </c>
    </row>
    <row r="2750" spans="1:10">
      <c r="A2750" s="1">
        <v>121459</v>
      </c>
      <c r="B2750" s="1">
        <v>7323000057</v>
      </c>
      <c r="C2750" s="1">
        <v>12</v>
      </c>
      <c r="D2750" s="1" t="s">
        <v>404</v>
      </c>
      <c r="E2750" t="s">
        <v>5500</v>
      </c>
      <c r="F2750" s="1">
        <v>508226</v>
      </c>
      <c r="G2750" s="1">
        <v>8660070740</v>
      </c>
      <c r="H2750" s="1">
        <v>12</v>
      </c>
      <c r="I2750" s="1" t="s">
        <v>4483</v>
      </c>
      <c r="J2750" t="s">
        <v>5534</v>
      </c>
    </row>
    <row r="2751" spans="1:10">
      <c r="A2751" s="1">
        <v>121806</v>
      </c>
      <c r="B2751" s="1">
        <v>7323000059</v>
      </c>
      <c r="C2751" s="1">
        <v>12</v>
      </c>
      <c r="D2751" s="1" t="s">
        <v>404</v>
      </c>
      <c r="E2751" t="s">
        <v>5501</v>
      </c>
      <c r="F2751" s="1">
        <v>485151</v>
      </c>
      <c r="G2751" s="1">
        <v>8660070741</v>
      </c>
      <c r="H2751" s="1">
        <v>12</v>
      </c>
      <c r="I2751" s="1" t="s">
        <v>4483</v>
      </c>
      <c r="J2751" t="s">
        <v>5535</v>
      </c>
    </row>
    <row r="2752" spans="1:10">
      <c r="A2752" s="1">
        <v>121392</v>
      </c>
      <c r="B2752" s="1">
        <v>7323000002</v>
      </c>
      <c r="C2752" s="1">
        <v>24</v>
      </c>
      <c r="D2752" s="1" t="s">
        <v>2211</v>
      </c>
      <c r="E2752" t="s">
        <v>5502</v>
      </c>
      <c r="F2752" s="1">
        <v>593491</v>
      </c>
      <c r="G2752" s="1">
        <v>8660024011</v>
      </c>
      <c r="H2752" s="1">
        <v>12</v>
      </c>
      <c r="I2752" s="1" t="s">
        <v>312</v>
      </c>
      <c r="J2752" t="s">
        <v>5536</v>
      </c>
    </row>
    <row r="2753" spans="1:10">
      <c r="A2753" s="1">
        <v>129551</v>
      </c>
      <c r="B2753" s="1">
        <v>7323000052</v>
      </c>
      <c r="C2753" s="1">
        <v>12</v>
      </c>
      <c r="D2753" s="1" t="s">
        <v>399</v>
      </c>
      <c r="E2753" t="s">
        <v>5503</v>
      </c>
      <c r="F2753" s="1">
        <v>57380</v>
      </c>
      <c r="G2753" s="1">
        <v>8660011451</v>
      </c>
      <c r="H2753" s="1">
        <v>8</v>
      </c>
      <c r="I2753" s="1" t="s">
        <v>546</v>
      </c>
      <c r="J2753" t="s">
        <v>5537</v>
      </c>
    </row>
    <row r="2754" spans="1:10">
      <c r="A2754" s="1">
        <v>121434</v>
      </c>
      <c r="B2754" s="1">
        <v>7323000051</v>
      </c>
      <c r="C2754" s="1">
        <v>24</v>
      </c>
      <c r="D2754" s="1" t="s">
        <v>386</v>
      </c>
      <c r="E2754" t="s">
        <v>5504</v>
      </c>
      <c r="F2754" s="1">
        <v>299115</v>
      </c>
      <c r="G2754" s="1">
        <v>8660000020</v>
      </c>
      <c r="H2754" s="1">
        <v>48</v>
      </c>
      <c r="I2754" s="1" t="s">
        <v>394</v>
      </c>
      <c r="J2754" t="s">
        <v>5538</v>
      </c>
    </row>
    <row r="2755" spans="1:10">
      <c r="A2755" s="1">
        <v>121426</v>
      </c>
      <c r="B2755" s="1">
        <v>7323000033</v>
      </c>
      <c r="C2755" s="1">
        <v>12</v>
      </c>
      <c r="D2755" s="1" t="s">
        <v>386</v>
      </c>
      <c r="E2755" t="s">
        <v>5505</v>
      </c>
      <c r="F2755" s="1">
        <v>347260</v>
      </c>
      <c r="G2755" s="1">
        <v>8660000025</v>
      </c>
      <c r="H2755" s="1">
        <v>24</v>
      </c>
      <c r="I2755" s="1" t="s">
        <v>394</v>
      </c>
      <c r="J2755" t="s">
        <v>5539</v>
      </c>
    </row>
    <row r="2756" spans="1:10">
      <c r="A2756" s="1">
        <v>121400</v>
      </c>
      <c r="B2756" s="1">
        <v>7323000009</v>
      </c>
      <c r="C2756" s="1">
        <v>12</v>
      </c>
      <c r="D2756" s="1" t="s">
        <v>386</v>
      </c>
      <c r="E2756" t="s">
        <v>5506</v>
      </c>
      <c r="F2756" s="1">
        <v>656967</v>
      </c>
      <c r="G2756" s="1">
        <v>8660000021</v>
      </c>
      <c r="H2756" s="1">
        <v>48</v>
      </c>
      <c r="I2756" s="1" t="s">
        <v>394</v>
      </c>
      <c r="J2756" t="s">
        <v>5540</v>
      </c>
    </row>
    <row r="2757" spans="1:10">
      <c r="A2757" s="1">
        <v>121293</v>
      </c>
      <c r="B2757" s="1">
        <v>7323000141</v>
      </c>
      <c r="C2757" s="1">
        <v>24</v>
      </c>
      <c r="D2757" s="1" t="s">
        <v>536</v>
      </c>
      <c r="E2757" t="s">
        <v>5507</v>
      </c>
      <c r="F2757" s="1">
        <v>259150</v>
      </c>
      <c r="G2757" s="1">
        <v>8660024001</v>
      </c>
      <c r="H2757" s="1">
        <v>12</v>
      </c>
      <c r="I2757" s="1" t="s">
        <v>312</v>
      </c>
      <c r="J2757" t="s">
        <v>5541</v>
      </c>
    </row>
    <row r="2758" spans="1:10">
      <c r="A2758" s="1">
        <v>121566</v>
      </c>
      <c r="B2758" s="1">
        <v>7323000140</v>
      </c>
      <c r="C2758" s="1">
        <v>24</v>
      </c>
      <c r="D2758" s="1" t="s">
        <v>536</v>
      </c>
      <c r="E2758" t="s">
        <v>5508</v>
      </c>
      <c r="F2758" s="1">
        <v>433656</v>
      </c>
      <c r="G2758" s="1">
        <v>8660000011</v>
      </c>
      <c r="H2758" s="1">
        <v>24</v>
      </c>
      <c r="I2758" s="1" t="s">
        <v>394</v>
      </c>
      <c r="J2758" t="s">
        <v>5542</v>
      </c>
    </row>
    <row r="2759" spans="1:10">
      <c r="A2759" s="1">
        <v>121772</v>
      </c>
      <c r="B2759" s="1">
        <v>7323000144</v>
      </c>
      <c r="C2759" s="1">
        <v>24</v>
      </c>
      <c r="D2759" s="1" t="s">
        <v>536</v>
      </c>
      <c r="E2759" t="s">
        <v>5509</v>
      </c>
      <c r="F2759" s="1">
        <v>362152</v>
      </c>
      <c r="G2759" s="1">
        <v>8660070726</v>
      </c>
      <c r="H2759" s="1">
        <v>6</v>
      </c>
      <c r="I2759" s="1" t="s">
        <v>394</v>
      </c>
      <c r="J2759" t="s">
        <v>5543</v>
      </c>
    </row>
    <row r="2760" spans="1:10">
      <c r="A2760" s="1">
        <v>121764</v>
      </c>
      <c r="B2760" s="1">
        <v>7323000143</v>
      </c>
      <c r="C2760" s="1">
        <v>24</v>
      </c>
      <c r="D2760" s="1" t="s">
        <v>536</v>
      </c>
      <c r="E2760" t="s">
        <v>5510</v>
      </c>
      <c r="F2760" s="1">
        <v>531772</v>
      </c>
      <c r="G2760" s="1">
        <v>8660070725</v>
      </c>
      <c r="H2760" s="1">
        <v>6</v>
      </c>
      <c r="I2760" s="1" t="s">
        <v>394</v>
      </c>
      <c r="J2760" t="s">
        <v>5544</v>
      </c>
    </row>
    <row r="2761" spans="1:10">
      <c r="A2761" s="1">
        <v>121186</v>
      </c>
      <c r="B2761" s="1">
        <v>7323000142</v>
      </c>
      <c r="C2761" s="1">
        <v>24</v>
      </c>
      <c r="D2761" s="1" t="s">
        <v>536</v>
      </c>
      <c r="E2761" t="s">
        <v>5511</v>
      </c>
      <c r="F2761" s="1">
        <v>432112</v>
      </c>
      <c r="G2761" s="1">
        <v>8660070728</v>
      </c>
      <c r="H2761" s="1">
        <v>6</v>
      </c>
      <c r="I2761" s="1" t="s">
        <v>394</v>
      </c>
      <c r="J2761" t="s">
        <v>5545</v>
      </c>
    </row>
    <row r="2762" spans="1:10">
      <c r="A2762" s="1">
        <v>529800</v>
      </c>
      <c r="B2762" s="1">
        <v>7323000145</v>
      </c>
      <c r="C2762" s="1">
        <v>24</v>
      </c>
      <c r="D2762" s="1" t="s">
        <v>397</v>
      </c>
      <c r="E2762" t="s">
        <v>5512</v>
      </c>
      <c r="F2762" s="1">
        <v>57364</v>
      </c>
      <c r="G2762" s="1">
        <v>8660010251</v>
      </c>
      <c r="H2762" s="1">
        <v>8</v>
      </c>
      <c r="I2762" s="1" t="s">
        <v>546</v>
      </c>
      <c r="J2762" t="s">
        <v>5546</v>
      </c>
    </row>
    <row r="2763" spans="1:10">
      <c r="A2763" s="1">
        <v>55152</v>
      </c>
      <c r="B2763" s="1">
        <v>7113300005</v>
      </c>
      <c r="C2763" s="1">
        <v>50</v>
      </c>
      <c r="D2763" s="1" t="s">
        <v>386</v>
      </c>
      <c r="E2763" t="s">
        <v>5513</v>
      </c>
      <c r="F2763" s="1">
        <v>748087</v>
      </c>
      <c r="G2763" s="1">
        <v>8660000005</v>
      </c>
      <c r="H2763" s="1">
        <v>48</v>
      </c>
      <c r="I2763" s="1" t="s">
        <v>394</v>
      </c>
      <c r="J2763" t="s">
        <v>5547</v>
      </c>
    </row>
    <row r="2764" spans="1:10">
      <c r="A2764" s="1">
        <v>55145</v>
      </c>
      <c r="B2764" s="1">
        <v>7113301121</v>
      </c>
      <c r="C2764" s="1">
        <v>50</v>
      </c>
      <c r="D2764" s="1" t="s">
        <v>386</v>
      </c>
      <c r="E2764" t="s">
        <v>5514</v>
      </c>
      <c r="F2764" s="1">
        <v>336974</v>
      </c>
      <c r="G2764" s="1">
        <v>8660000008</v>
      </c>
      <c r="H2764" s="1">
        <v>48</v>
      </c>
      <c r="I2764" s="1" t="s">
        <v>394</v>
      </c>
      <c r="J2764" t="s">
        <v>5548</v>
      </c>
    </row>
    <row r="2765" spans="1:10">
      <c r="A2765" s="1">
        <v>207977</v>
      </c>
      <c r="B2765" s="1">
        <v>7114000161</v>
      </c>
      <c r="C2765" s="1">
        <v>12</v>
      </c>
      <c r="D2765" s="1" t="s">
        <v>404</v>
      </c>
      <c r="E2765" t="s">
        <v>5515</v>
      </c>
      <c r="F2765" s="1">
        <v>56598</v>
      </c>
      <c r="G2765" s="1">
        <v>8660000031</v>
      </c>
      <c r="H2765" s="1">
        <v>24</v>
      </c>
      <c r="I2765" s="1" t="s">
        <v>347</v>
      </c>
      <c r="J2765" t="s">
        <v>5549</v>
      </c>
    </row>
    <row r="2766" spans="1:10">
      <c r="A2766" s="1">
        <v>754028</v>
      </c>
      <c r="B2766" s="1">
        <v>7114000600</v>
      </c>
      <c r="C2766" s="1">
        <v>12</v>
      </c>
      <c r="D2766" s="1" t="s">
        <v>386</v>
      </c>
      <c r="E2766" t="s">
        <v>5516</v>
      </c>
      <c r="F2766" s="1">
        <v>57786</v>
      </c>
      <c r="G2766" s="1">
        <v>8660070888</v>
      </c>
      <c r="H2766" s="1">
        <v>12</v>
      </c>
      <c r="I2766" s="1" t="s">
        <v>89</v>
      </c>
      <c r="J2766" t="s">
        <v>5550</v>
      </c>
    </row>
    <row r="2767" spans="1:10">
      <c r="A2767" s="1">
        <v>220111</v>
      </c>
      <c r="B2767" s="1">
        <v>3480000093</v>
      </c>
      <c r="C2767" s="1">
        <v>18</v>
      </c>
      <c r="D2767" s="1" t="s">
        <v>31</v>
      </c>
      <c r="E2767" t="s">
        <v>5517</v>
      </c>
      <c r="F2767" s="1">
        <v>57687</v>
      </c>
      <c r="G2767" s="1">
        <v>8660070777</v>
      </c>
      <c r="H2767" s="1">
        <v>12</v>
      </c>
      <c r="I2767" s="1" t="s">
        <v>89</v>
      </c>
      <c r="J2767" t="s">
        <v>5551</v>
      </c>
    </row>
    <row r="2768" spans="1:10">
      <c r="A2768" s="1">
        <v>55327</v>
      </c>
      <c r="B2768" s="1">
        <v>3480000641</v>
      </c>
      <c r="C2768" s="1">
        <v>12</v>
      </c>
      <c r="D2768" s="1" t="s">
        <v>386</v>
      </c>
      <c r="E2768" t="s">
        <v>5518</v>
      </c>
      <c r="F2768" s="1">
        <v>57505</v>
      </c>
      <c r="G2768" s="1">
        <v>8660000001</v>
      </c>
      <c r="H2768" s="1">
        <v>24</v>
      </c>
      <c r="I2768" s="1" t="s">
        <v>347</v>
      </c>
      <c r="J2768" t="s">
        <v>5552</v>
      </c>
    </row>
    <row r="2769" spans="1:10">
      <c r="A2769" s="1">
        <v>57919</v>
      </c>
      <c r="B2769" s="1">
        <v>3480000200</v>
      </c>
      <c r="C2769" s="1">
        <v>12</v>
      </c>
      <c r="D2769" s="1" t="s">
        <v>386</v>
      </c>
      <c r="E2769" t="s">
        <v>5519</v>
      </c>
      <c r="F2769" s="1">
        <v>453860</v>
      </c>
      <c r="G2769" s="1">
        <v>4800000095</v>
      </c>
      <c r="H2769" s="1">
        <v>24</v>
      </c>
      <c r="I2769" s="1" t="s">
        <v>394</v>
      </c>
      <c r="J2769" t="s">
        <v>5553</v>
      </c>
    </row>
    <row r="2770" spans="1:10" ht="15.75">
      <c r="A2770" s="4" t="s">
        <v>10760</v>
      </c>
      <c r="B2770" s="2"/>
      <c r="C2770" s="2"/>
      <c r="D2770" s="2"/>
      <c r="E2770" s="3"/>
      <c r="F2770" s="1">
        <v>528414</v>
      </c>
      <c r="G2770" s="1">
        <v>4800025455</v>
      </c>
      <c r="H2770" s="1">
        <v>24</v>
      </c>
      <c r="I2770" s="1" t="s">
        <v>394</v>
      </c>
      <c r="J2770" t="s">
        <v>5554</v>
      </c>
    </row>
    <row r="2771" spans="1:10">
      <c r="A2771" s="2" t="s">
        <v>0</v>
      </c>
      <c r="B2771" s="2" t="s">
        <v>1</v>
      </c>
      <c r="C2771" s="2" t="s">
        <v>2</v>
      </c>
      <c r="D2771" s="2" t="s">
        <v>3</v>
      </c>
      <c r="E2771" s="3" t="s">
        <v>4</v>
      </c>
      <c r="F2771" s="1">
        <v>463612</v>
      </c>
      <c r="G2771" s="1">
        <v>4800000195</v>
      </c>
      <c r="H2771" s="1">
        <v>24</v>
      </c>
      <c r="I2771" s="1" t="s">
        <v>394</v>
      </c>
      <c r="J2771" t="s">
        <v>5555</v>
      </c>
    </row>
    <row r="2772" spans="1:10">
      <c r="A2772" s="1">
        <v>709097</v>
      </c>
      <c r="B2772" s="1">
        <v>8660024081</v>
      </c>
      <c r="C2772" s="1">
        <v>12</v>
      </c>
      <c r="D2772" s="1" t="s">
        <v>397</v>
      </c>
      <c r="E2772" t="s">
        <v>5520</v>
      </c>
      <c r="F2772" s="1">
        <v>342014</v>
      </c>
      <c r="G2772" s="1">
        <v>4800000245</v>
      </c>
      <c r="H2772" s="1">
        <v>48</v>
      </c>
      <c r="I2772" s="1" t="s">
        <v>394</v>
      </c>
      <c r="J2772" t="s">
        <v>5556</v>
      </c>
    </row>
    <row r="2773" spans="1:10">
      <c r="A2773" s="1">
        <v>55889</v>
      </c>
      <c r="B2773" s="1">
        <v>8660012350</v>
      </c>
      <c r="C2773" s="1">
        <v>12</v>
      </c>
      <c r="D2773" s="1" t="s">
        <v>404</v>
      </c>
      <c r="E2773" t="s">
        <v>5521</v>
      </c>
      <c r="F2773" s="1">
        <v>456244</v>
      </c>
      <c r="G2773" s="1">
        <v>4800003355</v>
      </c>
      <c r="H2773" s="1">
        <v>24</v>
      </c>
      <c r="I2773" s="1" t="s">
        <v>394</v>
      </c>
      <c r="J2773" t="s">
        <v>5557</v>
      </c>
    </row>
    <row r="2774" spans="1:10">
      <c r="A2774" s="1">
        <v>56085</v>
      </c>
      <c r="B2774" s="1">
        <v>8660024075</v>
      </c>
      <c r="C2774" s="1">
        <v>12</v>
      </c>
      <c r="D2774" s="1" t="s">
        <v>404</v>
      </c>
      <c r="E2774" t="s">
        <v>5522</v>
      </c>
      <c r="F2774" s="1">
        <v>57547</v>
      </c>
      <c r="G2774" s="1">
        <v>4800001164</v>
      </c>
      <c r="H2774" s="1">
        <v>24</v>
      </c>
      <c r="I2774" s="1" t="s">
        <v>347</v>
      </c>
      <c r="J2774" t="s">
        <v>5558</v>
      </c>
    </row>
    <row r="2775" spans="1:10">
      <c r="A2775" s="1">
        <v>55608</v>
      </c>
      <c r="B2775" s="1">
        <v>8660000070</v>
      </c>
      <c r="C2775" s="1">
        <v>24</v>
      </c>
      <c r="D2775" s="1" t="s">
        <v>3779</v>
      </c>
      <c r="E2775" t="s">
        <v>5523</v>
      </c>
      <c r="F2775" s="1">
        <v>57521</v>
      </c>
      <c r="G2775" s="1">
        <v>4800000262</v>
      </c>
      <c r="H2775" s="1">
        <v>24</v>
      </c>
      <c r="I2775" s="1" t="s">
        <v>347</v>
      </c>
      <c r="J2775" t="s">
        <v>5559</v>
      </c>
    </row>
    <row r="2776" spans="1:10">
      <c r="A2776" s="1">
        <v>55434</v>
      </c>
      <c r="B2776" s="1">
        <v>8660000064</v>
      </c>
      <c r="C2776" s="1">
        <v>12</v>
      </c>
      <c r="D2776" s="1" t="s">
        <v>1334</v>
      </c>
      <c r="E2776" t="s">
        <v>5524</v>
      </c>
      <c r="F2776" s="1">
        <v>694281</v>
      </c>
      <c r="G2776" s="1">
        <v>7114020311</v>
      </c>
      <c r="H2776" s="1">
        <v>24</v>
      </c>
      <c r="I2776" s="1" t="s">
        <v>394</v>
      </c>
      <c r="J2776" t="s">
        <v>5560</v>
      </c>
    </row>
    <row r="2777" spans="1:10">
      <c r="A2777" s="1">
        <v>55426</v>
      </c>
      <c r="B2777" s="1">
        <v>8660000067</v>
      </c>
      <c r="C2777" s="1">
        <v>24</v>
      </c>
      <c r="D2777" s="1" t="s">
        <v>358</v>
      </c>
      <c r="E2777" t="s">
        <v>5524</v>
      </c>
      <c r="F2777" s="1">
        <v>783662</v>
      </c>
      <c r="G2777" s="1">
        <v>1116601521</v>
      </c>
      <c r="H2777" s="1">
        <v>24</v>
      </c>
      <c r="I2777" s="1" t="s">
        <v>394</v>
      </c>
      <c r="J2777" t="s">
        <v>5561</v>
      </c>
    </row>
    <row r="2778" spans="1:10">
      <c r="A2778" s="1">
        <v>57653</v>
      </c>
      <c r="B2778" s="1">
        <v>4800001197</v>
      </c>
      <c r="C2778" s="1">
        <v>12</v>
      </c>
      <c r="D2778" s="1" t="s">
        <v>404</v>
      </c>
      <c r="E2778" t="s">
        <v>5525</v>
      </c>
      <c r="F2778" s="1">
        <v>466169</v>
      </c>
      <c r="G2778" s="1">
        <v>1116601511</v>
      </c>
      <c r="H2778" s="1">
        <v>48</v>
      </c>
      <c r="I2778" s="1" t="s">
        <v>394</v>
      </c>
      <c r="J2778" t="s">
        <v>5562</v>
      </c>
    </row>
    <row r="2779" spans="1:10">
      <c r="A2779" s="1">
        <v>55178</v>
      </c>
      <c r="B2779" s="1">
        <v>4800001193</v>
      </c>
      <c r="C2779" s="1">
        <v>12</v>
      </c>
      <c r="D2779" s="1" t="s">
        <v>14</v>
      </c>
      <c r="E2779" t="s">
        <v>5526</v>
      </c>
      <c r="F2779" s="1">
        <v>523696</v>
      </c>
      <c r="G2779" s="1">
        <v>1116601295</v>
      </c>
      <c r="H2779" s="1">
        <v>12</v>
      </c>
      <c r="I2779" s="1" t="s">
        <v>5563</v>
      </c>
      <c r="J2779" t="s">
        <v>5564</v>
      </c>
    </row>
    <row r="2780" spans="1:10">
      <c r="A2780" s="1">
        <v>55251</v>
      </c>
      <c r="B2780" s="1">
        <v>4800001475</v>
      </c>
      <c r="C2780" s="1">
        <v>12</v>
      </c>
      <c r="D2780" s="1" t="s">
        <v>3779</v>
      </c>
      <c r="E2780" t="s">
        <v>5527</v>
      </c>
      <c r="F2780" s="1">
        <v>859447</v>
      </c>
      <c r="G2780" s="1">
        <v>1116601299</v>
      </c>
      <c r="H2780" s="1">
        <v>24</v>
      </c>
      <c r="I2780" s="1" t="s">
        <v>14</v>
      </c>
      <c r="J2780" t="s">
        <v>5565</v>
      </c>
    </row>
    <row r="2781" spans="1:10">
      <c r="A2781" s="1">
        <v>55392</v>
      </c>
      <c r="B2781" s="1">
        <v>2110002511</v>
      </c>
      <c r="C2781" s="1">
        <v>24</v>
      </c>
      <c r="D2781" s="1" t="s">
        <v>3779</v>
      </c>
      <c r="E2781" t="s">
        <v>5528</v>
      </c>
      <c r="F2781" s="1">
        <v>536607</v>
      </c>
      <c r="G2781" s="1">
        <v>1116601296</v>
      </c>
      <c r="H2781" s="1">
        <v>12</v>
      </c>
      <c r="I2781" s="1" t="s">
        <v>5563</v>
      </c>
      <c r="J2781" t="s">
        <v>5565</v>
      </c>
    </row>
    <row r="2782" spans="1:10">
      <c r="A2782" s="1">
        <v>55376</v>
      </c>
      <c r="B2782" s="1">
        <v>2110001511</v>
      </c>
      <c r="C2782" s="1">
        <v>24</v>
      </c>
      <c r="D2782" s="1" t="s">
        <v>358</v>
      </c>
      <c r="E2782" t="s">
        <v>5528</v>
      </c>
      <c r="F2782" s="1">
        <v>623801</v>
      </c>
      <c r="G2782" s="1">
        <v>8000049266</v>
      </c>
      <c r="H2782" s="1">
        <v>12</v>
      </c>
      <c r="I2782" s="1" t="s">
        <v>397</v>
      </c>
      <c r="J2782" t="s">
        <v>5566</v>
      </c>
    </row>
    <row r="2783" spans="1:10">
      <c r="A2783" s="1">
        <v>56473</v>
      </c>
      <c r="B2783" s="1">
        <v>1116605571</v>
      </c>
      <c r="C2783" s="1">
        <v>24</v>
      </c>
      <c r="D2783" s="1" t="s">
        <v>3779</v>
      </c>
      <c r="E2783" t="s">
        <v>5529</v>
      </c>
      <c r="F2783" s="1">
        <v>517615</v>
      </c>
      <c r="G2783" s="1">
        <v>8000049525</v>
      </c>
      <c r="H2783" s="1">
        <v>12</v>
      </c>
      <c r="I2783" s="1" t="s">
        <v>1393</v>
      </c>
      <c r="J2783" t="s">
        <v>5567</v>
      </c>
    </row>
    <row r="2784" spans="1:10">
      <c r="A2784" s="1">
        <v>752162</v>
      </c>
      <c r="B2784" s="1">
        <v>8000049278</v>
      </c>
      <c r="C2784" s="1">
        <v>10</v>
      </c>
      <c r="D2784" s="1" t="s">
        <v>510</v>
      </c>
      <c r="E2784" t="s">
        <v>5530</v>
      </c>
      <c r="F2784" s="1">
        <v>537100</v>
      </c>
      <c r="G2784" s="1">
        <v>8000000678</v>
      </c>
      <c r="H2784" s="1">
        <v>12</v>
      </c>
      <c r="I2784" s="1" t="s">
        <v>419</v>
      </c>
      <c r="J2784" t="s">
        <v>5568</v>
      </c>
    </row>
    <row r="2785" spans="1:10">
      <c r="A2785" s="1">
        <v>107870</v>
      </c>
      <c r="B2785" s="1">
        <v>8000049277</v>
      </c>
      <c r="C2785" s="1">
        <v>10</v>
      </c>
      <c r="D2785" s="1" t="s">
        <v>510</v>
      </c>
      <c r="E2785" t="s">
        <v>5531</v>
      </c>
      <c r="F2785" s="1">
        <v>463604</v>
      </c>
      <c r="G2785" s="1">
        <v>8000049543</v>
      </c>
      <c r="H2785" s="1">
        <v>12</v>
      </c>
      <c r="I2785" s="1" t="s">
        <v>2135</v>
      </c>
      <c r="J2785" t="s">
        <v>5569</v>
      </c>
    </row>
    <row r="2786" spans="1:10">
      <c r="A2786" s="1">
        <v>204859</v>
      </c>
      <c r="B2786" s="1">
        <v>8000049263</v>
      </c>
      <c r="C2786" s="1">
        <v>12</v>
      </c>
      <c r="D2786" s="1" t="s">
        <v>397</v>
      </c>
      <c r="E2786" t="s">
        <v>5532</v>
      </c>
      <c r="F2786" s="1">
        <v>535823</v>
      </c>
      <c r="G2786" s="1">
        <v>8000049527</v>
      </c>
      <c r="H2786" s="1">
        <v>12</v>
      </c>
      <c r="I2786" s="1" t="s">
        <v>1393</v>
      </c>
      <c r="J2786" t="s">
        <v>5570</v>
      </c>
    </row>
    <row r="2787" spans="1:10">
      <c r="A2787" s="1">
        <v>55210</v>
      </c>
      <c r="B2787" s="1">
        <v>7290000149</v>
      </c>
      <c r="C2787" s="1">
        <v>24</v>
      </c>
      <c r="D2787" s="1" t="s">
        <v>1334</v>
      </c>
      <c r="E2787" t="s">
        <v>5533</v>
      </c>
      <c r="F2787" s="1">
        <v>536193</v>
      </c>
      <c r="G2787" s="1">
        <v>8000049514</v>
      </c>
      <c r="H2787" s="1">
        <v>12</v>
      </c>
      <c r="I2787" s="1" t="s">
        <v>363</v>
      </c>
      <c r="J2787" t="s">
        <v>5571</v>
      </c>
    </row>
    <row r="2788" spans="1:10">
      <c r="F2788" s="1">
        <v>779645</v>
      </c>
      <c r="G2788" s="1">
        <v>8000049524</v>
      </c>
      <c r="H2788" s="1">
        <v>24</v>
      </c>
      <c r="I2788" s="1" t="s">
        <v>93</v>
      </c>
      <c r="J2788" t="s">
        <v>5571</v>
      </c>
    </row>
    <row r="2789" spans="1:10" ht="15.75">
      <c r="A2789" s="4" t="s">
        <v>10761</v>
      </c>
      <c r="B2789" s="2"/>
      <c r="C2789" s="2"/>
      <c r="D2789" s="2"/>
      <c r="E2789" s="3"/>
      <c r="F2789" s="4" t="s">
        <v>10762</v>
      </c>
      <c r="G2789" s="2"/>
      <c r="H2789" s="2"/>
      <c r="I2789" s="2"/>
      <c r="J2789" s="3"/>
    </row>
    <row r="2790" spans="1:10">
      <c r="A2790" s="2" t="s">
        <v>0</v>
      </c>
      <c r="B2790" s="2" t="s">
        <v>1</v>
      </c>
      <c r="C2790" s="2" t="s">
        <v>2</v>
      </c>
      <c r="D2790" s="2" t="s">
        <v>3</v>
      </c>
      <c r="E2790" s="3" t="s">
        <v>4</v>
      </c>
      <c r="F2790" s="2" t="s">
        <v>0</v>
      </c>
      <c r="G2790" s="2" t="s">
        <v>1</v>
      </c>
      <c r="H2790" s="2" t="s">
        <v>2</v>
      </c>
      <c r="I2790" s="2" t="s">
        <v>3</v>
      </c>
      <c r="J2790" s="3" t="s">
        <v>4</v>
      </c>
    </row>
    <row r="2791" spans="1:10">
      <c r="A2791" s="1">
        <v>532812</v>
      </c>
      <c r="B2791" s="1">
        <v>8000049564</v>
      </c>
      <c r="C2791" s="1">
        <v>6</v>
      </c>
      <c r="D2791" s="1" t="s">
        <v>938</v>
      </c>
      <c r="E2791" t="s">
        <v>5572</v>
      </c>
      <c r="F2791" s="1">
        <v>121582</v>
      </c>
      <c r="G2791" s="1">
        <v>7323000083</v>
      </c>
      <c r="H2791" s="1">
        <v>12</v>
      </c>
      <c r="I2791" s="1" t="s">
        <v>536</v>
      </c>
      <c r="J2791" t="s">
        <v>5607</v>
      </c>
    </row>
    <row r="2792" spans="1:10">
      <c r="A2792" s="1">
        <v>776500</v>
      </c>
      <c r="B2792" s="1">
        <v>8000000674</v>
      </c>
      <c r="C2792" s="1">
        <v>48</v>
      </c>
      <c r="D2792" s="1" t="s">
        <v>394</v>
      </c>
      <c r="E2792" t="s">
        <v>5573</v>
      </c>
      <c r="F2792" s="1">
        <v>207969</v>
      </c>
      <c r="G2792" s="1">
        <v>7114030203</v>
      </c>
      <c r="H2792" s="1">
        <v>24</v>
      </c>
      <c r="I2792" s="1" t="s">
        <v>910</v>
      </c>
      <c r="J2792" t="s">
        <v>5608</v>
      </c>
    </row>
    <row r="2793" spans="1:10">
      <c r="A2793" s="1">
        <v>418707</v>
      </c>
      <c r="B2793" s="1">
        <v>8000000673</v>
      </c>
      <c r="C2793" s="1">
        <v>48</v>
      </c>
      <c r="D2793" s="1" t="s">
        <v>394</v>
      </c>
      <c r="E2793" t="s">
        <v>5574</v>
      </c>
      <c r="F2793" s="1">
        <v>207829</v>
      </c>
      <c r="G2793" s="1">
        <v>7114000375</v>
      </c>
      <c r="H2793" s="1">
        <v>12</v>
      </c>
      <c r="I2793" s="1" t="s">
        <v>397</v>
      </c>
      <c r="J2793" t="s">
        <v>5609</v>
      </c>
    </row>
    <row r="2794" spans="1:10">
      <c r="A2794" s="1">
        <v>167353</v>
      </c>
      <c r="B2794" s="1">
        <v>8000000671</v>
      </c>
      <c r="C2794" s="1">
        <v>24</v>
      </c>
      <c r="D2794" s="1" t="s">
        <v>394</v>
      </c>
      <c r="E2794" t="s">
        <v>5575</v>
      </c>
      <c r="F2794" s="1">
        <v>207993</v>
      </c>
      <c r="G2794" s="1">
        <v>7114000750</v>
      </c>
      <c r="H2794" s="1">
        <v>24</v>
      </c>
      <c r="I2794" s="1" t="s">
        <v>489</v>
      </c>
      <c r="J2794" t="s">
        <v>5610</v>
      </c>
    </row>
    <row r="2795" spans="1:10">
      <c r="A2795" s="1">
        <v>376681</v>
      </c>
      <c r="B2795" s="1">
        <v>8000000680</v>
      </c>
      <c r="C2795" s="1">
        <v>12</v>
      </c>
      <c r="D2795" s="1" t="s">
        <v>419</v>
      </c>
      <c r="E2795" t="s">
        <v>5576</v>
      </c>
      <c r="F2795" s="1">
        <v>190314</v>
      </c>
      <c r="G2795" s="1">
        <v>79852516100</v>
      </c>
      <c r="H2795" s="1">
        <v>12</v>
      </c>
      <c r="I2795" s="1" t="s">
        <v>465</v>
      </c>
      <c r="J2795" t="s">
        <v>5611</v>
      </c>
    </row>
    <row r="2796" spans="1:10">
      <c r="A2796" s="1">
        <v>185066</v>
      </c>
      <c r="B2796" s="1">
        <v>8000049522</v>
      </c>
      <c r="C2796" s="1">
        <v>24</v>
      </c>
      <c r="D2796" s="1" t="s">
        <v>93</v>
      </c>
      <c r="E2796" t="s">
        <v>5577</v>
      </c>
      <c r="F2796" s="1">
        <v>709113</v>
      </c>
      <c r="G2796" s="1">
        <v>79852516320</v>
      </c>
      <c r="H2796" s="1">
        <v>12</v>
      </c>
      <c r="I2796" s="1" t="s">
        <v>1197</v>
      </c>
      <c r="J2796" t="s">
        <v>5612</v>
      </c>
    </row>
    <row r="2797" spans="1:10">
      <c r="A2797" s="1">
        <v>441055</v>
      </c>
      <c r="B2797" s="1">
        <v>8000049523</v>
      </c>
      <c r="C2797" s="1">
        <v>12</v>
      </c>
      <c r="D2797" s="1" t="s">
        <v>1393</v>
      </c>
      <c r="E2797" t="s">
        <v>5577</v>
      </c>
      <c r="F2797" s="1">
        <v>435909</v>
      </c>
      <c r="G2797" s="1">
        <v>79852516099</v>
      </c>
      <c r="H2797" s="1">
        <v>12</v>
      </c>
      <c r="I2797" s="1" t="s">
        <v>465</v>
      </c>
      <c r="J2797" t="s">
        <v>5613</v>
      </c>
    </row>
    <row r="2798" spans="1:10" ht="15.75">
      <c r="A2798" s="1">
        <v>173567</v>
      </c>
      <c r="B2798" s="1">
        <v>8000049542</v>
      </c>
      <c r="C2798" s="1">
        <v>12</v>
      </c>
      <c r="D2798" s="1" t="s">
        <v>2135</v>
      </c>
      <c r="E2798" t="s">
        <v>5578</v>
      </c>
      <c r="F2798" s="4" t="s">
        <v>10763</v>
      </c>
      <c r="G2798" s="2"/>
      <c r="H2798" s="2"/>
      <c r="I2798" s="2"/>
      <c r="J2798" s="3"/>
    </row>
    <row r="2799" spans="1:10">
      <c r="A2799" s="1">
        <v>339119</v>
      </c>
      <c r="B2799" s="1">
        <v>8000000677</v>
      </c>
      <c r="C2799" s="1">
        <v>12</v>
      </c>
      <c r="D2799" s="1" t="s">
        <v>419</v>
      </c>
      <c r="E2799" t="s">
        <v>5579</v>
      </c>
      <c r="F2799" s="2" t="s">
        <v>0</v>
      </c>
      <c r="G2799" s="2" t="s">
        <v>1</v>
      </c>
      <c r="H2799" s="2" t="s">
        <v>2</v>
      </c>
      <c r="I2799" s="2" t="s">
        <v>3</v>
      </c>
      <c r="J2799" s="3" t="s">
        <v>4</v>
      </c>
    </row>
    <row r="2800" spans="1:10">
      <c r="A2800" s="1">
        <v>825687</v>
      </c>
      <c r="B2800" s="1">
        <v>8000049274</v>
      </c>
      <c r="C2800" s="1">
        <v>10</v>
      </c>
      <c r="D2800" s="1" t="s">
        <v>510</v>
      </c>
      <c r="E2800" t="s">
        <v>5580</v>
      </c>
      <c r="F2800" s="1">
        <v>651067</v>
      </c>
      <c r="G2800" s="1">
        <v>5100016680</v>
      </c>
      <c r="H2800" s="1">
        <v>12</v>
      </c>
      <c r="I2800" s="1" t="s">
        <v>5054</v>
      </c>
      <c r="J2800" t="s">
        <v>5614</v>
      </c>
    </row>
    <row r="2801" spans="1:10">
      <c r="A2801" s="1">
        <v>776419</v>
      </c>
      <c r="B2801" s="1">
        <v>8000049275</v>
      </c>
      <c r="C2801" s="1">
        <v>10</v>
      </c>
      <c r="D2801" s="1" t="s">
        <v>510</v>
      </c>
      <c r="E2801" t="s">
        <v>5581</v>
      </c>
      <c r="F2801" s="1">
        <v>261016</v>
      </c>
      <c r="G2801" s="1">
        <v>5100016681</v>
      </c>
      <c r="H2801" s="1">
        <v>12</v>
      </c>
      <c r="I2801" s="1" t="s">
        <v>5054</v>
      </c>
      <c r="J2801" t="s">
        <v>5615</v>
      </c>
    </row>
    <row r="2802" spans="1:10">
      <c r="A2802" s="1">
        <v>176032</v>
      </c>
      <c r="B2802" s="1">
        <v>8000049272</v>
      </c>
      <c r="C2802" s="1">
        <v>10</v>
      </c>
      <c r="D2802" s="1" t="s">
        <v>510</v>
      </c>
      <c r="E2802" t="s">
        <v>5582</v>
      </c>
      <c r="F2802" s="1">
        <v>703892</v>
      </c>
      <c r="G2802" s="1">
        <v>5100016679</v>
      </c>
      <c r="H2802" s="1">
        <v>12</v>
      </c>
      <c r="I2802" s="1" t="s">
        <v>5054</v>
      </c>
      <c r="J2802" t="s">
        <v>5616</v>
      </c>
    </row>
    <row r="2803" spans="1:10">
      <c r="A2803" s="1">
        <v>350967</v>
      </c>
      <c r="B2803" s="1">
        <v>8000049515</v>
      </c>
      <c r="C2803" s="1">
        <v>12</v>
      </c>
      <c r="D2803" s="1" t="s">
        <v>419</v>
      </c>
      <c r="E2803" t="s">
        <v>5583</v>
      </c>
      <c r="F2803" s="1">
        <v>136440</v>
      </c>
      <c r="G2803" s="1">
        <v>5100012938</v>
      </c>
      <c r="H2803" s="1">
        <v>12</v>
      </c>
      <c r="I2803" s="1" t="s">
        <v>5617</v>
      </c>
      <c r="J2803" t="s">
        <v>5618</v>
      </c>
    </row>
    <row r="2804" spans="1:10">
      <c r="A2804" s="1">
        <v>308437</v>
      </c>
      <c r="B2804" s="1">
        <v>8000049516</v>
      </c>
      <c r="C2804" s="1">
        <v>12</v>
      </c>
      <c r="D2804" s="1" t="s">
        <v>419</v>
      </c>
      <c r="E2804" t="s">
        <v>5584</v>
      </c>
      <c r="F2804" s="1">
        <v>394916</v>
      </c>
      <c r="G2804" s="1">
        <v>5100001187</v>
      </c>
      <c r="H2804" s="1">
        <v>12</v>
      </c>
      <c r="I2804" s="1" t="s">
        <v>370</v>
      </c>
      <c r="J2804" t="s">
        <v>5619</v>
      </c>
    </row>
    <row r="2805" spans="1:10">
      <c r="A2805" s="1">
        <v>464719</v>
      </c>
      <c r="B2805" s="1">
        <v>8000049518</v>
      </c>
      <c r="C2805" s="1">
        <v>12</v>
      </c>
      <c r="D2805" s="1" t="s">
        <v>419</v>
      </c>
      <c r="E2805" t="s">
        <v>5585</v>
      </c>
      <c r="F2805" s="1">
        <v>38323</v>
      </c>
      <c r="G2805" s="1">
        <v>5100001047</v>
      </c>
      <c r="H2805" s="1">
        <v>12</v>
      </c>
      <c r="I2805" s="1" t="s">
        <v>370</v>
      </c>
      <c r="J2805" t="s">
        <v>5620</v>
      </c>
    </row>
    <row r="2806" spans="1:10">
      <c r="A2806" s="1">
        <v>154963</v>
      </c>
      <c r="B2806" s="1">
        <v>8000000681</v>
      </c>
      <c r="C2806" s="1">
        <v>12</v>
      </c>
      <c r="D2806" s="1" t="s">
        <v>419</v>
      </c>
      <c r="E2806" t="s">
        <v>5586</v>
      </c>
      <c r="F2806" s="1">
        <v>36475</v>
      </c>
      <c r="G2806" s="1">
        <v>5100001051</v>
      </c>
      <c r="H2806" s="1">
        <v>24</v>
      </c>
      <c r="I2806" s="1" t="s">
        <v>370</v>
      </c>
      <c r="J2806" t="s">
        <v>5621</v>
      </c>
    </row>
    <row r="2807" spans="1:10">
      <c r="A2807" s="1">
        <v>485292</v>
      </c>
      <c r="B2807" s="1">
        <v>8000000676</v>
      </c>
      <c r="C2807" s="1">
        <v>12</v>
      </c>
      <c r="D2807" s="1" t="s">
        <v>419</v>
      </c>
      <c r="E2807" t="s">
        <v>5587</v>
      </c>
      <c r="F2807" s="1">
        <v>786228</v>
      </c>
      <c r="G2807" s="1">
        <v>5100002107</v>
      </c>
      <c r="H2807" s="1">
        <v>12</v>
      </c>
      <c r="I2807" s="1" t="s">
        <v>370</v>
      </c>
      <c r="J2807" t="s">
        <v>5622</v>
      </c>
    </row>
    <row r="2808" spans="1:10">
      <c r="A2808" s="1">
        <v>345447</v>
      </c>
      <c r="B2808" s="1">
        <v>8000049563</v>
      </c>
      <c r="C2808" s="1">
        <v>6</v>
      </c>
      <c r="D2808" s="1" t="s">
        <v>938</v>
      </c>
      <c r="E2808" t="s">
        <v>5588</v>
      </c>
      <c r="F2808" s="1">
        <v>36368</v>
      </c>
      <c r="G2808" s="1">
        <v>5100001081</v>
      </c>
      <c r="H2808" s="1">
        <v>12</v>
      </c>
      <c r="I2808" s="1" t="s">
        <v>5054</v>
      </c>
      <c r="J2808" t="s">
        <v>5623</v>
      </c>
    </row>
    <row r="2809" spans="1:10">
      <c r="A2809" s="1">
        <v>75994</v>
      </c>
      <c r="B2809" s="1">
        <v>8000000672</v>
      </c>
      <c r="C2809" s="1">
        <v>48</v>
      </c>
      <c r="D2809" s="1" t="s">
        <v>394</v>
      </c>
      <c r="E2809" t="s">
        <v>5588</v>
      </c>
      <c r="F2809" s="1">
        <v>473058</v>
      </c>
      <c r="G2809" s="1">
        <v>5100001621</v>
      </c>
      <c r="H2809" s="1">
        <v>12</v>
      </c>
      <c r="I2809" s="1" t="s">
        <v>370</v>
      </c>
      <c r="J2809" t="s">
        <v>5624</v>
      </c>
    </row>
    <row r="2810" spans="1:10">
      <c r="A2810" s="1">
        <v>702829</v>
      </c>
      <c r="B2810" s="1">
        <v>8000049517</v>
      </c>
      <c r="C2810" s="1">
        <v>12</v>
      </c>
      <c r="D2810" s="1" t="s">
        <v>419</v>
      </c>
      <c r="E2810" t="s">
        <v>5589</v>
      </c>
      <c r="F2810" s="1">
        <v>139220</v>
      </c>
      <c r="G2810" s="1">
        <v>5100010526</v>
      </c>
      <c r="H2810" s="1">
        <v>12</v>
      </c>
      <c r="I2810" s="1" t="s">
        <v>370</v>
      </c>
      <c r="J2810" t="s">
        <v>5625</v>
      </c>
    </row>
    <row r="2811" spans="1:10">
      <c r="A2811" s="1">
        <v>61960</v>
      </c>
      <c r="B2811" s="1">
        <v>8000000109</v>
      </c>
      <c r="C2811" s="1">
        <v>16</v>
      </c>
      <c r="D2811" s="1" t="s">
        <v>546</v>
      </c>
      <c r="E2811" t="s">
        <v>5590</v>
      </c>
      <c r="F2811" s="1">
        <v>843755</v>
      </c>
      <c r="G2811" s="1">
        <v>5100017434</v>
      </c>
      <c r="H2811" s="1">
        <v>12</v>
      </c>
      <c r="I2811" s="1" t="s">
        <v>5054</v>
      </c>
      <c r="J2811" t="s">
        <v>5626</v>
      </c>
    </row>
    <row r="2812" spans="1:10">
      <c r="A2812" s="1">
        <v>56531</v>
      </c>
      <c r="B2812" s="1">
        <v>8000000244</v>
      </c>
      <c r="C2812" s="1">
        <v>24</v>
      </c>
      <c r="D2812" s="1" t="s">
        <v>14</v>
      </c>
      <c r="E2812" t="s">
        <v>5591</v>
      </c>
      <c r="F2812" s="1">
        <v>461392</v>
      </c>
      <c r="G2812" s="1">
        <v>5100017433</v>
      </c>
      <c r="H2812" s="1">
        <v>12</v>
      </c>
      <c r="I2812" s="1" t="s">
        <v>370</v>
      </c>
      <c r="J2812" t="s">
        <v>5627</v>
      </c>
    </row>
    <row r="2813" spans="1:10">
      <c r="A2813" s="1">
        <v>57430</v>
      </c>
      <c r="B2813" s="1">
        <v>8000000334</v>
      </c>
      <c r="C2813" s="1">
        <v>24</v>
      </c>
      <c r="D2813" s="1" t="s">
        <v>347</v>
      </c>
      <c r="E2813" t="s">
        <v>5592</v>
      </c>
      <c r="F2813" s="1">
        <v>136887</v>
      </c>
      <c r="G2813" s="1">
        <v>5100005937</v>
      </c>
      <c r="H2813" s="1">
        <v>12</v>
      </c>
      <c r="I2813" s="1" t="s">
        <v>1303</v>
      </c>
      <c r="J2813" t="s">
        <v>5628</v>
      </c>
    </row>
    <row r="2814" spans="1:10">
      <c r="A2814" s="1">
        <v>57182</v>
      </c>
      <c r="B2814" s="1">
        <v>8000000145</v>
      </c>
      <c r="C2814" s="1">
        <v>24</v>
      </c>
      <c r="D2814" s="1" t="s">
        <v>347</v>
      </c>
      <c r="E2814" t="s">
        <v>5593</v>
      </c>
      <c r="F2814" s="1">
        <v>240671</v>
      </c>
      <c r="G2814" s="1">
        <v>5100004937</v>
      </c>
      <c r="H2814" s="1">
        <v>12</v>
      </c>
      <c r="I2814" s="1" t="s">
        <v>5054</v>
      </c>
      <c r="J2814" t="s">
        <v>5629</v>
      </c>
    </row>
    <row r="2815" spans="1:10">
      <c r="A2815" s="1">
        <v>57869</v>
      </c>
      <c r="B2815" s="1">
        <v>8000001484</v>
      </c>
      <c r="C2815" s="1">
        <v>8</v>
      </c>
      <c r="D2815" s="1" t="s">
        <v>546</v>
      </c>
      <c r="E2815" t="s">
        <v>5594</v>
      </c>
      <c r="F2815" s="1">
        <v>136564</v>
      </c>
      <c r="G2815" s="1">
        <v>5100001527</v>
      </c>
      <c r="H2815" s="1">
        <v>12</v>
      </c>
      <c r="I2815" s="1" t="s">
        <v>5054</v>
      </c>
      <c r="J2815" t="s">
        <v>5630</v>
      </c>
    </row>
    <row r="2816" spans="1:10" ht="15.75">
      <c r="A2816" s="4" t="s">
        <v>10762</v>
      </c>
      <c r="B2816" s="2"/>
      <c r="C2816" s="2"/>
      <c r="D2816" s="2"/>
      <c r="E2816" s="3"/>
      <c r="F2816" s="1">
        <v>139154</v>
      </c>
      <c r="G2816" s="1">
        <v>5100001327</v>
      </c>
      <c r="H2816" s="1">
        <v>12</v>
      </c>
      <c r="I2816" s="1" t="s">
        <v>5054</v>
      </c>
      <c r="J2816" t="s">
        <v>5631</v>
      </c>
    </row>
    <row r="2817" spans="1:10">
      <c r="A2817" s="2" t="s">
        <v>0</v>
      </c>
      <c r="B2817" s="2" t="s">
        <v>1</v>
      </c>
      <c r="C2817" s="2" t="s">
        <v>2</v>
      </c>
      <c r="D2817" s="2" t="s">
        <v>3</v>
      </c>
      <c r="E2817" s="3" t="s">
        <v>4</v>
      </c>
      <c r="F2817" s="1">
        <v>136689</v>
      </c>
      <c r="G2817" s="1">
        <v>5100012327</v>
      </c>
      <c r="H2817" s="1">
        <v>12</v>
      </c>
      <c r="I2817" s="1" t="s">
        <v>5054</v>
      </c>
      <c r="J2817" t="s">
        <v>5632</v>
      </c>
    </row>
    <row r="2818" spans="1:10">
      <c r="A2818" s="1">
        <v>57893</v>
      </c>
      <c r="B2818" s="1">
        <v>8660070240</v>
      </c>
      <c r="C2818" s="1">
        <v>12</v>
      </c>
      <c r="D2818" s="1" t="s">
        <v>489</v>
      </c>
      <c r="E2818" t="s">
        <v>5595</v>
      </c>
      <c r="F2818" s="1">
        <v>142646</v>
      </c>
      <c r="G2818" s="1">
        <v>5100001055</v>
      </c>
      <c r="H2818" s="1">
        <v>12</v>
      </c>
      <c r="I2818" s="1" t="s">
        <v>637</v>
      </c>
      <c r="J2818" t="s">
        <v>5633</v>
      </c>
    </row>
    <row r="2819" spans="1:10">
      <c r="A2819" s="1">
        <v>529255</v>
      </c>
      <c r="B2819" s="1">
        <v>8660075279</v>
      </c>
      <c r="C2819" s="1">
        <v>12</v>
      </c>
      <c r="D2819" s="1" t="s">
        <v>910</v>
      </c>
      <c r="E2819" t="s">
        <v>5596</v>
      </c>
      <c r="F2819" s="1">
        <v>743369</v>
      </c>
      <c r="G2819" s="1">
        <v>5100011552</v>
      </c>
      <c r="H2819" s="1">
        <v>12</v>
      </c>
      <c r="I2819" s="1" t="s">
        <v>5054</v>
      </c>
      <c r="J2819" t="s">
        <v>5634</v>
      </c>
    </row>
    <row r="2820" spans="1:10">
      <c r="A2820" s="1">
        <v>56416</v>
      </c>
      <c r="B2820" s="1">
        <v>8660070013</v>
      </c>
      <c r="C2820" s="1">
        <v>12</v>
      </c>
      <c r="D2820" s="1" t="s">
        <v>397</v>
      </c>
      <c r="E2820" t="s">
        <v>5597</v>
      </c>
      <c r="F2820" s="1">
        <v>240697</v>
      </c>
      <c r="G2820" s="1">
        <v>5100001177</v>
      </c>
      <c r="H2820" s="1">
        <v>12</v>
      </c>
      <c r="I2820" s="1" t="s">
        <v>370</v>
      </c>
      <c r="J2820" t="s">
        <v>5635</v>
      </c>
    </row>
    <row r="2821" spans="1:10">
      <c r="A2821" s="1">
        <v>56366</v>
      </c>
      <c r="B2821" s="1">
        <v>8660070011</v>
      </c>
      <c r="C2821" s="1">
        <v>12</v>
      </c>
      <c r="D2821" s="1" t="s">
        <v>397</v>
      </c>
      <c r="E2821" t="s">
        <v>5598</v>
      </c>
      <c r="F2821" s="1">
        <v>744458</v>
      </c>
      <c r="G2821" s="1">
        <v>5100002141</v>
      </c>
      <c r="H2821" s="1">
        <v>12</v>
      </c>
      <c r="I2821" s="1" t="s">
        <v>5054</v>
      </c>
      <c r="J2821" t="s">
        <v>5636</v>
      </c>
    </row>
    <row r="2822" spans="1:10">
      <c r="A2822" s="1">
        <v>56192</v>
      </c>
      <c r="B2822" s="1">
        <v>4800000672</v>
      </c>
      <c r="C2822" s="1">
        <v>24</v>
      </c>
      <c r="D2822" s="1" t="s">
        <v>910</v>
      </c>
      <c r="E2822" t="s">
        <v>5599</v>
      </c>
      <c r="F2822" s="1">
        <v>136382</v>
      </c>
      <c r="G2822" s="1">
        <v>5100001197</v>
      </c>
      <c r="H2822" s="1">
        <v>12</v>
      </c>
      <c r="I2822" s="1" t="s">
        <v>615</v>
      </c>
      <c r="J2822" t="s">
        <v>5637</v>
      </c>
    </row>
    <row r="2823" spans="1:10">
      <c r="A2823" s="1">
        <v>122275</v>
      </c>
      <c r="B2823" s="1">
        <v>7323000071</v>
      </c>
      <c r="C2823" s="1">
        <v>12</v>
      </c>
      <c r="D2823" s="1" t="s">
        <v>465</v>
      </c>
      <c r="E2823" t="s">
        <v>5600</v>
      </c>
      <c r="F2823" s="1">
        <v>139667</v>
      </c>
      <c r="G2823" s="1">
        <v>5100006007</v>
      </c>
      <c r="H2823" s="1">
        <v>24</v>
      </c>
      <c r="I2823" s="1" t="s">
        <v>5054</v>
      </c>
      <c r="J2823" t="s">
        <v>5638</v>
      </c>
    </row>
    <row r="2824" spans="1:10">
      <c r="A2824" s="1">
        <v>122093</v>
      </c>
      <c r="B2824" s="1">
        <v>7323000072</v>
      </c>
      <c r="C2824" s="1">
        <v>12</v>
      </c>
      <c r="D2824" s="1" t="s">
        <v>1197</v>
      </c>
      <c r="E2824" t="s">
        <v>5601</v>
      </c>
      <c r="F2824" s="1">
        <v>139972</v>
      </c>
      <c r="G2824" s="1">
        <v>5100006017</v>
      </c>
      <c r="H2824" s="1">
        <v>12</v>
      </c>
      <c r="I2824" s="1" t="s">
        <v>370</v>
      </c>
      <c r="J2824" t="s">
        <v>5639</v>
      </c>
    </row>
    <row r="2825" spans="1:10">
      <c r="A2825" s="1">
        <v>414201</v>
      </c>
      <c r="B2825" s="1">
        <v>7323000053</v>
      </c>
      <c r="C2825" s="1">
        <v>12</v>
      </c>
      <c r="D2825" s="1" t="s">
        <v>386</v>
      </c>
      <c r="E2825" t="s">
        <v>5602</v>
      </c>
      <c r="F2825" s="1">
        <v>139683</v>
      </c>
      <c r="G2825" s="1">
        <v>5100005897</v>
      </c>
      <c r="H2825" s="1">
        <v>24</v>
      </c>
      <c r="I2825" s="1" t="s">
        <v>5054</v>
      </c>
      <c r="J2825" t="s">
        <v>5640</v>
      </c>
    </row>
    <row r="2826" spans="1:10">
      <c r="A2826" s="1">
        <v>122747</v>
      </c>
      <c r="B2826" s="1">
        <v>7323000086</v>
      </c>
      <c r="C2826" s="1">
        <v>12</v>
      </c>
      <c r="D2826" s="1" t="s">
        <v>465</v>
      </c>
      <c r="E2826" t="s">
        <v>5603</v>
      </c>
      <c r="F2826" s="1">
        <v>139634</v>
      </c>
      <c r="G2826" s="1">
        <v>5100005887</v>
      </c>
      <c r="H2826" s="1">
        <v>24</v>
      </c>
      <c r="I2826" s="1" t="s">
        <v>5054</v>
      </c>
      <c r="J2826" t="s">
        <v>5641</v>
      </c>
    </row>
    <row r="2827" spans="1:10">
      <c r="A2827" s="1">
        <v>361030</v>
      </c>
      <c r="B2827" s="1">
        <v>7323000054</v>
      </c>
      <c r="C2827" s="1">
        <v>12</v>
      </c>
      <c r="D2827" s="1" t="s">
        <v>489</v>
      </c>
      <c r="E2827" t="s">
        <v>5604</v>
      </c>
      <c r="F2827" s="1">
        <v>137075</v>
      </c>
      <c r="G2827" s="1">
        <v>5100002457</v>
      </c>
      <c r="H2827" s="1">
        <v>24</v>
      </c>
      <c r="I2827" s="1" t="s">
        <v>5054</v>
      </c>
      <c r="J2827" t="s">
        <v>5642</v>
      </c>
    </row>
    <row r="2828" spans="1:10">
      <c r="A2828" s="1">
        <v>122762</v>
      </c>
      <c r="B2828" s="1">
        <v>7323000055</v>
      </c>
      <c r="C2828" s="1">
        <v>24</v>
      </c>
      <c r="D2828" s="1" t="s">
        <v>910</v>
      </c>
      <c r="E2828" t="s">
        <v>5605</v>
      </c>
      <c r="F2828" s="1">
        <v>484758</v>
      </c>
      <c r="G2828" s="1">
        <v>5100016721</v>
      </c>
      <c r="H2828" s="1">
        <v>12</v>
      </c>
      <c r="I2828" s="1" t="s">
        <v>370</v>
      </c>
      <c r="J2828" t="s">
        <v>5643</v>
      </c>
    </row>
    <row r="2829" spans="1:10">
      <c r="A2829" s="1">
        <v>121467</v>
      </c>
      <c r="B2829" s="1">
        <v>7323000089</v>
      </c>
      <c r="C2829" s="1">
        <v>24</v>
      </c>
      <c r="D2829" s="1" t="s">
        <v>536</v>
      </c>
      <c r="E2829" t="s">
        <v>5606</v>
      </c>
      <c r="F2829" s="1">
        <v>248948</v>
      </c>
      <c r="G2829" s="1">
        <v>5100017432</v>
      </c>
      <c r="H2829" s="1">
        <v>12</v>
      </c>
      <c r="I2829" s="1" t="s">
        <v>5054</v>
      </c>
      <c r="J2829" t="s">
        <v>5644</v>
      </c>
    </row>
    <row r="2830" spans="1:10" ht="15.75">
      <c r="A2830" s="4" t="s">
        <v>10763</v>
      </c>
      <c r="B2830" s="2"/>
      <c r="C2830" s="2"/>
      <c r="D2830" s="2"/>
      <c r="E2830" s="3"/>
      <c r="F2830" s="4" t="s">
        <v>10763</v>
      </c>
      <c r="G2830" s="2"/>
      <c r="H2830" s="2"/>
      <c r="I2830" s="2"/>
      <c r="J2830" s="3"/>
    </row>
    <row r="2831" spans="1:10">
      <c r="A2831" s="2" t="s">
        <v>0</v>
      </c>
      <c r="B2831" s="2" t="s">
        <v>1</v>
      </c>
      <c r="C2831" s="2" t="s">
        <v>2</v>
      </c>
      <c r="D2831" s="2" t="s">
        <v>3</v>
      </c>
      <c r="E2831" s="3" t="s">
        <v>4</v>
      </c>
      <c r="F2831" s="2" t="s">
        <v>0</v>
      </c>
      <c r="G2831" s="2" t="s">
        <v>1</v>
      </c>
      <c r="H2831" s="2" t="s">
        <v>2</v>
      </c>
      <c r="I2831" s="2" t="s">
        <v>3</v>
      </c>
      <c r="J2831" s="3" t="s">
        <v>4</v>
      </c>
    </row>
    <row r="2832" spans="1:10">
      <c r="A2832" s="1">
        <v>136531</v>
      </c>
      <c r="B2832" s="1">
        <v>5100013338</v>
      </c>
      <c r="C2832" s="1">
        <v>12</v>
      </c>
      <c r="D2832" s="1" t="s">
        <v>370</v>
      </c>
      <c r="E2832" t="s">
        <v>5645</v>
      </c>
      <c r="F2832" s="1">
        <v>593525</v>
      </c>
      <c r="G2832" s="1">
        <v>5100001021</v>
      </c>
      <c r="H2832" s="1">
        <v>12</v>
      </c>
      <c r="I2832" s="1" t="s">
        <v>370</v>
      </c>
      <c r="J2832" t="s">
        <v>5683</v>
      </c>
    </row>
    <row r="2833" spans="1:10">
      <c r="A2833" s="1">
        <v>139477</v>
      </c>
      <c r="B2833" s="1">
        <v>5100001141</v>
      </c>
      <c r="C2833" s="1">
        <v>12</v>
      </c>
      <c r="D2833" s="1" t="s">
        <v>5054</v>
      </c>
      <c r="E2833" t="s">
        <v>5646</v>
      </c>
      <c r="F2833" s="1">
        <v>134031</v>
      </c>
      <c r="G2833" s="1">
        <v>1116613403</v>
      </c>
      <c r="H2833" s="1">
        <v>24</v>
      </c>
      <c r="I2833" s="1" t="s">
        <v>370</v>
      </c>
      <c r="J2833" t="s">
        <v>5684</v>
      </c>
    </row>
    <row r="2834" spans="1:10">
      <c r="A2834" s="1">
        <v>137703</v>
      </c>
      <c r="B2834" s="1">
        <v>5100001367</v>
      </c>
      <c r="C2834" s="1">
        <v>12</v>
      </c>
      <c r="D2834" s="1" t="s">
        <v>5054</v>
      </c>
      <c r="E2834" t="s">
        <v>5647</v>
      </c>
      <c r="F2834" s="1">
        <v>134049</v>
      </c>
      <c r="G2834" s="1">
        <v>1116613404</v>
      </c>
      <c r="H2834" s="1">
        <v>24</v>
      </c>
      <c r="I2834" s="1" t="s">
        <v>370</v>
      </c>
      <c r="J2834" t="s">
        <v>5685</v>
      </c>
    </row>
    <row r="2835" spans="1:10">
      <c r="A2835" s="1">
        <v>741231</v>
      </c>
      <c r="B2835" s="1">
        <v>5100018002</v>
      </c>
      <c r="C2835" s="1">
        <v>12</v>
      </c>
      <c r="D2835" s="1" t="s">
        <v>370</v>
      </c>
      <c r="E2835" t="s">
        <v>5648</v>
      </c>
      <c r="F2835" s="1">
        <v>137794</v>
      </c>
      <c r="G2835" s="1">
        <v>1116613779</v>
      </c>
      <c r="H2835" s="1">
        <v>24</v>
      </c>
      <c r="I2835" s="1" t="s">
        <v>615</v>
      </c>
      <c r="J2835" t="s">
        <v>5686</v>
      </c>
    </row>
    <row r="2836" spans="1:10">
      <c r="A2836" s="1">
        <v>36244</v>
      </c>
      <c r="B2836" s="1">
        <v>5100015581</v>
      </c>
      <c r="C2836" s="1">
        <v>12</v>
      </c>
      <c r="D2836" s="1" t="s">
        <v>370</v>
      </c>
      <c r="E2836" t="s">
        <v>5649</v>
      </c>
      <c r="F2836" s="1">
        <v>133934</v>
      </c>
      <c r="G2836" s="1">
        <v>1116613393</v>
      </c>
      <c r="H2836" s="1">
        <v>24</v>
      </c>
      <c r="I2836" s="1" t="s">
        <v>370</v>
      </c>
      <c r="J2836" t="s">
        <v>5687</v>
      </c>
    </row>
    <row r="2837" spans="1:10">
      <c r="A2837" s="1">
        <v>365452</v>
      </c>
      <c r="B2837" s="1">
        <v>5100018064</v>
      </c>
      <c r="C2837" s="1">
        <v>8</v>
      </c>
      <c r="D2837" s="1" t="s">
        <v>1221</v>
      </c>
      <c r="E2837" t="s">
        <v>5650</v>
      </c>
      <c r="F2837" s="1">
        <v>137802</v>
      </c>
      <c r="G2837" s="1">
        <v>1116613780</v>
      </c>
      <c r="H2837" s="1">
        <v>24</v>
      </c>
      <c r="I2837" s="1" t="s">
        <v>370</v>
      </c>
      <c r="J2837" t="s">
        <v>5688</v>
      </c>
    </row>
    <row r="2838" spans="1:10">
      <c r="A2838" s="1">
        <v>240564</v>
      </c>
      <c r="B2838" s="1">
        <v>5100012326</v>
      </c>
      <c r="C2838" s="1">
        <v>12</v>
      </c>
      <c r="D2838" s="1" t="s">
        <v>5054</v>
      </c>
      <c r="E2838" t="s">
        <v>5651</v>
      </c>
      <c r="F2838" s="1">
        <v>137612</v>
      </c>
      <c r="G2838" s="1">
        <v>1116613761</v>
      </c>
      <c r="H2838" s="1">
        <v>24</v>
      </c>
      <c r="I2838" s="1" t="s">
        <v>370</v>
      </c>
      <c r="J2838" t="s">
        <v>5689</v>
      </c>
    </row>
    <row r="2839" spans="1:10">
      <c r="A2839" s="1">
        <v>201004</v>
      </c>
      <c r="B2839" s="1">
        <v>5100014324</v>
      </c>
      <c r="C2839" s="1">
        <v>12</v>
      </c>
      <c r="D2839" s="1" t="s">
        <v>370</v>
      </c>
      <c r="E2839" t="s">
        <v>5652</v>
      </c>
      <c r="F2839" s="1">
        <v>137687</v>
      </c>
      <c r="G2839" s="1">
        <v>1116613768</v>
      </c>
      <c r="H2839" s="1">
        <v>24</v>
      </c>
      <c r="I2839" s="1" t="s">
        <v>370</v>
      </c>
      <c r="J2839" t="s">
        <v>5690</v>
      </c>
    </row>
    <row r="2840" spans="1:10">
      <c r="A2840" s="1">
        <v>137349</v>
      </c>
      <c r="B2840" s="1">
        <v>5100012895</v>
      </c>
      <c r="C2840" s="1">
        <v>12</v>
      </c>
      <c r="D2840" s="1" t="s">
        <v>370</v>
      </c>
      <c r="E2840" t="s">
        <v>5653</v>
      </c>
      <c r="F2840" s="1">
        <v>137729</v>
      </c>
      <c r="G2840" s="1">
        <v>1116613772</v>
      </c>
      <c r="H2840" s="1">
        <v>24</v>
      </c>
      <c r="I2840" s="1" t="s">
        <v>370</v>
      </c>
      <c r="J2840" t="s">
        <v>5691</v>
      </c>
    </row>
    <row r="2841" spans="1:10">
      <c r="A2841" s="1">
        <v>33084</v>
      </c>
      <c r="B2841" s="1">
        <v>5100001291</v>
      </c>
      <c r="C2841" s="1">
        <v>24</v>
      </c>
      <c r="D2841" s="1" t="s">
        <v>703</v>
      </c>
      <c r="E2841" t="s">
        <v>5654</v>
      </c>
      <c r="F2841" s="1">
        <v>137620</v>
      </c>
      <c r="G2841" s="1">
        <v>1116613762</v>
      </c>
      <c r="H2841" s="1">
        <v>24</v>
      </c>
      <c r="I2841" s="1" t="s">
        <v>370</v>
      </c>
      <c r="J2841" t="s">
        <v>5692</v>
      </c>
    </row>
    <row r="2842" spans="1:10">
      <c r="A2842" s="1">
        <v>110445</v>
      </c>
      <c r="B2842" s="1">
        <v>5100001111</v>
      </c>
      <c r="C2842" s="1">
        <v>12</v>
      </c>
      <c r="D2842" s="1" t="s">
        <v>363</v>
      </c>
      <c r="E2842" t="s">
        <v>5655</v>
      </c>
      <c r="F2842" s="1">
        <v>142976</v>
      </c>
      <c r="G2842" s="1">
        <v>1116614297</v>
      </c>
      <c r="H2842" s="1">
        <v>12</v>
      </c>
      <c r="I2842" s="1" t="s">
        <v>637</v>
      </c>
      <c r="J2842" t="s">
        <v>5693</v>
      </c>
    </row>
    <row r="2843" spans="1:10">
      <c r="A2843" s="1">
        <v>142042</v>
      </c>
      <c r="B2843" s="1">
        <v>5100001347</v>
      </c>
      <c r="C2843" s="1">
        <v>12</v>
      </c>
      <c r="D2843" s="1" t="s">
        <v>1303</v>
      </c>
      <c r="E2843" t="s">
        <v>5656</v>
      </c>
      <c r="F2843" s="1">
        <v>142539</v>
      </c>
      <c r="G2843" s="1">
        <v>1116614253</v>
      </c>
      <c r="H2843" s="1">
        <v>12</v>
      </c>
      <c r="I2843" s="1" t="s">
        <v>637</v>
      </c>
      <c r="J2843" t="s">
        <v>5694</v>
      </c>
    </row>
    <row r="2844" spans="1:10">
      <c r="A2844" s="1">
        <v>136358</v>
      </c>
      <c r="B2844" s="1">
        <v>5100001477</v>
      </c>
      <c r="C2844" s="1">
        <v>24</v>
      </c>
      <c r="D2844" s="1" t="s">
        <v>5054</v>
      </c>
      <c r="E2844" t="s">
        <v>5657</v>
      </c>
      <c r="F2844" s="1">
        <v>137521</v>
      </c>
      <c r="G2844" s="1">
        <v>1116613760</v>
      </c>
      <c r="H2844" s="1">
        <v>24</v>
      </c>
      <c r="I2844" s="1" t="s">
        <v>5054</v>
      </c>
      <c r="J2844" t="s">
        <v>5695</v>
      </c>
    </row>
    <row r="2845" spans="1:10">
      <c r="A2845" s="1">
        <v>136200</v>
      </c>
      <c r="B2845" s="1">
        <v>5100001251</v>
      </c>
      <c r="C2845" s="1">
        <v>48</v>
      </c>
      <c r="D2845" s="1" t="s">
        <v>5054</v>
      </c>
      <c r="E2845" t="s">
        <v>5658</v>
      </c>
      <c r="F2845" s="1">
        <v>137646</v>
      </c>
      <c r="G2845" s="1">
        <v>1116613764</v>
      </c>
      <c r="H2845" s="1">
        <v>24</v>
      </c>
      <c r="I2845" s="1" t="s">
        <v>370</v>
      </c>
      <c r="J2845" t="s">
        <v>5696</v>
      </c>
    </row>
    <row r="2846" spans="1:10">
      <c r="A2846" s="1">
        <v>409201</v>
      </c>
      <c r="B2846" s="1">
        <v>5100000618</v>
      </c>
      <c r="C2846" s="1">
        <v>12</v>
      </c>
      <c r="D2846" s="1" t="s">
        <v>5054</v>
      </c>
      <c r="E2846" t="s">
        <v>5659</v>
      </c>
      <c r="F2846" s="1">
        <v>137711</v>
      </c>
      <c r="G2846" s="1">
        <v>1116613771</v>
      </c>
      <c r="H2846" s="1">
        <v>24</v>
      </c>
      <c r="I2846" s="1" t="s">
        <v>370</v>
      </c>
      <c r="J2846" t="s">
        <v>5697</v>
      </c>
    </row>
    <row r="2847" spans="1:10">
      <c r="A2847" s="1">
        <v>137455</v>
      </c>
      <c r="B2847" s="1">
        <v>5100001541</v>
      </c>
      <c r="C2847" s="1">
        <v>24</v>
      </c>
      <c r="D2847" s="1" t="s">
        <v>370</v>
      </c>
      <c r="E2847" t="s">
        <v>5660</v>
      </c>
      <c r="F2847" s="1">
        <v>137638</v>
      </c>
      <c r="G2847" s="1">
        <v>1116613763</v>
      </c>
      <c r="H2847" s="1">
        <v>24</v>
      </c>
      <c r="I2847" s="1" t="s">
        <v>370</v>
      </c>
      <c r="J2847" t="s">
        <v>5698</v>
      </c>
    </row>
    <row r="2848" spans="1:10" ht="15.75">
      <c r="A2848" s="1">
        <v>142695</v>
      </c>
      <c r="B2848" s="1">
        <v>5100001254</v>
      </c>
      <c r="C2848" s="1">
        <v>12</v>
      </c>
      <c r="D2848" s="1" t="s">
        <v>637</v>
      </c>
      <c r="E2848" t="s">
        <v>5661</v>
      </c>
      <c r="F2848" s="4" t="s">
        <v>10764</v>
      </c>
      <c r="G2848" s="2"/>
      <c r="H2848" s="2"/>
      <c r="I2848" s="2"/>
      <c r="J2848" s="3"/>
    </row>
    <row r="2849" spans="1:10">
      <c r="A2849" s="1">
        <v>136374</v>
      </c>
      <c r="B2849" s="1">
        <v>5100001641</v>
      </c>
      <c r="C2849" s="1">
        <v>24</v>
      </c>
      <c r="D2849" s="1" t="s">
        <v>5054</v>
      </c>
      <c r="E2849" t="s">
        <v>5662</v>
      </c>
      <c r="F2849" s="2" t="s">
        <v>0</v>
      </c>
      <c r="G2849" s="2" t="s">
        <v>1</v>
      </c>
      <c r="H2849" s="2" t="s">
        <v>2</v>
      </c>
      <c r="I2849" s="2" t="s">
        <v>3</v>
      </c>
      <c r="J2849" s="3" t="s">
        <v>4</v>
      </c>
    </row>
    <row r="2850" spans="1:10">
      <c r="A2850" s="1">
        <v>136325</v>
      </c>
      <c r="B2850" s="1">
        <v>5100001261</v>
      </c>
      <c r="C2850" s="1">
        <v>48</v>
      </c>
      <c r="D2850" s="1" t="s">
        <v>5054</v>
      </c>
      <c r="E2850" t="s">
        <v>5663</v>
      </c>
      <c r="F2850" s="1">
        <v>372219</v>
      </c>
      <c r="G2850" s="1">
        <v>5100017518</v>
      </c>
      <c r="H2850" s="1">
        <v>8</v>
      </c>
      <c r="I2850" s="1" t="s">
        <v>5054</v>
      </c>
      <c r="J2850" t="s">
        <v>5699</v>
      </c>
    </row>
    <row r="2851" spans="1:10">
      <c r="A2851" s="1">
        <v>136184</v>
      </c>
      <c r="B2851" s="1">
        <v>5100001271</v>
      </c>
      <c r="C2851" s="1">
        <v>12</v>
      </c>
      <c r="D2851" s="1" t="s">
        <v>637</v>
      </c>
      <c r="E2851" t="s">
        <v>5664</v>
      </c>
      <c r="F2851" s="1">
        <v>200683</v>
      </c>
      <c r="G2851" s="1">
        <v>5100018051</v>
      </c>
      <c r="H2851" s="1">
        <v>12</v>
      </c>
      <c r="I2851" s="1" t="s">
        <v>1330</v>
      </c>
      <c r="J2851" t="s">
        <v>5700</v>
      </c>
    </row>
    <row r="2852" spans="1:10">
      <c r="A2852" s="1">
        <v>136648</v>
      </c>
      <c r="B2852" s="1">
        <v>5100001161</v>
      </c>
      <c r="C2852" s="1">
        <v>48</v>
      </c>
      <c r="D2852" s="1" t="s">
        <v>5054</v>
      </c>
      <c r="E2852" t="s">
        <v>5665</v>
      </c>
      <c r="F2852" s="1">
        <v>855098</v>
      </c>
      <c r="G2852" s="1">
        <v>5100018049</v>
      </c>
      <c r="H2852" s="1">
        <v>12</v>
      </c>
      <c r="I2852" s="1" t="s">
        <v>1330</v>
      </c>
      <c r="J2852" t="s">
        <v>5701</v>
      </c>
    </row>
    <row r="2853" spans="1:10">
      <c r="A2853" s="1">
        <v>136408</v>
      </c>
      <c r="B2853" s="1">
        <v>5100001031</v>
      </c>
      <c r="C2853" s="1">
        <v>48</v>
      </c>
      <c r="D2853" s="1" t="s">
        <v>5054</v>
      </c>
      <c r="E2853" t="s">
        <v>5666</v>
      </c>
      <c r="F2853" s="1">
        <v>138057</v>
      </c>
      <c r="G2853" s="1">
        <v>5100015007</v>
      </c>
      <c r="H2853" s="1">
        <v>12</v>
      </c>
      <c r="I2853" s="1" t="s">
        <v>5702</v>
      </c>
      <c r="J2853" t="s">
        <v>5703</v>
      </c>
    </row>
    <row r="2854" spans="1:10">
      <c r="A2854" s="1">
        <v>136341</v>
      </c>
      <c r="B2854" s="1">
        <v>5100005500</v>
      </c>
      <c r="C2854" s="1">
        <v>12</v>
      </c>
      <c r="D2854" s="1" t="s">
        <v>637</v>
      </c>
      <c r="E2854" t="s">
        <v>5666</v>
      </c>
      <c r="F2854" s="1">
        <v>137224</v>
      </c>
      <c r="G2854" s="1">
        <v>5100014618</v>
      </c>
      <c r="H2854" s="1">
        <v>12</v>
      </c>
      <c r="I2854" s="1" t="s">
        <v>568</v>
      </c>
      <c r="J2854" t="s">
        <v>5704</v>
      </c>
    </row>
    <row r="2855" spans="1:10">
      <c r="A2855" s="1">
        <v>135236</v>
      </c>
      <c r="B2855" s="1">
        <v>5100001617</v>
      </c>
      <c r="C2855" s="1">
        <v>12</v>
      </c>
      <c r="D2855" s="1" t="s">
        <v>1303</v>
      </c>
      <c r="E2855" t="s">
        <v>5667</v>
      </c>
      <c r="F2855" s="1">
        <v>137471</v>
      </c>
      <c r="G2855" s="1">
        <v>5100012804</v>
      </c>
      <c r="H2855" s="1">
        <v>12</v>
      </c>
      <c r="I2855" s="1" t="s">
        <v>568</v>
      </c>
      <c r="J2855" t="s">
        <v>5705</v>
      </c>
    </row>
    <row r="2856" spans="1:10">
      <c r="A2856" s="1">
        <v>36277</v>
      </c>
      <c r="B2856" s="1">
        <v>5100015589</v>
      </c>
      <c r="C2856" s="1">
        <v>12</v>
      </c>
      <c r="D2856" s="1" t="s">
        <v>370</v>
      </c>
      <c r="E2856" t="s">
        <v>5668</v>
      </c>
      <c r="F2856" s="1">
        <v>256214</v>
      </c>
      <c r="G2856" s="1">
        <v>5100017648</v>
      </c>
      <c r="H2856" s="1">
        <v>12</v>
      </c>
      <c r="I2856" s="1" t="s">
        <v>568</v>
      </c>
      <c r="J2856" t="s">
        <v>5706</v>
      </c>
    </row>
    <row r="2857" spans="1:10">
      <c r="A2857" s="1">
        <v>136945</v>
      </c>
      <c r="B2857" s="1">
        <v>5100002828</v>
      </c>
      <c r="C2857" s="1">
        <v>24</v>
      </c>
      <c r="D2857" s="1" t="s">
        <v>363</v>
      </c>
      <c r="E2857" t="s">
        <v>5669</v>
      </c>
      <c r="F2857" s="1">
        <v>617449</v>
      </c>
      <c r="G2857" s="1">
        <v>5100016779</v>
      </c>
      <c r="H2857" s="1">
        <v>12</v>
      </c>
      <c r="I2857" s="1" t="s">
        <v>568</v>
      </c>
      <c r="J2857" t="s">
        <v>5707</v>
      </c>
    </row>
    <row r="2858" spans="1:10">
      <c r="A2858" s="1">
        <v>139675</v>
      </c>
      <c r="B2858" s="1">
        <v>5100005977</v>
      </c>
      <c r="C2858" s="1">
        <v>24</v>
      </c>
      <c r="D2858" s="1" t="s">
        <v>5054</v>
      </c>
      <c r="E2858" t="s">
        <v>5670</v>
      </c>
      <c r="F2858" s="1">
        <v>418152</v>
      </c>
      <c r="G2858" s="1">
        <v>5100016780</v>
      </c>
      <c r="H2858" s="1">
        <v>12</v>
      </c>
      <c r="I2858" s="1" t="s">
        <v>568</v>
      </c>
      <c r="J2858" t="s">
        <v>5708</v>
      </c>
    </row>
    <row r="2859" spans="1:10">
      <c r="A2859" s="1">
        <v>136143</v>
      </c>
      <c r="B2859" s="1">
        <v>5100001127</v>
      </c>
      <c r="C2859" s="1">
        <v>12</v>
      </c>
      <c r="D2859" s="1" t="s">
        <v>5054</v>
      </c>
      <c r="E2859" t="s">
        <v>5671</v>
      </c>
      <c r="F2859" s="1">
        <v>138024</v>
      </c>
      <c r="G2859" s="1">
        <v>5100014193</v>
      </c>
      <c r="H2859" s="1">
        <v>12</v>
      </c>
      <c r="I2859" s="1" t="s">
        <v>568</v>
      </c>
      <c r="J2859" t="s">
        <v>5709</v>
      </c>
    </row>
    <row r="2860" spans="1:10">
      <c r="A2860" s="1">
        <v>109827</v>
      </c>
      <c r="B2860" s="1">
        <v>5100001601</v>
      </c>
      <c r="C2860" s="1">
        <v>12</v>
      </c>
      <c r="D2860" s="1" t="s">
        <v>370</v>
      </c>
      <c r="E2860" t="s">
        <v>5672</v>
      </c>
      <c r="F2860" s="1">
        <v>138792</v>
      </c>
      <c r="G2860" s="1">
        <v>5100014293</v>
      </c>
      <c r="H2860" s="1">
        <v>12</v>
      </c>
      <c r="I2860" s="1" t="s">
        <v>568</v>
      </c>
      <c r="J2860" t="s">
        <v>5710</v>
      </c>
    </row>
    <row r="2861" spans="1:10">
      <c r="A2861" s="1">
        <v>137281</v>
      </c>
      <c r="B2861" s="1">
        <v>5100003087</v>
      </c>
      <c r="C2861" s="1">
        <v>12</v>
      </c>
      <c r="D2861" s="1" t="s">
        <v>370</v>
      </c>
      <c r="E2861" t="s">
        <v>5673</v>
      </c>
      <c r="F2861" s="1">
        <v>846485</v>
      </c>
      <c r="G2861" s="1">
        <v>5100016413</v>
      </c>
      <c r="H2861" s="1">
        <v>12</v>
      </c>
      <c r="I2861" s="1" t="s">
        <v>568</v>
      </c>
      <c r="J2861" t="s">
        <v>5711</v>
      </c>
    </row>
    <row r="2862" spans="1:10">
      <c r="A2862" s="1">
        <v>136044</v>
      </c>
      <c r="B2862" s="1">
        <v>5100011553</v>
      </c>
      <c r="C2862" s="1">
        <v>24</v>
      </c>
      <c r="D2862" s="1" t="s">
        <v>1303</v>
      </c>
      <c r="E2862" t="s">
        <v>5674</v>
      </c>
      <c r="F2862" s="1">
        <v>412163</v>
      </c>
      <c r="G2862" s="1">
        <v>5100016775</v>
      </c>
      <c r="H2862" s="1">
        <v>12</v>
      </c>
      <c r="I2862" s="1" t="s">
        <v>5702</v>
      </c>
      <c r="J2862" t="s">
        <v>5712</v>
      </c>
    </row>
    <row r="2863" spans="1:10">
      <c r="A2863" s="1">
        <v>135988</v>
      </c>
      <c r="B2863" s="1">
        <v>5100011551</v>
      </c>
      <c r="C2863" s="1">
        <v>24</v>
      </c>
      <c r="D2863" s="1" t="s">
        <v>5054</v>
      </c>
      <c r="E2863" t="s">
        <v>5675</v>
      </c>
      <c r="F2863" s="1">
        <v>839076</v>
      </c>
      <c r="G2863" s="1">
        <v>5100016777</v>
      </c>
      <c r="H2863" s="1">
        <v>12</v>
      </c>
      <c r="I2863" s="1" t="s">
        <v>568</v>
      </c>
      <c r="J2863" t="s">
        <v>5713</v>
      </c>
    </row>
    <row r="2864" spans="1:10">
      <c r="A2864" s="1">
        <v>142653</v>
      </c>
      <c r="B2864" s="1">
        <v>5100000014</v>
      </c>
      <c r="C2864" s="1">
        <v>12</v>
      </c>
      <c r="D2864" s="1" t="s">
        <v>637</v>
      </c>
      <c r="E2864" t="s">
        <v>5676</v>
      </c>
      <c r="F2864" s="1">
        <v>471086</v>
      </c>
      <c r="G2864" s="1">
        <v>5100016776</v>
      </c>
      <c r="H2864" s="1">
        <v>12</v>
      </c>
      <c r="I2864" s="1" t="s">
        <v>568</v>
      </c>
      <c r="J2864" t="s">
        <v>5714</v>
      </c>
    </row>
    <row r="2865" spans="1:10">
      <c r="A2865" s="1">
        <v>136242</v>
      </c>
      <c r="B2865" s="1">
        <v>5100000011</v>
      </c>
      <c r="C2865" s="1">
        <v>48</v>
      </c>
      <c r="D2865" s="1" t="s">
        <v>5054</v>
      </c>
      <c r="E2865" t="s">
        <v>5677</v>
      </c>
      <c r="F2865" s="1">
        <v>138941</v>
      </c>
      <c r="G2865" s="1">
        <v>5100014199</v>
      </c>
      <c r="H2865" s="1">
        <v>12</v>
      </c>
      <c r="I2865" s="1" t="s">
        <v>568</v>
      </c>
      <c r="J2865" t="s">
        <v>5715</v>
      </c>
    </row>
    <row r="2866" spans="1:10">
      <c r="A2866" s="1">
        <v>136168</v>
      </c>
      <c r="B2866" s="1">
        <v>5100001231</v>
      </c>
      <c r="C2866" s="1">
        <v>48</v>
      </c>
      <c r="D2866" s="1" t="s">
        <v>370</v>
      </c>
      <c r="E2866" t="s">
        <v>5678</v>
      </c>
      <c r="F2866" s="1">
        <v>140905</v>
      </c>
      <c r="G2866" s="1">
        <v>5100000564</v>
      </c>
      <c r="H2866" s="1">
        <v>12</v>
      </c>
      <c r="I2866" s="1" t="s">
        <v>574</v>
      </c>
      <c r="J2866" t="s">
        <v>5716</v>
      </c>
    </row>
    <row r="2867" spans="1:10">
      <c r="A2867" s="1">
        <v>109835</v>
      </c>
      <c r="B2867" s="1">
        <v>5100002588</v>
      </c>
      <c r="C2867" s="1">
        <v>12</v>
      </c>
      <c r="D2867" s="1" t="s">
        <v>1303</v>
      </c>
      <c r="E2867" t="s">
        <v>5679</v>
      </c>
      <c r="F2867" s="1">
        <v>37580</v>
      </c>
      <c r="G2867" s="1">
        <v>5100014292</v>
      </c>
      <c r="H2867" s="1">
        <v>12</v>
      </c>
      <c r="I2867" s="1" t="s">
        <v>568</v>
      </c>
      <c r="J2867" t="s">
        <v>5717</v>
      </c>
    </row>
    <row r="2868" spans="1:10">
      <c r="A2868" s="1">
        <v>275701</v>
      </c>
      <c r="B2868" s="1">
        <v>5100016150</v>
      </c>
      <c r="C2868" s="1">
        <v>12</v>
      </c>
      <c r="D2868" s="1" t="s">
        <v>370</v>
      </c>
      <c r="E2868" t="s">
        <v>5680</v>
      </c>
      <c r="F2868" s="1">
        <v>535583</v>
      </c>
      <c r="G2868" s="1">
        <v>5100017335</v>
      </c>
      <c r="H2868" s="1">
        <v>8</v>
      </c>
      <c r="I2868" s="1" t="s">
        <v>1037</v>
      </c>
      <c r="J2868" t="s">
        <v>5718</v>
      </c>
    </row>
    <row r="2869" spans="1:10">
      <c r="A2869" s="1">
        <v>892687</v>
      </c>
      <c r="B2869" s="1">
        <v>5100001467</v>
      </c>
      <c r="C2869" s="1">
        <v>12</v>
      </c>
      <c r="D2869" s="1" t="s">
        <v>5054</v>
      </c>
      <c r="E2869" t="s">
        <v>5681</v>
      </c>
      <c r="F2869" s="1">
        <v>806752</v>
      </c>
      <c r="G2869" s="1">
        <v>5100016410</v>
      </c>
      <c r="H2869" s="1">
        <v>12</v>
      </c>
      <c r="I2869" s="1" t="s">
        <v>568</v>
      </c>
      <c r="J2869" t="s">
        <v>5719</v>
      </c>
    </row>
    <row r="2870" spans="1:10">
      <c r="A2870" s="1">
        <v>784033</v>
      </c>
      <c r="B2870" s="1">
        <v>5100001151</v>
      </c>
      <c r="C2870" s="1">
        <v>12</v>
      </c>
      <c r="D2870" s="1" t="s">
        <v>370</v>
      </c>
      <c r="E2870" t="s">
        <v>5682</v>
      </c>
      <c r="F2870" s="1">
        <v>391235</v>
      </c>
      <c r="G2870" s="1">
        <v>5100015535</v>
      </c>
      <c r="H2870" s="1">
        <v>8</v>
      </c>
      <c r="I2870" s="1" t="s">
        <v>1037</v>
      </c>
      <c r="J2870" t="s">
        <v>5720</v>
      </c>
    </row>
    <row r="2871" spans="1:10" ht="15.75">
      <c r="A2871" s="4" t="s">
        <v>10764</v>
      </c>
      <c r="B2871" s="2"/>
      <c r="C2871" s="2"/>
      <c r="D2871" s="2"/>
      <c r="E2871" s="3"/>
      <c r="F2871" s="4" t="s">
        <v>10764</v>
      </c>
      <c r="G2871" s="2"/>
      <c r="H2871" s="2"/>
      <c r="I2871" s="2"/>
      <c r="J2871" s="3"/>
    </row>
    <row r="2872" spans="1:10">
      <c r="A2872" s="2" t="s">
        <v>0</v>
      </c>
      <c r="B2872" s="2" t="s">
        <v>1</v>
      </c>
      <c r="C2872" s="2" t="s">
        <v>2</v>
      </c>
      <c r="D2872" s="2" t="s">
        <v>3</v>
      </c>
      <c r="E2872" s="3" t="s">
        <v>4</v>
      </c>
      <c r="F2872" s="2" t="s">
        <v>0</v>
      </c>
      <c r="G2872" s="2" t="s">
        <v>1</v>
      </c>
      <c r="H2872" s="2" t="s">
        <v>2</v>
      </c>
      <c r="I2872" s="2" t="s">
        <v>3</v>
      </c>
      <c r="J2872" s="3" t="s">
        <v>4</v>
      </c>
    </row>
    <row r="2873" spans="1:10">
      <c r="A2873" s="1">
        <v>138255</v>
      </c>
      <c r="B2873" s="1">
        <v>5100000524</v>
      </c>
      <c r="C2873" s="1">
        <v>12</v>
      </c>
      <c r="D2873" s="1" t="s">
        <v>568</v>
      </c>
      <c r="E2873" t="s">
        <v>5721</v>
      </c>
      <c r="F2873" s="1">
        <v>137935</v>
      </c>
      <c r="G2873" s="1">
        <v>5100001659</v>
      </c>
      <c r="H2873" s="1">
        <v>12</v>
      </c>
      <c r="I2873" s="1" t="s">
        <v>5702</v>
      </c>
      <c r="J2873" t="s">
        <v>5762</v>
      </c>
    </row>
    <row r="2874" spans="1:10">
      <c r="A2874" s="1">
        <v>275644</v>
      </c>
      <c r="B2874" s="1">
        <v>5100016053</v>
      </c>
      <c r="C2874" s="1">
        <v>12</v>
      </c>
      <c r="D2874" s="1" t="s">
        <v>5702</v>
      </c>
      <c r="E2874" t="s">
        <v>5722</v>
      </c>
      <c r="F2874" s="1">
        <v>138008</v>
      </c>
      <c r="G2874" s="1">
        <v>5100015111</v>
      </c>
      <c r="H2874" s="1">
        <v>8</v>
      </c>
      <c r="I2874" s="1" t="s">
        <v>1407</v>
      </c>
      <c r="J2874" t="s">
        <v>5763</v>
      </c>
    </row>
    <row r="2875" spans="1:10">
      <c r="A2875" s="1">
        <v>137430</v>
      </c>
      <c r="B2875" s="1">
        <v>5100013271</v>
      </c>
      <c r="C2875" s="1">
        <v>12</v>
      </c>
      <c r="D2875" s="1" t="s">
        <v>568</v>
      </c>
      <c r="E2875" t="s">
        <v>5723</v>
      </c>
      <c r="F2875" s="1">
        <v>407783</v>
      </c>
      <c r="G2875" s="1">
        <v>5100001880</v>
      </c>
      <c r="H2875" s="1">
        <v>12</v>
      </c>
      <c r="I2875" s="1" t="s">
        <v>5702</v>
      </c>
      <c r="J2875" t="s">
        <v>5764</v>
      </c>
    </row>
    <row r="2876" spans="1:10">
      <c r="A2876" s="1">
        <v>275594</v>
      </c>
      <c r="B2876" s="1">
        <v>5100015534</v>
      </c>
      <c r="C2876" s="1">
        <v>8</v>
      </c>
      <c r="D2876" s="1" t="s">
        <v>1037</v>
      </c>
      <c r="E2876" t="s">
        <v>5724</v>
      </c>
      <c r="F2876" s="1">
        <v>482950</v>
      </c>
      <c r="G2876" s="1">
        <v>5100016905</v>
      </c>
      <c r="H2876" s="1">
        <v>12</v>
      </c>
      <c r="I2876" s="1" t="s">
        <v>5702</v>
      </c>
      <c r="J2876" t="s">
        <v>5765</v>
      </c>
    </row>
    <row r="2877" spans="1:10">
      <c r="A2877" s="1">
        <v>275685</v>
      </c>
      <c r="B2877" s="1">
        <v>5100014877</v>
      </c>
      <c r="C2877" s="1">
        <v>8</v>
      </c>
      <c r="D2877" s="1" t="s">
        <v>1037</v>
      </c>
      <c r="E2877" t="s">
        <v>5725</v>
      </c>
      <c r="F2877" s="1">
        <v>36996</v>
      </c>
      <c r="G2877" s="1">
        <v>5100014997</v>
      </c>
      <c r="H2877" s="1">
        <v>12</v>
      </c>
      <c r="I2877" s="1" t="s">
        <v>5702</v>
      </c>
      <c r="J2877" t="s">
        <v>5766</v>
      </c>
    </row>
    <row r="2878" spans="1:10">
      <c r="A2878" s="1">
        <v>375980</v>
      </c>
      <c r="B2878" s="1">
        <v>5100018036</v>
      </c>
      <c r="C2878" s="1">
        <v>12</v>
      </c>
      <c r="D2878" s="1" t="s">
        <v>568</v>
      </c>
      <c r="E2878" t="s">
        <v>5726</v>
      </c>
      <c r="F2878" s="1">
        <v>137547</v>
      </c>
      <c r="G2878" s="1">
        <v>5100003234</v>
      </c>
      <c r="H2878" s="1">
        <v>12</v>
      </c>
      <c r="I2878" s="1" t="s">
        <v>568</v>
      </c>
      <c r="J2878" t="s">
        <v>5767</v>
      </c>
    </row>
    <row r="2879" spans="1:10">
      <c r="A2879" s="1">
        <v>257261</v>
      </c>
      <c r="B2879" s="1">
        <v>5100018040</v>
      </c>
      <c r="C2879" s="1">
        <v>12</v>
      </c>
      <c r="D2879" s="1" t="s">
        <v>568</v>
      </c>
      <c r="E2879" t="s">
        <v>5727</v>
      </c>
      <c r="F2879" s="1">
        <v>275610</v>
      </c>
      <c r="G2879" s="1">
        <v>5100016014</v>
      </c>
      <c r="H2879" s="1">
        <v>8</v>
      </c>
      <c r="I2879" s="1" t="s">
        <v>1407</v>
      </c>
      <c r="J2879" t="s">
        <v>5768</v>
      </c>
    </row>
    <row r="2880" spans="1:10">
      <c r="A2880" s="1">
        <v>137851</v>
      </c>
      <c r="B2880" s="1">
        <v>5100013810</v>
      </c>
      <c r="C2880" s="1">
        <v>12</v>
      </c>
      <c r="D2880" s="1" t="s">
        <v>5702</v>
      </c>
      <c r="E2880" t="s">
        <v>5728</v>
      </c>
      <c r="F2880" s="1">
        <v>517656</v>
      </c>
      <c r="G2880" s="1">
        <v>5100017343</v>
      </c>
      <c r="H2880" s="1">
        <v>8</v>
      </c>
      <c r="I2880" s="1" t="s">
        <v>1407</v>
      </c>
      <c r="J2880" t="s">
        <v>5769</v>
      </c>
    </row>
    <row r="2881" spans="1:10">
      <c r="A2881" s="1">
        <v>577510</v>
      </c>
      <c r="B2881" s="1">
        <v>5100017336</v>
      </c>
      <c r="C2881" s="1">
        <v>8</v>
      </c>
      <c r="D2881" s="1" t="s">
        <v>1037</v>
      </c>
      <c r="E2881" t="s">
        <v>5729</v>
      </c>
      <c r="F2881" s="1">
        <v>135418</v>
      </c>
      <c r="G2881" s="1">
        <v>5100014917</v>
      </c>
      <c r="H2881" s="1">
        <v>8</v>
      </c>
      <c r="I2881" s="1" t="s">
        <v>1407</v>
      </c>
      <c r="J2881" t="s">
        <v>5770</v>
      </c>
    </row>
    <row r="2882" spans="1:10">
      <c r="A2882" s="1">
        <v>178954</v>
      </c>
      <c r="B2882" s="1">
        <v>5100018034</v>
      </c>
      <c r="C2882" s="1">
        <v>12</v>
      </c>
      <c r="D2882" s="1" t="s">
        <v>568</v>
      </c>
      <c r="E2882" t="s">
        <v>5730</v>
      </c>
      <c r="F2882" s="1">
        <v>360693</v>
      </c>
      <c r="G2882" s="1">
        <v>5100018068</v>
      </c>
      <c r="H2882" s="1">
        <v>12</v>
      </c>
      <c r="I2882" s="1" t="s">
        <v>568</v>
      </c>
      <c r="J2882" t="s">
        <v>5771</v>
      </c>
    </row>
    <row r="2883" spans="1:10">
      <c r="A2883" s="1">
        <v>137984</v>
      </c>
      <c r="B2883" s="1">
        <v>5100014878</v>
      </c>
      <c r="C2883" s="1">
        <v>8</v>
      </c>
      <c r="D2883" s="1" t="s">
        <v>1037</v>
      </c>
      <c r="E2883" t="s">
        <v>5731</v>
      </c>
      <c r="F2883" s="1">
        <v>632752</v>
      </c>
      <c r="G2883" s="1">
        <v>5100018285</v>
      </c>
      <c r="H2883" s="1">
        <v>12</v>
      </c>
      <c r="I2883" s="1" t="s">
        <v>5702</v>
      </c>
      <c r="J2883" t="s">
        <v>5772</v>
      </c>
    </row>
    <row r="2884" spans="1:10">
      <c r="A2884" s="1">
        <v>137786</v>
      </c>
      <c r="B2884" s="1">
        <v>5100014880</v>
      </c>
      <c r="C2884" s="1">
        <v>8</v>
      </c>
      <c r="D2884" s="1" t="s">
        <v>1037</v>
      </c>
      <c r="E2884" t="s">
        <v>5732</v>
      </c>
      <c r="F2884" s="1">
        <v>182576</v>
      </c>
      <c r="G2884" s="1">
        <v>5100018191</v>
      </c>
      <c r="H2884" s="1">
        <v>12</v>
      </c>
      <c r="I2884" s="1" t="s">
        <v>5702</v>
      </c>
      <c r="J2884" t="s">
        <v>5773</v>
      </c>
    </row>
    <row r="2885" spans="1:10">
      <c r="A2885" s="1">
        <v>137943</v>
      </c>
      <c r="B2885" s="1">
        <v>5100014919</v>
      </c>
      <c r="C2885" s="1">
        <v>8</v>
      </c>
      <c r="D2885" s="1" t="s">
        <v>1037</v>
      </c>
      <c r="E2885" t="s">
        <v>5733</v>
      </c>
      <c r="F2885" s="1">
        <v>197152</v>
      </c>
      <c r="G2885" s="1">
        <v>5100016421</v>
      </c>
      <c r="H2885" s="1">
        <v>12</v>
      </c>
      <c r="I2885" s="1" t="s">
        <v>5702</v>
      </c>
      <c r="J2885" t="s">
        <v>5774</v>
      </c>
    </row>
    <row r="2886" spans="1:10">
      <c r="A2886" s="1">
        <v>137992</v>
      </c>
      <c r="B2886" s="1">
        <v>5100014879</v>
      </c>
      <c r="C2886" s="1">
        <v>8</v>
      </c>
      <c r="D2886" s="1" t="s">
        <v>1037</v>
      </c>
      <c r="E2886" t="s">
        <v>5734</v>
      </c>
      <c r="F2886" s="1">
        <v>394312</v>
      </c>
      <c r="G2886" s="1">
        <v>5100018219</v>
      </c>
      <c r="H2886" s="1">
        <v>8</v>
      </c>
      <c r="I2886" s="1" t="s">
        <v>1407</v>
      </c>
      <c r="J2886" t="s">
        <v>5775</v>
      </c>
    </row>
    <row r="2887" spans="1:10">
      <c r="A2887" s="1">
        <v>136879</v>
      </c>
      <c r="B2887" s="1">
        <v>5100012036</v>
      </c>
      <c r="C2887" s="1">
        <v>12</v>
      </c>
      <c r="D2887" s="1" t="s">
        <v>568</v>
      </c>
      <c r="E2887" t="s">
        <v>5735</v>
      </c>
      <c r="F2887" s="1">
        <v>774356</v>
      </c>
      <c r="G2887" s="1">
        <v>5100018220</v>
      </c>
      <c r="H2887" s="1">
        <v>8</v>
      </c>
      <c r="I2887" s="1" t="s">
        <v>1407</v>
      </c>
      <c r="J2887" t="s">
        <v>5776</v>
      </c>
    </row>
    <row r="2888" spans="1:10">
      <c r="A2888" s="1">
        <v>275628</v>
      </c>
      <c r="B2888" s="1">
        <v>5100013459</v>
      </c>
      <c r="C2888" s="1">
        <v>8</v>
      </c>
      <c r="D2888" s="1" t="s">
        <v>1221</v>
      </c>
      <c r="E2888" t="s">
        <v>5736</v>
      </c>
      <c r="F2888" s="1">
        <v>287185</v>
      </c>
      <c r="G2888" s="1">
        <v>5100018221</v>
      </c>
      <c r="H2888" s="1">
        <v>8</v>
      </c>
      <c r="I2888" s="1" t="s">
        <v>1407</v>
      </c>
      <c r="J2888" t="s">
        <v>5777</v>
      </c>
    </row>
    <row r="2889" spans="1:10">
      <c r="A2889" s="1">
        <v>275636</v>
      </c>
      <c r="B2889" s="1">
        <v>5100013458</v>
      </c>
      <c r="C2889" s="1">
        <v>8</v>
      </c>
      <c r="D2889" s="1" t="s">
        <v>1221</v>
      </c>
      <c r="E2889" t="s">
        <v>5737</v>
      </c>
      <c r="F2889" s="1">
        <v>789222</v>
      </c>
      <c r="G2889" s="1">
        <v>5100018193</v>
      </c>
      <c r="H2889" s="1">
        <v>12</v>
      </c>
      <c r="I2889" s="1" t="s">
        <v>5702</v>
      </c>
      <c r="J2889" t="s">
        <v>5778</v>
      </c>
    </row>
    <row r="2890" spans="1:10">
      <c r="A2890" s="1">
        <v>275438</v>
      </c>
      <c r="B2890" s="1">
        <v>5100013462</v>
      </c>
      <c r="C2890" s="1">
        <v>8</v>
      </c>
      <c r="D2890" s="1" t="s">
        <v>1221</v>
      </c>
      <c r="E2890" t="s">
        <v>5738</v>
      </c>
      <c r="F2890" s="1">
        <v>427823</v>
      </c>
      <c r="G2890" s="1">
        <v>5100018194</v>
      </c>
      <c r="H2890" s="1">
        <v>12</v>
      </c>
      <c r="I2890" s="1" t="s">
        <v>5702</v>
      </c>
      <c r="J2890" t="s">
        <v>5779</v>
      </c>
    </row>
    <row r="2891" spans="1:10">
      <c r="A2891" s="1">
        <v>137778</v>
      </c>
      <c r="B2891" s="1">
        <v>5100014369</v>
      </c>
      <c r="C2891" s="1">
        <v>12</v>
      </c>
      <c r="D2891" s="1" t="s">
        <v>5702</v>
      </c>
      <c r="E2891" t="s">
        <v>5739</v>
      </c>
      <c r="F2891" s="1">
        <v>673525</v>
      </c>
      <c r="G2891" s="1">
        <v>5100018192</v>
      </c>
      <c r="H2891" s="1">
        <v>12</v>
      </c>
      <c r="I2891" s="1" t="s">
        <v>5702</v>
      </c>
      <c r="J2891" t="s">
        <v>5780</v>
      </c>
    </row>
    <row r="2892" spans="1:10">
      <c r="A2892" s="1">
        <v>509216</v>
      </c>
      <c r="B2892" s="1">
        <v>5100016461</v>
      </c>
      <c r="C2892" s="1">
        <v>8</v>
      </c>
      <c r="D2892" s="1" t="s">
        <v>5740</v>
      </c>
      <c r="E2892" t="s">
        <v>5741</v>
      </c>
      <c r="F2892" s="1">
        <v>138115</v>
      </c>
      <c r="G2892" s="1">
        <v>5100013809</v>
      </c>
      <c r="H2892" s="1">
        <v>12</v>
      </c>
      <c r="I2892" s="1" t="s">
        <v>568</v>
      </c>
      <c r="J2892" t="s">
        <v>5781</v>
      </c>
    </row>
    <row r="2893" spans="1:10">
      <c r="A2893" s="1">
        <v>479972</v>
      </c>
      <c r="B2893" s="1">
        <v>5100016459</v>
      </c>
      <c r="C2893" s="1">
        <v>8</v>
      </c>
      <c r="D2893" s="1" t="s">
        <v>5740</v>
      </c>
      <c r="E2893" t="s">
        <v>5742</v>
      </c>
      <c r="F2893" s="1">
        <v>382077</v>
      </c>
      <c r="G2893" s="1">
        <v>5100017476</v>
      </c>
      <c r="H2893" s="1">
        <v>12</v>
      </c>
      <c r="I2893" s="1" t="s">
        <v>5702</v>
      </c>
      <c r="J2893" t="s">
        <v>5782</v>
      </c>
    </row>
    <row r="2894" spans="1:10">
      <c r="A2894" s="1">
        <v>255075</v>
      </c>
      <c r="B2894" s="1">
        <v>5100017517</v>
      </c>
      <c r="C2894" s="1">
        <v>8</v>
      </c>
      <c r="D2894" s="1" t="s">
        <v>5054</v>
      </c>
      <c r="E2894" t="s">
        <v>5743</v>
      </c>
      <c r="F2894" s="1">
        <v>275578</v>
      </c>
      <c r="G2894" s="1">
        <v>5100014213</v>
      </c>
      <c r="H2894" s="1">
        <v>12</v>
      </c>
      <c r="I2894" s="1" t="s">
        <v>5702</v>
      </c>
      <c r="J2894" t="s">
        <v>5783</v>
      </c>
    </row>
    <row r="2895" spans="1:10">
      <c r="A2895" s="1">
        <v>137323</v>
      </c>
      <c r="B2895" s="1">
        <v>5100015076</v>
      </c>
      <c r="C2895" s="1">
        <v>8</v>
      </c>
      <c r="D2895" s="1" t="s">
        <v>5054</v>
      </c>
      <c r="E2895" t="s">
        <v>5744</v>
      </c>
      <c r="F2895" s="1">
        <v>137141</v>
      </c>
      <c r="G2895" s="1">
        <v>5100014370</v>
      </c>
      <c r="H2895" s="1">
        <v>12</v>
      </c>
      <c r="I2895" s="1" t="s">
        <v>5702</v>
      </c>
      <c r="J2895" t="s">
        <v>5784</v>
      </c>
    </row>
    <row r="2896" spans="1:10">
      <c r="A2896" s="1">
        <v>135475</v>
      </c>
      <c r="B2896" s="1">
        <v>5100014982</v>
      </c>
      <c r="C2896" s="1">
        <v>8</v>
      </c>
      <c r="D2896" s="1" t="s">
        <v>5054</v>
      </c>
      <c r="E2896" t="s">
        <v>5745</v>
      </c>
      <c r="F2896" s="1">
        <v>140756</v>
      </c>
      <c r="G2896" s="1">
        <v>5100003813</v>
      </c>
      <c r="H2896" s="1">
        <v>12</v>
      </c>
      <c r="I2896" s="1" t="s">
        <v>568</v>
      </c>
      <c r="J2896" t="s">
        <v>5785</v>
      </c>
    </row>
    <row r="2897" spans="1:10">
      <c r="A2897" s="1">
        <v>135079</v>
      </c>
      <c r="B2897" s="1">
        <v>5100014981</v>
      </c>
      <c r="C2897" s="1">
        <v>8</v>
      </c>
      <c r="D2897" s="1" t="s">
        <v>5054</v>
      </c>
      <c r="E2897" t="s">
        <v>5746</v>
      </c>
      <c r="F2897" s="1">
        <v>138834</v>
      </c>
      <c r="G2897" s="1">
        <v>5100000683</v>
      </c>
      <c r="H2897" s="1">
        <v>12</v>
      </c>
      <c r="I2897" s="1" t="s">
        <v>568</v>
      </c>
      <c r="J2897" t="s">
        <v>5786</v>
      </c>
    </row>
    <row r="2898" spans="1:10">
      <c r="A2898" s="1">
        <v>136614</v>
      </c>
      <c r="B2898" s="1">
        <v>5100013450</v>
      </c>
      <c r="C2898" s="1">
        <v>8</v>
      </c>
      <c r="D2898" s="1" t="s">
        <v>5054</v>
      </c>
      <c r="E2898" t="s">
        <v>5747</v>
      </c>
      <c r="F2898" s="1">
        <v>138743</v>
      </c>
      <c r="G2898" s="1">
        <v>5100000562</v>
      </c>
      <c r="H2898" s="1">
        <v>12</v>
      </c>
      <c r="I2898" s="1" t="s">
        <v>568</v>
      </c>
      <c r="J2898" t="s">
        <v>5787</v>
      </c>
    </row>
    <row r="2899" spans="1:10">
      <c r="A2899" s="1">
        <v>136705</v>
      </c>
      <c r="B2899" s="1">
        <v>5100013737</v>
      </c>
      <c r="C2899" s="1">
        <v>8</v>
      </c>
      <c r="D2899" s="1" t="s">
        <v>5054</v>
      </c>
      <c r="E2899" t="s">
        <v>5748</v>
      </c>
      <c r="F2899" s="1">
        <v>137232</v>
      </c>
      <c r="G2899" s="1">
        <v>5100006959</v>
      </c>
      <c r="H2899" s="1">
        <v>12</v>
      </c>
      <c r="I2899" s="1" t="s">
        <v>568</v>
      </c>
      <c r="J2899" t="s">
        <v>5788</v>
      </c>
    </row>
    <row r="2900" spans="1:10">
      <c r="A2900" s="1">
        <v>824961</v>
      </c>
      <c r="B2900" s="1">
        <v>5100018043</v>
      </c>
      <c r="C2900" s="1">
        <v>8</v>
      </c>
      <c r="D2900" s="1" t="s">
        <v>5054</v>
      </c>
      <c r="E2900" t="s">
        <v>5749</v>
      </c>
      <c r="F2900" s="1">
        <v>139550</v>
      </c>
      <c r="G2900" s="1">
        <v>5100000554</v>
      </c>
      <c r="H2900" s="1">
        <v>12</v>
      </c>
      <c r="I2900" s="1" t="s">
        <v>568</v>
      </c>
      <c r="J2900" t="s">
        <v>5789</v>
      </c>
    </row>
    <row r="2901" spans="1:10">
      <c r="A2901" s="1">
        <v>135467</v>
      </c>
      <c r="B2901" s="1">
        <v>5100014983</v>
      </c>
      <c r="C2901" s="1">
        <v>8</v>
      </c>
      <c r="D2901" s="1" t="s">
        <v>5054</v>
      </c>
      <c r="E2901" t="s">
        <v>5750</v>
      </c>
      <c r="F2901" s="1">
        <v>137158</v>
      </c>
      <c r="G2901" s="1">
        <v>5100003868</v>
      </c>
      <c r="H2901" s="1">
        <v>12</v>
      </c>
      <c r="I2901" s="1" t="s">
        <v>568</v>
      </c>
      <c r="J2901" t="s">
        <v>5790</v>
      </c>
    </row>
    <row r="2902" spans="1:10">
      <c r="A2902" s="1">
        <v>136853</v>
      </c>
      <c r="B2902" s="1">
        <v>5100013736</v>
      </c>
      <c r="C2902" s="1">
        <v>8</v>
      </c>
      <c r="D2902" s="1" t="s">
        <v>5054</v>
      </c>
      <c r="E2902" t="s">
        <v>5751</v>
      </c>
      <c r="F2902" s="1">
        <v>140921</v>
      </c>
      <c r="G2902" s="1">
        <v>5100000587</v>
      </c>
      <c r="H2902" s="1">
        <v>12</v>
      </c>
      <c r="I2902" s="1" t="s">
        <v>574</v>
      </c>
      <c r="J2902" t="s">
        <v>5791</v>
      </c>
    </row>
    <row r="2903" spans="1:10">
      <c r="A2903" s="1">
        <v>36970</v>
      </c>
      <c r="B2903" s="1">
        <v>5100015497</v>
      </c>
      <c r="C2903" s="1">
        <v>8</v>
      </c>
      <c r="D2903" s="1" t="s">
        <v>5054</v>
      </c>
      <c r="E2903" t="s">
        <v>5752</v>
      </c>
      <c r="F2903" s="1">
        <v>138628</v>
      </c>
      <c r="G2903" s="1">
        <v>5100003885</v>
      </c>
      <c r="H2903" s="1">
        <v>12</v>
      </c>
      <c r="I2903" s="1" t="s">
        <v>5702</v>
      </c>
      <c r="J2903" t="s">
        <v>5792</v>
      </c>
    </row>
    <row r="2904" spans="1:10">
      <c r="A2904" s="1">
        <v>136820</v>
      </c>
      <c r="B2904" s="1">
        <v>5100014587</v>
      </c>
      <c r="C2904" s="1">
        <v>12</v>
      </c>
      <c r="D2904" s="1" t="s">
        <v>568</v>
      </c>
      <c r="E2904" t="s">
        <v>5753</v>
      </c>
      <c r="F2904" s="1">
        <v>859421</v>
      </c>
      <c r="G2904" s="1">
        <v>5100000568</v>
      </c>
      <c r="H2904" s="1">
        <v>12</v>
      </c>
      <c r="I2904" s="1" t="s">
        <v>568</v>
      </c>
      <c r="J2904" t="s">
        <v>5793</v>
      </c>
    </row>
    <row r="2905" spans="1:10">
      <c r="A2905" s="1">
        <v>482174</v>
      </c>
      <c r="B2905" s="1">
        <v>5100016904</v>
      </c>
      <c r="C2905" s="1">
        <v>12</v>
      </c>
      <c r="D2905" s="1" t="s">
        <v>5702</v>
      </c>
      <c r="E2905" t="s">
        <v>5754</v>
      </c>
      <c r="F2905" s="1">
        <v>140913</v>
      </c>
      <c r="G2905" s="1">
        <v>5100000551</v>
      </c>
      <c r="H2905" s="1">
        <v>12</v>
      </c>
      <c r="I2905" s="1" t="s">
        <v>568</v>
      </c>
      <c r="J2905" t="s">
        <v>5794</v>
      </c>
    </row>
    <row r="2906" spans="1:10">
      <c r="A2906" s="1">
        <v>54791</v>
      </c>
      <c r="B2906" s="1">
        <v>5100017341</v>
      </c>
      <c r="C2906" s="1">
        <v>8</v>
      </c>
      <c r="D2906" s="1" t="s">
        <v>1407</v>
      </c>
      <c r="E2906" t="s">
        <v>5755</v>
      </c>
      <c r="F2906" s="1">
        <v>138305</v>
      </c>
      <c r="G2906" s="1">
        <v>5100000550</v>
      </c>
      <c r="H2906" s="1">
        <v>12</v>
      </c>
      <c r="I2906" s="1" t="s">
        <v>568</v>
      </c>
      <c r="J2906" t="s">
        <v>5795</v>
      </c>
    </row>
    <row r="2907" spans="1:10">
      <c r="A2907" s="1">
        <v>755405</v>
      </c>
      <c r="B2907" s="1">
        <v>5100016903</v>
      </c>
      <c r="C2907" s="1">
        <v>12</v>
      </c>
      <c r="D2907" s="1" t="s">
        <v>5702</v>
      </c>
      <c r="E2907" t="s">
        <v>5756</v>
      </c>
      <c r="F2907" s="1">
        <v>137968</v>
      </c>
      <c r="G2907" s="1">
        <v>5100004244</v>
      </c>
      <c r="H2907" s="1">
        <v>12</v>
      </c>
      <c r="I2907" s="1" t="s">
        <v>5702</v>
      </c>
      <c r="J2907" t="s">
        <v>5796</v>
      </c>
    </row>
    <row r="2908" spans="1:10">
      <c r="A2908" s="1">
        <v>138693</v>
      </c>
      <c r="B2908" s="1">
        <v>5100015112</v>
      </c>
      <c r="C2908" s="1">
        <v>8</v>
      </c>
      <c r="D2908" s="1" t="s">
        <v>1407</v>
      </c>
      <c r="E2908" t="s">
        <v>5757</v>
      </c>
      <c r="F2908" s="1">
        <v>137422</v>
      </c>
      <c r="G2908" s="1">
        <v>5100000658</v>
      </c>
      <c r="H2908" s="1">
        <v>12</v>
      </c>
      <c r="I2908" s="1" t="s">
        <v>568</v>
      </c>
      <c r="J2908" t="s">
        <v>5797</v>
      </c>
    </row>
    <row r="2909" spans="1:10">
      <c r="A2909" s="1">
        <v>282798</v>
      </c>
      <c r="B2909" s="1">
        <v>5100016420</v>
      </c>
      <c r="C2909" s="1">
        <v>12</v>
      </c>
      <c r="D2909" s="1" t="s">
        <v>5702</v>
      </c>
      <c r="E2909" t="s">
        <v>5758</v>
      </c>
      <c r="F2909" s="1">
        <v>136994</v>
      </c>
      <c r="G2909" s="1">
        <v>5100012632</v>
      </c>
      <c r="H2909" s="1">
        <v>12</v>
      </c>
      <c r="I2909" s="1" t="s">
        <v>5702</v>
      </c>
      <c r="J2909" t="s">
        <v>5798</v>
      </c>
    </row>
    <row r="2910" spans="1:10">
      <c r="A2910" s="1">
        <v>894220</v>
      </c>
      <c r="B2910" s="1">
        <v>5100017520</v>
      </c>
      <c r="C2910" s="1">
        <v>12</v>
      </c>
      <c r="D2910" s="1" t="s">
        <v>5759</v>
      </c>
      <c r="E2910" t="s">
        <v>5760</v>
      </c>
      <c r="F2910" s="1">
        <v>138370</v>
      </c>
      <c r="G2910" s="1">
        <v>5100000549</v>
      </c>
      <c r="H2910" s="1">
        <v>12</v>
      </c>
      <c r="I2910" s="1" t="s">
        <v>568</v>
      </c>
      <c r="J2910" t="s">
        <v>5799</v>
      </c>
    </row>
    <row r="2911" spans="1:10">
      <c r="A2911" s="1">
        <v>138651</v>
      </c>
      <c r="B2911" s="1">
        <v>5100004243</v>
      </c>
      <c r="C2911" s="1">
        <v>12</v>
      </c>
      <c r="D2911" s="1" t="s">
        <v>574</v>
      </c>
      <c r="E2911" t="s">
        <v>5761</v>
      </c>
      <c r="F2911" s="1">
        <v>138321</v>
      </c>
      <c r="G2911" s="1">
        <v>5100000556</v>
      </c>
      <c r="H2911" s="1">
        <v>12</v>
      </c>
      <c r="I2911" s="1" t="s">
        <v>568</v>
      </c>
      <c r="J2911" t="s">
        <v>5800</v>
      </c>
    </row>
    <row r="2912" spans="1:10" ht="15.75">
      <c r="A2912" s="4" t="s">
        <v>10764</v>
      </c>
      <c r="B2912" s="2"/>
      <c r="C2912" s="2"/>
      <c r="D2912" s="2"/>
      <c r="E2912" s="3"/>
      <c r="F2912" s="4" t="s">
        <v>10764</v>
      </c>
      <c r="G2912" s="2"/>
      <c r="H2912" s="2"/>
      <c r="I2912" s="2"/>
      <c r="J2912" s="3"/>
    </row>
    <row r="2913" spans="1:10">
      <c r="A2913" s="2" t="s">
        <v>0</v>
      </c>
      <c r="B2913" s="2" t="s">
        <v>1</v>
      </c>
      <c r="C2913" s="2" t="s">
        <v>2</v>
      </c>
      <c r="D2913" s="2" t="s">
        <v>3</v>
      </c>
      <c r="E2913" s="3" t="s">
        <v>4</v>
      </c>
      <c r="F2913" s="2" t="s">
        <v>0</v>
      </c>
      <c r="G2913" s="2" t="s">
        <v>1</v>
      </c>
      <c r="H2913" s="2" t="s">
        <v>2</v>
      </c>
      <c r="I2913" s="2" t="s">
        <v>3</v>
      </c>
      <c r="J2913" s="3" t="s">
        <v>4</v>
      </c>
    </row>
    <row r="2914" spans="1:10">
      <c r="A2914" s="1">
        <v>137927</v>
      </c>
      <c r="B2914" s="1">
        <v>5100001660</v>
      </c>
      <c r="C2914" s="1">
        <v>12</v>
      </c>
      <c r="D2914" s="1" t="s">
        <v>5702</v>
      </c>
      <c r="E2914" t="s">
        <v>5801</v>
      </c>
      <c r="F2914" s="1">
        <v>173591</v>
      </c>
      <c r="G2914" s="1">
        <v>4119691408</v>
      </c>
      <c r="H2914" s="1">
        <v>12</v>
      </c>
      <c r="I2914" s="1" t="s">
        <v>5702</v>
      </c>
      <c r="J2914" t="s">
        <v>5840</v>
      </c>
    </row>
    <row r="2915" spans="1:10">
      <c r="A2915" s="1">
        <v>137877</v>
      </c>
      <c r="B2915" s="1">
        <v>5100001658</v>
      </c>
      <c r="C2915" s="1">
        <v>12</v>
      </c>
      <c r="D2915" s="1" t="s">
        <v>5702</v>
      </c>
      <c r="E2915" t="s">
        <v>5802</v>
      </c>
      <c r="F2915" s="1">
        <v>173609</v>
      </c>
      <c r="G2915" s="1">
        <v>4119691409</v>
      </c>
      <c r="H2915" s="1">
        <v>12</v>
      </c>
      <c r="I2915" s="1" t="s">
        <v>5702</v>
      </c>
      <c r="J2915" t="s">
        <v>5841</v>
      </c>
    </row>
    <row r="2916" spans="1:10">
      <c r="A2916" s="1">
        <v>485839</v>
      </c>
      <c r="B2916" s="1">
        <v>5100018118</v>
      </c>
      <c r="C2916" s="1">
        <v>12</v>
      </c>
      <c r="D2916" s="1" t="s">
        <v>1330</v>
      </c>
      <c r="E2916" t="s">
        <v>5803</v>
      </c>
      <c r="F2916" s="1">
        <v>173922</v>
      </c>
      <c r="G2916" s="1">
        <v>4119691403</v>
      </c>
      <c r="H2916" s="1">
        <v>12</v>
      </c>
      <c r="I2916" s="1" t="s">
        <v>1492</v>
      </c>
      <c r="J2916" t="s">
        <v>5842</v>
      </c>
    </row>
    <row r="2917" spans="1:10">
      <c r="A2917" s="1">
        <v>375550</v>
      </c>
      <c r="B2917" s="1">
        <v>5100018054</v>
      </c>
      <c r="C2917" s="1">
        <v>12</v>
      </c>
      <c r="D2917" s="1" t="s">
        <v>1330</v>
      </c>
      <c r="E2917" t="s">
        <v>5804</v>
      </c>
      <c r="F2917" s="1">
        <v>173757</v>
      </c>
      <c r="G2917" s="1">
        <v>4119691404</v>
      </c>
      <c r="H2917" s="1">
        <v>12</v>
      </c>
      <c r="I2917" s="1" t="s">
        <v>1492</v>
      </c>
      <c r="J2917" t="s">
        <v>5843</v>
      </c>
    </row>
    <row r="2918" spans="1:10">
      <c r="A2918" s="1">
        <v>106534</v>
      </c>
      <c r="B2918" s="1">
        <v>5100018053</v>
      </c>
      <c r="C2918" s="1">
        <v>12</v>
      </c>
      <c r="D2918" s="1" t="s">
        <v>1330</v>
      </c>
      <c r="E2918" t="s">
        <v>5805</v>
      </c>
      <c r="F2918" s="1">
        <v>15362</v>
      </c>
      <c r="G2918" s="1">
        <v>4119691414</v>
      </c>
      <c r="H2918" s="1">
        <v>12</v>
      </c>
      <c r="I2918" s="1" t="s">
        <v>1492</v>
      </c>
      <c r="J2918" t="s">
        <v>5844</v>
      </c>
    </row>
    <row r="2919" spans="1:10">
      <c r="A2919" s="1">
        <v>396622</v>
      </c>
      <c r="B2919" s="1">
        <v>5100018065</v>
      </c>
      <c r="C2919" s="1">
        <v>8</v>
      </c>
      <c r="D2919" s="1" t="s">
        <v>1037</v>
      </c>
      <c r="E2919" t="s">
        <v>5806</v>
      </c>
      <c r="F2919" s="1">
        <v>108183</v>
      </c>
      <c r="G2919" s="1">
        <v>4119691084</v>
      </c>
      <c r="H2919" s="1">
        <v>12</v>
      </c>
      <c r="I2919" s="1" t="s">
        <v>574</v>
      </c>
      <c r="J2919" t="s">
        <v>5845</v>
      </c>
    </row>
    <row r="2920" spans="1:10">
      <c r="A2920" s="1">
        <v>835231</v>
      </c>
      <c r="B2920" s="1">
        <v>5100018035</v>
      </c>
      <c r="C2920" s="1">
        <v>12</v>
      </c>
      <c r="D2920" s="1" t="s">
        <v>568</v>
      </c>
      <c r="E2920" t="s">
        <v>5807</v>
      </c>
      <c r="F2920" s="1">
        <v>108100</v>
      </c>
      <c r="G2920" s="1">
        <v>4119691184</v>
      </c>
      <c r="H2920" s="1">
        <v>12</v>
      </c>
      <c r="I2920" s="1" t="s">
        <v>1492</v>
      </c>
      <c r="J2920" t="s">
        <v>5846</v>
      </c>
    </row>
    <row r="2921" spans="1:10">
      <c r="A2921" s="1">
        <v>885863</v>
      </c>
      <c r="B2921" s="1">
        <v>2880027432</v>
      </c>
      <c r="C2921" s="1">
        <v>12</v>
      </c>
      <c r="D2921" s="1" t="s">
        <v>574</v>
      </c>
      <c r="E2921" t="s">
        <v>5808</v>
      </c>
      <c r="F2921" s="1">
        <v>109207</v>
      </c>
      <c r="G2921" s="1">
        <v>4119691075</v>
      </c>
      <c r="H2921" s="1">
        <v>12</v>
      </c>
      <c r="I2921" s="1" t="s">
        <v>1492</v>
      </c>
      <c r="J2921" t="s">
        <v>5847</v>
      </c>
    </row>
    <row r="2922" spans="1:10">
      <c r="A2922" s="1">
        <v>373845</v>
      </c>
      <c r="B2922" s="1">
        <v>2880027431</v>
      </c>
      <c r="C2922" s="1">
        <v>12</v>
      </c>
      <c r="D2922" s="1" t="s">
        <v>574</v>
      </c>
      <c r="E2922" t="s">
        <v>5809</v>
      </c>
      <c r="F2922" s="1">
        <v>109249</v>
      </c>
      <c r="G2922" s="1">
        <v>4119691094</v>
      </c>
      <c r="H2922" s="1">
        <v>12</v>
      </c>
      <c r="I2922" s="1" t="s">
        <v>574</v>
      </c>
      <c r="J2922" t="s">
        <v>5848</v>
      </c>
    </row>
    <row r="2923" spans="1:10">
      <c r="A2923" s="1">
        <v>152777</v>
      </c>
      <c r="B2923" s="1">
        <v>2880027430</v>
      </c>
      <c r="C2923" s="1">
        <v>12</v>
      </c>
      <c r="D2923" s="1" t="s">
        <v>574</v>
      </c>
      <c r="E2923" t="s">
        <v>5810</v>
      </c>
      <c r="F2923" s="1">
        <v>173773</v>
      </c>
      <c r="G2923" s="1">
        <v>4119691064</v>
      </c>
      <c r="H2923" s="1">
        <v>12</v>
      </c>
      <c r="I2923" s="1" t="s">
        <v>1492</v>
      </c>
      <c r="J2923" t="s">
        <v>5849</v>
      </c>
    </row>
    <row r="2924" spans="1:10">
      <c r="A2924" s="1">
        <v>657551</v>
      </c>
      <c r="B2924" s="1">
        <v>5010017189</v>
      </c>
      <c r="C2924" s="1">
        <v>12</v>
      </c>
      <c r="D2924" s="1" t="s">
        <v>259</v>
      </c>
      <c r="E2924" t="s">
        <v>5811</v>
      </c>
      <c r="F2924" s="1">
        <v>173369</v>
      </c>
      <c r="G2924" s="1">
        <v>4119601032</v>
      </c>
      <c r="H2924" s="1">
        <v>12</v>
      </c>
      <c r="I2924" s="1" t="s">
        <v>574</v>
      </c>
      <c r="J2924" t="s">
        <v>5850</v>
      </c>
    </row>
    <row r="2925" spans="1:10">
      <c r="A2925" s="1">
        <v>455964</v>
      </c>
      <c r="B2925" s="1">
        <v>5010017190</v>
      </c>
      <c r="C2925" s="1">
        <v>12</v>
      </c>
      <c r="D2925" s="1" t="s">
        <v>259</v>
      </c>
      <c r="E2925" t="s">
        <v>5812</v>
      </c>
      <c r="F2925" s="1">
        <v>173666</v>
      </c>
      <c r="G2925" s="1">
        <v>4119691116</v>
      </c>
      <c r="H2925" s="1">
        <v>12</v>
      </c>
      <c r="I2925" s="1" t="s">
        <v>574</v>
      </c>
      <c r="J2925" t="s">
        <v>5851</v>
      </c>
    </row>
    <row r="2926" spans="1:10">
      <c r="A2926" s="1">
        <v>702415</v>
      </c>
      <c r="B2926" s="1">
        <v>5010040224</v>
      </c>
      <c r="C2926" s="1">
        <v>12</v>
      </c>
      <c r="D2926" s="1" t="s">
        <v>910</v>
      </c>
      <c r="E2926" t="s">
        <v>5813</v>
      </c>
      <c r="F2926" s="1">
        <v>172544</v>
      </c>
      <c r="G2926" s="1">
        <v>4119601121</v>
      </c>
      <c r="H2926" s="1">
        <v>12</v>
      </c>
      <c r="I2926" s="1" t="s">
        <v>574</v>
      </c>
      <c r="J2926" t="s">
        <v>5852</v>
      </c>
    </row>
    <row r="2927" spans="1:10">
      <c r="A2927" s="1">
        <v>236125</v>
      </c>
      <c r="B2927" s="1">
        <v>5010017173</v>
      </c>
      <c r="C2927" s="1">
        <v>12</v>
      </c>
      <c r="D2927" s="1" t="s">
        <v>259</v>
      </c>
      <c r="E2927" t="s">
        <v>5814</v>
      </c>
      <c r="F2927" s="1">
        <v>136911</v>
      </c>
      <c r="G2927" s="1">
        <v>4119601088</v>
      </c>
      <c r="H2927" s="1">
        <v>12</v>
      </c>
      <c r="I2927" s="1" t="s">
        <v>574</v>
      </c>
      <c r="J2927" t="s">
        <v>5853</v>
      </c>
    </row>
    <row r="2928" spans="1:10">
      <c r="A2928" s="1">
        <v>236133</v>
      </c>
      <c r="B2928" s="1">
        <v>5010017170</v>
      </c>
      <c r="C2928" s="1">
        <v>12</v>
      </c>
      <c r="D2928" s="1" t="s">
        <v>259</v>
      </c>
      <c r="E2928" t="s">
        <v>5815</v>
      </c>
      <c r="F2928" s="1">
        <v>109223</v>
      </c>
      <c r="G2928" s="1">
        <v>4119691036</v>
      </c>
      <c r="H2928" s="1">
        <v>12</v>
      </c>
      <c r="I2928" s="1" t="s">
        <v>574</v>
      </c>
      <c r="J2928" t="s">
        <v>5854</v>
      </c>
    </row>
    <row r="2929" spans="1:10">
      <c r="A2929" s="1">
        <v>113498</v>
      </c>
      <c r="B2929" s="1">
        <v>5010040797</v>
      </c>
      <c r="C2929" s="1">
        <v>12</v>
      </c>
      <c r="D2929" s="1" t="s">
        <v>910</v>
      </c>
      <c r="E2929" t="s">
        <v>5816</v>
      </c>
      <c r="F2929" s="1">
        <v>173963</v>
      </c>
      <c r="G2929" s="1">
        <v>4119691502</v>
      </c>
      <c r="H2929" s="1">
        <v>12</v>
      </c>
      <c r="I2929" s="1" t="s">
        <v>1492</v>
      </c>
      <c r="J2929" t="s">
        <v>5855</v>
      </c>
    </row>
    <row r="2930" spans="1:10">
      <c r="A2930" s="1">
        <v>39834</v>
      </c>
      <c r="B2930" s="1">
        <v>5010045315</v>
      </c>
      <c r="C2930" s="1">
        <v>12</v>
      </c>
      <c r="D2930" s="1" t="s">
        <v>910</v>
      </c>
      <c r="E2930" t="s">
        <v>5817</v>
      </c>
      <c r="F2930" s="1">
        <v>108092</v>
      </c>
      <c r="G2930" s="1">
        <v>4119691189</v>
      </c>
      <c r="H2930" s="1">
        <v>12</v>
      </c>
      <c r="I2930" s="1" t="s">
        <v>574</v>
      </c>
      <c r="J2930" t="s">
        <v>5856</v>
      </c>
    </row>
    <row r="2931" spans="1:10">
      <c r="A2931" s="1">
        <v>139378</v>
      </c>
      <c r="B2931" s="1">
        <v>5010040279</v>
      </c>
      <c r="C2931" s="1">
        <v>12</v>
      </c>
      <c r="D2931" s="1" t="s">
        <v>910</v>
      </c>
      <c r="E2931" t="s">
        <v>5818</v>
      </c>
      <c r="F2931" s="1">
        <v>108126</v>
      </c>
      <c r="G2931" s="1">
        <v>4119691183</v>
      </c>
      <c r="H2931" s="1">
        <v>12</v>
      </c>
      <c r="I2931" s="1" t="s">
        <v>574</v>
      </c>
      <c r="J2931" t="s">
        <v>5857</v>
      </c>
    </row>
    <row r="2932" spans="1:10">
      <c r="A2932" s="1">
        <v>236117</v>
      </c>
      <c r="B2932" s="1">
        <v>5010017171</v>
      </c>
      <c r="C2932" s="1">
        <v>12</v>
      </c>
      <c r="D2932" s="1" t="s">
        <v>259</v>
      </c>
      <c r="E2932" t="s">
        <v>5819</v>
      </c>
      <c r="F2932" s="1">
        <v>108233</v>
      </c>
      <c r="G2932" s="1">
        <v>4119691093</v>
      </c>
      <c r="H2932" s="1">
        <v>12</v>
      </c>
      <c r="I2932" s="1" t="s">
        <v>1492</v>
      </c>
      <c r="J2932" t="s">
        <v>5858</v>
      </c>
    </row>
    <row r="2933" spans="1:10">
      <c r="A2933" s="1">
        <v>770875</v>
      </c>
      <c r="B2933" s="1">
        <v>5010040300</v>
      </c>
      <c r="C2933" s="1">
        <v>12</v>
      </c>
      <c r="D2933" s="1" t="s">
        <v>910</v>
      </c>
      <c r="E2933" t="s">
        <v>5820</v>
      </c>
      <c r="F2933" s="1">
        <v>172718</v>
      </c>
      <c r="G2933" s="1">
        <v>4119691401</v>
      </c>
      <c r="H2933" s="1">
        <v>12</v>
      </c>
      <c r="I2933" s="1" t="s">
        <v>574</v>
      </c>
      <c r="J2933" t="s">
        <v>5859</v>
      </c>
    </row>
    <row r="2934" spans="1:10">
      <c r="A2934" s="1">
        <v>387852</v>
      </c>
      <c r="B2934" s="1">
        <v>5010040299</v>
      </c>
      <c r="C2934" s="1">
        <v>12</v>
      </c>
      <c r="D2934" s="1" t="s">
        <v>259</v>
      </c>
      <c r="E2934" t="s">
        <v>5821</v>
      </c>
      <c r="F2934" s="1">
        <v>172536</v>
      </c>
      <c r="G2934" s="1">
        <v>4119601111</v>
      </c>
      <c r="H2934" s="1">
        <v>12</v>
      </c>
      <c r="I2934" s="1" t="s">
        <v>574</v>
      </c>
      <c r="J2934" t="s">
        <v>5860</v>
      </c>
    </row>
    <row r="2935" spans="1:10">
      <c r="A2935" s="1">
        <v>139444</v>
      </c>
      <c r="B2935" s="1">
        <v>5010040267</v>
      </c>
      <c r="C2935" s="1">
        <v>12</v>
      </c>
      <c r="D2935" s="1" t="s">
        <v>910</v>
      </c>
      <c r="E2935" t="s">
        <v>5822</v>
      </c>
      <c r="F2935" s="1">
        <v>173765</v>
      </c>
      <c r="G2935" s="1">
        <v>4119601112</v>
      </c>
      <c r="H2935" s="1">
        <v>12</v>
      </c>
      <c r="I2935" s="1" t="s">
        <v>1492</v>
      </c>
      <c r="J2935" t="s">
        <v>5861</v>
      </c>
    </row>
    <row r="2936" spans="1:10">
      <c r="A2936" s="1">
        <v>139287</v>
      </c>
      <c r="B2936" s="1">
        <v>5010040260</v>
      </c>
      <c r="C2936" s="1">
        <v>12</v>
      </c>
      <c r="D2936" s="1" t="s">
        <v>910</v>
      </c>
      <c r="E2936" t="s">
        <v>5823</v>
      </c>
      <c r="F2936" s="1">
        <v>116731</v>
      </c>
      <c r="G2936" s="1">
        <v>4119691138</v>
      </c>
      <c r="H2936" s="1">
        <v>12</v>
      </c>
      <c r="I2936" s="1" t="s">
        <v>1492</v>
      </c>
      <c r="J2936" t="s">
        <v>5862</v>
      </c>
    </row>
    <row r="2937" spans="1:10">
      <c r="A2937" s="1">
        <v>139261</v>
      </c>
      <c r="B2937" s="1">
        <v>5010040259</v>
      </c>
      <c r="C2937" s="1">
        <v>12</v>
      </c>
      <c r="D2937" s="1" t="s">
        <v>910</v>
      </c>
      <c r="E2937" t="s">
        <v>5824</v>
      </c>
      <c r="F2937" s="1">
        <v>14142</v>
      </c>
      <c r="G2937" s="1">
        <v>4119691506</v>
      </c>
      <c r="H2937" s="1">
        <v>12</v>
      </c>
      <c r="I2937" s="1" t="s">
        <v>1492</v>
      </c>
      <c r="J2937" t="s">
        <v>5863</v>
      </c>
    </row>
    <row r="2938" spans="1:10">
      <c r="A2938" s="1">
        <v>139873</v>
      </c>
      <c r="B2938" s="1">
        <v>5010040277</v>
      </c>
      <c r="C2938" s="1">
        <v>12</v>
      </c>
      <c r="D2938" s="1" t="s">
        <v>910</v>
      </c>
      <c r="E2938" t="s">
        <v>5825</v>
      </c>
      <c r="F2938" s="1">
        <v>172205</v>
      </c>
      <c r="G2938" s="1">
        <v>4119691504</v>
      </c>
      <c r="H2938" s="1">
        <v>12</v>
      </c>
      <c r="I2938" s="1" t="s">
        <v>574</v>
      </c>
      <c r="J2938" t="s">
        <v>5864</v>
      </c>
    </row>
    <row r="2939" spans="1:10">
      <c r="A2939" s="1">
        <v>139337</v>
      </c>
      <c r="B2939" s="1">
        <v>5010040262</v>
      </c>
      <c r="C2939" s="1">
        <v>12</v>
      </c>
      <c r="D2939" s="1" t="s">
        <v>910</v>
      </c>
      <c r="E2939" t="s">
        <v>5826</v>
      </c>
      <c r="F2939" s="1">
        <v>116715</v>
      </c>
      <c r="G2939" s="1">
        <v>4119691018</v>
      </c>
      <c r="H2939" s="1">
        <v>12</v>
      </c>
      <c r="I2939" s="1" t="s">
        <v>574</v>
      </c>
      <c r="J2939" t="s">
        <v>5865</v>
      </c>
    </row>
    <row r="2940" spans="1:10">
      <c r="A2940" s="1">
        <v>366138</v>
      </c>
      <c r="B2940" s="1">
        <v>5010040205</v>
      </c>
      <c r="C2940" s="1">
        <v>12</v>
      </c>
      <c r="D2940" s="1" t="s">
        <v>259</v>
      </c>
      <c r="E2940" t="s">
        <v>5827</v>
      </c>
      <c r="F2940" s="1">
        <v>172361</v>
      </c>
      <c r="G2940" s="1">
        <v>4119601092</v>
      </c>
      <c r="H2940" s="1">
        <v>12</v>
      </c>
      <c r="I2940" s="1" t="s">
        <v>574</v>
      </c>
      <c r="J2940" t="s">
        <v>5866</v>
      </c>
    </row>
    <row r="2941" spans="1:10">
      <c r="A2941" s="1">
        <v>139436</v>
      </c>
      <c r="B2941" s="1">
        <v>5010040399</v>
      </c>
      <c r="C2941" s="1">
        <v>12</v>
      </c>
      <c r="D2941" s="1" t="s">
        <v>910</v>
      </c>
      <c r="E2941" t="s">
        <v>5828</v>
      </c>
      <c r="F2941" s="1">
        <v>575613</v>
      </c>
      <c r="G2941" s="1">
        <v>4119601000</v>
      </c>
      <c r="H2941" s="1">
        <v>12</v>
      </c>
      <c r="I2941" s="1" t="s">
        <v>574</v>
      </c>
      <c r="J2941" t="s">
        <v>5867</v>
      </c>
    </row>
    <row r="2942" spans="1:10">
      <c r="A2942" s="1">
        <v>184127</v>
      </c>
      <c r="B2942" s="1">
        <v>2520000109</v>
      </c>
      <c r="C2942" s="1">
        <v>12</v>
      </c>
      <c r="D2942" s="1" t="s">
        <v>938</v>
      </c>
      <c r="E2942" t="s">
        <v>5829</v>
      </c>
      <c r="F2942" s="1">
        <v>14159</v>
      </c>
      <c r="G2942" s="1">
        <v>4119691505</v>
      </c>
      <c r="H2942" s="1">
        <v>12</v>
      </c>
      <c r="I2942" s="1" t="s">
        <v>1492</v>
      </c>
      <c r="J2942" t="s">
        <v>5868</v>
      </c>
    </row>
    <row r="2943" spans="1:10">
      <c r="A2943" s="1">
        <v>136978</v>
      </c>
      <c r="B2943" s="1">
        <v>4119601013</v>
      </c>
      <c r="C2943" s="1">
        <v>12</v>
      </c>
      <c r="D2943" s="1" t="s">
        <v>574</v>
      </c>
      <c r="E2943" t="s">
        <v>5830</v>
      </c>
      <c r="F2943" s="1">
        <v>748137</v>
      </c>
      <c r="G2943" s="1">
        <v>4119640339</v>
      </c>
      <c r="H2943" s="1">
        <v>6</v>
      </c>
      <c r="I2943" s="1" t="s">
        <v>1037</v>
      </c>
      <c r="J2943" t="s">
        <v>5869</v>
      </c>
    </row>
    <row r="2944" spans="1:10">
      <c r="A2944" s="1">
        <v>109108</v>
      </c>
      <c r="B2944" s="1">
        <v>4119691035</v>
      </c>
      <c r="C2944" s="1">
        <v>12</v>
      </c>
      <c r="D2944" s="1" t="s">
        <v>574</v>
      </c>
      <c r="E2944" t="s">
        <v>5831</v>
      </c>
      <c r="F2944" s="1">
        <v>109447</v>
      </c>
      <c r="G2944" s="1">
        <v>4119601022</v>
      </c>
      <c r="H2944" s="1">
        <v>12</v>
      </c>
      <c r="I2944" s="1" t="s">
        <v>574</v>
      </c>
      <c r="J2944" t="s">
        <v>5870</v>
      </c>
    </row>
    <row r="2945" spans="1:10">
      <c r="A2945" s="1">
        <v>109132</v>
      </c>
      <c r="B2945" s="1">
        <v>4119691068</v>
      </c>
      <c r="C2945" s="1">
        <v>12</v>
      </c>
      <c r="D2945" s="1" t="s">
        <v>574</v>
      </c>
      <c r="E2945" t="s">
        <v>5832</v>
      </c>
      <c r="F2945" s="1">
        <v>147470</v>
      </c>
      <c r="G2945" s="1">
        <v>4119640471</v>
      </c>
      <c r="H2945" s="1">
        <v>12</v>
      </c>
      <c r="I2945" s="1" t="s">
        <v>1492</v>
      </c>
      <c r="J2945" t="s">
        <v>5871</v>
      </c>
    </row>
    <row r="2946" spans="1:10">
      <c r="A2946" s="1">
        <v>109454</v>
      </c>
      <c r="B2946" s="1">
        <v>4119601012</v>
      </c>
      <c r="C2946" s="1">
        <v>12</v>
      </c>
      <c r="D2946" s="1" t="s">
        <v>574</v>
      </c>
      <c r="E2946" t="s">
        <v>5833</v>
      </c>
      <c r="F2946" s="1">
        <v>650374</v>
      </c>
      <c r="G2946" s="1">
        <v>4119640475</v>
      </c>
      <c r="H2946" s="1">
        <v>12</v>
      </c>
      <c r="I2946" s="1" t="s">
        <v>1492</v>
      </c>
      <c r="J2946" t="s">
        <v>5872</v>
      </c>
    </row>
    <row r="2947" spans="1:10">
      <c r="A2947" s="1">
        <v>109355</v>
      </c>
      <c r="B2947" s="1">
        <v>4119691085</v>
      </c>
      <c r="C2947" s="1">
        <v>12</v>
      </c>
      <c r="D2947" s="1" t="s">
        <v>574</v>
      </c>
      <c r="E2947" t="s">
        <v>5834</v>
      </c>
      <c r="F2947" s="1">
        <v>425363</v>
      </c>
      <c r="G2947" s="1">
        <v>4119640473</v>
      </c>
      <c r="H2947" s="1">
        <v>12</v>
      </c>
      <c r="I2947" s="1" t="s">
        <v>1492</v>
      </c>
      <c r="J2947" t="s">
        <v>5873</v>
      </c>
    </row>
    <row r="2948" spans="1:10">
      <c r="A2948" s="1">
        <v>172593</v>
      </c>
      <c r="B2948" s="1">
        <v>4119601051</v>
      </c>
      <c r="C2948" s="1">
        <v>12</v>
      </c>
      <c r="D2948" s="1" t="s">
        <v>574</v>
      </c>
      <c r="E2948" t="s">
        <v>5835</v>
      </c>
      <c r="F2948" s="1">
        <v>437012</v>
      </c>
      <c r="G2948" s="1">
        <v>4119640472</v>
      </c>
      <c r="H2948" s="1">
        <v>12</v>
      </c>
      <c r="I2948" s="1" t="s">
        <v>1492</v>
      </c>
      <c r="J2948" t="s">
        <v>5874</v>
      </c>
    </row>
    <row r="2949" spans="1:10">
      <c r="A2949" s="1">
        <v>173690</v>
      </c>
      <c r="B2949" s="1">
        <v>4119691113</v>
      </c>
      <c r="C2949" s="1">
        <v>12</v>
      </c>
      <c r="D2949" s="1" t="s">
        <v>574</v>
      </c>
      <c r="E2949" t="s">
        <v>5836</v>
      </c>
      <c r="F2949" s="1">
        <v>352609</v>
      </c>
      <c r="G2949" s="1">
        <v>4119640474</v>
      </c>
      <c r="H2949" s="1">
        <v>12</v>
      </c>
      <c r="I2949" s="1" t="s">
        <v>1492</v>
      </c>
      <c r="J2949" t="s">
        <v>5875</v>
      </c>
    </row>
    <row r="2950" spans="1:10">
      <c r="A2950" s="1">
        <v>108159</v>
      </c>
      <c r="B2950" s="1">
        <v>4119691181</v>
      </c>
      <c r="C2950" s="1">
        <v>12</v>
      </c>
      <c r="D2950" s="1" t="s">
        <v>574</v>
      </c>
      <c r="E2950" t="s">
        <v>5837</v>
      </c>
      <c r="F2950" s="1">
        <v>762666</v>
      </c>
      <c r="G2950" s="1">
        <v>4119640341</v>
      </c>
      <c r="H2950" s="1">
        <v>6</v>
      </c>
      <c r="I2950" s="1" t="s">
        <v>1037</v>
      </c>
      <c r="J2950" t="s">
        <v>5876</v>
      </c>
    </row>
    <row r="2951" spans="1:10">
      <c r="A2951" s="1">
        <v>15602</v>
      </c>
      <c r="B2951" s="1">
        <v>4119691507</v>
      </c>
      <c r="C2951" s="1">
        <v>12</v>
      </c>
      <c r="D2951" s="1" t="s">
        <v>1492</v>
      </c>
      <c r="E2951" t="s">
        <v>5838</v>
      </c>
      <c r="F2951" s="1">
        <v>568188</v>
      </c>
      <c r="G2951" s="1">
        <v>4119629396</v>
      </c>
      <c r="H2951" s="1">
        <v>6</v>
      </c>
      <c r="I2951" s="1" t="s">
        <v>1037</v>
      </c>
      <c r="J2951" t="s">
        <v>5877</v>
      </c>
    </row>
    <row r="2952" spans="1:10">
      <c r="A2952" s="1">
        <v>172783</v>
      </c>
      <c r="B2952" s="1">
        <v>4119691157</v>
      </c>
      <c r="C2952" s="1">
        <v>12</v>
      </c>
      <c r="D2952" s="1" t="s">
        <v>632</v>
      </c>
      <c r="E2952" t="s">
        <v>5839</v>
      </c>
      <c r="F2952" s="1">
        <v>316927</v>
      </c>
      <c r="G2952" s="1">
        <v>4119629397</v>
      </c>
      <c r="H2952" s="1">
        <v>6</v>
      </c>
      <c r="I2952" s="1" t="s">
        <v>1037</v>
      </c>
      <c r="J2952" t="s">
        <v>5878</v>
      </c>
    </row>
    <row r="2953" spans="1:10" ht="15.75">
      <c r="A2953" s="4" t="s">
        <v>10764</v>
      </c>
      <c r="B2953" s="2"/>
      <c r="C2953" s="2"/>
      <c r="D2953" s="2"/>
      <c r="E2953" s="3"/>
      <c r="F2953" s="4" t="s">
        <v>10765</v>
      </c>
      <c r="G2953" s="2"/>
      <c r="H2953" s="2"/>
      <c r="I2953" s="2"/>
      <c r="J2953" s="3"/>
    </row>
    <row r="2954" spans="1:10">
      <c r="A2954" s="2" t="s">
        <v>0</v>
      </c>
      <c r="B2954" s="2" t="s">
        <v>1</v>
      </c>
      <c r="C2954" s="2" t="s">
        <v>2</v>
      </c>
      <c r="D2954" s="2" t="s">
        <v>3</v>
      </c>
      <c r="E2954" s="3" t="s">
        <v>4</v>
      </c>
      <c r="F2954" s="2" t="s">
        <v>0</v>
      </c>
      <c r="G2954" s="2" t="s">
        <v>1</v>
      </c>
      <c r="H2954" s="2" t="s">
        <v>2</v>
      </c>
      <c r="I2954" s="2" t="s">
        <v>3</v>
      </c>
      <c r="J2954" s="3" t="s">
        <v>4</v>
      </c>
    </row>
    <row r="2955" spans="1:10">
      <c r="A2955" s="1">
        <v>475913</v>
      </c>
      <c r="B2955" s="1">
        <v>4119629398</v>
      </c>
      <c r="C2955" s="1">
        <v>6</v>
      </c>
      <c r="D2955" s="1" t="s">
        <v>1037</v>
      </c>
      <c r="E2955" t="s">
        <v>5879</v>
      </c>
      <c r="F2955" s="1">
        <v>58586</v>
      </c>
      <c r="G2955" s="1">
        <v>7526604113</v>
      </c>
      <c r="H2955" s="1">
        <v>24</v>
      </c>
      <c r="I2955" s="1" t="s">
        <v>489</v>
      </c>
      <c r="J2955" t="s">
        <v>5916</v>
      </c>
    </row>
    <row r="2956" spans="1:10">
      <c r="A2956" s="1">
        <v>161406</v>
      </c>
      <c r="B2956" s="1">
        <v>4119640337</v>
      </c>
      <c r="C2956" s="1">
        <v>6</v>
      </c>
      <c r="D2956" s="1" t="s">
        <v>1037</v>
      </c>
      <c r="E2956" t="s">
        <v>5880</v>
      </c>
      <c r="F2956" s="1">
        <v>444943</v>
      </c>
      <c r="G2956" s="1">
        <v>7526604153</v>
      </c>
      <c r="H2956" s="1">
        <v>24</v>
      </c>
      <c r="I2956" s="1" t="s">
        <v>489</v>
      </c>
      <c r="J2956" t="s">
        <v>5917</v>
      </c>
    </row>
    <row r="2957" spans="1:10">
      <c r="A2957" s="1">
        <v>630707</v>
      </c>
      <c r="B2957" s="1">
        <v>4119642055</v>
      </c>
      <c r="C2957" s="1">
        <v>6</v>
      </c>
      <c r="D2957" s="1" t="s">
        <v>1037</v>
      </c>
      <c r="E2957" t="s">
        <v>5881</v>
      </c>
      <c r="F2957" s="1">
        <v>205286</v>
      </c>
      <c r="G2957" s="1">
        <v>5100016026</v>
      </c>
      <c r="H2957" s="1">
        <v>12</v>
      </c>
      <c r="I2957" s="1" t="s">
        <v>910</v>
      </c>
      <c r="J2957" t="s">
        <v>5918</v>
      </c>
    </row>
    <row r="2958" spans="1:10">
      <c r="A2958" s="1">
        <v>306605</v>
      </c>
      <c r="B2958" s="1">
        <v>4119640342</v>
      </c>
      <c r="C2958" s="1">
        <v>6</v>
      </c>
      <c r="D2958" s="1" t="s">
        <v>1037</v>
      </c>
      <c r="E2958" t="s">
        <v>5882</v>
      </c>
      <c r="F2958" s="1">
        <v>37762</v>
      </c>
      <c r="G2958" s="1">
        <v>5100015547</v>
      </c>
      <c r="H2958" s="1">
        <v>12</v>
      </c>
      <c r="I2958" s="1" t="s">
        <v>574</v>
      </c>
      <c r="J2958" t="s">
        <v>5919</v>
      </c>
    </row>
    <row r="2959" spans="1:10">
      <c r="A2959" s="1">
        <v>366088</v>
      </c>
      <c r="B2959" s="1">
        <v>4119640334</v>
      </c>
      <c r="C2959" s="1">
        <v>6</v>
      </c>
      <c r="D2959" s="1" t="s">
        <v>1037</v>
      </c>
      <c r="E2959" t="s">
        <v>5883</v>
      </c>
      <c r="F2959" s="1">
        <v>37937</v>
      </c>
      <c r="G2959" s="1">
        <v>5100015548</v>
      </c>
      <c r="H2959" s="1">
        <v>12</v>
      </c>
      <c r="I2959" s="1" t="s">
        <v>574</v>
      </c>
      <c r="J2959" t="s">
        <v>5920</v>
      </c>
    </row>
    <row r="2960" spans="1:10">
      <c r="A2960" s="1">
        <v>741355</v>
      </c>
      <c r="B2960" s="1">
        <v>4119626051</v>
      </c>
      <c r="C2960" s="1">
        <v>6</v>
      </c>
      <c r="D2960" s="1" t="s">
        <v>1037</v>
      </c>
      <c r="E2960" t="s">
        <v>5884</v>
      </c>
      <c r="F2960" s="1">
        <v>37606</v>
      </c>
      <c r="G2960" s="1">
        <v>5100015551</v>
      </c>
      <c r="H2960" s="1">
        <v>12</v>
      </c>
      <c r="I2960" s="1" t="s">
        <v>574</v>
      </c>
      <c r="J2960" t="s">
        <v>5921</v>
      </c>
    </row>
    <row r="2961" spans="1:10">
      <c r="A2961" s="1">
        <v>550822</v>
      </c>
      <c r="B2961" s="1">
        <v>4119640481</v>
      </c>
      <c r="C2961" s="1">
        <v>12</v>
      </c>
      <c r="D2961" s="1" t="s">
        <v>1492</v>
      </c>
      <c r="E2961" t="s">
        <v>5885</v>
      </c>
      <c r="F2961" s="1">
        <v>106351</v>
      </c>
      <c r="G2961" s="1">
        <v>5100015904</v>
      </c>
      <c r="H2961" s="1">
        <v>8</v>
      </c>
      <c r="I2961" s="1" t="s">
        <v>1037</v>
      </c>
      <c r="J2961" t="s">
        <v>5922</v>
      </c>
    </row>
    <row r="2962" spans="1:10">
      <c r="A2962" s="1">
        <v>604033</v>
      </c>
      <c r="B2962" s="1">
        <v>4119640482</v>
      </c>
      <c r="C2962" s="1">
        <v>12</v>
      </c>
      <c r="D2962" s="1" t="s">
        <v>1492</v>
      </c>
      <c r="E2962" t="s">
        <v>5886</v>
      </c>
      <c r="F2962" s="1">
        <v>106120</v>
      </c>
      <c r="G2962" s="1">
        <v>5100015905</v>
      </c>
      <c r="H2962" s="1">
        <v>8</v>
      </c>
      <c r="I2962" s="1" t="s">
        <v>1037</v>
      </c>
      <c r="J2962" t="s">
        <v>5923</v>
      </c>
    </row>
    <row r="2963" spans="1:10">
      <c r="A2963" s="1">
        <v>529222</v>
      </c>
      <c r="B2963" s="1">
        <v>4119640483</v>
      </c>
      <c r="C2963" s="1">
        <v>12</v>
      </c>
      <c r="D2963" s="1" t="s">
        <v>1492</v>
      </c>
      <c r="E2963" t="s">
        <v>5887</v>
      </c>
      <c r="F2963" s="1">
        <v>177568</v>
      </c>
      <c r="G2963" s="1">
        <v>5000005268</v>
      </c>
      <c r="H2963" s="1">
        <v>6</v>
      </c>
      <c r="I2963" s="1" t="s">
        <v>3398</v>
      </c>
      <c r="J2963" t="s">
        <v>5924</v>
      </c>
    </row>
    <row r="2964" spans="1:10">
      <c r="A2964" s="1">
        <v>446542</v>
      </c>
      <c r="B2964" s="1">
        <v>4119680441</v>
      </c>
      <c r="C2964" s="1">
        <v>12</v>
      </c>
      <c r="D2964" s="1" t="s">
        <v>1492</v>
      </c>
      <c r="E2964" t="s">
        <v>5888</v>
      </c>
      <c r="F2964" s="1">
        <v>399956</v>
      </c>
      <c r="G2964" s="1">
        <v>5000005288</v>
      </c>
      <c r="H2964" s="1">
        <v>6</v>
      </c>
      <c r="I2964" s="1" t="s">
        <v>3302</v>
      </c>
      <c r="J2964" t="s">
        <v>5925</v>
      </c>
    </row>
    <row r="2965" spans="1:10">
      <c r="A2965" s="1">
        <v>878363</v>
      </c>
      <c r="B2965" s="1">
        <v>4119640484</v>
      </c>
      <c r="C2965" s="1">
        <v>12</v>
      </c>
      <c r="D2965" s="1" t="s">
        <v>1492</v>
      </c>
      <c r="E2965" t="s">
        <v>5889</v>
      </c>
      <c r="F2965" s="1">
        <v>363804</v>
      </c>
      <c r="G2965" s="1">
        <v>3760017878</v>
      </c>
      <c r="H2965" s="1">
        <v>8</v>
      </c>
      <c r="I2965" s="1" t="s">
        <v>910</v>
      </c>
      <c r="J2965" t="s">
        <v>5926</v>
      </c>
    </row>
    <row r="2966" spans="1:10">
      <c r="A2966" s="1">
        <v>324400</v>
      </c>
      <c r="B2966" s="1">
        <v>4119691416</v>
      </c>
      <c r="C2966" s="1">
        <v>12</v>
      </c>
      <c r="D2966" s="1" t="s">
        <v>1492</v>
      </c>
      <c r="E2966" t="s">
        <v>5890</v>
      </c>
      <c r="F2966" s="1">
        <v>105833</v>
      </c>
      <c r="G2966" s="1">
        <v>3760023352</v>
      </c>
      <c r="H2966" s="1">
        <v>12</v>
      </c>
      <c r="I2966" s="1" t="s">
        <v>910</v>
      </c>
      <c r="J2966" t="s">
        <v>5927</v>
      </c>
    </row>
    <row r="2967" spans="1:10">
      <c r="A2967" s="1">
        <v>135590</v>
      </c>
      <c r="B2967" s="1">
        <v>4119691415</v>
      </c>
      <c r="C2967" s="1">
        <v>12</v>
      </c>
      <c r="D2967" s="1" t="s">
        <v>1492</v>
      </c>
      <c r="E2967" t="s">
        <v>5891</v>
      </c>
      <c r="F2967" s="1">
        <v>101881</v>
      </c>
      <c r="G2967" s="1">
        <v>3760023785</v>
      </c>
      <c r="H2967" s="1">
        <v>12</v>
      </c>
      <c r="I2967" s="1" t="s">
        <v>370</v>
      </c>
      <c r="J2967" t="s">
        <v>5928</v>
      </c>
    </row>
    <row r="2968" spans="1:10">
      <c r="A2968" s="1">
        <v>173534</v>
      </c>
      <c r="B2968" s="1">
        <v>4119691407</v>
      </c>
      <c r="C2968" s="1">
        <v>12</v>
      </c>
      <c r="D2968" s="1" t="s">
        <v>574</v>
      </c>
      <c r="E2968" t="s">
        <v>5892</v>
      </c>
      <c r="F2968" s="1">
        <v>105676</v>
      </c>
      <c r="G2968" s="1">
        <v>3760024193</v>
      </c>
      <c r="H2968" s="1">
        <v>12</v>
      </c>
      <c r="I2968" s="1" t="s">
        <v>910</v>
      </c>
      <c r="J2968" t="s">
        <v>5928</v>
      </c>
    </row>
    <row r="2969" spans="1:10">
      <c r="A2969" s="1">
        <v>157651</v>
      </c>
      <c r="B2969" s="1">
        <v>4119674073</v>
      </c>
      <c r="C2969" s="1">
        <v>12</v>
      </c>
      <c r="D2969" s="1" t="s">
        <v>1492</v>
      </c>
      <c r="E2969" t="s">
        <v>5893</v>
      </c>
      <c r="F2969" s="1">
        <v>104976</v>
      </c>
      <c r="G2969" s="1">
        <v>3760010743</v>
      </c>
      <c r="H2969" s="1">
        <v>12</v>
      </c>
      <c r="I2969" s="1" t="s">
        <v>910</v>
      </c>
      <c r="J2969" t="s">
        <v>5929</v>
      </c>
    </row>
    <row r="2970" spans="1:10">
      <c r="A2970" s="1">
        <v>759977</v>
      </c>
      <c r="B2970" s="1">
        <v>4119641507</v>
      </c>
      <c r="C2970" s="1">
        <v>12</v>
      </c>
      <c r="D2970" s="1" t="s">
        <v>1492</v>
      </c>
      <c r="E2970" t="s">
        <v>5894</v>
      </c>
      <c r="F2970" s="1">
        <v>104968</v>
      </c>
      <c r="G2970" s="1">
        <v>3760020217</v>
      </c>
      <c r="H2970" s="1">
        <v>12</v>
      </c>
      <c r="I2970" s="1" t="s">
        <v>910</v>
      </c>
      <c r="J2970" t="s">
        <v>5930</v>
      </c>
    </row>
    <row r="2971" spans="1:10">
      <c r="A2971" s="1">
        <v>302554</v>
      </c>
      <c r="B2971" s="1">
        <v>4119680549</v>
      </c>
      <c r="C2971" s="1">
        <v>12</v>
      </c>
      <c r="D2971" s="1" t="s">
        <v>1492</v>
      </c>
      <c r="E2971" t="s">
        <v>5895</v>
      </c>
      <c r="F2971" s="1">
        <v>538249</v>
      </c>
      <c r="G2971" s="1">
        <v>3760017870</v>
      </c>
      <c r="H2971" s="1">
        <v>8</v>
      </c>
      <c r="I2971" s="1" t="s">
        <v>910</v>
      </c>
      <c r="J2971" t="s">
        <v>5931</v>
      </c>
    </row>
    <row r="2972" spans="1:10">
      <c r="A2972" s="1">
        <v>234740</v>
      </c>
      <c r="B2972" s="1">
        <v>4119680546</v>
      </c>
      <c r="C2972" s="1">
        <v>12</v>
      </c>
      <c r="D2972" s="1" t="s">
        <v>574</v>
      </c>
      <c r="E2972" t="s">
        <v>5896</v>
      </c>
      <c r="F2972" s="1">
        <v>105825</v>
      </c>
      <c r="G2972" s="1">
        <v>3760022318</v>
      </c>
      <c r="H2972" s="1">
        <v>12</v>
      </c>
      <c r="I2972" s="1" t="s">
        <v>910</v>
      </c>
      <c r="J2972" t="s">
        <v>5932</v>
      </c>
    </row>
    <row r="2973" spans="1:10">
      <c r="A2973" s="1">
        <v>552943</v>
      </c>
      <c r="B2973" s="1">
        <v>4119641506</v>
      </c>
      <c r="C2973" s="1">
        <v>12</v>
      </c>
      <c r="D2973" s="1" t="s">
        <v>1492</v>
      </c>
      <c r="E2973" t="s">
        <v>5897</v>
      </c>
      <c r="F2973" s="1">
        <v>245662</v>
      </c>
      <c r="G2973" s="1">
        <v>3760052962</v>
      </c>
      <c r="H2973" s="1">
        <v>6</v>
      </c>
      <c r="I2973" s="1" t="s">
        <v>938</v>
      </c>
      <c r="J2973" t="s">
        <v>5933</v>
      </c>
    </row>
    <row r="2974" spans="1:10">
      <c r="A2974" s="1">
        <v>264192</v>
      </c>
      <c r="B2974" s="1">
        <v>4119680547</v>
      </c>
      <c r="C2974" s="1">
        <v>12</v>
      </c>
      <c r="D2974" s="1" t="s">
        <v>1492</v>
      </c>
      <c r="E2974" t="s">
        <v>5898</v>
      </c>
      <c r="F2974" s="1">
        <v>127316</v>
      </c>
      <c r="G2974" s="1">
        <v>3760052960</v>
      </c>
      <c r="H2974" s="1">
        <v>6</v>
      </c>
      <c r="I2974" s="1" t="s">
        <v>938</v>
      </c>
      <c r="J2974" t="s">
        <v>5934</v>
      </c>
    </row>
    <row r="2975" spans="1:10">
      <c r="A2975" s="1">
        <v>199281</v>
      </c>
      <c r="B2975" s="1">
        <v>4119680548</v>
      </c>
      <c r="C2975" s="1">
        <v>12</v>
      </c>
      <c r="D2975" s="1" t="s">
        <v>1492</v>
      </c>
      <c r="E2975" t="s">
        <v>5899</v>
      </c>
      <c r="F2975" s="1">
        <v>825745</v>
      </c>
      <c r="G2975" s="1">
        <v>3760052961</v>
      </c>
      <c r="H2975" s="1">
        <v>6</v>
      </c>
      <c r="I2975" s="1" t="s">
        <v>938</v>
      </c>
      <c r="J2975" t="s">
        <v>5935</v>
      </c>
    </row>
    <row r="2976" spans="1:10">
      <c r="A2976" s="1">
        <v>264424</v>
      </c>
      <c r="B2976" s="1">
        <v>4119674074</v>
      </c>
      <c r="C2976" s="1">
        <v>12</v>
      </c>
      <c r="D2976" s="1" t="s">
        <v>1492</v>
      </c>
      <c r="E2976" t="s">
        <v>5900</v>
      </c>
      <c r="F2976" s="1">
        <v>637876</v>
      </c>
      <c r="G2976" s="1">
        <v>3760052963</v>
      </c>
      <c r="H2976" s="1">
        <v>6</v>
      </c>
      <c r="I2976" s="1" t="s">
        <v>938</v>
      </c>
      <c r="J2976" t="s">
        <v>5936</v>
      </c>
    </row>
    <row r="2977" spans="1:10">
      <c r="A2977" s="1">
        <v>173518</v>
      </c>
      <c r="B2977" s="1">
        <v>4119691406</v>
      </c>
      <c r="C2977" s="1">
        <v>12</v>
      </c>
      <c r="D2977" s="1" t="s">
        <v>568</v>
      </c>
      <c r="E2977" t="s">
        <v>5901</v>
      </c>
      <c r="F2977" s="1">
        <v>288837</v>
      </c>
      <c r="G2977" s="1">
        <v>1116601300</v>
      </c>
      <c r="H2977" s="1">
        <v>12</v>
      </c>
      <c r="I2977" s="1" t="s">
        <v>910</v>
      </c>
      <c r="J2977" t="s">
        <v>5937</v>
      </c>
    </row>
    <row r="2978" spans="1:10">
      <c r="A2978" s="1">
        <v>99952</v>
      </c>
      <c r="B2978" s="1">
        <v>4119601095</v>
      </c>
      <c r="C2978" s="1">
        <v>12</v>
      </c>
      <c r="D2978" s="1" t="s">
        <v>574</v>
      </c>
      <c r="E2978" t="s">
        <v>5902</v>
      </c>
      <c r="F2978" s="1">
        <v>101667</v>
      </c>
      <c r="G2978" s="1">
        <v>1116610166</v>
      </c>
      <c r="H2978" s="1">
        <v>12</v>
      </c>
      <c r="I2978" s="1" t="s">
        <v>910</v>
      </c>
      <c r="J2978" t="s">
        <v>5938</v>
      </c>
    </row>
    <row r="2979" spans="1:10" ht="15.75">
      <c r="A2979" s="1">
        <v>777979</v>
      </c>
      <c r="B2979" s="1">
        <v>4119691418</v>
      </c>
      <c r="C2979" s="1">
        <v>12</v>
      </c>
      <c r="D2979" s="1" t="s">
        <v>574</v>
      </c>
      <c r="E2979" t="s">
        <v>5903</v>
      </c>
      <c r="F2979" s="4" t="s">
        <v>10766</v>
      </c>
      <c r="G2979" s="2"/>
      <c r="H2979" s="2"/>
      <c r="I2979" s="2"/>
      <c r="J2979" s="3"/>
    </row>
    <row r="2980" spans="1:10">
      <c r="A2980" s="1">
        <v>133926</v>
      </c>
      <c r="B2980" s="1">
        <v>1116613392</v>
      </c>
      <c r="C2980" s="1">
        <v>12</v>
      </c>
      <c r="D2980" s="1" t="s">
        <v>5702</v>
      </c>
      <c r="E2980" t="s">
        <v>5904</v>
      </c>
      <c r="F2980" s="2" t="s">
        <v>0</v>
      </c>
      <c r="G2980" s="2" t="s">
        <v>1</v>
      </c>
      <c r="H2980" s="2" t="s">
        <v>2</v>
      </c>
      <c r="I2980" s="2" t="s">
        <v>3</v>
      </c>
      <c r="J2980" s="3" t="s">
        <v>4</v>
      </c>
    </row>
    <row r="2981" spans="1:10">
      <c r="A2981" s="1">
        <v>134528</v>
      </c>
      <c r="B2981" s="1">
        <v>1116613452</v>
      </c>
      <c r="C2981" s="1">
        <v>12</v>
      </c>
      <c r="D2981" s="1" t="s">
        <v>568</v>
      </c>
      <c r="E2981" t="s">
        <v>5905</v>
      </c>
      <c r="F2981" s="1">
        <v>109637</v>
      </c>
      <c r="G2981" s="1">
        <v>2400032320</v>
      </c>
      <c r="H2981" s="1">
        <v>24</v>
      </c>
      <c r="I2981" s="1" t="s">
        <v>5939</v>
      </c>
      <c r="J2981" t="s">
        <v>5940</v>
      </c>
    </row>
    <row r="2982" spans="1:10">
      <c r="A2982" s="1">
        <v>134411</v>
      </c>
      <c r="B2982" s="1">
        <v>1116613441</v>
      </c>
      <c r="C2982" s="1">
        <v>12</v>
      </c>
      <c r="D2982" s="1" t="s">
        <v>5702</v>
      </c>
      <c r="E2982" t="s">
        <v>5906</v>
      </c>
      <c r="F2982" s="1">
        <v>109645</v>
      </c>
      <c r="G2982" s="1">
        <v>2400032200</v>
      </c>
      <c r="H2982" s="1">
        <v>24</v>
      </c>
      <c r="I2982" s="1" t="s">
        <v>5939</v>
      </c>
      <c r="J2982" t="s">
        <v>5941</v>
      </c>
    </row>
    <row r="2983" spans="1:10">
      <c r="A2983" s="1">
        <v>508846</v>
      </c>
      <c r="B2983" s="1">
        <v>1116601316</v>
      </c>
      <c r="C2983" s="1">
        <v>12</v>
      </c>
      <c r="D2983" s="1" t="s">
        <v>574</v>
      </c>
      <c r="E2983" t="s">
        <v>5907</v>
      </c>
      <c r="F2983" s="1">
        <v>109595</v>
      </c>
      <c r="G2983" s="1">
        <v>2400032230</v>
      </c>
      <c r="H2983" s="1">
        <v>24</v>
      </c>
      <c r="I2983" s="1" t="s">
        <v>5939</v>
      </c>
      <c r="J2983" t="s">
        <v>5942</v>
      </c>
    </row>
    <row r="2984" spans="1:10">
      <c r="A2984" s="1">
        <v>639310</v>
      </c>
      <c r="B2984" s="1">
        <v>1116601318</v>
      </c>
      <c r="C2984" s="1">
        <v>12</v>
      </c>
      <c r="D2984" s="1" t="s">
        <v>574</v>
      </c>
      <c r="E2984" t="s">
        <v>5908</v>
      </c>
      <c r="F2984" s="1">
        <v>431908</v>
      </c>
      <c r="G2984" s="1">
        <v>2400049781</v>
      </c>
      <c r="H2984" s="1">
        <v>8</v>
      </c>
      <c r="I2984" s="1" t="s">
        <v>1200</v>
      </c>
      <c r="J2984" t="s">
        <v>5942</v>
      </c>
    </row>
    <row r="2985" spans="1:10">
      <c r="A2985" s="1">
        <v>150532</v>
      </c>
      <c r="B2985" s="1">
        <v>1116601314</v>
      </c>
      <c r="C2985" s="1">
        <v>12</v>
      </c>
      <c r="D2985" s="1" t="s">
        <v>574</v>
      </c>
      <c r="E2985" t="s">
        <v>5909</v>
      </c>
      <c r="F2985" s="1">
        <v>230680</v>
      </c>
      <c r="G2985" s="1">
        <v>2400030570</v>
      </c>
      <c r="H2985" s="1">
        <v>12</v>
      </c>
      <c r="I2985" s="1" t="s">
        <v>375</v>
      </c>
      <c r="J2985" t="s">
        <v>5943</v>
      </c>
    </row>
    <row r="2986" spans="1:10">
      <c r="A2986" s="1">
        <v>586677</v>
      </c>
      <c r="B2986" s="1">
        <v>1116601317</v>
      </c>
      <c r="C2986" s="1">
        <v>12</v>
      </c>
      <c r="D2986" s="1" t="s">
        <v>574</v>
      </c>
      <c r="E2986" t="s">
        <v>5910</v>
      </c>
      <c r="F2986" s="1">
        <v>786954</v>
      </c>
      <c r="G2986" s="1">
        <v>2400030296</v>
      </c>
      <c r="H2986" s="1">
        <v>12</v>
      </c>
      <c r="I2986" s="1" t="s">
        <v>375</v>
      </c>
      <c r="J2986" t="s">
        <v>5944</v>
      </c>
    </row>
    <row r="2987" spans="1:10">
      <c r="A2987" s="1">
        <v>489997</v>
      </c>
      <c r="B2987" s="1">
        <v>1116601313</v>
      </c>
      <c r="C2987" s="1">
        <v>12</v>
      </c>
      <c r="D2987" s="1" t="s">
        <v>574</v>
      </c>
      <c r="E2987" t="s">
        <v>5911</v>
      </c>
      <c r="F2987" s="1">
        <v>138529</v>
      </c>
      <c r="G2987" s="1">
        <v>7066203001</v>
      </c>
      <c r="H2987" s="1">
        <v>12</v>
      </c>
      <c r="I2987" s="1" t="s">
        <v>417</v>
      </c>
      <c r="J2987" t="s">
        <v>5945</v>
      </c>
    </row>
    <row r="2988" spans="1:10">
      <c r="A2988" s="1">
        <v>471649</v>
      </c>
      <c r="B2988" s="1">
        <v>1116601315</v>
      </c>
      <c r="C2988" s="1">
        <v>12</v>
      </c>
      <c r="D2988" s="1" t="s">
        <v>574</v>
      </c>
      <c r="E2988" t="s">
        <v>5912</v>
      </c>
      <c r="F2988" s="1">
        <v>95992</v>
      </c>
      <c r="G2988" s="1">
        <v>3360000021</v>
      </c>
      <c r="H2988" s="1">
        <v>12</v>
      </c>
      <c r="I2988" s="1" t="s">
        <v>397</v>
      </c>
      <c r="J2988" t="s">
        <v>5946</v>
      </c>
    </row>
    <row r="2989" spans="1:10">
      <c r="A2989" s="1">
        <v>138735</v>
      </c>
      <c r="B2989" s="1">
        <v>79852516003</v>
      </c>
      <c r="C2989" s="1">
        <v>12</v>
      </c>
      <c r="D2989" s="1" t="s">
        <v>910</v>
      </c>
      <c r="E2989" t="s">
        <v>5913</v>
      </c>
      <c r="F2989" s="1">
        <v>95968</v>
      </c>
      <c r="G2989" s="1">
        <v>3360000010</v>
      </c>
      <c r="H2989" s="1">
        <v>12</v>
      </c>
      <c r="I2989" s="1" t="s">
        <v>2211</v>
      </c>
      <c r="J2989" t="s">
        <v>5947</v>
      </c>
    </row>
    <row r="2990" spans="1:10" ht="15.75">
      <c r="A2990" s="4" t="s">
        <v>10765</v>
      </c>
      <c r="B2990" s="2"/>
      <c r="C2990" s="2"/>
      <c r="D2990" s="2"/>
      <c r="E2990" s="3"/>
      <c r="F2990" s="1">
        <v>95976</v>
      </c>
      <c r="G2990" s="1">
        <v>3360000011</v>
      </c>
      <c r="H2990" s="1">
        <v>12</v>
      </c>
      <c r="I2990" s="1" t="s">
        <v>5948</v>
      </c>
      <c r="J2990" t="s">
        <v>5949</v>
      </c>
    </row>
    <row r="2991" spans="1:10">
      <c r="A2991" s="2" t="s">
        <v>0</v>
      </c>
      <c r="B2991" s="2" t="s">
        <v>1</v>
      </c>
      <c r="C2991" s="2" t="s">
        <v>2</v>
      </c>
      <c r="D2991" s="2" t="s">
        <v>3</v>
      </c>
      <c r="E2991" s="3" t="s">
        <v>4</v>
      </c>
      <c r="F2991" s="1">
        <v>96024</v>
      </c>
      <c r="G2991" s="1">
        <v>3360000020</v>
      </c>
      <c r="H2991" s="1">
        <v>12</v>
      </c>
      <c r="I2991" s="1" t="s">
        <v>397</v>
      </c>
      <c r="J2991" t="s">
        <v>5950</v>
      </c>
    </row>
    <row r="2992" spans="1:10">
      <c r="A2992" s="1">
        <v>321356</v>
      </c>
      <c r="B2992" s="1">
        <v>3030000102</v>
      </c>
      <c r="C2992" s="1">
        <v>24</v>
      </c>
      <c r="D2992" s="1" t="s">
        <v>489</v>
      </c>
      <c r="E2992" t="s">
        <v>5914</v>
      </c>
      <c r="F2992" s="1">
        <v>95786</v>
      </c>
      <c r="G2992" s="1">
        <v>3360000031</v>
      </c>
      <c r="H2992" s="1">
        <v>12</v>
      </c>
      <c r="I2992" s="1" t="s">
        <v>5135</v>
      </c>
      <c r="J2992" t="s">
        <v>5951</v>
      </c>
    </row>
    <row r="2993" spans="1:10">
      <c r="A2993" s="1">
        <v>106005</v>
      </c>
      <c r="B2993" s="1">
        <v>1700001470</v>
      </c>
      <c r="C2993" s="1">
        <v>24</v>
      </c>
      <c r="D2993" s="1" t="s">
        <v>910</v>
      </c>
      <c r="E2993" t="s">
        <v>5915</v>
      </c>
      <c r="F2993" s="1">
        <v>95919</v>
      </c>
      <c r="G2993" s="1">
        <v>3360000060</v>
      </c>
      <c r="H2993" s="1">
        <v>12</v>
      </c>
      <c r="I2993" s="1" t="s">
        <v>524</v>
      </c>
      <c r="J2993" t="s">
        <v>5952</v>
      </c>
    </row>
    <row r="2994" spans="1:10" ht="15.75">
      <c r="A2994" s="4" t="s">
        <v>10766</v>
      </c>
      <c r="B2994" s="2"/>
      <c r="C2994" s="2"/>
      <c r="D2994" s="2"/>
      <c r="E2994" s="3"/>
      <c r="F2994" s="4" t="s">
        <v>10766</v>
      </c>
      <c r="G2994" s="2"/>
      <c r="H2994" s="2"/>
      <c r="I2994" s="2"/>
      <c r="J2994" s="3"/>
    </row>
    <row r="2995" spans="1:10">
      <c r="A2995" s="2" t="s">
        <v>0</v>
      </c>
      <c r="B2995" s="2" t="s">
        <v>1</v>
      </c>
      <c r="C2995" s="2" t="s">
        <v>2</v>
      </c>
      <c r="D2995" s="2" t="s">
        <v>3</v>
      </c>
      <c r="E2995" s="3" t="s">
        <v>4</v>
      </c>
      <c r="F2995" s="2" t="s">
        <v>0</v>
      </c>
      <c r="G2995" s="2" t="s">
        <v>1</v>
      </c>
      <c r="H2995" s="2" t="s">
        <v>2</v>
      </c>
      <c r="I2995" s="2" t="s">
        <v>3</v>
      </c>
      <c r="J2995" s="3" t="s">
        <v>4</v>
      </c>
    </row>
    <row r="2996" spans="1:10">
      <c r="A2996" s="1">
        <v>95935</v>
      </c>
      <c r="B2996" s="1">
        <v>3360000061</v>
      </c>
      <c r="C2996" s="1">
        <v>12</v>
      </c>
      <c r="D2996" s="1" t="s">
        <v>503</v>
      </c>
      <c r="E2996" t="s">
        <v>5953</v>
      </c>
      <c r="F2996" s="1">
        <v>840793</v>
      </c>
      <c r="G2996" s="1">
        <v>7066208742</v>
      </c>
      <c r="H2996" s="1">
        <v>8</v>
      </c>
      <c r="I2996" s="1" t="s">
        <v>207</v>
      </c>
      <c r="J2996" t="s">
        <v>5993</v>
      </c>
    </row>
    <row r="2997" spans="1:10">
      <c r="A2997" s="1">
        <v>138404</v>
      </c>
      <c r="B2997" s="1">
        <v>4100000408</v>
      </c>
      <c r="C2997" s="1">
        <v>12</v>
      </c>
      <c r="D2997" s="1" t="s">
        <v>2636</v>
      </c>
      <c r="E2997" t="s">
        <v>5954</v>
      </c>
      <c r="F2997" s="1">
        <v>252593</v>
      </c>
      <c r="G2997" s="1">
        <v>7066208741</v>
      </c>
      <c r="H2997" s="1">
        <v>8</v>
      </c>
      <c r="I2997" s="1" t="s">
        <v>207</v>
      </c>
      <c r="J2997" t="s">
        <v>5994</v>
      </c>
    </row>
    <row r="2998" spans="1:10">
      <c r="A2998" s="1">
        <v>138420</v>
      </c>
      <c r="B2998" s="1">
        <v>4100000332</v>
      </c>
      <c r="C2998" s="1">
        <v>24</v>
      </c>
      <c r="D2998" s="1" t="s">
        <v>517</v>
      </c>
      <c r="E2998" t="s">
        <v>5955</v>
      </c>
      <c r="F2998" s="1">
        <v>318410</v>
      </c>
      <c r="G2998" s="1">
        <v>7066208724</v>
      </c>
      <c r="H2998" s="1">
        <v>8</v>
      </c>
      <c r="I2998" s="1" t="s">
        <v>397</v>
      </c>
      <c r="J2998" t="s">
        <v>5995</v>
      </c>
    </row>
    <row r="2999" spans="1:10">
      <c r="A2999" s="1">
        <v>69070</v>
      </c>
      <c r="B2999" s="1">
        <v>4100001480</v>
      </c>
      <c r="C2999" s="1">
        <v>12</v>
      </c>
      <c r="D2999" s="1" t="s">
        <v>91</v>
      </c>
      <c r="E2999" t="s">
        <v>5956</v>
      </c>
      <c r="F2999" s="1">
        <v>489195</v>
      </c>
      <c r="G2999" s="1">
        <v>7066208723</v>
      </c>
      <c r="H2999" s="1">
        <v>8</v>
      </c>
      <c r="I2999" s="1" t="s">
        <v>397</v>
      </c>
      <c r="J2999" t="s">
        <v>5996</v>
      </c>
    </row>
    <row r="3000" spans="1:10">
      <c r="A3000" s="1">
        <v>300319</v>
      </c>
      <c r="B3000" s="1">
        <v>4100001485</v>
      </c>
      <c r="C3000" s="1">
        <v>12</v>
      </c>
      <c r="D3000" s="1" t="s">
        <v>5384</v>
      </c>
      <c r="E3000" t="s">
        <v>5957</v>
      </c>
      <c r="F3000" s="1">
        <v>138511</v>
      </c>
      <c r="G3000" s="1">
        <v>7066203003</v>
      </c>
      <c r="H3000" s="1">
        <v>12</v>
      </c>
      <c r="I3000" s="1" t="s">
        <v>417</v>
      </c>
      <c r="J3000" t="s">
        <v>5997</v>
      </c>
    </row>
    <row r="3001" spans="1:10">
      <c r="A3001" s="1">
        <v>138297</v>
      </c>
      <c r="B3001" s="1">
        <v>4100000413</v>
      </c>
      <c r="C3001" s="1">
        <v>12</v>
      </c>
      <c r="D3001" s="1" t="s">
        <v>103</v>
      </c>
      <c r="E3001" t="s">
        <v>5958</v>
      </c>
      <c r="F3001" s="1">
        <v>138479</v>
      </c>
      <c r="G3001" s="1">
        <v>7066203006</v>
      </c>
      <c r="H3001" s="1">
        <v>12</v>
      </c>
      <c r="I3001" s="1" t="s">
        <v>417</v>
      </c>
      <c r="J3001" t="s">
        <v>5998</v>
      </c>
    </row>
    <row r="3002" spans="1:10">
      <c r="A3002" s="1">
        <v>138222</v>
      </c>
      <c r="B3002" s="1">
        <v>4100000490</v>
      </c>
      <c r="C3002" s="1">
        <v>12</v>
      </c>
      <c r="D3002" s="1" t="s">
        <v>958</v>
      </c>
      <c r="E3002" t="s">
        <v>5959</v>
      </c>
      <c r="F3002" s="1">
        <v>137745</v>
      </c>
      <c r="G3002" s="1">
        <v>7066203016</v>
      </c>
      <c r="H3002" s="1">
        <v>12</v>
      </c>
      <c r="I3002" s="1" t="s">
        <v>417</v>
      </c>
      <c r="J3002" t="s">
        <v>5999</v>
      </c>
    </row>
    <row r="3003" spans="1:10">
      <c r="A3003" s="1">
        <v>138289</v>
      </c>
      <c r="B3003" s="1">
        <v>4100000324</v>
      </c>
      <c r="C3003" s="1">
        <v>24</v>
      </c>
      <c r="D3003" s="1" t="s">
        <v>106</v>
      </c>
      <c r="E3003" t="s">
        <v>5960</v>
      </c>
      <c r="F3003" s="1">
        <v>138503</v>
      </c>
      <c r="G3003" s="1">
        <v>7066203002</v>
      </c>
      <c r="H3003" s="1">
        <v>12</v>
      </c>
      <c r="I3003" s="1" t="s">
        <v>417</v>
      </c>
      <c r="J3003" t="s">
        <v>6000</v>
      </c>
    </row>
    <row r="3004" spans="1:10">
      <c r="A3004" s="1">
        <v>138263</v>
      </c>
      <c r="B3004" s="1">
        <v>4100000365</v>
      </c>
      <c r="C3004" s="1">
        <v>12</v>
      </c>
      <c r="D3004" s="1" t="s">
        <v>312</v>
      </c>
      <c r="E3004" t="s">
        <v>5961</v>
      </c>
      <c r="F3004" s="1">
        <v>137539</v>
      </c>
      <c r="G3004" s="1">
        <v>7066203011</v>
      </c>
      <c r="H3004" s="1">
        <v>12</v>
      </c>
      <c r="I3004" s="1" t="s">
        <v>417</v>
      </c>
      <c r="J3004" t="s">
        <v>6001</v>
      </c>
    </row>
    <row r="3005" spans="1:10">
      <c r="A3005" s="1">
        <v>138156</v>
      </c>
      <c r="B3005" s="1">
        <v>4100000414</v>
      </c>
      <c r="C3005" s="1">
        <v>12</v>
      </c>
      <c r="D3005" s="1" t="s">
        <v>5384</v>
      </c>
      <c r="E3005" t="s">
        <v>5962</v>
      </c>
      <c r="F3005" s="1">
        <v>138396</v>
      </c>
      <c r="G3005" s="1">
        <v>7066203023</v>
      </c>
      <c r="H3005" s="1">
        <v>12</v>
      </c>
      <c r="I3005" s="1" t="s">
        <v>417</v>
      </c>
      <c r="J3005" t="s">
        <v>6002</v>
      </c>
    </row>
    <row r="3006" spans="1:10">
      <c r="A3006" s="1">
        <v>138362</v>
      </c>
      <c r="B3006" s="1">
        <v>4100000362</v>
      </c>
      <c r="C3006" s="1">
        <v>24</v>
      </c>
      <c r="D3006" s="1" t="s">
        <v>31</v>
      </c>
      <c r="E3006" t="s">
        <v>5963</v>
      </c>
      <c r="F3006" s="1">
        <v>565747</v>
      </c>
      <c r="G3006" s="1">
        <v>7066209631</v>
      </c>
      <c r="H3006" s="1">
        <v>6</v>
      </c>
      <c r="I3006" s="1" t="s">
        <v>6003</v>
      </c>
      <c r="J3006" t="s">
        <v>6004</v>
      </c>
    </row>
    <row r="3007" spans="1:10">
      <c r="A3007" s="1">
        <v>138230</v>
      </c>
      <c r="B3007" s="1">
        <v>4100000301</v>
      </c>
      <c r="C3007" s="1">
        <v>12</v>
      </c>
      <c r="D3007" s="1" t="s">
        <v>958</v>
      </c>
      <c r="E3007" t="s">
        <v>5964</v>
      </c>
      <c r="F3007" s="1">
        <v>137265</v>
      </c>
      <c r="G3007" s="1">
        <v>7066209632</v>
      </c>
      <c r="H3007" s="1">
        <v>6</v>
      </c>
      <c r="I3007" s="1" t="s">
        <v>183</v>
      </c>
      <c r="J3007" t="s">
        <v>6005</v>
      </c>
    </row>
    <row r="3008" spans="1:10">
      <c r="A3008" s="1">
        <v>432120</v>
      </c>
      <c r="B3008" s="1">
        <v>4100001488</v>
      </c>
      <c r="C3008" s="1">
        <v>12</v>
      </c>
      <c r="D3008" s="1" t="s">
        <v>95</v>
      </c>
      <c r="E3008" t="s">
        <v>5965</v>
      </c>
      <c r="F3008" s="1">
        <v>170753</v>
      </c>
      <c r="G3008" s="1">
        <v>7066206913</v>
      </c>
      <c r="H3008" s="1">
        <v>6</v>
      </c>
      <c r="I3008" s="1" t="s">
        <v>6003</v>
      </c>
      <c r="J3008" t="s">
        <v>6006</v>
      </c>
    </row>
    <row r="3009" spans="1:10">
      <c r="A3009" s="1">
        <v>138354</v>
      </c>
      <c r="B3009" s="1">
        <v>4100000422</v>
      </c>
      <c r="C3009" s="1">
        <v>12</v>
      </c>
      <c r="D3009" s="1" t="s">
        <v>91</v>
      </c>
      <c r="E3009" t="s">
        <v>5966</v>
      </c>
      <c r="F3009" s="1">
        <v>544205</v>
      </c>
      <c r="G3009" s="1">
        <v>7066206911</v>
      </c>
      <c r="H3009" s="1">
        <v>6</v>
      </c>
      <c r="I3009" s="1" t="s">
        <v>6007</v>
      </c>
      <c r="J3009" t="s">
        <v>6008</v>
      </c>
    </row>
    <row r="3010" spans="1:10">
      <c r="A3010" s="1">
        <v>464289</v>
      </c>
      <c r="B3010" s="1">
        <v>4100001482</v>
      </c>
      <c r="C3010" s="1">
        <v>12</v>
      </c>
      <c r="D3010" s="1" t="s">
        <v>190</v>
      </c>
      <c r="E3010" t="s">
        <v>5967</v>
      </c>
      <c r="F3010" s="1">
        <v>462325</v>
      </c>
      <c r="G3010" s="1">
        <v>7066200702</v>
      </c>
      <c r="H3010" s="1">
        <v>12</v>
      </c>
      <c r="I3010" s="1" t="s">
        <v>4557</v>
      </c>
      <c r="J3010" t="s">
        <v>6009</v>
      </c>
    </row>
    <row r="3011" spans="1:10">
      <c r="A3011" s="1">
        <v>138271</v>
      </c>
      <c r="B3011" s="1">
        <v>4178900159</v>
      </c>
      <c r="C3011" s="1">
        <v>12</v>
      </c>
      <c r="D3011" s="1" t="s">
        <v>417</v>
      </c>
      <c r="E3011" t="s">
        <v>5968</v>
      </c>
      <c r="F3011" s="1">
        <v>575654</v>
      </c>
      <c r="G3011" s="1">
        <v>7066203503</v>
      </c>
      <c r="H3011" s="1">
        <v>1</v>
      </c>
      <c r="I3011" s="1" t="s">
        <v>1180</v>
      </c>
      <c r="J3011" t="s">
        <v>6010</v>
      </c>
    </row>
    <row r="3012" spans="1:10">
      <c r="A3012" s="1">
        <v>138313</v>
      </c>
      <c r="B3012" s="1">
        <v>4178900166</v>
      </c>
      <c r="C3012" s="1">
        <v>12</v>
      </c>
      <c r="D3012" s="1" t="s">
        <v>417</v>
      </c>
      <c r="E3012" t="s">
        <v>5969</v>
      </c>
      <c r="F3012" s="1">
        <v>575647</v>
      </c>
      <c r="G3012" s="1">
        <v>7066203502</v>
      </c>
      <c r="H3012" s="1">
        <v>1</v>
      </c>
      <c r="I3012" s="1" t="s">
        <v>1180</v>
      </c>
      <c r="J3012" t="s">
        <v>6011</v>
      </c>
    </row>
    <row r="3013" spans="1:10">
      <c r="A3013" s="1">
        <v>138727</v>
      </c>
      <c r="B3013" s="1">
        <v>4178900157</v>
      </c>
      <c r="C3013" s="1">
        <v>12</v>
      </c>
      <c r="D3013" s="1" t="s">
        <v>417</v>
      </c>
      <c r="E3013" t="s">
        <v>5970</v>
      </c>
      <c r="F3013" s="1">
        <v>575670</v>
      </c>
      <c r="G3013" s="1">
        <v>7066203501</v>
      </c>
      <c r="H3013" s="1">
        <v>1</v>
      </c>
      <c r="I3013" s="1" t="s">
        <v>1180</v>
      </c>
      <c r="J3013" t="s">
        <v>6012</v>
      </c>
    </row>
    <row r="3014" spans="1:10">
      <c r="A3014" s="1">
        <v>135913</v>
      </c>
      <c r="B3014" s="1">
        <v>4178900251</v>
      </c>
      <c r="C3014" s="1">
        <v>24</v>
      </c>
      <c r="D3014" s="1" t="s">
        <v>14</v>
      </c>
      <c r="E3014" t="s">
        <v>5971</v>
      </c>
      <c r="F3014" s="1">
        <v>258178</v>
      </c>
      <c r="G3014" s="1">
        <v>4119642121</v>
      </c>
      <c r="H3014" s="1">
        <v>12</v>
      </c>
      <c r="I3014" s="1" t="s">
        <v>375</v>
      </c>
      <c r="J3014" t="s">
        <v>6013</v>
      </c>
    </row>
    <row r="3015" spans="1:10">
      <c r="A3015" s="1">
        <v>135772</v>
      </c>
      <c r="B3015" s="1">
        <v>4178900258</v>
      </c>
      <c r="C3015" s="1">
        <v>24</v>
      </c>
      <c r="D3015" s="1" t="s">
        <v>14</v>
      </c>
      <c r="E3015" t="s">
        <v>5972</v>
      </c>
      <c r="F3015" s="1">
        <v>824995</v>
      </c>
      <c r="G3015" s="1">
        <v>4119642122</v>
      </c>
      <c r="H3015" s="1">
        <v>12</v>
      </c>
      <c r="I3015" s="1" t="s">
        <v>375</v>
      </c>
      <c r="J3015" t="s">
        <v>6014</v>
      </c>
    </row>
    <row r="3016" spans="1:10">
      <c r="A3016" s="1">
        <v>138610</v>
      </c>
      <c r="B3016" s="1">
        <v>4178900158</v>
      </c>
      <c r="C3016" s="1">
        <v>12</v>
      </c>
      <c r="D3016" s="1" t="s">
        <v>417</v>
      </c>
      <c r="E3016" t="s">
        <v>5973</v>
      </c>
      <c r="F3016" s="1">
        <v>313999</v>
      </c>
      <c r="G3016" s="1">
        <v>4119642123</v>
      </c>
      <c r="H3016" s="1">
        <v>12</v>
      </c>
      <c r="I3016" s="1" t="s">
        <v>375</v>
      </c>
      <c r="J3016" t="s">
        <v>6015</v>
      </c>
    </row>
    <row r="3017" spans="1:10">
      <c r="A3017" s="1">
        <v>137505</v>
      </c>
      <c r="B3017" s="1">
        <v>4178900122</v>
      </c>
      <c r="C3017" s="1">
        <v>12</v>
      </c>
      <c r="D3017" s="1" t="s">
        <v>417</v>
      </c>
      <c r="E3017" t="s">
        <v>5974</v>
      </c>
      <c r="F3017" s="1">
        <v>206276</v>
      </c>
      <c r="G3017" s="1">
        <v>1116620627</v>
      </c>
      <c r="H3017" s="1">
        <v>12</v>
      </c>
      <c r="I3017" s="1" t="s">
        <v>397</v>
      </c>
      <c r="J3017" t="s">
        <v>6016</v>
      </c>
    </row>
    <row r="3018" spans="1:10">
      <c r="A3018" s="1">
        <v>137257</v>
      </c>
      <c r="B3018" s="1">
        <v>4178900212</v>
      </c>
      <c r="C3018" s="1">
        <v>24</v>
      </c>
      <c r="D3018" s="1" t="s">
        <v>14</v>
      </c>
      <c r="E3018" t="s">
        <v>5975</v>
      </c>
      <c r="F3018" s="1">
        <v>134726</v>
      </c>
      <c r="G3018" s="1">
        <v>1116613472</v>
      </c>
      <c r="H3018" s="1">
        <v>24</v>
      </c>
      <c r="I3018" s="1" t="s">
        <v>1409</v>
      </c>
      <c r="J3018" t="s">
        <v>6017</v>
      </c>
    </row>
    <row r="3019" spans="1:10">
      <c r="A3019" s="1">
        <v>135905</v>
      </c>
      <c r="B3019" s="1">
        <v>4178900246</v>
      </c>
      <c r="C3019" s="1">
        <v>24</v>
      </c>
      <c r="D3019" s="1" t="s">
        <v>14</v>
      </c>
      <c r="E3019" t="s">
        <v>5976</v>
      </c>
      <c r="F3019" s="1">
        <v>206284</v>
      </c>
      <c r="G3019" s="1">
        <v>1116620628</v>
      </c>
      <c r="H3019" s="1">
        <v>12</v>
      </c>
      <c r="I3019" s="1" t="s">
        <v>247</v>
      </c>
      <c r="J3019" t="s">
        <v>6018</v>
      </c>
    </row>
    <row r="3020" spans="1:10">
      <c r="A3020" s="1">
        <v>137109</v>
      </c>
      <c r="B3020" s="1">
        <v>4178900211</v>
      </c>
      <c r="C3020" s="1">
        <v>24</v>
      </c>
      <c r="D3020" s="1" t="s">
        <v>14</v>
      </c>
      <c r="E3020" t="s">
        <v>5977</v>
      </c>
      <c r="F3020" s="1">
        <v>206292</v>
      </c>
      <c r="G3020" s="1">
        <v>1116620629</v>
      </c>
      <c r="H3020" s="1">
        <v>12</v>
      </c>
      <c r="I3020" s="1" t="s">
        <v>247</v>
      </c>
      <c r="J3020" t="s">
        <v>6019</v>
      </c>
    </row>
    <row r="3021" spans="1:10">
      <c r="A3021" s="1">
        <v>137562</v>
      </c>
      <c r="B3021" s="1">
        <v>4178900121</v>
      </c>
      <c r="C3021" s="1">
        <v>12</v>
      </c>
      <c r="D3021" s="1" t="s">
        <v>417</v>
      </c>
      <c r="E3021" t="s">
        <v>5978</v>
      </c>
      <c r="F3021" s="1">
        <v>109504</v>
      </c>
      <c r="G3021" s="1">
        <v>1116610950</v>
      </c>
      <c r="H3021" s="1">
        <v>24</v>
      </c>
      <c r="I3021" s="1" t="s">
        <v>1409</v>
      </c>
      <c r="J3021" t="s">
        <v>6020</v>
      </c>
    </row>
    <row r="3022" spans="1:10">
      <c r="A3022" s="1">
        <v>137299</v>
      </c>
      <c r="B3022" s="1">
        <v>4178900215</v>
      </c>
      <c r="C3022" s="1">
        <v>24</v>
      </c>
      <c r="D3022" s="1" t="s">
        <v>14</v>
      </c>
      <c r="E3022" t="s">
        <v>5979</v>
      </c>
      <c r="F3022" s="1">
        <v>109652</v>
      </c>
      <c r="G3022" s="1">
        <v>1116610965</v>
      </c>
      <c r="H3022" s="1">
        <v>12</v>
      </c>
      <c r="I3022" s="1" t="s">
        <v>6021</v>
      </c>
      <c r="J3022" t="s">
        <v>6020</v>
      </c>
    </row>
    <row r="3023" spans="1:10">
      <c r="A3023" s="1">
        <v>137067</v>
      </c>
      <c r="B3023" s="1">
        <v>4178900214</v>
      </c>
      <c r="C3023" s="1">
        <v>24</v>
      </c>
      <c r="D3023" s="1" t="s">
        <v>14</v>
      </c>
      <c r="E3023" t="s">
        <v>5980</v>
      </c>
      <c r="F3023" s="1">
        <v>206268</v>
      </c>
      <c r="G3023" s="1">
        <v>1116620626</v>
      </c>
      <c r="H3023" s="1">
        <v>12</v>
      </c>
      <c r="I3023" s="1" t="s">
        <v>397</v>
      </c>
      <c r="J3023" t="s">
        <v>6022</v>
      </c>
    </row>
    <row r="3024" spans="1:10">
      <c r="A3024" s="1">
        <v>135921</v>
      </c>
      <c r="B3024" s="1">
        <v>4178900281</v>
      </c>
      <c r="C3024" s="1">
        <v>24</v>
      </c>
      <c r="D3024" s="1" t="s">
        <v>14</v>
      </c>
      <c r="E3024" t="s">
        <v>5981</v>
      </c>
      <c r="F3024" s="1">
        <v>103531</v>
      </c>
      <c r="G3024" s="1">
        <v>1116610353</v>
      </c>
      <c r="H3024" s="1">
        <v>24</v>
      </c>
      <c r="I3024" s="1" t="s">
        <v>106</v>
      </c>
      <c r="J3024" t="s">
        <v>6023</v>
      </c>
    </row>
    <row r="3025" spans="1:10">
      <c r="A3025" s="1">
        <v>137166</v>
      </c>
      <c r="B3025" s="1">
        <v>4178900213</v>
      </c>
      <c r="C3025" s="1">
        <v>24</v>
      </c>
      <c r="D3025" s="1" t="s">
        <v>14</v>
      </c>
      <c r="E3025" t="s">
        <v>5982</v>
      </c>
      <c r="F3025" s="1">
        <v>103556</v>
      </c>
      <c r="G3025" s="1">
        <v>1116610355</v>
      </c>
      <c r="H3025" s="1">
        <v>24</v>
      </c>
      <c r="I3025" s="1" t="s">
        <v>31</v>
      </c>
      <c r="J3025" t="s">
        <v>6024</v>
      </c>
    </row>
    <row r="3026" spans="1:10">
      <c r="A3026" s="1">
        <v>135764</v>
      </c>
      <c r="B3026" s="1">
        <v>4178900257</v>
      </c>
      <c r="C3026" s="1">
        <v>24</v>
      </c>
      <c r="D3026" s="1" t="s">
        <v>14</v>
      </c>
      <c r="E3026" t="s">
        <v>5983</v>
      </c>
      <c r="F3026" s="1">
        <v>437657</v>
      </c>
      <c r="G3026" s="1">
        <v>1116601351</v>
      </c>
      <c r="H3026" s="1">
        <v>12</v>
      </c>
      <c r="I3026" s="1" t="s">
        <v>375</v>
      </c>
      <c r="J3026" t="s">
        <v>6025</v>
      </c>
    </row>
    <row r="3027" spans="1:10">
      <c r="A3027" s="1">
        <v>137604</v>
      </c>
      <c r="B3027" s="1">
        <v>4178900125</v>
      </c>
      <c r="C3027" s="1">
        <v>12</v>
      </c>
      <c r="D3027" s="1" t="s">
        <v>417</v>
      </c>
      <c r="E3027" t="s">
        <v>5984</v>
      </c>
      <c r="F3027" s="1">
        <v>7468</v>
      </c>
      <c r="G3027" s="1">
        <v>5100016887</v>
      </c>
      <c r="H3027" s="1">
        <v>8</v>
      </c>
      <c r="I3027" s="1" t="s">
        <v>865</v>
      </c>
      <c r="J3027" t="s">
        <v>6026</v>
      </c>
    </row>
    <row r="3028" spans="1:10">
      <c r="A3028" s="1">
        <v>137463</v>
      </c>
      <c r="B3028" s="1">
        <v>4178900217</v>
      </c>
      <c r="C3028" s="1">
        <v>24</v>
      </c>
      <c r="D3028" s="1" t="s">
        <v>14</v>
      </c>
      <c r="E3028" t="s">
        <v>5985</v>
      </c>
      <c r="F3028" s="1">
        <v>109728</v>
      </c>
      <c r="G3028" s="1">
        <v>5100014604</v>
      </c>
      <c r="H3028" s="1">
        <v>12</v>
      </c>
      <c r="I3028" s="1" t="s">
        <v>375</v>
      </c>
      <c r="J3028" t="s">
        <v>6027</v>
      </c>
    </row>
    <row r="3029" spans="1:10">
      <c r="A3029" s="1">
        <v>332379</v>
      </c>
      <c r="B3029" s="1">
        <v>4178900768</v>
      </c>
      <c r="C3029" s="1">
        <v>8</v>
      </c>
      <c r="D3029" s="1" t="s">
        <v>397</v>
      </c>
      <c r="E3029" t="s">
        <v>5986</v>
      </c>
      <c r="F3029" s="1">
        <v>576421</v>
      </c>
      <c r="G3029" s="1">
        <v>5100018031</v>
      </c>
      <c r="H3029" s="1">
        <v>12</v>
      </c>
      <c r="I3029" s="1" t="s">
        <v>637</v>
      </c>
      <c r="J3029" t="s">
        <v>6028</v>
      </c>
    </row>
    <row r="3030" spans="1:10">
      <c r="A3030" s="1">
        <v>275735</v>
      </c>
      <c r="B3030" s="1">
        <v>7423533005</v>
      </c>
      <c r="C3030" s="1">
        <v>12</v>
      </c>
      <c r="D3030" s="1" t="s">
        <v>5987</v>
      </c>
      <c r="E3030" t="s">
        <v>5988</v>
      </c>
      <c r="F3030" s="1">
        <v>109694</v>
      </c>
      <c r="G3030" s="1">
        <v>5100014297</v>
      </c>
      <c r="H3030" s="1">
        <v>24</v>
      </c>
      <c r="I3030" s="1" t="s">
        <v>259</v>
      </c>
      <c r="J3030" t="s">
        <v>6029</v>
      </c>
    </row>
    <row r="3031" spans="1:10">
      <c r="A3031" s="1">
        <v>435685</v>
      </c>
      <c r="B3031" s="1">
        <v>7066200701</v>
      </c>
      <c r="C3031" s="1">
        <v>12</v>
      </c>
      <c r="D3031" s="1" t="s">
        <v>4557</v>
      </c>
      <c r="E3031" t="s">
        <v>5989</v>
      </c>
      <c r="F3031" s="1">
        <v>109314</v>
      </c>
      <c r="G3031" s="1">
        <v>5100012114</v>
      </c>
      <c r="H3031" s="1">
        <v>12</v>
      </c>
      <c r="I3031" s="1" t="s">
        <v>375</v>
      </c>
      <c r="J3031" t="s">
        <v>6030</v>
      </c>
    </row>
    <row r="3032" spans="1:10">
      <c r="A3032" s="1">
        <v>488379</v>
      </c>
      <c r="B3032" s="1">
        <v>7066208721</v>
      </c>
      <c r="C3032" s="1">
        <v>8</v>
      </c>
      <c r="D3032" s="1" t="s">
        <v>397</v>
      </c>
      <c r="E3032" t="s">
        <v>5990</v>
      </c>
      <c r="F3032" s="1">
        <v>131490</v>
      </c>
      <c r="G3032" s="1">
        <v>5100002429</v>
      </c>
      <c r="H3032" s="1">
        <v>24</v>
      </c>
      <c r="I3032" s="1" t="s">
        <v>259</v>
      </c>
      <c r="J3032" t="s">
        <v>6031</v>
      </c>
    </row>
    <row r="3033" spans="1:10">
      <c r="A3033" s="1">
        <v>777763</v>
      </c>
      <c r="B3033" s="1">
        <v>7066208725</v>
      </c>
      <c r="C3033" s="1">
        <v>8</v>
      </c>
      <c r="D3033" s="1" t="s">
        <v>397</v>
      </c>
      <c r="E3033" t="s">
        <v>5991</v>
      </c>
      <c r="F3033" s="1">
        <v>109512</v>
      </c>
      <c r="G3033" s="1">
        <v>5100004156</v>
      </c>
      <c r="H3033" s="1">
        <v>24</v>
      </c>
      <c r="I3033" s="1" t="s">
        <v>259</v>
      </c>
      <c r="J3033" t="s">
        <v>6032</v>
      </c>
    </row>
    <row r="3034" spans="1:10">
      <c r="A3034" s="1">
        <v>390914</v>
      </c>
      <c r="B3034" s="1">
        <v>7066208722</v>
      </c>
      <c r="C3034" s="1">
        <v>8</v>
      </c>
      <c r="D3034" s="1" t="s">
        <v>397</v>
      </c>
      <c r="E3034" t="s">
        <v>5992</v>
      </c>
      <c r="F3034" s="1">
        <v>784199</v>
      </c>
      <c r="G3034" s="1">
        <v>5100016882</v>
      </c>
      <c r="H3034" s="1">
        <v>12</v>
      </c>
      <c r="I3034" s="1" t="s">
        <v>381</v>
      </c>
      <c r="J3034" t="s">
        <v>6033</v>
      </c>
    </row>
    <row r="3035" spans="1:10" ht="15.75">
      <c r="A3035" s="4" t="s">
        <v>10766</v>
      </c>
      <c r="B3035" s="2"/>
      <c r="C3035" s="2"/>
      <c r="D3035" s="2"/>
      <c r="E3035" s="3"/>
      <c r="F3035" s="4" t="s">
        <v>10767</v>
      </c>
      <c r="G3035" s="2"/>
      <c r="H3035" s="2"/>
      <c r="I3035" s="2"/>
      <c r="J3035" s="3"/>
    </row>
    <row r="3036" spans="1:10">
      <c r="A3036" s="2" t="s">
        <v>0</v>
      </c>
      <c r="B3036" s="2" t="s">
        <v>1</v>
      </c>
      <c r="C3036" s="2" t="s">
        <v>2</v>
      </c>
      <c r="D3036" s="2" t="s">
        <v>3</v>
      </c>
      <c r="E3036" s="3" t="s">
        <v>4</v>
      </c>
      <c r="F3036" s="2" t="s">
        <v>0</v>
      </c>
      <c r="G3036" s="2" t="s">
        <v>1</v>
      </c>
      <c r="H3036" s="2" t="s">
        <v>2</v>
      </c>
      <c r="I3036" s="2" t="s">
        <v>3</v>
      </c>
      <c r="J3036" s="3" t="s">
        <v>4</v>
      </c>
    </row>
    <row r="3037" spans="1:10">
      <c r="A3037" s="1">
        <v>40568</v>
      </c>
      <c r="B3037" s="1">
        <v>5100018032</v>
      </c>
      <c r="C3037" s="1">
        <v>12</v>
      </c>
      <c r="D3037" s="1" t="s">
        <v>637</v>
      </c>
      <c r="E3037" t="s">
        <v>6034</v>
      </c>
      <c r="F3037" s="1">
        <v>59170</v>
      </c>
      <c r="G3037" s="1">
        <v>1020051500</v>
      </c>
      <c r="H3037" s="1">
        <v>15</v>
      </c>
      <c r="I3037" s="1" t="s">
        <v>375</v>
      </c>
      <c r="J3037" t="s">
        <v>6077</v>
      </c>
    </row>
    <row r="3038" spans="1:10">
      <c r="A3038" s="1">
        <v>209015</v>
      </c>
      <c r="B3038" s="1">
        <v>5100014296</v>
      </c>
      <c r="C3038" s="1">
        <v>12</v>
      </c>
      <c r="D3038" s="1" t="s">
        <v>375</v>
      </c>
      <c r="E3038" t="s">
        <v>6035</v>
      </c>
      <c r="F3038" s="1">
        <v>59006</v>
      </c>
      <c r="G3038" s="1">
        <v>1020053000</v>
      </c>
      <c r="H3038" s="1">
        <v>15</v>
      </c>
      <c r="I3038" s="1" t="s">
        <v>375</v>
      </c>
      <c r="J3038" t="s">
        <v>6078</v>
      </c>
    </row>
    <row r="3039" spans="1:10">
      <c r="A3039" s="1">
        <v>639195</v>
      </c>
      <c r="B3039" s="1">
        <v>5100009054</v>
      </c>
      <c r="C3039" s="1">
        <v>12</v>
      </c>
      <c r="D3039" s="1" t="s">
        <v>6021</v>
      </c>
      <c r="E3039" t="s">
        <v>6036</v>
      </c>
      <c r="F3039" s="1">
        <v>59022</v>
      </c>
      <c r="G3039" s="1">
        <v>1020054000</v>
      </c>
      <c r="H3039" s="1">
        <v>15</v>
      </c>
      <c r="I3039" s="1" t="s">
        <v>375</v>
      </c>
      <c r="J3039" t="s">
        <v>6079</v>
      </c>
    </row>
    <row r="3040" spans="1:10">
      <c r="A3040" s="1">
        <v>784751</v>
      </c>
      <c r="B3040" s="1">
        <v>5100016883</v>
      </c>
      <c r="C3040" s="1">
        <v>12</v>
      </c>
      <c r="D3040" s="1" t="s">
        <v>381</v>
      </c>
      <c r="E3040" t="s">
        <v>6037</v>
      </c>
      <c r="F3040" s="1">
        <v>68353</v>
      </c>
      <c r="G3040" s="1">
        <v>7348450151</v>
      </c>
      <c r="H3040" s="1">
        <v>12</v>
      </c>
      <c r="I3040" s="1" t="s">
        <v>375</v>
      </c>
      <c r="J3040" t="s">
        <v>6080</v>
      </c>
    </row>
    <row r="3041" spans="1:10">
      <c r="A3041" s="1">
        <v>744540</v>
      </c>
      <c r="B3041" s="1">
        <v>5100016888</v>
      </c>
      <c r="C3041" s="1">
        <v>8</v>
      </c>
      <c r="D3041" s="1" t="s">
        <v>865</v>
      </c>
      <c r="E3041" t="s">
        <v>6037</v>
      </c>
      <c r="F3041" s="1">
        <v>68452</v>
      </c>
      <c r="G3041" s="1">
        <v>7348450301</v>
      </c>
      <c r="H3041" s="1">
        <v>12</v>
      </c>
      <c r="I3041" s="1" t="s">
        <v>375</v>
      </c>
      <c r="J3041" t="s">
        <v>6081</v>
      </c>
    </row>
    <row r="3042" spans="1:10">
      <c r="A3042" s="1">
        <v>109710</v>
      </c>
      <c r="B3042" s="1">
        <v>5100013279</v>
      </c>
      <c r="C3042" s="1">
        <v>12</v>
      </c>
      <c r="D3042" s="1" t="s">
        <v>375</v>
      </c>
      <c r="E3042" t="s">
        <v>6038</v>
      </c>
      <c r="F3042" s="1">
        <v>503870</v>
      </c>
      <c r="G3042" s="1">
        <v>1020022700</v>
      </c>
      <c r="H3042" s="1">
        <v>15</v>
      </c>
      <c r="I3042" s="1" t="s">
        <v>375</v>
      </c>
      <c r="J3042" t="s">
        <v>6082</v>
      </c>
    </row>
    <row r="3043" spans="1:10">
      <c r="A3043" s="1">
        <v>275719</v>
      </c>
      <c r="B3043" s="1">
        <v>5100016020</v>
      </c>
      <c r="C3043" s="1">
        <v>12</v>
      </c>
      <c r="D3043" s="1" t="s">
        <v>6039</v>
      </c>
      <c r="E3043" t="s">
        <v>6040</v>
      </c>
      <c r="F3043" s="1">
        <v>57802</v>
      </c>
      <c r="G3043" s="1">
        <v>1020023100</v>
      </c>
      <c r="H3043" s="1">
        <v>15</v>
      </c>
      <c r="I3043" s="1" t="s">
        <v>375</v>
      </c>
      <c r="J3043" t="s">
        <v>6083</v>
      </c>
    </row>
    <row r="3044" spans="1:10">
      <c r="A3044" s="1">
        <v>209353</v>
      </c>
      <c r="B3044" s="1">
        <v>5100015634</v>
      </c>
      <c r="C3044" s="1">
        <v>12</v>
      </c>
      <c r="D3044" s="1" t="s">
        <v>375</v>
      </c>
      <c r="E3044" t="s">
        <v>6041</v>
      </c>
      <c r="F3044" s="1">
        <v>58909</v>
      </c>
      <c r="G3044" s="1">
        <v>1330018501</v>
      </c>
      <c r="H3044" s="1">
        <v>12</v>
      </c>
      <c r="I3044" s="1" t="s">
        <v>375</v>
      </c>
      <c r="J3044" t="s">
        <v>6084</v>
      </c>
    </row>
    <row r="3045" spans="1:10">
      <c r="A3045" s="1">
        <v>209270</v>
      </c>
      <c r="B3045" s="1">
        <v>5100015635</v>
      </c>
      <c r="C3045" s="1">
        <v>12</v>
      </c>
      <c r="D3045" s="1" t="s">
        <v>375</v>
      </c>
      <c r="E3045" t="s">
        <v>6042</v>
      </c>
      <c r="F3045" s="1">
        <v>59162</v>
      </c>
      <c r="G3045" s="1">
        <v>3000003050</v>
      </c>
      <c r="H3045" s="1">
        <v>12</v>
      </c>
      <c r="I3045" s="1" t="s">
        <v>439</v>
      </c>
      <c r="J3045" t="s">
        <v>6085</v>
      </c>
    </row>
    <row r="3046" spans="1:10">
      <c r="A3046" s="1">
        <v>109413</v>
      </c>
      <c r="B3046" s="1">
        <v>5100002421</v>
      </c>
      <c r="C3046" s="1">
        <v>24</v>
      </c>
      <c r="D3046" s="1" t="s">
        <v>259</v>
      </c>
      <c r="E3046" t="s">
        <v>6043</v>
      </c>
      <c r="F3046" s="1">
        <v>64543</v>
      </c>
      <c r="G3046" s="1">
        <v>7174034205</v>
      </c>
      <c r="H3046" s="1">
        <v>8</v>
      </c>
      <c r="I3046" s="1" t="s">
        <v>4650</v>
      </c>
      <c r="J3046" t="s">
        <v>6086</v>
      </c>
    </row>
    <row r="3047" spans="1:10">
      <c r="A3047" s="1">
        <v>109348</v>
      </c>
      <c r="B3047" s="1">
        <v>5100002431</v>
      </c>
      <c r="C3047" s="1">
        <v>24</v>
      </c>
      <c r="D3047" s="1" t="s">
        <v>259</v>
      </c>
      <c r="E3047" t="s">
        <v>6044</v>
      </c>
      <c r="F3047" s="1">
        <v>64717</v>
      </c>
      <c r="G3047" s="1">
        <v>7174034302</v>
      </c>
      <c r="H3047" s="1">
        <v>12</v>
      </c>
      <c r="I3047" s="1" t="s">
        <v>375</v>
      </c>
      <c r="J3047" t="s">
        <v>6087</v>
      </c>
    </row>
    <row r="3048" spans="1:10">
      <c r="A3048" s="1">
        <v>777854</v>
      </c>
      <c r="B3048" s="1">
        <v>5100002430</v>
      </c>
      <c r="C3048" s="1">
        <v>12</v>
      </c>
      <c r="D3048" s="1" t="s">
        <v>6045</v>
      </c>
      <c r="E3048" t="s">
        <v>6046</v>
      </c>
      <c r="F3048" s="1">
        <v>59238</v>
      </c>
      <c r="G3048" s="1">
        <v>1020024500</v>
      </c>
      <c r="H3048" s="1">
        <v>8</v>
      </c>
      <c r="I3048" s="1" t="s">
        <v>4650</v>
      </c>
      <c r="J3048" t="s">
        <v>6088</v>
      </c>
    </row>
    <row r="3049" spans="1:10">
      <c r="A3049" s="1">
        <v>138560</v>
      </c>
      <c r="B3049" s="1">
        <v>7066201002</v>
      </c>
      <c r="C3049" s="1">
        <v>24</v>
      </c>
      <c r="D3049" s="1" t="s">
        <v>14</v>
      </c>
      <c r="E3049" t="s">
        <v>6047</v>
      </c>
      <c r="F3049" s="1">
        <v>58974</v>
      </c>
      <c r="G3049" s="1">
        <v>1020024300</v>
      </c>
      <c r="H3049" s="1">
        <v>15</v>
      </c>
      <c r="I3049" s="1" t="s">
        <v>375</v>
      </c>
      <c r="J3049" t="s">
        <v>6089</v>
      </c>
    </row>
    <row r="3050" spans="1:10" ht="15.75">
      <c r="A3050" s="1">
        <v>138578</v>
      </c>
      <c r="B3050" s="1">
        <v>7066201003</v>
      </c>
      <c r="C3050" s="1">
        <v>24</v>
      </c>
      <c r="D3050" s="1" t="s">
        <v>14</v>
      </c>
      <c r="E3050" t="s">
        <v>6048</v>
      </c>
      <c r="F3050" s="4" t="s">
        <v>10768</v>
      </c>
      <c r="G3050" s="2"/>
      <c r="H3050" s="2"/>
      <c r="I3050" s="2"/>
      <c r="J3050" s="3"/>
    </row>
    <row r="3051" spans="1:10">
      <c r="A3051" s="1">
        <v>139196</v>
      </c>
      <c r="B3051" s="1">
        <v>7066201017</v>
      </c>
      <c r="C3051" s="1">
        <v>24</v>
      </c>
      <c r="D3051" s="1" t="s">
        <v>14</v>
      </c>
      <c r="E3051" t="s">
        <v>6049</v>
      </c>
      <c r="F3051" s="2" t="s">
        <v>0</v>
      </c>
      <c r="G3051" s="2" t="s">
        <v>1</v>
      </c>
      <c r="H3051" s="2" t="s">
        <v>2</v>
      </c>
      <c r="I3051" s="2" t="s">
        <v>3</v>
      </c>
      <c r="J3051" s="3" t="s">
        <v>4</v>
      </c>
    </row>
    <row r="3052" spans="1:10">
      <c r="A3052" s="1">
        <v>138586</v>
      </c>
      <c r="B3052" s="1">
        <v>7066201001</v>
      </c>
      <c r="C3052" s="1">
        <v>24</v>
      </c>
      <c r="D3052" s="1" t="s">
        <v>14</v>
      </c>
      <c r="E3052" t="s">
        <v>6050</v>
      </c>
      <c r="F3052" s="1">
        <v>59493</v>
      </c>
      <c r="G3052" s="1">
        <v>1600012670</v>
      </c>
      <c r="H3052" s="1">
        <v>5</v>
      </c>
      <c r="I3052" s="1" t="s">
        <v>6090</v>
      </c>
      <c r="J3052" t="s">
        <v>6091</v>
      </c>
    </row>
    <row r="3053" spans="1:10">
      <c r="A3053" s="1">
        <v>139204</v>
      </c>
      <c r="B3053" s="1">
        <v>7066201010</v>
      </c>
      <c r="C3053" s="1">
        <v>24</v>
      </c>
      <c r="D3053" s="1" t="s">
        <v>14</v>
      </c>
      <c r="E3053" t="s">
        <v>6051</v>
      </c>
      <c r="F3053" s="1">
        <v>59030</v>
      </c>
      <c r="G3053" s="1">
        <v>1600010710</v>
      </c>
      <c r="H3053" s="1">
        <v>18</v>
      </c>
      <c r="I3053" s="1" t="s">
        <v>375</v>
      </c>
      <c r="J3053" t="s">
        <v>6092</v>
      </c>
    </row>
    <row r="3054" spans="1:10">
      <c r="A3054" s="1">
        <v>575381</v>
      </c>
      <c r="B3054" s="1">
        <v>7066201502</v>
      </c>
      <c r="C3054" s="1">
        <v>1</v>
      </c>
      <c r="D3054" s="1" t="s">
        <v>1366</v>
      </c>
      <c r="E3054" t="s">
        <v>6052</v>
      </c>
      <c r="F3054" s="1">
        <v>59592</v>
      </c>
      <c r="G3054" s="1">
        <v>1600010640</v>
      </c>
      <c r="H3054" s="1">
        <v>8</v>
      </c>
      <c r="I3054" s="1" t="s">
        <v>4650</v>
      </c>
      <c r="J3054" t="s">
        <v>6093</v>
      </c>
    </row>
    <row r="3055" spans="1:10">
      <c r="A3055" s="1">
        <v>575357</v>
      </c>
      <c r="B3055" s="1">
        <v>7066201503</v>
      </c>
      <c r="C3055" s="1">
        <v>1</v>
      </c>
      <c r="D3055" s="1" t="s">
        <v>1366</v>
      </c>
      <c r="E3055" t="s">
        <v>6053</v>
      </c>
      <c r="F3055" s="1">
        <v>387001</v>
      </c>
      <c r="G3055" s="1">
        <v>1600010410</v>
      </c>
      <c r="H3055" s="1">
        <v>4</v>
      </c>
      <c r="I3055" s="1" t="s">
        <v>4719</v>
      </c>
      <c r="J3055" t="s">
        <v>6094</v>
      </c>
    </row>
    <row r="3056" spans="1:10">
      <c r="A3056" s="1">
        <v>108688</v>
      </c>
      <c r="B3056" s="1">
        <v>4125875102</v>
      </c>
      <c r="C3056" s="1">
        <v>24</v>
      </c>
      <c r="D3056" s="1" t="s">
        <v>31</v>
      </c>
      <c r="E3056" t="s">
        <v>6054</v>
      </c>
      <c r="F3056" s="1">
        <v>59584</v>
      </c>
      <c r="G3056" s="1">
        <v>1600010610</v>
      </c>
      <c r="H3056" s="1">
        <v>8</v>
      </c>
      <c r="I3056" s="1" t="s">
        <v>4650</v>
      </c>
      <c r="J3056" t="s">
        <v>6095</v>
      </c>
    </row>
    <row r="3057" spans="1:10">
      <c r="A3057" s="1">
        <v>108308</v>
      </c>
      <c r="B3057" s="1">
        <v>4125875115</v>
      </c>
      <c r="C3057" s="1">
        <v>12</v>
      </c>
      <c r="D3057" s="1" t="s">
        <v>2211</v>
      </c>
      <c r="E3057" t="s">
        <v>6055</v>
      </c>
      <c r="F3057" s="1">
        <v>59709</v>
      </c>
      <c r="G3057" s="1">
        <v>1600011610</v>
      </c>
      <c r="H3057" s="1">
        <v>8</v>
      </c>
      <c r="I3057" s="1" t="s">
        <v>4650</v>
      </c>
      <c r="J3057" t="s">
        <v>6096</v>
      </c>
    </row>
    <row r="3058" spans="1:10">
      <c r="A3058" s="1">
        <v>108316</v>
      </c>
      <c r="B3058" s="1">
        <v>4125875117</v>
      </c>
      <c r="C3058" s="1">
        <v>12</v>
      </c>
      <c r="D3058" s="1" t="s">
        <v>2211</v>
      </c>
      <c r="E3058" t="s">
        <v>6056</v>
      </c>
      <c r="F3058" s="1">
        <v>386995</v>
      </c>
      <c r="G3058" s="1">
        <v>1600010810</v>
      </c>
      <c r="H3058" s="1">
        <v>8</v>
      </c>
      <c r="I3058" s="1" t="s">
        <v>4650</v>
      </c>
      <c r="J3058" t="s">
        <v>6097</v>
      </c>
    </row>
    <row r="3059" spans="1:10">
      <c r="A3059" s="1">
        <v>390120</v>
      </c>
      <c r="B3059" s="1">
        <v>4125875106</v>
      </c>
      <c r="C3059" s="1">
        <v>24</v>
      </c>
      <c r="D3059" s="1" t="s">
        <v>417</v>
      </c>
      <c r="E3059" t="s">
        <v>6057</v>
      </c>
      <c r="F3059" s="1">
        <v>59519</v>
      </c>
      <c r="G3059" s="1">
        <v>1600019610</v>
      </c>
      <c r="H3059" s="1">
        <v>8</v>
      </c>
      <c r="I3059" s="1" t="s">
        <v>4650</v>
      </c>
      <c r="J3059" t="s">
        <v>6098</v>
      </c>
    </row>
    <row r="3060" spans="1:10">
      <c r="A3060" s="1">
        <v>107979</v>
      </c>
      <c r="B3060" s="1">
        <v>4125875108</v>
      </c>
      <c r="C3060" s="1">
        <v>24</v>
      </c>
      <c r="D3060" s="1" t="s">
        <v>417</v>
      </c>
      <c r="E3060" t="s">
        <v>6058</v>
      </c>
      <c r="F3060" s="1">
        <v>59733</v>
      </c>
      <c r="G3060" s="1">
        <v>7101204105</v>
      </c>
      <c r="H3060" s="1">
        <v>8</v>
      </c>
      <c r="I3060" s="1" t="s">
        <v>4650</v>
      </c>
      <c r="J3060" t="s">
        <v>6099</v>
      </c>
    </row>
    <row r="3061" spans="1:10">
      <c r="A3061" s="1">
        <v>108696</v>
      </c>
      <c r="B3061" s="1">
        <v>4125875104</v>
      </c>
      <c r="C3061" s="1">
        <v>24</v>
      </c>
      <c r="D3061" s="1" t="s">
        <v>68</v>
      </c>
      <c r="E3061" t="s">
        <v>6059</v>
      </c>
      <c r="F3061" s="1">
        <v>59717</v>
      </c>
      <c r="G3061" s="1">
        <v>7101205050</v>
      </c>
      <c r="H3061" s="1">
        <v>8</v>
      </c>
      <c r="I3061" s="1" t="s">
        <v>4650</v>
      </c>
      <c r="J3061" t="s">
        <v>6100</v>
      </c>
    </row>
    <row r="3062" spans="1:10">
      <c r="A3062" s="1">
        <v>108795</v>
      </c>
      <c r="B3062" s="1">
        <v>4125875119</v>
      </c>
      <c r="C3062" s="1">
        <v>12</v>
      </c>
      <c r="D3062" s="1" t="s">
        <v>386</v>
      </c>
      <c r="E3062" t="s">
        <v>6060</v>
      </c>
      <c r="F3062" s="1">
        <v>59782</v>
      </c>
      <c r="G3062" s="1">
        <v>7101201050</v>
      </c>
      <c r="H3062" s="1">
        <v>8</v>
      </c>
      <c r="I3062" s="1" t="s">
        <v>4650</v>
      </c>
      <c r="J3062" t="s">
        <v>6101</v>
      </c>
    </row>
    <row r="3063" spans="1:10">
      <c r="A3063" s="1">
        <v>108787</v>
      </c>
      <c r="B3063" s="1">
        <v>4125875120</v>
      </c>
      <c r="C3063" s="1">
        <v>12</v>
      </c>
      <c r="D3063" s="1" t="s">
        <v>358</v>
      </c>
      <c r="E3063" t="s">
        <v>6061</v>
      </c>
      <c r="F3063" s="1">
        <v>215814</v>
      </c>
      <c r="G3063" s="1">
        <v>7101205555</v>
      </c>
      <c r="H3063" s="1">
        <v>8</v>
      </c>
      <c r="I3063" s="1" t="s">
        <v>4650</v>
      </c>
      <c r="J3063" t="s">
        <v>6102</v>
      </c>
    </row>
    <row r="3064" spans="1:10">
      <c r="A3064" s="1">
        <v>847376</v>
      </c>
      <c r="B3064" s="1">
        <v>7423544100</v>
      </c>
      <c r="C3064" s="1">
        <v>12</v>
      </c>
      <c r="D3064" s="1" t="s">
        <v>31</v>
      </c>
      <c r="E3064" t="s">
        <v>6062</v>
      </c>
      <c r="F3064" s="1">
        <v>614024</v>
      </c>
      <c r="G3064" s="1">
        <v>5150020430</v>
      </c>
      <c r="H3064" s="1">
        <v>12</v>
      </c>
      <c r="I3064" s="1" t="s">
        <v>375</v>
      </c>
      <c r="J3064" t="s">
        <v>6103</v>
      </c>
    </row>
    <row r="3065" spans="1:10">
      <c r="A3065" s="1">
        <v>822916</v>
      </c>
      <c r="B3065" s="1">
        <v>7423544115</v>
      </c>
      <c r="C3065" s="1">
        <v>12</v>
      </c>
      <c r="D3065" s="1" t="s">
        <v>31</v>
      </c>
      <c r="E3065" t="s">
        <v>6063</v>
      </c>
      <c r="F3065" s="1">
        <v>59543</v>
      </c>
      <c r="G3065" s="1">
        <v>5150020441</v>
      </c>
      <c r="H3065" s="1">
        <v>8</v>
      </c>
      <c r="I3065" s="1" t="s">
        <v>4650</v>
      </c>
      <c r="J3065" t="s">
        <v>6104</v>
      </c>
    </row>
    <row r="3066" spans="1:10">
      <c r="A3066" s="1">
        <v>138107</v>
      </c>
      <c r="B3066" s="1">
        <v>4125821520</v>
      </c>
      <c r="C3066" s="1">
        <v>8</v>
      </c>
      <c r="D3066" s="1" t="s">
        <v>6064</v>
      </c>
      <c r="E3066" t="s">
        <v>6065</v>
      </c>
      <c r="F3066" s="1">
        <v>60616</v>
      </c>
      <c r="G3066" s="1">
        <v>5150020031</v>
      </c>
      <c r="H3066" s="1">
        <v>8</v>
      </c>
      <c r="I3066" s="1" t="s">
        <v>4650</v>
      </c>
      <c r="J3066" t="s">
        <v>6105</v>
      </c>
    </row>
    <row r="3067" spans="1:10">
      <c r="A3067" s="1">
        <v>138677</v>
      </c>
      <c r="B3067" s="1">
        <v>4125822819</v>
      </c>
      <c r="C3067" s="1">
        <v>8</v>
      </c>
      <c r="D3067" s="1" t="s">
        <v>6066</v>
      </c>
      <c r="E3067" t="s">
        <v>6067</v>
      </c>
      <c r="F3067" s="1">
        <v>59550</v>
      </c>
      <c r="G3067" s="1">
        <v>5150022241</v>
      </c>
      <c r="H3067" s="1">
        <v>8</v>
      </c>
      <c r="I3067" s="1" t="s">
        <v>4650</v>
      </c>
      <c r="J3067" t="s">
        <v>6106</v>
      </c>
    </row>
    <row r="3068" spans="1:10">
      <c r="A3068" s="1">
        <v>138081</v>
      </c>
      <c r="B3068" s="1">
        <v>4125821517</v>
      </c>
      <c r="C3068" s="1">
        <v>8</v>
      </c>
      <c r="D3068" s="1" t="s">
        <v>6068</v>
      </c>
      <c r="E3068" t="s">
        <v>6069</v>
      </c>
      <c r="F3068" s="1">
        <v>59667</v>
      </c>
      <c r="G3068" s="1">
        <v>5150021321</v>
      </c>
      <c r="H3068" s="1">
        <v>8</v>
      </c>
      <c r="I3068" s="1" t="s">
        <v>4650</v>
      </c>
      <c r="J3068" t="s">
        <v>6107</v>
      </c>
    </row>
    <row r="3069" spans="1:10">
      <c r="A3069" s="1">
        <v>37044</v>
      </c>
      <c r="B3069" s="1">
        <v>4125821518</v>
      </c>
      <c r="C3069" s="1">
        <v>8</v>
      </c>
      <c r="D3069" s="1" t="s">
        <v>6070</v>
      </c>
      <c r="E3069" t="s">
        <v>6071</v>
      </c>
      <c r="F3069" s="1">
        <v>553909</v>
      </c>
      <c r="G3069" s="1">
        <v>5150042000</v>
      </c>
      <c r="H3069" s="1">
        <v>12</v>
      </c>
      <c r="I3069" s="1" t="s">
        <v>375</v>
      </c>
      <c r="J3069" t="s">
        <v>6108</v>
      </c>
    </row>
    <row r="3070" spans="1:10">
      <c r="A3070" s="1">
        <v>466714</v>
      </c>
      <c r="B3070" s="1">
        <v>7423544110</v>
      </c>
      <c r="C3070" s="1">
        <v>12</v>
      </c>
      <c r="D3070" s="1" t="s">
        <v>31</v>
      </c>
      <c r="E3070" t="s">
        <v>6072</v>
      </c>
      <c r="F3070" s="1">
        <v>61887</v>
      </c>
      <c r="G3070" s="1">
        <v>5150028142</v>
      </c>
      <c r="H3070" s="1">
        <v>8</v>
      </c>
      <c r="I3070" s="1" t="s">
        <v>4650</v>
      </c>
      <c r="J3070" t="s">
        <v>6109</v>
      </c>
    </row>
    <row r="3071" spans="1:10">
      <c r="A3071" s="1">
        <v>168278</v>
      </c>
      <c r="B3071" s="1">
        <v>4178900701</v>
      </c>
      <c r="C3071" s="1">
        <v>8</v>
      </c>
      <c r="D3071" s="1" t="s">
        <v>397</v>
      </c>
      <c r="E3071" t="s">
        <v>6073</v>
      </c>
      <c r="F3071" s="1">
        <v>59469</v>
      </c>
      <c r="G3071" s="1">
        <v>1116605946</v>
      </c>
      <c r="H3071" s="1">
        <v>8</v>
      </c>
      <c r="I3071" s="1" t="s">
        <v>4650</v>
      </c>
      <c r="J3071" t="s">
        <v>6110</v>
      </c>
    </row>
    <row r="3072" spans="1:10">
      <c r="A3072" s="1">
        <v>168286</v>
      </c>
      <c r="B3072" s="1">
        <v>4178900707</v>
      </c>
      <c r="C3072" s="1">
        <v>8</v>
      </c>
      <c r="D3072" s="1" t="s">
        <v>397</v>
      </c>
      <c r="E3072" t="s">
        <v>6074</v>
      </c>
      <c r="F3072" s="1">
        <v>59188</v>
      </c>
      <c r="G3072" s="1">
        <v>1116605918</v>
      </c>
      <c r="H3072" s="1">
        <v>12</v>
      </c>
      <c r="I3072" s="1" t="s">
        <v>375</v>
      </c>
      <c r="J3072" t="s">
        <v>6111</v>
      </c>
    </row>
    <row r="3073" spans="1:10">
      <c r="A3073" s="1">
        <v>873414</v>
      </c>
      <c r="B3073" s="1">
        <v>4178900766</v>
      </c>
      <c r="C3073" s="1">
        <v>8</v>
      </c>
      <c r="D3073" s="1" t="s">
        <v>397</v>
      </c>
      <c r="E3073" t="s">
        <v>6075</v>
      </c>
      <c r="F3073" s="1">
        <v>59774</v>
      </c>
      <c r="G3073" s="1">
        <v>1116605977</v>
      </c>
      <c r="H3073" s="1">
        <v>4</v>
      </c>
      <c r="I3073" s="1" t="s">
        <v>6112</v>
      </c>
      <c r="J3073" t="s">
        <v>6113</v>
      </c>
    </row>
    <row r="3074" spans="1:10">
      <c r="A3074" s="1">
        <v>892315</v>
      </c>
      <c r="B3074" s="1">
        <v>4178900757</v>
      </c>
      <c r="C3074" s="1">
        <v>8</v>
      </c>
      <c r="D3074" s="1" t="s">
        <v>397</v>
      </c>
      <c r="E3074" t="s">
        <v>6076</v>
      </c>
      <c r="F3074" s="1">
        <v>59196</v>
      </c>
      <c r="G3074" s="1">
        <v>1116605919</v>
      </c>
      <c r="H3074" s="1">
        <v>12</v>
      </c>
      <c r="I3074" s="1" t="s">
        <v>375</v>
      </c>
      <c r="J3074" t="s">
        <v>6114</v>
      </c>
    </row>
    <row r="3075" spans="1:10">
      <c r="F3075" s="1">
        <v>59485</v>
      </c>
      <c r="G3075" s="1">
        <v>1116605948</v>
      </c>
      <c r="H3075" s="1">
        <v>8</v>
      </c>
      <c r="I3075" s="1" t="s">
        <v>4650</v>
      </c>
      <c r="J3075" t="s">
        <v>6115</v>
      </c>
    </row>
    <row r="3076" spans="1:10" ht="15.75">
      <c r="A3076" s="4" t="s">
        <v>10768</v>
      </c>
      <c r="B3076" s="2"/>
      <c r="C3076" s="2"/>
      <c r="D3076" s="2"/>
      <c r="E3076" s="3"/>
      <c r="F3076" s="4" t="s">
        <v>10770</v>
      </c>
      <c r="G3076" s="2"/>
      <c r="H3076" s="2"/>
      <c r="I3076" s="2"/>
      <c r="J3076" s="3"/>
    </row>
    <row r="3077" spans="1:10">
      <c r="A3077" s="2" t="s">
        <v>0</v>
      </c>
      <c r="B3077" s="2" t="s">
        <v>1</v>
      </c>
      <c r="C3077" s="2" t="s">
        <v>2</v>
      </c>
      <c r="D3077" s="2" t="s">
        <v>3</v>
      </c>
      <c r="E3077" s="3" t="s">
        <v>4</v>
      </c>
      <c r="F3077" s="2" t="s">
        <v>0</v>
      </c>
      <c r="G3077" s="2" t="s">
        <v>1</v>
      </c>
      <c r="H3077" s="2" t="s">
        <v>2</v>
      </c>
      <c r="I3077" s="2" t="s">
        <v>3</v>
      </c>
      <c r="J3077" s="3" t="s">
        <v>4</v>
      </c>
    </row>
    <row r="3078" spans="1:10">
      <c r="A3078" s="1">
        <v>59246</v>
      </c>
      <c r="B3078" s="1">
        <v>7174031022</v>
      </c>
      <c r="C3078" s="1">
        <v>12</v>
      </c>
      <c r="D3078" s="1" t="s">
        <v>375</v>
      </c>
      <c r="E3078" t="s">
        <v>6116</v>
      </c>
      <c r="F3078" s="1">
        <v>117085</v>
      </c>
      <c r="G3078" s="1">
        <v>64420942027</v>
      </c>
      <c r="H3078" s="1">
        <v>12</v>
      </c>
      <c r="I3078" s="1" t="s">
        <v>2887</v>
      </c>
      <c r="J3078" t="s">
        <v>6155</v>
      </c>
    </row>
    <row r="3079" spans="1:10">
      <c r="A3079" s="1">
        <v>60962</v>
      </c>
      <c r="B3079" s="1">
        <v>7174031005</v>
      </c>
      <c r="C3079" s="1">
        <v>8</v>
      </c>
      <c r="D3079" s="1" t="s">
        <v>4650</v>
      </c>
      <c r="E3079" t="s">
        <v>6117</v>
      </c>
      <c r="F3079" s="1">
        <v>513259</v>
      </c>
      <c r="G3079" s="1">
        <v>73639330175</v>
      </c>
      <c r="H3079" s="1">
        <v>24</v>
      </c>
      <c r="I3079" s="1" t="s">
        <v>358</v>
      </c>
      <c r="J3079" t="s">
        <v>6156</v>
      </c>
    </row>
    <row r="3080" spans="1:10">
      <c r="A3080" s="1">
        <v>59600</v>
      </c>
      <c r="B3080" s="1">
        <v>7174031025</v>
      </c>
      <c r="C3080" s="1">
        <v>8</v>
      </c>
      <c r="D3080" s="1" t="s">
        <v>4650</v>
      </c>
      <c r="E3080" t="s">
        <v>6118</v>
      </c>
      <c r="F3080" s="1">
        <v>153601</v>
      </c>
      <c r="G3080" s="1">
        <v>7248600228</v>
      </c>
      <c r="H3080" s="1">
        <v>4</v>
      </c>
      <c r="I3080" s="1" t="s">
        <v>6157</v>
      </c>
      <c r="J3080" t="s">
        <v>6158</v>
      </c>
    </row>
    <row r="3081" spans="1:10">
      <c r="A3081" s="1">
        <v>64014</v>
      </c>
      <c r="B3081" s="1">
        <v>4790013010</v>
      </c>
      <c r="C3081" s="1">
        <v>8</v>
      </c>
      <c r="D3081" s="1" t="s">
        <v>375</v>
      </c>
      <c r="E3081" t="s">
        <v>6119</v>
      </c>
      <c r="F3081" s="1">
        <v>468462</v>
      </c>
      <c r="G3081" s="1">
        <v>7248600905</v>
      </c>
      <c r="H3081" s="1">
        <v>24</v>
      </c>
      <c r="I3081" s="1" t="s">
        <v>360</v>
      </c>
      <c r="J3081" t="s">
        <v>6159</v>
      </c>
    </row>
    <row r="3082" spans="1:10">
      <c r="A3082" s="1">
        <v>55970</v>
      </c>
      <c r="B3082" s="1">
        <v>1020009100</v>
      </c>
      <c r="C3082" s="1">
        <v>15</v>
      </c>
      <c r="D3082" s="1" t="s">
        <v>375</v>
      </c>
      <c r="E3082" t="s">
        <v>6120</v>
      </c>
      <c r="F3082" s="1">
        <v>68668</v>
      </c>
      <c r="G3082" s="1">
        <v>7248600250</v>
      </c>
      <c r="H3082" s="1">
        <v>24</v>
      </c>
      <c r="I3082" s="1" t="s">
        <v>360</v>
      </c>
      <c r="J3082" t="s">
        <v>6160</v>
      </c>
    </row>
    <row r="3083" spans="1:10">
      <c r="A3083" s="1">
        <v>59527</v>
      </c>
      <c r="B3083" s="1">
        <v>1020010500</v>
      </c>
      <c r="C3083" s="1">
        <v>8</v>
      </c>
      <c r="D3083" s="1" t="s">
        <v>4650</v>
      </c>
      <c r="E3083" t="s">
        <v>6121</v>
      </c>
      <c r="F3083" s="1">
        <v>68635</v>
      </c>
      <c r="G3083" s="1">
        <v>7248600240</v>
      </c>
      <c r="H3083" s="1">
        <v>24</v>
      </c>
      <c r="I3083" s="1" t="s">
        <v>360</v>
      </c>
      <c r="J3083" t="s">
        <v>6161</v>
      </c>
    </row>
    <row r="3084" spans="1:10">
      <c r="A3084" s="1">
        <v>59436</v>
      </c>
      <c r="B3084" s="1">
        <v>1020010300</v>
      </c>
      <c r="C3084" s="1">
        <v>15</v>
      </c>
      <c r="D3084" s="1" t="s">
        <v>375</v>
      </c>
      <c r="E3084" t="s">
        <v>6122</v>
      </c>
      <c r="F3084" s="1">
        <v>68627</v>
      </c>
      <c r="G3084" s="1">
        <v>7248600220</v>
      </c>
      <c r="H3084" s="1">
        <v>24</v>
      </c>
      <c r="I3084" s="1" t="s">
        <v>365</v>
      </c>
      <c r="J3084" t="s">
        <v>6162</v>
      </c>
    </row>
    <row r="3085" spans="1:10">
      <c r="A3085" s="1">
        <v>308197</v>
      </c>
      <c r="B3085" s="1">
        <v>1600018980</v>
      </c>
      <c r="C3085" s="1">
        <v>12</v>
      </c>
      <c r="D3085" s="1" t="s">
        <v>1180</v>
      </c>
      <c r="E3085" t="s">
        <v>6123</v>
      </c>
      <c r="F3085" s="1">
        <v>707083</v>
      </c>
      <c r="G3085" s="1">
        <v>7248600280</v>
      </c>
      <c r="H3085" s="1">
        <v>24</v>
      </c>
      <c r="I3085" s="1" t="s">
        <v>360</v>
      </c>
      <c r="J3085" t="s">
        <v>6163</v>
      </c>
    </row>
    <row r="3086" spans="1:10" ht="15.75">
      <c r="A3086" s="4" t="s">
        <v>10769</v>
      </c>
      <c r="B3086" s="2"/>
      <c r="C3086" s="2"/>
      <c r="D3086" s="2"/>
      <c r="E3086" s="3"/>
      <c r="F3086" s="1">
        <v>67611</v>
      </c>
      <c r="G3086" s="1">
        <v>4144930108</v>
      </c>
      <c r="H3086" s="1">
        <v>12</v>
      </c>
      <c r="I3086" s="1" t="s">
        <v>706</v>
      </c>
      <c r="J3086" t="s">
        <v>6164</v>
      </c>
    </row>
    <row r="3087" spans="1:10">
      <c r="A3087" s="2" t="s">
        <v>0</v>
      </c>
      <c r="B3087" s="2" t="s">
        <v>1</v>
      </c>
      <c r="C3087" s="2" t="s">
        <v>2</v>
      </c>
      <c r="D3087" s="2" t="s">
        <v>3</v>
      </c>
      <c r="E3087" s="3" t="s">
        <v>4</v>
      </c>
      <c r="F3087" s="1">
        <v>67264</v>
      </c>
      <c r="G3087" s="1">
        <v>4144930140</v>
      </c>
      <c r="H3087" s="1">
        <v>12</v>
      </c>
      <c r="I3087" s="1" t="s">
        <v>706</v>
      </c>
      <c r="J3087" t="s">
        <v>6165</v>
      </c>
    </row>
    <row r="3088" spans="1:10">
      <c r="A3088" s="1">
        <v>68031</v>
      </c>
      <c r="B3088" s="1">
        <v>7192300183</v>
      </c>
      <c r="C3088" s="1">
        <v>12</v>
      </c>
      <c r="D3088" s="1" t="s">
        <v>1626</v>
      </c>
      <c r="E3088" t="s">
        <v>6124</v>
      </c>
      <c r="F3088" s="1">
        <v>67462</v>
      </c>
      <c r="G3088" s="1">
        <v>4144930011</v>
      </c>
      <c r="H3088" s="1">
        <v>12</v>
      </c>
      <c r="I3088" s="1" t="s">
        <v>910</v>
      </c>
      <c r="J3088" t="s">
        <v>6166</v>
      </c>
    </row>
    <row r="3089" spans="1:10">
      <c r="A3089" s="1">
        <v>61846</v>
      </c>
      <c r="B3089" s="1">
        <v>1600042040</v>
      </c>
      <c r="C3089" s="1">
        <v>15</v>
      </c>
      <c r="D3089" s="1" t="s">
        <v>553</v>
      </c>
      <c r="E3089" t="s">
        <v>6125</v>
      </c>
      <c r="F3089" s="1">
        <v>68650</v>
      </c>
      <c r="G3089" s="1">
        <v>1330054701</v>
      </c>
      <c r="H3089" s="1">
        <v>24</v>
      </c>
      <c r="I3089" s="1" t="s">
        <v>360</v>
      </c>
      <c r="J3089" t="s">
        <v>6167</v>
      </c>
    </row>
    <row r="3090" spans="1:10">
      <c r="A3090" s="1">
        <v>61655</v>
      </c>
      <c r="B3090" s="1">
        <v>1600013570</v>
      </c>
      <c r="C3090" s="1">
        <v>22</v>
      </c>
      <c r="D3090" s="1" t="s">
        <v>3441</v>
      </c>
      <c r="E3090" t="s">
        <v>6126</v>
      </c>
      <c r="F3090" s="1">
        <v>294488</v>
      </c>
      <c r="G3090" s="1">
        <v>1330000109</v>
      </c>
      <c r="H3090" s="1">
        <v>24</v>
      </c>
      <c r="I3090" s="1" t="s">
        <v>360</v>
      </c>
      <c r="J3090" t="s">
        <v>6168</v>
      </c>
    </row>
    <row r="3091" spans="1:10">
      <c r="A3091" s="1">
        <v>61648</v>
      </c>
      <c r="B3091" s="1">
        <v>1600042060</v>
      </c>
      <c r="C3091" s="1">
        <v>12</v>
      </c>
      <c r="D3091" s="1" t="s">
        <v>938</v>
      </c>
      <c r="E3091" t="s">
        <v>6127</v>
      </c>
      <c r="F3091" s="1">
        <v>69641</v>
      </c>
      <c r="G3091" s="1">
        <v>1330055105</v>
      </c>
      <c r="H3091" s="1">
        <v>24</v>
      </c>
      <c r="I3091" s="1" t="s">
        <v>1763</v>
      </c>
      <c r="J3091" t="s">
        <v>6169</v>
      </c>
    </row>
    <row r="3092" spans="1:10">
      <c r="A3092" s="1">
        <v>61895</v>
      </c>
      <c r="B3092" s="1">
        <v>1600013540</v>
      </c>
      <c r="C3092" s="1">
        <v>22</v>
      </c>
      <c r="D3092" s="1" t="s">
        <v>358</v>
      </c>
      <c r="E3092" t="s">
        <v>6128</v>
      </c>
      <c r="F3092" s="1">
        <v>68643</v>
      </c>
      <c r="G3092" s="1">
        <v>1330057001</v>
      </c>
      <c r="H3092" s="1">
        <v>24</v>
      </c>
      <c r="I3092" s="1" t="s">
        <v>358</v>
      </c>
      <c r="J3092" t="s">
        <v>6170</v>
      </c>
    </row>
    <row r="3093" spans="1:10" ht="15.75">
      <c r="A3093" s="1">
        <v>61804</v>
      </c>
      <c r="B3093" s="1">
        <v>1600013550</v>
      </c>
      <c r="C3093" s="1">
        <v>22</v>
      </c>
      <c r="D3093" s="1" t="s">
        <v>3441</v>
      </c>
      <c r="E3093" t="s">
        <v>6129</v>
      </c>
      <c r="F3093" s="4" t="s">
        <v>10771</v>
      </c>
      <c r="G3093" s="2"/>
      <c r="H3093" s="2"/>
      <c r="I3093" s="2"/>
      <c r="J3093" s="3"/>
    </row>
    <row r="3094" spans="1:10">
      <c r="A3094" s="1">
        <v>61663</v>
      </c>
      <c r="B3094" s="1">
        <v>1600042080</v>
      </c>
      <c r="C3094" s="1">
        <v>8</v>
      </c>
      <c r="D3094" s="1" t="s">
        <v>6130</v>
      </c>
      <c r="E3094" t="s">
        <v>6131</v>
      </c>
      <c r="F3094" s="2" t="s">
        <v>0</v>
      </c>
      <c r="G3094" s="2" t="s">
        <v>1</v>
      </c>
      <c r="H3094" s="2" t="s">
        <v>2</v>
      </c>
      <c r="I3094" s="2" t="s">
        <v>3</v>
      </c>
      <c r="J3094" s="3" t="s">
        <v>4</v>
      </c>
    </row>
    <row r="3095" spans="1:10">
      <c r="A3095" s="1">
        <v>61549</v>
      </c>
      <c r="B3095" s="1">
        <v>1600042100</v>
      </c>
      <c r="C3095" s="1">
        <v>24</v>
      </c>
      <c r="D3095" s="1" t="s">
        <v>781</v>
      </c>
      <c r="E3095" t="s">
        <v>6132</v>
      </c>
      <c r="F3095" s="1">
        <v>69542</v>
      </c>
      <c r="G3095" s="1">
        <v>7248600150</v>
      </c>
      <c r="H3095" s="1">
        <v>24</v>
      </c>
      <c r="I3095" s="1" t="s">
        <v>546</v>
      </c>
      <c r="J3095" t="s">
        <v>6171</v>
      </c>
    </row>
    <row r="3096" spans="1:10">
      <c r="A3096" s="1">
        <v>61952</v>
      </c>
      <c r="B3096" s="1">
        <v>1600042170</v>
      </c>
      <c r="C3096" s="1">
        <v>15</v>
      </c>
      <c r="D3096" s="1" t="s">
        <v>553</v>
      </c>
      <c r="E3096" t="s">
        <v>6133</v>
      </c>
      <c r="F3096" s="1">
        <v>69369</v>
      </c>
      <c r="G3096" s="1">
        <v>7891317217</v>
      </c>
      <c r="H3096" s="1">
        <v>12</v>
      </c>
      <c r="I3096" s="1" t="s">
        <v>397</v>
      </c>
      <c r="J3096" t="s">
        <v>6172</v>
      </c>
    </row>
    <row r="3097" spans="1:10">
      <c r="A3097" s="1">
        <v>61705</v>
      </c>
      <c r="B3097" s="1">
        <v>7248600110</v>
      </c>
      <c r="C3097" s="1">
        <v>12</v>
      </c>
      <c r="D3097" s="1" t="s">
        <v>553</v>
      </c>
      <c r="E3097" t="s">
        <v>6134</v>
      </c>
      <c r="F3097" s="1">
        <v>820985</v>
      </c>
      <c r="G3097" s="1">
        <v>7891317028</v>
      </c>
      <c r="H3097" s="1">
        <v>24</v>
      </c>
      <c r="I3097" s="1" t="s">
        <v>404</v>
      </c>
      <c r="J3097" t="s">
        <v>6173</v>
      </c>
    </row>
    <row r="3098" spans="1:10">
      <c r="A3098" s="1">
        <v>61754</v>
      </c>
      <c r="B3098" s="1">
        <v>7174035100</v>
      </c>
      <c r="C3098" s="1">
        <v>24</v>
      </c>
      <c r="D3098" s="1" t="s">
        <v>781</v>
      </c>
      <c r="E3098" t="s">
        <v>6135</v>
      </c>
      <c r="F3098" s="1">
        <v>69310</v>
      </c>
      <c r="G3098" s="1">
        <v>7891317037</v>
      </c>
      <c r="H3098" s="1">
        <v>12</v>
      </c>
      <c r="I3098" s="1" t="s">
        <v>404</v>
      </c>
      <c r="J3098" t="s">
        <v>6174</v>
      </c>
    </row>
    <row r="3099" spans="1:10">
      <c r="A3099" s="1">
        <v>61861</v>
      </c>
      <c r="B3099" s="1">
        <v>7174035200</v>
      </c>
      <c r="C3099" s="1">
        <v>24</v>
      </c>
      <c r="D3099" s="1" t="s">
        <v>360</v>
      </c>
      <c r="E3099" t="s">
        <v>6136</v>
      </c>
      <c r="F3099" s="1">
        <v>69609</v>
      </c>
      <c r="G3099" s="1">
        <v>7891318606</v>
      </c>
      <c r="H3099" s="1">
        <v>12</v>
      </c>
      <c r="I3099" s="1" t="s">
        <v>546</v>
      </c>
      <c r="J3099" t="s">
        <v>6175</v>
      </c>
    </row>
    <row r="3100" spans="1:10">
      <c r="A3100" s="1">
        <v>501502</v>
      </c>
      <c r="B3100" s="1">
        <v>7174035250</v>
      </c>
      <c r="C3100" s="1">
        <v>10</v>
      </c>
      <c r="D3100" s="1" t="s">
        <v>6137</v>
      </c>
      <c r="E3100" t="s">
        <v>6138</v>
      </c>
      <c r="F3100" s="1">
        <v>69393</v>
      </c>
      <c r="G3100" s="1">
        <v>7891318598</v>
      </c>
      <c r="H3100" s="1">
        <v>12</v>
      </c>
      <c r="I3100" s="1" t="s">
        <v>404</v>
      </c>
      <c r="J3100" t="s">
        <v>6176</v>
      </c>
    </row>
    <row r="3101" spans="1:10" ht="15.75">
      <c r="A3101" s="4" t="s">
        <v>10770</v>
      </c>
      <c r="B3101" s="2"/>
      <c r="C3101" s="2"/>
      <c r="D3101" s="2"/>
      <c r="E3101" s="3"/>
      <c r="F3101" s="1">
        <v>69336</v>
      </c>
      <c r="G3101" s="1">
        <v>7891317047</v>
      </c>
      <c r="H3101" s="1">
        <v>12</v>
      </c>
      <c r="I3101" s="1" t="s">
        <v>404</v>
      </c>
      <c r="J3101" t="s">
        <v>6177</v>
      </c>
    </row>
    <row r="3102" spans="1:10">
      <c r="A3102" s="2" t="s">
        <v>0</v>
      </c>
      <c r="B3102" s="2" t="s">
        <v>1</v>
      </c>
      <c r="C3102" s="2" t="s">
        <v>2</v>
      </c>
      <c r="D3102" s="2" t="s">
        <v>3</v>
      </c>
      <c r="E3102" s="3" t="s">
        <v>4</v>
      </c>
      <c r="F3102" s="1">
        <v>109983</v>
      </c>
      <c r="G3102" s="1">
        <v>1116610998</v>
      </c>
      <c r="H3102" s="1">
        <v>12</v>
      </c>
      <c r="I3102" s="1" t="s">
        <v>404</v>
      </c>
      <c r="J3102" t="s">
        <v>6178</v>
      </c>
    </row>
    <row r="3103" spans="1:10" ht="15.75">
      <c r="A3103" s="1">
        <v>75465</v>
      </c>
      <c r="B3103" s="1">
        <v>1600042870</v>
      </c>
      <c r="C3103" s="1">
        <v>12</v>
      </c>
      <c r="D3103" s="1" t="s">
        <v>1298</v>
      </c>
      <c r="E3103" t="s">
        <v>6139</v>
      </c>
      <c r="F3103" s="4" t="s">
        <v>10772</v>
      </c>
      <c r="G3103" s="2"/>
      <c r="H3103" s="2"/>
      <c r="I3103" s="2"/>
      <c r="J3103" s="3"/>
    </row>
    <row r="3104" spans="1:10">
      <c r="A3104" s="1">
        <v>324822</v>
      </c>
      <c r="B3104" s="1">
        <v>1600026087</v>
      </c>
      <c r="C3104" s="1">
        <v>12</v>
      </c>
      <c r="D3104" s="1" t="s">
        <v>6140</v>
      </c>
      <c r="E3104" t="s">
        <v>6141</v>
      </c>
      <c r="F3104" s="2" t="s">
        <v>0</v>
      </c>
      <c r="G3104" s="2" t="s">
        <v>1</v>
      </c>
      <c r="H3104" s="2" t="s">
        <v>2</v>
      </c>
      <c r="I3104" s="2" t="s">
        <v>3</v>
      </c>
      <c r="J3104" s="3" t="s">
        <v>4</v>
      </c>
    </row>
    <row r="3105" spans="1:10">
      <c r="A3105" s="1">
        <v>68759</v>
      </c>
      <c r="B3105" s="1">
        <v>1600047410</v>
      </c>
      <c r="C3105" s="1">
        <v>12</v>
      </c>
      <c r="D3105" s="1" t="s">
        <v>1426</v>
      </c>
      <c r="E3105" t="s">
        <v>6142</v>
      </c>
      <c r="F3105" s="1">
        <v>84673</v>
      </c>
      <c r="G3105" s="1">
        <v>1600032470</v>
      </c>
      <c r="H3105" s="1">
        <v>12</v>
      </c>
      <c r="I3105" s="1" t="s">
        <v>6179</v>
      </c>
      <c r="J3105" t="s">
        <v>6180</v>
      </c>
    </row>
    <row r="3106" spans="1:10">
      <c r="A3106" s="1">
        <v>68544</v>
      </c>
      <c r="B3106" s="1">
        <v>1600030220</v>
      </c>
      <c r="C3106" s="1">
        <v>24</v>
      </c>
      <c r="D3106" s="1" t="s">
        <v>465</v>
      </c>
      <c r="E3106" t="s">
        <v>6143</v>
      </c>
      <c r="F3106" s="1">
        <v>742197</v>
      </c>
      <c r="G3106" s="1">
        <v>1600044530</v>
      </c>
      <c r="H3106" s="1">
        <v>12</v>
      </c>
      <c r="I3106" s="1" t="s">
        <v>1409</v>
      </c>
      <c r="J3106" t="s">
        <v>6181</v>
      </c>
    </row>
    <row r="3107" spans="1:10">
      <c r="A3107" s="1">
        <v>542555</v>
      </c>
      <c r="B3107" s="1">
        <v>1600027184</v>
      </c>
      <c r="C3107" s="1">
        <v>12</v>
      </c>
      <c r="D3107" s="1" t="s">
        <v>1407</v>
      </c>
      <c r="E3107" t="s">
        <v>6144</v>
      </c>
      <c r="F3107" s="1">
        <v>84806</v>
      </c>
      <c r="G3107" s="1">
        <v>1600031990</v>
      </c>
      <c r="H3107" s="1">
        <v>12</v>
      </c>
      <c r="I3107" s="1" t="s">
        <v>1330</v>
      </c>
      <c r="J3107" t="s">
        <v>6182</v>
      </c>
    </row>
    <row r="3108" spans="1:10">
      <c r="A3108" s="1">
        <v>533232</v>
      </c>
      <c r="B3108" s="1">
        <v>1600042540</v>
      </c>
      <c r="C3108" s="1">
        <v>12</v>
      </c>
      <c r="D3108" s="1" t="s">
        <v>3661</v>
      </c>
      <c r="E3108" t="s">
        <v>6145</v>
      </c>
      <c r="F3108" s="1">
        <v>347401</v>
      </c>
      <c r="G3108" s="1">
        <v>74407001010</v>
      </c>
      <c r="H3108" s="1">
        <v>12</v>
      </c>
      <c r="I3108" s="1" t="s">
        <v>489</v>
      </c>
      <c r="J3108" t="s">
        <v>6183</v>
      </c>
    </row>
    <row r="3109" spans="1:10">
      <c r="A3109" s="1">
        <v>406298</v>
      </c>
      <c r="B3109" s="1">
        <v>1600042470</v>
      </c>
      <c r="C3109" s="1">
        <v>12</v>
      </c>
      <c r="D3109" s="1" t="s">
        <v>1483</v>
      </c>
      <c r="E3109" t="s">
        <v>6146</v>
      </c>
      <c r="F3109" s="1">
        <v>442442</v>
      </c>
      <c r="G3109" s="1">
        <v>73639330275</v>
      </c>
      <c r="H3109" s="1">
        <v>24</v>
      </c>
      <c r="I3109" s="1" t="s">
        <v>358</v>
      </c>
      <c r="J3109" t="s">
        <v>6184</v>
      </c>
    </row>
    <row r="3110" spans="1:10">
      <c r="A3110" s="1">
        <v>118661</v>
      </c>
      <c r="B3110" s="1">
        <v>1600030500</v>
      </c>
      <c r="C3110" s="1">
        <v>24</v>
      </c>
      <c r="D3110" s="1" t="s">
        <v>465</v>
      </c>
      <c r="E3110" t="s">
        <v>6147</v>
      </c>
      <c r="F3110" s="1">
        <v>69047</v>
      </c>
      <c r="G3110" s="1">
        <v>1330053101</v>
      </c>
      <c r="H3110" s="1">
        <v>24</v>
      </c>
      <c r="I3110" s="1" t="s">
        <v>404</v>
      </c>
      <c r="J3110" t="s">
        <v>6185</v>
      </c>
    </row>
    <row r="3111" spans="1:10">
      <c r="A3111" s="1">
        <v>891879</v>
      </c>
      <c r="B3111" s="1">
        <v>1600032400</v>
      </c>
      <c r="C3111" s="1">
        <v>12</v>
      </c>
      <c r="D3111" s="1" t="s">
        <v>1298</v>
      </c>
      <c r="E3111" t="s">
        <v>6148</v>
      </c>
      <c r="F3111" s="1">
        <v>63594</v>
      </c>
      <c r="G3111" s="1">
        <v>5150079480</v>
      </c>
      <c r="H3111" s="1">
        <v>12</v>
      </c>
      <c r="I3111" s="1" t="s">
        <v>259</v>
      </c>
      <c r="J3111" t="s">
        <v>6186</v>
      </c>
    </row>
    <row r="3112" spans="1:10">
      <c r="A3112" s="1">
        <v>118620</v>
      </c>
      <c r="B3112" s="1">
        <v>1600030230</v>
      </c>
      <c r="C3112" s="1">
        <v>24</v>
      </c>
      <c r="D3112" s="1" t="s">
        <v>465</v>
      </c>
      <c r="E3112" t="s">
        <v>6149</v>
      </c>
      <c r="F3112" s="1">
        <v>590687</v>
      </c>
      <c r="G3112" s="1">
        <v>5150079420</v>
      </c>
      <c r="H3112" s="1">
        <v>12</v>
      </c>
      <c r="I3112" s="1" t="s">
        <v>1275</v>
      </c>
      <c r="J3112" t="s">
        <v>6187</v>
      </c>
    </row>
    <row r="3113" spans="1:10">
      <c r="A3113" s="1">
        <v>194795</v>
      </c>
      <c r="B3113" s="1">
        <v>1600030590</v>
      </c>
      <c r="C3113" s="1">
        <v>24</v>
      </c>
      <c r="D3113" s="1" t="s">
        <v>465</v>
      </c>
      <c r="E3113" t="s">
        <v>6150</v>
      </c>
      <c r="F3113" s="1">
        <v>590679</v>
      </c>
      <c r="G3113" s="1">
        <v>5150079400</v>
      </c>
      <c r="H3113" s="1">
        <v>12</v>
      </c>
      <c r="I3113" s="1" t="s">
        <v>6188</v>
      </c>
      <c r="J3113" t="s">
        <v>6189</v>
      </c>
    </row>
    <row r="3114" spans="1:10">
      <c r="A3114" s="1">
        <v>62497</v>
      </c>
      <c r="B3114" s="1">
        <v>64420942743</v>
      </c>
      <c r="C3114" s="1">
        <v>12</v>
      </c>
      <c r="D3114" s="1" t="s">
        <v>4848</v>
      </c>
      <c r="E3114" t="s">
        <v>6151</v>
      </c>
      <c r="F3114" s="1">
        <v>590695</v>
      </c>
      <c r="G3114" s="1">
        <v>5150079590</v>
      </c>
      <c r="H3114" s="1">
        <v>12</v>
      </c>
      <c r="I3114" s="1" t="s">
        <v>259</v>
      </c>
      <c r="J3114" t="s">
        <v>6190</v>
      </c>
    </row>
    <row r="3115" spans="1:10">
      <c r="A3115" s="1">
        <v>62422</v>
      </c>
      <c r="B3115" s="1">
        <v>64420942012</v>
      </c>
      <c r="C3115" s="1">
        <v>12</v>
      </c>
      <c r="D3115" s="1" t="s">
        <v>706</v>
      </c>
      <c r="E3115" t="s">
        <v>6152</v>
      </c>
      <c r="F3115" s="1">
        <v>26674</v>
      </c>
      <c r="G3115" s="1">
        <v>5150065330</v>
      </c>
      <c r="H3115" s="1">
        <v>12</v>
      </c>
      <c r="I3115" s="1" t="s">
        <v>381</v>
      </c>
      <c r="J3115" t="s">
        <v>6191</v>
      </c>
    </row>
    <row r="3116" spans="1:10">
      <c r="A3116" s="1">
        <v>68395</v>
      </c>
      <c r="B3116" s="1">
        <v>64420942016</v>
      </c>
      <c r="C3116" s="1">
        <v>12</v>
      </c>
      <c r="D3116" s="1" t="s">
        <v>6153</v>
      </c>
      <c r="E3116" t="s">
        <v>6154</v>
      </c>
      <c r="F3116" s="1">
        <v>64816</v>
      </c>
      <c r="G3116" s="1">
        <v>7174035400</v>
      </c>
      <c r="H3116" s="1">
        <v>24</v>
      </c>
      <c r="I3116" s="1" t="s">
        <v>404</v>
      </c>
      <c r="J3116" t="s">
        <v>6192</v>
      </c>
    </row>
    <row r="3117" spans="1:10" ht="15.75">
      <c r="A3117" s="4" t="s">
        <v>10773</v>
      </c>
      <c r="B3117" s="2"/>
      <c r="C3117" s="2"/>
      <c r="D3117" s="2"/>
      <c r="E3117" s="3"/>
      <c r="F3117" s="4" t="s">
        <v>10774</v>
      </c>
      <c r="G3117" s="2"/>
      <c r="H3117" s="2"/>
      <c r="I3117" s="2"/>
      <c r="J3117" s="3"/>
    </row>
    <row r="3118" spans="1:10">
      <c r="A3118" s="2" t="s">
        <v>0</v>
      </c>
      <c r="B3118" s="2" t="s">
        <v>1</v>
      </c>
      <c r="C3118" s="2" t="s">
        <v>2</v>
      </c>
      <c r="D3118" s="2" t="s">
        <v>3</v>
      </c>
      <c r="E3118" s="3" t="s">
        <v>4</v>
      </c>
      <c r="F3118" s="2" t="s">
        <v>0</v>
      </c>
      <c r="G3118" s="2" t="s">
        <v>1</v>
      </c>
      <c r="H3118" s="2" t="s">
        <v>2</v>
      </c>
      <c r="I3118" s="2" t="s">
        <v>3</v>
      </c>
      <c r="J3118" s="3" t="s">
        <v>4</v>
      </c>
    </row>
    <row r="3119" spans="1:10">
      <c r="A3119" s="1">
        <v>545665</v>
      </c>
      <c r="B3119" s="1">
        <v>3800007501</v>
      </c>
      <c r="C3119" s="1">
        <v>12</v>
      </c>
      <c r="D3119" s="1" t="s">
        <v>404</v>
      </c>
      <c r="E3119" t="s">
        <v>6193</v>
      </c>
      <c r="F3119" s="1">
        <v>708941</v>
      </c>
      <c r="G3119" s="1">
        <v>4300095825</v>
      </c>
      <c r="H3119" s="1">
        <v>8</v>
      </c>
      <c r="I3119" s="1" t="s">
        <v>781</v>
      </c>
      <c r="J3119" t="s">
        <v>6225</v>
      </c>
    </row>
    <row r="3120" spans="1:10">
      <c r="A3120" s="1">
        <v>29835</v>
      </c>
      <c r="B3120" s="1">
        <v>1116602983</v>
      </c>
      <c r="C3120" s="1">
        <v>12</v>
      </c>
      <c r="D3120" s="1" t="s">
        <v>347</v>
      </c>
      <c r="E3120" t="s">
        <v>6194</v>
      </c>
      <c r="F3120" s="1">
        <v>708982</v>
      </c>
      <c r="G3120" s="1">
        <v>4300095802</v>
      </c>
      <c r="H3120" s="1">
        <v>12</v>
      </c>
      <c r="I3120" s="1" t="s">
        <v>363</v>
      </c>
      <c r="J3120" t="s">
        <v>6226</v>
      </c>
    </row>
    <row r="3121" spans="1:10">
      <c r="A3121" s="1">
        <v>29215</v>
      </c>
      <c r="B3121" s="1">
        <v>1116602921</v>
      </c>
      <c r="C3121" s="1">
        <v>12</v>
      </c>
      <c r="D3121" s="1" t="s">
        <v>404</v>
      </c>
      <c r="E3121" t="s">
        <v>6194</v>
      </c>
      <c r="F3121" s="1">
        <v>709006</v>
      </c>
      <c r="G3121" s="1">
        <v>4300026917</v>
      </c>
      <c r="H3121" s="1">
        <v>8</v>
      </c>
      <c r="I3121" s="1" t="s">
        <v>489</v>
      </c>
      <c r="J3121" t="s">
        <v>6227</v>
      </c>
    </row>
    <row r="3122" spans="1:10">
      <c r="A3122" s="1">
        <v>29223</v>
      </c>
      <c r="B3122" s="1">
        <v>1116602922</v>
      </c>
      <c r="C3122" s="1">
        <v>12</v>
      </c>
      <c r="D3122" s="1" t="s">
        <v>404</v>
      </c>
      <c r="E3122" t="s">
        <v>6195</v>
      </c>
      <c r="F3122" s="1">
        <v>172551</v>
      </c>
      <c r="G3122" s="1">
        <v>4119689102</v>
      </c>
      <c r="H3122" s="1">
        <v>12</v>
      </c>
      <c r="I3122" s="1" t="s">
        <v>910</v>
      </c>
      <c r="J3122" t="s">
        <v>6228</v>
      </c>
    </row>
    <row r="3123" spans="1:10">
      <c r="A3123" s="1">
        <v>29728</v>
      </c>
      <c r="B3123" s="1">
        <v>1116602972</v>
      </c>
      <c r="C3123" s="1">
        <v>12</v>
      </c>
      <c r="D3123" s="1" t="s">
        <v>404</v>
      </c>
      <c r="E3123" t="s">
        <v>6196</v>
      </c>
      <c r="F3123" s="1">
        <v>171439</v>
      </c>
      <c r="G3123" s="1">
        <v>4119689107</v>
      </c>
      <c r="H3123" s="1">
        <v>12</v>
      </c>
      <c r="I3123" s="1" t="s">
        <v>439</v>
      </c>
      <c r="J3123" t="s">
        <v>6229</v>
      </c>
    </row>
    <row r="3124" spans="1:10">
      <c r="A3124" s="1">
        <v>886630</v>
      </c>
      <c r="B3124" s="1">
        <v>1116601343</v>
      </c>
      <c r="C3124" s="1">
        <v>12</v>
      </c>
      <c r="D3124" s="1" t="s">
        <v>404</v>
      </c>
      <c r="E3124" t="s">
        <v>6197</v>
      </c>
      <c r="F3124" s="1">
        <v>171108</v>
      </c>
      <c r="G3124" s="1">
        <v>4119689103</v>
      </c>
      <c r="H3124" s="1">
        <v>12</v>
      </c>
      <c r="I3124" s="1" t="s">
        <v>399</v>
      </c>
      <c r="J3124" t="s">
        <v>6228</v>
      </c>
    </row>
    <row r="3125" spans="1:10">
      <c r="A3125" s="1">
        <v>608539</v>
      </c>
      <c r="B3125" s="1">
        <v>4300002324</v>
      </c>
      <c r="C3125" s="1">
        <v>10</v>
      </c>
      <c r="D3125" s="1" t="s">
        <v>31</v>
      </c>
      <c r="E3125" t="s">
        <v>6198</v>
      </c>
      <c r="F3125" s="1">
        <v>174011</v>
      </c>
      <c r="G3125" s="1">
        <v>4119689108</v>
      </c>
      <c r="H3125" s="1">
        <v>12</v>
      </c>
      <c r="I3125" s="1" t="s">
        <v>910</v>
      </c>
      <c r="J3125" t="s">
        <v>6230</v>
      </c>
    </row>
    <row r="3126" spans="1:10">
      <c r="A3126" s="1">
        <v>655332</v>
      </c>
      <c r="B3126" s="1">
        <v>4300002326</v>
      </c>
      <c r="C3126" s="1">
        <v>10</v>
      </c>
      <c r="D3126" s="1" t="s">
        <v>31</v>
      </c>
      <c r="E3126" t="s">
        <v>6199</v>
      </c>
      <c r="F3126" s="1">
        <v>605584</v>
      </c>
      <c r="G3126" s="1">
        <v>4119689149</v>
      </c>
      <c r="H3126" s="1">
        <v>6</v>
      </c>
      <c r="I3126" s="1" t="s">
        <v>553</v>
      </c>
      <c r="J3126" t="s">
        <v>6231</v>
      </c>
    </row>
    <row r="3127" spans="1:10">
      <c r="A3127" s="1">
        <v>30494</v>
      </c>
      <c r="B3127" s="1">
        <v>4300028589</v>
      </c>
      <c r="C3127" s="1">
        <v>12</v>
      </c>
      <c r="D3127" s="1" t="s">
        <v>404</v>
      </c>
      <c r="E3127" t="s">
        <v>6200</v>
      </c>
      <c r="F3127" s="1">
        <v>100784</v>
      </c>
      <c r="G3127" s="1">
        <v>1116610078</v>
      </c>
      <c r="H3127" s="1">
        <v>12</v>
      </c>
      <c r="I3127" s="1" t="s">
        <v>781</v>
      </c>
      <c r="J3127" t="s">
        <v>6232</v>
      </c>
    </row>
    <row r="3128" spans="1:10">
      <c r="A3128" s="1">
        <v>30247</v>
      </c>
      <c r="B3128" s="1">
        <v>4300028588</v>
      </c>
      <c r="C3128" s="1">
        <v>12</v>
      </c>
      <c r="D3128" s="1" t="s">
        <v>347</v>
      </c>
      <c r="E3128" t="s">
        <v>6201</v>
      </c>
      <c r="F3128" s="1">
        <v>29371</v>
      </c>
      <c r="G3128" s="1">
        <v>1116602937</v>
      </c>
      <c r="H3128" s="1">
        <v>12</v>
      </c>
      <c r="I3128" s="1" t="s">
        <v>910</v>
      </c>
      <c r="J3128" t="s">
        <v>6233</v>
      </c>
    </row>
    <row r="3129" spans="1:10">
      <c r="A3129" s="1">
        <v>70771</v>
      </c>
      <c r="B3129" s="1">
        <v>4300028521</v>
      </c>
      <c r="C3129" s="1">
        <v>28</v>
      </c>
      <c r="D3129" s="1" t="s">
        <v>404</v>
      </c>
      <c r="E3129" t="s">
        <v>6201</v>
      </c>
      <c r="F3129" s="1">
        <v>29405</v>
      </c>
      <c r="G3129" s="1">
        <v>1116602940</v>
      </c>
      <c r="H3129" s="1">
        <v>12</v>
      </c>
      <c r="I3129" s="1" t="s">
        <v>910</v>
      </c>
      <c r="J3129" t="s">
        <v>6234</v>
      </c>
    </row>
    <row r="3130" spans="1:10">
      <c r="A3130" s="1">
        <v>30254</v>
      </c>
      <c r="B3130" s="1">
        <v>4300028585</v>
      </c>
      <c r="C3130" s="1">
        <v>12</v>
      </c>
      <c r="D3130" s="1" t="s">
        <v>399</v>
      </c>
      <c r="E3130" t="s">
        <v>6201</v>
      </c>
      <c r="F3130" s="1">
        <v>100719</v>
      </c>
      <c r="G3130" s="1">
        <v>1116610077</v>
      </c>
      <c r="H3130" s="1">
        <v>12</v>
      </c>
      <c r="I3130" s="1" t="s">
        <v>404</v>
      </c>
      <c r="J3130" t="s">
        <v>6235</v>
      </c>
    </row>
    <row r="3131" spans="1:10">
      <c r="A3131" s="1">
        <v>31401</v>
      </c>
      <c r="B3131" s="1">
        <v>4300028532</v>
      </c>
      <c r="C3131" s="1">
        <v>12</v>
      </c>
      <c r="D3131" s="1" t="s">
        <v>404</v>
      </c>
      <c r="E3131" t="s">
        <v>6202</v>
      </c>
      <c r="F3131" s="1">
        <v>77073</v>
      </c>
      <c r="G3131" s="1">
        <v>7127191106</v>
      </c>
      <c r="H3131" s="1">
        <v>12</v>
      </c>
      <c r="I3131" s="1" t="s">
        <v>439</v>
      </c>
      <c r="J3131" t="s">
        <v>6236</v>
      </c>
    </row>
    <row r="3132" spans="1:10">
      <c r="A3132" s="1">
        <v>31039</v>
      </c>
      <c r="B3132" s="1">
        <v>4300028545</v>
      </c>
      <c r="C3132" s="1">
        <v>12</v>
      </c>
      <c r="D3132" s="1" t="s">
        <v>404</v>
      </c>
      <c r="E3132" t="s">
        <v>6203</v>
      </c>
      <c r="F3132" s="1">
        <v>709048</v>
      </c>
      <c r="G3132" s="1">
        <v>4300000096</v>
      </c>
      <c r="H3132" s="1">
        <v>8</v>
      </c>
      <c r="I3132" s="1" t="s">
        <v>360</v>
      </c>
      <c r="J3132" t="s">
        <v>6237</v>
      </c>
    </row>
    <row r="3133" spans="1:10">
      <c r="A3133" s="1">
        <v>31393</v>
      </c>
      <c r="B3133" s="1">
        <v>4300028591</v>
      </c>
      <c r="C3133" s="1">
        <v>12</v>
      </c>
      <c r="D3133" s="1" t="s">
        <v>404</v>
      </c>
      <c r="E3133" t="s">
        <v>6204</v>
      </c>
      <c r="F3133" s="1">
        <v>709014</v>
      </c>
      <c r="G3133" s="1">
        <v>4300095949</v>
      </c>
      <c r="H3133" s="1">
        <v>8</v>
      </c>
      <c r="I3133" s="1" t="s">
        <v>6238</v>
      </c>
      <c r="J3133" t="s">
        <v>6239</v>
      </c>
    </row>
    <row r="3134" spans="1:10">
      <c r="A3134" s="1">
        <v>30361</v>
      </c>
      <c r="B3134" s="1">
        <v>4300028543</v>
      </c>
      <c r="C3134" s="1">
        <v>12</v>
      </c>
      <c r="D3134" s="1" t="s">
        <v>404</v>
      </c>
      <c r="E3134" t="s">
        <v>6205</v>
      </c>
      <c r="F3134" s="1">
        <v>709030</v>
      </c>
      <c r="G3134" s="1">
        <v>4300001057</v>
      </c>
      <c r="H3134" s="1">
        <v>8</v>
      </c>
      <c r="I3134" s="1" t="s">
        <v>6221</v>
      </c>
      <c r="J3134" t="s">
        <v>6240</v>
      </c>
    </row>
    <row r="3135" spans="1:10">
      <c r="A3135" s="1">
        <v>70870</v>
      </c>
      <c r="B3135" s="1">
        <v>4300028555</v>
      </c>
      <c r="C3135" s="1">
        <v>12</v>
      </c>
      <c r="D3135" s="1" t="s">
        <v>404</v>
      </c>
      <c r="E3135" t="s">
        <v>6206</v>
      </c>
      <c r="F3135" s="1">
        <v>709022</v>
      </c>
      <c r="G3135" s="1">
        <v>4300001058</v>
      </c>
      <c r="H3135" s="1">
        <v>8</v>
      </c>
      <c r="I3135" s="1" t="s">
        <v>6221</v>
      </c>
      <c r="J3135" t="s">
        <v>6241</v>
      </c>
    </row>
    <row r="3136" spans="1:10">
      <c r="A3136" s="1">
        <v>712554</v>
      </c>
      <c r="B3136" s="1">
        <v>4300028592</v>
      </c>
      <c r="C3136" s="1">
        <v>12</v>
      </c>
      <c r="D3136" s="1" t="s">
        <v>404</v>
      </c>
      <c r="E3136" t="s">
        <v>6207</v>
      </c>
      <c r="F3136" s="1">
        <v>69138</v>
      </c>
      <c r="G3136" s="1">
        <v>1020010024</v>
      </c>
      <c r="H3136" s="1">
        <v>12</v>
      </c>
      <c r="I3136" s="1" t="s">
        <v>375</v>
      </c>
      <c r="J3136" t="s">
        <v>6242</v>
      </c>
    </row>
    <row r="3137" spans="1:10" ht="15.75">
      <c r="A3137" s="4" t="s">
        <v>10774</v>
      </c>
      <c r="B3137" s="2"/>
      <c r="C3137" s="2"/>
      <c r="D3137" s="2"/>
      <c r="E3137" s="3"/>
      <c r="F3137" s="1">
        <v>69104</v>
      </c>
      <c r="G3137" s="1">
        <v>1020010049</v>
      </c>
      <c r="H3137" s="1">
        <v>12</v>
      </c>
      <c r="I3137" s="1" t="s">
        <v>375</v>
      </c>
      <c r="J3137" t="s">
        <v>6243</v>
      </c>
    </row>
    <row r="3138" spans="1:10" ht="15.75">
      <c r="A3138" s="2" t="s">
        <v>0</v>
      </c>
      <c r="B3138" s="2" t="s">
        <v>1</v>
      </c>
      <c r="C3138" s="2" t="s">
        <v>2</v>
      </c>
      <c r="D3138" s="2" t="s">
        <v>3</v>
      </c>
      <c r="E3138" s="3" t="s">
        <v>4</v>
      </c>
      <c r="F3138" s="4" t="s">
        <v>10775</v>
      </c>
      <c r="G3138" s="2"/>
      <c r="H3138" s="2"/>
      <c r="I3138" s="2"/>
      <c r="J3138" s="3"/>
    </row>
    <row r="3139" spans="1:10">
      <c r="A3139" s="1">
        <v>70631</v>
      </c>
      <c r="B3139" s="1">
        <v>4138761215</v>
      </c>
      <c r="C3139" s="1">
        <v>12</v>
      </c>
      <c r="D3139" s="1" t="s">
        <v>910</v>
      </c>
      <c r="E3139" t="s">
        <v>6208</v>
      </c>
      <c r="F3139" s="2" t="s">
        <v>0</v>
      </c>
      <c r="G3139" s="2" t="s">
        <v>1</v>
      </c>
      <c r="H3139" s="2" t="s">
        <v>2</v>
      </c>
      <c r="I3139" s="2" t="s">
        <v>3</v>
      </c>
      <c r="J3139" s="3" t="s">
        <v>4</v>
      </c>
    </row>
    <row r="3140" spans="1:10">
      <c r="A3140" s="1">
        <v>70607</v>
      </c>
      <c r="B3140" s="1">
        <v>4138741215</v>
      </c>
      <c r="C3140" s="1">
        <v>12</v>
      </c>
      <c r="D3140" s="1" t="s">
        <v>910</v>
      </c>
      <c r="E3140" t="s">
        <v>6209</v>
      </c>
      <c r="F3140" s="1">
        <v>445270</v>
      </c>
      <c r="G3140" s="1">
        <v>64420941290</v>
      </c>
      <c r="H3140" s="1">
        <v>12</v>
      </c>
      <c r="I3140" s="1" t="s">
        <v>1298</v>
      </c>
      <c r="J3140" t="s">
        <v>6244</v>
      </c>
    </row>
    <row r="3141" spans="1:10">
      <c r="A3141" s="1">
        <v>70649</v>
      </c>
      <c r="B3141" s="1">
        <v>2400010117</v>
      </c>
      <c r="C3141" s="1">
        <v>12</v>
      </c>
      <c r="D3141" s="1" t="s">
        <v>546</v>
      </c>
      <c r="E3141" t="s">
        <v>6210</v>
      </c>
      <c r="F3141" s="1">
        <v>62539</v>
      </c>
      <c r="G3141" s="1">
        <v>1600042730</v>
      </c>
      <c r="H3141" s="1">
        <v>12</v>
      </c>
      <c r="I3141" s="1" t="s">
        <v>6245</v>
      </c>
      <c r="J3141" t="s">
        <v>6246</v>
      </c>
    </row>
    <row r="3142" spans="1:10">
      <c r="A3142" s="1">
        <v>68205</v>
      </c>
      <c r="B3142" s="1">
        <v>7348412309</v>
      </c>
      <c r="C3142" s="1">
        <v>12</v>
      </c>
      <c r="D3142" s="1" t="s">
        <v>860</v>
      </c>
      <c r="E3142" t="s">
        <v>6211</v>
      </c>
      <c r="F3142" s="1">
        <v>484121</v>
      </c>
      <c r="G3142" s="1">
        <v>1600019726</v>
      </c>
      <c r="H3142" s="1">
        <v>12</v>
      </c>
      <c r="I3142" s="1" t="s">
        <v>1330</v>
      </c>
      <c r="J3142" t="s">
        <v>6247</v>
      </c>
    </row>
    <row r="3143" spans="1:10">
      <c r="A3143" s="1">
        <v>68247</v>
      </c>
      <c r="B3143" s="1">
        <v>7348413320</v>
      </c>
      <c r="C3143" s="1">
        <v>12</v>
      </c>
      <c r="D3143" s="1" t="s">
        <v>399</v>
      </c>
      <c r="E3143" t="s">
        <v>6211</v>
      </c>
      <c r="F3143" s="1">
        <v>326322</v>
      </c>
      <c r="G3143" s="1">
        <v>1600044700</v>
      </c>
      <c r="H3143" s="1">
        <v>12</v>
      </c>
      <c r="I3143" s="1" t="s">
        <v>3892</v>
      </c>
      <c r="J3143" t="s">
        <v>6248</v>
      </c>
    </row>
    <row r="3144" spans="1:10">
      <c r="A3144" s="1">
        <v>88724</v>
      </c>
      <c r="B3144" s="1">
        <v>7348481320</v>
      </c>
      <c r="C3144" s="1">
        <v>12</v>
      </c>
      <c r="D3144" s="1" t="s">
        <v>404</v>
      </c>
      <c r="E3144" t="s">
        <v>6212</v>
      </c>
      <c r="F3144" s="1">
        <v>62455</v>
      </c>
      <c r="G3144" s="1">
        <v>1600044820</v>
      </c>
      <c r="H3144" s="1">
        <v>12</v>
      </c>
      <c r="I3144" s="1" t="s">
        <v>6249</v>
      </c>
      <c r="J3144" t="s">
        <v>6250</v>
      </c>
    </row>
    <row r="3145" spans="1:10">
      <c r="A3145" s="1">
        <v>68312</v>
      </c>
      <c r="B3145" s="1">
        <v>7348412304</v>
      </c>
      <c r="C3145" s="1">
        <v>12</v>
      </c>
      <c r="D3145" s="1" t="s">
        <v>375</v>
      </c>
      <c r="E3145" t="s">
        <v>6213</v>
      </c>
      <c r="F3145" s="1">
        <v>31955</v>
      </c>
      <c r="G3145" s="1">
        <v>1600046390</v>
      </c>
      <c r="H3145" s="1">
        <v>12</v>
      </c>
      <c r="I3145" s="1" t="s">
        <v>6251</v>
      </c>
      <c r="J3145" t="s">
        <v>6252</v>
      </c>
    </row>
    <row r="3146" spans="1:10">
      <c r="A3146" s="1">
        <v>68445</v>
      </c>
      <c r="B3146" s="1">
        <v>7348413340</v>
      </c>
      <c r="C3146" s="1">
        <v>12</v>
      </c>
      <c r="D3146" s="1" t="s">
        <v>399</v>
      </c>
      <c r="E3146" t="s">
        <v>6213</v>
      </c>
      <c r="F3146" s="1">
        <v>31922</v>
      </c>
      <c r="G3146" s="1">
        <v>1600044780</v>
      </c>
      <c r="H3146" s="1">
        <v>12</v>
      </c>
      <c r="I3146" s="1" t="s">
        <v>4512</v>
      </c>
      <c r="J3146" t="s">
        <v>6253</v>
      </c>
    </row>
    <row r="3147" spans="1:10">
      <c r="A3147" s="1">
        <v>68213</v>
      </c>
      <c r="B3147" s="1">
        <v>7348412810</v>
      </c>
      <c r="C3147" s="1">
        <v>12</v>
      </c>
      <c r="D3147" s="1" t="s">
        <v>860</v>
      </c>
      <c r="E3147" t="s">
        <v>6214</v>
      </c>
      <c r="F3147" s="1">
        <v>431288</v>
      </c>
      <c r="G3147" s="1">
        <v>1600044740</v>
      </c>
      <c r="H3147" s="1">
        <v>12</v>
      </c>
      <c r="I3147" s="1" t="s">
        <v>2253</v>
      </c>
      <c r="J3147" t="s">
        <v>6254</v>
      </c>
    </row>
    <row r="3148" spans="1:10">
      <c r="A3148" s="1">
        <v>69526</v>
      </c>
      <c r="B3148" s="1">
        <v>7348413371</v>
      </c>
      <c r="C3148" s="1">
        <v>12</v>
      </c>
      <c r="D3148" s="1" t="s">
        <v>399</v>
      </c>
      <c r="E3148" t="s">
        <v>6215</v>
      </c>
      <c r="F3148" s="1">
        <v>163154</v>
      </c>
      <c r="G3148" s="1">
        <v>1600043740</v>
      </c>
      <c r="H3148" s="1">
        <v>12</v>
      </c>
      <c r="I3148" s="1" t="s">
        <v>632</v>
      </c>
      <c r="J3148" t="s">
        <v>6255</v>
      </c>
    </row>
    <row r="3149" spans="1:10">
      <c r="A3149" s="1">
        <v>88765</v>
      </c>
      <c r="B3149" s="1">
        <v>7348481370</v>
      </c>
      <c r="C3149" s="1">
        <v>12</v>
      </c>
      <c r="D3149" s="1" t="s">
        <v>404</v>
      </c>
      <c r="E3149" t="s">
        <v>6216</v>
      </c>
      <c r="F3149" s="1">
        <v>59626</v>
      </c>
      <c r="G3149" s="1">
        <v>1600044030</v>
      </c>
      <c r="H3149" s="1">
        <v>12</v>
      </c>
      <c r="I3149" s="1" t="s">
        <v>381</v>
      </c>
      <c r="J3149" t="s">
        <v>6256</v>
      </c>
    </row>
    <row r="3150" spans="1:10">
      <c r="A3150" s="1">
        <v>68262</v>
      </c>
      <c r="B3150" s="1">
        <v>7348412187</v>
      </c>
      <c r="C3150" s="1">
        <v>12</v>
      </c>
      <c r="D3150" s="1" t="s">
        <v>860</v>
      </c>
      <c r="E3150" t="s">
        <v>6217</v>
      </c>
      <c r="F3150" s="1">
        <v>849737</v>
      </c>
      <c r="G3150" s="1">
        <v>1600045410</v>
      </c>
      <c r="H3150" s="1">
        <v>12</v>
      </c>
      <c r="I3150" s="1" t="s">
        <v>381</v>
      </c>
      <c r="J3150" t="s">
        <v>6257</v>
      </c>
    </row>
    <row r="3151" spans="1:10">
      <c r="A3151" s="1">
        <v>68437</v>
      </c>
      <c r="B3151" s="1">
        <v>7348413300</v>
      </c>
      <c r="C3151" s="1">
        <v>12</v>
      </c>
      <c r="D3151" s="1" t="s">
        <v>399</v>
      </c>
      <c r="E3151" t="s">
        <v>6217</v>
      </c>
      <c r="F3151" s="1">
        <v>763276</v>
      </c>
      <c r="G3151" s="1">
        <v>1600043200</v>
      </c>
      <c r="H3151" s="1">
        <v>12</v>
      </c>
      <c r="I3151" s="1" t="s">
        <v>1298</v>
      </c>
      <c r="J3151" t="s">
        <v>6258</v>
      </c>
    </row>
    <row r="3152" spans="1:10">
      <c r="A3152" s="1">
        <v>29413</v>
      </c>
      <c r="B3152" s="1">
        <v>3800007010</v>
      </c>
      <c r="C3152" s="1">
        <v>12</v>
      </c>
      <c r="D3152" s="1" t="s">
        <v>908</v>
      </c>
      <c r="E3152" t="s">
        <v>6218</v>
      </c>
      <c r="F3152" s="1">
        <v>473587</v>
      </c>
      <c r="G3152" s="1">
        <v>1600043100</v>
      </c>
      <c r="H3152" s="1">
        <v>12</v>
      </c>
      <c r="I3152" s="1" t="s">
        <v>1298</v>
      </c>
      <c r="J3152" t="s">
        <v>6259</v>
      </c>
    </row>
    <row r="3153" spans="1:10">
      <c r="A3153" s="1">
        <v>708990</v>
      </c>
      <c r="B3153" s="1">
        <v>4300026906</v>
      </c>
      <c r="C3153" s="1">
        <v>8</v>
      </c>
      <c r="D3153" s="1" t="s">
        <v>517</v>
      </c>
      <c r="E3153" t="s">
        <v>6219</v>
      </c>
      <c r="F3153" s="1">
        <v>61937</v>
      </c>
      <c r="G3153" s="1">
        <v>1600050250</v>
      </c>
      <c r="H3153" s="1">
        <v>12</v>
      </c>
      <c r="I3153" s="1" t="s">
        <v>2887</v>
      </c>
      <c r="J3153" t="s">
        <v>6260</v>
      </c>
    </row>
    <row r="3154" spans="1:10">
      <c r="A3154" s="1">
        <v>708933</v>
      </c>
      <c r="B3154" s="1">
        <v>4300026902</v>
      </c>
      <c r="C3154" s="1">
        <v>8</v>
      </c>
      <c r="D3154" s="1" t="s">
        <v>517</v>
      </c>
      <c r="E3154" t="s">
        <v>6220</v>
      </c>
      <c r="F3154" s="1">
        <v>62323</v>
      </c>
      <c r="G3154" s="1">
        <v>1600043620</v>
      </c>
      <c r="H3154" s="1">
        <v>12</v>
      </c>
      <c r="I3154" s="1" t="s">
        <v>632</v>
      </c>
      <c r="J3154" t="s">
        <v>6261</v>
      </c>
    </row>
    <row r="3155" spans="1:10">
      <c r="A3155" s="1">
        <v>708974</v>
      </c>
      <c r="B3155" s="1">
        <v>4300095895</v>
      </c>
      <c r="C3155" s="1">
        <v>8</v>
      </c>
      <c r="D3155" s="1" t="s">
        <v>6221</v>
      </c>
      <c r="E3155" t="s">
        <v>6222</v>
      </c>
      <c r="F3155" s="1">
        <v>62331</v>
      </c>
      <c r="G3155" s="1">
        <v>1600043600</v>
      </c>
      <c r="H3155" s="1">
        <v>12</v>
      </c>
      <c r="I3155" s="1" t="s">
        <v>1298</v>
      </c>
      <c r="J3155" t="s">
        <v>6262</v>
      </c>
    </row>
    <row r="3156" spans="1:10">
      <c r="A3156" s="1">
        <v>708966</v>
      </c>
      <c r="B3156" s="1">
        <v>4300000087</v>
      </c>
      <c r="C3156" s="1">
        <v>12</v>
      </c>
      <c r="D3156" s="1" t="s">
        <v>404</v>
      </c>
      <c r="E3156" t="s">
        <v>6223</v>
      </c>
      <c r="F3156" s="1">
        <v>772764</v>
      </c>
      <c r="G3156" s="1">
        <v>1600030670</v>
      </c>
      <c r="H3156" s="1">
        <v>12</v>
      </c>
      <c r="I3156" s="1" t="s">
        <v>706</v>
      </c>
      <c r="J3156" t="s">
        <v>6263</v>
      </c>
    </row>
    <row r="3157" spans="1:10">
      <c r="A3157" s="1">
        <v>708958</v>
      </c>
      <c r="B3157" s="1">
        <v>4300000079</v>
      </c>
      <c r="C3157" s="1">
        <v>12</v>
      </c>
      <c r="D3157" s="1" t="s">
        <v>781</v>
      </c>
      <c r="E3157" t="s">
        <v>6224</v>
      </c>
      <c r="F3157" s="1">
        <v>293951</v>
      </c>
      <c r="G3157" s="1">
        <v>1600014797</v>
      </c>
      <c r="H3157" s="1">
        <v>12</v>
      </c>
      <c r="I3157" s="1" t="s">
        <v>6264</v>
      </c>
      <c r="J3157" t="s">
        <v>6265</v>
      </c>
    </row>
    <row r="3158" spans="1:10" ht="15.75">
      <c r="A3158" s="4" t="s">
        <v>10775</v>
      </c>
      <c r="B3158" s="2"/>
      <c r="C3158" s="2"/>
      <c r="D3158" s="2"/>
      <c r="E3158" s="3"/>
      <c r="F3158" s="4" t="s">
        <v>10775</v>
      </c>
      <c r="G3158" s="2"/>
      <c r="H3158" s="2"/>
      <c r="I3158" s="2"/>
      <c r="J3158" s="3"/>
    </row>
    <row r="3159" spans="1:10">
      <c r="A3159" s="2" t="s">
        <v>0</v>
      </c>
      <c r="B3159" s="2" t="s">
        <v>1</v>
      </c>
      <c r="C3159" s="2" t="s">
        <v>2</v>
      </c>
      <c r="D3159" s="2" t="s">
        <v>3</v>
      </c>
      <c r="E3159" s="3" t="s">
        <v>4</v>
      </c>
      <c r="F3159" s="2" t="s">
        <v>0</v>
      </c>
      <c r="G3159" s="2" t="s">
        <v>1</v>
      </c>
      <c r="H3159" s="2" t="s">
        <v>2</v>
      </c>
      <c r="I3159" s="2" t="s">
        <v>3</v>
      </c>
      <c r="J3159" s="3" t="s">
        <v>4</v>
      </c>
    </row>
    <row r="3160" spans="1:10">
      <c r="A3160" s="1">
        <v>118687</v>
      </c>
      <c r="B3160" s="1">
        <v>1600030570</v>
      </c>
      <c r="C3160" s="1">
        <v>12</v>
      </c>
      <c r="D3160" s="1" t="s">
        <v>706</v>
      </c>
      <c r="E3160" t="s">
        <v>6266</v>
      </c>
      <c r="F3160" s="1">
        <v>62158</v>
      </c>
      <c r="G3160" s="1">
        <v>64420942163</v>
      </c>
      <c r="H3160" s="1">
        <v>12</v>
      </c>
      <c r="I3160" s="1" t="s">
        <v>632</v>
      </c>
      <c r="J3160" t="s">
        <v>6310</v>
      </c>
    </row>
    <row r="3161" spans="1:10">
      <c r="A3161" s="1">
        <v>69286</v>
      </c>
      <c r="B3161" s="1">
        <v>1600030650</v>
      </c>
      <c r="C3161" s="1">
        <v>12</v>
      </c>
      <c r="D3161" s="1" t="s">
        <v>706</v>
      </c>
      <c r="E3161" t="s">
        <v>6267</v>
      </c>
      <c r="F3161" s="1">
        <v>64923</v>
      </c>
      <c r="G3161" s="1">
        <v>64420941040</v>
      </c>
      <c r="H3161" s="1">
        <v>12</v>
      </c>
      <c r="I3161" s="1" t="s">
        <v>1298</v>
      </c>
      <c r="J3161" t="s">
        <v>6311</v>
      </c>
    </row>
    <row r="3162" spans="1:10">
      <c r="A3162" s="1">
        <v>62836</v>
      </c>
      <c r="B3162" s="1">
        <v>1600043230</v>
      </c>
      <c r="C3162" s="1">
        <v>12</v>
      </c>
      <c r="D3162" s="1" t="s">
        <v>1298</v>
      </c>
      <c r="E3162" t="s">
        <v>6268</v>
      </c>
      <c r="F3162" s="1">
        <v>65102</v>
      </c>
      <c r="G3162" s="1">
        <v>64420941110</v>
      </c>
      <c r="H3162" s="1">
        <v>12</v>
      </c>
      <c r="I3162" s="1" t="s">
        <v>1298</v>
      </c>
      <c r="J3162" t="s">
        <v>6312</v>
      </c>
    </row>
    <row r="3163" spans="1:10">
      <c r="A3163" s="1">
        <v>326942</v>
      </c>
      <c r="B3163" s="1">
        <v>1600054230</v>
      </c>
      <c r="C3163" s="1">
        <v>12</v>
      </c>
      <c r="D3163" s="1" t="s">
        <v>1298</v>
      </c>
      <c r="E3163" t="s">
        <v>6269</v>
      </c>
      <c r="F3163" s="1">
        <v>70516</v>
      </c>
      <c r="G3163" s="1">
        <v>64420933246</v>
      </c>
      <c r="H3163" s="1">
        <v>12</v>
      </c>
      <c r="I3163" s="1" t="s">
        <v>6306</v>
      </c>
      <c r="J3163" t="s">
        <v>6313</v>
      </c>
    </row>
    <row r="3164" spans="1:10">
      <c r="A3164" s="1">
        <v>118612</v>
      </c>
      <c r="B3164" s="1">
        <v>1600030280</v>
      </c>
      <c r="C3164" s="1">
        <v>18</v>
      </c>
      <c r="D3164" s="1" t="s">
        <v>6270</v>
      </c>
      <c r="E3164" t="s">
        <v>6271</v>
      </c>
      <c r="F3164" s="1">
        <v>65003</v>
      </c>
      <c r="G3164" s="1">
        <v>64420941070</v>
      </c>
      <c r="H3164" s="1">
        <v>12</v>
      </c>
      <c r="I3164" s="1" t="s">
        <v>1298</v>
      </c>
      <c r="J3164" t="s">
        <v>6314</v>
      </c>
    </row>
    <row r="3165" spans="1:10">
      <c r="A3165" s="1">
        <v>62430</v>
      </c>
      <c r="B3165" s="1">
        <v>1600043300</v>
      </c>
      <c r="C3165" s="1">
        <v>12</v>
      </c>
      <c r="D3165" s="1" t="s">
        <v>1298</v>
      </c>
      <c r="E3165" t="s">
        <v>6272</v>
      </c>
      <c r="F3165" s="1">
        <v>4432</v>
      </c>
      <c r="G3165" s="1">
        <v>64420940556</v>
      </c>
      <c r="H3165" s="1">
        <v>12</v>
      </c>
      <c r="I3165" s="1" t="s">
        <v>6315</v>
      </c>
      <c r="J3165" t="s">
        <v>6316</v>
      </c>
    </row>
    <row r="3166" spans="1:10">
      <c r="A3166" s="1">
        <v>108886</v>
      </c>
      <c r="B3166" s="1">
        <v>1600019378</v>
      </c>
      <c r="C3166" s="1">
        <v>12</v>
      </c>
      <c r="D3166" s="1" t="s">
        <v>908</v>
      </c>
      <c r="E3166" t="s">
        <v>6273</v>
      </c>
      <c r="F3166" s="1">
        <v>64972</v>
      </c>
      <c r="G3166" s="1">
        <v>64420933249</v>
      </c>
      <c r="H3166" s="1">
        <v>12</v>
      </c>
      <c r="I3166" s="1" t="s">
        <v>6306</v>
      </c>
      <c r="J3166" t="s">
        <v>6317</v>
      </c>
    </row>
    <row r="3167" spans="1:10">
      <c r="A3167" s="1">
        <v>62554</v>
      </c>
      <c r="B3167" s="1">
        <v>1600043630</v>
      </c>
      <c r="C3167" s="1">
        <v>12</v>
      </c>
      <c r="D3167" s="1" t="s">
        <v>1298</v>
      </c>
      <c r="E3167" t="s">
        <v>6274</v>
      </c>
      <c r="F3167" s="1">
        <v>64865</v>
      </c>
      <c r="G3167" s="1">
        <v>64420941170</v>
      </c>
      <c r="H3167" s="1">
        <v>12</v>
      </c>
      <c r="I3167" s="1" t="s">
        <v>1298</v>
      </c>
      <c r="J3167" t="s">
        <v>6318</v>
      </c>
    </row>
    <row r="3168" spans="1:10">
      <c r="A3168" s="1">
        <v>63065</v>
      </c>
      <c r="B3168" s="1">
        <v>1600042790</v>
      </c>
      <c r="C3168" s="1">
        <v>12</v>
      </c>
      <c r="D3168" s="1" t="s">
        <v>4979</v>
      </c>
      <c r="E3168" t="s">
        <v>6275</v>
      </c>
      <c r="F3168" s="1">
        <v>62869</v>
      </c>
      <c r="G3168" s="1">
        <v>64420942158</v>
      </c>
      <c r="H3168" s="1">
        <v>12</v>
      </c>
      <c r="I3168" s="1" t="s">
        <v>6319</v>
      </c>
      <c r="J3168" t="s">
        <v>6320</v>
      </c>
    </row>
    <row r="3169" spans="1:10">
      <c r="A3169" s="1">
        <v>531814</v>
      </c>
      <c r="B3169" s="1">
        <v>1600043780</v>
      </c>
      <c r="C3169" s="1">
        <v>12</v>
      </c>
      <c r="D3169" s="1" t="s">
        <v>1298</v>
      </c>
      <c r="E3169" t="s">
        <v>6276</v>
      </c>
      <c r="F3169" s="1">
        <v>65029</v>
      </c>
      <c r="G3169" s="1">
        <v>64420941130</v>
      </c>
      <c r="H3169" s="1">
        <v>12</v>
      </c>
      <c r="I3169" s="1" t="s">
        <v>1298</v>
      </c>
      <c r="J3169" t="s">
        <v>6321</v>
      </c>
    </row>
    <row r="3170" spans="1:10">
      <c r="A3170" s="1">
        <v>112672</v>
      </c>
      <c r="B3170" s="1">
        <v>1600030790</v>
      </c>
      <c r="C3170" s="1">
        <v>12</v>
      </c>
      <c r="D3170" s="1" t="s">
        <v>706</v>
      </c>
      <c r="E3170" t="s">
        <v>6277</v>
      </c>
      <c r="F3170" s="1">
        <v>64881</v>
      </c>
      <c r="G3170" s="1">
        <v>64420941120</v>
      </c>
      <c r="H3170" s="1">
        <v>12</v>
      </c>
      <c r="I3170" s="1" t="s">
        <v>1298</v>
      </c>
      <c r="J3170" t="s">
        <v>6322</v>
      </c>
    </row>
    <row r="3171" spans="1:10">
      <c r="A3171" s="1">
        <v>116897</v>
      </c>
      <c r="B3171" s="1">
        <v>1600030140</v>
      </c>
      <c r="C3171" s="1">
        <v>12</v>
      </c>
      <c r="D3171" s="1" t="s">
        <v>706</v>
      </c>
      <c r="E3171" t="s">
        <v>6278</v>
      </c>
      <c r="F3171" s="1">
        <v>314492</v>
      </c>
      <c r="G3171" s="1">
        <v>64420941300</v>
      </c>
      <c r="H3171" s="1">
        <v>8</v>
      </c>
      <c r="I3171" s="1" t="s">
        <v>6323</v>
      </c>
      <c r="J3171" t="s">
        <v>6324</v>
      </c>
    </row>
    <row r="3172" spans="1:10">
      <c r="A3172" s="1">
        <v>745315</v>
      </c>
      <c r="B3172" s="1">
        <v>1600043500</v>
      </c>
      <c r="C3172" s="1">
        <v>12</v>
      </c>
      <c r="D3172" s="1" t="s">
        <v>1298</v>
      </c>
      <c r="E3172" t="s">
        <v>6279</v>
      </c>
      <c r="F3172" s="1">
        <v>48728</v>
      </c>
      <c r="G3172" s="1">
        <v>64420941006</v>
      </c>
      <c r="H3172" s="1">
        <v>12</v>
      </c>
      <c r="I3172" s="1" t="s">
        <v>1298</v>
      </c>
      <c r="J3172" t="s">
        <v>6325</v>
      </c>
    </row>
    <row r="3173" spans="1:10">
      <c r="A3173" s="1">
        <v>459859</v>
      </c>
      <c r="B3173" s="1">
        <v>1600030630</v>
      </c>
      <c r="C3173" s="1">
        <v>12</v>
      </c>
      <c r="D3173" s="1" t="s">
        <v>706</v>
      </c>
      <c r="E3173" t="s">
        <v>6280</v>
      </c>
      <c r="F3173" s="1">
        <v>67728</v>
      </c>
      <c r="G3173" s="1">
        <v>4144930022</v>
      </c>
      <c r="H3173" s="1">
        <v>12</v>
      </c>
      <c r="I3173" s="1" t="s">
        <v>938</v>
      </c>
      <c r="J3173" t="s">
        <v>6326</v>
      </c>
    </row>
    <row r="3174" spans="1:10">
      <c r="A3174" s="1">
        <v>63545</v>
      </c>
      <c r="B3174" s="1">
        <v>1600046790</v>
      </c>
      <c r="C3174" s="1">
        <v>12</v>
      </c>
      <c r="D3174" s="1" t="s">
        <v>2253</v>
      </c>
      <c r="E3174" t="s">
        <v>6281</v>
      </c>
      <c r="F3174" s="1">
        <v>67785</v>
      </c>
      <c r="G3174" s="1">
        <v>4144911140</v>
      </c>
      <c r="H3174" s="1">
        <v>12</v>
      </c>
      <c r="I3174" s="1" t="s">
        <v>908</v>
      </c>
      <c r="J3174" t="s">
        <v>6327</v>
      </c>
    </row>
    <row r="3175" spans="1:10">
      <c r="A3175" s="1">
        <v>580837</v>
      </c>
      <c r="B3175" s="1">
        <v>1600014566</v>
      </c>
      <c r="C3175" s="1">
        <v>9</v>
      </c>
      <c r="D3175" s="1" t="s">
        <v>6282</v>
      </c>
      <c r="E3175" t="s">
        <v>6283</v>
      </c>
      <c r="F3175" s="1">
        <v>63636</v>
      </c>
      <c r="G3175" s="1">
        <v>5150076642</v>
      </c>
      <c r="H3175" s="1">
        <v>12</v>
      </c>
      <c r="I3175" s="1" t="s">
        <v>6264</v>
      </c>
      <c r="J3175" t="s">
        <v>6328</v>
      </c>
    </row>
    <row r="3176" spans="1:10">
      <c r="A3176" s="1">
        <v>780536</v>
      </c>
      <c r="B3176" s="1">
        <v>1600014567</v>
      </c>
      <c r="C3176" s="1">
        <v>9</v>
      </c>
      <c r="D3176" s="1" t="s">
        <v>6282</v>
      </c>
      <c r="E3176" t="s">
        <v>6284</v>
      </c>
      <c r="F3176" s="1">
        <v>60509</v>
      </c>
      <c r="G3176" s="1">
        <v>5150071007</v>
      </c>
      <c r="H3176" s="1">
        <v>12</v>
      </c>
      <c r="I3176" s="1" t="s">
        <v>1180</v>
      </c>
      <c r="J3176" t="s">
        <v>6329</v>
      </c>
    </row>
    <row r="3177" spans="1:10">
      <c r="A3177" s="1">
        <v>62349</v>
      </c>
      <c r="B3177" s="1">
        <v>1600043030</v>
      </c>
      <c r="C3177" s="1">
        <v>12</v>
      </c>
      <c r="D3177" s="1" t="s">
        <v>1298</v>
      </c>
      <c r="E3177" t="s">
        <v>6285</v>
      </c>
      <c r="F3177" s="1">
        <v>63719</v>
      </c>
      <c r="G3177" s="1">
        <v>5150070050</v>
      </c>
      <c r="H3177" s="1">
        <v>12</v>
      </c>
      <c r="I3177" s="1" t="s">
        <v>1298</v>
      </c>
      <c r="J3177" t="s">
        <v>6330</v>
      </c>
    </row>
    <row r="3178" spans="1:10">
      <c r="A3178" s="1">
        <v>69344</v>
      </c>
      <c r="B3178" s="1">
        <v>1600013900</v>
      </c>
      <c r="C3178" s="1">
        <v>12</v>
      </c>
      <c r="D3178" s="1" t="s">
        <v>706</v>
      </c>
      <c r="E3178" t="s">
        <v>6286</v>
      </c>
      <c r="F3178" s="1">
        <v>386813</v>
      </c>
      <c r="G3178" s="1">
        <v>5150070033</v>
      </c>
      <c r="H3178" s="1">
        <v>12</v>
      </c>
      <c r="I3178" s="1" t="s">
        <v>1298</v>
      </c>
      <c r="J3178" t="s">
        <v>6331</v>
      </c>
    </row>
    <row r="3179" spans="1:10">
      <c r="A3179" s="1">
        <v>513754</v>
      </c>
      <c r="B3179" s="1">
        <v>1600014565</v>
      </c>
      <c r="C3179" s="1">
        <v>9</v>
      </c>
      <c r="D3179" s="1" t="s">
        <v>6282</v>
      </c>
      <c r="E3179" t="s">
        <v>6287</v>
      </c>
      <c r="F3179" s="1">
        <v>386805</v>
      </c>
      <c r="G3179" s="1">
        <v>5150070100</v>
      </c>
      <c r="H3179" s="1">
        <v>12</v>
      </c>
      <c r="I3179" s="1" t="s">
        <v>1298</v>
      </c>
      <c r="J3179" t="s">
        <v>6332</v>
      </c>
    </row>
    <row r="3180" spans="1:10">
      <c r="A3180" s="1">
        <v>62356</v>
      </c>
      <c r="B3180" s="1">
        <v>1600043950</v>
      </c>
      <c r="C3180" s="1">
        <v>12</v>
      </c>
      <c r="D3180" s="1" t="s">
        <v>1298</v>
      </c>
      <c r="E3180" t="s">
        <v>6288</v>
      </c>
      <c r="F3180" s="1">
        <v>63693</v>
      </c>
      <c r="G3180" s="1">
        <v>5150070032</v>
      </c>
      <c r="H3180" s="1">
        <v>12</v>
      </c>
      <c r="I3180" s="1" t="s">
        <v>1298</v>
      </c>
      <c r="J3180" t="s">
        <v>6333</v>
      </c>
    </row>
    <row r="3181" spans="1:10">
      <c r="A3181" s="1">
        <v>62307</v>
      </c>
      <c r="B3181" s="1">
        <v>1600043130</v>
      </c>
      <c r="C3181" s="1">
        <v>12</v>
      </c>
      <c r="D3181" s="1" t="s">
        <v>1298</v>
      </c>
      <c r="E3181" t="s">
        <v>6289</v>
      </c>
      <c r="F3181" s="1">
        <v>707042</v>
      </c>
      <c r="G3181" s="1">
        <v>5150070180</v>
      </c>
      <c r="H3181" s="1">
        <v>12</v>
      </c>
      <c r="I3181" s="1" t="s">
        <v>1298</v>
      </c>
      <c r="J3181" t="s">
        <v>6334</v>
      </c>
    </row>
    <row r="3182" spans="1:10">
      <c r="A3182" s="1">
        <v>65466</v>
      </c>
      <c r="B3182" s="1">
        <v>64420941900</v>
      </c>
      <c r="C3182" s="1">
        <v>12</v>
      </c>
      <c r="D3182" s="1" t="s">
        <v>381</v>
      </c>
      <c r="E3182" t="s">
        <v>6290</v>
      </c>
      <c r="F3182" s="1">
        <v>67660</v>
      </c>
      <c r="G3182" s="1">
        <v>5150070300</v>
      </c>
      <c r="H3182" s="1">
        <v>12</v>
      </c>
      <c r="I3182" s="1" t="s">
        <v>6153</v>
      </c>
      <c r="J3182" t="s">
        <v>6335</v>
      </c>
    </row>
    <row r="3183" spans="1:10">
      <c r="A3183" s="1">
        <v>65045</v>
      </c>
      <c r="B3183" s="1">
        <v>64420941150</v>
      </c>
      <c r="C3183" s="1">
        <v>12</v>
      </c>
      <c r="D3183" s="1" t="s">
        <v>1298</v>
      </c>
      <c r="E3183" t="s">
        <v>6291</v>
      </c>
      <c r="F3183" s="1">
        <v>66134</v>
      </c>
      <c r="G3183" s="1">
        <v>5150071005</v>
      </c>
      <c r="H3183" s="1">
        <v>12</v>
      </c>
      <c r="I3183" s="1" t="s">
        <v>1483</v>
      </c>
      <c r="J3183" t="s">
        <v>6336</v>
      </c>
    </row>
    <row r="3184" spans="1:10">
      <c r="A3184" s="1">
        <v>65037</v>
      </c>
      <c r="B3184" s="1">
        <v>64420941140</v>
      </c>
      <c r="C3184" s="1">
        <v>12</v>
      </c>
      <c r="D3184" s="1" t="s">
        <v>1298</v>
      </c>
      <c r="E3184" t="s">
        <v>6292</v>
      </c>
      <c r="F3184" s="1">
        <v>63735</v>
      </c>
      <c r="G3184" s="1">
        <v>5150070035</v>
      </c>
      <c r="H3184" s="1">
        <v>12</v>
      </c>
      <c r="I3184" s="1" t="s">
        <v>1298</v>
      </c>
      <c r="J3184" t="s">
        <v>6337</v>
      </c>
    </row>
    <row r="3185" spans="1:10">
      <c r="A3185" s="1">
        <v>65920</v>
      </c>
      <c r="B3185" s="1">
        <v>64420941080</v>
      </c>
      <c r="C3185" s="1">
        <v>12</v>
      </c>
      <c r="D3185" s="1" t="s">
        <v>1298</v>
      </c>
      <c r="E3185" t="s">
        <v>6293</v>
      </c>
      <c r="F3185" s="1">
        <v>115634</v>
      </c>
      <c r="G3185" s="1">
        <v>5150071015</v>
      </c>
      <c r="H3185" s="1">
        <v>12</v>
      </c>
      <c r="I3185" s="1" t="s">
        <v>1483</v>
      </c>
      <c r="J3185" t="s">
        <v>6338</v>
      </c>
    </row>
    <row r="3186" spans="1:10">
      <c r="A3186" s="1">
        <v>65664</v>
      </c>
      <c r="B3186" s="1">
        <v>64420941160</v>
      </c>
      <c r="C3186" s="1">
        <v>12</v>
      </c>
      <c r="D3186" s="1" t="s">
        <v>1378</v>
      </c>
      <c r="E3186" t="s">
        <v>6294</v>
      </c>
      <c r="F3186" s="1">
        <v>286245</v>
      </c>
      <c r="G3186" s="1">
        <v>5150000252</v>
      </c>
      <c r="H3186" s="1">
        <v>12</v>
      </c>
      <c r="I3186" s="1" t="s">
        <v>1298</v>
      </c>
      <c r="J3186" t="s">
        <v>6339</v>
      </c>
    </row>
    <row r="3187" spans="1:10">
      <c r="A3187" s="1">
        <v>64964</v>
      </c>
      <c r="B3187" s="1">
        <v>64420941100</v>
      </c>
      <c r="C3187" s="1">
        <v>12</v>
      </c>
      <c r="D3187" s="1" t="s">
        <v>1298</v>
      </c>
      <c r="E3187" t="s">
        <v>6295</v>
      </c>
      <c r="F3187" s="1">
        <v>39610</v>
      </c>
      <c r="G3187" s="1">
        <v>5150000285</v>
      </c>
      <c r="H3187" s="1">
        <v>12</v>
      </c>
      <c r="I3187" s="1" t="s">
        <v>6340</v>
      </c>
      <c r="J3187" t="s">
        <v>6341</v>
      </c>
    </row>
    <row r="3188" spans="1:10">
      <c r="A3188" s="1">
        <v>64980</v>
      </c>
      <c r="B3188" s="1">
        <v>64420941060</v>
      </c>
      <c r="C3188" s="1">
        <v>12</v>
      </c>
      <c r="D3188" s="1" t="s">
        <v>1298</v>
      </c>
      <c r="E3188" t="s">
        <v>6296</v>
      </c>
      <c r="F3188" s="1">
        <v>61291</v>
      </c>
      <c r="G3188" s="1">
        <v>5150028139</v>
      </c>
      <c r="H3188" s="1">
        <v>12</v>
      </c>
      <c r="I3188" s="1" t="s">
        <v>6264</v>
      </c>
      <c r="J3188" t="s">
        <v>6342</v>
      </c>
    </row>
    <row r="3189" spans="1:10">
      <c r="A3189" s="1">
        <v>64899</v>
      </c>
      <c r="B3189" s="1">
        <v>64420941180</v>
      </c>
      <c r="C3189" s="1">
        <v>12</v>
      </c>
      <c r="D3189" s="1" t="s">
        <v>1298</v>
      </c>
      <c r="E3189" t="s">
        <v>6297</v>
      </c>
      <c r="F3189" s="1">
        <v>38158</v>
      </c>
      <c r="G3189" s="1">
        <v>5150070042</v>
      </c>
      <c r="H3189" s="1">
        <v>12</v>
      </c>
      <c r="I3189" s="1" t="s">
        <v>1298</v>
      </c>
      <c r="J3189" t="s">
        <v>6343</v>
      </c>
    </row>
    <row r="3190" spans="1:10">
      <c r="A3190" s="1">
        <v>65136</v>
      </c>
      <c r="B3190" s="1">
        <v>64420941280</v>
      </c>
      <c r="C3190" s="1">
        <v>12</v>
      </c>
      <c r="D3190" s="1" t="s">
        <v>6298</v>
      </c>
      <c r="E3190" t="s">
        <v>6299</v>
      </c>
      <c r="F3190" s="1">
        <v>519082</v>
      </c>
      <c r="G3190" s="1">
        <v>5150070041</v>
      </c>
      <c r="H3190" s="1">
        <v>12</v>
      </c>
      <c r="I3190" s="1" t="s">
        <v>1298</v>
      </c>
      <c r="J3190" t="s">
        <v>6344</v>
      </c>
    </row>
    <row r="3191" spans="1:10">
      <c r="A3191" s="1">
        <v>64949</v>
      </c>
      <c r="B3191" s="1">
        <v>64420941000</v>
      </c>
      <c r="C3191" s="1">
        <v>12</v>
      </c>
      <c r="D3191" s="1" t="s">
        <v>1298</v>
      </c>
      <c r="E3191" t="s">
        <v>6300</v>
      </c>
      <c r="F3191" s="1">
        <v>61994</v>
      </c>
      <c r="G3191" s="1">
        <v>1116606199</v>
      </c>
      <c r="H3191" s="1">
        <v>12</v>
      </c>
      <c r="I3191" s="1" t="s">
        <v>4512</v>
      </c>
      <c r="J3191" t="s">
        <v>6345</v>
      </c>
    </row>
    <row r="3192" spans="1:10">
      <c r="A3192" s="1">
        <v>64907</v>
      </c>
      <c r="B3192" s="1">
        <v>64420941020</v>
      </c>
      <c r="C3192" s="1">
        <v>12</v>
      </c>
      <c r="D3192" s="1" t="s">
        <v>1298</v>
      </c>
      <c r="E3192" t="s">
        <v>6301</v>
      </c>
      <c r="F3192" s="1">
        <v>491597</v>
      </c>
      <c r="G3192" s="1">
        <v>1116601237</v>
      </c>
      <c r="H3192" s="1">
        <v>12</v>
      </c>
      <c r="I3192" s="1" t="s">
        <v>1254</v>
      </c>
      <c r="J3192" t="s">
        <v>6346</v>
      </c>
    </row>
    <row r="3193" spans="1:10">
      <c r="A3193" s="1">
        <v>63826</v>
      </c>
      <c r="B3193" s="1">
        <v>64420931131</v>
      </c>
      <c r="C3193" s="1">
        <v>12</v>
      </c>
      <c r="D3193" s="1" t="s">
        <v>6302</v>
      </c>
      <c r="E3193" t="s">
        <v>6303</v>
      </c>
      <c r="F3193" s="1">
        <v>62083</v>
      </c>
      <c r="G3193" s="1">
        <v>1116606208</v>
      </c>
      <c r="H3193" s="1">
        <v>12</v>
      </c>
      <c r="I3193" s="1" t="s">
        <v>1492</v>
      </c>
      <c r="J3193" t="s">
        <v>6347</v>
      </c>
    </row>
    <row r="3194" spans="1:10">
      <c r="A3194" s="1">
        <v>66514</v>
      </c>
      <c r="B3194" s="1">
        <v>64420941200</v>
      </c>
      <c r="C3194" s="1">
        <v>12</v>
      </c>
      <c r="D3194" s="1" t="s">
        <v>1298</v>
      </c>
      <c r="E3194" t="s">
        <v>6304</v>
      </c>
      <c r="F3194" s="1">
        <v>62034</v>
      </c>
      <c r="G3194" s="1">
        <v>1116606203</v>
      </c>
      <c r="H3194" s="1">
        <v>12</v>
      </c>
      <c r="I3194" s="1" t="s">
        <v>1298</v>
      </c>
      <c r="J3194" t="s">
        <v>6348</v>
      </c>
    </row>
    <row r="3195" spans="1:10">
      <c r="A3195" s="1">
        <v>70359</v>
      </c>
      <c r="B3195" s="1">
        <v>64420940503</v>
      </c>
      <c r="C3195" s="1">
        <v>12</v>
      </c>
      <c r="D3195" s="1" t="s">
        <v>4512</v>
      </c>
      <c r="E3195" t="s">
        <v>6305</v>
      </c>
      <c r="F3195" s="1">
        <v>62620</v>
      </c>
      <c r="G3195" s="1">
        <v>1116606262</v>
      </c>
      <c r="H3195" s="1">
        <v>12</v>
      </c>
      <c r="I3195" s="1" t="s">
        <v>1298</v>
      </c>
      <c r="J3195" t="s">
        <v>6349</v>
      </c>
    </row>
    <row r="3196" spans="1:10">
      <c r="A3196" s="1">
        <v>70466</v>
      </c>
      <c r="B3196" s="1">
        <v>64420933250</v>
      </c>
      <c r="C3196" s="1">
        <v>12</v>
      </c>
      <c r="D3196" s="1" t="s">
        <v>6306</v>
      </c>
      <c r="E3196" t="s">
        <v>6307</v>
      </c>
      <c r="F3196" s="1">
        <v>62018</v>
      </c>
      <c r="G3196" s="1">
        <v>1116606201</v>
      </c>
      <c r="H3196" s="1">
        <v>12</v>
      </c>
      <c r="I3196" s="1" t="s">
        <v>1298</v>
      </c>
      <c r="J3196" t="s">
        <v>6350</v>
      </c>
    </row>
    <row r="3197" spans="1:10">
      <c r="A3197" s="1">
        <v>70524</v>
      </c>
      <c r="B3197" s="1">
        <v>64420942095</v>
      </c>
      <c r="C3197" s="1">
        <v>12</v>
      </c>
      <c r="D3197" s="1" t="s">
        <v>4512</v>
      </c>
      <c r="E3197" t="s">
        <v>6308</v>
      </c>
    </row>
    <row r="3198" spans="1:10">
      <c r="A3198" s="1">
        <v>65458</v>
      </c>
      <c r="B3198" s="1">
        <v>64420933247</v>
      </c>
      <c r="C3198" s="1">
        <v>12</v>
      </c>
      <c r="D3198" s="1" t="s">
        <v>6306</v>
      </c>
      <c r="E3198" t="s">
        <v>6309</v>
      </c>
    </row>
    <row r="3199" spans="1:10" ht="15.75">
      <c r="A3199" s="4" t="s">
        <v>10776</v>
      </c>
      <c r="B3199" s="2"/>
      <c r="C3199" s="2"/>
      <c r="D3199" s="2"/>
      <c r="E3199" s="3"/>
      <c r="F3199" s="4" t="s">
        <v>10776</v>
      </c>
      <c r="G3199" s="2"/>
      <c r="H3199" s="2"/>
      <c r="I3199" s="2"/>
      <c r="J3199" s="3"/>
    </row>
    <row r="3200" spans="1:10">
      <c r="A3200" s="2" t="s">
        <v>0</v>
      </c>
      <c r="B3200" s="2" t="s">
        <v>1</v>
      </c>
      <c r="C3200" s="2" t="s">
        <v>2</v>
      </c>
      <c r="D3200" s="2" t="s">
        <v>3</v>
      </c>
      <c r="E3200" s="3" t="s">
        <v>4</v>
      </c>
      <c r="F3200" s="2" t="s">
        <v>0</v>
      </c>
      <c r="G3200" s="2" t="s">
        <v>1</v>
      </c>
      <c r="H3200" s="2" t="s">
        <v>2</v>
      </c>
      <c r="I3200" s="2" t="s">
        <v>3</v>
      </c>
      <c r="J3200" s="3" t="s">
        <v>4</v>
      </c>
    </row>
    <row r="3201" spans="1:10">
      <c r="A3201" s="1">
        <v>663096</v>
      </c>
      <c r="B3201" s="1">
        <v>1600041239</v>
      </c>
      <c r="C3201" s="1">
        <v>8</v>
      </c>
      <c r="D3201" s="1" t="s">
        <v>1409</v>
      </c>
      <c r="E3201" t="s">
        <v>6351</v>
      </c>
      <c r="F3201" s="1">
        <v>842385</v>
      </c>
      <c r="G3201" s="1">
        <v>5150000286</v>
      </c>
      <c r="H3201" s="1">
        <v>12</v>
      </c>
      <c r="I3201" s="1" t="s">
        <v>6390</v>
      </c>
      <c r="J3201" t="s">
        <v>6391</v>
      </c>
    </row>
    <row r="3202" spans="1:10">
      <c r="A3202" s="1">
        <v>79392</v>
      </c>
      <c r="B3202" s="1">
        <v>1600016166</v>
      </c>
      <c r="C3202" s="1">
        <v>8</v>
      </c>
      <c r="D3202" s="1" t="s">
        <v>381</v>
      </c>
      <c r="E3202" t="s">
        <v>6352</v>
      </c>
      <c r="F3202" s="1">
        <v>444216</v>
      </c>
      <c r="G3202" s="1">
        <v>5150070056</v>
      </c>
      <c r="H3202" s="1">
        <v>12</v>
      </c>
      <c r="I3202" s="1" t="s">
        <v>910</v>
      </c>
      <c r="J3202" t="s">
        <v>6392</v>
      </c>
    </row>
    <row r="3203" spans="1:10">
      <c r="A3203" s="1">
        <v>870014</v>
      </c>
      <c r="B3203" s="1">
        <v>1600045900</v>
      </c>
      <c r="C3203" s="1">
        <v>8</v>
      </c>
      <c r="D3203" s="1" t="s">
        <v>381</v>
      </c>
      <c r="E3203" t="s">
        <v>6353</v>
      </c>
      <c r="F3203" s="1">
        <v>657171</v>
      </c>
      <c r="G3203" s="1">
        <v>5150000255</v>
      </c>
      <c r="H3203" s="1">
        <v>12</v>
      </c>
      <c r="I3203" s="1" t="s">
        <v>910</v>
      </c>
      <c r="J3203" t="s">
        <v>6393</v>
      </c>
    </row>
    <row r="3204" spans="1:10">
      <c r="A3204" s="1">
        <v>781138</v>
      </c>
      <c r="B3204" s="1">
        <v>1600046070</v>
      </c>
      <c r="C3204" s="1">
        <v>8</v>
      </c>
      <c r="D3204" s="1" t="s">
        <v>381</v>
      </c>
      <c r="E3204" t="s">
        <v>6354</v>
      </c>
      <c r="F3204" s="1">
        <v>833178</v>
      </c>
      <c r="G3204" s="1">
        <v>5150000253</v>
      </c>
      <c r="H3204" s="1">
        <v>12</v>
      </c>
      <c r="I3204" s="1" t="s">
        <v>910</v>
      </c>
      <c r="J3204" t="s">
        <v>6394</v>
      </c>
    </row>
    <row r="3205" spans="1:10">
      <c r="A3205" s="1">
        <v>768168</v>
      </c>
      <c r="B3205" s="1">
        <v>1600052440</v>
      </c>
      <c r="C3205" s="1">
        <v>8</v>
      </c>
      <c r="D3205" s="1" t="s">
        <v>1483</v>
      </c>
      <c r="E3205" t="s">
        <v>6355</v>
      </c>
      <c r="F3205" s="1">
        <v>637629</v>
      </c>
      <c r="G3205" s="1">
        <v>5150070045</v>
      </c>
      <c r="H3205" s="1">
        <v>12</v>
      </c>
      <c r="I3205" s="1" t="s">
        <v>910</v>
      </c>
      <c r="J3205" t="s">
        <v>6395</v>
      </c>
    </row>
    <row r="3206" spans="1:10">
      <c r="A3206" s="1">
        <v>411702</v>
      </c>
      <c r="B3206" s="1">
        <v>1600045840</v>
      </c>
      <c r="C3206" s="1">
        <v>8</v>
      </c>
      <c r="D3206" s="1" t="s">
        <v>381</v>
      </c>
      <c r="E3206" t="s">
        <v>6356</v>
      </c>
      <c r="F3206" s="1">
        <v>66217</v>
      </c>
      <c r="G3206" s="1">
        <v>5150028003</v>
      </c>
      <c r="H3206" s="1">
        <v>12</v>
      </c>
      <c r="I3206" s="1" t="s">
        <v>381</v>
      </c>
      <c r="J3206" t="s">
        <v>6396</v>
      </c>
    </row>
    <row r="3207" spans="1:10">
      <c r="A3207" s="1">
        <v>654871</v>
      </c>
      <c r="B3207" s="1">
        <v>1600045960</v>
      </c>
      <c r="C3207" s="1">
        <v>8</v>
      </c>
      <c r="D3207" s="1" t="s">
        <v>381</v>
      </c>
      <c r="E3207" t="s">
        <v>6357</v>
      </c>
      <c r="F3207" s="1">
        <v>243667</v>
      </c>
      <c r="G3207" s="1">
        <v>5150028140</v>
      </c>
      <c r="H3207" s="1">
        <v>12</v>
      </c>
      <c r="I3207" s="1" t="s">
        <v>347</v>
      </c>
      <c r="J3207" t="s">
        <v>6397</v>
      </c>
    </row>
    <row r="3208" spans="1:10">
      <c r="A3208" s="1">
        <v>385773</v>
      </c>
      <c r="B3208" s="1">
        <v>1600045830</v>
      </c>
      <c r="C3208" s="1">
        <v>8</v>
      </c>
      <c r="D3208" s="1" t="s">
        <v>381</v>
      </c>
      <c r="E3208" t="s">
        <v>6358</v>
      </c>
      <c r="F3208" s="1">
        <v>454058</v>
      </c>
      <c r="G3208" s="1">
        <v>5150028141</v>
      </c>
      <c r="H3208" s="1">
        <v>12</v>
      </c>
      <c r="I3208" s="1" t="s">
        <v>347</v>
      </c>
      <c r="J3208" t="s">
        <v>6398</v>
      </c>
    </row>
    <row r="3209" spans="1:10">
      <c r="A3209" s="1">
        <v>763169</v>
      </c>
      <c r="B3209" s="1">
        <v>1600045850</v>
      </c>
      <c r="C3209" s="1">
        <v>8</v>
      </c>
      <c r="D3209" s="1" t="s">
        <v>381</v>
      </c>
      <c r="E3209" t="s">
        <v>6359</v>
      </c>
      <c r="F3209" s="1">
        <v>61598</v>
      </c>
      <c r="G3209" s="1">
        <v>5150028154</v>
      </c>
      <c r="H3209" s="1">
        <v>12</v>
      </c>
      <c r="I3209" s="1" t="s">
        <v>347</v>
      </c>
      <c r="J3209" t="s">
        <v>6399</v>
      </c>
    </row>
    <row r="3210" spans="1:10">
      <c r="A3210" s="1">
        <v>420547</v>
      </c>
      <c r="B3210" s="1">
        <v>1600032990</v>
      </c>
      <c r="C3210" s="1">
        <v>8</v>
      </c>
      <c r="D3210" s="1" t="s">
        <v>347</v>
      </c>
      <c r="E3210" t="s">
        <v>6360</v>
      </c>
      <c r="F3210" s="1">
        <v>61572</v>
      </c>
      <c r="G3210" s="1">
        <v>1116606157</v>
      </c>
      <c r="H3210" s="1">
        <v>12</v>
      </c>
      <c r="I3210" s="1" t="s">
        <v>381</v>
      </c>
      <c r="J3210" t="s">
        <v>6400</v>
      </c>
    </row>
    <row r="3211" spans="1:10">
      <c r="A3211" s="1">
        <v>528745</v>
      </c>
      <c r="B3211" s="1">
        <v>1600032320</v>
      </c>
      <c r="C3211" s="1">
        <v>8</v>
      </c>
      <c r="D3211" s="1" t="s">
        <v>347</v>
      </c>
      <c r="E3211" t="s">
        <v>6361</v>
      </c>
      <c r="F3211" s="1">
        <v>66407</v>
      </c>
      <c r="G3211" s="1">
        <v>1116606640</v>
      </c>
      <c r="H3211" s="1">
        <v>12</v>
      </c>
      <c r="I3211" s="1" t="s">
        <v>381</v>
      </c>
      <c r="J3211" t="s">
        <v>6401</v>
      </c>
    </row>
    <row r="3212" spans="1:10">
      <c r="A3212" s="1">
        <v>562454</v>
      </c>
      <c r="B3212" s="1">
        <v>1600037420</v>
      </c>
      <c r="C3212" s="1">
        <v>8</v>
      </c>
      <c r="D3212" s="1" t="s">
        <v>347</v>
      </c>
      <c r="E3212" t="s">
        <v>6362</v>
      </c>
      <c r="F3212" s="1">
        <v>66415</v>
      </c>
      <c r="G3212" s="1">
        <v>1116606643</v>
      </c>
      <c r="H3212" s="1">
        <v>12</v>
      </c>
      <c r="I3212" s="1" t="s">
        <v>381</v>
      </c>
      <c r="J3212" t="s">
        <v>6402</v>
      </c>
    </row>
    <row r="3213" spans="1:10">
      <c r="A3213" s="1">
        <v>477489</v>
      </c>
      <c r="B3213" s="1">
        <v>1600037460</v>
      </c>
      <c r="C3213" s="1">
        <v>8</v>
      </c>
      <c r="D3213" s="1" t="s">
        <v>347</v>
      </c>
      <c r="E3213" t="s">
        <v>6363</v>
      </c>
      <c r="F3213" s="1">
        <v>66423</v>
      </c>
      <c r="G3213" s="1">
        <v>1116606642</v>
      </c>
      <c r="H3213" s="1">
        <v>12</v>
      </c>
      <c r="I3213" s="1" t="s">
        <v>381</v>
      </c>
      <c r="J3213" t="s">
        <v>6403</v>
      </c>
    </row>
    <row r="3214" spans="1:10" ht="15.75">
      <c r="A3214" s="1">
        <v>360966</v>
      </c>
      <c r="B3214" s="1">
        <v>1600037410</v>
      </c>
      <c r="C3214" s="1">
        <v>8</v>
      </c>
      <c r="D3214" s="1" t="s">
        <v>347</v>
      </c>
      <c r="E3214" t="s">
        <v>6364</v>
      </c>
      <c r="F3214" s="4" t="s">
        <v>10777</v>
      </c>
      <c r="G3214" s="2"/>
      <c r="H3214" s="2"/>
      <c r="I3214" s="2"/>
      <c r="J3214" s="3"/>
    </row>
    <row r="3215" spans="1:10">
      <c r="A3215" s="1">
        <v>183210</v>
      </c>
      <c r="B3215" s="1">
        <v>1600037400</v>
      </c>
      <c r="C3215" s="1">
        <v>8</v>
      </c>
      <c r="D3215" s="1" t="s">
        <v>347</v>
      </c>
      <c r="E3215" t="s">
        <v>6365</v>
      </c>
      <c r="F3215" s="2" t="s">
        <v>0</v>
      </c>
      <c r="G3215" s="2" t="s">
        <v>1</v>
      </c>
      <c r="H3215" s="2" t="s">
        <v>2</v>
      </c>
      <c r="I3215" s="2" t="s">
        <v>3</v>
      </c>
      <c r="J3215" s="3" t="s">
        <v>4</v>
      </c>
    </row>
    <row r="3216" spans="1:10">
      <c r="A3216" s="1">
        <v>326165</v>
      </c>
      <c r="B3216" s="1">
        <v>1600037430</v>
      </c>
      <c r="C3216" s="1">
        <v>8</v>
      </c>
      <c r="D3216" s="1" t="s">
        <v>347</v>
      </c>
      <c r="E3216" t="s">
        <v>6366</v>
      </c>
      <c r="F3216" s="1">
        <v>247825</v>
      </c>
      <c r="G3216" s="1">
        <v>1090000383</v>
      </c>
      <c r="H3216" s="1">
        <v>24</v>
      </c>
      <c r="I3216" s="1" t="s">
        <v>6404</v>
      </c>
      <c r="J3216" t="s">
        <v>6405</v>
      </c>
    </row>
    <row r="3217" spans="1:10">
      <c r="A3217" s="1">
        <v>826149</v>
      </c>
      <c r="B3217" s="1">
        <v>1600041777</v>
      </c>
      <c r="C3217" s="1">
        <v>8</v>
      </c>
      <c r="D3217" s="1" t="s">
        <v>347</v>
      </c>
      <c r="E3217" t="s">
        <v>6367</v>
      </c>
      <c r="F3217" s="1">
        <v>247890</v>
      </c>
      <c r="G3217" s="1">
        <v>1090000291</v>
      </c>
      <c r="H3217" s="1">
        <v>24</v>
      </c>
      <c r="I3217" s="1" t="s">
        <v>1208</v>
      </c>
      <c r="J3217" t="s">
        <v>6406</v>
      </c>
    </row>
    <row r="3218" spans="1:10">
      <c r="A3218" s="1">
        <v>67272</v>
      </c>
      <c r="B3218" s="1">
        <v>64420940554</v>
      </c>
      <c r="C3218" s="1">
        <v>8</v>
      </c>
      <c r="D3218" s="1" t="s">
        <v>1280</v>
      </c>
      <c r="E3218" t="s">
        <v>6368</v>
      </c>
      <c r="F3218" s="1">
        <v>421735</v>
      </c>
      <c r="G3218" s="1">
        <v>1090006387</v>
      </c>
      <c r="H3218" s="1">
        <v>24</v>
      </c>
      <c r="I3218" s="1" t="s">
        <v>766</v>
      </c>
      <c r="J3218" t="s">
        <v>6407</v>
      </c>
    </row>
    <row r="3219" spans="1:10" ht="15.75">
      <c r="A3219" s="1">
        <v>707125</v>
      </c>
      <c r="B3219" s="1">
        <v>64420940558</v>
      </c>
      <c r="C3219" s="1">
        <v>8</v>
      </c>
      <c r="D3219" s="1" t="s">
        <v>1280</v>
      </c>
      <c r="E3219" t="s">
        <v>6369</v>
      </c>
      <c r="F3219" s="4" t="s">
        <v>10778</v>
      </c>
      <c r="G3219" s="2"/>
      <c r="H3219" s="2"/>
      <c r="I3219" s="2"/>
      <c r="J3219" s="3"/>
    </row>
    <row r="3220" spans="1:10">
      <c r="A3220" s="1">
        <v>61606</v>
      </c>
      <c r="B3220" s="1">
        <v>64420940553</v>
      </c>
      <c r="C3220" s="1">
        <v>8</v>
      </c>
      <c r="D3220" s="1" t="s">
        <v>1280</v>
      </c>
      <c r="E3220" t="s">
        <v>6370</v>
      </c>
      <c r="F3220" s="2" t="s">
        <v>0</v>
      </c>
      <c r="G3220" s="2" t="s">
        <v>1</v>
      </c>
      <c r="H3220" s="2" t="s">
        <v>2</v>
      </c>
      <c r="I3220" s="2" t="s">
        <v>3</v>
      </c>
      <c r="J3220" s="3" t="s">
        <v>4</v>
      </c>
    </row>
    <row r="3221" spans="1:10">
      <c r="A3221" s="1">
        <v>67231</v>
      </c>
      <c r="B3221" s="1">
        <v>64420940552</v>
      </c>
      <c r="C3221" s="1">
        <v>8</v>
      </c>
      <c r="D3221" s="1" t="s">
        <v>1280</v>
      </c>
      <c r="E3221" t="s">
        <v>6371</v>
      </c>
      <c r="F3221" s="1">
        <v>320507</v>
      </c>
      <c r="G3221" s="1">
        <v>4300025340</v>
      </c>
      <c r="H3221" s="1">
        <v>12</v>
      </c>
      <c r="I3221" s="1" t="s">
        <v>399</v>
      </c>
      <c r="J3221" t="s">
        <v>6408</v>
      </c>
    </row>
    <row r="3222" spans="1:10">
      <c r="A3222" s="1">
        <v>373894</v>
      </c>
      <c r="B3222" s="1">
        <v>64420947104</v>
      </c>
      <c r="C3222" s="1">
        <v>8</v>
      </c>
      <c r="D3222" s="1" t="s">
        <v>381</v>
      </c>
      <c r="E3222" t="s">
        <v>6372</v>
      </c>
      <c r="F3222" s="1">
        <v>654939</v>
      </c>
      <c r="G3222" s="1">
        <v>4300025235</v>
      </c>
      <c r="H3222" s="1">
        <v>12</v>
      </c>
      <c r="I3222" s="1" t="s">
        <v>397</v>
      </c>
      <c r="J3222" t="s">
        <v>6409</v>
      </c>
    </row>
    <row r="3223" spans="1:10">
      <c r="A3223" s="1">
        <v>150896</v>
      </c>
      <c r="B3223" s="1">
        <v>64420947103</v>
      </c>
      <c r="C3223" s="1">
        <v>8</v>
      </c>
      <c r="D3223" s="1" t="s">
        <v>381</v>
      </c>
      <c r="E3223" t="s">
        <v>6373</v>
      </c>
      <c r="F3223" s="1">
        <v>33068</v>
      </c>
      <c r="G3223" s="1">
        <v>4300025220</v>
      </c>
      <c r="H3223" s="1">
        <v>12</v>
      </c>
      <c r="I3223" s="1" t="s">
        <v>404</v>
      </c>
      <c r="J3223" t="s">
        <v>6410</v>
      </c>
    </row>
    <row r="3224" spans="1:10">
      <c r="A3224" s="1">
        <v>440479</v>
      </c>
      <c r="B3224" s="1">
        <v>64420900446</v>
      </c>
      <c r="C3224" s="1">
        <v>8</v>
      </c>
      <c r="D3224" s="1" t="s">
        <v>381</v>
      </c>
      <c r="E3224" t="s">
        <v>6374</v>
      </c>
      <c r="F3224" s="1">
        <v>420034</v>
      </c>
      <c r="G3224" s="1">
        <v>4300025010</v>
      </c>
      <c r="H3224" s="1">
        <v>12</v>
      </c>
      <c r="I3224" s="1" t="s">
        <v>399</v>
      </c>
      <c r="J3224" t="s">
        <v>6411</v>
      </c>
    </row>
    <row r="3225" spans="1:10">
      <c r="A3225" s="1">
        <v>494732</v>
      </c>
      <c r="B3225" s="1">
        <v>64420900438</v>
      </c>
      <c r="C3225" s="1">
        <v>8</v>
      </c>
      <c r="D3225" s="1" t="s">
        <v>381</v>
      </c>
      <c r="E3225" t="s">
        <v>6375</v>
      </c>
      <c r="F3225" s="1">
        <v>62208</v>
      </c>
      <c r="G3225" s="1">
        <v>3400005200</v>
      </c>
      <c r="H3225" s="1">
        <v>12</v>
      </c>
      <c r="I3225" s="1" t="s">
        <v>399</v>
      </c>
      <c r="J3225" t="s">
        <v>6412</v>
      </c>
    </row>
    <row r="3226" spans="1:10">
      <c r="A3226" s="1">
        <v>601864</v>
      </c>
      <c r="B3226" s="1">
        <v>64420900456</v>
      </c>
      <c r="C3226" s="1">
        <v>8</v>
      </c>
      <c r="D3226" s="1" t="s">
        <v>381</v>
      </c>
      <c r="E3226" t="s">
        <v>6376</v>
      </c>
      <c r="F3226" s="1">
        <v>671693</v>
      </c>
      <c r="G3226" s="1">
        <v>3400005300</v>
      </c>
      <c r="H3226" s="1">
        <v>12</v>
      </c>
      <c r="I3226" s="1" t="s">
        <v>399</v>
      </c>
      <c r="J3226" t="s">
        <v>6413</v>
      </c>
    </row>
    <row r="3227" spans="1:10">
      <c r="A3227" s="1">
        <v>275891</v>
      </c>
      <c r="B3227" s="1">
        <v>64420947113</v>
      </c>
      <c r="C3227" s="1">
        <v>8</v>
      </c>
      <c r="D3227" s="1" t="s">
        <v>381</v>
      </c>
      <c r="E3227" t="s">
        <v>6377</v>
      </c>
      <c r="F3227" s="1">
        <v>237677</v>
      </c>
      <c r="G3227" s="1">
        <v>2800032047</v>
      </c>
      <c r="H3227" s="1">
        <v>12</v>
      </c>
      <c r="I3227" s="1" t="s">
        <v>397</v>
      </c>
      <c r="J3227" t="s">
        <v>6414</v>
      </c>
    </row>
    <row r="3228" spans="1:10">
      <c r="A3228" s="1">
        <v>279554</v>
      </c>
      <c r="B3228" s="1">
        <v>64420900447</v>
      </c>
      <c r="C3228" s="1">
        <v>8</v>
      </c>
      <c r="D3228" s="1" t="s">
        <v>381</v>
      </c>
      <c r="E3228" t="s">
        <v>6378</v>
      </c>
      <c r="F3228" s="1">
        <v>270140</v>
      </c>
      <c r="G3228" s="1">
        <v>2800032049</v>
      </c>
      <c r="H3228" s="1">
        <v>12</v>
      </c>
      <c r="I3228" s="1" t="s">
        <v>397</v>
      </c>
      <c r="J3228" t="s">
        <v>6415</v>
      </c>
    </row>
    <row r="3229" spans="1:10">
      <c r="A3229" s="1">
        <v>229831</v>
      </c>
      <c r="B3229" s="1">
        <v>64420940502</v>
      </c>
      <c r="C3229" s="1">
        <v>8</v>
      </c>
      <c r="D3229" s="1" t="s">
        <v>381</v>
      </c>
      <c r="E3229" t="s">
        <v>6379</v>
      </c>
      <c r="F3229" s="1">
        <v>34991</v>
      </c>
      <c r="G3229" s="1">
        <v>2800022120</v>
      </c>
      <c r="H3229" s="1">
        <v>12</v>
      </c>
      <c r="I3229" s="1" t="s">
        <v>399</v>
      </c>
      <c r="J3229" t="s">
        <v>6416</v>
      </c>
    </row>
    <row r="3230" spans="1:10">
      <c r="A3230" s="1">
        <v>832980</v>
      </c>
      <c r="B3230" s="1">
        <v>64420940500</v>
      </c>
      <c r="C3230" s="1">
        <v>8</v>
      </c>
      <c r="D3230" s="1" t="s">
        <v>381</v>
      </c>
      <c r="E3230" t="s">
        <v>6380</v>
      </c>
      <c r="F3230" s="1">
        <v>674895</v>
      </c>
      <c r="G3230" s="1">
        <v>2800022217</v>
      </c>
      <c r="H3230" s="1">
        <v>12</v>
      </c>
      <c r="I3230" s="1" t="s">
        <v>397</v>
      </c>
      <c r="J3230" t="s">
        <v>6417</v>
      </c>
    </row>
    <row r="3231" spans="1:10" ht="15.75">
      <c r="A3231" s="1">
        <v>122291</v>
      </c>
      <c r="B3231" s="1">
        <v>64420900439</v>
      </c>
      <c r="C3231" s="1">
        <v>8</v>
      </c>
      <c r="D3231" s="1" t="s">
        <v>381</v>
      </c>
      <c r="E3231" t="s">
        <v>6381</v>
      </c>
      <c r="F3231" s="4" t="s">
        <v>11026</v>
      </c>
      <c r="G3231" s="2"/>
      <c r="H3231" s="2"/>
      <c r="I3231" s="2"/>
      <c r="J3231" s="3"/>
    </row>
    <row r="3232" spans="1:10">
      <c r="A3232" s="1">
        <v>506865</v>
      </c>
      <c r="B3232" s="1">
        <v>64420947111</v>
      </c>
      <c r="C3232" s="1">
        <v>8</v>
      </c>
      <c r="D3232" s="1" t="s">
        <v>381</v>
      </c>
      <c r="E3232" t="s">
        <v>6382</v>
      </c>
      <c r="F3232" s="2" t="s">
        <v>0</v>
      </c>
      <c r="G3232" s="2" t="s">
        <v>1</v>
      </c>
      <c r="H3232" s="2" t="s">
        <v>2</v>
      </c>
      <c r="I3232" s="2" t="s">
        <v>3</v>
      </c>
      <c r="J3232" s="3" t="s">
        <v>4</v>
      </c>
    </row>
    <row r="3233" spans="1:10">
      <c r="A3233" s="1">
        <v>417428</v>
      </c>
      <c r="B3233" s="1">
        <v>5150070046</v>
      </c>
      <c r="C3233" s="1">
        <v>12</v>
      </c>
      <c r="D3233" s="1" t="s">
        <v>910</v>
      </c>
      <c r="E3233" t="s">
        <v>6383</v>
      </c>
      <c r="F3233" s="1">
        <v>34215</v>
      </c>
      <c r="G3233" s="1">
        <v>74759964011</v>
      </c>
      <c r="H3233" s="1">
        <v>12</v>
      </c>
      <c r="I3233" s="1" t="s">
        <v>703</v>
      </c>
      <c r="J3233" t="s">
        <v>6418</v>
      </c>
    </row>
    <row r="3234" spans="1:10">
      <c r="A3234" s="1">
        <v>66449</v>
      </c>
      <c r="B3234" s="1">
        <v>5150076050</v>
      </c>
      <c r="C3234" s="1">
        <v>12</v>
      </c>
      <c r="D3234" s="1" t="s">
        <v>381</v>
      </c>
      <c r="E3234" t="s">
        <v>6384</v>
      </c>
      <c r="F3234" s="1">
        <v>33332</v>
      </c>
      <c r="G3234" s="1">
        <v>74759961065</v>
      </c>
      <c r="H3234" s="1">
        <v>12</v>
      </c>
      <c r="I3234" s="1" t="s">
        <v>363</v>
      </c>
      <c r="J3234" t="s">
        <v>6419</v>
      </c>
    </row>
    <row r="3235" spans="1:10">
      <c r="A3235" s="1">
        <v>67645</v>
      </c>
      <c r="B3235" s="1">
        <v>5150076310</v>
      </c>
      <c r="C3235" s="1">
        <v>12</v>
      </c>
      <c r="D3235" s="1" t="s">
        <v>1275</v>
      </c>
      <c r="E3235" t="s">
        <v>6385</v>
      </c>
      <c r="F3235" s="1">
        <v>34587</v>
      </c>
      <c r="G3235" s="1">
        <v>74759964012</v>
      </c>
      <c r="H3235" s="1">
        <v>12</v>
      </c>
      <c r="I3235" s="1" t="s">
        <v>703</v>
      </c>
      <c r="J3235" t="s">
        <v>6420</v>
      </c>
    </row>
    <row r="3236" spans="1:10">
      <c r="A3236" s="1">
        <v>66431</v>
      </c>
      <c r="B3236" s="1">
        <v>5150076080</v>
      </c>
      <c r="C3236" s="1">
        <v>12</v>
      </c>
      <c r="D3236" s="1" t="s">
        <v>381</v>
      </c>
      <c r="E3236" t="s">
        <v>6386</v>
      </c>
      <c r="F3236" s="1">
        <v>33555</v>
      </c>
      <c r="G3236" s="1">
        <v>74759964015</v>
      </c>
      <c r="H3236" s="1">
        <v>12</v>
      </c>
      <c r="I3236" s="1" t="s">
        <v>347</v>
      </c>
      <c r="J3236" t="s">
        <v>6421</v>
      </c>
    </row>
    <row r="3237" spans="1:10">
      <c r="A3237" s="1">
        <v>66936</v>
      </c>
      <c r="B3237" s="1">
        <v>5150076150</v>
      </c>
      <c r="C3237" s="1">
        <v>12</v>
      </c>
      <c r="D3237" s="1" t="s">
        <v>381</v>
      </c>
      <c r="E3237" t="s">
        <v>6387</v>
      </c>
      <c r="F3237" s="1">
        <v>33720</v>
      </c>
      <c r="G3237" s="1">
        <v>3400014830</v>
      </c>
      <c r="H3237" s="1">
        <v>12</v>
      </c>
      <c r="I3237" s="1" t="s">
        <v>347</v>
      </c>
      <c r="J3237" t="s">
        <v>6422</v>
      </c>
    </row>
    <row r="3238" spans="1:10">
      <c r="A3238" s="1">
        <v>67652</v>
      </c>
      <c r="B3238" s="1">
        <v>5150076040</v>
      </c>
      <c r="C3238" s="1">
        <v>12</v>
      </c>
      <c r="D3238" s="1" t="s">
        <v>381</v>
      </c>
      <c r="E3238" t="s">
        <v>6388</v>
      </c>
      <c r="F3238" s="1">
        <v>33712</v>
      </c>
      <c r="G3238" s="1">
        <v>3400014600</v>
      </c>
      <c r="H3238" s="1">
        <v>12</v>
      </c>
      <c r="I3238" s="1" t="s">
        <v>703</v>
      </c>
      <c r="J3238" t="s">
        <v>6423</v>
      </c>
    </row>
    <row r="3239" spans="1:10">
      <c r="A3239" s="1">
        <v>2469</v>
      </c>
      <c r="B3239" s="1">
        <v>5150076060</v>
      </c>
      <c r="C3239" s="1">
        <v>12</v>
      </c>
      <c r="D3239" s="1" t="s">
        <v>910</v>
      </c>
      <c r="E3239" t="s">
        <v>6389</v>
      </c>
      <c r="F3239" s="1">
        <v>553024</v>
      </c>
      <c r="G3239" s="1">
        <v>3400006180</v>
      </c>
      <c r="H3239" s="1">
        <v>12</v>
      </c>
      <c r="I3239" s="1" t="s">
        <v>399</v>
      </c>
      <c r="J3239" t="s">
        <v>6424</v>
      </c>
    </row>
    <row r="3240" spans="1:10" ht="15.75">
      <c r="A3240" s="4" t="s">
        <v>11027</v>
      </c>
      <c r="B3240" s="2"/>
      <c r="C3240" s="2"/>
      <c r="D3240" s="2"/>
      <c r="E3240" s="3"/>
      <c r="F3240" s="4" t="s">
        <v>10780</v>
      </c>
      <c r="G3240" s="2"/>
      <c r="H3240" s="2"/>
      <c r="I3240" s="2"/>
      <c r="J3240" s="3"/>
    </row>
    <row r="3241" spans="1:10">
      <c r="A3241" s="2" t="s">
        <v>0</v>
      </c>
      <c r="B3241" s="2" t="s">
        <v>1</v>
      </c>
      <c r="C3241" s="2" t="s">
        <v>2</v>
      </c>
      <c r="D3241" s="2" t="s">
        <v>3</v>
      </c>
      <c r="E3241" s="3" t="s">
        <v>4</v>
      </c>
      <c r="F3241" s="2" t="s">
        <v>0</v>
      </c>
      <c r="G3241" s="2" t="s">
        <v>1</v>
      </c>
      <c r="H3241" s="2" t="s">
        <v>2</v>
      </c>
      <c r="I3241" s="2" t="s">
        <v>3</v>
      </c>
      <c r="J3241" s="3" t="s">
        <v>4</v>
      </c>
    </row>
    <row r="3242" spans="1:10">
      <c r="A3242" s="1">
        <v>33696</v>
      </c>
      <c r="B3242" s="1">
        <v>3400000144</v>
      </c>
      <c r="C3242" s="1">
        <v>12</v>
      </c>
      <c r="D3242" s="1" t="s">
        <v>489</v>
      </c>
      <c r="E3242" t="s">
        <v>6425</v>
      </c>
      <c r="F3242" s="1">
        <v>38604</v>
      </c>
      <c r="G3242" s="1">
        <v>2420013800</v>
      </c>
      <c r="H3242" s="1">
        <v>12</v>
      </c>
      <c r="I3242" s="1" t="s">
        <v>381</v>
      </c>
      <c r="J3242" t="s">
        <v>6455</v>
      </c>
    </row>
    <row r="3243" spans="1:10">
      <c r="A3243" s="1">
        <v>422642</v>
      </c>
      <c r="B3243" s="1">
        <v>3400014128</v>
      </c>
      <c r="C3243" s="1">
        <v>12</v>
      </c>
      <c r="D3243" s="1" t="s">
        <v>489</v>
      </c>
      <c r="E3243" t="s">
        <v>6426</v>
      </c>
      <c r="F3243" s="1">
        <v>26773</v>
      </c>
      <c r="G3243" s="1">
        <v>1116602677</v>
      </c>
      <c r="H3243" s="1">
        <v>24</v>
      </c>
      <c r="I3243" s="1" t="s">
        <v>381</v>
      </c>
      <c r="J3243" t="s">
        <v>6456</v>
      </c>
    </row>
    <row r="3244" spans="1:10">
      <c r="A3244" s="1">
        <v>696740</v>
      </c>
      <c r="B3244" s="1">
        <v>3400014134</v>
      </c>
      <c r="C3244" s="1">
        <v>12</v>
      </c>
      <c r="D3244" s="1" t="s">
        <v>399</v>
      </c>
      <c r="E3244" t="s">
        <v>6427</v>
      </c>
      <c r="F3244" s="1">
        <v>27946</v>
      </c>
      <c r="G3244" s="1">
        <v>4161700225</v>
      </c>
      <c r="H3244" s="1">
        <v>12</v>
      </c>
      <c r="I3244" s="1" t="s">
        <v>489</v>
      </c>
      <c r="J3244" t="s">
        <v>6457</v>
      </c>
    </row>
    <row r="3245" spans="1:10">
      <c r="A3245" s="1">
        <v>459297</v>
      </c>
      <c r="B3245" s="1">
        <v>3400000607</v>
      </c>
      <c r="C3245" s="1">
        <v>12</v>
      </c>
      <c r="D3245" s="1" t="s">
        <v>397</v>
      </c>
      <c r="E3245" t="s">
        <v>6428</v>
      </c>
      <c r="F3245" s="1">
        <v>27904</v>
      </c>
      <c r="G3245" s="1">
        <v>4161700220</v>
      </c>
      <c r="H3245" s="1">
        <v>24</v>
      </c>
      <c r="I3245" s="1" t="s">
        <v>397</v>
      </c>
      <c r="J3245" t="s">
        <v>6457</v>
      </c>
    </row>
    <row r="3246" spans="1:10">
      <c r="A3246" s="1">
        <v>448373</v>
      </c>
      <c r="B3246" s="1">
        <v>3400014680</v>
      </c>
      <c r="C3246" s="1">
        <v>12</v>
      </c>
      <c r="D3246" s="1" t="s">
        <v>347</v>
      </c>
      <c r="E3246" t="s">
        <v>6429</v>
      </c>
      <c r="F3246" s="1">
        <v>27789</v>
      </c>
      <c r="G3246" s="1">
        <v>4161700285</v>
      </c>
      <c r="H3246" s="1">
        <v>12</v>
      </c>
      <c r="I3246" s="1" t="s">
        <v>347</v>
      </c>
      <c r="J3246" t="s">
        <v>6458</v>
      </c>
    </row>
    <row r="3247" spans="1:10" ht="15.75">
      <c r="A3247" s="1">
        <v>309385</v>
      </c>
      <c r="B3247" s="1">
        <v>3400000606</v>
      </c>
      <c r="C3247" s="1">
        <v>12</v>
      </c>
      <c r="D3247" s="1" t="s">
        <v>397</v>
      </c>
      <c r="E3247" t="s">
        <v>6430</v>
      </c>
      <c r="F3247" s="4" t="s">
        <v>10781</v>
      </c>
      <c r="G3247" s="2"/>
      <c r="H3247" s="2"/>
      <c r="I3247" s="2"/>
      <c r="J3247" s="3"/>
    </row>
    <row r="3248" spans="1:10">
      <c r="A3248" s="1">
        <v>33183</v>
      </c>
      <c r="B3248" s="1">
        <v>1116603318</v>
      </c>
      <c r="C3248" s="1">
        <v>24</v>
      </c>
      <c r="D3248" s="1" t="s">
        <v>347</v>
      </c>
      <c r="E3248" t="s">
        <v>6431</v>
      </c>
      <c r="F3248" s="2" t="s">
        <v>0</v>
      </c>
      <c r="G3248" s="2" t="s">
        <v>1</v>
      </c>
      <c r="H3248" s="2" t="s">
        <v>2</v>
      </c>
      <c r="I3248" s="2" t="s">
        <v>3</v>
      </c>
      <c r="J3248" s="3" t="s">
        <v>4</v>
      </c>
    </row>
    <row r="3249" spans="1:10">
      <c r="A3249" s="1">
        <v>34454</v>
      </c>
      <c r="B3249" s="1">
        <v>2800021020</v>
      </c>
      <c r="C3249" s="1">
        <v>12</v>
      </c>
      <c r="D3249" s="1" t="s">
        <v>703</v>
      </c>
      <c r="E3249" t="s">
        <v>6432</v>
      </c>
      <c r="F3249" s="1">
        <v>501155</v>
      </c>
      <c r="G3249" s="1">
        <v>3000005150</v>
      </c>
      <c r="H3249" s="1">
        <v>12</v>
      </c>
      <c r="I3249" s="1" t="s">
        <v>971</v>
      </c>
      <c r="J3249" t="s">
        <v>6459</v>
      </c>
    </row>
    <row r="3250" spans="1:10">
      <c r="A3250" s="1">
        <v>294926</v>
      </c>
      <c r="B3250" s="1">
        <v>2800004425</v>
      </c>
      <c r="C3250" s="1">
        <v>12</v>
      </c>
      <c r="D3250" s="1" t="s">
        <v>1387</v>
      </c>
      <c r="E3250" t="s">
        <v>6433</v>
      </c>
      <c r="F3250" s="1">
        <v>66894</v>
      </c>
      <c r="G3250" s="1">
        <v>3000043272</v>
      </c>
      <c r="H3250" s="1">
        <v>6</v>
      </c>
      <c r="I3250" s="1" t="s">
        <v>4658</v>
      </c>
      <c r="J3250" t="s">
        <v>6460</v>
      </c>
    </row>
    <row r="3251" spans="1:10">
      <c r="A3251" s="1">
        <v>294918</v>
      </c>
      <c r="B3251" s="1">
        <v>2800004406</v>
      </c>
      <c r="C3251" s="1">
        <v>12</v>
      </c>
      <c r="D3251" s="1" t="s">
        <v>489</v>
      </c>
      <c r="E3251" t="s">
        <v>6434</v>
      </c>
      <c r="F3251" s="1">
        <v>67249</v>
      </c>
      <c r="G3251" s="1">
        <v>3000005350</v>
      </c>
      <c r="H3251" s="1">
        <v>12</v>
      </c>
      <c r="I3251" s="1" t="s">
        <v>1973</v>
      </c>
      <c r="J3251" t="s">
        <v>6461</v>
      </c>
    </row>
    <row r="3252" spans="1:10">
      <c r="A3252" s="1">
        <v>556761</v>
      </c>
      <c r="B3252" s="1">
        <v>2800021010</v>
      </c>
      <c r="C3252" s="1">
        <v>12</v>
      </c>
      <c r="D3252" s="1" t="s">
        <v>347</v>
      </c>
      <c r="E3252" t="s">
        <v>6435</v>
      </c>
      <c r="F3252" s="1">
        <v>67405</v>
      </c>
      <c r="G3252" s="1">
        <v>3000005290</v>
      </c>
      <c r="H3252" s="1">
        <v>12</v>
      </c>
      <c r="I3252" s="1" t="s">
        <v>1973</v>
      </c>
      <c r="J3252" t="s">
        <v>6462</v>
      </c>
    </row>
    <row r="3253" spans="1:10">
      <c r="A3253" s="1">
        <v>33498</v>
      </c>
      <c r="B3253" s="1">
        <v>2800021730</v>
      </c>
      <c r="C3253" s="1">
        <v>12</v>
      </c>
      <c r="D3253" s="1" t="s">
        <v>363</v>
      </c>
      <c r="E3253" t="s">
        <v>6436</v>
      </c>
      <c r="F3253" s="1">
        <v>67199</v>
      </c>
      <c r="G3253" s="1">
        <v>3000005020</v>
      </c>
      <c r="H3253" s="1">
        <v>12</v>
      </c>
      <c r="I3253" s="1" t="s">
        <v>381</v>
      </c>
      <c r="J3253" t="s">
        <v>6462</v>
      </c>
    </row>
    <row r="3254" spans="1:10">
      <c r="A3254" s="1">
        <v>33704</v>
      </c>
      <c r="B3254" s="1">
        <v>2800021560</v>
      </c>
      <c r="C3254" s="1">
        <v>12</v>
      </c>
      <c r="D3254" s="1" t="s">
        <v>439</v>
      </c>
      <c r="E3254" t="s">
        <v>6437</v>
      </c>
      <c r="F3254" s="1">
        <v>67801</v>
      </c>
      <c r="G3254" s="1">
        <v>3000005070</v>
      </c>
      <c r="H3254" s="1">
        <v>12</v>
      </c>
      <c r="I3254" s="1" t="s">
        <v>375</v>
      </c>
      <c r="J3254" t="s">
        <v>6463</v>
      </c>
    </row>
    <row r="3255" spans="1:10">
      <c r="A3255" s="1">
        <v>33548</v>
      </c>
      <c r="B3255" s="1">
        <v>2800021760</v>
      </c>
      <c r="C3255" s="1">
        <v>12</v>
      </c>
      <c r="D3255" s="1" t="s">
        <v>703</v>
      </c>
      <c r="E3255" t="s">
        <v>6438</v>
      </c>
      <c r="F3255" s="1">
        <v>67686</v>
      </c>
      <c r="G3255" s="1">
        <v>3000005040</v>
      </c>
      <c r="H3255" s="1">
        <v>12</v>
      </c>
      <c r="I3255" s="1" t="s">
        <v>375</v>
      </c>
      <c r="J3255" t="s">
        <v>6464</v>
      </c>
    </row>
    <row r="3256" spans="1:10">
      <c r="A3256" s="1">
        <v>33647</v>
      </c>
      <c r="B3256" s="1">
        <v>2800021520</v>
      </c>
      <c r="C3256" s="1">
        <v>24</v>
      </c>
      <c r="D3256" s="1" t="s">
        <v>404</v>
      </c>
      <c r="E3256" t="s">
        <v>6438</v>
      </c>
      <c r="F3256" s="1">
        <v>67629</v>
      </c>
      <c r="G3256" s="1">
        <v>3000005300</v>
      </c>
      <c r="H3256" s="1">
        <v>12</v>
      </c>
      <c r="I3256" s="1" t="s">
        <v>375</v>
      </c>
      <c r="J3256" t="s">
        <v>6465</v>
      </c>
    </row>
    <row r="3257" spans="1:10">
      <c r="A3257" s="1">
        <v>44016</v>
      </c>
      <c r="B3257" s="1">
        <v>2800021480</v>
      </c>
      <c r="C3257" s="1">
        <v>12</v>
      </c>
      <c r="D3257" s="1" t="s">
        <v>347</v>
      </c>
      <c r="E3257" t="s">
        <v>6439</v>
      </c>
      <c r="F3257" s="1">
        <v>55517</v>
      </c>
      <c r="G3257" s="1">
        <v>1600019428</v>
      </c>
      <c r="H3257" s="1">
        <v>8</v>
      </c>
      <c r="I3257" s="1" t="s">
        <v>6466</v>
      </c>
      <c r="J3257" t="s">
        <v>6467</v>
      </c>
    </row>
    <row r="3258" spans="1:10">
      <c r="A3258" s="1">
        <v>33662</v>
      </c>
      <c r="B3258" s="1">
        <v>2800021580</v>
      </c>
      <c r="C3258" s="1">
        <v>24</v>
      </c>
      <c r="D3258" s="1" t="s">
        <v>347</v>
      </c>
      <c r="E3258" t="s">
        <v>6440</v>
      </c>
      <c r="F3258" s="1">
        <v>758524</v>
      </c>
      <c r="G3258" s="1">
        <v>1600019426</v>
      </c>
      <c r="H3258" s="1">
        <v>12</v>
      </c>
      <c r="I3258" s="1" t="s">
        <v>6468</v>
      </c>
      <c r="J3258" t="s">
        <v>6467</v>
      </c>
    </row>
    <row r="3259" spans="1:10">
      <c r="A3259" s="1">
        <v>34256</v>
      </c>
      <c r="B3259" s="1">
        <v>2800021040</v>
      </c>
      <c r="C3259" s="1">
        <v>12</v>
      </c>
      <c r="D3259" s="1" t="s">
        <v>363</v>
      </c>
      <c r="E3259" t="s">
        <v>6441</v>
      </c>
      <c r="F3259" s="1">
        <v>404038</v>
      </c>
      <c r="G3259" s="1">
        <v>1760004475</v>
      </c>
      <c r="H3259" s="1">
        <v>12</v>
      </c>
      <c r="I3259" s="1" t="s">
        <v>404</v>
      </c>
      <c r="J3259" t="s">
        <v>6469</v>
      </c>
    </row>
    <row r="3260" spans="1:10">
      <c r="A3260" s="1">
        <v>294611</v>
      </c>
      <c r="B3260" s="1">
        <v>2800000778</v>
      </c>
      <c r="C3260" s="1">
        <v>12</v>
      </c>
      <c r="D3260" s="1" t="s">
        <v>489</v>
      </c>
      <c r="E3260" t="s">
        <v>6442</v>
      </c>
      <c r="F3260" s="1">
        <v>748699</v>
      </c>
      <c r="G3260" s="1">
        <v>1600028282</v>
      </c>
      <c r="H3260" s="1">
        <v>8</v>
      </c>
      <c r="I3260" s="1" t="s">
        <v>2269</v>
      </c>
      <c r="J3260" t="s">
        <v>6470</v>
      </c>
    </row>
    <row r="3261" spans="1:10">
      <c r="A3261" s="1">
        <v>385096</v>
      </c>
      <c r="B3261" s="1">
        <v>2800022218</v>
      </c>
      <c r="C3261" s="1">
        <v>12</v>
      </c>
      <c r="D3261" s="1" t="s">
        <v>397</v>
      </c>
      <c r="E3261" t="s">
        <v>6443</v>
      </c>
      <c r="F3261" s="1">
        <v>67553</v>
      </c>
      <c r="G3261" s="1">
        <v>5150028066</v>
      </c>
      <c r="H3261" s="1">
        <v>12</v>
      </c>
      <c r="I3261" s="1" t="s">
        <v>375</v>
      </c>
      <c r="J3261" t="s">
        <v>6471</v>
      </c>
    </row>
    <row r="3262" spans="1:10" ht="15.75">
      <c r="A3262" s="4" t="s">
        <v>10779</v>
      </c>
      <c r="B3262" s="2"/>
      <c r="C3262" s="2"/>
      <c r="D3262" s="2"/>
      <c r="E3262" s="3"/>
      <c r="F3262" s="1">
        <v>67579</v>
      </c>
      <c r="G3262" s="1">
        <v>5150028067</v>
      </c>
      <c r="H3262" s="1">
        <v>12</v>
      </c>
      <c r="I3262" s="1" t="s">
        <v>375</v>
      </c>
      <c r="J3262" t="s">
        <v>6472</v>
      </c>
    </row>
    <row r="3263" spans="1:10">
      <c r="A3263" s="2" t="s">
        <v>0</v>
      </c>
      <c r="B3263" s="2" t="s">
        <v>1</v>
      </c>
      <c r="C3263" s="2" t="s">
        <v>2</v>
      </c>
      <c r="D3263" s="2" t="s">
        <v>3</v>
      </c>
      <c r="E3263" s="3" t="s">
        <v>4</v>
      </c>
      <c r="F3263" s="1">
        <v>67587</v>
      </c>
      <c r="G3263" s="1">
        <v>5150028064</v>
      </c>
      <c r="H3263" s="1">
        <v>12</v>
      </c>
      <c r="I3263" s="1" t="s">
        <v>375</v>
      </c>
      <c r="J3263" t="s">
        <v>6473</v>
      </c>
    </row>
    <row r="3264" spans="1:10">
      <c r="A3264" s="1">
        <v>34793</v>
      </c>
      <c r="B3264" s="1">
        <v>4300027550</v>
      </c>
      <c r="C3264" s="1">
        <v>12</v>
      </c>
      <c r="D3264" s="1" t="s">
        <v>360</v>
      </c>
      <c r="E3264" t="s">
        <v>6444</v>
      </c>
      <c r="F3264" s="1">
        <v>67876</v>
      </c>
      <c r="G3264" s="1">
        <v>5150028065</v>
      </c>
      <c r="H3264" s="1">
        <v>12</v>
      </c>
      <c r="I3264" s="1" t="s">
        <v>375</v>
      </c>
      <c r="J3264" t="s">
        <v>6474</v>
      </c>
    </row>
    <row r="3265" spans="1:10">
      <c r="A3265" s="1">
        <v>34801</v>
      </c>
      <c r="B3265" s="1">
        <v>4300027678</v>
      </c>
      <c r="C3265" s="1">
        <v>12</v>
      </c>
      <c r="D3265" s="1" t="s">
        <v>259</v>
      </c>
      <c r="E3265" t="s">
        <v>6445</v>
      </c>
      <c r="F3265" s="1">
        <v>67702</v>
      </c>
      <c r="G3265" s="1">
        <v>4144900128</v>
      </c>
      <c r="H3265" s="1">
        <v>12</v>
      </c>
      <c r="I3265" s="1" t="s">
        <v>954</v>
      </c>
      <c r="J3265" t="s">
        <v>6475</v>
      </c>
    </row>
    <row r="3266" spans="1:10">
      <c r="A3266" s="1">
        <v>34744</v>
      </c>
      <c r="B3266" s="1">
        <v>4300027640</v>
      </c>
      <c r="C3266" s="1">
        <v>12</v>
      </c>
      <c r="D3266" s="1" t="s">
        <v>360</v>
      </c>
      <c r="E3266" t="s">
        <v>6446</v>
      </c>
      <c r="F3266" s="1">
        <v>67520</v>
      </c>
      <c r="G3266" s="1">
        <v>4144900110</v>
      </c>
      <c r="H3266" s="1">
        <v>12</v>
      </c>
      <c r="I3266" s="1" t="s">
        <v>375</v>
      </c>
      <c r="J3266" t="s">
        <v>6476</v>
      </c>
    </row>
    <row r="3267" spans="1:10">
      <c r="A3267" s="1">
        <v>34694</v>
      </c>
      <c r="B3267" s="1">
        <v>1116603469</v>
      </c>
      <c r="C3267" s="1">
        <v>12</v>
      </c>
      <c r="D3267" s="1" t="s">
        <v>259</v>
      </c>
      <c r="E3267" t="s">
        <v>6447</v>
      </c>
      <c r="F3267" s="1">
        <v>67710</v>
      </c>
      <c r="G3267" s="1">
        <v>4144900186</v>
      </c>
      <c r="H3267" s="1">
        <v>12</v>
      </c>
      <c r="I3267" s="1" t="s">
        <v>954</v>
      </c>
      <c r="J3267" t="s">
        <v>6477</v>
      </c>
    </row>
    <row r="3268" spans="1:10">
      <c r="A3268" s="1">
        <v>34686</v>
      </c>
      <c r="B3268" s="1">
        <v>1116603468</v>
      </c>
      <c r="C3268" s="1">
        <v>12</v>
      </c>
      <c r="D3268" s="1" t="s">
        <v>360</v>
      </c>
      <c r="E3268" t="s">
        <v>6447</v>
      </c>
      <c r="F3268" s="1">
        <v>67165</v>
      </c>
      <c r="G3268" s="1">
        <v>64420930142</v>
      </c>
      <c r="H3268" s="1">
        <v>12</v>
      </c>
      <c r="I3268" s="1" t="s">
        <v>375</v>
      </c>
      <c r="J3268" t="s">
        <v>6478</v>
      </c>
    </row>
    <row r="3269" spans="1:10" ht="15.75">
      <c r="A3269" s="4" t="s">
        <v>10780</v>
      </c>
      <c r="B3269" s="2"/>
      <c r="C3269" s="2"/>
      <c r="D3269" s="2"/>
      <c r="E3269" s="3"/>
      <c r="F3269" s="1">
        <v>67132</v>
      </c>
      <c r="G3269" s="1">
        <v>64420930112</v>
      </c>
      <c r="H3269" s="1">
        <v>12</v>
      </c>
      <c r="I3269" s="1" t="s">
        <v>375</v>
      </c>
      <c r="J3269" t="s">
        <v>6479</v>
      </c>
    </row>
    <row r="3270" spans="1:10">
      <c r="A3270" s="2" t="s">
        <v>0</v>
      </c>
      <c r="B3270" s="2" t="s">
        <v>1</v>
      </c>
      <c r="C3270" s="2" t="s">
        <v>2</v>
      </c>
      <c r="D3270" s="2" t="s">
        <v>3</v>
      </c>
      <c r="E3270" s="3" t="s">
        <v>4</v>
      </c>
      <c r="F3270" s="1">
        <v>285262</v>
      </c>
      <c r="G3270" s="1">
        <v>3000059360</v>
      </c>
      <c r="H3270" s="1">
        <v>12</v>
      </c>
      <c r="I3270" s="1" t="s">
        <v>375</v>
      </c>
      <c r="J3270" t="s">
        <v>6480</v>
      </c>
    </row>
    <row r="3271" spans="1:10">
      <c r="A3271" s="1">
        <v>445700</v>
      </c>
      <c r="B3271" s="1">
        <v>76172098818</v>
      </c>
      <c r="C3271" s="1">
        <v>12</v>
      </c>
      <c r="D3271" s="1" t="s">
        <v>347</v>
      </c>
      <c r="E3271" t="s">
        <v>6448</v>
      </c>
      <c r="F3271" s="1">
        <v>67918</v>
      </c>
      <c r="G3271" s="1">
        <v>7174035300</v>
      </c>
      <c r="H3271" s="1">
        <v>24</v>
      </c>
      <c r="I3271" s="1" t="s">
        <v>781</v>
      </c>
      <c r="J3271" t="s">
        <v>6481</v>
      </c>
    </row>
    <row r="3272" spans="1:10">
      <c r="A3272" s="1">
        <v>478156</v>
      </c>
      <c r="B3272" s="1">
        <v>76172007104</v>
      </c>
      <c r="C3272" s="1">
        <v>12</v>
      </c>
      <c r="D3272" s="1" t="s">
        <v>381</v>
      </c>
      <c r="E3272" t="s">
        <v>6449</v>
      </c>
      <c r="F3272" s="1">
        <v>66993</v>
      </c>
      <c r="G3272" s="1">
        <v>1116606699</v>
      </c>
      <c r="H3272" s="1">
        <v>12</v>
      </c>
      <c r="I3272" s="1" t="s">
        <v>860</v>
      </c>
      <c r="J3272" t="s">
        <v>6482</v>
      </c>
    </row>
    <row r="3273" spans="1:10">
      <c r="A3273" s="1">
        <v>28209</v>
      </c>
      <c r="B3273" s="1">
        <v>3320001110</v>
      </c>
      <c r="C3273" s="1">
        <v>24</v>
      </c>
      <c r="D3273" s="1" t="s">
        <v>381</v>
      </c>
      <c r="E3273" t="s">
        <v>6450</v>
      </c>
      <c r="F3273" s="1">
        <v>67017</v>
      </c>
      <c r="G3273" s="1">
        <v>1116606701</v>
      </c>
      <c r="H3273" s="1">
        <v>12</v>
      </c>
      <c r="I3273" s="1" t="s">
        <v>860</v>
      </c>
      <c r="J3273" t="s">
        <v>6483</v>
      </c>
    </row>
    <row r="3274" spans="1:10">
      <c r="A3274" s="1">
        <v>28191</v>
      </c>
      <c r="B3274" s="1">
        <v>3320001140</v>
      </c>
      <c r="C3274" s="1">
        <v>12</v>
      </c>
      <c r="D3274" s="1" t="s">
        <v>375</v>
      </c>
      <c r="E3274" t="s">
        <v>6450</v>
      </c>
      <c r="F3274" s="1">
        <v>66985</v>
      </c>
      <c r="G3274" s="1">
        <v>1116606698</v>
      </c>
      <c r="H3274" s="1">
        <v>12</v>
      </c>
      <c r="I3274" s="1" t="s">
        <v>860</v>
      </c>
      <c r="J3274" t="s">
        <v>6484</v>
      </c>
    </row>
    <row r="3275" spans="1:10">
      <c r="A3275" s="1">
        <v>27136</v>
      </c>
      <c r="B3275" s="1">
        <v>3320001170</v>
      </c>
      <c r="C3275" s="1">
        <v>6</v>
      </c>
      <c r="D3275" s="1" t="s">
        <v>3035</v>
      </c>
      <c r="E3275" t="s">
        <v>6450</v>
      </c>
      <c r="F3275" s="1">
        <v>67009</v>
      </c>
      <c r="G3275" s="1">
        <v>1116606700</v>
      </c>
      <c r="H3275" s="1">
        <v>12</v>
      </c>
      <c r="I3275" s="1" t="s">
        <v>860</v>
      </c>
      <c r="J3275" t="s">
        <v>6485</v>
      </c>
    </row>
    <row r="3276" spans="1:10" ht="15.75">
      <c r="A3276" s="1">
        <v>28241</v>
      </c>
      <c r="B3276" s="1">
        <v>3320001130</v>
      </c>
      <c r="C3276" s="1">
        <v>24</v>
      </c>
      <c r="D3276" s="1" t="s">
        <v>399</v>
      </c>
      <c r="E3276" t="s">
        <v>6450</v>
      </c>
      <c r="F3276" s="4" t="s">
        <v>10782</v>
      </c>
      <c r="G3276" s="2"/>
      <c r="H3276" s="2"/>
      <c r="I3276" s="2"/>
      <c r="J3276" s="3"/>
    </row>
    <row r="3277" spans="1:10">
      <c r="A3277" s="1">
        <v>28167</v>
      </c>
      <c r="B3277" s="1">
        <v>3320001155</v>
      </c>
      <c r="C3277" s="1">
        <v>12</v>
      </c>
      <c r="D3277" s="1" t="s">
        <v>381</v>
      </c>
      <c r="E3277" t="s">
        <v>6451</v>
      </c>
      <c r="F3277" s="2" t="s">
        <v>0</v>
      </c>
      <c r="G3277" s="2" t="s">
        <v>1</v>
      </c>
      <c r="H3277" s="2" t="s">
        <v>2</v>
      </c>
      <c r="I3277" s="2" t="s">
        <v>3</v>
      </c>
      <c r="J3277" s="3" t="s">
        <v>4</v>
      </c>
    </row>
    <row r="3278" spans="1:10">
      <c r="A3278" s="1">
        <v>353235</v>
      </c>
      <c r="B3278" s="1">
        <v>3320001710</v>
      </c>
      <c r="C3278" s="1">
        <v>8</v>
      </c>
      <c r="D3278" s="1" t="s">
        <v>8</v>
      </c>
      <c r="E3278" t="s">
        <v>6452</v>
      </c>
      <c r="F3278" s="1">
        <v>147108</v>
      </c>
      <c r="G3278" s="1">
        <v>3000003690</v>
      </c>
      <c r="H3278" s="1">
        <v>12</v>
      </c>
      <c r="I3278" s="1" t="s">
        <v>2557</v>
      </c>
      <c r="J3278" t="s">
        <v>6486</v>
      </c>
    </row>
    <row r="3279" spans="1:10">
      <c r="A3279" s="1">
        <v>27987</v>
      </c>
      <c r="B3279" s="1">
        <v>4300028930</v>
      </c>
      <c r="C3279" s="1">
        <v>24</v>
      </c>
      <c r="D3279" s="1" t="s">
        <v>360</v>
      </c>
      <c r="E3279" t="s">
        <v>6453</v>
      </c>
      <c r="F3279" s="1">
        <v>232892</v>
      </c>
      <c r="G3279" s="1">
        <v>3000005960</v>
      </c>
      <c r="H3279" s="1">
        <v>9</v>
      </c>
      <c r="I3279" s="1" t="s">
        <v>2762</v>
      </c>
      <c r="J3279" t="s">
        <v>6487</v>
      </c>
    </row>
    <row r="3280" spans="1:10">
      <c r="A3280" s="1">
        <v>27300</v>
      </c>
      <c r="B3280" s="1">
        <v>1990000320</v>
      </c>
      <c r="C3280" s="1">
        <v>24</v>
      </c>
      <c r="D3280" s="1" t="s">
        <v>489</v>
      </c>
      <c r="E3280" t="s">
        <v>6454</v>
      </c>
      <c r="F3280" s="1">
        <v>147454</v>
      </c>
      <c r="G3280" s="1">
        <v>3000005970</v>
      </c>
      <c r="H3280" s="1">
        <v>12</v>
      </c>
      <c r="I3280" s="1" t="s">
        <v>2557</v>
      </c>
      <c r="J3280" t="s">
        <v>6488</v>
      </c>
    </row>
    <row r="3281" spans="1:10" ht="15.75">
      <c r="A3281" s="4" t="s">
        <v>10782</v>
      </c>
      <c r="B3281" s="2"/>
      <c r="C3281" s="2"/>
      <c r="D3281" s="2"/>
      <c r="E3281" s="3"/>
      <c r="F3281" s="4" t="s">
        <v>10782</v>
      </c>
      <c r="G3281" s="2"/>
      <c r="H3281" s="2"/>
      <c r="I3281" s="2"/>
      <c r="J3281" s="3"/>
    </row>
    <row r="3282" spans="1:10">
      <c r="A3282" s="2" t="s">
        <v>0</v>
      </c>
      <c r="B3282" s="2" t="s">
        <v>1</v>
      </c>
      <c r="C3282" s="2" t="s">
        <v>2</v>
      </c>
      <c r="D3282" s="2" t="s">
        <v>3</v>
      </c>
      <c r="E3282" s="3" t="s">
        <v>4</v>
      </c>
      <c r="F3282" s="2" t="s">
        <v>0</v>
      </c>
      <c r="G3282" s="2" t="s">
        <v>1</v>
      </c>
      <c r="H3282" s="2" t="s">
        <v>2</v>
      </c>
      <c r="I3282" s="2" t="s">
        <v>3</v>
      </c>
      <c r="J3282" s="3" t="s">
        <v>4</v>
      </c>
    </row>
    <row r="3283" spans="1:10">
      <c r="A3283" s="1">
        <v>147199</v>
      </c>
      <c r="B3283" s="1">
        <v>3000005620</v>
      </c>
      <c r="C3283" s="1">
        <v>12</v>
      </c>
      <c r="D3283" s="1" t="s">
        <v>2557</v>
      </c>
      <c r="E3283" t="s">
        <v>6489</v>
      </c>
      <c r="F3283" s="1">
        <v>147280</v>
      </c>
      <c r="G3283" s="1">
        <v>1116614728</v>
      </c>
      <c r="H3283" s="1">
        <v>12</v>
      </c>
      <c r="I3283" s="1" t="s">
        <v>2557</v>
      </c>
      <c r="J3283" t="s">
        <v>6531</v>
      </c>
    </row>
    <row r="3284" spans="1:10">
      <c r="A3284" s="1">
        <v>356196</v>
      </c>
      <c r="B3284" s="1">
        <v>3000005940</v>
      </c>
      <c r="C3284" s="1">
        <v>12</v>
      </c>
      <c r="D3284" s="1" t="s">
        <v>2557</v>
      </c>
      <c r="E3284" t="s">
        <v>6490</v>
      </c>
      <c r="F3284" s="1">
        <v>146837</v>
      </c>
      <c r="G3284" s="1">
        <v>1116614683</v>
      </c>
      <c r="H3284" s="1">
        <v>12</v>
      </c>
      <c r="I3284" s="1" t="s">
        <v>2557</v>
      </c>
      <c r="J3284" t="s">
        <v>6532</v>
      </c>
    </row>
    <row r="3285" spans="1:10">
      <c r="A3285" s="1">
        <v>146977</v>
      </c>
      <c r="B3285" s="1">
        <v>3000005800</v>
      </c>
      <c r="C3285" s="1">
        <v>12</v>
      </c>
      <c r="D3285" s="1" t="s">
        <v>2557</v>
      </c>
      <c r="E3285" t="s">
        <v>6491</v>
      </c>
      <c r="F3285" s="1">
        <v>147587</v>
      </c>
      <c r="G3285" s="1">
        <v>1116614758</v>
      </c>
      <c r="H3285" s="1">
        <v>12</v>
      </c>
      <c r="I3285" s="1" t="s">
        <v>1191</v>
      </c>
      <c r="J3285" t="s">
        <v>6533</v>
      </c>
    </row>
    <row r="3286" spans="1:10">
      <c r="A3286" s="1">
        <v>67157</v>
      </c>
      <c r="B3286" s="1">
        <v>3000052426</v>
      </c>
      <c r="C3286" s="1">
        <v>4</v>
      </c>
      <c r="D3286" s="1" t="s">
        <v>1188</v>
      </c>
      <c r="E3286" t="s">
        <v>6492</v>
      </c>
      <c r="F3286" s="1">
        <v>554790</v>
      </c>
      <c r="G3286" s="1">
        <v>1116601386</v>
      </c>
      <c r="H3286" s="1">
        <v>9</v>
      </c>
      <c r="I3286" s="1" t="s">
        <v>2557</v>
      </c>
      <c r="J3286" t="s">
        <v>6534</v>
      </c>
    </row>
    <row r="3287" spans="1:10">
      <c r="A3287" s="1">
        <v>151563</v>
      </c>
      <c r="B3287" s="1">
        <v>3000005950</v>
      </c>
      <c r="C3287" s="1">
        <v>12</v>
      </c>
      <c r="D3287" s="1" t="s">
        <v>2303</v>
      </c>
      <c r="E3287" t="s">
        <v>6493</v>
      </c>
      <c r="F3287" s="1">
        <v>17178</v>
      </c>
      <c r="G3287" s="1">
        <v>4113030329</v>
      </c>
      <c r="H3287" s="1">
        <v>12</v>
      </c>
      <c r="I3287" s="1" t="s">
        <v>2557</v>
      </c>
      <c r="J3287" t="s">
        <v>6535</v>
      </c>
    </row>
    <row r="3288" spans="1:10">
      <c r="A3288" s="1">
        <v>148874</v>
      </c>
      <c r="B3288" s="1">
        <v>5390000031</v>
      </c>
      <c r="C3288" s="1">
        <v>12</v>
      </c>
      <c r="D3288" s="1" t="s">
        <v>2303</v>
      </c>
      <c r="E3288" t="s">
        <v>6494</v>
      </c>
      <c r="F3288" s="1">
        <v>150490</v>
      </c>
      <c r="G3288" s="1">
        <v>5150002682</v>
      </c>
      <c r="H3288" s="1">
        <v>6</v>
      </c>
      <c r="I3288" s="1" t="s">
        <v>2303</v>
      </c>
      <c r="J3288" t="s">
        <v>6536</v>
      </c>
    </row>
    <row r="3289" spans="1:10">
      <c r="A3289" s="1">
        <v>80994</v>
      </c>
      <c r="B3289" s="1">
        <v>5390000032</v>
      </c>
      <c r="C3289" s="1">
        <v>12</v>
      </c>
      <c r="D3289" s="1" t="s">
        <v>2557</v>
      </c>
      <c r="E3289" t="s">
        <v>6495</v>
      </c>
      <c r="F3289" s="1">
        <v>202606</v>
      </c>
      <c r="G3289" s="1">
        <v>5150004231</v>
      </c>
      <c r="H3289" s="1">
        <v>12</v>
      </c>
      <c r="I3289" s="1" t="s">
        <v>1409</v>
      </c>
      <c r="J3289" t="s">
        <v>6537</v>
      </c>
    </row>
    <row r="3290" spans="1:10">
      <c r="A3290" s="1">
        <v>147249</v>
      </c>
      <c r="B3290" s="1">
        <v>7468300552</v>
      </c>
      <c r="C3290" s="1">
        <v>12</v>
      </c>
      <c r="D3290" s="1" t="s">
        <v>2303</v>
      </c>
      <c r="E3290" t="s">
        <v>6496</v>
      </c>
      <c r="F3290" s="1">
        <v>146969</v>
      </c>
      <c r="G3290" s="1">
        <v>3905972984</v>
      </c>
      <c r="H3290" s="1">
        <v>12</v>
      </c>
      <c r="I3290" s="1" t="s">
        <v>6521</v>
      </c>
      <c r="J3290" t="s">
        <v>6538</v>
      </c>
    </row>
    <row r="3291" spans="1:10">
      <c r="A3291" s="1">
        <v>148056</v>
      </c>
      <c r="B3291" s="1">
        <v>1480071124</v>
      </c>
      <c r="C3291" s="1">
        <v>12</v>
      </c>
      <c r="D3291" s="1" t="s">
        <v>2303</v>
      </c>
      <c r="E3291" t="s">
        <v>6497</v>
      </c>
      <c r="F3291" s="1">
        <v>148312</v>
      </c>
      <c r="G3291" s="1">
        <v>3905943085</v>
      </c>
      <c r="H3291" s="1">
        <v>6</v>
      </c>
      <c r="I3291" s="1" t="s">
        <v>1189</v>
      </c>
      <c r="J3291" t="s">
        <v>6538</v>
      </c>
    </row>
    <row r="3292" spans="1:10">
      <c r="A3292" s="1">
        <v>150052</v>
      </c>
      <c r="B3292" s="1">
        <v>5150000958</v>
      </c>
      <c r="C3292" s="1">
        <v>12</v>
      </c>
      <c r="D3292" s="1" t="s">
        <v>6498</v>
      </c>
      <c r="E3292" t="s">
        <v>6499</v>
      </c>
      <c r="F3292" s="1">
        <v>146639</v>
      </c>
      <c r="G3292" s="1">
        <v>3905972884</v>
      </c>
      <c r="H3292" s="1">
        <v>12</v>
      </c>
      <c r="I3292" s="1" t="s">
        <v>6523</v>
      </c>
      <c r="J3292" t="s">
        <v>6539</v>
      </c>
    </row>
    <row r="3293" spans="1:10">
      <c r="A3293" s="1">
        <v>150045</v>
      </c>
      <c r="B3293" s="1">
        <v>5150000957</v>
      </c>
      <c r="C3293" s="1">
        <v>12</v>
      </c>
      <c r="D3293" s="1" t="s">
        <v>6500</v>
      </c>
      <c r="E3293" t="s">
        <v>6501</v>
      </c>
      <c r="F3293" s="1">
        <v>146985</v>
      </c>
      <c r="G3293" s="1">
        <v>3905955112</v>
      </c>
      <c r="H3293" s="1">
        <v>12</v>
      </c>
      <c r="I3293" s="1" t="s">
        <v>2557</v>
      </c>
      <c r="J3293" t="s">
        <v>6540</v>
      </c>
    </row>
    <row r="3294" spans="1:10" ht="15.75">
      <c r="A3294" s="1">
        <v>150003</v>
      </c>
      <c r="B3294" s="1">
        <v>5150000956</v>
      </c>
      <c r="C3294" s="1">
        <v>12</v>
      </c>
      <c r="D3294" s="1" t="s">
        <v>6502</v>
      </c>
      <c r="E3294" t="s">
        <v>6503</v>
      </c>
      <c r="F3294" s="4" t="s">
        <v>10783</v>
      </c>
      <c r="G3294" s="2"/>
      <c r="H3294" s="2"/>
      <c r="I3294" s="2"/>
      <c r="J3294" s="3"/>
    </row>
    <row r="3295" spans="1:10">
      <c r="A3295" s="1">
        <v>401513</v>
      </c>
      <c r="B3295" s="1">
        <v>76172098770</v>
      </c>
      <c r="C3295" s="1">
        <v>12</v>
      </c>
      <c r="D3295" s="1" t="s">
        <v>381</v>
      </c>
      <c r="E3295" t="s">
        <v>6504</v>
      </c>
      <c r="F3295" s="2" t="s">
        <v>0</v>
      </c>
      <c r="G3295" s="2" t="s">
        <v>1</v>
      </c>
      <c r="H3295" s="2" t="s">
        <v>2</v>
      </c>
      <c r="I3295" s="2" t="s">
        <v>3</v>
      </c>
      <c r="J3295" s="3" t="s">
        <v>4</v>
      </c>
    </row>
    <row r="3296" spans="1:10">
      <c r="A3296" s="1">
        <v>147462</v>
      </c>
      <c r="B3296" s="1">
        <v>76172005010</v>
      </c>
      <c r="C3296" s="1">
        <v>12</v>
      </c>
      <c r="D3296" s="1" t="s">
        <v>1191</v>
      </c>
      <c r="E3296" t="s">
        <v>6505</v>
      </c>
      <c r="F3296" s="1">
        <v>312116</v>
      </c>
      <c r="G3296" s="1">
        <v>4920005868</v>
      </c>
      <c r="H3296" s="1">
        <v>12</v>
      </c>
      <c r="I3296" s="1" t="s">
        <v>259</v>
      </c>
      <c r="J3296" t="s">
        <v>6541</v>
      </c>
    </row>
    <row r="3297" spans="1:10">
      <c r="A3297" s="1">
        <v>147850</v>
      </c>
      <c r="B3297" s="1">
        <v>76172005210</v>
      </c>
      <c r="C3297" s="1">
        <v>12</v>
      </c>
      <c r="D3297" s="1" t="s">
        <v>1191</v>
      </c>
      <c r="E3297" t="s">
        <v>6506</v>
      </c>
      <c r="F3297" s="1">
        <v>289496</v>
      </c>
      <c r="G3297" s="1">
        <v>4920000722</v>
      </c>
      <c r="H3297" s="1">
        <v>12</v>
      </c>
      <c r="I3297" s="1" t="s">
        <v>1973</v>
      </c>
      <c r="J3297" t="s">
        <v>6542</v>
      </c>
    </row>
    <row r="3298" spans="1:10">
      <c r="A3298" s="1">
        <v>147827</v>
      </c>
      <c r="B3298" s="1">
        <v>76172005110</v>
      </c>
      <c r="C3298" s="1">
        <v>12</v>
      </c>
      <c r="D3298" s="1" t="s">
        <v>1191</v>
      </c>
      <c r="E3298" t="s">
        <v>6507</v>
      </c>
      <c r="F3298" s="1">
        <v>406496</v>
      </c>
      <c r="G3298" s="1">
        <v>4920004091</v>
      </c>
      <c r="H3298" s="1">
        <v>12</v>
      </c>
      <c r="I3298" s="1" t="s">
        <v>742</v>
      </c>
      <c r="J3298" t="s">
        <v>6543</v>
      </c>
    </row>
    <row r="3299" spans="1:10">
      <c r="A3299" s="1">
        <v>146563</v>
      </c>
      <c r="B3299" s="1">
        <v>3800007268</v>
      </c>
      <c r="C3299" s="1">
        <v>12</v>
      </c>
      <c r="D3299" s="1" t="s">
        <v>6508</v>
      </c>
      <c r="E3299" t="s">
        <v>6509</v>
      </c>
      <c r="F3299" s="1">
        <v>147926</v>
      </c>
      <c r="G3299" s="1">
        <v>4920006156</v>
      </c>
      <c r="H3299" s="1">
        <v>12</v>
      </c>
      <c r="I3299" s="1" t="s">
        <v>14</v>
      </c>
      <c r="J3299" t="s">
        <v>6544</v>
      </c>
    </row>
    <row r="3300" spans="1:10">
      <c r="A3300" s="1">
        <v>146555</v>
      </c>
      <c r="B3300" s="1">
        <v>3800007267</v>
      </c>
      <c r="C3300" s="1">
        <v>12</v>
      </c>
      <c r="D3300" s="1" t="s">
        <v>6508</v>
      </c>
      <c r="E3300" t="s">
        <v>6510</v>
      </c>
      <c r="F3300" s="1">
        <v>146068</v>
      </c>
      <c r="G3300" s="1">
        <v>4920004870</v>
      </c>
      <c r="H3300" s="1">
        <v>1</v>
      </c>
      <c r="I3300" s="1" t="s">
        <v>6545</v>
      </c>
      <c r="J3300" t="s">
        <v>6546</v>
      </c>
    </row>
    <row r="3301" spans="1:10">
      <c r="A3301" s="1">
        <v>146514</v>
      </c>
      <c r="B3301" s="1">
        <v>3800007266</v>
      </c>
      <c r="C3301" s="1">
        <v>12</v>
      </c>
      <c r="D3301" s="1" t="s">
        <v>6508</v>
      </c>
      <c r="E3301" t="s">
        <v>6511</v>
      </c>
      <c r="F3301" s="1">
        <v>146043</v>
      </c>
      <c r="G3301" s="1">
        <v>4920004350</v>
      </c>
      <c r="H3301" s="1">
        <v>24</v>
      </c>
      <c r="I3301" s="1" t="s">
        <v>375</v>
      </c>
      <c r="J3301" t="s">
        <v>6547</v>
      </c>
    </row>
    <row r="3302" spans="1:10">
      <c r="A3302" s="1">
        <v>148130</v>
      </c>
      <c r="B3302" s="1">
        <v>4149073619</v>
      </c>
      <c r="C3302" s="1">
        <v>12</v>
      </c>
      <c r="D3302" s="1" t="s">
        <v>1191</v>
      </c>
      <c r="E3302" t="s">
        <v>6512</v>
      </c>
      <c r="F3302" s="1">
        <v>713693</v>
      </c>
      <c r="G3302" s="1">
        <v>4920004570</v>
      </c>
      <c r="H3302" s="1">
        <v>6</v>
      </c>
      <c r="I3302" s="1" t="s">
        <v>3035</v>
      </c>
      <c r="J3302" t="s">
        <v>6548</v>
      </c>
    </row>
    <row r="3303" spans="1:10">
      <c r="A3303" s="1">
        <v>147025</v>
      </c>
      <c r="B3303" s="1">
        <v>4149073613</v>
      </c>
      <c r="C3303" s="1">
        <v>12</v>
      </c>
      <c r="D3303" s="1" t="s">
        <v>1189</v>
      </c>
      <c r="E3303" t="s">
        <v>6513</v>
      </c>
      <c r="F3303" s="1">
        <v>146084</v>
      </c>
      <c r="G3303" s="1">
        <v>4920005100</v>
      </c>
      <c r="H3303" s="1">
        <v>24</v>
      </c>
      <c r="I3303" s="1" t="s">
        <v>381</v>
      </c>
      <c r="J3303" t="s">
        <v>6549</v>
      </c>
    </row>
    <row r="3304" spans="1:10">
      <c r="A3304" s="1">
        <v>147009</v>
      </c>
      <c r="B3304" s="1">
        <v>4149073614</v>
      </c>
      <c r="C3304" s="1">
        <v>12</v>
      </c>
      <c r="D3304" s="1" t="s">
        <v>1191</v>
      </c>
      <c r="E3304" t="s">
        <v>6514</v>
      </c>
      <c r="F3304" s="1">
        <v>146050</v>
      </c>
      <c r="G3304" s="1">
        <v>4920005175</v>
      </c>
      <c r="H3304" s="1">
        <v>12</v>
      </c>
      <c r="I3304" s="1" t="s">
        <v>375</v>
      </c>
      <c r="J3304" t="s">
        <v>6550</v>
      </c>
    </row>
    <row r="3305" spans="1:10">
      <c r="A3305" s="1">
        <v>81034</v>
      </c>
      <c r="B3305" s="1">
        <v>64420900085</v>
      </c>
      <c r="C3305" s="1">
        <v>12</v>
      </c>
      <c r="D3305" s="1" t="s">
        <v>2557</v>
      </c>
      <c r="E3305" t="s">
        <v>6515</v>
      </c>
      <c r="F3305" s="1">
        <v>148601</v>
      </c>
      <c r="G3305" s="1">
        <v>4920005791</v>
      </c>
      <c r="H3305" s="1">
        <v>12</v>
      </c>
      <c r="I3305" s="1" t="s">
        <v>375</v>
      </c>
      <c r="J3305" t="s">
        <v>6551</v>
      </c>
    </row>
    <row r="3306" spans="1:10">
      <c r="A3306" s="1">
        <v>147546</v>
      </c>
      <c r="B3306" s="1">
        <v>4300000037</v>
      </c>
      <c r="C3306" s="1">
        <v>12</v>
      </c>
      <c r="D3306" s="1" t="s">
        <v>2557</v>
      </c>
      <c r="E3306" t="s">
        <v>6516</v>
      </c>
      <c r="F3306" s="1">
        <v>146142</v>
      </c>
      <c r="G3306" s="1">
        <v>4920005600</v>
      </c>
      <c r="H3306" s="1">
        <v>24</v>
      </c>
      <c r="I3306" s="1" t="s">
        <v>381</v>
      </c>
      <c r="J3306" t="s">
        <v>6552</v>
      </c>
    </row>
    <row r="3307" spans="1:10">
      <c r="A3307" s="1">
        <v>147538</v>
      </c>
      <c r="B3307" s="1">
        <v>4300000113</v>
      </c>
      <c r="C3307" s="1">
        <v>12</v>
      </c>
      <c r="D3307" s="1" t="s">
        <v>2557</v>
      </c>
      <c r="E3307" t="s">
        <v>6517</v>
      </c>
      <c r="F3307" s="1">
        <v>146167</v>
      </c>
      <c r="G3307" s="1">
        <v>4920004040</v>
      </c>
      <c r="H3307" s="1">
        <v>12</v>
      </c>
      <c r="I3307" s="1" t="s">
        <v>381</v>
      </c>
      <c r="J3307" t="s">
        <v>6553</v>
      </c>
    </row>
    <row r="3308" spans="1:10">
      <c r="A3308" s="1">
        <v>147561</v>
      </c>
      <c r="B3308" s="1">
        <v>4300000066</v>
      </c>
      <c r="C3308" s="1">
        <v>12</v>
      </c>
      <c r="D3308" s="1" t="s">
        <v>2557</v>
      </c>
      <c r="E3308" t="s">
        <v>6518</v>
      </c>
      <c r="F3308" s="1">
        <v>146035</v>
      </c>
      <c r="G3308" s="1">
        <v>4920005780</v>
      </c>
      <c r="H3308" s="1">
        <v>12</v>
      </c>
      <c r="I3308" s="1" t="s">
        <v>375</v>
      </c>
      <c r="J3308" t="s">
        <v>6554</v>
      </c>
    </row>
    <row r="3309" spans="1:10">
      <c r="A3309" s="1">
        <v>147504</v>
      </c>
      <c r="B3309" s="1">
        <v>4300000036</v>
      </c>
      <c r="C3309" s="1">
        <v>12</v>
      </c>
      <c r="D3309" s="1" t="s">
        <v>2303</v>
      </c>
      <c r="E3309" t="s">
        <v>6519</v>
      </c>
      <c r="F3309" s="1">
        <v>146159</v>
      </c>
      <c r="G3309" s="1">
        <v>4920004625</v>
      </c>
      <c r="H3309" s="1">
        <v>8</v>
      </c>
      <c r="I3309" s="1" t="s">
        <v>4650</v>
      </c>
      <c r="J3309" t="s">
        <v>6555</v>
      </c>
    </row>
    <row r="3310" spans="1:10">
      <c r="A3310" s="1">
        <v>147579</v>
      </c>
      <c r="B3310" s="1">
        <v>4300000120</v>
      </c>
      <c r="C3310" s="1">
        <v>12</v>
      </c>
      <c r="D3310" s="1" t="s">
        <v>2303</v>
      </c>
      <c r="E3310" t="s">
        <v>6520</v>
      </c>
      <c r="F3310" s="1">
        <v>146209</v>
      </c>
      <c r="G3310" s="1">
        <v>4920004754</v>
      </c>
      <c r="H3310" s="1">
        <v>4</v>
      </c>
      <c r="I3310" s="1" t="s">
        <v>4719</v>
      </c>
      <c r="J3310" t="s">
        <v>6556</v>
      </c>
    </row>
    <row r="3311" spans="1:10">
      <c r="A3311" s="1">
        <v>147231</v>
      </c>
      <c r="B3311" s="1">
        <v>7468300310</v>
      </c>
      <c r="C3311" s="1">
        <v>12</v>
      </c>
      <c r="D3311" s="1" t="s">
        <v>6521</v>
      </c>
      <c r="E3311" t="s">
        <v>6522</v>
      </c>
      <c r="F3311" s="1">
        <v>146225</v>
      </c>
      <c r="G3311" s="1">
        <v>4920004201</v>
      </c>
      <c r="H3311" s="1">
        <v>24</v>
      </c>
      <c r="I3311" s="1" t="s">
        <v>381</v>
      </c>
      <c r="J3311" t="s">
        <v>6556</v>
      </c>
    </row>
    <row r="3312" spans="1:10">
      <c r="A3312" s="1">
        <v>147223</v>
      </c>
      <c r="B3312" s="1">
        <v>7468300328</v>
      </c>
      <c r="C3312" s="1">
        <v>12</v>
      </c>
      <c r="D3312" s="1" t="s">
        <v>6523</v>
      </c>
      <c r="E3312" t="s">
        <v>6522</v>
      </c>
      <c r="F3312" s="1">
        <v>146126</v>
      </c>
      <c r="G3312" s="1">
        <v>4920005675</v>
      </c>
      <c r="H3312" s="1">
        <v>24</v>
      </c>
      <c r="I3312" s="1" t="s">
        <v>381</v>
      </c>
      <c r="J3312" t="s">
        <v>6557</v>
      </c>
    </row>
    <row r="3313" spans="1:10">
      <c r="A3313" s="1">
        <v>147785</v>
      </c>
      <c r="B3313" s="1">
        <v>64420929024</v>
      </c>
      <c r="C3313" s="1">
        <v>12</v>
      </c>
      <c r="D3313" s="1" t="s">
        <v>2557</v>
      </c>
      <c r="E3313" t="s">
        <v>6524</v>
      </c>
      <c r="F3313" s="1">
        <v>74443</v>
      </c>
      <c r="G3313" s="1">
        <v>4920004841</v>
      </c>
      <c r="H3313" s="1">
        <v>12</v>
      </c>
      <c r="I3313" s="1" t="s">
        <v>1973</v>
      </c>
      <c r="J3313" t="s">
        <v>6558</v>
      </c>
    </row>
    <row r="3314" spans="1:10">
      <c r="A3314" s="1">
        <v>70557</v>
      </c>
      <c r="B3314" s="1">
        <v>64420979169</v>
      </c>
      <c r="C3314" s="1">
        <v>12</v>
      </c>
      <c r="D3314" s="1" t="s">
        <v>2303</v>
      </c>
      <c r="E3314" t="s">
        <v>6525</v>
      </c>
      <c r="F3314" s="1">
        <v>145888</v>
      </c>
      <c r="G3314" s="1">
        <v>1116614589</v>
      </c>
      <c r="H3314" s="1">
        <v>20</v>
      </c>
      <c r="I3314" s="1" t="s">
        <v>375</v>
      </c>
      <c r="J3314" t="s">
        <v>6559</v>
      </c>
    </row>
    <row r="3315" spans="1:10">
      <c r="A3315" s="1">
        <v>81059</v>
      </c>
      <c r="B3315" s="1">
        <v>64420929047</v>
      </c>
      <c r="C3315" s="1">
        <v>12</v>
      </c>
      <c r="D3315" s="1" t="s">
        <v>2557</v>
      </c>
      <c r="E3315" t="s">
        <v>6526</v>
      </c>
      <c r="F3315" s="1">
        <v>145979</v>
      </c>
      <c r="G3315" s="1">
        <v>1116614597</v>
      </c>
      <c r="H3315" s="1">
        <v>12</v>
      </c>
      <c r="I3315" s="1" t="s">
        <v>375</v>
      </c>
      <c r="J3315" t="s">
        <v>6560</v>
      </c>
    </row>
    <row r="3316" spans="1:10">
      <c r="A3316" s="1">
        <v>146928</v>
      </c>
      <c r="B3316" s="1">
        <v>64420979129</v>
      </c>
      <c r="C3316" s="1">
        <v>12</v>
      </c>
      <c r="D3316" s="1" t="s">
        <v>2557</v>
      </c>
      <c r="E3316" t="s">
        <v>6527</v>
      </c>
      <c r="F3316" s="1">
        <v>145912</v>
      </c>
      <c r="G3316" s="1">
        <v>1116614592</v>
      </c>
      <c r="H3316" s="1">
        <v>4</v>
      </c>
      <c r="I3316" s="1" t="s">
        <v>6112</v>
      </c>
      <c r="J3316" t="s">
        <v>6561</v>
      </c>
    </row>
    <row r="3317" spans="1:10">
      <c r="A3317" s="1">
        <v>147272</v>
      </c>
      <c r="B3317" s="1">
        <v>1116614727</v>
      </c>
      <c r="C3317" s="1">
        <v>12</v>
      </c>
      <c r="D3317" s="1" t="s">
        <v>2557</v>
      </c>
      <c r="E3317" t="s">
        <v>6528</v>
      </c>
      <c r="F3317" s="1">
        <v>146027</v>
      </c>
      <c r="G3317" s="1">
        <v>1116614602</v>
      </c>
      <c r="H3317" s="1">
        <v>1</v>
      </c>
      <c r="I3317" s="1" t="s">
        <v>6545</v>
      </c>
      <c r="J3317" t="s">
        <v>6562</v>
      </c>
    </row>
    <row r="3318" spans="1:10">
      <c r="A3318" s="1">
        <v>146878</v>
      </c>
      <c r="B3318" s="1">
        <v>1116614687</v>
      </c>
      <c r="C3318" s="1">
        <v>12</v>
      </c>
      <c r="D3318" s="1" t="s">
        <v>2303</v>
      </c>
      <c r="E3318" t="s">
        <v>6529</v>
      </c>
      <c r="F3318" s="1">
        <v>145839</v>
      </c>
      <c r="G3318" s="1">
        <v>1116601180</v>
      </c>
      <c r="H3318" s="1">
        <v>12</v>
      </c>
      <c r="I3318" s="1" t="s">
        <v>860</v>
      </c>
      <c r="J3318" t="s">
        <v>6563</v>
      </c>
    </row>
    <row r="3319" spans="1:10">
      <c r="A3319" s="1">
        <v>146886</v>
      </c>
      <c r="B3319" s="1">
        <v>1116614688</v>
      </c>
      <c r="C3319" s="1">
        <v>12</v>
      </c>
      <c r="D3319" s="1" t="s">
        <v>2557</v>
      </c>
      <c r="E3319" t="s">
        <v>6529</v>
      </c>
      <c r="F3319" s="1">
        <v>145961</v>
      </c>
      <c r="G3319" s="1">
        <v>1116614596</v>
      </c>
      <c r="H3319" s="1">
        <v>12</v>
      </c>
      <c r="I3319" s="1" t="s">
        <v>860</v>
      </c>
      <c r="J3319" t="s">
        <v>6564</v>
      </c>
    </row>
    <row r="3320" spans="1:10">
      <c r="A3320" s="1">
        <v>147017</v>
      </c>
      <c r="B3320" s="1">
        <v>1116614701</v>
      </c>
      <c r="C3320" s="1">
        <v>9</v>
      </c>
      <c r="D3320" s="1" t="s">
        <v>2762</v>
      </c>
      <c r="E3320" t="s">
        <v>6529</v>
      </c>
      <c r="F3320" s="1">
        <v>414987</v>
      </c>
      <c r="G3320" s="1">
        <v>4113030481</v>
      </c>
      <c r="H3320" s="1">
        <v>10</v>
      </c>
      <c r="I3320" s="1" t="s">
        <v>4815</v>
      </c>
      <c r="J3320" t="s">
        <v>6565</v>
      </c>
    </row>
    <row r="3321" spans="1:10">
      <c r="A3321" s="1">
        <v>147132</v>
      </c>
      <c r="B3321" s="1">
        <v>1116614713</v>
      </c>
      <c r="C3321" s="1">
        <v>12</v>
      </c>
      <c r="D3321" s="1" t="s">
        <v>1189</v>
      </c>
      <c r="E3321" t="s">
        <v>6530</v>
      </c>
    </row>
    <row r="3322" spans="1:10" ht="15.75">
      <c r="A3322" s="4" t="s">
        <v>10784</v>
      </c>
      <c r="B3322" s="2"/>
      <c r="C3322" s="2"/>
      <c r="D3322" s="2"/>
      <c r="E3322" s="3"/>
      <c r="F3322" s="4" t="s">
        <v>10786</v>
      </c>
      <c r="G3322" s="2"/>
      <c r="H3322" s="2"/>
      <c r="I3322" s="2"/>
      <c r="J3322" s="3"/>
    </row>
    <row r="3323" spans="1:10">
      <c r="A3323" s="2" t="s">
        <v>0</v>
      </c>
      <c r="B3323" s="2" t="s">
        <v>1</v>
      </c>
      <c r="C3323" s="2" t="s">
        <v>2</v>
      </c>
      <c r="D3323" s="2" t="s">
        <v>3</v>
      </c>
      <c r="E3323" s="3" t="s">
        <v>4</v>
      </c>
      <c r="F3323" s="2" t="s">
        <v>0</v>
      </c>
      <c r="G3323" s="2" t="s">
        <v>1</v>
      </c>
      <c r="H3323" s="2" t="s">
        <v>2</v>
      </c>
      <c r="I3323" s="2" t="s">
        <v>3</v>
      </c>
      <c r="J3323" s="3" t="s">
        <v>4</v>
      </c>
    </row>
    <row r="3324" spans="1:10">
      <c r="A3324" s="1">
        <v>54171</v>
      </c>
      <c r="B3324" s="1">
        <v>4920004900</v>
      </c>
      <c r="C3324" s="1">
        <v>12</v>
      </c>
      <c r="D3324" s="1" t="s">
        <v>439</v>
      </c>
      <c r="E3324" t="s">
        <v>6566</v>
      </c>
      <c r="F3324" s="1">
        <v>116285</v>
      </c>
      <c r="G3324" s="1">
        <v>75188482552</v>
      </c>
      <c r="H3324" s="1">
        <v>12</v>
      </c>
      <c r="I3324" s="1" t="s">
        <v>722</v>
      </c>
      <c r="J3324" t="s">
        <v>6606</v>
      </c>
    </row>
    <row r="3325" spans="1:10">
      <c r="A3325" s="1">
        <v>171231</v>
      </c>
      <c r="B3325" s="1">
        <v>4920004901</v>
      </c>
      <c r="C3325" s="1">
        <v>12</v>
      </c>
      <c r="D3325" s="1" t="s">
        <v>439</v>
      </c>
      <c r="E3325" t="s">
        <v>6567</v>
      </c>
      <c r="F3325" s="1">
        <v>203554</v>
      </c>
      <c r="G3325" s="1">
        <v>5150023913</v>
      </c>
      <c r="H3325" s="1">
        <v>12</v>
      </c>
      <c r="I3325" s="1" t="s">
        <v>381</v>
      </c>
      <c r="J3325" t="s">
        <v>6607</v>
      </c>
    </row>
    <row r="3326" spans="1:10">
      <c r="A3326" s="1">
        <v>44537</v>
      </c>
      <c r="B3326" s="1">
        <v>30025810935</v>
      </c>
      <c r="C3326" s="1">
        <v>12</v>
      </c>
      <c r="D3326" s="1" t="s">
        <v>360</v>
      </c>
      <c r="E3326" t="s">
        <v>6568</v>
      </c>
      <c r="F3326" s="1">
        <v>115519</v>
      </c>
      <c r="G3326" s="1">
        <v>5150024234</v>
      </c>
      <c r="H3326" s="1">
        <v>12</v>
      </c>
      <c r="I3326" s="1" t="s">
        <v>865</v>
      </c>
      <c r="J3326" t="s">
        <v>6607</v>
      </c>
    </row>
    <row r="3327" spans="1:10">
      <c r="A3327" s="1">
        <v>44727</v>
      </c>
      <c r="B3327" s="1">
        <v>30025810950</v>
      </c>
      <c r="C3327" s="1">
        <v>12</v>
      </c>
      <c r="D3327" s="1" t="s">
        <v>18</v>
      </c>
      <c r="E3327" t="s">
        <v>6569</v>
      </c>
      <c r="F3327" s="1">
        <v>115618</v>
      </c>
      <c r="G3327" s="1">
        <v>5150024171</v>
      </c>
      <c r="H3327" s="1">
        <v>6</v>
      </c>
      <c r="I3327" s="1" t="s">
        <v>3077</v>
      </c>
      <c r="J3327" t="s">
        <v>6607</v>
      </c>
    </row>
    <row r="3328" spans="1:10">
      <c r="A3328" s="1">
        <v>44677</v>
      </c>
      <c r="B3328" s="1">
        <v>30025810931</v>
      </c>
      <c r="C3328" s="1">
        <v>12</v>
      </c>
      <c r="D3328" s="1" t="s">
        <v>6570</v>
      </c>
      <c r="E3328" t="s">
        <v>6571</v>
      </c>
      <c r="F3328" s="1">
        <v>116525</v>
      </c>
      <c r="G3328" s="1">
        <v>5150024241</v>
      </c>
      <c r="H3328" s="1">
        <v>12</v>
      </c>
      <c r="I3328" s="1" t="s">
        <v>865</v>
      </c>
      <c r="J3328" t="s">
        <v>6608</v>
      </c>
    </row>
    <row r="3329" spans="1:10">
      <c r="A3329" s="1">
        <v>747717</v>
      </c>
      <c r="B3329" s="1">
        <v>4480040102</v>
      </c>
      <c r="C3329" s="1">
        <v>12</v>
      </c>
      <c r="D3329" s="1" t="s">
        <v>517</v>
      </c>
      <c r="E3329" t="s">
        <v>6572</v>
      </c>
      <c r="F3329" s="1">
        <v>118638</v>
      </c>
      <c r="G3329" s="1">
        <v>5150025195</v>
      </c>
      <c r="H3329" s="1">
        <v>12</v>
      </c>
      <c r="I3329" s="1" t="s">
        <v>938</v>
      </c>
      <c r="J3329" t="s">
        <v>6609</v>
      </c>
    </row>
    <row r="3330" spans="1:10">
      <c r="A3330" s="1">
        <v>130864</v>
      </c>
      <c r="B3330" s="1">
        <v>4480045002</v>
      </c>
      <c r="C3330" s="1">
        <v>12</v>
      </c>
      <c r="D3330" s="1" t="s">
        <v>89</v>
      </c>
      <c r="E3330" t="s">
        <v>6573</v>
      </c>
      <c r="F3330" s="1">
        <v>117895</v>
      </c>
      <c r="G3330" s="1">
        <v>5150025188</v>
      </c>
      <c r="H3330" s="1">
        <v>12</v>
      </c>
      <c r="I3330" s="1" t="s">
        <v>938</v>
      </c>
      <c r="J3330" t="s">
        <v>6610</v>
      </c>
    </row>
    <row r="3331" spans="1:10">
      <c r="A3331" s="1">
        <v>110247</v>
      </c>
      <c r="B3331" s="1">
        <v>4480045003</v>
      </c>
      <c r="C3331" s="1">
        <v>8</v>
      </c>
      <c r="D3331" s="1" t="s">
        <v>360</v>
      </c>
      <c r="E3331" t="s">
        <v>6573</v>
      </c>
      <c r="F3331" s="1">
        <v>115709</v>
      </c>
      <c r="G3331" s="1">
        <v>1116611570</v>
      </c>
      <c r="H3331" s="1">
        <v>12</v>
      </c>
      <c r="I3331" s="1" t="s">
        <v>4723</v>
      </c>
      <c r="J3331" t="s">
        <v>6611</v>
      </c>
    </row>
    <row r="3332" spans="1:10">
      <c r="A3332" s="1">
        <v>807560</v>
      </c>
      <c r="B3332" s="1">
        <v>4480045006</v>
      </c>
      <c r="C3332" s="1">
        <v>8</v>
      </c>
      <c r="D3332" s="1" t="s">
        <v>6574</v>
      </c>
      <c r="E3332" t="s">
        <v>6573</v>
      </c>
      <c r="F3332" s="1">
        <v>17707</v>
      </c>
      <c r="G3332" s="1">
        <v>4113030192</v>
      </c>
      <c r="H3332" s="1">
        <v>12</v>
      </c>
      <c r="I3332" s="1" t="s">
        <v>722</v>
      </c>
      <c r="J3332" t="s">
        <v>6612</v>
      </c>
    </row>
    <row r="3333" spans="1:10" ht="15.75">
      <c r="A3333" s="1">
        <v>781906</v>
      </c>
      <c r="B3333" s="1">
        <v>4480040250</v>
      </c>
      <c r="C3333" s="1">
        <v>8</v>
      </c>
      <c r="D3333" s="1" t="s">
        <v>6575</v>
      </c>
      <c r="E3333" t="s">
        <v>6576</v>
      </c>
      <c r="F3333" s="4" t="s">
        <v>10787</v>
      </c>
      <c r="G3333" s="2"/>
      <c r="H3333" s="2"/>
      <c r="I3333" s="2"/>
      <c r="J3333" s="3"/>
    </row>
    <row r="3334" spans="1:10">
      <c r="A3334" s="1">
        <v>44792</v>
      </c>
      <c r="B3334" s="1">
        <v>1116604479</v>
      </c>
      <c r="C3334" s="1">
        <v>12</v>
      </c>
      <c r="D3334" s="1" t="s">
        <v>475</v>
      </c>
      <c r="E3334" t="s">
        <v>6577</v>
      </c>
      <c r="F3334" s="2" t="s">
        <v>0</v>
      </c>
      <c r="G3334" s="2" t="s">
        <v>1</v>
      </c>
      <c r="H3334" s="2" t="s">
        <v>2</v>
      </c>
      <c r="I3334" s="2" t="s">
        <v>3</v>
      </c>
      <c r="J3334" s="3" t="s">
        <v>4</v>
      </c>
    </row>
    <row r="3335" spans="1:10">
      <c r="A3335" s="1">
        <v>44784</v>
      </c>
      <c r="B3335" s="1">
        <v>1116604478</v>
      </c>
      <c r="C3335" s="1">
        <v>12</v>
      </c>
      <c r="D3335" s="1" t="s">
        <v>475</v>
      </c>
      <c r="E3335" t="s">
        <v>6578</v>
      </c>
      <c r="F3335" s="1">
        <v>115170</v>
      </c>
      <c r="G3335" s="1">
        <v>2240077400</v>
      </c>
      <c r="H3335" s="1">
        <v>12</v>
      </c>
      <c r="I3335" s="1" t="s">
        <v>397</v>
      </c>
      <c r="J3335" t="s">
        <v>6613</v>
      </c>
    </row>
    <row r="3336" spans="1:10">
      <c r="A3336" s="1">
        <v>44925</v>
      </c>
      <c r="B3336" s="1">
        <v>72277620002</v>
      </c>
      <c r="C3336" s="1">
        <v>12</v>
      </c>
      <c r="D3336" s="1" t="s">
        <v>89</v>
      </c>
      <c r="E3336" t="s">
        <v>6579</v>
      </c>
      <c r="F3336" s="1">
        <v>214692</v>
      </c>
      <c r="G3336" s="1">
        <v>4173600180</v>
      </c>
      <c r="H3336" s="1">
        <v>12</v>
      </c>
      <c r="I3336" s="1" t="s">
        <v>6614</v>
      </c>
      <c r="J3336" t="s">
        <v>6615</v>
      </c>
    </row>
    <row r="3337" spans="1:10">
      <c r="A3337" s="1">
        <v>44545</v>
      </c>
      <c r="B3337" s="1">
        <v>72277620003</v>
      </c>
      <c r="C3337" s="1">
        <v>12</v>
      </c>
      <c r="D3337" s="1" t="s">
        <v>360</v>
      </c>
      <c r="E3337" t="s">
        <v>6580</v>
      </c>
      <c r="F3337" s="1">
        <v>381244</v>
      </c>
      <c r="G3337" s="1">
        <v>4179022106</v>
      </c>
      <c r="H3337" s="1">
        <v>6</v>
      </c>
      <c r="I3337" s="1" t="s">
        <v>6616</v>
      </c>
      <c r="J3337" t="s">
        <v>6617</v>
      </c>
    </row>
    <row r="3338" spans="1:10">
      <c r="A3338" s="1">
        <v>388892</v>
      </c>
      <c r="B3338" s="1">
        <v>72277623032</v>
      </c>
      <c r="C3338" s="1">
        <v>12</v>
      </c>
      <c r="D3338" s="1" t="s">
        <v>381</v>
      </c>
      <c r="E3338" t="s">
        <v>6581</v>
      </c>
      <c r="F3338" s="1">
        <v>318139</v>
      </c>
      <c r="G3338" s="1">
        <v>4179022093</v>
      </c>
      <c r="H3338" s="1">
        <v>6</v>
      </c>
      <c r="I3338" s="1" t="s">
        <v>6616</v>
      </c>
      <c r="J3338" t="s">
        <v>6618</v>
      </c>
    </row>
    <row r="3339" spans="1:10">
      <c r="A3339" s="1">
        <v>44362</v>
      </c>
      <c r="B3339" s="1">
        <v>72277621002</v>
      </c>
      <c r="C3339" s="1">
        <v>12</v>
      </c>
      <c r="D3339" s="1" t="s">
        <v>828</v>
      </c>
      <c r="E3339" t="s">
        <v>6582</v>
      </c>
      <c r="F3339" s="1">
        <v>451500</v>
      </c>
      <c r="G3339" s="1">
        <v>4179021426</v>
      </c>
      <c r="H3339" s="1">
        <v>6</v>
      </c>
      <c r="I3339" s="1" t="s">
        <v>6616</v>
      </c>
      <c r="J3339" t="s">
        <v>6619</v>
      </c>
    </row>
    <row r="3340" spans="1:10">
      <c r="A3340" s="1">
        <v>388827</v>
      </c>
      <c r="B3340" s="1">
        <v>72277620041</v>
      </c>
      <c r="C3340" s="1">
        <v>6</v>
      </c>
      <c r="D3340" s="1" t="s">
        <v>1311</v>
      </c>
      <c r="E3340" t="s">
        <v>6583</v>
      </c>
      <c r="F3340" s="1">
        <v>114447</v>
      </c>
      <c r="G3340" s="1">
        <v>4179000140</v>
      </c>
      <c r="H3340" s="1">
        <v>12</v>
      </c>
      <c r="I3340" s="1" t="s">
        <v>6614</v>
      </c>
      <c r="J3340" t="s">
        <v>6620</v>
      </c>
    </row>
    <row r="3341" spans="1:10">
      <c r="A3341" s="1">
        <v>146613</v>
      </c>
      <c r="B3341" s="1">
        <v>72277623001</v>
      </c>
      <c r="C3341" s="1">
        <v>6</v>
      </c>
      <c r="D3341" s="1" t="s">
        <v>375</v>
      </c>
      <c r="E3341" t="s">
        <v>6584</v>
      </c>
      <c r="F3341" s="1">
        <v>114686</v>
      </c>
      <c r="G3341" s="1">
        <v>4179000420</v>
      </c>
      <c r="H3341" s="1">
        <v>12</v>
      </c>
      <c r="I3341" s="1" t="s">
        <v>6614</v>
      </c>
      <c r="J3341" t="s">
        <v>6621</v>
      </c>
    </row>
    <row r="3342" spans="1:10">
      <c r="A3342" s="1">
        <v>388926</v>
      </c>
      <c r="B3342" s="1">
        <v>72277621004</v>
      </c>
      <c r="C3342" s="1">
        <v>8</v>
      </c>
      <c r="D3342" s="1" t="s">
        <v>6574</v>
      </c>
      <c r="E3342" t="s">
        <v>6585</v>
      </c>
      <c r="F3342" s="1">
        <v>712463</v>
      </c>
      <c r="G3342" s="1">
        <v>4179000435</v>
      </c>
      <c r="H3342" s="1">
        <v>6</v>
      </c>
      <c r="I3342" s="1" t="s">
        <v>6622</v>
      </c>
      <c r="J3342" t="s">
        <v>6623</v>
      </c>
    </row>
    <row r="3343" spans="1:10">
      <c r="A3343" s="1">
        <v>44669</v>
      </c>
      <c r="B3343" s="1">
        <v>72277620001</v>
      </c>
      <c r="C3343" s="1">
        <v>12</v>
      </c>
      <c r="D3343" s="1" t="s">
        <v>18</v>
      </c>
      <c r="E3343" t="s">
        <v>6586</v>
      </c>
      <c r="F3343" s="1">
        <v>114637</v>
      </c>
      <c r="G3343" s="1">
        <v>4179000160</v>
      </c>
      <c r="H3343" s="1">
        <v>12</v>
      </c>
      <c r="I3343" s="1" t="s">
        <v>6614</v>
      </c>
      <c r="J3343" t="s">
        <v>6624</v>
      </c>
    </row>
    <row r="3344" spans="1:10">
      <c r="A3344" s="1">
        <v>446021</v>
      </c>
      <c r="B3344" s="1">
        <v>72277620180</v>
      </c>
      <c r="C3344" s="1">
        <v>12</v>
      </c>
      <c r="D3344" s="1" t="s">
        <v>1207</v>
      </c>
      <c r="E3344" t="s">
        <v>6587</v>
      </c>
      <c r="F3344" s="1">
        <v>712455</v>
      </c>
      <c r="G3344" s="1">
        <v>4179000225</v>
      </c>
      <c r="H3344" s="1">
        <v>6</v>
      </c>
      <c r="I3344" s="1" t="s">
        <v>6622</v>
      </c>
      <c r="J3344" t="s">
        <v>6625</v>
      </c>
    </row>
    <row r="3345" spans="1:10">
      <c r="A3345" s="1">
        <v>412098</v>
      </c>
      <c r="B3345" s="1">
        <v>4480075005</v>
      </c>
      <c r="C3345" s="1">
        <v>12</v>
      </c>
      <c r="D3345" s="1" t="s">
        <v>1219</v>
      </c>
      <c r="E3345" t="s">
        <v>6588</v>
      </c>
      <c r="F3345" s="1">
        <v>143669</v>
      </c>
      <c r="G3345" s="1">
        <v>1952123703</v>
      </c>
      <c r="H3345" s="1">
        <v>12</v>
      </c>
      <c r="I3345" s="1" t="s">
        <v>6614</v>
      </c>
      <c r="J3345" t="s">
        <v>6626</v>
      </c>
    </row>
    <row r="3346" spans="1:10">
      <c r="A3346" s="1">
        <v>44271</v>
      </c>
      <c r="B3346" s="1">
        <v>4480000142</v>
      </c>
      <c r="C3346" s="1">
        <v>12</v>
      </c>
      <c r="D3346" s="1" t="s">
        <v>375</v>
      </c>
      <c r="E3346" t="s">
        <v>6589</v>
      </c>
      <c r="F3346" s="1">
        <v>143644</v>
      </c>
      <c r="G3346" s="1">
        <v>1952124894</v>
      </c>
      <c r="H3346" s="1">
        <v>12</v>
      </c>
      <c r="I3346" s="1" t="s">
        <v>6614</v>
      </c>
      <c r="J3346" t="s">
        <v>6627</v>
      </c>
    </row>
    <row r="3347" spans="1:10">
      <c r="A3347" s="1">
        <v>44636</v>
      </c>
      <c r="B3347" s="1">
        <v>4480000103</v>
      </c>
      <c r="C3347" s="1">
        <v>12</v>
      </c>
      <c r="D3347" s="1" t="s">
        <v>399</v>
      </c>
      <c r="E3347" t="s">
        <v>6590</v>
      </c>
      <c r="F3347" s="1">
        <v>119248</v>
      </c>
      <c r="G3347" s="1">
        <v>5150016948</v>
      </c>
      <c r="H3347" s="1">
        <v>4</v>
      </c>
      <c r="I3347" s="1" t="s">
        <v>1188</v>
      </c>
      <c r="J3347" t="s">
        <v>6628</v>
      </c>
    </row>
    <row r="3348" spans="1:10">
      <c r="A3348" s="1">
        <v>44578</v>
      </c>
      <c r="B3348" s="1">
        <v>4480000107</v>
      </c>
      <c r="C3348" s="1">
        <v>12</v>
      </c>
      <c r="D3348" s="1" t="s">
        <v>1096</v>
      </c>
      <c r="E3348" t="s">
        <v>6591</v>
      </c>
      <c r="F3348" s="1">
        <v>115311</v>
      </c>
      <c r="G3348" s="1">
        <v>5150073668</v>
      </c>
      <c r="H3348" s="1">
        <v>6</v>
      </c>
      <c r="I3348" s="1" t="s">
        <v>2496</v>
      </c>
      <c r="J3348" t="s">
        <v>6628</v>
      </c>
    </row>
    <row r="3349" spans="1:10">
      <c r="A3349" s="1">
        <v>285577</v>
      </c>
      <c r="B3349" s="1">
        <v>4480000101</v>
      </c>
      <c r="C3349" s="1">
        <v>12</v>
      </c>
      <c r="D3349" s="1" t="s">
        <v>18</v>
      </c>
      <c r="E3349" t="s">
        <v>6592</v>
      </c>
      <c r="F3349" s="1">
        <v>274225</v>
      </c>
      <c r="G3349" s="1">
        <v>5150024275</v>
      </c>
      <c r="H3349" s="1">
        <v>12</v>
      </c>
      <c r="I3349" s="1" t="s">
        <v>1191</v>
      </c>
      <c r="J3349" t="s">
        <v>6629</v>
      </c>
    </row>
    <row r="3350" spans="1:10">
      <c r="A3350" s="1">
        <v>44651</v>
      </c>
      <c r="B3350" s="1">
        <v>4480000102</v>
      </c>
      <c r="C3350" s="1">
        <v>12</v>
      </c>
      <c r="D3350" s="1" t="s">
        <v>89</v>
      </c>
      <c r="E3350" t="s">
        <v>6593</v>
      </c>
      <c r="F3350" s="1">
        <v>119768</v>
      </c>
      <c r="G3350" s="1">
        <v>5150070657</v>
      </c>
      <c r="H3350" s="1">
        <v>9</v>
      </c>
      <c r="I3350" s="1" t="s">
        <v>1200</v>
      </c>
      <c r="J3350" t="s">
        <v>6630</v>
      </c>
    </row>
    <row r="3351" spans="1:10">
      <c r="A3351" s="1">
        <v>655902</v>
      </c>
      <c r="B3351" s="1">
        <v>1360000091</v>
      </c>
      <c r="C3351" s="1">
        <v>12</v>
      </c>
      <c r="D3351" s="1" t="s">
        <v>1203</v>
      </c>
      <c r="E3351" t="s">
        <v>6594</v>
      </c>
      <c r="F3351" s="1">
        <v>117234</v>
      </c>
      <c r="G3351" s="1">
        <v>5150011739</v>
      </c>
      <c r="H3351" s="1">
        <v>12</v>
      </c>
      <c r="I3351" s="1" t="s">
        <v>404</v>
      </c>
      <c r="J3351" t="s">
        <v>6631</v>
      </c>
    </row>
    <row r="3352" spans="1:10">
      <c r="A3352" s="1">
        <v>567784</v>
      </c>
      <c r="B3352" s="1">
        <v>1360000092</v>
      </c>
      <c r="C3352" s="1">
        <v>12</v>
      </c>
      <c r="D3352" s="1" t="s">
        <v>1207</v>
      </c>
      <c r="E3352" t="s">
        <v>6594</v>
      </c>
      <c r="F3352" s="1">
        <v>119685</v>
      </c>
      <c r="G3352" s="1">
        <v>5150025548</v>
      </c>
      <c r="H3352" s="1">
        <v>9</v>
      </c>
      <c r="I3352" s="1" t="s">
        <v>1200</v>
      </c>
      <c r="J3352" t="s">
        <v>6632</v>
      </c>
    </row>
    <row r="3353" spans="1:10" ht="15.75">
      <c r="A3353" s="4" t="s">
        <v>10785</v>
      </c>
      <c r="B3353" s="2"/>
      <c r="C3353" s="2"/>
      <c r="D3353" s="2"/>
      <c r="E3353" s="3"/>
      <c r="F3353" s="1">
        <v>119776</v>
      </c>
      <c r="G3353" s="1">
        <v>5150070656</v>
      </c>
      <c r="H3353" s="1">
        <v>9</v>
      </c>
      <c r="I3353" s="1" t="s">
        <v>1189</v>
      </c>
      <c r="J3353" t="s">
        <v>6633</v>
      </c>
    </row>
    <row r="3354" spans="1:10">
      <c r="A3354" s="2" t="s">
        <v>0</v>
      </c>
      <c r="B3354" s="2" t="s">
        <v>1</v>
      </c>
      <c r="C3354" s="2" t="s">
        <v>2</v>
      </c>
      <c r="D3354" s="2" t="s">
        <v>3</v>
      </c>
      <c r="E3354" s="3" t="s">
        <v>4</v>
      </c>
      <c r="F3354" s="1">
        <v>119131</v>
      </c>
      <c r="G3354" s="1">
        <v>5150025479</v>
      </c>
      <c r="H3354" s="1">
        <v>9</v>
      </c>
      <c r="I3354" s="1" t="s">
        <v>1189</v>
      </c>
      <c r="J3354" t="s">
        <v>6634</v>
      </c>
    </row>
    <row r="3355" spans="1:10">
      <c r="A3355" s="1">
        <v>135038</v>
      </c>
      <c r="B3355" s="1">
        <v>1360076940</v>
      </c>
      <c r="C3355" s="1">
        <v>1</v>
      </c>
      <c r="D3355" s="1" t="s">
        <v>6595</v>
      </c>
      <c r="E3355" t="s">
        <v>6596</v>
      </c>
      <c r="F3355" s="1">
        <v>119701</v>
      </c>
      <c r="G3355" s="1">
        <v>5150099283</v>
      </c>
      <c r="H3355" s="1">
        <v>4</v>
      </c>
      <c r="I3355" s="1" t="s">
        <v>1188</v>
      </c>
      <c r="J3355" t="s">
        <v>6635</v>
      </c>
    </row>
    <row r="3356" spans="1:10">
      <c r="A3356" s="1">
        <v>500769</v>
      </c>
      <c r="B3356" s="1">
        <v>1360001074</v>
      </c>
      <c r="C3356" s="1">
        <v>1</v>
      </c>
      <c r="D3356" s="1" t="s">
        <v>6597</v>
      </c>
      <c r="E3356" t="s">
        <v>6598</v>
      </c>
      <c r="F3356" s="1">
        <v>119107</v>
      </c>
      <c r="G3356" s="1">
        <v>5150017665</v>
      </c>
      <c r="H3356" s="1">
        <v>6</v>
      </c>
      <c r="I3356" s="1" t="s">
        <v>2496</v>
      </c>
      <c r="J3356" t="s">
        <v>6635</v>
      </c>
    </row>
    <row r="3357" spans="1:10">
      <c r="A3357" s="1">
        <v>203497</v>
      </c>
      <c r="B3357" s="1">
        <v>67453210025</v>
      </c>
      <c r="C3357" s="1">
        <v>1</v>
      </c>
      <c r="D3357" s="1" t="s">
        <v>6597</v>
      </c>
      <c r="E3357" t="s">
        <v>6599</v>
      </c>
      <c r="F3357" s="1">
        <v>119545</v>
      </c>
      <c r="G3357" s="1">
        <v>5150025151</v>
      </c>
      <c r="H3357" s="1">
        <v>9</v>
      </c>
      <c r="I3357" s="1" t="s">
        <v>1200</v>
      </c>
      <c r="J3357" t="s">
        <v>6636</v>
      </c>
    </row>
    <row r="3358" spans="1:10">
      <c r="A3358" s="1">
        <v>12765</v>
      </c>
      <c r="B3358" s="1">
        <v>2460007870</v>
      </c>
      <c r="C3358" s="1">
        <v>4</v>
      </c>
      <c r="D3358" s="1" t="s">
        <v>6600</v>
      </c>
      <c r="E3358" t="s">
        <v>6601</v>
      </c>
      <c r="F3358" s="1">
        <v>119008</v>
      </c>
      <c r="G3358" s="1">
        <v>5150025362</v>
      </c>
      <c r="H3358" s="1">
        <v>9</v>
      </c>
      <c r="I3358" s="1" t="s">
        <v>1200</v>
      </c>
      <c r="J3358" t="s">
        <v>6637</v>
      </c>
    </row>
    <row r="3359" spans="1:10">
      <c r="A3359" s="1">
        <v>133579</v>
      </c>
      <c r="B3359" s="1">
        <v>2460001470</v>
      </c>
      <c r="C3359" s="1">
        <v>1</v>
      </c>
      <c r="D3359" s="1" t="s">
        <v>6595</v>
      </c>
      <c r="E3359" t="s">
        <v>6602</v>
      </c>
      <c r="F3359" s="1">
        <v>475079</v>
      </c>
      <c r="G3359" s="1">
        <v>5150024392</v>
      </c>
      <c r="H3359" s="1">
        <v>12</v>
      </c>
      <c r="I3359" s="1" t="s">
        <v>1191</v>
      </c>
      <c r="J3359" t="s">
        <v>6638</v>
      </c>
    </row>
    <row r="3360" spans="1:10">
      <c r="A3360" s="1">
        <v>704049</v>
      </c>
      <c r="B3360" s="1">
        <v>2460004212</v>
      </c>
      <c r="C3360" s="1">
        <v>8</v>
      </c>
      <c r="D3360" s="1" t="s">
        <v>4815</v>
      </c>
      <c r="E3360" t="s">
        <v>6603</v>
      </c>
      <c r="F3360" s="1">
        <v>116319</v>
      </c>
      <c r="G3360" s="1">
        <v>5150025162</v>
      </c>
      <c r="H3360" s="1">
        <v>9</v>
      </c>
      <c r="I3360" s="1" t="s">
        <v>1189</v>
      </c>
      <c r="J3360" t="s">
        <v>6639</v>
      </c>
    </row>
    <row r="3361" spans="1:10">
      <c r="A3361" s="1">
        <v>133561</v>
      </c>
      <c r="B3361" s="1">
        <v>2460001500</v>
      </c>
      <c r="C3361" s="1">
        <v>1</v>
      </c>
      <c r="D3361" s="1" t="s">
        <v>6595</v>
      </c>
      <c r="E3361" t="s">
        <v>6604</v>
      </c>
      <c r="F3361" s="1">
        <v>115402</v>
      </c>
      <c r="G3361" s="1">
        <v>5250006212</v>
      </c>
      <c r="H3361" s="1">
        <v>4</v>
      </c>
      <c r="I3361" s="1" t="s">
        <v>1188</v>
      </c>
      <c r="J3361" t="s">
        <v>6640</v>
      </c>
    </row>
    <row r="3362" spans="1:10">
      <c r="A3362" s="1">
        <v>203513</v>
      </c>
      <c r="B3362" s="1">
        <v>67453220025</v>
      </c>
      <c r="C3362" s="1">
        <v>1</v>
      </c>
      <c r="D3362" s="1" t="s">
        <v>6597</v>
      </c>
      <c r="E3362" t="s">
        <v>6605</v>
      </c>
      <c r="F3362" s="1">
        <v>194944</v>
      </c>
      <c r="G3362" s="1">
        <v>5250005325</v>
      </c>
      <c r="H3362" s="1">
        <v>8</v>
      </c>
      <c r="I3362" s="1" t="s">
        <v>1189</v>
      </c>
      <c r="J3362" t="s">
        <v>6641</v>
      </c>
    </row>
    <row r="3363" spans="1:10" ht="15.75">
      <c r="A3363" s="4" t="s">
        <v>10787</v>
      </c>
      <c r="B3363" s="2"/>
      <c r="C3363" s="2"/>
      <c r="D3363" s="2"/>
      <c r="E3363" s="3"/>
      <c r="F3363" s="4" t="s">
        <v>10787</v>
      </c>
      <c r="G3363" s="2"/>
      <c r="H3363" s="2"/>
      <c r="I3363" s="2"/>
      <c r="J3363" s="3"/>
    </row>
    <row r="3364" spans="1:10">
      <c r="A3364" s="2" t="s">
        <v>0</v>
      </c>
      <c r="B3364" s="2" t="s">
        <v>1</v>
      </c>
      <c r="C3364" s="2" t="s">
        <v>2</v>
      </c>
      <c r="D3364" s="2" t="s">
        <v>3</v>
      </c>
      <c r="E3364" s="3" t="s">
        <v>4</v>
      </c>
      <c r="F3364" s="2" t="s">
        <v>0</v>
      </c>
      <c r="G3364" s="2" t="s">
        <v>1</v>
      </c>
      <c r="H3364" s="2" t="s">
        <v>2</v>
      </c>
      <c r="I3364" s="2" t="s">
        <v>3</v>
      </c>
      <c r="J3364" s="3" t="s">
        <v>4</v>
      </c>
    </row>
    <row r="3365" spans="1:10">
      <c r="A3365" s="1">
        <v>214734</v>
      </c>
      <c r="B3365" s="1">
        <v>4173601013</v>
      </c>
      <c r="C3365" s="1">
        <v>12</v>
      </c>
      <c r="D3365" s="1" t="s">
        <v>6616</v>
      </c>
      <c r="E3365" t="s">
        <v>6642</v>
      </c>
      <c r="F3365" s="1">
        <v>114884</v>
      </c>
      <c r="G3365" s="1">
        <v>7040400002</v>
      </c>
      <c r="H3365" s="1">
        <v>12</v>
      </c>
      <c r="I3365" s="1" t="s">
        <v>1190</v>
      </c>
      <c r="J3365" t="s">
        <v>6673</v>
      </c>
    </row>
    <row r="3366" spans="1:10">
      <c r="A3366" s="1">
        <v>214882</v>
      </c>
      <c r="B3366" s="1">
        <v>4173600160</v>
      </c>
      <c r="C3366" s="1">
        <v>12</v>
      </c>
      <c r="D3366" s="1" t="s">
        <v>6616</v>
      </c>
      <c r="E3366" t="s">
        <v>6643</v>
      </c>
      <c r="F3366" s="1">
        <v>515379</v>
      </c>
      <c r="G3366" s="1">
        <v>7040400030</v>
      </c>
      <c r="H3366" s="1">
        <v>6</v>
      </c>
      <c r="I3366" s="1" t="s">
        <v>1189</v>
      </c>
      <c r="J3366" t="s">
        <v>6674</v>
      </c>
    </row>
    <row r="3367" spans="1:10">
      <c r="A3367" s="1">
        <v>214783</v>
      </c>
      <c r="B3367" s="1">
        <v>4173603013</v>
      </c>
      <c r="C3367" s="1">
        <v>12</v>
      </c>
      <c r="D3367" s="1" t="s">
        <v>6616</v>
      </c>
      <c r="E3367" t="s">
        <v>6644</v>
      </c>
      <c r="F3367" s="1">
        <v>114348</v>
      </c>
      <c r="G3367" s="1">
        <v>7040400024</v>
      </c>
      <c r="H3367" s="1">
        <v>12</v>
      </c>
      <c r="I3367" s="1" t="s">
        <v>1191</v>
      </c>
      <c r="J3367" t="s">
        <v>6675</v>
      </c>
    </row>
    <row r="3368" spans="1:10">
      <c r="A3368" s="1">
        <v>214726</v>
      </c>
      <c r="B3368" s="1">
        <v>4173601014</v>
      </c>
      <c r="C3368" s="1">
        <v>12</v>
      </c>
      <c r="D3368" s="1" t="s">
        <v>6614</v>
      </c>
      <c r="E3368" t="s">
        <v>6645</v>
      </c>
      <c r="F3368" s="1">
        <v>459339</v>
      </c>
      <c r="G3368" s="1">
        <v>7040400022</v>
      </c>
      <c r="H3368" s="1">
        <v>6</v>
      </c>
      <c r="I3368" s="1" t="s">
        <v>1200</v>
      </c>
      <c r="J3368" t="s">
        <v>6676</v>
      </c>
    </row>
    <row r="3369" spans="1:10">
      <c r="A3369" s="1">
        <v>115071</v>
      </c>
      <c r="B3369" s="1">
        <v>7000511322</v>
      </c>
      <c r="C3369" s="1">
        <v>12</v>
      </c>
      <c r="D3369" s="1" t="s">
        <v>1189</v>
      </c>
      <c r="E3369" t="s">
        <v>6646</v>
      </c>
      <c r="F3369" s="1">
        <v>173484</v>
      </c>
      <c r="G3369" s="1">
        <v>87358900048</v>
      </c>
      <c r="H3369" s="1">
        <v>6</v>
      </c>
      <c r="I3369" s="1" t="s">
        <v>2529</v>
      </c>
      <c r="J3369" t="s">
        <v>6677</v>
      </c>
    </row>
    <row r="3370" spans="1:10">
      <c r="A3370" s="1">
        <v>597591</v>
      </c>
      <c r="B3370" s="1">
        <v>1510900123</v>
      </c>
      <c r="C3370" s="1">
        <v>12</v>
      </c>
      <c r="D3370" s="1" t="s">
        <v>6614</v>
      </c>
      <c r="E3370" t="s">
        <v>6647</v>
      </c>
      <c r="F3370" s="1">
        <v>114892</v>
      </c>
      <c r="G3370" s="1">
        <v>1116611489</v>
      </c>
      <c r="H3370" s="1">
        <v>9</v>
      </c>
      <c r="I3370" s="1" t="s">
        <v>1200</v>
      </c>
      <c r="J3370" t="s">
        <v>6678</v>
      </c>
    </row>
    <row r="3371" spans="1:10">
      <c r="A3371" s="1">
        <v>789339</v>
      </c>
      <c r="B3371" s="1">
        <v>1510900124</v>
      </c>
      <c r="C3371" s="1">
        <v>12</v>
      </c>
      <c r="D3371" s="1" t="s">
        <v>6614</v>
      </c>
      <c r="E3371" t="s">
        <v>6648</v>
      </c>
      <c r="F3371" s="1">
        <v>111682</v>
      </c>
      <c r="G3371" s="1">
        <v>1116611168</v>
      </c>
      <c r="H3371" s="1">
        <v>4</v>
      </c>
      <c r="I3371" s="1" t="s">
        <v>1188</v>
      </c>
      <c r="J3371" t="s">
        <v>6679</v>
      </c>
    </row>
    <row r="3372" spans="1:10">
      <c r="A3372" s="1">
        <v>127415</v>
      </c>
      <c r="B3372" s="1">
        <v>7339101551</v>
      </c>
      <c r="C3372" s="1">
        <v>4</v>
      </c>
      <c r="D3372" s="1" t="s">
        <v>1188</v>
      </c>
      <c r="E3372" t="s">
        <v>6649</v>
      </c>
      <c r="F3372" s="1">
        <v>111716</v>
      </c>
      <c r="G3372" s="1">
        <v>1116611171</v>
      </c>
      <c r="H3372" s="1">
        <v>12</v>
      </c>
      <c r="I3372" s="1" t="s">
        <v>1189</v>
      </c>
      <c r="J3372" t="s">
        <v>6679</v>
      </c>
    </row>
    <row r="3373" spans="1:10">
      <c r="A3373" s="1">
        <v>127076</v>
      </c>
      <c r="B3373" s="1">
        <v>7339120020</v>
      </c>
      <c r="C3373" s="1">
        <v>12</v>
      </c>
      <c r="D3373" s="1" t="s">
        <v>2557</v>
      </c>
      <c r="E3373" t="s">
        <v>6649</v>
      </c>
      <c r="F3373" s="1">
        <v>114298</v>
      </c>
      <c r="G3373" s="1">
        <v>1116611429</v>
      </c>
      <c r="H3373" s="1">
        <v>9</v>
      </c>
      <c r="I3373" s="1" t="s">
        <v>1200</v>
      </c>
      <c r="J3373" t="s">
        <v>6679</v>
      </c>
    </row>
    <row r="3374" spans="1:10">
      <c r="A3374" s="1">
        <v>127159</v>
      </c>
      <c r="B3374" s="1">
        <v>7339190033</v>
      </c>
      <c r="C3374" s="1">
        <v>9</v>
      </c>
      <c r="D3374" s="1" t="s">
        <v>1200</v>
      </c>
      <c r="E3374" t="s">
        <v>6649</v>
      </c>
      <c r="F3374" s="1">
        <v>111856</v>
      </c>
      <c r="G3374" s="1">
        <v>1116611185</v>
      </c>
      <c r="H3374" s="1">
        <v>9</v>
      </c>
      <c r="I3374" s="1" t="s">
        <v>2496</v>
      </c>
      <c r="J3374" t="s">
        <v>6679</v>
      </c>
    </row>
    <row r="3375" spans="1:10">
      <c r="A3375" s="1">
        <v>127175</v>
      </c>
      <c r="B3375" s="1">
        <v>7339112336</v>
      </c>
      <c r="C3375" s="1">
        <v>9</v>
      </c>
      <c r="D3375" s="1" t="s">
        <v>1200</v>
      </c>
      <c r="E3375" t="s">
        <v>6650</v>
      </c>
      <c r="F3375" s="1">
        <v>658187</v>
      </c>
      <c r="G3375" s="1">
        <v>1116601487</v>
      </c>
      <c r="H3375" s="1">
        <v>12</v>
      </c>
      <c r="I3375" s="1" t="s">
        <v>404</v>
      </c>
      <c r="J3375" t="s">
        <v>6680</v>
      </c>
    </row>
    <row r="3376" spans="1:10">
      <c r="A3376" s="1">
        <v>127373</v>
      </c>
      <c r="B3376" s="1">
        <v>7339100024</v>
      </c>
      <c r="C3376" s="1">
        <v>4</v>
      </c>
      <c r="D3376" s="1" t="s">
        <v>1188</v>
      </c>
      <c r="E3376" t="s">
        <v>6651</v>
      </c>
      <c r="F3376" s="1">
        <v>443788</v>
      </c>
      <c r="G3376" s="1">
        <v>1116601488</v>
      </c>
      <c r="H3376" s="1">
        <v>12</v>
      </c>
      <c r="I3376" s="1" t="s">
        <v>404</v>
      </c>
      <c r="J3376" t="s">
        <v>6681</v>
      </c>
    </row>
    <row r="3377" spans="1:10">
      <c r="A3377" s="1">
        <v>127027</v>
      </c>
      <c r="B3377" s="1">
        <v>7339100006</v>
      </c>
      <c r="C3377" s="1">
        <v>12</v>
      </c>
      <c r="D3377" s="1" t="s">
        <v>2557</v>
      </c>
      <c r="E3377" t="s">
        <v>6651</v>
      </c>
      <c r="F3377" s="1">
        <v>699884</v>
      </c>
      <c r="G3377" s="1">
        <v>1116601486</v>
      </c>
      <c r="H3377" s="1">
        <v>12</v>
      </c>
      <c r="I3377" s="1" t="s">
        <v>394</v>
      </c>
      <c r="J3377" t="s">
        <v>6682</v>
      </c>
    </row>
    <row r="3378" spans="1:10">
      <c r="A3378" s="1">
        <v>127100</v>
      </c>
      <c r="B3378" s="1">
        <v>7339100004</v>
      </c>
      <c r="C3378" s="1">
        <v>9</v>
      </c>
      <c r="D3378" s="1" t="s">
        <v>1200</v>
      </c>
      <c r="E3378" t="s">
        <v>6651</v>
      </c>
      <c r="F3378" s="1">
        <v>416339</v>
      </c>
      <c r="G3378" s="1">
        <v>1116601489</v>
      </c>
      <c r="H3378" s="1">
        <v>12</v>
      </c>
      <c r="I3378" s="1" t="s">
        <v>404</v>
      </c>
      <c r="J3378" t="s">
        <v>6683</v>
      </c>
    </row>
    <row r="3379" spans="1:10">
      <c r="A3379" s="1">
        <v>117853</v>
      </c>
      <c r="B3379" s="1">
        <v>76172005336</v>
      </c>
      <c r="C3379" s="1">
        <v>12</v>
      </c>
      <c r="D3379" s="1" t="s">
        <v>1200</v>
      </c>
      <c r="E3379" t="s">
        <v>6652</v>
      </c>
      <c r="F3379" s="1">
        <v>111633</v>
      </c>
      <c r="G3379" s="1">
        <v>1116611163</v>
      </c>
      <c r="H3379" s="1">
        <v>12</v>
      </c>
      <c r="I3379" s="1" t="s">
        <v>2557</v>
      </c>
      <c r="J3379" t="s">
        <v>6684</v>
      </c>
    </row>
    <row r="3380" spans="1:10">
      <c r="A3380" s="1">
        <v>115642</v>
      </c>
      <c r="B3380" s="1">
        <v>76172005820</v>
      </c>
      <c r="C3380" s="1">
        <v>6</v>
      </c>
      <c r="D3380" s="1" t="s">
        <v>1188</v>
      </c>
      <c r="E3380" t="s">
        <v>6653</v>
      </c>
      <c r="F3380" s="1">
        <v>114553</v>
      </c>
      <c r="G3380" s="1">
        <v>1116611455</v>
      </c>
      <c r="H3380" s="1">
        <v>9</v>
      </c>
      <c r="I3380" s="1" t="s">
        <v>1200</v>
      </c>
      <c r="J3380" t="s">
        <v>6684</v>
      </c>
    </row>
    <row r="3381" spans="1:10">
      <c r="A3381" s="1">
        <v>832808</v>
      </c>
      <c r="B3381" s="1">
        <v>76172098732</v>
      </c>
      <c r="C3381" s="1">
        <v>6</v>
      </c>
      <c r="D3381" s="1" t="s">
        <v>2496</v>
      </c>
      <c r="E3381" t="s">
        <v>6653</v>
      </c>
      <c r="F3381" s="1">
        <v>114579</v>
      </c>
      <c r="G3381" s="1">
        <v>1116611457</v>
      </c>
      <c r="H3381" s="1">
        <v>4</v>
      </c>
      <c r="I3381" s="1" t="s">
        <v>1188</v>
      </c>
      <c r="J3381" t="s">
        <v>6685</v>
      </c>
    </row>
    <row r="3382" spans="1:10">
      <c r="A3382" s="1">
        <v>772871</v>
      </c>
      <c r="B3382" s="1">
        <v>76172005630</v>
      </c>
      <c r="C3382" s="1">
        <v>12</v>
      </c>
      <c r="D3382" s="1" t="s">
        <v>1189</v>
      </c>
      <c r="E3382" t="s">
        <v>6654</v>
      </c>
      <c r="F3382" s="1">
        <v>296970</v>
      </c>
      <c r="G3382" s="1">
        <v>1116601182</v>
      </c>
      <c r="H3382" s="1">
        <v>12</v>
      </c>
      <c r="I3382" s="1" t="s">
        <v>2947</v>
      </c>
      <c r="J3382" t="s">
        <v>6686</v>
      </c>
    </row>
    <row r="3383" spans="1:10">
      <c r="A3383" s="1">
        <v>115915</v>
      </c>
      <c r="B3383" s="1">
        <v>76172005650</v>
      </c>
      <c r="C3383" s="1">
        <v>12</v>
      </c>
      <c r="D3383" s="1" t="s">
        <v>1200</v>
      </c>
      <c r="E3383" t="s">
        <v>6654</v>
      </c>
      <c r="F3383" s="1">
        <v>398057</v>
      </c>
      <c r="G3383" s="1">
        <v>1116612893</v>
      </c>
      <c r="H3383" s="1">
        <v>12</v>
      </c>
      <c r="I3383" s="1" t="s">
        <v>6614</v>
      </c>
      <c r="J3383" t="s">
        <v>6687</v>
      </c>
    </row>
    <row r="3384" spans="1:10">
      <c r="A3384" s="1">
        <v>114710</v>
      </c>
      <c r="B3384" s="1">
        <v>76172005960</v>
      </c>
      <c r="C3384" s="1">
        <v>12</v>
      </c>
      <c r="D3384" s="1" t="s">
        <v>1200</v>
      </c>
      <c r="E3384" t="s">
        <v>6655</v>
      </c>
      <c r="F3384" s="1">
        <v>343939</v>
      </c>
      <c r="G3384" s="1">
        <v>1116611441</v>
      </c>
      <c r="H3384" s="1">
        <v>12</v>
      </c>
      <c r="I3384" s="1" t="s">
        <v>6614</v>
      </c>
      <c r="J3384" t="s">
        <v>6688</v>
      </c>
    </row>
    <row r="3385" spans="1:10">
      <c r="A3385" s="1">
        <v>114322</v>
      </c>
      <c r="B3385" s="1">
        <v>76172020560</v>
      </c>
      <c r="C3385" s="1">
        <v>12</v>
      </c>
      <c r="D3385" s="1" t="s">
        <v>394</v>
      </c>
      <c r="E3385" t="s">
        <v>6656</v>
      </c>
      <c r="F3385" s="1">
        <v>486662</v>
      </c>
      <c r="G3385" s="1">
        <v>1116611440</v>
      </c>
      <c r="H3385" s="1">
        <v>12</v>
      </c>
      <c r="I3385" s="1" t="s">
        <v>6689</v>
      </c>
      <c r="J3385" t="s">
        <v>6688</v>
      </c>
    </row>
    <row r="3386" spans="1:10">
      <c r="A3386" s="1">
        <v>114827</v>
      </c>
      <c r="B3386" s="1">
        <v>76172005620</v>
      </c>
      <c r="C3386" s="1">
        <v>12</v>
      </c>
      <c r="D3386" s="1" t="s">
        <v>1191</v>
      </c>
      <c r="E3386" t="s">
        <v>6657</v>
      </c>
      <c r="F3386" s="1">
        <v>476903</v>
      </c>
      <c r="G3386" s="1">
        <v>1116612894</v>
      </c>
      <c r="H3386" s="1">
        <v>12</v>
      </c>
      <c r="I3386" s="1" t="s">
        <v>6614</v>
      </c>
      <c r="J3386" t="s">
        <v>6690</v>
      </c>
    </row>
    <row r="3387" spans="1:10">
      <c r="A3387" s="1">
        <v>114066</v>
      </c>
      <c r="B3387" s="1">
        <v>76172005640</v>
      </c>
      <c r="C3387" s="1">
        <v>12</v>
      </c>
      <c r="D3387" s="1" t="s">
        <v>2557</v>
      </c>
      <c r="E3387" t="s">
        <v>6657</v>
      </c>
      <c r="F3387" s="1">
        <v>111708</v>
      </c>
      <c r="G3387" s="1">
        <v>1116611170</v>
      </c>
      <c r="H3387" s="1">
        <v>4</v>
      </c>
      <c r="I3387" s="1" t="s">
        <v>1188</v>
      </c>
      <c r="J3387" t="s">
        <v>6691</v>
      </c>
    </row>
    <row r="3388" spans="1:10">
      <c r="A3388" s="1">
        <v>115808</v>
      </c>
      <c r="B3388" s="1">
        <v>76172005902</v>
      </c>
      <c r="C3388" s="1">
        <v>12</v>
      </c>
      <c r="D3388" s="1" t="s">
        <v>1200</v>
      </c>
      <c r="E3388" t="s">
        <v>6658</v>
      </c>
      <c r="F3388" s="1">
        <v>111625</v>
      </c>
      <c r="G3388" s="1">
        <v>1116611162</v>
      </c>
      <c r="H3388" s="1">
        <v>12</v>
      </c>
      <c r="I3388" s="1" t="s">
        <v>2557</v>
      </c>
      <c r="J3388" t="s">
        <v>6692</v>
      </c>
    </row>
    <row r="3389" spans="1:10">
      <c r="A3389" s="1">
        <v>260604</v>
      </c>
      <c r="B3389" s="1">
        <v>6414403385</v>
      </c>
      <c r="C3389" s="1">
        <v>12</v>
      </c>
      <c r="D3389" s="1" t="s">
        <v>394</v>
      </c>
      <c r="E3389" t="s">
        <v>6659</v>
      </c>
      <c r="F3389" s="1">
        <v>114504</v>
      </c>
      <c r="G3389" s="1">
        <v>1116611453</v>
      </c>
      <c r="H3389" s="1">
        <v>4</v>
      </c>
      <c r="I3389" s="1" t="s">
        <v>1188</v>
      </c>
      <c r="J3389" t="s">
        <v>6693</v>
      </c>
    </row>
    <row r="3390" spans="1:10">
      <c r="A3390" s="1">
        <v>118760</v>
      </c>
      <c r="B3390" s="1">
        <v>6414403064</v>
      </c>
      <c r="C3390" s="1">
        <v>12</v>
      </c>
      <c r="D3390" s="1" t="s">
        <v>394</v>
      </c>
      <c r="E3390" t="s">
        <v>6660</v>
      </c>
      <c r="F3390" s="1">
        <v>114488</v>
      </c>
      <c r="G3390" s="1">
        <v>1116611448</v>
      </c>
      <c r="H3390" s="1">
        <v>24</v>
      </c>
      <c r="I3390" s="1" t="s">
        <v>1191</v>
      </c>
      <c r="J3390" t="s">
        <v>6693</v>
      </c>
    </row>
    <row r="3391" spans="1:10">
      <c r="A3391" s="1">
        <v>449504</v>
      </c>
      <c r="B3391" s="1">
        <v>6414403003</v>
      </c>
      <c r="C3391" s="1">
        <v>12</v>
      </c>
      <c r="D3391" s="1" t="s">
        <v>394</v>
      </c>
      <c r="E3391" t="s">
        <v>6661</v>
      </c>
      <c r="F3391" s="1">
        <v>111617</v>
      </c>
      <c r="G3391" s="1">
        <v>1116611161</v>
      </c>
      <c r="H3391" s="1">
        <v>12</v>
      </c>
      <c r="I3391" s="1" t="s">
        <v>2557</v>
      </c>
      <c r="J3391" t="s">
        <v>6693</v>
      </c>
    </row>
    <row r="3392" spans="1:10">
      <c r="A3392" s="1">
        <v>477448</v>
      </c>
      <c r="B3392" s="1">
        <v>6414403017</v>
      </c>
      <c r="C3392" s="1">
        <v>12</v>
      </c>
      <c r="D3392" s="1" t="s">
        <v>394</v>
      </c>
      <c r="E3392" t="s">
        <v>6662</v>
      </c>
      <c r="F3392" s="1">
        <v>111757</v>
      </c>
      <c r="G3392" s="1">
        <v>1116611175</v>
      </c>
      <c r="H3392" s="1">
        <v>12</v>
      </c>
      <c r="I3392" s="1" t="s">
        <v>1189</v>
      </c>
      <c r="J3392" t="s">
        <v>6693</v>
      </c>
    </row>
    <row r="3393" spans="1:10">
      <c r="A3393" s="1">
        <v>115030</v>
      </c>
      <c r="B3393" s="1">
        <v>6414403031</v>
      </c>
      <c r="C3393" s="1">
        <v>12</v>
      </c>
      <c r="D3393" s="1" t="s">
        <v>399</v>
      </c>
      <c r="E3393" t="s">
        <v>6663</v>
      </c>
      <c r="F3393" s="1">
        <v>114496</v>
      </c>
      <c r="G3393" s="1">
        <v>1116611449</v>
      </c>
      <c r="H3393" s="1">
        <v>9</v>
      </c>
      <c r="I3393" s="1" t="s">
        <v>1200</v>
      </c>
      <c r="J3393" t="s">
        <v>6693</v>
      </c>
    </row>
    <row r="3394" spans="1:10">
      <c r="A3394" s="1">
        <v>117929</v>
      </c>
      <c r="B3394" s="1">
        <v>6414403316</v>
      </c>
      <c r="C3394" s="1">
        <v>12</v>
      </c>
      <c r="D3394" s="1" t="s">
        <v>394</v>
      </c>
      <c r="E3394" t="s">
        <v>6664</v>
      </c>
      <c r="F3394" s="1">
        <v>114512</v>
      </c>
      <c r="G3394" s="1">
        <v>1116611795</v>
      </c>
      <c r="H3394" s="1">
        <v>9</v>
      </c>
      <c r="I3394" s="1" t="s">
        <v>2496</v>
      </c>
      <c r="J3394" t="s">
        <v>6693</v>
      </c>
    </row>
    <row r="3395" spans="1:10">
      <c r="A3395" s="1">
        <v>115006</v>
      </c>
      <c r="B3395" s="1">
        <v>6414403021</v>
      </c>
      <c r="C3395" s="1">
        <v>12</v>
      </c>
      <c r="D3395" s="1" t="s">
        <v>404</v>
      </c>
      <c r="E3395" t="s">
        <v>6665</v>
      </c>
      <c r="F3395" s="1">
        <v>17699</v>
      </c>
      <c r="G3395" s="1">
        <v>4113030061</v>
      </c>
      <c r="H3395" s="1">
        <v>4</v>
      </c>
      <c r="I3395" s="1" t="s">
        <v>1188</v>
      </c>
      <c r="J3395" t="s">
        <v>6694</v>
      </c>
    </row>
    <row r="3396" spans="1:10">
      <c r="A3396" s="1">
        <v>117598</v>
      </c>
      <c r="B3396" s="1">
        <v>6414403009</v>
      </c>
      <c r="C3396" s="1">
        <v>12</v>
      </c>
      <c r="D3396" s="1" t="s">
        <v>394</v>
      </c>
      <c r="E3396" t="s">
        <v>6666</v>
      </c>
      <c r="F3396" s="1">
        <v>227116</v>
      </c>
      <c r="G3396" s="1">
        <v>4113030060</v>
      </c>
      <c r="H3396" s="1">
        <v>9</v>
      </c>
      <c r="I3396" s="1" t="s">
        <v>1200</v>
      </c>
      <c r="J3396" t="s">
        <v>6694</v>
      </c>
    </row>
    <row r="3397" spans="1:10">
      <c r="A3397" s="1">
        <v>234187</v>
      </c>
      <c r="B3397" s="1">
        <v>85736100012</v>
      </c>
      <c r="C3397" s="1">
        <v>12</v>
      </c>
      <c r="D3397" s="1" t="s">
        <v>6614</v>
      </c>
      <c r="E3397" t="s">
        <v>6667</v>
      </c>
      <c r="F3397" s="1">
        <v>24737</v>
      </c>
      <c r="G3397" s="1">
        <v>3377609500</v>
      </c>
      <c r="H3397" s="1">
        <v>12</v>
      </c>
      <c r="I3397" s="1" t="s">
        <v>2557</v>
      </c>
      <c r="J3397" t="s">
        <v>6695</v>
      </c>
    </row>
    <row r="3398" spans="1:10">
      <c r="A3398" s="1">
        <v>114983</v>
      </c>
      <c r="B3398" s="1">
        <v>2900007827</v>
      </c>
      <c r="C3398" s="1">
        <v>12</v>
      </c>
      <c r="D3398" s="1" t="s">
        <v>2557</v>
      </c>
      <c r="E3398" t="s">
        <v>6668</v>
      </c>
      <c r="F3398" s="1">
        <v>347492</v>
      </c>
      <c r="G3398" s="1">
        <v>76172098360</v>
      </c>
      <c r="H3398" s="1">
        <v>12</v>
      </c>
      <c r="I3398" s="1" t="s">
        <v>404</v>
      </c>
      <c r="J3398" t="s">
        <v>6696</v>
      </c>
    </row>
    <row r="3399" spans="1:10">
      <c r="A3399" s="1">
        <v>114306</v>
      </c>
      <c r="B3399" s="1">
        <v>7040400025</v>
      </c>
      <c r="C3399" s="1">
        <v>12</v>
      </c>
      <c r="D3399" s="1" t="s">
        <v>1191</v>
      </c>
      <c r="E3399" t="s">
        <v>6669</v>
      </c>
      <c r="F3399" s="1">
        <v>660365</v>
      </c>
      <c r="G3399" s="1">
        <v>2700069386</v>
      </c>
      <c r="H3399" s="1">
        <v>9</v>
      </c>
      <c r="I3399" s="1" t="s">
        <v>1200</v>
      </c>
      <c r="J3399" t="s">
        <v>6697</v>
      </c>
    </row>
    <row r="3400" spans="1:10">
      <c r="A3400" s="1">
        <v>216945</v>
      </c>
      <c r="B3400" s="1">
        <v>7040400248</v>
      </c>
      <c r="C3400" s="1">
        <v>6</v>
      </c>
      <c r="D3400" s="1" t="s">
        <v>1200</v>
      </c>
      <c r="E3400" t="s">
        <v>6670</v>
      </c>
      <c r="F3400" s="1">
        <v>337360</v>
      </c>
      <c r="G3400" s="1">
        <v>2700069026</v>
      </c>
      <c r="H3400" s="1">
        <v>12</v>
      </c>
      <c r="I3400" s="1" t="s">
        <v>2557</v>
      </c>
      <c r="J3400" t="s">
        <v>6698</v>
      </c>
    </row>
    <row r="3401" spans="1:10">
      <c r="A3401" s="1">
        <v>144964</v>
      </c>
      <c r="B3401" s="1">
        <v>7040400010</v>
      </c>
      <c r="C3401" s="1">
        <v>6</v>
      </c>
      <c r="D3401" s="1" t="s">
        <v>1189</v>
      </c>
      <c r="E3401" t="s">
        <v>6671</v>
      </c>
      <c r="F3401" s="1">
        <v>302935</v>
      </c>
      <c r="G3401" s="1">
        <v>2700069086</v>
      </c>
      <c r="H3401" s="1">
        <v>9</v>
      </c>
      <c r="I3401" s="1" t="s">
        <v>1200</v>
      </c>
      <c r="J3401" t="s">
        <v>6699</v>
      </c>
    </row>
    <row r="3402" spans="1:10">
      <c r="A3402" s="1">
        <v>114439</v>
      </c>
      <c r="B3402" s="1">
        <v>7040400008</v>
      </c>
      <c r="C3402" s="1">
        <v>12</v>
      </c>
      <c r="D3402" s="1" t="s">
        <v>1191</v>
      </c>
      <c r="E3402" t="s">
        <v>6672</v>
      </c>
      <c r="F3402" s="1">
        <v>409771</v>
      </c>
      <c r="G3402" s="1">
        <v>2700065086</v>
      </c>
      <c r="H3402" s="1">
        <v>9</v>
      </c>
      <c r="I3402" s="1" t="s">
        <v>1200</v>
      </c>
      <c r="J3402" t="s">
        <v>6700</v>
      </c>
    </row>
    <row r="3403" spans="1:10">
      <c r="A3403" s="1">
        <v>114421</v>
      </c>
      <c r="B3403" s="1">
        <v>7040400005</v>
      </c>
      <c r="C3403" s="1">
        <v>12</v>
      </c>
      <c r="D3403" s="1" t="s">
        <v>1197</v>
      </c>
      <c r="E3403" t="s">
        <v>6672</v>
      </c>
      <c r="F3403" s="1">
        <v>626879</v>
      </c>
      <c r="G3403" s="1">
        <v>2700061226</v>
      </c>
      <c r="H3403" s="1">
        <v>12</v>
      </c>
      <c r="I3403" s="1" t="s">
        <v>2557</v>
      </c>
      <c r="J3403" t="s">
        <v>6701</v>
      </c>
    </row>
    <row r="3404" spans="1:10" ht="15.75">
      <c r="A3404" s="4" t="s">
        <v>10787</v>
      </c>
      <c r="B3404" s="2"/>
      <c r="C3404" s="2"/>
      <c r="D3404" s="2"/>
      <c r="E3404" s="3"/>
      <c r="F3404" s="4" t="s">
        <v>10789</v>
      </c>
      <c r="G3404" s="2"/>
      <c r="H3404" s="2"/>
      <c r="I3404" s="2"/>
      <c r="J3404" s="3"/>
    </row>
    <row r="3405" spans="1:10">
      <c r="A3405" s="2" t="s">
        <v>0</v>
      </c>
      <c r="B3405" s="2" t="s">
        <v>1</v>
      </c>
      <c r="C3405" s="2" t="s">
        <v>2</v>
      </c>
      <c r="D3405" s="2" t="s">
        <v>3</v>
      </c>
      <c r="E3405" s="3" t="s">
        <v>4</v>
      </c>
      <c r="F3405" s="2" t="s">
        <v>0</v>
      </c>
      <c r="G3405" s="2" t="s">
        <v>1</v>
      </c>
      <c r="H3405" s="2" t="s">
        <v>2</v>
      </c>
      <c r="I3405" s="2" t="s">
        <v>3</v>
      </c>
      <c r="J3405" s="3" t="s">
        <v>4</v>
      </c>
    </row>
    <row r="3406" spans="1:10">
      <c r="A3406" s="1">
        <v>307124</v>
      </c>
      <c r="B3406" s="1">
        <v>2700061286</v>
      </c>
      <c r="C3406" s="1">
        <v>9</v>
      </c>
      <c r="D3406" s="1" t="s">
        <v>1200</v>
      </c>
      <c r="E3406" t="s">
        <v>6702</v>
      </c>
      <c r="F3406" s="1">
        <v>81554</v>
      </c>
      <c r="G3406" s="1">
        <v>2951920608</v>
      </c>
      <c r="H3406" s="1">
        <v>1</v>
      </c>
      <c r="I3406" s="1" t="s">
        <v>6741</v>
      </c>
      <c r="J3406" t="s">
        <v>6743</v>
      </c>
    </row>
    <row r="3407" spans="1:10">
      <c r="A3407" s="1">
        <v>787606</v>
      </c>
      <c r="B3407" s="1">
        <v>2700061232</v>
      </c>
      <c r="C3407" s="1">
        <v>4</v>
      </c>
      <c r="D3407" s="1" t="s">
        <v>2258</v>
      </c>
      <c r="E3407" t="s">
        <v>6703</v>
      </c>
      <c r="F3407" s="1">
        <v>225300</v>
      </c>
      <c r="G3407" s="1">
        <v>2951902549</v>
      </c>
      <c r="H3407" s="1">
        <v>1</v>
      </c>
      <c r="I3407" s="1" t="s">
        <v>6744</v>
      </c>
      <c r="J3407" t="s">
        <v>6745</v>
      </c>
    </row>
    <row r="3408" spans="1:10">
      <c r="A3408" s="1">
        <v>485862</v>
      </c>
      <c r="B3408" s="1">
        <v>2700061284</v>
      </c>
      <c r="C3408" s="1">
        <v>9</v>
      </c>
      <c r="D3408" s="1" t="s">
        <v>2496</v>
      </c>
      <c r="E3408" t="s">
        <v>6703</v>
      </c>
      <c r="F3408" s="1">
        <v>224998</v>
      </c>
      <c r="G3408" s="1">
        <v>2951902111</v>
      </c>
      <c r="H3408" s="1">
        <v>1</v>
      </c>
      <c r="I3408" s="1" t="s">
        <v>6727</v>
      </c>
      <c r="J3408" t="s">
        <v>6746</v>
      </c>
    </row>
    <row r="3409" spans="1:10" ht="15.75">
      <c r="A3409" s="4" t="s">
        <v>10788</v>
      </c>
      <c r="B3409" s="2"/>
      <c r="C3409" s="2"/>
      <c r="D3409" s="2"/>
      <c r="E3409" s="3"/>
      <c r="F3409" s="1">
        <v>425447</v>
      </c>
      <c r="G3409" s="1">
        <v>2951971097</v>
      </c>
      <c r="H3409" s="1">
        <v>1</v>
      </c>
      <c r="I3409" s="1" t="s">
        <v>6727</v>
      </c>
      <c r="J3409" t="s">
        <v>6747</v>
      </c>
    </row>
    <row r="3410" spans="1:10">
      <c r="A3410" s="2" t="s">
        <v>0</v>
      </c>
      <c r="B3410" s="2" t="s">
        <v>1</v>
      </c>
      <c r="C3410" s="2" t="s">
        <v>2</v>
      </c>
      <c r="D3410" s="2" t="s">
        <v>3</v>
      </c>
      <c r="E3410" s="3" t="s">
        <v>4</v>
      </c>
      <c r="F3410" s="1">
        <v>237305</v>
      </c>
      <c r="G3410" s="1">
        <v>2951904564</v>
      </c>
      <c r="H3410" s="1">
        <v>1</v>
      </c>
      <c r="I3410" s="1" t="s">
        <v>4719</v>
      </c>
      <c r="J3410" t="s">
        <v>6748</v>
      </c>
    </row>
    <row r="3411" spans="1:10">
      <c r="A3411" s="1">
        <v>442012</v>
      </c>
      <c r="B3411" s="1">
        <v>70897111847</v>
      </c>
      <c r="C3411" s="1">
        <v>12</v>
      </c>
      <c r="D3411" s="1" t="s">
        <v>910</v>
      </c>
      <c r="E3411" t="s">
        <v>6704</v>
      </c>
      <c r="F3411" s="1">
        <v>81042</v>
      </c>
      <c r="G3411" s="1">
        <v>2951902652</v>
      </c>
      <c r="H3411" s="1">
        <v>1</v>
      </c>
      <c r="I3411" s="1" t="s">
        <v>6741</v>
      </c>
      <c r="J3411" t="s">
        <v>6749</v>
      </c>
    </row>
    <row r="3412" spans="1:10">
      <c r="A3412" s="1">
        <v>182634</v>
      </c>
      <c r="B3412" s="1">
        <v>2169800706</v>
      </c>
      <c r="C3412" s="1">
        <v>120</v>
      </c>
      <c r="D3412" s="1" t="s">
        <v>15</v>
      </c>
      <c r="E3412" t="s">
        <v>6705</v>
      </c>
      <c r="F3412" s="1">
        <v>424341</v>
      </c>
      <c r="G3412" s="1">
        <v>7611417562</v>
      </c>
      <c r="H3412" s="1">
        <v>1</v>
      </c>
      <c r="I3412" s="1" t="s">
        <v>6597</v>
      </c>
      <c r="J3412" t="s">
        <v>6750</v>
      </c>
    </row>
    <row r="3413" spans="1:10">
      <c r="A3413" s="1">
        <v>481788</v>
      </c>
      <c r="B3413" s="1">
        <v>70897111894</v>
      </c>
      <c r="C3413" s="1">
        <v>12</v>
      </c>
      <c r="D3413" s="1" t="s">
        <v>910</v>
      </c>
      <c r="E3413" t="s">
        <v>6706</v>
      </c>
      <c r="F3413" s="1">
        <v>277640</v>
      </c>
      <c r="G3413" s="1">
        <v>2951906061</v>
      </c>
      <c r="H3413" s="1">
        <v>1</v>
      </c>
      <c r="I3413" s="1" t="s">
        <v>6751</v>
      </c>
      <c r="J3413" t="s">
        <v>6752</v>
      </c>
    </row>
    <row r="3414" spans="1:10">
      <c r="A3414" s="1">
        <v>215582</v>
      </c>
      <c r="B3414" s="1">
        <v>70897190943</v>
      </c>
      <c r="C3414" s="1">
        <v>15</v>
      </c>
      <c r="D3414" s="1" t="s">
        <v>14</v>
      </c>
      <c r="E3414" t="s">
        <v>6707</v>
      </c>
      <c r="F3414" s="1">
        <v>74559</v>
      </c>
      <c r="G3414" s="1">
        <v>2951912000</v>
      </c>
      <c r="H3414" s="1">
        <v>1</v>
      </c>
      <c r="I3414" s="1" t="s">
        <v>6727</v>
      </c>
      <c r="J3414" t="s">
        <v>6753</v>
      </c>
    </row>
    <row r="3415" spans="1:10">
      <c r="A3415" s="1">
        <v>439968</v>
      </c>
      <c r="B3415" s="1">
        <v>70897141871</v>
      </c>
      <c r="C3415" s="1">
        <v>12</v>
      </c>
      <c r="D3415" s="1" t="s">
        <v>347</v>
      </c>
      <c r="E3415" t="s">
        <v>6708</v>
      </c>
      <c r="F3415" s="1">
        <v>773861</v>
      </c>
      <c r="G3415" s="1">
        <v>2951900000</v>
      </c>
      <c r="H3415" s="1">
        <v>1</v>
      </c>
      <c r="I3415" s="1" t="s">
        <v>6754</v>
      </c>
      <c r="J3415" t="s">
        <v>6755</v>
      </c>
    </row>
    <row r="3416" spans="1:10">
      <c r="A3416" s="1">
        <v>863456</v>
      </c>
      <c r="B3416" s="1">
        <v>70897100000</v>
      </c>
      <c r="C3416" s="1">
        <v>24</v>
      </c>
      <c r="D3416" s="1" t="s">
        <v>347</v>
      </c>
      <c r="E3416" t="s">
        <v>6709</v>
      </c>
      <c r="F3416" s="1">
        <v>225326</v>
      </c>
      <c r="G3416" s="1">
        <v>2951921225</v>
      </c>
      <c r="H3416" s="1">
        <v>1</v>
      </c>
      <c r="I3416" s="1" t="s">
        <v>6600</v>
      </c>
      <c r="J3416" t="s">
        <v>6756</v>
      </c>
    </row>
    <row r="3417" spans="1:10">
      <c r="A3417" s="1">
        <v>591883</v>
      </c>
      <c r="B3417" s="1">
        <v>70897111891</v>
      </c>
      <c r="C3417" s="1">
        <v>12</v>
      </c>
      <c r="D3417" s="1" t="s">
        <v>910</v>
      </c>
      <c r="E3417" t="s">
        <v>6710</v>
      </c>
      <c r="F3417" s="1">
        <v>74450</v>
      </c>
      <c r="G3417" s="1">
        <v>2951920695</v>
      </c>
      <c r="H3417" s="1">
        <v>1</v>
      </c>
      <c r="I3417" s="1" t="s">
        <v>4652</v>
      </c>
      <c r="J3417" t="s">
        <v>6757</v>
      </c>
    </row>
    <row r="3418" spans="1:10">
      <c r="A3418" s="1">
        <v>542951</v>
      </c>
      <c r="B3418" s="1">
        <v>70897190652</v>
      </c>
      <c r="C3418" s="1">
        <v>18</v>
      </c>
      <c r="D3418" s="1" t="s">
        <v>434</v>
      </c>
      <c r="E3418" t="s">
        <v>6711</v>
      </c>
      <c r="F3418" s="1">
        <v>280958</v>
      </c>
      <c r="G3418" s="1">
        <v>2951900000</v>
      </c>
      <c r="H3418" s="1">
        <v>1</v>
      </c>
      <c r="I3418" s="1" t="s">
        <v>6754</v>
      </c>
      <c r="J3418" t="s">
        <v>6758</v>
      </c>
    </row>
    <row r="3419" spans="1:10">
      <c r="A3419" s="1">
        <v>181099</v>
      </c>
      <c r="B3419" s="1">
        <v>2169802005</v>
      </c>
      <c r="C3419" s="1">
        <v>24</v>
      </c>
      <c r="D3419" s="1" t="s">
        <v>489</v>
      </c>
      <c r="E3419" t="s">
        <v>6712</v>
      </c>
      <c r="F3419" s="1">
        <v>734582</v>
      </c>
      <c r="G3419" s="1">
        <v>3</v>
      </c>
      <c r="H3419" s="1">
        <v>1</v>
      </c>
      <c r="I3419" s="1" t="s">
        <v>6727</v>
      </c>
      <c r="J3419" t="s">
        <v>6759</v>
      </c>
    </row>
    <row r="3420" spans="1:10">
      <c r="A3420" s="1">
        <v>476598</v>
      </c>
      <c r="B3420" s="1">
        <v>70897111898</v>
      </c>
      <c r="C3420" s="1">
        <v>12</v>
      </c>
      <c r="D3420" s="1" t="s">
        <v>910</v>
      </c>
      <c r="E3420" t="s">
        <v>6713</v>
      </c>
      <c r="F3420" s="1">
        <v>225037</v>
      </c>
      <c r="G3420" s="1">
        <v>2951903272</v>
      </c>
      <c r="H3420" s="1">
        <v>1</v>
      </c>
      <c r="I3420" s="1" t="s">
        <v>6760</v>
      </c>
      <c r="J3420" t="s">
        <v>6761</v>
      </c>
    </row>
    <row r="3421" spans="1:10">
      <c r="A3421" s="1">
        <v>507434</v>
      </c>
      <c r="B3421" s="1">
        <v>70897190534</v>
      </c>
      <c r="C3421" s="1">
        <v>12</v>
      </c>
      <c r="D3421" s="1" t="s">
        <v>910</v>
      </c>
      <c r="E3421" t="s">
        <v>6714</v>
      </c>
      <c r="F3421" s="1">
        <v>427419</v>
      </c>
      <c r="G3421" s="1">
        <v>1752117521</v>
      </c>
      <c r="H3421" s="1">
        <v>1</v>
      </c>
      <c r="I3421" s="1" t="s">
        <v>4719</v>
      </c>
      <c r="J3421" t="s">
        <v>6762</v>
      </c>
    </row>
    <row r="3422" spans="1:10">
      <c r="A3422" s="1">
        <v>25122</v>
      </c>
      <c r="B3422" s="1">
        <v>70897190659</v>
      </c>
      <c r="C3422" s="1">
        <v>15</v>
      </c>
      <c r="D3422" s="1" t="s">
        <v>347</v>
      </c>
      <c r="E3422" t="s">
        <v>6715</v>
      </c>
      <c r="F3422" s="1">
        <v>286161</v>
      </c>
      <c r="G3422" s="1">
        <v>7611400000</v>
      </c>
      <c r="H3422" s="1">
        <v>1</v>
      </c>
      <c r="I3422" s="1" t="s">
        <v>1973</v>
      </c>
      <c r="J3422" t="s">
        <v>6763</v>
      </c>
    </row>
    <row r="3423" spans="1:10">
      <c r="A3423" s="1">
        <v>509315</v>
      </c>
      <c r="B3423" s="1">
        <v>70897190630</v>
      </c>
      <c r="C3423" s="1">
        <v>15</v>
      </c>
      <c r="D3423" s="1" t="s">
        <v>363</v>
      </c>
      <c r="E3423" t="s">
        <v>6716</v>
      </c>
      <c r="F3423" s="1">
        <v>345439</v>
      </c>
      <c r="G3423" s="1">
        <v>2951900000</v>
      </c>
      <c r="H3423" s="1">
        <v>1</v>
      </c>
      <c r="I3423" s="1" t="s">
        <v>6754</v>
      </c>
      <c r="J3423" t="s">
        <v>6764</v>
      </c>
    </row>
    <row r="3424" spans="1:10">
      <c r="A3424" s="1">
        <v>589473</v>
      </c>
      <c r="B3424" s="1">
        <v>70897190759</v>
      </c>
      <c r="C3424" s="1">
        <v>12</v>
      </c>
      <c r="D3424" s="1" t="s">
        <v>439</v>
      </c>
      <c r="E3424" t="s">
        <v>6717</v>
      </c>
      <c r="F3424" s="1">
        <v>418335</v>
      </c>
      <c r="G3424" s="1">
        <v>2951900000</v>
      </c>
      <c r="H3424" s="1">
        <v>1</v>
      </c>
      <c r="I3424" s="1" t="s">
        <v>6754</v>
      </c>
      <c r="J3424" t="s">
        <v>6765</v>
      </c>
    </row>
    <row r="3425" spans="1:10">
      <c r="A3425" s="1">
        <v>481408</v>
      </c>
      <c r="B3425" s="1">
        <v>70897190760</v>
      </c>
      <c r="C3425" s="1">
        <v>18</v>
      </c>
      <c r="D3425" s="1" t="s">
        <v>347</v>
      </c>
      <c r="E3425" t="s">
        <v>6718</v>
      </c>
      <c r="F3425" s="1">
        <v>782474</v>
      </c>
      <c r="G3425" s="1">
        <v>21</v>
      </c>
      <c r="H3425" s="1">
        <v>1</v>
      </c>
      <c r="I3425" s="1" t="s">
        <v>6727</v>
      </c>
      <c r="J3425" t="s">
        <v>6766</v>
      </c>
    </row>
    <row r="3426" spans="1:10">
      <c r="A3426" s="1">
        <v>53355</v>
      </c>
      <c r="B3426" s="1">
        <v>2169800440</v>
      </c>
      <c r="C3426" s="1">
        <v>1</v>
      </c>
      <c r="D3426" s="1" t="s">
        <v>6719</v>
      </c>
      <c r="E3426" t="s">
        <v>6720</v>
      </c>
      <c r="F3426" s="1">
        <v>367045</v>
      </c>
      <c r="G3426" s="1">
        <v>2951900000</v>
      </c>
      <c r="H3426" s="1">
        <v>1</v>
      </c>
      <c r="I3426" s="1" t="s">
        <v>6754</v>
      </c>
      <c r="J3426" t="s">
        <v>6767</v>
      </c>
    </row>
    <row r="3427" spans="1:10">
      <c r="A3427" s="1">
        <v>10777</v>
      </c>
      <c r="B3427" s="1">
        <v>897190759</v>
      </c>
      <c r="C3427" s="1">
        <v>12</v>
      </c>
      <c r="D3427" s="1" t="s">
        <v>439</v>
      </c>
      <c r="E3427" t="s">
        <v>6721</v>
      </c>
      <c r="F3427" s="1">
        <v>425199</v>
      </c>
      <c r="G3427" s="1">
        <v>7611417620</v>
      </c>
      <c r="H3427" s="1">
        <v>1</v>
      </c>
      <c r="I3427" s="1" t="s">
        <v>6597</v>
      </c>
      <c r="J3427" t="s">
        <v>6768</v>
      </c>
    </row>
    <row r="3428" spans="1:10">
      <c r="A3428" s="1">
        <v>454637</v>
      </c>
      <c r="B3428" s="1">
        <v>897111895</v>
      </c>
      <c r="C3428" s="1">
        <v>12</v>
      </c>
      <c r="D3428" s="1" t="s">
        <v>910</v>
      </c>
      <c r="E3428" t="s">
        <v>6722</v>
      </c>
      <c r="F3428" s="1">
        <v>424325</v>
      </c>
      <c r="G3428" s="1">
        <v>7611417596</v>
      </c>
      <c r="H3428" s="1">
        <v>1</v>
      </c>
      <c r="I3428" s="1" t="s">
        <v>6597</v>
      </c>
      <c r="J3428" t="s">
        <v>6769</v>
      </c>
    </row>
    <row r="3429" spans="1:10">
      <c r="A3429" s="1">
        <v>482224</v>
      </c>
      <c r="B3429" s="1">
        <v>70897119893</v>
      </c>
      <c r="C3429" s="1">
        <v>8</v>
      </c>
      <c r="D3429" s="1" t="s">
        <v>6723</v>
      </c>
      <c r="E3429" t="s">
        <v>6724</v>
      </c>
      <c r="F3429" s="1">
        <v>381400</v>
      </c>
      <c r="G3429" s="1">
        <v>2951900000</v>
      </c>
      <c r="H3429" s="1">
        <v>1</v>
      </c>
      <c r="I3429" s="1" t="s">
        <v>6754</v>
      </c>
      <c r="J3429" t="s">
        <v>6770</v>
      </c>
    </row>
    <row r="3430" spans="1:10">
      <c r="A3430" s="1">
        <v>815068</v>
      </c>
      <c r="B3430" s="1">
        <v>4113006949</v>
      </c>
      <c r="C3430" s="1">
        <v>6</v>
      </c>
      <c r="D3430" s="1" t="s">
        <v>1451</v>
      </c>
      <c r="E3430" t="s">
        <v>6725</v>
      </c>
      <c r="F3430" s="1">
        <v>426072</v>
      </c>
      <c r="G3430" s="1">
        <v>2951902679</v>
      </c>
      <c r="H3430" s="1">
        <v>1</v>
      </c>
      <c r="I3430" s="1" t="s">
        <v>4719</v>
      </c>
      <c r="J3430" t="s">
        <v>6771</v>
      </c>
    </row>
    <row r="3431" spans="1:10">
      <c r="A3431" s="1">
        <v>560334</v>
      </c>
      <c r="B3431" s="1">
        <v>2670079518</v>
      </c>
      <c r="C3431" s="1">
        <v>6</v>
      </c>
      <c r="D3431" s="1" t="s">
        <v>1451</v>
      </c>
      <c r="E3431" t="s">
        <v>6726</v>
      </c>
      <c r="F3431" s="1">
        <v>109785</v>
      </c>
      <c r="G3431" s="1">
        <v>2951920615</v>
      </c>
      <c r="H3431" s="1">
        <v>1</v>
      </c>
      <c r="I3431" s="1" t="s">
        <v>6772</v>
      </c>
      <c r="J3431" t="s">
        <v>6773</v>
      </c>
    </row>
    <row r="3432" spans="1:10" ht="15.75">
      <c r="A3432" s="4" t="s">
        <v>10789</v>
      </c>
      <c r="B3432" s="2"/>
      <c r="C3432" s="2"/>
      <c r="D3432" s="2"/>
      <c r="E3432" s="3"/>
      <c r="F3432" s="1">
        <v>225292</v>
      </c>
      <c r="G3432" s="1">
        <v>2951900716</v>
      </c>
      <c r="H3432" s="1">
        <v>1</v>
      </c>
      <c r="I3432" s="1" t="s">
        <v>6774</v>
      </c>
      <c r="J3432" t="s">
        <v>6775</v>
      </c>
    </row>
    <row r="3433" spans="1:10">
      <c r="A3433" s="2" t="s">
        <v>0</v>
      </c>
      <c r="B3433" s="2" t="s">
        <v>1</v>
      </c>
      <c r="C3433" s="2" t="s">
        <v>2</v>
      </c>
      <c r="D3433" s="2" t="s">
        <v>3</v>
      </c>
      <c r="E3433" s="3" t="s">
        <v>4</v>
      </c>
      <c r="F3433" s="1">
        <v>74435</v>
      </c>
      <c r="G3433" s="1">
        <v>2951902068</v>
      </c>
      <c r="H3433" s="1">
        <v>1</v>
      </c>
      <c r="I3433" s="1" t="s">
        <v>6744</v>
      </c>
      <c r="J3433" t="s">
        <v>6776</v>
      </c>
    </row>
    <row r="3434" spans="1:10">
      <c r="A3434" s="1">
        <v>191627</v>
      </c>
      <c r="B3434" s="1">
        <v>29250</v>
      </c>
      <c r="C3434" s="1">
        <v>1</v>
      </c>
      <c r="D3434" s="1" t="s">
        <v>6727</v>
      </c>
      <c r="E3434" t="s">
        <v>6728</v>
      </c>
      <c r="F3434" s="1">
        <v>81315</v>
      </c>
      <c r="G3434" s="1">
        <v>2951920602</v>
      </c>
      <c r="H3434" s="1">
        <v>1</v>
      </c>
      <c r="I3434" s="1" t="s">
        <v>6741</v>
      </c>
      <c r="J3434" t="s">
        <v>6777</v>
      </c>
    </row>
    <row r="3435" spans="1:10">
      <c r="A3435" s="1">
        <v>83758</v>
      </c>
      <c r="B3435" s="1">
        <v>2951903690</v>
      </c>
      <c r="C3435" s="1">
        <v>1</v>
      </c>
      <c r="D3435" s="1" t="s">
        <v>6729</v>
      </c>
      <c r="E3435" t="s">
        <v>6730</v>
      </c>
      <c r="F3435" s="1">
        <v>277574</v>
      </c>
      <c r="G3435" s="1">
        <v>2951904301</v>
      </c>
      <c r="H3435" s="1">
        <v>1</v>
      </c>
      <c r="I3435" s="1" t="s">
        <v>6751</v>
      </c>
      <c r="J3435" t="s">
        <v>6778</v>
      </c>
    </row>
    <row r="3436" spans="1:10">
      <c r="A3436" s="1">
        <v>81489</v>
      </c>
      <c r="B3436" s="1">
        <v>2951903709</v>
      </c>
      <c r="C3436" s="1">
        <v>1</v>
      </c>
      <c r="D3436" s="1" t="s">
        <v>6729</v>
      </c>
      <c r="E3436" t="s">
        <v>6731</v>
      </c>
      <c r="F3436" s="1">
        <v>81307</v>
      </c>
      <c r="G3436" s="1">
        <v>2951924006</v>
      </c>
      <c r="H3436" s="1">
        <v>1</v>
      </c>
      <c r="I3436" s="1" t="s">
        <v>6744</v>
      </c>
      <c r="J3436" t="s">
        <v>6779</v>
      </c>
    </row>
    <row r="3437" spans="1:10">
      <c r="A3437" s="1">
        <v>81398</v>
      </c>
      <c r="B3437" s="1">
        <v>2951903693</v>
      </c>
      <c r="C3437" s="1">
        <v>1</v>
      </c>
      <c r="D3437" s="1" t="s">
        <v>6729</v>
      </c>
      <c r="E3437" t="s">
        <v>6732</v>
      </c>
      <c r="F3437" s="1">
        <v>484147</v>
      </c>
      <c r="G3437" s="1">
        <v>76681831312</v>
      </c>
      <c r="H3437" s="1">
        <v>4</v>
      </c>
      <c r="I3437" s="1" t="s">
        <v>6760</v>
      </c>
      <c r="J3437" t="s">
        <v>6780</v>
      </c>
    </row>
    <row r="3438" spans="1:10">
      <c r="A3438" s="1">
        <v>74013</v>
      </c>
      <c r="B3438" s="1">
        <v>2951903703</v>
      </c>
      <c r="C3438" s="1">
        <v>1</v>
      </c>
      <c r="D3438" s="1" t="s">
        <v>6733</v>
      </c>
      <c r="E3438" t="s">
        <v>6734</v>
      </c>
      <c r="F3438" s="1">
        <v>424176</v>
      </c>
      <c r="G3438" s="1">
        <v>7611417604</v>
      </c>
      <c r="H3438" s="1">
        <v>1</v>
      </c>
      <c r="I3438" s="1" t="s">
        <v>6597</v>
      </c>
      <c r="J3438" t="s">
        <v>6781</v>
      </c>
    </row>
    <row r="3439" spans="1:10">
      <c r="A3439" s="1">
        <v>424002</v>
      </c>
      <c r="B3439" s="1">
        <v>1706717067</v>
      </c>
      <c r="C3439" s="1">
        <v>1</v>
      </c>
      <c r="D3439" s="1" t="s">
        <v>6597</v>
      </c>
      <c r="E3439" t="s">
        <v>6735</v>
      </c>
      <c r="F3439" s="1">
        <v>424739</v>
      </c>
      <c r="G3439" s="1">
        <v>7611417612</v>
      </c>
      <c r="H3439" s="1">
        <v>1</v>
      </c>
      <c r="I3439" s="1" t="s">
        <v>6597</v>
      </c>
      <c r="J3439" t="s">
        <v>6782</v>
      </c>
    </row>
    <row r="3440" spans="1:10">
      <c r="A3440" s="1">
        <v>439562</v>
      </c>
      <c r="B3440" s="1">
        <v>4360000321</v>
      </c>
      <c r="C3440" s="1">
        <v>1</v>
      </c>
      <c r="D3440" s="1" t="s">
        <v>8</v>
      </c>
      <c r="E3440" t="s">
        <v>6736</v>
      </c>
      <c r="F3440" s="1">
        <v>299404</v>
      </c>
      <c r="G3440" s="1">
        <v>2951900000</v>
      </c>
      <c r="H3440" s="1">
        <v>1</v>
      </c>
      <c r="I3440" s="1" t="s">
        <v>6754</v>
      </c>
      <c r="J3440" t="s">
        <v>6783</v>
      </c>
    </row>
    <row r="3441" spans="1:10">
      <c r="A3441" s="1">
        <v>81521</v>
      </c>
      <c r="B3441" s="1">
        <v>2951900720</v>
      </c>
      <c r="C3441" s="1">
        <v>1</v>
      </c>
      <c r="D3441" s="1" t="s">
        <v>6737</v>
      </c>
      <c r="E3441" t="s">
        <v>6738</v>
      </c>
      <c r="F3441" s="1">
        <v>344432</v>
      </c>
      <c r="G3441" s="1">
        <v>63221038490</v>
      </c>
      <c r="H3441" s="1">
        <v>1</v>
      </c>
      <c r="I3441" s="1" t="s">
        <v>6784</v>
      </c>
      <c r="J3441" t="s">
        <v>6785</v>
      </c>
    </row>
    <row r="3442" spans="1:10">
      <c r="A3442" s="1">
        <v>81836</v>
      </c>
      <c r="B3442" s="1">
        <v>2951920399</v>
      </c>
      <c r="C3442" s="1">
        <v>1</v>
      </c>
      <c r="D3442" s="1" t="s">
        <v>6733</v>
      </c>
      <c r="E3442" t="s">
        <v>6739</v>
      </c>
      <c r="F3442" s="1">
        <v>7534</v>
      </c>
      <c r="G3442" s="1">
        <v>63221002713</v>
      </c>
      <c r="H3442" s="1">
        <v>1</v>
      </c>
      <c r="I3442" s="1" t="s">
        <v>6786</v>
      </c>
      <c r="J3442" t="s">
        <v>6787</v>
      </c>
    </row>
    <row r="3443" spans="1:10">
      <c r="A3443" s="1">
        <v>424762</v>
      </c>
      <c r="B3443" s="1">
        <v>7611449633</v>
      </c>
      <c r="C3443" s="1">
        <v>1</v>
      </c>
      <c r="D3443" s="1" t="s">
        <v>6597</v>
      </c>
      <c r="E3443" t="s">
        <v>6740</v>
      </c>
      <c r="F3443" s="1">
        <v>245977</v>
      </c>
      <c r="G3443" s="1">
        <v>8976344508</v>
      </c>
      <c r="H3443" s="1">
        <v>1</v>
      </c>
      <c r="I3443" s="1" t="s">
        <v>6788</v>
      </c>
      <c r="J3443" t="s">
        <v>6789</v>
      </c>
    </row>
    <row r="3444" spans="1:10">
      <c r="A3444" s="1">
        <v>225235</v>
      </c>
      <c r="B3444" s="1">
        <v>2951900695</v>
      </c>
      <c r="C3444" s="1">
        <v>1</v>
      </c>
      <c r="D3444" s="1" t="s">
        <v>6741</v>
      </c>
      <c r="E3444" t="s">
        <v>6742</v>
      </c>
      <c r="F3444" s="1">
        <v>87031</v>
      </c>
      <c r="G3444" s="1">
        <v>8976344603</v>
      </c>
      <c r="H3444" s="1">
        <v>1</v>
      </c>
      <c r="I3444" s="1" t="s">
        <v>6790</v>
      </c>
      <c r="J3444" t="s">
        <v>6791</v>
      </c>
    </row>
    <row r="3445" spans="1:10" ht="15.75">
      <c r="A3445" s="4" t="s">
        <v>10789</v>
      </c>
      <c r="B3445" s="2"/>
      <c r="C3445" s="2"/>
      <c r="D3445" s="2"/>
      <c r="E3445" s="3"/>
      <c r="F3445" s="4" t="s">
        <v>10790</v>
      </c>
      <c r="G3445" s="2"/>
      <c r="H3445" s="2"/>
      <c r="I3445" s="2"/>
      <c r="J3445" s="3"/>
    </row>
    <row r="3446" spans="1:10">
      <c r="A3446" s="2" t="s">
        <v>0</v>
      </c>
      <c r="B3446" s="2" t="s">
        <v>1</v>
      </c>
      <c r="C3446" s="2" t="s">
        <v>2</v>
      </c>
      <c r="D3446" s="2" t="s">
        <v>3</v>
      </c>
      <c r="E3446" s="3" t="s">
        <v>4</v>
      </c>
      <c r="F3446" s="2" t="s">
        <v>0</v>
      </c>
      <c r="G3446" s="2" t="s">
        <v>1</v>
      </c>
      <c r="H3446" s="2" t="s">
        <v>2</v>
      </c>
      <c r="I3446" s="2" t="s">
        <v>3</v>
      </c>
      <c r="J3446" s="3" t="s">
        <v>4</v>
      </c>
    </row>
    <row r="3447" spans="1:10">
      <c r="A3447" s="1">
        <v>336941</v>
      </c>
      <c r="B3447" s="1">
        <v>8976344502</v>
      </c>
      <c r="C3447" s="1">
        <v>1</v>
      </c>
      <c r="D3447" s="1" t="s">
        <v>6788</v>
      </c>
      <c r="E3447" t="s">
        <v>6792</v>
      </c>
      <c r="F3447" s="1">
        <v>305110</v>
      </c>
      <c r="G3447" s="1">
        <v>89830000100</v>
      </c>
      <c r="H3447" s="1">
        <v>6</v>
      </c>
      <c r="I3447" s="1" t="s">
        <v>312</v>
      </c>
      <c r="J3447" t="s">
        <v>6834</v>
      </c>
    </row>
    <row r="3448" spans="1:10">
      <c r="A3448" s="1">
        <v>775668</v>
      </c>
      <c r="B3448" s="1">
        <v>8976344504</v>
      </c>
      <c r="C3448" s="1">
        <v>1</v>
      </c>
      <c r="D3448" s="1" t="s">
        <v>6788</v>
      </c>
      <c r="E3448" t="s">
        <v>6793</v>
      </c>
      <c r="F3448" s="1">
        <v>246942</v>
      </c>
      <c r="G3448" s="1">
        <v>89830000101</v>
      </c>
      <c r="H3448" s="1">
        <v>6</v>
      </c>
      <c r="I3448" s="1" t="s">
        <v>410</v>
      </c>
      <c r="J3448" t="s">
        <v>6835</v>
      </c>
    </row>
    <row r="3449" spans="1:10">
      <c r="A3449" s="1">
        <v>492165</v>
      </c>
      <c r="B3449" s="1">
        <v>8976344510</v>
      </c>
      <c r="C3449" s="1">
        <v>1</v>
      </c>
      <c r="D3449" s="1" t="s">
        <v>6788</v>
      </c>
      <c r="E3449" t="s">
        <v>6794</v>
      </c>
      <c r="F3449" s="1">
        <v>372268</v>
      </c>
      <c r="G3449" s="1">
        <v>89830000102</v>
      </c>
      <c r="H3449" s="1">
        <v>6</v>
      </c>
      <c r="I3449" s="1" t="s">
        <v>312</v>
      </c>
      <c r="J3449" t="s">
        <v>6836</v>
      </c>
    </row>
    <row r="3450" spans="1:10">
      <c r="A3450" s="1">
        <v>893388</v>
      </c>
      <c r="B3450" s="1">
        <v>8976344514</v>
      </c>
      <c r="C3450" s="1">
        <v>1</v>
      </c>
      <c r="D3450" s="1" t="s">
        <v>6788</v>
      </c>
      <c r="E3450" t="s">
        <v>6795</v>
      </c>
      <c r="F3450" s="1">
        <v>41608</v>
      </c>
      <c r="G3450" s="1">
        <v>4480000402</v>
      </c>
      <c r="H3450" s="1">
        <v>12</v>
      </c>
      <c r="I3450" s="1" t="s">
        <v>312</v>
      </c>
      <c r="J3450" t="s">
        <v>6837</v>
      </c>
    </row>
    <row r="3451" spans="1:10">
      <c r="A3451" s="1">
        <v>198697</v>
      </c>
      <c r="B3451" s="1">
        <v>8976344254</v>
      </c>
      <c r="C3451" s="1">
        <v>1</v>
      </c>
      <c r="D3451" s="1" t="s">
        <v>6788</v>
      </c>
      <c r="E3451" t="s">
        <v>6796</v>
      </c>
      <c r="F3451" s="1">
        <v>134007</v>
      </c>
      <c r="G3451" s="1">
        <v>1360002065</v>
      </c>
      <c r="H3451" s="1">
        <v>12</v>
      </c>
      <c r="I3451" s="1" t="s">
        <v>4815</v>
      </c>
      <c r="J3451" t="s">
        <v>6838</v>
      </c>
    </row>
    <row r="3452" spans="1:10">
      <c r="A3452" s="1">
        <v>877928</v>
      </c>
      <c r="B3452" s="1">
        <v>8976344250</v>
      </c>
      <c r="C3452" s="1">
        <v>1</v>
      </c>
      <c r="D3452" s="1" t="s">
        <v>6788</v>
      </c>
      <c r="E3452" t="s">
        <v>6797</v>
      </c>
      <c r="F3452" s="1">
        <v>151688</v>
      </c>
      <c r="G3452" s="1">
        <v>5250000951</v>
      </c>
      <c r="H3452" s="1">
        <v>6</v>
      </c>
      <c r="I3452" s="1" t="s">
        <v>203</v>
      </c>
      <c r="J3452" t="s">
        <v>6839</v>
      </c>
    </row>
    <row r="3453" spans="1:10">
      <c r="A3453" s="1">
        <v>500595</v>
      </c>
      <c r="B3453" s="1">
        <v>8976344266</v>
      </c>
      <c r="C3453" s="1">
        <v>1</v>
      </c>
      <c r="D3453" s="1" t="s">
        <v>6788</v>
      </c>
      <c r="E3453" t="s">
        <v>6798</v>
      </c>
      <c r="F3453" s="1">
        <v>145417</v>
      </c>
      <c r="G3453" s="1">
        <v>5250000954</v>
      </c>
      <c r="H3453" s="1">
        <v>12</v>
      </c>
      <c r="I3453" s="1" t="s">
        <v>397</v>
      </c>
      <c r="J3453" t="s">
        <v>6839</v>
      </c>
    </row>
    <row r="3454" spans="1:10">
      <c r="A3454" s="1">
        <v>762567</v>
      </c>
      <c r="B3454" s="1">
        <v>8976344506</v>
      </c>
      <c r="C3454" s="1">
        <v>1</v>
      </c>
      <c r="D3454" s="1" t="s">
        <v>6788</v>
      </c>
      <c r="E3454" t="s">
        <v>6799</v>
      </c>
      <c r="F3454" s="1">
        <v>127621</v>
      </c>
      <c r="G3454" s="1">
        <v>5250002090</v>
      </c>
      <c r="H3454" s="1">
        <v>12</v>
      </c>
      <c r="I3454" s="1" t="s">
        <v>381</v>
      </c>
      <c r="J3454" t="s">
        <v>6840</v>
      </c>
    </row>
    <row r="3455" spans="1:10">
      <c r="A3455" s="1">
        <v>466268</v>
      </c>
      <c r="B3455" s="1">
        <v>8976344262</v>
      </c>
      <c r="C3455" s="1">
        <v>1</v>
      </c>
      <c r="D3455" s="1" t="s">
        <v>6788</v>
      </c>
      <c r="E3455" t="s">
        <v>6800</v>
      </c>
      <c r="F3455" s="1">
        <v>127613</v>
      </c>
      <c r="G3455" s="1">
        <v>5250002051</v>
      </c>
      <c r="H3455" s="1">
        <v>6</v>
      </c>
      <c r="I3455" s="1" t="s">
        <v>399</v>
      </c>
      <c r="J3455" t="s">
        <v>6841</v>
      </c>
    </row>
    <row r="3456" spans="1:10">
      <c r="A3456" s="1">
        <v>341420</v>
      </c>
      <c r="B3456" s="1">
        <v>8976345785</v>
      </c>
      <c r="C3456" s="1">
        <v>1</v>
      </c>
      <c r="D3456" s="1" t="s">
        <v>6801</v>
      </c>
      <c r="E3456" t="s">
        <v>6802</v>
      </c>
      <c r="F3456" s="1">
        <v>712364</v>
      </c>
      <c r="G3456" s="1">
        <v>2150000057</v>
      </c>
      <c r="H3456" s="1">
        <v>12</v>
      </c>
      <c r="I3456" s="1" t="s">
        <v>397</v>
      </c>
      <c r="J3456" t="s">
        <v>6842</v>
      </c>
    </row>
    <row r="3457" spans="1:10">
      <c r="A3457" s="1">
        <v>264077</v>
      </c>
      <c r="B3457" s="1">
        <v>8976348624</v>
      </c>
      <c r="C3457" s="1">
        <v>1</v>
      </c>
      <c r="D3457" s="1" t="s">
        <v>6801</v>
      </c>
      <c r="E3457" t="s">
        <v>6803</v>
      </c>
      <c r="F3457" s="1">
        <v>145573</v>
      </c>
      <c r="G3457" s="1">
        <v>2150000052</v>
      </c>
      <c r="H3457" s="1">
        <v>12</v>
      </c>
      <c r="I3457" s="1" t="s">
        <v>399</v>
      </c>
      <c r="J3457" t="s">
        <v>6842</v>
      </c>
    </row>
    <row r="3458" spans="1:10">
      <c r="A3458" s="1">
        <v>100305</v>
      </c>
      <c r="B3458" s="1">
        <v>4980007545</v>
      </c>
      <c r="C3458" s="1">
        <v>1</v>
      </c>
      <c r="D3458" s="1" t="s">
        <v>6804</v>
      </c>
      <c r="E3458" t="s">
        <v>6805</v>
      </c>
      <c r="F3458" s="1">
        <v>133686</v>
      </c>
      <c r="G3458" s="1">
        <v>2150097600</v>
      </c>
      <c r="H3458" s="1">
        <v>12</v>
      </c>
      <c r="I3458" s="1" t="s">
        <v>399</v>
      </c>
      <c r="J3458" t="s">
        <v>6843</v>
      </c>
    </row>
    <row r="3459" spans="1:10">
      <c r="A3459" s="1">
        <v>775114</v>
      </c>
      <c r="B3459" s="1">
        <v>75090304512</v>
      </c>
      <c r="C3459" s="1">
        <v>1</v>
      </c>
      <c r="D3459" s="1" t="s">
        <v>6751</v>
      </c>
      <c r="E3459" t="s">
        <v>6806</v>
      </c>
      <c r="F3459" s="1">
        <v>50948</v>
      </c>
      <c r="G3459" s="1">
        <v>2150000300</v>
      </c>
      <c r="H3459" s="1">
        <v>12</v>
      </c>
      <c r="I3459" s="1" t="s">
        <v>381</v>
      </c>
      <c r="J3459" t="s">
        <v>6844</v>
      </c>
    </row>
    <row r="3460" spans="1:10">
      <c r="A3460" s="1">
        <v>326074</v>
      </c>
      <c r="B3460" s="1">
        <v>4980022093</v>
      </c>
      <c r="C3460" s="1">
        <v>1</v>
      </c>
      <c r="D3460" s="1" t="s">
        <v>6804</v>
      </c>
      <c r="E3460" t="s">
        <v>6807</v>
      </c>
      <c r="F3460" s="1">
        <v>231530</v>
      </c>
      <c r="G3460" s="1">
        <v>2240000003</v>
      </c>
      <c r="H3460" s="1">
        <v>12</v>
      </c>
      <c r="I3460" s="1" t="s">
        <v>31</v>
      </c>
      <c r="J3460" t="s">
        <v>6845</v>
      </c>
    </row>
    <row r="3461" spans="1:10">
      <c r="A3461" s="1">
        <v>639666</v>
      </c>
      <c r="B3461" s="1">
        <v>4980006576</v>
      </c>
      <c r="C3461" s="1">
        <v>4</v>
      </c>
      <c r="D3461" s="1" t="s">
        <v>6808</v>
      </c>
      <c r="E3461" t="s">
        <v>6809</v>
      </c>
      <c r="F3461" s="1">
        <v>492579</v>
      </c>
      <c r="G3461" s="1">
        <v>5210035224</v>
      </c>
      <c r="H3461" s="1">
        <v>6</v>
      </c>
      <c r="I3461" s="1" t="s">
        <v>6846</v>
      </c>
      <c r="J3461" t="s">
        <v>6847</v>
      </c>
    </row>
    <row r="3462" spans="1:10">
      <c r="A3462" s="1">
        <v>177790</v>
      </c>
      <c r="B3462" s="1">
        <v>75090304066</v>
      </c>
      <c r="C3462" s="1">
        <v>1</v>
      </c>
      <c r="D3462" s="1" t="s">
        <v>6810</v>
      </c>
      <c r="E3462" t="s">
        <v>6811</v>
      </c>
      <c r="F3462" s="1">
        <v>667501</v>
      </c>
      <c r="G3462" s="1">
        <v>5210069313</v>
      </c>
      <c r="H3462" s="1">
        <v>6</v>
      </c>
      <c r="I3462" s="1" t="s">
        <v>6848</v>
      </c>
      <c r="J3462" t="s">
        <v>6849</v>
      </c>
    </row>
    <row r="3463" spans="1:10">
      <c r="A3463" s="1">
        <v>619429</v>
      </c>
      <c r="B3463" s="1">
        <v>4980000331</v>
      </c>
      <c r="C3463" s="1">
        <v>1</v>
      </c>
      <c r="D3463" s="1" t="s">
        <v>6804</v>
      </c>
      <c r="E3463" t="s">
        <v>6812</v>
      </c>
      <c r="F3463" s="1">
        <v>143941</v>
      </c>
      <c r="G3463" s="1">
        <v>5210000841</v>
      </c>
      <c r="H3463" s="1">
        <v>6</v>
      </c>
      <c r="I3463" s="1" t="s">
        <v>6850</v>
      </c>
      <c r="J3463" t="s">
        <v>6851</v>
      </c>
    </row>
    <row r="3464" spans="1:10">
      <c r="A3464" s="1">
        <v>177196</v>
      </c>
      <c r="B3464" s="1">
        <v>75090324012</v>
      </c>
      <c r="C3464" s="1">
        <v>1</v>
      </c>
      <c r="D3464" s="1" t="s">
        <v>6786</v>
      </c>
      <c r="E3464" t="s">
        <v>6813</v>
      </c>
      <c r="F3464" s="1">
        <v>144527</v>
      </c>
      <c r="G3464" s="1">
        <v>5210000212</v>
      </c>
      <c r="H3464" s="1">
        <v>6</v>
      </c>
      <c r="I3464" s="1" t="s">
        <v>85</v>
      </c>
      <c r="J3464" t="s">
        <v>6852</v>
      </c>
    </row>
    <row r="3465" spans="1:10">
      <c r="A3465" s="1">
        <v>177634</v>
      </c>
      <c r="B3465" s="1">
        <v>75090304082</v>
      </c>
      <c r="C3465" s="1">
        <v>1</v>
      </c>
      <c r="D3465" s="1" t="s">
        <v>6737</v>
      </c>
      <c r="E3465" t="s">
        <v>6814</v>
      </c>
      <c r="F3465" s="1">
        <v>299016</v>
      </c>
      <c r="G3465" s="1">
        <v>5210000287</v>
      </c>
      <c r="H3465" s="1">
        <v>3</v>
      </c>
      <c r="I3465" s="1" t="s">
        <v>5211</v>
      </c>
      <c r="J3465" t="s">
        <v>6853</v>
      </c>
    </row>
    <row r="3466" spans="1:10">
      <c r="A3466" s="1">
        <v>177105</v>
      </c>
      <c r="B3466" s="1">
        <v>75090304262</v>
      </c>
      <c r="C3466" s="1">
        <v>1</v>
      </c>
      <c r="D3466" s="1" t="s">
        <v>6786</v>
      </c>
      <c r="E3466" t="s">
        <v>6815</v>
      </c>
      <c r="F3466" s="1">
        <v>298992</v>
      </c>
      <c r="G3466" s="1">
        <v>5210000325</v>
      </c>
      <c r="H3466" s="1">
        <v>3</v>
      </c>
      <c r="I3466" s="1" t="s">
        <v>15</v>
      </c>
      <c r="J3466" t="s">
        <v>6854</v>
      </c>
    </row>
    <row r="3467" spans="1:10">
      <c r="A3467" s="1">
        <v>177162</v>
      </c>
      <c r="B3467" s="1">
        <v>75090300002</v>
      </c>
      <c r="C3467" s="1">
        <v>1</v>
      </c>
      <c r="D3467" s="1" t="s">
        <v>6786</v>
      </c>
      <c r="E3467" t="s">
        <v>6816</v>
      </c>
      <c r="F3467" s="1">
        <v>144972</v>
      </c>
      <c r="G3467" s="1">
        <v>5210000213</v>
      </c>
      <c r="H3467" s="1">
        <v>6</v>
      </c>
      <c r="I3467" s="1" t="s">
        <v>33</v>
      </c>
      <c r="J3467" t="s">
        <v>6855</v>
      </c>
    </row>
    <row r="3468" spans="1:10">
      <c r="A3468" s="1">
        <v>177592</v>
      </c>
      <c r="B3468" s="1">
        <v>75090304162</v>
      </c>
      <c r="C3468" s="1">
        <v>1</v>
      </c>
      <c r="D3468" s="1" t="s">
        <v>6737</v>
      </c>
      <c r="E3468" t="s">
        <v>6817</v>
      </c>
      <c r="F3468" s="1">
        <v>144956</v>
      </c>
      <c r="G3468" s="1">
        <v>5210000214</v>
      </c>
      <c r="H3468" s="1">
        <v>6</v>
      </c>
      <c r="I3468" s="1" t="s">
        <v>95</v>
      </c>
      <c r="J3468" t="s">
        <v>6856</v>
      </c>
    </row>
    <row r="3469" spans="1:10">
      <c r="A3469" s="1">
        <v>220319</v>
      </c>
      <c r="B3469" s="1">
        <v>4980022095</v>
      </c>
      <c r="C3469" s="1">
        <v>1</v>
      </c>
      <c r="D3469" s="1" t="s">
        <v>6804</v>
      </c>
      <c r="E3469" t="s">
        <v>6818</v>
      </c>
      <c r="F3469" s="1">
        <v>309476</v>
      </c>
      <c r="G3469" s="1">
        <v>5210000375</v>
      </c>
      <c r="H3469" s="1">
        <v>3</v>
      </c>
      <c r="I3469" s="1" t="s">
        <v>5235</v>
      </c>
      <c r="J3469" t="s">
        <v>6857</v>
      </c>
    </row>
    <row r="3470" spans="1:10">
      <c r="A3470" s="1">
        <v>415463</v>
      </c>
      <c r="B3470" s="1">
        <v>4980022017</v>
      </c>
      <c r="C3470" s="1">
        <v>15</v>
      </c>
      <c r="D3470" s="1" t="s">
        <v>347</v>
      </c>
      <c r="E3470" t="s">
        <v>6819</v>
      </c>
      <c r="F3470" s="1">
        <v>332643</v>
      </c>
      <c r="G3470" s="1">
        <v>5210022598</v>
      </c>
      <c r="H3470" s="1">
        <v>3</v>
      </c>
      <c r="I3470" s="1" t="s">
        <v>6858</v>
      </c>
      <c r="J3470" t="s">
        <v>6859</v>
      </c>
    </row>
    <row r="3471" spans="1:10">
      <c r="A3471" s="1">
        <v>294504</v>
      </c>
      <c r="B3471" s="1">
        <v>4980022094</v>
      </c>
      <c r="C3471" s="1">
        <v>1</v>
      </c>
      <c r="D3471" s="1" t="s">
        <v>6804</v>
      </c>
      <c r="E3471" t="s">
        <v>6820</v>
      </c>
      <c r="F3471" s="1">
        <v>528372</v>
      </c>
      <c r="G3471" s="1">
        <v>5210000627</v>
      </c>
      <c r="H3471" s="1">
        <v>6</v>
      </c>
      <c r="I3471" s="1" t="s">
        <v>31</v>
      </c>
      <c r="J3471" t="s">
        <v>6860</v>
      </c>
    </row>
    <row r="3472" spans="1:10">
      <c r="A3472" s="1">
        <v>748806</v>
      </c>
      <c r="B3472" s="1">
        <v>4980022097</v>
      </c>
      <c r="C3472" s="1">
        <v>1</v>
      </c>
      <c r="D3472" s="1" t="s">
        <v>6804</v>
      </c>
      <c r="E3472" t="s">
        <v>6821</v>
      </c>
      <c r="F3472" s="1">
        <v>144949</v>
      </c>
      <c r="G3472" s="1">
        <v>5210000696</v>
      </c>
      <c r="H3472" s="1">
        <v>6</v>
      </c>
      <c r="I3472" s="1" t="s">
        <v>273</v>
      </c>
      <c r="J3472" t="s">
        <v>6861</v>
      </c>
    </row>
    <row r="3473" spans="1:10">
      <c r="A3473" s="1">
        <v>647289</v>
      </c>
      <c r="B3473" s="1">
        <v>4980011084</v>
      </c>
      <c r="C3473" s="1">
        <v>1</v>
      </c>
      <c r="D3473" s="1" t="s">
        <v>6751</v>
      </c>
      <c r="E3473" t="s">
        <v>6822</v>
      </c>
      <c r="F3473" s="1">
        <v>144931</v>
      </c>
      <c r="G3473" s="1">
        <v>5210000698</v>
      </c>
      <c r="H3473" s="1">
        <v>6</v>
      </c>
      <c r="I3473" s="1" t="s">
        <v>6862</v>
      </c>
      <c r="J3473" t="s">
        <v>6863</v>
      </c>
    </row>
    <row r="3474" spans="1:10">
      <c r="A3474" s="1">
        <v>255687</v>
      </c>
      <c r="B3474" s="1">
        <v>4980022096</v>
      </c>
      <c r="C3474" s="1">
        <v>1</v>
      </c>
      <c r="D3474" s="1" t="s">
        <v>6804</v>
      </c>
      <c r="E3474" t="s">
        <v>6823</v>
      </c>
      <c r="F3474" s="1">
        <v>309492</v>
      </c>
      <c r="G3474" s="1">
        <v>5210000329</v>
      </c>
      <c r="H3474" s="1">
        <v>3</v>
      </c>
      <c r="I3474" s="1" t="s">
        <v>6864</v>
      </c>
      <c r="J3474" t="s">
        <v>6863</v>
      </c>
    </row>
    <row r="3475" spans="1:10">
      <c r="A3475" s="1">
        <v>191205</v>
      </c>
      <c r="B3475" s="1">
        <v>4980000000</v>
      </c>
      <c r="C3475" s="1">
        <v>1</v>
      </c>
      <c r="D3475" s="1" t="s">
        <v>6804</v>
      </c>
      <c r="E3475" t="s">
        <v>6824</v>
      </c>
      <c r="F3475" s="1">
        <v>310128</v>
      </c>
      <c r="G3475" s="1">
        <v>5210000282</v>
      </c>
      <c r="H3475" s="1">
        <v>3</v>
      </c>
      <c r="I3475" s="1" t="s">
        <v>18</v>
      </c>
      <c r="J3475" t="s">
        <v>6865</v>
      </c>
    </row>
    <row r="3476" spans="1:10">
      <c r="A3476" s="1">
        <v>639575</v>
      </c>
      <c r="B3476" s="1">
        <v>4980002647</v>
      </c>
      <c r="C3476" s="1">
        <v>4</v>
      </c>
      <c r="D3476" s="1" t="s">
        <v>6808</v>
      </c>
      <c r="E3476" t="s">
        <v>6825</v>
      </c>
      <c r="F3476" s="1">
        <v>143826</v>
      </c>
      <c r="G3476" s="1">
        <v>5210005030</v>
      </c>
      <c r="H3476" s="1">
        <v>12</v>
      </c>
      <c r="I3476" s="1" t="s">
        <v>397</v>
      </c>
      <c r="J3476" t="s">
        <v>6866</v>
      </c>
    </row>
    <row r="3477" spans="1:10">
      <c r="A3477" s="1">
        <v>603142</v>
      </c>
      <c r="B3477" s="1">
        <v>4980011092</v>
      </c>
      <c r="C3477" s="1">
        <v>1</v>
      </c>
      <c r="D3477" s="1" t="s">
        <v>6751</v>
      </c>
      <c r="E3477" t="s">
        <v>6826</v>
      </c>
      <c r="F3477" s="1">
        <v>144279</v>
      </c>
      <c r="G3477" s="1">
        <v>5210074603</v>
      </c>
      <c r="H3477" s="1">
        <v>6</v>
      </c>
      <c r="I3477" s="1" t="s">
        <v>6867</v>
      </c>
      <c r="J3477" t="s">
        <v>6868</v>
      </c>
    </row>
    <row r="3478" spans="1:10">
      <c r="A3478" s="1">
        <v>177758</v>
      </c>
      <c r="B3478" s="1">
        <v>75090304049</v>
      </c>
      <c r="C3478" s="1">
        <v>1</v>
      </c>
      <c r="D3478" s="1" t="s">
        <v>6810</v>
      </c>
      <c r="E3478" t="s">
        <v>6827</v>
      </c>
      <c r="F3478" s="1">
        <v>660654</v>
      </c>
      <c r="G3478" s="1">
        <v>5210044163</v>
      </c>
      <c r="H3478" s="1">
        <v>3</v>
      </c>
      <c r="I3478" s="1" t="s">
        <v>155</v>
      </c>
      <c r="J3478" t="s">
        <v>6869</v>
      </c>
    </row>
    <row r="3479" spans="1:10">
      <c r="A3479" s="1">
        <v>415687</v>
      </c>
      <c r="B3479" s="1">
        <v>4980022098</v>
      </c>
      <c r="C3479" s="1">
        <v>1</v>
      </c>
      <c r="D3479" s="1" t="s">
        <v>6804</v>
      </c>
      <c r="E3479" t="s">
        <v>6828</v>
      </c>
      <c r="F3479" s="1">
        <v>149740</v>
      </c>
      <c r="G3479" s="1">
        <v>5210002570</v>
      </c>
      <c r="H3479" s="1">
        <v>12</v>
      </c>
      <c r="I3479" s="1" t="s">
        <v>17</v>
      </c>
      <c r="J3479" t="s">
        <v>6870</v>
      </c>
    </row>
    <row r="3480" spans="1:10">
      <c r="A3480" s="1">
        <v>325357</v>
      </c>
      <c r="B3480" s="1">
        <v>2670011793</v>
      </c>
      <c r="C3480" s="1">
        <v>1</v>
      </c>
      <c r="D3480" s="1" t="s">
        <v>6829</v>
      </c>
      <c r="E3480" t="s">
        <v>6830</v>
      </c>
      <c r="F3480" s="1">
        <v>144774</v>
      </c>
      <c r="G3480" s="1">
        <v>5210000512</v>
      </c>
      <c r="H3480" s="1">
        <v>6</v>
      </c>
      <c r="I3480" s="1" t="s">
        <v>6871</v>
      </c>
      <c r="J3480" t="s">
        <v>6872</v>
      </c>
    </row>
    <row r="3481" spans="1:10">
      <c r="A3481" s="1">
        <v>746149</v>
      </c>
      <c r="B3481" s="1">
        <v>2670007951</v>
      </c>
      <c r="C3481" s="1">
        <v>6</v>
      </c>
      <c r="D3481" s="1" t="s">
        <v>259</v>
      </c>
      <c r="E3481" t="s">
        <v>6831</v>
      </c>
      <c r="F3481" s="1">
        <v>310516</v>
      </c>
      <c r="G3481" s="1">
        <v>5210000288</v>
      </c>
      <c r="H3481" s="1">
        <v>3</v>
      </c>
      <c r="I3481" s="1" t="s">
        <v>18</v>
      </c>
      <c r="J3481" t="s">
        <v>6873</v>
      </c>
    </row>
    <row r="3482" spans="1:10" ht="15.75">
      <c r="A3482" s="4" t="s">
        <v>10790</v>
      </c>
      <c r="B3482" s="2"/>
      <c r="C3482" s="2"/>
      <c r="D3482" s="2"/>
      <c r="E3482" s="3"/>
      <c r="F3482" s="1">
        <v>153874</v>
      </c>
      <c r="G3482" s="1">
        <v>5210000705</v>
      </c>
      <c r="H3482" s="1">
        <v>6</v>
      </c>
      <c r="I3482" s="1" t="s">
        <v>2211</v>
      </c>
      <c r="J3482" t="s">
        <v>6874</v>
      </c>
    </row>
    <row r="3483" spans="1:10">
      <c r="A3483" s="2" t="s">
        <v>0</v>
      </c>
      <c r="B3483" s="2" t="s">
        <v>1</v>
      </c>
      <c r="C3483" s="2" t="s">
        <v>2</v>
      </c>
      <c r="D3483" s="2" t="s">
        <v>3</v>
      </c>
      <c r="E3483" s="3" t="s">
        <v>4</v>
      </c>
      <c r="F3483" s="1">
        <v>309526</v>
      </c>
      <c r="G3483" s="1">
        <v>5210000330</v>
      </c>
      <c r="H3483" s="1">
        <v>3</v>
      </c>
      <c r="I3483" s="1" t="s">
        <v>18</v>
      </c>
      <c r="J3483" t="s">
        <v>6875</v>
      </c>
    </row>
    <row r="3484" spans="1:10">
      <c r="A3484" s="1">
        <v>145433</v>
      </c>
      <c r="B3484" s="1">
        <v>4780000054</v>
      </c>
      <c r="C3484" s="1">
        <v>24</v>
      </c>
      <c r="D3484" s="1" t="s">
        <v>106</v>
      </c>
      <c r="E3484" t="s">
        <v>6832</v>
      </c>
      <c r="F3484" s="1">
        <v>144915</v>
      </c>
      <c r="G3484" s="1">
        <v>5210000706</v>
      </c>
      <c r="H3484" s="1">
        <v>6</v>
      </c>
      <c r="I3484" s="1" t="s">
        <v>2280</v>
      </c>
      <c r="J3484" t="s">
        <v>6876</v>
      </c>
    </row>
    <row r="3485" spans="1:10">
      <c r="A3485" s="1">
        <v>145425</v>
      </c>
      <c r="B3485" s="1">
        <v>4780000052</v>
      </c>
      <c r="C3485" s="1">
        <v>24</v>
      </c>
      <c r="D3485" s="1" t="s">
        <v>31</v>
      </c>
      <c r="E3485" t="s">
        <v>6833</v>
      </c>
      <c r="F3485" s="1">
        <v>309567</v>
      </c>
      <c r="G3485" s="1">
        <v>5210000332</v>
      </c>
      <c r="H3485" s="1">
        <v>3</v>
      </c>
      <c r="I3485" s="1" t="s">
        <v>5211</v>
      </c>
      <c r="J3485" t="s">
        <v>6877</v>
      </c>
    </row>
    <row r="3486" spans="1:10" ht="15.75">
      <c r="A3486" s="4" t="s">
        <v>10790</v>
      </c>
      <c r="B3486" s="2"/>
      <c r="C3486" s="2"/>
      <c r="D3486" s="2"/>
      <c r="E3486" s="3"/>
      <c r="F3486" s="4" t="s">
        <v>10790</v>
      </c>
      <c r="G3486" s="2"/>
      <c r="H3486" s="2"/>
      <c r="I3486" s="2"/>
      <c r="J3486" s="3"/>
    </row>
    <row r="3487" spans="1:10">
      <c r="A3487" s="2" t="s">
        <v>0</v>
      </c>
      <c r="B3487" s="2" t="s">
        <v>1</v>
      </c>
      <c r="C3487" s="2" t="s">
        <v>2</v>
      </c>
      <c r="D3487" s="2" t="s">
        <v>3</v>
      </c>
      <c r="E3487" s="3" t="s">
        <v>4</v>
      </c>
      <c r="F3487" s="2" t="s">
        <v>0</v>
      </c>
      <c r="G3487" s="2" t="s">
        <v>1</v>
      </c>
      <c r="H3487" s="2" t="s">
        <v>2</v>
      </c>
      <c r="I3487" s="2" t="s">
        <v>3</v>
      </c>
      <c r="J3487" s="3" t="s">
        <v>4</v>
      </c>
    </row>
    <row r="3488" spans="1:10">
      <c r="A3488" s="1">
        <v>144980</v>
      </c>
      <c r="B3488" s="1">
        <v>5210000218</v>
      </c>
      <c r="C3488" s="1">
        <v>6</v>
      </c>
      <c r="D3488" s="1" t="s">
        <v>6878</v>
      </c>
      <c r="E3488" t="s">
        <v>6879</v>
      </c>
      <c r="F3488" s="1">
        <v>314047</v>
      </c>
      <c r="G3488" s="1">
        <v>5210044288</v>
      </c>
      <c r="H3488" s="1">
        <v>12</v>
      </c>
      <c r="I3488" s="1" t="s">
        <v>536</v>
      </c>
      <c r="J3488" t="s">
        <v>6924</v>
      </c>
    </row>
    <row r="3489" spans="1:10">
      <c r="A3489" s="1">
        <v>254219</v>
      </c>
      <c r="B3489" s="1">
        <v>5210000127</v>
      </c>
      <c r="C3489" s="1">
        <v>3</v>
      </c>
      <c r="D3489" s="1" t="s">
        <v>31</v>
      </c>
      <c r="E3489" t="s">
        <v>6880</v>
      </c>
      <c r="F3489" s="1">
        <v>144337</v>
      </c>
      <c r="G3489" s="1">
        <v>5210000597</v>
      </c>
      <c r="H3489" s="1">
        <v>6</v>
      </c>
      <c r="I3489" s="1" t="s">
        <v>6846</v>
      </c>
      <c r="J3489" t="s">
        <v>6925</v>
      </c>
    </row>
    <row r="3490" spans="1:10">
      <c r="A3490" s="1">
        <v>310490</v>
      </c>
      <c r="B3490" s="1">
        <v>5210000311</v>
      </c>
      <c r="C3490" s="1">
        <v>3</v>
      </c>
      <c r="D3490" s="1" t="s">
        <v>6881</v>
      </c>
      <c r="E3490" t="s">
        <v>6882</v>
      </c>
      <c r="F3490" s="1">
        <v>139014</v>
      </c>
      <c r="G3490" s="1">
        <v>5210007147</v>
      </c>
      <c r="H3490" s="1">
        <v>12</v>
      </c>
      <c r="I3490" s="1" t="s">
        <v>536</v>
      </c>
      <c r="J3490" t="s">
        <v>6926</v>
      </c>
    </row>
    <row r="3491" spans="1:10">
      <c r="A3491" s="1">
        <v>298141</v>
      </c>
      <c r="B3491" s="1">
        <v>5210084006</v>
      </c>
      <c r="C3491" s="1">
        <v>3</v>
      </c>
      <c r="D3491" s="1" t="s">
        <v>5211</v>
      </c>
      <c r="E3491" t="s">
        <v>6883</v>
      </c>
      <c r="F3491" s="1">
        <v>303198</v>
      </c>
      <c r="G3491" s="1">
        <v>5210000423</v>
      </c>
      <c r="H3491" s="1">
        <v>6</v>
      </c>
      <c r="I3491" s="1" t="s">
        <v>6927</v>
      </c>
      <c r="J3491" t="s">
        <v>6928</v>
      </c>
    </row>
    <row r="3492" spans="1:10">
      <c r="A3492" s="1">
        <v>144543</v>
      </c>
      <c r="B3492" s="1">
        <v>5210000211</v>
      </c>
      <c r="C3492" s="1">
        <v>6</v>
      </c>
      <c r="D3492" s="1" t="s">
        <v>158</v>
      </c>
      <c r="E3492" t="s">
        <v>6884</v>
      </c>
      <c r="F3492" s="1">
        <v>144360</v>
      </c>
      <c r="G3492" s="1">
        <v>5210000596</v>
      </c>
      <c r="H3492" s="1">
        <v>6</v>
      </c>
      <c r="I3492" s="1" t="s">
        <v>14</v>
      </c>
      <c r="J3492" t="s">
        <v>6929</v>
      </c>
    </row>
    <row r="3493" spans="1:10">
      <c r="A3493" s="1">
        <v>309591</v>
      </c>
      <c r="B3493" s="1">
        <v>5210000289</v>
      </c>
      <c r="C3493" s="1">
        <v>3</v>
      </c>
      <c r="D3493" s="1" t="s">
        <v>155</v>
      </c>
      <c r="E3493" t="s">
        <v>6884</v>
      </c>
      <c r="F3493" s="1">
        <v>139303</v>
      </c>
      <c r="G3493" s="1">
        <v>5210007146</v>
      </c>
      <c r="H3493" s="1">
        <v>12</v>
      </c>
      <c r="I3493" s="1" t="s">
        <v>536</v>
      </c>
      <c r="J3493" t="s">
        <v>6930</v>
      </c>
    </row>
    <row r="3494" spans="1:10">
      <c r="A3494" s="1">
        <v>143958</v>
      </c>
      <c r="B3494" s="1">
        <v>5210000428</v>
      </c>
      <c r="C3494" s="1">
        <v>6</v>
      </c>
      <c r="D3494" s="1" t="s">
        <v>312</v>
      </c>
      <c r="E3494" t="s">
        <v>6884</v>
      </c>
      <c r="F3494" s="1">
        <v>149773</v>
      </c>
      <c r="G3494" s="1">
        <v>5210000722</v>
      </c>
      <c r="H3494" s="1">
        <v>6</v>
      </c>
      <c r="I3494" s="1" t="s">
        <v>410</v>
      </c>
      <c r="J3494" t="s">
        <v>6931</v>
      </c>
    </row>
    <row r="3495" spans="1:10">
      <c r="A3495" s="1">
        <v>310482</v>
      </c>
      <c r="B3495" s="1">
        <v>5210000299</v>
      </c>
      <c r="C3495" s="1">
        <v>3</v>
      </c>
      <c r="D3495" s="1" t="s">
        <v>155</v>
      </c>
      <c r="E3495" t="s">
        <v>6885</v>
      </c>
      <c r="F3495" s="1">
        <v>310383</v>
      </c>
      <c r="G3495" s="1">
        <v>5210000362</v>
      </c>
      <c r="H3495" s="1">
        <v>3</v>
      </c>
      <c r="I3495" s="1" t="s">
        <v>417</v>
      </c>
      <c r="J3495" t="s">
        <v>6932</v>
      </c>
    </row>
    <row r="3496" spans="1:10">
      <c r="A3496" s="1">
        <v>311837</v>
      </c>
      <c r="B3496" s="1">
        <v>5210084007</v>
      </c>
      <c r="C3496" s="1">
        <v>3</v>
      </c>
      <c r="D3496" s="1" t="s">
        <v>31</v>
      </c>
      <c r="E3496" t="s">
        <v>6886</v>
      </c>
      <c r="F3496" s="1">
        <v>144725</v>
      </c>
      <c r="G3496" s="1">
        <v>5210000626</v>
      </c>
      <c r="H3496" s="1">
        <v>6</v>
      </c>
      <c r="I3496" s="1" t="s">
        <v>6933</v>
      </c>
      <c r="J3496" t="s">
        <v>6932</v>
      </c>
    </row>
    <row r="3497" spans="1:10">
      <c r="A3497" s="1">
        <v>144998</v>
      </c>
      <c r="B3497" s="1">
        <v>5210000707</v>
      </c>
      <c r="C3497" s="1">
        <v>6</v>
      </c>
      <c r="D3497" s="1" t="s">
        <v>2701</v>
      </c>
      <c r="E3497" t="s">
        <v>6887</v>
      </c>
      <c r="F3497" s="1">
        <v>147991</v>
      </c>
      <c r="G3497" s="1">
        <v>5210013638</v>
      </c>
      <c r="H3497" s="1">
        <v>6</v>
      </c>
      <c r="I3497" s="1" t="s">
        <v>6934</v>
      </c>
      <c r="J3497" t="s">
        <v>6935</v>
      </c>
    </row>
    <row r="3498" spans="1:10">
      <c r="A3498" s="1">
        <v>310474</v>
      </c>
      <c r="B3498" s="1">
        <v>5210000381</v>
      </c>
      <c r="C3498" s="1">
        <v>3</v>
      </c>
      <c r="D3498" s="1" t="s">
        <v>6862</v>
      </c>
      <c r="E3498" t="s">
        <v>6888</v>
      </c>
      <c r="F3498" s="1">
        <v>152595</v>
      </c>
      <c r="G3498" s="1">
        <v>5210007139</v>
      </c>
      <c r="H3498" s="1">
        <v>12</v>
      </c>
      <c r="I3498" s="1" t="s">
        <v>14</v>
      </c>
      <c r="J3498" t="s">
        <v>6936</v>
      </c>
    </row>
    <row r="3499" spans="1:10">
      <c r="A3499" s="1">
        <v>309633</v>
      </c>
      <c r="B3499" s="1">
        <v>5210000838</v>
      </c>
      <c r="C3499" s="1">
        <v>6</v>
      </c>
      <c r="D3499" s="1" t="s">
        <v>2280</v>
      </c>
      <c r="E3499" t="s">
        <v>6889</v>
      </c>
      <c r="F3499" s="1">
        <v>144717</v>
      </c>
      <c r="G3499" s="1">
        <v>5210007118</v>
      </c>
      <c r="H3499" s="1">
        <v>12</v>
      </c>
      <c r="I3499" s="1" t="s">
        <v>6937</v>
      </c>
      <c r="J3499" t="s">
        <v>6936</v>
      </c>
    </row>
    <row r="3500" spans="1:10">
      <c r="A3500" s="1">
        <v>872788</v>
      </c>
      <c r="B3500" s="1">
        <v>5210073698</v>
      </c>
      <c r="C3500" s="1">
        <v>6</v>
      </c>
      <c r="D3500" s="1" t="s">
        <v>6890</v>
      </c>
      <c r="E3500" t="s">
        <v>6891</v>
      </c>
      <c r="F3500" s="1">
        <v>152546</v>
      </c>
      <c r="G3500" s="1">
        <v>5210007137</v>
      </c>
      <c r="H3500" s="1">
        <v>12</v>
      </c>
      <c r="I3500" s="1" t="s">
        <v>2211</v>
      </c>
      <c r="J3500" t="s">
        <v>6938</v>
      </c>
    </row>
    <row r="3501" spans="1:10">
      <c r="A3501" s="1">
        <v>477794</v>
      </c>
      <c r="B3501" s="1">
        <v>5210073711</v>
      </c>
      <c r="C3501" s="1">
        <v>6</v>
      </c>
      <c r="D3501" s="1" t="s">
        <v>6892</v>
      </c>
      <c r="E3501" t="s">
        <v>6893</v>
      </c>
      <c r="F3501" s="1">
        <v>144352</v>
      </c>
      <c r="G3501" s="1">
        <v>5210000593</v>
      </c>
      <c r="H3501" s="1">
        <v>6</v>
      </c>
      <c r="I3501" s="1" t="s">
        <v>2214</v>
      </c>
      <c r="J3501" t="s">
        <v>6938</v>
      </c>
    </row>
    <row r="3502" spans="1:10">
      <c r="A3502" s="1">
        <v>145003</v>
      </c>
      <c r="B3502" s="1">
        <v>5210000442</v>
      </c>
      <c r="C3502" s="1">
        <v>6</v>
      </c>
      <c r="D3502" s="1" t="s">
        <v>33</v>
      </c>
      <c r="E3502" t="s">
        <v>6894</v>
      </c>
      <c r="F3502" s="1">
        <v>144345</v>
      </c>
      <c r="G3502" s="1">
        <v>5210007117</v>
      </c>
      <c r="H3502" s="1">
        <v>12</v>
      </c>
      <c r="I3502" s="1" t="s">
        <v>432</v>
      </c>
      <c r="J3502" t="s">
        <v>6938</v>
      </c>
    </row>
    <row r="3503" spans="1:10">
      <c r="A3503" s="1">
        <v>309666</v>
      </c>
      <c r="B3503" s="1">
        <v>5210000333</v>
      </c>
      <c r="C3503" s="1">
        <v>3</v>
      </c>
      <c r="D3503" s="1" t="s">
        <v>33</v>
      </c>
      <c r="E3503" t="s">
        <v>6894</v>
      </c>
      <c r="F3503" s="1">
        <v>280701</v>
      </c>
      <c r="G3503" s="1">
        <v>5210044518</v>
      </c>
      <c r="H3503" s="1">
        <v>12</v>
      </c>
      <c r="I3503" s="1" t="s">
        <v>536</v>
      </c>
      <c r="J3503" t="s">
        <v>6939</v>
      </c>
    </row>
    <row r="3504" spans="1:10">
      <c r="A3504" s="1">
        <v>144584</v>
      </c>
      <c r="B3504" s="1">
        <v>5210000444</v>
      </c>
      <c r="C3504" s="1">
        <v>6</v>
      </c>
      <c r="D3504" s="1" t="s">
        <v>6895</v>
      </c>
      <c r="E3504" t="s">
        <v>6896</v>
      </c>
      <c r="F3504" s="1">
        <v>712398</v>
      </c>
      <c r="G3504" s="1">
        <v>5210068544</v>
      </c>
      <c r="H3504" s="1">
        <v>6</v>
      </c>
      <c r="I3504" s="1" t="s">
        <v>6933</v>
      </c>
      <c r="J3504" t="s">
        <v>6940</v>
      </c>
    </row>
    <row r="3505" spans="1:10">
      <c r="A3505" s="1">
        <v>145029</v>
      </c>
      <c r="B3505" s="1">
        <v>5210000234</v>
      </c>
      <c r="C3505" s="1">
        <v>6</v>
      </c>
      <c r="D3505" s="1" t="s">
        <v>273</v>
      </c>
      <c r="E3505" t="s">
        <v>6897</v>
      </c>
      <c r="F3505" s="1">
        <v>309880</v>
      </c>
      <c r="G3505" s="1">
        <v>5210000297</v>
      </c>
      <c r="H3505" s="1">
        <v>3</v>
      </c>
      <c r="I3505" s="1" t="s">
        <v>5211</v>
      </c>
      <c r="J3505" t="s">
        <v>6941</v>
      </c>
    </row>
    <row r="3506" spans="1:10">
      <c r="A3506" s="1">
        <v>310698</v>
      </c>
      <c r="B3506" s="1">
        <v>5210000334</v>
      </c>
      <c r="C3506" s="1">
        <v>3</v>
      </c>
      <c r="D3506" s="1" t="s">
        <v>15</v>
      </c>
      <c r="E3506" t="s">
        <v>6897</v>
      </c>
      <c r="F3506" s="1">
        <v>309682</v>
      </c>
      <c r="G3506" s="1">
        <v>5210000292</v>
      </c>
      <c r="H3506" s="1">
        <v>3</v>
      </c>
      <c r="I3506" s="1" t="s">
        <v>18</v>
      </c>
      <c r="J3506" t="s">
        <v>6942</v>
      </c>
    </row>
    <row r="3507" spans="1:10">
      <c r="A3507" s="1">
        <v>144618</v>
      </c>
      <c r="B3507" s="1">
        <v>5210000236</v>
      </c>
      <c r="C3507" s="1">
        <v>6</v>
      </c>
      <c r="D3507" s="1" t="s">
        <v>17</v>
      </c>
      <c r="E3507" t="s">
        <v>6898</v>
      </c>
      <c r="F3507" s="1">
        <v>837161</v>
      </c>
      <c r="G3507" s="1">
        <v>5210025711</v>
      </c>
      <c r="H3507" s="1">
        <v>6</v>
      </c>
      <c r="I3507" s="1" t="s">
        <v>14</v>
      </c>
      <c r="J3507" t="s">
        <v>6943</v>
      </c>
    </row>
    <row r="3508" spans="1:10">
      <c r="A3508" s="1">
        <v>311985</v>
      </c>
      <c r="B3508" s="1">
        <v>5210000293</v>
      </c>
      <c r="C3508" s="1">
        <v>3</v>
      </c>
      <c r="D3508" s="1" t="s">
        <v>6850</v>
      </c>
      <c r="E3508" t="s">
        <v>6899</v>
      </c>
      <c r="F3508" s="1">
        <v>393173</v>
      </c>
      <c r="G3508" s="1">
        <v>5210025213</v>
      </c>
      <c r="H3508" s="1">
        <v>6</v>
      </c>
      <c r="I3508" s="1" t="s">
        <v>609</v>
      </c>
      <c r="J3508" t="s">
        <v>6944</v>
      </c>
    </row>
    <row r="3509" spans="1:10">
      <c r="A3509" s="1">
        <v>264093</v>
      </c>
      <c r="B3509" s="1">
        <v>5210044488</v>
      </c>
      <c r="C3509" s="1">
        <v>6</v>
      </c>
      <c r="D3509" s="1" t="s">
        <v>6900</v>
      </c>
      <c r="E3509" t="s">
        <v>6901</v>
      </c>
      <c r="F3509" s="1">
        <v>586339</v>
      </c>
      <c r="G3509" s="1">
        <v>5210025125</v>
      </c>
      <c r="H3509" s="1">
        <v>6</v>
      </c>
      <c r="I3509" s="1" t="s">
        <v>6945</v>
      </c>
      <c r="J3509" t="s">
        <v>6946</v>
      </c>
    </row>
    <row r="3510" spans="1:10">
      <c r="A3510" s="1">
        <v>144477</v>
      </c>
      <c r="B3510" s="1">
        <v>5210000676</v>
      </c>
      <c r="C3510" s="1">
        <v>6</v>
      </c>
      <c r="D3510" s="1" t="s">
        <v>17</v>
      </c>
      <c r="E3510" t="s">
        <v>6902</v>
      </c>
      <c r="F3510" s="1">
        <v>469338</v>
      </c>
      <c r="G3510" s="1">
        <v>5210000124</v>
      </c>
      <c r="H3510" s="1">
        <v>3</v>
      </c>
      <c r="I3510" s="1" t="s">
        <v>203</v>
      </c>
      <c r="J3510" t="s">
        <v>6947</v>
      </c>
    </row>
    <row r="3511" spans="1:10">
      <c r="A3511" s="1">
        <v>310342</v>
      </c>
      <c r="B3511" s="1">
        <v>5210000321</v>
      </c>
      <c r="C3511" s="1">
        <v>3</v>
      </c>
      <c r="D3511" s="1" t="s">
        <v>31</v>
      </c>
      <c r="E3511" t="s">
        <v>6903</v>
      </c>
      <c r="F3511" s="1">
        <v>477018</v>
      </c>
      <c r="G3511" s="1">
        <v>5210000657</v>
      </c>
      <c r="H3511" s="1">
        <v>3</v>
      </c>
      <c r="I3511" s="1" t="s">
        <v>5211</v>
      </c>
      <c r="J3511" t="s">
        <v>6948</v>
      </c>
    </row>
    <row r="3512" spans="1:10">
      <c r="A3512" s="1">
        <v>149799</v>
      </c>
      <c r="B3512" s="1">
        <v>5210000810</v>
      </c>
      <c r="C3512" s="1">
        <v>6</v>
      </c>
      <c r="D3512" s="1" t="s">
        <v>31</v>
      </c>
      <c r="E3512" t="s">
        <v>6904</v>
      </c>
      <c r="F3512" s="1">
        <v>397257</v>
      </c>
      <c r="G3512" s="1">
        <v>5210056924</v>
      </c>
      <c r="H3512" s="1">
        <v>3</v>
      </c>
      <c r="I3512" s="1" t="s">
        <v>5211</v>
      </c>
      <c r="J3512" t="s">
        <v>6949</v>
      </c>
    </row>
    <row r="3513" spans="1:10">
      <c r="A3513" s="1">
        <v>144626</v>
      </c>
      <c r="B3513" s="1">
        <v>5210000247</v>
      </c>
      <c r="C3513" s="1">
        <v>6</v>
      </c>
      <c r="D3513" s="1" t="s">
        <v>203</v>
      </c>
      <c r="E3513" t="s">
        <v>6905</v>
      </c>
      <c r="F3513" s="1">
        <v>96230</v>
      </c>
      <c r="G3513" s="1">
        <v>5210000383</v>
      </c>
      <c r="H3513" s="1">
        <v>3</v>
      </c>
      <c r="I3513" s="1" t="s">
        <v>2280</v>
      </c>
      <c r="J3513" t="s">
        <v>6950</v>
      </c>
    </row>
    <row r="3514" spans="1:10">
      <c r="A3514" s="1">
        <v>309757</v>
      </c>
      <c r="B3514" s="1">
        <v>5210000295</v>
      </c>
      <c r="C3514" s="1">
        <v>3</v>
      </c>
      <c r="D3514" s="1" t="s">
        <v>18</v>
      </c>
      <c r="E3514" t="s">
        <v>6905</v>
      </c>
      <c r="F3514" s="1">
        <v>359323</v>
      </c>
      <c r="G3514" s="1">
        <v>5210056922</v>
      </c>
      <c r="H3514" s="1">
        <v>3</v>
      </c>
      <c r="I3514" s="1" t="s">
        <v>6951</v>
      </c>
      <c r="J3514" t="s">
        <v>6952</v>
      </c>
    </row>
    <row r="3515" spans="1:10">
      <c r="A3515" s="1">
        <v>310433</v>
      </c>
      <c r="B3515" s="1">
        <v>5210000298</v>
      </c>
      <c r="C3515" s="1">
        <v>3</v>
      </c>
      <c r="D3515" s="1" t="s">
        <v>18</v>
      </c>
      <c r="E3515" t="s">
        <v>6906</v>
      </c>
      <c r="F3515" s="1">
        <v>310722</v>
      </c>
      <c r="G3515" s="1">
        <v>5210000013</v>
      </c>
      <c r="H3515" s="1">
        <v>3</v>
      </c>
      <c r="I3515" s="1" t="s">
        <v>273</v>
      </c>
      <c r="J3515" t="s">
        <v>6953</v>
      </c>
    </row>
    <row r="3516" spans="1:10">
      <c r="A3516" s="1">
        <v>162263</v>
      </c>
      <c r="B3516" s="1">
        <v>5210056923</v>
      </c>
      <c r="C3516" s="1">
        <v>3</v>
      </c>
      <c r="D3516" s="1" t="s">
        <v>6907</v>
      </c>
      <c r="E3516" t="s">
        <v>6908</v>
      </c>
      <c r="F3516" s="1">
        <v>280263</v>
      </c>
      <c r="G3516" s="1">
        <v>5210000469</v>
      </c>
      <c r="H3516" s="1">
        <v>3</v>
      </c>
      <c r="I3516" s="1" t="s">
        <v>5211</v>
      </c>
      <c r="J3516" t="s">
        <v>6954</v>
      </c>
    </row>
    <row r="3517" spans="1:10">
      <c r="A3517" s="1">
        <v>145011</v>
      </c>
      <c r="B3517" s="1">
        <v>5210000248</v>
      </c>
      <c r="C3517" s="1">
        <v>6</v>
      </c>
      <c r="D3517" s="1" t="s">
        <v>6867</v>
      </c>
      <c r="E3517" t="s">
        <v>6909</v>
      </c>
      <c r="F3517" s="1">
        <v>433888</v>
      </c>
      <c r="G3517" s="1">
        <v>5210000463</v>
      </c>
      <c r="H3517" s="1">
        <v>3</v>
      </c>
      <c r="I3517" s="1" t="s">
        <v>17</v>
      </c>
      <c r="J3517" t="s">
        <v>6955</v>
      </c>
    </row>
    <row r="3518" spans="1:10">
      <c r="A3518" s="1">
        <v>149807</v>
      </c>
      <c r="B3518" s="1">
        <v>5210000326</v>
      </c>
      <c r="C3518" s="1">
        <v>6</v>
      </c>
      <c r="D3518" s="1" t="s">
        <v>6910</v>
      </c>
      <c r="E3518" t="s">
        <v>6911</v>
      </c>
      <c r="F3518" s="1">
        <v>310326</v>
      </c>
      <c r="G3518" s="1">
        <v>5210000351</v>
      </c>
      <c r="H3518" s="1">
        <v>3</v>
      </c>
      <c r="I3518" s="1" t="s">
        <v>6956</v>
      </c>
      <c r="J3518" t="s">
        <v>6957</v>
      </c>
    </row>
    <row r="3519" spans="1:10">
      <c r="A3519" s="1">
        <v>310060</v>
      </c>
      <c r="B3519" s="1">
        <v>5210000303</v>
      </c>
      <c r="C3519" s="1">
        <v>3</v>
      </c>
      <c r="D3519" s="1" t="s">
        <v>18</v>
      </c>
      <c r="E3519" t="s">
        <v>6912</v>
      </c>
      <c r="F3519" s="1">
        <v>310797</v>
      </c>
      <c r="G3519" s="1">
        <v>5210083016</v>
      </c>
      <c r="H3519" s="1">
        <v>3</v>
      </c>
      <c r="I3519" s="1" t="s">
        <v>200</v>
      </c>
      <c r="J3519" t="s">
        <v>6958</v>
      </c>
    </row>
    <row r="3520" spans="1:10">
      <c r="A3520" s="1">
        <v>309799</v>
      </c>
      <c r="B3520" s="1">
        <v>5210000339</v>
      </c>
      <c r="C3520" s="1">
        <v>3</v>
      </c>
      <c r="D3520" s="1" t="s">
        <v>17</v>
      </c>
      <c r="E3520" t="s">
        <v>6913</v>
      </c>
      <c r="F3520" s="1">
        <v>143420</v>
      </c>
      <c r="G3520" s="1">
        <v>5210000150</v>
      </c>
      <c r="H3520" s="1">
        <v>6</v>
      </c>
      <c r="I3520" s="1" t="s">
        <v>6933</v>
      </c>
      <c r="J3520" t="s">
        <v>6959</v>
      </c>
    </row>
    <row r="3521" spans="1:10">
      <c r="A3521" s="1">
        <v>326744</v>
      </c>
      <c r="B3521" s="1">
        <v>5210022586</v>
      </c>
      <c r="C3521" s="1">
        <v>3</v>
      </c>
      <c r="D3521" s="1" t="s">
        <v>6914</v>
      </c>
      <c r="E3521" t="s">
        <v>6915</v>
      </c>
      <c r="F3521" s="1">
        <v>590364</v>
      </c>
      <c r="G3521" s="1">
        <v>5210015848</v>
      </c>
      <c r="H3521" s="1">
        <v>6</v>
      </c>
      <c r="I3521" s="1" t="s">
        <v>14</v>
      </c>
      <c r="J3521" t="s">
        <v>6960</v>
      </c>
    </row>
    <row r="3522" spans="1:10">
      <c r="A3522" s="1">
        <v>481887</v>
      </c>
      <c r="B3522" s="1">
        <v>5210044862</v>
      </c>
      <c r="C3522" s="1">
        <v>6</v>
      </c>
      <c r="D3522" s="1" t="s">
        <v>6916</v>
      </c>
      <c r="E3522" t="s">
        <v>6917</v>
      </c>
      <c r="F3522" s="1">
        <v>143560</v>
      </c>
      <c r="G3522" s="1">
        <v>5210000246</v>
      </c>
      <c r="H3522" s="1">
        <v>6</v>
      </c>
      <c r="I3522" s="1" t="s">
        <v>421</v>
      </c>
      <c r="J3522" t="s">
        <v>6961</v>
      </c>
    </row>
    <row r="3523" spans="1:10">
      <c r="A3523" s="1">
        <v>572206</v>
      </c>
      <c r="B3523" s="1">
        <v>5210000404</v>
      </c>
      <c r="C3523" s="1">
        <v>3</v>
      </c>
      <c r="D3523" s="1" t="s">
        <v>6918</v>
      </c>
      <c r="E3523" t="s">
        <v>6919</v>
      </c>
      <c r="F3523" s="1">
        <v>147728</v>
      </c>
      <c r="G3523" s="1">
        <v>5210014260</v>
      </c>
      <c r="H3523" s="1">
        <v>6</v>
      </c>
      <c r="I3523" s="1" t="s">
        <v>312</v>
      </c>
      <c r="J3523" t="s">
        <v>6962</v>
      </c>
    </row>
    <row r="3524" spans="1:10">
      <c r="A3524" s="1">
        <v>144808</v>
      </c>
      <c r="B3524" s="1">
        <v>5210000522</v>
      </c>
      <c r="C3524" s="1">
        <v>6</v>
      </c>
      <c r="D3524" s="1" t="s">
        <v>421</v>
      </c>
      <c r="E3524" t="s">
        <v>6920</v>
      </c>
      <c r="F3524" s="1">
        <v>143453</v>
      </c>
      <c r="G3524" s="1">
        <v>5210000208</v>
      </c>
      <c r="H3524" s="1">
        <v>6</v>
      </c>
      <c r="I3524" s="1" t="s">
        <v>421</v>
      </c>
      <c r="J3524" t="s">
        <v>6963</v>
      </c>
    </row>
    <row r="3525" spans="1:10">
      <c r="A3525" s="1">
        <v>311852</v>
      </c>
      <c r="B3525" s="1">
        <v>5210083015</v>
      </c>
      <c r="C3525" s="1">
        <v>3</v>
      </c>
      <c r="D3525" s="1" t="s">
        <v>130</v>
      </c>
      <c r="E3525" t="s">
        <v>6921</v>
      </c>
      <c r="F3525" s="1">
        <v>306670</v>
      </c>
      <c r="G3525" s="1">
        <v>5210000977</v>
      </c>
      <c r="H3525" s="1">
        <v>6</v>
      </c>
      <c r="I3525" s="1" t="s">
        <v>2211</v>
      </c>
      <c r="J3525" t="s">
        <v>6964</v>
      </c>
    </row>
    <row r="3526" spans="1:10">
      <c r="A3526" s="1">
        <v>531749</v>
      </c>
      <c r="B3526" s="1">
        <v>5210000402</v>
      </c>
      <c r="C3526" s="1">
        <v>3</v>
      </c>
      <c r="D3526" s="1" t="s">
        <v>6922</v>
      </c>
      <c r="E3526" t="s">
        <v>6923</v>
      </c>
      <c r="F3526" s="1">
        <v>93849</v>
      </c>
      <c r="G3526" s="1">
        <v>5210084586</v>
      </c>
      <c r="H3526" s="1">
        <v>6</v>
      </c>
      <c r="I3526" s="1" t="s">
        <v>6965</v>
      </c>
      <c r="J3526" t="s">
        <v>6966</v>
      </c>
    </row>
    <row r="3527" spans="1:10" ht="15.75">
      <c r="A3527" s="4" t="s">
        <v>10790</v>
      </c>
      <c r="B3527" s="2"/>
      <c r="C3527" s="2"/>
      <c r="D3527" s="2"/>
      <c r="E3527" s="3"/>
      <c r="F3527" s="4" t="s">
        <v>10790</v>
      </c>
      <c r="G3527" s="2"/>
      <c r="H3527" s="2"/>
      <c r="I3527" s="2"/>
      <c r="J3527" s="3"/>
    </row>
    <row r="3528" spans="1:10">
      <c r="A3528" s="2" t="s">
        <v>0</v>
      </c>
      <c r="B3528" s="2" t="s">
        <v>1</v>
      </c>
      <c r="C3528" s="2" t="s">
        <v>2</v>
      </c>
      <c r="D3528" s="2" t="s">
        <v>3</v>
      </c>
      <c r="E3528" s="3" t="s">
        <v>4</v>
      </c>
      <c r="F3528" s="2" t="s">
        <v>0</v>
      </c>
      <c r="G3528" s="2" t="s">
        <v>1</v>
      </c>
      <c r="H3528" s="2" t="s">
        <v>2</v>
      </c>
      <c r="I3528" s="2" t="s">
        <v>3</v>
      </c>
      <c r="J3528" s="3" t="s">
        <v>4</v>
      </c>
    </row>
    <row r="3529" spans="1:10">
      <c r="A3529" s="1">
        <v>93773</v>
      </c>
      <c r="B3529" s="1">
        <v>5210068958</v>
      </c>
      <c r="C3529" s="1">
        <v>6</v>
      </c>
      <c r="D3529" s="1" t="s">
        <v>56</v>
      </c>
      <c r="E3529" t="s">
        <v>6967</v>
      </c>
      <c r="F3529" s="1">
        <v>309989</v>
      </c>
      <c r="G3529" s="1">
        <v>5210000324</v>
      </c>
      <c r="H3529" s="1">
        <v>3</v>
      </c>
      <c r="I3529" s="1" t="s">
        <v>273</v>
      </c>
      <c r="J3529" t="s">
        <v>7011</v>
      </c>
    </row>
    <row r="3530" spans="1:10">
      <c r="A3530" s="1">
        <v>297689</v>
      </c>
      <c r="B3530" s="1">
        <v>5210002575</v>
      </c>
      <c r="C3530" s="1">
        <v>12</v>
      </c>
      <c r="D3530" s="1" t="s">
        <v>6968</v>
      </c>
      <c r="E3530" t="s">
        <v>6969</v>
      </c>
      <c r="F3530" s="1">
        <v>144766</v>
      </c>
      <c r="G3530" s="1">
        <v>5210000534</v>
      </c>
      <c r="H3530" s="1">
        <v>6</v>
      </c>
      <c r="I3530" s="1" t="s">
        <v>33</v>
      </c>
      <c r="J3530" t="s">
        <v>7011</v>
      </c>
    </row>
    <row r="3531" spans="1:10">
      <c r="A3531" s="1">
        <v>90738</v>
      </c>
      <c r="B3531" s="1">
        <v>5210000970</v>
      </c>
      <c r="C3531" s="1">
        <v>6</v>
      </c>
      <c r="D3531" s="1" t="s">
        <v>6970</v>
      </c>
      <c r="E3531" t="s">
        <v>6971</v>
      </c>
      <c r="F3531" s="1">
        <v>145474</v>
      </c>
      <c r="G3531" s="1">
        <v>5210083017</v>
      </c>
      <c r="H3531" s="1">
        <v>3</v>
      </c>
      <c r="I3531" s="1" t="s">
        <v>155</v>
      </c>
      <c r="J3531" t="s">
        <v>7012</v>
      </c>
    </row>
    <row r="3532" spans="1:10">
      <c r="A3532" s="1">
        <v>93419</v>
      </c>
      <c r="B3532" s="1">
        <v>5210063476</v>
      </c>
      <c r="C3532" s="1">
        <v>6</v>
      </c>
      <c r="D3532" s="1" t="s">
        <v>2211</v>
      </c>
      <c r="E3532" t="s">
        <v>6972</v>
      </c>
      <c r="F3532" s="1">
        <v>309641</v>
      </c>
      <c r="G3532" s="1">
        <v>5210000396</v>
      </c>
      <c r="H3532" s="1">
        <v>3</v>
      </c>
      <c r="I3532" s="1" t="s">
        <v>6956</v>
      </c>
      <c r="J3532" t="s">
        <v>7013</v>
      </c>
    </row>
    <row r="3533" spans="1:10">
      <c r="A3533" s="1">
        <v>93450</v>
      </c>
      <c r="B3533" s="1">
        <v>5210063475</v>
      </c>
      <c r="C3533" s="1">
        <v>6</v>
      </c>
      <c r="D3533" s="1" t="s">
        <v>6973</v>
      </c>
      <c r="E3533" t="s">
        <v>6974</v>
      </c>
      <c r="F3533" s="1">
        <v>145037</v>
      </c>
      <c r="G3533" s="1">
        <v>5210000346</v>
      </c>
      <c r="H3533" s="1">
        <v>6</v>
      </c>
      <c r="I3533" s="1" t="s">
        <v>7014</v>
      </c>
      <c r="J3533" t="s">
        <v>7015</v>
      </c>
    </row>
    <row r="3534" spans="1:10">
      <c r="A3534" s="1">
        <v>93377</v>
      </c>
      <c r="B3534" s="1">
        <v>5210063474</v>
      </c>
      <c r="C3534" s="1">
        <v>6</v>
      </c>
      <c r="D3534" s="1" t="s">
        <v>6975</v>
      </c>
      <c r="E3534" t="s">
        <v>6976</v>
      </c>
      <c r="F3534" s="1">
        <v>310292</v>
      </c>
      <c r="G3534" s="1">
        <v>5210000349</v>
      </c>
      <c r="H3534" s="1">
        <v>3</v>
      </c>
      <c r="I3534" s="1" t="s">
        <v>273</v>
      </c>
      <c r="J3534" t="s">
        <v>7016</v>
      </c>
    </row>
    <row r="3535" spans="1:10">
      <c r="A3535" s="1">
        <v>147629</v>
      </c>
      <c r="B3535" s="1">
        <v>5210014259</v>
      </c>
      <c r="C3535" s="1">
        <v>6</v>
      </c>
      <c r="D3535" s="1" t="s">
        <v>421</v>
      </c>
      <c r="E3535" t="s">
        <v>6977</v>
      </c>
      <c r="F3535" s="1">
        <v>150854</v>
      </c>
      <c r="G3535" s="1">
        <v>5210000418</v>
      </c>
      <c r="H3535" s="1">
        <v>6</v>
      </c>
      <c r="I3535" s="1" t="s">
        <v>7014</v>
      </c>
      <c r="J3535" t="s">
        <v>7017</v>
      </c>
    </row>
    <row r="3536" spans="1:10">
      <c r="A3536" s="1">
        <v>861898</v>
      </c>
      <c r="B3536" s="1">
        <v>5210000454</v>
      </c>
      <c r="C3536" s="1">
        <v>3</v>
      </c>
      <c r="D3536" s="1" t="s">
        <v>18</v>
      </c>
      <c r="E3536" t="s">
        <v>6978</v>
      </c>
      <c r="F3536" s="1">
        <v>145052</v>
      </c>
      <c r="G3536" s="1">
        <v>5210000426</v>
      </c>
      <c r="H3536" s="1">
        <v>6</v>
      </c>
      <c r="I3536" s="1" t="s">
        <v>26</v>
      </c>
      <c r="J3536" t="s">
        <v>7018</v>
      </c>
    </row>
    <row r="3537" spans="1:10">
      <c r="A3537" s="1">
        <v>535211</v>
      </c>
      <c r="B3537" s="1">
        <v>5210000461</v>
      </c>
      <c r="C3537" s="1">
        <v>3</v>
      </c>
      <c r="D3537" s="1" t="s">
        <v>15</v>
      </c>
      <c r="E3537" t="s">
        <v>6979</v>
      </c>
      <c r="F3537" s="1">
        <v>310003</v>
      </c>
      <c r="G3537" s="1">
        <v>5210000385</v>
      </c>
      <c r="H3537" s="1">
        <v>3</v>
      </c>
      <c r="I3537" s="1" t="s">
        <v>421</v>
      </c>
      <c r="J3537" t="s">
        <v>7019</v>
      </c>
    </row>
    <row r="3538" spans="1:10">
      <c r="A3538" s="1">
        <v>75382</v>
      </c>
      <c r="B3538" s="1">
        <v>5210000453</v>
      </c>
      <c r="C3538" s="1">
        <v>3</v>
      </c>
      <c r="D3538" s="1" t="s">
        <v>17</v>
      </c>
      <c r="E3538" t="s">
        <v>6980</v>
      </c>
      <c r="F3538" s="1">
        <v>144758</v>
      </c>
      <c r="G3538" s="1">
        <v>5210000538</v>
      </c>
      <c r="H3538" s="1">
        <v>6</v>
      </c>
      <c r="I3538" s="1" t="s">
        <v>7020</v>
      </c>
      <c r="J3538" t="s">
        <v>7021</v>
      </c>
    </row>
    <row r="3539" spans="1:10">
      <c r="A3539" s="1">
        <v>806653</v>
      </c>
      <c r="B3539" s="1">
        <v>5210000471</v>
      </c>
      <c r="C3539" s="1">
        <v>3</v>
      </c>
      <c r="D3539" s="1" t="s">
        <v>6981</v>
      </c>
      <c r="E3539" t="s">
        <v>6982</v>
      </c>
      <c r="F3539" s="1">
        <v>144741</v>
      </c>
      <c r="G3539" s="1">
        <v>5210000546</v>
      </c>
      <c r="H3539" s="1">
        <v>6</v>
      </c>
      <c r="I3539" s="1" t="s">
        <v>89</v>
      </c>
      <c r="J3539" t="s">
        <v>7022</v>
      </c>
    </row>
    <row r="3540" spans="1:10">
      <c r="A3540" s="1">
        <v>771139</v>
      </c>
      <c r="B3540" s="1">
        <v>5210000452</v>
      </c>
      <c r="C3540" s="1">
        <v>3</v>
      </c>
      <c r="D3540" s="1" t="s">
        <v>6983</v>
      </c>
      <c r="E3540" t="s">
        <v>6984</v>
      </c>
      <c r="F3540" s="1">
        <v>150821</v>
      </c>
      <c r="G3540" s="1">
        <v>5210000387</v>
      </c>
      <c r="H3540" s="1">
        <v>3</v>
      </c>
      <c r="I3540" s="1" t="s">
        <v>17</v>
      </c>
      <c r="J3540" t="s">
        <v>7023</v>
      </c>
    </row>
    <row r="3541" spans="1:10">
      <c r="A3541" s="1">
        <v>105791</v>
      </c>
      <c r="B3541" s="1">
        <v>5210000472</v>
      </c>
      <c r="C3541" s="1">
        <v>3</v>
      </c>
      <c r="D3541" s="1" t="s">
        <v>26</v>
      </c>
      <c r="E3541" t="s">
        <v>6985</v>
      </c>
      <c r="F3541" s="1">
        <v>712380</v>
      </c>
      <c r="G3541" s="1">
        <v>5210068129</v>
      </c>
      <c r="H3541" s="1">
        <v>6</v>
      </c>
      <c r="I3541" s="1" t="s">
        <v>421</v>
      </c>
      <c r="J3541" t="s">
        <v>7024</v>
      </c>
    </row>
    <row r="3542" spans="1:10">
      <c r="A3542" s="1">
        <v>742619</v>
      </c>
      <c r="B3542" s="1">
        <v>5210000456</v>
      </c>
      <c r="C3542" s="1">
        <v>3</v>
      </c>
      <c r="D3542" s="1" t="s">
        <v>155</v>
      </c>
      <c r="E3542" t="s">
        <v>6986</v>
      </c>
      <c r="F3542" s="1">
        <v>144899</v>
      </c>
      <c r="G3542" s="1">
        <v>5210000336</v>
      </c>
      <c r="H3542" s="1">
        <v>6</v>
      </c>
      <c r="I3542" s="1" t="s">
        <v>277</v>
      </c>
      <c r="J3542" t="s">
        <v>7025</v>
      </c>
    </row>
    <row r="3543" spans="1:10">
      <c r="A3543" s="1">
        <v>366583</v>
      </c>
      <c r="B3543" s="1">
        <v>5210000586</v>
      </c>
      <c r="C3543" s="1">
        <v>3</v>
      </c>
      <c r="D3543" s="1" t="s">
        <v>5211</v>
      </c>
      <c r="E3543" t="s">
        <v>6987</v>
      </c>
      <c r="F3543" s="1">
        <v>310037</v>
      </c>
      <c r="G3543" s="1">
        <v>5210000341</v>
      </c>
      <c r="H3543" s="1">
        <v>3</v>
      </c>
      <c r="I3543" s="1" t="s">
        <v>7026</v>
      </c>
      <c r="J3543" t="s">
        <v>7027</v>
      </c>
    </row>
    <row r="3544" spans="1:10">
      <c r="A3544" s="1">
        <v>464172</v>
      </c>
      <c r="B3544" s="1">
        <v>5210000477</v>
      </c>
      <c r="C3544" s="1">
        <v>3</v>
      </c>
      <c r="D3544" s="1" t="s">
        <v>200</v>
      </c>
      <c r="E3544" t="s">
        <v>6988</v>
      </c>
      <c r="F3544" s="1">
        <v>150847</v>
      </c>
      <c r="G3544" s="1">
        <v>5210006340</v>
      </c>
      <c r="H3544" s="1">
        <v>12</v>
      </c>
      <c r="I3544" s="1" t="s">
        <v>781</v>
      </c>
      <c r="J3544" t="s">
        <v>7028</v>
      </c>
    </row>
    <row r="3545" spans="1:10">
      <c r="A3545" s="1">
        <v>433870</v>
      </c>
      <c r="B3545" s="1">
        <v>5210000451</v>
      </c>
      <c r="C3545" s="1">
        <v>3</v>
      </c>
      <c r="D3545" s="1" t="s">
        <v>203</v>
      </c>
      <c r="E3545" t="s">
        <v>6989</v>
      </c>
      <c r="F3545" s="1">
        <v>150839</v>
      </c>
      <c r="G3545" s="1">
        <v>5210006330</v>
      </c>
      <c r="H3545" s="1">
        <v>12</v>
      </c>
      <c r="I3545" s="1" t="s">
        <v>6221</v>
      </c>
      <c r="J3545" t="s">
        <v>7029</v>
      </c>
    </row>
    <row r="3546" spans="1:10">
      <c r="A3546" s="1">
        <v>527325</v>
      </c>
      <c r="B3546" s="1">
        <v>5210000476</v>
      </c>
      <c r="C3546" s="1">
        <v>3</v>
      </c>
      <c r="D3546" s="1" t="s">
        <v>18</v>
      </c>
      <c r="E3546" t="s">
        <v>6990</v>
      </c>
      <c r="F3546" s="1">
        <v>152660</v>
      </c>
      <c r="G3546" s="1">
        <v>5210006210</v>
      </c>
      <c r="H3546" s="1">
        <v>12</v>
      </c>
      <c r="I3546" s="1" t="s">
        <v>7020</v>
      </c>
      <c r="J3546" t="s">
        <v>7030</v>
      </c>
    </row>
    <row r="3547" spans="1:10">
      <c r="A3547" s="1">
        <v>543595</v>
      </c>
      <c r="B3547" s="1">
        <v>5210000582</v>
      </c>
      <c r="C3547" s="1">
        <v>3</v>
      </c>
      <c r="D3547" s="1" t="s">
        <v>18</v>
      </c>
      <c r="E3547" t="s">
        <v>6991</v>
      </c>
      <c r="F3547" s="1">
        <v>187138</v>
      </c>
      <c r="G3547" s="1">
        <v>5210012267</v>
      </c>
      <c r="H3547" s="1">
        <v>3</v>
      </c>
      <c r="I3547" s="1" t="s">
        <v>7031</v>
      </c>
      <c r="J3547" t="s">
        <v>7032</v>
      </c>
    </row>
    <row r="3548" spans="1:10">
      <c r="A3548" s="1">
        <v>367557</v>
      </c>
      <c r="B3548" s="1">
        <v>5210000583</v>
      </c>
      <c r="C3548" s="1">
        <v>3</v>
      </c>
      <c r="D3548" s="1" t="s">
        <v>277</v>
      </c>
      <c r="E3548" t="s">
        <v>6992</v>
      </c>
      <c r="F3548" s="1">
        <v>144329</v>
      </c>
      <c r="G3548" s="1">
        <v>5210000646</v>
      </c>
      <c r="H3548" s="1">
        <v>6</v>
      </c>
      <c r="I3548" s="1" t="s">
        <v>31</v>
      </c>
      <c r="J3548" t="s">
        <v>7033</v>
      </c>
    </row>
    <row r="3549" spans="1:10">
      <c r="A3549" s="1">
        <v>833475</v>
      </c>
      <c r="B3549" s="1">
        <v>5210000443</v>
      </c>
      <c r="C3549" s="1">
        <v>3</v>
      </c>
      <c r="D3549" s="1" t="s">
        <v>17</v>
      </c>
      <c r="E3549" t="s">
        <v>6993</v>
      </c>
      <c r="F3549" s="1">
        <v>309468</v>
      </c>
      <c r="G3549" s="1">
        <v>5210000371</v>
      </c>
      <c r="H3549" s="1">
        <v>3</v>
      </c>
      <c r="I3549" s="1" t="s">
        <v>7026</v>
      </c>
      <c r="J3549" t="s">
        <v>7034</v>
      </c>
    </row>
    <row r="3550" spans="1:10">
      <c r="A3550" s="1">
        <v>702076</v>
      </c>
      <c r="B3550" s="1">
        <v>5210000447</v>
      </c>
      <c r="C3550" s="1">
        <v>3</v>
      </c>
      <c r="D3550" s="1" t="s">
        <v>5235</v>
      </c>
      <c r="E3550" t="s">
        <v>6994</v>
      </c>
      <c r="F3550" s="1">
        <v>144675</v>
      </c>
      <c r="G3550" s="1">
        <v>5210000253</v>
      </c>
      <c r="H3550" s="1">
        <v>6</v>
      </c>
      <c r="I3550" s="1" t="s">
        <v>6867</v>
      </c>
      <c r="J3550" t="s">
        <v>7035</v>
      </c>
    </row>
    <row r="3551" spans="1:10">
      <c r="A3551" s="1">
        <v>786822</v>
      </c>
      <c r="B3551" s="1">
        <v>5210000462</v>
      </c>
      <c r="C3551" s="1">
        <v>3</v>
      </c>
      <c r="D3551" s="1" t="s">
        <v>6864</v>
      </c>
      <c r="E3551" t="s">
        <v>6995</v>
      </c>
      <c r="F3551" s="1">
        <v>145151</v>
      </c>
      <c r="G3551" s="1">
        <v>5210000254</v>
      </c>
      <c r="H3551" s="1">
        <v>6</v>
      </c>
      <c r="I3551" s="1" t="s">
        <v>108</v>
      </c>
      <c r="J3551" t="s">
        <v>7036</v>
      </c>
    </row>
    <row r="3552" spans="1:10">
      <c r="A3552" s="1">
        <v>342527</v>
      </c>
      <c r="B3552" s="1">
        <v>5210000493</v>
      </c>
      <c r="C3552" s="1">
        <v>3</v>
      </c>
      <c r="D3552" s="1" t="s">
        <v>17</v>
      </c>
      <c r="E3552" t="s">
        <v>6996</v>
      </c>
      <c r="F3552" s="1">
        <v>298448</v>
      </c>
      <c r="G3552" s="1">
        <v>5210000342</v>
      </c>
      <c r="H3552" s="1">
        <v>3</v>
      </c>
      <c r="I3552" s="1" t="s">
        <v>312</v>
      </c>
      <c r="J3552" t="s">
        <v>7036</v>
      </c>
    </row>
    <row r="3553" spans="1:10">
      <c r="A3553" s="1">
        <v>145268</v>
      </c>
      <c r="B3553" s="1">
        <v>5210005020</v>
      </c>
      <c r="C3553" s="1">
        <v>12</v>
      </c>
      <c r="D3553" s="1" t="s">
        <v>31</v>
      </c>
      <c r="E3553" t="s">
        <v>6997</v>
      </c>
      <c r="F3553" s="1">
        <v>144832</v>
      </c>
      <c r="G3553" s="1">
        <v>5210000256</v>
      </c>
      <c r="H3553" s="1">
        <v>6</v>
      </c>
      <c r="I3553" s="1" t="s">
        <v>99</v>
      </c>
      <c r="J3553" t="s">
        <v>7037</v>
      </c>
    </row>
    <row r="3554" spans="1:10">
      <c r="A3554" s="1">
        <v>144568</v>
      </c>
      <c r="B3554" s="1">
        <v>5210000232</v>
      </c>
      <c r="C3554" s="1">
        <v>6</v>
      </c>
      <c r="D3554" s="1" t="s">
        <v>203</v>
      </c>
      <c r="E3554" t="s">
        <v>6998</v>
      </c>
      <c r="F3554" s="1">
        <v>310086</v>
      </c>
      <c r="G3554" s="1">
        <v>5210000304</v>
      </c>
      <c r="H3554" s="1">
        <v>3</v>
      </c>
      <c r="I3554" s="1" t="s">
        <v>6981</v>
      </c>
      <c r="J3554" t="s">
        <v>7037</v>
      </c>
    </row>
    <row r="3555" spans="1:10">
      <c r="A3555" s="1">
        <v>309658</v>
      </c>
      <c r="B3555" s="1">
        <v>5210000291</v>
      </c>
      <c r="C3555" s="1">
        <v>3</v>
      </c>
      <c r="D3555" s="1" t="s">
        <v>5235</v>
      </c>
      <c r="E3555" t="s">
        <v>6998</v>
      </c>
      <c r="F3555" s="1">
        <v>310219</v>
      </c>
      <c r="G3555" s="1">
        <v>5210000343</v>
      </c>
      <c r="H3555" s="1">
        <v>3</v>
      </c>
      <c r="I3555" s="1" t="s">
        <v>17</v>
      </c>
      <c r="J3555" t="s">
        <v>7038</v>
      </c>
    </row>
    <row r="3556" spans="1:10">
      <c r="A3556" s="1">
        <v>144576</v>
      </c>
      <c r="B3556" s="1">
        <v>5210000438</v>
      </c>
      <c r="C3556" s="1">
        <v>6</v>
      </c>
      <c r="D3556" s="1" t="s">
        <v>6927</v>
      </c>
      <c r="E3556" t="s">
        <v>6998</v>
      </c>
      <c r="F3556" s="1">
        <v>145045</v>
      </c>
      <c r="G3556" s="1">
        <v>5210007119</v>
      </c>
      <c r="H3556" s="1">
        <v>12</v>
      </c>
      <c r="I3556" s="1" t="s">
        <v>14</v>
      </c>
      <c r="J3556" t="s">
        <v>7039</v>
      </c>
    </row>
    <row r="3557" spans="1:10">
      <c r="A3557" s="1">
        <v>144592</v>
      </c>
      <c r="B3557" s="1">
        <v>5210000233</v>
      </c>
      <c r="C3557" s="1">
        <v>6</v>
      </c>
      <c r="D3557" s="1" t="s">
        <v>85</v>
      </c>
      <c r="E3557" t="s">
        <v>6999</v>
      </c>
      <c r="F3557" s="1">
        <v>144311</v>
      </c>
      <c r="G3557" s="1">
        <v>5210007121</v>
      </c>
      <c r="H3557" s="1">
        <v>12</v>
      </c>
      <c r="I3557" s="1" t="s">
        <v>89</v>
      </c>
      <c r="J3557" t="s">
        <v>7040</v>
      </c>
    </row>
    <row r="3558" spans="1:10">
      <c r="A3558" s="1">
        <v>310672</v>
      </c>
      <c r="B3558" s="1">
        <v>5210000294</v>
      </c>
      <c r="C3558" s="1">
        <v>3</v>
      </c>
      <c r="D3558" s="1" t="s">
        <v>163</v>
      </c>
      <c r="E3558" t="s">
        <v>7000</v>
      </c>
      <c r="F3558" s="1">
        <v>298273</v>
      </c>
      <c r="G3558" s="1">
        <v>5210000365</v>
      </c>
      <c r="H3558" s="1">
        <v>3</v>
      </c>
      <c r="I3558" s="1" t="s">
        <v>31</v>
      </c>
      <c r="J3558" t="s">
        <v>7041</v>
      </c>
    </row>
    <row r="3559" spans="1:10">
      <c r="A3559" s="1">
        <v>144659</v>
      </c>
      <c r="B3559" s="1">
        <v>5210000251</v>
      </c>
      <c r="C3559" s="1">
        <v>6</v>
      </c>
      <c r="D3559" s="1" t="s">
        <v>2642</v>
      </c>
      <c r="E3559" t="s">
        <v>7001</v>
      </c>
      <c r="F3559" s="1">
        <v>144402</v>
      </c>
      <c r="G3559" s="1">
        <v>5210000647</v>
      </c>
      <c r="H3559" s="1">
        <v>6</v>
      </c>
      <c r="I3559" s="1" t="s">
        <v>6850</v>
      </c>
      <c r="J3559" t="s">
        <v>7041</v>
      </c>
    </row>
    <row r="3560" spans="1:10">
      <c r="A3560" s="1">
        <v>144667</v>
      </c>
      <c r="B3560" s="1">
        <v>5210000252</v>
      </c>
      <c r="C3560" s="1">
        <v>6</v>
      </c>
      <c r="D3560" s="1" t="s">
        <v>85</v>
      </c>
      <c r="E3560" t="s">
        <v>7002</v>
      </c>
      <c r="F3560" s="1">
        <v>370791</v>
      </c>
      <c r="G3560" s="1">
        <v>5210004565</v>
      </c>
      <c r="H3560" s="1">
        <v>12</v>
      </c>
      <c r="I3560" s="1" t="s">
        <v>6850</v>
      </c>
      <c r="J3560" t="s">
        <v>7042</v>
      </c>
    </row>
    <row r="3561" spans="1:10">
      <c r="A3561" s="1">
        <v>144683</v>
      </c>
      <c r="B3561" s="1">
        <v>5210000446</v>
      </c>
      <c r="C3561" s="1">
        <v>6</v>
      </c>
      <c r="D3561" s="1" t="s">
        <v>18</v>
      </c>
      <c r="E3561" t="s">
        <v>7003</v>
      </c>
      <c r="F3561" s="1">
        <v>144295</v>
      </c>
      <c r="G3561" s="1">
        <v>5210000656</v>
      </c>
      <c r="H3561" s="1">
        <v>6</v>
      </c>
      <c r="I3561" s="1" t="s">
        <v>7043</v>
      </c>
      <c r="J3561" t="s">
        <v>7044</v>
      </c>
    </row>
    <row r="3562" spans="1:10">
      <c r="A3562" s="1">
        <v>144436</v>
      </c>
      <c r="B3562" s="1">
        <v>5210000386</v>
      </c>
      <c r="C3562" s="1">
        <v>6</v>
      </c>
      <c r="D3562" s="1" t="s">
        <v>2288</v>
      </c>
      <c r="E3562" t="s">
        <v>7004</v>
      </c>
      <c r="F3562" s="1">
        <v>310144</v>
      </c>
      <c r="G3562" s="1">
        <v>5210000391</v>
      </c>
      <c r="H3562" s="1">
        <v>3</v>
      </c>
      <c r="I3562" s="1" t="s">
        <v>163</v>
      </c>
      <c r="J3562" t="s">
        <v>7045</v>
      </c>
    </row>
    <row r="3563" spans="1:10">
      <c r="A3563" s="1">
        <v>7815</v>
      </c>
      <c r="B3563" s="1">
        <v>5210000318</v>
      </c>
      <c r="C3563" s="1">
        <v>3</v>
      </c>
      <c r="D3563" s="1" t="s">
        <v>5116</v>
      </c>
      <c r="E3563" t="s">
        <v>7005</v>
      </c>
      <c r="F3563" s="1">
        <v>144444</v>
      </c>
      <c r="G3563" s="1">
        <v>5210000356</v>
      </c>
      <c r="H3563" s="1">
        <v>6</v>
      </c>
      <c r="I3563" s="1" t="s">
        <v>33</v>
      </c>
      <c r="J3563" t="s">
        <v>7046</v>
      </c>
    </row>
    <row r="3564" spans="1:10">
      <c r="A3564" s="1">
        <v>166199</v>
      </c>
      <c r="B3564" s="1">
        <v>5210000498</v>
      </c>
      <c r="C3564" s="1">
        <v>6</v>
      </c>
      <c r="D3564" s="1" t="s">
        <v>5235</v>
      </c>
      <c r="E3564" t="s">
        <v>7006</v>
      </c>
      <c r="F3564" s="1">
        <v>310169</v>
      </c>
      <c r="G3564" s="1">
        <v>5210000344</v>
      </c>
      <c r="H3564" s="1">
        <v>3</v>
      </c>
      <c r="I3564" s="1" t="s">
        <v>2280</v>
      </c>
      <c r="J3564" t="s">
        <v>7047</v>
      </c>
    </row>
    <row r="3565" spans="1:10">
      <c r="A3565" s="1">
        <v>878769</v>
      </c>
      <c r="B3565" s="1">
        <v>5210044537</v>
      </c>
      <c r="C3565" s="1">
        <v>6</v>
      </c>
      <c r="D3565" s="1" t="s">
        <v>7007</v>
      </c>
      <c r="E3565" t="s">
        <v>7008</v>
      </c>
      <c r="F3565" s="1">
        <v>145144</v>
      </c>
      <c r="G3565" s="1">
        <v>5210000716</v>
      </c>
      <c r="H3565" s="1">
        <v>6</v>
      </c>
      <c r="I3565" s="1" t="s">
        <v>33</v>
      </c>
      <c r="J3565" t="s">
        <v>7047</v>
      </c>
    </row>
    <row r="3566" spans="1:10">
      <c r="A3566" s="1">
        <v>691816</v>
      </c>
      <c r="B3566" s="1">
        <v>5210000405</v>
      </c>
      <c r="C3566" s="1">
        <v>3</v>
      </c>
      <c r="D3566" s="1" t="s">
        <v>4478</v>
      </c>
      <c r="E3566" t="s">
        <v>7009</v>
      </c>
      <c r="F3566" s="1">
        <v>288654</v>
      </c>
      <c r="G3566" s="1">
        <v>5210082788</v>
      </c>
      <c r="H3566" s="1">
        <v>3</v>
      </c>
      <c r="I3566" s="1" t="s">
        <v>6983</v>
      </c>
      <c r="J3566" t="s">
        <v>7048</v>
      </c>
    </row>
    <row r="3567" spans="1:10">
      <c r="A3567" s="1">
        <v>691360</v>
      </c>
      <c r="B3567" s="1">
        <v>5210000496</v>
      </c>
      <c r="C3567" s="1">
        <v>6</v>
      </c>
      <c r="D3567" s="1" t="s">
        <v>5235</v>
      </c>
      <c r="E3567" t="s">
        <v>7010</v>
      </c>
      <c r="F3567" s="1">
        <v>288522</v>
      </c>
      <c r="G3567" s="1">
        <v>5210082789</v>
      </c>
      <c r="H3567" s="1">
        <v>3</v>
      </c>
      <c r="I3567" s="1" t="s">
        <v>2280</v>
      </c>
      <c r="J3567" t="s">
        <v>7049</v>
      </c>
    </row>
    <row r="3568" spans="1:10" ht="15.75">
      <c r="A3568" s="4" t="s">
        <v>10790</v>
      </c>
      <c r="B3568" s="2"/>
      <c r="C3568" s="2"/>
      <c r="D3568" s="2"/>
      <c r="E3568" s="3"/>
      <c r="F3568" s="4" t="s">
        <v>10790</v>
      </c>
      <c r="G3568" s="2"/>
      <c r="H3568" s="2"/>
      <c r="I3568" s="2"/>
      <c r="J3568" s="3"/>
    </row>
    <row r="3569" spans="1:10">
      <c r="A3569" s="2" t="s">
        <v>0</v>
      </c>
      <c r="B3569" s="2" t="s">
        <v>1</v>
      </c>
      <c r="C3569" s="2" t="s">
        <v>2</v>
      </c>
      <c r="D3569" s="2" t="s">
        <v>3</v>
      </c>
      <c r="E3569" s="3" t="s">
        <v>4</v>
      </c>
      <c r="F3569" s="2" t="s">
        <v>0</v>
      </c>
      <c r="G3569" s="2" t="s">
        <v>1</v>
      </c>
      <c r="H3569" s="2" t="s">
        <v>2</v>
      </c>
      <c r="I3569" s="2" t="s">
        <v>3</v>
      </c>
      <c r="J3569" s="3" t="s">
        <v>4</v>
      </c>
    </row>
    <row r="3570" spans="1:10">
      <c r="A3570" s="1">
        <v>288407</v>
      </c>
      <c r="B3570" s="1">
        <v>5210082791</v>
      </c>
      <c r="C3570" s="1">
        <v>3</v>
      </c>
      <c r="D3570" s="1" t="s">
        <v>2280</v>
      </c>
      <c r="E3570" t="s">
        <v>7050</v>
      </c>
      <c r="F3570" s="1">
        <v>310318</v>
      </c>
      <c r="G3570" s="1">
        <v>5210000317</v>
      </c>
      <c r="H3570" s="1">
        <v>3</v>
      </c>
      <c r="I3570" s="1" t="s">
        <v>273</v>
      </c>
      <c r="J3570" t="s">
        <v>7087</v>
      </c>
    </row>
    <row r="3571" spans="1:10">
      <c r="A3571" s="1">
        <v>288308</v>
      </c>
      <c r="B3571" s="1">
        <v>5210082793</v>
      </c>
      <c r="C3571" s="1">
        <v>3</v>
      </c>
      <c r="D3571" s="1" t="s">
        <v>277</v>
      </c>
      <c r="E3571" t="s">
        <v>7051</v>
      </c>
      <c r="F3571" s="1">
        <v>144378</v>
      </c>
      <c r="G3571" s="1">
        <v>5210000553</v>
      </c>
      <c r="H3571" s="1">
        <v>6</v>
      </c>
      <c r="I3571" s="1" t="s">
        <v>6850</v>
      </c>
      <c r="J3571" t="s">
        <v>7088</v>
      </c>
    </row>
    <row r="3572" spans="1:10">
      <c r="A3572" s="1">
        <v>288100</v>
      </c>
      <c r="B3572" s="1">
        <v>5210082795</v>
      </c>
      <c r="C3572" s="1">
        <v>3</v>
      </c>
      <c r="D3572" s="1" t="s">
        <v>277</v>
      </c>
      <c r="E3572" t="s">
        <v>7052</v>
      </c>
      <c r="F3572" s="1">
        <v>309559</v>
      </c>
      <c r="G3572" s="1">
        <v>5210000355</v>
      </c>
      <c r="H3572" s="1">
        <v>3</v>
      </c>
      <c r="I3572" s="1" t="s">
        <v>312</v>
      </c>
      <c r="J3572" t="s">
        <v>7089</v>
      </c>
    </row>
    <row r="3573" spans="1:10">
      <c r="A3573" s="1">
        <v>288357</v>
      </c>
      <c r="B3573" s="1">
        <v>5210082792</v>
      </c>
      <c r="C3573" s="1">
        <v>3</v>
      </c>
      <c r="D3573" s="1" t="s">
        <v>7014</v>
      </c>
      <c r="E3573" t="s">
        <v>7053</v>
      </c>
      <c r="F3573" s="1">
        <v>144790</v>
      </c>
      <c r="G3573" s="1">
        <v>5210000508</v>
      </c>
      <c r="H3573" s="1">
        <v>6</v>
      </c>
      <c r="I3573" s="1" t="s">
        <v>397</v>
      </c>
      <c r="J3573" t="s">
        <v>7089</v>
      </c>
    </row>
    <row r="3574" spans="1:10">
      <c r="A3574" s="1">
        <v>288134</v>
      </c>
      <c r="B3574" s="1">
        <v>5210082794</v>
      </c>
      <c r="C3574" s="1">
        <v>3</v>
      </c>
      <c r="D3574" s="1" t="s">
        <v>33</v>
      </c>
      <c r="E3574" t="s">
        <v>7054</v>
      </c>
      <c r="F3574" s="1">
        <v>170159</v>
      </c>
      <c r="G3574" s="1">
        <v>5210000893</v>
      </c>
      <c r="H3574" s="1">
        <v>12</v>
      </c>
      <c r="I3574" s="1" t="s">
        <v>663</v>
      </c>
      <c r="J3574" t="s">
        <v>7090</v>
      </c>
    </row>
    <row r="3575" spans="1:10">
      <c r="A3575" s="1">
        <v>144451</v>
      </c>
      <c r="B3575" s="1">
        <v>5210000257</v>
      </c>
      <c r="C3575" s="1">
        <v>6</v>
      </c>
      <c r="D3575" s="1" t="s">
        <v>203</v>
      </c>
      <c r="E3575" t="s">
        <v>7055</v>
      </c>
      <c r="F3575" s="1">
        <v>111047</v>
      </c>
      <c r="G3575" s="1">
        <v>5210005712</v>
      </c>
      <c r="H3575" s="1">
        <v>6</v>
      </c>
      <c r="I3575" s="1" t="s">
        <v>1058</v>
      </c>
      <c r="J3575" t="s">
        <v>7091</v>
      </c>
    </row>
    <row r="3576" spans="1:10">
      <c r="A3576" s="1">
        <v>310177</v>
      </c>
      <c r="B3576" s="1">
        <v>5210000307</v>
      </c>
      <c r="C3576" s="1">
        <v>3</v>
      </c>
      <c r="D3576" s="1" t="s">
        <v>5211</v>
      </c>
      <c r="E3576" t="s">
        <v>7055</v>
      </c>
      <c r="F3576" s="1">
        <v>144212</v>
      </c>
      <c r="G3576" s="1">
        <v>5210074602</v>
      </c>
      <c r="H3576" s="1">
        <v>6</v>
      </c>
      <c r="I3576" s="1" t="s">
        <v>155</v>
      </c>
      <c r="J3576" t="s">
        <v>7092</v>
      </c>
    </row>
    <row r="3577" spans="1:10">
      <c r="A3577" s="1">
        <v>144394</v>
      </c>
      <c r="B3577" s="1">
        <v>5210000448</v>
      </c>
      <c r="C3577" s="1">
        <v>6</v>
      </c>
      <c r="D3577" s="1" t="s">
        <v>155</v>
      </c>
      <c r="E3577" t="s">
        <v>7055</v>
      </c>
      <c r="F3577" s="1">
        <v>143461</v>
      </c>
      <c r="G3577" s="1">
        <v>5210000245</v>
      </c>
      <c r="H3577" s="1">
        <v>6</v>
      </c>
      <c r="I3577" s="1" t="s">
        <v>247</v>
      </c>
      <c r="J3577" t="s">
        <v>7093</v>
      </c>
    </row>
    <row r="3578" spans="1:10">
      <c r="A3578" s="1">
        <v>310151</v>
      </c>
      <c r="B3578" s="1">
        <v>5210000373</v>
      </c>
      <c r="C3578" s="1">
        <v>3</v>
      </c>
      <c r="D3578" s="1" t="s">
        <v>7056</v>
      </c>
      <c r="E3578" t="s">
        <v>7057</v>
      </c>
      <c r="F3578" s="1">
        <v>145201</v>
      </c>
      <c r="G3578" s="1">
        <v>5210000491</v>
      </c>
      <c r="H3578" s="1">
        <v>6</v>
      </c>
      <c r="I3578" s="1" t="s">
        <v>6848</v>
      </c>
      <c r="J3578" t="s">
        <v>7094</v>
      </c>
    </row>
    <row r="3579" spans="1:10">
      <c r="A3579" s="1">
        <v>145136</v>
      </c>
      <c r="B3579" s="1">
        <v>5210000738</v>
      </c>
      <c r="C3579" s="1">
        <v>6</v>
      </c>
      <c r="D3579" s="1" t="s">
        <v>7026</v>
      </c>
      <c r="E3579" t="s">
        <v>7057</v>
      </c>
      <c r="F3579" s="1">
        <v>310573</v>
      </c>
      <c r="G3579" s="1">
        <v>5210000327</v>
      </c>
      <c r="H3579" s="1">
        <v>3</v>
      </c>
      <c r="I3579" s="1" t="s">
        <v>18</v>
      </c>
      <c r="J3579" t="s">
        <v>7095</v>
      </c>
    </row>
    <row r="3580" spans="1:10">
      <c r="A3580" s="1">
        <v>144709</v>
      </c>
      <c r="B3580" s="1">
        <v>5210007114</v>
      </c>
      <c r="C3580" s="1">
        <v>12</v>
      </c>
      <c r="D3580" s="1" t="s">
        <v>2280</v>
      </c>
      <c r="E3580" t="s">
        <v>7057</v>
      </c>
      <c r="F3580" s="1">
        <v>309708</v>
      </c>
      <c r="G3580" s="1">
        <v>5210000397</v>
      </c>
      <c r="H3580" s="1">
        <v>3</v>
      </c>
      <c r="I3580" s="1" t="s">
        <v>15</v>
      </c>
      <c r="J3580" t="s">
        <v>7096</v>
      </c>
    </row>
    <row r="3581" spans="1:10">
      <c r="A3581" s="1">
        <v>144634</v>
      </c>
      <c r="B3581" s="1">
        <v>5210000688</v>
      </c>
      <c r="C3581" s="1">
        <v>6</v>
      </c>
      <c r="D3581" s="1" t="s">
        <v>6927</v>
      </c>
      <c r="E3581" t="s">
        <v>7058</v>
      </c>
      <c r="F3581" s="1">
        <v>310458</v>
      </c>
      <c r="G3581" s="1">
        <v>5210000335</v>
      </c>
      <c r="H3581" s="1">
        <v>3</v>
      </c>
      <c r="I3581" s="1" t="s">
        <v>200</v>
      </c>
      <c r="J3581" t="s">
        <v>7097</v>
      </c>
    </row>
    <row r="3582" spans="1:10">
      <c r="A3582" s="1">
        <v>298778</v>
      </c>
      <c r="B3582" s="1">
        <v>5210000281</v>
      </c>
      <c r="C3582" s="1">
        <v>3</v>
      </c>
      <c r="D3582" s="1" t="s">
        <v>5211</v>
      </c>
      <c r="E3582" t="s">
        <v>7059</v>
      </c>
      <c r="F3582" s="1">
        <v>144923</v>
      </c>
      <c r="G3582" s="1">
        <v>5210000217</v>
      </c>
      <c r="H3582" s="1">
        <v>6</v>
      </c>
      <c r="I3582" s="1" t="s">
        <v>85</v>
      </c>
      <c r="J3582" t="s">
        <v>7098</v>
      </c>
    </row>
    <row r="3583" spans="1:10">
      <c r="A3583" s="1">
        <v>148825</v>
      </c>
      <c r="B3583" s="1">
        <v>5210007143</v>
      </c>
      <c r="C3583" s="1">
        <v>12</v>
      </c>
      <c r="D3583" s="1" t="s">
        <v>421</v>
      </c>
      <c r="E3583" t="s">
        <v>7060</v>
      </c>
      <c r="F3583" s="1">
        <v>309740</v>
      </c>
      <c r="G3583" s="1">
        <v>5210000337</v>
      </c>
      <c r="H3583" s="1">
        <v>3</v>
      </c>
      <c r="I3583" s="1" t="s">
        <v>17</v>
      </c>
      <c r="J3583" t="s">
        <v>7099</v>
      </c>
    </row>
    <row r="3584" spans="1:10">
      <c r="A3584" s="1">
        <v>144873</v>
      </c>
      <c r="B3584" s="1">
        <v>5210007126</v>
      </c>
      <c r="C3584" s="1">
        <v>12</v>
      </c>
      <c r="D3584" s="1" t="s">
        <v>397</v>
      </c>
      <c r="E3584" t="s">
        <v>7061</v>
      </c>
      <c r="F3584" s="1">
        <v>150862</v>
      </c>
      <c r="G3584" s="1">
        <v>5210000258</v>
      </c>
      <c r="H3584" s="1">
        <v>6</v>
      </c>
      <c r="I3584" s="1" t="s">
        <v>15</v>
      </c>
      <c r="J3584" t="s">
        <v>7100</v>
      </c>
    </row>
    <row r="3585" spans="1:10">
      <c r="A3585" s="1">
        <v>144501</v>
      </c>
      <c r="B3585" s="1">
        <v>5210000269</v>
      </c>
      <c r="C3585" s="1">
        <v>6</v>
      </c>
      <c r="D3585" s="1" t="s">
        <v>203</v>
      </c>
      <c r="E3585" t="s">
        <v>7062</v>
      </c>
      <c r="F3585" s="1">
        <v>145060</v>
      </c>
      <c r="G3585" s="1">
        <v>5210000259</v>
      </c>
      <c r="H3585" s="1">
        <v>6</v>
      </c>
      <c r="I3585" s="1" t="s">
        <v>203</v>
      </c>
      <c r="J3585" t="s">
        <v>7101</v>
      </c>
    </row>
    <row r="3586" spans="1:10">
      <c r="A3586" s="1">
        <v>144493</v>
      </c>
      <c r="B3586" s="1">
        <v>5210007127</v>
      </c>
      <c r="C3586" s="1">
        <v>12</v>
      </c>
      <c r="D3586" s="1" t="s">
        <v>6850</v>
      </c>
      <c r="E3586" t="s">
        <v>7063</v>
      </c>
      <c r="F3586" s="1">
        <v>310078</v>
      </c>
      <c r="G3586" s="1">
        <v>5210000352</v>
      </c>
      <c r="H3586" s="1">
        <v>3</v>
      </c>
      <c r="I3586" s="1" t="s">
        <v>5235</v>
      </c>
      <c r="J3586" t="s">
        <v>7101</v>
      </c>
    </row>
    <row r="3587" spans="1:10">
      <c r="A3587" s="1">
        <v>310235</v>
      </c>
      <c r="B3587" s="1">
        <v>5210000283</v>
      </c>
      <c r="C3587" s="1">
        <v>3</v>
      </c>
      <c r="D3587" s="1" t="s">
        <v>18</v>
      </c>
      <c r="E3587" t="s">
        <v>7064</v>
      </c>
      <c r="F3587" s="1">
        <v>582973</v>
      </c>
      <c r="G3587" s="1">
        <v>5210022534</v>
      </c>
      <c r="H3587" s="1">
        <v>3</v>
      </c>
      <c r="I3587" s="1" t="s">
        <v>2163</v>
      </c>
      <c r="J3587" t="s">
        <v>7102</v>
      </c>
    </row>
    <row r="3588" spans="1:10">
      <c r="A3588" s="1">
        <v>310581</v>
      </c>
      <c r="B3588" s="1">
        <v>5210000284</v>
      </c>
      <c r="C3588" s="1">
        <v>3</v>
      </c>
      <c r="D3588" s="1" t="s">
        <v>200</v>
      </c>
      <c r="E3588" t="s">
        <v>7065</v>
      </c>
      <c r="F3588" s="1">
        <v>499871</v>
      </c>
      <c r="G3588" s="1">
        <v>5210084733</v>
      </c>
      <c r="H3588" s="1">
        <v>6</v>
      </c>
      <c r="I3588" s="1" t="s">
        <v>108</v>
      </c>
      <c r="J3588" t="s">
        <v>7103</v>
      </c>
    </row>
    <row r="3589" spans="1:10">
      <c r="A3589" s="1">
        <v>144469</v>
      </c>
      <c r="B3589" s="1">
        <v>5210000286</v>
      </c>
      <c r="C3589" s="1">
        <v>6</v>
      </c>
      <c r="D3589" s="1" t="s">
        <v>203</v>
      </c>
      <c r="E3589" t="s">
        <v>7066</v>
      </c>
      <c r="F3589" s="1">
        <v>894451</v>
      </c>
      <c r="G3589" s="1">
        <v>5210058561</v>
      </c>
      <c r="H3589" s="1">
        <v>12</v>
      </c>
      <c r="I3589" s="1" t="s">
        <v>31</v>
      </c>
      <c r="J3589" t="s">
        <v>7104</v>
      </c>
    </row>
    <row r="3590" spans="1:10">
      <c r="A3590" s="1">
        <v>310243</v>
      </c>
      <c r="B3590" s="1">
        <v>5210000285</v>
      </c>
      <c r="C3590" s="1">
        <v>3</v>
      </c>
      <c r="D3590" s="1" t="s">
        <v>18</v>
      </c>
      <c r="E3590" t="s">
        <v>7067</v>
      </c>
      <c r="F3590" s="1">
        <v>665273</v>
      </c>
      <c r="G3590" s="1">
        <v>5210000494</v>
      </c>
      <c r="H3590" s="1">
        <v>6</v>
      </c>
      <c r="I3590" s="1" t="s">
        <v>417</v>
      </c>
      <c r="J3590" t="s">
        <v>7105</v>
      </c>
    </row>
    <row r="3591" spans="1:10">
      <c r="A3591" s="1">
        <v>310227</v>
      </c>
      <c r="B3591" s="1">
        <v>5210000345</v>
      </c>
      <c r="C3591" s="1">
        <v>3</v>
      </c>
      <c r="D3591" s="1" t="s">
        <v>5235</v>
      </c>
      <c r="E3591" t="s">
        <v>7068</v>
      </c>
      <c r="F3591" s="1">
        <v>453050</v>
      </c>
      <c r="G3591" s="1">
        <v>5210044339</v>
      </c>
      <c r="H3591" s="1">
        <v>3</v>
      </c>
      <c r="I3591" s="1" t="s">
        <v>5211</v>
      </c>
      <c r="J3591" t="s">
        <v>7106</v>
      </c>
    </row>
    <row r="3592" spans="1:10">
      <c r="A3592" s="1">
        <v>144865</v>
      </c>
      <c r="B3592" s="1">
        <v>5210007128</v>
      </c>
      <c r="C3592" s="1">
        <v>12</v>
      </c>
      <c r="D3592" s="1" t="s">
        <v>536</v>
      </c>
      <c r="E3592" t="s">
        <v>7069</v>
      </c>
      <c r="F3592" s="1">
        <v>200113</v>
      </c>
      <c r="G3592" s="1">
        <v>5210000262</v>
      </c>
      <c r="H3592" s="1">
        <v>6</v>
      </c>
      <c r="I3592" s="1" t="s">
        <v>200</v>
      </c>
      <c r="J3592" t="s">
        <v>7107</v>
      </c>
    </row>
    <row r="3593" spans="1:10">
      <c r="A3593" s="1">
        <v>143933</v>
      </c>
      <c r="B3593" s="1">
        <v>5210000842</v>
      </c>
      <c r="C3593" s="1">
        <v>6</v>
      </c>
      <c r="D3593" s="1" t="s">
        <v>312</v>
      </c>
      <c r="E3593" t="s">
        <v>7070</v>
      </c>
      <c r="F3593" s="1">
        <v>310730</v>
      </c>
      <c r="G3593" s="1">
        <v>5210000310</v>
      </c>
      <c r="H3593" s="1">
        <v>3</v>
      </c>
      <c r="I3593" s="1" t="s">
        <v>18</v>
      </c>
      <c r="J3593" t="s">
        <v>7108</v>
      </c>
    </row>
    <row r="3594" spans="1:10">
      <c r="A3594" s="1">
        <v>144196</v>
      </c>
      <c r="B3594" s="1">
        <v>5210074604</v>
      </c>
      <c r="C3594" s="1">
        <v>6</v>
      </c>
      <c r="D3594" s="1" t="s">
        <v>6867</v>
      </c>
      <c r="E3594" t="s">
        <v>7071</v>
      </c>
      <c r="F3594" s="1">
        <v>309484</v>
      </c>
      <c r="G3594" s="1">
        <v>5210000328</v>
      </c>
      <c r="H3594" s="1">
        <v>3</v>
      </c>
      <c r="I3594" s="1" t="s">
        <v>6956</v>
      </c>
      <c r="J3594" t="s">
        <v>7109</v>
      </c>
    </row>
    <row r="3595" spans="1:10">
      <c r="A3595" s="1">
        <v>310284</v>
      </c>
      <c r="B3595" s="1">
        <v>5210000173</v>
      </c>
      <c r="C3595" s="1">
        <v>3</v>
      </c>
      <c r="D3595" s="1" t="s">
        <v>5211</v>
      </c>
      <c r="E3595" t="s">
        <v>7072</v>
      </c>
      <c r="F3595" s="1">
        <v>310540</v>
      </c>
      <c r="G3595" s="1">
        <v>5210000353</v>
      </c>
      <c r="H3595" s="1">
        <v>3</v>
      </c>
      <c r="I3595" s="1" t="s">
        <v>26</v>
      </c>
      <c r="J3595" t="s">
        <v>7110</v>
      </c>
    </row>
    <row r="3596" spans="1:10">
      <c r="A3596" s="1">
        <v>145094</v>
      </c>
      <c r="B3596" s="1">
        <v>5210000502</v>
      </c>
      <c r="C3596" s="1">
        <v>6</v>
      </c>
      <c r="D3596" s="1" t="s">
        <v>17</v>
      </c>
      <c r="E3596" t="s">
        <v>7073</v>
      </c>
      <c r="F3596" s="1">
        <v>152678</v>
      </c>
      <c r="G3596" s="1">
        <v>5210006040</v>
      </c>
      <c r="H3596" s="1">
        <v>12</v>
      </c>
      <c r="I3596" s="1" t="s">
        <v>6933</v>
      </c>
      <c r="J3596" t="s">
        <v>7111</v>
      </c>
    </row>
    <row r="3597" spans="1:10">
      <c r="A3597" s="1">
        <v>310268</v>
      </c>
      <c r="B3597" s="1">
        <v>5210000348</v>
      </c>
      <c r="C3597" s="1">
        <v>3</v>
      </c>
      <c r="D3597" s="1" t="s">
        <v>155</v>
      </c>
      <c r="E3597" t="s">
        <v>7074</v>
      </c>
      <c r="F3597" s="1">
        <v>144824</v>
      </c>
      <c r="G3597" s="1">
        <v>5210000424</v>
      </c>
      <c r="H3597" s="1">
        <v>6</v>
      </c>
      <c r="I3597" s="1" t="s">
        <v>2644</v>
      </c>
      <c r="J3597" t="s">
        <v>7112</v>
      </c>
    </row>
    <row r="3598" spans="1:10">
      <c r="A3598" s="1">
        <v>310276</v>
      </c>
      <c r="B3598" s="1">
        <v>5210000308</v>
      </c>
      <c r="C3598" s="1">
        <v>3</v>
      </c>
      <c r="D3598" s="1" t="s">
        <v>15</v>
      </c>
      <c r="E3598" t="s">
        <v>7075</v>
      </c>
      <c r="F3598" s="1">
        <v>310052</v>
      </c>
      <c r="G3598" s="1">
        <v>5210000319</v>
      </c>
      <c r="H3598" s="1">
        <v>3</v>
      </c>
      <c r="I3598" s="1" t="s">
        <v>15</v>
      </c>
      <c r="J3598" t="s">
        <v>7112</v>
      </c>
    </row>
    <row r="3599" spans="1:10">
      <c r="A3599" s="1">
        <v>144428</v>
      </c>
      <c r="B3599" s="1">
        <v>5210000264</v>
      </c>
      <c r="C3599" s="1">
        <v>6</v>
      </c>
      <c r="D3599" s="1" t="s">
        <v>200</v>
      </c>
      <c r="E3599" t="s">
        <v>7076</v>
      </c>
      <c r="F3599" s="1">
        <v>310524</v>
      </c>
      <c r="G3599" s="1">
        <v>5210000354</v>
      </c>
      <c r="H3599" s="1">
        <v>3</v>
      </c>
      <c r="I3599" s="1" t="s">
        <v>273</v>
      </c>
      <c r="J3599" t="s">
        <v>7113</v>
      </c>
    </row>
    <row r="3600" spans="1:10">
      <c r="A3600" s="1">
        <v>144550</v>
      </c>
      <c r="B3600" s="1">
        <v>5210000432</v>
      </c>
      <c r="C3600" s="1">
        <v>6</v>
      </c>
      <c r="D3600" s="1" t="s">
        <v>312</v>
      </c>
      <c r="E3600" t="s">
        <v>7077</v>
      </c>
      <c r="F3600" s="1">
        <v>310045</v>
      </c>
      <c r="G3600" s="1">
        <v>5210000320</v>
      </c>
      <c r="H3600" s="1">
        <v>3</v>
      </c>
      <c r="I3600" s="1" t="s">
        <v>31</v>
      </c>
      <c r="J3600" t="s">
        <v>7114</v>
      </c>
    </row>
    <row r="3601" spans="1:10">
      <c r="A3601" s="1">
        <v>311977</v>
      </c>
      <c r="B3601" s="1">
        <v>5210083019</v>
      </c>
      <c r="C3601" s="1">
        <v>3</v>
      </c>
      <c r="D3601" s="1" t="s">
        <v>249</v>
      </c>
      <c r="E3601" t="s">
        <v>7078</v>
      </c>
      <c r="F3601" s="1">
        <v>144816</v>
      </c>
      <c r="G3601" s="1">
        <v>5210000261</v>
      </c>
      <c r="H3601" s="1">
        <v>6</v>
      </c>
      <c r="I3601" s="1" t="s">
        <v>6878</v>
      </c>
      <c r="J3601" t="s">
        <v>7115</v>
      </c>
    </row>
    <row r="3602" spans="1:10">
      <c r="A3602" s="1">
        <v>577262</v>
      </c>
      <c r="B3602" s="1">
        <v>5210044639</v>
      </c>
      <c r="C3602" s="1">
        <v>12</v>
      </c>
      <c r="D3602" s="1" t="s">
        <v>536</v>
      </c>
      <c r="E3602" t="s">
        <v>7079</v>
      </c>
      <c r="F3602" s="1">
        <v>144261</v>
      </c>
      <c r="G3602" s="1">
        <v>5210007113</v>
      </c>
      <c r="H3602" s="1">
        <v>12</v>
      </c>
      <c r="I3602" s="1" t="s">
        <v>5116</v>
      </c>
      <c r="J3602" t="s">
        <v>7116</v>
      </c>
    </row>
    <row r="3603" spans="1:10">
      <c r="A3603" s="1">
        <v>311241</v>
      </c>
      <c r="B3603" s="1">
        <v>5210084009</v>
      </c>
      <c r="C3603" s="1">
        <v>3</v>
      </c>
      <c r="D3603" s="1" t="s">
        <v>203</v>
      </c>
      <c r="E3603" t="s">
        <v>7080</v>
      </c>
      <c r="F3603" s="1">
        <v>76802</v>
      </c>
      <c r="G3603" s="1">
        <v>5210056828</v>
      </c>
      <c r="H3603" s="1">
        <v>12</v>
      </c>
      <c r="I3603" s="1" t="s">
        <v>31</v>
      </c>
      <c r="J3603" t="s">
        <v>7117</v>
      </c>
    </row>
    <row r="3604" spans="1:10">
      <c r="A3604" s="1">
        <v>145086</v>
      </c>
      <c r="B3604" s="1">
        <v>5210000376</v>
      </c>
      <c r="C3604" s="1">
        <v>6</v>
      </c>
      <c r="D3604" s="1" t="s">
        <v>7081</v>
      </c>
      <c r="E3604" t="s">
        <v>7082</v>
      </c>
      <c r="F3604" s="1">
        <v>712414</v>
      </c>
      <c r="G3604" s="1">
        <v>2460001703</v>
      </c>
      <c r="H3604" s="1">
        <v>12</v>
      </c>
      <c r="I3604" s="1" t="s">
        <v>381</v>
      </c>
      <c r="J3604" t="s">
        <v>7118</v>
      </c>
    </row>
    <row r="3605" spans="1:10">
      <c r="A3605" s="1">
        <v>153023</v>
      </c>
      <c r="B3605" s="1">
        <v>5210000023</v>
      </c>
      <c r="C3605" s="1">
        <v>6</v>
      </c>
      <c r="D3605" s="1" t="s">
        <v>6933</v>
      </c>
      <c r="E3605" t="s">
        <v>7083</v>
      </c>
      <c r="F3605" s="1">
        <v>133488</v>
      </c>
      <c r="G3605" s="1">
        <v>2460001700</v>
      </c>
      <c r="H3605" s="1">
        <v>12</v>
      </c>
      <c r="I3605" s="1" t="s">
        <v>865</v>
      </c>
      <c r="J3605" t="s">
        <v>7118</v>
      </c>
    </row>
    <row r="3606" spans="1:10">
      <c r="A3606" s="1">
        <v>320085</v>
      </c>
      <c r="B3606" s="1">
        <v>5210000361</v>
      </c>
      <c r="C3606" s="1">
        <v>6</v>
      </c>
      <c r="D3606" s="1" t="s">
        <v>6850</v>
      </c>
      <c r="E3606" t="s">
        <v>7084</v>
      </c>
      <c r="F3606" s="1">
        <v>133439</v>
      </c>
      <c r="G3606" s="1">
        <v>2460001058</v>
      </c>
      <c r="H3606" s="1">
        <v>12</v>
      </c>
      <c r="I3606" s="1" t="s">
        <v>358</v>
      </c>
      <c r="J3606" t="s">
        <v>7119</v>
      </c>
    </row>
    <row r="3607" spans="1:10">
      <c r="A3607" s="1">
        <v>143909</v>
      </c>
      <c r="B3607" s="1">
        <v>5210000843</v>
      </c>
      <c r="C3607" s="1">
        <v>6</v>
      </c>
      <c r="D3607" s="1" t="s">
        <v>421</v>
      </c>
      <c r="E3607" t="s">
        <v>7085</v>
      </c>
      <c r="F3607" s="1">
        <v>133348</v>
      </c>
      <c r="G3607" s="1">
        <v>2460001003</v>
      </c>
      <c r="H3607" s="1">
        <v>24</v>
      </c>
      <c r="I3607" s="1" t="s">
        <v>637</v>
      </c>
      <c r="J3607" t="s">
        <v>7120</v>
      </c>
    </row>
    <row r="3608" spans="1:10">
      <c r="A3608" s="1">
        <v>310300</v>
      </c>
      <c r="B3608" s="1">
        <v>5210000350</v>
      </c>
      <c r="C3608" s="1">
        <v>3</v>
      </c>
      <c r="D3608" s="1" t="s">
        <v>2288</v>
      </c>
      <c r="E3608" t="s">
        <v>7086</v>
      </c>
      <c r="F3608" s="1">
        <v>133314</v>
      </c>
      <c r="G3608" s="1">
        <v>2460001041</v>
      </c>
      <c r="H3608" s="1">
        <v>24</v>
      </c>
      <c r="I3608" s="1" t="s">
        <v>363</v>
      </c>
      <c r="J3608" t="s">
        <v>7121</v>
      </c>
    </row>
    <row r="3609" spans="1:10" ht="15.75">
      <c r="A3609" s="4" t="s">
        <v>10790</v>
      </c>
      <c r="B3609" s="2"/>
      <c r="C3609" s="2"/>
      <c r="D3609" s="2"/>
      <c r="E3609" s="3"/>
      <c r="F3609" s="4" t="s">
        <v>10790</v>
      </c>
      <c r="G3609" s="2"/>
      <c r="H3609" s="2"/>
      <c r="I3609" s="2"/>
      <c r="J3609" s="3"/>
    </row>
    <row r="3610" spans="1:10">
      <c r="A3610" s="2" t="s">
        <v>0</v>
      </c>
      <c r="B3610" s="2" t="s">
        <v>1</v>
      </c>
      <c r="C3610" s="2" t="s">
        <v>2</v>
      </c>
      <c r="D3610" s="2" t="s">
        <v>3</v>
      </c>
      <c r="E3610" s="3" t="s">
        <v>4</v>
      </c>
      <c r="F3610" s="2" t="s">
        <v>0</v>
      </c>
      <c r="G3610" s="2" t="s">
        <v>1</v>
      </c>
      <c r="H3610" s="2" t="s">
        <v>2</v>
      </c>
      <c r="I3610" s="2" t="s">
        <v>3</v>
      </c>
      <c r="J3610" s="3" t="s">
        <v>4</v>
      </c>
    </row>
    <row r="3611" spans="1:10">
      <c r="A3611" s="1">
        <v>133306</v>
      </c>
      <c r="B3611" s="1">
        <v>2460001001</v>
      </c>
      <c r="C3611" s="1">
        <v>24</v>
      </c>
      <c r="D3611" s="1" t="s">
        <v>637</v>
      </c>
      <c r="E3611" t="s">
        <v>7122</v>
      </c>
      <c r="F3611" s="1">
        <v>137174</v>
      </c>
      <c r="G3611" s="1">
        <v>1116614607</v>
      </c>
      <c r="H3611" s="1">
        <v>12</v>
      </c>
      <c r="I3611" s="1" t="s">
        <v>397</v>
      </c>
      <c r="J3611" t="s">
        <v>7162</v>
      </c>
    </row>
    <row r="3612" spans="1:10">
      <c r="A3612" s="1">
        <v>133512</v>
      </c>
      <c r="B3612" s="1">
        <v>2460001043</v>
      </c>
      <c r="C3612" s="1">
        <v>12</v>
      </c>
      <c r="D3612" s="1" t="s">
        <v>7123</v>
      </c>
      <c r="E3612" t="s">
        <v>7124</v>
      </c>
      <c r="F3612" s="1">
        <v>79822</v>
      </c>
      <c r="G3612" s="1">
        <v>1116607982</v>
      </c>
      <c r="H3612" s="1">
        <v>6</v>
      </c>
      <c r="I3612" s="1" t="s">
        <v>312</v>
      </c>
      <c r="J3612" t="s">
        <v>7163</v>
      </c>
    </row>
    <row r="3613" spans="1:10">
      <c r="A3613" s="1">
        <v>134015</v>
      </c>
      <c r="B3613" s="1">
        <v>2460001044</v>
      </c>
      <c r="C3613" s="1">
        <v>12</v>
      </c>
      <c r="D3613" s="1" t="s">
        <v>781</v>
      </c>
      <c r="E3613" t="s">
        <v>7125</v>
      </c>
      <c r="F3613" s="1">
        <v>80176</v>
      </c>
      <c r="G3613" s="1">
        <v>1116608010</v>
      </c>
      <c r="H3613" s="1">
        <v>6</v>
      </c>
      <c r="I3613" s="1" t="s">
        <v>6927</v>
      </c>
      <c r="J3613" t="s">
        <v>7164</v>
      </c>
    </row>
    <row r="3614" spans="1:10">
      <c r="A3614" s="1">
        <v>712430</v>
      </c>
      <c r="B3614" s="1">
        <v>2460001097</v>
      </c>
      <c r="C3614" s="1">
        <v>12</v>
      </c>
      <c r="D3614" s="1" t="s">
        <v>7126</v>
      </c>
      <c r="E3614" t="s">
        <v>7127</v>
      </c>
      <c r="F3614" s="1">
        <v>80150</v>
      </c>
      <c r="G3614" s="1">
        <v>1116608011</v>
      </c>
      <c r="H3614" s="1">
        <v>6</v>
      </c>
      <c r="I3614" s="1" t="s">
        <v>6933</v>
      </c>
      <c r="J3614" t="s">
        <v>7165</v>
      </c>
    </row>
    <row r="3615" spans="1:10">
      <c r="A3615" s="1">
        <v>712422</v>
      </c>
      <c r="B3615" s="1">
        <v>2460001093</v>
      </c>
      <c r="C3615" s="1">
        <v>12</v>
      </c>
      <c r="D3615" s="1" t="s">
        <v>6306</v>
      </c>
      <c r="E3615" t="s">
        <v>7128</v>
      </c>
      <c r="F3615" s="1">
        <v>80168</v>
      </c>
      <c r="G3615" s="1">
        <v>1116608012</v>
      </c>
      <c r="H3615" s="1">
        <v>6</v>
      </c>
      <c r="I3615" s="1" t="s">
        <v>2214</v>
      </c>
      <c r="J3615" t="s">
        <v>7166</v>
      </c>
    </row>
    <row r="3616" spans="1:10">
      <c r="A3616" s="1">
        <v>188722</v>
      </c>
      <c r="B3616" s="1">
        <v>2460001761</v>
      </c>
      <c r="C3616" s="1">
        <v>12</v>
      </c>
      <c r="D3616" s="1" t="s">
        <v>479</v>
      </c>
      <c r="E3616" t="s">
        <v>7129</v>
      </c>
      <c r="F3616" s="1">
        <v>79764</v>
      </c>
      <c r="G3616" s="1">
        <v>1116607976</v>
      </c>
      <c r="H3616" s="1">
        <v>12</v>
      </c>
      <c r="I3616" s="1" t="s">
        <v>6221</v>
      </c>
      <c r="J3616" t="s">
        <v>7167</v>
      </c>
    </row>
    <row r="3617" spans="1:10">
      <c r="A3617" s="1">
        <v>135061</v>
      </c>
      <c r="B3617" s="1">
        <v>2460001757</v>
      </c>
      <c r="C3617" s="1">
        <v>12</v>
      </c>
      <c r="D3617" s="1" t="s">
        <v>381</v>
      </c>
      <c r="E3617" t="s">
        <v>7130</v>
      </c>
      <c r="F3617" s="1">
        <v>79814</v>
      </c>
      <c r="G3617" s="1">
        <v>1116607981</v>
      </c>
      <c r="H3617" s="1">
        <v>12</v>
      </c>
      <c r="I3617" s="1" t="s">
        <v>417</v>
      </c>
      <c r="J3617" t="s">
        <v>7168</v>
      </c>
    </row>
    <row r="3618" spans="1:10">
      <c r="A3618" s="1">
        <v>585513</v>
      </c>
      <c r="B3618" s="1">
        <v>2460001756</v>
      </c>
      <c r="C3618" s="1">
        <v>12</v>
      </c>
      <c r="D3618" s="1" t="s">
        <v>399</v>
      </c>
      <c r="E3618" t="s">
        <v>7130</v>
      </c>
      <c r="F3618" s="1">
        <v>80184</v>
      </c>
      <c r="G3618" s="1">
        <v>1116605200</v>
      </c>
      <c r="H3618" s="1">
        <v>12</v>
      </c>
      <c r="I3618" s="1" t="s">
        <v>31</v>
      </c>
      <c r="J3618" t="s">
        <v>7169</v>
      </c>
    </row>
    <row r="3619" spans="1:10">
      <c r="A3619" s="1">
        <v>64832</v>
      </c>
      <c r="B3619" s="1">
        <v>2460001754</v>
      </c>
      <c r="C3619" s="1">
        <v>12</v>
      </c>
      <c r="D3619" s="1" t="s">
        <v>2211</v>
      </c>
      <c r="E3619" t="s">
        <v>7131</v>
      </c>
      <c r="F3619" s="1">
        <v>133207</v>
      </c>
      <c r="G3619" s="1">
        <v>1116613320</v>
      </c>
      <c r="H3619" s="1">
        <v>24</v>
      </c>
      <c r="I3619" s="1" t="s">
        <v>637</v>
      </c>
      <c r="J3619" t="s">
        <v>7170</v>
      </c>
    </row>
    <row r="3620" spans="1:10">
      <c r="A3620" s="1">
        <v>10850</v>
      </c>
      <c r="B3620" s="1">
        <v>2460001753</v>
      </c>
      <c r="C3620" s="1">
        <v>12</v>
      </c>
      <c r="D3620" s="1" t="s">
        <v>358</v>
      </c>
      <c r="E3620" t="s">
        <v>7132</v>
      </c>
      <c r="F3620" s="1">
        <v>863969</v>
      </c>
      <c r="G3620" s="1">
        <v>1116601441</v>
      </c>
      <c r="H3620" s="1">
        <v>12</v>
      </c>
      <c r="I3620" s="1" t="s">
        <v>394</v>
      </c>
      <c r="J3620" t="s">
        <v>7171</v>
      </c>
    </row>
    <row r="3621" spans="1:10">
      <c r="A3621" s="1">
        <v>310946</v>
      </c>
      <c r="B3621" s="1">
        <v>2460001752</v>
      </c>
      <c r="C3621" s="1">
        <v>12</v>
      </c>
      <c r="D3621" s="1" t="s">
        <v>4491</v>
      </c>
      <c r="E3621" t="s">
        <v>7133</v>
      </c>
      <c r="F3621" s="1">
        <v>133249</v>
      </c>
      <c r="G3621" s="1">
        <v>1116613324</v>
      </c>
      <c r="H3621" s="1">
        <v>24</v>
      </c>
      <c r="I3621" s="1" t="s">
        <v>637</v>
      </c>
      <c r="J3621" t="s">
        <v>7172</v>
      </c>
    </row>
    <row r="3622" spans="1:10">
      <c r="A3622" s="1">
        <v>691204</v>
      </c>
      <c r="B3622" s="1">
        <v>2460001758</v>
      </c>
      <c r="C3622" s="1">
        <v>12</v>
      </c>
      <c r="D3622" s="1" t="s">
        <v>399</v>
      </c>
      <c r="E3622" t="s">
        <v>7134</v>
      </c>
      <c r="F3622" s="1">
        <v>133470</v>
      </c>
      <c r="G3622" s="1">
        <v>1116613347</v>
      </c>
      <c r="H3622" s="1">
        <v>12</v>
      </c>
      <c r="I3622" s="1" t="s">
        <v>3035</v>
      </c>
      <c r="J3622" t="s">
        <v>7173</v>
      </c>
    </row>
    <row r="3623" spans="1:10">
      <c r="A3623" s="1">
        <v>371104</v>
      </c>
      <c r="B3623" s="1">
        <v>2460001059</v>
      </c>
      <c r="C3623" s="1">
        <v>12</v>
      </c>
      <c r="D3623" s="1" t="s">
        <v>397</v>
      </c>
      <c r="E3623" t="s">
        <v>7135</v>
      </c>
      <c r="F3623" s="1">
        <v>531962</v>
      </c>
      <c r="G3623" s="1">
        <v>1360002004</v>
      </c>
      <c r="H3623" s="1">
        <v>12</v>
      </c>
      <c r="I3623" s="1" t="s">
        <v>379</v>
      </c>
      <c r="J3623" t="s">
        <v>7174</v>
      </c>
    </row>
    <row r="3624" spans="1:10">
      <c r="A3624" s="1">
        <v>530592</v>
      </c>
      <c r="B3624" s="1">
        <v>2460001981</v>
      </c>
      <c r="C3624" s="1">
        <v>6</v>
      </c>
      <c r="D3624" s="1" t="s">
        <v>7136</v>
      </c>
      <c r="E3624" t="s">
        <v>7137</v>
      </c>
      <c r="F3624" s="1">
        <v>235747</v>
      </c>
      <c r="G3624" s="1">
        <v>1360000314</v>
      </c>
      <c r="H3624" s="1">
        <v>12</v>
      </c>
      <c r="I3624" s="1" t="s">
        <v>379</v>
      </c>
      <c r="J3624" t="s">
        <v>7175</v>
      </c>
    </row>
    <row r="3625" spans="1:10">
      <c r="A3625" s="1">
        <v>530428</v>
      </c>
      <c r="B3625" s="1">
        <v>2460001987</v>
      </c>
      <c r="C3625" s="1">
        <v>12</v>
      </c>
      <c r="D3625" s="1" t="s">
        <v>860</v>
      </c>
      <c r="E3625" t="s">
        <v>7138</v>
      </c>
      <c r="F3625" s="1">
        <v>141622</v>
      </c>
      <c r="G3625" s="1">
        <v>5250000311</v>
      </c>
      <c r="H3625" s="1">
        <v>6</v>
      </c>
      <c r="I3625" s="1" t="s">
        <v>7176</v>
      </c>
      <c r="J3625" t="s">
        <v>7177</v>
      </c>
    </row>
    <row r="3626" spans="1:10">
      <c r="A3626" s="1">
        <v>143040</v>
      </c>
      <c r="B3626" s="1">
        <v>2240000049</v>
      </c>
      <c r="C3626" s="1">
        <v>12</v>
      </c>
      <c r="D3626" s="1" t="s">
        <v>31</v>
      </c>
      <c r="E3626" t="s">
        <v>7139</v>
      </c>
      <c r="F3626" s="1">
        <v>146357</v>
      </c>
      <c r="G3626" s="1">
        <v>5250000633</v>
      </c>
      <c r="H3626" s="1">
        <v>6</v>
      </c>
      <c r="I3626" s="1" t="s">
        <v>7026</v>
      </c>
      <c r="J3626" t="s">
        <v>7178</v>
      </c>
    </row>
    <row r="3627" spans="1:10">
      <c r="A3627" s="1">
        <v>246116</v>
      </c>
      <c r="B3627" s="1">
        <v>2240060533</v>
      </c>
      <c r="C3627" s="1">
        <v>12</v>
      </c>
      <c r="D3627" s="1" t="s">
        <v>5384</v>
      </c>
      <c r="E3627" t="s">
        <v>7140</v>
      </c>
      <c r="F3627" s="1">
        <v>138867</v>
      </c>
      <c r="G3627" s="1">
        <v>5250000904</v>
      </c>
      <c r="H3627" s="1">
        <v>12</v>
      </c>
      <c r="I3627" s="1" t="s">
        <v>397</v>
      </c>
      <c r="J3627" t="s">
        <v>7179</v>
      </c>
    </row>
    <row r="3628" spans="1:10">
      <c r="A3628" s="1">
        <v>144121</v>
      </c>
      <c r="B3628" s="1">
        <v>2240000025</v>
      </c>
      <c r="C3628" s="1">
        <v>12</v>
      </c>
      <c r="D3628" s="1" t="s">
        <v>5384</v>
      </c>
      <c r="E3628" t="s">
        <v>7141</v>
      </c>
      <c r="F3628" s="1">
        <v>136135</v>
      </c>
      <c r="G3628" s="1">
        <v>5250000927</v>
      </c>
      <c r="H3628" s="1">
        <v>6</v>
      </c>
      <c r="I3628" s="1" t="s">
        <v>417</v>
      </c>
      <c r="J3628" t="s">
        <v>7180</v>
      </c>
    </row>
    <row r="3629" spans="1:10">
      <c r="A3629" s="1">
        <v>144170</v>
      </c>
      <c r="B3629" s="1">
        <v>2240000019</v>
      </c>
      <c r="C3629" s="1">
        <v>12</v>
      </c>
      <c r="D3629" s="1" t="s">
        <v>312</v>
      </c>
      <c r="E3629" t="s">
        <v>7142</v>
      </c>
      <c r="F3629" s="1">
        <v>141648</v>
      </c>
      <c r="G3629" s="1">
        <v>5250000326</v>
      </c>
      <c r="H3629" s="1">
        <v>6</v>
      </c>
      <c r="I3629" s="1" t="s">
        <v>7181</v>
      </c>
      <c r="J3629" t="s">
        <v>7182</v>
      </c>
    </row>
    <row r="3630" spans="1:10">
      <c r="A3630" s="1">
        <v>712448</v>
      </c>
      <c r="B3630" s="1">
        <v>2240000094</v>
      </c>
      <c r="C3630" s="1">
        <v>12</v>
      </c>
      <c r="D3630" s="1" t="s">
        <v>410</v>
      </c>
      <c r="E3630" t="s">
        <v>7143</v>
      </c>
      <c r="F3630" s="1">
        <v>141283</v>
      </c>
      <c r="G3630" s="1">
        <v>5250000226</v>
      </c>
      <c r="H3630" s="1">
        <v>6</v>
      </c>
      <c r="I3630" s="1" t="s">
        <v>7183</v>
      </c>
      <c r="J3630" t="s">
        <v>7184</v>
      </c>
    </row>
    <row r="3631" spans="1:10">
      <c r="A3631" s="1">
        <v>151548</v>
      </c>
      <c r="B3631" s="1">
        <v>2240000008</v>
      </c>
      <c r="C3631" s="1">
        <v>24</v>
      </c>
      <c r="D3631" s="1" t="s">
        <v>312</v>
      </c>
      <c r="E3631" t="s">
        <v>7144</v>
      </c>
      <c r="F3631" s="1">
        <v>146258</v>
      </c>
      <c r="G3631" s="1">
        <v>5250000510</v>
      </c>
      <c r="H3631" s="1">
        <v>6</v>
      </c>
      <c r="I3631" s="1" t="s">
        <v>33</v>
      </c>
      <c r="J3631" t="s">
        <v>7185</v>
      </c>
    </row>
    <row r="3632" spans="1:10">
      <c r="A3632" s="1">
        <v>143008</v>
      </c>
      <c r="B3632" s="1">
        <v>2240000099</v>
      </c>
      <c r="C3632" s="1">
        <v>12</v>
      </c>
      <c r="D3632" s="1" t="s">
        <v>312</v>
      </c>
      <c r="E3632" t="s">
        <v>7145</v>
      </c>
      <c r="F3632" s="1">
        <v>189696</v>
      </c>
      <c r="G3632" s="1">
        <v>5250000513</v>
      </c>
      <c r="H3632" s="1">
        <v>6</v>
      </c>
      <c r="I3632" s="1" t="s">
        <v>536</v>
      </c>
      <c r="J3632" t="s">
        <v>7186</v>
      </c>
    </row>
    <row r="3633" spans="1:10">
      <c r="A3633" s="1">
        <v>143123</v>
      </c>
      <c r="B3633" s="1">
        <v>2240000088</v>
      </c>
      <c r="C3633" s="1">
        <v>12</v>
      </c>
      <c r="D3633" s="1" t="s">
        <v>312</v>
      </c>
      <c r="E3633" t="s">
        <v>7146</v>
      </c>
      <c r="F3633" s="1">
        <v>141655</v>
      </c>
      <c r="G3633" s="1">
        <v>5250000331</v>
      </c>
      <c r="H3633" s="1">
        <v>6</v>
      </c>
      <c r="I3633" s="1" t="s">
        <v>7181</v>
      </c>
      <c r="J3633" t="s">
        <v>7187</v>
      </c>
    </row>
    <row r="3634" spans="1:10">
      <c r="A3634" s="1">
        <v>312207</v>
      </c>
      <c r="B3634" s="1">
        <v>2240000010</v>
      </c>
      <c r="C3634" s="1">
        <v>12</v>
      </c>
      <c r="D3634" s="1" t="s">
        <v>312</v>
      </c>
      <c r="E3634" t="s">
        <v>7147</v>
      </c>
      <c r="F3634" s="1">
        <v>140251</v>
      </c>
      <c r="G3634" s="1">
        <v>5250000121</v>
      </c>
      <c r="H3634" s="1">
        <v>6</v>
      </c>
      <c r="I3634" s="1" t="s">
        <v>15</v>
      </c>
      <c r="J3634" t="s">
        <v>7188</v>
      </c>
    </row>
    <row r="3635" spans="1:10">
      <c r="A3635" s="1">
        <v>206326</v>
      </c>
      <c r="B3635" s="1">
        <v>2240000022</v>
      </c>
      <c r="C3635" s="1">
        <v>12</v>
      </c>
      <c r="D3635" s="1" t="s">
        <v>312</v>
      </c>
      <c r="E3635" t="s">
        <v>7148</v>
      </c>
      <c r="F3635" s="1">
        <v>136457</v>
      </c>
      <c r="G3635" s="1">
        <v>5250000518</v>
      </c>
      <c r="H3635" s="1">
        <v>6</v>
      </c>
      <c r="I3635" s="1" t="s">
        <v>417</v>
      </c>
      <c r="J3635" t="s">
        <v>7188</v>
      </c>
    </row>
    <row r="3636" spans="1:10">
      <c r="A3636" s="1">
        <v>143289</v>
      </c>
      <c r="B3636" s="1">
        <v>2240000063</v>
      </c>
      <c r="C3636" s="1">
        <v>12</v>
      </c>
      <c r="D3636" s="1" t="s">
        <v>31</v>
      </c>
      <c r="E3636" t="s">
        <v>7149</v>
      </c>
      <c r="F3636" s="1">
        <v>189738</v>
      </c>
      <c r="G3636" s="1">
        <v>5250000517</v>
      </c>
      <c r="H3636" s="1">
        <v>6</v>
      </c>
      <c r="I3636" s="1" t="s">
        <v>6862</v>
      </c>
      <c r="J3636" t="s">
        <v>7189</v>
      </c>
    </row>
    <row r="3637" spans="1:10">
      <c r="A3637" s="1">
        <v>133454</v>
      </c>
      <c r="B3637" s="1">
        <v>4480000022</v>
      </c>
      <c r="C3637" s="1">
        <v>12</v>
      </c>
      <c r="D3637" s="1" t="s">
        <v>14</v>
      </c>
      <c r="E3637" t="s">
        <v>7150</v>
      </c>
      <c r="F3637" s="1">
        <v>146266</v>
      </c>
      <c r="G3637" s="1">
        <v>5250000515</v>
      </c>
      <c r="H3637" s="1">
        <v>6</v>
      </c>
      <c r="I3637" s="1" t="s">
        <v>33</v>
      </c>
      <c r="J3637" t="s">
        <v>7190</v>
      </c>
    </row>
    <row r="3638" spans="1:10">
      <c r="A3638" s="1">
        <v>680488</v>
      </c>
      <c r="B3638" s="1">
        <v>7032865932</v>
      </c>
      <c r="C3638" s="1">
        <v>12</v>
      </c>
      <c r="D3638" s="1" t="s">
        <v>417</v>
      </c>
      <c r="E3638" t="s">
        <v>7151</v>
      </c>
      <c r="F3638" s="1">
        <v>189746</v>
      </c>
      <c r="G3638" s="1">
        <v>5250000522</v>
      </c>
      <c r="H3638" s="1">
        <v>6</v>
      </c>
      <c r="I3638" s="1" t="s">
        <v>386</v>
      </c>
      <c r="J3638" t="s">
        <v>7191</v>
      </c>
    </row>
    <row r="3639" spans="1:10">
      <c r="A3639" s="1">
        <v>143321</v>
      </c>
      <c r="B3639" s="1">
        <v>7032801001</v>
      </c>
      <c r="C3639" s="1">
        <v>12</v>
      </c>
      <c r="D3639" s="1" t="s">
        <v>167</v>
      </c>
      <c r="E3639" t="s">
        <v>7152</v>
      </c>
      <c r="F3639" s="1">
        <v>140483</v>
      </c>
      <c r="G3639" s="1">
        <v>5250000151</v>
      </c>
      <c r="H3639" s="1">
        <v>6</v>
      </c>
      <c r="I3639" s="1" t="s">
        <v>18</v>
      </c>
      <c r="J3639" t="s">
        <v>7192</v>
      </c>
    </row>
    <row r="3640" spans="1:10">
      <c r="A3640" s="1">
        <v>763540</v>
      </c>
      <c r="B3640" s="1">
        <v>7032816003</v>
      </c>
      <c r="C3640" s="1">
        <v>12</v>
      </c>
      <c r="D3640" s="1" t="s">
        <v>6850</v>
      </c>
      <c r="E3640" t="s">
        <v>7153</v>
      </c>
      <c r="F3640" s="1">
        <v>189829</v>
      </c>
      <c r="G3640" s="1">
        <v>5250000564</v>
      </c>
      <c r="H3640" s="1">
        <v>6</v>
      </c>
      <c r="I3640" s="1" t="s">
        <v>17</v>
      </c>
      <c r="J3640" t="s">
        <v>7193</v>
      </c>
    </row>
    <row r="3641" spans="1:10">
      <c r="A3641" s="1">
        <v>494237</v>
      </c>
      <c r="B3641" s="1">
        <v>7032816018</v>
      </c>
      <c r="C3641" s="1">
        <v>12</v>
      </c>
      <c r="D3641" s="1" t="s">
        <v>14</v>
      </c>
      <c r="E3641" t="s">
        <v>7154</v>
      </c>
      <c r="F3641" s="1">
        <v>189944</v>
      </c>
      <c r="G3641" s="1">
        <v>5250000679</v>
      </c>
      <c r="H3641" s="1">
        <v>6</v>
      </c>
      <c r="I3641" s="1" t="s">
        <v>14</v>
      </c>
      <c r="J3641" t="s">
        <v>7193</v>
      </c>
    </row>
    <row r="3642" spans="1:10">
      <c r="A3642" s="1">
        <v>148114</v>
      </c>
      <c r="B3642" s="1">
        <v>7032882064</v>
      </c>
      <c r="C3642" s="1">
        <v>12</v>
      </c>
      <c r="D3642" s="1" t="s">
        <v>399</v>
      </c>
      <c r="E3642" t="s">
        <v>7155</v>
      </c>
      <c r="F3642" s="1">
        <v>146274</v>
      </c>
      <c r="G3642" s="1">
        <v>5250000523</v>
      </c>
      <c r="H3642" s="1">
        <v>6</v>
      </c>
      <c r="I3642" s="1" t="s">
        <v>33</v>
      </c>
      <c r="J3642" t="s">
        <v>7194</v>
      </c>
    </row>
    <row r="3643" spans="1:10">
      <c r="A3643" s="1">
        <v>143032</v>
      </c>
      <c r="B3643" s="1">
        <v>7032802403</v>
      </c>
      <c r="C3643" s="1">
        <v>12</v>
      </c>
      <c r="D3643" s="1" t="s">
        <v>2708</v>
      </c>
      <c r="E3643" t="s">
        <v>7156</v>
      </c>
      <c r="F3643" s="1">
        <v>134478</v>
      </c>
      <c r="G3643" s="1">
        <v>5250002328</v>
      </c>
      <c r="H3643" s="1">
        <v>12</v>
      </c>
      <c r="I3643" s="1" t="s">
        <v>2666</v>
      </c>
      <c r="J3643" t="s">
        <v>7195</v>
      </c>
    </row>
    <row r="3644" spans="1:10">
      <c r="A3644" s="1">
        <v>429571</v>
      </c>
      <c r="B3644" s="1">
        <v>7032857865</v>
      </c>
      <c r="C3644" s="1">
        <v>12</v>
      </c>
      <c r="D3644" s="1" t="s">
        <v>828</v>
      </c>
      <c r="E3644" t="s">
        <v>7157</v>
      </c>
      <c r="F3644" s="1">
        <v>189712</v>
      </c>
      <c r="G3644" s="1">
        <v>5250000516</v>
      </c>
      <c r="H3644" s="1">
        <v>6</v>
      </c>
      <c r="I3644" s="1" t="s">
        <v>7020</v>
      </c>
      <c r="J3644" t="s">
        <v>7196</v>
      </c>
    </row>
    <row r="3645" spans="1:10">
      <c r="A3645" s="1">
        <v>362756</v>
      </c>
      <c r="B3645" s="1">
        <v>7032835896</v>
      </c>
      <c r="C3645" s="1">
        <v>12</v>
      </c>
      <c r="D3645" s="1" t="s">
        <v>6850</v>
      </c>
      <c r="E3645" t="s">
        <v>7158</v>
      </c>
      <c r="F3645" s="1">
        <v>189779</v>
      </c>
      <c r="G3645" s="1">
        <v>5250000528</v>
      </c>
      <c r="H3645" s="1">
        <v>6</v>
      </c>
      <c r="I3645" s="1" t="s">
        <v>6846</v>
      </c>
      <c r="J3645" t="s">
        <v>7197</v>
      </c>
    </row>
    <row r="3646" spans="1:10">
      <c r="A3646" s="1">
        <v>145375</v>
      </c>
      <c r="B3646" s="1">
        <v>7032882046</v>
      </c>
      <c r="C3646" s="1">
        <v>12</v>
      </c>
      <c r="D3646" s="1" t="s">
        <v>381</v>
      </c>
      <c r="E3646" t="s">
        <v>7159</v>
      </c>
      <c r="F3646" s="1">
        <v>189787</v>
      </c>
      <c r="G3646" s="1">
        <v>5250000529</v>
      </c>
      <c r="H3646" s="1">
        <v>6</v>
      </c>
      <c r="I3646" s="1" t="s">
        <v>805</v>
      </c>
      <c r="J3646" t="s">
        <v>7198</v>
      </c>
    </row>
    <row r="3647" spans="1:10">
      <c r="A3647" s="1">
        <v>145383</v>
      </c>
      <c r="B3647" s="1">
        <v>7032800523</v>
      </c>
      <c r="C3647" s="1">
        <v>12</v>
      </c>
      <c r="D3647" s="1" t="s">
        <v>404</v>
      </c>
      <c r="E3647" t="s">
        <v>7159</v>
      </c>
      <c r="F3647" s="1">
        <v>189910</v>
      </c>
      <c r="G3647" s="1">
        <v>5250000645</v>
      </c>
      <c r="H3647" s="1">
        <v>6</v>
      </c>
      <c r="I3647" s="1" t="s">
        <v>3272</v>
      </c>
      <c r="J3647" t="s">
        <v>7198</v>
      </c>
    </row>
    <row r="3648" spans="1:10">
      <c r="A3648" s="1">
        <v>145284</v>
      </c>
      <c r="B3648" s="1">
        <v>7032882053</v>
      </c>
      <c r="C3648" s="1">
        <v>12</v>
      </c>
      <c r="D3648" s="1" t="s">
        <v>6850</v>
      </c>
      <c r="E3648" t="s">
        <v>7160</v>
      </c>
      <c r="F3648" s="1">
        <v>141333</v>
      </c>
      <c r="G3648" s="1">
        <v>5250000241</v>
      </c>
      <c r="H3648" s="1">
        <v>6</v>
      </c>
      <c r="I3648" s="1" t="s">
        <v>7199</v>
      </c>
      <c r="J3648" t="s">
        <v>7200</v>
      </c>
    </row>
    <row r="3649" spans="1:10">
      <c r="A3649" s="1">
        <v>200311</v>
      </c>
      <c r="B3649" s="1">
        <v>7032802402</v>
      </c>
      <c r="C3649" s="1">
        <v>12</v>
      </c>
      <c r="D3649" s="1" t="s">
        <v>203</v>
      </c>
      <c r="E3649" t="s">
        <v>7161</v>
      </c>
      <c r="F3649" s="1">
        <v>140301</v>
      </c>
      <c r="G3649" s="1">
        <v>5250000136</v>
      </c>
      <c r="H3649" s="1">
        <v>6</v>
      </c>
      <c r="I3649" s="1" t="s">
        <v>110</v>
      </c>
      <c r="J3649" t="s">
        <v>7201</v>
      </c>
    </row>
    <row r="3650" spans="1:10" ht="15.75">
      <c r="A3650" s="4" t="s">
        <v>10790</v>
      </c>
      <c r="B3650" s="2"/>
      <c r="C3650" s="2"/>
      <c r="D3650" s="2"/>
      <c r="E3650" s="3"/>
      <c r="F3650" s="4" t="s">
        <v>10790</v>
      </c>
      <c r="G3650" s="2"/>
      <c r="H3650" s="2"/>
      <c r="I3650" s="2"/>
      <c r="J3650" s="3"/>
    </row>
    <row r="3651" spans="1:10">
      <c r="A3651" s="2" t="s">
        <v>0</v>
      </c>
      <c r="B3651" s="2" t="s">
        <v>1</v>
      </c>
      <c r="C3651" s="2" t="s">
        <v>2</v>
      </c>
      <c r="D3651" s="2" t="s">
        <v>3</v>
      </c>
      <c r="E3651" s="3" t="s">
        <v>4</v>
      </c>
      <c r="F3651" s="2" t="s">
        <v>0</v>
      </c>
      <c r="G3651" s="2" t="s">
        <v>1</v>
      </c>
      <c r="H3651" s="2" t="s">
        <v>2</v>
      </c>
      <c r="I3651" s="2" t="s">
        <v>3</v>
      </c>
      <c r="J3651" s="3" t="s">
        <v>4</v>
      </c>
    </row>
    <row r="3652" spans="1:10">
      <c r="A3652" s="1">
        <v>189753</v>
      </c>
      <c r="B3652" s="1">
        <v>5250000526</v>
      </c>
      <c r="C3652" s="1">
        <v>6</v>
      </c>
      <c r="D3652" s="1" t="s">
        <v>417</v>
      </c>
      <c r="E3652" t="s">
        <v>7201</v>
      </c>
      <c r="F3652" s="1">
        <v>140244</v>
      </c>
      <c r="G3652" s="1">
        <v>5250000106</v>
      </c>
      <c r="H3652" s="1">
        <v>6</v>
      </c>
      <c r="I3652" s="1" t="s">
        <v>203</v>
      </c>
      <c r="J3652" t="s">
        <v>7242</v>
      </c>
    </row>
    <row r="3653" spans="1:10">
      <c r="A3653" s="1">
        <v>140319</v>
      </c>
      <c r="B3653" s="1">
        <v>5250000141</v>
      </c>
      <c r="C3653" s="1">
        <v>6</v>
      </c>
      <c r="D3653" s="1" t="s">
        <v>7181</v>
      </c>
      <c r="E3653" t="s">
        <v>7202</v>
      </c>
      <c r="F3653" s="1">
        <v>146241</v>
      </c>
      <c r="G3653" s="1">
        <v>5250000504</v>
      </c>
      <c r="H3653" s="1">
        <v>6</v>
      </c>
      <c r="I3653" s="1" t="s">
        <v>14</v>
      </c>
      <c r="J3653" t="s">
        <v>7243</v>
      </c>
    </row>
    <row r="3654" spans="1:10">
      <c r="A3654" s="1">
        <v>140996</v>
      </c>
      <c r="B3654" s="1">
        <v>5250000146</v>
      </c>
      <c r="C3654" s="1">
        <v>6</v>
      </c>
      <c r="D3654" s="1" t="s">
        <v>2218</v>
      </c>
      <c r="E3654" t="s">
        <v>7203</v>
      </c>
      <c r="F3654" s="1">
        <v>837633</v>
      </c>
      <c r="G3654" s="1">
        <v>5250000505</v>
      </c>
      <c r="H3654" s="1">
        <v>6</v>
      </c>
      <c r="I3654" s="1" t="s">
        <v>7244</v>
      </c>
      <c r="J3654" t="s">
        <v>7245</v>
      </c>
    </row>
    <row r="3655" spans="1:10">
      <c r="A3655" s="1">
        <v>141127</v>
      </c>
      <c r="B3655" s="1">
        <v>5250000156</v>
      </c>
      <c r="C3655" s="1">
        <v>6</v>
      </c>
      <c r="D3655" s="1" t="s">
        <v>7181</v>
      </c>
      <c r="E3655" t="s">
        <v>7204</v>
      </c>
      <c r="F3655" s="1">
        <v>854059</v>
      </c>
      <c r="G3655" s="1">
        <v>5250000506</v>
      </c>
      <c r="H3655" s="1">
        <v>6</v>
      </c>
      <c r="I3655" s="1" t="s">
        <v>7246</v>
      </c>
      <c r="J3655" t="s">
        <v>7247</v>
      </c>
    </row>
    <row r="3656" spans="1:10">
      <c r="A3656" s="1">
        <v>141184</v>
      </c>
      <c r="B3656" s="1">
        <v>5250000201</v>
      </c>
      <c r="C3656" s="1">
        <v>6</v>
      </c>
      <c r="D3656" s="1" t="s">
        <v>7181</v>
      </c>
      <c r="E3656" t="s">
        <v>7205</v>
      </c>
      <c r="F3656" s="1">
        <v>141614</v>
      </c>
      <c r="G3656" s="1">
        <v>5250000900</v>
      </c>
      <c r="H3656" s="1">
        <v>6</v>
      </c>
      <c r="I3656" s="1" t="s">
        <v>203</v>
      </c>
      <c r="J3656" t="s">
        <v>7248</v>
      </c>
    </row>
    <row r="3657" spans="1:10">
      <c r="A3657" s="1">
        <v>141192</v>
      </c>
      <c r="B3657" s="1">
        <v>5250000211</v>
      </c>
      <c r="C3657" s="1">
        <v>6</v>
      </c>
      <c r="D3657" s="1" t="s">
        <v>7183</v>
      </c>
      <c r="E3657" t="s">
        <v>7206</v>
      </c>
      <c r="F3657" s="1">
        <v>138909</v>
      </c>
      <c r="G3657" s="1">
        <v>5250000936</v>
      </c>
      <c r="H3657" s="1">
        <v>6</v>
      </c>
      <c r="I3657" s="1" t="s">
        <v>381</v>
      </c>
      <c r="J3657" t="s">
        <v>7248</v>
      </c>
    </row>
    <row r="3658" spans="1:10">
      <c r="A3658" s="1">
        <v>141275</v>
      </c>
      <c r="B3658" s="1">
        <v>5250000216</v>
      </c>
      <c r="C3658" s="1">
        <v>6</v>
      </c>
      <c r="D3658" s="1" t="s">
        <v>7183</v>
      </c>
      <c r="E3658" t="s">
        <v>7207</v>
      </c>
      <c r="F3658" s="1">
        <v>138826</v>
      </c>
      <c r="G3658" s="1">
        <v>5250000902</v>
      </c>
      <c r="H3658" s="1">
        <v>6</v>
      </c>
      <c r="I3658" s="1" t="s">
        <v>31</v>
      </c>
      <c r="J3658" t="s">
        <v>7248</v>
      </c>
    </row>
    <row r="3659" spans="1:10">
      <c r="A3659" s="1">
        <v>141473</v>
      </c>
      <c r="B3659" s="1">
        <v>5250000281</v>
      </c>
      <c r="C3659" s="1">
        <v>6</v>
      </c>
      <c r="D3659" s="1" t="s">
        <v>6867</v>
      </c>
      <c r="E3659" t="s">
        <v>7208</v>
      </c>
      <c r="F3659" s="1">
        <v>143099</v>
      </c>
      <c r="G3659" s="1">
        <v>5250000928</v>
      </c>
      <c r="H3659" s="1">
        <v>6</v>
      </c>
      <c r="I3659" s="1" t="s">
        <v>397</v>
      </c>
      <c r="J3659" t="s">
        <v>7249</v>
      </c>
    </row>
    <row r="3660" spans="1:10">
      <c r="A3660" s="1">
        <v>189720</v>
      </c>
      <c r="B3660" s="1">
        <v>5250000519</v>
      </c>
      <c r="C3660" s="1">
        <v>6</v>
      </c>
      <c r="D3660" s="1" t="s">
        <v>417</v>
      </c>
      <c r="E3660" t="s">
        <v>7209</v>
      </c>
      <c r="F3660" s="1">
        <v>387126</v>
      </c>
      <c r="G3660" s="1">
        <v>5250000804</v>
      </c>
      <c r="H3660" s="1">
        <v>6</v>
      </c>
      <c r="I3660" s="1" t="s">
        <v>7250</v>
      </c>
      <c r="J3660" t="s">
        <v>7251</v>
      </c>
    </row>
    <row r="3661" spans="1:10">
      <c r="A3661" s="1">
        <v>146308</v>
      </c>
      <c r="B3661" s="1">
        <v>5250000538</v>
      </c>
      <c r="C3661" s="1">
        <v>6</v>
      </c>
      <c r="D3661" s="1" t="s">
        <v>33</v>
      </c>
      <c r="E3661" t="s">
        <v>7210</v>
      </c>
      <c r="F3661" s="1">
        <v>455865</v>
      </c>
      <c r="G3661" s="1">
        <v>5250000670</v>
      </c>
      <c r="H3661" s="1">
        <v>6</v>
      </c>
      <c r="I3661" s="1" t="s">
        <v>419</v>
      </c>
      <c r="J3661" t="s">
        <v>7252</v>
      </c>
    </row>
    <row r="3662" spans="1:10">
      <c r="A3662" s="1">
        <v>189803</v>
      </c>
      <c r="B3662" s="1">
        <v>5250000540</v>
      </c>
      <c r="C3662" s="1">
        <v>6</v>
      </c>
      <c r="D3662" s="1" t="s">
        <v>410</v>
      </c>
      <c r="E3662" t="s">
        <v>7211</v>
      </c>
      <c r="F3662" s="1">
        <v>49759</v>
      </c>
      <c r="G3662" s="1">
        <v>5250000548</v>
      </c>
      <c r="H3662" s="1">
        <v>6</v>
      </c>
      <c r="I3662" s="1" t="s">
        <v>14</v>
      </c>
      <c r="J3662" t="s">
        <v>7253</v>
      </c>
    </row>
    <row r="3663" spans="1:10">
      <c r="A3663" s="1">
        <v>146340</v>
      </c>
      <c r="B3663" s="1">
        <v>5250000550</v>
      </c>
      <c r="C3663" s="1">
        <v>6</v>
      </c>
      <c r="D3663" s="1" t="s">
        <v>386</v>
      </c>
      <c r="E3663" t="s">
        <v>7212</v>
      </c>
      <c r="F3663" s="1">
        <v>874024</v>
      </c>
      <c r="G3663" s="1">
        <v>5250000507</v>
      </c>
      <c r="H3663" s="1">
        <v>6</v>
      </c>
      <c r="I3663" s="1" t="s">
        <v>312</v>
      </c>
      <c r="J3663" t="s">
        <v>7254</v>
      </c>
    </row>
    <row r="3664" spans="1:10">
      <c r="A3664" s="1">
        <v>141721</v>
      </c>
      <c r="B3664" s="1">
        <v>5250000391</v>
      </c>
      <c r="C3664" s="1">
        <v>6</v>
      </c>
      <c r="D3664" s="1" t="s">
        <v>7213</v>
      </c>
      <c r="E3664" t="s">
        <v>7214</v>
      </c>
      <c r="F3664" s="1">
        <v>320861</v>
      </c>
      <c r="G3664" s="1">
        <v>5250000639</v>
      </c>
      <c r="H3664" s="1">
        <v>6</v>
      </c>
      <c r="I3664" s="1" t="s">
        <v>394</v>
      </c>
      <c r="J3664" t="s">
        <v>7255</v>
      </c>
    </row>
    <row r="3665" spans="1:10">
      <c r="A3665" s="1">
        <v>189761</v>
      </c>
      <c r="B3665" s="1">
        <v>5250000525</v>
      </c>
      <c r="C3665" s="1">
        <v>6</v>
      </c>
      <c r="D3665" s="1" t="s">
        <v>421</v>
      </c>
      <c r="E3665" t="s">
        <v>7215</v>
      </c>
      <c r="F3665" s="1">
        <v>148148</v>
      </c>
      <c r="G3665" s="1">
        <v>5250000499</v>
      </c>
      <c r="H3665" s="1">
        <v>12</v>
      </c>
      <c r="I3665" s="1" t="s">
        <v>14</v>
      </c>
      <c r="J3665" t="s">
        <v>7256</v>
      </c>
    </row>
    <row r="3666" spans="1:10">
      <c r="A3666" s="1">
        <v>189928</v>
      </c>
      <c r="B3666" s="1">
        <v>5250000662</v>
      </c>
      <c r="C3666" s="1">
        <v>6</v>
      </c>
      <c r="D3666" s="1" t="s">
        <v>386</v>
      </c>
      <c r="E3666" t="s">
        <v>7216</v>
      </c>
      <c r="F3666" s="1">
        <v>140616</v>
      </c>
      <c r="G3666" s="1">
        <v>5250000166</v>
      </c>
      <c r="H3666" s="1">
        <v>6</v>
      </c>
      <c r="I3666" s="1" t="s">
        <v>203</v>
      </c>
      <c r="J3666" t="s">
        <v>7257</v>
      </c>
    </row>
    <row r="3667" spans="1:10">
      <c r="A3667" s="1">
        <v>141739</v>
      </c>
      <c r="B3667" s="1">
        <v>5250000401</v>
      </c>
      <c r="C3667" s="1">
        <v>6</v>
      </c>
      <c r="D3667" s="1" t="s">
        <v>17</v>
      </c>
      <c r="E3667" t="s">
        <v>7217</v>
      </c>
      <c r="F3667" s="1">
        <v>141671</v>
      </c>
      <c r="G3667" s="1">
        <v>5250000366</v>
      </c>
      <c r="H3667" s="1">
        <v>6</v>
      </c>
      <c r="I3667" s="1" t="s">
        <v>203</v>
      </c>
      <c r="J3667" t="s">
        <v>7258</v>
      </c>
    </row>
    <row r="3668" spans="1:10">
      <c r="A3668" s="1">
        <v>189811</v>
      </c>
      <c r="B3668" s="1">
        <v>5250000556</v>
      </c>
      <c r="C3668" s="1">
        <v>6</v>
      </c>
      <c r="D3668" s="1" t="s">
        <v>417</v>
      </c>
      <c r="E3668" t="s">
        <v>7218</v>
      </c>
      <c r="F3668" s="1">
        <v>147553</v>
      </c>
      <c r="G3668" s="1">
        <v>5250000800</v>
      </c>
      <c r="H3668" s="1">
        <v>6</v>
      </c>
      <c r="I3668" s="1" t="s">
        <v>7259</v>
      </c>
      <c r="J3668" t="s">
        <v>7260</v>
      </c>
    </row>
    <row r="3669" spans="1:10">
      <c r="A3669" s="1">
        <v>151183</v>
      </c>
      <c r="B3669" s="1">
        <v>5250000559</v>
      </c>
      <c r="C3669" s="1">
        <v>6</v>
      </c>
      <c r="D3669" s="1" t="s">
        <v>536</v>
      </c>
      <c r="E3669" t="s">
        <v>7219</v>
      </c>
      <c r="F3669" s="1">
        <v>189902</v>
      </c>
      <c r="G3669" s="1">
        <v>5250000641</v>
      </c>
      <c r="H3669" s="1">
        <v>6</v>
      </c>
      <c r="I3669" s="1" t="s">
        <v>781</v>
      </c>
      <c r="J3669" t="s">
        <v>7261</v>
      </c>
    </row>
    <row r="3670" spans="1:10">
      <c r="A3670" s="1">
        <v>141903</v>
      </c>
      <c r="B3670" s="1">
        <v>5250000411</v>
      </c>
      <c r="C3670" s="1">
        <v>6</v>
      </c>
      <c r="D3670" s="1" t="s">
        <v>7213</v>
      </c>
      <c r="E3670" t="s">
        <v>7220</v>
      </c>
      <c r="F3670" s="1">
        <v>140236</v>
      </c>
      <c r="G3670" s="1">
        <v>5250000101</v>
      </c>
      <c r="H3670" s="1">
        <v>6</v>
      </c>
      <c r="I3670" s="1" t="s">
        <v>203</v>
      </c>
      <c r="J3670" t="s">
        <v>7262</v>
      </c>
    </row>
    <row r="3671" spans="1:10">
      <c r="A3671" s="1">
        <v>140210</v>
      </c>
      <c r="B3671" s="1">
        <v>5250000206</v>
      </c>
      <c r="C3671" s="1">
        <v>6</v>
      </c>
      <c r="D3671" s="1" t="s">
        <v>5141</v>
      </c>
      <c r="E3671" t="s">
        <v>7220</v>
      </c>
      <c r="F3671" s="1">
        <v>140699</v>
      </c>
      <c r="G3671" s="1">
        <v>5250000171</v>
      </c>
      <c r="H3671" s="1">
        <v>6</v>
      </c>
      <c r="I3671" s="1" t="s">
        <v>203</v>
      </c>
      <c r="J3671" t="s">
        <v>7263</v>
      </c>
    </row>
    <row r="3672" spans="1:10">
      <c r="A3672" s="1">
        <v>146324</v>
      </c>
      <c r="B3672" s="1">
        <v>5250000562</v>
      </c>
      <c r="C3672" s="1">
        <v>6</v>
      </c>
      <c r="D3672" s="1" t="s">
        <v>7026</v>
      </c>
      <c r="E3672" t="s">
        <v>7221</v>
      </c>
      <c r="F3672" s="1">
        <v>141176</v>
      </c>
      <c r="G3672" s="1">
        <v>5250000191</v>
      </c>
      <c r="H3672" s="1">
        <v>6</v>
      </c>
      <c r="I3672" s="1" t="s">
        <v>203</v>
      </c>
      <c r="J3672" t="s">
        <v>7264</v>
      </c>
    </row>
    <row r="3673" spans="1:10">
      <c r="A3673" s="1">
        <v>146373</v>
      </c>
      <c r="B3673" s="1">
        <v>5250000671</v>
      </c>
      <c r="C3673" s="1">
        <v>6</v>
      </c>
      <c r="D3673" s="1" t="s">
        <v>7222</v>
      </c>
      <c r="E3673" t="s">
        <v>7221</v>
      </c>
      <c r="F3673" s="1">
        <v>189795</v>
      </c>
      <c r="G3673" s="1">
        <v>5250000534</v>
      </c>
      <c r="H3673" s="1">
        <v>6</v>
      </c>
      <c r="I3673" s="1" t="s">
        <v>89</v>
      </c>
      <c r="J3673" t="s">
        <v>7265</v>
      </c>
    </row>
    <row r="3674" spans="1:10">
      <c r="A3674" s="1">
        <v>141598</v>
      </c>
      <c r="B3674" s="1">
        <v>5250000431</v>
      </c>
      <c r="C3674" s="1">
        <v>6</v>
      </c>
      <c r="D3674" s="1" t="s">
        <v>142</v>
      </c>
      <c r="E3674" t="s">
        <v>7223</v>
      </c>
      <c r="F3674" s="1">
        <v>738187</v>
      </c>
      <c r="G3674" s="1">
        <v>5250000802</v>
      </c>
      <c r="H3674" s="1">
        <v>6</v>
      </c>
      <c r="I3674" s="1" t="s">
        <v>145</v>
      </c>
      <c r="J3674" t="s">
        <v>7266</v>
      </c>
    </row>
    <row r="3675" spans="1:10">
      <c r="A3675" s="1">
        <v>141358</v>
      </c>
      <c r="B3675" s="1">
        <v>5250000246</v>
      </c>
      <c r="C3675" s="1">
        <v>6</v>
      </c>
      <c r="D3675" s="1" t="s">
        <v>7224</v>
      </c>
      <c r="E3675" t="s">
        <v>7225</v>
      </c>
      <c r="F3675" s="1">
        <v>49965</v>
      </c>
      <c r="G3675" s="1">
        <v>5250000539</v>
      </c>
      <c r="H3675" s="1">
        <v>6</v>
      </c>
      <c r="I3675" s="1" t="s">
        <v>786</v>
      </c>
      <c r="J3675" t="s">
        <v>7267</v>
      </c>
    </row>
    <row r="3676" spans="1:10">
      <c r="A3676" s="1">
        <v>142992</v>
      </c>
      <c r="B3676" s="1">
        <v>5250001226</v>
      </c>
      <c r="C3676" s="1">
        <v>1</v>
      </c>
      <c r="D3676" s="1" t="s">
        <v>381</v>
      </c>
      <c r="E3676" t="s">
        <v>7226</v>
      </c>
      <c r="F3676" s="1">
        <v>71415</v>
      </c>
      <c r="G3676" s="1">
        <v>5250000660</v>
      </c>
      <c r="H3676" s="1">
        <v>6</v>
      </c>
      <c r="I3676" s="1" t="s">
        <v>805</v>
      </c>
      <c r="J3676" t="s">
        <v>7268</v>
      </c>
    </row>
    <row r="3677" spans="1:10">
      <c r="A3677" s="1">
        <v>142075</v>
      </c>
      <c r="B3677" s="1">
        <v>5250000436</v>
      </c>
      <c r="C3677" s="1">
        <v>6</v>
      </c>
      <c r="D3677" s="1" t="s">
        <v>7227</v>
      </c>
      <c r="E3677" t="s">
        <v>7228</v>
      </c>
      <c r="F3677" s="1">
        <v>141150</v>
      </c>
      <c r="G3677" s="1">
        <v>5250000181</v>
      </c>
      <c r="H3677" s="1">
        <v>6</v>
      </c>
      <c r="I3677" s="1" t="s">
        <v>203</v>
      </c>
      <c r="J3677" t="s">
        <v>7269</v>
      </c>
    </row>
    <row r="3678" spans="1:10">
      <c r="A3678" s="1">
        <v>140970</v>
      </c>
      <c r="B3678" s="1">
        <v>5250000566</v>
      </c>
      <c r="C3678" s="1">
        <v>6</v>
      </c>
      <c r="D3678" s="1" t="s">
        <v>1186</v>
      </c>
      <c r="E3678" t="s">
        <v>7229</v>
      </c>
      <c r="F3678" s="1">
        <v>189860</v>
      </c>
      <c r="G3678" s="1">
        <v>5250000544</v>
      </c>
      <c r="H3678" s="1">
        <v>6</v>
      </c>
      <c r="I3678" s="1" t="s">
        <v>394</v>
      </c>
      <c r="J3678" t="s">
        <v>7270</v>
      </c>
    </row>
    <row r="3679" spans="1:10">
      <c r="A3679" s="1">
        <v>151209</v>
      </c>
      <c r="B3679" s="1">
        <v>5250000689</v>
      </c>
      <c r="C3679" s="1">
        <v>6</v>
      </c>
      <c r="D3679" s="1" t="s">
        <v>663</v>
      </c>
      <c r="E3679" t="s">
        <v>7230</v>
      </c>
      <c r="F3679" s="1">
        <v>189951</v>
      </c>
      <c r="G3679" s="1">
        <v>5250000652</v>
      </c>
      <c r="H3679" s="1">
        <v>6</v>
      </c>
      <c r="I3679" s="1" t="s">
        <v>432</v>
      </c>
      <c r="J3679" t="s">
        <v>7270</v>
      </c>
    </row>
    <row r="3680" spans="1:10">
      <c r="A3680" s="1">
        <v>189894</v>
      </c>
      <c r="B3680" s="1">
        <v>5250000577</v>
      </c>
      <c r="C3680" s="1">
        <v>6</v>
      </c>
      <c r="D3680" s="1" t="s">
        <v>386</v>
      </c>
      <c r="E3680" t="s">
        <v>7231</v>
      </c>
      <c r="F3680" s="1">
        <v>146316</v>
      </c>
      <c r="G3680" s="1">
        <v>5250000555</v>
      </c>
      <c r="H3680" s="1">
        <v>6</v>
      </c>
      <c r="I3680" s="1" t="s">
        <v>31</v>
      </c>
      <c r="J3680" t="s">
        <v>7271</v>
      </c>
    </row>
    <row r="3681" spans="1:10">
      <c r="A3681" s="1">
        <v>189977</v>
      </c>
      <c r="B3681" s="1">
        <v>5250000682</v>
      </c>
      <c r="C3681" s="1">
        <v>6</v>
      </c>
      <c r="D3681" s="1" t="s">
        <v>4491</v>
      </c>
      <c r="E3681" t="s">
        <v>7232</v>
      </c>
      <c r="F3681" s="1">
        <v>255760</v>
      </c>
      <c r="G3681" s="1">
        <v>5250000406</v>
      </c>
      <c r="H3681" s="1">
        <v>6</v>
      </c>
      <c r="I3681" s="1" t="s">
        <v>16</v>
      </c>
      <c r="J3681" t="s">
        <v>7272</v>
      </c>
    </row>
    <row r="3682" spans="1:10">
      <c r="A3682" s="1">
        <v>189878</v>
      </c>
      <c r="B3682" s="1">
        <v>5250000547</v>
      </c>
      <c r="C3682" s="1">
        <v>6</v>
      </c>
      <c r="D3682" s="1" t="s">
        <v>386</v>
      </c>
      <c r="E3682" t="s">
        <v>7233</v>
      </c>
      <c r="F3682" s="1">
        <v>189936</v>
      </c>
      <c r="G3682" s="1">
        <v>5250000664</v>
      </c>
      <c r="H3682" s="1">
        <v>6</v>
      </c>
      <c r="I3682" s="1" t="s">
        <v>399</v>
      </c>
      <c r="J3682" t="s">
        <v>7273</v>
      </c>
    </row>
    <row r="3683" spans="1:10">
      <c r="A3683" s="1">
        <v>189969</v>
      </c>
      <c r="B3683" s="1">
        <v>5250000657</v>
      </c>
      <c r="C3683" s="1">
        <v>6</v>
      </c>
      <c r="D3683" s="1" t="s">
        <v>4491</v>
      </c>
      <c r="E3683" t="s">
        <v>7233</v>
      </c>
      <c r="F3683" s="1">
        <v>146365</v>
      </c>
      <c r="G3683" s="1">
        <v>5250000669</v>
      </c>
      <c r="H3683" s="1">
        <v>6</v>
      </c>
      <c r="I3683" s="1" t="s">
        <v>203</v>
      </c>
      <c r="J3683" t="s">
        <v>7274</v>
      </c>
    </row>
    <row r="3684" spans="1:10">
      <c r="A3684" s="1">
        <v>142067</v>
      </c>
      <c r="B3684" s="1">
        <v>5250000446</v>
      </c>
      <c r="C3684" s="1">
        <v>6</v>
      </c>
      <c r="D3684" s="1" t="s">
        <v>142</v>
      </c>
      <c r="E3684" t="s">
        <v>7234</v>
      </c>
      <c r="F3684" s="1">
        <v>141093</v>
      </c>
      <c r="G3684" s="1">
        <v>5250000561</v>
      </c>
      <c r="H3684" s="1">
        <v>6</v>
      </c>
      <c r="I3684" s="1" t="s">
        <v>31</v>
      </c>
      <c r="J3684" t="s">
        <v>7275</v>
      </c>
    </row>
    <row r="3685" spans="1:10">
      <c r="A3685" s="1">
        <v>49536</v>
      </c>
      <c r="B3685" s="1">
        <v>5250000570</v>
      </c>
      <c r="C3685" s="1">
        <v>6</v>
      </c>
      <c r="D3685" s="1" t="s">
        <v>417</v>
      </c>
      <c r="E3685" t="s">
        <v>7235</v>
      </c>
      <c r="F3685" s="1">
        <v>146282</v>
      </c>
      <c r="G3685" s="1">
        <v>5250000532</v>
      </c>
      <c r="H3685" s="1">
        <v>6</v>
      </c>
      <c r="I3685" s="1" t="s">
        <v>397</v>
      </c>
      <c r="J3685" t="s">
        <v>7276</v>
      </c>
    </row>
    <row r="3686" spans="1:10">
      <c r="A3686" s="1">
        <v>49171</v>
      </c>
      <c r="B3686" s="1">
        <v>5250000546</v>
      </c>
      <c r="C3686" s="1">
        <v>6</v>
      </c>
      <c r="D3686" s="1" t="s">
        <v>130</v>
      </c>
      <c r="E3686" t="s">
        <v>7236</v>
      </c>
      <c r="F3686" s="1">
        <v>49643</v>
      </c>
      <c r="G3686" s="1">
        <v>5250000524</v>
      </c>
      <c r="H3686" s="1">
        <v>6</v>
      </c>
      <c r="I3686" s="1" t="s">
        <v>93</v>
      </c>
      <c r="J3686" t="s">
        <v>7277</v>
      </c>
    </row>
    <row r="3687" spans="1:10">
      <c r="A3687" s="1">
        <v>141481</v>
      </c>
      <c r="B3687" s="1">
        <v>5250000286</v>
      </c>
      <c r="C3687" s="1">
        <v>6</v>
      </c>
      <c r="D3687" s="1" t="s">
        <v>7199</v>
      </c>
      <c r="E3687" t="s">
        <v>7237</v>
      </c>
      <c r="F3687" s="1">
        <v>49338</v>
      </c>
      <c r="G3687" s="1">
        <v>5250000502</v>
      </c>
      <c r="H3687" s="1">
        <v>6</v>
      </c>
      <c r="I3687" s="1" t="s">
        <v>5384</v>
      </c>
      <c r="J3687" t="s">
        <v>7278</v>
      </c>
    </row>
    <row r="3688" spans="1:10">
      <c r="A3688" s="1">
        <v>141523</v>
      </c>
      <c r="B3688" s="1">
        <v>5250000301</v>
      </c>
      <c r="C3688" s="1">
        <v>6</v>
      </c>
      <c r="D3688" s="1" t="s">
        <v>33</v>
      </c>
      <c r="E3688" t="s">
        <v>7238</v>
      </c>
      <c r="F3688" s="1">
        <v>487421</v>
      </c>
      <c r="G3688" s="1">
        <v>5250000801</v>
      </c>
      <c r="H3688" s="1">
        <v>6</v>
      </c>
      <c r="I3688" s="1" t="s">
        <v>417</v>
      </c>
      <c r="J3688" t="s">
        <v>7279</v>
      </c>
    </row>
    <row r="3689" spans="1:10">
      <c r="A3689" s="1">
        <v>141663</v>
      </c>
      <c r="B3689" s="1">
        <v>5250000351</v>
      </c>
      <c r="C3689" s="1">
        <v>6</v>
      </c>
      <c r="D3689" s="1" t="s">
        <v>7239</v>
      </c>
      <c r="E3689" t="s">
        <v>7240</v>
      </c>
      <c r="F3689" s="1">
        <v>146381</v>
      </c>
      <c r="G3689" s="1">
        <v>5250000681</v>
      </c>
      <c r="H3689" s="1">
        <v>6</v>
      </c>
      <c r="I3689" s="1" t="s">
        <v>89</v>
      </c>
      <c r="J3689" t="s">
        <v>7280</v>
      </c>
    </row>
    <row r="3690" spans="1:10">
      <c r="A3690" s="1">
        <v>146233</v>
      </c>
      <c r="B3690" s="1">
        <v>5250000501</v>
      </c>
      <c r="C3690" s="1">
        <v>6</v>
      </c>
      <c r="D3690" s="1" t="s">
        <v>397</v>
      </c>
      <c r="E3690" t="s">
        <v>7241</v>
      </c>
      <c r="F3690" s="1">
        <v>141408</v>
      </c>
      <c r="G3690" s="1">
        <v>5250000251</v>
      </c>
      <c r="H3690" s="1">
        <v>6</v>
      </c>
      <c r="I3690" s="1" t="s">
        <v>203</v>
      </c>
      <c r="J3690" t="s">
        <v>7281</v>
      </c>
    </row>
    <row r="3691" spans="1:10" ht="15.75">
      <c r="A3691" s="4" t="s">
        <v>10790</v>
      </c>
      <c r="B3691" s="2"/>
      <c r="C3691" s="2"/>
      <c r="D3691" s="2"/>
      <c r="E3691" s="3"/>
      <c r="F3691" s="4" t="s">
        <v>10790</v>
      </c>
      <c r="G3691" s="2"/>
      <c r="H3691" s="2"/>
      <c r="I3691" s="2"/>
      <c r="J3691" s="3"/>
    </row>
    <row r="3692" spans="1:10">
      <c r="A3692" s="2" t="s">
        <v>0</v>
      </c>
      <c r="B3692" s="2" t="s">
        <v>1</v>
      </c>
      <c r="C3692" s="2" t="s">
        <v>2</v>
      </c>
      <c r="D3692" s="2" t="s">
        <v>3</v>
      </c>
      <c r="E3692" s="3" t="s">
        <v>4</v>
      </c>
      <c r="F3692" s="2" t="s">
        <v>0</v>
      </c>
      <c r="G3692" s="2" t="s">
        <v>1</v>
      </c>
      <c r="H3692" s="2" t="s">
        <v>2</v>
      </c>
      <c r="I3692" s="2" t="s">
        <v>3</v>
      </c>
      <c r="J3692" s="3" t="s">
        <v>4</v>
      </c>
    </row>
    <row r="3693" spans="1:10">
      <c r="A3693" s="1">
        <v>141960</v>
      </c>
      <c r="B3693" s="1">
        <v>5250000563</v>
      </c>
      <c r="C3693" s="1">
        <v>6</v>
      </c>
      <c r="D3693" s="1" t="s">
        <v>31</v>
      </c>
      <c r="E3693" t="s">
        <v>7282</v>
      </c>
      <c r="F3693" s="1">
        <v>295675</v>
      </c>
      <c r="G3693" s="1">
        <v>8105701070</v>
      </c>
      <c r="H3693" s="1">
        <v>6</v>
      </c>
      <c r="I3693" s="1" t="s">
        <v>128</v>
      </c>
      <c r="J3693" t="s">
        <v>7322</v>
      </c>
    </row>
    <row r="3694" spans="1:10">
      <c r="A3694" s="1">
        <v>141416</v>
      </c>
      <c r="B3694" s="1">
        <v>5250000256</v>
      </c>
      <c r="C3694" s="1">
        <v>6</v>
      </c>
      <c r="D3694" s="1" t="s">
        <v>2280</v>
      </c>
      <c r="E3694" t="s">
        <v>7283</v>
      </c>
      <c r="F3694" s="1">
        <v>299222</v>
      </c>
      <c r="G3694" s="1">
        <v>8105701873</v>
      </c>
      <c r="H3694" s="1">
        <v>6</v>
      </c>
      <c r="I3694" s="1" t="s">
        <v>130</v>
      </c>
      <c r="J3694" t="s">
        <v>7323</v>
      </c>
    </row>
    <row r="3695" spans="1:10">
      <c r="A3695" s="1">
        <v>143016</v>
      </c>
      <c r="B3695" s="1">
        <v>5250001256</v>
      </c>
      <c r="C3695" s="1">
        <v>1</v>
      </c>
      <c r="D3695" s="1" t="s">
        <v>404</v>
      </c>
      <c r="E3695" t="s">
        <v>7283</v>
      </c>
      <c r="F3695" s="1">
        <v>298968</v>
      </c>
      <c r="G3695" s="1">
        <v>8105701710</v>
      </c>
      <c r="H3695" s="1">
        <v>6</v>
      </c>
      <c r="I3695" s="1" t="s">
        <v>2636</v>
      </c>
      <c r="J3695" t="s">
        <v>7324</v>
      </c>
    </row>
    <row r="3696" spans="1:10">
      <c r="A3696" s="1">
        <v>345736</v>
      </c>
      <c r="B3696" s="1">
        <v>5250000803</v>
      </c>
      <c r="C3696" s="1">
        <v>6</v>
      </c>
      <c r="D3696" s="1" t="s">
        <v>352</v>
      </c>
      <c r="E3696" t="s">
        <v>7284</v>
      </c>
      <c r="F3696" s="1">
        <v>298869</v>
      </c>
      <c r="G3696" s="1">
        <v>8105701700</v>
      </c>
      <c r="H3696" s="1">
        <v>6</v>
      </c>
      <c r="I3696" s="1" t="s">
        <v>212</v>
      </c>
      <c r="J3696" t="s">
        <v>7325</v>
      </c>
    </row>
    <row r="3697" spans="1:10">
      <c r="A3697" s="1">
        <v>49346</v>
      </c>
      <c r="B3697" s="1">
        <v>5250000503</v>
      </c>
      <c r="C3697" s="1">
        <v>6</v>
      </c>
      <c r="D3697" s="1" t="s">
        <v>312</v>
      </c>
      <c r="E3697" t="s">
        <v>7285</v>
      </c>
      <c r="F3697" s="1">
        <v>249987</v>
      </c>
      <c r="G3697" s="1">
        <v>8105701705</v>
      </c>
      <c r="H3697" s="1">
        <v>6</v>
      </c>
      <c r="I3697" s="1" t="s">
        <v>95</v>
      </c>
      <c r="J3697" t="s">
        <v>7326</v>
      </c>
    </row>
    <row r="3698" spans="1:10">
      <c r="A3698" s="1">
        <v>49288</v>
      </c>
      <c r="B3698" s="1">
        <v>5250000569</v>
      </c>
      <c r="C3698" s="1">
        <v>6</v>
      </c>
      <c r="D3698" s="1" t="s">
        <v>5384</v>
      </c>
      <c r="E3698" t="s">
        <v>7286</v>
      </c>
      <c r="F3698" s="1">
        <v>296020</v>
      </c>
      <c r="G3698" s="1">
        <v>8105701165</v>
      </c>
      <c r="H3698" s="1">
        <v>6</v>
      </c>
      <c r="I3698" s="1" t="s">
        <v>95</v>
      </c>
      <c r="J3698" t="s">
        <v>7327</v>
      </c>
    </row>
    <row r="3699" spans="1:10">
      <c r="A3699" s="1">
        <v>189886</v>
      </c>
      <c r="B3699" s="1">
        <v>5250000573</v>
      </c>
      <c r="C3699" s="1">
        <v>6</v>
      </c>
      <c r="D3699" s="1" t="s">
        <v>397</v>
      </c>
      <c r="E3699" t="s">
        <v>7287</v>
      </c>
      <c r="F3699" s="1">
        <v>296038</v>
      </c>
      <c r="G3699" s="1">
        <v>8105701155</v>
      </c>
      <c r="H3699" s="1">
        <v>6</v>
      </c>
      <c r="I3699" s="1" t="s">
        <v>95</v>
      </c>
      <c r="J3699" t="s">
        <v>7328</v>
      </c>
    </row>
    <row r="3700" spans="1:10">
      <c r="A3700" s="1">
        <v>49163</v>
      </c>
      <c r="B3700" s="1">
        <v>5250000568</v>
      </c>
      <c r="C3700" s="1">
        <v>6</v>
      </c>
      <c r="D3700" s="1" t="s">
        <v>756</v>
      </c>
      <c r="E3700" t="s">
        <v>7288</v>
      </c>
      <c r="F3700" s="1">
        <v>296046</v>
      </c>
      <c r="G3700" s="1">
        <v>8105701170</v>
      </c>
      <c r="H3700" s="1">
        <v>6</v>
      </c>
      <c r="I3700" s="1" t="s">
        <v>91</v>
      </c>
      <c r="J3700" t="s">
        <v>7329</v>
      </c>
    </row>
    <row r="3701" spans="1:10">
      <c r="A3701" s="1">
        <v>188540</v>
      </c>
      <c r="B3701" s="1">
        <v>5250001576</v>
      </c>
      <c r="C3701" s="1">
        <v>6</v>
      </c>
      <c r="D3701" s="1" t="s">
        <v>259</v>
      </c>
      <c r="E3701" t="s">
        <v>7289</v>
      </c>
      <c r="F3701" s="1">
        <v>296061</v>
      </c>
      <c r="G3701" s="1">
        <v>8105701180</v>
      </c>
      <c r="H3701" s="1">
        <v>6</v>
      </c>
      <c r="I3701" s="1" t="s">
        <v>91</v>
      </c>
      <c r="J3701" t="s">
        <v>7330</v>
      </c>
    </row>
    <row r="3702" spans="1:10">
      <c r="A3702" s="1">
        <v>189845</v>
      </c>
      <c r="B3702" s="1">
        <v>5250000579</v>
      </c>
      <c r="C3702" s="1">
        <v>6</v>
      </c>
      <c r="D3702" s="1" t="s">
        <v>89</v>
      </c>
      <c r="E3702" t="s">
        <v>7290</v>
      </c>
      <c r="F3702" s="1">
        <v>296087</v>
      </c>
      <c r="G3702" s="1">
        <v>8105701218</v>
      </c>
      <c r="H3702" s="1">
        <v>6</v>
      </c>
      <c r="I3702" s="1" t="s">
        <v>99</v>
      </c>
      <c r="J3702" t="s">
        <v>7331</v>
      </c>
    </row>
    <row r="3703" spans="1:10">
      <c r="A3703" s="1">
        <v>137893</v>
      </c>
      <c r="B3703" s="1">
        <v>4113030000</v>
      </c>
      <c r="C3703" s="1">
        <v>12</v>
      </c>
      <c r="D3703" s="1" t="s">
        <v>397</v>
      </c>
      <c r="E3703" t="s">
        <v>7291</v>
      </c>
      <c r="F3703" s="1">
        <v>296095</v>
      </c>
      <c r="G3703" s="1">
        <v>8105701220</v>
      </c>
      <c r="H3703" s="1">
        <v>6</v>
      </c>
      <c r="I3703" s="1" t="s">
        <v>128</v>
      </c>
      <c r="J3703" t="s">
        <v>7332</v>
      </c>
    </row>
    <row r="3704" spans="1:10">
      <c r="A3704" s="1">
        <v>170183</v>
      </c>
      <c r="B3704" s="1">
        <v>5210000964</v>
      </c>
      <c r="C3704" s="1">
        <v>12</v>
      </c>
      <c r="D3704" s="1" t="s">
        <v>203</v>
      </c>
      <c r="E3704" t="s">
        <v>7292</v>
      </c>
      <c r="F3704" s="1">
        <v>296269</v>
      </c>
      <c r="G3704" s="1">
        <v>8105701230</v>
      </c>
      <c r="H3704" s="1">
        <v>6</v>
      </c>
      <c r="I3704" s="1" t="s">
        <v>2692</v>
      </c>
      <c r="J3704" t="s">
        <v>7333</v>
      </c>
    </row>
    <row r="3705" spans="1:10">
      <c r="A3705" s="1">
        <v>170944</v>
      </c>
      <c r="B3705" s="1">
        <v>5210000888</v>
      </c>
      <c r="C3705" s="1">
        <v>12</v>
      </c>
      <c r="D3705" s="1" t="s">
        <v>2211</v>
      </c>
      <c r="E3705" t="s">
        <v>7293</v>
      </c>
      <c r="F3705" s="1">
        <v>296541</v>
      </c>
      <c r="G3705" s="1">
        <v>8105701235</v>
      </c>
      <c r="H3705" s="1">
        <v>6</v>
      </c>
      <c r="I3705" s="1" t="s">
        <v>6910</v>
      </c>
      <c r="J3705" t="s">
        <v>7334</v>
      </c>
    </row>
    <row r="3706" spans="1:10">
      <c r="A3706" s="1">
        <v>171157</v>
      </c>
      <c r="B3706" s="1">
        <v>5210000959</v>
      </c>
      <c r="C3706" s="1">
        <v>12</v>
      </c>
      <c r="D3706" s="1" t="s">
        <v>7294</v>
      </c>
      <c r="E3706" t="s">
        <v>7295</v>
      </c>
      <c r="F3706" s="1">
        <v>296749</v>
      </c>
      <c r="G3706" s="1">
        <v>8105701240</v>
      </c>
      <c r="H3706" s="1">
        <v>6</v>
      </c>
      <c r="I3706" s="1" t="s">
        <v>17</v>
      </c>
      <c r="J3706" t="s">
        <v>7335</v>
      </c>
    </row>
    <row r="3707" spans="1:10">
      <c r="A3707" s="1">
        <v>170126</v>
      </c>
      <c r="B3707" s="1">
        <v>5210000971</v>
      </c>
      <c r="C3707" s="1">
        <v>12</v>
      </c>
      <c r="D3707" s="1" t="s">
        <v>410</v>
      </c>
      <c r="E3707" t="s">
        <v>7296</v>
      </c>
      <c r="F3707" s="1">
        <v>296939</v>
      </c>
      <c r="G3707" s="1">
        <v>8105701250</v>
      </c>
      <c r="H3707" s="1">
        <v>6</v>
      </c>
      <c r="I3707" s="1" t="s">
        <v>16</v>
      </c>
      <c r="J3707" t="s">
        <v>7336</v>
      </c>
    </row>
    <row r="3708" spans="1:10">
      <c r="A3708" s="1">
        <v>170118</v>
      </c>
      <c r="B3708" s="1">
        <v>5210000969</v>
      </c>
      <c r="C3708" s="1">
        <v>12</v>
      </c>
      <c r="D3708" s="1" t="s">
        <v>358</v>
      </c>
      <c r="E3708" t="s">
        <v>7297</v>
      </c>
      <c r="F3708" s="1">
        <v>296954</v>
      </c>
      <c r="G3708" s="1">
        <v>8105701260</v>
      </c>
      <c r="H3708" s="1">
        <v>6</v>
      </c>
      <c r="I3708" s="1" t="s">
        <v>95</v>
      </c>
      <c r="J3708" t="s">
        <v>7337</v>
      </c>
    </row>
    <row r="3709" spans="1:10">
      <c r="A3709" s="1">
        <v>170142</v>
      </c>
      <c r="B3709" s="1">
        <v>5210000967</v>
      </c>
      <c r="C3709" s="1">
        <v>12</v>
      </c>
      <c r="D3709" s="1" t="s">
        <v>7020</v>
      </c>
      <c r="E3709" t="s">
        <v>7298</v>
      </c>
      <c r="F3709" s="1">
        <v>297002</v>
      </c>
      <c r="G3709" s="1">
        <v>8105701265</v>
      </c>
      <c r="H3709" s="1">
        <v>6</v>
      </c>
      <c r="I3709" s="1" t="s">
        <v>16</v>
      </c>
      <c r="J3709" t="s">
        <v>7338</v>
      </c>
    </row>
    <row r="3710" spans="1:10">
      <c r="A3710" s="1">
        <v>170266</v>
      </c>
      <c r="B3710" s="1">
        <v>5210000898</v>
      </c>
      <c r="C3710" s="1">
        <v>12</v>
      </c>
      <c r="D3710" s="1" t="s">
        <v>89</v>
      </c>
      <c r="E3710" t="s">
        <v>7299</v>
      </c>
      <c r="F3710" s="1">
        <v>297010</v>
      </c>
      <c r="G3710" s="1">
        <v>8105701275</v>
      </c>
      <c r="H3710" s="1">
        <v>6</v>
      </c>
      <c r="I3710" s="1" t="s">
        <v>108</v>
      </c>
      <c r="J3710" t="s">
        <v>7339</v>
      </c>
    </row>
    <row r="3711" spans="1:10">
      <c r="A3711" s="1">
        <v>170423</v>
      </c>
      <c r="B3711" s="1">
        <v>5210000973</v>
      </c>
      <c r="C3711" s="1">
        <v>12</v>
      </c>
      <c r="D3711" s="1" t="s">
        <v>5235</v>
      </c>
      <c r="E3711" t="s">
        <v>7300</v>
      </c>
      <c r="F3711" s="1">
        <v>297028</v>
      </c>
      <c r="G3711" s="1">
        <v>8105701310</v>
      </c>
      <c r="H3711" s="1">
        <v>6</v>
      </c>
      <c r="I3711" s="1" t="s">
        <v>645</v>
      </c>
      <c r="J3711" t="s">
        <v>7340</v>
      </c>
    </row>
    <row r="3712" spans="1:10">
      <c r="A3712" s="1">
        <v>170217</v>
      </c>
      <c r="B3712" s="1">
        <v>5210000450</v>
      </c>
      <c r="C3712" s="1">
        <v>12</v>
      </c>
      <c r="D3712" s="1" t="s">
        <v>203</v>
      </c>
      <c r="E3712" t="s">
        <v>7301</v>
      </c>
      <c r="F3712" s="1">
        <v>297036</v>
      </c>
      <c r="G3712" s="1">
        <v>8105701325</v>
      </c>
      <c r="H3712" s="1">
        <v>6</v>
      </c>
      <c r="I3712" s="1" t="s">
        <v>91</v>
      </c>
      <c r="J3712" t="s">
        <v>7341</v>
      </c>
    </row>
    <row r="3713" spans="1:10">
      <c r="A3713" s="1">
        <v>170076</v>
      </c>
      <c r="B3713" s="1">
        <v>5210000872</v>
      </c>
      <c r="C3713" s="1">
        <v>12</v>
      </c>
      <c r="D3713" s="1" t="s">
        <v>386</v>
      </c>
      <c r="E3713" t="s">
        <v>7302</v>
      </c>
      <c r="F3713" s="1">
        <v>297044</v>
      </c>
      <c r="G3713" s="1">
        <v>8105701330</v>
      </c>
      <c r="H3713" s="1">
        <v>6</v>
      </c>
      <c r="I3713" s="1" t="s">
        <v>91</v>
      </c>
      <c r="J3713" t="s">
        <v>7342</v>
      </c>
    </row>
    <row r="3714" spans="1:10">
      <c r="A3714" s="1">
        <v>170068</v>
      </c>
      <c r="B3714" s="1">
        <v>5210000963</v>
      </c>
      <c r="C3714" s="1">
        <v>12</v>
      </c>
      <c r="D3714" s="1" t="s">
        <v>16</v>
      </c>
      <c r="E3714" t="s">
        <v>7303</v>
      </c>
      <c r="F3714" s="1">
        <v>297325</v>
      </c>
      <c r="G3714" s="1">
        <v>8105701350</v>
      </c>
      <c r="H3714" s="1">
        <v>6</v>
      </c>
      <c r="I3714" s="1" t="s">
        <v>7222</v>
      </c>
      <c r="J3714" t="s">
        <v>7343</v>
      </c>
    </row>
    <row r="3715" spans="1:10">
      <c r="A3715" s="1">
        <v>170233</v>
      </c>
      <c r="B3715" s="1">
        <v>5210000962</v>
      </c>
      <c r="C3715" s="1">
        <v>12</v>
      </c>
      <c r="D3715" s="1" t="s">
        <v>6895</v>
      </c>
      <c r="E3715" t="s">
        <v>7304</v>
      </c>
      <c r="F3715" s="1">
        <v>297440</v>
      </c>
      <c r="G3715" s="1">
        <v>8105701355</v>
      </c>
      <c r="H3715" s="1">
        <v>6</v>
      </c>
      <c r="I3715" s="1" t="s">
        <v>91</v>
      </c>
      <c r="J3715" t="s">
        <v>7344</v>
      </c>
    </row>
    <row r="3716" spans="1:10">
      <c r="A3716" s="1">
        <v>170050</v>
      </c>
      <c r="B3716" s="1">
        <v>5210000965</v>
      </c>
      <c r="C3716" s="1">
        <v>12</v>
      </c>
      <c r="D3716" s="1" t="s">
        <v>2280</v>
      </c>
      <c r="E3716" t="s">
        <v>7305</v>
      </c>
      <c r="F3716" s="1">
        <v>297457</v>
      </c>
      <c r="G3716" s="1">
        <v>8105701360</v>
      </c>
      <c r="H3716" s="1">
        <v>6</v>
      </c>
      <c r="I3716" s="1" t="s">
        <v>128</v>
      </c>
      <c r="J3716" t="s">
        <v>7345</v>
      </c>
    </row>
    <row r="3717" spans="1:10">
      <c r="A3717" s="1">
        <v>170175</v>
      </c>
      <c r="B3717" s="1">
        <v>5210000847</v>
      </c>
      <c r="C3717" s="1">
        <v>12</v>
      </c>
      <c r="D3717" s="1" t="s">
        <v>6850</v>
      </c>
      <c r="E3717" t="s">
        <v>7306</v>
      </c>
      <c r="F3717" s="1">
        <v>100941</v>
      </c>
      <c r="G3717" s="1">
        <v>8105702065</v>
      </c>
      <c r="H3717" s="1">
        <v>6</v>
      </c>
      <c r="I3717" s="1" t="s">
        <v>7346</v>
      </c>
      <c r="J3717" t="s">
        <v>7347</v>
      </c>
    </row>
    <row r="3718" spans="1:10">
      <c r="A3718" s="1">
        <v>170258</v>
      </c>
      <c r="B3718" s="1">
        <v>5210000972</v>
      </c>
      <c r="C3718" s="1">
        <v>12</v>
      </c>
      <c r="D3718" s="1" t="s">
        <v>6846</v>
      </c>
      <c r="E3718" t="s">
        <v>7307</v>
      </c>
      <c r="F3718" s="1">
        <v>297598</v>
      </c>
      <c r="G3718" s="1">
        <v>8105701402</v>
      </c>
      <c r="H3718" s="1">
        <v>6</v>
      </c>
      <c r="I3718" s="1" t="s">
        <v>2636</v>
      </c>
      <c r="J3718" t="s">
        <v>7348</v>
      </c>
    </row>
    <row r="3719" spans="1:10">
      <c r="A3719" s="1">
        <v>170167</v>
      </c>
      <c r="B3719" s="1">
        <v>5210000873</v>
      </c>
      <c r="C3719" s="1">
        <v>12</v>
      </c>
      <c r="D3719" s="1" t="s">
        <v>2214</v>
      </c>
      <c r="E3719" t="s">
        <v>7308</v>
      </c>
      <c r="F3719" s="1">
        <v>449488</v>
      </c>
      <c r="G3719" s="1">
        <v>8105702053</v>
      </c>
      <c r="H3719" s="1">
        <v>6</v>
      </c>
      <c r="I3719" s="1" t="s">
        <v>108</v>
      </c>
      <c r="J3719" t="s">
        <v>7349</v>
      </c>
    </row>
    <row r="3720" spans="1:10">
      <c r="A3720" s="1">
        <v>178939</v>
      </c>
      <c r="B3720" s="1">
        <v>5210000883</v>
      </c>
      <c r="C3720" s="1">
        <v>12</v>
      </c>
      <c r="D3720" s="1" t="s">
        <v>465</v>
      </c>
      <c r="E3720" t="s">
        <v>7309</v>
      </c>
      <c r="F3720" s="1">
        <v>297770</v>
      </c>
      <c r="G3720" s="1">
        <v>8105701422</v>
      </c>
      <c r="H3720" s="1">
        <v>6</v>
      </c>
      <c r="I3720" s="1" t="s">
        <v>312</v>
      </c>
      <c r="J3720" t="s">
        <v>7350</v>
      </c>
    </row>
    <row r="3721" spans="1:10">
      <c r="A3721" s="1">
        <v>170043</v>
      </c>
      <c r="B3721" s="1">
        <v>5210000966</v>
      </c>
      <c r="C3721" s="1">
        <v>12</v>
      </c>
      <c r="D3721" s="1" t="s">
        <v>155</v>
      </c>
      <c r="E3721" t="s">
        <v>7310</v>
      </c>
      <c r="F3721" s="1">
        <v>297762</v>
      </c>
      <c r="G3721" s="1">
        <v>8105701420</v>
      </c>
      <c r="H3721" s="1">
        <v>6</v>
      </c>
      <c r="I3721" s="1" t="s">
        <v>128</v>
      </c>
      <c r="J3721" t="s">
        <v>7351</v>
      </c>
    </row>
    <row r="3722" spans="1:10">
      <c r="A3722" s="1">
        <v>170027</v>
      </c>
      <c r="B3722" s="1">
        <v>5210000976</v>
      </c>
      <c r="C3722" s="1">
        <v>12</v>
      </c>
      <c r="D3722" s="1" t="s">
        <v>358</v>
      </c>
      <c r="E3722" t="s">
        <v>7311</v>
      </c>
      <c r="F3722" s="1">
        <v>297465</v>
      </c>
      <c r="G3722" s="1">
        <v>8105701400</v>
      </c>
      <c r="H3722" s="1">
        <v>6</v>
      </c>
      <c r="I3722" s="1" t="s">
        <v>7352</v>
      </c>
      <c r="J3722" t="s">
        <v>7353</v>
      </c>
    </row>
    <row r="3723" spans="1:10">
      <c r="A3723" s="1">
        <v>170092</v>
      </c>
      <c r="B3723" s="1">
        <v>5210000895</v>
      </c>
      <c r="C3723" s="1">
        <v>12</v>
      </c>
      <c r="D3723" s="1" t="s">
        <v>7312</v>
      </c>
      <c r="E3723" t="s">
        <v>7313</v>
      </c>
      <c r="F3723" s="1">
        <v>782995</v>
      </c>
      <c r="G3723" s="1">
        <v>8105702021</v>
      </c>
      <c r="H3723" s="1">
        <v>3</v>
      </c>
      <c r="I3723" s="1" t="s">
        <v>2636</v>
      </c>
      <c r="J3723" t="s">
        <v>7354</v>
      </c>
    </row>
    <row r="3724" spans="1:10">
      <c r="A3724" s="1">
        <v>170001</v>
      </c>
      <c r="B3724" s="1">
        <v>5210000440</v>
      </c>
      <c r="C3724" s="1">
        <v>12</v>
      </c>
      <c r="D3724" s="1" t="s">
        <v>4491</v>
      </c>
      <c r="E3724" t="s">
        <v>7314</v>
      </c>
      <c r="F3724" s="1">
        <v>374009</v>
      </c>
      <c r="G3724" s="1">
        <v>8105702025</v>
      </c>
      <c r="H3724" s="1">
        <v>3</v>
      </c>
      <c r="I3724" s="1" t="s">
        <v>624</v>
      </c>
      <c r="J3724" t="s">
        <v>7355</v>
      </c>
    </row>
    <row r="3725" spans="1:10">
      <c r="A3725" s="1">
        <v>170084</v>
      </c>
      <c r="B3725" s="1">
        <v>5210000961</v>
      </c>
      <c r="C3725" s="1">
        <v>12</v>
      </c>
      <c r="D3725" s="1" t="s">
        <v>31</v>
      </c>
      <c r="E3725" t="s">
        <v>7315</v>
      </c>
      <c r="F3725" s="1">
        <v>747907</v>
      </c>
      <c r="G3725" s="1">
        <v>8105702181</v>
      </c>
      <c r="H3725" s="1">
        <v>6</v>
      </c>
      <c r="I3725" s="1" t="s">
        <v>7356</v>
      </c>
      <c r="J3725" t="s">
        <v>7357</v>
      </c>
    </row>
    <row r="3726" spans="1:10">
      <c r="A3726" s="1">
        <v>371070</v>
      </c>
      <c r="B3726" s="1">
        <v>5210000968</v>
      </c>
      <c r="C3726" s="1">
        <v>12</v>
      </c>
      <c r="D3726" s="1" t="s">
        <v>4586</v>
      </c>
      <c r="E3726" t="s">
        <v>7316</v>
      </c>
      <c r="F3726" s="1">
        <v>415083</v>
      </c>
      <c r="G3726" s="1">
        <v>8105702182</v>
      </c>
      <c r="H3726" s="1">
        <v>6</v>
      </c>
      <c r="I3726" s="1" t="s">
        <v>603</v>
      </c>
      <c r="J3726" t="s">
        <v>7358</v>
      </c>
    </row>
    <row r="3727" spans="1:10">
      <c r="A3727" s="1">
        <v>170332</v>
      </c>
      <c r="B3727" s="1">
        <v>5210000420</v>
      </c>
      <c r="C3727" s="1">
        <v>12</v>
      </c>
      <c r="D3727" s="1" t="s">
        <v>6968</v>
      </c>
      <c r="E3727" t="s">
        <v>7317</v>
      </c>
      <c r="F3727" s="1">
        <v>862441</v>
      </c>
      <c r="G3727" s="1">
        <v>8105702188</v>
      </c>
      <c r="H3727" s="1">
        <v>6</v>
      </c>
      <c r="I3727" s="1" t="s">
        <v>558</v>
      </c>
      <c r="J3727" t="s">
        <v>7359</v>
      </c>
    </row>
    <row r="3728" spans="1:10">
      <c r="A3728" s="1">
        <v>295535</v>
      </c>
      <c r="B3728" s="1">
        <v>8105701745</v>
      </c>
      <c r="C3728" s="1">
        <v>6</v>
      </c>
      <c r="D3728" s="1" t="s">
        <v>91</v>
      </c>
      <c r="E3728" t="s">
        <v>7318</v>
      </c>
      <c r="F3728" s="1">
        <v>489740</v>
      </c>
      <c r="G3728" s="1">
        <v>8105702194</v>
      </c>
      <c r="H3728" s="1">
        <v>6</v>
      </c>
      <c r="I3728" s="1" t="s">
        <v>477</v>
      </c>
      <c r="J3728" t="s">
        <v>7360</v>
      </c>
    </row>
    <row r="3729" spans="1:10">
      <c r="A3729" s="1">
        <v>295733</v>
      </c>
      <c r="B3729" s="1">
        <v>8105701080</v>
      </c>
      <c r="C3729" s="1">
        <v>6</v>
      </c>
      <c r="D3729" s="1" t="s">
        <v>6910</v>
      </c>
      <c r="E3729" t="s">
        <v>7319</v>
      </c>
      <c r="F3729" s="1">
        <v>483057</v>
      </c>
      <c r="G3729" s="1">
        <v>8105702022</v>
      </c>
      <c r="H3729" s="1">
        <v>3</v>
      </c>
      <c r="I3729" s="1" t="s">
        <v>31</v>
      </c>
      <c r="J3729" t="s">
        <v>7361</v>
      </c>
    </row>
    <row r="3730" spans="1:10">
      <c r="A3730" s="1">
        <v>340729</v>
      </c>
      <c r="B3730" s="1">
        <v>8105702042</v>
      </c>
      <c r="C3730" s="1">
        <v>6</v>
      </c>
      <c r="D3730" s="1" t="s">
        <v>2276</v>
      </c>
      <c r="E3730" t="s">
        <v>7320</v>
      </c>
      <c r="F3730" s="1">
        <v>776492</v>
      </c>
      <c r="G3730" s="1">
        <v>8105702026</v>
      </c>
      <c r="H3730" s="1">
        <v>3</v>
      </c>
      <c r="I3730" s="1" t="s">
        <v>130</v>
      </c>
      <c r="J3730" t="s">
        <v>7362</v>
      </c>
    </row>
    <row r="3731" spans="1:10">
      <c r="A3731" s="1">
        <v>295873</v>
      </c>
      <c r="B3731" s="1">
        <v>8105701090</v>
      </c>
      <c r="C3731" s="1">
        <v>6</v>
      </c>
      <c r="D3731" s="1" t="s">
        <v>13</v>
      </c>
      <c r="E3731" t="s">
        <v>7321</v>
      </c>
      <c r="F3731" s="1">
        <v>440719</v>
      </c>
      <c r="G3731" s="1">
        <v>8105702024</v>
      </c>
      <c r="H3731" s="1">
        <v>3</v>
      </c>
      <c r="I3731" s="1" t="s">
        <v>17</v>
      </c>
      <c r="J3731" t="s">
        <v>7363</v>
      </c>
    </row>
    <row r="3732" spans="1:10" ht="15.75">
      <c r="A3732" s="4" t="s">
        <v>10790</v>
      </c>
      <c r="B3732" s="2"/>
      <c r="C3732" s="2"/>
      <c r="D3732" s="2"/>
      <c r="E3732" s="3"/>
      <c r="F3732" s="4" t="s">
        <v>10790</v>
      </c>
      <c r="G3732" s="2"/>
      <c r="H3732" s="2"/>
      <c r="I3732" s="2"/>
      <c r="J3732" s="3"/>
    </row>
    <row r="3733" spans="1:10">
      <c r="A3733" s="2" t="s">
        <v>0</v>
      </c>
      <c r="B3733" s="2" t="s">
        <v>1</v>
      </c>
      <c r="C3733" s="2" t="s">
        <v>2</v>
      </c>
      <c r="D3733" s="2" t="s">
        <v>3</v>
      </c>
      <c r="E3733" s="3" t="s">
        <v>4</v>
      </c>
      <c r="F3733" s="2" t="s">
        <v>0</v>
      </c>
      <c r="G3733" s="2" t="s">
        <v>1</v>
      </c>
      <c r="H3733" s="2" t="s">
        <v>2</v>
      </c>
      <c r="I3733" s="2" t="s">
        <v>3</v>
      </c>
      <c r="J3733" s="3" t="s">
        <v>4</v>
      </c>
    </row>
    <row r="3734" spans="1:10">
      <c r="A3734" s="1">
        <v>56184</v>
      </c>
      <c r="B3734" s="1">
        <v>8105702023</v>
      </c>
      <c r="C3734" s="1">
        <v>3</v>
      </c>
      <c r="D3734" s="1" t="s">
        <v>128</v>
      </c>
      <c r="E3734" t="s">
        <v>7364</v>
      </c>
      <c r="F3734" s="1">
        <v>299446</v>
      </c>
      <c r="G3734" s="1">
        <v>8105701890</v>
      </c>
      <c r="H3734" s="1">
        <v>6</v>
      </c>
      <c r="I3734" s="1" t="s">
        <v>7406</v>
      </c>
      <c r="J3734" t="s">
        <v>7407</v>
      </c>
    </row>
    <row r="3735" spans="1:10">
      <c r="A3735" s="1">
        <v>297929</v>
      </c>
      <c r="B3735" s="1">
        <v>8105701440</v>
      </c>
      <c r="C3735" s="1">
        <v>6</v>
      </c>
      <c r="D3735" s="1" t="s">
        <v>2288</v>
      </c>
      <c r="E3735" t="s">
        <v>7365</v>
      </c>
      <c r="F3735" s="1">
        <v>299412</v>
      </c>
      <c r="G3735" s="1">
        <v>8105701935</v>
      </c>
      <c r="H3735" s="1">
        <v>6</v>
      </c>
      <c r="I3735" s="1" t="s">
        <v>56</v>
      </c>
      <c r="J3735" t="s">
        <v>7408</v>
      </c>
    </row>
    <row r="3736" spans="1:10">
      <c r="A3736" s="1">
        <v>747634</v>
      </c>
      <c r="B3736" s="1">
        <v>8105702058</v>
      </c>
      <c r="C3736" s="1">
        <v>6</v>
      </c>
      <c r="D3736" s="1" t="s">
        <v>6907</v>
      </c>
      <c r="E3736" t="s">
        <v>7366</v>
      </c>
      <c r="F3736" s="1">
        <v>297671</v>
      </c>
      <c r="G3736" s="1">
        <v>8105701405</v>
      </c>
      <c r="H3736" s="1">
        <v>6</v>
      </c>
      <c r="I3736" s="1" t="s">
        <v>312</v>
      </c>
      <c r="J3736" t="s">
        <v>7409</v>
      </c>
    </row>
    <row r="3737" spans="1:10">
      <c r="A3737" s="1">
        <v>297945</v>
      </c>
      <c r="B3737" s="1">
        <v>8105701510</v>
      </c>
      <c r="C3737" s="1">
        <v>6</v>
      </c>
      <c r="D3737" s="1" t="s">
        <v>6907</v>
      </c>
      <c r="E3737" t="s">
        <v>7367</v>
      </c>
      <c r="F3737" s="1">
        <v>295519</v>
      </c>
      <c r="G3737" s="1">
        <v>8105701012</v>
      </c>
      <c r="H3737" s="1">
        <v>6</v>
      </c>
      <c r="I3737" s="1" t="s">
        <v>31</v>
      </c>
      <c r="J3737" t="s">
        <v>7410</v>
      </c>
    </row>
    <row r="3738" spans="1:10">
      <c r="A3738" s="1">
        <v>298182</v>
      </c>
      <c r="B3738" s="1">
        <v>8105701513</v>
      </c>
      <c r="C3738" s="1">
        <v>6</v>
      </c>
      <c r="D3738" s="1" t="s">
        <v>212</v>
      </c>
      <c r="E3738" t="s">
        <v>7368</v>
      </c>
      <c r="F3738" s="1">
        <v>297812</v>
      </c>
      <c r="G3738" s="1">
        <v>8105701427</v>
      </c>
      <c r="H3738" s="1">
        <v>6</v>
      </c>
      <c r="I3738" s="1" t="s">
        <v>203</v>
      </c>
      <c r="J3738" t="s">
        <v>7411</v>
      </c>
    </row>
    <row r="3739" spans="1:10">
      <c r="A3739" s="1">
        <v>298307</v>
      </c>
      <c r="B3739" s="1">
        <v>8105701530</v>
      </c>
      <c r="C3739" s="1">
        <v>6</v>
      </c>
      <c r="D3739" s="1" t="s">
        <v>7369</v>
      </c>
      <c r="E3739" t="s">
        <v>7370</v>
      </c>
      <c r="F3739" s="1">
        <v>297937</v>
      </c>
      <c r="G3739" s="1">
        <v>8105701450</v>
      </c>
      <c r="H3739" s="1">
        <v>6</v>
      </c>
      <c r="I3739" s="1" t="s">
        <v>7227</v>
      </c>
      <c r="J3739" t="s">
        <v>7412</v>
      </c>
    </row>
    <row r="3740" spans="1:10">
      <c r="A3740" s="1">
        <v>298463</v>
      </c>
      <c r="B3740" s="1">
        <v>8105701585</v>
      </c>
      <c r="C3740" s="1">
        <v>6</v>
      </c>
      <c r="D3740" s="1" t="s">
        <v>128</v>
      </c>
      <c r="E3740" t="s">
        <v>7371</v>
      </c>
      <c r="F3740" s="1">
        <v>298356</v>
      </c>
      <c r="G3740" s="1">
        <v>8105701540</v>
      </c>
      <c r="H3740" s="1">
        <v>6</v>
      </c>
      <c r="I3740" s="1" t="s">
        <v>17</v>
      </c>
      <c r="J3740" t="s">
        <v>7413</v>
      </c>
    </row>
    <row r="3741" spans="1:10">
      <c r="A3741" s="1">
        <v>298497</v>
      </c>
      <c r="B3741" s="1">
        <v>8105701611</v>
      </c>
      <c r="C3741" s="1">
        <v>6</v>
      </c>
      <c r="D3741" s="1" t="s">
        <v>91</v>
      </c>
      <c r="E3741" t="s">
        <v>7372</v>
      </c>
      <c r="F3741" s="1">
        <v>283515</v>
      </c>
      <c r="G3741" s="1">
        <v>8105702060</v>
      </c>
      <c r="H3741" s="1">
        <v>6</v>
      </c>
      <c r="I3741" s="1" t="s">
        <v>277</v>
      </c>
      <c r="J3741" t="s">
        <v>7414</v>
      </c>
    </row>
    <row r="3742" spans="1:10">
      <c r="A3742" s="1">
        <v>298604</v>
      </c>
      <c r="B3742" s="1">
        <v>8105701635</v>
      </c>
      <c r="C3742" s="1">
        <v>6</v>
      </c>
      <c r="D3742" s="1" t="s">
        <v>2629</v>
      </c>
      <c r="E3742" t="s">
        <v>7373</v>
      </c>
      <c r="F3742" s="1">
        <v>298828</v>
      </c>
      <c r="G3742" s="1">
        <v>8105701660</v>
      </c>
      <c r="H3742" s="1">
        <v>6</v>
      </c>
      <c r="I3742" s="1" t="s">
        <v>108</v>
      </c>
      <c r="J3742" t="s">
        <v>7415</v>
      </c>
    </row>
    <row r="3743" spans="1:10">
      <c r="A3743" s="1">
        <v>298612</v>
      </c>
      <c r="B3743" s="1">
        <v>8105701638</v>
      </c>
      <c r="C3743" s="1">
        <v>6</v>
      </c>
      <c r="D3743" s="1" t="s">
        <v>128</v>
      </c>
      <c r="E3743" t="s">
        <v>7374</v>
      </c>
      <c r="F3743" s="1">
        <v>299206</v>
      </c>
      <c r="G3743" s="1">
        <v>8105701840</v>
      </c>
      <c r="H3743" s="1">
        <v>6</v>
      </c>
      <c r="I3743" s="1" t="s">
        <v>7227</v>
      </c>
      <c r="J3743" t="s">
        <v>7416</v>
      </c>
    </row>
    <row r="3744" spans="1:10">
      <c r="A3744" s="1">
        <v>298638</v>
      </c>
      <c r="B3744" s="1">
        <v>8105701640</v>
      </c>
      <c r="C3744" s="1">
        <v>6</v>
      </c>
      <c r="D3744" s="1" t="s">
        <v>7227</v>
      </c>
      <c r="E3744" t="s">
        <v>7375</v>
      </c>
      <c r="F3744" s="1">
        <v>299669</v>
      </c>
      <c r="G3744" s="1">
        <v>8105701957</v>
      </c>
      <c r="H3744" s="1">
        <v>6</v>
      </c>
      <c r="I3744" s="1" t="s">
        <v>31</v>
      </c>
      <c r="J3744" t="s">
        <v>7417</v>
      </c>
    </row>
    <row r="3745" spans="1:10">
      <c r="A3745" s="1">
        <v>249680</v>
      </c>
      <c r="B3745" s="1">
        <v>8105701081</v>
      </c>
      <c r="C3745" s="1">
        <v>6</v>
      </c>
      <c r="D3745" s="1" t="s">
        <v>7369</v>
      </c>
      <c r="E3745" t="s">
        <v>7376</v>
      </c>
      <c r="F3745" s="1">
        <v>299453</v>
      </c>
      <c r="G3745" s="1">
        <v>8105701937</v>
      </c>
      <c r="H3745" s="1">
        <v>6</v>
      </c>
      <c r="I3745" s="1" t="s">
        <v>5384</v>
      </c>
      <c r="J3745" t="s">
        <v>7418</v>
      </c>
    </row>
    <row r="3746" spans="1:10">
      <c r="A3746" s="1">
        <v>249474</v>
      </c>
      <c r="B3746" s="1">
        <v>8105701095</v>
      </c>
      <c r="C3746" s="1">
        <v>6</v>
      </c>
      <c r="D3746" s="1" t="s">
        <v>13</v>
      </c>
      <c r="E3746" t="s">
        <v>7377</v>
      </c>
      <c r="F3746" s="1">
        <v>299594</v>
      </c>
      <c r="G3746" s="1">
        <v>8105701940</v>
      </c>
      <c r="H3746" s="1">
        <v>6</v>
      </c>
      <c r="I3746" s="1" t="s">
        <v>6910</v>
      </c>
      <c r="J3746" t="s">
        <v>7419</v>
      </c>
    </row>
    <row r="3747" spans="1:10">
      <c r="A3747" s="1">
        <v>249664</v>
      </c>
      <c r="B3747" s="1">
        <v>8105701171</v>
      </c>
      <c r="C3747" s="1">
        <v>6</v>
      </c>
      <c r="D3747" s="1" t="s">
        <v>17</v>
      </c>
      <c r="E3747" t="s">
        <v>7378</v>
      </c>
      <c r="F3747" s="1">
        <v>298406</v>
      </c>
      <c r="G3747" s="1">
        <v>8105701550</v>
      </c>
      <c r="H3747" s="1">
        <v>6</v>
      </c>
      <c r="I3747" s="1" t="s">
        <v>7420</v>
      </c>
      <c r="J3747" t="s">
        <v>7421</v>
      </c>
    </row>
    <row r="3748" spans="1:10">
      <c r="A3748" s="1">
        <v>249417</v>
      </c>
      <c r="B3748" s="1">
        <v>8105701236</v>
      </c>
      <c r="C3748" s="1">
        <v>6</v>
      </c>
      <c r="D3748" s="1" t="s">
        <v>7369</v>
      </c>
      <c r="E3748" t="s">
        <v>7379</v>
      </c>
      <c r="F3748" s="1">
        <v>299644</v>
      </c>
      <c r="G3748" s="1">
        <v>8105701945</v>
      </c>
      <c r="H3748" s="1">
        <v>6</v>
      </c>
      <c r="I3748" s="1" t="s">
        <v>2636</v>
      </c>
      <c r="J3748" t="s">
        <v>7422</v>
      </c>
    </row>
    <row r="3749" spans="1:10">
      <c r="A3749" s="1">
        <v>249672</v>
      </c>
      <c r="B3749" s="1">
        <v>8105701245</v>
      </c>
      <c r="C3749" s="1">
        <v>6</v>
      </c>
      <c r="D3749" s="1" t="s">
        <v>130</v>
      </c>
      <c r="E3749" t="s">
        <v>7380</v>
      </c>
      <c r="F3749" s="1">
        <v>299719</v>
      </c>
      <c r="G3749" s="1">
        <v>8105701960</v>
      </c>
      <c r="H3749" s="1">
        <v>6</v>
      </c>
      <c r="I3749" s="1" t="s">
        <v>6910</v>
      </c>
      <c r="J3749" t="s">
        <v>7423</v>
      </c>
    </row>
    <row r="3750" spans="1:10">
      <c r="A3750" s="1">
        <v>249961</v>
      </c>
      <c r="B3750" s="1">
        <v>8105701261</v>
      </c>
      <c r="C3750" s="1">
        <v>6</v>
      </c>
      <c r="D3750" s="1" t="s">
        <v>128</v>
      </c>
      <c r="E3750" t="s">
        <v>7381</v>
      </c>
      <c r="F3750" s="1">
        <v>299768</v>
      </c>
      <c r="G3750" s="1">
        <v>8105701965</v>
      </c>
      <c r="H3750" s="1">
        <v>6</v>
      </c>
      <c r="I3750" s="1" t="s">
        <v>7424</v>
      </c>
      <c r="J3750" t="s">
        <v>7425</v>
      </c>
    </row>
    <row r="3751" spans="1:10">
      <c r="A3751" s="1">
        <v>249649</v>
      </c>
      <c r="B3751" s="1">
        <v>8105701324</v>
      </c>
      <c r="C3751" s="1">
        <v>6</v>
      </c>
      <c r="D3751" s="1" t="s">
        <v>17</v>
      </c>
      <c r="E3751" t="s">
        <v>7382</v>
      </c>
      <c r="F3751" s="1">
        <v>299776</v>
      </c>
      <c r="G3751" s="1">
        <v>8105701985</v>
      </c>
      <c r="H3751" s="1">
        <v>6</v>
      </c>
      <c r="I3751" s="1" t="s">
        <v>31</v>
      </c>
      <c r="J3751" t="s">
        <v>7426</v>
      </c>
    </row>
    <row r="3752" spans="1:10">
      <c r="A3752" s="1">
        <v>249557</v>
      </c>
      <c r="B3752" s="1">
        <v>8105701348</v>
      </c>
      <c r="C3752" s="1">
        <v>6</v>
      </c>
      <c r="D3752" s="1" t="s">
        <v>2280</v>
      </c>
      <c r="E3752" t="s">
        <v>7383</v>
      </c>
      <c r="F3752" s="1">
        <v>298455</v>
      </c>
      <c r="G3752" s="1">
        <v>8105701990</v>
      </c>
      <c r="H3752" s="1">
        <v>6</v>
      </c>
      <c r="I3752" s="1" t="s">
        <v>7123</v>
      </c>
      <c r="J3752" t="s">
        <v>7427</v>
      </c>
    </row>
    <row r="3753" spans="1:10">
      <c r="A3753" s="1">
        <v>249516</v>
      </c>
      <c r="B3753" s="1">
        <v>8105701421</v>
      </c>
      <c r="C3753" s="1">
        <v>6</v>
      </c>
      <c r="D3753" s="1" t="s">
        <v>2642</v>
      </c>
      <c r="E3753" t="s">
        <v>7384</v>
      </c>
      <c r="F3753" s="1">
        <v>353078</v>
      </c>
      <c r="G3753" s="1">
        <v>4760001111</v>
      </c>
      <c r="H3753" s="1">
        <v>6</v>
      </c>
      <c r="I3753" s="1" t="s">
        <v>312</v>
      </c>
      <c r="J3753" t="s">
        <v>7428</v>
      </c>
    </row>
    <row r="3754" spans="1:10">
      <c r="A3754" s="1">
        <v>249466</v>
      </c>
      <c r="B3754" s="1">
        <v>8105701451</v>
      </c>
      <c r="C3754" s="1">
        <v>6</v>
      </c>
      <c r="D3754" s="1" t="s">
        <v>2276</v>
      </c>
      <c r="E3754" t="s">
        <v>7385</v>
      </c>
      <c r="F3754" s="1">
        <v>614834</v>
      </c>
      <c r="G3754" s="1">
        <v>4760001112</v>
      </c>
      <c r="H3754" s="1">
        <v>6</v>
      </c>
      <c r="I3754" s="1" t="s">
        <v>421</v>
      </c>
      <c r="J3754" t="s">
        <v>7429</v>
      </c>
    </row>
    <row r="3755" spans="1:10">
      <c r="A3755" s="1">
        <v>249433</v>
      </c>
      <c r="B3755" s="1">
        <v>8105701531</v>
      </c>
      <c r="C3755" s="1">
        <v>6</v>
      </c>
      <c r="D3755" s="1" t="s">
        <v>7369</v>
      </c>
      <c r="E3755" t="s">
        <v>7386</v>
      </c>
      <c r="F3755" s="1">
        <v>264325</v>
      </c>
      <c r="G3755" s="1">
        <v>4760001103</v>
      </c>
      <c r="H3755" s="1">
        <v>6</v>
      </c>
      <c r="I3755" s="1" t="s">
        <v>312</v>
      </c>
      <c r="J3755" t="s">
        <v>7430</v>
      </c>
    </row>
    <row r="3756" spans="1:10">
      <c r="A3756" s="1">
        <v>249482</v>
      </c>
      <c r="B3756" s="1">
        <v>8105701612</v>
      </c>
      <c r="C3756" s="1">
        <v>6</v>
      </c>
      <c r="D3756" s="1" t="s">
        <v>91</v>
      </c>
      <c r="E3756" t="s">
        <v>7387</v>
      </c>
      <c r="F3756" s="1">
        <v>738484</v>
      </c>
      <c r="G3756" s="1">
        <v>4760001105</v>
      </c>
      <c r="H3756" s="1">
        <v>6</v>
      </c>
      <c r="I3756" s="1" t="s">
        <v>312</v>
      </c>
      <c r="J3756" t="s">
        <v>7431</v>
      </c>
    </row>
    <row r="3757" spans="1:10" ht="15.75">
      <c r="A3757" s="1">
        <v>249508</v>
      </c>
      <c r="B3757" s="1">
        <v>8105701641</v>
      </c>
      <c r="C3757" s="1">
        <v>6</v>
      </c>
      <c r="D3757" s="1" t="s">
        <v>6907</v>
      </c>
      <c r="E3757" t="s">
        <v>7388</v>
      </c>
      <c r="F3757" s="4" t="s">
        <v>10791</v>
      </c>
      <c r="G3757" s="2"/>
      <c r="H3757" s="2"/>
      <c r="I3757" s="2"/>
      <c r="J3757" s="3"/>
    </row>
    <row r="3758" spans="1:10">
      <c r="A3758" s="1">
        <v>249425</v>
      </c>
      <c r="B3758" s="1">
        <v>8105701653</v>
      </c>
      <c r="C3758" s="1">
        <v>6</v>
      </c>
      <c r="D3758" s="1" t="s">
        <v>108</v>
      </c>
      <c r="E3758" t="s">
        <v>7389</v>
      </c>
      <c r="F3758" s="2" t="s">
        <v>0</v>
      </c>
      <c r="G3758" s="2" t="s">
        <v>1</v>
      </c>
      <c r="H3758" s="2" t="s">
        <v>2</v>
      </c>
      <c r="I3758" s="2" t="s">
        <v>3</v>
      </c>
      <c r="J3758" s="3" t="s">
        <v>4</v>
      </c>
    </row>
    <row r="3759" spans="1:10">
      <c r="A3759" s="1">
        <v>249490</v>
      </c>
      <c r="B3759" s="1">
        <v>8105701659</v>
      </c>
      <c r="C3759" s="1">
        <v>6</v>
      </c>
      <c r="D3759" s="1" t="s">
        <v>2699</v>
      </c>
      <c r="E3759" t="s">
        <v>7390</v>
      </c>
      <c r="F3759" s="1">
        <v>49635</v>
      </c>
      <c r="G3759" s="1">
        <v>5250003987</v>
      </c>
      <c r="H3759" s="1">
        <v>6</v>
      </c>
      <c r="I3759" s="1" t="s">
        <v>7432</v>
      </c>
      <c r="J3759" t="s">
        <v>7433</v>
      </c>
    </row>
    <row r="3760" spans="1:10">
      <c r="A3760" s="1">
        <v>249532</v>
      </c>
      <c r="B3760" s="1">
        <v>8105701871</v>
      </c>
      <c r="C3760" s="1">
        <v>6</v>
      </c>
      <c r="D3760" s="1" t="s">
        <v>2288</v>
      </c>
      <c r="E3760" t="s">
        <v>7391</v>
      </c>
      <c r="F3760" s="1">
        <v>51557</v>
      </c>
      <c r="G3760" s="1">
        <v>5250003900</v>
      </c>
      <c r="H3760" s="1">
        <v>12</v>
      </c>
      <c r="I3760" s="1" t="s">
        <v>1197</v>
      </c>
      <c r="J3760" t="s">
        <v>7434</v>
      </c>
    </row>
    <row r="3761" spans="1:10">
      <c r="A3761" s="1">
        <v>249524</v>
      </c>
      <c r="B3761" s="1">
        <v>8105701961</v>
      </c>
      <c r="C3761" s="1">
        <v>6</v>
      </c>
      <c r="D3761" s="1" t="s">
        <v>7369</v>
      </c>
      <c r="E3761" t="s">
        <v>7392</v>
      </c>
      <c r="F3761" s="1">
        <v>50898</v>
      </c>
      <c r="G3761" s="1">
        <v>5210007450</v>
      </c>
      <c r="H3761" s="1">
        <v>6</v>
      </c>
      <c r="I3761" s="1" t="s">
        <v>7435</v>
      </c>
      <c r="J3761" t="s">
        <v>7436</v>
      </c>
    </row>
    <row r="3762" spans="1:10">
      <c r="A3762" s="1">
        <v>249540</v>
      </c>
      <c r="B3762" s="1">
        <v>8105701966</v>
      </c>
      <c r="C3762" s="1">
        <v>6</v>
      </c>
      <c r="D3762" s="1" t="s">
        <v>2288</v>
      </c>
      <c r="E3762" t="s">
        <v>7393</v>
      </c>
      <c r="F3762" s="1">
        <v>50864</v>
      </c>
      <c r="G3762" s="1">
        <v>5210007066</v>
      </c>
      <c r="H3762" s="1">
        <v>6</v>
      </c>
      <c r="I3762" s="1" t="s">
        <v>7435</v>
      </c>
      <c r="J3762" t="s">
        <v>7437</v>
      </c>
    </row>
    <row r="3763" spans="1:10">
      <c r="A3763" s="1">
        <v>298703</v>
      </c>
      <c r="B3763" s="1">
        <v>8105701650</v>
      </c>
      <c r="C3763" s="1">
        <v>6</v>
      </c>
      <c r="D3763" s="1" t="s">
        <v>95</v>
      </c>
      <c r="E3763" t="s">
        <v>7394</v>
      </c>
      <c r="F3763" s="1">
        <v>50781</v>
      </c>
      <c r="G3763" s="1">
        <v>5210007107</v>
      </c>
      <c r="H3763" s="1">
        <v>12</v>
      </c>
      <c r="I3763" s="1" t="s">
        <v>7435</v>
      </c>
      <c r="J3763" t="s">
        <v>7438</v>
      </c>
    </row>
    <row r="3764" spans="1:10">
      <c r="A3764" s="1">
        <v>298752</v>
      </c>
      <c r="B3764" s="1">
        <v>8105701658</v>
      </c>
      <c r="C3764" s="1">
        <v>6</v>
      </c>
      <c r="D3764" s="1" t="s">
        <v>2699</v>
      </c>
      <c r="E3764" t="s">
        <v>7395</v>
      </c>
      <c r="F3764" s="1">
        <v>351866</v>
      </c>
      <c r="G3764" s="1">
        <v>5210058187</v>
      </c>
      <c r="H3764" s="1">
        <v>6</v>
      </c>
      <c r="I3764" s="1" t="s">
        <v>203</v>
      </c>
      <c r="J3764" t="s">
        <v>7439</v>
      </c>
    </row>
    <row r="3765" spans="1:10">
      <c r="A3765" s="1">
        <v>299156</v>
      </c>
      <c r="B3765" s="1">
        <v>8105701770</v>
      </c>
      <c r="C3765" s="1">
        <v>6</v>
      </c>
      <c r="D3765" s="1" t="s">
        <v>31</v>
      </c>
      <c r="E3765" t="s">
        <v>7396</v>
      </c>
      <c r="F3765" s="1">
        <v>50872</v>
      </c>
      <c r="G3765" s="1">
        <v>5210007071</v>
      </c>
      <c r="H3765" s="1">
        <v>6</v>
      </c>
      <c r="I3765" s="1" t="s">
        <v>7435</v>
      </c>
      <c r="J3765" t="s">
        <v>7440</v>
      </c>
    </row>
    <row r="3766" spans="1:10">
      <c r="A3766" s="1">
        <v>299073</v>
      </c>
      <c r="B3766" s="1">
        <v>8105701720</v>
      </c>
      <c r="C3766" s="1">
        <v>6</v>
      </c>
      <c r="D3766" s="1" t="s">
        <v>5384</v>
      </c>
      <c r="E3766" t="s">
        <v>7397</v>
      </c>
      <c r="F3766" s="1">
        <v>456137</v>
      </c>
      <c r="G3766" s="1">
        <v>5210082328</v>
      </c>
      <c r="H3766" s="1">
        <v>6</v>
      </c>
      <c r="I3766" s="1" t="s">
        <v>203</v>
      </c>
      <c r="J3766" t="s">
        <v>7441</v>
      </c>
    </row>
    <row r="3767" spans="1:10">
      <c r="A3767" s="1">
        <v>299081</v>
      </c>
      <c r="B3767" s="1">
        <v>8105701748</v>
      </c>
      <c r="C3767" s="1">
        <v>6</v>
      </c>
      <c r="D3767" s="1" t="s">
        <v>31</v>
      </c>
      <c r="E3767" t="s">
        <v>7398</v>
      </c>
      <c r="F3767" s="1">
        <v>50831</v>
      </c>
      <c r="G3767" s="1">
        <v>5210007099</v>
      </c>
      <c r="H3767" s="1">
        <v>6</v>
      </c>
      <c r="I3767" s="1" t="s">
        <v>31</v>
      </c>
      <c r="J3767" t="s">
        <v>7442</v>
      </c>
    </row>
    <row r="3768" spans="1:10">
      <c r="A3768" s="1">
        <v>299131</v>
      </c>
      <c r="B3768" s="1">
        <v>8105701750</v>
      </c>
      <c r="C3768" s="1">
        <v>6</v>
      </c>
      <c r="D3768" s="1" t="s">
        <v>91</v>
      </c>
      <c r="E3768" t="s">
        <v>7399</v>
      </c>
      <c r="F3768" s="1">
        <v>50815</v>
      </c>
      <c r="G3768" s="1">
        <v>5210001148</v>
      </c>
      <c r="H3768" s="1">
        <v>24</v>
      </c>
      <c r="I3768" s="1" t="s">
        <v>399</v>
      </c>
      <c r="J3768" t="s">
        <v>7443</v>
      </c>
    </row>
    <row r="3769" spans="1:10">
      <c r="A3769" s="1">
        <v>296079</v>
      </c>
      <c r="B3769" s="1">
        <v>8105701205</v>
      </c>
      <c r="C3769" s="1">
        <v>6</v>
      </c>
      <c r="D3769" s="1" t="s">
        <v>56</v>
      </c>
      <c r="E3769" t="s">
        <v>7400</v>
      </c>
      <c r="F3769" s="1">
        <v>456210</v>
      </c>
      <c r="G3769" s="1">
        <v>5210052338</v>
      </c>
      <c r="H3769" s="1">
        <v>6</v>
      </c>
      <c r="I3769" s="1" t="s">
        <v>203</v>
      </c>
      <c r="J3769" t="s">
        <v>7444</v>
      </c>
    </row>
    <row r="3770" spans="1:10">
      <c r="A3770" s="1">
        <v>299172</v>
      </c>
      <c r="B3770" s="1">
        <v>8105701830</v>
      </c>
      <c r="C3770" s="1">
        <v>6</v>
      </c>
      <c r="D3770" s="1" t="s">
        <v>5384</v>
      </c>
      <c r="E3770" t="s">
        <v>7401</v>
      </c>
      <c r="F3770" s="1">
        <v>50377</v>
      </c>
      <c r="G3770" s="1">
        <v>5210007088</v>
      </c>
      <c r="H3770" s="1">
        <v>6</v>
      </c>
      <c r="I3770" s="1" t="s">
        <v>7435</v>
      </c>
      <c r="J3770" t="s">
        <v>7445</v>
      </c>
    </row>
    <row r="3771" spans="1:10">
      <c r="A3771" s="1">
        <v>299214</v>
      </c>
      <c r="B3771" s="1">
        <v>8105701870</v>
      </c>
      <c r="C3771" s="1">
        <v>6</v>
      </c>
      <c r="D3771" s="1" t="s">
        <v>7402</v>
      </c>
      <c r="E3771" t="s">
        <v>7403</v>
      </c>
      <c r="F3771" s="1">
        <v>441642</v>
      </c>
      <c r="G3771" s="1">
        <v>5210000467</v>
      </c>
      <c r="H3771" s="1">
        <v>6</v>
      </c>
      <c r="I3771" s="1" t="s">
        <v>31</v>
      </c>
      <c r="J3771" t="s">
        <v>7446</v>
      </c>
    </row>
    <row r="3772" spans="1:10">
      <c r="A3772" s="1">
        <v>299305</v>
      </c>
      <c r="B3772" s="1">
        <v>8105701880</v>
      </c>
      <c r="C3772" s="1">
        <v>6</v>
      </c>
      <c r="D3772" s="1" t="s">
        <v>7404</v>
      </c>
      <c r="E3772" t="s">
        <v>7405</v>
      </c>
      <c r="F3772" s="1">
        <v>50666</v>
      </c>
      <c r="G3772" s="1">
        <v>5210007064</v>
      </c>
      <c r="H3772" s="1">
        <v>6</v>
      </c>
      <c r="I3772" s="1" t="s">
        <v>7435</v>
      </c>
      <c r="J3772" t="s">
        <v>7447</v>
      </c>
    </row>
    <row r="3773" spans="1:10" ht="15.75">
      <c r="A3773" s="4" t="s">
        <v>10791</v>
      </c>
      <c r="B3773" s="2"/>
      <c r="C3773" s="2"/>
      <c r="D3773" s="2"/>
      <c r="E3773" s="3"/>
      <c r="F3773" s="4" t="s">
        <v>10791</v>
      </c>
      <c r="G3773" s="2"/>
      <c r="H3773" s="2"/>
      <c r="I3773" s="2"/>
      <c r="J3773" s="3"/>
    </row>
    <row r="3774" spans="1:10">
      <c r="A3774" s="2" t="s">
        <v>0</v>
      </c>
      <c r="B3774" s="2" t="s">
        <v>1</v>
      </c>
      <c r="C3774" s="2" t="s">
        <v>2</v>
      </c>
      <c r="D3774" s="2" t="s">
        <v>3</v>
      </c>
      <c r="E3774" s="3" t="s">
        <v>4</v>
      </c>
      <c r="F3774" s="2" t="s">
        <v>0</v>
      </c>
      <c r="G3774" s="2" t="s">
        <v>1</v>
      </c>
      <c r="H3774" s="2" t="s">
        <v>2</v>
      </c>
      <c r="I3774" s="2" t="s">
        <v>3</v>
      </c>
      <c r="J3774" s="3" t="s">
        <v>4</v>
      </c>
    </row>
    <row r="3775" spans="1:10">
      <c r="A3775" s="1">
        <v>50559</v>
      </c>
      <c r="B3775" s="1">
        <v>5210007073</v>
      </c>
      <c r="C3775" s="1">
        <v>6</v>
      </c>
      <c r="D3775" s="1" t="s">
        <v>7435</v>
      </c>
      <c r="E3775" t="s">
        <v>7448</v>
      </c>
      <c r="F3775" s="1">
        <v>57778</v>
      </c>
      <c r="G3775" s="1">
        <v>5250003264</v>
      </c>
      <c r="H3775" s="1">
        <v>6</v>
      </c>
      <c r="I3775" s="1" t="s">
        <v>7435</v>
      </c>
      <c r="J3775" t="s">
        <v>7485</v>
      </c>
    </row>
    <row r="3776" spans="1:10">
      <c r="A3776" s="1">
        <v>50757</v>
      </c>
      <c r="B3776" s="1">
        <v>5210007082</v>
      </c>
      <c r="C3776" s="1">
        <v>6</v>
      </c>
      <c r="D3776" s="1" t="s">
        <v>7435</v>
      </c>
      <c r="E3776" t="s">
        <v>7449</v>
      </c>
      <c r="F3776" s="1">
        <v>49486</v>
      </c>
      <c r="G3776" s="1">
        <v>5250003003</v>
      </c>
      <c r="H3776" s="1">
        <v>6</v>
      </c>
      <c r="I3776" s="1" t="s">
        <v>7435</v>
      </c>
      <c r="J3776" t="s">
        <v>7486</v>
      </c>
    </row>
    <row r="3777" spans="1:10">
      <c r="A3777" s="1">
        <v>50807</v>
      </c>
      <c r="B3777" s="1">
        <v>5210007102</v>
      </c>
      <c r="C3777" s="1">
        <v>6</v>
      </c>
      <c r="D3777" s="1" t="s">
        <v>7432</v>
      </c>
      <c r="E3777" t="s">
        <v>7450</v>
      </c>
      <c r="F3777" s="1">
        <v>57810</v>
      </c>
      <c r="G3777" s="1">
        <v>5250003815</v>
      </c>
      <c r="H3777" s="1">
        <v>6</v>
      </c>
      <c r="I3777" s="1" t="s">
        <v>7435</v>
      </c>
      <c r="J3777" t="s">
        <v>7487</v>
      </c>
    </row>
    <row r="3778" spans="1:10">
      <c r="A3778" s="1">
        <v>50823</v>
      </c>
      <c r="B3778" s="1">
        <v>5210007101</v>
      </c>
      <c r="C3778" s="1">
        <v>6</v>
      </c>
      <c r="D3778" s="1" t="s">
        <v>7432</v>
      </c>
      <c r="E3778" t="s">
        <v>7451</v>
      </c>
      <c r="F3778" s="1">
        <v>371195</v>
      </c>
      <c r="G3778" s="1">
        <v>5210000869</v>
      </c>
      <c r="H3778" s="1">
        <v>6</v>
      </c>
      <c r="I3778" s="1" t="s">
        <v>1190</v>
      </c>
      <c r="J3778" t="s">
        <v>7488</v>
      </c>
    </row>
    <row r="3779" spans="1:10">
      <c r="A3779" s="1">
        <v>50575</v>
      </c>
      <c r="B3779" s="1">
        <v>5210007074</v>
      </c>
      <c r="C3779" s="1">
        <v>6</v>
      </c>
      <c r="D3779" s="1" t="s">
        <v>7435</v>
      </c>
      <c r="E3779" t="s">
        <v>7452</v>
      </c>
      <c r="F3779" s="1">
        <v>689414</v>
      </c>
      <c r="G3779" s="1">
        <v>5210000987</v>
      </c>
      <c r="H3779" s="1">
        <v>12</v>
      </c>
      <c r="I3779" s="1" t="s">
        <v>31</v>
      </c>
      <c r="J3779" t="s">
        <v>7489</v>
      </c>
    </row>
    <row r="3780" spans="1:10" ht="15.75">
      <c r="A3780" s="1">
        <v>57950</v>
      </c>
      <c r="B3780" s="1">
        <v>5210007077</v>
      </c>
      <c r="C3780" s="1">
        <v>6</v>
      </c>
      <c r="D3780" s="1" t="s">
        <v>7435</v>
      </c>
      <c r="E3780" t="s">
        <v>7453</v>
      </c>
      <c r="F3780" s="4" t="s">
        <v>10792</v>
      </c>
      <c r="G3780" s="2"/>
      <c r="H3780" s="2"/>
      <c r="I3780" s="2"/>
      <c r="J3780" s="3"/>
    </row>
    <row r="3781" spans="1:10">
      <c r="A3781" s="1">
        <v>575746</v>
      </c>
      <c r="B3781" s="1">
        <v>5210016025</v>
      </c>
      <c r="C3781" s="1">
        <v>12</v>
      </c>
      <c r="D3781" s="1" t="s">
        <v>7435</v>
      </c>
      <c r="E3781" t="s">
        <v>7454</v>
      </c>
      <c r="F3781" s="2" t="s">
        <v>0</v>
      </c>
      <c r="G3781" s="2" t="s">
        <v>1</v>
      </c>
      <c r="H3781" s="2" t="s">
        <v>2</v>
      </c>
      <c r="I3781" s="2" t="s">
        <v>3</v>
      </c>
      <c r="J3781" s="3" t="s">
        <v>4</v>
      </c>
    </row>
    <row r="3782" spans="1:10">
      <c r="A3782" s="1">
        <v>50732</v>
      </c>
      <c r="B3782" s="1">
        <v>5210007078</v>
      </c>
      <c r="C3782" s="1">
        <v>6</v>
      </c>
      <c r="D3782" s="1" t="s">
        <v>7435</v>
      </c>
      <c r="E3782" t="s">
        <v>7455</v>
      </c>
      <c r="F3782" s="1">
        <v>40444</v>
      </c>
      <c r="G3782" s="1">
        <v>3400000935</v>
      </c>
      <c r="H3782" s="1">
        <v>12</v>
      </c>
      <c r="I3782" s="1" t="s">
        <v>1191</v>
      </c>
      <c r="J3782" t="s">
        <v>7490</v>
      </c>
    </row>
    <row r="3783" spans="1:10">
      <c r="A3783" s="1">
        <v>57968</v>
      </c>
      <c r="B3783" s="1">
        <v>5210007079</v>
      </c>
      <c r="C3783" s="1">
        <v>6</v>
      </c>
      <c r="D3783" s="1" t="s">
        <v>7435</v>
      </c>
      <c r="E3783" t="s">
        <v>7456</v>
      </c>
      <c r="F3783" s="1">
        <v>549600</v>
      </c>
      <c r="G3783" s="1">
        <v>3400000366</v>
      </c>
      <c r="H3783" s="1">
        <v>12</v>
      </c>
      <c r="I3783" s="1" t="s">
        <v>1198</v>
      </c>
      <c r="J3783" t="s">
        <v>7491</v>
      </c>
    </row>
    <row r="3784" spans="1:10">
      <c r="A3784" s="1">
        <v>50427</v>
      </c>
      <c r="B3784" s="1">
        <v>5210007086</v>
      </c>
      <c r="C3784" s="1">
        <v>12</v>
      </c>
      <c r="D3784" s="1" t="s">
        <v>7435</v>
      </c>
      <c r="E3784" t="s">
        <v>7457</v>
      </c>
      <c r="F3784" s="1">
        <v>34611</v>
      </c>
      <c r="G3784" s="1">
        <v>3400000600</v>
      </c>
      <c r="H3784" s="1">
        <v>12</v>
      </c>
      <c r="I3784" s="1" t="s">
        <v>7492</v>
      </c>
      <c r="J3784" t="s">
        <v>7493</v>
      </c>
    </row>
    <row r="3785" spans="1:10">
      <c r="A3785" s="1">
        <v>50443</v>
      </c>
      <c r="B3785" s="1">
        <v>5210007103</v>
      </c>
      <c r="C3785" s="1">
        <v>12</v>
      </c>
      <c r="D3785" s="1" t="s">
        <v>7432</v>
      </c>
      <c r="E3785" t="s">
        <v>7457</v>
      </c>
      <c r="F3785" s="1">
        <v>304311</v>
      </c>
      <c r="G3785" s="1">
        <v>3400000087</v>
      </c>
      <c r="H3785" s="1">
        <v>12</v>
      </c>
      <c r="I3785" s="1" t="s">
        <v>360</v>
      </c>
      <c r="J3785" t="s">
        <v>7494</v>
      </c>
    </row>
    <row r="3786" spans="1:10">
      <c r="A3786" s="1">
        <v>50476</v>
      </c>
      <c r="B3786" s="1">
        <v>5210007106</v>
      </c>
      <c r="C3786" s="1">
        <v>6</v>
      </c>
      <c r="D3786" s="1" t="s">
        <v>1190</v>
      </c>
      <c r="E3786" t="s">
        <v>7457</v>
      </c>
      <c r="F3786" s="1">
        <v>40626</v>
      </c>
      <c r="G3786" s="1">
        <v>3400000026</v>
      </c>
      <c r="H3786" s="1">
        <v>12</v>
      </c>
      <c r="I3786" s="1" t="s">
        <v>397</v>
      </c>
      <c r="J3786" t="s">
        <v>7495</v>
      </c>
    </row>
    <row r="3787" spans="1:10">
      <c r="A3787" s="1">
        <v>456236</v>
      </c>
      <c r="B3787" s="1">
        <v>5210066585</v>
      </c>
      <c r="C3787" s="1">
        <v>6</v>
      </c>
      <c r="D3787" s="1" t="s">
        <v>203</v>
      </c>
      <c r="E3787" t="s">
        <v>7458</v>
      </c>
      <c r="F3787" s="1">
        <v>678136</v>
      </c>
      <c r="G3787" s="1">
        <v>3400000088</v>
      </c>
      <c r="H3787" s="1">
        <v>12</v>
      </c>
      <c r="I3787" s="1" t="s">
        <v>4491</v>
      </c>
      <c r="J3787" t="s">
        <v>7496</v>
      </c>
    </row>
    <row r="3788" spans="1:10">
      <c r="A3788" s="1">
        <v>50849</v>
      </c>
      <c r="B3788" s="1">
        <v>5210007091</v>
      </c>
      <c r="C3788" s="1">
        <v>6</v>
      </c>
      <c r="D3788" s="1" t="s">
        <v>7435</v>
      </c>
      <c r="E3788" t="s">
        <v>7459</v>
      </c>
      <c r="F3788" s="1">
        <v>457606</v>
      </c>
      <c r="G3788" s="1">
        <v>3400000125</v>
      </c>
      <c r="H3788" s="1">
        <v>12</v>
      </c>
      <c r="I3788" s="1" t="s">
        <v>706</v>
      </c>
      <c r="J3788" t="s">
        <v>7497</v>
      </c>
    </row>
    <row r="3789" spans="1:10">
      <c r="A3789" s="1">
        <v>50856</v>
      </c>
      <c r="B3789" s="1">
        <v>5210007092</v>
      </c>
      <c r="C3789" s="1">
        <v>6</v>
      </c>
      <c r="D3789" s="1" t="s">
        <v>7435</v>
      </c>
      <c r="E3789" t="s">
        <v>7460</v>
      </c>
      <c r="F3789" s="1">
        <v>33951</v>
      </c>
      <c r="G3789" s="1">
        <v>3400000061</v>
      </c>
      <c r="H3789" s="1">
        <v>12</v>
      </c>
      <c r="I3789" s="1" t="s">
        <v>439</v>
      </c>
      <c r="J3789" t="s">
        <v>7498</v>
      </c>
    </row>
    <row r="3790" spans="1:10">
      <c r="A3790" s="1">
        <v>80143</v>
      </c>
      <c r="B3790" s="1">
        <v>1116608013</v>
      </c>
      <c r="C3790" s="1">
        <v>12</v>
      </c>
      <c r="D3790" s="1" t="s">
        <v>7432</v>
      </c>
      <c r="E3790" t="s">
        <v>7461</v>
      </c>
      <c r="F3790" s="1">
        <v>33860</v>
      </c>
      <c r="G3790" s="1">
        <v>3400031500</v>
      </c>
      <c r="H3790" s="1">
        <v>24</v>
      </c>
      <c r="I3790" s="1" t="s">
        <v>1191</v>
      </c>
      <c r="J3790" t="s">
        <v>7499</v>
      </c>
    </row>
    <row r="3791" spans="1:10">
      <c r="A3791" s="1">
        <v>57943</v>
      </c>
      <c r="B3791" s="1">
        <v>5250003205</v>
      </c>
      <c r="C3791" s="1">
        <v>6</v>
      </c>
      <c r="D3791" s="1" t="s">
        <v>7435</v>
      </c>
      <c r="E3791" t="s">
        <v>7462</v>
      </c>
      <c r="F3791" s="1">
        <v>33936</v>
      </c>
      <c r="G3791" s="1">
        <v>3400000312</v>
      </c>
      <c r="H3791" s="1">
        <v>24</v>
      </c>
      <c r="I3791" s="1" t="s">
        <v>2557</v>
      </c>
      <c r="J3791" t="s">
        <v>7499</v>
      </c>
    </row>
    <row r="3792" spans="1:10">
      <c r="A3792" s="1">
        <v>57935</v>
      </c>
      <c r="B3792" s="1">
        <v>5250003210</v>
      </c>
      <c r="C3792" s="1">
        <v>6</v>
      </c>
      <c r="D3792" s="1" t="s">
        <v>7435</v>
      </c>
      <c r="E3792" t="s">
        <v>7463</v>
      </c>
      <c r="F3792" s="1">
        <v>34090</v>
      </c>
      <c r="G3792" s="1">
        <v>3400000515</v>
      </c>
      <c r="H3792" s="1">
        <v>12</v>
      </c>
      <c r="I3792" s="1" t="s">
        <v>2826</v>
      </c>
      <c r="J3792" t="s">
        <v>7500</v>
      </c>
    </row>
    <row r="3793" spans="1:10">
      <c r="A3793" s="1">
        <v>57828</v>
      </c>
      <c r="B3793" s="1">
        <v>5250003226</v>
      </c>
      <c r="C3793" s="1">
        <v>6</v>
      </c>
      <c r="D3793" s="1" t="s">
        <v>7435</v>
      </c>
      <c r="E3793" t="s">
        <v>7464</v>
      </c>
      <c r="F3793" s="1">
        <v>31450</v>
      </c>
      <c r="G3793" s="1">
        <v>3400000047</v>
      </c>
      <c r="H3793" s="1">
        <v>12</v>
      </c>
      <c r="I3793" s="1" t="s">
        <v>1200</v>
      </c>
      <c r="J3793" t="s">
        <v>7501</v>
      </c>
    </row>
    <row r="3794" spans="1:10">
      <c r="A3794" s="1">
        <v>50286</v>
      </c>
      <c r="B3794" s="1">
        <v>5250003800</v>
      </c>
      <c r="C3794" s="1">
        <v>12</v>
      </c>
      <c r="D3794" s="1" t="s">
        <v>7465</v>
      </c>
      <c r="E3794" t="s">
        <v>7466</v>
      </c>
      <c r="F3794" s="1">
        <v>34108</v>
      </c>
      <c r="G3794" s="1">
        <v>3400000316</v>
      </c>
      <c r="H3794" s="1">
        <v>12</v>
      </c>
      <c r="I3794" s="1" t="s">
        <v>7502</v>
      </c>
      <c r="J3794" t="s">
        <v>7503</v>
      </c>
    </row>
    <row r="3795" spans="1:10">
      <c r="A3795" s="1">
        <v>49627</v>
      </c>
      <c r="B3795" s="1">
        <v>5250003107</v>
      </c>
      <c r="C3795" s="1">
        <v>6</v>
      </c>
      <c r="D3795" s="1" t="s">
        <v>7432</v>
      </c>
      <c r="E3795" t="s">
        <v>7467</v>
      </c>
      <c r="F3795" s="1">
        <v>33019</v>
      </c>
      <c r="G3795" s="1">
        <v>3400000185</v>
      </c>
      <c r="H3795" s="1">
        <v>12</v>
      </c>
      <c r="I3795" s="1" t="s">
        <v>7504</v>
      </c>
      <c r="J3795" t="s">
        <v>7505</v>
      </c>
    </row>
    <row r="3796" spans="1:10">
      <c r="A3796" s="1">
        <v>56911</v>
      </c>
      <c r="B3796" s="1">
        <v>5250003246</v>
      </c>
      <c r="C3796" s="1">
        <v>6</v>
      </c>
      <c r="D3796" s="1" t="s">
        <v>7435</v>
      </c>
      <c r="E3796" t="s">
        <v>7468</v>
      </c>
      <c r="F3796" s="1">
        <v>33415</v>
      </c>
      <c r="G3796" s="1">
        <v>3400000318</v>
      </c>
      <c r="H3796" s="1">
        <v>12</v>
      </c>
      <c r="I3796" s="1" t="s">
        <v>7504</v>
      </c>
      <c r="J3796" t="s">
        <v>7506</v>
      </c>
    </row>
    <row r="3797" spans="1:10">
      <c r="A3797" s="1">
        <v>56945</v>
      </c>
      <c r="B3797" s="1">
        <v>5250003251</v>
      </c>
      <c r="C3797" s="1">
        <v>6</v>
      </c>
      <c r="D3797" s="1" t="s">
        <v>7435</v>
      </c>
      <c r="E3797" t="s">
        <v>7469</v>
      </c>
      <c r="F3797" s="1">
        <v>40451</v>
      </c>
      <c r="G3797" s="1">
        <v>3400000351</v>
      </c>
      <c r="H3797" s="1">
        <v>12</v>
      </c>
      <c r="I3797" s="1" t="s">
        <v>1191</v>
      </c>
      <c r="J3797" t="s">
        <v>7507</v>
      </c>
    </row>
    <row r="3798" spans="1:10">
      <c r="A3798" s="1">
        <v>56960</v>
      </c>
      <c r="B3798" s="1">
        <v>5250003257</v>
      </c>
      <c r="C3798" s="1">
        <v>6</v>
      </c>
      <c r="D3798" s="1" t="s">
        <v>7435</v>
      </c>
      <c r="E3798" t="s">
        <v>7470</v>
      </c>
      <c r="F3798" s="1">
        <v>38414</v>
      </c>
      <c r="G3798" s="1">
        <v>60069966144</v>
      </c>
      <c r="H3798" s="1">
        <v>12</v>
      </c>
      <c r="I3798" s="1" t="s">
        <v>360</v>
      </c>
      <c r="J3798" t="s">
        <v>7508</v>
      </c>
    </row>
    <row r="3799" spans="1:10">
      <c r="A3799" s="1">
        <v>49619</v>
      </c>
      <c r="B3799" s="1">
        <v>5250003007</v>
      </c>
      <c r="C3799" s="1">
        <v>6</v>
      </c>
      <c r="D3799" s="1" t="s">
        <v>7432</v>
      </c>
      <c r="E3799" t="s">
        <v>7471</v>
      </c>
      <c r="F3799" s="1">
        <v>38422</v>
      </c>
      <c r="G3799" s="1">
        <v>60069966145</v>
      </c>
      <c r="H3799" s="1">
        <v>12</v>
      </c>
      <c r="I3799" s="1" t="s">
        <v>379</v>
      </c>
      <c r="J3799" t="s">
        <v>7509</v>
      </c>
    </row>
    <row r="3800" spans="1:10">
      <c r="A3800" s="1">
        <v>49601</v>
      </c>
      <c r="B3800" s="1">
        <v>5250003010</v>
      </c>
      <c r="C3800" s="1">
        <v>6</v>
      </c>
      <c r="D3800" s="1" t="s">
        <v>7472</v>
      </c>
      <c r="E3800" t="s">
        <v>7471</v>
      </c>
      <c r="F3800" s="1">
        <v>38877</v>
      </c>
      <c r="G3800" s="1">
        <v>4300025908</v>
      </c>
      <c r="H3800" s="1">
        <v>12</v>
      </c>
      <c r="I3800" s="1" t="s">
        <v>93</v>
      </c>
      <c r="J3800" t="s">
        <v>7510</v>
      </c>
    </row>
    <row r="3801" spans="1:10">
      <c r="A3801" s="1">
        <v>57877</v>
      </c>
      <c r="B3801" s="1">
        <v>5250003201</v>
      </c>
      <c r="C3801" s="1">
        <v>6</v>
      </c>
      <c r="D3801" s="1" t="s">
        <v>203</v>
      </c>
      <c r="E3801" t="s">
        <v>7473</v>
      </c>
      <c r="F3801" s="1">
        <v>34017</v>
      </c>
      <c r="G3801" s="1">
        <v>2800024500</v>
      </c>
      <c r="H3801" s="1">
        <v>12</v>
      </c>
      <c r="I3801" s="1" t="s">
        <v>1198</v>
      </c>
      <c r="J3801" t="s">
        <v>7511</v>
      </c>
    </row>
    <row r="3802" spans="1:10">
      <c r="A3802" s="1">
        <v>57844</v>
      </c>
      <c r="B3802" s="1">
        <v>5250003266</v>
      </c>
      <c r="C3802" s="1">
        <v>6</v>
      </c>
      <c r="D3802" s="1" t="s">
        <v>7435</v>
      </c>
      <c r="E3802" t="s">
        <v>7474</v>
      </c>
      <c r="F3802" s="1">
        <v>113829</v>
      </c>
      <c r="G3802" s="1">
        <v>2900007809</v>
      </c>
      <c r="H3802" s="1">
        <v>12</v>
      </c>
      <c r="I3802" s="1" t="s">
        <v>31</v>
      </c>
      <c r="J3802" t="s">
        <v>7512</v>
      </c>
    </row>
    <row r="3803" spans="1:10">
      <c r="A3803" s="1">
        <v>57158</v>
      </c>
      <c r="B3803" s="1">
        <v>5250003213</v>
      </c>
      <c r="C3803" s="1">
        <v>6</v>
      </c>
      <c r="D3803" s="1" t="s">
        <v>7435</v>
      </c>
      <c r="E3803" t="s">
        <v>7475</v>
      </c>
      <c r="F3803" s="1">
        <v>407718</v>
      </c>
      <c r="G3803" s="1">
        <v>1116640771</v>
      </c>
      <c r="H3803" s="1">
        <v>12</v>
      </c>
      <c r="I3803" s="1" t="s">
        <v>2557</v>
      </c>
      <c r="J3803" t="s">
        <v>7513</v>
      </c>
    </row>
    <row r="3804" spans="1:10">
      <c r="A3804" s="1">
        <v>57760</v>
      </c>
      <c r="B3804" s="1">
        <v>5250003265</v>
      </c>
      <c r="C3804" s="1">
        <v>6</v>
      </c>
      <c r="D3804" s="1" t="s">
        <v>7435</v>
      </c>
      <c r="E3804" t="s">
        <v>7476</v>
      </c>
      <c r="F3804" s="1">
        <v>147298</v>
      </c>
      <c r="G3804" s="1">
        <v>1116614729</v>
      </c>
      <c r="H3804" s="1">
        <v>12</v>
      </c>
      <c r="I3804" s="1" t="s">
        <v>7504</v>
      </c>
      <c r="J3804" t="s">
        <v>7514</v>
      </c>
    </row>
    <row r="3805" spans="1:10">
      <c r="A3805" s="1">
        <v>57752</v>
      </c>
      <c r="B3805" s="1">
        <v>5250003805</v>
      </c>
      <c r="C3805" s="1">
        <v>6</v>
      </c>
      <c r="D3805" s="1" t="s">
        <v>7435</v>
      </c>
      <c r="E3805" t="s">
        <v>7477</v>
      </c>
      <c r="F3805" s="1">
        <v>17186</v>
      </c>
      <c r="G3805" s="1">
        <v>4113030349</v>
      </c>
      <c r="H3805" s="1">
        <v>12</v>
      </c>
      <c r="I3805" s="1" t="s">
        <v>2557</v>
      </c>
      <c r="J3805" t="s">
        <v>7515</v>
      </c>
    </row>
    <row r="3806" spans="1:10">
      <c r="A3806" s="1">
        <v>142026</v>
      </c>
      <c r="B3806" s="1">
        <v>5250003019</v>
      </c>
      <c r="C3806" s="1">
        <v>6</v>
      </c>
      <c r="D3806" s="1" t="s">
        <v>7472</v>
      </c>
      <c r="E3806" t="s">
        <v>7478</v>
      </c>
      <c r="F3806" s="1">
        <v>391029</v>
      </c>
      <c r="G3806" s="1">
        <v>5150000282</v>
      </c>
      <c r="H3806" s="1">
        <v>12</v>
      </c>
      <c r="I3806" s="1" t="s">
        <v>347</v>
      </c>
      <c r="J3806" t="s">
        <v>7516</v>
      </c>
    </row>
    <row r="3807" spans="1:10">
      <c r="A3807" s="1">
        <v>57117</v>
      </c>
      <c r="B3807" s="1">
        <v>5250003103</v>
      </c>
      <c r="C3807" s="1">
        <v>6</v>
      </c>
      <c r="D3807" s="1" t="s">
        <v>7435</v>
      </c>
      <c r="E3807" t="s">
        <v>7479</v>
      </c>
      <c r="F3807" s="1">
        <v>38661</v>
      </c>
      <c r="G3807" s="1">
        <v>5150002501</v>
      </c>
      <c r="H3807" s="1">
        <v>12</v>
      </c>
      <c r="I3807" s="1" t="s">
        <v>4491</v>
      </c>
      <c r="J3807" t="s">
        <v>7517</v>
      </c>
    </row>
    <row r="3808" spans="1:10">
      <c r="A3808" s="1">
        <v>49767</v>
      </c>
      <c r="B3808" s="1">
        <v>5250003110</v>
      </c>
      <c r="C3808" s="1">
        <v>6</v>
      </c>
      <c r="D3808" s="1" t="s">
        <v>7472</v>
      </c>
      <c r="E3808" t="s">
        <v>7479</v>
      </c>
      <c r="F3808" s="1">
        <v>115329</v>
      </c>
      <c r="G3808" s="1">
        <v>5150004695</v>
      </c>
      <c r="H3808" s="1">
        <v>12</v>
      </c>
      <c r="I3808" s="1" t="s">
        <v>1409</v>
      </c>
      <c r="J3808" t="s">
        <v>7518</v>
      </c>
    </row>
    <row r="3809" spans="1:10">
      <c r="A3809" s="1">
        <v>57190</v>
      </c>
      <c r="B3809" s="1">
        <v>5250003234</v>
      </c>
      <c r="C3809" s="1">
        <v>6</v>
      </c>
      <c r="D3809" s="1" t="s">
        <v>7435</v>
      </c>
      <c r="E3809" t="s">
        <v>7480</v>
      </c>
      <c r="F3809" s="1">
        <v>479485</v>
      </c>
      <c r="G3809" s="1">
        <v>5150001019</v>
      </c>
      <c r="H3809" s="1">
        <v>12</v>
      </c>
      <c r="I3809" s="1" t="s">
        <v>4491</v>
      </c>
      <c r="J3809" t="s">
        <v>7519</v>
      </c>
    </row>
    <row r="3810" spans="1:10">
      <c r="A3810" s="1">
        <v>56952</v>
      </c>
      <c r="B3810" s="1">
        <v>5250003256</v>
      </c>
      <c r="C3810" s="1">
        <v>6</v>
      </c>
      <c r="D3810" s="1" t="s">
        <v>7435</v>
      </c>
      <c r="E3810" t="s">
        <v>7481</v>
      </c>
      <c r="F3810" s="1">
        <v>39925</v>
      </c>
      <c r="G3810" s="1">
        <v>5150004429</v>
      </c>
      <c r="H3810" s="1">
        <v>12</v>
      </c>
      <c r="I3810" s="1" t="s">
        <v>4491</v>
      </c>
      <c r="J3810" t="s">
        <v>7520</v>
      </c>
    </row>
    <row r="3811" spans="1:10">
      <c r="A3811" s="1">
        <v>57596</v>
      </c>
      <c r="B3811" s="1">
        <v>5250003810</v>
      </c>
      <c r="C3811" s="1">
        <v>6</v>
      </c>
      <c r="D3811" s="1" t="s">
        <v>7435</v>
      </c>
      <c r="E3811" t="s">
        <v>7482</v>
      </c>
      <c r="F3811" s="1">
        <v>142877</v>
      </c>
      <c r="G3811" s="1">
        <v>5150004313</v>
      </c>
      <c r="H3811" s="1">
        <v>12</v>
      </c>
      <c r="I3811" s="1" t="s">
        <v>4491</v>
      </c>
      <c r="J3811" t="s">
        <v>7521</v>
      </c>
    </row>
    <row r="3812" spans="1:10">
      <c r="A3812" s="1">
        <v>56986</v>
      </c>
      <c r="B3812" s="1">
        <v>5250003258</v>
      </c>
      <c r="C3812" s="1">
        <v>6</v>
      </c>
      <c r="D3812" s="1" t="s">
        <v>7435</v>
      </c>
      <c r="E3812" t="s">
        <v>7483</v>
      </c>
      <c r="F3812" s="1">
        <v>181271</v>
      </c>
      <c r="G3812" s="1">
        <v>5150002518</v>
      </c>
      <c r="H3812" s="1">
        <v>12</v>
      </c>
      <c r="I3812" s="1" t="s">
        <v>7522</v>
      </c>
      <c r="J3812" t="s">
        <v>7523</v>
      </c>
    </row>
    <row r="3813" spans="1:10">
      <c r="A3813" s="1">
        <v>56994</v>
      </c>
      <c r="B3813" s="1">
        <v>5250003260</v>
      </c>
      <c r="C3813" s="1">
        <v>6</v>
      </c>
      <c r="D3813" s="1" t="s">
        <v>7435</v>
      </c>
      <c r="E3813" t="s">
        <v>7484</v>
      </c>
      <c r="F3813" s="1">
        <v>39388</v>
      </c>
      <c r="G3813" s="1">
        <v>5150002512</v>
      </c>
      <c r="H3813" s="1">
        <v>12</v>
      </c>
      <c r="I3813" s="1" t="s">
        <v>938</v>
      </c>
      <c r="J3813" t="s">
        <v>7524</v>
      </c>
    </row>
    <row r="3814" spans="1:10" ht="15.75">
      <c r="A3814" s="4" t="s">
        <v>10792</v>
      </c>
      <c r="B3814" s="2"/>
      <c r="C3814" s="2"/>
      <c r="D3814" s="2"/>
      <c r="E3814" s="3"/>
      <c r="F3814" s="4" t="s">
        <v>10793</v>
      </c>
      <c r="G3814" s="2"/>
      <c r="H3814" s="2"/>
      <c r="I3814" s="2"/>
      <c r="J3814" s="3"/>
    </row>
    <row r="3815" spans="1:10">
      <c r="A3815" s="2" t="s">
        <v>0</v>
      </c>
      <c r="B3815" s="2" t="s">
        <v>1</v>
      </c>
      <c r="C3815" s="2" t="s">
        <v>2</v>
      </c>
      <c r="D3815" s="2" t="s">
        <v>3</v>
      </c>
      <c r="E3815" s="3" t="s">
        <v>4</v>
      </c>
      <c r="F3815" s="2" t="s">
        <v>0</v>
      </c>
      <c r="G3815" s="2" t="s">
        <v>1</v>
      </c>
      <c r="H3815" s="2" t="s">
        <v>2</v>
      </c>
      <c r="I3815" s="2" t="s">
        <v>3</v>
      </c>
      <c r="J3815" s="3" t="s">
        <v>4</v>
      </c>
    </row>
    <row r="3816" spans="1:10">
      <c r="A3816" s="1">
        <v>39396</v>
      </c>
      <c r="B3816" s="1">
        <v>5150002513</v>
      </c>
      <c r="C3816" s="1">
        <v>12</v>
      </c>
      <c r="D3816" s="1" t="s">
        <v>938</v>
      </c>
      <c r="E3816" t="s">
        <v>7525</v>
      </c>
      <c r="F3816" s="1">
        <v>39578</v>
      </c>
      <c r="G3816" s="1">
        <v>4300020140</v>
      </c>
      <c r="H3816" s="1">
        <v>24</v>
      </c>
      <c r="I3816" s="1" t="s">
        <v>7369</v>
      </c>
      <c r="J3816" t="s">
        <v>7561</v>
      </c>
    </row>
    <row r="3817" spans="1:10">
      <c r="A3817" s="1">
        <v>39370</v>
      </c>
      <c r="B3817" s="1">
        <v>5150000020</v>
      </c>
      <c r="C3817" s="1">
        <v>12</v>
      </c>
      <c r="D3817" s="1" t="s">
        <v>596</v>
      </c>
      <c r="E3817" t="s">
        <v>7526</v>
      </c>
      <c r="F3817" s="1">
        <v>39420</v>
      </c>
      <c r="G3817" s="1">
        <v>4300020142</v>
      </c>
      <c r="H3817" s="1">
        <v>24</v>
      </c>
      <c r="I3817" s="1" t="s">
        <v>7369</v>
      </c>
      <c r="J3817" t="s">
        <v>7562</v>
      </c>
    </row>
    <row r="3818" spans="1:10">
      <c r="A3818" s="1">
        <v>38984</v>
      </c>
      <c r="B3818" s="1">
        <v>5150000121</v>
      </c>
      <c r="C3818" s="1">
        <v>12</v>
      </c>
      <c r="D3818" s="1" t="s">
        <v>347</v>
      </c>
      <c r="E3818" t="s">
        <v>7527</v>
      </c>
      <c r="F3818" s="1">
        <v>39545</v>
      </c>
      <c r="G3818" s="1">
        <v>4300020144</v>
      </c>
      <c r="H3818" s="1">
        <v>24</v>
      </c>
      <c r="I3818" s="1" t="s">
        <v>7369</v>
      </c>
      <c r="J3818" t="s">
        <v>7563</v>
      </c>
    </row>
    <row r="3819" spans="1:10">
      <c r="A3819" s="1">
        <v>39008</v>
      </c>
      <c r="B3819" s="1">
        <v>5150000021</v>
      </c>
      <c r="C3819" s="1">
        <v>12</v>
      </c>
      <c r="D3819" s="1" t="s">
        <v>596</v>
      </c>
      <c r="E3819" t="s">
        <v>7528</v>
      </c>
      <c r="F3819" s="1">
        <v>39412</v>
      </c>
      <c r="G3819" s="1">
        <v>4300020143</v>
      </c>
      <c r="H3819" s="1">
        <v>24</v>
      </c>
      <c r="I3819" s="1" t="s">
        <v>7369</v>
      </c>
      <c r="J3819" t="s">
        <v>7564</v>
      </c>
    </row>
    <row r="3820" spans="1:10">
      <c r="A3820" s="1">
        <v>38034</v>
      </c>
      <c r="B3820" s="1">
        <v>5150000022</v>
      </c>
      <c r="C3820" s="1">
        <v>12</v>
      </c>
      <c r="D3820" s="1" t="s">
        <v>347</v>
      </c>
      <c r="E3820" t="s">
        <v>7529</v>
      </c>
      <c r="F3820" s="1">
        <v>38919</v>
      </c>
      <c r="G3820" s="1">
        <v>4100003500</v>
      </c>
      <c r="H3820" s="1">
        <v>48</v>
      </c>
      <c r="I3820" s="1" t="s">
        <v>203</v>
      </c>
      <c r="J3820" t="s">
        <v>7565</v>
      </c>
    </row>
    <row r="3821" spans="1:10">
      <c r="A3821" s="1">
        <v>38679</v>
      </c>
      <c r="B3821" s="1">
        <v>5150002123</v>
      </c>
      <c r="C3821" s="1">
        <v>12</v>
      </c>
      <c r="D3821" s="1" t="s">
        <v>1483</v>
      </c>
      <c r="E3821" t="s">
        <v>7530</v>
      </c>
      <c r="F3821" s="1">
        <v>127191</v>
      </c>
      <c r="G3821" s="1">
        <v>1116612719</v>
      </c>
      <c r="H3821" s="1">
        <v>24</v>
      </c>
      <c r="I3821" s="1" t="s">
        <v>14</v>
      </c>
      <c r="J3821" t="s">
        <v>7566</v>
      </c>
    </row>
    <row r="3822" spans="1:10">
      <c r="A3822" s="1">
        <v>38612</v>
      </c>
      <c r="B3822" s="1">
        <v>5150000048</v>
      </c>
      <c r="C3822" s="1">
        <v>12</v>
      </c>
      <c r="D3822" s="1" t="s">
        <v>7531</v>
      </c>
      <c r="E3822" t="s">
        <v>7532</v>
      </c>
      <c r="F3822" s="1">
        <v>127217</v>
      </c>
      <c r="G3822" s="1">
        <v>1116612721</v>
      </c>
      <c r="H3822" s="1">
        <v>24</v>
      </c>
      <c r="I3822" s="1" t="s">
        <v>7567</v>
      </c>
      <c r="J3822" t="s">
        <v>7568</v>
      </c>
    </row>
    <row r="3823" spans="1:10">
      <c r="A3823" s="1">
        <v>38646</v>
      </c>
      <c r="B3823" s="1">
        <v>5150002500</v>
      </c>
      <c r="C3823" s="1">
        <v>12</v>
      </c>
      <c r="D3823" s="1" t="s">
        <v>4491</v>
      </c>
      <c r="E3823" t="s">
        <v>7533</v>
      </c>
      <c r="F3823" s="1">
        <v>127167</v>
      </c>
      <c r="G3823" s="1">
        <v>1116612716</v>
      </c>
      <c r="H3823" s="1">
        <v>24</v>
      </c>
      <c r="I3823" s="1" t="s">
        <v>14</v>
      </c>
      <c r="J3823" t="s">
        <v>7569</v>
      </c>
    </row>
    <row r="3824" spans="1:10">
      <c r="A3824" s="1">
        <v>39438</v>
      </c>
      <c r="B3824" s="1">
        <v>5150000008</v>
      </c>
      <c r="C3824" s="1">
        <v>12</v>
      </c>
      <c r="D3824" s="1" t="s">
        <v>394</v>
      </c>
      <c r="E3824" t="s">
        <v>7534</v>
      </c>
      <c r="F3824" s="1">
        <v>127183</v>
      </c>
      <c r="G3824" s="1">
        <v>1116612718</v>
      </c>
      <c r="H3824" s="1">
        <v>24</v>
      </c>
      <c r="I3824" s="1" t="s">
        <v>14</v>
      </c>
      <c r="J3824" t="s">
        <v>7570</v>
      </c>
    </row>
    <row r="3825" spans="1:10">
      <c r="A3825" s="1">
        <v>38950</v>
      </c>
      <c r="B3825" s="1">
        <v>5150000025</v>
      </c>
      <c r="C3825" s="1">
        <v>12</v>
      </c>
      <c r="D3825" s="1" t="s">
        <v>347</v>
      </c>
      <c r="E3825" t="s">
        <v>7535</v>
      </c>
      <c r="F3825" s="1">
        <v>127209</v>
      </c>
      <c r="G3825" s="1">
        <v>1116612720</v>
      </c>
      <c r="H3825" s="1">
        <v>24</v>
      </c>
      <c r="I3825" s="1" t="s">
        <v>7567</v>
      </c>
      <c r="J3825" t="s">
        <v>7571</v>
      </c>
    </row>
    <row r="3826" spans="1:10">
      <c r="A3826" s="1">
        <v>39354</v>
      </c>
      <c r="B3826" s="1">
        <v>5150000026</v>
      </c>
      <c r="C3826" s="1">
        <v>12</v>
      </c>
      <c r="D3826" s="1" t="s">
        <v>7531</v>
      </c>
      <c r="E3826" t="s">
        <v>7536</v>
      </c>
      <c r="F3826" s="1">
        <v>127134</v>
      </c>
      <c r="G3826" s="1">
        <v>1116612713</v>
      </c>
      <c r="H3826" s="1">
        <v>24</v>
      </c>
      <c r="I3826" s="1" t="s">
        <v>14</v>
      </c>
      <c r="J3826" t="s">
        <v>7572</v>
      </c>
    </row>
    <row r="3827" spans="1:10">
      <c r="A3827" s="1">
        <v>38802</v>
      </c>
      <c r="B3827" s="1">
        <v>5150000009</v>
      </c>
      <c r="C3827" s="1">
        <v>12</v>
      </c>
      <c r="D3827" s="1" t="s">
        <v>394</v>
      </c>
      <c r="E3827" t="s">
        <v>7537</v>
      </c>
      <c r="F3827" s="1">
        <v>127225</v>
      </c>
      <c r="G3827" s="1">
        <v>1116612722</v>
      </c>
      <c r="H3827" s="1">
        <v>24</v>
      </c>
      <c r="I3827" s="1" t="s">
        <v>7567</v>
      </c>
      <c r="J3827" t="s">
        <v>7573</v>
      </c>
    </row>
    <row r="3828" spans="1:10" ht="15.75">
      <c r="A3828" s="4" t="s">
        <v>10793</v>
      </c>
      <c r="B3828" s="2"/>
      <c r="C3828" s="2"/>
      <c r="D3828" s="2"/>
      <c r="E3828" s="3"/>
      <c r="F3828" s="1">
        <v>127126</v>
      </c>
      <c r="G3828" s="1">
        <v>1116612712</v>
      </c>
      <c r="H3828" s="1">
        <v>24</v>
      </c>
      <c r="I3828" s="1" t="s">
        <v>14</v>
      </c>
      <c r="J3828" t="s">
        <v>7574</v>
      </c>
    </row>
    <row r="3829" spans="1:10">
      <c r="A3829" s="2" t="s">
        <v>0</v>
      </c>
      <c r="B3829" s="2" t="s">
        <v>1</v>
      </c>
      <c r="C3829" s="2" t="s">
        <v>2</v>
      </c>
      <c r="D3829" s="2" t="s">
        <v>3</v>
      </c>
      <c r="E3829" s="3" t="s">
        <v>4</v>
      </c>
      <c r="F3829" s="1">
        <v>126995</v>
      </c>
      <c r="G3829" s="1">
        <v>1116612699</v>
      </c>
      <c r="H3829" s="1">
        <v>24</v>
      </c>
      <c r="I3829" s="1" t="s">
        <v>14</v>
      </c>
      <c r="J3829" t="s">
        <v>7575</v>
      </c>
    </row>
    <row r="3830" spans="1:10" ht="15.75">
      <c r="A3830" s="1">
        <v>35220</v>
      </c>
      <c r="B3830" s="1">
        <v>2700041209</v>
      </c>
      <c r="C3830" s="1">
        <v>12</v>
      </c>
      <c r="D3830" s="1" t="s">
        <v>259</v>
      </c>
      <c r="E3830" t="s">
        <v>7538</v>
      </c>
      <c r="F3830" s="4" t="s">
        <v>10794</v>
      </c>
      <c r="G3830" s="2"/>
      <c r="H3830" s="2"/>
      <c r="I3830" s="2"/>
      <c r="J3830" s="3"/>
    </row>
    <row r="3831" spans="1:10">
      <c r="A3831" s="1">
        <v>97139</v>
      </c>
      <c r="B3831" s="1">
        <v>2700041233</v>
      </c>
      <c r="C3831" s="1">
        <v>12</v>
      </c>
      <c r="D3831" s="1" t="s">
        <v>259</v>
      </c>
      <c r="E3831" t="s">
        <v>7539</v>
      </c>
      <c r="F3831" s="2" t="s">
        <v>0</v>
      </c>
      <c r="G3831" s="2" t="s">
        <v>1</v>
      </c>
      <c r="H3831" s="2" t="s">
        <v>2</v>
      </c>
      <c r="I3831" s="2" t="s">
        <v>3</v>
      </c>
      <c r="J3831" s="3" t="s">
        <v>4</v>
      </c>
    </row>
    <row r="3832" spans="1:10">
      <c r="A3832" s="1">
        <v>701680</v>
      </c>
      <c r="B3832" s="1">
        <v>4300001879</v>
      </c>
      <c r="C3832" s="1">
        <v>24</v>
      </c>
      <c r="D3832" s="1" t="s">
        <v>14</v>
      </c>
      <c r="E3832" t="s">
        <v>7540</v>
      </c>
      <c r="F3832" s="1">
        <v>521849</v>
      </c>
      <c r="G3832" s="1">
        <v>4300021363</v>
      </c>
      <c r="H3832" s="1">
        <v>24</v>
      </c>
      <c r="I3832" s="1" t="s">
        <v>14</v>
      </c>
      <c r="J3832" t="s">
        <v>7576</v>
      </c>
    </row>
    <row r="3833" spans="1:10">
      <c r="A3833" s="1">
        <v>39263</v>
      </c>
      <c r="B3833" s="1">
        <v>4300020054</v>
      </c>
      <c r="C3833" s="1">
        <v>24</v>
      </c>
      <c r="D3833" s="1" t="s">
        <v>404</v>
      </c>
      <c r="E3833" t="s">
        <v>7541</v>
      </c>
      <c r="F3833" s="1">
        <v>96388</v>
      </c>
      <c r="G3833" s="1">
        <v>2700041140</v>
      </c>
      <c r="H3833" s="1">
        <v>12</v>
      </c>
      <c r="I3833" s="1" t="s">
        <v>259</v>
      </c>
      <c r="J3833" t="s">
        <v>7577</v>
      </c>
    </row>
    <row r="3834" spans="1:10">
      <c r="A3834" s="1">
        <v>39065</v>
      </c>
      <c r="B3834" s="1">
        <v>4300020025</v>
      </c>
      <c r="C3834" s="1">
        <v>24</v>
      </c>
      <c r="D3834" s="1" t="s">
        <v>14</v>
      </c>
      <c r="E3834" t="s">
        <v>7542</v>
      </c>
      <c r="F3834" s="1">
        <v>41764</v>
      </c>
      <c r="G3834" s="1">
        <v>2700041088</v>
      </c>
      <c r="H3834" s="1">
        <v>12</v>
      </c>
      <c r="I3834" s="1" t="s">
        <v>259</v>
      </c>
      <c r="J3834" t="s">
        <v>7578</v>
      </c>
    </row>
    <row r="3835" spans="1:10">
      <c r="A3835" s="1">
        <v>743294</v>
      </c>
      <c r="B3835" s="1">
        <v>4300020008</v>
      </c>
      <c r="C3835" s="1">
        <v>24</v>
      </c>
      <c r="D3835" s="1" t="s">
        <v>14</v>
      </c>
      <c r="E3835" t="s">
        <v>7543</v>
      </c>
      <c r="F3835" s="1">
        <v>96875</v>
      </c>
      <c r="G3835" s="1">
        <v>2700041377</v>
      </c>
      <c r="H3835" s="1">
        <v>12</v>
      </c>
      <c r="I3835" s="1" t="s">
        <v>259</v>
      </c>
      <c r="J3835" t="s">
        <v>7579</v>
      </c>
    </row>
    <row r="3836" spans="1:10">
      <c r="A3836" s="1">
        <v>39172</v>
      </c>
      <c r="B3836" s="1">
        <v>4300020003</v>
      </c>
      <c r="C3836" s="1">
        <v>24</v>
      </c>
      <c r="D3836" s="1" t="s">
        <v>14</v>
      </c>
      <c r="E3836" t="s">
        <v>7544</v>
      </c>
      <c r="F3836" s="1">
        <v>97857</v>
      </c>
      <c r="G3836" s="1">
        <v>2700041165</v>
      </c>
      <c r="H3836" s="1">
        <v>12</v>
      </c>
      <c r="I3836" s="1" t="s">
        <v>908</v>
      </c>
      <c r="J3836" t="s">
        <v>7580</v>
      </c>
    </row>
    <row r="3837" spans="1:10">
      <c r="A3837" s="1">
        <v>39305</v>
      </c>
      <c r="B3837" s="1">
        <v>4300020053</v>
      </c>
      <c r="C3837" s="1">
        <v>24</v>
      </c>
      <c r="D3837" s="1" t="s">
        <v>404</v>
      </c>
      <c r="E3837" t="s">
        <v>7544</v>
      </c>
      <c r="F3837" s="1">
        <v>568360</v>
      </c>
      <c r="G3837" s="1">
        <v>2700041305</v>
      </c>
      <c r="H3837" s="1">
        <v>6</v>
      </c>
      <c r="I3837" s="1" t="s">
        <v>722</v>
      </c>
      <c r="J3837" t="s">
        <v>7581</v>
      </c>
    </row>
    <row r="3838" spans="1:10">
      <c r="A3838" s="1">
        <v>39024</v>
      </c>
      <c r="B3838" s="1">
        <v>4300020010</v>
      </c>
      <c r="C3838" s="1">
        <v>24</v>
      </c>
      <c r="D3838" s="1" t="s">
        <v>14</v>
      </c>
      <c r="E3838" t="s">
        <v>7545</v>
      </c>
      <c r="F3838" s="1">
        <v>97840</v>
      </c>
      <c r="G3838" s="1">
        <v>2700041161</v>
      </c>
      <c r="H3838" s="1">
        <v>12</v>
      </c>
      <c r="I3838" s="1" t="s">
        <v>259</v>
      </c>
      <c r="J3838" t="s">
        <v>7582</v>
      </c>
    </row>
    <row r="3839" spans="1:10">
      <c r="A3839" s="1">
        <v>39131</v>
      </c>
      <c r="B3839" s="1">
        <v>4300020006</v>
      </c>
      <c r="C3839" s="1">
        <v>24</v>
      </c>
      <c r="D3839" s="1" t="s">
        <v>14</v>
      </c>
      <c r="E3839" t="s">
        <v>7546</v>
      </c>
      <c r="F3839" s="1">
        <v>41772</v>
      </c>
      <c r="G3839" s="1">
        <v>2700041110</v>
      </c>
      <c r="H3839" s="1">
        <v>12</v>
      </c>
      <c r="I3839" s="1" t="s">
        <v>259</v>
      </c>
      <c r="J3839" t="s">
        <v>7583</v>
      </c>
    </row>
    <row r="3840" spans="1:10">
      <c r="A3840" s="1">
        <v>39214</v>
      </c>
      <c r="B3840" s="1">
        <v>4300020002</v>
      </c>
      <c r="C3840" s="1">
        <v>24</v>
      </c>
      <c r="D3840" s="1" t="s">
        <v>14</v>
      </c>
      <c r="E3840" t="s">
        <v>7547</v>
      </c>
      <c r="F3840" s="1">
        <v>41806</v>
      </c>
      <c r="G3840" s="1">
        <v>2700041130</v>
      </c>
      <c r="H3840" s="1">
        <v>12</v>
      </c>
      <c r="I3840" s="1" t="s">
        <v>259</v>
      </c>
      <c r="J3840" t="s">
        <v>7584</v>
      </c>
    </row>
    <row r="3841" spans="1:10">
      <c r="A3841" s="1">
        <v>39594</v>
      </c>
      <c r="B3841" s="1">
        <v>4300020138</v>
      </c>
      <c r="C3841" s="1">
        <v>24</v>
      </c>
      <c r="D3841" s="1" t="s">
        <v>7369</v>
      </c>
      <c r="E3841" t="s">
        <v>7548</v>
      </c>
      <c r="F3841" s="1">
        <v>96784</v>
      </c>
      <c r="G3841" s="1">
        <v>2700041301</v>
      </c>
      <c r="H3841" s="1">
        <v>6</v>
      </c>
      <c r="I3841" s="1" t="s">
        <v>722</v>
      </c>
      <c r="J3841" t="s">
        <v>7585</v>
      </c>
    </row>
    <row r="3842" spans="1:10">
      <c r="A3842" s="1">
        <v>39529</v>
      </c>
      <c r="B3842" s="1">
        <v>4300020136</v>
      </c>
      <c r="C3842" s="1">
        <v>24</v>
      </c>
      <c r="D3842" s="1" t="s">
        <v>7369</v>
      </c>
      <c r="E3842" t="s">
        <v>7549</v>
      </c>
      <c r="F3842" s="1">
        <v>96487</v>
      </c>
      <c r="G3842" s="1">
        <v>2700041115</v>
      </c>
      <c r="H3842" s="1">
        <v>12</v>
      </c>
      <c r="I3842" s="1" t="s">
        <v>259</v>
      </c>
      <c r="J3842" t="s">
        <v>7586</v>
      </c>
    </row>
    <row r="3843" spans="1:10">
      <c r="A3843" s="1">
        <v>39446</v>
      </c>
      <c r="B3843" s="1">
        <v>4300020141</v>
      </c>
      <c r="C3843" s="1">
        <v>24</v>
      </c>
      <c r="D3843" s="1" t="s">
        <v>7369</v>
      </c>
      <c r="E3843" t="s">
        <v>7550</v>
      </c>
      <c r="F3843" s="1">
        <v>95802</v>
      </c>
      <c r="G3843" s="1">
        <v>2700041277</v>
      </c>
      <c r="H3843" s="1">
        <v>12</v>
      </c>
      <c r="I3843" s="1" t="s">
        <v>259</v>
      </c>
      <c r="J3843" t="s">
        <v>7587</v>
      </c>
    </row>
    <row r="3844" spans="1:10">
      <c r="A3844" s="1">
        <v>39602</v>
      </c>
      <c r="B3844" s="1">
        <v>4300020135</v>
      </c>
      <c r="C3844" s="1">
        <v>24</v>
      </c>
      <c r="D3844" s="1" t="s">
        <v>7369</v>
      </c>
      <c r="E3844" t="s">
        <v>7551</v>
      </c>
      <c r="F3844" s="1">
        <v>455121</v>
      </c>
      <c r="G3844" s="1">
        <v>2700041816</v>
      </c>
      <c r="H3844" s="1">
        <v>12</v>
      </c>
      <c r="I3844" s="1" t="s">
        <v>259</v>
      </c>
      <c r="J3844" t="s">
        <v>7588</v>
      </c>
    </row>
    <row r="3845" spans="1:10">
      <c r="A3845" s="1">
        <v>39339</v>
      </c>
      <c r="B3845" s="1">
        <v>4300020145</v>
      </c>
      <c r="C3845" s="1">
        <v>24</v>
      </c>
      <c r="D3845" s="1" t="s">
        <v>2288</v>
      </c>
      <c r="E3845" t="s">
        <v>7552</v>
      </c>
      <c r="F3845" s="1">
        <v>97329</v>
      </c>
      <c r="G3845" s="1">
        <v>2700041367</v>
      </c>
      <c r="H3845" s="1">
        <v>12</v>
      </c>
      <c r="I3845" s="1" t="s">
        <v>259</v>
      </c>
      <c r="J3845" t="s">
        <v>7589</v>
      </c>
    </row>
    <row r="3846" spans="1:10">
      <c r="A3846" s="1">
        <v>39198</v>
      </c>
      <c r="B3846" s="1">
        <v>4300020001</v>
      </c>
      <c r="C3846" s="1">
        <v>24</v>
      </c>
      <c r="D3846" s="1" t="s">
        <v>14</v>
      </c>
      <c r="E3846" t="s">
        <v>7553</v>
      </c>
      <c r="F3846" s="1">
        <v>97337</v>
      </c>
      <c r="G3846" s="1">
        <v>2700041366</v>
      </c>
      <c r="H3846" s="1">
        <v>12</v>
      </c>
      <c r="I3846" s="1" t="s">
        <v>259</v>
      </c>
      <c r="J3846" t="s">
        <v>7590</v>
      </c>
    </row>
    <row r="3847" spans="1:10">
      <c r="A3847" s="1">
        <v>39289</v>
      </c>
      <c r="B3847" s="1">
        <v>4300020051</v>
      </c>
      <c r="C3847" s="1">
        <v>24</v>
      </c>
      <c r="D3847" s="1" t="s">
        <v>404</v>
      </c>
      <c r="E3847" t="s">
        <v>7553</v>
      </c>
      <c r="F3847" s="1">
        <v>96396</v>
      </c>
      <c r="G3847" s="1">
        <v>2700041178</v>
      </c>
      <c r="H3847" s="1">
        <v>12</v>
      </c>
      <c r="I3847" s="1" t="s">
        <v>259</v>
      </c>
      <c r="J3847" t="s">
        <v>7591</v>
      </c>
    </row>
    <row r="3848" spans="1:10">
      <c r="A3848" s="1">
        <v>39115</v>
      </c>
      <c r="B3848" s="1">
        <v>4300020016</v>
      </c>
      <c r="C3848" s="1">
        <v>24</v>
      </c>
      <c r="D3848" s="1" t="s">
        <v>14</v>
      </c>
      <c r="E3848" t="s">
        <v>7554</v>
      </c>
      <c r="F3848" s="1">
        <v>97022</v>
      </c>
      <c r="G3848" s="1">
        <v>2700041586</v>
      </c>
      <c r="H3848" s="1">
        <v>12</v>
      </c>
      <c r="I3848" s="1" t="s">
        <v>259</v>
      </c>
      <c r="J3848" t="s">
        <v>7592</v>
      </c>
    </row>
    <row r="3849" spans="1:10">
      <c r="A3849" s="1">
        <v>704643</v>
      </c>
      <c r="B3849" s="1">
        <v>4300001882</v>
      </c>
      <c r="C3849" s="1">
        <v>24</v>
      </c>
      <c r="D3849" s="1" t="s">
        <v>14</v>
      </c>
      <c r="E3849" t="s">
        <v>7555</v>
      </c>
      <c r="F3849" s="1">
        <v>97055</v>
      </c>
      <c r="G3849" s="1">
        <v>2700041588</v>
      </c>
      <c r="H3849" s="1">
        <v>12</v>
      </c>
      <c r="I3849" s="1" t="s">
        <v>259</v>
      </c>
      <c r="J3849" t="s">
        <v>7593</v>
      </c>
    </row>
    <row r="3850" spans="1:10">
      <c r="A3850" s="1">
        <v>39040</v>
      </c>
      <c r="B3850" s="1">
        <v>4300020024</v>
      </c>
      <c r="C3850" s="1">
        <v>24</v>
      </c>
      <c r="D3850" s="1" t="s">
        <v>14</v>
      </c>
      <c r="E3850" t="s">
        <v>7556</v>
      </c>
      <c r="F3850" s="1">
        <v>108985</v>
      </c>
      <c r="G3850" s="1">
        <v>4300020812</v>
      </c>
      <c r="H3850" s="1">
        <v>24</v>
      </c>
      <c r="I3850" s="1" t="s">
        <v>203</v>
      </c>
      <c r="J3850" t="s">
        <v>7594</v>
      </c>
    </row>
    <row r="3851" spans="1:10">
      <c r="A3851" s="1">
        <v>37184</v>
      </c>
      <c r="B3851" s="1">
        <v>4300020404</v>
      </c>
      <c r="C3851" s="1">
        <v>24</v>
      </c>
      <c r="D3851" s="1" t="s">
        <v>7369</v>
      </c>
      <c r="E3851" t="s">
        <v>7557</v>
      </c>
      <c r="F3851" s="1">
        <v>39644</v>
      </c>
      <c r="G3851" s="1">
        <v>4300020652</v>
      </c>
      <c r="H3851" s="1">
        <v>24</v>
      </c>
      <c r="I3851" s="1" t="s">
        <v>14</v>
      </c>
      <c r="J3851" t="s">
        <v>7595</v>
      </c>
    </row>
    <row r="3852" spans="1:10">
      <c r="A3852" s="1">
        <v>288480</v>
      </c>
      <c r="B3852" s="1">
        <v>4300001880</v>
      </c>
      <c r="C3852" s="1">
        <v>24</v>
      </c>
      <c r="D3852" s="1" t="s">
        <v>14</v>
      </c>
      <c r="E3852" t="s">
        <v>7558</v>
      </c>
      <c r="F3852" s="1">
        <v>39248</v>
      </c>
      <c r="G3852" s="1">
        <v>4300020413</v>
      </c>
      <c r="H3852" s="1">
        <v>24</v>
      </c>
      <c r="I3852" s="1" t="s">
        <v>247</v>
      </c>
      <c r="J3852" t="s">
        <v>7596</v>
      </c>
    </row>
    <row r="3853" spans="1:10">
      <c r="A3853" s="1">
        <v>39073</v>
      </c>
      <c r="B3853" s="1">
        <v>4300020005</v>
      </c>
      <c r="C3853" s="1">
        <v>24</v>
      </c>
      <c r="D3853" s="1" t="s">
        <v>14</v>
      </c>
      <c r="E3853" t="s">
        <v>7559</v>
      </c>
      <c r="F3853" s="1">
        <v>39891</v>
      </c>
      <c r="G3853" s="1">
        <v>4300020439</v>
      </c>
      <c r="H3853" s="1">
        <v>24</v>
      </c>
      <c r="I3853" s="1" t="s">
        <v>247</v>
      </c>
      <c r="J3853" t="s">
        <v>7597</v>
      </c>
    </row>
    <row r="3854" spans="1:10">
      <c r="A3854" s="1">
        <v>39180</v>
      </c>
      <c r="B3854" s="1">
        <v>4300020004</v>
      </c>
      <c r="C3854" s="1">
        <v>24</v>
      </c>
      <c r="D3854" s="1" t="s">
        <v>14</v>
      </c>
      <c r="E3854" t="s">
        <v>7560</v>
      </c>
      <c r="F3854" s="1">
        <v>39883</v>
      </c>
      <c r="G3854" s="1">
        <v>4300020433</v>
      </c>
      <c r="H3854" s="1">
        <v>24</v>
      </c>
      <c r="I3854" s="1" t="s">
        <v>247</v>
      </c>
      <c r="J3854" t="s">
        <v>7598</v>
      </c>
    </row>
    <row r="3855" spans="1:10" ht="15.75">
      <c r="A3855" s="4" t="s">
        <v>10794</v>
      </c>
      <c r="B3855" s="2"/>
      <c r="C3855" s="2"/>
      <c r="D3855" s="2"/>
      <c r="E3855" s="3"/>
      <c r="F3855" s="4" t="s">
        <v>10795</v>
      </c>
      <c r="G3855" s="2"/>
      <c r="H3855" s="2"/>
      <c r="I3855" s="2"/>
      <c r="J3855" s="3"/>
    </row>
    <row r="3856" spans="1:10">
      <c r="A3856" s="2" t="s">
        <v>0</v>
      </c>
      <c r="B3856" s="2" t="s">
        <v>1</v>
      </c>
      <c r="C3856" s="2" t="s">
        <v>2</v>
      </c>
      <c r="D3856" s="2" t="s">
        <v>3</v>
      </c>
      <c r="E3856" s="3" t="s">
        <v>4</v>
      </c>
      <c r="F3856" s="2" t="s">
        <v>0</v>
      </c>
      <c r="G3856" s="2" t="s">
        <v>1</v>
      </c>
      <c r="H3856" s="2" t="s">
        <v>2</v>
      </c>
      <c r="I3856" s="2" t="s">
        <v>3</v>
      </c>
      <c r="J3856" s="3" t="s">
        <v>4</v>
      </c>
    </row>
    <row r="3857" spans="1:10">
      <c r="A3857" s="1">
        <v>40022</v>
      </c>
      <c r="B3857" s="1">
        <v>4300020555</v>
      </c>
      <c r="C3857" s="1">
        <v>24</v>
      </c>
      <c r="D3857" s="1" t="s">
        <v>203</v>
      </c>
      <c r="E3857" t="s">
        <v>7599</v>
      </c>
      <c r="F3857" s="1">
        <v>62026</v>
      </c>
      <c r="G3857" s="1">
        <v>1600031379</v>
      </c>
      <c r="H3857" s="1">
        <v>8</v>
      </c>
      <c r="I3857" s="1" t="s">
        <v>439</v>
      </c>
      <c r="J3857" t="s">
        <v>7634</v>
      </c>
    </row>
    <row r="3858" spans="1:10">
      <c r="A3858" s="1">
        <v>39941</v>
      </c>
      <c r="B3858" s="1">
        <v>4300020442</v>
      </c>
      <c r="C3858" s="1">
        <v>24</v>
      </c>
      <c r="D3858" s="1" t="s">
        <v>247</v>
      </c>
      <c r="E3858" t="s">
        <v>7600</v>
      </c>
      <c r="F3858" s="1">
        <v>324756</v>
      </c>
      <c r="G3858" s="1">
        <v>1600029653</v>
      </c>
      <c r="H3858" s="1">
        <v>8</v>
      </c>
      <c r="I3858" s="1" t="s">
        <v>6914</v>
      </c>
      <c r="J3858" t="s">
        <v>7635</v>
      </c>
    </row>
    <row r="3859" spans="1:10">
      <c r="A3859" s="1">
        <v>625475</v>
      </c>
      <c r="B3859" s="1">
        <v>4300020435</v>
      </c>
      <c r="C3859" s="1">
        <v>24</v>
      </c>
      <c r="D3859" s="1" t="s">
        <v>247</v>
      </c>
      <c r="E3859" t="s">
        <v>7601</v>
      </c>
      <c r="F3859" s="1">
        <v>324764</v>
      </c>
      <c r="G3859" s="1">
        <v>1600029652</v>
      </c>
      <c r="H3859" s="1">
        <v>8</v>
      </c>
      <c r="I3859" s="1" t="s">
        <v>6914</v>
      </c>
      <c r="J3859" t="s">
        <v>7636</v>
      </c>
    </row>
    <row r="3860" spans="1:10">
      <c r="A3860" s="1">
        <v>39628</v>
      </c>
      <c r="B3860" s="1">
        <v>4300020651</v>
      </c>
      <c r="C3860" s="1">
        <v>24</v>
      </c>
      <c r="D3860" s="1" t="s">
        <v>247</v>
      </c>
      <c r="E3860" t="s">
        <v>7602</v>
      </c>
      <c r="F3860" s="1">
        <v>324681</v>
      </c>
      <c r="G3860" s="1">
        <v>1600029655</v>
      </c>
      <c r="H3860" s="1">
        <v>8</v>
      </c>
      <c r="I3860" s="1" t="s">
        <v>7637</v>
      </c>
      <c r="J3860" t="s">
        <v>7638</v>
      </c>
    </row>
    <row r="3861" spans="1:10">
      <c r="A3861" s="1">
        <v>39867</v>
      </c>
      <c r="B3861" s="1">
        <v>4300020431</v>
      </c>
      <c r="C3861" s="1">
        <v>24</v>
      </c>
      <c r="D3861" s="1" t="s">
        <v>2862</v>
      </c>
      <c r="E3861" t="s">
        <v>7602</v>
      </c>
      <c r="F3861" s="1">
        <v>324673</v>
      </c>
      <c r="G3861" s="1">
        <v>1600029651</v>
      </c>
      <c r="H3861" s="1">
        <v>8</v>
      </c>
      <c r="I3861" s="1" t="s">
        <v>851</v>
      </c>
      <c r="J3861" t="s">
        <v>7639</v>
      </c>
    </row>
    <row r="3862" spans="1:10">
      <c r="A3862" s="1">
        <v>40089</v>
      </c>
      <c r="B3862" s="1">
        <v>4300020691</v>
      </c>
      <c r="C3862" s="1">
        <v>24</v>
      </c>
      <c r="D3862" s="1" t="s">
        <v>394</v>
      </c>
      <c r="E3862" t="s">
        <v>7602</v>
      </c>
      <c r="F3862" s="1">
        <v>452227</v>
      </c>
      <c r="G3862" s="1">
        <v>1600019363</v>
      </c>
      <c r="H3862" s="1">
        <v>8</v>
      </c>
      <c r="I3862" s="1" t="s">
        <v>645</v>
      </c>
      <c r="J3862" t="s">
        <v>7640</v>
      </c>
    </row>
    <row r="3863" spans="1:10">
      <c r="A3863" s="1">
        <v>40196</v>
      </c>
      <c r="B3863" s="1">
        <v>4300020471</v>
      </c>
      <c r="C3863" s="1">
        <v>24</v>
      </c>
      <c r="D3863" s="1" t="s">
        <v>1739</v>
      </c>
      <c r="E3863" t="s">
        <v>7602</v>
      </c>
      <c r="F3863" s="1">
        <v>76539</v>
      </c>
      <c r="G3863" s="1">
        <v>1600019364</v>
      </c>
      <c r="H3863" s="1">
        <v>8</v>
      </c>
      <c r="I3863" s="1" t="s">
        <v>192</v>
      </c>
      <c r="J3863" t="s">
        <v>7641</v>
      </c>
    </row>
    <row r="3864" spans="1:10">
      <c r="A3864" s="1">
        <v>233957</v>
      </c>
      <c r="B3864" s="1">
        <v>4300020437</v>
      </c>
      <c r="C3864" s="1">
        <v>24</v>
      </c>
      <c r="D3864" s="1" t="s">
        <v>247</v>
      </c>
      <c r="E3864" t="s">
        <v>7603</v>
      </c>
      <c r="F3864" s="1">
        <v>324616</v>
      </c>
      <c r="G3864" s="1">
        <v>1600029654</v>
      </c>
      <c r="H3864" s="1">
        <v>8</v>
      </c>
      <c r="I3864" s="1" t="s">
        <v>7642</v>
      </c>
      <c r="J3864" t="s">
        <v>7643</v>
      </c>
    </row>
    <row r="3865" spans="1:10">
      <c r="A3865" s="1">
        <v>39966</v>
      </c>
      <c r="B3865" s="1">
        <v>4300020440</v>
      </c>
      <c r="C3865" s="1">
        <v>24</v>
      </c>
      <c r="D3865" s="1" t="s">
        <v>247</v>
      </c>
      <c r="E3865" t="s">
        <v>7604</v>
      </c>
      <c r="F3865" s="1">
        <v>39826</v>
      </c>
      <c r="G3865" s="1">
        <v>4300021710</v>
      </c>
      <c r="H3865" s="1">
        <v>12</v>
      </c>
      <c r="I3865" s="1" t="s">
        <v>354</v>
      </c>
      <c r="J3865" t="s">
        <v>7644</v>
      </c>
    </row>
    <row r="3866" spans="1:10">
      <c r="A3866" s="1">
        <v>39990</v>
      </c>
      <c r="B3866" s="1">
        <v>4300020445</v>
      </c>
      <c r="C3866" s="1">
        <v>24</v>
      </c>
      <c r="D3866" s="1" t="s">
        <v>247</v>
      </c>
      <c r="E3866" t="s">
        <v>7605</v>
      </c>
      <c r="F3866" s="1">
        <v>43158</v>
      </c>
      <c r="G3866" s="1">
        <v>4300021703</v>
      </c>
      <c r="H3866" s="1">
        <v>10</v>
      </c>
      <c r="I3866" s="1" t="s">
        <v>7645</v>
      </c>
      <c r="J3866" t="s">
        <v>7646</v>
      </c>
    </row>
    <row r="3867" spans="1:10">
      <c r="A3867" s="1">
        <v>39875</v>
      </c>
      <c r="B3867" s="1">
        <v>4300020556</v>
      </c>
      <c r="C3867" s="1">
        <v>24</v>
      </c>
      <c r="D3867" s="1" t="s">
        <v>108</v>
      </c>
      <c r="E3867" t="s">
        <v>7606</v>
      </c>
      <c r="F3867" s="1">
        <v>43174</v>
      </c>
      <c r="G3867" s="1">
        <v>4300021704</v>
      </c>
      <c r="H3867" s="1">
        <v>10</v>
      </c>
      <c r="I3867" s="1" t="s">
        <v>7645</v>
      </c>
      <c r="J3867" t="s">
        <v>7647</v>
      </c>
    </row>
    <row r="3868" spans="1:10">
      <c r="A3868" s="1">
        <v>39933</v>
      </c>
      <c r="B3868" s="1">
        <v>4300020553</v>
      </c>
      <c r="C3868" s="1">
        <v>24</v>
      </c>
      <c r="D3868" s="1" t="s">
        <v>203</v>
      </c>
      <c r="E3868" t="s">
        <v>7607</v>
      </c>
      <c r="F3868" s="1">
        <v>39818</v>
      </c>
      <c r="G3868" s="1">
        <v>4300022802</v>
      </c>
      <c r="H3868" s="1">
        <v>12</v>
      </c>
      <c r="I3868" s="1" t="s">
        <v>399</v>
      </c>
      <c r="J3868" t="s">
        <v>7648</v>
      </c>
    </row>
    <row r="3869" spans="1:10">
      <c r="A3869" s="1">
        <v>39917</v>
      </c>
      <c r="B3869" s="1">
        <v>4300020551</v>
      </c>
      <c r="C3869" s="1">
        <v>24</v>
      </c>
      <c r="D3869" s="1" t="s">
        <v>108</v>
      </c>
      <c r="E3869" t="s">
        <v>7608</v>
      </c>
      <c r="F3869" s="1">
        <v>67256</v>
      </c>
      <c r="G3869" s="1">
        <v>4144910792</v>
      </c>
      <c r="H3869" s="1">
        <v>12</v>
      </c>
      <c r="I3869" s="1" t="s">
        <v>7522</v>
      </c>
      <c r="J3869" t="s">
        <v>7649</v>
      </c>
    </row>
    <row r="3870" spans="1:10">
      <c r="A3870" s="1">
        <v>39958</v>
      </c>
      <c r="B3870" s="1">
        <v>4300020552</v>
      </c>
      <c r="C3870" s="1">
        <v>24</v>
      </c>
      <c r="D3870" s="1" t="s">
        <v>7609</v>
      </c>
      <c r="E3870" t="s">
        <v>7610</v>
      </c>
      <c r="F3870" s="1">
        <v>67439</v>
      </c>
      <c r="G3870" s="1">
        <v>4144910790</v>
      </c>
      <c r="H3870" s="1">
        <v>12</v>
      </c>
      <c r="I3870" s="1" t="s">
        <v>7650</v>
      </c>
      <c r="J3870" t="s">
        <v>7651</v>
      </c>
    </row>
    <row r="3871" spans="1:10">
      <c r="A3871" s="1">
        <v>40105</v>
      </c>
      <c r="B3871" s="1">
        <v>4300020692</v>
      </c>
      <c r="C3871" s="1">
        <v>24</v>
      </c>
      <c r="D3871" s="1" t="s">
        <v>3869</v>
      </c>
      <c r="E3871" t="s">
        <v>7611</v>
      </c>
      <c r="F3871" s="1">
        <v>557926</v>
      </c>
      <c r="G3871" s="1">
        <v>4113000343</v>
      </c>
      <c r="H3871" s="1">
        <v>12</v>
      </c>
      <c r="I3871" s="1" t="s">
        <v>31</v>
      </c>
      <c r="J3871" t="s">
        <v>7652</v>
      </c>
    </row>
    <row r="3872" spans="1:10">
      <c r="A3872" s="1">
        <v>40188</v>
      </c>
      <c r="B3872" s="1">
        <v>4300020472</v>
      </c>
      <c r="C3872" s="1">
        <v>24</v>
      </c>
      <c r="D3872" s="1" t="s">
        <v>521</v>
      </c>
      <c r="E3872" t="s">
        <v>7611</v>
      </c>
      <c r="F3872" s="1">
        <v>559203</v>
      </c>
      <c r="G3872" s="1">
        <v>4113028100</v>
      </c>
      <c r="H3872" s="1">
        <v>12</v>
      </c>
      <c r="I3872" s="1" t="s">
        <v>404</v>
      </c>
      <c r="J3872" t="s">
        <v>7653</v>
      </c>
    </row>
    <row r="3873" spans="1:10">
      <c r="A3873" s="1">
        <v>39701</v>
      </c>
      <c r="B3873" s="1">
        <v>4300020655</v>
      </c>
      <c r="C3873" s="1">
        <v>24</v>
      </c>
      <c r="D3873" s="1" t="s">
        <v>2663</v>
      </c>
      <c r="E3873" t="s">
        <v>7612</v>
      </c>
      <c r="F3873" s="1">
        <v>557991</v>
      </c>
      <c r="G3873" s="1">
        <v>4113001040</v>
      </c>
      <c r="H3873" s="1">
        <v>12</v>
      </c>
      <c r="I3873" s="1" t="s">
        <v>381</v>
      </c>
      <c r="J3873" t="s">
        <v>7654</v>
      </c>
    </row>
    <row r="3874" spans="1:10">
      <c r="A3874" s="1">
        <v>39677</v>
      </c>
      <c r="B3874" s="1">
        <v>4300020657</v>
      </c>
      <c r="C3874" s="1">
        <v>24</v>
      </c>
      <c r="D3874" s="1" t="s">
        <v>14</v>
      </c>
      <c r="E3874" t="s">
        <v>7613</v>
      </c>
      <c r="F3874" s="1">
        <v>557918</v>
      </c>
      <c r="G3874" s="1">
        <v>4113028104</v>
      </c>
      <c r="H3874" s="1">
        <v>12</v>
      </c>
      <c r="I3874" s="1" t="s">
        <v>31</v>
      </c>
      <c r="J3874" t="s">
        <v>7655</v>
      </c>
    </row>
    <row r="3875" spans="1:10">
      <c r="A3875" s="1">
        <v>39982</v>
      </c>
      <c r="B3875" s="1">
        <v>4300020449</v>
      </c>
      <c r="C3875" s="1">
        <v>24</v>
      </c>
      <c r="D3875" s="1" t="s">
        <v>2862</v>
      </c>
      <c r="E3875" t="s">
        <v>7614</v>
      </c>
      <c r="F3875" s="1">
        <v>557900</v>
      </c>
      <c r="G3875" s="1">
        <v>4113028105</v>
      </c>
      <c r="H3875" s="1">
        <v>12</v>
      </c>
      <c r="I3875" s="1" t="s">
        <v>31</v>
      </c>
      <c r="J3875" t="s">
        <v>7656</v>
      </c>
    </row>
    <row r="3876" spans="1:10">
      <c r="A3876" s="1">
        <v>40014</v>
      </c>
      <c r="B3876" s="1">
        <v>4300020554</v>
      </c>
      <c r="C3876" s="1">
        <v>24</v>
      </c>
      <c r="D3876" s="1" t="s">
        <v>85</v>
      </c>
      <c r="E3876" t="s">
        <v>7615</v>
      </c>
      <c r="F3876" s="1">
        <v>558007</v>
      </c>
      <c r="G3876" s="1">
        <v>4113001174</v>
      </c>
      <c r="H3876" s="1">
        <v>12</v>
      </c>
      <c r="I3876" s="1" t="s">
        <v>381</v>
      </c>
      <c r="J3876" t="s">
        <v>7657</v>
      </c>
    </row>
    <row r="3877" spans="1:10">
      <c r="A3877" s="1">
        <v>39792</v>
      </c>
      <c r="B3877" s="1">
        <v>4300020810</v>
      </c>
      <c r="C3877" s="1">
        <v>24</v>
      </c>
      <c r="D3877" s="1" t="s">
        <v>56</v>
      </c>
      <c r="E3877" t="s">
        <v>7616</v>
      </c>
      <c r="F3877" s="1">
        <v>557983</v>
      </c>
      <c r="G3877" s="1">
        <v>4113002056</v>
      </c>
      <c r="H3877" s="1">
        <v>12</v>
      </c>
      <c r="I3877" s="1" t="s">
        <v>404</v>
      </c>
      <c r="J3877" t="s">
        <v>7658</v>
      </c>
    </row>
    <row r="3878" spans="1:10">
      <c r="A3878" s="1">
        <v>386904</v>
      </c>
      <c r="B3878" s="1">
        <v>4300020559</v>
      </c>
      <c r="C3878" s="1">
        <v>24</v>
      </c>
      <c r="D3878" s="1" t="s">
        <v>203</v>
      </c>
      <c r="E3878" t="s">
        <v>7617</v>
      </c>
      <c r="F3878" s="1">
        <v>559229</v>
      </c>
      <c r="G3878" s="1">
        <v>4113002063</v>
      </c>
      <c r="H3878" s="1">
        <v>12</v>
      </c>
      <c r="I3878" s="1" t="s">
        <v>31</v>
      </c>
      <c r="J3878" t="s">
        <v>7659</v>
      </c>
    </row>
    <row r="3879" spans="1:10">
      <c r="A3879" s="1">
        <v>547885</v>
      </c>
      <c r="B3879" s="1">
        <v>4300002224</v>
      </c>
      <c r="C3879" s="1">
        <v>10</v>
      </c>
      <c r="D3879" s="1" t="s">
        <v>7618</v>
      </c>
      <c r="E3879" t="s">
        <v>7619</v>
      </c>
      <c r="F3879" s="1">
        <v>559245</v>
      </c>
      <c r="G3879" s="1">
        <v>4113016360</v>
      </c>
      <c r="H3879" s="1">
        <v>12</v>
      </c>
      <c r="I3879" s="1" t="s">
        <v>31</v>
      </c>
      <c r="J3879" t="s">
        <v>7660</v>
      </c>
    </row>
    <row r="3880" spans="1:10">
      <c r="A3880" s="1">
        <v>15537</v>
      </c>
      <c r="B3880" s="1">
        <v>4300002245</v>
      </c>
      <c r="C3880" s="1">
        <v>10</v>
      </c>
      <c r="D3880" s="1" t="s">
        <v>5116</v>
      </c>
      <c r="E3880" t="s">
        <v>7620</v>
      </c>
      <c r="F3880" s="1">
        <v>559237</v>
      </c>
      <c r="G3880" s="1">
        <v>4113016354</v>
      </c>
      <c r="H3880" s="1">
        <v>12</v>
      </c>
      <c r="I3880" s="1" t="s">
        <v>31</v>
      </c>
      <c r="J3880" t="s">
        <v>7661</v>
      </c>
    </row>
    <row r="3881" spans="1:10">
      <c r="A3881" s="1">
        <v>84103</v>
      </c>
      <c r="B3881" s="1">
        <v>4300002244</v>
      </c>
      <c r="C3881" s="1">
        <v>10</v>
      </c>
      <c r="D3881" s="1" t="s">
        <v>1850</v>
      </c>
      <c r="E3881" t="s">
        <v>7621</v>
      </c>
      <c r="F3881" s="1">
        <v>557975</v>
      </c>
      <c r="G3881" s="1">
        <v>4113016355</v>
      </c>
      <c r="H3881" s="1">
        <v>12</v>
      </c>
      <c r="I3881" s="1" t="s">
        <v>404</v>
      </c>
      <c r="J3881" t="s">
        <v>7662</v>
      </c>
    </row>
    <row r="3882" spans="1:10">
      <c r="A3882" s="1">
        <v>129593</v>
      </c>
      <c r="B3882" s="1">
        <v>1116612959</v>
      </c>
      <c r="C3882" s="1">
        <v>24</v>
      </c>
      <c r="D3882" s="1" t="s">
        <v>247</v>
      </c>
      <c r="E3882" t="s">
        <v>7622</v>
      </c>
      <c r="F3882" s="1">
        <v>559260</v>
      </c>
      <c r="G3882" s="1">
        <v>4113002267</v>
      </c>
      <c r="H3882" s="1">
        <v>12</v>
      </c>
      <c r="I3882" s="1" t="s">
        <v>404</v>
      </c>
      <c r="J3882" t="s">
        <v>7663</v>
      </c>
    </row>
    <row r="3883" spans="1:10">
      <c r="A3883" s="1">
        <v>37549</v>
      </c>
      <c r="B3883" s="1">
        <v>1116603754</v>
      </c>
      <c r="C3883" s="1">
        <v>24</v>
      </c>
      <c r="D3883" s="1" t="s">
        <v>247</v>
      </c>
      <c r="E3883" t="s">
        <v>7623</v>
      </c>
      <c r="F3883" s="1">
        <v>557959</v>
      </c>
      <c r="G3883" s="1">
        <v>4113001919</v>
      </c>
      <c r="H3883" s="1">
        <v>12</v>
      </c>
      <c r="I3883" s="1" t="s">
        <v>31</v>
      </c>
      <c r="J3883" t="s">
        <v>7664</v>
      </c>
    </row>
    <row r="3884" spans="1:10">
      <c r="A3884" s="1">
        <v>96461</v>
      </c>
      <c r="B3884" s="1">
        <v>1116609646</v>
      </c>
      <c r="C3884" s="1">
        <v>12</v>
      </c>
      <c r="D3884" s="1" t="s">
        <v>259</v>
      </c>
      <c r="E3884" t="s">
        <v>7624</v>
      </c>
      <c r="F3884" s="1">
        <v>559252</v>
      </c>
      <c r="G3884" s="1">
        <v>4113016373</v>
      </c>
      <c r="H3884" s="1">
        <v>12</v>
      </c>
      <c r="I3884" s="1" t="s">
        <v>404</v>
      </c>
      <c r="J3884" t="s">
        <v>7665</v>
      </c>
    </row>
    <row r="3885" spans="1:10">
      <c r="A3885" s="1">
        <v>37531</v>
      </c>
      <c r="B3885" s="1">
        <v>1116603753</v>
      </c>
      <c r="C3885" s="1">
        <v>24</v>
      </c>
      <c r="D3885" s="1" t="s">
        <v>2862</v>
      </c>
      <c r="E3885" t="s">
        <v>7625</v>
      </c>
      <c r="F3885" s="1">
        <v>557934</v>
      </c>
      <c r="G3885" s="1">
        <v>4113002268</v>
      </c>
      <c r="H3885" s="1">
        <v>12</v>
      </c>
      <c r="I3885" s="1" t="s">
        <v>404</v>
      </c>
      <c r="J3885" t="s">
        <v>7666</v>
      </c>
    </row>
    <row r="3886" spans="1:10">
      <c r="A3886" s="1">
        <v>37481</v>
      </c>
      <c r="B3886" s="1">
        <v>1116603748</v>
      </c>
      <c r="C3886" s="1">
        <v>24</v>
      </c>
      <c r="D3886" s="1" t="s">
        <v>247</v>
      </c>
      <c r="E3886" t="s">
        <v>7626</v>
      </c>
      <c r="F3886" s="1">
        <v>557967</v>
      </c>
      <c r="G3886" s="1">
        <v>4113002055</v>
      </c>
      <c r="H3886" s="1">
        <v>12</v>
      </c>
      <c r="I3886" s="1" t="s">
        <v>404</v>
      </c>
      <c r="J3886" t="s">
        <v>7667</v>
      </c>
    </row>
    <row r="3887" spans="1:10">
      <c r="A3887" s="1">
        <v>87767</v>
      </c>
      <c r="B3887" s="1">
        <v>1116601414</v>
      </c>
      <c r="C3887" s="1">
        <v>12</v>
      </c>
      <c r="D3887" s="1" t="s">
        <v>259</v>
      </c>
      <c r="E3887" t="s">
        <v>7627</v>
      </c>
      <c r="F3887" s="1">
        <v>559211</v>
      </c>
      <c r="G3887" s="1">
        <v>4113002062</v>
      </c>
      <c r="H3887" s="1">
        <v>12</v>
      </c>
      <c r="I3887" s="1" t="s">
        <v>31</v>
      </c>
      <c r="J3887" t="s">
        <v>7668</v>
      </c>
    </row>
    <row r="3888" spans="1:10">
      <c r="A3888" s="1">
        <v>129635</v>
      </c>
      <c r="B3888" s="1">
        <v>1116612963</v>
      </c>
      <c r="C3888" s="1">
        <v>24</v>
      </c>
      <c r="D3888" s="1" t="s">
        <v>17</v>
      </c>
      <c r="E3888" t="s">
        <v>7628</v>
      </c>
      <c r="F3888" s="1">
        <v>448100</v>
      </c>
      <c r="G3888" s="1">
        <v>7045034691</v>
      </c>
      <c r="H3888" s="1">
        <v>12</v>
      </c>
      <c r="I3888" s="1" t="s">
        <v>417</v>
      </c>
      <c r="J3888" t="s">
        <v>7669</v>
      </c>
    </row>
    <row r="3889" spans="1:10">
      <c r="A3889" s="1">
        <v>632562</v>
      </c>
      <c r="B3889" s="1">
        <v>1116601415</v>
      </c>
      <c r="C3889" s="1">
        <v>12</v>
      </c>
      <c r="D3889" s="1" t="s">
        <v>259</v>
      </c>
      <c r="E3889" t="s">
        <v>7629</v>
      </c>
      <c r="F3889" s="1">
        <v>113639</v>
      </c>
      <c r="G3889" s="1">
        <v>7045034351</v>
      </c>
      <c r="H3889" s="1">
        <v>12</v>
      </c>
      <c r="I3889" s="1" t="s">
        <v>404</v>
      </c>
      <c r="J3889" t="s">
        <v>7670</v>
      </c>
    </row>
    <row r="3890" spans="1:10">
      <c r="A3890" s="1">
        <v>129585</v>
      </c>
      <c r="B3890" s="1">
        <v>1116612958</v>
      </c>
      <c r="C3890" s="1">
        <v>24</v>
      </c>
      <c r="D3890" s="1" t="s">
        <v>247</v>
      </c>
      <c r="E3890" t="s">
        <v>7630</v>
      </c>
      <c r="F3890" s="1">
        <v>113597</v>
      </c>
      <c r="G3890" s="1">
        <v>7045034361</v>
      </c>
      <c r="H3890" s="1">
        <v>12</v>
      </c>
      <c r="I3890" s="1" t="s">
        <v>404</v>
      </c>
      <c r="J3890" t="s">
        <v>7671</v>
      </c>
    </row>
    <row r="3891" spans="1:10">
      <c r="A3891" s="1">
        <v>129643</v>
      </c>
      <c r="B3891" s="1">
        <v>1116612964</v>
      </c>
      <c r="C3891" s="1">
        <v>24</v>
      </c>
      <c r="D3891" s="1" t="s">
        <v>2708</v>
      </c>
      <c r="E3891" t="s">
        <v>7631</v>
      </c>
      <c r="F3891" s="1">
        <v>113183</v>
      </c>
      <c r="G3891" s="1">
        <v>7045034651</v>
      </c>
      <c r="H3891" s="1">
        <v>12</v>
      </c>
      <c r="I3891" s="1" t="s">
        <v>404</v>
      </c>
      <c r="J3891" t="s">
        <v>7672</v>
      </c>
    </row>
    <row r="3892" spans="1:10">
      <c r="A3892" s="1">
        <v>37499</v>
      </c>
      <c r="B3892" s="1">
        <v>1116603749</v>
      </c>
      <c r="C3892" s="1">
        <v>24</v>
      </c>
      <c r="D3892" s="1" t="s">
        <v>247</v>
      </c>
      <c r="E3892" t="s">
        <v>7631</v>
      </c>
      <c r="F3892" s="1">
        <v>46490</v>
      </c>
      <c r="G3892" s="1">
        <v>7045004231</v>
      </c>
      <c r="H3892" s="1">
        <v>12</v>
      </c>
      <c r="I3892" s="1" t="s">
        <v>399</v>
      </c>
      <c r="J3892" t="s">
        <v>7673</v>
      </c>
    </row>
    <row r="3893" spans="1:10">
      <c r="A3893" s="1">
        <v>41566</v>
      </c>
      <c r="B3893" s="1">
        <v>1116604156</v>
      </c>
      <c r="C3893" s="1">
        <v>12</v>
      </c>
      <c r="D3893" s="1" t="s">
        <v>259</v>
      </c>
      <c r="E3893" t="s">
        <v>7632</v>
      </c>
      <c r="F3893" s="1">
        <v>174649</v>
      </c>
      <c r="G3893" s="1">
        <v>7045014591</v>
      </c>
      <c r="H3893" s="1">
        <v>12</v>
      </c>
      <c r="I3893" s="1" t="s">
        <v>417</v>
      </c>
      <c r="J3893" t="s">
        <v>7674</v>
      </c>
    </row>
    <row r="3894" spans="1:10">
      <c r="A3894" s="1">
        <v>41590</v>
      </c>
      <c r="B3894" s="1">
        <v>1116604159</v>
      </c>
      <c r="C3894" s="1">
        <v>12</v>
      </c>
      <c r="D3894" s="1" t="s">
        <v>259</v>
      </c>
      <c r="E3894" t="s">
        <v>7633</v>
      </c>
      <c r="F3894" s="1">
        <v>292938</v>
      </c>
      <c r="G3894" s="1">
        <v>7045014891</v>
      </c>
      <c r="H3894" s="1">
        <v>12</v>
      </c>
      <c r="I3894" s="1" t="s">
        <v>417</v>
      </c>
      <c r="J3894" t="s">
        <v>7675</v>
      </c>
    </row>
    <row r="3895" spans="1:10">
      <c r="F3895" s="1">
        <v>190520</v>
      </c>
      <c r="G3895" s="1">
        <v>7045014231</v>
      </c>
      <c r="H3895" s="1">
        <v>12</v>
      </c>
      <c r="I3895" s="1" t="s">
        <v>399</v>
      </c>
      <c r="J3895" t="s">
        <v>7676</v>
      </c>
    </row>
    <row r="3896" spans="1:10" ht="15.75">
      <c r="A3896" s="4" t="s">
        <v>10795</v>
      </c>
      <c r="B3896" s="2"/>
      <c r="C3896" s="2"/>
      <c r="D3896" s="2"/>
      <c r="E3896" s="3"/>
      <c r="F3896" s="4" t="s">
        <v>10796</v>
      </c>
      <c r="G3896" s="2"/>
      <c r="H3896" s="2"/>
      <c r="I3896" s="2"/>
      <c r="J3896" s="3"/>
    </row>
    <row r="3897" spans="1:10">
      <c r="A3897" s="2" t="s">
        <v>0</v>
      </c>
      <c r="B3897" s="2" t="s">
        <v>1</v>
      </c>
      <c r="C3897" s="2" t="s">
        <v>2</v>
      </c>
      <c r="D3897" s="2" t="s">
        <v>3</v>
      </c>
      <c r="E3897" s="3" t="s">
        <v>4</v>
      </c>
      <c r="F3897" s="2" t="s">
        <v>0</v>
      </c>
      <c r="G3897" s="2" t="s">
        <v>1</v>
      </c>
      <c r="H3897" s="2" t="s">
        <v>2</v>
      </c>
      <c r="I3897" s="2" t="s">
        <v>3</v>
      </c>
      <c r="J3897" s="3" t="s">
        <v>4</v>
      </c>
    </row>
    <row r="3898" spans="1:10">
      <c r="A3898" s="1">
        <v>97352</v>
      </c>
      <c r="B3898" s="1">
        <v>7045014251</v>
      </c>
      <c r="C3898" s="1">
        <v>12</v>
      </c>
      <c r="D3898" s="1" t="s">
        <v>404</v>
      </c>
      <c r="E3898" t="s">
        <v>7677</v>
      </c>
      <c r="F3898" s="1">
        <v>465625</v>
      </c>
      <c r="G3898" s="1">
        <v>4157005353</v>
      </c>
      <c r="H3898" s="1">
        <v>6</v>
      </c>
      <c r="I3898" s="1" t="s">
        <v>399</v>
      </c>
      <c r="J3898" t="s">
        <v>7711</v>
      </c>
    </row>
    <row r="3899" spans="1:10">
      <c r="A3899" s="1">
        <v>260778</v>
      </c>
      <c r="B3899" s="1">
        <v>7045034381</v>
      </c>
      <c r="C3899" s="1">
        <v>12</v>
      </c>
      <c r="D3899" s="1" t="s">
        <v>417</v>
      </c>
      <c r="E3899" t="s">
        <v>7678</v>
      </c>
      <c r="F3899" s="1">
        <v>768796</v>
      </c>
      <c r="G3899" s="1">
        <v>4157005336</v>
      </c>
      <c r="H3899" s="1">
        <v>12</v>
      </c>
      <c r="I3899" s="1" t="s">
        <v>404</v>
      </c>
      <c r="J3899" t="s">
        <v>7712</v>
      </c>
    </row>
    <row r="3900" spans="1:10">
      <c r="A3900" s="1">
        <v>132035</v>
      </c>
      <c r="B3900" s="1">
        <v>7045024891</v>
      </c>
      <c r="C3900" s="1">
        <v>12</v>
      </c>
      <c r="D3900" s="1" t="s">
        <v>417</v>
      </c>
      <c r="E3900" t="s">
        <v>7679</v>
      </c>
      <c r="F3900" s="1">
        <v>343376</v>
      </c>
      <c r="G3900" s="1">
        <v>4157005338</v>
      </c>
      <c r="H3900" s="1">
        <v>12</v>
      </c>
      <c r="I3900" s="1" t="s">
        <v>404</v>
      </c>
      <c r="J3900" t="s">
        <v>7713</v>
      </c>
    </row>
    <row r="3901" spans="1:10">
      <c r="A3901" s="1">
        <v>392282</v>
      </c>
      <c r="B3901" s="1">
        <v>7045034391</v>
      </c>
      <c r="C3901" s="1">
        <v>12</v>
      </c>
      <c r="D3901" s="1" t="s">
        <v>417</v>
      </c>
      <c r="E3901" t="s">
        <v>7680</v>
      </c>
      <c r="F3901" s="1">
        <v>382903</v>
      </c>
      <c r="G3901" s="1">
        <v>4157005354</v>
      </c>
      <c r="H3901" s="1">
        <v>6</v>
      </c>
      <c r="I3901" s="1" t="s">
        <v>399</v>
      </c>
      <c r="J3901" t="s">
        <v>7714</v>
      </c>
    </row>
    <row r="3902" spans="1:10">
      <c r="A3902" s="1">
        <v>91827</v>
      </c>
      <c r="B3902" s="1">
        <v>7045084191</v>
      </c>
      <c r="C3902" s="1">
        <v>12</v>
      </c>
      <c r="D3902" s="1" t="s">
        <v>417</v>
      </c>
      <c r="E3902" t="s">
        <v>7681</v>
      </c>
      <c r="F3902" s="1">
        <v>54049</v>
      </c>
      <c r="G3902" s="1">
        <v>4157005373</v>
      </c>
      <c r="H3902" s="1">
        <v>6</v>
      </c>
      <c r="I3902" s="1" t="s">
        <v>399</v>
      </c>
      <c r="J3902" t="s">
        <v>7715</v>
      </c>
    </row>
    <row r="3903" spans="1:10">
      <c r="A3903" s="1">
        <v>592618</v>
      </c>
      <c r="B3903" s="1">
        <v>7045034121</v>
      </c>
      <c r="C3903" s="1">
        <v>12</v>
      </c>
      <c r="D3903" s="1" t="s">
        <v>489</v>
      </c>
      <c r="E3903" t="s">
        <v>7682</v>
      </c>
      <c r="F3903" s="1">
        <v>32201</v>
      </c>
      <c r="G3903" s="1">
        <v>2620046572</v>
      </c>
      <c r="H3903" s="1">
        <v>12</v>
      </c>
      <c r="I3903" s="1" t="s">
        <v>2214</v>
      </c>
      <c r="J3903" t="s">
        <v>7716</v>
      </c>
    </row>
    <row r="3904" spans="1:10">
      <c r="A3904" s="1">
        <v>119537</v>
      </c>
      <c r="B3904" s="1">
        <v>7045034221</v>
      </c>
      <c r="C3904" s="1">
        <v>12</v>
      </c>
      <c r="D3904" s="1" t="s">
        <v>489</v>
      </c>
      <c r="E3904" t="s">
        <v>7683</v>
      </c>
      <c r="F3904" s="1">
        <v>765040</v>
      </c>
      <c r="G3904" s="1">
        <v>2620046196</v>
      </c>
      <c r="H3904" s="1">
        <v>12</v>
      </c>
      <c r="I3904" s="1" t="s">
        <v>106</v>
      </c>
      <c r="J3904" t="s">
        <v>7717</v>
      </c>
    </row>
    <row r="3905" spans="1:10">
      <c r="A3905" s="1">
        <v>827022</v>
      </c>
      <c r="B3905" s="1">
        <v>7045084891</v>
      </c>
      <c r="C3905" s="1">
        <v>12</v>
      </c>
      <c r="D3905" s="1" t="s">
        <v>417</v>
      </c>
      <c r="E3905" t="s">
        <v>7684</v>
      </c>
      <c r="F3905" s="1">
        <v>486522</v>
      </c>
      <c r="G3905" s="1">
        <v>2620046876</v>
      </c>
      <c r="H3905" s="1">
        <v>6</v>
      </c>
      <c r="I3905" s="1" t="s">
        <v>404</v>
      </c>
      <c r="J3905" t="s">
        <v>7718</v>
      </c>
    </row>
    <row r="3906" spans="1:10">
      <c r="A3906" s="1">
        <v>554204</v>
      </c>
      <c r="B3906" s="1">
        <v>7045004891</v>
      </c>
      <c r="C3906" s="1">
        <v>12</v>
      </c>
      <c r="D3906" s="1" t="s">
        <v>417</v>
      </c>
      <c r="E3906" t="s">
        <v>7685</v>
      </c>
      <c r="F3906" s="1">
        <v>33746</v>
      </c>
      <c r="G3906" s="1">
        <v>2620046172</v>
      </c>
      <c r="H3906" s="1">
        <v>12</v>
      </c>
      <c r="I3906" s="1" t="s">
        <v>2214</v>
      </c>
      <c r="J3906" t="s">
        <v>7719</v>
      </c>
    </row>
    <row r="3907" spans="1:10">
      <c r="A3907" s="1">
        <v>706101</v>
      </c>
      <c r="B3907" s="1">
        <v>7045004520</v>
      </c>
      <c r="C3907" s="1">
        <v>24</v>
      </c>
      <c r="D3907" s="1" t="s">
        <v>489</v>
      </c>
      <c r="E3907" t="s">
        <v>7686</v>
      </c>
      <c r="F3907" s="1">
        <v>376772</v>
      </c>
      <c r="G3907" s="1">
        <v>2620046877</v>
      </c>
      <c r="H3907" s="1">
        <v>8</v>
      </c>
      <c r="I3907" s="1" t="s">
        <v>7</v>
      </c>
      <c r="J3907" t="s">
        <v>7720</v>
      </c>
    </row>
    <row r="3908" spans="1:10">
      <c r="A3908" s="1">
        <v>113134</v>
      </c>
      <c r="B3908" s="1">
        <v>7045004220</v>
      </c>
      <c r="C3908" s="1">
        <v>12</v>
      </c>
      <c r="D3908" s="1" t="s">
        <v>489</v>
      </c>
      <c r="E3908" t="s">
        <v>7687</v>
      </c>
      <c r="F3908" s="1">
        <v>679761</v>
      </c>
      <c r="G3908" s="1">
        <v>2620046878</v>
      </c>
      <c r="H3908" s="1">
        <v>6</v>
      </c>
      <c r="I3908" s="1" t="s">
        <v>106</v>
      </c>
      <c r="J3908" t="s">
        <v>7721</v>
      </c>
    </row>
    <row r="3909" spans="1:10">
      <c r="A3909" s="1">
        <v>113159</v>
      </c>
      <c r="B3909" s="1">
        <v>7045004210</v>
      </c>
      <c r="C3909" s="1">
        <v>12</v>
      </c>
      <c r="D3909" s="1" t="s">
        <v>381</v>
      </c>
      <c r="E3909" t="s">
        <v>7687</v>
      </c>
      <c r="F3909" s="1">
        <v>34413</v>
      </c>
      <c r="G3909" s="1">
        <v>2620046378</v>
      </c>
      <c r="H3909" s="1">
        <v>12</v>
      </c>
      <c r="I3909" s="1" t="s">
        <v>394</v>
      </c>
      <c r="J3909" t="s">
        <v>7722</v>
      </c>
    </row>
    <row r="3910" spans="1:10">
      <c r="A3910" s="1">
        <v>393819</v>
      </c>
      <c r="B3910" s="1">
        <v>7045004591</v>
      </c>
      <c r="C3910" s="1">
        <v>12</v>
      </c>
      <c r="D3910" s="1" t="s">
        <v>417</v>
      </c>
      <c r="E3910" t="s">
        <v>7687</v>
      </c>
      <c r="F3910" s="1">
        <v>12583</v>
      </c>
      <c r="G3910" s="1">
        <v>2620046872</v>
      </c>
      <c r="H3910" s="1">
        <v>12</v>
      </c>
      <c r="I3910" s="1" t="s">
        <v>2214</v>
      </c>
      <c r="J3910" t="s">
        <v>7723</v>
      </c>
    </row>
    <row r="3911" spans="1:10">
      <c r="A3911" s="1">
        <v>113340</v>
      </c>
      <c r="B3911" s="1">
        <v>7045004441</v>
      </c>
      <c r="C3911" s="1">
        <v>12</v>
      </c>
      <c r="D3911" s="1" t="s">
        <v>404</v>
      </c>
      <c r="E3911" t="s">
        <v>7687</v>
      </c>
      <c r="F3911" s="1">
        <v>33399</v>
      </c>
      <c r="G3911" s="1">
        <v>2620046078</v>
      </c>
      <c r="H3911" s="1">
        <v>12</v>
      </c>
      <c r="I3911" s="1" t="s">
        <v>365</v>
      </c>
      <c r="J3911" t="s">
        <v>7724</v>
      </c>
    </row>
    <row r="3912" spans="1:10">
      <c r="A3912" s="1">
        <v>117549</v>
      </c>
      <c r="B3912" s="1">
        <v>2900007996</v>
      </c>
      <c r="C3912" s="1">
        <v>12</v>
      </c>
      <c r="D3912" s="1" t="s">
        <v>404</v>
      </c>
      <c r="E3912" t="s">
        <v>7688</v>
      </c>
      <c r="F3912" s="1">
        <v>33530</v>
      </c>
      <c r="G3912" s="1">
        <v>2620046772</v>
      </c>
      <c r="H3912" s="1">
        <v>12</v>
      </c>
      <c r="I3912" s="1" t="s">
        <v>2214</v>
      </c>
      <c r="J3912" t="s">
        <v>7725</v>
      </c>
    </row>
    <row r="3913" spans="1:10">
      <c r="A3913" s="1">
        <v>117564</v>
      </c>
      <c r="B3913" s="1">
        <v>2900007946</v>
      </c>
      <c r="C3913" s="1">
        <v>12</v>
      </c>
      <c r="D3913" s="1" t="s">
        <v>404</v>
      </c>
      <c r="E3913" t="s">
        <v>7689</v>
      </c>
      <c r="F3913" s="1">
        <v>34025</v>
      </c>
      <c r="G3913" s="1">
        <v>1030093321</v>
      </c>
      <c r="H3913" s="1">
        <v>12</v>
      </c>
      <c r="I3913" s="1" t="s">
        <v>489</v>
      </c>
      <c r="J3913" t="s">
        <v>7726</v>
      </c>
    </row>
    <row r="3914" spans="1:10">
      <c r="A3914" s="1">
        <v>113803</v>
      </c>
      <c r="B3914" s="1">
        <v>2900007806</v>
      </c>
      <c r="C3914" s="1">
        <v>12</v>
      </c>
      <c r="D3914" s="1" t="s">
        <v>417</v>
      </c>
      <c r="E3914" t="s">
        <v>7690</v>
      </c>
      <c r="F3914" s="1">
        <v>553156</v>
      </c>
      <c r="G3914" s="1">
        <v>1030086301</v>
      </c>
      <c r="H3914" s="1">
        <v>12</v>
      </c>
      <c r="I3914" s="1" t="s">
        <v>363</v>
      </c>
      <c r="J3914" t="s">
        <v>7727</v>
      </c>
    </row>
    <row r="3915" spans="1:10">
      <c r="A3915" s="1">
        <v>113811</v>
      </c>
      <c r="B3915" s="1">
        <v>2900007807</v>
      </c>
      <c r="C3915" s="1">
        <v>12</v>
      </c>
      <c r="D3915" s="1" t="s">
        <v>31</v>
      </c>
      <c r="E3915" t="s">
        <v>7691</v>
      </c>
      <c r="F3915" s="1">
        <v>33985</v>
      </c>
      <c r="G3915" s="1">
        <v>1030053621</v>
      </c>
      <c r="H3915" s="1">
        <v>12</v>
      </c>
      <c r="I3915" s="1" t="s">
        <v>489</v>
      </c>
      <c r="J3915" t="s">
        <v>7728</v>
      </c>
    </row>
    <row r="3916" spans="1:10">
      <c r="A3916" s="1">
        <v>446336</v>
      </c>
      <c r="B3916" s="1">
        <v>2900007818</v>
      </c>
      <c r="C3916" s="1">
        <v>12</v>
      </c>
      <c r="D3916" s="1" t="s">
        <v>31</v>
      </c>
      <c r="E3916" t="s">
        <v>7692</v>
      </c>
      <c r="F3916" s="1">
        <v>648634</v>
      </c>
      <c r="G3916" s="1">
        <v>1030083361</v>
      </c>
      <c r="H3916" s="1">
        <v>12</v>
      </c>
      <c r="I3916" s="1" t="s">
        <v>381</v>
      </c>
      <c r="J3916" t="s">
        <v>7729</v>
      </c>
    </row>
    <row r="3917" spans="1:10">
      <c r="A3917" s="1">
        <v>117432</v>
      </c>
      <c r="B3917" s="1">
        <v>2900007026</v>
      </c>
      <c r="C3917" s="1">
        <v>12</v>
      </c>
      <c r="D3917" s="1" t="s">
        <v>381</v>
      </c>
      <c r="E3917" t="s">
        <v>7693</v>
      </c>
      <c r="F3917" s="1">
        <v>566703</v>
      </c>
      <c r="G3917" s="1">
        <v>1030083701</v>
      </c>
      <c r="H3917" s="1">
        <v>12</v>
      </c>
      <c r="I3917" s="1" t="s">
        <v>546</v>
      </c>
      <c r="J3917" t="s">
        <v>7730</v>
      </c>
    </row>
    <row r="3918" spans="1:10">
      <c r="A3918" s="1">
        <v>112755</v>
      </c>
      <c r="B3918" s="1">
        <v>2900007002</v>
      </c>
      <c r="C3918" s="1">
        <v>12</v>
      </c>
      <c r="D3918" s="1" t="s">
        <v>404</v>
      </c>
      <c r="E3918" t="s">
        <v>7693</v>
      </c>
      <c r="F3918" s="1">
        <v>34066</v>
      </c>
      <c r="G3918" s="1">
        <v>1030033601</v>
      </c>
      <c r="H3918" s="1">
        <v>12</v>
      </c>
      <c r="I3918" s="1" t="s">
        <v>363</v>
      </c>
      <c r="J3918" t="s">
        <v>7731</v>
      </c>
    </row>
    <row r="3919" spans="1:10">
      <c r="A3919" s="1">
        <v>113779</v>
      </c>
      <c r="B3919" s="1">
        <v>2900007855</v>
      </c>
      <c r="C3919" s="1">
        <v>12</v>
      </c>
      <c r="D3919" s="1" t="s">
        <v>31</v>
      </c>
      <c r="E3919" t="s">
        <v>7694</v>
      </c>
      <c r="F3919" s="1">
        <v>34280</v>
      </c>
      <c r="G3919" s="1">
        <v>1030080879</v>
      </c>
      <c r="H3919" s="1">
        <v>6</v>
      </c>
      <c r="I3919" s="1" t="s">
        <v>360</v>
      </c>
      <c r="J3919" t="s">
        <v>7732</v>
      </c>
    </row>
    <row r="3920" spans="1:10">
      <c r="A3920" s="1">
        <v>112730</v>
      </c>
      <c r="B3920" s="1">
        <v>2900007003</v>
      </c>
      <c r="C3920" s="1">
        <v>12</v>
      </c>
      <c r="D3920" s="1" t="s">
        <v>404</v>
      </c>
      <c r="E3920" t="s">
        <v>7695</v>
      </c>
      <c r="F3920" s="1">
        <v>687764</v>
      </c>
      <c r="G3920" s="1">
        <v>1030083821</v>
      </c>
      <c r="H3920" s="1">
        <v>12</v>
      </c>
      <c r="I3920" s="1" t="s">
        <v>381</v>
      </c>
      <c r="J3920" t="s">
        <v>7733</v>
      </c>
    </row>
    <row r="3921" spans="1:10">
      <c r="A3921" s="1">
        <v>114116</v>
      </c>
      <c r="B3921" s="1">
        <v>2900007856</v>
      </c>
      <c r="C3921" s="1">
        <v>12</v>
      </c>
      <c r="D3921" s="1" t="s">
        <v>31</v>
      </c>
      <c r="E3921" t="s">
        <v>7696</v>
      </c>
      <c r="F3921" s="1">
        <v>410688</v>
      </c>
      <c r="G3921" s="1">
        <v>1030080621</v>
      </c>
      <c r="H3921" s="1">
        <v>9</v>
      </c>
      <c r="I3921" s="1" t="s">
        <v>381</v>
      </c>
      <c r="J3921" t="s">
        <v>7734</v>
      </c>
    </row>
    <row r="3922" spans="1:10">
      <c r="A3922" s="1">
        <v>113837</v>
      </c>
      <c r="B3922" s="1">
        <v>2900007812</v>
      </c>
      <c r="C3922" s="1">
        <v>12</v>
      </c>
      <c r="D3922" s="1" t="s">
        <v>31</v>
      </c>
      <c r="E3922" t="s">
        <v>7697</v>
      </c>
      <c r="F3922" s="1">
        <v>65060</v>
      </c>
      <c r="G3922" s="1">
        <v>1030080721</v>
      </c>
      <c r="H3922" s="1">
        <v>9</v>
      </c>
      <c r="I3922" s="1" t="s">
        <v>381</v>
      </c>
      <c r="J3922" t="s">
        <v>7735</v>
      </c>
    </row>
    <row r="3923" spans="1:10">
      <c r="A3923" s="1">
        <v>113266</v>
      </c>
      <c r="B3923" s="1">
        <v>2900007066</v>
      </c>
      <c r="C3923" s="1">
        <v>12</v>
      </c>
      <c r="D3923" s="1" t="s">
        <v>404</v>
      </c>
      <c r="E3923" t="s">
        <v>7698</v>
      </c>
      <c r="F3923" s="1">
        <v>863993</v>
      </c>
      <c r="G3923" s="1">
        <v>1030010279</v>
      </c>
      <c r="H3923" s="1">
        <v>6</v>
      </c>
      <c r="I3923" s="1" t="s">
        <v>394</v>
      </c>
      <c r="J3923" t="s">
        <v>7736</v>
      </c>
    </row>
    <row r="3924" spans="1:10">
      <c r="A3924" s="1">
        <v>113019</v>
      </c>
      <c r="B3924" s="1">
        <v>2900007067</v>
      </c>
      <c r="C3924" s="1">
        <v>12</v>
      </c>
      <c r="D3924" s="1" t="s">
        <v>404</v>
      </c>
      <c r="E3924" t="s">
        <v>7699</v>
      </c>
      <c r="F3924" s="1">
        <v>242891</v>
      </c>
      <c r="G3924" s="1">
        <v>1030093621</v>
      </c>
      <c r="H3924" s="1">
        <v>12</v>
      </c>
      <c r="I3924" s="1" t="s">
        <v>489</v>
      </c>
      <c r="J3924" t="s">
        <v>7737</v>
      </c>
    </row>
    <row r="3925" spans="1:10">
      <c r="A3925" s="1">
        <v>114603</v>
      </c>
      <c r="B3925" s="1">
        <v>2900007802</v>
      </c>
      <c r="C3925" s="1">
        <v>12</v>
      </c>
      <c r="D3925" s="1" t="s">
        <v>2629</v>
      </c>
      <c r="E3925" t="s">
        <v>7700</v>
      </c>
      <c r="F3925" s="1">
        <v>435925</v>
      </c>
      <c r="G3925" s="1">
        <v>1030033301</v>
      </c>
      <c r="H3925" s="1">
        <v>12</v>
      </c>
      <c r="I3925" s="1" t="s">
        <v>363</v>
      </c>
      <c r="J3925" t="s">
        <v>7738</v>
      </c>
    </row>
    <row r="3926" spans="1:10">
      <c r="A3926" s="1">
        <v>114736</v>
      </c>
      <c r="B3926" s="1">
        <v>2900007803</v>
      </c>
      <c r="C3926" s="1">
        <v>12</v>
      </c>
      <c r="D3926" s="1" t="s">
        <v>2629</v>
      </c>
      <c r="E3926" t="s">
        <v>7701</v>
      </c>
      <c r="F3926" s="1">
        <v>85050</v>
      </c>
      <c r="G3926" s="1">
        <v>1030088434</v>
      </c>
      <c r="H3926" s="1">
        <v>6</v>
      </c>
      <c r="I3926" s="1" t="s">
        <v>796</v>
      </c>
      <c r="J3926" t="s">
        <v>7739</v>
      </c>
    </row>
    <row r="3927" spans="1:10" ht="15.75">
      <c r="A3927" s="4" t="s">
        <v>10796</v>
      </c>
      <c r="B3927" s="2"/>
      <c r="C3927" s="2"/>
      <c r="D3927" s="2"/>
      <c r="E3927" s="3"/>
      <c r="F3927" s="1">
        <v>278994</v>
      </c>
      <c r="G3927" s="1">
        <v>1030088934</v>
      </c>
      <c r="H3927" s="1">
        <v>6</v>
      </c>
      <c r="I3927" s="1" t="s">
        <v>796</v>
      </c>
      <c r="J3927" t="s">
        <v>7740</v>
      </c>
    </row>
    <row r="3928" spans="1:10">
      <c r="A3928" s="2" t="s">
        <v>0</v>
      </c>
      <c r="B3928" s="2" t="s">
        <v>1</v>
      </c>
      <c r="C3928" s="2" t="s">
        <v>2</v>
      </c>
      <c r="D3928" s="2" t="s">
        <v>3</v>
      </c>
      <c r="E3928" s="3" t="s">
        <v>4</v>
      </c>
      <c r="F3928" s="1">
        <v>34033</v>
      </c>
      <c r="G3928" s="1">
        <v>1030093301</v>
      </c>
      <c r="H3928" s="1">
        <v>12</v>
      </c>
      <c r="I3928" s="1" t="s">
        <v>489</v>
      </c>
      <c r="J3928" t="s">
        <v>7741</v>
      </c>
    </row>
    <row r="3929" spans="1:10">
      <c r="A3929" s="1">
        <v>34579</v>
      </c>
      <c r="B3929" s="1">
        <v>4157001590</v>
      </c>
      <c r="C3929" s="1">
        <v>12</v>
      </c>
      <c r="D3929" s="1" t="s">
        <v>404</v>
      </c>
      <c r="E3929" t="s">
        <v>7702</v>
      </c>
      <c r="F3929" s="1">
        <v>712737</v>
      </c>
      <c r="G3929" s="1">
        <v>7299204002</v>
      </c>
      <c r="H3929" s="1">
        <v>12</v>
      </c>
      <c r="I3929" s="1" t="s">
        <v>14</v>
      </c>
      <c r="J3929" t="s">
        <v>7742</v>
      </c>
    </row>
    <row r="3930" spans="1:10">
      <c r="A3930" s="1">
        <v>578096</v>
      </c>
      <c r="B3930" s="1">
        <v>4157005371</v>
      </c>
      <c r="C3930" s="1">
        <v>6</v>
      </c>
      <c r="D3930" s="1" t="s">
        <v>399</v>
      </c>
      <c r="E3930" t="s">
        <v>7703</v>
      </c>
      <c r="F3930" s="1">
        <v>448142</v>
      </c>
      <c r="G3930" s="1">
        <v>2900001200</v>
      </c>
      <c r="H3930" s="1">
        <v>6</v>
      </c>
      <c r="I3930" s="1" t="s">
        <v>358</v>
      </c>
      <c r="J3930" t="s">
        <v>7743</v>
      </c>
    </row>
    <row r="3931" spans="1:10">
      <c r="A3931" s="1">
        <v>26310</v>
      </c>
      <c r="B3931" s="1">
        <v>4157005379</v>
      </c>
      <c r="C3931" s="1">
        <v>6</v>
      </c>
      <c r="D3931" s="1" t="s">
        <v>7704</v>
      </c>
      <c r="E3931" t="s">
        <v>7705</v>
      </c>
      <c r="F3931" s="1">
        <v>712760</v>
      </c>
      <c r="G3931" s="1">
        <v>2900001024</v>
      </c>
      <c r="H3931" s="1">
        <v>12</v>
      </c>
      <c r="I3931" s="1" t="s">
        <v>796</v>
      </c>
      <c r="J3931" t="s">
        <v>7744</v>
      </c>
    </row>
    <row r="3932" spans="1:10">
      <c r="A3932" s="1">
        <v>562116</v>
      </c>
      <c r="B3932" s="1">
        <v>4157005232</v>
      </c>
      <c r="C3932" s="1">
        <v>12</v>
      </c>
      <c r="D3932" s="1" t="s">
        <v>404</v>
      </c>
      <c r="E3932" t="s">
        <v>7706</v>
      </c>
      <c r="F3932" s="1">
        <v>118547</v>
      </c>
      <c r="G3932" s="1">
        <v>2900007036</v>
      </c>
      <c r="H3932" s="1">
        <v>12</v>
      </c>
      <c r="I3932" s="1" t="s">
        <v>5321</v>
      </c>
      <c r="J3932" t="s">
        <v>7745</v>
      </c>
    </row>
    <row r="3933" spans="1:10">
      <c r="A3933" s="1">
        <v>562108</v>
      </c>
      <c r="B3933" s="1">
        <v>4157005234</v>
      </c>
      <c r="C3933" s="1">
        <v>12</v>
      </c>
      <c r="D3933" s="1" t="s">
        <v>404</v>
      </c>
      <c r="E3933" t="s">
        <v>7707</v>
      </c>
      <c r="F3933" s="1">
        <v>113993</v>
      </c>
      <c r="G3933" s="1">
        <v>2900007037</v>
      </c>
      <c r="H3933" s="1">
        <v>12</v>
      </c>
      <c r="I3933" s="1" t="s">
        <v>5321</v>
      </c>
      <c r="J3933" t="s">
        <v>7746</v>
      </c>
    </row>
    <row r="3934" spans="1:10">
      <c r="A3934" s="1">
        <v>34637</v>
      </c>
      <c r="B3934" s="1">
        <v>4157002970</v>
      </c>
      <c r="C3934" s="1">
        <v>12</v>
      </c>
      <c r="D3934" s="1" t="s">
        <v>404</v>
      </c>
      <c r="E3934" t="s">
        <v>7708</v>
      </c>
      <c r="F3934" s="1">
        <v>163618</v>
      </c>
      <c r="G3934" s="1">
        <v>2900001156</v>
      </c>
      <c r="H3934" s="1">
        <v>12</v>
      </c>
      <c r="I3934" s="1" t="s">
        <v>4491</v>
      </c>
      <c r="J3934" t="s">
        <v>7747</v>
      </c>
    </row>
    <row r="3935" spans="1:10">
      <c r="A3935" s="1">
        <v>34702</v>
      </c>
      <c r="B3935" s="1">
        <v>4157000383</v>
      </c>
      <c r="C3935" s="1">
        <v>12</v>
      </c>
      <c r="D3935" s="1" t="s">
        <v>404</v>
      </c>
      <c r="E3935" t="s">
        <v>7709</v>
      </c>
      <c r="F3935" s="1">
        <v>414789</v>
      </c>
      <c r="G3935" s="1">
        <v>2900001155</v>
      </c>
      <c r="H3935" s="1">
        <v>12</v>
      </c>
      <c r="I3935" s="1" t="s">
        <v>4491</v>
      </c>
      <c r="J3935" t="s">
        <v>7748</v>
      </c>
    </row>
    <row r="3936" spans="1:10">
      <c r="A3936" s="1">
        <v>273789</v>
      </c>
      <c r="B3936" s="1">
        <v>4157005397</v>
      </c>
      <c r="C3936" s="1">
        <v>12</v>
      </c>
      <c r="D3936" s="1" t="s">
        <v>365</v>
      </c>
      <c r="E3936" t="s">
        <v>7710</v>
      </c>
      <c r="F3936" s="1">
        <v>351759</v>
      </c>
      <c r="G3936" s="1">
        <v>2900001236</v>
      </c>
      <c r="H3936" s="1">
        <v>12</v>
      </c>
      <c r="I3936" s="1" t="s">
        <v>358</v>
      </c>
      <c r="J3936" t="s">
        <v>7749</v>
      </c>
    </row>
    <row r="3937" spans="1:10" ht="15.75">
      <c r="A3937" s="4" t="s">
        <v>10796</v>
      </c>
      <c r="B3937" s="2"/>
      <c r="C3937" s="2"/>
      <c r="D3937" s="2"/>
      <c r="E3937" s="3"/>
      <c r="F3937" s="4" t="s">
        <v>10796</v>
      </c>
      <c r="G3937" s="2"/>
      <c r="H3937" s="2"/>
      <c r="I3937" s="2"/>
      <c r="J3937" s="3"/>
    </row>
    <row r="3938" spans="1:10">
      <c r="A3938" s="2" t="s">
        <v>0</v>
      </c>
      <c r="B3938" s="2" t="s">
        <v>1</v>
      </c>
      <c r="C3938" s="2" t="s">
        <v>2</v>
      </c>
      <c r="D3938" s="2" t="s">
        <v>3</v>
      </c>
      <c r="E3938" s="3" t="s">
        <v>4</v>
      </c>
      <c r="F3938" s="2" t="s">
        <v>0</v>
      </c>
      <c r="G3938" s="2" t="s">
        <v>1</v>
      </c>
      <c r="H3938" s="2" t="s">
        <v>2</v>
      </c>
      <c r="I3938" s="2" t="s">
        <v>3</v>
      </c>
      <c r="J3938" s="3" t="s">
        <v>4</v>
      </c>
    </row>
    <row r="3939" spans="1:10">
      <c r="A3939" s="1">
        <v>547349</v>
      </c>
      <c r="B3939" s="1">
        <v>2900001143</v>
      </c>
      <c r="C3939" s="1">
        <v>12</v>
      </c>
      <c r="D3939" s="1" t="s">
        <v>358</v>
      </c>
      <c r="E3939" t="s">
        <v>7750</v>
      </c>
      <c r="F3939" s="1">
        <v>113795</v>
      </c>
      <c r="G3939" s="1">
        <v>2900007324</v>
      </c>
      <c r="H3939" s="1">
        <v>12</v>
      </c>
      <c r="I3939" s="1" t="s">
        <v>381</v>
      </c>
      <c r="J3939" t="s">
        <v>7786</v>
      </c>
    </row>
    <row r="3940" spans="1:10">
      <c r="A3940" s="1">
        <v>21873</v>
      </c>
      <c r="B3940" s="1">
        <v>2900001142</v>
      </c>
      <c r="C3940" s="1">
        <v>12</v>
      </c>
      <c r="D3940" s="1" t="s">
        <v>465</v>
      </c>
      <c r="E3940" t="s">
        <v>7751</v>
      </c>
      <c r="F3940" s="1">
        <v>113845</v>
      </c>
      <c r="G3940" s="1">
        <v>2900007874</v>
      </c>
      <c r="H3940" s="1">
        <v>12</v>
      </c>
      <c r="I3940" s="1" t="s">
        <v>812</v>
      </c>
      <c r="J3940" t="s">
        <v>7787</v>
      </c>
    </row>
    <row r="3941" spans="1:10">
      <c r="A3941" s="1">
        <v>113787</v>
      </c>
      <c r="B3941" s="1">
        <v>2900007325</v>
      </c>
      <c r="C3941" s="1">
        <v>12</v>
      </c>
      <c r="D3941" s="1" t="s">
        <v>381</v>
      </c>
      <c r="E3941" t="s">
        <v>7752</v>
      </c>
      <c r="F3941" s="1">
        <v>500835</v>
      </c>
      <c r="G3941" s="1">
        <v>7520000700</v>
      </c>
      <c r="H3941" s="1">
        <v>24</v>
      </c>
      <c r="I3941" s="1" t="s">
        <v>910</v>
      </c>
      <c r="J3941" t="s">
        <v>7788</v>
      </c>
    </row>
    <row r="3942" spans="1:10">
      <c r="A3942" s="1">
        <v>116004</v>
      </c>
      <c r="B3942" s="1">
        <v>2900007880</v>
      </c>
      <c r="C3942" s="1">
        <v>12</v>
      </c>
      <c r="D3942" s="1" t="s">
        <v>404</v>
      </c>
      <c r="E3942" t="s">
        <v>7753</v>
      </c>
      <c r="F3942" s="1">
        <v>15438</v>
      </c>
      <c r="G3942" s="1">
        <v>1116611141</v>
      </c>
      <c r="H3942" s="1">
        <v>12</v>
      </c>
      <c r="I3942" s="1" t="s">
        <v>546</v>
      </c>
      <c r="J3942" t="s">
        <v>7789</v>
      </c>
    </row>
    <row r="3943" spans="1:10">
      <c r="A3943" s="1">
        <v>299552</v>
      </c>
      <c r="B3943" s="1">
        <v>2900001322</v>
      </c>
      <c r="C3943" s="1">
        <v>9</v>
      </c>
      <c r="D3943" s="1" t="s">
        <v>812</v>
      </c>
      <c r="E3943" t="s">
        <v>7754</v>
      </c>
      <c r="F3943" s="1">
        <v>110890</v>
      </c>
      <c r="G3943" s="1">
        <v>1116611089</v>
      </c>
      <c r="H3943" s="1">
        <v>12</v>
      </c>
      <c r="I3943" s="1" t="s">
        <v>489</v>
      </c>
      <c r="J3943" t="s">
        <v>7790</v>
      </c>
    </row>
    <row r="3944" spans="1:10">
      <c r="A3944" s="1">
        <v>124255</v>
      </c>
      <c r="B3944" s="1">
        <v>2900001321</v>
      </c>
      <c r="C3944" s="1">
        <v>9</v>
      </c>
      <c r="D3944" s="1" t="s">
        <v>489</v>
      </c>
      <c r="E3944" t="s">
        <v>7755</v>
      </c>
      <c r="F3944" s="1">
        <v>15479</v>
      </c>
      <c r="G3944" s="1">
        <v>1116611446</v>
      </c>
      <c r="H3944" s="1">
        <v>12</v>
      </c>
      <c r="I3944" s="1" t="s">
        <v>546</v>
      </c>
      <c r="J3944" t="s">
        <v>7791</v>
      </c>
    </row>
    <row r="3945" spans="1:10">
      <c r="A3945" s="1">
        <v>278622</v>
      </c>
      <c r="B3945" s="1">
        <v>2900001319</v>
      </c>
      <c r="C3945" s="1">
        <v>9</v>
      </c>
      <c r="D3945" s="1" t="s">
        <v>363</v>
      </c>
      <c r="E3945" t="s">
        <v>7756</v>
      </c>
      <c r="F3945" s="1">
        <v>110601</v>
      </c>
      <c r="G3945" s="1">
        <v>1116611060</v>
      </c>
      <c r="H3945" s="1">
        <v>12</v>
      </c>
      <c r="I3945" s="1" t="s">
        <v>347</v>
      </c>
      <c r="J3945" t="s">
        <v>7792</v>
      </c>
    </row>
    <row r="3946" spans="1:10">
      <c r="A3946" s="1">
        <v>867366</v>
      </c>
      <c r="B3946" s="1">
        <v>2900001320</v>
      </c>
      <c r="C3946" s="1">
        <v>9</v>
      </c>
      <c r="D3946" s="1" t="s">
        <v>489</v>
      </c>
      <c r="E3946" t="s">
        <v>7757</v>
      </c>
      <c r="F3946" s="1">
        <v>113514</v>
      </c>
      <c r="G3946" s="1">
        <v>1116611351</v>
      </c>
      <c r="H3946" s="1">
        <v>12</v>
      </c>
      <c r="I3946" s="1" t="s">
        <v>381</v>
      </c>
      <c r="J3946" t="s">
        <v>7793</v>
      </c>
    </row>
    <row r="3947" spans="1:10">
      <c r="A3947" s="1">
        <v>712794</v>
      </c>
      <c r="B3947" s="1">
        <v>2900001002</v>
      </c>
      <c r="C3947" s="1">
        <v>12</v>
      </c>
      <c r="D3947" s="1" t="s">
        <v>381</v>
      </c>
      <c r="E3947" t="s">
        <v>7758</v>
      </c>
      <c r="F3947" s="1">
        <v>113563</v>
      </c>
      <c r="G3947" s="1">
        <v>1116611356</v>
      </c>
      <c r="H3947" s="1">
        <v>12</v>
      </c>
      <c r="I3947" s="1" t="s">
        <v>489</v>
      </c>
      <c r="J3947" t="s">
        <v>7794</v>
      </c>
    </row>
    <row r="3948" spans="1:10">
      <c r="A3948" s="1">
        <v>112748</v>
      </c>
      <c r="B3948" s="1">
        <v>2900007650</v>
      </c>
      <c r="C3948" s="1">
        <v>12</v>
      </c>
      <c r="D3948" s="1" t="s">
        <v>381</v>
      </c>
      <c r="E3948" t="s">
        <v>7759</v>
      </c>
      <c r="F3948" s="1">
        <v>113936</v>
      </c>
      <c r="G3948" s="1">
        <v>1116611393</v>
      </c>
      <c r="H3948" s="1">
        <v>12</v>
      </c>
      <c r="I3948" s="1" t="s">
        <v>465</v>
      </c>
      <c r="J3948" t="s">
        <v>7795</v>
      </c>
    </row>
    <row r="3949" spans="1:10">
      <c r="A3949" s="1">
        <v>712802</v>
      </c>
      <c r="B3949" s="1">
        <v>2900001021</v>
      </c>
      <c r="C3949" s="1">
        <v>12</v>
      </c>
      <c r="D3949" s="1" t="s">
        <v>796</v>
      </c>
      <c r="E3949" t="s">
        <v>7760</v>
      </c>
      <c r="F3949" s="1">
        <v>110908</v>
      </c>
      <c r="G3949" s="1">
        <v>1116611090</v>
      </c>
      <c r="H3949" s="1">
        <v>12</v>
      </c>
      <c r="I3949" s="1" t="s">
        <v>347</v>
      </c>
      <c r="J3949" t="s">
        <v>7796</v>
      </c>
    </row>
    <row r="3950" spans="1:10">
      <c r="A3950" s="1">
        <v>112722</v>
      </c>
      <c r="B3950" s="1">
        <v>2900007260</v>
      </c>
      <c r="C3950" s="1">
        <v>12</v>
      </c>
      <c r="D3950" s="1" t="s">
        <v>7761</v>
      </c>
      <c r="E3950" t="s">
        <v>7762</v>
      </c>
      <c r="F3950" s="1">
        <v>110916</v>
      </c>
      <c r="G3950" s="1">
        <v>1116611091</v>
      </c>
      <c r="H3950" s="1">
        <v>12</v>
      </c>
      <c r="I3950" s="1" t="s">
        <v>489</v>
      </c>
      <c r="J3950" t="s">
        <v>7797</v>
      </c>
    </row>
    <row r="3951" spans="1:10">
      <c r="A3951" s="1">
        <v>113555</v>
      </c>
      <c r="B3951" s="1">
        <v>2900007367</v>
      </c>
      <c r="C3951" s="1">
        <v>12</v>
      </c>
      <c r="D3951" s="1" t="s">
        <v>465</v>
      </c>
      <c r="E3951" t="s">
        <v>7763</v>
      </c>
      <c r="F3951" s="1">
        <v>110767</v>
      </c>
      <c r="G3951" s="1">
        <v>1116611076</v>
      </c>
      <c r="H3951" s="1">
        <v>12</v>
      </c>
      <c r="I3951" s="1" t="s">
        <v>347</v>
      </c>
      <c r="J3951" t="s">
        <v>7798</v>
      </c>
    </row>
    <row r="3952" spans="1:10">
      <c r="A3952" s="1">
        <v>112771</v>
      </c>
      <c r="B3952" s="1">
        <v>2900007184</v>
      </c>
      <c r="C3952" s="1">
        <v>12</v>
      </c>
      <c r="D3952" s="1" t="s">
        <v>703</v>
      </c>
      <c r="E3952" t="s">
        <v>7764</v>
      </c>
      <c r="F3952" s="1">
        <v>110817</v>
      </c>
      <c r="G3952" s="1">
        <v>1116611081</v>
      </c>
      <c r="H3952" s="1">
        <v>12</v>
      </c>
      <c r="I3952" s="1" t="s">
        <v>381</v>
      </c>
      <c r="J3952" t="s">
        <v>7798</v>
      </c>
    </row>
    <row r="3953" spans="1:10">
      <c r="A3953" s="1">
        <v>113241</v>
      </c>
      <c r="B3953" s="1">
        <v>2900007370</v>
      </c>
      <c r="C3953" s="1">
        <v>12</v>
      </c>
      <c r="D3953" s="1" t="s">
        <v>703</v>
      </c>
      <c r="E3953" t="s">
        <v>7765</v>
      </c>
      <c r="F3953" s="1">
        <v>110833</v>
      </c>
      <c r="G3953" s="1">
        <v>1116611083</v>
      </c>
      <c r="H3953" s="1">
        <v>12</v>
      </c>
      <c r="I3953" s="1" t="s">
        <v>381</v>
      </c>
      <c r="J3953" t="s">
        <v>7799</v>
      </c>
    </row>
    <row r="3954" spans="1:10">
      <c r="A3954" s="1">
        <v>560573</v>
      </c>
      <c r="B3954" s="1">
        <v>2900005957</v>
      </c>
      <c r="C3954" s="1">
        <v>12</v>
      </c>
      <c r="D3954" s="1" t="s">
        <v>812</v>
      </c>
      <c r="E3954" t="s">
        <v>7766</v>
      </c>
      <c r="F3954" s="1">
        <v>110577</v>
      </c>
      <c r="G3954" s="1">
        <v>1116611057</v>
      </c>
      <c r="H3954" s="1">
        <v>12</v>
      </c>
      <c r="I3954" s="1" t="s">
        <v>347</v>
      </c>
      <c r="J3954" t="s">
        <v>7800</v>
      </c>
    </row>
    <row r="3955" spans="1:10">
      <c r="A3955" s="1">
        <v>878280</v>
      </c>
      <c r="B3955" s="1">
        <v>2900001149</v>
      </c>
      <c r="C3955" s="1">
        <v>12</v>
      </c>
      <c r="D3955" s="1" t="s">
        <v>5321</v>
      </c>
      <c r="E3955" t="s">
        <v>7767</v>
      </c>
      <c r="F3955" s="1">
        <v>110841</v>
      </c>
      <c r="G3955" s="1">
        <v>1116611084</v>
      </c>
      <c r="H3955" s="1">
        <v>12</v>
      </c>
      <c r="I3955" s="1" t="s">
        <v>381</v>
      </c>
      <c r="J3955" t="s">
        <v>7801</v>
      </c>
    </row>
    <row r="3956" spans="1:10">
      <c r="A3956" s="1">
        <v>758433</v>
      </c>
      <c r="B3956" s="1">
        <v>2900001246</v>
      </c>
      <c r="C3956" s="1">
        <v>12</v>
      </c>
      <c r="D3956" s="1" t="s">
        <v>546</v>
      </c>
      <c r="E3956" t="s">
        <v>7768</v>
      </c>
      <c r="F3956" s="1">
        <v>751743</v>
      </c>
      <c r="G3956" s="1">
        <v>2840007111</v>
      </c>
      <c r="H3956" s="1">
        <v>10</v>
      </c>
      <c r="I3956" s="1" t="s">
        <v>796</v>
      </c>
      <c r="J3956" t="s">
        <v>7802</v>
      </c>
    </row>
    <row r="3957" spans="1:10">
      <c r="A3957" s="1">
        <v>116152</v>
      </c>
      <c r="B3957" s="1">
        <v>2900007418</v>
      </c>
      <c r="C3957" s="1">
        <v>12</v>
      </c>
      <c r="D3957" s="1" t="s">
        <v>489</v>
      </c>
      <c r="E3957" t="s">
        <v>7769</v>
      </c>
      <c r="F3957" s="1">
        <v>551986</v>
      </c>
      <c r="G3957" s="1">
        <v>2840007110</v>
      </c>
      <c r="H3957" s="1">
        <v>10</v>
      </c>
      <c r="I3957" s="1" t="s">
        <v>796</v>
      </c>
      <c r="J3957" t="s">
        <v>7803</v>
      </c>
    </row>
    <row r="3958" spans="1:10">
      <c r="A3958" s="1">
        <v>113167</v>
      </c>
      <c r="B3958" s="1">
        <v>2900007212</v>
      </c>
      <c r="C3958" s="1">
        <v>12</v>
      </c>
      <c r="D3958" s="1" t="s">
        <v>347</v>
      </c>
      <c r="E3958" t="s">
        <v>7770</v>
      </c>
      <c r="F3958" s="1">
        <v>365445</v>
      </c>
      <c r="G3958" s="1">
        <v>2840007109</v>
      </c>
      <c r="H3958" s="1">
        <v>10</v>
      </c>
      <c r="I3958" s="1" t="s">
        <v>796</v>
      </c>
      <c r="J3958" t="s">
        <v>7804</v>
      </c>
    </row>
    <row r="3959" spans="1:10">
      <c r="A3959" s="1">
        <v>113175</v>
      </c>
      <c r="B3959" s="1">
        <v>2900007210</v>
      </c>
      <c r="C3959" s="1">
        <v>12</v>
      </c>
      <c r="D3959" s="1" t="s">
        <v>381</v>
      </c>
      <c r="E3959" t="s">
        <v>7770</v>
      </c>
      <c r="F3959" s="1">
        <v>842039</v>
      </c>
      <c r="G3959" s="1">
        <v>2840007413</v>
      </c>
      <c r="H3959" s="1">
        <v>8</v>
      </c>
      <c r="I3959" s="1" t="s">
        <v>419</v>
      </c>
      <c r="J3959" t="s">
        <v>7805</v>
      </c>
    </row>
    <row r="3960" spans="1:10" ht="15.75">
      <c r="A3960" s="1">
        <v>113027</v>
      </c>
      <c r="B3960" s="1">
        <v>2900007215</v>
      </c>
      <c r="C3960" s="1">
        <v>12</v>
      </c>
      <c r="D3960" s="1" t="s">
        <v>439</v>
      </c>
      <c r="E3960" t="s">
        <v>7770</v>
      </c>
      <c r="F3960" s="4" t="s">
        <v>10797</v>
      </c>
      <c r="G3960" s="2"/>
      <c r="H3960" s="2"/>
      <c r="I3960" s="2"/>
      <c r="J3960" s="3"/>
    </row>
    <row r="3961" spans="1:10">
      <c r="A3961" s="1">
        <v>112912</v>
      </c>
      <c r="B3961" s="1">
        <v>2900007220</v>
      </c>
      <c r="C3961" s="1">
        <v>12</v>
      </c>
      <c r="D3961" s="1" t="s">
        <v>465</v>
      </c>
      <c r="E3961" t="s">
        <v>7770</v>
      </c>
      <c r="F3961" s="2" t="s">
        <v>0</v>
      </c>
      <c r="G3961" s="2" t="s">
        <v>1</v>
      </c>
      <c r="H3961" s="2" t="s">
        <v>2</v>
      </c>
      <c r="I3961" s="2" t="s">
        <v>3</v>
      </c>
      <c r="J3961" s="3" t="s">
        <v>4</v>
      </c>
    </row>
    <row r="3962" spans="1:10">
      <c r="A3962" s="1">
        <v>113720</v>
      </c>
      <c r="B3962" s="1">
        <v>2900007318</v>
      </c>
      <c r="C3962" s="1">
        <v>12</v>
      </c>
      <c r="D3962" s="1" t="s">
        <v>347</v>
      </c>
      <c r="E3962" t="s">
        <v>7771</v>
      </c>
      <c r="F3962" s="1">
        <v>99721</v>
      </c>
      <c r="G3962" s="1">
        <v>5250005055</v>
      </c>
      <c r="H3962" s="1">
        <v>12</v>
      </c>
      <c r="I3962" s="1" t="s">
        <v>1189</v>
      </c>
      <c r="J3962" t="s">
        <v>7806</v>
      </c>
    </row>
    <row r="3963" spans="1:10">
      <c r="A3963" s="1">
        <v>113704</v>
      </c>
      <c r="B3963" s="1">
        <v>2900007326</v>
      </c>
      <c r="C3963" s="1">
        <v>12</v>
      </c>
      <c r="D3963" s="1" t="s">
        <v>399</v>
      </c>
      <c r="E3963" t="s">
        <v>7771</v>
      </c>
      <c r="F3963" s="1">
        <v>98814</v>
      </c>
      <c r="G3963" s="1">
        <v>5250006003</v>
      </c>
      <c r="H3963" s="1">
        <v>4</v>
      </c>
      <c r="I3963" s="1" t="s">
        <v>1188</v>
      </c>
      <c r="J3963" t="s">
        <v>7807</v>
      </c>
    </row>
    <row r="3964" spans="1:10">
      <c r="A3964" s="1">
        <v>117994</v>
      </c>
      <c r="B3964" s="1">
        <v>2900007280</v>
      </c>
      <c r="C3964" s="1">
        <v>12</v>
      </c>
      <c r="D3964" s="1" t="s">
        <v>347</v>
      </c>
      <c r="E3964" t="s">
        <v>7772</v>
      </c>
      <c r="F3964" s="1">
        <v>98251</v>
      </c>
      <c r="G3964" s="1">
        <v>5250005002</v>
      </c>
      <c r="H3964" s="1">
        <v>12</v>
      </c>
      <c r="I3964" s="1" t="s">
        <v>1191</v>
      </c>
      <c r="J3964" t="s">
        <v>7807</v>
      </c>
    </row>
    <row r="3965" spans="1:10">
      <c r="A3965" s="1">
        <v>112763</v>
      </c>
      <c r="B3965" s="1">
        <v>2900007185</v>
      </c>
      <c r="C3965" s="1">
        <v>12</v>
      </c>
      <c r="D3965" s="1" t="s">
        <v>347</v>
      </c>
      <c r="E3965" t="s">
        <v>7773</v>
      </c>
      <c r="F3965" s="1">
        <v>98285</v>
      </c>
      <c r="G3965" s="1">
        <v>5250005005</v>
      </c>
      <c r="H3965" s="1">
        <v>12</v>
      </c>
      <c r="I3965" s="1" t="s">
        <v>1189</v>
      </c>
      <c r="J3965" t="s">
        <v>7807</v>
      </c>
    </row>
    <row r="3966" spans="1:10">
      <c r="A3966" s="1">
        <v>118000</v>
      </c>
      <c r="B3966" s="1">
        <v>2900007906</v>
      </c>
      <c r="C3966" s="1">
        <v>12</v>
      </c>
      <c r="D3966" s="1" t="s">
        <v>742</v>
      </c>
      <c r="E3966" t="s">
        <v>7774</v>
      </c>
      <c r="F3966" s="1">
        <v>98228</v>
      </c>
      <c r="G3966" s="1">
        <v>5250005001</v>
      </c>
      <c r="H3966" s="1">
        <v>12</v>
      </c>
      <c r="I3966" s="1" t="s">
        <v>1197</v>
      </c>
      <c r="J3966" t="s">
        <v>7807</v>
      </c>
    </row>
    <row r="3967" spans="1:10">
      <c r="A3967" s="1">
        <v>115162</v>
      </c>
      <c r="B3967" s="1">
        <v>2900007250</v>
      </c>
      <c r="C3967" s="1">
        <v>12</v>
      </c>
      <c r="D3967" s="1" t="s">
        <v>489</v>
      </c>
      <c r="E3967" t="s">
        <v>7775</v>
      </c>
      <c r="F3967" s="1">
        <v>98798</v>
      </c>
      <c r="G3967" s="1">
        <v>5250005009</v>
      </c>
      <c r="H3967" s="1">
        <v>12</v>
      </c>
      <c r="I3967" s="1" t="s">
        <v>7808</v>
      </c>
      <c r="J3967" t="s">
        <v>7809</v>
      </c>
    </row>
    <row r="3968" spans="1:10">
      <c r="A3968" s="1">
        <v>113696</v>
      </c>
      <c r="B3968" s="1">
        <v>2900007345</v>
      </c>
      <c r="C3968" s="1">
        <v>12</v>
      </c>
      <c r="D3968" s="1" t="s">
        <v>381</v>
      </c>
      <c r="E3968" t="s">
        <v>7776</v>
      </c>
      <c r="F3968" s="1">
        <v>99523</v>
      </c>
      <c r="G3968" s="1">
        <v>5250005102</v>
      </c>
      <c r="H3968" s="1">
        <v>12</v>
      </c>
      <c r="I3968" s="1" t="s">
        <v>1191</v>
      </c>
      <c r="J3968" t="s">
        <v>7810</v>
      </c>
    </row>
    <row r="3969" spans="1:10">
      <c r="A3969" s="1">
        <v>712752</v>
      </c>
      <c r="B3969" s="1">
        <v>2900001022</v>
      </c>
      <c r="C3969" s="1">
        <v>12</v>
      </c>
      <c r="D3969" s="1" t="s">
        <v>796</v>
      </c>
      <c r="E3969" t="s">
        <v>7777</v>
      </c>
      <c r="F3969" s="1">
        <v>98186</v>
      </c>
      <c r="G3969" s="1">
        <v>5250005785</v>
      </c>
      <c r="H3969" s="1">
        <v>12</v>
      </c>
      <c r="I3969" s="1" t="s">
        <v>1189</v>
      </c>
      <c r="J3969" t="s">
        <v>7811</v>
      </c>
    </row>
    <row r="3970" spans="1:10">
      <c r="A3970" s="1">
        <v>117341</v>
      </c>
      <c r="B3970" s="1">
        <v>2900007774</v>
      </c>
      <c r="C3970" s="1">
        <v>12</v>
      </c>
      <c r="D3970" s="1" t="s">
        <v>381</v>
      </c>
      <c r="E3970" t="s">
        <v>7778</v>
      </c>
      <c r="F3970" s="1">
        <v>712083</v>
      </c>
      <c r="G3970" s="1">
        <v>4800121392</v>
      </c>
      <c r="H3970" s="1">
        <v>12</v>
      </c>
      <c r="I3970" s="1" t="s">
        <v>7812</v>
      </c>
      <c r="J3970" t="s">
        <v>7813</v>
      </c>
    </row>
    <row r="3971" spans="1:10">
      <c r="A3971" s="1">
        <v>712810</v>
      </c>
      <c r="B3971" s="1">
        <v>2900001023</v>
      </c>
      <c r="C3971" s="1">
        <v>12</v>
      </c>
      <c r="D3971" s="1" t="s">
        <v>404</v>
      </c>
      <c r="E3971" t="s">
        <v>7779</v>
      </c>
      <c r="F3971" s="1">
        <v>712109</v>
      </c>
      <c r="G3971" s="1">
        <v>4800121358</v>
      </c>
      <c r="H3971" s="1">
        <v>12</v>
      </c>
      <c r="I3971" s="1" t="s">
        <v>7812</v>
      </c>
      <c r="J3971" t="s">
        <v>7814</v>
      </c>
    </row>
    <row r="3972" spans="1:10">
      <c r="A3972" s="1">
        <v>35311</v>
      </c>
      <c r="B3972" s="1">
        <v>2900007108</v>
      </c>
      <c r="C3972" s="1">
        <v>12</v>
      </c>
      <c r="D3972" s="1" t="s">
        <v>6270</v>
      </c>
      <c r="E3972" t="s">
        <v>7780</v>
      </c>
      <c r="F3972" s="1">
        <v>536615</v>
      </c>
      <c r="G3972" s="1">
        <v>4800102582</v>
      </c>
      <c r="H3972" s="1">
        <v>12</v>
      </c>
      <c r="I3972" s="1" t="s">
        <v>7815</v>
      </c>
      <c r="J3972" t="s">
        <v>7814</v>
      </c>
    </row>
    <row r="3973" spans="1:10">
      <c r="A3973" s="1">
        <v>35279</v>
      </c>
      <c r="B3973" s="1">
        <v>2900007115</v>
      </c>
      <c r="C3973" s="1">
        <v>12</v>
      </c>
      <c r="D3973" s="1" t="s">
        <v>6270</v>
      </c>
      <c r="E3973" t="s">
        <v>7781</v>
      </c>
      <c r="F3973" s="1">
        <v>712067</v>
      </c>
      <c r="G3973" s="1">
        <v>4800121344</v>
      </c>
      <c r="H3973" s="1">
        <v>12</v>
      </c>
      <c r="I3973" s="1" t="s">
        <v>2826</v>
      </c>
      <c r="J3973" t="s">
        <v>7816</v>
      </c>
    </row>
    <row r="3974" spans="1:10">
      <c r="A3974" s="1">
        <v>115493</v>
      </c>
      <c r="B3974" s="1">
        <v>2900007157</v>
      </c>
      <c r="C3974" s="1">
        <v>12</v>
      </c>
      <c r="D3974" s="1" t="s">
        <v>360</v>
      </c>
      <c r="E3974" t="s">
        <v>7782</v>
      </c>
      <c r="F3974" s="1">
        <v>283796</v>
      </c>
      <c r="G3974" s="1">
        <v>4800102589</v>
      </c>
      <c r="H3974" s="1">
        <v>12</v>
      </c>
      <c r="I3974" s="1" t="s">
        <v>7817</v>
      </c>
      <c r="J3974" t="s">
        <v>7816</v>
      </c>
    </row>
    <row r="3975" spans="1:10">
      <c r="A3975" s="1">
        <v>113688</v>
      </c>
      <c r="B3975" s="1">
        <v>2900007337</v>
      </c>
      <c r="C3975" s="1">
        <v>12</v>
      </c>
      <c r="D3975" s="1" t="s">
        <v>4491</v>
      </c>
      <c r="E3975" t="s">
        <v>7783</v>
      </c>
      <c r="F3975" s="1">
        <v>145862</v>
      </c>
      <c r="G3975" s="1">
        <v>4800102598</v>
      </c>
      <c r="H3975" s="1">
        <v>12</v>
      </c>
      <c r="I3975" s="1" t="s">
        <v>7504</v>
      </c>
      <c r="J3975" t="s">
        <v>7818</v>
      </c>
    </row>
    <row r="3976" spans="1:10">
      <c r="A3976" s="1">
        <v>164319</v>
      </c>
      <c r="B3976" s="1">
        <v>2900001218</v>
      </c>
      <c r="C3976" s="1">
        <v>12</v>
      </c>
      <c r="D3976" s="1" t="s">
        <v>397</v>
      </c>
      <c r="E3976" t="s">
        <v>7784</v>
      </c>
      <c r="F3976" s="1">
        <v>783035</v>
      </c>
      <c r="G3976" s="1">
        <v>4800120436</v>
      </c>
      <c r="H3976" s="1">
        <v>12</v>
      </c>
      <c r="I3976" s="1" t="s">
        <v>7812</v>
      </c>
      <c r="J3976" t="s">
        <v>7819</v>
      </c>
    </row>
    <row r="3977" spans="1:10">
      <c r="A3977" s="1">
        <v>115899</v>
      </c>
      <c r="B3977" s="1">
        <v>2900007862</v>
      </c>
      <c r="C3977" s="1">
        <v>12</v>
      </c>
      <c r="D3977" s="1" t="s">
        <v>404</v>
      </c>
      <c r="E3977" t="s">
        <v>7785</v>
      </c>
      <c r="F3977" s="1">
        <v>712117</v>
      </c>
      <c r="G3977" s="1">
        <v>4800121348</v>
      </c>
      <c r="H3977" s="1">
        <v>15</v>
      </c>
      <c r="I3977" s="1" t="s">
        <v>7812</v>
      </c>
      <c r="J3977" t="s">
        <v>7820</v>
      </c>
    </row>
    <row r="3978" spans="1:10" ht="15.75">
      <c r="A3978" s="4" t="s">
        <v>10797</v>
      </c>
      <c r="B3978" s="2"/>
      <c r="C3978" s="2"/>
      <c r="D3978" s="2"/>
      <c r="E3978" s="3"/>
      <c r="F3978" s="4" t="s">
        <v>10798</v>
      </c>
      <c r="G3978" s="2"/>
      <c r="H3978" s="2"/>
      <c r="I3978" s="2"/>
      <c r="J3978" s="3"/>
    </row>
    <row r="3979" spans="1:10">
      <c r="A3979" s="2" t="s">
        <v>0</v>
      </c>
      <c r="B3979" s="2" t="s">
        <v>1</v>
      </c>
      <c r="C3979" s="2" t="s">
        <v>2</v>
      </c>
      <c r="D3979" s="2" t="s">
        <v>3</v>
      </c>
      <c r="E3979" s="3" t="s">
        <v>4</v>
      </c>
      <c r="F3979" s="2" t="s">
        <v>0</v>
      </c>
      <c r="G3979" s="2" t="s">
        <v>1</v>
      </c>
      <c r="H3979" s="2" t="s">
        <v>2</v>
      </c>
      <c r="I3979" s="2" t="s">
        <v>3</v>
      </c>
      <c r="J3979" s="3" t="s">
        <v>4</v>
      </c>
    </row>
    <row r="3980" spans="1:10">
      <c r="A3980" s="1">
        <v>283978</v>
      </c>
      <c r="B3980" s="1">
        <v>4800102581</v>
      </c>
      <c r="C3980" s="1">
        <v>12</v>
      </c>
      <c r="D3980" s="1" t="s">
        <v>7815</v>
      </c>
      <c r="E3980" t="s">
        <v>7820</v>
      </c>
      <c r="F3980" s="1">
        <v>99184</v>
      </c>
      <c r="G3980" s="1">
        <v>2100064509</v>
      </c>
      <c r="H3980" s="1">
        <v>12</v>
      </c>
      <c r="I3980" s="1" t="s">
        <v>7808</v>
      </c>
      <c r="J3980" t="s">
        <v>7849</v>
      </c>
    </row>
    <row r="3981" spans="1:10">
      <c r="A3981" s="1">
        <v>874768</v>
      </c>
      <c r="B3981" s="1">
        <v>4800102595</v>
      </c>
      <c r="C3981" s="1">
        <v>12</v>
      </c>
      <c r="D3981" s="1" t="s">
        <v>7504</v>
      </c>
      <c r="E3981" t="s">
        <v>7821</v>
      </c>
      <c r="F3981" s="1">
        <v>388009</v>
      </c>
      <c r="G3981" s="1">
        <v>2100064700</v>
      </c>
      <c r="H3981" s="1">
        <v>4</v>
      </c>
      <c r="I3981" s="1" t="s">
        <v>1188</v>
      </c>
      <c r="J3981" t="s">
        <v>7850</v>
      </c>
    </row>
    <row r="3982" spans="1:10">
      <c r="A3982" s="1">
        <v>712141</v>
      </c>
      <c r="B3982" s="1">
        <v>4800126524</v>
      </c>
      <c r="C3982" s="1">
        <v>12</v>
      </c>
      <c r="D3982" s="1" t="s">
        <v>1200</v>
      </c>
      <c r="E3982" t="s">
        <v>7822</v>
      </c>
      <c r="F3982" s="1">
        <v>99044</v>
      </c>
      <c r="G3982" s="1">
        <v>2100064504</v>
      </c>
      <c r="H3982" s="1">
        <v>12</v>
      </c>
      <c r="I3982" s="1" t="s">
        <v>1191</v>
      </c>
      <c r="J3982" t="s">
        <v>7850</v>
      </c>
    </row>
    <row r="3983" spans="1:10">
      <c r="A3983" s="1">
        <v>712075</v>
      </c>
      <c r="B3983" s="1">
        <v>4800121338</v>
      </c>
      <c r="C3983" s="1">
        <v>12</v>
      </c>
      <c r="D3983" s="1" t="s">
        <v>2826</v>
      </c>
      <c r="E3983" t="s">
        <v>7823</v>
      </c>
      <c r="F3983" s="1">
        <v>99200</v>
      </c>
      <c r="G3983" s="1">
        <v>2100064514</v>
      </c>
      <c r="H3983" s="1">
        <v>6</v>
      </c>
      <c r="I3983" s="1" t="s">
        <v>865</v>
      </c>
      <c r="J3983" t="s">
        <v>7850</v>
      </c>
    </row>
    <row r="3984" spans="1:10">
      <c r="A3984" s="1">
        <v>878884</v>
      </c>
      <c r="B3984" s="1">
        <v>4800102613</v>
      </c>
      <c r="C3984" s="1">
        <v>12</v>
      </c>
      <c r="D3984" s="1" t="s">
        <v>7817</v>
      </c>
      <c r="E3984" t="s">
        <v>7823</v>
      </c>
      <c r="F3984" s="1">
        <v>387472</v>
      </c>
      <c r="G3984" s="1">
        <v>2100064515</v>
      </c>
      <c r="H3984" s="1">
        <v>6</v>
      </c>
      <c r="I3984" s="1" t="s">
        <v>3087</v>
      </c>
      <c r="J3984" t="s">
        <v>7850</v>
      </c>
    </row>
    <row r="3985" spans="1:10">
      <c r="A3985" s="1">
        <v>712091</v>
      </c>
      <c r="B3985" s="1">
        <v>4800121354</v>
      </c>
      <c r="C3985" s="1">
        <v>12</v>
      </c>
      <c r="D3985" s="1" t="s">
        <v>7812</v>
      </c>
      <c r="E3985" t="s">
        <v>7824</v>
      </c>
      <c r="F3985" s="1">
        <v>99002</v>
      </c>
      <c r="G3985" s="1">
        <v>2100064501</v>
      </c>
      <c r="H3985" s="1">
        <v>12</v>
      </c>
      <c r="I3985" s="1" t="s">
        <v>1197</v>
      </c>
      <c r="J3985" t="s">
        <v>7850</v>
      </c>
    </row>
    <row r="3986" spans="1:10">
      <c r="A3986" s="1">
        <v>712059</v>
      </c>
      <c r="B3986" s="1">
        <v>4800121340</v>
      </c>
      <c r="C3986" s="1">
        <v>12</v>
      </c>
      <c r="D3986" s="1" t="s">
        <v>2826</v>
      </c>
      <c r="E3986" t="s">
        <v>7825</v>
      </c>
      <c r="F3986" s="1">
        <v>99085</v>
      </c>
      <c r="G3986" s="1">
        <v>2100064511</v>
      </c>
      <c r="H3986" s="1">
        <v>12</v>
      </c>
      <c r="I3986" s="1" t="s">
        <v>1189</v>
      </c>
      <c r="J3986" t="s">
        <v>7851</v>
      </c>
    </row>
    <row r="3987" spans="1:10">
      <c r="A3987" s="1">
        <v>98525</v>
      </c>
      <c r="B3987" s="1">
        <v>4800126504</v>
      </c>
      <c r="C3987" s="1">
        <v>12</v>
      </c>
      <c r="D3987" s="1" t="s">
        <v>1197</v>
      </c>
      <c r="E3987" t="s">
        <v>7826</v>
      </c>
      <c r="F3987" s="1">
        <v>102863</v>
      </c>
      <c r="G3987" s="1">
        <v>2100064505</v>
      </c>
      <c r="H3987" s="1">
        <v>12</v>
      </c>
      <c r="I3987" s="1" t="s">
        <v>1191</v>
      </c>
      <c r="J3987" t="s">
        <v>7852</v>
      </c>
    </row>
    <row r="3988" spans="1:10">
      <c r="A3988" s="1">
        <v>98954</v>
      </c>
      <c r="B3988" s="1">
        <v>2100064507</v>
      </c>
      <c r="C3988" s="1">
        <v>12</v>
      </c>
      <c r="D3988" s="1" t="s">
        <v>7808</v>
      </c>
      <c r="E3988" t="s">
        <v>7827</v>
      </c>
      <c r="F3988" s="1">
        <v>102855</v>
      </c>
      <c r="G3988" s="1">
        <v>2100064512</v>
      </c>
      <c r="H3988" s="1">
        <v>12</v>
      </c>
      <c r="I3988" s="1" t="s">
        <v>1189</v>
      </c>
      <c r="J3988" t="s">
        <v>7852</v>
      </c>
    </row>
    <row r="3989" spans="1:10">
      <c r="A3989" s="1">
        <v>763441</v>
      </c>
      <c r="B3989" s="1">
        <v>2100001709</v>
      </c>
      <c r="C3989" s="1">
        <v>12</v>
      </c>
      <c r="D3989" s="1" t="s">
        <v>1189</v>
      </c>
      <c r="E3989" t="s">
        <v>7828</v>
      </c>
      <c r="F3989" s="1">
        <v>98715</v>
      </c>
      <c r="G3989" s="1">
        <v>2100064592</v>
      </c>
      <c r="H3989" s="1">
        <v>12</v>
      </c>
      <c r="I3989" s="1" t="s">
        <v>1189</v>
      </c>
      <c r="J3989" t="s">
        <v>7853</v>
      </c>
    </row>
    <row r="3990" spans="1:10">
      <c r="A3990" s="1">
        <v>196261</v>
      </c>
      <c r="B3990" s="1">
        <v>2100077749</v>
      </c>
      <c r="C3990" s="1">
        <v>12</v>
      </c>
      <c r="D3990" s="1" t="s">
        <v>1189</v>
      </c>
      <c r="E3990" t="s">
        <v>7829</v>
      </c>
      <c r="F3990" s="1">
        <v>99010</v>
      </c>
      <c r="G3990" s="1">
        <v>2100064591</v>
      </c>
      <c r="H3990" s="1">
        <v>12</v>
      </c>
      <c r="I3990" s="1" t="s">
        <v>1191</v>
      </c>
      <c r="J3990" t="s">
        <v>7854</v>
      </c>
    </row>
    <row r="3991" spans="1:10">
      <c r="A3991" s="1">
        <v>420257</v>
      </c>
      <c r="B3991" s="1">
        <v>2100001600</v>
      </c>
      <c r="C3991" s="1">
        <v>12</v>
      </c>
      <c r="D3991" s="1" t="s">
        <v>2557</v>
      </c>
      <c r="E3991" t="s">
        <v>7830</v>
      </c>
      <c r="F3991" s="1">
        <v>97873</v>
      </c>
      <c r="G3991" s="1">
        <v>2100064532</v>
      </c>
      <c r="H3991" s="1">
        <v>12</v>
      </c>
      <c r="I3991" s="1" t="s">
        <v>4819</v>
      </c>
      <c r="J3991" t="s">
        <v>7855</v>
      </c>
    </row>
    <row r="3992" spans="1:10">
      <c r="A3992" s="1">
        <v>98681</v>
      </c>
      <c r="B3992" s="1">
        <v>2100064031</v>
      </c>
      <c r="C3992" s="1">
        <v>12</v>
      </c>
      <c r="D3992" s="1" t="s">
        <v>1191</v>
      </c>
      <c r="E3992" t="s">
        <v>7831</v>
      </c>
      <c r="F3992" s="1">
        <v>98723</v>
      </c>
      <c r="G3992" s="1">
        <v>1116609872</v>
      </c>
      <c r="H3992" s="1">
        <v>12</v>
      </c>
      <c r="I3992" s="1" t="s">
        <v>1191</v>
      </c>
      <c r="J3992" t="s">
        <v>7856</v>
      </c>
    </row>
    <row r="3993" spans="1:10">
      <c r="A3993" s="1">
        <v>98962</v>
      </c>
      <c r="B3993" s="1">
        <v>2100064038</v>
      </c>
      <c r="C3993" s="1">
        <v>12</v>
      </c>
      <c r="D3993" s="1" t="s">
        <v>4819</v>
      </c>
      <c r="E3993" t="s">
        <v>7832</v>
      </c>
      <c r="F3993" s="1">
        <v>98707</v>
      </c>
      <c r="G3993" s="1">
        <v>1116609870</v>
      </c>
      <c r="H3993" s="1">
        <v>12</v>
      </c>
      <c r="I3993" s="1" t="s">
        <v>1197</v>
      </c>
      <c r="J3993" t="s">
        <v>7856</v>
      </c>
    </row>
    <row r="3994" spans="1:10">
      <c r="A3994" s="1">
        <v>838441</v>
      </c>
      <c r="B3994" s="1">
        <v>2100001599</v>
      </c>
      <c r="C3994" s="1">
        <v>12</v>
      </c>
      <c r="D3994" s="1" t="s">
        <v>2557</v>
      </c>
      <c r="E3994" t="s">
        <v>7832</v>
      </c>
      <c r="F3994" s="1">
        <v>98657</v>
      </c>
      <c r="G3994" s="1">
        <v>1116609865</v>
      </c>
      <c r="H3994" s="1">
        <v>12</v>
      </c>
      <c r="I3994" s="1" t="s">
        <v>7808</v>
      </c>
      <c r="J3994" t="s">
        <v>7857</v>
      </c>
    </row>
    <row r="3995" spans="1:10">
      <c r="A3995" s="1">
        <v>266726</v>
      </c>
      <c r="B3995" s="1">
        <v>2100001974</v>
      </c>
      <c r="C3995" s="1">
        <v>12</v>
      </c>
      <c r="D3995" s="1" t="s">
        <v>1189</v>
      </c>
      <c r="E3995" t="s">
        <v>7833</v>
      </c>
      <c r="F3995" s="1">
        <v>98749</v>
      </c>
      <c r="G3995" s="1">
        <v>1116609874</v>
      </c>
      <c r="H3995" s="1">
        <v>12</v>
      </c>
      <c r="I3995" s="1" t="s">
        <v>1189</v>
      </c>
      <c r="J3995" t="s">
        <v>7858</v>
      </c>
    </row>
    <row r="3996" spans="1:10">
      <c r="A3996" s="1">
        <v>712158</v>
      </c>
      <c r="B3996" s="1">
        <v>2100068720</v>
      </c>
      <c r="C3996" s="1">
        <v>12</v>
      </c>
      <c r="D3996" s="1" t="s">
        <v>1189</v>
      </c>
      <c r="E3996" t="s">
        <v>7834</v>
      </c>
      <c r="F3996" s="1">
        <v>17160</v>
      </c>
      <c r="G3996" s="1">
        <v>4113030277</v>
      </c>
      <c r="H3996" s="1">
        <v>12</v>
      </c>
      <c r="I3996" s="1" t="s">
        <v>1189</v>
      </c>
      <c r="J3996" t="s">
        <v>7859</v>
      </c>
    </row>
    <row r="3997" spans="1:10" ht="15.75">
      <c r="A3997" s="1">
        <v>98350</v>
      </c>
      <c r="B3997" s="1">
        <v>2100064218</v>
      </c>
      <c r="C3997" s="1">
        <v>4</v>
      </c>
      <c r="D3997" s="1" t="s">
        <v>1188</v>
      </c>
      <c r="E3997" t="s">
        <v>7835</v>
      </c>
      <c r="F3997" s="4" t="s">
        <v>10799</v>
      </c>
      <c r="G3997" s="2"/>
      <c r="H3997" s="2"/>
      <c r="I3997" s="2"/>
      <c r="J3997" s="3"/>
    </row>
    <row r="3998" spans="1:10">
      <c r="A3998" s="1">
        <v>98426</v>
      </c>
      <c r="B3998" s="1">
        <v>2100064004</v>
      </c>
      <c r="C3998" s="1">
        <v>12</v>
      </c>
      <c r="D3998" s="1" t="s">
        <v>1191</v>
      </c>
      <c r="E3998" t="s">
        <v>7835</v>
      </c>
      <c r="F3998" s="2" t="s">
        <v>0</v>
      </c>
      <c r="G3998" s="2" t="s">
        <v>1</v>
      </c>
      <c r="H3998" s="2" t="s">
        <v>2</v>
      </c>
      <c r="I3998" s="2" t="s">
        <v>3</v>
      </c>
      <c r="J3998" s="3" t="s">
        <v>4</v>
      </c>
    </row>
    <row r="3999" spans="1:10">
      <c r="A3999" s="1">
        <v>98483</v>
      </c>
      <c r="B3999" s="1">
        <v>2100064014</v>
      </c>
      <c r="C3999" s="1">
        <v>6</v>
      </c>
      <c r="D3999" s="1" t="s">
        <v>1200</v>
      </c>
      <c r="E3999" t="s">
        <v>7835</v>
      </c>
      <c r="F3999" s="1">
        <v>99457</v>
      </c>
      <c r="G3999" s="1">
        <v>815590290</v>
      </c>
      <c r="H3999" s="1">
        <v>12</v>
      </c>
      <c r="I3999" s="1" t="s">
        <v>1191</v>
      </c>
      <c r="J3999" t="s">
        <v>7860</v>
      </c>
    </row>
    <row r="4000" spans="1:10">
      <c r="A4000" s="1">
        <v>98368</v>
      </c>
      <c r="B4000" s="1">
        <v>2100064015</v>
      </c>
      <c r="C4000" s="1">
        <v>6</v>
      </c>
      <c r="D4000" s="1" t="s">
        <v>3087</v>
      </c>
      <c r="E4000" t="s">
        <v>7835</v>
      </c>
      <c r="F4000" s="1">
        <v>99499</v>
      </c>
      <c r="G4000" s="1">
        <v>815590292</v>
      </c>
      <c r="H4000" s="1">
        <v>12</v>
      </c>
      <c r="I4000" s="1" t="s">
        <v>1191</v>
      </c>
      <c r="J4000" t="s">
        <v>7861</v>
      </c>
    </row>
    <row r="4001" spans="1:10">
      <c r="A4001" s="1">
        <v>98384</v>
      </c>
      <c r="B4001" s="1">
        <v>2100064001</v>
      </c>
      <c r="C4001" s="1">
        <v>12</v>
      </c>
      <c r="D4001" s="1" t="s">
        <v>1197</v>
      </c>
      <c r="E4001" t="s">
        <v>7835</v>
      </c>
      <c r="F4001" s="1">
        <v>101774</v>
      </c>
      <c r="G4001" s="1">
        <v>4300097868</v>
      </c>
      <c r="H4001" s="1">
        <v>12</v>
      </c>
      <c r="I4001" s="1" t="s">
        <v>108</v>
      </c>
      <c r="J4001" t="s">
        <v>7862</v>
      </c>
    </row>
    <row r="4002" spans="1:10">
      <c r="A4002" s="1">
        <v>102202</v>
      </c>
      <c r="B4002" s="1">
        <v>2100064005</v>
      </c>
      <c r="C4002" s="1">
        <v>12</v>
      </c>
      <c r="D4002" s="1" t="s">
        <v>1191</v>
      </c>
      <c r="E4002" t="s">
        <v>7836</v>
      </c>
      <c r="F4002" s="1">
        <v>101790</v>
      </c>
      <c r="G4002" s="1">
        <v>4300097940</v>
      </c>
      <c r="H4002" s="1">
        <v>48</v>
      </c>
      <c r="I4002" s="1" t="s">
        <v>2644</v>
      </c>
      <c r="J4002" t="s">
        <v>7863</v>
      </c>
    </row>
    <row r="4003" spans="1:10">
      <c r="A4003" s="1">
        <v>803569</v>
      </c>
      <c r="B4003" s="1">
        <v>2100001601</v>
      </c>
      <c r="C4003" s="1">
        <v>12</v>
      </c>
      <c r="D4003" s="1" t="s">
        <v>2557</v>
      </c>
      <c r="E4003" t="s">
        <v>7837</v>
      </c>
      <c r="F4003" s="1">
        <v>101923</v>
      </c>
      <c r="G4003" s="1">
        <v>4300097825</v>
      </c>
      <c r="H4003" s="1">
        <v>24</v>
      </c>
      <c r="I4003" s="1" t="s">
        <v>786</v>
      </c>
      <c r="J4003" t="s">
        <v>7863</v>
      </c>
    </row>
    <row r="4004" spans="1:10">
      <c r="A4004" s="1">
        <v>800136</v>
      </c>
      <c r="B4004" s="1">
        <v>2100001602</v>
      </c>
      <c r="C4004" s="1">
        <v>12</v>
      </c>
      <c r="D4004" s="1" t="s">
        <v>2557</v>
      </c>
      <c r="E4004" t="s">
        <v>7838</v>
      </c>
      <c r="F4004" s="1">
        <v>101378</v>
      </c>
      <c r="G4004" s="1">
        <v>4300097920</v>
      </c>
      <c r="H4004" s="1">
        <v>24</v>
      </c>
      <c r="I4004" s="1" t="s">
        <v>33</v>
      </c>
      <c r="J4004" t="s">
        <v>7864</v>
      </c>
    </row>
    <row r="4005" spans="1:10">
      <c r="A4005" s="1">
        <v>195040</v>
      </c>
      <c r="B4005" s="1">
        <v>2100077742</v>
      </c>
      <c r="C4005" s="1">
        <v>12</v>
      </c>
      <c r="D4005" s="1" t="s">
        <v>1189</v>
      </c>
      <c r="E4005" t="s">
        <v>7839</v>
      </c>
      <c r="F4005" s="1">
        <v>101287</v>
      </c>
      <c r="G4005" s="1">
        <v>4300097903</v>
      </c>
      <c r="H4005" s="1">
        <v>24</v>
      </c>
      <c r="I4005" s="1" t="s">
        <v>2288</v>
      </c>
      <c r="J4005" t="s">
        <v>7865</v>
      </c>
    </row>
    <row r="4006" spans="1:10">
      <c r="A4006" s="1">
        <v>99788</v>
      </c>
      <c r="B4006" s="1">
        <v>2100064900</v>
      </c>
      <c r="C4006" s="1">
        <v>12</v>
      </c>
      <c r="D4006" s="1" t="s">
        <v>4819</v>
      </c>
      <c r="E4006" t="s">
        <v>7840</v>
      </c>
      <c r="F4006" s="1">
        <v>101865</v>
      </c>
      <c r="G4006" s="1">
        <v>7110020005</v>
      </c>
      <c r="H4006" s="1">
        <v>6</v>
      </c>
      <c r="I4006" s="1" t="s">
        <v>397</v>
      </c>
      <c r="J4006" t="s">
        <v>7866</v>
      </c>
    </row>
    <row r="4007" spans="1:10">
      <c r="A4007" s="1">
        <v>103929</v>
      </c>
      <c r="B4007" s="1">
        <v>2100077268</v>
      </c>
      <c r="C4007" s="1">
        <v>12</v>
      </c>
      <c r="D4007" s="1" t="s">
        <v>1191</v>
      </c>
      <c r="E4007" t="s">
        <v>7840</v>
      </c>
      <c r="F4007" s="1">
        <v>100867</v>
      </c>
      <c r="G4007" s="1">
        <v>7110000576</v>
      </c>
      <c r="H4007" s="1">
        <v>12</v>
      </c>
      <c r="I4007" s="1" t="s">
        <v>1197</v>
      </c>
      <c r="J4007" t="s">
        <v>7867</v>
      </c>
    </row>
    <row r="4008" spans="1:10">
      <c r="A4008" s="1">
        <v>34835</v>
      </c>
      <c r="B4008" s="1">
        <v>2100002329</v>
      </c>
      <c r="C4008" s="1">
        <v>12</v>
      </c>
      <c r="D4008" s="1" t="s">
        <v>7808</v>
      </c>
      <c r="E4008" t="s">
        <v>7841</v>
      </c>
      <c r="F4008" s="1">
        <v>16717</v>
      </c>
      <c r="G4008" s="1">
        <v>7110000604</v>
      </c>
      <c r="H4008" s="1">
        <v>6</v>
      </c>
      <c r="I4008" s="1" t="s">
        <v>2557</v>
      </c>
      <c r="J4008" t="s">
        <v>7868</v>
      </c>
    </row>
    <row r="4009" spans="1:10">
      <c r="A4009" s="1">
        <v>98137</v>
      </c>
      <c r="B4009" s="1">
        <v>1116609813</v>
      </c>
      <c r="C4009" s="1">
        <v>4</v>
      </c>
      <c r="D4009" s="1" t="s">
        <v>1188</v>
      </c>
      <c r="E4009" t="s">
        <v>7842</v>
      </c>
      <c r="F4009" s="1">
        <v>99531</v>
      </c>
      <c r="G4009" s="1">
        <v>7110000308</v>
      </c>
      <c r="H4009" s="1">
        <v>6</v>
      </c>
      <c r="I4009" s="1" t="s">
        <v>1191</v>
      </c>
      <c r="J4009" t="s">
        <v>7869</v>
      </c>
    </row>
    <row r="4010" spans="1:10">
      <c r="A4010" s="1">
        <v>98046</v>
      </c>
      <c r="B4010" s="1">
        <v>1116609804</v>
      </c>
      <c r="C4010" s="1">
        <v>12</v>
      </c>
      <c r="D4010" s="1" t="s">
        <v>1191</v>
      </c>
      <c r="E4010" t="s">
        <v>7842</v>
      </c>
      <c r="F4010" s="1">
        <v>102988</v>
      </c>
      <c r="G4010" s="1">
        <v>7110000951</v>
      </c>
      <c r="H4010" s="1">
        <v>6</v>
      </c>
      <c r="I4010" s="1" t="s">
        <v>1191</v>
      </c>
      <c r="J4010" t="s">
        <v>7870</v>
      </c>
    </row>
    <row r="4011" spans="1:10">
      <c r="A4011" s="1">
        <v>98129</v>
      </c>
      <c r="B4011" s="1">
        <v>1116609812</v>
      </c>
      <c r="C4011" s="1">
        <v>12</v>
      </c>
      <c r="D4011" s="1" t="s">
        <v>1189</v>
      </c>
      <c r="E4011" t="s">
        <v>7842</v>
      </c>
      <c r="F4011" s="1">
        <v>712224</v>
      </c>
      <c r="G4011" s="1">
        <v>7110000309</v>
      </c>
      <c r="H4011" s="1">
        <v>6</v>
      </c>
      <c r="I4011" s="1" t="s">
        <v>1191</v>
      </c>
      <c r="J4011" t="s">
        <v>7871</v>
      </c>
    </row>
    <row r="4012" spans="1:10">
      <c r="A4012" s="1">
        <v>98004</v>
      </c>
      <c r="B4012" s="1">
        <v>1116609800</v>
      </c>
      <c r="C4012" s="1">
        <v>12</v>
      </c>
      <c r="D4012" s="1" t="s">
        <v>1197</v>
      </c>
      <c r="E4012" t="s">
        <v>7842</v>
      </c>
      <c r="F4012" s="1">
        <v>692129</v>
      </c>
      <c r="G4012" s="1">
        <v>7110021015</v>
      </c>
      <c r="H4012" s="1">
        <v>6</v>
      </c>
      <c r="I4012" s="1" t="s">
        <v>1190</v>
      </c>
      <c r="J4012" t="s">
        <v>7872</v>
      </c>
    </row>
    <row r="4013" spans="1:10">
      <c r="A4013" s="1">
        <v>98582</v>
      </c>
      <c r="B4013" s="1">
        <v>1116609858</v>
      </c>
      <c r="C4013" s="1">
        <v>12</v>
      </c>
      <c r="D4013" s="1" t="s">
        <v>1189</v>
      </c>
      <c r="E4013" t="s">
        <v>7843</v>
      </c>
      <c r="F4013" s="1">
        <v>101006</v>
      </c>
      <c r="G4013" s="1">
        <v>7110000528</v>
      </c>
      <c r="H4013" s="1">
        <v>12</v>
      </c>
      <c r="I4013" s="1" t="s">
        <v>31</v>
      </c>
      <c r="J4013" t="s">
        <v>7873</v>
      </c>
    </row>
    <row r="4014" spans="1:10">
      <c r="A4014" s="1">
        <v>98103</v>
      </c>
      <c r="B4014" s="1">
        <v>1116609810</v>
      </c>
      <c r="C4014" s="1">
        <v>12</v>
      </c>
      <c r="D4014" s="1" t="s">
        <v>7808</v>
      </c>
      <c r="E4014" t="s">
        <v>7844</v>
      </c>
      <c r="F4014" s="1">
        <v>101428</v>
      </c>
      <c r="G4014" s="1">
        <v>7110000403</v>
      </c>
      <c r="H4014" s="1">
        <v>24</v>
      </c>
      <c r="I4014" s="1" t="s">
        <v>203</v>
      </c>
      <c r="J4014" t="s">
        <v>7874</v>
      </c>
    </row>
    <row r="4015" spans="1:10">
      <c r="A4015" s="1">
        <v>99440</v>
      </c>
      <c r="B4015" s="1">
        <v>1116609944</v>
      </c>
      <c r="C4015" s="1">
        <v>12</v>
      </c>
      <c r="D4015" s="1" t="s">
        <v>1191</v>
      </c>
      <c r="E4015" t="s">
        <v>7845</v>
      </c>
      <c r="F4015" s="1">
        <v>101311</v>
      </c>
      <c r="G4015" s="1">
        <v>7110000443</v>
      </c>
      <c r="H4015" s="1">
        <v>24</v>
      </c>
      <c r="I4015" s="1" t="s">
        <v>203</v>
      </c>
      <c r="J4015" t="s">
        <v>7875</v>
      </c>
    </row>
    <row r="4016" spans="1:10">
      <c r="A4016" s="1">
        <v>99226</v>
      </c>
      <c r="B4016" s="1">
        <v>5250005505</v>
      </c>
      <c r="C4016" s="1">
        <v>12</v>
      </c>
      <c r="D4016" s="1" t="s">
        <v>1189</v>
      </c>
      <c r="E4016" t="s">
        <v>7846</v>
      </c>
      <c r="F4016" s="1">
        <v>100982</v>
      </c>
      <c r="G4016" s="1">
        <v>7110000550</v>
      </c>
      <c r="H4016" s="1">
        <v>12</v>
      </c>
      <c r="I4016" s="1" t="s">
        <v>1197</v>
      </c>
      <c r="J4016" t="s">
        <v>7876</v>
      </c>
    </row>
    <row r="4017" spans="1:10">
      <c r="A4017" s="1">
        <v>17145</v>
      </c>
      <c r="B4017" s="1">
        <v>4113030276</v>
      </c>
      <c r="C4017" s="1">
        <v>12</v>
      </c>
      <c r="D4017" s="1" t="s">
        <v>1189</v>
      </c>
      <c r="E4017" t="s">
        <v>7847</v>
      </c>
      <c r="F4017" s="1">
        <v>16683</v>
      </c>
      <c r="G4017" s="1">
        <v>7110000588</v>
      </c>
      <c r="H4017" s="1">
        <v>6</v>
      </c>
      <c r="I4017" s="1" t="s">
        <v>2557</v>
      </c>
      <c r="J4017" t="s">
        <v>7877</v>
      </c>
    </row>
    <row r="4018" spans="1:10">
      <c r="A4018" s="1">
        <v>533612</v>
      </c>
      <c r="B4018" s="1">
        <v>3377602520</v>
      </c>
      <c r="C4018" s="1">
        <v>12</v>
      </c>
      <c r="D4018" s="1" t="s">
        <v>1191</v>
      </c>
      <c r="E4018" t="s">
        <v>7848</v>
      </c>
      <c r="F4018" s="1">
        <v>100875</v>
      </c>
      <c r="G4018" s="1">
        <v>7110000021</v>
      </c>
      <c r="H4018" s="1">
        <v>6</v>
      </c>
      <c r="I4018" s="1" t="s">
        <v>2601</v>
      </c>
      <c r="J4018" t="s">
        <v>7878</v>
      </c>
    </row>
    <row r="4019" spans="1:10" ht="15.75">
      <c r="A4019" s="4" t="s">
        <v>10799</v>
      </c>
      <c r="B4019" s="2"/>
      <c r="C4019" s="2"/>
      <c r="D4019" s="2"/>
      <c r="E4019" s="3"/>
      <c r="F4019" s="4" t="s">
        <v>10799</v>
      </c>
      <c r="G4019" s="2"/>
      <c r="H4019" s="2"/>
      <c r="I4019" s="2"/>
      <c r="J4019" s="3"/>
    </row>
    <row r="4020" spans="1:10">
      <c r="A4020" s="2" t="s">
        <v>0</v>
      </c>
      <c r="B4020" s="2" t="s">
        <v>1</v>
      </c>
      <c r="C4020" s="2" t="s">
        <v>2</v>
      </c>
      <c r="D4020" s="2" t="s">
        <v>3</v>
      </c>
      <c r="E4020" s="3" t="s">
        <v>4</v>
      </c>
      <c r="F4020" s="2" t="s">
        <v>0</v>
      </c>
      <c r="G4020" s="2" t="s">
        <v>1</v>
      </c>
      <c r="H4020" s="2" t="s">
        <v>2</v>
      </c>
      <c r="I4020" s="2" t="s">
        <v>3</v>
      </c>
      <c r="J4020" s="3" t="s">
        <v>4</v>
      </c>
    </row>
    <row r="4021" spans="1:10">
      <c r="A4021" s="1">
        <v>448647</v>
      </c>
      <c r="B4021" s="1">
        <v>7110000578</v>
      </c>
      <c r="C4021" s="1">
        <v>6</v>
      </c>
      <c r="D4021" s="1" t="s">
        <v>2557</v>
      </c>
      <c r="E4021" t="s">
        <v>7879</v>
      </c>
      <c r="F4021" s="1">
        <v>94474</v>
      </c>
      <c r="G4021" s="1">
        <v>4133533917</v>
      </c>
      <c r="H4021" s="1">
        <v>9</v>
      </c>
      <c r="I4021" s="1" t="s">
        <v>7917</v>
      </c>
      <c r="J4021" t="s">
        <v>7919</v>
      </c>
    </row>
    <row r="4022" spans="1:10">
      <c r="A4022" s="1">
        <v>495531</v>
      </c>
      <c r="B4022" s="1">
        <v>7110028652</v>
      </c>
      <c r="C4022" s="1">
        <v>6</v>
      </c>
      <c r="D4022" s="1" t="s">
        <v>1191</v>
      </c>
      <c r="E4022" t="s">
        <v>7880</v>
      </c>
      <c r="F4022" s="1">
        <v>766949</v>
      </c>
      <c r="G4022" s="1">
        <v>4133533920</v>
      </c>
      <c r="H4022" s="1">
        <v>9</v>
      </c>
      <c r="I4022" s="1" t="s">
        <v>7917</v>
      </c>
      <c r="J4022" t="s">
        <v>7920</v>
      </c>
    </row>
    <row r="4023" spans="1:10">
      <c r="A4023" s="1">
        <v>712232</v>
      </c>
      <c r="B4023" s="1">
        <v>7110000310</v>
      </c>
      <c r="C4023" s="1">
        <v>6</v>
      </c>
      <c r="D4023" s="1" t="s">
        <v>1191</v>
      </c>
      <c r="E4023" t="s">
        <v>7881</v>
      </c>
      <c r="F4023" s="1">
        <v>800888</v>
      </c>
      <c r="G4023" s="1">
        <v>4133533919</v>
      </c>
      <c r="H4023" s="1">
        <v>9</v>
      </c>
      <c r="I4023" s="1" t="s">
        <v>7917</v>
      </c>
      <c r="J4023" t="s">
        <v>7921</v>
      </c>
    </row>
    <row r="4024" spans="1:10">
      <c r="A4024" s="1">
        <v>101329</v>
      </c>
      <c r="B4024" s="1">
        <v>7110000781</v>
      </c>
      <c r="C4024" s="1">
        <v>6</v>
      </c>
      <c r="D4024" s="1" t="s">
        <v>2826</v>
      </c>
      <c r="E4024" t="s">
        <v>7882</v>
      </c>
      <c r="F4024" s="1">
        <v>781864</v>
      </c>
      <c r="G4024" s="1">
        <v>4133533425</v>
      </c>
      <c r="H4024" s="1">
        <v>6</v>
      </c>
      <c r="I4024" s="1" t="s">
        <v>1191</v>
      </c>
      <c r="J4024" t="s">
        <v>7922</v>
      </c>
    </row>
    <row r="4025" spans="1:10">
      <c r="A4025" s="1">
        <v>321596</v>
      </c>
      <c r="B4025" s="1">
        <v>7110028654</v>
      </c>
      <c r="C4025" s="1">
        <v>6</v>
      </c>
      <c r="D4025" s="1" t="s">
        <v>1191</v>
      </c>
      <c r="E4025" t="s">
        <v>7883</v>
      </c>
      <c r="F4025" s="1">
        <v>487991</v>
      </c>
      <c r="G4025" s="1">
        <v>4133500168</v>
      </c>
      <c r="H4025" s="1">
        <v>6</v>
      </c>
      <c r="I4025" s="1" t="s">
        <v>1191</v>
      </c>
      <c r="J4025" t="s">
        <v>7923</v>
      </c>
    </row>
    <row r="4026" spans="1:10">
      <c r="A4026" s="1">
        <v>101816</v>
      </c>
      <c r="B4026" s="1">
        <v>7110000023</v>
      </c>
      <c r="C4026" s="1">
        <v>6</v>
      </c>
      <c r="D4026" s="1" t="s">
        <v>2601</v>
      </c>
      <c r="E4026" t="s">
        <v>7884</v>
      </c>
      <c r="F4026" s="1">
        <v>434092</v>
      </c>
      <c r="G4026" s="1">
        <v>4133533916</v>
      </c>
      <c r="H4026" s="1">
        <v>9</v>
      </c>
      <c r="I4026" s="1" t="s">
        <v>7917</v>
      </c>
      <c r="J4026" t="s">
        <v>7924</v>
      </c>
    </row>
    <row r="4027" spans="1:10">
      <c r="A4027" s="1">
        <v>100883</v>
      </c>
      <c r="B4027" s="1">
        <v>7110000551</v>
      </c>
      <c r="C4027" s="1">
        <v>12</v>
      </c>
      <c r="D4027" s="1" t="s">
        <v>1191</v>
      </c>
      <c r="E4027" t="s">
        <v>7885</v>
      </c>
      <c r="F4027" s="1">
        <v>781872</v>
      </c>
      <c r="G4027" s="1">
        <v>4133533458</v>
      </c>
      <c r="H4027" s="1">
        <v>6</v>
      </c>
      <c r="I4027" s="1" t="s">
        <v>1191</v>
      </c>
      <c r="J4027" t="s">
        <v>7925</v>
      </c>
    </row>
    <row r="4028" spans="1:10">
      <c r="A4028" s="1">
        <v>277392</v>
      </c>
      <c r="B4028" s="1">
        <v>7110000577</v>
      </c>
      <c r="C4028" s="1">
        <v>6</v>
      </c>
      <c r="D4028" s="1" t="s">
        <v>1191</v>
      </c>
      <c r="E4028" t="s">
        <v>7886</v>
      </c>
      <c r="F4028" s="1">
        <v>102830</v>
      </c>
      <c r="G4028" s="1">
        <v>4133500040</v>
      </c>
      <c r="H4028" s="1">
        <v>12</v>
      </c>
      <c r="I4028" s="1" t="s">
        <v>1197</v>
      </c>
      <c r="J4028" t="s">
        <v>7926</v>
      </c>
    </row>
    <row r="4029" spans="1:10">
      <c r="A4029" s="1">
        <v>100693</v>
      </c>
      <c r="B4029" s="1">
        <v>7110000707</v>
      </c>
      <c r="C4029" s="1">
        <v>6</v>
      </c>
      <c r="D4029" s="1" t="s">
        <v>1191</v>
      </c>
      <c r="E4029" t="s">
        <v>7887</v>
      </c>
      <c r="F4029" s="1">
        <v>102806</v>
      </c>
      <c r="G4029" s="1">
        <v>4133500098</v>
      </c>
      <c r="H4029" s="1">
        <v>6</v>
      </c>
      <c r="I4029" s="1" t="s">
        <v>1191</v>
      </c>
      <c r="J4029" t="s">
        <v>7927</v>
      </c>
    </row>
    <row r="4030" spans="1:10">
      <c r="A4030" s="1">
        <v>101303</v>
      </c>
      <c r="B4030" s="1">
        <v>7110000782</v>
      </c>
      <c r="C4030" s="1">
        <v>6</v>
      </c>
      <c r="D4030" s="1" t="s">
        <v>2826</v>
      </c>
      <c r="E4030" t="s">
        <v>7888</v>
      </c>
      <c r="F4030" s="1">
        <v>89680</v>
      </c>
      <c r="G4030" s="1">
        <v>4133500075</v>
      </c>
      <c r="H4030" s="1">
        <v>12</v>
      </c>
      <c r="I4030" s="1" t="s">
        <v>1197</v>
      </c>
      <c r="J4030" t="s">
        <v>7928</v>
      </c>
    </row>
    <row r="4031" spans="1:10">
      <c r="A4031" s="1">
        <v>99291</v>
      </c>
      <c r="B4031" s="1">
        <v>7110000307</v>
      </c>
      <c r="C4031" s="1">
        <v>6</v>
      </c>
      <c r="D4031" s="1" t="s">
        <v>1191</v>
      </c>
      <c r="E4031" t="s">
        <v>7889</v>
      </c>
      <c r="F4031" s="1">
        <v>651471</v>
      </c>
      <c r="G4031" s="1">
        <v>4133500176</v>
      </c>
      <c r="H4031" s="1">
        <v>6</v>
      </c>
      <c r="I4031" s="1" t="s">
        <v>1191</v>
      </c>
      <c r="J4031" t="s">
        <v>7929</v>
      </c>
    </row>
    <row r="4032" spans="1:10">
      <c r="A4032" s="1">
        <v>70110</v>
      </c>
      <c r="B4032" s="1">
        <v>7110021018</v>
      </c>
      <c r="C4032" s="1">
        <v>6</v>
      </c>
      <c r="D4032" s="1" t="s">
        <v>1191</v>
      </c>
      <c r="E4032" t="s">
        <v>7890</v>
      </c>
      <c r="F4032" s="1">
        <v>69831</v>
      </c>
      <c r="G4032" s="1">
        <v>4133500134</v>
      </c>
      <c r="H4032" s="1">
        <v>6</v>
      </c>
      <c r="I4032" s="1" t="s">
        <v>1191</v>
      </c>
      <c r="J4032" t="s">
        <v>7930</v>
      </c>
    </row>
    <row r="4033" spans="1:10">
      <c r="A4033" s="1">
        <v>534859</v>
      </c>
      <c r="B4033" s="1">
        <v>7110021019</v>
      </c>
      <c r="C4033" s="1">
        <v>6</v>
      </c>
      <c r="D4033" s="1" t="s">
        <v>2557</v>
      </c>
      <c r="E4033" t="s">
        <v>7891</v>
      </c>
      <c r="F4033" s="1">
        <v>16584</v>
      </c>
      <c r="G4033" s="1">
        <v>4133533218</v>
      </c>
      <c r="H4033" s="1">
        <v>6</v>
      </c>
      <c r="I4033" s="1" t="s">
        <v>1191</v>
      </c>
      <c r="J4033" t="s">
        <v>7931</v>
      </c>
    </row>
    <row r="4034" spans="1:10">
      <c r="A4034" s="1">
        <v>102400</v>
      </c>
      <c r="B4034" s="1">
        <v>4133500017</v>
      </c>
      <c r="C4034" s="1">
        <v>12</v>
      </c>
      <c r="D4034" s="1" t="s">
        <v>1197</v>
      </c>
      <c r="E4034" t="s">
        <v>7892</v>
      </c>
      <c r="F4034" s="1">
        <v>16485</v>
      </c>
      <c r="G4034" s="1">
        <v>4133533291</v>
      </c>
      <c r="H4034" s="1">
        <v>6</v>
      </c>
      <c r="I4034" s="1" t="s">
        <v>2557</v>
      </c>
      <c r="J4034" t="s">
        <v>7932</v>
      </c>
    </row>
    <row r="4035" spans="1:10">
      <c r="A4035" s="1">
        <v>780403</v>
      </c>
      <c r="B4035" s="1">
        <v>4133500059</v>
      </c>
      <c r="C4035" s="1">
        <v>6</v>
      </c>
      <c r="D4035" s="1" t="s">
        <v>1191</v>
      </c>
      <c r="E4035" t="s">
        <v>7893</v>
      </c>
      <c r="F4035" s="1">
        <v>16477</v>
      </c>
      <c r="G4035" s="1">
        <v>4133500086</v>
      </c>
      <c r="H4035" s="1">
        <v>6</v>
      </c>
      <c r="I4035" s="1" t="s">
        <v>2557</v>
      </c>
      <c r="J4035" t="s">
        <v>7933</v>
      </c>
    </row>
    <row r="4036" spans="1:10">
      <c r="A4036" s="1">
        <v>186429</v>
      </c>
      <c r="B4036" s="1">
        <v>4133533217</v>
      </c>
      <c r="C4036" s="1">
        <v>12</v>
      </c>
      <c r="D4036" s="1" t="s">
        <v>399</v>
      </c>
      <c r="E4036" t="s">
        <v>7894</v>
      </c>
      <c r="F4036" s="1">
        <v>89805</v>
      </c>
      <c r="G4036" s="1">
        <v>4133500173</v>
      </c>
      <c r="H4036" s="1">
        <v>6</v>
      </c>
      <c r="I4036" s="1" t="s">
        <v>2557</v>
      </c>
      <c r="J4036" t="s">
        <v>7934</v>
      </c>
    </row>
    <row r="4037" spans="1:10">
      <c r="A4037" s="1">
        <v>106930</v>
      </c>
      <c r="B4037" s="1">
        <v>4133534290</v>
      </c>
      <c r="C4037" s="1">
        <v>6</v>
      </c>
      <c r="D4037" s="1" t="s">
        <v>1191</v>
      </c>
      <c r="E4037" t="s">
        <v>7895</v>
      </c>
      <c r="F4037" s="1">
        <v>89722</v>
      </c>
      <c r="G4037" s="1">
        <v>4133533292</v>
      </c>
      <c r="H4037" s="1">
        <v>6</v>
      </c>
      <c r="I4037" s="1" t="s">
        <v>2557</v>
      </c>
      <c r="J4037" t="s">
        <v>7935</v>
      </c>
    </row>
    <row r="4038" spans="1:10">
      <c r="A4038" s="1">
        <v>102905</v>
      </c>
      <c r="B4038" s="1">
        <v>4133500129</v>
      </c>
      <c r="C4038" s="1">
        <v>6</v>
      </c>
      <c r="D4038" s="1" t="s">
        <v>1191</v>
      </c>
      <c r="E4038" t="s">
        <v>7896</v>
      </c>
      <c r="F4038" s="1">
        <v>99242</v>
      </c>
      <c r="G4038" s="1">
        <v>2100077519</v>
      </c>
      <c r="H4038" s="1">
        <v>6</v>
      </c>
      <c r="I4038" s="1" t="s">
        <v>1191</v>
      </c>
      <c r="J4038" t="s">
        <v>7936</v>
      </c>
    </row>
    <row r="4039" spans="1:10">
      <c r="A4039" s="1">
        <v>102921</v>
      </c>
      <c r="B4039" s="1">
        <v>4133500127</v>
      </c>
      <c r="C4039" s="1">
        <v>6</v>
      </c>
      <c r="D4039" s="1" t="s">
        <v>1191</v>
      </c>
      <c r="E4039" t="s">
        <v>7897</v>
      </c>
      <c r="F4039" s="1">
        <v>323469</v>
      </c>
      <c r="G4039" s="1">
        <v>2100001409</v>
      </c>
      <c r="H4039" s="1">
        <v>6</v>
      </c>
      <c r="I4039" s="1" t="s">
        <v>1191</v>
      </c>
      <c r="J4039" t="s">
        <v>7937</v>
      </c>
    </row>
    <row r="4040" spans="1:10">
      <c r="A4040" s="1">
        <v>102608</v>
      </c>
      <c r="B4040" s="1">
        <v>4133500021</v>
      </c>
      <c r="C4040" s="1">
        <v>12</v>
      </c>
      <c r="D4040" s="1" t="s">
        <v>1197</v>
      </c>
      <c r="E4040" t="s">
        <v>7898</v>
      </c>
      <c r="F4040" s="1">
        <v>102269</v>
      </c>
      <c r="G4040" s="1">
        <v>2100064679</v>
      </c>
      <c r="H4040" s="1">
        <v>12</v>
      </c>
      <c r="I4040" s="1" t="s">
        <v>1197</v>
      </c>
      <c r="J4040" t="s">
        <v>7938</v>
      </c>
    </row>
    <row r="4041" spans="1:10">
      <c r="A4041" s="1">
        <v>102590</v>
      </c>
      <c r="B4041" s="1">
        <v>4133500027</v>
      </c>
      <c r="C4041" s="1">
        <v>12</v>
      </c>
      <c r="D4041" s="1" t="s">
        <v>1197</v>
      </c>
      <c r="E4041" t="s">
        <v>7899</v>
      </c>
      <c r="F4041" s="1">
        <v>99945</v>
      </c>
      <c r="G4041" s="1">
        <v>2100064453</v>
      </c>
      <c r="H4041" s="1">
        <v>12</v>
      </c>
      <c r="I4041" s="1" t="s">
        <v>1197</v>
      </c>
      <c r="J4041" t="s">
        <v>7939</v>
      </c>
    </row>
    <row r="4042" spans="1:10">
      <c r="A4042" s="1">
        <v>106138</v>
      </c>
      <c r="B4042" s="1">
        <v>4133500074</v>
      </c>
      <c r="C4042" s="1">
        <v>12</v>
      </c>
      <c r="D4042" s="1" t="s">
        <v>1197</v>
      </c>
      <c r="E4042" t="s">
        <v>7900</v>
      </c>
      <c r="F4042" s="1">
        <v>102624</v>
      </c>
      <c r="G4042" s="1">
        <v>2100064276</v>
      </c>
      <c r="H4042" s="1">
        <v>6</v>
      </c>
      <c r="I4042" s="1" t="s">
        <v>1191</v>
      </c>
      <c r="J4042" t="s">
        <v>7940</v>
      </c>
    </row>
    <row r="4043" spans="1:10">
      <c r="A4043" s="1">
        <v>102939</v>
      </c>
      <c r="B4043" s="1">
        <v>4133500061</v>
      </c>
      <c r="C4043" s="1">
        <v>6</v>
      </c>
      <c r="D4043" s="1" t="s">
        <v>1191</v>
      </c>
      <c r="E4043" t="s">
        <v>7901</v>
      </c>
      <c r="F4043" s="1">
        <v>99978</v>
      </c>
      <c r="G4043" s="1">
        <v>2100064446</v>
      </c>
      <c r="H4043" s="1">
        <v>6</v>
      </c>
      <c r="I4043" s="1" t="s">
        <v>1191</v>
      </c>
      <c r="J4043" t="s">
        <v>7941</v>
      </c>
    </row>
    <row r="4044" spans="1:10">
      <c r="A4044" s="1">
        <v>102426</v>
      </c>
      <c r="B4044" s="1">
        <v>4133500013</v>
      </c>
      <c r="C4044" s="1">
        <v>12</v>
      </c>
      <c r="D4044" s="1" t="s">
        <v>1197</v>
      </c>
      <c r="E4044" t="s">
        <v>7902</v>
      </c>
      <c r="F4044" s="1">
        <v>100107</v>
      </c>
      <c r="G4044" s="1">
        <v>2100064406</v>
      </c>
      <c r="H4044" s="1">
        <v>12</v>
      </c>
      <c r="I4044" s="1" t="s">
        <v>1197</v>
      </c>
      <c r="J4044" t="s">
        <v>7942</v>
      </c>
    </row>
    <row r="4045" spans="1:10">
      <c r="A4045" s="1">
        <v>362749</v>
      </c>
      <c r="B4045" s="1">
        <v>4133500125</v>
      </c>
      <c r="C4045" s="1">
        <v>6</v>
      </c>
      <c r="D4045" s="1" t="s">
        <v>1191</v>
      </c>
      <c r="E4045" t="s">
        <v>7903</v>
      </c>
      <c r="F4045" s="1">
        <v>100115</v>
      </c>
      <c r="G4045" s="1">
        <v>2100064482</v>
      </c>
      <c r="H4045" s="1">
        <v>6</v>
      </c>
      <c r="I4045" s="1" t="s">
        <v>1191</v>
      </c>
      <c r="J4045" t="s">
        <v>7943</v>
      </c>
    </row>
    <row r="4046" spans="1:10">
      <c r="A4046" s="1">
        <v>103002</v>
      </c>
      <c r="B4046" s="1">
        <v>4133500064</v>
      </c>
      <c r="C4046" s="1">
        <v>6</v>
      </c>
      <c r="D4046" s="1" t="s">
        <v>1191</v>
      </c>
      <c r="E4046" t="s">
        <v>7904</v>
      </c>
      <c r="F4046" s="1">
        <v>99705</v>
      </c>
      <c r="G4046" s="1">
        <v>2100064176</v>
      </c>
      <c r="H4046" s="1">
        <v>6</v>
      </c>
      <c r="I4046" s="1" t="s">
        <v>1191</v>
      </c>
      <c r="J4046" t="s">
        <v>7944</v>
      </c>
    </row>
    <row r="4047" spans="1:10">
      <c r="A4047" s="1">
        <v>29678</v>
      </c>
      <c r="B4047" s="1">
        <v>4133516107</v>
      </c>
      <c r="C4047" s="1">
        <v>12</v>
      </c>
      <c r="D4047" s="1" t="s">
        <v>1197</v>
      </c>
      <c r="E4047" t="s">
        <v>7905</v>
      </c>
      <c r="F4047" s="1">
        <v>100271</v>
      </c>
      <c r="G4047" s="1">
        <v>2100064471</v>
      </c>
      <c r="H4047" s="1">
        <v>6</v>
      </c>
      <c r="I4047" s="1" t="s">
        <v>1191</v>
      </c>
      <c r="J4047" t="s">
        <v>7945</v>
      </c>
    </row>
    <row r="4048" spans="1:10">
      <c r="A4048" s="1">
        <v>102095</v>
      </c>
      <c r="B4048" s="1">
        <v>4133516102</v>
      </c>
      <c r="C4048" s="1">
        <v>12</v>
      </c>
      <c r="D4048" s="1" t="s">
        <v>1197</v>
      </c>
      <c r="E4048" t="s">
        <v>7906</v>
      </c>
      <c r="F4048" s="1">
        <v>102632</v>
      </c>
      <c r="G4048" s="1">
        <v>2100064273</v>
      </c>
      <c r="H4048" s="1">
        <v>6</v>
      </c>
      <c r="I4048" s="1" t="s">
        <v>1191</v>
      </c>
      <c r="J4048" t="s">
        <v>7946</v>
      </c>
    </row>
    <row r="4049" spans="1:10">
      <c r="A4049" s="1">
        <v>478552</v>
      </c>
      <c r="B4049" s="1">
        <v>4133500068</v>
      </c>
      <c r="C4049" s="1">
        <v>6</v>
      </c>
      <c r="D4049" s="1" t="s">
        <v>1191</v>
      </c>
      <c r="E4049" t="s">
        <v>7907</v>
      </c>
      <c r="F4049" s="1">
        <v>99879</v>
      </c>
      <c r="G4049" s="1">
        <v>2100064455</v>
      </c>
      <c r="H4049" s="1">
        <v>12</v>
      </c>
      <c r="I4049" s="1" t="s">
        <v>1197</v>
      </c>
      <c r="J4049" t="s">
        <v>7947</v>
      </c>
    </row>
    <row r="4050" spans="1:10">
      <c r="A4050" s="1">
        <v>102350</v>
      </c>
      <c r="B4050" s="1">
        <v>4133500014</v>
      </c>
      <c r="C4050" s="1">
        <v>12</v>
      </c>
      <c r="D4050" s="1" t="s">
        <v>1197</v>
      </c>
      <c r="E4050" t="s">
        <v>7908</v>
      </c>
      <c r="F4050" s="1">
        <v>437137</v>
      </c>
      <c r="G4050" s="1">
        <v>2100064473</v>
      </c>
      <c r="H4050" s="1">
        <v>6</v>
      </c>
      <c r="I4050" s="1" t="s">
        <v>1191</v>
      </c>
      <c r="J4050" t="s">
        <v>7948</v>
      </c>
    </row>
    <row r="4051" spans="1:10">
      <c r="A4051" s="1">
        <v>102665</v>
      </c>
      <c r="B4051" s="1">
        <v>4133516201</v>
      </c>
      <c r="C4051" s="1">
        <v>12</v>
      </c>
      <c r="D4051" s="1" t="s">
        <v>1197</v>
      </c>
      <c r="E4051" t="s">
        <v>7909</v>
      </c>
      <c r="F4051" s="1">
        <v>100834</v>
      </c>
      <c r="G4051" s="1">
        <v>2100064447</v>
      </c>
      <c r="H4051" s="1">
        <v>6</v>
      </c>
      <c r="I4051" s="1" t="s">
        <v>1191</v>
      </c>
      <c r="J4051" t="s">
        <v>7949</v>
      </c>
    </row>
    <row r="4052" spans="1:10">
      <c r="A4052" s="1">
        <v>517052</v>
      </c>
      <c r="B4052" s="1">
        <v>4133500034</v>
      </c>
      <c r="C4052" s="1">
        <v>6</v>
      </c>
      <c r="D4052" s="1" t="s">
        <v>1191</v>
      </c>
      <c r="E4052" t="s">
        <v>7910</v>
      </c>
      <c r="F4052" s="1">
        <v>682518</v>
      </c>
      <c r="G4052" s="1">
        <v>2100064469</v>
      </c>
      <c r="H4052" s="1">
        <v>6</v>
      </c>
      <c r="I4052" s="1" t="s">
        <v>1191</v>
      </c>
      <c r="J4052" t="s">
        <v>7950</v>
      </c>
    </row>
    <row r="4053" spans="1:10">
      <c r="A4053" s="1">
        <v>102848</v>
      </c>
      <c r="B4053" s="1">
        <v>4133500008</v>
      </c>
      <c r="C4053" s="1">
        <v>12</v>
      </c>
      <c r="D4053" s="1" t="s">
        <v>1197</v>
      </c>
      <c r="E4053" t="s">
        <v>7911</v>
      </c>
      <c r="F4053" s="1">
        <v>100081</v>
      </c>
      <c r="G4053" s="1">
        <v>2100064454</v>
      </c>
      <c r="H4053" s="1">
        <v>12</v>
      </c>
      <c r="I4053" s="1" t="s">
        <v>1197</v>
      </c>
      <c r="J4053" t="s">
        <v>7951</v>
      </c>
    </row>
    <row r="4054" spans="1:10">
      <c r="A4054" s="1">
        <v>102889</v>
      </c>
      <c r="B4054" s="1">
        <v>4133500009</v>
      </c>
      <c r="C4054" s="1">
        <v>12</v>
      </c>
      <c r="D4054" s="1" t="s">
        <v>1197</v>
      </c>
      <c r="E4054" t="s">
        <v>7912</v>
      </c>
      <c r="F4054" s="1">
        <v>101600</v>
      </c>
      <c r="G4054" s="1">
        <v>2100064359</v>
      </c>
      <c r="H4054" s="1">
        <v>12</v>
      </c>
      <c r="I4054" s="1" t="s">
        <v>1197</v>
      </c>
      <c r="J4054" t="s">
        <v>7952</v>
      </c>
    </row>
    <row r="4055" spans="1:10">
      <c r="A4055" s="1">
        <v>102897</v>
      </c>
      <c r="B4055" s="1">
        <v>4133500010</v>
      </c>
      <c r="C4055" s="1">
        <v>12</v>
      </c>
      <c r="D4055" s="1" t="s">
        <v>1197</v>
      </c>
      <c r="E4055" t="s">
        <v>7913</v>
      </c>
      <c r="F4055" s="1">
        <v>102640</v>
      </c>
      <c r="G4055" s="1">
        <v>2100064274</v>
      </c>
      <c r="H4055" s="1">
        <v>6</v>
      </c>
      <c r="I4055" s="1" t="s">
        <v>1191</v>
      </c>
      <c r="J4055" t="s">
        <v>7953</v>
      </c>
    </row>
    <row r="4056" spans="1:10">
      <c r="A4056" s="1">
        <v>104596</v>
      </c>
      <c r="B4056" s="1">
        <v>4133500110</v>
      </c>
      <c r="C4056" s="1">
        <v>12</v>
      </c>
      <c r="D4056" s="1" t="s">
        <v>1197</v>
      </c>
      <c r="E4056" t="s">
        <v>7914</v>
      </c>
      <c r="F4056" s="1">
        <v>102343</v>
      </c>
      <c r="G4056" s="1">
        <v>2100064678</v>
      </c>
      <c r="H4056" s="1">
        <v>12</v>
      </c>
      <c r="I4056" s="1" t="s">
        <v>1197</v>
      </c>
      <c r="J4056" t="s">
        <v>7953</v>
      </c>
    </row>
    <row r="4057" spans="1:10">
      <c r="A4057" s="1">
        <v>102681</v>
      </c>
      <c r="B4057" s="1">
        <v>4133500042</v>
      </c>
      <c r="C4057" s="1">
        <v>12</v>
      </c>
      <c r="D4057" s="1" t="s">
        <v>1197</v>
      </c>
      <c r="E4057" t="s">
        <v>7915</v>
      </c>
      <c r="F4057" s="1">
        <v>389882</v>
      </c>
      <c r="G4057" s="1">
        <v>2100064282</v>
      </c>
      <c r="H4057" s="1">
        <v>6</v>
      </c>
      <c r="I4057" s="1" t="s">
        <v>1191</v>
      </c>
      <c r="J4057" t="s">
        <v>7954</v>
      </c>
    </row>
    <row r="4058" spans="1:10">
      <c r="A4058" s="1">
        <v>451351</v>
      </c>
      <c r="B4058" s="1">
        <v>4133500050</v>
      </c>
      <c r="C4058" s="1">
        <v>6</v>
      </c>
      <c r="D4058" s="1" t="s">
        <v>1191</v>
      </c>
      <c r="E4058" t="s">
        <v>7916</v>
      </c>
      <c r="F4058" s="1">
        <v>99929</v>
      </c>
      <c r="G4058" s="1">
        <v>2100064270</v>
      </c>
      <c r="H4058" s="1">
        <v>12</v>
      </c>
      <c r="I4058" s="1" t="s">
        <v>1197</v>
      </c>
      <c r="J4058" t="s">
        <v>7954</v>
      </c>
    </row>
    <row r="4059" spans="1:10">
      <c r="A4059" s="1">
        <v>362483</v>
      </c>
      <c r="B4059" s="1">
        <v>4133533918</v>
      </c>
      <c r="C4059" s="1">
        <v>9</v>
      </c>
      <c r="D4059" s="1" t="s">
        <v>7917</v>
      </c>
      <c r="E4059" t="s">
        <v>7918</v>
      </c>
      <c r="F4059" s="1">
        <v>528893</v>
      </c>
      <c r="G4059" s="1">
        <v>2100064361</v>
      </c>
      <c r="H4059" s="1">
        <v>6</v>
      </c>
      <c r="I4059" s="1" t="s">
        <v>1191</v>
      </c>
      <c r="J4059" t="s">
        <v>7955</v>
      </c>
    </row>
    <row r="4060" spans="1:10" ht="15.75">
      <c r="A4060" s="4" t="s">
        <v>10799</v>
      </c>
      <c r="B4060" s="2"/>
      <c r="C4060" s="2"/>
      <c r="D4060" s="2"/>
      <c r="E4060" s="3"/>
      <c r="F4060" s="4" t="s">
        <v>10799</v>
      </c>
      <c r="G4060" s="2"/>
      <c r="H4060" s="2"/>
      <c r="I4060" s="2"/>
      <c r="J4060" s="3"/>
    </row>
    <row r="4061" spans="1:10">
      <c r="A4061" s="2" t="s">
        <v>0</v>
      </c>
      <c r="B4061" s="2" t="s">
        <v>1</v>
      </c>
      <c r="C4061" s="2" t="s">
        <v>2</v>
      </c>
      <c r="D4061" s="2" t="s">
        <v>3</v>
      </c>
      <c r="E4061" s="3" t="s">
        <v>4</v>
      </c>
      <c r="F4061" s="2" t="s">
        <v>0</v>
      </c>
      <c r="G4061" s="2" t="s">
        <v>1</v>
      </c>
      <c r="H4061" s="2" t="s">
        <v>2</v>
      </c>
      <c r="I4061" s="2" t="s">
        <v>3</v>
      </c>
      <c r="J4061" s="3" t="s">
        <v>4</v>
      </c>
    </row>
    <row r="4062" spans="1:10">
      <c r="A4062" s="1">
        <v>101675</v>
      </c>
      <c r="B4062" s="1">
        <v>2100064616</v>
      </c>
      <c r="C4062" s="1">
        <v>6</v>
      </c>
      <c r="D4062" s="1" t="s">
        <v>2557</v>
      </c>
      <c r="E4062" t="s">
        <v>7956</v>
      </c>
      <c r="F4062" s="1">
        <v>292698</v>
      </c>
      <c r="G4062" s="1">
        <v>2066200002</v>
      </c>
      <c r="H4062" s="1">
        <v>6</v>
      </c>
      <c r="I4062" s="1" t="s">
        <v>1191</v>
      </c>
      <c r="J4062" t="s">
        <v>7994</v>
      </c>
    </row>
    <row r="4063" spans="1:10">
      <c r="A4063" s="1">
        <v>99903</v>
      </c>
      <c r="B4063" s="1">
        <v>2100064461</v>
      </c>
      <c r="C4063" s="1">
        <v>12</v>
      </c>
      <c r="D4063" s="1" t="s">
        <v>1197</v>
      </c>
      <c r="E4063" t="s">
        <v>7957</v>
      </c>
      <c r="F4063" s="1">
        <v>296996</v>
      </c>
      <c r="G4063" s="1">
        <v>2066200193</v>
      </c>
      <c r="H4063" s="1">
        <v>6</v>
      </c>
      <c r="I4063" s="1" t="s">
        <v>1191</v>
      </c>
      <c r="J4063" t="s">
        <v>7995</v>
      </c>
    </row>
    <row r="4064" spans="1:10">
      <c r="A4064" s="1">
        <v>45112</v>
      </c>
      <c r="B4064" s="1">
        <v>2100032307</v>
      </c>
      <c r="C4064" s="1">
        <v>6</v>
      </c>
      <c r="D4064" s="1" t="s">
        <v>381</v>
      </c>
      <c r="E4064" t="s">
        <v>7958</v>
      </c>
      <c r="F4064" s="1">
        <v>547224</v>
      </c>
      <c r="G4064" s="1">
        <v>2066200297</v>
      </c>
      <c r="H4064" s="1">
        <v>6</v>
      </c>
      <c r="I4064" s="1" t="s">
        <v>381</v>
      </c>
      <c r="J4064" t="s">
        <v>7996</v>
      </c>
    </row>
    <row r="4065" spans="1:10">
      <c r="A4065" s="1">
        <v>167650</v>
      </c>
      <c r="B4065" s="1">
        <v>2100064425</v>
      </c>
      <c r="C4065" s="1">
        <v>6</v>
      </c>
      <c r="D4065" s="1" t="s">
        <v>1191</v>
      </c>
      <c r="E4065" t="s">
        <v>7959</v>
      </c>
      <c r="F4065" s="1">
        <v>292862</v>
      </c>
      <c r="G4065" s="1">
        <v>2066200284</v>
      </c>
      <c r="H4065" s="1">
        <v>6</v>
      </c>
      <c r="I4065" s="1" t="s">
        <v>1191</v>
      </c>
      <c r="J4065" t="s">
        <v>7997</v>
      </c>
    </row>
    <row r="4066" spans="1:10">
      <c r="A4066" s="1">
        <v>208546</v>
      </c>
      <c r="B4066" s="1">
        <v>2100064346</v>
      </c>
      <c r="C4066" s="1">
        <v>6</v>
      </c>
      <c r="D4066" s="1" t="s">
        <v>1191</v>
      </c>
      <c r="E4066" t="s">
        <v>7960</v>
      </c>
      <c r="F4066" s="1">
        <v>292680</v>
      </c>
      <c r="G4066" s="1">
        <v>2066200004</v>
      </c>
      <c r="H4066" s="1">
        <v>6</v>
      </c>
      <c r="I4066" s="1" t="s">
        <v>1191</v>
      </c>
      <c r="J4066" t="s">
        <v>7998</v>
      </c>
    </row>
    <row r="4067" spans="1:10">
      <c r="A4067" s="1">
        <v>101998</v>
      </c>
      <c r="B4067" s="1">
        <v>2100064605</v>
      </c>
      <c r="C4067" s="1">
        <v>6</v>
      </c>
      <c r="D4067" s="1" t="s">
        <v>1191</v>
      </c>
      <c r="E4067" t="s">
        <v>7961</v>
      </c>
      <c r="F4067" s="1">
        <v>84996</v>
      </c>
      <c r="G4067" s="1">
        <v>2066200288</v>
      </c>
      <c r="H4067" s="1">
        <v>6</v>
      </c>
      <c r="I4067" s="1" t="s">
        <v>1191</v>
      </c>
      <c r="J4067" t="s">
        <v>7999</v>
      </c>
    </row>
    <row r="4068" spans="1:10">
      <c r="A4068" s="1">
        <v>102228</v>
      </c>
      <c r="B4068" s="1">
        <v>2100064602</v>
      </c>
      <c r="C4068" s="1">
        <v>12</v>
      </c>
      <c r="D4068" s="1" t="s">
        <v>1197</v>
      </c>
      <c r="E4068" t="s">
        <v>7962</v>
      </c>
      <c r="F4068" s="1">
        <v>153338</v>
      </c>
      <c r="G4068" s="1">
        <v>2066200292</v>
      </c>
      <c r="H4068" s="1">
        <v>6</v>
      </c>
      <c r="I4068" s="1" t="s">
        <v>381</v>
      </c>
      <c r="J4068" t="s">
        <v>8000</v>
      </c>
    </row>
    <row r="4069" spans="1:10">
      <c r="A4069" s="1">
        <v>712182</v>
      </c>
      <c r="B4069" s="1">
        <v>4300065122</v>
      </c>
      <c r="C4069" s="1">
        <v>6</v>
      </c>
      <c r="D4069" s="1" t="s">
        <v>2311</v>
      </c>
      <c r="E4069" t="s">
        <v>7963</v>
      </c>
      <c r="F4069" s="1">
        <v>292854</v>
      </c>
      <c r="G4069" s="1">
        <v>2066200278</v>
      </c>
      <c r="H4069" s="1">
        <v>6</v>
      </c>
      <c r="I4069" s="1" t="s">
        <v>1191</v>
      </c>
      <c r="J4069" t="s">
        <v>8001</v>
      </c>
    </row>
    <row r="4070" spans="1:10">
      <c r="A4070" s="1">
        <v>77750</v>
      </c>
      <c r="B4070" s="1">
        <v>4300001785</v>
      </c>
      <c r="C4070" s="1">
        <v>6</v>
      </c>
      <c r="D4070" s="1" t="s">
        <v>2311</v>
      </c>
      <c r="E4070" t="s">
        <v>7964</v>
      </c>
      <c r="F4070" s="1">
        <v>292557</v>
      </c>
      <c r="G4070" s="1">
        <v>2066200037</v>
      </c>
      <c r="H4070" s="1">
        <v>6</v>
      </c>
      <c r="I4070" s="1" t="s">
        <v>1191</v>
      </c>
      <c r="J4070" t="s">
        <v>8002</v>
      </c>
    </row>
    <row r="4071" spans="1:10">
      <c r="A4071" s="1">
        <v>712174</v>
      </c>
      <c r="B4071" s="1">
        <v>4300065123</v>
      </c>
      <c r="C4071" s="1">
        <v>6</v>
      </c>
      <c r="D4071" s="1" t="s">
        <v>2311</v>
      </c>
      <c r="E4071" t="s">
        <v>7965</v>
      </c>
      <c r="F4071" s="1">
        <v>99556</v>
      </c>
      <c r="G4071" s="1">
        <v>1116609955</v>
      </c>
      <c r="H4071" s="1">
        <v>6</v>
      </c>
      <c r="I4071" s="1" t="s">
        <v>1191</v>
      </c>
      <c r="J4071" t="s">
        <v>8003</v>
      </c>
    </row>
    <row r="4072" spans="1:10">
      <c r="A4072" s="1">
        <v>712166</v>
      </c>
      <c r="B4072" s="1">
        <v>4300065126</v>
      </c>
      <c r="C4072" s="1">
        <v>6</v>
      </c>
      <c r="D4072" s="1" t="s">
        <v>2311</v>
      </c>
      <c r="E4072" t="s">
        <v>7966</v>
      </c>
      <c r="F4072" s="1">
        <v>99622</v>
      </c>
      <c r="G4072" s="1">
        <v>1116609962</v>
      </c>
      <c r="H4072" s="1">
        <v>6</v>
      </c>
      <c r="I4072" s="1" t="s">
        <v>1191</v>
      </c>
      <c r="J4072" t="s">
        <v>8004</v>
      </c>
    </row>
    <row r="4073" spans="1:10">
      <c r="A4073" s="1">
        <v>712216</v>
      </c>
      <c r="B4073" s="1">
        <v>4300065125</v>
      </c>
      <c r="C4073" s="1">
        <v>6</v>
      </c>
      <c r="D4073" s="1" t="s">
        <v>2311</v>
      </c>
      <c r="E4073" t="s">
        <v>7967</v>
      </c>
      <c r="F4073" s="1">
        <v>103192</v>
      </c>
      <c r="G4073" s="1">
        <v>1116610319</v>
      </c>
      <c r="H4073" s="1">
        <v>6</v>
      </c>
      <c r="I4073" s="1" t="s">
        <v>1191</v>
      </c>
      <c r="J4073" t="s">
        <v>8005</v>
      </c>
    </row>
    <row r="4074" spans="1:10">
      <c r="A4074" s="1">
        <v>26781</v>
      </c>
      <c r="B4074" s="1">
        <v>2100064104</v>
      </c>
      <c r="C4074" s="1">
        <v>6</v>
      </c>
      <c r="D4074" s="1" t="s">
        <v>1191</v>
      </c>
      <c r="E4074" t="s">
        <v>7968</v>
      </c>
      <c r="F4074" s="1">
        <v>421297</v>
      </c>
      <c r="G4074" s="1">
        <v>1116601261</v>
      </c>
      <c r="H4074" s="1">
        <v>6</v>
      </c>
      <c r="I4074" s="1" t="s">
        <v>2557</v>
      </c>
      <c r="J4074" t="s">
        <v>8006</v>
      </c>
    </row>
    <row r="4075" spans="1:10">
      <c r="A4075" s="1">
        <v>102616</v>
      </c>
      <c r="B4075" s="1">
        <v>2100064277</v>
      </c>
      <c r="C4075" s="1">
        <v>6</v>
      </c>
      <c r="D4075" s="1" t="s">
        <v>1191</v>
      </c>
      <c r="E4075" t="s">
        <v>7969</v>
      </c>
      <c r="F4075" s="1">
        <v>421339</v>
      </c>
      <c r="G4075" s="1">
        <v>1116601262</v>
      </c>
      <c r="H4075" s="1">
        <v>6</v>
      </c>
      <c r="I4075" s="1" t="s">
        <v>2557</v>
      </c>
      <c r="J4075" t="s">
        <v>8007</v>
      </c>
    </row>
    <row r="4076" spans="1:10">
      <c r="A4076" s="1">
        <v>321562</v>
      </c>
      <c r="B4076" s="1">
        <v>2100002016</v>
      </c>
      <c r="C4076" s="1">
        <v>6</v>
      </c>
      <c r="D4076" s="1" t="s">
        <v>1191</v>
      </c>
      <c r="E4076" t="s">
        <v>7970</v>
      </c>
      <c r="F4076" s="1">
        <v>99614</v>
      </c>
      <c r="G4076" s="1">
        <v>1116609961</v>
      </c>
      <c r="H4076" s="1">
        <v>6</v>
      </c>
      <c r="I4076" s="1" t="s">
        <v>1191</v>
      </c>
      <c r="J4076" t="s">
        <v>8008</v>
      </c>
    </row>
    <row r="4077" spans="1:10">
      <c r="A4077" s="1">
        <v>99937</v>
      </c>
      <c r="B4077" s="1">
        <v>2100064419</v>
      </c>
      <c r="C4077" s="1">
        <v>12</v>
      </c>
      <c r="D4077" s="1" t="s">
        <v>1197</v>
      </c>
      <c r="E4077" t="s">
        <v>7971</v>
      </c>
      <c r="F4077" s="1">
        <v>99598</v>
      </c>
      <c r="G4077" s="1">
        <v>1116609959</v>
      </c>
      <c r="H4077" s="1">
        <v>6</v>
      </c>
      <c r="I4077" s="1" t="s">
        <v>1191</v>
      </c>
      <c r="J4077" t="s">
        <v>8009</v>
      </c>
    </row>
    <row r="4078" spans="1:10">
      <c r="A4078" s="1">
        <v>102657</v>
      </c>
      <c r="B4078" s="1">
        <v>2100064271</v>
      </c>
      <c r="C4078" s="1">
        <v>6</v>
      </c>
      <c r="D4078" s="1" t="s">
        <v>1191</v>
      </c>
      <c r="E4078" t="s">
        <v>7972</v>
      </c>
      <c r="F4078" s="1">
        <v>99572</v>
      </c>
      <c r="G4078" s="1">
        <v>1116609957</v>
      </c>
      <c r="H4078" s="1">
        <v>6</v>
      </c>
      <c r="I4078" s="1" t="s">
        <v>1191</v>
      </c>
      <c r="J4078" t="s">
        <v>8010</v>
      </c>
    </row>
    <row r="4079" spans="1:10">
      <c r="A4079" s="1">
        <v>99119</v>
      </c>
      <c r="B4079" s="1">
        <v>2100077521</v>
      </c>
      <c r="C4079" s="1">
        <v>6</v>
      </c>
      <c r="D4079" s="1" t="s">
        <v>1191</v>
      </c>
      <c r="E4079" t="s">
        <v>7973</v>
      </c>
      <c r="F4079" s="1">
        <v>99549</v>
      </c>
      <c r="G4079" s="1">
        <v>1116609954</v>
      </c>
      <c r="H4079" s="1">
        <v>6</v>
      </c>
      <c r="I4079" s="1" t="s">
        <v>1191</v>
      </c>
      <c r="J4079" t="s">
        <v>8011</v>
      </c>
    </row>
    <row r="4080" spans="1:10">
      <c r="A4080" s="1">
        <v>277749</v>
      </c>
      <c r="B4080" s="1">
        <v>2100070147</v>
      </c>
      <c r="C4080" s="1">
        <v>6</v>
      </c>
      <c r="D4080" s="1" t="s">
        <v>1191</v>
      </c>
      <c r="E4080" t="s">
        <v>7974</v>
      </c>
      <c r="F4080" s="1">
        <v>98871</v>
      </c>
      <c r="G4080" s="1">
        <v>1116609887</v>
      </c>
      <c r="H4080" s="1">
        <v>6</v>
      </c>
      <c r="I4080" s="1" t="s">
        <v>1191</v>
      </c>
      <c r="J4080" t="s">
        <v>8012</v>
      </c>
    </row>
    <row r="4081" spans="1:10">
      <c r="A4081" s="1">
        <v>100669</v>
      </c>
      <c r="B4081" s="1">
        <v>2100064445</v>
      </c>
      <c r="C4081" s="1">
        <v>6</v>
      </c>
      <c r="D4081" s="1" t="s">
        <v>1191</v>
      </c>
      <c r="E4081" t="s">
        <v>7975</v>
      </c>
      <c r="F4081" s="1">
        <v>99358</v>
      </c>
      <c r="G4081" s="1">
        <v>1116609935</v>
      </c>
      <c r="H4081" s="1">
        <v>6</v>
      </c>
      <c r="I4081" s="1" t="s">
        <v>1191</v>
      </c>
      <c r="J4081" t="s">
        <v>8013</v>
      </c>
    </row>
    <row r="4082" spans="1:10">
      <c r="A4082" s="1">
        <v>353565</v>
      </c>
      <c r="B4082" s="1">
        <v>2100001407</v>
      </c>
      <c r="C4082" s="1">
        <v>6</v>
      </c>
      <c r="D4082" s="1" t="s">
        <v>1191</v>
      </c>
      <c r="E4082" t="s">
        <v>7976</v>
      </c>
      <c r="F4082" s="1">
        <v>98376</v>
      </c>
      <c r="G4082" s="1">
        <v>1116609837</v>
      </c>
      <c r="H4082" s="1">
        <v>6</v>
      </c>
      <c r="I4082" s="1" t="s">
        <v>1191</v>
      </c>
      <c r="J4082" t="s">
        <v>8014</v>
      </c>
    </row>
    <row r="4083" spans="1:10">
      <c r="A4083" s="1">
        <v>100628</v>
      </c>
      <c r="B4083" s="1">
        <v>2100064474</v>
      </c>
      <c r="C4083" s="1">
        <v>6</v>
      </c>
      <c r="D4083" s="1" t="s">
        <v>1191</v>
      </c>
      <c r="E4083" t="s">
        <v>7977</v>
      </c>
      <c r="F4083" s="1">
        <v>98160</v>
      </c>
      <c r="G4083" s="1">
        <v>1116609816</v>
      </c>
      <c r="H4083" s="1">
        <v>6</v>
      </c>
      <c r="I4083" s="1" t="s">
        <v>1191</v>
      </c>
      <c r="J4083" t="s">
        <v>8015</v>
      </c>
    </row>
    <row r="4084" spans="1:10">
      <c r="A4084" s="1">
        <v>102061</v>
      </c>
      <c r="B4084" s="1">
        <v>2100064353</v>
      </c>
      <c r="C4084" s="1">
        <v>6</v>
      </c>
      <c r="D4084" s="1" t="s">
        <v>1191</v>
      </c>
      <c r="E4084" t="s">
        <v>7978</v>
      </c>
      <c r="F4084" s="1">
        <v>98756</v>
      </c>
      <c r="G4084" s="1">
        <v>1116609875</v>
      </c>
      <c r="H4084" s="1">
        <v>6</v>
      </c>
      <c r="I4084" s="1" t="s">
        <v>1191</v>
      </c>
      <c r="J4084" t="s">
        <v>8016</v>
      </c>
    </row>
    <row r="4085" spans="1:10">
      <c r="A4085" s="1">
        <v>100479</v>
      </c>
      <c r="B4085" s="1">
        <v>2100068608</v>
      </c>
      <c r="C4085" s="1">
        <v>6</v>
      </c>
      <c r="D4085" s="1" t="s">
        <v>1191</v>
      </c>
      <c r="E4085" t="s">
        <v>7979</v>
      </c>
      <c r="F4085" s="1">
        <v>99580</v>
      </c>
      <c r="G4085" s="1">
        <v>1116609958</v>
      </c>
      <c r="H4085" s="1">
        <v>6</v>
      </c>
      <c r="I4085" s="1" t="s">
        <v>1191</v>
      </c>
      <c r="J4085" t="s">
        <v>8017</v>
      </c>
    </row>
    <row r="4086" spans="1:10">
      <c r="A4086" s="1">
        <v>277731</v>
      </c>
      <c r="B4086" s="1">
        <v>2100070144</v>
      </c>
      <c r="C4086" s="1">
        <v>6</v>
      </c>
      <c r="D4086" s="1" t="s">
        <v>1191</v>
      </c>
      <c r="E4086" t="s">
        <v>7980</v>
      </c>
      <c r="F4086" s="1">
        <v>712281</v>
      </c>
      <c r="G4086" s="1">
        <v>2100001089</v>
      </c>
      <c r="H4086" s="1">
        <v>6</v>
      </c>
      <c r="I4086" s="1" t="s">
        <v>1191</v>
      </c>
      <c r="J4086" t="s">
        <v>8018</v>
      </c>
    </row>
    <row r="4087" spans="1:10">
      <c r="A4087" s="1">
        <v>91686</v>
      </c>
      <c r="B4087" s="1">
        <v>2100064199</v>
      </c>
      <c r="C4087" s="1">
        <v>6</v>
      </c>
      <c r="D4087" s="1" t="s">
        <v>1191</v>
      </c>
      <c r="E4087" t="s">
        <v>7981</v>
      </c>
      <c r="F4087" s="1">
        <v>264820</v>
      </c>
      <c r="G4087" s="1">
        <v>4100022311</v>
      </c>
      <c r="H4087" s="1">
        <v>9</v>
      </c>
      <c r="I4087" s="1" t="s">
        <v>7917</v>
      </c>
      <c r="J4087" t="s">
        <v>8019</v>
      </c>
    </row>
    <row r="4088" spans="1:10">
      <c r="A4088" s="1">
        <v>92676</v>
      </c>
      <c r="B4088" s="1">
        <v>2100000282</v>
      </c>
      <c r="C4088" s="1">
        <v>6</v>
      </c>
      <c r="D4088" s="1" t="s">
        <v>1191</v>
      </c>
      <c r="E4088" t="s">
        <v>7982</v>
      </c>
      <c r="F4088" s="1">
        <v>712315</v>
      </c>
      <c r="G4088" s="1">
        <v>4100021263</v>
      </c>
      <c r="H4088" s="1">
        <v>9</v>
      </c>
      <c r="I4088" s="1" t="s">
        <v>7917</v>
      </c>
      <c r="J4088" t="s">
        <v>8020</v>
      </c>
    </row>
    <row r="4089" spans="1:10">
      <c r="A4089" s="1">
        <v>91702</v>
      </c>
      <c r="B4089" s="1">
        <v>2100000284</v>
      </c>
      <c r="C4089" s="1">
        <v>6</v>
      </c>
      <c r="D4089" s="1" t="s">
        <v>2311</v>
      </c>
      <c r="E4089" t="s">
        <v>7983</v>
      </c>
      <c r="F4089" s="1">
        <v>347500</v>
      </c>
      <c r="G4089" s="1">
        <v>4100023158</v>
      </c>
      <c r="H4089" s="1">
        <v>12</v>
      </c>
      <c r="I4089" s="1" t="s">
        <v>8021</v>
      </c>
      <c r="J4089" t="s">
        <v>8022</v>
      </c>
    </row>
    <row r="4090" spans="1:10">
      <c r="A4090" s="1">
        <v>102236</v>
      </c>
      <c r="B4090" s="1">
        <v>2100064603</v>
      </c>
      <c r="C4090" s="1">
        <v>6</v>
      </c>
      <c r="D4090" s="1" t="s">
        <v>1191</v>
      </c>
      <c r="E4090" t="s">
        <v>7984</v>
      </c>
      <c r="F4090" s="1">
        <v>519520</v>
      </c>
      <c r="G4090" s="1">
        <v>4100023157</v>
      </c>
      <c r="H4090" s="1">
        <v>12</v>
      </c>
      <c r="I4090" s="1" t="s">
        <v>8021</v>
      </c>
      <c r="J4090" t="s">
        <v>8023</v>
      </c>
    </row>
    <row r="4091" spans="1:10">
      <c r="A4091" s="1">
        <v>783373</v>
      </c>
      <c r="B4091" s="1">
        <v>2100002018</v>
      </c>
      <c r="C4091" s="1">
        <v>6</v>
      </c>
      <c r="D4091" s="1" t="s">
        <v>1191</v>
      </c>
      <c r="E4091" t="s">
        <v>7985</v>
      </c>
      <c r="F4091" s="1">
        <v>489690</v>
      </c>
      <c r="G4091" s="1">
        <v>4100023156</v>
      </c>
      <c r="H4091" s="1">
        <v>12</v>
      </c>
      <c r="I4091" s="1" t="s">
        <v>8021</v>
      </c>
      <c r="J4091" t="s">
        <v>8024</v>
      </c>
    </row>
    <row r="4092" spans="1:10">
      <c r="A4092" s="1">
        <v>103721</v>
      </c>
      <c r="B4092" s="1">
        <v>2100068275</v>
      </c>
      <c r="C4092" s="1">
        <v>6</v>
      </c>
      <c r="D4092" s="1" t="s">
        <v>1191</v>
      </c>
      <c r="E4092" t="s">
        <v>7986</v>
      </c>
      <c r="F4092" s="1">
        <v>754531</v>
      </c>
      <c r="G4092" s="1">
        <v>4100022563</v>
      </c>
      <c r="H4092" s="1">
        <v>9</v>
      </c>
      <c r="I4092" s="1" t="s">
        <v>7917</v>
      </c>
      <c r="J4092" t="s">
        <v>8025</v>
      </c>
    </row>
    <row r="4093" spans="1:10">
      <c r="A4093" s="1">
        <v>101691</v>
      </c>
      <c r="B4093" s="1">
        <v>2100064618</v>
      </c>
      <c r="C4093" s="1">
        <v>6</v>
      </c>
      <c r="D4093" s="1" t="s">
        <v>2557</v>
      </c>
      <c r="E4093" t="s">
        <v>7987</v>
      </c>
      <c r="F4093" s="1">
        <v>100388</v>
      </c>
      <c r="G4093" s="1">
        <v>4100000695</v>
      </c>
      <c r="H4093" s="1">
        <v>12</v>
      </c>
      <c r="I4093" s="1" t="s">
        <v>1197</v>
      </c>
      <c r="J4093" t="s">
        <v>8026</v>
      </c>
    </row>
    <row r="4094" spans="1:10">
      <c r="A4094" s="1">
        <v>99887</v>
      </c>
      <c r="B4094" s="1">
        <v>2100064421</v>
      </c>
      <c r="C4094" s="1">
        <v>12</v>
      </c>
      <c r="D4094" s="1" t="s">
        <v>1197</v>
      </c>
      <c r="E4094" t="s">
        <v>7988</v>
      </c>
      <c r="F4094" s="1">
        <v>100412</v>
      </c>
      <c r="G4094" s="1">
        <v>4100000602</v>
      </c>
      <c r="H4094" s="1">
        <v>12</v>
      </c>
      <c r="I4094" s="1" t="s">
        <v>1197</v>
      </c>
      <c r="J4094" t="s">
        <v>8027</v>
      </c>
    </row>
    <row r="4095" spans="1:10">
      <c r="A4095" s="1">
        <v>101337</v>
      </c>
      <c r="B4095" s="1">
        <v>7020011001</v>
      </c>
      <c r="C4095" s="1">
        <v>12</v>
      </c>
      <c r="D4095" s="1" t="s">
        <v>1191</v>
      </c>
      <c r="E4095" t="s">
        <v>7989</v>
      </c>
      <c r="F4095" s="1">
        <v>100420</v>
      </c>
      <c r="G4095" s="1">
        <v>4100000606</v>
      </c>
      <c r="H4095" s="1">
        <v>6</v>
      </c>
      <c r="I4095" s="1" t="s">
        <v>1191</v>
      </c>
      <c r="J4095" t="s">
        <v>8028</v>
      </c>
    </row>
    <row r="4096" spans="1:10">
      <c r="A4096" s="1">
        <v>101345</v>
      </c>
      <c r="B4096" s="1">
        <v>7020011000</v>
      </c>
      <c r="C4096" s="1">
        <v>12</v>
      </c>
      <c r="D4096" s="1" t="s">
        <v>1197</v>
      </c>
      <c r="E4096" t="s">
        <v>7990</v>
      </c>
      <c r="F4096" s="1">
        <v>103549</v>
      </c>
      <c r="G4096" s="1">
        <v>4100000569</v>
      </c>
      <c r="H4096" s="1">
        <v>6</v>
      </c>
      <c r="I4096" s="1" t="s">
        <v>1191</v>
      </c>
      <c r="J4096" t="s">
        <v>8029</v>
      </c>
    </row>
    <row r="4097" spans="1:10">
      <c r="A4097" s="1">
        <v>292706</v>
      </c>
      <c r="B4097" s="1">
        <v>2066200006</v>
      </c>
      <c r="C4097" s="1">
        <v>6</v>
      </c>
      <c r="D4097" s="1" t="s">
        <v>1191</v>
      </c>
      <c r="E4097" t="s">
        <v>7991</v>
      </c>
      <c r="F4097" s="1">
        <v>100529</v>
      </c>
      <c r="G4097" s="1">
        <v>4100000650</v>
      </c>
      <c r="H4097" s="1">
        <v>6</v>
      </c>
      <c r="I4097" s="1" t="s">
        <v>1191</v>
      </c>
      <c r="J4097" t="s">
        <v>8030</v>
      </c>
    </row>
    <row r="4098" spans="1:10">
      <c r="A4098" s="1">
        <v>13474</v>
      </c>
      <c r="B4098" s="1">
        <v>2066200005</v>
      </c>
      <c r="C4098" s="1">
        <v>12</v>
      </c>
      <c r="D4098" s="1" t="s">
        <v>399</v>
      </c>
      <c r="E4098" t="s">
        <v>7991</v>
      </c>
      <c r="F4098" s="1">
        <v>100362</v>
      </c>
      <c r="G4098" s="1">
        <v>4100000652</v>
      </c>
      <c r="H4098" s="1">
        <v>12</v>
      </c>
      <c r="I4098" s="1" t="s">
        <v>1197</v>
      </c>
      <c r="J4098" t="s">
        <v>8031</v>
      </c>
    </row>
    <row r="4099" spans="1:10">
      <c r="A4099" s="1">
        <v>292920</v>
      </c>
      <c r="B4099" s="1">
        <v>2066200199</v>
      </c>
      <c r="C4099" s="1">
        <v>6</v>
      </c>
      <c r="D4099" s="1" t="s">
        <v>1191</v>
      </c>
      <c r="E4099" t="s">
        <v>7992</v>
      </c>
      <c r="F4099" s="1">
        <v>100537</v>
      </c>
      <c r="G4099" s="1">
        <v>4100000610</v>
      </c>
      <c r="H4099" s="1">
        <v>12</v>
      </c>
      <c r="I4099" s="1" t="s">
        <v>1191</v>
      </c>
      <c r="J4099" t="s">
        <v>8032</v>
      </c>
    </row>
    <row r="4100" spans="1:10">
      <c r="A4100" s="1">
        <v>292821</v>
      </c>
      <c r="B4100" s="1">
        <v>2066200262</v>
      </c>
      <c r="C4100" s="1">
        <v>6</v>
      </c>
      <c r="D4100" s="1" t="s">
        <v>1191</v>
      </c>
      <c r="E4100" t="s">
        <v>7993</v>
      </c>
      <c r="F4100" s="1">
        <v>100321</v>
      </c>
      <c r="G4100" s="1">
        <v>4100000611</v>
      </c>
      <c r="H4100" s="1">
        <v>24</v>
      </c>
      <c r="I4100" s="1" t="s">
        <v>1197</v>
      </c>
      <c r="J4100" t="s">
        <v>8032</v>
      </c>
    </row>
    <row r="4101" spans="1:10" ht="15.75">
      <c r="A4101" s="4" t="s">
        <v>10799</v>
      </c>
      <c r="B4101" s="2"/>
      <c r="C4101" s="2"/>
      <c r="D4101" s="2"/>
      <c r="E4101" s="3"/>
      <c r="F4101" s="4" t="s">
        <v>10800</v>
      </c>
      <c r="G4101" s="2"/>
      <c r="H4101" s="2"/>
      <c r="I4101" s="2"/>
      <c r="J4101" s="3"/>
    </row>
    <row r="4102" spans="1:10">
      <c r="A4102" s="2" t="s">
        <v>0</v>
      </c>
      <c r="B4102" s="2" t="s">
        <v>1</v>
      </c>
      <c r="C4102" s="2" t="s">
        <v>2</v>
      </c>
      <c r="D4102" s="2" t="s">
        <v>3</v>
      </c>
      <c r="E4102" s="3" t="s">
        <v>4</v>
      </c>
      <c r="F4102" s="2" t="s">
        <v>0</v>
      </c>
      <c r="G4102" s="2" t="s">
        <v>1</v>
      </c>
      <c r="H4102" s="2" t="s">
        <v>2</v>
      </c>
      <c r="I4102" s="2" t="s">
        <v>3</v>
      </c>
      <c r="J4102" s="3" t="s">
        <v>4</v>
      </c>
    </row>
    <row r="4103" spans="1:10">
      <c r="A4103" s="1">
        <v>100651</v>
      </c>
      <c r="B4103" s="1">
        <v>4100000570</v>
      </c>
      <c r="C4103" s="1">
        <v>12</v>
      </c>
      <c r="D4103" s="1" t="s">
        <v>1197</v>
      </c>
      <c r="E4103" t="s">
        <v>8033</v>
      </c>
      <c r="F4103" s="1">
        <v>191510</v>
      </c>
      <c r="G4103" s="1">
        <v>7471408408</v>
      </c>
      <c r="H4103" s="1">
        <v>12</v>
      </c>
      <c r="I4103" s="1" t="s">
        <v>394</v>
      </c>
      <c r="J4103" t="s">
        <v>8070</v>
      </c>
    </row>
    <row r="4104" spans="1:10">
      <c r="A4104" s="1">
        <v>100347</v>
      </c>
      <c r="B4104" s="1">
        <v>4100000632</v>
      </c>
      <c r="C4104" s="1">
        <v>12</v>
      </c>
      <c r="D4104" s="1" t="s">
        <v>1197</v>
      </c>
      <c r="E4104" t="s">
        <v>8034</v>
      </c>
      <c r="F4104" s="1">
        <v>199422</v>
      </c>
      <c r="G4104" s="1">
        <v>7471408424</v>
      </c>
      <c r="H4104" s="1">
        <v>12</v>
      </c>
      <c r="I4104" s="1" t="s">
        <v>404</v>
      </c>
      <c r="J4104" t="s">
        <v>8071</v>
      </c>
    </row>
    <row r="4105" spans="1:10">
      <c r="A4105" s="1">
        <v>100297</v>
      </c>
      <c r="B4105" s="1">
        <v>4100000660</v>
      </c>
      <c r="C4105" s="1">
        <v>6</v>
      </c>
      <c r="D4105" s="1" t="s">
        <v>2557</v>
      </c>
      <c r="E4105" t="s">
        <v>8035</v>
      </c>
      <c r="F4105" s="1">
        <v>199430</v>
      </c>
      <c r="G4105" s="1">
        <v>7471408420</v>
      </c>
      <c r="H4105" s="1">
        <v>12</v>
      </c>
      <c r="I4105" s="1" t="s">
        <v>404</v>
      </c>
      <c r="J4105" t="s">
        <v>8072</v>
      </c>
    </row>
    <row r="4106" spans="1:10">
      <c r="A4106" s="1">
        <v>300285</v>
      </c>
      <c r="B4106" s="1">
        <v>4100000647</v>
      </c>
      <c r="C4106" s="1">
        <v>6</v>
      </c>
      <c r="D4106" s="1" t="s">
        <v>1191</v>
      </c>
      <c r="E4106" t="s">
        <v>8036</v>
      </c>
      <c r="F4106" s="1">
        <v>615492</v>
      </c>
      <c r="G4106" s="1">
        <v>7020001066</v>
      </c>
      <c r="H4106" s="1">
        <v>12</v>
      </c>
      <c r="I4106" s="1" t="s">
        <v>394</v>
      </c>
      <c r="J4106" t="s">
        <v>8073</v>
      </c>
    </row>
    <row r="4107" spans="1:10">
      <c r="A4107" s="1">
        <v>100586</v>
      </c>
      <c r="B4107" s="1">
        <v>4100000978</v>
      </c>
      <c r="C4107" s="1">
        <v>12</v>
      </c>
      <c r="D4107" s="1" t="s">
        <v>1197</v>
      </c>
      <c r="E4107" t="s">
        <v>8037</v>
      </c>
      <c r="F4107" s="1">
        <v>55756</v>
      </c>
      <c r="G4107" s="1">
        <v>7020001067</v>
      </c>
      <c r="H4107" s="1">
        <v>12</v>
      </c>
      <c r="I4107" s="1" t="s">
        <v>394</v>
      </c>
      <c r="J4107" t="s">
        <v>8074</v>
      </c>
    </row>
    <row r="4108" spans="1:10">
      <c r="A4108" s="1">
        <v>340224</v>
      </c>
      <c r="B4108" s="1">
        <v>4100000585</v>
      </c>
      <c r="C4108" s="1">
        <v>6</v>
      </c>
      <c r="D4108" s="1" t="s">
        <v>1191</v>
      </c>
      <c r="E4108" t="s">
        <v>8038</v>
      </c>
      <c r="F4108" s="1">
        <v>238485</v>
      </c>
      <c r="G4108" s="1">
        <v>7020001063</v>
      </c>
      <c r="H4108" s="1">
        <v>12</v>
      </c>
      <c r="I4108" s="1" t="s">
        <v>394</v>
      </c>
      <c r="J4108" t="s">
        <v>8075</v>
      </c>
    </row>
    <row r="4109" spans="1:10">
      <c r="A4109" s="1">
        <v>100545</v>
      </c>
      <c r="B4109" s="1">
        <v>4100000628</v>
      </c>
      <c r="C4109" s="1">
        <v>12</v>
      </c>
      <c r="D4109" s="1" t="s">
        <v>1197</v>
      </c>
      <c r="E4109" t="s">
        <v>8039</v>
      </c>
      <c r="F4109" s="1">
        <v>757054</v>
      </c>
      <c r="G4109" s="1">
        <v>7020001065</v>
      </c>
      <c r="H4109" s="1">
        <v>12</v>
      </c>
      <c r="I4109" s="1" t="s">
        <v>394</v>
      </c>
      <c r="J4109" t="s">
        <v>8076</v>
      </c>
    </row>
    <row r="4110" spans="1:10">
      <c r="A4110" s="1">
        <v>761767</v>
      </c>
      <c r="B4110" s="1">
        <v>4100000356</v>
      </c>
      <c r="C4110" s="1">
        <v>9</v>
      </c>
      <c r="D4110" s="1" t="s">
        <v>7917</v>
      </c>
      <c r="E4110" t="s">
        <v>8040</v>
      </c>
      <c r="F4110" s="1">
        <v>522870</v>
      </c>
      <c r="G4110" s="1">
        <v>7067812601</v>
      </c>
      <c r="H4110" s="1">
        <v>12</v>
      </c>
      <c r="I4110" s="1" t="s">
        <v>404</v>
      </c>
      <c r="J4110" t="s">
        <v>8077</v>
      </c>
    </row>
    <row r="4111" spans="1:10">
      <c r="A4111" s="1">
        <v>712299</v>
      </c>
      <c r="B4111" s="1">
        <v>4100021266</v>
      </c>
      <c r="C4111" s="1">
        <v>9</v>
      </c>
      <c r="D4111" s="1" t="s">
        <v>7917</v>
      </c>
      <c r="E4111" t="s">
        <v>8041</v>
      </c>
      <c r="F4111" s="1">
        <v>893966</v>
      </c>
      <c r="G4111" s="1">
        <v>7067811075</v>
      </c>
      <c r="H4111" s="1">
        <v>12</v>
      </c>
      <c r="I4111" s="1" t="s">
        <v>397</v>
      </c>
      <c r="J4111" t="s">
        <v>8078</v>
      </c>
    </row>
    <row r="4112" spans="1:10">
      <c r="A4112" s="1">
        <v>19968</v>
      </c>
      <c r="B4112" s="1">
        <v>4100000626</v>
      </c>
      <c r="C4112" s="1">
        <v>6</v>
      </c>
      <c r="D4112" s="1" t="s">
        <v>2557</v>
      </c>
      <c r="E4112" t="s">
        <v>8042</v>
      </c>
      <c r="F4112" s="1">
        <v>312843</v>
      </c>
      <c r="G4112" s="1">
        <v>7067811076</v>
      </c>
      <c r="H4112" s="1">
        <v>12</v>
      </c>
      <c r="I4112" s="1" t="s">
        <v>14</v>
      </c>
      <c r="J4112" t="s">
        <v>8079</v>
      </c>
    </row>
    <row r="4113" spans="1:10">
      <c r="A4113" s="1">
        <v>103119</v>
      </c>
      <c r="B4113" s="1">
        <v>4100000541</v>
      </c>
      <c r="C4113" s="1">
        <v>6</v>
      </c>
      <c r="D4113" s="1" t="s">
        <v>1191</v>
      </c>
      <c r="E4113" t="s">
        <v>8043</v>
      </c>
      <c r="F4113" s="1">
        <v>603845</v>
      </c>
      <c r="G4113" s="1">
        <v>7067812603</v>
      </c>
      <c r="H4113" s="1">
        <v>12</v>
      </c>
      <c r="I4113" s="1" t="s">
        <v>404</v>
      </c>
      <c r="J4113" t="s">
        <v>8080</v>
      </c>
    </row>
    <row r="4114" spans="1:10">
      <c r="A4114" s="1">
        <v>100487</v>
      </c>
      <c r="B4114" s="1">
        <v>4100000682</v>
      </c>
      <c r="C4114" s="1">
        <v>12</v>
      </c>
      <c r="D4114" s="1" t="s">
        <v>1197</v>
      </c>
      <c r="E4114" t="s">
        <v>8044</v>
      </c>
      <c r="F4114" s="1">
        <v>848960</v>
      </c>
      <c r="G4114" s="1">
        <v>7067800233</v>
      </c>
      <c r="H4114" s="1">
        <v>12</v>
      </c>
      <c r="I4114" s="1" t="s">
        <v>404</v>
      </c>
      <c r="J4114" t="s">
        <v>8081</v>
      </c>
    </row>
    <row r="4115" spans="1:10">
      <c r="A4115" s="1">
        <v>100495</v>
      </c>
      <c r="B4115" s="1">
        <v>4100000521</v>
      </c>
      <c r="C4115" s="1">
        <v>12</v>
      </c>
      <c r="D4115" s="1" t="s">
        <v>1197</v>
      </c>
      <c r="E4115" t="s">
        <v>8045</v>
      </c>
      <c r="F4115" s="1">
        <v>340661</v>
      </c>
      <c r="G4115" s="1">
        <v>7067811074</v>
      </c>
      <c r="H4115" s="1">
        <v>12</v>
      </c>
      <c r="I4115" s="1" t="s">
        <v>14</v>
      </c>
      <c r="J4115" t="s">
        <v>8082</v>
      </c>
    </row>
    <row r="4116" spans="1:10">
      <c r="A4116" s="1">
        <v>100453</v>
      </c>
      <c r="B4116" s="1">
        <v>4100000672</v>
      </c>
      <c r="C4116" s="1">
        <v>6</v>
      </c>
      <c r="D4116" s="1" t="s">
        <v>1191</v>
      </c>
      <c r="E4116" t="s">
        <v>8046</v>
      </c>
      <c r="F4116" s="1">
        <v>170019</v>
      </c>
      <c r="G4116" s="1">
        <v>5210000480</v>
      </c>
      <c r="H4116" s="1">
        <v>12</v>
      </c>
      <c r="I4116" s="1" t="s">
        <v>14</v>
      </c>
      <c r="J4116" t="s">
        <v>8083</v>
      </c>
    </row>
    <row r="4117" spans="1:10" ht="15.75">
      <c r="A4117" s="1">
        <v>100776</v>
      </c>
      <c r="B4117" s="1">
        <v>4100000573</v>
      </c>
      <c r="C4117" s="1">
        <v>6</v>
      </c>
      <c r="D4117" s="1" t="s">
        <v>1191</v>
      </c>
      <c r="E4117" t="s">
        <v>8047</v>
      </c>
      <c r="F4117" s="4" t="s">
        <v>10801</v>
      </c>
      <c r="G4117" s="2"/>
      <c r="H4117" s="2"/>
      <c r="I4117" s="2"/>
      <c r="J4117" s="3"/>
    </row>
    <row r="4118" spans="1:10">
      <c r="A4118" s="1">
        <v>712323</v>
      </c>
      <c r="B4118" s="1">
        <v>4100021258</v>
      </c>
      <c r="C4118" s="1">
        <v>6</v>
      </c>
      <c r="D4118" s="1" t="s">
        <v>1191</v>
      </c>
      <c r="E4118" t="s">
        <v>8048</v>
      </c>
      <c r="F4118" s="2" t="s">
        <v>0</v>
      </c>
      <c r="G4118" s="2" t="s">
        <v>1</v>
      </c>
      <c r="H4118" s="2" t="s">
        <v>2</v>
      </c>
      <c r="I4118" s="2" t="s">
        <v>3</v>
      </c>
      <c r="J4118" s="3" t="s">
        <v>4</v>
      </c>
    </row>
    <row r="4119" spans="1:10">
      <c r="A4119" s="1">
        <v>712349</v>
      </c>
      <c r="B4119" s="1">
        <v>4100021257</v>
      </c>
      <c r="C4119" s="1">
        <v>6</v>
      </c>
      <c r="D4119" s="1" t="s">
        <v>1191</v>
      </c>
      <c r="E4119" t="s">
        <v>8049</v>
      </c>
      <c r="F4119" s="1">
        <v>112292</v>
      </c>
      <c r="G4119" s="1">
        <v>4150000042</v>
      </c>
      <c r="H4119" s="1">
        <v>12</v>
      </c>
      <c r="I4119" s="1" t="s">
        <v>347</v>
      </c>
      <c r="J4119" t="s">
        <v>8084</v>
      </c>
    </row>
    <row r="4120" spans="1:10">
      <c r="A4120" s="1">
        <v>16634</v>
      </c>
      <c r="B4120" s="1">
        <v>4100000662</v>
      </c>
      <c r="C4120" s="1">
        <v>6</v>
      </c>
      <c r="D4120" s="1" t="s">
        <v>2557</v>
      </c>
      <c r="E4120" t="s">
        <v>8050</v>
      </c>
      <c r="F4120" s="1">
        <v>123125</v>
      </c>
      <c r="G4120" s="1">
        <v>4150000052</v>
      </c>
      <c r="H4120" s="1">
        <v>12</v>
      </c>
      <c r="I4120" s="1" t="s">
        <v>347</v>
      </c>
      <c r="J4120" t="s">
        <v>8085</v>
      </c>
    </row>
    <row r="4121" spans="1:10">
      <c r="A4121" s="1">
        <v>100768</v>
      </c>
      <c r="B4121" s="1">
        <v>4100000572</v>
      </c>
      <c r="C4121" s="1">
        <v>6</v>
      </c>
      <c r="D4121" s="1" t="s">
        <v>1191</v>
      </c>
      <c r="E4121" t="s">
        <v>8051</v>
      </c>
      <c r="F4121" s="1">
        <v>112342</v>
      </c>
      <c r="G4121" s="1">
        <v>4150000300</v>
      </c>
      <c r="H4121" s="1">
        <v>12</v>
      </c>
      <c r="I4121" s="1" t="s">
        <v>439</v>
      </c>
      <c r="J4121" t="s">
        <v>8086</v>
      </c>
    </row>
    <row r="4122" spans="1:10">
      <c r="A4122" s="1">
        <v>848754</v>
      </c>
      <c r="B4122" s="1">
        <v>4100022901</v>
      </c>
      <c r="C4122" s="1">
        <v>9</v>
      </c>
      <c r="D4122" s="1" t="s">
        <v>7917</v>
      </c>
      <c r="E4122" t="s">
        <v>8052</v>
      </c>
      <c r="F4122" s="1">
        <v>112243</v>
      </c>
      <c r="G4122" s="1">
        <v>4150000010</v>
      </c>
      <c r="H4122" s="1">
        <v>24</v>
      </c>
      <c r="I4122" s="1" t="s">
        <v>404</v>
      </c>
      <c r="J4122" t="s">
        <v>8087</v>
      </c>
    </row>
    <row r="4123" spans="1:10">
      <c r="A4123" s="1">
        <v>712307</v>
      </c>
      <c r="B4123" s="1">
        <v>4100021264</v>
      </c>
      <c r="C4123" s="1">
        <v>9</v>
      </c>
      <c r="D4123" s="1" t="s">
        <v>7917</v>
      </c>
      <c r="E4123" t="s">
        <v>8053</v>
      </c>
      <c r="F4123" s="1">
        <v>112276</v>
      </c>
      <c r="G4123" s="1">
        <v>4150000224</v>
      </c>
      <c r="H4123" s="1">
        <v>24</v>
      </c>
      <c r="I4123" s="1" t="s">
        <v>546</v>
      </c>
      <c r="J4123" t="s">
        <v>8088</v>
      </c>
    </row>
    <row r="4124" spans="1:10">
      <c r="A4124" s="1">
        <v>86405</v>
      </c>
      <c r="B4124" s="1">
        <v>4100001212</v>
      </c>
      <c r="C4124" s="1">
        <v>6</v>
      </c>
      <c r="D4124" s="1" t="s">
        <v>1191</v>
      </c>
      <c r="E4124" t="s">
        <v>8054</v>
      </c>
      <c r="F4124" s="1">
        <v>112359</v>
      </c>
      <c r="G4124" s="1">
        <v>4150000700</v>
      </c>
      <c r="H4124" s="1">
        <v>24</v>
      </c>
      <c r="I4124" s="1" t="s">
        <v>399</v>
      </c>
      <c r="J4124" t="s">
        <v>8089</v>
      </c>
    </row>
    <row r="4125" spans="1:10">
      <c r="A4125" s="1">
        <v>86314</v>
      </c>
      <c r="B4125" s="1">
        <v>4100000627</v>
      </c>
      <c r="C4125" s="1">
        <v>6</v>
      </c>
      <c r="D4125" s="1" t="s">
        <v>1191</v>
      </c>
      <c r="E4125" t="s">
        <v>8055</v>
      </c>
      <c r="F4125" s="1">
        <v>112375</v>
      </c>
      <c r="G4125" s="1">
        <v>4150000025</v>
      </c>
      <c r="H4125" s="1">
        <v>16</v>
      </c>
      <c r="I4125" s="1" t="s">
        <v>259</v>
      </c>
      <c r="J4125" t="s">
        <v>8090</v>
      </c>
    </row>
    <row r="4126" spans="1:10">
      <c r="A4126" s="1">
        <v>86413</v>
      </c>
      <c r="B4126" s="1">
        <v>4100007835</v>
      </c>
      <c r="C4126" s="1">
        <v>6</v>
      </c>
      <c r="D4126" s="1" t="s">
        <v>1191</v>
      </c>
      <c r="E4126" t="s">
        <v>8056</v>
      </c>
      <c r="F4126" s="1">
        <v>112235</v>
      </c>
      <c r="G4126" s="1">
        <v>4150000031</v>
      </c>
      <c r="H4126" s="1">
        <v>12</v>
      </c>
      <c r="I4126" s="1" t="s">
        <v>938</v>
      </c>
      <c r="J4126" t="s">
        <v>8090</v>
      </c>
    </row>
    <row r="4127" spans="1:10">
      <c r="A4127" s="1">
        <v>104547</v>
      </c>
      <c r="B4127" s="1">
        <v>4100000979</v>
      </c>
      <c r="C4127" s="1">
        <v>6</v>
      </c>
      <c r="D4127" s="1" t="s">
        <v>1191</v>
      </c>
      <c r="E4127" t="s">
        <v>8057</v>
      </c>
      <c r="F4127" s="1">
        <v>112334</v>
      </c>
      <c r="G4127" s="1">
        <v>5440000040</v>
      </c>
      <c r="H4127" s="1">
        <v>12</v>
      </c>
      <c r="I4127" s="1" t="s">
        <v>399</v>
      </c>
      <c r="J4127" t="s">
        <v>8091</v>
      </c>
    </row>
    <row r="4128" spans="1:10" ht="15.75">
      <c r="A4128" s="4" t="s">
        <v>10800</v>
      </c>
      <c r="B4128" s="2"/>
      <c r="C4128" s="2"/>
      <c r="D4128" s="2"/>
      <c r="E4128" s="3"/>
      <c r="F4128" s="1">
        <v>112284</v>
      </c>
      <c r="G4128" s="1">
        <v>5440001524</v>
      </c>
      <c r="H4128" s="1">
        <v>12</v>
      </c>
      <c r="I4128" s="1" t="s">
        <v>4819</v>
      </c>
      <c r="J4128" t="s">
        <v>8092</v>
      </c>
    </row>
    <row r="4129" spans="1:10">
      <c r="A4129" s="2" t="s">
        <v>0</v>
      </c>
      <c r="B4129" s="2" t="s">
        <v>1</v>
      </c>
      <c r="C4129" s="2" t="s">
        <v>2</v>
      </c>
      <c r="D4129" s="2" t="s">
        <v>3</v>
      </c>
      <c r="E4129" s="3" t="s">
        <v>4</v>
      </c>
      <c r="F4129" s="1">
        <v>112227</v>
      </c>
      <c r="G4129" s="1">
        <v>5440000024</v>
      </c>
      <c r="H4129" s="1">
        <v>12</v>
      </c>
      <c r="I4129" s="1" t="s">
        <v>399</v>
      </c>
      <c r="J4129" t="s">
        <v>8093</v>
      </c>
    </row>
    <row r="4130" spans="1:10">
      <c r="A4130" s="1">
        <v>145714</v>
      </c>
      <c r="B4130" s="1">
        <v>1600031910</v>
      </c>
      <c r="C4130" s="1">
        <v>12</v>
      </c>
      <c r="D4130" s="1" t="s">
        <v>589</v>
      </c>
      <c r="E4130" t="s">
        <v>8058</v>
      </c>
      <c r="F4130" s="1">
        <v>112474</v>
      </c>
      <c r="G4130" s="1">
        <v>5440001504</v>
      </c>
      <c r="H4130" s="1">
        <v>12</v>
      </c>
      <c r="I4130" s="1" t="s">
        <v>489</v>
      </c>
      <c r="J4130" t="s">
        <v>8094</v>
      </c>
    </row>
    <row r="4131" spans="1:10">
      <c r="A4131" s="1">
        <v>145649</v>
      </c>
      <c r="B4131" s="1">
        <v>1600040060</v>
      </c>
      <c r="C4131" s="1">
        <v>12</v>
      </c>
      <c r="D4131" s="1" t="s">
        <v>2135</v>
      </c>
      <c r="E4131" t="s">
        <v>8059</v>
      </c>
      <c r="F4131" s="1">
        <v>112417</v>
      </c>
      <c r="G4131" s="1">
        <v>5440001503</v>
      </c>
      <c r="H4131" s="1">
        <v>12</v>
      </c>
      <c r="I4131" s="1" t="s">
        <v>489</v>
      </c>
      <c r="J4131" t="s">
        <v>8095</v>
      </c>
    </row>
    <row r="4132" spans="1:10">
      <c r="A4132" s="1">
        <v>70243</v>
      </c>
      <c r="B4132" s="1">
        <v>7110001026</v>
      </c>
      <c r="C4132" s="1">
        <v>12</v>
      </c>
      <c r="D4132" s="1" t="s">
        <v>312</v>
      </c>
      <c r="E4132" t="s">
        <v>8060</v>
      </c>
      <c r="F4132" s="1">
        <v>112193</v>
      </c>
      <c r="G4132" s="1">
        <v>6414432130</v>
      </c>
      <c r="H4132" s="1">
        <v>24</v>
      </c>
      <c r="I4132" s="1" t="s">
        <v>399</v>
      </c>
      <c r="J4132" t="s">
        <v>8096</v>
      </c>
    </row>
    <row r="4133" spans="1:10">
      <c r="A4133" s="1">
        <v>70276</v>
      </c>
      <c r="B4133" s="1">
        <v>7110001028</v>
      </c>
      <c r="C4133" s="1">
        <v>12</v>
      </c>
      <c r="D4133" s="1" t="s">
        <v>312</v>
      </c>
      <c r="E4133" t="s">
        <v>8061</v>
      </c>
      <c r="F4133" s="1">
        <v>507350</v>
      </c>
      <c r="G4133" s="1">
        <v>6414432160</v>
      </c>
      <c r="H4133" s="1">
        <v>12</v>
      </c>
      <c r="I4133" s="1" t="s">
        <v>347</v>
      </c>
      <c r="J4133" t="s">
        <v>8097</v>
      </c>
    </row>
    <row r="4134" spans="1:10">
      <c r="A4134" s="1">
        <v>140111</v>
      </c>
      <c r="B4134" s="1">
        <v>3760006951</v>
      </c>
      <c r="C4134" s="1">
        <v>12</v>
      </c>
      <c r="D4134" s="1" t="s">
        <v>14</v>
      </c>
      <c r="E4134" t="s">
        <v>8062</v>
      </c>
      <c r="F4134" s="1">
        <v>112201</v>
      </c>
      <c r="G4134" s="1">
        <v>6414432140</v>
      </c>
      <c r="H4134" s="1">
        <v>12</v>
      </c>
      <c r="I4134" s="1" t="s">
        <v>439</v>
      </c>
      <c r="J4134" t="s">
        <v>8098</v>
      </c>
    </row>
    <row r="4135" spans="1:10">
      <c r="A4135" s="1">
        <v>271809</v>
      </c>
      <c r="B4135" s="1">
        <v>3760035414</v>
      </c>
      <c r="C4135" s="1">
        <v>12</v>
      </c>
      <c r="D4135" s="1" t="s">
        <v>786</v>
      </c>
      <c r="E4135" t="s">
        <v>8063</v>
      </c>
      <c r="F4135" s="1">
        <v>157685</v>
      </c>
      <c r="G4135" s="1">
        <v>4800102488</v>
      </c>
      <c r="H4135" s="1">
        <v>12</v>
      </c>
      <c r="I4135" s="1" t="s">
        <v>432</v>
      </c>
      <c r="J4135" t="s">
        <v>8099</v>
      </c>
    </row>
    <row r="4136" spans="1:10">
      <c r="A4136" s="1">
        <v>486092</v>
      </c>
      <c r="B4136" s="1">
        <v>3760026426</v>
      </c>
      <c r="C4136" s="1">
        <v>12</v>
      </c>
      <c r="D4136" s="1" t="s">
        <v>4557</v>
      </c>
      <c r="E4136" t="s">
        <v>8064</v>
      </c>
      <c r="F4136" s="1">
        <v>842070</v>
      </c>
      <c r="G4136" s="1">
        <v>4800102487</v>
      </c>
      <c r="H4136" s="1">
        <v>12</v>
      </c>
      <c r="I4136" s="1" t="s">
        <v>432</v>
      </c>
      <c r="J4136" t="s">
        <v>8100</v>
      </c>
    </row>
    <row r="4137" spans="1:10">
      <c r="A4137" s="1">
        <v>145607</v>
      </c>
      <c r="B4137" s="1">
        <v>5210005800</v>
      </c>
      <c r="C4137" s="1">
        <v>12</v>
      </c>
      <c r="D4137" s="1" t="s">
        <v>2211</v>
      </c>
      <c r="E4137" t="s">
        <v>8065</v>
      </c>
      <c r="F4137" s="1">
        <v>203729</v>
      </c>
      <c r="G4137" s="1">
        <v>7008000002</v>
      </c>
      <c r="H4137" s="1">
        <v>12</v>
      </c>
      <c r="I4137" s="1" t="s">
        <v>574</v>
      </c>
      <c r="J4137" t="s">
        <v>8101</v>
      </c>
    </row>
    <row r="4138" spans="1:10">
      <c r="A4138" s="1">
        <v>145656</v>
      </c>
      <c r="B4138" s="1">
        <v>5210014400</v>
      </c>
      <c r="C4138" s="1">
        <v>12</v>
      </c>
      <c r="D4138" s="1" t="s">
        <v>2211</v>
      </c>
      <c r="E4138" t="s">
        <v>8066</v>
      </c>
      <c r="F4138" s="1">
        <v>823856</v>
      </c>
      <c r="G4138" s="1">
        <v>7008000005</v>
      </c>
      <c r="H4138" s="1">
        <v>24</v>
      </c>
      <c r="I4138" s="1" t="s">
        <v>259</v>
      </c>
      <c r="J4138" t="s">
        <v>8102</v>
      </c>
    </row>
    <row r="4139" spans="1:10">
      <c r="A4139" s="1">
        <v>297986</v>
      </c>
      <c r="B4139" s="1">
        <v>5210015920</v>
      </c>
      <c r="C4139" s="1">
        <v>12</v>
      </c>
      <c r="D4139" s="1" t="s">
        <v>89</v>
      </c>
      <c r="E4139" t="s">
        <v>8067</v>
      </c>
      <c r="F4139" s="1">
        <v>426163</v>
      </c>
      <c r="G4139" s="1">
        <v>7008000001</v>
      </c>
      <c r="H4139" s="1">
        <v>24</v>
      </c>
      <c r="I4139" s="1" t="s">
        <v>370</v>
      </c>
      <c r="J4139" t="s">
        <v>8103</v>
      </c>
    </row>
    <row r="4140" spans="1:10">
      <c r="A4140" s="1">
        <v>143982</v>
      </c>
      <c r="B4140" s="1">
        <v>5210015530</v>
      </c>
      <c r="C4140" s="1">
        <v>12</v>
      </c>
      <c r="D4140" s="1" t="s">
        <v>386</v>
      </c>
      <c r="E4140" t="s">
        <v>8068</v>
      </c>
      <c r="F4140" s="1">
        <v>113043</v>
      </c>
      <c r="G4140" s="1">
        <v>1116611304</v>
      </c>
      <c r="H4140" s="1">
        <v>12</v>
      </c>
      <c r="I4140" s="1" t="s">
        <v>347</v>
      </c>
      <c r="J4140" t="s">
        <v>8104</v>
      </c>
    </row>
    <row r="4141" spans="1:10">
      <c r="A4141" s="1">
        <v>199414</v>
      </c>
      <c r="B4141" s="1">
        <v>7471408426</v>
      </c>
      <c r="C4141" s="1">
        <v>12</v>
      </c>
      <c r="D4141" s="1" t="s">
        <v>404</v>
      </c>
      <c r="E4141" t="s">
        <v>8069</v>
      </c>
    </row>
    <row r="4142" spans="1:10" ht="15.75">
      <c r="A4142" s="4" t="s">
        <v>10801</v>
      </c>
      <c r="B4142" s="2"/>
      <c r="C4142" s="2"/>
      <c r="D4142" s="2"/>
      <c r="E4142" s="3"/>
      <c r="F4142" s="4" t="s">
        <v>10804</v>
      </c>
      <c r="G4142" s="2"/>
      <c r="H4142" s="2"/>
      <c r="I4142" s="2"/>
      <c r="J4142" s="3"/>
    </row>
    <row r="4143" spans="1:10">
      <c r="A4143" s="2" t="s">
        <v>0</v>
      </c>
      <c r="B4143" s="2" t="s">
        <v>1</v>
      </c>
      <c r="C4143" s="2" t="s">
        <v>2</v>
      </c>
      <c r="D4143" s="2" t="s">
        <v>3</v>
      </c>
      <c r="E4143" s="3" t="s">
        <v>4</v>
      </c>
      <c r="F4143" s="2" t="s">
        <v>0</v>
      </c>
      <c r="G4143" s="2" t="s">
        <v>1</v>
      </c>
      <c r="H4143" s="2" t="s">
        <v>2</v>
      </c>
      <c r="I4143" s="2" t="s">
        <v>3</v>
      </c>
      <c r="J4143" s="3" t="s">
        <v>4</v>
      </c>
    </row>
    <row r="4144" spans="1:10">
      <c r="A4144" s="1">
        <v>288761</v>
      </c>
      <c r="B4144" s="1">
        <v>1116601332</v>
      </c>
      <c r="C4144" s="1">
        <v>12</v>
      </c>
      <c r="D4144" s="1" t="s">
        <v>347</v>
      </c>
      <c r="E4144" t="s">
        <v>8105</v>
      </c>
      <c r="F4144" s="1">
        <v>135707</v>
      </c>
      <c r="G4144" s="1">
        <v>1958241110</v>
      </c>
      <c r="H4144" s="1">
        <v>12</v>
      </c>
      <c r="I4144" s="1" t="s">
        <v>632</v>
      </c>
      <c r="J4144" t="s">
        <v>8132</v>
      </c>
    </row>
    <row r="4145" spans="1:10">
      <c r="A4145" s="1">
        <v>288779</v>
      </c>
      <c r="B4145" s="1">
        <v>1116601333</v>
      </c>
      <c r="C4145" s="1">
        <v>12</v>
      </c>
      <c r="D4145" s="1" t="s">
        <v>347</v>
      </c>
      <c r="E4145" t="s">
        <v>8106</v>
      </c>
      <c r="F4145" s="1">
        <v>135137</v>
      </c>
      <c r="G4145" s="1">
        <v>1958239223</v>
      </c>
      <c r="H4145" s="1">
        <v>12</v>
      </c>
      <c r="I4145" s="1" t="s">
        <v>632</v>
      </c>
      <c r="J4145" t="s">
        <v>8133</v>
      </c>
    </row>
    <row r="4146" spans="1:10">
      <c r="A4146" s="1">
        <v>405316</v>
      </c>
      <c r="B4146" s="1">
        <v>1116640531</v>
      </c>
      <c r="C4146" s="1">
        <v>24</v>
      </c>
      <c r="D4146" s="1" t="s">
        <v>399</v>
      </c>
      <c r="E4146" t="s">
        <v>8107</v>
      </c>
      <c r="F4146" s="1">
        <v>133223</v>
      </c>
      <c r="G4146" s="1">
        <v>4149021579</v>
      </c>
      <c r="H4146" s="1">
        <v>12</v>
      </c>
      <c r="I4146" s="1" t="s">
        <v>632</v>
      </c>
      <c r="J4146" t="s">
        <v>8134</v>
      </c>
    </row>
    <row r="4147" spans="1:10">
      <c r="A4147" s="1">
        <v>112177</v>
      </c>
      <c r="B4147" s="1">
        <v>1116611217</v>
      </c>
      <c r="C4147" s="1">
        <v>12</v>
      </c>
      <c r="D4147" s="1" t="s">
        <v>375</v>
      </c>
      <c r="E4147" t="s">
        <v>8108</v>
      </c>
      <c r="F4147" s="1">
        <v>87361</v>
      </c>
      <c r="G4147" s="1">
        <v>78099352453</v>
      </c>
      <c r="H4147" s="1">
        <v>12</v>
      </c>
      <c r="I4147" s="1" t="s">
        <v>938</v>
      </c>
      <c r="J4147" t="s">
        <v>8135</v>
      </c>
    </row>
    <row r="4148" spans="1:10">
      <c r="A4148" s="1">
        <v>405068</v>
      </c>
      <c r="B4148" s="1">
        <v>1116640506</v>
      </c>
      <c r="C4148" s="1">
        <v>12</v>
      </c>
      <c r="D4148" s="1" t="s">
        <v>347</v>
      </c>
      <c r="E4148" t="s">
        <v>8109</v>
      </c>
      <c r="F4148" s="1">
        <v>87700</v>
      </c>
      <c r="G4148" s="1">
        <v>78099320668</v>
      </c>
      <c r="H4148" s="1">
        <v>12</v>
      </c>
      <c r="I4148" s="1" t="s">
        <v>938</v>
      </c>
      <c r="J4148" t="s">
        <v>8136</v>
      </c>
    </row>
    <row r="4149" spans="1:10">
      <c r="A4149" s="1">
        <v>405050</v>
      </c>
      <c r="B4149" s="1">
        <v>1116640505</v>
      </c>
      <c r="C4149" s="1">
        <v>12</v>
      </c>
      <c r="D4149" s="1" t="s">
        <v>381</v>
      </c>
      <c r="E4149" t="s">
        <v>8110</v>
      </c>
      <c r="F4149" s="1">
        <v>87130</v>
      </c>
      <c r="G4149" s="1">
        <v>78099352002</v>
      </c>
      <c r="H4149" s="1">
        <v>12</v>
      </c>
      <c r="I4149" s="1" t="s">
        <v>574</v>
      </c>
      <c r="J4149" t="s">
        <v>8137</v>
      </c>
    </row>
    <row r="4150" spans="1:10">
      <c r="A4150" s="1">
        <v>36947</v>
      </c>
      <c r="B4150" s="1">
        <v>5250005755</v>
      </c>
      <c r="C4150" s="1">
        <v>12</v>
      </c>
      <c r="D4150" s="1" t="s">
        <v>375</v>
      </c>
      <c r="E4150" t="s">
        <v>8111</v>
      </c>
      <c r="F4150" s="1">
        <v>126961</v>
      </c>
      <c r="G4150" s="1">
        <v>2700038445</v>
      </c>
      <c r="H4150" s="1">
        <v>12</v>
      </c>
      <c r="I4150" s="1" t="s">
        <v>2365</v>
      </c>
      <c r="J4150" t="s">
        <v>8138</v>
      </c>
    </row>
    <row r="4151" spans="1:10">
      <c r="A4151" s="1">
        <v>405639</v>
      </c>
      <c r="B4151" s="1">
        <v>4113030125</v>
      </c>
      <c r="C4151" s="1">
        <v>12</v>
      </c>
      <c r="D4151" s="1" t="s">
        <v>381</v>
      </c>
      <c r="E4151" t="s">
        <v>8112</v>
      </c>
      <c r="F4151" s="1">
        <v>126953</v>
      </c>
      <c r="G4151" s="1">
        <v>2700038446</v>
      </c>
      <c r="H4151" s="1">
        <v>12</v>
      </c>
      <c r="I4151" s="1" t="s">
        <v>2365</v>
      </c>
      <c r="J4151" t="s">
        <v>8139</v>
      </c>
    </row>
    <row r="4152" spans="1:10" ht="15.75">
      <c r="A4152" s="4" t="s">
        <v>10802</v>
      </c>
      <c r="B4152" s="2"/>
      <c r="C4152" s="2"/>
      <c r="D4152" s="2"/>
      <c r="E4152" s="3"/>
      <c r="F4152" s="1">
        <v>127001</v>
      </c>
      <c r="G4152" s="1">
        <v>2700038447</v>
      </c>
      <c r="H4152" s="1">
        <v>12</v>
      </c>
      <c r="I4152" s="1" t="s">
        <v>2365</v>
      </c>
      <c r="J4152" t="s">
        <v>8140</v>
      </c>
    </row>
    <row r="4153" spans="1:10">
      <c r="A4153" s="2" t="s">
        <v>0</v>
      </c>
      <c r="B4153" s="2" t="s">
        <v>1</v>
      </c>
      <c r="C4153" s="2" t="s">
        <v>2</v>
      </c>
      <c r="D4153" s="2" t="s">
        <v>3</v>
      </c>
      <c r="E4153" s="3" t="s">
        <v>4</v>
      </c>
      <c r="F4153" s="1">
        <v>126979</v>
      </c>
      <c r="G4153" s="1">
        <v>2700038442</v>
      </c>
      <c r="H4153" s="1">
        <v>12</v>
      </c>
      <c r="I4153" s="1" t="s">
        <v>2365</v>
      </c>
      <c r="J4153" t="s">
        <v>8141</v>
      </c>
    </row>
    <row r="4154" spans="1:10">
      <c r="A4154" s="1">
        <v>28472</v>
      </c>
      <c r="B4154" s="1">
        <v>2400000641</v>
      </c>
      <c r="C4154" s="1">
        <v>12</v>
      </c>
      <c r="D4154" s="1" t="s">
        <v>439</v>
      </c>
      <c r="E4154" t="s">
        <v>8113</v>
      </c>
      <c r="F4154" s="1">
        <v>127068</v>
      </c>
      <c r="G4154" s="1">
        <v>2700038444</v>
      </c>
      <c r="H4154" s="1">
        <v>12</v>
      </c>
      <c r="I4154" s="1" t="s">
        <v>2365</v>
      </c>
      <c r="J4154" t="s">
        <v>8142</v>
      </c>
    </row>
    <row r="4155" spans="1:10">
      <c r="A4155" s="1">
        <v>30973</v>
      </c>
      <c r="B4155" s="1">
        <v>2400000290</v>
      </c>
      <c r="C4155" s="1">
        <v>12</v>
      </c>
      <c r="D4155" s="1" t="s">
        <v>259</v>
      </c>
      <c r="E4155" t="s">
        <v>8114</v>
      </c>
      <c r="F4155" s="1">
        <v>494401</v>
      </c>
      <c r="G4155" s="1">
        <v>1300000963</v>
      </c>
      <c r="H4155" s="1">
        <v>12</v>
      </c>
      <c r="I4155" s="1" t="s">
        <v>574</v>
      </c>
      <c r="J4155" t="s">
        <v>8143</v>
      </c>
    </row>
    <row r="4156" spans="1:10">
      <c r="A4156" s="1">
        <v>189621</v>
      </c>
      <c r="B4156" s="1">
        <v>2880012812</v>
      </c>
      <c r="C4156" s="1">
        <v>6</v>
      </c>
      <c r="D4156" s="1" t="s">
        <v>8115</v>
      </c>
      <c r="E4156" t="s">
        <v>8116</v>
      </c>
      <c r="F4156" s="1">
        <v>885285</v>
      </c>
      <c r="G4156" s="1">
        <v>1300000965</v>
      </c>
      <c r="H4156" s="1">
        <v>12</v>
      </c>
      <c r="I4156" s="1" t="s">
        <v>574</v>
      </c>
      <c r="J4156" t="s">
        <v>8144</v>
      </c>
    </row>
    <row r="4157" spans="1:10">
      <c r="A4157" s="1">
        <v>129601</v>
      </c>
      <c r="B4157" s="1">
        <v>1300000124</v>
      </c>
      <c r="C4157" s="1">
        <v>16</v>
      </c>
      <c r="D4157" s="1" t="s">
        <v>259</v>
      </c>
      <c r="E4157" t="s">
        <v>8117</v>
      </c>
      <c r="F4157" s="1">
        <v>136937</v>
      </c>
      <c r="G4157" s="1">
        <v>1300000961</v>
      </c>
      <c r="H4157" s="1">
        <v>12</v>
      </c>
      <c r="I4157" s="1" t="s">
        <v>574</v>
      </c>
      <c r="J4157" t="s">
        <v>8145</v>
      </c>
    </row>
    <row r="4158" spans="1:10">
      <c r="A4158" s="1">
        <v>28530</v>
      </c>
      <c r="B4158" s="1">
        <v>1300000133</v>
      </c>
      <c r="C4158" s="1">
        <v>12</v>
      </c>
      <c r="D4158" s="1" t="s">
        <v>1366</v>
      </c>
      <c r="E4158" t="s">
        <v>8117</v>
      </c>
      <c r="F4158" s="1">
        <v>512632</v>
      </c>
      <c r="G4158" s="1">
        <v>1300000690</v>
      </c>
      <c r="H4158" s="1">
        <v>12</v>
      </c>
      <c r="I4158" s="1" t="s">
        <v>954</v>
      </c>
      <c r="J4158" t="s">
        <v>8145</v>
      </c>
    </row>
    <row r="4159" spans="1:10">
      <c r="A4159" s="1">
        <v>599134</v>
      </c>
      <c r="B4159" s="1">
        <v>1300000574</v>
      </c>
      <c r="C4159" s="1">
        <v>12</v>
      </c>
      <c r="D4159" s="1" t="s">
        <v>553</v>
      </c>
      <c r="E4159" t="s">
        <v>8117</v>
      </c>
      <c r="F4159" s="1">
        <v>448316</v>
      </c>
      <c r="G4159" s="1">
        <v>1300000964</v>
      </c>
      <c r="H4159" s="1">
        <v>12</v>
      </c>
      <c r="I4159" s="1" t="s">
        <v>574</v>
      </c>
      <c r="J4159" t="s">
        <v>8146</v>
      </c>
    </row>
    <row r="4160" spans="1:10">
      <c r="A4160" s="1">
        <v>85548</v>
      </c>
      <c r="B4160" s="1">
        <v>1300000103</v>
      </c>
      <c r="C4160" s="1">
        <v>6</v>
      </c>
      <c r="D4160" s="1" t="s">
        <v>3737</v>
      </c>
      <c r="E4160" t="s">
        <v>8118</v>
      </c>
      <c r="F4160" s="1">
        <v>289389</v>
      </c>
      <c r="G4160" s="1">
        <v>7460907283</v>
      </c>
      <c r="H4160" s="1">
        <v>12</v>
      </c>
      <c r="I4160" s="1" t="s">
        <v>954</v>
      </c>
      <c r="J4160" t="s">
        <v>8147</v>
      </c>
    </row>
    <row r="4161" spans="1:10">
      <c r="A4161" s="1">
        <v>29009</v>
      </c>
      <c r="B4161" s="1">
        <v>1300000640</v>
      </c>
      <c r="C4161" s="1">
        <v>12</v>
      </c>
      <c r="D4161" s="1" t="s">
        <v>938</v>
      </c>
      <c r="E4161" t="s">
        <v>8119</v>
      </c>
      <c r="F4161" s="1">
        <v>433953</v>
      </c>
      <c r="G4161" s="1">
        <v>7460909259</v>
      </c>
      <c r="H4161" s="1">
        <v>12</v>
      </c>
      <c r="I4161" s="1" t="s">
        <v>632</v>
      </c>
      <c r="J4161" t="s">
        <v>8148</v>
      </c>
    </row>
    <row r="4162" spans="1:10">
      <c r="A4162" s="1">
        <v>29116</v>
      </c>
      <c r="B4162" s="1">
        <v>1300000605</v>
      </c>
      <c r="C4162" s="1">
        <v>12</v>
      </c>
      <c r="D4162" s="1" t="s">
        <v>375</v>
      </c>
      <c r="E4162" t="s">
        <v>8119</v>
      </c>
      <c r="F4162" s="1">
        <v>128462</v>
      </c>
      <c r="G4162" s="1">
        <v>7460907273</v>
      </c>
      <c r="H4162" s="1">
        <v>12</v>
      </c>
      <c r="I4162" s="1" t="s">
        <v>632</v>
      </c>
      <c r="J4162" t="s">
        <v>8149</v>
      </c>
    </row>
    <row r="4163" spans="1:10">
      <c r="A4163" s="1">
        <v>29587</v>
      </c>
      <c r="B4163" s="1">
        <v>1300000105</v>
      </c>
      <c r="C4163" s="1">
        <v>20</v>
      </c>
      <c r="D4163" s="1" t="s">
        <v>439</v>
      </c>
      <c r="E4163" t="s">
        <v>8120</v>
      </c>
      <c r="F4163" s="1">
        <v>128447</v>
      </c>
      <c r="G4163" s="1">
        <v>7460907240</v>
      </c>
      <c r="H4163" s="1">
        <v>12</v>
      </c>
      <c r="I4163" s="1" t="s">
        <v>632</v>
      </c>
      <c r="J4163" t="s">
        <v>8150</v>
      </c>
    </row>
    <row r="4164" spans="1:10">
      <c r="A4164" s="1">
        <v>28563</v>
      </c>
      <c r="B4164" s="1">
        <v>1300000121</v>
      </c>
      <c r="C4164" s="1">
        <v>9</v>
      </c>
      <c r="D4164" s="1" t="s">
        <v>3035</v>
      </c>
      <c r="E4164" t="s">
        <v>8121</v>
      </c>
      <c r="F4164" s="1">
        <v>703546</v>
      </c>
      <c r="G4164" s="1">
        <v>7460907233</v>
      </c>
      <c r="H4164" s="1">
        <v>12</v>
      </c>
      <c r="I4164" s="1" t="s">
        <v>954</v>
      </c>
      <c r="J4164" t="s">
        <v>8151</v>
      </c>
    </row>
    <row r="4165" spans="1:10">
      <c r="A4165" s="1">
        <v>31104</v>
      </c>
      <c r="B4165" s="1">
        <v>2700038249</v>
      </c>
      <c r="C4165" s="1">
        <v>12</v>
      </c>
      <c r="D4165" s="1" t="s">
        <v>439</v>
      </c>
      <c r="E4165" t="s">
        <v>8122</v>
      </c>
      <c r="F4165" s="1">
        <v>528489</v>
      </c>
      <c r="G4165" s="1">
        <v>2100001435</v>
      </c>
      <c r="H4165" s="1">
        <v>12</v>
      </c>
      <c r="I4165" s="1" t="s">
        <v>1267</v>
      </c>
      <c r="J4165" t="s">
        <v>8152</v>
      </c>
    </row>
    <row r="4166" spans="1:10">
      <c r="A4166" s="1">
        <v>2659</v>
      </c>
      <c r="B4166" s="1">
        <v>2700038354</v>
      </c>
      <c r="C4166" s="1">
        <v>12</v>
      </c>
      <c r="D4166" s="1" t="s">
        <v>1366</v>
      </c>
      <c r="E4166" t="s">
        <v>8122</v>
      </c>
      <c r="F4166" s="1">
        <v>135558</v>
      </c>
      <c r="G4166" s="1">
        <v>2100067848</v>
      </c>
      <c r="H4166" s="1">
        <v>12</v>
      </c>
      <c r="I4166" s="1" t="s">
        <v>632</v>
      </c>
      <c r="J4166" t="s">
        <v>8153</v>
      </c>
    </row>
    <row r="4167" spans="1:10">
      <c r="A4167" s="1">
        <v>60913</v>
      </c>
      <c r="B4167" s="1">
        <v>2700038206</v>
      </c>
      <c r="C4167" s="1">
        <v>12</v>
      </c>
      <c r="D4167" s="1" t="s">
        <v>3309</v>
      </c>
      <c r="E4167" t="s">
        <v>8122</v>
      </c>
      <c r="F4167" s="1">
        <v>324962</v>
      </c>
      <c r="G4167" s="1">
        <v>2100067920</v>
      </c>
      <c r="H4167" s="1">
        <v>6</v>
      </c>
      <c r="I4167" s="1" t="s">
        <v>8154</v>
      </c>
      <c r="J4167" t="s">
        <v>8155</v>
      </c>
    </row>
    <row r="4168" spans="1:10">
      <c r="A4168" s="1">
        <v>31658</v>
      </c>
      <c r="B4168" s="1">
        <v>2700038207</v>
      </c>
      <c r="C4168" s="1">
        <v>12</v>
      </c>
      <c r="D4168" s="1" t="s">
        <v>259</v>
      </c>
      <c r="E4168" t="s">
        <v>8123</v>
      </c>
      <c r="F4168" s="1">
        <v>132126</v>
      </c>
      <c r="G4168" s="1">
        <v>2100067849</v>
      </c>
      <c r="H4168" s="1">
        <v>6</v>
      </c>
      <c r="I4168" s="1" t="s">
        <v>553</v>
      </c>
      <c r="J4168" t="s">
        <v>8156</v>
      </c>
    </row>
    <row r="4169" spans="1:10">
      <c r="A4169" s="1">
        <v>31674</v>
      </c>
      <c r="B4169" s="1">
        <v>2700038234</v>
      </c>
      <c r="C4169" s="1">
        <v>12</v>
      </c>
      <c r="D4169" s="1" t="s">
        <v>259</v>
      </c>
      <c r="E4169" t="s">
        <v>8124</v>
      </c>
      <c r="F4169" s="1">
        <v>135566</v>
      </c>
      <c r="G4169" s="1">
        <v>2100067844</v>
      </c>
      <c r="H4169" s="1">
        <v>12</v>
      </c>
      <c r="I4169" s="1" t="s">
        <v>632</v>
      </c>
      <c r="J4169" t="s">
        <v>8157</v>
      </c>
    </row>
    <row r="4170" spans="1:10">
      <c r="A4170" s="1">
        <v>28290</v>
      </c>
      <c r="B4170" s="1">
        <v>2700038182</v>
      </c>
      <c r="C4170" s="1">
        <v>12</v>
      </c>
      <c r="D4170" s="1" t="s">
        <v>954</v>
      </c>
      <c r="E4170" t="s">
        <v>8125</v>
      </c>
      <c r="F4170" s="1">
        <v>135657</v>
      </c>
      <c r="G4170" s="1">
        <v>2100068348</v>
      </c>
      <c r="H4170" s="1">
        <v>12</v>
      </c>
      <c r="I4170" s="1" t="s">
        <v>632</v>
      </c>
      <c r="J4170" t="s">
        <v>8158</v>
      </c>
    </row>
    <row r="4171" spans="1:10">
      <c r="A4171" s="1">
        <v>28696</v>
      </c>
      <c r="B4171" s="1">
        <v>2700038184</v>
      </c>
      <c r="C4171" s="1">
        <v>12</v>
      </c>
      <c r="D4171" s="1" t="s">
        <v>938</v>
      </c>
      <c r="E4171" t="s">
        <v>8126</v>
      </c>
      <c r="F4171" s="1">
        <v>135095</v>
      </c>
      <c r="G4171" s="1">
        <v>2100077714</v>
      </c>
      <c r="H4171" s="1">
        <v>12</v>
      </c>
      <c r="I4171" s="1" t="s">
        <v>632</v>
      </c>
      <c r="J4171" t="s">
        <v>8159</v>
      </c>
    </row>
    <row r="4172" spans="1:10">
      <c r="A4172" s="1">
        <v>28282</v>
      </c>
      <c r="B4172" s="1">
        <v>1116602828</v>
      </c>
      <c r="C4172" s="1">
        <v>24</v>
      </c>
      <c r="D4172" s="1" t="s">
        <v>259</v>
      </c>
      <c r="E4172" t="s">
        <v>8127</v>
      </c>
      <c r="F4172" s="1">
        <v>135251</v>
      </c>
      <c r="G4172" s="1">
        <v>2100067272</v>
      </c>
      <c r="H4172" s="1">
        <v>12</v>
      </c>
      <c r="I4172" s="1" t="s">
        <v>954</v>
      </c>
      <c r="J4172" t="s">
        <v>8160</v>
      </c>
    </row>
    <row r="4173" spans="1:10">
      <c r="A4173" s="1">
        <v>27078</v>
      </c>
      <c r="B4173" s="1">
        <v>1116602707</v>
      </c>
      <c r="C4173" s="1">
        <v>16</v>
      </c>
      <c r="D4173" s="1" t="s">
        <v>938</v>
      </c>
      <c r="E4173" t="s">
        <v>8128</v>
      </c>
      <c r="F4173" s="1">
        <v>135624</v>
      </c>
      <c r="G4173" s="1">
        <v>2100068347</v>
      </c>
      <c r="H4173" s="1">
        <v>12</v>
      </c>
      <c r="I4173" s="1" t="s">
        <v>632</v>
      </c>
      <c r="J4173" t="s">
        <v>8161</v>
      </c>
    </row>
    <row r="4174" spans="1:10">
      <c r="A4174" s="1">
        <v>28944</v>
      </c>
      <c r="B4174" s="1">
        <v>1116602894</v>
      </c>
      <c r="C4174" s="1">
        <v>16</v>
      </c>
      <c r="D4174" s="1" t="s">
        <v>439</v>
      </c>
      <c r="E4174" t="s">
        <v>8128</v>
      </c>
      <c r="F4174" s="1">
        <v>135574</v>
      </c>
      <c r="G4174" s="1">
        <v>2100067847</v>
      </c>
      <c r="H4174" s="1">
        <v>12</v>
      </c>
      <c r="I4174" s="1" t="s">
        <v>954</v>
      </c>
      <c r="J4174" t="s">
        <v>8162</v>
      </c>
    </row>
    <row r="4175" spans="1:10">
      <c r="A4175" s="1">
        <v>20685</v>
      </c>
      <c r="B4175" s="1">
        <v>1116602068</v>
      </c>
      <c r="C4175" s="1">
        <v>12</v>
      </c>
      <c r="D4175" s="1" t="s">
        <v>1366</v>
      </c>
      <c r="E4175" t="s">
        <v>8128</v>
      </c>
      <c r="F4175" s="1">
        <v>135525</v>
      </c>
      <c r="G4175" s="1">
        <v>2100067840</v>
      </c>
      <c r="H4175" s="1">
        <v>12</v>
      </c>
      <c r="I4175" s="1" t="s">
        <v>632</v>
      </c>
      <c r="J4175" t="s">
        <v>8163</v>
      </c>
    </row>
    <row r="4176" spans="1:10">
      <c r="A4176" s="1">
        <v>21444</v>
      </c>
      <c r="B4176" s="1">
        <v>1116602144</v>
      </c>
      <c r="C4176" s="1">
        <v>12</v>
      </c>
      <c r="D4176" s="1" t="s">
        <v>3309</v>
      </c>
      <c r="E4176" t="s">
        <v>8128</v>
      </c>
      <c r="F4176" s="1">
        <v>135541</v>
      </c>
      <c r="G4176" s="1">
        <v>2100067846</v>
      </c>
      <c r="H4176" s="1">
        <v>12</v>
      </c>
      <c r="I4176" s="1" t="s">
        <v>632</v>
      </c>
      <c r="J4176" t="s">
        <v>8164</v>
      </c>
    </row>
    <row r="4177" spans="1:10">
      <c r="A4177" s="1">
        <v>20552</v>
      </c>
      <c r="B4177" s="1">
        <v>1116602055</v>
      </c>
      <c r="C4177" s="1">
        <v>9</v>
      </c>
      <c r="D4177" s="1" t="s">
        <v>3035</v>
      </c>
      <c r="E4177" t="s">
        <v>8128</v>
      </c>
      <c r="F4177" s="1">
        <v>135871</v>
      </c>
      <c r="G4177" s="1">
        <v>2100067916</v>
      </c>
      <c r="H4177" s="1">
        <v>12</v>
      </c>
      <c r="I4177" s="1" t="s">
        <v>632</v>
      </c>
      <c r="J4177" t="s">
        <v>8165</v>
      </c>
    </row>
    <row r="4178" spans="1:10">
      <c r="A4178" s="1">
        <v>28704</v>
      </c>
      <c r="B4178" s="1">
        <v>4113030098</v>
      </c>
      <c r="C4178" s="1">
        <v>16</v>
      </c>
      <c r="D4178" s="1" t="s">
        <v>439</v>
      </c>
      <c r="E4178" t="s">
        <v>8129</v>
      </c>
      <c r="F4178" s="1">
        <v>135830</v>
      </c>
      <c r="G4178" s="1">
        <v>2100067799</v>
      </c>
      <c r="H4178" s="1">
        <v>12</v>
      </c>
      <c r="I4178" s="1" t="s">
        <v>632</v>
      </c>
      <c r="J4178" t="s">
        <v>8166</v>
      </c>
    </row>
    <row r="4179" spans="1:10" ht="15.75">
      <c r="A4179" s="4" t="s">
        <v>10803</v>
      </c>
      <c r="B4179" s="2"/>
      <c r="C4179" s="2"/>
      <c r="D4179" s="2"/>
      <c r="E4179" s="3"/>
      <c r="F4179" s="1">
        <v>135848</v>
      </c>
      <c r="G4179" s="1">
        <v>2100067793</v>
      </c>
      <c r="H4179" s="1">
        <v>12</v>
      </c>
      <c r="I4179" s="1" t="s">
        <v>632</v>
      </c>
      <c r="J4179" t="s">
        <v>8167</v>
      </c>
    </row>
    <row r="4180" spans="1:10">
      <c r="A4180" s="2" t="s">
        <v>0</v>
      </c>
      <c r="B4180" s="2" t="s">
        <v>1</v>
      </c>
      <c r="C4180" s="2" t="s">
        <v>2</v>
      </c>
      <c r="D4180" s="2" t="s">
        <v>3</v>
      </c>
      <c r="E4180" s="3" t="s">
        <v>4</v>
      </c>
      <c r="F4180" s="1">
        <v>135897</v>
      </c>
      <c r="G4180" s="1">
        <v>2100067901</v>
      </c>
      <c r="H4180" s="1">
        <v>12</v>
      </c>
      <c r="I4180" s="1" t="s">
        <v>632</v>
      </c>
      <c r="J4180" t="s">
        <v>8168</v>
      </c>
    </row>
    <row r="4181" spans="1:10">
      <c r="A4181" s="1">
        <v>135947</v>
      </c>
      <c r="B4181" s="1">
        <v>5150028660</v>
      </c>
      <c r="C4181" s="1">
        <v>12</v>
      </c>
      <c r="D4181" s="1" t="s">
        <v>89</v>
      </c>
      <c r="E4181" t="s">
        <v>8130</v>
      </c>
      <c r="F4181" s="1">
        <v>136663</v>
      </c>
      <c r="G4181" s="1">
        <v>2100067922</v>
      </c>
      <c r="H4181" s="1">
        <v>12</v>
      </c>
      <c r="I4181" s="1" t="s">
        <v>632</v>
      </c>
      <c r="J4181" t="s">
        <v>8169</v>
      </c>
    </row>
    <row r="4182" spans="1:10">
      <c r="A4182" s="1">
        <v>119016</v>
      </c>
      <c r="B4182" s="1">
        <v>930000030</v>
      </c>
      <c r="C4182" s="1">
        <v>12</v>
      </c>
      <c r="D4182" s="1" t="s">
        <v>489</v>
      </c>
      <c r="E4182" t="s">
        <v>8131</v>
      </c>
      <c r="F4182" s="1">
        <v>122432</v>
      </c>
      <c r="G4182" s="1">
        <v>5410097765</v>
      </c>
      <c r="H4182" s="1">
        <v>12</v>
      </c>
      <c r="I4182" s="1" t="s">
        <v>632</v>
      </c>
      <c r="J4182" t="s">
        <v>8170</v>
      </c>
    </row>
    <row r="4183" spans="1:10" ht="15.75">
      <c r="A4183" s="4" t="s">
        <v>10804</v>
      </c>
      <c r="B4183" s="2"/>
      <c r="C4183" s="2"/>
      <c r="D4183" s="2"/>
      <c r="E4183" s="3"/>
      <c r="F4183" s="4" t="s">
        <v>10805</v>
      </c>
      <c r="G4183" s="2"/>
      <c r="H4183" s="2"/>
      <c r="I4183" s="2"/>
      <c r="J4183" s="3"/>
    </row>
    <row r="4184" spans="1:10">
      <c r="A4184" s="2" t="s">
        <v>0</v>
      </c>
      <c r="B4184" s="2" t="s">
        <v>1</v>
      </c>
      <c r="C4184" s="2" t="s">
        <v>2</v>
      </c>
      <c r="D4184" s="2" t="s">
        <v>3</v>
      </c>
      <c r="E4184" s="3" t="s">
        <v>4</v>
      </c>
      <c r="F4184" s="2" t="s">
        <v>0</v>
      </c>
      <c r="G4184" s="2" t="s">
        <v>1</v>
      </c>
      <c r="H4184" s="2" t="s">
        <v>2</v>
      </c>
      <c r="I4184" s="2" t="s">
        <v>3</v>
      </c>
      <c r="J4184" s="3" t="s">
        <v>4</v>
      </c>
    </row>
    <row r="4185" spans="1:10">
      <c r="A4185" s="1">
        <v>135368</v>
      </c>
      <c r="B4185" s="1">
        <v>1116613536</v>
      </c>
      <c r="C4185" s="1">
        <v>12</v>
      </c>
      <c r="D4185" s="1" t="s">
        <v>632</v>
      </c>
      <c r="E4185" t="s">
        <v>8171</v>
      </c>
      <c r="F4185" s="1">
        <v>134247</v>
      </c>
      <c r="G4185" s="1">
        <v>1116613424</v>
      </c>
      <c r="H4185" s="1">
        <v>12</v>
      </c>
      <c r="I4185" s="1" t="s">
        <v>2303</v>
      </c>
      <c r="J4185" t="s">
        <v>8208</v>
      </c>
    </row>
    <row r="4186" spans="1:10">
      <c r="A4186" s="1">
        <v>135392</v>
      </c>
      <c r="B4186" s="1">
        <v>1116613539</v>
      </c>
      <c r="C4186" s="1">
        <v>12</v>
      </c>
      <c r="D4186" s="1" t="s">
        <v>632</v>
      </c>
      <c r="E4186" t="s">
        <v>8172</v>
      </c>
      <c r="F4186" s="1">
        <v>134999</v>
      </c>
      <c r="G4186" s="1">
        <v>1116613499</v>
      </c>
      <c r="H4186" s="1">
        <v>24</v>
      </c>
      <c r="I4186" s="1" t="s">
        <v>8189</v>
      </c>
      <c r="J4186" t="s">
        <v>8208</v>
      </c>
    </row>
    <row r="4187" spans="1:10">
      <c r="A4187" s="1">
        <v>135350</v>
      </c>
      <c r="B4187" s="1">
        <v>1116613535</v>
      </c>
      <c r="C4187" s="1">
        <v>12</v>
      </c>
      <c r="D4187" s="1" t="s">
        <v>632</v>
      </c>
      <c r="E4187" t="s">
        <v>8173</v>
      </c>
      <c r="F4187" s="1">
        <v>708644</v>
      </c>
      <c r="G4187" s="1">
        <v>1121000971</v>
      </c>
      <c r="H4187" s="1">
        <v>12</v>
      </c>
      <c r="I4187" s="1" t="s">
        <v>7432</v>
      </c>
      <c r="J4187" t="s">
        <v>8209</v>
      </c>
    </row>
    <row r="4188" spans="1:10">
      <c r="A4188" s="1">
        <v>315630</v>
      </c>
      <c r="B4188" s="1">
        <v>1116601337</v>
      </c>
      <c r="C4188" s="1">
        <v>12</v>
      </c>
      <c r="D4188" s="1" t="s">
        <v>954</v>
      </c>
      <c r="E4188" t="s">
        <v>8174</v>
      </c>
      <c r="F4188" s="1">
        <v>135103</v>
      </c>
      <c r="G4188" s="1">
        <v>7550000000</v>
      </c>
      <c r="H4188" s="1">
        <v>24</v>
      </c>
      <c r="I4188" s="1" t="s">
        <v>14</v>
      </c>
      <c r="J4188" t="s">
        <v>8210</v>
      </c>
    </row>
    <row r="4189" spans="1:10">
      <c r="A4189" s="1">
        <v>238899</v>
      </c>
      <c r="B4189" s="1">
        <v>1116601338</v>
      </c>
      <c r="C4189" s="1">
        <v>12</v>
      </c>
      <c r="D4189" s="1" t="s">
        <v>954</v>
      </c>
      <c r="E4189" t="s">
        <v>8175</v>
      </c>
      <c r="F4189" s="1">
        <v>135129</v>
      </c>
      <c r="G4189" s="1">
        <v>7550000004</v>
      </c>
      <c r="H4189" s="1">
        <v>12</v>
      </c>
      <c r="I4189" s="1" t="s">
        <v>1189</v>
      </c>
      <c r="J4189" t="s">
        <v>8210</v>
      </c>
    </row>
    <row r="4190" spans="1:10">
      <c r="A4190" s="1">
        <v>456384</v>
      </c>
      <c r="B4190" s="1">
        <v>1116601339</v>
      </c>
      <c r="C4190" s="1">
        <v>12</v>
      </c>
      <c r="D4190" s="1" t="s">
        <v>954</v>
      </c>
      <c r="E4190" t="s">
        <v>8176</v>
      </c>
      <c r="F4190" s="1">
        <v>135145</v>
      </c>
      <c r="G4190" s="1">
        <v>7550000001</v>
      </c>
      <c r="H4190" s="1">
        <v>24</v>
      </c>
      <c r="I4190" s="1" t="s">
        <v>404</v>
      </c>
      <c r="J4190" t="s">
        <v>8210</v>
      </c>
    </row>
    <row r="4191" spans="1:10">
      <c r="A4191" s="1">
        <v>189704</v>
      </c>
      <c r="B4191" s="1">
        <v>5250006193</v>
      </c>
      <c r="C4191" s="1">
        <v>4</v>
      </c>
      <c r="D4191" s="1" t="s">
        <v>2258</v>
      </c>
      <c r="E4191" t="s">
        <v>8177</v>
      </c>
      <c r="F4191" s="1">
        <v>394254</v>
      </c>
      <c r="G4191" s="1">
        <v>7550020001</v>
      </c>
      <c r="H4191" s="1">
        <v>12</v>
      </c>
      <c r="I4191" s="1" t="s">
        <v>404</v>
      </c>
      <c r="J4191" t="s">
        <v>8211</v>
      </c>
    </row>
    <row r="4192" spans="1:10">
      <c r="A4192" s="1">
        <v>136507</v>
      </c>
      <c r="B4192" s="1">
        <v>5250005702</v>
      </c>
      <c r="C4192" s="1">
        <v>12</v>
      </c>
      <c r="D4192" s="1" t="s">
        <v>632</v>
      </c>
      <c r="E4192" t="s">
        <v>8177</v>
      </c>
      <c r="F4192" s="1">
        <v>142190</v>
      </c>
      <c r="G4192" s="1">
        <v>7550000011</v>
      </c>
      <c r="H4192" s="1">
        <v>12</v>
      </c>
      <c r="I4192" s="1" t="s">
        <v>706</v>
      </c>
      <c r="J4192" t="s">
        <v>8212</v>
      </c>
    </row>
    <row r="4193" spans="1:10">
      <c r="A4193" s="1">
        <v>136671</v>
      </c>
      <c r="B4193" s="1">
        <v>5250005712</v>
      </c>
      <c r="C4193" s="1">
        <v>12</v>
      </c>
      <c r="D4193" s="1" t="s">
        <v>632</v>
      </c>
      <c r="E4193" t="s">
        <v>8178</v>
      </c>
      <c r="F4193" s="1">
        <v>135178</v>
      </c>
      <c r="G4193" s="1">
        <v>7550000002</v>
      </c>
      <c r="H4193" s="1">
        <v>12</v>
      </c>
      <c r="I4193" s="1" t="s">
        <v>347</v>
      </c>
      <c r="J4193" t="s">
        <v>8213</v>
      </c>
    </row>
    <row r="4194" spans="1:10">
      <c r="A4194" s="1">
        <v>138248</v>
      </c>
      <c r="B4194" s="1">
        <v>1340935150</v>
      </c>
      <c r="C4194" s="1">
        <v>12</v>
      </c>
      <c r="D4194" s="1" t="s">
        <v>632</v>
      </c>
      <c r="E4194" t="s">
        <v>8179</v>
      </c>
      <c r="F4194" s="1">
        <v>101170</v>
      </c>
      <c r="G4194" s="1">
        <v>7550000005</v>
      </c>
      <c r="H4194" s="1">
        <v>12</v>
      </c>
      <c r="I4194" s="1" t="s">
        <v>347</v>
      </c>
      <c r="J4194" t="s">
        <v>8214</v>
      </c>
    </row>
    <row r="4195" spans="1:10">
      <c r="A4195" s="1">
        <v>409110</v>
      </c>
      <c r="B4195" s="1">
        <v>1340934341</v>
      </c>
      <c r="C4195" s="1">
        <v>12</v>
      </c>
      <c r="D4195" s="1" t="s">
        <v>954</v>
      </c>
      <c r="E4195" t="s">
        <v>8180</v>
      </c>
      <c r="F4195" s="1">
        <v>742676</v>
      </c>
      <c r="G4195" s="1">
        <v>7550030001</v>
      </c>
      <c r="H4195" s="1">
        <v>12</v>
      </c>
      <c r="I4195" s="1" t="s">
        <v>404</v>
      </c>
      <c r="J4195" t="s">
        <v>8215</v>
      </c>
    </row>
    <row r="4196" spans="1:10" ht="15.75">
      <c r="A4196" s="1">
        <v>135020</v>
      </c>
      <c r="B4196" s="1">
        <v>1340991810</v>
      </c>
      <c r="C4196" s="1">
        <v>12</v>
      </c>
      <c r="D4196" s="1" t="s">
        <v>632</v>
      </c>
      <c r="E4196" t="s">
        <v>8181</v>
      </c>
      <c r="F4196" s="4" t="s">
        <v>10806</v>
      </c>
      <c r="G4196" s="2"/>
      <c r="H4196" s="2"/>
      <c r="I4196" s="2"/>
      <c r="J4196" s="3"/>
    </row>
    <row r="4197" spans="1:10">
      <c r="A4197" s="1">
        <v>839225</v>
      </c>
      <c r="B4197" s="1">
        <v>1340935231</v>
      </c>
      <c r="C4197" s="1">
        <v>12</v>
      </c>
      <c r="D4197" s="1" t="s">
        <v>954</v>
      </c>
      <c r="E4197" t="s">
        <v>8182</v>
      </c>
      <c r="F4197" s="2" t="s">
        <v>0</v>
      </c>
      <c r="G4197" s="2" t="s">
        <v>1</v>
      </c>
      <c r="H4197" s="2" t="s">
        <v>2</v>
      </c>
      <c r="I4197" s="2" t="s">
        <v>3</v>
      </c>
      <c r="J4197" s="3" t="s">
        <v>4</v>
      </c>
    </row>
    <row r="4198" spans="1:10">
      <c r="A4198" s="1">
        <v>135509</v>
      </c>
      <c r="B4198" s="1">
        <v>1340934115</v>
      </c>
      <c r="C4198" s="1">
        <v>12</v>
      </c>
      <c r="D4198" s="1" t="s">
        <v>632</v>
      </c>
      <c r="E4198" t="s">
        <v>8183</v>
      </c>
      <c r="F4198" s="1">
        <v>102533</v>
      </c>
      <c r="G4198" s="1">
        <v>5440000162</v>
      </c>
      <c r="H4198" s="1">
        <v>6</v>
      </c>
      <c r="I4198" s="1" t="s">
        <v>1191</v>
      </c>
      <c r="J4198" t="s">
        <v>8216</v>
      </c>
    </row>
    <row r="4199" spans="1:10" ht="15.75">
      <c r="A4199" s="4" t="s">
        <v>10805</v>
      </c>
      <c r="B4199" s="2"/>
      <c r="C4199" s="2"/>
      <c r="D4199" s="2"/>
      <c r="E4199" s="3"/>
      <c r="F4199" s="1">
        <v>9373</v>
      </c>
      <c r="G4199" s="1">
        <v>5440000166</v>
      </c>
      <c r="H4199" s="1">
        <v>6</v>
      </c>
      <c r="I4199" s="1" t="s">
        <v>381</v>
      </c>
      <c r="J4199" t="s">
        <v>8217</v>
      </c>
    </row>
    <row r="4200" spans="1:10">
      <c r="A4200" s="2" t="s">
        <v>0</v>
      </c>
      <c r="B4200" s="2" t="s">
        <v>1</v>
      </c>
      <c r="C4200" s="2" t="s">
        <v>2</v>
      </c>
      <c r="D4200" s="2" t="s">
        <v>3</v>
      </c>
      <c r="E4200" s="3" t="s">
        <v>4</v>
      </c>
      <c r="F4200" s="1">
        <v>102244</v>
      </c>
      <c r="G4200" s="1">
        <v>5440000171</v>
      </c>
      <c r="H4200" s="1">
        <v>6</v>
      </c>
      <c r="I4200" s="1" t="s">
        <v>1191</v>
      </c>
      <c r="J4200" t="s">
        <v>8218</v>
      </c>
    </row>
    <row r="4201" spans="1:10">
      <c r="A4201" s="1">
        <v>279810</v>
      </c>
      <c r="B4201" s="1">
        <v>5000015760</v>
      </c>
      <c r="C4201" s="1">
        <v>6</v>
      </c>
      <c r="D4201" s="1" t="s">
        <v>3398</v>
      </c>
      <c r="E4201" t="s">
        <v>8184</v>
      </c>
      <c r="F4201" s="1">
        <v>134544</v>
      </c>
      <c r="G4201" s="1">
        <v>5440000009</v>
      </c>
      <c r="H4201" s="1">
        <v>24</v>
      </c>
      <c r="I4201" s="1" t="s">
        <v>394</v>
      </c>
      <c r="J4201" t="s">
        <v>8219</v>
      </c>
    </row>
    <row r="4202" spans="1:10">
      <c r="A4202" s="1">
        <v>134585</v>
      </c>
      <c r="B4202" s="1">
        <v>5150028646</v>
      </c>
      <c r="C4202" s="1">
        <v>12</v>
      </c>
      <c r="D4202" s="1" t="s">
        <v>347</v>
      </c>
      <c r="E4202" t="s">
        <v>8185</v>
      </c>
      <c r="F4202" s="1">
        <v>100966</v>
      </c>
      <c r="G4202" s="1">
        <v>5440001277</v>
      </c>
      <c r="H4202" s="1">
        <v>12</v>
      </c>
      <c r="I4202" s="1" t="s">
        <v>489</v>
      </c>
      <c r="J4202" t="s">
        <v>8220</v>
      </c>
    </row>
    <row r="4203" spans="1:10">
      <c r="A4203" s="1">
        <v>136036</v>
      </c>
      <c r="B4203" s="1">
        <v>5150028647</v>
      </c>
      <c r="C4203" s="1">
        <v>6</v>
      </c>
      <c r="D4203" s="1" t="s">
        <v>489</v>
      </c>
      <c r="E4203" t="s">
        <v>8186</v>
      </c>
      <c r="F4203" s="1">
        <v>100818</v>
      </c>
      <c r="G4203" s="1">
        <v>5440000004</v>
      </c>
      <c r="H4203" s="1">
        <v>12</v>
      </c>
      <c r="I4203" s="1" t="s">
        <v>910</v>
      </c>
      <c r="J4203" t="s">
        <v>8221</v>
      </c>
    </row>
    <row r="4204" spans="1:10">
      <c r="A4204" s="1">
        <v>135954</v>
      </c>
      <c r="B4204" s="1">
        <v>5150028620</v>
      </c>
      <c r="C4204" s="1">
        <v>6</v>
      </c>
      <c r="D4204" s="1" t="s">
        <v>546</v>
      </c>
      <c r="E4204" t="s">
        <v>8187</v>
      </c>
      <c r="F4204" s="1">
        <v>104604</v>
      </c>
      <c r="G4204" s="1">
        <v>5440000163</v>
      </c>
      <c r="H4204" s="1">
        <v>6</v>
      </c>
      <c r="I4204" s="1" t="s">
        <v>1191</v>
      </c>
      <c r="J4204" t="s">
        <v>8222</v>
      </c>
    </row>
    <row r="4205" spans="1:10">
      <c r="A4205" s="1">
        <v>132951</v>
      </c>
      <c r="B4205" s="1">
        <v>4840000004</v>
      </c>
      <c r="C4205" s="1">
        <v>12</v>
      </c>
      <c r="D4205" s="1" t="s">
        <v>1189</v>
      </c>
      <c r="E4205" t="s">
        <v>8188</v>
      </c>
      <c r="F4205" s="1">
        <v>2683</v>
      </c>
      <c r="G4205" s="1">
        <v>5440020021</v>
      </c>
      <c r="H4205" s="1">
        <v>6</v>
      </c>
      <c r="I4205" s="1" t="s">
        <v>1191</v>
      </c>
      <c r="J4205" t="s">
        <v>8223</v>
      </c>
    </row>
    <row r="4206" spans="1:10">
      <c r="A4206" s="1">
        <v>135152</v>
      </c>
      <c r="B4206" s="1">
        <v>4840000002</v>
      </c>
      <c r="C4206" s="1">
        <v>24</v>
      </c>
      <c r="D4206" s="1" t="s">
        <v>8189</v>
      </c>
      <c r="E4206" t="s">
        <v>8190</v>
      </c>
      <c r="F4206" s="1">
        <v>134569</v>
      </c>
      <c r="G4206" s="1">
        <v>5440000005</v>
      </c>
      <c r="H4206" s="1">
        <v>12</v>
      </c>
      <c r="I4206" s="1" t="s">
        <v>4819</v>
      </c>
      <c r="J4206" t="s">
        <v>8224</v>
      </c>
    </row>
    <row r="4207" spans="1:10">
      <c r="A4207" s="1">
        <v>135160</v>
      </c>
      <c r="B4207" s="1">
        <v>4840000010</v>
      </c>
      <c r="C4207" s="1">
        <v>12</v>
      </c>
      <c r="D4207" s="1" t="s">
        <v>2303</v>
      </c>
      <c r="E4207" t="s">
        <v>8191</v>
      </c>
      <c r="F4207" s="1">
        <v>447474</v>
      </c>
      <c r="G4207" s="1">
        <v>4113038639</v>
      </c>
      <c r="H4207" s="1">
        <v>12</v>
      </c>
      <c r="I4207" s="1" t="s">
        <v>2303</v>
      </c>
      <c r="J4207" t="s">
        <v>8225</v>
      </c>
    </row>
    <row r="4208" spans="1:10">
      <c r="A4208" s="1">
        <v>585018</v>
      </c>
      <c r="B4208" s="1">
        <v>4150081843</v>
      </c>
      <c r="C4208" s="1">
        <v>12</v>
      </c>
      <c r="D4208" s="1" t="s">
        <v>2303</v>
      </c>
      <c r="E4208" t="s">
        <v>8192</v>
      </c>
      <c r="F4208" s="1">
        <v>48884</v>
      </c>
      <c r="G4208" s="1">
        <v>4113038626</v>
      </c>
      <c r="H4208" s="1">
        <v>12</v>
      </c>
      <c r="I4208" s="1" t="s">
        <v>2303</v>
      </c>
      <c r="J4208" t="s">
        <v>8226</v>
      </c>
    </row>
    <row r="4209" spans="1:10">
      <c r="A4209" s="1">
        <v>216184</v>
      </c>
      <c r="B4209" s="1">
        <v>4150082085</v>
      </c>
      <c r="C4209" s="1">
        <v>12</v>
      </c>
      <c r="D4209" s="1" t="s">
        <v>2303</v>
      </c>
      <c r="E4209" t="s">
        <v>8193</v>
      </c>
      <c r="F4209" s="1">
        <v>316166</v>
      </c>
      <c r="G4209" s="1">
        <v>4113038627</v>
      </c>
      <c r="H4209" s="1">
        <v>12</v>
      </c>
      <c r="I4209" s="1" t="s">
        <v>2303</v>
      </c>
      <c r="J4209" t="s">
        <v>8227</v>
      </c>
    </row>
    <row r="4210" spans="1:10">
      <c r="A4210" s="1">
        <v>135970</v>
      </c>
      <c r="B4210" s="1">
        <v>4150080502</v>
      </c>
      <c r="C4210" s="1">
        <v>12</v>
      </c>
      <c r="D4210" s="1" t="s">
        <v>2303</v>
      </c>
      <c r="E4210" t="s">
        <v>8194</v>
      </c>
      <c r="F4210" s="1">
        <v>315424</v>
      </c>
      <c r="G4210" s="1">
        <v>4113038630</v>
      </c>
      <c r="H4210" s="1">
        <v>12</v>
      </c>
      <c r="I4210" s="1" t="s">
        <v>2303</v>
      </c>
      <c r="J4210" t="s">
        <v>8228</v>
      </c>
    </row>
    <row r="4211" spans="1:10">
      <c r="A4211" s="1">
        <v>334029</v>
      </c>
      <c r="B4211" s="1">
        <v>4150081846</v>
      </c>
      <c r="C4211" s="1">
        <v>12</v>
      </c>
      <c r="D4211" s="1" t="s">
        <v>2826</v>
      </c>
      <c r="E4211" t="s">
        <v>8195</v>
      </c>
      <c r="F4211" s="1">
        <v>883371</v>
      </c>
      <c r="G4211" s="1">
        <v>4113038629</v>
      </c>
      <c r="H4211" s="1">
        <v>12</v>
      </c>
      <c r="I4211" s="1" t="s">
        <v>2303</v>
      </c>
      <c r="J4211" t="s">
        <v>8229</v>
      </c>
    </row>
    <row r="4212" spans="1:10">
      <c r="A4212" s="1">
        <v>310706</v>
      </c>
      <c r="B4212" s="1">
        <v>73639340200</v>
      </c>
      <c r="C4212" s="1">
        <v>12</v>
      </c>
      <c r="D4212" s="1" t="s">
        <v>2303</v>
      </c>
      <c r="E4212" t="s">
        <v>8196</v>
      </c>
      <c r="F4212" s="1">
        <v>184861</v>
      </c>
      <c r="G4212" s="1">
        <v>4113038628</v>
      </c>
      <c r="H4212" s="1">
        <v>12</v>
      </c>
      <c r="I4212" s="1" t="s">
        <v>2303</v>
      </c>
      <c r="J4212" t="s">
        <v>8230</v>
      </c>
    </row>
    <row r="4213" spans="1:10">
      <c r="A4213" s="1">
        <v>100230</v>
      </c>
      <c r="B4213" s="1">
        <v>1300000113</v>
      </c>
      <c r="C4213" s="1">
        <v>12</v>
      </c>
      <c r="D4213" s="1" t="s">
        <v>347</v>
      </c>
      <c r="E4213" t="s">
        <v>8197</v>
      </c>
      <c r="F4213" s="1">
        <v>314484</v>
      </c>
      <c r="G4213" s="1">
        <v>4113038631</v>
      </c>
      <c r="H4213" s="1">
        <v>12</v>
      </c>
      <c r="I4213" s="1" t="s">
        <v>2303</v>
      </c>
      <c r="J4213" t="s">
        <v>8231</v>
      </c>
    </row>
    <row r="4214" spans="1:10">
      <c r="A4214" s="1">
        <v>261438</v>
      </c>
      <c r="B4214" s="1">
        <v>1300000170</v>
      </c>
      <c r="C4214" s="1">
        <v>12</v>
      </c>
      <c r="D4214" s="1" t="s">
        <v>347</v>
      </c>
      <c r="E4214" t="s">
        <v>8198</v>
      </c>
      <c r="F4214" s="1">
        <v>337444</v>
      </c>
      <c r="G4214" s="1">
        <v>4113038632</v>
      </c>
      <c r="H4214" s="1">
        <v>12</v>
      </c>
      <c r="I4214" s="1" t="s">
        <v>2303</v>
      </c>
      <c r="J4214" t="s">
        <v>8232</v>
      </c>
    </row>
    <row r="4215" spans="1:10">
      <c r="A4215" s="1">
        <v>104430</v>
      </c>
      <c r="B4215" s="1">
        <v>2100064947</v>
      </c>
      <c r="C4215" s="1">
        <v>12</v>
      </c>
      <c r="D4215" s="1" t="s">
        <v>4819</v>
      </c>
      <c r="E4215" t="s">
        <v>8199</v>
      </c>
      <c r="F4215" s="1">
        <v>424424</v>
      </c>
      <c r="G4215" s="1">
        <v>4113038625</v>
      </c>
      <c r="H4215" s="1">
        <v>12</v>
      </c>
      <c r="I4215" s="1" t="s">
        <v>2303</v>
      </c>
      <c r="J4215" t="s">
        <v>8233</v>
      </c>
    </row>
    <row r="4216" spans="1:10">
      <c r="A4216" s="1">
        <v>104638</v>
      </c>
      <c r="B4216" s="1">
        <v>2100064944</v>
      </c>
      <c r="C4216" s="1">
        <v>12</v>
      </c>
      <c r="D4216" s="1" t="s">
        <v>489</v>
      </c>
      <c r="E4216" t="s">
        <v>8200</v>
      </c>
      <c r="F4216" s="1">
        <v>131276</v>
      </c>
      <c r="G4216" s="1">
        <v>5250005111</v>
      </c>
      <c r="H4216" s="1">
        <v>12</v>
      </c>
      <c r="I4216" s="1" t="s">
        <v>399</v>
      </c>
      <c r="J4216" t="s">
        <v>8234</v>
      </c>
    </row>
    <row r="4217" spans="1:10">
      <c r="A4217" s="1">
        <v>419226</v>
      </c>
      <c r="B4217" s="1">
        <v>1760002177</v>
      </c>
      <c r="C4217" s="1">
        <v>12</v>
      </c>
      <c r="D4217" s="1" t="s">
        <v>2303</v>
      </c>
      <c r="E4217" t="s">
        <v>8201</v>
      </c>
      <c r="F4217" s="1">
        <v>134437</v>
      </c>
      <c r="G4217" s="1">
        <v>4150001318</v>
      </c>
      <c r="H4217" s="1">
        <v>12</v>
      </c>
      <c r="I4217" s="1" t="s">
        <v>2826</v>
      </c>
      <c r="J4217" t="s">
        <v>8235</v>
      </c>
    </row>
    <row r="4218" spans="1:10">
      <c r="A4218" s="1">
        <v>814582</v>
      </c>
      <c r="B4218" s="1">
        <v>1760002150</v>
      </c>
      <c r="C4218" s="1">
        <v>12</v>
      </c>
      <c r="D4218" s="1" t="s">
        <v>2303</v>
      </c>
      <c r="E4218" t="s">
        <v>8202</v>
      </c>
      <c r="F4218" s="1">
        <v>134981</v>
      </c>
      <c r="G4218" s="1">
        <v>4150001302</v>
      </c>
      <c r="H4218" s="1">
        <v>12</v>
      </c>
      <c r="I4218" s="1" t="s">
        <v>2308</v>
      </c>
      <c r="J4218" t="s">
        <v>8235</v>
      </c>
    </row>
    <row r="4219" spans="1:10">
      <c r="A4219" s="1">
        <v>135517</v>
      </c>
      <c r="B4219" s="1">
        <v>1121000001</v>
      </c>
      <c r="C4219" s="1">
        <v>24</v>
      </c>
      <c r="D4219" s="1" t="s">
        <v>7432</v>
      </c>
      <c r="E4219" t="s">
        <v>8203</v>
      </c>
      <c r="F4219" s="1">
        <v>134577</v>
      </c>
      <c r="G4219" s="1">
        <v>4150001310</v>
      </c>
      <c r="H4219" s="1">
        <v>12</v>
      </c>
      <c r="I4219" s="1" t="s">
        <v>4819</v>
      </c>
      <c r="J4219" t="s">
        <v>8236</v>
      </c>
    </row>
    <row r="4220" spans="1:10">
      <c r="A4220" s="1">
        <v>141259</v>
      </c>
      <c r="B4220" s="1">
        <v>1121000015</v>
      </c>
      <c r="C4220" s="1">
        <v>12</v>
      </c>
      <c r="D4220" s="1" t="s">
        <v>2308</v>
      </c>
      <c r="E4220" t="s">
        <v>8204</v>
      </c>
      <c r="F4220" s="1">
        <v>687202</v>
      </c>
      <c r="G4220" s="1">
        <v>1300052680</v>
      </c>
      <c r="H4220" s="1">
        <v>12</v>
      </c>
      <c r="I4220" s="1" t="s">
        <v>938</v>
      </c>
      <c r="J4220" t="s">
        <v>8237</v>
      </c>
    </row>
    <row r="4221" spans="1:10">
      <c r="A4221" s="1">
        <v>135731</v>
      </c>
      <c r="B4221" s="1">
        <v>1121000770</v>
      </c>
      <c r="C4221" s="1">
        <v>12</v>
      </c>
      <c r="D4221" s="1" t="s">
        <v>2308</v>
      </c>
      <c r="E4221" t="s">
        <v>8205</v>
      </c>
      <c r="F4221" s="1">
        <v>740993</v>
      </c>
      <c r="G4221" s="1">
        <v>1300000802</v>
      </c>
      <c r="H4221" s="1">
        <v>12</v>
      </c>
      <c r="I4221" s="1" t="s">
        <v>489</v>
      </c>
      <c r="J4221" t="s">
        <v>8238</v>
      </c>
    </row>
    <row r="4222" spans="1:10">
      <c r="A4222" s="1">
        <v>171975</v>
      </c>
      <c r="B4222" s="1">
        <v>4119606053</v>
      </c>
      <c r="C4222" s="1">
        <v>12</v>
      </c>
      <c r="D4222" s="1" t="s">
        <v>370</v>
      </c>
      <c r="E4222" t="s">
        <v>8206</v>
      </c>
      <c r="F4222" s="1">
        <v>134924</v>
      </c>
      <c r="G4222" s="1">
        <v>1300000269</v>
      </c>
      <c r="H4222" s="1">
        <v>12</v>
      </c>
      <c r="I4222" s="1" t="s">
        <v>394</v>
      </c>
      <c r="J4222" t="s">
        <v>8239</v>
      </c>
    </row>
    <row r="4223" spans="1:10">
      <c r="A4223" s="1">
        <v>134288</v>
      </c>
      <c r="B4223" s="1">
        <v>1116613428</v>
      </c>
      <c r="C4223" s="1">
        <v>12</v>
      </c>
      <c r="D4223" s="1" t="s">
        <v>347</v>
      </c>
      <c r="E4223" t="s">
        <v>8207</v>
      </c>
      <c r="F4223" s="1">
        <v>28860</v>
      </c>
      <c r="G4223" s="1">
        <v>1300000112</v>
      </c>
      <c r="H4223" s="1">
        <v>12</v>
      </c>
      <c r="I4223" s="1" t="s">
        <v>347</v>
      </c>
      <c r="J4223" t="s">
        <v>8240</v>
      </c>
    </row>
    <row r="4224" spans="1:10" ht="15.75">
      <c r="A4224" s="4" t="s">
        <v>10806</v>
      </c>
      <c r="B4224" s="2"/>
      <c r="C4224" s="2"/>
      <c r="D4224" s="2"/>
      <c r="E4224" s="3"/>
      <c r="F4224" s="4" t="s">
        <v>10806</v>
      </c>
      <c r="G4224" s="2"/>
      <c r="H4224" s="2"/>
      <c r="I4224" s="2"/>
      <c r="J4224" s="3"/>
    </row>
    <row r="4225" spans="1:10">
      <c r="A4225" s="2" t="s">
        <v>0</v>
      </c>
      <c r="B4225" s="2" t="s">
        <v>1</v>
      </c>
      <c r="C4225" s="2" t="s">
        <v>2</v>
      </c>
      <c r="D4225" s="2" t="s">
        <v>3</v>
      </c>
      <c r="E4225" s="3" t="s">
        <v>4</v>
      </c>
      <c r="F4225" s="2" t="s">
        <v>0</v>
      </c>
      <c r="G4225" s="2" t="s">
        <v>1</v>
      </c>
      <c r="H4225" s="2" t="s">
        <v>2</v>
      </c>
      <c r="I4225" s="2" t="s">
        <v>3</v>
      </c>
      <c r="J4225" s="3" t="s">
        <v>4</v>
      </c>
    </row>
    <row r="4226" spans="1:10">
      <c r="A4226" s="1">
        <v>134916</v>
      </c>
      <c r="B4226" s="1">
        <v>1300000264</v>
      </c>
      <c r="C4226" s="1">
        <v>12</v>
      </c>
      <c r="D4226" s="1" t="s">
        <v>489</v>
      </c>
      <c r="E4226" t="s">
        <v>8241</v>
      </c>
      <c r="F4226" s="1">
        <v>134304</v>
      </c>
      <c r="G4226" s="1">
        <v>1116613430</v>
      </c>
      <c r="H4226" s="1">
        <v>12</v>
      </c>
      <c r="I4226" s="1" t="s">
        <v>347</v>
      </c>
      <c r="J4226" t="s">
        <v>8279</v>
      </c>
    </row>
    <row r="4227" spans="1:10">
      <c r="A4227" s="1">
        <v>134957</v>
      </c>
      <c r="B4227" s="1">
        <v>1300000284</v>
      </c>
      <c r="C4227" s="1">
        <v>12</v>
      </c>
      <c r="D4227" s="1" t="s">
        <v>2303</v>
      </c>
      <c r="E4227" t="s">
        <v>8242</v>
      </c>
      <c r="F4227" s="1">
        <v>128538</v>
      </c>
      <c r="G4227" s="1">
        <v>1116612853</v>
      </c>
      <c r="H4227" s="1">
        <v>12</v>
      </c>
      <c r="I4227" s="1" t="s">
        <v>489</v>
      </c>
      <c r="J4227" t="s">
        <v>8280</v>
      </c>
    </row>
    <row r="4228" spans="1:10">
      <c r="A4228" s="1">
        <v>516799</v>
      </c>
      <c r="B4228" s="1">
        <v>4800102580</v>
      </c>
      <c r="C4228" s="1">
        <v>12</v>
      </c>
      <c r="D4228" s="1" t="s">
        <v>7815</v>
      </c>
      <c r="E4228" t="s">
        <v>8243</v>
      </c>
      <c r="F4228" s="1">
        <v>100198</v>
      </c>
      <c r="G4228" s="1">
        <v>1116610019</v>
      </c>
      <c r="H4228" s="1">
        <v>12</v>
      </c>
      <c r="I4228" s="1" t="s">
        <v>489</v>
      </c>
      <c r="J4228" t="s">
        <v>8281</v>
      </c>
    </row>
    <row r="4229" spans="1:10">
      <c r="A4229" s="1">
        <v>104471</v>
      </c>
      <c r="B4229" s="1">
        <v>7460905439</v>
      </c>
      <c r="C4229" s="1">
        <v>6</v>
      </c>
      <c r="D4229" s="1" t="s">
        <v>1191</v>
      </c>
      <c r="E4229" t="s">
        <v>8244</v>
      </c>
      <c r="F4229" s="1">
        <v>131565</v>
      </c>
      <c r="G4229" s="1">
        <v>1116613156</v>
      </c>
      <c r="H4229" s="1">
        <v>12</v>
      </c>
      <c r="I4229" s="1" t="s">
        <v>2758</v>
      </c>
      <c r="J4229" t="s">
        <v>8282</v>
      </c>
    </row>
    <row r="4230" spans="1:10">
      <c r="A4230" s="1">
        <v>104794</v>
      </c>
      <c r="B4230" s="1">
        <v>7460900006</v>
      </c>
      <c r="C4230" s="1">
        <v>6</v>
      </c>
      <c r="D4230" s="1" t="s">
        <v>1191</v>
      </c>
      <c r="E4230" t="s">
        <v>8245</v>
      </c>
      <c r="F4230" s="1">
        <v>97832</v>
      </c>
      <c r="G4230" s="1">
        <v>1116609783</v>
      </c>
      <c r="H4230" s="1">
        <v>12</v>
      </c>
      <c r="I4230" s="1" t="s">
        <v>4819</v>
      </c>
      <c r="J4230" t="s">
        <v>8283</v>
      </c>
    </row>
    <row r="4231" spans="1:10">
      <c r="A4231" s="1">
        <v>105239</v>
      </c>
      <c r="B4231" s="1">
        <v>7460900007</v>
      </c>
      <c r="C4231" s="1">
        <v>6</v>
      </c>
      <c r="D4231" s="1" t="s">
        <v>1191</v>
      </c>
      <c r="E4231" t="s">
        <v>8246</v>
      </c>
      <c r="F4231" s="1">
        <v>135632</v>
      </c>
      <c r="G4231" s="1">
        <v>4142117745</v>
      </c>
      <c r="H4231" s="1">
        <v>12</v>
      </c>
      <c r="I4231" s="1" t="s">
        <v>89</v>
      </c>
      <c r="J4231" t="s">
        <v>8284</v>
      </c>
    </row>
    <row r="4232" spans="1:10" ht="15.75">
      <c r="A4232" s="1">
        <v>479238</v>
      </c>
      <c r="B4232" s="1">
        <v>7460909268</v>
      </c>
      <c r="C4232" s="1">
        <v>6</v>
      </c>
      <c r="D4232" s="1" t="s">
        <v>1191</v>
      </c>
      <c r="E4232" t="s">
        <v>8247</v>
      </c>
      <c r="F4232" s="4" t="s">
        <v>10807</v>
      </c>
      <c r="G4232" s="2"/>
      <c r="H4232" s="2"/>
      <c r="I4232" s="2"/>
      <c r="J4232" s="3"/>
    </row>
    <row r="4233" spans="1:10">
      <c r="A4233" s="1">
        <v>103333</v>
      </c>
      <c r="B4233" s="1">
        <v>7460905431</v>
      </c>
      <c r="C4233" s="1">
        <v>6</v>
      </c>
      <c r="D4233" s="1" t="s">
        <v>1191</v>
      </c>
      <c r="E4233" t="s">
        <v>8248</v>
      </c>
      <c r="F4233" s="2" t="s">
        <v>0</v>
      </c>
      <c r="G4233" s="2" t="s">
        <v>1</v>
      </c>
      <c r="H4233" s="2" t="s">
        <v>2</v>
      </c>
      <c r="I4233" s="2" t="s">
        <v>3</v>
      </c>
      <c r="J4233" s="3" t="s">
        <v>4</v>
      </c>
    </row>
    <row r="4234" spans="1:10">
      <c r="A4234" s="1">
        <v>142000</v>
      </c>
      <c r="B4234" s="1">
        <v>7460905449</v>
      </c>
      <c r="C4234" s="1">
        <v>6</v>
      </c>
      <c r="D4234" s="1" t="s">
        <v>1191</v>
      </c>
      <c r="E4234" t="s">
        <v>8249</v>
      </c>
      <c r="F4234" s="1">
        <v>752030</v>
      </c>
      <c r="G4234" s="1">
        <v>4166000844</v>
      </c>
      <c r="H4234" s="1">
        <v>12</v>
      </c>
      <c r="I4234" s="1" t="s">
        <v>2557</v>
      </c>
      <c r="J4234" t="s">
        <v>8285</v>
      </c>
    </row>
    <row r="4235" spans="1:10">
      <c r="A4235" s="1">
        <v>96206</v>
      </c>
      <c r="B4235" s="1">
        <v>4133533296</v>
      </c>
      <c r="C4235" s="1">
        <v>6</v>
      </c>
      <c r="D4235" s="1" t="s">
        <v>1191</v>
      </c>
      <c r="E4235" t="s">
        <v>8250</v>
      </c>
      <c r="F4235" s="1">
        <v>543843</v>
      </c>
      <c r="G4235" s="1">
        <v>4166000823</v>
      </c>
      <c r="H4235" s="1">
        <v>12</v>
      </c>
      <c r="I4235" s="1" t="s">
        <v>2557</v>
      </c>
      <c r="J4235" t="s">
        <v>8286</v>
      </c>
    </row>
    <row r="4236" spans="1:10">
      <c r="A4236" s="1">
        <v>106906</v>
      </c>
      <c r="B4236" s="1">
        <v>4133500183</v>
      </c>
      <c r="C4236" s="1">
        <v>6</v>
      </c>
      <c r="D4236" s="1" t="s">
        <v>1191</v>
      </c>
      <c r="E4236" t="s">
        <v>8251</v>
      </c>
      <c r="F4236" s="1">
        <v>773663</v>
      </c>
      <c r="G4236" s="1">
        <v>4166000828</v>
      </c>
      <c r="H4236" s="1">
        <v>12</v>
      </c>
      <c r="I4236" s="1" t="s">
        <v>2557</v>
      </c>
      <c r="J4236" t="s">
        <v>8287</v>
      </c>
    </row>
    <row r="4237" spans="1:10">
      <c r="A4237" s="1">
        <v>106013</v>
      </c>
      <c r="B4237" s="1">
        <v>4133500186</v>
      </c>
      <c r="C4237" s="1">
        <v>6</v>
      </c>
      <c r="D4237" s="1" t="s">
        <v>1191</v>
      </c>
      <c r="E4237" t="s">
        <v>8252</v>
      </c>
      <c r="F4237" s="1">
        <v>704247</v>
      </c>
      <c r="G4237" s="1">
        <v>4166000829</v>
      </c>
      <c r="H4237" s="1">
        <v>12</v>
      </c>
      <c r="I4237" s="1" t="s">
        <v>2557</v>
      </c>
      <c r="J4237" t="s">
        <v>8288</v>
      </c>
    </row>
    <row r="4238" spans="1:10">
      <c r="A4238" s="1">
        <v>106922</v>
      </c>
      <c r="B4238" s="1">
        <v>4133500185</v>
      </c>
      <c r="C4238" s="1">
        <v>6</v>
      </c>
      <c r="D4238" s="1" t="s">
        <v>1191</v>
      </c>
      <c r="E4238" t="s">
        <v>8253</v>
      </c>
      <c r="F4238" s="1">
        <v>365981</v>
      </c>
      <c r="G4238" s="1">
        <v>4166000841</v>
      </c>
      <c r="H4238" s="1">
        <v>12</v>
      </c>
      <c r="I4238" s="1" t="s">
        <v>2557</v>
      </c>
      <c r="J4238" t="s">
        <v>8289</v>
      </c>
    </row>
    <row r="4239" spans="1:10">
      <c r="A4239" s="1">
        <v>225508</v>
      </c>
      <c r="B4239" s="1">
        <v>4133532936</v>
      </c>
      <c r="C4239" s="1">
        <v>6</v>
      </c>
      <c r="D4239" s="1" t="s">
        <v>1191</v>
      </c>
      <c r="E4239" t="s">
        <v>8254</v>
      </c>
      <c r="F4239" s="1">
        <v>186601</v>
      </c>
      <c r="G4239" s="1">
        <v>4166000824</v>
      </c>
      <c r="H4239" s="1">
        <v>12</v>
      </c>
      <c r="I4239" s="1" t="s">
        <v>2557</v>
      </c>
      <c r="J4239" t="s">
        <v>8290</v>
      </c>
    </row>
    <row r="4240" spans="1:10">
      <c r="A4240" s="1">
        <v>106898</v>
      </c>
      <c r="B4240" s="1">
        <v>4133500182</v>
      </c>
      <c r="C4240" s="1">
        <v>6</v>
      </c>
      <c r="D4240" s="1" t="s">
        <v>1191</v>
      </c>
      <c r="E4240" t="s">
        <v>8255</v>
      </c>
      <c r="F4240" s="1">
        <v>589622</v>
      </c>
      <c r="G4240" s="1">
        <v>4166000842</v>
      </c>
      <c r="H4240" s="1">
        <v>12</v>
      </c>
      <c r="I4240" s="1" t="s">
        <v>2557</v>
      </c>
      <c r="J4240" t="s">
        <v>8291</v>
      </c>
    </row>
    <row r="4241" spans="1:10">
      <c r="A4241" s="1">
        <v>104406</v>
      </c>
      <c r="B4241" s="1">
        <v>2100064946</v>
      </c>
      <c r="C4241" s="1">
        <v>12</v>
      </c>
      <c r="D4241" s="1" t="s">
        <v>4819</v>
      </c>
      <c r="E4241" t="s">
        <v>8256</v>
      </c>
      <c r="F4241" s="1">
        <v>122176</v>
      </c>
      <c r="G4241" s="1">
        <v>3377627710</v>
      </c>
      <c r="H4241" s="1">
        <v>12</v>
      </c>
      <c r="I4241" s="1" t="s">
        <v>2311</v>
      </c>
      <c r="J4241" t="s">
        <v>8292</v>
      </c>
    </row>
    <row r="4242" spans="1:10">
      <c r="A4242" s="1">
        <v>223917</v>
      </c>
      <c r="B4242" s="1">
        <v>2150004216</v>
      </c>
      <c r="C4242" s="1">
        <v>6</v>
      </c>
      <c r="D4242" s="1" t="s">
        <v>2303</v>
      </c>
      <c r="E4242" t="s">
        <v>8257</v>
      </c>
      <c r="F4242" s="1">
        <v>118224</v>
      </c>
      <c r="G4242" s="1">
        <v>930000109</v>
      </c>
      <c r="H4242" s="1">
        <v>12</v>
      </c>
      <c r="I4242" s="1" t="s">
        <v>1191</v>
      </c>
      <c r="J4242" t="s">
        <v>8293</v>
      </c>
    </row>
    <row r="4243" spans="1:10">
      <c r="A4243" s="1">
        <v>708545</v>
      </c>
      <c r="B4243" s="1">
        <v>2150021286</v>
      </c>
      <c r="C4243" s="1">
        <v>6</v>
      </c>
      <c r="D4243" s="1" t="s">
        <v>2303</v>
      </c>
      <c r="E4243" t="s">
        <v>8258</v>
      </c>
      <c r="F4243" s="1">
        <v>118745</v>
      </c>
      <c r="G4243" s="1">
        <v>930000067</v>
      </c>
      <c r="H4243" s="1">
        <v>12</v>
      </c>
      <c r="I4243" s="1" t="s">
        <v>1191</v>
      </c>
      <c r="J4243" t="s">
        <v>8294</v>
      </c>
    </row>
    <row r="4244" spans="1:10">
      <c r="A4244" s="1">
        <v>142158</v>
      </c>
      <c r="B4244" s="1">
        <v>2150004217</v>
      </c>
      <c r="C4244" s="1">
        <v>6</v>
      </c>
      <c r="D4244" s="1" t="s">
        <v>2303</v>
      </c>
      <c r="E4244" t="s">
        <v>8259</v>
      </c>
      <c r="F4244" s="1">
        <v>118166</v>
      </c>
      <c r="G4244" s="1">
        <v>930000112</v>
      </c>
      <c r="H4244" s="1">
        <v>12</v>
      </c>
      <c r="I4244" s="1" t="s">
        <v>1191</v>
      </c>
      <c r="J4244" t="s">
        <v>8295</v>
      </c>
    </row>
    <row r="4245" spans="1:10">
      <c r="A4245" s="1">
        <v>528620</v>
      </c>
      <c r="B4245" s="1">
        <v>2150097601</v>
      </c>
      <c r="C4245" s="1">
        <v>6</v>
      </c>
      <c r="D4245" s="1" t="s">
        <v>347</v>
      </c>
      <c r="E4245" t="s">
        <v>8260</v>
      </c>
      <c r="F4245" s="1">
        <v>119313</v>
      </c>
      <c r="G4245" s="1">
        <v>930000190</v>
      </c>
      <c r="H4245" s="1">
        <v>12</v>
      </c>
      <c r="I4245" s="1" t="s">
        <v>2557</v>
      </c>
      <c r="J4245" t="s">
        <v>8296</v>
      </c>
    </row>
    <row r="4246" spans="1:10">
      <c r="A4246" s="1">
        <v>51284</v>
      </c>
      <c r="B4246" s="1">
        <v>2150004807</v>
      </c>
      <c r="C4246" s="1">
        <v>6</v>
      </c>
      <c r="D4246" s="1" t="s">
        <v>2303</v>
      </c>
      <c r="E4246" t="s">
        <v>8261</v>
      </c>
      <c r="F4246" s="1">
        <v>119735</v>
      </c>
      <c r="G4246" s="1">
        <v>930018400</v>
      </c>
      <c r="H4246" s="1">
        <v>6</v>
      </c>
      <c r="I4246" s="1" t="s">
        <v>2754</v>
      </c>
      <c r="J4246" t="s">
        <v>8297</v>
      </c>
    </row>
    <row r="4247" spans="1:10">
      <c r="A4247" s="1">
        <v>51326</v>
      </c>
      <c r="B4247" s="1">
        <v>2150004801</v>
      </c>
      <c r="C4247" s="1">
        <v>6</v>
      </c>
      <c r="D4247" s="1" t="s">
        <v>2303</v>
      </c>
      <c r="E4247" t="s">
        <v>8262</v>
      </c>
      <c r="F4247" s="1">
        <v>119271</v>
      </c>
      <c r="G4247" s="1">
        <v>930000108</v>
      </c>
      <c r="H4247" s="1">
        <v>12</v>
      </c>
      <c r="I4247" s="1" t="s">
        <v>1191</v>
      </c>
      <c r="J4247" t="s">
        <v>8298</v>
      </c>
    </row>
    <row r="4248" spans="1:10">
      <c r="A4248" s="1">
        <v>51227</v>
      </c>
      <c r="B4248" s="1">
        <v>2150004804</v>
      </c>
      <c r="C4248" s="1">
        <v>6</v>
      </c>
      <c r="D4248" s="1" t="s">
        <v>2303</v>
      </c>
      <c r="E4248" t="s">
        <v>8263</v>
      </c>
      <c r="F4248" s="1">
        <v>119081</v>
      </c>
      <c r="G4248" s="1">
        <v>930000197</v>
      </c>
      <c r="H4248" s="1">
        <v>12</v>
      </c>
      <c r="I4248" s="1" t="s">
        <v>2557</v>
      </c>
      <c r="J4248" t="s">
        <v>8299</v>
      </c>
    </row>
    <row r="4249" spans="1:10">
      <c r="A4249" s="1">
        <v>51219</v>
      </c>
      <c r="B4249" s="1">
        <v>2150004806</v>
      </c>
      <c r="C4249" s="1">
        <v>6</v>
      </c>
      <c r="D4249" s="1" t="s">
        <v>2303</v>
      </c>
      <c r="E4249" t="s">
        <v>8264</v>
      </c>
      <c r="F4249" s="1">
        <v>119057</v>
      </c>
      <c r="G4249" s="1">
        <v>930000198</v>
      </c>
      <c r="H4249" s="1">
        <v>12</v>
      </c>
      <c r="I4249" s="1" t="s">
        <v>2557</v>
      </c>
      <c r="J4249" t="s">
        <v>8300</v>
      </c>
    </row>
    <row r="4250" spans="1:10">
      <c r="A4250" s="1">
        <v>51334</v>
      </c>
      <c r="B4250" s="1">
        <v>2150004800</v>
      </c>
      <c r="C4250" s="1">
        <v>6</v>
      </c>
      <c r="D4250" s="1" t="s">
        <v>2303</v>
      </c>
      <c r="E4250" t="s">
        <v>8265</v>
      </c>
      <c r="F4250" s="1">
        <v>92460</v>
      </c>
      <c r="G4250" s="1">
        <v>930000380</v>
      </c>
      <c r="H4250" s="1">
        <v>12</v>
      </c>
      <c r="I4250" s="1" t="s">
        <v>1189</v>
      </c>
      <c r="J4250" t="s">
        <v>8301</v>
      </c>
    </row>
    <row r="4251" spans="1:10">
      <c r="A4251" s="1">
        <v>51920</v>
      </c>
      <c r="B4251" s="1">
        <v>2150004213</v>
      </c>
      <c r="C4251" s="1">
        <v>6</v>
      </c>
      <c r="D4251" s="1" t="s">
        <v>2303</v>
      </c>
      <c r="E4251" t="s">
        <v>8266</v>
      </c>
      <c r="F4251" s="1">
        <v>120154</v>
      </c>
      <c r="G4251" s="1">
        <v>930000074</v>
      </c>
      <c r="H4251" s="1">
        <v>12</v>
      </c>
      <c r="I4251" s="1" t="s">
        <v>1191</v>
      </c>
      <c r="J4251" t="s">
        <v>8302</v>
      </c>
    </row>
    <row r="4252" spans="1:10">
      <c r="A4252" s="1">
        <v>51292</v>
      </c>
      <c r="B4252" s="1">
        <v>2150004209</v>
      </c>
      <c r="C4252" s="1">
        <v>6</v>
      </c>
      <c r="D4252" s="1" t="s">
        <v>2303</v>
      </c>
      <c r="E4252" t="s">
        <v>8267</v>
      </c>
      <c r="F4252" s="1">
        <v>123968</v>
      </c>
      <c r="G4252" s="1">
        <v>930000218</v>
      </c>
      <c r="H4252" s="1">
        <v>6</v>
      </c>
      <c r="I4252" s="1" t="s">
        <v>2754</v>
      </c>
      <c r="J4252" t="s">
        <v>8303</v>
      </c>
    </row>
    <row r="4253" spans="1:10">
      <c r="A4253" s="1">
        <v>692855</v>
      </c>
      <c r="B4253" s="1">
        <v>2150023283</v>
      </c>
      <c r="C4253" s="1">
        <v>6</v>
      </c>
      <c r="D4253" s="1" t="s">
        <v>2303</v>
      </c>
      <c r="E4253" t="s">
        <v>8268</v>
      </c>
      <c r="F4253" s="1">
        <v>91124</v>
      </c>
      <c r="G4253" s="1">
        <v>930000088</v>
      </c>
      <c r="H4253" s="1">
        <v>12</v>
      </c>
      <c r="I4253" s="1" t="s">
        <v>1189</v>
      </c>
      <c r="J4253" t="s">
        <v>8304</v>
      </c>
    </row>
    <row r="4254" spans="1:10">
      <c r="A4254" s="1">
        <v>659243</v>
      </c>
      <c r="B4254" s="1">
        <v>2150097602</v>
      </c>
      <c r="C4254" s="1">
        <v>6</v>
      </c>
      <c r="D4254" s="1" t="s">
        <v>347</v>
      </c>
      <c r="E4254" t="s">
        <v>8269</v>
      </c>
      <c r="F4254" s="1">
        <v>118786</v>
      </c>
      <c r="G4254" s="1">
        <v>930000063</v>
      </c>
      <c r="H4254" s="1">
        <v>12</v>
      </c>
      <c r="I4254" s="1" t="s">
        <v>1191</v>
      </c>
      <c r="J4254" t="s">
        <v>8305</v>
      </c>
    </row>
    <row r="4255" spans="1:10">
      <c r="A4255" s="1">
        <v>51250</v>
      </c>
      <c r="B4255" s="1">
        <v>2150004212</v>
      </c>
      <c r="C4255" s="1">
        <v>6</v>
      </c>
      <c r="D4255" s="1" t="s">
        <v>2303</v>
      </c>
      <c r="E4255" t="s">
        <v>8270</v>
      </c>
      <c r="F4255" s="1">
        <v>403212</v>
      </c>
      <c r="G4255" s="1">
        <v>930010012</v>
      </c>
      <c r="H4255" s="1">
        <v>6</v>
      </c>
      <c r="I4255" s="1" t="s">
        <v>8306</v>
      </c>
      <c r="J4255" t="s">
        <v>8307</v>
      </c>
    </row>
    <row r="4256" spans="1:10">
      <c r="A4256" s="1">
        <v>51318</v>
      </c>
      <c r="B4256" s="1">
        <v>2150004802</v>
      </c>
      <c r="C4256" s="1">
        <v>6</v>
      </c>
      <c r="D4256" s="1" t="s">
        <v>2303</v>
      </c>
      <c r="E4256" t="s">
        <v>8271</v>
      </c>
      <c r="F4256" s="1">
        <v>90043</v>
      </c>
      <c r="G4256" s="1">
        <v>930000334</v>
      </c>
      <c r="H4256" s="1">
        <v>12</v>
      </c>
      <c r="I4256" s="1" t="s">
        <v>1191</v>
      </c>
      <c r="J4256" t="s">
        <v>8308</v>
      </c>
    </row>
    <row r="4257" spans="1:10">
      <c r="A4257" s="1">
        <v>570267</v>
      </c>
      <c r="B4257" s="1">
        <v>5160000210</v>
      </c>
      <c r="C4257" s="1">
        <v>12</v>
      </c>
      <c r="D4257" s="1" t="s">
        <v>4819</v>
      </c>
      <c r="E4257" t="s">
        <v>8272</v>
      </c>
      <c r="F4257" s="1">
        <v>120063</v>
      </c>
      <c r="G4257" s="1">
        <v>930000075</v>
      </c>
      <c r="H4257" s="1">
        <v>12</v>
      </c>
      <c r="I4257" s="1" t="s">
        <v>1191</v>
      </c>
      <c r="J4257" t="s">
        <v>8309</v>
      </c>
    </row>
    <row r="4258" spans="1:10">
      <c r="A4258" s="1">
        <v>100461</v>
      </c>
      <c r="B4258" s="1">
        <v>5160000004</v>
      </c>
      <c r="C4258" s="1">
        <v>12</v>
      </c>
      <c r="D4258" s="1" t="s">
        <v>2826</v>
      </c>
      <c r="E4258" t="s">
        <v>8273</v>
      </c>
      <c r="F4258" s="1">
        <v>120303</v>
      </c>
      <c r="G4258" s="1">
        <v>930012809</v>
      </c>
      <c r="H4258" s="1">
        <v>4</v>
      </c>
      <c r="I4258" s="1" t="s">
        <v>1188</v>
      </c>
      <c r="J4258" t="s">
        <v>8310</v>
      </c>
    </row>
    <row r="4259" spans="1:10">
      <c r="A4259" s="1">
        <v>134429</v>
      </c>
      <c r="B4259" s="1">
        <v>5160000003</v>
      </c>
      <c r="C4259" s="1">
        <v>24</v>
      </c>
      <c r="D4259" s="1" t="s">
        <v>2308</v>
      </c>
      <c r="E4259" t="s">
        <v>8273</v>
      </c>
      <c r="F4259" s="1">
        <v>120477</v>
      </c>
      <c r="G4259" s="1">
        <v>930000175</v>
      </c>
      <c r="H4259" s="1">
        <v>6</v>
      </c>
      <c r="I4259" s="1" t="s">
        <v>2754</v>
      </c>
      <c r="J4259" t="s">
        <v>8311</v>
      </c>
    </row>
    <row r="4260" spans="1:10">
      <c r="A4260" s="1">
        <v>100248</v>
      </c>
      <c r="B4260" s="1">
        <v>5160000001</v>
      </c>
      <c r="C4260" s="1">
        <v>12</v>
      </c>
      <c r="D4260" s="1" t="s">
        <v>4819</v>
      </c>
      <c r="E4260" t="s">
        <v>8274</v>
      </c>
      <c r="F4260" s="1">
        <v>120089</v>
      </c>
      <c r="G4260" s="1">
        <v>930000071</v>
      </c>
      <c r="H4260" s="1">
        <v>12</v>
      </c>
      <c r="I4260" s="1" t="s">
        <v>1191</v>
      </c>
      <c r="J4260" t="s">
        <v>8312</v>
      </c>
    </row>
    <row r="4261" spans="1:10">
      <c r="A4261" s="1">
        <v>206334</v>
      </c>
      <c r="B4261" s="1">
        <v>2240060514</v>
      </c>
      <c r="C4261" s="1">
        <v>6</v>
      </c>
      <c r="D4261" s="1" t="s">
        <v>2303</v>
      </c>
      <c r="E4261" t="s">
        <v>8275</v>
      </c>
      <c r="F4261" s="1">
        <v>120121</v>
      </c>
      <c r="G4261" s="1">
        <v>930000082</v>
      </c>
      <c r="H4261" s="1">
        <v>12</v>
      </c>
      <c r="I4261" s="1" t="s">
        <v>1189</v>
      </c>
      <c r="J4261" t="s">
        <v>8312</v>
      </c>
    </row>
    <row r="4262" spans="1:10">
      <c r="A4262" s="1">
        <v>206367</v>
      </c>
      <c r="B4262" s="1">
        <v>2240060511</v>
      </c>
      <c r="C4262" s="1">
        <v>6</v>
      </c>
      <c r="D4262" s="1" t="s">
        <v>2303</v>
      </c>
      <c r="E4262" t="s">
        <v>8276</v>
      </c>
      <c r="F4262" s="1">
        <v>119297</v>
      </c>
      <c r="G4262" s="1">
        <v>930000018</v>
      </c>
      <c r="H4262" s="1">
        <v>12</v>
      </c>
      <c r="I4262" s="1" t="s">
        <v>2303</v>
      </c>
      <c r="J4262" t="s">
        <v>8313</v>
      </c>
    </row>
    <row r="4263" spans="1:10">
      <c r="A4263" s="1">
        <v>206359</v>
      </c>
      <c r="B4263" s="1">
        <v>2240060512</v>
      </c>
      <c r="C4263" s="1">
        <v>6</v>
      </c>
      <c r="D4263" s="1" t="s">
        <v>2303</v>
      </c>
      <c r="E4263" t="s">
        <v>8277</v>
      </c>
      <c r="F4263" s="1">
        <v>120337</v>
      </c>
      <c r="G4263" s="1">
        <v>930012808</v>
      </c>
      <c r="H4263" s="1">
        <v>4</v>
      </c>
      <c r="I4263" s="1" t="s">
        <v>1188</v>
      </c>
      <c r="J4263" t="s">
        <v>8314</v>
      </c>
    </row>
    <row r="4264" spans="1:10">
      <c r="A4264" s="1">
        <v>206342</v>
      </c>
      <c r="B4264" s="1">
        <v>2240060513</v>
      </c>
      <c r="C4264" s="1">
        <v>6</v>
      </c>
      <c r="D4264" s="1" t="s">
        <v>2303</v>
      </c>
      <c r="E4264" t="s">
        <v>8278</v>
      </c>
      <c r="F4264" s="1">
        <v>118976</v>
      </c>
      <c r="G4264" s="1">
        <v>930000042</v>
      </c>
      <c r="H4264" s="1">
        <v>12</v>
      </c>
      <c r="I4264" s="1" t="s">
        <v>1191</v>
      </c>
      <c r="J4264" t="s">
        <v>8315</v>
      </c>
    </row>
    <row r="4265" spans="1:10" ht="15.75">
      <c r="A4265" s="4" t="s">
        <v>10807</v>
      </c>
      <c r="B4265" s="2"/>
      <c r="C4265" s="2"/>
      <c r="D4265" s="2"/>
      <c r="E4265" s="3"/>
      <c r="F4265" s="4" t="s">
        <v>10807</v>
      </c>
      <c r="G4265" s="2"/>
      <c r="H4265" s="2"/>
      <c r="I4265" s="2"/>
      <c r="J4265" s="3"/>
    </row>
    <row r="4266" spans="1:10">
      <c r="A4266" s="2" t="s">
        <v>0</v>
      </c>
      <c r="B4266" s="2" t="s">
        <v>1</v>
      </c>
      <c r="C4266" s="2" t="s">
        <v>2</v>
      </c>
      <c r="D4266" s="2" t="s">
        <v>3</v>
      </c>
      <c r="E4266" s="3" t="s">
        <v>4</v>
      </c>
      <c r="F4266" s="2" t="s">
        <v>0</v>
      </c>
      <c r="G4266" s="2" t="s">
        <v>1</v>
      </c>
      <c r="H4266" s="2" t="s">
        <v>2</v>
      </c>
      <c r="I4266" s="2" t="s">
        <v>3</v>
      </c>
      <c r="J4266" s="3" t="s">
        <v>4</v>
      </c>
    </row>
    <row r="4267" spans="1:10">
      <c r="A4267" s="1">
        <v>118752</v>
      </c>
      <c r="B4267" s="1">
        <v>930000070</v>
      </c>
      <c r="C4267" s="1">
        <v>12</v>
      </c>
      <c r="D4267" s="1" t="s">
        <v>1191</v>
      </c>
      <c r="E4267" t="s">
        <v>8316</v>
      </c>
      <c r="F4267" s="1">
        <v>123430</v>
      </c>
      <c r="G4267" s="1">
        <v>5410001540</v>
      </c>
      <c r="H4267" s="1">
        <v>12</v>
      </c>
      <c r="I4267" s="1" t="s">
        <v>1189</v>
      </c>
      <c r="J4267" t="s">
        <v>8353</v>
      </c>
    </row>
    <row r="4268" spans="1:10">
      <c r="A4268" s="1">
        <v>404996</v>
      </c>
      <c r="B4268" s="1">
        <v>930000077</v>
      </c>
      <c r="C4268" s="1">
        <v>12</v>
      </c>
      <c r="D4268" s="1" t="s">
        <v>439</v>
      </c>
      <c r="E4268" t="s">
        <v>8317</v>
      </c>
      <c r="F4268" s="1">
        <v>120006</v>
      </c>
      <c r="G4268" s="1">
        <v>5410000430</v>
      </c>
      <c r="H4268" s="1">
        <v>12</v>
      </c>
      <c r="I4268" s="1" t="s">
        <v>1191</v>
      </c>
      <c r="J4268" t="s">
        <v>8354</v>
      </c>
    </row>
    <row r="4269" spans="1:10">
      <c r="A4269" s="1">
        <v>120105</v>
      </c>
      <c r="B4269" s="1">
        <v>930000038</v>
      </c>
      <c r="C4269" s="1">
        <v>12</v>
      </c>
      <c r="D4269" s="1" t="s">
        <v>1191</v>
      </c>
      <c r="E4269" t="s">
        <v>8318</v>
      </c>
      <c r="F4269" s="1">
        <v>120493</v>
      </c>
      <c r="G4269" s="1">
        <v>5410000060</v>
      </c>
      <c r="H4269" s="1">
        <v>12</v>
      </c>
      <c r="I4269" s="1" t="s">
        <v>2557</v>
      </c>
      <c r="J4269" t="s">
        <v>8354</v>
      </c>
    </row>
    <row r="4270" spans="1:10">
      <c r="A4270" s="1">
        <v>120311</v>
      </c>
      <c r="B4270" s="1">
        <v>930012833</v>
      </c>
      <c r="C4270" s="1">
        <v>4</v>
      </c>
      <c r="D4270" s="1" t="s">
        <v>8319</v>
      </c>
      <c r="E4270" t="s">
        <v>8320</v>
      </c>
      <c r="F4270" s="1">
        <v>120873</v>
      </c>
      <c r="G4270" s="1">
        <v>5410000360</v>
      </c>
      <c r="H4270" s="1">
        <v>6</v>
      </c>
      <c r="I4270" s="1" t="s">
        <v>2754</v>
      </c>
      <c r="J4270" t="s">
        <v>8354</v>
      </c>
    </row>
    <row r="4271" spans="1:10">
      <c r="A4271" s="1">
        <v>120139</v>
      </c>
      <c r="B4271" s="1">
        <v>930000086</v>
      </c>
      <c r="C4271" s="1">
        <v>6</v>
      </c>
      <c r="D4271" s="1" t="s">
        <v>2754</v>
      </c>
      <c r="E4271" t="s">
        <v>8321</v>
      </c>
      <c r="F4271" s="1">
        <v>120865</v>
      </c>
      <c r="G4271" s="1">
        <v>5410000140</v>
      </c>
      <c r="H4271" s="1">
        <v>12</v>
      </c>
      <c r="I4271" s="1" t="s">
        <v>1189</v>
      </c>
      <c r="J4271" t="s">
        <v>8355</v>
      </c>
    </row>
    <row r="4272" spans="1:10">
      <c r="A4272" s="1">
        <v>120188</v>
      </c>
      <c r="B4272" s="1">
        <v>930000076</v>
      </c>
      <c r="C4272" s="1">
        <v>12</v>
      </c>
      <c r="D4272" s="1" t="s">
        <v>1191</v>
      </c>
      <c r="E4272" t="s">
        <v>8322</v>
      </c>
      <c r="F4272" s="1">
        <v>130856</v>
      </c>
      <c r="G4272" s="1">
        <v>5410000150</v>
      </c>
      <c r="H4272" s="1">
        <v>12</v>
      </c>
      <c r="I4272" s="1" t="s">
        <v>1189</v>
      </c>
      <c r="J4272" t="s">
        <v>8356</v>
      </c>
    </row>
    <row r="4273" spans="1:10">
      <c r="A4273" s="1">
        <v>120113</v>
      </c>
      <c r="B4273" s="1">
        <v>930000080</v>
      </c>
      <c r="C4273" s="1">
        <v>12</v>
      </c>
      <c r="D4273" s="1" t="s">
        <v>2557</v>
      </c>
      <c r="E4273" t="s">
        <v>8322</v>
      </c>
      <c r="F4273" s="1">
        <v>120824</v>
      </c>
      <c r="G4273" s="1">
        <v>5410000420</v>
      </c>
      <c r="H4273" s="1">
        <v>12</v>
      </c>
      <c r="I4273" s="1" t="s">
        <v>1191</v>
      </c>
      <c r="J4273" t="s">
        <v>8357</v>
      </c>
    </row>
    <row r="4274" spans="1:10">
      <c r="A4274" s="1">
        <v>118778</v>
      </c>
      <c r="B4274" s="1">
        <v>930000048</v>
      </c>
      <c r="C4274" s="1">
        <v>12</v>
      </c>
      <c r="D4274" s="1" t="s">
        <v>1191</v>
      </c>
      <c r="E4274" t="s">
        <v>8323</v>
      </c>
      <c r="F4274" s="1">
        <v>120444</v>
      </c>
      <c r="G4274" s="1">
        <v>5410001110</v>
      </c>
      <c r="H4274" s="1">
        <v>12</v>
      </c>
      <c r="I4274" s="1" t="s">
        <v>1191</v>
      </c>
      <c r="J4274" t="s">
        <v>8358</v>
      </c>
    </row>
    <row r="4275" spans="1:10">
      <c r="A4275" s="1">
        <v>118893</v>
      </c>
      <c r="B4275" s="1">
        <v>930000008</v>
      </c>
      <c r="C4275" s="1">
        <v>12</v>
      </c>
      <c r="D4275" s="1" t="s">
        <v>1197</v>
      </c>
      <c r="E4275" t="s">
        <v>8324</v>
      </c>
      <c r="F4275" s="1">
        <v>128959</v>
      </c>
      <c r="G4275" s="1">
        <v>5410001270</v>
      </c>
      <c r="H4275" s="1">
        <v>12</v>
      </c>
      <c r="I4275" s="1" t="s">
        <v>1191</v>
      </c>
      <c r="J4275" t="s">
        <v>8359</v>
      </c>
    </row>
    <row r="4276" spans="1:10">
      <c r="A4276" s="1">
        <v>412890</v>
      </c>
      <c r="B4276" s="1">
        <v>930000045</v>
      </c>
      <c r="C4276" s="1">
        <v>12</v>
      </c>
      <c r="D4276" s="1" t="s">
        <v>1191</v>
      </c>
      <c r="E4276" t="s">
        <v>8325</v>
      </c>
      <c r="F4276" s="1">
        <v>118307</v>
      </c>
      <c r="G4276" s="1">
        <v>5410001120</v>
      </c>
      <c r="H4276" s="1">
        <v>12</v>
      </c>
      <c r="I4276" s="1" t="s">
        <v>1191</v>
      </c>
      <c r="J4276" t="s">
        <v>8360</v>
      </c>
    </row>
    <row r="4277" spans="1:10">
      <c r="A4277" s="1">
        <v>313700</v>
      </c>
      <c r="B4277" s="1">
        <v>930010013</v>
      </c>
      <c r="C4277" s="1">
        <v>6</v>
      </c>
      <c r="D4277" s="1" t="s">
        <v>8306</v>
      </c>
      <c r="E4277" t="s">
        <v>8326</v>
      </c>
      <c r="F4277" s="1">
        <v>125864</v>
      </c>
      <c r="G4277" s="1">
        <v>5410000030</v>
      </c>
      <c r="H4277" s="1">
        <v>12</v>
      </c>
      <c r="I4277" s="1" t="s">
        <v>1189</v>
      </c>
      <c r="J4277" t="s">
        <v>8361</v>
      </c>
    </row>
    <row r="4278" spans="1:10">
      <c r="A4278" s="1">
        <v>120295</v>
      </c>
      <c r="B4278" s="1">
        <v>930000149</v>
      </c>
      <c r="C4278" s="1">
        <v>12</v>
      </c>
      <c r="D4278" s="1" t="s">
        <v>1191</v>
      </c>
      <c r="E4278" t="s">
        <v>8327</v>
      </c>
      <c r="F4278" s="1">
        <v>120832</v>
      </c>
      <c r="G4278" s="1">
        <v>5410001100</v>
      </c>
      <c r="H4278" s="1">
        <v>12</v>
      </c>
      <c r="I4278" s="1" t="s">
        <v>1191</v>
      </c>
      <c r="J4278" t="s">
        <v>8362</v>
      </c>
    </row>
    <row r="4279" spans="1:10" ht="15.75">
      <c r="A4279" s="1">
        <v>117499</v>
      </c>
      <c r="B4279" s="1">
        <v>1116611749</v>
      </c>
      <c r="C4279" s="1">
        <v>12</v>
      </c>
      <c r="D4279" s="1" t="s">
        <v>1191</v>
      </c>
      <c r="E4279" t="s">
        <v>8328</v>
      </c>
      <c r="F4279" s="4" t="s">
        <v>10808</v>
      </c>
      <c r="G4279" s="2"/>
      <c r="H4279" s="2"/>
      <c r="I4279" s="2"/>
      <c r="J4279" s="3"/>
    </row>
    <row r="4280" spans="1:10">
      <c r="A4280" s="1">
        <v>117648</v>
      </c>
      <c r="B4280" s="1">
        <v>1116611764</v>
      </c>
      <c r="C4280" s="1">
        <v>12</v>
      </c>
      <c r="D4280" s="1" t="s">
        <v>1191</v>
      </c>
      <c r="E4280" t="s">
        <v>8329</v>
      </c>
      <c r="F4280" s="2" t="s">
        <v>0</v>
      </c>
      <c r="G4280" s="2" t="s">
        <v>1</v>
      </c>
      <c r="H4280" s="2" t="s">
        <v>2</v>
      </c>
      <c r="I4280" s="2" t="s">
        <v>3</v>
      </c>
      <c r="J4280" s="3" t="s">
        <v>4</v>
      </c>
    </row>
    <row r="4281" spans="1:10">
      <c r="A4281" s="1">
        <v>117465</v>
      </c>
      <c r="B4281" s="1">
        <v>1116611746</v>
      </c>
      <c r="C4281" s="1">
        <v>12</v>
      </c>
      <c r="D4281" s="1" t="s">
        <v>1191</v>
      </c>
      <c r="E4281" t="s">
        <v>8330</v>
      </c>
      <c r="F4281" s="1">
        <v>832956</v>
      </c>
      <c r="G4281" s="1">
        <v>4166010515</v>
      </c>
      <c r="H4281" s="1">
        <v>12</v>
      </c>
      <c r="I4281" s="1" t="s">
        <v>2303</v>
      </c>
      <c r="J4281" t="s">
        <v>8363</v>
      </c>
    </row>
    <row r="4282" spans="1:10">
      <c r="A4282" s="1">
        <v>117150</v>
      </c>
      <c r="B4282" s="1">
        <v>1116611715</v>
      </c>
      <c r="C4282" s="1">
        <v>12</v>
      </c>
      <c r="D4282" s="1" t="s">
        <v>1189</v>
      </c>
      <c r="E4282" t="s">
        <v>8331</v>
      </c>
      <c r="F4282" s="1">
        <v>119438</v>
      </c>
      <c r="G4282" s="1">
        <v>930000020</v>
      </c>
      <c r="H4282" s="1">
        <v>12</v>
      </c>
      <c r="I4282" s="1" t="s">
        <v>2303</v>
      </c>
      <c r="J4282" t="s">
        <v>8364</v>
      </c>
    </row>
    <row r="4283" spans="1:10">
      <c r="A4283" s="1">
        <v>117473</v>
      </c>
      <c r="B4283" s="1">
        <v>1116611747</v>
      </c>
      <c r="C4283" s="1">
        <v>12</v>
      </c>
      <c r="D4283" s="1" t="s">
        <v>1191</v>
      </c>
      <c r="E4283" t="s">
        <v>8332</v>
      </c>
      <c r="F4283" s="1">
        <v>119511</v>
      </c>
      <c r="G4283" s="1">
        <v>930000010</v>
      </c>
      <c r="H4283" s="1">
        <v>12</v>
      </c>
      <c r="I4283" s="1" t="s">
        <v>1197</v>
      </c>
      <c r="J4283" t="s">
        <v>8365</v>
      </c>
    </row>
    <row r="4284" spans="1:10">
      <c r="A4284" s="1">
        <v>117887</v>
      </c>
      <c r="B4284" s="1">
        <v>1116611788</v>
      </c>
      <c r="C4284" s="1">
        <v>12</v>
      </c>
      <c r="D4284" s="1" t="s">
        <v>1189</v>
      </c>
      <c r="E4284" t="s">
        <v>8333</v>
      </c>
      <c r="F4284" s="1">
        <v>119982</v>
      </c>
      <c r="G4284" s="1">
        <v>930000027</v>
      </c>
      <c r="H4284" s="1">
        <v>12</v>
      </c>
      <c r="I4284" s="1" t="s">
        <v>2303</v>
      </c>
      <c r="J4284" t="s">
        <v>8366</v>
      </c>
    </row>
    <row r="4285" spans="1:10">
      <c r="A4285" s="1">
        <v>117663</v>
      </c>
      <c r="B4285" s="1">
        <v>1116611766</v>
      </c>
      <c r="C4285" s="1">
        <v>12</v>
      </c>
      <c r="D4285" s="1" t="s">
        <v>1191</v>
      </c>
      <c r="E4285" t="s">
        <v>8334</v>
      </c>
      <c r="F4285" s="1">
        <v>119743</v>
      </c>
      <c r="G4285" s="1">
        <v>930000106</v>
      </c>
      <c r="H4285" s="1">
        <v>12</v>
      </c>
      <c r="I4285" s="1" t="s">
        <v>1191</v>
      </c>
      <c r="J4285" t="s">
        <v>8367</v>
      </c>
    </row>
    <row r="4286" spans="1:10">
      <c r="A4286" s="1">
        <v>117507</v>
      </c>
      <c r="B4286" s="1">
        <v>1116611750</v>
      </c>
      <c r="C4286" s="1">
        <v>12</v>
      </c>
      <c r="D4286" s="1" t="s">
        <v>2557</v>
      </c>
      <c r="E4286" t="s">
        <v>8335</v>
      </c>
      <c r="F4286" s="1">
        <v>119461</v>
      </c>
      <c r="G4286" s="1">
        <v>930000007</v>
      </c>
      <c r="H4286" s="1">
        <v>12</v>
      </c>
      <c r="I4286" s="1" t="s">
        <v>1197</v>
      </c>
      <c r="J4286" t="s">
        <v>8368</v>
      </c>
    </row>
    <row r="4287" spans="1:10">
      <c r="A4287" s="1">
        <v>117481</v>
      </c>
      <c r="B4287" s="1">
        <v>1116611748</v>
      </c>
      <c r="C4287" s="1">
        <v>12</v>
      </c>
      <c r="D4287" s="1" t="s">
        <v>1191</v>
      </c>
      <c r="E4287" t="s">
        <v>8336</v>
      </c>
      <c r="F4287" s="1">
        <v>119495</v>
      </c>
      <c r="G4287" s="1">
        <v>930000044</v>
      </c>
      <c r="H4287" s="1">
        <v>12</v>
      </c>
      <c r="I4287" s="1" t="s">
        <v>381</v>
      </c>
      <c r="J4287" t="s">
        <v>8369</v>
      </c>
    </row>
    <row r="4288" spans="1:10">
      <c r="A4288" s="1">
        <v>117903</v>
      </c>
      <c r="B4288" s="1">
        <v>1116611790</v>
      </c>
      <c r="C4288" s="1">
        <v>6</v>
      </c>
      <c r="D4288" s="1" t="s">
        <v>2754</v>
      </c>
      <c r="E4288" t="s">
        <v>8337</v>
      </c>
      <c r="F4288" s="1">
        <v>117770</v>
      </c>
      <c r="G4288" s="1">
        <v>1116611777</v>
      </c>
      <c r="H4288" s="1">
        <v>12</v>
      </c>
      <c r="I4288" s="1" t="s">
        <v>4819</v>
      </c>
      <c r="J4288" t="s">
        <v>8370</v>
      </c>
    </row>
    <row r="4289" spans="1:10">
      <c r="A4289" s="1">
        <v>118018</v>
      </c>
      <c r="B4289" s="1">
        <v>1116611801</v>
      </c>
      <c r="C4289" s="1">
        <v>12</v>
      </c>
      <c r="D4289" s="1" t="s">
        <v>1191</v>
      </c>
      <c r="E4289" t="s">
        <v>8338</v>
      </c>
      <c r="F4289" s="1">
        <v>117796</v>
      </c>
      <c r="G4289" s="1">
        <v>1116611779</v>
      </c>
      <c r="H4289" s="1">
        <v>12</v>
      </c>
      <c r="I4289" s="1" t="s">
        <v>4819</v>
      </c>
      <c r="J4289" t="s">
        <v>8371</v>
      </c>
    </row>
    <row r="4290" spans="1:10">
      <c r="A4290" s="1">
        <v>119149</v>
      </c>
      <c r="B4290" s="1">
        <v>1116611914</v>
      </c>
      <c r="C4290" s="1">
        <v>12</v>
      </c>
      <c r="D4290" s="1" t="s">
        <v>4819</v>
      </c>
      <c r="E4290" t="s">
        <v>8339</v>
      </c>
      <c r="F4290" s="1">
        <v>117812</v>
      </c>
      <c r="G4290" s="1">
        <v>1116611781</v>
      </c>
      <c r="H4290" s="1">
        <v>12</v>
      </c>
      <c r="I4290" s="1" t="s">
        <v>1191</v>
      </c>
      <c r="J4290" t="s">
        <v>8371</v>
      </c>
    </row>
    <row r="4291" spans="1:10">
      <c r="A4291" s="1">
        <v>117978</v>
      </c>
      <c r="B4291" s="1">
        <v>1116611797</v>
      </c>
      <c r="C4291" s="1">
        <v>12</v>
      </c>
      <c r="D4291" s="1" t="s">
        <v>1191</v>
      </c>
      <c r="E4291" t="s">
        <v>8340</v>
      </c>
      <c r="F4291" s="1">
        <v>117168</v>
      </c>
      <c r="G4291" s="1">
        <v>1116611716</v>
      </c>
      <c r="H4291" s="1">
        <v>12</v>
      </c>
      <c r="I4291" s="1" t="s">
        <v>2557</v>
      </c>
      <c r="J4291" t="s">
        <v>8371</v>
      </c>
    </row>
    <row r="4292" spans="1:10">
      <c r="A4292" s="1">
        <v>117846</v>
      </c>
      <c r="B4292" s="1">
        <v>1116611784</v>
      </c>
      <c r="C4292" s="1">
        <v>12</v>
      </c>
      <c r="D4292" s="1" t="s">
        <v>1189</v>
      </c>
      <c r="E4292" t="s">
        <v>8340</v>
      </c>
      <c r="F4292" s="1">
        <v>389353</v>
      </c>
      <c r="G4292" s="1">
        <v>1116601254</v>
      </c>
      <c r="H4292" s="1">
        <v>12</v>
      </c>
      <c r="I4292" s="1" t="s">
        <v>2758</v>
      </c>
      <c r="J4292" t="s">
        <v>8372</v>
      </c>
    </row>
    <row r="4293" spans="1:10">
      <c r="A4293" s="1">
        <v>615187</v>
      </c>
      <c r="B4293" s="1">
        <v>1116601393</v>
      </c>
      <c r="C4293" s="1">
        <v>12</v>
      </c>
      <c r="D4293" s="1" t="s">
        <v>1191</v>
      </c>
      <c r="E4293" t="s">
        <v>8341</v>
      </c>
      <c r="F4293" s="1">
        <v>64782</v>
      </c>
      <c r="G4293" s="1">
        <v>1116601399</v>
      </c>
      <c r="H4293" s="1">
        <v>12</v>
      </c>
      <c r="I4293" s="1" t="s">
        <v>381</v>
      </c>
      <c r="J4293" t="s">
        <v>8373</v>
      </c>
    </row>
    <row r="4294" spans="1:10">
      <c r="A4294" s="1">
        <v>778225</v>
      </c>
      <c r="B4294" s="1">
        <v>1116601394</v>
      </c>
      <c r="C4294" s="1">
        <v>12</v>
      </c>
      <c r="D4294" s="1" t="s">
        <v>381</v>
      </c>
      <c r="E4294" t="s">
        <v>8342</v>
      </c>
      <c r="F4294" s="1">
        <v>17491</v>
      </c>
      <c r="G4294" s="1">
        <v>4113030222</v>
      </c>
      <c r="H4294" s="1">
        <v>12</v>
      </c>
      <c r="I4294" s="1" t="s">
        <v>1191</v>
      </c>
      <c r="J4294" t="s">
        <v>8374</v>
      </c>
    </row>
    <row r="4295" spans="1:10">
      <c r="A4295" s="1">
        <v>855460</v>
      </c>
      <c r="B4295" s="1">
        <v>1116601395</v>
      </c>
      <c r="C4295" s="1">
        <v>12</v>
      </c>
      <c r="D4295" s="1" t="s">
        <v>439</v>
      </c>
      <c r="E4295" t="s">
        <v>8343</v>
      </c>
      <c r="F4295" s="1">
        <v>122119</v>
      </c>
      <c r="G4295" s="1">
        <v>5410001900</v>
      </c>
      <c r="H4295" s="1">
        <v>12</v>
      </c>
      <c r="I4295" s="1" t="s">
        <v>7815</v>
      </c>
      <c r="J4295" t="s">
        <v>8375</v>
      </c>
    </row>
    <row r="4296" spans="1:10">
      <c r="A4296" s="1">
        <v>899328</v>
      </c>
      <c r="B4296" s="1">
        <v>1116601397</v>
      </c>
      <c r="C4296" s="1">
        <v>12</v>
      </c>
      <c r="D4296" s="1" t="s">
        <v>1191</v>
      </c>
      <c r="E4296" t="s">
        <v>8344</v>
      </c>
      <c r="F4296" s="1">
        <v>120881</v>
      </c>
      <c r="G4296" s="1">
        <v>5410001870</v>
      </c>
      <c r="H4296" s="1">
        <v>12</v>
      </c>
      <c r="I4296" s="1" t="s">
        <v>4819</v>
      </c>
      <c r="J4296" t="s">
        <v>8376</v>
      </c>
    </row>
    <row r="4297" spans="1:10">
      <c r="A4297" s="1">
        <v>801985</v>
      </c>
      <c r="B4297" s="1">
        <v>1116601396</v>
      </c>
      <c r="C4297" s="1">
        <v>12</v>
      </c>
      <c r="D4297" s="1" t="s">
        <v>439</v>
      </c>
      <c r="E4297" t="s">
        <v>8345</v>
      </c>
      <c r="F4297" s="1">
        <v>122077</v>
      </c>
      <c r="G4297" s="1">
        <v>5410001880</v>
      </c>
      <c r="H4297" s="1">
        <v>12</v>
      </c>
      <c r="I4297" s="1" t="s">
        <v>7815</v>
      </c>
      <c r="J4297" t="s">
        <v>8377</v>
      </c>
    </row>
    <row r="4298" spans="1:10">
      <c r="A4298" s="1">
        <v>118695</v>
      </c>
      <c r="B4298" s="1">
        <v>1116611869</v>
      </c>
      <c r="C4298" s="1">
        <v>12</v>
      </c>
      <c r="D4298" s="1" t="s">
        <v>4819</v>
      </c>
      <c r="E4298" t="s">
        <v>8346</v>
      </c>
      <c r="F4298" s="1">
        <v>605873</v>
      </c>
      <c r="G4298" s="1">
        <v>5410001820</v>
      </c>
      <c r="H4298" s="1">
        <v>12</v>
      </c>
      <c r="I4298" s="1" t="s">
        <v>7815</v>
      </c>
      <c r="J4298" t="s">
        <v>8378</v>
      </c>
    </row>
    <row r="4299" spans="1:10" ht="15.75">
      <c r="A4299" s="1">
        <v>117705</v>
      </c>
      <c r="B4299" s="1">
        <v>1116611770</v>
      </c>
      <c r="C4299" s="1">
        <v>12</v>
      </c>
      <c r="D4299" s="1" t="s">
        <v>1191</v>
      </c>
      <c r="E4299" t="s">
        <v>8346</v>
      </c>
      <c r="F4299" s="4" t="s">
        <v>10809</v>
      </c>
      <c r="G4299" s="2"/>
      <c r="H4299" s="2"/>
      <c r="I4299" s="2"/>
      <c r="J4299" s="3"/>
    </row>
    <row r="4300" spans="1:10">
      <c r="A4300" s="1">
        <v>120469</v>
      </c>
      <c r="B4300" s="1">
        <v>5410000580</v>
      </c>
      <c r="C4300" s="1">
        <v>12</v>
      </c>
      <c r="D4300" s="1" t="s">
        <v>1191</v>
      </c>
      <c r="E4300" t="s">
        <v>8347</v>
      </c>
      <c r="F4300" s="2" t="s">
        <v>0</v>
      </c>
      <c r="G4300" s="2" t="s">
        <v>1</v>
      </c>
      <c r="H4300" s="2" t="s">
        <v>2</v>
      </c>
      <c r="I4300" s="2" t="s">
        <v>3</v>
      </c>
      <c r="J4300" s="3" t="s">
        <v>4</v>
      </c>
    </row>
    <row r="4301" spans="1:10">
      <c r="A4301" s="1">
        <v>127704</v>
      </c>
      <c r="B4301" s="1">
        <v>5410000400</v>
      </c>
      <c r="C4301" s="1">
        <v>12</v>
      </c>
      <c r="D4301" s="1" t="s">
        <v>1191</v>
      </c>
      <c r="E4301" t="s">
        <v>8348</v>
      </c>
      <c r="F4301" s="1">
        <v>124396</v>
      </c>
      <c r="G4301" s="1">
        <v>2370911068</v>
      </c>
      <c r="H4301" s="1">
        <v>12</v>
      </c>
      <c r="I4301" s="1" t="s">
        <v>347</v>
      </c>
      <c r="J4301" t="s">
        <v>8379</v>
      </c>
    </row>
    <row r="4302" spans="1:10">
      <c r="A4302" s="1">
        <v>125849</v>
      </c>
      <c r="B4302" s="1">
        <v>5410000061</v>
      </c>
      <c r="C4302" s="1">
        <v>12</v>
      </c>
      <c r="D4302" s="1" t="s">
        <v>2557</v>
      </c>
      <c r="E4302" t="s">
        <v>8349</v>
      </c>
      <c r="F4302" s="1">
        <v>711754</v>
      </c>
      <c r="G4302" s="1">
        <v>2370911066</v>
      </c>
      <c r="H4302" s="1">
        <v>12</v>
      </c>
      <c r="I4302" s="1" t="s">
        <v>347</v>
      </c>
      <c r="J4302" t="s">
        <v>8380</v>
      </c>
    </row>
    <row r="4303" spans="1:10">
      <c r="A4303" s="1">
        <v>120451</v>
      </c>
      <c r="B4303" s="1">
        <v>5410000560</v>
      </c>
      <c r="C4303" s="1">
        <v>12</v>
      </c>
      <c r="D4303" s="1" t="s">
        <v>1191</v>
      </c>
      <c r="E4303" t="s">
        <v>8350</v>
      </c>
      <c r="F4303" s="1">
        <v>120428</v>
      </c>
      <c r="G4303" s="1">
        <v>930000011</v>
      </c>
      <c r="H4303" s="1">
        <v>12</v>
      </c>
      <c r="I4303" s="1" t="s">
        <v>2303</v>
      </c>
      <c r="J4303" t="s">
        <v>8381</v>
      </c>
    </row>
    <row r="4304" spans="1:10">
      <c r="A4304" s="1">
        <v>120485</v>
      </c>
      <c r="B4304" s="1">
        <v>5410001160</v>
      </c>
      <c r="C4304" s="1">
        <v>12</v>
      </c>
      <c r="D4304" s="1" t="s">
        <v>1191</v>
      </c>
      <c r="E4304" t="s">
        <v>8351</v>
      </c>
      <c r="F4304" s="1">
        <v>118273</v>
      </c>
      <c r="G4304" s="1">
        <v>930000102</v>
      </c>
      <c r="H4304" s="1">
        <v>12</v>
      </c>
      <c r="I4304" s="1" t="s">
        <v>2303</v>
      </c>
      <c r="J4304" t="s">
        <v>8382</v>
      </c>
    </row>
    <row r="4305" spans="1:10">
      <c r="A4305" s="1">
        <v>120741</v>
      </c>
      <c r="B4305" s="1">
        <v>5410000160</v>
      </c>
      <c r="C4305" s="1">
        <v>12</v>
      </c>
      <c r="D4305" s="1" t="s">
        <v>2557</v>
      </c>
      <c r="E4305" t="s">
        <v>8352</v>
      </c>
      <c r="F4305" s="1">
        <v>120436</v>
      </c>
      <c r="G4305" s="1">
        <v>930000101</v>
      </c>
      <c r="H4305" s="1">
        <v>12</v>
      </c>
      <c r="I4305" s="1" t="s">
        <v>2303</v>
      </c>
      <c r="J4305" t="s">
        <v>8383</v>
      </c>
    </row>
    <row r="4306" spans="1:10" ht="15.75">
      <c r="A4306" s="4" t="s">
        <v>10809</v>
      </c>
      <c r="B4306" s="2"/>
      <c r="C4306" s="2"/>
      <c r="D4306" s="2"/>
      <c r="E4306" s="3"/>
      <c r="F4306" s="4" t="s">
        <v>10810</v>
      </c>
      <c r="G4306" s="2"/>
      <c r="H4306" s="2"/>
      <c r="I4306" s="2"/>
      <c r="J4306" s="3"/>
    </row>
    <row r="4307" spans="1:10">
      <c r="A4307" s="2" t="s">
        <v>0</v>
      </c>
      <c r="B4307" s="2" t="s">
        <v>1</v>
      </c>
      <c r="C4307" s="2" t="s">
        <v>2</v>
      </c>
      <c r="D4307" s="2" t="s">
        <v>3</v>
      </c>
      <c r="E4307" s="3" t="s">
        <v>4</v>
      </c>
      <c r="F4307" s="2" t="s">
        <v>0</v>
      </c>
      <c r="G4307" s="2" t="s">
        <v>1</v>
      </c>
      <c r="H4307" s="2" t="s">
        <v>2</v>
      </c>
      <c r="I4307" s="2" t="s">
        <v>3</v>
      </c>
      <c r="J4307" s="3" t="s">
        <v>4</v>
      </c>
    </row>
    <row r="4308" spans="1:10">
      <c r="A4308" s="1">
        <v>375212</v>
      </c>
      <c r="B4308" s="1">
        <v>930000480</v>
      </c>
      <c r="C4308" s="1">
        <v>12</v>
      </c>
      <c r="D4308" s="1" t="s">
        <v>2303</v>
      </c>
      <c r="E4308" t="s">
        <v>8384</v>
      </c>
      <c r="F4308" s="1">
        <v>116012</v>
      </c>
      <c r="G4308" s="1">
        <v>1116611601</v>
      </c>
      <c r="H4308" s="1">
        <v>12</v>
      </c>
      <c r="I4308" s="1" t="s">
        <v>489</v>
      </c>
      <c r="J4308" t="s">
        <v>8419</v>
      </c>
    </row>
    <row r="4309" spans="1:10">
      <c r="A4309" s="1">
        <v>118281</v>
      </c>
      <c r="B4309" s="1">
        <v>930000089</v>
      </c>
      <c r="C4309" s="1">
        <v>12</v>
      </c>
      <c r="D4309" s="1" t="s">
        <v>2303</v>
      </c>
      <c r="E4309" t="s">
        <v>8385</v>
      </c>
      <c r="F4309" s="1">
        <v>116095</v>
      </c>
      <c r="G4309" s="1">
        <v>1116611609</v>
      </c>
      <c r="H4309" s="1">
        <v>12</v>
      </c>
      <c r="I4309" s="1" t="s">
        <v>489</v>
      </c>
      <c r="J4309" t="s">
        <v>8420</v>
      </c>
    </row>
    <row r="4310" spans="1:10">
      <c r="A4310" s="1">
        <v>380436</v>
      </c>
      <c r="B4310" s="1">
        <v>930000090</v>
      </c>
      <c r="C4310" s="1">
        <v>12</v>
      </c>
      <c r="D4310" s="1" t="s">
        <v>2303</v>
      </c>
      <c r="E4310" t="s">
        <v>8386</v>
      </c>
      <c r="F4310" s="1">
        <v>115949</v>
      </c>
      <c r="G4310" s="1">
        <v>1116611594</v>
      </c>
      <c r="H4310" s="1">
        <v>12</v>
      </c>
      <c r="I4310" s="1" t="s">
        <v>6221</v>
      </c>
      <c r="J4310" t="s">
        <v>8421</v>
      </c>
    </row>
    <row r="4311" spans="1:10">
      <c r="A4311" s="1">
        <v>452979</v>
      </c>
      <c r="B4311" s="1">
        <v>1116601251</v>
      </c>
      <c r="C4311" s="1">
        <v>12</v>
      </c>
      <c r="D4311" s="1" t="s">
        <v>1191</v>
      </c>
      <c r="E4311" t="s">
        <v>8387</v>
      </c>
      <c r="F4311" s="1">
        <v>116145</v>
      </c>
      <c r="G4311" s="1">
        <v>1116611614</v>
      </c>
      <c r="H4311" s="1">
        <v>24</v>
      </c>
      <c r="I4311" s="1" t="s">
        <v>404</v>
      </c>
      <c r="J4311" t="s">
        <v>8422</v>
      </c>
    </row>
    <row r="4312" spans="1:10" ht="15.75">
      <c r="A4312" s="1">
        <v>299560</v>
      </c>
      <c r="B4312" s="1">
        <v>1116601257</v>
      </c>
      <c r="C4312" s="1">
        <v>12</v>
      </c>
      <c r="D4312" s="1" t="s">
        <v>1191</v>
      </c>
      <c r="E4312" t="s">
        <v>8388</v>
      </c>
      <c r="F4312" s="4" t="s">
        <v>10811</v>
      </c>
      <c r="G4312" s="2"/>
      <c r="H4312" s="2"/>
      <c r="I4312" s="2"/>
      <c r="J4312" s="3"/>
    </row>
    <row r="4313" spans="1:10">
      <c r="A4313" s="1">
        <v>419556</v>
      </c>
      <c r="B4313" s="1">
        <v>1116601252</v>
      </c>
      <c r="C4313" s="1">
        <v>12</v>
      </c>
      <c r="D4313" s="1" t="s">
        <v>1191</v>
      </c>
      <c r="E4313" t="s">
        <v>8389</v>
      </c>
      <c r="F4313" s="2" t="s">
        <v>0</v>
      </c>
      <c r="G4313" s="2" t="s">
        <v>1</v>
      </c>
      <c r="H4313" s="2" t="s">
        <v>2</v>
      </c>
      <c r="I4313" s="2" t="s">
        <v>3</v>
      </c>
      <c r="J4313" s="3" t="s">
        <v>4</v>
      </c>
    </row>
    <row r="4314" spans="1:10">
      <c r="A4314" s="1">
        <v>461012</v>
      </c>
      <c r="B4314" s="1">
        <v>1116601253</v>
      </c>
      <c r="C4314" s="1">
        <v>12</v>
      </c>
      <c r="D4314" s="1" t="s">
        <v>1191</v>
      </c>
      <c r="E4314" t="s">
        <v>8390</v>
      </c>
      <c r="F4314" s="1">
        <v>124321</v>
      </c>
      <c r="G4314" s="1">
        <v>2370900408</v>
      </c>
      <c r="H4314" s="1">
        <v>24</v>
      </c>
      <c r="I4314" s="1" t="s">
        <v>397</v>
      </c>
      <c r="J4314" t="s">
        <v>8423</v>
      </c>
    </row>
    <row r="4315" spans="1:10" ht="15.75">
      <c r="A4315" s="4" t="s">
        <v>10810</v>
      </c>
      <c r="B4315" s="2"/>
      <c r="C4315" s="2"/>
      <c r="D4315" s="2"/>
      <c r="E4315" s="3"/>
      <c r="F4315" s="1">
        <v>387167</v>
      </c>
      <c r="G4315" s="1">
        <v>2370900401</v>
      </c>
      <c r="H4315" s="1">
        <v>24</v>
      </c>
      <c r="I4315" s="1" t="s">
        <v>31</v>
      </c>
      <c r="J4315" t="s">
        <v>8424</v>
      </c>
    </row>
    <row r="4316" spans="1:10">
      <c r="A4316" s="2" t="s">
        <v>0</v>
      </c>
      <c r="B4316" s="2" t="s">
        <v>1</v>
      </c>
      <c r="C4316" s="2" t="s">
        <v>2</v>
      </c>
      <c r="D4316" s="2" t="s">
        <v>3</v>
      </c>
      <c r="E4316" s="3" t="s">
        <v>4</v>
      </c>
      <c r="F4316" s="1">
        <v>124552</v>
      </c>
      <c r="G4316" s="1">
        <v>2370900403</v>
      </c>
      <c r="H4316" s="1">
        <v>24</v>
      </c>
      <c r="I4316" s="1" t="s">
        <v>397</v>
      </c>
      <c r="J4316" t="s">
        <v>8425</v>
      </c>
    </row>
    <row r="4317" spans="1:10" ht="15.75">
      <c r="A4317" s="1">
        <v>226803</v>
      </c>
      <c r="B4317" s="1">
        <v>5380005099</v>
      </c>
      <c r="C4317" s="1">
        <v>24</v>
      </c>
      <c r="D4317" s="1" t="s">
        <v>828</v>
      </c>
      <c r="E4317" t="s">
        <v>8391</v>
      </c>
      <c r="F4317" s="4" t="s">
        <v>10812</v>
      </c>
      <c r="G4317" s="2"/>
      <c r="H4317" s="2"/>
      <c r="I4317" s="2"/>
      <c r="J4317" s="3"/>
    </row>
    <row r="4318" spans="1:10">
      <c r="A4318" s="1">
        <v>102384</v>
      </c>
      <c r="B4318" s="1">
        <v>5380010831</v>
      </c>
      <c r="C4318" s="1">
        <v>24</v>
      </c>
      <c r="D4318" s="1" t="s">
        <v>536</v>
      </c>
      <c r="E4318" t="s">
        <v>8392</v>
      </c>
      <c r="F4318" s="2" t="s">
        <v>0</v>
      </c>
      <c r="G4318" s="2" t="s">
        <v>1</v>
      </c>
      <c r="H4318" s="2" t="s">
        <v>2</v>
      </c>
      <c r="I4318" s="2" t="s">
        <v>3</v>
      </c>
      <c r="J4318" s="3" t="s">
        <v>4</v>
      </c>
    </row>
    <row r="4319" spans="1:10">
      <c r="A4319" s="1">
        <v>504563</v>
      </c>
      <c r="B4319" s="1">
        <v>5380003601</v>
      </c>
      <c r="C4319" s="1">
        <v>12</v>
      </c>
      <c r="D4319" s="1" t="s">
        <v>6221</v>
      </c>
      <c r="E4319" t="s">
        <v>8393</v>
      </c>
      <c r="F4319" s="1">
        <v>129528</v>
      </c>
      <c r="G4319" s="1">
        <v>3732300201</v>
      </c>
      <c r="H4319" s="1">
        <v>12</v>
      </c>
      <c r="I4319" s="1" t="s">
        <v>940</v>
      </c>
      <c r="J4319" t="s">
        <v>8426</v>
      </c>
    </row>
    <row r="4320" spans="1:10">
      <c r="A4320" s="1">
        <v>591016</v>
      </c>
      <c r="B4320" s="1">
        <v>5380020016</v>
      </c>
      <c r="C4320" s="1">
        <v>12</v>
      </c>
      <c r="D4320" s="1" t="s">
        <v>404</v>
      </c>
      <c r="E4320" t="s">
        <v>8394</v>
      </c>
      <c r="F4320" s="1">
        <v>139998</v>
      </c>
      <c r="G4320" s="1">
        <v>87694100011</v>
      </c>
      <c r="H4320" s="1">
        <v>12</v>
      </c>
      <c r="I4320" s="1" t="s">
        <v>381</v>
      </c>
      <c r="J4320" t="s">
        <v>8427</v>
      </c>
    </row>
    <row r="4321" spans="1:10">
      <c r="A4321" s="1">
        <v>619148</v>
      </c>
      <c r="B4321" s="1">
        <v>5380002821</v>
      </c>
      <c r="C4321" s="1">
        <v>24</v>
      </c>
      <c r="D4321" s="1" t="s">
        <v>404</v>
      </c>
      <c r="E4321" t="s">
        <v>8395</v>
      </c>
      <c r="F4321" s="1">
        <v>132449</v>
      </c>
      <c r="G4321" s="1">
        <v>7240000725</v>
      </c>
      <c r="H4321" s="1">
        <v>12</v>
      </c>
      <c r="I4321" s="1" t="s">
        <v>489</v>
      </c>
      <c r="J4321" t="s">
        <v>8428</v>
      </c>
    </row>
    <row r="4322" spans="1:10">
      <c r="A4322" s="1">
        <v>520031</v>
      </c>
      <c r="B4322" s="1">
        <v>5380002661</v>
      </c>
      <c r="C4322" s="1">
        <v>24</v>
      </c>
      <c r="D4322" s="1" t="s">
        <v>404</v>
      </c>
      <c r="E4322" t="s">
        <v>8396</v>
      </c>
      <c r="F4322" s="1">
        <v>129460</v>
      </c>
      <c r="G4322" s="1">
        <v>7240000727</v>
      </c>
      <c r="H4322" s="1">
        <v>12</v>
      </c>
      <c r="I4322" s="1" t="s">
        <v>489</v>
      </c>
      <c r="J4322" t="s">
        <v>8429</v>
      </c>
    </row>
    <row r="4323" spans="1:10">
      <c r="A4323" s="1">
        <v>139725</v>
      </c>
      <c r="B4323" s="1">
        <v>5380020014</v>
      </c>
      <c r="C4323" s="1">
        <v>12</v>
      </c>
      <c r="D4323" s="1" t="s">
        <v>106</v>
      </c>
      <c r="E4323" t="s">
        <v>8397</v>
      </c>
      <c r="F4323" s="1">
        <v>132555</v>
      </c>
      <c r="G4323" s="1">
        <v>7240000730</v>
      </c>
      <c r="H4323" s="1">
        <v>12</v>
      </c>
      <c r="I4323" s="1" t="s">
        <v>489</v>
      </c>
      <c r="J4323" t="s">
        <v>8430</v>
      </c>
    </row>
    <row r="4324" spans="1:10">
      <c r="A4324" s="1">
        <v>354522</v>
      </c>
      <c r="B4324" s="1">
        <v>5380010961</v>
      </c>
      <c r="C4324" s="1">
        <v>24</v>
      </c>
      <c r="D4324" s="1" t="s">
        <v>417</v>
      </c>
      <c r="E4324" t="s">
        <v>8398</v>
      </c>
      <c r="F4324" s="1">
        <v>132563</v>
      </c>
      <c r="G4324" s="1">
        <v>7240000728</v>
      </c>
      <c r="H4324" s="1">
        <v>12</v>
      </c>
      <c r="I4324" s="1" t="s">
        <v>489</v>
      </c>
      <c r="J4324" t="s">
        <v>8431</v>
      </c>
    </row>
    <row r="4325" spans="1:10">
      <c r="A4325" s="1">
        <v>267187</v>
      </c>
      <c r="B4325" s="1">
        <v>5380070002</v>
      </c>
      <c r="C4325" s="1">
        <v>12</v>
      </c>
      <c r="D4325" s="1" t="s">
        <v>6221</v>
      </c>
      <c r="E4325" t="s">
        <v>8399</v>
      </c>
      <c r="F4325" s="1">
        <v>129387</v>
      </c>
      <c r="G4325" s="1">
        <v>7240000729</v>
      </c>
      <c r="H4325" s="1">
        <v>12</v>
      </c>
      <c r="I4325" s="1" t="s">
        <v>489</v>
      </c>
      <c r="J4325" t="s">
        <v>8432</v>
      </c>
    </row>
    <row r="4326" spans="1:10">
      <c r="A4326" s="1">
        <v>149690</v>
      </c>
      <c r="B4326" s="1">
        <v>5380002631</v>
      </c>
      <c r="C4326" s="1">
        <v>24</v>
      </c>
      <c r="D4326" s="1" t="s">
        <v>404</v>
      </c>
      <c r="E4326" t="s">
        <v>8400</v>
      </c>
      <c r="F4326" s="1">
        <v>132472</v>
      </c>
      <c r="G4326" s="1">
        <v>7240000720</v>
      </c>
      <c r="H4326" s="1">
        <v>12</v>
      </c>
      <c r="I4326" s="1" t="s">
        <v>489</v>
      </c>
      <c r="J4326" t="s">
        <v>8433</v>
      </c>
    </row>
    <row r="4327" spans="1:10">
      <c r="A4327" s="1">
        <v>611053</v>
      </c>
      <c r="B4327" s="1">
        <v>5380085000</v>
      </c>
      <c r="C4327" s="1">
        <v>6</v>
      </c>
      <c r="D4327" s="1" t="s">
        <v>394</v>
      </c>
      <c r="E4327" t="s">
        <v>8401</v>
      </c>
      <c r="F4327" s="1">
        <v>133553</v>
      </c>
      <c r="G4327" s="1">
        <v>7240001910</v>
      </c>
      <c r="H4327" s="1">
        <v>12</v>
      </c>
      <c r="I4327" s="1" t="s">
        <v>489</v>
      </c>
      <c r="J4327" t="s">
        <v>8434</v>
      </c>
    </row>
    <row r="4328" spans="1:10">
      <c r="A4328" s="1">
        <v>517151</v>
      </c>
      <c r="B4328" s="1">
        <v>5380085002</v>
      </c>
      <c r="C4328" s="1">
        <v>6</v>
      </c>
      <c r="D4328" s="1" t="s">
        <v>394</v>
      </c>
      <c r="E4328" t="s">
        <v>8402</v>
      </c>
      <c r="F4328" s="1">
        <v>130336</v>
      </c>
      <c r="G4328" s="1">
        <v>1116613033</v>
      </c>
      <c r="H4328" s="1">
        <v>12</v>
      </c>
      <c r="I4328" s="1" t="s">
        <v>954</v>
      </c>
      <c r="J4328" t="s">
        <v>8435</v>
      </c>
    </row>
    <row r="4329" spans="1:10">
      <c r="A4329" s="1">
        <v>72579</v>
      </c>
      <c r="B4329" s="1">
        <v>5380085001</v>
      </c>
      <c r="C4329" s="1">
        <v>6</v>
      </c>
      <c r="D4329" s="1" t="s">
        <v>394</v>
      </c>
      <c r="E4329" t="s">
        <v>8403</v>
      </c>
      <c r="F4329" s="1">
        <v>126938</v>
      </c>
      <c r="G4329" s="1">
        <v>1116612693</v>
      </c>
      <c r="H4329" s="1">
        <v>12</v>
      </c>
      <c r="I4329" s="1" t="s">
        <v>632</v>
      </c>
      <c r="J4329" t="s">
        <v>8436</v>
      </c>
    </row>
    <row r="4330" spans="1:10">
      <c r="A4330" s="1">
        <v>668475</v>
      </c>
      <c r="B4330" s="1">
        <v>5380020025</v>
      </c>
      <c r="C4330" s="1">
        <v>12</v>
      </c>
      <c r="D4330" s="1" t="s">
        <v>106</v>
      </c>
      <c r="E4330" t="s">
        <v>8404</v>
      </c>
      <c r="F4330" s="1">
        <v>127241</v>
      </c>
      <c r="G4330" s="1">
        <v>1116612724</v>
      </c>
      <c r="H4330" s="1">
        <v>12</v>
      </c>
      <c r="I4330" s="1" t="s">
        <v>632</v>
      </c>
      <c r="J4330" t="s">
        <v>8437</v>
      </c>
    </row>
    <row r="4331" spans="1:10">
      <c r="A4331" s="1">
        <v>504977</v>
      </c>
      <c r="B4331" s="1">
        <v>5380029950</v>
      </c>
      <c r="C4331" s="1">
        <v>12</v>
      </c>
      <c r="D4331" s="1" t="s">
        <v>360</v>
      </c>
      <c r="E4331" t="s">
        <v>8405</v>
      </c>
      <c r="F4331" s="1">
        <v>225201</v>
      </c>
      <c r="G4331" s="1">
        <v>1116601342</v>
      </c>
      <c r="H4331" s="1">
        <v>12</v>
      </c>
      <c r="I4331" s="1" t="s">
        <v>938</v>
      </c>
      <c r="J4331" t="s">
        <v>8438</v>
      </c>
    </row>
    <row r="4332" spans="1:10">
      <c r="A4332" s="1">
        <v>58057</v>
      </c>
      <c r="B4332" s="1">
        <v>5380030020</v>
      </c>
      <c r="C4332" s="1">
        <v>12</v>
      </c>
      <c r="D4332" s="1" t="s">
        <v>489</v>
      </c>
      <c r="E4332" t="s">
        <v>8406</v>
      </c>
      <c r="F4332" s="1">
        <v>126060</v>
      </c>
      <c r="G4332" s="1">
        <v>1116612606</v>
      </c>
      <c r="H4332" s="1">
        <v>12</v>
      </c>
      <c r="I4332" s="1" t="s">
        <v>632</v>
      </c>
      <c r="J4332" t="s">
        <v>8439</v>
      </c>
    </row>
    <row r="4333" spans="1:10">
      <c r="A4333" s="1">
        <v>590208</v>
      </c>
      <c r="B4333" s="1">
        <v>5380030321</v>
      </c>
      <c r="C4333" s="1">
        <v>6</v>
      </c>
      <c r="D4333" s="1" t="s">
        <v>908</v>
      </c>
      <c r="E4333" t="s">
        <v>8406</v>
      </c>
      <c r="F4333" s="1">
        <v>126243</v>
      </c>
      <c r="G4333" s="1">
        <v>1116612624</v>
      </c>
      <c r="H4333" s="1">
        <v>12</v>
      </c>
      <c r="I4333" s="1" t="s">
        <v>632</v>
      </c>
      <c r="J4333" t="s">
        <v>8440</v>
      </c>
    </row>
    <row r="4334" spans="1:10">
      <c r="A4334" s="1">
        <v>501833</v>
      </c>
      <c r="B4334" s="1">
        <v>5380029895</v>
      </c>
      <c r="C4334" s="1">
        <v>12</v>
      </c>
      <c r="D4334" s="1" t="s">
        <v>6221</v>
      </c>
      <c r="E4334" t="s">
        <v>8406</v>
      </c>
      <c r="F4334" s="1">
        <v>126441</v>
      </c>
      <c r="G4334" s="1">
        <v>1116612644</v>
      </c>
      <c r="H4334" s="1">
        <v>12</v>
      </c>
      <c r="I4334" s="1" t="s">
        <v>375</v>
      </c>
      <c r="J4334" t="s">
        <v>8441</v>
      </c>
    </row>
    <row r="4335" spans="1:10">
      <c r="A4335" s="1">
        <v>535229</v>
      </c>
      <c r="B4335" s="1">
        <v>5380020011</v>
      </c>
      <c r="C4335" s="1">
        <v>12</v>
      </c>
      <c r="D4335" s="1" t="s">
        <v>419</v>
      </c>
      <c r="E4335" t="s">
        <v>8407</v>
      </c>
      <c r="F4335" s="1">
        <v>125559</v>
      </c>
      <c r="G4335" s="1">
        <v>1116612555</v>
      </c>
      <c r="H4335" s="1">
        <v>12</v>
      </c>
      <c r="I4335" s="1" t="s">
        <v>347</v>
      </c>
      <c r="J4335" t="s">
        <v>8442</v>
      </c>
    </row>
    <row r="4336" spans="1:10">
      <c r="A4336" s="1">
        <v>116194</v>
      </c>
      <c r="B4336" s="1">
        <v>1116611619</v>
      </c>
      <c r="C4336" s="1">
        <v>24</v>
      </c>
      <c r="D4336" s="1" t="s">
        <v>536</v>
      </c>
      <c r="E4336" t="s">
        <v>8408</v>
      </c>
      <c r="F4336" s="1">
        <v>125286</v>
      </c>
      <c r="G4336" s="1">
        <v>1116612528</v>
      </c>
      <c r="H4336" s="1">
        <v>12</v>
      </c>
      <c r="I4336" s="1" t="s">
        <v>347</v>
      </c>
      <c r="J4336" t="s">
        <v>8443</v>
      </c>
    </row>
    <row r="4337" spans="1:10">
      <c r="A4337" s="1">
        <v>116137</v>
      </c>
      <c r="B4337" s="1">
        <v>1116611613</v>
      </c>
      <c r="C4337" s="1">
        <v>24</v>
      </c>
      <c r="D4337" s="1" t="s">
        <v>404</v>
      </c>
      <c r="E4337" t="s">
        <v>8409</v>
      </c>
      <c r="F4337" s="1">
        <v>838284</v>
      </c>
      <c r="G4337" s="1">
        <v>1116601357</v>
      </c>
      <c r="H4337" s="1">
        <v>12</v>
      </c>
      <c r="I4337" s="1" t="s">
        <v>632</v>
      </c>
      <c r="J4337" t="s">
        <v>8444</v>
      </c>
    </row>
    <row r="4338" spans="1:10">
      <c r="A4338" s="1">
        <v>857441</v>
      </c>
      <c r="B4338" s="1">
        <v>1116601349</v>
      </c>
      <c r="C4338" s="1">
        <v>12</v>
      </c>
      <c r="D4338" s="1" t="s">
        <v>489</v>
      </c>
      <c r="E4338" t="s">
        <v>8410</v>
      </c>
      <c r="F4338" s="1">
        <v>126383</v>
      </c>
      <c r="G4338" s="1">
        <v>1116612638</v>
      </c>
      <c r="H4338" s="1">
        <v>12</v>
      </c>
      <c r="I4338" s="1" t="s">
        <v>632</v>
      </c>
      <c r="J4338" t="s">
        <v>8445</v>
      </c>
    </row>
    <row r="4339" spans="1:10">
      <c r="A4339" s="1">
        <v>693895</v>
      </c>
      <c r="B4339" s="1">
        <v>1116601350</v>
      </c>
      <c r="C4339" s="1">
        <v>12</v>
      </c>
      <c r="D4339" s="1" t="s">
        <v>908</v>
      </c>
      <c r="E4339" t="s">
        <v>8411</v>
      </c>
      <c r="F4339" s="1">
        <v>126425</v>
      </c>
      <c r="G4339" s="1">
        <v>1116612642</v>
      </c>
      <c r="H4339" s="1">
        <v>12</v>
      </c>
      <c r="I4339" s="1" t="s">
        <v>375</v>
      </c>
      <c r="J4339" t="s">
        <v>8446</v>
      </c>
    </row>
    <row r="4340" spans="1:10">
      <c r="A4340" s="1">
        <v>115923</v>
      </c>
      <c r="B4340" s="1">
        <v>1116611592</v>
      </c>
      <c r="C4340" s="1">
        <v>12</v>
      </c>
      <c r="D4340" s="1" t="s">
        <v>360</v>
      </c>
      <c r="E4340" t="s">
        <v>8412</v>
      </c>
      <c r="F4340" s="1">
        <v>268011</v>
      </c>
      <c r="G4340" s="1">
        <v>1116601341</v>
      </c>
      <c r="H4340" s="1">
        <v>12</v>
      </c>
      <c r="I4340" s="1" t="s">
        <v>938</v>
      </c>
      <c r="J4340" t="s">
        <v>8447</v>
      </c>
    </row>
    <row r="4341" spans="1:10">
      <c r="A4341" s="1">
        <v>414573</v>
      </c>
      <c r="B4341" s="1">
        <v>1116601361</v>
      </c>
      <c r="C4341" s="1">
        <v>12</v>
      </c>
      <c r="D4341" s="1" t="s">
        <v>910</v>
      </c>
      <c r="E4341" t="s">
        <v>8413</v>
      </c>
      <c r="F4341" s="1">
        <v>126359</v>
      </c>
      <c r="G4341" s="1">
        <v>1116612635</v>
      </c>
      <c r="H4341" s="1">
        <v>12</v>
      </c>
      <c r="I4341" s="1" t="s">
        <v>632</v>
      </c>
      <c r="J4341" t="s">
        <v>8448</v>
      </c>
    </row>
    <row r="4342" spans="1:10">
      <c r="A4342" s="1">
        <v>115956</v>
      </c>
      <c r="B4342" s="1">
        <v>1116611595</v>
      </c>
      <c r="C4342" s="1">
        <v>12</v>
      </c>
      <c r="D4342" s="1" t="s">
        <v>360</v>
      </c>
      <c r="E4342" t="s">
        <v>8414</v>
      </c>
      <c r="F4342" s="1">
        <v>126367</v>
      </c>
      <c r="G4342" s="1">
        <v>1116612636</v>
      </c>
      <c r="H4342" s="1">
        <v>12</v>
      </c>
      <c r="I4342" s="1" t="s">
        <v>632</v>
      </c>
      <c r="J4342" t="s">
        <v>8449</v>
      </c>
    </row>
    <row r="4343" spans="1:10">
      <c r="A4343" s="1">
        <v>116178</v>
      </c>
      <c r="B4343" s="1">
        <v>1116611617</v>
      </c>
      <c r="C4343" s="1">
        <v>24</v>
      </c>
      <c r="D4343" s="1" t="s">
        <v>404</v>
      </c>
      <c r="E4343" t="s">
        <v>8415</v>
      </c>
      <c r="F4343" s="1">
        <v>127308</v>
      </c>
      <c r="G4343" s="1">
        <v>1116612730</v>
      </c>
      <c r="H4343" s="1">
        <v>12</v>
      </c>
      <c r="I4343" s="1" t="s">
        <v>632</v>
      </c>
      <c r="J4343" t="s">
        <v>8450</v>
      </c>
    </row>
    <row r="4344" spans="1:10">
      <c r="A4344" s="1">
        <v>348565</v>
      </c>
      <c r="B4344" s="1">
        <v>1116601238</v>
      </c>
      <c r="C4344" s="1">
        <v>24</v>
      </c>
      <c r="D4344" s="1" t="s">
        <v>828</v>
      </c>
      <c r="E4344" t="s">
        <v>8416</v>
      </c>
      <c r="F4344" s="1">
        <v>125591</v>
      </c>
      <c r="G4344" s="1">
        <v>1116612559</v>
      </c>
      <c r="H4344" s="1">
        <v>12</v>
      </c>
      <c r="I4344" s="1" t="s">
        <v>347</v>
      </c>
      <c r="J4344" t="s">
        <v>8451</v>
      </c>
    </row>
    <row r="4345" spans="1:10">
      <c r="A4345" s="1">
        <v>116061</v>
      </c>
      <c r="B4345" s="1">
        <v>1116611606</v>
      </c>
      <c r="C4345" s="1">
        <v>24</v>
      </c>
      <c r="D4345" s="1" t="s">
        <v>417</v>
      </c>
      <c r="E4345" t="s">
        <v>8417</v>
      </c>
      <c r="F4345" s="1">
        <v>126409</v>
      </c>
      <c r="G4345" s="1">
        <v>1116612640</v>
      </c>
      <c r="H4345" s="1">
        <v>12</v>
      </c>
      <c r="I4345" s="1" t="s">
        <v>375</v>
      </c>
      <c r="J4345" t="s">
        <v>8452</v>
      </c>
    </row>
    <row r="4346" spans="1:10">
      <c r="A4346" s="1">
        <v>116087</v>
      </c>
      <c r="B4346" s="1">
        <v>1116611608</v>
      </c>
      <c r="C4346" s="1">
        <v>24</v>
      </c>
      <c r="D4346" s="1" t="s">
        <v>404</v>
      </c>
      <c r="E4346" t="s">
        <v>8418</v>
      </c>
      <c r="F4346" s="1">
        <v>125005</v>
      </c>
      <c r="G4346" s="1">
        <v>1116612500</v>
      </c>
      <c r="H4346" s="1">
        <v>12</v>
      </c>
      <c r="I4346" s="1" t="s">
        <v>347</v>
      </c>
      <c r="J4346" t="s">
        <v>8453</v>
      </c>
    </row>
    <row r="4347" spans="1:10" ht="15.75">
      <c r="A4347" s="4" t="s">
        <v>10812</v>
      </c>
      <c r="B4347" s="2"/>
      <c r="C4347" s="2"/>
      <c r="D4347" s="2"/>
      <c r="E4347" s="3"/>
      <c r="F4347" s="4" t="s">
        <v>10812</v>
      </c>
      <c r="G4347" s="2"/>
      <c r="H4347" s="2"/>
      <c r="I4347" s="2"/>
      <c r="J4347" s="3"/>
    </row>
    <row r="4348" spans="1:10">
      <c r="A4348" s="2" t="s">
        <v>0</v>
      </c>
      <c r="B4348" s="2" t="s">
        <v>1</v>
      </c>
      <c r="C4348" s="2" t="s">
        <v>2</v>
      </c>
      <c r="D4348" s="2" t="s">
        <v>3</v>
      </c>
      <c r="E4348" s="3" t="s">
        <v>4</v>
      </c>
      <c r="F4348" s="2" t="s">
        <v>0</v>
      </c>
      <c r="G4348" s="2" t="s">
        <v>1</v>
      </c>
      <c r="H4348" s="2" t="s">
        <v>2</v>
      </c>
      <c r="I4348" s="2" t="s">
        <v>3</v>
      </c>
      <c r="J4348" s="3" t="s">
        <v>4</v>
      </c>
    </row>
    <row r="4349" spans="1:10">
      <c r="A4349" s="1">
        <v>127050</v>
      </c>
      <c r="B4349" s="1">
        <v>1116612705</v>
      </c>
      <c r="C4349" s="1">
        <v>12</v>
      </c>
      <c r="D4349" s="1" t="s">
        <v>632</v>
      </c>
      <c r="E4349" t="s">
        <v>8453</v>
      </c>
      <c r="F4349" s="1">
        <v>128595</v>
      </c>
      <c r="G4349" s="1">
        <v>5150001667</v>
      </c>
      <c r="H4349" s="1">
        <v>12</v>
      </c>
      <c r="I4349" s="1" t="s">
        <v>1483</v>
      </c>
      <c r="J4349" t="s">
        <v>8490</v>
      </c>
    </row>
    <row r="4350" spans="1:10">
      <c r="A4350" s="1">
        <v>17129</v>
      </c>
      <c r="B4350" s="1">
        <v>4113030155</v>
      </c>
      <c r="C4350" s="1">
        <v>12</v>
      </c>
      <c r="D4350" s="1" t="s">
        <v>375</v>
      </c>
      <c r="E4350" t="s">
        <v>8454</v>
      </c>
      <c r="F4350" s="1">
        <v>133785</v>
      </c>
      <c r="G4350" s="1">
        <v>5150002326</v>
      </c>
      <c r="H4350" s="1">
        <v>12</v>
      </c>
      <c r="I4350" s="1" t="s">
        <v>489</v>
      </c>
      <c r="J4350" t="s">
        <v>8491</v>
      </c>
    </row>
    <row r="4351" spans="1:10">
      <c r="A4351" s="1">
        <v>17137</v>
      </c>
      <c r="B4351" s="1">
        <v>4113030156</v>
      </c>
      <c r="C4351" s="1">
        <v>12</v>
      </c>
      <c r="D4351" s="1" t="s">
        <v>375</v>
      </c>
      <c r="E4351" t="s">
        <v>8455</v>
      </c>
      <c r="F4351" s="1">
        <v>133736</v>
      </c>
      <c r="G4351" s="1">
        <v>5150002325</v>
      </c>
      <c r="H4351" s="1">
        <v>12</v>
      </c>
      <c r="I4351" s="1" t="s">
        <v>489</v>
      </c>
      <c r="J4351" t="s">
        <v>8492</v>
      </c>
    </row>
    <row r="4352" spans="1:10">
      <c r="A4352" s="1">
        <v>133413</v>
      </c>
      <c r="B4352" s="1">
        <v>5150002339</v>
      </c>
      <c r="C4352" s="1">
        <v>12</v>
      </c>
      <c r="D4352" s="1" t="s">
        <v>489</v>
      </c>
      <c r="E4352" t="s">
        <v>8456</v>
      </c>
      <c r="F4352" s="1">
        <v>128587</v>
      </c>
      <c r="G4352" s="1">
        <v>5150001669</v>
      </c>
      <c r="H4352" s="1">
        <v>12</v>
      </c>
      <c r="I4352" s="1" t="s">
        <v>1483</v>
      </c>
      <c r="J4352" t="s">
        <v>8493</v>
      </c>
    </row>
    <row r="4353" spans="1:10">
      <c r="A4353" s="1">
        <v>133769</v>
      </c>
      <c r="B4353" s="1">
        <v>5150002328</v>
      </c>
      <c r="C4353" s="1">
        <v>12</v>
      </c>
      <c r="D4353" s="1" t="s">
        <v>489</v>
      </c>
      <c r="E4353" t="s">
        <v>8457</v>
      </c>
      <c r="F4353" s="1">
        <v>131201</v>
      </c>
      <c r="G4353" s="1">
        <v>5150004001</v>
      </c>
      <c r="H4353" s="1">
        <v>12</v>
      </c>
      <c r="I4353" s="1" t="s">
        <v>8481</v>
      </c>
      <c r="J4353" t="s">
        <v>8494</v>
      </c>
    </row>
    <row r="4354" spans="1:10">
      <c r="A4354" s="1">
        <v>133744</v>
      </c>
      <c r="B4354" s="1">
        <v>5150002330</v>
      </c>
      <c r="C4354" s="1">
        <v>12</v>
      </c>
      <c r="D4354" s="1" t="s">
        <v>489</v>
      </c>
      <c r="E4354" t="s">
        <v>8458</v>
      </c>
      <c r="F4354" s="1">
        <v>115303</v>
      </c>
      <c r="G4354" s="1">
        <v>5150002571</v>
      </c>
      <c r="H4354" s="1">
        <v>12</v>
      </c>
      <c r="I4354" s="1" t="s">
        <v>489</v>
      </c>
      <c r="J4354" t="s">
        <v>8495</v>
      </c>
    </row>
    <row r="4355" spans="1:10">
      <c r="A4355" s="1">
        <v>126755</v>
      </c>
      <c r="B4355" s="1">
        <v>5150001249</v>
      </c>
      <c r="C4355" s="1">
        <v>12</v>
      </c>
      <c r="D4355" s="1" t="s">
        <v>375</v>
      </c>
      <c r="E4355" t="s">
        <v>8459</v>
      </c>
      <c r="F4355" s="1">
        <v>126326</v>
      </c>
      <c r="G4355" s="1">
        <v>5150005722</v>
      </c>
      <c r="H4355" s="1">
        <v>12</v>
      </c>
      <c r="I4355" s="1" t="s">
        <v>938</v>
      </c>
      <c r="J4355" t="s">
        <v>8496</v>
      </c>
    </row>
    <row r="4356" spans="1:10">
      <c r="A4356" s="1">
        <v>126466</v>
      </c>
      <c r="B4356" s="1">
        <v>5150000693</v>
      </c>
      <c r="C4356" s="1">
        <v>12</v>
      </c>
      <c r="D4356" s="1" t="s">
        <v>632</v>
      </c>
      <c r="E4356" t="s">
        <v>8460</v>
      </c>
      <c r="F4356" s="1">
        <v>126102</v>
      </c>
      <c r="G4356" s="1">
        <v>5150005711</v>
      </c>
      <c r="H4356" s="1">
        <v>12</v>
      </c>
      <c r="I4356" s="1" t="s">
        <v>938</v>
      </c>
      <c r="J4356" t="s">
        <v>8497</v>
      </c>
    </row>
    <row r="4357" spans="1:10">
      <c r="A4357" s="1">
        <v>129429</v>
      </c>
      <c r="B4357" s="1">
        <v>5150000162</v>
      </c>
      <c r="C4357" s="1">
        <v>12</v>
      </c>
      <c r="D4357" s="1" t="s">
        <v>375</v>
      </c>
      <c r="E4357" t="s">
        <v>8460</v>
      </c>
      <c r="F4357" s="1">
        <v>509364</v>
      </c>
      <c r="G4357" s="1">
        <v>4180000055</v>
      </c>
      <c r="H4357" s="1">
        <v>12</v>
      </c>
      <c r="I4357" s="1" t="s">
        <v>381</v>
      </c>
      <c r="J4357" t="s">
        <v>8498</v>
      </c>
    </row>
    <row r="4358" spans="1:10">
      <c r="A4358" s="1">
        <v>131656</v>
      </c>
      <c r="B4358" s="1">
        <v>5150000684</v>
      </c>
      <c r="C4358" s="1">
        <v>12</v>
      </c>
      <c r="D4358" s="1" t="s">
        <v>632</v>
      </c>
      <c r="E4358" t="s">
        <v>8461</v>
      </c>
      <c r="F4358" s="1">
        <v>126730</v>
      </c>
      <c r="G4358" s="1">
        <v>4180000045</v>
      </c>
      <c r="H4358" s="1">
        <v>12</v>
      </c>
      <c r="I4358" s="1" t="s">
        <v>632</v>
      </c>
      <c r="J4358" t="s">
        <v>8499</v>
      </c>
    </row>
    <row r="4359" spans="1:10">
      <c r="A4359" s="1">
        <v>126763</v>
      </c>
      <c r="B4359" s="1">
        <v>5150000083</v>
      </c>
      <c r="C4359" s="1">
        <v>12</v>
      </c>
      <c r="D4359" s="1" t="s">
        <v>347</v>
      </c>
      <c r="E4359" t="s">
        <v>8462</v>
      </c>
      <c r="F4359" s="1">
        <v>126664</v>
      </c>
      <c r="G4359" s="1">
        <v>4180000008</v>
      </c>
      <c r="H4359" s="1">
        <v>12</v>
      </c>
      <c r="I4359" s="1" t="s">
        <v>375</v>
      </c>
      <c r="J4359" t="s">
        <v>8499</v>
      </c>
    </row>
    <row r="4360" spans="1:10">
      <c r="A4360" s="1">
        <v>131672</v>
      </c>
      <c r="B4360" s="1">
        <v>5150000091</v>
      </c>
      <c r="C4360" s="1">
        <v>12</v>
      </c>
      <c r="D4360" s="1" t="s">
        <v>347</v>
      </c>
      <c r="E4360" t="s">
        <v>8463</v>
      </c>
      <c r="F4360" s="1">
        <v>129874</v>
      </c>
      <c r="G4360" s="1">
        <v>4180000026</v>
      </c>
      <c r="H4360" s="1">
        <v>12</v>
      </c>
      <c r="I4360" s="1" t="s">
        <v>1198</v>
      </c>
      <c r="J4360" t="s">
        <v>8500</v>
      </c>
    </row>
    <row r="4361" spans="1:10">
      <c r="A4361" s="1">
        <v>126748</v>
      </c>
      <c r="B4361" s="1">
        <v>5150000163</v>
      </c>
      <c r="C4361" s="1">
        <v>12</v>
      </c>
      <c r="D4361" s="1" t="s">
        <v>375</v>
      </c>
      <c r="E4361" t="s">
        <v>8464</v>
      </c>
      <c r="F4361" s="1">
        <v>126698</v>
      </c>
      <c r="G4361" s="1">
        <v>4180000043</v>
      </c>
      <c r="H4361" s="1">
        <v>12</v>
      </c>
      <c r="I4361" s="1" t="s">
        <v>632</v>
      </c>
      <c r="J4361" t="s">
        <v>8501</v>
      </c>
    </row>
    <row r="4362" spans="1:10">
      <c r="A4362" s="1">
        <v>131888</v>
      </c>
      <c r="B4362" s="1">
        <v>5150001229</v>
      </c>
      <c r="C4362" s="1">
        <v>12</v>
      </c>
      <c r="D4362" s="1" t="s">
        <v>632</v>
      </c>
      <c r="E4362" t="s">
        <v>8465</v>
      </c>
      <c r="F4362" s="1">
        <v>126128</v>
      </c>
      <c r="G4362" s="1">
        <v>4180000025</v>
      </c>
      <c r="H4362" s="1">
        <v>12</v>
      </c>
      <c r="I4362" s="1" t="s">
        <v>1198</v>
      </c>
      <c r="J4362" t="s">
        <v>8501</v>
      </c>
    </row>
    <row r="4363" spans="1:10">
      <c r="A4363" s="1">
        <v>129437</v>
      </c>
      <c r="B4363" s="1">
        <v>5150002200</v>
      </c>
      <c r="C4363" s="1">
        <v>12</v>
      </c>
      <c r="D4363" s="1" t="s">
        <v>347</v>
      </c>
      <c r="E4363" t="s">
        <v>8466</v>
      </c>
      <c r="F4363" s="1">
        <v>126565</v>
      </c>
      <c r="G4363" s="1">
        <v>4180000005</v>
      </c>
      <c r="H4363" s="1">
        <v>12</v>
      </c>
      <c r="I4363" s="1" t="s">
        <v>375</v>
      </c>
      <c r="J4363" t="s">
        <v>8501</v>
      </c>
    </row>
    <row r="4364" spans="1:10">
      <c r="A4364" s="1">
        <v>131482</v>
      </c>
      <c r="B4364" s="1">
        <v>5150002206</v>
      </c>
      <c r="C4364" s="1">
        <v>12</v>
      </c>
      <c r="D4364" s="1" t="s">
        <v>347</v>
      </c>
      <c r="E4364" t="s">
        <v>8467</v>
      </c>
      <c r="F4364" s="1">
        <v>126672</v>
      </c>
      <c r="G4364" s="1">
        <v>4180000006</v>
      </c>
      <c r="H4364" s="1">
        <v>6</v>
      </c>
      <c r="I4364" s="1" t="s">
        <v>865</v>
      </c>
      <c r="J4364" t="s">
        <v>8501</v>
      </c>
    </row>
    <row r="4365" spans="1:10">
      <c r="A4365" s="1">
        <v>129452</v>
      </c>
      <c r="B4365" s="1">
        <v>5150002208</v>
      </c>
      <c r="C4365" s="1">
        <v>12</v>
      </c>
      <c r="D4365" s="1" t="s">
        <v>347</v>
      </c>
      <c r="E4365" t="s">
        <v>8468</v>
      </c>
      <c r="F4365" s="1">
        <v>183012</v>
      </c>
      <c r="G4365" s="1">
        <v>4180000012</v>
      </c>
      <c r="H4365" s="1">
        <v>12</v>
      </c>
      <c r="I4365" s="1" t="s">
        <v>568</v>
      </c>
      <c r="J4365" t="s">
        <v>8502</v>
      </c>
    </row>
    <row r="4366" spans="1:10">
      <c r="A4366" s="1">
        <v>129411</v>
      </c>
      <c r="B4366" s="1">
        <v>5150002215</v>
      </c>
      <c r="C4366" s="1">
        <v>12</v>
      </c>
      <c r="D4366" s="1" t="s">
        <v>347</v>
      </c>
      <c r="E4366" t="s">
        <v>8469</v>
      </c>
      <c r="F4366" s="1">
        <v>126151</v>
      </c>
      <c r="G4366" s="1">
        <v>4180000028</v>
      </c>
      <c r="H4366" s="1">
        <v>12</v>
      </c>
      <c r="I4366" s="1" t="s">
        <v>1198</v>
      </c>
      <c r="J4366" t="s">
        <v>8503</v>
      </c>
    </row>
    <row r="4367" spans="1:10">
      <c r="A4367" s="1">
        <v>131334</v>
      </c>
      <c r="B4367" s="1">
        <v>5150000679</v>
      </c>
      <c r="C4367" s="1">
        <v>12</v>
      </c>
      <c r="D4367" s="1" t="s">
        <v>632</v>
      </c>
      <c r="E4367" t="s">
        <v>8470</v>
      </c>
      <c r="F4367" s="1">
        <v>126573</v>
      </c>
      <c r="G4367" s="1">
        <v>4180000036</v>
      </c>
      <c r="H4367" s="1">
        <v>12</v>
      </c>
      <c r="I4367" s="1" t="s">
        <v>375</v>
      </c>
      <c r="J4367" t="s">
        <v>8504</v>
      </c>
    </row>
    <row r="4368" spans="1:10">
      <c r="A4368" s="1">
        <v>131359</v>
      </c>
      <c r="B4368" s="1">
        <v>5150000084</v>
      </c>
      <c r="C4368" s="1">
        <v>12</v>
      </c>
      <c r="D4368" s="1" t="s">
        <v>347</v>
      </c>
      <c r="E4368" t="s">
        <v>8471</v>
      </c>
      <c r="F4368" s="1">
        <v>403725</v>
      </c>
      <c r="G4368" s="1">
        <v>4180000017</v>
      </c>
      <c r="H4368" s="1">
        <v>12</v>
      </c>
      <c r="I4368" s="1" t="s">
        <v>568</v>
      </c>
      <c r="J4368" t="s">
        <v>8505</v>
      </c>
    </row>
    <row r="4369" spans="1:10">
      <c r="A4369" s="1">
        <v>131342</v>
      </c>
      <c r="B4369" s="1">
        <v>5150000087</v>
      </c>
      <c r="C4369" s="1">
        <v>12</v>
      </c>
      <c r="D4369" s="1" t="s">
        <v>347</v>
      </c>
      <c r="E4369" t="s">
        <v>8472</v>
      </c>
      <c r="F4369" s="1">
        <v>255141</v>
      </c>
      <c r="G4369" s="1">
        <v>4360000043</v>
      </c>
      <c r="H4369" s="1">
        <v>12</v>
      </c>
      <c r="I4369" s="1" t="s">
        <v>954</v>
      </c>
      <c r="J4369" t="s">
        <v>8506</v>
      </c>
    </row>
    <row r="4370" spans="1:10" ht="15.75">
      <c r="A4370" s="1">
        <v>131383</v>
      </c>
      <c r="B4370" s="1">
        <v>5150000075</v>
      </c>
      <c r="C4370" s="1">
        <v>12</v>
      </c>
      <c r="D4370" s="1" t="s">
        <v>347</v>
      </c>
      <c r="E4370" t="s">
        <v>8473</v>
      </c>
      <c r="F4370" s="4" t="s">
        <v>10813</v>
      </c>
      <c r="G4370" s="2"/>
      <c r="H4370" s="2"/>
      <c r="I4370" s="2"/>
      <c r="J4370" s="3"/>
    </row>
    <row r="4371" spans="1:10">
      <c r="A4371" s="1">
        <v>131508</v>
      </c>
      <c r="B4371" s="1">
        <v>5150000675</v>
      </c>
      <c r="C4371" s="1">
        <v>12</v>
      </c>
      <c r="D4371" s="1" t="s">
        <v>632</v>
      </c>
      <c r="E4371" t="s">
        <v>8473</v>
      </c>
      <c r="F4371" s="2" t="s">
        <v>0</v>
      </c>
      <c r="G4371" s="2" t="s">
        <v>1</v>
      </c>
      <c r="H4371" s="2" t="s">
        <v>2</v>
      </c>
      <c r="I4371" s="2" t="s">
        <v>3</v>
      </c>
      <c r="J4371" s="3" t="s">
        <v>4</v>
      </c>
    </row>
    <row r="4372" spans="1:10">
      <c r="A4372" s="1">
        <v>131680</v>
      </c>
      <c r="B4372" s="1">
        <v>5150000081</v>
      </c>
      <c r="C4372" s="1">
        <v>12</v>
      </c>
      <c r="D4372" s="1" t="s">
        <v>347</v>
      </c>
      <c r="E4372" t="s">
        <v>8474</v>
      </c>
      <c r="F4372" s="1">
        <v>327700</v>
      </c>
      <c r="G4372" s="1">
        <v>7482261063</v>
      </c>
      <c r="H4372" s="1">
        <v>12</v>
      </c>
      <c r="I4372" s="1" t="s">
        <v>381</v>
      </c>
      <c r="J4372" t="s">
        <v>8507</v>
      </c>
    </row>
    <row r="4373" spans="1:10">
      <c r="A4373" s="1">
        <v>131375</v>
      </c>
      <c r="B4373" s="1">
        <v>5150000086</v>
      </c>
      <c r="C4373" s="1">
        <v>12</v>
      </c>
      <c r="D4373" s="1" t="s">
        <v>347</v>
      </c>
      <c r="E4373" t="s">
        <v>8475</v>
      </c>
      <c r="F4373" s="1">
        <v>469981</v>
      </c>
      <c r="G4373" s="1">
        <v>7482270659</v>
      </c>
      <c r="H4373" s="1">
        <v>12</v>
      </c>
      <c r="I4373" s="1" t="s">
        <v>381</v>
      </c>
      <c r="J4373" t="s">
        <v>8508</v>
      </c>
    </row>
    <row r="4374" spans="1:10">
      <c r="A4374" s="1">
        <v>131417</v>
      </c>
      <c r="B4374" s="1">
        <v>5150000680</v>
      </c>
      <c r="C4374" s="1">
        <v>12</v>
      </c>
      <c r="D4374" s="1" t="s">
        <v>632</v>
      </c>
      <c r="E4374" t="s">
        <v>8475</v>
      </c>
      <c r="F4374" s="1">
        <v>28571</v>
      </c>
      <c r="G4374" s="1">
        <v>980089500</v>
      </c>
      <c r="H4374" s="1">
        <v>15</v>
      </c>
      <c r="I4374" s="1" t="s">
        <v>379</v>
      </c>
      <c r="J4374" t="s">
        <v>8509</v>
      </c>
    </row>
    <row r="4375" spans="1:10">
      <c r="A4375" s="1">
        <v>131425</v>
      </c>
      <c r="B4375" s="1">
        <v>5150000683</v>
      </c>
      <c r="C4375" s="1">
        <v>12</v>
      </c>
      <c r="D4375" s="1" t="s">
        <v>632</v>
      </c>
      <c r="E4375" t="s">
        <v>8476</v>
      </c>
      <c r="F4375" s="1">
        <v>124925</v>
      </c>
      <c r="G4375" s="1">
        <v>3400040012</v>
      </c>
      <c r="H4375" s="1">
        <v>12</v>
      </c>
      <c r="I4375" s="1" t="s">
        <v>7808</v>
      </c>
      <c r="J4375" t="s">
        <v>8510</v>
      </c>
    </row>
    <row r="4376" spans="1:10">
      <c r="A4376" s="1">
        <v>131664</v>
      </c>
      <c r="B4376" s="1">
        <v>5150000094</v>
      </c>
      <c r="C4376" s="1">
        <v>12</v>
      </c>
      <c r="D4376" s="1" t="s">
        <v>347</v>
      </c>
      <c r="E4376" t="s">
        <v>8477</v>
      </c>
      <c r="F4376" s="1">
        <v>459180</v>
      </c>
      <c r="G4376" s="1">
        <v>5150024334</v>
      </c>
      <c r="H4376" s="1">
        <v>12</v>
      </c>
      <c r="I4376" s="1" t="s">
        <v>1180</v>
      </c>
      <c r="J4376" t="s">
        <v>8511</v>
      </c>
    </row>
    <row r="4377" spans="1:10">
      <c r="A4377" s="1">
        <v>131326</v>
      </c>
      <c r="B4377" s="1">
        <v>5150000686</v>
      </c>
      <c r="C4377" s="1">
        <v>12</v>
      </c>
      <c r="D4377" s="1" t="s">
        <v>632</v>
      </c>
      <c r="E4377" t="s">
        <v>8478</v>
      </c>
      <c r="F4377" s="1">
        <v>124792</v>
      </c>
      <c r="G4377" s="1">
        <v>5150025544</v>
      </c>
      <c r="H4377" s="1">
        <v>12</v>
      </c>
      <c r="I4377" s="1" t="s">
        <v>632</v>
      </c>
      <c r="J4377" t="s">
        <v>8512</v>
      </c>
    </row>
    <row r="4378" spans="1:10">
      <c r="A4378" s="1">
        <v>131409</v>
      </c>
      <c r="B4378" s="1">
        <v>5150000095</v>
      </c>
      <c r="C4378" s="1">
        <v>12</v>
      </c>
      <c r="D4378" s="1" t="s">
        <v>347</v>
      </c>
      <c r="E4378" t="s">
        <v>8479</v>
      </c>
      <c r="F4378" s="1">
        <v>124123</v>
      </c>
      <c r="G4378" s="1">
        <v>5150024135</v>
      </c>
      <c r="H4378" s="1">
        <v>12</v>
      </c>
      <c r="I4378" s="1" t="s">
        <v>632</v>
      </c>
      <c r="J4378" t="s">
        <v>8513</v>
      </c>
    </row>
    <row r="4379" spans="1:10">
      <c r="A4379" s="1">
        <v>131698</v>
      </c>
      <c r="B4379" s="1">
        <v>5150000093</v>
      </c>
      <c r="C4379" s="1">
        <v>12</v>
      </c>
      <c r="D4379" s="1" t="s">
        <v>347</v>
      </c>
      <c r="E4379" t="s">
        <v>8480</v>
      </c>
      <c r="F4379" s="1">
        <v>124883</v>
      </c>
      <c r="G4379" s="1">
        <v>5150024128</v>
      </c>
      <c r="H4379" s="1">
        <v>12</v>
      </c>
      <c r="I4379" s="1" t="s">
        <v>632</v>
      </c>
      <c r="J4379" t="s">
        <v>8514</v>
      </c>
    </row>
    <row r="4380" spans="1:10">
      <c r="A4380" s="1">
        <v>131367</v>
      </c>
      <c r="B4380" s="1">
        <v>5150004002</v>
      </c>
      <c r="C4380" s="1">
        <v>12</v>
      </c>
      <c r="D4380" s="1" t="s">
        <v>8481</v>
      </c>
      <c r="E4380" t="s">
        <v>8482</v>
      </c>
      <c r="F4380" s="1">
        <v>125500</v>
      </c>
      <c r="G4380" s="1">
        <v>5150024177</v>
      </c>
      <c r="H4380" s="1">
        <v>10</v>
      </c>
      <c r="I4380" s="1" t="s">
        <v>954</v>
      </c>
      <c r="J4380" t="s">
        <v>8514</v>
      </c>
    </row>
    <row r="4381" spans="1:10">
      <c r="A4381" s="1">
        <v>740829</v>
      </c>
      <c r="B4381" s="1">
        <v>5150004041</v>
      </c>
      <c r="C4381" s="1">
        <v>12</v>
      </c>
      <c r="D4381" s="1" t="s">
        <v>8481</v>
      </c>
      <c r="E4381" t="s">
        <v>8483</v>
      </c>
      <c r="F4381" s="1">
        <v>124578</v>
      </c>
      <c r="G4381" s="1">
        <v>5150072001</v>
      </c>
      <c r="H4381" s="1">
        <v>8</v>
      </c>
      <c r="I4381" s="1" t="s">
        <v>553</v>
      </c>
      <c r="J4381" t="s">
        <v>8514</v>
      </c>
    </row>
    <row r="4382" spans="1:10">
      <c r="A4382" s="1">
        <v>126847</v>
      </c>
      <c r="B4382" s="1">
        <v>5150004006</v>
      </c>
      <c r="C4382" s="1">
        <v>12</v>
      </c>
      <c r="D4382" s="1" t="s">
        <v>8481</v>
      </c>
      <c r="E4382" t="s">
        <v>8484</v>
      </c>
      <c r="F4382" s="1">
        <v>125419</v>
      </c>
      <c r="G4382" s="1">
        <v>5150024331</v>
      </c>
      <c r="H4382" s="1">
        <v>6</v>
      </c>
      <c r="I4382" s="1" t="s">
        <v>3035</v>
      </c>
      <c r="J4382" t="s">
        <v>8514</v>
      </c>
    </row>
    <row r="4383" spans="1:10">
      <c r="A4383" s="1">
        <v>505628</v>
      </c>
      <c r="B4383" s="1">
        <v>5150004062</v>
      </c>
      <c r="C4383" s="1">
        <v>12</v>
      </c>
      <c r="D4383" s="1" t="s">
        <v>8481</v>
      </c>
      <c r="E4383" t="s">
        <v>8485</v>
      </c>
      <c r="F4383" s="1">
        <v>125898</v>
      </c>
      <c r="G4383" s="1">
        <v>5150024163</v>
      </c>
      <c r="H4383" s="1">
        <v>10</v>
      </c>
      <c r="I4383" s="1" t="s">
        <v>954</v>
      </c>
      <c r="J4383" t="s">
        <v>8515</v>
      </c>
    </row>
    <row r="4384" spans="1:10">
      <c r="A4384" s="1">
        <v>157750</v>
      </c>
      <c r="B4384" s="1">
        <v>5150004042</v>
      </c>
      <c r="C4384" s="1">
        <v>12</v>
      </c>
      <c r="D4384" s="1" t="s">
        <v>8481</v>
      </c>
      <c r="E4384" t="s">
        <v>8486</v>
      </c>
      <c r="F4384" s="1">
        <v>124800</v>
      </c>
      <c r="G4384" s="1">
        <v>5150024191</v>
      </c>
      <c r="H4384" s="1">
        <v>12</v>
      </c>
      <c r="I4384" s="1" t="s">
        <v>347</v>
      </c>
      <c r="J4384" t="s">
        <v>8516</v>
      </c>
    </row>
    <row r="4385" spans="1:10">
      <c r="A4385" s="1">
        <v>126987</v>
      </c>
      <c r="B4385" s="1">
        <v>5150004005</v>
      </c>
      <c r="C4385" s="1">
        <v>12</v>
      </c>
      <c r="D4385" s="1" t="s">
        <v>8481</v>
      </c>
      <c r="E4385" t="s">
        <v>8487</v>
      </c>
      <c r="F4385" s="1">
        <v>125799</v>
      </c>
      <c r="G4385" s="1">
        <v>5150072000</v>
      </c>
      <c r="H4385" s="1">
        <v>12</v>
      </c>
      <c r="I4385" s="1" t="s">
        <v>1349</v>
      </c>
      <c r="J4385" t="s">
        <v>8517</v>
      </c>
    </row>
    <row r="4386" spans="1:10">
      <c r="A4386" s="1">
        <v>134965</v>
      </c>
      <c r="B4386" s="1">
        <v>5150002331</v>
      </c>
      <c r="C4386" s="1">
        <v>12</v>
      </c>
      <c r="D4386" s="1" t="s">
        <v>489</v>
      </c>
      <c r="E4386" t="s">
        <v>8488</v>
      </c>
      <c r="F4386" s="1">
        <v>124768</v>
      </c>
      <c r="G4386" s="1">
        <v>5150025545</v>
      </c>
      <c r="H4386" s="1">
        <v>12</v>
      </c>
      <c r="I4386" s="1" t="s">
        <v>632</v>
      </c>
      <c r="J4386" t="s">
        <v>8518</v>
      </c>
    </row>
    <row r="4387" spans="1:10">
      <c r="A4387" s="1">
        <v>133777</v>
      </c>
      <c r="B4387" s="1">
        <v>5150002327</v>
      </c>
      <c r="C4387" s="1">
        <v>12</v>
      </c>
      <c r="D4387" s="1" t="s">
        <v>489</v>
      </c>
      <c r="E4387" t="s">
        <v>8489</v>
      </c>
      <c r="F4387" s="1">
        <v>124891</v>
      </c>
      <c r="G4387" s="1">
        <v>4530000040</v>
      </c>
      <c r="H4387" s="1">
        <v>12</v>
      </c>
      <c r="I4387" s="1" t="s">
        <v>632</v>
      </c>
      <c r="J4387" t="s">
        <v>8519</v>
      </c>
    </row>
    <row r="4388" spans="1:10" ht="15.75">
      <c r="A4388" s="4" t="s">
        <v>10813</v>
      </c>
      <c r="B4388" s="2"/>
      <c r="C4388" s="2"/>
      <c r="D4388" s="2"/>
      <c r="E4388" s="3"/>
      <c r="F4388" s="4" t="s">
        <v>10814</v>
      </c>
      <c r="G4388" s="2"/>
      <c r="H4388" s="2"/>
      <c r="I4388" s="2"/>
      <c r="J4388" s="3"/>
    </row>
    <row r="4389" spans="1:10">
      <c r="A4389" s="2" t="s">
        <v>0</v>
      </c>
      <c r="B4389" s="2" t="s">
        <v>1</v>
      </c>
      <c r="C4389" s="2" t="s">
        <v>2</v>
      </c>
      <c r="D4389" s="2" t="s">
        <v>3</v>
      </c>
      <c r="E4389" s="3" t="s">
        <v>4</v>
      </c>
      <c r="F4389" s="2" t="s">
        <v>0</v>
      </c>
      <c r="G4389" s="2" t="s">
        <v>1</v>
      </c>
      <c r="H4389" s="2" t="s">
        <v>2</v>
      </c>
      <c r="I4389" s="2" t="s">
        <v>3</v>
      </c>
      <c r="J4389" s="3" t="s">
        <v>4</v>
      </c>
    </row>
    <row r="4390" spans="1:10">
      <c r="A4390" s="1">
        <v>162735</v>
      </c>
      <c r="B4390" s="1">
        <v>4530000116</v>
      </c>
      <c r="C4390" s="1">
        <v>12</v>
      </c>
      <c r="D4390" s="1" t="s">
        <v>259</v>
      </c>
      <c r="E4390" t="s">
        <v>8520</v>
      </c>
      <c r="F4390" s="1">
        <v>83725</v>
      </c>
      <c r="G4390" s="1">
        <v>1116608372</v>
      </c>
      <c r="H4390" s="1">
        <v>12</v>
      </c>
      <c r="I4390" s="1" t="s">
        <v>399</v>
      </c>
      <c r="J4390" t="s">
        <v>8552</v>
      </c>
    </row>
    <row r="4391" spans="1:10">
      <c r="A4391" s="1">
        <v>129098</v>
      </c>
      <c r="B4391" s="1">
        <v>4530000277</v>
      </c>
      <c r="C4391" s="1">
        <v>12</v>
      </c>
      <c r="D4391" s="1" t="s">
        <v>632</v>
      </c>
      <c r="E4391" t="s">
        <v>8521</v>
      </c>
      <c r="F4391" s="1">
        <v>121905</v>
      </c>
      <c r="G4391" s="1">
        <v>1116612190</v>
      </c>
      <c r="H4391" s="1">
        <v>12</v>
      </c>
      <c r="I4391" s="1" t="s">
        <v>439</v>
      </c>
      <c r="J4391" t="s">
        <v>8553</v>
      </c>
    </row>
    <row r="4392" spans="1:10">
      <c r="A4392" s="1">
        <v>129106</v>
      </c>
      <c r="B4392" s="1">
        <v>4530000278</v>
      </c>
      <c r="C4392" s="1">
        <v>12</v>
      </c>
      <c r="D4392" s="1" t="s">
        <v>632</v>
      </c>
      <c r="E4392" t="s">
        <v>8522</v>
      </c>
      <c r="F4392" s="1">
        <v>83790</v>
      </c>
      <c r="G4392" s="1">
        <v>1870000040</v>
      </c>
      <c r="H4392" s="1">
        <v>12</v>
      </c>
      <c r="I4392" s="1" t="s">
        <v>347</v>
      </c>
      <c r="J4392" t="s">
        <v>8554</v>
      </c>
    </row>
    <row r="4393" spans="1:10">
      <c r="A4393" s="1">
        <v>125757</v>
      </c>
      <c r="B4393" s="1">
        <v>4530000006</v>
      </c>
      <c r="C4393" s="1">
        <v>12</v>
      </c>
      <c r="D4393" s="1" t="s">
        <v>632</v>
      </c>
      <c r="E4393" t="s">
        <v>8523</v>
      </c>
      <c r="F4393" s="1">
        <v>83824</v>
      </c>
      <c r="G4393" s="1">
        <v>1870000005</v>
      </c>
      <c r="H4393" s="1">
        <v>12</v>
      </c>
      <c r="I4393" s="1" t="s">
        <v>381</v>
      </c>
      <c r="J4393" t="s">
        <v>8555</v>
      </c>
    </row>
    <row r="4394" spans="1:10">
      <c r="A4394" s="1">
        <v>124909</v>
      </c>
      <c r="B4394" s="1">
        <v>4530000045</v>
      </c>
      <c r="C4394" s="1">
        <v>12</v>
      </c>
      <c r="D4394" s="1" t="s">
        <v>632</v>
      </c>
      <c r="E4394" t="s">
        <v>8524</v>
      </c>
      <c r="F4394" s="1">
        <v>83816</v>
      </c>
      <c r="G4394" s="1">
        <v>1870000011</v>
      </c>
      <c r="H4394" s="1">
        <v>6</v>
      </c>
      <c r="I4394" s="1" t="s">
        <v>553</v>
      </c>
      <c r="J4394" t="s">
        <v>8555</v>
      </c>
    </row>
    <row r="4395" spans="1:10">
      <c r="A4395" s="1">
        <v>124545</v>
      </c>
      <c r="B4395" s="1">
        <v>4530000050</v>
      </c>
      <c r="C4395" s="1">
        <v>12</v>
      </c>
      <c r="D4395" s="1" t="s">
        <v>954</v>
      </c>
      <c r="E4395" t="s">
        <v>8525</v>
      </c>
      <c r="F4395" s="1">
        <v>84012</v>
      </c>
      <c r="G4395" s="1">
        <v>1870000002</v>
      </c>
      <c r="H4395" s="1">
        <v>12</v>
      </c>
      <c r="I4395" s="1" t="s">
        <v>399</v>
      </c>
      <c r="J4395" t="s">
        <v>8555</v>
      </c>
    </row>
    <row r="4396" spans="1:10">
      <c r="A4396" s="1">
        <v>123943</v>
      </c>
      <c r="B4396" s="1">
        <v>4530000271</v>
      </c>
      <c r="C4396" s="1">
        <v>12</v>
      </c>
      <c r="D4396" s="1" t="s">
        <v>6306</v>
      </c>
      <c r="E4396" t="s">
        <v>8526</v>
      </c>
      <c r="F4396" s="1">
        <v>83907</v>
      </c>
      <c r="G4396" s="1">
        <v>1870000314</v>
      </c>
      <c r="H4396" s="1">
        <v>12</v>
      </c>
      <c r="I4396" s="1" t="s">
        <v>381</v>
      </c>
      <c r="J4396" t="s">
        <v>8556</v>
      </c>
    </row>
    <row r="4397" spans="1:10" ht="15.75">
      <c r="A4397" s="1">
        <v>123950</v>
      </c>
      <c r="B4397" s="1">
        <v>4530000227</v>
      </c>
      <c r="C4397" s="1">
        <v>12</v>
      </c>
      <c r="D4397" s="1" t="s">
        <v>632</v>
      </c>
      <c r="E4397" t="s">
        <v>8527</v>
      </c>
      <c r="F4397" s="4" t="s">
        <v>10815</v>
      </c>
      <c r="G4397" s="2"/>
      <c r="H4397" s="2"/>
      <c r="I4397" s="2"/>
      <c r="J4397" s="3"/>
    </row>
    <row r="4398" spans="1:10">
      <c r="A4398" s="1">
        <v>124107</v>
      </c>
      <c r="B4398" s="1">
        <v>1116612410</v>
      </c>
      <c r="C4398" s="1">
        <v>12</v>
      </c>
      <c r="D4398" s="1" t="s">
        <v>632</v>
      </c>
      <c r="E4398" t="s">
        <v>8528</v>
      </c>
      <c r="F4398" s="2" t="s">
        <v>0</v>
      </c>
      <c r="G4398" s="2" t="s">
        <v>1</v>
      </c>
      <c r="H4398" s="2" t="s">
        <v>2</v>
      </c>
      <c r="I4398" s="2" t="s">
        <v>3</v>
      </c>
      <c r="J4398" s="3" t="s">
        <v>4</v>
      </c>
    </row>
    <row r="4399" spans="1:10">
      <c r="A4399" s="1">
        <v>124115</v>
      </c>
      <c r="B4399" s="1">
        <v>1116612411</v>
      </c>
      <c r="C4399" s="1">
        <v>12</v>
      </c>
      <c r="D4399" s="1" t="s">
        <v>954</v>
      </c>
      <c r="E4399" t="s">
        <v>8528</v>
      </c>
      <c r="F4399" s="1">
        <v>185587</v>
      </c>
      <c r="G4399" s="1">
        <v>1300000812</v>
      </c>
      <c r="H4399" s="1">
        <v>12</v>
      </c>
      <c r="I4399" s="1" t="s">
        <v>1191</v>
      </c>
      <c r="J4399" t="s">
        <v>8557</v>
      </c>
    </row>
    <row r="4400" spans="1:10">
      <c r="A4400" s="1">
        <v>124149</v>
      </c>
      <c r="B4400" s="1">
        <v>1116612414</v>
      </c>
      <c r="C4400" s="1">
        <v>12</v>
      </c>
      <c r="D4400" s="1" t="s">
        <v>632</v>
      </c>
      <c r="E4400" t="s">
        <v>8529</v>
      </c>
      <c r="F4400" s="1">
        <v>185785</v>
      </c>
      <c r="G4400" s="1">
        <v>1300000814</v>
      </c>
      <c r="H4400" s="1">
        <v>12</v>
      </c>
      <c r="I4400" s="1" t="s">
        <v>1189</v>
      </c>
      <c r="J4400" t="s">
        <v>8557</v>
      </c>
    </row>
    <row r="4401" spans="1:10">
      <c r="A4401" s="1">
        <v>124099</v>
      </c>
      <c r="B4401" s="1">
        <v>1116612409</v>
      </c>
      <c r="C4401" s="1">
        <v>12</v>
      </c>
      <c r="D4401" s="1" t="s">
        <v>954</v>
      </c>
      <c r="E4401" t="s">
        <v>8529</v>
      </c>
      <c r="F4401" s="1">
        <v>185579</v>
      </c>
      <c r="G4401" s="1">
        <v>1300000852</v>
      </c>
      <c r="H4401" s="1">
        <v>12</v>
      </c>
      <c r="I4401" s="1" t="s">
        <v>1191</v>
      </c>
      <c r="J4401" t="s">
        <v>8558</v>
      </c>
    </row>
    <row r="4402" spans="1:10">
      <c r="A4402" s="1">
        <v>124172</v>
      </c>
      <c r="B4402" s="1">
        <v>1116612417</v>
      </c>
      <c r="C4402" s="1">
        <v>6</v>
      </c>
      <c r="D4402" s="1" t="s">
        <v>553</v>
      </c>
      <c r="E4402" t="s">
        <v>8529</v>
      </c>
      <c r="F4402" s="1">
        <v>185769</v>
      </c>
      <c r="G4402" s="1">
        <v>1300000854</v>
      </c>
      <c r="H4402" s="1">
        <v>12</v>
      </c>
      <c r="I4402" s="1" t="s">
        <v>1189</v>
      </c>
      <c r="J4402" t="s">
        <v>8558</v>
      </c>
    </row>
    <row r="4403" spans="1:10">
      <c r="A4403" s="1">
        <v>124198</v>
      </c>
      <c r="B4403" s="1">
        <v>1116612419</v>
      </c>
      <c r="C4403" s="1">
        <v>6</v>
      </c>
      <c r="D4403" s="1" t="s">
        <v>553</v>
      </c>
      <c r="E4403" t="s">
        <v>8530</v>
      </c>
      <c r="F4403" s="1">
        <v>420802</v>
      </c>
      <c r="G4403" s="1">
        <v>7040400135</v>
      </c>
      <c r="H4403" s="1">
        <v>6</v>
      </c>
      <c r="I4403" s="1" t="s">
        <v>1191</v>
      </c>
      <c r="J4403" t="s">
        <v>8559</v>
      </c>
    </row>
    <row r="4404" spans="1:10">
      <c r="A4404" s="1">
        <v>124156</v>
      </c>
      <c r="B4404" s="1">
        <v>1116612415</v>
      </c>
      <c r="C4404" s="1">
        <v>12</v>
      </c>
      <c r="D4404" s="1" t="s">
        <v>632</v>
      </c>
      <c r="E4404" t="s">
        <v>8531</v>
      </c>
      <c r="F4404" s="1">
        <v>364745</v>
      </c>
      <c r="G4404" s="1">
        <v>7040400103</v>
      </c>
      <c r="H4404" s="1">
        <v>12</v>
      </c>
      <c r="I4404" s="1" t="s">
        <v>1191</v>
      </c>
      <c r="J4404" t="s">
        <v>8560</v>
      </c>
    </row>
    <row r="4405" spans="1:10">
      <c r="A4405" s="1">
        <v>18309</v>
      </c>
      <c r="B4405" s="1">
        <v>4113030209</v>
      </c>
      <c r="C4405" s="1">
        <v>12</v>
      </c>
      <c r="D4405" s="1" t="s">
        <v>632</v>
      </c>
      <c r="E4405" t="s">
        <v>8532</v>
      </c>
      <c r="F4405" s="1">
        <v>186056</v>
      </c>
      <c r="G4405" s="1">
        <v>7040400100</v>
      </c>
      <c r="H4405" s="1">
        <v>12</v>
      </c>
      <c r="I4405" s="1" t="s">
        <v>1191</v>
      </c>
      <c r="J4405" t="s">
        <v>8561</v>
      </c>
    </row>
    <row r="4406" spans="1:10">
      <c r="A4406" s="1">
        <v>79558</v>
      </c>
      <c r="B4406" s="1">
        <v>4800100678</v>
      </c>
      <c r="C4406" s="1">
        <v>12</v>
      </c>
      <c r="D4406" s="1" t="s">
        <v>1343</v>
      </c>
      <c r="E4406" t="s">
        <v>8533</v>
      </c>
      <c r="F4406" s="1">
        <v>186304</v>
      </c>
      <c r="G4406" s="1">
        <v>5440000080</v>
      </c>
      <c r="H4406" s="1">
        <v>12</v>
      </c>
      <c r="I4406" s="1" t="s">
        <v>2303</v>
      </c>
      <c r="J4406" t="s">
        <v>8562</v>
      </c>
    </row>
    <row r="4407" spans="1:10">
      <c r="A4407" s="1">
        <v>770545</v>
      </c>
      <c r="B4407" s="1">
        <v>4800100643</v>
      </c>
      <c r="C4407" s="1">
        <v>12</v>
      </c>
      <c r="D4407" s="1" t="s">
        <v>1343</v>
      </c>
      <c r="E4407" t="s">
        <v>8534</v>
      </c>
      <c r="F4407" s="1">
        <v>186155</v>
      </c>
      <c r="G4407" s="1">
        <v>5440000082</v>
      </c>
      <c r="H4407" s="1">
        <v>12</v>
      </c>
      <c r="I4407" s="1" t="s">
        <v>2303</v>
      </c>
      <c r="J4407" t="s">
        <v>8563</v>
      </c>
    </row>
    <row r="4408" spans="1:10">
      <c r="A4408" s="1">
        <v>402834</v>
      </c>
      <c r="B4408" s="1">
        <v>4800100681</v>
      </c>
      <c r="C4408" s="1">
        <v>12</v>
      </c>
      <c r="D4408" s="1" t="s">
        <v>1343</v>
      </c>
      <c r="E4408" t="s">
        <v>8535</v>
      </c>
      <c r="F4408" s="1">
        <v>185793</v>
      </c>
      <c r="G4408" s="1">
        <v>1116618572</v>
      </c>
      <c r="H4408" s="1">
        <v>6</v>
      </c>
      <c r="I4408" s="1" t="s">
        <v>1188</v>
      </c>
      <c r="J4408" t="s">
        <v>8564</v>
      </c>
    </row>
    <row r="4409" spans="1:10">
      <c r="A4409" s="1">
        <v>789008</v>
      </c>
      <c r="B4409" s="1">
        <v>4800100677</v>
      </c>
      <c r="C4409" s="1">
        <v>12</v>
      </c>
      <c r="D4409" s="1" t="s">
        <v>1343</v>
      </c>
      <c r="E4409" t="s">
        <v>8536</v>
      </c>
      <c r="F4409" s="1">
        <v>185645</v>
      </c>
      <c r="G4409" s="1">
        <v>1116618564</v>
      </c>
      <c r="H4409" s="1">
        <v>12</v>
      </c>
      <c r="I4409" s="1" t="s">
        <v>1189</v>
      </c>
      <c r="J4409" t="s">
        <v>8564</v>
      </c>
    </row>
    <row r="4410" spans="1:10">
      <c r="A4410" s="1">
        <v>556308</v>
      </c>
      <c r="B4410" s="1">
        <v>4800100687</v>
      </c>
      <c r="C4410" s="1">
        <v>12</v>
      </c>
      <c r="D4410" s="1" t="s">
        <v>910</v>
      </c>
      <c r="E4410" t="s">
        <v>8537</v>
      </c>
      <c r="F4410" s="1">
        <v>185686</v>
      </c>
      <c r="G4410" s="1">
        <v>1116618568</v>
      </c>
      <c r="H4410" s="1">
        <v>8</v>
      </c>
      <c r="I4410" s="1" t="s">
        <v>2496</v>
      </c>
      <c r="J4410" t="s">
        <v>8564</v>
      </c>
    </row>
    <row r="4411" spans="1:10">
      <c r="A4411" s="1">
        <v>125294</v>
      </c>
      <c r="B4411" s="1">
        <v>4800127068</v>
      </c>
      <c r="C4411" s="1">
        <v>12</v>
      </c>
      <c r="D4411" s="1" t="s">
        <v>954</v>
      </c>
      <c r="E4411" t="s">
        <v>8538</v>
      </c>
      <c r="F4411" s="1">
        <v>185652</v>
      </c>
      <c r="G4411" s="1">
        <v>1116618565</v>
      </c>
      <c r="H4411" s="1">
        <v>12</v>
      </c>
      <c r="I4411" s="1" t="s">
        <v>1189</v>
      </c>
      <c r="J4411" t="s">
        <v>8565</v>
      </c>
    </row>
    <row r="4412" spans="1:10">
      <c r="A4412" s="1">
        <v>125393</v>
      </c>
      <c r="B4412" s="1">
        <v>4800190570</v>
      </c>
      <c r="C4412" s="1">
        <v>6</v>
      </c>
      <c r="D4412" s="1" t="s">
        <v>3035</v>
      </c>
      <c r="E4412" t="s">
        <v>8538</v>
      </c>
      <c r="F4412" s="1">
        <v>185694</v>
      </c>
      <c r="G4412" s="1">
        <v>1116618569</v>
      </c>
      <c r="H4412" s="1">
        <v>12</v>
      </c>
      <c r="I4412" s="1" t="s">
        <v>1189</v>
      </c>
      <c r="J4412" t="s">
        <v>8566</v>
      </c>
    </row>
    <row r="4413" spans="1:10">
      <c r="A4413" s="1">
        <v>838771</v>
      </c>
      <c r="B4413" s="1">
        <v>4800123202</v>
      </c>
      <c r="C4413" s="1">
        <v>12</v>
      </c>
      <c r="D4413" s="1" t="s">
        <v>2271</v>
      </c>
      <c r="E4413" t="s">
        <v>8539</v>
      </c>
      <c r="F4413" s="1">
        <v>567420</v>
      </c>
      <c r="G4413" s="1">
        <v>1116618560</v>
      </c>
      <c r="H4413" s="1">
        <v>12</v>
      </c>
      <c r="I4413" s="1" t="s">
        <v>1191</v>
      </c>
      <c r="J4413" t="s">
        <v>8567</v>
      </c>
    </row>
    <row r="4414" spans="1:10">
      <c r="A4414" s="1">
        <v>196568</v>
      </c>
      <c r="B4414" s="1">
        <v>4800100641</v>
      </c>
      <c r="C4414" s="1">
        <v>12</v>
      </c>
      <c r="D4414" s="1" t="s">
        <v>1343</v>
      </c>
      <c r="E4414" t="s">
        <v>8540</v>
      </c>
      <c r="F4414" s="1">
        <v>567438</v>
      </c>
      <c r="G4414" s="1">
        <v>1116618561</v>
      </c>
      <c r="H4414" s="1">
        <v>12</v>
      </c>
      <c r="I4414" s="1" t="s">
        <v>1191</v>
      </c>
      <c r="J4414" t="s">
        <v>8568</v>
      </c>
    </row>
    <row r="4415" spans="1:10">
      <c r="A4415" s="1">
        <v>710129</v>
      </c>
      <c r="B4415" s="1">
        <v>3377610035</v>
      </c>
      <c r="C4415" s="1">
        <v>12</v>
      </c>
      <c r="D4415" s="1" t="s">
        <v>381</v>
      </c>
      <c r="E4415" t="s">
        <v>8541</v>
      </c>
      <c r="F4415" s="1">
        <v>185710</v>
      </c>
      <c r="G4415" s="1">
        <v>1116618571</v>
      </c>
      <c r="H4415" s="1">
        <v>8</v>
      </c>
      <c r="I4415" s="1" t="s">
        <v>2496</v>
      </c>
      <c r="J4415" t="s">
        <v>8569</v>
      </c>
    </row>
    <row r="4416" spans="1:10">
      <c r="A4416" s="1">
        <v>710137</v>
      </c>
      <c r="B4416" s="1">
        <v>3377610030</v>
      </c>
      <c r="C4416" s="1">
        <v>12</v>
      </c>
      <c r="D4416" s="1" t="s">
        <v>381</v>
      </c>
      <c r="E4416" t="s">
        <v>8542</v>
      </c>
      <c r="F4416" s="1">
        <v>185827</v>
      </c>
      <c r="G4416" s="1">
        <v>1116618582</v>
      </c>
      <c r="H4416" s="1">
        <v>6</v>
      </c>
      <c r="I4416" s="1" t="s">
        <v>1188</v>
      </c>
      <c r="J4416" t="s">
        <v>8570</v>
      </c>
    </row>
    <row r="4417" spans="1:10">
      <c r="A4417" s="1">
        <v>278374</v>
      </c>
      <c r="B4417" s="1">
        <v>3377610037</v>
      </c>
      <c r="C4417" s="1">
        <v>12</v>
      </c>
      <c r="D4417" s="1" t="s">
        <v>381</v>
      </c>
      <c r="E4417" t="s">
        <v>8543</v>
      </c>
      <c r="F4417" s="1">
        <v>17293</v>
      </c>
      <c r="G4417" s="1">
        <v>4113030229</v>
      </c>
      <c r="H4417" s="1">
        <v>6</v>
      </c>
      <c r="I4417" s="1" t="s">
        <v>1188</v>
      </c>
      <c r="J4417" t="s">
        <v>8571</v>
      </c>
    </row>
    <row r="4418" spans="1:10">
      <c r="A4418" s="1">
        <v>494963</v>
      </c>
      <c r="B4418" s="1">
        <v>3377610033</v>
      </c>
      <c r="C4418" s="1">
        <v>12</v>
      </c>
      <c r="D4418" s="1" t="s">
        <v>381</v>
      </c>
      <c r="E4418" t="s">
        <v>8544</v>
      </c>
      <c r="F4418" s="1">
        <v>17285</v>
      </c>
      <c r="G4418" s="1">
        <v>4113030228</v>
      </c>
      <c r="H4418" s="1">
        <v>6</v>
      </c>
      <c r="I4418" s="1" t="s">
        <v>1188</v>
      </c>
      <c r="J4418" t="s">
        <v>8572</v>
      </c>
    </row>
    <row r="4419" spans="1:10">
      <c r="A4419" s="1">
        <v>124206</v>
      </c>
      <c r="B4419" s="1">
        <v>5150001700</v>
      </c>
      <c r="C4419" s="1">
        <v>12</v>
      </c>
      <c r="D4419" s="1" t="s">
        <v>381</v>
      </c>
      <c r="E4419" t="s">
        <v>8545</v>
      </c>
      <c r="F4419" s="1">
        <v>185967</v>
      </c>
      <c r="G4419" s="1">
        <v>4360000020</v>
      </c>
      <c r="H4419" s="1">
        <v>12</v>
      </c>
      <c r="I4419" s="1" t="s">
        <v>1191</v>
      </c>
      <c r="J4419" t="s">
        <v>8573</v>
      </c>
    </row>
    <row r="4420" spans="1:10">
      <c r="A4420" s="1">
        <v>124214</v>
      </c>
      <c r="B4420" s="1">
        <v>5150004346</v>
      </c>
      <c r="C4420" s="1">
        <v>12</v>
      </c>
      <c r="D4420" s="1" t="s">
        <v>381</v>
      </c>
      <c r="E4420" t="s">
        <v>8546</v>
      </c>
      <c r="F4420" s="1">
        <v>186007</v>
      </c>
      <c r="G4420" s="1">
        <v>4360000021</v>
      </c>
      <c r="H4420" s="1">
        <v>12</v>
      </c>
      <c r="I4420" s="1" t="s">
        <v>1189</v>
      </c>
      <c r="J4420" t="s">
        <v>8574</v>
      </c>
    </row>
    <row r="4421" spans="1:10">
      <c r="A4421" s="1">
        <v>126656</v>
      </c>
      <c r="B4421" s="1">
        <v>5150000055</v>
      </c>
      <c r="C4421" s="1">
        <v>12</v>
      </c>
      <c r="D4421" s="1" t="s">
        <v>632</v>
      </c>
      <c r="E4421" t="s">
        <v>8547</v>
      </c>
      <c r="F4421" s="1">
        <v>186080</v>
      </c>
      <c r="G4421" s="1">
        <v>4360000105</v>
      </c>
      <c r="H4421" s="1">
        <v>4</v>
      </c>
      <c r="I4421" s="1" t="s">
        <v>1188</v>
      </c>
      <c r="J4421" t="s">
        <v>8575</v>
      </c>
    </row>
    <row r="4422" spans="1:10">
      <c r="A4422" s="1">
        <v>196899</v>
      </c>
      <c r="B4422" s="1">
        <v>5150001701</v>
      </c>
      <c r="C4422" s="1">
        <v>12</v>
      </c>
      <c r="D4422" s="1" t="s">
        <v>381</v>
      </c>
      <c r="E4422" t="s">
        <v>8548</v>
      </c>
      <c r="F4422" s="1">
        <v>186049</v>
      </c>
      <c r="G4422" s="1">
        <v>4360000037</v>
      </c>
      <c r="H4422" s="1">
        <v>6</v>
      </c>
      <c r="I4422" s="1" t="s">
        <v>2496</v>
      </c>
      <c r="J4422" t="s">
        <v>8575</v>
      </c>
    </row>
    <row r="4423" spans="1:10" ht="15.75">
      <c r="A4423" s="4" t="s">
        <v>10814</v>
      </c>
      <c r="B4423" s="2"/>
      <c r="C4423" s="2"/>
      <c r="D4423" s="2"/>
      <c r="E4423" s="3"/>
      <c r="F4423" s="1">
        <v>186098</v>
      </c>
      <c r="G4423" s="1">
        <v>4360000026</v>
      </c>
      <c r="H4423" s="1">
        <v>4</v>
      </c>
      <c r="I4423" s="1" t="s">
        <v>1188</v>
      </c>
      <c r="J4423" t="s">
        <v>8576</v>
      </c>
    </row>
    <row r="4424" spans="1:10">
      <c r="A4424" s="2" t="s">
        <v>0</v>
      </c>
      <c r="B4424" s="2" t="s">
        <v>1</v>
      </c>
      <c r="C4424" s="2" t="s">
        <v>2</v>
      </c>
      <c r="D4424" s="2" t="s">
        <v>3</v>
      </c>
      <c r="E4424" s="3" t="s">
        <v>4</v>
      </c>
      <c r="F4424" s="1">
        <v>186023</v>
      </c>
      <c r="G4424" s="1">
        <v>4360000023</v>
      </c>
      <c r="H4424" s="1">
        <v>12</v>
      </c>
      <c r="I4424" s="1" t="s">
        <v>1189</v>
      </c>
      <c r="J4424" t="s">
        <v>8576</v>
      </c>
    </row>
    <row r="4425" spans="1:10">
      <c r="A4425" s="1">
        <v>83840</v>
      </c>
      <c r="B4425" s="1">
        <v>1870000019</v>
      </c>
      <c r="C4425" s="1">
        <v>12</v>
      </c>
      <c r="D4425" s="1" t="s">
        <v>381</v>
      </c>
      <c r="E4425" t="s">
        <v>8549</v>
      </c>
      <c r="F4425" s="1">
        <v>186064</v>
      </c>
      <c r="G4425" s="1">
        <v>4360000027</v>
      </c>
      <c r="H4425" s="1">
        <v>6</v>
      </c>
      <c r="I4425" s="1" t="s">
        <v>2496</v>
      </c>
      <c r="J4425" t="s">
        <v>8577</v>
      </c>
    </row>
    <row r="4426" spans="1:10">
      <c r="A4426" s="1">
        <v>83733</v>
      </c>
      <c r="B4426" s="1">
        <v>1116608373</v>
      </c>
      <c r="C4426" s="1">
        <v>12</v>
      </c>
      <c r="D4426" s="1" t="s">
        <v>381</v>
      </c>
      <c r="E4426" t="s">
        <v>8550</v>
      </c>
      <c r="F4426" s="1">
        <v>186015</v>
      </c>
      <c r="G4426" s="1">
        <v>4360000022</v>
      </c>
      <c r="H4426" s="1">
        <v>12</v>
      </c>
      <c r="I4426" s="1" t="s">
        <v>1191</v>
      </c>
      <c r="J4426" t="s">
        <v>8578</v>
      </c>
    </row>
    <row r="4427" spans="1:10">
      <c r="A4427" s="1">
        <v>83741</v>
      </c>
      <c r="B4427" s="1">
        <v>1116608374</v>
      </c>
      <c r="C4427" s="1">
        <v>12</v>
      </c>
      <c r="D4427" s="1" t="s">
        <v>375</v>
      </c>
      <c r="E4427" t="s">
        <v>8550</v>
      </c>
    </row>
    <row r="4428" spans="1:10">
      <c r="A4428" s="1">
        <v>83451</v>
      </c>
      <c r="B4428" s="1">
        <v>1116608345</v>
      </c>
      <c r="C4428" s="1">
        <v>12</v>
      </c>
      <c r="D4428" s="1" t="s">
        <v>347</v>
      </c>
      <c r="E4428" t="s">
        <v>8551</v>
      </c>
    </row>
    <row r="4429" spans="1:10" ht="15.75">
      <c r="A4429" s="4" t="s">
        <v>10816</v>
      </c>
      <c r="B4429" s="2"/>
      <c r="C4429" s="2"/>
      <c r="D4429" s="2"/>
      <c r="E4429" s="3"/>
      <c r="F4429" s="4" t="s">
        <v>10817</v>
      </c>
      <c r="G4429" s="2"/>
      <c r="H4429" s="2"/>
      <c r="I4429" s="2"/>
      <c r="J4429" s="3"/>
    </row>
    <row r="4430" spans="1:10">
      <c r="A4430" s="2" t="s">
        <v>0</v>
      </c>
      <c r="B4430" s="2" t="s">
        <v>1</v>
      </c>
      <c r="C4430" s="2" t="s">
        <v>2</v>
      </c>
      <c r="D4430" s="2" t="s">
        <v>3</v>
      </c>
      <c r="E4430" s="3" t="s">
        <v>4</v>
      </c>
      <c r="F4430" s="2" t="s">
        <v>0</v>
      </c>
      <c r="G4430" s="2" t="s">
        <v>1</v>
      </c>
      <c r="H4430" s="2" t="s">
        <v>2</v>
      </c>
      <c r="I4430" s="2" t="s">
        <v>3</v>
      </c>
      <c r="J4430" s="3" t="s">
        <v>4</v>
      </c>
    </row>
    <row r="4431" spans="1:10">
      <c r="A4431" s="1">
        <v>341115</v>
      </c>
      <c r="B4431" s="1">
        <v>3320006402</v>
      </c>
      <c r="C4431" s="1">
        <v>4</v>
      </c>
      <c r="D4431" s="1" t="s">
        <v>8581</v>
      </c>
      <c r="E4431" t="s">
        <v>8582</v>
      </c>
      <c r="F4431" s="1">
        <v>361816</v>
      </c>
      <c r="G4431" s="1">
        <v>73291322770</v>
      </c>
      <c r="H4431" s="1">
        <v>6</v>
      </c>
      <c r="I4431" s="1" t="s">
        <v>8631</v>
      </c>
      <c r="J4431" t="s">
        <v>8632</v>
      </c>
    </row>
    <row r="4432" spans="1:10">
      <c r="A4432" s="1">
        <v>422063</v>
      </c>
      <c r="B4432" s="1">
        <v>3320006412</v>
      </c>
      <c r="C4432" s="1">
        <v>4</v>
      </c>
      <c r="D4432" s="1" t="s">
        <v>8581</v>
      </c>
      <c r="E4432" t="s">
        <v>8583</v>
      </c>
      <c r="F4432" s="1">
        <v>234088</v>
      </c>
      <c r="G4432" s="1">
        <v>73291322769</v>
      </c>
      <c r="H4432" s="1">
        <v>6</v>
      </c>
      <c r="I4432" s="1" t="s">
        <v>8631</v>
      </c>
      <c r="J4432" t="s">
        <v>8633</v>
      </c>
    </row>
    <row r="4433" spans="1:10">
      <c r="A4433" s="1">
        <v>837674</v>
      </c>
      <c r="B4433" s="1">
        <v>3320006632</v>
      </c>
      <c r="C4433" s="1">
        <v>4</v>
      </c>
      <c r="D4433" s="1" t="s">
        <v>8584</v>
      </c>
      <c r="E4433" t="s">
        <v>8585</v>
      </c>
      <c r="F4433" s="1">
        <v>417469</v>
      </c>
      <c r="G4433" s="1">
        <v>88596749623</v>
      </c>
      <c r="H4433" s="1">
        <v>6</v>
      </c>
      <c r="I4433" s="1" t="s">
        <v>2496</v>
      </c>
      <c r="J4433" t="s">
        <v>8634</v>
      </c>
    </row>
    <row r="4434" spans="1:10">
      <c r="A4434" s="1">
        <v>159558</v>
      </c>
      <c r="B4434" s="1">
        <v>3320006822</v>
      </c>
      <c r="C4434" s="1">
        <v>4</v>
      </c>
      <c r="D4434" s="1" t="s">
        <v>8586</v>
      </c>
      <c r="E4434" t="s">
        <v>8587</v>
      </c>
      <c r="F4434" s="1">
        <v>681304</v>
      </c>
      <c r="G4434" s="1">
        <v>88596749625</v>
      </c>
      <c r="H4434" s="1">
        <v>6</v>
      </c>
      <c r="I4434" s="1" t="s">
        <v>2496</v>
      </c>
      <c r="J4434" t="s">
        <v>8635</v>
      </c>
    </row>
    <row r="4435" spans="1:10">
      <c r="A4435" s="1">
        <v>856906</v>
      </c>
      <c r="B4435" s="1">
        <v>80575225547</v>
      </c>
      <c r="C4435" s="1">
        <v>8</v>
      </c>
      <c r="D4435" s="1" t="s">
        <v>8588</v>
      </c>
      <c r="E4435" t="s">
        <v>8589</v>
      </c>
      <c r="F4435" s="1">
        <v>713248</v>
      </c>
      <c r="G4435" s="1">
        <v>4589303731</v>
      </c>
      <c r="H4435" s="1">
        <v>9</v>
      </c>
      <c r="I4435" s="1" t="s">
        <v>1189</v>
      </c>
      <c r="J4435" t="s">
        <v>8636</v>
      </c>
    </row>
    <row r="4436" spans="1:10">
      <c r="A4436" s="1">
        <v>275743</v>
      </c>
      <c r="B4436" s="1">
        <v>3700040248</v>
      </c>
      <c r="C4436" s="1">
        <v>6</v>
      </c>
      <c r="D4436" s="1" t="s">
        <v>2244</v>
      </c>
      <c r="E4436" t="s">
        <v>8590</v>
      </c>
      <c r="F4436" s="1">
        <v>477430</v>
      </c>
      <c r="G4436" s="1">
        <v>1111129117</v>
      </c>
      <c r="H4436" s="1">
        <v>4</v>
      </c>
      <c r="I4436" s="1" t="s">
        <v>8637</v>
      </c>
      <c r="J4436" t="s">
        <v>8638</v>
      </c>
    </row>
    <row r="4437" spans="1:10">
      <c r="A4437" s="1">
        <v>274845</v>
      </c>
      <c r="B4437" s="1">
        <v>3700040247</v>
      </c>
      <c r="C4437" s="1">
        <v>6</v>
      </c>
      <c r="D4437" s="1" t="s">
        <v>2244</v>
      </c>
      <c r="E4437" t="s">
        <v>8591</v>
      </c>
      <c r="F4437" s="1">
        <v>550004</v>
      </c>
      <c r="G4437" s="1">
        <v>1111129110</v>
      </c>
      <c r="H4437" s="1">
        <v>6</v>
      </c>
      <c r="I4437" s="1" t="s">
        <v>8631</v>
      </c>
      <c r="J4437" t="s">
        <v>8638</v>
      </c>
    </row>
    <row r="4438" spans="1:10">
      <c r="A4438" s="1">
        <v>265272</v>
      </c>
      <c r="B4438" s="1">
        <v>3700035534</v>
      </c>
      <c r="C4438" s="1">
        <v>4</v>
      </c>
      <c r="D4438" s="1" t="s">
        <v>4227</v>
      </c>
      <c r="E4438" t="s">
        <v>8592</v>
      </c>
      <c r="F4438" s="1">
        <v>50369</v>
      </c>
      <c r="G4438" s="1">
        <v>1111129111</v>
      </c>
      <c r="H4438" s="1">
        <v>6</v>
      </c>
      <c r="I4438" s="1" t="s">
        <v>8631</v>
      </c>
      <c r="J4438" t="s">
        <v>8639</v>
      </c>
    </row>
    <row r="4439" spans="1:10">
      <c r="A4439" s="1">
        <v>276519</v>
      </c>
      <c r="B4439" s="1">
        <v>3700030711</v>
      </c>
      <c r="C4439" s="1">
        <v>15</v>
      </c>
      <c r="D4439" s="1" t="s">
        <v>1387</v>
      </c>
      <c r="E4439" t="s">
        <v>8593</v>
      </c>
      <c r="F4439" s="1">
        <v>824367</v>
      </c>
      <c r="G4439" s="1">
        <v>1111129115</v>
      </c>
      <c r="H4439" s="1">
        <v>6</v>
      </c>
      <c r="I4439" s="1" t="s">
        <v>8631</v>
      </c>
      <c r="J4439" t="s">
        <v>8640</v>
      </c>
    </row>
    <row r="4440" spans="1:10">
      <c r="A4440" s="1">
        <v>275552</v>
      </c>
      <c r="B4440" s="1">
        <v>3700035536</v>
      </c>
      <c r="C4440" s="1">
        <v>4</v>
      </c>
      <c r="D4440" s="1" t="s">
        <v>8594</v>
      </c>
      <c r="E4440" t="s">
        <v>8595</v>
      </c>
      <c r="F4440" s="1">
        <v>326082</v>
      </c>
      <c r="G4440" s="1">
        <v>1111129116</v>
      </c>
      <c r="H4440" s="1">
        <v>4</v>
      </c>
      <c r="I4440" s="1" t="s">
        <v>8637</v>
      </c>
      <c r="J4440" t="s">
        <v>8641</v>
      </c>
    </row>
    <row r="4441" spans="1:10">
      <c r="A4441" s="1">
        <v>274324</v>
      </c>
      <c r="B4441" s="1">
        <v>3700039020</v>
      </c>
      <c r="C4441" s="1">
        <v>4</v>
      </c>
      <c r="D4441" s="1" t="s">
        <v>8594</v>
      </c>
      <c r="E4441" t="s">
        <v>8596</v>
      </c>
      <c r="F4441" s="1">
        <v>763771</v>
      </c>
      <c r="G4441" s="1">
        <v>1111129079</v>
      </c>
      <c r="H4441" s="1">
        <v>6</v>
      </c>
      <c r="I4441" s="1" t="s">
        <v>8631</v>
      </c>
      <c r="J4441" t="s">
        <v>8641</v>
      </c>
    </row>
    <row r="4442" spans="1:10">
      <c r="A4442" s="1">
        <v>275313</v>
      </c>
      <c r="B4442" s="1">
        <v>3700035535</v>
      </c>
      <c r="C4442" s="1">
        <v>4</v>
      </c>
      <c r="D4442" s="1" t="s">
        <v>8594</v>
      </c>
      <c r="E4442" t="s">
        <v>8597</v>
      </c>
      <c r="F4442" s="1">
        <v>158501</v>
      </c>
      <c r="G4442" s="1">
        <v>1111129114</v>
      </c>
      <c r="H4442" s="1">
        <v>6</v>
      </c>
      <c r="I4442" s="1" t="s">
        <v>8631</v>
      </c>
      <c r="J4442" t="s">
        <v>8642</v>
      </c>
    </row>
    <row r="4443" spans="1:10">
      <c r="A4443" s="1">
        <v>265454</v>
      </c>
      <c r="B4443" s="1">
        <v>3700032368</v>
      </c>
      <c r="C4443" s="1">
        <v>15</v>
      </c>
      <c r="D4443" s="1" t="s">
        <v>439</v>
      </c>
      <c r="E4443" t="s">
        <v>8598</v>
      </c>
      <c r="F4443" s="1">
        <v>240408</v>
      </c>
      <c r="G4443" s="1">
        <v>1111129121</v>
      </c>
      <c r="H4443" s="1">
        <v>4</v>
      </c>
      <c r="I4443" s="1" t="s">
        <v>8637</v>
      </c>
      <c r="J4443" t="s">
        <v>8643</v>
      </c>
    </row>
    <row r="4444" spans="1:10">
      <c r="A4444" s="1">
        <v>750554</v>
      </c>
      <c r="B4444" s="1">
        <v>4113030916</v>
      </c>
      <c r="C4444" s="1">
        <v>4</v>
      </c>
      <c r="D4444" s="1" t="s">
        <v>8599</v>
      </c>
      <c r="E4444" t="s">
        <v>8600</v>
      </c>
      <c r="F4444" s="1">
        <v>759290</v>
      </c>
      <c r="G4444" s="1">
        <v>4589311077</v>
      </c>
      <c r="H4444" s="1">
        <v>9</v>
      </c>
      <c r="I4444" s="1" t="s">
        <v>1189</v>
      </c>
      <c r="J4444" t="s">
        <v>8644</v>
      </c>
    </row>
    <row r="4445" spans="1:10">
      <c r="A4445" s="1">
        <v>252890</v>
      </c>
      <c r="B4445" s="1">
        <v>4113030917</v>
      </c>
      <c r="C4445" s="1">
        <v>4</v>
      </c>
      <c r="D4445" s="1" t="s">
        <v>8599</v>
      </c>
      <c r="E4445" t="s">
        <v>8601</v>
      </c>
      <c r="F4445" s="1">
        <v>468322</v>
      </c>
      <c r="G4445" s="1">
        <v>1111128967</v>
      </c>
      <c r="H4445" s="1">
        <v>6</v>
      </c>
      <c r="I4445" s="1" t="s">
        <v>8631</v>
      </c>
      <c r="J4445" t="s">
        <v>8645</v>
      </c>
    </row>
    <row r="4446" spans="1:10">
      <c r="A4446" s="1">
        <v>223081</v>
      </c>
      <c r="B4446" s="1">
        <v>4113030721</v>
      </c>
      <c r="C4446" s="1">
        <v>1</v>
      </c>
      <c r="D4446" s="1" t="s">
        <v>6772</v>
      </c>
      <c r="E4446" t="s">
        <v>8602</v>
      </c>
      <c r="F4446" s="1">
        <v>713230</v>
      </c>
      <c r="G4446" s="1">
        <v>4589303730</v>
      </c>
      <c r="H4446" s="1">
        <v>9</v>
      </c>
      <c r="I4446" s="1" t="s">
        <v>1189</v>
      </c>
      <c r="J4446" t="s">
        <v>8646</v>
      </c>
    </row>
    <row r="4447" spans="1:10">
      <c r="A4447" s="1">
        <v>478925</v>
      </c>
      <c r="B4447" s="1">
        <v>4113030722</v>
      </c>
      <c r="C4447" s="1">
        <v>1</v>
      </c>
      <c r="D4447" s="1" t="s">
        <v>6772</v>
      </c>
      <c r="E4447" t="s">
        <v>8603</v>
      </c>
      <c r="F4447" s="1">
        <v>334003</v>
      </c>
      <c r="G4447" s="1">
        <v>3320009995</v>
      </c>
      <c r="H4447" s="1">
        <v>8</v>
      </c>
      <c r="I4447" s="1" t="s">
        <v>8631</v>
      </c>
      <c r="J4447" t="s">
        <v>8647</v>
      </c>
    </row>
    <row r="4448" spans="1:10">
      <c r="A4448" s="1">
        <v>149682</v>
      </c>
      <c r="B4448" s="1">
        <v>4113030918</v>
      </c>
      <c r="C4448" s="1">
        <v>3</v>
      </c>
      <c r="D4448" s="1" t="s">
        <v>3635</v>
      </c>
      <c r="E4448" t="s">
        <v>8604</v>
      </c>
      <c r="F4448" s="1">
        <v>892620</v>
      </c>
      <c r="G4448" s="1">
        <v>3320009739</v>
      </c>
      <c r="H4448" s="1">
        <v>6</v>
      </c>
      <c r="I4448" s="1" t="s">
        <v>8648</v>
      </c>
      <c r="J4448" t="s">
        <v>8649</v>
      </c>
    </row>
    <row r="4449" spans="1:10">
      <c r="A4449" s="1">
        <v>534032</v>
      </c>
      <c r="B4449" s="1">
        <v>4113030919</v>
      </c>
      <c r="C4449" s="1">
        <v>3</v>
      </c>
      <c r="D4449" s="1" t="s">
        <v>3635</v>
      </c>
      <c r="E4449" t="s">
        <v>8605</v>
      </c>
      <c r="F4449" s="1">
        <v>468983</v>
      </c>
      <c r="G4449" s="1">
        <v>3320009430</v>
      </c>
      <c r="H4449" s="1">
        <v>6</v>
      </c>
      <c r="I4449" s="1" t="s">
        <v>8650</v>
      </c>
      <c r="J4449" t="s">
        <v>8651</v>
      </c>
    </row>
    <row r="4450" spans="1:10">
      <c r="A4450" s="1">
        <v>275040</v>
      </c>
      <c r="B4450" s="1">
        <v>3700039279</v>
      </c>
      <c r="C4450" s="1">
        <v>4</v>
      </c>
      <c r="D4450" s="1" t="s">
        <v>4871</v>
      </c>
      <c r="E4450" t="s">
        <v>8606</v>
      </c>
      <c r="F4450" s="1">
        <v>576587</v>
      </c>
      <c r="G4450" s="1">
        <v>3320009998</v>
      </c>
      <c r="H4450" s="1">
        <v>8</v>
      </c>
      <c r="I4450" s="1" t="s">
        <v>8631</v>
      </c>
      <c r="J4450" t="s">
        <v>8652</v>
      </c>
    </row>
    <row r="4451" spans="1:10">
      <c r="A4451" s="1">
        <v>574566</v>
      </c>
      <c r="B4451" s="1">
        <v>3700023739</v>
      </c>
      <c r="C4451" s="1">
        <v>4</v>
      </c>
      <c r="D4451" s="1" t="s">
        <v>4227</v>
      </c>
      <c r="E4451" t="s">
        <v>8607</v>
      </c>
      <c r="F4451" s="1">
        <v>514018</v>
      </c>
      <c r="G4451" s="1">
        <v>3320009990</v>
      </c>
      <c r="H4451" s="1">
        <v>8</v>
      </c>
      <c r="I4451" s="1" t="s">
        <v>8631</v>
      </c>
      <c r="J4451" t="s">
        <v>8653</v>
      </c>
    </row>
    <row r="4452" spans="1:10">
      <c r="A4452" s="1">
        <v>266874</v>
      </c>
      <c r="B4452" s="1">
        <v>3700033011</v>
      </c>
      <c r="C4452" s="1">
        <v>3</v>
      </c>
      <c r="D4452" s="1" t="s">
        <v>8608</v>
      </c>
      <c r="E4452" t="s">
        <v>8609</v>
      </c>
      <c r="F4452" s="1">
        <v>436972</v>
      </c>
      <c r="G4452" s="1">
        <v>3320009437</v>
      </c>
      <c r="H4452" s="1">
        <v>6</v>
      </c>
      <c r="I4452" s="1" t="s">
        <v>8650</v>
      </c>
      <c r="J4452" t="s">
        <v>8654</v>
      </c>
    </row>
    <row r="4453" spans="1:10">
      <c r="A4453" s="1">
        <v>275396</v>
      </c>
      <c r="B4453" s="1">
        <v>3700035522</v>
      </c>
      <c r="C4453" s="1">
        <v>4</v>
      </c>
      <c r="D4453" s="1" t="s">
        <v>4871</v>
      </c>
      <c r="E4453" t="s">
        <v>8610</v>
      </c>
      <c r="F4453" s="1">
        <v>320143</v>
      </c>
      <c r="G4453" s="1">
        <v>3320009991</v>
      </c>
      <c r="H4453" s="1">
        <v>8</v>
      </c>
      <c r="I4453" s="1" t="s">
        <v>8631</v>
      </c>
      <c r="J4453" t="s">
        <v>8655</v>
      </c>
    </row>
    <row r="4454" spans="1:10">
      <c r="A4454" s="1">
        <v>276154</v>
      </c>
      <c r="B4454" s="1">
        <v>3700032377</v>
      </c>
      <c r="C4454" s="1">
        <v>2</v>
      </c>
      <c r="D4454" s="1" t="s">
        <v>8611</v>
      </c>
      <c r="E4454" t="s">
        <v>8612</v>
      </c>
      <c r="F4454" s="1">
        <v>462259</v>
      </c>
      <c r="G4454" s="1">
        <v>3320009952</v>
      </c>
      <c r="H4454" s="1">
        <v>8</v>
      </c>
      <c r="I4454" s="1" t="s">
        <v>8631</v>
      </c>
      <c r="J4454" t="s">
        <v>8656</v>
      </c>
    </row>
    <row r="4455" spans="1:10">
      <c r="A4455" s="1">
        <v>257444</v>
      </c>
      <c r="B4455" s="1">
        <v>3700035526</v>
      </c>
      <c r="C4455" s="1">
        <v>4</v>
      </c>
      <c r="D4455" s="1" t="s">
        <v>4871</v>
      </c>
      <c r="E4455" t="s">
        <v>8613</v>
      </c>
      <c r="F4455" s="1">
        <v>524850</v>
      </c>
      <c r="G4455" s="1">
        <v>3320009951</v>
      </c>
      <c r="H4455" s="1">
        <v>8</v>
      </c>
      <c r="I4455" s="1" t="s">
        <v>8631</v>
      </c>
      <c r="J4455" t="s">
        <v>8657</v>
      </c>
    </row>
    <row r="4456" spans="1:10">
      <c r="A4456" s="1">
        <v>274787</v>
      </c>
      <c r="B4456" s="1">
        <v>3700035527</v>
      </c>
      <c r="C4456" s="1">
        <v>4</v>
      </c>
      <c r="D4456" s="1" t="s">
        <v>4871</v>
      </c>
      <c r="E4456" t="s">
        <v>8614</v>
      </c>
      <c r="F4456" s="1">
        <v>317735</v>
      </c>
      <c r="G4456" s="1">
        <v>3320009994</v>
      </c>
      <c r="H4456" s="1">
        <v>8</v>
      </c>
      <c r="I4456" s="1" t="s">
        <v>8631</v>
      </c>
      <c r="J4456" t="s">
        <v>8658</v>
      </c>
    </row>
    <row r="4457" spans="1:10">
      <c r="A4457" s="1">
        <v>211086</v>
      </c>
      <c r="B4457" s="1">
        <v>3700046739</v>
      </c>
      <c r="C4457" s="1">
        <v>3</v>
      </c>
      <c r="D4457" s="1" t="s">
        <v>8615</v>
      </c>
      <c r="E4457" t="s">
        <v>8616</v>
      </c>
      <c r="F4457" s="1">
        <v>653139</v>
      </c>
      <c r="G4457" s="1">
        <v>3320009550</v>
      </c>
      <c r="H4457" s="1">
        <v>6</v>
      </c>
      <c r="I4457" s="1" t="s">
        <v>3603</v>
      </c>
      <c r="J4457" t="s">
        <v>8659</v>
      </c>
    </row>
    <row r="4458" spans="1:10">
      <c r="A4458" s="1">
        <v>211110</v>
      </c>
      <c r="B4458" s="1">
        <v>3700046711</v>
      </c>
      <c r="C4458" s="1">
        <v>4</v>
      </c>
      <c r="D4458" s="1" t="s">
        <v>8617</v>
      </c>
      <c r="E4458" t="s">
        <v>8616</v>
      </c>
      <c r="F4458" s="1">
        <v>140558</v>
      </c>
      <c r="G4458" s="1">
        <v>3320009730</v>
      </c>
      <c r="H4458" s="1">
        <v>6</v>
      </c>
      <c r="I4458" s="1" t="s">
        <v>8648</v>
      </c>
      <c r="J4458" t="s">
        <v>8660</v>
      </c>
    </row>
    <row r="4459" spans="1:10">
      <c r="A4459" s="1">
        <v>211193</v>
      </c>
      <c r="B4459" s="1">
        <v>3700046754</v>
      </c>
      <c r="C4459" s="1">
        <v>4</v>
      </c>
      <c r="D4459" s="1" t="s">
        <v>8617</v>
      </c>
      <c r="E4459" t="s">
        <v>8618</v>
      </c>
      <c r="F4459" s="1">
        <v>693655</v>
      </c>
      <c r="G4459" s="1">
        <v>3320009737</v>
      </c>
      <c r="H4459" s="1">
        <v>6</v>
      </c>
      <c r="I4459" s="1" t="s">
        <v>8648</v>
      </c>
      <c r="J4459" t="s">
        <v>8661</v>
      </c>
    </row>
    <row r="4460" spans="1:10">
      <c r="A4460" s="1">
        <v>277798</v>
      </c>
      <c r="B4460" s="1">
        <v>3700030804</v>
      </c>
      <c r="C4460" s="1">
        <v>15</v>
      </c>
      <c r="D4460" s="1" t="s">
        <v>637</v>
      </c>
      <c r="E4460" t="s">
        <v>8619</v>
      </c>
      <c r="F4460" s="1">
        <v>403931</v>
      </c>
      <c r="G4460" s="1">
        <v>3700013270</v>
      </c>
      <c r="H4460" s="1">
        <v>6</v>
      </c>
      <c r="I4460" s="1" t="s">
        <v>8662</v>
      </c>
      <c r="J4460" t="s">
        <v>8663</v>
      </c>
    </row>
    <row r="4461" spans="1:10">
      <c r="A4461" s="1">
        <v>266973</v>
      </c>
      <c r="B4461" s="1">
        <v>3700080194</v>
      </c>
      <c r="C4461" s="1">
        <v>2</v>
      </c>
      <c r="D4461" s="1" t="s">
        <v>8620</v>
      </c>
      <c r="E4461" t="s">
        <v>8621</v>
      </c>
      <c r="F4461" s="1">
        <v>286807</v>
      </c>
      <c r="G4461" s="1">
        <v>3700013267</v>
      </c>
      <c r="H4461" s="1">
        <v>6</v>
      </c>
      <c r="I4461" s="1" t="s">
        <v>8662</v>
      </c>
      <c r="J4461" t="s">
        <v>8664</v>
      </c>
    </row>
    <row r="4462" spans="1:10">
      <c r="A4462" s="1">
        <v>275370</v>
      </c>
      <c r="B4462" s="1">
        <v>3700035521</v>
      </c>
      <c r="C4462" s="1">
        <v>4</v>
      </c>
      <c r="D4462" s="1" t="s">
        <v>4871</v>
      </c>
      <c r="E4462" t="s">
        <v>8622</v>
      </c>
      <c r="F4462" s="1">
        <v>232074</v>
      </c>
      <c r="G4462" s="1">
        <v>3700016111</v>
      </c>
      <c r="H4462" s="1">
        <v>4</v>
      </c>
      <c r="I4462" s="1" t="s">
        <v>8637</v>
      </c>
      <c r="J4462" t="s">
        <v>8665</v>
      </c>
    </row>
    <row r="4463" spans="1:10">
      <c r="A4463" s="1">
        <v>266965</v>
      </c>
      <c r="B4463" s="1">
        <v>3700033010</v>
      </c>
      <c r="C4463" s="1">
        <v>3</v>
      </c>
      <c r="D4463" s="1" t="s">
        <v>8608</v>
      </c>
      <c r="E4463" t="s">
        <v>8623</v>
      </c>
      <c r="F4463" s="1">
        <v>444950</v>
      </c>
      <c r="G4463" s="1">
        <v>3700013266</v>
      </c>
      <c r="H4463" s="1">
        <v>6</v>
      </c>
      <c r="I4463" s="1" t="s">
        <v>8662</v>
      </c>
      <c r="J4463" t="s">
        <v>8666</v>
      </c>
    </row>
    <row r="4464" spans="1:10">
      <c r="A4464" s="1">
        <v>276014</v>
      </c>
      <c r="B4464" s="1">
        <v>3700032370</v>
      </c>
      <c r="C4464" s="1">
        <v>15</v>
      </c>
      <c r="D4464" s="1" t="s">
        <v>637</v>
      </c>
      <c r="E4464" t="s">
        <v>8624</v>
      </c>
      <c r="F4464" s="1">
        <v>596569</v>
      </c>
      <c r="G4464" s="1">
        <v>3700013289</v>
      </c>
      <c r="H4464" s="1">
        <v>4</v>
      </c>
      <c r="I4464" s="1" t="s">
        <v>8637</v>
      </c>
      <c r="J4464" t="s">
        <v>8667</v>
      </c>
    </row>
    <row r="4465" spans="1:10">
      <c r="A4465" s="1">
        <v>266940</v>
      </c>
      <c r="B4465" s="1">
        <v>3700033013</v>
      </c>
      <c r="C4465" s="1">
        <v>3</v>
      </c>
      <c r="D4465" s="1" t="s">
        <v>8625</v>
      </c>
      <c r="E4465" t="s">
        <v>8626</v>
      </c>
      <c r="F4465" s="1">
        <v>204792</v>
      </c>
      <c r="G4465" s="1">
        <v>3700011033</v>
      </c>
      <c r="H4465" s="1">
        <v>4</v>
      </c>
      <c r="I4465" s="1" t="s">
        <v>8637</v>
      </c>
      <c r="J4465" t="s">
        <v>8668</v>
      </c>
    </row>
    <row r="4466" spans="1:10">
      <c r="A4466" s="1">
        <v>269696</v>
      </c>
      <c r="B4466" s="1">
        <v>2420001731</v>
      </c>
      <c r="C4466" s="1">
        <v>4</v>
      </c>
      <c r="D4466" s="1" t="s">
        <v>8627</v>
      </c>
      <c r="E4466" t="s">
        <v>8628</v>
      </c>
      <c r="F4466" s="1">
        <v>225367</v>
      </c>
      <c r="G4466" s="1">
        <v>3700012873</v>
      </c>
      <c r="H4466" s="1">
        <v>6</v>
      </c>
      <c r="I4466" s="1" t="s">
        <v>8631</v>
      </c>
      <c r="J4466" t="s">
        <v>8669</v>
      </c>
    </row>
    <row r="4467" spans="1:10">
      <c r="A4467" s="1">
        <v>269779</v>
      </c>
      <c r="B4467" s="1">
        <v>2420001730</v>
      </c>
      <c r="C4467" s="1">
        <v>12</v>
      </c>
      <c r="D4467" s="1" t="s">
        <v>439</v>
      </c>
      <c r="E4467" t="s">
        <v>8629</v>
      </c>
      <c r="F4467" s="1">
        <v>18184</v>
      </c>
      <c r="G4467" s="1">
        <v>3700020826</v>
      </c>
      <c r="H4467" s="1">
        <v>6</v>
      </c>
      <c r="I4467" s="1" t="s">
        <v>8631</v>
      </c>
      <c r="J4467" t="s">
        <v>8670</v>
      </c>
    </row>
    <row r="4468" spans="1:10">
      <c r="A4468" s="1">
        <v>268649</v>
      </c>
      <c r="B4468" s="1">
        <v>2420001606</v>
      </c>
      <c r="C4468" s="1">
        <v>24</v>
      </c>
      <c r="D4468" s="1" t="s">
        <v>489</v>
      </c>
      <c r="E4468" t="s">
        <v>8630</v>
      </c>
      <c r="F4468" s="1">
        <v>818773</v>
      </c>
      <c r="G4468" s="1">
        <v>88596748057</v>
      </c>
      <c r="H4468" s="1">
        <v>6</v>
      </c>
      <c r="I4468" s="1" t="s">
        <v>8631</v>
      </c>
      <c r="J4468" t="s">
        <v>8671</v>
      </c>
    </row>
    <row r="4469" spans="1:10">
      <c r="A4469" s="1">
        <v>269688</v>
      </c>
      <c r="B4469" s="1">
        <v>2420001607</v>
      </c>
      <c r="C4469" s="1">
        <v>12</v>
      </c>
      <c r="D4469" s="1" t="s">
        <v>439</v>
      </c>
      <c r="E4469" t="s">
        <v>8630</v>
      </c>
      <c r="F4469" s="1">
        <v>653584</v>
      </c>
      <c r="G4469" s="1">
        <v>88596748050</v>
      </c>
      <c r="H4469" s="1">
        <v>6</v>
      </c>
      <c r="I4469" s="1" t="s">
        <v>8631</v>
      </c>
      <c r="J4469" t="s">
        <v>8672</v>
      </c>
    </row>
    <row r="4470" spans="1:10" ht="15.75">
      <c r="A4470" s="4" t="s">
        <v>10817</v>
      </c>
      <c r="B4470" s="2"/>
      <c r="C4470" s="2"/>
      <c r="D4470" s="2"/>
      <c r="E4470" s="3"/>
      <c r="F4470" s="4" t="s">
        <v>10817</v>
      </c>
      <c r="G4470" s="2"/>
      <c r="H4470" s="2"/>
      <c r="I4470" s="2"/>
      <c r="J4470" s="3"/>
    </row>
    <row r="4471" spans="1:10">
      <c r="A4471" s="2" t="s">
        <v>0</v>
      </c>
      <c r="B4471" s="2" t="s">
        <v>1</v>
      </c>
      <c r="C4471" s="2" t="s">
        <v>2</v>
      </c>
      <c r="D4471" s="2" t="s">
        <v>3</v>
      </c>
      <c r="E4471" s="3" t="s">
        <v>4</v>
      </c>
      <c r="F4471" s="2" t="s">
        <v>0</v>
      </c>
      <c r="G4471" s="2" t="s">
        <v>1</v>
      </c>
      <c r="H4471" s="2" t="s">
        <v>2</v>
      </c>
      <c r="I4471" s="2" t="s">
        <v>3</v>
      </c>
      <c r="J4471" s="3" t="s">
        <v>4</v>
      </c>
    </row>
    <row r="4472" spans="1:10">
      <c r="A4472" s="1">
        <v>256941</v>
      </c>
      <c r="B4472" s="1">
        <v>3700012893</v>
      </c>
      <c r="C4472" s="1">
        <v>6</v>
      </c>
      <c r="D4472" s="1" t="s">
        <v>8631</v>
      </c>
      <c r="E4472" t="s">
        <v>8673</v>
      </c>
      <c r="F4472" s="1">
        <v>654848</v>
      </c>
      <c r="G4472" s="1">
        <v>2420006023</v>
      </c>
      <c r="H4472" s="1">
        <v>6</v>
      </c>
      <c r="I4472" s="1" t="s">
        <v>8631</v>
      </c>
      <c r="J4472" t="s">
        <v>8710</v>
      </c>
    </row>
    <row r="4473" spans="1:10">
      <c r="A4473" s="1">
        <v>405464</v>
      </c>
      <c r="B4473" s="1">
        <v>3700012889</v>
      </c>
      <c r="C4473" s="1">
        <v>6</v>
      </c>
      <c r="D4473" s="1" t="s">
        <v>8631</v>
      </c>
      <c r="E4473" t="s">
        <v>8674</v>
      </c>
      <c r="F4473" s="1">
        <v>761809</v>
      </c>
      <c r="G4473" s="1">
        <v>2420006072</v>
      </c>
      <c r="H4473" s="1">
        <v>6</v>
      </c>
      <c r="I4473" s="1" t="s">
        <v>8650</v>
      </c>
      <c r="J4473" t="s">
        <v>8711</v>
      </c>
    </row>
    <row r="4474" spans="1:10">
      <c r="A4474" s="1">
        <v>559575</v>
      </c>
      <c r="B4474" s="1">
        <v>3700012891</v>
      </c>
      <c r="C4474" s="1">
        <v>4</v>
      </c>
      <c r="D4474" s="1" t="s">
        <v>8637</v>
      </c>
      <c r="E4474" t="s">
        <v>8675</v>
      </c>
      <c r="F4474" s="1">
        <v>2386</v>
      </c>
      <c r="G4474" s="1">
        <v>2420006075</v>
      </c>
      <c r="H4474" s="1">
        <v>6</v>
      </c>
      <c r="I4474" s="1" t="s">
        <v>8650</v>
      </c>
      <c r="J4474" t="s">
        <v>8712</v>
      </c>
    </row>
    <row r="4475" spans="1:10">
      <c r="A4475" s="1">
        <v>382028</v>
      </c>
      <c r="B4475" s="1">
        <v>3700012765</v>
      </c>
      <c r="C4475" s="1">
        <v>4</v>
      </c>
      <c r="D4475" s="1" t="s">
        <v>8637</v>
      </c>
      <c r="E4475" t="s">
        <v>8676</v>
      </c>
      <c r="F4475" s="1">
        <v>315523</v>
      </c>
      <c r="G4475" s="1">
        <v>2420004789</v>
      </c>
      <c r="H4475" s="1">
        <v>6</v>
      </c>
      <c r="I4475" s="1" t="s">
        <v>8631</v>
      </c>
      <c r="J4475" t="s">
        <v>8713</v>
      </c>
    </row>
    <row r="4476" spans="1:10">
      <c r="A4476" s="1">
        <v>298489</v>
      </c>
      <c r="B4476" s="1">
        <v>3700012764</v>
      </c>
      <c r="C4476" s="1">
        <v>6</v>
      </c>
      <c r="D4476" s="1" t="s">
        <v>8631</v>
      </c>
      <c r="E4476" t="s">
        <v>8677</v>
      </c>
      <c r="F4476" s="1">
        <v>779249</v>
      </c>
      <c r="G4476" s="1">
        <v>4113030792</v>
      </c>
      <c r="H4476" s="1">
        <v>2</v>
      </c>
      <c r="I4476" s="1" t="s">
        <v>8714</v>
      </c>
      <c r="J4476" t="s">
        <v>8715</v>
      </c>
    </row>
    <row r="4477" spans="1:10">
      <c r="A4477" s="1">
        <v>488833</v>
      </c>
      <c r="B4477" s="1">
        <v>3700012769</v>
      </c>
      <c r="C4477" s="1">
        <v>4</v>
      </c>
      <c r="D4477" s="1" t="s">
        <v>8637</v>
      </c>
      <c r="E4477" t="s">
        <v>8678</v>
      </c>
      <c r="F4477" s="1">
        <v>439067</v>
      </c>
      <c r="G4477" s="1">
        <v>4113030791</v>
      </c>
      <c r="H4477" s="1">
        <v>2</v>
      </c>
      <c r="I4477" s="1" t="s">
        <v>8714</v>
      </c>
      <c r="J4477" t="s">
        <v>8716</v>
      </c>
    </row>
    <row r="4478" spans="1:10">
      <c r="A4478" s="1">
        <v>503516</v>
      </c>
      <c r="B4478" s="1">
        <v>3700012767</v>
      </c>
      <c r="C4478" s="1">
        <v>6</v>
      </c>
      <c r="D4478" s="1" t="s">
        <v>8631</v>
      </c>
      <c r="E4478" t="s">
        <v>8679</v>
      </c>
      <c r="F4478" s="1">
        <v>368894</v>
      </c>
      <c r="G4478" s="1">
        <v>4113030727</v>
      </c>
      <c r="H4478" s="1">
        <v>8</v>
      </c>
      <c r="I4478" s="1" t="s">
        <v>8717</v>
      </c>
      <c r="J4478" t="s">
        <v>8718</v>
      </c>
    </row>
    <row r="4479" spans="1:10">
      <c r="A4479" s="1">
        <v>434225</v>
      </c>
      <c r="B4479" s="1">
        <v>3700012771</v>
      </c>
      <c r="C4479" s="1">
        <v>6</v>
      </c>
      <c r="D4479" s="1" t="s">
        <v>8631</v>
      </c>
      <c r="E4479" t="s">
        <v>8680</v>
      </c>
      <c r="F4479" s="1">
        <v>836924</v>
      </c>
      <c r="G4479" s="1">
        <v>4113030783</v>
      </c>
      <c r="H4479" s="1">
        <v>6</v>
      </c>
      <c r="I4479" s="1" t="s">
        <v>8719</v>
      </c>
      <c r="J4479" t="s">
        <v>8718</v>
      </c>
    </row>
    <row r="4480" spans="1:10">
      <c r="A4480" s="1">
        <v>262303</v>
      </c>
      <c r="B4480" s="1">
        <v>3700012773</v>
      </c>
      <c r="C4480" s="1">
        <v>4</v>
      </c>
      <c r="D4480" s="1" t="s">
        <v>8637</v>
      </c>
      <c r="E4480" t="s">
        <v>8681</v>
      </c>
      <c r="F4480" s="1">
        <v>371534</v>
      </c>
      <c r="G4480" s="1">
        <v>4113030728</v>
      </c>
      <c r="H4480" s="1">
        <v>8</v>
      </c>
      <c r="I4480" s="1" t="s">
        <v>8717</v>
      </c>
      <c r="J4480" t="s">
        <v>8720</v>
      </c>
    </row>
    <row r="4481" spans="1:10">
      <c r="A4481" s="1">
        <v>770289</v>
      </c>
      <c r="B4481" s="1">
        <v>3700015353</v>
      </c>
      <c r="C4481" s="1">
        <v>6</v>
      </c>
      <c r="D4481" s="1" t="s">
        <v>8631</v>
      </c>
      <c r="E4481" t="s">
        <v>8682</v>
      </c>
      <c r="F4481" s="1">
        <v>47613</v>
      </c>
      <c r="G4481" s="1">
        <v>4113030781</v>
      </c>
      <c r="H4481" s="1">
        <v>6</v>
      </c>
      <c r="I4481" s="1" t="s">
        <v>8719</v>
      </c>
      <c r="J4481" t="s">
        <v>8720</v>
      </c>
    </row>
    <row r="4482" spans="1:10">
      <c r="A4482" s="1">
        <v>230268</v>
      </c>
      <c r="B4482" s="1">
        <v>3700012802</v>
      </c>
      <c r="C4482" s="1">
        <v>6</v>
      </c>
      <c r="D4482" s="1" t="s">
        <v>8631</v>
      </c>
      <c r="E4482" t="s">
        <v>8683</v>
      </c>
      <c r="F4482" s="1">
        <v>382127</v>
      </c>
      <c r="G4482" s="1">
        <v>4113030729</v>
      </c>
      <c r="H4482" s="1">
        <v>8</v>
      </c>
      <c r="I4482" s="1" t="s">
        <v>8717</v>
      </c>
      <c r="J4482" t="s">
        <v>8721</v>
      </c>
    </row>
    <row r="4483" spans="1:10">
      <c r="A4483" s="1">
        <v>7690</v>
      </c>
      <c r="B4483" s="1">
        <v>3700012792</v>
      </c>
      <c r="C4483" s="1">
        <v>6</v>
      </c>
      <c r="D4483" s="1" t="s">
        <v>8631</v>
      </c>
      <c r="E4483" t="s">
        <v>8684</v>
      </c>
      <c r="F4483" s="1">
        <v>641969</v>
      </c>
      <c r="G4483" s="1">
        <v>4113030782</v>
      </c>
      <c r="H4483" s="1">
        <v>6</v>
      </c>
      <c r="I4483" s="1" t="s">
        <v>8719</v>
      </c>
      <c r="J4483" t="s">
        <v>8721</v>
      </c>
    </row>
    <row r="4484" spans="1:10">
      <c r="A4484" s="1">
        <v>501767</v>
      </c>
      <c r="B4484" s="1">
        <v>3700012786</v>
      </c>
      <c r="C4484" s="1">
        <v>4</v>
      </c>
      <c r="D4484" s="1" t="s">
        <v>8637</v>
      </c>
      <c r="E4484" t="s">
        <v>8685</v>
      </c>
      <c r="F4484" s="1">
        <v>399972</v>
      </c>
      <c r="G4484" s="1">
        <v>4113030730</v>
      </c>
      <c r="H4484" s="1">
        <v>8</v>
      </c>
      <c r="I4484" s="1" t="s">
        <v>8717</v>
      </c>
      <c r="J4484" t="s">
        <v>8722</v>
      </c>
    </row>
    <row r="4485" spans="1:10">
      <c r="A4485" s="1">
        <v>274357</v>
      </c>
      <c r="B4485" s="1">
        <v>3700012783</v>
      </c>
      <c r="C4485" s="1">
        <v>6</v>
      </c>
      <c r="D4485" s="1" t="s">
        <v>2549</v>
      </c>
      <c r="E4485" t="s">
        <v>8685</v>
      </c>
      <c r="F4485" s="1">
        <v>193730</v>
      </c>
      <c r="G4485" s="1">
        <v>4113030784</v>
      </c>
      <c r="H4485" s="1">
        <v>6</v>
      </c>
      <c r="I4485" s="1" t="s">
        <v>8719</v>
      </c>
      <c r="J4485" t="s">
        <v>8722</v>
      </c>
    </row>
    <row r="4486" spans="1:10">
      <c r="A4486" s="1">
        <v>469163</v>
      </c>
      <c r="B4486" s="1">
        <v>3700012784</v>
      </c>
      <c r="C4486" s="1">
        <v>6</v>
      </c>
      <c r="D4486" s="1" t="s">
        <v>8631</v>
      </c>
      <c r="E4486" t="s">
        <v>8685</v>
      </c>
      <c r="F4486" s="1">
        <v>475426</v>
      </c>
      <c r="G4486" s="1">
        <v>3700013885</v>
      </c>
      <c r="H4486" s="1">
        <v>6</v>
      </c>
      <c r="I4486" s="1" t="s">
        <v>8631</v>
      </c>
      <c r="J4486" t="s">
        <v>8723</v>
      </c>
    </row>
    <row r="4487" spans="1:10">
      <c r="A4487" s="1">
        <v>777409</v>
      </c>
      <c r="B4487" s="1">
        <v>3700012801</v>
      </c>
      <c r="C4487" s="1">
        <v>4</v>
      </c>
      <c r="D4487" s="1" t="s">
        <v>8637</v>
      </c>
      <c r="E4487" t="s">
        <v>8686</v>
      </c>
      <c r="F4487" s="1">
        <v>348276</v>
      </c>
      <c r="G4487" s="1">
        <v>3700013890</v>
      </c>
      <c r="H4487" s="1">
        <v>4</v>
      </c>
      <c r="I4487" s="1" t="s">
        <v>8637</v>
      </c>
      <c r="J4487" t="s">
        <v>8724</v>
      </c>
    </row>
    <row r="4488" spans="1:10">
      <c r="A4488" s="1">
        <v>156133</v>
      </c>
      <c r="B4488" s="1">
        <v>3700015355</v>
      </c>
      <c r="C4488" s="1">
        <v>4</v>
      </c>
      <c r="D4488" s="1" t="s">
        <v>8637</v>
      </c>
      <c r="E4488" t="s">
        <v>8687</v>
      </c>
      <c r="F4488" s="1">
        <v>181388</v>
      </c>
      <c r="G4488" s="1">
        <v>3700013786</v>
      </c>
      <c r="H4488" s="1">
        <v>6</v>
      </c>
      <c r="I4488" s="1" t="s">
        <v>8631</v>
      </c>
      <c r="J4488" t="s">
        <v>8725</v>
      </c>
    </row>
    <row r="4489" spans="1:10">
      <c r="A4489" s="1">
        <v>551457</v>
      </c>
      <c r="B4489" s="1">
        <v>3700011034</v>
      </c>
      <c r="C4489" s="1">
        <v>4</v>
      </c>
      <c r="D4489" s="1" t="s">
        <v>8637</v>
      </c>
      <c r="E4489" t="s">
        <v>8688</v>
      </c>
      <c r="F4489" s="1">
        <v>523498</v>
      </c>
      <c r="G4489" s="1">
        <v>3700013226</v>
      </c>
      <c r="H4489" s="1">
        <v>4</v>
      </c>
      <c r="I4489" s="1" t="s">
        <v>8637</v>
      </c>
      <c r="J4489" t="s">
        <v>8726</v>
      </c>
    </row>
    <row r="4490" spans="1:10">
      <c r="A4490" s="1">
        <v>576686</v>
      </c>
      <c r="B4490" s="1">
        <v>3700021216</v>
      </c>
      <c r="C4490" s="1">
        <v>4</v>
      </c>
      <c r="D4490" s="1" t="s">
        <v>8689</v>
      </c>
      <c r="E4490" t="s">
        <v>8690</v>
      </c>
      <c r="F4490" s="1">
        <v>426833</v>
      </c>
      <c r="G4490" s="1">
        <v>3700013224</v>
      </c>
      <c r="H4490" s="1">
        <v>6</v>
      </c>
      <c r="I4490" s="1" t="s">
        <v>8631</v>
      </c>
      <c r="J4490" t="s">
        <v>8726</v>
      </c>
    </row>
    <row r="4491" spans="1:10">
      <c r="A4491" s="1">
        <v>255661</v>
      </c>
      <c r="B4491" s="1">
        <v>3700017803</v>
      </c>
      <c r="C4491" s="1">
        <v>4</v>
      </c>
      <c r="D4491" s="1" t="s">
        <v>8637</v>
      </c>
      <c r="E4491" t="s">
        <v>8691</v>
      </c>
      <c r="F4491" s="1">
        <v>114595</v>
      </c>
      <c r="G4491" s="1">
        <v>3700013863</v>
      </c>
      <c r="H4491" s="1">
        <v>6</v>
      </c>
      <c r="I4491" s="1" t="s">
        <v>8662</v>
      </c>
      <c r="J4491" t="s">
        <v>8727</v>
      </c>
    </row>
    <row r="4492" spans="1:10">
      <c r="A4492" s="1">
        <v>704320</v>
      </c>
      <c r="B4492" s="1">
        <v>3700017801</v>
      </c>
      <c r="C4492" s="1">
        <v>6</v>
      </c>
      <c r="D4492" s="1" t="s">
        <v>8631</v>
      </c>
      <c r="E4492" t="s">
        <v>8691</v>
      </c>
      <c r="F4492" s="1">
        <v>275339</v>
      </c>
      <c r="G4492" s="1">
        <v>3700013843</v>
      </c>
      <c r="H4492" s="1">
        <v>6</v>
      </c>
      <c r="I4492" s="1" t="s">
        <v>8662</v>
      </c>
      <c r="J4492" t="s">
        <v>8728</v>
      </c>
    </row>
    <row r="4493" spans="1:10">
      <c r="A4493" s="1">
        <v>381434</v>
      </c>
      <c r="B4493" s="1">
        <v>4116344591</v>
      </c>
      <c r="C4493" s="1">
        <v>8</v>
      </c>
      <c r="D4493" s="1" t="s">
        <v>8631</v>
      </c>
      <c r="E4493" t="s">
        <v>8692</v>
      </c>
      <c r="F4493" s="1">
        <v>744631</v>
      </c>
      <c r="G4493" s="1">
        <v>3700013847</v>
      </c>
      <c r="H4493" s="1">
        <v>4</v>
      </c>
      <c r="I4493" s="1" t="s">
        <v>8637</v>
      </c>
      <c r="J4493" t="s">
        <v>8729</v>
      </c>
    </row>
    <row r="4494" spans="1:10">
      <c r="A4494" s="1">
        <v>432963</v>
      </c>
      <c r="B4494" s="1">
        <v>4116344604</v>
      </c>
      <c r="C4494" s="1">
        <v>2</v>
      </c>
      <c r="D4494" s="1" t="s">
        <v>2866</v>
      </c>
      <c r="E4494" t="s">
        <v>8693</v>
      </c>
      <c r="F4494" s="1">
        <v>539544</v>
      </c>
      <c r="G4494" s="1">
        <v>3700013849</v>
      </c>
      <c r="H4494" s="1">
        <v>2</v>
      </c>
      <c r="I4494" s="1" t="s">
        <v>8730</v>
      </c>
      <c r="J4494" t="s">
        <v>8731</v>
      </c>
    </row>
    <row r="4495" spans="1:10">
      <c r="A4495" s="1">
        <v>852194</v>
      </c>
      <c r="B4495" s="1">
        <v>4116344602</v>
      </c>
      <c r="C4495" s="1">
        <v>4</v>
      </c>
      <c r="D4495" s="1" t="s">
        <v>8637</v>
      </c>
      <c r="E4495" t="s">
        <v>8694</v>
      </c>
      <c r="F4495" s="1">
        <v>155804</v>
      </c>
      <c r="G4495" s="1">
        <v>3700013844</v>
      </c>
      <c r="H4495" s="1">
        <v>6</v>
      </c>
      <c r="I4495" s="1" t="s">
        <v>8631</v>
      </c>
      <c r="J4495" t="s">
        <v>8732</v>
      </c>
    </row>
    <row r="4496" spans="1:10">
      <c r="A4496" s="1">
        <v>288316</v>
      </c>
      <c r="B4496" s="1">
        <v>4116344603</v>
      </c>
      <c r="C4496" s="1">
        <v>2</v>
      </c>
      <c r="D4496" s="1" t="s">
        <v>2866</v>
      </c>
      <c r="E4496" t="s">
        <v>8695</v>
      </c>
      <c r="F4496" s="1">
        <v>700153</v>
      </c>
      <c r="G4496" s="1">
        <v>3700013808</v>
      </c>
      <c r="H4496" s="1">
        <v>6</v>
      </c>
      <c r="I4496" s="1" t="s">
        <v>8631</v>
      </c>
      <c r="J4496" t="s">
        <v>8733</v>
      </c>
    </row>
    <row r="4497" spans="1:10">
      <c r="A4497" s="1">
        <v>714360</v>
      </c>
      <c r="B4497" s="1">
        <v>4116344601</v>
      </c>
      <c r="C4497" s="1">
        <v>4</v>
      </c>
      <c r="D4497" s="1" t="s">
        <v>8637</v>
      </c>
      <c r="E4497" t="s">
        <v>8696</v>
      </c>
      <c r="F4497" s="1">
        <v>537027</v>
      </c>
      <c r="G4497" s="1">
        <v>3700013817</v>
      </c>
      <c r="H4497" s="1">
        <v>2</v>
      </c>
      <c r="I4497" s="1" t="s">
        <v>8730</v>
      </c>
      <c r="J4497" t="s">
        <v>8734</v>
      </c>
    </row>
    <row r="4498" spans="1:10">
      <c r="A4498" s="1">
        <v>854570</v>
      </c>
      <c r="B4498" s="1">
        <v>4116344597</v>
      </c>
      <c r="C4498" s="1">
        <v>4</v>
      </c>
      <c r="D4498" s="1" t="s">
        <v>8637</v>
      </c>
      <c r="E4498" t="s">
        <v>8697</v>
      </c>
      <c r="F4498" s="1">
        <v>130260</v>
      </c>
      <c r="G4498" s="1">
        <v>3700013816</v>
      </c>
      <c r="H4498" s="1">
        <v>4</v>
      </c>
      <c r="I4498" s="1" t="s">
        <v>8637</v>
      </c>
      <c r="J4498" t="s">
        <v>8735</v>
      </c>
    </row>
    <row r="4499" spans="1:10">
      <c r="A4499" s="1">
        <v>375857</v>
      </c>
      <c r="B4499" s="1">
        <v>4116344599</v>
      </c>
      <c r="C4499" s="1">
        <v>4</v>
      </c>
      <c r="D4499" s="1" t="s">
        <v>8637</v>
      </c>
      <c r="E4499" t="s">
        <v>8698</v>
      </c>
      <c r="F4499" s="1">
        <v>421040</v>
      </c>
      <c r="G4499" s="1">
        <v>3700013794</v>
      </c>
      <c r="H4499" s="1">
        <v>6</v>
      </c>
      <c r="I4499" s="1" t="s">
        <v>8631</v>
      </c>
      <c r="J4499" t="s">
        <v>8736</v>
      </c>
    </row>
    <row r="4500" spans="1:10">
      <c r="A4500" s="1">
        <v>369835</v>
      </c>
      <c r="B4500" s="1">
        <v>4116344598</v>
      </c>
      <c r="C4500" s="1">
        <v>4</v>
      </c>
      <c r="D4500" s="1" t="s">
        <v>8637</v>
      </c>
      <c r="E4500" t="s">
        <v>8699</v>
      </c>
      <c r="F4500" s="1">
        <v>281535</v>
      </c>
      <c r="G4500" s="1">
        <v>3700013755</v>
      </c>
      <c r="H4500" s="1">
        <v>6</v>
      </c>
      <c r="I4500" s="1" t="s">
        <v>8631</v>
      </c>
      <c r="J4500" t="s">
        <v>8737</v>
      </c>
    </row>
    <row r="4501" spans="1:10">
      <c r="A4501" s="1">
        <v>737759</v>
      </c>
      <c r="B4501" s="1">
        <v>4116345066</v>
      </c>
      <c r="C4501" s="1">
        <v>6</v>
      </c>
      <c r="D4501" s="1" t="s">
        <v>8631</v>
      </c>
      <c r="E4501" t="s">
        <v>8700</v>
      </c>
      <c r="F4501" s="1">
        <v>653915</v>
      </c>
      <c r="G4501" s="1">
        <v>3700013747</v>
      </c>
      <c r="H4501" s="1">
        <v>6</v>
      </c>
      <c r="I4501" s="1" t="s">
        <v>8631</v>
      </c>
      <c r="J4501" t="s">
        <v>8738</v>
      </c>
    </row>
    <row r="4502" spans="1:10">
      <c r="A4502" s="1">
        <v>405845</v>
      </c>
      <c r="B4502" s="1">
        <v>4116344593</v>
      </c>
      <c r="C4502" s="1">
        <v>8</v>
      </c>
      <c r="D4502" s="1" t="s">
        <v>8631</v>
      </c>
      <c r="E4502" t="s">
        <v>8701</v>
      </c>
      <c r="F4502" s="1">
        <v>323436</v>
      </c>
      <c r="G4502" s="1">
        <v>3700008875</v>
      </c>
      <c r="H4502" s="1">
        <v>6</v>
      </c>
      <c r="I4502" s="1" t="s">
        <v>8631</v>
      </c>
      <c r="J4502" t="s">
        <v>8739</v>
      </c>
    </row>
    <row r="4503" spans="1:10">
      <c r="A4503" s="1">
        <v>508754</v>
      </c>
      <c r="B4503" s="1">
        <v>4116344595</v>
      </c>
      <c r="C4503" s="1">
        <v>8</v>
      </c>
      <c r="D4503" s="1" t="s">
        <v>8631</v>
      </c>
      <c r="E4503" t="s">
        <v>8702</v>
      </c>
      <c r="F4503" s="1">
        <v>524215</v>
      </c>
      <c r="G4503" s="1">
        <v>3700013827</v>
      </c>
      <c r="H4503" s="1">
        <v>6</v>
      </c>
      <c r="I4503" s="1" t="s">
        <v>8631</v>
      </c>
      <c r="J4503" t="s">
        <v>8740</v>
      </c>
    </row>
    <row r="4504" spans="1:10">
      <c r="A4504" s="1">
        <v>886895</v>
      </c>
      <c r="B4504" s="1">
        <v>4116344596</v>
      </c>
      <c r="C4504" s="1">
        <v>8</v>
      </c>
      <c r="D4504" s="1" t="s">
        <v>8631</v>
      </c>
      <c r="E4504" t="s">
        <v>8703</v>
      </c>
      <c r="F4504" s="1">
        <v>696302</v>
      </c>
      <c r="G4504" s="1">
        <v>3700013830</v>
      </c>
      <c r="H4504" s="1">
        <v>4</v>
      </c>
      <c r="I4504" s="1" t="s">
        <v>8637</v>
      </c>
      <c r="J4504" t="s">
        <v>8741</v>
      </c>
    </row>
    <row r="4505" spans="1:10">
      <c r="A4505" s="1">
        <v>170779</v>
      </c>
      <c r="B4505" s="1">
        <v>4116344594</v>
      </c>
      <c r="C4505" s="1">
        <v>8</v>
      </c>
      <c r="D4505" s="1" t="s">
        <v>8631</v>
      </c>
      <c r="E4505" t="s">
        <v>8704</v>
      </c>
      <c r="F4505" s="1">
        <v>741652</v>
      </c>
      <c r="G4505" s="1">
        <v>3700013899</v>
      </c>
      <c r="H4505" s="1">
        <v>6</v>
      </c>
      <c r="I4505" s="1" t="s">
        <v>8631</v>
      </c>
      <c r="J4505" t="s">
        <v>8742</v>
      </c>
    </row>
    <row r="4506" spans="1:10">
      <c r="A4506" s="1">
        <v>70185</v>
      </c>
      <c r="B4506" s="1">
        <v>4116344592</v>
      </c>
      <c r="C4506" s="1">
        <v>8</v>
      </c>
      <c r="D4506" s="1" t="s">
        <v>8631</v>
      </c>
      <c r="E4506" t="s">
        <v>8705</v>
      </c>
      <c r="F4506" s="1">
        <v>545657</v>
      </c>
      <c r="G4506" s="1">
        <v>3700013902</v>
      </c>
      <c r="H4506" s="1">
        <v>4</v>
      </c>
      <c r="I4506" s="1" t="s">
        <v>8637</v>
      </c>
      <c r="J4506" t="s">
        <v>8743</v>
      </c>
    </row>
    <row r="4507" spans="1:10">
      <c r="A4507" s="1">
        <v>348821</v>
      </c>
      <c r="B4507" s="1">
        <v>3700012880</v>
      </c>
      <c r="C4507" s="1">
        <v>6</v>
      </c>
      <c r="D4507" s="1" t="s">
        <v>2549</v>
      </c>
      <c r="E4507" t="s">
        <v>8706</v>
      </c>
      <c r="F4507" s="1">
        <v>836932</v>
      </c>
      <c r="G4507" s="1">
        <v>3700013800</v>
      </c>
      <c r="H4507" s="1">
        <v>6</v>
      </c>
      <c r="I4507" s="1" t="s">
        <v>8631</v>
      </c>
      <c r="J4507" t="s">
        <v>8744</v>
      </c>
    </row>
    <row r="4508" spans="1:10">
      <c r="A4508" s="1">
        <v>11734</v>
      </c>
      <c r="B4508" s="1">
        <v>2420004784</v>
      </c>
      <c r="C4508" s="1">
        <v>6</v>
      </c>
      <c r="D4508" s="1" t="s">
        <v>8631</v>
      </c>
      <c r="E4508" t="s">
        <v>8707</v>
      </c>
      <c r="F4508" s="1">
        <v>698431</v>
      </c>
      <c r="G4508" s="1">
        <v>3700013878</v>
      </c>
      <c r="H4508" s="1">
        <v>6</v>
      </c>
      <c r="I4508" s="1" t="s">
        <v>8631</v>
      </c>
      <c r="J4508" t="s">
        <v>8745</v>
      </c>
    </row>
    <row r="4509" spans="1:10">
      <c r="A4509" s="1">
        <v>104695</v>
      </c>
      <c r="B4509" s="1">
        <v>2420004783</v>
      </c>
      <c r="C4509" s="1">
        <v>6</v>
      </c>
      <c r="D4509" s="1" t="s">
        <v>8631</v>
      </c>
      <c r="E4509" t="s">
        <v>8708</v>
      </c>
      <c r="F4509" s="1">
        <v>831511</v>
      </c>
      <c r="G4509" s="1">
        <v>3700013882</v>
      </c>
      <c r="H4509" s="1">
        <v>4</v>
      </c>
      <c r="I4509" s="1" t="s">
        <v>8637</v>
      </c>
      <c r="J4509" t="s">
        <v>8746</v>
      </c>
    </row>
    <row r="4510" spans="1:10">
      <c r="A4510" s="1">
        <v>437277</v>
      </c>
      <c r="B4510" s="1">
        <v>2420004782</v>
      </c>
      <c r="C4510" s="1">
        <v>6</v>
      </c>
      <c r="D4510" s="1" t="s">
        <v>8631</v>
      </c>
      <c r="E4510" t="s">
        <v>8709</v>
      </c>
      <c r="F4510" s="1">
        <v>186684</v>
      </c>
      <c r="G4510" s="1">
        <v>3700013870</v>
      </c>
      <c r="H4510" s="1">
        <v>2</v>
      </c>
      <c r="I4510" s="1" t="s">
        <v>8730</v>
      </c>
      <c r="J4510" t="s">
        <v>8747</v>
      </c>
    </row>
    <row r="4511" spans="1:10" ht="15.75">
      <c r="A4511" s="4" t="s">
        <v>10817</v>
      </c>
      <c r="B4511" s="2"/>
      <c r="C4511" s="2"/>
      <c r="D4511" s="2"/>
      <c r="E4511" s="3"/>
      <c r="F4511" s="4" t="s">
        <v>10817</v>
      </c>
      <c r="G4511" s="2"/>
      <c r="H4511" s="2"/>
      <c r="I4511" s="2"/>
      <c r="J4511" s="3"/>
    </row>
    <row r="4512" spans="1:10">
      <c r="A4512" s="2" t="s">
        <v>0</v>
      </c>
      <c r="B4512" s="2" t="s">
        <v>1</v>
      </c>
      <c r="C4512" s="2" t="s">
        <v>2</v>
      </c>
      <c r="D4512" s="2" t="s">
        <v>3</v>
      </c>
      <c r="E4512" s="3" t="s">
        <v>4</v>
      </c>
      <c r="F4512" s="2" t="s">
        <v>0</v>
      </c>
      <c r="G4512" s="2" t="s">
        <v>1</v>
      </c>
      <c r="H4512" s="2" t="s">
        <v>2</v>
      </c>
      <c r="I4512" s="2" t="s">
        <v>3</v>
      </c>
      <c r="J4512" s="3" t="s">
        <v>4</v>
      </c>
    </row>
    <row r="4513" spans="1:10">
      <c r="A4513" s="1">
        <v>441931</v>
      </c>
      <c r="B4513" s="1">
        <v>3700013789</v>
      </c>
      <c r="C4513" s="1">
        <v>4</v>
      </c>
      <c r="D4513" s="1" t="s">
        <v>8637</v>
      </c>
      <c r="E4513" t="s">
        <v>8748</v>
      </c>
      <c r="F4513" s="1">
        <v>574475</v>
      </c>
      <c r="G4513" s="1">
        <v>9451441753</v>
      </c>
      <c r="H4513" s="1">
        <v>4</v>
      </c>
      <c r="I4513" s="1" t="s">
        <v>2746</v>
      </c>
      <c r="J4513" t="s">
        <v>8786</v>
      </c>
    </row>
    <row r="4514" spans="1:10">
      <c r="A4514" s="1">
        <v>146993</v>
      </c>
      <c r="B4514" s="1">
        <v>3700013790</v>
      </c>
      <c r="C4514" s="1">
        <v>2</v>
      </c>
      <c r="D4514" s="1" t="s">
        <v>8730</v>
      </c>
      <c r="E4514" t="s">
        <v>8749</v>
      </c>
      <c r="F4514" s="1">
        <v>506709</v>
      </c>
      <c r="G4514" s="1">
        <v>9451441642</v>
      </c>
      <c r="H4514" s="1">
        <v>6</v>
      </c>
      <c r="I4514" s="1" t="s">
        <v>8719</v>
      </c>
      <c r="J4514" t="s">
        <v>8786</v>
      </c>
    </row>
    <row r="4515" spans="1:10">
      <c r="A4515" s="1">
        <v>443002</v>
      </c>
      <c r="B4515" s="1">
        <v>3700013835</v>
      </c>
      <c r="C4515" s="1">
        <v>4</v>
      </c>
      <c r="D4515" s="1" t="s">
        <v>8637</v>
      </c>
      <c r="E4515" t="s">
        <v>8750</v>
      </c>
      <c r="F4515" s="1">
        <v>378232</v>
      </c>
      <c r="G4515" s="1">
        <v>9451441691</v>
      </c>
      <c r="H4515" s="1">
        <v>6</v>
      </c>
      <c r="I4515" s="1" t="s">
        <v>8648</v>
      </c>
      <c r="J4515" t="s">
        <v>8787</v>
      </c>
    </row>
    <row r="4516" spans="1:10">
      <c r="A4516" s="1">
        <v>366906</v>
      </c>
      <c r="B4516" s="1">
        <v>3700013831</v>
      </c>
      <c r="C4516" s="1">
        <v>6</v>
      </c>
      <c r="D4516" s="1" t="s">
        <v>8631</v>
      </c>
      <c r="E4516" t="s">
        <v>8751</v>
      </c>
      <c r="F4516" s="1">
        <v>123497</v>
      </c>
      <c r="G4516" s="1">
        <v>9451441627</v>
      </c>
      <c r="H4516" s="1">
        <v>6</v>
      </c>
      <c r="I4516" s="1" t="s">
        <v>8719</v>
      </c>
      <c r="J4516" t="s">
        <v>8788</v>
      </c>
    </row>
    <row r="4517" spans="1:10">
      <c r="A4517" s="1">
        <v>700021</v>
      </c>
      <c r="B4517" s="1">
        <v>3700013836</v>
      </c>
      <c r="C4517" s="1">
        <v>2</v>
      </c>
      <c r="D4517" s="1" t="s">
        <v>8730</v>
      </c>
      <c r="E4517" t="s">
        <v>8752</v>
      </c>
      <c r="F4517" s="1">
        <v>556944</v>
      </c>
      <c r="G4517" s="1">
        <v>9451441694</v>
      </c>
      <c r="H4517" s="1">
        <v>6</v>
      </c>
      <c r="I4517" s="1" t="s">
        <v>8648</v>
      </c>
      <c r="J4517" t="s">
        <v>8789</v>
      </c>
    </row>
    <row r="4518" spans="1:10">
      <c r="A4518" s="1">
        <v>366864</v>
      </c>
      <c r="B4518" s="1">
        <v>3700015694</v>
      </c>
      <c r="C4518" s="1">
        <v>4</v>
      </c>
      <c r="D4518" s="1" t="s">
        <v>8637</v>
      </c>
      <c r="E4518" t="s">
        <v>8753</v>
      </c>
      <c r="F4518" s="1">
        <v>565622</v>
      </c>
      <c r="G4518" s="1">
        <v>9451441695</v>
      </c>
      <c r="H4518" s="1">
        <v>6</v>
      </c>
      <c r="I4518" s="1" t="s">
        <v>8648</v>
      </c>
      <c r="J4518" t="s">
        <v>8790</v>
      </c>
    </row>
    <row r="4519" spans="1:10">
      <c r="A4519" s="1">
        <v>44131</v>
      </c>
      <c r="B4519" s="1">
        <v>3700015692</v>
      </c>
      <c r="C4519" s="1">
        <v>6</v>
      </c>
      <c r="D4519" s="1" t="s">
        <v>8631</v>
      </c>
      <c r="E4519" t="s">
        <v>8753</v>
      </c>
      <c r="F4519" s="1">
        <v>444646</v>
      </c>
      <c r="G4519" s="1">
        <v>9451441640</v>
      </c>
      <c r="H4519" s="1">
        <v>6</v>
      </c>
      <c r="I4519" s="1" t="s">
        <v>8719</v>
      </c>
      <c r="J4519" t="s">
        <v>8790</v>
      </c>
    </row>
    <row r="4520" spans="1:10">
      <c r="A4520" s="1">
        <v>226878</v>
      </c>
      <c r="B4520" s="1">
        <v>3700021159</v>
      </c>
      <c r="C4520" s="1">
        <v>4</v>
      </c>
      <c r="D4520" s="1" t="s">
        <v>8637</v>
      </c>
      <c r="E4520" t="s">
        <v>8754</v>
      </c>
      <c r="F4520" s="1">
        <v>127506</v>
      </c>
      <c r="G4520" s="1">
        <v>9451441751</v>
      </c>
      <c r="H4520" s="1">
        <v>4</v>
      </c>
      <c r="I4520" s="1" t="s">
        <v>8730</v>
      </c>
      <c r="J4520" t="s">
        <v>8791</v>
      </c>
    </row>
    <row r="4521" spans="1:10">
      <c r="A4521" s="1">
        <v>176925</v>
      </c>
      <c r="B4521" s="1">
        <v>3700011031</v>
      </c>
      <c r="C4521" s="1">
        <v>4</v>
      </c>
      <c r="D4521" s="1" t="s">
        <v>8637</v>
      </c>
      <c r="E4521" t="s">
        <v>8755</v>
      </c>
      <c r="F4521" s="1">
        <v>582288</v>
      </c>
      <c r="G4521" s="1">
        <v>9451441754</v>
      </c>
      <c r="H4521" s="1">
        <v>4</v>
      </c>
      <c r="I4521" s="1" t="s">
        <v>2746</v>
      </c>
      <c r="J4521" t="s">
        <v>8792</v>
      </c>
    </row>
    <row r="4522" spans="1:10">
      <c r="A4522" s="1">
        <v>750448</v>
      </c>
      <c r="B4522" s="1">
        <v>3700013875</v>
      </c>
      <c r="C4522" s="1">
        <v>6</v>
      </c>
      <c r="D4522" s="1" t="s">
        <v>2549</v>
      </c>
      <c r="E4522" t="s">
        <v>8756</v>
      </c>
      <c r="F4522" s="1">
        <v>274217</v>
      </c>
      <c r="G4522" s="1">
        <v>9451441625</v>
      </c>
      <c r="H4522" s="1">
        <v>6</v>
      </c>
      <c r="I4522" s="1" t="s">
        <v>8719</v>
      </c>
      <c r="J4522" t="s">
        <v>8793</v>
      </c>
    </row>
    <row r="4523" spans="1:10">
      <c r="A4523" s="1">
        <v>372227</v>
      </c>
      <c r="B4523" s="1">
        <v>3700009090</v>
      </c>
      <c r="C4523" s="1">
        <v>4</v>
      </c>
      <c r="D4523" s="1" t="s">
        <v>8637</v>
      </c>
      <c r="E4523" t="s">
        <v>8757</v>
      </c>
      <c r="F4523" s="1">
        <v>528612</v>
      </c>
      <c r="G4523" s="1">
        <v>9451441690</v>
      </c>
      <c r="H4523" s="1">
        <v>6</v>
      </c>
      <c r="I4523" s="1" t="s">
        <v>8648</v>
      </c>
      <c r="J4523" t="s">
        <v>8794</v>
      </c>
    </row>
    <row r="4524" spans="1:10" ht="15.75">
      <c r="A4524" s="1">
        <v>234757</v>
      </c>
      <c r="B4524" s="1">
        <v>3700009119</v>
      </c>
      <c r="C4524" s="1">
        <v>4</v>
      </c>
      <c r="D4524" s="1" t="s">
        <v>8637</v>
      </c>
      <c r="E4524" t="s">
        <v>8758</v>
      </c>
      <c r="F4524" s="4" t="s">
        <v>10818</v>
      </c>
      <c r="G4524" s="2"/>
      <c r="H4524" s="2"/>
      <c r="I4524" s="2"/>
      <c r="J4524" s="3"/>
    </row>
    <row r="4525" spans="1:10">
      <c r="A4525" s="1">
        <v>752071</v>
      </c>
      <c r="B4525" s="1">
        <v>3700008886</v>
      </c>
      <c r="C4525" s="1">
        <v>4</v>
      </c>
      <c r="D4525" s="1" t="s">
        <v>8637</v>
      </c>
      <c r="E4525" t="s">
        <v>8759</v>
      </c>
      <c r="F4525" s="2" t="s">
        <v>0</v>
      </c>
      <c r="G4525" s="2" t="s">
        <v>1</v>
      </c>
      <c r="H4525" s="2" t="s">
        <v>2</v>
      </c>
      <c r="I4525" s="2" t="s">
        <v>3</v>
      </c>
      <c r="J4525" s="3" t="s">
        <v>4</v>
      </c>
    </row>
    <row r="4526" spans="1:10">
      <c r="A4526" s="1">
        <v>672410</v>
      </c>
      <c r="B4526" s="1">
        <v>3700008885</v>
      </c>
      <c r="C4526" s="1">
        <v>4</v>
      </c>
      <c r="D4526" s="1" t="s">
        <v>8637</v>
      </c>
      <c r="E4526" t="s">
        <v>8760</v>
      </c>
      <c r="F4526" s="1">
        <v>842757</v>
      </c>
      <c r="G4526" s="1">
        <v>73291322734</v>
      </c>
      <c r="H4526" s="1">
        <v>12</v>
      </c>
      <c r="I4526" s="1" t="s">
        <v>2549</v>
      </c>
      <c r="J4526" t="s">
        <v>8795</v>
      </c>
    </row>
    <row r="4527" spans="1:10">
      <c r="A4527" s="1">
        <v>770818</v>
      </c>
      <c r="B4527" s="1">
        <v>3700008887</v>
      </c>
      <c r="C4527" s="1">
        <v>4</v>
      </c>
      <c r="D4527" s="1" t="s">
        <v>8637</v>
      </c>
      <c r="E4527" t="s">
        <v>8761</v>
      </c>
      <c r="F4527" s="1">
        <v>577924</v>
      </c>
      <c r="G4527" s="1">
        <v>73291322733</v>
      </c>
      <c r="H4527" s="1">
        <v>12</v>
      </c>
      <c r="I4527" s="1" t="s">
        <v>2549</v>
      </c>
      <c r="J4527" t="s">
        <v>8796</v>
      </c>
    </row>
    <row r="4528" spans="1:10">
      <c r="A4528" s="1">
        <v>162594</v>
      </c>
      <c r="B4528" s="1">
        <v>3700017643</v>
      </c>
      <c r="C4528" s="1">
        <v>6</v>
      </c>
      <c r="D4528" s="1" t="s">
        <v>8631</v>
      </c>
      <c r="E4528" t="s">
        <v>8762</v>
      </c>
      <c r="F4528" s="1">
        <v>330340</v>
      </c>
      <c r="G4528" s="1">
        <v>73291322150</v>
      </c>
      <c r="H4528" s="1">
        <v>12</v>
      </c>
      <c r="I4528" s="1" t="s">
        <v>697</v>
      </c>
      <c r="J4528" t="s">
        <v>8797</v>
      </c>
    </row>
    <row r="4529" spans="1:10">
      <c r="A4529" s="1">
        <v>341628</v>
      </c>
      <c r="B4529" s="1">
        <v>3700013784</v>
      </c>
      <c r="C4529" s="1">
        <v>6</v>
      </c>
      <c r="D4529" s="1" t="s">
        <v>2549</v>
      </c>
      <c r="E4529" t="s">
        <v>8763</v>
      </c>
      <c r="F4529" s="1">
        <v>210120</v>
      </c>
      <c r="G4529" s="1">
        <v>3500000839</v>
      </c>
      <c r="H4529" s="1">
        <v>24</v>
      </c>
      <c r="I4529" s="1" t="s">
        <v>1191</v>
      </c>
      <c r="J4529" t="s">
        <v>8798</v>
      </c>
    </row>
    <row r="4530" spans="1:10">
      <c r="A4530" s="1">
        <v>358382</v>
      </c>
      <c r="B4530" s="1">
        <v>3700017645</v>
      </c>
      <c r="C4530" s="1">
        <v>4</v>
      </c>
      <c r="D4530" s="1" t="s">
        <v>8637</v>
      </c>
      <c r="E4530" t="s">
        <v>8764</v>
      </c>
      <c r="F4530" s="1">
        <v>605352</v>
      </c>
      <c r="G4530" s="1">
        <v>3500049840</v>
      </c>
      <c r="H4530" s="1">
        <v>24</v>
      </c>
      <c r="I4530" s="1" t="s">
        <v>1191</v>
      </c>
      <c r="J4530" t="s">
        <v>8799</v>
      </c>
    </row>
    <row r="4531" spans="1:10">
      <c r="A4531" s="1">
        <v>774299</v>
      </c>
      <c r="B4531" s="1">
        <v>3700017650</v>
      </c>
      <c r="C4531" s="1">
        <v>4</v>
      </c>
      <c r="D4531" s="1" t="s">
        <v>8637</v>
      </c>
      <c r="E4531" t="s">
        <v>8765</v>
      </c>
      <c r="F4531" s="1">
        <v>419283</v>
      </c>
      <c r="G4531" s="1">
        <v>3500044612</v>
      </c>
      <c r="H4531" s="1">
        <v>9</v>
      </c>
      <c r="I4531" s="1" t="s">
        <v>2947</v>
      </c>
      <c r="J4531" t="s">
        <v>8800</v>
      </c>
    </row>
    <row r="4532" spans="1:10">
      <c r="A4532" s="1">
        <v>406959</v>
      </c>
      <c r="B4532" s="1">
        <v>3700017641</v>
      </c>
      <c r="C4532" s="1">
        <v>2</v>
      </c>
      <c r="D4532" s="1" t="s">
        <v>8730</v>
      </c>
      <c r="E4532" t="s">
        <v>8766</v>
      </c>
      <c r="F4532" s="1">
        <v>149591</v>
      </c>
      <c r="G4532" s="1">
        <v>3700000072</v>
      </c>
      <c r="H4532" s="1">
        <v>25</v>
      </c>
      <c r="I4532" s="1" t="s">
        <v>2311</v>
      </c>
      <c r="J4532" t="s">
        <v>8801</v>
      </c>
    </row>
    <row r="4533" spans="1:10">
      <c r="A4533" s="1">
        <v>782656</v>
      </c>
      <c r="B4533" s="1">
        <v>3700017638</v>
      </c>
      <c r="C4533" s="1">
        <v>6</v>
      </c>
      <c r="D4533" s="1" t="s">
        <v>8631</v>
      </c>
      <c r="E4533" t="s">
        <v>8767</v>
      </c>
      <c r="F4533" s="1">
        <v>665026</v>
      </c>
      <c r="G4533" s="1">
        <v>3700000177</v>
      </c>
      <c r="H4533" s="1">
        <v>18</v>
      </c>
      <c r="I4533" s="1" t="s">
        <v>8802</v>
      </c>
      <c r="J4533" t="s">
        <v>8803</v>
      </c>
    </row>
    <row r="4534" spans="1:10">
      <c r="A4534" s="1">
        <v>252098</v>
      </c>
      <c r="B4534" s="1">
        <v>3700017640</v>
      </c>
      <c r="C4534" s="1">
        <v>4</v>
      </c>
      <c r="D4534" s="1" t="s">
        <v>8637</v>
      </c>
      <c r="E4534" t="s">
        <v>8768</v>
      </c>
      <c r="F4534" s="1">
        <v>135962</v>
      </c>
      <c r="G4534" s="1">
        <v>3700022422</v>
      </c>
      <c r="H4534" s="1">
        <v>12</v>
      </c>
      <c r="I4534" s="1" t="s">
        <v>8804</v>
      </c>
      <c r="J4534" t="s">
        <v>8805</v>
      </c>
    </row>
    <row r="4535" spans="1:10">
      <c r="A4535" s="1">
        <v>668343</v>
      </c>
      <c r="B4535" s="1">
        <v>3700013865</v>
      </c>
      <c r="C4535" s="1">
        <v>4</v>
      </c>
      <c r="D4535" s="1" t="s">
        <v>8769</v>
      </c>
      <c r="E4535" t="s">
        <v>8770</v>
      </c>
      <c r="F4535" s="1">
        <v>886051</v>
      </c>
      <c r="G4535" s="1">
        <v>3700022419</v>
      </c>
      <c r="H4535" s="1">
        <v>12</v>
      </c>
      <c r="I4535" s="1" t="s">
        <v>8804</v>
      </c>
      <c r="J4535" t="s">
        <v>8806</v>
      </c>
    </row>
    <row r="4536" spans="1:10">
      <c r="A4536" s="1">
        <v>485920</v>
      </c>
      <c r="B4536" s="1">
        <v>3700013846</v>
      </c>
      <c r="C4536" s="1">
        <v>4</v>
      </c>
      <c r="D4536" s="1" t="s">
        <v>8769</v>
      </c>
      <c r="E4536" t="s">
        <v>8771</v>
      </c>
      <c r="F4536" s="1">
        <v>500967</v>
      </c>
      <c r="G4536" s="1">
        <v>3700022421</v>
      </c>
      <c r="H4536" s="1">
        <v>12</v>
      </c>
      <c r="I4536" s="1" t="s">
        <v>8804</v>
      </c>
      <c r="J4536" t="s">
        <v>8807</v>
      </c>
    </row>
    <row r="4537" spans="1:10">
      <c r="A4537" s="1">
        <v>755280</v>
      </c>
      <c r="B4537" s="1">
        <v>3700013758</v>
      </c>
      <c r="C4537" s="1">
        <v>4</v>
      </c>
      <c r="D4537" s="1" t="s">
        <v>8769</v>
      </c>
      <c r="E4537" t="s">
        <v>8772</v>
      </c>
      <c r="F4537" s="1">
        <v>205278</v>
      </c>
      <c r="G4537" s="1">
        <v>3700000178</v>
      </c>
      <c r="H4537" s="1">
        <v>18</v>
      </c>
      <c r="I4537" s="1" t="s">
        <v>8802</v>
      </c>
      <c r="J4537" t="s">
        <v>8808</v>
      </c>
    </row>
    <row r="4538" spans="1:10">
      <c r="A4538" s="1">
        <v>192641</v>
      </c>
      <c r="B4538" s="1">
        <v>3700013833</v>
      </c>
      <c r="C4538" s="1">
        <v>4</v>
      </c>
      <c r="D4538" s="1" t="s">
        <v>8769</v>
      </c>
      <c r="E4538" t="s">
        <v>8773</v>
      </c>
      <c r="F4538" s="1">
        <v>760538</v>
      </c>
      <c r="G4538" s="1">
        <v>3700000080</v>
      </c>
      <c r="H4538" s="1">
        <v>25</v>
      </c>
      <c r="I4538" s="1" t="s">
        <v>2311</v>
      </c>
      <c r="J4538" t="s">
        <v>8808</v>
      </c>
    </row>
    <row r="4539" spans="1:10">
      <c r="A4539" s="1">
        <v>202994</v>
      </c>
      <c r="B4539" s="1">
        <v>3700015701</v>
      </c>
      <c r="C4539" s="1">
        <v>4</v>
      </c>
      <c r="D4539" s="1" t="s">
        <v>8769</v>
      </c>
      <c r="E4539" t="s">
        <v>8774</v>
      </c>
      <c r="F4539" s="1">
        <v>270686</v>
      </c>
      <c r="G4539" s="1">
        <v>3700042902</v>
      </c>
      <c r="H4539" s="1">
        <v>8</v>
      </c>
      <c r="I4539" s="1" t="s">
        <v>8809</v>
      </c>
      <c r="J4539" t="s">
        <v>8808</v>
      </c>
    </row>
    <row r="4540" spans="1:10">
      <c r="A4540" s="1">
        <v>881185</v>
      </c>
      <c r="B4540" s="1">
        <v>3700017639</v>
      </c>
      <c r="C4540" s="1">
        <v>4</v>
      </c>
      <c r="D4540" s="1" t="s">
        <v>8769</v>
      </c>
      <c r="E4540" t="s">
        <v>8775</v>
      </c>
      <c r="F4540" s="1">
        <v>264580</v>
      </c>
      <c r="G4540" s="1">
        <v>3700000632</v>
      </c>
      <c r="H4540" s="1">
        <v>10</v>
      </c>
      <c r="I4540" s="1" t="s">
        <v>8810</v>
      </c>
      <c r="J4540" t="s">
        <v>8811</v>
      </c>
    </row>
    <row r="4541" spans="1:10">
      <c r="A4541" s="1">
        <v>574780</v>
      </c>
      <c r="B4541" s="1">
        <v>1111128003</v>
      </c>
      <c r="C4541" s="1">
        <v>4</v>
      </c>
      <c r="D4541" s="1" t="s">
        <v>8637</v>
      </c>
      <c r="E4541" t="s">
        <v>8776</v>
      </c>
      <c r="F4541" s="1">
        <v>547992</v>
      </c>
      <c r="G4541" s="1">
        <v>3700022202</v>
      </c>
      <c r="H4541" s="1">
        <v>10</v>
      </c>
      <c r="I4541" s="1" t="s">
        <v>439</v>
      </c>
      <c r="J4541" t="s">
        <v>8812</v>
      </c>
    </row>
    <row r="4542" spans="1:10">
      <c r="A4542" s="1">
        <v>759928</v>
      </c>
      <c r="B4542" s="1">
        <v>1111128005</v>
      </c>
      <c r="C4542" s="1">
        <v>4</v>
      </c>
      <c r="D4542" s="1" t="s">
        <v>8637</v>
      </c>
      <c r="E4542" t="s">
        <v>8777</v>
      </c>
      <c r="F4542" s="1">
        <v>810291</v>
      </c>
      <c r="G4542" s="1">
        <v>3700022206</v>
      </c>
      <c r="H4542" s="1">
        <v>10</v>
      </c>
      <c r="I4542" s="1" t="s">
        <v>439</v>
      </c>
      <c r="J4542" t="s">
        <v>8813</v>
      </c>
    </row>
    <row r="4543" spans="1:10">
      <c r="A4543" s="1">
        <v>353870</v>
      </c>
      <c r="B4543" s="1">
        <v>1111128000</v>
      </c>
      <c r="C4543" s="1">
        <v>6</v>
      </c>
      <c r="D4543" s="1" t="s">
        <v>8631</v>
      </c>
      <c r="E4543" t="s">
        <v>8778</v>
      </c>
      <c r="F4543" s="1">
        <v>22749</v>
      </c>
      <c r="G4543" s="1">
        <v>3700022193</v>
      </c>
      <c r="H4543" s="1">
        <v>10</v>
      </c>
      <c r="I4543" s="1" t="s">
        <v>8814</v>
      </c>
      <c r="J4543" t="s">
        <v>8815</v>
      </c>
    </row>
    <row r="4544" spans="1:10">
      <c r="A4544" s="1">
        <v>123059</v>
      </c>
      <c r="B4544" s="1">
        <v>1111128001</v>
      </c>
      <c r="C4544" s="1">
        <v>6</v>
      </c>
      <c r="D4544" s="1" t="s">
        <v>8631</v>
      </c>
      <c r="E4544" t="s">
        <v>8779</v>
      </c>
      <c r="F4544" s="1">
        <v>850669</v>
      </c>
      <c r="G4544" s="1">
        <v>3700022194</v>
      </c>
      <c r="H4544" s="1">
        <v>10</v>
      </c>
      <c r="I4544" s="1" t="s">
        <v>8814</v>
      </c>
      <c r="J4544" t="s">
        <v>8816</v>
      </c>
    </row>
    <row r="4545" spans="1:10">
      <c r="A4545" s="1">
        <v>463752</v>
      </c>
      <c r="B4545" s="1">
        <v>1111128002</v>
      </c>
      <c r="C4545" s="1">
        <v>6</v>
      </c>
      <c r="D4545" s="1" t="s">
        <v>8631</v>
      </c>
      <c r="E4545" t="s">
        <v>8780</v>
      </c>
      <c r="F4545" s="1">
        <v>131318</v>
      </c>
      <c r="G4545" s="1">
        <v>3700022195</v>
      </c>
      <c r="H4545" s="1">
        <v>10</v>
      </c>
      <c r="I4545" s="1" t="s">
        <v>8814</v>
      </c>
      <c r="J4545" t="s">
        <v>8817</v>
      </c>
    </row>
    <row r="4546" spans="1:10">
      <c r="A4546" s="1">
        <v>267336</v>
      </c>
      <c r="B4546" s="1">
        <v>6233876974</v>
      </c>
      <c r="C4546" s="1">
        <v>6</v>
      </c>
      <c r="D4546" s="1" t="s">
        <v>8631</v>
      </c>
      <c r="E4546" t="s">
        <v>8781</v>
      </c>
      <c r="F4546" s="1">
        <v>105312</v>
      </c>
      <c r="G4546" s="1">
        <v>3700022205</v>
      </c>
      <c r="H4546" s="1">
        <v>10</v>
      </c>
      <c r="I4546" s="1" t="s">
        <v>439</v>
      </c>
      <c r="J4546" t="s">
        <v>8818</v>
      </c>
    </row>
    <row r="4547" spans="1:10">
      <c r="A4547" s="1">
        <v>899005</v>
      </c>
      <c r="B4547" s="1">
        <v>6233880939</v>
      </c>
      <c r="C4547" s="1">
        <v>6</v>
      </c>
      <c r="D4547" s="1" t="s">
        <v>8631</v>
      </c>
      <c r="E4547" t="s">
        <v>8782</v>
      </c>
      <c r="F4547" s="1">
        <v>273078</v>
      </c>
      <c r="G4547" s="1">
        <v>3700022200</v>
      </c>
      <c r="H4547" s="1">
        <v>10</v>
      </c>
      <c r="I4547" s="1" t="s">
        <v>8814</v>
      </c>
      <c r="J4547" t="s">
        <v>8819</v>
      </c>
    </row>
    <row r="4548" spans="1:10">
      <c r="A4548" s="1">
        <v>241398</v>
      </c>
      <c r="B4548" s="1">
        <v>6233877940</v>
      </c>
      <c r="C4548" s="1">
        <v>6</v>
      </c>
      <c r="D4548" s="1" t="s">
        <v>8631</v>
      </c>
      <c r="E4548" t="s">
        <v>8783</v>
      </c>
      <c r="F4548" s="1">
        <v>521252</v>
      </c>
      <c r="G4548" s="1">
        <v>3700022201</v>
      </c>
      <c r="H4548" s="1">
        <v>10</v>
      </c>
      <c r="I4548" s="1" t="s">
        <v>574</v>
      </c>
      <c r="J4548" t="s">
        <v>8820</v>
      </c>
    </row>
    <row r="4549" spans="1:10">
      <c r="A4549" s="1">
        <v>269738</v>
      </c>
      <c r="B4549" s="1">
        <v>6233806130</v>
      </c>
      <c r="C4549" s="1">
        <v>12</v>
      </c>
      <c r="D4549" s="1" t="s">
        <v>1191</v>
      </c>
      <c r="E4549" t="s">
        <v>8784</v>
      </c>
      <c r="F4549" s="1">
        <v>610048</v>
      </c>
      <c r="G4549" s="1">
        <v>3700022207</v>
      </c>
      <c r="H4549" s="1">
        <v>10</v>
      </c>
      <c r="I4549" s="1" t="s">
        <v>8814</v>
      </c>
      <c r="J4549" t="s">
        <v>8821</v>
      </c>
    </row>
    <row r="4550" spans="1:10">
      <c r="A4550" s="1">
        <v>180208</v>
      </c>
      <c r="B4550" s="1">
        <v>9451441693</v>
      </c>
      <c r="C4550" s="1">
        <v>6</v>
      </c>
      <c r="D4550" s="1" t="s">
        <v>8648</v>
      </c>
      <c r="E4550" t="s">
        <v>8785</v>
      </c>
      <c r="F4550" s="1">
        <v>594952</v>
      </c>
      <c r="G4550" s="1">
        <v>3700022208</v>
      </c>
      <c r="H4550" s="1">
        <v>10</v>
      </c>
      <c r="I4550" s="1" t="s">
        <v>8814</v>
      </c>
      <c r="J4550" t="s">
        <v>8822</v>
      </c>
    </row>
    <row r="4551" spans="1:10">
      <c r="A4551" s="1">
        <v>349373</v>
      </c>
      <c r="B4551" s="1">
        <v>9451441626</v>
      </c>
      <c r="C4551" s="1">
        <v>6</v>
      </c>
      <c r="D4551" s="1" t="s">
        <v>8719</v>
      </c>
      <c r="E4551" t="s">
        <v>8785</v>
      </c>
      <c r="F4551" s="1">
        <v>133504</v>
      </c>
      <c r="G4551" s="1">
        <v>3700022196</v>
      </c>
      <c r="H4551" s="1">
        <v>10</v>
      </c>
      <c r="I4551" s="1" t="s">
        <v>8814</v>
      </c>
      <c r="J4551" t="s">
        <v>8823</v>
      </c>
    </row>
    <row r="4552" spans="1:10" ht="15.75">
      <c r="A4552" s="4" t="s">
        <v>10818</v>
      </c>
      <c r="B4552" s="2"/>
      <c r="C4552" s="2"/>
      <c r="D4552" s="2"/>
      <c r="E4552" s="3"/>
      <c r="F4552" s="4" t="s">
        <v>10818</v>
      </c>
      <c r="G4552" s="2"/>
      <c r="H4552" s="2"/>
      <c r="I4552" s="2"/>
      <c r="J4552" s="3"/>
    </row>
    <row r="4553" spans="1:10">
      <c r="A4553" s="2" t="s">
        <v>0</v>
      </c>
      <c r="B4553" s="2" t="s">
        <v>1</v>
      </c>
      <c r="C4553" s="2" t="s">
        <v>2</v>
      </c>
      <c r="D4553" s="2" t="s">
        <v>3</v>
      </c>
      <c r="E4553" s="3" t="s">
        <v>4</v>
      </c>
      <c r="F4553" s="2" t="s">
        <v>0</v>
      </c>
      <c r="G4553" s="2" t="s">
        <v>1</v>
      </c>
      <c r="H4553" s="2" t="s">
        <v>2</v>
      </c>
      <c r="I4553" s="2" t="s">
        <v>3</v>
      </c>
      <c r="J4553" s="3" t="s">
        <v>4</v>
      </c>
    </row>
    <row r="4554" spans="1:10">
      <c r="A4554" s="1">
        <v>122887</v>
      </c>
      <c r="B4554" s="1">
        <v>3700022199</v>
      </c>
      <c r="C4554" s="1">
        <v>10</v>
      </c>
      <c r="D4554" s="1" t="s">
        <v>574</v>
      </c>
      <c r="E4554" t="s">
        <v>8824</v>
      </c>
      <c r="F4554" s="1">
        <v>497917</v>
      </c>
      <c r="G4554" s="1">
        <v>4113030612</v>
      </c>
      <c r="H4554" s="1">
        <v>12</v>
      </c>
      <c r="I4554" s="1" t="s">
        <v>2549</v>
      </c>
      <c r="J4554" t="s">
        <v>8863</v>
      </c>
    </row>
    <row r="4555" spans="1:10">
      <c r="A4555" s="1">
        <v>257501</v>
      </c>
      <c r="B4555" s="1">
        <v>3700022203</v>
      </c>
      <c r="C4555" s="1">
        <v>10</v>
      </c>
      <c r="D4555" s="1" t="s">
        <v>2557</v>
      </c>
      <c r="E4555" t="s">
        <v>8825</v>
      </c>
      <c r="F4555" s="1">
        <v>216036</v>
      </c>
      <c r="G4555" s="1">
        <v>88596743419</v>
      </c>
      <c r="H4555" s="1">
        <v>20</v>
      </c>
      <c r="I4555" s="1" t="s">
        <v>8814</v>
      </c>
      <c r="J4555" t="s">
        <v>8864</v>
      </c>
    </row>
    <row r="4556" spans="1:10">
      <c r="A4556" s="1">
        <v>68965</v>
      </c>
      <c r="B4556" s="1">
        <v>3700022198</v>
      </c>
      <c r="C4556" s="1">
        <v>10</v>
      </c>
      <c r="D4556" s="1" t="s">
        <v>8814</v>
      </c>
      <c r="E4556" t="s">
        <v>8826</v>
      </c>
      <c r="F4556" s="1">
        <v>266429</v>
      </c>
      <c r="G4556" s="1">
        <v>7261315000</v>
      </c>
      <c r="H4556" s="1">
        <v>12</v>
      </c>
      <c r="I4556" s="1" t="s">
        <v>2549</v>
      </c>
      <c r="J4556" t="s">
        <v>8865</v>
      </c>
    </row>
    <row r="4557" spans="1:10" ht="15.75">
      <c r="A4557" s="1">
        <v>890921</v>
      </c>
      <c r="B4557" s="1">
        <v>4460030168</v>
      </c>
      <c r="C4557" s="1">
        <v>12</v>
      </c>
      <c r="D4557" s="1" t="s">
        <v>7504</v>
      </c>
      <c r="E4557" t="s">
        <v>8827</v>
      </c>
      <c r="F4557" s="4" t="s">
        <v>10819</v>
      </c>
      <c r="G4557" s="2"/>
      <c r="H4557" s="2"/>
      <c r="I4557" s="2"/>
      <c r="J4557" s="3"/>
    </row>
    <row r="4558" spans="1:10">
      <c r="A4558" s="1">
        <v>386698</v>
      </c>
      <c r="B4558" s="1">
        <v>4460030172</v>
      </c>
      <c r="C4558" s="1">
        <v>12</v>
      </c>
      <c r="D4558" s="1" t="s">
        <v>7504</v>
      </c>
      <c r="E4558" t="s">
        <v>8828</v>
      </c>
      <c r="F4558" s="2" t="s">
        <v>0</v>
      </c>
      <c r="G4558" s="2" t="s">
        <v>1</v>
      </c>
      <c r="H4558" s="2" t="s">
        <v>2</v>
      </c>
      <c r="I4558" s="2" t="s">
        <v>3</v>
      </c>
      <c r="J4558" s="3" t="s">
        <v>4</v>
      </c>
    </row>
    <row r="4559" spans="1:10">
      <c r="A4559" s="1">
        <v>399162</v>
      </c>
      <c r="B4559" s="1">
        <v>4460030170</v>
      </c>
      <c r="C4559" s="1">
        <v>12</v>
      </c>
      <c r="D4559" s="1" t="s">
        <v>7504</v>
      </c>
      <c r="E4559" t="s">
        <v>8829</v>
      </c>
      <c r="F4559" s="1">
        <v>367102</v>
      </c>
      <c r="G4559" s="1">
        <v>1111100793</v>
      </c>
      <c r="H4559" s="1">
        <v>4</v>
      </c>
      <c r="I4559" s="1" t="s">
        <v>8</v>
      </c>
      <c r="J4559" t="s">
        <v>8868</v>
      </c>
    </row>
    <row r="4560" spans="1:10">
      <c r="A4560" s="1">
        <v>852475</v>
      </c>
      <c r="B4560" s="1">
        <v>4460030169</v>
      </c>
      <c r="C4560" s="1">
        <v>12</v>
      </c>
      <c r="D4560" s="1" t="s">
        <v>7504</v>
      </c>
      <c r="E4560" t="s">
        <v>8830</v>
      </c>
      <c r="F4560" s="1">
        <v>592600</v>
      </c>
      <c r="G4560" s="1">
        <v>1111139234</v>
      </c>
      <c r="H4560" s="1">
        <v>6</v>
      </c>
      <c r="I4560" s="1" t="s">
        <v>2303</v>
      </c>
      <c r="J4560" t="s">
        <v>8869</v>
      </c>
    </row>
    <row r="4561" spans="1:10">
      <c r="A4561" s="1">
        <v>528018</v>
      </c>
      <c r="B4561" s="1">
        <v>4460030171</v>
      </c>
      <c r="C4561" s="1">
        <v>12</v>
      </c>
      <c r="D4561" s="1" t="s">
        <v>7504</v>
      </c>
      <c r="E4561" t="s">
        <v>8831</v>
      </c>
      <c r="F4561" s="1">
        <v>597864</v>
      </c>
      <c r="G4561" s="1">
        <v>1111102480</v>
      </c>
      <c r="H4561" s="1">
        <v>6</v>
      </c>
      <c r="I4561" s="1" t="s">
        <v>2303</v>
      </c>
      <c r="J4561" t="s">
        <v>8870</v>
      </c>
    </row>
    <row r="4562" spans="1:10">
      <c r="A4562" s="1">
        <v>316489</v>
      </c>
      <c r="B4562" s="1">
        <v>4116344698</v>
      </c>
      <c r="C4562" s="1">
        <v>12</v>
      </c>
      <c r="D4562" s="1" t="s">
        <v>4904</v>
      </c>
      <c r="E4562" t="s">
        <v>8832</v>
      </c>
      <c r="F4562" s="1">
        <v>205062</v>
      </c>
      <c r="G4562" s="1">
        <v>1111178005</v>
      </c>
      <c r="H4562" s="1">
        <v>6</v>
      </c>
      <c r="I4562" s="1" t="s">
        <v>2303</v>
      </c>
      <c r="J4562" t="s">
        <v>8871</v>
      </c>
    </row>
    <row r="4563" spans="1:10">
      <c r="A4563" s="1">
        <v>492520</v>
      </c>
      <c r="B4563" s="1">
        <v>4116344695</v>
      </c>
      <c r="C4563" s="1">
        <v>12</v>
      </c>
      <c r="D4563" s="1" t="s">
        <v>4904</v>
      </c>
      <c r="E4563" t="s">
        <v>8833</v>
      </c>
      <c r="F4563" s="1">
        <v>205088</v>
      </c>
      <c r="G4563" s="1">
        <v>1111178001</v>
      </c>
      <c r="H4563" s="1">
        <v>6</v>
      </c>
      <c r="I4563" s="1" t="s">
        <v>2303</v>
      </c>
      <c r="J4563" t="s">
        <v>8872</v>
      </c>
    </row>
    <row r="4564" spans="1:10">
      <c r="A4564" s="1">
        <v>97824</v>
      </c>
      <c r="B4564" s="1">
        <v>4116344696</v>
      </c>
      <c r="C4564" s="1">
        <v>12</v>
      </c>
      <c r="D4564" s="1" t="s">
        <v>4904</v>
      </c>
      <c r="E4564" t="s">
        <v>8834</v>
      </c>
      <c r="F4564" s="1">
        <v>428979</v>
      </c>
      <c r="G4564" s="1">
        <v>1111139113</v>
      </c>
      <c r="H4564" s="1">
        <v>6</v>
      </c>
      <c r="I4564" s="1" t="s">
        <v>347</v>
      </c>
      <c r="J4564" t="s">
        <v>8873</v>
      </c>
    </row>
    <row r="4565" spans="1:10">
      <c r="A4565" s="1">
        <v>205948</v>
      </c>
      <c r="B4565" s="1">
        <v>4116344697</v>
      </c>
      <c r="C4565" s="1">
        <v>12</v>
      </c>
      <c r="D4565" s="1" t="s">
        <v>4904</v>
      </c>
      <c r="E4565" t="s">
        <v>8835</v>
      </c>
      <c r="F4565" s="1">
        <v>185025</v>
      </c>
      <c r="G4565" s="1">
        <v>1111135712</v>
      </c>
      <c r="H4565" s="1">
        <v>6</v>
      </c>
      <c r="I4565" s="1" t="s">
        <v>2303</v>
      </c>
      <c r="J4565" t="s">
        <v>8874</v>
      </c>
    </row>
    <row r="4566" spans="1:10">
      <c r="A4566" s="1">
        <v>768150</v>
      </c>
      <c r="B4566" s="1">
        <v>4116344699</v>
      </c>
      <c r="C4566" s="1">
        <v>12</v>
      </c>
      <c r="D4566" s="1" t="s">
        <v>4904</v>
      </c>
      <c r="E4566" t="s">
        <v>8836</v>
      </c>
      <c r="F4566" s="1">
        <v>205047</v>
      </c>
      <c r="G4566" s="1">
        <v>1111178009</v>
      </c>
      <c r="H4566" s="1">
        <v>6</v>
      </c>
      <c r="I4566" s="1" t="s">
        <v>2303</v>
      </c>
      <c r="J4566" t="s">
        <v>8875</v>
      </c>
    </row>
    <row r="4567" spans="1:10">
      <c r="A4567" s="1">
        <v>531798</v>
      </c>
      <c r="B4567" s="1">
        <v>4116344694</v>
      </c>
      <c r="C4567" s="1">
        <v>12</v>
      </c>
      <c r="D4567" s="1" t="s">
        <v>4904</v>
      </c>
      <c r="E4567" t="s">
        <v>8837</v>
      </c>
      <c r="F4567" s="1">
        <v>221622</v>
      </c>
      <c r="G4567" s="1">
        <v>1111135235</v>
      </c>
      <c r="H4567" s="1">
        <v>6</v>
      </c>
      <c r="I4567" s="1" t="s">
        <v>2826</v>
      </c>
      <c r="J4567" t="s">
        <v>8876</v>
      </c>
    </row>
    <row r="4568" spans="1:10">
      <c r="A4568" s="1">
        <v>466904</v>
      </c>
      <c r="B4568" s="1">
        <v>3700011096</v>
      </c>
      <c r="C4568" s="1">
        <v>10</v>
      </c>
      <c r="D4568" s="1" t="s">
        <v>7812</v>
      </c>
      <c r="E4568" t="s">
        <v>8838</v>
      </c>
      <c r="F4568" s="1">
        <v>210690</v>
      </c>
      <c r="G4568" s="1">
        <v>1111101490</v>
      </c>
      <c r="H4568" s="1">
        <v>6</v>
      </c>
      <c r="I4568" s="1" t="s">
        <v>7808</v>
      </c>
      <c r="J4568" t="s">
        <v>8877</v>
      </c>
    </row>
    <row r="4569" spans="1:10">
      <c r="A4569" s="1">
        <v>448803</v>
      </c>
      <c r="B4569" s="1">
        <v>3700011094</v>
      </c>
      <c r="C4569" s="1">
        <v>10</v>
      </c>
      <c r="D4569" s="1" t="s">
        <v>7812</v>
      </c>
      <c r="E4569" t="s">
        <v>8839</v>
      </c>
      <c r="F4569" s="1">
        <v>500785</v>
      </c>
      <c r="G4569" s="1">
        <v>4589310561</v>
      </c>
      <c r="H4569" s="1">
        <v>6</v>
      </c>
      <c r="I4569" s="1" t="s">
        <v>7808</v>
      </c>
      <c r="J4569" t="s">
        <v>8878</v>
      </c>
    </row>
    <row r="4570" spans="1:10">
      <c r="A4570" s="1">
        <v>265942</v>
      </c>
      <c r="B4570" s="1">
        <v>3700000620</v>
      </c>
      <c r="C4570" s="1">
        <v>25</v>
      </c>
      <c r="D4570" s="1" t="s">
        <v>2845</v>
      </c>
      <c r="E4570" t="s">
        <v>8840</v>
      </c>
      <c r="F4570" s="1">
        <v>742882</v>
      </c>
      <c r="G4570" s="1">
        <v>1700004646</v>
      </c>
      <c r="H4570" s="1">
        <v>6</v>
      </c>
      <c r="I4570" s="1" t="s">
        <v>1191</v>
      </c>
      <c r="J4570" t="s">
        <v>8879</v>
      </c>
    </row>
    <row r="4571" spans="1:10">
      <c r="A4571" s="1">
        <v>530212</v>
      </c>
      <c r="B4571" s="1">
        <v>3700011090</v>
      </c>
      <c r="C4571" s="1">
        <v>10</v>
      </c>
      <c r="D4571" s="1" t="s">
        <v>7812</v>
      </c>
      <c r="E4571" t="s">
        <v>8841</v>
      </c>
      <c r="F4571" s="1">
        <v>385815</v>
      </c>
      <c r="G4571" s="1">
        <v>1700002984</v>
      </c>
      <c r="H4571" s="1">
        <v>8</v>
      </c>
      <c r="I4571" s="1" t="s">
        <v>8880</v>
      </c>
      <c r="J4571" t="s">
        <v>8881</v>
      </c>
    </row>
    <row r="4572" spans="1:10">
      <c r="A4572" s="1">
        <v>257915</v>
      </c>
      <c r="B4572" s="1">
        <v>3700000616</v>
      </c>
      <c r="C4572" s="1">
        <v>25</v>
      </c>
      <c r="D4572" s="1" t="s">
        <v>2845</v>
      </c>
      <c r="E4572" t="s">
        <v>8842</v>
      </c>
      <c r="F4572" s="1">
        <v>218099</v>
      </c>
      <c r="G4572" s="1">
        <v>1700002725</v>
      </c>
      <c r="H4572" s="1">
        <v>8</v>
      </c>
      <c r="I4572" s="1" t="s">
        <v>358</v>
      </c>
      <c r="J4572" t="s">
        <v>8882</v>
      </c>
    </row>
    <row r="4573" spans="1:10">
      <c r="A4573" s="1">
        <v>267591</v>
      </c>
      <c r="B4573" s="1">
        <v>3700000614</v>
      </c>
      <c r="C4573" s="1">
        <v>25</v>
      </c>
      <c r="D4573" s="1" t="s">
        <v>2845</v>
      </c>
      <c r="E4573" t="s">
        <v>8843</v>
      </c>
      <c r="F4573" s="1">
        <v>515569</v>
      </c>
      <c r="G4573" s="1">
        <v>1700002523</v>
      </c>
      <c r="H4573" s="1">
        <v>4</v>
      </c>
      <c r="I4573" s="1" t="s">
        <v>553</v>
      </c>
      <c r="J4573" t="s">
        <v>8883</v>
      </c>
    </row>
    <row r="4574" spans="1:10">
      <c r="A4574" s="1">
        <v>881524</v>
      </c>
      <c r="B4574" s="1">
        <v>3700017098</v>
      </c>
      <c r="C4574" s="1">
        <v>10</v>
      </c>
      <c r="D4574" s="1" t="s">
        <v>7812</v>
      </c>
      <c r="E4574" t="s">
        <v>8844</v>
      </c>
      <c r="F4574" s="1">
        <v>526830</v>
      </c>
      <c r="G4574" s="1">
        <v>1700007174</v>
      </c>
      <c r="H4574" s="1">
        <v>6</v>
      </c>
      <c r="I4574" s="1" t="s">
        <v>7808</v>
      </c>
      <c r="J4574" t="s">
        <v>8884</v>
      </c>
    </row>
    <row r="4575" spans="1:10">
      <c r="A4575" s="1">
        <v>774596</v>
      </c>
      <c r="B4575" s="1">
        <v>3700011086</v>
      </c>
      <c r="C4575" s="1">
        <v>10</v>
      </c>
      <c r="D4575" s="1" t="s">
        <v>7812</v>
      </c>
      <c r="E4575" t="s">
        <v>8845</v>
      </c>
      <c r="F4575" s="1">
        <v>530535</v>
      </c>
      <c r="G4575" s="1">
        <v>1700002666</v>
      </c>
      <c r="H4575" s="1">
        <v>12</v>
      </c>
      <c r="I4575" s="1" t="s">
        <v>615</v>
      </c>
      <c r="J4575" t="s">
        <v>8885</v>
      </c>
    </row>
    <row r="4576" spans="1:10">
      <c r="A4576" s="1">
        <v>733865</v>
      </c>
      <c r="B4576" s="1">
        <v>3700011088</v>
      </c>
      <c r="C4576" s="1">
        <v>10</v>
      </c>
      <c r="D4576" s="1" t="s">
        <v>7812</v>
      </c>
      <c r="E4576" t="s">
        <v>8846</v>
      </c>
      <c r="F4576" s="1">
        <v>530964</v>
      </c>
      <c r="G4576" s="1">
        <v>1700002590</v>
      </c>
      <c r="H4576" s="1">
        <v>6</v>
      </c>
      <c r="I4576" s="1" t="s">
        <v>8631</v>
      </c>
      <c r="J4576" t="s">
        <v>8886</v>
      </c>
    </row>
    <row r="4577" spans="1:10">
      <c r="A4577" s="1">
        <v>148577</v>
      </c>
      <c r="B4577" s="1">
        <v>3700020036</v>
      </c>
      <c r="C4577" s="1">
        <v>25</v>
      </c>
      <c r="D4577" s="1" t="s">
        <v>2826</v>
      </c>
      <c r="E4577" t="s">
        <v>8847</v>
      </c>
      <c r="F4577" s="1">
        <v>218156</v>
      </c>
      <c r="G4577" s="1">
        <v>1700002934</v>
      </c>
      <c r="H4577" s="1">
        <v>8</v>
      </c>
      <c r="I4577" s="1" t="s">
        <v>358</v>
      </c>
      <c r="J4577" t="s">
        <v>8887</v>
      </c>
    </row>
    <row r="4578" spans="1:10">
      <c r="A4578" s="1">
        <v>312298</v>
      </c>
      <c r="B4578" s="1">
        <v>81793900506</v>
      </c>
      <c r="C4578" s="1">
        <v>6</v>
      </c>
      <c r="D4578" s="1" t="s">
        <v>2549</v>
      </c>
      <c r="E4578" t="s">
        <v>8848</v>
      </c>
      <c r="F4578" s="1">
        <v>457788</v>
      </c>
      <c r="G4578" s="1">
        <v>1700004544</v>
      </c>
      <c r="H4578" s="1">
        <v>8</v>
      </c>
      <c r="I4578" s="1" t="s">
        <v>8880</v>
      </c>
      <c r="J4578" t="s">
        <v>8888</v>
      </c>
    </row>
    <row r="4579" spans="1:10">
      <c r="A4579" s="1">
        <v>266072</v>
      </c>
      <c r="B4579" s="1">
        <v>3500043300</v>
      </c>
      <c r="C4579" s="1">
        <v>12</v>
      </c>
      <c r="D4579" s="1" t="s">
        <v>8662</v>
      </c>
      <c r="E4579" t="s">
        <v>8849</v>
      </c>
      <c r="F4579" s="1">
        <v>455840</v>
      </c>
      <c r="G4579" s="1">
        <v>1700003112</v>
      </c>
      <c r="H4579" s="1">
        <v>6</v>
      </c>
      <c r="I4579" s="1" t="s">
        <v>1191</v>
      </c>
      <c r="J4579" t="s">
        <v>8889</v>
      </c>
    </row>
    <row r="4580" spans="1:10">
      <c r="A4580" s="1">
        <v>255604</v>
      </c>
      <c r="B4580" s="1">
        <v>3500000052</v>
      </c>
      <c r="C4580" s="1">
        <v>12</v>
      </c>
      <c r="D4580" s="1" t="s">
        <v>2601</v>
      </c>
      <c r="E4580" t="s">
        <v>8850</v>
      </c>
      <c r="F4580" s="1">
        <v>228650</v>
      </c>
      <c r="G4580" s="1">
        <v>1700003901</v>
      </c>
      <c r="H4580" s="1">
        <v>6</v>
      </c>
      <c r="I4580" s="1" t="s">
        <v>7808</v>
      </c>
      <c r="J4580" t="s">
        <v>8890</v>
      </c>
    </row>
    <row r="4581" spans="1:10">
      <c r="A4581" s="1">
        <v>390765</v>
      </c>
      <c r="B4581" s="1">
        <v>3500000051</v>
      </c>
      <c r="C4581" s="1">
        <v>12</v>
      </c>
      <c r="D4581" s="1" t="s">
        <v>2601</v>
      </c>
      <c r="E4581" t="s">
        <v>8851</v>
      </c>
      <c r="F4581" s="1">
        <v>674887</v>
      </c>
      <c r="G4581" s="1">
        <v>1700004620</v>
      </c>
      <c r="H4581" s="1">
        <v>6</v>
      </c>
      <c r="I4581" s="1" t="s">
        <v>7808</v>
      </c>
      <c r="J4581" t="s">
        <v>8891</v>
      </c>
    </row>
    <row r="4582" spans="1:10">
      <c r="A4582" s="1">
        <v>265223</v>
      </c>
      <c r="B4582" s="1">
        <v>3500046728</v>
      </c>
      <c r="C4582" s="1">
        <v>12</v>
      </c>
      <c r="D4582" s="1" t="s">
        <v>2549</v>
      </c>
      <c r="E4582" t="s">
        <v>8852</v>
      </c>
      <c r="F4582" s="1">
        <v>213009</v>
      </c>
      <c r="G4582" s="1">
        <v>1700002565</v>
      </c>
      <c r="H4582" s="1">
        <v>12</v>
      </c>
      <c r="I4582" s="1" t="s">
        <v>8880</v>
      </c>
      <c r="J4582" t="s">
        <v>8892</v>
      </c>
    </row>
    <row r="4583" spans="1:10">
      <c r="A4583" s="1">
        <v>265363</v>
      </c>
      <c r="B4583" s="1">
        <v>3500000914</v>
      </c>
      <c r="C4583" s="1">
        <v>20</v>
      </c>
      <c r="D4583" s="1" t="s">
        <v>1196</v>
      </c>
      <c r="E4583" t="s">
        <v>8853</v>
      </c>
      <c r="F4583" s="1">
        <v>495846</v>
      </c>
      <c r="G4583" s="1">
        <v>1700001874</v>
      </c>
      <c r="H4583" s="1">
        <v>6</v>
      </c>
      <c r="I4583" s="1" t="s">
        <v>7808</v>
      </c>
      <c r="J4583" t="s">
        <v>8893</v>
      </c>
    </row>
    <row r="4584" spans="1:10">
      <c r="A4584" s="1">
        <v>265413</v>
      </c>
      <c r="B4584" s="1">
        <v>3500000614</v>
      </c>
      <c r="C4584" s="1">
        <v>20</v>
      </c>
      <c r="D4584" s="1" t="s">
        <v>1196</v>
      </c>
      <c r="E4584" t="s">
        <v>8854</v>
      </c>
      <c r="F4584" s="1">
        <v>434043</v>
      </c>
      <c r="G4584" s="1">
        <v>1700002660</v>
      </c>
      <c r="H4584" s="1">
        <v>12</v>
      </c>
      <c r="I4584" s="1" t="s">
        <v>8880</v>
      </c>
      <c r="J4584" t="s">
        <v>8894</v>
      </c>
    </row>
    <row r="4585" spans="1:10">
      <c r="A4585" s="1">
        <v>265462</v>
      </c>
      <c r="B4585" s="1">
        <v>3500046225</v>
      </c>
      <c r="C4585" s="1">
        <v>12</v>
      </c>
      <c r="D4585" s="1" t="s">
        <v>2549</v>
      </c>
      <c r="E4585" t="s">
        <v>8855</v>
      </c>
      <c r="F4585" s="1">
        <v>74021</v>
      </c>
      <c r="G4585" s="1">
        <v>1111102831</v>
      </c>
      <c r="H4585" s="1">
        <v>6</v>
      </c>
      <c r="I4585" s="1" t="s">
        <v>2557</v>
      </c>
      <c r="J4585" t="s">
        <v>8895</v>
      </c>
    </row>
    <row r="4586" spans="1:10">
      <c r="A4586" s="1">
        <v>261826</v>
      </c>
      <c r="B4586" s="1">
        <v>3500043540</v>
      </c>
      <c r="C4586" s="1">
        <v>12</v>
      </c>
      <c r="D4586" s="1" t="s">
        <v>2549</v>
      </c>
      <c r="E4586" t="s">
        <v>8856</v>
      </c>
      <c r="F4586" s="1">
        <v>670356</v>
      </c>
      <c r="G4586" s="1">
        <v>1111124217</v>
      </c>
      <c r="H4586" s="1">
        <v>6</v>
      </c>
      <c r="I4586" s="1" t="s">
        <v>4819</v>
      </c>
      <c r="J4586" t="s">
        <v>8896</v>
      </c>
    </row>
    <row r="4587" spans="1:10">
      <c r="A4587" s="1">
        <v>261834</v>
      </c>
      <c r="B4587" s="1">
        <v>3500043530</v>
      </c>
      <c r="C4587" s="1">
        <v>12</v>
      </c>
      <c r="D4587" s="1" t="s">
        <v>2549</v>
      </c>
      <c r="E4587" t="s">
        <v>8857</v>
      </c>
      <c r="F4587" s="1">
        <v>630996</v>
      </c>
      <c r="G4587" s="1">
        <v>1111103736</v>
      </c>
      <c r="H4587" s="1">
        <v>6</v>
      </c>
      <c r="I4587" s="1" t="s">
        <v>8897</v>
      </c>
      <c r="J4587" t="s">
        <v>8898</v>
      </c>
    </row>
    <row r="4588" spans="1:10">
      <c r="A4588" s="1">
        <v>264879</v>
      </c>
      <c r="B4588" s="1">
        <v>3500046246</v>
      </c>
      <c r="C4588" s="1">
        <v>12</v>
      </c>
      <c r="D4588" s="1" t="s">
        <v>2549</v>
      </c>
      <c r="E4588" t="s">
        <v>8858</v>
      </c>
      <c r="F4588" s="1">
        <v>713123</v>
      </c>
      <c r="G4588" s="1">
        <v>4589303865</v>
      </c>
      <c r="H4588" s="1">
        <v>6</v>
      </c>
      <c r="I4588" s="1" t="s">
        <v>2303</v>
      </c>
      <c r="J4588" t="s">
        <v>8899</v>
      </c>
    </row>
    <row r="4589" spans="1:10">
      <c r="A4589" s="1">
        <v>265421</v>
      </c>
      <c r="B4589" s="1">
        <v>3500046128</v>
      </c>
      <c r="C4589" s="1">
        <v>12</v>
      </c>
      <c r="D4589" s="1" t="s">
        <v>2549</v>
      </c>
      <c r="E4589" t="s">
        <v>8859</v>
      </c>
      <c r="F4589" s="1">
        <v>265181</v>
      </c>
      <c r="G4589" s="1">
        <v>1111112412</v>
      </c>
      <c r="H4589" s="1">
        <v>6</v>
      </c>
      <c r="I4589" s="1" t="s">
        <v>2303</v>
      </c>
      <c r="J4589" t="s">
        <v>8900</v>
      </c>
    </row>
    <row r="4590" spans="1:10">
      <c r="A4590" s="1">
        <v>265371</v>
      </c>
      <c r="B4590" s="1">
        <v>3500047928</v>
      </c>
      <c r="C4590" s="1">
        <v>12</v>
      </c>
      <c r="D4590" s="1" t="s">
        <v>2549</v>
      </c>
      <c r="E4590" t="s">
        <v>8860</v>
      </c>
      <c r="F4590" s="1">
        <v>204628</v>
      </c>
      <c r="G4590" s="1">
        <v>1111112114</v>
      </c>
      <c r="H4590" s="1">
        <v>6</v>
      </c>
      <c r="I4590" s="1" t="s">
        <v>2303</v>
      </c>
      <c r="J4590" t="s">
        <v>8901</v>
      </c>
    </row>
    <row r="4591" spans="1:10">
      <c r="A4591" s="1">
        <v>429068</v>
      </c>
      <c r="B4591" s="1">
        <v>4113030611</v>
      </c>
      <c r="C4591" s="1">
        <v>12</v>
      </c>
      <c r="D4591" s="1" t="s">
        <v>2549</v>
      </c>
      <c r="E4591" t="s">
        <v>8861</v>
      </c>
      <c r="F4591" s="1">
        <v>265710</v>
      </c>
      <c r="G4591" s="1">
        <v>1111112425</v>
      </c>
      <c r="H4591" s="1">
        <v>6</v>
      </c>
      <c r="I4591" s="1" t="s">
        <v>2557</v>
      </c>
      <c r="J4591" t="s">
        <v>8902</v>
      </c>
    </row>
    <row r="4592" spans="1:10">
      <c r="A4592" s="1">
        <v>285619</v>
      </c>
      <c r="B4592" s="1">
        <v>4113030793</v>
      </c>
      <c r="C4592" s="1">
        <v>12</v>
      </c>
      <c r="D4592" s="1" t="s">
        <v>2549</v>
      </c>
      <c r="E4592" t="s">
        <v>8862</v>
      </c>
      <c r="F4592" s="1">
        <v>747055</v>
      </c>
      <c r="G4592" s="1">
        <v>1111135985</v>
      </c>
      <c r="H4592" s="1">
        <v>6</v>
      </c>
      <c r="I4592" s="1" t="s">
        <v>2303</v>
      </c>
      <c r="J4592" t="s">
        <v>8903</v>
      </c>
    </row>
    <row r="4593" spans="1:10" ht="15.75">
      <c r="A4593" s="4" t="s">
        <v>10819</v>
      </c>
      <c r="B4593" s="2"/>
      <c r="C4593" s="2"/>
      <c r="D4593" s="2"/>
      <c r="E4593" s="3"/>
      <c r="F4593" s="4" t="s">
        <v>10819</v>
      </c>
      <c r="G4593" s="2"/>
      <c r="H4593" s="2"/>
      <c r="I4593" s="2"/>
      <c r="J4593" s="3"/>
    </row>
    <row r="4594" spans="1:10">
      <c r="A4594" s="2" t="s">
        <v>0</v>
      </c>
      <c r="B4594" s="2" t="s">
        <v>1</v>
      </c>
      <c r="C4594" s="2" t="s">
        <v>2</v>
      </c>
      <c r="D4594" s="2" t="s">
        <v>3</v>
      </c>
      <c r="E4594" s="3" t="s">
        <v>4</v>
      </c>
      <c r="F4594" s="2" t="s">
        <v>0</v>
      </c>
      <c r="G4594" s="2" t="s">
        <v>1</v>
      </c>
      <c r="H4594" s="2" t="s">
        <v>2</v>
      </c>
      <c r="I4594" s="2" t="s">
        <v>3</v>
      </c>
      <c r="J4594" s="3" t="s">
        <v>4</v>
      </c>
    </row>
    <row r="4595" spans="1:10">
      <c r="A4595" s="1">
        <v>265173</v>
      </c>
      <c r="B4595" s="1">
        <v>1111112212</v>
      </c>
      <c r="C4595" s="1">
        <v>6</v>
      </c>
      <c r="D4595" s="1" t="s">
        <v>2303</v>
      </c>
      <c r="E4595" t="s">
        <v>8904</v>
      </c>
      <c r="F4595" s="1">
        <v>480731</v>
      </c>
      <c r="G4595" s="1">
        <v>3700016781</v>
      </c>
      <c r="H4595" s="1">
        <v>6</v>
      </c>
      <c r="I4595" s="1" t="s">
        <v>2303</v>
      </c>
      <c r="J4595" t="s">
        <v>8943</v>
      </c>
    </row>
    <row r="4596" spans="1:10">
      <c r="A4596" s="1">
        <v>287375</v>
      </c>
      <c r="B4596" s="1">
        <v>3700016486</v>
      </c>
      <c r="C4596" s="1">
        <v>6</v>
      </c>
      <c r="D4596" s="1" t="s">
        <v>2303</v>
      </c>
      <c r="E4596" t="s">
        <v>8905</v>
      </c>
      <c r="F4596" s="1">
        <v>239871</v>
      </c>
      <c r="G4596" s="1">
        <v>3700016773</v>
      </c>
      <c r="H4596" s="1">
        <v>6</v>
      </c>
      <c r="I4596" s="1" t="s">
        <v>2303</v>
      </c>
      <c r="J4596" t="s">
        <v>8944</v>
      </c>
    </row>
    <row r="4597" spans="1:10">
      <c r="A4597" s="1">
        <v>355974</v>
      </c>
      <c r="B4597" s="1">
        <v>3700016489</v>
      </c>
      <c r="C4597" s="1">
        <v>6</v>
      </c>
      <c r="D4597" s="1" t="s">
        <v>2303</v>
      </c>
      <c r="E4597" t="s">
        <v>8906</v>
      </c>
      <c r="F4597" s="1">
        <v>768317</v>
      </c>
      <c r="G4597" s="1">
        <v>3700016769</v>
      </c>
      <c r="H4597" s="1">
        <v>6</v>
      </c>
      <c r="I4597" s="1" t="s">
        <v>2303</v>
      </c>
      <c r="J4597" t="s">
        <v>8945</v>
      </c>
    </row>
    <row r="4598" spans="1:10">
      <c r="A4598" s="1">
        <v>388967</v>
      </c>
      <c r="B4598" s="1">
        <v>3700016483</v>
      </c>
      <c r="C4598" s="1">
        <v>6</v>
      </c>
      <c r="D4598" s="1" t="s">
        <v>2303</v>
      </c>
      <c r="E4598" t="s">
        <v>8907</v>
      </c>
      <c r="F4598" s="1">
        <v>396739</v>
      </c>
      <c r="G4598" s="1">
        <v>3700016777</v>
      </c>
      <c r="H4598" s="1">
        <v>6</v>
      </c>
      <c r="I4598" s="1" t="s">
        <v>2303</v>
      </c>
      <c r="J4598" t="s">
        <v>8946</v>
      </c>
    </row>
    <row r="4599" spans="1:10">
      <c r="A4599" s="1">
        <v>194027</v>
      </c>
      <c r="B4599" s="1">
        <v>3500027692</v>
      </c>
      <c r="C4599" s="1">
        <v>6</v>
      </c>
      <c r="D4599" s="1" t="s">
        <v>632</v>
      </c>
      <c r="E4599" t="s">
        <v>8908</v>
      </c>
      <c r="F4599" s="1">
        <v>75044</v>
      </c>
      <c r="G4599" s="1">
        <v>4113023611</v>
      </c>
      <c r="H4599" s="1">
        <v>12</v>
      </c>
      <c r="I4599" s="1" t="s">
        <v>8880</v>
      </c>
      <c r="J4599" t="s">
        <v>8947</v>
      </c>
    </row>
    <row r="4600" spans="1:10">
      <c r="A4600" s="1">
        <v>365114</v>
      </c>
      <c r="B4600" s="1">
        <v>3500027694</v>
      </c>
      <c r="C4600" s="1">
        <v>6</v>
      </c>
      <c r="D4600" s="1" t="s">
        <v>7808</v>
      </c>
      <c r="E4600" t="s">
        <v>8909</v>
      </c>
      <c r="F4600" s="1">
        <v>680512</v>
      </c>
      <c r="G4600" s="1">
        <v>4113023613</v>
      </c>
      <c r="H4600" s="1">
        <v>6</v>
      </c>
      <c r="I4600" s="1" t="s">
        <v>8662</v>
      </c>
      <c r="J4600" t="s">
        <v>8948</v>
      </c>
    </row>
    <row r="4601" spans="1:10">
      <c r="A4601" s="1">
        <v>174425</v>
      </c>
      <c r="B4601" s="1">
        <v>3500026793</v>
      </c>
      <c r="C4601" s="1">
        <v>6</v>
      </c>
      <c r="D4601" s="1" t="s">
        <v>2826</v>
      </c>
      <c r="E4601" t="s">
        <v>8910</v>
      </c>
      <c r="F4601" s="1">
        <v>75770</v>
      </c>
      <c r="G4601" s="1">
        <v>4113023612</v>
      </c>
      <c r="H4601" s="1">
        <v>6</v>
      </c>
      <c r="I4601" s="1" t="s">
        <v>2496</v>
      </c>
      <c r="J4601" t="s">
        <v>8948</v>
      </c>
    </row>
    <row r="4602" spans="1:10">
      <c r="A4602" s="1">
        <v>266387</v>
      </c>
      <c r="B4602" s="1">
        <v>3700044397</v>
      </c>
      <c r="C4602" s="1">
        <v>6</v>
      </c>
      <c r="D4602" s="1" t="s">
        <v>2557</v>
      </c>
      <c r="E4602" t="s">
        <v>8911</v>
      </c>
      <c r="F4602" s="1">
        <v>333526</v>
      </c>
      <c r="G4602" s="1">
        <v>4113023609</v>
      </c>
      <c r="H4602" s="1">
        <v>12</v>
      </c>
      <c r="I4602" s="1" t="s">
        <v>8880</v>
      </c>
      <c r="J4602" t="s">
        <v>8949</v>
      </c>
    </row>
    <row r="4603" spans="1:10">
      <c r="A4603" s="1">
        <v>262428</v>
      </c>
      <c r="B4603" s="1">
        <v>3700030419</v>
      </c>
      <c r="C4603" s="1">
        <v>6</v>
      </c>
      <c r="D4603" s="1" t="s">
        <v>1191</v>
      </c>
      <c r="E4603" t="s">
        <v>8912</v>
      </c>
      <c r="F4603" s="1">
        <v>876508</v>
      </c>
      <c r="G4603" s="1">
        <v>4113023610</v>
      </c>
      <c r="H4603" s="1">
        <v>6</v>
      </c>
      <c r="I4603" s="1" t="s">
        <v>8662</v>
      </c>
      <c r="J4603" t="s">
        <v>8950</v>
      </c>
    </row>
    <row r="4604" spans="1:10">
      <c r="A4604" s="1">
        <v>211037</v>
      </c>
      <c r="B4604" s="1">
        <v>3700030470</v>
      </c>
      <c r="C4604" s="1">
        <v>6</v>
      </c>
      <c r="D4604" s="1" t="s">
        <v>8880</v>
      </c>
      <c r="E4604" t="s">
        <v>8913</v>
      </c>
      <c r="F4604" s="1">
        <v>211458</v>
      </c>
      <c r="G4604" s="1">
        <v>7418226017</v>
      </c>
      <c r="H4604" s="1">
        <v>12</v>
      </c>
      <c r="I4604" s="1" t="s">
        <v>8880</v>
      </c>
      <c r="J4604" t="s">
        <v>8951</v>
      </c>
    </row>
    <row r="4605" spans="1:10">
      <c r="A4605" s="1">
        <v>266486</v>
      </c>
      <c r="B4605" s="1">
        <v>3700041463</v>
      </c>
      <c r="C4605" s="1">
        <v>6</v>
      </c>
      <c r="D4605" s="1" t="s">
        <v>2557</v>
      </c>
      <c r="E4605" t="s">
        <v>8914</v>
      </c>
      <c r="F4605" s="1">
        <v>697334</v>
      </c>
      <c r="G4605" s="1">
        <v>7418228851</v>
      </c>
      <c r="H4605" s="1">
        <v>6</v>
      </c>
      <c r="I4605" s="1" t="s">
        <v>7808</v>
      </c>
      <c r="J4605" t="s">
        <v>8952</v>
      </c>
    </row>
    <row r="4606" spans="1:10">
      <c r="A4606" s="1">
        <v>713131</v>
      </c>
      <c r="B4606" s="1">
        <v>3700004549</v>
      </c>
      <c r="C4606" s="1">
        <v>6</v>
      </c>
      <c r="D4606" s="1" t="s">
        <v>2557</v>
      </c>
      <c r="E4606" t="s">
        <v>8915</v>
      </c>
      <c r="F4606" s="1">
        <v>357558</v>
      </c>
      <c r="G4606" s="1">
        <v>7418228030</v>
      </c>
      <c r="H4606" s="1">
        <v>6</v>
      </c>
      <c r="I4606" s="1" t="s">
        <v>7808</v>
      </c>
      <c r="J4606" t="s">
        <v>8953</v>
      </c>
    </row>
    <row r="4607" spans="1:10">
      <c r="A4607" s="1">
        <v>262246</v>
      </c>
      <c r="B4607" s="1">
        <v>3700040312</v>
      </c>
      <c r="C4607" s="1">
        <v>4</v>
      </c>
      <c r="D4607" s="1" t="s">
        <v>1200</v>
      </c>
      <c r="E4607" t="s">
        <v>8916</v>
      </c>
      <c r="F4607" s="1">
        <v>820092</v>
      </c>
      <c r="G4607" s="1">
        <v>7418226581</v>
      </c>
      <c r="H4607" s="1">
        <v>12</v>
      </c>
      <c r="I4607" s="1" t="s">
        <v>6523</v>
      </c>
      <c r="J4607" t="s">
        <v>8954</v>
      </c>
    </row>
    <row r="4608" spans="1:10">
      <c r="A4608" s="1">
        <v>738435</v>
      </c>
      <c r="B4608" s="1">
        <v>3700016471</v>
      </c>
      <c r="C4608" s="1">
        <v>6</v>
      </c>
      <c r="D4608" s="1" t="s">
        <v>2303</v>
      </c>
      <c r="E4608" t="s">
        <v>8917</v>
      </c>
      <c r="F4608" s="1">
        <v>494252</v>
      </c>
      <c r="G4608" s="1">
        <v>7418228872</v>
      </c>
      <c r="H4608" s="1">
        <v>6</v>
      </c>
      <c r="I4608" s="1" t="s">
        <v>7808</v>
      </c>
      <c r="J4608" t="s">
        <v>8955</v>
      </c>
    </row>
    <row r="4609" spans="1:10">
      <c r="A4609" s="1">
        <v>200428</v>
      </c>
      <c r="B4609" s="1">
        <v>3700016470</v>
      </c>
      <c r="C4609" s="1">
        <v>6</v>
      </c>
      <c r="D4609" s="1" t="s">
        <v>2303</v>
      </c>
      <c r="E4609" t="s">
        <v>8918</v>
      </c>
      <c r="F4609" s="1">
        <v>353789</v>
      </c>
      <c r="G4609" s="1">
        <v>7418228868</v>
      </c>
      <c r="H4609" s="1">
        <v>6</v>
      </c>
      <c r="I4609" s="1" t="s">
        <v>7808</v>
      </c>
      <c r="J4609" t="s">
        <v>8956</v>
      </c>
    </row>
    <row r="4610" spans="1:10">
      <c r="A4610" s="1">
        <v>338350</v>
      </c>
      <c r="B4610" s="1">
        <v>3700016472</v>
      </c>
      <c r="C4610" s="1">
        <v>6</v>
      </c>
      <c r="D4610" s="1" t="s">
        <v>2303</v>
      </c>
      <c r="E4610" t="s">
        <v>8919</v>
      </c>
      <c r="F4610" s="1">
        <v>713172</v>
      </c>
      <c r="G4610" s="1">
        <v>7418228144</v>
      </c>
      <c r="H4610" s="1">
        <v>6</v>
      </c>
      <c r="I4610" s="1" t="s">
        <v>7808</v>
      </c>
      <c r="J4610" t="s">
        <v>8957</v>
      </c>
    </row>
    <row r="4611" spans="1:10">
      <c r="A4611" s="1">
        <v>350686</v>
      </c>
      <c r="B4611" s="1">
        <v>81793900406</v>
      </c>
      <c r="C4611" s="1">
        <v>6</v>
      </c>
      <c r="D4611" s="1" t="s">
        <v>4819</v>
      </c>
      <c r="E4611" t="s">
        <v>8920</v>
      </c>
      <c r="F4611" s="1">
        <v>604512</v>
      </c>
      <c r="G4611" s="1">
        <v>7418226583</v>
      </c>
      <c r="H4611" s="1">
        <v>12</v>
      </c>
      <c r="I4611" s="1" t="s">
        <v>6523</v>
      </c>
      <c r="J4611" t="s">
        <v>8958</v>
      </c>
    </row>
    <row r="4612" spans="1:10">
      <c r="A4612" s="1">
        <v>757963</v>
      </c>
      <c r="B4612" s="1">
        <v>81793900405</v>
      </c>
      <c r="C4612" s="1">
        <v>6</v>
      </c>
      <c r="D4612" s="1" t="s">
        <v>4819</v>
      </c>
      <c r="E4612" t="s">
        <v>8921</v>
      </c>
      <c r="F4612" s="1">
        <v>109686</v>
      </c>
      <c r="G4612" s="1">
        <v>7418226860</v>
      </c>
      <c r="H4612" s="1">
        <v>6</v>
      </c>
      <c r="I4612" s="1" t="s">
        <v>8959</v>
      </c>
      <c r="J4612" t="s">
        <v>8960</v>
      </c>
    </row>
    <row r="4613" spans="1:10">
      <c r="A4613" s="1">
        <v>435214</v>
      </c>
      <c r="B4613" s="1">
        <v>81793900365</v>
      </c>
      <c r="C4613" s="1">
        <v>6</v>
      </c>
      <c r="D4613" s="1" t="s">
        <v>4819</v>
      </c>
      <c r="E4613" t="s">
        <v>8922</v>
      </c>
      <c r="F4613" s="1">
        <v>704627</v>
      </c>
      <c r="G4613" s="1">
        <v>7418226863</v>
      </c>
      <c r="H4613" s="1">
        <v>6</v>
      </c>
      <c r="I4613" s="1" t="s">
        <v>8959</v>
      </c>
      <c r="J4613" t="s">
        <v>8961</v>
      </c>
    </row>
    <row r="4614" spans="1:10">
      <c r="A4614" s="1">
        <v>551861</v>
      </c>
      <c r="B4614" s="1">
        <v>81793900361</v>
      </c>
      <c r="C4614" s="1">
        <v>6</v>
      </c>
      <c r="D4614" s="1" t="s">
        <v>4819</v>
      </c>
      <c r="E4614" t="s">
        <v>8923</v>
      </c>
      <c r="F4614" s="1">
        <v>281832</v>
      </c>
      <c r="G4614" s="1">
        <v>7418226861</v>
      </c>
      <c r="H4614" s="1">
        <v>6</v>
      </c>
      <c r="I4614" s="1" t="s">
        <v>8959</v>
      </c>
      <c r="J4614" t="s">
        <v>8962</v>
      </c>
    </row>
    <row r="4615" spans="1:10">
      <c r="A4615" s="1">
        <v>788497</v>
      </c>
      <c r="B4615" s="1">
        <v>81793900362</v>
      </c>
      <c r="C4615" s="1">
        <v>6</v>
      </c>
      <c r="D4615" s="1" t="s">
        <v>4819</v>
      </c>
      <c r="E4615" t="s">
        <v>8924</v>
      </c>
      <c r="F4615" s="1">
        <v>349860</v>
      </c>
      <c r="G4615" s="1">
        <v>7418226864</v>
      </c>
      <c r="H4615" s="1">
        <v>6</v>
      </c>
      <c r="I4615" s="1" t="s">
        <v>8959</v>
      </c>
      <c r="J4615" t="s">
        <v>8963</v>
      </c>
    </row>
    <row r="4616" spans="1:10">
      <c r="A4616" s="1">
        <v>21469</v>
      </c>
      <c r="B4616" s="1">
        <v>81793900505</v>
      </c>
      <c r="C4616" s="1">
        <v>6</v>
      </c>
      <c r="D4616" s="1" t="s">
        <v>2303</v>
      </c>
      <c r="E4616" t="s">
        <v>8925</v>
      </c>
      <c r="F4616" s="1">
        <v>811661</v>
      </c>
      <c r="G4616" s="1">
        <v>7418226090</v>
      </c>
      <c r="H4616" s="1">
        <v>12</v>
      </c>
      <c r="I4616" s="1" t="s">
        <v>8880</v>
      </c>
      <c r="J4616" t="s">
        <v>8964</v>
      </c>
    </row>
    <row r="4617" spans="1:10">
      <c r="A4617" s="1">
        <v>416602</v>
      </c>
      <c r="B4617" s="1">
        <v>81793900033</v>
      </c>
      <c r="C4617" s="1">
        <v>6</v>
      </c>
      <c r="D4617" s="1" t="s">
        <v>2303</v>
      </c>
      <c r="E4617" t="s">
        <v>8926</v>
      </c>
      <c r="F4617" s="1">
        <v>593392</v>
      </c>
      <c r="G4617" s="1">
        <v>7418229217</v>
      </c>
      <c r="H4617" s="1">
        <v>12</v>
      </c>
      <c r="I4617" s="1" t="s">
        <v>8880</v>
      </c>
      <c r="J4617" t="s">
        <v>8965</v>
      </c>
    </row>
    <row r="4618" spans="1:10">
      <c r="A4618" s="1">
        <v>318535</v>
      </c>
      <c r="B4618" s="1">
        <v>81793900162</v>
      </c>
      <c r="C4618" s="1">
        <v>6</v>
      </c>
      <c r="D4618" s="1" t="s">
        <v>2303</v>
      </c>
      <c r="E4618" t="s">
        <v>8927</v>
      </c>
      <c r="F4618" s="1">
        <v>78444</v>
      </c>
      <c r="G4618" s="1">
        <v>7418229541</v>
      </c>
      <c r="H4618" s="1">
        <v>6</v>
      </c>
      <c r="I4618" s="1" t="s">
        <v>8662</v>
      </c>
      <c r="J4618" t="s">
        <v>8966</v>
      </c>
    </row>
    <row r="4619" spans="1:10">
      <c r="A4619" s="1">
        <v>685081</v>
      </c>
      <c r="B4619" s="1">
        <v>81793900031</v>
      </c>
      <c r="C4619" s="1">
        <v>6</v>
      </c>
      <c r="D4619" s="1" t="s">
        <v>2303</v>
      </c>
      <c r="E4619" t="s">
        <v>8928</v>
      </c>
      <c r="F4619" s="1">
        <v>518944</v>
      </c>
      <c r="G4619" s="1">
        <v>7418226582</v>
      </c>
      <c r="H4619" s="1">
        <v>12</v>
      </c>
      <c r="I4619" s="1" t="s">
        <v>6523</v>
      </c>
      <c r="J4619" t="s">
        <v>8967</v>
      </c>
    </row>
    <row r="4620" spans="1:10">
      <c r="A4620" s="1">
        <v>738427</v>
      </c>
      <c r="B4620" s="1">
        <v>81793900034</v>
      </c>
      <c r="C4620" s="1">
        <v>6</v>
      </c>
      <c r="D4620" s="1" t="s">
        <v>2303</v>
      </c>
      <c r="E4620" t="s">
        <v>8929</v>
      </c>
      <c r="F4620" s="1">
        <v>78402</v>
      </c>
      <c r="G4620" s="1">
        <v>7418229542</v>
      </c>
      <c r="H4620" s="1">
        <v>6</v>
      </c>
      <c r="I4620" s="1" t="s">
        <v>8662</v>
      </c>
      <c r="J4620" t="s">
        <v>8968</v>
      </c>
    </row>
    <row r="4621" spans="1:10">
      <c r="A4621" s="1">
        <v>265652</v>
      </c>
      <c r="B4621" s="1">
        <v>3700042429</v>
      </c>
      <c r="C4621" s="1">
        <v>6</v>
      </c>
      <c r="D4621" s="1" t="s">
        <v>2303</v>
      </c>
      <c r="E4621" t="s">
        <v>8930</v>
      </c>
      <c r="F4621" s="1">
        <v>211789</v>
      </c>
      <c r="G4621" s="1">
        <v>7418226012</v>
      </c>
      <c r="H4621" s="1">
        <v>12</v>
      </c>
      <c r="I4621" s="1" t="s">
        <v>8880</v>
      </c>
      <c r="J4621" t="s">
        <v>8969</v>
      </c>
    </row>
    <row r="4622" spans="1:10">
      <c r="A4622" s="1">
        <v>295329</v>
      </c>
      <c r="B4622" s="1">
        <v>3700013665</v>
      </c>
      <c r="C4622" s="1">
        <v>6</v>
      </c>
      <c r="D4622" s="1" t="s">
        <v>4819</v>
      </c>
      <c r="E4622" t="s">
        <v>8931</v>
      </c>
      <c r="F4622" s="1">
        <v>216374</v>
      </c>
      <c r="G4622" s="1">
        <v>1700004185</v>
      </c>
      <c r="H4622" s="1">
        <v>12</v>
      </c>
      <c r="I4622" s="1" t="s">
        <v>8880</v>
      </c>
      <c r="J4622" t="s">
        <v>8970</v>
      </c>
    </row>
    <row r="4623" spans="1:10">
      <c r="A4623" s="1">
        <v>847848</v>
      </c>
      <c r="B4623" s="1">
        <v>3700022584</v>
      </c>
      <c r="C4623" s="1">
        <v>6</v>
      </c>
      <c r="D4623" s="1" t="s">
        <v>347</v>
      </c>
      <c r="E4623" t="s">
        <v>8932</v>
      </c>
      <c r="F4623" s="1">
        <v>573386</v>
      </c>
      <c r="G4623" s="1">
        <v>3700008035</v>
      </c>
      <c r="H4623" s="1">
        <v>6</v>
      </c>
      <c r="I4623" s="1" t="s">
        <v>7808</v>
      </c>
      <c r="J4623" t="s">
        <v>8971</v>
      </c>
    </row>
    <row r="4624" spans="1:10">
      <c r="A4624" s="1">
        <v>25981</v>
      </c>
      <c r="B4624" s="1">
        <v>3700022582</v>
      </c>
      <c r="C4624" s="1">
        <v>6</v>
      </c>
      <c r="D4624" s="1" t="s">
        <v>347</v>
      </c>
      <c r="E4624" t="s">
        <v>8933</v>
      </c>
      <c r="F4624" s="1">
        <v>301549</v>
      </c>
      <c r="G4624" s="1">
        <v>3700015392</v>
      </c>
      <c r="H4624" s="1">
        <v>6</v>
      </c>
      <c r="I4624" s="1" t="s">
        <v>7808</v>
      </c>
      <c r="J4624" t="s">
        <v>8972</v>
      </c>
    </row>
    <row r="4625" spans="1:10" ht="15.75">
      <c r="A4625" s="1">
        <v>289017</v>
      </c>
      <c r="B4625" s="1">
        <v>3700019480</v>
      </c>
      <c r="C4625" s="1">
        <v>6</v>
      </c>
      <c r="D4625" s="1" t="s">
        <v>489</v>
      </c>
      <c r="E4625" t="s">
        <v>8934</v>
      </c>
      <c r="F4625" s="4" t="s">
        <v>10820</v>
      </c>
      <c r="G4625" s="2"/>
      <c r="H4625" s="2"/>
      <c r="I4625" s="2"/>
      <c r="J4625" s="3"/>
    </row>
    <row r="4626" spans="1:10">
      <c r="A4626" s="1">
        <v>116772</v>
      </c>
      <c r="B4626" s="1">
        <v>3700021099</v>
      </c>
      <c r="C4626" s="1">
        <v>6</v>
      </c>
      <c r="D4626" s="1" t="s">
        <v>632</v>
      </c>
      <c r="E4626" t="s">
        <v>8935</v>
      </c>
      <c r="F4626" s="2" t="s">
        <v>0</v>
      </c>
      <c r="G4626" s="2" t="s">
        <v>1</v>
      </c>
      <c r="H4626" s="2" t="s">
        <v>2</v>
      </c>
      <c r="I4626" s="2" t="s">
        <v>3</v>
      </c>
      <c r="J4626" s="3" t="s">
        <v>4</v>
      </c>
    </row>
    <row r="4627" spans="1:10">
      <c r="A4627" s="1">
        <v>297754</v>
      </c>
      <c r="B4627" s="1">
        <v>3700039315</v>
      </c>
      <c r="C4627" s="1">
        <v>6</v>
      </c>
      <c r="D4627" s="1" t="s">
        <v>7808</v>
      </c>
      <c r="E4627" t="s">
        <v>8936</v>
      </c>
      <c r="F4627" s="1">
        <v>29629</v>
      </c>
      <c r="G4627" s="1">
        <v>3700008829</v>
      </c>
      <c r="H4627" s="1">
        <v>16</v>
      </c>
      <c r="I4627" s="1" t="s">
        <v>347</v>
      </c>
      <c r="J4627" t="s">
        <v>8973</v>
      </c>
    </row>
    <row r="4628" spans="1:10">
      <c r="A4628" s="1">
        <v>297747</v>
      </c>
      <c r="B4628" s="1">
        <v>3700039316</v>
      </c>
      <c r="C4628" s="1">
        <v>6</v>
      </c>
      <c r="D4628" s="1" t="s">
        <v>7808</v>
      </c>
      <c r="E4628" t="s">
        <v>8937</v>
      </c>
      <c r="F4628" s="1">
        <v>232116</v>
      </c>
      <c r="G4628" s="1">
        <v>1111101225</v>
      </c>
      <c r="H4628" s="1">
        <v>24</v>
      </c>
      <c r="I4628" s="1" t="s">
        <v>8974</v>
      </c>
      <c r="J4628" t="s">
        <v>8975</v>
      </c>
    </row>
    <row r="4629" spans="1:10">
      <c r="A4629" s="1">
        <v>432559</v>
      </c>
      <c r="B4629" s="1">
        <v>3700012353</v>
      </c>
      <c r="C4629" s="1">
        <v>6</v>
      </c>
      <c r="D4629" s="1" t="s">
        <v>7808</v>
      </c>
      <c r="E4629" t="s">
        <v>8938</v>
      </c>
      <c r="F4629" s="1">
        <v>269092</v>
      </c>
      <c r="G4629" s="1">
        <v>1111173190</v>
      </c>
      <c r="H4629" s="1">
        <v>24</v>
      </c>
      <c r="I4629" s="1" t="s">
        <v>365</v>
      </c>
      <c r="J4629" t="s">
        <v>8976</v>
      </c>
    </row>
    <row r="4630" spans="1:10">
      <c r="A4630" s="1">
        <v>218750</v>
      </c>
      <c r="B4630" s="1">
        <v>3700046942</v>
      </c>
      <c r="C4630" s="1">
        <v>6</v>
      </c>
      <c r="D4630" s="1" t="s">
        <v>7808</v>
      </c>
      <c r="E4630" t="s">
        <v>8939</v>
      </c>
      <c r="F4630" s="1">
        <v>267781</v>
      </c>
      <c r="G4630" s="1">
        <v>1700031597</v>
      </c>
      <c r="H4630" s="1">
        <v>9</v>
      </c>
      <c r="I4630" s="1" t="s">
        <v>1366</v>
      </c>
      <c r="J4630" t="s">
        <v>8977</v>
      </c>
    </row>
    <row r="4631" spans="1:10">
      <c r="A4631" s="1">
        <v>739797</v>
      </c>
      <c r="B4631" s="1">
        <v>3700016771</v>
      </c>
      <c r="C4631" s="1">
        <v>6</v>
      </c>
      <c r="D4631" s="1" t="s">
        <v>2303</v>
      </c>
      <c r="E4631" t="s">
        <v>8940</v>
      </c>
      <c r="F4631" s="1">
        <v>264507</v>
      </c>
      <c r="G4631" s="1">
        <v>1700031624</v>
      </c>
      <c r="H4631" s="1">
        <v>18</v>
      </c>
      <c r="I4631" s="1" t="s">
        <v>347</v>
      </c>
      <c r="J4631" t="s">
        <v>8978</v>
      </c>
    </row>
    <row r="4632" spans="1:10">
      <c r="A4632" s="1">
        <v>318246</v>
      </c>
      <c r="B4632" s="1">
        <v>3700016779</v>
      </c>
      <c r="C4632" s="1">
        <v>6</v>
      </c>
      <c r="D4632" s="1" t="s">
        <v>2303</v>
      </c>
      <c r="E4632" t="s">
        <v>8941</v>
      </c>
      <c r="F4632" s="1">
        <v>270017</v>
      </c>
      <c r="G4632" s="1">
        <v>1700003920</v>
      </c>
      <c r="H4632" s="1">
        <v>8</v>
      </c>
      <c r="I4632" s="1" t="s">
        <v>397</v>
      </c>
      <c r="J4632" t="s">
        <v>8979</v>
      </c>
    </row>
    <row r="4633" spans="1:10">
      <c r="A4633" s="1">
        <v>699645</v>
      </c>
      <c r="B4633" s="1">
        <v>3700016765</v>
      </c>
      <c r="C4633" s="1">
        <v>6</v>
      </c>
      <c r="D4633" s="1" t="s">
        <v>2303</v>
      </c>
      <c r="E4633" t="s">
        <v>8942</v>
      </c>
      <c r="F4633" s="1">
        <v>257618</v>
      </c>
      <c r="G4633" s="1">
        <v>1700002411</v>
      </c>
      <c r="H4633" s="1">
        <v>9</v>
      </c>
      <c r="I4633" s="1" t="s">
        <v>1366</v>
      </c>
      <c r="J4633" t="s">
        <v>8980</v>
      </c>
    </row>
    <row r="4634" spans="1:10" ht="15.75">
      <c r="A4634" s="4" t="s">
        <v>10820</v>
      </c>
      <c r="B4634" s="2"/>
      <c r="C4634" s="2"/>
      <c r="D4634" s="2"/>
      <c r="E4634" s="3"/>
      <c r="F4634" s="4" t="s">
        <v>10820</v>
      </c>
      <c r="G4634" s="2"/>
      <c r="H4634" s="2"/>
      <c r="I4634" s="2"/>
      <c r="J4634" s="3"/>
    </row>
    <row r="4635" spans="1:10">
      <c r="A4635" s="2" t="s">
        <v>0</v>
      </c>
      <c r="B4635" s="2" t="s">
        <v>1</v>
      </c>
      <c r="C4635" s="2" t="s">
        <v>2</v>
      </c>
      <c r="D4635" s="2" t="s">
        <v>3</v>
      </c>
      <c r="E4635" s="3" t="s">
        <v>4</v>
      </c>
      <c r="F4635" s="2" t="s">
        <v>0</v>
      </c>
      <c r="G4635" s="2" t="s">
        <v>1</v>
      </c>
      <c r="H4635" s="2" t="s">
        <v>2</v>
      </c>
      <c r="I4635" s="2" t="s">
        <v>3</v>
      </c>
      <c r="J4635" s="3" t="s">
        <v>4</v>
      </c>
    </row>
    <row r="4636" spans="1:10">
      <c r="A4636" s="1">
        <v>267062</v>
      </c>
      <c r="B4636" s="1">
        <v>1700000649</v>
      </c>
      <c r="C4636" s="1">
        <v>18</v>
      </c>
      <c r="D4636" s="1" t="s">
        <v>347</v>
      </c>
      <c r="E4636" t="s">
        <v>8981</v>
      </c>
      <c r="F4636" s="1">
        <v>466136</v>
      </c>
      <c r="G4636" s="1">
        <v>3700009889</v>
      </c>
      <c r="H4636" s="1">
        <v>24</v>
      </c>
      <c r="I4636" s="1" t="s">
        <v>365</v>
      </c>
      <c r="J4636" t="s">
        <v>9023</v>
      </c>
    </row>
    <row r="4637" spans="1:10">
      <c r="A4637" s="1">
        <v>712943</v>
      </c>
      <c r="B4637" s="1">
        <v>1700004200</v>
      </c>
      <c r="C4637" s="1">
        <v>18</v>
      </c>
      <c r="D4637" s="1" t="s">
        <v>347</v>
      </c>
      <c r="E4637" t="s">
        <v>8982</v>
      </c>
      <c r="F4637" s="1">
        <v>439752</v>
      </c>
      <c r="G4637" s="1">
        <v>3700013009</v>
      </c>
      <c r="H4637" s="1">
        <v>24</v>
      </c>
      <c r="I4637" s="1" t="s">
        <v>365</v>
      </c>
      <c r="J4637" t="s">
        <v>9024</v>
      </c>
    </row>
    <row r="4638" spans="1:10">
      <c r="A4638" s="1">
        <v>267005</v>
      </c>
      <c r="B4638" s="1">
        <v>1700002402</v>
      </c>
      <c r="C4638" s="1">
        <v>18</v>
      </c>
      <c r="D4638" s="1" t="s">
        <v>347</v>
      </c>
      <c r="E4638" t="s">
        <v>8983</v>
      </c>
      <c r="F4638" s="1">
        <v>847244</v>
      </c>
      <c r="G4638" s="1">
        <v>3700014104</v>
      </c>
      <c r="H4638" s="1">
        <v>24</v>
      </c>
      <c r="I4638" s="1" t="s">
        <v>365</v>
      </c>
      <c r="J4638" t="s">
        <v>9025</v>
      </c>
    </row>
    <row r="4639" spans="1:10">
      <c r="A4639" s="1">
        <v>267096</v>
      </c>
      <c r="B4639" s="1">
        <v>1700002404</v>
      </c>
      <c r="C4639" s="1">
        <v>9</v>
      </c>
      <c r="D4639" s="1" t="s">
        <v>1366</v>
      </c>
      <c r="E4639" t="s">
        <v>8984</v>
      </c>
      <c r="F4639" s="1">
        <v>787689</v>
      </c>
      <c r="G4639" s="1">
        <v>3700011588</v>
      </c>
      <c r="H4639" s="1">
        <v>8</v>
      </c>
      <c r="I4639" s="1" t="s">
        <v>1355</v>
      </c>
      <c r="J4639" t="s">
        <v>9026</v>
      </c>
    </row>
    <row r="4640" spans="1:10">
      <c r="A4640" s="1">
        <v>268300</v>
      </c>
      <c r="B4640" s="1">
        <v>1700000324</v>
      </c>
      <c r="C4640" s="1">
        <v>18</v>
      </c>
      <c r="D4640" s="1" t="s">
        <v>347</v>
      </c>
      <c r="E4640" t="s">
        <v>8985</v>
      </c>
      <c r="F4640" s="1">
        <v>569277</v>
      </c>
      <c r="G4640" s="1">
        <v>3700009891</v>
      </c>
      <c r="H4640" s="1">
        <v>8</v>
      </c>
      <c r="I4640" s="1" t="s">
        <v>1355</v>
      </c>
      <c r="J4640" t="s">
        <v>9027</v>
      </c>
    </row>
    <row r="4641" spans="1:10">
      <c r="A4641" s="1">
        <v>267088</v>
      </c>
      <c r="B4641" s="1">
        <v>1700001840</v>
      </c>
      <c r="C4641" s="1">
        <v>18</v>
      </c>
      <c r="D4641" s="1" t="s">
        <v>347</v>
      </c>
      <c r="E4641" t="s">
        <v>8986</v>
      </c>
      <c r="F4641" s="1">
        <v>371765</v>
      </c>
      <c r="G4641" s="1">
        <v>3700008833</v>
      </c>
      <c r="H4641" s="1">
        <v>12</v>
      </c>
      <c r="I4641" s="1" t="s">
        <v>381</v>
      </c>
      <c r="J4641" t="s">
        <v>9028</v>
      </c>
    </row>
    <row r="4642" spans="1:10">
      <c r="A4642" s="1">
        <v>267021</v>
      </c>
      <c r="B4642" s="1">
        <v>1700002410</v>
      </c>
      <c r="C4642" s="1">
        <v>18</v>
      </c>
      <c r="D4642" s="1" t="s">
        <v>347</v>
      </c>
      <c r="E4642" t="s">
        <v>8987</v>
      </c>
      <c r="F4642" s="1">
        <v>198770</v>
      </c>
      <c r="G4642" s="1">
        <v>3700008834</v>
      </c>
      <c r="H4642" s="1">
        <v>12</v>
      </c>
      <c r="I4642" s="1" t="s">
        <v>381</v>
      </c>
      <c r="J4642" t="s">
        <v>9029</v>
      </c>
    </row>
    <row r="4643" spans="1:10">
      <c r="A4643" s="1">
        <v>844191</v>
      </c>
      <c r="B4643" s="1">
        <v>1700002755</v>
      </c>
      <c r="C4643" s="1">
        <v>18</v>
      </c>
      <c r="D4643" s="1" t="s">
        <v>347</v>
      </c>
      <c r="E4643" t="s">
        <v>8988</v>
      </c>
      <c r="F4643" s="1">
        <v>265116</v>
      </c>
      <c r="G4643" s="1">
        <v>1700000488</v>
      </c>
      <c r="H4643" s="1">
        <v>24</v>
      </c>
      <c r="I4643" s="1" t="s">
        <v>365</v>
      </c>
      <c r="J4643" t="s">
        <v>9030</v>
      </c>
    </row>
    <row r="4644" spans="1:10">
      <c r="A4644" s="1">
        <v>204651</v>
      </c>
      <c r="B4644" s="1">
        <v>1111161102</v>
      </c>
      <c r="C4644" s="1">
        <v>24</v>
      </c>
      <c r="D4644" s="1" t="s">
        <v>365</v>
      </c>
      <c r="E4644" t="s">
        <v>8989</v>
      </c>
      <c r="F4644" s="1">
        <v>838557</v>
      </c>
      <c r="G4644" s="1">
        <v>3700009308</v>
      </c>
      <c r="H4644" s="1">
        <v>16</v>
      </c>
      <c r="I4644" s="1" t="s">
        <v>347</v>
      </c>
      <c r="J4644" t="s">
        <v>9031</v>
      </c>
    </row>
    <row r="4645" spans="1:10">
      <c r="A4645" s="1">
        <v>571638</v>
      </c>
      <c r="B4645" s="1">
        <v>1111102774</v>
      </c>
      <c r="C4645" s="1">
        <v>24</v>
      </c>
      <c r="D4645" s="1" t="s">
        <v>365</v>
      </c>
      <c r="E4645" t="s">
        <v>8990</v>
      </c>
      <c r="F4645" s="1">
        <v>284612</v>
      </c>
      <c r="G4645" s="1">
        <v>3700009314</v>
      </c>
      <c r="H4645" s="1">
        <v>16</v>
      </c>
      <c r="I4645" s="1" t="s">
        <v>347</v>
      </c>
      <c r="J4645" t="s">
        <v>9032</v>
      </c>
    </row>
    <row r="4646" spans="1:10">
      <c r="A4646" s="1">
        <v>628610</v>
      </c>
      <c r="B4646" s="1">
        <v>1111102772</v>
      </c>
      <c r="C4646" s="1">
        <v>12</v>
      </c>
      <c r="D4646" s="1" t="s">
        <v>1355</v>
      </c>
      <c r="E4646" t="s">
        <v>8991</v>
      </c>
      <c r="F4646" s="1">
        <v>623637</v>
      </c>
      <c r="G4646" s="1">
        <v>3700021857</v>
      </c>
      <c r="H4646" s="1">
        <v>8</v>
      </c>
      <c r="I4646" s="1" t="s">
        <v>439</v>
      </c>
      <c r="J4646" t="s">
        <v>9033</v>
      </c>
    </row>
    <row r="4647" spans="1:10">
      <c r="A4647" s="1">
        <v>265868</v>
      </c>
      <c r="B4647" s="1">
        <v>1111161328</v>
      </c>
      <c r="C4647" s="1">
        <v>24</v>
      </c>
      <c r="D4647" s="1" t="s">
        <v>1818</v>
      </c>
      <c r="E4647" t="s">
        <v>8992</v>
      </c>
      <c r="F4647" s="1">
        <v>492652</v>
      </c>
      <c r="G4647" s="1">
        <v>3700021858</v>
      </c>
      <c r="H4647" s="1">
        <v>8</v>
      </c>
      <c r="I4647" s="1" t="s">
        <v>439</v>
      </c>
      <c r="J4647" t="s">
        <v>9034</v>
      </c>
    </row>
    <row r="4648" spans="1:10" ht="15.75">
      <c r="A4648" s="1">
        <v>266007</v>
      </c>
      <c r="B4648" s="1">
        <v>1111161195</v>
      </c>
      <c r="C4648" s="1">
        <v>36</v>
      </c>
      <c r="D4648" s="1" t="s">
        <v>365</v>
      </c>
      <c r="E4648" t="s">
        <v>8993</v>
      </c>
      <c r="F4648" s="4" t="s">
        <v>10821</v>
      </c>
      <c r="G4648" s="2"/>
      <c r="H4648" s="2"/>
      <c r="I4648" s="2"/>
      <c r="J4648" s="3"/>
    </row>
    <row r="4649" spans="1:10">
      <c r="A4649" s="1">
        <v>265629</v>
      </c>
      <c r="B4649" s="1">
        <v>1111161120</v>
      </c>
      <c r="C4649" s="1">
        <v>24</v>
      </c>
      <c r="D4649" s="1" t="s">
        <v>365</v>
      </c>
      <c r="E4649" t="s">
        <v>8994</v>
      </c>
      <c r="F4649" s="2" t="s">
        <v>0</v>
      </c>
      <c r="G4649" s="2" t="s">
        <v>1</v>
      </c>
      <c r="H4649" s="2" t="s">
        <v>2</v>
      </c>
      <c r="I4649" s="2" t="s">
        <v>3</v>
      </c>
      <c r="J4649" s="3" t="s">
        <v>4</v>
      </c>
    </row>
    <row r="4650" spans="1:10">
      <c r="A4650" s="1">
        <v>265793</v>
      </c>
      <c r="B4650" s="1">
        <v>1111161424</v>
      </c>
      <c r="C4650" s="1">
        <v>48</v>
      </c>
      <c r="D4650" s="1" t="s">
        <v>8995</v>
      </c>
      <c r="E4650" t="s">
        <v>8996</v>
      </c>
      <c r="F4650" s="1">
        <v>271205</v>
      </c>
      <c r="G4650" s="1">
        <v>76172008350</v>
      </c>
      <c r="H4650" s="1">
        <v>24</v>
      </c>
      <c r="I4650" s="1" t="s">
        <v>381</v>
      </c>
      <c r="J4650" t="s">
        <v>9035</v>
      </c>
    </row>
    <row r="4651" spans="1:10">
      <c r="A4651" s="1">
        <v>318501</v>
      </c>
      <c r="B4651" s="1">
        <v>1111139066</v>
      </c>
      <c r="C4651" s="1">
        <v>24</v>
      </c>
      <c r="D4651" s="1" t="s">
        <v>8974</v>
      </c>
      <c r="E4651" t="s">
        <v>8997</v>
      </c>
      <c r="F4651" s="1">
        <v>780122</v>
      </c>
      <c r="G4651" s="1">
        <v>1750020722</v>
      </c>
      <c r="H4651" s="1">
        <v>12</v>
      </c>
      <c r="I4651" s="1" t="s">
        <v>938</v>
      </c>
      <c r="J4651" t="s">
        <v>9036</v>
      </c>
    </row>
    <row r="4652" spans="1:10">
      <c r="A4652" s="1">
        <v>266015</v>
      </c>
      <c r="B4652" s="1">
        <v>1111161133</v>
      </c>
      <c r="C4652" s="1">
        <v>36</v>
      </c>
      <c r="D4652" s="1" t="s">
        <v>365</v>
      </c>
      <c r="E4652" t="s">
        <v>8998</v>
      </c>
      <c r="F4652" s="1">
        <v>630228</v>
      </c>
      <c r="G4652" s="1">
        <v>4116345068</v>
      </c>
      <c r="H4652" s="1">
        <v>12</v>
      </c>
      <c r="I4652" s="1" t="s">
        <v>1198</v>
      </c>
      <c r="J4652" t="s">
        <v>9037</v>
      </c>
    </row>
    <row r="4653" spans="1:10">
      <c r="A4653" s="1">
        <v>265785</v>
      </c>
      <c r="B4653" s="1">
        <v>1111161334</v>
      </c>
      <c r="C4653" s="1">
        <v>12</v>
      </c>
      <c r="D4653" s="1" t="s">
        <v>8999</v>
      </c>
      <c r="E4653" t="s">
        <v>9000</v>
      </c>
      <c r="F4653" s="1">
        <v>180349</v>
      </c>
      <c r="G4653" s="1">
        <v>1750000516</v>
      </c>
      <c r="H4653" s="1">
        <v>12</v>
      </c>
      <c r="I4653" s="1" t="s">
        <v>938</v>
      </c>
      <c r="J4653" t="s">
        <v>9038</v>
      </c>
    </row>
    <row r="4654" spans="1:10">
      <c r="A4654" s="1">
        <v>269118</v>
      </c>
      <c r="B4654" s="1">
        <v>1111161164</v>
      </c>
      <c r="C4654" s="1">
        <v>12</v>
      </c>
      <c r="D4654" s="1" t="s">
        <v>1355</v>
      </c>
      <c r="E4654" t="s">
        <v>9001</v>
      </c>
      <c r="F4654" s="1">
        <v>524710</v>
      </c>
      <c r="G4654" s="1">
        <v>88596708102</v>
      </c>
      <c r="H4654" s="1">
        <v>12</v>
      </c>
      <c r="I4654" s="1" t="s">
        <v>938</v>
      </c>
      <c r="J4654" t="s">
        <v>9039</v>
      </c>
    </row>
    <row r="4655" spans="1:10">
      <c r="A4655" s="1">
        <v>265678</v>
      </c>
      <c r="B4655" s="1">
        <v>1111161011</v>
      </c>
      <c r="C4655" s="1">
        <v>12</v>
      </c>
      <c r="D4655" s="1" t="s">
        <v>1355</v>
      </c>
      <c r="E4655" t="s">
        <v>9002</v>
      </c>
      <c r="F4655" s="1">
        <v>213280</v>
      </c>
      <c r="G4655" s="1">
        <v>88596708150</v>
      </c>
      <c r="H4655" s="1">
        <v>12</v>
      </c>
      <c r="I4655" s="1" t="s">
        <v>938</v>
      </c>
      <c r="J4655" t="s">
        <v>9040</v>
      </c>
    </row>
    <row r="4656" spans="1:10">
      <c r="A4656" s="1">
        <v>400739</v>
      </c>
      <c r="B4656" s="1">
        <v>3500014116</v>
      </c>
      <c r="C4656" s="1">
        <v>18</v>
      </c>
      <c r="D4656" s="1" t="s">
        <v>347</v>
      </c>
      <c r="E4656" t="s">
        <v>9003</v>
      </c>
      <c r="F4656" s="1">
        <v>194431</v>
      </c>
      <c r="G4656" s="1">
        <v>88596708120</v>
      </c>
      <c r="H4656" s="1">
        <v>12</v>
      </c>
      <c r="I4656" s="1" t="s">
        <v>938</v>
      </c>
      <c r="J4656" t="s">
        <v>9041</v>
      </c>
    </row>
    <row r="4657" spans="1:10">
      <c r="A4657" s="1">
        <v>634691</v>
      </c>
      <c r="B4657" s="1">
        <v>3500014491</v>
      </c>
      <c r="C4657" s="1">
        <v>18</v>
      </c>
      <c r="D4657" s="1" t="s">
        <v>347</v>
      </c>
      <c r="E4657" t="s">
        <v>9004</v>
      </c>
      <c r="F4657" s="1">
        <v>277103</v>
      </c>
      <c r="G4657" s="1">
        <v>2240000441</v>
      </c>
      <c r="H4657" s="1">
        <v>12</v>
      </c>
      <c r="I4657" s="1" t="s">
        <v>9042</v>
      </c>
      <c r="J4657" t="s">
        <v>9043</v>
      </c>
    </row>
    <row r="4658" spans="1:10" ht="15.75">
      <c r="A4658" s="1">
        <v>78386</v>
      </c>
      <c r="B4658" s="1">
        <v>3500014412</v>
      </c>
      <c r="C4658" s="1">
        <v>18</v>
      </c>
      <c r="D4658" s="1" t="s">
        <v>347</v>
      </c>
      <c r="E4658" t="s">
        <v>9005</v>
      </c>
      <c r="F4658" s="4" t="s">
        <v>10822</v>
      </c>
      <c r="G4658" s="2"/>
      <c r="H4658" s="2"/>
      <c r="I4658" s="2"/>
      <c r="J4658" s="3"/>
    </row>
    <row r="4659" spans="1:10">
      <c r="A4659" s="1">
        <v>332569</v>
      </c>
      <c r="B4659" s="1">
        <v>3500014106</v>
      </c>
      <c r="C4659" s="1">
        <v>18</v>
      </c>
      <c r="D4659" s="1" t="s">
        <v>347</v>
      </c>
      <c r="E4659" t="s">
        <v>9006</v>
      </c>
      <c r="F4659" s="2" t="s">
        <v>0</v>
      </c>
      <c r="G4659" s="2" t="s">
        <v>1</v>
      </c>
      <c r="H4659" s="2" t="s">
        <v>2</v>
      </c>
      <c r="I4659" s="2" t="s">
        <v>3</v>
      </c>
      <c r="J4659" s="3" t="s">
        <v>4</v>
      </c>
    </row>
    <row r="4660" spans="1:10">
      <c r="A4660" s="1">
        <v>696542</v>
      </c>
      <c r="B4660" s="1">
        <v>3500014108</v>
      </c>
      <c r="C4660" s="1">
        <v>18</v>
      </c>
      <c r="D4660" s="1" t="s">
        <v>347</v>
      </c>
      <c r="E4660" t="s">
        <v>9007</v>
      </c>
      <c r="F4660" s="1">
        <v>252049</v>
      </c>
      <c r="G4660" s="1">
        <v>3320014931</v>
      </c>
      <c r="H4660" s="1">
        <v>12</v>
      </c>
      <c r="I4660" s="1" t="s">
        <v>1203</v>
      </c>
      <c r="J4660" t="s">
        <v>9044</v>
      </c>
    </row>
    <row r="4661" spans="1:10">
      <c r="A4661" s="1">
        <v>128868</v>
      </c>
      <c r="B4661" s="1">
        <v>3700021850</v>
      </c>
      <c r="C4661" s="1">
        <v>8</v>
      </c>
      <c r="D4661" s="1" t="s">
        <v>106</v>
      </c>
      <c r="E4661" t="s">
        <v>9008</v>
      </c>
      <c r="F4661" s="1">
        <v>560193</v>
      </c>
      <c r="G4661" s="1">
        <v>3320014660</v>
      </c>
      <c r="H4661" s="1">
        <v>10</v>
      </c>
      <c r="I4661" s="1" t="s">
        <v>1203</v>
      </c>
      <c r="J4661" t="s">
        <v>9045</v>
      </c>
    </row>
    <row r="4662" spans="1:10">
      <c r="A4662" s="1">
        <v>257873</v>
      </c>
      <c r="B4662" s="1">
        <v>3700044904</v>
      </c>
      <c r="C4662" s="1">
        <v>18</v>
      </c>
      <c r="D4662" s="1" t="s">
        <v>632</v>
      </c>
      <c r="E4662" t="s">
        <v>9009</v>
      </c>
      <c r="F4662" s="1">
        <v>272930</v>
      </c>
      <c r="G4662" s="1">
        <v>3320014030</v>
      </c>
      <c r="H4662" s="1">
        <v>12</v>
      </c>
      <c r="I4662" s="1" t="s">
        <v>1203</v>
      </c>
      <c r="J4662" t="s">
        <v>9046</v>
      </c>
    </row>
    <row r="4663" spans="1:10">
      <c r="A4663" s="1">
        <v>266254</v>
      </c>
      <c r="B4663" s="1">
        <v>3700030044</v>
      </c>
      <c r="C4663" s="1">
        <v>18</v>
      </c>
      <c r="D4663" s="1" t="s">
        <v>632</v>
      </c>
      <c r="E4663" t="s">
        <v>9010</v>
      </c>
      <c r="F4663" s="1">
        <v>197897</v>
      </c>
      <c r="G4663" s="1">
        <v>3320014271</v>
      </c>
      <c r="H4663" s="1">
        <v>6</v>
      </c>
      <c r="I4663" s="1" t="s">
        <v>11</v>
      </c>
      <c r="J4663" t="s">
        <v>9047</v>
      </c>
    </row>
    <row r="4664" spans="1:10">
      <c r="A4664" s="1">
        <v>268334</v>
      </c>
      <c r="B4664" s="1">
        <v>1910000522</v>
      </c>
      <c r="C4664" s="1">
        <v>24</v>
      </c>
      <c r="D4664" s="1" t="s">
        <v>9011</v>
      </c>
      <c r="E4664" t="s">
        <v>9012</v>
      </c>
      <c r="F4664" s="1">
        <v>273201</v>
      </c>
      <c r="G4664" s="1">
        <v>3320014330</v>
      </c>
      <c r="H4664" s="1">
        <v>12</v>
      </c>
      <c r="I4664" s="1" t="s">
        <v>1203</v>
      </c>
      <c r="J4664" t="s">
        <v>9048</v>
      </c>
    </row>
    <row r="4665" spans="1:10">
      <c r="A4665" s="1">
        <v>211094</v>
      </c>
      <c r="B4665" s="1">
        <v>1910000351</v>
      </c>
      <c r="C4665" s="1">
        <v>18</v>
      </c>
      <c r="D4665" s="1" t="s">
        <v>259</v>
      </c>
      <c r="E4665" t="s">
        <v>9013</v>
      </c>
      <c r="F4665" s="1">
        <v>594465</v>
      </c>
      <c r="G4665" s="1">
        <v>3320014662</v>
      </c>
      <c r="H4665" s="1">
        <v>10</v>
      </c>
      <c r="I4665" s="1" t="s">
        <v>1203</v>
      </c>
      <c r="J4665" t="s">
        <v>9049</v>
      </c>
    </row>
    <row r="4666" spans="1:10">
      <c r="A4666" s="1">
        <v>203406</v>
      </c>
      <c r="B4666" s="1">
        <v>1910000718</v>
      </c>
      <c r="C4666" s="1">
        <v>9</v>
      </c>
      <c r="D4666" s="1" t="s">
        <v>954</v>
      </c>
      <c r="E4666" t="s">
        <v>9014</v>
      </c>
      <c r="F4666" s="1">
        <v>272989</v>
      </c>
      <c r="G4666" s="1">
        <v>3700080068</v>
      </c>
      <c r="H4666" s="1">
        <v>9</v>
      </c>
      <c r="I4666" s="1" t="s">
        <v>1207</v>
      </c>
      <c r="J4666" t="s">
        <v>9050</v>
      </c>
    </row>
    <row r="4667" spans="1:10">
      <c r="A4667" s="1">
        <v>415620</v>
      </c>
      <c r="B4667" s="1">
        <v>1111100276</v>
      </c>
      <c r="C4667" s="1">
        <v>6</v>
      </c>
      <c r="D4667" s="1" t="s">
        <v>1489</v>
      </c>
      <c r="E4667" t="s">
        <v>9015</v>
      </c>
      <c r="F4667" s="1">
        <v>257147</v>
      </c>
      <c r="G4667" s="1">
        <v>3700080168</v>
      </c>
      <c r="H4667" s="1">
        <v>6</v>
      </c>
      <c r="I4667" s="1" t="s">
        <v>9051</v>
      </c>
      <c r="J4667" t="s">
        <v>9052</v>
      </c>
    </row>
    <row r="4668" spans="1:10">
      <c r="A4668" s="1">
        <v>269639</v>
      </c>
      <c r="B4668" s="1">
        <v>1111132016</v>
      </c>
      <c r="C4668" s="1">
        <v>24</v>
      </c>
      <c r="D4668" s="1" t="s">
        <v>546</v>
      </c>
      <c r="E4668" t="s">
        <v>9016</v>
      </c>
      <c r="F4668" s="1">
        <v>272963</v>
      </c>
      <c r="G4668" s="1">
        <v>3700080049</v>
      </c>
      <c r="H4668" s="1">
        <v>12</v>
      </c>
      <c r="I4668" s="1" t="s">
        <v>1203</v>
      </c>
      <c r="J4668" t="s">
        <v>9052</v>
      </c>
    </row>
    <row r="4669" spans="1:10">
      <c r="A4669" s="1">
        <v>713024</v>
      </c>
      <c r="B4669" s="1">
        <v>1111132538</v>
      </c>
      <c r="C4669" s="1">
        <v>6</v>
      </c>
      <c r="D4669" s="1" t="s">
        <v>1366</v>
      </c>
      <c r="E4669" t="s">
        <v>9017</v>
      </c>
      <c r="F4669" s="1">
        <v>272690</v>
      </c>
      <c r="G4669" s="1">
        <v>3700080070</v>
      </c>
      <c r="H4669" s="1">
        <v>9</v>
      </c>
      <c r="I4669" s="1" t="s">
        <v>1207</v>
      </c>
      <c r="J4669" t="s">
        <v>9053</v>
      </c>
    </row>
    <row r="4670" spans="1:10">
      <c r="A4670" s="1">
        <v>269159</v>
      </c>
      <c r="B4670" s="1">
        <v>1111132524</v>
      </c>
      <c r="C4670" s="1">
        <v>24</v>
      </c>
      <c r="D4670" s="1" t="s">
        <v>546</v>
      </c>
      <c r="E4670" t="s">
        <v>9018</v>
      </c>
      <c r="F4670" s="1">
        <v>272674</v>
      </c>
      <c r="G4670" s="1">
        <v>3700080069</v>
      </c>
      <c r="H4670" s="1">
        <v>9</v>
      </c>
      <c r="I4670" s="1" t="s">
        <v>1207</v>
      </c>
      <c r="J4670" t="s">
        <v>9054</v>
      </c>
    </row>
    <row r="4671" spans="1:10">
      <c r="A4671" s="1">
        <v>258145</v>
      </c>
      <c r="B4671" s="1">
        <v>1111132465</v>
      </c>
      <c r="C4671" s="1">
        <v>24</v>
      </c>
      <c r="D4671" s="1" t="s">
        <v>546</v>
      </c>
      <c r="E4671" t="s">
        <v>9019</v>
      </c>
      <c r="F4671" s="1">
        <v>240762</v>
      </c>
      <c r="G4671" s="1">
        <v>3700007312</v>
      </c>
      <c r="H4671" s="1">
        <v>6</v>
      </c>
      <c r="I4671" s="1" t="s">
        <v>9055</v>
      </c>
      <c r="J4671" t="s">
        <v>9056</v>
      </c>
    </row>
    <row r="4672" spans="1:10">
      <c r="A4672" s="1">
        <v>227710</v>
      </c>
      <c r="B4672" s="1">
        <v>1111100278</v>
      </c>
      <c r="C4672" s="1">
        <v>24</v>
      </c>
      <c r="D4672" s="1" t="s">
        <v>8974</v>
      </c>
      <c r="E4672" t="s">
        <v>9020</v>
      </c>
      <c r="F4672" s="1">
        <v>272666</v>
      </c>
      <c r="G4672" s="1">
        <v>3700032422</v>
      </c>
      <c r="H4672" s="1">
        <v>9</v>
      </c>
      <c r="I4672" s="1" t="s">
        <v>1207</v>
      </c>
      <c r="J4672" t="s">
        <v>9057</v>
      </c>
    </row>
    <row r="4673" spans="1:10">
      <c r="A4673" s="1">
        <v>260554</v>
      </c>
      <c r="B4673" s="1">
        <v>3500014500</v>
      </c>
      <c r="C4673" s="1">
        <v>60</v>
      </c>
      <c r="D4673" s="1" t="s">
        <v>360</v>
      </c>
      <c r="E4673" t="s">
        <v>9021</v>
      </c>
      <c r="F4673" s="1">
        <v>453928</v>
      </c>
      <c r="G4673" s="1">
        <v>3700004491</v>
      </c>
      <c r="H4673" s="1">
        <v>9</v>
      </c>
      <c r="I4673" s="1" t="s">
        <v>9058</v>
      </c>
      <c r="J4673" t="s">
        <v>9059</v>
      </c>
    </row>
    <row r="4674" spans="1:10">
      <c r="A4674" s="1">
        <v>444901</v>
      </c>
      <c r="B4674" s="1">
        <v>3700009883</v>
      </c>
      <c r="C4674" s="1">
        <v>24</v>
      </c>
      <c r="D4674" s="1" t="s">
        <v>365</v>
      </c>
      <c r="E4674" t="s">
        <v>9022</v>
      </c>
      <c r="F4674" s="1">
        <v>526673</v>
      </c>
      <c r="G4674" s="1">
        <v>3700013414</v>
      </c>
      <c r="H4674" s="1">
        <v>9</v>
      </c>
      <c r="I4674" s="1" t="s">
        <v>9058</v>
      </c>
      <c r="J4674" t="s">
        <v>9060</v>
      </c>
    </row>
    <row r="4675" spans="1:10" ht="15.75">
      <c r="A4675" s="4" t="s">
        <v>10822</v>
      </c>
      <c r="B4675" s="2"/>
      <c r="C4675" s="2"/>
      <c r="D4675" s="2"/>
      <c r="E4675" s="3"/>
      <c r="F4675" s="4" t="s">
        <v>10822</v>
      </c>
      <c r="G4675" s="2"/>
      <c r="H4675" s="2"/>
      <c r="I4675" s="2"/>
      <c r="J4675" s="3"/>
    </row>
    <row r="4676" spans="1:10">
      <c r="A4676" s="2" t="s">
        <v>0</v>
      </c>
      <c r="B4676" s="2" t="s">
        <v>1</v>
      </c>
      <c r="C4676" s="2" t="s">
        <v>2</v>
      </c>
      <c r="D4676" s="2" t="s">
        <v>3</v>
      </c>
      <c r="E4676" s="3" t="s">
        <v>4</v>
      </c>
      <c r="F4676" s="2" t="s">
        <v>0</v>
      </c>
      <c r="G4676" s="2" t="s">
        <v>1</v>
      </c>
      <c r="H4676" s="2" t="s">
        <v>2</v>
      </c>
      <c r="I4676" s="2" t="s">
        <v>3</v>
      </c>
      <c r="J4676" s="3" t="s">
        <v>4</v>
      </c>
    </row>
    <row r="4677" spans="1:10">
      <c r="A4677" s="1">
        <v>273706</v>
      </c>
      <c r="B4677" s="1">
        <v>3700080071</v>
      </c>
      <c r="C4677" s="1">
        <v>6</v>
      </c>
      <c r="D4677" s="1" t="s">
        <v>9061</v>
      </c>
      <c r="E4677" t="s">
        <v>9062</v>
      </c>
      <c r="F4677" s="1">
        <v>276089</v>
      </c>
      <c r="G4677" s="1">
        <v>3700040522</v>
      </c>
      <c r="H4677" s="1">
        <v>8</v>
      </c>
      <c r="I4677" s="1" t="s">
        <v>2496</v>
      </c>
      <c r="J4677" t="s">
        <v>9106</v>
      </c>
    </row>
    <row r="4678" spans="1:10">
      <c r="A4678" s="1">
        <v>392159</v>
      </c>
      <c r="B4678" s="1">
        <v>3700023405</v>
      </c>
      <c r="C4678" s="1">
        <v>6</v>
      </c>
      <c r="D4678" s="1" t="s">
        <v>9061</v>
      </c>
      <c r="E4678" t="s">
        <v>9063</v>
      </c>
      <c r="F4678" s="1">
        <v>576454</v>
      </c>
      <c r="G4678" s="1">
        <v>3700006687</v>
      </c>
      <c r="H4678" s="1">
        <v>6</v>
      </c>
      <c r="I4678" s="1" t="s">
        <v>1881</v>
      </c>
      <c r="J4678" t="s">
        <v>9107</v>
      </c>
    </row>
    <row r="4679" spans="1:10">
      <c r="A4679" s="1">
        <v>393694</v>
      </c>
      <c r="B4679" s="1">
        <v>3700018610</v>
      </c>
      <c r="C4679" s="1">
        <v>9</v>
      </c>
      <c r="D4679" s="1" t="s">
        <v>11</v>
      </c>
      <c r="E4679" t="s">
        <v>9064</v>
      </c>
      <c r="F4679" s="1">
        <v>399352</v>
      </c>
      <c r="G4679" s="1">
        <v>3700001166</v>
      </c>
      <c r="H4679" s="1">
        <v>8</v>
      </c>
      <c r="I4679" s="1" t="s">
        <v>6622</v>
      </c>
      <c r="J4679" t="s">
        <v>9108</v>
      </c>
    </row>
    <row r="4680" spans="1:10">
      <c r="A4680" s="1">
        <v>652651</v>
      </c>
      <c r="B4680" s="1">
        <v>3700018608</v>
      </c>
      <c r="C4680" s="1">
        <v>9</v>
      </c>
      <c r="D4680" s="1" t="s">
        <v>11</v>
      </c>
      <c r="E4680" t="s">
        <v>9065</v>
      </c>
      <c r="F4680" s="1">
        <v>366724</v>
      </c>
      <c r="G4680" s="1">
        <v>3700015876</v>
      </c>
      <c r="H4680" s="1">
        <v>6</v>
      </c>
      <c r="I4680" s="1" t="s">
        <v>1881</v>
      </c>
      <c r="J4680" t="s">
        <v>9109</v>
      </c>
    </row>
    <row r="4681" spans="1:10">
      <c r="A4681" s="1">
        <v>455675</v>
      </c>
      <c r="B4681" s="1">
        <v>3700080252</v>
      </c>
      <c r="C4681" s="1">
        <v>6</v>
      </c>
      <c r="D4681" s="1" t="s">
        <v>9061</v>
      </c>
      <c r="E4681" t="s">
        <v>9066</v>
      </c>
      <c r="F4681" s="1">
        <v>385641</v>
      </c>
      <c r="G4681" s="1">
        <v>3700043227</v>
      </c>
      <c r="H4681" s="1">
        <v>6</v>
      </c>
      <c r="I4681" s="1" t="s">
        <v>9061</v>
      </c>
      <c r="J4681" t="s">
        <v>9110</v>
      </c>
    </row>
    <row r="4682" spans="1:10">
      <c r="A4682" s="1">
        <v>710731</v>
      </c>
      <c r="B4682" s="1">
        <v>3700080253</v>
      </c>
      <c r="C4682" s="1">
        <v>6</v>
      </c>
      <c r="D4682" s="1" t="s">
        <v>9061</v>
      </c>
      <c r="E4682" t="s">
        <v>9067</v>
      </c>
      <c r="F4682" s="1">
        <v>168963</v>
      </c>
      <c r="G4682" s="1">
        <v>3700018048</v>
      </c>
      <c r="H4682" s="1">
        <v>9</v>
      </c>
      <c r="I4682" s="1" t="s">
        <v>9058</v>
      </c>
      <c r="J4682" t="s">
        <v>9111</v>
      </c>
    </row>
    <row r="4683" spans="1:10">
      <c r="A4683" s="1">
        <v>710723</v>
      </c>
      <c r="B4683" s="1">
        <v>3700004492</v>
      </c>
      <c r="C4683" s="1">
        <v>9</v>
      </c>
      <c r="D4683" s="1" t="s">
        <v>9058</v>
      </c>
      <c r="E4683" t="s">
        <v>9068</v>
      </c>
      <c r="F4683" s="1">
        <v>483305</v>
      </c>
      <c r="G4683" s="1">
        <v>3700001165</v>
      </c>
      <c r="H4683" s="1">
        <v>8</v>
      </c>
      <c r="I4683" s="1" t="s">
        <v>6622</v>
      </c>
      <c r="J4683" t="s">
        <v>9112</v>
      </c>
    </row>
    <row r="4684" spans="1:10">
      <c r="A4684" s="1">
        <v>277269</v>
      </c>
      <c r="B4684" s="1">
        <v>5170022280</v>
      </c>
      <c r="C4684" s="1">
        <v>6</v>
      </c>
      <c r="D4684" s="1" t="s">
        <v>1203</v>
      </c>
      <c r="E4684" t="s">
        <v>9069</v>
      </c>
      <c r="F4684" s="1">
        <v>863191</v>
      </c>
      <c r="G4684" s="1">
        <v>4116345087</v>
      </c>
      <c r="H4684" s="1">
        <v>6</v>
      </c>
      <c r="I4684" s="1" t="s">
        <v>2947</v>
      </c>
      <c r="J4684" t="s">
        <v>9113</v>
      </c>
    </row>
    <row r="4685" spans="1:10">
      <c r="A4685" s="1">
        <v>527085</v>
      </c>
      <c r="B4685" s="1">
        <v>3700010613</v>
      </c>
      <c r="C4685" s="1">
        <v>6</v>
      </c>
      <c r="D4685" s="1" t="s">
        <v>8814</v>
      </c>
      <c r="E4685" t="s">
        <v>9070</v>
      </c>
      <c r="F4685" s="1">
        <v>834465</v>
      </c>
      <c r="G4685" s="1">
        <v>4116345091</v>
      </c>
      <c r="H4685" s="1">
        <v>6</v>
      </c>
      <c r="I4685" s="1" t="s">
        <v>6622</v>
      </c>
      <c r="J4685" t="s">
        <v>9113</v>
      </c>
    </row>
    <row r="4686" spans="1:10">
      <c r="A4686" s="1">
        <v>274274</v>
      </c>
      <c r="B4686" s="1">
        <v>3700080066</v>
      </c>
      <c r="C4686" s="1">
        <v>9</v>
      </c>
      <c r="D4686" s="1" t="s">
        <v>1207</v>
      </c>
      <c r="E4686" t="s">
        <v>9071</v>
      </c>
      <c r="F4686" s="1">
        <v>498360</v>
      </c>
      <c r="G4686" s="1">
        <v>4116345089</v>
      </c>
      <c r="H4686" s="1">
        <v>6</v>
      </c>
      <c r="I4686" s="1" t="s">
        <v>2947</v>
      </c>
      <c r="J4686" t="s">
        <v>9114</v>
      </c>
    </row>
    <row r="4687" spans="1:10">
      <c r="A4687" s="1">
        <v>274241</v>
      </c>
      <c r="B4687" s="1">
        <v>3700080065</v>
      </c>
      <c r="C4687" s="1">
        <v>12</v>
      </c>
      <c r="D4687" s="1" t="s">
        <v>1203</v>
      </c>
      <c r="E4687" t="s">
        <v>9072</v>
      </c>
      <c r="F4687" s="1">
        <v>831545</v>
      </c>
      <c r="G4687" s="1">
        <v>4116345093</v>
      </c>
      <c r="H4687" s="1">
        <v>6</v>
      </c>
      <c r="I4687" s="1" t="s">
        <v>6622</v>
      </c>
      <c r="J4687" t="s">
        <v>9115</v>
      </c>
    </row>
    <row r="4688" spans="1:10">
      <c r="A4688" s="1">
        <v>273391</v>
      </c>
      <c r="B4688" s="1">
        <v>3700035510</v>
      </c>
      <c r="C4688" s="1">
        <v>8</v>
      </c>
      <c r="D4688" s="1" t="s">
        <v>2496</v>
      </c>
      <c r="E4688" t="s">
        <v>9073</v>
      </c>
      <c r="F4688" s="1">
        <v>770636</v>
      </c>
      <c r="G4688" s="1">
        <v>4116345086</v>
      </c>
      <c r="H4688" s="1">
        <v>6</v>
      </c>
      <c r="I4688" s="1" t="s">
        <v>2947</v>
      </c>
      <c r="J4688" t="s">
        <v>9116</v>
      </c>
    </row>
    <row r="4689" spans="1:10">
      <c r="A4689" s="1">
        <v>408039</v>
      </c>
      <c r="B4689" s="1">
        <v>3700010631</v>
      </c>
      <c r="C4689" s="1">
        <v>6</v>
      </c>
      <c r="D4689" s="1" t="s">
        <v>9074</v>
      </c>
      <c r="E4689" t="s">
        <v>9075</v>
      </c>
      <c r="F4689" s="1">
        <v>230474</v>
      </c>
      <c r="G4689" s="1">
        <v>4116345090</v>
      </c>
      <c r="H4689" s="1">
        <v>6</v>
      </c>
      <c r="I4689" s="1" t="s">
        <v>6622</v>
      </c>
      <c r="J4689" t="s">
        <v>9117</v>
      </c>
    </row>
    <row r="4690" spans="1:10">
      <c r="A4690" s="1">
        <v>273581</v>
      </c>
      <c r="B4690" s="1">
        <v>3700035756</v>
      </c>
      <c r="C4690" s="1">
        <v>6</v>
      </c>
      <c r="D4690" s="1" t="s">
        <v>2947</v>
      </c>
      <c r="E4690" t="s">
        <v>9076</v>
      </c>
      <c r="F4690" s="1">
        <v>847384</v>
      </c>
      <c r="G4690" s="1">
        <v>4116345088</v>
      </c>
      <c r="H4690" s="1">
        <v>6</v>
      </c>
      <c r="I4690" s="1" t="s">
        <v>2947</v>
      </c>
      <c r="J4690" t="s">
        <v>9118</v>
      </c>
    </row>
    <row r="4691" spans="1:10">
      <c r="A4691" s="1">
        <v>806745</v>
      </c>
      <c r="B4691" s="1">
        <v>3700031220</v>
      </c>
      <c r="C4691" s="1">
        <v>4</v>
      </c>
      <c r="D4691" s="1" t="s">
        <v>9077</v>
      </c>
      <c r="E4691" t="s">
        <v>9078</v>
      </c>
      <c r="F4691" s="1">
        <v>523019</v>
      </c>
      <c r="G4691" s="1">
        <v>4116345092</v>
      </c>
      <c r="H4691" s="1">
        <v>6</v>
      </c>
      <c r="I4691" s="1" t="s">
        <v>6622</v>
      </c>
      <c r="J4691" t="s">
        <v>9119</v>
      </c>
    </row>
    <row r="4692" spans="1:10">
      <c r="A4692" s="1">
        <v>217794</v>
      </c>
      <c r="B4692" s="1">
        <v>3700035830</v>
      </c>
      <c r="C4692" s="1">
        <v>8</v>
      </c>
      <c r="D4692" s="1" t="s">
        <v>6622</v>
      </c>
      <c r="E4692" t="s">
        <v>9079</v>
      </c>
      <c r="F4692" s="1">
        <v>465526</v>
      </c>
      <c r="G4692" s="1">
        <v>4116344683</v>
      </c>
      <c r="H4692" s="1">
        <v>12</v>
      </c>
      <c r="I4692" s="1" t="s">
        <v>1203</v>
      </c>
      <c r="J4692" t="s">
        <v>9120</v>
      </c>
    </row>
    <row r="4693" spans="1:10">
      <c r="A4693" s="1">
        <v>329003</v>
      </c>
      <c r="B4693" s="1">
        <v>3700004434</v>
      </c>
      <c r="C4693" s="1">
        <v>9</v>
      </c>
      <c r="D4693" s="1" t="s">
        <v>1216</v>
      </c>
      <c r="E4693" t="s">
        <v>9080</v>
      </c>
      <c r="F4693" s="1">
        <v>178384</v>
      </c>
      <c r="G4693" s="1">
        <v>4116344682</v>
      </c>
      <c r="H4693" s="1">
        <v>12</v>
      </c>
      <c r="I4693" s="1" t="s">
        <v>1203</v>
      </c>
      <c r="J4693" t="s">
        <v>9121</v>
      </c>
    </row>
    <row r="4694" spans="1:10">
      <c r="A4694" s="1">
        <v>273623</v>
      </c>
      <c r="B4694" s="1">
        <v>3700035780</v>
      </c>
      <c r="C4694" s="1">
        <v>6</v>
      </c>
      <c r="D4694" s="1" t="s">
        <v>2947</v>
      </c>
      <c r="E4694" t="s">
        <v>9081</v>
      </c>
      <c r="F4694" s="1">
        <v>555524</v>
      </c>
      <c r="G4694" s="1">
        <v>4116344689</v>
      </c>
      <c r="H4694" s="1">
        <v>6</v>
      </c>
      <c r="I4694" s="1" t="s">
        <v>9061</v>
      </c>
      <c r="J4694" t="s">
        <v>9122</v>
      </c>
    </row>
    <row r="4695" spans="1:10">
      <c r="A4695" s="1">
        <v>273680</v>
      </c>
      <c r="B4695" s="1">
        <v>3700035819</v>
      </c>
      <c r="C4695" s="1">
        <v>6</v>
      </c>
      <c r="D4695" s="1" t="s">
        <v>2947</v>
      </c>
      <c r="E4695" t="s">
        <v>9082</v>
      </c>
      <c r="F4695" s="1">
        <v>37176</v>
      </c>
      <c r="G4695" s="1">
        <v>4116344690</v>
      </c>
      <c r="H4695" s="1">
        <v>6</v>
      </c>
      <c r="I4695" s="1" t="s">
        <v>9061</v>
      </c>
      <c r="J4695" t="s">
        <v>9123</v>
      </c>
    </row>
    <row r="4696" spans="1:10">
      <c r="A4696" s="1">
        <v>273417</v>
      </c>
      <c r="B4696" s="1">
        <v>3700035804</v>
      </c>
      <c r="C4696" s="1">
        <v>6</v>
      </c>
      <c r="D4696" s="1" t="s">
        <v>2947</v>
      </c>
      <c r="E4696" t="s">
        <v>9083</v>
      </c>
      <c r="F4696" s="1">
        <v>486951</v>
      </c>
      <c r="G4696" s="1">
        <v>4116344688</v>
      </c>
      <c r="H4696" s="1">
        <v>6</v>
      </c>
      <c r="I4696" s="1" t="s">
        <v>9061</v>
      </c>
      <c r="J4696" t="s">
        <v>9124</v>
      </c>
    </row>
    <row r="4697" spans="1:10">
      <c r="A4697" s="1">
        <v>273656</v>
      </c>
      <c r="B4697" s="1">
        <v>3700035890</v>
      </c>
      <c r="C4697" s="1">
        <v>6</v>
      </c>
      <c r="D4697" s="1" t="s">
        <v>6622</v>
      </c>
      <c r="E4697" t="s">
        <v>9084</v>
      </c>
      <c r="F4697" s="1">
        <v>338442</v>
      </c>
      <c r="G4697" s="1">
        <v>4116344684</v>
      </c>
      <c r="H4697" s="1">
        <v>9</v>
      </c>
      <c r="I4697" s="1" t="s">
        <v>1207</v>
      </c>
      <c r="J4697" t="s">
        <v>9125</v>
      </c>
    </row>
    <row r="4698" spans="1:10">
      <c r="A4698" s="1">
        <v>273458</v>
      </c>
      <c r="B4698" s="1">
        <v>3700035751</v>
      </c>
      <c r="C4698" s="1">
        <v>6</v>
      </c>
      <c r="D4698" s="1" t="s">
        <v>2947</v>
      </c>
      <c r="E4698" t="s">
        <v>9085</v>
      </c>
      <c r="F4698" s="1">
        <v>703736</v>
      </c>
      <c r="G4698" s="1">
        <v>4116344686</v>
      </c>
      <c r="H4698" s="1">
        <v>9</v>
      </c>
      <c r="I4698" s="1" t="s">
        <v>1207</v>
      </c>
      <c r="J4698" t="s">
        <v>9126</v>
      </c>
    </row>
    <row r="4699" spans="1:10">
      <c r="A4699" s="1">
        <v>217752</v>
      </c>
      <c r="B4699" s="1">
        <v>3700039300</v>
      </c>
      <c r="C4699" s="1">
        <v>8</v>
      </c>
      <c r="D4699" s="1" t="s">
        <v>6622</v>
      </c>
      <c r="E4699" t="s">
        <v>9086</v>
      </c>
      <c r="F4699" s="1">
        <v>772392</v>
      </c>
      <c r="G4699" s="1">
        <v>4116344687</v>
      </c>
      <c r="H4699" s="1">
        <v>9</v>
      </c>
      <c r="I4699" s="1" t="s">
        <v>1207</v>
      </c>
      <c r="J4699" t="s">
        <v>9127</v>
      </c>
    </row>
    <row r="4700" spans="1:10">
      <c r="A4700" s="1">
        <v>157677</v>
      </c>
      <c r="B4700" s="1">
        <v>3700039686</v>
      </c>
      <c r="C4700" s="1">
        <v>8</v>
      </c>
      <c r="D4700" s="1" t="s">
        <v>6622</v>
      </c>
      <c r="E4700" t="s">
        <v>9087</v>
      </c>
      <c r="F4700" s="1">
        <v>320333</v>
      </c>
      <c r="G4700" s="1">
        <v>4116344685</v>
      </c>
      <c r="H4700" s="1">
        <v>9</v>
      </c>
      <c r="I4700" s="1" t="s">
        <v>1207</v>
      </c>
      <c r="J4700" t="s">
        <v>9128</v>
      </c>
    </row>
    <row r="4701" spans="1:10">
      <c r="A4701" s="1">
        <v>758334</v>
      </c>
      <c r="B4701" s="1">
        <v>3700013421</v>
      </c>
      <c r="C4701" s="1">
        <v>6</v>
      </c>
      <c r="D4701" s="1" t="s">
        <v>1881</v>
      </c>
      <c r="E4701" t="s">
        <v>9088</v>
      </c>
      <c r="F4701" s="1">
        <v>763680</v>
      </c>
      <c r="G4701" s="1">
        <v>9451442080</v>
      </c>
      <c r="H4701" s="1">
        <v>6</v>
      </c>
      <c r="I4701" s="1" t="s">
        <v>8650</v>
      </c>
      <c r="J4701" t="s">
        <v>9129</v>
      </c>
    </row>
    <row r="4702" spans="1:10">
      <c r="A4702" s="1">
        <v>547521</v>
      </c>
      <c r="B4702" s="1">
        <v>3700016533</v>
      </c>
      <c r="C4702" s="1">
        <v>6</v>
      </c>
      <c r="D4702" s="1" t="s">
        <v>9089</v>
      </c>
      <c r="E4702" t="s">
        <v>9090</v>
      </c>
      <c r="F4702" s="1">
        <v>296210</v>
      </c>
      <c r="G4702" s="1">
        <v>9451442081</v>
      </c>
      <c r="H4702" s="1">
        <v>6</v>
      </c>
      <c r="I4702" s="1" t="s">
        <v>8650</v>
      </c>
      <c r="J4702" t="s">
        <v>9130</v>
      </c>
    </row>
    <row r="4703" spans="1:10">
      <c r="A4703" s="1">
        <v>446088</v>
      </c>
      <c r="B4703" s="1">
        <v>3700016009</v>
      </c>
      <c r="C4703" s="1">
        <v>6</v>
      </c>
      <c r="D4703" s="1" t="s">
        <v>9089</v>
      </c>
      <c r="E4703" t="s">
        <v>9091</v>
      </c>
      <c r="F4703" s="1">
        <v>511576</v>
      </c>
      <c r="G4703" s="1">
        <v>2420010436</v>
      </c>
      <c r="H4703" s="1">
        <v>6</v>
      </c>
      <c r="I4703" s="1" t="s">
        <v>1881</v>
      </c>
      <c r="J4703" t="s">
        <v>9131</v>
      </c>
    </row>
    <row r="4704" spans="1:10">
      <c r="A4704" s="1">
        <v>635557</v>
      </c>
      <c r="B4704" s="1">
        <v>3700045888</v>
      </c>
      <c r="C4704" s="1">
        <v>6</v>
      </c>
      <c r="D4704" s="1" t="s">
        <v>9089</v>
      </c>
      <c r="E4704" t="s">
        <v>9092</v>
      </c>
      <c r="F4704" s="1">
        <v>741843</v>
      </c>
      <c r="G4704" s="1">
        <v>2420010438</v>
      </c>
      <c r="H4704" s="1">
        <v>6</v>
      </c>
      <c r="I4704" s="1" t="s">
        <v>1881</v>
      </c>
      <c r="J4704" t="s">
        <v>9132</v>
      </c>
    </row>
    <row r="4705" spans="1:10">
      <c r="A4705" s="1">
        <v>452722</v>
      </c>
      <c r="B4705" s="1">
        <v>3700045891</v>
      </c>
      <c r="C4705" s="1">
        <v>6</v>
      </c>
      <c r="D4705" s="1" t="s">
        <v>9089</v>
      </c>
      <c r="E4705" t="s">
        <v>9093</v>
      </c>
      <c r="F4705" s="1">
        <v>545483</v>
      </c>
      <c r="G4705" s="1">
        <v>4113030900</v>
      </c>
      <c r="H4705" s="1">
        <v>9</v>
      </c>
      <c r="I4705" s="1" t="s">
        <v>2496</v>
      </c>
      <c r="J4705" t="s">
        <v>9133</v>
      </c>
    </row>
    <row r="4706" spans="1:10">
      <c r="A4706" s="1">
        <v>522342</v>
      </c>
      <c r="B4706" s="1">
        <v>3700019333</v>
      </c>
      <c r="C4706" s="1">
        <v>6</v>
      </c>
      <c r="D4706" s="1" t="s">
        <v>9089</v>
      </c>
      <c r="E4706" t="s">
        <v>9094</v>
      </c>
      <c r="F4706" s="1">
        <v>774331</v>
      </c>
      <c r="G4706" s="1">
        <v>4113030901</v>
      </c>
      <c r="H4706" s="1">
        <v>9</v>
      </c>
      <c r="I4706" s="1" t="s">
        <v>2496</v>
      </c>
      <c r="J4706" t="s">
        <v>9134</v>
      </c>
    </row>
    <row r="4707" spans="1:10">
      <c r="A4707" s="1">
        <v>564385</v>
      </c>
      <c r="B4707" s="1">
        <v>3700011639</v>
      </c>
      <c r="C4707" s="1">
        <v>6</v>
      </c>
      <c r="D4707" s="1" t="s">
        <v>1881</v>
      </c>
      <c r="E4707" t="s">
        <v>9095</v>
      </c>
      <c r="F4707" s="1">
        <v>754838</v>
      </c>
      <c r="G4707" s="1">
        <v>4113030902</v>
      </c>
      <c r="H4707" s="1">
        <v>9</v>
      </c>
      <c r="I4707" s="1" t="s">
        <v>2496</v>
      </c>
      <c r="J4707" t="s">
        <v>9135</v>
      </c>
    </row>
    <row r="4708" spans="1:10">
      <c r="A4708" s="1">
        <v>229641</v>
      </c>
      <c r="B4708" s="1">
        <v>3700011637</v>
      </c>
      <c r="C4708" s="1">
        <v>6</v>
      </c>
      <c r="D4708" s="1" t="s">
        <v>1881</v>
      </c>
      <c r="E4708" t="s">
        <v>9096</v>
      </c>
      <c r="F4708" s="1">
        <v>700989</v>
      </c>
      <c r="G4708" s="1">
        <v>4113030799</v>
      </c>
      <c r="H4708" s="1">
        <v>12</v>
      </c>
      <c r="I4708" s="1" t="s">
        <v>1203</v>
      </c>
      <c r="J4708" t="s">
        <v>9136</v>
      </c>
    </row>
    <row r="4709" spans="1:10">
      <c r="A4709" s="1">
        <v>801340</v>
      </c>
      <c r="B4709" s="1">
        <v>3700011638</v>
      </c>
      <c r="C4709" s="1">
        <v>6</v>
      </c>
      <c r="D4709" s="1" t="s">
        <v>1881</v>
      </c>
      <c r="E4709" t="s">
        <v>9097</v>
      </c>
      <c r="F4709" s="1">
        <v>710806</v>
      </c>
      <c r="G4709" s="1">
        <v>4113030350</v>
      </c>
      <c r="H4709" s="1">
        <v>6</v>
      </c>
      <c r="I4709" s="1" t="s">
        <v>9051</v>
      </c>
      <c r="J4709" t="s">
        <v>9137</v>
      </c>
    </row>
    <row r="4710" spans="1:10">
      <c r="A4710" s="1">
        <v>273433</v>
      </c>
      <c r="B4710" s="1">
        <v>3700035762</v>
      </c>
      <c r="C4710" s="1">
        <v>8</v>
      </c>
      <c r="D4710" s="1" t="s">
        <v>6622</v>
      </c>
      <c r="E4710" t="s">
        <v>9098</v>
      </c>
      <c r="F4710" s="1">
        <v>850578</v>
      </c>
      <c r="G4710" s="1">
        <v>7261345306</v>
      </c>
      <c r="H4710" s="1">
        <v>8</v>
      </c>
      <c r="I4710" s="1" t="s">
        <v>1216</v>
      </c>
      <c r="J4710" t="s">
        <v>9138</v>
      </c>
    </row>
    <row r="4711" spans="1:10">
      <c r="A4711" s="1">
        <v>460683</v>
      </c>
      <c r="B4711" s="1">
        <v>3700004136</v>
      </c>
      <c r="C4711" s="1">
        <v>6</v>
      </c>
      <c r="D4711" s="1" t="s">
        <v>1881</v>
      </c>
      <c r="E4711" t="s">
        <v>9099</v>
      </c>
      <c r="F4711" s="1">
        <v>570523</v>
      </c>
      <c r="G4711" s="1">
        <v>1111101137</v>
      </c>
      <c r="H4711" s="1">
        <v>9</v>
      </c>
      <c r="I4711" s="1" t="s">
        <v>1189</v>
      </c>
      <c r="J4711" t="s">
        <v>9139</v>
      </c>
    </row>
    <row r="4712" spans="1:10">
      <c r="A4712" s="1">
        <v>710772</v>
      </c>
      <c r="B4712" s="1">
        <v>3700004139</v>
      </c>
      <c r="C4712" s="1">
        <v>6</v>
      </c>
      <c r="D4712" s="1" t="s">
        <v>9100</v>
      </c>
      <c r="E4712" t="s">
        <v>9101</v>
      </c>
      <c r="F4712" s="1">
        <v>273128</v>
      </c>
      <c r="G4712" s="1">
        <v>1111162508</v>
      </c>
      <c r="H4712" s="1">
        <v>8</v>
      </c>
      <c r="I4712" s="1" t="s">
        <v>1207</v>
      </c>
      <c r="J4712" t="s">
        <v>9140</v>
      </c>
    </row>
    <row r="4713" spans="1:10">
      <c r="A4713" s="1">
        <v>249326</v>
      </c>
      <c r="B4713" s="1">
        <v>88596758420</v>
      </c>
      <c r="C4713" s="1">
        <v>4</v>
      </c>
      <c r="D4713" s="1" t="s">
        <v>9102</v>
      </c>
      <c r="E4713" t="s">
        <v>9103</v>
      </c>
      <c r="F4713" s="1">
        <v>759944</v>
      </c>
      <c r="G4713" s="1">
        <v>1111124284</v>
      </c>
      <c r="H4713" s="1">
        <v>9</v>
      </c>
      <c r="I4713" s="1" t="s">
        <v>1189</v>
      </c>
      <c r="J4713" t="s">
        <v>9141</v>
      </c>
    </row>
    <row r="4714" spans="1:10">
      <c r="A4714" s="1">
        <v>249318</v>
      </c>
      <c r="B4714" s="1">
        <v>88596758407</v>
      </c>
      <c r="C4714" s="1">
        <v>9</v>
      </c>
      <c r="D4714" s="1" t="s">
        <v>2496</v>
      </c>
      <c r="E4714" t="s">
        <v>9104</v>
      </c>
      <c r="F4714" s="1">
        <v>879973</v>
      </c>
      <c r="G4714" s="1">
        <v>1111113145</v>
      </c>
      <c r="H4714" s="1">
        <v>9</v>
      </c>
      <c r="I4714" s="1" t="s">
        <v>1189</v>
      </c>
      <c r="J4714" t="s">
        <v>9142</v>
      </c>
    </row>
    <row r="4715" spans="1:10">
      <c r="A4715" s="1">
        <v>218214</v>
      </c>
      <c r="B4715" s="1">
        <v>3320014070</v>
      </c>
      <c r="C4715" s="1">
        <v>6</v>
      </c>
      <c r="D4715" s="1" t="s">
        <v>11</v>
      </c>
      <c r="E4715" t="s">
        <v>9105</v>
      </c>
      <c r="F4715" s="1">
        <v>273177</v>
      </c>
      <c r="G4715" s="1">
        <v>1111162020</v>
      </c>
      <c r="H4715" s="1">
        <v>12</v>
      </c>
      <c r="I4715" s="1" t="s">
        <v>1203</v>
      </c>
      <c r="J4715" t="s">
        <v>9143</v>
      </c>
    </row>
    <row r="4716" spans="1:10" ht="15.75">
      <c r="A4716" s="4" t="s">
        <v>10822</v>
      </c>
      <c r="B4716" s="2"/>
      <c r="C4716" s="2"/>
      <c r="D4716" s="2"/>
      <c r="E4716" s="3"/>
      <c r="F4716" s="4" t="s">
        <v>10824</v>
      </c>
      <c r="G4716" s="2"/>
      <c r="H4716" s="2"/>
      <c r="I4716" s="2"/>
      <c r="J4716" s="3"/>
    </row>
    <row r="4717" spans="1:10">
      <c r="A4717" s="2" t="s">
        <v>0</v>
      </c>
      <c r="B4717" s="2" t="s">
        <v>1</v>
      </c>
      <c r="C4717" s="2" t="s">
        <v>2</v>
      </c>
      <c r="D4717" s="2" t="s">
        <v>3</v>
      </c>
      <c r="E4717" s="3" t="s">
        <v>4</v>
      </c>
      <c r="F4717" s="2" t="s">
        <v>0</v>
      </c>
      <c r="G4717" s="2" t="s">
        <v>1</v>
      </c>
      <c r="H4717" s="2" t="s">
        <v>2</v>
      </c>
      <c r="I4717" s="2" t="s">
        <v>3</v>
      </c>
      <c r="J4717" s="3" t="s">
        <v>4</v>
      </c>
    </row>
    <row r="4718" spans="1:10">
      <c r="A4718" s="1">
        <v>161935</v>
      </c>
      <c r="B4718" s="1">
        <v>1111101136</v>
      </c>
      <c r="C4718" s="1">
        <v>9</v>
      </c>
      <c r="D4718" s="1" t="s">
        <v>1189</v>
      </c>
      <c r="E4718" t="s">
        <v>9144</v>
      </c>
      <c r="F4718" s="1">
        <v>211177</v>
      </c>
      <c r="G4718" s="1">
        <v>4460004668</v>
      </c>
      <c r="H4718" s="1">
        <v>6</v>
      </c>
      <c r="I4718" s="1" t="s">
        <v>9180</v>
      </c>
      <c r="J4718" t="s">
        <v>9181</v>
      </c>
    </row>
    <row r="4719" spans="1:10">
      <c r="A4719" s="1">
        <v>810143</v>
      </c>
      <c r="B4719" s="1">
        <v>7261345307</v>
      </c>
      <c r="C4719" s="1">
        <v>8</v>
      </c>
      <c r="D4719" s="1" t="s">
        <v>1216</v>
      </c>
      <c r="E4719" t="s">
        <v>9145</v>
      </c>
      <c r="F4719" s="1">
        <v>210757</v>
      </c>
      <c r="G4719" s="1">
        <v>4460002450</v>
      </c>
      <c r="H4719" s="1">
        <v>12</v>
      </c>
      <c r="I4719" s="1" t="s">
        <v>2557</v>
      </c>
      <c r="J4719" t="s">
        <v>9182</v>
      </c>
    </row>
    <row r="4720" spans="1:10">
      <c r="A4720" s="1">
        <v>337881</v>
      </c>
      <c r="B4720" s="1">
        <v>1111141008</v>
      </c>
      <c r="C4720" s="1">
        <v>9</v>
      </c>
      <c r="D4720" s="1" t="s">
        <v>1189</v>
      </c>
      <c r="E4720" t="s">
        <v>9146</v>
      </c>
      <c r="F4720" s="1">
        <v>211003</v>
      </c>
      <c r="G4720" s="1">
        <v>4460002452</v>
      </c>
      <c r="H4720" s="1">
        <v>6</v>
      </c>
      <c r="I4720" s="1" t="s">
        <v>2506</v>
      </c>
      <c r="J4720" t="s">
        <v>9182</v>
      </c>
    </row>
    <row r="4721" spans="1:10">
      <c r="A4721" s="1">
        <v>634113</v>
      </c>
      <c r="B4721" s="1">
        <v>1111117863</v>
      </c>
      <c r="C4721" s="1">
        <v>8</v>
      </c>
      <c r="D4721" s="1" t="s">
        <v>1216</v>
      </c>
      <c r="E4721" t="s">
        <v>9147</v>
      </c>
      <c r="F4721" s="1">
        <v>115014</v>
      </c>
      <c r="G4721" s="1">
        <v>4460003096</v>
      </c>
      <c r="H4721" s="1">
        <v>6</v>
      </c>
      <c r="I4721" s="1" t="s">
        <v>9183</v>
      </c>
      <c r="J4721" t="s">
        <v>9184</v>
      </c>
    </row>
    <row r="4722" spans="1:10">
      <c r="A4722" s="1">
        <v>746131</v>
      </c>
      <c r="B4722" s="1">
        <v>1111113146</v>
      </c>
      <c r="C4722" s="1">
        <v>9</v>
      </c>
      <c r="D4722" s="1" t="s">
        <v>1189</v>
      </c>
      <c r="E4722" t="s">
        <v>9148</v>
      </c>
      <c r="F4722" s="1">
        <v>222299</v>
      </c>
      <c r="G4722" s="1">
        <v>4116344830</v>
      </c>
      <c r="H4722" s="1">
        <v>6</v>
      </c>
      <c r="I4722" s="1" t="s">
        <v>2506</v>
      </c>
      <c r="J4722" t="s">
        <v>9185</v>
      </c>
    </row>
    <row r="4723" spans="1:10">
      <c r="A4723" s="1">
        <v>78121</v>
      </c>
      <c r="B4723" s="1">
        <v>1111156006</v>
      </c>
      <c r="C4723" s="1">
        <v>6</v>
      </c>
      <c r="D4723" s="1" t="s">
        <v>2496</v>
      </c>
      <c r="E4723" t="s">
        <v>9149</v>
      </c>
      <c r="F4723" s="1">
        <v>681411</v>
      </c>
      <c r="G4723" s="1">
        <v>4116344833</v>
      </c>
      <c r="H4723" s="1">
        <v>3</v>
      </c>
      <c r="I4723" s="1" t="s">
        <v>9167</v>
      </c>
      <c r="J4723" t="s">
        <v>9186</v>
      </c>
    </row>
    <row r="4724" spans="1:10">
      <c r="A4724" s="1">
        <v>78139</v>
      </c>
      <c r="B4724" s="1">
        <v>1111156328</v>
      </c>
      <c r="C4724" s="1">
        <v>6</v>
      </c>
      <c r="D4724" s="1" t="s">
        <v>2496</v>
      </c>
      <c r="E4724" t="s">
        <v>9150</v>
      </c>
      <c r="F4724" s="1">
        <v>107771</v>
      </c>
      <c r="G4724" s="1">
        <v>4116344831</v>
      </c>
      <c r="H4724" s="1">
        <v>6</v>
      </c>
      <c r="I4724" s="1" t="s">
        <v>2506</v>
      </c>
      <c r="J4724" t="s">
        <v>9187</v>
      </c>
    </row>
    <row r="4725" spans="1:10" ht="15.75">
      <c r="A4725" s="4" t="s">
        <v>10823</v>
      </c>
      <c r="B4725" s="2"/>
      <c r="C4725" s="2"/>
      <c r="D4725" s="2"/>
      <c r="E4725" s="3"/>
      <c r="F4725" s="1">
        <v>433540</v>
      </c>
      <c r="G4725" s="1">
        <v>4116344832</v>
      </c>
      <c r="H4725" s="1">
        <v>3</v>
      </c>
      <c r="I4725" s="1" t="s">
        <v>9167</v>
      </c>
      <c r="J4725" t="s">
        <v>9188</v>
      </c>
    </row>
    <row r="4726" spans="1:10">
      <c r="A4726" s="2" t="s">
        <v>0</v>
      </c>
      <c r="B4726" s="2" t="s">
        <v>1</v>
      </c>
      <c r="C4726" s="2" t="s">
        <v>2</v>
      </c>
      <c r="D4726" s="2" t="s">
        <v>3</v>
      </c>
      <c r="E4726" s="3" t="s">
        <v>4</v>
      </c>
      <c r="F4726" s="1">
        <v>271247</v>
      </c>
      <c r="G4726" s="1">
        <v>4116344828</v>
      </c>
      <c r="H4726" s="1">
        <v>8</v>
      </c>
      <c r="I4726" s="1" t="s">
        <v>3087</v>
      </c>
      <c r="J4726" t="s">
        <v>9188</v>
      </c>
    </row>
    <row r="4727" spans="1:10">
      <c r="A4727" s="1">
        <v>386482</v>
      </c>
      <c r="B4727" s="1">
        <v>4460030218</v>
      </c>
      <c r="C4727" s="1">
        <v>9</v>
      </c>
      <c r="D4727" s="1" t="s">
        <v>7504</v>
      </c>
      <c r="E4727" t="s">
        <v>9151</v>
      </c>
      <c r="F4727" s="1">
        <v>329896</v>
      </c>
      <c r="G4727" s="1">
        <v>4116344829</v>
      </c>
      <c r="H4727" s="1">
        <v>6</v>
      </c>
      <c r="I4727" s="1" t="s">
        <v>2506</v>
      </c>
      <c r="J4727" t="s">
        <v>9188</v>
      </c>
    </row>
    <row r="4728" spans="1:10">
      <c r="A4728" s="1">
        <v>274183</v>
      </c>
      <c r="B4728" s="1">
        <v>68727311106</v>
      </c>
      <c r="C4728" s="1">
        <v>8</v>
      </c>
      <c r="D4728" s="1" t="s">
        <v>7</v>
      </c>
      <c r="E4728" t="s">
        <v>9152</v>
      </c>
      <c r="F4728" s="1">
        <v>36566</v>
      </c>
      <c r="G4728" s="1">
        <v>4113030071</v>
      </c>
      <c r="H4728" s="1">
        <v>6</v>
      </c>
      <c r="I4728" s="1" t="s">
        <v>1188</v>
      </c>
      <c r="J4728" t="s">
        <v>9189</v>
      </c>
    </row>
    <row r="4729" spans="1:10">
      <c r="A4729" s="1">
        <v>843094</v>
      </c>
      <c r="B4729" s="1">
        <v>3700019733</v>
      </c>
      <c r="C4729" s="1">
        <v>9</v>
      </c>
      <c r="D4729" s="1" t="s">
        <v>9153</v>
      </c>
      <c r="E4729" t="s">
        <v>9154</v>
      </c>
      <c r="F4729" s="1">
        <v>248328</v>
      </c>
      <c r="G4729" s="1">
        <v>4113030976</v>
      </c>
      <c r="H4729" s="1">
        <v>6</v>
      </c>
      <c r="I4729" s="1" t="s">
        <v>3077</v>
      </c>
      <c r="J4729" t="s">
        <v>9190</v>
      </c>
    </row>
    <row r="4730" spans="1:10" ht="15.75">
      <c r="A4730" s="1">
        <v>431445</v>
      </c>
      <c r="B4730" s="1">
        <v>3700019737</v>
      </c>
      <c r="C4730" s="1">
        <v>9</v>
      </c>
      <c r="D4730" s="1" t="s">
        <v>9153</v>
      </c>
      <c r="E4730" t="s">
        <v>9155</v>
      </c>
      <c r="F4730" s="4" t="s">
        <v>10825</v>
      </c>
      <c r="G4730" s="2"/>
      <c r="H4730" s="2"/>
      <c r="I4730" s="2"/>
      <c r="J4730" s="3"/>
    </row>
    <row r="4731" spans="1:10">
      <c r="A4731" s="1">
        <v>163683</v>
      </c>
      <c r="B4731" s="1">
        <v>3700019742</v>
      </c>
      <c r="C4731" s="1">
        <v>9</v>
      </c>
      <c r="D4731" s="1" t="s">
        <v>9153</v>
      </c>
      <c r="E4731" t="s">
        <v>9156</v>
      </c>
      <c r="F4731" s="2" t="s">
        <v>0</v>
      </c>
      <c r="G4731" s="2" t="s">
        <v>1</v>
      </c>
      <c r="H4731" s="2" t="s">
        <v>2</v>
      </c>
      <c r="I4731" s="2" t="s">
        <v>3</v>
      </c>
      <c r="J4731" s="3" t="s">
        <v>4</v>
      </c>
    </row>
    <row r="4732" spans="1:10">
      <c r="A4732" s="1">
        <v>185801</v>
      </c>
      <c r="B4732" s="1">
        <v>3700019743</v>
      </c>
      <c r="C4732" s="1">
        <v>10</v>
      </c>
      <c r="D4732" s="1" t="s">
        <v>2529</v>
      </c>
      <c r="E4732" t="s">
        <v>9157</v>
      </c>
      <c r="F4732" s="1">
        <v>262352</v>
      </c>
      <c r="G4732" s="1">
        <v>3320003020</v>
      </c>
      <c r="H4732" s="1">
        <v>12</v>
      </c>
      <c r="I4732" s="1" t="s">
        <v>3603</v>
      </c>
      <c r="J4732" t="s">
        <v>9191</v>
      </c>
    </row>
    <row r="4733" spans="1:10">
      <c r="A4733" s="1">
        <v>483867</v>
      </c>
      <c r="B4733" s="1">
        <v>3700019744</v>
      </c>
      <c r="C4733" s="1">
        <v>9</v>
      </c>
      <c r="D4733" s="1" t="s">
        <v>9153</v>
      </c>
      <c r="E4733" t="s">
        <v>9158</v>
      </c>
      <c r="F4733" s="1">
        <v>211128</v>
      </c>
      <c r="G4733" s="1">
        <v>2340000201</v>
      </c>
      <c r="H4733" s="1">
        <v>6</v>
      </c>
      <c r="I4733" s="1" t="s">
        <v>8154</v>
      </c>
      <c r="J4733" t="s">
        <v>9192</v>
      </c>
    </row>
    <row r="4734" spans="1:10">
      <c r="A4734" s="1">
        <v>877852</v>
      </c>
      <c r="B4734" s="1">
        <v>3700019746</v>
      </c>
      <c r="C4734" s="1">
        <v>9</v>
      </c>
      <c r="D4734" s="1" t="s">
        <v>9153</v>
      </c>
      <c r="E4734" t="s">
        <v>9159</v>
      </c>
      <c r="F4734" s="1">
        <v>83006</v>
      </c>
      <c r="G4734" s="1">
        <v>4460030184</v>
      </c>
      <c r="H4734" s="1">
        <v>6</v>
      </c>
      <c r="I4734" s="1" t="s">
        <v>2755</v>
      </c>
      <c r="J4734" t="s">
        <v>9193</v>
      </c>
    </row>
    <row r="4735" spans="1:10">
      <c r="A4735" s="1">
        <v>839282</v>
      </c>
      <c r="B4735" s="1">
        <v>3700019751</v>
      </c>
      <c r="C4735" s="1">
        <v>10</v>
      </c>
      <c r="D4735" s="1" t="s">
        <v>2529</v>
      </c>
      <c r="E4735" t="s">
        <v>9160</v>
      </c>
      <c r="F4735" s="1">
        <v>751644</v>
      </c>
      <c r="G4735" s="1">
        <v>4460030185</v>
      </c>
      <c r="H4735" s="1">
        <v>6</v>
      </c>
      <c r="I4735" s="1" t="s">
        <v>8867</v>
      </c>
      <c r="J4735" t="s">
        <v>9193</v>
      </c>
    </row>
    <row r="4736" spans="1:10">
      <c r="A4736" s="1">
        <v>107789</v>
      </c>
      <c r="B4736" s="1">
        <v>3700019752</v>
      </c>
      <c r="C4736" s="1">
        <v>9</v>
      </c>
      <c r="D4736" s="1" t="s">
        <v>9153</v>
      </c>
      <c r="E4736" t="s">
        <v>9161</v>
      </c>
      <c r="F4736" s="1">
        <v>183756</v>
      </c>
      <c r="G4736" s="1">
        <v>4460030046</v>
      </c>
      <c r="H4736" s="1">
        <v>6</v>
      </c>
      <c r="I4736" s="1" t="s">
        <v>2755</v>
      </c>
      <c r="J4736" t="s">
        <v>9194</v>
      </c>
    </row>
    <row r="4737" spans="1:10">
      <c r="A4737" s="1">
        <v>879692</v>
      </c>
      <c r="B4737" s="1">
        <v>3700019755</v>
      </c>
      <c r="C4737" s="1">
        <v>9</v>
      </c>
      <c r="D4737" s="1" t="s">
        <v>9153</v>
      </c>
      <c r="E4737" t="s">
        <v>9162</v>
      </c>
      <c r="F4737" s="1">
        <v>55749</v>
      </c>
      <c r="G4737" s="1">
        <v>4460030047</v>
      </c>
      <c r="H4737" s="1">
        <v>6</v>
      </c>
      <c r="I4737" s="1" t="s">
        <v>8867</v>
      </c>
      <c r="J4737" t="s">
        <v>9194</v>
      </c>
    </row>
    <row r="4738" spans="1:10">
      <c r="A4738" s="1">
        <v>492066</v>
      </c>
      <c r="B4738" s="1">
        <v>3700019760</v>
      </c>
      <c r="C4738" s="1">
        <v>9</v>
      </c>
      <c r="D4738" s="1" t="s">
        <v>9153</v>
      </c>
      <c r="E4738" t="s">
        <v>9163</v>
      </c>
      <c r="F4738" s="1">
        <v>803460</v>
      </c>
      <c r="G4738" s="1">
        <v>4460030050</v>
      </c>
      <c r="H4738" s="1">
        <v>6</v>
      </c>
      <c r="I4738" s="1" t="s">
        <v>2755</v>
      </c>
      <c r="J4738" t="s">
        <v>9195</v>
      </c>
    </row>
    <row r="4739" spans="1:10">
      <c r="A4739" s="1">
        <v>871822</v>
      </c>
      <c r="B4739" s="1">
        <v>4116344898</v>
      </c>
      <c r="C4739" s="1">
        <v>12</v>
      </c>
      <c r="D4739" s="1" t="s">
        <v>6502</v>
      </c>
      <c r="E4739" t="s">
        <v>9164</v>
      </c>
      <c r="F4739" s="1">
        <v>694398</v>
      </c>
      <c r="G4739" s="1">
        <v>4460030051</v>
      </c>
      <c r="H4739" s="1">
        <v>6</v>
      </c>
      <c r="I4739" s="1" t="s">
        <v>8867</v>
      </c>
      <c r="J4739" t="s">
        <v>9195</v>
      </c>
    </row>
    <row r="4740" spans="1:10" ht="15.75">
      <c r="A4740" s="4" t="s">
        <v>10824</v>
      </c>
      <c r="B4740" s="2"/>
      <c r="C4740" s="2"/>
      <c r="D4740" s="2"/>
      <c r="E4740" s="3"/>
      <c r="F4740" s="1">
        <v>682724</v>
      </c>
      <c r="G4740" s="1">
        <v>4460030036</v>
      </c>
      <c r="H4740" s="1">
        <v>8</v>
      </c>
      <c r="I4740" s="1" t="s">
        <v>7504</v>
      </c>
      <c r="J4740" t="s">
        <v>9196</v>
      </c>
    </row>
    <row r="4741" spans="1:10">
      <c r="A4741" s="2" t="s">
        <v>0</v>
      </c>
      <c r="B4741" s="2" t="s">
        <v>1</v>
      </c>
      <c r="C4741" s="2" t="s">
        <v>2</v>
      </c>
      <c r="D4741" s="2" t="s">
        <v>3</v>
      </c>
      <c r="E4741" s="3" t="s">
        <v>4</v>
      </c>
      <c r="F4741" s="1">
        <v>439521</v>
      </c>
      <c r="G4741" s="1">
        <v>4460030037</v>
      </c>
      <c r="H4741" s="1">
        <v>6</v>
      </c>
      <c r="I4741" s="1" t="s">
        <v>2755</v>
      </c>
      <c r="J4741" t="s">
        <v>9196</v>
      </c>
    </row>
    <row r="4742" spans="1:10">
      <c r="A4742" s="1">
        <v>254664</v>
      </c>
      <c r="B4742" s="1">
        <v>4460002901</v>
      </c>
      <c r="C4742" s="1">
        <v>6</v>
      </c>
      <c r="D4742" s="1" t="s">
        <v>9165</v>
      </c>
      <c r="E4742" t="s">
        <v>9166</v>
      </c>
      <c r="F4742" s="1">
        <v>161562</v>
      </c>
      <c r="G4742" s="1">
        <v>4460030038</v>
      </c>
      <c r="H4742" s="1">
        <v>6</v>
      </c>
      <c r="I4742" s="1" t="s">
        <v>8867</v>
      </c>
      <c r="J4742" t="s">
        <v>9196</v>
      </c>
    </row>
    <row r="4743" spans="1:10">
      <c r="A4743" s="1">
        <v>342733</v>
      </c>
      <c r="B4743" s="1">
        <v>4460000420</v>
      </c>
      <c r="C4743" s="1">
        <v>3</v>
      </c>
      <c r="D4743" s="1" t="s">
        <v>9167</v>
      </c>
      <c r="E4743" t="s">
        <v>9168</v>
      </c>
      <c r="F4743" s="1">
        <v>209254</v>
      </c>
      <c r="G4743" s="1">
        <v>4460003098</v>
      </c>
      <c r="H4743" s="1">
        <v>4</v>
      </c>
      <c r="I4743" s="1" t="s">
        <v>9197</v>
      </c>
      <c r="J4743" t="s">
        <v>9198</v>
      </c>
    </row>
    <row r="4744" spans="1:10">
      <c r="A4744" s="1">
        <v>328633</v>
      </c>
      <c r="B4744" s="1">
        <v>4460002515</v>
      </c>
      <c r="C4744" s="1">
        <v>3</v>
      </c>
      <c r="D4744" s="1" t="s">
        <v>9167</v>
      </c>
      <c r="E4744" t="s">
        <v>9169</v>
      </c>
      <c r="F4744" s="1">
        <v>58248</v>
      </c>
      <c r="G4744" s="1">
        <v>4460030039</v>
      </c>
      <c r="H4744" s="1">
        <v>4</v>
      </c>
      <c r="I4744" s="1" t="s">
        <v>9199</v>
      </c>
      <c r="J4744" t="s">
        <v>9200</v>
      </c>
    </row>
    <row r="4745" spans="1:10">
      <c r="A4745" s="1">
        <v>328096</v>
      </c>
      <c r="B4745" s="1">
        <v>4460002513</v>
      </c>
      <c r="C4745" s="1">
        <v>3</v>
      </c>
      <c r="D4745" s="1" t="s">
        <v>9167</v>
      </c>
      <c r="E4745" t="s">
        <v>9170</v>
      </c>
      <c r="F4745" s="1">
        <v>267054</v>
      </c>
      <c r="G4745" s="1">
        <v>4116345214</v>
      </c>
      <c r="H4745" s="1">
        <v>6</v>
      </c>
      <c r="I4745" s="1" t="s">
        <v>2258</v>
      </c>
      <c r="J4745" t="s">
        <v>9201</v>
      </c>
    </row>
    <row r="4746" spans="1:10">
      <c r="A4746" s="1">
        <v>328054</v>
      </c>
      <c r="B4746" s="1">
        <v>4460002510</v>
      </c>
      <c r="C4746" s="1">
        <v>8</v>
      </c>
      <c r="D4746" s="1" t="s">
        <v>3087</v>
      </c>
      <c r="E4746" t="s">
        <v>9170</v>
      </c>
      <c r="F4746" s="1">
        <v>287367</v>
      </c>
      <c r="G4746" s="1">
        <v>4116344839</v>
      </c>
      <c r="H4746" s="1">
        <v>6</v>
      </c>
      <c r="I4746" s="1" t="s">
        <v>9199</v>
      </c>
      <c r="J4746" t="s">
        <v>9202</v>
      </c>
    </row>
    <row r="4747" spans="1:10">
      <c r="A4747" s="1">
        <v>328427</v>
      </c>
      <c r="B4747" s="1">
        <v>4460002514</v>
      </c>
      <c r="C4747" s="1">
        <v>3</v>
      </c>
      <c r="D4747" s="1" t="s">
        <v>9167</v>
      </c>
      <c r="E4747" t="s">
        <v>9171</v>
      </c>
      <c r="F4747" s="1">
        <v>53488</v>
      </c>
      <c r="G4747" s="1">
        <v>4116344840</v>
      </c>
      <c r="H4747" s="1">
        <v>6</v>
      </c>
      <c r="I4747" s="1" t="s">
        <v>9199</v>
      </c>
      <c r="J4747" t="s">
        <v>9203</v>
      </c>
    </row>
    <row r="4748" spans="1:10">
      <c r="A4748" s="1">
        <v>328039</v>
      </c>
      <c r="B4748" s="1">
        <v>4460002511</v>
      </c>
      <c r="C4748" s="1">
        <v>8</v>
      </c>
      <c r="D4748" s="1" t="s">
        <v>3087</v>
      </c>
      <c r="E4748" t="s">
        <v>9171</v>
      </c>
      <c r="F4748" s="1">
        <v>698845</v>
      </c>
      <c r="G4748" s="1">
        <v>4116344710</v>
      </c>
      <c r="H4748" s="1">
        <v>8</v>
      </c>
      <c r="I4748" s="1" t="s">
        <v>9183</v>
      </c>
      <c r="J4748" t="s">
        <v>9204</v>
      </c>
    </row>
    <row r="4749" spans="1:10">
      <c r="A4749" s="1">
        <v>327981</v>
      </c>
      <c r="B4749" s="1">
        <v>4460002512</v>
      </c>
      <c r="C4749" s="1">
        <v>8</v>
      </c>
      <c r="D4749" s="1" t="s">
        <v>3087</v>
      </c>
      <c r="E4749" t="s">
        <v>9172</v>
      </c>
      <c r="F4749" s="1">
        <v>714428</v>
      </c>
      <c r="G4749" s="1">
        <v>4116345027</v>
      </c>
      <c r="H4749" s="1">
        <v>6</v>
      </c>
      <c r="I4749" s="1" t="s">
        <v>8599</v>
      </c>
      <c r="J4749" t="s">
        <v>9205</v>
      </c>
    </row>
    <row r="4750" spans="1:10">
      <c r="A4750" s="1">
        <v>211391</v>
      </c>
      <c r="B4750" s="1">
        <v>4460002460</v>
      </c>
      <c r="C4750" s="1">
        <v>6</v>
      </c>
      <c r="D4750" s="1" t="s">
        <v>2506</v>
      </c>
      <c r="E4750" t="s">
        <v>9173</v>
      </c>
      <c r="F4750" s="1">
        <v>217810</v>
      </c>
      <c r="G4750" s="1">
        <v>75703751299</v>
      </c>
      <c r="H4750" s="1">
        <v>12</v>
      </c>
      <c r="I4750" s="1" t="s">
        <v>1654</v>
      </c>
      <c r="J4750" t="s">
        <v>9206</v>
      </c>
    </row>
    <row r="4751" spans="1:10">
      <c r="A4751" s="1">
        <v>843409</v>
      </c>
      <c r="B4751" s="1">
        <v>4460030069</v>
      </c>
      <c r="C4751" s="1">
        <v>6</v>
      </c>
      <c r="D4751" s="1" t="s">
        <v>9165</v>
      </c>
      <c r="E4751" t="s">
        <v>9174</v>
      </c>
      <c r="F4751" s="1">
        <v>869511</v>
      </c>
      <c r="G4751" s="1">
        <v>75703751740</v>
      </c>
      <c r="H4751" s="1">
        <v>6</v>
      </c>
      <c r="I4751" s="1" t="s">
        <v>8579</v>
      </c>
      <c r="J4751" t="s">
        <v>9207</v>
      </c>
    </row>
    <row r="4752" spans="1:10">
      <c r="A4752" s="1">
        <v>884668</v>
      </c>
      <c r="B4752" s="1">
        <v>4460030068</v>
      </c>
      <c r="C4752" s="1">
        <v>6</v>
      </c>
      <c r="D4752" s="1" t="s">
        <v>9165</v>
      </c>
      <c r="E4752" t="s">
        <v>9175</v>
      </c>
      <c r="F4752" s="1">
        <v>221713</v>
      </c>
      <c r="G4752" s="1">
        <v>4650062248</v>
      </c>
      <c r="H4752" s="1">
        <v>12</v>
      </c>
      <c r="I4752" s="1" t="s">
        <v>1220</v>
      </c>
      <c r="J4752" t="s">
        <v>9208</v>
      </c>
    </row>
    <row r="4753" spans="1:10">
      <c r="A4753" s="1">
        <v>845081</v>
      </c>
      <c r="B4753" s="1">
        <v>4460001692</v>
      </c>
      <c r="C4753" s="1">
        <v>6</v>
      </c>
      <c r="D4753" s="1" t="s">
        <v>7812</v>
      </c>
      <c r="E4753" t="s">
        <v>9176</v>
      </c>
      <c r="F4753" s="1">
        <v>226761</v>
      </c>
      <c r="G4753" s="1">
        <v>6233881761</v>
      </c>
      <c r="H4753" s="1">
        <v>6</v>
      </c>
      <c r="I4753" s="1" t="s">
        <v>1881</v>
      </c>
      <c r="J4753" t="s">
        <v>9209</v>
      </c>
    </row>
    <row r="4754" spans="1:10">
      <c r="A4754" s="1">
        <v>427278</v>
      </c>
      <c r="B4754" s="1">
        <v>4460001693</v>
      </c>
      <c r="C4754" s="1">
        <v>4</v>
      </c>
      <c r="D4754" s="1" t="s">
        <v>9177</v>
      </c>
      <c r="E4754" t="s">
        <v>9176</v>
      </c>
      <c r="F4754" s="1">
        <v>254565</v>
      </c>
      <c r="G4754" s="1">
        <v>6233881762</v>
      </c>
      <c r="H4754" s="1">
        <v>4</v>
      </c>
      <c r="I4754" s="1" t="s">
        <v>8769</v>
      </c>
      <c r="J4754" t="s">
        <v>9210</v>
      </c>
    </row>
    <row r="4755" spans="1:10">
      <c r="A4755" s="1">
        <v>211169</v>
      </c>
      <c r="B4755" s="1">
        <v>4460002467</v>
      </c>
      <c r="C4755" s="1">
        <v>6</v>
      </c>
      <c r="D4755" s="1" t="s">
        <v>2506</v>
      </c>
      <c r="E4755" t="s">
        <v>9178</v>
      </c>
      <c r="F4755" s="1">
        <v>107201</v>
      </c>
      <c r="G4755" s="1">
        <v>6233881993</v>
      </c>
      <c r="H4755" s="1">
        <v>6</v>
      </c>
      <c r="I4755" s="1" t="s">
        <v>8662</v>
      </c>
      <c r="J4755" t="s">
        <v>9211</v>
      </c>
    </row>
    <row r="4756" spans="1:10">
      <c r="A4756" s="1">
        <v>211409</v>
      </c>
      <c r="B4756" s="1">
        <v>4460002471</v>
      </c>
      <c r="C4756" s="1">
        <v>6</v>
      </c>
      <c r="D4756" s="1" t="s">
        <v>2506</v>
      </c>
      <c r="E4756" t="s">
        <v>9179</v>
      </c>
    </row>
    <row r="4757" spans="1:10" ht="15.75">
      <c r="A4757" s="4" t="s">
        <v>10826</v>
      </c>
      <c r="B4757" s="2"/>
      <c r="C4757" s="2"/>
      <c r="D4757" s="2"/>
      <c r="E4757" s="3"/>
      <c r="F4757" s="4" t="s">
        <v>10828</v>
      </c>
      <c r="G4757" s="2"/>
      <c r="H4757" s="2"/>
      <c r="I4757" s="2"/>
      <c r="J4757" s="3"/>
    </row>
    <row r="4758" spans="1:10">
      <c r="A4758" s="2" t="s">
        <v>0</v>
      </c>
      <c r="B4758" s="2" t="s">
        <v>1</v>
      </c>
      <c r="C4758" s="2" t="s">
        <v>2</v>
      </c>
      <c r="D4758" s="2" t="s">
        <v>3</v>
      </c>
      <c r="E4758" s="3" t="s">
        <v>4</v>
      </c>
      <c r="F4758" s="2" t="s">
        <v>0</v>
      </c>
      <c r="G4758" s="2" t="s">
        <v>1</v>
      </c>
      <c r="H4758" s="2" t="s">
        <v>2</v>
      </c>
      <c r="I4758" s="2" t="s">
        <v>3</v>
      </c>
      <c r="J4758" s="3" t="s">
        <v>4</v>
      </c>
    </row>
    <row r="4759" spans="1:10">
      <c r="A4759" s="1">
        <v>130013</v>
      </c>
      <c r="B4759" s="1">
        <v>4460004690</v>
      </c>
      <c r="C4759" s="1">
        <v>12</v>
      </c>
      <c r="D4759" s="1" t="s">
        <v>31</v>
      </c>
      <c r="E4759" t="s">
        <v>9212</v>
      </c>
      <c r="F4759" s="1">
        <v>307850</v>
      </c>
      <c r="G4759" s="1">
        <v>81793900010</v>
      </c>
      <c r="H4759" s="1">
        <v>8</v>
      </c>
      <c r="I4759" s="1" t="s">
        <v>4904</v>
      </c>
      <c r="J4759" t="s">
        <v>9248</v>
      </c>
    </row>
    <row r="4760" spans="1:10">
      <c r="A4760" s="1">
        <v>208629</v>
      </c>
      <c r="B4760" s="1">
        <v>4460004581</v>
      </c>
      <c r="C4760" s="1">
        <v>8</v>
      </c>
      <c r="D4760" s="1" t="s">
        <v>375</v>
      </c>
      <c r="E4760" t="s">
        <v>9213</v>
      </c>
      <c r="F4760" s="1">
        <v>865360</v>
      </c>
      <c r="G4760" s="1">
        <v>3700016655</v>
      </c>
      <c r="H4760" s="1">
        <v>12</v>
      </c>
      <c r="I4760" s="1" t="s">
        <v>7123</v>
      </c>
      <c r="J4760" t="s">
        <v>9249</v>
      </c>
    </row>
    <row r="4761" spans="1:10">
      <c r="A4761" s="1">
        <v>826818</v>
      </c>
      <c r="B4761" s="1">
        <v>4116345067</v>
      </c>
      <c r="C4761" s="1">
        <v>12</v>
      </c>
      <c r="D4761" s="1" t="s">
        <v>1189</v>
      </c>
      <c r="E4761" t="s">
        <v>9214</v>
      </c>
      <c r="F4761" s="1">
        <v>216804</v>
      </c>
      <c r="G4761" s="1">
        <v>2340001602</v>
      </c>
      <c r="H4761" s="1">
        <v>9</v>
      </c>
      <c r="I4761" s="1" t="s">
        <v>439</v>
      </c>
      <c r="J4761" t="s">
        <v>9250</v>
      </c>
    </row>
    <row r="4762" spans="1:10">
      <c r="A4762" s="1">
        <v>219485</v>
      </c>
      <c r="B4762" s="1">
        <v>7044491208</v>
      </c>
      <c r="C4762" s="1">
        <v>12</v>
      </c>
      <c r="D4762" s="1" t="s">
        <v>1197</v>
      </c>
      <c r="E4762" t="s">
        <v>9215</v>
      </c>
      <c r="F4762" s="1">
        <v>216788</v>
      </c>
      <c r="G4762" s="1">
        <v>2340000865</v>
      </c>
      <c r="H4762" s="1">
        <v>9</v>
      </c>
      <c r="I4762" s="1" t="s">
        <v>637</v>
      </c>
      <c r="J4762" t="s">
        <v>9251</v>
      </c>
    </row>
    <row r="4763" spans="1:10">
      <c r="A4763" s="1">
        <v>554741</v>
      </c>
      <c r="B4763" s="1">
        <v>75703751693</v>
      </c>
      <c r="C4763" s="1">
        <v>12</v>
      </c>
      <c r="D4763" s="1" t="s">
        <v>4848</v>
      </c>
      <c r="E4763" t="s">
        <v>9216</v>
      </c>
      <c r="F4763" s="1">
        <v>216655</v>
      </c>
      <c r="G4763" s="1">
        <v>2340001650</v>
      </c>
      <c r="H4763" s="1">
        <v>9</v>
      </c>
      <c r="I4763" s="1" t="s">
        <v>6614</v>
      </c>
      <c r="J4763" t="s">
        <v>9252</v>
      </c>
    </row>
    <row r="4764" spans="1:10">
      <c r="A4764" s="1">
        <v>169623</v>
      </c>
      <c r="B4764" s="1">
        <v>75703733701</v>
      </c>
      <c r="C4764" s="1">
        <v>8</v>
      </c>
      <c r="D4764" s="1" t="s">
        <v>3090</v>
      </c>
      <c r="E4764" t="s">
        <v>9217</v>
      </c>
      <c r="F4764" s="1">
        <v>833079</v>
      </c>
      <c r="G4764" s="1">
        <v>2340000074</v>
      </c>
      <c r="H4764" s="1">
        <v>9</v>
      </c>
      <c r="I4764" s="1" t="s">
        <v>6508</v>
      </c>
      <c r="J4764" t="s">
        <v>9253</v>
      </c>
    </row>
    <row r="4765" spans="1:10">
      <c r="A4765" s="1">
        <v>218362</v>
      </c>
      <c r="B4765" s="1">
        <v>75703751515</v>
      </c>
      <c r="C4765" s="1">
        <v>6</v>
      </c>
      <c r="D4765" s="1" t="s">
        <v>8579</v>
      </c>
      <c r="E4765" t="s">
        <v>9206</v>
      </c>
      <c r="F4765" s="1">
        <v>40790</v>
      </c>
      <c r="G4765" s="1">
        <v>2340015002</v>
      </c>
      <c r="H4765" s="1">
        <v>9</v>
      </c>
      <c r="I4765" s="1" t="s">
        <v>439</v>
      </c>
      <c r="J4765" t="s">
        <v>9254</v>
      </c>
    </row>
    <row r="4766" spans="1:10">
      <c r="A4766" s="1">
        <v>594051</v>
      </c>
      <c r="B4766" s="1">
        <v>4650070611</v>
      </c>
      <c r="C4766" s="1">
        <v>6</v>
      </c>
      <c r="D4766" s="1" t="s">
        <v>1189</v>
      </c>
      <c r="E4766" t="s">
        <v>9218</v>
      </c>
      <c r="F4766" s="1">
        <v>68619</v>
      </c>
      <c r="G4766" s="1">
        <v>2340000240</v>
      </c>
      <c r="H4766" s="1">
        <v>6</v>
      </c>
      <c r="I4766" s="1" t="s">
        <v>8</v>
      </c>
      <c r="J4766" t="s">
        <v>9255</v>
      </c>
    </row>
    <row r="4767" spans="1:10">
      <c r="A4767" s="1">
        <v>212894</v>
      </c>
      <c r="B4767" s="1">
        <v>4650002269</v>
      </c>
      <c r="C4767" s="1">
        <v>12</v>
      </c>
      <c r="D4767" s="1" t="s">
        <v>496</v>
      </c>
      <c r="E4767" t="s">
        <v>9219</v>
      </c>
      <c r="F4767" s="1">
        <v>159467</v>
      </c>
      <c r="G4767" s="1">
        <v>2340015008</v>
      </c>
      <c r="H4767" s="1">
        <v>9</v>
      </c>
      <c r="I4767" s="1" t="s">
        <v>637</v>
      </c>
      <c r="J4767" t="s">
        <v>9256</v>
      </c>
    </row>
    <row r="4768" spans="1:10">
      <c r="A4768" s="1">
        <v>212936</v>
      </c>
      <c r="B4768" s="1">
        <v>4650002274</v>
      </c>
      <c r="C4768" s="1">
        <v>6</v>
      </c>
      <c r="D4768" s="1" t="s">
        <v>3087</v>
      </c>
      <c r="E4768" t="s">
        <v>9220</v>
      </c>
      <c r="F4768" s="1">
        <v>255398</v>
      </c>
      <c r="G4768" s="1">
        <v>6233800710</v>
      </c>
      <c r="H4768" s="1">
        <v>12</v>
      </c>
      <c r="I4768" s="1" t="s">
        <v>404</v>
      </c>
      <c r="J4768" t="s">
        <v>9257</v>
      </c>
    </row>
    <row r="4769" spans="1:10" ht="15.75">
      <c r="A4769" s="1">
        <v>210997</v>
      </c>
      <c r="B4769" s="1">
        <v>4650002251</v>
      </c>
      <c r="C4769" s="1">
        <v>12</v>
      </c>
      <c r="D4769" s="1" t="s">
        <v>7504</v>
      </c>
      <c r="E4769" t="s">
        <v>9221</v>
      </c>
      <c r="F4769" s="4" t="s">
        <v>10829</v>
      </c>
      <c r="G4769" s="2"/>
      <c r="H4769" s="2"/>
      <c r="I4769" s="2"/>
      <c r="J4769" s="3"/>
    </row>
    <row r="4770" spans="1:10">
      <c r="A4770" s="1">
        <v>539635</v>
      </c>
      <c r="B4770" s="1">
        <v>4650082251</v>
      </c>
      <c r="C4770" s="1">
        <v>12</v>
      </c>
      <c r="D4770" s="1" t="s">
        <v>7812</v>
      </c>
      <c r="E4770" t="s">
        <v>9222</v>
      </c>
      <c r="F4770" s="2" t="s">
        <v>0</v>
      </c>
      <c r="G4770" s="2" t="s">
        <v>1</v>
      </c>
      <c r="H4770" s="2" t="s">
        <v>2</v>
      </c>
      <c r="I4770" s="2" t="s">
        <v>3</v>
      </c>
      <c r="J4770" s="3" t="s">
        <v>4</v>
      </c>
    </row>
    <row r="4771" spans="1:10">
      <c r="A4771" s="1">
        <v>200980</v>
      </c>
      <c r="B4771" s="1">
        <v>6233881763</v>
      </c>
      <c r="C4771" s="1">
        <v>12</v>
      </c>
      <c r="D4771" s="1" t="s">
        <v>2303</v>
      </c>
      <c r="E4771" t="s">
        <v>9223</v>
      </c>
      <c r="F4771" s="1">
        <v>152132</v>
      </c>
      <c r="G4771" s="1">
        <v>73291322719</v>
      </c>
      <c r="H4771" s="1">
        <v>8</v>
      </c>
      <c r="I4771" s="1" t="s">
        <v>1189</v>
      </c>
      <c r="J4771" t="s">
        <v>9258</v>
      </c>
    </row>
    <row r="4772" spans="1:10">
      <c r="A4772" s="1">
        <v>212753</v>
      </c>
      <c r="B4772" s="1">
        <v>6233800006</v>
      </c>
      <c r="C4772" s="1">
        <v>12</v>
      </c>
      <c r="D4772" s="1" t="s">
        <v>4557</v>
      </c>
      <c r="E4772" t="s">
        <v>9224</v>
      </c>
      <c r="F4772" s="1">
        <v>736157</v>
      </c>
      <c r="G4772" s="1">
        <v>3320032350</v>
      </c>
      <c r="H4772" s="1">
        <v>12</v>
      </c>
      <c r="I4772" s="1" t="s">
        <v>9259</v>
      </c>
      <c r="J4772" t="s">
        <v>9260</v>
      </c>
    </row>
    <row r="4773" spans="1:10">
      <c r="A4773" s="1">
        <v>453852</v>
      </c>
      <c r="B4773" s="1">
        <v>6233880966</v>
      </c>
      <c r="C4773" s="1">
        <v>12</v>
      </c>
      <c r="D4773" s="1" t="s">
        <v>2303</v>
      </c>
      <c r="E4773" t="s">
        <v>9225</v>
      </c>
      <c r="F4773" s="1">
        <v>770727</v>
      </c>
      <c r="G4773" s="1">
        <v>3320032300</v>
      </c>
      <c r="H4773" s="1">
        <v>9</v>
      </c>
      <c r="I4773" s="1" t="s">
        <v>1189</v>
      </c>
      <c r="J4773" t="s">
        <v>9261</v>
      </c>
    </row>
    <row r="4774" spans="1:10">
      <c r="A4774" s="1">
        <v>211151</v>
      </c>
      <c r="B4774" s="1">
        <v>6233800230</v>
      </c>
      <c r="C4774" s="1">
        <v>12</v>
      </c>
      <c r="D4774" s="1" t="s">
        <v>7504</v>
      </c>
      <c r="E4774" t="s">
        <v>9226</v>
      </c>
      <c r="F4774" s="1">
        <v>836833</v>
      </c>
      <c r="G4774" s="1">
        <v>3320032200</v>
      </c>
      <c r="H4774" s="1">
        <v>9</v>
      </c>
      <c r="I4774" s="1" t="s">
        <v>1189</v>
      </c>
      <c r="J4774" t="s">
        <v>9262</v>
      </c>
    </row>
    <row r="4775" spans="1:10">
      <c r="A4775" s="1">
        <v>184259</v>
      </c>
      <c r="B4775" s="1">
        <v>3700001871</v>
      </c>
      <c r="C4775" s="1">
        <v>6</v>
      </c>
      <c r="D4775" s="1" t="s">
        <v>9227</v>
      </c>
      <c r="E4775" t="s">
        <v>9228</v>
      </c>
      <c r="F4775" s="1">
        <v>156851</v>
      </c>
      <c r="G4775" s="1">
        <v>3320032250</v>
      </c>
      <c r="H4775" s="1">
        <v>12</v>
      </c>
      <c r="I4775" s="1" t="s">
        <v>9259</v>
      </c>
      <c r="J4775" t="s">
        <v>9263</v>
      </c>
    </row>
    <row r="4776" spans="1:10">
      <c r="A4776" s="1">
        <v>217299</v>
      </c>
      <c r="B4776" s="1">
        <v>3700019677</v>
      </c>
      <c r="C4776" s="1">
        <v>6</v>
      </c>
      <c r="D4776" s="1" t="s">
        <v>7123</v>
      </c>
      <c r="E4776" t="s">
        <v>9229</v>
      </c>
      <c r="F4776" s="1">
        <v>217133</v>
      </c>
      <c r="G4776" s="1">
        <v>4111900005</v>
      </c>
      <c r="H4776" s="1">
        <v>12</v>
      </c>
      <c r="I4776" s="1" t="s">
        <v>2826</v>
      </c>
      <c r="J4776" t="s">
        <v>9264</v>
      </c>
    </row>
    <row r="4777" spans="1:10">
      <c r="A4777" s="1">
        <v>78170</v>
      </c>
      <c r="B4777" s="1">
        <v>3700001870</v>
      </c>
      <c r="C4777" s="1">
        <v>6</v>
      </c>
      <c r="D4777" s="1" t="s">
        <v>9230</v>
      </c>
      <c r="E4777" t="s">
        <v>9231</v>
      </c>
      <c r="F4777" s="1">
        <v>217265</v>
      </c>
      <c r="G4777" s="1">
        <v>4111900026</v>
      </c>
      <c r="H4777" s="1">
        <v>12</v>
      </c>
      <c r="I4777" s="1" t="s">
        <v>4904</v>
      </c>
      <c r="J4777" t="s">
        <v>9264</v>
      </c>
    </row>
    <row r="4778" spans="1:10">
      <c r="A4778" s="1">
        <v>540013</v>
      </c>
      <c r="B4778" s="1">
        <v>3700020969</v>
      </c>
      <c r="C4778" s="1">
        <v>6</v>
      </c>
      <c r="D4778" s="1" t="s">
        <v>12</v>
      </c>
      <c r="E4778" t="s">
        <v>9232</v>
      </c>
      <c r="F4778" s="1">
        <v>299545</v>
      </c>
      <c r="G4778" s="1">
        <v>81143500202</v>
      </c>
      <c r="H4778" s="1">
        <v>9</v>
      </c>
      <c r="I4778" s="1" t="s">
        <v>1189</v>
      </c>
      <c r="J4778" t="s">
        <v>9265</v>
      </c>
    </row>
    <row r="4779" spans="1:10">
      <c r="A4779" s="1">
        <v>261131</v>
      </c>
      <c r="B4779" s="1">
        <v>3496937813</v>
      </c>
      <c r="C4779" s="1">
        <v>12</v>
      </c>
      <c r="D4779" s="1" t="s">
        <v>7504</v>
      </c>
      <c r="E4779" t="s">
        <v>9233</v>
      </c>
      <c r="F4779" s="1">
        <v>298513</v>
      </c>
      <c r="G4779" s="1">
        <v>4111900031</v>
      </c>
      <c r="H4779" s="1">
        <v>12</v>
      </c>
      <c r="I4779" s="1" t="s">
        <v>4904</v>
      </c>
      <c r="J4779" t="s">
        <v>9266</v>
      </c>
    </row>
    <row r="4780" spans="1:10" ht="15.75">
      <c r="A4780" s="4" t="s">
        <v>10827</v>
      </c>
      <c r="B4780" s="2"/>
      <c r="C4780" s="2"/>
      <c r="D4780" s="2"/>
      <c r="E4780" s="3"/>
      <c r="F4780" s="1">
        <v>217109</v>
      </c>
      <c r="G4780" s="1">
        <v>79271621050</v>
      </c>
      <c r="H4780" s="1">
        <v>12</v>
      </c>
      <c r="I4780" s="1" t="s">
        <v>1189</v>
      </c>
      <c r="J4780" t="s">
        <v>9267</v>
      </c>
    </row>
    <row r="4781" spans="1:10">
      <c r="A4781" s="2" t="s">
        <v>0</v>
      </c>
      <c r="B4781" s="2" t="s">
        <v>1</v>
      </c>
      <c r="C4781" s="2" t="s">
        <v>2</v>
      </c>
      <c r="D4781" s="2" t="s">
        <v>3</v>
      </c>
      <c r="E4781" s="3" t="s">
        <v>4</v>
      </c>
      <c r="F4781" s="1">
        <v>709337</v>
      </c>
      <c r="G4781" s="1">
        <v>4460001683</v>
      </c>
      <c r="H4781" s="1">
        <v>9</v>
      </c>
      <c r="I4781" s="1" t="s">
        <v>7504</v>
      </c>
      <c r="J4781" t="s">
        <v>9268</v>
      </c>
    </row>
    <row r="4782" spans="1:10">
      <c r="A4782" s="1">
        <v>415679</v>
      </c>
      <c r="B4782" s="1">
        <v>4116344826</v>
      </c>
      <c r="C4782" s="1">
        <v>8</v>
      </c>
      <c r="D4782" s="1" t="s">
        <v>2496</v>
      </c>
      <c r="E4782" t="s">
        <v>9234</v>
      </c>
      <c r="F4782" s="1">
        <v>229245</v>
      </c>
      <c r="G4782" s="1">
        <v>4460001599</v>
      </c>
      <c r="H4782" s="1">
        <v>6</v>
      </c>
      <c r="I4782" s="1" t="s">
        <v>9269</v>
      </c>
      <c r="J4782" t="s">
        <v>9270</v>
      </c>
    </row>
    <row r="4783" spans="1:10">
      <c r="A4783" s="1">
        <v>602789</v>
      </c>
      <c r="B4783" s="1">
        <v>4116344825</v>
      </c>
      <c r="C4783" s="1">
        <v>8</v>
      </c>
      <c r="D4783" s="1" t="s">
        <v>2496</v>
      </c>
      <c r="E4783" t="s">
        <v>9235</v>
      </c>
      <c r="F4783" s="1">
        <v>290106</v>
      </c>
      <c r="G4783" s="1">
        <v>4460001151</v>
      </c>
      <c r="H4783" s="1">
        <v>6</v>
      </c>
      <c r="I4783" s="1" t="s">
        <v>2496</v>
      </c>
      <c r="J4783" t="s">
        <v>9271</v>
      </c>
    </row>
    <row r="4784" spans="1:10">
      <c r="A4784" s="1">
        <v>208462</v>
      </c>
      <c r="B4784" s="1">
        <v>3320000855</v>
      </c>
      <c r="C4784" s="1">
        <v>12</v>
      </c>
      <c r="D4784" s="1" t="s">
        <v>4904</v>
      </c>
      <c r="E4784" t="s">
        <v>9236</v>
      </c>
      <c r="F4784" s="1">
        <v>290080</v>
      </c>
      <c r="G4784" s="1">
        <v>4460001204</v>
      </c>
      <c r="H4784" s="1">
        <v>12</v>
      </c>
      <c r="I4784" s="1" t="s">
        <v>1189</v>
      </c>
      <c r="J4784" t="s">
        <v>9272</v>
      </c>
    </row>
    <row r="4785" spans="1:10" ht="15.75">
      <c r="A4785" s="4" t="s">
        <v>10828</v>
      </c>
      <c r="B4785" s="2"/>
      <c r="C4785" s="2"/>
      <c r="D4785" s="2"/>
      <c r="E4785" s="3"/>
      <c r="F4785" s="1">
        <v>203885</v>
      </c>
      <c r="G4785" s="1">
        <v>4460001628</v>
      </c>
      <c r="H4785" s="1">
        <v>6</v>
      </c>
      <c r="I4785" s="1" t="s">
        <v>9273</v>
      </c>
      <c r="J4785" t="s">
        <v>9274</v>
      </c>
    </row>
    <row r="4786" spans="1:10">
      <c r="A4786" s="2" t="s">
        <v>0</v>
      </c>
      <c r="B4786" s="2" t="s">
        <v>1</v>
      </c>
      <c r="C4786" s="2" t="s">
        <v>2</v>
      </c>
      <c r="D4786" s="2" t="s">
        <v>3</v>
      </c>
      <c r="E4786" s="3" t="s">
        <v>4</v>
      </c>
      <c r="F4786" s="1">
        <v>288795</v>
      </c>
      <c r="G4786" s="1">
        <v>4460001728</v>
      </c>
      <c r="H4786" s="1">
        <v>4</v>
      </c>
      <c r="I4786" s="1" t="s">
        <v>9058</v>
      </c>
      <c r="J4786" t="s">
        <v>9275</v>
      </c>
    </row>
    <row r="4787" spans="1:10">
      <c r="A4787" s="1">
        <v>216200</v>
      </c>
      <c r="B4787" s="1">
        <v>3500005360</v>
      </c>
      <c r="C4787" s="1">
        <v>48</v>
      </c>
      <c r="D4787" s="1" t="s">
        <v>259</v>
      </c>
      <c r="E4787" t="s">
        <v>9237</v>
      </c>
      <c r="F4787" s="1">
        <v>288803</v>
      </c>
      <c r="G4787" s="1">
        <v>4460001727</v>
      </c>
      <c r="H4787" s="1">
        <v>4</v>
      </c>
      <c r="I4787" s="1" t="s">
        <v>9058</v>
      </c>
      <c r="J4787" t="s">
        <v>9276</v>
      </c>
    </row>
    <row r="4788" spans="1:10">
      <c r="A4788" s="1">
        <v>216218</v>
      </c>
      <c r="B4788" s="1">
        <v>7161811510</v>
      </c>
      <c r="C4788" s="1">
        <v>12</v>
      </c>
      <c r="D4788" s="1" t="s">
        <v>347</v>
      </c>
      <c r="E4788" t="s">
        <v>9238</v>
      </c>
      <c r="F4788" s="1">
        <v>202168</v>
      </c>
      <c r="G4788" s="1">
        <v>4460001593</v>
      </c>
      <c r="H4788" s="1">
        <v>12</v>
      </c>
      <c r="I4788" s="1" t="s">
        <v>233</v>
      </c>
      <c r="J4788" t="s">
        <v>9277</v>
      </c>
    </row>
    <row r="4789" spans="1:10">
      <c r="A4789" s="1">
        <v>216325</v>
      </c>
      <c r="B4789" s="1">
        <v>7161811613</v>
      </c>
      <c r="C4789" s="1">
        <v>6</v>
      </c>
      <c r="D4789" s="1" t="s">
        <v>379</v>
      </c>
      <c r="E4789" t="s">
        <v>9239</v>
      </c>
      <c r="F4789" s="1">
        <v>202150</v>
      </c>
      <c r="G4789" s="1">
        <v>4460001594</v>
      </c>
      <c r="H4789" s="1">
        <v>12</v>
      </c>
      <c r="I4789" s="1" t="s">
        <v>233</v>
      </c>
      <c r="J4789" t="s">
        <v>9278</v>
      </c>
    </row>
    <row r="4790" spans="1:10">
      <c r="A4790" s="1">
        <v>216267</v>
      </c>
      <c r="B4790" s="1">
        <v>1750004403</v>
      </c>
      <c r="C4790" s="1">
        <v>24</v>
      </c>
      <c r="D4790" s="1" t="s">
        <v>259</v>
      </c>
      <c r="E4790" t="s">
        <v>9240</v>
      </c>
      <c r="F4790" s="1">
        <v>709345</v>
      </c>
      <c r="G4790" s="1">
        <v>4460001686</v>
      </c>
      <c r="H4790" s="1">
        <v>6</v>
      </c>
      <c r="I4790" s="1" t="s">
        <v>9273</v>
      </c>
      <c r="J4790" t="s">
        <v>9279</v>
      </c>
    </row>
    <row r="4791" spans="1:10">
      <c r="A4791" s="1">
        <v>216358</v>
      </c>
      <c r="B4791" s="1">
        <v>67811219492</v>
      </c>
      <c r="C4791" s="1">
        <v>48</v>
      </c>
      <c r="D4791" s="1" t="s">
        <v>259</v>
      </c>
      <c r="E4791" t="s">
        <v>9241</v>
      </c>
      <c r="F4791" s="1">
        <v>255877</v>
      </c>
      <c r="G4791" s="1">
        <v>4460030245</v>
      </c>
      <c r="H4791" s="1">
        <v>8</v>
      </c>
      <c r="I4791" s="1" t="s">
        <v>52</v>
      </c>
      <c r="J4791" t="s">
        <v>9280</v>
      </c>
    </row>
    <row r="4792" spans="1:10">
      <c r="A4792" s="1">
        <v>217083</v>
      </c>
      <c r="B4792" s="1">
        <v>67811219490</v>
      </c>
      <c r="C4792" s="1">
        <v>24</v>
      </c>
      <c r="D4792" s="1" t="s">
        <v>908</v>
      </c>
      <c r="E4792" t="s">
        <v>9242</v>
      </c>
      <c r="F4792" s="1">
        <v>280461</v>
      </c>
      <c r="G4792" s="1">
        <v>4460030246</v>
      </c>
      <c r="H4792" s="1">
        <v>8</v>
      </c>
      <c r="I4792" s="1" t="s">
        <v>52</v>
      </c>
      <c r="J4792" t="s">
        <v>9281</v>
      </c>
    </row>
    <row r="4793" spans="1:10">
      <c r="A4793" s="1">
        <v>217992</v>
      </c>
      <c r="B4793" s="1">
        <v>67811256032</v>
      </c>
      <c r="C4793" s="1">
        <v>12</v>
      </c>
      <c r="D4793" s="1" t="s">
        <v>439</v>
      </c>
      <c r="E4793" t="s">
        <v>9243</v>
      </c>
      <c r="F4793" s="1">
        <v>578351</v>
      </c>
      <c r="G4793" s="1">
        <v>4460030306</v>
      </c>
      <c r="H4793" s="1">
        <v>4</v>
      </c>
      <c r="I4793" s="1" t="s">
        <v>52</v>
      </c>
      <c r="J4793" t="s">
        <v>9282</v>
      </c>
    </row>
    <row r="4794" spans="1:10">
      <c r="A4794" s="1">
        <v>589697</v>
      </c>
      <c r="B4794" s="1">
        <v>4460030108</v>
      </c>
      <c r="C4794" s="1">
        <v>12</v>
      </c>
      <c r="D4794" s="1" t="s">
        <v>375</v>
      </c>
      <c r="E4794" t="s">
        <v>9244</v>
      </c>
      <c r="F4794" s="1">
        <v>290999</v>
      </c>
      <c r="G4794" s="1">
        <v>4460000450</v>
      </c>
      <c r="H4794" s="1">
        <v>12</v>
      </c>
      <c r="I4794" s="1" t="s">
        <v>375</v>
      </c>
      <c r="J4794" t="s">
        <v>9283</v>
      </c>
    </row>
    <row r="4795" spans="1:10">
      <c r="A4795" s="1">
        <v>788331</v>
      </c>
      <c r="B4795" s="1">
        <v>4460030199</v>
      </c>
      <c r="C4795" s="1">
        <v>12</v>
      </c>
      <c r="D4795" s="1" t="s">
        <v>4904</v>
      </c>
      <c r="E4795" t="s">
        <v>9245</v>
      </c>
      <c r="F4795" s="1">
        <v>289421</v>
      </c>
      <c r="G4795" s="1">
        <v>4460004587</v>
      </c>
      <c r="H4795" s="1">
        <v>12</v>
      </c>
      <c r="I4795" s="1" t="s">
        <v>7504</v>
      </c>
      <c r="J4795" t="s">
        <v>9284</v>
      </c>
    </row>
    <row r="4796" spans="1:10">
      <c r="A4796" s="1">
        <v>428235</v>
      </c>
      <c r="B4796" s="1">
        <v>4460030200</v>
      </c>
      <c r="C4796" s="1">
        <v>12</v>
      </c>
      <c r="D4796" s="1" t="s">
        <v>1189</v>
      </c>
      <c r="E4796" t="s">
        <v>9246</v>
      </c>
      <c r="F4796" s="1">
        <v>221317</v>
      </c>
      <c r="G4796" s="1">
        <v>4460001656</v>
      </c>
      <c r="H4796" s="1">
        <v>6</v>
      </c>
      <c r="I4796" s="1" t="s">
        <v>9273</v>
      </c>
      <c r="J4796" t="s">
        <v>9285</v>
      </c>
    </row>
    <row r="4797" spans="1:10">
      <c r="A4797" s="1">
        <v>693317</v>
      </c>
      <c r="B4797" s="1">
        <v>4116344896</v>
      </c>
      <c r="C4797" s="1">
        <v>8</v>
      </c>
      <c r="D4797" s="1" t="s">
        <v>1189</v>
      </c>
      <c r="E4797" t="s">
        <v>9247</v>
      </c>
      <c r="F4797" s="1">
        <v>403618</v>
      </c>
      <c r="G4797" s="1">
        <v>4460001654</v>
      </c>
      <c r="H4797" s="1">
        <v>12</v>
      </c>
      <c r="I4797" s="1" t="s">
        <v>233</v>
      </c>
      <c r="J4797" t="s">
        <v>9286</v>
      </c>
    </row>
    <row r="4798" spans="1:10" ht="15.75">
      <c r="A4798" s="4" t="s">
        <v>10829</v>
      </c>
      <c r="B4798" s="2"/>
      <c r="C4798" s="2"/>
      <c r="D4798" s="2"/>
      <c r="E4798" s="3"/>
      <c r="F4798" s="4" t="s">
        <v>10829</v>
      </c>
      <c r="G4798" s="2"/>
      <c r="H4798" s="2"/>
      <c r="I4798" s="2"/>
      <c r="J4798" s="3"/>
    </row>
    <row r="4799" spans="1:10">
      <c r="A4799" s="2" t="s">
        <v>0</v>
      </c>
      <c r="B4799" s="2" t="s">
        <v>1</v>
      </c>
      <c r="C4799" s="2" t="s">
        <v>2</v>
      </c>
      <c r="D4799" s="2" t="s">
        <v>3</v>
      </c>
      <c r="E4799" s="3" t="s">
        <v>4</v>
      </c>
      <c r="F4799" s="2" t="s">
        <v>0</v>
      </c>
      <c r="G4799" s="2" t="s">
        <v>1</v>
      </c>
      <c r="H4799" s="2" t="s">
        <v>2</v>
      </c>
      <c r="I4799" s="2" t="s">
        <v>3</v>
      </c>
      <c r="J4799" s="3" t="s">
        <v>4</v>
      </c>
    </row>
    <row r="4800" spans="1:10">
      <c r="A4800" s="1">
        <v>411280</v>
      </c>
      <c r="B4800" s="1">
        <v>4460001761</v>
      </c>
      <c r="C4800" s="1">
        <v>6</v>
      </c>
      <c r="D4800" s="1" t="s">
        <v>9273</v>
      </c>
      <c r="E4800" t="s">
        <v>9286</v>
      </c>
      <c r="F4800" s="1">
        <v>584029</v>
      </c>
      <c r="G4800" s="1">
        <v>81793900785</v>
      </c>
      <c r="H4800" s="1">
        <v>6</v>
      </c>
      <c r="I4800" s="1" t="s">
        <v>1206</v>
      </c>
      <c r="J4800" t="s">
        <v>9324</v>
      </c>
    </row>
    <row r="4801" spans="1:10">
      <c r="A4801" s="1">
        <v>109017</v>
      </c>
      <c r="B4801" s="1">
        <v>6233878056</v>
      </c>
      <c r="C4801" s="1">
        <v>12</v>
      </c>
      <c r="D4801" s="1" t="s">
        <v>439</v>
      </c>
      <c r="E4801" t="s">
        <v>9287</v>
      </c>
      <c r="F4801" s="1">
        <v>280149</v>
      </c>
      <c r="G4801" s="1">
        <v>3700031506</v>
      </c>
      <c r="H4801" s="1">
        <v>9</v>
      </c>
      <c r="I4801" s="1" t="s">
        <v>8662</v>
      </c>
      <c r="J4801" t="s">
        <v>9325</v>
      </c>
    </row>
    <row r="4802" spans="1:10">
      <c r="A4802" s="1">
        <v>297978</v>
      </c>
      <c r="B4802" s="1">
        <v>5460000286</v>
      </c>
      <c r="C4802" s="1">
        <v>12</v>
      </c>
      <c r="D4802" s="1" t="s">
        <v>1189</v>
      </c>
      <c r="E4802" t="s">
        <v>9288</v>
      </c>
      <c r="F4802" s="1">
        <v>295857</v>
      </c>
      <c r="G4802" s="1">
        <v>3700031501</v>
      </c>
      <c r="H4802" s="1">
        <v>12</v>
      </c>
      <c r="I4802" s="1" t="s">
        <v>4904</v>
      </c>
      <c r="J4802" t="s">
        <v>9326</v>
      </c>
    </row>
    <row r="4803" spans="1:10">
      <c r="A4803" s="1">
        <v>297127</v>
      </c>
      <c r="B4803" s="1">
        <v>5460018262</v>
      </c>
      <c r="C4803" s="1">
        <v>12</v>
      </c>
      <c r="D4803" s="1" t="s">
        <v>1189</v>
      </c>
      <c r="E4803" t="s">
        <v>9289</v>
      </c>
      <c r="F4803" s="1">
        <v>305730</v>
      </c>
      <c r="G4803" s="1">
        <v>3700012605</v>
      </c>
      <c r="H4803" s="1">
        <v>9</v>
      </c>
      <c r="I4803" s="1" t="s">
        <v>8662</v>
      </c>
      <c r="J4803" t="s">
        <v>9327</v>
      </c>
    </row>
    <row r="4804" spans="1:10">
      <c r="A4804" s="1">
        <v>297242</v>
      </c>
      <c r="B4804" s="1">
        <v>5460078271</v>
      </c>
      <c r="C4804" s="1">
        <v>12</v>
      </c>
      <c r="D4804" s="1" t="s">
        <v>9290</v>
      </c>
      <c r="E4804" t="s">
        <v>9291</v>
      </c>
      <c r="F4804" s="1">
        <v>482471</v>
      </c>
      <c r="G4804" s="1">
        <v>3700016352</v>
      </c>
      <c r="H4804" s="1">
        <v>9</v>
      </c>
      <c r="I4804" s="1" t="s">
        <v>8662</v>
      </c>
      <c r="J4804" t="s">
        <v>9328</v>
      </c>
    </row>
    <row r="4805" spans="1:10">
      <c r="A4805" s="1">
        <v>501403</v>
      </c>
      <c r="B4805" s="1">
        <v>5460010568</v>
      </c>
      <c r="C4805" s="1">
        <v>12</v>
      </c>
      <c r="D4805" s="1" t="s">
        <v>1189</v>
      </c>
      <c r="E4805" t="s">
        <v>9292</v>
      </c>
      <c r="F4805" s="1">
        <v>215673</v>
      </c>
      <c r="G4805" s="1">
        <v>3700041542</v>
      </c>
      <c r="H4805" s="1">
        <v>9</v>
      </c>
      <c r="I4805" s="1" t="s">
        <v>8662</v>
      </c>
      <c r="J4805" t="s">
        <v>9329</v>
      </c>
    </row>
    <row r="4806" spans="1:10">
      <c r="A4806" s="1">
        <v>294744</v>
      </c>
      <c r="B4806" s="1">
        <v>4460000889</v>
      </c>
      <c r="C4806" s="1">
        <v>12</v>
      </c>
      <c r="D4806" s="1" t="s">
        <v>1189</v>
      </c>
      <c r="E4806" t="s">
        <v>9293</v>
      </c>
      <c r="F4806" s="1">
        <v>295501</v>
      </c>
      <c r="G4806" s="1">
        <v>3700043515</v>
      </c>
      <c r="H4806" s="1">
        <v>12</v>
      </c>
      <c r="I4806" s="1" t="s">
        <v>7123</v>
      </c>
      <c r="J4806" t="s">
        <v>9330</v>
      </c>
    </row>
    <row r="4807" spans="1:10">
      <c r="A4807" s="1">
        <v>294884</v>
      </c>
      <c r="B4807" s="1">
        <v>4460000888</v>
      </c>
      <c r="C4807" s="1">
        <v>12</v>
      </c>
      <c r="D4807" s="1" t="s">
        <v>1189</v>
      </c>
      <c r="E4807" t="s">
        <v>9294</v>
      </c>
      <c r="F4807" s="1">
        <v>295741</v>
      </c>
      <c r="G4807" s="1">
        <v>3700043516</v>
      </c>
      <c r="H4807" s="1">
        <v>6</v>
      </c>
      <c r="I4807" s="1" t="s">
        <v>6</v>
      </c>
      <c r="J4807" t="s">
        <v>9330</v>
      </c>
    </row>
    <row r="4808" spans="1:10">
      <c r="A4808" s="1">
        <v>803353</v>
      </c>
      <c r="B4808" s="1">
        <v>4460000453</v>
      </c>
      <c r="C4808" s="1">
        <v>12</v>
      </c>
      <c r="D4808" s="1" t="s">
        <v>954</v>
      </c>
      <c r="E4808" t="s">
        <v>9295</v>
      </c>
      <c r="F4808" s="1">
        <v>219709</v>
      </c>
      <c r="G4808" s="1">
        <v>3700046160</v>
      </c>
      <c r="H4808" s="1">
        <v>12</v>
      </c>
      <c r="I4808" s="1" t="s">
        <v>375</v>
      </c>
      <c r="J4808" t="s">
        <v>9331</v>
      </c>
    </row>
    <row r="4809" spans="1:10">
      <c r="A4809" s="1">
        <v>548008</v>
      </c>
      <c r="B4809" s="1">
        <v>4460030311</v>
      </c>
      <c r="C4809" s="1">
        <v>12</v>
      </c>
      <c r="D4809" s="1" t="s">
        <v>1206</v>
      </c>
      <c r="E4809" t="s">
        <v>9296</v>
      </c>
      <c r="F4809" s="1">
        <v>397810</v>
      </c>
      <c r="G4809" s="1">
        <v>3700016356</v>
      </c>
      <c r="H4809" s="1">
        <v>12</v>
      </c>
      <c r="I4809" s="1" t="s">
        <v>1189</v>
      </c>
      <c r="J4809" t="s">
        <v>9332</v>
      </c>
    </row>
    <row r="4810" spans="1:10">
      <c r="A4810" s="1">
        <v>746107</v>
      </c>
      <c r="B4810" s="1">
        <v>4460030315</v>
      </c>
      <c r="C4810" s="1">
        <v>6</v>
      </c>
      <c r="D4810" s="1" t="s">
        <v>1218</v>
      </c>
      <c r="E4810" t="s">
        <v>9296</v>
      </c>
      <c r="F4810" s="1">
        <v>295907</v>
      </c>
      <c r="G4810" s="1">
        <v>3700031502</v>
      </c>
      <c r="H4810" s="1">
        <v>9</v>
      </c>
      <c r="I4810" s="1" t="s">
        <v>8662</v>
      </c>
      <c r="J4810" t="s">
        <v>9333</v>
      </c>
    </row>
    <row r="4811" spans="1:10">
      <c r="A4811" s="1">
        <v>103812</v>
      </c>
      <c r="B4811" s="1">
        <v>8123862942</v>
      </c>
      <c r="C4811" s="1">
        <v>12</v>
      </c>
      <c r="D4811" s="1" t="s">
        <v>1189</v>
      </c>
      <c r="E4811" t="s">
        <v>9297</v>
      </c>
      <c r="F4811" s="1">
        <v>49510</v>
      </c>
      <c r="G4811" s="1">
        <v>3700019968</v>
      </c>
      <c r="H4811" s="1">
        <v>9</v>
      </c>
      <c r="I4811" s="1" t="s">
        <v>8662</v>
      </c>
      <c r="J4811" t="s">
        <v>9334</v>
      </c>
    </row>
    <row r="4812" spans="1:10">
      <c r="A4812" s="1">
        <v>525006</v>
      </c>
      <c r="B4812" s="1">
        <v>4116345064</v>
      </c>
      <c r="C4812" s="1">
        <v>12</v>
      </c>
      <c r="D4812" s="1" t="s">
        <v>4904</v>
      </c>
      <c r="E4812" t="s">
        <v>9298</v>
      </c>
      <c r="F4812" s="1">
        <v>698696</v>
      </c>
      <c r="G4812" s="1">
        <v>3700019969</v>
      </c>
      <c r="H4812" s="1">
        <v>12</v>
      </c>
      <c r="I4812" s="1" t="s">
        <v>1189</v>
      </c>
      <c r="J4812" t="s">
        <v>9335</v>
      </c>
    </row>
    <row r="4813" spans="1:10">
      <c r="A4813" s="1">
        <v>823203</v>
      </c>
      <c r="B4813" s="1">
        <v>4116345063</v>
      </c>
      <c r="C4813" s="1">
        <v>12</v>
      </c>
      <c r="D4813" s="1" t="s">
        <v>4904</v>
      </c>
      <c r="E4813" t="s">
        <v>9299</v>
      </c>
      <c r="F4813" s="1">
        <v>703496</v>
      </c>
      <c r="G4813" s="1">
        <v>3700016354</v>
      </c>
      <c r="H4813" s="1">
        <v>12</v>
      </c>
      <c r="I4813" s="1" t="s">
        <v>1189</v>
      </c>
      <c r="J4813" t="s">
        <v>9336</v>
      </c>
    </row>
    <row r="4814" spans="1:10">
      <c r="A4814" s="1">
        <v>371443</v>
      </c>
      <c r="B4814" s="1">
        <v>4116345053</v>
      </c>
      <c r="C4814" s="1">
        <v>12</v>
      </c>
      <c r="D4814" s="1" t="s">
        <v>1189</v>
      </c>
      <c r="E4814" t="s">
        <v>9300</v>
      </c>
      <c r="F4814" s="1">
        <v>223057</v>
      </c>
      <c r="G4814" s="1">
        <v>3700017967</v>
      </c>
      <c r="H4814" s="1">
        <v>6</v>
      </c>
      <c r="I4814" s="1" t="s">
        <v>52</v>
      </c>
      <c r="J4814" t="s">
        <v>9337</v>
      </c>
    </row>
    <row r="4815" spans="1:10">
      <c r="A4815" s="1">
        <v>809178</v>
      </c>
      <c r="B4815" s="1">
        <v>4116344950</v>
      </c>
      <c r="C4815" s="1">
        <v>12</v>
      </c>
      <c r="D4815" s="1" t="s">
        <v>7123</v>
      </c>
      <c r="E4815" t="s">
        <v>9301</v>
      </c>
      <c r="F4815" s="1">
        <v>194738</v>
      </c>
      <c r="G4815" s="1">
        <v>3700013176</v>
      </c>
      <c r="H4815" s="1">
        <v>6</v>
      </c>
      <c r="I4815" s="1" t="s">
        <v>1218</v>
      </c>
      <c r="J4815" t="s">
        <v>9338</v>
      </c>
    </row>
    <row r="4816" spans="1:10">
      <c r="A4816" s="1">
        <v>815332</v>
      </c>
      <c r="B4816" s="1">
        <v>4116344885</v>
      </c>
      <c r="C4816" s="1">
        <v>12</v>
      </c>
      <c r="D4816" s="1" t="s">
        <v>233</v>
      </c>
      <c r="E4816" t="s">
        <v>9302</v>
      </c>
      <c r="F4816" s="1">
        <v>709428</v>
      </c>
      <c r="G4816" s="1">
        <v>3700004249</v>
      </c>
      <c r="H4816" s="1">
        <v>16</v>
      </c>
      <c r="I4816" s="1" t="s">
        <v>7123</v>
      </c>
      <c r="J4816" t="s">
        <v>9339</v>
      </c>
    </row>
    <row r="4817" spans="1:10">
      <c r="A4817" s="1">
        <v>786293</v>
      </c>
      <c r="B4817" s="1">
        <v>4116344887</v>
      </c>
      <c r="C4817" s="1">
        <v>6</v>
      </c>
      <c r="D4817" s="1" t="s">
        <v>9273</v>
      </c>
      <c r="E4817" t="s">
        <v>9302</v>
      </c>
      <c r="F4817" s="1">
        <v>295774</v>
      </c>
      <c r="G4817" s="1">
        <v>7048101102</v>
      </c>
      <c r="H4817" s="1">
        <v>12</v>
      </c>
      <c r="I4817" s="1" t="s">
        <v>1189</v>
      </c>
      <c r="J4817" t="s">
        <v>9340</v>
      </c>
    </row>
    <row r="4818" spans="1:10">
      <c r="A4818" s="1">
        <v>285999</v>
      </c>
      <c r="B4818" s="1">
        <v>4116344886</v>
      </c>
      <c r="C4818" s="1">
        <v>12</v>
      </c>
      <c r="D4818" s="1" t="s">
        <v>233</v>
      </c>
      <c r="E4818" t="s">
        <v>9303</v>
      </c>
      <c r="F4818" s="1">
        <v>213066</v>
      </c>
      <c r="G4818" s="1">
        <v>7048101030</v>
      </c>
      <c r="H4818" s="1">
        <v>12</v>
      </c>
      <c r="I4818" s="1" t="s">
        <v>7504</v>
      </c>
      <c r="J4818" t="s">
        <v>9341</v>
      </c>
    </row>
    <row r="4819" spans="1:10">
      <c r="A4819" s="1">
        <v>196675</v>
      </c>
      <c r="B4819" s="1">
        <v>4116344888</v>
      </c>
      <c r="C4819" s="1">
        <v>6</v>
      </c>
      <c r="D4819" s="1" t="s">
        <v>9273</v>
      </c>
      <c r="E4819" t="s">
        <v>9303</v>
      </c>
      <c r="F4819" s="1">
        <v>216853</v>
      </c>
      <c r="G4819" s="1">
        <v>7048101101</v>
      </c>
      <c r="H4819" s="1">
        <v>12</v>
      </c>
      <c r="I4819" s="1" t="s">
        <v>1191</v>
      </c>
      <c r="J4819" t="s">
        <v>9342</v>
      </c>
    </row>
    <row r="4820" spans="1:10">
      <c r="A4820" s="1">
        <v>216747</v>
      </c>
      <c r="B4820" s="1">
        <v>4460033910</v>
      </c>
      <c r="C4820" s="1">
        <v>12</v>
      </c>
      <c r="D4820" s="1" t="s">
        <v>4904</v>
      </c>
      <c r="E4820" t="s">
        <v>9304</v>
      </c>
      <c r="F4820" s="1">
        <v>861492</v>
      </c>
      <c r="G4820" s="1">
        <v>5460071601</v>
      </c>
      <c r="H4820" s="1">
        <v>8</v>
      </c>
      <c r="I4820" s="1" t="s">
        <v>9290</v>
      </c>
      <c r="J4820" t="s">
        <v>9343</v>
      </c>
    </row>
    <row r="4821" spans="1:10">
      <c r="A4821" s="1">
        <v>365700</v>
      </c>
      <c r="B4821" s="1">
        <v>1920078630</v>
      </c>
      <c r="C4821" s="1">
        <v>9</v>
      </c>
      <c r="D4821" s="1" t="s">
        <v>8662</v>
      </c>
      <c r="E4821" t="s">
        <v>9305</v>
      </c>
      <c r="F4821" s="1">
        <v>216457</v>
      </c>
      <c r="G4821" s="1">
        <v>4129440174</v>
      </c>
      <c r="H4821" s="1">
        <v>12</v>
      </c>
      <c r="I4821" s="1" t="s">
        <v>4904</v>
      </c>
      <c r="J4821" t="s">
        <v>9344</v>
      </c>
    </row>
    <row r="4822" spans="1:10">
      <c r="A4822" s="1">
        <v>709386</v>
      </c>
      <c r="B4822" s="1">
        <v>1920078626</v>
      </c>
      <c r="C4822" s="1">
        <v>9</v>
      </c>
      <c r="D4822" s="1" t="s">
        <v>8662</v>
      </c>
      <c r="E4822" t="s">
        <v>9306</v>
      </c>
      <c r="F4822" s="1">
        <v>221309</v>
      </c>
      <c r="G4822" s="1">
        <v>4129440272</v>
      </c>
      <c r="H4822" s="1">
        <v>8</v>
      </c>
      <c r="I4822" s="1" t="s">
        <v>865</v>
      </c>
      <c r="J4822" t="s">
        <v>9345</v>
      </c>
    </row>
    <row r="4823" spans="1:10">
      <c r="A4823" s="1">
        <v>709394</v>
      </c>
      <c r="B4823" s="1">
        <v>1920078625</v>
      </c>
      <c r="C4823" s="1">
        <v>9</v>
      </c>
      <c r="D4823" s="1" t="s">
        <v>8662</v>
      </c>
      <c r="E4823" t="s">
        <v>9307</v>
      </c>
      <c r="F4823" s="1">
        <v>217471</v>
      </c>
      <c r="G4823" s="1">
        <v>4129440187</v>
      </c>
      <c r="H4823" s="1">
        <v>12</v>
      </c>
      <c r="I4823" s="1" t="s">
        <v>4904</v>
      </c>
      <c r="J4823" t="s">
        <v>9346</v>
      </c>
    </row>
    <row r="4824" spans="1:10">
      <c r="A4824" s="1">
        <v>679118</v>
      </c>
      <c r="B4824" s="1">
        <v>1920081153</v>
      </c>
      <c r="C4824" s="1">
        <v>9</v>
      </c>
      <c r="D4824" s="1" t="s">
        <v>8662</v>
      </c>
      <c r="E4824" t="s">
        <v>9308</v>
      </c>
      <c r="F4824" s="1">
        <v>217497</v>
      </c>
      <c r="G4824" s="1">
        <v>4129440199</v>
      </c>
      <c r="H4824" s="1">
        <v>8</v>
      </c>
      <c r="I4824" s="1" t="s">
        <v>1200</v>
      </c>
      <c r="J4824" t="s">
        <v>9347</v>
      </c>
    </row>
    <row r="4825" spans="1:10">
      <c r="A4825" s="1">
        <v>220285</v>
      </c>
      <c r="B4825" s="1">
        <v>1920077660</v>
      </c>
      <c r="C4825" s="1">
        <v>12</v>
      </c>
      <c r="D4825" s="1" t="s">
        <v>1189</v>
      </c>
      <c r="E4825" t="s">
        <v>9309</v>
      </c>
      <c r="F4825" s="1">
        <v>217489</v>
      </c>
      <c r="G4825" s="1">
        <v>4129440165</v>
      </c>
      <c r="H4825" s="1">
        <v>12</v>
      </c>
      <c r="I4825" s="1" t="s">
        <v>2826</v>
      </c>
      <c r="J4825" t="s">
        <v>9348</v>
      </c>
    </row>
    <row r="4826" spans="1:10">
      <c r="A4826" s="1">
        <v>294686</v>
      </c>
      <c r="B4826" s="1">
        <v>1920002201</v>
      </c>
      <c r="C4826" s="1">
        <v>12</v>
      </c>
      <c r="D4826" s="1" t="s">
        <v>2303</v>
      </c>
      <c r="E4826" t="s">
        <v>9310</v>
      </c>
      <c r="F4826" s="1">
        <v>217513</v>
      </c>
      <c r="G4826" s="1">
        <v>4129440265</v>
      </c>
      <c r="H4826" s="1">
        <v>8</v>
      </c>
      <c r="I4826" s="1" t="s">
        <v>1200</v>
      </c>
      <c r="J4826" t="s">
        <v>9349</v>
      </c>
    </row>
    <row r="4827" spans="1:10">
      <c r="A4827" s="1">
        <v>218719</v>
      </c>
      <c r="B4827" s="1">
        <v>1920000888</v>
      </c>
      <c r="C4827" s="1">
        <v>12</v>
      </c>
      <c r="D4827" s="1" t="s">
        <v>7504</v>
      </c>
      <c r="E4827" t="s">
        <v>9311</v>
      </c>
      <c r="F4827" s="1">
        <v>221614</v>
      </c>
      <c r="G4827" s="1">
        <v>4129440125</v>
      </c>
      <c r="H4827" s="1">
        <v>8</v>
      </c>
      <c r="I4827" s="1" t="s">
        <v>1200</v>
      </c>
      <c r="J4827" t="s">
        <v>9350</v>
      </c>
    </row>
    <row r="4828" spans="1:10">
      <c r="A4828" s="1">
        <v>514406</v>
      </c>
      <c r="B4828" s="1">
        <v>1920081146</v>
      </c>
      <c r="C4828" s="1">
        <v>12</v>
      </c>
      <c r="D4828" s="1" t="s">
        <v>233</v>
      </c>
      <c r="E4828" t="s">
        <v>9312</v>
      </c>
      <c r="F4828" s="1">
        <v>266890</v>
      </c>
      <c r="G4828" s="1">
        <v>4129441904</v>
      </c>
      <c r="H4828" s="1">
        <v>8</v>
      </c>
      <c r="I4828" s="1" t="s">
        <v>1200</v>
      </c>
      <c r="J4828" t="s">
        <v>9351</v>
      </c>
    </row>
    <row r="4829" spans="1:10">
      <c r="A4829" s="1">
        <v>370205</v>
      </c>
      <c r="B4829" s="1">
        <v>1920081145</v>
      </c>
      <c r="C4829" s="1">
        <v>12</v>
      </c>
      <c r="D4829" s="1" t="s">
        <v>233</v>
      </c>
      <c r="E4829" t="s">
        <v>9313</v>
      </c>
      <c r="F4829" s="1">
        <v>331223</v>
      </c>
      <c r="G4829" s="1">
        <v>4129497230</v>
      </c>
      <c r="H4829" s="1">
        <v>8</v>
      </c>
      <c r="I4829" s="1" t="s">
        <v>865</v>
      </c>
      <c r="J4829" t="s">
        <v>9352</v>
      </c>
    </row>
    <row r="4830" spans="1:10">
      <c r="A4830" s="1">
        <v>897884</v>
      </c>
      <c r="B4830" s="1">
        <v>1920081143</v>
      </c>
      <c r="C4830" s="1">
        <v>12</v>
      </c>
      <c r="D4830" s="1" t="s">
        <v>9314</v>
      </c>
      <c r="E4830" t="s">
        <v>9315</v>
      </c>
      <c r="F4830" s="1">
        <v>766840</v>
      </c>
      <c r="G4830" s="1">
        <v>4650070788</v>
      </c>
      <c r="H4830" s="1">
        <v>6</v>
      </c>
      <c r="I4830" s="1" t="s">
        <v>6574</v>
      </c>
      <c r="J4830" t="s">
        <v>9353</v>
      </c>
    </row>
    <row r="4831" spans="1:10">
      <c r="A4831" s="1">
        <v>116491</v>
      </c>
      <c r="B4831" s="1">
        <v>1920081700</v>
      </c>
      <c r="C4831" s="1">
        <v>6</v>
      </c>
      <c r="D4831" s="1" t="s">
        <v>1202</v>
      </c>
      <c r="E4831" t="s">
        <v>9316</v>
      </c>
      <c r="F4831" s="1">
        <v>385328</v>
      </c>
      <c r="G4831" s="1">
        <v>4650021459</v>
      </c>
      <c r="H4831" s="1">
        <v>6</v>
      </c>
      <c r="I4831" s="1" t="s">
        <v>1191</v>
      </c>
      <c r="J4831" t="s">
        <v>9354</v>
      </c>
    </row>
    <row r="4832" spans="1:10">
      <c r="A4832" s="1">
        <v>454660</v>
      </c>
      <c r="B4832" s="1">
        <v>81793900005</v>
      </c>
      <c r="C4832" s="1">
        <v>8</v>
      </c>
      <c r="D4832" s="1" t="s">
        <v>4904</v>
      </c>
      <c r="E4832" t="s">
        <v>9317</v>
      </c>
      <c r="F4832" s="1">
        <v>220038</v>
      </c>
      <c r="G4832" s="1">
        <v>4650021462</v>
      </c>
      <c r="H4832" s="1">
        <v>12</v>
      </c>
      <c r="I4832" s="1" t="s">
        <v>9</v>
      </c>
      <c r="J4832" t="s">
        <v>9355</v>
      </c>
    </row>
    <row r="4833" spans="1:10">
      <c r="A4833" s="1">
        <v>894337</v>
      </c>
      <c r="B4833" s="1">
        <v>81793900784</v>
      </c>
      <c r="C4833" s="1">
        <v>6</v>
      </c>
      <c r="D4833" s="1" t="s">
        <v>1206</v>
      </c>
      <c r="E4833" t="s">
        <v>9318</v>
      </c>
      <c r="F4833" s="1">
        <v>520544</v>
      </c>
      <c r="G4833" s="1">
        <v>2340015022</v>
      </c>
      <c r="H4833" s="1">
        <v>9</v>
      </c>
      <c r="I4833" s="1" t="s">
        <v>3085</v>
      </c>
      <c r="J4833" t="s">
        <v>9356</v>
      </c>
    </row>
    <row r="4834" spans="1:10">
      <c r="A4834" s="1">
        <v>432583</v>
      </c>
      <c r="B4834" s="1">
        <v>81793900782</v>
      </c>
      <c r="C4834" s="1">
        <v>6</v>
      </c>
      <c r="D4834" s="1" t="s">
        <v>1206</v>
      </c>
      <c r="E4834" t="s">
        <v>9319</v>
      </c>
      <c r="F4834" s="1">
        <v>295634</v>
      </c>
      <c r="G4834" s="1">
        <v>4113030080</v>
      </c>
      <c r="H4834" s="1">
        <v>12</v>
      </c>
      <c r="I4834" s="1" t="s">
        <v>4904</v>
      </c>
      <c r="J4834" t="s">
        <v>9357</v>
      </c>
    </row>
    <row r="4835" spans="1:10">
      <c r="A4835" s="1">
        <v>30643</v>
      </c>
      <c r="B4835" s="1">
        <v>81793900503</v>
      </c>
      <c r="C4835" s="1">
        <v>8</v>
      </c>
      <c r="D4835" s="1" t="s">
        <v>4904</v>
      </c>
      <c r="E4835" t="s">
        <v>9320</v>
      </c>
      <c r="F4835" s="1">
        <v>220657</v>
      </c>
      <c r="G4835" s="1">
        <v>81143500101</v>
      </c>
      <c r="H4835" s="1">
        <v>12</v>
      </c>
      <c r="I4835" s="1" t="s">
        <v>4904</v>
      </c>
      <c r="J4835" t="s">
        <v>9358</v>
      </c>
    </row>
    <row r="4836" spans="1:10">
      <c r="A4836" s="1">
        <v>456343</v>
      </c>
      <c r="B4836" s="1">
        <v>81793900786</v>
      </c>
      <c r="C4836" s="1">
        <v>6</v>
      </c>
      <c r="D4836" s="1" t="s">
        <v>1206</v>
      </c>
      <c r="E4836" t="s">
        <v>9321</v>
      </c>
      <c r="F4836" s="1">
        <v>96560</v>
      </c>
      <c r="G4836" s="1">
        <v>81143500102</v>
      </c>
      <c r="H4836" s="1">
        <v>9</v>
      </c>
      <c r="I4836" s="1" t="s">
        <v>8662</v>
      </c>
      <c r="J4836" t="s">
        <v>9359</v>
      </c>
    </row>
    <row r="4837" spans="1:10">
      <c r="A4837" s="1">
        <v>683011</v>
      </c>
      <c r="B4837" s="1">
        <v>81793900788</v>
      </c>
      <c r="C4837" s="1">
        <v>6</v>
      </c>
      <c r="D4837" s="1" t="s">
        <v>1206</v>
      </c>
      <c r="E4837" t="s">
        <v>9322</v>
      </c>
      <c r="F4837" s="1">
        <v>547802</v>
      </c>
      <c r="G4837" s="1">
        <v>1121805281</v>
      </c>
      <c r="H4837" s="1">
        <v>12</v>
      </c>
      <c r="I4837" s="1" t="s">
        <v>4904</v>
      </c>
      <c r="J4837" t="s">
        <v>9360</v>
      </c>
    </row>
    <row r="4838" spans="1:10">
      <c r="A4838" s="1">
        <v>496877</v>
      </c>
      <c r="B4838" s="1">
        <v>81793900787</v>
      </c>
      <c r="C4838" s="1">
        <v>6</v>
      </c>
      <c r="D4838" s="1" t="s">
        <v>1206</v>
      </c>
      <c r="E4838" t="s">
        <v>9323</v>
      </c>
      <c r="F4838" s="1">
        <v>290270</v>
      </c>
      <c r="G4838" s="1">
        <v>1121804281</v>
      </c>
      <c r="H4838" s="1">
        <v>12</v>
      </c>
      <c r="I4838" s="1" t="s">
        <v>4904</v>
      </c>
      <c r="J4838" t="s">
        <v>9361</v>
      </c>
    </row>
    <row r="4839" spans="1:10" ht="15.75">
      <c r="A4839" s="4" t="s">
        <v>10830</v>
      </c>
      <c r="B4839" s="2"/>
      <c r="C4839" s="2"/>
      <c r="D4839" s="2"/>
      <c r="E4839" s="3"/>
      <c r="F4839" s="4" t="s">
        <v>10831</v>
      </c>
      <c r="G4839" s="2"/>
      <c r="H4839" s="2"/>
      <c r="I4839" s="2"/>
      <c r="J4839" s="3"/>
    </row>
    <row r="4840" spans="1:10">
      <c r="A4840" s="2" t="s">
        <v>0</v>
      </c>
      <c r="B4840" s="2" t="s">
        <v>1</v>
      </c>
      <c r="C4840" s="2" t="s">
        <v>2</v>
      </c>
      <c r="D4840" s="2" t="s">
        <v>3</v>
      </c>
      <c r="E4840" s="3" t="s">
        <v>4</v>
      </c>
      <c r="F4840" s="2" t="s">
        <v>0</v>
      </c>
      <c r="G4840" s="2" t="s">
        <v>1</v>
      </c>
      <c r="H4840" s="2" t="s">
        <v>2</v>
      </c>
      <c r="I4840" s="2" t="s">
        <v>3</v>
      </c>
      <c r="J4840" s="3" t="s">
        <v>4</v>
      </c>
    </row>
    <row r="4841" spans="1:10">
      <c r="A4841" s="1">
        <v>409516</v>
      </c>
      <c r="B4841" s="1">
        <v>73291322752</v>
      </c>
      <c r="C4841" s="1">
        <v>8</v>
      </c>
      <c r="D4841" s="1" t="s">
        <v>1189</v>
      </c>
      <c r="E4841" t="s">
        <v>9362</v>
      </c>
      <c r="F4841" s="1">
        <v>19075</v>
      </c>
      <c r="G4841" s="1">
        <v>4460000273</v>
      </c>
      <c r="H4841" s="1">
        <v>7</v>
      </c>
      <c r="I4841" s="1" t="s">
        <v>439</v>
      </c>
      <c r="J4841" t="s">
        <v>9399</v>
      </c>
    </row>
    <row r="4842" spans="1:10">
      <c r="A4842" s="1">
        <v>309344</v>
      </c>
      <c r="B4842" s="1">
        <v>73291322750</v>
      </c>
      <c r="C4842" s="1">
        <v>8</v>
      </c>
      <c r="D4842" s="1" t="s">
        <v>1189</v>
      </c>
      <c r="E4842" t="s">
        <v>9363</v>
      </c>
      <c r="F4842" s="1">
        <v>750349</v>
      </c>
      <c r="G4842" s="1">
        <v>4460000275</v>
      </c>
      <c r="H4842" s="1">
        <v>12</v>
      </c>
      <c r="I4842" s="1" t="s">
        <v>2557</v>
      </c>
      <c r="J4842" t="s">
        <v>9400</v>
      </c>
    </row>
    <row r="4843" spans="1:10">
      <c r="A4843" s="1">
        <v>217117</v>
      </c>
      <c r="B4843" s="1">
        <v>79271600064</v>
      </c>
      <c r="C4843" s="1">
        <v>6</v>
      </c>
      <c r="D4843" s="1" t="s">
        <v>2496</v>
      </c>
      <c r="E4843" t="s">
        <v>9364</v>
      </c>
      <c r="F4843" s="1">
        <v>407114</v>
      </c>
      <c r="G4843" s="1">
        <v>4460000933</v>
      </c>
      <c r="H4843" s="1">
        <v>12</v>
      </c>
      <c r="I4843" s="1" t="s">
        <v>2557</v>
      </c>
      <c r="J4843" t="s">
        <v>9401</v>
      </c>
    </row>
    <row r="4844" spans="1:10">
      <c r="A4844" s="1">
        <v>78014</v>
      </c>
      <c r="B4844" s="1">
        <v>4460008033</v>
      </c>
      <c r="C4844" s="1">
        <v>9</v>
      </c>
      <c r="D4844" s="1" t="s">
        <v>469</v>
      </c>
      <c r="E4844" t="s">
        <v>9365</v>
      </c>
      <c r="F4844" s="1">
        <v>645077</v>
      </c>
      <c r="G4844" s="1">
        <v>4460030176</v>
      </c>
      <c r="H4844" s="1">
        <v>12</v>
      </c>
      <c r="I4844" s="1" t="s">
        <v>8580</v>
      </c>
      <c r="J4844" t="s">
        <v>9402</v>
      </c>
    </row>
    <row r="4845" spans="1:10">
      <c r="A4845" s="1">
        <v>217844</v>
      </c>
      <c r="B4845" s="1">
        <v>67811219587</v>
      </c>
      <c r="C4845" s="1">
        <v>9</v>
      </c>
      <c r="D4845" s="1" t="s">
        <v>375</v>
      </c>
      <c r="E4845" t="s">
        <v>9366</v>
      </c>
      <c r="F4845" s="1">
        <v>859462</v>
      </c>
      <c r="G4845" s="1">
        <v>4460030177</v>
      </c>
      <c r="H4845" s="1">
        <v>6</v>
      </c>
      <c r="I4845" s="1" t="s">
        <v>9403</v>
      </c>
      <c r="J4845" t="s">
        <v>9402</v>
      </c>
    </row>
    <row r="4846" spans="1:10">
      <c r="A4846" s="1">
        <v>217836</v>
      </c>
      <c r="B4846" s="1">
        <v>67811219586</v>
      </c>
      <c r="C4846" s="1">
        <v>12</v>
      </c>
      <c r="D4846" s="1" t="s">
        <v>940</v>
      </c>
      <c r="E4846" t="s">
        <v>9367</v>
      </c>
      <c r="F4846" s="1">
        <v>577080</v>
      </c>
      <c r="G4846" s="1">
        <v>4460001717</v>
      </c>
      <c r="H4846" s="1">
        <v>8</v>
      </c>
      <c r="I4846" s="1" t="s">
        <v>10</v>
      </c>
      <c r="J4846" t="s">
        <v>9404</v>
      </c>
    </row>
    <row r="4847" spans="1:10">
      <c r="A4847" s="1">
        <v>292771</v>
      </c>
      <c r="B4847" s="1">
        <v>67811256844</v>
      </c>
      <c r="C4847" s="1">
        <v>9</v>
      </c>
      <c r="D4847" s="1" t="s">
        <v>1189</v>
      </c>
      <c r="E4847" t="s">
        <v>9368</v>
      </c>
      <c r="F4847" s="1">
        <v>331975</v>
      </c>
      <c r="G4847" s="1">
        <v>4460003191</v>
      </c>
      <c r="H4847" s="1">
        <v>6</v>
      </c>
      <c r="I4847" s="1" t="s">
        <v>8</v>
      </c>
      <c r="J4847" t="s">
        <v>9405</v>
      </c>
    </row>
    <row r="4848" spans="1:10">
      <c r="A4848" s="1">
        <v>346338</v>
      </c>
      <c r="B4848" s="1">
        <v>4460030057</v>
      </c>
      <c r="C4848" s="1">
        <v>12</v>
      </c>
      <c r="D4848" s="1" t="s">
        <v>439</v>
      </c>
      <c r="E4848" t="s">
        <v>9369</v>
      </c>
      <c r="F4848" s="1">
        <v>659235</v>
      </c>
      <c r="G4848" s="1">
        <v>4460000451</v>
      </c>
      <c r="H4848" s="1">
        <v>12</v>
      </c>
      <c r="I4848" s="1" t="s">
        <v>439</v>
      </c>
      <c r="J4848" t="s">
        <v>9406</v>
      </c>
    </row>
    <row r="4849" spans="1:10">
      <c r="A4849" s="1">
        <v>336776</v>
      </c>
      <c r="B4849" s="1">
        <v>4116345055</v>
      </c>
      <c r="C4849" s="1">
        <v>12</v>
      </c>
      <c r="D4849" s="1" t="s">
        <v>1189</v>
      </c>
      <c r="E4849" t="s">
        <v>9370</v>
      </c>
      <c r="F4849" s="1">
        <v>428169</v>
      </c>
      <c r="G4849" s="1">
        <v>4116344921</v>
      </c>
      <c r="H4849" s="1">
        <v>12</v>
      </c>
      <c r="I4849" s="1" t="s">
        <v>441</v>
      </c>
      <c r="J4849" t="s">
        <v>9407</v>
      </c>
    </row>
    <row r="4850" spans="1:10">
      <c r="A4850" s="1">
        <v>218420</v>
      </c>
      <c r="B4850" s="1">
        <v>1920002699</v>
      </c>
      <c r="C4850" s="1">
        <v>12</v>
      </c>
      <c r="D4850" s="1" t="s">
        <v>1189</v>
      </c>
      <c r="E4850" t="s">
        <v>9371</v>
      </c>
      <c r="F4850" s="1">
        <v>391466</v>
      </c>
      <c r="G4850" s="1">
        <v>4116344920</v>
      </c>
      <c r="H4850" s="1">
        <v>12</v>
      </c>
      <c r="I4850" s="1" t="s">
        <v>360</v>
      </c>
      <c r="J4850" t="s">
        <v>9408</v>
      </c>
    </row>
    <row r="4851" spans="1:10">
      <c r="A4851" s="1">
        <v>218487</v>
      </c>
      <c r="B4851" s="1">
        <v>1920002569</v>
      </c>
      <c r="C4851" s="1">
        <v>12</v>
      </c>
      <c r="D4851" s="1" t="s">
        <v>439</v>
      </c>
      <c r="E4851" t="s">
        <v>9372</v>
      </c>
      <c r="F4851" s="1">
        <v>294108</v>
      </c>
      <c r="G4851" s="1">
        <v>4116344919</v>
      </c>
      <c r="H4851" s="1">
        <v>12</v>
      </c>
      <c r="I4851" s="1" t="s">
        <v>2557</v>
      </c>
      <c r="J4851" t="s">
        <v>9409</v>
      </c>
    </row>
    <row r="4852" spans="1:10">
      <c r="A4852" s="1">
        <v>203307</v>
      </c>
      <c r="B4852" s="1">
        <v>81793900059</v>
      </c>
      <c r="C4852" s="1">
        <v>12</v>
      </c>
      <c r="D4852" s="1" t="s">
        <v>9314</v>
      </c>
      <c r="E4852" t="s">
        <v>9373</v>
      </c>
      <c r="F4852" s="1">
        <v>700104</v>
      </c>
      <c r="G4852" s="1">
        <v>4116344918</v>
      </c>
      <c r="H4852" s="1">
        <v>12</v>
      </c>
      <c r="I4852" s="1" t="s">
        <v>2557</v>
      </c>
      <c r="J4852" t="s">
        <v>9410</v>
      </c>
    </row>
    <row r="4853" spans="1:10">
      <c r="A4853" s="1">
        <v>238469</v>
      </c>
      <c r="B4853" s="1">
        <v>81793900004</v>
      </c>
      <c r="C4853" s="1">
        <v>8</v>
      </c>
      <c r="D4853" s="1" t="s">
        <v>4904</v>
      </c>
      <c r="E4853" t="s">
        <v>9374</v>
      </c>
      <c r="F4853" s="1">
        <v>218339</v>
      </c>
      <c r="G4853" s="1">
        <v>1920075055</v>
      </c>
      <c r="H4853" s="1">
        <v>12</v>
      </c>
      <c r="I4853" s="1" t="s">
        <v>2557</v>
      </c>
      <c r="J4853" t="s">
        <v>9411</v>
      </c>
    </row>
    <row r="4854" spans="1:10">
      <c r="A4854" s="1">
        <v>489781</v>
      </c>
      <c r="B4854" s="1">
        <v>81793900732</v>
      </c>
      <c r="C4854" s="1">
        <v>6</v>
      </c>
      <c r="D4854" s="1" t="s">
        <v>2557</v>
      </c>
      <c r="E4854" t="s">
        <v>9375</v>
      </c>
      <c r="F4854" s="1">
        <v>218313</v>
      </c>
      <c r="G4854" s="1">
        <v>1920002522</v>
      </c>
      <c r="H4854" s="1">
        <v>12</v>
      </c>
      <c r="I4854" s="1" t="s">
        <v>2557</v>
      </c>
      <c r="J4854" t="s">
        <v>9412</v>
      </c>
    </row>
    <row r="4855" spans="1:10">
      <c r="A4855" s="1">
        <v>318766</v>
      </c>
      <c r="B4855" s="1">
        <v>81793900008</v>
      </c>
      <c r="C4855" s="1">
        <v>8</v>
      </c>
      <c r="D4855" s="1" t="s">
        <v>4904</v>
      </c>
      <c r="E4855" t="s">
        <v>9376</v>
      </c>
      <c r="F4855" s="1">
        <v>275925</v>
      </c>
      <c r="G4855" s="1">
        <v>1920076878</v>
      </c>
      <c r="H4855" s="1">
        <v>12</v>
      </c>
      <c r="I4855" s="1" t="s">
        <v>2557</v>
      </c>
      <c r="J4855" t="s">
        <v>9413</v>
      </c>
    </row>
    <row r="4856" spans="1:10">
      <c r="A4856" s="1">
        <v>399915</v>
      </c>
      <c r="B4856" s="1">
        <v>2570070190</v>
      </c>
      <c r="C4856" s="1">
        <v>8</v>
      </c>
      <c r="D4856" s="1" t="s">
        <v>9290</v>
      </c>
      <c r="E4856" t="s">
        <v>9377</v>
      </c>
      <c r="F4856" s="1">
        <v>216085</v>
      </c>
      <c r="G4856" s="1">
        <v>1920076879</v>
      </c>
      <c r="H4856" s="1">
        <v>12</v>
      </c>
      <c r="I4856" s="1" t="s">
        <v>2557</v>
      </c>
      <c r="J4856" t="s">
        <v>9414</v>
      </c>
    </row>
    <row r="4857" spans="1:10">
      <c r="A4857" s="1">
        <v>212803</v>
      </c>
      <c r="B4857" s="1">
        <v>75703735018</v>
      </c>
      <c r="C4857" s="1">
        <v>12</v>
      </c>
      <c r="D4857" s="1" t="s">
        <v>7504</v>
      </c>
      <c r="E4857" t="s">
        <v>9378</v>
      </c>
      <c r="F4857" s="1">
        <v>709592</v>
      </c>
      <c r="G4857" s="1">
        <v>1920078869</v>
      </c>
      <c r="H4857" s="1">
        <v>12</v>
      </c>
      <c r="I4857" s="1" t="s">
        <v>2557</v>
      </c>
      <c r="J4857" t="s">
        <v>9415</v>
      </c>
    </row>
    <row r="4858" spans="1:10">
      <c r="A4858" s="1">
        <v>689562</v>
      </c>
      <c r="B4858" s="1">
        <v>2570024705</v>
      </c>
      <c r="C4858" s="1">
        <v>12</v>
      </c>
      <c r="D4858" s="1" t="s">
        <v>1198</v>
      </c>
      <c r="E4858" t="s">
        <v>9379</v>
      </c>
      <c r="F4858" s="1">
        <v>410928</v>
      </c>
      <c r="G4858" s="1">
        <v>81793900731</v>
      </c>
      <c r="H4858" s="1">
        <v>6</v>
      </c>
      <c r="I4858" s="1" t="s">
        <v>2557</v>
      </c>
      <c r="J4858" t="s">
        <v>9416</v>
      </c>
    </row>
    <row r="4859" spans="1:10">
      <c r="A4859" s="1">
        <v>282228</v>
      </c>
      <c r="B4859" s="1">
        <v>2570039572</v>
      </c>
      <c r="C4859" s="1">
        <v>12</v>
      </c>
      <c r="D4859" s="1" t="s">
        <v>1198</v>
      </c>
      <c r="E4859" t="s">
        <v>9380</v>
      </c>
      <c r="F4859" s="1">
        <v>255620</v>
      </c>
      <c r="G4859" s="1">
        <v>4650070616</v>
      </c>
      <c r="H4859" s="1">
        <v>8</v>
      </c>
      <c r="I4859" s="1" t="s">
        <v>2557</v>
      </c>
      <c r="J4859" t="s">
        <v>9417</v>
      </c>
    </row>
    <row r="4860" spans="1:10">
      <c r="A4860" s="1">
        <v>113282</v>
      </c>
      <c r="B4860" s="1">
        <v>2570070164</v>
      </c>
      <c r="C4860" s="1">
        <v>2</v>
      </c>
      <c r="D4860" s="1" t="s">
        <v>8</v>
      </c>
      <c r="E4860" t="s">
        <v>9381</v>
      </c>
      <c r="F4860" s="1">
        <v>157933</v>
      </c>
      <c r="G4860" s="1">
        <v>2570022172</v>
      </c>
      <c r="H4860" s="1">
        <v>6</v>
      </c>
      <c r="I4860" s="1" t="s">
        <v>8</v>
      </c>
      <c r="J4860" t="s">
        <v>9418</v>
      </c>
    </row>
    <row r="4861" spans="1:10">
      <c r="A4861" s="1">
        <v>16857</v>
      </c>
      <c r="B4861" s="1">
        <v>2570023338</v>
      </c>
      <c r="C4861" s="1">
        <v>6</v>
      </c>
      <c r="D4861" s="1" t="s">
        <v>2947</v>
      </c>
      <c r="E4861" t="s">
        <v>9382</v>
      </c>
      <c r="F4861" s="1">
        <v>93906</v>
      </c>
      <c r="G4861" s="1">
        <v>2570022174</v>
      </c>
      <c r="H4861" s="1">
        <v>12</v>
      </c>
      <c r="I4861" s="1" t="s">
        <v>7</v>
      </c>
      <c r="J4861" t="s">
        <v>9419</v>
      </c>
    </row>
    <row r="4862" spans="1:10">
      <c r="A4862" s="1">
        <v>26088</v>
      </c>
      <c r="B4862" s="1">
        <v>2570021548</v>
      </c>
      <c r="C4862" s="1">
        <v>12</v>
      </c>
      <c r="D4862" s="1" t="s">
        <v>47</v>
      </c>
      <c r="E4862" t="s">
        <v>9383</v>
      </c>
      <c r="F4862" s="1">
        <v>466284</v>
      </c>
      <c r="G4862" s="1">
        <v>2570070107</v>
      </c>
      <c r="H4862" s="1">
        <v>6</v>
      </c>
      <c r="I4862" s="1" t="s">
        <v>8</v>
      </c>
      <c r="J4862" t="s">
        <v>9420</v>
      </c>
    </row>
    <row r="4863" spans="1:10">
      <c r="A4863" s="1">
        <v>169557</v>
      </c>
      <c r="B4863" s="1">
        <v>2570070079</v>
      </c>
      <c r="C4863" s="1">
        <v>12</v>
      </c>
      <c r="D4863" s="1" t="s">
        <v>2601</v>
      </c>
      <c r="E4863" t="s">
        <v>9384</v>
      </c>
      <c r="F4863" s="1">
        <v>836577</v>
      </c>
      <c r="G4863" s="1">
        <v>2570023223</v>
      </c>
      <c r="H4863" s="1">
        <v>9</v>
      </c>
      <c r="I4863" s="1" t="s">
        <v>9314</v>
      </c>
      <c r="J4863" t="s">
        <v>9421</v>
      </c>
    </row>
    <row r="4864" spans="1:10">
      <c r="A4864" s="1">
        <v>38570</v>
      </c>
      <c r="B4864" s="1">
        <v>2570037557</v>
      </c>
      <c r="C4864" s="1">
        <v>6</v>
      </c>
      <c r="D4864" s="1" t="s">
        <v>2947</v>
      </c>
      <c r="E4864" t="s">
        <v>9385</v>
      </c>
      <c r="F4864" s="1">
        <v>202408</v>
      </c>
      <c r="G4864" s="1">
        <v>2570023419</v>
      </c>
      <c r="H4864" s="1">
        <v>12</v>
      </c>
      <c r="I4864" s="1" t="s">
        <v>7</v>
      </c>
      <c r="J4864" t="s">
        <v>9422</v>
      </c>
    </row>
    <row r="4865" spans="1:10">
      <c r="A4865" s="1">
        <v>216317</v>
      </c>
      <c r="B4865" s="1">
        <v>7415703381</v>
      </c>
      <c r="C4865" s="1">
        <v>12</v>
      </c>
      <c r="D4865" s="1" t="s">
        <v>1189</v>
      </c>
      <c r="E4865" t="s">
        <v>9386</v>
      </c>
      <c r="F4865" s="1">
        <v>601971</v>
      </c>
      <c r="G4865" s="1">
        <v>2570070091</v>
      </c>
      <c r="H4865" s="1">
        <v>12</v>
      </c>
      <c r="I4865" s="1" t="s">
        <v>7</v>
      </c>
      <c r="J4865" t="s">
        <v>9423</v>
      </c>
    </row>
    <row r="4866" spans="1:10">
      <c r="A4866" s="1">
        <v>219865</v>
      </c>
      <c r="B4866" s="1">
        <v>4460001263</v>
      </c>
      <c r="C4866" s="1">
        <v>6</v>
      </c>
      <c r="D4866" s="1" t="s">
        <v>2496</v>
      </c>
      <c r="E4866" t="s">
        <v>9387</v>
      </c>
      <c r="F4866" s="1">
        <v>216382</v>
      </c>
      <c r="G4866" s="1">
        <v>7415703202</v>
      </c>
      <c r="H4866" s="1">
        <v>6</v>
      </c>
      <c r="I4866" s="1" t="s">
        <v>360</v>
      </c>
      <c r="J4866" t="s">
        <v>9424</v>
      </c>
    </row>
    <row r="4867" spans="1:10">
      <c r="A4867" s="1">
        <v>473132</v>
      </c>
      <c r="B4867" s="1">
        <v>4460000263</v>
      </c>
      <c r="C4867" s="1">
        <v>9</v>
      </c>
      <c r="D4867" s="1" t="s">
        <v>1189</v>
      </c>
      <c r="E4867" t="s">
        <v>9388</v>
      </c>
      <c r="F4867" s="1">
        <v>216309</v>
      </c>
      <c r="G4867" s="1">
        <v>7415703310</v>
      </c>
      <c r="H4867" s="1">
        <v>12</v>
      </c>
      <c r="I4867" s="1" t="s">
        <v>1189</v>
      </c>
      <c r="J4867" t="s">
        <v>9425</v>
      </c>
    </row>
    <row r="4868" spans="1:10">
      <c r="A4868" s="1">
        <v>114702</v>
      </c>
      <c r="B4868" s="1">
        <v>4460001195</v>
      </c>
      <c r="C4868" s="1">
        <v>9</v>
      </c>
      <c r="D4868" s="1" t="s">
        <v>1189</v>
      </c>
      <c r="E4868" t="s">
        <v>9389</v>
      </c>
      <c r="F4868" s="1">
        <v>217638</v>
      </c>
      <c r="G4868" s="1">
        <v>4650000489</v>
      </c>
      <c r="H4868" s="1">
        <v>12</v>
      </c>
      <c r="I4868" s="1" t="s">
        <v>9426</v>
      </c>
      <c r="J4868" t="s">
        <v>9427</v>
      </c>
    </row>
    <row r="4869" spans="1:10">
      <c r="A4869" s="1">
        <v>114694</v>
      </c>
      <c r="B4869" s="1">
        <v>4460001192</v>
      </c>
      <c r="C4869" s="1">
        <v>9</v>
      </c>
      <c r="D4869" s="1" t="s">
        <v>375</v>
      </c>
      <c r="E4869" t="s">
        <v>9390</v>
      </c>
      <c r="F4869" s="1">
        <v>261883</v>
      </c>
      <c r="G4869" s="1">
        <v>3160037430</v>
      </c>
      <c r="H4869" s="1">
        <v>12</v>
      </c>
      <c r="I4869" s="1" t="s">
        <v>8</v>
      </c>
      <c r="J4869" t="s">
        <v>9428</v>
      </c>
    </row>
    <row r="4870" spans="1:10">
      <c r="A4870" s="1">
        <v>114538</v>
      </c>
      <c r="B4870" s="1">
        <v>4460001260</v>
      </c>
      <c r="C4870" s="1">
        <v>9</v>
      </c>
      <c r="D4870" s="1" t="s">
        <v>375</v>
      </c>
      <c r="E4870" t="s">
        <v>9391</v>
      </c>
      <c r="F4870" s="1">
        <v>219337</v>
      </c>
      <c r="G4870" s="1">
        <v>3160058001</v>
      </c>
      <c r="H4870" s="1">
        <v>12</v>
      </c>
      <c r="I4870" s="1" t="s">
        <v>130</v>
      </c>
      <c r="J4870" t="s">
        <v>9429</v>
      </c>
    </row>
    <row r="4871" spans="1:10">
      <c r="A4871" s="1">
        <v>219832</v>
      </c>
      <c r="B4871" s="1">
        <v>4460001100</v>
      </c>
      <c r="C4871" s="1">
        <v>12</v>
      </c>
      <c r="D4871" s="1" t="s">
        <v>1191</v>
      </c>
      <c r="E4871" t="s">
        <v>9392</v>
      </c>
      <c r="F4871" s="1">
        <v>220095</v>
      </c>
      <c r="G4871" s="1">
        <v>3160038511</v>
      </c>
      <c r="H4871" s="1">
        <v>12</v>
      </c>
      <c r="I4871" s="1" t="s">
        <v>130</v>
      </c>
      <c r="J4871" t="s">
        <v>9430</v>
      </c>
    </row>
    <row r="4872" spans="1:10">
      <c r="A4872" s="1">
        <v>216341</v>
      </c>
      <c r="B4872" s="1">
        <v>4173726040</v>
      </c>
      <c r="C4872" s="1">
        <v>12</v>
      </c>
      <c r="D4872" s="1" t="s">
        <v>1198</v>
      </c>
      <c r="E4872" t="s">
        <v>9393</v>
      </c>
      <c r="F4872" s="1">
        <v>218784</v>
      </c>
      <c r="G4872" s="1">
        <v>1980000191</v>
      </c>
      <c r="H4872" s="1">
        <v>12</v>
      </c>
      <c r="I4872" s="1" t="s">
        <v>130</v>
      </c>
      <c r="J4872" t="s">
        <v>9431</v>
      </c>
    </row>
    <row r="4873" spans="1:10" ht="15.75">
      <c r="A4873" s="4" t="s">
        <v>10831</v>
      </c>
      <c r="B4873" s="2"/>
      <c r="C4873" s="2"/>
      <c r="D4873" s="2"/>
      <c r="E4873" s="3"/>
      <c r="F4873" s="4" t="s">
        <v>10832</v>
      </c>
      <c r="G4873" s="2"/>
      <c r="H4873" s="2"/>
      <c r="I4873" s="2"/>
      <c r="J4873" s="3"/>
    </row>
    <row r="4874" spans="1:10">
      <c r="A4874" s="2" t="s">
        <v>0</v>
      </c>
      <c r="B4874" s="2" t="s">
        <v>1</v>
      </c>
      <c r="C4874" s="2" t="s">
        <v>2</v>
      </c>
      <c r="D4874" s="2" t="s">
        <v>3</v>
      </c>
      <c r="E4874" s="3" t="s">
        <v>4</v>
      </c>
      <c r="F4874" s="2" t="s">
        <v>0</v>
      </c>
      <c r="G4874" s="2" t="s">
        <v>1</v>
      </c>
      <c r="H4874" s="2" t="s">
        <v>2</v>
      </c>
      <c r="I4874" s="2" t="s">
        <v>3</v>
      </c>
      <c r="J4874" s="3" t="s">
        <v>4</v>
      </c>
    </row>
    <row r="4875" spans="1:10">
      <c r="A4875" s="1">
        <v>219063</v>
      </c>
      <c r="B4875" s="1">
        <v>4173720801</v>
      </c>
      <c r="C4875" s="1">
        <v>12</v>
      </c>
      <c r="D4875" s="1" t="s">
        <v>89</v>
      </c>
      <c r="E4875" t="s">
        <v>9394</v>
      </c>
      <c r="F4875" s="1">
        <v>218578</v>
      </c>
      <c r="G4875" s="1">
        <v>1980000116</v>
      </c>
      <c r="H4875" s="1">
        <v>12</v>
      </c>
      <c r="I4875" s="1" t="s">
        <v>1189</v>
      </c>
      <c r="J4875" t="s">
        <v>9432</v>
      </c>
    </row>
    <row r="4876" spans="1:10">
      <c r="A4876" s="1">
        <v>218412</v>
      </c>
      <c r="B4876" s="1">
        <v>4173720102</v>
      </c>
      <c r="C4876" s="1">
        <v>12</v>
      </c>
      <c r="D4876" s="1" t="s">
        <v>89</v>
      </c>
      <c r="E4876" t="s">
        <v>9395</v>
      </c>
      <c r="F4876" s="1">
        <v>218016</v>
      </c>
      <c r="G4876" s="1">
        <v>1980000117</v>
      </c>
      <c r="H4876" s="1">
        <v>12</v>
      </c>
      <c r="I4876" s="1" t="s">
        <v>1189</v>
      </c>
      <c r="J4876" t="s">
        <v>9433</v>
      </c>
    </row>
    <row r="4877" spans="1:10">
      <c r="A4877" s="1">
        <v>407148</v>
      </c>
      <c r="B4877" s="1">
        <v>4460000946</v>
      </c>
      <c r="C4877" s="1">
        <v>6</v>
      </c>
      <c r="D4877" s="1" t="s">
        <v>360</v>
      </c>
      <c r="E4877" t="s">
        <v>9396</v>
      </c>
      <c r="F4877" s="1">
        <v>218107</v>
      </c>
      <c r="G4877" s="1">
        <v>1980000119</v>
      </c>
      <c r="H4877" s="1">
        <v>6</v>
      </c>
      <c r="I4877" s="1" t="s">
        <v>2496</v>
      </c>
      <c r="J4877" t="s">
        <v>9434</v>
      </c>
    </row>
    <row r="4878" spans="1:10">
      <c r="A4878" s="1">
        <v>221200</v>
      </c>
      <c r="B4878" s="1">
        <v>4460000938</v>
      </c>
      <c r="C4878" s="1">
        <v>12</v>
      </c>
      <c r="D4878" s="1" t="s">
        <v>2557</v>
      </c>
      <c r="E4878" t="s">
        <v>9397</v>
      </c>
      <c r="F4878" s="1">
        <v>218677</v>
      </c>
      <c r="G4878" s="1">
        <v>1980000113</v>
      </c>
      <c r="H4878" s="1">
        <v>6</v>
      </c>
      <c r="I4878" s="1" t="s">
        <v>632</v>
      </c>
      <c r="J4878" t="s">
        <v>9435</v>
      </c>
    </row>
    <row r="4879" spans="1:10">
      <c r="A4879" s="1">
        <v>407130</v>
      </c>
      <c r="B4879" s="1">
        <v>4460000940</v>
      </c>
      <c r="C4879" s="1">
        <v>12</v>
      </c>
      <c r="D4879" s="1" t="s">
        <v>89</v>
      </c>
      <c r="E4879" t="s">
        <v>9398</v>
      </c>
      <c r="F4879" s="1">
        <v>78030</v>
      </c>
      <c r="G4879" s="1">
        <v>1980012738</v>
      </c>
      <c r="H4879" s="1">
        <v>8</v>
      </c>
      <c r="I4879" s="1" t="s">
        <v>6614</v>
      </c>
      <c r="J4879" t="s">
        <v>9436</v>
      </c>
    </row>
    <row r="4880" spans="1:10" ht="15.75">
      <c r="A4880" s="4" t="s">
        <v>10832</v>
      </c>
      <c r="B4880" s="2"/>
      <c r="C4880" s="2"/>
      <c r="D4880" s="2"/>
      <c r="E4880" s="3"/>
      <c r="F4880" s="4" t="s">
        <v>10835</v>
      </c>
      <c r="G4880" s="2"/>
      <c r="H4880" s="2"/>
      <c r="I4880" s="2"/>
      <c r="J4880" s="3"/>
    </row>
    <row r="4881" spans="1:10">
      <c r="A4881" s="2" t="s">
        <v>0</v>
      </c>
      <c r="B4881" s="2" t="s">
        <v>1</v>
      </c>
      <c r="C4881" s="2" t="s">
        <v>2</v>
      </c>
      <c r="D4881" s="2" t="s">
        <v>3</v>
      </c>
      <c r="E4881" s="3" t="s">
        <v>4</v>
      </c>
      <c r="F4881" s="2" t="s">
        <v>0</v>
      </c>
      <c r="G4881" s="2" t="s">
        <v>1</v>
      </c>
      <c r="H4881" s="2" t="s">
        <v>2</v>
      </c>
      <c r="I4881" s="2" t="s">
        <v>3</v>
      </c>
      <c r="J4881" s="3" t="s">
        <v>4</v>
      </c>
    </row>
    <row r="4882" spans="1:10">
      <c r="A4882" s="1">
        <v>771394</v>
      </c>
      <c r="B4882" s="1">
        <v>4116344897</v>
      </c>
      <c r="C4882" s="1">
        <v>6</v>
      </c>
      <c r="D4882" s="1" t="s">
        <v>2496</v>
      </c>
      <c r="E4882" t="s">
        <v>9437</v>
      </c>
      <c r="F4882" s="1">
        <v>219139</v>
      </c>
      <c r="G4882" s="1">
        <v>3320003004</v>
      </c>
      <c r="H4882" s="1">
        <v>12</v>
      </c>
      <c r="I4882" s="1" t="s">
        <v>10</v>
      </c>
      <c r="J4882" t="s">
        <v>9470</v>
      </c>
    </row>
    <row r="4883" spans="1:10">
      <c r="A4883" s="1">
        <v>217950</v>
      </c>
      <c r="B4883" s="1">
        <v>4460000203</v>
      </c>
      <c r="C4883" s="1">
        <v>9</v>
      </c>
      <c r="D4883" s="1" t="s">
        <v>1189</v>
      </c>
      <c r="E4883" t="s">
        <v>9438</v>
      </c>
      <c r="F4883" s="1">
        <v>168435</v>
      </c>
      <c r="G4883" s="1">
        <v>81143500222</v>
      </c>
      <c r="H4883" s="1">
        <v>12</v>
      </c>
      <c r="I4883" s="1" t="s">
        <v>8</v>
      </c>
      <c r="J4883" t="s">
        <v>9471</v>
      </c>
    </row>
    <row r="4884" spans="1:10">
      <c r="A4884" s="1">
        <v>217885</v>
      </c>
      <c r="B4884" s="1">
        <v>4460000221</v>
      </c>
      <c r="C4884" s="1">
        <v>9</v>
      </c>
      <c r="D4884" s="1" t="s">
        <v>1189</v>
      </c>
      <c r="E4884" t="s">
        <v>9439</v>
      </c>
      <c r="F4884" s="1">
        <v>702928</v>
      </c>
      <c r="G4884" s="1">
        <v>81143500215</v>
      </c>
      <c r="H4884" s="1">
        <v>12</v>
      </c>
      <c r="I4884" s="1" t="s">
        <v>7123</v>
      </c>
      <c r="J4884" t="s">
        <v>9472</v>
      </c>
    </row>
    <row r="4885" spans="1:10">
      <c r="A4885" s="1">
        <v>217984</v>
      </c>
      <c r="B4885" s="1">
        <v>4460000214</v>
      </c>
      <c r="C4885" s="1">
        <v>12</v>
      </c>
      <c r="D4885" s="1" t="s">
        <v>6614</v>
      </c>
      <c r="E4885" t="s">
        <v>9440</v>
      </c>
      <c r="F4885" s="1">
        <v>176651</v>
      </c>
      <c r="G4885" s="1">
        <v>81143500220</v>
      </c>
      <c r="H4885" s="1">
        <v>12</v>
      </c>
      <c r="I4885" s="1" t="s">
        <v>8</v>
      </c>
      <c r="J4885" t="s">
        <v>9473</v>
      </c>
    </row>
    <row r="4886" spans="1:10">
      <c r="A4886" s="1">
        <v>219899</v>
      </c>
      <c r="B4886" s="1">
        <v>4460000228</v>
      </c>
      <c r="C4886" s="1">
        <v>6</v>
      </c>
      <c r="D4886" s="1" t="s">
        <v>8650</v>
      </c>
      <c r="E4886" t="s">
        <v>9441</v>
      </c>
      <c r="F4886" s="1">
        <v>787465</v>
      </c>
      <c r="G4886" s="1">
        <v>81143500221</v>
      </c>
      <c r="H4886" s="1">
        <v>8</v>
      </c>
      <c r="I4886" s="1" t="s">
        <v>12</v>
      </c>
      <c r="J4886" t="s">
        <v>9474</v>
      </c>
    </row>
    <row r="4887" spans="1:10">
      <c r="A4887" s="1">
        <v>218602</v>
      </c>
      <c r="B4887" s="1">
        <v>4460000229</v>
      </c>
      <c r="C4887" s="1">
        <v>6</v>
      </c>
      <c r="D4887" s="1" t="s">
        <v>8650</v>
      </c>
      <c r="E4887" t="s">
        <v>9442</v>
      </c>
      <c r="F4887" s="1">
        <v>205328</v>
      </c>
      <c r="G4887" s="1">
        <v>81143500224</v>
      </c>
      <c r="H4887" s="1">
        <v>12</v>
      </c>
      <c r="I4887" s="1" t="s">
        <v>8</v>
      </c>
      <c r="J4887" t="s">
        <v>9475</v>
      </c>
    </row>
    <row r="4888" spans="1:10">
      <c r="A4888" s="1">
        <v>199778</v>
      </c>
      <c r="B4888" s="1">
        <v>1920080306</v>
      </c>
      <c r="C4888" s="1">
        <v>12</v>
      </c>
      <c r="D4888" s="1" t="s">
        <v>2065</v>
      </c>
      <c r="E4888" t="s">
        <v>9443</v>
      </c>
      <c r="F4888" s="1">
        <v>270603</v>
      </c>
      <c r="G4888" s="1">
        <v>4129491003</v>
      </c>
      <c r="H4888" s="1">
        <v>6</v>
      </c>
      <c r="I4888" s="1" t="s">
        <v>68</v>
      </c>
      <c r="J4888" t="s">
        <v>9476</v>
      </c>
    </row>
    <row r="4889" spans="1:10" ht="15.75">
      <c r="A4889" s="4" t="s">
        <v>10833</v>
      </c>
      <c r="B4889" s="2"/>
      <c r="C4889" s="2"/>
      <c r="D4889" s="2"/>
      <c r="E4889" s="3"/>
      <c r="F4889" s="1">
        <v>258061</v>
      </c>
      <c r="G4889" s="1">
        <v>4129491029</v>
      </c>
      <c r="H4889" s="1">
        <v>8</v>
      </c>
      <c r="I4889" s="1" t="s">
        <v>12</v>
      </c>
      <c r="J4889" t="s">
        <v>9477</v>
      </c>
    </row>
    <row r="4890" spans="1:10">
      <c r="A4890" s="2" t="s">
        <v>0</v>
      </c>
      <c r="B4890" s="2" t="s">
        <v>1</v>
      </c>
      <c r="C4890" s="2" t="s">
        <v>2</v>
      </c>
      <c r="D4890" s="2" t="s">
        <v>3</v>
      </c>
      <c r="E4890" s="3" t="s">
        <v>4</v>
      </c>
      <c r="F4890" s="1">
        <v>270405</v>
      </c>
      <c r="G4890" s="1">
        <v>1650098034</v>
      </c>
      <c r="H4890" s="1">
        <v>12</v>
      </c>
      <c r="I4890" s="1" t="s">
        <v>10</v>
      </c>
      <c r="J4890" t="s">
        <v>9478</v>
      </c>
    </row>
    <row r="4891" spans="1:10">
      <c r="A4891" s="1">
        <v>219196</v>
      </c>
      <c r="B4891" s="1">
        <v>6233800178</v>
      </c>
      <c r="C4891" s="1">
        <v>12</v>
      </c>
      <c r="D4891" s="1" t="s">
        <v>381</v>
      </c>
      <c r="E4891" t="s">
        <v>9444</v>
      </c>
      <c r="F4891" s="1">
        <v>226795</v>
      </c>
      <c r="G4891" s="1">
        <v>1650098032</v>
      </c>
      <c r="H4891" s="1">
        <v>12</v>
      </c>
      <c r="I4891" s="1" t="s">
        <v>10</v>
      </c>
      <c r="J4891" t="s">
        <v>9479</v>
      </c>
    </row>
    <row r="4892" spans="1:10">
      <c r="A4892" s="1">
        <v>709568</v>
      </c>
      <c r="B4892" s="1">
        <v>6233800138</v>
      </c>
      <c r="C4892" s="1">
        <v>12</v>
      </c>
      <c r="D4892" s="1" t="s">
        <v>381</v>
      </c>
      <c r="E4892" t="s">
        <v>9445</v>
      </c>
      <c r="F4892" s="1">
        <v>331785</v>
      </c>
      <c r="G4892" s="1">
        <v>1650098021</v>
      </c>
      <c r="H4892" s="1">
        <v>12</v>
      </c>
      <c r="I4892" s="1" t="s">
        <v>263</v>
      </c>
      <c r="J4892" t="s">
        <v>9480</v>
      </c>
    </row>
    <row r="4893" spans="1:10">
      <c r="A4893" s="1">
        <v>589093</v>
      </c>
      <c r="B4893" s="1">
        <v>4116345060</v>
      </c>
      <c r="C4893" s="1">
        <v>12</v>
      </c>
      <c r="D4893" s="1" t="s">
        <v>381</v>
      </c>
      <c r="E4893" t="s">
        <v>9446</v>
      </c>
      <c r="F4893" s="1">
        <v>217901</v>
      </c>
      <c r="G4893" s="1">
        <v>1650098041</v>
      </c>
      <c r="H4893" s="1">
        <v>24</v>
      </c>
      <c r="I4893" s="1" t="s">
        <v>6</v>
      </c>
      <c r="J4893" t="s">
        <v>9480</v>
      </c>
    </row>
    <row r="4894" spans="1:10">
      <c r="A4894" s="1">
        <v>256222</v>
      </c>
      <c r="B4894" s="1">
        <v>4159814038</v>
      </c>
      <c r="C4894" s="1">
        <v>6</v>
      </c>
      <c r="D4894" s="1" t="s">
        <v>489</v>
      </c>
      <c r="E4894" t="s">
        <v>9447</v>
      </c>
      <c r="F4894" s="1">
        <v>270611</v>
      </c>
      <c r="G4894" s="1">
        <v>4129400007</v>
      </c>
      <c r="H4894" s="1">
        <v>12</v>
      </c>
      <c r="I4894" s="1" t="s">
        <v>8</v>
      </c>
      <c r="J4894" t="s">
        <v>9481</v>
      </c>
    </row>
    <row r="4895" spans="1:10" ht="15.75">
      <c r="A4895" s="4" t="s">
        <v>10834</v>
      </c>
      <c r="B4895" s="2"/>
      <c r="C4895" s="2"/>
      <c r="D4895" s="2"/>
      <c r="E4895" s="3"/>
      <c r="F4895" s="1">
        <v>270629</v>
      </c>
      <c r="G4895" s="1">
        <v>4129400008</v>
      </c>
      <c r="H4895" s="1">
        <v>12</v>
      </c>
      <c r="I4895" s="1" t="s">
        <v>8</v>
      </c>
      <c r="J4895" t="s">
        <v>9482</v>
      </c>
    </row>
    <row r="4896" spans="1:10" ht="15.75">
      <c r="A4896" s="2" t="s">
        <v>0</v>
      </c>
      <c r="B4896" s="2" t="s">
        <v>1</v>
      </c>
      <c r="C4896" s="2" t="s">
        <v>2</v>
      </c>
      <c r="D4896" s="2" t="s">
        <v>3</v>
      </c>
      <c r="E4896" s="3" t="s">
        <v>4</v>
      </c>
      <c r="F4896" s="4" t="s">
        <v>10836</v>
      </c>
      <c r="G4896" s="2"/>
      <c r="H4896" s="2"/>
      <c r="I4896" s="2"/>
      <c r="J4896" s="3"/>
    </row>
    <row r="4897" spans="1:10">
      <c r="A4897" s="1">
        <v>865865</v>
      </c>
      <c r="B4897" s="1">
        <v>73291322713</v>
      </c>
      <c r="C4897" s="1">
        <v>8</v>
      </c>
      <c r="D4897" s="1" t="s">
        <v>1189</v>
      </c>
      <c r="E4897" t="s">
        <v>9448</v>
      </c>
      <c r="F4897" s="2" t="s">
        <v>0</v>
      </c>
      <c r="G4897" s="2" t="s">
        <v>1</v>
      </c>
      <c r="H4897" s="2" t="s">
        <v>2</v>
      </c>
      <c r="I4897" s="2" t="s">
        <v>3</v>
      </c>
      <c r="J4897" s="3" t="s">
        <v>4</v>
      </c>
    </row>
    <row r="4898" spans="1:10">
      <c r="A4898" s="1">
        <v>299685</v>
      </c>
      <c r="B4898" s="1">
        <v>81143500203</v>
      </c>
      <c r="C4898" s="1">
        <v>6</v>
      </c>
      <c r="D4898" s="1" t="s">
        <v>2496</v>
      </c>
      <c r="E4898" t="s">
        <v>9449</v>
      </c>
      <c r="F4898" s="1">
        <v>277210</v>
      </c>
      <c r="G4898" s="1">
        <v>3160052000</v>
      </c>
      <c r="H4898" s="1">
        <v>12</v>
      </c>
      <c r="I4898" s="1" t="s">
        <v>742</v>
      </c>
      <c r="J4898" t="s">
        <v>9483</v>
      </c>
    </row>
    <row r="4899" spans="1:10">
      <c r="A4899" s="1">
        <v>221143</v>
      </c>
      <c r="B4899" s="1">
        <v>1920000085</v>
      </c>
      <c r="C4899" s="1">
        <v>12</v>
      </c>
      <c r="D4899" s="1" t="s">
        <v>1189</v>
      </c>
      <c r="E4899" t="s">
        <v>9450</v>
      </c>
      <c r="F4899" s="1">
        <v>517110</v>
      </c>
      <c r="G4899" s="1">
        <v>3160050750</v>
      </c>
      <c r="H4899" s="1">
        <v>6</v>
      </c>
      <c r="I4899" s="1" t="s">
        <v>489</v>
      </c>
      <c r="J4899" t="s">
        <v>9484</v>
      </c>
    </row>
    <row r="4900" spans="1:10">
      <c r="A4900" s="1">
        <v>456509</v>
      </c>
      <c r="B4900" s="1">
        <v>4460030276</v>
      </c>
      <c r="C4900" s="1">
        <v>12</v>
      </c>
      <c r="D4900" s="1" t="s">
        <v>1189</v>
      </c>
      <c r="E4900" t="s">
        <v>9451</v>
      </c>
      <c r="F4900" s="1">
        <v>254805</v>
      </c>
      <c r="G4900" s="1">
        <v>3160050710</v>
      </c>
      <c r="H4900" s="1">
        <v>12</v>
      </c>
      <c r="I4900" s="1" t="s">
        <v>489</v>
      </c>
      <c r="J4900" t="s">
        <v>9485</v>
      </c>
    </row>
    <row r="4901" spans="1:10">
      <c r="A4901" s="1">
        <v>507749</v>
      </c>
      <c r="B4901" s="1">
        <v>4460030303</v>
      </c>
      <c r="C4901" s="1">
        <v>6</v>
      </c>
      <c r="D4901" s="1" t="s">
        <v>2496</v>
      </c>
      <c r="E4901" t="s">
        <v>9452</v>
      </c>
      <c r="F4901" s="1">
        <v>466649</v>
      </c>
      <c r="G4901" s="1">
        <v>4116345061</v>
      </c>
      <c r="H4901" s="1">
        <v>12</v>
      </c>
      <c r="I4901" s="1" t="s">
        <v>1369</v>
      </c>
      <c r="J4901" t="s">
        <v>9486</v>
      </c>
    </row>
    <row r="4902" spans="1:10">
      <c r="A4902" s="1">
        <v>554881</v>
      </c>
      <c r="B4902" s="1">
        <v>4460000454</v>
      </c>
      <c r="C4902" s="1">
        <v>12</v>
      </c>
      <c r="D4902" s="1" t="s">
        <v>375</v>
      </c>
      <c r="E4902" t="s">
        <v>9453</v>
      </c>
      <c r="F4902" s="1">
        <v>758276</v>
      </c>
      <c r="G4902" s="1">
        <v>81793900086</v>
      </c>
      <c r="H4902" s="1">
        <v>6</v>
      </c>
      <c r="I4902" s="1" t="s">
        <v>2303</v>
      </c>
      <c r="J4902" t="s">
        <v>9487</v>
      </c>
    </row>
    <row r="4903" spans="1:10">
      <c r="A4903" s="1">
        <v>688234</v>
      </c>
      <c r="B4903" s="1">
        <v>4116344895</v>
      </c>
      <c r="C4903" s="1">
        <v>6</v>
      </c>
      <c r="D4903" s="1" t="s">
        <v>9454</v>
      </c>
      <c r="E4903" t="s">
        <v>9455</v>
      </c>
      <c r="F4903" s="1">
        <v>811869</v>
      </c>
      <c r="G4903" s="1">
        <v>81793900057</v>
      </c>
      <c r="H4903" s="1">
        <v>6</v>
      </c>
      <c r="I4903" s="1" t="s">
        <v>1220</v>
      </c>
      <c r="J4903" t="s">
        <v>9488</v>
      </c>
    </row>
    <row r="4904" spans="1:10">
      <c r="A4904" s="1">
        <v>490680</v>
      </c>
      <c r="B4904" s="1">
        <v>4116344894</v>
      </c>
      <c r="C4904" s="1">
        <v>8</v>
      </c>
      <c r="D4904" s="1" t="s">
        <v>1189</v>
      </c>
      <c r="E4904" t="s">
        <v>9456</v>
      </c>
      <c r="F4904" s="1">
        <v>254904</v>
      </c>
      <c r="G4904" s="1">
        <v>6233808046</v>
      </c>
      <c r="H4904" s="1">
        <v>6</v>
      </c>
      <c r="I4904" s="1" t="s">
        <v>1197</v>
      </c>
      <c r="J4904" t="s">
        <v>9489</v>
      </c>
    </row>
    <row r="4905" spans="1:10">
      <c r="A4905" s="1">
        <v>639435</v>
      </c>
      <c r="B4905" s="1">
        <v>1980070150</v>
      </c>
      <c r="C4905" s="1">
        <v>8</v>
      </c>
      <c r="D4905" s="1" t="s">
        <v>9290</v>
      </c>
      <c r="E4905" t="s">
        <v>9457</v>
      </c>
      <c r="F4905" s="1">
        <v>161232</v>
      </c>
      <c r="G4905" s="1">
        <v>6233877677</v>
      </c>
      <c r="H4905" s="1">
        <v>12</v>
      </c>
      <c r="I4905" s="1" t="s">
        <v>742</v>
      </c>
      <c r="J4905" t="s">
        <v>9490</v>
      </c>
    </row>
    <row r="4906" spans="1:10">
      <c r="A4906" s="1">
        <v>102525</v>
      </c>
      <c r="B4906" s="1">
        <v>1980031769</v>
      </c>
      <c r="C4906" s="1">
        <v>8</v>
      </c>
      <c r="D4906" s="1" t="s">
        <v>1189</v>
      </c>
      <c r="E4906" t="s">
        <v>9458</v>
      </c>
      <c r="F4906" s="1">
        <v>276642</v>
      </c>
      <c r="G4906" s="1">
        <v>4650000318</v>
      </c>
      <c r="H4906" s="1">
        <v>12</v>
      </c>
      <c r="I4906" s="1" t="s">
        <v>742</v>
      </c>
      <c r="J4906" t="s">
        <v>9491</v>
      </c>
    </row>
    <row r="4907" spans="1:10">
      <c r="A4907" s="1">
        <v>368498</v>
      </c>
      <c r="B4907" s="1">
        <v>1980031788</v>
      </c>
      <c r="C4907" s="1">
        <v>8</v>
      </c>
      <c r="D4907" s="1" t="s">
        <v>1189</v>
      </c>
      <c r="E4907" t="s">
        <v>9459</v>
      </c>
      <c r="F4907" s="1">
        <v>593632</v>
      </c>
      <c r="G4907" s="1">
        <v>4650070126</v>
      </c>
      <c r="H4907" s="1">
        <v>8</v>
      </c>
      <c r="I4907" s="1" t="s">
        <v>8</v>
      </c>
      <c r="J4907" t="s">
        <v>9492</v>
      </c>
    </row>
    <row r="4908" spans="1:10">
      <c r="A4908" s="1">
        <v>342998</v>
      </c>
      <c r="B4908" s="1">
        <v>1980010979</v>
      </c>
      <c r="C4908" s="1">
        <v>8</v>
      </c>
      <c r="D4908" s="1" t="s">
        <v>1189</v>
      </c>
      <c r="E4908" t="s">
        <v>9460</v>
      </c>
      <c r="F4908" s="1">
        <v>277145</v>
      </c>
      <c r="G4908" s="1">
        <v>4650012128</v>
      </c>
      <c r="H4908" s="1">
        <v>12</v>
      </c>
      <c r="I4908" s="1" t="s">
        <v>263</v>
      </c>
      <c r="J4908" t="s">
        <v>9493</v>
      </c>
    </row>
    <row r="4909" spans="1:10">
      <c r="A4909" s="1">
        <v>412676</v>
      </c>
      <c r="B4909" s="1">
        <v>1980050130</v>
      </c>
      <c r="C4909" s="1">
        <v>8</v>
      </c>
      <c r="D4909" s="1" t="s">
        <v>1189</v>
      </c>
      <c r="E4909" t="s">
        <v>9461</v>
      </c>
      <c r="F4909" s="1">
        <v>277111</v>
      </c>
      <c r="G4909" s="1">
        <v>4650000399</v>
      </c>
      <c r="H4909" s="1">
        <v>12</v>
      </c>
      <c r="I4909" s="1" t="s">
        <v>742</v>
      </c>
      <c r="J4909" t="s">
        <v>9494</v>
      </c>
    </row>
    <row r="4910" spans="1:10">
      <c r="A4910" s="1">
        <v>220152</v>
      </c>
      <c r="B4910" s="1">
        <v>1980000126</v>
      </c>
      <c r="C4910" s="1">
        <v>12</v>
      </c>
      <c r="D4910" s="1" t="s">
        <v>1189</v>
      </c>
      <c r="E4910" t="s">
        <v>9462</v>
      </c>
      <c r="F4910" s="1">
        <v>181727</v>
      </c>
      <c r="G4910" s="1">
        <v>4650070276</v>
      </c>
      <c r="H4910" s="1">
        <v>12</v>
      </c>
      <c r="I4910" s="1" t="s">
        <v>6</v>
      </c>
      <c r="J4910" t="s">
        <v>9495</v>
      </c>
    </row>
    <row r="4911" spans="1:10">
      <c r="A4911" s="1">
        <v>220301</v>
      </c>
      <c r="B4911" s="1">
        <v>1980000128</v>
      </c>
      <c r="C4911" s="1">
        <v>6</v>
      </c>
      <c r="D4911" s="1" t="s">
        <v>2408</v>
      </c>
      <c r="E4911" t="s">
        <v>9462</v>
      </c>
      <c r="F4911" s="1">
        <v>444133</v>
      </c>
      <c r="G4911" s="1">
        <v>4650070275</v>
      </c>
      <c r="H4911" s="1">
        <v>12</v>
      </c>
      <c r="I4911" s="1" t="s">
        <v>8</v>
      </c>
      <c r="J4911" t="s">
        <v>9496</v>
      </c>
    </row>
    <row r="4912" spans="1:10">
      <c r="A4912" s="1">
        <v>123588</v>
      </c>
      <c r="B4912" s="1">
        <v>1980070110</v>
      </c>
      <c r="C4912" s="1">
        <v>9</v>
      </c>
      <c r="D4912" s="1" t="s">
        <v>9314</v>
      </c>
      <c r="E4912" t="s">
        <v>9463</v>
      </c>
      <c r="F4912" s="1">
        <v>276683</v>
      </c>
      <c r="G4912" s="1">
        <v>4650000338</v>
      </c>
      <c r="H4912" s="1">
        <v>12</v>
      </c>
      <c r="I4912" s="1" t="s">
        <v>360</v>
      </c>
      <c r="J4912" t="s">
        <v>9497</v>
      </c>
    </row>
    <row r="4913" spans="1:10">
      <c r="A4913" s="1">
        <v>414656</v>
      </c>
      <c r="B4913" s="1">
        <v>1980070111</v>
      </c>
      <c r="C4913" s="1">
        <v>9</v>
      </c>
      <c r="D4913" s="1" t="s">
        <v>9314</v>
      </c>
      <c r="E4913" t="s">
        <v>9464</v>
      </c>
      <c r="F4913" s="1">
        <v>640680</v>
      </c>
      <c r="G4913" s="1">
        <v>4650070350</v>
      </c>
      <c r="H4913" s="1">
        <v>12</v>
      </c>
      <c r="I4913" s="1" t="s">
        <v>742</v>
      </c>
      <c r="J4913" t="s">
        <v>9498</v>
      </c>
    </row>
    <row r="4914" spans="1:10">
      <c r="A4914" s="1">
        <v>220228</v>
      </c>
      <c r="B4914" s="1">
        <v>1980000123</v>
      </c>
      <c r="C4914" s="1">
        <v>12</v>
      </c>
      <c r="D4914" s="1" t="s">
        <v>2303</v>
      </c>
      <c r="E4914" t="s">
        <v>9465</v>
      </c>
      <c r="F4914" s="1">
        <v>192856</v>
      </c>
      <c r="G4914" s="1">
        <v>1920079838</v>
      </c>
      <c r="H4914" s="1">
        <v>6</v>
      </c>
      <c r="I4914" s="1" t="s">
        <v>7504</v>
      </c>
      <c r="J4914" t="s">
        <v>9499</v>
      </c>
    </row>
    <row r="4915" spans="1:10">
      <c r="A4915" s="1">
        <v>709527</v>
      </c>
      <c r="B4915" s="1">
        <v>1980080127</v>
      </c>
      <c r="C4915" s="1">
        <v>12</v>
      </c>
      <c r="D4915" s="1" t="s">
        <v>1189</v>
      </c>
      <c r="E4915" t="s">
        <v>9466</v>
      </c>
      <c r="F4915" s="1">
        <v>58776</v>
      </c>
      <c r="G4915" s="1">
        <v>1112410014</v>
      </c>
      <c r="H4915" s="1">
        <v>12</v>
      </c>
      <c r="I4915" s="1" t="s">
        <v>347</v>
      </c>
      <c r="J4915" t="s">
        <v>9500</v>
      </c>
    </row>
    <row r="4916" spans="1:10" ht="15.75">
      <c r="A4916" s="4" t="s">
        <v>10835</v>
      </c>
      <c r="B4916" s="2"/>
      <c r="C4916" s="2"/>
      <c r="D4916" s="2"/>
      <c r="E4916" s="3"/>
      <c r="F4916" s="1">
        <v>314195</v>
      </c>
      <c r="G4916" s="1">
        <v>3700018622</v>
      </c>
      <c r="H4916" s="1">
        <v>9</v>
      </c>
      <c r="I4916" s="1" t="s">
        <v>9501</v>
      </c>
      <c r="J4916" t="s">
        <v>9502</v>
      </c>
    </row>
    <row r="4917" spans="1:10">
      <c r="A4917" s="2" t="s">
        <v>0</v>
      </c>
      <c r="B4917" s="2" t="s">
        <v>1</v>
      </c>
      <c r="C4917" s="2" t="s">
        <v>2</v>
      </c>
      <c r="D4917" s="2" t="s">
        <v>3</v>
      </c>
      <c r="E4917" s="3" t="s">
        <v>4</v>
      </c>
      <c r="F4917" s="1">
        <v>842989</v>
      </c>
      <c r="G4917" s="1">
        <v>3700018623</v>
      </c>
      <c r="H4917" s="1">
        <v>9</v>
      </c>
      <c r="I4917" s="1" t="s">
        <v>9501</v>
      </c>
      <c r="J4917" t="s">
        <v>9503</v>
      </c>
    </row>
    <row r="4918" spans="1:10">
      <c r="A4918" s="1">
        <v>219162</v>
      </c>
      <c r="B4918" s="1">
        <v>3320003037</v>
      </c>
      <c r="C4918" s="1">
        <v>12</v>
      </c>
      <c r="D4918" s="1" t="s">
        <v>10</v>
      </c>
      <c r="E4918" t="s">
        <v>9467</v>
      </c>
      <c r="F4918" s="1">
        <v>454017</v>
      </c>
      <c r="G4918" s="1">
        <v>3700018624</v>
      </c>
      <c r="H4918" s="1">
        <v>9</v>
      </c>
      <c r="I4918" s="1" t="s">
        <v>6574</v>
      </c>
      <c r="J4918" t="s">
        <v>9504</v>
      </c>
    </row>
    <row r="4919" spans="1:10">
      <c r="A4919" s="1">
        <v>217711</v>
      </c>
      <c r="B4919" s="1">
        <v>3320003018</v>
      </c>
      <c r="C4919" s="1">
        <v>24</v>
      </c>
      <c r="D4919" s="1" t="s">
        <v>6</v>
      </c>
      <c r="E4919" t="s">
        <v>9468</v>
      </c>
      <c r="F4919" s="1">
        <v>392563</v>
      </c>
      <c r="G4919" s="1">
        <v>3700021886</v>
      </c>
      <c r="H4919" s="1">
        <v>9</v>
      </c>
      <c r="I4919" s="1" t="s">
        <v>9501</v>
      </c>
      <c r="J4919" t="s">
        <v>9505</v>
      </c>
    </row>
    <row r="4920" spans="1:10">
      <c r="A4920" s="1">
        <v>218008</v>
      </c>
      <c r="B4920" s="1">
        <v>3320003500</v>
      </c>
      <c r="C4920" s="1">
        <v>24</v>
      </c>
      <c r="D4920" s="1" t="s">
        <v>7</v>
      </c>
      <c r="E4920" t="s">
        <v>9469</v>
      </c>
      <c r="F4920" s="1">
        <v>214015</v>
      </c>
      <c r="G4920" s="1">
        <v>3700041767</v>
      </c>
      <c r="H4920" s="1">
        <v>6</v>
      </c>
      <c r="I4920" s="1" t="s">
        <v>8</v>
      </c>
      <c r="J4920" t="s">
        <v>9506</v>
      </c>
    </row>
    <row r="4921" spans="1:10" ht="15.75">
      <c r="A4921" s="4" t="s">
        <v>10836</v>
      </c>
      <c r="B4921" s="2"/>
      <c r="C4921" s="2"/>
      <c r="D4921" s="2"/>
      <c r="E4921" s="3"/>
      <c r="F4921" s="4" t="s">
        <v>10837</v>
      </c>
      <c r="G4921" s="2"/>
      <c r="H4921" s="2"/>
      <c r="I4921" s="2"/>
      <c r="J4921" s="3"/>
    </row>
    <row r="4922" spans="1:10">
      <c r="A4922" s="2" t="s">
        <v>0</v>
      </c>
      <c r="B4922" s="2" t="s">
        <v>1</v>
      </c>
      <c r="C4922" s="2" t="s">
        <v>2</v>
      </c>
      <c r="D4922" s="2" t="s">
        <v>3</v>
      </c>
      <c r="E4922" s="3" t="s">
        <v>4</v>
      </c>
      <c r="F4922" s="2" t="s">
        <v>0</v>
      </c>
      <c r="G4922" s="2" t="s">
        <v>1</v>
      </c>
      <c r="H4922" s="2" t="s">
        <v>2</v>
      </c>
      <c r="I4922" s="2" t="s">
        <v>3</v>
      </c>
      <c r="J4922" s="3" t="s">
        <v>4</v>
      </c>
    </row>
    <row r="4923" spans="1:10">
      <c r="A4923" s="1">
        <v>497909</v>
      </c>
      <c r="B4923" s="1">
        <v>3700016943</v>
      </c>
      <c r="C4923" s="1">
        <v>9</v>
      </c>
      <c r="D4923" s="1" t="s">
        <v>12</v>
      </c>
      <c r="E4923" t="s">
        <v>9507</v>
      </c>
      <c r="F4923" s="1">
        <v>295048</v>
      </c>
      <c r="G4923" s="1">
        <v>3700015849</v>
      </c>
      <c r="H4923" s="1">
        <v>6</v>
      </c>
      <c r="I4923" s="1" t="s">
        <v>6404</v>
      </c>
      <c r="J4923" t="s">
        <v>9543</v>
      </c>
    </row>
    <row r="4924" spans="1:10">
      <c r="A4924" s="1">
        <v>215186</v>
      </c>
      <c r="B4924" s="1">
        <v>3700040509</v>
      </c>
      <c r="C4924" s="1">
        <v>9</v>
      </c>
      <c r="D4924" s="1" t="s">
        <v>8</v>
      </c>
      <c r="E4924" t="s">
        <v>9508</v>
      </c>
      <c r="F4924" s="1">
        <v>216903</v>
      </c>
      <c r="G4924" s="1">
        <v>3700031821</v>
      </c>
      <c r="H4924" s="1">
        <v>12</v>
      </c>
      <c r="I4924" s="1" t="s">
        <v>9522</v>
      </c>
      <c r="J4924" t="s">
        <v>9544</v>
      </c>
    </row>
    <row r="4925" spans="1:10">
      <c r="A4925" s="1">
        <v>679845</v>
      </c>
      <c r="B4925" s="1">
        <v>3700016944</v>
      </c>
      <c r="C4925" s="1">
        <v>6</v>
      </c>
      <c r="D4925" s="1" t="s">
        <v>7</v>
      </c>
      <c r="E4925" t="s">
        <v>9509</v>
      </c>
      <c r="F4925" s="1">
        <v>216861</v>
      </c>
      <c r="G4925" s="1">
        <v>3700030942</v>
      </c>
      <c r="H4925" s="1">
        <v>9</v>
      </c>
      <c r="I4925" s="1" t="s">
        <v>8</v>
      </c>
      <c r="J4925" t="s">
        <v>9545</v>
      </c>
    </row>
    <row r="4926" spans="1:10">
      <c r="A4926" s="1">
        <v>419515</v>
      </c>
      <c r="B4926" s="1">
        <v>3700014668</v>
      </c>
      <c r="C4926" s="1">
        <v>6</v>
      </c>
      <c r="D4926" s="1" t="s">
        <v>8</v>
      </c>
      <c r="E4926" t="s">
        <v>9510</v>
      </c>
      <c r="F4926" s="1">
        <v>217869</v>
      </c>
      <c r="G4926" s="1">
        <v>3700032694</v>
      </c>
      <c r="H4926" s="1">
        <v>2</v>
      </c>
      <c r="I4926" s="1" t="s">
        <v>8</v>
      </c>
      <c r="J4926" t="s">
        <v>9546</v>
      </c>
    </row>
    <row r="4927" spans="1:10">
      <c r="A4927" s="1">
        <v>738328</v>
      </c>
      <c r="B4927" s="1">
        <v>3700016697</v>
      </c>
      <c r="C4927" s="1">
        <v>6</v>
      </c>
      <c r="D4927" s="1" t="s">
        <v>8</v>
      </c>
      <c r="E4927" t="s">
        <v>9511</v>
      </c>
      <c r="F4927" s="1">
        <v>327544</v>
      </c>
      <c r="G4927" s="1">
        <v>3700037624</v>
      </c>
      <c r="H4927" s="1">
        <v>6</v>
      </c>
      <c r="I4927" s="1" t="s">
        <v>1220</v>
      </c>
      <c r="J4927" t="s">
        <v>9547</v>
      </c>
    </row>
    <row r="4928" spans="1:10">
      <c r="A4928" s="1">
        <v>218925</v>
      </c>
      <c r="B4928" s="1">
        <v>3320006800</v>
      </c>
      <c r="C4928" s="1">
        <v>12</v>
      </c>
      <c r="D4928" s="1" t="s">
        <v>489</v>
      </c>
      <c r="E4928" t="s">
        <v>9512</v>
      </c>
      <c r="F4928" s="1">
        <v>819839</v>
      </c>
      <c r="G4928" s="1">
        <v>3700015845</v>
      </c>
      <c r="H4928" s="1">
        <v>12</v>
      </c>
      <c r="I4928" s="1" t="s">
        <v>47</v>
      </c>
      <c r="J4928" t="s">
        <v>9548</v>
      </c>
    </row>
    <row r="4929" spans="1:10">
      <c r="A4929" s="1">
        <v>435024</v>
      </c>
      <c r="B4929" s="1">
        <v>81793900084</v>
      </c>
      <c r="C4929" s="1">
        <v>6</v>
      </c>
      <c r="D4929" s="1" t="s">
        <v>2303</v>
      </c>
      <c r="E4929" t="s">
        <v>9513</v>
      </c>
      <c r="F4929" s="1">
        <v>355636</v>
      </c>
      <c r="G4929" s="1">
        <v>3700015846</v>
      </c>
      <c r="H4929" s="1">
        <v>6</v>
      </c>
      <c r="I4929" s="1" t="s">
        <v>1220</v>
      </c>
      <c r="J4929" t="s">
        <v>9548</v>
      </c>
    </row>
    <row r="4930" spans="1:10">
      <c r="A4930" s="1">
        <v>256792</v>
      </c>
      <c r="B4930" s="1">
        <v>4159800002</v>
      </c>
      <c r="C4930" s="1">
        <v>6</v>
      </c>
      <c r="D4930" s="1" t="s">
        <v>347</v>
      </c>
      <c r="E4930" t="s">
        <v>9514</v>
      </c>
      <c r="F4930" s="1">
        <v>216119</v>
      </c>
      <c r="G4930" s="1">
        <v>3700032695</v>
      </c>
      <c r="H4930" s="1">
        <v>8</v>
      </c>
      <c r="I4930" s="1" t="s">
        <v>1201</v>
      </c>
      <c r="J4930" t="s">
        <v>9549</v>
      </c>
    </row>
    <row r="4931" spans="1:10">
      <c r="A4931" s="1">
        <v>414177</v>
      </c>
      <c r="B4931" s="1">
        <v>1112100045</v>
      </c>
      <c r="C4931" s="1">
        <v>6</v>
      </c>
      <c r="D4931" s="1" t="s">
        <v>399</v>
      </c>
      <c r="E4931" t="s">
        <v>9515</v>
      </c>
      <c r="F4931" s="1">
        <v>215491</v>
      </c>
      <c r="G4931" s="1">
        <v>3700037623</v>
      </c>
      <c r="H4931" s="1">
        <v>12</v>
      </c>
      <c r="I4931" s="1" t="s">
        <v>47</v>
      </c>
      <c r="J4931" t="s">
        <v>9550</v>
      </c>
    </row>
    <row r="4932" spans="1:10">
      <c r="A4932" s="1">
        <v>255786</v>
      </c>
      <c r="B4932" s="1">
        <v>1112100040</v>
      </c>
      <c r="C4932" s="1">
        <v>6</v>
      </c>
      <c r="D4932" s="1" t="s">
        <v>399</v>
      </c>
      <c r="E4932" t="s">
        <v>9516</v>
      </c>
      <c r="F4932" s="1">
        <v>216176</v>
      </c>
      <c r="G4932" s="1">
        <v>3700035155</v>
      </c>
      <c r="H4932" s="1">
        <v>6</v>
      </c>
      <c r="I4932" s="1" t="s">
        <v>1220</v>
      </c>
      <c r="J4932" t="s">
        <v>9551</v>
      </c>
    </row>
    <row r="4933" spans="1:10">
      <c r="A4933" s="1">
        <v>255778</v>
      </c>
      <c r="B4933" s="1">
        <v>1112100014</v>
      </c>
      <c r="C4933" s="1">
        <v>6</v>
      </c>
      <c r="D4933" s="1" t="s">
        <v>399</v>
      </c>
      <c r="E4933" t="s">
        <v>9517</v>
      </c>
      <c r="F4933" s="1">
        <v>216333</v>
      </c>
      <c r="G4933" s="1">
        <v>3700035154</v>
      </c>
      <c r="H4933" s="1">
        <v>12</v>
      </c>
      <c r="I4933" s="1" t="s">
        <v>47</v>
      </c>
      <c r="J4933" t="s">
        <v>9552</v>
      </c>
    </row>
    <row r="4934" spans="1:10" ht="15.75">
      <c r="A4934" s="4" t="s">
        <v>10837</v>
      </c>
      <c r="B4934" s="2"/>
      <c r="C4934" s="2"/>
      <c r="D4934" s="2"/>
      <c r="E4934" s="3"/>
      <c r="F4934" s="1">
        <v>433227</v>
      </c>
      <c r="G4934" s="1">
        <v>3700015850</v>
      </c>
      <c r="H4934" s="1">
        <v>8</v>
      </c>
      <c r="I4934" s="1" t="s">
        <v>1201</v>
      </c>
      <c r="J4934" t="s">
        <v>9553</v>
      </c>
    </row>
    <row r="4935" spans="1:10">
      <c r="A4935" s="2" t="s">
        <v>0</v>
      </c>
      <c r="B4935" s="2" t="s">
        <v>1</v>
      </c>
      <c r="C4935" s="2" t="s">
        <v>2</v>
      </c>
      <c r="D4935" s="2" t="s">
        <v>3</v>
      </c>
      <c r="E4935" s="3" t="s">
        <v>4</v>
      </c>
      <c r="F4935" s="1">
        <v>519611</v>
      </c>
      <c r="G4935" s="1">
        <v>3700008441</v>
      </c>
      <c r="H4935" s="1">
        <v>8</v>
      </c>
      <c r="I4935" s="1" t="s">
        <v>47</v>
      </c>
      <c r="J4935" t="s">
        <v>9554</v>
      </c>
    </row>
    <row r="4936" spans="1:10">
      <c r="A4936" s="1">
        <v>217679</v>
      </c>
      <c r="B4936" s="1">
        <v>4650000167</v>
      </c>
      <c r="C4936" s="1">
        <v>6</v>
      </c>
      <c r="D4936" s="1" t="s">
        <v>1189</v>
      </c>
      <c r="E4936" t="s">
        <v>9518</v>
      </c>
      <c r="F4936" s="1">
        <v>78097</v>
      </c>
      <c r="G4936" s="1">
        <v>1112000399</v>
      </c>
      <c r="H4936" s="1">
        <v>9</v>
      </c>
      <c r="I4936" s="1" t="s">
        <v>7504</v>
      </c>
      <c r="J4936" t="s">
        <v>9555</v>
      </c>
    </row>
    <row r="4937" spans="1:10">
      <c r="A4937" s="1">
        <v>218909</v>
      </c>
      <c r="B4937" s="1">
        <v>1112000012</v>
      </c>
      <c r="C4937" s="1">
        <v>6</v>
      </c>
      <c r="D4937" s="1" t="s">
        <v>1200</v>
      </c>
      <c r="E4937" t="s">
        <v>9519</v>
      </c>
      <c r="F4937" s="1">
        <v>78063</v>
      </c>
      <c r="G4937" s="1">
        <v>1112000402</v>
      </c>
      <c r="H4937" s="1">
        <v>9</v>
      </c>
      <c r="I4937" s="1" t="s">
        <v>1198</v>
      </c>
      <c r="J4937" t="s">
        <v>9556</v>
      </c>
    </row>
    <row r="4938" spans="1:10">
      <c r="A4938" s="1">
        <v>378612</v>
      </c>
      <c r="B4938" s="1">
        <v>1112000733</v>
      </c>
      <c r="C4938" s="1">
        <v>6</v>
      </c>
      <c r="D4938" s="1" t="s">
        <v>259</v>
      </c>
      <c r="E4938" t="s">
        <v>9520</v>
      </c>
      <c r="F4938" s="1">
        <v>78113</v>
      </c>
      <c r="G4938" s="1">
        <v>1112000401</v>
      </c>
      <c r="H4938" s="1">
        <v>6</v>
      </c>
      <c r="I4938" s="1" t="s">
        <v>8662</v>
      </c>
      <c r="J4938" t="s">
        <v>9557</v>
      </c>
    </row>
    <row r="4939" spans="1:10">
      <c r="A4939" s="1">
        <v>329292</v>
      </c>
      <c r="B4939" s="1">
        <v>98802534</v>
      </c>
      <c r="C4939" s="1">
        <v>12</v>
      </c>
      <c r="D4939" s="1" t="s">
        <v>1189</v>
      </c>
      <c r="E4939" t="s">
        <v>9521</v>
      </c>
      <c r="F4939" s="1">
        <v>521468</v>
      </c>
      <c r="G4939" s="1">
        <v>1112000407</v>
      </c>
      <c r="H4939" s="1">
        <v>6</v>
      </c>
      <c r="I4939" s="1" t="s">
        <v>1198</v>
      </c>
      <c r="J4939" t="s">
        <v>9558</v>
      </c>
    </row>
    <row r="4940" spans="1:10">
      <c r="A4940" s="1">
        <v>196394</v>
      </c>
      <c r="B4940" s="1">
        <v>4460014905</v>
      </c>
      <c r="C4940" s="1">
        <v>8</v>
      </c>
      <c r="D4940" s="1" t="s">
        <v>9522</v>
      </c>
      <c r="E4940" t="s">
        <v>9523</v>
      </c>
      <c r="F4940" s="1">
        <v>322503</v>
      </c>
      <c r="G4940" s="1">
        <v>1112000484</v>
      </c>
      <c r="H4940" s="1">
        <v>2</v>
      </c>
      <c r="I4940" s="1" t="s">
        <v>8</v>
      </c>
      <c r="J4940" t="s">
        <v>9559</v>
      </c>
    </row>
    <row r="4941" spans="1:10">
      <c r="A4941" s="1">
        <v>196808</v>
      </c>
      <c r="B4941" s="1">
        <v>4460014902</v>
      </c>
      <c r="C4941" s="1">
        <v>12</v>
      </c>
      <c r="D4941" s="1" t="s">
        <v>2557</v>
      </c>
      <c r="E4941" t="s">
        <v>9524</v>
      </c>
      <c r="F4941" s="1">
        <v>351221</v>
      </c>
      <c r="G4941" s="1">
        <v>6233880355</v>
      </c>
      <c r="H4941" s="1">
        <v>8</v>
      </c>
      <c r="I4941" s="1" t="s">
        <v>9560</v>
      </c>
      <c r="J4941" t="s">
        <v>9561</v>
      </c>
    </row>
    <row r="4942" spans="1:10">
      <c r="A4942" s="1">
        <v>258194</v>
      </c>
      <c r="B4942" s="1">
        <v>4460001211</v>
      </c>
      <c r="C4942" s="1">
        <v>12</v>
      </c>
      <c r="D4942" s="1" t="s">
        <v>1198</v>
      </c>
      <c r="E4942" t="s">
        <v>9525</v>
      </c>
      <c r="F4942" s="1">
        <v>200378</v>
      </c>
      <c r="G4942" s="1">
        <v>6233876143</v>
      </c>
      <c r="H4942" s="1">
        <v>12</v>
      </c>
      <c r="I4942" s="1" t="s">
        <v>399</v>
      </c>
      <c r="J4942" t="s">
        <v>9562</v>
      </c>
    </row>
    <row r="4943" spans="1:10">
      <c r="A4943" s="1">
        <v>276071</v>
      </c>
      <c r="B4943" s="1">
        <v>4650000182</v>
      </c>
      <c r="C4943" s="1">
        <v>6</v>
      </c>
      <c r="D4943" s="1" t="s">
        <v>6502</v>
      </c>
      <c r="E4943" t="s">
        <v>9526</v>
      </c>
      <c r="F4943" s="1">
        <v>201459</v>
      </c>
      <c r="G4943" s="1">
        <v>6233874373</v>
      </c>
      <c r="H4943" s="1">
        <v>12</v>
      </c>
      <c r="I4943" s="1" t="s">
        <v>399</v>
      </c>
      <c r="J4943" t="s">
        <v>9563</v>
      </c>
    </row>
    <row r="4944" spans="1:10">
      <c r="A4944" s="1">
        <v>432179</v>
      </c>
      <c r="B4944" s="1">
        <v>4650062327</v>
      </c>
      <c r="C4944" s="1">
        <v>6</v>
      </c>
      <c r="D4944" s="1" t="s">
        <v>9522</v>
      </c>
      <c r="E4944" t="s">
        <v>9527</v>
      </c>
      <c r="F4944" s="1">
        <v>423996</v>
      </c>
      <c r="G4944" s="1">
        <v>6233881260</v>
      </c>
      <c r="H4944" s="1">
        <v>12</v>
      </c>
      <c r="I4944" s="1" t="s">
        <v>1197</v>
      </c>
      <c r="J4944" t="s">
        <v>9564</v>
      </c>
    </row>
    <row r="4945" spans="1:10">
      <c r="A4945" s="1">
        <v>548347</v>
      </c>
      <c r="B4945" s="1">
        <v>7878677777</v>
      </c>
      <c r="C4945" s="1">
        <v>6</v>
      </c>
      <c r="D4945" s="1" t="s">
        <v>6502</v>
      </c>
      <c r="E4945" t="s">
        <v>9528</v>
      </c>
      <c r="F4945" s="1">
        <v>202291</v>
      </c>
      <c r="G4945" s="1">
        <v>6233874734</v>
      </c>
      <c r="H4945" s="1">
        <v>12</v>
      </c>
      <c r="I4945" s="1" t="s">
        <v>399</v>
      </c>
      <c r="J4945" t="s">
        <v>9565</v>
      </c>
    </row>
    <row r="4946" spans="1:10">
      <c r="A4946" s="1">
        <v>427559</v>
      </c>
      <c r="B4946" s="1">
        <v>4116345065</v>
      </c>
      <c r="C4946" s="1">
        <v>12</v>
      </c>
      <c r="D4946" s="1" t="s">
        <v>1198</v>
      </c>
      <c r="E4946" t="s">
        <v>9529</v>
      </c>
      <c r="F4946" s="1">
        <v>323543</v>
      </c>
      <c r="G4946" s="1">
        <v>6233875512</v>
      </c>
      <c r="H4946" s="1">
        <v>8</v>
      </c>
      <c r="I4946" s="1" t="s">
        <v>9560</v>
      </c>
      <c r="J4946" t="s">
        <v>9566</v>
      </c>
    </row>
    <row r="4947" spans="1:10">
      <c r="A4947" s="1">
        <v>524041</v>
      </c>
      <c r="B4947" s="1">
        <v>4116344949</v>
      </c>
      <c r="C4947" s="1">
        <v>6</v>
      </c>
      <c r="D4947" s="1" t="s">
        <v>10</v>
      </c>
      <c r="E4947" t="s">
        <v>9530</v>
      </c>
      <c r="F4947" s="1">
        <v>182279</v>
      </c>
      <c r="G4947" s="1">
        <v>6233881496</v>
      </c>
      <c r="H4947" s="1">
        <v>6</v>
      </c>
      <c r="I4947" s="1" t="s">
        <v>2642</v>
      </c>
      <c r="J4947" t="s">
        <v>9567</v>
      </c>
    </row>
    <row r="4948" spans="1:10">
      <c r="A4948" s="1">
        <v>47977</v>
      </c>
      <c r="B4948" s="1">
        <v>4116344948</v>
      </c>
      <c r="C4948" s="1">
        <v>12</v>
      </c>
      <c r="D4948" s="1" t="s">
        <v>5</v>
      </c>
      <c r="E4948" t="s">
        <v>9530</v>
      </c>
      <c r="F4948" s="1">
        <v>408898</v>
      </c>
      <c r="G4948" s="1">
        <v>6233880978</v>
      </c>
      <c r="H4948" s="1">
        <v>6</v>
      </c>
      <c r="I4948" s="1" t="s">
        <v>9568</v>
      </c>
      <c r="J4948" t="s">
        <v>9569</v>
      </c>
    </row>
    <row r="4949" spans="1:10">
      <c r="A4949" s="1">
        <v>536482</v>
      </c>
      <c r="B4949" s="1">
        <v>4116344947</v>
      </c>
      <c r="C4949" s="1">
        <v>6</v>
      </c>
      <c r="D4949" s="1" t="s">
        <v>47</v>
      </c>
      <c r="E4949" t="s">
        <v>9531</v>
      </c>
      <c r="F4949" s="1">
        <v>410795</v>
      </c>
      <c r="G4949" s="1">
        <v>6233879907</v>
      </c>
      <c r="H4949" s="1">
        <v>10</v>
      </c>
      <c r="I4949" s="1" t="s">
        <v>2642</v>
      </c>
      <c r="J4949" t="s">
        <v>9570</v>
      </c>
    </row>
    <row r="4950" spans="1:10">
      <c r="A4950" s="1">
        <v>206425</v>
      </c>
      <c r="B4950" s="1">
        <v>4116344946</v>
      </c>
      <c r="C4950" s="1">
        <v>12</v>
      </c>
      <c r="D4950" s="1" t="s">
        <v>9522</v>
      </c>
      <c r="E4950" t="s">
        <v>9532</v>
      </c>
      <c r="F4950" s="1">
        <v>370452</v>
      </c>
      <c r="G4950" s="1">
        <v>6233877964</v>
      </c>
      <c r="H4950" s="1">
        <v>4</v>
      </c>
      <c r="I4950" s="1" t="s">
        <v>9571</v>
      </c>
      <c r="J4950" t="s">
        <v>9572</v>
      </c>
    </row>
    <row r="4951" spans="1:10">
      <c r="A4951" s="1">
        <v>148221</v>
      </c>
      <c r="B4951" s="1">
        <v>4116344945</v>
      </c>
      <c r="C4951" s="1">
        <v>12</v>
      </c>
      <c r="D4951" s="1" t="s">
        <v>8</v>
      </c>
      <c r="E4951" t="s">
        <v>9533</v>
      </c>
      <c r="F4951" s="1">
        <v>370486</v>
      </c>
      <c r="G4951" s="1">
        <v>6233877965</v>
      </c>
      <c r="H4951" s="1">
        <v>6</v>
      </c>
      <c r="I4951" s="1" t="s">
        <v>8866</v>
      </c>
      <c r="J4951" t="s">
        <v>9573</v>
      </c>
    </row>
    <row r="4952" spans="1:10">
      <c r="A4952" s="1">
        <v>357095</v>
      </c>
      <c r="B4952" s="1">
        <v>81793900088</v>
      </c>
      <c r="C4952" s="1">
        <v>6</v>
      </c>
      <c r="D4952" s="1" t="s">
        <v>2303</v>
      </c>
      <c r="E4952" t="s">
        <v>9534</v>
      </c>
      <c r="F4952" s="1">
        <v>686444</v>
      </c>
      <c r="G4952" s="1">
        <v>6233879553</v>
      </c>
      <c r="H4952" s="1">
        <v>6</v>
      </c>
      <c r="I4952" s="1" t="s">
        <v>9571</v>
      </c>
      <c r="J4952" t="s">
        <v>9574</v>
      </c>
    </row>
    <row r="4953" spans="1:10">
      <c r="A4953" s="1">
        <v>275909</v>
      </c>
      <c r="B4953" s="1">
        <v>1920005432</v>
      </c>
      <c r="C4953" s="1">
        <v>6</v>
      </c>
      <c r="D4953" s="1" t="s">
        <v>1189</v>
      </c>
      <c r="E4953" t="s">
        <v>9535</v>
      </c>
      <c r="F4953" s="1">
        <v>754416</v>
      </c>
      <c r="G4953" s="1">
        <v>6233880354</v>
      </c>
      <c r="H4953" s="1">
        <v>8</v>
      </c>
      <c r="I4953" s="1" t="s">
        <v>9560</v>
      </c>
      <c r="J4953" t="s">
        <v>9575</v>
      </c>
    </row>
    <row r="4954" spans="1:10">
      <c r="A4954" s="1">
        <v>333682</v>
      </c>
      <c r="B4954" s="1">
        <v>4650081309</v>
      </c>
      <c r="C4954" s="1">
        <v>6</v>
      </c>
      <c r="D4954" s="1" t="s">
        <v>3633</v>
      </c>
      <c r="E4954" t="s">
        <v>9536</v>
      </c>
      <c r="F4954" s="1">
        <v>551507</v>
      </c>
      <c r="G4954" s="1">
        <v>6233880352</v>
      </c>
      <c r="H4954" s="1">
        <v>8</v>
      </c>
      <c r="I4954" s="1" t="s">
        <v>9560</v>
      </c>
      <c r="J4954" t="s">
        <v>9576</v>
      </c>
    </row>
    <row r="4955" spans="1:10">
      <c r="A4955" s="1">
        <v>438432</v>
      </c>
      <c r="B4955" s="1">
        <v>4650081316</v>
      </c>
      <c r="C4955" s="1">
        <v>6</v>
      </c>
      <c r="D4955" s="1" t="s">
        <v>3633</v>
      </c>
      <c r="E4955" t="s">
        <v>9537</v>
      </c>
      <c r="F4955" s="1">
        <v>692145</v>
      </c>
      <c r="G4955" s="1">
        <v>6233881741</v>
      </c>
      <c r="H4955" s="1">
        <v>4</v>
      </c>
      <c r="I4955" s="1" t="s">
        <v>9560</v>
      </c>
      <c r="J4955" t="s">
        <v>9577</v>
      </c>
    </row>
    <row r="4956" spans="1:10">
      <c r="A4956" s="1">
        <v>219618</v>
      </c>
      <c r="B4956" s="1">
        <v>1920000601</v>
      </c>
      <c r="C4956" s="1">
        <v>12</v>
      </c>
      <c r="D4956" s="1" t="s">
        <v>7504</v>
      </c>
      <c r="E4956" t="s">
        <v>9538</v>
      </c>
      <c r="F4956" s="1">
        <v>540237</v>
      </c>
      <c r="G4956" s="1">
        <v>6233879207</v>
      </c>
      <c r="H4956" s="1">
        <v>8</v>
      </c>
      <c r="I4956" s="1" t="s">
        <v>9560</v>
      </c>
      <c r="J4956" t="s">
        <v>9578</v>
      </c>
    </row>
    <row r="4957" spans="1:10">
      <c r="A4957" s="1">
        <v>303412</v>
      </c>
      <c r="B4957" s="1">
        <v>1920081760</v>
      </c>
      <c r="C4957" s="1">
        <v>6</v>
      </c>
      <c r="D4957" s="1" t="s">
        <v>632</v>
      </c>
      <c r="E4957" t="s">
        <v>9539</v>
      </c>
      <c r="F4957" s="1">
        <v>709667</v>
      </c>
      <c r="G4957" s="1">
        <v>6233878671</v>
      </c>
      <c r="H4957" s="1">
        <v>8</v>
      </c>
      <c r="I4957" s="1" t="s">
        <v>9560</v>
      </c>
      <c r="J4957" t="s">
        <v>9579</v>
      </c>
    </row>
    <row r="4958" spans="1:10">
      <c r="A4958" s="1">
        <v>221135</v>
      </c>
      <c r="B4958" s="1">
        <v>7440500986</v>
      </c>
      <c r="C4958" s="1">
        <v>12</v>
      </c>
      <c r="D4958" s="1" t="s">
        <v>259</v>
      </c>
      <c r="E4958" t="s">
        <v>9540</v>
      </c>
      <c r="F4958" s="1">
        <v>332387</v>
      </c>
      <c r="G4958" s="1">
        <v>6233880849</v>
      </c>
      <c r="H4958" s="1">
        <v>4</v>
      </c>
      <c r="I4958" s="1" t="s">
        <v>8</v>
      </c>
      <c r="J4958" t="s">
        <v>9580</v>
      </c>
    </row>
    <row r="4959" spans="1:10">
      <c r="A4959" s="1">
        <v>216929</v>
      </c>
      <c r="B4959" s="1">
        <v>3700031822</v>
      </c>
      <c r="C4959" s="1">
        <v>6</v>
      </c>
      <c r="D4959" s="1" t="s">
        <v>6404</v>
      </c>
      <c r="E4959" t="s">
        <v>9541</v>
      </c>
      <c r="F4959" s="1">
        <v>548172</v>
      </c>
      <c r="G4959" s="1">
        <v>6233879321</v>
      </c>
      <c r="H4959" s="1">
        <v>12</v>
      </c>
      <c r="I4959" s="1" t="s">
        <v>399</v>
      </c>
      <c r="J4959" t="s">
        <v>9581</v>
      </c>
    </row>
    <row r="4960" spans="1:10">
      <c r="A4960" s="1">
        <v>224279</v>
      </c>
      <c r="B4960" s="1">
        <v>3700039569</v>
      </c>
      <c r="C4960" s="1">
        <v>8</v>
      </c>
      <c r="D4960" s="1" t="s">
        <v>2755</v>
      </c>
      <c r="E4960" t="s">
        <v>9542</v>
      </c>
      <c r="F4960" s="1">
        <v>779371</v>
      </c>
      <c r="G4960" s="1">
        <v>6233879319</v>
      </c>
      <c r="H4960" s="1">
        <v>12</v>
      </c>
      <c r="I4960" s="1" t="s">
        <v>399</v>
      </c>
      <c r="J4960" t="s">
        <v>9581</v>
      </c>
    </row>
    <row r="4961" spans="1:10">
      <c r="A4961" s="1">
        <v>774513</v>
      </c>
      <c r="B4961" s="1">
        <v>3700015848</v>
      </c>
      <c r="C4961" s="1">
        <v>12</v>
      </c>
      <c r="D4961" s="1" t="s">
        <v>9522</v>
      </c>
      <c r="E4961" t="s">
        <v>9543</v>
      </c>
      <c r="F4961" s="1">
        <v>495192</v>
      </c>
      <c r="G4961" s="1">
        <v>6233877649</v>
      </c>
      <c r="H4961" s="1">
        <v>8</v>
      </c>
      <c r="I4961" s="1" t="s">
        <v>9560</v>
      </c>
      <c r="J4961" t="s">
        <v>9582</v>
      </c>
    </row>
    <row r="4962" spans="1:10" ht="15.75">
      <c r="A4962" s="4" t="s">
        <v>10837</v>
      </c>
      <c r="B4962" s="2"/>
      <c r="C4962" s="2"/>
      <c r="D4962" s="2"/>
      <c r="E4962" s="3"/>
      <c r="F4962" s="4" t="s">
        <v>10837</v>
      </c>
      <c r="G4962" s="2"/>
      <c r="H4962" s="2"/>
      <c r="I4962" s="2"/>
      <c r="J4962" s="3"/>
    </row>
    <row r="4963" spans="1:10">
      <c r="A4963" s="2" t="s">
        <v>0</v>
      </c>
      <c r="B4963" s="2" t="s">
        <v>1</v>
      </c>
      <c r="C4963" s="2" t="s">
        <v>2</v>
      </c>
      <c r="D4963" s="2" t="s">
        <v>3</v>
      </c>
      <c r="E4963" s="3" t="s">
        <v>4</v>
      </c>
      <c r="F4963" s="2" t="s">
        <v>0</v>
      </c>
      <c r="G4963" s="2" t="s">
        <v>1</v>
      </c>
      <c r="H4963" s="2" t="s">
        <v>2</v>
      </c>
      <c r="I4963" s="2" t="s">
        <v>3</v>
      </c>
      <c r="J4963" s="3" t="s">
        <v>4</v>
      </c>
    </row>
    <row r="4964" spans="1:10">
      <c r="A4964" s="1">
        <v>495242</v>
      </c>
      <c r="B4964" s="1">
        <v>6233877397</v>
      </c>
      <c r="C4964" s="1">
        <v>8</v>
      </c>
      <c r="D4964" s="1" t="s">
        <v>9560</v>
      </c>
      <c r="E4964" t="s">
        <v>9583</v>
      </c>
      <c r="F4964" s="1">
        <v>289272</v>
      </c>
      <c r="G4964" s="1">
        <v>4650018641</v>
      </c>
      <c r="H4964" s="1">
        <v>12</v>
      </c>
      <c r="I4964" s="1" t="s">
        <v>546</v>
      </c>
      <c r="J4964" t="s">
        <v>9626</v>
      </c>
    </row>
    <row r="4965" spans="1:10">
      <c r="A4965" s="1">
        <v>141267</v>
      </c>
      <c r="B4965" s="1">
        <v>6233881743</v>
      </c>
      <c r="C4965" s="1">
        <v>4</v>
      </c>
      <c r="D4965" s="1" t="s">
        <v>8</v>
      </c>
      <c r="E4965" t="s">
        <v>9584</v>
      </c>
      <c r="F4965" s="1">
        <v>200451</v>
      </c>
      <c r="G4965" s="1">
        <v>4650012594</v>
      </c>
      <c r="H4965" s="1">
        <v>12</v>
      </c>
      <c r="I4965" s="1" t="s">
        <v>546</v>
      </c>
      <c r="J4965" t="s">
        <v>9627</v>
      </c>
    </row>
    <row r="4966" spans="1:10">
      <c r="A4966" s="1">
        <v>201533</v>
      </c>
      <c r="B4966" s="1">
        <v>6233805768</v>
      </c>
      <c r="C4966" s="1">
        <v>12</v>
      </c>
      <c r="D4966" s="1" t="s">
        <v>399</v>
      </c>
      <c r="E4966" t="s">
        <v>9585</v>
      </c>
      <c r="F4966" s="1">
        <v>200923</v>
      </c>
      <c r="G4966" s="1">
        <v>4650012595</v>
      </c>
      <c r="H4966" s="1">
        <v>12</v>
      </c>
      <c r="I4966" s="1" t="s">
        <v>546</v>
      </c>
      <c r="J4966" t="s">
        <v>9628</v>
      </c>
    </row>
    <row r="4967" spans="1:10">
      <c r="A4967" s="1">
        <v>248898</v>
      </c>
      <c r="B4967" s="1">
        <v>6233878047</v>
      </c>
      <c r="C4967" s="1">
        <v>6</v>
      </c>
      <c r="D4967" s="1" t="s">
        <v>8</v>
      </c>
      <c r="E4967" t="s">
        <v>9586</v>
      </c>
      <c r="F4967" s="1">
        <v>201038</v>
      </c>
      <c r="G4967" s="1">
        <v>4650021416</v>
      </c>
      <c r="H4967" s="1">
        <v>12</v>
      </c>
      <c r="I4967" s="1" t="s">
        <v>546</v>
      </c>
      <c r="J4967" t="s">
        <v>9629</v>
      </c>
    </row>
    <row r="4968" spans="1:10">
      <c r="A4968" s="1">
        <v>248906</v>
      </c>
      <c r="B4968" s="1">
        <v>6233878046</v>
      </c>
      <c r="C4968" s="1">
        <v>6</v>
      </c>
      <c r="D4968" s="1" t="s">
        <v>8</v>
      </c>
      <c r="E4968" t="s">
        <v>9587</v>
      </c>
      <c r="F4968" s="1">
        <v>269464</v>
      </c>
      <c r="G4968" s="1">
        <v>4650016257</v>
      </c>
      <c r="H4968" s="1">
        <v>9</v>
      </c>
      <c r="I4968" s="1" t="s">
        <v>546</v>
      </c>
      <c r="J4968" t="s">
        <v>9630</v>
      </c>
    </row>
    <row r="4969" spans="1:10">
      <c r="A4969" s="1">
        <v>224626</v>
      </c>
      <c r="B4969" s="1">
        <v>3700005611</v>
      </c>
      <c r="C4969" s="1">
        <v>9</v>
      </c>
      <c r="D4969" s="1" t="s">
        <v>6574</v>
      </c>
      <c r="E4969" t="s">
        <v>9588</v>
      </c>
      <c r="F4969" s="1">
        <v>709782</v>
      </c>
      <c r="G4969" s="1">
        <v>4650015423</v>
      </c>
      <c r="H4969" s="1">
        <v>9</v>
      </c>
      <c r="I4969" s="1" t="s">
        <v>546</v>
      </c>
      <c r="J4969" t="s">
        <v>9631</v>
      </c>
    </row>
    <row r="4970" spans="1:10">
      <c r="A4970" s="1">
        <v>709766</v>
      </c>
      <c r="B4970" s="1">
        <v>3700007100</v>
      </c>
      <c r="C4970" s="1">
        <v>9</v>
      </c>
      <c r="D4970" s="1" t="s">
        <v>6574</v>
      </c>
      <c r="E4970" t="s">
        <v>9589</v>
      </c>
      <c r="F4970" s="1">
        <v>200790</v>
      </c>
      <c r="G4970" s="1">
        <v>4650010084</v>
      </c>
      <c r="H4970" s="1">
        <v>12</v>
      </c>
      <c r="I4970" s="1" t="s">
        <v>546</v>
      </c>
      <c r="J4970" t="s">
        <v>9632</v>
      </c>
    </row>
    <row r="4971" spans="1:10">
      <c r="A4971" s="1">
        <v>201236</v>
      </c>
      <c r="B4971" s="1">
        <v>3700045535</v>
      </c>
      <c r="C4971" s="1">
        <v>9</v>
      </c>
      <c r="D4971" s="1" t="s">
        <v>6574</v>
      </c>
      <c r="E4971" t="s">
        <v>9590</v>
      </c>
      <c r="F4971" s="1">
        <v>326546</v>
      </c>
      <c r="G4971" s="1">
        <v>4650014917</v>
      </c>
      <c r="H4971" s="1">
        <v>12</v>
      </c>
      <c r="I4971" s="1" t="s">
        <v>2699</v>
      </c>
      <c r="J4971" t="s">
        <v>9633</v>
      </c>
    </row>
    <row r="4972" spans="1:10">
      <c r="A4972" s="1">
        <v>283952</v>
      </c>
      <c r="B4972" s="1">
        <v>3700009064</v>
      </c>
      <c r="C4972" s="1">
        <v>9</v>
      </c>
      <c r="D4972" s="1" t="s">
        <v>9501</v>
      </c>
      <c r="E4972" t="s">
        <v>9591</v>
      </c>
      <c r="F4972" s="1">
        <v>353276</v>
      </c>
      <c r="G4972" s="1">
        <v>4650015713</v>
      </c>
      <c r="H4972" s="1">
        <v>12</v>
      </c>
      <c r="I4972" s="1" t="s">
        <v>397</v>
      </c>
      <c r="J4972" t="s">
        <v>9634</v>
      </c>
    </row>
    <row r="4973" spans="1:10">
      <c r="A4973" s="1">
        <v>201152</v>
      </c>
      <c r="B4973" s="1">
        <v>3700045536</v>
      </c>
      <c r="C4973" s="1">
        <v>9</v>
      </c>
      <c r="D4973" s="1" t="s">
        <v>6574</v>
      </c>
      <c r="E4973" t="s">
        <v>9592</v>
      </c>
      <c r="F4973" s="1">
        <v>323915</v>
      </c>
      <c r="G4973" s="1">
        <v>4650015737</v>
      </c>
      <c r="H4973" s="1">
        <v>12</v>
      </c>
      <c r="I4973" s="1" t="s">
        <v>397</v>
      </c>
      <c r="J4973" t="s">
        <v>9635</v>
      </c>
    </row>
    <row r="4974" spans="1:10">
      <c r="A4974" s="1">
        <v>546044</v>
      </c>
      <c r="B4974" s="1">
        <v>3700016306</v>
      </c>
      <c r="C4974" s="1">
        <v>9</v>
      </c>
      <c r="D4974" s="1" t="s">
        <v>9501</v>
      </c>
      <c r="E4974" t="s">
        <v>9593</v>
      </c>
      <c r="F4974" s="1">
        <v>103242</v>
      </c>
      <c r="G4974" s="1">
        <v>4650070771</v>
      </c>
      <c r="H4974" s="1">
        <v>4</v>
      </c>
      <c r="I4974" s="1" t="s">
        <v>489</v>
      </c>
      <c r="J4974" t="s">
        <v>9636</v>
      </c>
    </row>
    <row r="4975" spans="1:10">
      <c r="A4975" s="1">
        <v>744128</v>
      </c>
      <c r="B4975" s="1">
        <v>3700012586</v>
      </c>
      <c r="C4975" s="1">
        <v>9</v>
      </c>
      <c r="D4975" s="1" t="s">
        <v>6574</v>
      </c>
      <c r="E4975" t="s">
        <v>9594</v>
      </c>
      <c r="F4975" s="1">
        <v>394106</v>
      </c>
      <c r="G4975" s="1">
        <v>4650015716</v>
      </c>
      <c r="H4975" s="1">
        <v>12</v>
      </c>
      <c r="I4975" s="1" t="s">
        <v>397</v>
      </c>
      <c r="J4975" t="s">
        <v>9637</v>
      </c>
    </row>
    <row r="4976" spans="1:10">
      <c r="A4976" s="1">
        <v>826446</v>
      </c>
      <c r="B4976" s="1">
        <v>3700019809</v>
      </c>
      <c r="C4976" s="1">
        <v>9</v>
      </c>
      <c r="D4976" s="1" t="s">
        <v>6574</v>
      </c>
      <c r="E4976" t="s">
        <v>9595</v>
      </c>
      <c r="F4976" s="1">
        <v>177576</v>
      </c>
      <c r="G4976" s="1">
        <v>4650070773</v>
      </c>
      <c r="H4976" s="1">
        <v>4</v>
      </c>
      <c r="I4976" s="1" t="s">
        <v>489</v>
      </c>
      <c r="J4976" t="s">
        <v>9638</v>
      </c>
    </row>
    <row r="4977" spans="1:10">
      <c r="A4977" s="1">
        <v>308361</v>
      </c>
      <c r="B4977" s="1">
        <v>3700013141</v>
      </c>
      <c r="C4977" s="1">
        <v>8</v>
      </c>
      <c r="D4977" s="1" t="s">
        <v>781</v>
      </c>
      <c r="E4977" t="s">
        <v>9596</v>
      </c>
      <c r="F4977" s="1">
        <v>809004</v>
      </c>
      <c r="G4977" s="1">
        <v>4650015735</v>
      </c>
      <c r="H4977" s="1">
        <v>12</v>
      </c>
      <c r="I4977" s="1" t="s">
        <v>397</v>
      </c>
      <c r="J4977" t="s">
        <v>9639</v>
      </c>
    </row>
    <row r="4978" spans="1:10">
      <c r="A4978" s="1">
        <v>542381</v>
      </c>
      <c r="B4978" s="1">
        <v>3700019814</v>
      </c>
      <c r="C4978" s="1">
        <v>6</v>
      </c>
      <c r="D4978" s="1" t="s">
        <v>781</v>
      </c>
      <c r="E4978" t="s">
        <v>9597</v>
      </c>
      <c r="F4978" s="1">
        <v>92403</v>
      </c>
      <c r="G4978" s="1">
        <v>4650070287</v>
      </c>
      <c r="H4978" s="1">
        <v>12</v>
      </c>
      <c r="I4978" s="1" t="s">
        <v>397</v>
      </c>
      <c r="J4978" t="s">
        <v>9640</v>
      </c>
    </row>
    <row r="4979" spans="1:10">
      <c r="A4979" s="1">
        <v>591727</v>
      </c>
      <c r="B4979" s="1">
        <v>3700018012</v>
      </c>
      <c r="C4979" s="1">
        <v>6</v>
      </c>
      <c r="D4979" s="1" t="s">
        <v>781</v>
      </c>
      <c r="E4979" t="s">
        <v>9598</v>
      </c>
      <c r="F4979" s="1">
        <v>262055</v>
      </c>
      <c r="G4979" s="1">
        <v>4650016698</v>
      </c>
      <c r="H4979" s="1">
        <v>12</v>
      </c>
      <c r="I4979" s="1" t="s">
        <v>397</v>
      </c>
      <c r="J4979" t="s">
        <v>9641</v>
      </c>
    </row>
    <row r="4980" spans="1:10">
      <c r="A4980" s="1">
        <v>129775</v>
      </c>
      <c r="B4980" s="1">
        <v>3700019813</v>
      </c>
      <c r="C4980" s="1">
        <v>6</v>
      </c>
      <c r="D4980" s="1" t="s">
        <v>781</v>
      </c>
      <c r="E4980" t="s">
        <v>9599</v>
      </c>
      <c r="F4980" s="1">
        <v>393736</v>
      </c>
      <c r="G4980" s="1">
        <v>4650070772</v>
      </c>
      <c r="H4980" s="1">
        <v>4</v>
      </c>
      <c r="I4980" s="1" t="s">
        <v>489</v>
      </c>
      <c r="J4980" t="s">
        <v>9642</v>
      </c>
    </row>
    <row r="4981" spans="1:10">
      <c r="A4981" s="1">
        <v>208884</v>
      </c>
      <c r="B4981" s="1">
        <v>3700017150</v>
      </c>
      <c r="C4981" s="1">
        <v>6</v>
      </c>
      <c r="D4981" s="1" t="s">
        <v>781</v>
      </c>
      <c r="E4981" t="s">
        <v>9600</v>
      </c>
      <c r="F4981" s="1">
        <v>201053</v>
      </c>
      <c r="G4981" s="1">
        <v>4650012838</v>
      </c>
      <c r="H4981" s="1">
        <v>6</v>
      </c>
      <c r="I4981" s="1" t="s">
        <v>9643</v>
      </c>
      <c r="J4981" t="s">
        <v>9644</v>
      </c>
    </row>
    <row r="4982" spans="1:10">
      <c r="A4982" s="1">
        <v>526293</v>
      </c>
      <c r="B4982" s="1">
        <v>3700015748</v>
      </c>
      <c r="C4982" s="1">
        <v>9</v>
      </c>
      <c r="D4982" s="1" t="s">
        <v>6574</v>
      </c>
      <c r="E4982" t="s">
        <v>9601</v>
      </c>
      <c r="F4982" s="1">
        <v>196543</v>
      </c>
      <c r="G4982" s="1">
        <v>4650023305</v>
      </c>
      <c r="H4982" s="1">
        <v>6</v>
      </c>
      <c r="I4982" s="1" t="s">
        <v>9643</v>
      </c>
      <c r="J4982" t="s">
        <v>9645</v>
      </c>
    </row>
    <row r="4983" spans="1:10">
      <c r="A4983" s="1">
        <v>787192</v>
      </c>
      <c r="B4983" s="1">
        <v>3700019808</v>
      </c>
      <c r="C4983" s="1">
        <v>9</v>
      </c>
      <c r="D4983" s="1" t="s">
        <v>9501</v>
      </c>
      <c r="E4983" t="s">
        <v>9602</v>
      </c>
      <c r="F4983" s="1">
        <v>476150</v>
      </c>
      <c r="G4983" s="1">
        <v>4650013074</v>
      </c>
      <c r="H4983" s="1">
        <v>6</v>
      </c>
      <c r="I4983" s="1" t="s">
        <v>9646</v>
      </c>
      <c r="J4983" t="s">
        <v>9647</v>
      </c>
    </row>
    <row r="4984" spans="1:10">
      <c r="A4984" s="1">
        <v>383695</v>
      </c>
      <c r="B4984" s="1">
        <v>3700019810</v>
      </c>
      <c r="C4984" s="1">
        <v>9</v>
      </c>
      <c r="D4984" s="1" t="s">
        <v>6574</v>
      </c>
      <c r="E4984" t="s">
        <v>9603</v>
      </c>
      <c r="F4984" s="1">
        <v>200477</v>
      </c>
      <c r="G4984" s="1">
        <v>4650013200</v>
      </c>
      <c r="H4984" s="1">
        <v>12</v>
      </c>
      <c r="I4984" s="1" t="s">
        <v>546</v>
      </c>
      <c r="J4984" t="s">
        <v>9648</v>
      </c>
    </row>
    <row r="4985" spans="1:10">
      <c r="A4985" s="1">
        <v>735480</v>
      </c>
      <c r="B4985" s="1">
        <v>3700016391</v>
      </c>
      <c r="C4985" s="1">
        <v>12</v>
      </c>
      <c r="D4985" s="1" t="s">
        <v>9604</v>
      </c>
      <c r="E4985" t="s">
        <v>9605</v>
      </c>
      <c r="F4985" s="1">
        <v>507459</v>
      </c>
      <c r="G4985" s="1">
        <v>4650015709</v>
      </c>
      <c r="H4985" s="1">
        <v>12</v>
      </c>
      <c r="I4985" s="1" t="s">
        <v>397</v>
      </c>
      <c r="J4985" t="s">
        <v>9649</v>
      </c>
    </row>
    <row r="4986" spans="1:10">
      <c r="A4986" s="1">
        <v>835702</v>
      </c>
      <c r="B4986" s="1">
        <v>3700016388</v>
      </c>
      <c r="C4986" s="1">
        <v>6</v>
      </c>
      <c r="D4986" s="1" t="s">
        <v>9604</v>
      </c>
      <c r="E4986" t="s">
        <v>9606</v>
      </c>
      <c r="F4986" s="1">
        <v>595124</v>
      </c>
      <c r="G4986" s="1">
        <v>4650015710</v>
      </c>
      <c r="H4986" s="1">
        <v>12</v>
      </c>
      <c r="I4986" s="1" t="s">
        <v>397</v>
      </c>
      <c r="J4986" t="s">
        <v>9650</v>
      </c>
    </row>
    <row r="4987" spans="1:10">
      <c r="A4987" s="1">
        <v>30072</v>
      </c>
      <c r="B4987" s="1">
        <v>3700016202</v>
      </c>
      <c r="C4987" s="1">
        <v>12</v>
      </c>
      <c r="D4987" s="1" t="s">
        <v>5184</v>
      </c>
      <c r="E4987" t="s">
        <v>9607</v>
      </c>
      <c r="F4987" s="1">
        <v>152306</v>
      </c>
      <c r="G4987" s="1">
        <v>4650015729</v>
      </c>
      <c r="H4987" s="1">
        <v>12</v>
      </c>
      <c r="I4987" s="1" t="s">
        <v>397</v>
      </c>
      <c r="J4987" t="s">
        <v>9651</v>
      </c>
    </row>
    <row r="4988" spans="1:10">
      <c r="A4988" s="1">
        <v>481192</v>
      </c>
      <c r="B4988" s="1">
        <v>3700016201</v>
      </c>
      <c r="C4988" s="1">
        <v>6</v>
      </c>
      <c r="D4988" s="1" t="s">
        <v>203</v>
      </c>
      <c r="E4988" t="s">
        <v>9608</v>
      </c>
      <c r="F4988" s="1">
        <v>224105</v>
      </c>
      <c r="G4988" s="1">
        <v>4650015730</v>
      </c>
      <c r="H4988" s="1">
        <v>12</v>
      </c>
      <c r="I4988" s="1" t="s">
        <v>397</v>
      </c>
      <c r="J4988" t="s">
        <v>9652</v>
      </c>
    </row>
    <row r="4989" spans="1:10">
      <c r="A4989" s="1">
        <v>511634</v>
      </c>
      <c r="B4989" s="1">
        <v>3700012496</v>
      </c>
      <c r="C4989" s="1">
        <v>6</v>
      </c>
      <c r="D4989" s="1" t="s">
        <v>9609</v>
      </c>
      <c r="E4989" t="s">
        <v>9610</v>
      </c>
      <c r="F4989" s="1">
        <v>200626</v>
      </c>
      <c r="G4989" s="1">
        <v>4650000076</v>
      </c>
      <c r="H4989" s="1">
        <v>12</v>
      </c>
      <c r="I4989" s="1" t="s">
        <v>546</v>
      </c>
      <c r="J4989" t="s">
        <v>9653</v>
      </c>
    </row>
    <row r="4990" spans="1:10">
      <c r="A4990" s="1">
        <v>533513</v>
      </c>
      <c r="B4990" s="1">
        <v>3700012588</v>
      </c>
      <c r="C4990" s="1">
        <v>12</v>
      </c>
      <c r="D4990" s="1" t="s">
        <v>9611</v>
      </c>
      <c r="E4990" t="s">
        <v>9612</v>
      </c>
      <c r="F4990" s="1">
        <v>765800</v>
      </c>
      <c r="G4990" s="1">
        <v>4650023248</v>
      </c>
      <c r="H4990" s="1">
        <v>12</v>
      </c>
      <c r="I4990" s="1" t="s">
        <v>9643</v>
      </c>
      <c r="J4990" t="s">
        <v>9654</v>
      </c>
    </row>
    <row r="4991" spans="1:10">
      <c r="A4991" s="1">
        <v>438010</v>
      </c>
      <c r="B4991" s="1">
        <v>3700011626</v>
      </c>
      <c r="C4991" s="1">
        <v>12</v>
      </c>
      <c r="D4991" s="1" t="s">
        <v>9613</v>
      </c>
      <c r="E4991" t="s">
        <v>9614</v>
      </c>
      <c r="F4991" s="1">
        <v>356014</v>
      </c>
      <c r="G4991" s="1">
        <v>4650070317</v>
      </c>
      <c r="H4991" s="1">
        <v>12</v>
      </c>
      <c r="I4991" s="1" t="s">
        <v>397</v>
      </c>
      <c r="J4991" t="s">
        <v>9655</v>
      </c>
    </row>
    <row r="4992" spans="1:10">
      <c r="A4992" s="1">
        <v>162610</v>
      </c>
      <c r="B4992" s="1">
        <v>3700004447</v>
      </c>
      <c r="C4992" s="1">
        <v>12</v>
      </c>
      <c r="D4992" s="1" t="s">
        <v>9611</v>
      </c>
      <c r="E4992" t="s">
        <v>9615</v>
      </c>
      <c r="F4992" s="1">
        <v>308155</v>
      </c>
      <c r="G4992" s="1">
        <v>4650070500</v>
      </c>
      <c r="H4992" s="1">
        <v>6</v>
      </c>
      <c r="I4992" s="1" t="s">
        <v>9646</v>
      </c>
      <c r="J4992" t="s">
        <v>9656</v>
      </c>
    </row>
    <row r="4993" spans="1:10">
      <c r="A4993" s="1">
        <v>709709</v>
      </c>
      <c r="B4993" s="1">
        <v>3700004446</v>
      </c>
      <c r="C4993" s="1">
        <v>6</v>
      </c>
      <c r="D4993" s="1" t="s">
        <v>9611</v>
      </c>
      <c r="E4993" t="s">
        <v>9616</v>
      </c>
      <c r="F4993" s="1">
        <v>57513</v>
      </c>
      <c r="G4993" s="1">
        <v>4650070501</v>
      </c>
      <c r="H4993" s="1">
        <v>6</v>
      </c>
      <c r="I4993" s="1" t="s">
        <v>9646</v>
      </c>
      <c r="J4993" t="s">
        <v>9657</v>
      </c>
    </row>
    <row r="4994" spans="1:10">
      <c r="A4994" s="1">
        <v>703744</v>
      </c>
      <c r="B4994" s="1">
        <v>3700015747</v>
      </c>
      <c r="C4994" s="1">
        <v>9</v>
      </c>
      <c r="D4994" s="1" t="s">
        <v>6574</v>
      </c>
      <c r="E4994" t="s">
        <v>9617</v>
      </c>
      <c r="F4994" s="1">
        <v>465971</v>
      </c>
      <c r="G4994" s="1">
        <v>4650070270</v>
      </c>
      <c r="H4994" s="1">
        <v>6</v>
      </c>
      <c r="I4994" s="1" t="s">
        <v>9658</v>
      </c>
      <c r="J4994" t="s">
        <v>9659</v>
      </c>
    </row>
    <row r="4995" spans="1:10">
      <c r="A4995" s="1">
        <v>703132</v>
      </c>
      <c r="B4995" s="1">
        <v>3700017131</v>
      </c>
      <c r="C4995" s="1">
        <v>9</v>
      </c>
      <c r="D4995" s="1" t="s">
        <v>6574</v>
      </c>
      <c r="E4995" t="s">
        <v>9618</v>
      </c>
      <c r="F4995" s="1">
        <v>380659</v>
      </c>
      <c r="G4995" s="1">
        <v>4650070543</v>
      </c>
      <c r="H4995" s="1">
        <v>10</v>
      </c>
      <c r="I4995" s="1" t="s">
        <v>9660</v>
      </c>
      <c r="J4995" t="s">
        <v>9661</v>
      </c>
    </row>
    <row r="4996" spans="1:10">
      <c r="A4996" s="1">
        <v>362681</v>
      </c>
      <c r="B4996" s="1">
        <v>3700022934</v>
      </c>
      <c r="C4996" s="1">
        <v>6</v>
      </c>
      <c r="D4996" s="1" t="s">
        <v>20</v>
      </c>
      <c r="E4996" t="s">
        <v>9619</v>
      </c>
      <c r="F4996" s="1">
        <v>115667</v>
      </c>
      <c r="G4996" s="1">
        <v>4650088364</v>
      </c>
      <c r="H4996" s="1">
        <v>12</v>
      </c>
      <c r="I4996" s="1" t="s">
        <v>7213</v>
      </c>
      <c r="J4996" t="s">
        <v>9662</v>
      </c>
    </row>
    <row r="4997" spans="1:10">
      <c r="A4997" s="1">
        <v>754499</v>
      </c>
      <c r="B4997" s="1">
        <v>3700022968</v>
      </c>
      <c r="C4997" s="1">
        <v>6</v>
      </c>
      <c r="D4997" s="1" t="s">
        <v>20</v>
      </c>
      <c r="E4997" t="s">
        <v>9620</v>
      </c>
      <c r="F4997" s="1">
        <v>26617</v>
      </c>
      <c r="G4997" s="1">
        <v>4650088362</v>
      </c>
      <c r="H4997" s="1">
        <v>12</v>
      </c>
      <c r="I4997" s="1" t="s">
        <v>7213</v>
      </c>
      <c r="J4997" t="s">
        <v>9663</v>
      </c>
    </row>
    <row r="4998" spans="1:10">
      <c r="A4998" s="1">
        <v>229047</v>
      </c>
      <c r="B4998" s="1">
        <v>3700023195</v>
      </c>
      <c r="C4998" s="1">
        <v>12</v>
      </c>
      <c r="D4998" s="1" t="s">
        <v>5184</v>
      </c>
      <c r="E4998" t="s">
        <v>9621</v>
      </c>
      <c r="F4998" s="1">
        <v>557488</v>
      </c>
      <c r="G4998" s="1">
        <v>4650070488</v>
      </c>
      <c r="H4998" s="1">
        <v>12</v>
      </c>
      <c r="I4998" s="1" t="s">
        <v>546</v>
      </c>
      <c r="J4998" t="s">
        <v>9664</v>
      </c>
    </row>
    <row r="4999" spans="1:10">
      <c r="A4999" s="1">
        <v>672261</v>
      </c>
      <c r="B4999" s="1">
        <v>3700023196</v>
      </c>
      <c r="C4999" s="1">
        <v>12</v>
      </c>
      <c r="D4999" s="1" t="s">
        <v>5184</v>
      </c>
      <c r="E4999" t="s">
        <v>9622</v>
      </c>
      <c r="F4999" s="1">
        <v>350348</v>
      </c>
      <c r="G4999" s="1">
        <v>4650070486</v>
      </c>
      <c r="H4999" s="1">
        <v>12</v>
      </c>
      <c r="I4999" s="1" t="s">
        <v>546</v>
      </c>
      <c r="J4999" t="s">
        <v>9665</v>
      </c>
    </row>
    <row r="5000" spans="1:10">
      <c r="A5000" s="1">
        <v>15651</v>
      </c>
      <c r="B5000" s="1">
        <v>4650016859</v>
      </c>
      <c r="C5000" s="1">
        <v>12</v>
      </c>
      <c r="D5000" s="1" t="s">
        <v>397</v>
      </c>
      <c r="E5000" t="s">
        <v>9623</v>
      </c>
      <c r="F5000" s="1">
        <v>200659</v>
      </c>
      <c r="G5000" s="1">
        <v>4650000565</v>
      </c>
      <c r="H5000" s="1">
        <v>12</v>
      </c>
      <c r="I5000" s="1" t="s">
        <v>546</v>
      </c>
      <c r="J5000" t="s">
        <v>9666</v>
      </c>
    </row>
    <row r="5001" spans="1:10">
      <c r="A5001" s="1">
        <v>709790</v>
      </c>
      <c r="B5001" s="1">
        <v>4650015395</v>
      </c>
      <c r="C5001" s="1">
        <v>12</v>
      </c>
      <c r="D5001" s="1" t="s">
        <v>546</v>
      </c>
      <c r="E5001" t="s">
        <v>9624</v>
      </c>
      <c r="F5001" s="1">
        <v>825455</v>
      </c>
      <c r="G5001" s="1">
        <v>4650061581</v>
      </c>
      <c r="H5001" s="1">
        <v>9</v>
      </c>
      <c r="I5001" s="1" t="s">
        <v>17</v>
      </c>
      <c r="J5001" t="s">
        <v>9667</v>
      </c>
    </row>
    <row r="5002" spans="1:10">
      <c r="A5002" s="1">
        <v>325316</v>
      </c>
      <c r="B5002" s="1">
        <v>4650010075</v>
      </c>
      <c r="C5002" s="1">
        <v>12</v>
      </c>
      <c r="D5002" s="1" t="s">
        <v>546</v>
      </c>
      <c r="E5002" t="s">
        <v>9625</v>
      </c>
      <c r="F5002" s="1">
        <v>200410</v>
      </c>
      <c r="G5002" s="1">
        <v>4650002827</v>
      </c>
      <c r="H5002" s="1">
        <v>12</v>
      </c>
      <c r="I5002" s="1" t="s">
        <v>9560</v>
      </c>
      <c r="J5002" t="s">
        <v>9668</v>
      </c>
    </row>
    <row r="5003" spans="1:10" ht="15.75">
      <c r="A5003" s="4" t="s">
        <v>10837</v>
      </c>
      <c r="B5003" s="2"/>
      <c r="C5003" s="2"/>
      <c r="D5003" s="2"/>
      <c r="E5003" s="3"/>
      <c r="F5003" s="4" t="s">
        <v>10837</v>
      </c>
      <c r="G5003" s="2"/>
      <c r="H5003" s="2"/>
      <c r="I5003" s="2"/>
      <c r="J5003" s="3"/>
    </row>
    <row r="5004" spans="1:10">
      <c r="A5004" s="2" t="s">
        <v>0</v>
      </c>
      <c r="B5004" s="2" t="s">
        <v>1</v>
      </c>
      <c r="C5004" s="2" t="s">
        <v>2</v>
      </c>
      <c r="D5004" s="2" t="s">
        <v>3</v>
      </c>
      <c r="E5004" s="3" t="s">
        <v>4</v>
      </c>
      <c r="F5004" s="2" t="s">
        <v>0</v>
      </c>
      <c r="G5004" s="2" t="s">
        <v>1</v>
      </c>
      <c r="H5004" s="2" t="s">
        <v>2</v>
      </c>
      <c r="I5004" s="2" t="s">
        <v>3</v>
      </c>
      <c r="J5004" s="3" t="s">
        <v>4</v>
      </c>
    </row>
    <row r="5005" spans="1:10">
      <c r="A5005" s="1">
        <v>758193</v>
      </c>
      <c r="B5005" s="1">
        <v>4650070156</v>
      </c>
      <c r="C5005" s="1">
        <v>12</v>
      </c>
      <c r="D5005" s="1" t="s">
        <v>9669</v>
      </c>
      <c r="E5005" t="s">
        <v>9670</v>
      </c>
      <c r="F5005" s="1">
        <v>401786</v>
      </c>
      <c r="G5005" s="1">
        <v>4650070213</v>
      </c>
      <c r="H5005" s="1">
        <v>6</v>
      </c>
      <c r="I5005" s="1" t="s">
        <v>9646</v>
      </c>
      <c r="J5005" t="s">
        <v>9711</v>
      </c>
    </row>
    <row r="5006" spans="1:10">
      <c r="A5006" s="1">
        <v>697177</v>
      </c>
      <c r="B5006" s="1">
        <v>4650070273</v>
      </c>
      <c r="C5006" s="1">
        <v>6</v>
      </c>
      <c r="D5006" s="1" t="s">
        <v>9646</v>
      </c>
      <c r="E5006" t="s">
        <v>9671</v>
      </c>
      <c r="F5006" s="1">
        <v>647438</v>
      </c>
      <c r="G5006" s="1">
        <v>4650070218</v>
      </c>
      <c r="H5006" s="1">
        <v>6</v>
      </c>
      <c r="I5006" s="1" t="s">
        <v>9646</v>
      </c>
      <c r="J5006" t="s">
        <v>9712</v>
      </c>
    </row>
    <row r="5007" spans="1:10">
      <c r="A5007" s="1">
        <v>201699</v>
      </c>
      <c r="B5007" s="1">
        <v>4650031439</v>
      </c>
      <c r="C5007" s="1">
        <v>12</v>
      </c>
      <c r="D5007" s="1" t="s">
        <v>9672</v>
      </c>
      <c r="E5007" t="s">
        <v>9673</v>
      </c>
      <c r="F5007" s="1">
        <v>515437</v>
      </c>
      <c r="G5007" s="1">
        <v>4650070783</v>
      </c>
      <c r="H5007" s="1">
        <v>6</v>
      </c>
      <c r="I5007" s="1" t="s">
        <v>958</v>
      </c>
      <c r="J5007" t="s">
        <v>9713</v>
      </c>
    </row>
    <row r="5008" spans="1:10">
      <c r="A5008" s="1">
        <v>200469</v>
      </c>
      <c r="B5008" s="1">
        <v>4650013271</v>
      </c>
      <c r="C5008" s="1">
        <v>12</v>
      </c>
      <c r="D5008" s="1" t="s">
        <v>9560</v>
      </c>
      <c r="E5008" t="s">
        <v>9674</v>
      </c>
      <c r="F5008" s="1">
        <v>256099</v>
      </c>
      <c r="G5008" s="1">
        <v>4650070784</v>
      </c>
      <c r="H5008" s="1">
        <v>6</v>
      </c>
      <c r="I5008" s="1" t="s">
        <v>958</v>
      </c>
      <c r="J5008" t="s">
        <v>9714</v>
      </c>
    </row>
    <row r="5009" spans="1:10">
      <c r="A5009" s="1">
        <v>326272</v>
      </c>
      <c r="B5009" s="1">
        <v>4650000684</v>
      </c>
      <c r="C5009" s="1">
        <v>6</v>
      </c>
      <c r="D5009" s="1" t="s">
        <v>9675</v>
      </c>
      <c r="E5009" t="s">
        <v>9676</v>
      </c>
      <c r="F5009" s="1">
        <v>591446</v>
      </c>
      <c r="G5009" s="1">
        <v>4650070785</v>
      </c>
      <c r="H5009" s="1">
        <v>6</v>
      </c>
      <c r="I5009" s="1" t="s">
        <v>958</v>
      </c>
      <c r="J5009" t="s">
        <v>9715</v>
      </c>
    </row>
    <row r="5010" spans="1:10">
      <c r="A5010" s="1">
        <v>543744</v>
      </c>
      <c r="B5010" s="1">
        <v>4650070031</v>
      </c>
      <c r="C5010" s="1">
        <v>6</v>
      </c>
      <c r="D5010" s="1" t="s">
        <v>9646</v>
      </c>
      <c r="E5010" t="s">
        <v>9677</v>
      </c>
      <c r="F5010" s="1">
        <v>421313</v>
      </c>
      <c r="G5010" s="1">
        <v>4650014518</v>
      </c>
      <c r="H5010" s="1">
        <v>12</v>
      </c>
      <c r="I5010" s="1" t="s">
        <v>9716</v>
      </c>
      <c r="J5010" t="s">
        <v>9717</v>
      </c>
    </row>
    <row r="5011" spans="1:10">
      <c r="A5011" s="1">
        <v>410241</v>
      </c>
      <c r="B5011" s="1">
        <v>4650070055</v>
      </c>
      <c r="C5011" s="1">
        <v>6</v>
      </c>
      <c r="D5011" s="1" t="s">
        <v>9646</v>
      </c>
      <c r="E5011" t="s">
        <v>9678</v>
      </c>
      <c r="F5011" s="1">
        <v>7500</v>
      </c>
      <c r="G5011" s="1">
        <v>4650022970</v>
      </c>
      <c r="H5011" s="1">
        <v>4</v>
      </c>
      <c r="I5011" s="1" t="s">
        <v>9716</v>
      </c>
      <c r="J5011" t="s">
        <v>9718</v>
      </c>
    </row>
    <row r="5012" spans="1:10">
      <c r="A5012" s="1">
        <v>172155</v>
      </c>
      <c r="B5012" s="1">
        <v>4650070340</v>
      </c>
      <c r="C5012" s="1">
        <v>6</v>
      </c>
      <c r="D5012" s="1" t="s">
        <v>8</v>
      </c>
      <c r="E5012" t="s">
        <v>9679</v>
      </c>
      <c r="F5012" s="1">
        <v>394783</v>
      </c>
      <c r="G5012" s="1">
        <v>4650022969</v>
      </c>
      <c r="H5012" s="1">
        <v>4</v>
      </c>
      <c r="I5012" s="1" t="s">
        <v>9716</v>
      </c>
      <c r="J5012" t="s">
        <v>9719</v>
      </c>
    </row>
    <row r="5013" spans="1:10">
      <c r="A5013" s="1">
        <v>24703</v>
      </c>
      <c r="B5013" s="1">
        <v>4650021749</v>
      </c>
      <c r="C5013" s="1">
        <v>6</v>
      </c>
      <c r="D5013" s="1" t="s">
        <v>9646</v>
      </c>
      <c r="E5013" t="s">
        <v>9680</v>
      </c>
      <c r="F5013" s="1">
        <v>547455</v>
      </c>
      <c r="G5013" s="1">
        <v>4116340775</v>
      </c>
      <c r="H5013" s="1">
        <v>12</v>
      </c>
      <c r="I5013" s="1" t="s">
        <v>397</v>
      </c>
      <c r="J5013" t="s">
        <v>9720</v>
      </c>
    </row>
    <row r="5014" spans="1:10">
      <c r="A5014" s="1">
        <v>543223</v>
      </c>
      <c r="B5014" s="1">
        <v>4650070499</v>
      </c>
      <c r="C5014" s="1">
        <v>6</v>
      </c>
      <c r="D5014" s="1" t="s">
        <v>9646</v>
      </c>
      <c r="E5014" t="s">
        <v>9681</v>
      </c>
      <c r="F5014" s="1">
        <v>333070</v>
      </c>
      <c r="G5014" s="1">
        <v>4116343896</v>
      </c>
      <c r="H5014" s="1">
        <v>12</v>
      </c>
      <c r="I5014" s="1" t="s">
        <v>397</v>
      </c>
      <c r="J5014" t="s">
        <v>9721</v>
      </c>
    </row>
    <row r="5015" spans="1:10">
      <c r="A5015" s="1">
        <v>416370</v>
      </c>
      <c r="B5015" s="1">
        <v>4650070349</v>
      </c>
      <c r="C5015" s="1">
        <v>6</v>
      </c>
      <c r="D5015" s="1" t="s">
        <v>9646</v>
      </c>
      <c r="E5015" t="s">
        <v>9682</v>
      </c>
      <c r="F5015" s="1">
        <v>213413</v>
      </c>
      <c r="G5015" s="1">
        <v>4116343895</v>
      </c>
      <c r="H5015" s="1">
        <v>12</v>
      </c>
      <c r="I5015" s="1" t="s">
        <v>397</v>
      </c>
      <c r="J5015" t="s">
        <v>9722</v>
      </c>
    </row>
    <row r="5016" spans="1:10">
      <c r="A5016" s="1">
        <v>502005</v>
      </c>
      <c r="B5016" s="1">
        <v>4650014384</v>
      </c>
      <c r="C5016" s="1">
        <v>6</v>
      </c>
      <c r="D5016" s="1" t="s">
        <v>9646</v>
      </c>
      <c r="E5016" t="s">
        <v>9683</v>
      </c>
      <c r="F5016" s="1">
        <v>23176</v>
      </c>
      <c r="G5016" s="1">
        <v>4116340777</v>
      </c>
      <c r="H5016" s="1">
        <v>12</v>
      </c>
      <c r="I5016" s="1" t="s">
        <v>397</v>
      </c>
      <c r="J5016" t="s">
        <v>9723</v>
      </c>
    </row>
    <row r="5017" spans="1:10">
      <c r="A5017" s="1">
        <v>318758</v>
      </c>
      <c r="B5017" s="1">
        <v>4650021764</v>
      </c>
      <c r="C5017" s="1">
        <v>6</v>
      </c>
      <c r="D5017" s="1" t="s">
        <v>9646</v>
      </c>
      <c r="E5017" t="s">
        <v>9684</v>
      </c>
      <c r="F5017" s="1">
        <v>205104</v>
      </c>
      <c r="G5017" s="1">
        <v>4116343897</v>
      </c>
      <c r="H5017" s="1">
        <v>6</v>
      </c>
      <c r="I5017" s="1" t="s">
        <v>404</v>
      </c>
      <c r="J5017" t="s">
        <v>9724</v>
      </c>
    </row>
    <row r="5018" spans="1:10">
      <c r="A5018" s="1">
        <v>860098</v>
      </c>
      <c r="B5018" s="1">
        <v>4650070342</v>
      </c>
      <c r="C5018" s="1">
        <v>6</v>
      </c>
      <c r="D5018" s="1" t="s">
        <v>8</v>
      </c>
      <c r="E5018" t="s">
        <v>9685</v>
      </c>
      <c r="F5018" s="1">
        <v>197319</v>
      </c>
      <c r="G5018" s="1">
        <v>4116343899</v>
      </c>
      <c r="H5018" s="1">
        <v>6</v>
      </c>
      <c r="I5018" s="1" t="s">
        <v>404</v>
      </c>
      <c r="J5018" t="s">
        <v>9725</v>
      </c>
    </row>
    <row r="5019" spans="1:10">
      <c r="A5019" s="1">
        <v>176693</v>
      </c>
      <c r="B5019" s="1">
        <v>4650070341</v>
      </c>
      <c r="C5019" s="1">
        <v>4</v>
      </c>
      <c r="D5019" s="1" t="s">
        <v>8</v>
      </c>
      <c r="E5019" t="s">
        <v>9686</v>
      </c>
      <c r="F5019" s="1">
        <v>619841</v>
      </c>
      <c r="G5019" s="1">
        <v>4116343898</v>
      </c>
      <c r="H5019" s="1">
        <v>6</v>
      </c>
      <c r="I5019" s="1" t="s">
        <v>404</v>
      </c>
      <c r="J5019" t="s">
        <v>9726</v>
      </c>
    </row>
    <row r="5020" spans="1:10">
      <c r="A5020" s="1">
        <v>200949</v>
      </c>
      <c r="B5020" s="1">
        <v>4650000696</v>
      </c>
      <c r="C5020" s="1">
        <v>12</v>
      </c>
      <c r="D5020" s="1" t="s">
        <v>9672</v>
      </c>
      <c r="E5020" t="s">
        <v>9687</v>
      </c>
      <c r="F5020" s="1">
        <v>349902</v>
      </c>
      <c r="G5020" s="1">
        <v>4116343892</v>
      </c>
      <c r="H5020" s="1">
        <v>12</v>
      </c>
      <c r="I5020" s="1" t="s">
        <v>9727</v>
      </c>
      <c r="J5020" t="s">
        <v>9728</v>
      </c>
    </row>
    <row r="5021" spans="1:10">
      <c r="A5021" s="1">
        <v>700625</v>
      </c>
      <c r="B5021" s="1">
        <v>4650070269</v>
      </c>
      <c r="C5021" s="1">
        <v>6</v>
      </c>
      <c r="D5021" s="1" t="s">
        <v>9658</v>
      </c>
      <c r="E5021" t="s">
        <v>9688</v>
      </c>
      <c r="F5021" s="1">
        <v>763151</v>
      </c>
      <c r="G5021" s="1">
        <v>4116343894</v>
      </c>
      <c r="H5021" s="1">
        <v>12</v>
      </c>
      <c r="I5021" s="1" t="s">
        <v>9560</v>
      </c>
      <c r="J5021" t="s">
        <v>9729</v>
      </c>
    </row>
    <row r="5022" spans="1:10">
      <c r="A5022" s="1">
        <v>587113</v>
      </c>
      <c r="B5022" s="1">
        <v>4650070268</v>
      </c>
      <c r="C5022" s="1">
        <v>6</v>
      </c>
      <c r="D5022" s="1" t="s">
        <v>9658</v>
      </c>
      <c r="E5022" t="s">
        <v>9689</v>
      </c>
      <c r="F5022" s="1">
        <v>654822</v>
      </c>
      <c r="G5022" s="1">
        <v>4116343893</v>
      </c>
      <c r="H5022" s="1">
        <v>12</v>
      </c>
      <c r="I5022" s="1" t="s">
        <v>9727</v>
      </c>
      <c r="J5022" t="s">
        <v>9730</v>
      </c>
    </row>
    <row r="5023" spans="1:10">
      <c r="A5023" s="1">
        <v>822676</v>
      </c>
      <c r="B5023" s="1">
        <v>4650070479</v>
      </c>
      <c r="C5023" s="1">
        <v>12</v>
      </c>
      <c r="D5023" s="1" t="s">
        <v>9560</v>
      </c>
      <c r="E5023" t="s">
        <v>9690</v>
      </c>
      <c r="F5023" s="1">
        <v>273995</v>
      </c>
      <c r="G5023" s="1">
        <v>4116343891</v>
      </c>
      <c r="H5023" s="1">
        <v>12</v>
      </c>
      <c r="I5023" s="1" t="s">
        <v>9727</v>
      </c>
      <c r="J5023" t="s">
        <v>9731</v>
      </c>
    </row>
    <row r="5024" spans="1:10">
      <c r="A5024" s="1">
        <v>230193</v>
      </c>
      <c r="B5024" s="1">
        <v>4650070220</v>
      </c>
      <c r="C5024" s="1">
        <v>6</v>
      </c>
      <c r="D5024" s="1" t="s">
        <v>9646</v>
      </c>
      <c r="E5024" t="s">
        <v>9691</v>
      </c>
      <c r="F5024" s="1">
        <v>219816</v>
      </c>
      <c r="G5024" s="1">
        <v>1920076938</v>
      </c>
      <c r="H5024" s="1">
        <v>12</v>
      </c>
      <c r="I5024" s="1" t="s">
        <v>489</v>
      </c>
      <c r="J5024" t="s">
        <v>9732</v>
      </c>
    </row>
    <row r="5025" spans="1:10">
      <c r="A5025" s="1">
        <v>202093</v>
      </c>
      <c r="B5025" s="1">
        <v>4650000018</v>
      </c>
      <c r="C5025" s="1">
        <v>12</v>
      </c>
      <c r="D5025" s="1" t="s">
        <v>9560</v>
      </c>
      <c r="E5025" t="s">
        <v>9692</v>
      </c>
      <c r="F5025" s="1">
        <v>802124</v>
      </c>
      <c r="G5025" s="1">
        <v>1920081545</v>
      </c>
      <c r="H5025" s="1">
        <v>12</v>
      </c>
      <c r="I5025" s="1" t="s">
        <v>1369</v>
      </c>
      <c r="J5025" t="s">
        <v>9733</v>
      </c>
    </row>
    <row r="5026" spans="1:10">
      <c r="A5026" s="1">
        <v>200741</v>
      </c>
      <c r="B5026" s="1">
        <v>4650000091</v>
      </c>
      <c r="C5026" s="1">
        <v>12</v>
      </c>
      <c r="D5026" s="1" t="s">
        <v>546</v>
      </c>
      <c r="E5026" t="s">
        <v>9693</v>
      </c>
      <c r="F5026" s="1">
        <v>499558</v>
      </c>
      <c r="G5026" s="1">
        <v>1920080833</v>
      </c>
      <c r="H5026" s="1">
        <v>12</v>
      </c>
      <c r="I5026" s="1" t="s">
        <v>742</v>
      </c>
      <c r="J5026" t="s">
        <v>9734</v>
      </c>
    </row>
    <row r="5027" spans="1:10">
      <c r="A5027" s="1">
        <v>200295</v>
      </c>
      <c r="B5027" s="1">
        <v>4650000082</v>
      </c>
      <c r="C5027" s="1">
        <v>12</v>
      </c>
      <c r="D5027" s="1" t="s">
        <v>546</v>
      </c>
      <c r="E5027" t="s">
        <v>9694</v>
      </c>
      <c r="F5027" s="1">
        <v>201137</v>
      </c>
      <c r="G5027" s="1">
        <v>1920002845</v>
      </c>
      <c r="H5027" s="1">
        <v>12</v>
      </c>
      <c r="I5027" s="1" t="s">
        <v>742</v>
      </c>
      <c r="J5027" t="s">
        <v>9735</v>
      </c>
    </row>
    <row r="5028" spans="1:10">
      <c r="A5028" s="1">
        <v>249870</v>
      </c>
      <c r="B5028" s="1">
        <v>4650070655</v>
      </c>
      <c r="C5028" s="1">
        <v>12</v>
      </c>
      <c r="D5028" s="1" t="s">
        <v>9672</v>
      </c>
      <c r="E5028" t="s">
        <v>9695</v>
      </c>
      <c r="F5028" s="1">
        <v>218636</v>
      </c>
      <c r="G5028" s="1">
        <v>1920002922</v>
      </c>
      <c r="H5028" s="1">
        <v>12</v>
      </c>
      <c r="I5028" s="1" t="s">
        <v>742</v>
      </c>
      <c r="J5028" t="s">
        <v>9736</v>
      </c>
    </row>
    <row r="5029" spans="1:10">
      <c r="A5029" s="1">
        <v>202085</v>
      </c>
      <c r="B5029" s="1">
        <v>4650000016</v>
      </c>
      <c r="C5029" s="1">
        <v>12</v>
      </c>
      <c r="D5029" s="1" t="s">
        <v>9560</v>
      </c>
      <c r="E5029" t="s">
        <v>9696</v>
      </c>
      <c r="F5029" s="1">
        <v>361725</v>
      </c>
      <c r="G5029" s="1">
        <v>1920080881</v>
      </c>
      <c r="H5029" s="1">
        <v>6</v>
      </c>
      <c r="I5029" s="1" t="s">
        <v>9571</v>
      </c>
      <c r="J5029" t="s">
        <v>9737</v>
      </c>
    </row>
    <row r="5030" spans="1:10">
      <c r="A5030" s="1">
        <v>709899</v>
      </c>
      <c r="B5030" s="1">
        <v>4650015393</v>
      </c>
      <c r="C5030" s="1">
        <v>12</v>
      </c>
      <c r="D5030" s="1" t="s">
        <v>9672</v>
      </c>
      <c r="E5030" t="s">
        <v>9697</v>
      </c>
      <c r="F5030" s="1">
        <v>218446</v>
      </c>
      <c r="G5030" s="1">
        <v>1920002032</v>
      </c>
      <c r="H5030" s="1">
        <v>12</v>
      </c>
      <c r="I5030" s="1" t="s">
        <v>742</v>
      </c>
      <c r="J5030" t="s">
        <v>9738</v>
      </c>
    </row>
    <row r="5031" spans="1:10">
      <c r="A5031" s="1">
        <v>325704</v>
      </c>
      <c r="B5031" s="1">
        <v>4650088351</v>
      </c>
      <c r="C5031" s="1">
        <v>12</v>
      </c>
      <c r="D5031" s="1" t="s">
        <v>7213</v>
      </c>
      <c r="E5031" t="s">
        <v>9698</v>
      </c>
      <c r="F5031" s="1">
        <v>217786</v>
      </c>
      <c r="G5031" s="1">
        <v>1920074186</v>
      </c>
      <c r="H5031" s="1">
        <v>12</v>
      </c>
      <c r="I5031" s="1" t="s">
        <v>742</v>
      </c>
      <c r="J5031" t="s">
        <v>9739</v>
      </c>
    </row>
    <row r="5032" spans="1:10">
      <c r="A5032" s="1">
        <v>862821</v>
      </c>
      <c r="B5032" s="1">
        <v>4650070485</v>
      </c>
      <c r="C5032" s="1">
        <v>12</v>
      </c>
      <c r="D5032" s="1" t="s">
        <v>9560</v>
      </c>
      <c r="E5032" t="s">
        <v>9699</v>
      </c>
      <c r="F5032" s="1">
        <v>201129</v>
      </c>
      <c r="G5032" s="1">
        <v>1920002291</v>
      </c>
      <c r="H5032" s="1">
        <v>12</v>
      </c>
      <c r="I5032" s="1" t="s">
        <v>742</v>
      </c>
      <c r="J5032" t="s">
        <v>9740</v>
      </c>
    </row>
    <row r="5033" spans="1:10">
      <c r="A5033" s="1">
        <v>750224</v>
      </c>
      <c r="B5033" s="1">
        <v>4650061552</v>
      </c>
      <c r="C5033" s="1">
        <v>9</v>
      </c>
      <c r="D5033" s="1" t="s">
        <v>17</v>
      </c>
      <c r="E5033" t="s">
        <v>9700</v>
      </c>
      <c r="F5033" s="1">
        <v>536276</v>
      </c>
      <c r="G5033" s="1">
        <v>1920081344</v>
      </c>
      <c r="H5033" s="1">
        <v>6</v>
      </c>
      <c r="I5033" s="1" t="s">
        <v>9571</v>
      </c>
      <c r="J5033" t="s">
        <v>9741</v>
      </c>
    </row>
    <row r="5034" spans="1:10">
      <c r="A5034" s="1">
        <v>156034</v>
      </c>
      <c r="B5034" s="1">
        <v>4650070532</v>
      </c>
      <c r="C5034" s="1">
        <v>6</v>
      </c>
      <c r="D5034" s="1" t="s">
        <v>6956</v>
      </c>
      <c r="E5034" t="s">
        <v>9701</v>
      </c>
      <c r="F5034" s="1">
        <v>306464</v>
      </c>
      <c r="G5034" s="1">
        <v>1920079830</v>
      </c>
      <c r="H5034" s="1">
        <v>4</v>
      </c>
      <c r="I5034" s="1" t="s">
        <v>9571</v>
      </c>
      <c r="J5034" t="s">
        <v>9742</v>
      </c>
    </row>
    <row r="5035" spans="1:10">
      <c r="A5035" s="1">
        <v>21188</v>
      </c>
      <c r="B5035" s="1">
        <v>4650070541</v>
      </c>
      <c r="C5035" s="1">
        <v>10</v>
      </c>
      <c r="D5035" s="1" t="s">
        <v>6956</v>
      </c>
      <c r="E5035" t="s">
        <v>9702</v>
      </c>
      <c r="F5035" s="1">
        <v>156299</v>
      </c>
      <c r="G5035" s="1">
        <v>1920079831</v>
      </c>
      <c r="H5035" s="1">
        <v>6</v>
      </c>
      <c r="I5035" s="1" t="s">
        <v>9571</v>
      </c>
      <c r="J5035" t="s">
        <v>9743</v>
      </c>
    </row>
    <row r="5036" spans="1:10">
      <c r="A5036" s="1">
        <v>493940</v>
      </c>
      <c r="B5036" s="1">
        <v>4650070540</v>
      </c>
      <c r="C5036" s="1">
        <v>10</v>
      </c>
      <c r="D5036" s="1" t="s">
        <v>6956</v>
      </c>
      <c r="E5036" t="s">
        <v>9703</v>
      </c>
      <c r="F5036" s="1">
        <v>776153</v>
      </c>
      <c r="G5036" s="1">
        <v>4650016763</v>
      </c>
      <c r="H5036" s="1">
        <v>12</v>
      </c>
      <c r="I5036" s="1" t="s">
        <v>489</v>
      </c>
      <c r="J5036" t="s">
        <v>9744</v>
      </c>
    </row>
    <row r="5037" spans="1:10">
      <c r="A5037" s="1">
        <v>669960</v>
      </c>
      <c r="B5037" s="1">
        <v>4650070542</v>
      </c>
      <c r="C5037" s="1">
        <v>10</v>
      </c>
      <c r="D5037" s="1" t="s">
        <v>6956</v>
      </c>
      <c r="E5037" t="s">
        <v>9704</v>
      </c>
      <c r="F5037" s="1">
        <v>201251</v>
      </c>
      <c r="G5037" s="1">
        <v>4650002868</v>
      </c>
      <c r="H5037" s="1">
        <v>12</v>
      </c>
      <c r="I5037" s="1" t="s">
        <v>489</v>
      </c>
      <c r="J5037" t="s">
        <v>9745</v>
      </c>
    </row>
    <row r="5038" spans="1:10">
      <c r="A5038" s="1">
        <v>326769</v>
      </c>
      <c r="B5038" s="1">
        <v>4650061426</v>
      </c>
      <c r="C5038" s="1">
        <v>9</v>
      </c>
      <c r="D5038" s="1" t="s">
        <v>17</v>
      </c>
      <c r="E5038" t="s">
        <v>9705</v>
      </c>
      <c r="F5038" s="1">
        <v>201541</v>
      </c>
      <c r="G5038" s="1">
        <v>4650002865</v>
      </c>
      <c r="H5038" s="1">
        <v>12</v>
      </c>
      <c r="I5038" s="1" t="s">
        <v>489</v>
      </c>
      <c r="J5038" t="s">
        <v>9746</v>
      </c>
    </row>
    <row r="5039" spans="1:10">
      <c r="A5039" s="1">
        <v>326686</v>
      </c>
      <c r="B5039" s="1">
        <v>4650061427</v>
      </c>
      <c r="C5039" s="1">
        <v>9</v>
      </c>
      <c r="D5039" s="1" t="s">
        <v>17</v>
      </c>
      <c r="E5039" t="s">
        <v>9706</v>
      </c>
      <c r="F5039" s="1">
        <v>490441</v>
      </c>
      <c r="G5039" s="1">
        <v>4650017899</v>
      </c>
      <c r="H5039" s="1">
        <v>12</v>
      </c>
      <c r="I5039" s="1" t="s">
        <v>347</v>
      </c>
      <c r="J5039" t="s">
        <v>9747</v>
      </c>
    </row>
    <row r="5040" spans="1:10">
      <c r="A5040" s="1">
        <v>520445</v>
      </c>
      <c r="B5040" s="1">
        <v>4650070619</v>
      </c>
      <c r="C5040" s="1">
        <v>9</v>
      </c>
      <c r="D5040" s="1" t="s">
        <v>17</v>
      </c>
      <c r="E5040" t="s">
        <v>9707</v>
      </c>
      <c r="F5040" s="1">
        <v>329987</v>
      </c>
      <c r="G5040" s="1">
        <v>4650017905</v>
      </c>
      <c r="H5040" s="1">
        <v>12</v>
      </c>
      <c r="I5040" s="1" t="s">
        <v>347</v>
      </c>
      <c r="J5040" t="s">
        <v>9748</v>
      </c>
    </row>
    <row r="5041" spans="1:10">
      <c r="A5041" s="1">
        <v>588178</v>
      </c>
      <c r="B5041" s="1">
        <v>4650070281</v>
      </c>
      <c r="C5041" s="1">
        <v>6</v>
      </c>
      <c r="D5041" s="1" t="s">
        <v>7435</v>
      </c>
      <c r="E5041" t="s">
        <v>9708</v>
      </c>
      <c r="F5041" s="1">
        <v>571661</v>
      </c>
      <c r="G5041" s="1">
        <v>4650023319</v>
      </c>
      <c r="H5041" s="1">
        <v>9</v>
      </c>
      <c r="I5041" s="1" t="s">
        <v>17</v>
      </c>
      <c r="J5041" t="s">
        <v>9749</v>
      </c>
    </row>
    <row r="5042" spans="1:10">
      <c r="A5042" s="1">
        <v>891911</v>
      </c>
      <c r="B5042" s="1">
        <v>4650061847</v>
      </c>
      <c r="C5042" s="1">
        <v>9</v>
      </c>
      <c r="D5042" s="1" t="s">
        <v>17</v>
      </c>
      <c r="E5042" t="s">
        <v>9709</v>
      </c>
      <c r="F5042" s="1">
        <v>200675</v>
      </c>
      <c r="G5042" s="1">
        <v>1980003674</v>
      </c>
      <c r="H5042" s="1">
        <v>12</v>
      </c>
      <c r="I5042" s="1" t="s">
        <v>358</v>
      </c>
      <c r="J5042" t="s">
        <v>9750</v>
      </c>
    </row>
    <row r="5043" spans="1:10">
      <c r="A5043" s="1">
        <v>262634</v>
      </c>
      <c r="B5043" s="1">
        <v>4650070282</v>
      </c>
      <c r="C5043" s="1">
        <v>9</v>
      </c>
      <c r="D5043" s="1" t="s">
        <v>7465</v>
      </c>
      <c r="E5043" t="s">
        <v>9710</v>
      </c>
      <c r="F5043" s="1">
        <v>200667</v>
      </c>
      <c r="G5043" s="1">
        <v>2340035001</v>
      </c>
      <c r="H5043" s="1">
        <v>12</v>
      </c>
      <c r="I5043" s="1" t="s">
        <v>358</v>
      </c>
      <c r="J5043" t="s">
        <v>9751</v>
      </c>
    </row>
    <row r="5044" spans="1:10" ht="15.75">
      <c r="A5044" s="4" t="s">
        <v>10837</v>
      </c>
      <c r="B5044" s="2"/>
      <c r="C5044" s="2"/>
      <c r="D5044" s="2"/>
      <c r="E5044" s="3"/>
      <c r="F5044" s="4" t="s">
        <v>10840</v>
      </c>
      <c r="G5044" s="2"/>
      <c r="H5044" s="2"/>
      <c r="I5044" s="2"/>
      <c r="J5044" s="3"/>
    </row>
    <row r="5045" spans="1:10">
      <c r="A5045" s="2" t="s">
        <v>0</v>
      </c>
      <c r="B5045" s="2" t="s">
        <v>1</v>
      </c>
      <c r="C5045" s="2" t="s">
        <v>2</v>
      </c>
      <c r="D5045" s="2" t="s">
        <v>3</v>
      </c>
      <c r="E5045" s="3" t="s">
        <v>4</v>
      </c>
      <c r="F5045" s="2" t="s">
        <v>0</v>
      </c>
      <c r="G5045" s="2" t="s">
        <v>1</v>
      </c>
      <c r="H5045" s="2" t="s">
        <v>2</v>
      </c>
      <c r="I5045" s="2" t="s">
        <v>3</v>
      </c>
      <c r="J5045" s="3" t="s">
        <v>4</v>
      </c>
    </row>
    <row r="5046" spans="1:10">
      <c r="A5046" s="1">
        <v>200550</v>
      </c>
      <c r="B5046" s="1">
        <v>1980003661</v>
      </c>
      <c r="C5046" s="1">
        <v>12</v>
      </c>
      <c r="D5046" s="1" t="s">
        <v>358</v>
      </c>
      <c r="E5046" t="s">
        <v>9752</v>
      </c>
      <c r="F5046" s="1">
        <v>241968</v>
      </c>
      <c r="G5046" s="1">
        <v>1258760034</v>
      </c>
      <c r="H5046" s="1">
        <v>4</v>
      </c>
      <c r="I5046" s="1" t="s">
        <v>1207</v>
      </c>
      <c r="J5046" t="s">
        <v>9786</v>
      </c>
    </row>
    <row r="5047" spans="1:10">
      <c r="A5047" s="1">
        <v>200030</v>
      </c>
      <c r="B5047" s="1">
        <v>2340035000</v>
      </c>
      <c r="C5047" s="1">
        <v>12</v>
      </c>
      <c r="D5047" s="1" t="s">
        <v>358</v>
      </c>
      <c r="E5047" t="s">
        <v>9753</v>
      </c>
      <c r="F5047" s="1">
        <v>42648</v>
      </c>
      <c r="G5047" s="1">
        <v>1258770067</v>
      </c>
      <c r="H5047" s="1">
        <v>4</v>
      </c>
      <c r="I5047" s="1" t="s">
        <v>1203</v>
      </c>
      <c r="J5047" t="s">
        <v>9787</v>
      </c>
    </row>
    <row r="5048" spans="1:10">
      <c r="A5048" s="1">
        <v>543033</v>
      </c>
      <c r="B5048" s="1">
        <v>1980003663</v>
      </c>
      <c r="C5048" s="1">
        <v>12</v>
      </c>
      <c r="D5048" s="1" t="s">
        <v>358</v>
      </c>
      <c r="E5048" t="s">
        <v>9754</v>
      </c>
      <c r="F5048" s="1">
        <v>241885</v>
      </c>
      <c r="G5048" s="1">
        <v>1258700150</v>
      </c>
      <c r="H5048" s="1">
        <v>12</v>
      </c>
      <c r="I5048" s="1" t="s">
        <v>1206</v>
      </c>
      <c r="J5048" t="s">
        <v>9788</v>
      </c>
    </row>
    <row r="5049" spans="1:10">
      <c r="A5049" s="1">
        <v>200709</v>
      </c>
      <c r="B5049" s="1">
        <v>1980003659</v>
      </c>
      <c r="C5049" s="1">
        <v>12</v>
      </c>
      <c r="D5049" s="1" t="s">
        <v>358</v>
      </c>
      <c r="E5049" t="s">
        <v>9755</v>
      </c>
      <c r="F5049" s="1">
        <v>242024</v>
      </c>
      <c r="G5049" s="1">
        <v>1258700070</v>
      </c>
      <c r="H5049" s="1">
        <v>12</v>
      </c>
      <c r="I5049" s="1" t="s">
        <v>68</v>
      </c>
      <c r="J5049" t="s">
        <v>9789</v>
      </c>
    </row>
    <row r="5050" spans="1:10">
      <c r="A5050" s="1">
        <v>342436</v>
      </c>
      <c r="B5050" s="1">
        <v>2340000062</v>
      </c>
      <c r="C5050" s="1">
        <v>12</v>
      </c>
      <c r="D5050" s="1" t="s">
        <v>773</v>
      </c>
      <c r="E5050" t="s">
        <v>9756</v>
      </c>
      <c r="F5050" s="1">
        <v>242933</v>
      </c>
      <c r="G5050" s="1">
        <v>1258700080</v>
      </c>
      <c r="H5050" s="1">
        <v>12</v>
      </c>
      <c r="I5050" s="1" t="s">
        <v>10</v>
      </c>
      <c r="J5050" t="s">
        <v>9790</v>
      </c>
    </row>
    <row r="5051" spans="1:10">
      <c r="A5051" s="1">
        <v>882514</v>
      </c>
      <c r="B5051" s="1">
        <v>2340036065</v>
      </c>
      <c r="C5051" s="1">
        <v>8</v>
      </c>
      <c r="D5051" s="1" t="s">
        <v>475</v>
      </c>
      <c r="E5051" t="s">
        <v>9757</v>
      </c>
      <c r="F5051" s="1">
        <v>243618</v>
      </c>
      <c r="G5051" s="1">
        <v>1258770027</v>
      </c>
      <c r="H5051" s="1">
        <v>12</v>
      </c>
      <c r="I5051" s="1" t="s">
        <v>9791</v>
      </c>
      <c r="J5051" t="s">
        <v>9792</v>
      </c>
    </row>
    <row r="5052" spans="1:10">
      <c r="A5052" s="1">
        <v>493445</v>
      </c>
      <c r="B5052" s="1">
        <v>2340036043</v>
      </c>
      <c r="C5052" s="1">
        <v>6</v>
      </c>
      <c r="D5052" s="1" t="s">
        <v>1196</v>
      </c>
      <c r="E5052" t="s">
        <v>9758</v>
      </c>
      <c r="F5052" s="1">
        <v>506337</v>
      </c>
      <c r="G5052" s="1">
        <v>1258770037</v>
      </c>
      <c r="H5052" s="1">
        <v>12</v>
      </c>
      <c r="I5052" s="1" t="s">
        <v>6</v>
      </c>
      <c r="J5052" t="s">
        <v>9793</v>
      </c>
    </row>
    <row r="5053" spans="1:10">
      <c r="A5053" s="1">
        <v>88153</v>
      </c>
      <c r="B5053" s="1">
        <v>2340035449</v>
      </c>
      <c r="C5053" s="1">
        <v>12</v>
      </c>
      <c r="D5053" s="1" t="s">
        <v>358</v>
      </c>
      <c r="E5053" t="s">
        <v>9759</v>
      </c>
      <c r="F5053" s="1">
        <v>246645</v>
      </c>
      <c r="G5053" s="1">
        <v>1258770033</v>
      </c>
      <c r="H5053" s="1">
        <v>12</v>
      </c>
      <c r="I5053" s="1" t="s">
        <v>1217</v>
      </c>
      <c r="J5053" t="s">
        <v>9794</v>
      </c>
    </row>
    <row r="5054" spans="1:10">
      <c r="A5054" s="1">
        <v>202119</v>
      </c>
      <c r="B5054" s="1">
        <v>1980003683</v>
      </c>
      <c r="C5054" s="1">
        <v>12</v>
      </c>
      <c r="D5054" s="1" t="s">
        <v>358</v>
      </c>
      <c r="E5054" t="s">
        <v>9760</v>
      </c>
      <c r="F5054" s="1">
        <v>250506</v>
      </c>
      <c r="G5054" s="1">
        <v>1258770022</v>
      </c>
      <c r="H5054" s="1">
        <v>12</v>
      </c>
      <c r="I5054" s="1" t="s">
        <v>68</v>
      </c>
      <c r="J5054" t="s">
        <v>9795</v>
      </c>
    </row>
    <row r="5055" spans="1:10">
      <c r="A5055" s="1">
        <v>205443</v>
      </c>
      <c r="B5055" s="1">
        <v>6233805762</v>
      </c>
      <c r="C5055" s="1">
        <v>12</v>
      </c>
      <c r="D5055" s="1" t="s">
        <v>399</v>
      </c>
      <c r="E5055" t="s">
        <v>9761</v>
      </c>
      <c r="F5055" s="1">
        <v>241000</v>
      </c>
      <c r="G5055" s="1">
        <v>1258760933</v>
      </c>
      <c r="H5055" s="1">
        <v>4</v>
      </c>
      <c r="I5055" s="1" t="s">
        <v>9314</v>
      </c>
      <c r="J5055" t="s">
        <v>9796</v>
      </c>
    </row>
    <row r="5056" spans="1:10">
      <c r="A5056" s="1">
        <v>201244</v>
      </c>
      <c r="B5056" s="1">
        <v>6233874164</v>
      </c>
      <c r="C5056" s="1">
        <v>12</v>
      </c>
      <c r="D5056" s="1" t="s">
        <v>399</v>
      </c>
      <c r="E5056" t="s">
        <v>9762</v>
      </c>
      <c r="F5056" s="1">
        <v>242750</v>
      </c>
      <c r="G5056" s="1">
        <v>1258770226</v>
      </c>
      <c r="H5056" s="1">
        <v>4</v>
      </c>
      <c r="I5056" s="1" t="s">
        <v>1209</v>
      </c>
      <c r="J5056" t="s">
        <v>9797</v>
      </c>
    </row>
    <row r="5057" spans="1:10" ht="15.75">
      <c r="A5057" s="4" t="s">
        <v>10838</v>
      </c>
      <c r="B5057" s="2"/>
      <c r="C5057" s="2"/>
      <c r="D5057" s="2"/>
      <c r="E5057" s="3"/>
      <c r="F5057" s="1">
        <v>449371</v>
      </c>
      <c r="G5057" s="1">
        <v>1258760042</v>
      </c>
      <c r="H5057" s="1">
        <v>4</v>
      </c>
      <c r="I5057" s="1" t="s">
        <v>1203</v>
      </c>
      <c r="J5057" t="s">
        <v>9798</v>
      </c>
    </row>
    <row r="5058" spans="1:10">
      <c r="A5058" s="2" t="s">
        <v>0</v>
      </c>
      <c r="B5058" s="2" t="s">
        <v>1</v>
      </c>
      <c r="C5058" s="2" t="s">
        <v>2</v>
      </c>
      <c r="D5058" s="2" t="s">
        <v>3</v>
      </c>
      <c r="E5058" s="3" t="s">
        <v>4</v>
      </c>
      <c r="F5058" s="1">
        <v>235960</v>
      </c>
      <c r="G5058" s="1">
        <v>1258770321</v>
      </c>
      <c r="H5058" s="1">
        <v>12</v>
      </c>
      <c r="I5058" s="1" t="s">
        <v>263</v>
      </c>
      <c r="J5058" t="s">
        <v>9799</v>
      </c>
    </row>
    <row r="5059" spans="1:10">
      <c r="A5059" s="1">
        <v>227033</v>
      </c>
      <c r="B5059" s="1">
        <v>6233881840</v>
      </c>
      <c r="C5059" s="1">
        <v>8</v>
      </c>
      <c r="D5059" s="1" t="s">
        <v>9560</v>
      </c>
      <c r="E5059" t="s">
        <v>9763</v>
      </c>
      <c r="F5059" s="1">
        <v>235978</v>
      </c>
      <c r="G5059" s="1">
        <v>1258770320</v>
      </c>
      <c r="H5059" s="1">
        <v>6</v>
      </c>
      <c r="I5059" s="1" t="s">
        <v>1204</v>
      </c>
      <c r="J5059" t="s">
        <v>9799</v>
      </c>
    </row>
    <row r="5060" spans="1:10">
      <c r="A5060" s="1">
        <v>580316</v>
      </c>
      <c r="B5060" s="1">
        <v>6233881839</v>
      </c>
      <c r="C5060" s="1">
        <v>8</v>
      </c>
      <c r="D5060" s="1" t="s">
        <v>9560</v>
      </c>
      <c r="E5060" t="s">
        <v>9764</v>
      </c>
      <c r="F5060" s="1">
        <v>763094</v>
      </c>
      <c r="G5060" s="1">
        <v>1258770352</v>
      </c>
      <c r="H5060" s="1">
        <v>6</v>
      </c>
      <c r="I5060" s="1" t="s">
        <v>68</v>
      </c>
      <c r="J5060" t="s">
        <v>9800</v>
      </c>
    </row>
    <row r="5061" spans="1:10">
      <c r="A5061" s="1">
        <v>330670</v>
      </c>
      <c r="B5061" s="1">
        <v>3320011448</v>
      </c>
      <c r="C5061" s="1">
        <v>9</v>
      </c>
      <c r="D5061" s="1" t="s">
        <v>469</v>
      </c>
      <c r="E5061" t="s">
        <v>9765</v>
      </c>
      <c r="F5061" s="1">
        <v>867473</v>
      </c>
      <c r="G5061" s="1">
        <v>1258770350</v>
      </c>
      <c r="H5061" s="1">
        <v>6</v>
      </c>
      <c r="I5061" s="1" t="s">
        <v>13</v>
      </c>
      <c r="J5061" t="s">
        <v>9801</v>
      </c>
    </row>
    <row r="5062" spans="1:10">
      <c r="A5062" s="1">
        <v>220335</v>
      </c>
      <c r="B5062" s="1">
        <v>4173727900</v>
      </c>
      <c r="C5062" s="1">
        <v>12</v>
      </c>
      <c r="D5062" s="1" t="s">
        <v>259</v>
      </c>
      <c r="E5062" t="s">
        <v>9766</v>
      </c>
      <c r="F5062" s="1">
        <v>306522</v>
      </c>
      <c r="G5062" s="1">
        <v>1258770403</v>
      </c>
      <c r="H5062" s="1">
        <v>12</v>
      </c>
      <c r="I5062" s="1" t="s">
        <v>1209</v>
      </c>
      <c r="J5062" t="s">
        <v>9802</v>
      </c>
    </row>
    <row r="5063" spans="1:10">
      <c r="A5063" s="1">
        <v>229070</v>
      </c>
      <c r="B5063" s="1">
        <v>4173728001</v>
      </c>
      <c r="C5063" s="1">
        <v>12</v>
      </c>
      <c r="D5063" s="1" t="s">
        <v>370</v>
      </c>
      <c r="E5063" t="s">
        <v>9767</v>
      </c>
      <c r="F5063" s="1">
        <v>244053</v>
      </c>
      <c r="G5063" s="1">
        <v>1258770419</v>
      </c>
      <c r="H5063" s="1">
        <v>12</v>
      </c>
      <c r="I5063" s="1" t="s">
        <v>225</v>
      </c>
      <c r="J5063" t="s">
        <v>9803</v>
      </c>
    </row>
    <row r="5064" spans="1:10">
      <c r="A5064" s="1">
        <v>229054</v>
      </c>
      <c r="B5064" s="1">
        <v>4173728003</v>
      </c>
      <c r="C5064" s="1">
        <v>12</v>
      </c>
      <c r="D5064" s="1" t="s">
        <v>370</v>
      </c>
      <c r="E5064" t="s">
        <v>9768</v>
      </c>
      <c r="F5064" s="1">
        <v>244673</v>
      </c>
      <c r="G5064" s="1">
        <v>1258770359</v>
      </c>
      <c r="H5064" s="1">
        <v>6</v>
      </c>
      <c r="I5064" s="1" t="s">
        <v>9</v>
      </c>
      <c r="J5064" t="s">
        <v>9803</v>
      </c>
    </row>
    <row r="5065" spans="1:10">
      <c r="A5065" s="1">
        <v>229237</v>
      </c>
      <c r="B5065" s="1">
        <v>4173728002</v>
      </c>
      <c r="C5065" s="1">
        <v>12</v>
      </c>
      <c r="D5065" s="1" t="s">
        <v>370</v>
      </c>
      <c r="E5065" t="s">
        <v>9769</v>
      </c>
      <c r="F5065" s="1">
        <v>244483</v>
      </c>
      <c r="G5065" s="1">
        <v>1258770353</v>
      </c>
      <c r="H5065" s="1">
        <v>12</v>
      </c>
      <c r="I5065" s="1" t="s">
        <v>13</v>
      </c>
      <c r="J5065" t="s">
        <v>9804</v>
      </c>
    </row>
    <row r="5066" spans="1:10">
      <c r="A5066" s="1">
        <v>220368</v>
      </c>
      <c r="B5066" s="1">
        <v>4173727600</v>
      </c>
      <c r="C5066" s="1">
        <v>12</v>
      </c>
      <c r="D5066" s="1" t="s">
        <v>259</v>
      </c>
      <c r="E5066" t="s">
        <v>9770</v>
      </c>
      <c r="F5066" s="1">
        <v>244046</v>
      </c>
      <c r="G5066" s="1">
        <v>1258770355</v>
      </c>
      <c r="H5066" s="1">
        <v>6</v>
      </c>
      <c r="I5066" s="1" t="s">
        <v>9805</v>
      </c>
      <c r="J5066" t="s">
        <v>9804</v>
      </c>
    </row>
    <row r="5067" spans="1:10">
      <c r="A5067" s="1">
        <v>201202</v>
      </c>
      <c r="B5067" s="1">
        <v>4173727800</v>
      </c>
      <c r="C5067" s="1">
        <v>12</v>
      </c>
      <c r="D5067" s="1" t="s">
        <v>259</v>
      </c>
      <c r="E5067" t="s">
        <v>9771</v>
      </c>
      <c r="F5067" s="1">
        <v>711093</v>
      </c>
      <c r="G5067" s="1">
        <v>1258778054</v>
      </c>
      <c r="H5067" s="1">
        <v>6</v>
      </c>
      <c r="I5067" s="1" t="s">
        <v>9314</v>
      </c>
      <c r="J5067" t="s">
        <v>9806</v>
      </c>
    </row>
    <row r="5068" spans="1:10">
      <c r="A5068" s="1">
        <v>754853</v>
      </c>
      <c r="B5068" s="1">
        <v>4650016669</v>
      </c>
      <c r="C5068" s="1">
        <v>6</v>
      </c>
      <c r="D5068" s="1" t="s">
        <v>375</v>
      </c>
      <c r="E5068" t="s">
        <v>9772</v>
      </c>
      <c r="F5068" s="1">
        <v>711085</v>
      </c>
      <c r="G5068" s="1">
        <v>1258778052</v>
      </c>
      <c r="H5068" s="1">
        <v>12</v>
      </c>
      <c r="I5068" s="1" t="s">
        <v>68</v>
      </c>
      <c r="J5068" t="s">
        <v>9807</v>
      </c>
    </row>
    <row r="5069" spans="1:10">
      <c r="A5069" s="1">
        <v>262345</v>
      </c>
      <c r="B5069" s="1">
        <v>4650015474</v>
      </c>
      <c r="C5069" s="1">
        <v>6</v>
      </c>
      <c r="D5069" s="1" t="s">
        <v>375</v>
      </c>
      <c r="E5069" t="s">
        <v>9773</v>
      </c>
      <c r="F5069" s="1">
        <v>711051</v>
      </c>
      <c r="G5069" s="1">
        <v>1258778049</v>
      </c>
      <c r="H5069" s="1">
        <v>6</v>
      </c>
      <c r="I5069" s="1" t="s">
        <v>9808</v>
      </c>
      <c r="J5069" t="s">
        <v>9809</v>
      </c>
    </row>
    <row r="5070" spans="1:10">
      <c r="A5070" s="1">
        <v>366229</v>
      </c>
      <c r="B5070" s="1">
        <v>4650015476</v>
      </c>
      <c r="C5070" s="1">
        <v>6</v>
      </c>
      <c r="D5070" s="1" t="s">
        <v>375</v>
      </c>
      <c r="E5070" t="s">
        <v>9774</v>
      </c>
      <c r="F5070" s="1">
        <v>153049</v>
      </c>
      <c r="G5070" s="1">
        <v>1258760764</v>
      </c>
      <c r="H5070" s="1">
        <v>4</v>
      </c>
      <c r="I5070" s="1" t="s">
        <v>1219</v>
      </c>
      <c r="J5070" t="s">
        <v>9810</v>
      </c>
    </row>
    <row r="5071" spans="1:10">
      <c r="A5071" s="1">
        <v>353102</v>
      </c>
      <c r="B5071" s="1">
        <v>4650070476</v>
      </c>
      <c r="C5071" s="1">
        <v>8</v>
      </c>
      <c r="D5071" s="1" t="s">
        <v>1198</v>
      </c>
      <c r="E5071" t="s">
        <v>9775</v>
      </c>
      <c r="F5071" s="1">
        <v>243527</v>
      </c>
      <c r="G5071" s="1">
        <v>1258770034</v>
      </c>
      <c r="H5071" s="1">
        <v>12</v>
      </c>
      <c r="I5071" s="1" t="s">
        <v>47</v>
      </c>
      <c r="J5071" t="s">
        <v>9811</v>
      </c>
    </row>
    <row r="5072" spans="1:10">
      <c r="A5072" s="1">
        <v>436485</v>
      </c>
      <c r="B5072" s="1">
        <v>4650070478</v>
      </c>
      <c r="C5072" s="1">
        <v>8</v>
      </c>
      <c r="D5072" s="1" t="s">
        <v>1198</v>
      </c>
      <c r="E5072" t="s">
        <v>9776</v>
      </c>
      <c r="F5072" s="1">
        <v>244384</v>
      </c>
      <c r="G5072" s="1">
        <v>1258770036</v>
      </c>
      <c r="H5072" s="1">
        <v>9</v>
      </c>
      <c r="I5072" s="1" t="s">
        <v>1209</v>
      </c>
      <c r="J5072" t="s">
        <v>9811</v>
      </c>
    </row>
    <row r="5073" spans="1:10">
      <c r="A5073" s="1">
        <v>464610</v>
      </c>
      <c r="B5073" s="1">
        <v>4650070477</v>
      </c>
      <c r="C5073" s="1">
        <v>8</v>
      </c>
      <c r="D5073" s="1" t="s">
        <v>1198</v>
      </c>
      <c r="E5073" t="s">
        <v>9777</v>
      </c>
      <c r="F5073" s="1">
        <v>241992</v>
      </c>
      <c r="G5073" s="1">
        <v>1258770048</v>
      </c>
      <c r="H5073" s="1">
        <v>12</v>
      </c>
      <c r="I5073" s="1" t="s">
        <v>13</v>
      </c>
      <c r="J5073" t="s">
        <v>9812</v>
      </c>
    </row>
    <row r="5074" spans="1:10">
      <c r="A5074" s="1">
        <v>194670</v>
      </c>
      <c r="B5074" s="1">
        <v>4650070475</v>
      </c>
      <c r="C5074" s="1">
        <v>8</v>
      </c>
      <c r="D5074" s="1" t="s">
        <v>1198</v>
      </c>
      <c r="E5074" t="s">
        <v>9778</v>
      </c>
      <c r="F5074" s="1">
        <v>243816</v>
      </c>
      <c r="G5074" s="1">
        <v>1258760035</v>
      </c>
      <c r="H5074" s="1">
        <v>4</v>
      </c>
      <c r="I5074" s="1" t="s">
        <v>1203</v>
      </c>
      <c r="J5074" t="s">
        <v>9813</v>
      </c>
    </row>
    <row r="5075" spans="1:10">
      <c r="A5075" s="1">
        <v>554337</v>
      </c>
      <c r="B5075" s="1">
        <v>4650015479</v>
      </c>
      <c r="C5075" s="1">
        <v>6</v>
      </c>
      <c r="D5075" s="1" t="s">
        <v>375</v>
      </c>
      <c r="E5075" t="s">
        <v>9779</v>
      </c>
      <c r="F5075" s="1">
        <v>241588</v>
      </c>
      <c r="G5075" s="1">
        <v>1258770032</v>
      </c>
      <c r="H5075" s="1">
        <v>12</v>
      </c>
      <c r="I5075" s="1" t="s">
        <v>233</v>
      </c>
      <c r="J5075" t="s">
        <v>9814</v>
      </c>
    </row>
    <row r="5076" spans="1:10">
      <c r="A5076" s="1">
        <v>767822</v>
      </c>
      <c r="B5076" s="1">
        <v>4650015478</v>
      </c>
      <c r="C5076" s="1">
        <v>6</v>
      </c>
      <c r="D5076" s="1" t="s">
        <v>375</v>
      </c>
      <c r="E5076" t="s">
        <v>9780</v>
      </c>
      <c r="F5076" s="1">
        <v>243600</v>
      </c>
      <c r="G5076" s="1">
        <v>1258770028</v>
      </c>
      <c r="H5076" s="1">
        <v>12</v>
      </c>
      <c r="I5076" s="1" t="s">
        <v>47</v>
      </c>
      <c r="J5076" t="s">
        <v>9815</v>
      </c>
    </row>
    <row r="5077" spans="1:10">
      <c r="A5077" s="1">
        <v>500413</v>
      </c>
      <c r="B5077" s="1">
        <v>4650070533</v>
      </c>
      <c r="C5077" s="1">
        <v>6</v>
      </c>
      <c r="D5077" s="1" t="s">
        <v>6956</v>
      </c>
      <c r="E5077" t="s">
        <v>9781</v>
      </c>
      <c r="F5077" s="1">
        <v>241927</v>
      </c>
      <c r="G5077" s="1">
        <v>1258770054</v>
      </c>
      <c r="H5077" s="1">
        <v>9</v>
      </c>
      <c r="I5077" s="1" t="s">
        <v>1213</v>
      </c>
      <c r="J5077" t="s">
        <v>9816</v>
      </c>
    </row>
    <row r="5078" spans="1:10">
      <c r="A5078" s="1">
        <v>221127</v>
      </c>
      <c r="B5078" s="1">
        <v>1920000619</v>
      </c>
      <c r="C5078" s="1">
        <v>12</v>
      </c>
      <c r="D5078" s="1" t="s">
        <v>1198</v>
      </c>
      <c r="E5078" t="s">
        <v>9782</v>
      </c>
      <c r="F5078" s="1">
        <v>153882</v>
      </c>
      <c r="G5078" s="1">
        <v>1258778229</v>
      </c>
      <c r="H5078" s="1">
        <v>4</v>
      </c>
      <c r="I5078" s="1" t="s">
        <v>1203</v>
      </c>
      <c r="J5078" t="s">
        <v>9817</v>
      </c>
    </row>
    <row r="5079" spans="1:10" ht="15.75">
      <c r="A5079" s="4" t="s">
        <v>10839</v>
      </c>
      <c r="B5079" s="2"/>
      <c r="C5079" s="2"/>
      <c r="D5079" s="2"/>
      <c r="E5079" s="3"/>
      <c r="F5079" s="1">
        <v>241620</v>
      </c>
      <c r="G5079" s="1">
        <v>1258760932</v>
      </c>
      <c r="H5079" s="1">
        <v>4</v>
      </c>
      <c r="I5079" s="1" t="s">
        <v>9818</v>
      </c>
      <c r="J5079" t="s">
        <v>9819</v>
      </c>
    </row>
    <row r="5080" spans="1:10">
      <c r="A5080" s="2" t="s">
        <v>0</v>
      </c>
      <c r="B5080" s="2" t="s">
        <v>1</v>
      </c>
      <c r="C5080" s="2" t="s">
        <v>2</v>
      </c>
      <c r="D5080" s="2" t="s">
        <v>3</v>
      </c>
      <c r="E5080" s="3" t="s">
        <v>4</v>
      </c>
      <c r="F5080" s="1">
        <v>702704</v>
      </c>
      <c r="G5080" s="1">
        <v>1258770023</v>
      </c>
      <c r="H5080" s="1">
        <v>12</v>
      </c>
      <c r="I5080" s="1" t="s">
        <v>448</v>
      </c>
      <c r="J5080" t="s">
        <v>9820</v>
      </c>
    </row>
    <row r="5081" spans="1:10">
      <c r="A5081" s="1">
        <v>276758</v>
      </c>
      <c r="B5081" s="1">
        <v>4116345000</v>
      </c>
      <c r="C5081" s="1">
        <v>12</v>
      </c>
      <c r="D5081" s="1" t="s">
        <v>1219</v>
      </c>
      <c r="E5081" t="s">
        <v>9783</v>
      </c>
      <c r="F5081" s="1">
        <v>444968</v>
      </c>
      <c r="G5081" s="1">
        <v>1370001410</v>
      </c>
      <c r="H5081" s="1">
        <v>12</v>
      </c>
      <c r="I5081" s="1" t="s">
        <v>10</v>
      </c>
      <c r="J5081" t="s">
        <v>9821</v>
      </c>
    </row>
    <row r="5082" spans="1:10">
      <c r="A5082" s="1">
        <v>312066</v>
      </c>
      <c r="B5082" s="1">
        <v>4116344999</v>
      </c>
      <c r="C5082" s="1">
        <v>12</v>
      </c>
      <c r="D5082" s="1" t="s">
        <v>11</v>
      </c>
      <c r="E5082" t="s">
        <v>9784</v>
      </c>
      <c r="F5082" s="1">
        <v>240929</v>
      </c>
      <c r="G5082" s="1">
        <v>1370001460</v>
      </c>
      <c r="H5082" s="1">
        <v>12</v>
      </c>
      <c r="I5082" s="1" t="s">
        <v>10</v>
      </c>
      <c r="J5082" t="s">
        <v>9822</v>
      </c>
    </row>
    <row r="5083" spans="1:10">
      <c r="A5083" s="1">
        <v>464933</v>
      </c>
      <c r="B5083" s="1">
        <v>4116345001</v>
      </c>
      <c r="C5083" s="1">
        <v>12</v>
      </c>
      <c r="D5083" s="1" t="s">
        <v>5</v>
      </c>
      <c r="E5083" t="s">
        <v>9785</v>
      </c>
      <c r="F5083" s="1">
        <v>240861</v>
      </c>
      <c r="G5083" s="1">
        <v>1370023050</v>
      </c>
      <c r="H5083" s="1">
        <v>6</v>
      </c>
      <c r="I5083" s="1" t="s">
        <v>1203</v>
      </c>
      <c r="J5083" t="s">
        <v>9823</v>
      </c>
    </row>
    <row r="5084" spans="1:10">
      <c r="F5084" s="1">
        <v>250068</v>
      </c>
      <c r="G5084" s="1">
        <v>1370050370</v>
      </c>
      <c r="H5084" s="1">
        <v>6</v>
      </c>
      <c r="I5084" s="1" t="s">
        <v>1216</v>
      </c>
      <c r="J5084" t="s">
        <v>9824</v>
      </c>
    </row>
    <row r="5085" spans="1:10" ht="15.75">
      <c r="A5085" s="4" t="s">
        <v>10840</v>
      </c>
      <c r="B5085" s="2"/>
      <c r="C5085" s="2"/>
      <c r="D5085" s="2"/>
      <c r="E5085" s="3"/>
      <c r="F5085" s="4" t="s">
        <v>10840</v>
      </c>
      <c r="G5085" s="2"/>
      <c r="H5085" s="2"/>
      <c r="I5085" s="2"/>
      <c r="J5085" s="3"/>
    </row>
    <row r="5086" spans="1:10">
      <c r="A5086" s="2" t="s">
        <v>0</v>
      </c>
      <c r="B5086" s="2" t="s">
        <v>1</v>
      </c>
      <c r="C5086" s="2" t="s">
        <v>2</v>
      </c>
      <c r="D5086" s="2" t="s">
        <v>3</v>
      </c>
      <c r="E5086" s="3" t="s">
        <v>4</v>
      </c>
      <c r="F5086" s="2" t="s">
        <v>0</v>
      </c>
      <c r="G5086" s="2" t="s">
        <v>1</v>
      </c>
      <c r="H5086" s="2" t="s">
        <v>2</v>
      </c>
      <c r="I5086" s="2" t="s">
        <v>3</v>
      </c>
      <c r="J5086" s="3" t="s">
        <v>4</v>
      </c>
    </row>
    <row r="5087" spans="1:10">
      <c r="A5087" s="1">
        <v>250050</v>
      </c>
      <c r="B5087" s="1">
        <v>1370050304</v>
      </c>
      <c r="C5087" s="1">
        <v>6</v>
      </c>
      <c r="D5087" s="1" t="s">
        <v>1203</v>
      </c>
      <c r="E5087" t="s">
        <v>9825</v>
      </c>
      <c r="F5087" s="1">
        <v>404061</v>
      </c>
      <c r="G5087" s="1">
        <v>4116344513</v>
      </c>
      <c r="H5087" s="1">
        <v>12</v>
      </c>
      <c r="I5087" s="1" t="s">
        <v>13</v>
      </c>
      <c r="J5087" t="s">
        <v>9856</v>
      </c>
    </row>
    <row r="5088" spans="1:10">
      <c r="A5088" s="1">
        <v>251751</v>
      </c>
      <c r="B5088" s="1">
        <v>1370027685</v>
      </c>
      <c r="C5088" s="1">
        <v>6</v>
      </c>
      <c r="D5088" s="1" t="s">
        <v>1207</v>
      </c>
      <c r="E5088" t="s">
        <v>9826</v>
      </c>
      <c r="F5088" s="1">
        <v>308841</v>
      </c>
      <c r="G5088" s="1">
        <v>4116344519</v>
      </c>
      <c r="H5088" s="1">
        <v>12</v>
      </c>
      <c r="I5088" s="1" t="s">
        <v>13</v>
      </c>
      <c r="J5088" t="s">
        <v>9857</v>
      </c>
    </row>
    <row r="5089" spans="1:10">
      <c r="A5089" s="1">
        <v>209460</v>
      </c>
      <c r="B5089" s="1">
        <v>1370021735</v>
      </c>
      <c r="C5089" s="1">
        <v>6</v>
      </c>
      <c r="D5089" s="1" t="s">
        <v>9314</v>
      </c>
      <c r="E5089" t="s">
        <v>9827</v>
      </c>
      <c r="F5089" s="1">
        <v>198150</v>
      </c>
      <c r="G5089" s="1">
        <v>4113030453</v>
      </c>
      <c r="H5089" s="1">
        <v>12</v>
      </c>
      <c r="I5089" s="1" t="s">
        <v>9808</v>
      </c>
      <c r="J5089" t="s">
        <v>9858</v>
      </c>
    </row>
    <row r="5090" spans="1:10">
      <c r="A5090" s="1">
        <v>472753</v>
      </c>
      <c r="B5090" s="1">
        <v>1370021755</v>
      </c>
      <c r="C5090" s="1">
        <v>6</v>
      </c>
      <c r="D5090" s="1" t="s">
        <v>9818</v>
      </c>
      <c r="E5090" t="s">
        <v>9828</v>
      </c>
      <c r="F5090" s="1">
        <v>603464</v>
      </c>
      <c r="G5090" s="1">
        <v>4113030454</v>
      </c>
      <c r="H5090" s="1">
        <v>12</v>
      </c>
      <c r="I5090" s="1" t="s">
        <v>233</v>
      </c>
      <c r="J5090" t="s">
        <v>9859</v>
      </c>
    </row>
    <row r="5091" spans="1:10">
      <c r="A5091" s="1">
        <v>886499</v>
      </c>
      <c r="B5091" s="1">
        <v>1370001450</v>
      </c>
      <c r="C5091" s="1">
        <v>12</v>
      </c>
      <c r="D5091" s="1" t="s">
        <v>13</v>
      </c>
      <c r="E5091" t="s">
        <v>9829</v>
      </c>
      <c r="F5091" s="1">
        <v>18283</v>
      </c>
      <c r="G5091" s="1">
        <v>4113030204</v>
      </c>
      <c r="H5091" s="1">
        <v>12</v>
      </c>
      <c r="I5091" s="1" t="s">
        <v>1206</v>
      </c>
      <c r="J5091" t="s">
        <v>9860</v>
      </c>
    </row>
    <row r="5092" spans="1:10">
      <c r="A5092" s="1">
        <v>318345</v>
      </c>
      <c r="B5092" s="1">
        <v>1370021725</v>
      </c>
      <c r="C5092" s="1">
        <v>6</v>
      </c>
      <c r="D5092" s="1" t="s">
        <v>13</v>
      </c>
      <c r="E5092" t="s">
        <v>9830</v>
      </c>
      <c r="F5092" s="1">
        <v>600460</v>
      </c>
      <c r="G5092" s="1">
        <v>4113030237</v>
      </c>
      <c r="H5092" s="1">
        <v>6</v>
      </c>
      <c r="I5092" s="1" t="s">
        <v>1203</v>
      </c>
      <c r="J5092" t="s">
        <v>9861</v>
      </c>
    </row>
    <row r="5093" spans="1:10">
      <c r="A5093" s="1">
        <v>241661</v>
      </c>
      <c r="B5093" s="1">
        <v>1370022820</v>
      </c>
      <c r="C5093" s="1">
        <v>12</v>
      </c>
      <c r="D5093" s="1" t="s">
        <v>13</v>
      </c>
      <c r="E5093" t="s">
        <v>9831</v>
      </c>
      <c r="F5093" s="1">
        <v>18358</v>
      </c>
      <c r="G5093" s="1">
        <v>4113030206</v>
      </c>
      <c r="H5093" s="1">
        <v>12</v>
      </c>
      <c r="I5093" s="1" t="s">
        <v>13</v>
      </c>
      <c r="J5093" t="s">
        <v>9862</v>
      </c>
    </row>
    <row r="5094" spans="1:10">
      <c r="A5094" s="1">
        <v>241240</v>
      </c>
      <c r="B5094" s="1">
        <v>1370022848</v>
      </c>
      <c r="C5094" s="1">
        <v>6</v>
      </c>
      <c r="D5094" s="1" t="s">
        <v>1203</v>
      </c>
      <c r="E5094" t="s">
        <v>9831</v>
      </c>
      <c r="F5094" s="1">
        <v>484139</v>
      </c>
      <c r="G5094" s="1">
        <v>4113030452</v>
      </c>
      <c r="H5094" s="1">
        <v>12</v>
      </c>
      <c r="I5094" s="1" t="s">
        <v>1206</v>
      </c>
      <c r="J5094" t="s">
        <v>9863</v>
      </c>
    </row>
    <row r="5095" spans="1:10">
      <c r="A5095" s="1">
        <v>835009</v>
      </c>
      <c r="B5095" s="1">
        <v>1370001420</v>
      </c>
      <c r="C5095" s="1">
        <v>12</v>
      </c>
      <c r="D5095" s="1" t="s">
        <v>10</v>
      </c>
      <c r="E5095" t="s">
        <v>9832</v>
      </c>
      <c r="F5095" s="1">
        <v>243253</v>
      </c>
      <c r="G5095" s="1">
        <v>4113030455</v>
      </c>
      <c r="H5095" s="1">
        <v>6</v>
      </c>
      <c r="I5095" s="1" t="s">
        <v>1216</v>
      </c>
      <c r="J5095" t="s">
        <v>9864</v>
      </c>
    </row>
    <row r="5096" spans="1:10">
      <c r="A5096" s="1">
        <v>246124</v>
      </c>
      <c r="B5096" s="1">
        <v>1370001622</v>
      </c>
      <c r="C5096" s="1">
        <v>12</v>
      </c>
      <c r="D5096" s="1" t="s">
        <v>1217</v>
      </c>
      <c r="E5096" t="s">
        <v>9833</v>
      </c>
      <c r="F5096" s="1">
        <v>600684</v>
      </c>
      <c r="G5096" s="1">
        <v>4113030207</v>
      </c>
      <c r="H5096" s="1">
        <v>24</v>
      </c>
      <c r="I5096" s="1" t="s">
        <v>10</v>
      </c>
      <c r="J5096" t="s">
        <v>9865</v>
      </c>
    </row>
    <row r="5097" spans="1:10" ht="15.75">
      <c r="A5097" s="1">
        <v>255455</v>
      </c>
      <c r="B5097" s="1">
        <v>1370000638</v>
      </c>
      <c r="C5097" s="1">
        <v>6</v>
      </c>
      <c r="D5097" s="1" t="s">
        <v>9805</v>
      </c>
      <c r="E5097" t="s">
        <v>9834</v>
      </c>
      <c r="F5097" s="4" t="s">
        <v>10841</v>
      </c>
      <c r="G5097" s="2"/>
      <c r="H5097" s="2"/>
      <c r="I5097" s="2"/>
      <c r="J5097" s="3"/>
    </row>
    <row r="5098" spans="1:10">
      <c r="A5098" s="1">
        <v>437814</v>
      </c>
      <c r="B5098" s="1">
        <v>1370000614</v>
      </c>
      <c r="C5098" s="1">
        <v>6</v>
      </c>
      <c r="D5098" s="1" t="s">
        <v>225</v>
      </c>
      <c r="E5098" t="s">
        <v>9835</v>
      </c>
      <c r="F5098" s="2" t="s">
        <v>0</v>
      </c>
      <c r="G5098" s="2" t="s">
        <v>1</v>
      </c>
      <c r="H5098" s="2" t="s">
        <v>2</v>
      </c>
      <c r="I5098" s="2" t="s">
        <v>3</v>
      </c>
      <c r="J5098" s="3" t="s">
        <v>4</v>
      </c>
    </row>
    <row r="5099" spans="1:10">
      <c r="A5099" s="1">
        <v>294942</v>
      </c>
      <c r="B5099" s="1">
        <v>4116344514</v>
      </c>
      <c r="C5099" s="1">
        <v>12</v>
      </c>
      <c r="D5099" s="1" t="s">
        <v>10</v>
      </c>
      <c r="E5099" t="s">
        <v>9836</v>
      </c>
      <c r="F5099" s="1">
        <v>241802</v>
      </c>
      <c r="G5099" s="1">
        <v>1258760030</v>
      </c>
      <c r="H5099" s="1">
        <v>9</v>
      </c>
      <c r="I5099" s="1" t="s">
        <v>1206</v>
      </c>
      <c r="J5099" t="s">
        <v>9866</v>
      </c>
    </row>
    <row r="5100" spans="1:10">
      <c r="A5100" s="1">
        <v>12542</v>
      </c>
      <c r="B5100" s="1">
        <v>4116344512</v>
      </c>
      <c r="C5100" s="1">
        <v>12</v>
      </c>
      <c r="D5100" s="1" t="s">
        <v>1206</v>
      </c>
      <c r="E5100" t="s">
        <v>9837</v>
      </c>
      <c r="F5100" s="1">
        <v>250001</v>
      </c>
      <c r="G5100" s="1">
        <v>1258760033</v>
      </c>
      <c r="H5100" s="1">
        <v>9</v>
      </c>
      <c r="I5100" s="1" t="s">
        <v>1219</v>
      </c>
      <c r="J5100" t="s">
        <v>9867</v>
      </c>
    </row>
    <row r="5101" spans="1:10">
      <c r="A5101" s="1">
        <v>739862</v>
      </c>
      <c r="B5101" s="1">
        <v>4116344535</v>
      </c>
      <c r="C5101" s="1">
        <v>6</v>
      </c>
      <c r="D5101" s="1" t="s">
        <v>766</v>
      </c>
      <c r="E5101" t="s">
        <v>9838</v>
      </c>
      <c r="F5101" s="1">
        <v>250027</v>
      </c>
      <c r="G5101" s="1">
        <v>1258760031</v>
      </c>
      <c r="H5101" s="1">
        <v>9</v>
      </c>
      <c r="I5101" s="1" t="s">
        <v>1203</v>
      </c>
      <c r="J5101" t="s">
        <v>9868</v>
      </c>
    </row>
    <row r="5102" spans="1:10">
      <c r="A5102" s="1">
        <v>195123</v>
      </c>
      <c r="B5102" s="1">
        <v>4116344533</v>
      </c>
      <c r="C5102" s="1">
        <v>12</v>
      </c>
      <c r="D5102" s="1" t="s">
        <v>10</v>
      </c>
      <c r="E5102" t="s">
        <v>9839</v>
      </c>
      <c r="F5102" s="1">
        <v>241687</v>
      </c>
      <c r="G5102" s="1">
        <v>1258757034</v>
      </c>
      <c r="H5102" s="1">
        <v>12</v>
      </c>
      <c r="I5102" s="1" t="s">
        <v>68</v>
      </c>
      <c r="J5102" t="s">
        <v>9869</v>
      </c>
    </row>
    <row r="5103" spans="1:10">
      <c r="A5103" s="1">
        <v>766865</v>
      </c>
      <c r="B5103" s="1">
        <v>4116344534</v>
      </c>
      <c r="C5103" s="1">
        <v>12</v>
      </c>
      <c r="D5103" s="1" t="s">
        <v>10</v>
      </c>
      <c r="E5103" t="s">
        <v>9839</v>
      </c>
      <c r="F5103" s="1">
        <v>242081</v>
      </c>
      <c r="G5103" s="1">
        <v>1258757035</v>
      </c>
      <c r="H5103" s="1">
        <v>12</v>
      </c>
      <c r="I5103" s="1" t="s">
        <v>13</v>
      </c>
      <c r="J5103" t="s">
        <v>9870</v>
      </c>
    </row>
    <row r="5104" spans="1:10">
      <c r="A5104" s="1">
        <v>540120</v>
      </c>
      <c r="B5104" s="1">
        <v>4116344536</v>
      </c>
      <c r="C5104" s="1">
        <v>6</v>
      </c>
      <c r="D5104" s="1" t="s">
        <v>766</v>
      </c>
      <c r="E5104" t="s">
        <v>9839</v>
      </c>
      <c r="F5104" s="1">
        <v>250514</v>
      </c>
      <c r="G5104" s="1">
        <v>1258760351</v>
      </c>
      <c r="H5104" s="1">
        <v>12</v>
      </c>
      <c r="I5104" s="1" t="s">
        <v>1206</v>
      </c>
      <c r="J5104" t="s">
        <v>9871</v>
      </c>
    </row>
    <row r="5105" spans="1:10">
      <c r="A5105" s="1">
        <v>782961</v>
      </c>
      <c r="B5105" s="1">
        <v>4116344515</v>
      </c>
      <c r="C5105" s="1">
        <v>12</v>
      </c>
      <c r="D5105" s="1" t="s">
        <v>68</v>
      </c>
      <c r="E5105" t="s">
        <v>9840</v>
      </c>
      <c r="F5105" s="1">
        <v>245449</v>
      </c>
      <c r="G5105" s="1">
        <v>1258757263</v>
      </c>
      <c r="H5105" s="1">
        <v>12</v>
      </c>
      <c r="I5105" s="1" t="s">
        <v>1219</v>
      </c>
      <c r="J5105" t="s">
        <v>9872</v>
      </c>
    </row>
    <row r="5106" spans="1:10">
      <c r="A5106" s="1">
        <v>405175</v>
      </c>
      <c r="B5106" s="1">
        <v>4116344516</v>
      </c>
      <c r="C5106" s="1">
        <v>12</v>
      </c>
      <c r="D5106" s="1" t="s">
        <v>1206</v>
      </c>
      <c r="E5106" t="s">
        <v>9840</v>
      </c>
      <c r="F5106" s="1">
        <v>246819</v>
      </c>
      <c r="G5106" s="1">
        <v>1258760062</v>
      </c>
      <c r="H5106" s="1">
        <v>12</v>
      </c>
      <c r="I5106" s="1" t="s">
        <v>11</v>
      </c>
      <c r="J5106" t="s">
        <v>9873</v>
      </c>
    </row>
    <row r="5107" spans="1:10">
      <c r="A5107" s="1">
        <v>440537</v>
      </c>
      <c r="B5107" s="1">
        <v>4116344517</v>
      </c>
      <c r="C5107" s="1">
        <v>6</v>
      </c>
      <c r="D5107" s="1" t="s">
        <v>9841</v>
      </c>
      <c r="E5107" t="s">
        <v>9840</v>
      </c>
      <c r="F5107" s="1">
        <v>242073</v>
      </c>
      <c r="G5107" s="1">
        <v>1258755050</v>
      </c>
      <c r="H5107" s="1">
        <v>12</v>
      </c>
      <c r="I5107" s="1" t="s">
        <v>13</v>
      </c>
      <c r="J5107" t="s">
        <v>9874</v>
      </c>
    </row>
    <row r="5108" spans="1:10">
      <c r="A5108" s="1">
        <v>254623</v>
      </c>
      <c r="B5108" s="1">
        <v>4116344525</v>
      </c>
      <c r="C5108" s="1">
        <v>1</v>
      </c>
      <c r="D5108" s="1" t="s">
        <v>9269</v>
      </c>
      <c r="E5108" t="s">
        <v>9842</v>
      </c>
      <c r="F5108" s="1">
        <v>241539</v>
      </c>
      <c r="G5108" s="1">
        <v>1258755052</v>
      </c>
      <c r="H5108" s="1">
        <v>12</v>
      </c>
      <c r="I5108" s="1" t="s">
        <v>9</v>
      </c>
      <c r="J5108" t="s">
        <v>9875</v>
      </c>
    </row>
    <row r="5109" spans="1:10">
      <c r="A5109" s="1">
        <v>194217</v>
      </c>
      <c r="B5109" s="1">
        <v>4116344524</v>
      </c>
      <c r="C5109" s="1">
        <v>6</v>
      </c>
      <c r="D5109" s="1" t="s">
        <v>9805</v>
      </c>
      <c r="E5109" t="s">
        <v>9843</v>
      </c>
      <c r="F5109" s="1">
        <v>243063</v>
      </c>
      <c r="G5109" s="1">
        <v>1258760741</v>
      </c>
      <c r="H5109" s="1">
        <v>12</v>
      </c>
      <c r="I5109" s="1" t="s">
        <v>1219</v>
      </c>
      <c r="J5109" t="s">
        <v>9876</v>
      </c>
    </row>
    <row r="5110" spans="1:10">
      <c r="A5110" s="1">
        <v>469890</v>
      </c>
      <c r="B5110" s="1">
        <v>4116344522</v>
      </c>
      <c r="C5110" s="1">
        <v>6</v>
      </c>
      <c r="D5110" s="1" t="s">
        <v>1203</v>
      </c>
      <c r="E5110" t="s">
        <v>9844</v>
      </c>
      <c r="F5110" s="1">
        <v>241273</v>
      </c>
      <c r="G5110" s="1">
        <v>1258770043</v>
      </c>
      <c r="H5110" s="1">
        <v>12</v>
      </c>
      <c r="I5110" s="1" t="s">
        <v>9877</v>
      </c>
      <c r="J5110" t="s">
        <v>9878</v>
      </c>
    </row>
    <row r="5111" spans="1:10">
      <c r="A5111" s="1">
        <v>427872</v>
      </c>
      <c r="B5111" s="1">
        <v>4116344521</v>
      </c>
      <c r="C5111" s="1">
        <v>6</v>
      </c>
      <c r="D5111" s="1" t="s">
        <v>1203</v>
      </c>
      <c r="E5111" t="s">
        <v>9845</v>
      </c>
      <c r="F5111" s="1">
        <v>250589</v>
      </c>
      <c r="G5111" s="1">
        <v>1258760032</v>
      </c>
      <c r="H5111" s="1">
        <v>9</v>
      </c>
      <c r="I5111" s="1" t="s">
        <v>1203</v>
      </c>
      <c r="J5111" t="s">
        <v>9879</v>
      </c>
    </row>
    <row r="5112" spans="1:10">
      <c r="A5112" s="1">
        <v>102319</v>
      </c>
      <c r="B5112" s="1">
        <v>4116344518</v>
      </c>
      <c r="C5112" s="1">
        <v>12</v>
      </c>
      <c r="D5112" s="1" t="s">
        <v>13</v>
      </c>
      <c r="E5112" t="s">
        <v>9846</v>
      </c>
      <c r="F5112" s="1">
        <v>241489</v>
      </c>
      <c r="G5112" s="1">
        <v>1258700180</v>
      </c>
      <c r="H5112" s="1">
        <v>12</v>
      </c>
      <c r="I5112" s="1" t="s">
        <v>6719</v>
      </c>
      <c r="J5112" t="s">
        <v>9880</v>
      </c>
    </row>
    <row r="5113" spans="1:10">
      <c r="A5113" s="1">
        <v>419218</v>
      </c>
      <c r="B5113" s="1">
        <v>4116344520</v>
      </c>
      <c r="C5113" s="1">
        <v>6</v>
      </c>
      <c r="D5113" s="1" t="s">
        <v>1219</v>
      </c>
      <c r="E5113" t="s">
        <v>9846</v>
      </c>
      <c r="F5113" s="1">
        <v>193953</v>
      </c>
      <c r="G5113" s="1">
        <v>1258770707</v>
      </c>
      <c r="H5113" s="1">
        <v>10</v>
      </c>
      <c r="I5113" s="1" t="s">
        <v>10</v>
      </c>
      <c r="J5113" t="s">
        <v>9881</v>
      </c>
    </row>
    <row r="5114" spans="1:10">
      <c r="A5114" s="1">
        <v>84046</v>
      </c>
      <c r="B5114" s="1">
        <v>4116344523</v>
      </c>
      <c r="C5114" s="1">
        <v>6</v>
      </c>
      <c r="D5114" s="1" t="s">
        <v>9841</v>
      </c>
      <c r="E5114" t="s">
        <v>9846</v>
      </c>
      <c r="F5114" s="1">
        <v>241471</v>
      </c>
      <c r="G5114" s="1">
        <v>1258770111</v>
      </c>
      <c r="H5114" s="1">
        <v>6</v>
      </c>
      <c r="I5114" s="1" t="s">
        <v>12</v>
      </c>
      <c r="J5114" t="s">
        <v>9882</v>
      </c>
    </row>
    <row r="5115" spans="1:10">
      <c r="A5115" s="1">
        <v>374272</v>
      </c>
      <c r="B5115" s="1">
        <v>4116344528</v>
      </c>
      <c r="C5115" s="1">
        <v>24</v>
      </c>
      <c r="D5115" s="1" t="s">
        <v>10</v>
      </c>
      <c r="E5115" t="s">
        <v>9847</v>
      </c>
      <c r="F5115" s="1">
        <v>241935</v>
      </c>
      <c r="G5115" s="1">
        <v>1258760795</v>
      </c>
      <c r="H5115" s="1">
        <v>6</v>
      </c>
      <c r="I5115" s="1" t="s">
        <v>5</v>
      </c>
      <c r="J5115" t="s">
        <v>9883</v>
      </c>
    </row>
    <row r="5116" spans="1:10">
      <c r="A5116" s="1">
        <v>865758</v>
      </c>
      <c r="B5116" s="1">
        <v>4116344527</v>
      </c>
      <c r="C5116" s="1">
        <v>12</v>
      </c>
      <c r="D5116" s="1" t="s">
        <v>13</v>
      </c>
      <c r="E5116" t="s">
        <v>9847</v>
      </c>
      <c r="F5116" s="1">
        <v>241893</v>
      </c>
      <c r="G5116" s="1">
        <v>1258760796</v>
      </c>
      <c r="H5116" s="1">
        <v>6</v>
      </c>
      <c r="I5116" s="1" t="s">
        <v>5</v>
      </c>
      <c r="J5116" t="s">
        <v>9884</v>
      </c>
    </row>
    <row r="5117" spans="1:10">
      <c r="A5117" s="1">
        <v>214684</v>
      </c>
      <c r="B5117" s="1">
        <v>4116344531</v>
      </c>
      <c r="C5117" s="1">
        <v>6</v>
      </c>
      <c r="D5117" s="1" t="s">
        <v>1219</v>
      </c>
      <c r="E5117" t="s">
        <v>9847</v>
      </c>
      <c r="F5117" s="1">
        <v>241737</v>
      </c>
      <c r="G5117" s="1">
        <v>1258770045</v>
      </c>
      <c r="H5117" s="1">
        <v>6</v>
      </c>
      <c r="I5117" s="1" t="s">
        <v>12</v>
      </c>
      <c r="J5117" t="s">
        <v>9885</v>
      </c>
    </row>
    <row r="5118" spans="1:10">
      <c r="A5118" s="1">
        <v>337725</v>
      </c>
      <c r="B5118" s="1">
        <v>4116344526</v>
      </c>
      <c r="C5118" s="1">
        <v>12</v>
      </c>
      <c r="D5118" s="1" t="s">
        <v>13</v>
      </c>
      <c r="E5118" t="s">
        <v>9848</v>
      </c>
      <c r="F5118" s="1">
        <v>245829</v>
      </c>
      <c r="G5118" s="1">
        <v>1258770487</v>
      </c>
      <c r="H5118" s="1">
        <v>2</v>
      </c>
      <c r="I5118" s="1" t="s">
        <v>47</v>
      </c>
      <c r="J5118" t="s">
        <v>9886</v>
      </c>
    </row>
    <row r="5119" spans="1:10">
      <c r="A5119" s="1">
        <v>445254</v>
      </c>
      <c r="B5119" s="1">
        <v>4116344537</v>
      </c>
      <c r="C5119" s="1">
        <v>6</v>
      </c>
      <c r="D5119" s="1" t="s">
        <v>1219</v>
      </c>
      <c r="E5119" t="s">
        <v>9849</v>
      </c>
      <c r="F5119" s="1">
        <v>242057</v>
      </c>
      <c r="G5119" s="1">
        <v>1258770240</v>
      </c>
      <c r="H5119" s="1">
        <v>12</v>
      </c>
      <c r="I5119" s="1" t="s">
        <v>448</v>
      </c>
      <c r="J5119" t="s">
        <v>9887</v>
      </c>
    </row>
    <row r="5120" spans="1:10">
      <c r="A5120" s="1">
        <v>310961</v>
      </c>
      <c r="B5120" s="1">
        <v>4116344532</v>
      </c>
      <c r="C5120" s="1">
        <v>12</v>
      </c>
      <c r="D5120" s="1" t="s">
        <v>13</v>
      </c>
      <c r="E5120" t="s">
        <v>9850</v>
      </c>
      <c r="F5120" s="1">
        <v>241505</v>
      </c>
      <c r="G5120" s="1">
        <v>1258770108</v>
      </c>
      <c r="H5120" s="1">
        <v>6</v>
      </c>
      <c r="I5120" s="1" t="s">
        <v>7123</v>
      </c>
      <c r="J5120" t="s">
        <v>9888</v>
      </c>
    </row>
    <row r="5121" spans="1:10">
      <c r="A5121" s="1">
        <v>829168</v>
      </c>
      <c r="B5121" s="1">
        <v>4116344538</v>
      </c>
      <c r="C5121" s="1">
        <v>6</v>
      </c>
      <c r="D5121" s="1" t="s">
        <v>13</v>
      </c>
      <c r="E5121" t="s">
        <v>9851</v>
      </c>
      <c r="F5121" s="1">
        <v>241422</v>
      </c>
      <c r="G5121" s="1">
        <v>1258770219</v>
      </c>
      <c r="H5121" s="1">
        <v>6</v>
      </c>
      <c r="I5121" s="1" t="s">
        <v>5</v>
      </c>
      <c r="J5121" t="s">
        <v>9889</v>
      </c>
    </row>
    <row r="5122" spans="1:10">
      <c r="A5122" s="1">
        <v>766105</v>
      </c>
      <c r="B5122" s="1">
        <v>4116344539</v>
      </c>
      <c r="C5122" s="1">
        <v>6</v>
      </c>
      <c r="D5122" s="1" t="s">
        <v>13</v>
      </c>
      <c r="E5122" t="s">
        <v>9852</v>
      </c>
      <c r="F5122" s="1">
        <v>241026</v>
      </c>
      <c r="G5122" s="1">
        <v>1258770110</v>
      </c>
      <c r="H5122" s="1">
        <v>6</v>
      </c>
      <c r="I5122" s="1" t="s">
        <v>6</v>
      </c>
      <c r="J5122" t="s">
        <v>9890</v>
      </c>
    </row>
    <row r="5123" spans="1:10">
      <c r="A5123" s="1">
        <v>437178</v>
      </c>
      <c r="B5123" s="1">
        <v>4116344540</v>
      </c>
      <c r="C5123" s="1">
        <v>6</v>
      </c>
      <c r="D5123" s="1" t="s">
        <v>9</v>
      </c>
      <c r="E5123" t="s">
        <v>9853</v>
      </c>
      <c r="F5123" s="1">
        <v>711010</v>
      </c>
      <c r="G5123" s="1">
        <v>1258778082</v>
      </c>
      <c r="H5123" s="1">
        <v>6</v>
      </c>
      <c r="I5123" s="1" t="s">
        <v>12</v>
      </c>
      <c r="J5123" t="s">
        <v>9891</v>
      </c>
    </row>
    <row r="5124" spans="1:10">
      <c r="A5124" s="1">
        <v>609172</v>
      </c>
      <c r="B5124" s="1">
        <v>4116344529</v>
      </c>
      <c r="C5124" s="1">
        <v>12</v>
      </c>
      <c r="D5124" s="1" t="s">
        <v>10</v>
      </c>
      <c r="E5124" t="s">
        <v>9854</v>
      </c>
      <c r="F5124" s="1">
        <v>246322</v>
      </c>
      <c r="G5124" s="1">
        <v>1370082413</v>
      </c>
      <c r="H5124" s="1">
        <v>12</v>
      </c>
      <c r="I5124" s="1" t="s">
        <v>1212</v>
      </c>
      <c r="J5124" t="s">
        <v>9892</v>
      </c>
    </row>
    <row r="5125" spans="1:10">
      <c r="A5125" s="1">
        <v>71340</v>
      </c>
      <c r="B5125" s="1">
        <v>4116344530</v>
      </c>
      <c r="C5125" s="1">
        <v>1</v>
      </c>
      <c r="D5125" s="1" t="s">
        <v>11</v>
      </c>
      <c r="E5125" t="s">
        <v>9855</v>
      </c>
      <c r="F5125" s="1">
        <v>246306</v>
      </c>
      <c r="G5125" s="1">
        <v>1370081417</v>
      </c>
      <c r="H5125" s="1">
        <v>12</v>
      </c>
      <c r="I5125" s="1" t="s">
        <v>1211</v>
      </c>
      <c r="J5125" t="s">
        <v>9893</v>
      </c>
    </row>
    <row r="5126" spans="1:10" ht="15.75">
      <c r="A5126" s="4" t="s">
        <v>10841</v>
      </c>
      <c r="B5126" s="2"/>
      <c r="C5126" s="2"/>
      <c r="D5126" s="2"/>
      <c r="E5126" s="3"/>
      <c r="F5126" s="4" t="s">
        <v>10841</v>
      </c>
      <c r="G5126" s="2"/>
      <c r="H5126" s="2"/>
      <c r="I5126" s="2"/>
      <c r="J5126" s="3"/>
    </row>
    <row r="5127" spans="1:10">
      <c r="A5127" s="2" t="s">
        <v>0</v>
      </c>
      <c r="B5127" s="2" t="s">
        <v>1</v>
      </c>
      <c r="C5127" s="2" t="s">
        <v>2</v>
      </c>
      <c r="D5127" s="2" t="s">
        <v>3</v>
      </c>
      <c r="E5127" s="3" t="s">
        <v>4</v>
      </c>
      <c r="F5127" s="2" t="s">
        <v>0</v>
      </c>
      <c r="G5127" s="2" t="s">
        <v>1</v>
      </c>
      <c r="H5127" s="2" t="s">
        <v>2</v>
      </c>
      <c r="I5127" s="2" t="s">
        <v>3</v>
      </c>
      <c r="J5127" s="3" t="s">
        <v>4</v>
      </c>
    </row>
    <row r="5128" spans="1:10">
      <c r="A5128" s="1">
        <v>246314</v>
      </c>
      <c r="B5128" s="1">
        <v>1370082218</v>
      </c>
      <c r="C5128" s="1">
        <v>12</v>
      </c>
      <c r="D5128" s="1" t="s">
        <v>263</v>
      </c>
      <c r="E5128" t="s">
        <v>9894</v>
      </c>
      <c r="F5128" s="1">
        <v>568139</v>
      </c>
      <c r="G5128" s="1">
        <v>1090000592</v>
      </c>
      <c r="H5128" s="1">
        <v>12</v>
      </c>
      <c r="I5128" s="1" t="s">
        <v>225</v>
      </c>
      <c r="J5128" t="s">
        <v>9928</v>
      </c>
    </row>
    <row r="5129" spans="1:10">
      <c r="A5129" s="1">
        <v>246496</v>
      </c>
      <c r="B5129" s="1">
        <v>1370082235</v>
      </c>
      <c r="C5129" s="1">
        <v>9</v>
      </c>
      <c r="D5129" s="1" t="s">
        <v>233</v>
      </c>
      <c r="E5129" t="s">
        <v>9895</v>
      </c>
      <c r="F5129" s="1">
        <v>89268</v>
      </c>
      <c r="G5129" s="1">
        <v>1090000591</v>
      </c>
      <c r="H5129" s="1">
        <v>12</v>
      </c>
      <c r="I5129" s="1" t="s">
        <v>43</v>
      </c>
      <c r="J5129" t="s">
        <v>9929</v>
      </c>
    </row>
    <row r="5130" spans="1:10">
      <c r="A5130" s="1">
        <v>246298</v>
      </c>
      <c r="B5130" s="1">
        <v>1370081222</v>
      </c>
      <c r="C5130" s="1">
        <v>12</v>
      </c>
      <c r="D5130" s="1" t="s">
        <v>1217</v>
      </c>
      <c r="E5130" t="s">
        <v>9896</v>
      </c>
      <c r="F5130" s="1">
        <v>427336</v>
      </c>
      <c r="G5130" s="1">
        <v>1090000590</v>
      </c>
      <c r="H5130" s="1">
        <v>8</v>
      </c>
      <c r="I5130" s="1" t="s">
        <v>8</v>
      </c>
      <c r="J5130" t="s">
        <v>9930</v>
      </c>
    </row>
    <row r="5131" spans="1:10">
      <c r="A5131" s="1">
        <v>246330</v>
      </c>
      <c r="B5131" s="1">
        <v>1370084135</v>
      </c>
      <c r="C5131" s="1">
        <v>9</v>
      </c>
      <c r="D5131" s="1" t="s">
        <v>233</v>
      </c>
      <c r="E5131" t="s">
        <v>9897</v>
      </c>
      <c r="F5131" s="1">
        <v>18390</v>
      </c>
      <c r="G5131" s="1">
        <v>4113030205</v>
      </c>
      <c r="H5131" s="1">
        <v>24</v>
      </c>
      <c r="I5131" s="1" t="s">
        <v>9269</v>
      </c>
      <c r="J5131" t="s">
        <v>9931</v>
      </c>
    </row>
    <row r="5132" spans="1:10">
      <c r="A5132" s="1">
        <v>246462</v>
      </c>
      <c r="B5132" s="1">
        <v>1370082425</v>
      </c>
      <c r="C5132" s="1">
        <v>9</v>
      </c>
      <c r="D5132" s="1" t="s">
        <v>9</v>
      </c>
      <c r="E5132" t="s">
        <v>9898</v>
      </c>
      <c r="F5132" s="1">
        <v>696013</v>
      </c>
      <c r="G5132" s="1">
        <v>4113030735</v>
      </c>
      <c r="H5132" s="1">
        <v>24</v>
      </c>
      <c r="I5132" s="1" t="s">
        <v>68</v>
      </c>
      <c r="J5132" t="s">
        <v>9932</v>
      </c>
    </row>
    <row r="5133" spans="1:10">
      <c r="A5133" s="1">
        <v>246652</v>
      </c>
      <c r="B5133" s="1">
        <v>1370083812</v>
      </c>
      <c r="C5133" s="1">
        <v>9</v>
      </c>
      <c r="D5133" s="1" t="s">
        <v>47</v>
      </c>
      <c r="E5133" t="s">
        <v>9899</v>
      </c>
      <c r="F5133" s="1">
        <v>783456</v>
      </c>
      <c r="G5133" s="1">
        <v>4113030736</v>
      </c>
      <c r="H5133" s="1">
        <v>24</v>
      </c>
      <c r="I5133" s="1" t="s">
        <v>1219</v>
      </c>
      <c r="J5133" t="s">
        <v>9933</v>
      </c>
    </row>
    <row r="5134" spans="1:10">
      <c r="A5134" s="1">
        <v>246470</v>
      </c>
      <c r="B5134" s="1">
        <v>1370081430</v>
      </c>
      <c r="C5134" s="1">
        <v>9</v>
      </c>
      <c r="D5134" s="1" t="s">
        <v>1206</v>
      </c>
      <c r="E5134" t="s">
        <v>9900</v>
      </c>
      <c r="F5134" s="1">
        <v>506790</v>
      </c>
      <c r="G5134" s="1">
        <v>2570015625</v>
      </c>
      <c r="H5134" s="1">
        <v>12</v>
      </c>
      <c r="I5134" s="1" t="s">
        <v>263</v>
      </c>
      <c r="J5134" t="s">
        <v>9934</v>
      </c>
    </row>
    <row r="5135" spans="1:10">
      <c r="A5135" s="1">
        <v>246512</v>
      </c>
      <c r="B5135" s="1">
        <v>1370081240</v>
      </c>
      <c r="C5135" s="1">
        <v>9</v>
      </c>
      <c r="D5135" s="1" t="s">
        <v>1203</v>
      </c>
      <c r="E5135" t="s">
        <v>9901</v>
      </c>
      <c r="F5135" s="1">
        <v>243162</v>
      </c>
      <c r="G5135" s="1">
        <v>2570000381</v>
      </c>
      <c r="H5135" s="1">
        <v>9</v>
      </c>
      <c r="I5135" s="1" t="s">
        <v>1203</v>
      </c>
      <c r="J5135" t="s">
        <v>9935</v>
      </c>
    </row>
    <row r="5136" spans="1:10">
      <c r="A5136" s="1">
        <v>886879</v>
      </c>
      <c r="B5136" s="1">
        <v>1370085804</v>
      </c>
      <c r="C5136" s="1">
        <v>8</v>
      </c>
      <c r="D5136" s="1" t="s">
        <v>6</v>
      </c>
      <c r="E5136" t="s">
        <v>9902</v>
      </c>
      <c r="F5136" s="1">
        <v>243170</v>
      </c>
      <c r="G5136" s="1">
        <v>2570000382</v>
      </c>
      <c r="H5136" s="1">
        <v>9</v>
      </c>
      <c r="I5136" s="1" t="s">
        <v>1206</v>
      </c>
      <c r="J5136" t="s">
        <v>9936</v>
      </c>
    </row>
    <row r="5137" spans="1:10">
      <c r="A5137" s="1">
        <v>515908</v>
      </c>
      <c r="B5137" s="1">
        <v>4116344509</v>
      </c>
      <c r="C5137" s="1">
        <v>12</v>
      </c>
      <c r="D5137" s="1" t="s">
        <v>9273</v>
      </c>
      <c r="E5137" t="s">
        <v>9903</v>
      </c>
      <c r="F5137" s="1">
        <v>241612</v>
      </c>
      <c r="G5137" s="1">
        <v>2570000390</v>
      </c>
      <c r="H5137" s="1">
        <v>12</v>
      </c>
      <c r="I5137" s="1" t="s">
        <v>1219</v>
      </c>
      <c r="J5137" t="s">
        <v>9937</v>
      </c>
    </row>
    <row r="5138" spans="1:10">
      <c r="A5138" s="1">
        <v>257097</v>
      </c>
      <c r="B5138" s="1">
        <v>4116344503</v>
      </c>
      <c r="C5138" s="1">
        <v>12</v>
      </c>
      <c r="D5138" s="1" t="s">
        <v>10</v>
      </c>
      <c r="E5138" t="s">
        <v>9904</v>
      </c>
      <c r="F5138" s="1">
        <v>242347</v>
      </c>
      <c r="G5138" s="1">
        <v>2570000320</v>
      </c>
      <c r="H5138" s="1">
        <v>9</v>
      </c>
      <c r="I5138" s="1" t="s">
        <v>1203</v>
      </c>
      <c r="J5138" t="s">
        <v>9938</v>
      </c>
    </row>
    <row r="5139" spans="1:10">
      <c r="A5139" s="1">
        <v>424457</v>
      </c>
      <c r="B5139" s="1">
        <v>4116344502</v>
      </c>
      <c r="C5139" s="1">
        <v>12</v>
      </c>
      <c r="D5139" s="1" t="s">
        <v>1206</v>
      </c>
      <c r="E5139" t="s">
        <v>9905</v>
      </c>
      <c r="F5139" s="1">
        <v>241604</v>
      </c>
      <c r="G5139" s="1">
        <v>2570000391</v>
      </c>
      <c r="H5139" s="1">
        <v>12</v>
      </c>
      <c r="I5139" s="1" t="s">
        <v>11</v>
      </c>
      <c r="J5139" t="s">
        <v>9939</v>
      </c>
    </row>
    <row r="5140" spans="1:10">
      <c r="A5140" s="1">
        <v>580159</v>
      </c>
      <c r="B5140" s="1">
        <v>4116344508</v>
      </c>
      <c r="C5140" s="1">
        <v>12</v>
      </c>
      <c r="D5140" s="1" t="s">
        <v>10</v>
      </c>
      <c r="E5140" t="s">
        <v>9906</v>
      </c>
      <c r="F5140" s="1">
        <v>240036</v>
      </c>
      <c r="G5140" s="1">
        <v>2570002313</v>
      </c>
      <c r="H5140" s="1">
        <v>12</v>
      </c>
      <c r="I5140" s="1" t="s">
        <v>10</v>
      </c>
      <c r="J5140" t="s">
        <v>9940</v>
      </c>
    </row>
    <row r="5141" spans="1:10">
      <c r="A5141" s="1">
        <v>203018</v>
      </c>
      <c r="B5141" s="1">
        <v>4116344500</v>
      </c>
      <c r="C5141" s="1">
        <v>12</v>
      </c>
      <c r="D5141" s="1" t="s">
        <v>68</v>
      </c>
      <c r="E5141" t="s">
        <v>9907</v>
      </c>
      <c r="F5141" s="1">
        <v>240028</v>
      </c>
      <c r="G5141" s="1">
        <v>2570002256</v>
      </c>
      <c r="H5141" s="1">
        <v>12</v>
      </c>
      <c r="I5141" s="1" t="s">
        <v>68</v>
      </c>
      <c r="J5141" t="s">
        <v>9941</v>
      </c>
    </row>
    <row r="5142" spans="1:10">
      <c r="A5142" s="1">
        <v>427690</v>
      </c>
      <c r="B5142" s="1">
        <v>4116344497</v>
      </c>
      <c r="C5142" s="1">
        <v>12</v>
      </c>
      <c r="D5142" s="1" t="s">
        <v>13</v>
      </c>
      <c r="E5142" t="s">
        <v>9908</v>
      </c>
      <c r="F5142" s="1">
        <v>241752</v>
      </c>
      <c r="G5142" s="1">
        <v>2570001142</v>
      </c>
      <c r="H5142" s="1">
        <v>12</v>
      </c>
      <c r="I5142" s="1" t="s">
        <v>1219</v>
      </c>
      <c r="J5142" t="s">
        <v>9942</v>
      </c>
    </row>
    <row r="5143" spans="1:10">
      <c r="A5143" s="1">
        <v>565986</v>
      </c>
      <c r="B5143" s="1">
        <v>4116344499</v>
      </c>
      <c r="C5143" s="1">
        <v>12</v>
      </c>
      <c r="D5143" s="1" t="s">
        <v>1203</v>
      </c>
      <c r="E5143" t="s">
        <v>9908</v>
      </c>
      <c r="F5143" s="1">
        <v>240044</v>
      </c>
      <c r="G5143" s="1">
        <v>2570002150</v>
      </c>
      <c r="H5143" s="1">
        <v>12</v>
      </c>
      <c r="I5143" s="1" t="s">
        <v>13</v>
      </c>
      <c r="J5143" t="s">
        <v>9943</v>
      </c>
    </row>
    <row r="5144" spans="1:10">
      <c r="A5144" s="1">
        <v>683664</v>
      </c>
      <c r="B5144" s="1">
        <v>4116344507</v>
      </c>
      <c r="C5144" s="1">
        <v>12</v>
      </c>
      <c r="D5144" s="1" t="s">
        <v>68</v>
      </c>
      <c r="E5144" t="s">
        <v>9909</v>
      </c>
      <c r="F5144" s="1">
        <v>240051</v>
      </c>
      <c r="G5144" s="1">
        <v>2570002204</v>
      </c>
      <c r="H5144" s="1">
        <v>12</v>
      </c>
      <c r="I5144" s="1" t="s">
        <v>68</v>
      </c>
      <c r="J5144" t="s">
        <v>9944</v>
      </c>
    </row>
    <row r="5145" spans="1:10">
      <c r="A5145" s="1">
        <v>566000</v>
      </c>
      <c r="B5145" s="1">
        <v>4116345204</v>
      </c>
      <c r="C5145" s="1">
        <v>12</v>
      </c>
      <c r="D5145" s="1" t="s">
        <v>263</v>
      </c>
      <c r="E5145" t="s">
        <v>9910</v>
      </c>
      <c r="F5145" s="1">
        <v>224337</v>
      </c>
      <c r="G5145" s="1">
        <v>2570065645</v>
      </c>
      <c r="H5145" s="1">
        <v>8</v>
      </c>
      <c r="I5145" s="1" t="s">
        <v>12</v>
      </c>
      <c r="J5145" t="s">
        <v>9945</v>
      </c>
    </row>
    <row r="5146" spans="1:10">
      <c r="A5146" s="1">
        <v>693242</v>
      </c>
      <c r="B5146" s="1">
        <v>4116345196</v>
      </c>
      <c r="C5146" s="1">
        <v>12</v>
      </c>
      <c r="D5146" s="1" t="s">
        <v>9061</v>
      </c>
      <c r="E5146" t="s">
        <v>9911</v>
      </c>
      <c r="F5146" s="1">
        <v>242461</v>
      </c>
      <c r="G5146" s="1">
        <v>2570001261</v>
      </c>
      <c r="H5146" s="1">
        <v>12</v>
      </c>
      <c r="I5146" s="1" t="s">
        <v>1212</v>
      </c>
      <c r="J5146" t="s">
        <v>9946</v>
      </c>
    </row>
    <row r="5147" spans="1:10">
      <c r="A5147" s="1">
        <v>682070</v>
      </c>
      <c r="B5147" s="1">
        <v>4116344491</v>
      </c>
      <c r="C5147" s="1">
        <v>12</v>
      </c>
      <c r="D5147" s="1" t="s">
        <v>1219</v>
      </c>
      <c r="E5147" t="s">
        <v>9912</v>
      </c>
      <c r="F5147" s="1">
        <v>21220</v>
      </c>
      <c r="G5147" s="1">
        <v>2570070161</v>
      </c>
      <c r="H5147" s="1">
        <v>6</v>
      </c>
      <c r="I5147" s="1" t="s">
        <v>8</v>
      </c>
      <c r="J5147" t="s">
        <v>9947</v>
      </c>
    </row>
    <row r="5148" spans="1:10">
      <c r="A5148" s="1">
        <v>499798</v>
      </c>
      <c r="B5148" s="1">
        <v>4116344490</v>
      </c>
      <c r="C5148" s="1">
        <v>12</v>
      </c>
      <c r="D5148" s="1" t="s">
        <v>1206</v>
      </c>
      <c r="E5148" t="s">
        <v>9913</v>
      </c>
      <c r="F5148" s="1">
        <v>344416</v>
      </c>
      <c r="G5148" s="1">
        <v>2570070162</v>
      </c>
      <c r="H5148" s="1">
        <v>5</v>
      </c>
      <c r="I5148" s="1" t="s">
        <v>8</v>
      </c>
      <c r="J5148" t="s">
        <v>9948</v>
      </c>
    </row>
    <row r="5149" spans="1:10">
      <c r="A5149" s="1">
        <v>751057</v>
      </c>
      <c r="B5149" s="1">
        <v>4116344487</v>
      </c>
      <c r="C5149" s="1">
        <v>24</v>
      </c>
      <c r="D5149" s="1" t="s">
        <v>9269</v>
      </c>
      <c r="E5149" t="s">
        <v>9914</v>
      </c>
      <c r="F5149" s="1">
        <v>446260</v>
      </c>
      <c r="G5149" s="1">
        <v>2570001132</v>
      </c>
      <c r="H5149" s="1">
        <v>9</v>
      </c>
      <c r="I5149" s="1" t="s">
        <v>10</v>
      </c>
      <c r="J5149" t="s">
        <v>9949</v>
      </c>
    </row>
    <row r="5150" spans="1:10">
      <c r="A5150" s="1">
        <v>357863</v>
      </c>
      <c r="B5150" s="1">
        <v>4116344489</v>
      </c>
      <c r="C5150" s="1">
        <v>12</v>
      </c>
      <c r="D5150" s="1" t="s">
        <v>11</v>
      </c>
      <c r="E5150" t="s">
        <v>9915</v>
      </c>
      <c r="F5150" s="1">
        <v>737734</v>
      </c>
      <c r="G5150" s="1">
        <v>2570070128</v>
      </c>
      <c r="H5150" s="1">
        <v>12</v>
      </c>
      <c r="I5150" s="1" t="s">
        <v>68</v>
      </c>
      <c r="J5150" t="s">
        <v>9950</v>
      </c>
    </row>
    <row r="5151" spans="1:10">
      <c r="A5151" s="1">
        <v>470302</v>
      </c>
      <c r="B5151" s="1">
        <v>4116344488</v>
      </c>
      <c r="C5151" s="1">
        <v>12</v>
      </c>
      <c r="D5151" s="1" t="s">
        <v>1219</v>
      </c>
      <c r="E5151" t="s">
        <v>9915</v>
      </c>
      <c r="F5151" s="1">
        <v>6197</v>
      </c>
      <c r="G5151" s="1">
        <v>2570000389</v>
      </c>
      <c r="H5151" s="1">
        <v>12</v>
      </c>
      <c r="I5151" s="1" t="s">
        <v>68</v>
      </c>
      <c r="J5151" t="s">
        <v>9951</v>
      </c>
    </row>
    <row r="5152" spans="1:10">
      <c r="A5152" s="1">
        <v>169938</v>
      </c>
      <c r="B5152" s="1">
        <v>4116344494</v>
      </c>
      <c r="C5152" s="1">
        <v>12</v>
      </c>
      <c r="D5152" s="1" t="s">
        <v>13</v>
      </c>
      <c r="E5152" t="s">
        <v>9916</v>
      </c>
      <c r="F5152" s="1">
        <v>243899</v>
      </c>
      <c r="G5152" s="1">
        <v>2570000399</v>
      </c>
      <c r="H5152" s="1">
        <v>12</v>
      </c>
      <c r="I5152" s="1" t="s">
        <v>13</v>
      </c>
      <c r="J5152" t="s">
        <v>9952</v>
      </c>
    </row>
    <row r="5153" spans="1:10">
      <c r="A5153" s="1">
        <v>848812</v>
      </c>
      <c r="B5153" s="1">
        <v>4116344495</v>
      </c>
      <c r="C5153" s="1">
        <v>12</v>
      </c>
      <c r="D5153" s="1" t="s">
        <v>1203</v>
      </c>
      <c r="E5153" t="s">
        <v>9916</v>
      </c>
      <c r="F5153" s="1">
        <v>241695</v>
      </c>
      <c r="G5153" s="1">
        <v>2570013895</v>
      </c>
      <c r="H5153" s="1">
        <v>12</v>
      </c>
      <c r="I5153" s="1" t="s">
        <v>9061</v>
      </c>
      <c r="J5153" t="s">
        <v>9953</v>
      </c>
    </row>
    <row r="5154" spans="1:10">
      <c r="A5154" s="1">
        <v>479949</v>
      </c>
      <c r="B5154" s="1">
        <v>4116344505</v>
      </c>
      <c r="C5154" s="1">
        <v>12</v>
      </c>
      <c r="D5154" s="1" t="s">
        <v>68</v>
      </c>
      <c r="E5154" t="s">
        <v>9917</v>
      </c>
      <c r="F5154" s="1">
        <v>242354</v>
      </c>
      <c r="G5154" s="1">
        <v>2570000310</v>
      </c>
      <c r="H5154" s="1">
        <v>9</v>
      </c>
      <c r="I5154" s="1" t="s">
        <v>1219</v>
      </c>
      <c r="J5154" t="s">
        <v>9954</v>
      </c>
    </row>
    <row r="5155" spans="1:10">
      <c r="A5155" s="1">
        <v>487439</v>
      </c>
      <c r="B5155" s="1">
        <v>4116344492</v>
      </c>
      <c r="C5155" s="1">
        <v>12</v>
      </c>
      <c r="D5155" s="1" t="s">
        <v>9</v>
      </c>
      <c r="E5155" t="s">
        <v>9918</v>
      </c>
      <c r="F5155" s="1">
        <v>245225</v>
      </c>
      <c r="G5155" s="1">
        <v>2570018036</v>
      </c>
      <c r="H5155" s="1">
        <v>6</v>
      </c>
      <c r="I5155" s="1" t="s">
        <v>12</v>
      </c>
      <c r="J5155" t="s">
        <v>9955</v>
      </c>
    </row>
    <row r="5156" spans="1:10">
      <c r="A5156" s="1">
        <v>372425</v>
      </c>
      <c r="B5156" s="1">
        <v>4116344493</v>
      </c>
      <c r="C5156" s="1">
        <v>12</v>
      </c>
      <c r="D5156" s="1" t="s">
        <v>1219</v>
      </c>
      <c r="E5156" t="s">
        <v>9918</v>
      </c>
      <c r="F5156" s="1">
        <v>473967</v>
      </c>
      <c r="G5156" s="1">
        <v>2570070055</v>
      </c>
      <c r="H5156" s="1">
        <v>12</v>
      </c>
      <c r="I5156" s="1" t="s">
        <v>47</v>
      </c>
      <c r="J5156" t="s">
        <v>9956</v>
      </c>
    </row>
    <row r="5157" spans="1:10">
      <c r="A5157" s="1">
        <v>696336</v>
      </c>
      <c r="B5157" s="1">
        <v>4116344504</v>
      </c>
      <c r="C5157" s="1">
        <v>12</v>
      </c>
      <c r="D5157" s="1" t="s">
        <v>13</v>
      </c>
      <c r="E5157" t="s">
        <v>9919</v>
      </c>
      <c r="F5157" s="1">
        <v>548248</v>
      </c>
      <c r="G5157" s="1">
        <v>2570070057</v>
      </c>
      <c r="H5157" s="1">
        <v>12</v>
      </c>
      <c r="I5157" s="1" t="s">
        <v>448</v>
      </c>
      <c r="J5157" t="s">
        <v>9957</v>
      </c>
    </row>
    <row r="5158" spans="1:10">
      <c r="A5158" s="1">
        <v>391219</v>
      </c>
      <c r="B5158" s="1">
        <v>4116345200</v>
      </c>
      <c r="C5158" s="1">
        <v>12</v>
      </c>
      <c r="D5158" s="1" t="s">
        <v>1220</v>
      </c>
      <c r="E5158" t="s">
        <v>9920</v>
      </c>
      <c r="F5158" s="1">
        <v>147777</v>
      </c>
      <c r="G5158" s="1">
        <v>2570070056</v>
      </c>
      <c r="H5158" s="1">
        <v>12</v>
      </c>
      <c r="I5158" s="1" t="s">
        <v>47</v>
      </c>
      <c r="J5158" t="s">
        <v>9958</v>
      </c>
    </row>
    <row r="5159" spans="1:10">
      <c r="A5159" s="1">
        <v>540278</v>
      </c>
      <c r="B5159" s="1">
        <v>4116345198</v>
      </c>
      <c r="C5159" s="1">
        <v>12</v>
      </c>
      <c r="D5159" s="1" t="s">
        <v>1206</v>
      </c>
      <c r="E5159" t="s">
        <v>9921</v>
      </c>
      <c r="F5159" s="1">
        <v>222729</v>
      </c>
      <c r="G5159" s="1">
        <v>2570024307</v>
      </c>
      <c r="H5159" s="1">
        <v>12</v>
      </c>
      <c r="I5159" s="1" t="s">
        <v>1206</v>
      </c>
      <c r="J5159" t="s">
        <v>9959</v>
      </c>
    </row>
    <row r="5160" spans="1:10">
      <c r="A5160" s="1">
        <v>283598</v>
      </c>
      <c r="B5160" s="1">
        <v>4116344545</v>
      </c>
      <c r="C5160" s="1">
        <v>6</v>
      </c>
      <c r="D5160" s="1" t="s">
        <v>12</v>
      </c>
      <c r="E5160" t="s">
        <v>9922</v>
      </c>
      <c r="F5160" s="1">
        <v>842237</v>
      </c>
      <c r="G5160" s="1">
        <v>2570095689</v>
      </c>
      <c r="H5160" s="1">
        <v>12</v>
      </c>
      <c r="I5160" s="1" t="s">
        <v>10</v>
      </c>
      <c r="J5160" t="s">
        <v>9960</v>
      </c>
    </row>
    <row r="5161" spans="1:10">
      <c r="A5161" s="1">
        <v>468637</v>
      </c>
      <c r="B5161" s="1">
        <v>4116344544</v>
      </c>
      <c r="C5161" s="1">
        <v>6</v>
      </c>
      <c r="D5161" s="1" t="s">
        <v>12</v>
      </c>
      <c r="E5161" t="s">
        <v>9923</v>
      </c>
      <c r="F5161" s="1">
        <v>242511</v>
      </c>
      <c r="G5161" s="1">
        <v>2570010880</v>
      </c>
      <c r="H5161" s="1">
        <v>6</v>
      </c>
      <c r="I5161" s="1" t="s">
        <v>6</v>
      </c>
      <c r="J5161" t="s">
        <v>9961</v>
      </c>
    </row>
    <row r="5162" spans="1:10">
      <c r="A5162" s="1">
        <v>823849</v>
      </c>
      <c r="B5162" s="1">
        <v>4116344541</v>
      </c>
      <c r="C5162" s="1">
        <v>6</v>
      </c>
      <c r="D5162" s="1" t="s">
        <v>5</v>
      </c>
      <c r="E5162" t="s">
        <v>9924</v>
      </c>
      <c r="F5162" s="1">
        <v>241547</v>
      </c>
      <c r="G5162" s="1">
        <v>2570000388</v>
      </c>
      <c r="H5162" s="1">
        <v>12</v>
      </c>
      <c r="I5162" s="1" t="s">
        <v>13</v>
      </c>
      <c r="J5162" t="s">
        <v>9962</v>
      </c>
    </row>
    <row r="5163" spans="1:10">
      <c r="A5163" s="1">
        <v>820514</v>
      </c>
      <c r="B5163" s="1">
        <v>4116344543</v>
      </c>
      <c r="C5163" s="1">
        <v>6</v>
      </c>
      <c r="D5163" s="1" t="s">
        <v>7</v>
      </c>
      <c r="E5163" t="s">
        <v>9925</v>
      </c>
      <c r="F5163" s="1">
        <v>240085</v>
      </c>
      <c r="G5163" s="1">
        <v>2570000350</v>
      </c>
      <c r="H5163" s="1">
        <v>12</v>
      </c>
      <c r="I5163" s="1" t="s">
        <v>13</v>
      </c>
      <c r="J5163" t="s">
        <v>9963</v>
      </c>
    </row>
    <row r="5164" spans="1:10">
      <c r="A5164" s="1">
        <v>816843</v>
      </c>
      <c r="B5164" s="1">
        <v>4116344542</v>
      </c>
      <c r="C5164" s="1">
        <v>6</v>
      </c>
      <c r="D5164" s="1" t="s">
        <v>5</v>
      </c>
      <c r="E5164" t="s">
        <v>9926</v>
      </c>
      <c r="F5164" s="1">
        <v>240077</v>
      </c>
      <c r="G5164" s="1">
        <v>2570000330</v>
      </c>
      <c r="H5164" s="1">
        <v>12</v>
      </c>
      <c r="I5164" s="1" t="s">
        <v>9</v>
      </c>
      <c r="J5164" t="s">
        <v>9964</v>
      </c>
    </row>
    <row r="5165" spans="1:10">
      <c r="A5165" s="1">
        <v>190280</v>
      </c>
      <c r="B5165" s="1">
        <v>4116344547</v>
      </c>
      <c r="C5165" s="1">
        <v>6</v>
      </c>
      <c r="D5165" s="1" t="s">
        <v>7123</v>
      </c>
      <c r="E5165" t="s">
        <v>9927</v>
      </c>
      <c r="F5165" s="1">
        <v>242867</v>
      </c>
      <c r="G5165" s="1">
        <v>2570020877</v>
      </c>
      <c r="H5165" s="1">
        <v>6</v>
      </c>
      <c r="I5165" s="1" t="s">
        <v>7</v>
      </c>
      <c r="J5165" t="s">
        <v>9965</v>
      </c>
    </row>
    <row r="5166" spans="1:10">
      <c r="A5166" s="1">
        <v>866244</v>
      </c>
      <c r="B5166" s="1">
        <v>4116344546</v>
      </c>
      <c r="C5166" s="1">
        <v>6</v>
      </c>
      <c r="D5166" s="1" t="s">
        <v>12</v>
      </c>
      <c r="E5166" t="s">
        <v>9927</v>
      </c>
      <c r="F5166" s="1">
        <v>242503</v>
      </c>
      <c r="G5166" s="1">
        <v>2570010878</v>
      </c>
      <c r="H5166" s="1">
        <v>6</v>
      </c>
      <c r="I5166" s="1" t="s">
        <v>5</v>
      </c>
      <c r="J5166" t="s">
        <v>9966</v>
      </c>
    </row>
    <row r="5167" spans="1:10" ht="15.75">
      <c r="A5167" s="4" t="s">
        <v>10841</v>
      </c>
      <c r="B5167" s="2"/>
      <c r="C5167" s="2"/>
      <c r="D5167" s="2"/>
      <c r="E5167" s="3"/>
      <c r="F5167" s="4" t="s">
        <v>10843</v>
      </c>
      <c r="G5167" s="2"/>
      <c r="H5167" s="2"/>
      <c r="I5167" s="2"/>
      <c r="J5167" s="3"/>
    </row>
    <row r="5168" spans="1:10">
      <c r="A5168" s="2" t="s">
        <v>0</v>
      </c>
      <c r="B5168" s="2" t="s">
        <v>1</v>
      </c>
      <c r="C5168" s="2" t="s">
        <v>2</v>
      </c>
      <c r="D5168" s="2" t="s">
        <v>3</v>
      </c>
      <c r="E5168" s="3" t="s">
        <v>4</v>
      </c>
      <c r="F5168" s="2" t="s">
        <v>0</v>
      </c>
      <c r="G5168" s="2" t="s">
        <v>1</v>
      </c>
      <c r="H5168" s="2" t="s">
        <v>2</v>
      </c>
      <c r="I5168" s="2" t="s">
        <v>3</v>
      </c>
      <c r="J5168" s="3" t="s">
        <v>4</v>
      </c>
    </row>
    <row r="5169" spans="1:10">
      <c r="A5169" s="1">
        <v>242651</v>
      </c>
      <c r="B5169" s="1">
        <v>2570010885</v>
      </c>
      <c r="C5169" s="1">
        <v>6</v>
      </c>
      <c r="D5169" s="1" t="s">
        <v>7123</v>
      </c>
      <c r="E5169" t="s">
        <v>9967</v>
      </c>
      <c r="F5169" s="1">
        <v>246702</v>
      </c>
      <c r="G5169" s="1">
        <v>1090001331</v>
      </c>
      <c r="H5169" s="1">
        <v>24</v>
      </c>
      <c r="I5169" s="1" t="s">
        <v>10003</v>
      </c>
      <c r="J5169" t="s">
        <v>10009</v>
      </c>
    </row>
    <row r="5170" spans="1:10">
      <c r="A5170" s="1">
        <v>242529</v>
      </c>
      <c r="B5170" s="1">
        <v>2570010875</v>
      </c>
      <c r="C5170" s="1">
        <v>6</v>
      </c>
      <c r="D5170" s="1" t="s">
        <v>5</v>
      </c>
      <c r="E5170" t="s">
        <v>9968</v>
      </c>
      <c r="F5170" s="1">
        <v>42416</v>
      </c>
      <c r="G5170" s="1">
        <v>1090000557</v>
      </c>
      <c r="H5170" s="1">
        <v>16</v>
      </c>
      <c r="I5170" s="1" t="s">
        <v>10010</v>
      </c>
      <c r="J5170" t="s">
        <v>10011</v>
      </c>
    </row>
    <row r="5171" spans="1:10">
      <c r="A5171" s="1">
        <v>821033</v>
      </c>
      <c r="B5171" s="1">
        <v>2570015606</v>
      </c>
      <c r="C5171" s="1">
        <v>12</v>
      </c>
      <c r="D5171" s="1" t="s">
        <v>1220</v>
      </c>
      <c r="E5171" t="s">
        <v>9969</v>
      </c>
      <c r="F5171" s="1">
        <v>242552</v>
      </c>
      <c r="G5171" s="1">
        <v>2570000240</v>
      </c>
      <c r="H5171" s="1">
        <v>12</v>
      </c>
      <c r="I5171" s="1" t="s">
        <v>9979</v>
      </c>
      <c r="J5171" t="s">
        <v>10012</v>
      </c>
    </row>
    <row r="5172" spans="1:10">
      <c r="A5172" s="1">
        <v>328609</v>
      </c>
      <c r="B5172" s="1">
        <v>2570015621</v>
      </c>
      <c r="C5172" s="1">
        <v>12</v>
      </c>
      <c r="D5172" s="1" t="s">
        <v>1220</v>
      </c>
      <c r="E5172" t="s">
        <v>9970</v>
      </c>
      <c r="F5172" s="1">
        <v>243881</v>
      </c>
      <c r="G5172" s="1">
        <v>2570000130</v>
      </c>
      <c r="H5172" s="1">
        <v>12</v>
      </c>
      <c r="I5172" s="1" t="s">
        <v>9996</v>
      </c>
      <c r="J5172" t="s">
        <v>10013</v>
      </c>
    </row>
    <row r="5173" spans="1:10">
      <c r="A5173" s="1">
        <v>735134</v>
      </c>
      <c r="B5173" s="1">
        <v>2570070985</v>
      </c>
      <c r="C5173" s="1">
        <v>12</v>
      </c>
      <c r="D5173" s="1" t="s">
        <v>1206</v>
      </c>
      <c r="E5173" t="s">
        <v>9971</v>
      </c>
      <c r="F5173" s="1">
        <v>462671</v>
      </c>
      <c r="G5173" s="1">
        <v>4113030927</v>
      </c>
      <c r="H5173" s="1">
        <v>24</v>
      </c>
      <c r="I5173" s="1" t="s">
        <v>9996</v>
      </c>
      <c r="J5173" t="s">
        <v>10014</v>
      </c>
    </row>
    <row r="5174" spans="1:10" ht="15.75">
      <c r="A5174" s="1">
        <v>242826</v>
      </c>
      <c r="B5174" s="1">
        <v>2570030879</v>
      </c>
      <c r="C5174" s="1">
        <v>6</v>
      </c>
      <c r="D5174" s="1" t="s">
        <v>6</v>
      </c>
      <c r="E5174" t="s">
        <v>9972</v>
      </c>
      <c r="F5174" s="4" t="s">
        <v>10844</v>
      </c>
      <c r="G5174" s="2"/>
      <c r="H5174" s="2"/>
      <c r="I5174" s="2"/>
      <c r="J5174" s="3"/>
    </row>
    <row r="5175" spans="1:10" ht="15.75">
      <c r="A5175" s="4" t="s">
        <v>10842</v>
      </c>
      <c r="B5175" s="2"/>
      <c r="C5175" s="2"/>
      <c r="D5175" s="2"/>
      <c r="E5175" s="3"/>
      <c r="F5175" s="2" t="s">
        <v>0</v>
      </c>
      <c r="G5175" s="2" t="s">
        <v>1</v>
      </c>
      <c r="H5175" s="2" t="s">
        <v>2</v>
      </c>
      <c r="I5175" s="2" t="s">
        <v>3</v>
      </c>
      <c r="J5175" s="3" t="s">
        <v>4</v>
      </c>
    </row>
    <row r="5176" spans="1:10">
      <c r="A5176" s="2" t="s">
        <v>0</v>
      </c>
      <c r="B5176" s="2" t="s">
        <v>1</v>
      </c>
      <c r="C5176" s="2" t="s">
        <v>2</v>
      </c>
      <c r="D5176" s="2" t="s">
        <v>3</v>
      </c>
      <c r="E5176" s="3" t="s">
        <v>4</v>
      </c>
      <c r="F5176" s="1">
        <v>358630</v>
      </c>
      <c r="G5176" s="1">
        <v>73291313724</v>
      </c>
      <c r="H5176" s="1">
        <v>12</v>
      </c>
      <c r="I5176" s="1" t="s">
        <v>10031</v>
      </c>
      <c r="J5176" t="s">
        <v>10032</v>
      </c>
    </row>
    <row r="5177" spans="1:10">
      <c r="A5177" s="1">
        <v>130450</v>
      </c>
      <c r="B5177" s="1">
        <v>4116344823</v>
      </c>
      <c r="C5177" s="1">
        <v>20</v>
      </c>
      <c r="D5177" s="1" t="s">
        <v>9973</v>
      </c>
      <c r="E5177" t="s">
        <v>9974</v>
      </c>
      <c r="F5177" s="1">
        <v>509612</v>
      </c>
      <c r="G5177" s="1">
        <v>73291313726</v>
      </c>
      <c r="H5177" s="1">
        <v>4</v>
      </c>
      <c r="I5177" s="1" t="s">
        <v>10031</v>
      </c>
      <c r="J5177" t="s">
        <v>10033</v>
      </c>
    </row>
    <row r="5178" spans="1:10">
      <c r="A5178" s="1">
        <v>470344</v>
      </c>
      <c r="B5178" s="1">
        <v>4116344821</v>
      </c>
      <c r="C5178" s="1">
        <v>35</v>
      </c>
      <c r="D5178" s="1" t="s">
        <v>9975</v>
      </c>
      <c r="E5178" t="s">
        <v>9976</v>
      </c>
      <c r="F5178" s="1">
        <v>407759</v>
      </c>
      <c r="G5178" s="1">
        <v>3040076499</v>
      </c>
      <c r="H5178" s="1">
        <v>5</v>
      </c>
      <c r="I5178" s="1" t="s">
        <v>10034</v>
      </c>
      <c r="J5178" t="s">
        <v>10035</v>
      </c>
    </row>
    <row r="5179" spans="1:10">
      <c r="A5179" s="1">
        <v>352740</v>
      </c>
      <c r="B5179" s="1">
        <v>4116344822</v>
      </c>
      <c r="C5179" s="1">
        <v>35</v>
      </c>
      <c r="D5179" s="1" t="s">
        <v>9977</v>
      </c>
      <c r="E5179" t="s">
        <v>9978</v>
      </c>
      <c r="F5179" s="1">
        <v>704080</v>
      </c>
      <c r="G5179" s="1">
        <v>3040076705</v>
      </c>
      <c r="H5179" s="1">
        <v>2</v>
      </c>
      <c r="I5179" s="1" t="s">
        <v>10036</v>
      </c>
      <c r="J5179" t="s">
        <v>10037</v>
      </c>
    </row>
    <row r="5180" spans="1:10">
      <c r="A5180" s="1">
        <v>311530</v>
      </c>
      <c r="B5180" s="1">
        <v>4116344819</v>
      </c>
      <c r="C5180" s="1">
        <v>12</v>
      </c>
      <c r="D5180" s="1" t="s">
        <v>9979</v>
      </c>
      <c r="E5180" t="s">
        <v>9980</v>
      </c>
      <c r="F5180" s="1">
        <v>557553</v>
      </c>
      <c r="G5180" s="1">
        <v>3040076722</v>
      </c>
      <c r="H5180" s="1">
        <v>4</v>
      </c>
      <c r="I5180" s="1" t="s">
        <v>10034</v>
      </c>
      <c r="J5180" t="s">
        <v>10038</v>
      </c>
    </row>
    <row r="5181" spans="1:10">
      <c r="A5181" s="1">
        <v>889642</v>
      </c>
      <c r="B5181" s="1">
        <v>4116344817</v>
      </c>
      <c r="C5181" s="1">
        <v>35</v>
      </c>
      <c r="D5181" s="1" t="s">
        <v>9981</v>
      </c>
      <c r="E5181" t="s">
        <v>9980</v>
      </c>
      <c r="F5181" s="1">
        <v>506238</v>
      </c>
      <c r="G5181" s="1">
        <v>3040076243</v>
      </c>
      <c r="H5181" s="1">
        <v>12</v>
      </c>
      <c r="I5181" s="1" t="s">
        <v>10039</v>
      </c>
      <c r="J5181" t="s">
        <v>10040</v>
      </c>
    </row>
    <row r="5182" spans="1:10">
      <c r="A5182" s="1">
        <v>752188</v>
      </c>
      <c r="B5182" s="1">
        <v>4116344818</v>
      </c>
      <c r="C5182" s="1">
        <v>35</v>
      </c>
      <c r="D5182" s="1" t="s">
        <v>9973</v>
      </c>
      <c r="E5182" t="s">
        <v>9980</v>
      </c>
      <c r="F5182" s="1">
        <v>846295</v>
      </c>
      <c r="G5182" s="1">
        <v>3040076103</v>
      </c>
      <c r="H5182" s="1">
        <v>24</v>
      </c>
      <c r="I5182" s="1" t="s">
        <v>10041</v>
      </c>
      <c r="J5182" t="s">
        <v>10042</v>
      </c>
    </row>
    <row r="5183" spans="1:10">
      <c r="A5183" s="1">
        <v>323592</v>
      </c>
      <c r="B5183" s="1">
        <v>1090008202</v>
      </c>
      <c r="C5183" s="1">
        <v>35</v>
      </c>
      <c r="D5183" s="1" t="s">
        <v>9982</v>
      </c>
      <c r="E5183" t="s">
        <v>9983</v>
      </c>
      <c r="F5183" s="1">
        <v>622944</v>
      </c>
      <c r="G5183" s="1">
        <v>3040076388</v>
      </c>
      <c r="H5183" s="1">
        <v>10</v>
      </c>
      <c r="I5183" s="1" t="s">
        <v>10043</v>
      </c>
      <c r="J5183" t="s">
        <v>10044</v>
      </c>
    </row>
    <row r="5184" spans="1:10">
      <c r="A5184" s="1">
        <v>704668</v>
      </c>
      <c r="B5184" s="1">
        <v>1090008201</v>
      </c>
      <c r="C5184" s="1">
        <v>35</v>
      </c>
      <c r="D5184" s="1" t="s">
        <v>9977</v>
      </c>
      <c r="E5184" t="s">
        <v>9984</v>
      </c>
      <c r="F5184" s="1">
        <v>681239</v>
      </c>
      <c r="G5184" s="1">
        <v>3040076426</v>
      </c>
      <c r="H5184" s="1">
        <v>5</v>
      </c>
      <c r="I5184" s="1" t="s">
        <v>10045</v>
      </c>
      <c r="J5184" t="s">
        <v>10046</v>
      </c>
    </row>
    <row r="5185" spans="1:10">
      <c r="A5185" s="1">
        <v>242313</v>
      </c>
      <c r="B5185" s="1">
        <v>1090000018</v>
      </c>
      <c r="C5185" s="1">
        <v>12</v>
      </c>
      <c r="D5185" s="1" t="s">
        <v>9979</v>
      </c>
      <c r="E5185" t="s">
        <v>9985</v>
      </c>
      <c r="F5185" s="1">
        <v>344473</v>
      </c>
      <c r="G5185" s="1">
        <v>3040076123</v>
      </c>
      <c r="H5185" s="1">
        <v>24</v>
      </c>
      <c r="I5185" s="1" t="s">
        <v>10041</v>
      </c>
      <c r="J5185" t="s">
        <v>10047</v>
      </c>
    </row>
    <row r="5186" spans="1:10">
      <c r="A5186" s="1">
        <v>60723</v>
      </c>
      <c r="B5186" s="1">
        <v>1090000015</v>
      </c>
      <c r="C5186" s="1">
        <v>35</v>
      </c>
      <c r="D5186" s="1" t="s">
        <v>9973</v>
      </c>
      <c r="E5186" t="s">
        <v>9985</v>
      </c>
      <c r="F5186" s="1">
        <v>415604</v>
      </c>
      <c r="G5186" s="1">
        <v>3040076431</v>
      </c>
      <c r="H5186" s="1">
        <v>8</v>
      </c>
      <c r="I5186" s="1" t="s">
        <v>10043</v>
      </c>
      <c r="J5186" t="s">
        <v>10048</v>
      </c>
    </row>
    <row r="5187" spans="1:10">
      <c r="A5187" s="1">
        <v>242248</v>
      </c>
      <c r="B5187" s="1">
        <v>1090000024</v>
      </c>
      <c r="C5187" s="1">
        <v>24</v>
      </c>
      <c r="D5187" s="1" t="s">
        <v>9975</v>
      </c>
      <c r="E5187" t="s">
        <v>9986</v>
      </c>
      <c r="F5187" s="1">
        <v>476564</v>
      </c>
      <c r="G5187" s="1">
        <v>3040076392</v>
      </c>
      <c r="H5187" s="1">
        <v>5</v>
      </c>
      <c r="I5187" s="1" t="s">
        <v>10049</v>
      </c>
      <c r="J5187" t="s">
        <v>10050</v>
      </c>
    </row>
    <row r="5188" spans="1:10">
      <c r="A5188" s="1">
        <v>241778</v>
      </c>
      <c r="B5188" s="1">
        <v>1090000510</v>
      </c>
      <c r="C5188" s="1">
        <v>24</v>
      </c>
      <c r="D5188" s="1" t="s">
        <v>7123</v>
      </c>
      <c r="E5188" t="s">
        <v>9987</v>
      </c>
      <c r="F5188" s="1">
        <v>470971</v>
      </c>
      <c r="G5188" s="1">
        <v>3700012375</v>
      </c>
      <c r="H5188" s="1">
        <v>5</v>
      </c>
      <c r="I5188" s="1" t="s">
        <v>10051</v>
      </c>
      <c r="J5188" t="s">
        <v>10052</v>
      </c>
    </row>
    <row r="5189" spans="1:10">
      <c r="A5189" s="1">
        <v>241224</v>
      </c>
      <c r="B5189" s="1">
        <v>1090000531</v>
      </c>
      <c r="C5189" s="1">
        <v>12</v>
      </c>
      <c r="D5189" s="1" t="s">
        <v>5</v>
      </c>
      <c r="E5189" t="s">
        <v>9988</v>
      </c>
      <c r="F5189" s="1">
        <v>667725</v>
      </c>
      <c r="G5189" s="1">
        <v>3700012397</v>
      </c>
      <c r="H5189" s="1">
        <v>1</v>
      </c>
      <c r="I5189" s="1" t="s">
        <v>10053</v>
      </c>
      <c r="J5189" t="s">
        <v>10054</v>
      </c>
    </row>
    <row r="5190" spans="1:10">
      <c r="A5190" s="1">
        <v>215194</v>
      </c>
      <c r="B5190" s="1">
        <v>1090000103</v>
      </c>
      <c r="C5190" s="1">
        <v>9</v>
      </c>
      <c r="D5190" s="1" t="s">
        <v>1219</v>
      </c>
      <c r="E5190" t="s">
        <v>9989</v>
      </c>
      <c r="F5190" s="1">
        <v>368027</v>
      </c>
      <c r="G5190" s="1">
        <v>3700012387</v>
      </c>
      <c r="H5190" s="1">
        <v>1</v>
      </c>
      <c r="I5190" s="1" t="s">
        <v>10051</v>
      </c>
      <c r="J5190" t="s">
        <v>10055</v>
      </c>
    </row>
    <row r="5191" spans="1:10">
      <c r="A5191" s="1">
        <v>764282</v>
      </c>
      <c r="B5191" s="1">
        <v>1090000028</v>
      </c>
      <c r="C5191" s="1">
        <v>20</v>
      </c>
      <c r="D5191" s="1" t="s">
        <v>9973</v>
      </c>
      <c r="E5191" t="s">
        <v>9990</v>
      </c>
      <c r="F5191" s="1">
        <v>583120</v>
      </c>
      <c r="G5191" s="1">
        <v>3700012370</v>
      </c>
      <c r="H5191" s="1">
        <v>10</v>
      </c>
      <c r="I5191" s="1" t="s">
        <v>10056</v>
      </c>
      <c r="J5191" t="s">
        <v>10057</v>
      </c>
    </row>
    <row r="5192" spans="1:10">
      <c r="A5192" s="1">
        <v>468124</v>
      </c>
      <c r="B5192" s="1">
        <v>1090000021</v>
      </c>
      <c r="C5192" s="1">
        <v>35</v>
      </c>
      <c r="D5192" s="1" t="s">
        <v>9977</v>
      </c>
      <c r="E5192" t="s">
        <v>9991</v>
      </c>
      <c r="F5192" s="1">
        <v>198622</v>
      </c>
      <c r="G5192" s="1">
        <v>3700012367</v>
      </c>
      <c r="H5192" s="1">
        <v>24</v>
      </c>
      <c r="I5192" s="1" t="s">
        <v>10029</v>
      </c>
      <c r="J5192" t="s">
        <v>10058</v>
      </c>
    </row>
    <row r="5193" spans="1:10">
      <c r="A5193" s="1">
        <v>241729</v>
      </c>
      <c r="B5193" s="1">
        <v>1090000114</v>
      </c>
      <c r="C5193" s="1">
        <v>24</v>
      </c>
      <c r="D5193" s="1" t="s">
        <v>9982</v>
      </c>
      <c r="E5193" t="s">
        <v>9992</v>
      </c>
      <c r="F5193" s="1">
        <v>289843</v>
      </c>
      <c r="G5193" s="1">
        <v>3700012371</v>
      </c>
      <c r="H5193" s="1">
        <v>10</v>
      </c>
      <c r="I5193" s="1" t="s">
        <v>10059</v>
      </c>
      <c r="J5193" t="s">
        <v>10060</v>
      </c>
    </row>
    <row r="5194" spans="1:10">
      <c r="A5194" s="1">
        <v>449769</v>
      </c>
      <c r="B5194" s="1">
        <v>1090000010</v>
      </c>
      <c r="C5194" s="1">
        <v>35</v>
      </c>
      <c r="D5194" s="1" t="s">
        <v>9981</v>
      </c>
      <c r="E5194" t="s">
        <v>9993</v>
      </c>
      <c r="F5194" s="1">
        <v>472431</v>
      </c>
      <c r="G5194" s="1">
        <v>3700012384</v>
      </c>
      <c r="H5194" s="1">
        <v>3</v>
      </c>
      <c r="I5194" s="1" t="s">
        <v>10051</v>
      </c>
      <c r="J5194" t="s">
        <v>10061</v>
      </c>
    </row>
    <row r="5195" spans="1:10">
      <c r="A5195" s="1">
        <v>370551</v>
      </c>
      <c r="B5195" s="1">
        <v>1090000504</v>
      </c>
      <c r="C5195" s="1">
        <v>12</v>
      </c>
      <c r="D5195" s="1" t="s">
        <v>6</v>
      </c>
      <c r="E5195" t="s">
        <v>9994</v>
      </c>
      <c r="F5195" s="1">
        <v>644872</v>
      </c>
      <c r="G5195" s="1">
        <v>3700012385</v>
      </c>
      <c r="H5195" s="1">
        <v>4</v>
      </c>
      <c r="I5195" s="1" t="s">
        <v>10062</v>
      </c>
      <c r="J5195" t="s">
        <v>10063</v>
      </c>
    </row>
    <row r="5196" spans="1:10">
      <c r="A5196" s="1">
        <v>453100</v>
      </c>
      <c r="B5196" s="1">
        <v>4113030319</v>
      </c>
      <c r="C5196" s="1">
        <v>35</v>
      </c>
      <c r="D5196" s="1" t="s">
        <v>9981</v>
      </c>
      <c r="E5196" t="s">
        <v>9995</v>
      </c>
      <c r="F5196" s="1">
        <v>833806</v>
      </c>
      <c r="G5196" s="1">
        <v>3700006494</v>
      </c>
      <c r="H5196" s="1">
        <v>4</v>
      </c>
      <c r="I5196" s="1" t="s">
        <v>10034</v>
      </c>
      <c r="J5196" t="s">
        <v>10064</v>
      </c>
    </row>
    <row r="5197" spans="1:10" ht="15.75">
      <c r="A5197" s="4" t="s">
        <v>10843</v>
      </c>
      <c r="B5197" s="2"/>
      <c r="C5197" s="2"/>
      <c r="D5197" s="2"/>
      <c r="E5197" s="3"/>
      <c r="F5197" s="1">
        <v>535237</v>
      </c>
      <c r="G5197" s="1">
        <v>3700021789</v>
      </c>
      <c r="H5197" s="1">
        <v>4</v>
      </c>
      <c r="I5197" s="1" t="s">
        <v>43</v>
      </c>
      <c r="J5197" t="s">
        <v>10065</v>
      </c>
    </row>
    <row r="5198" spans="1:10">
      <c r="A5198" s="2" t="s">
        <v>0</v>
      </c>
      <c r="B5198" s="2" t="s">
        <v>1</v>
      </c>
      <c r="C5198" s="2" t="s">
        <v>2</v>
      </c>
      <c r="D5198" s="2" t="s">
        <v>3</v>
      </c>
      <c r="E5198" s="3" t="s">
        <v>4</v>
      </c>
      <c r="F5198" s="1">
        <v>19018</v>
      </c>
      <c r="G5198" s="1">
        <v>3700021791</v>
      </c>
      <c r="H5198" s="1">
        <v>4</v>
      </c>
      <c r="I5198" s="1" t="s">
        <v>43</v>
      </c>
      <c r="J5198" t="s">
        <v>10066</v>
      </c>
    </row>
    <row r="5199" spans="1:10">
      <c r="A5199" s="1">
        <v>242263</v>
      </c>
      <c r="B5199" s="1">
        <v>1258700010</v>
      </c>
      <c r="C5199" s="1">
        <v>16</v>
      </c>
      <c r="D5199" s="1" t="s">
        <v>9996</v>
      </c>
      <c r="E5199" t="s">
        <v>9997</v>
      </c>
      <c r="F5199" s="1">
        <v>455725</v>
      </c>
      <c r="G5199" s="1">
        <v>3700005374</v>
      </c>
      <c r="H5199" s="1">
        <v>12</v>
      </c>
      <c r="I5199" s="1" t="s">
        <v>1203</v>
      </c>
      <c r="J5199" t="s">
        <v>10067</v>
      </c>
    </row>
    <row r="5200" spans="1:10">
      <c r="A5200" s="1">
        <v>242784</v>
      </c>
      <c r="B5200" s="1">
        <v>1258770460</v>
      </c>
      <c r="C5200" s="1">
        <v>10</v>
      </c>
      <c r="D5200" s="1" t="s">
        <v>9998</v>
      </c>
      <c r="E5200" t="s">
        <v>9999</v>
      </c>
      <c r="F5200" s="1">
        <v>780940</v>
      </c>
      <c r="G5200" s="1">
        <v>3700007287</v>
      </c>
      <c r="H5200" s="1">
        <v>10</v>
      </c>
      <c r="I5200" s="1" t="s">
        <v>10068</v>
      </c>
      <c r="J5200" t="s">
        <v>10069</v>
      </c>
    </row>
    <row r="5201" spans="1:10">
      <c r="A5201" s="1">
        <v>242818</v>
      </c>
      <c r="B5201" s="1">
        <v>1258770441</v>
      </c>
      <c r="C5201" s="1">
        <v>12</v>
      </c>
      <c r="D5201" s="1" t="s">
        <v>10000</v>
      </c>
      <c r="E5201" t="s">
        <v>10001</v>
      </c>
      <c r="F5201" s="1">
        <v>497875</v>
      </c>
      <c r="G5201" s="1">
        <v>3700006443</v>
      </c>
      <c r="H5201" s="1">
        <v>5</v>
      </c>
      <c r="I5201" s="1" t="s">
        <v>10051</v>
      </c>
      <c r="J5201" t="s">
        <v>10070</v>
      </c>
    </row>
    <row r="5202" spans="1:10">
      <c r="A5202" s="1">
        <v>242644</v>
      </c>
      <c r="B5202" s="1">
        <v>1258700020</v>
      </c>
      <c r="C5202" s="1">
        <v>12</v>
      </c>
      <c r="D5202" s="1" t="s">
        <v>9979</v>
      </c>
      <c r="E5202" t="s">
        <v>10002</v>
      </c>
      <c r="F5202" s="1">
        <v>316711</v>
      </c>
      <c r="G5202" s="1">
        <v>3700006447</v>
      </c>
      <c r="H5202" s="1">
        <v>1</v>
      </c>
      <c r="I5202" s="1" t="s">
        <v>10053</v>
      </c>
      <c r="J5202" t="s">
        <v>10071</v>
      </c>
    </row>
    <row r="5203" spans="1:10">
      <c r="A5203" s="1">
        <v>677336</v>
      </c>
      <c r="B5203" s="1">
        <v>4116344824</v>
      </c>
      <c r="C5203" s="1">
        <v>24</v>
      </c>
      <c r="D5203" s="1" t="s">
        <v>10003</v>
      </c>
      <c r="E5203" t="s">
        <v>10004</v>
      </c>
      <c r="F5203" s="1">
        <v>483636</v>
      </c>
      <c r="G5203" s="1">
        <v>3700006437</v>
      </c>
      <c r="H5203" s="1">
        <v>10</v>
      </c>
      <c r="I5203" s="1" t="s">
        <v>10056</v>
      </c>
      <c r="J5203" t="s">
        <v>10072</v>
      </c>
    </row>
    <row r="5204" spans="1:10">
      <c r="A5204" s="1">
        <v>447219</v>
      </c>
      <c r="B5204" s="1">
        <v>4116344820</v>
      </c>
      <c r="C5204" s="1">
        <v>24</v>
      </c>
      <c r="D5204" s="1" t="s">
        <v>9973</v>
      </c>
      <c r="E5204" t="s">
        <v>10005</v>
      </c>
      <c r="F5204" s="1">
        <v>543249</v>
      </c>
      <c r="G5204" s="1">
        <v>3700006440</v>
      </c>
      <c r="H5204" s="1">
        <v>10</v>
      </c>
      <c r="I5204" s="1" t="s">
        <v>10059</v>
      </c>
      <c r="J5204" t="s">
        <v>10073</v>
      </c>
    </row>
    <row r="5205" spans="1:10">
      <c r="A5205" s="1">
        <v>756239</v>
      </c>
      <c r="B5205" s="1">
        <v>4116344510</v>
      </c>
      <c r="C5205" s="1">
        <v>12</v>
      </c>
      <c r="D5205" s="1" t="s">
        <v>9979</v>
      </c>
      <c r="E5205" t="s">
        <v>10006</v>
      </c>
      <c r="F5205" s="1">
        <v>303321</v>
      </c>
      <c r="G5205" s="1">
        <v>3700006476</v>
      </c>
      <c r="H5205" s="1">
        <v>3</v>
      </c>
      <c r="I5205" s="1" t="s">
        <v>10051</v>
      </c>
      <c r="J5205" t="s">
        <v>10074</v>
      </c>
    </row>
    <row r="5206" spans="1:10">
      <c r="A5206" s="1">
        <v>378729</v>
      </c>
      <c r="B5206" s="1">
        <v>4116344511</v>
      </c>
      <c r="C5206" s="1">
        <v>12</v>
      </c>
      <c r="D5206" s="1" t="s">
        <v>9979</v>
      </c>
      <c r="E5206" t="s">
        <v>10007</v>
      </c>
      <c r="F5206" s="1">
        <v>296343</v>
      </c>
      <c r="G5206" s="1">
        <v>3700006477</v>
      </c>
      <c r="H5206" s="1">
        <v>4</v>
      </c>
      <c r="I5206" s="1" t="s">
        <v>10062</v>
      </c>
      <c r="J5206" t="s">
        <v>10075</v>
      </c>
    </row>
    <row r="5207" spans="1:10">
      <c r="A5207" s="1">
        <v>245027</v>
      </c>
      <c r="B5207" s="1">
        <v>1090000330</v>
      </c>
      <c r="C5207" s="1">
        <v>24</v>
      </c>
      <c r="D5207" s="1" t="s">
        <v>9973</v>
      </c>
      <c r="E5207" t="s">
        <v>10008</v>
      </c>
      <c r="F5207" s="1">
        <v>158410</v>
      </c>
      <c r="G5207" s="1">
        <v>3700012395</v>
      </c>
      <c r="H5207" s="1">
        <v>1</v>
      </c>
      <c r="I5207" s="1" t="s">
        <v>10062</v>
      </c>
      <c r="J5207" t="s">
        <v>10076</v>
      </c>
    </row>
    <row r="5208" spans="1:10" ht="15.75">
      <c r="A5208" s="4" t="s">
        <v>10844</v>
      </c>
      <c r="B5208" s="2"/>
      <c r="C5208" s="2"/>
      <c r="D5208" s="2"/>
      <c r="E5208" s="3"/>
      <c r="F5208" s="4" t="s">
        <v>10844</v>
      </c>
      <c r="G5208" s="2"/>
      <c r="H5208" s="2"/>
      <c r="I5208" s="2"/>
      <c r="J5208" s="3"/>
    </row>
    <row r="5209" spans="1:10">
      <c r="A5209" s="2" t="s">
        <v>0</v>
      </c>
      <c r="B5209" s="2" t="s">
        <v>1</v>
      </c>
      <c r="C5209" s="2" t="s">
        <v>2</v>
      </c>
      <c r="D5209" s="2" t="s">
        <v>3</v>
      </c>
      <c r="E5209" s="3" t="s">
        <v>4</v>
      </c>
      <c r="F5209" s="2" t="s">
        <v>0</v>
      </c>
      <c r="G5209" s="2" t="s">
        <v>1</v>
      </c>
      <c r="H5209" s="2" t="s">
        <v>2</v>
      </c>
      <c r="I5209" s="2" t="s">
        <v>3</v>
      </c>
      <c r="J5209" s="3" t="s">
        <v>4</v>
      </c>
    </row>
    <row r="5210" spans="1:10">
      <c r="A5210" s="1">
        <v>385526</v>
      </c>
      <c r="B5210" s="1">
        <v>3700006445</v>
      </c>
      <c r="C5210" s="1">
        <v>1</v>
      </c>
      <c r="D5210" s="1" t="s">
        <v>10062</v>
      </c>
      <c r="E5210" t="s">
        <v>10077</v>
      </c>
      <c r="F5210" s="1">
        <v>735498</v>
      </c>
      <c r="G5210" s="1">
        <v>4200096036</v>
      </c>
      <c r="H5210" s="1">
        <v>2</v>
      </c>
      <c r="I5210" s="1" t="s">
        <v>10132</v>
      </c>
      <c r="J5210" t="s">
        <v>10133</v>
      </c>
    </row>
    <row r="5211" spans="1:10">
      <c r="A5211" s="1">
        <v>389445</v>
      </c>
      <c r="B5211" s="1">
        <v>3600068083</v>
      </c>
      <c r="C5211" s="1">
        <v>4</v>
      </c>
      <c r="D5211" s="1" t="s">
        <v>10078</v>
      </c>
      <c r="E5211" t="s">
        <v>10079</v>
      </c>
      <c r="F5211" s="1">
        <v>748426</v>
      </c>
      <c r="G5211" s="1">
        <v>4200086672</v>
      </c>
      <c r="H5211" s="1">
        <v>4</v>
      </c>
      <c r="I5211" s="1" t="s">
        <v>10134</v>
      </c>
      <c r="J5211" t="s">
        <v>10135</v>
      </c>
    </row>
    <row r="5212" spans="1:10">
      <c r="A5212" s="1">
        <v>189670</v>
      </c>
      <c r="B5212" s="1">
        <v>3600068081</v>
      </c>
      <c r="C5212" s="1">
        <v>12</v>
      </c>
      <c r="D5212" s="1" t="s">
        <v>10080</v>
      </c>
      <c r="E5212" t="s">
        <v>10081</v>
      </c>
      <c r="F5212" s="1">
        <v>407452</v>
      </c>
      <c r="G5212" s="1">
        <v>4200086532</v>
      </c>
      <c r="H5212" s="1">
        <v>4</v>
      </c>
      <c r="I5212" s="1" t="s">
        <v>47</v>
      </c>
      <c r="J5212" t="s">
        <v>10136</v>
      </c>
    </row>
    <row r="5213" spans="1:10">
      <c r="A5213" s="1">
        <v>773564</v>
      </c>
      <c r="B5213" s="1">
        <v>3600068082</v>
      </c>
      <c r="C5213" s="1">
        <v>8</v>
      </c>
      <c r="D5213" s="1" t="s">
        <v>10082</v>
      </c>
      <c r="E5213" t="s">
        <v>10083</v>
      </c>
      <c r="F5213" s="1">
        <v>663369</v>
      </c>
      <c r="G5213" s="1">
        <v>4200086612</v>
      </c>
      <c r="H5213" s="1">
        <v>10</v>
      </c>
      <c r="I5213" s="1" t="s">
        <v>7</v>
      </c>
      <c r="J5213" t="s">
        <v>10137</v>
      </c>
    </row>
    <row r="5214" spans="1:10">
      <c r="A5214" s="1">
        <v>711135</v>
      </c>
      <c r="B5214" s="1">
        <v>3600067004</v>
      </c>
      <c r="C5214" s="1">
        <v>12</v>
      </c>
      <c r="D5214" s="1" t="s">
        <v>10059</v>
      </c>
      <c r="E5214" t="s">
        <v>10084</v>
      </c>
      <c r="F5214" s="1">
        <v>270272</v>
      </c>
      <c r="G5214" s="1">
        <v>5400042280</v>
      </c>
      <c r="H5214" s="1">
        <v>6</v>
      </c>
      <c r="I5214" s="1" t="s">
        <v>451</v>
      </c>
      <c r="J5214" t="s">
        <v>10138</v>
      </c>
    </row>
    <row r="5215" spans="1:10">
      <c r="A5215" s="1">
        <v>711184</v>
      </c>
      <c r="B5215" s="1">
        <v>3600076484</v>
      </c>
      <c r="C5215" s="1">
        <v>8</v>
      </c>
      <c r="D5215" s="1" t="s">
        <v>10085</v>
      </c>
      <c r="E5215" t="s">
        <v>10086</v>
      </c>
      <c r="F5215" s="1">
        <v>711200</v>
      </c>
      <c r="G5215" s="1">
        <v>5400042403</v>
      </c>
      <c r="H5215" s="1">
        <v>12</v>
      </c>
      <c r="I5215" s="1" t="s">
        <v>10104</v>
      </c>
      <c r="J5215" t="s">
        <v>10139</v>
      </c>
    </row>
    <row r="5216" spans="1:10">
      <c r="A5216" s="1">
        <v>123877</v>
      </c>
      <c r="B5216" s="1">
        <v>3600072401</v>
      </c>
      <c r="C5216" s="1">
        <v>10</v>
      </c>
      <c r="D5216" s="1" t="s">
        <v>13</v>
      </c>
      <c r="E5216" t="s">
        <v>10087</v>
      </c>
      <c r="F5216" s="1">
        <v>711226</v>
      </c>
      <c r="G5216" s="1">
        <v>5400042120</v>
      </c>
      <c r="H5216" s="1">
        <v>4</v>
      </c>
      <c r="I5216" s="1" t="s">
        <v>10116</v>
      </c>
      <c r="J5216" t="s">
        <v>10140</v>
      </c>
    </row>
    <row r="5217" spans="1:10">
      <c r="A5217" s="1">
        <v>875153</v>
      </c>
      <c r="B5217" s="1">
        <v>3600072360</v>
      </c>
      <c r="C5217" s="1">
        <v>16</v>
      </c>
      <c r="D5217" s="1" t="s">
        <v>766</v>
      </c>
      <c r="E5217" t="s">
        <v>10088</v>
      </c>
      <c r="F5217" s="1">
        <v>711242</v>
      </c>
      <c r="G5217" s="1">
        <v>5400042880</v>
      </c>
      <c r="H5217" s="1">
        <v>80</v>
      </c>
      <c r="I5217" s="1" t="s">
        <v>10102</v>
      </c>
      <c r="J5217" t="s">
        <v>10141</v>
      </c>
    </row>
    <row r="5218" spans="1:10">
      <c r="A5218" s="1">
        <v>478511</v>
      </c>
      <c r="B5218" s="1">
        <v>3600067662</v>
      </c>
      <c r="C5218" s="1">
        <v>4</v>
      </c>
      <c r="D5218" s="1" t="s">
        <v>10089</v>
      </c>
      <c r="E5218" t="s">
        <v>10090</v>
      </c>
      <c r="F5218" s="1">
        <v>711218</v>
      </c>
      <c r="G5218" s="1">
        <v>5400042401</v>
      </c>
      <c r="H5218" s="1">
        <v>12</v>
      </c>
      <c r="I5218" s="1" t="s">
        <v>10104</v>
      </c>
      <c r="J5218" t="s">
        <v>10142</v>
      </c>
    </row>
    <row r="5219" spans="1:10">
      <c r="A5219" s="1">
        <v>546572</v>
      </c>
      <c r="B5219" s="1">
        <v>3600067656</v>
      </c>
      <c r="C5219" s="1">
        <v>12</v>
      </c>
      <c r="D5219" s="1" t="s">
        <v>10091</v>
      </c>
      <c r="E5219" t="s">
        <v>10092</v>
      </c>
      <c r="F5219" s="1">
        <v>711234</v>
      </c>
      <c r="G5219" s="1">
        <v>5400042260</v>
      </c>
      <c r="H5219" s="1">
        <v>8</v>
      </c>
      <c r="I5219" s="1" t="s">
        <v>10118</v>
      </c>
      <c r="J5219" t="s">
        <v>10143</v>
      </c>
    </row>
    <row r="5220" spans="1:10">
      <c r="A5220" s="1">
        <v>203224</v>
      </c>
      <c r="B5220" s="1">
        <v>3600067658</v>
      </c>
      <c r="C5220" s="1">
        <v>8</v>
      </c>
      <c r="D5220" s="1" t="s">
        <v>10093</v>
      </c>
      <c r="E5220" t="s">
        <v>10094</v>
      </c>
      <c r="F5220" s="1">
        <v>711192</v>
      </c>
      <c r="G5220" s="1">
        <v>5400042800</v>
      </c>
      <c r="H5220" s="1">
        <v>80</v>
      </c>
      <c r="I5220" s="1" t="s">
        <v>10102</v>
      </c>
      <c r="J5220" t="s">
        <v>10144</v>
      </c>
    </row>
    <row r="5221" spans="1:10">
      <c r="A5221" s="1">
        <v>661314</v>
      </c>
      <c r="B5221" s="1">
        <v>3600067652</v>
      </c>
      <c r="C5221" s="1">
        <v>4</v>
      </c>
      <c r="D5221" s="1" t="s">
        <v>10089</v>
      </c>
      <c r="E5221" t="s">
        <v>10095</v>
      </c>
      <c r="F5221" s="1">
        <v>811042</v>
      </c>
      <c r="G5221" s="1">
        <v>5400042320</v>
      </c>
      <c r="H5221" s="1">
        <v>2</v>
      </c>
      <c r="I5221" s="1" t="s">
        <v>10120</v>
      </c>
      <c r="J5221" t="s">
        <v>10145</v>
      </c>
    </row>
    <row r="5222" spans="1:10">
      <c r="A5222" s="1">
        <v>620963</v>
      </c>
      <c r="B5222" s="1">
        <v>3600067650</v>
      </c>
      <c r="C5222" s="1">
        <v>24</v>
      </c>
      <c r="D5222" s="1" t="s">
        <v>10096</v>
      </c>
      <c r="E5222" t="s">
        <v>10097</v>
      </c>
      <c r="F5222" s="1">
        <v>571265</v>
      </c>
      <c r="G5222" s="1">
        <v>5400045289</v>
      </c>
      <c r="H5222" s="1">
        <v>6</v>
      </c>
      <c r="I5222" s="1" t="s">
        <v>10146</v>
      </c>
      <c r="J5222" t="s">
        <v>10147</v>
      </c>
    </row>
    <row r="5223" spans="1:10">
      <c r="A5223" s="1">
        <v>519538</v>
      </c>
      <c r="B5223" s="1">
        <v>3600067675</v>
      </c>
      <c r="C5223" s="1">
        <v>12</v>
      </c>
      <c r="D5223" s="1" t="s">
        <v>10093</v>
      </c>
      <c r="E5223" t="s">
        <v>10098</v>
      </c>
      <c r="F5223" s="1">
        <v>175992</v>
      </c>
      <c r="G5223" s="1">
        <v>5400044606</v>
      </c>
      <c r="H5223" s="1">
        <v>6</v>
      </c>
      <c r="I5223" s="1" t="s">
        <v>448</v>
      </c>
      <c r="J5223" t="s">
        <v>10148</v>
      </c>
    </row>
    <row r="5224" spans="1:10">
      <c r="A5224" s="1">
        <v>173377</v>
      </c>
      <c r="B5224" s="1">
        <v>3600069284</v>
      </c>
      <c r="C5224" s="1">
        <v>4</v>
      </c>
      <c r="D5224" s="1" t="s">
        <v>10051</v>
      </c>
      <c r="E5224" t="s">
        <v>10099</v>
      </c>
      <c r="F5224" s="1">
        <v>827907</v>
      </c>
      <c r="G5224" s="1">
        <v>5400040434</v>
      </c>
      <c r="H5224" s="1">
        <v>4</v>
      </c>
      <c r="I5224" s="1" t="s">
        <v>10034</v>
      </c>
      <c r="J5224" t="s">
        <v>10149</v>
      </c>
    </row>
    <row r="5225" spans="1:10">
      <c r="A5225" s="1">
        <v>234468</v>
      </c>
      <c r="B5225" s="1">
        <v>3600069280</v>
      </c>
      <c r="C5225" s="1">
        <v>12</v>
      </c>
      <c r="D5225" s="1" t="s">
        <v>10056</v>
      </c>
      <c r="E5225" t="s">
        <v>10100</v>
      </c>
      <c r="F5225" s="1">
        <v>324541</v>
      </c>
      <c r="G5225" s="1">
        <v>5400044132</v>
      </c>
      <c r="H5225" s="1">
        <v>4</v>
      </c>
      <c r="I5225" s="1" t="s">
        <v>10150</v>
      </c>
      <c r="J5225" t="s">
        <v>10149</v>
      </c>
    </row>
    <row r="5226" spans="1:10">
      <c r="A5226" s="1">
        <v>492751</v>
      </c>
      <c r="B5226" s="1">
        <v>3600069281</v>
      </c>
      <c r="C5226" s="1">
        <v>8</v>
      </c>
      <c r="D5226" s="1" t="s">
        <v>10059</v>
      </c>
      <c r="E5226" t="s">
        <v>10101</v>
      </c>
      <c r="F5226" s="1">
        <v>493866</v>
      </c>
      <c r="G5226" s="1">
        <v>5400040433</v>
      </c>
      <c r="H5226" s="1">
        <v>12</v>
      </c>
      <c r="I5226" s="1" t="s">
        <v>10039</v>
      </c>
      <c r="J5226" t="s">
        <v>10151</v>
      </c>
    </row>
    <row r="5227" spans="1:10">
      <c r="A5227" s="1">
        <v>578567</v>
      </c>
      <c r="B5227" s="1">
        <v>4116344625</v>
      </c>
      <c r="C5227" s="1">
        <v>48</v>
      </c>
      <c r="D5227" s="1" t="s">
        <v>10102</v>
      </c>
      <c r="E5227" t="s">
        <v>10103</v>
      </c>
      <c r="F5227" s="1">
        <v>564484</v>
      </c>
      <c r="G5227" s="1">
        <v>5400044130</v>
      </c>
      <c r="H5227" s="1">
        <v>12</v>
      </c>
      <c r="I5227" s="1" t="s">
        <v>10152</v>
      </c>
      <c r="J5227" t="s">
        <v>10153</v>
      </c>
    </row>
    <row r="5228" spans="1:10">
      <c r="A5228" s="1">
        <v>540906</v>
      </c>
      <c r="B5228" s="1">
        <v>4116344626</v>
      </c>
      <c r="C5228" s="1">
        <v>12</v>
      </c>
      <c r="D5228" s="1" t="s">
        <v>10104</v>
      </c>
      <c r="E5228" t="s">
        <v>10105</v>
      </c>
      <c r="F5228" s="1">
        <v>419663</v>
      </c>
      <c r="G5228" s="1">
        <v>4113030907</v>
      </c>
      <c r="H5228" s="1">
        <v>24</v>
      </c>
      <c r="I5228" s="1" t="s">
        <v>10154</v>
      </c>
      <c r="J5228" t="s">
        <v>10155</v>
      </c>
    </row>
    <row r="5229" spans="1:10">
      <c r="A5229" s="1">
        <v>80333</v>
      </c>
      <c r="B5229" s="1">
        <v>4116344619</v>
      </c>
      <c r="C5229" s="1">
        <v>4</v>
      </c>
      <c r="D5229" s="1" t="s">
        <v>10062</v>
      </c>
      <c r="E5229" t="s">
        <v>10106</v>
      </c>
      <c r="F5229" s="1">
        <v>770248</v>
      </c>
      <c r="G5229" s="1">
        <v>4113030906</v>
      </c>
      <c r="H5229" s="1">
        <v>4</v>
      </c>
      <c r="I5229" s="1" t="s">
        <v>10154</v>
      </c>
      <c r="J5229" t="s">
        <v>10156</v>
      </c>
    </row>
    <row r="5230" spans="1:10" ht="15.75">
      <c r="A5230" s="1">
        <v>772137</v>
      </c>
      <c r="B5230" s="1">
        <v>4116344623</v>
      </c>
      <c r="C5230" s="1">
        <v>4</v>
      </c>
      <c r="D5230" s="1" t="s">
        <v>10062</v>
      </c>
      <c r="E5230" t="s">
        <v>10107</v>
      </c>
      <c r="F5230" s="4" t="s">
        <v>10845</v>
      </c>
      <c r="G5230" s="2"/>
      <c r="H5230" s="2"/>
      <c r="I5230" s="2"/>
      <c r="J5230" s="3"/>
    </row>
    <row r="5231" spans="1:10">
      <c r="A5231" s="1">
        <v>235713</v>
      </c>
      <c r="B5231" s="1">
        <v>4116344624</v>
      </c>
      <c r="C5231" s="1">
        <v>1</v>
      </c>
      <c r="D5231" s="1" t="s">
        <v>10108</v>
      </c>
      <c r="E5231" t="s">
        <v>10109</v>
      </c>
      <c r="F5231" s="2" t="s">
        <v>0</v>
      </c>
      <c r="G5231" s="2" t="s">
        <v>1</v>
      </c>
      <c r="H5231" s="2" t="s">
        <v>2</v>
      </c>
      <c r="I5231" s="2" t="s">
        <v>3</v>
      </c>
      <c r="J5231" s="3" t="s">
        <v>4</v>
      </c>
    </row>
    <row r="5232" spans="1:10">
      <c r="A5232" s="1">
        <v>437582</v>
      </c>
      <c r="B5232" s="1">
        <v>4116344621</v>
      </c>
      <c r="C5232" s="1">
        <v>12</v>
      </c>
      <c r="D5232" s="1" t="s">
        <v>10059</v>
      </c>
      <c r="E5232" t="s">
        <v>10110</v>
      </c>
      <c r="F5232" s="1">
        <v>397851</v>
      </c>
      <c r="G5232" s="1">
        <v>73291313728</v>
      </c>
      <c r="H5232" s="1">
        <v>10</v>
      </c>
      <c r="I5232" s="1" t="s">
        <v>10016</v>
      </c>
      <c r="J5232" t="s">
        <v>10157</v>
      </c>
    </row>
    <row r="5233" spans="1:10">
      <c r="A5233" s="1">
        <v>788547</v>
      </c>
      <c r="B5233" s="1">
        <v>4116344622</v>
      </c>
      <c r="C5233" s="1">
        <v>8</v>
      </c>
      <c r="D5233" s="1" t="s">
        <v>10111</v>
      </c>
      <c r="E5233" t="s">
        <v>10112</v>
      </c>
      <c r="F5233" s="1">
        <v>865386</v>
      </c>
      <c r="G5233" s="1">
        <v>4116344637</v>
      </c>
      <c r="H5233" s="1">
        <v>30</v>
      </c>
      <c r="I5233" s="1" t="s">
        <v>1202</v>
      </c>
      <c r="J5233" t="s">
        <v>10158</v>
      </c>
    </row>
    <row r="5234" spans="1:10">
      <c r="A5234" s="1">
        <v>257220</v>
      </c>
      <c r="B5234" s="1">
        <v>4116344942</v>
      </c>
      <c r="C5234" s="1">
        <v>5</v>
      </c>
      <c r="D5234" s="1" t="s">
        <v>10062</v>
      </c>
      <c r="E5234" t="s">
        <v>10113</v>
      </c>
      <c r="F5234" s="1">
        <v>424572</v>
      </c>
      <c r="G5234" s="1">
        <v>4116344638</v>
      </c>
      <c r="H5234" s="1">
        <v>10</v>
      </c>
      <c r="I5234" s="1" t="s">
        <v>6719</v>
      </c>
      <c r="J5234" t="s">
        <v>10159</v>
      </c>
    </row>
    <row r="5235" spans="1:10">
      <c r="A5235" s="1">
        <v>681437</v>
      </c>
      <c r="B5235" s="1">
        <v>4116344618</v>
      </c>
      <c r="C5235" s="1">
        <v>4</v>
      </c>
      <c r="D5235" s="1" t="s">
        <v>10051</v>
      </c>
      <c r="E5235" t="s">
        <v>10114</v>
      </c>
      <c r="F5235" s="1">
        <v>468801</v>
      </c>
      <c r="G5235" s="1">
        <v>4116344639</v>
      </c>
      <c r="H5235" s="1">
        <v>1</v>
      </c>
      <c r="I5235" s="1" t="s">
        <v>10160</v>
      </c>
      <c r="J5235" t="s">
        <v>10161</v>
      </c>
    </row>
    <row r="5236" spans="1:10">
      <c r="A5236" s="1">
        <v>208447</v>
      </c>
      <c r="B5236" s="1">
        <v>4116344617</v>
      </c>
      <c r="C5236" s="1">
        <v>8</v>
      </c>
      <c r="D5236" s="1" t="s">
        <v>10059</v>
      </c>
      <c r="E5236" t="s">
        <v>10115</v>
      </c>
      <c r="F5236" s="1">
        <v>222752</v>
      </c>
      <c r="G5236" s="1">
        <v>3700021298</v>
      </c>
      <c r="H5236" s="1">
        <v>1</v>
      </c>
      <c r="I5236" s="1" t="s">
        <v>10162</v>
      </c>
      <c r="J5236" t="s">
        <v>10163</v>
      </c>
    </row>
    <row r="5237" spans="1:10">
      <c r="A5237" s="1">
        <v>318527</v>
      </c>
      <c r="B5237" s="1">
        <v>4116344627</v>
      </c>
      <c r="C5237" s="1">
        <v>4</v>
      </c>
      <c r="D5237" s="1" t="s">
        <v>10116</v>
      </c>
      <c r="E5237" t="s">
        <v>10117</v>
      </c>
      <c r="F5237" s="1">
        <v>391854</v>
      </c>
      <c r="G5237" s="1">
        <v>3700020849</v>
      </c>
      <c r="H5237" s="1">
        <v>1</v>
      </c>
      <c r="I5237" s="1" t="s">
        <v>10164</v>
      </c>
      <c r="J5237" t="s">
        <v>10165</v>
      </c>
    </row>
    <row r="5238" spans="1:10">
      <c r="A5238" s="1">
        <v>478347</v>
      </c>
      <c r="B5238" s="1">
        <v>4116344629</v>
      </c>
      <c r="C5238" s="1">
        <v>4</v>
      </c>
      <c r="D5238" s="1" t="s">
        <v>10118</v>
      </c>
      <c r="E5238" t="s">
        <v>10119</v>
      </c>
      <c r="F5238" s="1">
        <v>143651</v>
      </c>
      <c r="G5238" s="1">
        <v>3700020851</v>
      </c>
      <c r="H5238" s="1">
        <v>1</v>
      </c>
      <c r="I5238" s="1" t="s">
        <v>10166</v>
      </c>
      <c r="J5238" t="s">
        <v>10167</v>
      </c>
    </row>
    <row r="5239" spans="1:10">
      <c r="A5239" s="1">
        <v>24273</v>
      </c>
      <c r="B5239" s="1">
        <v>4116344628</v>
      </c>
      <c r="C5239" s="1">
        <v>1</v>
      </c>
      <c r="D5239" s="1" t="s">
        <v>10120</v>
      </c>
      <c r="E5239" t="s">
        <v>10121</v>
      </c>
      <c r="F5239" s="1">
        <v>889758</v>
      </c>
      <c r="G5239" s="1">
        <v>3700021196</v>
      </c>
      <c r="H5239" s="1">
        <v>30</v>
      </c>
      <c r="I5239" s="1" t="s">
        <v>1205</v>
      </c>
      <c r="J5239" t="s">
        <v>10168</v>
      </c>
    </row>
    <row r="5240" spans="1:10">
      <c r="A5240" s="1">
        <v>517250</v>
      </c>
      <c r="B5240" s="1">
        <v>4303200547</v>
      </c>
      <c r="C5240" s="1">
        <v>18</v>
      </c>
      <c r="D5240" s="1" t="s">
        <v>6</v>
      </c>
      <c r="E5240" t="s">
        <v>10122</v>
      </c>
      <c r="F5240" s="1">
        <v>272757</v>
      </c>
      <c r="G5240" s="1">
        <v>3700021325</v>
      </c>
      <c r="H5240" s="1">
        <v>1</v>
      </c>
      <c r="I5240" s="1" t="s">
        <v>10169</v>
      </c>
      <c r="J5240" t="s">
        <v>10170</v>
      </c>
    </row>
    <row r="5241" spans="1:10">
      <c r="A5241" s="1">
        <v>185660</v>
      </c>
      <c r="B5241" s="1">
        <v>4303201204</v>
      </c>
      <c r="C5241" s="1">
        <v>18</v>
      </c>
      <c r="D5241" s="1" t="s">
        <v>10104</v>
      </c>
      <c r="E5241" t="s">
        <v>10123</v>
      </c>
      <c r="F5241" s="1">
        <v>28308</v>
      </c>
      <c r="G5241" s="1">
        <v>3700020859</v>
      </c>
      <c r="H5241" s="1">
        <v>1</v>
      </c>
      <c r="I5241" s="1" t="s">
        <v>10171</v>
      </c>
      <c r="J5241" t="s">
        <v>10172</v>
      </c>
    </row>
    <row r="5242" spans="1:10">
      <c r="A5242" s="1">
        <v>236018</v>
      </c>
      <c r="B5242" s="1">
        <v>4303200212</v>
      </c>
      <c r="C5242" s="1">
        <v>6</v>
      </c>
      <c r="D5242" s="1" t="s">
        <v>10116</v>
      </c>
      <c r="E5242" t="s">
        <v>10124</v>
      </c>
      <c r="F5242" s="1">
        <v>160606</v>
      </c>
      <c r="G5242" s="1">
        <v>3700020844</v>
      </c>
      <c r="H5242" s="1">
        <v>1</v>
      </c>
      <c r="I5242" s="1" t="s">
        <v>10173</v>
      </c>
      <c r="J5242" t="s">
        <v>10174</v>
      </c>
    </row>
    <row r="5243" spans="1:10">
      <c r="A5243" s="1">
        <v>159996</v>
      </c>
      <c r="B5243" s="1">
        <v>4303201228</v>
      </c>
      <c r="C5243" s="1">
        <v>6</v>
      </c>
      <c r="D5243" s="1" t="s">
        <v>10125</v>
      </c>
      <c r="E5243" t="s">
        <v>10126</v>
      </c>
      <c r="F5243" s="1">
        <v>395137</v>
      </c>
      <c r="G5243" s="1">
        <v>3700020823</v>
      </c>
      <c r="H5243" s="1">
        <v>1</v>
      </c>
      <c r="I5243" s="1" t="s">
        <v>10173</v>
      </c>
      <c r="J5243" t="s">
        <v>10175</v>
      </c>
    </row>
    <row r="5244" spans="1:10">
      <c r="A5244" s="1">
        <v>884171</v>
      </c>
      <c r="B5244" s="1">
        <v>4200096031</v>
      </c>
      <c r="C5244" s="1">
        <v>4</v>
      </c>
      <c r="D5244" s="1" t="s">
        <v>10062</v>
      </c>
      <c r="E5244" t="s">
        <v>10127</v>
      </c>
      <c r="F5244" s="1">
        <v>351031</v>
      </c>
      <c r="G5244" s="1">
        <v>3700020847</v>
      </c>
      <c r="H5244" s="1">
        <v>1</v>
      </c>
      <c r="I5244" s="1" t="s">
        <v>10041</v>
      </c>
      <c r="J5244" t="s">
        <v>10176</v>
      </c>
    </row>
    <row r="5245" spans="1:10">
      <c r="A5245" s="1">
        <v>448092</v>
      </c>
      <c r="B5245" s="1">
        <v>4200096035</v>
      </c>
      <c r="C5245" s="1">
        <v>3</v>
      </c>
      <c r="D5245" s="1" t="s">
        <v>10062</v>
      </c>
      <c r="E5245" t="s">
        <v>10128</v>
      </c>
      <c r="F5245" s="1">
        <v>752907</v>
      </c>
      <c r="G5245" s="1">
        <v>3700016894</v>
      </c>
      <c r="H5245" s="1">
        <v>12</v>
      </c>
      <c r="I5245" s="1" t="s">
        <v>10015</v>
      </c>
      <c r="J5245" t="s">
        <v>10177</v>
      </c>
    </row>
    <row r="5246" spans="1:10">
      <c r="A5246" s="1">
        <v>295543</v>
      </c>
      <c r="B5246" s="1">
        <v>4200096004</v>
      </c>
      <c r="C5246" s="1">
        <v>12</v>
      </c>
      <c r="D5246" s="1" t="s">
        <v>10059</v>
      </c>
      <c r="E5246" t="s">
        <v>10129</v>
      </c>
      <c r="F5246" s="1">
        <v>240689</v>
      </c>
      <c r="G5246" s="1">
        <v>3700016896</v>
      </c>
      <c r="H5246" s="1">
        <v>1</v>
      </c>
      <c r="I5246" s="1" t="s">
        <v>10173</v>
      </c>
      <c r="J5246" t="s">
        <v>10178</v>
      </c>
    </row>
    <row r="5247" spans="1:10">
      <c r="A5247" s="1">
        <v>368639</v>
      </c>
      <c r="B5247" s="1">
        <v>4200096020</v>
      </c>
      <c r="C5247" s="1">
        <v>10</v>
      </c>
      <c r="D5247" s="1" t="s">
        <v>10111</v>
      </c>
      <c r="E5247" t="s">
        <v>10130</v>
      </c>
      <c r="F5247" s="1">
        <v>584904</v>
      </c>
      <c r="G5247" s="1">
        <v>3700021311</v>
      </c>
      <c r="H5247" s="1">
        <v>1</v>
      </c>
      <c r="I5247" s="1" t="s">
        <v>10169</v>
      </c>
      <c r="J5247" t="s">
        <v>10179</v>
      </c>
    </row>
    <row r="5248" spans="1:10">
      <c r="A5248" s="1">
        <v>436162</v>
      </c>
      <c r="B5248" s="1">
        <v>4200096042</v>
      </c>
      <c r="C5248" s="1">
        <v>4</v>
      </c>
      <c r="D5248" s="1" t="s">
        <v>10062</v>
      </c>
      <c r="E5248" t="s">
        <v>10131</v>
      </c>
      <c r="F5248" s="1">
        <v>777243</v>
      </c>
      <c r="G5248" s="1">
        <v>3700016853</v>
      </c>
      <c r="H5248" s="1">
        <v>12</v>
      </c>
      <c r="I5248" s="1" t="s">
        <v>10180</v>
      </c>
      <c r="J5248" t="s">
        <v>10181</v>
      </c>
    </row>
    <row r="5249" spans="1:10" ht="15.75">
      <c r="A5249" s="4" t="s">
        <v>10845</v>
      </c>
      <c r="B5249" s="2"/>
      <c r="C5249" s="2"/>
      <c r="D5249" s="2"/>
      <c r="E5249" s="3"/>
      <c r="F5249" s="4" t="s">
        <v>10845</v>
      </c>
      <c r="G5249" s="2"/>
      <c r="H5249" s="2"/>
      <c r="I5249" s="2"/>
      <c r="J5249" s="3"/>
    </row>
    <row r="5250" spans="1:10">
      <c r="A5250" s="2" t="s">
        <v>0</v>
      </c>
      <c r="B5250" s="2" t="s">
        <v>1</v>
      </c>
      <c r="C5250" s="2" t="s">
        <v>2</v>
      </c>
      <c r="D5250" s="2" t="s">
        <v>3</v>
      </c>
      <c r="E5250" s="3" t="s">
        <v>4</v>
      </c>
      <c r="F5250" s="2" t="s">
        <v>0</v>
      </c>
      <c r="G5250" s="2" t="s">
        <v>1</v>
      </c>
      <c r="H5250" s="2" t="s">
        <v>2</v>
      </c>
      <c r="I5250" s="2" t="s">
        <v>3</v>
      </c>
      <c r="J5250" s="3" t="s">
        <v>4</v>
      </c>
    </row>
    <row r="5251" spans="1:10">
      <c r="A5251" s="1">
        <v>392423</v>
      </c>
      <c r="B5251" s="1">
        <v>3700016856</v>
      </c>
      <c r="C5251" s="1">
        <v>1</v>
      </c>
      <c r="D5251" s="1" t="s">
        <v>10182</v>
      </c>
      <c r="E5251" t="s">
        <v>10183</v>
      </c>
      <c r="F5251" s="1">
        <v>106021</v>
      </c>
      <c r="G5251" s="1">
        <v>7331030103</v>
      </c>
      <c r="H5251" s="1">
        <v>10</v>
      </c>
      <c r="I5251" s="1" t="s">
        <v>12</v>
      </c>
      <c r="J5251" t="s">
        <v>10233</v>
      </c>
    </row>
    <row r="5252" spans="1:10">
      <c r="A5252" s="1">
        <v>756353</v>
      </c>
      <c r="B5252" s="1">
        <v>3700016850</v>
      </c>
      <c r="C5252" s="1">
        <v>24</v>
      </c>
      <c r="D5252" s="1" t="s">
        <v>1214</v>
      </c>
      <c r="E5252" t="s">
        <v>10184</v>
      </c>
      <c r="F5252" s="1">
        <v>898130</v>
      </c>
      <c r="G5252" s="1">
        <v>5400016445</v>
      </c>
      <c r="H5252" s="1">
        <v>24</v>
      </c>
      <c r="I5252" s="1" t="s">
        <v>10234</v>
      </c>
      <c r="J5252" t="s">
        <v>10235</v>
      </c>
    </row>
    <row r="5253" spans="1:10">
      <c r="A5253" s="1">
        <v>497354</v>
      </c>
      <c r="B5253" s="1">
        <v>3700021358</v>
      </c>
      <c r="C5253" s="1">
        <v>24</v>
      </c>
      <c r="D5253" s="1" t="s">
        <v>1216</v>
      </c>
      <c r="E5253" t="s">
        <v>10185</v>
      </c>
      <c r="F5253" s="1">
        <v>161273</v>
      </c>
      <c r="G5253" s="1">
        <v>5400016448</v>
      </c>
      <c r="H5253" s="1">
        <v>24</v>
      </c>
      <c r="I5253" s="1" t="s">
        <v>10236</v>
      </c>
      <c r="J5253" t="s">
        <v>10237</v>
      </c>
    </row>
    <row r="5254" spans="1:10">
      <c r="A5254" s="1">
        <v>124735</v>
      </c>
      <c r="B5254" s="1">
        <v>3700021363</v>
      </c>
      <c r="C5254" s="1">
        <v>12</v>
      </c>
      <c r="D5254" s="1" t="s">
        <v>10186</v>
      </c>
      <c r="E5254" t="s">
        <v>10187</v>
      </c>
      <c r="F5254" s="1">
        <v>246876</v>
      </c>
      <c r="G5254" s="1">
        <v>3600074050</v>
      </c>
      <c r="H5254" s="1">
        <v>16</v>
      </c>
      <c r="I5254" s="1" t="s">
        <v>10238</v>
      </c>
      <c r="J5254" t="s">
        <v>10239</v>
      </c>
    </row>
    <row r="5255" spans="1:10">
      <c r="A5255" s="1">
        <v>133157</v>
      </c>
      <c r="B5255" s="1">
        <v>3700021362</v>
      </c>
      <c r="C5255" s="1">
        <v>12</v>
      </c>
      <c r="D5255" s="1" t="s">
        <v>10186</v>
      </c>
      <c r="E5255" t="s">
        <v>10188</v>
      </c>
      <c r="F5255" s="1">
        <v>246975</v>
      </c>
      <c r="G5255" s="1">
        <v>3600074042</v>
      </c>
      <c r="H5255" s="1">
        <v>16</v>
      </c>
      <c r="I5255" s="1" t="s">
        <v>10238</v>
      </c>
      <c r="J5255" t="s">
        <v>10240</v>
      </c>
    </row>
    <row r="5256" spans="1:10">
      <c r="A5256" s="1">
        <v>595322</v>
      </c>
      <c r="B5256" s="1">
        <v>3700020875</v>
      </c>
      <c r="C5256" s="1">
        <v>24</v>
      </c>
      <c r="D5256" s="1" t="s">
        <v>1216</v>
      </c>
      <c r="E5256" t="s">
        <v>10189</v>
      </c>
      <c r="F5256" s="1">
        <v>445049</v>
      </c>
      <c r="G5256" s="1">
        <v>5400016450</v>
      </c>
      <c r="H5256" s="1">
        <v>24</v>
      </c>
      <c r="I5256" s="1" t="s">
        <v>8</v>
      </c>
      <c r="J5256" t="s">
        <v>10241</v>
      </c>
    </row>
    <row r="5257" spans="1:10">
      <c r="A5257" s="1">
        <v>39230</v>
      </c>
      <c r="B5257" s="1">
        <v>3700021360</v>
      </c>
      <c r="C5257" s="1">
        <v>12</v>
      </c>
      <c r="D5257" s="1" t="s">
        <v>10190</v>
      </c>
      <c r="E5257" t="s">
        <v>10191</v>
      </c>
      <c r="F5257" s="1">
        <v>448969</v>
      </c>
      <c r="G5257" s="1">
        <v>5400016451</v>
      </c>
      <c r="H5257" s="1">
        <v>4</v>
      </c>
      <c r="I5257" s="1" t="s">
        <v>7</v>
      </c>
      <c r="J5257" t="s">
        <v>10242</v>
      </c>
    </row>
    <row r="5258" spans="1:10">
      <c r="A5258" s="1">
        <v>326884</v>
      </c>
      <c r="B5258" s="1">
        <v>3700021357</v>
      </c>
      <c r="C5258" s="1">
        <v>24</v>
      </c>
      <c r="D5258" s="1" t="s">
        <v>1216</v>
      </c>
      <c r="E5258" t="s">
        <v>10192</v>
      </c>
      <c r="F5258" s="1">
        <v>29892</v>
      </c>
      <c r="G5258" s="1">
        <v>5400016109</v>
      </c>
      <c r="H5258" s="1">
        <v>4</v>
      </c>
      <c r="I5258" s="1" t="s">
        <v>10021</v>
      </c>
      <c r="J5258" t="s">
        <v>10243</v>
      </c>
    </row>
    <row r="5259" spans="1:10">
      <c r="A5259" s="1">
        <v>589036</v>
      </c>
      <c r="B5259" s="1">
        <v>3700021361</v>
      </c>
      <c r="C5259" s="1">
        <v>12</v>
      </c>
      <c r="D5259" s="1" t="s">
        <v>10190</v>
      </c>
      <c r="E5259" t="s">
        <v>10193</v>
      </c>
      <c r="F5259" s="1">
        <v>636613</v>
      </c>
      <c r="G5259" s="1">
        <v>5400016447</v>
      </c>
      <c r="H5259" s="1">
        <v>4</v>
      </c>
      <c r="I5259" s="1" t="s">
        <v>10244</v>
      </c>
      <c r="J5259" t="s">
        <v>10245</v>
      </c>
    </row>
    <row r="5260" spans="1:10">
      <c r="A5260" s="1">
        <v>123299</v>
      </c>
      <c r="B5260" s="1">
        <v>3700020878</v>
      </c>
      <c r="C5260" s="1">
        <v>24</v>
      </c>
      <c r="D5260" s="1" t="s">
        <v>10180</v>
      </c>
      <c r="E5260" t="s">
        <v>10194</v>
      </c>
      <c r="F5260" s="1">
        <v>841882</v>
      </c>
      <c r="G5260" s="1">
        <v>5400016454</v>
      </c>
      <c r="H5260" s="1">
        <v>4</v>
      </c>
      <c r="I5260" s="1" t="s">
        <v>10246</v>
      </c>
      <c r="J5260" t="s">
        <v>10247</v>
      </c>
    </row>
    <row r="5261" spans="1:10">
      <c r="A5261" s="1">
        <v>518456</v>
      </c>
      <c r="B5261" s="1">
        <v>3700021359</v>
      </c>
      <c r="C5261" s="1">
        <v>24</v>
      </c>
      <c r="D5261" s="1" t="s">
        <v>10180</v>
      </c>
      <c r="E5261" t="s">
        <v>10195</v>
      </c>
      <c r="F5261" s="1">
        <v>159590</v>
      </c>
      <c r="G5261" s="1">
        <v>4113030910</v>
      </c>
      <c r="H5261" s="1">
        <v>30</v>
      </c>
      <c r="I5261" s="1" t="s">
        <v>52</v>
      </c>
      <c r="J5261" t="s">
        <v>10248</v>
      </c>
    </row>
    <row r="5262" spans="1:10">
      <c r="A5262" s="1">
        <v>563619</v>
      </c>
      <c r="B5262" s="1">
        <v>3700020880</v>
      </c>
      <c r="C5262" s="1">
        <v>12</v>
      </c>
      <c r="D5262" s="1" t="s">
        <v>10190</v>
      </c>
      <c r="E5262" t="s">
        <v>10196</v>
      </c>
      <c r="F5262" s="1">
        <v>374397</v>
      </c>
      <c r="G5262" s="1">
        <v>4113030911</v>
      </c>
      <c r="H5262" s="1">
        <v>4</v>
      </c>
      <c r="I5262" s="1" t="s">
        <v>10028</v>
      </c>
      <c r="J5262" t="s">
        <v>10249</v>
      </c>
    </row>
    <row r="5263" spans="1:10">
      <c r="A5263" s="1">
        <v>606319</v>
      </c>
      <c r="B5263" s="1">
        <v>3700021308</v>
      </c>
      <c r="C5263" s="1">
        <v>1</v>
      </c>
      <c r="D5263" s="1" t="s">
        <v>10197</v>
      </c>
      <c r="E5263" t="s">
        <v>10198</v>
      </c>
      <c r="F5263" s="1">
        <v>355495</v>
      </c>
      <c r="G5263" s="1">
        <v>4113030912</v>
      </c>
      <c r="H5263" s="1">
        <v>24</v>
      </c>
      <c r="I5263" s="1" t="s">
        <v>9841</v>
      </c>
      <c r="J5263" t="s">
        <v>10250</v>
      </c>
    </row>
    <row r="5264" spans="1:10">
      <c r="A5264" s="1">
        <v>517722</v>
      </c>
      <c r="B5264" s="1">
        <v>3700021303</v>
      </c>
      <c r="C5264" s="1">
        <v>1</v>
      </c>
      <c r="D5264" s="1" t="s">
        <v>10199</v>
      </c>
      <c r="E5264" t="s">
        <v>10200</v>
      </c>
      <c r="F5264" s="1">
        <v>576942</v>
      </c>
      <c r="G5264" s="1">
        <v>4113030909</v>
      </c>
      <c r="H5264" s="1">
        <v>4</v>
      </c>
      <c r="I5264" s="1" t="s">
        <v>9061</v>
      </c>
      <c r="J5264" t="s">
        <v>10251</v>
      </c>
    </row>
    <row r="5265" spans="1:10">
      <c r="A5265" s="1">
        <v>87833</v>
      </c>
      <c r="B5265" s="1">
        <v>3700020857</v>
      </c>
      <c r="C5265" s="1">
        <v>1</v>
      </c>
      <c r="D5265" s="1" t="s">
        <v>10199</v>
      </c>
      <c r="E5265" t="s">
        <v>10201</v>
      </c>
      <c r="F5265" s="1">
        <v>755421</v>
      </c>
      <c r="G5265" s="1">
        <v>3040001330</v>
      </c>
      <c r="H5265" s="1">
        <v>10</v>
      </c>
      <c r="I5265" s="1" t="s">
        <v>10</v>
      </c>
      <c r="J5265" t="s">
        <v>10252</v>
      </c>
    </row>
    <row r="5266" spans="1:10">
      <c r="A5266" s="1">
        <v>333195</v>
      </c>
      <c r="B5266" s="1">
        <v>4200044819</v>
      </c>
      <c r="C5266" s="1">
        <v>24</v>
      </c>
      <c r="D5266" s="1" t="s">
        <v>8</v>
      </c>
      <c r="E5266" t="s">
        <v>10202</v>
      </c>
      <c r="F5266" s="1">
        <v>389932</v>
      </c>
      <c r="G5266" s="1">
        <v>3040001366</v>
      </c>
      <c r="H5266" s="1">
        <v>4</v>
      </c>
      <c r="I5266" s="1" t="s">
        <v>10253</v>
      </c>
      <c r="J5266" t="s">
        <v>10254</v>
      </c>
    </row>
    <row r="5267" spans="1:10">
      <c r="A5267" s="1">
        <v>533190</v>
      </c>
      <c r="B5267" s="1">
        <v>4200044719</v>
      </c>
      <c r="C5267" s="1">
        <v>24</v>
      </c>
      <c r="D5267" s="1" t="s">
        <v>10203</v>
      </c>
      <c r="E5267" t="s">
        <v>10202</v>
      </c>
      <c r="F5267" s="1">
        <v>287508</v>
      </c>
      <c r="G5267" s="1">
        <v>3040001380</v>
      </c>
      <c r="H5267" s="1">
        <v>4</v>
      </c>
      <c r="I5267" s="1" t="s">
        <v>10225</v>
      </c>
      <c r="J5267" t="s">
        <v>10255</v>
      </c>
    </row>
    <row r="5268" spans="1:10">
      <c r="A5268" s="1">
        <v>395020</v>
      </c>
      <c r="B5268" s="1">
        <v>4200044881</v>
      </c>
      <c r="C5268" s="1">
        <v>24</v>
      </c>
      <c r="D5268" s="1" t="s">
        <v>8</v>
      </c>
      <c r="E5268" t="s">
        <v>10204</v>
      </c>
      <c r="F5268" s="1">
        <v>544312</v>
      </c>
      <c r="G5268" s="1">
        <v>3600019045</v>
      </c>
      <c r="H5268" s="1">
        <v>12</v>
      </c>
      <c r="I5268" s="1" t="s">
        <v>10190</v>
      </c>
      <c r="J5268" t="s">
        <v>10256</v>
      </c>
    </row>
    <row r="5269" spans="1:10">
      <c r="A5269" s="1">
        <v>260729</v>
      </c>
      <c r="B5269" s="1">
        <v>4200044702</v>
      </c>
      <c r="C5269" s="1">
        <v>12</v>
      </c>
      <c r="D5269" s="1" t="s">
        <v>9269</v>
      </c>
      <c r="E5269" t="s">
        <v>10205</v>
      </c>
      <c r="F5269" s="1">
        <v>246348</v>
      </c>
      <c r="G5269" s="1">
        <v>3600019266</v>
      </c>
      <c r="H5269" s="1">
        <v>24</v>
      </c>
      <c r="I5269" s="1" t="s">
        <v>1216</v>
      </c>
      <c r="J5269" t="s">
        <v>10257</v>
      </c>
    </row>
    <row r="5270" spans="1:10">
      <c r="A5270" s="1">
        <v>523191</v>
      </c>
      <c r="B5270" s="1">
        <v>4200044893</v>
      </c>
      <c r="C5270" s="1">
        <v>8</v>
      </c>
      <c r="D5270" s="1" t="s">
        <v>12</v>
      </c>
      <c r="E5270" t="s">
        <v>10206</v>
      </c>
      <c r="F5270" s="1">
        <v>245092</v>
      </c>
      <c r="G5270" s="1">
        <v>3600019213</v>
      </c>
      <c r="H5270" s="1">
        <v>24</v>
      </c>
      <c r="I5270" s="1" t="s">
        <v>1216</v>
      </c>
      <c r="J5270" t="s">
        <v>10258</v>
      </c>
    </row>
    <row r="5271" spans="1:10">
      <c r="A5271" s="1">
        <v>146621</v>
      </c>
      <c r="B5271" s="1">
        <v>4200044711</v>
      </c>
      <c r="C5271" s="1">
        <v>10</v>
      </c>
      <c r="D5271" s="1" t="s">
        <v>10207</v>
      </c>
      <c r="E5271" t="s">
        <v>10208</v>
      </c>
      <c r="F5271" s="1">
        <v>246355</v>
      </c>
      <c r="G5271" s="1">
        <v>3600019244</v>
      </c>
      <c r="H5271" s="1">
        <v>24</v>
      </c>
      <c r="I5271" s="1" t="s">
        <v>1216</v>
      </c>
      <c r="J5271" t="s">
        <v>10259</v>
      </c>
    </row>
    <row r="5272" spans="1:10">
      <c r="A5272" s="1">
        <v>149849</v>
      </c>
      <c r="B5272" s="1">
        <v>4200044811</v>
      </c>
      <c r="C5272" s="1">
        <v>10</v>
      </c>
      <c r="D5272" s="1" t="s">
        <v>12</v>
      </c>
      <c r="E5272" t="s">
        <v>10209</v>
      </c>
      <c r="F5272" s="1">
        <v>420679</v>
      </c>
      <c r="G5272" s="1">
        <v>3600019713</v>
      </c>
      <c r="H5272" s="1">
        <v>4</v>
      </c>
      <c r="I5272" s="1" t="s">
        <v>10260</v>
      </c>
      <c r="J5272" t="s">
        <v>10261</v>
      </c>
    </row>
    <row r="5273" spans="1:10">
      <c r="A5273" s="1">
        <v>461574</v>
      </c>
      <c r="B5273" s="1">
        <v>4200044786</v>
      </c>
      <c r="C5273" s="1">
        <v>4</v>
      </c>
      <c r="D5273" s="1" t="s">
        <v>10210</v>
      </c>
      <c r="E5273" t="s">
        <v>10211</v>
      </c>
      <c r="F5273" s="1">
        <v>246983</v>
      </c>
      <c r="G5273" s="1">
        <v>3600019208</v>
      </c>
      <c r="H5273" s="1">
        <v>24</v>
      </c>
      <c r="I5273" s="1" t="s">
        <v>6570</v>
      </c>
      <c r="J5273" t="s">
        <v>10262</v>
      </c>
    </row>
    <row r="5274" spans="1:10">
      <c r="A5274" s="1">
        <v>483578</v>
      </c>
      <c r="B5274" s="1">
        <v>4200044708</v>
      </c>
      <c r="C5274" s="1">
        <v>4</v>
      </c>
      <c r="D5274" s="1" t="s">
        <v>10173</v>
      </c>
      <c r="E5274" t="s">
        <v>10212</v>
      </c>
      <c r="F5274" s="1">
        <v>53884</v>
      </c>
      <c r="G5274" s="1">
        <v>3600019170</v>
      </c>
      <c r="H5274" s="1">
        <v>30</v>
      </c>
      <c r="I5274" s="1" t="s">
        <v>1219</v>
      </c>
      <c r="J5274" t="s">
        <v>10263</v>
      </c>
    </row>
    <row r="5275" spans="1:10">
      <c r="A5275" s="1">
        <v>517599</v>
      </c>
      <c r="B5275" s="1">
        <v>3600072444</v>
      </c>
      <c r="C5275" s="1">
        <v>16</v>
      </c>
      <c r="D5275" s="1" t="s">
        <v>309</v>
      </c>
      <c r="E5275" t="s">
        <v>10213</v>
      </c>
      <c r="F5275" s="1">
        <v>245928</v>
      </c>
      <c r="G5275" s="1">
        <v>3600019201</v>
      </c>
      <c r="H5275" s="1">
        <v>4</v>
      </c>
      <c r="I5275" s="1" t="s">
        <v>10023</v>
      </c>
      <c r="J5275" t="s">
        <v>10264</v>
      </c>
    </row>
    <row r="5276" spans="1:10">
      <c r="A5276" s="1">
        <v>150979</v>
      </c>
      <c r="B5276" s="1">
        <v>3600072442</v>
      </c>
      <c r="C5276" s="1">
        <v>16</v>
      </c>
      <c r="D5276" s="1" t="s">
        <v>309</v>
      </c>
      <c r="E5276" t="s">
        <v>10214</v>
      </c>
      <c r="F5276" s="1">
        <v>246892</v>
      </c>
      <c r="G5276" s="1">
        <v>7682804752</v>
      </c>
      <c r="H5276" s="1">
        <v>12</v>
      </c>
      <c r="I5276" s="1" t="s">
        <v>1208</v>
      </c>
      <c r="J5276" t="s">
        <v>10265</v>
      </c>
    </row>
    <row r="5277" spans="1:10" ht="15.75">
      <c r="A5277" s="1">
        <v>650465</v>
      </c>
      <c r="B5277" s="1">
        <v>3600072484</v>
      </c>
      <c r="C5277" s="1">
        <v>8</v>
      </c>
      <c r="D5277" s="1" t="s">
        <v>10085</v>
      </c>
      <c r="E5277" t="s">
        <v>10215</v>
      </c>
      <c r="F5277" s="4" t="s">
        <v>10846</v>
      </c>
      <c r="G5277" s="2"/>
      <c r="H5277" s="2"/>
      <c r="I5277" s="2"/>
      <c r="J5277" s="3"/>
    </row>
    <row r="5278" spans="1:10">
      <c r="A5278" s="1">
        <v>244970</v>
      </c>
      <c r="B5278" s="1">
        <v>1258703100</v>
      </c>
      <c r="C5278" s="1">
        <v>24</v>
      </c>
      <c r="D5278" s="1" t="s">
        <v>7</v>
      </c>
      <c r="E5278" t="s">
        <v>10216</v>
      </c>
      <c r="F5278" s="2" t="s">
        <v>0</v>
      </c>
      <c r="G5278" s="2" t="s">
        <v>1</v>
      </c>
      <c r="H5278" s="2" t="s">
        <v>2</v>
      </c>
      <c r="I5278" s="2" t="s">
        <v>3</v>
      </c>
      <c r="J5278" s="3" t="s">
        <v>4</v>
      </c>
    </row>
    <row r="5279" spans="1:10">
      <c r="A5279" s="1">
        <v>351767</v>
      </c>
      <c r="B5279" s="1">
        <v>4116344923</v>
      </c>
      <c r="C5279" s="1">
        <v>24</v>
      </c>
      <c r="D5279" s="1" t="s">
        <v>10217</v>
      </c>
      <c r="E5279" t="s">
        <v>10218</v>
      </c>
      <c r="F5279" s="1">
        <v>248443</v>
      </c>
      <c r="G5279" s="1">
        <v>3770032217</v>
      </c>
      <c r="H5279" s="1">
        <v>12</v>
      </c>
      <c r="I5279" s="1" t="s">
        <v>68</v>
      </c>
      <c r="J5279" t="s">
        <v>10266</v>
      </c>
    </row>
    <row r="5280" spans="1:10">
      <c r="A5280" s="1">
        <v>453761</v>
      </c>
      <c r="B5280" s="1">
        <v>4116344633</v>
      </c>
      <c r="C5280" s="1">
        <v>24</v>
      </c>
      <c r="D5280" s="1" t="s">
        <v>9273</v>
      </c>
      <c r="E5280" t="s">
        <v>10219</v>
      </c>
      <c r="F5280" s="1">
        <v>25361</v>
      </c>
      <c r="G5280" s="1">
        <v>3770032608</v>
      </c>
      <c r="H5280" s="1">
        <v>12</v>
      </c>
      <c r="I5280" s="1" t="s">
        <v>766</v>
      </c>
      <c r="J5280" t="s">
        <v>10267</v>
      </c>
    </row>
    <row r="5281" spans="1:10">
      <c r="A5281" s="1">
        <v>145326</v>
      </c>
      <c r="B5281" s="1">
        <v>4116344635</v>
      </c>
      <c r="C5281" s="1">
        <v>12</v>
      </c>
      <c r="D5281" s="1" t="s">
        <v>10220</v>
      </c>
      <c r="E5281" t="s">
        <v>10221</v>
      </c>
      <c r="F5281" s="1">
        <v>768671</v>
      </c>
      <c r="G5281" s="1">
        <v>3770032344</v>
      </c>
      <c r="H5281" s="1">
        <v>12</v>
      </c>
      <c r="I5281" s="1" t="s">
        <v>6404</v>
      </c>
      <c r="J5281" t="s">
        <v>10268</v>
      </c>
    </row>
    <row r="5282" spans="1:10">
      <c r="A5282" s="1">
        <v>102038</v>
      </c>
      <c r="B5282" s="1">
        <v>4116344634</v>
      </c>
      <c r="C5282" s="1">
        <v>12</v>
      </c>
      <c r="D5282" s="1" t="s">
        <v>9269</v>
      </c>
      <c r="E5282" t="s">
        <v>10222</v>
      </c>
      <c r="F5282" s="1">
        <v>245795</v>
      </c>
      <c r="G5282" s="1">
        <v>3770032269</v>
      </c>
      <c r="H5282" s="1">
        <v>12</v>
      </c>
      <c r="I5282" s="1" t="s">
        <v>47</v>
      </c>
      <c r="J5282" t="s">
        <v>10269</v>
      </c>
    </row>
    <row r="5283" spans="1:10">
      <c r="A5283" s="1">
        <v>269878</v>
      </c>
      <c r="B5283" s="1">
        <v>4116344636</v>
      </c>
      <c r="C5283" s="1">
        <v>4</v>
      </c>
      <c r="D5283" s="1" t="s">
        <v>10223</v>
      </c>
      <c r="E5283" t="s">
        <v>10224</v>
      </c>
      <c r="F5283" s="1">
        <v>279067</v>
      </c>
      <c r="G5283" s="1">
        <v>3770034000</v>
      </c>
      <c r="H5283" s="1">
        <v>12</v>
      </c>
      <c r="I5283" s="1" t="s">
        <v>10</v>
      </c>
      <c r="J5283" t="s">
        <v>10270</v>
      </c>
    </row>
    <row r="5284" spans="1:10">
      <c r="A5284" s="1">
        <v>443580</v>
      </c>
      <c r="B5284" s="1">
        <v>4116344630</v>
      </c>
      <c r="C5284" s="1">
        <v>4</v>
      </c>
      <c r="D5284" s="1" t="s">
        <v>10225</v>
      </c>
      <c r="E5284" t="s">
        <v>10226</v>
      </c>
      <c r="F5284" s="1">
        <v>337436</v>
      </c>
      <c r="G5284" s="1">
        <v>3770038255</v>
      </c>
      <c r="H5284" s="1">
        <v>12</v>
      </c>
      <c r="I5284" s="1" t="s">
        <v>263</v>
      </c>
      <c r="J5284" t="s">
        <v>10271</v>
      </c>
    </row>
    <row r="5285" spans="1:10">
      <c r="A5285" s="1">
        <v>403956</v>
      </c>
      <c r="B5285" s="1">
        <v>4116344632</v>
      </c>
      <c r="C5285" s="1">
        <v>1</v>
      </c>
      <c r="D5285" s="1" t="s">
        <v>10227</v>
      </c>
      <c r="E5285" t="s">
        <v>10228</v>
      </c>
      <c r="F5285" s="1">
        <v>472332</v>
      </c>
      <c r="G5285" s="1">
        <v>3770038121</v>
      </c>
      <c r="H5285" s="1">
        <v>12</v>
      </c>
      <c r="I5285" s="1" t="s">
        <v>47</v>
      </c>
      <c r="J5285" t="s">
        <v>10272</v>
      </c>
    </row>
    <row r="5286" spans="1:10">
      <c r="A5286" s="1">
        <v>104380</v>
      </c>
      <c r="B5286" s="1">
        <v>4303207300</v>
      </c>
      <c r="C5286" s="1">
        <v>12</v>
      </c>
      <c r="D5286" s="1" t="s">
        <v>10017</v>
      </c>
      <c r="E5286" t="s">
        <v>10229</v>
      </c>
      <c r="F5286" s="1">
        <v>372755</v>
      </c>
      <c r="G5286" s="1">
        <v>3770038254</v>
      </c>
      <c r="H5286" s="1">
        <v>12</v>
      </c>
      <c r="I5286" s="1" t="s">
        <v>9</v>
      </c>
      <c r="J5286" t="s">
        <v>10273</v>
      </c>
    </row>
    <row r="5287" spans="1:10">
      <c r="A5287" s="1">
        <v>251942</v>
      </c>
      <c r="B5287" s="1">
        <v>4303202716</v>
      </c>
      <c r="C5287" s="1">
        <v>4</v>
      </c>
      <c r="D5287" s="1" t="s">
        <v>10026</v>
      </c>
      <c r="E5287" t="s">
        <v>10230</v>
      </c>
      <c r="F5287" s="1">
        <v>336388</v>
      </c>
      <c r="G5287" s="1">
        <v>3770038119</v>
      </c>
      <c r="H5287" s="1">
        <v>12</v>
      </c>
      <c r="I5287" s="1" t="s">
        <v>448</v>
      </c>
      <c r="J5287" t="s">
        <v>10274</v>
      </c>
    </row>
    <row r="5288" spans="1:10">
      <c r="A5288" s="1">
        <v>236042</v>
      </c>
      <c r="B5288" s="1">
        <v>4303200556</v>
      </c>
      <c r="C5288" s="1">
        <v>24</v>
      </c>
      <c r="D5288" s="1" t="s">
        <v>10190</v>
      </c>
      <c r="E5288" t="s">
        <v>10231</v>
      </c>
      <c r="F5288" s="1">
        <v>249755</v>
      </c>
      <c r="G5288" s="1">
        <v>3770032283</v>
      </c>
      <c r="H5288" s="1">
        <v>12</v>
      </c>
      <c r="I5288" s="1" t="s">
        <v>233</v>
      </c>
      <c r="J5288" t="s">
        <v>10275</v>
      </c>
    </row>
    <row r="5289" spans="1:10">
      <c r="A5289" s="1">
        <v>254136</v>
      </c>
      <c r="B5289" s="1">
        <v>4303201553</v>
      </c>
      <c r="C5289" s="1">
        <v>4</v>
      </c>
      <c r="D5289" s="1" t="s">
        <v>10022</v>
      </c>
      <c r="E5289" t="s">
        <v>10232</v>
      </c>
      <c r="F5289" s="1">
        <v>248526</v>
      </c>
      <c r="G5289" s="1">
        <v>3770032204</v>
      </c>
      <c r="H5289" s="1">
        <v>12</v>
      </c>
      <c r="I5289" s="1" t="s">
        <v>68</v>
      </c>
      <c r="J5289" t="s">
        <v>10276</v>
      </c>
    </row>
    <row r="5290" spans="1:10" ht="15.75">
      <c r="A5290" s="4" t="s">
        <v>10846</v>
      </c>
      <c r="B5290" s="2"/>
      <c r="C5290" s="2"/>
      <c r="D5290" s="2"/>
      <c r="E5290" s="3"/>
      <c r="F5290" s="4" t="s">
        <v>10846</v>
      </c>
      <c r="G5290" s="2"/>
      <c r="H5290" s="2"/>
      <c r="I5290" s="2"/>
      <c r="J5290" s="3"/>
    </row>
    <row r="5291" spans="1:10">
      <c r="A5291" s="2" t="s">
        <v>0</v>
      </c>
      <c r="B5291" s="2" t="s">
        <v>1</v>
      </c>
      <c r="C5291" s="2" t="s">
        <v>2</v>
      </c>
      <c r="D5291" s="2" t="s">
        <v>3</v>
      </c>
      <c r="E5291" s="3" t="s">
        <v>4</v>
      </c>
      <c r="F5291" s="2" t="s">
        <v>0</v>
      </c>
      <c r="G5291" s="2" t="s">
        <v>1</v>
      </c>
      <c r="H5291" s="2" t="s">
        <v>2</v>
      </c>
      <c r="I5291" s="2" t="s">
        <v>3</v>
      </c>
      <c r="J5291" s="3" t="s">
        <v>4</v>
      </c>
    </row>
    <row r="5292" spans="1:10">
      <c r="A5292" s="1">
        <v>249342</v>
      </c>
      <c r="B5292" s="1">
        <v>3770032214</v>
      </c>
      <c r="C5292" s="1">
        <v>12</v>
      </c>
      <c r="D5292" s="1" t="s">
        <v>9</v>
      </c>
      <c r="E5292" t="s">
        <v>10277</v>
      </c>
      <c r="F5292" s="1">
        <v>864306</v>
      </c>
      <c r="G5292" s="1">
        <v>1370009165</v>
      </c>
      <c r="H5292" s="1">
        <v>4</v>
      </c>
      <c r="I5292" s="1" t="s">
        <v>10024</v>
      </c>
      <c r="J5292" t="s">
        <v>10316</v>
      </c>
    </row>
    <row r="5293" spans="1:10">
      <c r="A5293" s="1">
        <v>248781</v>
      </c>
      <c r="B5293" s="1">
        <v>3770032226</v>
      </c>
      <c r="C5293" s="1">
        <v>12</v>
      </c>
      <c r="D5293" s="1" t="s">
        <v>6404</v>
      </c>
      <c r="E5293" t="s">
        <v>10278</v>
      </c>
      <c r="F5293" s="1">
        <v>710988</v>
      </c>
      <c r="G5293" s="1">
        <v>1370004132</v>
      </c>
      <c r="H5293" s="1">
        <v>8</v>
      </c>
      <c r="I5293" s="1" t="s">
        <v>1220</v>
      </c>
      <c r="J5293" t="s">
        <v>10317</v>
      </c>
    </row>
    <row r="5294" spans="1:10">
      <c r="A5294" s="1">
        <v>532259</v>
      </c>
      <c r="B5294" s="1">
        <v>3770032348</v>
      </c>
      <c r="C5294" s="1">
        <v>12</v>
      </c>
      <c r="D5294" s="1" t="s">
        <v>13</v>
      </c>
      <c r="E5294" t="s">
        <v>10279</v>
      </c>
      <c r="F5294" s="1">
        <v>710996</v>
      </c>
      <c r="G5294" s="1">
        <v>1370004852</v>
      </c>
      <c r="H5294" s="1">
        <v>8</v>
      </c>
      <c r="I5294" s="1" t="s">
        <v>1203</v>
      </c>
      <c r="J5294" t="s">
        <v>10318</v>
      </c>
    </row>
    <row r="5295" spans="1:10">
      <c r="A5295" s="1">
        <v>567180</v>
      </c>
      <c r="B5295" s="1">
        <v>4200058400</v>
      </c>
      <c r="C5295" s="1">
        <v>12</v>
      </c>
      <c r="D5295" s="1" t="s">
        <v>1220</v>
      </c>
      <c r="E5295" t="s">
        <v>10280</v>
      </c>
      <c r="F5295" s="1">
        <v>249268</v>
      </c>
      <c r="G5295" s="1">
        <v>1370025850</v>
      </c>
      <c r="H5295" s="1">
        <v>12</v>
      </c>
      <c r="I5295" s="1" t="s">
        <v>1219</v>
      </c>
      <c r="J5295" t="s">
        <v>10319</v>
      </c>
    </row>
    <row r="5296" spans="1:10">
      <c r="A5296" s="1">
        <v>409946</v>
      </c>
      <c r="B5296" s="1">
        <v>4200015917</v>
      </c>
      <c r="C5296" s="1">
        <v>12</v>
      </c>
      <c r="D5296" s="1" t="s">
        <v>13</v>
      </c>
      <c r="E5296" t="s">
        <v>10281</v>
      </c>
      <c r="F5296" s="1">
        <v>250118</v>
      </c>
      <c r="G5296" s="1">
        <v>4113020108</v>
      </c>
      <c r="H5296" s="1">
        <v>12</v>
      </c>
      <c r="I5296" s="1" t="s">
        <v>1219</v>
      </c>
      <c r="J5296" t="s">
        <v>10320</v>
      </c>
    </row>
    <row r="5297" spans="1:10">
      <c r="A5297" s="1">
        <v>440412</v>
      </c>
      <c r="B5297" s="1">
        <v>4200059000</v>
      </c>
      <c r="C5297" s="1">
        <v>12</v>
      </c>
      <c r="D5297" s="1" t="s">
        <v>233</v>
      </c>
      <c r="E5297" t="s">
        <v>10282</v>
      </c>
      <c r="F5297" s="1">
        <v>456996</v>
      </c>
      <c r="G5297" s="1">
        <v>4116345007</v>
      </c>
      <c r="H5297" s="1">
        <v>12</v>
      </c>
      <c r="I5297" s="1" t="s">
        <v>1206</v>
      </c>
      <c r="J5297" t="s">
        <v>10321</v>
      </c>
    </row>
    <row r="5298" spans="1:10">
      <c r="A5298" s="1">
        <v>484154</v>
      </c>
      <c r="B5298" s="1">
        <v>4200014531</v>
      </c>
      <c r="C5298" s="1">
        <v>12</v>
      </c>
      <c r="D5298" s="1" t="s">
        <v>1220</v>
      </c>
      <c r="E5298" t="s">
        <v>10283</v>
      </c>
      <c r="F5298" s="1">
        <v>756171</v>
      </c>
      <c r="G5298" s="1">
        <v>4116345008</v>
      </c>
      <c r="H5298" s="1">
        <v>12</v>
      </c>
      <c r="I5298" s="1" t="s">
        <v>9314</v>
      </c>
      <c r="J5298" t="s">
        <v>10322</v>
      </c>
    </row>
    <row r="5299" spans="1:10">
      <c r="A5299" s="1">
        <v>454512</v>
      </c>
      <c r="B5299" s="1">
        <v>4200049310</v>
      </c>
      <c r="C5299" s="1">
        <v>12</v>
      </c>
      <c r="D5299" s="1" t="s">
        <v>1208</v>
      </c>
      <c r="E5299" t="s">
        <v>10284</v>
      </c>
      <c r="F5299" s="1">
        <v>584995</v>
      </c>
      <c r="G5299" s="1">
        <v>4116344988</v>
      </c>
      <c r="H5299" s="1">
        <v>12</v>
      </c>
      <c r="I5299" s="1" t="s">
        <v>1219</v>
      </c>
      <c r="J5299" t="s">
        <v>10323</v>
      </c>
    </row>
    <row r="5300" spans="1:10">
      <c r="A5300" s="1">
        <v>446617</v>
      </c>
      <c r="B5300" s="1">
        <v>4200049320</v>
      </c>
      <c r="C5300" s="1">
        <v>12</v>
      </c>
      <c r="D5300" s="1" t="s">
        <v>9818</v>
      </c>
      <c r="E5300" t="s">
        <v>10285</v>
      </c>
      <c r="F5300" s="1">
        <v>493502</v>
      </c>
      <c r="G5300" s="1">
        <v>4116344989</v>
      </c>
      <c r="H5300" s="1">
        <v>12</v>
      </c>
      <c r="I5300" s="1" t="s">
        <v>1206</v>
      </c>
      <c r="J5300" t="s">
        <v>10324</v>
      </c>
    </row>
    <row r="5301" spans="1:10">
      <c r="A5301" s="1">
        <v>430744</v>
      </c>
      <c r="B5301" s="1">
        <v>4200014011</v>
      </c>
      <c r="C5301" s="1">
        <v>8</v>
      </c>
      <c r="D5301" s="1" t="s">
        <v>8</v>
      </c>
      <c r="E5301" t="s">
        <v>10286</v>
      </c>
      <c r="F5301" s="1">
        <v>783936</v>
      </c>
      <c r="G5301" s="1">
        <v>4116345031</v>
      </c>
      <c r="H5301" s="1">
        <v>24</v>
      </c>
      <c r="I5301" s="1" t="s">
        <v>47</v>
      </c>
      <c r="J5301" t="s">
        <v>10325</v>
      </c>
    </row>
    <row r="5302" spans="1:10">
      <c r="A5302" s="1">
        <v>204297</v>
      </c>
      <c r="B5302" s="1">
        <v>4200015675</v>
      </c>
      <c r="C5302" s="1">
        <v>12</v>
      </c>
      <c r="D5302" s="1" t="s">
        <v>10287</v>
      </c>
      <c r="E5302" t="s">
        <v>10288</v>
      </c>
      <c r="F5302" s="1">
        <v>452235</v>
      </c>
      <c r="G5302" s="1">
        <v>4116345042</v>
      </c>
      <c r="H5302" s="1">
        <v>12</v>
      </c>
      <c r="I5302" s="1" t="s">
        <v>263</v>
      </c>
      <c r="J5302" t="s">
        <v>10326</v>
      </c>
    </row>
    <row r="5303" spans="1:10">
      <c r="A5303" s="1">
        <v>249094</v>
      </c>
      <c r="B5303" s="1">
        <v>4200043000</v>
      </c>
      <c r="C5303" s="1">
        <v>24</v>
      </c>
      <c r="D5303" s="1" t="s">
        <v>11</v>
      </c>
      <c r="E5303" t="s">
        <v>10289</v>
      </c>
      <c r="F5303" s="1">
        <v>219758</v>
      </c>
      <c r="G5303" s="1">
        <v>4116345041</v>
      </c>
      <c r="H5303" s="1">
        <v>12</v>
      </c>
      <c r="I5303" s="1" t="s">
        <v>13</v>
      </c>
      <c r="J5303" t="s">
        <v>10327</v>
      </c>
    </row>
    <row r="5304" spans="1:10">
      <c r="A5304" s="1">
        <v>249169</v>
      </c>
      <c r="B5304" s="1">
        <v>4200043900</v>
      </c>
      <c r="C5304" s="1">
        <v>12</v>
      </c>
      <c r="D5304" s="1" t="s">
        <v>10019</v>
      </c>
      <c r="E5304" t="s">
        <v>10289</v>
      </c>
      <c r="F5304" s="1">
        <v>896894</v>
      </c>
      <c r="G5304" s="1">
        <v>4116345009</v>
      </c>
      <c r="H5304" s="1">
        <v>12</v>
      </c>
      <c r="I5304" s="1" t="s">
        <v>10019</v>
      </c>
      <c r="J5304" t="s">
        <v>10328</v>
      </c>
    </row>
    <row r="5305" spans="1:10">
      <c r="A5305" s="1">
        <v>249052</v>
      </c>
      <c r="B5305" s="1">
        <v>4200045100</v>
      </c>
      <c r="C5305" s="1">
        <v>12</v>
      </c>
      <c r="D5305" s="1" t="s">
        <v>11</v>
      </c>
      <c r="E5305" t="s">
        <v>10290</v>
      </c>
      <c r="F5305" s="1">
        <v>401620</v>
      </c>
      <c r="G5305" s="1">
        <v>4116345010</v>
      </c>
      <c r="H5305" s="1">
        <v>12</v>
      </c>
      <c r="I5305" s="1" t="s">
        <v>11</v>
      </c>
      <c r="J5305" t="s">
        <v>10329</v>
      </c>
    </row>
    <row r="5306" spans="1:10">
      <c r="A5306" s="1">
        <v>710962</v>
      </c>
      <c r="B5306" s="1">
        <v>4200043295</v>
      </c>
      <c r="C5306" s="1">
        <v>10</v>
      </c>
      <c r="D5306" s="1" t="s">
        <v>225</v>
      </c>
      <c r="E5306" t="s">
        <v>10291</v>
      </c>
      <c r="F5306" s="1">
        <v>585604</v>
      </c>
      <c r="G5306" s="1">
        <v>4116345011</v>
      </c>
      <c r="H5306" s="1">
        <v>12</v>
      </c>
      <c r="I5306" s="1" t="s">
        <v>10287</v>
      </c>
      <c r="J5306" t="s">
        <v>10330</v>
      </c>
    </row>
    <row r="5307" spans="1:10">
      <c r="A5307" s="1">
        <v>193359</v>
      </c>
      <c r="B5307" s="1">
        <v>4200015919</v>
      </c>
      <c r="C5307" s="1">
        <v>12</v>
      </c>
      <c r="D5307" s="1" t="s">
        <v>10287</v>
      </c>
      <c r="E5307" t="s">
        <v>10292</v>
      </c>
      <c r="F5307" s="1">
        <v>1933</v>
      </c>
      <c r="G5307" s="1">
        <v>4116345081</v>
      </c>
      <c r="H5307" s="1">
        <v>18</v>
      </c>
      <c r="I5307" s="1" t="s">
        <v>1220</v>
      </c>
      <c r="J5307" t="s">
        <v>10331</v>
      </c>
    </row>
    <row r="5308" spans="1:10">
      <c r="A5308" s="1">
        <v>249128</v>
      </c>
      <c r="B5308" s="1">
        <v>4200045900</v>
      </c>
      <c r="C5308" s="1">
        <v>12</v>
      </c>
      <c r="D5308" s="1" t="s">
        <v>9841</v>
      </c>
      <c r="E5308" t="s">
        <v>10293</v>
      </c>
      <c r="F5308" s="1">
        <v>847392</v>
      </c>
      <c r="G5308" s="1">
        <v>4116345078</v>
      </c>
      <c r="H5308" s="1">
        <v>12</v>
      </c>
      <c r="I5308" s="1" t="s">
        <v>13</v>
      </c>
      <c r="J5308" t="s">
        <v>10332</v>
      </c>
    </row>
    <row r="5309" spans="1:10">
      <c r="A5309" s="1">
        <v>756759</v>
      </c>
      <c r="B5309" s="1">
        <v>4200015391</v>
      </c>
      <c r="C5309" s="1">
        <v>7</v>
      </c>
      <c r="D5309" s="1" t="s">
        <v>9805</v>
      </c>
      <c r="E5309" t="s">
        <v>10294</v>
      </c>
      <c r="F5309" s="1">
        <v>759514</v>
      </c>
      <c r="G5309" s="1">
        <v>4116345079</v>
      </c>
      <c r="H5309" s="1">
        <v>12</v>
      </c>
      <c r="I5309" s="1" t="s">
        <v>1213</v>
      </c>
      <c r="J5309" t="s">
        <v>10333</v>
      </c>
    </row>
    <row r="5310" spans="1:10">
      <c r="A5310" s="1">
        <v>710954</v>
      </c>
      <c r="B5310" s="1">
        <v>4200015392</v>
      </c>
      <c r="C5310" s="1">
        <v>12</v>
      </c>
      <c r="D5310" s="1" t="s">
        <v>1216</v>
      </c>
      <c r="E5310" t="s">
        <v>10295</v>
      </c>
      <c r="F5310" s="1">
        <v>672402</v>
      </c>
      <c r="G5310" s="1">
        <v>4116345077</v>
      </c>
      <c r="H5310" s="1">
        <v>24</v>
      </c>
      <c r="I5310" s="1" t="s">
        <v>10238</v>
      </c>
      <c r="J5310" t="s">
        <v>10334</v>
      </c>
    </row>
    <row r="5311" spans="1:10">
      <c r="A5311" s="1">
        <v>553057</v>
      </c>
      <c r="B5311" s="1">
        <v>4200015613</v>
      </c>
      <c r="C5311" s="1">
        <v>12</v>
      </c>
      <c r="D5311" s="1" t="s">
        <v>6404</v>
      </c>
      <c r="E5311" t="s">
        <v>10296</v>
      </c>
      <c r="F5311" s="1">
        <v>836379</v>
      </c>
      <c r="G5311" s="1">
        <v>4116345084</v>
      </c>
      <c r="H5311" s="1">
        <v>12</v>
      </c>
      <c r="I5311" s="1" t="s">
        <v>10</v>
      </c>
      <c r="J5311" t="s">
        <v>10335</v>
      </c>
    </row>
    <row r="5312" spans="1:10">
      <c r="A5312" s="1">
        <v>706796</v>
      </c>
      <c r="B5312" s="1">
        <v>4200014025</v>
      </c>
      <c r="C5312" s="1">
        <v>10</v>
      </c>
      <c r="D5312" s="1" t="s">
        <v>766</v>
      </c>
      <c r="E5312" t="s">
        <v>10297</v>
      </c>
      <c r="F5312" s="1">
        <v>391839</v>
      </c>
      <c r="G5312" s="1">
        <v>4116345038</v>
      </c>
      <c r="H5312" s="1">
        <v>6</v>
      </c>
      <c r="I5312" s="1" t="s">
        <v>11</v>
      </c>
      <c r="J5312" t="s">
        <v>10336</v>
      </c>
    </row>
    <row r="5313" spans="1:10">
      <c r="A5313" s="1">
        <v>536185</v>
      </c>
      <c r="B5313" s="1">
        <v>4200093805</v>
      </c>
      <c r="C5313" s="1">
        <v>6</v>
      </c>
      <c r="D5313" s="1" t="s">
        <v>1203</v>
      </c>
      <c r="E5313" t="s">
        <v>10298</v>
      </c>
      <c r="F5313" s="1">
        <v>372664</v>
      </c>
      <c r="G5313" s="1">
        <v>4116345036</v>
      </c>
      <c r="H5313" s="1">
        <v>12</v>
      </c>
      <c r="I5313" s="1" t="s">
        <v>13</v>
      </c>
      <c r="J5313" t="s">
        <v>10336</v>
      </c>
    </row>
    <row r="5314" spans="1:10">
      <c r="A5314" s="1">
        <v>42341</v>
      </c>
      <c r="B5314" s="1">
        <v>4200015653</v>
      </c>
      <c r="C5314" s="1">
        <v>12</v>
      </c>
      <c r="D5314" s="1" t="s">
        <v>1206</v>
      </c>
      <c r="E5314" t="s">
        <v>10299</v>
      </c>
      <c r="F5314" s="1">
        <v>378794</v>
      </c>
      <c r="G5314" s="1">
        <v>4116345037</v>
      </c>
      <c r="H5314" s="1">
        <v>12</v>
      </c>
      <c r="I5314" s="1" t="s">
        <v>1219</v>
      </c>
      <c r="J5314" t="s">
        <v>10336</v>
      </c>
    </row>
    <row r="5315" spans="1:10">
      <c r="A5315" s="1">
        <v>317362</v>
      </c>
      <c r="B5315" s="1">
        <v>4200015556</v>
      </c>
      <c r="C5315" s="1">
        <v>6</v>
      </c>
      <c r="D5315" s="1" t="s">
        <v>1220</v>
      </c>
      <c r="E5315" t="s">
        <v>10300</v>
      </c>
      <c r="F5315" s="1">
        <v>475277</v>
      </c>
      <c r="G5315" s="1">
        <v>4116345035</v>
      </c>
      <c r="H5315" s="1">
        <v>12</v>
      </c>
      <c r="I5315" s="1" t="s">
        <v>1219</v>
      </c>
      <c r="J5315" t="s">
        <v>10337</v>
      </c>
    </row>
    <row r="5316" spans="1:10">
      <c r="A5316" s="1">
        <v>363838</v>
      </c>
      <c r="B5316" s="1">
        <v>4200016131</v>
      </c>
      <c r="C5316" s="1">
        <v>12</v>
      </c>
      <c r="D5316" s="1" t="s">
        <v>10301</v>
      </c>
      <c r="E5316" t="s">
        <v>10302</v>
      </c>
      <c r="F5316" s="1">
        <v>108456</v>
      </c>
      <c r="G5316" s="1">
        <v>4116345039</v>
      </c>
      <c r="H5316" s="1">
        <v>12</v>
      </c>
      <c r="I5316" s="1" t="s">
        <v>1220</v>
      </c>
      <c r="J5316" t="s">
        <v>10338</v>
      </c>
    </row>
    <row r="5317" spans="1:10">
      <c r="A5317" s="1">
        <v>142869</v>
      </c>
      <c r="B5317" s="1">
        <v>4200014207</v>
      </c>
      <c r="C5317" s="1">
        <v>6</v>
      </c>
      <c r="D5317" s="1" t="s">
        <v>11</v>
      </c>
      <c r="E5317" t="s">
        <v>10303</v>
      </c>
      <c r="F5317" s="1">
        <v>825489</v>
      </c>
      <c r="G5317" s="1">
        <v>4116345046</v>
      </c>
      <c r="H5317" s="1">
        <v>12</v>
      </c>
      <c r="I5317" s="1" t="s">
        <v>9522</v>
      </c>
      <c r="J5317" t="s">
        <v>10339</v>
      </c>
    </row>
    <row r="5318" spans="1:10">
      <c r="A5318" s="1">
        <v>400531</v>
      </c>
      <c r="B5318" s="1">
        <v>4200018613</v>
      </c>
      <c r="C5318" s="1">
        <v>6</v>
      </c>
      <c r="D5318" s="1" t="s">
        <v>1219</v>
      </c>
      <c r="E5318" t="s">
        <v>10304</v>
      </c>
      <c r="F5318" s="1">
        <v>529917</v>
      </c>
      <c r="G5318" s="1">
        <v>4116344957</v>
      </c>
      <c r="H5318" s="1">
        <v>6</v>
      </c>
      <c r="I5318" s="1" t="s">
        <v>10015</v>
      </c>
      <c r="J5318" t="s">
        <v>10340</v>
      </c>
    </row>
    <row r="5319" spans="1:10">
      <c r="A5319" s="1">
        <v>249276</v>
      </c>
      <c r="B5319" s="1">
        <v>1370008850</v>
      </c>
      <c r="C5319" s="1">
        <v>12</v>
      </c>
      <c r="D5319" s="1" t="s">
        <v>1219</v>
      </c>
      <c r="E5319" t="s">
        <v>10305</v>
      </c>
      <c r="F5319" s="1">
        <v>194068</v>
      </c>
      <c r="G5319" s="1">
        <v>4116344953</v>
      </c>
      <c r="H5319" s="1">
        <v>24</v>
      </c>
      <c r="I5319" s="1" t="s">
        <v>1220</v>
      </c>
      <c r="J5319" t="s">
        <v>10340</v>
      </c>
    </row>
    <row r="5320" spans="1:10">
      <c r="A5320" s="1">
        <v>445304</v>
      </c>
      <c r="B5320" s="1">
        <v>1370003120</v>
      </c>
      <c r="C5320" s="1">
        <v>12</v>
      </c>
      <c r="D5320" s="1" t="s">
        <v>13</v>
      </c>
      <c r="E5320" t="s">
        <v>10306</v>
      </c>
      <c r="F5320" s="1">
        <v>47233</v>
      </c>
      <c r="G5320" s="1">
        <v>4116344956</v>
      </c>
      <c r="H5320" s="1">
        <v>12</v>
      </c>
      <c r="I5320" s="1" t="s">
        <v>1208</v>
      </c>
      <c r="J5320" t="s">
        <v>10340</v>
      </c>
    </row>
    <row r="5321" spans="1:10">
      <c r="A5321" s="1">
        <v>249284</v>
      </c>
      <c r="B5321" s="1">
        <v>1370025012</v>
      </c>
      <c r="C5321" s="1">
        <v>12</v>
      </c>
      <c r="D5321" s="1" t="s">
        <v>1219</v>
      </c>
      <c r="E5321" t="s">
        <v>10307</v>
      </c>
      <c r="F5321" s="1">
        <v>855247</v>
      </c>
      <c r="G5321" s="1">
        <v>4116344960</v>
      </c>
      <c r="H5321" s="1">
        <v>24</v>
      </c>
      <c r="I5321" s="1" t="s">
        <v>1220</v>
      </c>
      <c r="J5321" t="s">
        <v>10341</v>
      </c>
    </row>
    <row r="5322" spans="1:10">
      <c r="A5322" s="1">
        <v>744672</v>
      </c>
      <c r="B5322" s="1">
        <v>1370022418</v>
      </c>
      <c r="C5322" s="1">
        <v>12</v>
      </c>
      <c r="D5322" s="1" t="s">
        <v>263</v>
      </c>
      <c r="E5322" t="s">
        <v>10308</v>
      </c>
      <c r="F5322" s="1">
        <v>509257</v>
      </c>
      <c r="G5322" s="1">
        <v>4116344961</v>
      </c>
      <c r="H5322" s="1">
        <v>6</v>
      </c>
      <c r="I5322" s="1" t="s">
        <v>1215</v>
      </c>
      <c r="J5322" t="s">
        <v>10341</v>
      </c>
    </row>
    <row r="5323" spans="1:10">
      <c r="A5323" s="1">
        <v>248666</v>
      </c>
      <c r="B5323" s="1">
        <v>1370011830</v>
      </c>
      <c r="C5323" s="1">
        <v>12</v>
      </c>
      <c r="D5323" s="1" t="s">
        <v>1206</v>
      </c>
      <c r="E5323" t="s">
        <v>10309</v>
      </c>
      <c r="F5323" s="1">
        <v>420976</v>
      </c>
      <c r="G5323" s="1">
        <v>4116344959</v>
      </c>
      <c r="H5323" s="1">
        <v>24</v>
      </c>
      <c r="I5323" s="1" t="s">
        <v>1220</v>
      </c>
      <c r="J5323" t="s">
        <v>10342</v>
      </c>
    </row>
    <row r="5324" spans="1:10">
      <c r="A5324" s="1">
        <v>248641</v>
      </c>
      <c r="B5324" s="1">
        <v>1370011850</v>
      </c>
      <c r="C5324" s="1">
        <v>12</v>
      </c>
      <c r="D5324" s="1" t="s">
        <v>1219</v>
      </c>
      <c r="E5324" t="s">
        <v>10309</v>
      </c>
      <c r="F5324" s="1">
        <v>895334</v>
      </c>
      <c r="G5324" s="1">
        <v>4116344952</v>
      </c>
      <c r="H5324" s="1">
        <v>24</v>
      </c>
      <c r="I5324" s="1" t="s">
        <v>1220</v>
      </c>
      <c r="J5324" t="s">
        <v>10343</v>
      </c>
    </row>
    <row r="5325" spans="1:10">
      <c r="A5325" s="1">
        <v>248690</v>
      </c>
      <c r="B5325" s="1">
        <v>1370011095</v>
      </c>
      <c r="C5325" s="1">
        <v>12</v>
      </c>
      <c r="D5325" s="1" t="s">
        <v>1219</v>
      </c>
      <c r="E5325" t="s">
        <v>10310</v>
      </c>
      <c r="F5325" s="1">
        <v>319194</v>
      </c>
      <c r="G5325" s="1">
        <v>4116344955</v>
      </c>
      <c r="H5325" s="1">
        <v>12</v>
      </c>
      <c r="I5325" s="1" t="s">
        <v>1208</v>
      </c>
      <c r="J5325" t="s">
        <v>10343</v>
      </c>
    </row>
    <row r="5326" spans="1:10">
      <c r="A5326" s="1">
        <v>129825</v>
      </c>
      <c r="B5326" s="1">
        <v>1370042409</v>
      </c>
      <c r="C5326" s="1">
        <v>9</v>
      </c>
      <c r="D5326" s="1" t="s">
        <v>1220</v>
      </c>
      <c r="E5326" t="s">
        <v>10311</v>
      </c>
      <c r="F5326" s="1">
        <v>514836</v>
      </c>
      <c r="G5326" s="1">
        <v>4116344972</v>
      </c>
      <c r="H5326" s="1">
        <v>30</v>
      </c>
      <c r="I5326" s="1" t="s">
        <v>1219</v>
      </c>
      <c r="J5326" t="s">
        <v>10344</v>
      </c>
    </row>
    <row r="5327" spans="1:10">
      <c r="A5327" s="1">
        <v>221671</v>
      </c>
      <c r="B5327" s="1">
        <v>1370041610</v>
      </c>
      <c r="C5327" s="1">
        <v>9</v>
      </c>
      <c r="D5327" s="1" t="s">
        <v>9522</v>
      </c>
      <c r="E5327" t="s">
        <v>10312</v>
      </c>
      <c r="F5327" s="1">
        <v>545228</v>
      </c>
      <c r="G5327" s="1">
        <v>4116344975</v>
      </c>
      <c r="H5327" s="1">
        <v>12</v>
      </c>
      <c r="I5327" s="1" t="s">
        <v>1219</v>
      </c>
      <c r="J5327" t="s">
        <v>10345</v>
      </c>
    </row>
    <row r="5328" spans="1:10">
      <c r="A5328" s="1">
        <v>831305</v>
      </c>
      <c r="B5328" s="1">
        <v>1370001028</v>
      </c>
      <c r="C5328" s="1">
        <v>10</v>
      </c>
      <c r="D5328" s="1" t="s">
        <v>9314</v>
      </c>
      <c r="E5328" t="s">
        <v>10313</v>
      </c>
      <c r="F5328" s="1">
        <v>227918</v>
      </c>
      <c r="G5328" s="1">
        <v>4116344973</v>
      </c>
      <c r="H5328" s="1">
        <v>12</v>
      </c>
      <c r="I5328" s="1" t="s">
        <v>10346</v>
      </c>
      <c r="J5328" t="s">
        <v>10347</v>
      </c>
    </row>
    <row r="5329" spans="1:10">
      <c r="A5329" s="1">
        <v>248922</v>
      </c>
      <c r="B5329" s="1">
        <v>1370009130</v>
      </c>
      <c r="C5329" s="1">
        <v>6</v>
      </c>
      <c r="D5329" s="1" t="s">
        <v>10018</v>
      </c>
      <c r="E5329" t="s">
        <v>10314</v>
      </c>
      <c r="F5329" s="1">
        <v>561522</v>
      </c>
      <c r="G5329" s="1">
        <v>4116344974</v>
      </c>
      <c r="H5329" s="1">
        <v>24</v>
      </c>
      <c r="I5329" s="1" t="s">
        <v>10027</v>
      </c>
      <c r="J5329" t="s">
        <v>10348</v>
      </c>
    </row>
    <row r="5330" spans="1:10">
      <c r="A5330" s="1">
        <v>364497</v>
      </c>
      <c r="B5330" s="1">
        <v>1370024955</v>
      </c>
      <c r="C5330" s="1">
        <v>6</v>
      </c>
      <c r="D5330" s="1" t="s">
        <v>9522</v>
      </c>
      <c r="E5330" t="s">
        <v>10315</v>
      </c>
      <c r="F5330" s="1">
        <v>423541</v>
      </c>
      <c r="G5330" s="1">
        <v>4116344998</v>
      </c>
      <c r="H5330" s="1">
        <v>12</v>
      </c>
      <c r="I5330" s="1" t="s">
        <v>11</v>
      </c>
      <c r="J5330" t="s">
        <v>10349</v>
      </c>
    </row>
    <row r="5331" spans="1:10" ht="15.75">
      <c r="A5331" s="4" t="s">
        <v>10846</v>
      </c>
      <c r="B5331" s="2"/>
      <c r="C5331" s="2"/>
      <c r="D5331" s="2"/>
      <c r="E5331" s="3"/>
      <c r="F5331" s="4" t="s">
        <v>10846</v>
      </c>
      <c r="G5331" s="2"/>
      <c r="H5331" s="2"/>
      <c r="I5331" s="2"/>
      <c r="J5331" s="3"/>
    </row>
    <row r="5332" spans="1:10">
      <c r="A5332" s="2" t="s">
        <v>0</v>
      </c>
      <c r="B5332" s="2" t="s">
        <v>1</v>
      </c>
      <c r="C5332" s="2" t="s">
        <v>2</v>
      </c>
      <c r="D5332" s="2" t="s">
        <v>3</v>
      </c>
      <c r="E5332" s="3" t="s">
        <v>4</v>
      </c>
      <c r="F5332" s="2" t="s">
        <v>0</v>
      </c>
      <c r="G5332" s="2" t="s">
        <v>1</v>
      </c>
      <c r="H5332" s="2" t="s">
        <v>2</v>
      </c>
      <c r="I5332" s="2" t="s">
        <v>3</v>
      </c>
      <c r="J5332" s="3" t="s">
        <v>4</v>
      </c>
    </row>
    <row r="5333" spans="1:10">
      <c r="A5333" s="1">
        <v>181701</v>
      </c>
      <c r="B5333" s="1">
        <v>4116344996</v>
      </c>
      <c r="C5333" s="1">
        <v>12</v>
      </c>
      <c r="D5333" s="1" t="s">
        <v>11</v>
      </c>
      <c r="E5333" t="s">
        <v>10350</v>
      </c>
      <c r="F5333" s="1">
        <v>251694</v>
      </c>
      <c r="G5333" s="1">
        <v>4116502220</v>
      </c>
      <c r="H5333" s="1">
        <v>12</v>
      </c>
      <c r="I5333" s="1" t="s">
        <v>68</v>
      </c>
      <c r="J5333" t="s">
        <v>10385</v>
      </c>
    </row>
    <row r="5334" spans="1:10">
      <c r="A5334" s="1">
        <v>445247</v>
      </c>
      <c r="B5334" s="1">
        <v>4116344997</v>
      </c>
      <c r="C5334" s="1">
        <v>8</v>
      </c>
      <c r="D5334" s="1" t="s">
        <v>9269</v>
      </c>
      <c r="E5334" t="s">
        <v>10350</v>
      </c>
      <c r="F5334" s="1">
        <v>250860</v>
      </c>
      <c r="G5334" s="1">
        <v>4116514020</v>
      </c>
      <c r="H5334" s="1">
        <v>12</v>
      </c>
      <c r="I5334" s="1" t="s">
        <v>9269</v>
      </c>
      <c r="J5334" t="s">
        <v>10386</v>
      </c>
    </row>
    <row r="5335" spans="1:10">
      <c r="A5335" s="1">
        <v>169037</v>
      </c>
      <c r="B5335" s="1">
        <v>4116345005</v>
      </c>
      <c r="C5335" s="1">
        <v>12</v>
      </c>
      <c r="D5335" s="1" t="s">
        <v>9818</v>
      </c>
      <c r="E5335" t="s">
        <v>10351</v>
      </c>
      <c r="F5335" s="1">
        <v>250878</v>
      </c>
      <c r="G5335" s="1">
        <v>4116501712</v>
      </c>
      <c r="H5335" s="1">
        <v>12</v>
      </c>
      <c r="I5335" s="1" t="s">
        <v>1215</v>
      </c>
      <c r="J5335" t="s">
        <v>10387</v>
      </c>
    </row>
    <row r="5336" spans="1:10">
      <c r="A5336" s="1">
        <v>682278</v>
      </c>
      <c r="B5336" s="1">
        <v>4116345003</v>
      </c>
      <c r="C5336" s="1">
        <v>12</v>
      </c>
      <c r="D5336" s="1" t="s">
        <v>1220</v>
      </c>
      <c r="E5336" t="s">
        <v>10352</v>
      </c>
      <c r="F5336" s="1">
        <v>251900</v>
      </c>
      <c r="G5336" s="1">
        <v>4116502200</v>
      </c>
      <c r="H5336" s="1">
        <v>12</v>
      </c>
      <c r="I5336" s="1" t="s">
        <v>13</v>
      </c>
      <c r="J5336" t="s">
        <v>10388</v>
      </c>
    </row>
    <row r="5337" spans="1:10">
      <c r="A5337" s="1">
        <v>303123</v>
      </c>
      <c r="B5337" s="1">
        <v>4116345006</v>
      </c>
      <c r="C5337" s="1">
        <v>12</v>
      </c>
      <c r="D5337" s="1" t="s">
        <v>1208</v>
      </c>
      <c r="E5337" t="s">
        <v>10353</v>
      </c>
      <c r="F5337" s="1">
        <v>251330</v>
      </c>
      <c r="G5337" s="1">
        <v>4116500632</v>
      </c>
      <c r="H5337" s="1">
        <v>12</v>
      </c>
      <c r="I5337" s="1" t="s">
        <v>766</v>
      </c>
      <c r="J5337" t="s">
        <v>10389</v>
      </c>
    </row>
    <row r="5338" spans="1:10">
      <c r="A5338" s="1">
        <v>633248</v>
      </c>
      <c r="B5338" s="1">
        <v>4116345004</v>
      </c>
      <c r="C5338" s="1">
        <v>6</v>
      </c>
      <c r="D5338" s="1" t="s">
        <v>10020</v>
      </c>
      <c r="E5338" t="s">
        <v>10354</v>
      </c>
      <c r="F5338" s="1">
        <v>251140</v>
      </c>
      <c r="G5338" s="1">
        <v>4116500631</v>
      </c>
      <c r="H5338" s="1">
        <v>12</v>
      </c>
      <c r="I5338" s="1" t="s">
        <v>1203</v>
      </c>
      <c r="J5338" t="s">
        <v>10390</v>
      </c>
    </row>
    <row r="5339" spans="1:10">
      <c r="A5339" s="1">
        <v>128322</v>
      </c>
      <c r="B5339" s="1">
        <v>4116344984</v>
      </c>
      <c r="C5339" s="1">
        <v>12</v>
      </c>
      <c r="D5339" s="1" t="s">
        <v>1220</v>
      </c>
      <c r="E5339" t="s">
        <v>10355</v>
      </c>
      <c r="F5339" s="1">
        <v>248856</v>
      </c>
      <c r="G5339" s="1">
        <v>4116539020</v>
      </c>
      <c r="H5339" s="1">
        <v>12</v>
      </c>
      <c r="I5339" s="1" t="s">
        <v>1219</v>
      </c>
      <c r="J5339" t="s">
        <v>10391</v>
      </c>
    </row>
    <row r="5340" spans="1:10">
      <c r="A5340" s="1">
        <v>837658</v>
      </c>
      <c r="B5340" s="1">
        <v>4116344982</v>
      </c>
      <c r="C5340" s="1">
        <v>8</v>
      </c>
      <c r="D5340" s="1" t="s">
        <v>52</v>
      </c>
      <c r="E5340" t="s">
        <v>10356</v>
      </c>
      <c r="F5340" s="1">
        <v>248815</v>
      </c>
      <c r="G5340" s="1">
        <v>4116502515</v>
      </c>
      <c r="H5340" s="1">
        <v>12</v>
      </c>
      <c r="I5340" s="1" t="s">
        <v>1217</v>
      </c>
      <c r="J5340" t="s">
        <v>10392</v>
      </c>
    </row>
    <row r="5341" spans="1:10">
      <c r="A5341" s="1">
        <v>213595</v>
      </c>
      <c r="B5341" s="1">
        <v>4116344983</v>
      </c>
      <c r="C5341" s="1">
        <v>12</v>
      </c>
      <c r="D5341" s="1" t="s">
        <v>9</v>
      </c>
      <c r="E5341" t="s">
        <v>10357</v>
      </c>
      <c r="F5341" s="1">
        <v>248450</v>
      </c>
      <c r="G5341" s="1">
        <v>4116501739</v>
      </c>
      <c r="H5341" s="1">
        <v>12</v>
      </c>
      <c r="I5341" s="1" t="s">
        <v>1217</v>
      </c>
      <c r="J5341" t="s">
        <v>10393</v>
      </c>
    </row>
    <row r="5342" spans="1:10">
      <c r="A5342" s="1">
        <v>678722</v>
      </c>
      <c r="B5342" s="1">
        <v>4116344985</v>
      </c>
      <c r="C5342" s="1">
        <v>12</v>
      </c>
      <c r="D5342" s="1" t="s">
        <v>1203</v>
      </c>
      <c r="E5342" t="s">
        <v>10358</v>
      </c>
      <c r="F5342" s="1">
        <v>248419</v>
      </c>
      <c r="G5342" s="1">
        <v>4116501741</v>
      </c>
      <c r="H5342" s="1">
        <v>12</v>
      </c>
      <c r="I5342" s="1" t="s">
        <v>1208</v>
      </c>
      <c r="J5342" t="s">
        <v>10394</v>
      </c>
    </row>
    <row r="5343" spans="1:10">
      <c r="A5343" s="1">
        <v>46235</v>
      </c>
      <c r="B5343" s="1">
        <v>4116344987</v>
      </c>
      <c r="C5343" s="1">
        <v>4</v>
      </c>
      <c r="D5343" s="1" t="s">
        <v>9269</v>
      </c>
      <c r="E5343" t="s">
        <v>10359</v>
      </c>
      <c r="F5343" s="1">
        <v>248435</v>
      </c>
      <c r="G5343" s="1">
        <v>4116501737</v>
      </c>
      <c r="H5343" s="1">
        <v>12</v>
      </c>
      <c r="I5343" s="1" t="s">
        <v>1210</v>
      </c>
      <c r="J5343" t="s">
        <v>10395</v>
      </c>
    </row>
    <row r="5344" spans="1:10">
      <c r="A5344" s="1">
        <v>500926</v>
      </c>
      <c r="B5344" s="1">
        <v>4116344986</v>
      </c>
      <c r="C5344" s="1">
        <v>12</v>
      </c>
      <c r="D5344" s="1" t="s">
        <v>1219</v>
      </c>
      <c r="E5344" t="s">
        <v>10360</v>
      </c>
      <c r="F5344" s="1">
        <v>396549</v>
      </c>
      <c r="G5344" s="1">
        <v>4116503091</v>
      </c>
      <c r="H5344" s="1">
        <v>12</v>
      </c>
      <c r="I5344" s="1" t="s">
        <v>9522</v>
      </c>
      <c r="J5344" t="s">
        <v>10396</v>
      </c>
    </row>
    <row r="5345" spans="1:10">
      <c r="A5345" s="1">
        <v>647933</v>
      </c>
      <c r="B5345" s="1">
        <v>4116345032</v>
      </c>
      <c r="C5345" s="1">
        <v>12</v>
      </c>
      <c r="D5345" s="1" t="s">
        <v>13</v>
      </c>
      <c r="E5345" t="s">
        <v>10361</v>
      </c>
      <c r="F5345" s="1">
        <v>374488</v>
      </c>
      <c r="G5345" s="1">
        <v>4116506280</v>
      </c>
      <c r="H5345" s="1">
        <v>6</v>
      </c>
      <c r="I5345" s="1" t="s">
        <v>10020</v>
      </c>
      <c r="J5345" t="s">
        <v>10397</v>
      </c>
    </row>
    <row r="5346" spans="1:10">
      <c r="A5346" s="1">
        <v>787044</v>
      </c>
      <c r="B5346" s="1">
        <v>4116345033</v>
      </c>
      <c r="C5346" s="1">
        <v>12</v>
      </c>
      <c r="D5346" s="1" t="s">
        <v>68</v>
      </c>
      <c r="E5346" t="s">
        <v>10362</v>
      </c>
      <c r="F5346" s="1">
        <v>251108</v>
      </c>
      <c r="G5346" s="1">
        <v>4116560010</v>
      </c>
      <c r="H5346" s="1">
        <v>12</v>
      </c>
      <c r="I5346" s="1" t="s">
        <v>1206</v>
      </c>
      <c r="J5346" t="s">
        <v>10398</v>
      </c>
    </row>
    <row r="5347" spans="1:10">
      <c r="A5347" s="1">
        <v>428383</v>
      </c>
      <c r="B5347" s="1">
        <v>4116345045</v>
      </c>
      <c r="C5347" s="1">
        <v>12</v>
      </c>
      <c r="D5347" s="1" t="s">
        <v>448</v>
      </c>
      <c r="E5347" t="s">
        <v>10363</v>
      </c>
      <c r="F5347" s="1">
        <v>803387</v>
      </c>
      <c r="G5347" s="1">
        <v>4116506100</v>
      </c>
      <c r="H5347" s="1">
        <v>12</v>
      </c>
      <c r="I5347" s="1" t="s">
        <v>1206</v>
      </c>
      <c r="J5347" t="s">
        <v>10399</v>
      </c>
    </row>
    <row r="5348" spans="1:10">
      <c r="A5348" s="1">
        <v>556209</v>
      </c>
      <c r="B5348" s="1">
        <v>4116345044</v>
      </c>
      <c r="C5348" s="1">
        <v>12</v>
      </c>
      <c r="D5348" s="1" t="s">
        <v>225</v>
      </c>
      <c r="E5348" t="s">
        <v>10364</v>
      </c>
      <c r="F5348" s="1">
        <v>543413</v>
      </c>
      <c r="G5348" s="1">
        <v>4116506107</v>
      </c>
      <c r="H5348" s="1">
        <v>12</v>
      </c>
      <c r="I5348" s="1" t="s">
        <v>766</v>
      </c>
      <c r="J5348" t="s">
        <v>10400</v>
      </c>
    </row>
    <row r="5349" spans="1:10">
      <c r="A5349" s="1">
        <v>190397</v>
      </c>
      <c r="B5349" s="1">
        <v>4116345034</v>
      </c>
      <c r="C5349" s="1">
        <v>12</v>
      </c>
      <c r="D5349" s="1" t="s">
        <v>68</v>
      </c>
      <c r="E5349" t="s">
        <v>10365</v>
      </c>
      <c r="F5349" s="1">
        <v>417360</v>
      </c>
      <c r="G5349" s="1">
        <v>4116506104</v>
      </c>
      <c r="H5349" s="1">
        <v>12</v>
      </c>
      <c r="I5349" s="1" t="s">
        <v>263</v>
      </c>
      <c r="J5349" t="s">
        <v>10401</v>
      </c>
    </row>
    <row r="5350" spans="1:10">
      <c r="A5350" s="1">
        <v>771402</v>
      </c>
      <c r="B5350" s="1">
        <v>4116344995</v>
      </c>
      <c r="C5350" s="1">
        <v>12</v>
      </c>
      <c r="D5350" s="1" t="s">
        <v>1207</v>
      </c>
      <c r="E5350" t="s">
        <v>10366</v>
      </c>
      <c r="F5350" s="1">
        <v>469874</v>
      </c>
      <c r="G5350" s="1">
        <v>4116506102</v>
      </c>
      <c r="H5350" s="1">
        <v>12</v>
      </c>
      <c r="I5350" s="1" t="s">
        <v>1207</v>
      </c>
      <c r="J5350" t="s">
        <v>10402</v>
      </c>
    </row>
    <row r="5351" spans="1:10">
      <c r="A5351" s="1">
        <v>460345</v>
      </c>
      <c r="B5351" s="1">
        <v>4116345012</v>
      </c>
      <c r="C5351" s="1">
        <v>12</v>
      </c>
      <c r="D5351" s="1" t="s">
        <v>233</v>
      </c>
      <c r="E5351" t="s">
        <v>10367</v>
      </c>
      <c r="F5351" s="1">
        <v>513846</v>
      </c>
      <c r="G5351" s="1">
        <v>4116502987</v>
      </c>
      <c r="H5351" s="1">
        <v>12</v>
      </c>
      <c r="I5351" s="1" t="s">
        <v>47</v>
      </c>
      <c r="J5351" t="s">
        <v>10403</v>
      </c>
    </row>
    <row r="5352" spans="1:10">
      <c r="A5352" s="1">
        <v>400507</v>
      </c>
      <c r="B5352" s="1">
        <v>4116345013</v>
      </c>
      <c r="C5352" s="1">
        <v>6</v>
      </c>
      <c r="D5352" s="1" t="s">
        <v>1203</v>
      </c>
      <c r="E5352" t="s">
        <v>10368</v>
      </c>
      <c r="F5352" s="1">
        <v>238170</v>
      </c>
      <c r="G5352" s="1">
        <v>4116503089</v>
      </c>
      <c r="H5352" s="1">
        <v>9</v>
      </c>
      <c r="I5352" s="1" t="s">
        <v>5</v>
      </c>
      <c r="J5352" t="s">
        <v>10404</v>
      </c>
    </row>
    <row r="5353" spans="1:10">
      <c r="A5353" s="1">
        <v>357590</v>
      </c>
      <c r="B5353" s="1">
        <v>4116344990</v>
      </c>
      <c r="C5353" s="1">
        <v>12</v>
      </c>
      <c r="D5353" s="1" t="s">
        <v>13</v>
      </c>
      <c r="E5353" t="s">
        <v>10369</v>
      </c>
      <c r="F5353" s="1">
        <v>251223</v>
      </c>
      <c r="G5353" s="1">
        <v>4116500626</v>
      </c>
      <c r="H5353" s="1">
        <v>12</v>
      </c>
      <c r="I5353" s="1" t="s">
        <v>1220</v>
      </c>
      <c r="J5353" t="s">
        <v>10405</v>
      </c>
    </row>
    <row r="5354" spans="1:10">
      <c r="A5354" s="1">
        <v>280693</v>
      </c>
      <c r="B5354" s="1">
        <v>4116344958</v>
      </c>
      <c r="C5354" s="1">
        <v>24</v>
      </c>
      <c r="D5354" s="1" t="s">
        <v>1220</v>
      </c>
      <c r="E5354" t="s">
        <v>10370</v>
      </c>
      <c r="F5354" s="1">
        <v>178848</v>
      </c>
      <c r="G5354" s="1">
        <v>4200015737</v>
      </c>
      <c r="H5354" s="1">
        <v>12</v>
      </c>
      <c r="I5354" s="1" t="s">
        <v>225</v>
      </c>
      <c r="J5354" t="s">
        <v>10406</v>
      </c>
    </row>
    <row r="5355" spans="1:10">
      <c r="A5355" s="1">
        <v>480772</v>
      </c>
      <c r="B5355" s="1">
        <v>4116344951</v>
      </c>
      <c r="C5355" s="1">
        <v>24</v>
      </c>
      <c r="D5355" s="1" t="s">
        <v>1220</v>
      </c>
      <c r="E5355" t="s">
        <v>10371</v>
      </c>
      <c r="F5355" s="1">
        <v>572867</v>
      </c>
      <c r="G5355" s="1">
        <v>4200015627</v>
      </c>
      <c r="H5355" s="1">
        <v>6</v>
      </c>
      <c r="I5355" s="1" t="s">
        <v>263</v>
      </c>
      <c r="J5355" t="s">
        <v>10407</v>
      </c>
    </row>
    <row r="5356" spans="1:10" ht="15.75">
      <c r="A5356" s="1">
        <v>892414</v>
      </c>
      <c r="B5356" s="1">
        <v>4116344954</v>
      </c>
      <c r="C5356" s="1">
        <v>12</v>
      </c>
      <c r="D5356" s="1" t="s">
        <v>1208</v>
      </c>
      <c r="E5356" t="s">
        <v>10371</v>
      </c>
      <c r="F5356" s="4" t="s">
        <v>10847</v>
      </c>
      <c r="G5356" s="2"/>
      <c r="H5356" s="2"/>
      <c r="I5356" s="2"/>
      <c r="J5356" s="3"/>
    </row>
    <row r="5357" spans="1:10">
      <c r="A5357" s="1">
        <v>677419</v>
      </c>
      <c r="B5357" s="1">
        <v>4116344967</v>
      </c>
      <c r="C5357" s="1">
        <v>12</v>
      </c>
      <c r="D5357" s="1" t="s">
        <v>11</v>
      </c>
      <c r="E5357" t="s">
        <v>10372</v>
      </c>
      <c r="F5357" s="2" t="s">
        <v>0</v>
      </c>
      <c r="G5357" s="2" t="s">
        <v>1</v>
      </c>
      <c r="H5357" s="2" t="s">
        <v>2</v>
      </c>
      <c r="I5357" s="2" t="s">
        <v>3</v>
      </c>
      <c r="J5357" s="3" t="s">
        <v>4</v>
      </c>
    </row>
    <row r="5358" spans="1:10">
      <c r="A5358" s="1">
        <v>760413</v>
      </c>
      <c r="B5358" s="1">
        <v>4116344966</v>
      </c>
      <c r="C5358" s="1">
        <v>12</v>
      </c>
      <c r="D5358" s="1" t="s">
        <v>11</v>
      </c>
      <c r="E5358" t="s">
        <v>10373</v>
      </c>
      <c r="F5358" s="1">
        <v>108589</v>
      </c>
      <c r="G5358" s="1">
        <v>0</v>
      </c>
      <c r="H5358" s="1">
        <v>500</v>
      </c>
      <c r="I5358" s="1" t="s">
        <v>8</v>
      </c>
      <c r="J5358" t="s">
        <v>10409</v>
      </c>
    </row>
    <row r="5359" spans="1:10">
      <c r="A5359" s="1">
        <v>345165</v>
      </c>
      <c r="B5359" s="1">
        <v>4116344969</v>
      </c>
      <c r="C5359" s="1">
        <v>24</v>
      </c>
      <c r="D5359" s="1" t="s">
        <v>10025</v>
      </c>
      <c r="E5359" t="s">
        <v>10374</v>
      </c>
      <c r="F5359" s="1">
        <v>753046</v>
      </c>
      <c r="G5359" s="1">
        <v>1951300213</v>
      </c>
      <c r="H5359" s="1">
        <v>150</v>
      </c>
      <c r="I5359" s="1" t="s">
        <v>8</v>
      </c>
      <c r="J5359" t="s">
        <v>10410</v>
      </c>
    </row>
    <row r="5360" spans="1:10">
      <c r="A5360" s="1">
        <v>609669</v>
      </c>
      <c r="B5360" s="1">
        <v>4116344970</v>
      </c>
      <c r="C5360" s="1">
        <v>48</v>
      </c>
      <c r="D5360" s="1" t="s">
        <v>10025</v>
      </c>
      <c r="E5360" t="s">
        <v>10375</v>
      </c>
      <c r="F5360" s="1">
        <v>295030</v>
      </c>
      <c r="G5360" s="1">
        <v>200001</v>
      </c>
      <c r="H5360" s="1">
        <v>1</v>
      </c>
      <c r="I5360" s="1" t="s">
        <v>439</v>
      </c>
      <c r="J5360" t="s">
        <v>10411</v>
      </c>
    </row>
    <row r="5361" spans="1:10">
      <c r="A5361" s="1">
        <v>249136</v>
      </c>
      <c r="B5361" s="1">
        <v>4116531702</v>
      </c>
      <c r="C5361" s="1">
        <v>6</v>
      </c>
      <c r="D5361" s="1" t="s">
        <v>11</v>
      </c>
      <c r="E5361" t="s">
        <v>10376</v>
      </c>
      <c r="F5361" s="1">
        <v>309625</v>
      </c>
      <c r="G5361" s="1">
        <v>300001</v>
      </c>
      <c r="H5361" s="1">
        <v>1</v>
      </c>
      <c r="I5361" s="1" t="s">
        <v>10412</v>
      </c>
      <c r="J5361" t="s">
        <v>10413</v>
      </c>
    </row>
    <row r="5362" spans="1:10">
      <c r="A5362" s="1">
        <v>476630</v>
      </c>
      <c r="B5362" s="1">
        <v>7521800196</v>
      </c>
      <c r="C5362" s="1">
        <v>50</v>
      </c>
      <c r="D5362" s="1" t="s">
        <v>1219</v>
      </c>
      <c r="E5362" t="s">
        <v>10377</v>
      </c>
      <c r="F5362" s="1">
        <v>294777</v>
      </c>
      <c r="G5362" s="1">
        <v>200001</v>
      </c>
      <c r="H5362" s="1">
        <v>1</v>
      </c>
      <c r="I5362" s="1" t="s">
        <v>8</v>
      </c>
      <c r="J5362" t="s">
        <v>10414</v>
      </c>
    </row>
    <row r="5363" spans="1:10">
      <c r="A5363" s="1">
        <v>247999</v>
      </c>
      <c r="B5363" s="1">
        <v>4113030083</v>
      </c>
      <c r="C5363" s="1">
        <v>12</v>
      </c>
      <c r="D5363" s="1" t="s">
        <v>11</v>
      </c>
      <c r="E5363" t="s">
        <v>10378</v>
      </c>
      <c r="F5363" s="1">
        <v>294793</v>
      </c>
      <c r="G5363" s="1">
        <v>200001</v>
      </c>
      <c r="H5363" s="1">
        <v>1</v>
      </c>
      <c r="I5363" s="1" t="s">
        <v>10412</v>
      </c>
      <c r="J5363" t="s">
        <v>10415</v>
      </c>
    </row>
    <row r="5364" spans="1:10">
      <c r="A5364" s="1">
        <v>247635</v>
      </c>
      <c r="B5364" s="1">
        <v>4113030532</v>
      </c>
      <c r="C5364" s="1">
        <v>12</v>
      </c>
      <c r="D5364" s="1" t="s">
        <v>13</v>
      </c>
      <c r="E5364" t="s">
        <v>10379</v>
      </c>
      <c r="F5364" s="1">
        <v>295246</v>
      </c>
      <c r="G5364" s="1">
        <v>200001</v>
      </c>
      <c r="H5364" s="1">
        <v>1</v>
      </c>
      <c r="I5364" s="1" t="s">
        <v>10416</v>
      </c>
      <c r="J5364" t="s">
        <v>10417</v>
      </c>
    </row>
    <row r="5365" spans="1:10">
      <c r="A5365" s="1">
        <v>353995</v>
      </c>
      <c r="B5365" s="1">
        <v>4113030138</v>
      </c>
      <c r="C5365" s="1">
        <v>4</v>
      </c>
      <c r="D5365" s="1" t="s">
        <v>10023</v>
      </c>
      <c r="E5365" t="s">
        <v>10380</v>
      </c>
      <c r="F5365" s="1">
        <v>110494</v>
      </c>
      <c r="G5365" s="1">
        <v>100001</v>
      </c>
      <c r="H5365" s="1">
        <v>1</v>
      </c>
      <c r="I5365" s="1" t="s">
        <v>8</v>
      </c>
      <c r="J5365" t="s">
        <v>10418</v>
      </c>
    </row>
    <row r="5366" spans="1:10">
      <c r="A5366" s="1">
        <v>78196</v>
      </c>
      <c r="B5366" s="1">
        <v>4113030700</v>
      </c>
      <c r="C5366" s="1">
        <v>18</v>
      </c>
      <c r="D5366" s="1" t="s">
        <v>1216</v>
      </c>
      <c r="E5366" t="s">
        <v>10380</v>
      </c>
      <c r="F5366" s="1">
        <v>309500</v>
      </c>
      <c r="G5366" s="1">
        <v>300001</v>
      </c>
      <c r="H5366" s="1">
        <v>1</v>
      </c>
      <c r="I5366" s="1" t="s">
        <v>8</v>
      </c>
      <c r="J5366" t="s">
        <v>10419</v>
      </c>
    </row>
    <row r="5367" spans="1:10">
      <c r="A5367" s="1">
        <v>17459</v>
      </c>
      <c r="B5367" s="1">
        <v>4113030065</v>
      </c>
      <c r="C5367" s="1">
        <v>12</v>
      </c>
      <c r="D5367" s="1" t="s">
        <v>11</v>
      </c>
      <c r="E5367" t="s">
        <v>10381</v>
      </c>
      <c r="F5367" s="1">
        <v>309583</v>
      </c>
      <c r="G5367" s="1">
        <v>301232</v>
      </c>
      <c r="H5367" s="1">
        <v>1</v>
      </c>
      <c r="I5367" s="1" t="s">
        <v>375</v>
      </c>
      <c r="J5367" t="s">
        <v>10420</v>
      </c>
    </row>
    <row r="5368" spans="1:10">
      <c r="A5368" s="1">
        <v>17483</v>
      </c>
      <c r="B5368" s="1">
        <v>4113030634</v>
      </c>
      <c r="C5368" s="1">
        <v>2</v>
      </c>
      <c r="D5368" s="1" t="s">
        <v>10030</v>
      </c>
      <c r="E5368" t="s">
        <v>10381</v>
      </c>
      <c r="F5368" s="1">
        <v>306563</v>
      </c>
      <c r="G5368" s="1">
        <v>300001</v>
      </c>
      <c r="H5368" s="1">
        <v>1</v>
      </c>
      <c r="I5368" s="1" t="s">
        <v>375</v>
      </c>
      <c r="J5368" t="s">
        <v>10421</v>
      </c>
    </row>
    <row r="5369" spans="1:10">
      <c r="A5369" s="1">
        <v>248849</v>
      </c>
      <c r="B5369" s="1">
        <v>4113030213</v>
      </c>
      <c r="C5369" s="1">
        <v>8</v>
      </c>
      <c r="D5369" s="1" t="s">
        <v>9269</v>
      </c>
      <c r="E5369" t="s">
        <v>10382</v>
      </c>
      <c r="F5369" s="1">
        <v>118182</v>
      </c>
      <c r="G5369" s="1">
        <v>100001</v>
      </c>
      <c r="H5369" s="1">
        <v>6</v>
      </c>
      <c r="I5369" s="1" t="s">
        <v>8</v>
      </c>
      <c r="J5369" t="s">
        <v>10422</v>
      </c>
    </row>
    <row r="5370" spans="1:10">
      <c r="A5370" s="1">
        <v>247676</v>
      </c>
      <c r="B5370" s="1">
        <v>4113030663</v>
      </c>
      <c r="C5370" s="1">
        <v>12</v>
      </c>
      <c r="D5370" s="1" t="s">
        <v>1219</v>
      </c>
      <c r="E5370" t="s">
        <v>10383</v>
      </c>
      <c r="F5370" s="1">
        <v>335331</v>
      </c>
      <c r="G5370" s="1">
        <v>300001</v>
      </c>
      <c r="H5370" s="1">
        <v>3</v>
      </c>
      <c r="I5370" s="1" t="s">
        <v>7435</v>
      </c>
      <c r="J5370" t="s">
        <v>10423</v>
      </c>
    </row>
    <row r="5371" spans="1:10">
      <c r="A5371" s="1">
        <v>75903</v>
      </c>
      <c r="B5371" s="1">
        <v>4113030936</v>
      </c>
      <c r="C5371" s="1">
        <v>10</v>
      </c>
      <c r="D5371" s="1" t="s">
        <v>1207</v>
      </c>
      <c r="E5371" t="s">
        <v>10384</v>
      </c>
      <c r="F5371" s="1">
        <v>714972</v>
      </c>
      <c r="G5371" s="1">
        <v>3733023833</v>
      </c>
      <c r="H5371" s="1">
        <v>4</v>
      </c>
      <c r="I5371" s="1" t="s">
        <v>8</v>
      </c>
      <c r="J5371" t="s">
        <v>10424</v>
      </c>
    </row>
    <row r="5372" spans="1:10" ht="15.75">
      <c r="A5372" s="4" t="s">
        <v>10847</v>
      </c>
      <c r="B5372" s="2"/>
      <c r="C5372" s="2"/>
      <c r="D5372" s="2"/>
      <c r="E5372" s="3"/>
      <c r="F5372" s="4" t="s">
        <v>10847</v>
      </c>
      <c r="G5372" s="2"/>
      <c r="H5372" s="2"/>
      <c r="I5372" s="2"/>
      <c r="J5372" s="3"/>
    </row>
    <row r="5373" spans="1:10">
      <c r="A5373" s="2" t="s">
        <v>0</v>
      </c>
      <c r="B5373" s="2" t="s">
        <v>1</v>
      </c>
      <c r="C5373" s="2" t="s">
        <v>2</v>
      </c>
      <c r="D5373" s="2" t="s">
        <v>3</v>
      </c>
      <c r="E5373" s="3" t="s">
        <v>4</v>
      </c>
      <c r="F5373" s="2" t="s">
        <v>0</v>
      </c>
      <c r="G5373" s="2" t="s">
        <v>1</v>
      </c>
      <c r="H5373" s="2" t="s">
        <v>2</v>
      </c>
      <c r="I5373" s="2" t="s">
        <v>3</v>
      </c>
      <c r="J5373" s="3" t="s">
        <v>4</v>
      </c>
    </row>
    <row r="5374" spans="1:10">
      <c r="A5374" s="1">
        <v>334284</v>
      </c>
      <c r="B5374" s="1">
        <v>300001</v>
      </c>
      <c r="C5374" s="1">
        <v>18</v>
      </c>
      <c r="D5374" s="1" t="s">
        <v>8</v>
      </c>
      <c r="E5374" t="s">
        <v>10425</v>
      </c>
      <c r="F5374" s="1">
        <v>666198</v>
      </c>
      <c r="G5374" s="1">
        <v>2383372016</v>
      </c>
      <c r="H5374" s="1">
        <v>100</v>
      </c>
      <c r="I5374" s="1" t="s">
        <v>8</v>
      </c>
      <c r="J5374" t="s">
        <v>10466</v>
      </c>
    </row>
    <row r="5375" spans="1:10">
      <c r="A5375" s="1">
        <v>715045</v>
      </c>
      <c r="B5375" s="1">
        <v>6571023833</v>
      </c>
      <c r="C5375" s="1">
        <v>1</v>
      </c>
      <c r="D5375" s="1" t="s">
        <v>8</v>
      </c>
      <c r="E5375" t="s">
        <v>10426</v>
      </c>
      <c r="F5375" s="1">
        <v>356519</v>
      </c>
      <c r="G5375" s="1">
        <v>356519</v>
      </c>
      <c r="H5375" s="1">
        <v>100</v>
      </c>
      <c r="I5375" s="1" t="s">
        <v>10467</v>
      </c>
      <c r="J5375" t="s">
        <v>10468</v>
      </c>
    </row>
    <row r="5376" spans="1:10">
      <c r="A5376" s="1">
        <v>254417</v>
      </c>
      <c r="B5376" s="1">
        <v>3600007006</v>
      </c>
      <c r="C5376" s="1">
        <v>12</v>
      </c>
      <c r="D5376" s="1" t="s">
        <v>8</v>
      </c>
      <c r="E5376" t="s">
        <v>10427</v>
      </c>
      <c r="F5376" s="1">
        <v>425892</v>
      </c>
      <c r="G5376" s="1">
        <v>2383372113</v>
      </c>
      <c r="H5376" s="1">
        <v>100</v>
      </c>
      <c r="I5376" s="1" t="s">
        <v>8</v>
      </c>
      <c r="J5376" t="s">
        <v>10469</v>
      </c>
    </row>
    <row r="5377" spans="1:10">
      <c r="A5377" s="1">
        <v>338988</v>
      </c>
      <c r="B5377" s="1">
        <v>300001</v>
      </c>
      <c r="C5377" s="1">
        <v>3</v>
      </c>
      <c r="D5377" s="1" t="s">
        <v>8319</v>
      </c>
      <c r="E5377" t="s">
        <v>10428</v>
      </c>
      <c r="F5377" s="1">
        <v>173799</v>
      </c>
      <c r="G5377" s="1">
        <v>173799</v>
      </c>
      <c r="H5377" s="1">
        <v>100</v>
      </c>
      <c r="I5377" s="1" t="s">
        <v>8</v>
      </c>
      <c r="J5377" t="s">
        <v>10470</v>
      </c>
    </row>
    <row r="5378" spans="1:10">
      <c r="A5378" s="1">
        <v>334599</v>
      </c>
      <c r="B5378" s="1">
        <v>300001</v>
      </c>
      <c r="C5378" s="1">
        <v>12</v>
      </c>
      <c r="D5378" s="1" t="s">
        <v>8</v>
      </c>
      <c r="E5378" t="s">
        <v>10429</v>
      </c>
      <c r="F5378" s="1">
        <v>118356</v>
      </c>
      <c r="G5378" s="1">
        <v>0</v>
      </c>
      <c r="H5378" s="1">
        <v>300</v>
      </c>
      <c r="I5378" s="1" t="s">
        <v>6</v>
      </c>
      <c r="J5378" t="s">
        <v>10471</v>
      </c>
    </row>
    <row r="5379" spans="1:10">
      <c r="A5379" s="1">
        <v>112136</v>
      </c>
      <c r="B5379" s="1">
        <v>112136</v>
      </c>
      <c r="C5379" s="1">
        <v>500</v>
      </c>
      <c r="D5379" s="1" t="s">
        <v>8</v>
      </c>
      <c r="E5379" t="s">
        <v>10430</v>
      </c>
      <c r="F5379" s="1">
        <v>873802</v>
      </c>
      <c r="G5379" s="1">
        <v>8016210831</v>
      </c>
      <c r="H5379" s="1">
        <v>250</v>
      </c>
      <c r="I5379" s="1" t="s">
        <v>8</v>
      </c>
      <c r="J5379" t="s">
        <v>10472</v>
      </c>
    </row>
    <row r="5380" spans="1:10">
      <c r="A5380" s="1">
        <v>188201</v>
      </c>
      <c r="B5380" s="1">
        <v>188201</v>
      </c>
      <c r="C5380" s="1">
        <v>100</v>
      </c>
      <c r="D5380" s="1" t="s">
        <v>8</v>
      </c>
      <c r="E5380" t="s">
        <v>10431</v>
      </c>
      <c r="F5380" s="1">
        <v>291278</v>
      </c>
      <c r="G5380" s="1">
        <v>200001</v>
      </c>
      <c r="H5380" s="1">
        <v>1</v>
      </c>
      <c r="I5380" s="1" t="s">
        <v>10473</v>
      </c>
      <c r="J5380" t="s">
        <v>10474</v>
      </c>
    </row>
    <row r="5381" spans="1:10">
      <c r="A5381" s="1">
        <v>714857</v>
      </c>
      <c r="B5381" s="1">
        <v>1017023833</v>
      </c>
      <c r="C5381" s="1">
        <v>4</v>
      </c>
      <c r="D5381" s="1" t="s">
        <v>8</v>
      </c>
      <c r="E5381" t="s">
        <v>10432</v>
      </c>
      <c r="F5381" s="1">
        <v>714923</v>
      </c>
      <c r="G5381" s="1">
        <v>2475023833</v>
      </c>
      <c r="H5381" s="1">
        <v>3</v>
      </c>
      <c r="I5381" s="1" t="s">
        <v>8</v>
      </c>
      <c r="J5381" t="s">
        <v>10475</v>
      </c>
    </row>
    <row r="5382" spans="1:10">
      <c r="A5382" s="1">
        <v>38190</v>
      </c>
      <c r="B5382" s="1">
        <v>2383310252</v>
      </c>
      <c r="C5382" s="1">
        <v>1</v>
      </c>
      <c r="D5382" s="1" t="s">
        <v>8</v>
      </c>
      <c r="E5382" t="s">
        <v>10433</v>
      </c>
      <c r="F5382" s="1">
        <v>293829</v>
      </c>
      <c r="G5382" s="1">
        <v>200001</v>
      </c>
      <c r="H5382" s="1">
        <v>20</v>
      </c>
      <c r="I5382" s="1" t="s">
        <v>8</v>
      </c>
      <c r="J5382" t="s">
        <v>10476</v>
      </c>
    </row>
    <row r="5383" spans="1:10">
      <c r="A5383" s="1">
        <v>858415</v>
      </c>
      <c r="B5383" s="1">
        <v>8873180330</v>
      </c>
      <c r="C5383" s="1">
        <v>6</v>
      </c>
      <c r="D5383" s="1" t="s">
        <v>8</v>
      </c>
      <c r="E5383" t="s">
        <v>10434</v>
      </c>
      <c r="F5383" s="1">
        <v>714949</v>
      </c>
      <c r="G5383" s="1">
        <v>2535023833</v>
      </c>
      <c r="H5383" s="1">
        <v>3</v>
      </c>
      <c r="I5383" s="1" t="s">
        <v>8</v>
      </c>
      <c r="J5383" t="s">
        <v>10477</v>
      </c>
    </row>
    <row r="5384" spans="1:10">
      <c r="A5384" s="1">
        <v>117788</v>
      </c>
      <c r="B5384" s="1">
        <v>100001</v>
      </c>
      <c r="C5384" s="1">
        <v>1</v>
      </c>
      <c r="D5384" s="1" t="s">
        <v>10435</v>
      </c>
      <c r="E5384" t="s">
        <v>10436</v>
      </c>
      <c r="F5384" s="1">
        <v>714956</v>
      </c>
      <c r="G5384" s="1">
        <v>2541023833</v>
      </c>
      <c r="H5384" s="1">
        <v>3</v>
      </c>
      <c r="I5384" s="1" t="s">
        <v>8</v>
      </c>
      <c r="J5384" t="s">
        <v>10478</v>
      </c>
    </row>
    <row r="5385" spans="1:10">
      <c r="A5385" s="1">
        <v>892281</v>
      </c>
      <c r="B5385" s="1">
        <v>2383310560</v>
      </c>
      <c r="C5385" s="1">
        <v>4</v>
      </c>
      <c r="D5385" s="1" t="s">
        <v>8319</v>
      </c>
      <c r="E5385" t="s">
        <v>10437</v>
      </c>
      <c r="F5385" s="1">
        <v>466235</v>
      </c>
      <c r="G5385" s="1">
        <v>2383325489</v>
      </c>
      <c r="H5385" s="1">
        <v>1</v>
      </c>
      <c r="I5385" s="1" t="s">
        <v>8</v>
      </c>
      <c r="J5385" t="s">
        <v>10479</v>
      </c>
    </row>
    <row r="5386" spans="1:10">
      <c r="A5386" s="1">
        <v>714998</v>
      </c>
      <c r="B5386" s="1">
        <v>1075123833</v>
      </c>
      <c r="C5386" s="1">
        <v>4</v>
      </c>
      <c r="D5386" s="1" t="s">
        <v>8</v>
      </c>
      <c r="E5386" t="s">
        <v>10438</v>
      </c>
      <c r="F5386" s="1">
        <v>714964</v>
      </c>
      <c r="G5386" s="1">
        <v>2573023833</v>
      </c>
      <c r="H5386" s="1">
        <v>3</v>
      </c>
      <c r="I5386" s="1" t="s">
        <v>8</v>
      </c>
      <c r="J5386" t="s">
        <v>10480</v>
      </c>
    </row>
    <row r="5387" spans="1:10">
      <c r="A5387" s="1">
        <v>114546</v>
      </c>
      <c r="B5387" s="1">
        <v>0</v>
      </c>
      <c r="C5387" s="1">
        <v>250</v>
      </c>
      <c r="D5387" s="1" t="s">
        <v>347</v>
      </c>
      <c r="E5387" t="s">
        <v>10439</v>
      </c>
      <c r="F5387" s="1">
        <v>714774</v>
      </c>
      <c r="G5387" s="1">
        <v>2970323833</v>
      </c>
      <c r="H5387" s="1">
        <v>750</v>
      </c>
      <c r="I5387" s="1" t="s">
        <v>8</v>
      </c>
      <c r="J5387" t="s">
        <v>10481</v>
      </c>
    </row>
    <row r="5388" spans="1:10">
      <c r="A5388" s="1">
        <v>393231</v>
      </c>
      <c r="B5388" s="1">
        <v>79303610849</v>
      </c>
      <c r="C5388" s="1">
        <v>250</v>
      </c>
      <c r="D5388" s="1" t="s">
        <v>8</v>
      </c>
      <c r="E5388" t="s">
        <v>10440</v>
      </c>
      <c r="F5388" s="1">
        <v>715011</v>
      </c>
      <c r="G5388" s="1">
        <v>2974323833</v>
      </c>
      <c r="H5388" s="1">
        <v>1</v>
      </c>
      <c r="I5388" s="1" t="s">
        <v>8</v>
      </c>
      <c r="J5388" t="s">
        <v>10482</v>
      </c>
    </row>
    <row r="5389" spans="1:10">
      <c r="A5389" s="1">
        <v>117572</v>
      </c>
      <c r="B5389" s="1">
        <v>117572</v>
      </c>
      <c r="C5389" s="1">
        <v>150</v>
      </c>
      <c r="D5389" s="1" t="s">
        <v>3035</v>
      </c>
      <c r="E5389" t="s">
        <v>10441</v>
      </c>
      <c r="F5389" s="1">
        <v>715029</v>
      </c>
      <c r="G5389" s="1">
        <v>2977723833</v>
      </c>
      <c r="H5389" s="1">
        <v>6</v>
      </c>
      <c r="I5389" s="1" t="s">
        <v>8</v>
      </c>
      <c r="J5389" t="s">
        <v>10483</v>
      </c>
    </row>
    <row r="5390" spans="1:10">
      <c r="A5390" s="1">
        <v>714881</v>
      </c>
      <c r="B5390" s="1">
        <v>1105023833</v>
      </c>
      <c r="C5390" s="1">
        <v>2</v>
      </c>
      <c r="D5390" s="1" t="s">
        <v>8</v>
      </c>
      <c r="E5390" t="s">
        <v>10442</v>
      </c>
      <c r="F5390" s="1">
        <v>473462</v>
      </c>
      <c r="G5390" s="1">
        <v>3124238337</v>
      </c>
      <c r="H5390" s="1">
        <v>100</v>
      </c>
      <c r="I5390" s="1" t="s">
        <v>8</v>
      </c>
      <c r="J5390" t="s">
        <v>10484</v>
      </c>
    </row>
    <row r="5391" spans="1:10">
      <c r="A5391" s="1">
        <v>188193</v>
      </c>
      <c r="B5391" s="1">
        <v>188193</v>
      </c>
      <c r="C5391" s="1">
        <v>50</v>
      </c>
      <c r="D5391" s="1" t="s">
        <v>8</v>
      </c>
      <c r="E5391" t="s">
        <v>10443</v>
      </c>
      <c r="F5391" s="1">
        <v>680082</v>
      </c>
      <c r="G5391" s="1">
        <v>3148238337</v>
      </c>
      <c r="H5391" s="1">
        <v>100</v>
      </c>
      <c r="I5391" s="1" t="s">
        <v>8</v>
      </c>
      <c r="J5391" t="s">
        <v>10485</v>
      </c>
    </row>
    <row r="5392" spans="1:10">
      <c r="A5392" s="1">
        <v>321851</v>
      </c>
      <c r="B5392" s="1">
        <v>1124618901</v>
      </c>
      <c r="C5392" s="1">
        <v>150</v>
      </c>
      <c r="D5392" s="1" t="s">
        <v>8</v>
      </c>
      <c r="E5392" t="s">
        <v>10444</v>
      </c>
      <c r="F5392" s="1">
        <v>287789</v>
      </c>
      <c r="G5392" s="1">
        <v>287789</v>
      </c>
      <c r="H5392" s="1">
        <v>1000</v>
      </c>
      <c r="I5392" s="1" t="s">
        <v>381</v>
      </c>
      <c r="J5392" t="s">
        <v>10486</v>
      </c>
    </row>
    <row r="5393" spans="1:10">
      <c r="A5393" s="1">
        <v>291377</v>
      </c>
      <c r="B5393" s="1">
        <v>200001</v>
      </c>
      <c r="C5393" s="1">
        <v>1</v>
      </c>
      <c r="D5393" s="1" t="s">
        <v>8</v>
      </c>
      <c r="E5393" t="s">
        <v>10445</v>
      </c>
      <c r="F5393" s="1">
        <v>112268</v>
      </c>
      <c r="G5393" s="1">
        <v>100001</v>
      </c>
      <c r="H5393" s="1">
        <v>1</v>
      </c>
      <c r="I5393" s="1" t="s">
        <v>8</v>
      </c>
      <c r="J5393" t="s">
        <v>10487</v>
      </c>
    </row>
    <row r="5394" spans="1:10">
      <c r="A5394" s="1">
        <v>714980</v>
      </c>
      <c r="B5394" s="1">
        <v>1207623833</v>
      </c>
      <c r="C5394" s="1">
        <v>6</v>
      </c>
      <c r="D5394" s="1" t="s">
        <v>8</v>
      </c>
      <c r="E5394" t="s">
        <v>10446</v>
      </c>
      <c r="F5394" s="1">
        <v>239764</v>
      </c>
      <c r="G5394" s="1">
        <v>3616450001</v>
      </c>
      <c r="H5394" s="1">
        <v>125</v>
      </c>
      <c r="I5394" s="1" t="s">
        <v>8</v>
      </c>
      <c r="J5394" t="s">
        <v>10488</v>
      </c>
    </row>
    <row r="5395" spans="1:10">
      <c r="A5395" s="1">
        <v>354563</v>
      </c>
      <c r="B5395" s="1">
        <v>2383312371</v>
      </c>
      <c r="C5395" s="1">
        <v>1</v>
      </c>
      <c r="D5395" s="1" t="s">
        <v>8</v>
      </c>
      <c r="E5395" t="s">
        <v>10447</v>
      </c>
      <c r="F5395" s="1">
        <v>294421</v>
      </c>
      <c r="G5395" s="1">
        <v>200001</v>
      </c>
      <c r="H5395" s="1">
        <v>1</v>
      </c>
      <c r="I5395" s="1" t="s">
        <v>10489</v>
      </c>
      <c r="J5395" t="s">
        <v>10490</v>
      </c>
    </row>
    <row r="5396" spans="1:10">
      <c r="A5396" s="1">
        <v>292946</v>
      </c>
      <c r="B5396" s="1">
        <v>292946</v>
      </c>
      <c r="C5396" s="1">
        <v>25</v>
      </c>
      <c r="D5396" s="1" t="s">
        <v>8</v>
      </c>
      <c r="E5396" t="s">
        <v>10448</v>
      </c>
      <c r="F5396" s="1">
        <v>114777</v>
      </c>
      <c r="G5396" s="1">
        <v>100001</v>
      </c>
      <c r="H5396" s="1">
        <v>1</v>
      </c>
      <c r="I5396" s="1" t="s">
        <v>8</v>
      </c>
      <c r="J5396" t="s">
        <v>10491</v>
      </c>
    </row>
    <row r="5397" spans="1:10">
      <c r="A5397" s="1">
        <v>714907</v>
      </c>
      <c r="B5397" s="1">
        <v>1270023833</v>
      </c>
      <c r="C5397" s="1">
        <v>2</v>
      </c>
      <c r="D5397" s="1" t="s">
        <v>8</v>
      </c>
      <c r="E5397" t="s">
        <v>10449</v>
      </c>
      <c r="F5397" s="1">
        <v>111021</v>
      </c>
      <c r="G5397" s="1">
        <v>111021</v>
      </c>
      <c r="H5397" s="1">
        <v>100</v>
      </c>
      <c r="I5397" s="1" t="s">
        <v>8</v>
      </c>
      <c r="J5397" t="s">
        <v>10492</v>
      </c>
    </row>
    <row r="5398" spans="1:10">
      <c r="A5398" s="1">
        <v>750398</v>
      </c>
      <c r="B5398" s="1">
        <v>1280817300</v>
      </c>
      <c r="C5398" s="1">
        <v>150</v>
      </c>
      <c r="D5398" s="1" t="s">
        <v>8</v>
      </c>
      <c r="E5398" t="s">
        <v>10450</v>
      </c>
      <c r="F5398" s="1">
        <v>682401</v>
      </c>
      <c r="G5398" s="1">
        <v>1619401654</v>
      </c>
      <c r="H5398" s="1">
        <v>100</v>
      </c>
      <c r="I5398" s="1" t="s">
        <v>8</v>
      </c>
      <c r="J5398" t="s">
        <v>10493</v>
      </c>
    </row>
    <row r="5399" spans="1:10">
      <c r="A5399" s="1">
        <v>337790</v>
      </c>
      <c r="B5399" s="1">
        <v>300001</v>
      </c>
      <c r="C5399" s="1">
        <v>500</v>
      </c>
      <c r="D5399" s="1" t="s">
        <v>347</v>
      </c>
      <c r="E5399" t="s">
        <v>10451</v>
      </c>
      <c r="F5399" s="1">
        <v>112169</v>
      </c>
      <c r="G5399" s="1">
        <v>112169</v>
      </c>
      <c r="H5399" s="1">
        <v>250</v>
      </c>
      <c r="I5399" s="1" t="s">
        <v>8</v>
      </c>
      <c r="J5399" t="s">
        <v>10494</v>
      </c>
    </row>
    <row r="5400" spans="1:10">
      <c r="A5400" s="1">
        <v>714915</v>
      </c>
      <c r="B5400" s="1">
        <v>1306023833</v>
      </c>
      <c r="C5400" s="1">
        <v>2</v>
      </c>
      <c r="D5400" s="1" t="s">
        <v>8</v>
      </c>
      <c r="E5400" t="s">
        <v>10452</v>
      </c>
      <c r="F5400" s="1">
        <v>231696</v>
      </c>
      <c r="G5400" s="1">
        <v>231696</v>
      </c>
      <c r="H5400" s="1">
        <v>50</v>
      </c>
      <c r="I5400" s="1" t="s">
        <v>10495</v>
      </c>
      <c r="J5400" t="s">
        <v>10496</v>
      </c>
    </row>
    <row r="5401" spans="1:10">
      <c r="A5401" s="1">
        <v>715128</v>
      </c>
      <c r="B5401" s="1">
        <v>1317323833</v>
      </c>
      <c r="C5401" s="1">
        <v>150</v>
      </c>
      <c r="D5401" s="1" t="s">
        <v>8</v>
      </c>
      <c r="E5401" t="s">
        <v>10453</v>
      </c>
      <c r="F5401" s="1">
        <v>737486</v>
      </c>
      <c r="G5401" s="1">
        <v>9933108091</v>
      </c>
      <c r="H5401" s="1">
        <v>100</v>
      </c>
      <c r="I5401" s="1" t="s">
        <v>8</v>
      </c>
      <c r="J5401" t="s">
        <v>10497</v>
      </c>
    </row>
    <row r="5402" spans="1:10">
      <c r="A5402" s="1">
        <v>289694</v>
      </c>
      <c r="B5402" s="1">
        <v>2383313250</v>
      </c>
      <c r="C5402" s="1">
        <v>4</v>
      </c>
      <c r="D5402" s="1" t="s">
        <v>8319</v>
      </c>
      <c r="E5402" t="s">
        <v>10454</v>
      </c>
      <c r="F5402" s="1">
        <v>714816</v>
      </c>
      <c r="G5402" s="1">
        <v>5140023833</v>
      </c>
      <c r="H5402" s="1">
        <v>6</v>
      </c>
      <c r="I5402" s="1" t="s">
        <v>8</v>
      </c>
      <c r="J5402" t="s">
        <v>10498</v>
      </c>
    </row>
    <row r="5403" spans="1:10">
      <c r="A5403" s="1">
        <v>245316</v>
      </c>
      <c r="B5403" s="1">
        <v>3497713497</v>
      </c>
      <c r="C5403" s="1">
        <v>25</v>
      </c>
      <c r="D5403" s="1" t="s">
        <v>8</v>
      </c>
      <c r="E5403" t="s">
        <v>10455</v>
      </c>
      <c r="F5403" s="1">
        <v>714824</v>
      </c>
      <c r="G5403" s="1">
        <v>5240023833</v>
      </c>
      <c r="H5403" s="1">
        <v>4</v>
      </c>
      <c r="I5403" s="1" t="s">
        <v>8</v>
      </c>
      <c r="J5403" t="s">
        <v>10499</v>
      </c>
    </row>
    <row r="5404" spans="1:10">
      <c r="A5404" s="1">
        <v>276246</v>
      </c>
      <c r="B5404" s="1">
        <v>7135272</v>
      </c>
      <c r="C5404" s="1">
        <v>100</v>
      </c>
      <c r="D5404" s="1" t="s">
        <v>8</v>
      </c>
      <c r="E5404" t="s">
        <v>10456</v>
      </c>
      <c r="F5404" s="1">
        <v>696948</v>
      </c>
      <c r="G5404" s="1">
        <v>3478530601</v>
      </c>
      <c r="H5404" s="1">
        <v>250</v>
      </c>
      <c r="I5404" s="1" t="s">
        <v>8</v>
      </c>
      <c r="J5404" t="s">
        <v>10500</v>
      </c>
    </row>
    <row r="5405" spans="1:10">
      <c r="A5405" s="1">
        <v>276337</v>
      </c>
      <c r="B5405" s="1">
        <v>0</v>
      </c>
      <c r="C5405" s="1">
        <v>100</v>
      </c>
      <c r="D5405" s="1" t="s">
        <v>8</v>
      </c>
      <c r="E5405" t="s">
        <v>10457</v>
      </c>
      <c r="F5405" s="1">
        <v>115881</v>
      </c>
      <c r="G5405" s="1">
        <v>115881</v>
      </c>
      <c r="H5405" s="1">
        <v>500</v>
      </c>
      <c r="I5405" s="1" t="s">
        <v>10501</v>
      </c>
      <c r="J5405" t="s">
        <v>10502</v>
      </c>
    </row>
    <row r="5406" spans="1:10">
      <c r="A5406" s="1">
        <v>245456</v>
      </c>
      <c r="B5406" s="1">
        <v>0</v>
      </c>
      <c r="C5406" s="1">
        <v>55</v>
      </c>
      <c r="D5406" s="1" t="s">
        <v>8</v>
      </c>
      <c r="E5406" t="s">
        <v>10458</v>
      </c>
      <c r="F5406" s="1">
        <v>819508</v>
      </c>
      <c r="G5406" s="1">
        <v>2383300584</v>
      </c>
      <c r="H5406" s="1">
        <v>1</v>
      </c>
      <c r="I5406" s="1" t="s">
        <v>8</v>
      </c>
      <c r="J5406" t="s">
        <v>10503</v>
      </c>
    </row>
    <row r="5407" spans="1:10">
      <c r="A5407" s="1">
        <v>117135</v>
      </c>
      <c r="B5407" s="1">
        <v>100001</v>
      </c>
      <c r="C5407" s="1">
        <v>1</v>
      </c>
      <c r="D5407" s="1" t="s">
        <v>6801</v>
      </c>
      <c r="E5407" t="s">
        <v>10459</v>
      </c>
      <c r="F5407" s="1">
        <v>756361</v>
      </c>
      <c r="G5407" s="1">
        <v>8540491323</v>
      </c>
      <c r="H5407" s="1">
        <v>1</v>
      </c>
      <c r="I5407" s="1" t="s">
        <v>8</v>
      </c>
      <c r="J5407" t="s">
        <v>10504</v>
      </c>
    </row>
    <row r="5408" spans="1:10">
      <c r="A5408" s="1">
        <v>115733</v>
      </c>
      <c r="B5408" s="1">
        <v>100001</v>
      </c>
      <c r="C5408" s="1">
        <v>1</v>
      </c>
      <c r="D5408" s="1" t="s">
        <v>10435</v>
      </c>
      <c r="E5408" t="s">
        <v>10460</v>
      </c>
      <c r="F5408" s="1">
        <v>115865</v>
      </c>
      <c r="G5408" s="1">
        <v>115865</v>
      </c>
      <c r="H5408" s="1">
        <v>50</v>
      </c>
      <c r="I5408" s="1" t="s">
        <v>8</v>
      </c>
      <c r="J5408" t="s">
        <v>10505</v>
      </c>
    </row>
    <row r="5409" spans="1:10">
      <c r="A5409" s="1">
        <v>339283</v>
      </c>
      <c r="B5409" s="1">
        <v>1</v>
      </c>
      <c r="C5409" s="1">
        <v>1</v>
      </c>
      <c r="D5409" s="1" t="s">
        <v>10461</v>
      </c>
      <c r="E5409" t="s">
        <v>10462</v>
      </c>
      <c r="F5409" s="1">
        <v>305201</v>
      </c>
      <c r="G5409" s="1">
        <v>305201</v>
      </c>
      <c r="H5409" s="1">
        <v>50</v>
      </c>
      <c r="I5409" s="1" t="s">
        <v>8</v>
      </c>
      <c r="J5409" t="s">
        <v>10506</v>
      </c>
    </row>
    <row r="5410" spans="1:10">
      <c r="A5410" s="1">
        <v>337782</v>
      </c>
      <c r="B5410" s="1">
        <v>300001</v>
      </c>
      <c r="C5410" s="1">
        <v>500</v>
      </c>
      <c r="D5410" s="1" t="s">
        <v>381</v>
      </c>
      <c r="E5410" t="s">
        <v>10463</v>
      </c>
      <c r="F5410" s="1">
        <v>114660</v>
      </c>
      <c r="G5410" s="1">
        <v>114660</v>
      </c>
      <c r="H5410" s="1">
        <v>150</v>
      </c>
      <c r="I5410" s="1" t="s">
        <v>8</v>
      </c>
      <c r="J5410" t="s">
        <v>10507</v>
      </c>
    </row>
    <row r="5411" spans="1:10">
      <c r="A5411" s="1">
        <v>714782</v>
      </c>
      <c r="B5411" s="1">
        <v>2010623833</v>
      </c>
      <c r="C5411" s="1">
        <v>250</v>
      </c>
      <c r="D5411" s="1" t="s">
        <v>8</v>
      </c>
      <c r="E5411" t="s">
        <v>10464</v>
      </c>
      <c r="F5411" s="1">
        <v>115675</v>
      </c>
      <c r="G5411" s="1">
        <v>100001</v>
      </c>
      <c r="H5411" s="1">
        <v>4</v>
      </c>
      <c r="I5411" s="1" t="s">
        <v>8</v>
      </c>
      <c r="J5411" t="s">
        <v>10508</v>
      </c>
    </row>
    <row r="5412" spans="1:10">
      <c r="A5412" s="1">
        <v>299750</v>
      </c>
      <c r="B5412" s="1">
        <v>0</v>
      </c>
      <c r="C5412" s="1">
        <v>1000</v>
      </c>
      <c r="D5412" s="1" t="s">
        <v>8</v>
      </c>
      <c r="E5412" t="s">
        <v>10465</v>
      </c>
      <c r="F5412" s="1">
        <v>305219</v>
      </c>
      <c r="G5412" s="1">
        <v>305219</v>
      </c>
      <c r="H5412" s="1">
        <v>100</v>
      </c>
      <c r="I5412" s="1" t="s">
        <v>8</v>
      </c>
      <c r="J5412" t="s">
        <v>10509</v>
      </c>
    </row>
    <row r="5413" spans="1:10" ht="15.75">
      <c r="A5413" s="4" t="s">
        <v>10847</v>
      </c>
      <c r="B5413" s="2"/>
      <c r="C5413" s="2"/>
      <c r="D5413" s="2"/>
      <c r="E5413" s="3"/>
      <c r="F5413" s="4" t="s">
        <v>10847</v>
      </c>
      <c r="G5413" s="2"/>
      <c r="H5413" s="2"/>
      <c r="I5413" s="2"/>
      <c r="J5413" s="3"/>
    </row>
    <row r="5414" spans="1:10">
      <c r="A5414" s="2" t="s">
        <v>0</v>
      </c>
      <c r="B5414" s="2" t="s">
        <v>1</v>
      </c>
      <c r="C5414" s="2" t="s">
        <v>2</v>
      </c>
      <c r="D5414" s="2" t="s">
        <v>3</v>
      </c>
      <c r="E5414" s="3" t="s">
        <v>4</v>
      </c>
      <c r="F5414" s="2" t="s">
        <v>0</v>
      </c>
      <c r="G5414" s="2" t="s">
        <v>1</v>
      </c>
      <c r="H5414" s="2" t="s">
        <v>2</v>
      </c>
      <c r="I5414" s="2" t="s">
        <v>3</v>
      </c>
      <c r="J5414" s="3" t="s">
        <v>4</v>
      </c>
    </row>
    <row r="5415" spans="1:10">
      <c r="A5415" s="1">
        <v>295725</v>
      </c>
      <c r="B5415" s="1">
        <v>295725</v>
      </c>
      <c r="C5415" s="1">
        <v>1</v>
      </c>
      <c r="D5415" s="1" t="s">
        <v>8</v>
      </c>
      <c r="E5415" t="s">
        <v>10510</v>
      </c>
      <c r="F5415" s="1">
        <v>306076</v>
      </c>
      <c r="G5415" s="1">
        <v>2790104224</v>
      </c>
      <c r="H5415" s="1">
        <v>500</v>
      </c>
      <c r="I5415" s="1" t="s">
        <v>8</v>
      </c>
      <c r="J5415" t="s">
        <v>10554</v>
      </c>
    </row>
    <row r="5416" spans="1:10">
      <c r="A5416" s="1">
        <v>295568</v>
      </c>
      <c r="B5416" s="1">
        <v>200001</v>
      </c>
      <c r="C5416" s="1">
        <v>1</v>
      </c>
      <c r="D5416" s="1" t="s">
        <v>6801</v>
      </c>
      <c r="E5416" t="s">
        <v>10511</v>
      </c>
      <c r="F5416" s="1">
        <v>701052</v>
      </c>
      <c r="G5416" s="1">
        <v>1619404936</v>
      </c>
      <c r="H5416" s="1">
        <v>250</v>
      </c>
      <c r="I5416" s="1" t="s">
        <v>8</v>
      </c>
      <c r="J5416" t="s">
        <v>10555</v>
      </c>
    </row>
    <row r="5417" spans="1:10">
      <c r="A5417" s="1">
        <v>335703</v>
      </c>
      <c r="B5417" s="1">
        <v>300001</v>
      </c>
      <c r="C5417" s="1">
        <v>1</v>
      </c>
      <c r="D5417" s="1" t="s">
        <v>10512</v>
      </c>
      <c r="E5417" t="s">
        <v>10513</v>
      </c>
      <c r="F5417" s="1">
        <v>22384</v>
      </c>
      <c r="G5417" s="1">
        <v>1540037601</v>
      </c>
      <c r="H5417" s="1">
        <v>12</v>
      </c>
      <c r="I5417" s="1" t="s">
        <v>8</v>
      </c>
      <c r="J5417" t="s">
        <v>10556</v>
      </c>
    </row>
    <row r="5418" spans="1:10">
      <c r="A5418" s="1">
        <v>227884</v>
      </c>
      <c r="B5418" s="1">
        <v>2383304236</v>
      </c>
      <c r="C5418" s="1">
        <v>1</v>
      </c>
      <c r="D5418" s="1" t="s">
        <v>8</v>
      </c>
      <c r="E5418" t="s">
        <v>10514</v>
      </c>
      <c r="F5418" s="1">
        <v>460089</v>
      </c>
      <c r="G5418" s="1">
        <v>77449272537</v>
      </c>
      <c r="H5418" s="1">
        <v>100</v>
      </c>
      <c r="I5418" s="1" t="s">
        <v>8</v>
      </c>
      <c r="J5418" t="s">
        <v>10557</v>
      </c>
    </row>
    <row r="5419" spans="1:10">
      <c r="A5419" s="1">
        <v>116996</v>
      </c>
      <c r="B5419" s="1">
        <v>100001</v>
      </c>
      <c r="C5419" s="1">
        <v>4000</v>
      </c>
      <c r="D5419" s="1" t="s">
        <v>8</v>
      </c>
      <c r="E5419" t="s">
        <v>10515</v>
      </c>
      <c r="F5419" s="1">
        <v>621292</v>
      </c>
      <c r="G5419" s="1">
        <v>1619404814</v>
      </c>
      <c r="H5419" s="1">
        <v>60</v>
      </c>
      <c r="I5419" s="1" t="s">
        <v>8</v>
      </c>
      <c r="J5419" t="s">
        <v>10558</v>
      </c>
    </row>
    <row r="5420" spans="1:10">
      <c r="A5420" s="1">
        <v>297192</v>
      </c>
      <c r="B5420" s="1">
        <v>200001</v>
      </c>
      <c r="C5420" s="1">
        <v>12</v>
      </c>
      <c r="D5420" s="1" t="s">
        <v>574</v>
      </c>
      <c r="E5420" t="s">
        <v>10516</v>
      </c>
      <c r="F5420" s="1">
        <v>687822</v>
      </c>
      <c r="G5420" s="1">
        <v>171030303</v>
      </c>
      <c r="H5420" s="1">
        <v>500</v>
      </c>
      <c r="I5420" s="1" t="s">
        <v>375</v>
      </c>
      <c r="J5420" t="s">
        <v>10559</v>
      </c>
    </row>
    <row r="5421" spans="1:10">
      <c r="A5421" s="1">
        <v>293738</v>
      </c>
      <c r="B5421" s="1">
        <v>200001</v>
      </c>
      <c r="C5421" s="1">
        <v>1</v>
      </c>
      <c r="D5421" s="1" t="s">
        <v>8</v>
      </c>
      <c r="E5421" t="s">
        <v>10517</v>
      </c>
      <c r="F5421" s="1">
        <v>249391</v>
      </c>
      <c r="G5421" s="1">
        <v>0</v>
      </c>
      <c r="H5421" s="1">
        <v>500</v>
      </c>
      <c r="I5421" s="1" t="s">
        <v>8</v>
      </c>
      <c r="J5421" t="s">
        <v>10560</v>
      </c>
    </row>
    <row r="5422" spans="1:10">
      <c r="A5422" s="1">
        <v>295196</v>
      </c>
      <c r="B5422" s="1">
        <v>200001</v>
      </c>
      <c r="C5422" s="1">
        <v>1</v>
      </c>
      <c r="D5422" s="1" t="s">
        <v>8</v>
      </c>
      <c r="E5422" t="s">
        <v>10518</v>
      </c>
      <c r="F5422" s="1">
        <v>523233</v>
      </c>
      <c r="G5422" s="1">
        <v>2790104201</v>
      </c>
      <c r="H5422" s="1">
        <v>500</v>
      </c>
      <c r="I5422" s="1" t="s">
        <v>8</v>
      </c>
      <c r="J5422" t="s">
        <v>10561</v>
      </c>
    </row>
    <row r="5423" spans="1:10">
      <c r="A5423" s="1">
        <v>656736</v>
      </c>
      <c r="B5423" s="1">
        <v>53168263560</v>
      </c>
      <c r="C5423" s="1">
        <v>250</v>
      </c>
      <c r="D5423" s="1" t="s">
        <v>8</v>
      </c>
      <c r="E5423" t="s">
        <v>10519</v>
      </c>
      <c r="F5423" s="1">
        <v>301085</v>
      </c>
      <c r="G5423" s="1">
        <v>3478012002</v>
      </c>
      <c r="H5423" s="1">
        <v>500</v>
      </c>
      <c r="I5423" s="1" t="s">
        <v>8</v>
      </c>
      <c r="J5423" t="s">
        <v>10562</v>
      </c>
    </row>
    <row r="5424" spans="1:10">
      <c r="A5424" s="1">
        <v>703009</v>
      </c>
      <c r="B5424" s="1">
        <v>2383380020</v>
      </c>
      <c r="C5424" s="1">
        <v>1000</v>
      </c>
      <c r="D5424" s="1" t="s">
        <v>399</v>
      </c>
      <c r="E5424" t="s">
        <v>10520</v>
      </c>
      <c r="F5424" s="1">
        <v>322206</v>
      </c>
      <c r="G5424" s="1">
        <v>1620961211</v>
      </c>
      <c r="H5424" s="1">
        <v>200</v>
      </c>
      <c r="I5424" s="1" t="s">
        <v>8</v>
      </c>
      <c r="J5424" t="s">
        <v>10563</v>
      </c>
    </row>
    <row r="5425" spans="1:10">
      <c r="A5425" s="1">
        <v>294751</v>
      </c>
      <c r="B5425" s="1">
        <v>200001</v>
      </c>
      <c r="C5425" s="1">
        <v>1</v>
      </c>
      <c r="D5425" s="1" t="s">
        <v>8</v>
      </c>
      <c r="E5425" t="s">
        <v>10521</v>
      </c>
      <c r="F5425" s="1">
        <v>327221</v>
      </c>
      <c r="G5425" s="1">
        <v>238337298</v>
      </c>
      <c r="H5425" s="1">
        <v>1</v>
      </c>
      <c r="I5425" s="1" t="s">
        <v>8</v>
      </c>
      <c r="J5425" t="s">
        <v>10564</v>
      </c>
    </row>
    <row r="5426" spans="1:10">
      <c r="A5426" s="1">
        <v>108779</v>
      </c>
      <c r="B5426" s="1">
        <v>100001</v>
      </c>
      <c r="C5426" s="1">
        <v>18</v>
      </c>
      <c r="D5426" s="1" t="s">
        <v>10408</v>
      </c>
      <c r="E5426" t="s">
        <v>10522</v>
      </c>
      <c r="F5426" s="1">
        <v>773994</v>
      </c>
      <c r="G5426" s="1">
        <v>2383373836</v>
      </c>
      <c r="H5426" s="1">
        <v>2</v>
      </c>
      <c r="I5426" s="1" t="s">
        <v>8</v>
      </c>
      <c r="J5426" t="s">
        <v>10565</v>
      </c>
    </row>
    <row r="5427" spans="1:10">
      <c r="A5427" s="1">
        <v>116400</v>
      </c>
      <c r="B5427" s="1">
        <v>116400</v>
      </c>
      <c r="C5427" s="1">
        <v>25</v>
      </c>
      <c r="D5427" s="1" t="s">
        <v>8</v>
      </c>
      <c r="E5427" t="s">
        <v>10523</v>
      </c>
      <c r="F5427" s="1">
        <v>604256</v>
      </c>
      <c r="G5427" s="1">
        <v>2383372384</v>
      </c>
      <c r="H5427" s="1">
        <v>2</v>
      </c>
      <c r="I5427" s="1" t="s">
        <v>8</v>
      </c>
      <c r="J5427" t="s">
        <v>10566</v>
      </c>
    </row>
    <row r="5428" spans="1:10">
      <c r="A5428" s="1">
        <v>117697</v>
      </c>
      <c r="B5428" s="1">
        <v>117697</v>
      </c>
      <c r="C5428" s="1">
        <v>25</v>
      </c>
      <c r="D5428" s="1" t="s">
        <v>8</v>
      </c>
      <c r="E5428" t="s">
        <v>10524</v>
      </c>
      <c r="F5428" s="1">
        <v>459024</v>
      </c>
      <c r="G5428" s="1">
        <v>2383372434</v>
      </c>
      <c r="H5428" s="1">
        <v>2</v>
      </c>
      <c r="I5428" s="1" t="s">
        <v>8</v>
      </c>
      <c r="J5428" t="s">
        <v>10567</v>
      </c>
    </row>
    <row r="5429" spans="1:10">
      <c r="A5429" s="1">
        <v>294645</v>
      </c>
      <c r="B5429" s="1">
        <v>200001</v>
      </c>
      <c r="C5429" s="1">
        <v>1</v>
      </c>
      <c r="D5429" s="1" t="s">
        <v>10525</v>
      </c>
      <c r="E5429" t="s">
        <v>10526</v>
      </c>
      <c r="F5429" s="1">
        <v>404673</v>
      </c>
      <c r="G5429" s="1">
        <v>2383336499</v>
      </c>
      <c r="H5429" s="1">
        <v>500</v>
      </c>
      <c r="I5429" s="1" t="s">
        <v>381</v>
      </c>
      <c r="J5429" t="s">
        <v>10568</v>
      </c>
    </row>
    <row r="5430" spans="1:10">
      <c r="A5430" s="1">
        <v>296624</v>
      </c>
      <c r="B5430" s="1">
        <v>200001</v>
      </c>
      <c r="C5430" s="1">
        <v>1</v>
      </c>
      <c r="D5430" s="1" t="s">
        <v>8</v>
      </c>
      <c r="E5430" t="s">
        <v>10527</v>
      </c>
      <c r="F5430" s="1">
        <v>251686</v>
      </c>
      <c r="G5430" s="1">
        <v>1540104901</v>
      </c>
      <c r="H5430" s="1">
        <v>1</v>
      </c>
      <c r="I5430" s="1" t="s">
        <v>8</v>
      </c>
      <c r="J5430" t="s">
        <v>10569</v>
      </c>
    </row>
    <row r="5431" spans="1:10">
      <c r="A5431" s="1">
        <v>314922</v>
      </c>
      <c r="B5431" s="1">
        <v>9252116209</v>
      </c>
      <c r="C5431" s="1">
        <v>1200</v>
      </c>
      <c r="D5431" s="1" t="s">
        <v>8</v>
      </c>
      <c r="E5431" t="s">
        <v>10528</v>
      </c>
      <c r="F5431" s="1">
        <v>657213</v>
      </c>
      <c r="G5431" s="1">
        <v>1301313131</v>
      </c>
      <c r="H5431" s="1">
        <v>50</v>
      </c>
      <c r="I5431" s="1" t="s">
        <v>8</v>
      </c>
      <c r="J5431" t="s">
        <v>10570</v>
      </c>
    </row>
    <row r="5432" spans="1:10">
      <c r="A5432" s="1">
        <v>10066</v>
      </c>
      <c r="B5432" s="1">
        <v>0</v>
      </c>
      <c r="C5432" s="1">
        <v>250</v>
      </c>
      <c r="D5432" s="1" t="s">
        <v>8</v>
      </c>
      <c r="E5432" t="s">
        <v>10529</v>
      </c>
      <c r="F5432" s="1">
        <v>340414</v>
      </c>
      <c r="G5432" s="1">
        <v>1311010101</v>
      </c>
      <c r="H5432" s="1">
        <v>100</v>
      </c>
      <c r="I5432" s="1" t="s">
        <v>8</v>
      </c>
      <c r="J5432" t="s">
        <v>10571</v>
      </c>
    </row>
    <row r="5433" spans="1:10">
      <c r="A5433" s="1">
        <v>281527</v>
      </c>
      <c r="B5433" s="1">
        <v>1330481001</v>
      </c>
      <c r="C5433" s="1">
        <v>500</v>
      </c>
      <c r="D5433" s="1" t="s">
        <v>8</v>
      </c>
      <c r="E5433" t="s">
        <v>10530</v>
      </c>
      <c r="F5433" s="1">
        <v>513713</v>
      </c>
      <c r="G5433" s="1">
        <v>1311041010</v>
      </c>
      <c r="H5433" s="1">
        <v>100</v>
      </c>
      <c r="I5433" s="1" t="s">
        <v>8</v>
      </c>
      <c r="J5433" t="s">
        <v>10572</v>
      </c>
    </row>
    <row r="5434" spans="1:10">
      <c r="A5434" s="1">
        <v>401737</v>
      </c>
      <c r="B5434" s="1">
        <v>2801621184</v>
      </c>
      <c r="C5434" s="1">
        <v>200</v>
      </c>
      <c r="D5434" s="1" t="s">
        <v>8</v>
      </c>
      <c r="E5434" t="s">
        <v>10531</v>
      </c>
      <c r="F5434" s="1">
        <v>842211</v>
      </c>
      <c r="G5434" s="1">
        <v>1311313233</v>
      </c>
      <c r="H5434" s="1">
        <v>50</v>
      </c>
      <c r="I5434" s="1" t="s">
        <v>8</v>
      </c>
      <c r="J5434" t="s">
        <v>10573</v>
      </c>
    </row>
    <row r="5435" spans="1:10">
      <c r="A5435" s="1">
        <v>111039</v>
      </c>
      <c r="B5435" s="1">
        <v>100001</v>
      </c>
      <c r="C5435" s="1">
        <v>12</v>
      </c>
      <c r="D5435" s="1" t="s">
        <v>10532</v>
      </c>
      <c r="E5435" t="s">
        <v>10533</v>
      </c>
      <c r="F5435" s="1">
        <v>775833</v>
      </c>
      <c r="G5435" s="1">
        <v>1401616161</v>
      </c>
      <c r="H5435" s="1">
        <v>50</v>
      </c>
      <c r="I5435" s="1" t="s">
        <v>8</v>
      </c>
      <c r="J5435" t="s">
        <v>10574</v>
      </c>
    </row>
    <row r="5436" spans="1:10">
      <c r="A5436" s="1">
        <v>111377</v>
      </c>
      <c r="B5436" s="1">
        <v>111377</v>
      </c>
      <c r="C5436" s="1">
        <v>100</v>
      </c>
      <c r="D5436" s="1" t="s">
        <v>10501</v>
      </c>
      <c r="E5436" t="s">
        <v>10534</v>
      </c>
      <c r="F5436" s="1">
        <v>255703</v>
      </c>
      <c r="G5436" s="1">
        <v>2383356150</v>
      </c>
      <c r="H5436" s="1">
        <v>1000</v>
      </c>
      <c r="I5436" s="1" t="s">
        <v>8</v>
      </c>
      <c r="J5436" t="s">
        <v>10575</v>
      </c>
    </row>
    <row r="5437" spans="1:10">
      <c r="A5437" s="1">
        <v>115287</v>
      </c>
      <c r="B5437" s="1">
        <v>115287</v>
      </c>
      <c r="C5437" s="1">
        <v>100</v>
      </c>
      <c r="D5437" s="1" t="s">
        <v>10525</v>
      </c>
      <c r="E5437" t="s">
        <v>10535</v>
      </c>
      <c r="F5437" s="1">
        <v>482018</v>
      </c>
      <c r="G5437" s="1">
        <v>2482723822</v>
      </c>
      <c r="H5437" s="1">
        <v>100</v>
      </c>
      <c r="I5437" s="1" t="s">
        <v>8</v>
      </c>
      <c r="J5437" t="s">
        <v>10576</v>
      </c>
    </row>
    <row r="5438" spans="1:10">
      <c r="A5438" s="1">
        <v>337303</v>
      </c>
      <c r="B5438" s="1">
        <v>300001</v>
      </c>
      <c r="C5438" s="1">
        <v>25</v>
      </c>
      <c r="D5438" s="1" t="s">
        <v>10495</v>
      </c>
      <c r="E5438" t="s">
        <v>10536</v>
      </c>
      <c r="F5438" s="1">
        <v>404152</v>
      </c>
      <c r="G5438" s="1">
        <v>9802415090</v>
      </c>
      <c r="H5438" s="1">
        <v>150</v>
      </c>
      <c r="I5438" s="1" t="s">
        <v>8</v>
      </c>
      <c r="J5438" t="s">
        <v>10577</v>
      </c>
    </row>
    <row r="5439" spans="1:10">
      <c r="A5439" s="1">
        <v>337311</v>
      </c>
      <c r="B5439" s="1">
        <v>300001</v>
      </c>
      <c r="C5439" s="1">
        <v>25</v>
      </c>
      <c r="D5439" s="1" t="s">
        <v>10537</v>
      </c>
      <c r="E5439" t="s">
        <v>10538</v>
      </c>
      <c r="F5439" s="1">
        <v>291997</v>
      </c>
      <c r="G5439" s="1">
        <v>291997</v>
      </c>
      <c r="H5439" s="1">
        <v>200</v>
      </c>
      <c r="I5439" s="1" t="s">
        <v>8</v>
      </c>
      <c r="J5439" t="s">
        <v>10578</v>
      </c>
    </row>
    <row r="5440" spans="1:10">
      <c r="A5440" s="1">
        <v>337329</v>
      </c>
      <c r="B5440" s="1">
        <v>300001</v>
      </c>
      <c r="C5440" s="1">
        <v>25</v>
      </c>
      <c r="D5440" s="1" t="s">
        <v>10539</v>
      </c>
      <c r="E5440" t="s">
        <v>10540</v>
      </c>
      <c r="F5440" s="1">
        <v>186890</v>
      </c>
      <c r="G5440" s="1">
        <v>1619416201</v>
      </c>
      <c r="H5440" s="1">
        <v>200</v>
      </c>
      <c r="I5440" s="1" t="s">
        <v>8</v>
      </c>
      <c r="J5440" t="s">
        <v>10579</v>
      </c>
    </row>
    <row r="5441" spans="1:10">
      <c r="A5441" s="1">
        <v>353656</v>
      </c>
      <c r="B5441" s="1">
        <v>353656</v>
      </c>
      <c r="C5441" s="1">
        <v>25</v>
      </c>
      <c r="D5441" s="1" t="s">
        <v>10537</v>
      </c>
      <c r="E5441" t="s">
        <v>10541</v>
      </c>
      <c r="F5441" s="1">
        <v>256701</v>
      </c>
      <c r="G5441" s="1">
        <v>1619416202</v>
      </c>
      <c r="H5441" s="1">
        <v>200</v>
      </c>
      <c r="I5441" s="1" t="s">
        <v>8</v>
      </c>
      <c r="J5441" t="s">
        <v>10580</v>
      </c>
    </row>
    <row r="5442" spans="1:10">
      <c r="A5442" s="1">
        <v>353664</v>
      </c>
      <c r="B5442" s="1">
        <v>353664</v>
      </c>
      <c r="C5442" s="1">
        <v>25</v>
      </c>
      <c r="D5442" s="1" t="s">
        <v>10539</v>
      </c>
      <c r="E5442" t="s">
        <v>10542</v>
      </c>
      <c r="F5442" s="1">
        <v>702233</v>
      </c>
      <c r="G5442" s="1">
        <v>1619416200</v>
      </c>
      <c r="H5442" s="1">
        <v>200</v>
      </c>
      <c r="I5442" s="1" t="s">
        <v>8</v>
      </c>
      <c r="J5442" t="s">
        <v>10581</v>
      </c>
    </row>
    <row r="5443" spans="1:10">
      <c r="A5443" s="1">
        <v>845602</v>
      </c>
      <c r="B5443" s="1">
        <v>648081404</v>
      </c>
      <c r="C5443" s="1">
        <v>200</v>
      </c>
      <c r="D5443" s="1" t="s">
        <v>8</v>
      </c>
      <c r="E5443" t="s">
        <v>10543</v>
      </c>
      <c r="F5443" s="1">
        <v>227876</v>
      </c>
      <c r="G5443" s="1">
        <v>1619401558</v>
      </c>
      <c r="H5443" s="1">
        <v>160</v>
      </c>
      <c r="I5443" s="1" t="s">
        <v>8</v>
      </c>
      <c r="J5443" t="s">
        <v>10582</v>
      </c>
    </row>
    <row r="5444" spans="1:10">
      <c r="A5444" s="1">
        <v>100024</v>
      </c>
      <c r="B5444" s="1">
        <v>648161403</v>
      </c>
      <c r="C5444" s="1">
        <v>200</v>
      </c>
      <c r="D5444" s="1" t="s">
        <v>8</v>
      </c>
      <c r="E5444" t="s">
        <v>10544</v>
      </c>
      <c r="F5444" s="1">
        <v>881532</v>
      </c>
      <c r="G5444" s="1">
        <v>19404424999</v>
      </c>
      <c r="H5444" s="1">
        <v>160</v>
      </c>
      <c r="I5444" s="1" t="s">
        <v>8</v>
      </c>
      <c r="J5444" t="s">
        <v>10583</v>
      </c>
    </row>
    <row r="5445" spans="1:10">
      <c r="A5445" s="1">
        <v>111476</v>
      </c>
      <c r="B5445" s="1">
        <v>1</v>
      </c>
      <c r="C5445" s="1">
        <v>12</v>
      </c>
      <c r="D5445" s="1" t="s">
        <v>10545</v>
      </c>
      <c r="E5445" t="s">
        <v>10546</v>
      </c>
      <c r="F5445" s="1">
        <v>842591</v>
      </c>
      <c r="G5445" s="1">
        <v>1619415168</v>
      </c>
      <c r="H5445" s="1">
        <v>250</v>
      </c>
      <c r="I5445" s="1" t="s">
        <v>8</v>
      </c>
      <c r="J5445" t="s">
        <v>10584</v>
      </c>
    </row>
    <row r="5446" spans="1:10">
      <c r="A5446" s="1">
        <v>308981</v>
      </c>
      <c r="B5446" s="1">
        <v>1311062203</v>
      </c>
      <c r="C5446" s="1">
        <v>100</v>
      </c>
      <c r="D5446" s="1" t="s">
        <v>8</v>
      </c>
      <c r="E5446" t="s">
        <v>10547</v>
      </c>
      <c r="F5446" s="1">
        <v>188805</v>
      </c>
      <c r="G5446" s="1">
        <v>188805</v>
      </c>
      <c r="H5446" s="1">
        <v>200</v>
      </c>
      <c r="I5446" s="1" t="s">
        <v>8</v>
      </c>
      <c r="J5446" t="s">
        <v>10585</v>
      </c>
    </row>
    <row r="5447" spans="1:10">
      <c r="A5447" s="1">
        <v>146449</v>
      </c>
      <c r="B5447" s="1">
        <v>4212558144</v>
      </c>
      <c r="C5447" s="1">
        <v>25</v>
      </c>
      <c r="D5447" s="1" t="s">
        <v>8</v>
      </c>
      <c r="E5447" t="s">
        <v>10548</v>
      </c>
      <c r="F5447" s="1">
        <v>331710</v>
      </c>
      <c r="G5447" s="1">
        <v>331710</v>
      </c>
      <c r="H5447" s="1">
        <v>200</v>
      </c>
      <c r="I5447" s="1" t="s">
        <v>8</v>
      </c>
      <c r="J5447" t="s">
        <v>10586</v>
      </c>
    </row>
    <row r="5448" spans="1:10">
      <c r="A5448" s="1">
        <v>454868</v>
      </c>
      <c r="B5448" s="1">
        <v>4212558141</v>
      </c>
      <c r="C5448" s="1">
        <v>25</v>
      </c>
      <c r="D5448" s="1" t="s">
        <v>8</v>
      </c>
      <c r="E5448" t="s">
        <v>10548</v>
      </c>
      <c r="F5448" s="1">
        <v>314799</v>
      </c>
      <c r="G5448" s="1">
        <v>300001</v>
      </c>
      <c r="H5448" s="1">
        <v>500</v>
      </c>
      <c r="I5448" s="1" t="s">
        <v>10234</v>
      </c>
      <c r="J5448" t="s">
        <v>10587</v>
      </c>
    </row>
    <row r="5449" spans="1:10">
      <c r="A5449" s="1">
        <v>119909</v>
      </c>
      <c r="B5449" s="1">
        <v>2790104212</v>
      </c>
      <c r="C5449" s="1">
        <v>500</v>
      </c>
      <c r="D5449" s="1" t="s">
        <v>8</v>
      </c>
      <c r="E5449" t="s">
        <v>10549</v>
      </c>
      <c r="F5449" s="1">
        <v>118653</v>
      </c>
      <c r="G5449" s="1">
        <v>118653</v>
      </c>
      <c r="H5449" s="1">
        <v>250</v>
      </c>
      <c r="I5449" s="1" t="s">
        <v>8</v>
      </c>
      <c r="J5449" t="s">
        <v>10588</v>
      </c>
    </row>
    <row r="5450" spans="1:10">
      <c r="A5450" s="1">
        <v>291260</v>
      </c>
      <c r="B5450" s="1">
        <v>4414558144</v>
      </c>
      <c r="C5450" s="1">
        <v>25</v>
      </c>
      <c r="D5450" s="1" t="s">
        <v>8</v>
      </c>
      <c r="E5450" t="s">
        <v>10550</v>
      </c>
      <c r="F5450" s="1">
        <v>118943</v>
      </c>
      <c r="G5450" s="1">
        <v>118943</v>
      </c>
      <c r="H5450" s="1">
        <v>250</v>
      </c>
      <c r="I5450" s="1" t="s">
        <v>8</v>
      </c>
      <c r="J5450" t="s">
        <v>10589</v>
      </c>
    </row>
    <row r="5451" spans="1:10">
      <c r="A5451" s="1">
        <v>352872</v>
      </c>
      <c r="B5451" s="1">
        <v>4616558144</v>
      </c>
      <c r="C5451" s="1">
        <v>25</v>
      </c>
      <c r="D5451" s="1" t="s">
        <v>8</v>
      </c>
      <c r="E5451" t="s">
        <v>10551</v>
      </c>
      <c r="F5451" s="1">
        <v>260489</v>
      </c>
      <c r="G5451" s="1">
        <v>260489</v>
      </c>
      <c r="H5451" s="1">
        <v>150</v>
      </c>
      <c r="I5451" s="1" t="s">
        <v>8</v>
      </c>
      <c r="J5451" t="s">
        <v>10590</v>
      </c>
    </row>
    <row r="5452" spans="1:10">
      <c r="A5452" s="1">
        <v>585141</v>
      </c>
      <c r="B5452" s="1">
        <v>1619415137</v>
      </c>
      <c r="C5452" s="1">
        <v>50</v>
      </c>
      <c r="D5452" s="1" t="s">
        <v>8</v>
      </c>
      <c r="E5452" t="s">
        <v>10552</v>
      </c>
      <c r="F5452" s="1">
        <v>314732</v>
      </c>
      <c r="G5452" s="1">
        <v>303328</v>
      </c>
      <c r="H5452" s="1">
        <v>1000</v>
      </c>
      <c r="I5452" s="1" t="s">
        <v>399</v>
      </c>
      <c r="J5452" t="s">
        <v>10591</v>
      </c>
    </row>
    <row r="5453" spans="1:10">
      <c r="A5453" s="1">
        <v>366336</v>
      </c>
      <c r="B5453" s="1">
        <v>4818558144</v>
      </c>
      <c r="C5453" s="1">
        <v>25</v>
      </c>
      <c r="D5453" s="1" t="s">
        <v>8</v>
      </c>
      <c r="E5453" t="s">
        <v>10553</v>
      </c>
      <c r="F5453" s="1">
        <v>314526</v>
      </c>
      <c r="G5453" s="1">
        <v>303370</v>
      </c>
      <c r="H5453" s="1">
        <v>500</v>
      </c>
      <c r="I5453" s="1" t="s">
        <v>375</v>
      </c>
      <c r="J5453" t="s">
        <v>10592</v>
      </c>
    </row>
    <row r="5454" spans="1:10" ht="15.75">
      <c r="A5454" s="4" t="s">
        <v>10847</v>
      </c>
      <c r="B5454" s="2"/>
      <c r="C5454" s="2"/>
      <c r="D5454" s="2"/>
      <c r="E5454" s="3"/>
      <c r="F5454" s="4" t="s">
        <v>10847</v>
      </c>
      <c r="G5454" s="2"/>
      <c r="H5454" s="2"/>
      <c r="I5454" s="2"/>
      <c r="J5454" s="3"/>
    </row>
    <row r="5455" spans="1:10">
      <c r="A5455" s="2" t="s">
        <v>0</v>
      </c>
      <c r="B5455" s="2" t="s">
        <v>1</v>
      </c>
      <c r="C5455" s="2" t="s">
        <v>2</v>
      </c>
      <c r="D5455" s="2" t="s">
        <v>3</v>
      </c>
      <c r="E5455" s="3" t="s">
        <v>4</v>
      </c>
      <c r="F5455" s="2" t="s">
        <v>0</v>
      </c>
      <c r="G5455" s="2" t="s">
        <v>1</v>
      </c>
      <c r="H5455" s="2" t="s">
        <v>2</v>
      </c>
      <c r="I5455" s="2" t="s">
        <v>3</v>
      </c>
      <c r="J5455" s="3" t="s">
        <v>4</v>
      </c>
    </row>
    <row r="5456" spans="1:10">
      <c r="A5456" s="1">
        <v>314765</v>
      </c>
      <c r="B5456" s="1">
        <v>300001</v>
      </c>
      <c r="C5456" s="1">
        <v>1000</v>
      </c>
      <c r="D5456" s="1" t="s">
        <v>381</v>
      </c>
      <c r="E5456" t="s">
        <v>10593</v>
      </c>
      <c r="F5456" s="1">
        <v>231712</v>
      </c>
      <c r="G5456" s="1">
        <v>0</v>
      </c>
      <c r="H5456" s="1">
        <v>500</v>
      </c>
      <c r="I5456" s="1" t="s">
        <v>8</v>
      </c>
      <c r="J5456" t="s">
        <v>10635</v>
      </c>
    </row>
    <row r="5457" spans="1:10">
      <c r="A5457" s="1">
        <v>314534</v>
      </c>
      <c r="B5457" s="1">
        <v>314534</v>
      </c>
      <c r="C5457" s="1">
        <v>500</v>
      </c>
      <c r="D5457" s="1" t="s">
        <v>375</v>
      </c>
      <c r="E5457" t="s">
        <v>10594</v>
      </c>
      <c r="F5457" s="1">
        <v>388124</v>
      </c>
      <c r="G5457" s="1">
        <v>171030203</v>
      </c>
      <c r="H5457" s="1">
        <v>500</v>
      </c>
      <c r="I5457" s="1" t="s">
        <v>8</v>
      </c>
      <c r="J5457" t="s">
        <v>10636</v>
      </c>
    </row>
    <row r="5458" spans="1:10">
      <c r="A5458" s="1">
        <v>112995</v>
      </c>
      <c r="B5458" s="1">
        <v>112995</v>
      </c>
      <c r="C5458" s="1">
        <v>250</v>
      </c>
      <c r="D5458" s="1" t="s">
        <v>8</v>
      </c>
      <c r="E5458" t="s">
        <v>10595</v>
      </c>
      <c r="F5458" s="1">
        <v>786848</v>
      </c>
      <c r="G5458" s="1">
        <v>171030202</v>
      </c>
      <c r="H5458" s="1">
        <v>500</v>
      </c>
      <c r="I5458" s="1" t="s">
        <v>8</v>
      </c>
      <c r="J5458" t="s">
        <v>10636</v>
      </c>
    </row>
    <row r="5459" spans="1:10">
      <c r="A5459" s="1">
        <v>117416</v>
      </c>
      <c r="B5459" s="1">
        <v>100001</v>
      </c>
      <c r="C5459" s="1">
        <v>100</v>
      </c>
      <c r="D5459" s="1" t="s">
        <v>8</v>
      </c>
      <c r="E5459" t="s">
        <v>10596</v>
      </c>
      <c r="F5459" s="1">
        <v>881060</v>
      </c>
      <c r="G5459" s="1">
        <v>171030201</v>
      </c>
      <c r="H5459" s="1">
        <v>500</v>
      </c>
      <c r="I5459" s="1" t="s">
        <v>8</v>
      </c>
      <c r="J5459" t="s">
        <v>10636</v>
      </c>
    </row>
    <row r="5460" spans="1:10">
      <c r="A5460" s="1">
        <v>354266</v>
      </c>
      <c r="B5460" s="1">
        <v>354266</v>
      </c>
      <c r="C5460" s="1">
        <v>250</v>
      </c>
      <c r="D5460" s="1" t="s">
        <v>347</v>
      </c>
      <c r="E5460" t="s">
        <v>10597</v>
      </c>
      <c r="F5460" s="1">
        <v>192252</v>
      </c>
      <c r="G5460" s="1">
        <v>20201365401</v>
      </c>
      <c r="H5460" s="1">
        <v>500</v>
      </c>
      <c r="I5460" s="1" t="s">
        <v>8</v>
      </c>
      <c r="J5460" t="s">
        <v>10637</v>
      </c>
    </row>
    <row r="5461" spans="1:10">
      <c r="A5461" s="1">
        <v>117838</v>
      </c>
      <c r="B5461" s="1">
        <v>117838</v>
      </c>
      <c r="C5461" s="1">
        <v>250</v>
      </c>
      <c r="D5461" s="1" t="s">
        <v>347</v>
      </c>
      <c r="E5461" t="s">
        <v>10598</v>
      </c>
      <c r="F5461" s="1">
        <v>835553</v>
      </c>
      <c r="G5461" s="1">
        <v>2383321601</v>
      </c>
      <c r="H5461" s="1">
        <v>500</v>
      </c>
      <c r="I5461" s="1" t="s">
        <v>8</v>
      </c>
      <c r="J5461" t="s">
        <v>10638</v>
      </c>
    </row>
    <row r="5462" spans="1:10">
      <c r="A5462" s="1">
        <v>296681</v>
      </c>
      <c r="B5462" s="1">
        <v>200001</v>
      </c>
      <c r="C5462" s="1">
        <v>100</v>
      </c>
      <c r="D5462" s="1" t="s">
        <v>8</v>
      </c>
      <c r="E5462" t="s">
        <v>10599</v>
      </c>
      <c r="F5462" s="1">
        <v>354498</v>
      </c>
      <c r="G5462" s="1">
        <v>354498</v>
      </c>
      <c r="H5462" s="1">
        <v>500</v>
      </c>
      <c r="I5462" s="1" t="s">
        <v>381</v>
      </c>
      <c r="J5462" t="s">
        <v>10638</v>
      </c>
    </row>
    <row r="5463" spans="1:10">
      <c r="A5463" s="1">
        <v>116103</v>
      </c>
      <c r="B5463" s="1">
        <v>100001</v>
      </c>
      <c r="C5463" s="1">
        <v>100</v>
      </c>
      <c r="D5463" s="1" t="s">
        <v>8</v>
      </c>
      <c r="E5463" t="s">
        <v>10600</v>
      </c>
      <c r="F5463" s="1">
        <v>231753</v>
      </c>
      <c r="G5463" s="1">
        <v>0</v>
      </c>
      <c r="H5463" s="1">
        <v>500</v>
      </c>
      <c r="I5463" s="1" t="s">
        <v>381</v>
      </c>
      <c r="J5463" t="s">
        <v>10638</v>
      </c>
    </row>
    <row r="5464" spans="1:10">
      <c r="A5464" s="1">
        <v>174110</v>
      </c>
      <c r="B5464" s="1">
        <v>100001</v>
      </c>
      <c r="C5464" s="1">
        <v>100</v>
      </c>
      <c r="D5464" s="1" t="s">
        <v>8</v>
      </c>
      <c r="E5464" t="s">
        <v>10601</v>
      </c>
      <c r="F5464" s="1">
        <v>314401</v>
      </c>
      <c r="G5464" s="1">
        <v>314401</v>
      </c>
      <c r="H5464" s="1">
        <v>500</v>
      </c>
      <c r="I5464" s="1" t="s">
        <v>381</v>
      </c>
      <c r="J5464" t="s">
        <v>10639</v>
      </c>
    </row>
    <row r="5465" spans="1:10">
      <c r="A5465" s="1">
        <v>356733</v>
      </c>
      <c r="B5465" s="1">
        <v>356733</v>
      </c>
      <c r="C5465" s="1">
        <v>100</v>
      </c>
      <c r="D5465" s="1" t="s">
        <v>8</v>
      </c>
      <c r="E5465" t="s">
        <v>10602</v>
      </c>
      <c r="F5465" s="1">
        <v>354472</v>
      </c>
      <c r="G5465" s="1">
        <v>354472</v>
      </c>
      <c r="H5465" s="1">
        <v>500</v>
      </c>
      <c r="I5465" s="1" t="s">
        <v>375</v>
      </c>
      <c r="J5465" t="s">
        <v>10640</v>
      </c>
    </row>
    <row r="5466" spans="1:10">
      <c r="A5466" s="1">
        <v>339176</v>
      </c>
      <c r="B5466" s="1">
        <v>339176</v>
      </c>
      <c r="C5466" s="1">
        <v>100</v>
      </c>
      <c r="D5466" s="1" t="s">
        <v>8</v>
      </c>
      <c r="E5466" t="s">
        <v>10603</v>
      </c>
      <c r="F5466" s="1">
        <v>354464</v>
      </c>
      <c r="G5466" s="1">
        <v>354464</v>
      </c>
      <c r="H5466" s="1">
        <v>500</v>
      </c>
      <c r="I5466" s="1" t="s">
        <v>399</v>
      </c>
      <c r="J5466" t="s">
        <v>10641</v>
      </c>
    </row>
    <row r="5467" spans="1:10">
      <c r="A5467" s="1">
        <v>292243</v>
      </c>
      <c r="B5467" s="1">
        <v>200001</v>
      </c>
      <c r="C5467" s="1">
        <v>100</v>
      </c>
      <c r="D5467" s="1" t="s">
        <v>8</v>
      </c>
      <c r="E5467" t="s">
        <v>10604</v>
      </c>
      <c r="F5467" s="1">
        <v>354480</v>
      </c>
      <c r="G5467" s="1">
        <v>300001</v>
      </c>
      <c r="H5467" s="1">
        <v>500</v>
      </c>
      <c r="I5467" s="1" t="s">
        <v>8</v>
      </c>
      <c r="J5467" t="s">
        <v>10642</v>
      </c>
    </row>
    <row r="5468" spans="1:10">
      <c r="A5468" s="1">
        <v>339267</v>
      </c>
      <c r="B5468" s="1">
        <v>1</v>
      </c>
      <c r="C5468" s="1">
        <v>1</v>
      </c>
      <c r="D5468" s="1" t="s">
        <v>10461</v>
      </c>
      <c r="E5468" t="s">
        <v>10605</v>
      </c>
      <c r="F5468" s="1">
        <v>372706</v>
      </c>
      <c r="G5468" s="1">
        <v>2383320100</v>
      </c>
      <c r="H5468" s="1">
        <v>500</v>
      </c>
      <c r="I5468" s="1" t="s">
        <v>8</v>
      </c>
      <c r="J5468" t="s">
        <v>10642</v>
      </c>
    </row>
    <row r="5469" spans="1:10">
      <c r="A5469" s="1">
        <v>339275</v>
      </c>
      <c r="B5469" s="1">
        <v>1</v>
      </c>
      <c r="C5469" s="1">
        <v>1</v>
      </c>
      <c r="D5469" s="1" t="s">
        <v>10461</v>
      </c>
      <c r="E5469" t="s">
        <v>10606</v>
      </c>
      <c r="F5469" s="1">
        <v>848689</v>
      </c>
      <c r="G5469" s="1">
        <v>2383320105</v>
      </c>
      <c r="H5469" s="1">
        <v>500</v>
      </c>
      <c r="I5469" s="1" t="s">
        <v>8</v>
      </c>
      <c r="J5469" t="s">
        <v>10643</v>
      </c>
    </row>
    <row r="5470" spans="1:10">
      <c r="A5470" s="1">
        <v>357228</v>
      </c>
      <c r="B5470" s="1">
        <v>300001</v>
      </c>
      <c r="C5470" s="1">
        <v>1</v>
      </c>
      <c r="D5470" s="1" t="s">
        <v>10607</v>
      </c>
      <c r="E5470" t="s">
        <v>10608</v>
      </c>
      <c r="F5470" s="1">
        <v>189258</v>
      </c>
      <c r="G5470" s="1">
        <v>100001</v>
      </c>
      <c r="H5470" s="1">
        <v>500</v>
      </c>
      <c r="I5470" s="1" t="s">
        <v>10501</v>
      </c>
      <c r="J5470" t="s">
        <v>10644</v>
      </c>
    </row>
    <row r="5471" spans="1:10">
      <c r="A5471" s="1">
        <v>231688</v>
      </c>
      <c r="B5471" s="1">
        <v>231688</v>
      </c>
      <c r="C5471" s="1">
        <v>100</v>
      </c>
      <c r="D5471" s="1" t="s">
        <v>8</v>
      </c>
      <c r="E5471" t="s">
        <v>10609</v>
      </c>
      <c r="F5471" s="1">
        <v>231704</v>
      </c>
      <c r="G5471" s="1">
        <v>0</v>
      </c>
      <c r="H5471" s="1">
        <v>500</v>
      </c>
      <c r="I5471" s="1" t="s">
        <v>8</v>
      </c>
      <c r="J5471" t="s">
        <v>10645</v>
      </c>
    </row>
    <row r="5472" spans="1:10">
      <c r="A5472" s="1">
        <v>111369</v>
      </c>
      <c r="B5472" s="1">
        <v>111369</v>
      </c>
      <c r="C5472" s="1">
        <v>200</v>
      </c>
      <c r="D5472" s="1" t="s">
        <v>8</v>
      </c>
      <c r="E5472" t="s">
        <v>10610</v>
      </c>
      <c r="F5472" s="1">
        <v>507137</v>
      </c>
      <c r="G5472" s="1">
        <v>7228810786</v>
      </c>
      <c r="H5472" s="1">
        <v>60</v>
      </c>
      <c r="I5472" s="1" t="s">
        <v>8</v>
      </c>
      <c r="J5472" t="s">
        <v>10646</v>
      </c>
    </row>
    <row r="5473" spans="1:10">
      <c r="A5473" s="1">
        <v>227769</v>
      </c>
      <c r="B5473" s="1">
        <v>2516100000</v>
      </c>
      <c r="C5473" s="1">
        <v>250</v>
      </c>
      <c r="D5473" s="1" t="s">
        <v>8</v>
      </c>
      <c r="E5473" t="s">
        <v>10611</v>
      </c>
      <c r="F5473" s="1">
        <v>703330</v>
      </c>
      <c r="G5473" s="1">
        <v>1620039388</v>
      </c>
      <c r="H5473" s="1">
        <v>1000</v>
      </c>
      <c r="I5473" s="1" t="s">
        <v>8</v>
      </c>
      <c r="J5473" t="s">
        <v>10647</v>
      </c>
    </row>
    <row r="5474" spans="1:10">
      <c r="A5474" s="1">
        <v>332270</v>
      </c>
      <c r="B5474" s="1">
        <v>9224127092</v>
      </c>
      <c r="C5474" s="1">
        <v>50</v>
      </c>
      <c r="D5474" s="1" t="s">
        <v>8</v>
      </c>
      <c r="E5474" t="s">
        <v>10612</v>
      </c>
      <c r="F5474" s="1">
        <v>177501</v>
      </c>
      <c r="G5474" s="1">
        <v>0</v>
      </c>
      <c r="H5474" s="1">
        <v>150</v>
      </c>
      <c r="I5474" s="1" t="s">
        <v>632</v>
      </c>
      <c r="J5474" t="s">
        <v>10648</v>
      </c>
    </row>
    <row r="5475" spans="1:10">
      <c r="A5475" s="1">
        <v>776211</v>
      </c>
      <c r="B5475" s="1">
        <v>1470045025</v>
      </c>
      <c r="C5475" s="1">
        <v>450</v>
      </c>
      <c r="D5475" s="1" t="s">
        <v>8</v>
      </c>
      <c r="E5475" t="s">
        <v>10613</v>
      </c>
      <c r="F5475" s="1">
        <v>112458</v>
      </c>
      <c r="G5475" s="1">
        <v>100001</v>
      </c>
      <c r="H5475" s="1">
        <v>1</v>
      </c>
      <c r="I5475" s="1" t="s">
        <v>8</v>
      </c>
      <c r="J5475" t="s">
        <v>10649</v>
      </c>
    </row>
    <row r="5476" spans="1:10">
      <c r="A5476" s="1">
        <v>363788</v>
      </c>
      <c r="B5476" s="1">
        <v>8540490943</v>
      </c>
      <c r="C5476" s="1">
        <v>1</v>
      </c>
      <c r="D5476" s="1" t="s">
        <v>8</v>
      </c>
      <c r="E5476" t="s">
        <v>10614</v>
      </c>
      <c r="F5476" s="1">
        <v>314666</v>
      </c>
      <c r="G5476" s="1">
        <v>314666</v>
      </c>
      <c r="H5476" s="1">
        <v>200</v>
      </c>
      <c r="I5476" s="1" t="s">
        <v>8</v>
      </c>
      <c r="J5476" t="s">
        <v>10650</v>
      </c>
    </row>
    <row r="5477" spans="1:10">
      <c r="A5477" s="1">
        <v>767053</v>
      </c>
      <c r="B5477" s="1">
        <v>8540494955</v>
      </c>
      <c r="C5477" s="1">
        <v>1</v>
      </c>
      <c r="D5477" s="1" t="s">
        <v>8</v>
      </c>
      <c r="E5477" t="s">
        <v>10615</v>
      </c>
      <c r="F5477" s="1">
        <v>314674</v>
      </c>
      <c r="G5477" s="1">
        <v>314674</v>
      </c>
      <c r="H5477" s="1">
        <v>200</v>
      </c>
      <c r="I5477" s="1" t="s">
        <v>8</v>
      </c>
      <c r="J5477" t="s">
        <v>10651</v>
      </c>
    </row>
    <row r="5478" spans="1:10">
      <c r="A5478" s="1">
        <v>541060</v>
      </c>
      <c r="B5478" s="1">
        <v>8540493744</v>
      </c>
      <c r="C5478" s="1">
        <v>1</v>
      </c>
      <c r="D5478" s="1" t="s">
        <v>8</v>
      </c>
      <c r="E5478" t="s">
        <v>10616</v>
      </c>
      <c r="F5478" s="1">
        <v>335810</v>
      </c>
      <c r="G5478" s="1">
        <v>300001</v>
      </c>
      <c r="H5478" s="1">
        <v>200</v>
      </c>
      <c r="I5478" s="1" t="s">
        <v>8</v>
      </c>
      <c r="J5478" t="s">
        <v>10652</v>
      </c>
    </row>
    <row r="5479" spans="1:10">
      <c r="A5479" s="1">
        <v>880542</v>
      </c>
      <c r="B5479" s="1">
        <v>8540494956</v>
      </c>
      <c r="C5479" s="1">
        <v>1</v>
      </c>
      <c r="D5479" s="1" t="s">
        <v>8</v>
      </c>
      <c r="E5479" t="s">
        <v>10617</v>
      </c>
      <c r="F5479" s="1">
        <v>309120</v>
      </c>
      <c r="G5479" s="1">
        <v>300001</v>
      </c>
      <c r="H5479" s="1">
        <v>500</v>
      </c>
      <c r="I5479" s="1" t="s">
        <v>10234</v>
      </c>
      <c r="J5479" t="s">
        <v>10653</v>
      </c>
    </row>
    <row r="5480" spans="1:10">
      <c r="A5480" s="1">
        <v>262154</v>
      </c>
      <c r="B5480" s="1">
        <v>9659981681</v>
      </c>
      <c r="C5480" s="1">
        <v>150</v>
      </c>
      <c r="D5480" s="1" t="s">
        <v>8</v>
      </c>
      <c r="E5480" t="s">
        <v>10618</v>
      </c>
      <c r="F5480" s="1">
        <v>39768</v>
      </c>
      <c r="G5480" s="1">
        <v>3935080224</v>
      </c>
      <c r="H5480" s="1">
        <v>200</v>
      </c>
      <c r="I5480" s="1" t="s">
        <v>8</v>
      </c>
      <c r="J5480" t="s">
        <v>10654</v>
      </c>
    </row>
    <row r="5481" spans="1:10">
      <c r="A5481" s="1">
        <v>531509</v>
      </c>
      <c r="B5481" s="1">
        <v>8182383370</v>
      </c>
      <c r="C5481" s="1">
        <v>150</v>
      </c>
      <c r="D5481" s="1" t="s">
        <v>8</v>
      </c>
      <c r="E5481" t="s">
        <v>10619</v>
      </c>
      <c r="F5481" s="1">
        <v>659417</v>
      </c>
      <c r="G5481" s="1">
        <v>6194049374</v>
      </c>
      <c r="H5481" s="1">
        <v>250</v>
      </c>
      <c r="I5481" s="1" t="s">
        <v>8</v>
      </c>
      <c r="J5481" t="s">
        <v>10655</v>
      </c>
    </row>
    <row r="5482" spans="1:10">
      <c r="A5482" s="1">
        <v>736397</v>
      </c>
      <c r="B5482" s="1">
        <v>1951001322</v>
      </c>
      <c r="C5482" s="1">
        <v>150</v>
      </c>
      <c r="D5482" s="1" t="s">
        <v>8</v>
      </c>
      <c r="E5482" t="s">
        <v>10620</v>
      </c>
      <c r="F5482" s="1">
        <v>314773</v>
      </c>
      <c r="G5482" s="1">
        <v>369853</v>
      </c>
      <c r="H5482" s="1">
        <v>200</v>
      </c>
      <c r="I5482" s="1" t="s">
        <v>8</v>
      </c>
      <c r="J5482" t="s">
        <v>10656</v>
      </c>
    </row>
    <row r="5483" spans="1:10">
      <c r="A5483" s="1">
        <v>476747</v>
      </c>
      <c r="B5483" s="1">
        <v>9659908681</v>
      </c>
      <c r="C5483" s="1">
        <v>150</v>
      </c>
      <c r="D5483" s="1" t="s">
        <v>8</v>
      </c>
      <c r="E5483" t="s">
        <v>10621</v>
      </c>
      <c r="F5483" s="1">
        <v>249292</v>
      </c>
      <c r="G5483" s="1">
        <v>0</v>
      </c>
      <c r="H5483" s="1">
        <v>200</v>
      </c>
      <c r="I5483" s="1" t="s">
        <v>8</v>
      </c>
      <c r="J5483" t="s">
        <v>10657</v>
      </c>
    </row>
    <row r="5484" spans="1:10">
      <c r="A5484" s="1">
        <v>290544</v>
      </c>
      <c r="B5484" s="1">
        <v>200001</v>
      </c>
      <c r="C5484" s="1">
        <v>12</v>
      </c>
      <c r="D5484" s="1" t="s">
        <v>10622</v>
      </c>
      <c r="E5484" t="s">
        <v>10623</v>
      </c>
      <c r="F5484" s="1">
        <v>714683</v>
      </c>
      <c r="G5484" s="1">
        <v>0</v>
      </c>
      <c r="H5484" s="1">
        <v>200</v>
      </c>
      <c r="I5484" s="1" t="s">
        <v>8</v>
      </c>
      <c r="J5484" t="s">
        <v>10657</v>
      </c>
    </row>
    <row r="5485" spans="1:10" ht="15.75">
      <c r="A5485" s="1">
        <v>501122</v>
      </c>
      <c r="B5485" s="1">
        <v>1951300212</v>
      </c>
      <c r="C5485" s="1">
        <v>150</v>
      </c>
      <c r="D5485" s="1" t="s">
        <v>8</v>
      </c>
      <c r="E5485" t="s">
        <v>10624</v>
      </c>
      <c r="F5485" s="4" t="s">
        <v>10848</v>
      </c>
      <c r="G5485" s="2"/>
      <c r="H5485" s="2"/>
      <c r="I5485" s="2"/>
      <c r="J5485" s="3"/>
    </row>
    <row r="5486" spans="1:10">
      <c r="A5486" s="1">
        <v>151373</v>
      </c>
      <c r="B5486" s="1">
        <v>5850315101</v>
      </c>
      <c r="C5486" s="1">
        <v>125</v>
      </c>
      <c r="D5486" s="1" t="s">
        <v>8</v>
      </c>
      <c r="E5486" t="s">
        <v>10625</v>
      </c>
      <c r="F5486" s="2" t="s">
        <v>0</v>
      </c>
      <c r="G5486" s="2" t="s">
        <v>1</v>
      </c>
      <c r="H5486" s="2" t="s">
        <v>2</v>
      </c>
      <c r="I5486" s="2" t="s">
        <v>3</v>
      </c>
      <c r="J5486" s="3" t="s">
        <v>4</v>
      </c>
    </row>
    <row r="5487" spans="1:10">
      <c r="A5487" s="1">
        <v>119552</v>
      </c>
      <c r="B5487" s="1">
        <v>100001</v>
      </c>
      <c r="C5487" s="1">
        <v>50</v>
      </c>
      <c r="D5487" s="1" t="s">
        <v>8</v>
      </c>
      <c r="E5487" t="s">
        <v>10626</v>
      </c>
      <c r="F5487" s="1">
        <v>307769</v>
      </c>
      <c r="G5487" s="1">
        <v>300001</v>
      </c>
      <c r="H5487" s="1">
        <v>1000</v>
      </c>
      <c r="I5487" s="1" t="s">
        <v>347</v>
      </c>
      <c r="J5487" t="s">
        <v>10658</v>
      </c>
    </row>
    <row r="5488" spans="1:10">
      <c r="A5488" s="1">
        <v>158337</v>
      </c>
      <c r="B5488" s="1">
        <v>7488757792</v>
      </c>
      <c r="C5488" s="1">
        <v>1</v>
      </c>
      <c r="D5488" s="1" t="s">
        <v>8</v>
      </c>
      <c r="E5488" t="s">
        <v>10627</v>
      </c>
      <c r="F5488" s="1">
        <v>331959</v>
      </c>
      <c r="G5488" s="1">
        <v>300001</v>
      </c>
      <c r="H5488" s="1">
        <v>1000</v>
      </c>
      <c r="I5488" s="1" t="s">
        <v>8</v>
      </c>
      <c r="J5488" t="s">
        <v>10659</v>
      </c>
    </row>
    <row r="5489" spans="1:10">
      <c r="A5489" s="1">
        <v>112128</v>
      </c>
      <c r="B5489" s="1">
        <v>112128</v>
      </c>
      <c r="C5489" s="1">
        <v>25</v>
      </c>
      <c r="D5489" s="1" t="s">
        <v>4658</v>
      </c>
      <c r="E5489" t="s">
        <v>10628</v>
      </c>
      <c r="F5489" s="1">
        <v>403139</v>
      </c>
      <c r="G5489" s="1">
        <v>2383316016</v>
      </c>
      <c r="H5489" s="1">
        <v>1000</v>
      </c>
      <c r="I5489" s="1" t="s">
        <v>381</v>
      </c>
      <c r="J5489" t="s">
        <v>10660</v>
      </c>
    </row>
    <row r="5490" spans="1:10">
      <c r="A5490" s="1">
        <v>115782</v>
      </c>
      <c r="B5490" s="1">
        <v>115782</v>
      </c>
      <c r="C5490" s="1">
        <v>25</v>
      </c>
      <c r="D5490" s="1" t="s">
        <v>4719</v>
      </c>
      <c r="E5490" t="s">
        <v>10629</v>
      </c>
      <c r="F5490" s="1">
        <v>307751</v>
      </c>
      <c r="G5490" s="1">
        <v>300001</v>
      </c>
      <c r="H5490" s="1">
        <v>500</v>
      </c>
      <c r="I5490" s="1" t="s">
        <v>938</v>
      </c>
      <c r="J5490" t="s">
        <v>10661</v>
      </c>
    </row>
    <row r="5491" spans="1:10">
      <c r="A5491" s="1">
        <v>459693</v>
      </c>
      <c r="B5491" s="1">
        <v>4968174620</v>
      </c>
      <c r="C5491" s="1">
        <v>1</v>
      </c>
      <c r="D5491" s="1" t="s">
        <v>8</v>
      </c>
      <c r="E5491" t="s">
        <v>10630</v>
      </c>
      <c r="F5491" s="1">
        <v>337816</v>
      </c>
      <c r="G5491" s="1">
        <v>300001</v>
      </c>
      <c r="H5491" s="1">
        <v>1000</v>
      </c>
      <c r="I5491" s="1" t="s">
        <v>10662</v>
      </c>
      <c r="J5491" t="s">
        <v>10663</v>
      </c>
    </row>
    <row r="5492" spans="1:10">
      <c r="A5492" s="1">
        <v>21535</v>
      </c>
      <c r="B5492" s="1">
        <v>1</v>
      </c>
      <c r="C5492" s="1">
        <v>6</v>
      </c>
      <c r="D5492" s="1" t="s">
        <v>10631</v>
      </c>
      <c r="E5492" t="s">
        <v>10632</v>
      </c>
      <c r="F5492" s="1">
        <v>337774</v>
      </c>
      <c r="G5492" s="1">
        <v>300001</v>
      </c>
      <c r="H5492" s="1">
        <v>500</v>
      </c>
      <c r="I5492" s="1" t="s">
        <v>375</v>
      </c>
      <c r="J5492" t="s">
        <v>10664</v>
      </c>
    </row>
    <row r="5493" spans="1:10">
      <c r="A5493" s="1">
        <v>279448</v>
      </c>
      <c r="B5493" s="1">
        <v>200001</v>
      </c>
      <c r="C5493" s="1">
        <v>12</v>
      </c>
      <c r="D5493" s="1" t="s">
        <v>8</v>
      </c>
      <c r="E5493" t="s">
        <v>10633</v>
      </c>
      <c r="F5493" s="1">
        <v>569558</v>
      </c>
      <c r="G5493" s="1">
        <v>2383332032</v>
      </c>
      <c r="H5493" s="1">
        <v>500</v>
      </c>
      <c r="I5493" s="1" t="s">
        <v>375</v>
      </c>
      <c r="J5493" t="s">
        <v>10665</v>
      </c>
    </row>
    <row r="5494" spans="1:10">
      <c r="A5494" s="1">
        <v>189266</v>
      </c>
      <c r="B5494" s="1">
        <v>189266</v>
      </c>
      <c r="C5494" s="1">
        <v>500</v>
      </c>
      <c r="D5494" s="1" t="s">
        <v>10501</v>
      </c>
      <c r="E5494" t="s">
        <v>10634</v>
      </c>
      <c r="F5494" s="1">
        <v>111914</v>
      </c>
      <c r="G5494" s="1">
        <v>100001</v>
      </c>
      <c r="H5494" s="1">
        <v>1000</v>
      </c>
      <c r="I5494" s="1" t="s">
        <v>347</v>
      </c>
      <c r="J5494" t="s">
        <v>10666</v>
      </c>
    </row>
    <row r="5495" spans="1:10" ht="15.75">
      <c r="A5495" s="4" t="s">
        <v>10848</v>
      </c>
      <c r="B5495" s="2"/>
      <c r="C5495" s="2"/>
      <c r="D5495" s="2"/>
      <c r="E5495" s="3"/>
    </row>
    <row r="5496" spans="1:10">
      <c r="A5496" s="2" t="s">
        <v>0</v>
      </c>
      <c r="B5496" s="2" t="s">
        <v>1</v>
      </c>
      <c r="C5496" s="2" t="s">
        <v>2</v>
      </c>
      <c r="D5496" s="2" t="s">
        <v>3</v>
      </c>
      <c r="E5496" s="3" t="s">
        <v>4</v>
      </c>
    </row>
    <row r="5497" spans="1:10">
      <c r="A5497" s="1">
        <v>493312</v>
      </c>
      <c r="B5497" s="1">
        <v>2383306106</v>
      </c>
      <c r="C5497" s="1">
        <v>1300</v>
      </c>
      <c r="D5497" s="1" t="s">
        <v>8</v>
      </c>
      <c r="E5497" t="s">
        <v>10667</v>
      </c>
    </row>
    <row r="5498" spans="1:10">
      <c r="A5498" s="1">
        <v>115857</v>
      </c>
      <c r="B5498" s="1">
        <v>100001</v>
      </c>
      <c r="C5498" s="1">
        <v>1000</v>
      </c>
      <c r="D5498" s="1" t="s">
        <v>8</v>
      </c>
      <c r="E5498" t="s">
        <v>10668</v>
      </c>
    </row>
    <row r="5499" spans="1:10">
      <c r="A5499" s="1">
        <v>307777</v>
      </c>
      <c r="B5499" s="1">
        <v>300001</v>
      </c>
      <c r="C5499" s="1">
        <v>1000</v>
      </c>
      <c r="D5499" s="1" t="s">
        <v>399</v>
      </c>
      <c r="E5499" t="s">
        <v>10669</v>
      </c>
    </row>
    <row r="5500" spans="1:10">
      <c r="A5500" s="1">
        <v>353524</v>
      </c>
      <c r="B5500" s="1">
        <v>300001</v>
      </c>
      <c r="C5500" s="1">
        <v>2500</v>
      </c>
      <c r="D5500" s="1" t="s">
        <v>31</v>
      </c>
      <c r="E5500" t="s">
        <v>10670</v>
      </c>
    </row>
    <row r="5501" spans="1:10">
      <c r="A5501" s="1">
        <v>48462</v>
      </c>
      <c r="B5501" s="1">
        <v>1820107201</v>
      </c>
      <c r="C5501" s="1">
        <v>480</v>
      </c>
      <c r="D5501" s="1" t="s">
        <v>8</v>
      </c>
      <c r="E5501" t="s">
        <v>10671</v>
      </c>
    </row>
    <row r="5502" spans="1:10">
      <c r="A5502" s="1">
        <v>410001</v>
      </c>
      <c r="B5502" s="1">
        <v>1820042501</v>
      </c>
      <c r="C5502" s="1">
        <v>960</v>
      </c>
      <c r="D5502" s="1" t="s">
        <v>8</v>
      </c>
      <c r="E5502" t="s">
        <v>10672</v>
      </c>
    </row>
    <row r="5503" spans="1:10">
      <c r="A5503" s="1">
        <v>464578</v>
      </c>
      <c r="B5503" s="1">
        <v>1820032500</v>
      </c>
      <c r="C5503" s="1">
        <v>2500</v>
      </c>
      <c r="D5503" s="1" t="s">
        <v>8</v>
      </c>
      <c r="E5503" t="s">
        <v>10673</v>
      </c>
    </row>
    <row r="5504" spans="1:10">
      <c r="A5504" s="1">
        <v>310136</v>
      </c>
      <c r="B5504" s="1">
        <v>1820004144</v>
      </c>
      <c r="C5504" s="1">
        <v>2500</v>
      </c>
      <c r="D5504" s="1" t="s">
        <v>8</v>
      </c>
      <c r="E5504" t="s">
        <v>10674</v>
      </c>
    </row>
    <row r="5505" spans="1:5">
      <c r="A5505" s="1">
        <v>258822</v>
      </c>
      <c r="B5505" s="1">
        <v>200001</v>
      </c>
      <c r="C5505" s="1">
        <v>2500</v>
      </c>
      <c r="D5505" s="1" t="s">
        <v>2211</v>
      </c>
      <c r="E5505" t="s">
        <v>10675</v>
      </c>
    </row>
    <row r="5506" spans="1:5">
      <c r="A5506" s="1">
        <v>303743</v>
      </c>
      <c r="B5506" s="1">
        <v>300001</v>
      </c>
      <c r="C5506" s="1">
        <v>2500</v>
      </c>
      <c r="D5506" s="1" t="s">
        <v>31</v>
      </c>
      <c r="E5506" t="s">
        <v>10676</v>
      </c>
    </row>
    <row r="5507" spans="1:5">
      <c r="A5507" s="1">
        <v>115410</v>
      </c>
      <c r="B5507" s="1">
        <v>100001</v>
      </c>
      <c r="C5507" s="1">
        <v>2500</v>
      </c>
      <c r="D5507" s="1" t="s">
        <v>397</v>
      </c>
      <c r="E5507" t="s">
        <v>10677</v>
      </c>
    </row>
    <row r="5508" spans="1:5">
      <c r="A5508" s="1">
        <v>111872</v>
      </c>
      <c r="B5508" s="1">
        <v>100001</v>
      </c>
      <c r="C5508" s="1">
        <v>1000</v>
      </c>
      <c r="D5508" s="1" t="s">
        <v>347</v>
      </c>
      <c r="E5508" t="s">
        <v>10678</v>
      </c>
    </row>
    <row r="5509" spans="1:5">
      <c r="A5509" s="1">
        <v>293142</v>
      </c>
      <c r="B5509" s="1">
        <v>200001</v>
      </c>
      <c r="C5509" s="1">
        <v>1000</v>
      </c>
      <c r="D5509" s="1" t="s">
        <v>381</v>
      </c>
      <c r="E5509" t="s">
        <v>10679</v>
      </c>
    </row>
    <row r="5510" spans="1:5">
      <c r="A5510" s="1">
        <v>181552</v>
      </c>
      <c r="B5510" s="1">
        <v>1870365310</v>
      </c>
      <c r="C5510" s="1">
        <v>2500</v>
      </c>
      <c r="D5510" s="1" t="s">
        <v>8</v>
      </c>
      <c r="E5510" t="s">
        <v>10680</v>
      </c>
    </row>
  </sheetData>
  <pageMargins left="0.2" right="0.16" top="0.35" bottom="0.5" header="0.17" footer="0.3"/>
  <pageSetup scale="90" orientation="landscape" r:id="rId1"/>
  <headerFooter>
    <oddHeader>&amp;F</oddHeader>
    <oddFooter>Page &amp;P</oddFooter>
  </headerFooter>
  <customProperties>
    <customPr name="DVSECTION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J3838"/>
  <sheetViews>
    <sheetView workbookViewId="0">
      <selection activeCell="A2" sqref="A2"/>
    </sheetView>
  </sheetViews>
  <sheetFormatPr defaultRowHeight="15"/>
  <cols>
    <col min="1" max="1" width="10.7109375" style="1" customWidth="1"/>
    <col min="2" max="2" width="12.28515625" style="1" customWidth="1"/>
    <col min="3" max="3" width="6.85546875" style="1" customWidth="1"/>
    <col min="4" max="4" width="7.140625" style="1" customWidth="1"/>
    <col min="5" max="5" width="33.85546875" customWidth="1"/>
    <col min="6" max="6" width="10.42578125" customWidth="1"/>
    <col min="7" max="7" width="13.28515625" customWidth="1"/>
    <col min="8" max="8" width="6" customWidth="1"/>
    <col min="9" max="9" width="8.5703125" customWidth="1"/>
  </cols>
  <sheetData>
    <row r="1" spans="1:10" ht="6" customHeight="1"/>
    <row r="2" spans="1:10" s="3" customFormat="1" ht="21" customHeight="1">
      <c r="A2" s="4" t="s">
        <v>11152</v>
      </c>
      <c r="B2" s="2"/>
      <c r="C2" s="2"/>
      <c r="D2" s="2"/>
      <c r="F2" s="4" t="s">
        <v>11153</v>
      </c>
      <c r="G2" s="2"/>
      <c r="H2" s="2"/>
      <c r="I2" s="2"/>
    </row>
    <row r="3" spans="1:10" s="3" customFormat="1">
      <c r="A3" s="2" t="s">
        <v>0</v>
      </c>
      <c r="B3" s="2" t="s">
        <v>1</v>
      </c>
      <c r="C3" s="2" t="s">
        <v>2</v>
      </c>
      <c r="D3" s="2" t="s">
        <v>3</v>
      </c>
      <c r="E3" s="3" t="s">
        <v>4</v>
      </c>
      <c r="F3" s="2" t="s">
        <v>0</v>
      </c>
      <c r="G3" s="2" t="s">
        <v>1</v>
      </c>
      <c r="H3" s="2" t="s">
        <v>2</v>
      </c>
      <c r="I3" s="2" t="s">
        <v>3</v>
      </c>
      <c r="J3" s="3" t="s">
        <v>4</v>
      </c>
    </row>
    <row r="4" spans="1:10">
      <c r="A4" s="1">
        <v>876078</v>
      </c>
      <c r="B4" s="1">
        <v>3871859999</v>
      </c>
      <c r="C4" s="1">
        <v>12</v>
      </c>
      <c r="D4" s="1" t="s">
        <v>546</v>
      </c>
      <c r="E4" t="s">
        <v>11154</v>
      </c>
      <c r="F4" s="1">
        <v>803023</v>
      </c>
      <c r="G4" s="1">
        <v>71752451325</v>
      </c>
      <c r="H4" s="1">
        <v>12</v>
      </c>
      <c r="I4" s="1" t="s">
        <v>632</v>
      </c>
      <c r="J4" t="s">
        <v>11155</v>
      </c>
    </row>
    <row r="5" spans="1:10">
      <c r="A5" s="1">
        <v>336784</v>
      </c>
      <c r="B5" s="1">
        <v>4140900205</v>
      </c>
      <c r="C5" s="1">
        <v>18</v>
      </c>
      <c r="D5" s="1" t="s">
        <v>17</v>
      </c>
      <c r="E5" t="s">
        <v>11156</v>
      </c>
      <c r="F5" s="1">
        <v>765222</v>
      </c>
      <c r="G5" s="1">
        <v>2400036681</v>
      </c>
      <c r="H5" s="1">
        <v>12</v>
      </c>
      <c r="I5" s="1" t="s">
        <v>358</v>
      </c>
      <c r="J5" t="s">
        <v>11157</v>
      </c>
    </row>
    <row r="6" spans="1:10">
      <c r="A6" s="1">
        <v>150169</v>
      </c>
      <c r="B6" s="1">
        <v>4140901734</v>
      </c>
      <c r="C6" s="1">
        <v>12</v>
      </c>
      <c r="D6" s="1" t="s">
        <v>381</v>
      </c>
      <c r="E6" t="s">
        <v>11158</v>
      </c>
      <c r="F6" s="1">
        <v>726349</v>
      </c>
      <c r="G6" s="1">
        <v>2400039923</v>
      </c>
      <c r="H6" s="1">
        <v>12</v>
      </c>
      <c r="I6" s="1" t="s">
        <v>399</v>
      </c>
      <c r="J6" t="s">
        <v>11159</v>
      </c>
    </row>
    <row r="7" spans="1:10">
      <c r="A7" s="1">
        <v>467639</v>
      </c>
      <c r="B7" s="1">
        <v>4140900222</v>
      </c>
      <c r="C7" s="1">
        <v>18</v>
      </c>
      <c r="D7" s="1" t="s">
        <v>18</v>
      </c>
      <c r="E7" t="s">
        <v>11160</v>
      </c>
      <c r="F7" s="1">
        <v>726323</v>
      </c>
      <c r="G7" s="1">
        <v>2400039925</v>
      </c>
      <c r="H7" s="1">
        <v>12</v>
      </c>
      <c r="I7" s="1" t="s">
        <v>399</v>
      </c>
      <c r="J7" t="s">
        <v>11161</v>
      </c>
    </row>
    <row r="8" spans="1:10">
      <c r="A8" s="1">
        <v>748590</v>
      </c>
      <c r="B8" s="1">
        <v>4140900221</v>
      </c>
      <c r="C8" s="1">
        <v>18</v>
      </c>
      <c r="D8" s="1" t="s">
        <v>15</v>
      </c>
      <c r="E8" t="s">
        <v>11162</v>
      </c>
      <c r="F8" s="1">
        <v>726331</v>
      </c>
      <c r="G8" s="1">
        <v>2400039921</v>
      </c>
      <c r="H8" s="1">
        <v>12</v>
      </c>
      <c r="I8" s="1" t="s">
        <v>399</v>
      </c>
      <c r="J8" t="s">
        <v>11163</v>
      </c>
    </row>
    <row r="9" spans="1:10">
      <c r="A9" s="1">
        <v>819011</v>
      </c>
      <c r="B9" s="1">
        <v>4140900226</v>
      </c>
      <c r="C9" s="1">
        <v>18</v>
      </c>
      <c r="D9" s="1" t="s">
        <v>31</v>
      </c>
      <c r="E9" t="s">
        <v>11164</v>
      </c>
      <c r="F9" s="1">
        <v>788802</v>
      </c>
      <c r="G9" s="1">
        <v>2400036674</v>
      </c>
      <c r="H9" s="1">
        <v>12</v>
      </c>
      <c r="I9" s="1" t="s">
        <v>399</v>
      </c>
      <c r="J9" t="s">
        <v>11165</v>
      </c>
    </row>
    <row r="10" spans="1:10">
      <c r="A10" s="1">
        <v>516617</v>
      </c>
      <c r="B10" s="1">
        <v>4140900003</v>
      </c>
      <c r="C10" s="1">
        <v>24</v>
      </c>
      <c r="D10" s="1" t="s">
        <v>397</v>
      </c>
      <c r="E10" t="s">
        <v>11166</v>
      </c>
      <c r="F10" s="1">
        <v>737213</v>
      </c>
      <c r="G10" s="1">
        <v>2400036678</v>
      </c>
      <c r="H10" s="1">
        <v>12</v>
      </c>
      <c r="I10" s="1" t="s">
        <v>399</v>
      </c>
      <c r="J10" t="s">
        <v>11167</v>
      </c>
    </row>
    <row r="11" spans="1:10">
      <c r="A11" s="1">
        <v>753616</v>
      </c>
      <c r="B11" s="1">
        <v>4140900238</v>
      </c>
      <c r="C11" s="1">
        <v>12</v>
      </c>
      <c r="D11" s="1" t="s">
        <v>1311</v>
      </c>
      <c r="E11" t="s">
        <v>11168</v>
      </c>
      <c r="F11" s="1">
        <v>846600</v>
      </c>
      <c r="G11" s="1">
        <v>2400003032</v>
      </c>
      <c r="H11" s="1">
        <v>12</v>
      </c>
      <c r="I11" s="1" t="s">
        <v>399</v>
      </c>
      <c r="J11" t="s">
        <v>11169</v>
      </c>
    </row>
    <row r="12" spans="1:10">
      <c r="A12" s="1">
        <v>663930</v>
      </c>
      <c r="B12" s="1">
        <v>4140900025</v>
      </c>
      <c r="C12" s="1">
        <v>24</v>
      </c>
      <c r="D12" s="1" t="s">
        <v>106</v>
      </c>
      <c r="E12" t="s">
        <v>11170</v>
      </c>
      <c r="F12" s="1">
        <v>846618</v>
      </c>
      <c r="G12" s="1">
        <v>2400003034</v>
      </c>
      <c r="H12" s="1">
        <v>12</v>
      </c>
      <c r="I12" s="1" t="s">
        <v>399</v>
      </c>
      <c r="J12" t="s">
        <v>11171</v>
      </c>
    </row>
    <row r="13" spans="1:10">
      <c r="A13" s="1">
        <v>337238</v>
      </c>
      <c r="B13" s="1">
        <v>4140900223</v>
      </c>
      <c r="C13" s="1">
        <v>144</v>
      </c>
      <c r="D13" s="1" t="s">
        <v>17</v>
      </c>
      <c r="E13" t="s">
        <v>11172</v>
      </c>
      <c r="F13" s="1">
        <v>846634</v>
      </c>
      <c r="G13" s="1">
        <v>2400003036</v>
      </c>
      <c r="H13" s="1">
        <v>12</v>
      </c>
      <c r="I13" s="1" t="s">
        <v>399</v>
      </c>
      <c r="J13" t="s">
        <v>11173</v>
      </c>
    </row>
    <row r="14" spans="1:10">
      <c r="A14" s="1">
        <v>308999</v>
      </c>
      <c r="B14" s="1">
        <v>4140900204</v>
      </c>
      <c r="C14" s="1">
        <v>18</v>
      </c>
      <c r="D14" s="1" t="s">
        <v>17</v>
      </c>
      <c r="E14" t="s">
        <v>11174</v>
      </c>
      <c r="F14" s="1">
        <v>846626</v>
      </c>
      <c r="G14" s="1">
        <v>2400003038</v>
      </c>
      <c r="H14" s="1">
        <v>12</v>
      </c>
      <c r="I14" s="1" t="s">
        <v>399</v>
      </c>
      <c r="J14" t="s">
        <v>11175</v>
      </c>
    </row>
    <row r="15" spans="1:10">
      <c r="A15" s="1">
        <v>764431</v>
      </c>
      <c r="B15" s="1">
        <v>4140901624</v>
      </c>
      <c r="C15" s="1">
        <v>12</v>
      </c>
      <c r="D15" s="1" t="s">
        <v>381</v>
      </c>
      <c r="E15" t="s">
        <v>11176</v>
      </c>
      <c r="F15" s="1">
        <v>726372</v>
      </c>
      <c r="G15" s="1">
        <v>2400000947</v>
      </c>
      <c r="H15" s="1">
        <v>6</v>
      </c>
      <c r="I15" s="1" t="s">
        <v>439</v>
      </c>
      <c r="J15" t="s">
        <v>11177</v>
      </c>
    </row>
    <row r="16" spans="1:10">
      <c r="A16" s="1">
        <v>738906</v>
      </c>
      <c r="B16" s="1">
        <v>4140900239</v>
      </c>
      <c r="C16" s="1">
        <v>18</v>
      </c>
      <c r="D16" s="1" t="s">
        <v>386</v>
      </c>
      <c r="E16" t="s">
        <v>11178</v>
      </c>
      <c r="F16" s="1">
        <v>726380</v>
      </c>
      <c r="G16" s="1">
        <v>2400000960</v>
      </c>
      <c r="H16" s="1">
        <v>6</v>
      </c>
      <c r="I16" s="1" t="s">
        <v>439</v>
      </c>
      <c r="J16" t="s">
        <v>11179</v>
      </c>
    </row>
    <row r="17" spans="1:10">
      <c r="A17" s="1">
        <v>857144</v>
      </c>
      <c r="B17" s="1">
        <v>1776600001</v>
      </c>
      <c r="C17" s="1">
        <v>12</v>
      </c>
      <c r="D17" s="1" t="s">
        <v>347</v>
      </c>
      <c r="E17" t="s">
        <v>11180</v>
      </c>
      <c r="F17" s="1">
        <v>831099</v>
      </c>
      <c r="G17" s="1">
        <v>2400000984</v>
      </c>
      <c r="H17" s="1">
        <v>12</v>
      </c>
      <c r="I17" s="1" t="s">
        <v>439</v>
      </c>
      <c r="J17" t="s">
        <v>11181</v>
      </c>
    </row>
    <row r="18" spans="1:10">
      <c r="A18" s="1">
        <v>857128</v>
      </c>
      <c r="B18" s="1">
        <v>1776600005</v>
      </c>
      <c r="C18" s="1">
        <v>12</v>
      </c>
      <c r="D18" s="1" t="s">
        <v>347</v>
      </c>
      <c r="E18" t="s">
        <v>11182</v>
      </c>
      <c r="F18" s="1">
        <v>831073</v>
      </c>
      <c r="G18" s="1">
        <v>2400000980</v>
      </c>
      <c r="H18" s="1">
        <v>12</v>
      </c>
      <c r="I18" s="1" t="s">
        <v>439</v>
      </c>
      <c r="J18" t="s">
        <v>11183</v>
      </c>
    </row>
    <row r="19" spans="1:10">
      <c r="A19" s="1">
        <v>822080</v>
      </c>
      <c r="B19" s="1">
        <v>3587860505</v>
      </c>
      <c r="C19" s="1">
        <v>12</v>
      </c>
      <c r="D19" s="1" t="s">
        <v>381</v>
      </c>
      <c r="E19" t="s">
        <v>11184</v>
      </c>
      <c r="F19" s="1">
        <v>726398</v>
      </c>
      <c r="G19" s="1">
        <v>2400039325</v>
      </c>
      <c r="H19" s="1">
        <v>6</v>
      </c>
      <c r="I19" s="1" t="s">
        <v>439</v>
      </c>
      <c r="J19" t="s">
        <v>11185</v>
      </c>
    </row>
    <row r="20" spans="1:10">
      <c r="A20" s="1">
        <v>821991</v>
      </c>
      <c r="B20" s="1">
        <v>3587860516</v>
      </c>
      <c r="C20" s="1">
        <v>12</v>
      </c>
      <c r="D20" s="1" t="s">
        <v>381</v>
      </c>
      <c r="E20" t="s">
        <v>11186</v>
      </c>
      <c r="F20" s="1">
        <v>320432</v>
      </c>
      <c r="G20" s="1">
        <v>2400036687</v>
      </c>
      <c r="H20" s="1">
        <v>6</v>
      </c>
      <c r="I20" s="1" t="s">
        <v>439</v>
      </c>
      <c r="J20" t="s">
        <v>11187</v>
      </c>
    </row>
    <row r="21" spans="1:10">
      <c r="A21" s="1">
        <v>822031</v>
      </c>
      <c r="B21" s="1">
        <v>3587860500</v>
      </c>
      <c r="C21" s="1">
        <v>12</v>
      </c>
      <c r="D21" s="1" t="s">
        <v>381</v>
      </c>
      <c r="E21" t="s">
        <v>11188</v>
      </c>
      <c r="F21" s="1">
        <v>726364</v>
      </c>
      <c r="G21" s="1">
        <v>2400039327</v>
      </c>
      <c r="H21" s="1">
        <v>12</v>
      </c>
      <c r="I21" s="1" t="s">
        <v>439</v>
      </c>
      <c r="J21" t="s">
        <v>11189</v>
      </c>
    </row>
    <row r="22" spans="1:10">
      <c r="A22" s="1">
        <v>822072</v>
      </c>
      <c r="B22" s="1">
        <v>3587860518</v>
      </c>
      <c r="C22" s="1">
        <v>12</v>
      </c>
      <c r="D22" s="1" t="s">
        <v>381</v>
      </c>
      <c r="E22" t="s">
        <v>11190</v>
      </c>
      <c r="F22" s="1">
        <v>31872</v>
      </c>
      <c r="G22" s="1">
        <v>2400036568</v>
      </c>
      <c r="H22" s="1">
        <v>6</v>
      </c>
      <c r="I22" s="1" t="s">
        <v>439</v>
      </c>
      <c r="J22" t="s">
        <v>11191</v>
      </c>
    </row>
    <row r="23" spans="1:10">
      <c r="A23" s="1">
        <v>822056</v>
      </c>
      <c r="B23" s="1">
        <v>3587860510</v>
      </c>
      <c r="C23" s="1">
        <v>12</v>
      </c>
      <c r="D23" s="1" t="s">
        <v>381</v>
      </c>
      <c r="E23" t="s">
        <v>11192</v>
      </c>
      <c r="F23" s="1">
        <v>726406</v>
      </c>
      <c r="G23" s="1">
        <v>2400039331</v>
      </c>
      <c r="H23" s="1">
        <v>12</v>
      </c>
      <c r="I23" s="1" t="s">
        <v>439</v>
      </c>
      <c r="J23" t="s">
        <v>11193</v>
      </c>
    </row>
    <row r="24" spans="1:10">
      <c r="A24" s="1">
        <v>822064</v>
      </c>
      <c r="B24" s="1">
        <v>3587860511</v>
      </c>
      <c r="C24" s="1">
        <v>12</v>
      </c>
      <c r="D24" s="1" t="s">
        <v>381</v>
      </c>
      <c r="E24" t="s">
        <v>11194</v>
      </c>
      <c r="F24" s="1">
        <v>726307</v>
      </c>
      <c r="G24" s="1">
        <v>2400039322</v>
      </c>
      <c r="H24" s="1">
        <v>6</v>
      </c>
      <c r="I24" s="1" t="s">
        <v>439</v>
      </c>
      <c r="J24" t="s">
        <v>11195</v>
      </c>
    </row>
    <row r="25" spans="1:10">
      <c r="A25" s="1">
        <v>822049</v>
      </c>
      <c r="B25" s="1">
        <v>3587860501</v>
      </c>
      <c r="C25" s="1">
        <v>12</v>
      </c>
      <c r="D25" s="1" t="s">
        <v>381</v>
      </c>
      <c r="E25" t="s">
        <v>11196</v>
      </c>
      <c r="F25" s="1">
        <v>335661</v>
      </c>
      <c r="G25" s="1">
        <v>2400036683</v>
      </c>
      <c r="H25" s="1">
        <v>12</v>
      </c>
      <c r="I25" s="1" t="s">
        <v>11197</v>
      </c>
      <c r="J25" t="s">
        <v>11198</v>
      </c>
    </row>
    <row r="26" spans="1:10">
      <c r="A26" s="1">
        <v>857136</v>
      </c>
      <c r="B26" s="1">
        <v>1776600004</v>
      </c>
      <c r="C26" s="1">
        <v>12</v>
      </c>
      <c r="D26" s="1" t="s">
        <v>347</v>
      </c>
      <c r="E26" t="s">
        <v>11199</v>
      </c>
      <c r="F26" s="1">
        <v>726299</v>
      </c>
      <c r="G26" s="1">
        <v>2400039332</v>
      </c>
      <c r="H26" s="1">
        <v>12</v>
      </c>
      <c r="I26" s="1" t="s">
        <v>439</v>
      </c>
      <c r="J26" t="s">
        <v>11200</v>
      </c>
    </row>
    <row r="27" spans="1:10">
      <c r="A27" s="1">
        <v>889055</v>
      </c>
      <c r="B27" s="1">
        <v>7020053020</v>
      </c>
      <c r="C27" s="1">
        <v>12</v>
      </c>
      <c r="D27" s="1" t="s">
        <v>546</v>
      </c>
      <c r="E27" t="s">
        <v>11201</v>
      </c>
      <c r="F27" s="1">
        <v>726356</v>
      </c>
      <c r="G27" s="1">
        <v>2400039326</v>
      </c>
      <c r="H27" s="1">
        <v>12</v>
      </c>
      <c r="I27" s="1" t="s">
        <v>439</v>
      </c>
      <c r="J27" t="s">
        <v>11202</v>
      </c>
    </row>
    <row r="28" spans="1:10">
      <c r="A28" s="1">
        <v>888495</v>
      </c>
      <c r="B28" s="1">
        <v>7020057012</v>
      </c>
      <c r="C28" s="1">
        <v>6</v>
      </c>
      <c r="D28" s="1" t="s">
        <v>259</v>
      </c>
      <c r="E28" t="s">
        <v>11203</v>
      </c>
      <c r="F28" s="1">
        <v>726281</v>
      </c>
      <c r="G28" s="1">
        <v>2400039329</v>
      </c>
      <c r="H28" s="1">
        <v>6</v>
      </c>
      <c r="I28" s="1" t="s">
        <v>3035</v>
      </c>
      <c r="J28" t="s">
        <v>11202</v>
      </c>
    </row>
    <row r="29" spans="1:10">
      <c r="A29" s="1">
        <v>822684</v>
      </c>
      <c r="B29" s="1">
        <v>7020057013</v>
      </c>
      <c r="C29" s="1">
        <v>6</v>
      </c>
      <c r="D29" s="1" t="s">
        <v>259</v>
      </c>
      <c r="E29" t="s">
        <v>11204</v>
      </c>
      <c r="F29" s="1">
        <v>726315</v>
      </c>
      <c r="G29" s="1">
        <v>2400039333</v>
      </c>
      <c r="H29" s="1">
        <v>12</v>
      </c>
      <c r="I29" s="1" t="s">
        <v>439</v>
      </c>
      <c r="J29" t="s">
        <v>11205</v>
      </c>
    </row>
    <row r="30" spans="1:10">
      <c r="A30" s="1">
        <v>873232</v>
      </c>
      <c r="B30" s="1">
        <v>7020057011</v>
      </c>
      <c r="C30" s="1">
        <v>6</v>
      </c>
      <c r="D30" s="1" t="s">
        <v>742</v>
      </c>
      <c r="E30" t="s">
        <v>11206</v>
      </c>
      <c r="F30" s="1">
        <v>759449</v>
      </c>
      <c r="G30" s="1">
        <v>2400039423</v>
      </c>
      <c r="H30" s="1">
        <v>6</v>
      </c>
      <c r="I30" s="1" t="s">
        <v>439</v>
      </c>
      <c r="J30" t="s">
        <v>11207</v>
      </c>
    </row>
    <row r="31" spans="1:10">
      <c r="A31" s="1">
        <v>884643</v>
      </c>
      <c r="B31" s="1">
        <v>7020057010</v>
      </c>
      <c r="C31" s="1">
        <v>12</v>
      </c>
      <c r="D31" s="1" t="s">
        <v>1180</v>
      </c>
      <c r="E31" t="s">
        <v>11208</v>
      </c>
      <c r="F31" s="1">
        <v>443192</v>
      </c>
      <c r="G31" s="1">
        <v>85123100173</v>
      </c>
      <c r="H31" s="1">
        <v>6</v>
      </c>
      <c r="I31" s="1" t="s">
        <v>938</v>
      </c>
      <c r="J31" t="s">
        <v>11209</v>
      </c>
    </row>
    <row r="32" spans="1:10">
      <c r="A32" s="1">
        <v>862284</v>
      </c>
      <c r="B32" s="1">
        <v>3316533339</v>
      </c>
      <c r="C32" s="1">
        <v>12</v>
      </c>
      <c r="D32" s="1" t="s">
        <v>347</v>
      </c>
      <c r="E32" t="s">
        <v>11210</v>
      </c>
      <c r="F32" s="1">
        <v>117283</v>
      </c>
      <c r="G32" s="1">
        <v>85123100163</v>
      </c>
      <c r="H32" s="1">
        <v>12</v>
      </c>
      <c r="I32" s="1" t="s">
        <v>399</v>
      </c>
      <c r="J32" t="s">
        <v>11209</v>
      </c>
    </row>
    <row r="33" spans="1:10">
      <c r="A33" s="1">
        <v>801951</v>
      </c>
      <c r="B33" s="1">
        <v>67548201000</v>
      </c>
      <c r="C33" s="1">
        <v>24</v>
      </c>
      <c r="D33" s="1" t="s">
        <v>365</v>
      </c>
      <c r="E33" t="s">
        <v>11211</v>
      </c>
      <c r="F33" s="1">
        <v>381111</v>
      </c>
      <c r="G33" s="1">
        <v>85123100171</v>
      </c>
      <c r="H33" s="1">
        <v>6</v>
      </c>
      <c r="I33" s="1" t="s">
        <v>938</v>
      </c>
      <c r="J33" t="s">
        <v>11212</v>
      </c>
    </row>
    <row r="34" spans="1:10">
      <c r="A34" s="1">
        <v>531111</v>
      </c>
      <c r="B34" s="1">
        <v>4610004200</v>
      </c>
      <c r="C34" s="1">
        <v>8</v>
      </c>
      <c r="D34" s="1" t="s">
        <v>11213</v>
      </c>
      <c r="E34" t="s">
        <v>11214</v>
      </c>
      <c r="F34" s="1">
        <v>508085</v>
      </c>
      <c r="G34" s="1">
        <v>85123100161</v>
      </c>
      <c r="H34" s="1">
        <v>12</v>
      </c>
      <c r="I34" s="1" t="s">
        <v>399</v>
      </c>
      <c r="J34" t="s">
        <v>11212</v>
      </c>
    </row>
    <row r="35" spans="1:10">
      <c r="A35" s="1">
        <v>436238</v>
      </c>
      <c r="B35" s="1">
        <v>4610004202</v>
      </c>
      <c r="C35" s="1">
        <v>8</v>
      </c>
      <c r="D35" s="1" t="s">
        <v>796</v>
      </c>
      <c r="E35" t="s">
        <v>11215</v>
      </c>
      <c r="F35" s="1">
        <v>285015</v>
      </c>
      <c r="G35" s="1">
        <v>85123100175</v>
      </c>
      <c r="H35" s="1">
        <v>6</v>
      </c>
      <c r="I35" s="1" t="s">
        <v>938</v>
      </c>
      <c r="J35" t="s">
        <v>11216</v>
      </c>
    </row>
    <row r="36" spans="1:10">
      <c r="A36" s="1">
        <v>493429</v>
      </c>
      <c r="B36" s="1">
        <v>4610004201</v>
      </c>
      <c r="C36" s="1">
        <v>8</v>
      </c>
      <c r="D36" s="1" t="s">
        <v>11213</v>
      </c>
      <c r="E36" t="s">
        <v>11217</v>
      </c>
      <c r="F36" s="1">
        <v>529792</v>
      </c>
      <c r="G36" s="1">
        <v>85123100165</v>
      </c>
      <c r="H36" s="1">
        <v>12</v>
      </c>
      <c r="I36" s="1" t="s">
        <v>399</v>
      </c>
      <c r="J36" t="s">
        <v>11216</v>
      </c>
    </row>
    <row r="37" spans="1:10">
      <c r="A37" s="1">
        <v>97113</v>
      </c>
      <c r="B37" s="1">
        <v>7096900030</v>
      </c>
      <c r="C37" s="1">
        <v>12</v>
      </c>
      <c r="D37" s="1" t="s">
        <v>399</v>
      </c>
      <c r="E37" t="s">
        <v>11218</v>
      </c>
      <c r="F37" s="1">
        <v>272062</v>
      </c>
      <c r="G37" s="1">
        <v>85123100172</v>
      </c>
      <c r="H37" s="1">
        <v>6</v>
      </c>
      <c r="I37" s="1" t="s">
        <v>938</v>
      </c>
      <c r="J37" t="s">
        <v>11219</v>
      </c>
    </row>
    <row r="38" spans="1:10">
      <c r="A38" s="1">
        <v>809558</v>
      </c>
      <c r="B38" s="1">
        <v>7523400508</v>
      </c>
      <c r="C38" s="1">
        <v>6</v>
      </c>
      <c r="D38" s="1" t="s">
        <v>1198</v>
      </c>
      <c r="E38" t="s">
        <v>11220</v>
      </c>
      <c r="F38" s="1">
        <v>394551</v>
      </c>
      <c r="G38" s="1">
        <v>85123100162</v>
      </c>
      <c r="H38" s="1">
        <v>12</v>
      </c>
      <c r="I38" s="1" t="s">
        <v>399</v>
      </c>
      <c r="J38" t="s">
        <v>11219</v>
      </c>
    </row>
    <row r="39" spans="1:10">
      <c r="A39" s="1">
        <v>852152</v>
      </c>
      <c r="B39" s="1">
        <v>7523400500</v>
      </c>
      <c r="C39" s="1">
        <v>6</v>
      </c>
      <c r="D39" s="1" t="s">
        <v>1198</v>
      </c>
      <c r="E39" t="s">
        <v>11221</v>
      </c>
      <c r="F39" s="1">
        <v>316547</v>
      </c>
      <c r="G39" s="1">
        <v>85123100174</v>
      </c>
      <c r="H39" s="1">
        <v>6</v>
      </c>
      <c r="I39" s="1" t="s">
        <v>938</v>
      </c>
      <c r="J39" t="s">
        <v>11222</v>
      </c>
    </row>
    <row r="40" spans="1:10">
      <c r="A40" s="1">
        <v>874867</v>
      </c>
      <c r="B40" s="1">
        <v>7523400501</v>
      </c>
      <c r="C40" s="1">
        <v>6</v>
      </c>
      <c r="D40" s="1" t="s">
        <v>1198</v>
      </c>
      <c r="E40" t="s">
        <v>11223</v>
      </c>
      <c r="F40" s="1">
        <v>359521</v>
      </c>
      <c r="G40" s="1">
        <v>85123100164</v>
      </c>
      <c r="H40" s="1">
        <v>12</v>
      </c>
      <c r="I40" s="1" t="s">
        <v>399</v>
      </c>
      <c r="J40" t="s">
        <v>11222</v>
      </c>
    </row>
    <row r="41" spans="1:10">
      <c r="A41" s="1">
        <v>823559</v>
      </c>
      <c r="B41" s="1">
        <v>7245788011</v>
      </c>
      <c r="C41" s="1">
        <v>6</v>
      </c>
      <c r="D41" s="1" t="s">
        <v>347</v>
      </c>
      <c r="E41" t="s">
        <v>11224</v>
      </c>
      <c r="F41" s="1">
        <v>822742</v>
      </c>
      <c r="G41" s="1">
        <v>81005101002</v>
      </c>
      <c r="H41" s="1">
        <v>6</v>
      </c>
      <c r="I41" s="1" t="s">
        <v>439</v>
      </c>
      <c r="J41" t="s">
        <v>11225</v>
      </c>
    </row>
    <row r="42" spans="1:10">
      <c r="A42" s="1">
        <v>823567</v>
      </c>
      <c r="B42" s="1">
        <v>7245788066</v>
      </c>
      <c r="C42" s="1">
        <v>6</v>
      </c>
      <c r="D42" s="1" t="s">
        <v>347</v>
      </c>
      <c r="E42" t="s">
        <v>11226</v>
      </c>
      <c r="F42" s="1">
        <v>432070</v>
      </c>
      <c r="G42" s="1">
        <v>81005101013</v>
      </c>
      <c r="H42" s="1">
        <v>12</v>
      </c>
      <c r="I42" s="1" t="s">
        <v>399</v>
      </c>
      <c r="J42" t="s">
        <v>11225</v>
      </c>
    </row>
    <row r="43" spans="1:10" ht="15.75">
      <c r="A43" s="4" t="s">
        <v>11153</v>
      </c>
      <c r="B43" s="2"/>
      <c r="C43" s="2"/>
      <c r="D43" s="2"/>
      <c r="E43" s="3"/>
      <c r="F43" s="4" t="s">
        <v>11227</v>
      </c>
      <c r="G43" s="2"/>
      <c r="H43" s="2"/>
      <c r="I43" s="2"/>
      <c r="J43" s="3"/>
    </row>
    <row r="44" spans="1:10">
      <c r="A44" s="2" t="s">
        <v>0</v>
      </c>
      <c r="B44" s="2" t="s">
        <v>1</v>
      </c>
      <c r="C44" s="2" t="s">
        <v>2</v>
      </c>
      <c r="D44" s="2" t="s">
        <v>3</v>
      </c>
      <c r="E44" s="3" t="s">
        <v>4</v>
      </c>
      <c r="F44" s="2" t="s">
        <v>0</v>
      </c>
      <c r="G44" s="2" t="s">
        <v>1</v>
      </c>
      <c r="H44" s="2" t="s">
        <v>2</v>
      </c>
      <c r="I44" s="2" t="s">
        <v>3</v>
      </c>
      <c r="J44" s="3" t="s">
        <v>4</v>
      </c>
    </row>
    <row r="45" spans="1:10">
      <c r="A45" s="1">
        <v>777599</v>
      </c>
      <c r="B45" s="1">
        <v>81005101004</v>
      </c>
      <c r="C45" s="1">
        <v>6</v>
      </c>
      <c r="D45" s="1" t="s">
        <v>439</v>
      </c>
      <c r="E45" t="s">
        <v>11228</v>
      </c>
      <c r="F45" s="1">
        <v>803726</v>
      </c>
      <c r="G45" s="1">
        <v>7146421040</v>
      </c>
      <c r="H45" s="1">
        <v>6</v>
      </c>
      <c r="I45" s="1" t="s">
        <v>11229</v>
      </c>
      <c r="J45" t="s">
        <v>11230</v>
      </c>
    </row>
    <row r="46" spans="1:10">
      <c r="A46" s="1">
        <v>267013</v>
      </c>
      <c r="B46" s="1">
        <v>81005101012</v>
      </c>
      <c r="C46" s="1">
        <v>12</v>
      </c>
      <c r="D46" s="1" t="s">
        <v>399</v>
      </c>
      <c r="E46" t="s">
        <v>11228</v>
      </c>
      <c r="F46" s="1">
        <v>822825</v>
      </c>
      <c r="G46" s="1">
        <v>7146421060</v>
      </c>
      <c r="H46" s="1">
        <v>6</v>
      </c>
      <c r="I46" s="1" t="s">
        <v>11231</v>
      </c>
      <c r="J46" t="s">
        <v>11232</v>
      </c>
    </row>
    <row r="47" spans="1:10">
      <c r="A47" s="1">
        <v>759993</v>
      </c>
      <c r="B47" s="1">
        <v>81005101003</v>
      </c>
      <c r="C47" s="1">
        <v>6</v>
      </c>
      <c r="D47" s="1" t="s">
        <v>439</v>
      </c>
      <c r="E47" t="s">
        <v>11233</v>
      </c>
      <c r="F47" s="1">
        <v>803783</v>
      </c>
      <c r="G47" s="1">
        <v>7146426060</v>
      </c>
      <c r="H47" s="1">
        <v>6</v>
      </c>
      <c r="I47" s="1" t="s">
        <v>11231</v>
      </c>
      <c r="J47" t="s">
        <v>11234</v>
      </c>
    </row>
    <row r="48" spans="1:10">
      <c r="A48" s="1">
        <v>385674</v>
      </c>
      <c r="B48" s="1">
        <v>81005101001</v>
      </c>
      <c r="C48" s="1">
        <v>6</v>
      </c>
      <c r="D48" s="1" t="s">
        <v>439</v>
      </c>
      <c r="E48" t="s">
        <v>11235</v>
      </c>
      <c r="F48" s="1">
        <v>803791</v>
      </c>
      <c r="G48" s="1">
        <v>7146426040</v>
      </c>
      <c r="H48" s="1">
        <v>6</v>
      </c>
      <c r="I48" s="1" t="s">
        <v>11229</v>
      </c>
      <c r="J48" t="s">
        <v>11234</v>
      </c>
    </row>
    <row r="49" spans="1:10">
      <c r="A49" s="1">
        <v>358077</v>
      </c>
      <c r="B49" s="1">
        <v>81005101010</v>
      </c>
      <c r="C49" s="1">
        <v>12</v>
      </c>
      <c r="D49" s="1" t="s">
        <v>399</v>
      </c>
      <c r="E49" t="s">
        <v>11235</v>
      </c>
      <c r="F49" s="1">
        <v>72181</v>
      </c>
      <c r="G49" s="1">
        <v>7146430451</v>
      </c>
      <c r="H49" s="1">
        <v>6</v>
      </c>
      <c r="I49" s="1" t="s">
        <v>11231</v>
      </c>
      <c r="J49" t="s">
        <v>11236</v>
      </c>
    </row>
    <row r="50" spans="1:10">
      <c r="A50" s="1">
        <v>503375</v>
      </c>
      <c r="B50" s="1">
        <v>81005101008</v>
      </c>
      <c r="C50" s="1">
        <v>12</v>
      </c>
      <c r="D50" s="1" t="s">
        <v>399</v>
      </c>
      <c r="E50" t="s">
        <v>11237</v>
      </c>
      <c r="F50" s="1">
        <v>414516</v>
      </c>
      <c r="G50" s="1">
        <v>7146430450</v>
      </c>
      <c r="H50" s="1">
        <v>6</v>
      </c>
      <c r="I50" s="1" t="s">
        <v>11229</v>
      </c>
      <c r="J50" t="s">
        <v>11236</v>
      </c>
    </row>
    <row r="51" spans="1:10">
      <c r="A51" s="1">
        <v>349605</v>
      </c>
      <c r="B51" s="1">
        <v>81005101000</v>
      </c>
      <c r="C51" s="1">
        <v>6</v>
      </c>
      <c r="D51" s="1" t="s">
        <v>439</v>
      </c>
      <c r="E51" t="s">
        <v>11238</v>
      </c>
      <c r="F51" s="1">
        <v>785659</v>
      </c>
      <c r="G51" s="1">
        <v>7146430051</v>
      </c>
      <c r="H51" s="1">
        <v>6</v>
      </c>
      <c r="I51" s="1" t="s">
        <v>11231</v>
      </c>
      <c r="J51" t="s">
        <v>11239</v>
      </c>
    </row>
    <row r="52" spans="1:10">
      <c r="A52" s="1">
        <v>71316</v>
      </c>
      <c r="B52" s="1">
        <v>81005101007</v>
      </c>
      <c r="C52" s="1">
        <v>12</v>
      </c>
      <c r="D52" s="1" t="s">
        <v>399</v>
      </c>
      <c r="E52" t="s">
        <v>11238</v>
      </c>
      <c r="F52" s="1">
        <v>294116</v>
      </c>
      <c r="G52" s="1">
        <v>7146430050</v>
      </c>
      <c r="H52" s="1">
        <v>6</v>
      </c>
      <c r="I52" s="1" t="s">
        <v>11229</v>
      </c>
      <c r="J52" t="s">
        <v>11239</v>
      </c>
    </row>
    <row r="53" spans="1:10">
      <c r="A53" s="1">
        <v>701235</v>
      </c>
      <c r="B53" s="1">
        <v>81005101009</v>
      </c>
      <c r="C53" s="1">
        <v>12</v>
      </c>
      <c r="D53" s="1" t="s">
        <v>399</v>
      </c>
      <c r="E53" t="s">
        <v>11240</v>
      </c>
      <c r="F53" s="1">
        <v>803767</v>
      </c>
      <c r="G53" s="1">
        <v>7146427060</v>
      </c>
      <c r="H53" s="1">
        <v>6</v>
      </c>
      <c r="I53" s="1" t="s">
        <v>11231</v>
      </c>
      <c r="J53" t="s">
        <v>11241</v>
      </c>
    </row>
    <row r="54" spans="1:10">
      <c r="A54" s="1">
        <v>410878</v>
      </c>
      <c r="B54" s="1">
        <v>81005101006</v>
      </c>
      <c r="C54" s="1">
        <v>6</v>
      </c>
      <c r="D54" s="1" t="s">
        <v>439</v>
      </c>
      <c r="E54" t="s">
        <v>11242</v>
      </c>
      <c r="F54" s="1">
        <v>803775</v>
      </c>
      <c r="G54" s="1">
        <v>7146427040</v>
      </c>
      <c r="H54" s="1">
        <v>6</v>
      </c>
      <c r="I54" s="1" t="s">
        <v>11229</v>
      </c>
      <c r="J54" t="s">
        <v>11241</v>
      </c>
    </row>
    <row r="55" spans="1:10">
      <c r="A55" s="1">
        <v>415273</v>
      </c>
      <c r="B55" s="1">
        <v>81005101011</v>
      </c>
      <c r="C55" s="1">
        <v>12</v>
      </c>
      <c r="D55" s="1" t="s">
        <v>399</v>
      </c>
      <c r="E55" t="s">
        <v>11242</v>
      </c>
      <c r="F55" s="1">
        <v>822833</v>
      </c>
      <c r="G55" s="1">
        <v>7146422060</v>
      </c>
      <c r="H55" s="1">
        <v>6</v>
      </c>
      <c r="I55" s="1" t="s">
        <v>11231</v>
      </c>
      <c r="J55" t="s">
        <v>11243</v>
      </c>
    </row>
    <row r="56" spans="1:10" ht="15.75">
      <c r="A56" s="4" t="s">
        <v>11227</v>
      </c>
      <c r="B56" s="2"/>
      <c r="C56" s="2"/>
      <c r="D56" s="2"/>
      <c r="E56" s="3"/>
      <c r="F56" s="1">
        <v>803734</v>
      </c>
      <c r="G56" s="1">
        <v>7146422040</v>
      </c>
      <c r="H56" s="1">
        <v>6</v>
      </c>
      <c r="I56" s="1" t="s">
        <v>11229</v>
      </c>
      <c r="J56" t="s">
        <v>11244</v>
      </c>
    </row>
    <row r="57" spans="1:10">
      <c r="A57" s="2" t="s">
        <v>0</v>
      </c>
      <c r="B57" s="2" t="s">
        <v>1</v>
      </c>
      <c r="C57" s="2" t="s">
        <v>2</v>
      </c>
      <c r="D57" s="2" t="s">
        <v>3</v>
      </c>
      <c r="E57" s="3" t="s">
        <v>4</v>
      </c>
      <c r="F57" s="1">
        <v>264952</v>
      </c>
      <c r="G57" s="1">
        <v>7146434353</v>
      </c>
      <c r="H57" s="1">
        <v>9</v>
      </c>
      <c r="I57" s="1" t="s">
        <v>11245</v>
      </c>
      <c r="J57" t="s">
        <v>11246</v>
      </c>
    </row>
    <row r="58" spans="1:10">
      <c r="A58" s="1">
        <v>614511</v>
      </c>
      <c r="B58" s="1">
        <v>8253000005</v>
      </c>
      <c r="C58" s="1">
        <v>6</v>
      </c>
      <c r="D58" s="1" t="s">
        <v>8319</v>
      </c>
      <c r="E58" t="s">
        <v>11247</v>
      </c>
      <c r="F58" s="1">
        <v>540922</v>
      </c>
      <c r="G58" s="1">
        <v>7146434453</v>
      </c>
      <c r="H58" s="1">
        <v>9</v>
      </c>
      <c r="I58" s="1" t="s">
        <v>11245</v>
      </c>
      <c r="J58" t="s">
        <v>11248</v>
      </c>
    </row>
    <row r="59" spans="1:10">
      <c r="A59" s="1">
        <v>743062</v>
      </c>
      <c r="B59" s="1">
        <v>2219800289</v>
      </c>
      <c r="C59" s="1">
        <v>6</v>
      </c>
      <c r="D59" s="1" t="s">
        <v>2258</v>
      </c>
      <c r="E59" t="s">
        <v>11249</v>
      </c>
      <c r="F59" s="1">
        <v>475681</v>
      </c>
      <c r="G59" s="1">
        <v>7146434053</v>
      </c>
      <c r="H59" s="1">
        <v>9</v>
      </c>
      <c r="I59" s="1" t="s">
        <v>11245</v>
      </c>
      <c r="J59" t="s">
        <v>11250</v>
      </c>
    </row>
    <row r="60" spans="1:10">
      <c r="A60" s="1">
        <v>820779</v>
      </c>
      <c r="B60" s="1">
        <v>7146428040</v>
      </c>
      <c r="C60" s="1">
        <v>6</v>
      </c>
      <c r="D60" s="1" t="s">
        <v>11229</v>
      </c>
      <c r="E60" t="s">
        <v>11251</v>
      </c>
      <c r="F60" s="1">
        <v>658526</v>
      </c>
      <c r="G60" s="1">
        <v>7146434253</v>
      </c>
      <c r="H60" s="1">
        <v>9</v>
      </c>
      <c r="I60" s="1" t="s">
        <v>11245</v>
      </c>
      <c r="J60" t="s">
        <v>11252</v>
      </c>
    </row>
    <row r="61" spans="1:10">
      <c r="A61" s="1">
        <v>492496</v>
      </c>
      <c r="B61" s="1">
        <v>7146430951</v>
      </c>
      <c r="C61" s="1">
        <v>6</v>
      </c>
      <c r="D61" s="1" t="s">
        <v>11231</v>
      </c>
      <c r="E61" t="s">
        <v>11253</v>
      </c>
      <c r="F61" s="1">
        <v>295949</v>
      </c>
      <c r="G61" s="1">
        <v>7146434553</v>
      </c>
      <c r="H61" s="1">
        <v>9</v>
      </c>
      <c r="I61" s="1" t="s">
        <v>11245</v>
      </c>
      <c r="J61" t="s">
        <v>11254</v>
      </c>
    </row>
    <row r="62" spans="1:10">
      <c r="A62" s="1">
        <v>406348</v>
      </c>
      <c r="B62" s="1">
        <v>7146430950</v>
      </c>
      <c r="C62" s="1">
        <v>6</v>
      </c>
      <c r="D62" s="1" t="s">
        <v>11229</v>
      </c>
      <c r="E62" t="s">
        <v>11253</v>
      </c>
      <c r="F62" s="1">
        <v>365338</v>
      </c>
      <c r="G62" s="1">
        <v>7146434153</v>
      </c>
      <c r="H62" s="1">
        <v>6</v>
      </c>
      <c r="I62" s="1" t="s">
        <v>11245</v>
      </c>
      <c r="J62" t="s">
        <v>11255</v>
      </c>
    </row>
    <row r="63" spans="1:10">
      <c r="A63" s="1">
        <v>820688</v>
      </c>
      <c r="B63" s="1">
        <v>7146428060</v>
      </c>
      <c r="C63" s="1">
        <v>6</v>
      </c>
      <c r="D63" s="1" t="s">
        <v>11231</v>
      </c>
      <c r="E63" t="s">
        <v>11256</v>
      </c>
      <c r="F63" s="1">
        <v>198044</v>
      </c>
      <c r="G63" s="1">
        <v>7146434053</v>
      </c>
      <c r="H63" s="1">
        <v>6</v>
      </c>
      <c r="I63" s="1" t="s">
        <v>11245</v>
      </c>
      <c r="J63" t="s">
        <v>11257</v>
      </c>
    </row>
    <row r="64" spans="1:10">
      <c r="A64" s="1">
        <v>420828</v>
      </c>
      <c r="B64" s="1">
        <v>7146430151</v>
      </c>
      <c r="C64" s="1">
        <v>6</v>
      </c>
      <c r="D64" s="1" t="s">
        <v>11231</v>
      </c>
      <c r="E64" t="s">
        <v>11258</v>
      </c>
      <c r="F64" s="1">
        <v>763011</v>
      </c>
      <c r="G64" s="1">
        <v>7146426080</v>
      </c>
      <c r="H64" s="1">
        <v>6</v>
      </c>
      <c r="I64" s="1" t="s">
        <v>3035</v>
      </c>
      <c r="J64" t="s">
        <v>11259</v>
      </c>
    </row>
    <row r="65" spans="1:10">
      <c r="A65" s="1">
        <v>329086</v>
      </c>
      <c r="B65" s="1">
        <v>7146430150</v>
      </c>
      <c r="C65" s="1">
        <v>6</v>
      </c>
      <c r="D65" s="1" t="s">
        <v>11229</v>
      </c>
      <c r="E65" t="s">
        <v>11258</v>
      </c>
      <c r="F65" s="1">
        <v>495994</v>
      </c>
      <c r="G65" s="1">
        <v>82415020146</v>
      </c>
      <c r="H65" s="1">
        <v>6</v>
      </c>
      <c r="I65" s="1" t="s">
        <v>3309</v>
      </c>
      <c r="J65" t="s">
        <v>11260</v>
      </c>
    </row>
    <row r="66" spans="1:10">
      <c r="A66" s="1">
        <v>785642</v>
      </c>
      <c r="B66" s="1">
        <v>7146430251</v>
      </c>
      <c r="C66" s="1">
        <v>6</v>
      </c>
      <c r="D66" s="1" t="s">
        <v>11231</v>
      </c>
      <c r="E66" t="s">
        <v>11261</v>
      </c>
      <c r="F66" s="1">
        <v>153239</v>
      </c>
      <c r="G66" s="1">
        <v>4140900006</v>
      </c>
      <c r="H66" s="1">
        <v>24</v>
      </c>
      <c r="I66" s="1" t="s">
        <v>106</v>
      </c>
      <c r="J66" t="s">
        <v>11262</v>
      </c>
    </row>
    <row r="67" spans="1:10">
      <c r="A67" s="1">
        <v>292359</v>
      </c>
      <c r="B67" s="1">
        <v>7146430250</v>
      </c>
      <c r="C67" s="1">
        <v>6</v>
      </c>
      <c r="D67" s="1" t="s">
        <v>11229</v>
      </c>
      <c r="E67" t="s">
        <v>11261</v>
      </c>
      <c r="F67" s="1">
        <v>516021</v>
      </c>
      <c r="G67" s="1">
        <v>4140900005</v>
      </c>
      <c r="H67" s="1">
        <v>24</v>
      </c>
      <c r="I67" s="1" t="s">
        <v>106</v>
      </c>
      <c r="J67" t="s">
        <v>11263</v>
      </c>
    </row>
    <row r="68" spans="1:10">
      <c r="A68" s="1">
        <v>221911</v>
      </c>
      <c r="B68" s="1">
        <v>7146430250</v>
      </c>
      <c r="C68" s="1">
        <v>6</v>
      </c>
      <c r="D68" s="1" t="s">
        <v>11229</v>
      </c>
      <c r="E68" t="s">
        <v>11261</v>
      </c>
      <c r="F68" s="1">
        <v>368944</v>
      </c>
      <c r="G68" s="1">
        <v>84539400000</v>
      </c>
      <c r="H68" s="1">
        <v>6</v>
      </c>
      <c r="I68" s="1" t="s">
        <v>381</v>
      </c>
      <c r="J68" t="s">
        <v>11264</v>
      </c>
    </row>
    <row r="69" spans="1:10">
      <c r="A69" s="1">
        <v>211623</v>
      </c>
      <c r="B69" s="1">
        <v>7146420080</v>
      </c>
      <c r="C69" s="1">
        <v>6</v>
      </c>
      <c r="D69" s="1" t="s">
        <v>3035</v>
      </c>
      <c r="E69" t="s">
        <v>11265</v>
      </c>
      <c r="F69" s="1">
        <v>726430</v>
      </c>
      <c r="G69" s="1">
        <v>4113070034</v>
      </c>
      <c r="H69" s="1">
        <v>6</v>
      </c>
      <c r="I69" s="1" t="s">
        <v>2258</v>
      </c>
      <c r="J69" t="s">
        <v>11266</v>
      </c>
    </row>
    <row r="70" spans="1:10">
      <c r="A70" s="1">
        <v>822817</v>
      </c>
      <c r="B70" s="1">
        <v>7146420060</v>
      </c>
      <c r="C70" s="1">
        <v>6</v>
      </c>
      <c r="D70" s="1" t="s">
        <v>11231</v>
      </c>
      <c r="E70" t="s">
        <v>11267</v>
      </c>
      <c r="F70" s="1">
        <v>726414</v>
      </c>
      <c r="G70" s="1">
        <v>4113070033</v>
      </c>
      <c r="H70" s="1">
        <v>12</v>
      </c>
      <c r="I70" s="1" t="s">
        <v>3035</v>
      </c>
      <c r="J70" t="s">
        <v>11266</v>
      </c>
    </row>
    <row r="71" spans="1:10">
      <c r="A71" s="1">
        <v>803718</v>
      </c>
      <c r="B71" s="1">
        <v>7146420040</v>
      </c>
      <c r="C71" s="1">
        <v>6</v>
      </c>
      <c r="D71" s="1" t="s">
        <v>11229</v>
      </c>
      <c r="E71" t="s">
        <v>11267</v>
      </c>
      <c r="F71" s="1">
        <v>726422</v>
      </c>
      <c r="G71" s="1">
        <v>4113070093</v>
      </c>
      <c r="H71" s="1">
        <v>9</v>
      </c>
      <c r="I71" s="1" t="s">
        <v>3035</v>
      </c>
      <c r="J71" t="s">
        <v>11268</v>
      </c>
    </row>
    <row r="72" spans="1:10">
      <c r="A72" s="1">
        <v>343178</v>
      </c>
      <c r="B72" s="1">
        <v>7146430851</v>
      </c>
      <c r="C72" s="1">
        <v>6</v>
      </c>
      <c r="D72" s="1" t="s">
        <v>11231</v>
      </c>
      <c r="E72" t="s">
        <v>11269</v>
      </c>
      <c r="F72" s="1">
        <v>873554</v>
      </c>
      <c r="G72" s="1">
        <v>7211600001</v>
      </c>
      <c r="H72" s="1">
        <v>4</v>
      </c>
      <c r="I72" s="1" t="s">
        <v>2258</v>
      </c>
      <c r="J72" t="s">
        <v>11270</v>
      </c>
    </row>
    <row r="73" spans="1:10">
      <c r="A73" s="1">
        <v>80671</v>
      </c>
      <c r="B73" s="1">
        <v>7146430850</v>
      </c>
      <c r="C73" s="1">
        <v>6</v>
      </c>
      <c r="D73" s="1" t="s">
        <v>11229</v>
      </c>
      <c r="E73" t="s">
        <v>11269</v>
      </c>
      <c r="F73" s="1">
        <v>873505</v>
      </c>
      <c r="G73" s="1">
        <v>7211600002</v>
      </c>
      <c r="H73" s="1">
        <v>6</v>
      </c>
      <c r="I73" s="1" t="s">
        <v>3035</v>
      </c>
      <c r="J73" t="s">
        <v>11270</v>
      </c>
    </row>
    <row r="74" spans="1:10">
      <c r="A74" s="1">
        <v>283366</v>
      </c>
      <c r="B74" s="1">
        <v>7146430351</v>
      </c>
      <c r="C74" s="1">
        <v>6</v>
      </c>
      <c r="D74" s="1" t="s">
        <v>11231</v>
      </c>
      <c r="E74" t="s">
        <v>11271</v>
      </c>
      <c r="F74" s="1">
        <v>224550</v>
      </c>
      <c r="G74" s="1">
        <v>7211600004</v>
      </c>
      <c r="H74" s="1">
        <v>6</v>
      </c>
      <c r="I74" s="1" t="s">
        <v>11272</v>
      </c>
      <c r="J74" t="s">
        <v>11273</v>
      </c>
    </row>
    <row r="75" spans="1:10">
      <c r="A75" s="1">
        <v>329334</v>
      </c>
      <c r="B75" s="1">
        <v>7146430350</v>
      </c>
      <c r="C75" s="1">
        <v>6</v>
      </c>
      <c r="D75" s="1" t="s">
        <v>11229</v>
      </c>
      <c r="E75" t="s">
        <v>11271</v>
      </c>
      <c r="F75" s="1">
        <v>224543</v>
      </c>
      <c r="G75" s="1">
        <v>7211600008</v>
      </c>
      <c r="H75" s="1">
        <v>6</v>
      </c>
      <c r="I75" s="1" t="s">
        <v>11272</v>
      </c>
      <c r="J75" t="s">
        <v>11274</v>
      </c>
    </row>
    <row r="76" spans="1:10">
      <c r="A76" s="1">
        <v>808659</v>
      </c>
      <c r="B76" s="1">
        <v>7146424060</v>
      </c>
      <c r="C76" s="1">
        <v>6</v>
      </c>
      <c r="D76" s="1" t="s">
        <v>11231</v>
      </c>
      <c r="E76" t="s">
        <v>11275</v>
      </c>
      <c r="F76" s="1">
        <v>155366</v>
      </c>
      <c r="G76" s="1">
        <v>8259298815</v>
      </c>
      <c r="H76" s="1">
        <v>8</v>
      </c>
      <c r="I76" s="1" t="s">
        <v>11276</v>
      </c>
      <c r="J76" t="s">
        <v>11277</v>
      </c>
    </row>
    <row r="77" spans="1:10">
      <c r="A77" s="1">
        <v>803759</v>
      </c>
      <c r="B77" s="1">
        <v>7146424040</v>
      </c>
      <c r="C77" s="1">
        <v>6</v>
      </c>
      <c r="D77" s="1" t="s">
        <v>11229</v>
      </c>
      <c r="E77" t="s">
        <v>11278</v>
      </c>
      <c r="F77" s="1">
        <v>151282</v>
      </c>
      <c r="G77" s="1">
        <v>8259292215</v>
      </c>
      <c r="H77" s="1">
        <v>9</v>
      </c>
      <c r="I77" s="1" t="s">
        <v>1426</v>
      </c>
      <c r="J77" t="s">
        <v>11279</v>
      </c>
    </row>
    <row r="78" spans="1:10">
      <c r="A78" s="1">
        <v>516914</v>
      </c>
      <c r="B78" s="1">
        <v>7146424080</v>
      </c>
      <c r="C78" s="1">
        <v>6</v>
      </c>
      <c r="D78" s="1" t="s">
        <v>3035</v>
      </c>
      <c r="E78" t="s">
        <v>11278</v>
      </c>
      <c r="F78" s="1">
        <v>353953</v>
      </c>
      <c r="G78" s="1">
        <v>8259292215</v>
      </c>
      <c r="H78" s="1">
        <v>8</v>
      </c>
      <c r="I78" s="1" t="s">
        <v>11276</v>
      </c>
      <c r="J78" t="s">
        <v>11279</v>
      </c>
    </row>
    <row r="79" spans="1:10">
      <c r="A79" s="1">
        <v>132548</v>
      </c>
      <c r="B79" s="1">
        <v>7146430550</v>
      </c>
      <c r="C79" s="1">
        <v>6</v>
      </c>
      <c r="D79" s="1" t="s">
        <v>11229</v>
      </c>
      <c r="E79" t="s">
        <v>11280</v>
      </c>
      <c r="F79" s="1">
        <v>875203</v>
      </c>
      <c r="G79" s="1">
        <v>8259272715</v>
      </c>
      <c r="H79" s="1">
        <v>9</v>
      </c>
      <c r="I79" s="1" t="s">
        <v>1426</v>
      </c>
      <c r="J79" t="s">
        <v>11281</v>
      </c>
    </row>
    <row r="80" spans="1:10">
      <c r="A80" s="1">
        <v>803809</v>
      </c>
      <c r="B80" s="1">
        <v>7146429060</v>
      </c>
      <c r="C80" s="1">
        <v>6</v>
      </c>
      <c r="D80" s="1" t="s">
        <v>11231</v>
      </c>
      <c r="E80" t="s">
        <v>11282</v>
      </c>
      <c r="F80" s="1">
        <v>123489</v>
      </c>
      <c r="G80" s="1">
        <v>8259272715</v>
      </c>
      <c r="H80" s="1">
        <v>8</v>
      </c>
      <c r="I80" s="1" t="s">
        <v>11276</v>
      </c>
      <c r="J80" t="s">
        <v>11281</v>
      </c>
    </row>
    <row r="81" spans="1:10">
      <c r="A81" s="1">
        <v>803825</v>
      </c>
      <c r="B81" s="1">
        <v>7146429040</v>
      </c>
      <c r="C81" s="1">
        <v>6</v>
      </c>
      <c r="D81" s="1" t="s">
        <v>11229</v>
      </c>
      <c r="E81" t="s">
        <v>11282</v>
      </c>
      <c r="F81" s="1">
        <v>357483</v>
      </c>
      <c r="G81" s="1">
        <v>8259273315</v>
      </c>
      <c r="H81" s="1">
        <v>9</v>
      </c>
      <c r="I81" s="1" t="s">
        <v>1426</v>
      </c>
      <c r="J81" t="s">
        <v>11283</v>
      </c>
    </row>
    <row r="82" spans="1:10">
      <c r="A82" s="1">
        <v>822841</v>
      </c>
      <c r="B82" s="1">
        <v>7146425060</v>
      </c>
      <c r="C82" s="1">
        <v>6</v>
      </c>
      <c r="D82" s="1" t="s">
        <v>11231</v>
      </c>
      <c r="E82" t="s">
        <v>11284</v>
      </c>
      <c r="F82" s="1">
        <v>538363</v>
      </c>
      <c r="G82" s="1">
        <v>8259273315</v>
      </c>
      <c r="H82" s="1">
        <v>8</v>
      </c>
      <c r="I82" s="1" t="s">
        <v>11276</v>
      </c>
      <c r="J82" t="s">
        <v>11283</v>
      </c>
    </row>
    <row r="83" spans="1:10">
      <c r="A83" s="1">
        <v>803742</v>
      </c>
      <c r="B83" s="1">
        <v>7146425040</v>
      </c>
      <c r="C83" s="1">
        <v>6</v>
      </c>
      <c r="D83" s="1" t="s">
        <v>11229</v>
      </c>
      <c r="E83" t="s">
        <v>11284</v>
      </c>
      <c r="F83" s="1">
        <v>191320</v>
      </c>
      <c r="G83" s="1">
        <v>8259272015</v>
      </c>
      <c r="H83" s="1">
        <v>8</v>
      </c>
      <c r="I83" s="1" t="s">
        <v>11276</v>
      </c>
      <c r="J83" t="s">
        <v>11285</v>
      </c>
    </row>
    <row r="84" spans="1:10" ht="15.75">
      <c r="A84" s="4" t="s">
        <v>11227</v>
      </c>
      <c r="B84" s="2"/>
      <c r="C84" s="2"/>
      <c r="D84" s="2"/>
      <c r="E84" s="3"/>
      <c r="F84" s="4" t="s">
        <v>11227</v>
      </c>
      <c r="G84" s="2"/>
      <c r="H84" s="2"/>
      <c r="I84" s="2"/>
      <c r="J84" s="3"/>
    </row>
    <row r="85" spans="1:10">
      <c r="A85" s="2" t="s">
        <v>0</v>
      </c>
      <c r="B85" s="2" t="s">
        <v>1</v>
      </c>
      <c r="C85" s="2" t="s">
        <v>2</v>
      </c>
      <c r="D85" s="2" t="s">
        <v>3</v>
      </c>
      <c r="E85" s="3" t="s">
        <v>4</v>
      </c>
      <c r="F85" s="2" t="s">
        <v>0</v>
      </c>
      <c r="G85" s="2" t="s">
        <v>1</v>
      </c>
      <c r="H85" s="2" t="s">
        <v>2</v>
      </c>
      <c r="I85" s="2" t="s">
        <v>3</v>
      </c>
      <c r="J85" s="3" t="s">
        <v>4</v>
      </c>
    </row>
    <row r="86" spans="1:10">
      <c r="A86" s="1">
        <v>23853</v>
      </c>
      <c r="B86" s="1">
        <v>8259266015</v>
      </c>
      <c r="C86" s="1">
        <v>9</v>
      </c>
      <c r="D86" s="1" t="s">
        <v>1426</v>
      </c>
      <c r="E86" t="s">
        <v>11286</v>
      </c>
      <c r="F86" s="1">
        <v>410860</v>
      </c>
      <c r="G86" s="1">
        <v>8253000002</v>
      </c>
      <c r="H86" s="1">
        <v>9</v>
      </c>
      <c r="I86" s="1" t="s">
        <v>3035</v>
      </c>
      <c r="J86" t="s">
        <v>11287</v>
      </c>
    </row>
    <row r="87" spans="1:10">
      <c r="A87" s="1">
        <v>820258</v>
      </c>
      <c r="B87" s="1">
        <v>8259266015</v>
      </c>
      <c r="C87" s="1">
        <v>8</v>
      </c>
      <c r="D87" s="1" t="s">
        <v>11276</v>
      </c>
      <c r="E87" t="s">
        <v>11286</v>
      </c>
      <c r="F87" s="1">
        <v>887505</v>
      </c>
      <c r="G87" s="1">
        <v>3425600128</v>
      </c>
      <c r="H87" s="1">
        <v>4</v>
      </c>
      <c r="I87" s="1" t="s">
        <v>2258</v>
      </c>
      <c r="J87" t="s">
        <v>11288</v>
      </c>
    </row>
    <row r="88" spans="1:10">
      <c r="A88" s="1">
        <v>410498</v>
      </c>
      <c r="B88" s="1">
        <v>8259292015</v>
      </c>
      <c r="C88" s="1">
        <v>8</v>
      </c>
      <c r="D88" s="1" t="s">
        <v>11276</v>
      </c>
      <c r="E88" t="s">
        <v>11289</v>
      </c>
      <c r="F88" s="1">
        <v>873182</v>
      </c>
      <c r="G88" s="1">
        <v>3425600064</v>
      </c>
      <c r="H88" s="1">
        <v>9</v>
      </c>
      <c r="I88" s="1" t="s">
        <v>3035</v>
      </c>
      <c r="J88" t="s">
        <v>11288</v>
      </c>
    </row>
    <row r="89" spans="1:10">
      <c r="A89" s="1">
        <v>537431</v>
      </c>
      <c r="B89" s="1">
        <v>8259291715</v>
      </c>
      <c r="C89" s="1">
        <v>9</v>
      </c>
      <c r="D89" s="1" t="s">
        <v>1426</v>
      </c>
      <c r="E89" t="s">
        <v>11290</v>
      </c>
      <c r="F89" s="1">
        <v>873208</v>
      </c>
      <c r="G89" s="1">
        <v>3425625128</v>
      </c>
      <c r="H89" s="1">
        <v>4</v>
      </c>
      <c r="I89" s="1" t="s">
        <v>2258</v>
      </c>
      <c r="J89" t="s">
        <v>11291</v>
      </c>
    </row>
    <row r="90" spans="1:10">
      <c r="A90" s="1">
        <v>177394</v>
      </c>
      <c r="B90" s="1">
        <v>8259291715</v>
      </c>
      <c r="C90" s="1">
        <v>8</v>
      </c>
      <c r="D90" s="1" t="s">
        <v>11276</v>
      </c>
      <c r="E90" t="s">
        <v>11290</v>
      </c>
      <c r="F90" s="1">
        <v>180885</v>
      </c>
      <c r="G90" s="1">
        <v>3425654032</v>
      </c>
      <c r="H90" s="1">
        <v>6</v>
      </c>
      <c r="I90" s="1" t="s">
        <v>375</v>
      </c>
      <c r="J90" t="s">
        <v>11292</v>
      </c>
    </row>
    <row r="91" spans="1:10">
      <c r="A91" s="1">
        <v>278952</v>
      </c>
      <c r="B91" s="1">
        <v>8259272215</v>
      </c>
      <c r="C91" s="1">
        <v>8</v>
      </c>
      <c r="D91" s="1" t="s">
        <v>11276</v>
      </c>
      <c r="E91" t="s">
        <v>11293</v>
      </c>
      <c r="F91" s="1">
        <v>888800</v>
      </c>
      <c r="G91" s="1">
        <v>3425616064</v>
      </c>
      <c r="H91" s="1">
        <v>9</v>
      </c>
      <c r="I91" s="1" t="s">
        <v>3035</v>
      </c>
      <c r="J91" t="s">
        <v>11294</v>
      </c>
    </row>
    <row r="92" spans="1:10">
      <c r="A92" s="1">
        <v>386151</v>
      </c>
      <c r="B92" s="1">
        <v>8259272615</v>
      </c>
      <c r="C92" s="1">
        <v>9</v>
      </c>
      <c r="D92" s="1" t="s">
        <v>1426</v>
      </c>
      <c r="E92" t="s">
        <v>11295</v>
      </c>
      <c r="F92" s="1">
        <v>876680</v>
      </c>
      <c r="G92" s="1">
        <v>3425626064</v>
      </c>
      <c r="H92" s="1">
        <v>9</v>
      </c>
      <c r="I92" s="1" t="s">
        <v>3035</v>
      </c>
      <c r="J92" t="s">
        <v>11296</v>
      </c>
    </row>
    <row r="93" spans="1:10">
      <c r="A93" s="1">
        <v>236893</v>
      </c>
      <c r="B93" s="1">
        <v>8259272615</v>
      </c>
      <c r="C93" s="1">
        <v>8</v>
      </c>
      <c r="D93" s="1" t="s">
        <v>11276</v>
      </c>
      <c r="E93" t="s">
        <v>11295</v>
      </c>
      <c r="F93" s="1">
        <v>412817</v>
      </c>
      <c r="G93" s="1">
        <v>3425640016</v>
      </c>
      <c r="H93" s="1">
        <v>12</v>
      </c>
      <c r="I93" s="1" t="s">
        <v>381</v>
      </c>
      <c r="J93" t="s">
        <v>11297</v>
      </c>
    </row>
    <row r="94" spans="1:10">
      <c r="A94" s="1">
        <v>174672</v>
      </c>
      <c r="B94" s="1">
        <v>8259219415</v>
      </c>
      <c r="C94" s="1">
        <v>8</v>
      </c>
      <c r="D94" s="1" t="s">
        <v>11276</v>
      </c>
      <c r="E94" t="s">
        <v>11298</v>
      </c>
      <c r="F94" s="1">
        <v>873331</v>
      </c>
      <c r="G94" s="1">
        <v>3425670064</v>
      </c>
      <c r="H94" s="1">
        <v>9</v>
      </c>
      <c r="I94" s="1" t="s">
        <v>3035</v>
      </c>
      <c r="J94" t="s">
        <v>11299</v>
      </c>
    </row>
    <row r="95" spans="1:10">
      <c r="A95" s="1">
        <v>130393</v>
      </c>
      <c r="B95" s="1">
        <v>8259219415</v>
      </c>
      <c r="C95" s="1">
        <v>9</v>
      </c>
      <c r="D95" s="1" t="s">
        <v>1426</v>
      </c>
      <c r="E95" t="s">
        <v>11300</v>
      </c>
      <c r="F95" s="1">
        <v>568923</v>
      </c>
      <c r="G95" s="1">
        <v>3425641016</v>
      </c>
      <c r="H95" s="1">
        <v>12</v>
      </c>
      <c r="I95" s="1" t="s">
        <v>381</v>
      </c>
      <c r="J95" t="s">
        <v>11301</v>
      </c>
    </row>
    <row r="96" spans="1:10">
      <c r="A96" s="1">
        <v>574764</v>
      </c>
      <c r="B96" s="1">
        <v>8259292115</v>
      </c>
      <c r="C96" s="1">
        <v>8</v>
      </c>
      <c r="D96" s="1" t="s">
        <v>11276</v>
      </c>
      <c r="E96" t="s">
        <v>11302</v>
      </c>
      <c r="F96" s="1">
        <v>653352</v>
      </c>
      <c r="G96" s="1">
        <v>3425642016</v>
      </c>
      <c r="H96" s="1">
        <v>12</v>
      </c>
      <c r="I96" s="1" t="s">
        <v>381</v>
      </c>
      <c r="J96" t="s">
        <v>11303</v>
      </c>
    </row>
    <row r="97" spans="1:10">
      <c r="A97" s="1">
        <v>311639</v>
      </c>
      <c r="B97" s="1">
        <v>8259272215</v>
      </c>
      <c r="C97" s="1">
        <v>9</v>
      </c>
      <c r="D97" s="1" t="s">
        <v>1426</v>
      </c>
      <c r="E97" t="s">
        <v>11304</v>
      </c>
      <c r="F97" s="1">
        <v>167957</v>
      </c>
      <c r="G97" s="1">
        <v>3425643016</v>
      </c>
      <c r="H97" s="1">
        <v>12</v>
      </c>
      <c r="I97" s="1" t="s">
        <v>381</v>
      </c>
      <c r="J97" t="s">
        <v>11305</v>
      </c>
    </row>
    <row r="98" spans="1:10">
      <c r="A98" s="1">
        <v>802447</v>
      </c>
      <c r="B98" s="1">
        <v>63900143344</v>
      </c>
      <c r="C98" s="1">
        <v>6</v>
      </c>
      <c r="D98" s="1" t="s">
        <v>375</v>
      </c>
      <c r="E98" t="s">
        <v>11306</v>
      </c>
      <c r="F98" s="1">
        <v>873190</v>
      </c>
      <c r="G98" s="1">
        <v>3425625128</v>
      </c>
      <c r="H98" s="1">
        <v>4</v>
      </c>
      <c r="I98" s="1" t="s">
        <v>2258</v>
      </c>
      <c r="J98" t="s">
        <v>11307</v>
      </c>
    </row>
    <row r="99" spans="1:10">
      <c r="A99" s="1">
        <v>381772</v>
      </c>
      <c r="B99" s="1">
        <v>63900143284</v>
      </c>
      <c r="C99" s="1">
        <v>6</v>
      </c>
      <c r="D99" s="1" t="s">
        <v>375</v>
      </c>
      <c r="E99" t="s">
        <v>11308</v>
      </c>
      <c r="F99" s="1">
        <v>100032</v>
      </c>
      <c r="G99" s="1">
        <v>3425651032</v>
      </c>
      <c r="H99" s="1">
        <v>6</v>
      </c>
      <c r="I99" s="1" t="s">
        <v>375</v>
      </c>
      <c r="J99" t="s">
        <v>11309</v>
      </c>
    </row>
    <row r="100" spans="1:10">
      <c r="A100" s="1">
        <v>388348</v>
      </c>
      <c r="B100" s="1">
        <v>63900143288</v>
      </c>
      <c r="C100" s="1">
        <v>12</v>
      </c>
      <c r="D100" s="1" t="s">
        <v>347</v>
      </c>
      <c r="E100" t="s">
        <v>11310</v>
      </c>
      <c r="F100" s="1">
        <v>826891</v>
      </c>
      <c r="G100" s="1">
        <v>3425605044</v>
      </c>
      <c r="H100" s="1">
        <v>24</v>
      </c>
      <c r="I100" s="1" t="s">
        <v>203</v>
      </c>
      <c r="J100" t="s">
        <v>11311</v>
      </c>
    </row>
    <row r="101" spans="1:10">
      <c r="A101" s="1">
        <v>16337</v>
      </c>
      <c r="B101" s="1">
        <v>63900143228</v>
      </c>
      <c r="C101" s="1">
        <v>6</v>
      </c>
      <c r="D101" s="1" t="s">
        <v>375</v>
      </c>
      <c r="E101" t="s">
        <v>11312</v>
      </c>
      <c r="F101" s="1">
        <v>254706</v>
      </c>
      <c r="G101" s="1">
        <v>3425654016</v>
      </c>
      <c r="H101" s="1">
        <v>12</v>
      </c>
      <c r="I101" s="1" t="s">
        <v>381</v>
      </c>
      <c r="J101" t="s">
        <v>11313</v>
      </c>
    </row>
    <row r="102" spans="1:10">
      <c r="A102" s="1">
        <v>347542</v>
      </c>
      <c r="B102" s="1">
        <v>63900143257</v>
      </c>
      <c r="C102" s="1">
        <v>6</v>
      </c>
      <c r="D102" s="1" t="s">
        <v>375</v>
      </c>
      <c r="E102" t="s">
        <v>11314</v>
      </c>
      <c r="F102" s="1">
        <v>449264</v>
      </c>
      <c r="G102" s="1">
        <v>3425651016</v>
      </c>
      <c r="H102" s="1">
        <v>12</v>
      </c>
      <c r="I102" s="1" t="s">
        <v>381</v>
      </c>
      <c r="J102" t="s">
        <v>11315</v>
      </c>
    </row>
    <row r="103" spans="1:10">
      <c r="A103" s="1">
        <v>295709</v>
      </c>
      <c r="B103" s="1">
        <v>82415022014</v>
      </c>
      <c r="C103" s="1">
        <v>6</v>
      </c>
      <c r="D103" s="1" t="s">
        <v>1180</v>
      </c>
      <c r="E103" t="s">
        <v>11316</v>
      </c>
      <c r="F103" s="1">
        <v>410381</v>
      </c>
      <c r="G103" s="1">
        <v>3425630064</v>
      </c>
      <c r="H103" s="1">
        <v>9</v>
      </c>
      <c r="I103" s="1" t="s">
        <v>3035</v>
      </c>
      <c r="J103" t="s">
        <v>11317</v>
      </c>
    </row>
    <row r="104" spans="1:10">
      <c r="A104" s="1">
        <v>363432</v>
      </c>
      <c r="B104" s="1">
        <v>82415042016</v>
      </c>
      <c r="C104" s="1">
        <v>6</v>
      </c>
      <c r="D104" s="1" t="s">
        <v>381</v>
      </c>
      <c r="E104" t="s">
        <v>11316</v>
      </c>
      <c r="F104" s="1">
        <v>159673</v>
      </c>
      <c r="G104" s="1">
        <v>3425658016</v>
      </c>
      <c r="H104" s="1">
        <v>12</v>
      </c>
      <c r="I104" s="1" t="s">
        <v>381</v>
      </c>
      <c r="J104" t="s">
        <v>11318</v>
      </c>
    </row>
    <row r="105" spans="1:10">
      <c r="A105" s="1">
        <v>295550</v>
      </c>
      <c r="B105" s="1">
        <v>82415022214</v>
      </c>
      <c r="C105" s="1">
        <v>6</v>
      </c>
      <c r="D105" s="1" t="s">
        <v>1180</v>
      </c>
      <c r="E105" t="s">
        <v>11319</v>
      </c>
      <c r="F105" s="1">
        <v>821710</v>
      </c>
      <c r="G105" s="1">
        <v>3425628064</v>
      </c>
      <c r="H105" s="1">
        <v>9</v>
      </c>
      <c r="I105" s="1" t="s">
        <v>3035</v>
      </c>
      <c r="J105" t="s">
        <v>11320</v>
      </c>
    </row>
    <row r="106" spans="1:10">
      <c r="A106" s="1">
        <v>464099</v>
      </c>
      <c r="B106" s="1">
        <v>82415042216</v>
      </c>
      <c r="C106" s="1">
        <v>6</v>
      </c>
      <c r="D106" s="1" t="s">
        <v>381</v>
      </c>
      <c r="E106" t="s">
        <v>11321</v>
      </c>
      <c r="F106" s="1">
        <v>826057</v>
      </c>
      <c r="G106" s="1">
        <v>3425657016</v>
      </c>
      <c r="H106" s="1">
        <v>12</v>
      </c>
      <c r="I106" s="1" t="s">
        <v>381</v>
      </c>
      <c r="J106" t="s">
        <v>11322</v>
      </c>
    </row>
    <row r="107" spans="1:10" ht="15.75">
      <c r="A107" s="1">
        <v>294538</v>
      </c>
      <c r="B107" s="1">
        <v>82415022114</v>
      </c>
      <c r="C107" s="1">
        <v>6</v>
      </c>
      <c r="D107" s="1" t="s">
        <v>1180</v>
      </c>
      <c r="E107" t="s">
        <v>11323</v>
      </c>
      <c r="F107" s="4" t="s">
        <v>11324</v>
      </c>
      <c r="G107" s="2"/>
      <c r="H107" s="2"/>
      <c r="I107" s="2"/>
      <c r="J107" s="3"/>
    </row>
    <row r="108" spans="1:10">
      <c r="A108" s="1">
        <v>745950</v>
      </c>
      <c r="B108" s="1">
        <v>82415042116</v>
      </c>
      <c r="C108" s="1">
        <v>6</v>
      </c>
      <c r="D108" s="1" t="s">
        <v>381</v>
      </c>
      <c r="E108" t="s">
        <v>11323</v>
      </c>
      <c r="F108" s="2" t="s">
        <v>0</v>
      </c>
      <c r="G108" s="2" t="s">
        <v>1</v>
      </c>
      <c r="H108" s="2" t="s">
        <v>2</v>
      </c>
      <c r="I108" s="2" t="s">
        <v>3</v>
      </c>
      <c r="J108" s="3" t="s">
        <v>4</v>
      </c>
    </row>
    <row r="109" spans="1:10">
      <c r="A109" s="1">
        <v>487066</v>
      </c>
      <c r="B109" s="1">
        <v>82415042316</v>
      </c>
      <c r="C109" s="1">
        <v>6</v>
      </c>
      <c r="D109" s="1" t="s">
        <v>381</v>
      </c>
      <c r="E109" t="s">
        <v>11325</v>
      </c>
      <c r="F109" s="1">
        <v>834697</v>
      </c>
      <c r="G109" s="1">
        <v>7104113636</v>
      </c>
      <c r="H109" s="1">
        <v>5</v>
      </c>
      <c r="I109" s="1" t="s">
        <v>11326</v>
      </c>
      <c r="J109" t="s">
        <v>11327</v>
      </c>
    </row>
    <row r="110" spans="1:10">
      <c r="A110" s="1">
        <v>294124</v>
      </c>
      <c r="B110" s="1">
        <v>82415022314</v>
      </c>
      <c r="C110" s="1">
        <v>6</v>
      </c>
      <c r="D110" s="1" t="s">
        <v>1180</v>
      </c>
      <c r="E110" t="s">
        <v>11328</v>
      </c>
      <c r="F110" s="1">
        <v>823906</v>
      </c>
      <c r="G110" s="1">
        <v>7104100026</v>
      </c>
      <c r="H110" s="1">
        <v>1</v>
      </c>
      <c r="I110" s="1" t="s">
        <v>448</v>
      </c>
      <c r="J110" t="s">
        <v>11329</v>
      </c>
    </row>
    <row r="111" spans="1:10">
      <c r="A111" s="1">
        <v>811364</v>
      </c>
      <c r="B111" s="1">
        <v>82415040416</v>
      </c>
      <c r="C111" s="1">
        <v>6</v>
      </c>
      <c r="D111" s="1" t="s">
        <v>381</v>
      </c>
      <c r="E111" t="s">
        <v>11330</v>
      </c>
      <c r="F111" s="1">
        <v>823898</v>
      </c>
      <c r="G111" s="1">
        <v>7104111124</v>
      </c>
      <c r="H111" s="1">
        <v>24</v>
      </c>
      <c r="I111" s="1" t="s">
        <v>399</v>
      </c>
      <c r="J111" t="s">
        <v>11331</v>
      </c>
    </row>
    <row r="112" spans="1:10">
      <c r="A112" s="1">
        <v>811356</v>
      </c>
      <c r="B112" s="1">
        <v>82415040516</v>
      </c>
      <c r="C112" s="1">
        <v>6</v>
      </c>
      <c r="D112" s="1" t="s">
        <v>381</v>
      </c>
      <c r="E112" t="s">
        <v>11332</v>
      </c>
      <c r="F112" s="1">
        <v>746305</v>
      </c>
      <c r="G112" s="1">
        <v>3425665016</v>
      </c>
      <c r="H112" s="1">
        <v>12</v>
      </c>
      <c r="I112" s="1" t="s">
        <v>381</v>
      </c>
      <c r="J112" t="s">
        <v>11333</v>
      </c>
    </row>
    <row r="113" spans="1:10">
      <c r="A113" s="1">
        <v>811307</v>
      </c>
      <c r="B113" s="1">
        <v>82415060216</v>
      </c>
      <c r="C113" s="1">
        <v>6</v>
      </c>
      <c r="D113" s="1" t="s">
        <v>381</v>
      </c>
      <c r="E113" t="s">
        <v>11334</v>
      </c>
      <c r="F113" s="1">
        <v>296327</v>
      </c>
      <c r="G113" s="1">
        <v>3425665064</v>
      </c>
      <c r="H113" s="1">
        <v>9</v>
      </c>
      <c r="I113" s="1" t="s">
        <v>3035</v>
      </c>
      <c r="J113" t="s">
        <v>11333</v>
      </c>
    </row>
    <row r="114" spans="1:10">
      <c r="A114" s="1">
        <v>811349</v>
      </c>
      <c r="B114" s="1">
        <v>82415040316</v>
      </c>
      <c r="C114" s="1">
        <v>6</v>
      </c>
      <c r="D114" s="1" t="s">
        <v>381</v>
      </c>
      <c r="E114" t="s">
        <v>11335</v>
      </c>
      <c r="F114" s="1">
        <v>784132</v>
      </c>
      <c r="G114" s="1">
        <v>3425664016</v>
      </c>
      <c r="H114" s="1">
        <v>12</v>
      </c>
      <c r="I114" s="1" t="s">
        <v>381</v>
      </c>
      <c r="J114" t="s">
        <v>11336</v>
      </c>
    </row>
    <row r="115" spans="1:10">
      <c r="A115" s="1">
        <v>826404</v>
      </c>
      <c r="B115" s="1">
        <v>2415040124</v>
      </c>
      <c r="C115" s="1">
        <v>6</v>
      </c>
      <c r="D115" s="1" t="s">
        <v>439</v>
      </c>
      <c r="E115" t="s">
        <v>11337</v>
      </c>
      <c r="F115" s="1">
        <v>296103</v>
      </c>
      <c r="G115" s="1">
        <v>3425664064</v>
      </c>
      <c r="H115" s="1">
        <v>9</v>
      </c>
      <c r="I115" s="1" t="s">
        <v>3035</v>
      </c>
      <c r="J115" t="s">
        <v>11336</v>
      </c>
    </row>
    <row r="116" spans="1:10">
      <c r="A116" s="1">
        <v>250654</v>
      </c>
      <c r="B116" s="1">
        <v>82415040148</v>
      </c>
      <c r="C116" s="1">
        <v>6</v>
      </c>
      <c r="D116" s="1" t="s">
        <v>865</v>
      </c>
      <c r="E116" t="s">
        <v>11338</v>
      </c>
      <c r="F116" s="1">
        <v>212290</v>
      </c>
      <c r="G116" s="1">
        <v>3425613016</v>
      </c>
      <c r="H116" s="1">
        <v>12</v>
      </c>
      <c r="I116" s="1" t="s">
        <v>381</v>
      </c>
      <c r="J116" t="s">
        <v>11339</v>
      </c>
    </row>
    <row r="117" spans="1:10">
      <c r="A117" s="1">
        <v>811299</v>
      </c>
      <c r="B117" s="1">
        <v>82415040116</v>
      </c>
      <c r="C117" s="1">
        <v>6</v>
      </c>
      <c r="D117" s="1" t="s">
        <v>381</v>
      </c>
      <c r="E117" t="s">
        <v>11340</v>
      </c>
      <c r="F117" s="1">
        <v>544411</v>
      </c>
      <c r="G117" s="1">
        <v>3425680016</v>
      </c>
      <c r="H117" s="1">
        <v>12</v>
      </c>
      <c r="I117" s="1" t="s">
        <v>381</v>
      </c>
      <c r="J117" t="s">
        <v>11341</v>
      </c>
    </row>
    <row r="118" spans="1:10">
      <c r="A118" s="1">
        <v>822023</v>
      </c>
      <c r="B118" s="1">
        <v>7587900007</v>
      </c>
      <c r="C118" s="1">
        <v>24</v>
      </c>
      <c r="D118" s="1" t="s">
        <v>397</v>
      </c>
      <c r="E118" t="s">
        <v>11342</v>
      </c>
      <c r="F118" s="1">
        <v>224097</v>
      </c>
      <c r="G118" s="1">
        <v>3425666064</v>
      </c>
      <c r="H118" s="1">
        <v>9</v>
      </c>
      <c r="I118" s="1" t="s">
        <v>3035</v>
      </c>
      <c r="J118" t="s">
        <v>11343</v>
      </c>
    </row>
    <row r="119" spans="1:10">
      <c r="A119" s="1">
        <v>426056</v>
      </c>
      <c r="B119" s="1">
        <v>85779400104</v>
      </c>
      <c r="C119" s="1">
        <v>6</v>
      </c>
      <c r="D119" s="1" t="s">
        <v>375</v>
      </c>
      <c r="E119" t="s">
        <v>11344</v>
      </c>
      <c r="F119" s="1">
        <v>821793</v>
      </c>
      <c r="G119" s="1">
        <v>3425660064</v>
      </c>
      <c r="H119" s="1">
        <v>9</v>
      </c>
      <c r="I119" s="1" t="s">
        <v>3035</v>
      </c>
      <c r="J119" t="s">
        <v>11345</v>
      </c>
    </row>
    <row r="120" spans="1:10">
      <c r="A120" s="1">
        <v>421255</v>
      </c>
      <c r="B120" s="1">
        <v>85779400102</v>
      </c>
      <c r="C120" s="1">
        <v>6</v>
      </c>
      <c r="D120" s="1" t="s">
        <v>381</v>
      </c>
      <c r="E120" t="s">
        <v>11346</v>
      </c>
      <c r="F120" s="1">
        <v>823872</v>
      </c>
      <c r="G120" s="1">
        <v>3425650064</v>
      </c>
      <c r="H120" s="1">
        <v>9</v>
      </c>
      <c r="I120" s="1" t="s">
        <v>3035</v>
      </c>
      <c r="J120" t="s">
        <v>11347</v>
      </c>
    </row>
    <row r="121" spans="1:10">
      <c r="A121" s="1">
        <v>887992</v>
      </c>
      <c r="B121" s="1">
        <v>3084900005</v>
      </c>
      <c r="C121" s="1">
        <v>24</v>
      </c>
      <c r="D121" s="1" t="s">
        <v>397</v>
      </c>
      <c r="E121" t="s">
        <v>11348</v>
      </c>
      <c r="F121" s="1">
        <v>823880</v>
      </c>
      <c r="G121" s="1">
        <v>3425652064</v>
      </c>
      <c r="H121" s="1">
        <v>9</v>
      </c>
      <c r="I121" s="1" t="s">
        <v>3035</v>
      </c>
      <c r="J121" t="s">
        <v>11349</v>
      </c>
    </row>
    <row r="122" spans="1:10">
      <c r="A122" s="1">
        <v>764829</v>
      </c>
      <c r="B122" s="1">
        <v>3084900006</v>
      </c>
      <c r="C122" s="1">
        <v>24</v>
      </c>
      <c r="D122" s="1" t="s">
        <v>397</v>
      </c>
      <c r="E122" t="s">
        <v>11350</v>
      </c>
      <c r="F122" s="1">
        <v>824334</v>
      </c>
      <c r="G122" s="1">
        <v>3425663064</v>
      </c>
      <c r="H122" s="1">
        <v>9</v>
      </c>
      <c r="I122" s="1" t="s">
        <v>3035</v>
      </c>
      <c r="J122" t="s">
        <v>11351</v>
      </c>
    </row>
    <row r="123" spans="1:10">
      <c r="A123" s="1">
        <v>462481</v>
      </c>
      <c r="B123" s="1">
        <v>8253000001</v>
      </c>
      <c r="C123" s="1">
        <v>6</v>
      </c>
      <c r="D123" s="1" t="s">
        <v>8319</v>
      </c>
      <c r="E123" t="s">
        <v>11287</v>
      </c>
      <c r="F123" s="1">
        <v>824326</v>
      </c>
      <c r="G123" s="1">
        <v>3425683064</v>
      </c>
      <c r="H123" s="1">
        <v>9</v>
      </c>
      <c r="I123" s="1" t="s">
        <v>3035</v>
      </c>
      <c r="J123" t="s">
        <v>11352</v>
      </c>
    </row>
    <row r="124" spans="1:10">
      <c r="A124" s="1">
        <v>238493</v>
      </c>
      <c r="B124" s="1">
        <v>8253001000</v>
      </c>
      <c r="C124" s="1">
        <v>12</v>
      </c>
      <c r="D124" s="1" t="s">
        <v>381</v>
      </c>
      <c r="E124" t="s">
        <v>11287</v>
      </c>
      <c r="F124" s="1">
        <v>10512</v>
      </c>
      <c r="G124" s="1">
        <v>3425681064</v>
      </c>
      <c r="H124" s="1">
        <v>9</v>
      </c>
      <c r="I124" s="1" t="s">
        <v>3035</v>
      </c>
      <c r="J124" t="s">
        <v>11353</v>
      </c>
    </row>
    <row r="125" spans="1:10" ht="15.75">
      <c r="A125" s="4" t="s">
        <v>11324</v>
      </c>
      <c r="B125" s="2"/>
      <c r="C125" s="2"/>
      <c r="D125" s="2"/>
      <c r="E125" s="3"/>
      <c r="F125" s="4" t="s">
        <v>11354</v>
      </c>
      <c r="G125" s="2"/>
      <c r="H125" s="2"/>
      <c r="I125" s="2"/>
      <c r="J125" s="3"/>
    </row>
    <row r="126" spans="1:10">
      <c r="A126" s="2" t="s">
        <v>0</v>
      </c>
      <c r="B126" s="2" t="s">
        <v>1</v>
      </c>
      <c r="C126" s="2" t="s">
        <v>2</v>
      </c>
      <c r="D126" s="2" t="s">
        <v>3</v>
      </c>
      <c r="E126" s="3" t="s">
        <v>4</v>
      </c>
      <c r="F126" s="2" t="s">
        <v>0</v>
      </c>
      <c r="G126" s="2" t="s">
        <v>1</v>
      </c>
      <c r="H126" s="2" t="s">
        <v>2</v>
      </c>
      <c r="I126" s="2" t="s">
        <v>3</v>
      </c>
      <c r="J126" s="3" t="s">
        <v>4</v>
      </c>
    </row>
    <row r="127" spans="1:10">
      <c r="A127" s="1">
        <v>821785</v>
      </c>
      <c r="B127" s="1">
        <v>3425662064</v>
      </c>
      <c r="C127" s="1">
        <v>9</v>
      </c>
      <c r="D127" s="1" t="s">
        <v>3035</v>
      </c>
      <c r="E127" t="s">
        <v>11355</v>
      </c>
      <c r="F127" s="1">
        <v>164707</v>
      </c>
      <c r="G127" s="1">
        <v>78735910021</v>
      </c>
      <c r="H127" s="1">
        <v>12</v>
      </c>
      <c r="I127" s="1" t="s">
        <v>394</v>
      </c>
      <c r="J127" t="s">
        <v>11356</v>
      </c>
    </row>
    <row r="128" spans="1:10">
      <c r="A128" s="1">
        <v>873588</v>
      </c>
      <c r="B128" s="1">
        <v>3425680064</v>
      </c>
      <c r="C128" s="1">
        <v>9</v>
      </c>
      <c r="D128" s="1" t="s">
        <v>3035</v>
      </c>
      <c r="E128" t="s">
        <v>11357</v>
      </c>
      <c r="F128" s="1">
        <v>468660</v>
      </c>
      <c r="G128" s="1">
        <v>78735917585</v>
      </c>
      <c r="H128" s="1">
        <v>72</v>
      </c>
      <c r="I128" s="1" t="s">
        <v>89</v>
      </c>
      <c r="J128" t="s">
        <v>11358</v>
      </c>
    </row>
    <row r="129" spans="1:10">
      <c r="A129" s="1">
        <v>816983</v>
      </c>
      <c r="B129" s="1">
        <v>3425682064</v>
      </c>
      <c r="C129" s="1">
        <v>9</v>
      </c>
      <c r="D129" s="1" t="s">
        <v>3035</v>
      </c>
      <c r="E129" t="s">
        <v>11359</v>
      </c>
      <c r="F129" s="1">
        <v>474627</v>
      </c>
      <c r="G129" s="1">
        <v>8735910140</v>
      </c>
      <c r="H129" s="1">
        <v>9</v>
      </c>
      <c r="I129" s="1" t="s">
        <v>106</v>
      </c>
      <c r="J129" t="s">
        <v>11360</v>
      </c>
    </row>
    <row r="130" spans="1:10">
      <c r="A130" s="1">
        <v>821801</v>
      </c>
      <c r="B130" s="1">
        <v>3425661064</v>
      </c>
      <c r="C130" s="1">
        <v>9</v>
      </c>
      <c r="D130" s="1" t="s">
        <v>3035</v>
      </c>
      <c r="E130" t="s">
        <v>11361</v>
      </c>
      <c r="F130" s="1">
        <v>678342</v>
      </c>
      <c r="G130" s="1">
        <v>78735910141</v>
      </c>
      <c r="H130" s="1">
        <v>9</v>
      </c>
      <c r="I130" s="1" t="s">
        <v>106</v>
      </c>
      <c r="J130" t="s">
        <v>11362</v>
      </c>
    </row>
    <row r="131" spans="1:10">
      <c r="A131" s="1">
        <v>878116</v>
      </c>
      <c r="B131" s="1">
        <v>3425613064</v>
      </c>
      <c r="C131" s="1">
        <v>9</v>
      </c>
      <c r="D131" s="1" t="s">
        <v>3035</v>
      </c>
      <c r="E131" t="s">
        <v>11363</v>
      </c>
      <c r="F131" s="1">
        <v>463885</v>
      </c>
      <c r="G131" s="1">
        <v>78735910023</v>
      </c>
      <c r="H131" s="1">
        <v>12</v>
      </c>
      <c r="I131" s="1" t="s">
        <v>394</v>
      </c>
      <c r="J131" t="s">
        <v>11364</v>
      </c>
    </row>
    <row r="132" spans="1:10" ht="15.75">
      <c r="A132" s="4" t="s">
        <v>11365</v>
      </c>
      <c r="B132" s="2"/>
      <c r="C132" s="2"/>
      <c r="D132" s="2"/>
      <c r="E132" s="3"/>
      <c r="F132" s="1">
        <v>309229</v>
      </c>
      <c r="G132" s="1">
        <v>78735910313</v>
      </c>
      <c r="H132" s="1">
        <v>12</v>
      </c>
      <c r="I132" s="1" t="s">
        <v>394</v>
      </c>
      <c r="J132" t="s">
        <v>11366</v>
      </c>
    </row>
    <row r="133" spans="1:10">
      <c r="A133" s="2" t="s">
        <v>0</v>
      </c>
      <c r="B133" s="2" t="s">
        <v>1</v>
      </c>
      <c r="C133" s="2" t="s">
        <v>2</v>
      </c>
      <c r="D133" s="2" t="s">
        <v>3</v>
      </c>
      <c r="E133" s="3" t="s">
        <v>4</v>
      </c>
      <c r="F133" s="1">
        <v>616698</v>
      </c>
      <c r="G133" s="1">
        <v>78735917508</v>
      </c>
      <c r="H133" s="1">
        <v>9</v>
      </c>
      <c r="I133" s="1" t="s">
        <v>510</v>
      </c>
      <c r="J133" t="s">
        <v>11367</v>
      </c>
    </row>
    <row r="134" spans="1:10">
      <c r="A134" s="1">
        <v>565143</v>
      </c>
      <c r="B134" s="1">
        <v>4345440020</v>
      </c>
      <c r="C134" s="1">
        <v>12</v>
      </c>
      <c r="D134" s="1" t="s">
        <v>259</v>
      </c>
      <c r="E134" t="s">
        <v>11368</v>
      </c>
      <c r="F134" s="1">
        <v>460261</v>
      </c>
      <c r="G134" s="1">
        <v>78735917503</v>
      </c>
      <c r="H134" s="1">
        <v>9</v>
      </c>
      <c r="I134" s="1" t="s">
        <v>89</v>
      </c>
      <c r="J134" t="s">
        <v>11369</v>
      </c>
    </row>
    <row r="135" spans="1:10">
      <c r="A135" s="1">
        <v>862722</v>
      </c>
      <c r="B135" s="1">
        <v>4345440010</v>
      </c>
      <c r="C135" s="1">
        <v>12</v>
      </c>
      <c r="D135" s="1" t="s">
        <v>259</v>
      </c>
      <c r="E135" t="s">
        <v>11370</v>
      </c>
      <c r="F135" s="1">
        <v>451773</v>
      </c>
      <c r="G135" s="1">
        <v>78735917504</v>
      </c>
      <c r="H135" s="1">
        <v>9</v>
      </c>
      <c r="I135" s="1" t="s">
        <v>89</v>
      </c>
      <c r="J135" t="s">
        <v>11371</v>
      </c>
    </row>
    <row r="136" spans="1:10">
      <c r="A136" s="1">
        <v>815084</v>
      </c>
      <c r="B136" s="1">
        <v>4345410060</v>
      </c>
      <c r="C136" s="1">
        <v>12</v>
      </c>
      <c r="D136" s="1" t="s">
        <v>904</v>
      </c>
      <c r="E136" t="s">
        <v>11372</v>
      </c>
      <c r="F136" s="1">
        <v>764027</v>
      </c>
      <c r="G136" s="1">
        <v>78735917506</v>
      </c>
      <c r="H136" s="1">
        <v>9</v>
      </c>
      <c r="I136" s="1" t="s">
        <v>89</v>
      </c>
      <c r="J136" t="s">
        <v>11373</v>
      </c>
    </row>
    <row r="137" spans="1:10">
      <c r="A137" s="1">
        <v>869735</v>
      </c>
      <c r="B137" s="1">
        <v>4345410104</v>
      </c>
      <c r="C137" s="1">
        <v>12</v>
      </c>
      <c r="D137" s="1" t="s">
        <v>394</v>
      </c>
      <c r="E137" t="s">
        <v>11374</v>
      </c>
      <c r="F137" s="1">
        <v>148486</v>
      </c>
      <c r="G137" s="1">
        <v>78735917507</v>
      </c>
      <c r="H137" s="1">
        <v>9</v>
      </c>
      <c r="I137" s="1" t="s">
        <v>510</v>
      </c>
      <c r="J137" t="s">
        <v>11375</v>
      </c>
    </row>
    <row r="138" spans="1:10">
      <c r="A138" s="1">
        <v>474510</v>
      </c>
      <c r="B138" s="1">
        <v>4345460010</v>
      </c>
      <c r="C138" s="1">
        <v>8</v>
      </c>
      <c r="D138" s="1" t="s">
        <v>404</v>
      </c>
      <c r="E138" t="s">
        <v>11376</v>
      </c>
      <c r="F138" s="1">
        <v>547836</v>
      </c>
      <c r="G138" s="1">
        <v>78735917502</v>
      </c>
      <c r="H138" s="1">
        <v>9</v>
      </c>
      <c r="I138" s="1" t="s">
        <v>89</v>
      </c>
      <c r="J138" t="s">
        <v>11377</v>
      </c>
    </row>
    <row r="139" spans="1:10">
      <c r="A139" s="1">
        <v>765305</v>
      </c>
      <c r="B139" s="1">
        <v>4345460030</v>
      </c>
      <c r="C139" s="1">
        <v>8</v>
      </c>
      <c r="D139" s="1" t="s">
        <v>489</v>
      </c>
      <c r="E139" t="s">
        <v>11378</v>
      </c>
      <c r="F139" s="1">
        <v>804245</v>
      </c>
      <c r="G139" s="1">
        <v>7766100444</v>
      </c>
      <c r="H139" s="1">
        <v>6</v>
      </c>
      <c r="I139" s="1" t="s">
        <v>397</v>
      </c>
      <c r="J139" t="s">
        <v>11379</v>
      </c>
    </row>
    <row r="140" spans="1:10">
      <c r="A140" s="1">
        <v>196931</v>
      </c>
      <c r="B140" s="1">
        <v>4345410030</v>
      </c>
      <c r="C140" s="1">
        <v>12</v>
      </c>
      <c r="D140" s="1" t="s">
        <v>781</v>
      </c>
      <c r="E140" t="s">
        <v>11380</v>
      </c>
      <c r="F140" s="1">
        <v>820902</v>
      </c>
      <c r="G140" s="1">
        <v>7674910525</v>
      </c>
      <c r="H140" s="1">
        <v>12</v>
      </c>
      <c r="I140" s="1" t="s">
        <v>394</v>
      </c>
      <c r="J140" t="s">
        <v>11381</v>
      </c>
    </row>
    <row r="141" spans="1:10">
      <c r="A141" s="1">
        <v>862946</v>
      </c>
      <c r="B141" s="1">
        <v>4345410070</v>
      </c>
      <c r="C141" s="1">
        <v>12</v>
      </c>
      <c r="D141" s="1" t="s">
        <v>781</v>
      </c>
      <c r="E141" t="s">
        <v>11382</v>
      </c>
      <c r="F141" s="1">
        <v>888222</v>
      </c>
      <c r="G141" s="1">
        <v>7674910515</v>
      </c>
      <c r="H141" s="1">
        <v>12</v>
      </c>
      <c r="I141" s="1" t="s">
        <v>394</v>
      </c>
      <c r="J141" t="s">
        <v>11383</v>
      </c>
    </row>
    <row r="142" spans="1:10">
      <c r="A142" s="1">
        <v>850628</v>
      </c>
      <c r="B142" s="1">
        <v>4345410012</v>
      </c>
      <c r="C142" s="1">
        <v>12</v>
      </c>
      <c r="D142" s="1" t="s">
        <v>1180</v>
      </c>
      <c r="E142" t="s">
        <v>11384</v>
      </c>
      <c r="F142" s="1">
        <v>888230</v>
      </c>
      <c r="G142" s="1">
        <v>7674910517</v>
      </c>
      <c r="H142" s="1">
        <v>12</v>
      </c>
      <c r="I142" s="1" t="s">
        <v>394</v>
      </c>
      <c r="J142" t="s">
        <v>11385</v>
      </c>
    </row>
    <row r="143" spans="1:10">
      <c r="A143" s="1">
        <v>862938</v>
      </c>
      <c r="B143" s="1">
        <v>4345410020</v>
      </c>
      <c r="C143" s="1">
        <v>12</v>
      </c>
      <c r="D143" s="1" t="s">
        <v>781</v>
      </c>
      <c r="E143" t="s">
        <v>11386</v>
      </c>
      <c r="F143" s="1">
        <v>820894</v>
      </c>
      <c r="G143" s="1">
        <v>7674910518</v>
      </c>
      <c r="H143" s="1">
        <v>12</v>
      </c>
      <c r="I143" s="1" t="s">
        <v>394</v>
      </c>
      <c r="J143" t="s">
        <v>11387</v>
      </c>
    </row>
    <row r="144" spans="1:10">
      <c r="A144" s="1">
        <v>815076</v>
      </c>
      <c r="B144" s="1">
        <v>4345410080</v>
      </c>
      <c r="C144" s="1">
        <v>12</v>
      </c>
      <c r="D144" s="1" t="s">
        <v>347</v>
      </c>
      <c r="E144" t="s">
        <v>11388</v>
      </c>
      <c r="F144" s="1">
        <v>666073</v>
      </c>
      <c r="G144" s="1">
        <v>7674910555</v>
      </c>
      <c r="H144" s="1">
        <v>12</v>
      </c>
      <c r="I144" s="1" t="s">
        <v>394</v>
      </c>
      <c r="J144" t="s">
        <v>11389</v>
      </c>
    </row>
    <row r="145" spans="1:10">
      <c r="A145" s="1">
        <v>815100</v>
      </c>
      <c r="B145" s="1">
        <v>4345430310</v>
      </c>
      <c r="C145" s="1">
        <v>8</v>
      </c>
      <c r="D145" s="1" t="s">
        <v>404</v>
      </c>
      <c r="E145" t="s">
        <v>11390</v>
      </c>
      <c r="F145" s="1">
        <v>888149</v>
      </c>
      <c r="G145" s="1">
        <v>7674910513</v>
      </c>
      <c r="H145" s="1">
        <v>12</v>
      </c>
      <c r="I145" s="1" t="s">
        <v>394</v>
      </c>
      <c r="J145" t="s">
        <v>11391</v>
      </c>
    </row>
    <row r="146" spans="1:10">
      <c r="A146" s="1">
        <v>850610</v>
      </c>
      <c r="B146" s="1">
        <v>4345410010</v>
      </c>
      <c r="C146" s="1">
        <v>12</v>
      </c>
      <c r="D146" s="1" t="s">
        <v>347</v>
      </c>
      <c r="E146" t="s">
        <v>11392</v>
      </c>
      <c r="F146" s="1">
        <v>779017</v>
      </c>
      <c r="G146" s="1">
        <v>7674910511</v>
      </c>
      <c r="H146" s="1">
        <v>12</v>
      </c>
      <c r="I146" s="1" t="s">
        <v>394</v>
      </c>
      <c r="J146" t="s">
        <v>11393</v>
      </c>
    </row>
    <row r="147" spans="1:10">
      <c r="A147" s="1">
        <v>846055</v>
      </c>
      <c r="B147" s="1">
        <v>61012906212</v>
      </c>
      <c r="C147" s="1">
        <v>6</v>
      </c>
      <c r="D147" s="1" t="s">
        <v>399</v>
      </c>
      <c r="E147" t="s">
        <v>11394</v>
      </c>
      <c r="F147" s="1">
        <v>444307</v>
      </c>
      <c r="G147" s="1">
        <v>7674910512</v>
      </c>
      <c r="H147" s="1">
        <v>12</v>
      </c>
      <c r="I147" s="1" t="s">
        <v>394</v>
      </c>
      <c r="J147" t="s">
        <v>11395</v>
      </c>
    </row>
    <row r="148" spans="1:10">
      <c r="A148" s="1">
        <v>862250</v>
      </c>
      <c r="B148" s="1">
        <v>61012900211</v>
      </c>
      <c r="C148" s="1">
        <v>6</v>
      </c>
      <c r="D148" s="1" t="s">
        <v>489</v>
      </c>
      <c r="E148" t="s">
        <v>11396</v>
      </c>
      <c r="F148" s="1">
        <v>864991</v>
      </c>
      <c r="G148" s="1">
        <v>4610004302</v>
      </c>
      <c r="H148" s="1">
        <v>8</v>
      </c>
      <c r="I148" s="1" t="s">
        <v>5987</v>
      </c>
      <c r="J148" t="s">
        <v>11397</v>
      </c>
    </row>
    <row r="149" spans="1:10">
      <c r="A149" s="1">
        <v>749028</v>
      </c>
      <c r="B149" s="1">
        <v>61012906630</v>
      </c>
      <c r="C149" s="1">
        <v>6</v>
      </c>
      <c r="D149" s="1" t="s">
        <v>546</v>
      </c>
      <c r="E149" t="s">
        <v>11398</v>
      </c>
      <c r="F149" s="1">
        <v>737247</v>
      </c>
      <c r="G149" s="1">
        <v>4610004303</v>
      </c>
      <c r="H149" s="1">
        <v>8</v>
      </c>
      <c r="I149" s="1" t="s">
        <v>11399</v>
      </c>
      <c r="J149" t="s">
        <v>11400</v>
      </c>
    </row>
    <row r="150" spans="1:10">
      <c r="A150" s="1">
        <v>862458</v>
      </c>
      <c r="B150" s="1">
        <v>61012906710</v>
      </c>
      <c r="C150" s="1">
        <v>6</v>
      </c>
      <c r="D150" s="1" t="s">
        <v>546</v>
      </c>
      <c r="E150" t="s">
        <v>11401</v>
      </c>
      <c r="F150" s="1">
        <v>653592</v>
      </c>
      <c r="G150" s="1">
        <v>4610004304</v>
      </c>
      <c r="H150" s="1">
        <v>8</v>
      </c>
      <c r="I150" s="1" t="s">
        <v>1005</v>
      </c>
      <c r="J150" t="s">
        <v>11402</v>
      </c>
    </row>
    <row r="151" spans="1:10">
      <c r="A151" s="1">
        <v>862466</v>
      </c>
      <c r="B151" s="1">
        <v>61012906610</v>
      </c>
      <c r="C151" s="1">
        <v>6</v>
      </c>
      <c r="D151" s="1" t="s">
        <v>546</v>
      </c>
      <c r="E151" t="s">
        <v>11403</v>
      </c>
      <c r="F151" s="1">
        <v>222976</v>
      </c>
      <c r="G151" s="1">
        <v>4610004301</v>
      </c>
      <c r="H151" s="1">
        <v>8</v>
      </c>
      <c r="I151" s="1" t="s">
        <v>1151</v>
      </c>
      <c r="J151" t="s">
        <v>11404</v>
      </c>
    </row>
    <row r="152" spans="1:10" ht="15.75">
      <c r="A152" s="4" t="s">
        <v>11354</v>
      </c>
      <c r="B152" s="2"/>
      <c r="C152" s="2"/>
      <c r="D152" s="2"/>
      <c r="E152" s="3"/>
      <c r="F152" s="1">
        <v>266288</v>
      </c>
      <c r="G152" s="1">
        <v>4610004300</v>
      </c>
      <c r="H152" s="1">
        <v>8</v>
      </c>
      <c r="I152" s="1" t="s">
        <v>11405</v>
      </c>
      <c r="J152" t="s">
        <v>11406</v>
      </c>
    </row>
    <row r="153" spans="1:10">
      <c r="A153" s="2" t="s">
        <v>0</v>
      </c>
      <c r="B153" s="2" t="s">
        <v>1</v>
      </c>
      <c r="C153" s="2" t="s">
        <v>2</v>
      </c>
      <c r="D153" s="2" t="s">
        <v>3</v>
      </c>
      <c r="E153" s="3" t="s">
        <v>4</v>
      </c>
      <c r="F153" s="1">
        <v>564104</v>
      </c>
      <c r="G153" s="1">
        <v>1411353381</v>
      </c>
      <c r="H153" s="1">
        <v>12</v>
      </c>
      <c r="I153" s="1" t="s">
        <v>386</v>
      </c>
      <c r="J153" t="s">
        <v>11407</v>
      </c>
    </row>
    <row r="154" spans="1:10">
      <c r="A154" s="1">
        <v>750802</v>
      </c>
      <c r="B154" s="1">
        <v>78735910018</v>
      </c>
      <c r="C154" s="1">
        <v>12</v>
      </c>
      <c r="D154" s="1" t="s">
        <v>394</v>
      </c>
      <c r="E154" t="s">
        <v>11408</v>
      </c>
      <c r="F154" s="1">
        <v>564112</v>
      </c>
      <c r="G154" s="1">
        <v>1411353382</v>
      </c>
      <c r="H154" s="1">
        <v>12</v>
      </c>
      <c r="I154" s="1" t="s">
        <v>386</v>
      </c>
      <c r="J154" t="s">
        <v>11409</v>
      </c>
    </row>
    <row r="155" spans="1:10">
      <c r="A155" s="1">
        <v>193532</v>
      </c>
      <c r="B155" s="1">
        <v>78735910019</v>
      </c>
      <c r="C155" s="1">
        <v>12</v>
      </c>
      <c r="D155" s="1" t="s">
        <v>394</v>
      </c>
      <c r="E155" t="s">
        <v>11410</v>
      </c>
      <c r="F155" s="1">
        <v>564096</v>
      </c>
      <c r="G155" s="1">
        <v>1411353383</v>
      </c>
      <c r="H155" s="1">
        <v>12</v>
      </c>
      <c r="I155" s="1" t="s">
        <v>386</v>
      </c>
      <c r="J155" t="s">
        <v>11411</v>
      </c>
    </row>
    <row r="156" spans="1:10">
      <c r="A156" s="1">
        <v>232157</v>
      </c>
      <c r="B156" s="1">
        <v>78735910006</v>
      </c>
      <c r="C156" s="1">
        <v>12</v>
      </c>
      <c r="D156" s="1" t="s">
        <v>394</v>
      </c>
      <c r="E156" t="s">
        <v>11412</v>
      </c>
      <c r="F156" s="1">
        <v>872903</v>
      </c>
      <c r="G156" s="1">
        <v>1411353387</v>
      </c>
      <c r="H156" s="1">
        <v>12</v>
      </c>
      <c r="I156" s="1" t="s">
        <v>386</v>
      </c>
      <c r="J156" t="s">
        <v>11413</v>
      </c>
    </row>
    <row r="157" spans="1:10">
      <c r="A157" s="1">
        <v>350595</v>
      </c>
      <c r="B157" s="1">
        <v>78735910007</v>
      </c>
      <c r="C157" s="1">
        <v>12</v>
      </c>
      <c r="D157" s="1" t="s">
        <v>394</v>
      </c>
      <c r="E157" t="s">
        <v>11414</v>
      </c>
      <c r="F157" s="1">
        <v>564088</v>
      </c>
      <c r="G157" s="1">
        <v>1411353384</v>
      </c>
      <c r="H157" s="1">
        <v>12</v>
      </c>
      <c r="I157" s="1" t="s">
        <v>386</v>
      </c>
      <c r="J157" t="s">
        <v>11415</v>
      </c>
    </row>
    <row r="158" spans="1:10">
      <c r="A158" s="1">
        <v>697649</v>
      </c>
      <c r="B158" s="1">
        <v>78735917501</v>
      </c>
      <c r="C158" s="1">
        <v>12</v>
      </c>
      <c r="D158" s="1" t="s">
        <v>89</v>
      </c>
      <c r="E158" t="s">
        <v>11416</v>
      </c>
      <c r="F158" s="1">
        <v>564062</v>
      </c>
      <c r="G158" s="1">
        <v>1411353386</v>
      </c>
      <c r="H158" s="1">
        <v>12</v>
      </c>
      <c r="I158" s="1" t="s">
        <v>386</v>
      </c>
      <c r="J158" t="s">
        <v>11417</v>
      </c>
    </row>
    <row r="159" spans="1:10">
      <c r="A159" s="1">
        <v>838334</v>
      </c>
      <c r="B159" s="1">
        <v>78735917500</v>
      </c>
      <c r="C159" s="1">
        <v>12</v>
      </c>
      <c r="D159" s="1" t="s">
        <v>89</v>
      </c>
      <c r="E159" t="s">
        <v>11418</v>
      </c>
      <c r="F159" s="1">
        <v>564070</v>
      </c>
      <c r="G159" s="1">
        <v>1411353385</v>
      </c>
      <c r="H159" s="1">
        <v>12</v>
      </c>
      <c r="I159" s="1" t="s">
        <v>386</v>
      </c>
      <c r="J159" t="s">
        <v>11419</v>
      </c>
    </row>
    <row r="160" spans="1:10" ht="15.75">
      <c r="A160" s="1">
        <v>826115</v>
      </c>
      <c r="B160" s="1">
        <v>78735910102</v>
      </c>
      <c r="C160" s="1">
        <v>12</v>
      </c>
      <c r="D160" s="1" t="s">
        <v>394</v>
      </c>
      <c r="E160" t="s">
        <v>11420</v>
      </c>
      <c r="F160" s="4" t="s">
        <v>11421</v>
      </c>
      <c r="G160" s="2"/>
      <c r="H160" s="2"/>
      <c r="I160" s="2"/>
      <c r="J160" s="3"/>
    </row>
    <row r="161" spans="1:10">
      <c r="A161" s="1">
        <v>205153</v>
      </c>
      <c r="B161" s="1">
        <v>78735910101</v>
      </c>
      <c r="C161" s="1">
        <v>12</v>
      </c>
      <c r="D161" s="1" t="s">
        <v>394</v>
      </c>
      <c r="E161" t="s">
        <v>11422</v>
      </c>
      <c r="F161" s="2" t="s">
        <v>0</v>
      </c>
      <c r="G161" s="2" t="s">
        <v>1</v>
      </c>
      <c r="H161" s="2" t="s">
        <v>2</v>
      </c>
      <c r="I161" s="2" t="s">
        <v>3</v>
      </c>
      <c r="J161" s="3" t="s">
        <v>4</v>
      </c>
    </row>
    <row r="162" spans="1:10">
      <c r="A162" s="1">
        <v>815910</v>
      </c>
      <c r="B162" s="1">
        <v>0</v>
      </c>
      <c r="C162" s="1">
        <v>1</v>
      </c>
      <c r="D162" s="1" t="s">
        <v>8</v>
      </c>
      <c r="E162" t="s">
        <v>11423</v>
      </c>
      <c r="F162" s="1">
        <v>391243</v>
      </c>
      <c r="G162" s="1">
        <v>3871800109</v>
      </c>
      <c r="H162" s="1">
        <v>12</v>
      </c>
      <c r="I162" s="1" t="s">
        <v>347</v>
      </c>
      <c r="J162" t="s">
        <v>11424</v>
      </c>
    </row>
    <row r="163" spans="1:10">
      <c r="A163" s="1">
        <v>851568</v>
      </c>
      <c r="B163" s="1">
        <v>0</v>
      </c>
      <c r="C163" s="1">
        <v>12</v>
      </c>
      <c r="D163" s="1" t="s">
        <v>663</v>
      </c>
      <c r="E163" t="s">
        <v>11425</v>
      </c>
      <c r="F163" s="1">
        <v>627976</v>
      </c>
      <c r="G163" s="1">
        <v>3871800406</v>
      </c>
      <c r="H163" s="1">
        <v>12</v>
      </c>
      <c r="I163" s="1" t="s">
        <v>360</v>
      </c>
      <c r="J163" t="s">
        <v>11426</v>
      </c>
    </row>
    <row r="164" spans="1:10">
      <c r="A164" s="1">
        <v>411462</v>
      </c>
      <c r="B164" s="1">
        <v>78735910008</v>
      </c>
      <c r="C164" s="1">
        <v>12</v>
      </c>
      <c r="D164" s="1" t="s">
        <v>394</v>
      </c>
      <c r="E164" t="s">
        <v>11427</v>
      </c>
      <c r="F164" s="1">
        <v>873026</v>
      </c>
      <c r="G164" s="1">
        <v>3871800316</v>
      </c>
      <c r="H164" s="1">
        <v>12</v>
      </c>
      <c r="I164" s="1" t="s">
        <v>381</v>
      </c>
      <c r="J164" t="s">
        <v>11428</v>
      </c>
    </row>
    <row r="165" spans="1:10">
      <c r="A165" s="1">
        <v>186353</v>
      </c>
      <c r="B165" s="1">
        <v>78735910016</v>
      </c>
      <c r="C165" s="1">
        <v>12</v>
      </c>
      <c r="D165" s="1" t="s">
        <v>394</v>
      </c>
      <c r="E165" t="s">
        <v>11429</v>
      </c>
      <c r="F165" s="1">
        <v>532325</v>
      </c>
      <c r="G165" s="1">
        <v>3871800310</v>
      </c>
      <c r="H165" s="1">
        <v>12</v>
      </c>
      <c r="I165" s="1" t="s">
        <v>489</v>
      </c>
      <c r="J165" t="s">
        <v>11430</v>
      </c>
    </row>
    <row r="166" spans="1:10" ht="15.75">
      <c r="A166" s="4" t="s">
        <v>11421</v>
      </c>
      <c r="B166" s="2"/>
      <c r="C166" s="2"/>
      <c r="D166" s="2"/>
      <c r="E166" s="3"/>
      <c r="F166" s="4" t="s">
        <v>11431</v>
      </c>
      <c r="G166" s="2"/>
      <c r="H166" s="2"/>
      <c r="I166" s="2"/>
      <c r="J166" s="3"/>
    </row>
    <row r="167" spans="1:10">
      <c r="A167" s="2" t="s">
        <v>0</v>
      </c>
      <c r="B167" s="2" t="s">
        <v>1</v>
      </c>
      <c r="C167" s="2" t="s">
        <v>2</v>
      </c>
      <c r="D167" s="2" t="s">
        <v>3</v>
      </c>
      <c r="E167" s="3" t="s">
        <v>4</v>
      </c>
      <c r="F167" s="2" t="s">
        <v>0</v>
      </c>
      <c r="G167" s="2" t="s">
        <v>1</v>
      </c>
      <c r="H167" s="2" t="s">
        <v>2</v>
      </c>
      <c r="I167" s="2" t="s">
        <v>3</v>
      </c>
      <c r="J167" s="3" t="s">
        <v>4</v>
      </c>
    </row>
    <row r="168" spans="1:10">
      <c r="A168" s="1">
        <v>478255</v>
      </c>
      <c r="B168" s="1">
        <v>3871800211</v>
      </c>
      <c r="C168" s="1">
        <v>12</v>
      </c>
      <c r="D168" s="1" t="s">
        <v>347</v>
      </c>
      <c r="E168" t="s">
        <v>11432</v>
      </c>
      <c r="F168" s="1">
        <v>726232</v>
      </c>
      <c r="G168" s="1">
        <v>3871840805</v>
      </c>
      <c r="H168" s="1">
        <v>12</v>
      </c>
      <c r="I168" s="1" t="s">
        <v>394</v>
      </c>
      <c r="J168" t="s">
        <v>11433</v>
      </c>
    </row>
    <row r="169" spans="1:10">
      <c r="A169" s="1">
        <v>873430</v>
      </c>
      <c r="B169" s="1">
        <v>3871800414</v>
      </c>
      <c r="C169" s="1">
        <v>12</v>
      </c>
      <c r="D169" s="1" t="s">
        <v>259</v>
      </c>
      <c r="E169" t="s">
        <v>11434</v>
      </c>
      <c r="F169" s="1">
        <v>488106</v>
      </c>
      <c r="G169" s="1">
        <v>3871800012</v>
      </c>
      <c r="H169" s="1">
        <v>12</v>
      </c>
      <c r="I169" s="1" t="s">
        <v>347</v>
      </c>
      <c r="J169" t="s">
        <v>11435</v>
      </c>
    </row>
    <row r="170" spans="1:10">
      <c r="A170" s="1">
        <v>872333</v>
      </c>
      <c r="B170" s="1">
        <v>3871800116</v>
      </c>
      <c r="C170" s="1">
        <v>12</v>
      </c>
      <c r="D170" s="1" t="s">
        <v>381</v>
      </c>
      <c r="E170" t="s">
        <v>11436</v>
      </c>
      <c r="F170" s="1">
        <v>726257</v>
      </c>
      <c r="G170" s="1">
        <v>3871800008</v>
      </c>
      <c r="H170" s="1">
        <v>12</v>
      </c>
      <c r="I170" s="1" t="s">
        <v>399</v>
      </c>
      <c r="J170" t="s">
        <v>11437</v>
      </c>
    </row>
    <row r="171" spans="1:10">
      <c r="A171" s="1">
        <v>457176</v>
      </c>
      <c r="B171" s="1">
        <v>75928331002</v>
      </c>
      <c r="C171" s="1">
        <v>9</v>
      </c>
      <c r="D171" s="1" t="s">
        <v>363</v>
      </c>
      <c r="E171" t="s">
        <v>11438</v>
      </c>
      <c r="F171" s="1">
        <v>532416</v>
      </c>
      <c r="G171" s="1">
        <v>3871840400</v>
      </c>
      <c r="H171" s="1">
        <v>12</v>
      </c>
      <c r="I171" s="1" t="s">
        <v>546</v>
      </c>
      <c r="J171" t="s">
        <v>11439</v>
      </c>
    </row>
    <row r="172" spans="1:10">
      <c r="A172" s="1">
        <v>333385</v>
      </c>
      <c r="B172" s="1">
        <v>75928331021</v>
      </c>
      <c r="C172" s="1">
        <v>9</v>
      </c>
      <c r="D172" s="1" t="s">
        <v>363</v>
      </c>
      <c r="E172" t="s">
        <v>11440</v>
      </c>
      <c r="F172" s="1">
        <v>801662</v>
      </c>
      <c r="G172" s="1">
        <v>4525511241</v>
      </c>
      <c r="H172" s="1">
        <v>12</v>
      </c>
      <c r="I172" s="1" t="s">
        <v>14</v>
      </c>
      <c r="J172" t="s">
        <v>11441</v>
      </c>
    </row>
    <row r="173" spans="1:10">
      <c r="A173" s="1">
        <v>873760</v>
      </c>
      <c r="B173" s="1">
        <v>1030000025</v>
      </c>
      <c r="C173" s="1">
        <v>36</v>
      </c>
      <c r="D173" s="1" t="s">
        <v>381</v>
      </c>
      <c r="E173" t="s">
        <v>11442</v>
      </c>
      <c r="F173" s="1">
        <v>801035</v>
      </c>
      <c r="G173" s="1">
        <v>3784202600</v>
      </c>
      <c r="H173" s="1">
        <v>12</v>
      </c>
      <c r="I173" s="1" t="s">
        <v>14</v>
      </c>
      <c r="J173" t="s">
        <v>11443</v>
      </c>
    </row>
    <row r="174" spans="1:10">
      <c r="A174" s="1">
        <v>874560</v>
      </c>
      <c r="B174" s="1">
        <v>1030000156</v>
      </c>
      <c r="C174" s="1">
        <v>1</v>
      </c>
      <c r="D174" s="1" t="s">
        <v>6727</v>
      </c>
      <c r="E174" t="s">
        <v>11444</v>
      </c>
      <c r="F174" s="1">
        <v>801084</v>
      </c>
      <c r="G174" s="1">
        <v>3784202608</v>
      </c>
      <c r="H174" s="1">
        <v>12</v>
      </c>
      <c r="I174" s="1" t="s">
        <v>14</v>
      </c>
      <c r="J174" t="s">
        <v>11445</v>
      </c>
    </row>
    <row r="175" spans="1:10">
      <c r="A175" s="1">
        <v>807537</v>
      </c>
      <c r="B175" s="1">
        <v>9744300003</v>
      </c>
      <c r="C175" s="1">
        <v>24</v>
      </c>
      <c r="D175" s="1" t="s">
        <v>1973</v>
      </c>
      <c r="E175" t="s">
        <v>11446</v>
      </c>
      <c r="F175" s="1">
        <v>801043</v>
      </c>
      <c r="G175" s="1">
        <v>3784202603</v>
      </c>
      <c r="H175" s="1">
        <v>12</v>
      </c>
      <c r="I175" s="1" t="s">
        <v>14</v>
      </c>
      <c r="J175" t="s">
        <v>11447</v>
      </c>
    </row>
    <row r="176" spans="1:10">
      <c r="A176" s="1">
        <v>871913</v>
      </c>
      <c r="B176" s="1">
        <v>0</v>
      </c>
      <c r="C176" s="1">
        <v>1</v>
      </c>
      <c r="D176" s="1" t="s">
        <v>6597</v>
      </c>
      <c r="E176" t="s">
        <v>11448</v>
      </c>
      <c r="F176" s="1">
        <v>800482</v>
      </c>
      <c r="G176" s="1">
        <v>3784202597</v>
      </c>
      <c r="H176" s="1">
        <v>12</v>
      </c>
      <c r="I176" s="1" t="s">
        <v>14</v>
      </c>
      <c r="J176" t="s">
        <v>11449</v>
      </c>
    </row>
    <row r="177" spans="1:10">
      <c r="A177" s="1">
        <v>895656</v>
      </c>
      <c r="B177" s="1">
        <v>0</v>
      </c>
      <c r="C177" s="1">
        <v>1</v>
      </c>
      <c r="D177" s="1" t="s">
        <v>6597</v>
      </c>
      <c r="E177" t="s">
        <v>11450</v>
      </c>
      <c r="F177" s="1">
        <v>800557</v>
      </c>
      <c r="G177" s="1">
        <v>3784202607</v>
      </c>
      <c r="H177" s="1">
        <v>12</v>
      </c>
      <c r="I177" s="1" t="s">
        <v>31</v>
      </c>
      <c r="J177" t="s">
        <v>11451</v>
      </c>
    </row>
    <row r="178" spans="1:10">
      <c r="A178" s="1">
        <v>834028</v>
      </c>
      <c r="B178" s="1">
        <v>1411353325</v>
      </c>
      <c r="C178" s="1">
        <v>12</v>
      </c>
      <c r="D178" s="1" t="s">
        <v>489</v>
      </c>
      <c r="E178" t="s">
        <v>11452</v>
      </c>
      <c r="F178" s="1">
        <v>821678</v>
      </c>
      <c r="G178" s="1">
        <v>7102231718</v>
      </c>
      <c r="H178" s="1">
        <v>12</v>
      </c>
      <c r="I178" s="1" t="s">
        <v>397</v>
      </c>
      <c r="J178" t="s">
        <v>11453</v>
      </c>
    </row>
    <row r="179" spans="1:10">
      <c r="A179" s="1">
        <v>705137</v>
      </c>
      <c r="B179" s="1">
        <v>66988750340</v>
      </c>
      <c r="C179" s="1">
        <v>12</v>
      </c>
      <c r="D179" s="1" t="s">
        <v>381</v>
      </c>
      <c r="E179" t="s">
        <v>11454</v>
      </c>
      <c r="F179" s="1">
        <v>58230</v>
      </c>
      <c r="G179" s="1">
        <v>7032701131</v>
      </c>
      <c r="H179" s="1">
        <v>12</v>
      </c>
      <c r="I179" s="1" t="s">
        <v>397</v>
      </c>
      <c r="J179" t="s">
        <v>11455</v>
      </c>
    </row>
    <row r="180" spans="1:10">
      <c r="A180" s="1">
        <v>376798</v>
      </c>
      <c r="B180" s="1">
        <v>66988759935</v>
      </c>
      <c r="C180" s="1">
        <v>12</v>
      </c>
      <c r="D180" s="1" t="s">
        <v>347</v>
      </c>
      <c r="E180" t="s">
        <v>11456</v>
      </c>
      <c r="F180" s="1">
        <v>841742</v>
      </c>
      <c r="G180" s="1">
        <v>7032701151</v>
      </c>
      <c r="H180" s="1">
        <v>12</v>
      </c>
      <c r="I180" s="1" t="s">
        <v>397</v>
      </c>
      <c r="J180" t="s">
        <v>11457</v>
      </c>
    </row>
    <row r="181" spans="1:10" ht="15.75">
      <c r="A181" s="4" t="s">
        <v>11458</v>
      </c>
      <c r="B181" s="2"/>
      <c r="C181" s="2"/>
      <c r="D181" s="2"/>
      <c r="E181" s="3"/>
      <c r="F181" s="4" t="s">
        <v>11459</v>
      </c>
      <c r="G181" s="2"/>
      <c r="H181" s="2"/>
      <c r="I181" s="2"/>
      <c r="J181" s="3"/>
    </row>
    <row r="182" spans="1:10">
      <c r="A182" s="2" t="s">
        <v>0</v>
      </c>
      <c r="B182" s="2" t="s">
        <v>1</v>
      </c>
      <c r="C182" s="2" t="s">
        <v>2</v>
      </c>
      <c r="D182" s="2" t="s">
        <v>3</v>
      </c>
      <c r="E182" s="3" t="s">
        <v>4</v>
      </c>
      <c r="F182" s="2" t="s">
        <v>0</v>
      </c>
      <c r="G182" s="2" t="s">
        <v>1</v>
      </c>
      <c r="H182" s="2" t="s">
        <v>2</v>
      </c>
      <c r="I182" s="2" t="s">
        <v>3</v>
      </c>
      <c r="J182" s="3" t="s">
        <v>4</v>
      </c>
    </row>
    <row r="183" spans="1:10">
      <c r="A183" s="1">
        <v>30106</v>
      </c>
      <c r="B183" s="1">
        <v>8705212947</v>
      </c>
      <c r="C183" s="1">
        <v>12</v>
      </c>
      <c r="D183" s="1" t="s">
        <v>381</v>
      </c>
      <c r="E183" t="s">
        <v>11460</v>
      </c>
      <c r="F183" s="1">
        <v>824920</v>
      </c>
      <c r="G183" s="1">
        <v>70935188895</v>
      </c>
      <c r="H183" s="1">
        <v>3</v>
      </c>
      <c r="I183" s="1" t="s">
        <v>1656</v>
      </c>
      <c r="J183" t="s">
        <v>11461</v>
      </c>
    </row>
    <row r="184" spans="1:10">
      <c r="A184" s="1">
        <v>254755</v>
      </c>
      <c r="B184" s="1">
        <v>4259311111</v>
      </c>
      <c r="C184" s="1">
        <v>12</v>
      </c>
      <c r="D184" s="1" t="s">
        <v>1973</v>
      </c>
      <c r="E184" t="s">
        <v>11462</v>
      </c>
      <c r="F184" s="1">
        <v>885020</v>
      </c>
      <c r="G184" s="1">
        <v>1450090012</v>
      </c>
      <c r="H184" s="1">
        <v>12</v>
      </c>
      <c r="I184" s="1" t="s">
        <v>347</v>
      </c>
      <c r="J184" t="s">
        <v>11463</v>
      </c>
    </row>
    <row r="185" spans="1:10">
      <c r="A185" s="1">
        <v>450221</v>
      </c>
      <c r="B185" s="1">
        <v>4259311112</v>
      </c>
      <c r="C185" s="1">
        <v>12</v>
      </c>
      <c r="D185" s="1" t="s">
        <v>1973</v>
      </c>
      <c r="E185" t="s">
        <v>11464</v>
      </c>
      <c r="F185" s="1">
        <v>450890</v>
      </c>
      <c r="G185" s="1">
        <v>0</v>
      </c>
      <c r="H185" s="1">
        <v>10</v>
      </c>
      <c r="I185" s="1" t="s">
        <v>4815</v>
      </c>
      <c r="J185" t="s">
        <v>11465</v>
      </c>
    </row>
    <row r="186" spans="1:10">
      <c r="A186" s="1">
        <v>402743</v>
      </c>
      <c r="B186" s="1">
        <v>8569660804</v>
      </c>
      <c r="C186" s="1">
        <v>12</v>
      </c>
      <c r="D186" s="1" t="s">
        <v>963</v>
      </c>
      <c r="E186" t="s">
        <v>11466</v>
      </c>
      <c r="F186" s="1">
        <v>820365</v>
      </c>
      <c r="G186" s="1">
        <v>0</v>
      </c>
      <c r="H186" s="1">
        <v>10</v>
      </c>
      <c r="I186" s="1" t="s">
        <v>4815</v>
      </c>
      <c r="J186" t="s">
        <v>11467</v>
      </c>
    </row>
    <row r="187" spans="1:10">
      <c r="A187" s="1">
        <v>888032</v>
      </c>
      <c r="B187" s="1">
        <v>8569660720</v>
      </c>
      <c r="C187" s="1">
        <v>12</v>
      </c>
      <c r="D187" s="1" t="s">
        <v>963</v>
      </c>
      <c r="E187" t="s">
        <v>11468</v>
      </c>
      <c r="F187" s="1">
        <v>540419</v>
      </c>
      <c r="G187" s="1">
        <v>60580614008</v>
      </c>
      <c r="H187" s="1">
        <v>6</v>
      </c>
      <c r="I187" s="1" t="s">
        <v>347</v>
      </c>
      <c r="J187" t="s">
        <v>11469</v>
      </c>
    </row>
    <row r="188" spans="1:10">
      <c r="A188" s="1">
        <v>653287</v>
      </c>
      <c r="B188" s="1">
        <v>8569660920</v>
      </c>
      <c r="C188" s="1">
        <v>12</v>
      </c>
      <c r="D188" s="1" t="s">
        <v>347</v>
      </c>
      <c r="E188" t="s">
        <v>11470</v>
      </c>
      <c r="F188" s="1">
        <v>376764</v>
      </c>
      <c r="G188" s="1">
        <v>60580614001</v>
      </c>
      <c r="H188" s="1">
        <v>6</v>
      </c>
      <c r="I188" s="1" t="s">
        <v>347</v>
      </c>
      <c r="J188" t="s">
        <v>11471</v>
      </c>
    </row>
    <row r="189" spans="1:10">
      <c r="A189" s="1">
        <v>485235</v>
      </c>
      <c r="B189" s="1">
        <v>8569660805</v>
      </c>
      <c r="C189" s="1">
        <v>12</v>
      </c>
      <c r="D189" s="1" t="s">
        <v>963</v>
      </c>
      <c r="E189" t="s">
        <v>11472</v>
      </c>
      <c r="F189" s="1">
        <v>270991</v>
      </c>
      <c r="G189" s="1">
        <v>60580614002</v>
      </c>
      <c r="H189" s="1">
        <v>6</v>
      </c>
      <c r="I189" s="1" t="s">
        <v>347</v>
      </c>
      <c r="J189" t="s">
        <v>11473</v>
      </c>
    </row>
    <row r="190" spans="1:10">
      <c r="A190" s="1">
        <v>208801</v>
      </c>
      <c r="B190" s="1">
        <v>2548400029</v>
      </c>
      <c r="C190" s="1">
        <v>6</v>
      </c>
      <c r="D190" s="1" t="s">
        <v>399</v>
      </c>
      <c r="E190" t="s">
        <v>11474</v>
      </c>
      <c r="F190" s="1">
        <v>187575</v>
      </c>
      <c r="G190" s="1">
        <v>60580614003</v>
      </c>
      <c r="H190" s="1">
        <v>6</v>
      </c>
      <c r="I190" s="1" t="s">
        <v>347</v>
      </c>
      <c r="J190" t="s">
        <v>11475</v>
      </c>
    </row>
    <row r="191" spans="1:10">
      <c r="A191" s="1">
        <v>885640</v>
      </c>
      <c r="B191" s="1">
        <v>2548400012</v>
      </c>
      <c r="C191" s="1">
        <v>6</v>
      </c>
      <c r="D191" s="1" t="s">
        <v>259</v>
      </c>
      <c r="E191" t="s">
        <v>11476</v>
      </c>
      <c r="F191" s="1">
        <v>693184</v>
      </c>
      <c r="G191" s="1">
        <v>60580614004</v>
      </c>
      <c r="H191" s="1">
        <v>6</v>
      </c>
      <c r="I191" s="1" t="s">
        <v>347</v>
      </c>
      <c r="J191" t="s">
        <v>11477</v>
      </c>
    </row>
    <row r="192" spans="1:10">
      <c r="A192" s="1">
        <v>847293</v>
      </c>
      <c r="B192" s="1">
        <v>5321410915</v>
      </c>
      <c r="C192" s="1">
        <v>12</v>
      </c>
      <c r="D192" s="1" t="s">
        <v>10408</v>
      </c>
      <c r="E192" t="s">
        <v>11478</v>
      </c>
      <c r="F192" s="1">
        <v>182840</v>
      </c>
      <c r="G192" s="1">
        <v>60580614006</v>
      </c>
      <c r="H192" s="1">
        <v>6</v>
      </c>
      <c r="I192" s="1" t="s">
        <v>347</v>
      </c>
      <c r="J192" t="s">
        <v>11479</v>
      </c>
    </row>
    <row r="193" spans="1:10">
      <c r="A193" s="1">
        <v>522433</v>
      </c>
      <c r="B193" s="1">
        <v>61012906401</v>
      </c>
      <c r="C193" s="1">
        <v>6</v>
      </c>
      <c r="D193" s="1" t="s">
        <v>489</v>
      </c>
      <c r="E193" t="s">
        <v>11480</v>
      </c>
      <c r="F193" s="1">
        <v>388025</v>
      </c>
      <c r="G193" s="1">
        <v>60580614007</v>
      </c>
      <c r="H193" s="1">
        <v>6</v>
      </c>
      <c r="I193" s="1" t="s">
        <v>347</v>
      </c>
      <c r="J193" t="s">
        <v>11481</v>
      </c>
    </row>
    <row r="194" spans="1:10">
      <c r="A194" s="1">
        <v>473512</v>
      </c>
      <c r="B194" s="1">
        <v>61012906403</v>
      </c>
      <c r="C194" s="1">
        <v>6</v>
      </c>
      <c r="D194" s="1" t="s">
        <v>489</v>
      </c>
      <c r="E194" t="s">
        <v>11482</v>
      </c>
      <c r="F194" s="1">
        <v>466946</v>
      </c>
      <c r="G194" s="1">
        <v>60580614005</v>
      </c>
      <c r="H194" s="1">
        <v>6</v>
      </c>
      <c r="I194" s="1" t="s">
        <v>347</v>
      </c>
      <c r="J194" t="s">
        <v>11483</v>
      </c>
    </row>
    <row r="195" spans="1:10">
      <c r="A195" s="1">
        <v>522227</v>
      </c>
      <c r="B195" s="1">
        <v>61012906404</v>
      </c>
      <c r="C195" s="1">
        <v>6</v>
      </c>
      <c r="D195" s="1" t="s">
        <v>489</v>
      </c>
      <c r="E195" t="s">
        <v>11484</v>
      </c>
      <c r="F195" s="1">
        <v>800664</v>
      </c>
      <c r="G195" s="1">
        <v>7717266719</v>
      </c>
      <c r="H195" s="1">
        <v>12</v>
      </c>
      <c r="I195" s="1" t="s">
        <v>4542</v>
      </c>
      <c r="J195" t="s">
        <v>11485</v>
      </c>
    </row>
    <row r="196" spans="1:10">
      <c r="A196" s="1">
        <v>195933</v>
      </c>
      <c r="B196" s="1">
        <v>61012906402</v>
      </c>
      <c r="C196" s="1">
        <v>6</v>
      </c>
      <c r="D196" s="1" t="s">
        <v>489</v>
      </c>
      <c r="E196" t="s">
        <v>11486</v>
      </c>
      <c r="F196" s="1">
        <v>849547</v>
      </c>
      <c r="G196" s="1">
        <v>7717266771</v>
      </c>
      <c r="H196" s="1">
        <v>12</v>
      </c>
      <c r="I196" s="1" t="s">
        <v>360</v>
      </c>
      <c r="J196" t="s">
        <v>11487</v>
      </c>
    </row>
    <row r="197" spans="1:10">
      <c r="A197" s="1">
        <v>543256</v>
      </c>
      <c r="B197" s="1">
        <v>7717248140</v>
      </c>
      <c r="C197" s="1">
        <v>12</v>
      </c>
      <c r="D197" s="1" t="s">
        <v>399</v>
      </c>
      <c r="E197" t="s">
        <v>11488</v>
      </c>
      <c r="F197" s="1">
        <v>800649</v>
      </c>
      <c r="G197" s="1">
        <v>7717266718</v>
      </c>
      <c r="H197" s="1">
        <v>12</v>
      </c>
      <c r="I197" s="1" t="s">
        <v>4542</v>
      </c>
      <c r="J197" t="s">
        <v>11489</v>
      </c>
    </row>
    <row r="198" spans="1:10">
      <c r="A198" s="1">
        <v>506568</v>
      </c>
      <c r="B198" s="1">
        <v>7717248142</v>
      </c>
      <c r="C198" s="1">
        <v>12</v>
      </c>
      <c r="D198" s="1" t="s">
        <v>399</v>
      </c>
      <c r="E198" t="s">
        <v>11490</v>
      </c>
      <c r="F198" s="1">
        <v>800656</v>
      </c>
      <c r="G198" s="1">
        <v>7717266717</v>
      </c>
      <c r="H198" s="1">
        <v>12</v>
      </c>
      <c r="I198" s="1" t="s">
        <v>4542</v>
      </c>
      <c r="J198" t="s">
        <v>11491</v>
      </c>
    </row>
    <row r="199" spans="1:10" ht="15.75">
      <c r="A199" s="4" t="s">
        <v>11431</v>
      </c>
      <c r="B199" s="2"/>
      <c r="C199" s="2"/>
      <c r="D199" s="2"/>
      <c r="E199" s="3"/>
      <c r="F199" s="1">
        <v>848101</v>
      </c>
      <c r="G199" s="1">
        <v>7717266736</v>
      </c>
      <c r="H199" s="1">
        <v>12</v>
      </c>
      <c r="I199" s="1" t="s">
        <v>399</v>
      </c>
      <c r="J199" t="s">
        <v>11492</v>
      </c>
    </row>
    <row r="200" spans="1:10">
      <c r="A200" s="2" t="s">
        <v>0</v>
      </c>
      <c r="B200" s="2" t="s">
        <v>1</v>
      </c>
      <c r="C200" s="2" t="s">
        <v>2</v>
      </c>
      <c r="D200" s="2" t="s">
        <v>3</v>
      </c>
      <c r="E200" s="3" t="s">
        <v>4</v>
      </c>
      <c r="F200" s="1">
        <v>800698</v>
      </c>
      <c r="G200" s="1">
        <v>7717266720</v>
      </c>
      <c r="H200" s="1">
        <v>12</v>
      </c>
      <c r="I200" s="1" t="s">
        <v>4542</v>
      </c>
      <c r="J200" t="s">
        <v>11493</v>
      </c>
    </row>
    <row r="201" spans="1:10">
      <c r="A201" s="1">
        <v>495127</v>
      </c>
      <c r="B201" s="1">
        <v>3871850207</v>
      </c>
      <c r="C201" s="1">
        <v>12</v>
      </c>
      <c r="D201" s="1" t="s">
        <v>360</v>
      </c>
      <c r="E201" t="s">
        <v>11494</v>
      </c>
      <c r="F201" s="1">
        <v>849588</v>
      </c>
      <c r="G201" s="1">
        <v>7717266722</v>
      </c>
      <c r="H201" s="1">
        <v>12</v>
      </c>
      <c r="I201" s="1" t="s">
        <v>4542</v>
      </c>
      <c r="J201" t="s">
        <v>11495</v>
      </c>
    </row>
    <row r="202" spans="1:10">
      <c r="A202" s="1">
        <v>751024</v>
      </c>
      <c r="B202" s="1">
        <v>3871840506</v>
      </c>
      <c r="C202" s="1">
        <v>12</v>
      </c>
      <c r="D202" s="1" t="s">
        <v>546</v>
      </c>
      <c r="E202" t="s">
        <v>11496</v>
      </c>
      <c r="F202" s="1">
        <v>259333</v>
      </c>
      <c r="G202" s="1">
        <v>7717266721</v>
      </c>
      <c r="H202" s="1">
        <v>12</v>
      </c>
      <c r="I202" s="1" t="s">
        <v>4542</v>
      </c>
      <c r="J202" t="s">
        <v>11497</v>
      </c>
    </row>
    <row r="203" spans="1:10">
      <c r="A203" s="1">
        <v>726265</v>
      </c>
      <c r="B203" s="1">
        <v>3871879008</v>
      </c>
      <c r="C203" s="1">
        <v>12</v>
      </c>
      <c r="D203" s="1" t="s">
        <v>399</v>
      </c>
      <c r="E203" t="s">
        <v>11498</v>
      </c>
      <c r="F203" s="1">
        <v>137976</v>
      </c>
      <c r="G203" s="1">
        <v>580612450</v>
      </c>
      <c r="H203" s="1">
        <v>12</v>
      </c>
      <c r="I203" s="1" t="s">
        <v>347</v>
      </c>
      <c r="J203" t="s">
        <v>11499</v>
      </c>
    </row>
    <row r="204" spans="1:10">
      <c r="A204" s="1">
        <v>857391</v>
      </c>
      <c r="B204" s="1">
        <v>3871830023</v>
      </c>
      <c r="C204" s="1">
        <v>12</v>
      </c>
      <c r="D204" s="1" t="s">
        <v>259</v>
      </c>
      <c r="E204" t="s">
        <v>11500</v>
      </c>
      <c r="F204" s="1">
        <v>371831</v>
      </c>
      <c r="G204" s="1">
        <v>580600005</v>
      </c>
      <c r="H204" s="1">
        <v>12</v>
      </c>
      <c r="I204" s="1" t="s">
        <v>347</v>
      </c>
      <c r="J204" t="s">
        <v>11501</v>
      </c>
    </row>
    <row r="205" spans="1:10">
      <c r="A205" s="1">
        <v>485631</v>
      </c>
      <c r="B205" s="1">
        <v>3871820313</v>
      </c>
      <c r="C205" s="1">
        <v>12</v>
      </c>
      <c r="D205" s="1" t="s">
        <v>259</v>
      </c>
      <c r="E205" t="s">
        <v>11502</v>
      </c>
      <c r="F205" s="1">
        <v>496695</v>
      </c>
      <c r="G205" s="1">
        <v>60580613603</v>
      </c>
      <c r="H205" s="1">
        <v>6</v>
      </c>
      <c r="I205" s="1" t="s">
        <v>381</v>
      </c>
      <c r="J205" t="s">
        <v>11503</v>
      </c>
    </row>
    <row r="206" spans="1:10">
      <c r="A206" s="1">
        <v>491696</v>
      </c>
      <c r="B206" s="1">
        <v>3871840813</v>
      </c>
      <c r="C206" s="1">
        <v>12</v>
      </c>
      <c r="D206" s="1" t="s">
        <v>347</v>
      </c>
      <c r="E206" t="s">
        <v>11504</v>
      </c>
      <c r="F206" s="1">
        <v>43430</v>
      </c>
      <c r="G206" s="1">
        <v>60580613600</v>
      </c>
      <c r="H206" s="1">
        <v>6</v>
      </c>
      <c r="I206" s="1" t="s">
        <v>381</v>
      </c>
      <c r="J206" t="s">
        <v>11505</v>
      </c>
    </row>
    <row r="207" spans="1:10" ht="15.75">
      <c r="A207" s="4" t="s">
        <v>11459</v>
      </c>
      <c r="B207" s="2"/>
      <c r="C207" s="2"/>
      <c r="D207" s="2"/>
      <c r="E207" s="3"/>
      <c r="F207" s="4" t="s">
        <v>11459</v>
      </c>
      <c r="G207" s="2"/>
      <c r="H207" s="2"/>
      <c r="I207" s="2"/>
      <c r="J207" s="3"/>
    </row>
    <row r="208" spans="1:10">
      <c r="A208" s="2" t="s">
        <v>0</v>
      </c>
      <c r="B208" s="2" t="s">
        <v>1</v>
      </c>
      <c r="C208" s="2" t="s">
        <v>2</v>
      </c>
      <c r="D208" s="2" t="s">
        <v>3</v>
      </c>
      <c r="E208" s="3" t="s">
        <v>4</v>
      </c>
      <c r="F208" s="2" t="s">
        <v>0</v>
      </c>
      <c r="G208" s="2" t="s">
        <v>1</v>
      </c>
      <c r="H208" s="2" t="s">
        <v>2</v>
      </c>
      <c r="I208" s="2" t="s">
        <v>3</v>
      </c>
      <c r="J208" s="3" t="s">
        <v>4</v>
      </c>
    </row>
    <row r="209" spans="1:10">
      <c r="A209" s="1">
        <v>657973</v>
      </c>
      <c r="B209" s="1">
        <v>1392312002</v>
      </c>
      <c r="C209" s="1">
        <v>2</v>
      </c>
      <c r="D209" s="1" t="s">
        <v>1656</v>
      </c>
      <c r="E209" t="s">
        <v>11506</v>
      </c>
      <c r="F209" s="1">
        <v>891887</v>
      </c>
      <c r="G209" s="1">
        <v>6593400170</v>
      </c>
      <c r="H209" s="1">
        <v>6</v>
      </c>
      <c r="I209" s="1" t="s">
        <v>404</v>
      </c>
      <c r="J209" t="s">
        <v>11507</v>
      </c>
    </row>
    <row r="210" spans="1:10">
      <c r="A210" s="1">
        <v>388702</v>
      </c>
      <c r="B210" s="1">
        <v>71651901308</v>
      </c>
      <c r="C210" s="1">
        <v>9</v>
      </c>
      <c r="D210" s="1" t="s">
        <v>347</v>
      </c>
      <c r="E210" t="s">
        <v>11508</v>
      </c>
      <c r="F210" s="1">
        <v>803536</v>
      </c>
      <c r="G210" s="1">
        <v>3260150135</v>
      </c>
      <c r="H210" s="1">
        <v>18</v>
      </c>
      <c r="I210" s="1" t="s">
        <v>860</v>
      </c>
      <c r="J210" t="s">
        <v>11509</v>
      </c>
    </row>
    <row r="211" spans="1:10">
      <c r="A211" s="1">
        <v>662627</v>
      </c>
      <c r="B211" s="1">
        <v>71651901500</v>
      </c>
      <c r="C211" s="1">
        <v>6</v>
      </c>
      <c r="D211" s="1" t="s">
        <v>4586</v>
      </c>
      <c r="E211" t="s">
        <v>11510</v>
      </c>
      <c r="F211" s="1">
        <v>873992</v>
      </c>
      <c r="G211" s="1">
        <v>3260150120</v>
      </c>
      <c r="H211" s="1">
        <v>10</v>
      </c>
      <c r="I211" s="1" t="s">
        <v>4815</v>
      </c>
      <c r="J211" t="s">
        <v>11511</v>
      </c>
    </row>
    <row r="212" spans="1:10" ht="15.75">
      <c r="A212" s="1">
        <v>331413</v>
      </c>
      <c r="B212" s="1">
        <v>71651901503</v>
      </c>
      <c r="C212" s="1">
        <v>6</v>
      </c>
      <c r="D212" s="1" t="s">
        <v>399</v>
      </c>
      <c r="E212" t="s">
        <v>11512</v>
      </c>
      <c r="F212" s="4" t="s">
        <v>11513</v>
      </c>
      <c r="G212" s="2"/>
      <c r="H212" s="2"/>
      <c r="I212" s="2"/>
      <c r="J212" s="3"/>
    </row>
    <row r="213" spans="1:10">
      <c r="A213" s="1">
        <v>408450</v>
      </c>
      <c r="B213" s="1">
        <v>71651901502</v>
      </c>
      <c r="C213" s="1">
        <v>6</v>
      </c>
      <c r="D213" s="1" t="s">
        <v>4586</v>
      </c>
      <c r="E213" t="s">
        <v>11514</v>
      </c>
      <c r="F213" s="2" t="s">
        <v>0</v>
      </c>
      <c r="G213" s="2" t="s">
        <v>1</v>
      </c>
      <c r="H213" s="2" t="s">
        <v>2</v>
      </c>
      <c r="I213" s="2" t="s">
        <v>3</v>
      </c>
      <c r="J213" s="3" t="s">
        <v>4</v>
      </c>
    </row>
    <row r="214" spans="1:10">
      <c r="A214" s="1">
        <v>63800</v>
      </c>
      <c r="B214" s="1">
        <v>71651901501</v>
      </c>
      <c r="C214" s="1">
        <v>6</v>
      </c>
      <c r="D214" s="1" t="s">
        <v>1096</v>
      </c>
      <c r="E214" t="s">
        <v>11515</v>
      </c>
      <c r="F214" s="1">
        <v>439166</v>
      </c>
      <c r="G214" s="1">
        <v>7146440350</v>
      </c>
      <c r="H214" s="1">
        <v>6</v>
      </c>
      <c r="I214" s="1" t="s">
        <v>259</v>
      </c>
      <c r="J214" t="s">
        <v>11516</v>
      </c>
    </row>
    <row r="215" spans="1:10">
      <c r="A215" s="1">
        <v>701763</v>
      </c>
      <c r="B215" s="1">
        <v>71651901305</v>
      </c>
      <c r="C215" s="1">
        <v>9</v>
      </c>
      <c r="D215" s="1" t="s">
        <v>347</v>
      </c>
      <c r="E215" t="s">
        <v>11517</v>
      </c>
      <c r="F215" s="1">
        <v>262824</v>
      </c>
      <c r="G215" s="1">
        <v>7146440150</v>
      </c>
      <c r="H215" s="1">
        <v>6</v>
      </c>
      <c r="I215" s="1" t="s">
        <v>259</v>
      </c>
      <c r="J215" t="s">
        <v>11518</v>
      </c>
    </row>
    <row r="216" spans="1:10">
      <c r="A216" s="1">
        <v>655498</v>
      </c>
      <c r="B216" s="1">
        <v>71651901303</v>
      </c>
      <c r="C216" s="1">
        <v>9</v>
      </c>
      <c r="D216" s="1" t="s">
        <v>347</v>
      </c>
      <c r="E216" t="s">
        <v>11519</v>
      </c>
      <c r="F216" s="1">
        <v>684688</v>
      </c>
      <c r="G216" s="1">
        <v>7146440250</v>
      </c>
      <c r="H216" s="1">
        <v>6</v>
      </c>
      <c r="I216" s="1" t="s">
        <v>259</v>
      </c>
      <c r="J216" t="s">
        <v>11520</v>
      </c>
    </row>
    <row r="217" spans="1:10">
      <c r="A217" s="1">
        <v>488148</v>
      </c>
      <c r="B217" s="1">
        <v>71651901307</v>
      </c>
      <c r="C217" s="1">
        <v>9</v>
      </c>
      <c r="D217" s="1" t="s">
        <v>347</v>
      </c>
      <c r="E217" t="s">
        <v>11521</v>
      </c>
      <c r="F217" s="1">
        <v>286179</v>
      </c>
      <c r="G217" s="1">
        <v>7146440850</v>
      </c>
      <c r="H217" s="1">
        <v>6</v>
      </c>
      <c r="I217" s="1" t="s">
        <v>259</v>
      </c>
      <c r="J217" t="s">
        <v>11522</v>
      </c>
    </row>
    <row r="218" spans="1:10">
      <c r="A218" s="1">
        <v>426064</v>
      </c>
      <c r="B218" s="1">
        <v>71651901301</v>
      </c>
      <c r="C218" s="1">
        <v>9</v>
      </c>
      <c r="D218" s="1" t="s">
        <v>347</v>
      </c>
      <c r="E218" t="s">
        <v>11523</v>
      </c>
      <c r="F218" s="1">
        <v>480004</v>
      </c>
      <c r="G218" s="1">
        <v>7146440050</v>
      </c>
      <c r="H218" s="1">
        <v>6</v>
      </c>
      <c r="I218" s="1" t="s">
        <v>259</v>
      </c>
      <c r="J218" t="s">
        <v>11524</v>
      </c>
    </row>
    <row r="219" spans="1:10">
      <c r="A219" s="1">
        <v>379107</v>
      </c>
      <c r="B219" s="1">
        <v>71651909003</v>
      </c>
      <c r="C219" s="1">
        <v>6</v>
      </c>
      <c r="D219" s="1" t="s">
        <v>404</v>
      </c>
      <c r="E219" t="s">
        <v>11525</v>
      </c>
      <c r="F219" s="1">
        <v>739839</v>
      </c>
      <c r="G219" s="1">
        <v>8434822572</v>
      </c>
      <c r="H219" s="1">
        <v>8</v>
      </c>
      <c r="I219" s="1" t="s">
        <v>489</v>
      </c>
      <c r="J219" t="s">
        <v>11526</v>
      </c>
    </row>
    <row r="220" spans="1:10">
      <c r="A220" s="1">
        <v>822874</v>
      </c>
      <c r="B220" s="1">
        <v>71651904120</v>
      </c>
      <c r="C220" s="1">
        <v>6</v>
      </c>
      <c r="D220" s="1" t="s">
        <v>404</v>
      </c>
      <c r="E220" t="s">
        <v>11527</v>
      </c>
      <c r="F220" s="1">
        <v>42069</v>
      </c>
      <c r="G220" s="1">
        <v>8434873726</v>
      </c>
      <c r="H220" s="1">
        <v>8</v>
      </c>
      <c r="I220" s="1" t="s">
        <v>489</v>
      </c>
      <c r="J220" t="s">
        <v>11528</v>
      </c>
    </row>
    <row r="221" spans="1:10">
      <c r="A221" s="1">
        <v>867036</v>
      </c>
      <c r="B221" s="1">
        <v>71651901304</v>
      </c>
      <c r="C221" s="1">
        <v>9</v>
      </c>
      <c r="D221" s="1" t="s">
        <v>347</v>
      </c>
      <c r="E221" t="s">
        <v>11529</v>
      </c>
      <c r="F221" s="1">
        <v>356717</v>
      </c>
      <c r="G221" s="1">
        <v>8434822266</v>
      </c>
      <c r="H221" s="1">
        <v>8</v>
      </c>
      <c r="I221" s="1" t="s">
        <v>489</v>
      </c>
      <c r="J221" t="s">
        <v>11530</v>
      </c>
    </row>
    <row r="222" spans="1:10">
      <c r="A222" s="1">
        <v>789016</v>
      </c>
      <c r="B222" s="1">
        <v>3338369999</v>
      </c>
      <c r="C222" s="1">
        <v>1</v>
      </c>
      <c r="D222" s="1" t="s">
        <v>47</v>
      </c>
      <c r="E222" t="s">
        <v>11531</v>
      </c>
      <c r="F222" s="1">
        <v>549758</v>
      </c>
      <c r="G222" s="1">
        <v>7766111593</v>
      </c>
      <c r="H222" s="1">
        <v>6</v>
      </c>
      <c r="I222" s="1" t="s">
        <v>379</v>
      </c>
      <c r="J222" t="s">
        <v>11532</v>
      </c>
    </row>
    <row r="223" spans="1:10">
      <c r="A223" s="1">
        <v>554907</v>
      </c>
      <c r="B223" s="1">
        <v>71651901306</v>
      </c>
      <c r="C223" s="1">
        <v>9</v>
      </c>
      <c r="D223" s="1" t="s">
        <v>347</v>
      </c>
      <c r="E223" t="s">
        <v>11533</v>
      </c>
      <c r="F223" s="1">
        <v>804286</v>
      </c>
      <c r="G223" s="1">
        <v>7766111792</v>
      </c>
      <c r="H223" s="1">
        <v>6</v>
      </c>
      <c r="I223" s="1" t="s">
        <v>379</v>
      </c>
      <c r="J223" t="s">
        <v>11534</v>
      </c>
    </row>
    <row r="224" spans="1:10">
      <c r="A224" s="1">
        <v>822924</v>
      </c>
      <c r="B224" s="1">
        <v>71651904101</v>
      </c>
      <c r="C224" s="1">
        <v>6</v>
      </c>
      <c r="D224" s="1" t="s">
        <v>399</v>
      </c>
      <c r="E224" t="s">
        <v>11535</v>
      </c>
      <c r="F224" s="1">
        <v>815969</v>
      </c>
      <c r="G224" s="1">
        <v>7766100313</v>
      </c>
      <c r="H224" s="1">
        <v>6</v>
      </c>
      <c r="I224" s="1" t="s">
        <v>379</v>
      </c>
      <c r="J224" t="s">
        <v>11536</v>
      </c>
    </row>
    <row r="225" spans="1:10">
      <c r="A225" s="1">
        <v>803239</v>
      </c>
      <c r="B225" s="1">
        <v>71651904101</v>
      </c>
      <c r="C225" s="1">
        <v>12</v>
      </c>
      <c r="D225" s="1" t="s">
        <v>399</v>
      </c>
      <c r="E225" t="s">
        <v>11537</v>
      </c>
      <c r="F225" s="1">
        <v>486456</v>
      </c>
      <c r="G225" s="1">
        <v>7766100316</v>
      </c>
      <c r="H225" s="1">
        <v>6</v>
      </c>
      <c r="I225" s="1" t="s">
        <v>379</v>
      </c>
      <c r="J225" t="s">
        <v>11538</v>
      </c>
    </row>
    <row r="226" spans="1:10">
      <c r="A226" s="1">
        <v>803114</v>
      </c>
      <c r="B226" s="1">
        <v>8569660805</v>
      </c>
      <c r="C226" s="1">
        <v>24</v>
      </c>
      <c r="D226" s="1" t="s">
        <v>370</v>
      </c>
      <c r="E226" t="s">
        <v>11539</v>
      </c>
      <c r="F226" s="1">
        <v>810499</v>
      </c>
      <c r="G226" s="1">
        <v>7766133546</v>
      </c>
      <c r="H226" s="1">
        <v>6</v>
      </c>
      <c r="I226" s="1" t="s">
        <v>1313</v>
      </c>
      <c r="J226" t="s">
        <v>11540</v>
      </c>
    </row>
    <row r="227" spans="1:10">
      <c r="A227" s="1">
        <v>162800</v>
      </c>
      <c r="B227" s="1">
        <v>94385</v>
      </c>
      <c r="C227" s="1">
        <v>1</v>
      </c>
      <c r="D227" s="1" t="s">
        <v>11541</v>
      </c>
      <c r="E227" t="s">
        <v>11542</v>
      </c>
      <c r="F227" s="1">
        <v>816108</v>
      </c>
      <c r="G227" s="1">
        <v>7766101413</v>
      </c>
      <c r="H227" s="1">
        <v>6</v>
      </c>
      <c r="I227" s="1" t="s">
        <v>379</v>
      </c>
      <c r="J227" t="s">
        <v>11543</v>
      </c>
    </row>
    <row r="228" spans="1:10">
      <c r="A228" s="1">
        <v>757096</v>
      </c>
      <c r="B228" s="1">
        <v>6593400180</v>
      </c>
      <c r="C228" s="1">
        <v>6</v>
      </c>
      <c r="D228" s="1" t="s">
        <v>404</v>
      </c>
      <c r="E228" t="s">
        <v>11544</v>
      </c>
      <c r="F228" s="1">
        <v>815936</v>
      </c>
      <c r="G228" s="1">
        <v>7766104813</v>
      </c>
      <c r="H228" s="1">
        <v>6</v>
      </c>
      <c r="I228" s="1" t="s">
        <v>379</v>
      </c>
      <c r="J228" t="s">
        <v>11545</v>
      </c>
    </row>
    <row r="229" spans="1:10">
      <c r="A229" s="1">
        <v>59329</v>
      </c>
      <c r="B229" s="1">
        <v>894063</v>
      </c>
      <c r="C229" s="1">
        <v>1</v>
      </c>
      <c r="D229" s="1" t="s">
        <v>6595</v>
      </c>
      <c r="E229" t="s">
        <v>11546</v>
      </c>
      <c r="F229" s="1">
        <v>803544</v>
      </c>
      <c r="G229" s="1">
        <v>7766101725</v>
      </c>
      <c r="H229" s="1">
        <v>6</v>
      </c>
      <c r="I229" s="1" t="s">
        <v>1313</v>
      </c>
      <c r="J229" t="s">
        <v>11547</v>
      </c>
    </row>
    <row r="230" spans="1:10">
      <c r="A230" s="1">
        <v>308239</v>
      </c>
      <c r="B230" s="1">
        <v>7523400570</v>
      </c>
      <c r="C230" s="1">
        <v>6</v>
      </c>
      <c r="D230" s="1" t="s">
        <v>399</v>
      </c>
      <c r="E230" t="s">
        <v>11546</v>
      </c>
      <c r="F230" s="1">
        <v>816116</v>
      </c>
      <c r="G230" s="1">
        <v>7766101513</v>
      </c>
      <c r="H230" s="1">
        <v>6</v>
      </c>
      <c r="I230" s="1" t="s">
        <v>379</v>
      </c>
      <c r="J230" t="s">
        <v>11548</v>
      </c>
    </row>
    <row r="231" spans="1:10">
      <c r="A231" s="1">
        <v>898478</v>
      </c>
      <c r="B231" s="1">
        <v>7523400574</v>
      </c>
      <c r="C231" s="1">
        <v>6</v>
      </c>
      <c r="D231" s="1" t="s">
        <v>347</v>
      </c>
      <c r="E231" t="s">
        <v>11549</v>
      </c>
      <c r="F231" s="1">
        <v>815944</v>
      </c>
      <c r="G231" s="1">
        <v>7766102913</v>
      </c>
      <c r="H231" s="1">
        <v>6</v>
      </c>
      <c r="I231" s="1" t="s">
        <v>379</v>
      </c>
      <c r="J231" t="s">
        <v>11550</v>
      </c>
    </row>
    <row r="232" spans="1:10">
      <c r="A232" s="1">
        <v>739458</v>
      </c>
      <c r="B232" s="1">
        <v>7523420012</v>
      </c>
      <c r="C232" s="1">
        <v>2</v>
      </c>
      <c r="D232" s="1" t="s">
        <v>1656</v>
      </c>
      <c r="E232" t="s">
        <v>11551</v>
      </c>
      <c r="F232" s="1">
        <v>810481</v>
      </c>
      <c r="G232" s="1">
        <v>7766100925</v>
      </c>
      <c r="H232" s="1">
        <v>6</v>
      </c>
      <c r="I232" s="1" t="s">
        <v>1313</v>
      </c>
      <c r="J232" t="s">
        <v>11550</v>
      </c>
    </row>
    <row r="233" spans="1:10">
      <c r="A233" s="1">
        <v>449470</v>
      </c>
      <c r="B233" s="1">
        <v>7523420008</v>
      </c>
      <c r="C233" s="1">
        <v>1</v>
      </c>
      <c r="D233" s="1" t="s">
        <v>4658</v>
      </c>
      <c r="E233" t="s">
        <v>11552</v>
      </c>
      <c r="F233" s="1">
        <v>816124</v>
      </c>
      <c r="G233" s="1">
        <v>7766100713</v>
      </c>
      <c r="H233" s="1">
        <v>6</v>
      </c>
      <c r="I233" s="1" t="s">
        <v>379</v>
      </c>
      <c r="J233" t="s">
        <v>11553</v>
      </c>
    </row>
    <row r="234" spans="1:10">
      <c r="A234" s="1">
        <v>569046</v>
      </c>
      <c r="B234" s="1">
        <v>7523400571</v>
      </c>
      <c r="C234" s="1">
        <v>6</v>
      </c>
      <c r="D234" s="1" t="s">
        <v>347</v>
      </c>
      <c r="E234" t="s">
        <v>11554</v>
      </c>
      <c r="F234" s="1">
        <v>332544</v>
      </c>
      <c r="G234" s="1">
        <v>7766111241</v>
      </c>
      <c r="H234" s="1">
        <v>6</v>
      </c>
      <c r="I234" s="1" t="s">
        <v>347</v>
      </c>
      <c r="J234" t="s">
        <v>11555</v>
      </c>
    </row>
    <row r="235" spans="1:10">
      <c r="A235" s="1">
        <v>485136</v>
      </c>
      <c r="B235" s="1">
        <v>894071</v>
      </c>
      <c r="C235" s="1">
        <v>1</v>
      </c>
      <c r="D235" s="1" t="s">
        <v>6595</v>
      </c>
      <c r="E235" t="s">
        <v>11554</v>
      </c>
      <c r="F235" s="1">
        <v>816132</v>
      </c>
      <c r="G235" s="1">
        <v>7766100813</v>
      </c>
      <c r="H235" s="1">
        <v>6</v>
      </c>
      <c r="I235" s="1" t="s">
        <v>379</v>
      </c>
      <c r="J235" t="s">
        <v>11556</v>
      </c>
    </row>
    <row r="236" spans="1:10">
      <c r="A236" s="1">
        <v>448001</v>
      </c>
      <c r="B236" s="1">
        <v>7523420009</v>
      </c>
      <c r="C236" s="1">
        <v>1</v>
      </c>
      <c r="D236" s="1" t="s">
        <v>4658</v>
      </c>
      <c r="E236" t="s">
        <v>11557</v>
      </c>
      <c r="F236" s="1">
        <v>816090</v>
      </c>
      <c r="G236" s="1">
        <v>7766100112</v>
      </c>
      <c r="H236" s="1">
        <v>6</v>
      </c>
      <c r="I236" s="1" t="s">
        <v>379</v>
      </c>
      <c r="J236" t="s">
        <v>11558</v>
      </c>
    </row>
    <row r="237" spans="1:10">
      <c r="A237" s="1">
        <v>475954</v>
      </c>
      <c r="B237" s="1">
        <v>7523400160</v>
      </c>
      <c r="C237" s="1">
        <v>6</v>
      </c>
      <c r="D237" s="1" t="s">
        <v>399</v>
      </c>
      <c r="E237" t="s">
        <v>11559</v>
      </c>
      <c r="F237" s="1">
        <v>815951</v>
      </c>
      <c r="G237" s="1">
        <v>7766104413</v>
      </c>
      <c r="H237" s="1">
        <v>6</v>
      </c>
      <c r="I237" s="1" t="s">
        <v>379</v>
      </c>
      <c r="J237" t="s">
        <v>11560</v>
      </c>
    </row>
    <row r="238" spans="1:10">
      <c r="A238" s="1">
        <v>101436</v>
      </c>
      <c r="B238" s="1">
        <v>7523400170</v>
      </c>
      <c r="C238" s="1">
        <v>6</v>
      </c>
      <c r="D238" s="1" t="s">
        <v>399</v>
      </c>
      <c r="E238" t="s">
        <v>11561</v>
      </c>
      <c r="F238" s="1">
        <v>725945</v>
      </c>
      <c r="G238" s="1">
        <v>7766110360</v>
      </c>
      <c r="H238" s="1">
        <v>6</v>
      </c>
      <c r="I238" s="1" t="s">
        <v>347</v>
      </c>
      <c r="J238" t="s">
        <v>11562</v>
      </c>
    </row>
    <row r="239" spans="1:10">
      <c r="A239" s="1">
        <v>423004</v>
      </c>
      <c r="B239" s="1">
        <v>6593400160</v>
      </c>
      <c r="C239" s="1">
        <v>8</v>
      </c>
      <c r="D239" s="1" t="s">
        <v>399</v>
      </c>
      <c r="E239" t="s">
        <v>11563</v>
      </c>
      <c r="F239" s="1">
        <v>332478</v>
      </c>
      <c r="G239" s="1">
        <v>7766111236</v>
      </c>
      <c r="H239" s="1">
        <v>6</v>
      </c>
      <c r="I239" s="1" t="s">
        <v>379</v>
      </c>
      <c r="J239" t="s">
        <v>11564</v>
      </c>
    </row>
    <row r="240" spans="1:10">
      <c r="A240" s="1">
        <v>763714</v>
      </c>
      <c r="B240" s="1">
        <v>7523411134</v>
      </c>
      <c r="C240" s="1">
        <v>3</v>
      </c>
      <c r="D240" s="1" t="s">
        <v>553</v>
      </c>
      <c r="E240" t="s">
        <v>11565</v>
      </c>
      <c r="F240" s="1">
        <v>810507</v>
      </c>
      <c r="G240" s="1">
        <v>7766104213</v>
      </c>
      <c r="H240" s="1">
        <v>6</v>
      </c>
      <c r="I240" s="1" t="s">
        <v>379</v>
      </c>
      <c r="J240" t="s">
        <v>11566</v>
      </c>
    </row>
    <row r="241" spans="1:10">
      <c r="A241" s="1">
        <v>784520</v>
      </c>
      <c r="B241" s="1">
        <v>7523400576</v>
      </c>
      <c r="C241" s="1">
        <v>6</v>
      </c>
      <c r="D241" s="1" t="s">
        <v>399</v>
      </c>
      <c r="E241" t="s">
        <v>11567</v>
      </c>
      <c r="F241" s="1">
        <v>898544</v>
      </c>
      <c r="G241" s="1">
        <v>7184020031</v>
      </c>
      <c r="H241" s="1">
        <v>6</v>
      </c>
      <c r="I241" s="1" t="s">
        <v>347</v>
      </c>
      <c r="J241" t="s">
        <v>11568</v>
      </c>
    </row>
    <row r="242" spans="1:10">
      <c r="A242" s="1">
        <v>280925</v>
      </c>
      <c r="B242" s="1">
        <v>7523400577</v>
      </c>
      <c r="C242" s="1">
        <v>6</v>
      </c>
      <c r="D242" s="1" t="s">
        <v>399</v>
      </c>
      <c r="E242" t="s">
        <v>11569</v>
      </c>
      <c r="F242" s="1">
        <v>246991</v>
      </c>
      <c r="G242" s="1">
        <v>7184009111</v>
      </c>
      <c r="H242" s="1">
        <v>6</v>
      </c>
      <c r="I242" s="1" t="s">
        <v>703</v>
      </c>
      <c r="J242" t="s">
        <v>11570</v>
      </c>
    </row>
    <row r="243" spans="1:10">
      <c r="A243" s="1">
        <v>300202</v>
      </c>
      <c r="B243" s="1">
        <v>7523400502</v>
      </c>
      <c r="C243" s="1">
        <v>6</v>
      </c>
      <c r="D243" s="1" t="s">
        <v>375</v>
      </c>
      <c r="E243" t="s">
        <v>11571</v>
      </c>
      <c r="F243" s="1">
        <v>465609</v>
      </c>
      <c r="G243" s="1">
        <v>7184009011</v>
      </c>
      <c r="H243" s="1">
        <v>6</v>
      </c>
      <c r="I243" s="1" t="s">
        <v>703</v>
      </c>
      <c r="J243" t="s">
        <v>11572</v>
      </c>
    </row>
    <row r="244" spans="1:10">
      <c r="A244" s="1">
        <v>291674</v>
      </c>
      <c r="B244" s="1">
        <v>7523480100</v>
      </c>
      <c r="C244" s="1">
        <v>6</v>
      </c>
      <c r="D244" s="1" t="s">
        <v>1973</v>
      </c>
      <c r="E244" t="s">
        <v>11573</v>
      </c>
      <c r="F244" s="1">
        <v>588137</v>
      </c>
      <c r="G244" s="1">
        <v>7184004934</v>
      </c>
      <c r="H244" s="1">
        <v>6</v>
      </c>
      <c r="I244" s="1" t="s">
        <v>347</v>
      </c>
      <c r="J244" t="s">
        <v>11574</v>
      </c>
    </row>
    <row r="245" spans="1:10">
      <c r="A245" s="1">
        <v>501866</v>
      </c>
      <c r="B245" s="1">
        <v>7523411128</v>
      </c>
      <c r="C245" s="1">
        <v>6</v>
      </c>
      <c r="D245" s="1" t="s">
        <v>938</v>
      </c>
      <c r="E245" t="s">
        <v>11575</v>
      </c>
      <c r="F245" s="1">
        <v>167999</v>
      </c>
      <c r="G245" s="1">
        <v>7184009204</v>
      </c>
      <c r="H245" s="1">
        <v>6</v>
      </c>
      <c r="I245" s="1" t="s">
        <v>1313</v>
      </c>
      <c r="J245" t="s">
        <v>11576</v>
      </c>
    </row>
    <row r="246" spans="1:10">
      <c r="A246" s="1">
        <v>282632</v>
      </c>
      <c r="B246" s="1">
        <v>7523400572</v>
      </c>
      <c r="C246" s="1">
        <v>6</v>
      </c>
      <c r="D246" s="1" t="s">
        <v>489</v>
      </c>
      <c r="E246" t="s">
        <v>11577</v>
      </c>
      <c r="F246" s="1">
        <v>47829</v>
      </c>
      <c r="G246" s="1">
        <v>7184005080</v>
      </c>
      <c r="H246" s="1">
        <v>12</v>
      </c>
      <c r="I246" s="1" t="s">
        <v>347</v>
      </c>
      <c r="J246" t="s">
        <v>11578</v>
      </c>
    </row>
    <row r="247" spans="1:10">
      <c r="A247" s="1">
        <v>468736</v>
      </c>
      <c r="B247" s="1">
        <v>7523400573</v>
      </c>
      <c r="C247" s="1">
        <v>6</v>
      </c>
      <c r="D247" s="1" t="s">
        <v>489</v>
      </c>
      <c r="E247" t="s">
        <v>11579</v>
      </c>
      <c r="F247" s="1">
        <v>91546</v>
      </c>
      <c r="G247" s="1">
        <v>7184009203</v>
      </c>
      <c r="H247" s="1">
        <v>6</v>
      </c>
      <c r="I247" s="1" t="s">
        <v>1313</v>
      </c>
      <c r="J247" t="s">
        <v>11578</v>
      </c>
    </row>
    <row r="248" spans="1:10" ht="15.75">
      <c r="A248" s="4" t="s">
        <v>11513</v>
      </c>
      <c r="B248" s="2"/>
      <c r="C248" s="2"/>
      <c r="D248" s="2"/>
      <c r="E248" s="3"/>
      <c r="F248" s="4" t="s">
        <v>11513</v>
      </c>
      <c r="G248" s="2"/>
      <c r="H248" s="2"/>
      <c r="I248" s="2"/>
      <c r="J248" s="3"/>
    </row>
    <row r="249" spans="1:10">
      <c r="A249" s="2" t="s">
        <v>0</v>
      </c>
      <c r="B249" s="2" t="s">
        <v>1</v>
      </c>
      <c r="C249" s="2" t="s">
        <v>2</v>
      </c>
      <c r="D249" s="2" t="s">
        <v>3</v>
      </c>
      <c r="E249" s="3" t="s">
        <v>4</v>
      </c>
      <c r="F249" s="2" t="s">
        <v>0</v>
      </c>
      <c r="G249" s="2" t="s">
        <v>1</v>
      </c>
      <c r="H249" s="2" t="s">
        <v>2</v>
      </c>
      <c r="I249" s="2" t="s">
        <v>3</v>
      </c>
      <c r="J249" s="3" t="s">
        <v>4</v>
      </c>
    </row>
    <row r="250" spans="1:10">
      <c r="A250" s="1">
        <v>450775</v>
      </c>
      <c r="B250" s="1">
        <v>7184004330</v>
      </c>
      <c r="C250" s="1">
        <v>6</v>
      </c>
      <c r="D250" s="1" t="s">
        <v>347</v>
      </c>
      <c r="E250" t="s">
        <v>11580</v>
      </c>
      <c r="F250" s="1">
        <v>817270</v>
      </c>
      <c r="G250" s="1">
        <v>7020050037</v>
      </c>
      <c r="H250" s="1">
        <v>6</v>
      </c>
      <c r="I250" s="1" t="s">
        <v>910</v>
      </c>
      <c r="J250" t="s">
        <v>11581</v>
      </c>
    </row>
    <row r="251" spans="1:10">
      <c r="A251" s="1">
        <v>211862</v>
      </c>
      <c r="B251" s="1">
        <v>7184009008</v>
      </c>
      <c r="C251" s="1">
        <v>6</v>
      </c>
      <c r="D251" s="1" t="s">
        <v>703</v>
      </c>
      <c r="E251" t="s">
        <v>11582</v>
      </c>
      <c r="F251" s="1">
        <v>876946</v>
      </c>
      <c r="G251" s="1">
        <v>7020050039</v>
      </c>
      <c r="H251" s="1">
        <v>6</v>
      </c>
      <c r="I251" s="1" t="s">
        <v>910</v>
      </c>
      <c r="J251" t="s">
        <v>11583</v>
      </c>
    </row>
    <row r="252" spans="1:10">
      <c r="A252" s="1">
        <v>738682</v>
      </c>
      <c r="B252" s="1">
        <v>7184004281</v>
      </c>
      <c r="C252" s="1">
        <v>12</v>
      </c>
      <c r="D252" s="1" t="s">
        <v>347</v>
      </c>
      <c r="E252" t="s">
        <v>11584</v>
      </c>
      <c r="F252" s="1">
        <v>230318</v>
      </c>
      <c r="G252" s="1">
        <v>7020050022</v>
      </c>
      <c r="H252" s="1">
        <v>6</v>
      </c>
      <c r="I252" s="1" t="s">
        <v>2826</v>
      </c>
      <c r="J252" t="s">
        <v>11585</v>
      </c>
    </row>
    <row r="253" spans="1:10">
      <c r="A253" s="1">
        <v>261248</v>
      </c>
      <c r="B253" s="1">
        <v>7184004253</v>
      </c>
      <c r="C253" s="1">
        <v>6</v>
      </c>
      <c r="D253" s="1" t="s">
        <v>347</v>
      </c>
      <c r="E253" t="s">
        <v>11586</v>
      </c>
      <c r="F253" s="1">
        <v>116038</v>
      </c>
      <c r="G253" s="1">
        <v>7020052052</v>
      </c>
      <c r="H253" s="1">
        <v>6</v>
      </c>
      <c r="I253" s="1" t="s">
        <v>910</v>
      </c>
      <c r="J253" t="s">
        <v>11587</v>
      </c>
    </row>
    <row r="254" spans="1:10">
      <c r="A254" s="1">
        <v>304816</v>
      </c>
      <c r="B254" s="1">
        <v>7184009202</v>
      </c>
      <c r="C254" s="1">
        <v>6</v>
      </c>
      <c r="D254" s="1" t="s">
        <v>1313</v>
      </c>
      <c r="E254" t="s">
        <v>11588</v>
      </c>
      <c r="F254" s="1">
        <v>648170</v>
      </c>
      <c r="G254" s="1">
        <v>7653916020</v>
      </c>
      <c r="H254" s="1">
        <v>6</v>
      </c>
      <c r="I254" s="1" t="s">
        <v>375</v>
      </c>
      <c r="J254" t="s">
        <v>11589</v>
      </c>
    </row>
    <row r="255" spans="1:10">
      <c r="A255" s="1">
        <v>505552</v>
      </c>
      <c r="B255" s="1">
        <v>7184006134</v>
      </c>
      <c r="C255" s="1">
        <v>6</v>
      </c>
      <c r="D255" s="1" t="s">
        <v>347</v>
      </c>
      <c r="E255" t="s">
        <v>11590</v>
      </c>
      <c r="F255" s="1">
        <v>668202</v>
      </c>
      <c r="G255" s="1">
        <v>7653916040</v>
      </c>
      <c r="H255" s="1">
        <v>6</v>
      </c>
      <c r="I255" s="1" t="s">
        <v>375</v>
      </c>
      <c r="J255" t="s">
        <v>11591</v>
      </c>
    </row>
    <row r="256" spans="1:10">
      <c r="A256" s="1">
        <v>693218</v>
      </c>
      <c r="B256" s="1">
        <v>7184005081</v>
      </c>
      <c r="C256" s="1">
        <v>6</v>
      </c>
      <c r="D256" s="1" t="s">
        <v>347</v>
      </c>
      <c r="E256" t="s">
        <v>11592</v>
      </c>
      <c r="F256" s="1">
        <v>702746</v>
      </c>
      <c r="G256" s="1">
        <v>7653916030</v>
      </c>
      <c r="H256" s="1">
        <v>6</v>
      </c>
      <c r="I256" s="1" t="s">
        <v>375</v>
      </c>
      <c r="J256" t="s">
        <v>11593</v>
      </c>
    </row>
    <row r="257" spans="1:10">
      <c r="A257" s="1">
        <v>858407</v>
      </c>
      <c r="B257" s="1">
        <v>7184010601</v>
      </c>
      <c r="C257" s="1">
        <v>6</v>
      </c>
      <c r="D257" s="1" t="s">
        <v>347</v>
      </c>
      <c r="E257" t="s">
        <v>11594</v>
      </c>
      <c r="F257" s="1">
        <v>288324</v>
      </c>
      <c r="G257" s="1">
        <v>7653916010</v>
      </c>
      <c r="H257" s="1">
        <v>6</v>
      </c>
      <c r="I257" s="1" t="s">
        <v>375</v>
      </c>
      <c r="J257" t="s">
        <v>11595</v>
      </c>
    </row>
    <row r="258" spans="1:10">
      <c r="A258" s="1">
        <v>154807</v>
      </c>
      <c r="B258" s="1">
        <v>7184003614</v>
      </c>
      <c r="C258" s="1">
        <v>6</v>
      </c>
      <c r="D258" s="1" t="s">
        <v>347</v>
      </c>
      <c r="E258" t="s">
        <v>11596</v>
      </c>
      <c r="F258" s="1">
        <v>374041</v>
      </c>
      <c r="G258" s="1">
        <v>7653907570</v>
      </c>
      <c r="H258" s="1">
        <v>6</v>
      </c>
      <c r="I258" s="1" t="s">
        <v>347</v>
      </c>
      <c r="J258" t="s">
        <v>11597</v>
      </c>
    </row>
    <row r="259" spans="1:10">
      <c r="A259" s="1">
        <v>299578</v>
      </c>
      <c r="B259" s="1">
        <v>7184009012</v>
      </c>
      <c r="C259" s="1">
        <v>6</v>
      </c>
      <c r="D259" s="1" t="s">
        <v>347</v>
      </c>
      <c r="E259" t="s">
        <v>11598</v>
      </c>
      <c r="F259" s="1">
        <v>252908</v>
      </c>
      <c r="G259" s="1">
        <v>7653916070</v>
      </c>
      <c r="H259" s="1">
        <v>6</v>
      </c>
      <c r="I259" s="1" t="s">
        <v>375</v>
      </c>
      <c r="J259" t="s">
        <v>11599</v>
      </c>
    </row>
    <row r="260" spans="1:10">
      <c r="A260" s="1">
        <v>184770</v>
      </c>
      <c r="B260" s="1">
        <v>7184004139</v>
      </c>
      <c r="C260" s="1">
        <v>6</v>
      </c>
      <c r="D260" s="1" t="s">
        <v>347</v>
      </c>
      <c r="E260" t="s">
        <v>11600</v>
      </c>
      <c r="F260" s="1">
        <v>780247</v>
      </c>
      <c r="G260" s="1">
        <v>7653916090</v>
      </c>
      <c r="H260" s="1">
        <v>6</v>
      </c>
      <c r="I260" s="1" t="s">
        <v>375</v>
      </c>
      <c r="J260" t="s">
        <v>11601</v>
      </c>
    </row>
    <row r="261" spans="1:10">
      <c r="A261" s="1">
        <v>819953</v>
      </c>
      <c r="B261" s="1">
        <v>7020081987</v>
      </c>
      <c r="C261" s="1">
        <v>60</v>
      </c>
      <c r="D261" s="1" t="s">
        <v>17</v>
      </c>
      <c r="E261" t="s">
        <v>11602</v>
      </c>
      <c r="F261" s="1">
        <v>492637</v>
      </c>
      <c r="G261" s="1">
        <v>7653916060</v>
      </c>
      <c r="H261" s="1">
        <v>6</v>
      </c>
      <c r="I261" s="1" t="s">
        <v>375</v>
      </c>
      <c r="J261" t="s">
        <v>11603</v>
      </c>
    </row>
    <row r="262" spans="1:10">
      <c r="A262" s="1">
        <v>116228</v>
      </c>
      <c r="B262" s="1">
        <v>7020052055</v>
      </c>
      <c r="C262" s="1">
        <v>6</v>
      </c>
      <c r="D262" s="1" t="s">
        <v>910</v>
      </c>
      <c r="E262" t="s">
        <v>11604</v>
      </c>
      <c r="F262" s="1">
        <v>466441</v>
      </c>
      <c r="G262" s="1">
        <v>7653907300</v>
      </c>
      <c r="H262" s="1">
        <v>6</v>
      </c>
      <c r="I262" s="1" t="s">
        <v>347</v>
      </c>
      <c r="J262" t="s">
        <v>11605</v>
      </c>
    </row>
    <row r="263" spans="1:10">
      <c r="A263" s="1">
        <v>115584</v>
      </c>
      <c r="B263" s="1">
        <v>7020052047</v>
      </c>
      <c r="C263" s="1">
        <v>6</v>
      </c>
      <c r="D263" s="1" t="s">
        <v>910</v>
      </c>
      <c r="E263" t="s">
        <v>11606</v>
      </c>
      <c r="F263" s="1">
        <v>425132</v>
      </c>
      <c r="G263" s="1">
        <v>7653907160</v>
      </c>
      <c r="H263" s="1">
        <v>6</v>
      </c>
      <c r="I263" s="1" t="s">
        <v>347</v>
      </c>
      <c r="J263" t="s">
        <v>11607</v>
      </c>
    </row>
    <row r="264" spans="1:10">
      <c r="A264" s="1">
        <v>336693</v>
      </c>
      <c r="B264" s="1">
        <v>7020055007</v>
      </c>
      <c r="C264" s="1">
        <v>6</v>
      </c>
      <c r="D264" s="1" t="s">
        <v>347</v>
      </c>
      <c r="E264" t="s">
        <v>11608</v>
      </c>
      <c r="F264" s="1">
        <v>698142</v>
      </c>
      <c r="G264" s="1">
        <v>7653907460</v>
      </c>
      <c r="H264" s="1">
        <v>6</v>
      </c>
      <c r="I264" s="1" t="s">
        <v>347</v>
      </c>
      <c r="J264" t="s">
        <v>11609</v>
      </c>
    </row>
    <row r="265" spans="1:10">
      <c r="A265" s="1">
        <v>810150</v>
      </c>
      <c r="B265" s="1">
        <v>7020050035</v>
      </c>
      <c r="C265" s="1">
        <v>6</v>
      </c>
      <c r="D265" s="1" t="s">
        <v>910</v>
      </c>
      <c r="E265" t="s">
        <v>11610</v>
      </c>
      <c r="F265" s="1">
        <v>185892</v>
      </c>
      <c r="G265" s="1">
        <v>7653916100</v>
      </c>
      <c r="H265" s="1">
        <v>6</v>
      </c>
      <c r="I265" s="1" t="s">
        <v>375</v>
      </c>
      <c r="J265" t="s">
        <v>11611</v>
      </c>
    </row>
    <row r="266" spans="1:10">
      <c r="A266" s="1">
        <v>866525</v>
      </c>
      <c r="B266" s="1">
        <v>7020050021</v>
      </c>
      <c r="C266" s="1">
        <v>12</v>
      </c>
      <c r="D266" s="1" t="s">
        <v>910</v>
      </c>
      <c r="E266" t="s">
        <v>11612</v>
      </c>
      <c r="F266" s="1">
        <v>482521</v>
      </c>
      <c r="G266" s="1">
        <v>7653907100</v>
      </c>
      <c r="H266" s="1">
        <v>6</v>
      </c>
      <c r="I266" s="1" t="s">
        <v>347</v>
      </c>
      <c r="J266" t="s">
        <v>11613</v>
      </c>
    </row>
    <row r="267" spans="1:10">
      <c r="A267" s="1">
        <v>697821</v>
      </c>
      <c r="B267" s="1">
        <v>7020055008</v>
      </c>
      <c r="C267" s="1">
        <v>6</v>
      </c>
      <c r="D267" s="1" t="s">
        <v>347</v>
      </c>
      <c r="E267" t="s">
        <v>11614</v>
      </c>
      <c r="F267" s="1">
        <v>409565</v>
      </c>
      <c r="G267" s="1">
        <v>7653907580</v>
      </c>
      <c r="H267" s="1">
        <v>6</v>
      </c>
      <c r="I267" s="1" t="s">
        <v>347</v>
      </c>
      <c r="J267" t="s">
        <v>11615</v>
      </c>
    </row>
    <row r="268" spans="1:10">
      <c r="A268" s="1">
        <v>116269</v>
      </c>
      <c r="B268" s="1">
        <v>7020054029</v>
      </c>
      <c r="C268" s="1">
        <v>6</v>
      </c>
      <c r="D268" s="1" t="s">
        <v>439</v>
      </c>
      <c r="E268" t="s">
        <v>11616</v>
      </c>
      <c r="F268" s="1">
        <v>465716</v>
      </c>
      <c r="G268" s="1">
        <v>7653907420</v>
      </c>
      <c r="H268" s="1">
        <v>6</v>
      </c>
      <c r="I268" s="1" t="s">
        <v>347</v>
      </c>
      <c r="J268" t="s">
        <v>11617</v>
      </c>
    </row>
    <row r="269" spans="1:10">
      <c r="A269" s="1">
        <v>866533</v>
      </c>
      <c r="B269" s="1">
        <v>7020050025</v>
      </c>
      <c r="C269" s="1">
        <v>12</v>
      </c>
      <c r="D269" s="1" t="s">
        <v>910</v>
      </c>
      <c r="E269" t="s">
        <v>11618</v>
      </c>
      <c r="F269" s="1">
        <v>10348</v>
      </c>
      <c r="G269" s="1">
        <v>7653907280</v>
      </c>
      <c r="H269" s="1">
        <v>6</v>
      </c>
      <c r="I269" s="1" t="s">
        <v>347</v>
      </c>
      <c r="J269" t="s">
        <v>11619</v>
      </c>
    </row>
    <row r="270" spans="1:10">
      <c r="A270" s="1">
        <v>116236</v>
      </c>
      <c r="B270" s="1">
        <v>7020054030</v>
      </c>
      <c r="C270" s="1">
        <v>6</v>
      </c>
      <c r="D270" s="1" t="s">
        <v>439</v>
      </c>
      <c r="E270" t="s">
        <v>11618</v>
      </c>
      <c r="F270" s="1">
        <v>676882</v>
      </c>
      <c r="G270" s="1">
        <v>7653907270</v>
      </c>
      <c r="H270" s="1">
        <v>6</v>
      </c>
      <c r="I270" s="1" t="s">
        <v>347</v>
      </c>
      <c r="J270" t="s">
        <v>11620</v>
      </c>
    </row>
    <row r="271" spans="1:10">
      <c r="A271" s="1">
        <v>725960</v>
      </c>
      <c r="B271" s="1">
        <v>7020056100</v>
      </c>
      <c r="C271" s="1">
        <v>12</v>
      </c>
      <c r="D271" s="1" t="s">
        <v>1409</v>
      </c>
      <c r="E271" t="s">
        <v>11621</v>
      </c>
      <c r="F271" s="1">
        <v>150599</v>
      </c>
      <c r="G271" s="1">
        <v>7653907260</v>
      </c>
      <c r="H271" s="1">
        <v>6</v>
      </c>
      <c r="I271" s="1" t="s">
        <v>347</v>
      </c>
      <c r="J271" t="s">
        <v>11622</v>
      </c>
    </row>
    <row r="272" spans="1:10">
      <c r="A272" s="1">
        <v>819979</v>
      </c>
      <c r="B272" s="1">
        <v>7020081975</v>
      </c>
      <c r="C272" s="1">
        <v>60</v>
      </c>
      <c r="D272" s="1" t="s">
        <v>17</v>
      </c>
      <c r="E272" t="s">
        <v>11623</v>
      </c>
      <c r="F272" s="1">
        <v>188151</v>
      </c>
      <c r="G272" s="1">
        <v>7653907200</v>
      </c>
      <c r="H272" s="1">
        <v>6</v>
      </c>
      <c r="I272" s="1" t="s">
        <v>347</v>
      </c>
      <c r="J272" t="s">
        <v>11624</v>
      </c>
    </row>
    <row r="273" spans="1:10">
      <c r="A273" s="1">
        <v>847590</v>
      </c>
      <c r="B273" s="1">
        <v>7020080022</v>
      </c>
      <c r="C273" s="1">
        <v>4</v>
      </c>
      <c r="D273" s="1" t="s">
        <v>8319</v>
      </c>
      <c r="E273" t="s">
        <v>11625</v>
      </c>
      <c r="F273" s="1">
        <v>801969</v>
      </c>
      <c r="G273" s="1">
        <v>67548202000</v>
      </c>
      <c r="H273" s="1">
        <v>12</v>
      </c>
      <c r="I273" s="1" t="s">
        <v>940</v>
      </c>
      <c r="J273" t="s">
        <v>11211</v>
      </c>
    </row>
    <row r="274" spans="1:10">
      <c r="A274" s="1">
        <v>469007</v>
      </c>
      <c r="B274" s="1">
        <v>7020050052</v>
      </c>
      <c r="C274" s="1">
        <v>6</v>
      </c>
      <c r="D274" s="1" t="s">
        <v>910</v>
      </c>
      <c r="E274" t="s">
        <v>11626</v>
      </c>
      <c r="F274" s="1">
        <v>801944</v>
      </c>
      <c r="G274" s="1">
        <v>67548212000</v>
      </c>
      <c r="H274" s="1">
        <v>12</v>
      </c>
      <c r="I274" s="1" t="s">
        <v>940</v>
      </c>
      <c r="J274" t="s">
        <v>11627</v>
      </c>
    </row>
    <row r="275" spans="1:10">
      <c r="A275" s="1">
        <v>819961</v>
      </c>
      <c r="B275" s="1">
        <v>7020081919</v>
      </c>
      <c r="C275" s="1">
        <v>120</v>
      </c>
      <c r="D275" s="1" t="s">
        <v>17</v>
      </c>
      <c r="E275" t="s">
        <v>11628</v>
      </c>
      <c r="F275" s="1">
        <v>801936</v>
      </c>
      <c r="G275" s="1">
        <v>67548211000</v>
      </c>
      <c r="H275" s="1">
        <v>24</v>
      </c>
      <c r="I275" s="1" t="s">
        <v>365</v>
      </c>
      <c r="J275" t="s">
        <v>11627</v>
      </c>
    </row>
    <row r="276" spans="1:10">
      <c r="A276" s="1">
        <v>866616</v>
      </c>
      <c r="B276" s="1">
        <v>7020050027</v>
      </c>
      <c r="C276" s="1">
        <v>6</v>
      </c>
      <c r="D276" s="1" t="s">
        <v>910</v>
      </c>
      <c r="E276" t="s">
        <v>11629</v>
      </c>
      <c r="F276" s="1">
        <v>846840</v>
      </c>
      <c r="G276" s="1">
        <v>7245777099</v>
      </c>
      <c r="H276" s="1">
        <v>6</v>
      </c>
      <c r="I276" s="1" t="s">
        <v>347</v>
      </c>
      <c r="J276" t="s">
        <v>11630</v>
      </c>
    </row>
    <row r="277" spans="1:10">
      <c r="A277" s="1">
        <v>866624</v>
      </c>
      <c r="B277" s="1">
        <v>7020050044</v>
      </c>
      <c r="C277" s="1">
        <v>6</v>
      </c>
      <c r="D277" s="1" t="s">
        <v>910</v>
      </c>
      <c r="E277" t="s">
        <v>11631</v>
      </c>
      <c r="F277" s="1">
        <v>846824</v>
      </c>
      <c r="G277" s="1">
        <v>7245777077</v>
      </c>
      <c r="H277" s="1">
        <v>6</v>
      </c>
      <c r="I277" s="1" t="s">
        <v>347</v>
      </c>
      <c r="J277" t="s">
        <v>11632</v>
      </c>
    </row>
    <row r="278" spans="1:10">
      <c r="A278" s="1">
        <v>801993</v>
      </c>
      <c r="B278" s="1">
        <v>7020051001</v>
      </c>
      <c r="C278" s="1">
        <v>6</v>
      </c>
      <c r="D278" s="1" t="s">
        <v>910</v>
      </c>
      <c r="E278" t="s">
        <v>11633</v>
      </c>
      <c r="F278" s="1">
        <v>850883</v>
      </c>
      <c r="G278" s="1">
        <v>7245778022</v>
      </c>
      <c r="H278" s="1">
        <v>6</v>
      </c>
      <c r="I278" s="1" t="s">
        <v>347</v>
      </c>
      <c r="J278" t="s">
        <v>11634</v>
      </c>
    </row>
    <row r="279" spans="1:10">
      <c r="A279" s="1">
        <v>786608</v>
      </c>
      <c r="B279" s="1">
        <v>7020054012</v>
      </c>
      <c r="C279" s="1">
        <v>6</v>
      </c>
      <c r="D279" s="1" t="s">
        <v>347</v>
      </c>
      <c r="E279" t="s">
        <v>11635</v>
      </c>
      <c r="F279" s="1">
        <v>846774</v>
      </c>
      <c r="G279" s="1">
        <v>7245777022</v>
      </c>
      <c r="H279" s="1">
        <v>6</v>
      </c>
      <c r="I279" s="1" t="s">
        <v>347</v>
      </c>
      <c r="J279" t="s">
        <v>11636</v>
      </c>
    </row>
    <row r="280" spans="1:10">
      <c r="A280" s="1">
        <v>876938</v>
      </c>
      <c r="B280" s="1">
        <v>7020051009</v>
      </c>
      <c r="C280" s="1">
        <v>6</v>
      </c>
      <c r="D280" s="1" t="s">
        <v>910</v>
      </c>
      <c r="E280" t="s">
        <v>11637</v>
      </c>
      <c r="F280" s="1">
        <v>846816</v>
      </c>
      <c r="G280" s="1">
        <v>7245777066</v>
      </c>
      <c r="H280" s="1">
        <v>6</v>
      </c>
      <c r="I280" s="1" t="s">
        <v>347</v>
      </c>
      <c r="J280" t="s">
        <v>11638</v>
      </c>
    </row>
    <row r="281" spans="1:10" ht="15.75">
      <c r="A281" s="1">
        <v>47902</v>
      </c>
      <c r="B281" s="1">
        <v>7020051006</v>
      </c>
      <c r="C281" s="1">
        <v>6</v>
      </c>
      <c r="D281" s="1" t="s">
        <v>910</v>
      </c>
      <c r="E281" t="s">
        <v>11639</v>
      </c>
      <c r="F281" s="4" t="s">
        <v>11640</v>
      </c>
      <c r="G281" s="2"/>
      <c r="H281" s="2"/>
      <c r="I281" s="2"/>
      <c r="J281" s="3"/>
    </row>
    <row r="282" spans="1:10">
      <c r="A282" s="1">
        <v>406868</v>
      </c>
      <c r="B282" s="1">
        <v>7020051000</v>
      </c>
      <c r="C282" s="1">
        <v>6</v>
      </c>
      <c r="D282" s="1" t="s">
        <v>910</v>
      </c>
      <c r="E282" t="s">
        <v>11641</v>
      </c>
      <c r="F282" s="2" t="s">
        <v>0</v>
      </c>
      <c r="G282" s="2" t="s">
        <v>1</v>
      </c>
      <c r="H282" s="2" t="s">
        <v>2</v>
      </c>
      <c r="I282" s="2" t="s">
        <v>3</v>
      </c>
      <c r="J282" s="3" t="s">
        <v>4</v>
      </c>
    </row>
    <row r="283" spans="1:10">
      <c r="A283" s="1">
        <v>590331</v>
      </c>
      <c r="B283" s="1">
        <v>7020051007</v>
      </c>
      <c r="C283" s="1">
        <v>6</v>
      </c>
      <c r="D283" s="1" t="s">
        <v>910</v>
      </c>
      <c r="E283" t="s">
        <v>11642</v>
      </c>
      <c r="F283" s="1">
        <v>332551</v>
      </c>
      <c r="G283" s="1">
        <v>7766102212</v>
      </c>
      <c r="H283" s="1">
        <v>6</v>
      </c>
      <c r="I283" s="1" t="s">
        <v>347</v>
      </c>
      <c r="J283" t="s">
        <v>11643</v>
      </c>
    </row>
    <row r="284" spans="1:10">
      <c r="A284" s="1">
        <v>230524</v>
      </c>
      <c r="B284" s="1">
        <v>7020055010</v>
      </c>
      <c r="C284" s="1">
        <v>6</v>
      </c>
      <c r="D284" s="1" t="s">
        <v>347</v>
      </c>
      <c r="E284" t="s">
        <v>11644</v>
      </c>
      <c r="F284" s="1">
        <v>332635</v>
      </c>
      <c r="G284" s="1">
        <v>7766102412</v>
      </c>
      <c r="H284" s="1">
        <v>6</v>
      </c>
      <c r="I284" s="1" t="s">
        <v>347</v>
      </c>
      <c r="J284" t="s">
        <v>11645</v>
      </c>
    </row>
    <row r="285" spans="1:10">
      <c r="A285" s="1">
        <v>878736</v>
      </c>
      <c r="B285" s="1">
        <v>7020055009</v>
      </c>
      <c r="C285" s="1">
        <v>6</v>
      </c>
      <c r="D285" s="1" t="s">
        <v>347</v>
      </c>
      <c r="E285" t="s">
        <v>11646</v>
      </c>
      <c r="F285" s="1">
        <v>510115</v>
      </c>
      <c r="G285" s="1">
        <v>7766102812</v>
      </c>
      <c r="H285" s="1">
        <v>6</v>
      </c>
      <c r="I285" s="1" t="s">
        <v>2303</v>
      </c>
      <c r="J285" t="s">
        <v>11647</v>
      </c>
    </row>
    <row r="286" spans="1:10">
      <c r="A286" s="1">
        <v>866673</v>
      </c>
      <c r="B286" s="1">
        <v>7020050031</v>
      </c>
      <c r="C286" s="1">
        <v>6</v>
      </c>
      <c r="D286" s="1" t="s">
        <v>910</v>
      </c>
      <c r="E286" t="s">
        <v>11648</v>
      </c>
      <c r="F286" s="1">
        <v>332668</v>
      </c>
      <c r="G286" s="1">
        <v>7766102312</v>
      </c>
      <c r="H286" s="1">
        <v>6</v>
      </c>
      <c r="I286" s="1" t="s">
        <v>347</v>
      </c>
      <c r="J286" t="s">
        <v>11649</v>
      </c>
    </row>
    <row r="287" spans="1:10">
      <c r="A287" s="1">
        <v>629766</v>
      </c>
      <c r="B287" s="1">
        <v>7020019611</v>
      </c>
      <c r="C287" s="1">
        <v>1</v>
      </c>
      <c r="D287" s="1" t="s">
        <v>11650</v>
      </c>
      <c r="E287" t="s">
        <v>11651</v>
      </c>
      <c r="F287" s="1">
        <v>332585</v>
      </c>
      <c r="G287" s="1">
        <v>7766111249</v>
      </c>
      <c r="H287" s="1">
        <v>6</v>
      </c>
      <c r="I287" s="1" t="s">
        <v>347</v>
      </c>
      <c r="J287" t="s">
        <v>11652</v>
      </c>
    </row>
    <row r="288" spans="1:10">
      <c r="A288" s="1">
        <v>873836</v>
      </c>
      <c r="B288" s="1">
        <v>7020050020</v>
      </c>
      <c r="C288" s="1">
        <v>6</v>
      </c>
      <c r="D288" s="1" t="s">
        <v>910</v>
      </c>
      <c r="E288" t="s">
        <v>7990</v>
      </c>
      <c r="F288" s="1">
        <v>332627</v>
      </c>
      <c r="G288" s="1">
        <v>7766111238</v>
      </c>
      <c r="H288" s="1">
        <v>6</v>
      </c>
      <c r="I288" s="1" t="s">
        <v>347</v>
      </c>
      <c r="J288" t="s">
        <v>11653</v>
      </c>
    </row>
    <row r="289" spans="1:10" ht="15.75">
      <c r="A289" s="4" t="s">
        <v>11640</v>
      </c>
      <c r="B289" s="2"/>
      <c r="C289" s="2"/>
      <c r="D289" s="2"/>
      <c r="E289" s="3"/>
      <c r="F289" s="4" t="s">
        <v>11654</v>
      </c>
      <c r="G289" s="2"/>
      <c r="H289" s="2"/>
      <c r="I289" s="2"/>
      <c r="J289" s="3"/>
    </row>
    <row r="290" spans="1:10">
      <c r="A290" s="2" t="s">
        <v>0</v>
      </c>
      <c r="B290" s="2" t="s">
        <v>1</v>
      </c>
      <c r="C290" s="2" t="s">
        <v>2</v>
      </c>
      <c r="D290" s="2" t="s">
        <v>3</v>
      </c>
      <c r="E290" s="3" t="s">
        <v>4</v>
      </c>
      <c r="F290" s="2" t="s">
        <v>0</v>
      </c>
      <c r="G290" s="2" t="s">
        <v>1</v>
      </c>
      <c r="H290" s="2" t="s">
        <v>2</v>
      </c>
      <c r="I290" s="2" t="s">
        <v>3</v>
      </c>
      <c r="J290" s="3" t="s">
        <v>4</v>
      </c>
    </row>
    <row r="291" spans="1:10">
      <c r="A291" s="1">
        <v>332577</v>
      </c>
      <c r="B291" s="1">
        <v>7766111252</v>
      </c>
      <c r="C291" s="1">
        <v>6</v>
      </c>
      <c r="D291" s="1" t="s">
        <v>347</v>
      </c>
      <c r="E291" t="s">
        <v>11655</v>
      </c>
      <c r="F291" s="1">
        <v>866301</v>
      </c>
      <c r="G291" s="1">
        <v>7020052001</v>
      </c>
      <c r="H291" s="1">
        <v>6</v>
      </c>
      <c r="I291" s="1" t="s">
        <v>1483</v>
      </c>
      <c r="J291" t="s">
        <v>11656</v>
      </c>
    </row>
    <row r="292" spans="1:10">
      <c r="A292" s="1">
        <v>640524</v>
      </c>
      <c r="B292" s="1">
        <v>7184009112</v>
      </c>
      <c r="C292" s="1">
        <v>6</v>
      </c>
      <c r="D292" s="1" t="s">
        <v>703</v>
      </c>
      <c r="E292" t="s">
        <v>11657</v>
      </c>
      <c r="F292" s="1">
        <v>866327</v>
      </c>
      <c r="G292" s="1">
        <v>7020052002</v>
      </c>
      <c r="H292" s="1">
        <v>6</v>
      </c>
      <c r="I292" s="1" t="s">
        <v>1483</v>
      </c>
      <c r="J292" t="s">
        <v>11658</v>
      </c>
    </row>
    <row r="293" spans="1:10">
      <c r="A293" s="1">
        <v>664433</v>
      </c>
      <c r="B293" s="1">
        <v>7184028008</v>
      </c>
      <c r="C293" s="1">
        <v>6</v>
      </c>
      <c r="D293" s="1" t="s">
        <v>347</v>
      </c>
      <c r="E293" t="s">
        <v>11659</v>
      </c>
      <c r="F293" s="1">
        <v>866392</v>
      </c>
      <c r="G293" s="1">
        <v>7020052032</v>
      </c>
      <c r="H293" s="1">
        <v>6</v>
      </c>
      <c r="I293" s="1" t="s">
        <v>379</v>
      </c>
      <c r="J293" t="s">
        <v>11660</v>
      </c>
    </row>
    <row r="294" spans="1:10">
      <c r="A294" s="1">
        <v>891069</v>
      </c>
      <c r="B294" s="1">
        <v>7184010595</v>
      </c>
      <c r="C294" s="1">
        <v>6</v>
      </c>
      <c r="D294" s="1" t="s">
        <v>703</v>
      </c>
      <c r="E294" t="s">
        <v>11661</v>
      </c>
      <c r="F294" s="1">
        <v>866343</v>
      </c>
      <c r="G294" s="1">
        <v>7020052031</v>
      </c>
      <c r="H294" s="1">
        <v>6</v>
      </c>
      <c r="I294" s="1" t="s">
        <v>379</v>
      </c>
      <c r="J294" t="s">
        <v>11662</v>
      </c>
    </row>
    <row r="295" spans="1:10">
      <c r="A295" s="1">
        <v>739805</v>
      </c>
      <c r="B295" s="1">
        <v>7184004696</v>
      </c>
      <c r="C295" s="1">
        <v>6</v>
      </c>
      <c r="D295" s="1" t="s">
        <v>703</v>
      </c>
      <c r="E295" t="s">
        <v>11663</v>
      </c>
      <c r="F295" s="1">
        <v>873844</v>
      </c>
      <c r="G295" s="1">
        <v>7020052033</v>
      </c>
      <c r="H295" s="1">
        <v>6</v>
      </c>
      <c r="I295" s="1" t="s">
        <v>379</v>
      </c>
      <c r="J295" t="s">
        <v>11664</v>
      </c>
    </row>
    <row r="296" spans="1:10">
      <c r="A296" s="1">
        <v>362509</v>
      </c>
      <c r="B296" s="1">
        <v>7184010598</v>
      </c>
      <c r="C296" s="1">
        <v>6</v>
      </c>
      <c r="D296" s="1" t="s">
        <v>703</v>
      </c>
      <c r="E296" t="s">
        <v>11665</v>
      </c>
      <c r="F296" s="1">
        <v>550806</v>
      </c>
      <c r="G296" s="1">
        <v>7020052018</v>
      </c>
      <c r="H296" s="1">
        <v>6</v>
      </c>
      <c r="I296" s="1" t="s">
        <v>1483</v>
      </c>
      <c r="J296" t="s">
        <v>11666</v>
      </c>
    </row>
    <row r="297" spans="1:10">
      <c r="A297" s="1">
        <v>486514</v>
      </c>
      <c r="B297" s="1">
        <v>7184004984</v>
      </c>
      <c r="C297" s="1">
        <v>6</v>
      </c>
      <c r="D297" s="1" t="s">
        <v>703</v>
      </c>
      <c r="E297" t="s">
        <v>11667</v>
      </c>
      <c r="F297" s="1">
        <v>810440</v>
      </c>
      <c r="G297" s="1">
        <v>7020052008</v>
      </c>
      <c r="H297" s="1">
        <v>6</v>
      </c>
      <c r="I297" s="1" t="s">
        <v>1483</v>
      </c>
      <c r="J297" t="s">
        <v>11668</v>
      </c>
    </row>
    <row r="298" spans="1:10">
      <c r="A298" s="1">
        <v>756510</v>
      </c>
      <c r="B298" s="1">
        <v>7020054005</v>
      </c>
      <c r="C298" s="1">
        <v>6</v>
      </c>
      <c r="D298" s="1" t="s">
        <v>347</v>
      </c>
      <c r="E298" t="s">
        <v>11669</v>
      </c>
      <c r="F298" s="1">
        <v>355990</v>
      </c>
      <c r="G298" s="1">
        <v>7020052012</v>
      </c>
      <c r="H298" s="1">
        <v>6</v>
      </c>
      <c r="I298" s="1" t="s">
        <v>347</v>
      </c>
      <c r="J298" t="s">
        <v>11670</v>
      </c>
    </row>
    <row r="299" spans="1:10">
      <c r="A299" s="1">
        <v>409953</v>
      </c>
      <c r="B299" s="1">
        <v>7020054016</v>
      </c>
      <c r="C299" s="1">
        <v>6</v>
      </c>
      <c r="D299" s="1" t="s">
        <v>347</v>
      </c>
      <c r="E299" t="s">
        <v>11671</v>
      </c>
      <c r="F299" s="1">
        <v>782177</v>
      </c>
      <c r="G299" s="1">
        <v>7020052057</v>
      </c>
      <c r="H299" s="1">
        <v>6</v>
      </c>
      <c r="I299" s="1" t="s">
        <v>1483</v>
      </c>
      <c r="J299" t="s">
        <v>11672</v>
      </c>
    </row>
    <row r="300" spans="1:10">
      <c r="A300" s="1">
        <v>377804</v>
      </c>
      <c r="B300" s="1">
        <v>7020054010</v>
      </c>
      <c r="C300" s="1">
        <v>6</v>
      </c>
      <c r="D300" s="1" t="s">
        <v>347</v>
      </c>
      <c r="E300" t="s">
        <v>11673</v>
      </c>
      <c r="F300" s="1">
        <v>821496</v>
      </c>
      <c r="G300" s="1">
        <v>7020055012</v>
      </c>
      <c r="H300" s="1">
        <v>6</v>
      </c>
      <c r="I300" s="1" t="s">
        <v>347</v>
      </c>
      <c r="J300" t="s">
        <v>11674</v>
      </c>
    </row>
    <row r="301" spans="1:10">
      <c r="A301" s="1">
        <v>333021</v>
      </c>
      <c r="B301" s="1">
        <v>7020054017</v>
      </c>
      <c r="C301" s="1">
        <v>6</v>
      </c>
      <c r="D301" s="1" t="s">
        <v>347</v>
      </c>
      <c r="E301" t="s">
        <v>11675</v>
      </c>
      <c r="F301" s="1">
        <v>141911</v>
      </c>
      <c r="G301" s="1">
        <v>7020052042</v>
      </c>
      <c r="H301" s="1">
        <v>6</v>
      </c>
      <c r="I301" s="1" t="s">
        <v>363</v>
      </c>
      <c r="J301" t="s">
        <v>11676</v>
      </c>
    </row>
    <row r="302" spans="1:10">
      <c r="A302" s="1">
        <v>856955</v>
      </c>
      <c r="B302" s="1">
        <v>7020040070</v>
      </c>
      <c r="C302" s="1">
        <v>6</v>
      </c>
      <c r="D302" s="1" t="s">
        <v>347</v>
      </c>
      <c r="E302" t="s">
        <v>11677</v>
      </c>
      <c r="F302" s="1">
        <v>320853</v>
      </c>
      <c r="G302" s="1">
        <v>7020052014</v>
      </c>
      <c r="H302" s="1">
        <v>12</v>
      </c>
      <c r="I302" s="1" t="s">
        <v>399</v>
      </c>
      <c r="J302" t="s">
        <v>11678</v>
      </c>
    </row>
    <row r="303" spans="1:10">
      <c r="A303" s="1">
        <v>505966</v>
      </c>
      <c r="B303" s="1">
        <v>7020054015</v>
      </c>
      <c r="C303" s="1">
        <v>6</v>
      </c>
      <c r="D303" s="1" t="s">
        <v>347</v>
      </c>
      <c r="E303" t="s">
        <v>11679</v>
      </c>
      <c r="F303" s="1">
        <v>894188</v>
      </c>
      <c r="G303" s="1">
        <v>7020052019</v>
      </c>
      <c r="H303" s="1">
        <v>12</v>
      </c>
      <c r="I303" s="1" t="s">
        <v>347</v>
      </c>
      <c r="J303" t="s">
        <v>11680</v>
      </c>
    </row>
    <row r="304" spans="1:10">
      <c r="A304" s="1">
        <v>739326</v>
      </c>
      <c r="B304" s="1">
        <v>7020054014</v>
      </c>
      <c r="C304" s="1">
        <v>6</v>
      </c>
      <c r="D304" s="1" t="s">
        <v>347</v>
      </c>
      <c r="E304" t="s">
        <v>11681</v>
      </c>
      <c r="F304" s="1">
        <v>815308</v>
      </c>
      <c r="G304" s="1">
        <v>7020052000</v>
      </c>
      <c r="H304" s="1">
        <v>18</v>
      </c>
      <c r="I304" s="1" t="s">
        <v>1483</v>
      </c>
      <c r="J304" t="s">
        <v>11682</v>
      </c>
    </row>
    <row r="305" spans="1:10">
      <c r="A305" s="1">
        <v>773309</v>
      </c>
      <c r="B305" s="1">
        <v>7653916080</v>
      </c>
      <c r="C305" s="1">
        <v>6</v>
      </c>
      <c r="D305" s="1" t="s">
        <v>375</v>
      </c>
      <c r="E305" t="s">
        <v>11683</v>
      </c>
      <c r="F305" s="1">
        <v>782185</v>
      </c>
      <c r="G305" s="1">
        <v>7020053324</v>
      </c>
      <c r="H305" s="1">
        <v>6</v>
      </c>
      <c r="I305" s="1" t="s">
        <v>1387</v>
      </c>
      <c r="J305" t="s">
        <v>11682</v>
      </c>
    </row>
    <row r="306" spans="1:10" ht="15.75">
      <c r="A306" s="4" t="s">
        <v>11654</v>
      </c>
      <c r="B306" s="2"/>
      <c r="C306" s="2"/>
      <c r="D306" s="2"/>
      <c r="E306" s="3"/>
      <c r="F306" s="1">
        <v>374868</v>
      </c>
      <c r="G306" s="1">
        <v>7020052040</v>
      </c>
      <c r="H306" s="1">
        <v>6</v>
      </c>
      <c r="I306" s="1" t="s">
        <v>363</v>
      </c>
      <c r="J306" t="s">
        <v>11684</v>
      </c>
    </row>
    <row r="307" spans="1:10">
      <c r="A307" s="2" t="s">
        <v>0</v>
      </c>
      <c r="B307" s="2" t="s">
        <v>1</v>
      </c>
      <c r="C307" s="2" t="s">
        <v>2</v>
      </c>
      <c r="D307" s="2" t="s">
        <v>3</v>
      </c>
      <c r="E307" s="3" t="s">
        <v>4</v>
      </c>
      <c r="F307" s="1">
        <v>686717</v>
      </c>
      <c r="G307" s="1">
        <v>7020052041</v>
      </c>
      <c r="H307" s="1">
        <v>6</v>
      </c>
      <c r="I307" s="1" t="s">
        <v>363</v>
      </c>
      <c r="J307" t="s">
        <v>11685</v>
      </c>
    </row>
    <row r="308" spans="1:10">
      <c r="A308" s="1">
        <v>480723</v>
      </c>
      <c r="B308" s="1">
        <v>2011300287</v>
      </c>
      <c r="C308" s="1">
        <v>12</v>
      </c>
      <c r="D308" s="1" t="s">
        <v>347</v>
      </c>
      <c r="E308" t="s">
        <v>11686</v>
      </c>
      <c r="F308" s="1">
        <v>866319</v>
      </c>
      <c r="G308" s="1">
        <v>7020052059</v>
      </c>
      <c r="H308" s="1">
        <v>6</v>
      </c>
      <c r="I308" s="1" t="s">
        <v>910</v>
      </c>
      <c r="J308" t="s">
        <v>11687</v>
      </c>
    </row>
    <row r="309" spans="1:10">
      <c r="A309" s="1">
        <v>181800</v>
      </c>
      <c r="B309" s="1">
        <v>2011300185</v>
      </c>
      <c r="C309" s="1">
        <v>12</v>
      </c>
      <c r="D309" s="1" t="s">
        <v>489</v>
      </c>
      <c r="E309" t="s">
        <v>11688</v>
      </c>
      <c r="F309" s="1">
        <v>866418</v>
      </c>
      <c r="G309" s="1">
        <v>7020052004</v>
      </c>
      <c r="H309" s="1">
        <v>6</v>
      </c>
      <c r="I309" s="1" t="s">
        <v>1483</v>
      </c>
      <c r="J309" t="s">
        <v>11689</v>
      </c>
    </row>
    <row r="310" spans="1:10">
      <c r="A310" s="1">
        <v>353151</v>
      </c>
      <c r="B310" s="1">
        <v>2011300149</v>
      </c>
      <c r="C310" s="1">
        <v>12</v>
      </c>
      <c r="D310" s="1" t="s">
        <v>381</v>
      </c>
      <c r="E310" t="s">
        <v>11690</v>
      </c>
      <c r="F310" s="1">
        <v>219469</v>
      </c>
      <c r="G310" s="1">
        <v>61611231958</v>
      </c>
      <c r="H310" s="1">
        <v>8</v>
      </c>
      <c r="I310" s="1" t="s">
        <v>31</v>
      </c>
      <c r="J310" t="s">
        <v>11691</v>
      </c>
    </row>
    <row r="311" spans="1:10">
      <c r="A311" s="1">
        <v>384586</v>
      </c>
      <c r="B311" s="1">
        <v>2011300150</v>
      </c>
      <c r="C311" s="1">
        <v>12</v>
      </c>
      <c r="D311" s="1" t="s">
        <v>381</v>
      </c>
      <c r="E311" t="s">
        <v>11692</v>
      </c>
      <c r="F311" s="1">
        <v>878892</v>
      </c>
      <c r="G311" s="1">
        <v>61611228958</v>
      </c>
      <c r="H311" s="1">
        <v>8</v>
      </c>
      <c r="I311" s="1" t="s">
        <v>360</v>
      </c>
      <c r="J311" t="s">
        <v>11693</v>
      </c>
    </row>
    <row r="312" spans="1:10">
      <c r="A312" s="1">
        <v>412528</v>
      </c>
      <c r="B312" s="1">
        <v>7766111402</v>
      </c>
      <c r="C312" s="1">
        <v>6</v>
      </c>
      <c r="D312" s="1" t="s">
        <v>1483</v>
      </c>
      <c r="E312" t="s">
        <v>11694</v>
      </c>
      <c r="F312" s="1">
        <v>577163</v>
      </c>
      <c r="G312" s="1">
        <v>61611228058</v>
      </c>
      <c r="H312" s="1">
        <v>8</v>
      </c>
      <c r="I312" s="1" t="s">
        <v>360</v>
      </c>
      <c r="J312" t="s">
        <v>11695</v>
      </c>
    </row>
    <row r="313" spans="1:10">
      <c r="A313" s="1">
        <v>764845</v>
      </c>
      <c r="B313" s="1">
        <v>7766111778</v>
      </c>
      <c r="C313" s="1">
        <v>12</v>
      </c>
      <c r="D313" s="1" t="s">
        <v>399</v>
      </c>
      <c r="E313" t="s">
        <v>11694</v>
      </c>
      <c r="F313" s="1">
        <v>580233</v>
      </c>
      <c r="G313" s="1">
        <v>61611206102</v>
      </c>
      <c r="H313" s="1">
        <v>8</v>
      </c>
      <c r="I313" s="1" t="s">
        <v>347</v>
      </c>
      <c r="J313" t="s">
        <v>11696</v>
      </c>
    </row>
    <row r="314" spans="1:10">
      <c r="A314" s="1">
        <v>415075</v>
      </c>
      <c r="B314" s="1">
        <v>7766111398</v>
      </c>
      <c r="C314" s="1">
        <v>6</v>
      </c>
      <c r="D314" s="1" t="s">
        <v>1483</v>
      </c>
      <c r="E314" t="s">
        <v>11697</v>
      </c>
      <c r="F314" s="1">
        <v>161752</v>
      </c>
      <c r="G314" s="1">
        <v>61611206101</v>
      </c>
      <c r="H314" s="1">
        <v>8</v>
      </c>
      <c r="I314" s="1" t="s">
        <v>347</v>
      </c>
      <c r="J314" t="s">
        <v>11698</v>
      </c>
    </row>
    <row r="315" spans="1:10">
      <c r="A315" s="1">
        <v>28688</v>
      </c>
      <c r="B315" s="1">
        <v>7766111776</v>
      </c>
      <c r="C315" s="1">
        <v>12</v>
      </c>
      <c r="D315" s="1" t="s">
        <v>399</v>
      </c>
      <c r="E315" t="s">
        <v>11697</v>
      </c>
      <c r="F315" s="1">
        <v>581058</v>
      </c>
      <c r="G315" s="1">
        <v>61611206100</v>
      </c>
      <c r="H315" s="1">
        <v>8</v>
      </c>
      <c r="I315" s="1" t="s">
        <v>347</v>
      </c>
      <c r="J315" t="s">
        <v>11699</v>
      </c>
    </row>
    <row r="316" spans="1:10" ht="15.75">
      <c r="A316" s="1">
        <v>844761</v>
      </c>
      <c r="B316" s="1">
        <v>7766111401</v>
      </c>
      <c r="C316" s="1">
        <v>6</v>
      </c>
      <c r="D316" s="1" t="s">
        <v>1483</v>
      </c>
      <c r="E316" t="s">
        <v>11700</v>
      </c>
      <c r="F316" s="4" t="s">
        <v>11701</v>
      </c>
      <c r="G316" s="2"/>
      <c r="H316" s="2"/>
      <c r="I316" s="2"/>
      <c r="J316" s="3"/>
    </row>
    <row r="317" spans="1:10">
      <c r="A317" s="1">
        <v>398768</v>
      </c>
      <c r="B317" s="1">
        <v>7766110871</v>
      </c>
      <c r="C317" s="1">
        <v>6</v>
      </c>
      <c r="D317" s="1" t="s">
        <v>1483</v>
      </c>
      <c r="E317" t="s">
        <v>11702</v>
      </c>
      <c r="F317" s="2" t="s">
        <v>0</v>
      </c>
      <c r="G317" s="2" t="s">
        <v>1</v>
      </c>
      <c r="H317" s="2" t="s">
        <v>2</v>
      </c>
      <c r="I317" s="2" t="s">
        <v>3</v>
      </c>
      <c r="J317" s="3" t="s">
        <v>4</v>
      </c>
    </row>
    <row r="318" spans="1:10">
      <c r="A318" s="1">
        <v>225839</v>
      </c>
      <c r="B318" s="1">
        <v>7766108134</v>
      </c>
      <c r="C318" s="1">
        <v>12</v>
      </c>
      <c r="D318" s="1" t="s">
        <v>399</v>
      </c>
      <c r="E318" t="s">
        <v>11703</v>
      </c>
      <c r="F318" s="1">
        <v>450288</v>
      </c>
      <c r="G318" s="1">
        <v>3871810023</v>
      </c>
      <c r="H318" s="1">
        <v>12</v>
      </c>
      <c r="I318" s="1" t="s">
        <v>259</v>
      </c>
      <c r="J318" t="s">
        <v>11704</v>
      </c>
    </row>
    <row r="319" spans="1:10">
      <c r="A319" s="1">
        <v>514117</v>
      </c>
      <c r="B319" s="1">
        <v>7766111403</v>
      </c>
      <c r="C319" s="1">
        <v>6</v>
      </c>
      <c r="D319" s="1" t="s">
        <v>1483</v>
      </c>
      <c r="E319" t="s">
        <v>11705</v>
      </c>
      <c r="F319" s="1">
        <v>819920</v>
      </c>
      <c r="G319" s="1">
        <v>3871860237</v>
      </c>
      <c r="H319" s="1">
        <v>12</v>
      </c>
      <c r="I319" s="1" t="s">
        <v>360</v>
      </c>
      <c r="J319" t="s">
        <v>11706</v>
      </c>
    </row>
    <row r="320" spans="1:10">
      <c r="A320" s="1">
        <v>630525</v>
      </c>
      <c r="B320" s="1">
        <v>7766111777</v>
      </c>
      <c r="C320" s="1">
        <v>12</v>
      </c>
      <c r="D320" s="1" t="s">
        <v>399</v>
      </c>
      <c r="E320" t="s">
        <v>11705</v>
      </c>
      <c r="F320" s="1">
        <v>872341</v>
      </c>
      <c r="G320" s="1">
        <v>3871830411</v>
      </c>
      <c r="H320" s="1">
        <v>12</v>
      </c>
      <c r="I320" s="1" t="s">
        <v>363</v>
      </c>
      <c r="J320" t="s">
        <v>11707</v>
      </c>
    </row>
    <row r="321" spans="1:10">
      <c r="A321" s="1">
        <v>765388</v>
      </c>
      <c r="B321" s="1">
        <v>7766111779</v>
      </c>
      <c r="C321" s="1">
        <v>12</v>
      </c>
      <c r="D321" s="1" t="s">
        <v>399</v>
      </c>
      <c r="E321" t="s">
        <v>11708</v>
      </c>
      <c r="F321" s="1">
        <v>94839</v>
      </c>
      <c r="G321" s="1">
        <v>3871830412</v>
      </c>
      <c r="H321" s="1">
        <v>12</v>
      </c>
      <c r="I321" s="1" t="s">
        <v>347</v>
      </c>
      <c r="J321" t="s">
        <v>11709</v>
      </c>
    </row>
    <row r="322" spans="1:10">
      <c r="A322" s="1">
        <v>885491</v>
      </c>
      <c r="B322" s="1">
        <v>7766111451</v>
      </c>
      <c r="C322" s="1">
        <v>6</v>
      </c>
      <c r="D322" s="1" t="s">
        <v>1483</v>
      </c>
      <c r="E322" t="s">
        <v>11710</v>
      </c>
      <c r="F322" s="1">
        <v>726695</v>
      </c>
      <c r="G322" s="1">
        <v>3871870704</v>
      </c>
      <c r="H322" s="1">
        <v>12</v>
      </c>
      <c r="I322" s="1" t="s">
        <v>259</v>
      </c>
      <c r="J322" t="s">
        <v>11711</v>
      </c>
    </row>
    <row r="323" spans="1:10">
      <c r="A323" s="1">
        <v>743518</v>
      </c>
      <c r="B323" s="1">
        <v>7766111399</v>
      </c>
      <c r="C323" s="1">
        <v>6</v>
      </c>
      <c r="D323" s="1" t="s">
        <v>1483</v>
      </c>
      <c r="E323" t="s">
        <v>11712</v>
      </c>
      <c r="F323" s="1">
        <v>834150</v>
      </c>
      <c r="G323" s="1">
        <v>3871870702</v>
      </c>
      <c r="H323" s="1">
        <v>12</v>
      </c>
      <c r="I323" s="1" t="s">
        <v>938</v>
      </c>
      <c r="J323" t="s">
        <v>11713</v>
      </c>
    </row>
    <row r="324" spans="1:10">
      <c r="A324" s="1">
        <v>77271</v>
      </c>
      <c r="B324" s="1">
        <v>7184020022</v>
      </c>
      <c r="C324" s="1">
        <v>6</v>
      </c>
      <c r="D324" s="1" t="s">
        <v>1483</v>
      </c>
      <c r="E324" t="s">
        <v>11714</v>
      </c>
      <c r="F324" s="1">
        <v>819938</v>
      </c>
      <c r="G324" s="1">
        <v>3871860197</v>
      </c>
      <c r="H324" s="1">
        <v>12</v>
      </c>
      <c r="I324" s="1" t="s">
        <v>360</v>
      </c>
      <c r="J324" t="s">
        <v>11715</v>
      </c>
    </row>
    <row r="325" spans="1:10">
      <c r="A325" s="1">
        <v>19802</v>
      </c>
      <c r="B325" s="1">
        <v>7184020009</v>
      </c>
      <c r="C325" s="1">
        <v>6</v>
      </c>
      <c r="D325" s="1" t="s">
        <v>347</v>
      </c>
      <c r="E325" t="s">
        <v>11716</v>
      </c>
      <c r="F325" s="1">
        <v>836205</v>
      </c>
      <c r="G325" s="1">
        <v>3871879054</v>
      </c>
      <c r="H325" s="1">
        <v>12</v>
      </c>
      <c r="I325" s="1" t="s">
        <v>259</v>
      </c>
      <c r="J325" t="s">
        <v>11717</v>
      </c>
    </row>
    <row r="326" spans="1:10">
      <c r="A326" s="1">
        <v>602086</v>
      </c>
      <c r="B326" s="1">
        <v>7184020010</v>
      </c>
      <c r="C326" s="1">
        <v>6</v>
      </c>
      <c r="D326" s="1" t="s">
        <v>1483</v>
      </c>
      <c r="E326" t="s">
        <v>11718</v>
      </c>
      <c r="F326" s="1">
        <v>819946</v>
      </c>
      <c r="G326" s="1">
        <v>3871877797</v>
      </c>
      <c r="H326" s="1">
        <v>12</v>
      </c>
      <c r="I326" s="1" t="s">
        <v>360</v>
      </c>
      <c r="J326" t="s">
        <v>11719</v>
      </c>
    </row>
    <row r="327" spans="1:10">
      <c r="F327" s="1">
        <v>834168</v>
      </c>
      <c r="G327" s="1">
        <v>3871870592</v>
      </c>
      <c r="H327" s="1">
        <v>12</v>
      </c>
      <c r="I327" s="1" t="s">
        <v>938</v>
      </c>
      <c r="J327" t="s">
        <v>11720</v>
      </c>
    </row>
    <row r="328" spans="1:10">
      <c r="F328" s="1">
        <v>884429</v>
      </c>
      <c r="G328" s="1">
        <v>3871872009</v>
      </c>
      <c r="H328" s="1">
        <v>12</v>
      </c>
      <c r="I328" s="1" t="s">
        <v>546</v>
      </c>
      <c r="J328" t="s">
        <v>11721</v>
      </c>
    </row>
    <row r="329" spans="1:10">
      <c r="F329" s="1">
        <v>307355</v>
      </c>
      <c r="G329" s="1">
        <v>3871879091</v>
      </c>
      <c r="H329" s="1">
        <v>12</v>
      </c>
      <c r="I329" s="1" t="s">
        <v>347</v>
      </c>
      <c r="J329" t="s">
        <v>11722</v>
      </c>
    </row>
    <row r="330" spans="1:10" ht="15.75">
      <c r="A330" s="4" t="s">
        <v>11701</v>
      </c>
      <c r="B330" s="2"/>
      <c r="C330" s="2"/>
      <c r="D330" s="2"/>
      <c r="E330" s="3"/>
      <c r="F330" s="4" t="s">
        <v>11723</v>
      </c>
      <c r="G330" s="2"/>
      <c r="H330" s="2"/>
      <c r="I330" s="2"/>
      <c r="J330" s="3"/>
    </row>
    <row r="331" spans="1:10">
      <c r="A331" s="2" t="s">
        <v>0</v>
      </c>
      <c r="B331" s="2" t="s">
        <v>1</v>
      </c>
      <c r="C331" s="2" t="s">
        <v>2</v>
      </c>
      <c r="D331" s="2" t="s">
        <v>3</v>
      </c>
      <c r="E331" s="3" t="s">
        <v>4</v>
      </c>
      <c r="F331" s="2" t="s">
        <v>0</v>
      </c>
      <c r="G331" s="2" t="s">
        <v>1</v>
      </c>
      <c r="H331" s="2" t="s">
        <v>2</v>
      </c>
      <c r="I331" s="2" t="s">
        <v>3</v>
      </c>
      <c r="J331" s="3" t="s">
        <v>4</v>
      </c>
    </row>
    <row r="332" spans="1:10">
      <c r="A332" s="1">
        <v>772905</v>
      </c>
      <c r="B332" s="1">
        <v>3871879073</v>
      </c>
      <c r="C332" s="1">
        <v>12</v>
      </c>
      <c r="D332" s="1" t="s">
        <v>259</v>
      </c>
      <c r="E332" t="s">
        <v>11724</v>
      </c>
      <c r="F332" s="1">
        <v>834101</v>
      </c>
      <c r="G332" s="1">
        <v>3871800164</v>
      </c>
      <c r="H332" s="1">
        <v>12</v>
      </c>
      <c r="I332" s="1" t="s">
        <v>259</v>
      </c>
      <c r="J332" t="s">
        <v>11725</v>
      </c>
    </row>
    <row r="333" spans="1:10">
      <c r="A333" s="1">
        <v>872267</v>
      </c>
      <c r="B333" s="1">
        <v>3871870009</v>
      </c>
      <c r="C333" s="1">
        <v>12</v>
      </c>
      <c r="D333" s="1" t="s">
        <v>363</v>
      </c>
      <c r="E333" t="s">
        <v>11726</v>
      </c>
      <c r="F333" s="1">
        <v>834093</v>
      </c>
      <c r="G333" s="1">
        <v>3871803652</v>
      </c>
      <c r="H333" s="1">
        <v>12</v>
      </c>
      <c r="I333" s="1" t="s">
        <v>347</v>
      </c>
      <c r="J333" t="s">
        <v>11727</v>
      </c>
    </row>
    <row r="334" spans="1:10">
      <c r="A334" s="1">
        <v>768267</v>
      </c>
      <c r="B334" s="1">
        <v>3871870012</v>
      </c>
      <c r="C334" s="1">
        <v>12</v>
      </c>
      <c r="D334" s="1" t="s">
        <v>347</v>
      </c>
      <c r="E334" t="s">
        <v>11728</v>
      </c>
      <c r="F334" s="1">
        <v>834077</v>
      </c>
      <c r="G334" s="1">
        <v>3871806182</v>
      </c>
      <c r="H334" s="1">
        <v>12</v>
      </c>
      <c r="I334" s="1" t="s">
        <v>347</v>
      </c>
      <c r="J334" t="s">
        <v>11729</v>
      </c>
    </row>
    <row r="335" spans="1:10">
      <c r="A335" s="1">
        <v>698761</v>
      </c>
      <c r="B335" s="1">
        <v>3871870322</v>
      </c>
      <c r="C335" s="1">
        <v>12</v>
      </c>
      <c r="D335" s="1" t="s">
        <v>489</v>
      </c>
      <c r="E335" t="s">
        <v>11730</v>
      </c>
      <c r="F335" s="1">
        <v>834135</v>
      </c>
      <c r="G335" s="1">
        <v>3871870142</v>
      </c>
      <c r="H335" s="1">
        <v>12</v>
      </c>
      <c r="I335" s="1" t="s">
        <v>938</v>
      </c>
      <c r="J335" t="s">
        <v>11731</v>
      </c>
    </row>
    <row r="336" spans="1:10">
      <c r="A336" s="1">
        <v>726679</v>
      </c>
      <c r="B336" s="1">
        <v>3871830453</v>
      </c>
      <c r="C336" s="1">
        <v>12</v>
      </c>
      <c r="D336" s="1" t="s">
        <v>379</v>
      </c>
      <c r="E336" t="s">
        <v>11732</v>
      </c>
      <c r="F336" s="1">
        <v>847079</v>
      </c>
      <c r="G336" s="1">
        <v>3871877853</v>
      </c>
      <c r="H336" s="1">
        <v>12</v>
      </c>
      <c r="I336" s="1" t="s">
        <v>379</v>
      </c>
      <c r="J336" t="s">
        <v>11733</v>
      </c>
    </row>
    <row r="337" spans="1:10">
      <c r="A337" s="1">
        <v>425454</v>
      </c>
      <c r="B337" s="1">
        <v>3871830451</v>
      </c>
      <c r="C337" s="1">
        <v>12</v>
      </c>
      <c r="D337" s="1" t="s">
        <v>404</v>
      </c>
      <c r="E337" t="s">
        <v>11734</v>
      </c>
      <c r="F337" s="1">
        <v>864595</v>
      </c>
      <c r="G337" s="1">
        <v>1130000406</v>
      </c>
      <c r="H337" s="1">
        <v>1</v>
      </c>
      <c r="I337" s="1" t="s">
        <v>11735</v>
      </c>
      <c r="J337" t="s">
        <v>11736</v>
      </c>
    </row>
    <row r="338" spans="1:10">
      <c r="A338" s="1">
        <v>826982</v>
      </c>
      <c r="B338" s="1">
        <v>3871860308</v>
      </c>
      <c r="C338" s="1">
        <v>12</v>
      </c>
      <c r="D338" s="1" t="s">
        <v>546</v>
      </c>
      <c r="E338" t="s">
        <v>11737</v>
      </c>
      <c r="F338" s="1">
        <v>872101</v>
      </c>
      <c r="G338" s="1">
        <v>7764725001</v>
      </c>
      <c r="H338" s="1">
        <v>24</v>
      </c>
      <c r="I338" s="1" t="s">
        <v>399</v>
      </c>
      <c r="J338" t="s">
        <v>11738</v>
      </c>
    </row>
    <row r="339" spans="1:10">
      <c r="A339" s="1">
        <v>726752</v>
      </c>
      <c r="B339" s="1">
        <v>3871860312</v>
      </c>
      <c r="C339" s="1">
        <v>12</v>
      </c>
      <c r="D339" s="1" t="s">
        <v>347</v>
      </c>
      <c r="E339" t="s">
        <v>11739</v>
      </c>
      <c r="F339" s="1">
        <v>898973</v>
      </c>
      <c r="G339" s="1">
        <v>17764725006</v>
      </c>
      <c r="H339" s="1">
        <v>24</v>
      </c>
      <c r="I339" s="1" t="s">
        <v>399</v>
      </c>
      <c r="J339" t="s">
        <v>11740</v>
      </c>
    </row>
    <row r="340" spans="1:10">
      <c r="A340" s="1">
        <v>739870</v>
      </c>
      <c r="B340" s="1">
        <v>3871870043</v>
      </c>
      <c r="C340" s="1">
        <v>12</v>
      </c>
      <c r="D340" s="1" t="s">
        <v>381</v>
      </c>
      <c r="E340" t="s">
        <v>11741</v>
      </c>
      <c r="F340" s="1">
        <v>898965</v>
      </c>
      <c r="G340" s="1">
        <v>17764725008</v>
      </c>
      <c r="H340" s="1">
        <v>24</v>
      </c>
      <c r="I340" s="1" t="s">
        <v>399</v>
      </c>
      <c r="J340" t="s">
        <v>11742</v>
      </c>
    </row>
    <row r="341" spans="1:10">
      <c r="A341" s="1">
        <v>726687</v>
      </c>
      <c r="B341" s="1">
        <v>3871870518</v>
      </c>
      <c r="C341" s="1">
        <v>12</v>
      </c>
      <c r="D341" s="1" t="s">
        <v>347</v>
      </c>
      <c r="E341" t="s">
        <v>11743</v>
      </c>
      <c r="F341" s="1">
        <v>888214</v>
      </c>
      <c r="G341" s="1">
        <v>17764714012</v>
      </c>
      <c r="H341" s="1">
        <v>36</v>
      </c>
      <c r="I341" s="1" t="s">
        <v>347</v>
      </c>
      <c r="J341" t="s">
        <v>11744</v>
      </c>
    </row>
    <row r="342" spans="1:10">
      <c r="A342" s="1">
        <v>834069</v>
      </c>
      <c r="B342" s="1">
        <v>3871570520</v>
      </c>
      <c r="C342" s="1">
        <v>12</v>
      </c>
      <c r="D342" s="1" t="s">
        <v>938</v>
      </c>
      <c r="E342" t="s">
        <v>11745</v>
      </c>
      <c r="F342" s="1">
        <v>888206</v>
      </c>
      <c r="G342" s="1">
        <v>17764714001</v>
      </c>
      <c r="H342" s="1">
        <v>36</v>
      </c>
      <c r="I342" s="1" t="s">
        <v>347</v>
      </c>
      <c r="J342" t="s">
        <v>11746</v>
      </c>
    </row>
    <row r="343" spans="1:10">
      <c r="A343" s="1">
        <v>726711</v>
      </c>
      <c r="B343" s="1">
        <v>3871877862</v>
      </c>
      <c r="C343" s="1">
        <v>12</v>
      </c>
      <c r="D343" s="1" t="s">
        <v>381</v>
      </c>
      <c r="E343" t="s">
        <v>11747</v>
      </c>
      <c r="F343" s="1">
        <v>872127</v>
      </c>
      <c r="G343" s="1">
        <v>7764725015</v>
      </c>
      <c r="H343" s="1">
        <v>24</v>
      </c>
      <c r="I343" s="1" t="s">
        <v>399</v>
      </c>
      <c r="J343" t="s">
        <v>11748</v>
      </c>
    </row>
    <row r="344" spans="1:10">
      <c r="A344" s="1">
        <v>819599</v>
      </c>
      <c r="B344" s="1">
        <v>3784202351</v>
      </c>
      <c r="C344" s="1">
        <v>1</v>
      </c>
      <c r="D344" s="1" t="s">
        <v>11749</v>
      </c>
      <c r="E344" t="s">
        <v>11750</v>
      </c>
      <c r="F344" s="1">
        <v>872119</v>
      </c>
      <c r="G344" s="1">
        <v>7764725016</v>
      </c>
      <c r="H344" s="1">
        <v>24</v>
      </c>
      <c r="I344" s="1" t="s">
        <v>399</v>
      </c>
      <c r="J344" t="s">
        <v>11751</v>
      </c>
    </row>
    <row r="345" spans="1:10">
      <c r="A345" s="1">
        <v>875518</v>
      </c>
      <c r="B345" s="1">
        <v>3784212533</v>
      </c>
      <c r="C345" s="1">
        <v>12</v>
      </c>
      <c r="D345" s="1" t="s">
        <v>106</v>
      </c>
      <c r="E345" t="s">
        <v>11752</v>
      </c>
      <c r="F345" s="1">
        <v>814889</v>
      </c>
      <c r="G345" s="1">
        <v>7613800501</v>
      </c>
      <c r="H345" s="1">
        <v>1</v>
      </c>
      <c r="I345" s="1" t="s">
        <v>11753</v>
      </c>
      <c r="J345" t="s">
        <v>11754</v>
      </c>
    </row>
    <row r="346" spans="1:10">
      <c r="A346" s="1">
        <v>490540</v>
      </c>
      <c r="B346" s="1">
        <v>7102233004</v>
      </c>
      <c r="C346" s="1">
        <v>12</v>
      </c>
      <c r="D346" s="1" t="s">
        <v>31</v>
      </c>
      <c r="E346" t="s">
        <v>11755</v>
      </c>
      <c r="F346" s="1">
        <v>815233</v>
      </c>
      <c r="G346" s="1">
        <v>3316540001</v>
      </c>
      <c r="H346" s="1">
        <v>12</v>
      </c>
      <c r="I346" s="1" t="s">
        <v>17</v>
      </c>
      <c r="J346" t="s">
        <v>11756</v>
      </c>
    </row>
    <row r="347" spans="1:10">
      <c r="A347" s="1">
        <v>490573</v>
      </c>
      <c r="B347" s="1">
        <v>7102233005</v>
      </c>
      <c r="C347" s="1">
        <v>12</v>
      </c>
      <c r="D347" s="1" t="s">
        <v>31</v>
      </c>
      <c r="E347" t="s">
        <v>11757</v>
      </c>
      <c r="F347" s="1">
        <v>893743</v>
      </c>
      <c r="G347" s="1">
        <v>7157000883</v>
      </c>
      <c r="H347" s="1">
        <v>8</v>
      </c>
      <c r="I347" s="1" t="s">
        <v>439</v>
      </c>
      <c r="J347" t="s">
        <v>11758</v>
      </c>
    </row>
    <row r="348" spans="1:10">
      <c r="A348" s="1">
        <v>490524</v>
      </c>
      <c r="B348" s="1">
        <v>7102233002</v>
      </c>
      <c r="C348" s="1">
        <v>12</v>
      </c>
      <c r="D348" s="1" t="s">
        <v>31</v>
      </c>
      <c r="E348" t="s">
        <v>11759</v>
      </c>
      <c r="F348" s="1">
        <v>893735</v>
      </c>
      <c r="G348" s="1">
        <v>7157000882</v>
      </c>
      <c r="H348" s="1">
        <v>8</v>
      </c>
      <c r="I348" s="1" t="s">
        <v>439</v>
      </c>
      <c r="J348" t="s">
        <v>11760</v>
      </c>
    </row>
    <row r="349" spans="1:10" ht="15.75">
      <c r="A349" s="1">
        <v>490565</v>
      </c>
      <c r="B349" s="1">
        <v>7102233006</v>
      </c>
      <c r="C349" s="1">
        <v>12</v>
      </c>
      <c r="D349" s="1" t="s">
        <v>31</v>
      </c>
      <c r="E349" t="s">
        <v>11761</v>
      </c>
      <c r="F349" s="4" t="s">
        <v>11762</v>
      </c>
      <c r="G349" s="2"/>
      <c r="H349" s="2"/>
      <c r="I349" s="2"/>
      <c r="J349" s="3"/>
    </row>
    <row r="350" spans="1:10">
      <c r="A350" s="1">
        <v>885707</v>
      </c>
      <c r="B350" s="1">
        <v>2548400124</v>
      </c>
      <c r="C350" s="1">
        <v>6</v>
      </c>
      <c r="D350" s="1" t="s">
        <v>546</v>
      </c>
      <c r="E350" t="s">
        <v>11763</v>
      </c>
      <c r="F350" s="2" t="s">
        <v>0</v>
      </c>
      <c r="G350" s="2" t="s">
        <v>1</v>
      </c>
      <c r="H350" s="2" t="s">
        <v>2</v>
      </c>
      <c r="I350" s="2" t="s">
        <v>3</v>
      </c>
      <c r="J350" s="3" t="s">
        <v>4</v>
      </c>
    </row>
    <row r="351" spans="1:10">
      <c r="A351" s="1">
        <v>876375</v>
      </c>
      <c r="B351" s="1">
        <v>3316534444</v>
      </c>
      <c r="C351" s="1">
        <v>24</v>
      </c>
      <c r="D351" s="1" t="s">
        <v>399</v>
      </c>
      <c r="E351" t="s">
        <v>11764</v>
      </c>
      <c r="F351" s="1">
        <v>481895</v>
      </c>
      <c r="G351" s="1">
        <v>3871810018</v>
      </c>
      <c r="H351" s="1">
        <v>12</v>
      </c>
      <c r="I351" s="1" t="s">
        <v>381</v>
      </c>
      <c r="J351" t="s">
        <v>11765</v>
      </c>
    </row>
    <row r="352" spans="1:10">
      <c r="A352" s="1">
        <v>154427</v>
      </c>
      <c r="B352" s="1">
        <v>3316513133</v>
      </c>
      <c r="C352" s="1">
        <v>12</v>
      </c>
      <c r="D352" s="1" t="s">
        <v>347</v>
      </c>
      <c r="E352" t="s">
        <v>11766</v>
      </c>
      <c r="F352" s="1">
        <v>897934</v>
      </c>
      <c r="G352" s="1">
        <v>3871810066</v>
      </c>
      <c r="H352" s="1">
        <v>12</v>
      </c>
      <c r="I352" s="1" t="s">
        <v>381</v>
      </c>
      <c r="J352" t="s">
        <v>11767</v>
      </c>
    </row>
    <row r="353" spans="1:10">
      <c r="A353" s="1">
        <v>486555</v>
      </c>
      <c r="B353" s="1">
        <v>4161671320</v>
      </c>
      <c r="C353" s="1">
        <v>6</v>
      </c>
      <c r="D353" s="1" t="s">
        <v>637</v>
      </c>
      <c r="E353" t="s">
        <v>11768</v>
      </c>
      <c r="F353" s="1">
        <v>876086</v>
      </c>
      <c r="G353" s="1">
        <v>3871810009</v>
      </c>
      <c r="H353" s="1">
        <v>12</v>
      </c>
      <c r="I353" s="1" t="s">
        <v>546</v>
      </c>
      <c r="J353" t="s">
        <v>11769</v>
      </c>
    </row>
    <row r="354" spans="1:10">
      <c r="A354" s="1">
        <v>551812</v>
      </c>
      <c r="B354" s="1">
        <v>1819571004</v>
      </c>
      <c r="C354" s="1">
        <v>48</v>
      </c>
      <c r="D354" s="1" t="s">
        <v>410</v>
      </c>
      <c r="E354" t="s">
        <v>11770</v>
      </c>
      <c r="F354" s="1">
        <v>873455</v>
      </c>
      <c r="G354" s="1">
        <v>3871850216</v>
      </c>
      <c r="H354" s="1">
        <v>12</v>
      </c>
      <c r="I354" s="1" t="s">
        <v>259</v>
      </c>
      <c r="J354" t="s">
        <v>11771</v>
      </c>
    </row>
    <row r="355" spans="1:10">
      <c r="A355" s="1">
        <v>525576</v>
      </c>
      <c r="B355" s="1">
        <v>1819570200</v>
      </c>
      <c r="C355" s="1">
        <v>12</v>
      </c>
      <c r="D355" s="1" t="s">
        <v>14</v>
      </c>
      <c r="E355" t="s">
        <v>11772</v>
      </c>
      <c r="F355" s="1">
        <v>726208</v>
      </c>
      <c r="G355" s="1">
        <v>3871820242</v>
      </c>
      <c r="H355" s="1">
        <v>12</v>
      </c>
      <c r="I355" s="1" t="s">
        <v>347</v>
      </c>
      <c r="J355" t="s">
        <v>11773</v>
      </c>
    </row>
    <row r="356" spans="1:10">
      <c r="A356" s="1">
        <v>552950</v>
      </c>
      <c r="B356" s="1">
        <v>1819570760</v>
      </c>
      <c r="C356" s="1">
        <v>12</v>
      </c>
      <c r="D356" s="1" t="s">
        <v>312</v>
      </c>
      <c r="E356" t="s">
        <v>11774</v>
      </c>
      <c r="F356" s="1">
        <v>876540</v>
      </c>
      <c r="G356" s="1">
        <v>3871820212</v>
      </c>
      <c r="H356" s="1">
        <v>12</v>
      </c>
      <c r="I356" s="1" t="s">
        <v>347</v>
      </c>
      <c r="J356" t="s">
        <v>11775</v>
      </c>
    </row>
    <row r="357" spans="1:10">
      <c r="A357" s="1">
        <v>846899</v>
      </c>
      <c r="B357" s="1">
        <v>1819570100</v>
      </c>
      <c r="C357" s="1">
        <v>12</v>
      </c>
      <c r="D357" s="1" t="s">
        <v>14</v>
      </c>
      <c r="E357" t="s">
        <v>11776</v>
      </c>
      <c r="F357" s="1">
        <v>408534</v>
      </c>
      <c r="G357" s="1">
        <v>3871830113</v>
      </c>
      <c r="H357" s="1">
        <v>12</v>
      </c>
      <c r="I357" s="1" t="s">
        <v>259</v>
      </c>
      <c r="J357" t="s">
        <v>11777</v>
      </c>
    </row>
    <row r="358" spans="1:10">
      <c r="A358" s="1">
        <v>197509</v>
      </c>
      <c r="B358" s="1">
        <v>1819570300</v>
      </c>
      <c r="C358" s="1">
        <v>12</v>
      </c>
      <c r="D358" s="1" t="s">
        <v>14</v>
      </c>
      <c r="E358" t="s">
        <v>11778</v>
      </c>
      <c r="F358" s="1">
        <v>876102</v>
      </c>
      <c r="G358" s="1">
        <v>3871870026</v>
      </c>
      <c r="H358" s="1">
        <v>12</v>
      </c>
      <c r="I358" s="1" t="s">
        <v>347</v>
      </c>
      <c r="J358" t="s">
        <v>11779</v>
      </c>
    </row>
    <row r="359" spans="1:10">
      <c r="A359" s="1">
        <v>442095</v>
      </c>
      <c r="B359" s="1">
        <v>1819570400</v>
      </c>
      <c r="C359" s="1">
        <v>12</v>
      </c>
      <c r="D359" s="1" t="s">
        <v>14</v>
      </c>
      <c r="E359" t="s">
        <v>11780</v>
      </c>
      <c r="F359" s="1">
        <v>726190</v>
      </c>
      <c r="G359" s="1">
        <v>3871820271</v>
      </c>
      <c r="H359" s="1">
        <v>12</v>
      </c>
      <c r="I359" s="1" t="s">
        <v>363</v>
      </c>
      <c r="J359" t="s">
        <v>11781</v>
      </c>
    </row>
    <row r="360" spans="1:10">
      <c r="A360" s="1">
        <v>280438</v>
      </c>
      <c r="B360" s="1">
        <v>1819570000</v>
      </c>
      <c r="C360" s="1">
        <v>12</v>
      </c>
      <c r="D360" s="1" t="s">
        <v>14</v>
      </c>
      <c r="E360" t="s">
        <v>11782</v>
      </c>
      <c r="F360" s="1">
        <v>849802</v>
      </c>
      <c r="G360" s="1">
        <v>4525511846</v>
      </c>
      <c r="H360" s="1">
        <v>12</v>
      </c>
      <c r="I360" s="1" t="s">
        <v>14</v>
      </c>
      <c r="J360" t="s">
        <v>11783</v>
      </c>
    </row>
    <row r="361" spans="1:10">
      <c r="A361" s="1">
        <v>352104</v>
      </c>
      <c r="B361" s="1">
        <v>1819570761</v>
      </c>
      <c r="C361" s="1">
        <v>12</v>
      </c>
      <c r="D361" s="1" t="s">
        <v>312</v>
      </c>
      <c r="E361" t="s">
        <v>11784</v>
      </c>
      <c r="F361" s="1">
        <v>872085</v>
      </c>
      <c r="G361" s="1">
        <v>0</v>
      </c>
      <c r="H361" s="1">
        <v>1</v>
      </c>
      <c r="I361" s="1" t="s">
        <v>6751</v>
      </c>
      <c r="J361" t="s">
        <v>11785</v>
      </c>
    </row>
    <row r="362" spans="1:10">
      <c r="A362" s="1">
        <v>421081</v>
      </c>
      <c r="B362" s="1">
        <v>1819570700</v>
      </c>
      <c r="C362" s="1">
        <v>12</v>
      </c>
      <c r="D362" s="1" t="s">
        <v>14</v>
      </c>
      <c r="E362" t="s">
        <v>11786</v>
      </c>
      <c r="F362" s="1">
        <v>872093</v>
      </c>
      <c r="G362" s="1">
        <v>0</v>
      </c>
      <c r="H362" s="1">
        <v>1</v>
      </c>
      <c r="I362" s="1" t="s">
        <v>6744</v>
      </c>
      <c r="J362" t="s">
        <v>11787</v>
      </c>
    </row>
    <row r="363" spans="1:10">
      <c r="A363" s="1">
        <v>859025</v>
      </c>
      <c r="B363" s="1">
        <v>66988750498</v>
      </c>
      <c r="C363" s="1">
        <v>12</v>
      </c>
      <c r="D363" s="1" t="s">
        <v>1313</v>
      </c>
      <c r="E363" t="s">
        <v>11788</v>
      </c>
      <c r="F363" s="1">
        <v>801811</v>
      </c>
      <c r="G363" s="1">
        <v>7102220100</v>
      </c>
      <c r="H363" s="1">
        <v>12</v>
      </c>
      <c r="I363" s="1" t="s">
        <v>404</v>
      </c>
      <c r="J363" t="s">
        <v>11789</v>
      </c>
    </row>
    <row r="364" spans="1:10">
      <c r="A364" s="1">
        <v>327460</v>
      </c>
      <c r="B364" s="1">
        <v>66988750212</v>
      </c>
      <c r="C364" s="1">
        <v>12</v>
      </c>
      <c r="D364" s="1" t="s">
        <v>3271</v>
      </c>
      <c r="E364" t="s">
        <v>11790</v>
      </c>
      <c r="F364" s="1">
        <v>831016</v>
      </c>
      <c r="G364" s="1">
        <v>7102230808</v>
      </c>
      <c r="H364" s="1">
        <v>12</v>
      </c>
      <c r="I364" s="1" t="s">
        <v>404</v>
      </c>
      <c r="J364" t="s">
        <v>11791</v>
      </c>
    </row>
    <row r="365" spans="1:10">
      <c r="A365" s="1">
        <v>504886</v>
      </c>
      <c r="B365" s="1">
        <v>66988750214</v>
      </c>
      <c r="C365" s="1">
        <v>12</v>
      </c>
      <c r="D365" s="1" t="s">
        <v>4856</v>
      </c>
      <c r="E365" t="s">
        <v>11792</v>
      </c>
      <c r="F365" s="1">
        <v>726216</v>
      </c>
      <c r="G365" s="1">
        <v>7102231719</v>
      </c>
      <c r="H365" s="1">
        <v>12</v>
      </c>
      <c r="I365" s="1" t="s">
        <v>14</v>
      </c>
      <c r="J365" t="s">
        <v>11793</v>
      </c>
    </row>
    <row r="366" spans="1:10">
      <c r="A366" s="1">
        <v>410316</v>
      </c>
      <c r="B366" s="1">
        <v>66988750500</v>
      </c>
      <c r="C366" s="1">
        <v>12</v>
      </c>
      <c r="D366" s="1" t="s">
        <v>11794</v>
      </c>
      <c r="E366" t="s">
        <v>11795</v>
      </c>
      <c r="F366" s="1">
        <v>348490</v>
      </c>
      <c r="G366" s="1">
        <v>7102230809</v>
      </c>
      <c r="H366" s="1">
        <v>12</v>
      </c>
      <c r="I366" s="1" t="s">
        <v>404</v>
      </c>
      <c r="J366" t="s">
        <v>11796</v>
      </c>
    </row>
    <row r="367" spans="1:10">
      <c r="A367" s="1">
        <v>517516</v>
      </c>
      <c r="B367" s="1">
        <v>66988750210</v>
      </c>
      <c r="C367" s="1">
        <v>12</v>
      </c>
      <c r="D367" s="1" t="s">
        <v>637</v>
      </c>
      <c r="E367" t="s">
        <v>11797</v>
      </c>
      <c r="F367" s="1">
        <v>823864</v>
      </c>
      <c r="G367" s="1">
        <v>7102231973</v>
      </c>
      <c r="H367" s="1">
        <v>12</v>
      </c>
      <c r="I367" s="1" t="s">
        <v>399</v>
      </c>
      <c r="J367" t="s">
        <v>11798</v>
      </c>
    </row>
    <row r="368" spans="1:10">
      <c r="F368" s="1">
        <v>801803</v>
      </c>
      <c r="G368" s="1">
        <v>7102231542</v>
      </c>
      <c r="H368" s="1">
        <v>12</v>
      </c>
      <c r="I368" s="1" t="s">
        <v>404</v>
      </c>
      <c r="J368" t="s">
        <v>11799</v>
      </c>
    </row>
    <row r="369" spans="1:10">
      <c r="F369" s="1">
        <v>223016</v>
      </c>
      <c r="G369" s="1">
        <v>7102231133</v>
      </c>
      <c r="H369" s="1">
        <v>12</v>
      </c>
      <c r="I369" s="1" t="s">
        <v>347</v>
      </c>
      <c r="J369" t="s">
        <v>11800</v>
      </c>
    </row>
    <row r="370" spans="1:10">
      <c r="F370" s="1">
        <v>899187</v>
      </c>
      <c r="G370" s="1">
        <v>7102231324</v>
      </c>
      <c r="H370" s="1">
        <v>12</v>
      </c>
      <c r="I370" s="1" t="s">
        <v>404</v>
      </c>
      <c r="J370" t="s">
        <v>11801</v>
      </c>
    </row>
    <row r="371" spans="1:10" ht="15.75">
      <c r="A371" s="4" t="s">
        <v>11762</v>
      </c>
      <c r="B371" s="2"/>
      <c r="C371" s="2"/>
      <c r="D371" s="2"/>
      <c r="E371" s="3"/>
      <c r="F371" s="4" t="s">
        <v>11802</v>
      </c>
      <c r="G371" s="2"/>
      <c r="H371" s="2"/>
      <c r="I371" s="2"/>
      <c r="J371" s="3"/>
    </row>
    <row r="372" spans="1:10">
      <c r="A372" s="2" t="s">
        <v>0</v>
      </c>
      <c r="B372" s="2" t="s">
        <v>1</v>
      </c>
      <c r="C372" s="2" t="s">
        <v>2</v>
      </c>
      <c r="D372" s="2" t="s">
        <v>3</v>
      </c>
      <c r="E372" s="3" t="s">
        <v>4</v>
      </c>
      <c r="F372" s="2" t="s">
        <v>0</v>
      </c>
      <c r="G372" s="2" t="s">
        <v>1</v>
      </c>
      <c r="H372" s="2" t="s">
        <v>2</v>
      </c>
      <c r="I372" s="2" t="s">
        <v>3</v>
      </c>
      <c r="J372" s="3" t="s">
        <v>4</v>
      </c>
    </row>
    <row r="373" spans="1:10">
      <c r="A373" s="1">
        <v>145813</v>
      </c>
      <c r="B373" s="1">
        <v>7102230887</v>
      </c>
      <c r="C373" s="1">
        <v>12</v>
      </c>
      <c r="D373" s="1" t="s">
        <v>404</v>
      </c>
      <c r="E373" t="s">
        <v>11803</v>
      </c>
      <c r="F373" s="1">
        <v>890780</v>
      </c>
      <c r="G373" s="1">
        <v>8186420112</v>
      </c>
      <c r="H373" s="1">
        <v>24</v>
      </c>
      <c r="I373" s="1" t="s">
        <v>347</v>
      </c>
      <c r="J373" t="s">
        <v>11804</v>
      </c>
    </row>
    <row r="374" spans="1:10">
      <c r="A374" s="1">
        <v>833046</v>
      </c>
      <c r="B374" s="1">
        <v>7102214009</v>
      </c>
      <c r="C374" s="1">
        <v>12</v>
      </c>
      <c r="D374" s="1" t="s">
        <v>404</v>
      </c>
      <c r="E374" t="s">
        <v>11805</v>
      </c>
      <c r="F374" s="1">
        <v>837146</v>
      </c>
      <c r="G374" s="1">
        <v>8186400105</v>
      </c>
      <c r="H374" s="1">
        <v>12</v>
      </c>
      <c r="I374" s="1" t="s">
        <v>489</v>
      </c>
      <c r="J374" t="s">
        <v>11806</v>
      </c>
    </row>
    <row r="375" spans="1:10">
      <c r="A375" s="1">
        <v>833038</v>
      </c>
      <c r="B375" s="1">
        <v>7102221000</v>
      </c>
      <c r="C375" s="1">
        <v>12</v>
      </c>
      <c r="D375" s="1" t="s">
        <v>399</v>
      </c>
      <c r="E375" t="s">
        <v>11807</v>
      </c>
      <c r="F375" s="1">
        <v>495093</v>
      </c>
      <c r="G375" s="1">
        <v>8186400086</v>
      </c>
      <c r="H375" s="1">
        <v>12</v>
      </c>
      <c r="I375" s="1" t="s">
        <v>381</v>
      </c>
      <c r="J375" t="s">
        <v>11808</v>
      </c>
    </row>
    <row r="376" spans="1:10">
      <c r="A376" s="1">
        <v>833137</v>
      </c>
      <c r="B376" s="1">
        <v>7102231112</v>
      </c>
      <c r="C376" s="1">
        <v>12</v>
      </c>
      <c r="D376" s="1" t="s">
        <v>404</v>
      </c>
      <c r="E376" t="s">
        <v>11809</v>
      </c>
      <c r="F376" s="1">
        <v>866384</v>
      </c>
      <c r="G376" s="1">
        <v>8186420110</v>
      </c>
      <c r="H376" s="1">
        <v>60</v>
      </c>
      <c r="I376" s="1" t="s">
        <v>489</v>
      </c>
      <c r="J376" t="s">
        <v>11810</v>
      </c>
    </row>
    <row r="377" spans="1:10">
      <c r="A377" s="1">
        <v>726224</v>
      </c>
      <c r="B377" s="1">
        <v>7102210009</v>
      </c>
      <c r="C377" s="1">
        <v>12</v>
      </c>
      <c r="D377" s="1" t="s">
        <v>489</v>
      </c>
      <c r="E377" t="s">
        <v>11811</v>
      </c>
      <c r="F377" s="1">
        <v>888016</v>
      </c>
      <c r="G377" s="1">
        <v>8186420210</v>
      </c>
      <c r="H377" s="1">
        <v>60</v>
      </c>
      <c r="I377" s="1" t="s">
        <v>489</v>
      </c>
      <c r="J377" t="s">
        <v>11812</v>
      </c>
    </row>
    <row r="378" spans="1:10">
      <c r="A378" s="1">
        <v>833087</v>
      </c>
      <c r="B378" s="1">
        <v>7102226001</v>
      </c>
      <c r="C378" s="1">
        <v>12</v>
      </c>
      <c r="D378" s="1" t="s">
        <v>404</v>
      </c>
      <c r="E378" t="s">
        <v>11813</v>
      </c>
      <c r="F378" s="1">
        <v>726539</v>
      </c>
      <c r="G378" s="1">
        <v>0</v>
      </c>
      <c r="H378" s="1">
        <v>1</v>
      </c>
      <c r="I378" s="1" t="s">
        <v>6727</v>
      </c>
      <c r="J378" t="s">
        <v>11814</v>
      </c>
    </row>
    <row r="379" spans="1:10">
      <c r="A379" s="1">
        <v>573220</v>
      </c>
      <c r="B379" s="1">
        <v>7102231479</v>
      </c>
      <c r="C379" s="1">
        <v>12</v>
      </c>
      <c r="D379" s="1" t="s">
        <v>404</v>
      </c>
      <c r="E379" t="s">
        <v>11815</v>
      </c>
      <c r="F379" s="1">
        <v>726513</v>
      </c>
      <c r="G379" s="1">
        <v>0</v>
      </c>
      <c r="H379" s="1">
        <v>1</v>
      </c>
      <c r="I379" s="1" t="s">
        <v>6727</v>
      </c>
      <c r="J379" t="s">
        <v>11816</v>
      </c>
    </row>
    <row r="380" spans="1:10">
      <c r="A380" s="1">
        <v>831008</v>
      </c>
      <c r="B380" s="1">
        <v>7102228021</v>
      </c>
      <c r="C380" s="1">
        <v>12</v>
      </c>
      <c r="D380" s="1" t="s">
        <v>399</v>
      </c>
      <c r="E380" t="s">
        <v>11817</v>
      </c>
      <c r="F380" s="1">
        <v>726505</v>
      </c>
      <c r="G380" s="1">
        <v>0</v>
      </c>
      <c r="H380" s="1">
        <v>1</v>
      </c>
      <c r="I380" s="1" t="s">
        <v>6727</v>
      </c>
      <c r="J380" t="s">
        <v>11818</v>
      </c>
    </row>
    <row r="381" spans="1:10">
      <c r="A381" s="1">
        <v>823609</v>
      </c>
      <c r="B381" s="1">
        <v>3260105000</v>
      </c>
      <c r="C381" s="1">
        <v>12</v>
      </c>
      <c r="D381" s="1" t="s">
        <v>489</v>
      </c>
      <c r="E381" t="s">
        <v>11819</v>
      </c>
      <c r="F381" s="1">
        <v>879676</v>
      </c>
      <c r="G381" s="1">
        <v>7105604721</v>
      </c>
      <c r="H381" s="1">
        <v>12</v>
      </c>
      <c r="I381" s="1" t="s">
        <v>489</v>
      </c>
      <c r="J381" t="s">
        <v>11820</v>
      </c>
    </row>
    <row r="382" spans="1:10">
      <c r="A382" s="1">
        <v>888008</v>
      </c>
      <c r="B382" s="1">
        <v>5589107010</v>
      </c>
      <c r="C382" s="1">
        <v>12</v>
      </c>
      <c r="D382" s="1" t="s">
        <v>489</v>
      </c>
      <c r="E382" t="s">
        <v>11821</v>
      </c>
      <c r="F382" s="1">
        <v>873091</v>
      </c>
      <c r="G382" s="1">
        <v>4220</v>
      </c>
      <c r="H382" s="1">
        <v>1</v>
      </c>
      <c r="I382" s="1" t="s">
        <v>6597</v>
      </c>
      <c r="J382" t="s">
        <v>11822</v>
      </c>
    </row>
    <row r="383" spans="1:10">
      <c r="A383" s="1">
        <v>739920</v>
      </c>
      <c r="B383" s="1">
        <v>7032701503</v>
      </c>
      <c r="C383" s="1">
        <v>12</v>
      </c>
      <c r="D383" s="1" t="s">
        <v>399</v>
      </c>
      <c r="E383" t="s">
        <v>11823</v>
      </c>
      <c r="F383" s="1">
        <v>800680</v>
      </c>
      <c r="G383" s="1">
        <v>8186422324</v>
      </c>
      <c r="H383" s="1">
        <v>16</v>
      </c>
      <c r="I383" s="1" t="s">
        <v>439</v>
      </c>
      <c r="J383" t="s">
        <v>11824</v>
      </c>
    </row>
    <row r="384" spans="1:10">
      <c r="A384" s="1">
        <v>748772</v>
      </c>
      <c r="B384" s="1">
        <v>7032701101</v>
      </c>
      <c r="C384" s="1">
        <v>12</v>
      </c>
      <c r="D384" s="1" t="s">
        <v>397</v>
      </c>
      <c r="E384" t="s">
        <v>11825</v>
      </c>
      <c r="F384" s="1">
        <v>874677</v>
      </c>
      <c r="G384" s="1">
        <v>8186420210</v>
      </c>
      <c r="H384" s="1">
        <v>18</v>
      </c>
      <c r="I384" s="1" t="s">
        <v>489</v>
      </c>
      <c r="J384" t="s">
        <v>11826</v>
      </c>
    </row>
    <row r="385" spans="1:10">
      <c r="A385" s="1">
        <v>471755</v>
      </c>
      <c r="B385" s="1">
        <v>7032701141</v>
      </c>
      <c r="C385" s="1">
        <v>12</v>
      </c>
      <c r="D385" s="1" t="s">
        <v>397</v>
      </c>
      <c r="E385" t="s">
        <v>11827</v>
      </c>
      <c r="F385" s="1">
        <v>881284</v>
      </c>
      <c r="G385" s="1">
        <v>8186420212</v>
      </c>
      <c r="H385" s="1">
        <v>24</v>
      </c>
      <c r="I385" s="1" t="s">
        <v>347</v>
      </c>
      <c r="J385" t="s">
        <v>11826</v>
      </c>
    </row>
    <row r="386" spans="1:10">
      <c r="A386" s="1">
        <v>250126</v>
      </c>
      <c r="B386" s="1">
        <v>7032701784</v>
      </c>
      <c r="C386" s="1">
        <v>12</v>
      </c>
      <c r="D386" s="1" t="s">
        <v>381</v>
      </c>
      <c r="E386" t="s">
        <v>11828</v>
      </c>
      <c r="F386" s="1">
        <v>863241</v>
      </c>
      <c r="G386" s="1">
        <v>8186422224</v>
      </c>
      <c r="H386" s="1">
        <v>16</v>
      </c>
      <c r="I386" s="1" t="s">
        <v>439</v>
      </c>
      <c r="J386" t="s">
        <v>11826</v>
      </c>
    </row>
    <row r="387" spans="1:10">
      <c r="A387" s="1">
        <v>25254</v>
      </c>
      <c r="B387" s="1">
        <v>7032701653</v>
      </c>
      <c r="C387" s="1">
        <v>12</v>
      </c>
      <c r="D387" s="1" t="s">
        <v>399</v>
      </c>
      <c r="E387" t="s">
        <v>11829</v>
      </c>
      <c r="F387" s="1">
        <v>874685</v>
      </c>
      <c r="G387" s="1">
        <v>8186420110</v>
      </c>
      <c r="H387" s="1">
        <v>18</v>
      </c>
      <c r="I387" s="1" t="s">
        <v>489</v>
      </c>
      <c r="J387" t="s">
        <v>11830</v>
      </c>
    </row>
    <row r="388" spans="1:10">
      <c r="A388" s="1">
        <v>752923</v>
      </c>
      <c r="B388" s="1">
        <v>7032701121</v>
      </c>
      <c r="C388" s="1">
        <v>12</v>
      </c>
      <c r="D388" s="1" t="s">
        <v>397</v>
      </c>
      <c r="E388" t="s">
        <v>11831</v>
      </c>
      <c r="F388" s="1">
        <v>810036</v>
      </c>
      <c r="G388" s="1">
        <v>8186420112</v>
      </c>
      <c r="H388" s="1">
        <v>24</v>
      </c>
      <c r="I388" s="1" t="s">
        <v>347</v>
      </c>
      <c r="J388" t="s">
        <v>11830</v>
      </c>
    </row>
    <row r="389" spans="1:10">
      <c r="A389" s="1">
        <v>703561</v>
      </c>
      <c r="B389" s="1">
        <v>7032701523</v>
      </c>
      <c r="C389" s="1">
        <v>12</v>
      </c>
      <c r="D389" s="1" t="s">
        <v>399</v>
      </c>
      <c r="E389" t="s">
        <v>11831</v>
      </c>
      <c r="F389" s="1">
        <v>877753</v>
      </c>
      <c r="G389" s="1">
        <v>8186422124</v>
      </c>
      <c r="H389" s="1">
        <v>16</v>
      </c>
      <c r="I389" s="1" t="s">
        <v>439</v>
      </c>
      <c r="J389" t="s">
        <v>11830</v>
      </c>
    </row>
    <row r="390" spans="1:10">
      <c r="A390" s="1">
        <v>427195</v>
      </c>
      <c r="B390" s="1">
        <v>7032701794</v>
      </c>
      <c r="C390" s="1">
        <v>12</v>
      </c>
      <c r="D390" s="1" t="s">
        <v>381</v>
      </c>
      <c r="E390" t="s">
        <v>11832</v>
      </c>
      <c r="F390" s="1">
        <v>865444</v>
      </c>
      <c r="G390" s="1">
        <v>4935</v>
      </c>
      <c r="H390" s="1">
        <v>110</v>
      </c>
      <c r="I390" s="1" t="s">
        <v>11833</v>
      </c>
      <c r="J390" t="s">
        <v>11834</v>
      </c>
    </row>
    <row r="391" spans="1:10">
      <c r="A391" s="1">
        <v>385575</v>
      </c>
      <c r="B391" s="1">
        <v>7032701643</v>
      </c>
      <c r="C391" s="1">
        <v>12</v>
      </c>
      <c r="D391" s="1" t="s">
        <v>399</v>
      </c>
      <c r="E391" t="s">
        <v>11835</v>
      </c>
      <c r="F391" s="1">
        <v>224568</v>
      </c>
      <c r="G391" s="1">
        <v>8186416064</v>
      </c>
      <c r="H391" s="1">
        <v>18</v>
      </c>
      <c r="I391" s="1" t="s">
        <v>347</v>
      </c>
      <c r="J391" t="s">
        <v>11836</v>
      </c>
    </row>
    <row r="392" spans="1:10">
      <c r="A392" s="1">
        <v>698209</v>
      </c>
      <c r="B392" s="1">
        <v>7032701181</v>
      </c>
      <c r="C392" s="1">
        <v>12</v>
      </c>
      <c r="D392" s="1" t="s">
        <v>397</v>
      </c>
      <c r="E392" t="s">
        <v>11837</v>
      </c>
      <c r="F392" s="1">
        <v>726554</v>
      </c>
      <c r="G392" s="1">
        <v>0</v>
      </c>
      <c r="H392" s="1">
        <v>1</v>
      </c>
      <c r="I392" s="1" t="s">
        <v>11833</v>
      </c>
      <c r="J392" t="s">
        <v>11838</v>
      </c>
    </row>
    <row r="393" spans="1:10">
      <c r="A393" s="1">
        <v>412882</v>
      </c>
      <c r="B393" s="1">
        <v>7032701171</v>
      </c>
      <c r="C393" s="1">
        <v>12</v>
      </c>
      <c r="D393" s="1" t="s">
        <v>397</v>
      </c>
      <c r="E393" t="s">
        <v>11839</v>
      </c>
      <c r="F393" s="1">
        <v>726547</v>
      </c>
      <c r="G393" s="1">
        <v>0</v>
      </c>
      <c r="H393" s="1">
        <v>1</v>
      </c>
      <c r="I393" s="1" t="s">
        <v>11833</v>
      </c>
      <c r="J393" t="s">
        <v>11840</v>
      </c>
    </row>
    <row r="394" spans="1:10">
      <c r="A394" s="1">
        <v>603712</v>
      </c>
      <c r="B394" s="1">
        <v>7032701111</v>
      </c>
      <c r="C394" s="1">
        <v>12</v>
      </c>
      <c r="D394" s="1" t="s">
        <v>397</v>
      </c>
      <c r="E394" t="s">
        <v>11841</v>
      </c>
      <c r="F394" s="1">
        <v>872051</v>
      </c>
      <c r="G394" s="1">
        <v>0</v>
      </c>
      <c r="H394" s="1">
        <v>1</v>
      </c>
      <c r="I394" s="1" t="s">
        <v>6810</v>
      </c>
      <c r="J394" t="s">
        <v>11842</v>
      </c>
    </row>
    <row r="395" spans="1:10">
      <c r="A395" s="1">
        <v>444034</v>
      </c>
      <c r="B395" s="1">
        <v>7032701513</v>
      </c>
      <c r="C395" s="1">
        <v>12</v>
      </c>
      <c r="D395" s="1" t="s">
        <v>399</v>
      </c>
      <c r="E395" t="s">
        <v>11841</v>
      </c>
      <c r="F395" s="1">
        <v>895664</v>
      </c>
      <c r="G395" s="1">
        <v>0</v>
      </c>
      <c r="H395" s="1">
        <v>1</v>
      </c>
      <c r="I395" s="1" t="s">
        <v>6597</v>
      </c>
      <c r="J395" t="s">
        <v>11843</v>
      </c>
    </row>
    <row r="396" spans="1:10">
      <c r="A396" s="1">
        <v>846659</v>
      </c>
      <c r="B396" s="1">
        <v>3526600351</v>
      </c>
      <c r="C396" s="1">
        <v>6</v>
      </c>
      <c r="D396" s="1" t="s">
        <v>8</v>
      </c>
      <c r="E396" t="s">
        <v>11844</v>
      </c>
      <c r="F396" s="1">
        <v>871939</v>
      </c>
      <c r="G396" s="1">
        <v>0</v>
      </c>
      <c r="H396" s="1">
        <v>1</v>
      </c>
      <c r="I396" s="1" t="s">
        <v>6810</v>
      </c>
      <c r="J396" t="s">
        <v>11845</v>
      </c>
    </row>
    <row r="397" spans="1:10">
      <c r="A397" s="1">
        <v>846667</v>
      </c>
      <c r="B397" s="1">
        <v>3526600352</v>
      </c>
      <c r="C397" s="1">
        <v>6</v>
      </c>
      <c r="D397" s="1" t="s">
        <v>8</v>
      </c>
      <c r="E397" t="s">
        <v>11846</v>
      </c>
      <c r="F397" s="1">
        <v>840710</v>
      </c>
      <c r="G397" s="1">
        <v>8186416031</v>
      </c>
      <c r="H397" s="1">
        <v>18</v>
      </c>
      <c r="I397" s="1" t="s">
        <v>347</v>
      </c>
      <c r="J397" t="s">
        <v>11847</v>
      </c>
    </row>
    <row r="398" spans="1:10" ht="15.75">
      <c r="A398" s="4" t="s">
        <v>11802</v>
      </c>
      <c r="B398" s="2"/>
      <c r="C398" s="2"/>
      <c r="D398" s="2"/>
      <c r="E398" s="3"/>
      <c r="F398" s="1">
        <v>726570</v>
      </c>
      <c r="G398" s="1">
        <v>3316522225</v>
      </c>
      <c r="H398" s="1">
        <v>24</v>
      </c>
      <c r="I398" s="1" t="s">
        <v>1973</v>
      </c>
      <c r="J398" t="s">
        <v>11848</v>
      </c>
    </row>
    <row r="399" spans="1:10">
      <c r="A399" s="2" t="s">
        <v>0</v>
      </c>
      <c r="B399" s="2" t="s">
        <v>1</v>
      </c>
      <c r="C399" s="2" t="s">
        <v>2</v>
      </c>
      <c r="D399" s="2" t="s">
        <v>3</v>
      </c>
      <c r="E399" s="3" t="s">
        <v>4</v>
      </c>
      <c r="F399" s="1">
        <v>780841</v>
      </c>
      <c r="G399" s="1">
        <v>66988750035</v>
      </c>
      <c r="H399" s="1">
        <v>12</v>
      </c>
      <c r="I399" s="1" t="s">
        <v>381</v>
      </c>
      <c r="J399" t="s">
        <v>11849</v>
      </c>
    </row>
    <row r="400" spans="1:10" ht="15.75">
      <c r="A400" s="1">
        <v>873786</v>
      </c>
      <c r="B400" s="1">
        <v>3871805162</v>
      </c>
      <c r="C400" s="1">
        <v>12</v>
      </c>
      <c r="D400" s="1" t="s">
        <v>347</v>
      </c>
      <c r="E400" t="s">
        <v>11850</v>
      </c>
      <c r="F400" s="4" t="s">
        <v>11851</v>
      </c>
      <c r="G400" s="2"/>
      <c r="H400" s="2"/>
      <c r="I400" s="2"/>
      <c r="J400" s="3"/>
    </row>
    <row r="401" spans="1:10">
      <c r="A401" s="1">
        <v>726489</v>
      </c>
      <c r="B401" s="1">
        <v>3871805124</v>
      </c>
      <c r="C401" s="1">
        <v>6</v>
      </c>
      <c r="D401" s="1" t="s">
        <v>1489</v>
      </c>
      <c r="E401" t="s">
        <v>11852</v>
      </c>
      <c r="F401" s="2" t="s">
        <v>0</v>
      </c>
      <c r="G401" s="2" t="s">
        <v>1</v>
      </c>
      <c r="H401" s="2" t="s">
        <v>2</v>
      </c>
      <c r="I401" s="2" t="s">
        <v>3</v>
      </c>
      <c r="J401" s="3" t="s">
        <v>4</v>
      </c>
    </row>
    <row r="402" spans="1:10">
      <c r="A402" s="1">
        <v>822304</v>
      </c>
      <c r="B402" s="1">
        <v>75928331018</v>
      </c>
      <c r="C402" s="1">
        <v>9</v>
      </c>
      <c r="D402" s="1" t="s">
        <v>489</v>
      </c>
      <c r="E402" t="s">
        <v>11853</v>
      </c>
      <c r="F402" s="1">
        <v>726471</v>
      </c>
      <c r="G402" s="1">
        <v>3871870037</v>
      </c>
      <c r="H402" s="1">
        <v>12</v>
      </c>
      <c r="I402" s="1" t="s">
        <v>347</v>
      </c>
      <c r="J402" t="s">
        <v>11854</v>
      </c>
    </row>
    <row r="403" spans="1:10">
      <c r="A403" s="1">
        <v>289512</v>
      </c>
      <c r="B403" s="1">
        <v>8186400084</v>
      </c>
      <c r="C403" s="1">
        <v>12</v>
      </c>
      <c r="D403" s="1" t="s">
        <v>381</v>
      </c>
      <c r="E403" t="s">
        <v>11855</v>
      </c>
      <c r="F403" s="1">
        <v>194936</v>
      </c>
      <c r="G403" s="1">
        <v>75928300046</v>
      </c>
      <c r="H403" s="1">
        <v>9</v>
      </c>
      <c r="I403" s="1" t="s">
        <v>599</v>
      </c>
      <c r="J403" t="s">
        <v>11856</v>
      </c>
    </row>
    <row r="404" spans="1:10">
      <c r="A404" s="1">
        <v>873083</v>
      </c>
      <c r="B404" s="1">
        <v>1310</v>
      </c>
      <c r="C404" s="1">
        <v>1</v>
      </c>
      <c r="D404" s="1" t="s">
        <v>6597</v>
      </c>
      <c r="E404" t="s">
        <v>11857</v>
      </c>
      <c r="F404" s="1">
        <v>887612</v>
      </c>
      <c r="G404" s="1">
        <v>75928331038</v>
      </c>
      <c r="H404" s="1">
        <v>9</v>
      </c>
      <c r="I404" s="1" t="s">
        <v>489</v>
      </c>
      <c r="J404" t="s">
        <v>11858</v>
      </c>
    </row>
    <row r="405" spans="1:10">
      <c r="A405" s="1">
        <v>820506</v>
      </c>
      <c r="B405" s="1">
        <v>8186420410</v>
      </c>
      <c r="C405" s="1">
        <v>18</v>
      </c>
      <c r="D405" s="1" t="s">
        <v>489</v>
      </c>
      <c r="E405" t="s">
        <v>11859</v>
      </c>
      <c r="F405" s="1">
        <v>642967</v>
      </c>
      <c r="G405" s="1">
        <v>75928331040</v>
      </c>
      <c r="H405" s="1">
        <v>9</v>
      </c>
      <c r="I405" s="1" t="s">
        <v>432</v>
      </c>
      <c r="J405" t="s">
        <v>11860</v>
      </c>
    </row>
    <row r="406" spans="1:10">
      <c r="A406" s="1">
        <v>655274</v>
      </c>
      <c r="B406" s="1">
        <v>8186400085</v>
      </c>
      <c r="C406" s="1">
        <v>12</v>
      </c>
      <c r="D406" s="1" t="s">
        <v>381</v>
      </c>
      <c r="E406" t="s">
        <v>11861</v>
      </c>
      <c r="F406" s="1">
        <v>850917</v>
      </c>
      <c r="G406" s="1">
        <v>75928331039</v>
      </c>
      <c r="H406" s="1">
        <v>9</v>
      </c>
      <c r="I406" s="1" t="s">
        <v>489</v>
      </c>
      <c r="J406" t="s">
        <v>11862</v>
      </c>
    </row>
    <row r="407" spans="1:10">
      <c r="A407" s="1">
        <v>376152</v>
      </c>
      <c r="B407" s="1">
        <v>8186400083</v>
      </c>
      <c r="C407" s="1">
        <v>12</v>
      </c>
      <c r="D407" s="1" t="s">
        <v>381</v>
      </c>
      <c r="E407" t="s">
        <v>11863</v>
      </c>
      <c r="F407" s="1">
        <v>739359</v>
      </c>
      <c r="G407" s="1">
        <v>75928300047</v>
      </c>
      <c r="H407" s="1">
        <v>9</v>
      </c>
      <c r="I407" s="1" t="s">
        <v>599</v>
      </c>
      <c r="J407" t="s">
        <v>11864</v>
      </c>
    </row>
    <row r="408" spans="1:10">
      <c r="A408" s="1">
        <v>726521</v>
      </c>
      <c r="B408" s="1">
        <v>0</v>
      </c>
      <c r="C408" s="1">
        <v>1</v>
      </c>
      <c r="D408" s="1" t="s">
        <v>6727</v>
      </c>
      <c r="E408" t="s">
        <v>11865</v>
      </c>
      <c r="F408" s="1">
        <v>364216</v>
      </c>
      <c r="G408" s="1">
        <v>75928300045</v>
      </c>
      <c r="H408" s="1">
        <v>9</v>
      </c>
      <c r="I408" s="1" t="s">
        <v>489</v>
      </c>
      <c r="J408" t="s">
        <v>11866</v>
      </c>
    </row>
    <row r="409" spans="1:10">
      <c r="A409" s="1">
        <v>325191</v>
      </c>
      <c r="B409" s="1">
        <v>8186420232</v>
      </c>
      <c r="C409" s="1">
        <v>12</v>
      </c>
      <c r="D409" s="1" t="s">
        <v>860</v>
      </c>
      <c r="E409" t="s">
        <v>11867</v>
      </c>
      <c r="F409" s="1">
        <v>623041</v>
      </c>
      <c r="G409" s="1">
        <v>75928300048</v>
      </c>
      <c r="H409" s="1">
        <v>9</v>
      </c>
      <c r="I409" s="1" t="s">
        <v>363</v>
      </c>
      <c r="J409" t="s">
        <v>11868</v>
      </c>
    </row>
    <row r="410" spans="1:10">
      <c r="A410" s="1">
        <v>191338</v>
      </c>
      <c r="B410" s="1">
        <v>8186420132</v>
      </c>
      <c r="C410" s="1">
        <v>12</v>
      </c>
      <c r="D410" s="1" t="s">
        <v>860</v>
      </c>
      <c r="E410" t="s">
        <v>11869</v>
      </c>
      <c r="F410" s="1">
        <v>874511</v>
      </c>
      <c r="G410" s="1">
        <v>1030000154</v>
      </c>
      <c r="H410" s="1">
        <v>1</v>
      </c>
      <c r="I410" s="1" t="s">
        <v>6727</v>
      </c>
      <c r="J410" t="s">
        <v>11870</v>
      </c>
    </row>
    <row r="411" spans="1:10">
      <c r="A411" s="1">
        <v>874180</v>
      </c>
      <c r="B411" s="1">
        <v>2800</v>
      </c>
      <c r="C411" s="1">
        <v>1</v>
      </c>
      <c r="D411" s="1" t="s">
        <v>6597</v>
      </c>
      <c r="E411" t="s">
        <v>11871</v>
      </c>
      <c r="F411" s="1">
        <v>874602</v>
      </c>
      <c r="G411" s="1">
        <v>1030000152</v>
      </c>
      <c r="H411" s="1">
        <v>1</v>
      </c>
      <c r="I411" s="1" t="s">
        <v>6727</v>
      </c>
      <c r="J411" t="s">
        <v>11872</v>
      </c>
    </row>
    <row r="412" spans="1:10" ht="15.75">
      <c r="A412" s="4" t="s">
        <v>11851</v>
      </c>
      <c r="B412" s="2"/>
      <c r="C412" s="2"/>
      <c r="D412" s="2"/>
      <c r="E412" s="3"/>
      <c r="F412" s="4" t="s">
        <v>11873</v>
      </c>
      <c r="G412" s="2"/>
      <c r="H412" s="2"/>
      <c r="I412" s="2"/>
      <c r="J412" s="3"/>
    </row>
    <row r="413" spans="1:10">
      <c r="A413" s="2" t="s">
        <v>0</v>
      </c>
      <c r="B413" s="2" t="s">
        <v>1</v>
      </c>
      <c r="C413" s="2" t="s">
        <v>2</v>
      </c>
      <c r="D413" s="2" t="s">
        <v>3</v>
      </c>
      <c r="E413" s="3" t="s">
        <v>4</v>
      </c>
      <c r="F413" s="2" t="s">
        <v>0</v>
      </c>
      <c r="G413" s="2" t="s">
        <v>1</v>
      </c>
      <c r="H413" s="2" t="s">
        <v>2</v>
      </c>
      <c r="I413" s="2" t="s">
        <v>3</v>
      </c>
      <c r="J413" s="3" t="s">
        <v>4</v>
      </c>
    </row>
    <row r="414" spans="1:10">
      <c r="A414" s="1">
        <v>873174</v>
      </c>
      <c r="B414" s="1">
        <v>3871804205</v>
      </c>
      <c r="C414" s="1">
        <v>12</v>
      </c>
      <c r="D414" s="1" t="s">
        <v>394</v>
      </c>
      <c r="E414" t="s">
        <v>11874</v>
      </c>
      <c r="F414" s="1">
        <v>844373</v>
      </c>
      <c r="G414" s="1">
        <v>3871860023</v>
      </c>
      <c r="H414" s="1">
        <v>12</v>
      </c>
      <c r="I414" s="1" t="s">
        <v>347</v>
      </c>
      <c r="J414" t="s">
        <v>11875</v>
      </c>
    </row>
    <row r="415" spans="1:10">
      <c r="A415" s="1">
        <v>726463</v>
      </c>
      <c r="B415" s="1">
        <v>3871860121</v>
      </c>
      <c r="C415" s="1">
        <v>12</v>
      </c>
      <c r="D415" s="1" t="s">
        <v>908</v>
      </c>
      <c r="E415" t="s">
        <v>11876</v>
      </c>
      <c r="F415" s="1">
        <v>814681</v>
      </c>
      <c r="G415" s="1">
        <v>3871800080</v>
      </c>
      <c r="H415" s="1">
        <v>6</v>
      </c>
      <c r="I415" s="1" t="s">
        <v>954</v>
      </c>
      <c r="J415" t="s">
        <v>11877</v>
      </c>
    </row>
    <row r="416" spans="1:10">
      <c r="A416" s="1">
        <v>873745</v>
      </c>
      <c r="B416" s="1">
        <v>1030000030</v>
      </c>
      <c r="C416" s="1">
        <v>36</v>
      </c>
      <c r="D416" s="1" t="s">
        <v>381</v>
      </c>
      <c r="E416" t="s">
        <v>11878</v>
      </c>
      <c r="F416" s="1">
        <v>897868</v>
      </c>
      <c r="G416" s="1">
        <v>3871801136</v>
      </c>
      <c r="H416" s="1">
        <v>12</v>
      </c>
      <c r="I416" s="1" t="s">
        <v>381</v>
      </c>
      <c r="J416" t="s">
        <v>11879</v>
      </c>
    </row>
    <row r="417" spans="1:10">
      <c r="A417" s="1">
        <v>873752</v>
      </c>
      <c r="B417" s="1">
        <v>1030000022</v>
      </c>
      <c r="C417" s="1">
        <v>36</v>
      </c>
      <c r="D417" s="1" t="s">
        <v>381</v>
      </c>
      <c r="E417" t="s">
        <v>11880</v>
      </c>
      <c r="F417" s="1">
        <v>874610</v>
      </c>
      <c r="G417" s="1">
        <v>3871801116</v>
      </c>
      <c r="H417" s="1">
        <v>12</v>
      </c>
      <c r="I417" s="1" t="s">
        <v>381</v>
      </c>
      <c r="J417" t="s">
        <v>11881</v>
      </c>
    </row>
    <row r="418" spans="1:10">
      <c r="A418" s="1">
        <v>801753</v>
      </c>
      <c r="B418" s="1">
        <v>3338380130</v>
      </c>
      <c r="C418" s="1">
        <v>1</v>
      </c>
      <c r="D418" s="1" t="s">
        <v>4652</v>
      </c>
      <c r="E418" t="s">
        <v>11882</v>
      </c>
      <c r="F418" s="1">
        <v>761387</v>
      </c>
      <c r="G418" s="1">
        <v>3871801107</v>
      </c>
      <c r="H418" s="1">
        <v>12</v>
      </c>
      <c r="I418" s="1" t="s">
        <v>546</v>
      </c>
      <c r="J418" t="s">
        <v>11883</v>
      </c>
    </row>
    <row r="419" spans="1:10">
      <c r="A419" s="1">
        <v>874289</v>
      </c>
      <c r="B419" s="1">
        <v>4927</v>
      </c>
      <c r="C419" s="1">
        <v>1</v>
      </c>
      <c r="D419" s="1" t="s">
        <v>6597</v>
      </c>
      <c r="E419" t="s">
        <v>11884</v>
      </c>
      <c r="F419" s="1">
        <v>267674</v>
      </c>
      <c r="G419" s="1">
        <v>3871801159</v>
      </c>
      <c r="H419" s="1">
        <v>12</v>
      </c>
      <c r="I419" s="1" t="s">
        <v>546</v>
      </c>
      <c r="J419" t="s">
        <v>11885</v>
      </c>
    </row>
    <row r="420" spans="1:10">
      <c r="A420" s="1">
        <v>48868</v>
      </c>
      <c r="B420" s="1">
        <v>4927</v>
      </c>
      <c r="C420" s="1">
        <v>1</v>
      </c>
      <c r="D420" s="1" t="s">
        <v>6597</v>
      </c>
      <c r="E420" t="s">
        <v>11886</v>
      </c>
      <c r="F420" s="1">
        <v>726620</v>
      </c>
      <c r="G420" s="1">
        <v>3871850910</v>
      </c>
      <c r="H420" s="1">
        <v>12</v>
      </c>
      <c r="I420" s="1" t="s">
        <v>489</v>
      </c>
      <c r="J420" t="s">
        <v>11887</v>
      </c>
    </row>
    <row r="421" spans="1:10">
      <c r="A421" s="1">
        <v>864868</v>
      </c>
      <c r="B421" s="1">
        <v>4927</v>
      </c>
      <c r="C421" s="1">
        <v>1</v>
      </c>
      <c r="D421" s="1" t="s">
        <v>6597</v>
      </c>
      <c r="E421" t="s">
        <v>11888</v>
      </c>
      <c r="F421" s="1">
        <v>142133</v>
      </c>
      <c r="G421" s="1">
        <v>75928331020</v>
      </c>
      <c r="H421" s="1">
        <v>9</v>
      </c>
      <c r="I421" s="1" t="s">
        <v>489</v>
      </c>
      <c r="J421" t="s">
        <v>11889</v>
      </c>
    </row>
    <row r="422" spans="1:10">
      <c r="A422" s="1">
        <v>874354</v>
      </c>
      <c r="B422" s="1">
        <v>1631033011</v>
      </c>
      <c r="C422" s="1">
        <v>18</v>
      </c>
      <c r="D422" s="1" t="s">
        <v>11890</v>
      </c>
      <c r="E422" t="s">
        <v>11891</v>
      </c>
      <c r="F422" s="1">
        <v>289678</v>
      </c>
      <c r="G422" s="1">
        <v>75928331001</v>
      </c>
      <c r="H422" s="1">
        <v>9</v>
      </c>
      <c r="I422" s="1" t="s">
        <v>399</v>
      </c>
      <c r="J422" t="s">
        <v>11892</v>
      </c>
    </row>
    <row r="423" spans="1:10">
      <c r="A423" s="1">
        <v>864876</v>
      </c>
      <c r="B423" s="1">
        <v>4927</v>
      </c>
      <c r="C423" s="1">
        <v>1</v>
      </c>
      <c r="D423" s="1" t="s">
        <v>6597</v>
      </c>
      <c r="E423" t="s">
        <v>11893</v>
      </c>
      <c r="F423" s="1">
        <v>488965</v>
      </c>
      <c r="G423" s="1">
        <v>68647200210</v>
      </c>
      <c r="H423" s="1">
        <v>36</v>
      </c>
      <c r="I423" s="1" t="s">
        <v>399</v>
      </c>
      <c r="J423" t="s">
        <v>11894</v>
      </c>
    </row>
    <row r="424" spans="1:10" ht="15.75">
      <c r="A424" s="4" t="s">
        <v>11873</v>
      </c>
      <c r="B424" s="2"/>
      <c r="C424" s="2"/>
      <c r="D424" s="2"/>
      <c r="E424" s="3"/>
      <c r="F424" s="1">
        <v>451690</v>
      </c>
      <c r="G424" s="1">
        <v>68647200510</v>
      </c>
      <c r="H424" s="1">
        <v>36</v>
      </c>
      <c r="I424" s="1" t="s">
        <v>399</v>
      </c>
      <c r="J424" t="s">
        <v>11895</v>
      </c>
    </row>
    <row r="425" spans="1:10">
      <c r="A425" s="2" t="s">
        <v>0</v>
      </c>
      <c r="B425" s="2" t="s">
        <v>1</v>
      </c>
      <c r="C425" s="2" t="s">
        <v>2</v>
      </c>
      <c r="D425" s="2" t="s">
        <v>3</v>
      </c>
      <c r="E425" s="3" t="s">
        <v>4</v>
      </c>
      <c r="F425" s="1">
        <v>758847</v>
      </c>
      <c r="G425" s="1">
        <v>68647200110</v>
      </c>
      <c r="H425" s="1">
        <v>36</v>
      </c>
      <c r="I425" s="1" t="s">
        <v>399</v>
      </c>
      <c r="J425" t="s">
        <v>11896</v>
      </c>
    </row>
    <row r="426" spans="1:10">
      <c r="A426" s="1">
        <v>811828</v>
      </c>
      <c r="B426" s="1">
        <v>7172570982</v>
      </c>
      <c r="C426" s="1">
        <v>12</v>
      </c>
      <c r="D426" s="1" t="s">
        <v>397</v>
      </c>
      <c r="E426" t="s">
        <v>11897</v>
      </c>
      <c r="F426" s="1">
        <v>752295</v>
      </c>
      <c r="G426" s="1">
        <v>68647200310</v>
      </c>
      <c r="H426" s="1">
        <v>36</v>
      </c>
      <c r="I426" s="1" t="s">
        <v>399</v>
      </c>
      <c r="J426" t="s">
        <v>11898</v>
      </c>
    </row>
    <row r="427" spans="1:10">
      <c r="A427" s="1">
        <v>894618</v>
      </c>
      <c r="B427" s="1">
        <v>7172524173</v>
      </c>
      <c r="C427" s="1">
        <v>12</v>
      </c>
      <c r="D427" s="1" t="s">
        <v>489</v>
      </c>
      <c r="E427" t="s">
        <v>11899</v>
      </c>
      <c r="F427" s="1">
        <v>899195</v>
      </c>
      <c r="G427" s="1">
        <v>1030006231</v>
      </c>
      <c r="H427" s="1">
        <v>12</v>
      </c>
      <c r="I427" s="1" t="s">
        <v>394</v>
      </c>
      <c r="J427" t="s">
        <v>11900</v>
      </c>
    </row>
    <row r="428" spans="1:10">
      <c r="A428" s="1">
        <v>894600</v>
      </c>
      <c r="B428" s="1">
        <v>7172524170</v>
      </c>
      <c r="C428" s="1">
        <v>12</v>
      </c>
      <c r="D428" s="1" t="s">
        <v>347</v>
      </c>
      <c r="E428" t="s">
        <v>11901</v>
      </c>
      <c r="F428" s="1">
        <v>874503</v>
      </c>
      <c r="G428" s="1">
        <v>7045001002</v>
      </c>
      <c r="H428" s="1">
        <v>1</v>
      </c>
      <c r="I428" s="1" t="s">
        <v>6727</v>
      </c>
      <c r="J428" t="s">
        <v>11902</v>
      </c>
    </row>
    <row r="429" spans="1:10">
      <c r="A429" s="1">
        <v>898957</v>
      </c>
      <c r="B429" s="1">
        <v>7172524141</v>
      </c>
      <c r="C429" s="1">
        <v>12</v>
      </c>
      <c r="D429" s="1" t="s">
        <v>910</v>
      </c>
      <c r="E429" t="s">
        <v>11903</v>
      </c>
      <c r="F429" s="1">
        <v>873737</v>
      </c>
      <c r="G429" s="1">
        <v>7045002102</v>
      </c>
      <c r="H429" s="1">
        <v>48</v>
      </c>
      <c r="I429" s="1" t="s">
        <v>381</v>
      </c>
      <c r="J429" t="s">
        <v>11904</v>
      </c>
    </row>
    <row r="430" spans="1:10">
      <c r="A430" s="1">
        <v>898296</v>
      </c>
      <c r="B430" s="1">
        <v>7172524140</v>
      </c>
      <c r="C430" s="1">
        <v>12</v>
      </c>
      <c r="D430" s="1" t="s">
        <v>910</v>
      </c>
      <c r="E430" t="s">
        <v>11905</v>
      </c>
      <c r="F430" s="1">
        <v>873729</v>
      </c>
      <c r="G430" s="1">
        <v>7045002106</v>
      </c>
      <c r="H430" s="1">
        <v>24</v>
      </c>
      <c r="I430" s="1" t="s">
        <v>375</v>
      </c>
      <c r="J430" t="s">
        <v>11904</v>
      </c>
    </row>
    <row r="431" spans="1:10">
      <c r="A431" s="1">
        <v>834325</v>
      </c>
      <c r="B431" s="1">
        <v>3871860080</v>
      </c>
      <c r="C431" s="1">
        <v>12</v>
      </c>
      <c r="D431" s="1" t="s">
        <v>365</v>
      </c>
      <c r="E431" t="s">
        <v>11906</v>
      </c>
      <c r="F431" s="1">
        <v>873778</v>
      </c>
      <c r="G431" s="1">
        <v>1030000019</v>
      </c>
      <c r="H431" s="1">
        <v>36</v>
      </c>
      <c r="I431" s="1" t="s">
        <v>381</v>
      </c>
      <c r="J431" t="s">
        <v>11907</v>
      </c>
    </row>
    <row r="432" spans="1:10">
      <c r="A432" s="1">
        <v>726455</v>
      </c>
      <c r="B432" s="1">
        <v>3871801205</v>
      </c>
      <c r="C432" s="1">
        <v>12</v>
      </c>
      <c r="D432" s="1" t="s">
        <v>394</v>
      </c>
      <c r="E432" t="s">
        <v>11908</v>
      </c>
      <c r="F432" s="1">
        <v>874362</v>
      </c>
      <c r="G432" s="1">
        <v>0</v>
      </c>
      <c r="H432" s="1">
        <v>1</v>
      </c>
      <c r="I432" s="1" t="s">
        <v>6597</v>
      </c>
      <c r="J432" t="s">
        <v>11909</v>
      </c>
    </row>
    <row r="433" spans="1:10">
      <c r="A433" s="1">
        <v>872614</v>
      </c>
      <c r="B433" s="1">
        <v>3871801380</v>
      </c>
      <c r="C433" s="1">
        <v>12</v>
      </c>
      <c r="D433" s="1" t="s">
        <v>381</v>
      </c>
      <c r="E433" t="s">
        <v>11910</v>
      </c>
      <c r="F433" s="1">
        <v>848994</v>
      </c>
      <c r="G433" s="1">
        <v>7045002004</v>
      </c>
      <c r="H433" s="1">
        <v>24</v>
      </c>
      <c r="I433" s="1" t="s">
        <v>1973</v>
      </c>
      <c r="J433" t="s">
        <v>11911</v>
      </c>
    </row>
    <row r="434" spans="1:10">
      <c r="A434" s="1">
        <v>462309</v>
      </c>
      <c r="B434" s="1">
        <v>3871803142</v>
      </c>
      <c r="C434" s="1">
        <v>6</v>
      </c>
      <c r="D434" s="1" t="s">
        <v>375</v>
      </c>
      <c r="E434" t="s">
        <v>11912</v>
      </c>
      <c r="F434" s="1">
        <v>874859</v>
      </c>
      <c r="G434" s="1">
        <v>7493600011</v>
      </c>
      <c r="H434" s="1">
        <v>12</v>
      </c>
      <c r="I434" s="1" t="s">
        <v>399</v>
      </c>
      <c r="J434" t="s">
        <v>11913</v>
      </c>
    </row>
    <row r="435" spans="1:10">
      <c r="A435" s="1">
        <v>899443</v>
      </c>
      <c r="B435" s="1">
        <v>3871803139</v>
      </c>
      <c r="C435" s="1">
        <v>12</v>
      </c>
      <c r="D435" s="1" t="s">
        <v>381</v>
      </c>
      <c r="E435" t="s">
        <v>11914</v>
      </c>
      <c r="F435" s="1">
        <v>479782</v>
      </c>
      <c r="G435" s="1">
        <v>7493600013</v>
      </c>
      <c r="H435" s="1">
        <v>12</v>
      </c>
      <c r="I435" s="1" t="s">
        <v>399</v>
      </c>
      <c r="J435" t="s">
        <v>11915</v>
      </c>
    </row>
    <row r="436" spans="1:10">
      <c r="A436" s="1">
        <v>854992</v>
      </c>
      <c r="B436" s="1">
        <v>3871803154</v>
      </c>
      <c r="C436" s="1">
        <v>12</v>
      </c>
      <c r="D436" s="1" t="s">
        <v>106</v>
      </c>
      <c r="E436" t="s">
        <v>11916</v>
      </c>
      <c r="F436" s="1">
        <v>231084</v>
      </c>
      <c r="G436" s="1">
        <v>8186400088</v>
      </c>
      <c r="H436" s="1">
        <v>12</v>
      </c>
      <c r="I436" s="1" t="s">
        <v>259</v>
      </c>
      <c r="J436" t="s">
        <v>11917</v>
      </c>
    </row>
    <row r="437" spans="1:10">
      <c r="A437" s="1">
        <v>834184</v>
      </c>
      <c r="B437" s="1">
        <v>3871803110</v>
      </c>
      <c r="C437" s="1">
        <v>12</v>
      </c>
      <c r="D437" s="1" t="s">
        <v>703</v>
      </c>
      <c r="E437" t="s">
        <v>11918</v>
      </c>
      <c r="F437" s="1">
        <v>896688</v>
      </c>
      <c r="G437" s="1">
        <v>8186400087</v>
      </c>
      <c r="H437" s="1">
        <v>12</v>
      </c>
      <c r="I437" s="1" t="s">
        <v>259</v>
      </c>
      <c r="J437" t="s">
        <v>11919</v>
      </c>
    </row>
    <row r="438" spans="1:10">
      <c r="A438" s="1">
        <v>897587</v>
      </c>
      <c r="B438" s="1">
        <v>3871877859</v>
      </c>
      <c r="C438" s="1">
        <v>12</v>
      </c>
      <c r="D438" s="1" t="s">
        <v>546</v>
      </c>
      <c r="E438" t="s">
        <v>11733</v>
      </c>
      <c r="F438" s="1">
        <v>851600</v>
      </c>
      <c r="G438" s="1">
        <v>3935016151</v>
      </c>
      <c r="H438" s="1">
        <v>24</v>
      </c>
      <c r="I438" s="1" t="s">
        <v>1973</v>
      </c>
      <c r="J438" t="s">
        <v>11920</v>
      </c>
    </row>
    <row r="439" spans="1:10">
      <c r="A439" s="1">
        <v>874412</v>
      </c>
      <c r="B439" s="1">
        <v>3871802116</v>
      </c>
      <c r="C439" s="1">
        <v>12</v>
      </c>
      <c r="D439" s="1" t="s">
        <v>381</v>
      </c>
      <c r="E439" t="s">
        <v>11921</v>
      </c>
      <c r="F439" s="1">
        <v>864900</v>
      </c>
      <c r="G439" s="1">
        <v>3935008151</v>
      </c>
      <c r="H439" s="1">
        <v>48</v>
      </c>
      <c r="I439" s="1" t="s">
        <v>399</v>
      </c>
      <c r="J439" t="s">
        <v>11920</v>
      </c>
    </row>
    <row r="440" spans="1:10">
      <c r="A440" s="1">
        <v>872317</v>
      </c>
      <c r="B440" s="1">
        <v>3871802108</v>
      </c>
      <c r="C440" s="1">
        <v>12</v>
      </c>
      <c r="D440" s="1" t="s">
        <v>399</v>
      </c>
      <c r="E440" t="s">
        <v>11921</v>
      </c>
      <c r="F440" s="1">
        <v>527424</v>
      </c>
      <c r="G440" s="1">
        <v>73935016801</v>
      </c>
      <c r="H440" s="1">
        <v>24</v>
      </c>
      <c r="I440" s="1" t="s">
        <v>1973</v>
      </c>
      <c r="J440" t="s">
        <v>11922</v>
      </c>
    </row>
    <row r="441" spans="1:10">
      <c r="A441" s="1">
        <v>344630</v>
      </c>
      <c r="B441" s="1">
        <v>3871802107</v>
      </c>
      <c r="C441" s="1">
        <v>12</v>
      </c>
      <c r="D441" s="1" t="s">
        <v>546</v>
      </c>
      <c r="E441" t="s">
        <v>11921</v>
      </c>
      <c r="F441" s="1">
        <v>871921</v>
      </c>
      <c r="G441" s="1">
        <v>0</v>
      </c>
      <c r="H441" s="1">
        <v>1</v>
      </c>
      <c r="I441" s="1" t="s">
        <v>6810</v>
      </c>
      <c r="J441" t="s">
        <v>11923</v>
      </c>
    </row>
    <row r="442" spans="1:10">
      <c r="A442" s="1">
        <v>375675</v>
      </c>
      <c r="B442" s="1">
        <v>3871802202</v>
      </c>
      <c r="C442" s="1">
        <v>12</v>
      </c>
      <c r="D442" s="1" t="s">
        <v>546</v>
      </c>
      <c r="E442" t="s">
        <v>11924</v>
      </c>
      <c r="F442" s="1">
        <v>871905</v>
      </c>
      <c r="G442" s="1">
        <v>7826400501</v>
      </c>
      <c r="H442" s="1">
        <v>1</v>
      </c>
      <c r="I442" s="1" t="s">
        <v>6597</v>
      </c>
      <c r="J442" t="s">
        <v>11925</v>
      </c>
    </row>
    <row r="443" spans="1:10">
      <c r="A443" s="1">
        <v>872648</v>
      </c>
      <c r="B443" s="1">
        <v>3871802216</v>
      </c>
      <c r="C443" s="1">
        <v>12</v>
      </c>
      <c r="D443" s="1" t="s">
        <v>381</v>
      </c>
      <c r="E443" t="s">
        <v>11926</v>
      </c>
      <c r="F443" s="1">
        <v>871897</v>
      </c>
      <c r="G443" s="1">
        <v>0</v>
      </c>
      <c r="H443" s="1">
        <v>1</v>
      </c>
      <c r="I443" s="1" t="s">
        <v>6810</v>
      </c>
      <c r="J443" t="s">
        <v>11927</v>
      </c>
    </row>
    <row r="444" spans="1:10">
      <c r="A444" s="1">
        <v>872325</v>
      </c>
      <c r="B444" s="1">
        <v>3871802208</v>
      </c>
      <c r="C444" s="1">
        <v>12</v>
      </c>
      <c r="D444" s="1" t="s">
        <v>399</v>
      </c>
      <c r="E444" t="s">
        <v>11926</v>
      </c>
      <c r="F444" s="1">
        <v>871970</v>
      </c>
      <c r="G444" s="1">
        <v>0</v>
      </c>
      <c r="H444" s="1">
        <v>1</v>
      </c>
      <c r="I444" s="1" t="s">
        <v>6597</v>
      </c>
      <c r="J444" t="s">
        <v>11928</v>
      </c>
    </row>
    <row r="445" spans="1:10">
      <c r="A445" s="1">
        <v>873489</v>
      </c>
      <c r="B445" s="1">
        <v>3871806066</v>
      </c>
      <c r="C445" s="1">
        <v>12</v>
      </c>
      <c r="D445" s="1" t="s">
        <v>381</v>
      </c>
      <c r="E445" t="s">
        <v>11929</v>
      </c>
      <c r="F445" s="1">
        <v>871988</v>
      </c>
      <c r="G445" s="1">
        <v>0</v>
      </c>
      <c r="H445" s="1">
        <v>1</v>
      </c>
      <c r="I445" s="1" t="s">
        <v>6597</v>
      </c>
      <c r="J445" t="s">
        <v>11930</v>
      </c>
    </row>
    <row r="446" spans="1:10">
      <c r="A446" s="1">
        <v>726612</v>
      </c>
      <c r="B446" s="1">
        <v>3871860709</v>
      </c>
      <c r="C446" s="1">
        <v>12</v>
      </c>
      <c r="D446" s="1" t="s">
        <v>365</v>
      </c>
      <c r="E446" t="s">
        <v>11931</v>
      </c>
      <c r="F446" s="1">
        <v>871962</v>
      </c>
      <c r="G446" s="1">
        <v>0</v>
      </c>
      <c r="H446" s="1">
        <v>1</v>
      </c>
      <c r="I446" s="1" t="s">
        <v>6597</v>
      </c>
      <c r="J446" t="s">
        <v>11932</v>
      </c>
    </row>
    <row r="447" spans="1:10">
      <c r="A447" s="1">
        <v>784173</v>
      </c>
      <c r="B447" s="1">
        <v>3871860707</v>
      </c>
      <c r="C447" s="1">
        <v>12</v>
      </c>
      <c r="D447" s="1" t="s">
        <v>365</v>
      </c>
      <c r="E447" t="s">
        <v>11933</v>
      </c>
      <c r="F447" s="1">
        <v>871954</v>
      </c>
      <c r="G447" s="1">
        <v>0</v>
      </c>
      <c r="H447" s="1">
        <v>1</v>
      </c>
      <c r="I447" s="1" t="s">
        <v>6597</v>
      </c>
      <c r="J447" t="s">
        <v>11934</v>
      </c>
    </row>
    <row r="448" spans="1:10">
      <c r="A448" s="1">
        <v>827626</v>
      </c>
      <c r="B448" s="1">
        <v>3871806020</v>
      </c>
      <c r="C448" s="1">
        <v>12</v>
      </c>
      <c r="D448" s="1" t="s">
        <v>347</v>
      </c>
      <c r="E448" t="s">
        <v>11935</v>
      </c>
      <c r="F448" s="1">
        <v>516435</v>
      </c>
      <c r="G448" s="1">
        <v>4161672200</v>
      </c>
      <c r="H448" s="1">
        <v>6</v>
      </c>
      <c r="I448" s="1" t="s">
        <v>553</v>
      </c>
      <c r="J448" t="s">
        <v>11936</v>
      </c>
    </row>
    <row r="449" spans="1:10">
      <c r="A449" s="1">
        <v>331280</v>
      </c>
      <c r="B449" s="1">
        <v>3871859968</v>
      </c>
      <c r="C449" s="1">
        <v>12</v>
      </c>
      <c r="D449" s="1" t="s">
        <v>546</v>
      </c>
      <c r="E449" t="s">
        <v>11937</v>
      </c>
      <c r="F449" s="1">
        <v>882662</v>
      </c>
      <c r="G449" s="1">
        <v>18232600002</v>
      </c>
      <c r="H449" s="1">
        <v>12</v>
      </c>
      <c r="I449" s="1" t="s">
        <v>11938</v>
      </c>
      <c r="J449" t="s">
        <v>11939</v>
      </c>
    </row>
    <row r="450" spans="1:10">
      <c r="A450" s="1">
        <v>170100</v>
      </c>
      <c r="B450" s="1">
        <v>3871803162</v>
      </c>
      <c r="C450" s="1">
        <v>12</v>
      </c>
      <c r="D450" s="1" t="s">
        <v>347</v>
      </c>
      <c r="E450" t="s">
        <v>11940</v>
      </c>
      <c r="F450" s="1">
        <v>815407</v>
      </c>
      <c r="G450" s="1">
        <v>1411390619</v>
      </c>
      <c r="H450" s="1">
        <v>1</v>
      </c>
      <c r="I450" s="1" t="s">
        <v>8</v>
      </c>
      <c r="J450" t="s">
        <v>11941</v>
      </c>
    </row>
    <row r="451" spans="1:10">
      <c r="A451" s="1">
        <v>647941</v>
      </c>
      <c r="B451" s="1">
        <v>3871801316</v>
      </c>
      <c r="C451" s="1">
        <v>12</v>
      </c>
      <c r="D451" s="1" t="s">
        <v>381</v>
      </c>
      <c r="E451" t="s">
        <v>11942</v>
      </c>
      <c r="F451" s="1">
        <v>893727</v>
      </c>
      <c r="G451" s="1">
        <v>7157000885</v>
      </c>
      <c r="H451" s="1">
        <v>8</v>
      </c>
      <c r="I451" s="1" t="s">
        <v>439</v>
      </c>
      <c r="J451" t="s">
        <v>11943</v>
      </c>
    </row>
    <row r="452" spans="1:10">
      <c r="A452" s="1">
        <v>845313</v>
      </c>
      <c r="B452" s="1">
        <v>3871860064</v>
      </c>
      <c r="C452" s="1">
        <v>6</v>
      </c>
      <c r="D452" s="1" t="s">
        <v>259</v>
      </c>
      <c r="E452" t="s">
        <v>11944</v>
      </c>
      <c r="F452" s="1">
        <v>465955</v>
      </c>
      <c r="G452" s="1">
        <v>1411367025</v>
      </c>
      <c r="H452" s="1">
        <v>1</v>
      </c>
      <c r="I452" s="1" t="s">
        <v>6597</v>
      </c>
      <c r="J452" t="s">
        <v>11945</v>
      </c>
    </row>
    <row r="453" spans="1:10" ht="15.75">
      <c r="A453" s="4" t="s">
        <v>11873</v>
      </c>
      <c r="B453" s="2"/>
      <c r="C453" s="2"/>
      <c r="D453" s="2"/>
      <c r="E453" s="3"/>
      <c r="F453" s="4" t="s">
        <v>11946</v>
      </c>
      <c r="G453" s="2"/>
      <c r="H453" s="2"/>
      <c r="I453" s="2"/>
      <c r="J453" s="3"/>
    </row>
    <row r="454" spans="1:10">
      <c r="A454" s="2" t="s">
        <v>0</v>
      </c>
      <c r="B454" s="2" t="s">
        <v>1</v>
      </c>
      <c r="C454" s="2" t="s">
        <v>2</v>
      </c>
      <c r="D454" s="2" t="s">
        <v>3</v>
      </c>
      <c r="E454" s="3" t="s">
        <v>4</v>
      </c>
      <c r="F454" s="2" t="s">
        <v>0</v>
      </c>
      <c r="G454" s="2" t="s">
        <v>1</v>
      </c>
      <c r="H454" s="2" t="s">
        <v>2</v>
      </c>
      <c r="I454" s="2" t="s">
        <v>3</v>
      </c>
      <c r="J454" s="3" t="s">
        <v>4</v>
      </c>
    </row>
    <row r="455" spans="1:10">
      <c r="A455" s="1">
        <v>176636</v>
      </c>
      <c r="B455" s="1">
        <v>1411373406</v>
      </c>
      <c r="C455" s="1">
        <v>12</v>
      </c>
      <c r="D455" s="1" t="s">
        <v>404</v>
      </c>
      <c r="E455" t="s">
        <v>11947</v>
      </c>
      <c r="F455" s="1">
        <v>875294</v>
      </c>
      <c r="G455" s="1">
        <v>7172512498</v>
      </c>
      <c r="H455" s="1">
        <v>24</v>
      </c>
      <c r="I455" s="1" t="s">
        <v>399</v>
      </c>
      <c r="J455" t="s">
        <v>11948</v>
      </c>
    </row>
    <row r="456" spans="1:10">
      <c r="A456" s="1">
        <v>429860</v>
      </c>
      <c r="B456" s="1">
        <v>1411363374</v>
      </c>
      <c r="C456" s="1">
        <v>12</v>
      </c>
      <c r="D456" s="1" t="s">
        <v>860</v>
      </c>
      <c r="E456" t="s">
        <v>11949</v>
      </c>
      <c r="F456" s="1">
        <v>847160</v>
      </c>
      <c r="G456" s="1">
        <v>7172570187</v>
      </c>
      <c r="H456" s="1">
        <v>24</v>
      </c>
      <c r="I456" s="1" t="s">
        <v>489</v>
      </c>
      <c r="J456" t="s">
        <v>11950</v>
      </c>
    </row>
    <row r="457" spans="1:10">
      <c r="A457" s="1">
        <v>157941</v>
      </c>
      <c r="B457" s="1">
        <v>1411309682</v>
      </c>
      <c r="C457" s="1">
        <v>1</v>
      </c>
      <c r="D457" s="1" t="s">
        <v>8</v>
      </c>
      <c r="E457" t="s">
        <v>11951</v>
      </c>
      <c r="F457" s="1">
        <v>875286</v>
      </c>
      <c r="G457" s="1">
        <v>7172512408</v>
      </c>
      <c r="H457" s="1">
        <v>24</v>
      </c>
      <c r="I457" s="1" t="s">
        <v>399</v>
      </c>
      <c r="J457" t="s">
        <v>11952</v>
      </c>
    </row>
    <row r="458" spans="1:10">
      <c r="A458" s="1">
        <v>260034</v>
      </c>
      <c r="B458" s="1">
        <v>66988750036</v>
      </c>
      <c r="C458" s="1">
        <v>12</v>
      </c>
      <c r="D458" s="1" t="s">
        <v>381</v>
      </c>
      <c r="E458" t="s">
        <v>11953</v>
      </c>
      <c r="F458" s="1">
        <v>847178</v>
      </c>
      <c r="G458" s="1">
        <v>7172570185</v>
      </c>
      <c r="H458" s="1">
        <v>24</v>
      </c>
      <c r="I458" s="1" t="s">
        <v>489</v>
      </c>
      <c r="J458" t="s">
        <v>11954</v>
      </c>
    </row>
    <row r="459" spans="1:10">
      <c r="A459" s="1">
        <v>497693</v>
      </c>
      <c r="B459" s="1">
        <v>66988712410</v>
      </c>
      <c r="C459" s="1">
        <v>12</v>
      </c>
      <c r="D459" s="1" t="s">
        <v>381</v>
      </c>
      <c r="E459" t="s">
        <v>11955</v>
      </c>
      <c r="F459" s="1">
        <v>852533</v>
      </c>
      <c r="G459" s="1">
        <v>3871840311</v>
      </c>
      <c r="H459" s="1">
        <v>12</v>
      </c>
      <c r="I459" s="1" t="s">
        <v>347</v>
      </c>
      <c r="J459" t="s">
        <v>11956</v>
      </c>
    </row>
    <row r="460" spans="1:10">
      <c r="A460" s="1">
        <v>485946</v>
      </c>
      <c r="B460" s="1">
        <v>1411391004</v>
      </c>
      <c r="C460" s="1">
        <v>25</v>
      </c>
      <c r="D460" s="1" t="s">
        <v>489</v>
      </c>
      <c r="E460" t="s">
        <v>11957</v>
      </c>
      <c r="F460" s="1">
        <v>874230</v>
      </c>
      <c r="G460" s="1">
        <v>2572362115</v>
      </c>
      <c r="H460" s="1">
        <v>24</v>
      </c>
      <c r="I460" s="1" t="s">
        <v>358</v>
      </c>
      <c r="J460" t="s">
        <v>11958</v>
      </c>
    </row>
    <row r="461" spans="1:10">
      <c r="A461" s="1">
        <v>289827</v>
      </c>
      <c r="B461" s="1">
        <v>1411391002</v>
      </c>
      <c r="C461" s="1">
        <v>20</v>
      </c>
      <c r="D461" s="1" t="s">
        <v>381</v>
      </c>
      <c r="E461" t="s">
        <v>11957</v>
      </c>
      <c r="F461" s="1">
        <v>875195</v>
      </c>
      <c r="G461" s="1">
        <v>8925700075</v>
      </c>
      <c r="H461" s="1">
        <v>24</v>
      </c>
      <c r="I461" s="1" t="s">
        <v>363</v>
      </c>
      <c r="J461" t="s">
        <v>11959</v>
      </c>
    </row>
    <row r="462" spans="1:10" ht="15.75">
      <c r="A462" s="4" t="s">
        <v>11960</v>
      </c>
      <c r="B462" s="2"/>
      <c r="C462" s="2"/>
      <c r="D462" s="2"/>
      <c r="E462" s="3"/>
      <c r="F462" s="1">
        <v>899385</v>
      </c>
      <c r="G462" s="1">
        <v>8925700070</v>
      </c>
      <c r="H462" s="1">
        <v>24</v>
      </c>
      <c r="I462" s="1" t="s">
        <v>399</v>
      </c>
      <c r="J462" t="s">
        <v>11961</v>
      </c>
    </row>
    <row r="463" spans="1:10">
      <c r="A463" s="2" t="s">
        <v>0</v>
      </c>
      <c r="B463" s="2" t="s">
        <v>1</v>
      </c>
      <c r="C463" s="2" t="s">
        <v>2</v>
      </c>
      <c r="D463" s="2" t="s">
        <v>3</v>
      </c>
      <c r="E463" s="3" t="s">
        <v>4</v>
      </c>
      <c r="F463" s="1">
        <v>875237</v>
      </c>
      <c r="G463" s="1">
        <v>8925700020</v>
      </c>
      <c r="H463" s="1">
        <v>24</v>
      </c>
      <c r="I463" s="1" t="s">
        <v>489</v>
      </c>
      <c r="J463" t="s">
        <v>11962</v>
      </c>
    </row>
    <row r="464" spans="1:10">
      <c r="A464" s="1">
        <v>834176</v>
      </c>
      <c r="B464" s="1">
        <v>3871870377</v>
      </c>
      <c r="C464" s="1">
        <v>6</v>
      </c>
      <c r="D464" s="1" t="s">
        <v>3633</v>
      </c>
      <c r="E464" t="s">
        <v>11963</v>
      </c>
      <c r="F464" s="1">
        <v>875260</v>
      </c>
      <c r="G464" s="1">
        <v>8925700160</v>
      </c>
      <c r="H464" s="1">
        <v>12</v>
      </c>
      <c r="I464" s="1" t="s">
        <v>1973</v>
      </c>
      <c r="J464" t="s">
        <v>11964</v>
      </c>
    </row>
    <row r="465" spans="1:10">
      <c r="A465" s="1">
        <v>506675</v>
      </c>
      <c r="B465" s="1">
        <v>3871830446</v>
      </c>
      <c r="C465" s="1">
        <v>6</v>
      </c>
      <c r="D465" s="1" t="s">
        <v>971</v>
      </c>
      <c r="E465" t="s">
        <v>11965</v>
      </c>
      <c r="F465" s="1">
        <v>888503</v>
      </c>
      <c r="G465" s="1">
        <v>8925700180</v>
      </c>
      <c r="H465" s="1">
        <v>12</v>
      </c>
      <c r="I465" s="1" t="s">
        <v>1973</v>
      </c>
      <c r="J465" t="s">
        <v>11966</v>
      </c>
    </row>
    <row r="466" spans="1:10">
      <c r="A466" s="1">
        <v>872259</v>
      </c>
      <c r="B466" s="1">
        <v>3871806254</v>
      </c>
      <c r="C466" s="1">
        <v>12</v>
      </c>
      <c r="D466" s="1" t="s">
        <v>781</v>
      </c>
      <c r="E466" t="s">
        <v>11967</v>
      </c>
      <c r="F466" s="1">
        <v>875161</v>
      </c>
      <c r="G466" s="1">
        <v>8925700170</v>
      </c>
      <c r="H466" s="1">
        <v>12</v>
      </c>
      <c r="I466" s="1" t="s">
        <v>1973</v>
      </c>
      <c r="J466" t="s">
        <v>11968</v>
      </c>
    </row>
    <row r="467" spans="1:10">
      <c r="A467" s="1">
        <v>871855</v>
      </c>
      <c r="B467" s="1">
        <v>3871806232</v>
      </c>
      <c r="C467" s="1">
        <v>6</v>
      </c>
      <c r="D467" s="1" t="s">
        <v>375</v>
      </c>
      <c r="E467" t="s">
        <v>11969</v>
      </c>
      <c r="F467" s="1">
        <v>875104</v>
      </c>
      <c r="G467" s="1">
        <v>8925700175</v>
      </c>
      <c r="H467" s="1">
        <v>12</v>
      </c>
      <c r="I467" s="1" t="s">
        <v>1973</v>
      </c>
      <c r="J467" t="s">
        <v>11970</v>
      </c>
    </row>
    <row r="468" spans="1:10">
      <c r="A468" s="1">
        <v>822098</v>
      </c>
      <c r="B468" s="1">
        <v>3871806255</v>
      </c>
      <c r="C468" s="1">
        <v>12</v>
      </c>
      <c r="D468" s="1" t="s">
        <v>106</v>
      </c>
      <c r="E468" t="s">
        <v>11969</v>
      </c>
      <c r="F468" s="1">
        <v>875211</v>
      </c>
      <c r="G468" s="1">
        <v>8925700060</v>
      </c>
      <c r="H468" s="1">
        <v>12</v>
      </c>
      <c r="I468" s="1" t="s">
        <v>1654</v>
      </c>
      <c r="J468" t="s">
        <v>11971</v>
      </c>
    </row>
    <row r="469" spans="1:10">
      <c r="A469" s="1">
        <v>899724</v>
      </c>
      <c r="B469" s="1">
        <v>3871806236</v>
      </c>
      <c r="C469" s="1">
        <v>12</v>
      </c>
      <c r="D469" s="1" t="s">
        <v>381</v>
      </c>
      <c r="E469" t="s">
        <v>11972</v>
      </c>
      <c r="F469" s="1">
        <v>875187</v>
      </c>
      <c r="G469" s="1">
        <v>8925700150</v>
      </c>
      <c r="H469" s="1">
        <v>12</v>
      </c>
      <c r="I469" s="1" t="s">
        <v>1973</v>
      </c>
      <c r="J469" t="s">
        <v>11973</v>
      </c>
    </row>
    <row r="470" spans="1:10">
      <c r="A470" s="1">
        <v>425736</v>
      </c>
      <c r="B470" s="1">
        <v>3871806262</v>
      </c>
      <c r="C470" s="1">
        <v>12</v>
      </c>
      <c r="D470" s="1" t="s">
        <v>347</v>
      </c>
      <c r="E470" t="s">
        <v>11974</v>
      </c>
      <c r="F470" s="1">
        <v>875252</v>
      </c>
      <c r="G470" s="1">
        <v>8925700010</v>
      </c>
      <c r="H470" s="1">
        <v>24</v>
      </c>
      <c r="I470" s="1" t="s">
        <v>489</v>
      </c>
      <c r="J470" t="s">
        <v>11975</v>
      </c>
    </row>
    <row r="471" spans="1:10">
      <c r="A471" s="1">
        <v>897991</v>
      </c>
      <c r="B471" s="1">
        <v>3871806244</v>
      </c>
      <c r="C471" s="1">
        <v>12</v>
      </c>
      <c r="D471" s="1" t="s">
        <v>381</v>
      </c>
      <c r="E471" t="s">
        <v>11976</v>
      </c>
      <c r="F471" s="1">
        <v>875245</v>
      </c>
      <c r="G471" s="1">
        <v>8925700030</v>
      </c>
      <c r="H471" s="1">
        <v>12</v>
      </c>
      <c r="I471" s="1" t="s">
        <v>1973</v>
      </c>
      <c r="J471" t="s">
        <v>11977</v>
      </c>
    </row>
    <row r="472" spans="1:10">
      <c r="A472" s="1">
        <v>897975</v>
      </c>
      <c r="B472" s="1">
        <v>3871803136</v>
      </c>
      <c r="C472" s="1">
        <v>12</v>
      </c>
      <c r="D472" s="1" t="s">
        <v>381</v>
      </c>
      <c r="E472" t="s">
        <v>11978</v>
      </c>
      <c r="F472" s="1">
        <v>875229</v>
      </c>
      <c r="G472" s="1">
        <v>8925700050</v>
      </c>
      <c r="H472" s="1">
        <v>24</v>
      </c>
      <c r="I472" s="1" t="s">
        <v>347</v>
      </c>
      <c r="J472" t="s">
        <v>11979</v>
      </c>
    </row>
    <row r="473" spans="1:10">
      <c r="A473" s="1">
        <v>834200</v>
      </c>
      <c r="B473" s="1">
        <v>3871806213</v>
      </c>
      <c r="C473" s="1">
        <v>12</v>
      </c>
      <c r="D473" s="1" t="s">
        <v>703</v>
      </c>
      <c r="E473" t="s">
        <v>11980</v>
      </c>
      <c r="F473" s="1">
        <v>899377</v>
      </c>
      <c r="G473" s="1">
        <v>8925700040</v>
      </c>
      <c r="H473" s="1">
        <v>24</v>
      </c>
      <c r="I473" s="1" t="s">
        <v>399</v>
      </c>
      <c r="J473" t="s">
        <v>11979</v>
      </c>
    </row>
    <row r="474" spans="1:10">
      <c r="A474" s="1">
        <v>873059</v>
      </c>
      <c r="B474" s="1">
        <v>3871806266</v>
      </c>
      <c r="C474" s="1">
        <v>12</v>
      </c>
      <c r="D474" s="1" t="s">
        <v>381</v>
      </c>
      <c r="E474" t="s">
        <v>11981</v>
      </c>
      <c r="F474" s="1">
        <v>390005</v>
      </c>
      <c r="G474" s="1">
        <v>8925700100</v>
      </c>
      <c r="H474" s="1">
        <v>18</v>
      </c>
      <c r="I474" s="1" t="s">
        <v>347</v>
      </c>
      <c r="J474" t="s">
        <v>11982</v>
      </c>
    </row>
    <row r="475" spans="1:10">
      <c r="A475" s="1">
        <v>881458</v>
      </c>
      <c r="B475" s="1">
        <v>3871806236</v>
      </c>
      <c r="C475" s="1">
        <v>12</v>
      </c>
      <c r="D475" s="1" t="s">
        <v>381</v>
      </c>
      <c r="E475" t="s">
        <v>11983</v>
      </c>
      <c r="F475" s="1">
        <v>158204</v>
      </c>
      <c r="G475" s="1">
        <v>3338303047</v>
      </c>
      <c r="H475" s="1">
        <v>1</v>
      </c>
      <c r="I475" s="1" t="s">
        <v>11984</v>
      </c>
      <c r="J475" t="s">
        <v>11985</v>
      </c>
    </row>
    <row r="476" spans="1:10">
      <c r="A476" s="1">
        <v>834192</v>
      </c>
      <c r="B476" s="1">
        <v>3871800077</v>
      </c>
      <c r="C476" s="1">
        <v>6</v>
      </c>
      <c r="D476" s="1" t="s">
        <v>954</v>
      </c>
      <c r="E476" t="s">
        <v>11986</v>
      </c>
      <c r="F476" s="1">
        <v>875021</v>
      </c>
      <c r="G476" s="1">
        <v>2715800101</v>
      </c>
      <c r="H476" s="1">
        <v>24</v>
      </c>
      <c r="I476" s="1" t="s">
        <v>259</v>
      </c>
      <c r="J476" t="s">
        <v>11987</v>
      </c>
    </row>
    <row r="477" spans="1:10">
      <c r="A477" s="1">
        <v>834119</v>
      </c>
      <c r="B477" s="1">
        <v>3871800068</v>
      </c>
      <c r="C477" s="1">
        <v>6</v>
      </c>
      <c r="D477" s="1" t="s">
        <v>4514</v>
      </c>
      <c r="E477" t="s">
        <v>11988</v>
      </c>
      <c r="F477" s="1">
        <v>726174</v>
      </c>
      <c r="G477" s="1">
        <v>0</v>
      </c>
      <c r="H477" s="1">
        <v>1</v>
      </c>
      <c r="I477" s="1" t="s">
        <v>6751</v>
      </c>
      <c r="J477" t="s">
        <v>11989</v>
      </c>
    </row>
    <row r="478" spans="1:10">
      <c r="A478" s="1">
        <v>537514</v>
      </c>
      <c r="B478" s="1">
        <v>3871850112</v>
      </c>
      <c r="C478" s="1">
        <v>12</v>
      </c>
      <c r="D478" s="1" t="s">
        <v>347</v>
      </c>
      <c r="E478" t="s">
        <v>11990</v>
      </c>
      <c r="F478" s="1">
        <v>875054</v>
      </c>
      <c r="G478" s="1">
        <v>8925700200</v>
      </c>
      <c r="H478" s="1">
        <v>1</v>
      </c>
      <c r="I478" s="1" t="s">
        <v>6600</v>
      </c>
      <c r="J478" t="s">
        <v>11991</v>
      </c>
    </row>
    <row r="479" spans="1:10">
      <c r="A479" s="1">
        <v>726182</v>
      </c>
      <c r="B479" s="1">
        <v>3871850114</v>
      </c>
      <c r="C479" s="1">
        <v>12</v>
      </c>
      <c r="D479" s="1" t="s">
        <v>259</v>
      </c>
      <c r="E479" t="s">
        <v>11992</v>
      </c>
      <c r="F479" s="1">
        <v>876524</v>
      </c>
      <c r="G479" s="1">
        <v>2715800101</v>
      </c>
      <c r="H479" s="1">
        <v>24</v>
      </c>
      <c r="I479" s="1" t="s">
        <v>259</v>
      </c>
      <c r="J479" t="s">
        <v>11993</v>
      </c>
    </row>
    <row r="480" spans="1:10" ht="15.75">
      <c r="A480" s="1">
        <v>250076</v>
      </c>
      <c r="B480" s="1">
        <v>3871870040</v>
      </c>
      <c r="C480" s="1">
        <v>6</v>
      </c>
      <c r="D480" s="1" t="s">
        <v>553</v>
      </c>
      <c r="E480" t="s">
        <v>11779</v>
      </c>
      <c r="F480" s="4" t="s">
        <v>11994</v>
      </c>
      <c r="G480" s="2"/>
      <c r="H480" s="2"/>
      <c r="I480" s="2"/>
      <c r="J480" s="3"/>
    </row>
    <row r="481" spans="1:10">
      <c r="A481" s="1">
        <v>874347</v>
      </c>
      <c r="B481" s="1">
        <v>1030000150</v>
      </c>
      <c r="C481" s="1">
        <v>1</v>
      </c>
      <c r="D481" s="1" t="s">
        <v>6727</v>
      </c>
      <c r="E481" t="s">
        <v>11995</v>
      </c>
      <c r="F481" s="2" t="s">
        <v>0</v>
      </c>
      <c r="G481" s="2" t="s">
        <v>1</v>
      </c>
      <c r="H481" s="2" t="s">
        <v>2</v>
      </c>
      <c r="I481" s="2" t="s">
        <v>3</v>
      </c>
      <c r="J481" s="3" t="s">
        <v>4</v>
      </c>
    </row>
    <row r="482" spans="1:10">
      <c r="A482" s="1">
        <v>873711</v>
      </c>
      <c r="B482" s="1">
        <v>1030000013</v>
      </c>
      <c r="C482" s="1">
        <v>36</v>
      </c>
      <c r="D482" s="1" t="s">
        <v>381</v>
      </c>
      <c r="E482" t="s">
        <v>11996</v>
      </c>
      <c r="F482" s="1">
        <v>765453</v>
      </c>
      <c r="G482" s="1">
        <v>14357878354</v>
      </c>
      <c r="H482" s="1">
        <v>1</v>
      </c>
      <c r="I482" s="1" t="s">
        <v>11997</v>
      </c>
      <c r="J482" t="s">
        <v>11998</v>
      </c>
    </row>
    <row r="483" spans="1:10">
      <c r="A483" s="1">
        <v>873703</v>
      </c>
      <c r="B483" s="1">
        <v>1030000014</v>
      </c>
      <c r="C483" s="1">
        <v>18</v>
      </c>
      <c r="D483" s="1" t="s">
        <v>375</v>
      </c>
      <c r="E483" t="s">
        <v>11996</v>
      </c>
      <c r="F483" s="1">
        <v>534495</v>
      </c>
      <c r="G483" s="1">
        <v>20371379641</v>
      </c>
      <c r="H483" s="1">
        <v>1</v>
      </c>
      <c r="I483" s="1" t="s">
        <v>11999</v>
      </c>
      <c r="J483" t="s">
        <v>12000</v>
      </c>
    </row>
    <row r="484" spans="1:10">
      <c r="A484" s="1">
        <v>872002</v>
      </c>
      <c r="B484" s="1">
        <v>0</v>
      </c>
      <c r="C484" s="1">
        <v>1</v>
      </c>
      <c r="D484" s="1" t="s">
        <v>6810</v>
      </c>
      <c r="E484" t="s">
        <v>12001</v>
      </c>
      <c r="F484" s="1">
        <v>495671</v>
      </c>
      <c r="G484" s="1">
        <v>20371337453</v>
      </c>
      <c r="H484" s="1">
        <v>1</v>
      </c>
      <c r="I484" s="1" t="s">
        <v>6810</v>
      </c>
      <c r="J484" t="s">
        <v>12002</v>
      </c>
    </row>
    <row r="485" spans="1:10">
      <c r="A485" s="1">
        <v>872077</v>
      </c>
      <c r="B485" s="1">
        <v>0</v>
      </c>
      <c r="C485" s="1">
        <v>1</v>
      </c>
      <c r="D485" s="1" t="s">
        <v>6597</v>
      </c>
      <c r="E485" t="s">
        <v>12003</v>
      </c>
      <c r="F485" s="1">
        <v>489112</v>
      </c>
      <c r="G485" s="1">
        <v>20371337448</v>
      </c>
      <c r="H485" s="1">
        <v>1</v>
      </c>
      <c r="I485" s="1" t="s">
        <v>10607</v>
      </c>
      <c r="J485" t="s">
        <v>12004</v>
      </c>
    </row>
    <row r="486" spans="1:10">
      <c r="A486" s="1">
        <v>549709</v>
      </c>
      <c r="B486" s="1">
        <v>4161672300</v>
      </c>
      <c r="C486" s="1">
        <v>6</v>
      </c>
      <c r="D486" s="1" t="s">
        <v>553</v>
      </c>
      <c r="E486" t="s">
        <v>12005</v>
      </c>
      <c r="F486" s="1">
        <v>513986</v>
      </c>
      <c r="G486" s="1">
        <v>20371347017</v>
      </c>
      <c r="H486" s="1">
        <v>1</v>
      </c>
      <c r="I486" s="1" t="s">
        <v>6595</v>
      </c>
      <c r="J486" t="s">
        <v>12006</v>
      </c>
    </row>
    <row r="487" spans="1:10">
      <c r="A487" s="1">
        <v>833053</v>
      </c>
      <c r="B487" s="1">
        <v>7102226710</v>
      </c>
      <c r="C487" s="1">
        <v>12</v>
      </c>
      <c r="D487" s="1" t="s">
        <v>404</v>
      </c>
      <c r="E487" t="s">
        <v>12007</v>
      </c>
      <c r="F487" s="1">
        <v>684068</v>
      </c>
      <c r="G487" s="1">
        <v>9487878328</v>
      </c>
      <c r="H487" s="1">
        <v>1</v>
      </c>
      <c r="I487" s="1" t="s">
        <v>6727</v>
      </c>
      <c r="J487" t="s">
        <v>12008</v>
      </c>
    </row>
    <row r="488" spans="1:10">
      <c r="A488" s="1">
        <v>661231</v>
      </c>
      <c r="B488" s="1">
        <v>7032701553</v>
      </c>
      <c r="C488" s="1">
        <v>12</v>
      </c>
      <c r="D488" s="1" t="s">
        <v>399</v>
      </c>
      <c r="E488" t="s">
        <v>12009</v>
      </c>
      <c r="F488" s="1">
        <v>650473</v>
      </c>
      <c r="G488" s="1">
        <v>26145300000</v>
      </c>
      <c r="H488" s="1">
        <v>1</v>
      </c>
      <c r="I488" s="1" t="s">
        <v>12010</v>
      </c>
      <c r="J488" t="s">
        <v>12011</v>
      </c>
    </row>
    <row r="489" spans="1:10">
      <c r="A489" s="1">
        <v>6916</v>
      </c>
      <c r="B489" s="1">
        <v>7032701191</v>
      </c>
      <c r="C489" s="1">
        <v>12</v>
      </c>
      <c r="D489" s="1" t="s">
        <v>397</v>
      </c>
      <c r="E489" t="s">
        <v>12012</v>
      </c>
      <c r="F489" s="1">
        <v>504985</v>
      </c>
      <c r="G489" s="1">
        <v>0</v>
      </c>
      <c r="H489" s="1">
        <v>1</v>
      </c>
      <c r="I489" s="1" t="s">
        <v>12010</v>
      </c>
      <c r="J489" t="s">
        <v>12013</v>
      </c>
    </row>
    <row r="490" spans="1:10">
      <c r="A490" s="1">
        <v>838607</v>
      </c>
      <c r="B490" s="1">
        <v>7032701161</v>
      </c>
      <c r="C490" s="1">
        <v>12</v>
      </c>
      <c r="D490" s="1" t="s">
        <v>397</v>
      </c>
      <c r="E490" t="s">
        <v>12014</v>
      </c>
      <c r="F490" s="1">
        <v>557538</v>
      </c>
      <c r="G490" s="1">
        <v>0</v>
      </c>
      <c r="H490" s="1">
        <v>1</v>
      </c>
      <c r="I490" s="1" t="s">
        <v>12015</v>
      </c>
      <c r="J490" t="s">
        <v>12016</v>
      </c>
    </row>
    <row r="491" spans="1:10">
      <c r="A491" s="1">
        <v>562769</v>
      </c>
      <c r="B491" s="1">
        <v>66988750341</v>
      </c>
      <c r="C491" s="1">
        <v>12</v>
      </c>
      <c r="D491" s="1" t="s">
        <v>381</v>
      </c>
      <c r="E491" t="s">
        <v>12017</v>
      </c>
      <c r="F491" s="1">
        <v>819458</v>
      </c>
      <c r="G491" s="1">
        <v>0</v>
      </c>
      <c r="H491" s="1">
        <v>1</v>
      </c>
      <c r="I491" s="1" t="s">
        <v>12018</v>
      </c>
      <c r="J491" t="s">
        <v>12019</v>
      </c>
    </row>
    <row r="492" spans="1:10">
      <c r="F492" s="1">
        <v>566364</v>
      </c>
      <c r="G492" s="1">
        <v>0</v>
      </c>
      <c r="H492" s="1">
        <v>1</v>
      </c>
      <c r="I492" s="1" t="s">
        <v>1973</v>
      </c>
      <c r="J492" t="s">
        <v>12020</v>
      </c>
    </row>
    <row r="493" spans="1:10">
      <c r="F493" s="1">
        <v>3707</v>
      </c>
      <c r="G493" s="1">
        <v>0</v>
      </c>
      <c r="H493" s="1">
        <v>1</v>
      </c>
      <c r="I493" s="1" t="s">
        <v>12018</v>
      </c>
      <c r="J493" t="s">
        <v>12021</v>
      </c>
    </row>
    <row r="494" spans="1:10" ht="15.75">
      <c r="A494" s="4" t="s">
        <v>11994</v>
      </c>
      <c r="B494" s="2"/>
      <c r="C494" s="2"/>
      <c r="D494" s="2"/>
      <c r="E494" s="3"/>
      <c r="F494" s="4" t="s">
        <v>11994</v>
      </c>
      <c r="G494" s="2"/>
      <c r="H494" s="2"/>
      <c r="I494" s="2"/>
      <c r="J494" s="3"/>
    </row>
    <row r="495" spans="1:10">
      <c r="A495" s="2" t="s">
        <v>0</v>
      </c>
      <c r="B495" s="2" t="s">
        <v>1</v>
      </c>
      <c r="C495" s="2" t="s">
        <v>2</v>
      </c>
      <c r="D495" s="2" t="s">
        <v>3</v>
      </c>
      <c r="E495" s="3" t="s">
        <v>4</v>
      </c>
      <c r="F495" s="2" t="s">
        <v>0</v>
      </c>
      <c r="G495" s="2" t="s">
        <v>1</v>
      </c>
      <c r="H495" s="2" t="s">
        <v>2</v>
      </c>
      <c r="I495" s="2" t="s">
        <v>3</v>
      </c>
      <c r="J495" s="3" t="s">
        <v>4</v>
      </c>
    </row>
    <row r="496" spans="1:10">
      <c r="A496" s="1">
        <v>603704</v>
      </c>
      <c r="B496" s="1">
        <v>0</v>
      </c>
      <c r="C496" s="1">
        <v>1</v>
      </c>
      <c r="D496" s="1" t="s">
        <v>12010</v>
      </c>
      <c r="E496" t="s">
        <v>12022</v>
      </c>
      <c r="F496" s="1">
        <v>534412</v>
      </c>
      <c r="G496" s="1">
        <v>0</v>
      </c>
      <c r="H496" s="1">
        <v>4</v>
      </c>
      <c r="I496" s="1" t="s">
        <v>6751</v>
      </c>
      <c r="J496" t="s">
        <v>12023</v>
      </c>
    </row>
    <row r="497" spans="1:10">
      <c r="A497" s="1">
        <v>566042</v>
      </c>
      <c r="B497" s="1">
        <v>0</v>
      </c>
      <c r="C497" s="1">
        <v>1</v>
      </c>
      <c r="D497" s="1" t="s">
        <v>12018</v>
      </c>
      <c r="E497" t="s">
        <v>12024</v>
      </c>
      <c r="F497" s="1">
        <v>126789</v>
      </c>
      <c r="G497" s="1">
        <v>0</v>
      </c>
      <c r="H497" s="1">
        <v>1</v>
      </c>
      <c r="I497" s="1" t="s">
        <v>1973</v>
      </c>
      <c r="J497" t="s">
        <v>12025</v>
      </c>
    </row>
    <row r="498" spans="1:10">
      <c r="A498" s="1">
        <v>620872</v>
      </c>
      <c r="B498" s="1">
        <v>0</v>
      </c>
      <c r="C498" s="1">
        <v>1</v>
      </c>
      <c r="D498" s="1" t="s">
        <v>12018</v>
      </c>
      <c r="E498" t="s">
        <v>12026</v>
      </c>
      <c r="F498" s="1">
        <v>143073</v>
      </c>
      <c r="G498" s="1">
        <v>0</v>
      </c>
      <c r="H498" s="1">
        <v>1</v>
      </c>
      <c r="I498" s="1" t="s">
        <v>1973</v>
      </c>
      <c r="J498" t="s">
        <v>12027</v>
      </c>
    </row>
    <row r="499" spans="1:10">
      <c r="A499" s="1">
        <v>26823</v>
      </c>
      <c r="B499" s="1">
        <v>0</v>
      </c>
      <c r="C499" s="1">
        <v>1</v>
      </c>
      <c r="D499" s="1" t="s">
        <v>12018</v>
      </c>
      <c r="E499" t="s">
        <v>12028</v>
      </c>
      <c r="F499" s="1">
        <v>585125</v>
      </c>
      <c r="G499" s="1">
        <v>0</v>
      </c>
      <c r="H499" s="1">
        <v>1</v>
      </c>
      <c r="I499" s="1" t="s">
        <v>12029</v>
      </c>
      <c r="J499" t="s">
        <v>12030</v>
      </c>
    </row>
    <row r="500" spans="1:10">
      <c r="A500" s="1">
        <v>650853</v>
      </c>
      <c r="B500" s="1">
        <v>1111187323</v>
      </c>
      <c r="C500" s="1">
        <v>1</v>
      </c>
      <c r="D500" s="1" t="s">
        <v>12018</v>
      </c>
      <c r="E500" t="s">
        <v>12031</v>
      </c>
      <c r="F500" s="1">
        <v>453456</v>
      </c>
      <c r="G500" s="1">
        <v>76338668481</v>
      </c>
      <c r="H500" s="1">
        <v>1</v>
      </c>
      <c r="I500" s="1" t="s">
        <v>12018</v>
      </c>
      <c r="J500" t="s">
        <v>12032</v>
      </c>
    </row>
    <row r="501" spans="1:10">
      <c r="A501" s="1">
        <v>653238</v>
      </c>
      <c r="B501" s="1">
        <v>1111187827</v>
      </c>
      <c r="C501" s="1">
        <v>1</v>
      </c>
      <c r="D501" s="1" t="s">
        <v>12033</v>
      </c>
      <c r="E501" t="s">
        <v>12034</v>
      </c>
      <c r="F501" s="1">
        <v>263053</v>
      </c>
      <c r="G501" s="1">
        <v>7633838902</v>
      </c>
      <c r="H501" s="1">
        <v>1</v>
      </c>
      <c r="I501" s="1" t="s">
        <v>59</v>
      </c>
      <c r="J501" t="s">
        <v>12035</v>
      </c>
    </row>
    <row r="502" spans="1:10">
      <c r="A502" s="1">
        <v>652636</v>
      </c>
      <c r="B502" s="1">
        <v>2874987121</v>
      </c>
      <c r="C502" s="1">
        <v>1</v>
      </c>
      <c r="D502" s="1" t="s">
        <v>12010</v>
      </c>
      <c r="E502" t="s">
        <v>12036</v>
      </c>
      <c r="F502" s="1">
        <v>312017</v>
      </c>
      <c r="G502" s="1">
        <v>76338668453</v>
      </c>
      <c r="H502" s="1">
        <v>1</v>
      </c>
      <c r="I502" s="1" t="s">
        <v>12010</v>
      </c>
      <c r="J502" t="s">
        <v>12037</v>
      </c>
    </row>
    <row r="503" spans="1:10">
      <c r="A503" s="1">
        <v>651315</v>
      </c>
      <c r="B503" s="1">
        <v>1111181225</v>
      </c>
      <c r="C503" s="1">
        <v>1</v>
      </c>
      <c r="D503" s="1" t="s">
        <v>12010</v>
      </c>
      <c r="E503" t="s">
        <v>12038</v>
      </c>
      <c r="F503" s="1">
        <v>556316</v>
      </c>
      <c r="G503" s="1">
        <v>76338668454</v>
      </c>
      <c r="H503" s="1">
        <v>1</v>
      </c>
      <c r="I503" s="1" t="s">
        <v>12039</v>
      </c>
      <c r="J503" t="s">
        <v>12040</v>
      </c>
    </row>
    <row r="504" spans="1:10">
      <c r="A504" s="1">
        <v>650432</v>
      </c>
      <c r="B504" s="1">
        <v>22144100000</v>
      </c>
      <c r="C504" s="1">
        <v>1</v>
      </c>
      <c r="D504" s="1" t="s">
        <v>12041</v>
      </c>
      <c r="E504" t="s">
        <v>12042</v>
      </c>
      <c r="F504" s="1">
        <v>750489</v>
      </c>
      <c r="G504" s="1">
        <v>7633868455</v>
      </c>
      <c r="H504" s="1">
        <v>1</v>
      </c>
      <c r="I504" s="1" t="s">
        <v>12018</v>
      </c>
      <c r="J504" t="s">
        <v>12043</v>
      </c>
    </row>
    <row r="505" spans="1:10">
      <c r="A505" s="1">
        <v>652941</v>
      </c>
      <c r="B505" s="1">
        <v>1111188324</v>
      </c>
      <c r="C505" s="1">
        <v>1</v>
      </c>
      <c r="D505" s="1" t="s">
        <v>12018</v>
      </c>
      <c r="E505" t="s">
        <v>12044</v>
      </c>
      <c r="F505" s="1">
        <v>500876</v>
      </c>
      <c r="G505" s="1">
        <v>76338668422</v>
      </c>
      <c r="H505" s="1">
        <v>1</v>
      </c>
      <c r="I505" s="1" t="s">
        <v>12045</v>
      </c>
      <c r="J505" t="s">
        <v>12046</v>
      </c>
    </row>
    <row r="506" spans="1:10">
      <c r="A506" s="1">
        <v>651299</v>
      </c>
      <c r="B506" s="1">
        <v>1111181223</v>
      </c>
      <c r="C506" s="1">
        <v>1</v>
      </c>
      <c r="D506" s="1" t="s">
        <v>6727</v>
      </c>
      <c r="E506" t="s">
        <v>12047</v>
      </c>
      <c r="F506" s="1">
        <v>198036</v>
      </c>
      <c r="G506" s="1">
        <v>76338668421</v>
      </c>
      <c r="H506" s="1">
        <v>1</v>
      </c>
      <c r="I506" s="1" t="s">
        <v>12033</v>
      </c>
      <c r="J506" t="s">
        <v>12048</v>
      </c>
    </row>
    <row r="507" spans="1:10">
      <c r="A507" s="1">
        <v>651331</v>
      </c>
      <c r="B507" s="1">
        <v>2874986921</v>
      </c>
      <c r="C507" s="1">
        <v>1</v>
      </c>
      <c r="D507" s="1" t="s">
        <v>12015</v>
      </c>
      <c r="E507" t="s">
        <v>12049</v>
      </c>
      <c r="F507" s="1">
        <v>149492</v>
      </c>
      <c r="G507" s="1">
        <v>76338338915</v>
      </c>
      <c r="H507" s="1">
        <v>1</v>
      </c>
      <c r="I507" s="1" t="s">
        <v>12018</v>
      </c>
      <c r="J507" t="s">
        <v>12050</v>
      </c>
    </row>
    <row r="508" spans="1:10">
      <c r="A508" s="1">
        <v>652495</v>
      </c>
      <c r="B508" s="1">
        <v>1111186825</v>
      </c>
      <c r="C508" s="1">
        <v>1</v>
      </c>
      <c r="D508" s="1" t="s">
        <v>12018</v>
      </c>
      <c r="E508" t="s">
        <v>12051</v>
      </c>
      <c r="F508" s="1">
        <v>502088</v>
      </c>
      <c r="G508" s="1">
        <v>76338668482</v>
      </c>
      <c r="H508" s="1">
        <v>1</v>
      </c>
      <c r="I508" s="1" t="s">
        <v>12033</v>
      </c>
      <c r="J508" t="s">
        <v>12052</v>
      </c>
    </row>
    <row r="509" spans="1:10">
      <c r="A509" s="1">
        <v>755439</v>
      </c>
      <c r="B509" s="1">
        <v>2718203720</v>
      </c>
      <c r="C509" s="1">
        <v>1</v>
      </c>
      <c r="D509" s="1" t="s">
        <v>12053</v>
      </c>
      <c r="E509" t="s">
        <v>12054</v>
      </c>
      <c r="F509" s="1">
        <v>205955</v>
      </c>
      <c r="G509" s="1">
        <v>76338868484</v>
      </c>
      <c r="H509" s="1">
        <v>1</v>
      </c>
      <c r="I509" s="1" t="s">
        <v>12039</v>
      </c>
      <c r="J509" t="s">
        <v>12055</v>
      </c>
    </row>
    <row r="510" spans="1:10">
      <c r="A510" s="1">
        <v>542753</v>
      </c>
      <c r="B510" s="1">
        <v>75836336307</v>
      </c>
      <c r="C510" s="1">
        <v>1</v>
      </c>
      <c r="D510" s="1" t="s">
        <v>12056</v>
      </c>
      <c r="E510" t="s">
        <v>12057</v>
      </c>
      <c r="F510" s="1">
        <v>375279</v>
      </c>
      <c r="G510" s="1">
        <v>76338668483</v>
      </c>
      <c r="H510" s="1">
        <v>1</v>
      </c>
      <c r="I510" s="1" t="s">
        <v>12010</v>
      </c>
      <c r="J510" t="s">
        <v>12058</v>
      </c>
    </row>
    <row r="511" spans="1:10">
      <c r="A511" s="1">
        <v>579540</v>
      </c>
      <c r="B511" s="1">
        <v>75836336307</v>
      </c>
      <c r="C511" s="1">
        <v>1</v>
      </c>
      <c r="D511" s="1" t="s">
        <v>12056</v>
      </c>
      <c r="E511" t="s">
        <v>12059</v>
      </c>
      <c r="F511" s="1">
        <v>580167</v>
      </c>
      <c r="G511" s="1">
        <v>76338668463</v>
      </c>
      <c r="H511" s="1">
        <v>1</v>
      </c>
      <c r="I511" s="1" t="s">
        <v>12010</v>
      </c>
      <c r="J511" t="s">
        <v>12060</v>
      </c>
    </row>
    <row r="512" spans="1:10">
      <c r="A512" s="1">
        <v>741413</v>
      </c>
      <c r="B512" s="1">
        <v>75836300738</v>
      </c>
      <c r="C512" s="1">
        <v>1</v>
      </c>
      <c r="D512" s="1" t="s">
        <v>12033</v>
      </c>
      <c r="E512" t="s">
        <v>12061</v>
      </c>
      <c r="F512" s="1">
        <v>651877</v>
      </c>
      <c r="G512" s="1">
        <v>0</v>
      </c>
      <c r="H512" s="1">
        <v>1</v>
      </c>
      <c r="I512" s="1" t="s">
        <v>12033</v>
      </c>
      <c r="J512" t="s">
        <v>12062</v>
      </c>
    </row>
    <row r="513" spans="1:10">
      <c r="A513" s="1">
        <v>104950</v>
      </c>
      <c r="B513" s="1">
        <v>0</v>
      </c>
      <c r="C513" s="1">
        <v>1</v>
      </c>
      <c r="D513" s="1" t="s">
        <v>10096</v>
      </c>
      <c r="E513" t="s">
        <v>12063</v>
      </c>
      <c r="F513" s="1">
        <v>652289</v>
      </c>
      <c r="G513" s="1">
        <v>22117500000</v>
      </c>
      <c r="H513" s="1">
        <v>1</v>
      </c>
      <c r="I513" s="1" t="s">
        <v>12010</v>
      </c>
      <c r="J513" t="s">
        <v>12064</v>
      </c>
    </row>
    <row r="514" spans="1:10">
      <c r="A514" s="1">
        <v>104059</v>
      </c>
      <c r="B514" s="1">
        <v>0</v>
      </c>
      <c r="C514" s="1">
        <v>1</v>
      </c>
      <c r="D514" s="1" t="s">
        <v>6729</v>
      </c>
      <c r="E514" t="s">
        <v>12065</v>
      </c>
      <c r="F514" s="1">
        <v>653709</v>
      </c>
      <c r="G514" s="1">
        <v>23112400000</v>
      </c>
      <c r="H514" s="1">
        <v>1</v>
      </c>
      <c r="I514" s="1" t="s">
        <v>12018</v>
      </c>
      <c r="J514" t="s">
        <v>12066</v>
      </c>
    </row>
    <row r="515" spans="1:10">
      <c r="A515" s="1">
        <v>165100</v>
      </c>
      <c r="B515" s="1">
        <v>0</v>
      </c>
      <c r="C515" s="1">
        <v>1</v>
      </c>
      <c r="D515" s="1" t="s">
        <v>6810</v>
      </c>
      <c r="E515" t="s">
        <v>12067</v>
      </c>
      <c r="F515" s="1">
        <v>652644</v>
      </c>
      <c r="G515" s="1">
        <v>0</v>
      </c>
      <c r="H515" s="1">
        <v>1</v>
      </c>
      <c r="I515" s="1" t="s">
        <v>6727</v>
      </c>
      <c r="J515" t="s">
        <v>12068</v>
      </c>
    </row>
    <row r="516" spans="1:10">
      <c r="A516" s="1">
        <v>545707</v>
      </c>
      <c r="B516" s="1">
        <v>0</v>
      </c>
      <c r="C516" s="1">
        <v>1</v>
      </c>
      <c r="D516" s="1" t="s">
        <v>6810</v>
      </c>
      <c r="E516" t="s">
        <v>12069</v>
      </c>
      <c r="F516" s="1">
        <v>651265</v>
      </c>
      <c r="G516" s="1">
        <v>0</v>
      </c>
      <c r="H516" s="1">
        <v>1</v>
      </c>
      <c r="I516" s="1" t="s">
        <v>12041</v>
      </c>
      <c r="J516" t="s">
        <v>12070</v>
      </c>
    </row>
    <row r="517" spans="1:10">
      <c r="A517" s="1">
        <v>859231</v>
      </c>
      <c r="B517" s="1">
        <v>0</v>
      </c>
      <c r="C517" s="1">
        <v>1</v>
      </c>
      <c r="D517" s="1" t="s">
        <v>10244</v>
      </c>
      <c r="E517" t="s">
        <v>12071</v>
      </c>
      <c r="F517" s="1">
        <v>651356</v>
      </c>
      <c r="G517" s="1">
        <v>0</v>
      </c>
      <c r="H517" s="1">
        <v>1</v>
      </c>
      <c r="I517" s="1" t="s">
        <v>12018</v>
      </c>
      <c r="J517" t="s">
        <v>12072</v>
      </c>
    </row>
    <row r="518" spans="1:10">
      <c r="A518" s="1">
        <v>331561</v>
      </c>
      <c r="B518" s="1">
        <v>0</v>
      </c>
      <c r="C518" s="1">
        <v>1</v>
      </c>
      <c r="D518" s="1" t="s">
        <v>356</v>
      </c>
      <c r="E518" t="s">
        <v>12073</v>
      </c>
      <c r="F518" s="1">
        <v>651406</v>
      </c>
      <c r="G518" s="1">
        <v>22145700000</v>
      </c>
      <c r="H518" s="1">
        <v>1</v>
      </c>
      <c r="I518" s="1" t="s">
        <v>12010</v>
      </c>
      <c r="J518" t="s">
        <v>12074</v>
      </c>
    </row>
    <row r="519" spans="1:10">
      <c r="A519" s="1">
        <v>458349</v>
      </c>
      <c r="B519" s="1">
        <v>417406286</v>
      </c>
      <c r="C519" s="1">
        <v>1</v>
      </c>
      <c r="D519" s="1" t="s">
        <v>356</v>
      </c>
      <c r="E519" t="s">
        <v>12075</v>
      </c>
      <c r="F519" s="1">
        <v>652016</v>
      </c>
      <c r="G519" s="1">
        <v>0</v>
      </c>
      <c r="H519" s="1">
        <v>1</v>
      </c>
      <c r="I519" s="1" t="s">
        <v>12018</v>
      </c>
      <c r="J519" t="s">
        <v>12076</v>
      </c>
    </row>
    <row r="520" spans="1:10">
      <c r="A520" s="1">
        <v>652131</v>
      </c>
      <c r="B520" s="1">
        <v>24182400000</v>
      </c>
      <c r="C520" s="1">
        <v>1</v>
      </c>
      <c r="D520" s="1" t="s">
        <v>6729</v>
      </c>
      <c r="E520" t="s">
        <v>12077</v>
      </c>
      <c r="F520" s="1">
        <v>650747</v>
      </c>
      <c r="G520" s="1">
        <v>0</v>
      </c>
      <c r="H520" s="1">
        <v>1</v>
      </c>
      <c r="I520" s="1" t="s">
        <v>12018</v>
      </c>
      <c r="J520" t="s">
        <v>12078</v>
      </c>
    </row>
    <row r="521" spans="1:10">
      <c r="A521" s="1">
        <v>263707</v>
      </c>
      <c r="B521" s="1">
        <v>417406256</v>
      </c>
      <c r="C521" s="1">
        <v>1</v>
      </c>
      <c r="D521" s="1" t="s">
        <v>6810</v>
      </c>
      <c r="E521" t="s">
        <v>12079</v>
      </c>
      <c r="F521" s="1">
        <v>651521</v>
      </c>
      <c r="G521" s="1">
        <v>0</v>
      </c>
      <c r="H521" s="1">
        <v>1</v>
      </c>
      <c r="I521" s="1" t="s">
        <v>6727</v>
      </c>
      <c r="J521" t="s">
        <v>12080</v>
      </c>
    </row>
    <row r="522" spans="1:10">
      <c r="A522" s="1">
        <v>782920</v>
      </c>
      <c r="B522" s="1">
        <v>417406306</v>
      </c>
      <c r="C522" s="1">
        <v>1</v>
      </c>
      <c r="D522" s="1" t="s">
        <v>6810</v>
      </c>
      <c r="E522" t="s">
        <v>12081</v>
      </c>
      <c r="F522" s="1">
        <v>652453</v>
      </c>
      <c r="G522" s="1">
        <v>0</v>
      </c>
      <c r="H522" s="1">
        <v>1</v>
      </c>
      <c r="I522" s="1" t="s">
        <v>12056</v>
      </c>
      <c r="J522" t="s">
        <v>12082</v>
      </c>
    </row>
    <row r="523" spans="1:10">
      <c r="A523" s="1">
        <v>651216</v>
      </c>
      <c r="B523" s="1">
        <v>1111189122</v>
      </c>
      <c r="C523" s="1">
        <v>18</v>
      </c>
      <c r="D523" s="1" t="s">
        <v>1656</v>
      </c>
      <c r="E523" t="s">
        <v>12083</v>
      </c>
      <c r="F523" s="1">
        <v>556969</v>
      </c>
      <c r="G523" s="1">
        <v>0</v>
      </c>
      <c r="H523" s="1">
        <v>1</v>
      </c>
      <c r="I523" s="1" t="s">
        <v>12041</v>
      </c>
      <c r="J523" t="s">
        <v>12084</v>
      </c>
    </row>
    <row r="524" spans="1:10">
      <c r="A524" s="1">
        <v>651430</v>
      </c>
      <c r="B524" s="1">
        <v>1111186620</v>
      </c>
      <c r="C524" s="1">
        <v>1</v>
      </c>
      <c r="D524" s="1" t="s">
        <v>1973</v>
      </c>
      <c r="E524" t="s">
        <v>12085</v>
      </c>
      <c r="F524" s="1">
        <v>314989</v>
      </c>
      <c r="G524" s="1">
        <v>0</v>
      </c>
      <c r="H524" s="1">
        <v>1</v>
      </c>
      <c r="I524" s="1" t="s">
        <v>12018</v>
      </c>
      <c r="J524" t="s">
        <v>12086</v>
      </c>
    </row>
    <row r="525" spans="1:10">
      <c r="A525" s="1">
        <v>653097</v>
      </c>
      <c r="B525" s="1">
        <v>1111188924</v>
      </c>
      <c r="C525" s="1">
        <v>1</v>
      </c>
      <c r="D525" s="1" t="s">
        <v>12010</v>
      </c>
      <c r="E525" t="s">
        <v>12087</v>
      </c>
      <c r="F525" s="1">
        <v>501981</v>
      </c>
      <c r="G525" s="1">
        <v>0</v>
      </c>
      <c r="H525" s="1">
        <v>1</v>
      </c>
      <c r="I525" s="1" t="s">
        <v>12018</v>
      </c>
      <c r="J525" t="s">
        <v>12088</v>
      </c>
    </row>
    <row r="526" spans="1:10">
      <c r="A526" s="1">
        <v>249243</v>
      </c>
      <c r="B526" s="1">
        <v>0</v>
      </c>
      <c r="C526" s="1">
        <v>18</v>
      </c>
      <c r="D526" s="1" t="s">
        <v>12089</v>
      </c>
      <c r="E526" t="s">
        <v>12090</v>
      </c>
      <c r="F526" s="1">
        <v>393108</v>
      </c>
      <c r="G526" s="1">
        <v>0</v>
      </c>
      <c r="H526" s="1">
        <v>1</v>
      </c>
      <c r="I526" s="1" t="s">
        <v>6727</v>
      </c>
      <c r="J526" t="s">
        <v>12091</v>
      </c>
    </row>
    <row r="527" spans="1:10">
      <c r="A527" s="1">
        <v>624130</v>
      </c>
      <c r="B527" s="1">
        <v>0</v>
      </c>
      <c r="C527" s="1">
        <v>1</v>
      </c>
      <c r="D527" s="1" t="s">
        <v>12041</v>
      </c>
      <c r="E527" t="s">
        <v>12092</v>
      </c>
      <c r="F527" s="1">
        <v>593723</v>
      </c>
      <c r="G527" s="1">
        <v>0</v>
      </c>
      <c r="H527" s="1">
        <v>1</v>
      </c>
      <c r="I527" s="1" t="s">
        <v>6727</v>
      </c>
      <c r="J527" t="s">
        <v>12093</v>
      </c>
    </row>
    <row r="528" spans="1:10">
      <c r="A528" s="1">
        <v>226928</v>
      </c>
      <c r="B528" s="1">
        <v>0</v>
      </c>
      <c r="C528" s="1">
        <v>1</v>
      </c>
      <c r="D528" s="1" t="s">
        <v>12018</v>
      </c>
      <c r="E528" t="s">
        <v>12094</v>
      </c>
      <c r="F528" s="1">
        <v>528638</v>
      </c>
      <c r="G528" s="1">
        <v>0</v>
      </c>
      <c r="H528" s="1">
        <v>1</v>
      </c>
      <c r="I528" s="1" t="s">
        <v>12018</v>
      </c>
      <c r="J528" t="s">
        <v>12095</v>
      </c>
    </row>
    <row r="529" spans="1:10">
      <c r="A529" s="1">
        <v>273193</v>
      </c>
      <c r="B529" s="1">
        <v>0</v>
      </c>
      <c r="C529" s="1">
        <v>1</v>
      </c>
      <c r="D529" s="1" t="s">
        <v>1973</v>
      </c>
      <c r="E529" t="s">
        <v>12096</v>
      </c>
      <c r="F529" s="1">
        <v>55186</v>
      </c>
      <c r="G529" s="1">
        <v>0</v>
      </c>
      <c r="H529" s="1">
        <v>1</v>
      </c>
      <c r="I529" s="1" t="s">
        <v>8</v>
      </c>
      <c r="J529" t="s">
        <v>12097</v>
      </c>
    </row>
    <row r="530" spans="1:10">
      <c r="A530" s="1">
        <v>303990</v>
      </c>
      <c r="B530" s="1">
        <v>2718201740</v>
      </c>
      <c r="C530" s="1">
        <v>1</v>
      </c>
      <c r="D530" s="1" t="s">
        <v>12098</v>
      </c>
      <c r="E530" t="s">
        <v>12099</v>
      </c>
      <c r="F530" s="1">
        <v>500512</v>
      </c>
      <c r="G530" s="1">
        <v>0</v>
      </c>
      <c r="H530" s="1">
        <v>1</v>
      </c>
      <c r="I530" s="1" t="s">
        <v>12018</v>
      </c>
      <c r="J530" t="s">
        <v>12100</v>
      </c>
    </row>
    <row r="531" spans="1:10">
      <c r="A531" s="1">
        <v>594085</v>
      </c>
      <c r="B531" s="1">
        <v>0</v>
      </c>
      <c r="C531" s="1">
        <v>1</v>
      </c>
      <c r="D531" s="1" t="s">
        <v>12101</v>
      </c>
      <c r="E531" t="s">
        <v>12102</v>
      </c>
      <c r="F531" s="1">
        <v>25395</v>
      </c>
      <c r="G531" s="1">
        <v>0</v>
      </c>
      <c r="H531" s="1">
        <v>1</v>
      </c>
      <c r="I531" s="1" t="s">
        <v>12033</v>
      </c>
      <c r="J531" t="s">
        <v>12103</v>
      </c>
    </row>
    <row r="532" spans="1:10">
      <c r="A532" s="1">
        <v>520841</v>
      </c>
      <c r="B532" s="1">
        <v>0</v>
      </c>
      <c r="C532" s="1">
        <v>1</v>
      </c>
      <c r="D532" s="1" t="s">
        <v>12033</v>
      </c>
      <c r="E532" t="s">
        <v>12104</v>
      </c>
      <c r="F532" s="1">
        <v>651836</v>
      </c>
      <c r="G532" s="1">
        <v>0</v>
      </c>
      <c r="H532" s="1">
        <v>1</v>
      </c>
      <c r="I532" s="1" t="s">
        <v>12033</v>
      </c>
      <c r="J532" t="s">
        <v>12105</v>
      </c>
    </row>
    <row r="533" spans="1:10">
      <c r="A533" s="1">
        <v>518233</v>
      </c>
      <c r="B533" s="1">
        <v>0</v>
      </c>
      <c r="C533" s="1">
        <v>1</v>
      </c>
      <c r="D533" s="1" t="s">
        <v>12106</v>
      </c>
      <c r="E533" t="s">
        <v>12107</v>
      </c>
      <c r="F533" s="1">
        <v>651893</v>
      </c>
      <c r="G533" s="1">
        <v>0</v>
      </c>
      <c r="H533" s="1">
        <v>1</v>
      </c>
      <c r="I533" s="1" t="s">
        <v>12018</v>
      </c>
      <c r="J533" t="s">
        <v>12108</v>
      </c>
    </row>
    <row r="534" spans="1:10">
      <c r="A534" s="1">
        <v>807909</v>
      </c>
      <c r="B534" s="1">
        <v>0</v>
      </c>
      <c r="C534" s="1">
        <v>1</v>
      </c>
      <c r="D534" s="1" t="s">
        <v>12033</v>
      </c>
      <c r="E534" t="s">
        <v>12109</v>
      </c>
      <c r="F534" s="1">
        <v>762922</v>
      </c>
      <c r="G534" s="1">
        <v>275</v>
      </c>
      <c r="H534" s="1">
        <v>1</v>
      </c>
      <c r="I534" s="1" t="s">
        <v>12010</v>
      </c>
      <c r="J534" t="s">
        <v>12110</v>
      </c>
    </row>
    <row r="535" spans="1:10" ht="15.75">
      <c r="A535" s="4" t="s">
        <v>11994</v>
      </c>
      <c r="B535" s="2"/>
      <c r="C535" s="2"/>
      <c r="D535" s="2"/>
      <c r="E535" s="3"/>
      <c r="F535" s="4" t="s">
        <v>11994</v>
      </c>
      <c r="G535" s="2"/>
      <c r="H535" s="2"/>
      <c r="I535" s="2"/>
      <c r="J535" s="3"/>
    </row>
    <row r="536" spans="1:10">
      <c r="A536" s="2" t="s">
        <v>0</v>
      </c>
      <c r="B536" s="2" t="s">
        <v>1</v>
      </c>
      <c r="C536" s="2" t="s">
        <v>2</v>
      </c>
      <c r="D536" s="2" t="s">
        <v>3</v>
      </c>
      <c r="E536" s="3" t="s">
        <v>4</v>
      </c>
      <c r="F536" s="2" t="s">
        <v>0</v>
      </c>
      <c r="G536" s="2" t="s">
        <v>1</v>
      </c>
      <c r="H536" s="2" t="s">
        <v>2</v>
      </c>
      <c r="I536" s="2" t="s">
        <v>3</v>
      </c>
      <c r="J536" s="3" t="s">
        <v>4</v>
      </c>
    </row>
    <row r="537" spans="1:10">
      <c r="A537" s="1">
        <v>843532</v>
      </c>
      <c r="B537" s="1">
        <v>276</v>
      </c>
      <c r="C537" s="1">
        <v>1</v>
      </c>
      <c r="D537" s="1" t="s">
        <v>12010</v>
      </c>
      <c r="E537" t="s">
        <v>12111</v>
      </c>
      <c r="F537" s="1">
        <v>650705</v>
      </c>
      <c r="G537" s="1">
        <v>20000050705</v>
      </c>
      <c r="H537" s="1">
        <v>12</v>
      </c>
      <c r="I537" s="1" t="s">
        <v>12010</v>
      </c>
      <c r="J537" t="s">
        <v>12112</v>
      </c>
    </row>
    <row r="538" spans="1:10">
      <c r="A538" s="1">
        <v>442632</v>
      </c>
      <c r="B538" s="1">
        <v>0</v>
      </c>
      <c r="C538" s="1">
        <v>1</v>
      </c>
      <c r="D538" s="1" t="s">
        <v>12010</v>
      </c>
      <c r="E538" t="s">
        <v>12113</v>
      </c>
      <c r="F538" s="1">
        <v>652024</v>
      </c>
      <c r="G538" s="1">
        <v>1206184</v>
      </c>
      <c r="H538" s="1">
        <v>1</v>
      </c>
      <c r="I538" s="1" t="s">
        <v>12010</v>
      </c>
      <c r="J538" t="s">
        <v>12114</v>
      </c>
    </row>
    <row r="539" spans="1:10">
      <c r="A539" s="1">
        <v>650184</v>
      </c>
      <c r="B539" s="1">
        <v>22144000000</v>
      </c>
      <c r="C539" s="1">
        <v>1</v>
      </c>
      <c r="D539" s="1" t="s">
        <v>12018</v>
      </c>
      <c r="E539" t="s">
        <v>12115</v>
      </c>
      <c r="F539" s="1">
        <v>652818</v>
      </c>
      <c r="G539" s="1">
        <v>0</v>
      </c>
      <c r="H539" s="1">
        <v>1</v>
      </c>
      <c r="I539" s="1" t="s">
        <v>12010</v>
      </c>
      <c r="J539" t="s">
        <v>12116</v>
      </c>
    </row>
    <row r="540" spans="1:10">
      <c r="A540" s="1">
        <v>652487</v>
      </c>
      <c r="B540" s="1">
        <v>24210500000</v>
      </c>
      <c r="C540" s="1">
        <v>1</v>
      </c>
      <c r="D540" s="1" t="s">
        <v>12010</v>
      </c>
      <c r="E540" t="s">
        <v>12117</v>
      </c>
      <c r="F540" s="1">
        <v>653188</v>
      </c>
      <c r="G540" s="1">
        <v>22000004092</v>
      </c>
      <c r="H540" s="1">
        <v>1</v>
      </c>
      <c r="I540" s="1" t="s">
        <v>12010</v>
      </c>
      <c r="J540" t="s">
        <v>12118</v>
      </c>
    </row>
    <row r="541" spans="1:10">
      <c r="A541" s="1">
        <v>650986</v>
      </c>
      <c r="B541" s="1">
        <v>20000050986</v>
      </c>
      <c r="C541" s="1">
        <v>1</v>
      </c>
      <c r="D541" s="1" t="s">
        <v>12010</v>
      </c>
      <c r="E541" t="s">
        <v>12119</v>
      </c>
      <c r="F541" s="1">
        <v>651901</v>
      </c>
      <c r="G541" s="1">
        <v>0</v>
      </c>
      <c r="H541" s="1">
        <v>1</v>
      </c>
      <c r="I541" s="1" t="s">
        <v>12010</v>
      </c>
      <c r="J541" t="s">
        <v>12120</v>
      </c>
    </row>
    <row r="542" spans="1:10">
      <c r="A542" s="1">
        <v>652859</v>
      </c>
      <c r="B542" s="1">
        <v>22144100000</v>
      </c>
      <c r="C542" s="1">
        <v>1</v>
      </c>
      <c r="D542" s="1" t="s">
        <v>12010</v>
      </c>
      <c r="E542" t="s">
        <v>12121</v>
      </c>
      <c r="F542" s="1">
        <v>534131</v>
      </c>
      <c r="G542" s="1">
        <v>2178200728</v>
      </c>
      <c r="H542" s="1">
        <v>1</v>
      </c>
      <c r="I542" s="1" t="s">
        <v>12056</v>
      </c>
      <c r="J542" t="s">
        <v>12122</v>
      </c>
    </row>
    <row r="543" spans="1:10">
      <c r="A543" s="1">
        <v>651026</v>
      </c>
      <c r="B543" s="1">
        <v>20000051026</v>
      </c>
      <c r="C543" s="1">
        <v>1</v>
      </c>
      <c r="D543" s="1" t="s">
        <v>12010</v>
      </c>
      <c r="E543" t="s">
        <v>12123</v>
      </c>
      <c r="F543" s="1">
        <v>242735</v>
      </c>
      <c r="G543" s="1">
        <v>0</v>
      </c>
      <c r="H543" s="1">
        <v>1</v>
      </c>
      <c r="I543" s="1" t="s">
        <v>11997</v>
      </c>
      <c r="J543" t="s">
        <v>12124</v>
      </c>
    </row>
    <row r="544" spans="1:10">
      <c r="A544" s="1">
        <v>650002</v>
      </c>
      <c r="B544" s="1">
        <v>20000000000</v>
      </c>
      <c r="C544" s="1">
        <v>1</v>
      </c>
      <c r="D544" s="1" t="s">
        <v>12010</v>
      </c>
      <c r="E544" t="s">
        <v>12125</v>
      </c>
      <c r="F544" s="1">
        <v>379305</v>
      </c>
      <c r="G544" s="1">
        <v>0</v>
      </c>
      <c r="H544" s="1">
        <v>1</v>
      </c>
      <c r="I544" s="1" t="s">
        <v>12033</v>
      </c>
      <c r="J544" t="s">
        <v>12126</v>
      </c>
    </row>
    <row r="545" spans="1:10">
      <c r="A545" s="1">
        <v>651364</v>
      </c>
      <c r="B545" s="1">
        <v>22144300000</v>
      </c>
      <c r="C545" s="1">
        <v>1</v>
      </c>
      <c r="D545" s="1" t="s">
        <v>12010</v>
      </c>
      <c r="E545" t="s">
        <v>12127</v>
      </c>
      <c r="F545" s="1">
        <v>217216</v>
      </c>
      <c r="G545" s="1">
        <v>0</v>
      </c>
      <c r="H545" s="1">
        <v>1</v>
      </c>
      <c r="I545" s="1" t="s">
        <v>12018</v>
      </c>
      <c r="J545" t="s">
        <v>12128</v>
      </c>
    </row>
    <row r="546" spans="1:10">
      <c r="A546" s="1">
        <v>650358</v>
      </c>
      <c r="B546" s="1">
        <v>20000001133</v>
      </c>
      <c r="C546" s="1">
        <v>1</v>
      </c>
      <c r="D546" s="1" t="s">
        <v>12018</v>
      </c>
      <c r="E546" t="s">
        <v>12129</v>
      </c>
      <c r="F546" s="1">
        <v>114900</v>
      </c>
      <c r="G546" s="1">
        <v>0</v>
      </c>
      <c r="H546" s="1">
        <v>1</v>
      </c>
      <c r="I546" s="1" t="s">
        <v>8</v>
      </c>
      <c r="J546" t="s">
        <v>12130</v>
      </c>
    </row>
    <row r="547" spans="1:10">
      <c r="A547" s="1">
        <v>651547</v>
      </c>
      <c r="B547" s="1">
        <v>22129800000</v>
      </c>
      <c r="C547" s="1">
        <v>1</v>
      </c>
      <c r="D547" s="1" t="s">
        <v>12039</v>
      </c>
      <c r="E547" t="s">
        <v>12131</v>
      </c>
      <c r="F547" s="1">
        <v>515882</v>
      </c>
      <c r="G547" s="1">
        <v>0</v>
      </c>
      <c r="H547" s="1">
        <v>1</v>
      </c>
      <c r="I547" s="1" t="s">
        <v>1973</v>
      </c>
      <c r="J547" t="s">
        <v>12132</v>
      </c>
    </row>
    <row r="548" spans="1:10">
      <c r="A548" s="1">
        <v>727537</v>
      </c>
      <c r="B548" s="1">
        <v>0</v>
      </c>
      <c r="C548" s="1">
        <v>1</v>
      </c>
      <c r="D548" s="1" t="s">
        <v>12010</v>
      </c>
      <c r="E548" t="s">
        <v>12133</v>
      </c>
      <c r="F548" s="1">
        <v>397232</v>
      </c>
      <c r="G548" s="1">
        <v>0</v>
      </c>
      <c r="H548" s="1">
        <v>12</v>
      </c>
      <c r="I548" s="1" t="s">
        <v>4719</v>
      </c>
      <c r="J548" t="s">
        <v>12134</v>
      </c>
    </row>
    <row r="549" spans="1:10">
      <c r="A549" s="1">
        <v>651679</v>
      </c>
      <c r="B549" s="1">
        <v>25128600000</v>
      </c>
      <c r="C549" s="1">
        <v>1</v>
      </c>
      <c r="D549" s="1" t="s">
        <v>12010</v>
      </c>
      <c r="E549" t="s">
        <v>12135</v>
      </c>
      <c r="F549" s="1">
        <v>638924</v>
      </c>
      <c r="G549" s="1">
        <v>0</v>
      </c>
      <c r="H549" s="1">
        <v>1</v>
      </c>
      <c r="I549" s="1" t="s">
        <v>12018</v>
      </c>
      <c r="J549" t="s">
        <v>12136</v>
      </c>
    </row>
    <row r="550" spans="1:10">
      <c r="A550" s="1">
        <v>653329</v>
      </c>
      <c r="B550" s="1">
        <v>0</v>
      </c>
      <c r="C550" s="1">
        <v>4</v>
      </c>
      <c r="D550" s="1" t="s">
        <v>12010</v>
      </c>
      <c r="E550" t="s">
        <v>12137</v>
      </c>
      <c r="F550" s="1">
        <v>506196</v>
      </c>
      <c r="G550" s="1">
        <v>0</v>
      </c>
      <c r="H550" s="1">
        <v>1</v>
      </c>
      <c r="I550" s="1" t="s">
        <v>12010</v>
      </c>
      <c r="J550" t="s">
        <v>12138</v>
      </c>
    </row>
    <row r="551" spans="1:10">
      <c r="A551" s="1">
        <v>522193</v>
      </c>
      <c r="B551" s="1">
        <v>0</v>
      </c>
      <c r="C551" s="1">
        <v>6</v>
      </c>
      <c r="D551" s="1" t="s">
        <v>10244</v>
      </c>
      <c r="E551" t="s">
        <v>12139</v>
      </c>
      <c r="F551" s="1">
        <v>128264</v>
      </c>
      <c r="G551" s="1">
        <v>0</v>
      </c>
      <c r="H551" s="1">
        <v>1</v>
      </c>
      <c r="I551" s="1" t="s">
        <v>8</v>
      </c>
      <c r="J551" t="s">
        <v>12140</v>
      </c>
    </row>
    <row r="552" spans="1:10">
      <c r="A552" s="1">
        <v>652958</v>
      </c>
      <c r="B552" s="1">
        <v>20000001273</v>
      </c>
      <c r="C552" s="1">
        <v>1</v>
      </c>
      <c r="D552" s="1" t="s">
        <v>12010</v>
      </c>
      <c r="E552" t="s">
        <v>12141</v>
      </c>
      <c r="F552" s="1">
        <v>583484</v>
      </c>
      <c r="G552" s="1">
        <v>0</v>
      </c>
      <c r="H552" s="1">
        <v>6</v>
      </c>
      <c r="I552" s="1" t="s">
        <v>10244</v>
      </c>
      <c r="J552" t="s">
        <v>12142</v>
      </c>
    </row>
    <row r="553" spans="1:10">
      <c r="A553" s="1">
        <v>650945</v>
      </c>
      <c r="B553" s="1">
        <v>20000050945</v>
      </c>
      <c r="C553" s="1">
        <v>1</v>
      </c>
      <c r="D553" s="1" t="s">
        <v>12010</v>
      </c>
      <c r="E553" t="s">
        <v>12143</v>
      </c>
      <c r="F553" s="1">
        <v>582015</v>
      </c>
      <c r="G553" s="1">
        <v>0</v>
      </c>
      <c r="H553" s="1">
        <v>3</v>
      </c>
      <c r="I553" s="1" t="s">
        <v>6772</v>
      </c>
      <c r="J553" t="s">
        <v>12144</v>
      </c>
    </row>
    <row r="554" spans="1:10">
      <c r="A554" s="1">
        <v>727578</v>
      </c>
      <c r="B554" s="1">
        <v>7633824712</v>
      </c>
      <c r="C554" s="1">
        <v>1</v>
      </c>
      <c r="D554" s="1" t="s">
        <v>12145</v>
      </c>
      <c r="E554" t="s">
        <v>12146</v>
      </c>
      <c r="F554" s="1">
        <v>651885</v>
      </c>
      <c r="G554" s="1">
        <v>25210100000</v>
      </c>
      <c r="H554" s="1">
        <v>6</v>
      </c>
      <c r="I554" s="1" t="s">
        <v>12010</v>
      </c>
      <c r="J554" t="s">
        <v>12147</v>
      </c>
    </row>
    <row r="555" spans="1:10">
      <c r="A555" s="1">
        <v>364448</v>
      </c>
      <c r="B555" s="1">
        <v>6258</v>
      </c>
      <c r="C555" s="1">
        <v>1</v>
      </c>
      <c r="D555" s="1" t="s">
        <v>12033</v>
      </c>
      <c r="E555" t="s">
        <v>12148</v>
      </c>
      <c r="F555" s="1">
        <v>653113</v>
      </c>
      <c r="G555" s="1">
        <v>0</v>
      </c>
      <c r="H555" s="1">
        <v>1</v>
      </c>
      <c r="I555" s="1" t="s">
        <v>12010</v>
      </c>
      <c r="J555" t="s">
        <v>12149</v>
      </c>
    </row>
    <row r="556" spans="1:10">
      <c r="A556" s="1">
        <v>440313</v>
      </c>
      <c r="B556" s="1">
        <v>6308</v>
      </c>
      <c r="C556" s="1">
        <v>1</v>
      </c>
      <c r="D556" s="1" t="s">
        <v>12106</v>
      </c>
      <c r="E556" t="s">
        <v>12150</v>
      </c>
      <c r="F556" s="1">
        <v>187567</v>
      </c>
      <c r="G556" s="1">
        <v>0</v>
      </c>
      <c r="H556" s="1">
        <v>1</v>
      </c>
      <c r="I556" s="1" t="s">
        <v>12010</v>
      </c>
      <c r="J556" t="s">
        <v>12151</v>
      </c>
    </row>
    <row r="557" spans="1:10">
      <c r="A557" s="1">
        <v>652917</v>
      </c>
      <c r="B557" s="1">
        <v>24211000000</v>
      </c>
      <c r="C557" s="1">
        <v>1</v>
      </c>
      <c r="D557" s="1" t="s">
        <v>12010</v>
      </c>
      <c r="E557" t="s">
        <v>12152</v>
      </c>
      <c r="F557" s="1">
        <v>497578</v>
      </c>
      <c r="G557" s="1">
        <v>7633813020</v>
      </c>
      <c r="H557" s="1">
        <v>1</v>
      </c>
      <c r="I557" s="1" t="s">
        <v>12153</v>
      </c>
      <c r="J557" t="s">
        <v>12154</v>
      </c>
    </row>
    <row r="558" spans="1:10">
      <c r="A558" s="1">
        <v>651349</v>
      </c>
      <c r="B558" s="1">
        <v>23165951349</v>
      </c>
      <c r="C558" s="1">
        <v>1</v>
      </c>
      <c r="D558" s="1" t="s">
        <v>12010</v>
      </c>
      <c r="E558" t="s">
        <v>12155</v>
      </c>
      <c r="F558" s="1">
        <v>453423</v>
      </c>
      <c r="G558" s="1">
        <v>0</v>
      </c>
      <c r="H558" s="1">
        <v>1</v>
      </c>
      <c r="I558" s="1" t="s">
        <v>12010</v>
      </c>
      <c r="J558" t="s">
        <v>12156</v>
      </c>
    </row>
    <row r="559" spans="1:10" ht="15.75">
      <c r="A559" s="1">
        <v>370122</v>
      </c>
      <c r="B559" s="1">
        <v>0</v>
      </c>
      <c r="C559" s="1">
        <v>1</v>
      </c>
      <c r="D559" s="1" t="s">
        <v>10244</v>
      </c>
      <c r="E559" t="s">
        <v>12157</v>
      </c>
      <c r="F559" s="4" t="s">
        <v>12158</v>
      </c>
      <c r="G559" s="2"/>
      <c r="H559" s="2"/>
      <c r="I559" s="2"/>
      <c r="J559" s="3"/>
    </row>
    <row r="560" spans="1:10">
      <c r="A560" s="1">
        <v>421818</v>
      </c>
      <c r="B560" s="1">
        <v>7633834124</v>
      </c>
      <c r="C560" s="1">
        <v>1</v>
      </c>
      <c r="D560" s="1" t="s">
        <v>12056</v>
      </c>
      <c r="E560" t="s">
        <v>12159</v>
      </c>
      <c r="F560" s="2" t="s">
        <v>0</v>
      </c>
      <c r="G560" s="2" t="s">
        <v>1</v>
      </c>
      <c r="H560" s="2" t="s">
        <v>2</v>
      </c>
      <c r="I560" s="2" t="s">
        <v>3</v>
      </c>
      <c r="J560" s="3" t="s">
        <v>4</v>
      </c>
    </row>
    <row r="561" spans="1:10">
      <c r="A561" s="1">
        <v>727636</v>
      </c>
      <c r="B561" s="1">
        <v>0</v>
      </c>
      <c r="C561" s="1">
        <v>1</v>
      </c>
      <c r="D561" s="1" t="s">
        <v>12045</v>
      </c>
      <c r="E561" t="s">
        <v>12160</v>
      </c>
      <c r="F561" s="1">
        <v>679639</v>
      </c>
      <c r="G561" s="1">
        <v>0</v>
      </c>
      <c r="H561" s="1">
        <v>1</v>
      </c>
      <c r="I561" s="1" t="s">
        <v>12033</v>
      </c>
      <c r="J561" t="s">
        <v>12161</v>
      </c>
    </row>
    <row r="562" spans="1:10">
      <c r="A562" s="1">
        <v>651000</v>
      </c>
      <c r="B562" s="1">
        <v>26129300000</v>
      </c>
      <c r="C562" s="1">
        <v>1</v>
      </c>
      <c r="D562" s="1" t="s">
        <v>12010</v>
      </c>
      <c r="E562" t="s">
        <v>12162</v>
      </c>
      <c r="F562" s="1">
        <v>810572</v>
      </c>
      <c r="G562" s="1">
        <v>0</v>
      </c>
      <c r="H562" s="1">
        <v>1</v>
      </c>
      <c r="I562" s="1" t="s">
        <v>12010</v>
      </c>
      <c r="J562" t="s">
        <v>12163</v>
      </c>
    </row>
    <row r="563" spans="1:10">
      <c r="A563" s="1">
        <v>650762</v>
      </c>
      <c r="B563" s="1">
        <v>20000050762</v>
      </c>
      <c r="C563" s="1">
        <v>1</v>
      </c>
      <c r="D563" s="1" t="s">
        <v>12010</v>
      </c>
      <c r="E563" t="s">
        <v>12164</v>
      </c>
      <c r="F563" s="1">
        <v>548222</v>
      </c>
      <c r="G563" s="1">
        <v>0</v>
      </c>
      <c r="H563" s="1">
        <v>1</v>
      </c>
      <c r="I563" s="1" t="s">
        <v>12033</v>
      </c>
      <c r="J563" t="s">
        <v>12165</v>
      </c>
    </row>
    <row r="564" spans="1:10">
      <c r="A564" s="1">
        <v>727610</v>
      </c>
      <c r="B564" s="1">
        <v>7633824742</v>
      </c>
      <c r="C564" s="1">
        <v>1</v>
      </c>
      <c r="D564" s="1" t="s">
        <v>12145</v>
      </c>
      <c r="E564" t="s">
        <v>12166</v>
      </c>
      <c r="F564" s="1">
        <v>267310</v>
      </c>
      <c r="G564" s="1">
        <v>0</v>
      </c>
      <c r="H564" s="1">
        <v>1</v>
      </c>
      <c r="I564" s="1" t="s">
        <v>8</v>
      </c>
      <c r="J564" t="s">
        <v>12167</v>
      </c>
    </row>
    <row r="565" spans="1:10">
      <c r="A565" s="1">
        <v>190561</v>
      </c>
      <c r="B565" s="1">
        <v>0</v>
      </c>
      <c r="C565" s="1">
        <v>1</v>
      </c>
      <c r="D565" s="1" t="s">
        <v>12033</v>
      </c>
      <c r="E565" t="s">
        <v>12168</v>
      </c>
      <c r="F565" s="1">
        <v>651133</v>
      </c>
      <c r="G565" s="1">
        <v>1111182420</v>
      </c>
      <c r="H565" s="1">
        <v>1</v>
      </c>
      <c r="I565" s="1" t="s">
        <v>12033</v>
      </c>
      <c r="J565" t="s">
        <v>12169</v>
      </c>
    </row>
    <row r="566" spans="1:10">
      <c r="A566" s="1">
        <v>391763</v>
      </c>
      <c r="B566" s="1">
        <v>0</v>
      </c>
      <c r="C566" s="1">
        <v>1</v>
      </c>
      <c r="D566" s="1" t="s">
        <v>12010</v>
      </c>
      <c r="E566" t="s">
        <v>12170</v>
      </c>
      <c r="F566" s="1">
        <v>650341</v>
      </c>
      <c r="G566" s="1">
        <v>1111181722</v>
      </c>
      <c r="H566" s="1">
        <v>1</v>
      </c>
      <c r="I566" s="1" t="s">
        <v>12010</v>
      </c>
      <c r="J566" t="s">
        <v>12171</v>
      </c>
    </row>
    <row r="567" spans="1:10">
      <c r="A567" s="1">
        <v>584607</v>
      </c>
      <c r="B567" s="1">
        <v>0</v>
      </c>
      <c r="C567" s="1">
        <v>1</v>
      </c>
      <c r="D567" s="1" t="s">
        <v>12010</v>
      </c>
      <c r="E567" t="s">
        <v>12172</v>
      </c>
      <c r="F567" s="1">
        <v>502864</v>
      </c>
      <c r="G567" s="1">
        <v>2718203411</v>
      </c>
      <c r="H567" s="1">
        <v>1</v>
      </c>
      <c r="I567" s="1" t="s">
        <v>12010</v>
      </c>
      <c r="J567" t="s">
        <v>12173</v>
      </c>
    </row>
    <row r="568" spans="1:10">
      <c r="A568" s="1">
        <v>175448</v>
      </c>
      <c r="B568" s="1">
        <v>0</v>
      </c>
      <c r="C568" s="1">
        <v>1</v>
      </c>
      <c r="D568" s="1" t="s">
        <v>12033</v>
      </c>
      <c r="E568" t="s">
        <v>12174</v>
      </c>
      <c r="F568" s="1">
        <v>378109</v>
      </c>
      <c r="G568" s="1">
        <v>417401306</v>
      </c>
      <c r="H568" s="1">
        <v>1</v>
      </c>
      <c r="I568" s="1" t="s">
        <v>10408</v>
      </c>
      <c r="J568" t="s">
        <v>12175</v>
      </c>
    </row>
    <row r="569" spans="1:10">
      <c r="A569" s="1">
        <v>651059</v>
      </c>
      <c r="B569" s="1">
        <v>20000051059</v>
      </c>
      <c r="C569" s="1">
        <v>1</v>
      </c>
      <c r="D569" s="1" t="s">
        <v>12010</v>
      </c>
      <c r="E569" t="s">
        <v>12176</v>
      </c>
      <c r="F569" s="1">
        <v>651018</v>
      </c>
      <c r="G569" s="1">
        <v>26102400000</v>
      </c>
      <c r="H569" s="1">
        <v>1</v>
      </c>
      <c r="I569" s="1" t="s">
        <v>12010</v>
      </c>
      <c r="J569" t="s">
        <v>12177</v>
      </c>
    </row>
    <row r="570" spans="1:10">
      <c r="A570" s="1">
        <v>239384</v>
      </c>
      <c r="B570" s="1">
        <v>0</v>
      </c>
      <c r="C570" s="1">
        <v>5</v>
      </c>
      <c r="D570" s="1" t="s">
        <v>11984</v>
      </c>
      <c r="E570" t="s">
        <v>12178</v>
      </c>
      <c r="F570" s="1">
        <v>651737</v>
      </c>
      <c r="G570" s="1">
        <v>1111181422</v>
      </c>
      <c r="H570" s="1">
        <v>1</v>
      </c>
      <c r="I570" s="1" t="s">
        <v>12033</v>
      </c>
      <c r="J570" t="s">
        <v>12179</v>
      </c>
    </row>
    <row r="571" spans="1:10">
      <c r="A571" s="1">
        <v>652347</v>
      </c>
      <c r="B571" s="1">
        <v>0</v>
      </c>
      <c r="C571" s="1">
        <v>1</v>
      </c>
      <c r="D571" s="1" t="s">
        <v>12010</v>
      </c>
      <c r="E571" t="s">
        <v>12180</v>
      </c>
      <c r="F571" s="1">
        <v>133611</v>
      </c>
      <c r="G571" s="1">
        <v>0</v>
      </c>
      <c r="H571" s="1">
        <v>1</v>
      </c>
      <c r="I571" s="1" t="s">
        <v>12181</v>
      </c>
      <c r="J571" t="s">
        <v>12182</v>
      </c>
    </row>
    <row r="572" spans="1:10">
      <c r="A572" s="1">
        <v>650697</v>
      </c>
      <c r="B572" s="1">
        <v>3161000000</v>
      </c>
      <c r="C572" s="1">
        <v>1</v>
      </c>
      <c r="D572" s="1" t="s">
        <v>12010</v>
      </c>
      <c r="E572" t="s">
        <v>12183</v>
      </c>
      <c r="F572" s="1">
        <v>343160</v>
      </c>
      <c r="G572" s="1">
        <v>7633841164</v>
      </c>
      <c r="H572" s="1">
        <v>1</v>
      </c>
      <c r="I572" s="1" t="s">
        <v>12010</v>
      </c>
      <c r="J572" t="s">
        <v>12184</v>
      </c>
    </row>
    <row r="573" spans="1:10">
      <c r="A573" s="1">
        <v>652313</v>
      </c>
      <c r="B573" s="1">
        <v>0</v>
      </c>
      <c r="C573" s="1">
        <v>1</v>
      </c>
      <c r="D573" s="1" t="s">
        <v>12010</v>
      </c>
      <c r="E573" t="s">
        <v>12185</v>
      </c>
      <c r="F573" s="1">
        <v>80754</v>
      </c>
      <c r="G573" s="1">
        <v>0</v>
      </c>
      <c r="H573" s="1">
        <v>1</v>
      </c>
      <c r="I573" s="1" t="s">
        <v>12186</v>
      </c>
      <c r="J573" t="s">
        <v>12187</v>
      </c>
    </row>
    <row r="574" spans="1:10">
      <c r="A574" s="1">
        <v>651190</v>
      </c>
      <c r="B574" s="1">
        <v>0</v>
      </c>
      <c r="C574" s="1">
        <v>1</v>
      </c>
      <c r="D574" s="1" t="s">
        <v>12010</v>
      </c>
      <c r="E574" t="s">
        <v>12188</v>
      </c>
      <c r="F574" s="1">
        <v>832733</v>
      </c>
      <c r="G574" s="1">
        <v>0</v>
      </c>
      <c r="H574" s="1">
        <v>1</v>
      </c>
      <c r="I574" s="1" t="s">
        <v>12010</v>
      </c>
      <c r="J574" t="s">
        <v>12189</v>
      </c>
    </row>
    <row r="575" spans="1:10">
      <c r="A575" s="1">
        <v>372854</v>
      </c>
      <c r="B575" s="1">
        <v>0</v>
      </c>
      <c r="C575" s="1">
        <v>1</v>
      </c>
      <c r="D575" s="1" t="s">
        <v>12010</v>
      </c>
      <c r="E575" t="s">
        <v>12190</v>
      </c>
      <c r="F575" s="1">
        <v>185165</v>
      </c>
      <c r="G575" s="1">
        <v>76338668404</v>
      </c>
      <c r="H575" s="1">
        <v>1</v>
      </c>
      <c r="I575" s="1" t="s">
        <v>12010</v>
      </c>
      <c r="J575" t="s">
        <v>12191</v>
      </c>
    </row>
    <row r="576" spans="1:10" ht="15.75">
      <c r="A576" s="4" t="s">
        <v>12158</v>
      </c>
      <c r="B576" s="2"/>
      <c r="C576" s="2"/>
      <c r="D576" s="2"/>
      <c r="E576" s="3"/>
      <c r="F576" s="4" t="s">
        <v>12192</v>
      </c>
      <c r="G576" s="2"/>
      <c r="H576" s="2"/>
      <c r="I576" s="2"/>
      <c r="J576" s="3"/>
    </row>
    <row r="577" spans="1:10">
      <c r="A577" s="2" t="s">
        <v>0</v>
      </c>
      <c r="B577" s="2" t="s">
        <v>1</v>
      </c>
      <c r="C577" s="2" t="s">
        <v>2</v>
      </c>
      <c r="D577" s="2" t="s">
        <v>3</v>
      </c>
      <c r="E577" s="3" t="s">
        <v>4</v>
      </c>
      <c r="F577" s="2" t="s">
        <v>0</v>
      </c>
      <c r="G577" s="2" t="s">
        <v>1</v>
      </c>
      <c r="H577" s="2" t="s">
        <v>2</v>
      </c>
      <c r="I577" s="2" t="s">
        <v>3</v>
      </c>
      <c r="J577" s="3" t="s">
        <v>4</v>
      </c>
    </row>
    <row r="578" spans="1:10">
      <c r="A578" s="1">
        <v>75267</v>
      </c>
      <c r="B578" s="1">
        <v>76338668401</v>
      </c>
      <c r="C578" s="1">
        <v>1</v>
      </c>
      <c r="D578" s="1" t="s">
        <v>6727</v>
      </c>
      <c r="E578" t="s">
        <v>12193</v>
      </c>
      <c r="F578" s="1">
        <v>461772</v>
      </c>
      <c r="G578" s="1">
        <v>9642340122</v>
      </c>
      <c r="H578" s="1">
        <v>12</v>
      </c>
      <c r="I578" s="1" t="s">
        <v>4723</v>
      </c>
      <c r="J578" t="s">
        <v>12194</v>
      </c>
    </row>
    <row r="579" spans="1:10">
      <c r="A579" s="1">
        <v>507202</v>
      </c>
      <c r="B579" s="1">
        <v>76338338132</v>
      </c>
      <c r="C579" s="1">
        <v>1</v>
      </c>
      <c r="D579" s="1" t="s">
        <v>12010</v>
      </c>
      <c r="E579" t="s">
        <v>12195</v>
      </c>
      <c r="F579" s="1">
        <v>485177</v>
      </c>
      <c r="G579" s="1">
        <v>9642319700</v>
      </c>
      <c r="H579" s="1">
        <v>3</v>
      </c>
      <c r="I579" s="1" t="s">
        <v>4719</v>
      </c>
      <c r="J579" t="s">
        <v>12196</v>
      </c>
    </row>
    <row r="580" spans="1:10">
      <c r="A580" s="1">
        <v>324046</v>
      </c>
      <c r="B580" s="1">
        <v>6500000</v>
      </c>
      <c r="C580" s="1">
        <v>1</v>
      </c>
      <c r="D580" s="1" t="s">
        <v>12045</v>
      </c>
      <c r="E580" t="s">
        <v>12197</v>
      </c>
      <c r="F580" s="1">
        <v>823260</v>
      </c>
      <c r="G580" s="1">
        <v>9642344000</v>
      </c>
      <c r="H580" s="1">
        <v>24</v>
      </c>
      <c r="I580" s="1" t="s">
        <v>1973</v>
      </c>
      <c r="J580" t="s">
        <v>12198</v>
      </c>
    </row>
    <row r="581" spans="1:10">
      <c r="A581" s="1">
        <v>829937</v>
      </c>
      <c r="B581" s="1">
        <v>0</v>
      </c>
      <c r="C581" s="1">
        <v>1</v>
      </c>
      <c r="D581" s="1" t="s">
        <v>6595</v>
      </c>
      <c r="E581" t="s">
        <v>12199</v>
      </c>
      <c r="F581" s="1">
        <v>662908</v>
      </c>
      <c r="G581" s="1">
        <v>9642340110</v>
      </c>
      <c r="H581" s="1">
        <v>24</v>
      </c>
      <c r="I581" s="1" t="s">
        <v>1973</v>
      </c>
      <c r="J581" t="s">
        <v>12200</v>
      </c>
    </row>
    <row r="582" spans="1:10">
      <c r="A582" s="1">
        <v>808436</v>
      </c>
      <c r="B582" s="1">
        <v>0</v>
      </c>
      <c r="C582" s="1">
        <v>1</v>
      </c>
      <c r="D582" s="1" t="s">
        <v>12039</v>
      </c>
      <c r="E582" t="s">
        <v>12201</v>
      </c>
      <c r="F582" s="1">
        <v>490110</v>
      </c>
      <c r="G582" s="1">
        <v>9462369000</v>
      </c>
      <c r="H582" s="1">
        <v>6</v>
      </c>
      <c r="I582" s="1" t="s">
        <v>4719</v>
      </c>
      <c r="J582" t="s">
        <v>12200</v>
      </c>
    </row>
    <row r="583" spans="1:10">
      <c r="A583" s="1">
        <v>441667</v>
      </c>
      <c r="B583" s="1">
        <v>0</v>
      </c>
      <c r="C583" s="1">
        <v>1</v>
      </c>
      <c r="D583" s="1" t="s">
        <v>12010</v>
      </c>
      <c r="E583" t="s">
        <v>12202</v>
      </c>
      <c r="F583" s="1">
        <v>772053</v>
      </c>
      <c r="G583" s="1">
        <v>9642380280</v>
      </c>
      <c r="H583" s="1">
        <v>10</v>
      </c>
      <c r="I583" s="1" t="s">
        <v>1973</v>
      </c>
      <c r="J583" t="s">
        <v>12203</v>
      </c>
    </row>
    <row r="584" spans="1:10">
      <c r="A584" s="1">
        <v>615989</v>
      </c>
      <c r="B584" s="1">
        <v>0</v>
      </c>
      <c r="C584" s="1">
        <v>1</v>
      </c>
      <c r="D584" s="1" t="s">
        <v>12018</v>
      </c>
      <c r="E584" t="s">
        <v>12204</v>
      </c>
      <c r="F584" s="1">
        <v>771758</v>
      </c>
      <c r="G584" s="1">
        <v>80290</v>
      </c>
      <c r="H584" s="1">
        <v>10</v>
      </c>
      <c r="I584" s="1" t="s">
        <v>1973</v>
      </c>
      <c r="J584" t="s">
        <v>12205</v>
      </c>
    </row>
    <row r="585" spans="1:10">
      <c r="A585" s="1">
        <v>650176</v>
      </c>
      <c r="B585" s="1">
        <v>0</v>
      </c>
      <c r="C585" s="1">
        <v>1</v>
      </c>
      <c r="D585" s="1" t="s">
        <v>12010</v>
      </c>
      <c r="E585" t="s">
        <v>12206</v>
      </c>
      <c r="F585" s="1">
        <v>571612</v>
      </c>
      <c r="G585" s="1">
        <v>3526401120</v>
      </c>
      <c r="H585" s="1">
        <v>12</v>
      </c>
      <c r="I585" s="1" t="s">
        <v>1973</v>
      </c>
      <c r="J585" t="s">
        <v>12207</v>
      </c>
    </row>
    <row r="586" spans="1:10">
      <c r="A586" s="1">
        <v>651778</v>
      </c>
      <c r="B586" s="1">
        <v>3101307</v>
      </c>
      <c r="C586" s="1">
        <v>1</v>
      </c>
      <c r="D586" s="1" t="s">
        <v>12018</v>
      </c>
      <c r="E586" t="s">
        <v>12208</v>
      </c>
      <c r="F586" s="1">
        <v>568626</v>
      </c>
      <c r="G586" s="1">
        <v>23526400000</v>
      </c>
      <c r="H586" s="1">
        <v>1</v>
      </c>
      <c r="I586" s="1" t="s">
        <v>6600</v>
      </c>
      <c r="J586" t="s">
        <v>12209</v>
      </c>
    </row>
    <row r="587" spans="1:10">
      <c r="A587" s="1">
        <v>652214</v>
      </c>
      <c r="B587" s="1">
        <v>22102400000</v>
      </c>
      <c r="C587" s="1">
        <v>1</v>
      </c>
      <c r="D587" s="1" t="s">
        <v>12010</v>
      </c>
      <c r="E587" t="s">
        <v>12210</v>
      </c>
      <c r="F587" s="1">
        <v>367300</v>
      </c>
      <c r="G587" s="1">
        <v>23526400000</v>
      </c>
      <c r="H587" s="1">
        <v>1</v>
      </c>
      <c r="I587" s="1" t="s">
        <v>6600</v>
      </c>
      <c r="J587" t="s">
        <v>12211</v>
      </c>
    </row>
    <row r="588" spans="1:10">
      <c r="A588" s="1">
        <v>650283</v>
      </c>
      <c r="B588" s="1">
        <v>0</v>
      </c>
      <c r="C588" s="1">
        <v>1</v>
      </c>
      <c r="D588" s="1" t="s">
        <v>12018</v>
      </c>
      <c r="E588" t="s">
        <v>12212</v>
      </c>
      <c r="F588" s="1">
        <v>654046</v>
      </c>
      <c r="G588" s="1">
        <v>26169600000</v>
      </c>
      <c r="H588" s="1">
        <v>1</v>
      </c>
      <c r="I588" s="1" t="s">
        <v>12018</v>
      </c>
      <c r="J588" t="s">
        <v>12213</v>
      </c>
    </row>
    <row r="589" spans="1:10">
      <c r="A589" s="1">
        <v>754713</v>
      </c>
      <c r="B589" s="1">
        <v>1308</v>
      </c>
      <c r="C589" s="1">
        <v>1</v>
      </c>
      <c r="D589" s="1" t="s">
        <v>12010</v>
      </c>
      <c r="E589" t="s">
        <v>12214</v>
      </c>
      <c r="F589" s="1">
        <v>500348</v>
      </c>
      <c r="G589" s="1">
        <v>0</v>
      </c>
      <c r="H589" s="1">
        <v>1</v>
      </c>
      <c r="I589" s="1" t="s">
        <v>12018</v>
      </c>
      <c r="J589" t="s">
        <v>12215</v>
      </c>
    </row>
    <row r="590" spans="1:10">
      <c r="A590" s="1">
        <v>651380</v>
      </c>
      <c r="B590" s="1">
        <v>20000051380</v>
      </c>
      <c r="C590" s="1">
        <v>1</v>
      </c>
      <c r="D590" s="1" t="s">
        <v>12010</v>
      </c>
      <c r="E590" t="s">
        <v>12216</v>
      </c>
      <c r="F590" s="1">
        <v>362160</v>
      </c>
      <c r="G590" s="1">
        <v>2874940267</v>
      </c>
      <c r="H590" s="1">
        <v>12</v>
      </c>
      <c r="I590" s="1" t="s">
        <v>1973</v>
      </c>
      <c r="J590" t="s">
        <v>12217</v>
      </c>
    </row>
    <row r="591" spans="1:10">
      <c r="A591" s="1">
        <v>650754</v>
      </c>
      <c r="B591" s="1">
        <v>71627</v>
      </c>
      <c r="C591" s="1">
        <v>1</v>
      </c>
      <c r="D591" s="1" t="s">
        <v>12010</v>
      </c>
      <c r="E591" t="s">
        <v>12218</v>
      </c>
      <c r="F591" s="1">
        <v>542795</v>
      </c>
      <c r="G591" s="1">
        <v>2874940266</v>
      </c>
      <c r="H591" s="1">
        <v>12</v>
      </c>
      <c r="I591" s="1" t="s">
        <v>1973</v>
      </c>
      <c r="J591" t="s">
        <v>12219</v>
      </c>
    </row>
    <row r="592" spans="1:10">
      <c r="A592" s="1">
        <v>651505</v>
      </c>
      <c r="B592" s="1">
        <v>25184300000</v>
      </c>
      <c r="C592" s="1">
        <v>1</v>
      </c>
      <c r="D592" s="1" t="s">
        <v>12010</v>
      </c>
      <c r="E592" t="s">
        <v>12220</v>
      </c>
      <c r="F592" s="1">
        <v>336792</v>
      </c>
      <c r="G592" s="1">
        <v>28749067898</v>
      </c>
      <c r="H592" s="1">
        <v>12</v>
      </c>
      <c r="I592" s="1" t="s">
        <v>1973</v>
      </c>
      <c r="J592" t="s">
        <v>12221</v>
      </c>
    </row>
    <row r="593" spans="1:10">
      <c r="A593" s="1">
        <v>652222</v>
      </c>
      <c r="B593" s="1">
        <v>24183900000</v>
      </c>
      <c r="C593" s="1">
        <v>1</v>
      </c>
      <c r="D593" s="1" t="s">
        <v>12010</v>
      </c>
      <c r="E593" t="s">
        <v>12222</v>
      </c>
      <c r="F593" s="1">
        <v>651448</v>
      </c>
      <c r="G593" s="1">
        <v>26166500000</v>
      </c>
      <c r="H593" s="1">
        <v>1</v>
      </c>
      <c r="I593" s="1" t="s">
        <v>12018</v>
      </c>
      <c r="J593" t="s">
        <v>12223</v>
      </c>
    </row>
    <row r="594" spans="1:10">
      <c r="A594" s="1">
        <v>163824</v>
      </c>
      <c r="B594" s="1">
        <v>0</v>
      </c>
      <c r="C594" s="1">
        <v>1</v>
      </c>
      <c r="D594" s="1" t="s">
        <v>12224</v>
      </c>
      <c r="E594" t="s">
        <v>12225</v>
      </c>
      <c r="F594" s="1">
        <v>863019</v>
      </c>
      <c r="G594" s="1">
        <v>23116655879</v>
      </c>
      <c r="H594" s="1">
        <v>6</v>
      </c>
      <c r="I594" s="1" t="s">
        <v>12226</v>
      </c>
      <c r="J594" t="s">
        <v>12227</v>
      </c>
    </row>
    <row r="595" spans="1:10">
      <c r="A595" s="1">
        <v>80507</v>
      </c>
      <c r="B595" s="1">
        <v>0</v>
      </c>
      <c r="C595" s="1">
        <v>1</v>
      </c>
      <c r="D595" s="1" t="s">
        <v>12033</v>
      </c>
      <c r="E595" t="s">
        <v>12228</v>
      </c>
      <c r="F595" s="1">
        <v>451427</v>
      </c>
      <c r="G595" s="1">
        <v>23141055895</v>
      </c>
      <c r="H595" s="1">
        <v>6</v>
      </c>
      <c r="I595" s="1" t="s">
        <v>12229</v>
      </c>
      <c r="J595" t="s">
        <v>12230</v>
      </c>
    </row>
    <row r="596" spans="1:10">
      <c r="A596" s="1">
        <v>21006</v>
      </c>
      <c r="B596" s="1">
        <v>0</v>
      </c>
      <c r="C596" s="1">
        <v>1</v>
      </c>
      <c r="D596" s="1" t="s">
        <v>12041</v>
      </c>
      <c r="E596" t="s">
        <v>12231</v>
      </c>
      <c r="F596" s="1">
        <v>174920</v>
      </c>
      <c r="G596" s="1">
        <v>9642331671</v>
      </c>
      <c r="H596" s="1">
        <v>1</v>
      </c>
      <c r="I596" s="1" t="s">
        <v>6600</v>
      </c>
      <c r="J596" t="s">
        <v>12232</v>
      </c>
    </row>
    <row r="597" spans="1:10">
      <c r="A597" s="1">
        <v>344861</v>
      </c>
      <c r="B597" s="1">
        <v>7633868407</v>
      </c>
      <c r="C597" s="1">
        <v>1</v>
      </c>
      <c r="D597" s="1" t="s">
        <v>12039</v>
      </c>
      <c r="E597" t="s">
        <v>12233</v>
      </c>
      <c r="F597" s="1">
        <v>880039</v>
      </c>
      <c r="G597" s="1">
        <v>9642331692</v>
      </c>
      <c r="H597" s="1">
        <v>1</v>
      </c>
      <c r="I597" s="1" t="s">
        <v>6600</v>
      </c>
      <c r="J597" t="s">
        <v>12234</v>
      </c>
    </row>
    <row r="598" spans="1:10" ht="15.75">
      <c r="A598" s="4" t="s">
        <v>12192</v>
      </c>
      <c r="B598" s="2"/>
      <c r="C598" s="2"/>
      <c r="D598" s="2"/>
      <c r="E598" s="3"/>
      <c r="F598" s="1">
        <v>889535</v>
      </c>
      <c r="G598" s="1">
        <v>9642331702</v>
      </c>
      <c r="H598" s="1">
        <v>1</v>
      </c>
      <c r="I598" s="1" t="s">
        <v>6600</v>
      </c>
      <c r="J598" t="s">
        <v>12235</v>
      </c>
    </row>
    <row r="599" spans="1:10">
      <c r="A599" s="2" t="s">
        <v>0</v>
      </c>
      <c r="B599" s="2" t="s">
        <v>1</v>
      </c>
      <c r="C599" s="2" t="s">
        <v>2</v>
      </c>
      <c r="D599" s="2" t="s">
        <v>3</v>
      </c>
      <c r="E599" s="3" t="s">
        <v>4</v>
      </c>
      <c r="F599" s="1">
        <v>753780</v>
      </c>
      <c r="G599" s="1">
        <v>4437591652</v>
      </c>
      <c r="H599" s="1">
        <v>6</v>
      </c>
      <c r="I599" s="1" t="s">
        <v>1973</v>
      </c>
      <c r="J599" t="s">
        <v>12236</v>
      </c>
    </row>
    <row r="600" spans="1:10">
      <c r="A600" s="1">
        <v>370817</v>
      </c>
      <c r="B600" s="1">
        <v>22121200000</v>
      </c>
      <c r="C600" s="1">
        <v>1</v>
      </c>
      <c r="D600" s="1" t="s">
        <v>6595</v>
      </c>
      <c r="E600" t="s">
        <v>12237</v>
      </c>
      <c r="F600" s="1">
        <v>774224</v>
      </c>
      <c r="G600" s="1">
        <v>23171255874</v>
      </c>
      <c r="H600" s="1">
        <v>6</v>
      </c>
      <c r="I600" s="1" t="s">
        <v>1973</v>
      </c>
      <c r="J600" t="s">
        <v>12238</v>
      </c>
    </row>
    <row r="601" spans="1:10">
      <c r="A601" s="1">
        <v>778829</v>
      </c>
      <c r="B601" s="1">
        <v>22874900245</v>
      </c>
      <c r="C601" s="1">
        <v>6</v>
      </c>
      <c r="D601" s="1" t="s">
        <v>4719</v>
      </c>
      <c r="E601" t="s">
        <v>12239</v>
      </c>
      <c r="F601" s="1">
        <v>835066</v>
      </c>
      <c r="G601" s="1">
        <v>23120955894</v>
      </c>
      <c r="H601" s="1">
        <v>6</v>
      </c>
      <c r="I601" s="1" t="s">
        <v>12240</v>
      </c>
      <c r="J601" t="s">
        <v>12241</v>
      </c>
    </row>
    <row r="602" spans="1:10">
      <c r="A602" s="1">
        <v>778837</v>
      </c>
      <c r="B602" s="1">
        <v>22874900244</v>
      </c>
      <c r="C602" s="1">
        <v>6</v>
      </c>
      <c r="D602" s="1" t="s">
        <v>4719</v>
      </c>
      <c r="E602" t="s">
        <v>12242</v>
      </c>
      <c r="F602" s="1">
        <v>371922</v>
      </c>
      <c r="G602" s="1">
        <v>2718200000</v>
      </c>
      <c r="H602" s="1">
        <v>6</v>
      </c>
      <c r="I602" s="1" t="s">
        <v>12226</v>
      </c>
      <c r="J602" t="s">
        <v>12243</v>
      </c>
    </row>
    <row r="603" spans="1:10">
      <c r="A603" s="1">
        <v>778803</v>
      </c>
      <c r="B603" s="1">
        <v>22874900394</v>
      </c>
      <c r="C603" s="1">
        <v>6</v>
      </c>
      <c r="D603" s="1" t="s">
        <v>4719</v>
      </c>
      <c r="E603" t="s">
        <v>12244</v>
      </c>
      <c r="F603" s="1">
        <v>319038</v>
      </c>
      <c r="G603" s="1">
        <v>2718200000</v>
      </c>
      <c r="H603" s="1">
        <v>6</v>
      </c>
      <c r="I603" s="1" t="s">
        <v>12245</v>
      </c>
      <c r="J603" t="s">
        <v>12246</v>
      </c>
    </row>
    <row r="604" spans="1:10">
      <c r="A604" s="1">
        <v>778811</v>
      </c>
      <c r="B604" s="1">
        <v>22874900287</v>
      </c>
      <c r="C604" s="1">
        <v>4</v>
      </c>
      <c r="D604" s="1" t="s">
        <v>4719</v>
      </c>
      <c r="E604" t="s">
        <v>12247</v>
      </c>
      <c r="F604" s="1">
        <v>342048</v>
      </c>
      <c r="G604" s="1">
        <v>7350461200</v>
      </c>
      <c r="H604" s="1">
        <v>12</v>
      </c>
      <c r="I604" s="1" t="s">
        <v>1654</v>
      </c>
      <c r="J604" t="s">
        <v>12248</v>
      </c>
    </row>
    <row r="605" spans="1:10">
      <c r="A605" s="1">
        <v>380790</v>
      </c>
      <c r="B605" s="1">
        <v>9642320200</v>
      </c>
      <c r="C605" s="1">
        <v>4</v>
      </c>
      <c r="D605" s="1" t="s">
        <v>4719</v>
      </c>
      <c r="E605" t="s">
        <v>12249</v>
      </c>
      <c r="F605" s="1">
        <v>778787</v>
      </c>
      <c r="G605" s="1">
        <v>22874900279</v>
      </c>
      <c r="H605" s="1">
        <v>6</v>
      </c>
      <c r="I605" s="1" t="s">
        <v>4719</v>
      </c>
      <c r="J605" t="s">
        <v>12250</v>
      </c>
    </row>
    <row r="606" spans="1:10">
      <c r="A606" s="1">
        <v>778795</v>
      </c>
      <c r="B606" s="1">
        <v>22874900356</v>
      </c>
      <c r="C606" s="1">
        <v>8</v>
      </c>
      <c r="D606" s="1" t="s">
        <v>4719</v>
      </c>
      <c r="E606" t="s">
        <v>12251</v>
      </c>
      <c r="F606" s="1">
        <v>550046</v>
      </c>
      <c r="G606" s="1">
        <v>7232255200</v>
      </c>
      <c r="H606" s="1">
        <v>12</v>
      </c>
      <c r="I606" s="1" t="s">
        <v>347</v>
      </c>
      <c r="J606" t="s">
        <v>12252</v>
      </c>
    </row>
    <row r="607" spans="1:10">
      <c r="A607" s="1">
        <v>816793</v>
      </c>
      <c r="B607" s="1">
        <v>9642340116</v>
      </c>
      <c r="C607" s="1">
        <v>8</v>
      </c>
      <c r="D607" s="1" t="s">
        <v>4658</v>
      </c>
      <c r="E607" t="s">
        <v>12253</v>
      </c>
      <c r="F607" s="1">
        <v>395038</v>
      </c>
      <c r="G607" s="1">
        <v>7232240303</v>
      </c>
      <c r="H607" s="1">
        <v>6</v>
      </c>
      <c r="I607" s="1" t="s">
        <v>860</v>
      </c>
      <c r="J607" t="s">
        <v>12254</v>
      </c>
    </row>
    <row r="608" spans="1:10">
      <c r="A608" s="1">
        <v>289926</v>
      </c>
      <c r="B608" s="1">
        <v>9642342550</v>
      </c>
      <c r="C608" s="1">
        <v>8</v>
      </c>
      <c r="D608" s="1" t="s">
        <v>4658</v>
      </c>
      <c r="E608" t="s">
        <v>12255</v>
      </c>
      <c r="F608" s="1">
        <v>290940</v>
      </c>
      <c r="G608" s="1">
        <v>7232240306</v>
      </c>
      <c r="H608" s="1">
        <v>6</v>
      </c>
      <c r="I608" s="1" t="s">
        <v>860</v>
      </c>
      <c r="J608" t="s">
        <v>12256</v>
      </c>
    </row>
    <row r="609" spans="1:10">
      <c r="A609" s="1">
        <v>673046</v>
      </c>
      <c r="B609" s="1">
        <v>9642345920</v>
      </c>
      <c r="C609" s="1">
        <v>24</v>
      </c>
      <c r="D609" s="1" t="s">
        <v>1973</v>
      </c>
      <c r="E609" t="s">
        <v>12257</v>
      </c>
      <c r="F609" s="1">
        <v>777821</v>
      </c>
      <c r="G609" s="1">
        <v>7232240304</v>
      </c>
      <c r="H609" s="1">
        <v>6</v>
      </c>
      <c r="I609" s="1" t="s">
        <v>860</v>
      </c>
      <c r="J609" t="s">
        <v>12258</v>
      </c>
    </row>
    <row r="610" spans="1:10">
      <c r="A610" s="1">
        <v>370106</v>
      </c>
      <c r="B610" s="1">
        <v>9642345930</v>
      </c>
      <c r="C610" s="1">
        <v>12</v>
      </c>
      <c r="D610" s="1" t="s">
        <v>4723</v>
      </c>
      <c r="E610" t="s">
        <v>12259</v>
      </c>
      <c r="F610" s="1">
        <v>650770</v>
      </c>
      <c r="G610" s="1">
        <v>0</v>
      </c>
      <c r="H610" s="1">
        <v>1</v>
      </c>
      <c r="I610" s="1" t="s">
        <v>12045</v>
      </c>
      <c r="J610" t="s">
        <v>12260</v>
      </c>
    </row>
    <row r="611" spans="1:10">
      <c r="A611" s="1">
        <v>277038</v>
      </c>
      <c r="B611" s="1">
        <v>9642320100</v>
      </c>
      <c r="C611" s="1">
        <v>8</v>
      </c>
      <c r="D611" s="1" t="s">
        <v>4719</v>
      </c>
      <c r="E611" t="s">
        <v>12261</v>
      </c>
      <c r="F611" s="1">
        <v>653659</v>
      </c>
      <c r="G611" s="1">
        <v>20000001242</v>
      </c>
      <c r="H611" s="1">
        <v>1</v>
      </c>
      <c r="I611" s="1" t="s">
        <v>12045</v>
      </c>
      <c r="J611" t="s">
        <v>12262</v>
      </c>
    </row>
    <row r="612" spans="1:10">
      <c r="A612" s="1">
        <v>673400</v>
      </c>
      <c r="B612" s="1">
        <v>9642340016</v>
      </c>
      <c r="C612" s="1">
        <v>8</v>
      </c>
      <c r="D612" s="1" t="s">
        <v>4658</v>
      </c>
      <c r="E612" t="s">
        <v>12263</v>
      </c>
      <c r="F612" s="1">
        <v>650408</v>
      </c>
      <c r="G612" s="1">
        <v>26100900000</v>
      </c>
      <c r="H612" s="1">
        <v>1</v>
      </c>
      <c r="I612" s="1" t="s">
        <v>12018</v>
      </c>
      <c r="J612" t="s">
        <v>12264</v>
      </c>
    </row>
    <row r="613" spans="1:10">
      <c r="A613" s="1">
        <v>482059</v>
      </c>
      <c r="B613" s="1">
        <v>2040</v>
      </c>
      <c r="C613" s="1">
        <v>8</v>
      </c>
      <c r="D613" s="1" t="s">
        <v>4719</v>
      </c>
      <c r="E613" t="s">
        <v>12265</v>
      </c>
      <c r="F613" s="1">
        <v>627646</v>
      </c>
      <c r="G613" s="1">
        <v>7041</v>
      </c>
      <c r="H613" s="1">
        <v>8</v>
      </c>
      <c r="I613" s="1" t="s">
        <v>4719</v>
      </c>
      <c r="J613" t="s">
        <v>12266</v>
      </c>
    </row>
    <row r="614" spans="1:10">
      <c r="A614" s="1">
        <v>470591</v>
      </c>
      <c r="B614" s="1">
        <v>3090</v>
      </c>
      <c r="C614" s="1">
        <v>1</v>
      </c>
      <c r="D614" s="1" t="s">
        <v>12018</v>
      </c>
      <c r="E614" t="s">
        <v>12267</v>
      </c>
      <c r="F614" s="1">
        <v>650978</v>
      </c>
      <c r="G614" s="1">
        <v>22121250978</v>
      </c>
      <c r="H614" s="1">
        <v>1</v>
      </c>
      <c r="I614" s="1" t="s">
        <v>12018</v>
      </c>
      <c r="J614" t="s">
        <v>12268</v>
      </c>
    </row>
    <row r="615" spans="1:10">
      <c r="A615" s="1">
        <v>486977</v>
      </c>
      <c r="B615" s="1">
        <v>1560</v>
      </c>
      <c r="C615" s="1">
        <v>4</v>
      </c>
      <c r="D615" s="1" t="s">
        <v>4719</v>
      </c>
      <c r="E615" t="s">
        <v>12269</v>
      </c>
      <c r="F615" s="1">
        <v>652735</v>
      </c>
      <c r="G615" s="1">
        <v>22054700000</v>
      </c>
      <c r="H615" s="1">
        <v>1</v>
      </c>
      <c r="I615" s="1" t="s">
        <v>6595</v>
      </c>
      <c r="J615" t="s">
        <v>12270</v>
      </c>
    </row>
    <row r="616" spans="1:10">
      <c r="A616" s="1">
        <v>272278</v>
      </c>
      <c r="B616" s="1">
        <v>9462324000</v>
      </c>
      <c r="C616" s="1">
        <v>8</v>
      </c>
      <c r="D616" s="1" t="s">
        <v>4719</v>
      </c>
      <c r="E616" t="s">
        <v>12194</v>
      </c>
      <c r="F616" s="1">
        <v>572156</v>
      </c>
      <c r="G616" s="1">
        <v>83041005437</v>
      </c>
      <c r="H616" s="1">
        <v>12</v>
      </c>
      <c r="I616" s="1" t="s">
        <v>1973</v>
      </c>
      <c r="J616" t="s">
        <v>12271</v>
      </c>
    </row>
    <row r="617" spans="1:10" ht="15.75">
      <c r="A617" s="4" t="s">
        <v>12192</v>
      </c>
      <c r="B617" s="2"/>
      <c r="C617" s="2"/>
      <c r="D617" s="2"/>
      <c r="E617" s="3"/>
      <c r="F617" s="4" t="s">
        <v>12272</v>
      </c>
      <c r="G617" s="2"/>
      <c r="H617" s="2"/>
      <c r="I617" s="2"/>
      <c r="J617" s="3"/>
    </row>
    <row r="618" spans="1:10">
      <c r="A618" s="2" t="s">
        <v>0</v>
      </c>
      <c r="B618" s="2" t="s">
        <v>1</v>
      </c>
      <c r="C618" s="2" t="s">
        <v>2</v>
      </c>
      <c r="D618" s="2" t="s">
        <v>3</v>
      </c>
      <c r="E618" s="3" t="s">
        <v>4</v>
      </c>
      <c r="F618" s="2" t="s">
        <v>0</v>
      </c>
      <c r="G618" s="2" t="s">
        <v>1</v>
      </c>
      <c r="H618" s="2" t="s">
        <v>2</v>
      </c>
      <c r="I618" s="2" t="s">
        <v>3</v>
      </c>
      <c r="J618" s="3" t="s">
        <v>4</v>
      </c>
    </row>
    <row r="619" spans="1:10">
      <c r="A619" s="1">
        <v>131268</v>
      </c>
      <c r="B619" s="1">
        <v>83041005420</v>
      </c>
      <c r="C619" s="1">
        <v>12</v>
      </c>
      <c r="D619" s="1" t="s">
        <v>1973</v>
      </c>
      <c r="E619" t="s">
        <v>12273</v>
      </c>
      <c r="F619" s="1">
        <v>570853</v>
      </c>
      <c r="G619" s="1">
        <v>0</v>
      </c>
      <c r="H619" s="1">
        <v>20</v>
      </c>
      <c r="I619" s="1" t="s">
        <v>1973</v>
      </c>
      <c r="J619" t="s">
        <v>12274</v>
      </c>
    </row>
    <row r="620" spans="1:10">
      <c r="A620" s="1">
        <v>276782</v>
      </c>
      <c r="B620" s="1">
        <v>83041005535</v>
      </c>
      <c r="C620" s="1">
        <v>12</v>
      </c>
      <c r="D620" s="1" t="s">
        <v>1973</v>
      </c>
      <c r="E620" t="s">
        <v>12275</v>
      </c>
      <c r="F620" s="1">
        <v>618561</v>
      </c>
      <c r="G620" s="1">
        <v>0</v>
      </c>
      <c r="H620" s="1">
        <v>1</v>
      </c>
      <c r="I620" s="1" t="s">
        <v>12045</v>
      </c>
      <c r="J620" t="s">
        <v>12276</v>
      </c>
    </row>
    <row r="621" spans="1:10">
      <c r="A621" s="1">
        <v>178921</v>
      </c>
      <c r="B621" s="1">
        <v>83041005490</v>
      </c>
      <c r="C621" s="1">
        <v>12</v>
      </c>
      <c r="D621" s="1" t="s">
        <v>1973</v>
      </c>
      <c r="E621" t="s">
        <v>12277</v>
      </c>
      <c r="F621" s="1">
        <v>586479</v>
      </c>
      <c r="G621" s="1">
        <v>0</v>
      </c>
      <c r="H621" s="1">
        <v>1</v>
      </c>
      <c r="I621" s="1" t="s">
        <v>4652</v>
      </c>
      <c r="J621" t="s">
        <v>12278</v>
      </c>
    </row>
    <row r="622" spans="1:10">
      <c r="A622" s="1">
        <v>411009</v>
      </c>
      <c r="B622" s="1">
        <v>83041005409</v>
      </c>
      <c r="C622" s="1">
        <v>12</v>
      </c>
      <c r="D622" s="1" t="s">
        <v>1973</v>
      </c>
      <c r="E622" t="s">
        <v>12279</v>
      </c>
      <c r="F622" s="1">
        <v>108282</v>
      </c>
      <c r="G622" s="1">
        <v>0</v>
      </c>
      <c r="H622" s="1">
        <v>1</v>
      </c>
      <c r="I622" s="1" t="s">
        <v>6727</v>
      </c>
      <c r="J622" t="s">
        <v>12280</v>
      </c>
    </row>
    <row r="623" spans="1:10">
      <c r="A623" s="1">
        <v>286260</v>
      </c>
      <c r="B623" s="1">
        <v>83041005425</v>
      </c>
      <c r="C623" s="1">
        <v>12</v>
      </c>
      <c r="D623" s="1" t="s">
        <v>1973</v>
      </c>
      <c r="E623" t="s">
        <v>12281</v>
      </c>
      <c r="F623" s="1">
        <v>472316</v>
      </c>
      <c r="G623" s="1">
        <v>2718201788</v>
      </c>
      <c r="H623" s="1">
        <v>1</v>
      </c>
      <c r="I623" s="1" t="s">
        <v>12056</v>
      </c>
      <c r="J623" t="s">
        <v>12282</v>
      </c>
    </row>
    <row r="624" spans="1:10">
      <c r="A624" s="1">
        <v>240069</v>
      </c>
      <c r="B624" s="1">
        <v>83041005416</v>
      </c>
      <c r="C624" s="1">
        <v>12</v>
      </c>
      <c r="D624" s="1" t="s">
        <v>1973</v>
      </c>
      <c r="E624" t="s">
        <v>12283</v>
      </c>
      <c r="F624" s="1">
        <v>443929</v>
      </c>
      <c r="G624" s="1">
        <v>7633838234</v>
      </c>
      <c r="H624" s="1">
        <v>1</v>
      </c>
      <c r="I624" s="1" t="s">
        <v>12045</v>
      </c>
      <c r="J624" t="s">
        <v>12284</v>
      </c>
    </row>
    <row r="625" spans="1:10">
      <c r="A625" s="1">
        <v>434654</v>
      </c>
      <c r="B625" s="1">
        <v>83041005414</v>
      </c>
      <c r="C625" s="1">
        <v>12</v>
      </c>
      <c r="D625" s="1" t="s">
        <v>1973</v>
      </c>
      <c r="E625" t="s">
        <v>12285</v>
      </c>
      <c r="F625" s="1">
        <v>70177</v>
      </c>
      <c r="G625" s="1">
        <v>76338668403</v>
      </c>
      <c r="H625" s="1">
        <v>1</v>
      </c>
      <c r="I625" s="1" t="s">
        <v>12010</v>
      </c>
      <c r="J625" t="s">
        <v>12286</v>
      </c>
    </row>
    <row r="626" spans="1:10">
      <c r="A626" s="1">
        <v>426700</v>
      </c>
      <c r="B626" s="1">
        <v>83041005436</v>
      </c>
      <c r="C626" s="1">
        <v>12</v>
      </c>
      <c r="D626" s="1" t="s">
        <v>1973</v>
      </c>
      <c r="E626" t="s">
        <v>12287</v>
      </c>
      <c r="F626" s="1">
        <v>650101</v>
      </c>
      <c r="G626" s="1">
        <v>22117500000</v>
      </c>
      <c r="H626" s="1">
        <v>1</v>
      </c>
      <c r="I626" s="1" t="s">
        <v>12288</v>
      </c>
      <c r="J626" t="s">
        <v>12289</v>
      </c>
    </row>
    <row r="627" spans="1:10">
      <c r="A627" s="1">
        <v>308536</v>
      </c>
      <c r="B627" s="1">
        <v>83041005417</v>
      </c>
      <c r="C627" s="1">
        <v>12</v>
      </c>
      <c r="D627" s="1" t="s">
        <v>1973</v>
      </c>
      <c r="E627" t="s">
        <v>12290</v>
      </c>
      <c r="F627" s="1">
        <v>653717</v>
      </c>
      <c r="G627" s="1">
        <v>23118200000</v>
      </c>
      <c r="H627" s="1">
        <v>1</v>
      </c>
      <c r="I627" s="1" t="s">
        <v>10607</v>
      </c>
      <c r="J627" t="s">
        <v>12291</v>
      </c>
    </row>
    <row r="628" spans="1:10">
      <c r="A628" s="1">
        <v>839654</v>
      </c>
      <c r="B628" s="1">
        <v>83041005419</v>
      </c>
      <c r="C628" s="1">
        <v>12</v>
      </c>
      <c r="D628" s="1" t="s">
        <v>1973</v>
      </c>
      <c r="E628" t="s">
        <v>12292</v>
      </c>
      <c r="F628" s="1">
        <v>887828</v>
      </c>
      <c r="G628" s="1">
        <v>76338221432</v>
      </c>
      <c r="H628" s="1">
        <v>1</v>
      </c>
      <c r="I628" s="1" t="s">
        <v>6727</v>
      </c>
      <c r="J628" t="s">
        <v>12293</v>
      </c>
    </row>
    <row r="629" spans="1:10">
      <c r="A629" s="1">
        <v>650481</v>
      </c>
      <c r="B629" s="1">
        <v>7633882458</v>
      </c>
      <c r="C629" s="1">
        <v>1</v>
      </c>
      <c r="D629" s="1" t="s">
        <v>6600</v>
      </c>
      <c r="E629" t="s">
        <v>12294</v>
      </c>
      <c r="F629" s="1">
        <v>391383</v>
      </c>
      <c r="G629" s="1">
        <v>76338221570</v>
      </c>
      <c r="H629" s="1">
        <v>1</v>
      </c>
      <c r="I629" s="1" t="s">
        <v>12010</v>
      </c>
      <c r="J629" t="s">
        <v>12295</v>
      </c>
    </row>
    <row r="630" spans="1:10">
      <c r="A630" s="1">
        <v>765917</v>
      </c>
      <c r="B630" s="1">
        <v>7633868201</v>
      </c>
      <c r="C630" s="1">
        <v>16</v>
      </c>
      <c r="D630" s="1" t="s">
        <v>1654</v>
      </c>
      <c r="E630" t="s">
        <v>12296</v>
      </c>
      <c r="F630" s="1">
        <v>653675</v>
      </c>
      <c r="G630" s="1">
        <v>0</v>
      </c>
      <c r="H630" s="1">
        <v>1</v>
      </c>
      <c r="I630" s="1" t="s">
        <v>12045</v>
      </c>
      <c r="J630" t="s">
        <v>12297</v>
      </c>
    </row>
    <row r="631" spans="1:10">
      <c r="A631" s="1">
        <v>651075</v>
      </c>
      <c r="B631" s="1">
        <v>7633882466</v>
      </c>
      <c r="C631" s="1">
        <v>1</v>
      </c>
      <c r="D631" s="1" t="s">
        <v>11753</v>
      </c>
      <c r="E631" t="s">
        <v>12298</v>
      </c>
      <c r="F631" s="1">
        <v>242685</v>
      </c>
      <c r="G631" s="1">
        <v>0</v>
      </c>
      <c r="H631" s="1">
        <v>1</v>
      </c>
      <c r="I631" s="1" t="s">
        <v>12288</v>
      </c>
      <c r="J631" t="s">
        <v>12299</v>
      </c>
    </row>
    <row r="632" spans="1:10">
      <c r="A632" s="1">
        <v>650820</v>
      </c>
      <c r="B632" s="1">
        <v>7633882440</v>
      </c>
      <c r="C632" s="1">
        <v>1</v>
      </c>
      <c r="D632" s="1" t="s">
        <v>11753</v>
      </c>
      <c r="E632" t="s">
        <v>12300</v>
      </c>
      <c r="F632" s="1">
        <v>651083</v>
      </c>
      <c r="G632" s="1">
        <v>0</v>
      </c>
      <c r="H632" s="1">
        <v>1</v>
      </c>
      <c r="I632" s="1" t="s">
        <v>12045</v>
      </c>
      <c r="J632" t="s">
        <v>12301</v>
      </c>
    </row>
    <row r="633" spans="1:10">
      <c r="A633" s="1">
        <v>651646</v>
      </c>
      <c r="B633" s="1">
        <v>7633882474</v>
      </c>
      <c r="C633" s="1">
        <v>1</v>
      </c>
      <c r="D633" s="1" t="s">
        <v>11753</v>
      </c>
      <c r="E633" t="s">
        <v>12302</v>
      </c>
      <c r="F633" s="1">
        <v>553529</v>
      </c>
      <c r="G633" s="1">
        <v>0</v>
      </c>
      <c r="H633" s="1">
        <v>1</v>
      </c>
      <c r="I633" s="1" t="s">
        <v>12303</v>
      </c>
      <c r="J633" t="s">
        <v>12304</v>
      </c>
    </row>
    <row r="634" spans="1:10">
      <c r="A634" s="1">
        <v>651422</v>
      </c>
      <c r="B634" s="1">
        <v>7633882486</v>
      </c>
      <c r="C634" s="1">
        <v>1</v>
      </c>
      <c r="D634" s="1" t="s">
        <v>11753</v>
      </c>
      <c r="E634" t="s">
        <v>12305</v>
      </c>
      <c r="F634" s="1">
        <v>347773</v>
      </c>
      <c r="G634" s="1">
        <v>2718200329</v>
      </c>
      <c r="H634" s="1">
        <v>1</v>
      </c>
      <c r="I634" s="1" t="s">
        <v>11997</v>
      </c>
      <c r="J634" t="s">
        <v>12306</v>
      </c>
    </row>
    <row r="635" spans="1:10">
      <c r="A635" s="1">
        <v>677542</v>
      </c>
      <c r="B635" s="1">
        <v>7663815510</v>
      </c>
      <c r="C635" s="1">
        <v>16</v>
      </c>
      <c r="D635" s="1" t="s">
        <v>1973</v>
      </c>
      <c r="E635" t="s">
        <v>12307</v>
      </c>
      <c r="F635" s="1">
        <v>393983</v>
      </c>
      <c r="G635" s="1">
        <v>0</v>
      </c>
      <c r="H635" s="1">
        <v>1</v>
      </c>
      <c r="I635" s="1" t="s">
        <v>12018</v>
      </c>
      <c r="J635" t="s">
        <v>12308</v>
      </c>
    </row>
    <row r="636" spans="1:10">
      <c r="A636" s="1">
        <v>470351</v>
      </c>
      <c r="B636" s="1">
        <v>7633815521</v>
      </c>
      <c r="C636" s="1">
        <v>16</v>
      </c>
      <c r="D636" s="1" t="s">
        <v>1973</v>
      </c>
      <c r="E636" t="s">
        <v>12309</v>
      </c>
      <c r="F636" s="1">
        <v>334276</v>
      </c>
      <c r="G636" s="1">
        <v>30116778110</v>
      </c>
      <c r="H636" s="1">
        <v>1</v>
      </c>
      <c r="I636" s="1" t="s">
        <v>10607</v>
      </c>
      <c r="J636" t="s">
        <v>12310</v>
      </c>
    </row>
    <row r="637" spans="1:10">
      <c r="A637" s="1">
        <v>268557</v>
      </c>
      <c r="B637" s="1">
        <v>7633815511</v>
      </c>
      <c r="C637" s="1">
        <v>16</v>
      </c>
      <c r="D637" s="1" t="s">
        <v>1973</v>
      </c>
      <c r="E637" t="s">
        <v>12311</v>
      </c>
      <c r="F637" s="1">
        <v>294835</v>
      </c>
      <c r="G637" s="1">
        <v>130110004</v>
      </c>
      <c r="H637" s="1">
        <v>1</v>
      </c>
      <c r="I637" s="1" t="s">
        <v>10607</v>
      </c>
      <c r="J637" t="s">
        <v>12312</v>
      </c>
    </row>
    <row r="638" spans="1:10">
      <c r="A638" s="1">
        <v>596320</v>
      </c>
      <c r="B638" s="1">
        <v>7633867201</v>
      </c>
      <c r="C638" s="1">
        <v>16</v>
      </c>
      <c r="D638" s="1" t="s">
        <v>1654</v>
      </c>
      <c r="E638" t="s">
        <v>12313</v>
      </c>
      <c r="F638" s="1">
        <v>264457</v>
      </c>
      <c r="G638" s="1">
        <v>1167881100</v>
      </c>
      <c r="H638" s="1">
        <v>1</v>
      </c>
      <c r="I638" s="1" t="s">
        <v>10607</v>
      </c>
      <c r="J638" t="s">
        <v>12314</v>
      </c>
    </row>
    <row r="639" spans="1:10">
      <c r="A639" s="1">
        <v>581215</v>
      </c>
      <c r="B639" s="1">
        <v>2718255906</v>
      </c>
      <c r="C639" s="1">
        <v>4</v>
      </c>
      <c r="D639" s="1" t="s">
        <v>4723</v>
      </c>
      <c r="E639" t="s">
        <v>12315</v>
      </c>
      <c r="F639" s="1">
        <v>516690</v>
      </c>
      <c r="G639" s="1">
        <v>7633813801</v>
      </c>
      <c r="H639" s="1">
        <v>1</v>
      </c>
      <c r="I639" s="1" t="s">
        <v>6810</v>
      </c>
      <c r="J639" t="s">
        <v>12316</v>
      </c>
    </row>
    <row r="640" spans="1:10">
      <c r="A640" s="1">
        <v>536961</v>
      </c>
      <c r="B640" s="1">
        <v>1153550231</v>
      </c>
      <c r="C640" s="1">
        <v>8</v>
      </c>
      <c r="D640" s="1" t="s">
        <v>399</v>
      </c>
      <c r="E640" t="s">
        <v>12317</v>
      </c>
      <c r="F640" s="1">
        <v>497594</v>
      </c>
      <c r="G640" s="1">
        <v>7633813881</v>
      </c>
      <c r="H640" s="1">
        <v>1</v>
      </c>
      <c r="I640" s="1" t="s">
        <v>12106</v>
      </c>
      <c r="J640" t="s">
        <v>12318</v>
      </c>
    </row>
    <row r="641" spans="1:10">
      <c r="A641" s="1">
        <v>269977</v>
      </c>
      <c r="B641" s="1">
        <v>1153550232</v>
      </c>
      <c r="C641" s="1">
        <v>8</v>
      </c>
      <c r="D641" s="1" t="s">
        <v>399</v>
      </c>
      <c r="E641" t="s">
        <v>12319</v>
      </c>
      <c r="F641" s="1">
        <v>651166</v>
      </c>
      <c r="G641" s="1">
        <v>3107107</v>
      </c>
      <c r="H641" s="1">
        <v>1</v>
      </c>
      <c r="I641" s="1" t="s">
        <v>12010</v>
      </c>
      <c r="J641" t="s">
        <v>12320</v>
      </c>
    </row>
    <row r="642" spans="1:10">
      <c r="A642" s="1">
        <v>707968</v>
      </c>
      <c r="B642" s="1">
        <v>1153550233</v>
      </c>
      <c r="C642" s="1">
        <v>8</v>
      </c>
      <c r="D642" s="1" t="s">
        <v>399</v>
      </c>
      <c r="E642" t="s">
        <v>12321</v>
      </c>
      <c r="F642" s="1">
        <v>652834</v>
      </c>
      <c r="G642" s="1">
        <v>20000052834</v>
      </c>
      <c r="H642" s="1">
        <v>1</v>
      </c>
      <c r="I642" s="1" t="s">
        <v>12039</v>
      </c>
      <c r="J642" t="s">
        <v>12322</v>
      </c>
    </row>
    <row r="643" spans="1:10">
      <c r="A643" s="1">
        <v>332858</v>
      </c>
      <c r="B643" s="1">
        <v>1153550230</v>
      </c>
      <c r="C643" s="1">
        <v>12</v>
      </c>
      <c r="D643" s="1" t="s">
        <v>381</v>
      </c>
      <c r="E643" t="s">
        <v>12323</v>
      </c>
      <c r="F643" s="1">
        <v>652420</v>
      </c>
      <c r="G643" s="1">
        <v>25226300000</v>
      </c>
      <c r="H643" s="1">
        <v>1</v>
      </c>
      <c r="I643" s="1" t="s">
        <v>12010</v>
      </c>
      <c r="J643" t="s">
        <v>12324</v>
      </c>
    </row>
    <row r="644" spans="1:10">
      <c r="A644" s="1">
        <v>511659</v>
      </c>
      <c r="B644" s="1">
        <v>1153550229</v>
      </c>
      <c r="C644" s="1">
        <v>12</v>
      </c>
      <c r="D644" s="1" t="s">
        <v>381</v>
      </c>
      <c r="E644" t="s">
        <v>12325</v>
      </c>
      <c r="F644" s="1">
        <v>656744</v>
      </c>
      <c r="G644" s="1">
        <v>0</v>
      </c>
      <c r="H644" s="1">
        <v>1</v>
      </c>
      <c r="I644" s="1" t="s">
        <v>6597</v>
      </c>
      <c r="J644" t="s">
        <v>12326</v>
      </c>
    </row>
    <row r="645" spans="1:10" ht="15.75">
      <c r="A645" s="4" t="s">
        <v>12272</v>
      </c>
      <c r="B645" s="2"/>
      <c r="C645" s="2"/>
      <c r="D645" s="2"/>
      <c r="E645" s="3"/>
      <c r="F645" s="1">
        <v>673285</v>
      </c>
      <c r="G645" s="1">
        <v>23797100093</v>
      </c>
      <c r="H645" s="1">
        <v>1</v>
      </c>
      <c r="I645" s="1" t="s">
        <v>12327</v>
      </c>
      <c r="J645" t="s">
        <v>12328</v>
      </c>
    </row>
    <row r="646" spans="1:10">
      <c r="A646" s="2" t="s">
        <v>0</v>
      </c>
      <c r="B646" s="2" t="s">
        <v>1</v>
      </c>
      <c r="C646" s="2" t="s">
        <v>2</v>
      </c>
      <c r="D646" s="2" t="s">
        <v>3</v>
      </c>
      <c r="E646" s="3" t="s">
        <v>4</v>
      </c>
      <c r="F646" s="1">
        <v>673277</v>
      </c>
      <c r="G646" s="1">
        <v>23797100094</v>
      </c>
      <c r="H646" s="1">
        <v>1</v>
      </c>
      <c r="I646" s="1" t="s">
        <v>12329</v>
      </c>
      <c r="J646" t="s">
        <v>12330</v>
      </c>
    </row>
    <row r="647" spans="1:10">
      <c r="A647" s="1">
        <v>725911</v>
      </c>
      <c r="B647" s="1">
        <v>20371337453</v>
      </c>
      <c r="C647" s="1">
        <v>1</v>
      </c>
      <c r="D647" s="1" t="s">
        <v>10607</v>
      </c>
      <c r="E647" t="s">
        <v>12331</v>
      </c>
      <c r="F647" s="1">
        <v>651570</v>
      </c>
      <c r="G647" s="1">
        <v>22129500000</v>
      </c>
      <c r="H647" s="1">
        <v>1</v>
      </c>
      <c r="I647" s="1" t="s">
        <v>4652</v>
      </c>
      <c r="J647" t="s">
        <v>12332</v>
      </c>
    </row>
    <row r="648" spans="1:10">
      <c r="A648" s="1">
        <v>651414</v>
      </c>
      <c r="B648" s="1">
        <v>20000051414</v>
      </c>
      <c r="C648" s="1">
        <v>1</v>
      </c>
      <c r="D648" s="1" t="s">
        <v>6727</v>
      </c>
      <c r="E648" t="s">
        <v>12333</v>
      </c>
      <c r="F648" s="1">
        <v>651224</v>
      </c>
      <c r="G648" s="1">
        <v>23178800000</v>
      </c>
      <c r="H648" s="1">
        <v>1</v>
      </c>
      <c r="I648" s="1" t="s">
        <v>6751</v>
      </c>
      <c r="J648" t="s">
        <v>12334</v>
      </c>
    </row>
    <row r="649" spans="1:10">
      <c r="A649" s="1">
        <v>693259</v>
      </c>
      <c r="B649" s="1">
        <v>20000000000</v>
      </c>
      <c r="C649" s="1">
        <v>1</v>
      </c>
      <c r="D649" s="1" t="s">
        <v>12335</v>
      </c>
      <c r="E649" t="s">
        <v>12336</v>
      </c>
      <c r="F649" s="1">
        <v>591875</v>
      </c>
      <c r="G649" s="1">
        <v>0</v>
      </c>
      <c r="H649" s="1">
        <v>1</v>
      </c>
      <c r="I649" s="1" t="s">
        <v>1973</v>
      </c>
      <c r="J649" t="s">
        <v>12337</v>
      </c>
    </row>
    <row r="650" spans="1:10">
      <c r="A650" s="1">
        <v>314062</v>
      </c>
      <c r="B650" s="1">
        <v>0</v>
      </c>
      <c r="C650" s="1">
        <v>1</v>
      </c>
      <c r="D650" s="1" t="s">
        <v>12338</v>
      </c>
      <c r="E650" t="s">
        <v>12339</v>
      </c>
      <c r="F650" s="1">
        <v>840074</v>
      </c>
      <c r="G650" s="1">
        <v>0</v>
      </c>
      <c r="H650" s="1">
        <v>1</v>
      </c>
      <c r="I650" s="1" t="s">
        <v>6751</v>
      </c>
      <c r="J650" t="s">
        <v>12340</v>
      </c>
    </row>
    <row r="651" spans="1:10">
      <c r="A651" s="1">
        <v>583617</v>
      </c>
      <c r="B651" s="1">
        <v>0</v>
      </c>
      <c r="C651" s="1">
        <v>1</v>
      </c>
      <c r="D651" s="1" t="s">
        <v>12010</v>
      </c>
      <c r="E651" t="s">
        <v>12341</v>
      </c>
      <c r="F651" s="1">
        <v>136101</v>
      </c>
      <c r="G651" s="1">
        <v>0</v>
      </c>
      <c r="H651" s="1">
        <v>1</v>
      </c>
      <c r="I651" s="1" t="s">
        <v>12342</v>
      </c>
      <c r="J651" t="s">
        <v>12343</v>
      </c>
    </row>
    <row r="652" spans="1:10">
      <c r="A652" s="1">
        <v>123166</v>
      </c>
      <c r="B652" s="1">
        <v>0</v>
      </c>
      <c r="C652" s="1">
        <v>1</v>
      </c>
      <c r="D652" s="1" t="s">
        <v>12338</v>
      </c>
      <c r="E652" t="s">
        <v>12344</v>
      </c>
      <c r="F652" s="1">
        <v>653691</v>
      </c>
      <c r="G652" s="1">
        <v>20118200000</v>
      </c>
      <c r="H652" s="1">
        <v>1</v>
      </c>
      <c r="I652" s="1" t="s">
        <v>6727</v>
      </c>
      <c r="J652" t="s">
        <v>12345</v>
      </c>
    </row>
    <row r="653" spans="1:10">
      <c r="A653" s="1">
        <v>177485</v>
      </c>
      <c r="B653" s="1">
        <v>0</v>
      </c>
      <c r="C653" s="1">
        <v>1</v>
      </c>
      <c r="D653" s="1" t="s">
        <v>8</v>
      </c>
      <c r="E653" t="s">
        <v>12346</v>
      </c>
      <c r="F653" s="1">
        <v>650903</v>
      </c>
      <c r="G653" s="1">
        <v>20177600000</v>
      </c>
      <c r="H653" s="1">
        <v>1</v>
      </c>
      <c r="I653" s="1" t="s">
        <v>6597</v>
      </c>
      <c r="J653" t="s">
        <v>12347</v>
      </c>
    </row>
    <row r="654" spans="1:10">
      <c r="A654" s="1">
        <v>650960</v>
      </c>
      <c r="B654" s="1">
        <v>1111188825</v>
      </c>
      <c r="C654" s="1">
        <v>1</v>
      </c>
      <c r="D654" s="1" t="s">
        <v>12010</v>
      </c>
      <c r="E654" t="s">
        <v>12348</v>
      </c>
      <c r="F654" s="1">
        <v>654863</v>
      </c>
      <c r="G654" s="1">
        <v>20179800000</v>
      </c>
      <c r="H654" s="1">
        <v>1</v>
      </c>
      <c r="I654" s="1" t="s">
        <v>4719</v>
      </c>
      <c r="J654" t="s">
        <v>12349</v>
      </c>
    </row>
    <row r="655" spans="1:10">
      <c r="A655" s="1">
        <v>782235</v>
      </c>
      <c r="B655" s="1">
        <v>22718214130</v>
      </c>
      <c r="C655" s="1">
        <v>20</v>
      </c>
      <c r="D655" s="1" t="s">
        <v>1973</v>
      </c>
      <c r="E655" t="s">
        <v>12350</v>
      </c>
      <c r="F655" s="1">
        <v>650390</v>
      </c>
      <c r="G655" s="1">
        <v>20176500000</v>
      </c>
      <c r="H655" s="1">
        <v>1</v>
      </c>
      <c r="I655" s="1" t="s">
        <v>6597</v>
      </c>
      <c r="J655" t="s">
        <v>12351</v>
      </c>
    </row>
    <row r="656" spans="1:10">
      <c r="A656" s="1">
        <v>651281</v>
      </c>
      <c r="B656" s="1">
        <v>1204604</v>
      </c>
      <c r="C656" s="1">
        <v>1</v>
      </c>
      <c r="D656" s="1" t="s">
        <v>12098</v>
      </c>
      <c r="E656" t="s">
        <v>12352</v>
      </c>
      <c r="F656" s="1">
        <v>655092</v>
      </c>
      <c r="G656" s="1">
        <v>22874912017</v>
      </c>
      <c r="H656" s="1">
        <v>1</v>
      </c>
      <c r="I656" s="1" t="s">
        <v>1973</v>
      </c>
      <c r="J656" t="s">
        <v>12353</v>
      </c>
    </row>
    <row r="657" spans="1:10">
      <c r="A657" s="1">
        <v>653782</v>
      </c>
      <c r="B657" s="1">
        <v>1206657</v>
      </c>
      <c r="C657" s="1">
        <v>1</v>
      </c>
      <c r="D657" s="1" t="s">
        <v>12010</v>
      </c>
      <c r="E657" t="s">
        <v>12354</v>
      </c>
      <c r="F657" s="1">
        <v>655043</v>
      </c>
      <c r="G657" s="1">
        <v>22874912018</v>
      </c>
      <c r="H657" s="1">
        <v>1</v>
      </c>
      <c r="I657" s="1" t="s">
        <v>1973</v>
      </c>
      <c r="J657" t="s">
        <v>12355</v>
      </c>
    </row>
    <row r="658" spans="1:10" ht="15.75">
      <c r="A658" s="4" t="s">
        <v>12272</v>
      </c>
      <c r="B658" s="2"/>
      <c r="C658" s="2"/>
      <c r="D658" s="2"/>
      <c r="E658" s="3"/>
      <c r="F658" s="4" t="s">
        <v>12356</v>
      </c>
      <c r="G658" s="2"/>
      <c r="H658" s="2"/>
      <c r="I658" s="2"/>
      <c r="J658" s="3"/>
    </row>
    <row r="659" spans="1:10">
      <c r="A659" s="2" t="s">
        <v>0</v>
      </c>
      <c r="B659" s="2" t="s">
        <v>1</v>
      </c>
      <c r="C659" s="2" t="s">
        <v>2</v>
      </c>
      <c r="D659" s="2" t="s">
        <v>3</v>
      </c>
      <c r="E659" s="3" t="s">
        <v>4</v>
      </c>
      <c r="F659" s="2" t="s">
        <v>0</v>
      </c>
      <c r="G659" s="2" t="s">
        <v>1</v>
      </c>
      <c r="H659" s="2" t="s">
        <v>2</v>
      </c>
      <c r="I659" s="2" t="s">
        <v>3</v>
      </c>
      <c r="J659" s="3" t="s">
        <v>4</v>
      </c>
    </row>
    <row r="660" spans="1:10">
      <c r="A660" s="1">
        <v>655084</v>
      </c>
      <c r="B660" s="1">
        <v>2874931527</v>
      </c>
      <c r="C660" s="1">
        <v>1</v>
      </c>
      <c r="D660" s="1" t="s">
        <v>1973</v>
      </c>
      <c r="E660" t="s">
        <v>12357</v>
      </c>
      <c r="F660" s="1">
        <v>331140</v>
      </c>
      <c r="G660" s="1">
        <v>85184746015</v>
      </c>
      <c r="H660" s="1">
        <v>12</v>
      </c>
      <c r="I660" s="1" t="s">
        <v>4815</v>
      </c>
      <c r="J660" t="s">
        <v>12358</v>
      </c>
    </row>
    <row r="661" spans="1:10">
      <c r="A661" s="1">
        <v>568006</v>
      </c>
      <c r="B661" s="1">
        <v>103422</v>
      </c>
      <c r="C661" s="1">
        <v>1</v>
      </c>
      <c r="D661" s="1" t="s">
        <v>12342</v>
      </c>
      <c r="E661" t="s">
        <v>12359</v>
      </c>
      <c r="F661" s="1">
        <v>830000</v>
      </c>
      <c r="G661" s="1">
        <v>8581413010</v>
      </c>
      <c r="H661" s="1">
        <v>5</v>
      </c>
      <c r="I661" s="1" t="s">
        <v>860</v>
      </c>
      <c r="J661" t="s">
        <v>12360</v>
      </c>
    </row>
    <row r="662" spans="1:10">
      <c r="A662" s="1">
        <v>263301</v>
      </c>
      <c r="B662" s="1">
        <v>7633838853</v>
      </c>
      <c r="C662" s="1">
        <v>1</v>
      </c>
      <c r="D662" s="1" t="s">
        <v>12033</v>
      </c>
      <c r="E662" t="s">
        <v>12361</v>
      </c>
      <c r="F662" s="1">
        <v>694471</v>
      </c>
      <c r="G662" s="1">
        <v>28518417275</v>
      </c>
      <c r="H662" s="1">
        <v>1</v>
      </c>
      <c r="I662" s="1" t="s">
        <v>12362</v>
      </c>
      <c r="J662" t="s">
        <v>12363</v>
      </c>
    </row>
    <row r="663" spans="1:10" ht="15.75">
      <c r="A663" s="1">
        <v>656439</v>
      </c>
      <c r="B663" s="1">
        <v>7904122115</v>
      </c>
      <c r="C663" s="1">
        <v>30</v>
      </c>
      <c r="D663" s="1" t="s">
        <v>1973</v>
      </c>
      <c r="E663" t="s">
        <v>12364</v>
      </c>
      <c r="F663" s="4" t="s">
        <v>12365</v>
      </c>
      <c r="G663" s="2"/>
      <c r="H663" s="2"/>
      <c r="I663" s="2"/>
      <c r="J663" s="3"/>
    </row>
    <row r="664" spans="1:10">
      <c r="A664" s="1">
        <v>322024</v>
      </c>
      <c r="B664" s="1">
        <v>4113081587</v>
      </c>
      <c r="C664" s="1">
        <v>12</v>
      </c>
      <c r="D664" s="1" t="s">
        <v>12366</v>
      </c>
      <c r="E664" t="s">
        <v>12367</v>
      </c>
      <c r="F664" s="2" t="s">
        <v>0</v>
      </c>
      <c r="G664" s="2" t="s">
        <v>1</v>
      </c>
      <c r="H664" s="2" t="s">
        <v>2</v>
      </c>
      <c r="I664" s="2" t="s">
        <v>3</v>
      </c>
      <c r="J664" s="3" t="s">
        <v>4</v>
      </c>
    </row>
    <row r="665" spans="1:10">
      <c r="A665" s="1">
        <v>554212</v>
      </c>
      <c r="B665" s="1">
        <v>4113081588</v>
      </c>
      <c r="C665" s="1">
        <v>12</v>
      </c>
      <c r="D665" s="1" t="s">
        <v>12366</v>
      </c>
      <c r="E665" t="s">
        <v>12368</v>
      </c>
      <c r="F665" s="1">
        <v>330415</v>
      </c>
      <c r="G665" s="1">
        <v>60445</v>
      </c>
      <c r="H665" s="1">
        <v>1</v>
      </c>
      <c r="I665" s="1" t="s">
        <v>12369</v>
      </c>
      <c r="J665" t="s">
        <v>12370</v>
      </c>
    </row>
    <row r="666" spans="1:10">
      <c r="A666" s="1">
        <v>829861</v>
      </c>
      <c r="B666" s="1">
        <v>83223700353</v>
      </c>
      <c r="C666" s="1">
        <v>8</v>
      </c>
      <c r="D666" s="1" t="s">
        <v>1973</v>
      </c>
      <c r="E666" t="s">
        <v>12371</v>
      </c>
      <c r="F666" s="1">
        <v>68866</v>
      </c>
      <c r="G666" s="1">
        <v>6060410</v>
      </c>
      <c r="H666" s="1">
        <v>1</v>
      </c>
      <c r="I666" s="1" t="s">
        <v>12369</v>
      </c>
      <c r="J666" t="s">
        <v>12372</v>
      </c>
    </row>
    <row r="667" spans="1:10">
      <c r="A667" s="1">
        <v>829911</v>
      </c>
      <c r="B667" s="1">
        <v>83223700001</v>
      </c>
      <c r="C667" s="1">
        <v>8</v>
      </c>
      <c r="D667" s="1" t="s">
        <v>938</v>
      </c>
      <c r="E667" t="s">
        <v>12373</v>
      </c>
      <c r="F667" s="1">
        <v>36384</v>
      </c>
      <c r="G667" s="1">
        <v>60533</v>
      </c>
      <c r="H667" s="1">
        <v>1</v>
      </c>
      <c r="I667" s="1" t="s">
        <v>12374</v>
      </c>
      <c r="J667" t="s">
        <v>12375</v>
      </c>
    </row>
    <row r="668" spans="1:10">
      <c r="A668" s="1">
        <v>829879</v>
      </c>
      <c r="B668" s="1">
        <v>83223700352</v>
      </c>
      <c r="C668" s="1">
        <v>8</v>
      </c>
      <c r="D668" s="1" t="s">
        <v>1973</v>
      </c>
      <c r="E668" t="s">
        <v>12376</v>
      </c>
      <c r="F668" s="1">
        <v>501288</v>
      </c>
      <c r="G668" s="1">
        <v>61013</v>
      </c>
      <c r="H668" s="1">
        <v>1</v>
      </c>
      <c r="I668" s="1" t="s">
        <v>12053</v>
      </c>
      <c r="J668" t="s">
        <v>12377</v>
      </c>
    </row>
    <row r="669" spans="1:10">
      <c r="A669" s="1">
        <v>829887</v>
      </c>
      <c r="B669" s="1">
        <v>83223700354</v>
      </c>
      <c r="C669" s="1">
        <v>8</v>
      </c>
      <c r="D669" s="1" t="s">
        <v>1973</v>
      </c>
      <c r="E669" t="s">
        <v>12378</v>
      </c>
      <c r="F669" s="1">
        <v>760223</v>
      </c>
      <c r="G669" s="1">
        <v>660106</v>
      </c>
      <c r="H669" s="1">
        <v>1</v>
      </c>
      <c r="I669" s="1" t="s">
        <v>12053</v>
      </c>
      <c r="J669" t="s">
        <v>12379</v>
      </c>
    </row>
    <row r="670" spans="1:10">
      <c r="A670" s="1">
        <v>829903</v>
      </c>
      <c r="B670" s="1">
        <v>83223700351</v>
      </c>
      <c r="C670" s="1">
        <v>8</v>
      </c>
      <c r="D670" s="1" t="s">
        <v>1973</v>
      </c>
      <c r="E670" t="s">
        <v>12380</v>
      </c>
      <c r="F670" s="1">
        <v>656918</v>
      </c>
      <c r="G670" s="1">
        <v>20000016015</v>
      </c>
      <c r="H670" s="1">
        <v>1</v>
      </c>
      <c r="I670" s="1" t="s">
        <v>12053</v>
      </c>
      <c r="J670" t="s">
        <v>12381</v>
      </c>
    </row>
    <row r="671" spans="1:10">
      <c r="A671" s="1">
        <v>829895</v>
      </c>
      <c r="B671" s="1">
        <v>83223700350</v>
      </c>
      <c r="C671" s="1">
        <v>8</v>
      </c>
      <c r="D671" s="1" t="s">
        <v>1973</v>
      </c>
      <c r="E671" t="s">
        <v>12382</v>
      </c>
      <c r="F671" s="1">
        <v>658823</v>
      </c>
      <c r="G671" s="1">
        <v>20000013003</v>
      </c>
      <c r="H671" s="1">
        <v>1</v>
      </c>
      <c r="I671" s="1" t="s">
        <v>12383</v>
      </c>
      <c r="J671" t="s">
        <v>12384</v>
      </c>
    </row>
    <row r="672" spans="1:10">
      <c r="A672" s="1">
        <v>829929</v>
      </c>
      <c r="B672" s="1">
        <v>83223700200</v>
      </c>
      <c r="C672" s="1">
        <v>8</v>
      </c>
      <c r="D672" s="1" t="s">
        <v>1656</v>
      </c>
      <c r="E672" t="s">
        <v>12385</v>
      </c>
      <c r="F672" s="1">
        <v>656306</v>
      </c>
      <c r="G672" s="1">
        <v>20000014021</v>
      </c>
      <c r="H672" s="1">
        <v>1</v>
      </c>
      <c r="I672" s="1" t="s">
        <v>6810</v>
      </c>
      <c r="J672" t="s">
        <v>12386</v>
      </c>
    </row>
    <row r="673" spans="1:10">
      <c r="A673" s="1">
        <v>477083</v>
      </c>
      <c r="B673" s="1">
        <v>76338338450</v>
      </c>
      <c r="C673" s="1">
        <v>1</v>
      </c>
      <c r="D673" s="1" t="s">
        <v>12033</v>
      </c>
      <c r="E673" t="s">
        <v>12387</v>
      </c>
      <c r="F673" s="1">
        <v>656231</v>
      </c>
      <c r="G673" s="1">
        <v>20000012011</v>
      </c>
      <c r="H673" s="1">
        <v>1</v>
      </c>
      <c r="I673" s="1" t="s">
        <v>12388</v>
      </c>
      <c r="J673" t="s">
        <v>12389</v>
      </c>
    </row>
    <row r="674" spans="1:10">
      <c r="A674" s="1">
        <v>650655</v>
      </c>
      <c r="B674" s="1">
        <v>23177900000</v>
      </c>
      <c r="C674" s="1">
        <v>1</v>
      </c>
      <c r="D674" s="1" t="s">
        <v>6600</v>
      </c>
      <c r="E674" t="s">
        <v>12390</v>
      </c>
      <c r="F674" s="1">
        <v>727958</v>
      </c>
      <c r="G674" s="1">
        <v>71749769334</v>
      </c>
      <c r="H674" s="1">
        <v>8</v>
      </c>
      <c r="I674" s="1" t="s">
        <v>8579</v>
      </c>
      <c r="J674" t="s">
        <v>12391</v>
      </c>
    </row>
    <row r="675" spans="1:10">
      <c r="A675" s="1">
        <v>651240</v>
      </c>
      <c r="B675" s="1">
        <v>20000051240</v>
      </c>
      <c r="C675" s="1">
        <v>1</v>
      </c>
      <c r="D675" s="1" t="s">
        <v>6751</v>
      </c>
      <c r="E675" t="s">
        <v>12392</v>
      </c>
      <c r="F675" s="1">
        <v>727966</v>
      </c>
      <c r="G675" s="1">
        <v>71749769110</v>
      </c>
      <c r="H675" s="1">
        <v>6</v>
      </c>
      <c r="I675" s="1" t="s">
        <v>11749</v>
      </c>
      <c r="J675" t="s">
        <v>12393</v>
      </c>
    </row>
    <row r="676" spans="1:10">
      <c r="A676" s="1">
        <v>651232</v>
      </c>
      <c r="B676" s="1">
        <v>23179900000</v>
      </c>
      <c r="C676" s="1">
        <v>1</v>
      </c>
      <c r="D676" s="1" t="s">
        <v>12394</v>
      </c>
      <c r="E676" t="s">
        <v>12395</v>
      </c>
      <c r="F676" s="1">
        <v>727941</v>
      </c>
      <c r="G676" s="1">
        <v>71749769465</v>
      </c>
      <c r="H676" s="1">
        <v>10</v>
      </c>
      <c r="I676" s="1" t="s">
        <v>1656</v>
      </c>
      <c r="J676" t="s">
        <v>12396</v>
      </c>
    </row>
    <row r="677" spans="1:10">
      <c r="A677" s="1">
        <v>651307</v>
      </c>
      <c r="B677" s="1">
        <v>20000051307</v>
      </c>
      <c r="C677" s="1">
        <v>1</v>
      </c>
      <c r="D677" s="1" t="s">
        <v>6751</v>
      </c>
      <c r="E677" t="s">
        <v>12397</v>
      </c>
      <c r="F677" s="1">
        <v>727982</v>
      </c>
      <c r="G677" s="1">
        <v>71749769262</v>
      </c>
      <c r="H677" s="1">
        <v>12</v>
      </c>
      <c r="I677" s="1" t="s">
        <v>7014</v>
      </c>
      <c r="J677" t="s">
        <v>12398</v>
      </c>
    </row>
    <row r="678" spans="1:10" ht="15.75">
      <c r="A678" s="4" t="s">
        <v>12356</v>
      </c>
      <c r="B678" s="2"/>
      <c r="C678" s="2"/>
      <c r="D678" s="2"/>
      <c r="E678" s="3"/>
      <c r="F678" s="1">
        <v>727974</v>
      </c>
      <c r="G678" s="1">
        <v>71749769425</v>
      </c>
      <c r="H678" s="1">
        <v>6</v>
      </c>
      <c r="I678" s="1" t="s">
        <v>6754</v>
      </c>
      <c r="J678" t="s">
        <v>12399</v>
      </c>
    </row>
    <row r="679" spans="1:10">
      <c r="A679" s="2" t="s">
        <v>0</v>
      </c>
      <c r="B679" s="2" t="s">
        <v>1</v>
      </c>
      <c r="C679" s="2" t="s">
        <v>2</v>
      </c>
      <c r="D679" s="2" t="s">
        <v>3</v>
      </c>
      <c r="E679" s="3" t="s">
        <v>4</v>
      </c>
      <c r="F679" s="1">
        <v>683136</v>
      </c>
      <c r="G679" s="1">
        <v>28518400000</v>
      </c>
      <c r="H679" s="1">
        <v>1</v>
      </c>
      <c r="I679" s="1" t="s">
        <v>12053</v>
      </c>
      <c r="J679" t="s">
        <v>12400</v>
      </c>
    </row>
    <row r="680" spans="1:10">
      <c r="A680" s="1">
        <v>398263</v>
      </c>
      <c r="B680" s="1">
        <v>40000000128</v>
      </c>
      <c r="C680" s="1">
        <v>1</v>
      </c>
      <c r="D680" s="1" t="s">
        <v>6600</v>
      </c>
      <c r="E680" t="s">
        <v>12401</v>
      </c>
      <c r="F680" s="1">
        <v>224758</v>
      </c>
      <c r="G680" s="1">
        <v>8518463263</v>
      </c>
      <c r="H680" s="1">
        <v>4</v>
      </c>
      <c r="I680" s="1" t="s">
        <v>1656</v>
      </c>
      <c r="J680" t="s">
        <v>12402</v>
      </c>
    </row>
    <row r="681" spans="1:10">
      <c r="A681" s="1">
        <v>489476</v>
      </c>
      <c r="B681" s="1">
        <v>548</v>
      </c>
      <c r="C681" s="1">
        <v>2</v>
      </c>
      <c r="D681" s="1" t="s">
        <v>4719</v>
      </c>
      <c r="E681" t="s">
        <v>12403</v>
      </c>
      <c r="F681" s="1">
        <v>224733</v>
      </c>
      <c r="G681" s="1">
        <v>8518464394</v>
      </c>
      <c r="H681" s="1">
        <v>12</v>
      </c>
      <c r="I681" s="1" t="s">
        <v>1654</v>
      </c>
      <c r="J681" t="s">
        <v>12404</v>
      </c>
    </row>
    <row r="682" spans="1:10">
      <c r="A682" s="1">
        <v>174201</v>
      </c>
      <c r="B682" s="1">
        <v>2696240309</v>
      </c>
      <c r="C682" s="1">
        <v>1</v>
      </c>
      <c r="D682" s="1" t="s">
        <v>347</v>
      </c>
      <c r="E682" t="s">
        <v>12405</v>
      </c>
      <c r="F682" s="1">
        <v>130054</v>
      </c>
      <c r="G682" s="1">
        <v>8518465715</v>
      </c>
      <c r="H682" s="1">
        <v>4</v>
      </c>
      <c r="I682" s="1" t="s">
        <v>1656</v>
      </c>
      <c r="J682" t="s">
        <v>12406</v>
      </c>
    </row>
    <row r="683" spans="1:10">
      <c r="A683" s="1">
        <v>366302</v>
      </c>
      <c r="B683" s="1">
        <v>2696240109</v>
      </c>
      <c r="C683" s="1">
        <v>1</v>
      </c>
      <c r="D683" s="1" t="s">
        <v>347</v>
      </c>
      <c r="E683" t="s">
        <v>12407</v>
      </c>
      <c r="F683" s="1">
        <v>650168</v>
      </c>
      <c r="G683" s="1">
        <v>20000085814</v>
      </c>
      <c r="H683" s="1">
        <v>1</v>
      </c>
      <c r="I683" s="1" t="s">
        <v>6733</v>
      </c>
      <c r="J683" t="s">
        <v>12408</v>
      </c>
    </row>
    <row r="684" spans="1:10">
      <c r="A684" s="1">
        <v>475855</v>
      </c>
      <c r="B684" s="1">
        <v>2696240209</v>
      </c>
      <c r="C684" s="1">
        <v>1</v>
      </c>
      <c r="D684" s="1" t="s">
        <v>347</v>
      </c>
      <c r="E684" t="s">
        <v>12409</v>
      </c>
      <c r="F684" s="1">
        <v>224741</v>
      </c>
      <c r="G684" s="1">
        <v>8518463308</v>
      </c>
      <c r="H684" s="1">
        <v>8</v>
      </c>
      <c r="I684" s="1" t="s">
        <v>1656</v>
      </c>
      <c r="J684" t="s">
        <v>12410</v>
      </c>
    </row>
    <row r="685" spans="1:10">
      <c r="A685" s="1">
        <v>498006</v>
      </c>
      <c r="B685" s="1">
        <v>0</v>
      </c>
      <c r="C685" s="1">
        <v>1</v>
      </c>
      <c r="D685" s="1" t="s">
        <v>6741</v>
      </c>
      <c r="E685" t="s">
        <v>12411</v>
      </c>
      <c r="F685" s="1">
        <v>672121</v>
      </c>
      <c r="G685" s="1">
        <v>0</v>
      </c>
      <c r="H685" s="1">
        <v>1</v>
      </c>
      <c r="I685" s="1" t="s">
        <v>1973</v>
      </c>
      <c r="J685" t="s">
        <v>12412</v>
      </c>
    </row>
    <row r="686" spans="1:10">
      <c r="A686" s="1">
        <v>758458</v>
      </c>
      <c r="B686" s="1">
        <v>8518474162</v>
      </c>
      <c r="C686" s="1">
        <v>10</v>
      </c>
      <c r="D686" s="1" t="s">
        <v>381</v>
      </c>
      <c r="E686" t="s">
        <v>12413</v>
      </c>
      <c r="F686" s="1">
        <v>655225</v>
      </c>
      <c r="G686" s="1">
        <v>20000000000</v>
      </c>
      <c r="H686" s="1">
        <v>1</v>
      </c>
      <c r="I686" s="1" t="s">
        <v>4719</v>
      </c>
      <c r="J686" t="s">
        <v>12414</v>
      </c>
    </row>
    <row r="687" spans="1:10">
      <c r="A687" s="1">
        <v>656454</v>
      </c>
      <c r="B687" s="1">
        <v>20000020011</v>
      </c>
      <c r="C687" s="1">
        <v>1</v>
      </c>
      <c r="D687" s="1" t="s">
        <v>6804</v>
      </c>
      <c r="E687" t="s">
        <v>12415</v>
      </c>
      <c r="F687" s="1">
        <v>218800</v>
      </c>
      <c r="G687" s="1">
        <v>85184679023</v>
      </c>
      <c r="H687" s="1">
        <v>10</v>
      </c>
      <c r="I687" s="1" t="s">
        <v>1973</v>
      </c>
      <c r="J687" t="s">
        <v>12416</v>
      </c>
    </row>
    <row r="688" spans="1:10">
      <c r="A688" s="1">
        <v>652842</v>
      </c>
      <c r="B688" s="1">
        <v>20000024002</v>
      </c>
      <c r="C688" s="1">
        <v>1</v>
      </c>
      <c r="D688" s="1" t="s">
        <v>12417</v>
      </c>
      <c r="E688" t="s">
        <v>12418</v>
      </c>
      <c r="F688" s="1">
        <v>694489</v>
      </c>
      <c r="G688" s="1">
        <v>28518467538</v>
      </c>
      <c r="H688" s="1">
        <v>1</v>
      </c>
      <c r="I688" s="1" t="s">
        <v>12369</v>
      </c>
      <c r="J688" t="s">
        <v>12419</v>
      </c>
    </row>
    <row r="689" spans="1:10">
      <c r="A689" s="1">
        <v>656884</v>
      </c>
      <c r="B689" s="1">
        <v>20000022002</v>
      </c>
      <c r="C689" s="1">
        <v>1</v>
      </c>
      <c r="D689" s="1" t="s">
        <v>6774</v>
      </c>
      <c r="E689" t="s">
        <v>12420</v>
      </c>
      <c r="F689" s="1">
        <v>673707</v>
      </c>
      <c r="G689" s="1">
        <v>28518464303</v>
      </c>
      <c r="H689" s="1">
        <v>1</v>
      </c>
      <c r="I689" s="1" t="s">
        <v>6760</v>
      </c>
      <c r="J689" t="s">
        <v>12421</v>
      </c>
    </row>
    <row r="690" spans="1:10">
      <c r="A690" s="1">
        <v>656355</v>
      </c>
      <c r="B690" s="1">
        <v>20000025004</v>
      </c>
      <c r="C690" s="1">
        <v>1</v>
      </c>
      <c r="D690" s="1" t="s">
        <v>12417</v>
      </c>
      <c r="E690" t="s">
        <v>12422</v>
      </c>
      <c r="F690" s="1">
        <v>654368</v>
      </c>
      <c r="G690" s="1">
        <v>28518465723</v>
      </c>
      <c r="H690" s="1">
        <v>1</v>
      </c>
      <c r="I690" s="1" t="s">
        <v>12423</v>
      </c>
      <c r="J690" t="s">
        <v>12424</v>
      </c>
    </row>
    <row r="691" spans="1:10">
      <c r="A691" s="1">
        <v>656652</v>
      </c>
      <c r="B691" s="1">
        <v>20000020004</v>
      </c>
      <c r="C691" s="1">
        <v>1</v>
      </c>
      <c r="D691" s="1" t="s">
        <v>11984</v>
      </c>
      <c r="E691" t="s">
        <v>12425</v>
      </c>
      <c r="F691" s="1">
        <v>694703</v>
      </c>
      <c r="G691" s="1">
        <v>28518465714</v>
      </c>
      <c r="H691" s="1">
        <v>1</v>
      </c>
      <c r="I691" s="1" t="s">
        <v>6744</v>
      </c>
      <c r="J691" t="s">
        <v>12426</v>
      </c>
    </row>
    <row r="692" spans="1:10">
      <c r="A692" s="1">
        <v>656405</v>
      </c>
      <c r="B692" s="1">
        <v>20000020010</v>
      </c>
      <c r="C692" s="1">
        <v>1</v>
      </c>
      <c r="D692" s="1" t="s">
        <v>12427</v>
      </c>
      <c r="E692" t="s">
        <v>12428</v>
      </c>
      <c r="F692" s="1">
        <v>694521</v>
      </c>
      <c r="G692" s="1">
        <v>28518464443</v>
      </c>
      <c r="H692" s="1">
        <v>1</v>
      </c>
      <c r="I692" s="1" t="s">
        <v>6741</v>
      </c>
      <c r="J692" t="s">
        <v>12429</v>
      </c>
    </row>
    <row r="693" spans="1:10">
      <c r="A693" s="1">
        <v>338855</v>
      </c>
      <c r="B693" s="1">
        <v>512</v>
      </c>
      <c r="C693" s="1">
        <v>1</v>
      </c>
      <c r="D693" s="1" t="s">
        <v>6774</v>
      </c>
      <c r="E693" t="s">
        <v>12430</v>
      </c>
      <c r="F693" s="1">
        <v>656470</v>
      </c>
      <c r="G693" s="1">
        <v>20000012019</v>
      </c>
      <c r="H693" s="1">
        <v>1</v>
      </c>
      <c r="I693" s="1" t="s">
        <v>11999</v>
      </c>
      <c r="J693" t="s">
        <v>12431</v>
      </c>
    </row>
    <row r="694" spans="1:10">
      <c r="A694" s="1">
        <v>228346</v>
      </c>
      <c r="B694" s="1">
        <v>8518416251</v>
      </c>
      <c r="C694" s="1">
        <v>5</v>
      </c>
      <c r="D694" s="1" t="s">
        <v>860</v>
      </c>
      <c r="E694" t="s">
        <v>12432</v>
      </c>
      <c r="F694" s="1">
        <v>893792</v>
      </c>
      <c r="G694" s="1">
        <v>85184676015</v>
      </c>
      <c r="H694" s="1">
        <v>12</v>
      </c>
      <c r="I694" s="1" t="s">
        <v>4815</v>
      </c>
      <c r="J694" t="s">
        <v>12433</v>
      </c>
    </row>
    <row r="695" spans="1:10">
      <c r="A695" s="1">
        <v>694000</v>
      </c>
      <c r="B695" s="1">
        <v>28518414075</v>
      </c>
      <c r="C695" s="1">
        <v>1</v>
      </c>
      <c r="D695" s="1" t="s">
        <v>12427</v>
      </c>
      <c r="E695" t="s">
        <v>12434</v>
      </c>
      <c r="F695" s="1">
        <v>130062</v>
      </c>
      <c r="G695" s="1">
        <v>8518465250</v>
      </c>
      <c r="H695" s="1">
        <v>2</v>
      </c>
      <c r="I695" s="1" t="s">
        <v>6760</v>
      </c>
      <c r="J695" t="s">
        <v>12435</v>
      </c>
    </row>
    <row r="696" spans="1:10">
      <c r="A696" s="1">
        <v>686022</v>
      </c>
      <c r="B696" s="1">
        <v>28518416475</v>
      </c>
      <c r="C696" s="1">
        <v>1</v>
      </c>
      <c r="D696" s="1" t="s">
        <v>12224</v>
      </c>
      <c r="E696" t="s">
        <v>12436</v>
      </c>
      <c r="F696" s="1">
        <v>650135</v>
      </c>
      <c r="G696" s="1">
        <v>28518463309</v>
      </c>
      <c r="H696" s="1">
        <v>1</v>
      </c>
      <c r="I696" s="1" t="s">
        <v>12394</v>
      </c>
      <c r="J696" t="s">
        <v>12437</v>
      </c>
    </row>
    <row r="697" spans="1:10">
      <c r="A697" s="1">
        <v>650192</v>
      </c>
      <c r="B697" s="1">
        <v>28518416478</v>
      </c>
      <c r="C697" s="1">
        <v>1</v>
      </c>
      <c r="D697" s="1" t="s">
        <v>6774</v>
      </c>
      <c r="E697" t="s">
        <v>12438</v>
      </c>
      <c r="F697" s="1">
        <v>695569</v>
      </c>
      <c r="G697" s="1">
        <v>28581464465</v>
      </c>
      <c r="H697" s="1">
        <v>1</v>
      </c>
      <c r="I697" s="1" t="s">
        <v>11984</v>
      </c>
      <c r="J697" t="s">
        <v>12439</v>
      </c>
    </row>
    <row r="698" spans="1:10">
      <c r="A698" s="1">
        <v>674804</v>
      </c>
      <c r="B698" s="1">
        <v>28518413001</v>
      </c>
      <c r="C698" s="1">
        <v>1</v>
      </c>
      <c r="D698" s="1" t="s">
        <v>6760</v>
      </c>
      <c r="E698" t="s">
        <v>12440</v>
      </c>
      <c r="F698" s="1">
        <v>728030</v>
      </c>
      <c r="G698" s="1">
        <v>8518490015</v>
      </c>
      <c r="H698" s="1">
        <v>12</v>
      </c>
      <c r="I698" s="1" t="s">
        <v>399</v>
      </c>
      <c r="J698" t="s">
        <v>12441</v>
      </c>
    </row>
    <row r="699" spans="1:10" ht="15.75">
      <c r="A699" s="4" t="s">
        <v>12365</v>
      </c>
      <c r="B699" s="2"/>
      <c r="C699" s="2"/>
      <c r="D699" s="2"/>
      <c r="E699" s="3"/>
      <c r="F699" s="4" t="s">
        <v>12442</v>
      </c>
      <c r="G699" s="2"/>
      <c r="H699" s="2"/>
      <c r="I699" s="2"/>
      <c r="J699" s="3"/>
    </row>
    <row r="700" spans="1:10">
      <c r="A700" s="2" t="s">
        <v>0</v>
      </c>
      <c r="B700" s="2" t="s">
        <v>1</v>
      </c>
      <c r="C700" s="2" t="s">
        <v>2</v>
      </c>
      <c r="D700" s="2" t="s">
        <v>3</v>
      </c>
      <c r="E700" s="3" t="s">
        <v>4</v>
      </c>
      <c r="F700" s="2" t="s">
        <v>0</v>
      </c>
      <c r="G700" s="2" t="s">
        <v>1</v>
      </c>
      <c r="H700" s="2" t="s">
        <v>2</v>
      </c>
      <c r="I700" s="2" t="s">
        <v>3</v>
      </c>
      <c r="J700" s="3" t="s">
        <v>4</v>
      </c>
    </row>
    <row r="701" spans="1:10">
      <c r="A701" s="1">
        <v>728022</v>
      </c>
      <c r="B701" s="1">
        <v>8518490010</v>
      </c>
      <c r="C701" s="1">
        <v>9</v>
      </c>
      <c r="D701" s="1" t="s">
        <v>347</v>
      </c>
      <c r="E701" t="s">
        <v>12443</v>
      </c>
      <c r="F701" s="1">
        <v>657189</v>
      </c>
      <c r="G701" s="1">
        <v>27080070644</v>
      </c>
      <c r="H701" s="1">
        <v>1</v>
      </c>
      <c r="I701" s="1" t="s">
        <v>6727</v>
      </c>
      <c r="J701" t="s">
        <v>12444</v>
      </c>
    </row>
    <row r="702" spans="1:10">
      <c r="A702" s="1">
        <v>652107</v>
      </c>
      <c r="B702" s="1">
        <v>28518452202</v>
      </c>
      <c r="C702" s="1">
        <v>1</v>
      </c>
      <c r="D702" s="1" t="s">
        <v>6729</v>
      </c>
      <c r="E702" t="s">
        <v>12445</v>
      </c>
      <c r="F702" s="1">
        <v>658344</v>
      </c>
      <c r="G702" s="1">
        <v>25318400924</v>
      </c>
      <c r="H702" s="1">
        <v>1</v>
      </c>
      <c r="I702" s="1" t="s">
        <v>12446</v>
      </c>
      <c r="J702" t="s">
        <v>12447</v>
      </c>
    </row>
    <row r="703" spans="1:10">
      <c r="A703" s="1">
        <v>700120</v>
      </c>
      <c r="B703" s="1">
        <v>63454100001</v>
      </c>
      <c r="C703" s="1">
        <v>1</v>
      </c>
      <c r="D703" s="1" t="s">
        <v>11999</v>
      </c>
      <c r="E703" t="s">
        <v>12448</v>
      </c>
      <c r="F703" s="1">
        <v>684480</v>
      </c>
      <c r="G703" s="1">
        <v>22718201113</v>
      </c>
      <c r="H703" s="1">
        <v>1</v>
      </c>
      <c r="I703" s="1" t="s">
        <v>12449</v>
      </c>
      <c r="J703" t="s">
        <v>12450</v>
      </c>
    </row>
    <row r="704" spans="1:10" ht="15.75">
      <c r="A704" s="4" t="s">
        <v>12451</v>
      </c>
      <c r="B704" s="2"/>
      <c r="C704" s="2"/>
      <c r="D704" s="2"/>
      <c r="E704" s="3"/>
      <c r="F704" s="1">
        <v>429704</v>
      </c>
      <c r="G704" s="1">
        <v>70644</v>
      </c>
      <c r="H704" s="1">
        <v>1</v>
      </c>
      <c r="I704" s="1" t="s">
        <v>12018</v>
      </c>
      <c r="J704" t="s">
        <v>12452</v>
      </c>
    </row>
    <row r="705" spans="1:10">
      <c r="A705" s="2" t="s">
        <v>0</v>
      </c>
      <c r="B705" s="2" t="s">
        <v>1</v>
      </c>
      <c r="C705" s="2" t="s">
        <v>2</v>
      </c>
      <c r="D705" s="2" t="s">
        <v>3</v>
      </c>
      <c r="E705" s="3" t="s">
        <v>4</v>
      </c>
      <c r="F705" s="1">
        <v>657874</v>
      </c>
      <c r="G705" s="1">
        <v>20000057874</v>
      </c>
      <c r="H705" s="1">
        <v>1</v>
      </c>
      <c r="I705" s="1" t="s">
        <v>12338</v>
      </c>
      <c r="J705" t="s">
        <v>12453</v>
      </c>
    </row>
    <row r="706" spans="1:10">
      <c r="A706" s="1">
        <v>727792</v>
      </c>
      <c r="B706" s="1">
        <v>7091901183</v>
      </c>
      <c r="C706" s="1">
        <v>1</v>
      </c>
      <c r="D706" s="1" t="s">
        <v>12394</v>
      </c>
      <c r="E706" t="s">
        <v>12454</v>
      </c>
      <c r="F706" s="1">
        <v>776971</v>
      </c>
      <c r="G706" s="1">
        <v>82962611124</v>
      </c>
      <c r="H706" s="1">
        <v>10</v>
      </c>
      <c r="I706" s="1" t="s">
        <v>439</v>
      </c>
      <c r="J706" t="s">
        <v>12455</v>
      </c>
    </row>
    <row r="707" spans="1:10">
      <c r="A707" s="1">
        <v>17095</v>
      </c>
      <c r="B707" s="1">
        <v>3760025836</v>
      </c>
      <c r="C707" s="1">
        <v>4</v>
      </c>
      <c r="D707" s="1" t="s">
        <v>1973</v>
      </c>
      <c r="E707" t="s">
        <v>12456</v>
      </c>
      <c r="F707" s="1">
        <v>680538</v>
      </c>
      <c r="G707" s="1">
        <v>78533102194</v>
      </c>
      <c r="H707" s="1">
        <v>8</v>
      </c>
      <c r="I707" s="1" t="s">
        <v>1366</v>
      </c>
      <c r="J707" t="s">
        <v>12457</v>
      </c>
    </row>
    <row r="708" spans="1:10">
      <c r="A708" s="1">
        <v>321141</v>
      </c>
      <c r="B708" s="1">
        <v>3760049767</v>
      </c>
      <c r="C708" s="1">
        <v>4</v>
      </c>
      <c r="D708" s="1" t="s">
        <v>12458</v>
      </c>
      <c r="E708" t="s">
        <v>12459</v>
      </c>
      <c r="F708" s="1">
        <v>662015</v>
      </c>
      <c r="G708" s="1">
        <v>24500003793</v>
      </c>
      <c r="H708" s="1">
        <v>1</v>
      </c>
      <c r="I708" s="1" t="s">
        <v>12460</v>
      </c>
      <c r="J708" t="s">
        <v>12461</v>
      </c>
    </row>
    <row r="709" spans="1:10">
      <c r="A709" s="1">
        <v>478321</v>
      </c>
      <c r="B709" s="1">
        <v>7080013362</v>
      </c>
      <c r="C709" s="1">
        <v>6</v>
      </c>
      <c r="D709" s="1" t="s">
        <v>954</v>
      </c>
      <c r="E709" t="s">
        <v>12462</v>
      </c>
      <c r="F709" s="1">
        <v>698308</v>
      </c>
      <c r="G709" s="1">
        <v>20000000000</v>
      </c>
      <c r="H709" s="1">
        <v>1</v>
      </c>
      <c r="I709" s="1" t="s">
        <v>4719</v>
      </c>
      <c r="J709" t="s">
        <v>12463</v>
      </c>
    </row>
    <row r="710" spans="1:10">
      <c r="A710" s="1">
        <v>811224</v>
      </c>
      <c r="B710" s="1">
        <v>7080013363</v>
      </c>
      <c r="C710" s="1">
        <v>6</v>
      </c>
      <c r="D710" s="1" t="s">
        <v>954</v>
      </c>
      <c r="E710" t="s">
        <v>12464</v>
      </c>
      <c r="F710" s="1">
        <v>440925</v>
      </c>
      <c r="G710" s="1">
        <v>4350085057</v>
      </c>
      <c r="H710" s="1">
        <v>15</v>
      </c>
      <c r="I710" s="1" t="s">
        <v>381</v>
      </c>
      <c r="J710" t="s">
        <v>12465</v>
      </c>
    </row>
    <row r="711" spans="1:10">
      <c r="A711" s="1">
        <v>56424</v>
      </c>
      <c r="B711" s="1">
        <v>7080013512</v>
      </c>
      <c r="C711" s="1">
        <v>6</v>
      </c>
      <c r="D711" s="1" t="s">
        <v>954</v>
      </c>
      <c r="E711" t="s">
        <v>12466</v>
      </c>
      <c r="F711" s="1">
        <v>398586</v>
      </c>
      <c r="G711" s="1">
        <v>7050540220</v>
      </c>
      <c r="H711" s="1">
        <v>1</v>
      </c>
      <c r="I711" s="1" t="s">
        <v>4652</v>
      </c>
      <c r="J711" t="s">
        <v>12467</v>
      </c>
    </row>
    <row r="712" spans="1:10">
      <c r="A712" s="1">
        <v>107748</v>
      </c>
      <c r="B712" s="1">
        <v>7080079292</v>
      </c>
      <c r="C712" s="1">
        <v>6</v>
      </c>
      <c r="D712" s="1" t="s">
        <v>4658</v>
      </c>
      <c r="E712" t="s">
        <v>12468</v>
      </c>
      <c r="F712" s="1">
        <v>696153</v>
      </c>
      <c r="G712" s="1">
        <v>27080079442</v>
      </c>
      <c r="H712" s="1">
        <v>1</v>
      </c>
      <c r="I712" s="1" t="s">
        <v>6772</v>
      </c>
      <c r="J712" t="s">
        <v>12469</v>
      </c>
    </row>
    <row r="713" spans="1:10">
      <c r="A713" s="1">
        <v>205534</v>
      </c>
      <c r="B713" s="1">
        <v>7080072260</v>
      </c>
      <c r="C713" s="1">
        <v>6</v>
      </c>
      <c r="D713" s="1" t="s">
        <v>4658</v>
      </c>
      <c r="E713" t="s">
        <v>12470</v>
      </c>
      <c r="F713" s="1">
        <v>660605</v>
      </c>
      <c r="G713" s="1">
        <v>27080071646</v>
      </c>
      <c r="H713" s="1">
        <v>1</v>
      </c>
      <c r="I713" s="1" t="s">
        <v>12427</v>
      </c>
      <c r="J713" t="s">
        <v>12471</v>
      </c>
    </row>
    <row r="714" spans="1:10">
      <c r="A714" s="1">
        <v>3319</v>
      </c>
      <c r="B714" s="1">
        <v>7080074682</v>
      </c>
      <c r="C714" s="1">
        <v>8</v>
      </c>
      <c r="D714" s="1" t="s">
        <v>12472</v>
      </c>
      <c r="E714" t="s">
        <v>12473</v>
      </c>
      <c r="F714" s="1">
        <v>657775</v>
      </c>
      <c r="G714" s="1">
        <v>27080070857</v>
      </c>
      <c r="H714" s="1">
        <v>1</v>
      </c>
      <c r="I714" s="1" t="s">
        <v>12388</v>
      </c>
      <c r="J714" t="s">
        <v>12474</v>
      </c>
    </row>
    <row r="715" spans="1:10">
      <c r="A715" s="1">
        <v>394536</v>
      </c>
      <c r="B715" s="1">
        <v>7080004920</v>
      </c>
      <c r="C715" s="1">
        <v>4</v>
      </c>
      <c r="D715" s="1" t="s">
        <v>4719</v>
      </c>
      <c r="E715" t="s">
        <v>12475</v>
      </c>
      <c r="F715" s="1">
        <v>659219</v>
      </c>
      <c r="G715" s="1">
        <v>27080070613</v>
      </c>
      <c r="H715" s="1">
        <v>1</v>
      </c>
      <c r="I715" s="1" t="s">
        <v>12029</v>
      </c>
      <c r="J715" t="s">
        <v>12476</v>
      </c>
    </row>
    <row r="716" spans="1:10">
      <c r="A716" s="1">
        <v>178871</v>
      </c>
      <c r="B716" s="1">
        <v>7080071006</v>
      </c>
      <c r="C716" s="1">
        <v>8</v>
      </c>
      <c r="D716" s="1" t="s">
        <v>12477</v>
      </c>
      <c r="E716" t="s">
        <v>12478</v>
      </c>
      <c r="F716" s="1">
        <v>657445</v>
      </c>
      <c r="G716" s="1">
        <v>27080070659</v>
      </c>
      <c r="H716" s="1">
        <v>1</v>
      </c>
      <c r="I716" s="1" t="s">
        <v>12039</v>
      </c>
      <c r="J716" t="s">
        <v>12479</v>
      </c>
    </row>
    <row r="717" spans="1:10">
      <c r="A717" s="1">
        <v>837542</v>
      </c>
      <c r="B717" s="1">
        <v>7080071009</v>
      </c>
      <c r="C717" s="1">
        <v>8</v>
      </c>
      <c r="D717" s="1" t="s">
        <v>12480</v>
      </c>
      <c r="E717" t="s">
        <v>12481</v>
      </c>
      <c r="F717" s="1">
        <v>652297</v>
      </c>
      <c r="G717" s="1">
        <v>27080070206</v>
      </c>
      <c r="H717" s="1">
        <v>1</v>
      </c>
      <c r="I717" s="1" t="s">
        <v>11997</v>
      </c>
      <c r="J717" t="s">
        <v>12482</v>
      </c>
    </row>
    <row r="718" spans="1:10">
      <c r="A718" s="1">
        <v>642371</v>
      </c>
      <c r="B718" s="1">
        <v>7080071008</v>
      </c>
      <c r="C718" s="1">
        <v>8</v>
      </c>
      <c r="D718" s="1" t="s">
        <v>12480</v>
      </c>
      <c r="E718" t="s">
        <v>12483</v>
      </c>
      <c r="F718" s="1">
        <v>657122</v>
      </c>
      <c r="G718" s="1">
        <v>27080070621</v>
      </c>
      <c r="H718" s="1">
        <v>1</v>
      </c>
      <c r="I718" s="1" t="s">
        <v>12484</v>
      </c>
      <c r="J718" t="s">
        <v>12485</v>
      </c>
    </row>
    <row r="719" spans="1:10">
      <c r="A719" s="1">
        <v>236968</v>
      </c>
      <c r="B719" s="1">
        <v>7080074005</v>
      </c>
      <c r="C719" s="1">
        <v>8</v>
      </c>
      <c r="D719" s="1" t="s">
        <v>12477</v>
      </c>
      <c r="E719" t="s">
        <v>12486</v>
      </c>
      <c r="F719" s="1">
        <v>657908</v>
      </c>
      <c r="G719" s="1">
        <v>27080070611</v>
      </c>
      <c r="H719" s="1">
        <v>1</v>
      </c>
      <c r="I719" s="1" t="s">
        <v>12335</v>
      </c>
      <c r="J719" t="s">
        <v>12487</v>
      </c>
    </row>
    <row r="720" spans="1:10">
      <c r="A720" s="1">
        <v>478263</v>
      </c>
      <c r="B720" s="1">
        <v>7080074691</v>
      </c>
      <c r="C720" s="1">
        <v>10</v>
      </c>
      <c r="D720" s="1" t="s">
        <v>12488</v>
      </c>
      <c r="E720" t="s">
        <v>12489</v>
      </c>
      <c r="F720" s="1">
        <v>657882</v>
      </c>
      <c r="G720" s="1">
        <v>27080070609</v>
      </c>
      <c r="H720" s="1">
        <v>1</v>
      </c>
      <c r="I720" s="1" t="s">
        <v>12383</v>
      </c>
      <c r="J720" t="s">
        <v>12490</v>
      </c>
    </row>
    <row r="721" spans="1:10">
      <c r="A721" s="1">
        <v>478206</v>
      </c>
      <c r="B721" s="1">
        <v>7080074689</v>
      </c>
      <c r="C721" s="1">
        <v>10</v>
      </c>
      <c r="D721" s="1" t="s">
        <v>12488</v>
      </c>
      <c r="E721" t="s">
        <v>12491</v>
      </c>
      <c r="F721" s="1">
        <v>658260</v>
      </c>
      <c r="G721" s="1">
        <v>27080070644</v>
      </c>
      <c r="H721" s="1">
        <v>1</v>
      </c>
      <c r="I721" s="1" t="s">
        <v>6727</v>
      </c>
      <c r="J721" t="s">
        <v>12492</v>
      </c>
    </row>
    <row r="722" spans="1:10">
      <c r="A722" s="1">
        <v>530980</v>
      </c>
      <c r="B722" s="1">
        <v>7080013905</v>
      </c>
      <c r="C722" s="1">
        <v>8</v>
      </c>
      <c r="D722" s="1" t="s">
        <v>1973</v>
      </c>
      <c r="E722" t="s">
        <v>12493</v>
      </c>
      <c r="F722" s="1">
        <v>657684</v>
      </c>
      <c r="G722" s="1">
        <v>27080070606</v>
      </c>
      <c r="H722" s="1">
        <v>1</v>
      </c>
      <c r="I722" s="1" t="s">
        <v>12338</v>
      </c>
      <c r="J722" t="s">
        <v>12494</v>
      </c>
    </row>
    <row r="723" spans="1:10">
      <c r="A723" s="1">
        <v>447375</v>
      </c>
      <c r="B723" s="1">
        <v>7080072262</v>
      </c>
      <c r="C723" s="1">
        <v>6</v>
      </c>
      <c r="D723" s="1" t="s">
        <v>4815</v>
      </c>
      <c r="E723" t="s">
        <v>12495</v>
      </c>
      <c r="F723" s="1">
        <v>383018</v>
      </c>
      <c r="G723" s="1">
        <v>70800770858</v>
      </c>
      <c r="H723" s="1">
        <v>1</v>
      </c>
      <c r="I723" s="1" t="s">
        <v>6810</v>
      </c>
      <c r="J723" t="s">
        <v>12496</v>
      </c>
    </row>
    <row r="724" spans="1:10">
      <c r="A724" s="1">
        <v>758565</v>
      </c>
      <c r="B724" s="1">
        <v>7080071112</v>
      </c>
      <c r="C724" s="1">
        <v>8</v>
      </c>
      <c r="D724" s="1" t="s">
        <v>12477</v>
      </c>
      <c r="E724" t="s">
        <v>12497</v>
      </c>
      <c r="F724" s="1">
        <v>497800</v>
      </c>
      <c r="G724" s="1">
        <v>70800771602</v>
      </c>
      <c r="H724" s="1">
        <v>1</v>
      </c>
      <c r="I724" s="1" t="s">
        <v>11999</v>
      </c>
      <c r="J724" t="s">
        <v>12498</v>
      </c>
    </row>
    <row r="725" spans="1:10">
      <c r="A725" s="1">
        <v>743070</v>
      </c>
      <c r="B725" s="1">
        <v>7080071113</v>
      </c>
      <c r="C725" s="1">
        <v>8</v>
      </c>
      <c r="D725" s="1" t="s">
        <v>12480</v>
      </c>
      <c r="E725" t="s">
        <v>12499</v>
      </c>
      <c r="F725" s="1">
        <v>747238</v>
      </c>
      <c r="G725" s="1">
        <v>70800770636</v>
      </c>
      <c r="H725" s="1">
        <v>1</v>
      </c>
      <c r="I725" s="1" t="s">
        <v>12329</v>
      </c>
      <c r="J725" t="s">
        <v>12500</v>
      </c>
    </row>
    <row r="726" spans="1:10">
      <c r="A726" s="1">
        <v>290288</v>
      </c>
      <c r="B726" s="1">
        <v>7080074662</v>
      </c>
      <c r="C726" s="1">
        <v>10</v>
      </c>
      <c r="D726" s="1" t="s">
        <v>12458</v>
      </c>
      <c r="E726" t="s">
        <v>12501</v>
      </c>
      <c r="F726" s="1">
        <v>665489</v>
      </c>
      <c r="G726" s="1">
        <v>7080008122</v>
      </c>
      <c r="H726" s="1">
        <v>1</v>
      </c>
      <c r="I726" s="1" t="s">
        <v>12010</v>
      </c>
      <c r="J726" t="s">
        <v>12502</v>
      </c>
    </row>
    <row r="727" spans="1:10">
      <c r="A727" s="1">
        <v>478610</v>
      </c>
      <c r="B727" s="1">
        <v>7080074690</v>
      </c>
      <c r="C727" s="1">
        <v>10</v>
      </c>
      <c r="D727" s="1" t="s">
        <v>12488</v>
      </c>
      <c r="E727" t="s">
        <v>12503</v>
      </c>
      <c r="F727" s="1">
        <v>661769</v>
      </c>
      <c r="G727" s="1">
        <v>27080003760</v>
      </c>
      <c r="H727" s="1">
        <v>1</v>
      </c>
      <c r="I727" s="1" t="s">
        <v>12504</v>
      </c>
      <c r="J727" t="s">
        <v>12505</v>
      </c>
    </row>
    <row r="728" spans="1:10">
      <c r="A728" s="1">
        <v>215731</v>
      </c>
      <c r="B728" s="1">
        <v>7080074679</v>
      </c>
      <c r="C728" s="1">
        <v>8</v>
      </c>
      <c r="D728" s="1" t="s">
        <v>12472</v>
      </c>
      <c r="E728" t="s">
        <v>12506</v>
      </c>
      <c r="F728" s="1">
        <v>67512</v>
      </c>
      <c r="G728" s="1">
        <v>79233881731</v>
      </c>
      <c r="H728" s="1">
        <v>16</v>
      </c>
      <c r="I728" s="1" t="s">
        <v>1654</v>
      </c>
      <c r="J728" t="s">
        <v>12507</v>
      </c>
    </row>
    <row r="729" spans="1:10" ht="15.75">
      <c r="A729" s="1">
        <v>658906</v>
      </c>
      <c r="B729" s="1">
        <v>7080074683</v>
      </c>
      <c r="C729" s="1">
        <v>8</v>
      </c>
      <c r="D729" s="1" t="s">
        <v>12472</v>
      </c>
      <c r="E729" t="s">
        <v>12508</v>
      </c>
      <c r="F729" s="4" t="s">
        <v>12509</v>
      </c>
      <c r="G729" s="2"/>
      <c r="H729" s="2"/>
      <c r="I729" s="2"/>
      <c r="J729" s="3"/>
    </row>
    <row r="730" spans="1:10">
      <c r="A730" s="1">
        <v>284893</v>
      </c>
      <c r="B730" s="1">
        <v>1153591053</v>
      </c>
      <c r="C730" s="1">
        <v>4</v>
      </c>
      <c r="D730" s="1" t="s">
        <v>12510</v>
      </c>
      <c r="E730" t="s">
        <v>12511</v>
      </c>
      <c r="F730" s="2" t="s">
        <v>0</v>
      </c>
      <c r="G730" s="2" t="s">
        <v>1</v>
      </c>
      <c r="H730" s="2" t="s">
        <v>2</v>
      </c>
      <c r="I730" s="2" t="s">
        <v>3</v>
      </c>
      <c r="J730" s="3" t="s">
        <v>4</v>
      </c>
    </row>
    <row r="731" spans="1:10">
      <c r="A731" s="1">
        <v>186585</v>
      </c>
      <c r="B731" s="1">
        <v>1153550243</v>
      </c>
      <c r="C731" s="1">
        <v>8</v>
      </c>
      <c r="D731" s="1" t="s">
        <v>12512</v>
      </c>
      <c r="E731" t="s">
        <v>12513</v>
      </c>
      <c r="F731" s="1">
        <v>58834</v>
      </c>
      <c r="G731" s="1">
        <v>0</v>
      </c>
      <c r="H731" s="1">
        <v>6</v>
      </c>
      <c r="I731" s="1" t="s">
        <v>6760</v>
      </c>
      <c r="J731" t="s">
        <v>12514</v>
      </c>
    </row>
    <row r="732" spans="1:10" ht="15.75">
      <c r="A732" s="4" t="s">
        <v>12442</v>
      </c>
      <c r="B732" s="2"/>
      <c r="C732" s="2"/>
      <c r="D732" s="2"/>
      <c r="E732" s="3"/>
      <c r="F732" s="1">
        <v>666859</v>
      </c>
      <c r="G732" s="1">
        <v>22718201114</v>
      </c>
      <c r="H732" s="1">
        <v>1</v>
      </c>
      <c r="I732" s="1" t="s">
        <v>12329</v>
      </c>
      <c r="J732" t="s">
        <v>12515</v>
      </c>
    </row>
    <row r="733" spans="1:10">
      <c r="A733" s="2" t="s">
        <v>0</v>
      </c>
      <c r="B733" s="2" t="s">
        <v>1</v>
      </c>
      <c r="C733" s="2" t="s">
        <v>2</v>
      </c>
      <c r="D733" s="2" t="s">
        <v>3</v>
      </c>
      <c r="E733" s="3" t="s">
        <v>4</v>
      </c>
      <c r="F733" s="1">
        <v>652305</v>
      </c>
      <c r="G733" s="1">
        <v>24199100000</v>
      </c>
      <c r="H733" s="1">
        <v>1</v>
      </c>
      <c r="I733" s="1" t="s">
        <v>12516</v>
      </c>
      <c r="J733" t="s">
        <v>12517</v>
      </c>
    </row>
    <row r="734" spans="1:10">
      <c r="A734" s="1">
        <v>828681</v>
      </c>
      <c r="B734" s="1">
        <v>2455751010</v>
      </c>
      <c r="C734" s="1">
        <v>1</v>
      </c>
      <c r="D734" s="1" t="s">
        <v>4719</v>
      </c>
      <c r="E734" t="s">
        <v>12518</v>
      </c>
      <c r="F734" s="1">
        <v>696252</v>
      </c>
      <c r="G734" s="1">
        <v>22718201113</v>
      </c>
      <c r="H734" s="1">
        <v>1</v>
      </c>
      <c r="I734" s="1" t="s">
        <v>6774</v>
      </c>
      <c r="J734" t="s">
        <v>12519</v>
      </c>
    </row>
    <row r="735" spans="1:10">
      <c r="A735" s="1">
        <v>381020</v>
      </c>
      <c r="B735" s="1">
        <v>56140000003</v>
      </c>
      <c r="C735" s="1">
        <v>1</v>
      </c>
      <c r="D735" s="1" t="s">
        <v>4719</v>
      </c>
      <c r="E735" t="s">
        <v>12520</v>
      </c>
      <c r="F735" s="1">
        <v>657627</v>
      </c>
      <c r="G735" s="1">
        <v>20000057627</v>
      </c>
      <c r="H735" s="1">
        <v>1</v>
      </c>
      <c r="I735" s="1" t="s">
        <v>12521</v>
      </c>
      <c r="J735" t="s">
        <v>12522</v>
      </c>
    </row>
    <row r="736" spans="1:10">
      <c r="A736" s="1">
        <v>568972</v>
      </c>
      <c r="B736" s="1">
        <v>65614000010</v>
      </c>
      <c r="C736" s="1">
        <v>10</v>
      </c>
      <c r="D736" s="1" t="s">
        <v>1973</v>
      </c>
      <c r="E736" t="s">
        <v>12523</v>
      </c>
      <c r="F736" s="1">
        <v>231308</v>
      </c>
      <c r="G736" s="1">
        <v>2</v>
      </c>
      <c r="H736" s="1">
        <v>1</v>
      </c>
      <c r="I736" s="1" t="s">
        <v>8</v>
      </c>
      <c r="J736" t="s">
        <v>12524</v>
      </c>
    </row>
    <row r="737" spans="1:10">
      <c r="A737" s="1">
        <v>685834</v>
      </c>
      <c r="B737" s="1">
        <v>20000000000</v>
      </c>
      <c r="C737" s="1">
        <v>1</v>
      </c>
      <c r="D737" s="1" t="s">
        <v>12383</v>
      </c>
      <c r="E737" t="s">
        <v>12525</v>
      </c>
      <c r="F737" s="1">
        <v>650218</v>
      </c>
      <c r="G737" s="1">
        <v>22127000000</v>
      </c>
      <c r="H737" s="1">
        <v>1</v>
      </c>
      <c r="I737" s="1" t="s">
        <v>12516</v>
      </c>
      <c r="J737" t="s">
        <v>12526</v>
      </c>
    </row>
    <row r="738" spans="1:10">
      <c r="A738" s="1">
        <v>685883</v>
      </c>
      <c r="B738" s="1">
        <v>22718201115</v>
      </c>
      <c r="C738" s="1">
        <v>1</v>
      </c>
      <c r="D738" s="1" t="s">
        <v>12101</v>
      </c>
      <c r="E738" t="s">
        <v>12527</v>
      </c>
      <c r="F738" s="1">
        <v>679886</v>
      </c>
      <c r="G738" s="1">
        <v>22718200000</v>
      </c>
      <c r="H738" s="1">
        <v>1</v>
      </c>
      <c r="I738" s="1" t="s">
        <v>12145</v>
      </c>
      <c r="J738" t="s">
        <v>12528</v>
      </c>
    </row>
    <row r="739" spans="1:10">
      <c r="A739" s="1">
        <v>823724</v>
      </c>
      <c r="B739" s="1">
        <v>22874900000</v>
      </c>
      <c r="C739" s="1">
        <v>30</v>
      </c>
      <c r="D739" s="1" t="s">
        <v>1973</v>
      </c>
      <c r="E739" t="s">
        <v>12529</v>
      </c>
      <c r="F739" s="1">
        <v>659201</v>
      </c>
      <c r="G739" s="1">
        <v>20000036012</v>
      </c>
      <c r="H739" s="1">
        <v>1</v>
      </c>
      <c r="I739" s="1" t="s">
        <v>6774</v>
      </c>
      <c r="J739" t="s">
        <v>12530</v>
      </c>
    </row>
    <row r="740" spans="1:10" ht="15.75">
      <c r="A740" s="4" t="s">
        <v>12509</v>
      </c>
      <c r="B740" s="2"/>
      <c r="C740" s="2"/>
      <c r="D740" s="2"/>
      <c r="E740" s="3"/>
      <c r="F740" s="4" t="s">
        <v>12531</v>
      </c>
      <c r="G740" s="2"/>
      <c r="H740" s="2"/>
      <c r="I740" s="2"/>
      <c r="J740" s="3"/>
    </row>
    <row r="741" spans="1:10">
      <c r="A741" s="2" t="s">
        <v>0</v>
      </c>
      <c r="B741" s="2" t="s">
        <v>1</v>
      </c>
      <c r="C741" s="2" t="s">
        <v>2</v>
      </c>
      <c r="D741" s="2" t="s">
        <v>3</v>
      </c>
      <c r="E741" s="3" t="s">
        <v>4</v>
      </c>
      <c r="F741" s="2" t="s">
        <v>0</v>
      </c>
      <c r="G741" s="2" t="s">
        <v>1</v>
      </c>
      <c r="H741" s="2" t="s">
        <v>2</v>
      </c>
      <c r="I741" s="2" t="s">
        <v>3</v>
      </c>
      <c r="J741" s="3" t="s">
        <v>4</v>
      </c>
    </row>
    <row r="742" spans="1:10">
      <c r="A742" s="1">
        <v>657114</v>
      </c>
      <c r="B742" s="1">
        <v>27080001225</v>
      </c>
      <c r="C742" s="1">
        <v>1</v>
      </c>
      <c r="D742" s="1" t="s">
        <v>12098</v>
      </c>
      <c r="E742" t="s">
        <v>12532</v>
      </c>
      <c r="F742" s="1">
        <v>303800</v>
      </c>
      <c r="G742" s="1">
        <v>3760045828</v>
      </c>
      <c r="H742" s="1">
        <v>12</v>
      </c>
      <c r="I742" s="1" t="s">
        <v>404</v>
      </c>
      <c r="J742" t="s">
        <v>12533</v>
      </c>
    </row>
    <row r="743" spans="1:10">
      <c r="A743" s="1">
        <v>658179</v>
      </c>
      <c r="B743" s="1">
        <v>20000070906</v>
      </c>
      <c r="C743" s="1">
        <v>1</v>
      </c>
      <c r="D743" s="1" t="s">
        <v>12534</v>
      </c>
      <c r="E743" t="s">
        <v>12535</v>
      </c>
      <c r="F743" s="1">
        <v>660092</v>
      </c>
      <c r="G743" s="1">
        <v>3760048716</v>
      </c>
      <c r="H743" s="1">
        <v>6</v>
      </c>
      <c r="I743" s="1" t="s">
        <v>940</v>
      </c>
      <c r="J743" t="s">
        <v>12536</v>
      </c>
    </row>
    <row r="744" spans="1:10">
      <c r="A744" s="1">
        <v>657288</v>
      </c>
      <c r="B744" s="1">
        <v>27080013673</v>
      </c>
      <c r="C744" s="1">
        <v>1</v>
      </c>
      <c r="D744" s="1" t="s">
        <v>11997</v>
      </c>
      <c r="E744" t="s">
        <v>12537</v>
      </c>
      <c r="F744" s="1">
        <v>674127</v>
      </c>
      <c r="G744" s="1">
        <v>3760048712</v>
      </c>
      <c r="H744" s="1">
        <v>6</v>
      </c>
      <c r="I744" s="1" t="s">
        <v>940</v>
      </c>
      <c r="J744" t="s">
        <v>12538</v>
      </c>
    </row>
    <row r="745" spans="1:10">
      <c r="A745" s="1">
        <v>681676</v>
      </c>
      <c r="B745" s="1">
        <v>22718201112</v>
      </c>
      <c r="C745" s="1">
        <v>1</v>
      </c>
      <c r="D745" s="1" t="s">
        <v>10607</v>
      </c>
      <c r="E745" t="s">
        <v>12539</v>
      </c>
      <c r="F745" s="1">
        <v>516344</v>
      </c>
      <c r="G745" s="1">
        <v>7892933588</v>
      </c>
      <c r="H745" s="1">
        <v>6</v>
      </c>
      <c r="I745" s="1" t="s">
        <v>632</v>
      </c>
      <c r="J745" t="s">
        <v>12540</v>
      </c>
    </row>
    <row r="746" spans="1:10">
      <c r="A746" s="1">
        <v>613257</v>
      </c>
      <c r="B746" s="1">
        <v>22000025000</v>
      </c>
      <c r="C746" s="1">
        <v>1</v>
      </c>
      <c r="D746" s="1" t="s">
        <v>11735</v>
      </c>
      <c r="E746" t="s">
        <v>12541</v>
      </c>
      <c r="F746" s="1">
        <v>618884</v>
      </c>
      <c r="G746" s="1">
        <v>7892933587</v>
      </c>
      <c r="H746" s="1">
        <v>6</v>
      </c>
      <c r="I746" s="1" t="s">
        <v>632</v>
      </c>
      <c r="J746" t="s">
        <v>12542</v>
      </c>
    </row>
    <row r="747" spans="1:10">
      <c r="A747" s="1">
        <v>225680</v>
      </c>
      <c r="B747" s="1">
        <v>4531000000</v>
      </c>
      <c r="C747" s="1">
        <v>1</v>
      </c>
      <c r="D747" s="1" t="s">
        <v>11997</v>
      </c>
      <c r="E747" t="s">
        <v>12543</v>
      </c>
      <c r="F747" s="1">
        <v>669911</v>
      </c>
      <c r="G747" s="1">
        <v>7892933582</v>
      </c>
      <c r="H747" s="1">
        <v>6</v>
      </c>
      <c r="I747" s="1" t="s">
        <v>632</v>
      </c>
      <c r="J747" t="s">
        <v>12544</v>
      </c>
    </row>
    <row r="748" spans="1:10">
      <c r="A748" s="1">
        <v>130047</v>
      </c>
      <c r="B748" s="1">
        <v>7080070813</v>
      </c>
      <c r="C748" s="1">
        <v>8</v>
      </c>
      <c r="D748" s="1" t="s">
        <v>1654</v>
      </c>
      <c r="E748" t="s">
        <v>12545</v>
      </c>
      <c r="F748" s="1">
        <v>855452</v>
      </c>
      <c r="G748" s="1">
        <v>64809313109</v>
      </c>
      <c r="H748" s="1">
        <v>6</v>
      </c>
      <c r="I748" s="1" t="s">
        <v>940</v>
      </c>
      <c r="J748" t="s">
        <v>12546</v>
      </c>
    </row>
    <row r="749" spans="1:10">
      <c r="A749" s="1">
        <v>151134</v>
      </c>
      <c r="B749" s="1">
        <v>7010018647</v>
      </c>
      <c r="C749" s="1">
        <v>4</v>
      </c>
      <c r="D749" s="1" t="s">
        <v>12053</v>
      </c>
      <c r="E749" t="s">
        <v>12547</v>
      </c>
      <c r="F749" s="1">
        <v>852640</v>
      </c>
      <c r="G749" s="1">
        <v>64809313104</v>
      </c>
      <c r="H749" s="1">
        <v>6</v>
      </c>
      <c r="I749" s="1" t="s">
        <v>940</v>
      </c>
      <c r="J749" t="s">
        <v>12548</v>
      </c>
    </row>
    <row r="750" spans="1:10">
      <c r="A750" s="1">
        <v>129999</v>
      </c>
      <c r="B750" s="1">
        <v>7080072284</v>
      </c>
      <c r="C750" s="1">
        <v>1</v>
      </c>
      <c r="D750" s="1" t="s">
        <v>12018</v>
      </c>
      <c r="E750" t="s">
        <v>12549</v>
      </c>
      <c r="F750" s="1">
        <v>413344</v>
      </c>
      <c r="G750" s="1">
        <v>64809313123</v>
      </c>
      <c r="H750" s="1">
        <v>6</v>
      </c>
      <c r="I750" s="1" t="s">
        <v>940</v>
      </c>
      <c r="J750" t="s">
        <v>12550</v>
      </c>
    </row>
    <row r="751" spans="1:10">
      <c r="A751" s="1">
        <v>677435</v>
      </c>
      <c r="B751" s="1">
        <v>27080079032</v>
      </c>
      <c r="C751" s="1">
        <v>1</v>
      </c>
      <c r="D751" s="1" t="s">
        <v>6729</v>
      </c>
      <c r="E751" t="s">
        <v>12551</v>
      </c>
      <c r="F751" s="1">
        <v>305854</v>
      </c>
      <c r="G751" s="1">
        <v>64809313103</v>
      </c>
      <c r="H751" s="1">
        <v>6</v>
      </c>
      <c r="I751" s="1" t="s">
        <v>940</v>
      </c>
      <c r="J751" t="s">
        <v>12552</v>
      </c>
    </row>
    <row r="752" spans="1:10">
      <c r="A752" s="1">
        <v>691691</v>
      </c>
      <c r="B752" s="1">
        <v>27080079051</v>
      </c>
      <c r="C752" s="1">
        <v>1</v>
      </c>
      <c r="D752" s="1" t="s">
        <v>11984</v>
      </c>
      <c r="E752" t="s">
        <v>12553</v>
      </c>
      <c r="F752" s="1">
        <v>699629</v>
      </c>
      <c r="G752" s="1">
        <v>4350051049</v>
      </c>
      <c r="H752" s="1">
        <v>8</v>
      </c>
      <c r="I752" s="1" t="s">
        <v>12554</v>
      </c>
      <c r="J752" t="s">
        <v>12555</v>
      </c>
    </row>
    <row r="753" spans="1:10">
      <c r="A753" s="1">
        <v>658138</v>
      </c>
      <c r="B753" s="1">
        <v>27080070639</v>
      </c>
      <c r="C753" s="1">
        <v>1</v>
      </c>
      <c r="D753" s="1" t="s">
        <v>12039</v>
      </c>
      <c r="E753" t="s">
        <v>12556</v>
      </c>
      <c r="F753" s="1">
        <v>190009</v>
      </c>
      <c r="G753" s="1">
        <v>83550300298</v>
      </c>
      <c r="H753" s="1">
        <v>6</v>
      </c>
      <c r="I753" s="1" t="s">
        <v>940</v>
      </c>
      <c r="J753" t="s">
        <v>12557</v>
      </c>
    </row>
    <row r="754" spans="1:10">
      <c r="A754" s="1">
        <v>657643</v>
      </c>
      <c r="B754" s="1">
        <v>27080070599</v>
      </c>
      <c r="C754" s="1">
        <v>1</v>
      </c>
      <c r="D754" s="1" t="s">
        <v>12288</v>
      </c>
      <c r="E754" t="s">
        <v>12558</v>
      </c>
      <c r="F754" s="1">
        <v>563593</v>
      </c>
      <c r="G754" s="1">
        <v>7080074684</v>
      </c>
      <c r="H754" s="1">
        <v>8</v>
      </c>
      <c r="I754" s="1" t="s">
        <v>12472</v>
      </c>
      <c r="J754" t="s">
        <v>12559</v>
      </c>
    </row>
    <row r="755" spans="1:10">
      <c r="A755" s="1">
        <v>657890</v>
      </c>
      <c r="B755" s="1">
        <v>27080070598</v>
      </c>
      <c r="C755" s="1">
        <v>1</v>
      </c>
      <c r="D755" s="1" t="s">
        <v>12288</v>
      </c>
      <c r="E755" t="s">
        <v>12560</v>
      </c>
      <c r="F755" s="1">
        <v>477307</v>
      </c>
      <c r="G755" s="1">
        <v>7080074692</v>
      </c>
      <c r="H755" s="1">
        <v>6</v>
      </c>
      <c r="I755" s="1" t="s">
        <v>12561</v>
      </c>
      <c r="J755" t="s">
        <v>12562</v>
      </c>
    </row>
    <row r="756" spans="1:10">
      <c r="A756" s="1">
        <v>658971</v>
      </c>
      <c r="B756" s="1">
        <v>27080070616</v>
      </c>
      <c r="C756" s="1">
        <v>1</v>
      </c>
      <c r="D756" s="1" t="s">
        <v>6729</v>
      </c>
      <c r="E756" t="s">
        <v>12563</v>
      </c>
      <c r="F756" s="1">
        <v>410985</v>
      </c>
      <c r="G756" s="1">
        <v>83550300254</v>
      </c>
      <c r="H756" s="1">
        <v>6</v>
      </c>
      <c r="I756" s="1" t="s">
        <v>940</v>
      </c>
      <c r="J756" t="s">
        <v>12564</v>
      </c>
    </row>
    <row r="757" spans="1:10">
      <c r="A757" s="1">
        <v>657163</v>
      </c>
      <c r="B757" s="1">
        <v>27089570895</v>
      </c>
      <c r="C757" s="1">
        <v>1</v>
      </c>
      <c r="D757" s="1" t="s">
        <v>12449</v>
      </c>
      <c r="E757" t="s">
        <v>12565</v>
      </c>
      <c r="F757" s="1">
        <v>290064</v>
      </c>
      <c r="G757" s="1">
        <v>7080074687</v>
      </c>
      <c r="H757" s="1">
        <v>7</v>
      </c>
      <c r="I757" s="1" t="s">
        <v>12566</v>
      </c>
      <c r="J757" t="s">
        <v>12567</v>
      </c>
    </row>
    <row r="758" spans="1:10">
      <c r="A758" s="1">
        <v>26443</v>
      </c>
      <c r="B758" s="1">
        <v>7080070839</v>
      </c>
      <c r="C758" s="1">
        <v>1</v>
      </c>
      <c r="D758" s="1" t="s">
        <v>6741</v>
      </c>
      <c r="E758" t="s">
        <v>12568</v>
      </c>
      <c r="F758" s="1">
        <v>586545</v>
      </c>
      <c r="G758" s="1">
        <v>7080074688</v>
      </c>
      <c r="H758" s="1">
        <v>7</v>
      </c>
      <c r="I758" s="1" t="s">
        <v>12566</v>
      </c>
      <c r="J758" t="s">
        <v>12569</v>
      </c>
    </row>
    <row r="759" spans="1:10">
      <c r="A759" s="1">
        <v>657965</v>
      </c>
      <c r="B759" s="1">
        <v>27080070822</v>
      </c>
      <c r="C759" s="1">
        <v>1</v>
      </c>
      <c r="D759" s="1" t="s">
        <v>12342</v>
      </c>
      <c r="E759" t="s">
        <v>12570</v>
      </c>
      <c r="F759" s="1">
        <v>376947</v>
      </c>
      <c r="G759" s="1">
        <v>7080074686</v>
      </c>
      <c r="H759" s="1">
        <v>7</v>
      </c>
      <c r="I759" s="1" t="s">
        <v>12566</v>
      </c>
      <c r="J759" t="s">
        <v>12571</v>
      </c>
    </row>
    <row r="760" spans="1:10">
      <c r="A760" s="1">
        <v>651042</v>
      </c>
      <c r="B760" s="1">
        <v>27080070832</v>
      </c>
      <c r="C760" s="1">
        <v>1</v>
      </c>
      <c r="D760" s="1" t="s">
        <v>12572</v>
      </c>
      <c r="E760" t="s">
        <v>12573</v>
      </c>
      <c r="F760" s="1">
        <v>752659</v>
      </c>
      <c r="G760" s="1">
        <v>2718255990</v>
      </c>
      <c r="H760" s="1">
        <v>4</v>
      </c>
      <c r="I760" s="1" t="s">
        <v>12574</v>
      </c>
      <c r="J760" t="s">
        <v>12575</v>
      </c>
    </row>
    <row r="761" spans="1:10">
      <c r="A761" s="1">
        <v>657502</v>
      </c>
      <c r="B761" s="1">
        <v>27080070881</v>
      </c>
      <c r="C761" s="1">
        <v>1</v>
      </c>
      <c r="D761" s="1" t="s">
        <v>12327</v>
      </c>
      <c r="E761" t="s">
        <v>12576</v>
      </c>
      <c r="F761" s="1">
        <v>442103</v>
      </c>
      <c r="G761" s="1">
        <v>2718290101</v>
      </c>
      <c r="H761" s="1">
        <v>6</v>
      </c>
      <c r="I761" s="1" t="s">
        <v>940</v>
      </c>
      <c r="J761" t="s">
        <v>12577</v>
      </c>
    </row>
    <row r="762" spans="1:10">
      <c r="A762" s="1">
        <v>657205</v>
      </c>
      <c r="B762" s="1">
        <v>27080070810</v>
      </c>
      <c r="C762" s="1">
        <v>1</v>
      </c>
      <c r="D762" s="1" t="s">
        <v>11753</v>
      </c>
      <c r="E762" t="s">
        <v>12578</v>
      </c>
      <c r="F762" s="1">
        <v>829762</v>
      </c>
      <c r="G762" s="1">
        <v>2718290106</v>
      </c>
      <c r="H762" s="1">
        <v>6</v>
      </c>
      <c r="I762" s="1" t="s">
        <v>940</v>
      </c>
      <c r="J762" t="s">
        <v>12579</v>
      </c>
    </row>
    <row r="763" spans="1:10">
      <c r="A763" s="1">
        <v>529560</v>
      </c>
      <c r="B763" s="1">
        <v>0</v>
      </c>
      <c r="C763" s="1">
        <v>10</v>
      </c>
      <c r="D763" s="1" t="s">
        <v>4719</v>
      </c>
      <c r="E763" t="s">
        <v>12580</v>
      </c>
      <c r="F763" s="1">
        <v>105965</v>
      </c>
      <c r="G763" s="1">
        <v>2718290663</v>
      </c>
      <c r="H763" s="1">
        <v>6</v>
      </c>
      <c r="I763" s="1" t="s">
        <v>940</v>
      </c>
      <c r="J763" t="s">
        <v>12581</v>
      </c>
    </row>
    <row r="764" spans="1:10" ht="15.75">
      <c r="A764" s="4" t="s">
        <v>12531</v>
      </c>
      <c r="B764" s="2"/>
      <c r="C764" s="2"/>
      <c r="D764" s="2"/>
      <c r="E764" s="3"/>
      <c r="F764" s="1">
        <v>128488</v>
      </c>
      <c r="G764" s="1">
        <v>2718290661</v>
      </c>
      <c r="H764" s="1">
        <v>6</v>
      </c>
      <c r="I764" s="1" t="s">
        <v>940</v>
      </c>
      <c r="J764" t="s">
        <v>12582</v>
      </c>
    </row>
    <row r="765" spans="1:10">
      <c r="A765" s="2" t="s">
        <v>0</v>
      </c>
      <c r="B765" s="2" t="s">
        <v>1</v>
      </c>
      <c r="C765" s="2" t="s">
        <v>2</v>
      </c>
      <c r="D765" s="2" t="s">
        <v>3</v>
      </c>
      <c r="E765" s="3" t="s">
        <v>4</v>
      </c>
      <c r="F765" s="1">
        <v>870808</v>
      </c>
      <c r="G765" s="1">
        <v>2370063612</v>
      </c>
      <c r="H765" s="1">
        <v>12</v>
      </c>
      <c r="I765" s="1" t="s">
        <v>404</v>
      </c>
      <c r="J765" t="s">
        <v>12583</v>
      </c>
    </row>
    <row r="766" spans="1:10">
      <c r="A766" s="1">
        <v>662122</v>
      </c>
      <c r="B766" s="1">
        <v>7892911708</v>
      </c>
      <c r="C766" s="1">
        <v>6</v>
      </c>
      <c r="D766" s="1" t="s">
        <v>632</v>
      </c>
      <c r="E766" t="s">
        <v>12584</v>
      </c>
      <c r="F766" s="1">
        <v>844126</v>
      </c>
      <c r="G766" s="1">
        <v>2370060663</v>
      </c>
      <c r="H766" s="1">
        <v>12</v>
      </c>
      <c r="I766" s="1" t="s">
        <v>404</v>
      </c>
      <c r="J766" t="s">
        <v>12585</v>
      </c>
    </row>
    <row r="767" spans="1:10">
      <c r="A767" s="1">
        <v>8557</v>
      </c>
      <c r="B767" s="1">
        <v>70405170603</v>
      </c>
      <c r="C767" s="1">
        <v>6</v>
      </c>
      <c r="D767" s="1" t="s">
        <v>632</v>
      </c>
      <c r="E767" t="s">
        <v>12586</v>
      </c>
      <c r="F767" s="1">
        <v>413583</v>
      </c>
      <c r="G767" s="1">
        <v>2718255991</v>
      </c>
      <c r="H767" s="1">
        <v>4</v>
      </c>
      <c r="I767" s="1" t="s">
        <v>12574</v>
      </c>
      <c r="J767" t="s">
        <v>12587</v>
      </c>
    </row>
    <row r="768" spans="1:10">
      <c r="A768" s="1">
        <v>612994</v>
      </c>
      <c r="B768" s="1">
        <v>70405172003</v>
      </c>
      <c r="C768" s="1">
        <v>6</v>
      </c>
      <c r="D768" s="1" t="s">
        <v>375</v>
      </c>
      <c r="E768" t="s">
        <v>12588</v>
      </c>
      <c r="F768" s="1">
        <v>237990</v>
      </c>
      <c r="G768" s="1">
        <v>2370063613</v>
      </c>
      <c r="H768" s="1">
        <v>12</v>
      </c>
      <c r="I768" s="1" t="s">
        <v>404</v>
      </c>
      <c r="J768" t="s">
        <v>12589</v>
      </c>
    </row>
    <row r="769" spans="1:10">
      <c r="A769" s="1">
        <v>827154</v>
      </c>
      <c r="B769" s="1">
        <v>70405170203</v>
      </c>
      <c r="C769" s="1">
        <v>6</v>
      </c>
      <c r="D769" s="1" t="s">
        <v>632</v>
      </c>
      <c r="E769" t="s">
        <v>12590</v>
      </c>
      <c r="F769" s="1">
        <v>550533</v>
      </c>
      <c r="G769" s="1">
        <v>2370060875</v>
      </c>
      <c r="H769" s="1">
        <v>12</v>
      </c>
      <c r="I769" s="1" t="s">
        <v>404</v>
      </c>
      <c r="J769" t="s">
        <v>12591</v>
      </c>
    </row>
    <row r="770" spans="1:10" ht="15.75">
      <c r="A770" s="1">
        <v>752402</v>
      </c>
      <c r="B770" s="1">
        <v>70405170103</v>
      </c>
      <c r="C770" s="1">
        <v>6</v>
      </c>
      <c r="D770" s="1" t="s">
        <v>632</v>
      </c>
      <c r="E770" t="s">
        <v>12592</v>
      </c>
      <c r="F770" s="4" t="s">
        <v>12593</v>
      </c>
      <c r="G770" s="2"/>
      <c r="H770" s="2"/>
      <c r="I770" s="2"/>
      <c r="J770" s="3"/>
    </row>
    <row r="771" spans="1:10">
      <c r="A771" s="1">
        <v>562033</v>
      </c>
      <c r="B771" s="1">
        <v>70405170104</v>
      </c>
      <c r="C771" s="1">
        <v>6</v>
      </c>
      <c r="D771" s="1" t="s">
        <v>632</v>
      </c>
      <c r="E771" t="s">
        <v>12594</v>
      </c>
      <c r="F771" s="2" t="s">
        <v>0</v>
      </c>
      <c r="G771" s="2" t="s">
        <v>1</v>
      </c>
      <c r="H771" s="2" t="s">
        <v>2</v>
      </c>
      <c r="I771" s="2" t="s">
        <v>3</v>
      </c>
      <c r="J771" s="3" t="s">
        <v>4</v>
      </c>
    </row>
    <row r="772" spans="1:10">
      <c r="A772" s="1">
        <v>686311</v>
      </c>
      <c r="B772" s="1">
        <v>3760047371</v>
      </c>
      <c r="C772" s="1">
        <v>6</v>
      </c>
      <c r="D772" s="1" t="s">
        <v>940</v>
      </c>
      <c r="E772" t="s">
        <v>12595</v>
      </c>
      <c r="F772" s="1">
        <v>659466</v>
      </c>
      <c r="G772" s="1">
        <v>24420081014</v>
      </c>
      <c r="H772" s="1">
        <v>1</v>
      </c>
      <c r="I772" s="1" t="s">
        <v>1973</v>
      </c>
      <c r="J772" t="s">
        <v>12596</v>
      </c>
    </row>
    <row r="773" spans="1:10">
      <c r="A773" s="1">
        <v>736041</v>
      </c>
      <c r="B773" s="1">
        <v>3760025756</v>
      </c>
      <c r="C773" s="1">
        <v>6</v>
      </c>
      <c r="D773" s="1" t="s">
        <v>940</v>
      </c>
      <c r="E773" t="s">
        <v>12597</v>
      </c>
      <c r="F773" s="1">
        <v>659250</v>
      </c>
      <c r="G773" s="1">
        <v>20442081013</v>
      </c>
      <c r="H773" s="1">
        <v>1</v>
      </c>
      <c r="I773" s="1" t="s">
        <v>12029</v>
      </c>
      <c r="J773" t="s">
        <v>12598</v>
      </c>
    </row>
    <row r="774" spans="1:10">
      <c r="A774" s="1">
        <v>560276</v>
      </c>
      <c r="B774" s="1">
        <v>3760035501</v>
      </c>
      <c r="C774" s="1">
        <v>6</v>
      </c>
      <c r="D774" s="1" t="s">
        <v>940</v>
      </c>
      <c r="E774" t="s">
        <v>12599</v>
      </c>
      <c r="F774" s="1">
        <v>562504</v>
      </c>
      <c r="G774" s="1">
        <v>7367502027</v>
      </c>
      <c r="H774" s="1">
        <v>4</v>
      </c>
      <c r="I774" s="1" t="s">
        <v>6754</v>
      </c>
      <c r="J774" t="s">
        <v>12600</v>
      </c>
    </row>
    <row r="775" spans="1:10">
      <c r="A775" s="1">
        <v>537936</v>
      </c>
      <c r="B775" s="1">
        <v>3760048718</v>
      </c>
      <c r="C775" s="1">
        <v>6</v>
      </c>
      <c r="D775" s="1" t="s">
        <v>940</v>
      </c>
      <c r="E775" t="s">
        <v>12601</v>
      </c>
      <c r="F775" s="1">
        <v>729855</v>
      </c>
      <c r="G775" s="1">
        <v>7367502210</v>
      </c>
      <c r="H775" s="1">
        <v>8</v>
      </c>
      <c r="I775" s="1" t="s">
        <v>11749</v>
      </c>
      <c r="J775" t="s">
        <v>12602</v>
      </c>
    </row>
    <row r="776" spans="1:10">
      <c r="A776" s="1">
        <v>686394</v>
      </c>
      <c r="B776" s="1">
        <v>3760015491</v>
      </c>
      <c r="C776" s="1">
        <v>6</v>
      </c>
      <c r="D776" s="1" t="s">
        <v>940</v>
      </c>
      <c r="E776" t="s">
        <v>12603</v>
      </c>
      <c r="F776" s="1">
        <v>661751</v>
      </c>
      <c r="G776" s="1">
        <v>21116603587</v>
      </c>
      <c r="H776" s="1">
        <v>1</v>
      </c>
      <c r="I776" s="1" t="s">
        <v>12089</v>
      </c>
      <c r="J776" t="s">
        <v>12604</v>
      </c>
    </row>
    <row r="777" spans="1:10">
      <c r="A777" s="1">
        <v>765883</v>
      </c>
      <c r="B777" s="1">
        <v>3760048715</v>
      </c>
      <c r="C777" s="1">
        <v>6</v>
      </c>
      <c r="D777" s="1" t="s">
        <v>940</v>
      </c>
      <c r="E777" t="s">
        <v>12605</v>
      </c>
      <c r="F777" s="1">
        <v>657197</v>
      </c>
      <c r="G777" s="1">
        <v>22442082001</v>
      </c>
      <c r="H777" s="1">
        <v>1</v>
      </c>
      <c r="I777" s="1" t="s">
        <v>6729</v>
      </c>
      <c r="J777" t="s">
        <v>12606</v>
      </c>
    </row>
    <row r="778" spans="1:10">
      <c r="A778" s="1">
        <v>654376</v>
      </c>
      <c r="B778" s="1">
        <v>3760026369</v>
      </c>
      <c r="C778" s="1">
        <v>4</v>
      </c>
      <c r="D778" s="1" t="s">
        <v>12458</v>
      </c>
      <c r="E778" t="s">
        <v>12607</v>
      </c>
      <c r="F778" s="1">
        <v>665364</v>
      </c>
      <c r="G778" s="1">
        <v>4420083027</v>
      </c>
      <c r="H778" s="1">
        <v>1</v>
      </c>
      <c r="I778" s="1" t="s">
        <v>12010</v>
      </c>
      <c r="J778" t="s">
        <v>12608</v>
      </c>
    </row>
    <row r="779" spans="1:10">
      <c r="A779" s="1">
        <v>627760</v>
      </c>
      <c r="B779" s="1">
        <v>3760048713</v>
      </c>
      <c r="C779" s="1">
        <v>6</v>
      </c>
      <c r="D779" s="1" t="s">
        <v>940</v>
      </c>
      <c r="E779" t="s">
        <v>12609</v>
      </c>
      <c r="F779" s="1">
        <v>659771</v>
      </c>
      <c r="G779" s="1">
        <v>24420082043</v>
      </c>
      <c r="H779" s="1">
        <v>1</v>
      </c>
      <c r="I779" s="1" t="s">
        <v>12338</v>
      </c>
      <c r="J779" t="s">
        <v>12610</v>
      </c>
    </row>
    <row r="780" spans="1:10">
      <c r="A780" s="1">
        <v>128785</v>
      </c>
      <c r="B780" s="1">
        <v>3760045829</v>
      </c>
      <c r="C780" s="1">
        <v>12</v>
      </c>
      <c r="D780" s="1" t="s">
        <v>404</v>
      </c>
      <c r="E780" t="s">
        <v>12611</v>
      </c>
      <c r="F780" s="1">
        <v>23481</v>
      </c>
      <c r="G780" s="1">
        <v>5370030718</v>
      </c>
      <c r="H780" s="1">
        <v>8</v>
      </c>
      <c r="I780" s="1" t="s">
        <v>4815</v>
      </c>
      <c r="J780" t="s">
        <v>12612</v>
      </c>
    </row>
    <row r="781" spans="1:10" ht="15.75">
      <c r="A781" s="4" t="s">
        <v>12593</v>
      </c>
      <c r="B781" s="2"/>
      <c r="C781" s="2"/>
      <c r="D781" s="2"/>
      <c r="E781" s="3"/>
      <c r="F781" s="4" t="s">
        <v>12593</v>
      </c>
      <c r="G781" s="2"/>
      <c r="H781" s="2"/>
      <c r="I781" s="2"/>
      <c r="J781" s="3"/>
    </row>
    <row r="782" spans="1:10">
      <c r="A782" s="2" t="s">
        <v>0</v>
      </c>
      <c r="B782" s="2" t="s">
        <v>1</v>
      </c>
      <c r="C782" s="2" t="s">
        <v>2</v>
      </c>
      <c r="D782" s="2" t="s">
        <v>3</v>
      </c>
      <c r="E782" s="3" t="s">
        <v>4</v>
      </c>
      <c r="F782" s="2" t="s">
        <v>0</v>
      </c>
      <c r="G782" s="2" t="s">
        <v>1</v>
      </c>
      <c r="H782" s="2" t="s">
        <v>2</v>
      </c>
      <c r="I782" s="2" t="s">
        <v>3</v>
      </c>
      <c r="J782" s="3" t="s">
        <v>4</v>
      </c>
    </row>
    <row r="783" spans="1:10">
      <c r="A783" s="1">
        <v>668517</v>
      </c>
      <c r="B783" s="1">
        <v>4320017383</v>
      </c>
      <c r="C783" s="1">
        <v>6</v>
      </c>
      <c r="D783" s="1" t="s">
        <v>4723</v>
      </c>
      <c r="E783" t="s">
        <v>12613</v>
      </c>
      <c r="F783" s="1">
        <v>525477</v>
      </c>
      <c r="G783" s="1">
        <v>21277843996</v>
      </c>
      <c r="H783" s="1">
        <v>1</v>
      </c>
      <c r="I783" s="1" t="s">
        <v>6751</v>
      </c>
      <c r="J783" t="s">
        <v>12614</v>
      </c>
    </row>
    <row r="784" spans="1:10">
      <c r="A784" s="1">
        <v>659391</v>
      </c>
      <c r="B784" s="1">
        <v>22730080339</v>
      </c>
      <c r="C784" s="1">
        <v>1</v>
      </c>
      <c r="D784" s="1" t="s">
        <v>12010</v>
      </c>
      <c r="E784" t="s">
        <v>12615</v>
      </c>
      <c r="F784" s="1">
        <v>612549</v>
      </c>
      <c r="G784" s="1">
        <v>21277843976</v>
      </c>
      <c r="H784" s="1">
        <v>1</v>
      </c>
      <c r="I784" s="1" t="s">
        <v>12394</v>
      </c>
      <c r="J784" t="s">
        <v>12616</v>
      </c>
    </row>
    <row r="785" spans="1:10">
      <c r="A785" s="1">
        <v>659060</v>
      </c>
      <c r="B785" s="1">
        <v>22730080335</v>
      </c>
      <c r="C785" s="1">
        <v>1</v>
      </c>
      <c r="D785" s="1" t="s">
        <v>12039</v>
      </c>
      <c r="E785" t="s">
        <v>12617</v>
      </c>
      <c r="F785" s="1">
        <v>667170</v>
      </c>
      <c r="G785" s="1">
        <v>21277843985</v>
      </c>
      <c r="H785" s="1">
        <v>1</v>
      </c>
      <c r="I785" s="1" t="s">
        <v>12394</v>
      </c>
      <c r="J785" t="s">
        <v>12618</v>
      </c>
    </row>
    <row r="786" spans="1:10">
      <c r="A786" s="1">
        <v>650424</v>
      </c>
      <c r="B786" s="1">
        <v>22730081212</v>
      </c>
      <c r="C786" s="1">
        <v>1</v>
      </c>
      <c r="D786" s="1" t="s">
        <v>12388</v>
      </c>
      <c r="E786" t="s">
        <v>12619</v>
      </c>
      <c r="F786" s="1">
        <v>467084</v>
      </c>
      <c r="G786" s="1">
        <v>21277843973</v>
      </c>
      <c r="H786" s="1">
        <v>1</v>
      </c>
      <c r="I786" s="1" t="s">
        <v>12394</v>
      </c>
      <c r="J786" t="s">
        <v>12620</v>
      </c>
    </row>
    <row r="787" spans="1:10">
      <c r="A787" s="1">
        <v>152710</v>
      </c>
      <c r="B787" s="1">
        <v>21277843973</v>
      </c>
      <c r="C787" s="1">
        <v>1</v>
      </c>
      <c r="D787" s="1" t="s">
        <v>12394</v>
      </c>
      <c r="E787" t="s">
        <v>12621</v>
      </c>
      <c r="F787" s="1">
        <v>82016</v>
      </c>
      <c r="G787" s="1">
        <v>21277843980</v>
      </c>
      <c r="H787" s="1">
        <v>1</v>
      </c>
      <c r="I787" s="1" t="s">
        <v>4652</v>
      </c>
      <c r="J787" t="s">
        <v>12622</v>
      </c>
    </row>
    <row r="788" spans="1:10">
      <c r="A788" s="1">
        <v>662387</v>
      </c>
      <c r="B788" s="1">
        <v>20000066238</v>
      </c>
      <c r="C788" s="1">
        <v>1</v>
      </c>
      <c r="D788" s="1" t="s">
        <v>12089</v>
      </c>
      <c r="E788" t="s">
        <v>12623</v>
      </c>
      <c r="F788" s="1">
        <v>546432</v>
      </c>
      <c r="G788" s="1">
        <v>21277843988</v>
      </c>
      <c r="H788" s="1">
        <v>1</v>
      </c>
      <c r="I788" s="1" t="s">
        <v>6751</v>
      </c>
      <c r="J788" t="s">
        <v>12624</v>
      </c>
    </row>
    <row r="789" spans="1:10">
      <c r="A789" s="1">
        <v>69989</v>
      </c>
      <c r="B789" s="1">
        <v>27080003119</v>
      </c>
      <c r="C789" s="1">
        <v>1</v>
      </c>
      <c r="D789" s="1" t="s">
        <v>12335</v>
      </c>
      <c r="E789" t="s">
        <v>12625</v>
      </c>
      <c r="F789" s="1">
        <v>754119</v>
      </c>
      <c r="G789" s="1">
        <v>21277843989</v>
      </c>
      <c r="H789" s="1">
        <v>1</v>
      </c>
      <c r="I789" s="1" t="s">
        <v>6737</v>
      </c>
      <c r="J789" t="s">
        <v>12626</v>
      </c>
    </row>
    <row r="790" spans="1:10">
      <c r="A790" s="1">
        <v>323964</v>
      </c>
      <c r="B790" s="1">
        <v>3680001444</v>
      </c>
      <c r="C790" s="1">
        <v>1</v>
      </c>
      <c r="D790" s="1" t="s">
        <v>12627</v>
      </c>
      <c r="E790" t="s">
        <v>12628</v>
      </c>
      <c r="F790" s="1">
        <v>659623</v>
      </c>
      <c r="G790" s="1">
        <v>23760019300</v>
      </c>
      <c r="H790" s="1">
        <v>1</v>
      </c>
      <c r="I790" s="1" t="s">
        <v>12335</v>
      </c>
      <c r="J790" t="s">
        <v>12629</v>
      </c>
    </row>
    <row r="791" spans="1:10">
      <c r="A791" s="1">
        <v>220905</v>
      </c>
      <c r="B791" s="1">
        <v>3680001444</v>
      </c>
      <c r="C791" s="1">
        <v>1</v>
      </c>
      <c r="D791" s="1" t="s">
        <v>11735</v>
      </c>
      <c r="E791" t="s">
        <v>12630</v>
      </c>
      <c r="F791" s="1">
        <v>690842</v>
      </c>
      <c r="G791" s="1">
        <v>23760049411</v>
      </c>
      <c r="H791" s="1">
        <v>1</v>
      </c>
      <c r="I791" s="1" t="s">
        <v>6733</v>
      </c>
      <c r="J791" t="s">
        <v>12631</v>
      </c>
    </row>
    <row r="792" spans="1:10">
      <c r="A792" s="1">
        <v>313544</v>
      </c>
      <c r="B792" s="1">
        <v>78533108431</v>
      </c>
      <c r="C792" s="1">
        <v>1</v>
      </c>
      <c r="D792" s="1" t="s">
        <v>12632</v>
      </c>
      <c r="E792" t="s">
        <v>12633</v>
      </c>
      <c r="F792" s="1">
        <v>693085</v>
      </c>
      <c r="G792" s="1">
        <v>3760038401</v>
      </c>
      <c r="H792" s="1">
        <v>12</v>
      </c>
      <c r="I792" s="1" t="s">
        <v>1654</v>
      </c>
      <c r="J792" t="s">
        <v>12634</v>
      </c>
    </row>
    <row r="793" spans="1:10">
      <c r="A793" s="1">
        <v>148510</v>
      </c>
      <c r="B793" s="1">
        <v>78533108343</v>
      </c>
      <c r="C793" s="1">
        <v>1</v>
      </c>
      <c r="D793" s="1" t="s">
        <v>12632</v>
      </c>
      <c r="E793" t="s">
        <v>12635</v>
      </c>
      <c r="F793" s="1">
        <v>163444</v>
      </c>
      <c r="G793" s="1">
        <v>3760035056</v>
      </c>
      <c r="H793" s="1">
        <v>3</v>
      </c>
      <c r="I793" s="1" t="s">
        <v>12636</v>
      </c>
      <c r="J793" t="s">
        <v>12637</v>
      </c>
    </row>
    <row r="794" spans="1:10">
      <c r="A794" s="1">
        <v>443473</v>
      </c>
      <c r="B794" s="1">
        <v>78533108316</v>
      </c>
      <c r="C794" s="1">
        <v>1</v>
      </c>
      <c r="D794" s="1" t="s">
        <v>12632</v>
      </c>
      <c r="E794" t="s">
        <v>12638</v>
      </c>
      <c r="F794" s="1">
        <v>736801</v>
      </c>
      <c r="G794" s="1">
        <v>7010004505</v>
      </c>
      <c r="H794" s="1">
        <v>12</v>
      </c>
      <c r="I794" s="1" t="s">
        <v>399</v>
      </c>
      <c r="J794" t="s">
        <v>12639</v>
      </c>
    </row>
    <row r="795" spans="1:10">
      <c r="A795" s="1">
        <v>829283</v>
      </c>
      <c r="B795" s="1">
        <v>7387502161</v>
      </c>
      <c r="C795" s="1">
        <v>6</v>
      </c>
      <c r="D795" s="1" t="s">
        <v>4719</v>
      </c>
      <c r="E795" t="s">
        <v>12640</v>
      </c>
      <c r="F795" s="1">
        <v>281</v>
      </c>
      <c r="G795" s="1">
        <v>7010004603</v>
      </c>
      <c r="H795" s="1">
        <v>12</v>
      </c>
      <c r="I795" s="1" t="s">
        <v>399</v>
      </c>
      <c r="J795" t="s">
        <v>12641</v>
      </c>
    </row>
    <row r="796" spans="1:10">
      <c r="A796" s="1">
        <v>659912</v>
      </c>
      <c r="B796" s="1">
        <v>28533178322</v>
      </c>
      <c r="C796" s="1">
        <v>1</v>
      </c>
      <c r="D796" s="1" t="s">
        <v>6727</v>
      </c>
      <c r="E796" t="s">
        <v>12642</v>
      </c>
      <c r="F796" s="1">
        <v>195669</v>
      </c>
      <c r="G796" s="1">
        <v>7010004839</v>
      </c>
      <c r="H796" s="1">
        <v>12</v>
      </c>
      <c r="I796" s="1" t="s">
        <v>399</v>
      </c>
      <c r="J796" t="s">
        <v>12643</v>
      </c>
    </row>
    <row r="797" spans="1:10">
      <c r="A797" s="1">
        <v>661645</v>
      </c>
      <c r="B797" s="1">
        <v>78533102598</v>
      </c>
      <c r="C797" s="1">
        <v>1</v>
      </c>
      <c r="D797" s="1" t="s">
        <v>6733</v>
      </c>
      <c r="E797" t="s">
        <v>12644</v>
      </c>
      <c r="F797" s="1">
        <v>555912</v>
      </c>
      <c r="G797" s="1">
        <v>7010004506</v>
      </c>
      <c r="H797" s="1">
        <v>12</v>
      </c>
      <c r="I797" s="1" t="s">
        <v>399</v>
      </c>
      <c r="J797" t="s">
        <v>12645</v>
      </c>
    </row>
    <row r="798" spans="1:10">
      <c r="A798" s="1">
        <v>662270</v>
      </c>
      <c r="B798" s="1">
        <v>28533173061</v>
      </c>
      <c r="C798" s="1">
        <v>1</v>
      </c>
      <c r="D798" s="1" t="s">
        <v>12394</v>
      </c>
      <c r="E798" t="s">
        <v>12646</v>
      </c>
      <c r="F798" s="1">
        <v>778993</v>
      </c>
      <c r="G798" s="1">
        <v>7010004372</v>
      </c>
      <c r="H798" s="1">
        <v>6</v>
      </c>
      <c r="I798" s="1" t="s">
        <v>11749</v>
      </c>
      <c r="J798" t="s">
        <v>12647</v>
      </c>
    </row>
    <row r="799" spans="1:10">
      <c r="A799" s="1">
        <v>655068</v>
      </c>
      <c r="B799" s="1">
        <v>78533172659</v>
      </c>
      <c r="C799" s="1">
        <v>1</v>
      </c>
      <c r="D799" s="1" t="s">
        <v>6751</v>
      </c>
      <c r="E799" t="s">
        <v>12648</v>
      </c>
      <c r="F799" s="1">
        <v>729848</v>
      </c>
      <c r="G799" s="1">
        <v>3390000088</v>
      </c>
      <c r="H799" s="1">
        <v>12</v>
      </c>
      <c r="I799" s="1" t="s">
        <v>399</v>
      </c>
      <c r="J799" t="s">
        <v>12649</v>
      </c>
    </row>
    <row r="800" spans="1:10">
      <c r="A800" s="1">
        <v>670497</v>
      </c>
      <c r="B800" s="1">
        <v>28533102534</v>
      </c>
      <c r="C800" s="1">
        <v>1</v>
      </c>
      <c r="D800" s="1" t="s">
        <v>12053</v>
      </c>
      <c r="E800" t="s">
        <v>12650</v>
      </c>
      <c r="F800" s="1">
        <v>729830</v>
      </c>
      <c r="G800" s="1">
        <v>3390000094</v>
      </c>
      <c r="H800" s="1">
        <v>24</v>
      </c>
      <c r="I800" s="1" t="s">
        <v>360</v>
      </c>
      <c r="J800" t="s">
        <v>12651</v>
      </c>
    </row>
    <row r="801" spans="1:10">
      <c r="A801" s="1">
        <v>662346</v>
      </c>
      <c r="B801" s="1">
        <v>28533102534</v>
      </c>
      <c r="C801" s="1">
        <v>1</v>
      </c>
      <c r="D801" s="1" t="s">
        <v>12388</v>
      </c>
      <c r="E801" t="s">
        <v>12650</v>
      </c>
      <c r="F801" s="1">
        <v>658559</v>
      </c>
      <c r="G801" s="1">
        <v>24530010080</v>
      </c>
      <c r="H801" s="1">
        <v>1</v>
      </c>
      <c r="I801" s="1" t="s">
        <v>12652</v>
      </c>
      <c r="J801" t="s">
        <v>12653</v>
      </c>
    </row>
    <row r="802" spans="1:10">
      <c r="A802" s="1">
        <v>659441</v>
      </c>
      <c r="B802" s="1">
        <v>28533102615</v>
      </c>
      <c r="C802" s="1">
        <v>1</v>
      </c>
      <c r="D802" s="1" t="s">
        <v>12015</v>
      </c>
      <c r="E802" t="s">
        <v>12654</v>
      </c>
      <c r="F802" s="1">
        <v>696906</v>
      </c>
      <c r="G802" s="1">
        <v>7175502574</v>
      </c>
      <c r="H802" s="1">
        <v>1</v>
      </c>
      <c r="I802" s="1" t="s">
        <v>1973</v>
      </c>
      <c r="J802" t="s">
        <v>12655</v>
      </c>
    </row>
    <row r="803" spans="1:10">
      <c r="A803" s="1">
        <v>659037</v>
      </c>
      <c r="B803" s="1">
        <v>28533172550</v>
      </c>
      <c r="C803" s="1">
        <v>1</v>
      </c>
      <c r="D803" s="1" t="s">
        <v>12018</v>
      </c>
      <c r="E803" t="s">
        <v>12656</v>
      </c>
      <c r="F803" s="1">
        <v>564237</v>
      </c>
      <c r="G803" s="1">
        <v>7175502252</v>
      </c>
      <c r="H803" s="1">
        <v>1</v>
      </c>
      <c r="I803" s="1" t="s">
        <v>6744</v>
      </c>
      <c r="J803" t="s">
        <v>12657</v>
      </c>
    </row>
    <row r="804" spans="1:10">
      <c r="A804" s="1">
        <v>655977</v>
      </c>
      <c r="B804" s="1">
        <v>28533123862</v>
      </c>
      <c r="C804" s="1">
        <v>1</v>
      </c>
      <c r="D804" s="1" t="s">
        <v>6804</v>
      </c>
      <c r="E804" t="s">
        <v>12658</v>
      </c>
      <c r="F804" s="1">
        <v>696435</v>
      </c>
      <c r="G804" s="1">
        <v>7175502253</v>
      </c>
      <c r="H804" s="1">
        <v>1</v>
      </c>
      <c r="I804" s="1" t="s">
        <v>6774</v>
      </c>
      <c r="J804" t="s">
        <v>12659</v>
      </c>
    </row>
    <row r="805" spans="1:10">
      <c r="A805" s="1">
        <v>657304</v>
      </c>
      <c r="B805" s="1">
        <v>22853372582</v>
      </c>
      <c r="C805" s="1">
        <v>1</v>
      </c>
      <c r="D805" s="1" t="s">
        <v>6737</v>
      </c>
      <c r="E805" t="s">
        <v>12660</v>
      </c>
      <c r="F805" s="1">
        <v>563361</v>
      </c>
      <c r="G805" s="1">
        <v>7175502146</v>
      </c>
      <c r="H805" s="1">
        <v>1</v>
      </c>
      <c r="I805" s="1" t="s">
        <v>12427</v>
      </c>
      <c r="J805" t="s">
        <v>12661</v>
      </c>
    </row>
    <row r="806" spans="1:10">
      <c r="A806" s="1">
        <v>665604</v>
      </c>
      <c r="B806" s="1">
        <v>78533172607</v>
      </c>
      <c r="C806" s="1">
        <v>1</v>
      </c>
      <c r="D806" s="1" t="s">
        <v>12053</v>
      </c>
      <c r="E806" t="s">
        <v>12662</v>
      </c>
      <c r="F806" s="1">
        <v>660050</v>
      </c>
      <c r="G806" s="1">
        <v>21116603682</v>
      </c>
      <c r="H806" s="1">
        <v>1</v>
      </c>
      <c r="I806" s="1" t="s">
        <v>12362</v>
      </c>
      <c r="J806" t="s">
        <v>12663</v>
      </c>
    </row>
    <row r="807" spans="1:10">
      <c r="A807" s="1">
        <v>661660</v>
      </c>
      <c r="B807" s="1">
        <v>78533172606</v>
      </c>
      <c r="C807" s="1">
        <v>1</v>
      </c>
      <c r="D807" s="1" t="s">
        <v>12329</v>
      </c>
      <c r="E807" t="s">
        <v>12664</v>
      </c>
      <c r="F807" s="1">
        <v>657106</v>
      </c>
      <c r="G807" s="1">
        <v>28533181145</v>
      </c>
      <c r="H807" s="1">
        <v>1</v>
      </c>
      <c r="I807" s="1" t="s">
        <v>12335</v>
      </c>
      <c r="J807" t="s">
        <v>12665</v>
      </c>
    </row>
    <row r="808" spans="1:10">
      <c r="A808" s="1">
        <v>661033</v>
      </c>
      <c r="B808" s="1">
        <v>28533113774</v>
      </c>
      <c r="C808" s="1">
        <v>1</v>
      </c>
      <c r="D808" s="1" t="s">
        <v>12089</v>
      </c>
      <c r="E808" t="s">
        <v>12666</v>
      </c>
      <c r="F808" s="1">
        <v>308122</v>
      </c>
      <c r="G808" s="1">
        <v>8533181299</v>
      </c>
      <c r="H808" s="1">
        <v>1</v>
      </c>
      <c r="I808" s="1" t="s">
        <v>12089</v>
      </c>
      <c r="J808" t="s">
        <v>12667</v>
      </c>
    </row>
    <row r="809" spans="1:10">
      <c r="A809" s="1">
        <v>662262</v>
      </c>
      <c r="B809" s="1">
        <v>28533153531</v>
      </c>
      <c r="C809" s="1">
        <v>1</v>
      </c>
      <c r="D809" s="1" t="s">
        <v>12394</v>
      </c>
      <c r="E809" t="s">
        <v>12668</v>
      </c>
      <c r="F809" s="1">
        <v>659136</v>
      </c>
      <c r="G809" s="1">
        <v>28533181200</v>
      </c>
      <c r="H809" s="1">
        <v>1</v>
      </c>
      <c r="I809" s="1" t="s">
        <v>12106</v>
      </c>
      <c r="J809" t="s">
        <v>12669</v>
      </c>
    </row>
    <row r="810" spans="1:10">
      <c r="A810" s="1">
        <v>389593</v>
      </c>
      <c r="B810" s="1">
        <v>85331002513</v>
      </c>
      <c r="C810" s="1">
        <v>1</v>
      </c>
      <c r="D810" s="1" t="s">
        <v>12383</v>
      </c>
      <c r="E810" t="s">
        <v>12670</v>
      </c>
      <c r="F810" s="1">
        <v>251165</v>
      </c>
      <c r="G810" s="1">
        <v>4144008126</v>
      </c>
      <c r="H810" s="1">
        <v>1</v>
      </c>
      <c r="I810" s="1" t="s">
        <v>6595</v>
      </c>
      <c r="J810" t="s">
        <v>12671</v>
      </c>
    </row>
    <row r="811" spans="1:10">
      <c r="A811" s="1">
        <v>671586</v>
      </c>
      <c r="B811" s="1">
        <v>20000000000</v>
      </c>
      <c r="C811" s="1">
        <v>1</v>
      </c>
      <c r="D811" s="1" t="s">
        <v>1973</v>
      </c>
      <c r="E811" t="s">
        <v>12672</v>
      </c>
      <c r="F811" s="1">
        <v>659359</v>
      </c>
      <c r="G811" s="1">
        <v>28533181223</v>
      </c>
      <c r="H811" s="1">
        <v>1</v>
      </c>
      <c r="I811" s="1" t="s">
        <v>6744</v>
      </c>
      <c r="J811" t="s">
        <v>12673</v>
      </c>
    </row>
    <row r="812" spans="1:10">
      <c r="A812" s="1">
        <v>166504</v>
      </c>
      <c r="B812" s="1">
        <v>7091902383</v>
      </c>
      <c r="C812" s="1">
        <v>12</v>
      </c>
      <c r="D812" s="1" t="s">
        <v>399</v>
      </c>
      <c r="E812" t="s">
        <v>12674</v>
      </c>
      <c r="F812" s="1">
        <v>659342</v>
      </c>
      <c r="G812" s="1">
        <v>28533181241</v>
      </c>
      <c r="H812" s="1">
        <v>1</v>
      </c>
      <c r="I812" s="1" t="s">
        <v>11999</v>
      </c>
      <c r="J812" t="s">
        <v>12675</v>
      </c>
    </row>
    <row r="813" spans="1:10">
      <c r="A813" s="1">
        <v>457390</v>
      </c>
      <c r="B813" s="1">
        <v>7091902457</v>
      </c>
      <c r="C813" s="1">
        <v>12</v>
      </c>
      <c r="D813" s="1" t="s">
        <v>399</v>
      </c>
      <c r="E813" t="s">
        <v>12676</v>
      </c>
      <c r="F813" s="1">
        <v>484857</v>
      </c>
      <c r="G813" s="1">
        <v>4144081263</v>
      </c>
      <c r="H813" s="1">
        <v>1</v>
      </c>
      <c r="I813" s="1" t="s">
        <v>12388</v>
      </c>
      <c r="J813" t="s">
        <v>12677</v>
      </c>
    </row>
    <row r="814" spans="1:10">
      <c r="A814" s="1">
        <v>661678</v>
      </c>
      <c r="B814" s="1">
        <v>7091902433</v>
      </c>
      <c r="C814" s="1">
        <v>12</v>
      </c>
      <c r="D814" s="1" t="s">
        <v>399</v>
      </c>
      <c r="E814" t="s">
        <v>12678</v>
      </c>
      <c r="F814" s="1">
        <v>658658</v>
      </c>
      <c r="G814" s="1">
        <v>28533181120</v>
      </c>
      <c r="H814" s="1">
        <v>1</v>
      </c>
      <c r="I814" s="1" t="s">
        <v>11999</v>
      </c>
      <c r="J814" t="s">
        <v>12679</v>
      </c>
    </row>
    <row r="815" spans="1:10">
      <c r="A815" s="1">
        <v>660233</v>
      </c>
      <c r="B815" s="1">
        <v>7091902381</v>
      </c>
      <c r="C815" s="1">
        <v>12</v>
      </c>
      <c r="D815" s="1" t="s">
        <v>399</v>
      </c>
      <c r="E815" t="s">
        <v>12680</v>
      </c>
      <c r="F815" s="1">
        <v>659318</v>
      </c>
      <c r="G815" s="1">
        <v>28533181010</v>
      </c>
      <c r="H815" s="1">
        <v>1</v>
      </c>
      <c r="I815" s="1" t="s">
        <v>12181</v>
      </c>
      <c r="J815" t="s">
        <v>12681</v>
      </c>
    </row>
    <row r="816" spans="1:10">
      <c r="A816" s="1">
        <v>659086</v>
      </c>
      <c r="B816" s="1">
        <v>7091902380</v>
      </c>
      <c r="C816" s="1">
        <v>12</v>
      </c>
      <c r="D816" s="1" t="s">
        <v>399</v>
      </c>
      <c r="E816" t="s">
        <v>12682</v>
      </c>
      <c r="F816" s="1">
        <v>829341</v>
      </c>
      <c r="G816" s="1">
        <v>7580013005</v>
      </c>
      <c r="H816" s="1">
        <v>10</v>
      </c>
      <c r="I816" s="1" t="s">
        <v>12683</v>
      </c>
      <c r="J816" t="s">
        <v>12684</v>
      </c>
    </row>
    <row r="817" spans="1:10">
      <c r="A817" s="1">
        <v>772848</v>
      </c>
      <c r="B817" s="1">
        <v>7091907203</v>
      </c>
      <c r="C817" s="1">
        <v>1</v>
      </c>
      <c r="D817" s="1" t="s">
        <v>6774</v>
      </c>
      <c r="E817" t="s">
        <v>12685</v>
      </c>
      <c r="F817" s="1">
        <v>498766</v>
      </c>
      <c r="G817" s="1">
        <v>7080007242</v>
      </c>
      <c r="H817" s="1">
        <v>18</v>
      </c>
      <c r="I817" s="1" t="s">
        <v>12477</v>
      </c>
      <c r="J817" t="s">
        <v>12686</v>
      </c>
    </row>
    <row r="818" spans="1:10">
      <c r="A818" s="1">
        <v>659052</v>
      </c>
      <c r="B818" s="1">
        <v>7091902321</v>
      </c>
      <c r="C818" s="1">
        <v>12</v>
      </c>
      <c r="D818" s="1" t="s">
        <v>399</v>
      </c>
      <c r="E818" t="s">
        <v>12687</v>
      </c>
      <c r="F818" s="1">
        <v>498758</v>
      </c>
      <c r="G818" s="1">
        <v>7080007510</v>
      </c>
      <c r="H818" s="1">
        <v>12</v>
      </c>
      <c r="I818" s="1" t="s">
        <v>6804</v>
      </c>
      <c r="J818" t="s">
        <v>12688</v>
      </c>
    </row>
    <row r="819" spans="1:10">
      <c r="A819" s="1">
        <v>654905</v>
      </c>
      <c r="B819" s="1">
        <v>24450032464</v>
      </c>
      <c r="C819" s="1">
        <v>1</v>
      </c>
      <c r="D819" s="1" t="s">
        <v>11999</v>
      </c>
      <c r="E819" t="s">
        <v>12689</v>
      </c>
      <c r="F819" s="1">
        <v>498782</v>
      </c>
      <c r="G819" s="1">
        <v>7080007195</v>
      </c>
      <c r="H819" s="1">
        <v>16</v>
      </c>
      <c r="I819" s="1" t="s">
        <v>4719</v>
      </c>
      <c r="J819" t="s">
        <v>12690</v>
      </c>
    </row>
    <row r="820" spans="1:10">
      <c r="A820" s="1">
        <v>470393</v>
      </c>
      <c r="B820" s="1">
        <v>21277844002</v>
      </c>
      <c r="C820" s="1">
        <v>1</v>
      </c>
      <c r="D820" s="1" t="s">
        <v>6751</v>
      </c>
      <c r="E820" t="s">
        <v>12691</v>
      </c>
      <c r="F820" s="1">
        <v>206722</v>
      </c>
      <c r="G820" s="1">
        <v>7080007195</v>
      </c>
      <c r="H820" s="1">
        <v>16</v>
      </c>
      <c r="I820" s="1" t="s">
        <v>489</v>
      </c>
      <c r="J820" t="s">
        <v>12690</v>
      </c>
    </row>
    <row r="821" spans="1:10">
      <c r="A821" s="1">
        <v>296244</v>
      </c>
      <c r="B821" s="1">
        <v>21277843977</v>
      </c>
      <c r="C821" s="1">
        <v>1</v>
      </c>
      <c r="D821" s="1" t="s">
        <v>12394</v>
      </c>
      <c r="E821" t="s">
        <v>12692</v>
      </c>
      <c r="F821" s="1">
        <v>671941</v>
      </c>
      <c r="G821" s="1">
        <v>7080007242</v>
      </c>
      <c r="H821" s="1">
        <v>18</v>
      </c>
      <c r="I821" s="1" t="s">
        <v>399</v>
      </c>
      <c r="J821" t="s">
        <v>12693</v>
      </c>
    </row>
    <row r="822" spans="1:10" ht="15.75">
      <c r="A822" s="4" t="s">
        <v>12593</v>
      </c>
      <c r="B822" s="2"/>
      <c r="C822" s="2"/>
      <c r="D822" s="2"/>
      <c r="E822" s="3"/>
      <c r="F822" s="4" t="s">
        <v>12593</v>
      </c>
      <c r="G822" s="2"/>
      <c r="H822" s="2"/>
      <c r="I822" s="2"/>
      <c r="J822" s="3"/>
    </row>
    <row r="823" spans="1:10">
      <c r="A823" s="2" t="s">
        <v>0</v>
      </c>
      <c r="B823" s="2" t="s">
        <v>1</v>
      </c>
      <c r="C823" s="2" t="s">
        <v>2</v>
      </c>
      <c r="D823" s="2" t="s">
        <v>3</v>
      </c>
      <c r="E823" s="3" t="s">
        <v>4</v>
      </c>
      <c r="F823" s="2" t="s">
        <v>0</v>
      </c>
      <c r="G823" s="2" t="s">
        <v>1</v>
      </c>
      <c r="H823" s="2" t="s">
        <v>2</v>
      </c>
      <c r="I823" s="2" t="s">
        <v>3</v>
      </c>
      <c r="J823" s="3" t="s">
        <v>4</v>
      </c>
    </row>
    <row r="824" spans="1:10">
      <c r="A824" s="1">
        <v>655324</v>
      </c>
      <c r="B824" s="1">
        <v>27080007421</v>
      </c>
      <c r="C824" s="1">
        <v>1</v>
      </c>
      <c r="D824" s="1" t="s">
        <v>12018</v>
      </c>
      <c r="E824" t="s">
        <v>12694</v>
      </c>
      <c r="F824" s="1">
        <v>699496</v>
      </c>
      <c r="G824" s="1">
        <v>27080003119</v>
      </c>
      <c r="H824" s="1">
        <v>1</v>
      </c>
      <c r="I824" s="1" t="s">
        <v>12335</v>
      </c>
      <c r="J824" t="s">
        <v>12695</v>
      </c>
    </row>
    <row r="825" spans="1:10">
      <c r="A825" s="1">
        <v>498725</v>
      </c>
      <c r="B825" s="1">
        <v>7080007416</v>
      </c>
      <c r="C825" s="1">
        <v>12</v>
      </c>
      <c r="D825" s="1" t="s">
        <v>6804</v>
      </c>
      <c r="E825" t="s">
        <v>12696</v>
      </c>
      <c r="F825" s="1">
        <v>656033</v>
      </c>
      <c r="G825" s="1">
        <v>27080003221</v>
      </c>
      <c r="H825" s="1">
        <v>1</v>
      </c>
      <c r="I825" s="1" t="s">
        <v>12186</v>
      </c>
      <c r="J825" t="s">
        <v>12697</v>
      </c>
    </row>
    <row r="826" spans="1:10">
      <c r="A826" s="1">
        <v>694604</v>
      </c>
      <c r="B826" s="1">
        <v>7080003151</v>
      </c>
      <c r="C826" s="1">
        <v>1</v>
      </c>
      <c r="D826" s="1" t="s">
        <v>11997</v>
      </c>
      <c r="E826" t="s">
        <v>12698</v>
      </c>
      <c r="F826" s="1">
        <v>152751</v>
      </c>
      <c r="G826" s="1">
        <v>72802664</v>
      </c>
      <c r="H826" s="1">
        <v>4</v>
      </c>
      <c r="I826" s="1" t="s">
        <v>6597</v>
      </c>
      <c r="J826" t="s">
        <v>12699</v>
      </c>
    </row>
    <row r="827" spans="1:10">
      <c r="A827" s="1">
        <v>699082</v>
      </c>
      <c r="B827" s="1">
        <v>7080003151</v>
      </c>
      <c r="C827" s="1">
        <v>1</v>
      </c>
      <c r="D827" s="1" t="s">
        <v>12181</v>
      </c>
      <c r="E827" t="s">
        <v>12700</v>
      </c>
      <c r="F827" s="1">
        <v>120907</v>
      </c>
      <c r="G827" s="1">
        <v>73803141</v>
      </c>
      <c r="H827" s="1">
        <v>8</v>
      </c>
      <c r="I827" s="1" t="s">
        <v>12089</v>
      </c>
      <c r="J827" t="s">
        <v>12701</v>
      </c>
    </row>
    <row r="828" spans="1:10">
      <c r="A828" s="1">
        <v>341198</v>
      </c>
      <c r="B828" s="1">
        <v>78533115056</v>
      </c>
      <c r="C828" s="1">
        <v>1</v>
      </c>
      <c r="D828" s="1" t="s">
        <v>6600</v>
      </c>
      <c r="E828" t="s">
        <v>12702</v>
      </c>
      <c r="F828" s="1">
        <v>519769</v>
      </c>
      <c r="G828" s="1">
        <v>7389003142</v>
      </c>
      <c r="H828" s="1">
        <v>1</v>
      </c>
      <c r="I828" s="1" t="s">
        <v>12327</v>
      </c>
      <c r="J828" t="s">
        <v>12703</v>
      </c>
    </row>
    <row r="829" spans="1:10">
      <c r="A829" s="1">
        <v>27086</v>
      </c>
      <c r="B829" s="1">
        <v>8378466104</v>
      </c>
      <c r="C829" s="1">
        <v>1</v>
      </c>
      <c r="D829" s="1" t="s">
        <v>6741</v>
      </c>
      <c r="E829" t="s">
        <v>12704</v>
      </c>
      <c r="F829" s="1">
        <v>450718</v>
      </c>
      <c r="G829" s="1">
        <v>7389002675</v>
      </c>
      <c r="H829" s="1">
        <v>4</v>
      </c>
      <c r="I829" s="1" t="s">
        <v>12053</v>
      </c>
      <c r="J829" t="s">
        <v>12705</v>
      </c>
    </row>
    <row r="830" spans="1:10">
      <c r="A830" s="1">
        <v>472498</v>
      </c>
      <c r="B830" s="1">
        <v>90285331031</v>
      </c>
      <c r="C830" s="1">
        <v>4</v>
      </c>
      <c r="D830" s="1" t="s">
        <v>6772</v>
      </c>
      <c r="E830" t="s">
        <v>12706</v>
      </c>
      <c r="F830" s="1">
        <v>433755</v>
      </c>
      <c r="G830" s="1">
        <v>7389002603</v>
      </c>
      <c r="H830" s="1">
        <v>16</v>
      </c>
      <c r="I830" s="1" t="s">
        <v>375</v>
      </c>
      <c r="J830" t="s">
        <v>12707</v>
      </c>
    </row>
    <row r="831" spans="1:10">
      <c r="A831" s="1">
        <v>601104</v>
      </c>
      <c r="B831" s="1">
        <v>4113081576</v>
      </c>
      <c r="C831" s="1">
        <v>4</v>
      </c>
      <c r="D831" s="1" t="s">
        <v>11749</v>
      </c>
      <c r="E831" t="s">
        <v>12708</v>
      </c>
      <c r="F831" s="1">
        <v>312892</v>
      </c>
      <c r="G831" s="1">
        <v>738902514</v>
      </c>
      <c r="H831" s="1">
        <v>8</v>
      </c>
      <c r="I831" s="1" t="s">
        <v>6597</v>
      </c>
      <c r="J831" t="s">
        <v>12709</v>
      </c>
    </row>
    <row r="832" spans="1:10">
      <c r="A832" s="1">
        <v>491134</v>
      </c>
      <c r="B832" s="1">
        <v>4113081550</v>
      </c>
      <c r="C832" s="1">
        <v>8</v>
      </c>
      <c r="D832" s="1" t="s">
        <v>6760</v>
      </c>
      <c r="E832" t="s">
        <v>12710</v>
      </c>
      <c r="F832" s="1">
        <v>548180</v>
      </c>
      <c r="G832" s="1">
        <v>4450011151</v>
      </c>
      <c r="H832" s="1">
        <v>4</v>
      </c>
      <c r="I832" s="1" t="s">
        <v>12711</v>
      </c>
      <c r="J832" t="s">
        <v>12712</v>
      </c>
    </row>
    <row r="833" spans="1:10" ht="15.75">
      <c r="A833" s="1">
        <v>610477</v>
      </c>
      <c r="B833" s="1">
        <v>4113081570</v>
      </c>
      <c r="C833" s="1">
        <v>4</v>
      </c>
      <c r="D833" s="1" t="s">
        <v>12713</v>
      </c>
      <c r="E833" t="s">
        <v>12714</v>
      </c>
      <c r="F833" s="4" t="s">
        <v>12715</v>
      </c>
      <c r="G833" s="2"/>
      <c r="H833" s="2"/>
      <c r="I833" s="2"/>
      <c r="J833" s="3"/>
    </row>
    <row r="834" spans="1:10">
      <c r="A834" s="1">
        <v>453290</v>
      </c>
      <c r="B834" s="1">
        <v>4113081577</v>
      </c>
      <c r="C834" s="1">
        <v>4</v>
      </c>
      <c r="D834" s="1" t="s">
        <v>11749</v>
      </c>
      <c r="E834" t="s">
        <v>12716</v>
      </c>
      <c r="F834" s="2" t="s">
        <v>0</v>
      </c>
      <c r="G834" s="2" t="s">
        <v>1</v>
      </c>
      <c r="H834" s="2" t="s">
        <v>2</v>
      </c>
      <c r="I834" s="2" t="s">
        <v>3</v>
      </c>
      <c r="J834" s="3" t="s">
        <v>4</v>
      </c>
    </row>
    <row r="835" spans="1:10">
      <c r="A835" s="1">
        <v>60475</v>
      </c>
      <c r="B835" s="1">
        <v>4113000000</v>
      </c>
      <c r="C835" s="1">
        <v>4</v>
      </c>
      <c r="D835" s="1" t="s">
        <v>12713</v>
      </c>
      <c r="E835" t="s">
        <v>12717</v>
      </c>
      <c r="F835" s="1">
        <v>668525</v>
      </c>
      <c r="G835" s="1">
        <v>4320017384</v>
      </c>
      <c r="H835" s="1">
        <v>6</v>
      </c>
      <c r="I835" s="1" t="s">
        <v>4723</v>
      </c>
      <c r="J835" t="s">
        <v>12718</v>
      </c>
    </row>
    <row r="836" spans="1:10">
      <c r="A836" s="1">
        <v>253732</v>
      </c>
      <c r="B836" s="1">
        <v>4113000000</v>
      </c>
      <c r="C836" s="1">
        <v>2</v>
      </c>
      <c r="D836" s="1" t="s">
        <v>7136</v>
      </c>
      <c r="E836" t="s">
        <v>12719</v>
      </c>
      <c r="F836" s="1">
        <v>663013</v>
      </c>
      <c r="G836" s="1">
        <v>3760023221</v>
      </c>
      <c r="H836" s="1">
        <v>6</v>
      </c>
      <c r="I836" s="1" t="s">
        <v>4723</v>
      </c>
      <c r="J836" t="s">
        <v>12720</v>
      </c>
    </row>
    <row r="837" spans="1:10">
      <c r="A837" s="1">
        <v>695601</v>
      </c>
      <c r="B837" s="1">
        <v>7080002498</v>
      </c>
      <c r="C837" s="1">
        <v>4</v>
      </c>
      <c r="D837" s="1" t="s">
        <v>12721</v>
      </c>
      <c r="E837" t="s">
        <v>12722</v>
      </c>
      <c r="F837" s="1">
        <v>663021</v>
      </c>
      <c r="G837" s="1">
        <v>3760030996</v>
      </c>
      <c r="H837" s="1">
        <v>6</v>
      </c>
      <c r="I837" s="1" t="s">
        <v>4658</v>
      </c>
      <c r="J837" t="s">
        <v>12720</v>
      </c>
    </row>
    <row r="838" spans="1:10">
      <c r="A838" s="1">
        <v>178368</v>
      </c>
      <c r="B838" s="1">
        <v>70800048793</v>
      </c>
      <c r="C838" s="1">
        <v>16</v>
      </c>
      <c r="D838" s="1" t="s">
        <v>399</v>
      </c>
      <c r="E838" t="s">
        <v>12723</v>
      </c>
      <c r="F838" s="1">
        <v>663575</v>
      </c>
      <c r="G838" s="1">
        <v>3760022342</v>
      </c>
      <c r="H838" s="1">
        <v>12</v>
      </c>
      <c r="I838" s="1" t="s">
        <v>347</v>
      </c>
      <c r="J838" t="s">
        <v>12724</v>
      </c>
    </row>
    <row r="839" spans="1:10">
      <c r="A839" s="1">
        <v>257204</v>
      </c>
      <c r="B839" s="1">
        <v>70800048854</v>
      </c>
      <c r="C839" s="1">
        <v>16</v>
      </c>
      <c r="D839" s="1" t="s">
        <v>399</v>
      </c>
      <c r="E839" t="s">
        <v>12725</v>
      </c>
      <c r="F839" s="1">
        <v>94680</v>
      </c>
      <c r="G839" s="1">
        <v>4350001000</v>
      </c>
      <c r="H839" s="1">
        <v>24</v>
      </c>
      <c r="I839" s="1" t="s">
        <v>1973</v>
      </c>
      <c r="J839" t="s">
        <v>12726</v>
      </c>
    </row>
    <row r="840" spans="1:10" ht="15.75">
      <c r="A840" s="1">
        <v>364646</v>
      </c>
      <c r="B840" s="1">
        <v>70800048861</v>
      </c>
      <c r="C840" s="1">
        <v>16</v>
      </c>
      <c r="D840" s="1" t="s">
        <v>399</v>
      </c>
      <c r="E840" t="s">
        <v>12727</v>
      </c>
      <c r="F840" s="4" t="s">
        <v>12728</v>
      </c>
      <c r="G840" s="2"/>
      <c r="H840" s="2"/>
      <c r="I840" s="2"/>
      <c r="J840" s="3"/>
    </row>
    <row r="841" spans="1:10">
      <c r="A841" s="1">
        <v>740795</v>
      </c>
      <c r="B841" s="1">
        <v>7080003968</v>
      </c>
      <c r="C841" s="1">
        <v>8</v>
      </c>
      <c r="D841" s="1" t="s">
        <v>4723</v>
      </c>
      <c r="E841" t="s">
        <v>12729</v>
      </c>
      <c r="F841" s="2" t="s">
        <v>0</v>
      </c>
      <c r="G841" s="2" t="s">
        <v>1</v>
      </c>
      <c r="H841" s="2" t="s">
        <v>2</v>
      </c>
      <c r="I841" s="2" t="s">
        <v>3</v>
      </c>
      <c r="J841" s="3" t="s">
        <v>4</v>
      </c>
    </row>
    <row r="842" spans="1:10">
      <c r="A842" s="1">
        <v>733741</v>
      </c>
      <c r="B842" s="1">
        <v>70800003137</v>
      </c>
      <c r="C842" s="1">
        <v>1</v>
      </c>
      <c r="D842" s="1" t="s">
        <v>11999</v>
      </c>
      <c r="E842" t="s">
        <v>12730</v>
      </c>
      <c r="F842" s="1">
        <v>693747</v>
      </c>
      <c r="G842" s="1">
        <v>7367502502</v>
      </c>
      <c r="H842" s="1">
        <v>6</v>
      </c>
      <c r="I842" s="1" t="s">
        <v>4815</v>
      </c>
      <c r="J842" t="s">
        <v>12731</v>
      </c>
    </row>
    <row r="843" spans="1:10">
      <c r="A843" s="1">
        <v>658781</v>
      </c>
      <c r="B843" s="1">
        <v>27080003119</v>
      </c>
      <c r="C843" s="1">
        <v>1</v>
      </c>
      <c r="D843" s="1" t="s">
        <v>12338</v>
      </c>
      <c r="E843" t="s">
        <v>12732</v>
      </c>
      <c r="F843" s="1">
        <v>784470</v>
      </c>
      <c r="G843" s="1">
        <v>7367502501</v>
      </c>
      <c r="H843" s="1">
        <v>6</v>
      </c>
      <c r="I843" s="1" t="s">
        <v>6741</v>
      </c>
      <c r="J843" t="s">
        <v>12733</v>
      </c>
    </row>
    <row r="844" spans="1:10">
      <c r="A844" s="1">
        <v>655118</v>
      </c>
      <c r="B844" s="1">
        <v>27080003800</v>
      </c>
      <c r="C844" s="1">
        <v>1</v>
      </c>
      <c r="D844" s="1" t="s">
        <v>1973</v>
      </c>
      <c r="E844" t="s">
        <v>12734</v>
      </c>
      <c r="F844" s="1">
        <v>464412</v>
      </c>
      <c r="G844" s="1">
        <v>21277843975</v>
      </c>
      <c r="H844" s="1">
        <v>1</v>
      </c>
      <c r="I844" s="1" t="s">
        <v>11753</v>
      </c>
      <c r="J844" t="s">
        <v>12735</v>
      </c>
    </row>
    <row r="845" spans="1:10">
      <c r="A845" s="1">
        <v>659383</v>
      </c>
      <c r="B845" s="1">
        <v>27080005095</v>
      </c>
      <c r="C845" s="1">
        <v>1</v>
      </c>
      <c r="D845" s="1" t="s">
        <v>11999</v>
      </c>
      <c r="E845" t="s">
        <v>12736</v>
      </c>
      <c r="F845" s="1">
        <v>884890</v>
      </c>
      <c r="G845" s="1">
        <v>21277843974</v>
      </c>
      <c r="H845" s="1">
        <v>1</v>
      </c>
      <c r="I845" s="1" t="s">
        <v>12394</v>
      </c>
      <c r="J845" t="s">
        <v>12737</v>
      </c>
    </row>
    <row r="846" spans="1:10">
      <c r="A846" s="1">
        <v>655415</v>
      </c>
      <c r="B846" s="1">
        <v>7080003151</v>
      </c>
      <c r="C846" s="1">
        <v>1</v>
      </c>
      <c r="D846" s="1" t="s">
        <v>11997</v>
      </c>
      <c r="E846" t="s">
        <v>12738</v>
      </c>
      <c r="F846" s="1">
        <v>657601</v>
      </c>
      <c r="G846" s="1">
        <v>20000000105</v>
      </c>
      <c r="H846" s="1">
        <v>1</v>
      </c>
      <c r="I846" s="1" t="s">
        <v>12335</v>
      </c>
      <c r="J846" t="s">
        <v>12739</v>
      </c>
    </row>
    <row r="847" spans="1:10">
      <c r="A847" s="1">
        <v>412189</v>
      </c>
      <c r="B847" s="1">
        <v>7080000388</v>
      </c>
      <c r="C847" s="1">
        <v>8</v>
      </c>
      <c r="D847" s="1" t="s">
        <v>12740</v>
      </c>
      <c r="E847" t="s">
        <v>12741</v>
      </c>
      <c r="F847" s="1">
        <v>512129</v>
      </c>
      <c r="G847" s="1">
        <v>70815665920</v>
      </c>
      <c r="H847" s="1">
        <v>1</v>
      </c>
      <c r="I847" s="1" t="s">
        <v>6810</v>
      </c>
      <c r="J847" t="s">
        <v>12742</v>
      </c>
    </row>
    <row r="848" spans="1:10">
      <c r="A848" s="1">
        <v>558114</v>
      </c>
      <c r="B848" s="1">
        <v>7080000388</v>
      </c>
      <c r="C848" s="1">
        <v>8</v>
      </c>
      <c r="D848" s="1" t="s">
        <v>12740</v>
      </c>
      <c r="E848" t="s">
        <v>12743</v>
      </c>
      <c r="F848" s="1">
        <v>323501</v>
      </c>
      <c r="G848" s="1">
        <v>70815665920</v>
      </c>
      <c r="H848" s="1">
        <v>1</v>
      </c>
      <c r="I848" s="1" t="s">
        <v>6810</v>
      </c>
      <c r="J848" t="s">
        <v>12744</v>
      </c>
    </row>
    <row r="849" spans="1:10">
      <c r="A849" s="1">
        <v>203794</v>
      </c>
      <c r="B849" s="1">
        <v>70800002986</v>
      </c>
      <c r="C849" s="1">
        <v>1</v>
      </c>
      <c r="D849" s="1" t="s">
        <v>11999</v>
      </c>
      <c r="E849" t="s">
        <v>12745</v>
      </c>
      <c r="F849" s="1">
        <v>526517</v>
      </c>
      <c r="G849" s="1">
        <v>70815665920</v>
      </c>
      <c r="H849" s="1">
        <v>1</v>
      </c>
      <c r="I849" s="1" t="s">
        <v>6729</v>
      </c>
      <c r="J849" t="s">
        <v>12746</v>
      </c>
    </row>
    <row r="850" spans="1:10">
      <c r="A850" s="1">
        <v>699074</v>
      </c>
      <c r="B850" s="1">
        <v>7080003151</v>
      </c>
      <c r="C850" s="1">
        <v>1</v>
      </c>
      <c r="D850" s="1" t="s">
        <v>12181</v>
      </c>
      <c r="E850" t="s">
        <v>12747</v>
      </c>
      <c r="F850" s="1">
        <v>661876</v>
      </c>
      <c r="G850" s="1">
        <v>27705250223</v>
      </c>
      <c r="H850" s="1">
        <v>15</v>
      </c>
      <c r="I850" s="1" t="s">
        <v>1973</v>
      </c>
      <c r="J850" t="s">
        <v>12748</v>
      </c>
    </row>
    <row r="851" spans="1:10">
      <c r="A851" s="1">
        <v>661819</v>
      </c>
      <c r="B851" s="1">
        <v>27080003414</v>
      </c>
      <c r="C851" s="1">
        <v>1</v>
      </c>
      <c r="D851" s="1" t="s">
        <v>12018</v>
      </c>
      <c r="E851" t="s">
        <v>12749</v>
      </c>
      <c r="F851" s="1">
        <v>662106</v>
      </c>
      <c r="G851" s="1">
        <v>8378407403</v>
      </c>
      <c r="H851" s="1">
        <v>10</v>
      </c>
      <c r="I851" s="1" t="s">
        <v>503</v>
      </c>
      <c r="J851" t="s">
        <v>12750</v>
      </c>
    </row>
    <row r="852" spans="1:10">
      <c r="A852" s="1">
        <v>659722</v>
      </c>
      <c r="B852" s="1">
        <v>27080003481</v>
      </c>
      <c r="C852" s="1">
        <v>1</v>
      </c>
      <c r="D852" s="1" t="s">
        <v>12449</v>
      </c>
      <c r="E852" t="s">
        <v>12751</v>
      </c>
      <c r="F852" s="1">
        <v>654178</v>
      </c>
      <c r="G852" s="1">
        <v>22056380000</v>
      </c>
      <c r="H852" s="1">
        <v>1</v>
      </c>
      <c r="I852" s="1" t="s">
        <v>6729</v>
      </c>
      <c r="J852" t="s">
        <v>12752</v>
      </c>
    </row>
    <row r="853" spans="1:10">
      <c r="A853" s="1">
        <v>651513</v>
      </c>
      <c r="B853" s="1">
        <v>27080003426</v>
      </c>
      <c r="C853" s="1">
        <v>1</v>
      </c>
      <c r="D853" s="1" t="s">
        <v>12106</v>
      </c>
      <c r="E853" t="s">
        <v>12753</v>
      </c>
      <c r="F853" s="1">
        <v>498709</v>
      </c>
      <c r="G853" s="1">
        <v>8378400025</v>
      </c>
      <c r="H853" s="1">
        <v>10</v>
      </c>
      <c r="I853" s="1" t="s">
        <v>4719</v>
      </c>
      <c r="J853" t="s">
        <v>12754</v>
      </c>
    </row>
    <row r="854" spans="1:10">
      <c r="A854" s="1">
        <v>659128</v>
      </c>
      <c r="B854" s="1">
        <v>27080003497</v>
      </c>
      <c r="C854" s="1">
        <v>1</v>
      </c>
      <c r="D854" s="1" t="s">
        <v>12338</v>
      </c>
      <c r="E854" t="s">
        <v>12755</v>
      </c>
      <c r="F854" s="1">
        <v>206730</v>
      </c>
      <c r="G854" s="1">
        <v>8533106980</v>
      </c>
      <c r="H854" s="1">
        <v>16</v>
      </c>
      <c r="I854" s="1" t="s">
        <v>489</v>
      </c>
      <c r="J854" t="s">
        <v>12756</v>
      </c>
    </row>
    <row r="855" spans="1:10">
      <c r="A855" s="1">
        <v>658088</v>
      </c>
      <c r="B855" s="1">
        <v>27080003767</v>
      </c>
      <c r="C855" s="1">
        <v>1</v>
      </c>
      <c r="D855" s="1" t="s">
        <v>11999</v>
      </c>
      <c r="E855" t="s">
        <v>12757</v>
      </c>
      <c r="F855" s="1">
        <v>498691</v>
      </c>
      <c r="G855" s="1">
        <v>8533115050</v>
      </c>
      <c r="H855" s="1">
        <v>12</v>
      </c>
      <c r="I855" s="1" t="s">
        <v>6804</v>
      </c>
      <c r="J855" t="s">
        <v>12758</v>
      </c>
    </row>
    <row r="856" spans="1:10">
      <c r="A856" s="1">
        <v>658104</v>
      </c>
      <c r="B856" s="1">
        <v>27080003881</v>
      </c>
      <c r="C856" s="1">
        <v>1</v>
      </c>
      <c r="D856" s="1" t="s">
        <v>12632</v>
      </c>
      <c r="E856" t="s">
        <v>12759</v>
      </c>
      <c r="F856" s="1">
        <v>667618</v>
      </c>
      <c r="G856" s="1">
        <v>27080002196</v>
      </c>
      <c r="H856" s="1">
        <v>1</v>
      </c>
      <c r="I856" s="1" t="s">
        <v>6733</v>
      </c>
      <c r="J856" t="s">
        <v>12760</v>
      </c>
    </row>
    <row r="857" spans="1:10">
      <c r="A857" s="1">
        <v>661777</v>
      </c>
      <c r="B857" s="1">
        <v>27080002991</v>
      </c>
      <c r="C857" s="1">
        <v>1</v>
      </c>
      <c r="D857" s="1" t="s">
        <v>6729</v>
      </c>
      <c r="E857" t="s">
        <v>12761</v>
      </c>
      <c r="F857" s="1">
        <v>671891</v>
      </c>
      <c r="G857" s="1">
        <v>27080002190</v>
      </c>
      <c r="H857" s="1">
        <v>1</v>
      </c>
      <c r="I857" s="1" t="s">
        <v>6741</v>
      </c>
      <c r="J857" t="s">
        <v>12762</v>
      </c>
    </row>
    <row r="858" spans="1:10">
      <c r="A858" s="1">
        <v>659524</v>
      </c>
      <c r="B858" s="1">
        <v>27080002990</v>
      </c>
      <c r="C858" s="1">
        <v>1</v>
      </c>
      <c r="D858" s="1" t="s">
        <v>11999</v>
      </c>
      <c r="E858" t="s">
        <v>12763</v>
      </c>
      <c r="F858" s="1">
        <v>761023</v>
      </c>
      <c r="G858" s="1">
        <v>70800003512</v>
      </c>
      <c r="H858" s="1">
        <v>1</v>
      </c>
      <c r="I858" s="1" t="s">
        <v>12764</v>
      </c>
      <c r="J858" t="s">
        <v>12765</v>
      </c>
    </row>
    <row r="859" spans="1:10">
      <c r="A859" s="1">
        <v>663583</v>
      </c>
      <c r="B859" s="1">
        <v>27080003119</v>
      </c>
      <c r="C859" s="1">
        <v>1</v>
      </c>
      <c r="D859" s="1" t="s">
        <v>11999</v>
      </c>
      <c r="E859" t="s">
        <v>12766</v>
      </c>
      <c r="F859" s="1">
        <v>525386</v>
      </c>
      <c r="G859" s="1">
        <v>70800003511</v>
      </c>
      <c r="H859" s="1">
        <v>1</v>
      </c>
      <c r="I859" s="1" t="s">
        <v>12764</v>
      </c>
      <c r="J859" t="s">
        <v>12767</v>
      </c>
    </row>
    <row r="860" spans="1:10">
      <c r="A860" s="1">
        <v>654830</v>
      </c>
      <c r="B860" s="1">
        <v>7080003788</v>
      </c>
      <c r="C860" s="1">
        <v>1</v>
      </c>
      <c r="D860" s="1" t="s">
        <v>11999</v>
      </c>
      <c r="E860" t="s">
        <v>12768</v>
      </c>
      <c r="F860" s="1">
        <v>701128</v>
      </c>
      <c r="G860" s="1">
        <v>7080004910</v>
      </c>
      <c r="H860" s="1">
        <v>12</v>
      </c>
      <c r="I860" s="1" t="s">
        <v>1579</v>
      </c>
      <c r="J860" t="s">
        <v>12769</v>
      </c>
    </row>
    <row r="861" spans="1:10">
      <c r="A861" s="1">
        <v>661868</v>
      </c>
      <c r="B861" s="1">
        <v>27080003663</v>
      </c>
      <c r="C861" s="1">
        <v>1</v>
      </c>
      <c r="D861" s="1" t="s">
        <v>12015</v>
      </c>
      <c r="E861" t="s">
        <v>12770</v>
      </c>
      <c r="F861" s="1">
        <v>689430</v>
      </c>
      <c r="G861" s="1">
        <v>27080002245</v>
      </c>
      <c r="H861" s="1">
        <v>1</v>
      </c>
      <c r="I861" s="1" t="s">
        <v>6786</v>
      </c>
      <c r="J861" t="s">
        <v>12771</v>
      </c>
    </row>
    <row r="862" spans="1:10">
      <c r="A862" s="1">
        <v>699041</v>
      </c>
      <c r="B862" s="1">
        <v>27080003119</v>
      </c>
      <c r="C862" s="1">
        <v>1</v>
      </c>
      <c r="D862" s="1" t="s">
        <v>12388</v>
      </c>
      <c r="E862" t="s">
        <v>12772</v>
      </c>
      <c r="F862" s="1">
        <v>656074</v>
      </c>
      <c r="G862" s="1">
        <v>27080002242</v>
      </c>
      <c r="H862" s="1">
        <v>1</v>
      </c>
      <c r="I862" s="1" t="s">
        <v>11735</v>
      </c>
      <c r="J862" t="s">
        <v>12773</v>
      </c>
    </row>
    <row r="863" spans="1:10" ht="15.75">
      <c r="A863" s="4" t="s">
        <v>12728</v>
      </c>
      <c r="B863" s="2"/>
      <c r="C863" s="2"/>
      <c r="D863" s="2"/>
      <c r="E863" s="3"/>
      <c r="F863" s="4" t="s">
        <v>12774</v>
      </c>
      <c r="G863" s="2"/>
      <c r="H863" s="2"/>
      <c r="I863" s="2"/>
      <c r="J863" s="3"/>
    </row>
    <row r="864" spans="1:10">
      <c r="A864" s="2" t="s">
        <v>0</v>
      </c>
      <c r="B864" s="2" t="s">
        <v>1</v>
      </c>
      <c r="C864" s="2" t="s">
        <v>2</v>
      </c>
      <c r="D864" s="2" t="s">
        <v>3</v>
      </c>
      <c r="E864" s="3" t="s">
        <v>4</v>
      </c>
      <c r="F864" s="2" t="s">
        <v>0</v>
      </c>
      <c r="G864" s="2" t="s">
        <v>1</v>
      </c>
      <c r="H864" s="2" t="s">
        <v>2</v>
      </c>
      <c r="I864" s="2" t="s">
        <v>3</v>
      </c>
      <c r="J864" s="3" t="s">
        <v>4</v>
      </c>
    </row>
    <row r="865" spans="1:10">
      <c r="A865" s="1">
        <v>685537</v>
      </c>
      <c r="B865" s="1">
        <v>27080022661</v>
      </c>
      <c r="C865" s="1">
        <v>1</v>
      </c>
      <c r="D865" s="1" t="s">
        <v>12374</v>
      </c>
      <c r="E865" t="s">
        <v>12775</v>
      </c>
      <c r="F865" s="1">
        <v>664730</v>
      </c>
      <c r="G865" s="1">
        <v>78533172246</v>
      </c>
      <c r="H865" s="1">
        <v>24</v>
      </c>
      <c r="I865" s="1" t="s">
        <v>347</v>
      </c>
      <c r="J865" t="s">
        <v>12776</v>
      </c>
    </row>
    <row r="866" spans="1:10">
      <c r="A866" s="1">
        <v>667022</v>
      </c>
      <c r="B866" s="1">
        <v>20000018238</v>
      </c>
      <c r="C866" s="1">
        <v>1</v>
      </c>
      <c r="D866" s="1" t="s">
        <v>4652</v>
      </c>
      <c r="E866" t="s">
        <v>12777</v>
      </c>
      <c r="F866" s="1">
        <v>664722</v>
      </c>
      <c r="G866" s="1">
        <v>78533172238</v>
      </c>
      <c r="H866" s="1">
        <v>24</v>
      </c>
      <c r="I866" s="1" t="s">
        <v>1973</v>
      </c>
      <c r="J866" t="s">
        <v>12778</v>
      </c>
    </row>
    <row r="867" spans="1:10">
      <c r="A867" s="1">
        <v>745935</v>
      </c>
      <c r="B867" s="1">
        <v>7080004908</v>
      </c>
      <c r="C867" s="1">
        <v>12</v>
      </c>
      <c r="D867" s="1" t="s">
        <v>940</v>
      </c>
      <c r="E867" t="s">
        <v>12779</v>
      </c>
      <c r="F867" s="1">
        <v>418731</v>
      </c>
      <c r="G867" s="1">
        <v>78533172102</v>
      </c>
      <c r="H867" s="1">
        <v>12</v>
      </c>
      <c r="I867" s="1" t="s">
        <v>938</v>
      </c>
      <c r="J867" t="s">
        <v>12780</v>
      </c>
    </row>
    <row r="868" spans="1:10">
      <c r="A868" s="1">
        <v>225664</v>
      </c>
      <c r="B868" s="1">
        <v>27080002196</v>
      </c>
      <c r="C868" s="1">
        <v>1</v>
      </c>
      <c r="D868" s="1" t="s">
        <v>6733</v>
      </c>
      <c r="E868" t="s">
        <v>12781</v>
      </c>
      <c r="F868" s="1">
        <v>664706</v>
      </c>
      <c r="G868" s="1">
        <v>3760035160</v>
      </c>
      <c r="H868" s="1">
        <v>12</v>
      </c>
      <c r="I868" s="1" t="s">
        <v>1973</v>
      </c>
      <c r="J868" t="s">
        <v>12782</v>
      </c>
    </row>
    <row r="869" spans="1:10">
      <c r="A869" s="1">
        <v>154500</v>
      </c>
      <c r="B869" s="1">
        <v>27080002190</v>
      </c>
      <c r="C869" s="1">
        <v>1</v>
      </c>
      <c r="D869" s="1" t="s">
        <v>6741</v>
      </c>
      <c r="E869" t="s">
        <v>12783</v>
      </c>
      <c r="F869" s="1">
        <v>280065</v>
      </c>
      <c r="G869" s="1">
        <v>3760002000</v>
      </c>
      <c r="H869" s="1">
        <v>6</v>
      </c>
      <c r="I869" s="1" t="s">
        <v>375</v>
      </c>
      <c r="J869" t="s">
        <v>12784</v>
      </c>
    </row>
    <row r="870" spans="1:10" ht="15.75">
      <c r="A870" s="4" t="s">
        <v>12785</v>
      </c>
      <c r="B870" s="2"/>
      <c r="C870" s="2"/>
      <c r="D870" s="2"/>
      <c r="E870" s="3"/>
      <c r="F870" s="1">
        <v>236414</v>
      </c>
      <c r="G870" s="1">
        <v>3760016095</v>
      </c>
      <c r="H870" s="1">
        <v>12</v>
      </c>
      <c r="I870" s="1" t="s">
        <v>212</v>
      </c>
      <c r="J870" t="s">
        <v>12786</v>
      </c>
    </row>
    <row r="871" spans="1:10">
      <c r="A871" s="2" t="s">
        <v>0</v>
      </c>
      <c r="B871" s="2" t="s">
        <v>1</v>
      </c>
      <c r="C871" s="2" t="s">
        <v>2</v>
      </c>
      <c r="D871" s="2" t="s">
        <v>3</v>
      </c>
      <c r="E871" s="3" t="s">
        <v>4</v>
      </c>
      <c r="F871" s="1">
        <v>664623</v>
      </c>
      <c r="G871" s="1">
        <v>3760025062</v>
      </c>
      <c r="H871" s="1">
        <v>8</v>
      </c>
      <c r="I871" s="1" t="s">
        <v>347</v>
      </c>
      <c r="J871" t="s">
        <v>12787</v>
      </c>
    </row>
    <row r="872" spans="1:10">
      <c r="A872" s="1">
        <v>206615</v>
      </c>
      <c r="B872" s="1">
        <v>65472181001</v>
      </c>
      <c r="C872" s="1">
        <v>12</v>
      </c>
      <c r="D872" s="1" t="s">
        <v>381</v>
      </c>
      <c r="E872" t="s">
        <v>12788</v>
      </c>
      <c r="F872" s="1">
        <v>743799</v>
      </c>
      <c r="G872" s="1">
        <v>3760045026</v>
      </c>
      <c r="H872" s="1">
        <v>12</v>
      </c>
      <c r="I872" s="1" t="s">
        <v>404</v>
      </c>
      <c r="J872" t="s">
        <v>12789</v>
      </c>
    </row>
    <row r="873" spans="1:10">
      <c r="A873" s="1">
        <v>686113</v>
      </c>
      <c r="B873" s="1">
        <v>27698400100</v>
      </c>
      <c r="C873" s="1">
        <v>1</v>
      </c>
      <c r="D873" s="1" t="s">
        <v>1973</v>
      </c>
      <c r="E873" t="s">
        <v>12790</v>
      </c>
      <c r="F873" s="1">
        <v>664029</v>
      </c>
      <c r="G873" s="1">
        <v>3760037988</v>
      </c>
      <c r="H873" s="1">
        <v>20</v>
      </c>
      <c r="I873" s="1" t="s">
        <v>347</v>
      </c>
      <c r="J873" t="s">
        <v>12791</v>
      </c>
    </row>
    <row r="874" spans="1:10" ht="15.75">
      <c r="A874" s="4" t="s">
        <v>12774</v>
      </c>
      <c r="B874" s="2"/>
      <c r="C874" s="2"/>
      <c r="D874" s="2"/>
      <c r="E874" s="3"/>
      <c r="F874" s="1">
        <v>899591</v>
      </c>
      <c r="G874" s="1">
        <v>7010004845</v>
      </c>
      <c r="H874" s="1">
        <v>16</v>
      </c>
      <c r="I874" s="1" t="s">
        <v>394</v>
      </c>
      <c r="J874" t="s">
        <v>12792</v>
      </c>
    </row>
    <row r="875" spans="1:10">
      <c r="A875" s="2" t="s">
        <v>0</v>
      </c>
      <c r="B875" s="2" t="s">
        <v>1</v>
      </c>
      <c r="C875" s="2" t="s">
        <v>2</v>
      </c>
      <c r="D875" s="2" t="s">
        <v>3</v>
      </c>
      <c r="E875" s="3" t="s">
        <v>4</v>
      </c>
      <c r="F875" s="1">
        <v>664805</v>
      </c>
      <c r="G875" s="1">
        <v>7080004103</v>
      </c>
      <c r="H875" s="1">
        <v>24</v>
      </c>
      <c r="I875" s="1" t="s">
        <v>1973</v>
      </c>
      <c r="J875" t="s">
        <v>12793</v>
      </c>
    </row>
    <row r="876" spans="1:10">
      <c r="A876" s="1">
        <v>673111</v>
      </c>
      <c r="B876" s="1">
        <v>1590006100</v>
      </c>
      <c r="C876" s="1">
        <v>24</v>
      </c>
      <c r="D876" s="1" t="s">
        <v>381</v>
      </c>
      <c r="E876" t="s">
        <v>12794</v>
      </c>
      <c r="F876" s="1">
        <v>664011</v>
      </c>
      <c r="G876" s="1">
        <v>7790052562</v>
      </c>
      <c r="H876" s="1">
        <v>12</v>
      </c>
      <c r="I876" s="1" t="s">
        <v>2636</v>
      </c>
      <c r="J876" t="s">
        <v>12795</v>
      </c>
    </row>
    <row r="877" spans="1:10">
      <c r="A877" s="1">
        <v>469023</v>
      </c>
      <c r="B877" s="1">
        <v>1590005100</v>
      </c>
      <c r="C877" s="1">
        <v>24</v>
      </c>
      <c r="D877" s="1" t="s">
        <v>347</v>
      </c>
      <c r="E877" t="s">
        <v>12796</v>
      </c>
      <c r="F877" s="1">
        <v>517920</v>
      </c>
      <c r="G877" s="1">
        <v>7790052934</v>
      </c>
      <c r="H877" s="1">
        <v>12</v>
      </c>
      <c r="I877" s="1" t="s">
        <v>12797</v>
      </c>
      <c r="J877" t="s">
        <v>12798</v>
      </c>
    </row>
    <row r="878" spans="1:10">
      <c r="A878" s="1">
        <v>490961</v>
      </c>
      <c r="B878" s="1">
        <v>7590000445</v>
      </c>
      <c r="C878" s="1">
        <v>12</v>
      </c>
      <c r="D878" s="1" t="s">
        <v>381</v>
      </c>
      <c r="E878" t="s">
        <v>12799</v>
      </c>
      <c r="F878" s="1">
        <v>258392</v>
      </c>
      <c r="G878" s="1">
        <v>7790014115</v>
      </c>
      <c r="H878" s="1">
        <v>12</v>
      </c>
      <c r="I878" s="1" t="s">
        <v>439</v>
      </c>
      <c r="J878" t="s">
        <v>12800</v>
      </c>
    </row>
    <row r="879" spans="1:10">
      <c r="A879" s="1">
        <v>314625</v>
      </c>
      <c r="B879" s="1">
        <v>7590000510</v>
      </c>
      <c r="C879" s="1">
        <v>18</v>
      </c>
      <c r="D879" s="1" t="s">
        <v>381</v>
      </c>
      <c r="E879" t="s">
        <v>12801</v>
      </c>
      <c r="F879" s="1">
        <v>820845</v>
      </c>
      <c r="G879" s="1">
        <v>7790014110</v>
      </c>
      <c r="H879" s="1">
        <v>16</v>
      </c>
      <c r="I879" s="1" t="s">
        <v>347</v>
      </c>
      <c r="J879" t="s">
        <v>12802</v>
      </c>
    </row>
    <row r="880" spans="1:10">
      <c r="A880" s="1">
        <v>665588</v>
      </c>
      <c r="B880" s="1">
        <v>4530030301</v>
      </c>
      <c r="C880" s="1">
        <v>24</v>
      </c>
      <c r="D880" s="1" t="s">
        <v>347</v>
      </c>
      <c r="E880" t="s">
        <v>12803</v>
      </c>
      <c r="F880" s="1">
        <v>729517</v>
      </c>
      <c r="G880" s="1">
        <v>3390000085</v>
      </c>
      <c r="H880" s="1">
        <v>16</v>
      </c>
      <c r="I880" s="1" t="s">
        <v>404</v>
      </c>
      <c r="J880" t="s">
        <v>12804</v>
      </c>
    </row>
    <row r="881" spans="1:10">
      <c r="A881" s="1">
        <v>196998</v>
      </c>
      <c r="B881" s="1">
        <v>4530030365</v>
      </c>
      <c r="C881" s="1">
        <v>18</v>
      </c>
      <c r="D881" s="1" t="s">
        <v>404</v>
      </c>
      <c r="E881" t="s">
        <v>12805</v>
      </c>
      <c r="F881" s="1">
        <v>663070</v>
      </c>
      <c r="G881" s="1">
        <v>7175502680</v>
      </c>
      <c r="H881" s="1">
        <v>16</v>
      </c>
      <c r="I881" s="1" t="s">
        <v>347</v>
      </c>
      <c r="J881" t="s">
        <v>12806</v>
      </c>
    </row>
    <row r="882" spans="1:10">
      <c r="A882" s="1">
        <v>729467</v>
      </c>
      <c r="B882" s="1">
        <v>7367502934</v>
      </c>
      <c r="C882" s="1">
        <v>16</v>
      </c>
      <c r="D882" s="1" t="s">
        <v>347</v>
      </c>
      <c r="E882" t="s">
        <v>12807</v>
      </c>
      <c r="F882" s="1">
        <v>675686</v>
      </c>
      <c r="G882" s="1">
        <v>27175502608</v>
      </c>
      <c r="H882" s="1">
        <v>1</v>
      </c>
      <c r="I882" s="1" t="s">
        <v>4719</v>
      </c>
      <c r="J882" t="s">
        <v>12808</v>
      </c>
    </row>
    <row r="883" spans="1:10">
      <c r="A883" s="1">
        <v>657411</v>
      </c>
      <c r="B883" s="1">
        <v>7367502929</v>
      </c>
      <c r="C883" s="1">
        <v>16</v>
      </c>
      <c r="D883" s="1" t="s">
        <v>347</v>
      </c>
      <c r="E883" t="s">
        <v>12809</v>
      </c>
      <c r="F883" s="1">
        <v>695692</v>
      </c>
      <c r="G883" s="1">
        <v>7175502604</v>
      </c>
      <c r="H883" s="1">
        <v>10</v>
      </c>
      <c r="I883" s="1" t="s">
        <v>439</v>
      </c>
      <c r="J883" t="s">
        <v>12810</v>
      </c>
    </row>
    <row r="884" spans="1:10">
      <c r="A884" s="1">
        <v>659375</v>
      </c>
      <c r="B884" s="1">
        <v>7367502925</v>
      </c>
      <c r="C884" s="1">
        <v>16</v>
      </c>
      <c r="D884" s="1" t="s">
        <v>347</v>
      </c>
      <c r="E884" t="s">
        <v>12811</v>
      </c>
      <c r="F884" s="1">
        <v>665190</v>
      </c>
      <c r="G884" s="1">
        <v>7175502660</v>
      </c>
      <c r="H884" s="1">
        <v>12</v>
      </c>
      <c r="I884" s="1" t="s">
        <v>1973</v>
      </c>
      <c r="J884" t="s">
        <v>12812</v>
      </c>
    </row>
    <row r="885" spans="1:10">
      <c r="A885" s="1">
        <v>375790</v>
      </c>
      <c r="B885" s="1">
        <v>2730090440</v>
      </c>
      <c r="C885" s="1">
        <v>20</v>
      </c>
      <c r="D885" s="1" t="s">
        <v>399</v>
      </c>
      <c r="E885" t="s">
        <v>12813</v>
      </c>
      <c r="F885" s="1">
        <v>360057</v>
      </c>
      <c r="G885" s="1">
        <v>5190000052</v>
      </c>
      <c r="H885" s="1">
        <v>9</v>
      </c>
      <c r="I885" s="1" t="s">
        <v>360</v>
      </c>
      <c r="J885" t="s">
        <v>12814</v>
      </c>
    </row>
    <row r="886" spans="1:10">
      <c r="A886" s="1">
        <v>665109</v>
      </c>
      <c r="B886" s="1">
        <v>2730090357</v>
      </c>
      <c r="C886" s="1">
        <v>24</v>
      </c>
      <c r="D886" s="1" t="s">
        <v>1973</v>
      </c>
      <c r="E886" t="s">
        <v>12815</v>
      </c>
      <c r="F886" s="1">
        <v>332312</v>
      </c>
      <c r="G886" s="1">
        <v>5190000051</v>
      </c>
      <c r="H886" s="1">
        <v>9</v>
      </c>
      <c r="I886" s="1" t="s">
        <v>360</v>
      </c>
      <c r="J886" t="s">
        <v>12816</v>
      </c>
    </row>
    <row r="887" spans="1:10">
      <c r="A887" s="1">
        <v>665133</v>
      </c>
      <c r="B887" s="1">
        <v>2730090407</v>
      </c>
      <c r="C887" s="1">
        <v>24</v>
      </c>
      <c r="D887" s="1" t="s">
        <v>1973</v>
      </c>
      <c r="E887" t="s">
        <v>12817</v>
      </c>
      <c r="F887" s="1">
        <v>672543</v>
      </c>
      <c r="G887" s="1">
        <v>7187154874</v>
      </c>
      <c r="H887" s="1">
        <v>10</v>
      </c>
      <c r="I887" s="1" t="s">
        <v>1366</v>
      </c>
      <c r="J887" t="s">
        <v>12818</v>
      </c>
    </row>
    <row r="888" spans="1:10">
      <c r="A888" s="1">
        <v>664847</v>
      </c>
      <c r="B888" s="1">
        <v>2730090217</v>
      </c>
      <c r="C888" s="1">
        <v>24</v>
      </c>
      <c r="D888" s="1" t="s">
        <v>1973</v>
      </c>
      <c r="E888" t="s">
        <v>12819</v>
      </c>
      <c r="F888" s="1">
        <v>665208</v>
      </c>
      <c r="G888" s="1">
        <v>7187154860</v>
      </c>
      <c r="H888" s="1">
        <v>16</v>
      </c>
      <c r="I888" s="1" t="s">
        <v>347</v>
      </c>
      <c r="J888" t="s">
        <v>12820</v>
      </c>
    </row>
    <row r="889" spans="1:10">
      <c r="A889" s="1">
        <v>663815</v>
      </c>
      <c r="B889" s="1">
        <v>20000003958</v>
      </c>
      <c r="C889" s="1">
        <v>1</v>
      </c>
      <c r="D889" s="1" t="s">
        <v>12039</v>
      </c>
      <c r="E889" t="s">
        <v>12821</v>
      </c>
      <c r="F889" s="1">
        <v>664607</v>
      </c>
      <c r="G889" s="1">
        <v>7470010003</v>
      </c>
      <c r="H889" s="1">
        <v>24</v>
      </c>
      <c r="I889" s="1" t="s">
        <v>381</v>
      </c>
      <c r="J889" t="s">
        <v>12822</v>
      </c>
    </row>
    <row r="890" spans="1:10">
      <c r="A890" s="1">
        <v>882134</v>
      </c>
      <c r="B890" s="1">
        <v>36800919531</v>
      </c>
      <c r="C890" s="1">
        <v>16</v>
      </c>
      <c r="D890" s="1" t="s">
        <v>347</v>
      </c>
      <c r="E890" t="s">
        <v>12823</v>
      </c>
      <c r="F890" s="1">
        <v>678003</v>
      </c>
      <c r="G890" s="1">
        <v>4470002006</v>
      </c>
      <c r="H890" s="1">
        <v>8</v>
      </c>
      <c r="I890" s="1" t="s">
        <v>4723</v>
      </c>
      <c r="J890" t="s">
        <v>12824</v>
      </c>
    </row>
    <row r="891" spans="1:10">
      <c r="A891" s="1">
        <v>151340</v>
      </c>
      <c r="B891" s="1">
        <v>79124130014</v>
      </c>
      <c r="C891" s="1">
        <v>12</v>
      </c>
      <c r="D891" s="1" t="s">
        <v>347</v>
      </c>
      <c r="E891" t="s">
        <v>12825</v>
      </c>
      <c r="F891" s="1">
        <v>454009</v>
      </c>
      <c r="G891" s="1">
        <v>4470002268</v>
      </c>
      <c r="H891" s="1">
        <v>16</v>
      </c>
      <c r="I891" s="1" t="s">
        <v>347</v>
      </c>
      <c r="J891" t="s">
        <v>12826</v>
      </c>
    </row>
    <row r="892" spans="1:10">
      <c r="A892" s="1">
        <v>399501</v>
      </c>
      <c r="B892" s="1">
        <v>79124150814</v>
      </c>
      <c r="C892" s="1">
        <v>12</v>
      </c>
      <c r="D892" s="1" t="s">
        <v>347</v>
      </c>
      <c r="E892" t="s">
        <v>12827</v>
      </c>
      <c r="F892" s="1">
        <v>664888</v>
      </c>
      <c r="G892" s="1">
        <v>4470001991</v>
      </c>
      <c r="H892" s="1">
        <v>12</v>
      </c>
      <c r="I892" s="1" t="s">
        <v>381</v>
      </c>
      <c r="J892" t="s">
        <v>12828</v>
      </c>
    </row>
    <row r="893" spans="1:10">
      <c r="A893" s="1">
        <v>478545</v>
      </c>
      <c r="B893" s="1">
        <v>79124150014</v>
      </c>
      <c r="C893" s="1">
        <v>12</v>
      </c>
      <c r="D893" s="1" t="s">
        <v>347</v>
      </c>
      <c r="E893" t="s">
        <v>12829</v>
      </c>
      <c r="F893" s="1">
        <v>678789</v>
      </c>
      <c r="G893" s="1">
        <v>4470001984</v>
      </c>
      <c r="H893" s="1">
        <v>12</v>
      </c>
      <c r="I893" s="1" t="s">
        <v>212</v>
      </c>
      <c r="J893" t="s">
        <v>12830</v>
      </c>
    </row>
    <row r="894" spans="1:10">
      <c r="A894" s="1">
        <v>321497</v>
      </c>
      <c r="B894" s="1">
        <v>79124150087</v>
      </c>
      <c r="C894" s="1">
        <v>12</v>
      </c>
      <c r="D894" s="1" t="s">
        <v>399</v>
      </c>
      <c r="E894" t="s">
        <v>12831</v>
      </c>
      <c r="F894" s="1">
        <v>655878</v>
      </c>
      <c r="G894" s="1">
        <v>4470002132</v>
      </c>
      <c r="H894" s="1">
        <v>12</v>
      </c>
      <c r="I894" s="1" t="s">
        <v>1973</v>
      </c>
      <c r="J894" t="s">
        <v>12832</v>
      </c>
    </row>
    <row r="895" spans="1:10">
      <c r="A895" s="1">
        <v>681429</v>
      </c>
      <c r="B895" s="1">
        <v>79124150002</v>
      </c>
      <c r="C895" s="1">
        <v>12</v>
      </c>
      <c r="D895" s="1" t="s">
        <v>381</v>
      </c>
      <c r="E895" t="s">
        <v>12833</v>
      </c>
      <c r="F895" s="1">
        <v>485417</v>
      </c>
      <c r="G895" s="1">
        <v>4470002263</v>
      </c>
      <c r="H895" s="1">
        <v>12</v>
      </c>
      <c r="I895" s="1" t="s">
        <v>347</v>
      </c>
      <c r="J895" t="s">
        <v>12834</v>
      </c>
    </row>
    <row r="896" spans="1:10">
      <c r="A896" s="1">
        <v>249250</v>
      </c>
      <c r="B896" s="1">
        <v>78533174978</v>
      </c>
      <c r="C896" s="1">
        <v>24</v>
      </c>
      <c r="D896" s="1" t="s">
        <v>1973</v>
      </c>
      <c r="E896" t="s">
        <v>12835</v>
      </c>
      <c r="F896" s="1">
        <v>438382</v>
      </c>
      <c r="G896" s="1">
        <v>4470002328</v>
      </c>
      <c r="H896" s="1">
        <v>16</v>
      </c>
      <c r="I896" s="1" t="s">
        <v>347</v>
      </c>
      <c r="J896" t="s">
        <v>12836</v>
      </c>
    </row>
    <row r="897" spans="1:10">
      <c r="A897" s="1">
        <v>518928</v>
      </c>
      <c r="B897" s="1">
        <v>78533172236</v>
      </c>
      <c r="C897" s="1">
        <v>10</v>
      </c>
      <c r="D897" s="1" t="s">
        <v>4723</v>
      </c>
      <c r="E897" t="s">
        <v>12837</v>
      </c>
      <c r="F897" s="1">
        <v>829770</v>
      </c>
      <c r="G897" s="1">
        <v>4470002266</v>
      </c>
      <c r="H897" s="1">
        <v>12</v>
      </c>
      <c r="I897" s="1" t="s">
        <v>524</v>
      </c>
      <c r="J897" t="s">
        <v>12838</v>
      </c>
    </row>
    <row r="898" spans="1:10">
      <c r="A898" s="1">
        <v>668665</v>
      </c>
      <c r="B898" s="1">
        <v>78533172200</v>
      </c>
      <c r="C898" s="1">
        <v>16</v>
      </c>
      <c r="D898" s="1" t="s">
        <v>347</v>
      </c>
      <c r="E898" t="s">
        <v>12839</v>
      </c>
      <c r="F898" s="1">
        <v>729533</v>
      </c>
      <c r="G898" s="1">
        <v>4470002255</v>
      </c>
      <c r="H898" s="1">
        <v>12</v>
      </c>
      <c r="I898" s="1" t="s">
        <v>212</v>
      </c>
      <c r="J898" t="s">
        <v>12840</v>
      </c>
    </row>
    <row r="899" spans="1:10">
      <c r="A899" s="1">
        <v>664631</v>
      </c>
      <c r="B899" s="1">
        <v>78533172214</v>
      </c>
      <c r="C899" s="1">
        <v>12</v>
      </c>
      <c r="D899" s="1" t="s">
        <v>347</v>
      </c>
      <c r="E899" t="s">
        <v>12841</v>
      </c>
      <c r="F899" s="1">
        <v>664870</v>
      </c>
      <c r="G899" s="1">
        <v>4470001988</v>
      </c>
      <c r="H899" s="1">
        <v>12</v>
      </c>
      <c r="I899" s="1" t="s">
        <v>1973</v>
      </c>
      <c r="J899" t="s">
        <v>12842</v>
      </c>
    </row>
    <row r="900" spans="1:10">
      <c r="A900" s="1">
        <v>664680</v>
      </c>
      <c r="B900" s="1">
        <v>78533172243</v>
      </c>
      <c r="C900" s="1">
        <v>24</v>
      </c>
      <c r="D900" s="1" t="s">
        <v>1973</v>
      </c>
      <c r="E900" t="s">
        <v>12843</v>
      </c>
      <c r="F900" s="1">
        <v>664813</v>
      </c>
      <c r="G900" s="1">
        <v>4350058900</v>
      </c>
      <c r="H900" s="1">
        <v>24</v>
      </c>
      <c r="I900" s="1" t="s">
        <v>1973</v>
      </c>
      <c r="J900" t="s">
        <v>12844</v>
      </c>
    </row>
    <row r="901" spans="1:10">
      <c r="A901" s="1">
        <v>665158</v>
      </c>
      <c r="B901" s="1">
        <v>78533172211</v>
      </c>
      <c r="C901" s="1">
        <v>24</v>
      </c>
      <c r="D901" s="1" t="s">
        <v>1973</v>
      </c>
      <c r="E901" t="s">
        <v>12845</v>
      </c>
      <c r="F901" s="1">
        <v>570333</v>
      </c>
      <c r="G901" s="1">
        <v>7089209055</v>
      </c>
      <c r="H901" s="1">
        <v>24</v>
      </c>
      <c r="I901" s="1" t="s">
        <v>347</v>
      </c>
      <c r="J901" t="s">
        <v>12846</v>
      </c>
    </row>
    <row r="902" spans="1:10">
      <c r="A902" s="1">
        <v>664649</v>
      </c>
      <c r="B902" s="1">
        <v>8533192015</v>
      </c>
      <c r="C902" s="1">
        <v>1</v>
      </c>
      <c r="D902" s="1" t="s">
        <v>4652</v>
      </c>
      <c r="E902" t="s">
        <v>12847</v>
      </c>
      <c r="F902" s="1">
        <v>494369</v>
      </c>
      <c r="G902" s="1">
        <v>4350058602</v>
      </c>
      <c r="H902" s="1">
        <v>12</v>
      </c>
      <c r="I902" s="1" t="s">
        <v>938</v>
      </c>
      <c r="J902" t="s">
        <v>12848</v>
      </c>
    </row>
    <row r="903" spans="1:10">
      <c r="A903" s="1">
        <v>664714</v>
      </c>
      <c r="B903" s="1">
        <v>78533172212</v>
      </c>
      <c r="C903" s="1">
        <v>24</v>
      </c>
      <c r="D903" s="1" t="s">
        <v>1973</v>
      </c>
      <c r="E903" t="s">
        <v>12776</v>
      </c>
      <c r="F903" s="1">
        <v>679597</v>
      </c>
      <c r="G903" s="1">
        <v>7117400008</v>
      </c>
      <c r="H903" s="1">
        <v>12</v>
      </c>
      <c r="I903" s="1" t="s">
        <v>1973</v>
      </c>
      <c r="J903" t="s">
        <v>12849</v>
      </c>
    </row>
    <row r="904" spans="1:10" ht="15.75">
      <c r="A904" s="4" t="s">
        <v>12774</v>
      </c>
      <c r="B904" s="2"/>
      <c r="C904" s="2"/>
      <c r="D904" s="2"/>
      <c r="E904" s="3"/>
      <c r="F904" s="4" t="s">
        <v>12850</v>
      </c>
      <c r="G904" s="2"/>
      <c r="H904" s="2"/>
      <c r="I904" s="2"/>
      <c r="J904" s="3"/>
    </row>
    <row r="905" spans="1:10">
      <c r="A905" s="2" t="s">
        <v>0</v>
      </c>
      <c r="B905" s="2" t="s">
        <v>1</v>
      </c>
      <c r="C905" s="2" t="s">
        <v>2</v>
      </c>
      <c r="D905" s="2" t="s">
        <v>3</v>
      </c>
      <c r="E905" s="3" t="s">
        <v>4</v>
      </c>
      <c r="F905" s="2" t="s">
        <v>0</v>
      </c>
      <c r="G905" s="2" t="s">
        <v>1</v>
      </c>
      <c r="H905" s="2" t="s">
        <v>2</v>
      </c>
      <c r="I905" s="2" t="s">
        <v>3</v>
      </c>
      <c r="J905" s="3" t="s">
        <v>4</v>
      </c>
    </row>
    <row r="906" spans="1:10">
      <c r="A906" s="1">
        <v>679563</v>
      </c>
      <c r="B906" s="1">
        <v>7117408208</v>
      </c>
      <c r="C906" s="1">
        <v>24</v>
      </c>
      <c r="D906" s="1" t="s">
        <v>1973</v>
      </c>
      <c r="E906" t="s">
        <v>12851</v>
      </c>
      <c r="F906" s="1">
        <v>551481</v>
      </c>
      <c r="G906" s="1">
        <v>7318401629</v>
      </c>
      <c r="H906" s="1">
        <v>12</v>
      </c>
      <c r="I906" s="1" t="s">
        <v>381</v>
      </c>
      <c r="J906" t="s">
        <v>12852</v>
      </c>
    </row>
    <row r="907" spans="1:10">
      <c r="A907" s="1">
        <v>679589</v>
      </c>
      <c r="B907" s="1">
        <v>7117408209</v>
      </c>
      <c r="C907" s="1">
        <v>12</v>
      </c>
      <c r="D907" s="1" t="s">
        <v>860</v>
      </c>
      <c r="E907" t="s">
        <v>12851</v>
      </c>
      <c r="F907" s="1">
        <v>697763</v>
      </c>
      <c r="G907" s="1">
        <v>7318401679</v>
      </c>
      <c r="H907" s="1">
        <v>8</v>
      </c>
      <c r="I907" s="1" t="s">
        <v>381</v>
      </c>
      <c r="J907" t="s">
        <v>12853</v>
      </c>
    </row>
    <row r="908" spans="1:10">
      <c r="A908" s="1">
        <v>676460</v>
      </c>
      <c r="B908" s="1">
        <v>7117400009</v>
      </c>
      <c r="C908" s="1">
        <v>12</v>
      </c>
      <c r="D908" s="1" t="s">
        <v>381</v>
      </c>
      <c r="E908" t="s">
        <v>12854</v>
      </c>
      <c r="F908" s="1">
        <v>826545</v>
      </c>
      <c r="G908" s="1">
        <v>7318401619</v>
      </c>
      <c r="H908" s="1">
        <v>12</v>
      </c>
      <c r="I908" s="1" t="s">
        <v>381</v>
      </c>
      <c r="J908" t="s">
        <v>12855</v>
      </c>
    </row>
    <row r="909" spans="1:10">
      <c r="A909" s="1">
        <v>679571</v>
      </c>
      <c r="B909" s="1">
        <v>7117400006</v>
      </c>
      <c r="C909" s="1">
        <v>12</v>
      </c>
      <c r="D909" s="1" t="s">
        <v>1973</v>
      </c>
      <c r="E909" t="s">
        <v>12856</v>
      </c>
      <c r="F909" s="1">
        <v>761643</v>
      </c>
      <c r="G909" s="1">
        <v>7318401059</v>
      </c>
      <c r="H909" s="1">
        <v>12</v>
      </c>
      <c r="I909" s="1" t="s">
        <v>489</v>
      </c>
      <c r="J909" t="s">
        <v>12857</v>
      </c>
    </row>
    <row r="910" spans="1:10">
      <c r="A910" s="1">
        <v>371047</v>
      </c>
      <c r="B910" s="1">
        <v>78581510030</v>
      </c>
      <c r="C910" s="1">
        <v>40</v>
      </c>
      <c r="D910" s="1" t="s">
        <v>95</v>
      </c>
      <c r="E910" t="s">
        <v>12858</v>
      </c>
      <c r="F910" s="1">
        <v>461707</v>
      </c>
      <c r="G910" s="1">
        <v>7318402059</v>
      </c>
      <c r="H910" s="1">
        <v>8</v>
      </c>
      <c r="I910" s="1" t="s">
        <v>938</v>
      </c>
      <c r="J910" t="s">
        <v>12857</v>
      </c>
    </row>
    <row r="911" spans="1:10">
      <c r="A911" s="1">
        <v>286385</v>
      </c>
      <c r="B911" s="1">
        <v>78581510030</v>
      </c>
      <c r="C911" s="1">
        <v>10</v>
      </c>
      <c r="D911" s="1" t="s">
        <v>95</v>
      </c>
      <c r="E911" t="s">
        <v>12859</v>
      </c>
      <c r="F911" s="1">
        <v>776476</v>
      </c>
      <c r="G911" s="1">
        <v>7318401049</v>
      </c>
      <c r="H911" s="1">
        <v>12</v>
      </c>
      <c r="I911" s="1" t="s">
        <v>489</v>
      </c>
      <c r="J911" t="s">
        <v>12860</v>
      </c>
    </row>
    <row r="912" spans="1:10">
      <c r="A912" s="1">
        <v>659599</v>
      </c>
      <c r="B912" s="1">
        <v>7705271001</v>
      </c>
      <c r="C912" s="1">
        <v>16</v>
      </c>
      <c r="D912" s="1" t="s">
        <v>394</v>
      </c>
      <c r="E912" t="s">
        <v>12861</v>
      </c>
      <c r="F912" s="1">
        <v>516385</v>
      </c>
      <c r="G912" s="1">
        <v>2251540648</v>
      </c>
      <c r="H912" s="1">
        <v>12</v>
      </c>
      <c r="I912" s="1" t="s">
        <v>363</v>
      </c>
      <c r="J912" t="s">
        <v>12862</v>
      </c>
    </row>
    <row r="913" spans="1:10">
      <c r="A913" s="1">
        <v>481317</v>
      </c>
      <c r="B913" s="1">
        <v>7179952677</v>
      </c>
      <c r="C913" s="1">
        <v>16</v>
      </c>
      <c r="D913" s="1" t="s">
        <v>347</v>
      </c>
      <c r="E913" t="s">
        <v>12863</v>
      </c>
      <c r="F913" s="1">
        <v>839175</v>
      </c>
      <c r="G913" s="1">
        <v>2251540649</v>
      </c>
      <c r="H913" s="1">
        <v>12</v>
      </c>
      <c r="I913" s="1" t="s">
        <v>363</v>
      </c>
      <c r="J913" t="s">
        <v>12864</v>
      </c>
    </row>
    <row r="914" spans="1:10">
      <c r="A914" s="1">
        <v>491167</v>
      </c>
      <c r="B914" s="1">
        <v>4113030820</v>
      </c>
      <c r="C914" s="1">
        <v>32</v>
      </c>
      <c r="D914" s="1" t="s">
        <v>347</v>
      </c>
      <c r="E914" t="s">
        <v>12865</v>
      </c>
      <c r="F914" s="1">
        <v>299107</v>
      </c>
      <c r="G914" s="1">
        <v>2251540650</v>
      </c>
      <c r="H914" s="1">
        <v>12</v>
      </c>
      <c r="I914" s="1" t="s">
        <v>363</v>
      </c>
      <c r="J914" t="s">
        <v>12866</v>
      </c>
    </row>
    <row r="915" spans="1:10">
      <c r="A915" s="1">
        <v>190181</v>
      </c>
      <c r="B915" s="1">
        <v>4113080201</v>
      </c>
      <c r="C915" s="1">
        <v>12</v>
      </c>
      <c r="D915" s="1" t="s">
        <v>375</v>
      </c>
      <c r="E915" t="s">
        <v>12867</v>
      </c>
      <c r="F915" s="1">
        <v>616490</v>
      </c>
      <c r="G915" s="1">
        <v>1240000256</v>
      </c>
      <c r="H915" s="1">
        <v>24</v>
      </c>
      <c r="I915" s="1" t="s">
        <v>404</v>
      </c>
      <c r="J915" t="s">
        <v>12868</v>
      </c>
    </row>
    <row r="916" spans="1:10">
      <c r="A916" s="1">
        <v>829325</v>
      </c>
      <c r="B916" s="1">
        <v>7080000000</v>
      </c>
      <c r="C916" s="1">
        <v>1</v>
      </c>
      <c r="D916" s="1" t="s">
        <v>6810</v>
      </c>
      <c r="E916" t="s">
        <v>12869</v>
      </c>
      <c r="F916" s="1">
        <v>749499</v>
      </c>
      <c r="G916" s="1">
        <v>1240000257</v>
      </c>
      <c r="H916" s="1">
        <v>24</v>
      </c>
      <c r="I916" s="1" t="s">
        <v>404</v>
      </c>
      <c r="J916" t="s">
        <v>12870</v>
      </c>
    </row>
    <row r="917" spans="1:10">
      <c r="A917" s="1">
        <v>655688</v>
      </c>
      <c r="B917" s="1">
        <v>7080004106</v>
      </c>
      <c r="C917" s="1">
        <v>8</v>
      </c>
      <c r="D917" s="1" t="s">
        <v>865</v>
      </c>
      <c r="E917" t="s">
        <v>12871</v>
      </c>
      <c r="F917" s="1">
        <v>375865</v>
      </c>
      <c r="G917" s="1">
        <v>1240082584</v>
      </c>
      <c r="H917" s="1">
        <v>24</v>
      </c>
      <c r="I917" s="1" t="s">
        <v>404</v>
      </c>
      <c r="J917" t="s">
        <v>12872</v>
      </c>
    </row>
    <row r="918" spans="1:10">
      <c r="A918" s="1">
        <v>698951</v>
      </c>
      <c r="B918" s="1">
        <v>7080004148</v>
      </c>
      <c r="C918" s="1">
        <v>16</v>
      </c>
      <c r="D918" s="1" t="s">
        <v>347</v>
      </c>
      <c r="E918" t="s">
        <v>12873</v>
      </c>
      <c r="F918" s="1">
        <v>472555</v>
      </c>
      <c r="G918" s="1">
        <v>1240000013</v>
      </c>
      <c r="H918" s="1">
        <v>16</v>
      </c>
      <c r="I918" s="1" t="s">
        <v>6600</v>
      </c>
      <c r="J918" t="s">
        <v>12874</v>
      </c>
    </row>
    <row r="919" spans="1:10">
      <c r="A919" s="1">
        <v>664045</v>
      </c>
      <c r="B919" s="1">
        <v>27080009725</v>
      </c>
      <c r="C919" s="1">
        <v>1</v>
      </c>
      <c r="D919" s="1" t="s">
        <v>1973</v>
      </c>
      <c r="E919" t="s">
        <v>12875</v>
      </c>
      <c r="F919" s="1">
        <v>638254</v>
      </c>
      <c r="G919" s="1">
        <v>7080005035</v>
      </c>
      <c r="H919" s="1">
        <v>12</v>
      </c>
      <c r="I919" s="1" t="s">
        <v>381</v>
      </c>
      <c r="J919" t="s">
        <v>12876</v>
      </c>
    </row>
    <row r="920" spans="1:10">
      <c r="A920" s="1">
        <v>664110</v>
      </c>
      <c r="B920" s="1">
        <v>27080009683</v>
      </c>
      <c r="C920" s="1">
        <v>1</v>
      </c>
      <c r="D920" s="1" t="s">
        <v>1973</v>
      </c>
      <c r="E920" t="s">
        <v>12877</v>
      </c>
      <c r="F920" s="1">
        <v>398099</v>
      </c>
      <c r="G920" s="1">
        <v>7080005034</v>
      </c>
      <c r="H920" s="1">
        <v>12</v>
      </c>
      <c r="I920" s="1" t="s">
        <v>381</v>
      </c>
      <c r="J920" t="s">
        <v>12878</v>
      </c>
    </row>
    <row r="921" spans="1:10" ht="15.75">
      <c r="A921" s="1">
        <v>657064</v>
      </c>
      <c r="B921" s="1">
        <v>27080009688</v>
      </c>
      <c r="C921" s="1">
        <v>1</v>
      </c>
      <c r="D921" s="1" t="s">
        <v>1973</v>
      </c>
      <c r="E921" t="s">
        <v>12879</v>
      </c>
      <c r="F921" s="4" t="s">
        <v>12880</v>
      </c>
      <c r="G921" s="2"/>
      <c r="H921" s="2"/>
      <c r="I921" s="2"/>
      <c r="J921" s="3"/>
    </row>
    <row r="922" spans="1:10">
      <c r="A922" s="1">
        <v>658062</v>
      </c>
      <c r="B922" s="1">
        <v>7080004032</v>
      </c>
      <c r="C922" s="1">
        <v>24</v>
      </c>
      <c r="D922" s="1" t="s">
        <v>1973</v>
      </c>
      <c r="E922" t="s">
        <v>12881</v>
      </c>
      <c r="F922" s="2" t="s">
        <v>0</v>
      </c>
      <c r="G922" s="2" t="s">
        <v>1</v>
      </c>
      <c r="H922" s="2" t="s">
        <v>2</v>
      </c>
      <c r="I922" s="2" t="s">
        <v>3</v>
      </c>
      <c r="J922" s="3" t="s">
        <v>4</v>
      </c>
    </row>
    <row r="923" spans="1:10">
      <c r="A923" s="1">
        <v>668780</v>
      </c>
      <c r="B923" s="1">
        <v>7080013029</v>
      </c>
      <c r="C923" s="1">
        <v>24</v>
      </c>
      <c r="D923" s="1" t="s">
        <v>347</v>
      </c>
      <c r="E923" t="s">
        <v>12882</v>
      </c>
      <c r="F923" s="1">
        <v>124842</v>
      </c>
      <c r="G923" s="1">
        <v>76401437352</v>
      </c>
      <c r="H923" s="1">
        <v>8</v>
      </c>
      <c r="I923" s="1" t="s">
        <v>347</v>
      </c>
      <c r="J923" t="s">
        <v>12883</v>
      </c>
    </row>
    <row r="924" spans="1:10">
      <c r="A924" s="1">
        <v>670422</v>
      </c>
      <c r="B924" s="1">
        <v>7080004016</v>
      </c>
      <c r="C924" s="1">
        <v>24</v>
      </c>
      <c r="D924" s="1" t="s">
        <v>381</v>
      </c>
      <c r="E924" t="s">
        <v>12884</v>
      </c>
      <c r="F924" s="1">
        <v>675876</v>
      </c>
      <c r="G924" s="1">
        <v>2532512023</v>
      </c>
      <c r="H924" s="1">
        <v>10</v>
      </c>
      <c r="I924" s="1" t="s">
        <v>860</v>
      </c>
      <c r="J924" t="s">
        <v>12885</v>
      </c>
    </row>
    <row r="925" spans="1:10">
      <c r="A925" s="1">
        <v>670232</v>
      </c>
      <c r="B925" s="1">
        <v>7080004118</v>
      </c>
      <c r="C925" s="1">
        <v>24</v>
      </c>
      <c r="D925" s="1" t="s">
        <v>381</v>
      </c>
      <c r="E925" t="s">
        <v>12886</v>
      </c>
      <c r="F925" s="1">
        <v>675884</v>
      </c>
      <c r="G925" s="1">
        <v>2532512024</v>
      </c>
      <c r="H925" s="1">
        <v>10</v>
      </c>
      <c r="I925" s="1" t="s">
        <v>860</v>
      </c>
      <c r="J925" t="s">
        <v>12887</v>
      </c>
    </row>
    <row r="926" spans="1:10">
      <c r="A926" s="1">
        <v>678854</v>
      </c>
      <c r="B926" s="1">
        <v>27080008186</v>
      </c>
      <c r="C926" s="1">
        <v>1</v>
      </c>
      <c r="D926" s="1" t="s">
        <v>1973</v>
      </c>
      <c r="E926" t="s">
        <v>12888</v>
      </c>
      <c r="F926" s="1">
        <v>676122</v>
      </c>
      <c r="G926" s="1">
        <v>1590023550</v>
      </c>
      <c r="H926" s="1">
        <v>6</v>
      </c>
      <c r="I926" s="1" t="s">
        <v>4723</v>
      </c>
      <c r="J926" t="s">
        <v>12889</v>
      </c>
    </row>
    <row r="927" spans="1:10">
      <c r="A927" s="1">
        <v>698639</v>
      </c>
      <c r="B927" s="1">
        <v>7080004125</v>
      </c>
      <c r="C927" s="1">
        <v>24</v>
      </c>
      <c r="D927" s="1" t="s">
        <v>381</v>
      </c>
      <c r="E927" t="s">
        <v>12890</v>
      </c>
      <c r="F927" s="1">
        <v>676148</v>
      </c>
      <c r="G927" s="1">
        <v>1590023555</v>
      </c>
      <c r="H927" s="1">
        <v>6</v>
      </c>
      <c r="I927" s="1" t="s">
        <v>4723</v>
      </c>
      <c r="J927" t="s">
        <v>12891</v>
      </c>
    </row>
    <row r="928" spans="1:10">
      <c r="A928" s="1">
        <v>408849</v>
      </c>
      <c r="B928" s="1">
        <v>4113081545</v>
      </c>
      <c r="C928" s="1">
        <v>24</v>
      </c>
      <c r="D928" s="1" t="s">
        <v>381</v>
      </c>
      <c r="E928" t="s">
        <v>12892</v>
      </c>
      <c r="F928" s="1">
        <v>676130</v>
      </c>
      <c r="G928" s="1">
        <v>1590023568</v>
      </c>
      <c r="H928" s="1">
        <v>6</v>
      </c>
      <c r="I928" s="1" t="s">
        <v>4723</v>
      </c>
      <c r="J928" t="s">
        <v>12893</v>
      </c>
    </row>
    <row r="929" spans="1:10">
      <c r="A929" s="1">
        <v>396788</v>
      </c>
      <c r="B929" s="1">
        <v>7389000602</v>
      </c>
      <c r="C929" s="1">
        <v>24</v>
      </c>
      <c r="D929" s="1" t="s">
        <v>1973</v>
      </c>
      <c r="E929" t="s">
        <v>12894</v>
      </c>
      <c r="F929" s="1">
        <v>130146</v>
      </c>
      <c r="G929" s="1">
        <v>4530030417</v>
      </c>
      <c r="H929" s="1">
        <v>15</v>
      </c>
      <c r="I929" s="1" t="s">
        <v>259</v>
      </c>
      <c r="J929" t="s">
        <v>12895</v>
      </c>
    </row>
    <row r="930" spans="1:10">
      <c r="A930" s="1">
        <v>58461</v>
      </c>
      <c r="B930" s="1">
        <v>7470010004</v>
      </c>
      <c r="C930" s="1">
        <v>24</v>
      </c>
      <c r="D930" s="1" t="s">
        <v>347</v>
      </c>
      <c r="E930" t="s">
        <v>12896</v>
      </c>
      <c r="F930" s="1">
        <v>130153</v>
      </c>
      <c r="G930" s="1">
        <v>4530030418</v>
      </c>
      <c r="H930" s="1">
        <v>15</v>
      </c>
      <c r="I930" s="1" t="s">
        <v>259</v>
      </c>
      <c r="J930" t="s">
        <v>12897</v>
      </c>
    </row>
    <row r="931" spans="1:10">
      <c r="A931" s="1">
        <v>664920</v>
      </c>
      <c r="B931" s="1">
        <v>7539300511</v>
      </c>
      <c r="C931" s="1">
        <v>24</v>
      </c>
      <c r="D931" s="1" t="s">
        <v>347</v>
      </c>
      <c r="E931" t="s">
        <v>12898</v>
      </c>
      <c r="F931" s="1">
        <v>785758</v>
      </c>
      <c r="G931" s="1">
        <v>7367503509</v>
      </c>
      <c r="H931" s="1">
        <v>12</v>
      </c>
      <c r="I931" s="1" t="s">
        <v>259</v>
      </c>
      <c r="J931" t="s">
        <v>12899</v>
      </c>
    </row>
    <row r="932" spans="1:10">
      <c r="A932" s="1">
        <v>177774</v>
      </c>
      <c r="B932" s="1">
        <v>7962146100</v>
      </c>
      <c r="C932" s="1">
        <v>12</v>
      </c>
      <c r="D932" s="1" t="s">
        <v>1654</v>
      </c>
      <c r="E932" t="s">
        <v>12900</v>
      </c>
      <c r="F932" s="1">
        <v>145441</v>
      </c>
      <c r="G932" s="1">
        <v>7367503584</v>
      </c>
      <c r="H932" s="1">
        <v>8</v>
      </c>
      <c r="I932" s="1" t="s">
        <v>12740</v>
      </c>
      <c r="J932" t="s">
        <v>12901</v>
      </c>
    </row>
    <row r="933" spans="1:10" ht="15.75">
      <c r="A933" s="4" t="s">
        <v>12850</v>
      </c>
      <c r="B933" s="2"/>
      <c r="C933" s="2"/>
      <c r="D933" s="2"/>
      <c r="E933" s="3"/>
      <c r="F933" s="1">
        <v>785741</v>
      </c>
      <c r="G933" s="1">
        <v>7367503508</v>
      </c>
      <c r="H933" s="1">
        <v>12</v>
      </c>
      <c r="I933" s="1" t="s">
        <v>1973</v>
      </c>
      <c r="J933" t="s">
        <v>12902</v>
      </c>
    </row>
    <row r="934" spans="1:10">
      <c r="A934" s="2" t="s">
        <v>0</v>
      </c>
      <c r="B934" s="2" t="s">
        <v>1</v>
      </c>
      <c r="C934" s="2" t="s">
        <v>2</v>
      </c>
      <c r="D934" s="2" t="s">
        <v>3</v>
      </c>
      <c r="E934" s="3" t="s">
        <v>4</v>
      </c>
      <c r="F934" s="1">
        <v>785733</v>
      </c>
      <c r="G934" s="1">
        <v>7367503507</v>
      </c>
      <c r="H934" s="1">
        <v>12</v>
      </c>
      <c r="I934" s="1" t="s">
        <v>1973</v>
      </c>
      <c r="J934" t="s">
        <v>12903</v>
      </c>
    </row>
    <row r="935" spans="1:10">
      <c r="A935" s="1">
        <v>888040</v>
      </c>
      <c r="B935" s="1">
        <v>6401445805</v>
      </c>
      <c r="C935" s="1">
        <v>8</v>
      </c>
      <c r="D935" s="1" t="s">
        <v>347</v>
      </c>
      <c r="E935" t="s">
        <v>12904</v>
      </c>
      <c r="F935" s="1">
        <v>212407</v>
      </c>
      <c r="G935" s="1">
        <v>4660004826</v>
      </c>
      <c r="H935" s="1">
        <v>15</v>
      </c>
      <c r="I935" s="1" t="s">
        <v>259</v>
      </c>
      <c r="J935" t="s">
        <v>12905</v>
      </c>
    </row>
    <row r="936" spans="1:10">
      <c r="A936" s="1">
        <v>822213</v>
      </c>
      <c r="B936" s="1">
        <v>6401420805</v>
      </c>
      <c r="C936" s="1">
        <v>8</v>
      </c>
      <c r="D936" s="1" t="s">
        <v>347</v>
      </c>
      <c r="E936" t="s">
        <v>12906</v>
      </c>
      <c r="F936" s="1">
        <v>657049</v>
      </c>
      <c r="G936" s="1">
        <v>4660004840</v>
      </c>
      <c r="H936" s="1">
        <v>15</v>
      </c>
      <c r="I936" s="1" t="s">
        <v>381</v>
      </c>
      <c r="J936" t="s">
        <v>12907</v>
      </c>
    </row>
    <row r="937" spans="1:10">
      <c r="A937" s="1">
        <v>190298</v>
      </c>
      <c r="B937" s="1">
        <v>6401432352</v>
      </c>
      <c r="C937" s="1">
        <v>8</v>
      </c>
      <c r="D937" s="1" t="s">
        <v>347</v>
      </c>
      <c r="E937" t="s">
        <v>12908</v>
      </c>
      <c r="F937" s="1">
        <v>656587</v>
      </c>
      <c r="G937" s="1">
        <v>4660004810</v>
      </c>
      <c r="H937" s="1">
        <v>15</v>
      </c>
      <c r="I937" s="1" t="s">
        <v>381</v>
      </c>
      <c r="J937" t="s">
        <v>12909</v>
      </c>
    </row>
    <row r="938" spans="1:10">
      <c r="A938" s="1">
        <v>256503</v>
      </c>
      <c r="B938" s="1">
        <v>6401422805</v>
      </c>
      <c r="C938" s="1">
        <v>8</v>
      </c>
      <c r="D938" s="1" t="s">
        <v>347</v>
      </c>
      <c r="E938" t="s">
        <v>12910</v>
      </c>
      <c r="F938" s="1">
        <v>641498</v>
      </c>
      <c r="G938" s="1">
        <v>2781504850</v>
      </c>
      <c r="H938" s="1">
        <v>15</v>
      </c>
      <c r="I938" s="1" t="s">
        <v>259</v>
      </c>
      <c r="J938" t="s">
        <v>12911</v>
      </c>
    </row>
    <row r="939" spans="1:10">
      <c r="A939" s="1">
        <v>476952</v>
      </c>
      <c r="B939" s="1">
        <v>3077109670</v>
      </c>
      <c r="C939" s="1">
        <v>8</v>
      </c>
      <c r="D939" s="1" t="s">
        <v>363</v>
      </c>
      <c r="E939" t="s">
        <v>12912</v>
      </c>
      <c r="F939" s="1">
        <v>561472</v>
      </c>
      <c r="G939" s="1">
        <v>36800919537</v>
      </c>
      <c r="H939" s="1">
        <v>12</v>
      </c>
      <c r="I939" s="1" t="s">
        <v>347</v>
      </c>
      <c r="J939" t="s">
        <v>12913</v>
      </c>
    </row>
    <row r="940" spans="1:10">
      <c r="A940" s="1">
        <v>287714</v>
      </c>
      <c r="B940" s="1">
        <v>3077109671</v>
      </c>
      <c r="C940" s="1">
        <v>8</v>
      </c>
      <c r="D940" s="1" t="s">
        <v>363</v>
      </c>
      <c r="E940" t="s">
        <v>12914</v>
      </c>
      <c r="F940" s="1">
        <v>597104</v>
      </c>
      <c r="G940" s="1">
        <v>36800919535</v>
      </c>
      <c r="H940" s="1">
        <v>12</v>
      </c>
      <c r="I940" s="1" t="s">
        <v>347</v>
      </c>
      <c r="J940" t="s">
        <v>12915</v>
      </c>
    </row>
    <row r="941" spans="1:10">
      <c r="A941" s="1">
        <v>612325</v>
      </c>
      <c r="B941" s="1">
        <v>3077109779</v>
      </c>
      <c r="C941" s="1">
        <v>8</v>
      </c>
      <c r="D941" s="1" t="s">
        <v>347</v>
      </c>
      <c r="E941" t="s">
        <v>12916</v>
      </c>
      <c r="F941" s="1">
        <v>676338</v>
      </c>
      <c r="G941" s="1">
        <v>78533177526</v>
      </c>
      <c r="H941" s="1">
        <v>16</v>
      </c>
      <c r="I941" s="1" t="s">
        <v>347</v>
      </c>
      <c r="J941" t="s">
        <v>12917</v>
      </c>
    </row>
    <row r="942" spans="1:10">
      <c r="A942" s="1">
        <v>18291</v>
      </c>
      <c r="B942" s="1">
        <v>7590000542</v>
      </c>
      <c r="C942" s="1">
        <v>8</v>
      </c>
      <c r="D942" s="1" t="s">
        <v>347</v>
      </c>
      <c r="E942" t="s">
        <v>12918</v>
      </c>
      <c r="F942" s="1">
        <v>676304</v>
      </c>
      <c r="G942" s="1">
        <v>78533177528</v>
      </c>
      <c r="H942" s="1">
        <v>8</v>
      </c>
      <c r="I942" s="1" t="s">
        <v>4723</v>
      </c>
      <c r="J942" t="s">
        <v>12917</v>
      </c>
    </row>
    <row r="943" spans="1:10">
      <c r="A943" s="1">
        <v>779579</v>
      </c>
      <c r="B943" s="1">
        <v>7590000543</v>
      </c>
      <c r="C943" s="1">
        <v>8</v>
      </c>
      <c r="D943" s="1" t="s">
        <v>439</v>
      </c>
      <c r="E943" t="s">
        <v>12918</v>
      </c>
      <c r="F943" s="1">
        <v>676346</v>
      </c>
      <c r="G943" s="1">
        <v>78533177529</v>
      </c>
      <c r="H943" s="1">
        <v>16</v>
      </c>
      <c r="I943" s="1" t="s">
        <v>347</v>
      </c>
      <c r="J943" t="s">
        <v>12919</v>
      </c>
    </row>
    <row r="944" spans="1:10">
      <c r="A944" s="1">
        <v>751487</v>
      </c>
      <c r="B944" s="1">
        <v>7590000259</v>
      </c>
      <c r="C944" s="1">
        <v>12</v>
      </c>
      <c r="D944" s="1" t="s">
        <v>938</v>
      </c>
      <c r="E944" t="s">
        <v>12920</v>
      </c>
      <c r="F944" s="1">
        <v>676320</v>
      </c>
      <c r="G944" s="1">
        <v>78533177530</v>
      </c>
      <c r="H944" s="1">
        <v>8</v>
      </c>
      <c r="I944" s="1" t="s">
        <v>4723</v>
      </c>
      <c r="J944" t="s">
        <v>12919</v>
      </c>
    </row>
    <row r="945" spans="1:10" ht="15.75">
      <c r="A945" s="4" t="s">
        <v>12880</v>
      </c>
      <c r="B945" s="2"/>
      <c r="C945" s="2"/>
      <c r="D945" s="2"/>
      <c r="E945" s="3"/>
      <c r="F945" s="4" t="s">
        <v>12880</v>
      </c>
      <c r="G945" s="2"/>
      <c r="H945" s="2"/>
      <c r="I945" s="2"/>
      <c r="J945" s="3"/>
    </row>
    <row r="946" spans="1:10">
      <c r="A946" s="2" t="s">
        <v>0</v>
      </c>
      <c r="B946" s="2" t="s">
        <v>1</v>
      </c>
      <c r="C946" s="2" t="s">
        <v>2</v>
      </c>
      <c r="D946" s="2" t="s">
        <v>3</v>
      </c>
      <c r="E946" s="3" t="s">
        <v>4</v>
      </c>
      <c r="F946" s="2" t="s">
        <v>0</v>
      </c>
      <c r="G946" s="2" t="s">
        <v>1</v>
      </c>
      <c r="H946" s="2" t="s">
        <v>2</v>
      </c>
      <c r="I946" s="2" t="s">
        <v>3</v>
      </c>
      <c r="J946" s="3" t="s">
        <v>4</v>
      </c>
    </row>
    <row r="947" spans="1:10">
      <c r="A947" s="1">
        <v>676296</v>
      </c>
      <c r="B947" s="1">
        <v>78533177524</v>
      </c>
      <c r="C947" s="1">
        <v>8</v>
      </c>
      <c r="D947" s="1" t="s">
        <v>4723</v>
      </c>
      <c r="E947" t="s">
        <v>12921</v>
      </c>
      <c r="F947" s="1">
        <v>695452</v>
      </c>
      <c r="G947" s="1">
        <v>1240008201</v>
      </c>
      <c r="H947" s="1">
        <v>6</v>
      </c>
      <c r="I947" s="1" t="s">
        <v>6737</v>
      </c>
      <c r="J947" t="s">
        <v>12922</v>
      </c>
    </row>
    <row r="948" spans="1:10">
      <c r="A948" s="1">
        <v>670216</v>
      </c>
      <c r="B948" s="1">
        <v>28533175264</v>
      </c>
      <c r="C948" s="1">
        <v>1</v>
      </c>
      <c r="D948" s="1" t="s">
        <v>4719</v>
      </c>
      <c r="E948" t="s">
        <v>12923</v>
      </c>
      <c r="F948" s="1">
        <v>503169</v>
      </c>
      <c r="G948" s="1">
        <v>7433800479</v>
      </c>
      <c r="H948" s="1">
        <v>12</v>
      </c>
      <c r="I948" s="1" t="s">
        <v>1973</v>
      </c>
      <c r="J948" t="s">
        <v>12924</v>
      </c>
    </row>
    <row r="949" spans="1:10">
      <c r="A949" s="1">
        <v>676312</v>
      </c>
      <c r="B949" s="1">
        <v>78533177522</v>
      </c>
      <c r="C949" s="1">
        <v>16</v>
      </c>
      <c r="D949" s="1" t="s">
        <v>347</v>
      </c>
      <c r="E949" t="s">
        <v>12925</v>
      </c>
      <c r="F949" s="1">
        <v>221101</v>
      </c>
      <c r="G949" s="1">
        <v>74338000779</v>
      </c>
      <c r="H949" s="1">
        <v>10</v>
      </c>
      <c r="I949" s="1" t="s">
        <v>4723</v>
      </c>
      <c r="J949" t="s">
        <v>12926</v>
      </c>
    </row>
    <row r="950" spans="1:10">
      <c r="A950" s="1">
        <v>691170</v>
      </c>
      <c r="B950" s="1">
        <v>7495618202</v>
      </c>
      <c r="C950" s="1">
        <v>12</v>
      </c>
      <c r="D950" s="1" t="s">
        <v>347</v>
      </c>
      <c r="E950" t="s">
        <v>12927</v>
      </c>
      <c r="F950" s="1">
        <v>661322</v>
      </c>
      <c r="G950" s="1">
        <v>7080066322</v>
      </c>
      <c r="H950" s="1">
        <v>12</v>
      </c>
      <c r="I950" s="1" t="s">
        <v>259</v>
      </c>
      <c r="J950" t="s">
        <v>12928</v>
      </c>
    </row>
    <row r="951" spans="1:10">
      <c r="A951" s="1">
        <v>556787</v>
      </c>
      <c r="B951" s="1">
        <v>4450031342</v>
      </c>
      <c r="C951" s="1">
        <v>16</v>
      </c>
      <c r="D951" s="1" t="s">
        <v>259</v>
      </c>
      <c r="E951" t="s">
        <v>12929</v>
      </c>
      <c r="F951" s="1">
        <v>661389</v>
      </c>
      <c r="G951" s="1">
        <v>7080005048</v>
      </c>
      <c r="H951" s="1">
        <v>12</v>
      </c>
      <c r="I951" s="1" t="s">
        <v>1973</v>
      </c>
      <c r="J951" t="s">
        <v>12930</v>
      </c>
    </row>
    <row r="952" spans="1:10">
      <c r="A952" s="1">
        <v>668467</v>
      </c>
      <c r="B952" s="1">
        <v>4450020026</v>
      </c>
      <c r="C952" s="1">
        <v>8</v>
      </c>
      <c r="D952" s="1" t="s">
        <v>4723</v>
      </c>
      <c r="E952" t="s">
        <v>12929</v>
      </c>
      <c r="F952" s="1">
        <v>661371</v>
      </c>
      <c r="G952" s="1">
        <v>7080005012</v>
      </c>
      <c r="H952" s="1">
        <v>12</v>
      </c>
      <c r="I952" s="1" t="s">
        <v>381</v>
      </c>
      <c r="J952" t="s">
        <v>12931</v>
      </c>
    </row>
    <row r="953" spans="1:10">
      <c r="A953" s="1">
        <v>670760</v>
      </c>
      <c r="B953" s="1">
        <v>4450031336</v>
      </c>
      <c r="C953" s="1">
        <v>14</v>
      </c>
      <c r="D953" s="1" t="s">
        <v>381</v>
      </c>
      <c r="E953" t="s">
        <v>12932</v>
      </c>
      <c r="F953" s="1">
        <v>670034</v>
      </c>
      <c r="G953" s="1">
        <v>8674550040</v>
      </c>
      <c r="H953" s="1">
        <v>1</v>
      </c>
      <c r="I953" s="1" t="s">
        <v>4719</v>
      </c>
      <c r="J953" t="s">
        <v>12933</v>
      </c>
    </row>
    <row r="954" spans="1:10">
      <c r="A954" s="1">
        <v>669762</v>
      </c>
      <c r="B954" s="1">
        <v>4450034131</v>
      </c>
      <c r="C954" s="1">
        <v>15</v>
      </c>
      <c r="D954" s="1" t="s">
        <v>381</v>
      </c>
      <c r="E954" t="s">
        <v>12934</v>
      </c>
      <c r="F954" s="1">
        <v>353946</v>
      </c>
      <c r="G954" s="1">
        <v>8674511129</v>
      </c>
      <c r="H954" s="1">
        <v>12</v>
      </c>
      <c r="I954" s="1" t="s">
        <v>381</v>
      </c>
      <c r="J954" t="s">
        <v>12935</v>
      </c>
    </row>
    <row r="955" spans="1:10">
      <c r="A955" s="1">
        <v>670018</v>
      </c>
      <c r="B955" s="1">
        <v>4450005279</v>
      </c>
      <c r="C955" s="1">
        <v>12</v>
      </c>
      <c r="D955" s="1" t="s">
        <v>259</v>
      </c>
      <c r="E955" t="s">
        <v>12936</v>
      </c>
      <c r="F955" s="1">
        <v>660738</v>
      </c>
      <c r="G955" s="1">
        <v>8674520119</v>
      </c>
      <c r="H955" s="1">
        <v>12</v>
      </c>
      <c r="I955" s="1" t="s">
        <v>1973</v>
      </c>
      <c r="J955" t="s">
        <v>12937</v>
      </c>
    </row>
    <row r="956" spans="1:10">
      <c r="A956" s="1">
        <v>670463</v>
      </c>
      <c r="B956" s="1">
        <v>4450031640</v>
      </c>
      <c r="C956" s="1">
        <v>16</v>
      </c>
      <c r="D956" s="1" t="s">
        <v>259</v>
      </c>
      <c r="E956" t="s">
        <v>12938</v>
      </c>
      <c r="F956" s="1">
        <v>778944</v>
      </c>
      <c r="G956" s="1">
        <v>8674520121</v>
      </c>
      <c r="H956" s="1">
        <v>12</v>
      </c>
      <c r="I956" s="1" t="s">
        <v>381</v>
      </c>
      <c r="J956" t="s">
        <v>12939</v>
      </c>
    </row>
    <row r="957" spans="1:10">
      <c r="A957" s="1">
        <v>670885</v>
      </c>
      <c r="B957" s="1">
        <v>4450033639</v>
      </c>
      <c r="C957" s="1">
        <v>14</v>
      </c>
      <c r="D957" s="1" t="s">
        <v>1973</v>
      </c>
      <c r="E957" t="s">
        <v>12940</v>
      </c>
      <c r="F957" s="1">
        <v>201897</v>
      </c>
      <c r="G957" s="1">
        <v>8674508324</v>
      </c>
      <c r="H957" s="1">
        <v>8</v>
      </c>
      <c r="I957" s="1" t="s">
        <v>4723</v>
      </c>
      <c r="J957" t="s">
        <v>12941</v>
      </c>
    </row>
    <row r="958" spans="1:10">
      <c r="A958" s="1">
        <v>816470</v>
      </c>
      <c r="B958" s="1">
        <v>4450005069</v>
      </c>
      <c r="C958" s="1">
        <v>14</v>
      </c>
      <c r="D958" s="1" t="s">
        <v>381</v>
      </c>
      <c r="E958" t="s">
        <v>12942</v>
      </c>
      <c r="F958" s="1">
        <v>206110</v>
      </c>
      <c r="G958" s="1">
        <v>7539311212</v>
      </c>
      <c r="H958" s="1">
        <v>9</v>
      </c>
      <c r="I958" s="1" t="s">
        <v>12740</v>
      </c>
      <c r="J958" t="s">
        <v>12943</v>
      </c>
    </row>
    <row r="959" spans="1:10">
      <c r="A959" s="1">
        <v>533638</v>
      </c>
      <c r="B959" s="1">
        <v>4450031350</v>
      </c>
      <c r="C959" s="1">
        <v>15</v>
      </c>
      <c r="D959" s="1" t="s">
        <v>381</v>
      </c>
      <c r="E959" t="s">
        <v>12944</v>
      </c>
      <c r="F959" s="1">
        <v>384495</v>
      </c>
      <c r="G959" s="1">
        <v>7539311211</v>
      </c>
      <c r="H959" s="1">
        <v>12</v>
      </c>
      <c r="I959" s="1" t="s">
        <v>12226</v>
      </c>
      <c r="J959" t="s">
        <v>12945</v>
      </c>
    </row>
    <row r="960" spans="1:10">
      <c r="A960" s="1">
        <v>678920</v>
      </c>
      <c r="B960" s="1">
        <v>4450034110</v>
      </c>
      <c r="C960" s="1">
        <v>18</v>
      </c>
      <c r="D960" s="1" t="s">
        <v>259</v>
      </c>
      <c r="E960" t="s">
        <v>12946</v>
      </c>
      <c r="F960" s="1">
        <v>170340</v>
      </c>
      <c r="G960" s="1">
        <v>7539311210</v>
      </c>
      <c r="H960" s="1">
        <v>12</v>
      </c>
      <c r="I960" s="1" t="s">
        <v>12226</v>
      </c>
      <c r="J960" t="s">
        <v>12947</v>
      </c>
    </row>
    <row r="961" spans="1:10" ht="15.75">
      <c r="A961" s="1">
        <v>860783</v>
      </c>
      <c r="B961" s="1">
        <v>4450034109</v>
      </c>
      <c r="C961" s="1">
        <v>18</v>
      </c>
      <c r="D961" s="1" t="s">
        <v>259</v>
      </c>
      <c r="E961" t="s">
        <v>12948</v>
      </c>
      <c r="F961" s="4" t="s">
        <v>12949</v>
      </c>
      <c r="G961" s="2"/>
      <c r="H961" s="2"/>
      <c r="I961" s="2"/>
      <c r="J961" s="3"/>
    </row>
    <row r="962" spans="1:10">
      <c r="A962" s="1">
        <v>361337</v>
      </c>
      <c r="B962" s="1">
        <v>4450005070</v>
      </c>
      <c r="C962" s="1">
        <v>14</v>
      </c>
      <c r="D962" s="1" t="s">
        <v>381</v>
      </c>
      <c r="E962" t="s">
        <v>12950</v>
      </c>
      <c r="F962" s="2" t="s">
        <v>0</v>
      </c>
      <c r="G962" s="2" t="s">
        <v>1</v>
      </c>
      <c r="H962" s="2" t="s">
        <v>2</v>
      </c>
      <c r="I962" s="2" t="s">
        <v>3</v>
      </c>
      <c r="J962" s="3" t="s">
        <v>4</v>
      </c>
    </row>
    <row r="963" spans="1:10">
      <c r="A963" s="1">
        <v>433490</v>
      </c>
      <c r="B963" s="1">
        <v>4450005082</v>
      </c>
      <c r="C963" s="1">
        <v>6</v>
      </c>
      <c r="D963" s="1" t="s">
        <v>860</v>
      </c>
      <c r="E963" t="s">
        <v>12951</v>
      </c>
      <c r="F963" s="1">
        <v>706218</v>
      </c>
      <c r="G963" s="1">
        <v>5450010137</v>
      </c>
      <c r="H963" s="1">
        <v>12</v>
      </c>
      <c r="I963" s="1" t="s">
        <v>381</v>
      </c>
      <c r="J963" t="s">
        <v>12952</v>
      </c>
    </row>
    <row r="964" spans="1:10">
      <c r="A964" s="1">
        <v>668459</v>
      </c>
      <c r="B964" s="1">
        <v>4450033658</v>
      </c>
      <c r="C964" s="1">
        <v>14</v>
      </c>
      <c r="D964" s="1" t="s">
        <v>381</v>
      </c>
      <c r="E964" t="s">
        <v>12953</v>
      </c>
      <c r="F964" s="1">
        <v>215566</v>
      </c>
      <c r="G964" s="1">
        <v>5450010138</v>
      </c>
      <c r="H964" s="1">
        <v>12</v>
      </c>
      <c r="I964" s="1" t="s">
        <v>381</v>
      </c>
      <c r="J964" t="s">
        <v>12954</v>
      </c>
    </row>
    <row r="965" spans="1:10">
      <c r="A965" s="1">
        <v>393033</v>
      </c>
      <c r="B965" s="1">
        <v>4450034111</v>
      </c>
      <c r="C965" s="1">
        <v>18</v>
      </c>
      <c r="D965" s="1" t="s">
        <v>259</v>
      </c>
      <c r="E965" t="s">
        <v>12955</v>
      </c>
      <c r="F965" s="1">
        <v>882704</v>
      </c>
      <c r="G965" s="1">
        <v>5450010139</v>
      </c>
      <c r="H965" s="1">
        <v>12</v>
      </c>
      <c r="I965" s="1" t="s">
        <v>910</v>
      </c>
      <c r="J965" t="s">
        <v>12956</v>
      </c>
    </row>
    <row r="966" spans="1:10">
      <c r="A966" s="1">
        <v>410720</v>
      </c>
      <c r="B966" s="1">
        <v>4450034112</v>
      </c>
      <c r="C966" s="1">
        <v>18</v>
      </c>
      <c r="D966" s="1" t="s">
        <v>259</v>
      </c>
      <c r="E966" t="s">
        <v>12957</v>
      </c>
      <c r="F966" s="1">
        <v>132225</v>
      </c>
      <c r="G966" s="1">
        <v>5450010090</v>
      </c>
      <c r="H966" s="1">
        <v>12</v>
      </c>
      <c r="I966" s="1" t="s">
        <v>860</v>
      </c>
      <c r="J966" t="s">
        <v>12958</v>
      </c>
    </row>
    <row r="967" spans="1:10">
      <c r="A967" s="1">
        <v>669952</v>
      </c>
      <c r="B967" s="1">
        <v>4450033121</v>
      </c>
      <c r="C967" s="1">
        <v>24</v>
      </c>
      <c r="D967" s="1" t="s">
        <v>1973</v>
      </c>
      <c r="E967" t="s">
        <v>12959</v>
      </c>
      <c r="F967" s="1">
        <v>624411</v>
      </c>
      <c r="G967" s="1">
        <v>5450000022</v>
      </c>
      <c r="H967" s="1">
        <v>12</v>
      </c>
      <c r="I967" s="1" t="s">
        <v>381</v>
      </c>
      <c r="J967" t="s">
        <v>12960</v>
      </c>
    </row>
    <row r="968" spans="1:10">
      <c r="A968" s="1">
        <v>669945</v>
      </c>
      <c r="B968" s="1">
        <v>4450033119</v>
      </c>
      <c r="C968" s="1">
        <v>24</v>
      </c>
      <c r="D968" s="1" t="s">
        <v>1973</v>
      </c>
      <c r="E968" t="s">
        <v>12961</v>
      </c>
      <c r="F968" s="1">
        <v>229419</v>
      </c>
      <c r="G968" s="1">
        <v>5450010029</v>
      </c>
      <c r="H968" s="1">
        <v>12</v>
      </c>
      <c r="I968" s="1" t="s">
        <v>860</v>
      </c>
      <c r="J968" t="s">
        <v>12962</v>
      </c>
    </row>
    <row r="969" spans="1:10">
      <c r="A969" s="1">
        <v>500736</v>
      </c>
      <c r="B969" s="1">
        <v>3090017745</v>
      </c>
      <c r="C969" s="1">
        <v>15</v>
      </c>
      <c r="D969" s="1" t="s">
        <v>259</v>
      </c>
      <c r="E969" t="s">
        <v>12963</v>
      </c>
      <c r="F969" s="1">
        <v>829507</v>
      </c>
      <c r="G969" s="1">
        <v>5450000013</v>
      </c>
      <c r="H969" s="1">
        <v>12</v>
      </c>
      <c r="I969" s="1" t="s">
        <v>1409</v>
      </c>
      <c r="J969" t="s">
        <v>12964</v>
      </c>
    </row>
    <row r="970" spans="1:10">
      <c r="A970" s="1">
        <v>137836</v>
      </c>
      <c r="B970" s="1">
        <v>7778202161</v>
      </c>
      <c r="C970" s="1">
        <v>10</v>
      </c>
      <c r="D970" s="1" t="s">
        <v>259</v>
      </c>
      <c r="E970" t="s">
        <v>12965</v>
      </c>
      <c r="F970" s="1">
        <v>359117</v>
      </c>
      <c r="G970" s="1">
        <v>5450010078</v>
      </c>
      <c r="H970" s="1">
        <v>12</v>
      </c>
      <c r="I970" s="1" t="s">
        <v>1973</v>
      </c>
      <c r="J970" t="s">
        <v>12966</v>
      </c>
    </row>
    <row r="971" spans="1:10">
      <c r="A971" s="1">
        <v>767178</v>
      </c>
      <c r="B971" s="1">
        <v>7778202171</v>
      </c>
      <c r="C971" s="1">
        <v>10</v>
      </c>
      <c r="D971" s="1" t="s">
        <v>259</v>
      </c>
      <c r="E971" t="s">
        <v>12967</v>
      </c>
      <c r="F971" s="1">
        <v>671669</v>
      </c>
      <c r="G971" s="1">
        <v>5450010002</v>
      </c>
      <c r="H971" s="1">
        <v>24</v>
      </c>
      <c r="I971" s="1" t="s">
        <v>381</v>
      </c>
      <c r="J971" t="s">
        <v>12968</v>
      </c>
    </row>
    <row r="972" spans="1:10">
      <c r="A972" s="1">
        <v>782367</v>
      </c>
      <c r="B972" s="1">
        <v>7778201861</v>
      </c>
      <c r="C972" s="1">
        <v>10</v>
      </c>
      <c r="D972" s="1" t="s">
        <v>259</v>
      </c>
      <c r="E972" t="s">
        <v>12969</v>
      </c>
      <c r="F972" s="1">
        <v>206656</v>
      </c>
      <c r="G972" s="1">
        <v>5450010094</v>
      </c>
      <c r="H972" s="1">
        <v>9</v>
      </c>
      <c r="I972" s="1" t="s">
        <v>8579</v>
      </c>
      <c r="J972" t="s">
        <v>12970</v>
      </c>
    </row>
    <row r="973" spans="1:10">
      <c r="A973" s="1">
        <v>664946</v>
      </c>
      <c r="B973" s="1">
        <v>7778200149</v>
      </c>
      <c r="C973" s="1">
        <v>10</v>
      </c>
      <c r="D973" s="1" t="s">
        <v>381</v>
      </c>
      <c r="E973" t="s">
        <v>12971</v>
      </c>
      <c r="F973" s="1">
        <v>660191</v>
      </c>
      <c r="G973" s="1">
        <v>5450010117</v>
      </c>
      <c r="H973" s="1">
        <v>12</v>
      </c>
      <c r="I973" s="1" t="s">
        <v>1199</v>
      </c>
      <c r="J973" t="s">
        <v>12972</v>
      </c>
    </row>
    <row r="974" spans="1:10">
      <c r="A974" s="1">
        <v>177865</v>
      </c>
      <c r="B974" s="1">
        <v>7778202393</v>
      </c>
      <c r="C974" s="1">
        <v>10</v>
      </c>
      <c r="D974" s="1" t="s">
        <v>259</v>
      </c>
      <c r="E974" t="s">
        <v>12973</v>
      </c>
      <c r="F974" s="1">
        <v>829531</v>
      </c>
      <c r="G974" s="1">
        <v>5450000293</v>
      </c>
      <c r="H974" s="1">
        <v>12</v>
      </c>
      <c r="I974" s="1" t="s">
        <v>1409</v>
      </c>
      <c r="J974" t="s">
        <v>12974</v>
      </c>
    </row>
    <row r="975" spans="1:10">
      <c r="A975" s="1">
        <v>190041</v>
      </c>
      <c r="B975" s="1">
        <v>7778201897</v>
      </c>
      <c r="C975" s="1">
        <v>10</v>
      </c>
      <c r="D975" s="1" t="s">
        <v>4723</v>
      </c>
      <c r="E975" t="s">
        <v>12975</v>
      </c>
      <c r="F975" s="1">
        <v>671537</v>
      </c>
      <c r="G975" s="1">
        <v>5450010084</v>
      </c>
      <c r="H975" s="1">
        <v>12</v>
      </c>
      <c r="I975" s="1" t="s">
        <v>259</v>
      </c>
      <c r="J975" t="s">
        <v>12976</v>
      </c>
    </row>
    <row r="976" spans="1:10">
      <c r="A976" s="1">
        <v>670679</v>
      </c>
      <c r="B976" s="1">
        <v>7187154201</v>
      </c>
      <c r="C976" s="1">
        <v>15</v>
      </c>
      <c r="D976" s="1" t="s">
        <v>259</v>
      </c>
      <c r="E976" t="s">
        <v>12977</v>
      </c>
      <c r="F976" s="1">
        <v>785709</v>
      </c>
      <c r="G976" s="1">
        <v>5450010086</v>
      </c>
      <c r="H976" s="1">
        <v>12</v>
      </c>
      <c r="I976" s="1" t="s">
        <v>259</v>
      </c>
      <c r="J976" t="s">
        <v>12978</v>
      </c>
    </row>
    <row r="977" spans="1:10">
      <c r="A977" s="1">
        <v>670653</v>
      </c>
      <c r="B977" s="1">
        <v>7187154206</v>
      </c>
      <c r="C977" s="1">
        <v>15</v>
      </c>
      <c r="D977" s="1" t="s">
        <v>259</v>
      </c>
      <c r="E977" t="s">
        <v>12979</v>
      </c>
      <c r="F977" s="1">
        <v>671503</v>
      </c>
      <c r="G977" s="1">
        <v>5450010035</v>
      </c>
      <c r="H977" s="1">
        <v>12</v>
      </c>
      <c r="I977" s="1" t="s">
        <v>1973</v>
      </c>
      <c r="J977" t="s">
        <v>12980</v>
      </c>
    </row>
    <row r="978" spans="1:10">
      <c r="A978" s="1">
        <v>746792</v>
      </c>
      <c r="B978" s="1">
        <v>7317000055</v>
      </c>
      <c r="C978" s="1">
        <v>72</v>
      </c>
      <c r="D978" s="1" t="s">
        <v>404</v>
      </c>
      <c r="E978" t="s">
        <v>12981</v>
      </c>
      <c r="F978" s="1">
        <v>671651</v>
      </c>
      <c r="G978" s="1">
        <v>5450010036</v>
      </c>
      <c r="H978" s="1">
        <v>12</v>
      </c>
      <c r="I978" s="1" t="s">
        <v>1973</v>
      </c>
      <c r="J978" t="s">
        <v>12982</v>
      </c>
    </row>
    <row r="979" spans="1:10">
      <c r="A979" s="1">
        <v>756551</v>
      </c>
      <c r="B979" s="1">
        <v>7317000055</v>
      </c>
      <c r="C979" s="1">
        <v>12</v>
      </c>
      <c r="D979" s="1" t="s">
        <v>404</v>
      </c>
      <c r="E979" t="s">
        <v>12983</v>
      </c>
      <c r="F979" s="1">
        <v>673590</v>
      </c>
      <c r="G979" s="1">
        <v>5450010088</v>
      </c>
      <c r="H979" s="1">
        <v>12</v>
      </c>
      <c r="I979" s="1" t="s">
        <v>259</v>
      </c>
      <c r="J979" t="s">
        <v>12984</v>
      </c>
    </row>
    <row r="980" spans="1:10">
      <c r="A980" s="1">
        <v>213439</v>
      </c>
      <c r="B980" s="1">
        <v>7317000053</v>
      </c>
      <c r="C980" s="1">
        <v>12</v>
      </c>
      <c r="D980" s="1" t="s">
        <v>404</v>
      </c>
      <c r="E980" t="s">
        <v>12985</v>
      </c>
      <c r="F980" s="1">
        <v>672386</v>
      </c>
      <c r="G980" s="1">
        <v>5450010007</v>
      </c>
      <c r="H980" s="1">
        <v>12</v>
      </c>
      <c r="I980" s="1" t="s">
        <v>259</v>
      </c>
      <c r="J980" t="s">
        <v>12986</v>
      </c>
    </row>
    <row r="981" spans="1:10">
      <c r="A981" s="1">
        <v>830190</v>
      </c>
      <c r="B981" s="1">
        <v>7317025555</v>
      </c>
      <c r="C981" s="1">
        <v>12</v>
      </c>
      <c r="D981" s="1" t="s">
        <v>399</v>
      </c>
      <c r="E981" t="s">
        <v>12987</v>
      </c>
      <c r="F981" s="1">
        <v>671206</v>
      </c>
      <c r="G981" s="1">
        <v>5450010001</v>
      </c>
      <c r="H981" s="1">
        <v>24</v>
      </c>
      <c r="I981" s="1" t="s">
        <v>381</v>
      </c>
      <c r="J981" t="s">
        <v>12988</v>
      </c>
    </row>
    <row r="982" spans="1:10">
      <c r="A982" s="1">
        <v>110312</v>
      </c>
      <c r="B982" s="1">
        <v>7317078445</v>
      </c>
      <c r="C982" s="1">
        <v>16</v>
      </c>
      <c r="D982" s="1" t="s">
        <v>360</v>
      </c>
      <c r="E982" t="s">
        <v>12989</v>
      </c>
      <c r="F982" s="1">
        <v>206649</v>
      </c>
      <c r="G982" s="1">
        <v>5450010099</v>
      </c>
      <c r="H982" s="1">
        <v>9</v>
      </c>
      <c r="I982" s="1" t="s">
        <v>8579</v>
      </c>
      <c r="J982" t="s">
        <v>12990</v>
      </c>
    </row>
    <row r="983" spans="1:10">
      <c r="A983" s="1">
        <v>578856</v>
      </c>
      <c r="B983" s="1">
        <v>1240001244</v>
      </c>
      <c r="C983" s="1">
        <v>6</v>
      </c>
      <c r="D983" s="1" t="s">
        <v>6737</v>
      </c>
      <c r="E983" t="s">
        <v>12991</v>
      </c>
      <c r="F983" s="1">
        <v>660746</v>
      </c>
      <c r="G983" s="1">
        <v>5450010115</v>
      </c>
      <c r="H983" s="1">
        <v>12</v>
      </c>
      <c r="I983" s="1" t="s">
        <v>1199</v>
      </c>
      <c r="J983" t="s">
        <v>12992</v>
      </c>
    </row>
    <row r="984" spans="1:10">
      <c r="A984" s="1">
        <v>176511</v>
      </c>
      <c r="B984" s="1">
        <v>1240008221</v>
      </c>
      <c r="C984" s="1">
        <v>6</v>
      </c>
      <c r="D984" s="1" t="s">
        <v>6737</v>
      </c>
      <c r="E984" t="s">
        <v>12993</v>
      </c>
      <c r="F984" s="1">
        <v>829515</v>
      </c>
      <c r="G984" s="1">
        <v>5450000033</v>
      </c>
      <c r="H984" s="1">
        <v>12</v>
      </c>
      <c r="I984" s="1" t="s">
        <v>1409</v>
      </c>
      <c r="J984" t="s">
        <v>12994</v>
      </c>
    </row>
    <row r="985" spans="1:10">
      <c r="A985" s="1">
        <v>651273</v>
      </c>
      <c r="B985" s="1">
        <v>1240001241</v>
      </c>
      <c r="C985" s="1">
        <v>6</v>
      </c>
      <c r="D985" s="1" t="s">
        <v>6737</v>
      </c>
      <c r="E985" t="s">
        <v>12995</v>
      </c>
      <c r="F985" s="1">
        <v>696872</v>
      </c>
      <c r="G985" s="1">
        <v>1590014084</v>
      </c>
      <c r="H985" s="1">
        <v>4</v>
      </c>
      <c r="I985" s="1" t="s">
        <v>4723</v>
      </c>
      <c r="J985" t="s">
        <v>12996</v>
      </c>
    </row>
    <row r="986" spans="1:10" ht="15.75">
      <c r="A986" s="4" t="s">
        <v>12949</v>
      </c>
      <c r="B986" s="2"/>
      <c r="C986" s="2"/>
      <c r="D986" s="2"/>
      <c r="E986" s="3"/>
      <c r="F986" s="4" t="s">
        <v>12949</v>
      </c>
      <c r="G986" s="2"/>
      <c r="H986" s="2"/>
      <c r="I986" s="2"/>
      <c r="J986" s="3"/>
    </row>
    <row r="987" spans="1:10">
      <c r="A987" s="2" t="s">
        <v>0</v>
      </c>
      <c r="B987" s="2" t="s">
        <v>1</v>
      </c>
      <c r="C987" s="2" t="s">
        <v>2</v>
      </c>
      <c r="D987" s="2" t="s">
        <v>3</v>
      </c>
      <c r="E987" s="3" t="s">
        <v>4</v>
      </c>
      <c r="F987" s="2" t="s">
        <v>0</v>
      </c>
      <c r="G987" s="2" t="s">
        <v>1</v>
      </c>
      <c r="H987" s="2" t="s">
        <v>2</v>
      </c>
      <c r="I987" s="2" t="s">
        <v>3</v>
      </c>
      <c r="J987" s="3" t="s">
        <v>4</v>
      </c>
    </row>
    <row r="988" spans="1:10">
      <c r="A988" s="1">
        <v>672493</v>
      </c>
      <c r="B988" s="1">
        <v>1590000094</v>
      </c>
      <c r="C988" s="1">
        <v>16</v>
      </c>
      <c r="D988" s="1" t="s">
        <v>347</v>
      </c>
      <c r="E988" t="s">
        <v>12997</v>
      </c>
      <c r="F988" s="1">
        <v>513887</v>
      </c>
      <c r="G988" s="1">
        <v>7495618405</v>
      </c>
      <c r="H988" s="1">
        <v>12</v>
      </c>
      <c r="I988" s="1" t="s">
        <v>347</v>
      </c>
      <c r="J988" t="s">
        <v>12998</v>
      </c>
    </row>
    <row r="989" spans="1:10">
      <c r="A989" s="1">
        <v>861690</v>
      </c>
      <c r="B989" s="1">
        <v>1590013401</v>
      </c>
      <c r="C989" s="1">
        <v>32</v>
      </c>
      <c r="D989" s="1" t="s">
        <v>347</v>
      </c>
      <c r="E989" t="s">
        <v>12999</v>
      </c>
      <c r="F989" s="1">
        <v>675629</v>
      </c>
      <c r="G989" s="1">
        <v>7495618433</v>
      </c>
      <c r="H989" s="1">
        <v>12</v>
      </c>
      <c r="I989" s="1" t="s">
        <v>1973</v>
      </c>
      <c r="J989" t="s">
        <v>13000</v>
      </c>
    </row>
    <row r="990" spans="1:10">
      <c r="A990" s="1">
        <v>676064</v>
      </c>
      <c r="B990" s="1">
        <v>1590000211</v>
      </c>
      <c r="C990" s="1">
        <v>24</v>
      </c>
      <c r="D990" s="1" t="s">
        <v>1973</v>
      </c>
      <c r="E990" t="s">
        <v>13001</v>
      </c>
      <c r="F990" s="1">
        <v>328567</v>
      </c>
      <c r="G990" s="1">
        <v>7495620140</v>
      </c>
      <c r="H990" s="1">
        <v>12</v>
      </c>
      <c r="I990" s="1" t="s">
        <v>1387</v>
      </c>
      <c r="J990" t="s">
        <v>13002</v>
      </c>
    </row>
    <row r="991" spans="1:10">
      <c r="A991" s="1">
        <v>663716</v>
      </c>
      <c r="B991" s="1">
        <v>1590000099</v>
      </c>
      <c r="C991" s="1">
        <v>12</v>
      </c>
      <c r="D991" s="1" t="s">
        <v>381</v>
      </c>
      <c r="E991" t="s">
        <v>13003</v>
      </c>
      <c r="F991" s="1">
        <v>24919</v>
      </c>
      <c r="G991" s="1">
        <v>7495618439</v>
      </c>
      <c r="H991" s="1">
        <v>10</v>
      </c>
      <c r="I991" s="1" t="s">
        <v>13004</v>
      </c>
      <c r="J991" t="s">
        <v>13005</v>
      </c>
    </row>
    <row r="992" spans="1:10">
      <c r="A992" s="1">
        <v>663757</v>
      </c>
      <c r="B992" s="1">
        <v>1590012255</v>
      </c>
      <c r="C992" s="1">
        <v>24</v>
      </c>
      <c r="D992" s="1" t="s">
        <v>1973</v>
      </c>
      <c r="E992" t="s">
        <v>13006</v>
      </c>
      <c r="F992" s="1">
        <v>551366</v>
      </c>
      <c r="G992" s="1">
        <v>7495628300</v>
      </c>
      <c r="H992" s="1">
        <v>12</v>
      </c>
      <c r="I992" s="1" t="s">
        <v>347</v>
      </c>
      <c r="J992" t="s">
        <v>13007</v>
      </c>
    </row>
    <row r="993" spans="1:10">
      <c r="A993" s="1">
        <v>755348</v>
      </c>
      <c r="B993" s="1">
        <v>1590014061</v>
      </c>
      <c r="C993" s="1">
        <v>4</v>
      </c>
      <c r="D993" s="1" t="s">
        <v>4658</v>
      </c>
      <c r="E993" t="s">
        <v>13008</v>
      </c>
      <c r="F993" s="1">
        <v>692574</v>
      </c>
      <c r="G993" s="1">
        <v>7495618270</v>
      </c>
      <c r="H993" s="1">
        <v>12</v>
      </c>
      <c r="I993" s="1" t="s">
        <v>347</v>
      </c>
      <c r="J993" t="s">
        <v>13009</v>
      </c>
    </row>
    <row r="994" spans="1:10">
      <c r="A994" s="1">
        <v>675959</v>
      </c>
      <c r="B994" s="1">
        <v>1590012271</v>
      </c>
      <c r="C994" s="1">
        <v>12</v>
      </c>
      <c r="D994" s="1" t="s">
        <v>1973</v>
      </c>
      <c r="E994" t="s">
        <v>13010</v>
      </c>
      <c r="F994" s="1">
        <v>672436</v>
      </c>
      <c r="G994" s="1">
        <v>7495618220</v>
      </c>
      <c r="H994" s="1">
        <v>12</v>
      </c>
      <c r="I994" s="1" t="s">
        <v>347</v>
      </c>
      <c r="J994" t="s">
        <v>13011</v>
      </c>
    </row>
    <row r="995" spans="1:10">
      <c r="A995" s="1">
        <v>449405</v>
      </c>
      <c r="B995" s="1">
        <v>7367503321</v>
      </c>
      <c r="C995" s="1">
        <v>12</v>
      </c>
      <c r="D995" s="1" t="s">
        <v>381</v>
      </c>
      <c r="E995" t="s">
        <v>13012</v>
      </c>
      <c r="F995" s="1">
        <v>668590</v>
      </c>
      <c r="G995" s="1">
        <v>4450005278</v>
      </c>
      <c r="H995" s="1">
        <v>12</v>
      </c>
      <c r="I995" s="1" t="s">
        <v>259</v>
      </c>
      <c r="J995" t="s">
        <v>13013</v>
      </c>
    </row>
    <row r="996" spans="1:10">
      <c r="A996" s="1">
        <v>389478</v>
      </c>
      <c r="B996" s="1">
        <v>7367503186</v>
      </c>
      <c r="C996" s="1">
        <v>12</v>
      </c>
      <c r="D996" s="1" t="s">
        <v>381</v>
      </c>
      <c r="E996" t="s">
        <v>13014</v>
      </c>
      <c r="F996" s="1">
        <v>660902</v>
      </c>
      <c r="G996" s="1">
        <v>4450033126</v>
      </c>
      <c r="H996" s="1">
        <v>27</v>
      </c>
      <c r="I996" s="1" t="s">
        <v>259</v>
      </c>
      <c r="J996" t="s">
        <v>13015</v>
      </c>
    </row>
    <row r="997" spans="1:10">
      <c r="A997" s="1">
        <v>488056</v>
      </c>
      <c r="B997" s="1">
        <v>7367503549</v>
      </c>
      <c r="C997" s="1">
        <v>12</v>
      </c>
      <c r="D997" s="1" t="s">
        <v>381</v>
      </c>
      <c r="E997" t="s">
        <v>13016</v>
      </c>
      <c r="F997" s="1">
        <v>669895</v>
      </c>
      <c r="G997" s="1">
        <v>4450005087</v>
      </c>
      <c r="H997" s="1">
        <v>12</v>
      </c>
      <c r="I997" s="1" t="s">
        <v>1973</v>
      </c>
      <c r="J997" t="s">
        <v>13017</v>
      </c>
    </row>
    <row r="998" spans="1:10">
      <c r="A998" s="1">
        <v>659698</v>
      </c>
      <c r="B998" s="1">
        <v>7367503320</v>
      </c>
      <c r="C998" s="1">
        <v>12</v>
      </c>
      <c r="D998" s="1" t="s">
        <v>381</v>
      </c>
      <c r="E998" t="s">
        <v>13018</v>
      </c>
      <c r="F998" s="1">
        <v>670000</v>
      </c>
      <c r="G998" s="1">
        <v>4450005086</v>
      </c>
      <c r="H998" s="1">
        <v>12</v>
      </c>
      <c r="I998" s="1" t="s">
        <v>1973</v>
      </c>
      <c r="J998" t="s">
        <v>13019</v>
      </c>
    </row>
    <row r="999" spans="1:10">
      <c r="A999" s="1">
        <v>660431</v>
      </c>
      <c r="B999" s="1">
        <v>7367503165</v>
      </c>
      <c r="C999" s="1">
        <v>12</v>
      </c>
      <c r="D999" s="1" t="s">
        <v>381</v>
      </c>
      <c r="E999" t="s">
        <v>13020</v>
      </c>
      <c r="F999" s="1">
        <v>672279</v>
      </c>
      <c r="G999" s="1">
        <v>4450031296</v>
      </c>
      <c r="H999" s="1">
        <v>12</v>
      </c>
      <c r="I999" s="1" t="s">
        <v>1973</v>
      </c>
      <c r="J999" t="s">
        <v>13021</v>
      </c>
    </row>
    <row r="1000" spans="1:10">
      <c r="A1000" s="1">
        <v>658468</v>
      </c>
      <c r="B1000" s="1">
        <v>7367503160</v>
      </c>
      <c r="C1000" s="1">
        <v>16</v>
      </c>
      <c r="D1000" s="1" t="s">
        <v>347</v>
      </c>
      <c r="E1000" t="s">
        <v>13022</v>
      </c>
      <c r="F1000" s="1">
        <v>670620</v>
      </c>
      <c r="G1000" s="1">
        <v>4450005089</v>
      </c>
      <c r="H1000" s="1">
        <v>12</v>
      </c>
      <c r="I1000" s="1" t="s">
        <v>1973</v>
      </c>
      <c r="J1000" t="s">
        <v>13023</v>
      </c>
    </row>
    <row r="1001" spans="1:10">
      <c r="A1001" s="1">
        <v>657940</v>
      </c>
      <c r="B1001" s="1">
        <v>7367503504</v>
      </c>
      <c r="C1001" s="1">
        <v>8</v>
      </c>
      <c r="D1001" s="1" t="s">
        <v>4723</v>
      </c>
      <c r="E1001" t="s">
        <v>13024</v>
      </c>
      <c r="F1001" s="1">
        <v>493924</v>
      </c>
      <c r="G1001" s="1">
        <v>7010001832</v>
      </c>
      <c r="H1001" s="1">
        <v>12</v>
      </c>
      <c r="I1001" s="1" t="s">
        <v>381</v>
      </c>
      <c r="J1001" t="s">
        <v>13025</v>
      </c>
    </row>
    <row r="1002" spans="1:10">
      <c r="A1002" s="1">
        <v>671628</v>
      </c>
      <c r="B1002" s="1">
        <v>2730012270</v>
      </c>
      <c r="C1002" s="1">
        <v>24</v>
      </c>
      <c r="D1002" s="1" t="s">
        <v>1973</v>
      </c>
      <c r="E1002" t="s">
        <v>13026</v>
      </c>
      <c r="F1002" s="1">
        <v>828418</v>
      </c>
      <c r="G1002" s="1">
        <v>7778201066</v>
      </c>
      <c r="H1002" s="1">
        <v>8</v>
      </c>
      <c r="I1002" s="1" t="s">
        <v>259</v>
      </c>
      <c r="J1002" t="s">
        <v>13027</v>
      </c>
    </row>
    <row r="1003" spans="1:10">
      <c r="A1003" s="1">
        <v>659078</v>
      </c>
      <c r="B1003" s="1">
        <v>2730012811</v>
      </c>
      <c r="C1003" s="1">
        <v>24</v>
      </c>
      <c r="D1003" s="1" t="s">
        <v>1973</v>
      </c>
      <c r="E1003" t="s">
        <v>13028</v>
      </c>
      <c r="F1003" s="1">
        <v>828426</v>
      </c>
      <c r="G1003" s="1">
        <v>7778201019</v>
      </c>
      <c r="H1003" s="1">
        <v>8</v>
      </c>
      <c r="I1003" s="1" t="s">
        <v>259</v>
      </c>
      <c r="J1003" t="s">
        <v>13029</v>
      </c>
    </row>
    <row r="1004" spans="1:10">
      <c r="A1004" s="1">
        <v>677369</v>
      </c>
      <c r="B1004" s="1">
        <v>2730012288</v>
      </c>
      <c r="C1004" s="1">
        <v>24</v>
      </c>
      <c r="D1004" s="1" t="s">
        <v>1973</v>
      </c>
      <c r="E1004" t="s">
        <v>13030</v>
      </c>
      <c r="F1004" s="1">
        <v>563312</v>
      </c>
      <c r="G1004" s="1">
        <v>7175501181</v>
      </c>
      <c r="H1004" s="1">
        <v>12</v>
      </c>
      <c r="I1004" s="1" t="s">
        <v>1973</v>
      </c>
      <c r="J1004" t="s">
        <v>13031</v>
      </c>
    </row>
    <row r="1005" spans="1:10">
      <c r="A1005" s="1">
        <v>672022</v>
      </c>
      <c r="B1005" s="1">
        <v>2730012810</v>
      </c>
      <c r="C1005" s="1">
        <v>24</v>
      </c>
      <c r="D1005" s="1" t="s">
        <v>1973</v>
      </c>
      <c r="E1005" t="s">
        <v>13032</v>
      </c>
      <c r="F1005" s="1">
        <v>563296</v>
      </c>
      <c r="G1005" s="1">
        <v>7175501064</v>
      </c>
      <c r="H1005" s="1">
        <v>12</v>
      </c>
      <c r="I1005" s="1" t="s">
        <v>1973</v>
      </c>
      <c r="J1005" t="s">
        <v>13033</v>
      </c>
    </row>
    <row r="1006" spans="1:10">
      <c r="A1006" s="1">
        <v>662973</v>
      </c>
      <c r="B1006" s="1">
        <v>2730012844</v>
      </c>
      <c r="C1006" s="1">
        <v>24</v>
      </c>
      <c r="D1006" s="1" t="s">
        <v>1973</v>
      </c>
      <c r="E1006" t="s">
        <v>13034</v>
      </c>
      <c r="F1006" s="1">
        <v>563304</v>
      </c>
      <c r="G1006" s="1">
        <v>7175501078</v>
      </c>
      <c r="H1006" s="1">
        <v>12</v>
      </c>
      <c r="I1006" s="1" t="s">
        <v>1973</v>
      </c>
      <c r="J1006" t="s">
        <v>13035</v>
      </c>
    </row>
    <row r="1007" spans="1:10">
      <c r="A1007" s="1">
        <v>671065</v>
      </c>
      <c r="B1007" s="1">
        <v>2730012277</v>
      </c>
      <c r="C1007" s="1">
        <v>24</v>
      </c>
      <c r="D1007" s="1" t="s">
        <v>1973</v>
      </c>
      <c r="E1007" t="s">
        <v>13036</v>
      </c>
      <c r="F1007" s="1">
        <v>672147</v>
      </c>
      <c r="G1007" s="1">
        <v>7187154464</v>
      </c>
      <c r="H1007" s="1">
        <v>12</v>
      </c>
      <c r="I1007" s="1" t="s">
        <v>1973</v>
      </c>
      <c r="J1007" t="s">
        <v>13037</v>
      </c>
    </row>
    <row r="1008" spans="1:10">
      <c r="A1008" s="1">
        <v>801282</v>
      </c>
      <c r="B1008" s="1">
        <v>36800919536</v>
      </c>
      <c r="C1008" s="1">
        <v>12</v>
      </c>
      <c r="D1008" s="1" t="s">
        <v>347</v>
      </c>
      <c r="E1008" t="s">
        <v>13038</v>
      </c>
      <c r="F1008" s="1">
        <v>829457</v>
      </c>
      <c r="G1008" s="1">
        <v>63690691692</v>
      </c>
      <c r="H1008" s="1">
        <v>12</v>
      </c>
      <c r="I1008" s="1" t="s">
        <v>381</v>
      </c>
      <c r="J1008" t="s">
        <v>13039</v>
      </c>
    </row>
    <row r="1009" spans="1:10">
      <c r="A1009" s="1">
        <v>7260</v>
      </c>
      <c r="B1009" s="1">
        <v>78533175785</v>
      </c>
      <c r="C1009" s="1">
        <v>24</v>
      </c>
      <c r="D1009" s="1" t="s">
        <v>347</v>
      </c>
      <c r="E1009" t="s">
        <v>13040</v>
      </c>
      <c r="F1009" s="1">
        <v>670133</v>
      </c>
      <c r="G1009" s="1">
        <v>63690691690</v>
      </c>
      <c r="H1009" s="1">
        <v>12</v>
      </c>
      <c r="I1009" s="1" t="s">
        <v>381</v>
      </c>
      <c r="J1009" t="s">
        <v>13041</v>
      </c>
    </row>
    <row r="1010" spans="1:10">
      <c r="A1010" s="1">
        <v>672063</v>
      </c>
      <c r="B1010" s="1">
        <v>78533176189</v>
      </c>
      <c r="C1010" s="1">
        <v>24</v>
      </c>
      <c r="D1010" s="1" t="s">
        <v>1973</v>
      </c>
      <c r="E1010" t="s">
        <v>13042</v>
      </c>
      <c r="F1010" s="1">
        <v>490953</v>
      </c>
      <c r="G1010" s="1">
        <v>63690691725</v>
      </c>
      <c r="H1010" s="1">
        <v>8</v>
      </c>
      <c r="I1010" s="1" t="s">
        <v>347</v>
      </c>
      <c r="J1010" t="s">
        <v>13043</v>
      </c>
    </row>
    <row r="1011" spans="1:10">
      <c r="A1011" s="1">
        <v>63685</v>
      </c>
      <c r="B1011" s="1">
        <v>78533177850</v>
      </c>
      <c r="C1011" s="1">
        <v>24</v>
      </c>
      <c r="D1011" s="1" t="s">
        <v>381</v>
      </c>
      <c r="E1011" t="s">
        <v>13044</v>
      </c>
      <c r="F1011" s="1">
        <v>670141</v>
      </c>
      <c r="G1011" s="1">
        <v>63690691699</v>
      </c>
      <c r="H1011" s="1">
        <v>12</v>
      </c>
      <c r="I1011" s="1" t="s">
        <v>381</v>
      </c>
      <c r="J1011" t="s">
        <v>13045</v>
      </c>
    </row>
    <row r="1012" spans="1:10">
      <c r="A1012" s="1">
        <v>676833</v>
      </c>
      <c r="B1012" s="1">
        <v>78533179466</v>
      </c>
      <c r="C1012" s="1">
        <v>8</v>
      </c>
      <c r="D1012" s="1" t="s">
        <v>4723</v>
      </c>
      <c r="E1012" t="s">
        <v>13046</v>
      </c>
      <c r="F1012" s="1">
        <v>566760</v>
      </c>
      <c r="G1012" s="1">
        <v>63690691704</v>
      </c>
      <c r="H1012" s="1">
        <v>10</v>
      </c>
      <c r="I1012" s="1" t="s">
        <v>1973</v>
      </c>
      <c r="J1012" t="s">
        <v>13047</v>
      </c>
    </row>
    <row r="1013" spans="1:10">
      <c r="A1013" s="1">
        <v>671636</v>
      </c>
      <c r="B1013" s="1">
        <v>78533175751</v>
      </c>
      <c r="C1013" s="1">
        <v>24</v>
      </c>
      <c r="D1013" s="1" t="s">
        <v>1973</v>
      </c>
      <c r="E1013" t="s">
        <v>13048</v>
      </c>
      <c r="F1013" s="1">
        <v>344457</v>
      </c>
      <c r="G1013" s="1">
        <v>63690691720</v>
      </c>
      <c r="H1013" s="1">
        <v>8</v>
      </c>
      <c r="I1013" s="1" t="s">
        <v>865</v>
      </c>
      <c r="J1013" t="s">
        <v>13049</v>
      </c>
    </row>
    <row r="1014" spans="1:10">
      <c r="A1014" s="1">
        <v>671081</v>
      </c>
      <c r="B1014" s="1">
        <v>78533175744</v>
      </c>
      <c r="C1014" s="1">
        <v>24</v>
      </c>
      <c r="D1014" s="1" t="s">
        <v>1973</v>
      </c>
      <c r="E1014" t="s">
        <v>13050</v>
      </c>
      <c r="F1014" s="1">
        <v>760520</v>
      </c>
      <c r="G1014" s="1">
        <v>4470000270</v>
      </c>
      <c r="H1014" s="1">
        <v>8</v>
      </c>
      <c r="I1014" s="1" t="s">
        <v>4723</v>
      </c>
      <c r="J1014" t="s">
        <v>13051</v>
      </c>
    </row>
    <row r="1015" spans="1:10">
      <c r="A1015" s="1">
        <v>672055</v>
      </c>
      <c r="B1015" s="1">
        <v>78533177963</v>
      </c>
      <c r="C1015" s="1">
        <v>16</v>
      </c>
      <c r="D1015" s="1" t="s">
        <v>347</v>
      </c>
      <c r="E1015" t="s">
        <v>13052</v>
      </c>
      <c r="F1015" s="1">
        <v>677104</v>
      </c>
      <c r="G1015" s="1">
        <v>4470000095</v>
      </c>
      <c r="H1015" s="1">
        <v>12</v>
      </c>
      <c r="I1015" s="1" t="s">
        <v>1973</v>
      </c>
      <c r="J1015" t="s">
        <v>13053</v>
      </c>
    </row>
    <row r="1016" spans="1:10">
      <c r="A1016" s="1">
        <v>672089</v>
      </c>
      <c r="B1016" s="1">
        <v>78533177830</v>
      </c>
      <c r="C1016" s="1">
        <v>12</v>
      </c>
      <c r="D1016" s="1" t="s">
        <v>1973</v>
      </c>
      <c r="E1016" t="s">
        <v>13054</v>
      </c>
      <c r="F1016" s="1">
        <v>671594</v>
      </c>
      <c r="G1016" s="1">
        <v>4470000095</v>
      </c>
      <c r="H1016" s="1">
        <v>24</v>
      </c>
      <c r="I1016" s="1" t="s">
        <v>1973</v>
      </c>
      <c r="J1016" t="s">
        <v>13055</v>
      </c>
    </row>
    <row r="1017" spans="1:10">
      <c r="A1017" s="1">
        <v>671032</v>
      </c>
      <c r="B1017" s="1">
        <v>78533177820</v>
      </c>
      <c r="C1017" s="1">
        <v>8</v>
      </c>
      <c r="D1017" s="1" t="s">
        <v>4723</v>
      </c>
      <c r="E1017" t="s">
        <v>13056</v>
      </c>
      <c r="F1017" s="1">
        <v>36343</v>
      </c>
      <c r="G1017" s="1">
        <v>4470000641</v>
      </c>
      <c r="H1017" s="1">
        <v>12</v>
      </c>
      <c r="I1017" s="1" t="s">
        <v>381</v>
      </c>
      <c r="J1017" t="s">
        <v>13057</v>
      </c>
    </row>
    <row r="1018" spans="1:10">
      <c r="A1018" s="1">
        <v>671925</v>
      </c>
      <c r="B1018" s="1">
        <v>78533179450</v>
      </c>
      <c r="C1018" s="1">
        <v>8</v>
      </c>
      <c r="D1018" s="1" t="s">
        <v>4723</v>
      </c>
      <c r="E1018" t="s">
        <v>13058</v>
      </c>
      <c r="F1018" s="1">
        <v>671735</v>
      </c>
      <c r="G1018" s="1">
        <v>4470000077</v>
      </c>
      <c r="H1018" s="1">
        <v>12</v>
      </c>
      <c r="I1018" s="1" t="s">
        <v>1973</v>
      </c>
      <c r="J1018" t="s">
        <v>13059</v>
      </c>
    </row>
    <row r="1019" spans="1:10">
      <c r="A1019" s="1">
        <v>671834</v>
      </c>
      <c r="B1019" s="1">
        <v>78533175712</v>
      </c>
      <c r="C1019" s="1">
        <v>16</v>
      </c>
      <c r="D1019" s="1" t="s">
        <v>347</v>
      </c>
      <c r="E1019" t="s">
        <v>13060</v>
      </c>
      <c r="F1019" s="1">
        <v>671073</v>
      </c>
      <c r="G1019" s="1">
        <v>4470000004</v>
      </c>
      <c r="H1019" s="1">
        <v>12</v>
      </c>
      <c r="I1019" s="1" t="s">
        <v>1973</v>
      </c>
      <c r="J1019" t="s">
        <v>13061</v>
      </c>
    </row>
    <row r="1020" spans="1:10">
      <c r="A1020" s="1">
        <v>670976</v>
      </c>
      <c r="B1020" s="1">
        <v>78533177805</v>
      </c>
      <c r="C1020" s="1">
        <v>6</v>
      </c>
      <c r="D1020" s="1" t="s">
        <v>4658</v>
      </c>
      <c r="E1020" t="s">
        <v>13062</v>
      </c>
      <c r="F1020" s="1">
        <v>671172</v>
      </c>
      <c r="G1020" s="1">
        <v>4470000053</v>
      </c>
      <c r="H1020" s="1">
        <v>12</v>
      </c>
      <c r="I1020" s="1" t="s">
        <v>1973</v>
      </c>
      <c r="J1020" t="s">
        <v>13063</v>
      </c>
    </row>
    <row r="1021" spans="1:10">
      <c r="A1021" s="1">
        <v>671057</v>
      </c>
      <c r="B1021" s="1">
        <v>78533177740</v>
      </c>
      <c r="C1021" s="1">
        <v>12</v>
      </c>
      <c r="D1021" s="1" t="s">
        <v>1973</v>
      </c>
      <c r="E1021" t="s">
        <v>13064</v>
      </c>
      <c r="F1021" s="1">
        <v>671008</v>
      </c>
      <c r="G1021" s="1">
        <v>4470000266</v>
      </c>
      <c r="H1021" s="1">
        <v>8</v>
      </c>
      <c r="I1021" s="1" t="s">
        <v>865</v>
      </c>
      <c r="J1021" t="s">
        <v>13065</v>
      </c>
    </row>
    <row r="1022" spans="1:10">
      <c r="A1022" s="1">
        <v>489583</v>
      </c>
      <c r="B1022" s="1">
        <v>78533103435</v>
      </c>
      <c r="C1022" s="1">
        <v>24</v>
      </c>
      <c r="D1022" s="1" t="s">
        <v>1973</v>
      </c>
      <c r="E1022" t="s">
        <v>13066</v>
      </c>
      <c r="F1022" s="1">
        <v>303974</v>
      </c>
      <c r="G1022" s="1">
        <v>4470000543</v>
      </c>
      <c r="H1022" s="1">
        <v>8</v>
      </c>
      <c r="I1022" s="1" t="s">
        <v>2173</v>
      </c>
      <c r="J1022" t="s">
        <v>13067</v>
      </c>
    </row>
    <row r="1023" spans="1:10">
      <c r="A1023" s="1">
        <v>503888</v>
      </c>
      <c r="B1023" s="1">
        <v>7495618053</v>
      </c>
      <c r="C1023" s="1">
        <v>12</v>
      </c>
      <c r="D1023" s="1" t="s">
        <v>363</v>
      </c>
      <c r="E1023" t="s">
        <v>13068</v>
      </c>
      <c r="F1023" s="1">
        <v>303966</v>
      </c>
      <c r="G1023" s="1">
        <v>4470000541</v>
      </c>
      <c r="H1023" s="1">
        <v>8</v>
      </c>
      <c r="I1023" s="1" t="s">
        <v>2173</v>
      </c>
      <c r="J1023" t="s">
        <v>13069</v>
      </c>
    </row>
    <row r="1024" spans="1:10">
      <c r="A1024" s="1">
        <v>135293</v>
      </c>
      <c r="B1024" s="1">
        <v>7495618054</v>
      </c>
      <c r="C1024" s="1">
        <v>12</v>
      </c>
      <c r="D1024" s="1" t="s">
        <v>363</v>
      </c>
      <c r="E1024" t="s">
        <v>13070</v>
      </c>
      <c r="F1024" s="1">
        <v>676726</v>
      </c>
      <c r="G1024" s="1">
        <v>4470000098</v>
      </c>
      <c r="H1024" s="1">
        <v>12</v>
      </c>
      <c r="I1024" s="1" t="s">
        <v>259</v>
      </c>
      <c r="J1024" t="s">
        <v>13071</v>
      </c>
    </row>
    <row r="1025" spans="1:10">
      <c r="A1025" s="1">
        <v>357137</v>
      </c>
      <c r="B1025" s="1">
        <v>7495618262</v>
      </c>
      <c r="C1025" s="1">
        <v>12</v>
      </c>
      <c r="D1025" s="1" t="s">
        <v>347</v>
      </c>
      <c r="E1025" t="s">
        <v>13072</v>
      </c>
      <c r="F1025" s="1">
        <v>542506</v>
      </c>
      <c r="G1025" s="1">
        <v>4470000667</v>
      </c>
      <c r="H1025" s="1">
        <v>12</v>
      </c>
      <c r="I1025" s="1" t="s">
        <v>381</v>
      </c>
      <c r="J1025" t="s">
        <v>13073</v>
      </c>
    </row>
    <row r="1026" spans="1:10">
      <c r="A1026" s="1">
        <v>677328</v>
      </c>
      <c r="B1026" s="1">
        <v>7495618266</v>
      </c>
      <c r="C1026" s="1">
        <v>12</v>
      </c>
      <c r="D1026" s="1" t="s">
        <v>347</v>
      </c>
      <c r="E1026" t="s">
        <v>13074</v>
      </c>
      <c r="F1026" s="1">
        <v>671222</v>
      </c>
      <c r="G1026" s="1">
        <v>4470000211</v>
      </c>
      <c r="H1026" s="1">
        <v>12</v>
      </c>
      <c r="I1026" s="1" t="s">
        <v>1973</v>
      </c>
      <c r="J1026" t="s">
        <v>13075</v>
      </c>
    </row>
    <row r="1027" spans="1:10" ht="15.75">
      <c r="A1027" s="4" t="s">
        <v>12949</v>
      </c>
      <c r="B1027" s="2"/>
      <c r="C1027" s="2"/>
      <c r="D1027" s="2"/>
      <c r="E1027" s="3"/>
      <c r="F1027" s="4" t="s">
        <v>13076</v>
      </c>
      <c r="G1027" s="2"/>
      <c r="H1027" s="2"/>
      <c r="I1027" s="2"/>
      <c r="J1027" s="3"/>
    </row>
    <row r="1028" spans="1:10">
      <c r="A1028" s="2" t="s">
        <v>0</v>
      </c>
      <c r="B1028" s="2" t="s">
        <v>1</v>
      </c>
      <c r="C1028" s="2" t="s">
        <v>2</v>
      </c>
      <c r="D1028" s="2" t="s">
        <v>3</v>
      </c>
      <c r="E1028" s="3" t="s">
        <v>4</v>
      </c>
      <c r="F1028" s="2" t="s">
        <v>0</v>
      </c>
      <c r="G1028" s="2" t="s">
        <v>1</v>
      </c>
      <c r="H1028" s="2" t="s">
        <v>2</v>
      </c>
      <c r="I1028" s="2" t="s">
        <v>3</v>
      </c>
      <c r="J1028" s="3" t="s">
        <v>4</v>
      </c>
    </row>
    <row r="1029" spans="1:10">
      <c r="A1029" s="1">
        <v>672931</v>
      </c>
      <c r="B1029" s="1">
        <v>4470000210</v>
      </c>
      <c r="C1029" s="1">
        <v>12</v>
      </c>
      <c r="D1029" s="1" t="s">
        <v>1973</v>
      </c>
      <c r="E1029" t="s">
        <v>13077</v>
      </c>
      <c r="F1029" s="1">
        <v>736991</v>
      </c>
      <c r="G1029" s="1">
        <v>7601000433</v>
      </c>
      <c r="H1029" s="1">
        <v>6</v>
      </c>
      <c r="I1029" s="1" t="s">
        <v>439</v>
      </c>
      <c r="J1029" t="s">
        <v>13078</v>
      </c>
    </row>
    <row r="1030" spans="1:10">
      <c r="A1030" s="1">
        <v>672014</v>
      </c>
      <c r="B1030" s="1">
        <v>4470000241</v>
      </c>
      <c r="C1030" s="1">
        <v>12</v>
      </c>
      <c r="D1030" s="1" t="s">
        <v>1973</v>
      </c>
      <c r="E1030" t="s">
        <v>13079</v>
      </c>
      <c r="F1030" s="1">
        <v>418475</v>
      </c>
      <c r="G1030" s="1">
        <v>7601000434</v>
      </c>
      <c r="H1030" s="1">
        <v>6</v>
      </c>
      <c r="I1030" s="1" t="s">
        <v>439</v>
      </c>
      <c r="J1030" t="s">
        <v>13080</v>
      </c>
    </row>
    <row r="1031" spans="1:10">
      <c r="A1031" s="1">
        <v>672006</v>
      </c>
      <c r="B1031" s="1">
        <v>4470000240</v>
      </c>
      <c r="C1031" s="1">
        <v>12</v>
      </c>
      <c r="D1031" s="1" t="s">
        <v>1973</v>
      </c>
      <c r="E1031" t="s">
        <v>13081</v>
      </c>
      <c r="F1031" s="1">
        <v>749150</v>
      </c>
      <c r="G1031" s="1">
        <v>7601000003</v>
      </c>
      <c r="H1031" s="1">
        <v>6</v>
      </c>
      <c r="I1031" s="1" t="s">
        <v>347</v>
      </c>
      <c r="J1031" t="s">
        <v>13082</v>
      </c>
    </row>
    <row r="1032" spans="1:10">
      <c r="A1032" s="1">
        <v>670752</v>
      </c>
      <c r="B1032" s="1">
        <v>4470000829</v>
      </c>
      <c r="C1032" s="1">
        <v>12</v>
      </c>
      <c r="D1032" s="1" t="s">
        <v>1973</v>
      </c>
      <c r="E1032" t="s">
        <v>13083</v>
      </c>
      <c r="F1032" s="1">
        <v>450601</v>
      </c>
      <c r="G1032" s="1">
        <v>7601000031</v>
      </c>
      <c r="H1032" s="1">
        <v>12</v>
      </c>
      <c r="I1032" s="1" t="s">
        <v>347</v>
      </c>
      <c r="J1032" t="s">
        <v>13084</v>
      </c>
    </row>
    <row r="1033" spans="1:10">
      <c r="A1033" s="1">
        <v>655514</v>
      </c>
      <c r="B1033" s="1">
        <v>4470000015</v>
      </c>
      <c r="C1033" s="1">
        <v>12</v>
      </c>
      <c r="D1033" s="1" t="s">
        <v>381</v>
      </c>
      <c r="E1033" t="s">
        <v>13085</v>
      </c>
      <c r="F1033" s="1">
        <v>765636</v>
      </c>
      <c r="G1033" s="1">
        <v>7601000029</v>
      </c>
      <c r="H1033" s="1">
        <v>6</v>
      </c>
      <c r="I1033" s="1" t="s">
        <v>347</v>
      </c>
      <c r="J1033" t="s">
        <v>13086</v>
      </c>
    </row>
    <row r="1034" spans="1:10">
      <c r="A1034" s="1">
        <v>671156</v>
      </c>
      <c r="B1034" s="1">
        <v>4470000063</v>
      </c>
      <c r="C1034" s="1">
        <v>12</v>
      </c>
      <c r="D1034" s="1" t="s">
        <v>1973</v>
      </c>
      <c r="E1034" t="s">
        <v>13087</v>
      </c>
      <c r="F1034" s="1">
        <v>472126</v>
      </c>
      <c r="G1034" s="1">
        <v>7590000553</v>
      </c>
      <c r="H1034" s="1">
        <v>6</v>
      </c>
      <c r="I1034" s="1" t="s">
        <v>938</v>
      </c>
      <c r="J1034" t="s">
        <v>13088</v>
      </c>
    </row>
    <row r="1035" spans="1:10">
      <c r="A1035" s="1">
        <v>282921</v>
      </c>
      <c r="B1035" s="1">
        <v>4470000709</v>
      </c>
      <c r="C1035" s="1">
        <v>8</v>
      </c>
      <c r="D1035" s="1" t="s">
        <v>489</v>
      </c>
      <c r="E1035" t="s">
        <v>13089</v>
      </c>
      <c r="F1035" s="1">
        <v>312181</v>
      </c>
      <c r="G1035" s="1">
        <v>7590000551</v>
      </c>
      <c r="H1035" s="1">
        <v>6</v>
      </c>
      <c r="I1035" s="1" t="s">
        <v>632</v>
      </c>
      <c r="J1035" t="s">
        <v>13090</v>
      </c>
    </row>
    <row r="1036" spans="1:10">
      <c r="A1036" s="1">
        <v>822668</v>
      </c>
      <c r="B1036" s="1">
        <v>4470000708</v>
      </c>
      <c r="C1036" s="1">
        <v>8</v>
      </c>
      <c r="D1036" s="1" t="s">
        <v>489</v>
      </c>
      <c r="E1036" t="s">
        <v>13091</v>
      </c>
      <c r="F1036" s="1">
        <v>828350</v>
      </c>
      <c r="G1036" s="1">
        <v>7590000410</v>
      </c>
      <c r="H1036" s="1">
        <v>8</v>
      </c>
      <c r="I1036" s="1" t="s">
        <v>1180</v>
      </c>
      <c r="J1036" t="s">
        <v>13092</v>
      </c>
    </row>
    <row r="1037" spans="1:10">
      <c r="A1037" s="1">
        <v>775056</v>
      </c>
      <c r="B1037" s="1">
        <v>4470002272</v>
      </c>
      <c r="C1037" s="1">
        <v>12</v>
      </c>
      <c r="D1037" s="1" t="s">
        <v>347</v>
      </c>
      <c r="E1037" t="s">
        <v>13093</v>
      </c>
      <c r="F1037" s="1">
        <v>250753</v>
      </c>
      <c r="G1037" s="1">
        <v>7590000681</v>
      </c>
      <c r="H1037" s="1">
        <v>8</v>
      </c>
      <c r="I1037" s="1" t="s">
        <v>632</v>
      </c>
      <c r="J1037" t="s">
        <v>13094</v>
      </c>
    </row>
    <row r="1038" spans="1:10">
      <c r="A1038" s="1">
        <v>677005</v>
      </c>
      <c r="B1038" s="1">
        <v>4470000045</v>
      </c>
      <c r="C1038" s="1">
        <v>12</v>
      </c>
      <c r="D1038" s="1" t="s">
        <v>1973</v>
      </c>
      <c r="E1038" t="s">
        <v>13095</v>
      </c>
      <c r="F1038" s="1">
        <v>762047</v>
      </c>
      <c r="G1038" s="1">
        <v>7590000562</v>
      </c>
      <c r="H1038" s="1">
        <v>8</v>
      </c>
      <c r="I1038" s="1" t="s">
        <v>13096</v>
      </c>
      <c r="J1038" t="s">
        <v>13097</v>
      </c>
    </row>
    <row r="1039" spans="1:10">
      <c r="A1039" s="1">
        <v>670943</v>
      </c>
      <c r="B1039" s="1">
        <v>4470000151</v>
      </c>
      <c r="C1039" s="1">
        <v>12</v>
      </c>
      <c r="D1039" s="1" t="s">
        <v>381</v>
      </c>
      <c r="E1039" t="s">
        <v>13098</v>
      </c>
      <c r="F1039" s="1">
        <v>40642</v>
      </c>
      <c r="G1039" s="1">
        <v>7590000521</v>
      </c>
      <c r="H1039" s="1">
        <v>6</v>
      </c>
      <c r="I1039" s="1" t="s">
        <v>1198</v>
      </c>
      <c r="J1039" t="s">
        <v>13099</v>
      </c>
    </row>
    <row r="1040" spans="1:10">
      <c r="A1040" s="1">
        <v>672238</v>
      </c>
      <c r="B1040" s="1">
        <v>4470000049</v>
      </c>
      <c r="C1040" s="1">
        <v>12</v>
      </c>
      <c r="D1040" s="1" t="s">
        <v>1973</v>
      </c>
      <c r="E1040" t="s">
        <v>13100</v>
      </c>
      <c r="F1040" s="1">
        <v>300855</v>
      </c>
      <c r="G1040" s="1">
        <v>7590000774</v>
      </c>
      <c r="H1040" s="1">
        <v>8</v>
      </c>
      <c r="I1040" s="1" t="s">
        <v>13101</v>
      </c>
      <c r="J1040" t="s">
        <v>13102</v>
      </c>
    </row>
    <row r="1041" spans="1:10">
      <c r="A1041" s="1">
        <v>672048</v>
      </c>
      <c r="B1041" s="1">
        <v>4470000281</v>
      </c>
      <c r="C1041" s="1">
        <v>12</v>
      </c>
      <c r="D1041" s="1" t="s">
        <v>1973</v>
      </c>
      <c r="E1041" t="s">
        <v>13103</v>
      </c>
      <c r="F1041" s="1">
        <v>315572</v>
      </c>
      <c r="G1041" s="1">
        <v>7590000777</v>
      </c>
      <c r="H1041" s="1">
        <v>8</v>
      </c>
      <c r="I1041" s="1" t="s">
        <v>7126</v>
      </c>
      <c r="J1041" t="s">
        <v>13104</v>
      </c>
    </row>
    <row r="1042" spans="1:10">
      <c r="A1042" s="1">
        <v>308692</v>
      </c>
      <c r="B1042" s="1">
        <v>7080005036</v>
      </c>
      <c r="C1042" s="1">
        <v>12</v>
      </c>
      <c r="D1042" s="1" t="s">
        <v>489</v>
      </c>
      <c r="E1042" t="s">
        <v>13105</v>
      </c>
      <c r="F1042" s="1">
        <v>532184</v>
      </c>
      <c r="G1042" s="1">
        <v>7590000525</v>
      </c>
      <c r="H1042" s="1">
        <v>6</v>
      </c>
      <c r="I1042" s="1" t="s">
        <v>439</v>
      </c>
      <c r="J1042" t="s">
        <v>13106</v>
      </c>
    </row>
    <row r="1043" spans="1:10">
      <c r="A1043" s="1">
        <v>173641</v>
      </c>
      <c r="B1043" s="1">
        <v>7080005037</v>
      </c>
      <c r="C1043" s="1">
        <v>12</v>
      </c>
      <c r="D1043" s="1" t="s">
        <v>347</v>
      </c>
      <c r="E1043" t="s">
        <v>13107</v>
      </c>
      <c r="F1043" s="1">
        <v>466656</v>
      </c>
      <c r="G1043" s="1">
        <v>7590000527</v>
      </c>
      <c r="H1043" s="1">
        <v>6</v>
      </c>
      <c r="I1043" s="1" t="s">
        <v>938</v>
      </c>
      <c r="J1043" t="s">
        <v>13108</v>
      </c>
    </row>
    <row r="1044" spans="1:10">
      <c r="A1044" s="1">
        <v>3970</v>
      </c>
      <c r="B1044" s="1">
        <v>7433800412</v>
      </c>
      <c r="C1044" s="1">
        <v>12</v>
      </c>
      <c r="D1044" s="1" t="s">
        <v>381</v>
      </c>
      <c r="E1044" t="s">
        <v>13109</v>
      </c>
      <c r="F1044" s="1">
        <v>37523</v>
      </c>
      <c r="G1044" s="1">
        <v>7590000523</v>
      </c>
      <c r="H1044" s="1">
        <v>6</v>
      </c>
      <c r="I1044" s="1" t="s">
        <v>938</v>
      </c>
      <c r="J1044" t="s">
        <v>13110</v>
      </c>
    </row>
    <row r="1045" spans="1:10">
      <c r="A1045" s="1">
        <v>286815</v>
      </c>
      <c r="B1045" s="1">
        <v>7433800413</v>
      </c>
      <c r="C1045" s="1">
        <v>12</v>
      </c>
      <c r="D1045" s="1" t="s">
        <v>381</v>
      </c>
      <c r="E1045" t="s">
        <v>13111</v>
      </c>
      <c r="F1045" s="1">
        <v>683490</v>
      </c>
      <c r="G1045" s="1">
        <v>7590000557</v>
      </c>
      <c r="H1045" s="1">
        <v>6</v>
      </c>
      <c r="I1045" s="1" t="s">
        <v>938</v>
      </c>
      <c r="J1045" t="s">
        <v>13112</v>
      </c>
    </row>
    <row r="1046" spans="1:10">
      <c r="A1046" s="1">
        <v>360511</v>
      </c>
      <c r="B1046" s="1">
        <v>7433800414</v>
      </c>
      <c r="C1046" s="1">
        <v>10</v>
      </c>
      <c r="D1046" s="1" t="s">
        <v>865</v>
      </c>
      <c r="E1046" t="s">
        <v>13113</v>
      </c>
      <c r="F1046" s="1">
        <v>577494</v>
      </c>
      <c r="G1046" s="1">
        <v>7590000530</v>
      </c>
      <c r="H1046" s="1">
        <v>6</v>
      </c>
      <c r="I1046" s="1" t="s">
        <v>938</v>
      </c>
      <c r="J1046" t="s">
        <v>13114</v>
      </c>
    </row>
    <row r="1047" spans="1:10">
      <c r="A1047" s="1">
        <v>522839</v>
      </c>
      <c r="B1047" s="1">
        <v>7492052813</v>
      </c>
      <c r="C1047" s="1">
        <v>24</v>
      </c>
      <c r="D1047" s="1" t="s">
        <v>347</v>
      </c>
      <c r="E1047" t="s">
        <v>13115</v>
      </c>
      <c r="F1047" s="1">
        <v>436451</v>
      </c>
      <c r="G1047" s="1">
        <v>7590000531</v>
      </c>
      <c r="H1047" s="1">
        <v>6</v>
      </c>
      <c r="I1047" s="1" t="s">
        <v>954</v>
      </c>
      <c r="J1047" t="s">
        <v>13114</v>
      </c>
    </row>
    <row r="1048" spans="1:10">
      <c r="A1048" s="1">
        <v>106559</v>
      </c>
      <c r="B1048" s="1">
        <v>4113030818</v>
      </c>
      <c r="C1048" s="1">
        <v>24</v>
      </c>
      <c r="D1048" s="1" t="s">
        <v>381</v>
      </c>
      <c r="E1048" t="s">
        <v>13116</v>
      </c>
      <c r="F1048" s="1">
        <v>485086</v>
      </c>
      <c r="G1048" s="1">
        <v>7590000534</v>
      </c>
      <c r="H1048" s="1">
        <v>6</v>
      </c>
      <c r="I1048" s="1" t="s">
        <v>375</v>
      </c>
      <c r="J1048" t="s">
        <v>13117</v>
      </c>
    </row>
    <row r="1049" spans="1:10">
      <c r="A1049" s="1">
        <v>394387</v>
      </c>
      <c r="B1049" s="1">
        <v>4113030819</v>
      </c>
      <c r="C1049" s="1">
        <v>24</v>
      </c>
      <c r="D1049" s="1" t="s">
        <v>381</v>
      </c>
      <c r="E1049" t="s">
        <v>13118</v>
      </c>
      <c r="F1049" s="1">
        <v>557199</v>
      </c>
      <c r="G1049" s="1">
        <v>7590000526</v>
      </c>
      <c r="H1049" s="1">
        <v>12</v>
      </c>
      <c r="I1049" s="1" t="s">
        <v>439</v>
      </c>
      <c r="J1049" t="s">
        <v>13119</v>
      </c>
    </row>
    <row r="1050" spans="1:10">
      <c r="A1050" s="1">
        <v>426197</v>
      </c>
      <c r="B1050" s="1">
        <v>7389000114</v>
      </c>
      <c r="C1050" s="1">
        <v>8</v>
      </c>
      <c r="D1050" s="1" t="s">
        <v>4723</v>
      </c>
      <c r="E1050" t="s">
        <v>13120</v>
      </c>
      <c r="F1050" s="1">
        <v>156216</v>
      </c>
      <c r="G1050" s="1">
        <v>7590000555</v>
      </c>
      <c r="H1050" s="1">
        <v>6</v>
      </c>
      <c r="I1050" s="1" t="s">
        <v>632</v>
      </c>
      <c r="J1050" t="s">
        <v>13121</v>
      </c>
    </row>
    <row r="1051" spans="1:10">
      <c r="A1051" s="1">
        <v>667626</v>
      </c>
      <c r="B1051" s="1">
        <v>7389000112</v>
      </c>
      <c r="C1051" s="1">
        <v>24</v>
      </c>
      <c r="D1051" s="1" t="s">
        <v>1973</v>
      </c>
      <c r="E1051" t="s">
        <v>13122</v>
      </c>
      <c r="F1051" s="1">
        <v>106641</v>
      </c>
      <c r="G1051" s="1">
        <v>7590000550</v>
      </c>
      <c r="H1051" s="1">
        <v>6</v>
      </c>
      <c r="I1051" s="1" t="s">
        <v>632</v>
      </c>
      <c r="J1051" t="s">
        <v>13123</v>
      </c>
    </row>
    <row r="1052" spans="1:10">
      <c r="A1052" s="1">
        <v>843722</v>
      </c>
      <c r="B1052" s="1">
        <v>7389000141</v>
      </c>
      <c r="C1052" s="1">
        <v>12</v>
      </c>
      <c r="D1052" s="1" t="s">
        <v>860</v>
      </c>
      <c r="E1052" t="s">
        <v>13124</v>
      </c>
      <c r="F1052" s="1">
        <v>18432</v>
      </c>
      <c r="G1052" s="1">
        <v>7590000558</v>
      </c>
      <c r="H1052" s="1">
        <v>6</v>
      </c>
      <c r="I1052" s="1" t="s">
        <v>938</v>
      </c>
      <c r="J1052" t="s">
        <v>13125</v>
      </c>
    </row>
    <row r="1053" spans="1:10">
      <c r="A1053" s="1">
        <v>78337</v>
      </c>
      <c r="B1053" s="1">
        <v>7389004059</v>
      </c>
      <c r="C1053" s="1">
        <v>6</v>
      </c>
      <c r="D1053" s="1" t="s">
        <v>4658</v>
      </c>
      <c r="E1053" t="s">
        <v>13126</v>
      </c>
      <c r="F1053" s="1">
        <v>382770</v>
      </c>
      <c r="G1053" s="1">
        <v>7590000559</v>
      </c>
      <c r="H1053" s="1">
        <v>6</v>
      </c>
      <c r="I1053" s="1" t="s">
        <v>632</v>
      </c>
      <c r="J1053" t="s">
        <v>13127</v>
      </c>
    </row>
    <row r="1054" spans="1:10">
      <c r="A1054" s="1">
        <v>362731</v>
      </c>
      <c r="B1054" s="1">
        <v>7539330145</v>
      </c>
      <c r="C1054" s="1">
        <v>12</v>
      </c>
      <c r="D1054" s="1" t="s">
        <v>381</v>
      </c>
      <c r="E1054" t="s">
        <v>13128</v>
      </c>
      <c r="F1054" s="1">
        <v>803502</v>
      </c>
      <c r="G1054" s="1">
        <v>7590000554</v>
      </c>
      <c r="H1054" s="1">
        <v>6</v>
      </c>
      <c r="I1054" s="1" t="s">
        <v>938</v>
      </c>
      <c r="J1054" t="s">
        <v>13129</v>
      </c>
    </row>
    <row r="1055" spans="1:10">
      <c r="A1055" s="1">
        <v>672808</v>
      </c>
      <c r="B1055" s="1">
        <v>7539300145</v>
      </c>
      <c r="C1055" s="1">
        <v>16</v>
      </c>
      <c r="D1055" s="1" t="s">
        <v>347</v>
      </c>
      <c r="E1055" t="s">
        <v>13130</v>
      </c>
      <c r="F1055" s="1">
        <v>370098</v>
      </c>
      <c r="G1055" s="1">
        <v>7590000524</v>
      </c>
      <c r="H1055" s="1">
        <v>6</v>
      </c>
      <c r="I1055" s="1" t="s">
        <v>439</v>
      </c>
      <c r="J1055" t="s">
        <v>13131</v>
      </c>
    </row>
    <row r="1056" spans="1:10">
      <c r="A1056" s="1">
        <v>652701</v>
      </c>
      <c r="B1056" s="1">
        <v>7539300151</v>
      </c>
      <c r="C1056" s="1">
        <v>16</v>
      </c>
      <c r="D1056" s="1" t="s">
        <v>347</v>
      </c>
      <c r="E1056" t="s">
        <v>13132</v>
      </c>
      <c r="F1056" s="1">
        <v>413088</v>
      </c>
      <c r="G1056" s="1">
        <v>7590000533</v>
      </c>
      <c r="H1056" s="1">
        <v>6</v>
      </c>
      <c r="I1056" s="1" t="s">
        <v>1198</v>
      </c>
      <c r="J1056" t="s">
        <v>13133</v>
      </c>
    </row>
    <row r="1057" spans="1:10">
      <c r="A1057" s="1">
        <v>672311</v>
      </c>
      <c r="B1057" s="1">
        <v>7539300142</v>
      </c>
      <c r="C1057" s="1">
        <v>12</v>
      </c>
      <c r="D1057" s="1" t="s">
        <v>439</v>
      </c>
      <c r="E1057" t="s">
        <v>13134</v>
      </c>
      <c r="F1057" s="1">
        <v>149179</v>
      </c>
      <c r="G1057" s="1">
        <v>7590000529</v>
      </c>
      <c r="H1057" s="1">
        <v>6</v>
      </c>
      <c r="I1057" s="1" t="s">
        <v>1198</v>
      </c>
      <c r="J1057" t="s">
        <v>13135</v>
      </c>
    </row>
    <row r="1058" spans="1:10">
      <c r="A1058" s="1">
        <v>729137</v>
      </c>
      <c r="B1058" s="1">
        <v>7539310165</v>
      </c>
      <c r="C1058" s="1">
        <v>6</v>
      </c>
      <c r="D1058" s="1" t="s">
        <v>4658</v>
      </c>
      <c r="E1058" t="s">
        <v>13136</v>
      </c>
      <c r="F1058" s="1">
        <v>430132</v>
      </c>
      <c r="G1058" s="1">
        <v>7590000552</v>
      </c>
      <c r="H1058" s="1">
        <v>6</v>
      </c>
      <c r="I1058" s="1" t="s">
        <v>632</v>
      </c>
      <c r="J1058" t="s">
        <v>13137</v>
      </c>
    </row>
    <row r="1059" spans="1:10" ht="15.75">
      <c r="A1059" s="4" t="s">
        <v>13076</v>
      </c>
      <c r="B1059" s="2"/>
      <c r="C1059" s="2"/>
      <c r="D1059" s="2"/>
      <c r="E1059" s="3"/>
      <c r="F1059" s="1">
        <v>211300</v>
      </c>
      <c r="G1059" s="1">
        <v>7590000515</v>
      </c>
      <c r="H1059" s="1">
        <v>8</v>
      </c>
      <c r="I1059" s="1" t="s">
        <v>938</v>
      </c>
      <c r="J1059" t="s">
        <v>13138</v>
      </c>
    </row>
    <row r="1060" spans="1:10">
      <c r="A1060" s="2" t="s">
        <v>0</v>
      </c>
      <c r="B1060" s="2" t="s">
        <v>1</v>
      </c>
      <c r="C1060" s="2" t="s">
        <v>2</v>
      </c>
      <c r="D1060" s="2" t="s">
        <v>3</v>
      </c>
      <c r="E1060" s="3" t="s">
        <v>4</v>
      </c>
      <c r="F1060" s="1">
        <v>262147</v>
      </c>
      <c r="G1060" s="1">
        <v>3526401221</v>
      </c>
      <c r="H1060" s="1">
        <v>6</v>
      </c>
      <c r="I1060" s="1" t="s">
        <v>860</v>
      </c>
      <c r="J1060" t="s">
        <v>13139</v>
      </c>
    </row>
    <row r="1061" spans="1:10">
      <c r="A1061" s="1">
        <v>669879</v>
      </c>
      <c r="B1061" s="1">
        <v>4660003394</v>
      </c>
      <c r="C1061" s="1">
        <v>12</v>
      </c>
      <c r="D1061" s="1" t="s">
        <v>354</v>
      </c>
      <c r="E1061" t="s">
        <v>13140</v>
      </c>
      <c r="F1061" s="1">
        <v>223008</v>
      </c>
      <c r="G1061" s="1">
        <v>3526401220</v>
      </c>
      <c r="H1061" s="1">
        <v>6</v>
      </c>
      <c r="I1061" s="1" t="s">
        <v>860</v>
      </c>
      <c r="J1061" t="s">
        <v>13141</v>
      </c>
    </row>
    <row r="1062" spans="1:10">
      <c r="A1062" s="1">
        <v>664532</v>
      </c>
      <c r="B1062" s="1">
        <v>4660002263</v>
      </c>
      <c r="C1062" s="1">
        <v>12</v>
      </c>
      <c r="D1062" s="1" t="s">
        <v>432</v>
      </c>
      <c r="E1062" t="s">
        <v>13142</v>
      </c>
      <c r="F1062" s="1">
        <v>426866</v>
      </c>
      <c r="G1062" s="1">
        <v>2740021831</v>
      </c>
      <c r="H1062" s="1">
        <v>6</v>
      </c>
      <c r="I1062" s="1" t="s">
        <v>908</v>
      </c>
      <c r="J1062" t="s">
        <v>13143</v>
      </c>
    </row>
    <row r="1063" spans="1:10">
      <c r="A1063" s="1">
        <v>664565</v>
      </c>
      <c r="B1063" s="1">
        <v>4660002261</v>
      </c>
      <c r="C1063" s="1">
        <v>12</v>
      </c>
      <c r="D1063" s="1" t="s">
        <v>432</v>
      </c>
      <c r="E1063" t="s">
        <v>13144</v>
      </c>
      <c r="F1063" s="1">
        <v>439976</v>
      </c>
      <c r="G1063" s="1">
        <v>2740022337</v>
      </c>
      <c r="H1063" s="1">
        <v>6</v>
      </c>
      <c r="I1063" s="1" t="s">
        <v>908</v>
      </c>
      <c r="J1063" t="s">
        <v>13145</v>
      </c>
    </row>
    <row r="1064" spans="1:10">
      <c r="A1064" s="1">
        <v>669861</v>
      </c>
      <c r="B1064" s="1">
        <v>4660035002</v>
      </c>
      <c r="C1064" s="1">
        <v>12</v>
      </c>
      <c r="D1064" s="1" t="s">
        <v>963</v>
      </c>
      <c r="E1064" t="s">
        <v>13146</v>
      </c>
      <c r="F1064" s="1">
        <v>828921</v>
      </c>
      <c r="G1064" s="1">
        <v>2740072521</v>
      </c>
      <c r="H1064" s="1">
        <v>6</v>
      </c>
      <c r="I1064" s="1" t="s">
        <v>1313</v>
      </c>
      <c r="J1064" t="s">
        <v>13147</v>
      </c>
    </row>
    <row r="1065" spans="1:10">
      <c r="A1065" s="1">
        <v>664540</v>
      </c>
      <c r="B1065" s="1">
        <v>4660002262</v>
      </c>
      <c r="C1065" s="1">
        <v>12</v>
      </c>
      <c r="D1065" s="1" t="s">
        <v>432</v>
      </c>
      <c r="E1065" t="s">
        <v>13148</v>
      </c>
      <c r="F1065" s="1">
        <v>828913</v>
      </c>
      <c r="G1065" s="1">
        <v>2740072511</v>
      </c>
      <c r="H1065" s="1">
        <v>6</v>
      </c>
      <c r="I1065" s="1" t="s">
        <v>1313</v>
      </c>
      <c r="J1065" t="s">
        <v>13149</v>
      </c>
    </row>
    <row r="1066" spans="1:10">
      <c r="A1066" s="1">
        <v>551176</v>
      </c>
      <c r="B1066" s="1">
        <v>7601000006</v>
      </c>
      <c r="C1066" s="1">
        <v>12</v>
      </c>
      <c r="D1066" s="1" t="s">
        <v>347</v>
      </c>
      <c r="E1066" t="s">
        <v>13150</v>
      </c>
      <c r="F1066" s="1">
        <v>292953</v>
      </c>
      <c r="G1066" s="1">
        <v>2740022335</v>
      </c>
      <c r="H1066" s="1">
        <v>6</v>
      </c>
      <c r="I1066" s="1" t="s">
        <v>908</v>
      </c>
      <c r="J1066" t="s">
        <v>13151</v>
      </c>
    </row>
    <row r="1067" spans="1:10">
      <c r="A1067" s="1">
        <v>165282</v>
      </c>
      <c r="B1067" s="1">
        <v>7601000435</v>
      </c>
      <c r="C1067" s="1">
        <v>6</v>
      </c>
      <c r="D1067" s="1" t="s">
        <v>439</v>
      </c>
      <c r="E1067" t="s">
        <v>13152</v>
      </c>
      <c r="F1067" s="1">
        <v>44735</v>
      </c>
      <c r="G1067" s="1">
        <v>2740023058</v>
      </c>
      <c r="H1067" s="1">
        <v>6</v>
      </c>
      <c r="I1067" s="1" t="s">
        <v>908</v>
      </c>
      <c r="J1067" t="s">
        <v>13153</v>
      </c>
    </row>
    <row r="1068" spans="1:10" ht="15.75">
      <c r="A1068" s="4" t="s">
        <v>13076</v>
      </c>
      <c r="B1068" s="2"/>
      <c r="C1068" s="2"/>
      <c r="D1068" s="2"/>
      <c r="E1068" s="3"/>
      <c r="F1068" s="4" t="s">
        <v>13076</v>
      </c>
      <c r="G1068" s="2"/>
      <c r="H1068" s="2"/>
      <c r="I1068" s="2"/>
      <c r="J1068" s="3"/>
    </row>
    <row r="1069" spans="1:10">
      <c r="A1069" s="2" t="s">
        <v>0</v>
      </c>
      <c r="B1069" s="2" t="s">
        <v>1</v>
      </c>
      <c r="C1069" s="2" t="s">
        <v>2</v>
      </c>
      <c r="D1069" s="2" t="s">
        <v>3</v>
      </c>
      <c r="E1069" s="3" t="s">
        <v>4</v>
      </c>
      <c r="F1069" s="2" t="s">
        <v>0</v>
      </c>
      <c r="G1069" s="2" t="s">
        <v>1</v>
      </c>
      <c r="H1069" s="2" t="s">
        <v>2</v>
      </c>
      <c r="I1069" s="2" t="s">
        <v>3</v>
      </c>
      <c r="J1069" s="3" t="s">
        <v>4</v>
      </c>
    </row>
    <row r="1070" spans="1:10">
      <c r="A1070" s="1">
        <v>183228</v>
      </c>
      <c r="B1070" s="1">
        <v>2740021973</v>
      </c>
      <c r="C1070" s="1">
        <v>6</v>
      </c>
      <c r="D1070" s="1" t="s">
        <v>908</v>
      </c>
      <c r="E1070" t="s">
        <v>13154</v>
      </c>
      <c r="F1070" s="1">
        <v>109082</v>
      </c>
      <c r="G1070" s="1">
        <v>4470003306</v>
      </c>
      <c r="H1070" s="1">
        <v>8</v>
      </c>
      <c r="I1070" s="1" t="s">
        <v>6221</v>
      </c>
      <c r="J1070" t="s">
        <v>13155</v>
      </c>
    </row>
    <row r="1071" spans="1:10">
      <c r="A1071" s="1">
        <v>627158</v>
      </c>
      <c r="B1071" s="1">
        <v>2740021610</v>
      </c>
      <c r="C1071" s="1">
        <v>6</v>
      </c>
      <c r="D1071" s="1" t="s">
        <v>1387</v>
      </c>
      <c r="E1071" t="s">
        <v>13156</v>
      </c>
      <c r="F1071" s="1">
        <v>13854</v>
      </c>
      <c r="G1071" s="1">
        <v>4470002355</v>
      </c>
      <c r="H1071" s="1">
        <v>8</v>
      </c>
      <c r="I1071" s="1" t="s">
        <v>1135</v>
      </c>
      <c r="J1071" t="s">
        <v>13157</v>
      </c>
    </row>
    <row r="1072" spans="1:10">
      <c r="A1072" s="1">
        <v>514596</v>
      </c>
      <c r="B1072" s="1">
        <v>2740021058</v>
      </c>
      <c r="C1072" s="1">
        <v>6</v>
      </c>
      <c r="D1072" s="1" t="s">
        <v>1387</v>
      </c>
      <c r="E1072" t="s">
        <v>13158</v>
      </c>
      <c r="F1072" s="1">
        <v>506253</v>
      </c>
      <c r="G1072" s="1">
        <v>4470003304</v>
      </c>
      <c r="H1072" s="1">
        <v>8</v>
      </c>
      <c r="I1072" s="1" t="s">
        <v>6221</v>
      </c>
      <c r="J1072" t="s">
        <v>13159</v>
      </c>
    </row>
    <row r="1073" spans="1:10">
      <c r="A1073" s="1">
        <v>23150</v>
      </c>
      <c r="B1073" s="1">
        <v>70405170602</v>
      </c>
      <c r="C1073" s="1">
        <v>6</v>
      </c>
      <c r="D1073" s="1" t="s">
        <v>632</v>
      </c>
      <c r="E1073" t="s">
        <v>13160</v>
      </c>
      <c r="F1073" s="1">
        <v>641761</v>
      </c>
      <c r="G1073" s="1">
        <v>4470003305</v>
      </c>
      <c r="H1073" s="1">
        <v>8</v>
      </c>
      <c r="I1073" s="1" t="s">
        <v>781</v>
      </c>
      <c r="J1073" t="s">
        <v>13161</v>
      </c>
    </row>
    <row r="1074" spans="1:10">
      <c r="A1074" s="1">
        <v>414243</v>
      </c>
      <c r="B1074" s="1">
        <v>70405170601</v>
      </c>
      <c r="C1074" s="1">
        <v>6</v>
      </c>
      <c r="D1074" s="1" t="s">
        <v>632</v>
      </c>
      <c r="E1074" t="s">
        <v>13162</v>
      </c>
      <c r="F1074" s="1">
        <v>20958</v>
      </c>
      <c r="G1074" s="1">
        <v>4470002353</v>
      </c>
      <c r="H1074" s="1">
        <v>8</v>
      </c>
      <c r="I1074" s="1" t="s">
        <v>2338</v>
      </c>
      <c r="J1074" t="s">
        <v>13163</v>
      </c>
    </row>
    <row r="1075" spans="1:10">
      <c r="A1075" s="1">
        <v>757351</v>
      </c>
      <c r="B1075" s="1">
        <v>1122502148</v>
      </c>
      <c r="C1075" s="1">
        <v>10</v>
      </c>
      <c r="D1075" s="1" t="s">
        <v>375</v>
      </c>
      <c r="E1075" t="s">
        <v>13164</v>
      </c>
      <c r="F1075" s="1">
        <v>671164</v>
      </c>
      <c r="G1075" s="1">
        <v>4470002354</v>
      </c>
      <c r="H1075" s="1">
        <v>8</v>
      </c>
      <c r="I1075" s="1" t="s">
        <v>1135</v>
      </c>
      <c r="J1075" t="s">
        <v>13165</v>
      </c>
    </row>
    <row r="1076" spans="1:10">
      <c r="A1076" s="1">
        <v>823534</v>
      </c>
      <c r="B1076" s="1">
        <v>4660003384</v>
      </c>
      <c r="C1076" s="1">
        <v>18</v>
      </c>
      <c r="D1076" s="1" t="s">
        <v>93</v>
      </c>
      <c r="E1076" t="s">
        <v>13166</v>
      </c>
      <c r="F1076" s="1">
        <v>265306</v>
      </c>
      <c r="G1076" s="1">
        <v>4470002351</v>
      </c>
      <c r="H1076" s="1">
        <v>8</v>
      </c>
      <c r="I1076" s="1" t="s">
        <v>2338</v>
      </c>
      <c r="J1076" t="s">
        <v>13167</v>
      </c>
    </row>
    <row r="1077" spans="1:10">
      <c r="A1077" s="1">
        <v>407478</v>
      </c>
      <c r="B1077" s="1">
        <v>4660003378</v>
      </c>
      <c r="C1077" s="1">
        <v>18</v>
      </c>
      <c r="D1077" s="1" t="s">
        <v>251</v>
      </c>
      <c r="E1077" t="s">
        <v>13168</v>
      </c>
      <c r="F1077" s="1">
        <v>250720</v>
      </c>
      <c r="G1077" s="1">
        <v>4470003300</v>
      </c>
      <c r="H1077" s="1">
        <v>8</v>
      </c>
      <c r="I1077" s="1" t="s">
        <v>6221</v>
      </c>
      <c r="J1077" t="s">
        <v>13169</v>
      </c>
    </row>
    <row r="1078" spans="1:10">
      <c r="A1078" s="1">
        <v>753905</v>
      </c>
      <c r="B1078" s="1">
        <v>4660003427</v>
      </c>
      <c r="C1078" s="1">
        <v>18</v>
      </c>
      <c r="D1078" s="1" t="s">
        <v>93</v>
      </c>
      <c r="E1078" t="s">
        <v>13170</v>
      </c>
      <c r="F1078" s="1">
        <v>676502</v>
      </c>
      <c r="G1078" s="1">
        <v>4470036038</v>
      </c>
      <c r="H1078" s="1">
        <v>12</v>
      </c>
      <c r="I1078" s="1" t="s">
        <v>13171</v>
      </c>
      <c r="J1078" t="s">
        <v>13172</v>
      </c>
    </row>
    <row r="1079" spans="1:10">
      <c r="A1079" s="1">
        <v>436246</v>
      </c>
      <c r="B1079" s="1">
        <v>4660003386</v>
      </c>
      <c r="C1079" s="1">
        <v>18</v>
      </c>
      <c r="D1079" s="1" t="s">
        <v>93</v>
      </c>
      <c r="E1079" t="s">
        <v>13173</v>
      </c>
      <c r="F1079" s="1">
        <v>672105</v>
      </c>
      <c r="G1079" s="1">
        <v>4470036057</v>
      </c>
      <c r="H1079" s="1">
        <v>12</v>
      </c>
      <c r="I1079" s="1" t="s">
        <v>703</v>
      </c>
      <c r="J1079" t="s">
        <v>13174</v>
      </c>
    </row>
    <row r="1080" spans="1:10">
      <c r="A1080" s="1">
        <v>507467</v>
      </c>
      <c r="B1080" s="1">
        <v>4660003428</v>
      </c>
      <c r="C1080" s="1">
        <v>18</v>
      </c>
      <c r="D1080" s="1" t="s">
        <v>93</v>
      </c>
      <c r="E1080" t="s">
        <v>13175</v>
      </c>
      <c r="F1080" s="1">
        <v>672071</v>
      </c>
      <c r="G1080" s="1">
        <v>4470036058</v>
      </c>
      <c r="H1080" s="1">
        <v>12</v>
      </c>
      <c r="I1080" s="1" t="s">
        <v>13176</v>
      </c>
      <c r="J1080" t="s">
        <v>13177</v>
      </c>
    </row>
    <row r="1081" spans="1:10">
      <c r="A1081" s="1">
        <v>334086</v>
      </c>
      <c r="B1081" s="1">
        <v>2730010022</v>
      </c>
      <c r="C1081" s="1">
        <v>16</v>
      </c>
      <c r="D1081" s="1" t="s">
        <v>363</v>
      </c>
      <c r="E1081" t="s">
        <v>13178</v>
      </c>
      <c r="F1081" s="1">
        <v>670307</v>
      </c>
      <c r="G1081" s="1">
        <v>4470036000</v>
      </c>
      <c r="H1081" s="1">
        <v>16</v>
      </c>
      <c r="I1081" s="1" t="s">
        <v>106</v>
      </c>
      <c r="J1081" t="s">
        <v>13179</v>
      </c>
    </row>
    <row r="1082" spans="1:10">
      <c r="A1082" s="1">
        <v>572370</v>
      </c>
      <c r="B1082" s="1">
        <v>7176300113</v>
      </c>
      <c r="C1082" s="1">
        <v>6</v>
      </c>
      <c r="D1082" s="1" t="s">
        <v>860</v>
      </c>
      <c r="E1082" t="s">
        <v>13180</v>
      </c>
      <c r="F1082" s="1">
        <v>379313</v>
      </c>
      <c r="G1082" s="1">
        <v>4470036067</v>
      </c>
      <c r="H1082" s="1">
        <v>8</v>
      </c>
      <c r="I1082" s="1" t="s">
        <v>6179</v>
      </c>
      <c r="J1082" t="s">
        <v>13181</v>
      </c>
    </row>
    <row r="1083" spans="1:10">
      <c r="A1083" s="1">
        <v>530808</v>
      </c>
      <c r="B1083" s="1">
        <v>7176300112</v>
      </c>
      <c r="C1083" s="1">
        <v>6</v>
      </c>
      <c r="D1083" s="1" t="s">
        <v>860</v>
      </c>
      <c r="E1083" t="s">
        <v>13182</v>
      </c>
      <c r="F1083" s="1">
        <v>701029</v>
      </c>
      <c r="G1083" s="1">
        <v>4470036062</v>
      </c>
      <c r="H1083" s="1">
        <v>12</v>
      </c>
      <c r="I1083" s="1" t="s">
        <v>2163</v>
      </c>
      <c r="J1083" t="s">
        <v>13183</v>
      </c>
    </row>
    <row r="1084" spans="1:10">
      <c r="A1084" s="1">
        <v>380212</v>
      </c>
      <c r="B1084" s="1">
        <v>7176300111</v>
      </c>
      <c r="C1084" s="1">
        <v>6</v>
      </c>
      <c r="D1084" s="1" t="s">
        <v>860</v>
      </c>
      <c r="E1084" t="s">
        <v>13184</v>
      </c>
      <c r="F1084" s="1">
        <v>455071</v>
      </c>
      <c r="G1084" s="1">
        <v>4470036006</v>
      </c>
      <c r="H1084" s="1">
        <v>8</v>
      </c>
      <c r="I1084" s="1" t="s">
        <v>1426</v>
      </c>
      <c r="J1084" t="s">
        <v>13185</v>
      </c>
    </row>
    <row r="1085" spans="1:10">
      <c r="A1085" s="1">
        <v>680439</v>
      </c>
      <c r="B1085" s="1">
        <v>78533131094</v>
      </c>
      <c r="C1085" s="1">
        <v>8</v>
      </c>
      <c r="D1085" s="1" t="s">
        <v>632</v>
      </c>
      <c r="E1085" t="s">
        <v>13186</v>
      </c>
      <c r="F1085" s="1">
        <v>824979</v>
      </c>
      <c r="G1085" s="1">
        <v>4470036008</v>
      </c>
      <c r="H1085" s="1">
        <v>8</v>
      </c>
      <c r="I1085" s="1" t="s">
        <v>1409</v>
      </c>
      <c r="J1085" t="s">
        <v>13187</v>
      </c>
    </row>
    <row r="1086" spans="1:10">
      <c r="A1086" s="1">
        <v>680371</v>
      </c>
      <c r="B1086" s="1">
        <v>78533131095</v>
      </c>
      <c r="C1086" s="1">
        <v>8</v>
      </c>
      <c r="D1086" s="1" t="s">
        <v>632</v>
      </c>
      <c r="E1086" t="s">
        <v>13188</v>
      </c>
      <c r="F1086" s="1">
        <v>212506</v>
      </c>
      <c r="G1086" s="1">
        <v>4470036004</v>
      </c>
      <c r="H1086" s="1">
        <v>8</v>
      </c>
      <c r="I1086" s="1" t="s">
        <v>3626</v>
      </c>
      <c r="J1086" t="s">
        <v>13189</v>
      </c>
    </row>
    <row r="1087" spans="1:10">
      <c r="A1087" s="1">
        <v>565291</v>
      </c>
      <c r="B1087" s="1">
        <v>78533131097</v>
      </c>
      <c r="C1087" s="1">
        <v>8</v>
      </c>
      <c r="D1087" s="1" t="s">
        <v>632</v>
      </c>
      <c r="E1087" t="s">
        <v>13190</v>
      </c>
      <c r="F1087" s="1">
        <v>461905</v>
      </c>
      <c r="G1087" s="1">
        <v>4470036007</v>
      </c>
      <c r="H1087" s="1">
        <v>8</v>
      </c>
      <c r="I1087" s="1" t="s">
        <v>1275</v>
      </c>
      <c r="J1087" t="s">
        <v>13191</v>
      </c>
    </row>
    <row r="1088" spans="1:10">
      <c r="A1088" s="1">
        <v>226357</v>
      </c>
      <c r="B1088" s="1">
        <v>7091907704</v>
      </c>
      <c r="C1088" s="1">
        <v>8</v>
      </c>
      <c r="D1088" s="1" t="s">
        <v>13192</v>
      </c>
      <c r="E1088" t="s">
        <v>13193</v>
      </c>
      <c r="F1088" s="1">
        <v>272070</v>
      </c>
      <c r="G1088" s="1">
        <v>4470036056</v>
      </c>
      <c r="H1088" s="1">
        <v>8</v>
      </c>
      <c r="I1088" s="1" t="s">
        <v>6179</v>
      </c>
      <c r="J1088" t="s">
        <v>13194</v>
      </c>
    </row>
    <row r="1089" spans="1:10">
      <c r="A1089" s="1">
        <v>253997</v>
      </c>
      <c r="B1089" s="1">
        <v>3760000038</v>
      </c>
      <c r="C1089" s="1">
        <v>6</v>
      </c>
      <c r="D1089" s="1" t="s">
        <v>940</v>
      </c>
      <c r="E1089" t="s">
        <v>13195</v>
      </c>
      <c r="F1089" s="1">
        <v>667766</v>
      </c>
      <c r="G1089" s="1">
        <v>4470002487</v>
      </c>
      <c r="H1089" s="1">
        <v>12</v>
      </c>
      <c r="I1089" s="1" t="s">
        <v>13196</v>
      </c>
      <c r="J1089" t="s">
        <v>13197</v>
      </c>
    </row>
    <row r="1090" spans="1:10">
      <c r="A1090" s="1">
        <v>63578</v>
      </c>
      <c r="B1090" s="1">
        <v>7892910042</v>
      </c>
      <c r="C1090" s="1">
        <v>8</v>
      </c>
      <c r="D1090" s="1" t="s">
        <v>13198</v>
      </c>
      <c r="E1090" t="s">
        <v>13199</v>
      </c>
      <c r="F1090" s="1">
        <v>677294</v>
      </c>
      <c r="G1090" s="1">
        <v>4470036002</v>
      </c>
      <c r="H1090" s="1">
        <v>16</v>
      </c>
      <c r="I1090" s="1" t="s">
        <v>13200</v>
      </c>
      <c r="J1090" t="s">
        <v>13201</v>
      </c>
    </row>
    <row r="1091" spans="1:10">
      <c r="A1091" s="1">
        <v>430090</v>
      </c>
      <c r="B1091" s="1">
        <v>7892948285</v>
      </c>
      <c r="C1091" s="1">
        <v>6</v>
      </c>
      <c r="D1091" s="1" t="s">
        <v>1973</v>
      </c>
      <c r="E1091" t="s">
        <v>13202</v>
      </c>
      <c r="F1091" s="1">
        <v>175323</v>
      </c>
      <c r="G1091" s="1">
        <v>4470036097</v>
      </c>
      <c r="H1091" s="1">
        <v>12</v>
      </c>
      <c r="I1091" s="1" t="s">
        <v>1272</v>
      </c>
      <c r="J1091" t="s">
        <v>13203</v>
      </c>
    </row>
    <row r="1092" spans="1:10">
      <c r="A1092" s="1">
        <v>497974</v>
      </c>
      <c r="B1092" s="1">
        <v>7892931782</v>
      </c>
      <c r="C1092" s="1">
        <v>6</v>
      </c>
      <c r="D1092" s="1" t="s">
        <v>1973</v>
      </c>
      <c r="E1092" t="s">
        <v>13204</v>
      </c>
      <c r="F1092" s="1">
        <v>664094</v>
      </c>
      <c r="G1092" s="1">
        <v>4470036310</v>
      </c>
      <c r="H1092" s="1">
        <v>12</v>
      </c>
      <c r="I1092" s="1" t="s">
        <v>1123</v>
      </c>
      <c r="J1092" t="s">
        <v>13205</v>
      </c>
    </row>
    <row r="1093" spans="1:10">
      <c r="A1093" s="1">
        <v>339762</v>
      </c>
      <c r="B1093" s="1">
        <v>7892910041</v>
      </c>
      <c r="C1093" s="1">
        <v>8</v>
      </c>
      <c r="D1093" s="1" t="s">
        <v>13206</v>
      </c>
      <c r="E1093" t="s">
        <v>13207</v>
      </c>
      <c r="F1093" s="1">
        <v>676163</v>
      </c>
      <c r="G1093" s="1">
        <v>4470002442</v>
      </c>
      <c r="H1093" s="1">
        <v>12</v>
      </c>
      <c r="I1093" s="1" t="s">
        <v>13208</v>
      </c>
      <c r="J1093" t="s">
        <v>13209</v>
      </c>
    </row>
    <row r="1094" spans="1:10">
      <c r="A1094" s="1">
        <v>691378</v>
      </c>
      <c r="B1094" s="1">
        <v>7738711477</v>
      </c>
      <c r="C1094" s="1">
        <v>9</v>
      </c>
      <c r="D1094" s="1" t="s">
        <v>940</v>
      </c>
      <c r="E1094" t="s">
        <v>13210</v>
      </c>
      <c r="F1094" s="1">
        <v>671438</v>
      </c>
      <c r="G1094" s="1">
        <v>4470036001</v>
      </c>
      <c r="H1094" s="1">
        <v>16</v>
      </c>
      <c r="I1094" s="1" t="s">
        <v>517</v>
      </c>
      <c r="J1094" t="s">
        <v>13211</v>
      </c>
    </row>
    <row r="1095" spans="1:10">
      <c r="A1095" s="1">
        <v>729954</v>
      </c>
      <c r="B1095" s="1">
        <v>7738701205</v>
      </c>
      <c r="C1095" s="1">
        <v>12</v>
      </c>
      <c r="D1095" s="1" t="s">
        <v>4586</v>
      </c>
      <c r="E1095" t="s">
        <v>13212</v>
      </c>
      <c r="F1095" s="1">
        <v>676569</v>
      </c>
      <c r="G1095" s="1">
        <v>4470002447</v>
      </c>
      <c r="H1095" s="1">
        <v>12</v>
      </c>
      <c r="I1095" s="1" t="s">
        <v>904</v>
      </c>
      <c r="J1095" t="s">
        <v>13213</v>
      </c>
    </row>
    <row r="1096" spans="1:10">
      <c r="A1096" s="1">
        <v>729947</v>
      </c>
      <c r="B1096" s="1">
        <v>7738701203</v>
      </c>
      <c r="C1096" s="1">
        <v>12</v>
      </c>
      <c r="D1096" s="1" t="s">
        <v>4586</v>
      </c>
      <c r="E1096" t="s">
        <v>13214</v>
      </c>
      <c r="F1096" s="1">
        <v>676478</v>
      </c>
      <c r="G1096" s="1">
        <v>4470036035</v>
      </c>
      <c r="H1096" s="1">
        <v>16</v>
      </c>
      <c r="I1096" s="1" t="s">
        <v>589</v>
      </c>
      <c r="J1096" t="s">
        <v>13215</v>
      </c>
    </row>
    <row r="1097" spans="1:10">
      <c r="A1097" s="1">
        <v>729962</v>
      </c>
      <c r="B1097" s="1">
        <v>7738711480</v>
      </c>
      <c r="C1097" s="1">
        <v>12</v>
      </c>
      <c r="D1097" s="1" t="s">
        <v>4586</v>
      </c>
      <c r="E1097" t="s">
        <v>13216</v>
      </c>
      <c r="F1097" s="1">
        <v>676494</v>
      </c>
      <c r="G1097" s="1">
        <v>4470036036</v>
      </c>
      <c r="H1097" s="1">
        <v>12</v>
      </c>
      <c r="I1097" s="1" t="s">
        <v>1241</v>
      </c>
      <c r="J1097" t="s">
        <v>13217</v>
      </c>
    </row>
    <row r="1098" spans="1:10">
      <c r="A1098" s="1">
        <v>686279</v>
      </c>
      <c r="B1098" s="1">
        <v>7738711440</v>
      </c>
      <c r="C1098" s="1">
        <v>6</v>
      </c>
      <c r="D1098" s="1" t="s">
        <v>1489</v>
      </c>
      <c r="E1098" t="s">
        <v>13218</v>
      </c>
      <c r="F1098" s="1">
        <v>676551</v>
      </c>
      <c r="G1098" s="1">
        <v>4470002448</v>
      </c>
      <c r="H1098" s="1">
        <v>12</v>
      </c>
      <c r="I1098" s="1" t="s">
        <v>904</v>
      </c>
      <c r="J1098" t="s">
        <v>13219</v>
      </c>
    </row>
    <row r="1099" spans="1:10">
      <c r="A1099" s="1">
        <v>689174</v>
      </c>
      <c r="B1099" s="1">
        <v>7738711969</v>
      </c>
      <c r="C1099" s="1">
        <v>6</v>
      </c>
      <c r="D1099" s="1" t="s">
        <v>13220</v>
      </c>
      <c r="E1099" t="s">
        <v>13221</v>
      </c>
      <c r="F1099" s="1">
        <v>668608</v>
      </c>
      <c r="G1099" s="1">
        <v>4470002458</v>
      </c>
      <c r="H1099" s="1">
        <v>16</v>
      </c>
      <c r="I1099" s="1" t="s">
        <v>106</v>
      </c>
      <c r="J1099" t="s">
        <v>13222</v>
      </c>
    </row>
    <row r="1100" spans="1:10">
      <c r="A1100" s="1">
        <v>693226</v>
      </c>
      <c r="B1100" s="1">
        <v>7738711478</v>
      </c>
      <c r="C1100" s="1">
        <v>9</v>
      </c>
      <c r="D1100" s="1" t="s">
        <v>940</v>
      </c>
      <c r="E1100" t="s">
        <v>13223</v>
      </c>
      <c r="F1100" s="1">
        <v>676544</v>
      </c>
      <c r="G1100" s="1">
        <v>4470002445</v>
      </c>
      <c r="H1100" s="1">
        <v>12</v>
      </c>
      <c r="I1100" s="1" t="s">
        <v>904</v>
      </c>
      <c r="J1100" t="s">
        <v>13224</v>
      </c>
    </row>
    <row r="1101" spans="1:10">
      <c r="A1101" s="1">
        <v>689224</v>
      </c>
      <c r="B1101" s="1">
        <v>7738711177</v>
      </c>
      <c r="C1101" s="1">
        <v>6</v>
      </c>
      <c r="D1101" s="1" t="s">
        <v>13225</v>
      </c>
      <c r="E1101" t="s">
        <v>13226</v>
      </c>
      <c r="F1101" s="1">
        <v>667824</v>
      </c>
      <c r="G1101" s="1">
        <v>4470002441</v>
      </c>
      <c r="H1101" s="1">
        <v>12</v>
      </c>
      <c r="I1101" s="1" t="s">
        <v>692</v>
      </c>
      <c r="J1101" t="s">
        <v>13227</v>
      </c>
    </row>
    <row r="1102" spans="1:10">
      <c r="A1102" s="1">
        <v>689190</v>
      </c>
      <c r="B1102" s="1">
        <v>7738711966</v>
      </c>
      <c r="C1102" s="1">
        <v>6</v>
      </c>
      <c r="D1102" s="1" t="s">
        <v>13220</v>
      </c>
      <c r="E1102" t="s">
        <v>13228</v>
      </c>
      <c r="F1102" s="1">
        <v>676577</v>
      </c>
      <c r="G1102" s="1">
        <v>4470002444</v>
      </c>
      <c r="H1102" s="1">
        <v>12</v>
      </c>
      <c r="I1102" s="1" t="s">
        <v>904</v>
      </c>
      <c r="J1102" t="s">
        <v>13229</v>
      </c>
    </row>
    <row r="1103" spans="1:10">
      <c r="A1103" s="1">
        <v>830992</v>
      </c>
      <c r="B1103" s="1">
        <v>4470036315</v>
      </c>
      <c r="C1103" s="1">
        <v>12</v>
      </c>
      <c r="D1103" s="1" t="s">
        <v>13230</v>
      </c>
      <c r="E1103" t="s">
        <v>13231</v>
      </c>
      <c r="F1103" s="1">
        <v>670950</v>
      </c>
      <c r="G1103" s="1">
        <v>4470002454</v>
      </c>
      <c r="H1103" s="1">
        <v>16</v>
      </c>
      <c r="I1103" s="1" t="s">
        <v>106</v>
      </c>
      <c r="J1103" t="s">
        <v>13232</v>
      </c>
    </row>
    <row r="1104" spans="1:10">
      <c r="A1104" s="1">
        <v>512756</v>
      </c>
      <c r="B1104" s="1">
        <v>4470002350</v>
      </c>
      <c r="C1104" s="1">
        <v>10</v>
      </c>
      <c r="D1104" s="1" t="s">
        <v>958</v>
      </c>
      <c r="E1104" t="s">
        <v>13233</v>
      </c>
      <c r="F1104" s="1">
        <v>670968</v>
      </c>
      <c r="G1104" s="1">
        <v>4470002455</v>
      </c>
      <c r="H1104" s="1">
        <v>16</v>
      </c>
      <c r="I1104" s="1" t="s">
        <v>106</v>
      </c>
      <c r="J1104" t="s">
        <v>13234</v>
      </c>
    </row>
    <row r="1105" spans="1:10">
      <c r="A1105" s="1">
        <v>676171</v>
      </c>
      <c r="B1105" s="1">
        <v>4470002443</v>
      </c>
      <c r="C1105" s="1">
        <v>12</v>
      </c>
      <c r="D1105" s="1" t="s">
        <v>1241</v>
      </c>
      <c r="E1105" t="s">
        <v>13235</v>
      </c>
      <c r="F1105" s="1">
        <v>676197</v>
      </c>
      <c r="G1105" s="1">
        <v>4470002410</v>
      </c>
      <c r="H1105" s="1">
        <v>16</v>
      </c>
      <c r="I1105" s="1" t="s">
        <v>106</v>
      </c>
      <c r="J1105" t="s">
        <v>13236</v>
      </c>
    </row>
    <row r="1106" spans="1:10">
      <c r="A1106" s="1">
        <v>676189</v>
      </c>
      <c r="B1106" s="1">
        <v>4470002411</v>
      </c>
      <c r="C1106" s="1">
        <v>16</v>
      </c>
      <c r="D1106" s="1" t="s">
        <v>106</v>
      </c>
      <c r="E1106" t="s">
        <v>13235</v>
      </c>
      <c r="F1106" s="1">
        <v>676866</v>
      </c>
      <c r="G1106" s="1">
        <v>4470036012</v>
      </c>
      <c r="H1106" s="1">
        <v>12</v>
      </c>
      <c r="I1106" s="1" t="s">
        <v>13237</v>
      </c>
      <c r="J1106" t="s">
        <v>13238</v>
      </c>
    </row>
    <row r="1107" spans="1:10">
      <c r="A1107" s="1">
        <v>331066</v>
      </c>
      <c r="B1107" s="1">
        <v>4470002349</v>
      </c>
      <c r="C1107" s="1">
        <v>10</v>
      </c>
      <c r="D1107" s="1" t="s">
        <v>13239</v>
      </c>
      <c r="E1107" t="s">
        <v>13240</v>
      </c>
      <c r="F1107" s="1">
        <v>667774</v>
      </c>
      <c r="G1107" s="1">
        <v>4470002486</v>
      </c>
      <c r="H1107" s="1">
        <v>12</v>
      </c>
      <c r="I1107" s="1" t="s">
        <v>13241</v>
      </c>
      <c r="J1107" t="s">
        <v>13242</v>
      </c>
    </row>
    <row r="1108" spans="1:10">
      <c r="A1108" s="1">
        <v>173955</v>
      </c>
      <c r="B1108" s="1">
        <v>4470002352</v>
      </c>
      <c r="C1108" s="1">
        <v>8</v>
      </c>
      <c r="D1108" s="1" t="s">
        <v>1135</v>
      </c>
      <c r="E1108" t="s">
        <v>13243</v>
      </c>
      <c r="F1108" s="1">
        <v>593533</v>
      </c>
      <c r="G1108" s="1">
        <v>64809313910</v>
      </c>
      <c r="H1108" s="1">
        <v>6</v>
      </c>
      <c r="I1108" s="1" t="s">
        <v>381</v>
      </c>
      <c r="J1108" t="s">
        <v>13244</v>
      </c>
    </row>
    <row r="1109" spans="1:10" ht="15.75">
      <c r="A1109" s="4" t="s">
        <v>13076</v>
      </c>
      <c r="B1109" s="2"/>
      <c r="C1109" s="2"/>
      <c r="D1109" s="2"/>
      <c r="E1109" s="3"/>
      <c r="F1109" s="4" t="s">
        <v>13245</v>
      </c>
      <c r="G1109" s="2"/>
      <c r="H1109" s="2"/>
      <c r="I1109" s="2"/>
      <c r="J1109" s="3"/>
    </row>
    <row r="1110" spans="1:10">
      <c r="A1110" s="2" t="s">
        <v>0</v>
      </c>
      <c r="B1110" s="2" t="s">
        <v>1</v>
      </c>
      <c r="C1110" s="2" t="s">
        <v>2</v>
      </c>
      <c r="D1110" s="2" t="s">
        <v>3</v>
      </c>
      <c r="E1110" s="3" t="s">
        <v>4</v>
      </c>
      <c r="F1110" s="2" t="s">
        <v>0</v>
      </c>
      <c r="G1110" s="2" t="s">
        <v>1</v>
      </c>
      <c r="H1110" s="2" t="s">
        <v>2</v>
      </c>
      <c r="I1110" s="2" t="s">
        <v>3</v>
      </c>
      <c r="J1110" s="3" t="s">
        <v>4</v>
      </c>
    </row>
    <row r="1111" spans="1:10">
      <c r="A1111" s="1">
        <v>550574</v>
      </c>
      <c r="B1111" s="1">
        <v>64809313920</v>
      </c>
      <c r="C1111" s="1">
        <v>6</v>
      </c>
      <c r="D1111" s="1" t="s">
        <v>632</v>
      </c>
      <c r="E1111" t="s">
        <v>13246</v>
      </c>
      <c r="F1111" s="1">
        <v>489823</v>
      </c>
      <c r="G1111" s="1">
        <v>7590000458</v>
      </c>
      <c r="H1111" s="1">
        <v>12</v>
      </c>
      <c r="I1111" s="1" t="s">
        <v>399</v>
      </c>
      <c r="J1111" t="s">
        <v>13247</v>
      </c>
    </row>
    <row r="1112" spans="1:10">
      <c r="A1112" s="1">
        <v>426874</v>
      </c>
      <c r="B1112" s="1">
        <v>64809313940</v>
      </c>
      <c r="C1112" s="1">
        <v>6</v>
      </c>
      <c r="D1112" s="1" t="s">
        <v>632</v>
      </c>
      <c r="E1112" t="s">
        <v>13248</v>
      </c>
      <c r="F1112" s="1">
        <v>419861</v>
      </c>
      <c r="G1112" s="1">
        <v>7590000448</v>
      </c>
      <c r="H1112" s="1">
        <v>16</v>
      </c>
      <c r="I1112" s="1" t="s">
        <v>394</v>
      </c>
      <c r="J1112" t="s">
        <v>13249</v>
      </c>
    </row>
    <row r="1113" spans="1:10">
      <c r="A1113" s="1">
        <v>674671</v>
      </c>
      <c r="B1113" s="1">
        <v>7808721519</v>
      </c>
      <c r="C1113" s="1">
        <v>12</v>
      </c>
      <c r="D1113" s="1" t="s">
        <v>347</v>
      </c>
      <c r="E1113" t="s">
        <v>13250</v>
      </c>
      <c r="F1113" s="1">
        <v>678631</v>
      </c>
      <c r="G1113" s="1">
        <v>4530029022</v>
      </c>
      <c r="H1113" s="1">
        <v>12</v>
      </c>
      <c r="I1113" s="1" t="s">
        <v>347</v>
      </c>
      <c r="J1113" t="s">
        <v>13251</v>
      </c>
    </row>
    <row r="1114" spans="1:10">
      <c r="A1114" s="1">
        <v>664185</v>
      </c>
      <c r="B1114" s="1">
        <v>7154002210</v>
      </c>
      <c r="C1114" s="1">
        <v>12</v>
      </c>
      <c r="D1114" s="1" t="s">
        <v>347</v>
      </c>
      <c r="E1114" t="s">
        <v>13252</v>
      </c>
      <c r="F1114" s="1">
        <v>665174</v>
      </c>
      <c r="G1114" s="1">
        <v>4530024121</v>
      </c>
      <c r="H1114" s="1">
        <v>12</v>
      </c>
      <c r="I1114" s="1" t="s">
        <v>1973</v>
      </c>
      <c r="J1114" t="s">
        <v>13253</v>
      </c>
    </row>
    <row r="1115" spans="1:10">
      <c r="A1115" s="1">
        <v>660894</v>
      </c>
      <c r="B1115" s="1">
        <v>7154002193</v>
      </c>
      <c r="C1115" s="1">
        <v>12</v>
      </c>
      <c r="D1115" s="1" t="s">
        <v>347</v>
      </c>
      <c r="E1115" t="s">
        <v>13254</v>
      </c>
      <c r="F1115" s="1">
        <v>665166</v>
      </c>
      <c r="G1115" s="1">
        <v>4530024120</v>
      </c>
      <c r="H1115" s="1">
        <v>12</v>
      </c>
      <c r="I1115" s="1" t="s">
        <v>1973</v>
      </c>
      <c r="J1115" t="s">
        <v>13255</v>
      </c>
    </row>
    <row r="1116" spans="1:10">
      <c r="A1116" s="1">
        <v>659763</v>
      </c>
      <c r="B1116" s="1">
        <v>7154012078</v>
      </c>
      <c r="C1116" s="1">
        <v>12</v>
      </c>
      <c r="D1116" s="1" t="s">
        <v>347</v>
      </c>
      <c r="E1116" t="s">
        <v>13256</v>
      </c>
      <c r="F1116" s="1">
        <v>659185</v>
      </c>
      <c r="G1116" s="1">
        <v>4530030311</v>
      </c>
      <c r="H1116" s="1">
        <v>12</v>
      </c>
      <c r="I1116" s="1" t="s">
        <v>381</v>
      </c>
      <c r="J1116" t="s">
        <v>13257</v>
      </c>
    </row>
    <row r="1117" spans="1:10">
      <c r="A1117" s="1">
        <v>674614</v>
      </c>
      <c r="B1117" s="1">
        <v>7080006319</v>
      </c>
      <c r="C1117" s="1">
        <v>12</v>
      </c>
      <c r="D1117" s="1" t="s">
        <v>347</v>
      </c>
      <c r="E1117" t="s">
        <v>13258</v>
      </c>
      <c r="F1117" s="1">
        <v>449074</v>
      </c>
      <c r="G1117" s="1">
        <v>7740052112</v>
      </c>
      <c r="H1117" s="1">
        <v>12</v>
      </c>
      <c r="I1117" s="1" t="s">
        <v>347</v>
      </c>
      <c r="J1117" t="s">
        <v>13259</v>
      </c>
    </row>
    <row r="1118" spans="1:10">
      <c r="A1118" s="1">
        <v>460501</v>
      </c>
      <c r="B1118" s="1">
        <v>83550300249</v>
      </c>
      <c r="C1118" s="1">
        <v>6</v>
      </c>
      <c r="D1118" s="1" t="s">
        <v>940</v>
      </c>
      <c r="E1118" t="s">
        <v>13260</v>
      </c>
      <c r="F1118" s="1">
        <v>738252</v>
      </c>
      <c r="G1118" s="1">
        <v>7740052106</v>
      </c>
      <c r="H1118" s="1">
        <v>12</v>
      </c>
      <c r="I1118" s="1" t="s">
        <v>347</v>
      </c>
      <c r="J1118" t="s">
        <v>13261</v>
      </c>
    </row>
    <row r="1119" spans="1:10">
      <c r="A1119" s="1">
        <v>830919</v>
      </c>
      <c r="B1119" s="1">
        <v>4470036043</v>
      </c>
      <c r="C1119" s="1">
        <v>12</v>
      </c>
      <c r="D1119" s="1" t="s">
        <v>7761</v>
      </c>
      <c r="E1119" t="s">
        <v>13262</v>
      </c>
      <c r="F1119" s="1">
        <v>181255</v>
      </c>
      <c r="G1119" s="1">
        <v>7740052108</v>
      </c>
      <c r="H1119" s="1">
        <v>12</v>
      </c>
      <c r="I1119" s="1" t="s">
        <v>347</v>
      </c>
      <c r="J1119" t="s">
        <v>13263</v>
      </c>
    </row>
    <row r="1120" spans="1:10">
      <c r="A1120" s="1">
        <v>830877</v>
      </c>
      <c r="B1120" s="1">
        <v>4470036044</v>
      </c>
      <c r="C1120" s="1">
        <v>12</v>
      </c>
      <c r="D1120" s="1" t="s">
        <v>13264</v>
      </c>
      <c r="E1120" t="s">
        <v>13265</v>
      </c>
      <c r="F1120" s="1">
        <v>427716</v>
      </c>
      <c r="G1120" s="1">
        <v>7740052104</v>
      </c>
      <c r="H1120" s="1">
        <v>12</v>
      </c>
      <c r="I1120" s="1" t="s">
        <v>347</v>
      </c>
      <c r="J1120" t="s">
        <v>13266</v>
      </c>
    </row>
    <row r="1121" spans="1:10">
      <c r="A1121" s="1">
        <v>830968</v>
      </c>
      <c r="B1121" s="1">
        <v>4470036042</v>
      </c>
      <c r="C1121" s="1">
        <v>12</v>
      </c>
      <c r="D1121" s="1" t="s">
        <v>13267</v>
      </c>
      <c r="E1121" t="s">
        <v>13268</v>
      </c>
      <c r="F1121" s="1">
        <v>472159</v>
      </c>
      <c r="G1121" s="1">
        <v>7740052110</v>
      </c>
      <c r="H1121" s="1">
        <v>12</v>
      </c>
      <c r="I1121" s="1" t="s">
        <v>347</v>
      </c>
      <c r="J1121" t="s">
        <v>13269</v>
      </c>
    </row>
    <row r="1122" spans="1:10">
      <c r="A1122" s="1">
        <v>858936</v>
      </c>
      <c r="B1122" s="1">
        <v>7218063532</v>
      </c>
      <c r="C1122" s="1">
        <v>24</v>
      </c>
      <c r="D1122" s="1" t="s">
        <v>781</v>
      </c>
      <c r="E1122" t="s">
        <v>13270</v>
      </c>
      <c r="F1122" s="1">
        <v>772756</v>
      </c>
      <c r="G1122" s="1">
        <v>7740012863</v>
      </c>
      <c r="H1122" s="1">
        <v>24</v>
      </c>
      <c r="I1122" s="1" t="s">
        <v>31</v>
      </c>
      <c r="J1122" t="s">
        <v>13271</v>
      </c>
    </row>
    <row r="1123" spans="1:10">
      <c r="A1123" s="1">
        <v>181636</v>
      </c>
      <c r="B1123" s="1">
        <v>7218063528</v>
      </c>
      <c r="C1123" s="1">
        <v>24</v>
      </c>
      <c r="D1123" s="1" t="s">
        <v>465</v>
      </c>
      <c r="E1123" t="s">
        <v>13272</v>
      </c>
      <c r="F1123" s="1">
        <v>736033</v>
      </c>
      <c r="G1123" s="1">
        <v>7740012713</v>
      </c>
      <c r="H1123" s="1">
        <v>24</v>
      </c>
      <c r="I1123" s="1" t="s">
        <v>31</v>
      </c>
      <c r="J1123" t="s">
        <v>13273</v>
      </c>
    </row>
    <row r="1124" spans="1:10">
      <c r="A1124" s="1">
        <v>307967</v>
      </c>
      <c r="B1124" s="1">
        <v>7218063527</v>
      </c>
      <c r="C1124" s="1">
        <v>24</v>
      </c>
      <c r="D1124" s="1" t="s">
        <v>3881</v>
      </c>
      <c r="E1124" t="s">
        <v>13274</v>
      </c>
      <c r="F1124" s="1">
        <v>385112</v>
      </c>
      <c r="G1124" s="1">
        <v>7740012753</v>
      </c>
      <c r="H1124" s="1">
        <v>24</v>
      </c>
      <c r="I1124" s="1" t="s">
        <v>31</v>
      </c>
      <c r="J1124" t="s">
        <v>13275</v>
      </c>
    </row>
    <row r="1125" spans="1:10">
      <c r="A1125" s="1">
        <v>696799</v>
      </c>
      <c r="B1125" s="1">
        <v>2718290901</v>
      </c>
      <c r="C1125" s="1">
        <v>6</v>
      </c>
      <c r="D1125" s="1" t="s">
        <v>940</v>
      </c>
      <c r="E1125" t="s">
        <v>13276</v>
      </c>
      <c r="F1125" s="1">
        <v>456574</v>
      </c>
      <c r="G1125" s="1">
        <v>7740012743</v>
      </c>
      <c r="H1125" s="1">
        <v>24</v>
      </c>
      <c r="I1125" s="1" t="s">
        <v>31</v>
      </c>
      <c r="J1125" t="s">
        <v>13277</v>
      </c>
    </row>
    <row r="1126" spans="1:10">
      <c r="A1126" s="1">
        <v>828178</v>
      </c>
      <c r="B1126" s="1">
        <v>2718290171</v>
      </c>
      <c r="C1126" s="1">
        <v>6</v>
      </c>
      <c r="D1126" s="1" t="s">
        <v>940</v>
      </c>
      <c r="E1126" t="s">
        <v>13278</v>
      </c>
      <c r="F1126" s="1">
        <v>348102</v>
      </c>
      <c r="G1126" s="1">
        <v>7740012723</v>
      </c>
      <c r="H1126" s="1">
        <v>24</v>
      </c>
      <c r="I1126" s="1" t="s">
        <v>31</v>
      </c>
      <c r="J1126" t="s">
        <v>13279</v>
      </c>
    </row>
    <row r="1127" spans="1:10">
      <c r="A1127" s="1">
        <v>691857</v>
      </c>
      <c r="B1127" s="1">
        <v>2718290103</v>
      </c>
      <c r="C1127" s="1">
        <v>6</v>
      </c>
      <c r="D1127" s="1" t="s">
        <v>940</v>
      </c>
      <c r="E1127" t="s">
        <v>13280</v>
      </c>
      <c r="F1127" s="1">
        <v>839530</v>
      </c>
      <c r="G1127" s="1">
        <v>7740012853</v>
      </c>
      <c r="H1127" s="1">
        <v>24</v>
      </c>
      <c r="I1127" s="1" t="s">
        <v>31</v>
      </c>
      <c r="J1127" t="s">
        <v>13281</v>
      </c>
    </row>
    <row r="1128" spans="1:10">
      <c r="A1128" s="1">
        <v>691774</v>
      </c>
      <c r="B1128" s="1">
        <v>2718290120</v>
      </c>
      <c r="C1128" s="1">
        <v>6</v>
      </c>
      <c r="D1128" s="1" t="s">
        <v>940</v>
      </c>
      <c r="E1128" t="s">
        <v>13282</v>
      </c>
      <c r="F1128" s="1">
        <v>150250</v>
      </c>
      <c r="G1128" s="1">
        <v>7740012883</v>
      </c>
      <c r="H1128" s="1">
        <v>24</v>
      </c>
      <c r="I1128" s="1" t="s">
        <v>31</v>
      </c>
      <c r="J1128" t="s">
        <v>13283</v>
      </c>
    </row>
    <row r="1129" spans="1:10" ht="15.75">
      <c r="A1129" s="4" t="s">
        <v>13284</v>
      </c>
      <c r="B1129" s="2"/>
      <c r="C1129" s="2"/>
      <c r="D1129" s="2"/>
      <c r="E1129" s="3"/>
      <c r="F1129" s="1">
        <v>702571</v>
      </c>
      <c r="G1129" s="1">
        <v>7740012763</v>
      </c>
      <c r="H1129" s="1">
        <v>24</v>
      </c>
      <c r="I1129" s="1" t="s">
        <v>31</v>
      </c>
      <c r="J1129" t="s">
        <v>13285</v>
      </c>
    </row>
    <row r="1130" spans="1:10">
      <c r="A1130" s="2" t="s">
        <v>0</v>
      </c>
      <c r="B1130" s="2" t="s">
        <v>1</v>
      </c>
      <c r="C1130" s="2" t="s">
        <v>2</v>
      </c>
      <c r="D1130" s="2" t="s">
        <v>3</v>
      </c>
      <c r="E1130" s="3" t="s">
        <v>4</v>
      </c>
      <c r="F1130" s="1">
        <v>131896</v>
      </c>
      <c r="G1130" s="1">
        <v>7740012733</v>
      </c>
      <c r="H1130" s="1">
        <v>24</v>
      </c>
      <c r="I1130" s="1" t="s">
        <v>31</v>
      </c>
      <c r="J1130" t="s">
        <v>13286</v>
      </c>
    </row>
    <row r="1131" spans="1:10">
      <c r="A1131" s="1">
        <v>387282</v>
      </c>
      <c r="B1131" s="1">
        <v>7123411030</v>
      </c>
      <c r="C1131" s="1">
        <v>12</v>
      </c>
      <c r="D1131" s="1" t="s">
        <v>363</v>
      </c>
      <c r="E1131" t="s">
        <v>13287</v>
      </c>
      <c r="F1131" s="1">
        <v>223347</v>
      </c>
      <c r="G1131" s="1">
        <v>7740052105</v>
      </c>
      <c r="H1131" s="1">
        <v>12</v>
      </c>
      <c r="I1131" s="1" t="s">
        <v>347</v>
      </c>
      <c r="J1131" t="s">
        <v>13288</v>
      </c>
    </row>
    <row r="1132" spans="1:10">
      <c r="A1132" s="1">
        <v>268938</v>
      </c>
      <c r="B1132" s="1">
        <v>7123410030</v>
      </c>
      <c r="C1132" s="1">
        <v>24</v>
      </c>
      <c r="D1132" s="1" t="s">
        <v>14</v>
      </c>
      <c r="E1132" t="s">
        <v>13289</v>
      </c>
      <c r="F1132" s="1">
        <v>753806</v>
      </c>
      <c r="G1132" s="1">
        <v>7740052103</v>
      </c>
      <c r="H1132" s="1">
        <v>12</v>
      </c>
      <c r="I1132" s="1" t="s">
        <v>347</v>
      </c>
      <c r="J1132" t="s">
        <v>13290</v>
      </c>
    </row>
    <row r="1133" spans="1:10">
      <c r="A1133" s="1">
        <v>450270</v>
      </c>
      <c r="B1133" s="1">
        <v>7317046800</v>
      </c>
      <c r="C1133" s="1">
        <v>12</v>
      </c>
      <c r="D1133" s="1" t="s">
        <v>89</v>
      </c>
      <c r="E1133" t="s">
        <v>13291</v>
      </c>
      <c r="F1133" s="1">
        <v>810374</v>
      </c>
      <c r="G1133" s="1">
        <v>2265510178</v>
      </c>
      <c r="H1133" s="1">
        <v>8</v>
      </c>
      <c r="I1133" s="1" t="s">
        <v>399</v>
      </c>
      <c r="J1133" t="s">
        <v>13292</v>
      </c>
    </row>
    <row r="1134" spans="1:10">
      <c r="A1134" s="1">
        <v>73379</v>
      </c>
      <c r="B1134" s="1">
        <v>7317046822</v>
      </c>
      <c r="C1134" s="1">
        <v>12</v>
      </c>
      <c r="D1134" s="1" t="s">
        <v>89</v>
      </c>
      <c r="E1134" t="s">
        <v>13293</v>
      </c>
      <c r="F1134" s="1">
        <v>745158</v>
      </c>
      <c r="G1134" s="1">
        <v>2265510180</v>
      </c>
      <c r="H1134" s="1">
        <v>12</v>
      </c>
      <c r="I1134" s="1" t="s">
        <v>399</v>
      </c>
      <c r="J1134" t="s">
        <v>13294</v>
      </c>
    </row>
    <row r="1135" spans="1:10">
      <c r="A1135" s="1">
        <v>531160</v>
      </c>
      <c r="B1135" s="1">
        <v>7317046811</v>
      </c>
      <c r="C1135" s="1">
        <v>12</v>
      </c>
      <c r="D1135" s="1" t="s">
        <v>89</v>
      </c>
      <c r="E1135" t="s">
        <v>13295</v>
      </c>
      <c r="F1135" s="1">
        <v>195164</v>
      </c>
      <c r="G1135" s="1">
        <v>2265510170</v>
      </c>
      <c r="H1135" s="1">
        <v>12</v>
      </c>
      <c r="I1135" s="1" t="s">
        <v>399</v>
      </c>
      <c r="J1135" t="s">
        <v>13296</v>
      </c>
    </row>
    <row r="1136" spans="1:10">
      <c r="A1136" s="1">
        <v>729764</v>
      </c>
      <c r="B1136" s="1">
        <v>7317012805</v>
      </c>
      <c r="C1136" s="1">
        <v>12</v>
      </c>
      <c r="D1136" s="1" t="s">
        <v>399</v>
      </c>
      <c r="E1136" t="s">
        <v>13297</v>
      </c>
      <c r="F1136" s="1">
        <v>494047</v>
      </c>
      <c r="G1136" s="1">
        <v>2265510169</v>
      </c>
      <c r="H1136" s="1">
        <v>8</v>
      </c>
      <c r="I1136" s="1" t="s">
        <v>399</v>
      </c>
      <c r="J1136" t="s">
        <v>13298</v>
      </c>
    </row>
    <row r="1137" spans="1:10" ht="15.75">
      <c r="A1137" s="4" t="s">
        <v>13245</v>
      </c>
      <c r="B1137" s="2"/>
      <c r="C1137" s="2"/>
      <c r="D1137" s="2"/>
      <c r="E1137" s="3"/>
      <c r="F1137" s="1">
        <v>738310</v>
      </c>
      <c r="G1137" s="1">
        <v>2265550116</v>
      </c>
      <c r="H1137" s="1">
        <v>12</v>
      </c>
      <c r="I1137" s="1" t="s">
        <v>404</v>
      </c>
      <c r="J1137" t="s">
        <v>13299</v>
      </c>
    </row>
    <row r="1138" spans="1:10">
      <c r="A1138" s="2" t="s">
        <v>0</v>
      </c>
      <c r="B1138" s="2" t="s">
        <v>1</v>
      </c>
      <c r="C1138" s="2" t="s">
        <v>2</v>
      </c>
      <c r="D1138" s="2" t="s">
        <v>3</v>
      </c>
      <c r="E1138" s="3" t="s">
        <v>4</v>
      </c>
      <c r="F1138" s="1">
        <v>34272</v>
      </c>
      <c r="G1138" s="1">
        <v>2265510166</v>
      </c>
      <c r="H1138" s="1">
        <v>8</v>
      </c>
      <c r="I1138" s="1" t="s">
        <v>399</v>
      </c>
      <c r="J1138" t="s">
        <v>13300</v>
      </c>
    </row>
    <row r="1139" spans="1:10">
      <c r="A1139" s="1">
        <v>571042</v>
      </c>
      <c r="B1139" s="1">
        <v>7601000005</v>
      </c>
      <c r="C1139" s="1">
        <v>12</v>
      </c>
      <c r="D1139" s="1" t="s">
        <v>347</v>
      </c>
      <c r="E1139" t="s">
        <v>13301</v>
      </c>
      <c r="F1139" s="1">
        <v>322594</v>
      </c>
      <c r="G1139" s="1">
        <v>2265510167</v>
      </c>
      <c r="H1139" s="1">
        <v>12</v>
      </c>
      <c r="I1139" s="1" t="s">
        <v>399</v>
      </c>
      <c r="J1139" t="s">
        <v>13302</v>
      </c>
    </row>
    <row r="1140" spans="1:10">
      <c r="A1140" s="1">
        <v>405811</v>
      </c>
      <c r="B1140" s="1">
        <v>7601000004</v>
      </c>
      <c r="C1140" s="1">
        <v>12</v>
      </c>
      <c r="D1140" s="1" t="s">
        <v>347</v>
      </c>
      <c r="E1140" t="s">
        <v>13303</v>
      </c>
      <c r="F1140" s="1">
        <v>573394</v>
      </c>
      <c r="G1140" s="1">
        <v>2265550117</v>
      </c>
      <c r="H1140" s="1">
        <v>12</v>
      </c>
      <c r="I1140" s="1" t="s">
        <v>404</v>
      </c>
      <c r="J1140" t="s">
        <v>13304</v>
      </c>
    </row>
    <row r="1141" spans="1:10">
      <c r="A1141" s="1">
        <v>672162</v>
      </c>
      <c r="B1141" s="1">
        <v>1590000023</v>
      </c>
      <c r="C1141" s="1">
        <v>12</v>
      </c>
      <c r="D1141" s="1" t="s">
        <v>1973</v>
      </c>
      <c r="E1141" t="s">
        <v>13305</v>
      </c>
      <c r="F1141" s="1">
        <v>568063</v>
      </c>
      <c r="G1141" s="1">
        <v>2265550118</v>
      </c>
      <c r="H1141" s="1">
        <v>12</v>
      </c>
      <c r="I1141" s="1" t="s">
        <v>404</v>
      </c>
      <c r="J1141" t="s">
        <v>13306</v>
      </c>
    </row>
    <row r="1142" spans="1:10">
      <c r="A1142" s="1">
        <v>747667</v>
      </c>
      <c r="B1142" s="1">
        <v>15900000021</v>
      </c>
      <c r="C1142" s="1">
        <v>16</v>
      </c>
      <c r="D1142" s="1" t="s">
        <v>347</v>
      </c>
      <c r="E1142" t="s">
        <v>13307</v>
      </c>
      <c r="F1142" s="1">
        <v>388264</v>
      </c>
      <c r="G1142" s="1">
        <v>2265510173</v>
      </c>
      <c r="H1142" s="1">
        <v>12</v>
      </c>
      <c r="I1142" s="1" t="s">
        <v>399</v>
      </c>
      <c r="J1142" t="s">
        <v>13308</v>
      </c>
    </row>
    <row r="1143" spans="1:10">
      <c r="A1143" s="1">
        <v>663179</v>
      </c>
      <c r="B1143" s="1">
        <v>1590000042</v>
      </c>
      <c r="C1143" s="1">
        <v>12</v>
      </c>
      <c r="D1143" s="1" t="s">
        <v>381</v>
      </c>
      <c r="E1143" t="s">
        <v>13309</v>
      </c>
      <c r="F1143" s="1">
        <v>552042</v>
      </c>
      <c r="G1143" s="1">
        <v>2265510172</v>
      </c>
      <c r="H1143" s="1">
        <v>8</v>
      </c>
      <c r="I1143" s="1" t="s">
        <v>399</v>
      </c>
      <c r="J1143" t="s">
        <v>13310</v>
      </c>
    </row>
    <row r="1144" spans="1:10">
      <c r="A1144" s="1">
        <v>313908</v>
      </c>
      <c r="B1144" s="1">
        <v>15900000075</v>
      </c>
      <c r="C1144" s="1">
        <v>16</v>
      </c>
      <c r="D1144" s="1" t="s">
        <v>347</v>
      </c>
      <c r="E1144" t="s">
        <v>13311</v>
      </c>
      <c r="F1144" s="1">
        <v>163865</v>
      </c>
      <c r="G1144" s="1">
        <v>2265510164</v>
      </c>
      <c r="H1144" s="1">
        <v>8</v>
      </c>
      <c r="I1144" s="1" t="s">
        <v>546</v>
      </c>
      <c r="J1144" t="s">
        <v>13312</v>
      </c>
    </row>
    <row r="1145" spans="1:10">
      <c r="A1145" s="1">
        <v>302133</v>
      </c>
      <c r="B1145" s="1">
        <v>1590000065</v>
      </c>
      <c r="C1145" s="1">
        <v>12</v>
      </c>
      <c r="D1145" s="1" t="s">
        <v>381</v>
      </c>
      <c r="E1145" t="s">
        <v>13313</v>
      </c>
      <c r="F1145" s="1">
        <v>24992</v>
      </c>
      <c r="G1145" s="1">
        <v>2265510161</v>
      </c>
      <c r="H1145" s="1">
        <v>8</v>
      </c>
      <c r="I1145" s="1" t="s">
        <v>546</v>
      </c>
      <c r="J1145" t="s">
        <v>13314</v>
      </c>
    </row>
    <row r="1146" spans="1:10">
      <c r="A1146" s="1">
        <v>669481</v>
      </c>
      <c r="B1146" s="1">
        <v>7089201088</v>
      </c>
      <c r="C1146" s="1">
        <v>12</v>
      </c>
      <c r="D1146" s="1" t="s">
        <v>375</v>
      </c>
      <c r="E1146" t="s">
        <v>13315</v>
      </c>
      <c r="F1146" s="1">
        <v>504993</v>
      </c>
      <c r="G1146" s="1">
        <v>2265510162</v>
      </c>
      <c r="H1146" s="1">
        <v>8</v>
      </c>
      <c r="I1146" s="1" t="s">
        <v>546</v>
      </c>
      <c r="J1146" t="s">
        <v>13316</v>
      </c>
    </row>
    <row r="1147" spans="1:10">
      <c r="A1147" s="1">
        <v>669499</v>
      </c>
      <c r="B1147" s="1">
        <v>7089201095</v>
      </c>
      <c r="C1147" s="1">
        <v>12</v>
      </c>
      <c r="D1147" s="1" t="s">
        <v>375</v>
      </c>
      <c r="E1147" t="s">
        <v>13317</v>
      </c>
      <c r="F1147" s="1">
        <v>596981</v>
      </c>
      <c r="G1147" s="1">
        <v>2265541511</v>
      </c>
      <c r="H1147" s="1">
        <v>12</v>
      </c>
      <c r="I1147" s="1" t="s">
        <v>394</v>
      </c>
      <c r="J1147" t="s">
        <v>13318</v>
      </c>
    </row>
    <row r="1148" spans="1:10">
      <c r="A1148" s="1">
        <v>407122</v>
      </c>
      <c r="B1148" s="1">
        <v>7590000455</v>
      </c>
      <c r="C1148" s="1">
        <v>12</v>
      </c>
      <c r="D1148" s="1" t="s">
        <v>399</v>
      </c>
      <c r="E1148" t="s">
        <v>13319</v>
      </c>
      <c r="F1148" s="1">
        <v>121061</v>
      </c>
      <c r="G1148" s="1">
        <v>7367504056</v>
      </c>
      <c r="H1148" s="1">
        <v>12</v>
      </c>
      <c r="I1148" s="1" t="s">
        <v>394</v>
      </c>
      <c r="J1148" t="s">
        <v>13320</v>
      </c>
    </row>
    <row r="1149" spans="1:10">
      <c r="A1149" s="1">
        <v>895235</v>
      </c>
      <c r="B1149" s="1">
        <v>7590000452</v>
      </c>
      <c r="C1149" s="1">
        <v>12</v>
      </c>
      <c r="D1149" s="1" t="s">
        <v>399</v>
      </c>
      <c r="E1149" t="s">
        <v>13321</v>
      </c>
      <c r="F1149" s="1">
        <v>120964</v>
      </c>
      <c r="G1149" s="1">
        <v>7367526125</v>
      </c>
      <c r="H1149" s="1">
        <v>12</v>
      </c>
      <c r="I1149" s="1" t="s">
        <v>404</v>
      </c>
      <c r="J1149" t="s">
        <v>13322</v>
      </c>
    </row>
    <row r="1150" spans="1:10" ht="15.75">
      <c r="A1150" s="4" t="s">
        <v>13245</v>
      </c>
      <c r="B1150" s="2"/>
      <c r="C1150" s="2"/>
      <c r="D1150" s="2"/>
      <c r="E1150" s="3"/>
      <c r="F1150" s="4" t="s">
        <v>13245</v>
      </c>
      <c r="G1150" s="2"/>
      <c r="H1150" s="2"/>
      <c r="I1150" s="2"/>
      <c r="J1150" s="3"/>
    </row>
    <row r="1151" spans="1:10">
      <c r="A1151" s="2" t="s">
        <v>0</v>
      </c>
      <c r="B1151" s="2" t="s">
        <v>1</v>
      </c>
      <c r="C1151" s="2" t="s">
        <v>2</v>
      </c>
      <c r="D1151" s="2" t="s">
        <v>3</v>
      </c>
      <c r="E1151" s="3" t="s">
        <v>4</v>
      </c>
      <c r="F1151" s="2" t="s">
        <v>0</v>
      </c>
      <c r="G1151" s="2" t="s">
        <v>1</v>
      </c>
      <c r="H1151" s="2" t="s">
        <v>2</v>
      </c>
      <c r="I1151" s="2" t="s">
        <v>3</v>
      </c>
      <c r="J1151" s="3" t="s">
        <v>4</v>
      </c>
    </row>
    <row r="1152" spans="1:10">
      <c r="A1152" s="1">
        <v>121863</v>
      </c>
      <c r="B1152" s="1">
        <v>7367526120</v>
      </c>
      <c r="C1152" s="1">
        <v>12</v>
      </c>
      <c r="D1152" s="1" t="s">
        <v>394</v>
      </c>
      <c r="E1152" t="s">
        <v>13323</v>
      </c>
      <c r="F1152" s="1">
        <v>433375</v>
      </c>
      <c r="G1152" s="1">
        <v>7495618283</v>
      </c>
      <c r="H1152" s="1">
        <v>8</v>
      </c>
      <c r="I1152" s="1" t="s">
        <v>489</v>
      </c>
      <c r="J1152" t="s">
        <v>13324</v>
      </c>
    </row>
    <row r="1153" spans="1:10">
      <c r="A1153" s="1">
        <v>658583</v>
      </c>
      <c r="B1153" s="1">
        <v>7367504220</v>
      </c>
      <c r="C1153" s="1">
        <v>16</v>
      </c>
      <c r="D1153" s="1" t="s">
        <v>489</v>
      </c>
      <c r="E1153" t="s">
        <v>13325</v>
      </c>
      <c r="F1153" s="1">
        <v>147652</v>
      </c>
      <c r="G1153" s="1">
        <v>7495635001</v>
      </c>
      <c r="H1153" s="1">
        <v>8</v>
      </c>
      <c r="I1153" s="1" t="s">
        <v>489</v>
      </c>
      <c r="J1153" t="s">
        <v>13326</v>
      </c>
    </row>
    <row r="1154" spans="1:10">
      <c r="A1154" s="1">
        <v>121756</v>
      </c>
      <c r="B1154" s="1">
        <v>7367526119</v>
      </c>
      <c r="C1154" s="1">
        <v>12</v>
      </c>
      <c r="D1154" s="1" t="s">
        <v>397</v>
      </c>
      <c r="E1154" t="s">
        <v>13327</v>
      </c>
      <c r="F1154" s="1">
        <v>744359</v>
      </c>
      <c r="G1154" s="1">
        <v>7495618520</v>
      </c>
      <c r="H1154" s="1">
        <v>12</v>
      </c>
      <c r="I1154" s="1" t="s">
        <v>404</v>
      </c>
      <c r="J1154" t="s">
        <v>13328</v>
      </c>
    </row>
    <row r="1155" spans="1:10">
      <c r="A1155" s="1">
        <v>448605</v>
      </c>
      <c r="B1155" s="1">
        <v>7367504294</v>
      </c>
      <c r="C1155" s="1">
        <v>16</v>
      </c>
      <c r="D1155" s="1" t="s">
        <v>489</v>
      </c>
      <c r="E1155" t="s">
        <v>13329</v>
      </c>
      <c r="F1155" s="1">
        <v>677310</v>
      </c>
      <c r="G1155" s="1">
        <v>7495618240</v>
      </c>
      <c r="H1155" s="1">
        <v>12</v>
      </c>
      <c r="I1155" s="1" t="s">
        <v>347</v>
      </c>
      <c r="J1155" t="s">
        <v>13330</v>
      </c>
    </row>
    <row r="1156" spans="1:10">
      <c r="A1156" s="1">
        <v>24356</v>
      </c>
      <c r="B1156" s="1">
        <v>7367504296</v>
      </c>
      <c r="C1156" s="1">
        <v>12</v>
      </c>
      <c r="D1156" s="1" t="s">
        <v>397</v>
      </c>
      <c r="E1156" t="s">
        <v>13331</v>
      </c>
      <c r="F1156" s="1">
        <v>663898</v>
      </c>
      <c r="G1156" s="1">
        <v>4450006132</v>
      </c>
      <c r="H1156" s="1">
        <v>12</v>
      </c>
      <c r="I1156" s="1" t="s">
        <v>1973</v>
      </c>
      <c r="J1156" t="s">
        <v>13332</v>
      </c>
    </row>
    <row r="1157" spans="1:10">
      <c r="A1157" s="1">
        <v>41616</v>
      </c>
      <c r="B1157" s="1">
        <v>7367504299</v>
      </c>
      <c r="C1157" s="1">
        <v>12</v>
      </c>
      <c r="D1157" s="1" t="s">
        <v>397</v>
      </c>
      <c r="E1157" t="s">
        <v>13333</v>
      </c>
      <c r="F1157" s="1">
        <v>668871</v>
      </c>
      <c r="G1157" s="1">
        <v>4450032968</v>
      </c>
      <c r="H1157" s="1">
        <v>12</v>
      </c>
      <c r="I1157" s="1" t="s">
        <v>546</v>
      </c>
      <c r="J1157" t="s">
        <v>13334</v>
      </c>
    </row>
    <row r="1158" spans="1:10">
      <c r="A1158" s="1">
        <v>657783</v>
      </c>
      <c r="B1158" s="1">
        <v>7367504223</v>
      </c>
      <c r="C1158" s="1">
        <v>16</v>
      </c>
      <c r="D1158" s="1" t="s">
        <v>489</v>
      </c>
      <c r="E1158" t="s">
        <v>13335</v>
      </c>
      <c r="F1158" s="1">
        <v>669580</v>
      </c>
      <c r="G1158" s="1">
        <v>4450034911</v>
      </c>
      <c r="H1158" s="1">
        <v>12</v>
      </c>
      <c r="I1158" s="1" t="s">
        <v>394</v>
      </c>
      <c r="J1158" t="s">
        <v>13336</v>
      </c>
    </row>
    <row r="1159" spans="1:10">
      <c r="A1159" s="1">
        <v>121871</v>
      </c>
      <c r="B1159" s="1">
        <v>7367526118</v>
      </c>
      <c r="C1159" s="1">
        <v>12</v>
      </c>
      <c r="D1159" s="1" t="s">
        <v>404</v>
      </c>
      <c r="E1159" t="s">
        <v>13337</v>
      </c>
      <c r="F1159" s="1">
        <v>669788</v>
      </c>
      <c r="G1159" s="1">
        <v>4450032762</v>
      </c>
      <c r="H1159" s="1">
        <v>12</v>
      </c>
      <c r="I1159" s="1" t="s">
        <v>394</v>
      </c>
      <c r="J1159" t="s">
        <v>13338</v>
      </c>
    </row>
    <row r="1160" spans="1:10">
      <c r="A1160" s="1">
        <v>657510</v>
      </c>
      <c r="B1160" s="1">
        <v>7367504290</v>
      </c>
      <c r="C1160" s="1">
        <v>16</v>
      </c>
      <c r="D1160" s="1" t="s">
        <v>489</v>
      </c>
      <c r="E1160" t="s">
        <v>13339</v>
      </c>
      <c r="F1160" s="1">
        <v>669598</v>
      </c>
      <c r="G1160" s="1">
        <v>4450031943</v>
      </c>
      <c r="H1160" s="1">
        <v>12</v>
      </c>
      <c r="I1160" s="1" t="s">
        <v>394</v>
      </c>
      <c r="J1160" t="s">
        <v>13340</v>
      </c>
    </row>
    <row r="1161" spans="1:10">
      <c r="A1161" s="1">
        <v>442327</v>
      </c>
      <c r="B1161" s="1">
        <v>7367504297</v>
      </c>
      <c r="C1161" s="1">
        <v>12</v>
      </c>
      <c r="D1161" s="1" t="s">
        <v>397</v>
      </c>
      <c r="E1161" t="s">
        <v>13341</v>
      </c>
      <c r="F1161" s="1">
        <v>659029</v>
      </c>
      <c r="G1161" s="1">
        <v>4450097648</v>
      </c>
      <c r="H1161" s="1">
        <v>6</v>
      </c>
      <c r="I1161" s="1" t="s">
        <v>546</v>
      </c>
      <c r="J1161" t="s">
        <v>13340</v>
      </c>
    </row>
    <row r="1162" spans="1:10">
      <c r="A1162" s="1">
        <v>121913</v>
      </c>
      <c r="B1162" s="1">
        <v>7367526117</v>
      </c>
      <c r="C1162" s="1">
        <v>12</v>
      </c>
      <c r="D1162" s="1" t="s">
        <v>404</v>
      </c>
      <c r="E1162" t="s">
        <v>13342</v>
      </c>
      <c r="F1162" s="1">
        <v>669648</v>
      </c>
      <c r="G1162" s="1">
        <v>4450031907</v>
      </c>
      <c r="H1162" s="1">
        <v>12</v>
      </c>
      <c r="I1162" s="1" t="s">
        <v>394</v>
      </c>
      <c r="J1162" t="s">
        <v>13343</v>
      </c>
    </row>
    <row r="1163" spans="1:10">
      <c r="A1163" s="1">
        <v>121830</v>
      </c>
      <c r="B1163" s="1">
        <v>7367526116</v>
      </c>
      <c r="C1163" s="1">
        <v>12</v>
      </c>
      <c r="D1163" s="1" t="s">
        <v>394</v>
      </c>
      <c r="E1163" t="s">
        <v>13344</v>
      </c>
      <c r="F1163" s="1">
        <v>662692</v>
      </c>
      <c r="G1163" s="1">
        <v>4450097649</v>
      </c>
      <c r="H1163" s="1">
        <v>6</v>
      </c>
      <c r="I1163" s="1" t="s">
        <v>546</v>
      </c>
      <c r="J1163" t="s">
        <v>13343</v>
      </c>
    </row>
    <row r="1164" spans="1:10">
      <c r="A1164" s="1">
        <v>657429</v>
      </c>
      <c r="B1164" s="1">
        <v>7367525100</v>
      </c>
      <c r="C1164" s="1">
        <v>16</v>
      </c>
      <c r="D1164" s="1" t="s">
        <v>347</v>
      </c>
      <c r="E1164" t="s">
        <v>13345</v>
      </c>
      <c r="F1164" s="1">
        <v>661686</v>
      </c>
      <c r="G1164" s="1">
        <v>4450097651</v>
      </c>
      <c r="H1164" s="1">
        <v>6</v>
      </c>
      <c r="I1164" s="1" t="s">
        <v>546</v>
      </c>
      <c r="J1164" t="s">
        <v>13346</v>
      </c>
    </row>
    <row r="1165" spans="1:10">
      <c r="A1165" s="1">
        <v>659490</v>
      </c>
      <c r="B1165" s="1">
        <v>7367525277</v>
      </c>
      <c r="C1165" s="1">
        <v>16</v>
      </c>
      <c r="D1165" s="1" t="s">
        <v>347</v>
      </c>
      <c r="E1165" t="s">
        <v>13347</v>
      </c>
      <c r="F1165" s="1">
        <v>659045</v>
      </c>
      <c r="G1165" s="1">
        <v>4450097650</v>
      </c>
      <c r="H1165" s="1">
        <v>6</v>
      </c>
      <c r="I1165" s="1" t="s">
        <v>546</v>
      </c>
      <c r="J1165" t="s">
        <v>13348</v>
      </c>
    </row>
    <row r="1166" spans="1:10">
      <c r="A1166" s="1">
        <v>121202</v>
      </c>
      <c r="B1166" s="1">
        <v>7367526126</v>
      </c>
      <c r="C1166" s="1">
        <v>12</v>
      </c>
      <c r="D1166" s="1" t="s">
        <v>404</v>
      </c>
      <c r="E1166" t="s">
        <v>13349</v>
      </c>
      <c r="F1166" s="1">
        <v>669663</v>
      </c>
      <c r="G1166" s="1">
        <v>4450032197</v>
      </c>
      <c r="H1166" s="1">
        <v>12</v>
      </c>
      <c r="I1166" s="1" t="s">
        <v>394</v>
      </c>
      <c r="J1166" t="s">
        <v>13350</v>
      </c>
    </row>
    <row r="1167" spans="1:10">
      <c r="A1167" s="1">
        <v>121665</v>
      </c>
      <c r="B1167" s="1">
        <v>7367526127</v>
      </c>
      <c r="C1167" s="1">
        <v>12</v>
      </c>
      <c r="D1167" s="1" t="s">
        <v>404</v>
      </c>
      <c r="E1167" t="s">
        <v>13351</v>
      </c>
      <c r="F1167" s="1">
        <v>669630</v>
      </c>
      <c r="G1167" s="1">
        <v>4450032198</v>
      </c>
      <c r="H1167" s="1">
        <v>12</v>
      </c>
      <c r="I1167" s="1" t="s">
        <v>394</v>
      </c>
      <c r="J1167" t="s">
        <v>13352</v>
      </c>
    </row>
    <row r="1168" spans="1:10">
      <c r="A1168" s="1">
        <v>779660</v>
      </c>
      <c r="B1168" s="1">
        <v>7367504298</v>
      </c>
      <c r="C1168" s="1">
        <v>12</v>
      </c>
      <c r="D1168" s="1" t="s">
        <v>397</v>
      </c>
      <c r="E1168" t="s">
        <v>13353</v>
      </c>
      <c r="F1168" s="1">
        <v>664698</v>
      </c>
      <c r="G1168" s="1">
        <v>4450032690</v>
      </c>
      <c r="H1168" s="1">
        <v>12</v>
      </c>
      <c r="I1168" s="1" t="s">
        <v>394</v>
      </c>
      <c r="J1168" t="s">
        <v>13354</v>
      </c>
    </row>
    <row r="1169" spans="1:10">
      <c r="A1169" s="1">
        <v>496158</v>
      </c>
      <c r="B1169" s="1">
        <v>7367504234</v>
      </c>
      <c r="C1169" s="1">
        <v>12</v>
      </c>
      <c r="D1169" s="1" t="s">
        <v>394</v>
      </c>
      <c r="E1169" t="s">
        <v>13355</v>
      </c>
      <c r="F1169" s="1">
        <v>652669</v>
      </c>
      <c r="G1169" s="1">
        <v>4450097756</v>
      </c>
      <c r="H1169" s="1">
        <v>6</v>
      </c>
      <c r="I1169" s="1" t="s">
        <v>546</v>
      </c>
      <c r="J1169" t="s">
        <v>13354</v>
      </c>
    </row>
    <row r="1170" spans="1:10">
      <c r="A1170" s="1">
        <v>562868</v>
      </c>
      <c r="B1170" s="1">
        <v>2730014355</v>
      </c>
      <c r="C1170" s="1">
        <v>16</v>
      </c>
      <c r="D1170" s="1" t="s">
        <v>347</v>
      </c>
      <c r="E1170" t="s">
        <v>13356</v>
      </c>
      <c r="F1170" s="1">
        <v>670091</v>
      </c>
      <c r="G1170" s="1">
        <v>4450032196</v>
      </c>
      <c r="H1170" s="1">
        <v>12</v>
      </c>
      <c r="I1170" s="1" t="s">
        <v>394</v>
      </c>
      <c r="J1170" t="s">
        <v>13357</v>
      </c>
    </row>
    <row r="1171" spans="1:10">
      <c r="A1171" s="1">
        <v>533620</v>
      </c>
      <c r="B1171" s="1">
        <v>3797170793</v>
      </c>
      <c r="C1171" s="1">
        <v>1</v>
      </c>
      <c r="D1171" s="1" t="s">
        <v>11999</v>
      </c>
      <c r="E1171" t="s">
        <v>13358</v>
      </c>
      <c r="F1171" s="1">
        <v>669614</v>
      </c>
      <c r="G1171" s="1">
        <v>4450031906</v>
      </c>
      <c r="H1171" s="1">
        <v>12</v>
      </c>
      <c r="I1171" s="1" t="s">
        <v>394</v>
      </c>
      <c r="J1171" t="s">
        <v>13359</v>
      </c>
    </row>
    <row r="1172" spans="1:10">
      <c r="A1172" s="1">
        <v>534016</v>
      </c>
      <c r="B1172" s="1">
        <v>3680001445</v>
      </c>
      <c r="C1172" s="1">
        <v>1</v>
      </c>
      <c r="D1172" s="1" t="s">
        <v>12627</v>
      </c>
      <c r="E1172" t="s">
        <v>13360</v>
      </c>
      <c r="F1172" s="1">
        <v>664177</v>
      </c>
      <c r="G1172" s="1">
        <v>4450097652</v>
      </c>
      <c r="H1172" s="1">
        <v>6</v>
      </c>
      <c r="I1172" s="1" t="s">
        <v>399</v>
      </c>
      <c r="J1172" t="s">
        <v>13361</v>
      </c>
    </row>
    <row r="1173" spans="1:10">
      <c r="A1173" s="1">
        <v>729244</v>
      </c>
      <c r="B1173" s="1">
        <v>78533175645</v>
      </c>
      <c r="C1173" s="1">
        <v>16</v>
      </c>
      <c r="D1173" s="1" t="s">
        <v>347</v>
      </c>
      <c r="E1173" t="s">
        <v>13362</v>
      </c>
      <c r="F1173" s="1">
        <v>247593</v>
      </c>
      <c r="G1173" s="1">
        <v>4450097751</v>
      </c>
      <c r="H1173" s="1">
        <v>6</v>
      </c>
      <c r="I1173" s="1" t="s">
        <v>546</v>
      </c>
      <c r="J1173" t="s">
        <v>13363</v>
      </c>
    </row>
    <row r="1174" spans="1:10">
      <c r="A1174" s="1">
        <v>673608</v>
      </c>
      <c r="B1174" s="1">
        <v>78533176072</v>
      </c>
      <c r="C1174" s="1">
        <v>18</v>
      </c>
      <c r="D1174" s="1" t="s">
        <v>1973</v>
      </c>
      <c r="E1174" t="s">
        <v>13364</v>
      </c>
      <c r="F1174" s="1">
        <v>310409</v>
      </c>
      <c r="G1174" s="1">
        <v>4450097750</v>
      </c>
      <c r="H1174" s="1">
        <v>6</v>
      </c>
      <c r="I1174" s="1" t="s">
        <v>546</v>
      </c>
      <c r="J1174" t="s">
        <v>13365</v>
      </c>
    </row>
    <row r="1175" spans="1:10">
      <c r="A1175" s="1">
        <v>671347</v>
      </c>
      <c r="B1175" s="1">
        <v>78533176080</v>
      </c>
      <c r="C1175" s="1">
        <v>12</v>
      </c>
      <c r="D1175" s="1" t="s">
        <v>404</v>
      </c>
      <c r="E1175" t="s">
        <v>13366</v>
      </c>
      <c r="F1175" s="1">
        <v>764944</v>
      </c>
      <c r="G1175" s="1">
        <v>4450097779</v>
      </c>
      <c r="H1175" s="1">
        <v>6</v>
      </c>
      <c r="I1175" s="1" t="s">
        <v>546</v>
      </c>
      <c r="J1175" t="s">
        <v>13367</v>
      </c>
    </row>
    <row r="1176" spans="1:10">
      <c r="A1176" s="1">
        <v>673475</v>
      </c>
      <c r="B1176" s="1">
        <v>78533176088</v>
      </c>
      <c r="C1176" s="1">
        <v>12</v>
      </c>
      <c r="D1176" s="1" t="s">
        <v>1973</v>
      </c>
      <c r="E1176" t="s">
        <v>13368</v>
      </c>
      <c r="F1176" s="1">
        <v>775510</v>
      </c>
      <c r="G1176" s="1">
        <v>4450097778</v>
      </c>
      <c r="H1176" s="1">
        <v>6</v>
      </c>
      <c r="I1176" s="1" t="s">
        <v>546</v>
      </c>
      <c r="J1176" t="s">
        <v>13369</v>
      </c>
    </row>
    <row r="1177" spans="1:10">
      <c r="A1177" s="1">
        <v>673467</v>
      </c>
      <c r="B1177" s="1">
        <v>78533176058</v>
      </c>
      <c r="C1177" s="1">
        <v>12</v>
      </c>
      <c r="D1177" s="1" t="s">
        <v>1973</v>
      </c>
      <c r="E1177" t="s">
        <v>13370</v>
      </c>
      <c r="F1177" s="1">
        <v>826438</v>
      </c>
      <c r="G1177" s="1">
        <v>4450097787</v>
      </c>
      <c r="H1177" s="1">
        <v>6</v>
      </c>
      <c r="I1177" s="1" t="s">
        <v>546</v>
      </c>
      <c r="J1177" t="s">
        <v>13371</v>
      </c>
    </row>
    <row r="1178" spans="1:10">
      <c r="A1178" s="1">
        <v>650515</v>
      </c>
      <c r="B1178" s="1">
        <v>78533106925</v>
      </c>
      <c r="C1178" s="1">
        <v>12</v>
      </c>
      <c r="D1178" s="1" t="s">
        <v>404</v>
      </c>
      <c r="E1178" t="s">
        <v>13372</v>
      </c>
      <c r="F1178" s="1">
        <v>157032</v>
      </c>
      <c r="G1178" s="1">
        <v>4450097780</v>
      </c>
      <c r="H1178" s="1">
        <v>6</v>
      </c>
      <c r="I1178" s="1" t="s">
        <v>546</v>
      </c>
      <c r="J1178" t="s">
        <v>13373</v>
      </c>
    </row>
    <row r="1179" spans="1:10">
      <c r="A1179" s="1">
        <v>671362</v>
      </c>
      <c r="B1179" s="1">
        <v>78533176262</v>
      </c>
      <c r="C1179" s="1">
        <v>12</v>
      </c>
      <c r="D1179" s="1" t="s">
        <v>404</v>
      </c>
      <c r="E1179" t="s">
        <v>13374</v>
      </c>
      <c r="F1179" s="1">
        <v>537001</v>
      </c>
      <c r="G1179" s="1">
        <v>4450097788</v>
      </c>
      <c r="H1179" s="1">
        <v>6</v>
      </c>
      <c r="I1179" s="1" t="s">
        <v>546</v>
      </c>
      <c r="J1179" t="s">
        <v>13375</v>
      </c>
    </row>
    <row r="1180" spans="1:10">
      <c r="A1180" s="1">
        <v>671370</v>
      </c>
      <c r="B1180" s="1">
        <v>78533176304</v>
      </c>
      <c r="C1180" s="1">
        <v>12</v>
      </c>
      <c r="D1180" s="1" t="s">
        <v>404</v>
      </c>
      <c r="E1180" t="s">
        <v>13376</v>
      </c>
      <c r="F1180" s="1">
        <v>396275</v>
      </c>
      <c r="G1180" s="1">
        <v>4450097781</v>
      </c>
      <c r="H1180" s="1">
        <v>6</v>
      </c>
      <c r="I1180" s="1" t="s">
        <v>546</v>
      </c>
      <c r="J1180" t="s">
        <v>13377</v>
      </c>
    </row>
    <row r="1181" spans="1:10">
      <c r="A1181" s="1">
        <v>650457</v>
      </c>
      <c r="B1181" s="1">
        <v>78533106941</v>
      </c>
      <c r="C1181" s="1">
        <v>12</v>
      </c>
      <c r="D1181" s="1" t="s">
        <v>404</v>
      </c>
      <c r="E1181" t="s">
        <v>13378</v>
      </c>
      <c r="F1181" s="1">
        <v>652560</v>
      </c>
      <c r="G1181" s="1">
        <v>4450097753</v>
      </c>
      <c r="H1181" s="1">
        <v>6</v>
      </c>
      <c r="I1181" s="1" t="s">
        <v>399</v>
      </c>
      <c r="J1181" t="s">
        <v>13379</v>
      </c>
    </row>
    <row r="1182" spans="1:10">
      <c r="A1182" s="1">
        <v>671396</v>
      </c>
      <c r="B1182" s="1">
        <v>78533176585</v>
      </c>
      <c r="C1182" s="1">
        <v>12</v>
      </c>
      <c r="D1182" s="1" t="s">
        <v>404</v>
      </c>
      <c r="E1182" t="s">
        <v>13380</v>
      </c>
      <c r="F1182" s="1">
        <v>403238</v>
      </c>
      <c r="G1182" s="1">
        <v>4450097757</v>
      </c>
      <c r="H1182" s="1">
        <v>6</v>
      </c>
      <c r="I1182" s="1" t="s">
        <v>546</v>
      </c>
      <c r="J1182" t="s">
        <v>13381</v>
      </c>
    </row>
    <row r="1183" spans="1:10">
      <c r="A1183" s="1">
        <v>673657</v>
      </c>
      <c r="B1183" s="1">
        <v>78533176213</v>
      </c>
      <c r="C1183" s="1">
        <v>16</v>
      </c>
      <c r="D1183" s="1" t="s">
        <v>347</v>
      </c>
      <c r="E1183" t="s">
        <v>13382</v>
      </c>
      <c r="F1183" s="1">
        <v>542969</v>
      </c>
      <c r="G1183" s="1">
        <v>4450097755</v>
      </c>
      <c r="H1183" s="1">
        <v>6</v>
      </c>
      <c r="I1183" s="1" t="s">
        <v>546</v>
      </c>
      <c r="J1183" t="s">
        <v>13383</v>
      </c>
    </row>
    <row r="1184" spans="1:10">
      <c r="A1184" s="1">
        <v>671354</v>
      </c>
      <c r="B1184" s="1">
        <v>78533176205</v>
      </c>
      <c r="C1184" s="1">
        <v>12</v>
      </c>
      <c r="D1184" s="1" t="s">
        <v>404</v>
      </c>
      <c r="E1184" t="s">
        <v>13382</v>
      </c>
      <c r="F1184" s="1">
        <v>72074</v>
      </c>
      <c r="G1184" s="1">
        <v>4450097770</v>
      </c>
      <c r="H1184" s="1">
        <v>9</v>
      </c>
      <c r="I1184" s="1" t="s">
        <v>469</v>
      </c>
      <c r="J1184" t="s">
        <v>13384</v>
      </c>
    </row>
    <row r="1185" spans="1:10">
      <c r="A1185" s="1">
        <v>650598</v>
      </c>
      <c r="B1185" s="1">
        <v>78533176074</v>
      </c>
      <c r="C1185" s="1">
        <v>18</v>
      </c>
      <c r="D1185" s="1" t="s">
        <v>381</v>
      </c>
      <c r="E1185" t="s">
        <v>13385</v>
      </c>
      <c r="F1185" s="1">
        <v>45856</v>
      </c>
      <c r="G1185" s="1">
        <v>4450097749</v>
      </c>
      <c r="H1185" s="1">
        <v>6</v>
      </c>
      <c r="I1185" s="1" t="s">
        <v>399</v>
      </c>
      <c r="J1185" t="s">
        <v>13386</v>
      </c>
    </row>
    <row r="1186" spans="1:10">
      <c r="A1186" s="1">
        <v>673970</v>
      </c>
      <c r="B1186" s="1">
        <v>78533171859</v>
      </c>
      <c r="C1186" s="1">
        <v>12</v>
      </c>
      <c r="D1186" s="1" t="s">
        <v>404</v>
      </c>
      <c r="E1186" t="s">
        <v>13387</v>
      </c>
      <c r="F1186" s="1">
        <v>72033</v>
      </c>
      <c r="G1186" s="1">
        <v>4450097772</v>
      </c>
      <c r="H1186" s="1">
        <v>9</v>
      </c>
      <c r="I1186" s="1" t="s">
        <v>469</v>
      </c>
      <c r="J1186" t="s">
        <v>13388</v>
      </c>
    </row>
    <row r="1187" spans="1:10">
      <c r="A1187" s="1">
        <v>827808</v>
      </c>
      <c r="B1187" s="1">
        <v>78533176056</v>
      </c>
      <c r="C1187" s="1">
        <v>18</v>
      </c>
      <c r="D1187" s="1" t="s">
        <v>1973</v>
      </c>
      <c r="E1187" t="s">
        <v>13389</v>
      </c>
      <c r="F1187" s="1">
        <v>676353</v>
      </c>
      <c r="G1187" s="1">
        <v>3090017730</v>
      </c>
      <c r="H1187" s="1">
        <v>12</v>
      </c>
      <c r="I1187" s="1" t="s">
        <v>399</v>
      </c>
      <c r="J1187" t="s">
        <v>13390</v>
      </c>
    </row>
    <row r="1188" spans="1:10">
      <c r="A1188" s="1">
        <v>739441</v>
      </c>
      <c r="B1188" s="1">
        <v>78533176015</v>
      </c>
      <c r="C1188" s="1">
        <v>12</v>
      </c>
      <c r="D1188" s="1" t="s">
        <v>404</v>
      </c>
      <c r="E1188" t="s">
        <v>13389</v>
      </c>
      <c r="F1188" s="1">
        <v>25007</v>
      </c>
      <c r="G1188" s="1">
        <v>3090017733</v>
      </c>
      <c r="H1188" s="1">
        <v>12</v>
      </c>
      <c r="I1188" s="1" t="s">
        <v>399</v>
      </c>
      <c r="J1188" t="s">
        <v>13391</v>
      </c>
    </row>
    <row r="1189" spans="1:10">
      <c r="A1189" s="1">
        <v>673533</v>
      </c>
      <c r="B1189" s="1">
        <v>78533176060</v>
      </c>
      <c r="C1189" s="1">
        <v>12</v>
      </c>
      <c r="D1189" s="1" t="s">
        <v>1973</v>
      </c>
      <c r="E1189" t="s">
        <v>13392</v>
      </c>
      <c r="F1189" s="1">
        <v>659706</v>
      </c>
      <c r="G1189" s="1">
        <v>3090017731</v>
      </c>
      <c r="H1189" s="1">
        <v>12</v>
      </c>
      <c r="I1189" s="1" t="s">
        <v>399</v>
      </c>
      <c r="J1189" t="s">
        <v>13393</v>
      </c>
    </row>
    <row r="1190" spans="1:10">
      <c r="A1190" s="1">
        <v>467928</v>
      </c>
      <c r="B1190" s="1">
        <v>7091906381</v>
      </c>
      <c r="C1190" s="1">
        <v>20</v>
      </c>
      <c r="D1190" s="1" t="s">
        <v>404</v>
      </c>
      <c r="E1190" t="s">
        <v>13394</v>
      </c>
      <c r="F1190" s="1">
        <v>306647</v>
      </c>
      <c r="G1190" s="1">
        <v>3090017732</v>
      </c>
      <c r="H1190" s="1">
        <v>12</v>
      </c>
      <c r="I1190" s="1" t="s">
        <v>399</v>
      </c>
      <c r="J1190" t="s">
        <v>13395</v>
      </c>
    </row>
    <row r="1191" spans="1:10" ht="15.75">
      <c r="A1191" s="4" t="s">
        <v>13245</v>
      </c>
      <c r="B1191" s="2"/>
      <c r="C1191" s="2"/>
      <c r="D1191" s="2"/>
      <c r="E1191" s="3"/>
      <c r="F1191" s="4" t="s">
        <v>13245</v>
      </c>
      <c r="G1191" s="2"/>
      <c r="H1191" s="2"/>
      <c r="I1191" s="2"/>
      <c r="J1191" s="3"/>
    </row>
    <row r="1192" spans="1:10">
      <c r="A1192" s="2" t="s">
        <v>0</v>
      </c>
      <c r="B1192" s="2" t="s">
        <v>1</v>
      </c>
      <c r="C1192" s="2" t="s">
        <v>2</v>
      </c>
      <c r="D1192" s="2" t="s">
        <v>3</v>
      </c>
      <c r="E1192" s="3" t="s">
        <v>4</v>
      </c>
      <c r="F1192" s="2" t="s">
        <v>0</v>
      </c>
      <c r="G1192" s="2" t="s">
        <v>1</v>
      </c>
      <c r="H1192" s="2" t="s">
        <v>2</v>
      </c>
      <c r="I1192" s="2" t="s">
        <v>3</v>
      </c>
      <c r="J1192" s="3" t="s">
        <v>4</v>
      </c>
    </row>
    <row r="1193" spans="1:10">
      <c r="A1193" s="1">
        <v>729269</v>
      </c>
      <c r="B1193" s="1">
        <v>3760013280</v>
      </c>
      <c r="C1193" s="1">
        <v>12</v>
      </c>
      <c r="D1193" s="1" t="s">
        <v>399</v>
      </c>
      <c r="E1193" t="s">
        <v>13396</v>
      </c>
      <c r="F1193" s="1">
        <v>830208</v>
      </c>
      <c r="G1193" s="1">
        <v>7317018081</v>
      </c>
      <c r="H1193" s="1">
        <v>12</v>
      </c>
      <c r="I1193" s="1" t="s">
        <v>399</v>
      </c>
      <c r="J1193" t="s">
        <v>13397</v>
      </c>
    </row>
    <row r="1194" spans="1:10">
      <c r="A1194" s="1">
        <v>729285</v>
      </c>
      <c r="B1194" s="1">
        <v>3760026030</v>
      </c>
      <c r="C1194" s="1">
        <v>12</v>
      </c>
      <c r="D1194" s="1" t="s">
        <v>399</v>
      </c>
      <c r="E1194" t="s">
        <v>13398</v>
      </c>
      <c r="F1194" s="1">
        <v>830182</v>
      </c>
      <c r="G1194" s="1">
        <v>7317037754</v>
      </c>
      <c r="H1194" s="1">
        <v>12</v>
      </c>
      <c r="I1194" s="1" t="s">
        <v>399</v>
      </c>
      <c r="J1194" t="s">
        <v>13399</v>
      </c>
    </row>
    <row r="1195" spans="1:10">
      <c r="A1195" s="1">
        <v>729319</v>
      </c>
      <c r="B1195" s="1">
        <v>3760026032</v>
      </c>
      <c r="C1195" s="1">
        <v>12</v>
      </c>
      <c r="D1195" s="1" t="s">
        <v>399</v>
      </c>
      <c r="E1195" t="s">
        <v>13400</v>
      </c>
      <c r="F1195" s="1">
        <v>436840</v>
      </c>
      <c r="G1195" s="1">
        <v>4470003129</v>
      </c>
      <c r="H1195" s="1">
        <v>12</v>
      </c>
      <c r="I1195" s="1" t="s">
        <v>381</v>
      </c>
      <c r="J1195" t="s">
        <v>13401</v>
      </c>
    </row>
    <row r="1196" spans="1:10">
      <c r="A1196" s="1">
        <v>729301</v>
      </c>
      <c r="B1196" s="1">
        <v>3760013260</v>
      </c>
      <c r="C1196" s="1">
        <v>12</v>
      </c>
      <c r="D1196" s="1" t="s">
        <v>399</v>
      </c>
      <c r="E1196" t="s">
        <v>13402</v>
      </c>
      <c r="F1196" s="1">
        <v>676601</v>
      </c>
      <c r="G1196" s="1">
        <v>4470001228</v>
      </c>
      <c r="H1196" s="1">
        <v>15</v>
      </c>
      <c r="I1196" s="1" t="s">
        <v>489</v>
      </c>
      <c r="J1196" t="s">
        <v>13403</v>
      </c>
    </row>
    <row r="1197" spans="1:10">
      <c r="A1197" s="1">
        <v>729293</v>
      </c>
      <c r="B1197" s="1">
        <v>3760013264</v>
      </c>
      <c r="C1197" s="1">
        <v>12</v>
      </c>
      <c r="D1197" s="1" t="s">
        <v>399</v>
      </c>
      <c r="E1197" t="s">
        <v>13404</v>
      </c>
      <c r="F1197" s="1">
        <v>677609</v>
      </c>
      <c r="G1197" s="1">
        <v>4470001900</v>
      </c>
      <c r="H1197" s="1">
        <v>15</v>
      </c>
      <c r="I1197" s="1" t="s">
        <v>404</v>
      </c>
      <c r="J1197" t="s">
        <v>13405</v>
      </c>
    </row>
    <row r="1198" spans="1:10">
      <c r="A1198" s="1">
        <v>729277</v>
      </c>
      <c r="B1198" s="1">
        <v>3760013282</v>
      </c>
      <c r="C1198" s="1">
        <v>12</v>
      </c>
      <c r="D1198" s="1" t="s">
        <v>399</v>
      </c>
      <c r="E1198" t="s">
        <v>13406</v>
      </c>
      <c r="F1198" s="1">
        <v>680678</v>
      </c>
      <c r="G1198" s="1">
        <v>4470000885</v>
      </c>
      <c r="H1198" s="1">
        <v>12</v>
      </c>
      <c r="I1198" s="1" t="s">
        <v>399</v>
      </c>
      <c r="J1198" t="s">
        <v>13407</v>
      </c>
    </row>
    <row r="1199" spans="1:10">
      <c r="A1199" s="1">
        <v>668012</v>
      </c>
      <c r="B1199" s="1">
        <v>3760034411</v>
      </c>
      <c r="C1199" s="1">
        <v>12</v>
      </c>
      <c r="D1199" s="1" t="s">
        <v>89</v>
      </c>
      <c r="E1199" t="s">
        <v>13408</v>
      </c>
      <c r="F1199" s="1">
        <v>677096</v>
      </c>
      <c r="G1199" s="1">
        <v>4470000881</v>
      </c>
      <c r="H1199" s="1">
        <v>18</v>
      </c>
      <c r="I1199" s="1" t="s">
        <v>1973</v>
      </c>
      <c r="J1199" t="s">
        <v>13409</v>
      </c>
    </row>
    <row r="1200" spans="1:10">
      <c r="A1200" s="1">
        <v>678235</v>
      </c>
      <c r="B1200" s="1">
        <v>3760019849</v>
      </c>
      <c r="C1200" s="1">
        <v>16</v>
      </c>
      <c r="D1200" s="1" t="s">
        <v>394</v>
      </c>
      <c r="E1200" t="s">
        <v>13410</v>
      </c>
      <c r="F1200" s="1">
        <v>676759</v>
      </c>
      <c r="G1200" s="1">
        <v>4470000878</v>
      </c>
      <c r="H1200" s="1">
        <v>12</v>
      </c>
      <c r="I1200" s="1" t="s">
        <v>347</v>
      </c>
      <c r="J1200" t="s">
        <v>13409</v>
      </c>
    </row>
    <row r="1201" spans="1:10">
      <c r="A1201" s="1">
        <v>678201</v>
      </c>
      <c r="B1201" s="1">
        <v>3760048669</v>
      </c>
      <c r="C1201" s="1">
        <v>12</v>
      </c>
      <c r="D1201" s="1" t="s">
        <v>89</v>
      </c>
      <c r="E1201" t="s">
        <v>13411</v>
      </c>
      <c r="F1201" s="1">
        <v>676783</v>
      </c>
      <c r="G1201" s="1">
        <v>4470000885</v>
      </c>
      <c r="H1201" s="1">
        <v>24</v>
      </c>
      <c r="I1201" s="1" t="s">
        <v>399</v>
      </c>
      <c r="J1201" t="s">
        <v>13409</v>
      </c>
    </row>
    <row r="1202" spans="1:10">
      <c r="A1202" s="1">
        <v>678185</v>
      </c>
      <c r="B1202" s="1">
        <v>3760039885</v>
      </c>
      <c r="C1202" s="1">
        <v>12</v>
      </c>
      <c r="D1202" s="1" t="s">
        <v>399</v>
      </c>
      <c r="E1202" t="s">
        <v>13412</v>
      </c>
      <c r="F1202" s="1">
        <v>676908</v>
      </c>
      <c r="G1202" s="1">
        <v>4470001120</v>
      </c>
      <c r="H1202" s="1">
        <v>12</v>
      </c>
      <c r="I1202" s="1" t="s">
        <v>399</v>
      </c>
      <c r="J1202" t="s">
        <v>13413</v>
      </c>
    </row>
    <row r="1203" spans="1:10">
      <c r="A1203" s="1">
        <v>697409</v>
      </c>
      <c r="B1203" s="1">
        <v>3760018808</v>
      </c>
      <c r="C1203" s="1">
        <v>12</v>
      </c>
      <c r="D1203" s="1" t="s">
        <v>404</v>
      </c>
      <c r="E1203" t="s">
        <v>13414</v>
      </c>
      <c r="F1203" s="1">
        <v>677013</v>
      </c>
      <c r="G1203" s="1">
        <v>4470001280</v>
      </c>
      <c r="H1203" s="1">
        <v>12</v>
      </c>
      <c r="I1203" s="1" t="s">
        <v>399</v>
      </c>
      <c r="J1203" t="s">
        <v>13415</v>
      </c>
    </row>
    <row r="1204" spans="1:10">
      <c r="A1204" s="1">
        <v>166264</v>
      </c>
      <c r="B1204" s="1">
        <v>7010092056</v>
      </c>
      <c r="C1204" s="1">
        <v>12</v>
      </c>
      <c r="D1204" s="1" t="s">
        <v>399</v>
      </c>
      <c r="E1204" t="s">
        <v>13416</v>
      </c>
      <c r="F1204" s="1">
        <v>827592</v>
      </c>
      <c r="G1204" s="1">
        <v>4470006424</v>
      </c>
      <c r="H1204" s="1">
        <v>12</v>
      </c>
      <c r="I1204" s="1" t="s">
        <v>489</v>
      </c>
      <c r="J1204" t="s">
        <v>13417</v>
      </c>
    </row>
    <row r="1205" spans="1:10">
      <c r="A1205" s="1">
        <v>184069</v>
      </c>
      <c r="B1205" s="1">
        <v>7010004848</v>
      </c>
      <c r="C1205" s="1">
        <v>12</v>
      </c>
      <c r="D1205" s="1" t="s">
        <v>399</v>
      </c>
      <c r="E1205" t="s">
        <v>13418</v>
      </c>
      <c r="F1205" s="1">
        <v>676924</v>
      </c>
      <c r="G1205" s="1">
        <v>4470001160</v>
      </c>
      <c r="H1205" s="1">
        <v>12</v>
      </c>
      <c r="I1205" s="1" t="s">
        <v>399</v>
      </c>
      <c r="J1205" t="s">
        <v>13419</v>
      </c>
    </row>
    <row r="1206" spans="1:10">
      <c r="A1206" s="1">
        <v>417824</v>
      </c>
      <c r="B1206" s="1">
        <v>7010004635</v>
      </c>
      <c r="C1206" s="1">
        <v>6</v>
      </c>
      <c r="D1206" s="1" t="s">
        <v>546</v>
      </c>
      <c r="E1206" t="s">
        <v>13420</v>
      </c>
      <c r="F1206" s="1">
        <v>677138</v>
      </c>
      <c r="G1206" s="1">
        <v>4470001163</v>
      </c>
      <c r="H1206" s="1">
        <v>12</v>
      </c>
      <c r="I1206" s="1" t="s">
        <v>381</v>
      </c>
      <c r="J1206" t="s">
        <v>13421</v>
      </c>
    </row>
    <row r="1207" spans="1:10">
      <c r="A1207" s="1">
        <v>13078</v>
      </c>
      <c r="B1207" s="1">
        <v>7010004636</v>
      </c>
      <c r="C1207" s="1">
        <v>6</v>
      </c>
      <c r="D1207" s="1" t="s">
        <v>546</v>
      </c>
      <c r="E1207" t="s">
        <v>13422</v>
      </c>
      <c r="F1207" s="1">
        <v>668699</v>
      </c>
      <c r="G1207" s="1">
        <v>4470000988</v>
      </c>
      <c r="H1207" s="1">
        <v>12</v>
      </c>
      <c r="I1207" s="1" t="s">
        <v>347</v>
      </c>
      <c r="J1207" t="s">
        <v>13423</v>
      </c>
    </row>
    <row r="1208" spans="1:10">
      <c r="A1208" s="1">
        <v>405720</v>
      </c>
      <c r="B1208" s="1">
        <v>7010004637</v>
      </c>
      <c r="C1208" s="1">
        <v>6</v>
      </c>
      <c r="D1208" s="1" t="s">
        <v>399</v>
      </c>
      <c r="E1208" t="s">
        <v>13424</v>
      </c>
      <c r="F1208" s="1">
        <v>676858</v>
      </c>
      <c r="G1208" s="1">
        <v>4470000986</v>
      </c>
      <c r="H1208" s="1">
        <v>12</v>
      </c>
      <c r="I1208" s="1" t="s">
        <v>399</v>
      </c>
      <c r="J1208" t="s">
        <v>13423</v>
      </c>
    </row>
    <row r="1209" spans="1:10">
      <c r="A1209" s="1">
        <v>661041</v>
      </c>
      <c r="B1209" s="1">
        <v>27080007218</v>
      </c>
      <c r="C1209" s="1">
        <v>1</v>
      </c>
      <c r="D1209" s="1" t="s">
        <v>12010</v>
      </c>
      <c r="E1209" t="s">
        <v>13425</v>
      </c>
      <c r="F1209" s="1">
        <v>679290</v>
      </c>
      <c r="G1209" s="1">
        <v>4470006406</v>
      </c>
      <c r="H1209" s="1">
        <v>12</v>
      </c>
      <c r="I1209" s="1" t="s">
        <v>404</v>
      </c>
      <c r="J1209" t="s">
        <v>13426</v>
      </c>
    </row>
    <row r="1210" spans="1:10">
      <c r="A1210" s="1">
        <v>729350</v>
      </c>
      <c r="B1210" s="1">
        <v>3390000086</v>
      </c>
      <c r="C1210" s="1">
        <v>12</v>
      </c>
      <c r="D1210" s="1" t="s">
        <v>347</v>
      </c>
      <c r="E1210" t="s">
        <v>13427</v>
      </c>
      <c r="F1210" s="1">
        <v>675850</v>
      </c>
      <c r="G1210" s="1">
        <v>4470006408</v>
      </c>
      <c r="H1210" s="1">
        <v>12</v>
      </c>
      <c r="I1210" s="1" t="s">
        <v>404</v>
      </c>
      <c r="J1210" t="s">
        <v>13428</v>
      </c>
    </row>
    <row r="1211" spans="1:10">
      <c r="A1211" s="1">
        <v>729327</v>
      </c>
      <c r="B1211" s="1">
        <v>3390000073</v>
      </c>
      <c r="C1211" s="1">
        <v>12</v>
      </c>
      <c r="D1211" s="1" t="s">
        <v>399</v>
      </c>
      <c r="E1211" t="s">
        <v>13429</v>
      </c>
      <c r="F1211" s="1">
        <v>729434</v>
      </c>
      <c r="G1211" s="1">
        <v>4470003070</v>
      </c>
      <c r="H1211" s="1">
        <v>12</v>
      </c>
      <c r="I1211" s="1" t="s">
        <v>546</v>
      </c>
      <c r="J1211" t="s">
        <v>13430</v>
      </c>
    </row>
    <row r="1212" spans="1:10">
      <c r="A1212" s="1">
        <v>729343</v>
      </c>
      <c r="B1212" s="1">
        <v>3390000079</v>
      </c>
      <c r="C1212" s="1">
        <v>12</v>
      </c>
      <c r="D1212" s="1" t="s">
        <v>347</v>
      </c>
      <c r="E1212" t="s">
        <v>13431</v>
      </c>
      <c r="F1212" s="1">
        <v>670984</v>
      </c>
      <c r="G1212" s="1">
        <v>4470006409</v>
      </c>
      <c r="H1212" s="1">
        <v>12</v>
      </c>
      <c r="I1212" s="1" t="s">
        <v>404</v>
      </c>
      <c r="J1212" t="s">
        <v>13432</v>
      </c>
    </row>
    <row r="1213" spans="1:10">
      <c r="A1213" s="1">
        <v>729335</v>
      </c>
      <c r="B1213" s="1">
        <v>3390000074</v>
      </c>
      <c r="C1213" s="1">
        <v>12</v>
      </c>
      <c r="D1213" s="1" t="s">
        <v>399</v>
      </c>
      <c r="E1213" t="s">
        <v>13433</v>
      </c>
      <c r="F1213" s="1">
        <v>672329</v>
      </c>
      <c r="G1213" s="1">
        <v>4470006410</v>
      </c>
      <c r="H1213" s="1">
        <v>12</v>
      </c>
      <c r="I1213" s="1" t="s">
        <v>404</v>
      </c>
      <c r="J1213" t="s">
        <v>13434</v>
      </c>
    </row>
    <row r="1214" spans="1:10">
      <c r="A1214" s="1">
        <v>829226</v>
      </c>
      <c r="B1214" s="1">
        <v>5190080102</v>
      </c>
      <c r="C1214" s="1">
        <v>16</v>
      </c>
      <c r="D1214" s="1" t="s">
        <v>489</v>
      </c>
      <c r="E1214" t="s">
        <v>13435</v>
      </c>
      <c r="F1214" s="1">
        <v>663831</v>
      </c>
      <c r="G1214" s="1">
        <v>4470003054</v>
      </c>
      <c r="H1214" s="1">
        <v>12</v>
      </c>
      <c r="I1214" s="1" t="s">
        <v>546</v>
      </c>
      <c r="J1214" t="s">
        <v>13436</v>
      </c>
    </row>
    <row r="1215" spans="1:10">
      <c r="A1215" s="1">
        <v>563767</v>
      </c>
      <c r="B1215" s="1">
        <v>5190080105</v>
      </c>
      <c r="C1215" s="1">
        <v>16</v>
      </c>
      <c r="D1215" s="1" t="s">
        <v>489</v>
      </c>
      <c r="E1215" t="s">
        <v>13437</v>
      </c>
      <c r="F1215" s="1">
        <v>274050</v>
      </c>
      <c r="G1215" s="1">
        <v>4470003252</v>
      </c>
      <c r="H1215" s="1">
        <v>12</v>
      </c>
      <c r="I1215" s="1" t="s">
        <v>546</v>
      </c>
      <c r="J1215" t="s">
        <v>13438</v>
      </c>
    </row>
    <row r="1216" spans="1:10">
      <c r="A1216" s="1">
        <v>267153</v>
      </c>
      <c r="B1216" s="1">
        <v>5190080103</v>
      </c>
      <c r="C1216" s="1">
        <v>16</v>
      </c>
      <c r="D1216" s="1" t="s">
        <v>489</v>
      </c>
      <c r="E1216" t="s">
        <v>13439</v>
      </c>
      <c r="F1216" s="1">
        <v>181115</v>
      </c>
      <c r="G1216" s="1">
        <v>4470003076</v>
      </c>
      <c r="H1216" s="1">
        <v>12</v>
      </c>
      <c r="I1216" s="1" t="s">
        <v>360</v>
      </c>
      <c r="J1216" t="s">
        <v>13440</v>
      </c>
    </row>
    <row r="1217" spans="1:10">
      <c r="A1217" s="1">
        <v>12179</v>
      </c>
      <c r="B1217" s="1">
        <v>5190001603</v>
      </c>
      <c r="C1217" s="1">
        <v>12</v>
      </c>
      <c r="D1217" s="1" t="s">
        <v>381</v>
      </c>
      <c r="E1217" t="s">
        <v>13441</v>
      </c>
      <c r="F1217" s="1">
        <v>599555</v>
      </c>
      <c r="G1217" s="1">
        <v>4470003250</v>
      </c>
      <c r="H1217" s="1">
        <v>12</v>
      </c>
      <c r="I1217" s="1" t="s">
        <v>399</v>
      </c>
      <c r="J1217" t="s">
        <v>13442</v>
      </c>
    </row>
    <row r="1218" spans="1:10">
      <c r="A1218" s="1">
        <v>361246</v>
      </c>
      <c r="B1218" s="1">
        <v>5190015005</v>
      </c>
      <c r="C1218" s="1">
        <v>6</v>
      </c>
      <c r="D1218" s="1" t="s">
        <v>439</v>
      </c>
      <c r="E1218" t="s">
        <v>13443</v>
      </c>
      <c r="F1218" s="1">
        <v>126300</v>
      </c>
      <c r="G1218" s="1">
        <v>4470003249</v>
      </c>
      <c r="H1218" s="1">
        <v>12</v>
      </c>
      <c r="I1218" s="1" t="s">
        <v>399</v>
      </c>
      <c r="J1218" t="s">
        <v>13444</v>
      </c>
    </row>
    <row r="1219" spans="1:10">
      <c r="A1219" s="1">
        <v>128702</v>
      </c>
      <c r="B1219" s="1">
        <v>5190080106</v>
      </c>
      <c r="C1219" s="1">
        <v>16</v>
      </c>
      <c r="D1219" s="1" t="s">
        <v>489</v>
      </c>
      <c r="E1219" t="s">
        <v>13445</v>
      </c>
      <c r="F1219" s="1">
        <v>560813</v>
      </c>
      <c r="G1219" s="1">
        <v>4470003251</v>
      </c>
      <c r="H1219" s="1">
        <v>12</v>
      </c>
      <c r="I1219" s="1" t="s">
        <v>360</v>
      </c>
      <c r="J1219" t="s">
        <v>13446</v>
      </c>
    </row>
    <row r="1220" spans="1:10">
      <c r="A1220" s="1">
        <v>349811</v>
      </c>
      <c r="B1220" s="1">
        <v>5190001605</v>
      </c>
      <c r="C1220" s="1">
        <v>12</v>
      </c>
      <c r="D1220" s="1" t="s">
        <v>381</v>
      </c>
      <c r="E1220" t="s">
        <v>13447</v>
      </c>
      <c r="F1220" s="1">
        <v>355941</v>
      </c>
      <c r="G1220" s="1">
        <v>4470003099</v>
      </c>
      <c r="H1220" s="1">
        <v>12</v>
      </c>
      <c r="I1220" s="1" t="s">
        <v>546</v>
      </c>
      <c r="J1220" t="s">
        <v>13448</v>
      </c>
    </row>
    <row r="1221" spans="1:10">
      <c r="A1221" s="1">
        <v>674945</v>
      </c>
      <c r="B1221" s="1">
        <v>2055913006</v>
      </c>
      <c r="C1221" s="1">
        <v>12</v>
      </c>
      <c r="D1221" s="1" t="s">
        <v>404</v>
      </c>
      <c r="E1221" t="s">
        <v>13449</v>
      </c>
      <c r="F1221" s="1">
        <v>281659</v>
      </c>
      <c r="G1221" s="1">
        <v>4470003095</v>
      </c>
      <c r="H1221" s="1">
        <v>12</v>
      </c>
      <c r="I1221" s="1" t="s">
        <v>546</v>
      </c>
      <c r="J1221" t="s">
        <v>13450</v>
      </c>
    </row>
    <row r="1222" spans="1:10">
      <c r="A1222" s="1">
        <v>667782</v>
      </c>
      <c r="B1222" s="1">
        <v>5190001604</v>
      </c>
      <c r="C1222" s="1">
        <v>12</v>
      </c>
      <c r="D1222" s="1" t="s">
        <v>381</v>
      </c>
      <c r="E1222" t="s">
        <v>13451</v>
      </c>
      <c r="F1222" s="1">
        <v>741702</v>
      </c>
      <c r="G1222" s="1">
        <v>4470003128</v>
      </c>
      <c r="H1222" s="1">
        <v>12</v>
      </c>
      <c r="I1222" s="1" t="s">
        <v>381</v>
      </c>
      <c r="J1222" t="s">
        <v>13452</v>
      </c>
    </row>
    <row r="1223" spans="1:10">
      <c r="A1223" s="1">
        <v>669465</v>
      </c>
      <c r="B1223" s="1">
        <v>5190001601</v>
      </c>
      <c r="C1223" s="1">
        <v>12</v>
      </c>
      <c r="D1223" s="1" t="s">
        <v>381</v>
      </c>
      <c r="E1223" t="s">
        <v>13453</v>
      </c>
      <c r="F1223" s="1">
        <v>206680</v>
      </c>
      <c r="G1223" s="1">
        <v>4470003039</v>
      </c>
      <c r="H1223" s="1">
        <v>12</v>
      </c>
      <c r="I1223" s="1" t="s">
        <v>360</v>
      </c>
      <c r="J1223" t="s">
        <v>13454</v>
      </c>
    </row>
    <row r="1224" spans="1:10">
      <c r="A1224" s="1">
        <v>667295</v>
      </c>
      <c r="B1224" s="1">
        <v>5190001602</v>
      </c>
      <c r="C1224" s="1">
        <v>12</v>
      </c>
      <c r="D1224" s="1" t="s">
        <v>381</v>
      </c>
      <c r="E1224" t="s">
        <v>13455</v>
      </c>
      <c r="F1224" s="1">
        <v>689844</v>
      </c>
      <c r="G1224" s="1">
        <v>4470003048</v>
      </c>
      <c r="H1224" s="1">
        <v>12</v>
      </c>
      <c r="I1224" s="1" t="s">
        <v>546</v>
      </c>
      <c r="J1224" t="s">
        <v>13456</v>
      </c>
    </row>
    <row r="1225" spans="1:10">
      <c r="A1225" s="1">
        <v>670455</v>
      </c>
      <c r="B1225" s="1">
        <v>5190001608</v>
      </c>
      <c r="C1225" s="1">
        <v>12</v>
      </c>
      <c r="D1225" s="1" t="s">
        <v>381</v>
      </c>
      <c r="E1225" t="s">
        <v>13457</v>
      </c>
      <c r="F1225" s="1">
        <v>679704</v>
      </c>
      <c r="G1225" s="1">
        <v>4470006405</v>
      </c>
      <c r="H1225" s="1">
        <v>12</v>
      </c>
      <c r="I1225" s="1" t="s">
        <v>404</v>
      </c>
      <c r="J1225" t="s">
        <v>13458</v>
      </c>
    </row>
    <row r="1226" spans="1:10">
      <c r="A1226" s="1">
        <v>677864</v>
      </c>
      <c r="B1226" s="1">
        <v>7187156225</v>
      </c>
      <c r="C1226" s="1">
        <v>12</v>
      </c>
      <c r="D1226" s="1" t="s">
        <v>546</v>
      </c>
      <c r="E1226" t="s">
        <v>13459</v>
      </c>
      <c r="F1226" s="1">
        <v>675652</v>
      </c>
      <c r="G1226" s="1">
        <v>4470006407</v>
      </c>
      <c r="H1226" s="1">
        <v>12</v>
      </c>
      <c r="I1226" s="1" t="s">
        <v>404</v>
      </c>
      <c r="J1226" t="s">
        <v>13460</v>
      </c>
    </row>
    <row r="1227" spans="1:10">
      <c r="A1227" s="1">
        <v>668731</v>
      </c>
      <c r="B1227" s="1">
        <v>7187154839</v>
      </c>
      <c r="C1227" s="1">
        <v>12</v>
      </c>
      <c r="D1227" s="1" t="s">
        <v>546</v>
      </c>
      <c r="E1227" t="s">
        <v>13461</v>
      </c>
      <c r="F1227" s="1">
        <v>662783</v>
      </c>
      <c r="G1227" s="1">
        <v>4470003050</v>
      </c>
      <c r="H1227" s="1">
        <v>12</v>
      </c>
      <c r="I1227" s="1" t="s">
        <v>546</v>
      </c>
      <c r="J1227" t="s">
        <v>13462</v>
      </c>
    </row>
    <row r="1228" spans="1:10">
      <c r="A1228" s="1">
        <v>677708</v>
      </c>
      <c r="B1228" s="1">
        <v>7187154668</v>
      </c>
      <c r="C1228" s="1">
        <v>12</v>
      </c>
      <c r="D1228" s="1" t="s">
        <v>1973</v>
      </c>
      <c r="E1228" t="s">
        <v>13463</v>
      </c>
      <c r="F1228" s="1">
        <v>686105</v>
      </c>
      <c r="G1228" s="1">
        <v>4470003047</v>
      </c>
      <c r="H1228" s="1">
        <v>12</v>
      </c>
      <c r="I1228" s="1" t="s">
        <v>546</v>
      </c>
      <c r="J1228" t="s">
        <v>13464</v>
      </c>
    </row>
    <row r="1229" spans="1:10">
      <c r="A1229" s="1">
        <v>677799</v>
      </c>
      <c r="B1229" s="1">
        <v>7187154654</v>
      </c>
      <c r="C1229" s="1">
        <v>12</v>
      </c>
      <c r="D1229" s="1" t="s">
        <v>399</v>
      </c>
      <c r="E1229" t="s">
        <v>13463</v>
      </c>
      <c r="F1229" s="1">
        <v>691634</v>
      </c>
      <c r="G1229" s="1">
        <v>4470003053</v>
      </c>
      <c r="H1229" s="1">
        <v>12</v>
      </c>
      <c r="I1229" s="1" t="s">
        <v>546</v>
      </c>
      <c r="J1229" t="s">
        <v>13465</v>
      </c>
    </row>
    <row r="1230" spans="1:10">
      <c r="A1230" s="1">
        <v>677724</v>
      </c>
      <c r="B1230" s="1">
        <v>7187154622</v>
      </c>
      <c r="C1230" s="1">
        <v>12</v>
      </c>
      <c r="D1230" s="1" t="s">
        <v>347</v>
      </c>
      <c r="E1230" t="s">
        <v>13466</v>
      </c>
      <c r="F1230" s="1">
        <v>729426</v>
      </c>
      <c r="G1230" s="1">
        <v>4470003068</v>
      </c>
      <c r="H1230" s="1">
        <v>12</v>
      </c>
      <c r="I1230" s="1" t="s">
        <v>546</v>
      </c>
      <c r="J1230" t="s">
        <v>13467</v>
      </c>
    </row>
    <row r="1231" spans="1:10">
      <c r="A1231" s="1">
        <v>830125</v>
      </c>
      <c r="B1231" s="1">
        <v>7317018080</v>
      </c>
      <c r="C1231" s="1">
        <v>12</v>
      </c>
      <c r="D1231" s="1" t="s">
        <v>399</v>
      </c>
      <c r="E1231" t="s">
        <v>13468</v>
      </c>
      <c r="F1231" s="1">
        <v>679282</v>
      </c>
      <c r="G1231" s="1">
        <v>4470000932</v>
      </c>
      <c r="H1231" s="1">
        <v>12</v>
      </c>
      <c r="I1231" s="1" t="s">
        <v>347</v>
      </c>
      <c r="J1231" t="s">
        <v>13469</v>
      </c>
    </row>
    <row r="1232" spans="1:10" ht="15.75">
      <c r="A1232" s="4" t="s">
        <v>13245</v>
      </c>
      <c r="B1232" s="2"/>
      <c r="C1232" s="2"/>
      <c r="D1232" s="2"/>
      <c r="E1232" s="3"/>
      <c r="F1232" s="4" t="s">
        <v>13245</v>
      </c>
      <c r="G1232" s="2"/>
      <c r="H1232" s="2"/>
      <c r="I1232" s="2"/>
      <c r="J1232" s="3"/>
    </row>
    <row r="1233" spans="1:10">
      <c r="A1233" s="2" t="s">
        <v>0</v>
      </c>
      <c r="B1233" s="2" t="s">
        <v>1</v>
      </c>
      <c r="C1233" s="2" t="s">
        <v>2</v>
      </c>
      <c r="D1233" s="2" t="s">
        <v>3</v>
      </c>
      <c r="E1233" s="3" t="s">
        <v>4</v>
      </c>
      <c r="F1233" s="2" t="s">
        <v>0</v>
      </c>
      <c r="G1233" s="2" t="s">
        <v>1</v>
      </c>
      <c r="H1233" s="2" t="s">
        <v>2</v>
      </c>
      <c r="I1233" s="2" t="s">
        <v>3</v>
      </c>
      <c r="J1233" s="3" t="s">
        <v>4</v>
      </c>
    </row>
    <row r="1234" spans="1:10">
      <c r="A1234" s="1">
        <v>672717</v>
      </c>
      <c r="B1234" s="1">
        <v>4470000930</v>
      </c>
      <c r="C1234" s="1">
        <v>12</v>
      </c>
      <c r="D1234" s="1" t="s">
        <v>399</v>
      </c>
      <c r="E1234" t="s">
        <v>13469</v>
      </c>
      <c r="F1234" s="1">
        <v>279422</v>
      </c>
      <c r="G1234" s="1">
        <v>4470003121</v>
      </c>
      <c r="H1234" s="1">
        <v>12</v>
      </c>
      <c r="I1234" s="1" t="s">
        <v>399</v>
      </c>
      <c r="J1234" t="s">
        <v>13470</v>
      </c>
    </row>
    <row r="1235" spans="1:10">
      <c r="A1235" s="1">
        <v>105783</v>
      </c>
      <c r="B1235" s="1">
        <v>4470002288</v>
      </c>
      <c r="C1235" s="1">
        <v>12</v>
      </c>
      <c r="D1235" s="1" t="s">
        <v>404</v>
      </c>
      <c r="E1235" t="s">
        <v>13471</v>
      </c>
      <c r="F1235" s="1">
        <v>514216</v>
      </c>
      <c r="G1235" s="1">
        <v>4470003123</v>
      </c>
      <c r="H1235" s="1">
        <v>12</v>
      </c>
      <c r="I1235" s="1" t="s">
        <v>399</v>
      </c>
      <c r="J1235" t="s">
        <v>13472</v>
      </c>
    </row>
    <row r="1236" spans="1:10">
      <c r="A1236" s="1">
        <v>677179</v>
      </c>
      <c r="B1236" s="1">
        <v>4470001184</v>
      </c>
      <c r="C1236" s="1">
        <v>12</v>
      </c>
      <c r="D1236" s="1" t="s">
        <v>381</v>
      </c>
      <c r="E1236" t="s">
        <v>13473</v>
      </c>
      <c r="F1236" s="1">
        <v>668723</v>
      </c>
      <c r="G1236" s="1">
        <v>4470001234</v>
      </c>
      <c r="H1236" s="1">
        <v>12</v>
      </c>
      <c r="I1236" s="1" t="s">
        <v>1973</v>
      </c>
      <c r="J1236" t="s">
        <v>13474</v>
      </c>
    </row>
    <row r="1237" spans="1:10">
      <c r="A1237" s="1">
        <v>679407</v>
      </c>
      <c r="B1237" s="1">
        <v>4470001903</v>
      </c>
      <c r="C1237" s="1">
        <v>12</v>
      </c>
      <c r="D1237" s="1" t="s">
        <v>381</v>
      </c>
      <c r="E1237" t="s">
        <v>13475</v>
      </c>
      <c r="F1237" s="1">
        <v>687178</v>
      </c>
      <c r="G1237" s="1">
        <v>1240000027</v>
      </c>
      <c r="H1237" s="1">
        <v>12</v>
      </c>
      <c r="I1237" s="1" t="s">
        <v>6600</v>
      </c>
      <c r="J1237" t="s">
        <v>13476</v>
      </c>
    </row>
    <row r="1238" spans="1:10">
      <c r="A1238" s="1">
        <v>676619</v>
      </c>
      <c r="B1238" s="1">
        <v>4470001206</v>
      </c>
      <c r="C1238" s="1">
        <v>15</v>
      </c>
      <c r="D1238" s="1" t="s">
        <v>546</v>
      </c>
      <c r="E1238" t="s">
        <v>13477</v>
      </c>
      <c r="F1238" s="1">
        <v>165183</v>
      </c>
      <c r="G1238" s="1">
        <v>1240000010</v>
      </c>
      <c r="H1238" s="1">
        <v>12</v>
      </c>
      <c r="I1238" s="1" t="s">
        <v>6600</v>
      </c>
      <c r="J1238" t="s">
        <v>13478</v>
      </c>
    </row>
    <row r="1239" spans="1:10">
      <c r="A1239" s="1">
        <v>676890</v>
      </c>
      <c r="B1239" s="1">
        <v>4470001090</v>
      </c>
      <c r="C1239" s="1">
        <v>12</v>
      </c>
      <c r="D1239" s="1" t="s">
        <v>399</v>
      </c>
      <c r="E1239" t="s">
        <v>13479</v>
      </c>
      <c r="F1239" s="1">
        <v>354753</v>
      </c>
      <c r="G1239" s="1">
        <v>4350000045</v>
      </c>
      <c r="H1239" s="1">
        <v>16</v>
      </c>
      <c r="I1239" s="1" t="s">
        <v>347</v>
      </c>
      <c r="J1239" t="s">
        <v>13480</v>
      </c>
    </row>
    <row r="1240" spans="1:10">
      <c r="A1240" s="1">
        <v>858506</v>
      </c>
      <c r="B1240" s="1">
        <v>4470002287</v>
      </c>
      <c r="C1240" s="1">
        <v>12</v>
      </c>
      <c r="D1240" s="1" t="s">
        <v>404</v>
      </c>
      <c r="E1240" t="s">
        <v>13481</v>
      </c>
      <c r="F1240" s="1">
        <v>778290</v>
      </c>
      <c r="G1240" s="1">
        <v>4350035042</v>
      </c>
      <c r="H1240" s="1">
        <v>8</v>
      </c>
      <c r="I1240" s="1" t="s">
        <v>546</v>
      </c>
      <c r="J1240" t="s">
        <v>13482</v>
      </c>
    </row>
    <row r="1241" spans="1:10">
      <c r="A1241" s="1">
        <v>670844</v>
      </c>
      <c r="B1241" s="1">
        <v>4470006420</v>
      </c>
      <c r="C1241" s="1">
        <v>12</v>
      </c>
      <c r="D1241" s="1" t="s">
        <v>381</v>
      </c>
      <c r="E1241" t="s">
        <v>13483</v>
      </c>
      <c r="F1241" s="1">
        <v>188243</v>
      </c>
      <c r="G1241" s="1">
        <v>4350035043</v>
      </c>
      <c r="H1241" s="1">
        <v>8</v>
      </c>
      <c r="I1241" s="1" t="s">
        <v>546</v>
      </c>
      <c r="J1241" t="s">
        <v>13484</v>
      </c>
    </row>
    <row r="1242" spans="1:10">
      <c r="A1242" s="1">
        <v>670836</v>
      </c>
      <c r="B1242" s="1">
        <v>4470001165</v>
      </c>
      <c r="C1242" s="1">
        <v>12</v>
      </c>
      <c r="D1242" s="1" t="s">
        <v>381</v>
      </c>
      <c r="E1242" t="s">
        <v>13485</v>
      </c>
      <c r="F1242" s="1">
        <v>669507</v>
      </c>
      <c r="G1242" s="1">
        <v>7089201206</v>
      </c>
      <c r="H1242" s="1">
        <v>12</v>
      </c>
      <c r="I1242" s="1" t="s">
        <v>381</v>
      </c>
      <c r="J1242" t="s">
        <v>13486</v>
      </c>
    </row>
    <row r="1243" spans="1:10">
      <c r="A1243" s="1">
        <v>180240</v>
      </c>
      <c r="B1243" s="1">
        <v>4470001923</v>
      </c>
      <c r="C1243" s="1">
        <v>12</v>
      </c>
      <c r="D1243" s="1" t="s">
        <v>381</v>
      </c>
      <c r="E1243" t="s">
        <v>13487</v>
      </c>
      <c r="F1243" s="1">
        <v>839597</v>
      </c>
      <c r="G1243" s="1">
        <v>4350035038</v>
      </c>
      <c r="H1243" s="1">
        <v>8</v>
      </c>
      <c r="I1243" s="1" t="s">
        <v>546</v>
      </c>
      <c r="J1243" t="s">
        <v>13488</v>
      </c>
    </row>
    <row r="1244" spans="1:10">
      <c r="A1244" s="1">
        <v>827568</v>
      </c>
      <c r="B1244" s="1">
        <v>4470003013</v>
      </c>
      <c r="C1244" s="1">
        <v>12</v>
      </c>
      <c r="D1244" s="1" t="s">
        <v>489</v>
      </c>
      <c r="E1244" t="s">
        <v>13489</v>
      </c>
      <c r="F1244" s="1">
        <v>839647</v>
      </c>
      <c r="G1244" s="1">
        <v>4350001070</v>
      </c>
      <c r="H1244" s="1">
        <v>16</v>
      </c>
      <c r="I1244" s="1" t="s">
        <v>347</v>
      </c>
      <c r="J1244" t="s">
        <v>13490</v>
      </c>
    </row>
    <row r="1245" spans="1:10">
      <c r="A1245" s="1">
        <v>841874</v>
      </c>
      <c r="B1245" s="1">
        <v>4470002298</v>
      </c>
      <c r="C1245" s="1">
        <v>12</v>
      </c>
      <c r="D1245" s="1" t="s">
        <v>404</v>
      </c>
      <c r="E1245" t="s">
        <v>13491</v>
      </c>
      <c r="F1245" s="1">
        <v>875757</v>
      </c>
      <c r="G1245" s="1">
        <v>4350035049</v>
      </c>
      <c r="H1245" s="1">
        <v>8</v>
      </c>
      <c r="I1245" s="1" t="s">
        <v>546</v>
      </c>
      <c r="J1245" t="s">
        <v>13490</v>
      </c>
    </row>
    <row r="1246" spans="1:10">
      <c r="A1246" s="1">
        <v>677658</v>
      </c>
      <c r="B1246" s="1">
        <v>4470006453</v>
      </c>
      <c r="C1246" s="1">
        <v>15</v>
      </c>
      <c r="D1246" s="1" t="s">
        <v>404</v>
      </c>
      <c r="E1246" t="s">
        <v>13492</v>
      </c>
      <c r="F1246" s="1">
        <v>783738</v>
      </c>
      <c r="G1246" s="1">
        <v>4350035040</v>
      </c>
      <c r="H1246" s="1">
        <v>8</v>
      </c>
      <c r="I1246" s="1" t="s">
        <v>546</v>
      </c>
      <c r="J1246" t="s">
        <v>13493</v>
      </c>
    </row>
    <row r="1247" spans="1:10">
      <c r="A1247" s="1">
        <v>676692</v>
      </c>
      <c r="B1247" s="1">
        <v>4470000929</v>
      </c>
      <c r="C1247" s="1">
        <v>12</v>
      </c>
      <c r="D1247" s="1" t="s">
        <v>1973</v>
      </c>
      <c r="E1247" t="s">
        <v>13494</v>
      </c>
      <c r="F1247" s="1">
        <v>397091</v>
      </c>
      <c r="G1247" s="1">
        <v>4350001060</v>
      </c>
      <c r="H1247" s="1">
        <v>16</v>
      </c>
      <c r="I1247" s="1" t="s">
        <v>347</v>
      </c>
      <c r="J1247" t="s">
        <v>13495</v>
      </c>
    </row>
    <row r="1248" spans="1:10">
      <c r="A1248" s="1">
        <v>676668</v>
      </c>
      <c r="B1248" s="1">
        <v>4470000927</v>
      </c>
      <c r="C1248" s="1">
        <v>12</v>
      </c>
      <c r="D1248" s="1" t="s">
        <v>399</v>
      </c>
      <c r="E1248" t="s">
        <v>13494</v>
      </c>
      <c r="F1248" s="1">
        <v>677245</v>
      </c>
      <c r="G1248" s="1">
        <v>4350000005</v>
      </c>
      <c r="H1248" s="1">
        <v>12</v>
      </c>
      <c r="I1248" s="1" t="s">
        <v>381</v>
      </c>
      <c r="J1248" t="s">
        <v>13496</v>
      </c>
    </row>
    <row r="1249" spans="1:10">
      <c r="A1249" s="1">
        <v>676684</v>
      </c>
      <c r="B1249" s="1">
        <v>4470000910</v>
      </c>
      <c r="C1249" s="1">
        <v>12</v>
      </c>
      <c r="D1249" s="1" t="s">
        <v>1973</v>
      </c>
      <c r="E1249" t="s">
        <v>13497</v>
      </c>
      <c r="F1249" s="1">
        <v>677237</v>
      </c>
      <c r="G1249" s="1">
        <v>4350000002</v>
      </c>
      <c r="H1249" s="1">
        <v>24</v>
      </c>
      <c r="I1249" s="1" t="s">
        <v>399</v>
      </c>
      <c r="J1249" t="s">
        <v>13498</v>
      </c>
    </row>
    <row r="1250" spans="1:10">
      <c r="A1250" s="1">
        <v>676676</v>
      </c>
      <c r="B1250" s="1">
        <v>4470000909</v>
      </c>
      <c r="C1250" s="1">
        <v>12</v>
      </c>
      <c r="D1250" s="1" t="s">
        <v>347</v>
      </c>
      <c r="E1250" t="s">
        <v>13497</v>
      </c>
      <c r="F1250" s="1">
        <v>5751</v>
      </c>
      <c r="G1250" s="1">
        <v>4350000000</v>
      </c>
      <c r="H1250" s="1">
        <v>24</v>
      </c>
      <c r="I1250" s="1" t="s">
        <v>397</v>
      </c>
      <c r="J1250" t="s">
        <v>13499</v>
      </c>
    </row>
    <row r="1251" spans="1:10">
      <c r="A1251" s="1">
        <v>676650</v>
      </c>
      <c r="B1251" s="1">
        <v>4470000908</v>
      </c>
      <c r="C1251" s="1">
        <v>12</v>
      </c>
      <c r="D1251" s="1" t="s">
        <v>399</v>
      </c>
      <c r="E1251" t="s">
        <v>13497</v>
      </c>
      <c r="F1251" s="1">
        <v>678458</v>
      </c>
      <c r="G1251" s="1">
        <v>4350000026</v>
      </c>
      <c r="H1251" s="1">
        <v>12</v>
      </c>
      <c r="I1251" s="1" t="s">
        <v>1973</v>
      </c>
      <c r="J1251" t="s">
        <v>13500</v>
      </c>
    </row>
    <row r="1252" spans="1:10">
      <c r="A1252" s="1">
        <v>677088</v>
      </c>
      <c r="B1252" s="1">
        <v>4470000857</v>
      </c>
      <c r="C1252" s="1">
        <v>18</v>
      </c>
      <c r="D1252" s="1" t="s">
        <v>1973</v>
      </c>
      <c r="E1252" t="s">
        <v>13501</v>
      </c>
      <c r="F1252" s="1">
        <v>591784</v>
      </c>
      <c r="G1252" s="1">
        <v>4350001071</v>
      </c>
      <c r="H1252" s="1">
        <v>16</v>
      </c>
      <c r="I1252" s="1" t="s">
        <v>347</v>
      </c>
      <c r="J1252" t="s">
        <v>13500</v>
      </c>
    </row>
    <row r="1253" spans="1:10">
      <c r="A1253" s="1">
        <v>676742</v>
      </c>
      <c r="B1253" s="1">
        <v>4470000867</v>
      </c>
      <c r="C1253" s="1">
        <v>12</v>
      </c>
      <c r="D1253" s="1" t="s">
        <v>347</v>
      </c>
      <c r="E1253" t="s">
        <v>13501</v>
      </c>
      <c r="F1253" s="1">
        <v>667550</v>
      </c>
      <c r="G1253" s="1">
        <v>7705261932</v>
      </c>
      <c r="H1253" s="1">
        <v>16</v>
      </c>
      <c r="I1253" s="1" t="s">
        <v>404</v>
      </c>
      <c r="J1253" t="s">
        <v>13502</v>
      </c>
    </row>
    <row r="1254" spans="1:10">
      <c r="A1254" s="1">
        <v>350405</v>
      </c>
      <c r="B1254" s="1">
        <v>4470002258</v>
      </c>
      <c r="C1254" s="1">
        <v>12</v>
      </c>
      <c r="D1254" s="1" t="s">
        <v>399</v>
      </c>
      <c r="E1254" t="s">
        <v>13503</v>
      </c>
      <c r="F1254" s="1">
        <v>668442</v>
      </c>
      <c r="G1254" s="1">
        <v>7705261901</v>
      </c>
      <c r="H1254" s="1">
        <v>16</v>
      </c>
      <c r="I1254" s="1" t="s">
        <v>404</v>
      </c>
      <c r="J1254" t="s">
        <v>13504</v>
      </c>
    </row>
    <row r="1255" spans="1:10">
      <c r="A1255" s="1">
        <v>473959</v>
      </c>
      <c r="B1255" s="1">
        <v>4470002257</v>
      </c>
      <c r="C1255" s="1">
        <v>12</v>
      </c>
      <c r="D1255" s="1" t="s">
        <v>399</v>
      </c>
      <c r="E1255" t="s">
        <v>13505</v>
      </c>
      <c r="F1255" s="1">
        <v>574897</v>
      </c>
      <c r="G1255" s="1">
        <v>64220522366</v>
      </c>
      <c r="H1255" s="1">
        <v>8</v>
      </c>
      <c r="I1255" s="1" t="s">
        <v>399</v>
      </c>
      <c r="J1255" t="s">
        <v>13506</v>
      </c>
    </row>
    <row r="1256" spans="1:10">
      <c r="A1256" s="1">
        <v>246587</v>
      </c>
      <c r="B1256" s="1">
        <v>4470002286</v>
      </c>
      <c r="C1256" s="1">
        <v>12</v>
      </c>
      <c r="D1256" s="1" t="s">
        <v>404</v>
      </c>
      <c r="E1256" t="s">
        <v>13507</v>
      </c>
      <c r="F1256" s="1">
        <v>248609</v>
      </c>
      <c r="G1256" s="1">
        <v>64220522367</v>
      </c>
      <c r="H1256" s="1">
        <v>8</v>
      </c>
      <c r="I1256" s="1" t="s">
        <v>399</v>
      </c>
      <c r="J1256" t="s">
        <v>13508</v>
      </c>
    </row>
    <row r="1257" spans="1:10">
      <c r="A1257" s="1">
        <v>673988</v>
      </c>
      <c r="B1257" s="1">
        <v>4470006441</v>
      </c>
      <c r="C1257" s="1">
        <v>12</v>
      </c>
      <c r="D1257" s="1" t="s">
        <v>1973</v>
      </c>
      <c r="E1257" t="s">
        <v>13509</v>
      </c>
      <c r="F1257" s="1">
        <v>860247</v>
      </c>
      <c r="G1257" s="1">
        <v>64220522368</v>
      </c>
      <c r="H1257" s="1">
        <v>8</v>
      </c>
      <c r="I1257" s="1" t="s">
        <v>399</v>
      </c>
      <c r="J1257" t="s">
        <v>13510</v>
      </c>
    </row>
    <row r="1258" spans="1:10">
      <c r="A1258" s="1">
        <v>827576</v>
      </c>
      <c r="B1258" s="1">
        <v>4470003021</v>
      </c>
      <c r="C1258" s="1">
        <v>12</v>
      </c>
      <c r="D1258" s="1" t="s">
        <v>489</v>
      </c>
      <c r="E1258" t="s">
        <v>13511</v>
      </c>
      <c r="F1258" s="1">
        <v>676361</v>
      </c>
      <c r="G1258" s="1">
        <v>24220554212</v>
      </c>
      <c r="H1258" s="1">
        <v>8</v>
      </c>
      <c r="I1258" s="1" t="s">
        <v>860</v>
      </c>
      <c r="J1258" t="s">
        <v>13512</v>
      </c>
    </row>
    <row r="1259" spans="1:10">
      <c r="A1259" s="1">
        <v>676817</v>
      </c>
      <c r="B1259" s="1">
        <v>4470000974</v>
      </c>
      <c r="C1259" s="1">
        <v>12</v>
      </c>
      <c r="D1259" s="1" t="s">
        <v>1973</v>
      </c>
      <c r="E1259" t="s">
        <v>13513</v>
      </c>
      <c r="F1259" s="1">
        <v>171470</v>
      </c>
      <c r="G1259" s="1">
        <v>64220522369</v>
      </c>
      <c r="H1259" s="1">
        <v>8</v>
      </c>
      <c r="I1259" s="1" t="s">
        <v>399</v>
      </c>
      <c r="J1259" t="s">
        <v>13514</v>
      </c>
    </row>
    <row r="1260" spans="1:10">
      <c r="A1260" s="1">
        <v>676841</v>
      </c>
      <c r="B1260" s="1">
        <v>4470000955</v>
      </c>
      <c r="C1260" s="1">
        <v>12</v>
      </c>
      <c r="D1260" s="1" t="s">
        <v>399</v>
      </c>
      <c r="E1260" t="s">
        <v>13515</v>
      </c>
      <c r="F1260" s="1">
        <v>836411</v>
      </c>
      <c r="G1260" s="1">
        <v>4113030812</v>
      </c>
      <c r="H1260" s="1">
        <v>12</v>
      </c>
      <c r="I1260" s="1" t="s">
        <v>381</v>
      </c>
      <c r="J1260" t="s">
        <v>13516</v>
      </c>
    </row>
    <row r="1261" spans="1:10">
      <c r="A1261" s="1">
        <v>681361</v>
      </c>
      <c r="B1261" s="1">
        <v>4470000865</v>
      </c>
      <c r="C1261" s="1">
        <v>12</v>
      </c>
      <c r="D1261" s="1" t="s">
        <v>399</v>
      </c>
      <c r="E1261" t="s">
        <v>13517</v>
      </c>
      <c r="F1261" s="1">
        <v>286534</v>
      </c>
      <c r="G1261" s="1">
        <v>4113030813</v>
      </c>
      <c r="H1261" s="1">
        <v>12</v>
      </c>
      <c r="I1261" s="1" t="s">
        <v>381</v>
      </c>
      <c r="J1261" t="s">
        <v>13518</v>
      </c>
    </row>
    <row r="1262" spans="1:10">
      <c r="A1262" s="1">
        <v>672832</v>
      </c>
      <c r="B1262" s="1">
        <v>4470006437</v>
      </c>
      <c r="C1262" s="1">
        <v>12</v>
      </c>
      <c r="D1262" s="1" t="s">
        <v>381</v>
      </c>
      <c r="E1262" t="s">
        <v>13519</v>
      </c>
      <c r="F1262" s="1">
        <v>893487</v>
      </c>
      <c r="G1262" s="1">
        <v>4113030814</v>
      </c>
      <c r="H1262" s="1">
        <v>12</v>
      </c>
      <c r="I1262" s="1" t="s">
        <v>381</v>
      </c>
      <c r="J1262" t="s">
        <v>13520</v>
      </c>
    </row>
    <row r="1263" spans="1:10">
      <c r="A1263" s="1">
        <v>676973</v>
      </c>
      <c r="B1263" s="1">
        <v>4470001901</v>
      </c>
      <c r="C1263" s="1">
        <v>12</v>
      </c>
      <c r="D1263" s="1" t="s">
        <v>347</v>
      </c>
      <c r="E1263" t="s">
        <v>13521</v>
      </c>
      <c r="F1263" s="1">
        <v>661611</v>
      </c>
      <c r="G1263" s="1">
        <v>4113030816</v>
      </c>
      <c r="H1263" s="1">
        <v>12</v>
      </c>
      <c r="I1263" s="1" t="s">
        <v>259</v>
      </c>
      <c r="J1263" t="s">
        <v>13522</v>
      </c>
    </row>
    <row r="1264" spans="1:10">
      <c r="A1264" s="1">
        <v>677625</v>
      </c>
      <c r="B1264" s="1">
        <v>4470001910</v>
      </c>
      <c r="C1264" s="1">
        <v>15</v>
      </c>
      <c r="D1264" s="1" t="s">
        <v>404</v>
      </c>
      <c r="E1264" t="s">
        <v>13523</v>
      </c>
      <c r="F1264" s="1">
        <v>294330</v>
      </c>
      <c r="G1264" s="1">
        <v>4113030815</v>
      </c>
      <c r="H1264" s="1">
        <v>6</v>
      </c>
      <c r="I1264" s="1" t="s">
        <v>954</v>
      </c>
      <c r="J1264" t="s">
        <v>13524</v>
      </c>
    </row>
    <row r="1265" spans="1:10">
      <c r="A1265" s="1">
        <v>827550</v>
      </c>
      <c r="B1265" s="1">
        <v>4470003014</v>
      </c>
      <c r="C1265" s="1">
        <v>12</v>
      </c>
      <c r="D1265" s="1" t="s">
        <v>489</v>
      </c>
      <c r="E1265" t="s">
        <v>13525</v>
      </c>
      <c r="F1265" s="1">
        <v>71969</v>
      </c>
      <c r="G1265" s="1">
        <v>4113030817</v>
      </c>
      <c r="H1265" s="1">
        <v>12</v>
      </c>
      <c r="I1265" s="1" t="s">
        <v>259</v>
      </c>
      <c r="J1265" t="s">
        <v>13526</v>
      </c>
    </row>
    <row r="1266" spans="1:10">
      <c r="A1266" s="1">
        <v>827584</v>
      </c>
      <c r="B1266" s="1">
        <v>4470003020</v>
      </c>
      <c r="C1266" s="1">
        <v>12</v>
      </c>
      <c r="D1266" s="1" t="s">
        <v>489</v>
      </c>
      <c r="E1266" t="s">
        <v>13527</v>
      </c>
      <c r="F1266" s="1">
        <v>705624</v>
      </c>
      <c r="G1266" s="1">
        <v>4113080200</v>
      </c>
      <c r="H1266" s="1">
        <v>12</v>
      </c>
      <c r="I1266" s="1" t="s">
        <v>381</v>
      </c>
      <c r="J1266" t="s">
        <v>13528</v>
      </c>
    </row>
    <row r="1267" spans="1:10">
      <c r="A1267" s="1">
        <v>830729</v>
      </c>
      <c r="B1267" s="1">
        <v>4470001226</v>
      </c>
      <c r="C1267" s="1">
        <v>15</v>
      </c>
      <c r="D1267" s="1" t="s">
        <v>399</v>
      </c>
      <c r="E1267" t="s">
        <v>13529</v>
      </c>
      <c r="F1267" s="1">
        <v>663559</v>
      </c>
      <c r="G1267" s="1">
        <v>78533115050</v>
      </c>
      <c r="H1267" s="1">
        <v>12</v>
      </c>
      <c r="I1267" s="1" t="s">
        <v>347</v>
      </c>
      <c r="J1267" t="s">
        <v>13530</v>
      </c>
    </row>
    <row r="1268" spans="1:10">
      <c r="A1268" s="1">
        <v>566661</v>
      </c>
      <c r="B1268" s="1">
        <v>4470002289</v>
      </c>
      <c r="C1268" s="1">
        <v>12</v>
      </c>
      <c r="D1268" s="1" t="s">
        <v>404</v>
      </c>
      <c r="E1268" t="s">
        <v>13531</v>
      </c>
      <c r="F1268" s="1">
        <v>661215</v>
      </c>
      <c r="G1268" s="1">
        <v>78533173236</v>
      </c>
      <c r="H1268" s="1">
        <v>16</v>
      </c>
      <c r="I1268" s="1" t="s">
        <v>347</v>
      </c>
      <c r="J1268" t="s">
        <v>13532</v>
      </c>
    </row>
    <row r="1269" spans="1:10">
      <c r="A1269" s="1">
        <v>676718</v>
      </c>
      <c r="B1269" s="1">
        <v>4470000860</v>
      </c>
      <c r="C1269" s="1">
        <v>12</v>
      </c>
      <c r="D1269" s="1" t="s">
        <v>347</v>
      </c>
      <c r="E1269" t="s">
        <v>13533</v>
      </c>
      <c r="F1269" s="1">
        <v>661108</v>
      </c>
      <c r="G1269" s="1">
        <v>27154003535</v>
      </c>
      <c r="H1269" s="1">
        <v>1</v>
      </c>
      <c r="I1269" s="1" t="s">
        <v>12335</v>
      </c>
      <c r="J1269" t="s">
        <v>13534</v>
      </c>
    </row>
    <row r="1270" spans="1:10">
      <c r="A1270" s="1">
        <v>668707</v>
      </c>
      <c r="B1270" s="1">
        <v>4470000896</v>
      </c>
      <c r="C1270" s="1">
        <v>12</v>
      </c>
      <c r="D1270" s="1" t="s">
        <v>347</v>
      </c>
      <c r="E1270" t="s">
        <v>13535</v>
      </c>
      <c r="F1270" s="1">
        <v>669556</v>
      </c>
      <c r="G1270" s="1">
        <v>7080005825</v>
      </c>
      <c r="H1270" s="1">
        <v>16</v>
      </c>
      <c r="I1270" s="1" t="s">
        <v>489</v>
      </c>
      <c r="J1270" t="s">
        <v>13536</v>
      </c>
    </row>
    <row r="1271" spans="1:10">
      <c r="A1271" s="1">
        <v>673244</v>
      </c>
      <c r="B1271" s="1">
        <v>4470000870</v>
      </c>
      <c r="C1271" s="1">
        <v>12</v>
      </c>
      <c r="D1271" s="1" t="s">
        <v>347</v>
      </c>
      <c r="E1271" t="s">
        <v>13537</v>
      </c>
      <c r="F1271" s="1">
        <v>669150</v>
      </c>
      <c r="G1271" s="1">
        <v>7080005824</v>
      </c>
      <c r="H1271" s="1">
        <v>16</v>
      </c>
      <c r="I1271" s="1" t="s">
        <v>489</v>
      </c>
      <c r="J1271" t="s">
        <v>13538</v>
      </c>
    </row>
    <row r="1272" spans="1:10">
      <c r="A1272" s="1">
        <v>867838</v>
      </c>
      <c r="B1272" s="1">
        <v>4470003120</v>
      </c>
      <c r="C1272" s="1">
        <v>12</v>
      </c>
      <c r="D1272" s="1" t="s">
        <v>399</v>
      </c>
      <c r="E1272" t="s">
        <v>13539</v>
      </c>
      <c r="F1272" s="1">
        <v>669267</v>
      </c>
      <c r="G1272" s="1">
        <v>7080005827</v>
      </c>
      <c r="H1272" s="1">
        <v>16</v>
      </c>
      <c r="I1272" s="1" t="s">
        <v>489</v>
      </c>
      <c r="J1272" t="s">
        <v>13540</v>
      </c>
    </row>
    <row r="1273" spans="1:10" ht="15.75">
      <c r="A1273" s="4" t="s">
        <v>13245</v>
      </c>
      <c r="B1273" s="2"/>
      <c r="C1273" s="2"/>
      <c r="D1273" s="2"/>
      <c r="E1273" s="3"/>
      <c r="F1273" s="4" t="s">
        <v>13541</v>
      </c>
      <c r="G1273" s="2"/>
      <c r="H1273" s="2"/>
      <c r="I1273" s="2"/>
      <c r="J1273" s="3"/>
    </row>
    <row r="1274" spans="1:10">
      <c r="A1274" s="2" t="s">
        <v>0</v>
      </c>
      <c r="B1274" s="2" t="s">
        <v>1</v>
      </c>
      <c r="C1274" s="2" t="s">
        <v>2</v>
      </c>
      <c r="D1274" s="2" t="s">
        <v>3</v>
      </c>
      <c r="E1274" s="3" t="s">
        <v>4</v>
      </c>
      <c r="F1274" s="2" t="s">
        <v>0</v>
      </c>
      <c r="G1274" s="2" t="s">
        <v>1</v>
      </c>
      <c r="H1274" s="2" t="s">
        <v>2</v>
      </c>
      <c r="I1274" s="2" t="s">
        <v>3</v>
      </c>
      <c r="J1274" s="3" t="s">
        <v>4</v>
      </c>
    </row>
    <row r="1275" spans="1:10">
      <c r="A1275" s="1">
        <v>670661</v>
      </c>
      <c r="B1275" s="1">
        <v>7080006170</v>
      </c>
      <c r="C1275" s="1">
        <v>12</v>
      </c>
      <c r="D1275" s="1" t="s">
        <v>381</v>
      </c>
      <c r="E1275" t="s">
        <v>13542</v>
      </c>
      <c r="F1275" s="1">
        <v>179721</v>
      </c>
      <c r="G1275" s="1">
        <v>70815610104</v>
      </c>
      <c r="H1275" s="1">
        <v>15</v>
      </c>
      <c r="I1275" s="1" t="s">
        <v>13543</v>
      </c>
      <c r="J1275" t="s">
        <v>13544</v>
      </c>
    </row>
    <row r="1276" spans="1:10">
      <c r="A1276" s="1">
        <v>670596</v>
      </c>
      <c r="B1276" s="1">
        <v>7080006161</v>
      </c>
      <c r="C1276" s="1">
        <v>12</v>
      </c>
      <c r="D1276" s="1" t="s">
        <v>381</v>
      </c>
      <c r="E1276" t="s">
        <v>13545</v>
      </c>
      <c r="F1276" s="1">
        <v>168674</v>
      </c>
      <c r="G1276" s="1">
        <v>70815610106</v>
      </c>
      <c r="H1276" s="1">
        <v>15</v>
      </c>
      <c r="I1276" s="1" t="s">
        <v>13543</v>
      </c>
      <c r="J1276" t="s">
        <v>13546</v>
      </c>
    </row>
    <row r="1277" spans="1:10">
      <c r="A1277" s="1">
        <v>670869</v>
      </c>
      <c r="B1277" s="1">
        <v>7080006163</v>
      </c>
      <c r="C1277" s="1">
        <v>12</v>
      </c>
      <c r="D1277" s="1" t="s">
        <v>381</v>
      </c>
      <c r="E1277" t="s">
        <v>13547</v>
      </c>
      <c r="F1277" s="1">
        <v>347922</v>
      </c>
      <c r="G1277" s="1">
        <v>70815610105</v>
      </c>
      <c r="H1277" s="1">
        <v>15</v>
      </c>
      <c r="I1277" s="1" t="s">
        <v>13543</v>
      </c>
      <c r="J1277" t="s">
        <v>13548</v>
      </c>
    </row>
    <row r="1278" spans="1:10">
      <c r="A1278" s="1">
        <v>670901</v>
      </c>
      <c r="B1278" s="1">
        <v>7080006172</v>
      </c>
      <c r="C1278" s="1">
        <v>12</v>
      </c>
      <c r="D1278" s="1" t="s">
        <v>381</v>
      </c>
      <c r="E1278" t="s">
        <v>13549</v>
      </c>
      <c r="F1278" s="1">
        <v>331330</v>
      </c>
      <c r="G1278" s="1">
        <v>70815610107</v>
      </c>
      <c r="H1278" s="1">
        <v>15</v>
      </c>
      <c r="I1278" s="1" t="s">
        <v>13543</v>
      </c>
      <c r="J1278" t="s">
        <v>13550</v>
      </c>
    </row>
    <row r="1279" spans="1:10">
      <c r="A1279" s="1">
        <v>653949</v>
      </c>
      <c r="B1279" s="1">
        <v>7080050060</v>
      </c>
      <c r="C1279" s="1">
        <v>8</v>
      </c>
      <c r="D1279" s="1" t="s">
        <v>546</v>
      </c>
      <c r="E1279" t="s">
        <v>13551</v>
      </c>
      <c r="F1279" s="1">
        <v>680033</v>
      </c>
      <c r="G1279" s="1">
        <v>7274570900</v>
      </c>
      <c r="H1279" s="1">
        <v>11</v>
      </c>
      <c r="I1279" s="1" t="s">
        <v>6729</v>
      </c>
      <c r="J1279" t="s">
        <v>13552</v>
      </c>
    </row>
    <row r="1280" spans="1:10">
      <c r="A1280" s="1">
        <v>42176</v>
      </c>
      <c r="B1280" s="1">
        <v>7080050062</v>
      </c>
      <c r="C1280" s="1">
        <v>8</v>
      </c>
      <c r="D1280" s="1" t="s">
        <v>546</v>
      </c>
      <c r="E1280" t="s">
        <v>13553</v>
      </c>
      <c r="F1280" s="1">
        <v>371781</v>
      </c>
      <c r="G1280" s="1">
        <v>7274570900</v>
      </c>
      <c r="H1280" s="1">
        <v>11</v>
      </c>
      <c r="I1280" s="1" t="s">
        <v>1656</v>
      </c>
      <c r="J1280" t="s">
        <v>13554</v>
      </c>
    </row>
    <row r="1281" spans="1:10">
      <c r="A1281" s="1">
        <v>193870</v>
      </c>
      <c r="B1281" s="1">
        <v>7080050021</v>
      </c>
      <c r="C1281" s="1">
        <v>8</v>
      </c>
      <c r="D1281" s="1" t="s">
        <v>546</v>
      </c>
      <c r="E1281" t="s">
        <v>13555</v>
      </c>
      <c r="F1281" s="1">
        <v>217364</v>
      </c>
      <c r="G1281" s="1">
        <v>7274570855</v>
      </c>
      <c r="H1281" s="1">
        <v>1</v>
      </c>
      <c r="I1281" s="1" t="s">
        <v>12018</v>
      </c>
      <c r="J1281" t="s">
        <v>13556</v>
      </c>
    </row>
    <row r="1282" spans="1:10">
      <c r="A1282" s="1">
        <v>524397</v>
      </c>
      <c r="B1282" s="1">
        <v>7080050018</v>
      </c>
      <c r="C1282" s="1">
        <v>8</v>
      </c>
      <c r="D1282" s="1" t="s">
        <v>546</v>
      </c>
      <c r="E1282" t="s">
        <v>13557</v>
      </c>
      <c r="F1282" s="1">
        <v>680009</v>
      </c>
      <c r="G1282" s="1">
        <v>7274570855</v>
      </c>
      <c r="H1282" s="1">
        <v>9</v>
      </c>
      <c r="I1282" s="1" t="s">
        <v>12018</v>
      </c>
      <c r="J1282" t="s">
        <v>13558</v>
      </c>
    </row>
    <row r="1283" spans="1:10">
      <c r="A1283" s="1">
        <v>148643</v>
      </c>
      <c r="B1283" s="1">
        <v>7080050022</v>
      </c>
      <c r="C1283" s="1">
        <v>8</v>
      </c>
      <c r="D1283" s="1" t="s">
        <v>546</v>
      </c>
      <c r="E1283" t="s">
        <v>13559</v>
      </c>
      <c r="F1283" s="1">
        <v>665018</v>
      </c>
      <c r="G1283" s="1">
        <v>22370044937</v>
      </c>
      <c r="H1283" s="1">
        <v>24</v>
      </c>
      <c r="I1283" s="1" t="s">
        <v>938</v>
      </c>
      <c r="J1283" t="s">
        <v>13560</v>
      </c>
    </row>
    <row r="1284" spans="1:10">
      <c r="A1284" s="1">
        <v>69112</v>
      </c>
      <c r="B1284" s="1">
        <v>7080050017</v>
      </c>
      <c r="C1284" s="1">
        <v>8</v>
      </c>
      <c r="D1284" s="1" t="s">
        <v>546</v>
      </c>
      <c r="E1284" t="s">
        <v>13561</v>
      </c>
      <c r="F1284" s="1">
        <v>680520</v>
      </c>
      <c r="G1284" s="1">
        <v>20000080520</v>
      </c>
      <c r="H1284" s="1">
        <v>1</v>
      </c>
      <c r="I1284" s="1" t="s">
        <v>1973</v>
      </c>
      <c r="J1284" t="s">
        <v>13562</v>
      </c>
    </row>
    <row r="1285" spans="1:10" ht="15.75">
      <c r="A1285" s="1">
        <v>445130</v>
      </c>
      <c r="B1285" s="1">
        <v>7080050019</v>
      </c>
      <c r="C1285" s="1">
        <v>8</v>
      </c>
      <c r="D1285" s="1" t="s">
        <v>546</v>
      </c>
      <c r="E1285" t="s">
        <v>13563</v>
      </c>
      <c r="F1285" s="4" t="s">
        <v>13564</v>
      </c>
      <c r="G1285" s="2"/>
      <c r="H1285" s="2"/>
      <c r="I1285" s="2"/>
      <c r="J1285" s="3"/>
    </row>
    <row r="1286" spans="1:10">
      <c r="A1286" s="1">
        <v>197160</v>
      </c>
      <c r="B1286" s="1">
        <v>7080050020</v>
      </c>
      <c r="C1286" s="1">
        <v>8</v>
      </c>
      <c r="D1286" s="1" t="s">
        <v>546</v>
      </c>
      <c r="E1286" t="s">
        <v>13565</v>
      </c>
      <c r="F1286" s="2" t="s">
        <v>0</v>
      </c>
      <c r="G1286" s="2" t="s">
        <v>1</v>
      </c>
      <c r="H1286" s="2" t="s">
        <v>2</v>
      </c>
      <c r="I1286" s="2" t="s">
        <v>3</v>
      </c>
      <c r="J1286" s="3" t="s">
        <v>4</v>
      </c>
    </row>
    <row r="1287" spans="1:10">
      <c r="A1287" s="1">
        <v>26799</v>
      </c>
      <c r="B1287" s="1">
        <v>7389005346</v>
      </c>
      <c r="C1287" s="1">
        <v>24</v>
      </c>
      <c r="D1287" s="1" t="s">
        <v>397</v>
      </c>
      <c r="E1287" t="s">
        <v>13566</v>
      </c>
      <c r="F1287" s="1">
        <v>684662</v>
      </c>
      <c r="G1287" s="1">
        <v>7274510276</v>
      </c>
      <c r="H1287" s="1">
        <v>16</v>
      </c>
      <c r="I1287" s="1" t="s">
        <v>1973</v>
      </c>
      <c r="J1287" t="s">
        <v>13567</v>
      </c>
    </row>
    <row r="1288" spans="1:10">
      <c r="A1288" s="1">
        <v>866848</v>
      </c>
      <c r="B1288" s="1">
        <v>5190046676</v>
      </c>
      <c r="C1288" s="1">
        <v>8</v>
      </c>
      <c r="D1288" s="1" t="s">
        <v>399</v>
      </c>
      <c r="E1288" t="s">
        <v>13568</v>
      </c>
      <c r="F1288" s="1">
        <v>684621</v>
      </c>
      <c r="G1288" s="1">
        <v>7274510278</v>
      </c>
      <c r="H1288" s="1">
        <v>12</v>
      </c>
      <c r="I1288" s="1" t="s">
        <v>381</v>
      </c>
      <c r="J1288" t="s">
        <v>13569</v>
      </c>
    </row>
    <row r="1289" spans="1:10">
      <c r="A1289" s="1">
        <v>380089</v>
      </c>
      <c r="B1289" s="1">
        <v>5190046675</v>
      </c>
      <c r="C1289" s="1">
        <v>8</v>
      </c>
      <c r="D1289" s="1" t="s">
        <v>399</v>
      </c>
      <c r="E1289" t="s">
        <v>13570</v>
      </c>
      <c r="F1289" s="1">
        <v>682799</v>
      </c>
      <c r="G1289" s="1">
        <v>7274510295</v>
      </c>
      <c r="H1289" s="1">
        <v>12</v>
      </c>
      <c r="I1289" s="1" t="s">
        <v>1973</v>
      </c>
      <c r="J1289" t="s">
        <v>13571</v>
      </c>
    </row>
    <row r="1290" spans="1:10">
      <c r="A1290" s="1">
        <v>670448</v>
      </c>
      <c r="B1290" s="1">
        <v>5190046674</v>
      </c>
      <c r="C1290" s="1">
        <v>8</v>
      </c>
      <c r="D1290" s="1" t="s">
        <v>404</v>
      </c>
      <c r="E1290" t="s">
        <v>13572</v>
      </c>
      <c r="F1290" s="1">
        <v>684639</v>
      </c>
      <c r="G1290" s="1">
        <v>7274510277</v>
      </c>
      <c r="H1290" s="1">
        <v>16</v>
      </c>
      <c r="I1290" s="1" t="s">
        <v>381</v>
      </c>
      <c r="J1290" t="s">
        <v>13573</v>
      </c>
    </row>
    <row r="1291" spans="1:10">
      <c r="A1291" s="1">
        <v>670117</v>
      </c>
      <c r="B1291" s="1">
        <v>5190046677</v>
      </c>
      <c r="C1291" s="1">
        <v>8</v>
      </c>
      <c r="D1291" s="1" t="s">
        <v>399</v>
      </c>
      <c r="E1291" t="s">
        <v>13574</v>
      </c>
      <c r="F1291" s="1">
        <v>437566</v>
      </c>
      <c r="G1291" s="1">
        <v>7274510183</v>
      </c>
      <c r="H1291" s="1">
        <v>8</v>
      </c>
      <c r="I1291" s="1" t="s">
        <v>860</v>
      </c>
      <c r="J1291" t="s">
        <v>13575</v>
      </c>
    </row>
    <row r="1292" spans="1:10">
      <c r="A1292" s="1">
        <v>679522</v>
      </c>
      <c r="B1292" s="1">
        <v>4120801060</v>
      </c>
      <c r="C1292" s="1">
        <v>12</v>
      </c>
      <c r="D1292" s="1" t="s">
        <v>404</v>
      </c>
      <c r="E1292" t="s">
        <v>13576</v>
      </c>
      <c r="F1292" s="1">
        <v>661546</v>
      </c>
      <c r="G1292" s="1">
        <v>7274510301</v>
      </c>
      <c r="H1292" s="1">
        <v>8</v>
      </c>
      <c r="I1292" s="1" t="s">
        <v>381</v>
      </c>
      <c r="J1292" t="s">
        <v>13577</v>
      </c>
    </row>
    <row r="1293" spans="1:10">
      <c r="A1293" s="1">
        <v>661884</v>
      </c>
      <c r="B1293" s="1">
        <v>28674560052</v>
      </c>
      <c r="C1293" s="1">
        <v>1</v>
      </c>
      <c r="D1293" s="1" t="s">
        <v>11749</v>
      </c>
      <c r="E1293" t="s">
        <v>13578</v>
      </c>
      <c r="F1293" s="1">
        <v>581991</v>
      </c>
      <c r="G1293" s="1">
        <v>7274510146</v>
      </c>
      <c r="H1293" s="1">
        <v>8</v>
      </c>
      <c r="I1293" s="1" t="s">
        <v>13579</v>
      </c>
      <c r="J1293" t="s">
        <v>13580</v>
      </c>
    </row>
    <row r="1294" spans="1:10">
      <c r="A1294" s="1">
        <v>661165</v>
      </c>
      <c r="B1294" s="1">
        <v>28674560053</v>
      </c>
      <c r="C1294" s="1">
        <v>1</v>
      </c>
      <c r="D1294" s="1" t="s">
        <v>13581</v>
      </c>
      <c r="E1294" t="s">
        <v>13582</v>
      </c>
      <c r="F1294" s="1">
        <v>679969</v>
      </c>
      <c r="G1294" s="1">
        <v>7274510100</v>
      </c>
      <c r="H1294" s="1">
        <v>6</v>
      </c>
      <c r="I1294" s="1" t="s">
        <v>4815</v>
      </c>
      <c r="J1294" t="s">
        <v>13583</v>
      </c>
    </row>
    <row r="1295" spans="1:10">
      <c r="A1295" s="1">
        <v>615310</v>
      </c>
      <c r="B1295" s="1">
        <v>23700660664</v>
      </c>
      <c r="C1295" s="1">
        <v>12</v>
      </c>
      <c r="D1295" s="1" t="s">
        <v>404</v>
      </c>
      <c r="E1295" t="s">
        <v>13584</v>
      </c>
      <c r="F1295" s="1">
        <v>412833</v>
      </c>
      <c r="G1295" s="1">
        <v>7274510173</v>
      </c>
      <c r="H1295" s="1">
        <v>8</v>
      </c>
      <c r="I1295" s="1" t="s">
        <v>13585</v>
      </c>
      <c r="J1295" t="s">
        <v>13586</v>
      </c>
    </row>
    <row r="1296" spans="1:10">
      <c r="A1296" s="1">
        <v>667709</v>
      </c>
      <c r="B1296" s="1">
        <v>7539300317</v>
      </c>
      <c r="C1296" s="1">
        <v>12</v>
      </c>
      <c r="D1296" s="1" t="s">
        <v>404</v>
      </c>
      <c r="E1296" t="s">
        <v>13587</v>
      </c>
      <c r="F1296" s="1">
        <v>852467</v>
      </c>
      <c r="G1296" s="1">
        <v>7274510173</v>
      </c>
      <c r="H1296" s="1">
        <v>8</v>
      </c>
      <c r="I1296" s="1" t="s">
        <v>13585</v>
      </c>
      <c r="J1296" t="s">
        <v>13586</v>
      </c>
    </row>
    <row r="1297" spans="1:10">
      <c r="A1297" s="1">
        <v>667410</v>
      </c>
      <c r="B1297" s="1">
        <v>7539300312</v>
      </c>
      <c r="C1297" s="1">
        <v>12</v>
      </c>
      <c r="D1297" s="1" t="s">
        <v>404</v>
      </c>
      <c r="E1297" t="s">
        <v>13588</v>
      </c>
      <c r="F1297" s="1">
        <v>568980</v>
      </c>
      <c r="G1297" s="1">
        <v>7274500125</v>
      </c>
      <c r="H1297" s="1">
        <v>12</v>
      </c>
      <c r="I1297" s="1" t="s">
        <v>347</v>
      </c>
      <c r="J1297" t="s">
        <v>13589</v>
      </c>
    </row>
    <row r="1298" spans="1:10">
      <c r="A1298" s="1">
        <v>666214</v>
      </c>
      <c r="B1298" s="1">
        <v>7539300318</v>
      </c>
      <c r="C1298" s="1">
        <v>12</v>
      </c>
      <c r="D1298" s="1" t="s">
        <v>404</v>
      </c>
      <c r="E1298" t="s">
        <v>13590</v>
      </c>
      <c r="F1298" s="1">
        <v>747576</v>
      </c>
      <c r="G1298" s="1">
        <v>7274510183</v>
      </c>
      <c r="H1298" s="1">
        <v>8</v>
      </c>
      <c r="I1298" s="1" t="s">
        <v>451</v>
      </c>
      <c r="J1298" t="s">
        <v>13591</v>
      </c>
    </row>
    <row r="1299" spans="1:10">
      <c r="A1299" s="1">
        <v>667287</v>
      </c>
      <c r="B1299" s="1">
        <v>7539300321</v>
      </c>
      <c r="C1299" s="1">
        <v>12</v>
      </c>
      <c r="D1299" s="1" t="s">
        <v>404</v>
      </c>
      <c r="E1299" t="s">
        <v>13592</v>
      </c>
      <c r="F1299" s="1">
        <v>772699</v>
      </c>
      <c r="G1299" s="1">
        <v>7232255007</v>
      </c>
      <c r="H1299" s="1">
        <v>12</v>
      </c>
      <c r="I1299" s="1" t="s">
        <v>1973</v>
      </c>
      <c r="J1299" t="s">
        <v>13593</v>
      </c>
    </row>
    <row r="1300" spans="1:10">
      <c r="A1300" s="1">
        <v>696328</v>
      </c>
      <c r="B1300" s="1">
        <v>78533110910</v>
      </c>
      <c r="C1300" s="1">
        <v>12</v>
      </c>
      <c r="D1300" s="1" t="s">
        <v>1973</v>
      </c>
      <c r="E1300" t="s">
        <v>13594</v>
      </c>
      <c r="F1300" s="1">
        <v>246694</v>
      </c>
      <c r="G1300" s="1">
        <v>7232254604</v>
      </c>
      <c r="H1300" s="1">
        <v>8</v>
      </c>
      <c r="I1300" s="1" t="s">
        <v>13595</v>
      </c>
      <c r="J1300" t="s">
        <v>13596</v>
      </c>
    </row>
    <row r="1301" spans="1:10">
      <c r="A1301" s="1">
        <v>697201</v>
      </c>
      <c r="B1301" s="1">
        <v>78533110911</v>
      </c>
      <c r="C1301" s="1">
        <v>12</v>
      </c>
      <c r="D1301" s="1" t="s">
        <v>1973</v>
      </c>
      <c r="E1301" t="s">
        <v>13597</v>
      </c>
      <c r="F1301" s="1">
        <v>246710</v>
      </c>
      <c r="G1301" s="1">
        <v>7232254028</v>
      </c>
      <c r="H1301" s="1">
        <v>8</v>
      </c>
      <c r="I1301" s="1" t="s">
        <v>1973</v>
      </c>
      <c r="J1301" t="s">
        <v>13598</v>
      </c>
    </row>
    <row r="1302" spans="1:10">
      <c r="A1302" s="1">
        <v>666222</v>
      </c>
      <c r="B1302" s="1">
        <v>7539312254</v>
      </c>
      <c r="C1302" s="1">
        <v>12</v>
      </c>
      <c r="D1302" s="1" t="s">
        <v>860</v>
      </c>
      <c r="E1302" t="s">
        <v>13599</v>
      </c>
      <c r="F1302" s="1">
        <v>669747</v>
      </c>
      <c r="G1302" s="1">
        <v>27232255157</v>
      </c>
      <c r="H1302" s="1">
        <v>1</v>
      </c>
      <c r="I1302" s="1" t="s">
        <v>6804</v>
      </c>
      <c r="J1302" t="s">
        <v>13600</v>
      </c>
    </row>
    <row r="1303" spans="1:10">
      <c r="A1303" s="1">
        <v>674440</v>
      </c>
      <c r="B1303" s="1">
        <v>7539300284</v>
      </c>
      <c r="C1303" s="1">
        <v>12</v>
      </c>
      <c r="D1303" s="1" t="s">
        <v>1973</v>
      </c>
      <c r="E1303" t="s">
        <v>13601</v>
      </c>
      <c r="F1303" s="1">
        <v>247114</v>
      </c>
      <c r="G1303" s="1">
        <v>7232254603</v>
      </c>
      <c r="H1303" s="1">
        <v>8</v>
      </c>
      <c r="I1303" s="1" t="s">
        <v>13595</v>
      </c>
      <c r="J1303" t="s">
        <v>13602</v>
      </c>
    </row>
    <row r="1304" spans="1:10">
      <c r="A1304" s="1">
        <v>348888</v>
      </c>
      <c r="B1304" s="1">
        <v>3560007084</v>
      </c>
      <c r="C1304" s="1">
        <v>8</v>
      </c>
      <c r="D1304" s="1" t="s">
        <v>13603</v>
      </c>
      <c r="E1304" t="s">
        <v>13604</v>
      </c>
      <c r="F1304" s="1">
        <v>669531</v>
      </c>
      <c r="G1304" s="1">
        <v>27232212930</v>
      </c>
      <c r="H1304" s="1">
        <v>1</v>
      </c>
      <c r="I1304" s="1" t="s">
        <v>1973</v>
      </c>
      <c r="J1304" t="s">
        <v>13605</v>
      </c>
    </row>
    <row r="1305" spans="1:10" ht="15.75">
      <c r="A1305" s="4" t="s">
        <v>13541</v>
      </c>
      <c r="B1305" s="2"/>
      <c r="C1305" s="2"/>
      <c r="D1305" s="2"/>
      <c r="E1305" s="3"/>
      <c r="F1305" s="1">
        <v>789644</v>
      </c>
      <c r="G1305" s="1">
        <v>27232240017</v>
      </c>
      <c r="H1305" s="1">
        <v>1</v>
      </c>
      <c r="I1305" s="1" t="s">
        <v>6744</v>
      </c>
      <c r="J1305" t="s">
        <v>13606</v>
      </c>
    </row>
    <row r="1306" spans="1:10">
      <c r="A1306" s="2" t="s">
        <v>0</v>
      </c>
      <c r="B1306" s="2" t="s">
        <v>1</v>
      </c>
      <c r="C1306" s="2" t="s">
        <v>2</v>
      </c>
      <c r="D1306" s="2" t="s">
        <v>3</v>
      </c>
      <c r="E1306" s="3" t="s">
        <v>4</v>
      </c>
      <c r="F1306" s="1">
        <v>441410</v>
      </c>
      <c r="G1306" s="1">
        <v>27232241017</v>
      </c>
      <c r="H1306" s="1">
        <v>1</v>
      </c>
      <c r="I1306" s="1" t="s">
        <v>11997</v>
      </c>
      <c r="J1306" t="s">
        <v>13607</v>
      </c>
    </row>
    <row r="1307" spans="1:10">
      <c r="A1307" s="1">
        <v>653089</v>
      </c>
      <c r="B1307" s="1">
        <v>1540929440</v>
      </c>
      <c r="C1307" s="1">
        <v>1</v>
      </c>
      <c r="D1307" s="1" t="s">
        <v>10607</v>
      </c>
      <c r="E1307" t="s">
        <v>13608</v>
      </c>
      <c r="F1307" s="1">
        <v>668889</v>
      </c>
      <c r="G1307" s="1">
        <v>27232255107</v>
      </c>
      <c r="H1307" s="1">
        <v>1</v>
      </c>
      <c r="I1307" s="1" t="s">
        <v>6751</v>
      </c>
      <c r="J1307" t="s">
        <v>13609</v>
      </c>
    </row>
    <row r="1308" spans="1:10">
      <c r="A1308" s="1">
        <v>444430</v>
      </c>
      <c r="B1308" s="1">
        <v>4113060696</v>
      </c>
      <c r="C1308" s="1">
        <v>24</v>
      </c>
      <c r="D1308" s="1" t="s">
        <v>439</v>
      </c>
      <c r="E1308" t="s">
        <v>13610</v>
      </c>
      <c r="F1308" s="1">
        <v>789636</v>
      </c>
      <c r="G1308" s="1">
        <v>27232255227</v>
      </c>
      <c r="H1308" s="1">
        <v>1</v>
      </c>
      <c r="I1308" s="1" t="s">
        <v>11984</v>
      </c>
      <c r="J1308" t="s">
        <v>13611</v>
      </c>
    </row>
    <row r="1309" spans="1:10">
      <c r="A1309" s="1">
        <v>484709</v>
      </c>
      <c r="B1309" s="1">
        <v>7256453054</v>
      </c>
      <c r="C1309" s="1">
        <v>6</v>
      </c>
      <c r="D1309" s="1" t="s">
        <v>381</v>
      </c>
      <c r="E1309" t="s">
        <v>13612</v>
      </c>
      <c r="F1309" s="1">
        <v>469080</v>
      </c>
      <c r="G1309" s="1">
        <v>27232241017</v>
      </c>
      <c r="H1309" s="1">
        <v>1</v>
      </c>
      <c r="I1309" s="1" t="s">
        <v>12383</v>
      </c>
      <c r="J1309" t="s">
        <v>13613</v>
      </c>
    </row>
    <row r="1310" spans="1:10">
      <c r="A1310" s="1">
        <v>680405</v>
      </c>
      <c r="B1310" s="1">
        <v>27398130509</v>
      </c>
      <c r="C1310" s="1">
        <v>1</v>
      </c>
      <c r="D1310" s="1" t="s">
        <v>1973</v>
      </c>
      <c r="E1310" t="s">
        <v>13614</v>
      </c>
      <c r="F1310" s="1">
        <v>653501</v>
      </c>
      <c r="G1310" s="1">
        <v>7232293507</v>
      </c>
      <c r="H1310" s="1">
        <v>12</v>
      </c>
      <c r="I1310" s="1" t="s">
        <v>347</v>
      </c>
      <c r="J1310" t="s">
        <v>13615</v>
      </c>
    </row>
    <row r="1311" spans="1:10">
      <c r="A1311" s="1">
        <v>680777</v>
      </c>
      <c r="B1311" s="1">
        <v>20000068077</v>
      </c>
      <c r="C1311" s="1">
        <v>1</v>
      </c>
      <c r="D1311" s="1" t="s">
        <v>1973</v>
      </c>
      <c r="E1311" t="s">
        <v>13616</v>
      </c>
      <c r="F1311" s="1">
        <v>667915</v>
      </c>
      <c r="G1311" s="1">
        <v>27232250907</v>
      </c>
      <c r="H1311" s="1">
        <v>1</v>
      </c>
      <c r="I1311" s="1" t="s">
        <v>12329</v>
      </c>
      <c r="J1311" t="s">
        <v>13617</v>
      </c>
    </row>
    <row r="1312" spans="1:10">
      <c r="A1312" s="1">
        <v>700393</v>
      </c>
      <c r="B1312" s="1">
        <v>0</v>
      </c>
      <c r="C1312" s="1">
        <v>6</v>
      </c>
      <c r="D1312" s="1" t="s">
        <v>4658</v>
      </c>
      <c r="E1312" t="s">
        <v>13618</v>
      </c>
    </row>
    <row r="1313" spans="1:10">
      <c r="A1313" s="1">
        <v>276402</v>
      </c>
      <c r="B1313" s="1">
        <v>70815602124</v>
      </c>
      <c r="C1313" s="1">
        <v>15</v>
      </c>
      <c r="D1313" s="1" t="s">
        <v>13543</v>
      </c>
      <c r="E1313" t="s">
        <v>13619</v>
      </c>
    </row>
    <row r="1314" spans="1:10" ht="15.75">
      <c r="A1314" s="4" t="s">
        <v>13620</v>
      </c>
      <c r="B1314" s="2"/>
      <c r="C1314" s="2"/>
      <c r="D1314" s="2"/>
      <c r="E1314" s="3"/>
      <c r="F1314" s="4" t="s">
        <v>13621</v>
      </c>
      <c r="G1314" s="2"/>
      <c r="H1314" s="2"/>
      <c r="I1314" s="2"/>
      <c r="J1314" s="3"/>
    </row>
    <row r="1315" spans="1:10">
      <c r="A1315" s="2" t="s">
        <v>0</v>
      </c>
      <c r="B1315" s="2" t="s">
        <v>1</v>
      </c>
      <c r="C1315" s="2" t="s">
        <v>2</v>
      </c>
      <c r="D1315" s="2" t="s">
        <v>3</v>
      </c>
      <c r="E1315" s="3" t="s">
        <v>4</v>
      </c>
      <c r="F1315" s="2" t="s">
        <v>0</v>
      </c>
      <c r="G1315" s="2" t="s">
        <v>1</v>
      </c>
      <c r="H1315" s="2" t="s">
        <v>2</v>
      </c>
      <c r="I1315" s="2" t="s">
        <v>3</v>
      </c>
      <c r="J1315" s="3" t="s">
        <v>4</v>
      </c>
    </row>
    <row r="1316" spans="1:10">
      <c r="A1316" s="1">
        <v>184200</v>
      </c>
      <c r="B1316" s="1">
        <v>3456207003</v>
      </c>
      <c r="C1316" s="1">
        <v>1</v>
      </c>
      <c r="D1316" s="1" t="s">
        <v>4652</v>
      </c>
      <c r="E1316" t="s">
        <v>13622</v>
      </c>
      <c r="F1316" s="1">
        <v>236380</v>
      </c>
      <c r="G1316" s="1">
        <v>0</v>
      </c>
      <c r="H1316" s="1">
        <v>1</v>
      </c>
      <c r="I1316" s="1" t="s">
        <v>12449</v>
      </c>
      <c r="J1316" t="s">
        <v>13623</v>
      </c>
    </row>
    <row r="1317" spans="1:10">
      <c r="A1317" s="1">
        <v>687442</v>
      </c>
      <c r="B1317" s="1">
        <v>1394100890</v>
      </c>
      <c r="C1317" s="1">
        <v>8</v>
      </c>
      <c r="D1317" s="1" t="s">
        <v>6727</v>
      </c>
      <c r="E1317" t="s">
        <v>13624</v>
      </c>
      <c r="F1317" s="1">
        <v>688499</v>
      </c>
      <c r="G1317" s="1">
        <v>1394100830</v>
      </c>
      <c r="H1317" s="1">
        <v>1</v>
      </c>
      <c r="I1317" s="1" t="s">
        <v>6729</v>
      </c>
      <c r="J1317" t="s">
        <v>13625</v>
      </c>
    </row>
    <row r="1318" spans="1:10">
      <c r="A1318" s="1">
        <v>688481</v>
      </c>
      <c r="B1318" s="1">
        <v>21394107080</v>
      </c>
      <c r="C1318" s="1">
        <v>1</v>
      </c>
      <c r="D1318" s="1" t="s">
        <v>6595</v>
      </c>
      <c r="E1318" t="s">
        <v>13626</v>
      </c>
      <c r="F1318" s="1">
        <v>859769</v>
      </c>
      <c r="G1318" s="1">
        <v>1394100839</v>
      </c>
      <c r="H1318" s="1">
        <v>12</v>
      </c>
      <c r="I1318" s="1" t="s">
        <v>12329</v>
      </c>
      <c r="J1318" t="s">
        <v>13627</v>
      </c>
    </row>
    <row r="1319" spans="1:10">
      <c r="A1319" s="1">
        <v>688432</v>
      </c>
      <c r="B1319" s="1">
        <v>21394107090</v>
      </c>
      <c r="C1319" s="1">
        <v>1</v>
      </c>
      <c r="D1319" s="1" t="s">
        <v>6595</v>
      </c>
      <c r="E1319" t="s">
        <v>13628</v>
      </c>
      <c r="F1319" s="1">
        <v>573030</v>
      </c>
      <c r="G1319" s="1">
        <v>71394100465</v>
      </c>
      <c r="H1319" s="1">
        <v>8</v>
      </c>
      <c r="I1319" s="1" t="s">
        <v>13629</v>
      </c>
      <c r="J1319" t="s">
        <v>13630</v>
      </c>
    </row>
    <row r="1320" spans="1:10">
      <c r="A1320" s="1">
        <v>825042</v>
      </c>
      <c r="B1320" s="1">
        <v>7562065074</v>
      </c>
      <c r="C1320" s="1">
        <v>4</v>
      </c>
      <c r="D1320" s="1" t="s">
        <v>4719</v>
      </c>
      <c r="E1320" t="s">
        <v>13631</v>
      </c>
      <c r="F1320" s="1">
        <v>315655</v>
      </c>
      <c r="G1320" s="1">
        <v>7562061664</v>
      </c>
      <c r="H1320" s="1">
        <v>18</v>
      </c>
      <c r="I1320" s="1" t="s">
        <v>1973</v>
      </c>
      <c r="J1320" t="s">
        <v>13632</v>
      </c>
    </row>
    <row r="1321" spans="1:10">
      <c r="A1321" s="1">
        <v>689620</v>
      </c>
      <c r="B1321" s="1">
        <v>1394108256</v>
      </c>
      <c r="C1321" s="1">
        <v>4</v>
      </c>
      <c r="D1321" s="1" t="s">
        <v>4719</v>
      </c>
      <c r="E1321" t="s">
        <v>13633</v>
      </c>
      <c r="F1321" s="1">
        <v>828756</v>
      </c>
      <c r="G1321" s="1">
        <v>11394100874</v>
      </c>
      <c r="H1321" s="1">
        <v>9</v>
      </c>
      <c r="I1321" s="1" t="s">
        <v>13634</v>
      </c>
      <c r="J1321" t="s">
        <v>13635</v>
      </c>
    </row>
    <row r="1322" spans="1:10">
      <c r="A1322" s="1">
        <v>683763</v>
      </c>
      <c r="B1322" s="1">
        <v>4172357510</v>
      </c>
      <c r="C1322" s="1">
        <v>8</v>
      </c>
      <c r="D1322" s="1" t="s">
        <v>4658</v>
      </c>
      <c r="E1322" t="s">
        <v>13636</v>
      </c>
      <c r="F1322" s="1">
        <v>659565</v>
      </c>
      <c r="G1322" s="1">
        <v>24172332805</v>
      </c>
      <c r="H1322" s="1">
        <v>12</v>
      </c>
      <c r="I1322" s="1" t="s">
        <v>4723</v>
      </c>
      <c r="J1322" t="s">
        <v>13637</v>
      </c>
    </row>
    <row r="1323" spans="1:10">
      <c r="A1323" s="1">
        <v>683771</v>
      </c>
      <c r="B1323" s="1">
        <v>4172398701</v>
      </c>
      <c r="C1323" s="1">
        <v>4</v>
      </c>
      <c r="D1323" s="1" t="s">
        <v>4719</v>
      </c>
      <c r="E1323" t="s">
        <v>13638</v>
      </c>
      <c r="F1323" s="1">
        <v>423301</v>
      </c>
      <c r="G1323" s="1">
        <v>4172380601</v>
      </c>
      <c r="H1323" s="1">
        <v>10</v>
      </c>
      <c r="I1323" s="1" t="s">
        <v>860</v>
      </c>
      <c r="J1323" t="s">
        <v>13639</v>
      </c>
    </row>
    <row r="1324" spans="1:10">
      <c r="A1324" s="1">
        <v>15669</v>
      </c>
      <c r="B1324" s="1">
        <v>4172394676</v>
      </c>
      <c r="C1324" s="1">
        <v>1</v>
      </c>
      <c r="D1324" s="1" t="s">
        <v>6595</v>
      </c>
      <c r="E1324" t="s">
        <v>13640</v>
      </c>
      <c r="F1324" s="1">
        <v>569301</v>
      </c>
      <c r="G1324" s="1">
        <v>4172383001</v>
      </c>
      <c r="H1324" s="1">
        <v>9</v>
      </c>
      <c r="I1324" s="1" t="s">
        <v>13641</v>
      </c>
      <c r="J1324" t="s">
        <v>13642</v>
      </c>
    </row>
    <row r="1325" spans="1:10">
      <c r="A1325" s="1">
        <v>662494</v>
      </c>
      <c r="B1325" s="1">
        <v>20000000588</v>
      </c>
      <c r="C1325" s="1">
        <v>1</v>
      </c>
      <c r="D1325" s="1" t="s">
        <v>12374</v>
      </c>
      <c r="E1325" t="s">
        <v>13643</v>
      </c>
      <c r="F1325" s="1">
        <v>745323</v>
      </c>
      <c r="G1325" s="1">
        <v>4172382900</v>
      </c>
      <c r="H1325" s="1">
        <v>1</v>
      </c>
      <c r="I1325" s="1" t="s">
        <v>6729</v>
      </c>
      <c r="J1325" t="s">
        <v>13644</v>
      </c>
    </row>
    <row r="1326" spans="1:10">
      <c r="A1326" s="1">
        <v>682625</v>
      </c>
      <c r="B1326" s="1">
        <v>27274510807</v>
      </c>
      <c r="C1326" s="1">
        <v>1</v>
      </c>
      <c r="D1326" s="1" t="s">
        <v>6727</v>
      </c>
      <c r="E1326" t="s">
        <v>13645</v>
      </c>
      <c r="F1326" s="1">
        <v>130070</v>
      </c>
      <c r="G1326" s="1">
        <v>14172394616</v>
      </c>
      <c r="H1326" s="1">
        <v>9</v>
      </c>
      <c r="I1326" s="1" t="s">
        <v>4815</v>
      </c>
      <c r="J1326" t="s">
        <v>13646</v>
      </c>
    </row>
    <row r="1327" spans="1:10">
      <c r="A1327" s="1">
        <v>682633</v>
      </c>
      <c r="B1327" s="1">
        <v>27274510810</v>
      </c>
      <c r="C1327" s="1">
        <v>1</v>
      </c>
      <c r="D1327" s="1" t="s">
        <v>6727</v>
      </c>
      <c r="E1327" t="s">
        <v>13647</v>
      </c>
      <c r="F1327" s="1">
        <v>432419</v>
      </c>
      <c r="G1327" s="1">
        <v>24172381101</v>
      </c>
      <c r="H1327" s="1">
        <v>1</v>
      </c>
      <c r="I1327" s="1" t="s">
        <v>6786</v>
      </c>
      <c r="J1327" t="s">
        <v>13648</v>
      </c>
    </row>
    <row r="1328" spans="1:10">
      <c r="A1328" s="1">
        <v>682054</v>
      </c>
      <c r="B1328" s="1">
        <v>7496054249</v>
      </c>
      <c r="C1328" s="1">
        <v>1</v>
      </c>
      <c r="D1328" s="1" t="s">
        <v>11997</v>
      </c>
      <c r="E1328" t="s">
        <v>13649</v>
      </c>
      <c r="F1328" s="1">
        <v>739409</v>
      </c>
      <c r="G1328" s="1">
        <v>4172366401</v>
      </c>
      <c r="H1328" s="1">
        <v>18</v>
      </c>
      <c r="I1328" s="1" t="s">
        <v>1973</v>
      </c>
      <c r="J1328" t="s">
        <v>13650</v>
      </c>
    </row>
    <row r="1329" spans="1:10">
      <c r="A1329" s="1">
        <v>682922</v>
      </c>
      <c r="B1329" s="1">
        <v>21309754517</v>
      </c>
      <c r="C1329" s="1">
        <v>1</v>
      </c>
      <c r="D1329" s="1" t="s">
        <v>12101</v>
      </c>
      <c r="E1329" t="s">
        <v>13651</v>
      </c>
      <c r="F1329" s="1">
        <v>747758</v>
      </c>
      <c r="G1329" s="1">
        <v>24172337813</v>
      </c>
      <c r="H1329" s="1">
        <v>1</v>
      </c>
      <c r="I1329" s="1" t="s">
        <v>6774</v>
      </c>
      <c r="J1329" t="s">
        <v>13652</v>
      </c>
    </row>
    <row r="1330" spans="1:10">
      <c r="A1330" s="1">
        <v>375808</v>
      </c>
      <c r="B1330" s="1">
        <v>7562061805</v>
      </c>
      <c r="C1330" s="1">
        <v>12</v>
      </c>
      <c r="D1330" s="1" t="s">
        <v>13653</v>
      </c>
      <c r="E1330" t="s">
        <v>13654</v>
      </c>
      <c r="F1330" s="1">
        <v>100925</v>
      </c>
      <c r="G1330" s="1">
        <v>4172361714</v>
      </c>
      <c r="H1330" s="1">
        <v>1</v>
      </c>
      <c r="I1330" s="1" t="s">
        <v>6737</v>
      </c>
      <c r="J1330" t="s">
        <v>13655</v>
      </c>
    </row>
    <row r="1331" spans="1:10" ht="15.75">
      <c r="A1331" s="4" t="s">
        <v>13621</v>
      </c>
      <c r="B1331" s="2"/>
      <c r="C1331" s="2"/>
      <c r="D1331" s="2"/>
      <c r="E1331" s="3"/>
      <c r="F1331" s="1">
        <v>754283</v>
      </c>
      <c r="G1331" s="1">
        <v>4172380841</v>
      </c>
      <c r="H1331" s="1">
        <v>1</v>
      </c>
      <c r="I1331" s="1" t="s">
        <v>13656</v>
      </c>
      <c r="J1331" t="s">
        <v>13657</v>
      </c>
    </row>
    <row r="1332" spans="1:10">
      <c r="A1332" s="2" t="s">
        <v>0</v>
      </c>
      <c r="B1332" s="2" t="s">
        <v>1</v>
      </c>
      <c r="C1332" s="2" t="s">
        <v>2</v>
      </c>
      <c r="D1332" s="2" t="s">
        <v>3</v>
      </c>
      <c r="E1332" s="3" t="s">
        <v>4</v>
      </c>
      <c r="F1332" s="1">
        <v>764308</v>
      </c>
      <c r="G1332" s="1">
        <v>24172382946</v>
      </c>
      <c r="H1332" s="1">
        <v>1</v>
      </c>
      <c r="I1332" s="1" t="s">
        <v>12338</v>
      </c>
      <c r="J1332" t="s">
        <v>13658</v>
      </c>
    </row>
    <row r="1333" spans="1:10">
      <c r="A1333" s="1">
        <v>291385</v>
      </c>
      <c r="B1333" s="1">
        <v>3456207000</v>
      </c>
      <c r="C1333" s="1">
        <v>10</v>
      </c>
      <c r="D1333" s="1" t="s">
        <v>13659</v>
      </c>
      <c r="E1333" t="s">
        <v>13660</v>
      </c>
      <c r="F1333" s="1">
        <v>248195</v>
      </c>
      <c r="G1333" s="1">
        <v>24172382871</v>
      </c>
      <c r="H1333" s="1">
        <v>1</v>
      </c>
      <c r="I1333" s="1" t="s">
        <v>12224</v>
      </c>
      <c r="J1333" t="s">
        <v>13661</v>
      </c>
    </row>
    <row r="1334" spans="1:10">
      <c r="A1334" s="1">
        <v>687251</v>
      </c>
      <c r="B1334" s="1">
        <v>1394100829</v>
      </c>
      <c r="C1334" s="1">
        <v>24</v>
      </c>
      <c r="D1334" s="1" t="s">
        <v>12388</v>
      </c>
      <c r="E1334" t="s">
        <v>13662</v>
      </c>
      <c r="F1334" s="1">
        <v>221697</v>
      </c>
      <c r="G1334" s="1">
        <v>24172386501</v>
      </c>
      <c r="H1334" s="1">
        <v>1</v>
      </c>
      <c r="I1334" s="1" t="s">
        <v>6772</v>
      </c>
      <c r="J1334" t="s">
        <v>13663</v>
      </c>
    </row>
    <row r="1335" spans="1:10">
      <c r="A1335" s="1">
        <v>688648</v>
      </c>
      <c r="B1335" s="1">
        <v>1394100722</v>
      </c>
      <c r="C1335" s="1">
        <v>12</v>
      </c>
      <c r="D1335" s="1" t="s">
        <v>12394</v>
      </c>
      <c r="E1335" t="s">
        <v>13664</v>
      </c>
      <c r="F1335" s="1">
        <v>453571</v>
      </c>
      <c r="G1335" s="1">
        <v>24172387701</v>
      </c>
      <c r="H1335" s="1">
        <v>1</v>
      </c>
      <c r="I1335" s="1" t="s">
        <v>13665</v>
      </c>
      <c r="J1335" t="s">
        <v>13666</v>
      </c>
    </row>
    <row r="1336" spans="1:10">
      <c r="A1336" s="1">
        <v>687335</v>
      </c>
      <c r="B1336" s="1">
        <v>1394100811</v>
      </c>
      <c r="C1336" s="1">
        <v>12</v>
      </c>
      <c r="D1336" s="1" t="s">
        <v>12427</v>
      </c>
      <c r="E1336" t="s">
        <v>13667</v>
      </c>
      <c r="F1336" s="1">
        <v>780411</v>
      </c>
      <c r="G1336" s="1">
        <v>24172386601</v>
      </c>
      <c r="H1336" s="1">
        <v>1</v>
      </c>
      <c r="I1336" s="1" t="s">
        <v>11753</v>
      </c>
      <c r="J1336" t="s">
        <v>13668</v>
      </c>
    </row>
    <row r="1337" spans="1:10">
      <c r="A1337" s="1">
        <v>688382</v>
      </c>
      <c r="B1337" s="1">
        <v>1394100808</v>
      </c>
      <c r="C1337" s="1">
        <v>18</v>
      </c>
      <c r="D1337" s="1" t="s">
        <v>6597</v>
      </c>
      <c r="E1337" t="s">
        <v>13669</v>
      </c>
      <c r="F1337" s="1">
        <v>114033</v>
      </c>
      <c r="G1337" s="1">
        <v>24172384901</v>
      </c>
      <c r="H1337" s="1">
        <v>1</v>
      </c>
      <c r="I1337" s="1" t="s">
        <v>6737</v>
      </c>
      <c r="J1337" t="s">
        <v>13670</v>
      </c>
    </row>
    <row r="1338" spans="1:10">
      <c r="A1338" s="1">
        <v>688267</v>
      </c>
      <c r="B1338" s="1">
        <v>1394100812</v>
      </c>
      <c r="C1338" s="1">
        <v>20</v>
      </c>
      <c r="D1338" s="1" t="s">
        <v>6597</v>
      </c>
      <c r="E1338" t="s">
        <v>13671</v>
      </c>
      <c r="F1338" s="1">
        <v>143883</v>
      </c>
      <c r="G1338" s="1">
        <v>24172385914</v>
      </c>
      <c r="H1338" s="1">
        <v>1</v>
      </c>
      <c r="I1338" s="1" t="s">
        <v>12342</v>
      </c>
      <c r="J1338" t="s">
        <v>13672</v>
      </c>
    </row>
    <row r="1339" spans="1:10">
      <c r="A1339" s="1">
        <v>688572</v>
      </c>
      <c r="B1339" s="1">
        <v>1394100872</v>
      </c>
      <c r="C1339" s="1">
        <v>11</v>
      </c>
      <c r="D1339" s="1" t="s">
        <v>12423</v>
      </c>
      <c r="E1339" t="s">
        <v>13673</v>
      </c>
      <c r="F1339" s="1">
        <v>577965</v>
      </c>
      <c r="G1339" s="1">
        <v>24172387314</v>
      </c>
      <c r="H1339" s="1">
        <v>1</v>
      </c>
      <c r="I1339" s="1" t="s">
        <v>12342</v>
      </c>
      <c r="J1339" t="s">
        <v>13674</v>
      </c>
    </row>
    <row r="1340" spans="1:10">
      <c r="A1340" s="1">
        <v>689745</v>
      </c>
      <c r="B1340" s="1">
        <v>1394100871</v>
      </c>
      <c r="C1340" s="1">
        <v>8</v>
      </c>
      <c r="D1340" s="1" t="s">
        <v>12516</v>
      </c>
      <c r="E1340" t="s">
        <v>13675</v>
      </c>
      <c r="F1340" s="1">
        <v>772962</v>
      </c>
      <c r="G1340" s="1">
        <v>24172380401</v>
      </c>
      <c r="H1340" s="1">
        <v>1</v>
      </c>
      <c r="I1340" s="1" t="s">
        <v>11999</v>
      </c>
      <c r="J1340" t="s">
        <v>13676</v>
      </c>
    </row>
    <row r="1341" spans="1:10">
      <c r="A1341" s="1">
        <v>689729</v>
      </c>
      <c r="B1341" s="1">
        <v>1394100873</v>
      </c>
      <c r="C1341" s="1">
        <v>11</v>
      </c>
      <c r="D1341" s="1" t="s">
        <v>6727</v>
      </c>
      <c r="E1341" t="s">
        <v>13677</v>
      </c>
      <c r="F1341" s="1">
        <v>194316</v>
      </c>
      <c r="G1341" s="1">
        <v>4172384301</v>
      </c>
      <c r="H1341" s="1">
        <v>1</v>
      </c>
      <c r="I1341" s="1" t="s">
        <v>12427</v>
      </c>
      <c r="J1341" t="s">
        <v>13678</v>
      </c>
    </row>
    <row r="1342" spans="1:10">
      <c r="A1342" s="1">
        <v>689679</v>
      </c>
      <c r="B1342" s="1">
        <v>1394100874</v>
      </c>
      <c r="C1342" s="1">
        <v>8</v>
      </c>
      <c r="D1342" s="1" t="s">
        <v>6810</v>
      </c>
      <c r="E1342" t="s">
        <v>13679</v>
      </c>
      <c r="F1342" s="1">
        <v>786111</v>
      </c>
      <c r="G1342" s="1">
        <v>4172382501</v>
      </c>
      <c r="H1342" s="1">
        <v>1</v>
      </c>
      <c r="I1342" s="1" t="s">
        <v>13680</v>
      </c>
      <c r="J1342" t="s">
        <v>13681</v>
      </c>
    </row>
    <row r="1343" spans="1:10">
      <c r="A1343" s="1">
        <v>689596</v>
      </c>
      <c r="B1343" s="1">
        <v>1394100813</v>
      </c>
      <c r="C1343" s="1">
        <v>18</v>
      </c>
      <c r="D1343" s="1" t="s">
        <v>6772</v>
      </c>
      <c r="E1343" t="s">
        <v>13682</v>
      </c>
      <c r="F1343" s="1">
        <v>231548</v>
      </c>
      <c r="G1343" s="1">
        <v>4172381501</v>
      </c>
      <c r="H1343" s="1">
        <v>1</v>
      </c>
      <c r="I1343" s="1" t="s">
        <v>13683</v>
      </c>
      <c r="J1343" t="s">
        <v>13684</v>
      </c>
    </row>
    <row r="1344" spans="1:10">
      <c r="A1344" s="1">
        <v>689422</v>
      </c>
      <c r="B1344" s="1">
        <v>1394100809</v>
      </c>
      <c r="C1344" s="1">
        <v>18</v>
      </c>
      <c r="D1344" s="1" t="s">
        <v>11735</v>
      </c>
      <c r="E1344" t="s">
        <v>13685</v>
      </c>
      <c r="F1344" s="1">
        <v>674218</v>
      </c>
      <c r="G1344" s="1">
        <v>4172383713</v>
      </c>
      <c r="H1344" s="1">
        <v>1</v>
      </c>
      <c r="I1344" s="1" t="s">
        <v>12449</v>
      </c>
      <c r="J1344" t="s">
        <v>13686</v>
      </c>
    </row>
    <row r="1345" spans="1:10">
      <c r="A1345" s="1">
        <v>689521</v>
      </c>
      <c r="B1345" s="1">
        <v>1394100805</v>
      </c>
      <c r="C1345" s="1">
        <v>1</v>
      </c>
      <c r="D1345" s="1" t="s">
        <v>13687</v>
      </c>
      <c r="E1345" t="s">
        <v>13688</v>
      </c>
      <c r="F1345" s="1">
        <v>701482</v>
      </c>
      <c r="G1345" s="1">
        <v>4172381701</v>
      </c>
      <c r="H1345" s="1">
        <v>1</v>
      </c>
      <c r="I1345" s="1" t="s">
        <v>12329</v>
      </c>
      <c r="J1345" t="s">
        <v>13689</v>
      </c>
    </row>
    <row r="1346" spans="1:10">
      <c r="A1346" s="1">
        <v>689273</v>
      </c>
      <c r="B1346" s="1">
        <v>1394100744</v>
      </c>
      <c r="C1346" s="1">
        <v>12</v>
      </c>
      <c r="D1346" s="1" t="s">
        <v>6751</v>
      </c>
      <c r="E1346" t="s">
        <v>13690</v>
      </c>
      <c r="F1346" s="1">
        <v>186213</v>
      </c>
      <c r="G1346" s="1">
        <v>4172366903</v>
      </c>
      <c r="H1346" s="1">
        <v>1</v>
      </c>
      <c r="I1346" s="1" t="s">
        <v>6737</v>
      </c>
      <c r="J1346" t="s">
        <v>13691</v>
      </c>
    </row>
    <row r="1347" spans="1:10">
      <c r="A1347" s="1">
        <v>689307</v>
      </c>
      <c r="B1347" s="1">
        <v>1394100810</v>
      </c>
      <c r="C1347" s="1">
        <v>18</v>
      </c>
      <c r="D1347" s="1" t="s">
        <v>6737</v>
      </c>
      <c r="E1347" t="s">
        <v>13692</v>
      </c>
      <c r="F1347" s="1">
        <v>540526</v>
      </c>
      <c r="G1347" s="1">
        <v>4172374441</v>
      </c>
      <c r="H1347" s="1">
        <v>1</v>
      </c>
      <c r="I1347" s="1" t="s">
        <v>11984</v>
      </c>
      <c r="J1347" t="s">
        <v>13693</v>
      </c>
    </row>
    <row r="1348" spans="1:10">
      <c r="A1348" s="1">
        <v>236364</v>
      </c>
      <c r="B1348" s="1">
        <v>0</v>
      </c>
      <c r="C1348" s="1">
        <v>1</v>
      </c>
      <c r="D1348" s="1" t="s">
        <v>6729</v>
      </c>
      <c r="E1348" t="s">
        <v>13694</v>
      </c>
      <c r="F1348" s="1">
        <v>476523</v>
      </c>
      <c r="G1348" s="1">
        <v>4172387203</v>
      </c>
      <c r="H1348" s="1">
        <v>1</v>
      </c>
      <c r="I1348" s="1" t="s">
        <v>12335</v>
      </c>
      <c r="J1348" t="s">
        <v>13695</v>
      </c>
    </row>
    <row r="1349" spans="1:10">
      <c r="A1349" s="1">
        <v>785683</v>
      </c>
      <c r="B1349" s="1">
        <v>0</v>
      </c>
      <c r="C1349" s="1">
        <v>1</v>
      </c>
      <c r="D1349" s="1" t="s">
        <v>6595</v>
      </c>
      <c r="E1349" t="s">
        <v>13696</v>
      </c>
      <c r="F1349" s="1">
        <v>532853</v>
      </c>
      <c r="G1349" s="1">
        <v>4172387101</v>
      </c>
      <c r="H1349" s="1">
        <v>1</v>
      </c>
      <c r="I1349" s="1" t="s">
        <v>12449</v>
      </c>
      <c r="J1349" t="s">
        <v>13697</v>
      </c>
    </row>
    <row r="1350" spans="1:10">
      <c r="A1350" s="1">
        <v>760579</v>
      </c>
      <c r="B1350" s="1">
        <v>24172394616</v>
      </c>
      <c r="C1350" s="1">
        <v>9</v>
      </c>
      <c r="D1350" s="1" t="s">
        <v>4815</v>
      </c>
      <c r="E1350" t="s">
        <v>13698</v>
      </c>
      <c r="F1350" s="1">
        <v>346833</v>
      </c>
      <c r="G1350" s="1">
        <v>4172387303</v>
      </c>
      <c r="H1350" s="1">
        <v>1</v>
      </c>
      <c r="I1350" s="1" t="s">
        <v>10607</v>
      </c>
      <c r="J1350" t="s">
        <v>13699</v>
      </c>
    </row>
    <row r="1351" spans="1:10">
      <c r="A1351" s="1">
        <v>560094</v>
      </c>
      <c r="B1351" s="1">
        <v>1394100805</v>
      </c>
      <c r="C1351" s="1">
        <v>12</v>
      </c>
      <c r="D1351" s="1" t="s">
        <v>13700</v>
      </c>
      <c r="E1351" t="s">
        <v>13701</v>
      </c>
      <c r="F1351" s="1">
        <v>455113</v>
      </c>
      <c r="G1351" s="1">
        <v>4172387403</v>
      </c>
      <c r="H1351" s="1">
        <v>1</v>
      </c>
      <c r="I1351" s="1" t="s">
        <v>12423</v>
      </c>
      <c r="J1351" t="s">
        <v>13702</v>
      </c>
    </row>
    <row r="1352" spans="1:10">
      <c r="A1352" s="1">
        <v>551101</v>
      </c>
      <c r="B1352" s="1">
        <v>7274580874</v>
      </c>
      <c r="C1352" s="1">
        <v>9</v>
      </c>
      <c r="D1352" s="1" t="s">
        <v>13703</v>
      </c>
      <c r="E1352" t="s">
        <v>13704</v>
      </c>
      <c r="F1352" s="1">
        <v>662924</v>
      </c>
      <c r="G1352" s="1">
        <v>4172398701</v>
      </c>
      <c r="H1352" s="1">
        <v>4</v>
      </c>
      <c r="I1352" s="1" t="s">
        <v>4719</v>
      </c>
      <c r="J1352" t="s">
        <v>13705</v>
      </c>
    </row>
    <row r="1353" spans="1:10">
      <c r="A1353" s="1">
        <v>555383</v>
      </c>
      <c r="B1353" s="1">
        <v>5161106222</v>
      </c>
      <c r="C1353" s="1">
        <v>12</v>
      </c>
      <c r="D1353" s="1" t="s">
        <v>1654</v>
      </c>
      <c r="E1353" t="s">
        <v>13706</v>
      </c>
      <c r="F1353" s="1">
        <v>505834</v>
      </c>
      <c r="G1353" s="1">
        <v>4172380941</v>
      </c>
      <c r="H1353" s="1">
        <v>12</v>
      </c>
      <c r="I1353" s="1" t="s">
        <v>12683</v>
      </c>
      <c r="J1353" t="s">
        <v>13707</v>
      </c>
    </row>
    <row r="1354" spans="1:10">
      <c r="A1354" s="1">
        <v>785691</v>
      </c>
      <c r="B1354" s="1">
        <v>0</v>
      </c>
      <c r="C1354" s="1">
        <v>1</v>
      </c>
      <c r="D1354" s="1" t="s">
        <v>12342</v>
      </c>
      <c r="E1354" t="s">
        <v>13708</v>
      </c>
      <c r="F1354" s="1">
        <v>784009</v>
      </c>
      <c r="G1354" s="1">
        <v>4172381041</v>
      </c>
      <c r="H1354" s="1">
        <v>12</v>
      </c>
      <c r="I1354" s="1" t="s">
        <v>860</v>
      </c>
      <c r="J1354" t="s">
        <v>13709</v>
      </c>
    </row>
    <row r="1355" spans="1:10" ht="15.75">
      <c r="A1355" s="4" t="s">
        <v>13621</v>
      </c>
      <c r="B1355" s="2"/>
      <c r="C1355" s="2"/>
      <c r="D1355" s="2"/>
      <c r="E1355" s="3"/>
      <c r="F1355" s="4" t="s">
        <v>13621</v>
      </c>
      <c r="G1355" s="2"/>
      <c r="H1355" s="2"/>
      <c r="I1355" s="2"/>
      <c r="J1355" s="3"/>
    </row>
    <row r="1356" spans="1:10">
      <c r="A1356" s="2" t="s">
        <v>0</v>
      </c>
      <c r="B1356" s="2" t="s">
        <v>1</v>
      </c>
      <c r="C1356" s="2" t="s">
        <v>2</v>
      </c>
      <c r="D1356" s="2" t="s">
        <v>3</v>
      </c>
      <c r="E1356" s="3" t="s">
        <v>4</v>
      </c>
      <c r="F1356" s="2" t="s">
        <v>0</v>
      </c>
      <c r="G1356" s="2" t="s">
        <v>1</v>
      </c>
      <c r="H1356" s="2" t="s">
        <v>2</v>
      </c>
      <c r="I1356" s="2" t="s">
        <v>3</v>
      </c>
      <c r="J1356" s="3" t="s">
        <v>4</v>
      </c>
    </row>
    <row r="1357" spans="1:10">
      <c r="A1357" s="1">
        <v>271304</v>
      </c>
      <c r="B1357" s="1">
        <v>7274554829</v>
      </c>
      <c r="C1357" s="1">
        <v>8</v>
      </c>
      <c r="D1357" s="1" t="s">
        <v>13710</v>
      </c>
      <c r="E1357" t="s">
        <v>13711</v>
      </c>
      <c r="F1357" s="1">
        <v>758342</v>
      </c>
      <c r="G1357" s="1">
        <v>7274500647</v>
      </c>
      <c r="H1357" s="1">
        <v>9</v>
      </c>
      <c r="I1357" s="1" t="s">
        <v>4658</v>
      </c>
      <c r="J1357" t="s">
        <v>13712</v>
      </c>
    </row>
    <row r="1358" spans="1:10">
      <c r="A1358" s="1">
        <v>97121</v>
      </c>
      <c r="B1358" s="1">
        <v>7274554865</v>
      </c>
      <c r="C1358" s="1">
        <v>8</v>
      </c>
      <c r="D1358" s="1" t="s">
        <v>13629</v>
      </c>
      <c r="E1358" t="s">
        <v>13713</v>
      </c>
      <c r="F1358" s="1">
        <v>687277</v>
      </c>
      <c r="G1358" s="1">
        <v>7274500872</v>
      </c>
      <c r="H1358" s="1">
        <v>12</v>
      </c>
      <c r="I1358" s="1" t="s">
        <v>8579</v>
      </c>
      <c r="J1358" t="s">
        <v>13714</v>
      </c>
    </row>
    <row r="1359" spans="1:10">
      <c r="A1359" s="1">
        <v>833301</v>
      </c>
      <c r="B1359" s="1">
        <v>7274554808</v>
      </c>
      <c r="C1359" s="1">
        <v>8</v>
      </c>
      <c r="D1359" s="1" t="s">
        <v>13715</v>
      </c>
      <c r="E1359" t="s">
        <v>13716</v>
      </c>
      <c r="F1359" s="1">
        <v>110346</v>
      </c>
      <c r="G1359" s="1">
        <v>7274500647</v>
      </c>
      <c r="H1359" s="1">
        <v>9</v>
      </c>
      <c r="I1359" s="1" t="s">
        <v>4658</v>
      </c>
      <c r="J1359" t="s">
        <v>13717</v>
      </c>
    </row>
    <row r="1360" spans="1:10">
      <c r="A1360" s="1">
        <v>390476</v>
      </c>
      <c r="B1360" s="1">
        <v>7274554645</v>
      </c>
      <c r="C1360" s="1">
        <v>8</v>
      </c>
      <c r="D1360" s="1" t="s">
        <v>12561</v>
      </c>
      <c r="E1360" t="s">
        <v>13718</v>
      </c>
      <c r="F1360" s="1">
        <v>687269</v>
      </c>
      <c r="G1360" s="1">
        <v>7274500874</v>
      </c>
      <c r="H1360" s="1">
        <v>1</v>
      </c>
      <c r="I1360" s="1" t="s">
        <v>12053</v>
      </c>
      <c r="J1360" t="s">
        <v>13719</v>
      </c>
    </row>
    <row r="1361" spans="1:10">
      <c r="A1361" s="1">
        <v>390393</v>
      </c>
      <c r="B1361" s="1">
        <v>7274554810</v>
      </c>
      <c r="C1361" s="1">
        <v>8</v>
      </c>
      <c r="D1361" s="1" t="s">
        <v>13720</v>
      </c>
      <c r="E1361" t="s">
        <v>13721</v>
      </c>
      <c r="F1361" s="1">
        <v>694364</v>
      </c>
      <c r="G1361" s="1">
        <v>7274500116</v>
      </c>
      <c r="H1361" s="1">
        <v>12</v>
      </c>
      <c r="I1361" s="1" t="s">
        <v>347</v>
      </c>
      <c r="J1361" t="s">
        <v>13722</v>
      </c>
    </row>
    <row r="1362" spans="1:10">
      <c r="A1362" s="1">
        <v>569780</v>
      </c>
      <c r="B1362" s="1">
        <v>7274554936</v>
      </c>
      <c r="C1362" s="1">
        <v>8</v>
      </c>
      <c r="D1362" s="1" t="s">
        <v>1973</v>
      </c>
      <c r="E1362" t="s">
        <v>13723</v>
      </c>
      <c r="F1362" s="1">
        <v>694356</v>
      </c>
      <c r="G1362" s="1">
        <v>7274520813</v>
      </c>
      <c r="H1362" s="1">
        <v>12</v>
      </c>
      <c r="I1362" s="1" t="s">
        <v>938</v>
      </c>
      <c r="J1362" t="s">
        <v>13724</v>
      </c>
    </row>
    <row r="1363" spans="1:10">
      <c r="A1363" s="1">
        <v>370809</v>
      </c>
      <c r="B1363" s="1">
        <v>7274554805</v>
      </c>
      <c r="C1363" s="1">
        <v>6</v>
      </c>
      <c r="D1363" s="1" t="s">
        <v>12713</v>
      </c>
      <c r="E1363" t="s">
        <v>13725</v>
      </c>
      <c r="F1363" s="1">
        <v>787580</v>
      </c>
      <c r="G1363" s="1">
        <v>7274500858</v>
      </c>
      <c r="H1363" s="1">
        <v>4</v>
      </c>
      <c r="I1363" s="1" t="s">
        <v>11749</v>
      </c>
      <c r="J1363" t="s">
        <v>13726</v>
      </c>
    </row>
    <row r="1364" spans="1:10">
      <c r="A1364" s="1">
        <v>414532</v>
      </c>
      <c r="B1364" s="1">
        <v>21540900000</v>
      </c>
      <c r="C1364" s="1">
        <v>1</v>
      </c>
      <c r="D1364" s="1" t="s">
        <v>1973</v>
      </c>
      <c r="E1364" t="s">
        <v>13727</v>
      </c>
      <c r="F1364" s="1">
        <v>740415</v>
      </c>
      <c r="G1364" s="1">
        <v>7274506864</v>
      </c>
      <c r="H1364" s="1">
        <v>8</v>
      </c>
      <c r="I1364" s="1" t="s">
        <v>439</v>
      </c>
      <c r="J1364" t="s">
        <v>13728</v>
      </c>
    </row>
    <row r="1365" spans="1:10">
      <c r="A1365" s="1">
        <v>390237</v>
      </c>
      <c r="B1365" s="1">
        <v>1540910307</v>
      </c>
      <c r="C1365" s="1">
        <v>1</v>
      </c>
      <c r="D1365" s="1" t="s">
        <v>11997</v>
      </c>
      <c r="E1365" t="s">
        <v>13729</v>
      </c>
      <c r="F1365" s="1">
        <v>222398</v>
      </c>
      <c r="G1365" s="1">
        <v>7274506865</v>
      </c>
      <c r="H1365" s="1">
        <v>8</v>
      </c>
      <c r="I1365" s="1" t="s">
        <v>13603</v>
      </c>
      <c r="J1365" t="s">
        <v>13730</v>
      </c>
    </row>
    <row r="1366" spans="1:10">
      <c r="A1366" s="1">
        <v>438457</v>
      </c>
      <c r="B1366" s="1">
        <v>1540910302</v>
      </c>
      <c r="C1366" s="1">
        <v>16</v>
      </c>
      <c r="D1366" s="1" t="s">
        <v>12226</v>
      </c>
      <c r="E1366" t="s">
        <v>13731</v>
      </c>
      <c r="F1366" s="1">
        <v>352435</v>
      </c>
      <c r="G1366" s="1">
        <v>7274506861</v>
      </c>
      <c r="H1366" s="1">
        <v>8</v>
      </c>
      <c r="I1366" s="1" t="s">
        <v>439</v>
      </c>
      <c r="J1366" t="s">
        <v>13732</v>
      </c>
    </row>
    <row r="1367" spans="1:10">
      <c r="A1367" s="1">
        <v>507160</v>
      </c>
      <c r="B1367" s="1">
        <v>1540914501</v>
      </c>
      <c r="C1367" s="1">
        <v>5</v>
      </c>
      <c r="D1367" s="1" t="s">
        <v>6760</v>
      </c>
      <c r="E1367" t="s">
        <v>13733</v>
      </c>
      <c r="F1367" s="1">
        <v>679662</v>
      </c>
      <c r="G1367" s="1">
        <v>7274500221</v>
      </c>
      <c r="H1367" s="1">
        <v>12</v>
      </c>
      <c r="I1367" s="1" t="s">
        <v>546</v>
      </c>
      <c r="J1367" t="s">
        <v>13734</v>
      </c>
    </row>
    <row r="1368" spans="1:10">
      <c r="A1368" s="1">
        <v>521617</v>
      </c>
      <c r="B1368" s="1">
        <v>1540914050</v>
      </c>
      <c r="C1368" s="1">
        <v>10</v>
      </c>
      <c r="D1368" s="1" t="s">
        <v>13659</v>
      </c>
      <c r="E1368" t="s">
        <v>13735</v>
      </c>
      <c r="F1368" s="1">
        <v>289868</v>
      </c>
      <c r="G1368" s="1">
        <v>7274580509</v>
      </c>
      <c r="H1368" s="1">
        <v>8</v>
      </c>
      <c r="I1368" s="1" t="s">
        <v>375</v>
      </c>
      <c r="J1368" t="s">
        <v>13736</v>
      </c>
    </row>
    <row r="1369" spans="1:10">
      <c r="A1369" s="1">
        <v>289553</v>
      </c>
      <c r="B1369" s="1">
        <v>1540910310</v>
      </c>
      <c r="C1369" s="1">
        <v>1</v>
      </c>
      <c r="D1369" s="1" t="s">
        <v>11997</v>
      </c>
      <c r="E1369" t="s">
        <v>13737</v>
      </c>
      <c r="F1369" s="1">
        <v>896852</v>
      </c>
      <c r="G1369" s="1">
        <v>7274580503</v>
      </c>
      <c r="H1369" s="1">
        <v>8</v>
      </c>
      <c r="I1369" s="1" t="s">
        <v>375</v>
      </c>
      <c r="J1369" t="s">
        <v>13738</v>
      </c>
    </row>
    <row r="1370" spans="1:10">
      <c r="A1370" s="1">
        <v>502195</v>
      </c>
      <c r="B1370" s="1">
        <v>7274500829</v>
      </c>
      <c r="C1370" s="1">
        <v>1</v>
      </c>
      <c r="D1370" s="1" t="s">
        <v>11997</v>
      </c>
      <c r="E1370" t="s">
        <v>13739</v>
      </c>
      <c r="F1370" s="1">
        <v>535138</v>
      </c>
      <c r="G1370" s="1">
        <v>7274580507</v>
      </c>
      <c r="H1370" s="1">
        <v>8</v>
      </c>
      <c r="I1370" s="1" t="s">
        <v>375</v>
      </c>
      <c r="J1370" t="s">
        <v>13740</v>
      </c>
    </row>
    <row r="1371" spans="1:10">
      <c r="A1371" s="1">
        <v>683359</v>
      </c>
      <c r="B1371" s="1">
        <v>7274570936</v>
      </c>
      <c r="C1371" s="1">
        <v>30</v>
      </c>
      <c r="D1371" s="1" t="s">
        <v>1973</v>
      </c>
      <c r="E1371" t="s">
        <v>13741</v>
      </c>
      <c r="F1371" s="1">
        <v>890418</v>
      </c>
      <c r="G1371" s="1">
        <v>7274580505</v>
      </c>
      <c r="H1371" s="1">
        <v>8</v>
      </c>
      <c r="I1371" s="1" t="s">
        <v>375</v>
      </c>
      <c r="J1371" t="s">
        <v>13742</v>
      </c>
    </row>
    <row r="1372" spans="1:10">
      <c r="A1372" s="1">
        <v>875922</v>
      </c>
      <c r="B1372" s="1">
        <v>7274506830</v>
      </c>
      <c r="C1372" s="1">
        <v>8</v>
      </c>
      <c r="D1372" s="1" t="s">
        <v>1654</v>
      </c>
      <c r="E1372" t="s">
        <v>13743</v>
      </c>
      <c r="F1372" s="1">
        <v>174540</v>
      </c>
      <c r="G1372" s="1">
        <v>7274500246</v>
      </c>
      <c r="H1372" s="1">
        <v>12</v>
      </c>
      <c r="I1372" s="1" t="s">
        <v>546</v>
      </c>
      <c r="J1372" t="s">
        <v>13744</v>
      </c>
    </row>
    <row r="1373" spans="1:10">
      <c r="A1373" s="1">
        <v>686790</v>
      </c>
      <c r="B1373" s="1">
        <v>7274500865</v>
      </c>
      <c r="C1373" s="1">
        <v>1</v>
      </c>
      <c r="D1373" s="1" t="s">
        <v>6741</v>
      </c>
      <c r="E1373" t="s">
        <v>13745</v>
      </c>
      <c r="F1373" s="1">
        <v>679555</v>
      </c>
      <c r="G1373" s="1">
        <v>7274500220</v>
      </c>
      <c r="H1373" s="1">
        <v>12</v>
      </c>
      <c r="I1373" s="1" t="s">
        <v>546</v>
      </c>
      <c r="J1373" t="s">
        <v>13746</v>
      </c>
    </row>
    <row r="1374" spans="1:10">
      <c r="A1374" s="1">
        <v>681700</v>
      </c>
      <c r="B1374" s="1">
        <v>7274578808</v>
      </c>
      <c r="C1374" s="1">
        <v>1</v>
      </c>
      <c r="D1374" s="1" t="s">
        <v>12374</v>
      </c>
      <c r="E1374" t="s">
        <v>13747</v>
      </c>
      <c r="F1374" s="1">
        <v>810556</v>
      </c>
      <c r="G1374" s="1">
        <v>7274508645</v>
      </c>
      <c r="H1374" s="1">
        <v>12</v>
      </c>
      <c r="I1374" s="1" t="s">
        <v>13715</v>
      </c>
      <c r="J1374" t="s">
        <v>13748</v>
      </c>
    </row>
    <row r="1375" spans="1:10">
      <c r="A1375" s="1">
        <v>684266</v>
      </c>
      <c r="B1375" s="1">
        <v>7274500110</v>
      </c>
      <c r="C1375" s="1">
        <v>18</v>
      </c>
      <c r="D1375" s="1" t="s">
        <v>347</v>
      </c>
      <c r="E1375" t="s">
        <v>13749</v>
      </c>
      <c r="F1375" s="1">
        <v>213397</v>
      </c>
      <c r="G1375" s="1">
        <v>17274500806</v>
      </c>
      <c r="H1375" s="1">
        <v>12</v>
      </c>
      <c r="I1375" s="1" t="s">
        <v>12458</v>
      </c>
      <c r="J1375" t="s">
        <v>13750</v>
      </c>
    </row>
    <row r="1376" spans="1:10">
      <c r="A1376" s="1">
        <v>310854</v>
      </c>
      <c r="B1376" s="1">
        <v>7274570829</v>
      </c>
      <c r="C1376" s="1">
        <v>1</v>
      </c>
      <c r="D1376" s="1" t="s">
        <v>12224</v>
      </c>
      <c r="E1376" t="s">
        <v>13751</v>
      </c>
      <c r="F1376" s="1">
        <v>680058</v>
      </c>
      <c r="G1376" s="1">
        <v>7274500222</v>
      </c>
      <c r="H1376" s="1">
        <v>12</v>
      </c>
      <c r="I1376" s="1" t="s">
        <v>546</v>
      </c>
      <c r="J1376" t="s">
        <v>13752</v>
      </c>
    </row>
    <row r="1377" spans="1:10">
      <c r="A1377" s="1">
        <v>890913</v>
      </c>
      <c r="B1377" s="1">
        <v>7274507615</v>
      </c>
      <c r="C1377" s="1">
        <v>16</v>
      </c>
      <c r="D1377" s="1" t="s">
        <v>13753</v>
      </c>
      <c r="E1377" t="s">
        <v>13754</v>
      </c>
      <c r="F1377" s="1">
        <v>199067</v>
      </c>
      <c r="G1377" s="1">
        <v>21540900000</v>
      </c>
      <c r="H1377" s="1">
        <v>1</v>
      </c>
      <c r="I1377" s="1" t="s">
        <v>1973</v>
      </c>
      <c r="J1377" t="s">
        <v>13755</v>
      </c>
    </row>
    <row r="1378" spans="1:10">
      <c r="A1378" s="1">
        <v>646026</v>
      </c>
      <c r="B1378" s="1">
        <v>21394150782</v>
      </c>
      <c r="C1378" s="1">
        <v>1</v>
      </c>
      <c r="D1378" s="1" t="s">
        <v>12449</v>
      </c>
      <c r="E1378" t="s">
        <v>13756</v>
      </c>
      <c r="F1378" s="1">
        <v>680124</v>
      </c>
      <c r="G1378" s="1">
        <v>7274570619</v>
      </c>
      <c r="H1378" s="1">
        <v>30</v>
      </c>
      <c r="I1378" s="1" t="s">
        <v>6774</v>
      </c>
      <c r="J1378" t="s">
        <v>13757</v>
      </c>
    </row>
    <row r="1379" spans="1:10">
      <c r="A1379" s="1">
        <v>16121</v>
      </c>
      <c r="B1379" s="1">
        <v>7274570808</v>
      </c>
      <c r="C1379" s="1">
        <v>1</v>
      </c>
      <c r="D1379" s="1" t="s">
        <v>12335</v>
      </c>
      <c r="E1379" t="s">
        <v>13758</v>
      </c>
      <c r="F1379" s="1">
        <v>829317</v>
      </c>
      <c r="G1379" s="1">
        <v>37274507615</v>
      </c>
      <c r="H1379" s="1">
        <v>16</v>
      </c>
      <c r="I1379" s="1" t="s">
        <v>13759</v>
      </c>
      <c r="J1379" t="s">
        <v>13760</v>
      </c>
    </row>
    <row r="1380" spans="1:10">
      <c r="A1380" s="1">
        <v>376822</v>
      </c>
      <c r="B1380" s="1">
        <v>7274570806</v>
      </c>
      <c r="C1380" s="1">
        <v>22</v>
      </c>
      <c r="D1380" s="1" t="s">
        <v>12369</v>
      </c>
      <c r="E1380" t="s">
        <v>13761</v>
      </c>
      <c r="F1380" s="1">
        <v>682286</v>
      </c>
      <c r="G1380" s="1">
        <v>7274570805</v>
      </c>
      <c r="H1380" s="1">
        <v>12</v>
      </c>
      <c r="I1380" s="1" t="s">
        <v>12106</v>
      </c>
      <c r="J1380" t="s">
        <v>13762</v>
      </c>
    </row>
    <row r="1381" spans="1:10">
      <c r="A1381" s="1">
        <v>13714</v>
      </c>
      <c r="B1381" s="1">
        <v>7274570872</v>
      </c>
      <c r="C1381" s="1">
        <v>1</v>
      </c>
      <c r="D1381" s="1" t="s">
        <v>13700</v>
      </c>
      <c r="E1381" t="s">
        <v>13763</v>
      </c>
      <c r="F1381" s="1">
        <v>896860</v>
      </c>
      <c r="G1381" s="1">
        <v>7274500164</v>
      </c>
      <c r="H1381" s="1">
        <v>12</v>
      </c>
      <c r="I1381" s="1" t="s">
        <v>347</v>
      </c>
      <c r="J1381" t="s">
        <v>13764</v>
      </c>
    </row>
    <row r="1382" spans="1:10">
      <c r="A1382" s="1">
        <v>763730</v>
      </c>
      <c r="B1382" s="1">
        <v>7274500874</v>
      </c>
      <c r="C1382" s="1">
        <v>1</v>
      </c>
      <c r="D1382" s="1" t="s">
        <v>12369</v>
      </c>
      <c r="E1382" t="s">
        <v>13765</v>
      </c>
      <c r="F1382" s="1">
        <v>656892</v>
      </c>
      <c r="G1382" s="1">
        <v>7274500830</v>
      </c>
      <c r="H1382" s="1">
        <v>9</v>
      </c>
      <c r="I1382" s="1" t="s">
        <v>13665</v>
      </c>
      <c r="J1382" t="s">
        <v>13766</v>
      </c>
    </row>
    <row r="1383" spans="1:10">
      <c r="A1383" s="1">
        <v>399303</v>
      </c>
      <c r="B1383" s="1">
        <v>87274500782</v>
      </c>
      <c r="C1383" s="1">
        <v>1</v>
      </c>
      <c r="D1383" s="1" t="s">
        <v>12327</v>
      </c>
      <c r="E1383" t="s">
        <v>13767</v>
      </c>
      <c r="F1383" s="1">
        <v>681502</v>
      </c>
      <c r="G1383" s="1">
        <v>7274578810</v>
      </c>
      <c r="H1383" s="1">
        <v>12</v>
      </c>
      <c r="I1383" s="1" t="s">
        <v>6751</v>
      </c>
      <c r="J1383" t="s">
        <v>13768</v>
      </c>
    </row>
    <row r="1384" spans="1:10">
      <c r="A1384" s="1">
        <v>781070</v>
      </c>
      <c r="B1384" s="1">
        <v>7274570805</v>
      </c>
      <c r="C1384" s="1">
        <v>12</v>
      </c>
      <c r="D1384" s="1" t="s">
        <v>4815</v>
      </c>
      <c r="E1384" t="s">
        <v>13769</v>
      </c>
      <c r="F1384" s="1">
        <v>332759</v>
      </c>
      <c r="G1384" s="1">
        <v>67043301429</v>
      </c>
      <c r="H1384" s="1">
        <v>12</v>
      </c>
      <c r="I1384" s="1" t="s">
        <v>12394</v>
      </c>
      <c r="J1384" t="s">
        <v>13770</v>
      </c>
    </row>
    <row r="1385" spans="1:10">
      <c r="A1385" s="1">
        <v>576066</v>
      </c>
      <c r="B1385" s="1">
        <v>7274570810</v>
      </c>
      <c r="C1385" s="1">
        <v>1</v>
      </c>
      <c r="D1385" s="1" t="s">
        <v>12427</v>
      </c>
      <c r="E1385" t="s">
        <v>13771</v>
      </c>
      <c r="F1385" s="1">
        <v>572198</v>
      </c>
      <c r="G1385" s="1">
        <v>67043301465</v>
      </c>
      <c r="H1385" s="1">
        <v>6</v>
      </c>
      <c r="I1385" s="1" t="s">
        <v>13772</v>
      </c>
      <c r="J1385" t="s">
        <v>13773</v>
      </c>
    </row>
    <row r="1386" spans="1:10">
      <c r="A1386" s="1">
        <v>661348</v>
      </c>
      <c r="B1386" s="1">
        <v>27274507615</v>
      </c>
      <c r="C1386" s="1">
        <v>16</v>
      </c>
      <c r="D1386" s="1" t="s">
        <v>13759</v>
      </c>
      <c r="E1386" t="s">
        <v>13774</v>
      </c>
      <c r="F1386" s="1">
        <v>413385</v>
      </c>
      <c r="G1386" s="1">
        <v>67043301408</v>
      </c>
      <c r="H1386" s="1">
        <v>6</v>
      </c>
      <c r="I1386" s="1" t="s">
        <v>13775</v>
      </c>
      <c r="J1386" t="s">
        <v>13776</v>
      </c>
    </row>
    <row r="1387" spans="1:10">
      <c r="A1387" s="1">
        <v>380360</v>
      </c>
      <c r="B1387" s="1">
        <v>7274500077</v>
      </c>
      <c r="C1387" s="1">
        <v>12</v>
      </c>
      <c r="D1387" s="1" t="s">
        <v>347</v>
      </c>
      <c r="E1387" t="s">
        <v>13777</v>
      </c>
      <c r="F1387" s="1">
        <v>377614</v>
      </c>
      <c r="G1387" s="1">
        <v>67043301410</v>
      </c>
      <c r="H1387" s="1">
        <v>6</v>
      </c>
      <c r="I1387" s="1" t="s">
        <v>13778</v>
      </c>
      <c r="J1387" t="s">
        <v>13779</v>
      </c>
    </row>
    <row r="1388" spans="1:10">
      <c r="A1388" s="1">
        <v>273953</v>
      </c>
      <c r="B1388" s="1">
        <v>7274500075</v>
      </c>
      <c r="C1388" s="1">
        <v>12</v>
      </c>
      <c r="D1388" s="1" t="s">
        <v>347</v>
      </c>
      <c r="E1388" t="s">
        <v>13780</v>
      </c>
      <c r="F1388" s="1">
        <v>830166</v>
      </c>
      <c r="G1388" s="1">
        <v>4172340725</v>
      </c>
      <c r="H1388" s="1">
        <v>9</v>
      </c>
      <c r="I1388" s="1" t="s">
        <v>4658</v>
      </c>
      <c r="J1388" t="s">
        <v>13781</v>
      </c>
    </row>
    <row r="1389" spans="1:10">
      <c r="A1389" s="1">
        <v>852707</v>
      </c>
      <c r="B1389" s="1">
        <v>7274500078</v>
      </c>
      <c r="C1389" s="1">
        <v>12</v>
      </c>
      <c r="D1389" s="1" t="s">
        <v>347</v>
      </c>
      <c r="E1389" t="s">
        <v>13782</v>
      </c>
      <c r="F1389" s="1">
        <v>84947</v>
      </c>
      <c r="G1389" s="1">
        <v>1394150429</v>
      </c>
      <c r="H1389" s="1">
        <v>8</v>
      </c>
      <c r="I1389" s="1" t="s">
        <v>13603</v>
      </c>
      <c r="J1389" t="s">
        <v>13783</v>
      </c>
    </row>
    <row r="1390" spans="1:10">
      <c r="A1390" s="1">
        <v>681155</v>
      </c>
      <c r="B1390" s="1">
        <v>7274506369</v>
      </c>
      <c r="C1390" s="1">
        <v>12</v>
      </c>
      <c r="D1390" s="1" t="s">
        <v>381</v>
      </c>
      <c r="E1390" t="s">
        <v>13784</v>
      </c>
      <c r="F1390" s="1">
        <v>214866</v>
      </c>
      <c r="G1390" s="1">
        <v>1394150465</v>
      </c>
      <c r="H1390" s="1">
        <v>8</v>
      </c>
      <c r="I1390" s="1" t="s">
        <v>13785</v>
      </c>
      <c r="J1390" t="s">
        <v>13786</v>
      </c>
    </row>
    <row r="1391" spans="1:10">
      <c r="A1391" s="1">
        <v>683722</v>
      </c>
      <c r="B1391" s="1">
        <v>7274570806</v>
      </c>
      <c r="C1391" s="1">
        <v>22</v>
      </c>
      <c r="D1391" s="1" t="s">
        <v>12369</v>
      </c>
      <c r="E1391" t="s">
        <v>13787</v>
      </c>
      <c r="F1391" s="1">
        <v>183715</v>
      </c>
      <c r="G1391" s="1">
        <v>1394150408</v>
      </c>
      <c r="H1391" s="1">
        <v>8</v>
      </c>
      <c r="I1391" s="1" t="s">
        <v>13788</v>
      </c>
      <c r="J1391" t="s">
        <v>13789</v>
      </c>
    </row>
    <row r="1392" spans="1:10">
      <c r="A1392" s="1">
        <v>591420</v>
      </c>
      <c r="B1392" s="1">
        <v>7274520812</v>
      </c>
      <c r="C1392" s="1">
        <v>12</v>
      </c>
      <c r="D1392" s="1" t="s">
        <v>938</v>
      </c>
      <c r="E1392" t="s">
        <v>13790</v>
      </c>
      <c r="F1392" s="1">
        <v>60939</v>
      </c>
      <c r="G1392" s="1">
        <v>1153550234</v>
      </c>
      <c r="H1392" s="1">
        <v>8</v>
      </c>
      <c r="I1392" s="1" t="s">
        <v>12477</v>
      </c>
      <c r="J1392" t="s">
        <v>13791</v>
      </c>
    </row>
    <row r="1393" spans="1:10">
      <c r="A1393" s="1">
        <v>655191</v>
      </c>
      <c r="B1393" s="1">
        <v>7274500165</v>
      </c>
      <c r="C1393" s="1">
        <v>12</v>
      </c>
      <c r="D1393" s="1" t="s">
        <v>347</v>
      </c>
      <c r="E1393" t="s">
        <v>13792</v>
      </c>
      <c r="F1393" s="1">
        <v>663104</v>
      </c>
      <c r="G1393" s="1">
        <v>1153550241</v>
      </c>
      <c r="H1393" s="1">
        <v>8</v>
      </c>
      <c r="I1393" s="1" t="s">
        <v>13793</v>
      </c>
      <c r="J1393" t="s">
        <v>13794</v>
      </c>
    </row>
    <row r="1394" spans="1:10">
      <c r="A1394" s="1">
        <v>684530</v>
      </c>
      <c r="B1394" s="1">
        <v>7274500224</v>
      </c>
      <c r="C1394" s="1">
        <v>12</v>
      </c>
      <c r="D1394" s="1" t="s">
        <v>546</v>
      </c>
      <c r="E1394" t="s">
        <v>13795</v>
      </c>
      <c r="F1394" s="1">
        <v>838920</v>
      </c>
      <c r="G1394" s="1">
        <v>1153550238</v>
      </c>
      <c r="H1394" s="1">
        <v>8</v>
      </c>
      <c r="I1394" s="1" t="s">
        <v>13796</v>
      </c>
      <c r="J1394" t="s">
        <v>13797</v>
      </c>
    </row>
    <row r="1395" spans="1:10">
      <c r="A1395" s="1">
        <v>737932</v>
      </c>
      <c r="B1395" s="1">
        <v>7274500647</v>
      </c>
      <c r="C1395" s="1">
        <v>9</v>
      </c>
      <c r="D1395" s="1" t="s">
        <v>4658</v>
      </c>
      <c r="E1395" t="s">
        <v>13798</v>
      </c>
    </row>
    <row r="1396" spans="1:10" ht="15.75">
      <c r="A1396" s="4" t="s">
        <v>13799</v>
      </c>
      <c r="B1396" s="2"/>
      <c r="C1396" s="2"/>
      <c r="D1396" s="2"/>
      <c r="E1396" s="3"/>
      <c r="F1396" s="4" t="s">
        <v>13800</v>
      </c>
      <c r="G1396" s="2"/>
      <c r="H1396" s="2"/>
      <c r="I1396" s="2"/>
      <c r="J1396" s="3"/>
    </row>
    <row r="1397" spans="1:10">
      <c r="A1397" s="2" t="s">
        <v>0</v>
      </c>
      <c r="B1397" s="2" t="s">
        <v>1</v>
      </c>
      <c r="C1397" s="2" t="s">
        <v>2</v>
      </c>
      <c r="D1397" s="2" t="s">
        <v>3</v>
      </c>
      <c r="E1397" s="3" t="s">
        <v>4</v>
      </c>
      <c r="F1397" s="2" t="s">
        <v>0</v>
      </c>
      <c r="G1397" s="2" t="s">
        <v>1</v>
      </c>
      <c r="H1397" s="2" t="s">
        <v>2</v>
      </c>
      <c r="I1397" s="2" t="s">
        <v>3</v>
      </c>
      <c r="J1397" s="3" t="s">
        <v>4</v>
      </c>
    </row>
    <row r="1398" spans="1:10">
      <c r="A1398" s="1">
        <v>666826</v>
      </c>
      <c r="B1398" s="1">
        <v>7575600200</v>
      </c>
      <c r="C1398" s="1">
        <v>24</v>
      </c>
      <c r="D1398" s="1" t="s">
        <v>33</v>
      </c>
      <c r="E1398" t="s">
        <v>13801</v>
      </c>
      <c r="F1398" s="1">
        <v>652099</v>
      </c>
      <c r="G1398" s="1">
        <v>2540000012</v>
      </c>
      <c r="H1398" s="1">
        <v>12</v>
      </c>
      <c r="I1398" s="1" t="s">
        <v>360</v>
      </c>
      <c r="J1398" t="s">
        <v>13802</v>
      </c>
    </row>
    <row r="1399" spans="1:10">
      <c r="A1399" s="1">
        <v>674077</v>
      </c>
      <c r="B1399" s="1">
        <v>7575600202</v>
      </c>
      <c r="C1399" s="1">
        <v>24</v>
      </c>
      <c r="D1399" s="1" t="s">
        <v>33</v>
      </c>
      <c r="E1399" t="s">
        <v>13803</v>
      </c>
      <c r="F1399" s="1">
        <v>694885</v>
      </c>
      <c r="G1399" s="1">
        <v>2540000016</v>
      </c>
      <c r="H1399" s="1">
        <v>12</v>
      </c>
      <c r="I1399" s="1" t="s">
        <v>360</v>
      </c>
      <c r="J1399" t="s">
        <v>13804</v>
      </c>
    </row>
    <row r="1400" spans="1:10">
      <c r="A1400" s="1">
        <v>62406</v>
      </c>
      <c r="B1400" s="1">
        <v>89788400070</v>
      </c>
      <c r="C1400" s="1">
        <v>10</v>
      </c>
      <c r="D1400" s="1" t="s">
        <v>13805</v>
      </c>
      <c r="E1400" t="s">
        <v>13806</v>
      </c>
      <c r="F1400" s="1">
        <v>694901</v>
      </c>
      <c r="G1400" s="1">
        <v>2540000014</v>
      </c>
      <c r="H1400" s="1">
        <v>12</v>
      </c>
      <c r="I1400" s="1" t="s">
        <v>360</v>
      </c>
      <c r="J1400" t="s">
        <v>13807</v>
      </c>
    </row>
    <row r="1401" spans="1:10">
      <c r="A1401" s="1">
        <v>456434</v>
      </c>
      <c r="B1401" s="1">
        <v>89788400003</v>
      </c>
      <c r="C1401" s="1">
        <v>14</v>
      </c>
      <c r="D1401" s="1" t="s">
        <v>13808</v>
      </c>
      <c r="E1401" t="s">
        <v>13809</v>
      </c>
      <c r="F1401" s="1">
        <v>440107</v>
      </c>
      <c r="G1401" s="1">
        <v>3841972020</v>
      </c>
      <c r="H1401" s="1">
        <v>12</v>
      </c>
      <c r="I1401" s="1" t="s">
        <v>1973</v>
      </c>
      <c r="J1401" t="s">
        <v>13810</v>
      </c>
    </row>
    <row r="1402" spans="1:10">
      <c r="A1402" s="1">
        <v>440073</v>
      </c>
      <c r="B1402" s="1">
        <v>7575600212</v>
      </c>
      <c r="C1402" s="1">
        <v>24</v>
      </c>
      <c r="D1402" s="1" t="s">
        <v>203</v>
      </c>
      <c r="E1402" t="s">
        <v>13811</v>
      </c>
      <c r="F1402" s="1">
        <v>516906</v>
      </c>
      <c r="G1402" s="1">
        <v>3841905012</v>
      </c>
      <c r="H1402" s="1">
        <v>3</v>
      </c>
      <c r="I1402" s="1" t="s">
        <v>4719</v>
      </c>
      <c r="J1402" t="s">
        <v>13812</v>
      </c>
    </row>
    <row r="1403" spans="1:10">
      <c r="A1403" s="1">
        <v>573493</v>
      </c>
      <c r="B1403" s="1">
        <v>7575600209</v>
      </c>
      <c r="C1403" s="1">
        <v>24</v>
      </c>
      <c r="D1403" s="1" t="s">
        <v>203</v>
      </c>
      <c r="E1403" t="s">
        <v>13813</v>
      </c>
      <c r="F1403" s="1">
        <v>443127</v>
      </c>
      <c r="G1403" s="1">
        <v>3841912347</v>
      </c>
      <c r="H1403" s="1">
        <v>3</v>
      </c>
      <c r="I1403" s="1" t="s">
        <v>4719</v>
      </c>
      <c r="J1403" t="s">
        <v>13814</v>
      </c>
    </row>
    <row r="1404" spans="1:10">
      <c r="A1404" s="1">
        <v>666818</v>
      </c>
      <c r="B1404" s="1">
        <v>7575600201</v>
      </c>
      <c r="C1404" s="1">
        <v>24</v>
      </c>
      <c r="D1404" s="1" t="s">
        <v>33</v>
      </c>
      <c r="E1404" t="s">
        <v>13815</v>
      </c>
      <c r="F1404" s="1">
        <v>750034</v>
      </c>
      <c r="G1404" s="1">
        <v>3841912350</v>
      </c>
      <c r="H1404" s="1">
        <v>3</v>
      </c>
      <c r="I1404" s="1" t="s">
        <v>4719</v>
      </c>
      <c r="J1404" t="s">
        <v>13816</v>
      </c>
    </row>
    <row r="1405" spans="1:10">
      <c r="A1405" s="1">
        <v>677823</v>
      </c>
      <c r="B1405" s="1">
        <v>7575600203</v>
      </c>
      <c r="C1405" s="1">
        <v>24</v>
      </c>
      <c r="D1405" s="1" t="s">
        <v>33</v>
      </c>
      <c r="E1405" t="s">
        <v>13817</v>
      </c>
      <c r="F1405" s="1">
        <v>660811</v>
      </c>
      <c r="G1405" s="1">
        <v>23841921016</v>
      </c>
      <c r="H1405" s="1">
        <v>2</v>
      </c>
      <c r="I1405" s="1" t="s">
        <v>11749</v>
      </c>
      <c r="J1405" t="s">
        <v>13818</v>
      </c>
    </row>
    <row r="1406" spans="1:10">
      <c r="A1406" s="1">
        <v>674523</v>
      </c>
      <c r="B1406" s="1">
        <v>7575600204</v>
      </c>
      <c r="C1406" s="1">
        <v>24</v>
      </c>
      <c r="D1406" s="1" t="s">
        <v>33</v>
      </c>
      <c r="E1406" t="s">
        <v>13819</v>
      </c>
      <c r="F1406" s="1">
        <v>398800</v>
      </c>
      <c r="G1406" s="1">
        <v>3841972010</v>
      </c>
      <c r="H1406" s="1">
        <v>6</v>
      </c>
      <c r="I1406" s="1" t="s">
        <v>4723</v>
      </c>
      <c r="J1406" t="s">
        <v>13820</v>
      </c>
    </row>
    <row r="1407" spans="1:10">
      <c r="A1407" s="1">
        <v>636738</v>
      </c>
      <c r="B1407" s="1">
        <v>7575600210</v>
      </c>
      <c r="C1407" s="1">
        <v>24</v>
      </c>
      <c r="D1407" s="1" t="s">
        <v>5238</v>
      </c>
      <c r="E1407" t="s">
        <v>13821</v>
      </c>
      <c r="F1407" s="1">
        <v>160960</v>
      </c>
      <c r="G1407" s="1">
        <v>3841972012</v>
      </c>
      <c r="H1407" s="1">
        <v>12</v>
      </c>
      <c r="I1407" s="1" t="s">
        <v>1973</v>
      </c>
      <c r="J1407" t="s">
        <v>13822</v>
      </c>
    </row>
    <row r="1408" spans="1:10">
      <c r="A1408" s="1">
        <v>629915</v>
      </c>
      <c r="B1408" s="1">
        <v>85987001002</v>
      </c>
      <c r="C1408" s="1">
        <v>12</v>
      </c>
      <c r="D1408" s="1" t="s">
        <v>399</v>
      </c>
      <c r="E1408" t="s">
        <v>13823</v>
      </c>
      <c r="F1408" s="1">
        <v>48413</v>
      </c>
      <c r="G1408" s="1">
        <v>3841972004</v>
      </c>
      <c r="H1408" s="1">
        <v>6</v>
      </c>
      <c r="I1408" s="1" t="s">
        <v>4723</v>
      </c>
      <c r="J1408" t="s">
        <v>13822</v>
      </c>
    </row>
    <row r="1409" spans="1:10">
      <c r="A1409" s="1">
        <v>699124</v>
      </c>
      <c r="B1409" s="1">
        <v>7005780172</v>
      </c>
      <c r="C1409" s="1">
        <v>12</v>
      </c>
      <c r="D1409" s="1" t="s">
        <v>399</v>
      </c>
      <c r="E1409" t="s">
        <v>13824</v>
      </c>
      <c r="F1409" s="1">
        <v>299248</v>
      </c>
      <c r="G1409" s="1">
        <v>3841972017</v>
      </c>
      <c r="H1409" s="1">
        <v>12</v>
      </c>
      <c r="I1409" s="1" t="s">
        <v>1973</v>
      </c>
      <c r="J1409" t="s">
        <v>13825</v>
      </c>
    </row>
    <row r="1410" spans="1:10">
      <c r="A1410" s="1">
        <v>670331</v>
      </c>
      <c r="B1410" s="1">
        <v>7539301240</v>
      </c>
      <c r="C1410" s="1">
        <v>12</v>
      </c>
      <c r="D1410" s="1" t="s">
        <v>1654</v>
      </c>
      <c r="E1410" t="s">
        <v>13826</v>
      </c>
      <c r="F1410" s="1">
        <v>451443</v>
      </c>
      <c r="G1410" s="1">
        <v>3841903314</v>
      </c>
      <c r="H1410" s="1">
        <v>3</v>
      </c>
      <c r="I1410" s="1" t="s">
        <v>4719</v>
      </c>
      <c r="J1410" t="s">
        <v>13825</v>
      </c>
    </row>
    <row r="1411" spans="1:10" ht="15.75">
      <c r="A1411" s="4" t="s">
        <v>13827</v>
      </c>
      <c r="B1411" s="2"/>
      <c r="C1411" s="2"/>
      <c r="D1411" s="2"/>
      <c r="E1411" s="3"/>
      <c r="F1411" s="1">
        <v>354910</v>
      </c>
      <c r="G1411" s="1">
        <v>3841909523</v>
      </c>
      <c r="H1411" s="1">
        <v>1</v>
      </c>
      <c r="I1411" s="1" t="s">
        <v>4658</v>
      </c>
      <c r="J1411" t="s">
        <v>13828</v>
      </c>
    </row>
    <row r="1412" spans="1:10">
      <c r="A1412" s="2" t="s">
        <v>0</v>
      </c>
      <c r="B1412" s="2" t="s">
        <v>1</v>
      </c>
      <c r="C1412" s="2" t="s">
        <v>2</v>
      </c>
      <c r="D1412" s="2" t="s">
        <v>3</v>
      </c>
      <c r="E1412" s="3" t="s">
        <v>4</v>
      </c>
      <c r="F1412" s="1">
        <v>747543</v>
      </c>
      <c r="G1412" s="1">
        <v>3841972009</v>
      </c>
      <c r="H1412" s="1">
        <v>6</v>
      </c>
      <c r="I1412" s="1" t="s">
        <v>4723</v>
      </c>
      <c r="J1412" t="s">
        <v>13829</v>
      </c>
    </row>
    <row r="1413" spans="1:10">
      <c r="A1413" s="1">
        <v>690412</v>
      </c>
      <c r="B1413" s="1">
        <v>4470009223</v>
      </c>
      <c r="C1413" s="1">
        <v>12</v>
      </c>
      <c r="D1413" s="1" t="s">
        <v>439</v>
      </c>
      <c r="E1413" t="s">
        <v>13830</v>
      </c>
      <c r="F1413" s="1">
        <v>525915</v>
      </c>
      <c r="G1413" s="1">
        <v>3841901686</v>
      </c>
      <c r="H1413" s="1">
        <v>1</v>
      </c>
      <c r="I1413" s="1" t="s">
        <v>4719</v>
      </c>
      <c r="J1413" t="s">
        <v>13831</v>
      </c>
    </row>
    <row r="1414" spans="1:10">
      <c r="A1414" s="1">
        <v>687293</v>
      </c>
      <c r="B1414" s="1">
        <v>4470009219</v>
      </c>
      <c r="C1414" s="1">
        <v>12</v>
      </c>
      <c r="D1414" s="1" t="s">
        <v>938</v>
      </c>
      <c r="E1414" t="s">
        <v>13832</v>
      </c>
      <c r="F1414" s="1">
        <v>813006</v>
      </c>
      <c r="G1414" s="1">
        <v>3841972018</v>
      </c>
      <c r="H1414" s="1">
        <v>12</v>
      </c>
      <c r="I1414" s="1" t="s">
        <v>1973</v>
      </c>
      <c r="J1414" t="s">
        <v>13833</v>
      </c>
    </row>
    <row r="1415" spans="1:10">
      <c r="A1415" s="1">
        <v>668327</v>
      </c>
      <c r="B1415" s="1">
        <v>4470009216</v>
      </c>
      <c r="C1415" s="1">
        <v>12</v>
      </c>
      <c r="D1415" s="1" t="s">
        <v>938</v>
      </c>
      <c r="E1415" t="s">
        <v>13834</v>
      </c>
      <c r="F1415" s="1">
        <v>665943</v>
      </c>
      <c r="G1415" s="1">
        <v>3841909558</v>
      </c>
      <c r="H1415" s="1">
        <v>1</v>
      </c>
      <c r="I1415" s="1" t="s">
        <v>4658</v>
      </c>
      <c r="J1415" t="s">
        <v>13835</v>
      </c>
    </row>
    <row r="1416" spans="1:10">
      <c r="A1416" s="1">
        <v>690297</v>
      </c>
      <c r="B1416" s="1">
        <v>4470009213</v>
      </c>
      <c r="C1416" s="1">
        <v>12</v>
      </c>
      <c r="D1416" s="1" t="s">
        <v>938</v>
      </c>
      <c r="E1416" t="s">
        <v>13836</v>
      </c>
      <c r="F1416" s="1">
        <v>88732</v>
      </c>
      <c r="G1416" s="1">
        <v>3841951493</v>
      </c>
      <c r="H1416" s="1">
        <v>1</v>
      </c>
      <c r="I1416" s="1" t="s">
        <v>4658</v>
      </c>
      <c r="J1416" t="s">
        <v>13837</v>
      </c>
    </row>
    <row r="1417" spans="1:10">
      <c r="A1417" s="1">
        <v>667451</v>
      </c>
      <c r="B1417" s="1">
        <v>4470009225</v>
      </c>
      <c r="C1417" s="1">
        <v>12</v>
      </c>
      <c r="D1417" s="1" t="s">
        <v>375</v>
      </c>
      <c r="E1417" t="s">
        <v>13838</v>
      </c>
      <c r="F1417" s="1">
        <v>335489</v>
      </c>
      <c r="G1417" s="1">
        <v>3841901603</v>
      </c>
      <c r="H1417" s="1">
        <v>3</v>
      </c>
      <c r="I1417" s="1" t="s">
        <v>4719</v>
      </c>
      <c r="J1417" t="s">
        <v>13839</v>
      </c>
    </row>
    <row r="1418" spans="1:10">
      <c r="A1418" s="1">
        <v>688275</v>
      </c>
      <c r="B1418" s="1">
        <v>4470009205</v>
      </c>
      <c r="C1418" s="1">
        <v>12</v>
      </c>
      <c r="D1418" s="1" t="s">
        <v>375</v>
      </c>
      <c r="E1418" t="s">
        <v>13840</v>
      </c>
      <c r="F1418" s="1">
        <v>150375</v>
      </c>
      <c r="G1418" s="1">
        <v>3841972028</v>
      </c>
      <c r="H1418" s="1">
        <v>6</v>
      </c>
      <c r="I1418" s="1" t="s">
        <v>347</v>
      </c>
      <c r="J1418" t="s">
        <v>13841</v>
      </c>
    </row>
    <row r="1419" spans="1:10">
      <c r="A1419" s="1">
        <v>688283</v>
      </c>
      <c r="B1419" s="1">
        <v>4470009192</v>
      </c>
      <c r="C1419" s="1">
        <v>12</v>
      </c>
      <c r="D1419" s="1" t="s">
        <v>938</v>
      </c>
      <c r="E1419" t="s">
        <v>13842</v>
      </c>
      <c r="F1419" s="1">
        <v>300459</v>
      </c>
      <c r="G1419" s="1">
        <v>3841915021</v>
      </c>
      <c r="H1419" s="1">
        <v>1</v>
      </c>
      <c r="I1419" s="1" t="s">
        <v>4658</v>
      </c>
      <c r="J1419" t="s">
        <v>13843</v>
      </c>
    </row>
    <row r="1420" spans="1:10">
      <c r="A1420" s="1">
        <v>690610</v>
      </c>
      <c r="B1420" s="1">
        <v>4470009235</v>
      </c>
      <c r="C1420" s="1">
        <v>12</v>
      </c>
      <c r="D1420" s="1" t="s">
        <v>489</v>
      </c>
      <c r="E1420" t="s">
        <v>13844</v>
      </c>
      <c r="F1420" s="1">
        <v>653030</v>
      </c>
      <c r="G1420" s="1">
        <v>3841972027</v>
      </c>
      <c r="H1420" s="1">
        <v>6</v>
      </c>
      <c r="I1420" s="1" t="s">
        <v>347</v>
      </c>
      <c r="J1420" t="s">
        <v>13845</v>
      </c>
    </row>
    <row r="1421" spans="1:10">
      <c r="A1421" s="1">
        <v>688358</v>
      </c>
      <c r="B1421" s="1">
        <v>4470009240</v>
      </c>
      <c r="C1421" s="1">
        <v>12</v>
      </c>
      <c r="D1421" s="1" t="s">
        <v>439</v>
      </c>
      <c r="E1421" t="s">
        <v>13846</v>
      </c>
      <c r="F1421" s="1">
        <v>475301</v>
      </c>
      <c r="G1421" s="1">
        <v>3841924151</v>
      </c>
      <c r="H1421" s="1">
        <v>1</v>
      </c>
      <c r="I1421" s="1" t="s">
        <v>4658</v>
      </c>
      <c r="J1421" t="s">
        <v>13847</v>
      </c>
    </row>
    <row r="1422" spans="1:10">
      <c r="A1422" s="1">
        <v>653493</v>
      </c>
      <c r="B1422" s="1">
        <v>4470009187</v>
      </c>
      <c r="C1422" s="1">
        <v>6</v>
      </c>
      <c r="D1422" s="1" t="s">
        <v>3035</v>
      </c>
      <c r="E1422" t="s">
        <v>13846</v>
      </c>
      <c r="F1422" s="1">
        <v>238642</v>
      </c>
      <c r="G1422" s="1">
        <v>3841972013</v>
      </c>
      <c r="H1422" s="1">
        <v>12</v>
      </c>
      <c r="I1422" s="1" t="s">
        <v>1973</v>
      </c>
      <c r="J1422" t="s">
        <v>13848</v>
      </c>
    </row>
    <row r="1423" spans="1:10">
      <c r="A1423" s="1">
        <v>688309</v>
      </c>
      <c r="B1423" s="1">
        <v>4470009215</v>
      </c>
      <c r="C1423" s="1">
        <v>12</v>
      </c>
      <c r="D1423" s="1" t="s">
        <v>375</v>
      </c>
      <c r="E1423" t="s">
        <v>13849</v>
      </c>
      <c r="F1423" s="1">
        <v>208496</v>
      </c>
      <c r="G1423" s="1">
        <v>3841972005</v>
      </c>
      <c r="H1423" s="1">
        <v>6</v>
      </c>
      <c r="I1423" s="1" t="s">
        <v>4723</v>
      </c>
      <c r="J1423" t="s">
        <v>13850</v>
      </c>
    </row>
    <row r="1424" spans="1:10">
      <c r="A1424" s="1">
        <v>688259</v>
      </c>
      <c r="B1424" s="1">
        <v>4470009200</v>
      </c>
      <c r="C1424" s="1">
        <v>12</v>
      </c>
      <c r="D1424" s="1" t="s">
        <v>375</v>
      </c>
      <c r="E1424" t="s">
        <v>13851</v>
      </c>
      <c r="F1424" s="1">
        <v>142224</v>
      </c>
      <c r="G1424" s="1">
        <v>3841911011</v>
      </c>
      <c r="H1424" s="1">
        <v>1</v>
      </c>
      <c r="I1424" s="1" t="s">
        <v>4658</v>
      </c>
      <c r="J1424" t="s">
        <v>13852</v>
      </c>
    </row>
    <row r="1425" spans="1:10">
      <c r="A1425" s="1">
        <v>878157</v>
      </c>
      <c r="B1425" s="1">
        <v>7091907772</v>
      </c>
      <c r="C1425" s="1">
        <v>18</v>
      </c>
      <c r="D1425" s="1" t="s">
        <v>1973</v>
      </c>
      <c r="E1425" t="s">
        <v>13853</v>
      </c>
      <c r="F1425" s="1">
        <v>752220</v>
      </c>
      <c r="G1425" s="1">
        <v>3841961014</v>
      </c>
      <c r="H1425" s="1">
        <v>5</v>
      </c>
      <c r="I1425" s="1" t="s">
        <v>1973</v>
      </c>
      <c r="J1425" t="s">
        <v>13854</v>
      </c>
    </row>
    <row r="1426" spans="1:10">
      <c r="A1426" s="1">
        <v>335539</v>
      </c>
      <c r="B1426" s="1">
        <v>7091907770</v>
      </c>
      <c r="C1426" s="1">
        <v>12</v>
      </c>
      <c r="D1426" s="1" t="s">
        <v>860</v>
      </c>
      <c r="E1426" t="s">
        <v>13855</v>
      </c>
      <c r="F1426" s="1">
        <v>166785</v>
      </c>
      <c r="G1426" s="1">
        <v>3841972025</v>
      </c>
      <c r="H1426" s="1">
        <v>6</v>
      </c>
      <c r="I1426" s="1" t="s">
        <v>347</v>
      </c>
      <c r="J1426" t="s">
        <v>13856</v>
      </c>
    </row>
    <row r="1427" spans="1:10">
      <c r="A1427" s="1">
        <v>680793</v>
      </c>
      <c r="B1427" s="1">
        <v>60410100166</v>
      </c>
      <c r="C1427" s="1">
        <v>12</v>
      </c>
      <c r="D1427" s="1" t="s">
        <v>375</v>
      </c>
      <c r="E1427" t="s">
        <v>13857</v>
      </c>
      <c r="F1427" s="1">
        <v>183707</v>
      </c>
      <c r="G1427" s="1">
        <v>3841972016</v>
      </c>
      <c r="H1427" s="1">
        <v>12</v>
      </c>
      <c r="I1427" s="1" t="s">
        <v>1973</v>
      </c>
      <c r="J1427" t="s">
        <v>13858</v>
      </c>
    </row>
    <row r="1428" spans="1:10">
      <c r="A1428" s="1">
        <v>679837</v>
      </c>
      <c r="B1428" s="1">
        <v>60410100167</v>
      </c>
      <c r="C1428" s="1">
        <v>12</v>
      </c>
      <c r="D1428" s="1" t="s">
        <v>375</v>
      </c>
      <c r="E1428" t="s">
        <v>13859</v>
      </c>
      <c r="F1428" s="1">
        <v>511980</v>
      </c>
      <c r="G1428" s="1">
        <v>3841972008</v>
      </c>
      <c r="H1428" s="1">
        <v>6</v>
      </c>
      <c r="I1428" s="1" t="s">
        <v>4723</v>
      </c>
      <c r="J1428" t="s">
        <v>13858</v>
      </c>
    </row>
    <row r="1429" spans="1:10">
      <c r="A1429" s="1">
        <v>684191</v>
      </c>
      <c r="B1429" s="1">
        <v>60410100168</v>
      </c>
      <c r="C1429" s="1">
        <v>12</v>
      </c>
      <c r="D1429" s="1" t="s">
        <v>375</v>
      </c>
      <c r="E1429" t="s">
        <v>13860</v>
      </c>
      <c r="F1429" s="1">
        <v>465245</v>
      </c>
      <c r="G1429" s="1">
        <v>3841924153</v>
      </c>
      <c r="H1429" s="1">
        <v>1</v>
      </c>
      <c r="I1429" s="1" t="s">
        <v>4658</v>
      </c>
      <c r="J1429" t="s">
        <v>13861</v>
      </c>
    </row>
    <row r="1430" spans="1:10">
      <c r="A1430" s="1">
        <v>675678</v>
      </c>
      <c r="B1430" s="1">
        <v>60410100175</v>
      </c>
      <c r="C1430" s="1">
        <v>12</v>
      </c>
      <c r="D1430" s="1" t="s">
        <v>375</v>
      </c>
      <c r="E1430" t="s">
        <v>13862</v>
      </c>
      <c r="F1430" s="1">
        <v>613828</v>
      </c>
      <c r="G1430" s="1">
        <v>3841972029</v>
      </c>
      <c r="H1430" s="1">
        <v>6</v>
      </c>
      <c r="I1430" s="1" t="s">
        <v>347</v>
      </c>
      <c r="J1430" t="s">
        <v>13863</v>
      </c>
    </row>
    <row r="1431" spans="1:10">
      <c r="A1431" s="1">
        <v>204016</v>
      </c>
      <c r="B1431" s="1">
        <v>60410100170</v>
      </c>
      <c r="C1431" s="1">
        <v>12</v>
      </c>
      <c r="D1431" s="1" t="s">
        <v>439</v>
      </c>
      <c r="E1431" t="s">
        <v>13864</v>
      </c>
      <c r="F1431" s="1">
        <v>457432</v>
      </c>
      <c r="G1431" s="1">
        <v>3841901352</v>
      </c>
      <c r="H1431" s="1">
        <v>3</v>
      </c>
      <c r="I1431" s="1" t="s">
        <v>4719</v>
      </c>
      <c r="J1431" t="s">
        <v>13865</v>
      </c>
    </row>
    <row r="1432" spans="1:10">
      <c r="A1432" s="1">
        <v>320416</v>
      </c>
      <c r="B1432" s="1">
        <v>2300035675</v>
      </c>
      <c r="C1432" s="1">
        <v>12</v>
      </c>
      <c r="D1432" s="1" t="s">
        <v>860</v>
      </c>
      <c r="E1432" t="s">
        <v>13866</v>
      </c>
      <c r="F1432" s="1">
        <v>843193</v>
      </c>
      <c r="G1432" s="1">
        <v>3841972019</v>
      </c>
      <c r="H1432" s="1">
        <v>12</v>
      </c>
      <c r="I1432" s="1" t="s">
        <v>1973</v>
      </c>
      <c r="J1432" t="s">
        <v>13867</v>
      </c>
    </row>
    <row r="1433" spans="1:10">
      <c r="A1433" s="1">
        <v>832246</v>
      </c>
      <c r="B1433" s="1">
        <v>2300035665</v>
      </c>
      <c r="C1433" s="1">
        <v>24</v>
      </c>
      <c r="D1433" s="1" t="s">
        <v>381</v>
      </c>
      <c r="E1433" t="s">
        <v>3920</v>
      </c>
      <c r="F1433" s="1">
        <v>668533</v>
      </c>
      <c r="G1433" s="1">
        <v>3841961088</v>
      </c>
      <c r="H1433" s="1">
        <v>5</v>
      </c>
      <c r="I1433" s="1" t="s">
        <v>1973</v>
      </c>
      <c r="J1433" t="s">
        <v>13868</v>
      </c>
    </row>
    <row r="1434" spans="1:10">
      <c r="F1434" s="1">
        <v>35055</v>
      </c>
      <c r="G1434" s="1">
        <v>3841909328</v>
      </c>
      <c r="H1434" s="1">
        <v>1</v>
      </c>
      <c r="I1434" s="1" t="s">
        <v>4719</v>
      </c>
      <c r="J1434" t="s">
        <v>13869</v>
      </c>
    </row>
    <row r="1435" spans="1:10">
      <c r="F1435" s="1">
        <v>366435</v>
      </c>
      <c r="G1435" s="1">
        <v>3841972006</v>
      </c>
      <c r="H1435" s="1">
        <v>6</v>
      </c>
      <c r="I1435" s="1" t="s">
        <v>4723</v>
      </c>
      <c r="J1435" t="s">
        <v>13870</v>
      </c>
    </row>
    <row r="1436" spans="1:10">
      <c r="F1436" s="1">
        <v>672212</v>
      </c>
      <c r="G1436" s="1">
        <v>3841901654</v>
      </c>
      <c r="H1436" s="1">
        <v>3</v>
      </c>
      <c r="I1436" s="1" t="s">
        <v>4719</v>
      </c>
      <c r="J1436" t="s">
        <v>13871</v>
      </c>
    </row>
    <row r="1437" spans="1:10" ht="15.75">
      <c r="A1437" s="4" t="s">
        <v>13800</v>
      </c>
      <c r="B1437" s="2"/>
      <c r="C1437" s="2"/>
      <c r="D1437" s="2"/>
      <c r="E1437" s="3"/>
      <c r="F1437" s="4" t="s">
        <v>13800</v>
      </c>
      <c r="G1437" s="2"/>
      <c r="H1437" s="2"/>
      <c r="I1437" s="2"/>
      <c r="J1437" s="3"/>
    </row>
    <row r="1438" spans="1:10">
      <c r="A1438" s="2" t="s">
        <v>0</v>
      </c>
      <c r="B1438" s="2" t="s">
        <v>1</v>
      </c>
      <c r="C1438" s="2" t="s">
        <v>2</v>
      </c>
      <c r="D1438" s="2" t="s">
        <v>3</v>
      </c>
      <c r="E1438" s="3" t="s">
        <v>4</v>
      </c>
      <c r="F1438" s="2" t="s">
        <v>0</v>
      </c>
      <c r="G1438" s="2" t="s">
        <v>1</v>
      </c>
      <c r="H1438" s="2" t="s">
        <v>2</v>
      </c>
      <c r="I1438" s="2" t="s">
        <v>3</v>
      </c>
      <c r="J1438" s="3" t="s">
        <v>4</v>
      </c>
    </row>
    <row r="1439" spans="1:10">
      <c r="A1439" s="1">
        <v>347799</v>
      </c>
      <c r="B1439" s="1">
        <v>3841972014</v>
      </c>
      <c r="C1439" s="1">
        <v>12</v>
      </c>
      <c r="D1439" s="1" t="s">
        <v>1973</v>
      </c>
      <c r="E1439" t="s">
        <v>13872</v>
      </c>
      <c r="F1439" s="1">
        <v>192179</v>
      </c>
      <c r="G1439" s="1">
        <v>62171111901</v>
      </c>
      <c r="H1439" s="1">
        <v>1</v>
      </c>
      <c r="I1439" s="1" t="s">
        <v>4658</v>
      </c>
      <c r="J1439" t="s">
        <v>13873</v>
      </c>
    </row>
    <row r="1440" spans="1:10">
      <c r="A1440" s="1">
        <v>883785</v>
      </c>
      <c r="B1440" s="1">
        <v>3841910061</v>
      </c>
      <c r="C1440" s="1">
        <v>2</v>
      </c>
      <c r="D1440" s="1" t="s">
        <v>4658</v>
      </c>
      <c r="E1440" t="s">
        <v>13874</v>
      </c>
      <c r="F1440" s="1">
        <v>673061</v>
      </c>
      <c r="G1440" s="1">
        <v>3621710100</v>
      </c>
      <c r="H1440" s="1">
        <v>1</v>
      </c>
      <c r="I1440" s="1" t="s">
        <v>4658</v>
      </c>
      <c r="J1440" t="s">
        <v>13875</v>
      </c>
    </row>
    <row r="1441" spans="1:10">
      <c r="A1441" s="1">
        <v>74831</v>
      </c>
      <c r="B1441" s="1">
        <v>3841901604</v>
      </c>
      <c r="C1441" s="1">
        <v>1</v>
      </c>
      <c r="D1441" s="1" t="s">
        <v>4719</v>
      </c>
      <c r="E1441" t="s">
        <v>13876</v>
      </c>
      <c r="F1441" s="1">
        <v>337592</v>
      </c>
      <c r="G1441" s="1">
        <v>3621710931</v>
      </c>
      <c r="H1441" s="1">
        <v>1</v>
      </c>
      <c r="I1441" s="1" t="s">
        <v>4658</v>
      </c>
      <c r="J1441" t="s">
        <v>13877</v>
      </c>
    </row>
    <row r="1442" spans="1:10">
      <c r="A1442" s="1">
        <v>746321</v>
      </c>
      <c r="B1442" s="1">
        <v>3841972026</v>
      </c>
      <c r="C1442" s="1">
        <v>6</v>
      </c>
      <c r="D1442" s="1" t="s">
        <v>347</v>
      </c>
      <c r="E1442" t="s">
        <v>13878</v>
      </c>
      <c r="F1442" s="1">
        <v>744029</v>
      </c>
      <c r="G1442" s="1">
        <v>3621710606</v>
      </c>
      <c r="H1442" s="1">
        <v>1</v>
      </c>
      <c r="I1442" s="1" t="s">
        <v>6760</v>
      </c>
      <c r="J1442" t="s">
        <v>13879</v>
      </c>
    </row>
    <row r="1443" spans="1:10">
      <c r="A1443" s="1">
        <v>778217</v>
      </c>
      <c r="B1443" s="1">
        <v>3841905008</v>
      </c>
      <c r="C1443" s="1">
        <v>1</v>
      </c>
      <c r="D1443" s="1" t="s">
        <v>4719</v>
      </c>
      <c r="E1443" t="s">
        <v>13880</v>
      </c>
      <c r="F1443" s="1">
        <v>403428</v>
      </c>
      <c r="G1443" s="1">
        <v>2246100005</v>
      </c>
      <c r="H1443" s="1">
        <v>12</v>
      </c>
      <c r="I1443" s="1" t="s">
        <v>399</v>
      </c>
      <c r="J1443" t="s">
        <v>13881</v>
      </c>
    </row>
    <row r="1444" spans="1:10">
      <c r="A1444" s="1">
        <v>695981</v>
      </c>
      <c r="B1444" s="1">
        <v>3841903010</v>
      </c>
      <c r="C1444" s="1">
        <v>1</v>
      </c>
      <c r="D1444" s="1" t="s">
        <v>4719</v>
      </c>
      <c r="E1444" t="s">
        <v>13882</v>
      </c>
      <c r="F1444" s="1">
        <v>327312</v>
      </c>
      <c r="G1444" s="1">
        <v>7501302001</v>
      </c>
      <c r="H1444" s="1">
        <v>2</v>
      </c>
      <c r="I1444" s="1" t="s">
        <v>4658</v>
      </c>
      <c r="J1444" t="s">
        <v>13883</v>
      </c>
    </row>
    <row r="1445" spans="1:10">
      <c r="A1445" s="1">
        <v>222554</v>
      </c>
      <c r="B1445" s="1">
        <v>3841972024</v>
      </c>
      <c r="C1445" s="1">
        <v>6</v>
      </c>
      <c r="D1445" s="1" t="s">
        <v>347</v>
      </c>
      <c r="E1445" t="s">
        <v>13884</v>
      </c>
      <c r="F1445" s="1">
        <v>351650</v>
      </c>
      <c r="G1445" s="1">
        <v>4427602260</v>
      </c>
      <c r="H1445" s="1">
        <v>6</v>
      </c>
      <c r="I1445" s="1" t="s">
        <v>439</v>
      </c>
      <c r="J1445" t="s">
        <v>13885</v>
      </c>
    </row>
    <row r="1446" spans="1:10">
      <c r="A1446" s="1">
        <v>653311</v>
      </c>
      <c r="B1446" s="1">
        <v>3841924155</v>
      </c>
      <c r="C1446" s="1">
        <v>1</v>
      </c>
      <c r="D1446" s="1" t="s">
        <v>4658</v>
      </c>
      <c r="E1446" t="s">
        <v>13886</v>
      </c>
      <c r="F1446" s="1">
        <v>487314</v>
      </c>
      <c r="G1446" s="1">
        <v>4427601777</v>
      </c>
      <c r="H1446" s="1">
        <v>6</v>
      </c>
      <c r="I1446" s="1" t="s">
        <v>703</v>
      </c>
      <c r="J1446" t="s">
        <v>13887</v>
      </c>
    </row>
    <row r="1447" spans="1:10">
      <c r="A1447" s="1">
        <v>47985</v>
      </c>
      <c r="B1447" s="1">
        <v>4113038062</v>
      </c>
      <c r="C1447" s="1">
        <v>12</v>
      </c>
      <c r="D1447" s="1" t="s">
        <v>489</v>
      </c>
      <c r="E1447" t="s">
        <v>13888</v>
      </c>
      <c r="F1447" s="1">
        <v>111799</v>
      </c>
      <c r="G1447" s="1">
        <v>4427601795</v>
      </c>
      <c r="H1447" s="1">
        <v>2</v>
      </c>
      <c r="I1447" s="1" t="s">
        <v>4658</v>
      </c>
      <c r="J1447" t="s">
        <v>13889</v>
      </c>
    </row>
    <row r="1448" spans="1:10">
      <c r="A1448" s="1">
        <v>378356</v>
      </c>
      <c r="B1448" s="1">
        <v>4113038060</v>
      </c>
      <c r="C1448" s="1">
        <v>12</v>
      </c>
      <c r="D1448" s="1" t="s">
        <v>489</v>
      </c>
      <c r="E1448" t="s">
        <v>13890</v>
      </c>
      <c r="F1448" s="1">
        <v>891028</v>
      </c>
      <c r="G1448" s="1">
        <v>4427601877</v>
      </c>
      <c r="H1448" s="1">
        <v>6</v>
      </c>
      <c r="I1448" s="1" t="s">
        <v>938</v>
      </c>
      <c r="J1448" t="s">
        <v>13891</v>
      </c>
    </row>
    <row r="1449" spans="1:10">
      <c r="A1449" s="1">
        <v>778654</v>
      </c>
      <c r="B1449" s="1">
        <v>4113038063</v>
      </c>
      <c r="C1449" s="1">
        <v>12</v>
      </c>
      <c r="D1449" s="1" t="s">
        <v>489</v>
      </c>
      <c r="E1449" t="s">
        <v>13892</v>
      </c>
      <c r="F1449" s="1">
        <v>329979</v>
      </c>
      <c r="G1449" s="1">
        <v>4427603750</v>
      </c>
      <c r="H1449" s="1">
        <v>2</v>
      </c>
      <c r="I1449" s="1" t="s">
        <v>13653</v>
      </c>
      <c r="J1449" t="s">
        <v>13893</v>
      </c>
    </row>
    <row r="1450" spans="1:10">
      <c r="A1450" s="1">
        <v>532689</v>
      </c>
      <c r="B1450" s="1">
        <v>4113038061</v>
      </c>
      <c r="C1450" s="1">
        <v>12</v>
      </c>
      <c r="D1450" s="1" t="s">
        <v>489</v>
      </c>
      <c r="E1450" t="s">
        <v>13894</v>
      </c>
      <c r="F1450" s="1">
        <v>681148</v>
      </c>
      <c r="G1450" s="1">
        <v>4427602210</v>
      </c>
      <c r="H1450" s="1">
        <v>6</v>
      </c>
      <c r="I1450" s="1" t="s">
        <v>439</v>
      </c>
      <c r="J1450" t="s">
        <v>13895</v>
      </c>
    </row>
    <row r="1451" spans="1:10">
      <c r="A1451" s="1">
        <v>191148</v>
      </c>
      <c r="B1451" s="1">
        <v>7111714125</v>
      </c>
      <c r="C1451" s="1">
        <v>2</v>
      </c>
      <c r="D1451" s="1" t="s">
        <v>4658</v>
      </c>
      <c r="E1451" t="s">
        <v>13896</v>
      </c>
      <c r="F1451" s="1">
        <v>681460</v>
      </c>
      <c r="G1451" s="1">
        <v>4427602220</v>
      </c>
      <c r="H1451" s="1">
        <v>6</v>
      </c>
      <c r="I1451" s="1" t="s">
        <v>439</v>
      </c>
      <c r="J1451" t="s">
        <v>13897</v>
      </c>
    </row>
    <row r="1452" spans="1:10">
      <c r="A1452" s="1">
        <v>304451</v>
      </c>
      <c r="B1452" s="1">
        <v>7229915870</v>
      </c>
      <c r="C1452" s="1">
        <v>2</v>
      </c>
      <c r="D1452" s="1" t="s">
        <v>4658</v>
      </c>
      <c r="E1452" t="s">
        <v>13898</v>
      </c>
      <c r="F1452" s="1">
        <v>237966</v>
      </c>
      <c r="G1452" s="1">
        <v>4427603925</v>
      </c>
      <c r="H1452" s="1">
        <v>24</v>
      </c>
      <c r="I1452" s="1" t="s">
        <v>781</v>
      </c>
      <c r="J1452" t="s">
        <v>13899</v>
      </c>
    </row>
    <row r="1453" spans="1:10">
      <c r="A1453" s="1">
        <v>689448</v>
      </c>
      <c r="B1453" s="1">
        <v>3621710612</v>
      </c>
      <c r="C1453" s="1">
        <v>1</v>
      </c>
      <c r="D1453" s="1" t="s">
        <v>6760</v>
      </c>
      <c r="E1453" t="s">
        <v>13900</v>
      </c>
      <c r="F1453" s="1">
        <v>882571</v>
      </c>
      <c r="G1453" s="1">
        <v>4427602575</v>
      </c>
      <c r="H1453" s="1">
        <v>12</v>
      </c>
      <c r="I1453" s="1" t="s">
        <v>796</v>
      </c>
      <c r="J1453" t="s">
        <v>13901</v>
      </c>
    </row>
    <row r="1454" spans="1:10">
      <c r="A1454" s="1">
        <v>895854</v>
      </c>
      <c r="B1454" s="1">
        <v>3621710380</v>
      </c>
      <c r="C1454" s="1">
        <v>6</v>
      </c>
      <c r="D1454" s="1" t="s">
        <v>4723</v>
      </c>
      <c r="E1454" t="s">
        <v>13902</v>
      </c>
      <c r="F1454" s="1">
        <v>681510</v>
      </c>
      <c r="G1454" s="1">
        <v>4427602230</v>
      </c>
      <c r="H1454" s="1">
        <v>6</v>
      </c>
      <c r="I1454" s="1" t="s">
        <v>1198</v>
      </c>
      <c r="J1454" t="s">
        <v>13903</v>
      </c>
    </row>
    <row r="1455" spans="1:10">
      <c r="A1455" s="1">
        <v>459438</v>
      </c>
      <c r="B1455" s="1">
        <v>3621768180</v>
      </c>
      <c r="C1455" s="1">
        <v>6</v>
      </c>
      <c r="D1455" s="1" t="s">
        <v>4723</v>
      </c>
      <c r="E1455" t="s">
        <v>13904</v>
      </c>
      <c r="F1455" s="1">
        <v>35352</v>
      </c>
      <c r="G1455" s="1">
        <v>4427601947</v>
      </c>
      <c r="H1455" s="1">
        <v>6</v>
      </c>
      <c r="I1455" s="1" t="s">
        <v>360</v>
      </c>
      <c r="J1455" t="s">
        <v>13905</v>
      </c>
    </row>
    <row r="1456" spans="1:10">
      <c r="A1456" s="1">
        <v>295212</v>
      </c>
      <c r="B1456" s="1">
        <v>3621778090</v>
      </c>
      <c r="C1456" s="1">
        <v>6</v>
      </c>
      <c r="D1456" s="1" t="s">
        <v>4723</v>
      </c>
      <c r="E1456" t="s">
        <v>13906</v>
      </c>
      <c r="F1456" s="1">
        <v>315234</v>
      </c>
      <c r="G1456" s="1">
        <v>4427602300</v>
      </c>
      <c r="H1456" s="1">
        <v>6</v>
      </c>
      <c r="I1456" s="1" t="s">
        <v>938</v>
      </c>
      <c r="J1456" t="s">
        <v>13907</v>
      </c>
    </row>
    <row r="1457" spans="1:10">
      <c r="A1457" s="1">
        <v>342568</v>
      </c>
      <c r="B1457" s="1">
        <v>3621710470</v>
      </c>
      <c r="C1457" s="1">
        <v>1</v>
      </c>
      <c r="D1457" s="1" t="s">
        <v>4658</v>
      </c>
      <c r="E1457" t="s">
        <v>13908</v>
      </c>
      <c r="F1457" s="1">
        <v>496679</v>
      </c>
      <c r="G1457" s="1">
        <v>4427602209</v>
      </c>
      <c r="H1457" s="1">
        <v>6</v>
      </c>
      <c r="I1457" s="1" t="s">
        <v>1454</v>
      </c>
      <c r="J1457" t="s">
        <v>13909</v>
      </c>
    </row>
    <row r="1458" spans="1:10">
      <c r="A1458" s="1">
        <v>33894</v>
      </c>
      <c r="B1458" s="1">
        <v>3621736200</v>
      </c>
      <c r="C1458" s="1">
        <v>12</v>
      </c>
      <c r="D1458" s="1" t="s">
        <v>1973</v>
      </c>
      <c r="E1458" t="s">
        <v>13910</v>
      </c>
      <c r="F1458" s="1">
        <v>323865</v>
      </c>
      <c r="G1458" s="1">
        <v>4427602297</v>
      </c>
      <c r="H1458" s="1">
        <v>6</v>
      </c>
      <c r="I1458" s="1" t="s">
        <v>1454</v>
      </c>
      <c r="J1458" t="s">
        <v>13911</v>
      </c>
    </row>
    <row r="1459" spans="1:10">
      <c r="A1459" s="1">
        <v>879254</v>
      </c>
      <c r="B1459" s="1">
        <v>6321740110</v>
      </c>
      <c r="C1459" s="1">
        <v>1</v>
      </c>
      <c r="D1459" s="1" t="s">
        <v>4658</v>
      </c>
      <c r="E1459" t="s">
        <v>13912</v>
      </c>
      <c r="F1459" s="1">
        <v>681544</v>
      </c>
      <c r="G1459" s="1">
        <v>4427602320</v>
      </c>
      <c r="H1459" s="1">
        <v>6</v>
      </c>
      <c r="I1459" s="1" t="s">
        <v>1198</v>
      </c>
      <c r="J1459" t="s">
        <v>13913</v>
      </c>
    </row>
    <row r="1460" spans="1:10">
      <c r="A1460" s="1">
        <v>417998</v>
      </c>
      <c r="B1460" s="1">
        <v>3621710961</v>
      </c>
      <c r="C1460" s="1">
        <v>1</v>
      </c>
      <c r="D1460" s="1" t="s">
        <v>4658</v>
      </c>
      <c r="E1460" t="s">
        <v>13914</v>
      </c>
      <c r="F1460" s="1">
        <v>891010</v>
      </c>
      <c r="G1460" s="1">
        <v>4427601890</v>
      </c>
      <c r="H1460" s="1">
        <v>6</v>
      </c>
      <c r="I1460" s="1" t="s">
        <v>938</v>
      </c>
      <c r="J1460" t="s">
        <v>13915</v>
      </c>
    </row>
    <row r="1461" spans="1:10">
      <c r="A1461" s="1">
        <v>685818</v>
      </c>
      <c r="B1461" s="1">
        <v>3621710600</v>
      </c>
      <c r="C1461" s="1">
        <v>1</v>
      </c>
      <c r="D1461" s="1" t="s">
        <v>4719</v>
      </c>
      <c r="E1461" t="s">
        <v>13916</v>
      </c>
      <c r="F1461" s="1">
        <v>665711</v>
      </c>
      <c r="G1461" s="1">
        <v>7496017801</v>
      </c>
      <c r="H1461" s="1">
        <v>2</v>
      </c>
      <c r="I1461" s="1" t="s">
        <v>4658</v>
      </c>
      <c r="J1461" t="s">
        <v>13917</v>
      </c>
    </row>
    <row r="1462" spans="1:10">
      <c r="A1462" s="1">
        <v>689687</v>
      </c>
      <c r="B1462" s="1">
        <v>3621711105</v>
      </c>
      <c r="C1462" s="1">
        <v>1</v>
      </c>
      <c r="D1462" s="1" t="s">
        <v>4658</v>
      </c>
      <c r="E1462" t="s">
        <v>13918</v>
      </c>
      <c r="F1462" s="1">
        <v>663401</v>
      </c>
      <c r="G1462" s="1">
        <v>7229900000</v>
      </c>
      <c r="H1462" s="1">
        <v>3</v>
      </c>
      <c r="I1462" s="1" t="s">
        <v>6760</v>
      </c>
      <c r="J1462" t="s">
        <v>13919</v>
      </c>
    </row>
    <row r="1463" spans="1:10">
      <c r="A1463" s="1">
        <v>567982</v>
      </c>
      <c r="B1463" s="1">
        <v>3621711241</v>
      </c>
      <c r="C1463" s="1">
        <v>1</v>
      </c>
      <c r="D1463" s="1" t="s">
        <v>4815</v>
      </c>
      <c r="E1463" t="s">
        <v>13920</v>
      </c>
      <c r="F1463" s="1">
        <v>663278</v>
      </c>
      <c r="G1463" s="1">
        <v>7229900000</v>
      </c>
      <c r="H1463" s="1">
        <v>2</v>
      </c>
      <c r="I1463" s="1" t="s">
        <v>4658</v>
      </c>
      <c r="J1463" t="s">
        <v>13921</v>
      </c>
    </row>
    <row r="1464" spans="1:10">
      <c r="A1464" s="1">
        <v>673368</v>
      </c>
      <c r="B1464" s="1">
        <v>3621740005</v>
      </c>
      <c r="C1464" s="1">
        <v>1</v>
      </c>
      <c r="D1464" s="1" t="s">
        <v>4658</v>
      </c>
      <c r="E1464" t="s">
        <v>13922</v>
      </c>
      <c r="F1464" s="1">
        <v>664052</v>
      </c>
      <c r="G1464" s="1">
        <v>7229910610</v>
      </c>
      <c r="H1464" s="1">
        <v>2</v>
      </c>
      <c r="I1464" s="1" t="s">
        <v>4723</v>
      </c>
      <c r="J1464" t="s">
        <v>13923</v>
      </c>
    </row>
    <row r="1465" spans="1:10">
      <c r="A1465" s="1">
        <v>689232</v>
      </c>
      <c r="B1465" s="1">
        <v>3621710700</v>
      </c>
      <c r="C1465" s="1">
        <v>1</v>
      </c>
      <c r="D1465" s="1" t="s">
        <v>4719</v>
      </c>
      <c r="E1465" t="s">
        <v>13924</v>
      </c>
      <c r="F1465" s="1">
        <v>664078</v>
      </c>
      <c r="G1465" s="1">
        <v>7229910590</v>
      </c>
      <c r="H1465" s="1">
        <v>2</v>
      </c>
      <c r="I1465" s="1" t="s">
        <v>4723</v>
      </c>
      <c r="J1465" t="s">
        <v>13925</v>
      </c>
    </row>
    <row r="1466" spans="1:10">
      <c r="A1466" s="1">
        <v>787358</v>
      </c>
      <c r="B1466" s="1">
        <v>3621766410</v>
      </c>
      <c r="C1466" s="1">
        <v>12</v>
      </c>
      <c r="D1466" s="1" t="s">
        <v>1973</v>
      </c>
      <c r="E1466" t="s">
        <v>13926</v>
      </c>
      <c r="F1466" s="1">
        <v>663302</v>
      </c>
      <c r="G1466" s="1">
        <v>7229900000</v>
      </c>
      <c r="H1466" s="1">
        <v>3</v>
      </c>
      <c r="I1466" s="1" t="s">
        <v>6760</v>
      </c>
      <c r="J1466" t="s">
        <v>13927</v>
      </c>
    </row>
    <row r="1467" spans="1:10">
      <c r="A1467" s="1">
        <v>680629</v>
      </c>
      <c r="B1467" s="1">
        <v>3621710704</v>
      </c>
      <c r="C1467" s="1">
        <v>1</v>
      </c>
      <c r="D1467" s="1" t="s">
        <v>4719</v>
      </c>
      <c r="E1467" t="s">
        <v>13928</v>
      </c>
      <c r="F1467" s="1">
        <v>663310</v>
      </c>
      <c r="G1467" s="1">
        <v>7229918131</v>
      </c>
      <c r="H1467" s="1">
        <v>3</v>
      </c>
      <c r="I1467" s="1" t="s">
        <v>6760</v>
      </c>
      <c r="J1467" t="s">
        <v>13929</v>
      </c>
    </row>
    <row r="1468" spans="1:10">
      <c r="A1468" s="1">
        <v>294843</v>
      </c>
      <c r="B1468" s="1">
        <v>3621776610</v>
      </c>
      <c r="C1468" s="1">
        <v>12</v>
      </c>
      <c r="D1468" s="1" t="s">
        <v>1973</v>
      </c>
      <c r="E1468" t="s">
        <v>13930</v>
      </c>
      <c r="F1468" s="1">
        <v>663419</v>
      </c>
      <c r="G1468" s="1">
        <v>7229900000</v>
      </c>
      <c r="H1468" s="1">
        <v>3</v>
      </c>
      <c r="I1468" s="1" t="s">
        <v>6760</v>
      </c>
      <c r="J1468" t="s">
        <v>13931</v>
      </c>
    </row>
    <row r="1469" spans="1:10">
      <c r="A1469" s="1">
        <v>688721</v>
      </c>
      <c r="B1469" s="1">
        <v>3621710701</v>
      </c>
      <c r="C1469" s="1">
        <v>1</v>
      </c>
      <c r="D1469" s="1" t="s">
        <v>4719</v>
      </c>
      <c r="E1469" t="s">
        <v>13932</v>
      </c>
      <c r="F1469" s="1">
        <v>664037</v>
      </c>
      <c r="G1469" s="1">
        <v>7229990210</v>
      </c>
      <c r="H1469" s="1">
        <v>2</v>
      </c>
      <c r="I1469" s="1" t="s">
        <v>4658</v>
      </c>
      <c r="J1469" t="s">
        <v>13933</v>
      </c>
    </row>
    <row r="1470" spans="1:10">
      <c r="A1470" s="1">
        <v>417089</v>
      </c>
      <c r="B1470" s="1">
        <v>3621711751</v>
      </c>
      <c r="C1470" s="1">
        <v>1</v>
      </c>
      <c r="D1470" s="1" t="s">
        <v>4658</v>
      </c>
      <c r="E1470" t="s">
        <v>13934</v>
      </c>
      <c r="F1470" s="1">
        <v>222612</v>
      </c>
      <c r="G1470" s="1">
        <v>7229955212</v>
      </c>
      <c r="H1470" s="1">
        <v>6</v>
      </c>
      <c r="I1470" s="1" t="s">
        <v>347</v>
      </c>
      <c r="J1470" t="s">
        <v>13935</v>
      </c>
    </row>
    <row r="1471" spans="1:10">
      <c r="A1471" s="1">
        <v>688978</v>
      </c>
      <c r="B1471" s="1">
        <v>3621710702</v>
      </c>
      <c r="C1471" s="1">
        <v>1</v>
      </c>
      <c r="D1471" s="1" t="s">
        <v>4719</v>
      </c>
      <c r="E1471" t="s">
        <v>13936</v>
      </c>
      <c r="F1471" s="1">
        <v>219295</v>
      </c>
      <c r="G1471" s="1">
        <v>7229964212</v>
      </c>
      <c r="H1471" s="1">
        <v>6</v>
      </c>
      <c r="I1471" s="1" t="s">
        <v>1387</v>
      </c>
      <c r="J1471" t="s">
        <v>13935</v>
      </c>
    </row>
    <row r="1472" spans="1:10">
      <c r="A1472" s="1">
        <v>750190</v>
      </c>
      <c r="B1472" s="1">
        <v>3621790700</v>
      </c>
      <c r="C1472" s="1">
        <v>1</v>
      </c>
      <c r="D1472" s="1" t="s">
        <v>4815</v>
      </c>
      <c r="E1472" t="s">
        <v>13937</v>
      </c>
      <c r="F1472" s="1">
        <v>219303</v>
      </c>
      <c r="G1472" s="1">
        <v>7229964113</v>
      </c>
      <c r="H1472" s="1">
        <v>6</v>
      </c>
      <c r="I1472" s="1" t="s">
        <v>439</v>
      </c>
      <c r="J1472" t="s">
        <v>13938</v>
      </c>
    </row>
    <row r="1473" spans="1:10">
      <c r="A1473" s="1">
        <v>689877</v>
      </c>
      <c r="B1473" s="1">
        <v>3621710902</v>
      </c>
      <c r="C1473" s="1">
        <v>1</v>
      </c>
      <c r="D1473" s="1" t="s">
        <v>4658</v>
      </c>
      <c r="E1473" t="s">
        <v>13939</v>
      </c>
      <c r="F1473" s="1">
        <v>219253</v>
      </c>
      <c r="G1473" s="1">
        <v>7229900039</v>
      </c>
      <c r="H1473" s="1">
        <v>6</v>
      </c>
      <c r="I1473" s="1" t="s">
        <v>347</v>
      </c>
      <c r="J1473" t="s">
        <v>13940</v>
      </c>
    </row>
    <row r="1474" spans="1:10">
      <c r="A1474" s="1">
        <v>699678</v>
      </c>
      <c r="B1474" s="1">
        <v>3621730200</v>
      </c>
      <c r="C1474" s="1">
        <v>1</v>
      </c>
      <c r="D1474" s="1" t="s">
        <v>4658</v>
      </c>
      <c r="E1474" t="s">
        <v>13941</v>
      </c>
      <c r="F1474" s="1">
        <v>222604</v>
      </c>
      <c r="G1474" s="1">
        <v>7229940000</v>
      </c>
      <c r="H1474" s="1">
        <v>6</v>
      </c>
      <c r="I1474" s="1" t="s">
        <v>347</v>
      </c>
      <c r="J1474" t="s">
        <v>13942</v>
      </c>
    </row>
    <row r="1475" spans="1:10">
      <c r="A1475" s="1">
        <v>691188</v>
      </c>
      <c r="B1475" s="1">
        <v>3621710608</v>
      </c>
      <c r="C1475" s="1">
        <v>1</v>
      </c>
      <c r="D1475" s="1" t="s">
        <v>4658</v>
      </c>
      <c r="E1475" t="s">
        <v>13943</v>
      </c>
      <c r="F1475" s="1">
        <v>222620</v>
      </c>
      <c r="G1475" s="1">
        <v>7229900044</v>
      </c>
      <c r="H1475" s="1">
        <v>6</v>
      </c>
      <c r="I1475" s="1" t="s">
        <v>347</v>
      </c>
      <c r="J1475" t="s">
        <v>13944</v>
      </c>
    </row>
    <row r="1476" spans="1:10">
      <c r="A1476" s="1">
        <v>699710</v>
      </c>
      <c r="B1476" s="1">
        <v>3621770070</v>
      </c>
      <c r="C1476" s="1">
        <v>1</v>
      </c>
      <c r="D1476" s="1" t="s">
        <v>4719</v>
      </c>
      <c r="E1476" t="s">
        <v>13945</v>
      </c>
      <c r="F1476" s="1">
        <v>222588</v>
      </c>
      <c r="G1476" s="1">
        <v>7229900013</v>
      </c>
      <c r="H1476" s="1">
        <v>6</v>
      </c>
      <c r="I1476" s="1" t="s">
        <v>347</v>
      </c>
      <c r="J1476" t="s">
        <v>13946</v>
      </c>
    </row>
    <row r="1477" spans="1:10">
      <c r="A1477" s="1">
        <v>696245</v>
      </c>
      <c r="B1477" s="1">
        <v>3621760300</v>
      </c>
      <c r="C1477" s="1">
        <v>1</v>
      </c>
      <c r="D1477" s="1" t="s">
        <v>4719</v>
      </c>
      <c r="E1477" t="s">
        <v>13947</v>
      </c>
      <c r="F1477" s="1">
        <v>219212</v>
      </c>
      <c r="G1477" s="1">
        <v>7229964114</v>
      </c>
      <c r="H1477" s="1">
        <v>6</v>
      </c>
      <c r="I1477" s="1" t="s">
        <v>439</v>
      </c>
      <c r="J1477" t="s">
        <v>13948</v>
      </c>
    </row>
    <row r="1478" spans="1:10" ht="15.75">
      <c r="A1478" s="4" t="s">
        <v>13800</v>
      </c>
      <c r="B1478" s="2"/>
      <c r="C1478" s="2"/>
      <c r="D1478" s="2"/>
      <c r="E1478" s="3"/>
      <c r="F1478" s="4" t="s">
        <v>13800</v>
      </c>
      <c r="G1478" s="2"/>
      <c r="H1478" s="2"/>
      <c r="I1478" s="2"/>
      <c r="J1478" s="3"/>
    </row>
    <row r="1479" spans="1:10">
      <c r="A1479" s="2" t="s">
        <v>0</v>
      </c>
      <c r="B1479" s="2" t="s">
        <v>1</v>
      </c>
      <c r="C1479" s="2" t="s">
        <v>2</v>
      </c>
      <c r="D1479" s="2" t="s">
        <v>3</v>
      </c>
      <c r="E1479" s="3" t="s">
        <v>4</v>
      </c>
      <c r="F1479" s="2" t="s">
        <v>0</v>
      </c>
      <c r="G1479" s="2" t="s">
        <v>1</v>
      </c>
      <c r="H1479" s="2" t="s">
        <v>2</v>
      </c>
      <c r="I1479" s="2" t="s">
        <v>3</v>
      </c>
      <c r="J1479" s="3" t="s">
        <v>4</v>
      </c>
    </row>
    <row r="1480" spans="1:10">
      <c r="A1480" s="1">
        <v>222638</v>
      </c>
      <c r="B1480" s="1">
        <v>7229940003</v>
      </c>
      <c r="C1480" s="1">
        <v>6</v>
      </c>
      <c r="D1480" s="1" t="s">
        <v>347</v>
      </c>
      <c r="E1480" t="s">
        <v>13949</v>
      </c>
      <c r="F1480" s="1">
        <v>699348</v>
      </c>
      <c r="G1480" s="1">
        <v>7111719005</v>
      </c>
      <c r="H1480" s="1">
        <v>6</v>
      </c>
      <c r="I1480" s="1" t="s">
        <v>381</v>
      </c>
      <c r="J1480" t="s">
        <v>13950</v>
      </c>
    </row>
    <row r="1481" spans="1:10">
      <c r="A1481" s="1">
        <v>397752</v>
      </c>
      <c r="B1481" s="1">
        <v>4116344409</v>
      </c>
      <c r="C1481" s="1">
        <v>8</v>
      </c>
      <c r="D1481" s="1" t="s">
        <v>13951</v>
      </c>
      <c r="E1481" t="s">
        <v>13952</v>
      </c>
      <c r="F1481" s="1">
        <v>688903</v>
      </c>
      <c r="G1481" s="1">
        <v>7111714102</v>
      </c>
      <c r="H1481" s="1">
        <v>2</v>
      </c>
      <c r="I1481" s="1" t="s">
        <v>6760</v>
      </c>
      <c r="J1481" t="s">
        <v>13953</v>
      </c>
    </row>
    <row r="1482" spans="1:10">
      <c r="A1482" s="1">
        <v>410621</v>
      </c>
      <c r="B1482" s="1">
        <v>4116344410</v>
      </c>
      <c r="C1482" s="1">
        <v>8</v>
      </c>
      <c r="D1482" s="1" t="s">
        <v>13954</v>
      </c>
      <c r="E1482" t="s">
        <v>13955</v>
      </c>
      <c r="F1482" s="1">
        <v>693507</v>
      </c>
      <c r="G1482" s="1">
        <v>7111700188</v>
      </c>
      <c r="H1482" s="1">
        <v>3</v>
      </c>
      <c r="I1482" s="1" t="s">
        <v>6760</v>
      </c>
      <c r="J1482" t="s">
        <v>13956</v>
      </c>
    </row>
    <row r="1483" spans="1:10">
      <c r="A1483" s="1">
        <v>743963</v>
      </c>
      <c r="B1483" s="1">
        <v>4116344412</v>
      </c>
      <c r="C1483" s="1">
        <v>8</v>
      </c>
      <c r="D1483" s="1" t="s">
        <v>13957</v>
      </c>
      <c r="E1483" t="s">
        <v>13958</v>
      </c>
      <c r="F1483" s="1">
        <v>682955</v>
      </c>
      <c r="G1483" s="1">
        <v>7111700215</v>
      </c>
      <c r="H1483" s="1">
        <v>3</v>
      </c>
      <c r="I1483" s="1" t="s">
        <v>6760</v>
      </c>
      <c r="J1483" t="s">
        <v>13959</v>
      </c>
    </row>
    <row r="1484" spans="1:10">
      <c r="A1484" s="1">
        <v>665729</v>
      </c>
      <c r="B1484" s="1">
        <v>27496006666</v>
      </c>
      <c r="C1484" s="1">
        <v>2</v>
      </c>
      <c r="D1484" s="1" t="s">
        <v>4658</v>
      </c>
      <c r="E1484" t="s">
        <v>13960</v>
      </c>
      <c r="F1484" s="1">
        <v>699397</v>
      </c>
      <c r="G1484" s="1">
        <v>7111703031</v>
      </c>
      <c r="H1484" s="1">
        <v>2</v>
      </c>
      <c r="I1484" s="1" t="s">
        <v>4815</v>
      </c>
      <c r="J1484" t="s">
        <v>13961</v>
      </c>
    </row>
    <row r="1485" spans="1:10">
      <c r="A1485" s="1">
        <v>893263</v>
      </c>
      <c r="B1485" s="1">
        <v>7229915260</v>
      </c>
      <c r="C1485" s="1">
        <v>2</v>
      </c>
      <c r="D1485" s="1" t="s">
        <v>4658</v>
      </c>
      <c r="E1485" t="s">
        <v>13962</v>
      </c>
      <c r="F1485" s="1">
        <v>692749</v>
      </c>
      <c r="G1485" s="1">
        <v>7111700413</v>
      </c>
      <c r="H1485" s="1">
        <v>2</v>
      </c>
      <c r="I1485" s="1" t="s">
        <v>6760</v>
      </c>
      <c r="J1485" t="s">
        <v>13963</v>
      </c>
    </row>
    <row r="1486" spans="1:10">
      <c r="A1486" s="1">
        <v>233692</v>
      </c>
      <c r="B1486" s="1">
        <v>7111700150</v>
      </c>
      <c r="C1486" s="1">
        <v>6</v>
      </c>
      <c r="D1486" s="1" t="s">
        <v>4815</v>
      </c>
      <c r="E1486" t="s">
        <v>13964</v>
      </c>
      <c r="F1486" s="1">
        <v>655969</v>
      </c>
      <c r="G1486" s="1">
        <v>7111719012</v>
      </c>
      <c r="H1486" s="1">
        <v>6</v>
      </c>
      <c r="I1486" s="1" t="s">
        <v>347</v>
      </c>
      <c r="J1486" t="s">
        <v>13965</v>
      </c>
    </row>
    <row r="1487" spans="1:10">
      <c r="A1487" s="1">
        <v>693523</v>
      </c>
      <c r="B1487" s="1">
        <v>7111700441</v>
      </c>
      <c r="C1487" s="1">
        <v>3</v>
      </c>
      <c r="D1487" s="1" t="s">
        <v>6760</v>
      </c>
      <c r="E1487" t="s">
        <v>13964</v>
      </c>
      <c r="F1487" s="1">
        <v>661918</v>
      </c>
      <c r="G1487" s="1">
        <v>7111719008</v>
      </c>
      <c r="H1487" s="1">
        <v>6</v>
      </c>
      <c r="I1487" s="1" t="s">
        <v>347</v>
      </c>
      <c r="J1487" t="s">
        <v>13966</v>
      </c>
    </row>
    <row r="1488" spans="1:10">
      <c r="A1488" s="1">
        <v>233700</v>
      </c>
      <c r="B1488" s="1">
        <v>7111700149</v>
      </c>
      <c r="C1488" s="1">
        <v>6</v>
      </c>
      <c r="D1488" s="1" t="s">
        <v>4815</v>
      </c>
      <c r="E1488" t="s">
        <v>13967</v>
      </c>
      <c r="F1488" s="1">
        <v>751883</v>
      </c>
      <c r="G1488" s="1">
        <v>4082201114</v>
      </c>
      <c r="H1488" s="1">
        <v>12</v>
      </c>
      <c r="I1488" s="1" t="s">
        <v>489</v>
      </c>
      <c r="J1488" t="s">
        <v>13968</v>
      </c>
    </row>
    <row r="1489" spans="1:10">
      <c r="A1489" s="1">
        <v>64576</v>
      </c>
      <c r="B1489" s="1">
        <v>7111700438</v>
      </c>
      <c r="C1489" s="1">
        <v>3</v>
      </c>
      <c r="D1489" s="1" t="s">
        <v>6760</v>
      </c>
      <c r="E1489" t="s">
        <v>13967</v>
      </c>
      <c r="F1489" s="1">
        <v>250290</v>
      </c>
      <c r="G1489" s="1">
        <v>4082201470</v>
      </c>
      <c r="H1489" s="1">
        <v>12</v>
      </c>
      <c r="I1489" s="1" t="s">
        <v>489</v>
      </c>
      <c r="J1489" t="s">
        <v>13969</v>
      </c>
    </row>
    <row r="1490" spans="1:10">
      <c r="A1490" s="1">
        <v>469627</v>
      </c>
      <c r="B1490" s="1">
        <v>7111703033</v>
      </c>
      <c r="C1490" s="1">
        <v>2</v>
      </c>
      <c r="D1490" s="1" t="s">
        <v>4815</v>
      </c>
      <c r="E1490" t="s">
        <v>13970</v>
      </c>
      <c r="F1490" s="1">
        <v>476663</v>
      </c>
      <c r="G1490" s="1">
        <v>4082201134</v>
      </c>
      <c r="H1490" s="1">
        <v>12</v>
      </c>
      <c r="I1490" s="1" t="s">
        <v>489</v>
      </c>
      <c r="J1490" t="s">
        <v>13971</v>
      </c>
    </row>
    <row r="1491" spans="1:10">
      <c r="A1491" s="1">
        <v>882340</v>
      </c>
      <c r="B1491" s="1">
        <v>7111714270</v>
      </c>
      <c r="C1491" s="1">
        <v>2</v>
      </c>
      <c r="D1491" s="1" t="s">
        <v>4658</v>
      </c>
      <c r="E1491" t="s">
        <v>13972</v>
      </c>
      <c r="F1491" s="1">
        <v>333864</v>
      </c>
      <c r="G1491" s="1">
        <v>4082201749</v>
      </c>
      <c r="H1491" s="1">
        <v>12</v>
      </c>
      <c r="I1491" s="1" t="s">
        <v>940</v>
      </c>
      <c r="J1491" t="s">
        <v>13973</v>
      </c>
    </row>
    <row r="1492" spans="1:10">
      <c r="A1492" s="1">
        <v>656702</v>
      </c>
      <c r="B1492" s="1">
        <v>7111719014</v>
      </c>
      <c r="C1492" s="1">
        <v>6</v>
      </c>
      <c r="D1492" s="1" t="s">
        <v>910</v>
      </c>
      <c r="E1492" t="s">
        <v>13974</v>
      </c>
      <c r="F1492" s="1">
        <v>151993</v>
      </c>
      <c r="G1492" s="1">
        <v>4082201751</v>
      </c>
      <c r="H1492" s="1">
        <v>12</v>
      </c>
      <c r="I1492" s="1" t="s">
        <v>940</v>
      </c>
      <c r="J1492" t="s">
        <v>13975</v>
      </c>
    </row>
    <row r="1493" spans="1:10">
      <c r="A1493" s="1">
        <v>698332</v>
      </c>
      <c r="B1493" s="1">
        <v>7111714761</v>
      </c>
      <c r="C1493" s="1">
        <v>2</v>
      </c>
      <c r="D1493" s="1" t="s">
        <v>6760</v>
      </c>
      <c r="E1493" t="s">
        <v>13976</v>
      </c>
      <c r="F1493" s="1">
        <v>669408</v>
      </c>
      <c r="G1493" s="1">
        <v>4082201192</v>
      </c>
      <c r="H1493" s="1">
        <v>12</v>
      </c>
      <c r="I1493" s="1" t="s">
        <v>489</v>
      </c>
      <c r="J1493" t="s">
        <v>13977</v>
      </c>
    </row>
    <row r="1494" spans="1:10">
      <c r="A1494" s="1">
        <v>157016</v>
      </c>
      <c r="B1494" s="1">
        <v>7111728002</v>
      </c>
      <c r="C1494" s="1">
        <v>6</v>
      </c>
      <c r="D1494" s="1" t="s">
        <v>347</v>
      </c>
      <c r="E1494" t="s">
        <v>13978</v>
      </c>
      <c r="F1494" s="1">
        <v>181339</v>
      </c>
      <c r="G1494" s="1">
        <v>4082299001</v>
      </c>
      <c r="H1494" s="1">
        <v>12</v>
      </c>
      <c r="I1494" s="1" t="s">
        <v>940</v>
      </c>
      <c r="J1494" t="s">
        <v>13979</v>
      </c>
    </row>
    <row r="1495" spans="1:10">
      <c r="A1495" s="1">
        <v>494567</v>
      </c>
      <c r="B1495" s="1">
        <v>7111780400</v>
      </c>
      <c r="C1495" s="1">
        <v>2</v>
      </c>
      <c r="D1495" s="1" t="s">
        <v>6760</v>
      </c>
      <c r="E1495" t="s">
        <v>13980</v>
      </c>
      <c r="F1495" s="1">
        <v>515015</v>
      </c>
      <c r="G1495" s="1">
        <v>4082201174</v>
      </c>
      <c r="H1495" s="1">
        <v>12</v>
      </c>
      <c r="I1495" s="1" t="s">
        <v>489</v>
      </c>
      <c r="J1495" t="s">
        <v>13981</v>
      </c>
    </row>
    <row r="1496" spans="1:10">
      <c r="A1496" s="1">
        <v>392357</v>
      </c>
      <c r="B1496" s="1">
        <v>7111719038</v>
      </c>
      <c r="C1496" s="1">
        <v>6</v>
      </c>
      <c r="D1496" s="1" t="s">
        <v>381</v>
      </c>
      <c r="E1496" t="s">
        <v>13982</v>
      </c>
      <c r="F1496" s="1">
        <v>106740</v>
      </c>
      <c r="G1496" s="1">
        <v>4082201215</v>
      </c>
      <c r="H1496" s="1">
        <v>12</v>
      </c>
      <c r="I1496" s="1" t="s">
        <v>259</v>
      </c>
      <c r="J1496" t="s">
        <v>13983</v>
      </c>
    </row>
    <row r="1497" spans="1:10">
      <c r="A1497" s="1">
        <v>688606</v>
      </c>
      <c r="B1497" s="1">
        <v>7111765135</v>
      </c>
      <c r="C1497" s="1">
        <v>3</v>
      </c>
      <c r="D1497" s="1" t="s">
        <v>6760</v>
      </c>
      <c r="E1497" t="s">
        <v>13984</v>
      </c>
      <c r="F1497" s="1">
        <v>198226</v>
      </c>
      <c r="G1497" s="1">
        <v>4082201471</v>
      </c>
      <c r="H1497" s="1">
        <v>12</v>
      </c>
      <c r="I1497" s="1" t="s">
        <v>489</v>
      </c>
      <c r="J1497" t="s">
        <v>13985</v>
      </c>
    </row>
    <row r="1498" spans="1:10">
      <c r="A1498" s="1">
        <v>549147</v>
      </c>
      <c r="B1498" s="1">
        <v>7111714282</v>
      </c>
      <c r="C1498" s="1">
        <v>2</v>
      </c>
      <c r="D1498" s="1" t="s">
        <v>11749</v>
      </c>
      <c r="E1498" t="s">
        <v>13986</v>
      </c>
      <c r="F1498" s="1">
        <v>885434</v>
      </c>
      <c r="G1498" s="1">
        <v>4082201154</v>
      </c>
      <c r="H1498" s="1">
        <v>12</v>
      </c>
      <c r="I1498" s="1" t="s">
        <v>489</v>
      </c>
      <c r="J1498" t="s">
        <v>13987</v>
      </c>
    </row>
    <row r="1499" spans="1:10">
      <c r="A1499" s="1">
        <v>696179</v>
      </c>
      <c r="B1499" s="1">
        <v>7111715126</v>
      </c>
      <c r="C1499" s="1">
        <v>2</v>
      </c>
      <c r="D1499" s="1" t="s">
        <v>6754</v>
      </c>
      <c r="E1499" t="s">
        <v>13988</v>
      </c>
      <c r="F1499" s="1">
        <v>459354</v>
      </c>
      <c r="G1499" s="1">
        <v>4082201124</v>
      </c>
      <c r="H1499" s="1">
        <v>12</v>
      </c>
      <c r="I1499" s="1" t="s">
        <v>489</v>
      </c>
      <c r="J1499" t="s">
        <v>13989</v>
      </c>
    </row>
    <row r="1500" spans="1:10">
      <c r="A1500" s="1">
        <v>693481</v>
      </c>
      <c r="B1500" s="1">
        <v>7111767123</v>
      </c>
      <c r="C1500" s="1">
        <v>6</v>
      </c>
      <c r="D1500" s="1" t="s">
        <v>13004</v>
      </c>
      <c r="E1500" t="s">
        <v>13990</v>
      </c>
      <c r="F1500" s="1">
        <v>788380</v>
      </c>
      <c r="G1500" s="1">
        <v>4082201465</v>
      </c>
      <c r="H1500" s="1">
        <v>12</v>
      </c>
      <c r="I1500" s="1" t="s">
        <v>259</v>
      </c>
      <c r="J1500" t="s">
        <v>13991</v>
      </c>
    </row>
    <row r="1501" spans="1:10">
      <c r="A1501" s="1">
        <v>273912</v>
      </c>
      <c r="B1501" s="1">
        <v>7111718410</v>
      </c>
      <c r="C1501" s="1">
        <v>6</v>
      </c>
      <c r="D1501" s="1" t="s">
        <v>469</v>
      </c>
      <c r="E1501" t="s">
        <v>13992</v>
      </c>
      <c r="F1501" s="1">
        <v>303917</v>
      </c>
      <c r="G1501" s="1">
        <v>4082201144</v>
      </c>
      <c r="H1501" s="1">
        <v>12</v>
      </c>
      <c r="I1501" s="1" t="s">
        <v>489</v>
      </c>
      <c r="J1501" t="s">
        <v>13993</v>
      </c>
    </row>
    <row r="1502" spans="1:10">
      <c r="A1502" s="1">
        <v>638585</v>
      </c>
      <c r="B1502" s="1">
        <v>7111718405</v>
      </c>
      <c r="C1502" s="1">
        <v>6</v>
      </c>
      <c r="D1502" s="1" t="s">
        <v>375</v>
      </c>
      <c r="E1502" t="s">
        <v>13994</v>
      </c>
      <c r="F1502" s="1">
        <v>487454</v>
      </c>
      <c r="G1502" s="1">
        <v>4082201473</v>
      </c>
      <c r="H1502" s="1">
        <v>12</v>
      </c>
      <c r="I1502" s="1" t="s">
        <v>489</v>
      </c>
      <c r="J1502" t="s">
        <v>13995</v>
      </c>
    </row>
    <row r="1503" spans="1:10">
      <c r="A1503" s="1">
        <v>481499</v>
      </c>
      <c r="B1503" s="1">
        <v>7111718222</v>
      </c>
      <c r="C1503" s="1">
        <v>12</v>
      </c>
      <c r="D1503" s="1" t="s">
        <v>347</v>
      </c>
      <c r="E1503" t="s">
        <v>13996</v>
      </c>
      <c r="F1503" s="1">
        <v>420083</v>
      </c>
      <c r="G1503" s="1">
        <v>4082201221</v>
      </c>
      <c r="H1503" s="1">
        <v>12</v>
      </c>
      <c r="I1503" s="1" t="s">
        <v>259</v>
      </c>
      <c r="J1503" t="s">
        <v>13997</v>
      </c>
    </row>
    <row r="1504" spans="1:10">
      <c r="A1504" s="1">
        <v>677674</v>
      </c>
      <c r="B1504" s="1">
        <v>7111719007</v>
      </c>
      <c r="C1504" s="1">
        <v>12</v>
      </c>
      <c r="D1504" s="1" t="s">
        <v>381</v>
      </c>
      <c r="E1504" t="s">
        <v>13996</v>
      </c>
      <c r="F1504" s="1">
        <v>823245</v>
      </c>
      <c r="G1504" s="1">
        <v>3879302325</v>
      </c>
      <c r="H1504" s="1">
        <v>1</v>
      </c>
      <c r="I1504" s="1" t="s">
        <v>11749</v>
      </c>
      <c r="J1504" t="s">
        <v>13998</v>
      </c>
    </row>
    <row r="1505" spans="1:10">
      <c r="A1505" s="1">
        <v>693465</v>
      </c>
      <c r="B1505" s="1">
        <v>7111767122</v>
      </c>
      <c r="C1505" s="1">
        <v>6</v>
      </c>
      <c r="D1505" s="1" t="s">
        <v>4723</v>
      </c>
      <c r="E1505" t="s">
        <v>13999</v>
      </c>
      <c r="F1505" s="1">
        <v>312710</v>
      </c>
      <c r="G1505" s="1">
        <v>3952890058</v>
      </c>
      <c r="H1505" s="1">
        <v>6</v>
      </c>
      <c r="I1505" s="1" t="s">
        <v>469</v>
      </c>
      <c r="J1505" t="s">
        <v>14000</v>
      </c>
    </row>
    <row r="1506" spans="1:10">
      <c r="A1506" s="1">
        <v>479741</v>
      </c>
      <c r="B1506" s="1">
        <v>7111718404</v>
      </c>
      <c r="C1506" s="1">
        <v>6</v>
      </c>
      <c r="D1506" s="1" t="s">
        <v>375</v>
      </c>
      <c r="E1506" t="s">
        <v>14001</v>
      </c>
      <c r="F1506" s="1">
        <v>307561</v>
      </c>
      <c r="G1506" s="1">
        <v>3952890060</v>
      </c>
      <c r="H1506" s="1">
        <v>6</v>
      </c>
      <c r="I1506" s="1" t="s">
        <v>1366</v>
      </c>
      <c r="J1506" t="s">
        <v>14002</v>
      </c>
    </row>
    <row r="1507" spans="1:10">
      <c r="A1507" s="1">
        <v>698241</v>
      </c>
      <c r="B1507" s="1">
        <v>7111700212</v>
      </c>
      <c r="C1507" s="1">
        <v>3</v>
      </c>
      <c r="D1507" s="1" t="s">
        <v>6760</v>
      </c>
      <c r="E1507" t="s">
        <v>14003</v>
      </c>
      <c r="F1507" s="1">
        <v>378711</v>
      </c>
      <c r="G1507" s="1">
        <v>3952890057</v>
      </c>
      <c r="H1507" s="1">
        <v>6</v>
      </c>
      <c r="I1507" s="1" t="s">
        <v>375</v>
      </c>
      <c r="J1507" t="s">
        <v>14004</v>
      </c>
    </row>
    <row r="1508" spans="1:10" ht="15.75">
      <c r="A1508" s="1">
        <v>693374</v>
      </c>
      <c r="B1508" s="1">
        <v>7111767121</v>
      </c>
      <c r="C1508" s="1">
        <v>6</v>
      </c>
      <c r="D1508" s="1" t="s">
        <v>4723</v>
      </c>
      <c r="E1508" t="s">
        <v>14005</v>
      </c>
      <c r="F1508" s="4" t="s">
        <v>14006</v>
      </c>
      <c r="G1508" s="2"/>
      <c r="H1508" s="2"/>
      <c r="I1508" s="2"/>
      <c r="J1508" s="3"/>
    </row>
    <row r="1509" spans="1:10">
      <c r="A1509" s="1">
        <v>690594</v>
      </c>
      <c r="B1509" s="1">
        <v>7111719003</v>
      </c>
      <c r="C1509" s="1">
        <v>12</v>
      </c>
      <c r="D1509" s="1" t="s">
        <v>381</v>
      </c>
      <c r="E1509" t="s">
        <v>14007</v>
      </c>
      <c r="F1509" s="2" t="s">
        <v>0</v>
      </c>
      <c r="G1509" s="2" t="s">
        <v>1</v>
      </c>
      <c r="H1509" s="2" t="s">
        <v>2</v>
      </c>
      <c r="I1509" s="2" t="s">
        <v>3</v>
      </c>
      <c r="J1509" s="3" t="s">
        <v>4</v>
      </c>
    </row>
    <row r="1510" spans="1:10">
      <c r="A1510" s="1">
        <v>697284</v>
      </c>
      <c r="B1510" s="1">
        <v>7111715190</v>
      </c>
      <c r="C1510" s="1">
        <v>2</v>
      </c>
      <c r="D1510" s="1" t="s">
        <v>6804</v>
      </c>
      <c r="E1510" t="s">
        <v>14008</v>
      </c>
      <c r="F1510" s="1">
        <v>880468</v>
      </c>
      <c r="G1510" s="1">
        <v>4113038025</v>
      </c>
      <c r="H1510" s="1">
        <v>6</v>
      </c>
      <c r="I1510" s="1" t="s">
        <v>489</v>
      </c>
      <c r="J1510" t="s">
        <v>14009</v>
      </c>
    </row>
    <row r="1511" spans="1:10">
      <c r="A1511" s="1">
        <v>690768</v>
      </c>
      <c r="B1511" s="1">
        <v>7111719000</v>
      </c>
      <c r="C1511" s="1">
        <v>12</v>
      </c>
      <c r="D1511" s="1" t="s">
        <v>381</v>
      </c>
      <c r="E1511" t="s">
        <v>14010</v>
      </c>
      <c r="F1511" s="1">
        <v>345272</v>
      </c>
      <c r="G1511" s="1">
        <v>4113038026</v>
      </c>
      <c r="H1511" s="1">
        <v>6</v>
      </c>
      <c r="I1511" s="1" t="s">
        <v>489</v>
      </c>
      <c r="J1511" t="s">
        <v>14011</v>
      </c>
    </row>
    <row r="1512" spans="1:10">
      <c r="A1512" s="1">
        <v>253559</v>
      </c>
      <c r="B1512" s="1">
        <v>7111718220</v>
      </c>
      <c r="C1512" s="1">
        <v>12</v>
      </c>
      <c r="D1512" s="1" t="s">
        <v>347</v>
      </c>
      <c r="E1512" t="s">
        <v>14012</v>
      </c>
      <c r="F1512" s="1">
        <v>463794</v>
      </c>
      <c r="G1512" s="1">
        <v>4113038027</v>
      </c>
      <c r="H1512" s="1">
        <v>6</v>
      </c>
      <c r="I1512" s="1" t="s">
        <v>489</v>
      </c>
      <c r="J1512" t="s">
        <v>14013</v>
      </c>
    </row>
    <row r="1513" spans="1:10">
      <c r="A1513" s="1">
        <v>666735</v>
      </c>
      <c r="B1513" s="1">
        <v>7111719027</v>
      </c>
      <c r="C1513" s="1">
        <v>6</v>
      </c>
      <c r="D1513" s="1" t="s">
        <v>347</v>
      </c>
      <c r="E1513" t="s">
        <v>14014</v>
      </c>
      <c r="F1513" s="1">
        <v>416651</v>
      </c>
      <c r="G1513" s="1">
        <v>4113038020</v>
      </c>
      <c r="H1513" s="1">
        <v>6</v>
      </c>
      <c r="I1513" s="1" t="s">
        <v>938</v>
      </c>
      <c r="J1513" t="s">
        <v>14015</v>
      </c>
    </row>
    <row r="1514" spans="1:10">
      <c r="A1514" s="1">
        <v>669457</v>
      </c>
      <c r="B1514" s="1">
        <v>7111700270</v>
      </c>
      <c r="C1514" s="1">
        <v>2</v>
      </c>
      <c r="D1514" s="1" t="s">
        <v>11749</v>
      </c>
      <c r="E1514" t="s">
        <v>14016</v>
      </c>
      <c r="F1514" s="1">
        <v>383729</v>
      </c>
      <c r="G1514" s="1">
        <v>4113038021</v>
      </c>
      <c r="H1514" s="1">
        <v>6</v>
      </c>
      <c r="I1514" s="1" t="s">
        <v>938</v>
      </c>
      <c r="J1514" t="s">
        <v>14017</v>
      </c>
    </row>
    <row r="1515" spans="1:10">
      <c r="A1515" s="1">
        <v>233726</v>
      </c>
      <c r="B1515" s="1">
        <v>7111767120</v>
      </c>
      <c r="C1515" s="1">
        <v>6</v>
      </c>
      <c r="D1515" s="1" t="s">
        <v>4723</v>
      </c>
      <c r="E1515" t="s">
        <v>14018</v>
      </c>
      <c r="F1515" s="1">
        <v>780239</v>
      </c>
      <c r="G1515" s="1">
        <v>4113038018</v>
      </c>
      <c r="H1515" s="1">
        <v>6</v>
      </c>
      <c r="I1515" s="1" t="s">
        <v>938</v>
      </c>
      <c r="J1515" t="s">
        <v>14019</v>
      </c>
    </row>
    <row r="1516" spans="1:10">
      <c r="A1516" s="1">
        <v>892778</v>
      </c>
      <c r="B1516" s="1">
        <v>7111700225</v>
      </c>
      <c r="C1516" s="1">
        <v>2</v>
      </c>
      <c r="D1516" s="1" t="s">
        <v>6760</v>
      </c>
      <c r="E1516" t="s">
        <v>14020</v>
      </c>
      <c r="F1516" s="1">
        <v>491720</v>
      </c>
      <c r="G1516" s="1">
        <v>4113038023</v>
      </c>
      <c r="H1516" s="1">
        <v>6</v>
      </c>
      <c r="I1516" s="1" t="s">
        <v>489</v>
      </c>
      <c r="J1516" t="s">
        <v>14021</v>
      </c>
    </row>
    <row r="1517" spans="1:10">
      <c r="A1517" s="1">
        <v>696492</v>
      </c>
      <c r="B1517" s="1">
        <v>7111719002</v>
      </c>
      <c r="C1517" s="1">
        <v>12</v>
      </c>
      <c r="D1517" s="1" t="s">
        <v>381</v>
      </c>
      <c r="E1517" t="s">
        <v>14022</v>
      </c>
      <c r="F1517" s="1">
        <v>839662</v>
      </c>
      <c r="G1517" s="1">
        <v>4113038029</v>
      </c>
      <c r="H1517" s="1">
        <v>6</v>
      </c>
      <c r="I1517" s="1" t="s">
        <v>489</v>
      </c>
      <c r="J1517" t="s">
        <v>14023</v>
      </c>
    </row>
    <row r="1518" spans="1:10">
      <c r="A1518" s="1">
        <v>183160</v>
      </c>
      <c r="B1518" s="1">
        <v>7111718273</v>
      </c>
      <c r="C1518" s="1">
        <v>6</v>
      </c>
      <c r="D1518" s="1" t="s">
        <v>347</v>
      </c>
      <c r="E1518" t="s">
        <v>14024</v>
      </c>
      <c r="F1518" s="1">
        <v>765610</v>
      </c>
      <c r="G1518" s="1">
        <v>4113038030</v>
      </c>
      <c r="H1518" s="1">
        <v>6</v>
      </c>
      <c r="I1518" s="1" t="s">
        <v>632</v>
      </c>
      <c r="J1518" t="s">
        <v>14023</v>
      </c>
    </row>
    <row r="1519" spans="1:10" ht="15.75">
      <c r="A1519" s="4" t="s">
        <v>14006</v>
      </c>
      <c r="B1519" s="2"/>
      <c r="C1519" s="2"/>
      <c r="D1519" s="2"/>
      <c r="E1519" s="3"/>
      <c r="F1519" s="4" t="s">
        <v>14025</v>
      </c>
      <c r="G1519" s="2"/>
      <c r="H1519" s="2"/>
      <c r="I1519" s="2"/>
      <c r="J1519" s="3"/>
    </row>
    <row r="1520" spans="1:10">
      <c r="A1520" s="2" t="s">
        <v>0</v>
      </c>
      <c r="B1520" s="2" t="s">
        <v>1</v>
      </c>
      <c r="C1520" s="2" t="s">
        <v>2</v>
      </c>
      <c r="D1520" s="2" t="s">
        <v>3</v>
      </c>
      <c r="E1520" s="3" t="s">
        <v>4</v>
      </c>
      <c r="F1520" s="2" t="s">
        <v>0</v>
      </c>
      <c r="G1520" s="2" t="s">
        <v>1</v>
      </c>
      <c r="H1520" s="2" t="s">
        <v>2</v>
      </c>
      <c r="I1520" s="2" t="s">
        <v>3</v>
      </c>
      <c r="J1520" s="3" t="s">
        <v>4</v>
      </c>
    </row>
    <row r="1521" spans="1:10">
      <c r="A1521" s="1">
        <v>162677</v>
      </c>
      <c r="B1521" s="1">
        <v>4113038017</v>
      </c>
      <c r="C1521" s="1">
        <v>6</v>
      </c>
      <c r="D1521" s="1" t="s">
        <v>439</v>
      </c>
      <c r="E1521" t="s">
        <v>14026</v>
      </c>
      <c r="F1521" s="1">
        <v>892943</v>
      </c>
      <c r="G1521" s="1">
        <v>7274582026</v>
      </c>
      <c r="H1521" s="1">
        <v>3</v>
      </c>
      <c r="I1521" s="1" t="s">
        <v>14027</v>
      </c>
      <c r="J1521" t="s">
        <v>14028</v>
      </c>
    </row>
    <row r="1522" spans="1:10">
      <c r="A1522" s="1">
        <v>670240</v>
      </c>
      <c r="B1522" s="1">
        <v>4113038019</v>
      </c>
      <c r="C1522" s="1">
        <v>6</v>
      </c>
      <c r="D1522" s="1" t="s">
        <v>439</v>
      </c>
      <c r="E1522" t="s">
        <v>14029</v>
      </c>
      <c r="F1522" s="1">
        <v>60244</v>
      </c>
      <c r="G1522" s="1">
        <v>7274582045</v>
      </c>
      <c r="H1522" s="1">
        <v>3</v>
      </c>
      <c r="I1522" s="1" t="s">
        <v>4658</v>
      </c>
      <c r="J1522" t="s">
        <v>14030</v>
      </c>
    </row>
    <row r="1523" spans="1:10">
      <c r="A1523" s="1">
        <v>526871</v>
      </c>
      <c r="B1523" s="1">
        <v>4113038022</v>
      </c>
      <c r="C1523" s="1">
        <v>6</v>
      </c>
      <c r="D1523" s="1" t="s">
        <v>938</v>
      </c>
      <c r="E1523" t="s">
        <v>14031</v>
      </c>
      <c r="F1523" s="1">
        <v>441238</v>
      </c>
      <c r="G1523" s="1">
        <v>7274582046</v>
      </c>
      <c r="H1523" s="1">
        <v>3</v>
      </c>
      <c r="I1523" s="1" t="s">
        <v>4658</v>
      </c>
      <c r="J1523" t="s">
        <v>14032</v>
      </c>
    </row>
    <row r="1524" spans="1:10">
      <c r="A1524" s="1">
        <v>754465</v>
      </c>
      <c r="B1524" s="1">
        <v>4113038031</v>
      </c>
      <c r="C1524" s="1">
        <v>6</v>
      </c>
      <c r="D1524" s="1" t="s">
        <v>489</v>
      </c>
      <c r="E1524" t="s">
        <v>14033</v>
      </c>
      <c r="F1524" s="1">
        <v>893131</v>
      </c>
      <c r="G1524" s="1">
        <v>7274580833</v>
      </c>
      <c r="H1524" s="1">
        <v>16</v>
      </c>
      <c r="I1524" s="1" t="s">
        <v>13759</v>
      </c>
      <c r="J1524" t="s">
        <v>14034</v>
      </c>
    </row>
    <row r="1525" spans="1:10">
      <c r="A1525" s="1">
        <v>875336</v>
      </c>
      <c r="B1525" s="1">
        <v>4113038032</v>
      </c>
      <c r="C1525" s="1">
        <v>6</v>
      </c>
      <c r="D1525" s="1" t="s">
        <v>632</v>
      </c>
      <c r="E1525" t="s">
        <v>14033</v>
      </c>
      <c r="F1525" s="1">
        <v>892935</v>
      </c>
      <c r="G1525" s="1">
        <v>7274582025</v>
      </c>
      <c r="H1525" s="1">
        <v>3</v>
      </c>
      <c r="I1525" s="1" t="s">
        <v>14027</v>
      </c>
      <c r="J1525" t="s">
        <v>14035</v>
      </c>
    </row>
    <row r="1526" spans="1:10">
      <c r="A1526" s="1">
        <v>554766</v>
      </c>
      <c r="B1526" s="1">
        <v>4113038024</v>
      </c>
      <c r="C1526" s="1">
        <v>6</v>
      </c>
      <c r="D1526" s="1" t="s">
        <v>632</v>
      </c>
      <c r="E1526" t="s">
        <v>14036</v>
      </c>
      <c r="F1526" s="1">
        <v>899476</v>
      </c>
      <c r="G1526" s="1">
        <v>7274501152</v>
      </c>
      <c r="H1526" s="1">
        <v>26</v>
      </c>
      <c r="I1526" s="1" t="s">
        <v>1654</v>
      </c>
      <c r="J1526" t="s">
        <v>14037</v>
      </c>
    </row>
    <row r="1527" spans="1:10">
      <c r="A1527" s="1">
        <v>892398</v>
      </c>
      <c r="B1527" s="1">
        <v>4113038028</v>
      </c>
      <c r="C1527" s="1">
        <v>6</v>
      </c>
      <c r="D1527" s="1" t="s">
        <v>399</v>
      </c>
      <c r="E1527" t="s">
        <v>14038</v>
      </c>
      <c r="F1527" s="1">
        <v>899500</v>
      </c>
      <c r="G1527" s="1">
        <v>7274509976</v>
      </c>
      <c r="H1527" s="1">
        <v>12</v>
      </c>
      <c r="I1527" s="1" t="s">
        <v>4723</v>
      </c>
      <c r="J1527" t="s">
        <v>14039</v>
      </c>
    </row>
    <row r="1528" spans="1:10">
      <c r="A1528" s="1">
        <v>758037</v>
      </c>
      <c r="B1528" s="1">
        <v>7781520334</v>
      </c>
      <c r="C1528" s="1">
        <v>12</v>
      </c>
      <c r="D1528" s="1" t="s">
        <v>860</v>
      </c>
      <c r="E1528" t="s">
        <v>14040</v>
      </c>
      <c r="F1528" s="1">
        <v>466870</v>
      </c>
      <c r="G1528" s="1">
        <v>7274510112</v>
      </c>
      <c r="H1528" s="1">
        <v>12</v>
      </c>
      <c r="I1528" s="1" t="s">
        <v>13759</v>
      </c>
      <c r="J1528" t="s">
        <v>14041</v>
      </c>
    </row>
    <row r="1529" spans="1:10">
      <c r="A1529" s="1">
        <v>383216</v>
      </c>
      <c r="B1529" s="1">
        <v>7781520320</v>
      </c>
      <c r="C1529" s="1">
        <v>12</v>
      </c>
      <c r="D1529" s="1" t="s">
        <v>860</v>
      </c>
      <c r="E1529" t="s">
        <v>14042</v>
      </c>
      <c r="F1529" s="1">
        <v>64584</v>
      </c>
      <c r="G1529" s="1">
        <v>7274580096</v>
      </c>
      <c r="H1529" s="1">
        <v>12</v>
      </c>
      <c r="I1529" s="1" t="s">
        <v>14043</v>
      </c>
      <c r="J1529" t="s">
        <v>14044</v>
      </c>
    </row>
    <row r="1530" spans="1:10">
      <c r="A1530" s="1">
        <v>411132</v>
      </c>
      <c r="B1530" s="1">
        <v>7781515288</v>
      </c>
      <c r="C1530" s="1">
        <v>12</v>
      </c>
      <c r="D1530" s="1" t="s">
        <v>860</v>
      </c>
      <c r="E1530" t="s">
        <v>14045</v>
      </c>
      <c r="F1530" s="1">
        <v>893073</v>
      </c>
      <c r="G1530" s="1">
        <v>7274580843</v>
      </c>
      <c r="H1530" s="1">
        <v>40</v>
      </c>
      <c r="I1530" s="1" t="s">
        <v>1973</v>
      </c>
      <c r="J1530" t="s">
        <v>14046</v>
      </c>
    </row>
    <row r="1531" spans="1:10">
      <c r="A1531" s="1">
        <v>677906</v>
      </c>
      <c r="B1531" s="1">
        <v>7781512393</v>
      </c>
      <c r="C1531" s="1">
        <v>24</v>
      </c>
      <c r="D1531" s="1" t="s">
        <v>1973</v>
      </c>
      <c r="E1531" t="s">
        <v>14047</v>
      </c>
      <c r="F1531" s="1">
        <v>607903</v>
      </c>
      <c r="G1531" s="1">
        <v>3763807120</v>
      </c>
      <c r="H1531" s="1">
        <v>1</v>
      </c>
      <c r="I1531" s="1" t="s">
        <v>6597</v>
      </c>
      <c r="J1531" t="s">
        <v>14048</v>
      </c>
    </row>
    <row r="1532" spans="1:10">
      <c r="A1532" s="1">
        <v>259242</v>
      </c>
      <c r="B1532" s="1">
        <v>7781515244</v>
      </c>
      <c r="C1532" s="1">
        <v>12</v>
      </c>
      <c r="D1532" s="1" t="s">
        <v>860</v>
      </c>
      <c r="E1532" t="s">
        <v>14049</v>
      </c>
      <c r="F1532" s="1">
        <v>607895</v>
      </c>
      <c r="G1532" s="1">
        <v>3763807525</v>
      </c>
      <c r="H1532" s="1">
        <v>1</v>
      </c>
      <c r="I1532" s="1" t="s">
        <v>6597</v>
      </c>
      <c r="J1532" t="s">
        <v>14050</v>
      </c>
    </row>
    <row r="1533" spans="1:10">
      <c r="A1533" s="1">
        <v>774323</v>
      </c>
      <c r="B1533" s="1">
        <v>7781512438</v>
      </c>
      <c r="C1533" s="1">
        <v>1</v>
      </c>
      <c r="D1533" s="1" t="s">
        <v>6804</v>
      </c>
      <c r="E1533" t="s">
        <v>14051</v>
      </c>
      <c r="F1533" s="1">
        <v>697250</v>
      </c>
      <c r="G1533" s="1">
        <v>27496003513</v>
      </c>
      <c r="H1533" s="1">
        <v>16</v>
      </c>
      <c r="I1533" s="1" t="s">
        <v>13796</v>
      </c>
      <c r="J1533" t="s">
        <v>14052</v>
      </c>
    </row>
    <row r="1534" spans="1:10">
      <c r="A1534" s="1">
        <v>605485</v>
      </c>
      <c r="B1534" s="1">
        <v>7781515110</v>
      </c>
      <c r="C1534" s="1">
        <v>12</v>
      </c>
      <c r="D1534" s="1" t="s">
        <v>860</v>
      </c>
      <c r="E1534" t="s">
        <v>14053</v>
      </c>
      <c r="F1534" s="1">
        <v>373738</v>
      </c>
      <c r="G1534" s="1">
        <v>2370054011</v>
      </c>
      <c r="H1534" s="1">
        <v>128</v>
      </c>
      <c r="I1534" s="1" t="s">
        <v>14054</v>
      </c>
      <c r="J1534" t="s">
        <v>14055</v>
      </c>
    </row>
    <row r="1535" spans="1:10">
      <c r="A1535" s="1">
        <v>899799</v>
      </c>
      <c r="B1535" s="1">
        <v>7781536300</v>
      </c>
      <c r="C1535" s="1">
        <v>12</v>
      </c>
      <c r="D1535" s="1" t="s">
        <v>860</v>
      </c>
      <c r="E1535" t="s">
        <v>14056</v>
      </c>
      <c r="F1535" s="1">
        <v>672857</v>
      </c>
      <c r="G1535" s="1">
        <v>2370001753</v>
      </c>
      <c r="H1535" s="1">
        <v>1</v>
      </c>
      <c r="I1535" s="1" t="s">
        <v>4719</v>
      </c>
      <c r="J1535" t="s">
        <v>14057</v>
      </c>
    </row>
    <row r="1536" spans="1:10">
      <c r="A1536" s="1">
        <v>422584</v>
      </c>
      <c r="B1536" s="1">
        <v>7781517063</v>
      </c>
      <c r="C1536" s="1">
        <v>12</v>
      </c>
      <c r="D1536" s="1" t="s">
        <v>860</v>
      </c>
      <c r="E1536" t="s">
        <v>14058</v>
      </c>
      <c r="F1536" s="1">
        <v>587873</v>
      </c>
      <c r="G1536" s="1">
        <v>2370041407</v>
      </c>
      <c r="H1536" s="1">
        <v>4</v>
      </c>
      <c r="I1536" s="1" t="s">
        <v>4658</v>
      </c>
      <c r="J1536" t="s">
        <v>14059</v>
      </c>
    </row>
    <row r="1537" spans="1:10">
      <c r="A1537" s="1">
        <v>19216</v>
      </c>
      <c r="B1537" s="1">
        <v>7781512437</v>
      </c>
      <c r="C1537" s="1">
        <v>1</v>
      </c>
      <c r="D1537" s="1" t="s">
        <v>6804</v>
      </c>
      <c r="E1537" t="s">
        <v>14060</v>
      </c>
      <c r="F1537" s="1">
        <v>390179</v>
      </c>
      <c r="G1537" s="1">
        <v>2370001720</v>
      </c>
      <c r="H1537" s="1">
        <v>12</v>
      </c>
      <c r="I1537" s="1" t="s">
        <v>13659</v>
      </c>
      <c r="J1537" t="s">
        <v>14061</v>
      </c>
    </row>
    <row r="1538" spans="1:10">
      <c r="A1538" s="1">
        <v>459768</v>
      </c>
      <c r="B1538" s="1">
        <v>7111714484</v>
      </c>
      <c r="C1538" s="1">
        <v>6</v>
      </c>
      <c r="D1538" s="1" t="s">
        <v>1198</v>
      </c>
      <c r="E1538" t="s">
        <v>14062</v>
      </c>
      <c r="F1538" s="1">
        <v>198580</v>
      </c>
      <c r="G1538" s="1">
        <v>2370001718</v>
      </c>
      <c r="H1538" s="1">
        <v>12</v>
      </c>
      <c r="I1538" s="1" t="s">
        <v>8579</v>
      </c>
      <c r="J1538" t="s">
        <v>14063</v>
      </c>
    </row>
    <row r="1539" spans="1:10">
      <c r="A1539" s="1">
        <v>855684</v>
      </c>
      <c r="B1539" s="1">
        <v>7111714352</v>
      </c>
      <c r="C1539" s="1">
        <v>6</v>
      </c>
      <c r="D1539" s="1" t="s">
        <v>439</v>
      </c>
      <c r="E1539" t="s">
        <v>14064</v>
      </c>
      <c r="F1539" s="1">
        <v>239624</v>
      </c>
      <c r="G1539" s="1">
        <v>2370001719</v>
      </c>
      <c r="H1539" s="1">
        <v>12</v>
      </c>
      <c r="I1539" s="1" t="s">
        <v>13659</v>
      </c>
      <c r="J1539" t="s">
        <v>14065</v>
      </c>
    </row>
    <row r="1540" spans="1:10">
      <c r="A1540" s="1">
        <v>258806</v>
      </c>
      <c r="B1540" s="1">
        <v>7111714353</v>
      </c>
      <c r="C1540" s="1">
        <v>6</v>
      </c>
      <c r="D1540" s="1" t="s">
        <v>439</v>
      </c>
      <c r="E1540" t="s">
        <v>14066</v>
      </c>
      <c r="F1540" s="1">
        <v>199646</v>
      </c>
      <c r="G1540" s="1">
        <v>2370001721</v>
      </c>
      <c r="H1540" s="1">
        <v>12</v>
      </c>
      <c r="I1540" s="1" t="s">
        <v>13659</v>
      </c>
      <c r="J1540" t="s">
        <v>14067</v>
      </c>
    </row>
    <row r="1541" spans="1:10">
      <c r="A1541" s="1">
        <v>106245</v>
      </c>
      <c r="B1541" s="1">
        <v>7111714485</v>
      </c>
      <c r="C1541" s="1">
        <v>6</v>
      </c>
      <c r="D1541" s="1" t="s">
        <v>1198</v>
      </c>
      <c r="E1541" t="s">
        <v>14068</v>
      </c>
      <c r="F1541" s="1">
        <v>741645</v>
      </c>
      <c r="G1541" s="1">
        <v>2370051695</v>
      </c>
      <c r="H1541" s="1">
        <v>14</v>
      </c>
      <c r="I1541" s="1" t="s">
        <v>13759</v>
      </c>
      <c r="J1541" t="s">
        <v>14069</v>
      </c>
    </row>
    <row r="1542" spans="1:10">
      <c r="A1542" s="1">
        <v>345397</v>
      </c>
      <c r="B1542" s="1">
        <v>7111714487</v>
      </c>
      <c r="C1542" s="1">
        <v>6</v>
      </c>
      <c r="D1542" s="1" t="s">
        <v>439</v>
      </c>
      <c r="E1542" t="s">
        <v>14070</v>
      </c>
      <c r="F1542" s="1">
        <v>662700</v>
      </c>
      <c r="G1542" s="1">
        <v>22459380147</v>
      </c>
      <c r="H1542" s="1">
        <v>2</v>
      </c>
      <c r="I1542" s="1" t="s">
        <v>4658</v>
      </c>
      <c r="J1542" t="s">
        <v>14071</v>
      </c>
    </row>
    <row r="1543" spans="1:10">
      <c r="A1543" s="1">
        <v>186494</v>
      </c>
      <c r="B1543" s="1">
        <v>7111714483</v>
      </c>
      <c r="C1543" s="1">
        <v>6</v>
      </c>
      <c r="D1543" s="1" t="s">
        <v>1198</v>
      </c>
      <c r="E1543" t="s">
        <v>14072</v>
      </c>
      <c r="F1543" s="1">
        <v>662684</v>
      </c>
      <c r="G1543" s="1">
        <v>22459380145</v>
      </c>
      <c r="H1543" s="1">
        <v>2</v>
      </c>
      <c r="I1543" s="1" t="s">
        <v>4658</v>
      </c>
      <c r="J1543" t="s">
        <v>14073</v>
      </c>
    </row>
    <row r="1544" spans="1:10" ht="15.75">
      <c r="A1544" s="1">
        <v>107425</v>
      </c>
      <c r="B1544" s="1">
        <v>7111714356</v>
      </c>
      <c r="C1544" s="1">
        <v>6</v>
      </c>
      <c r="D1544" s="1" t="s">
        <v>938</v>
      </c>
      <c r="E1544" t="s">
        <v>14074</v>
      </c>
      <c r="F1544" s="4" t="s">
        <v>14075</v>
      </c>
      <c r="G1544" s="2"/>
      <c r="H1544" s="2"/>
      <c r="I1544" s="2"/>
      <c r="J1544" s="3"/>
    </row>
    <row r="1545" spans="1:10">
      <c r="A1545" s="1">
        <v>607465</v>
      </c>
      <c r="B1545" s="1">
        <v>7111714486</v>
      </c>
      <c r="C1545" s="1">
        <v>6</v>
      </c>
      <c r="D1545" s="1" t="s">
        <v>1387</v>
      </c>
      <c r="E1545" t="s">
        <v>14076</v>
      </c>
      <c r="F1545" s="2" t="s">
        <v>0</v>
      </c>
      <c r="G1545" s="2" t="s">
        <v>1</v>
      </c>
      <c r="H1545" s="2" t="s">
        <v>2</v>
      </c>
      <c r="I1545" s="2" t="s">
        <v>3</v>
      </c>
      <c r="J1545" s="3" t="s">
        <v>4</v>
      </c>
    </row>
    <row r="1546" spans="1:10" ht="15.75">
      <c r="A1546" s="4" t="s">
        <v>14025</v>
      </c>
      <c r="B1546" s="2"/>
      <c r="C1546" s="2"/>
      <c r="D1546" s="2"/>
      <c r="E1546" s="3"/>
      <c r="F1546" s="1">
        <v>16899</v>
      </c>
      <c r="G1546" s="1">
        <v>3150639512</v>
      </c>
      <c r="H1546" s="1">
        <v>3</v>
      </c>
      <c r="I1546" s="1" t="s">
        <v>11984</v>
      </c>
      <c r="J1546" t="s">
        <v>14077</v>
      </c>
    </row>
    <row r="1547" spans="1:10">
      <c r="A1547" s="2" t="s">
        <v>0</v>
      </c>
      <c r="B1547" s="2" t="s">
        <v>1</v>
      </c>
      <c r="C1547" s="2" t="s">
        <v>2</v>
      </c>
      <c r="D1547" s="2" t="s">
        <v>3</v>
      </c>
      <c r="E1547" s="3" t="s">
        <v>4</v>
      </c>
      <c r="F1547" s="1">
        <v>638023</v>
      </c>
      <c r="G1547" s="1">
        <v>3150639912</v>
      </c>
      <c r="H1547" s="1">
        <v>2</v>
      </c>
      <c r="I1547" s="1" t="s">
        <v>6600</v>
      </c>
      <c r="J1547" t="s">
        <v>14078</v>
      </c>
    </row>
    <row r="1548" spans="1:10">
      <c r="A1548" s="1">
        <v>768143</v>
      </c>
      <c r="B1548" s="1">
        <v>96979201135</v>
      </c>
      <c r="C1548" s="1">
        <v>1</v>
      </c>
      <c r="D1548" s="1" t="s">
        <v>4719</v>
      </c>
      <c r="E1548" t="s">
        <v>14079</v>
      </c>
      <c r="F1548" s="1">
        <v>402602</v>
      </c>
      <c r="G1548" s="1">
        <v>7091906294</v>
      </c>
      <c r="H1548" s="1">
        <v>2</v>
      </c>
      <c r="I1548" s="1" t="s">
        <v>11749</v>
      </c>
      <c r="J1548" t="s">
        <v>14080</v>
      </c>
    </row>
    <row r="1549" spans="1:10">
      <c r="A1549" s="1">
        <v>734681</v>
      </c>
      <c r="B1549" s="1">
        <v>7508072004</v>
      </c>
      <c r="C1549" s="1">
        <v>6</v>
      </c>
      <c r="D1549" s="1" t="s">
        <v>4658</v>
      </c>
      <c r="E1549" t="s">
        <v>14081</v>
      </c>
      <c r="F1549" s="1">
        <v>393470</v>
      </c>
      <c r="G1549" s="1">
        <v>7091906222</v>
      </c>
      <c r="H1549" s="1">
        <v>2</v>
      </c>
      <c r="I1549" s="1" t="s">
        <v>11984</v>
      </c>
      <c r="J1549" t="s">
        <v>14082</v>
      </c>
    </row>
    <row r="1550" spans="1:10">
      <c r="A1550" s="1">
        <v>546424</v>
      </c>
      <c r="B1550" s="1">
        <v>2370001893</v>
      </c>
      <c r="C1550" s="1">
        <v>12</v>
      </c>
      <c r="D1550" s="1" t="s">
        <v>8579</v>
      </c>
      <c r="E1550" t="s">
        <v>14083</v>
      </c>
      <c r="F1550" s="1">
        <v>422543</v>
      </c>
      <c r="G1550" s="1">
        <v>3150658904</v>
      </c>
      <c r="H1550" s="1">
        <v>8</v>
      </c>
      <c r="I1550" s="1" t="s">
        <v>4723</v>
      </c>
      <c r="J1550" t="s">
        <v>14084</v>
      </c>
    </row>
    <row r="1551" spans="1:10">
      <c r="A1551" s="1">
        <v>40147</v>
      </c>
      <c r="B1551" s="1">
        <v>1515100001</v>
      </c>
      <c r="C1551" s="1">
        <v>1</v>
      </c>
      <c r="D1551" s="1" t="s">
        <v>11650</v>
      </c>
      <c r="E1551" t="s">
        <v>14085</v>
      </c>
      <c r="F1551" s="1">
        <v>376293</v>
      </c>
      <c r="G1551" s="1">
        <v>3150635301</v>
      </c>
      <c r="H1551" s="1">
        <v>1</v>
      </c>
      <c r="I1551" s="1" t="s">
        <v>4658</v>
      </c>
      <c r="J1551" t="s">
        <v>14086</v>
      </c>
    </row>
    <row r="1552" spans="1:10">
      <c r="A1552" s="1">
        <v>472407</v>
      </c>
      <c r="B1552" s="1">
        <v>2730072828</v>
      </c>
      <c r="C1552" s="1">
        <v>2</v>
      </c>
      <c r="D1552" s="1" t="s">
        <v>11984</v>
      </c>
      <c r="E1552" t="s">
        <v>14087</v>
      </c>
      <c r="F1552" s="1">
        <v>543504</v>
      </c>
      <c r="G1552" s="1">
        <v>3150659304</v>
      </c>
      <c r="H1552" s="1">
        <v>8</v>
      </c>
      <c r="I1552" s="1" t="s">
        <v>4723</v>
      </c>
      <c r="J1552" t="s">
        <v>14088</v>
      </c>
    </row>
    <row r="1553" spans="1:10">
      <c r="A1553" s="1">
        <v>675801</v>
      </c>
      <c r="B1553" s="1">
        <v>1394107518</v>
      </c>
      <c r="C1553" s="1">
        <v>14</v>
      </c>
      <c r="D1553" s="1" t="s">
        <v>8</v>
      </c>
      <c r="E1553" t="s">
        <v>14089</v>
      </c>
      <c r="F1553" s="1">
        <v>228924</v>
      </c>
      <c r="G1553" s="1">
        <v>2730070357</v>
      </c>
      <c r="H1553" s="1">
        <v>2</v>
      </c>
      <c r="I1553" s="1" t="s">
        <v>14090</v>
      </c>
      <c r="J1553" t="s">
        <v>14091</v>
      </c>
    </row>
    <row r="1554" spans="1:10">
      <c r="A1554" s="1">
        <v>79152</v>
      </c>
      <c r="B1554" s="1">
        <v>1394107487</v>
      </c>
      <c r="C1554" s="1">
        <v>10</v>
      </c>
      <c r="D1554" s="1" t="s">
        <v>4815</v>
      </c>
      <c r="E1554" t="s">
        <v>14092</v>
      </c>
      <c r="F1554" s="1">
        <v>693192</v>
      </c>
      <c r="G1554" s="1">
        <v>22730070373</v>
      </c>
      <c r="H1554" s="1">
        <v>2</v>
      </c>
      <c r="I1554" s="1" t="s">
        <v>6600</v>
      </c>
      <c r="J1554" t="s">
        <v>14093</v>
      </c>
    </row>
    <row r="1555" spans="1:10">
      <c r="A1555" s="1">
        <v>695155</v>
      </c>
      <c r="B1555" s="1">
        <v>21394107509</v>
      </c>
      <c r="C1555" s="1">
        <v>12</v>
      </c>
      <c r="D1555" s="1" t="s">
        <v>8</v>
      </c>
      <c r="E1555" t="s">
        <v>14094</v>
      </c>
      <c r="F1555" s="1">
        <v>666800</v>
      </c>
      <c r="G1555" s="1">
        <v>22730070700</v>
      </c>
      <c r="H1555" s="1">
        <v>2</v>
      </c>
      <c r="I1555" s="1" t="s">
        <v>6600</v>
      </c>
      <c r="J1555" t="s">
        <v>14095</v>
      </c>
    </row>
    <row r="1556" spans="1:10">
      <c r="A1556" s="1">
        <v>899567</v>
      </c>
      <c r="B1556" s="1">
        <v>4172363555</v>
      </c>
      <c r="C1556" s="1">
        <v>40</v>
      </c>
      <c r="D1556" s="1" t="s">
        <v>1973</v>
      </c>
      <c r="E1556" t="s">
        <v>14096</v>
      </c>
      <c r="F1556" s="1">
        <v>899922</v>
      </c>
      <c r="G1556" s="1">
        <v>7080003252</v>
      </c>
      <c r="H1556" s="1">
        <v>2</v>
      </c>
      <c r="I1556" s="1" t="s">
        <v>12394</v>
      </c>
      <c r="J1556" t="s">
        <v>14097</v>
      </c>
    </row>
    <row r="1557" spans="1:10">
      <c r="A1557" s="1">
        <v>694745</v>
      </c>
      <c r="B1557" s="1">
        <v>4172300703</v>
      </c>
      <c r="C1557" s="1">
        <v>1</v>
      </c>
      <c r="D1557" s="1" t="s">
        <v>4652</v>
      </c>
      <c r="E1557" t="s">
        <v>14098</v>
      </c>
      <c r="F1557" s="1">
        <v>696393</v>
      </c>
      <c r="G1557" s="1">
        <v>7091902284</v>
      </c>
      <c r="H1557" s="1">
        <v>3</v>
      </c>
      <c r="I1557" s="1" t="s">
        <v>11984</v>
      </c>
      <c r="J1557" t="s">
        <v>14099</v>
      </c>
    </row>
    <row r="1558" spans="1:10">
      <c r="A1558" s="1">
        <v>394429</v>
      </c>
      <c r="B1558" s="1">
        <v>3760018367</v>
      </c>
      <c r="C1558" s="1">
        <v>6</v>
      </c>
      <c r="D1558" s="1" t="s">
        <v>14100</v>
      </c>
      <c r="E1558" t="s">
        <v>14101</v>
      </c>
      <c r="F1558" s="1">
        <v>757864</v>
      </c>
      <c r="G1558" s="1">
        <v>7091902277</v>
      </c>
      <c r="H1558" s="1">
        <v>2</v>
      </c>
      <c r="I1558" s="1" t="s">
        <v>6600</v>
      </c>
      <c r="J1558" t="s">
        <v>14102</v>
      </c>
    </row>
    <row r="1559" spans="1:10">
      <c r="A1559" s="1">
        <v>394338</v>
      </c>
      <c r="B1559" s="1">
        <v>3760010333</v>
      </c>
      <c r="C1559" s="1">
        <v>8</v>
      </c>
      <c r="D1559" s="1" t="s">
        <v>13543</v>
      </c>
      <c r="E1559" t="s">
        <v>14103</v>
      </c>
      <c r="F1559" s="1">
        <v>564476</v>
      </c>
      <c r="G1559" s="1">
        <v>7091902309</v>
      </c>
      <c r="H1559" s="1">
        <v>2</v>
      </c>
      <c r="I1559" s="1" t="s">
        <v>12394</v>
      </c>
      <c r="J1559" t="s">
        <v>14104</v>
      </c>
    </row>
    <row r="1560" spans="1:10" ht="15.75">
      <c r="A1560" s="4" t="s">
        <v>14075</v>
      </c>
      <c r="B1560" s="2"/>
      <c r="C1560" s="2"/>
      <c r="D1560" s="2"/>
      <c r="E1560" s="3"/>
      <c r="F1560" s="4" t="s">
        <v>14105</v>
      </c>
      <c r="G1560" s="2"/>
      <c r="H1560" s="2"/>
      <c r="I1560" s="2"/>
      <c r="J1560" s="3"/>
    </row>
    <row r="1561" spans="1:10">
      <c r="A1561" s="2" t="s">
        <v>0</v>
      </c>
      <c r="B1561" s="2" t="s">
        <v>1</v>
      </c>
      <c r="C1561" s="2" t="s">
        <v>2</v>
      </c>
      <c r="D1561" s="2" t="s">
        <v>3</v>
      </c>
      <c r="E1561" s="3" t="s">
        <v>4</v>
      </c>
      <c r="F1561" s="2" t="s">
        <v>0</v>
      </c>
      <c r="G1561" s="2" t="s">
        <v>1</v>
      </c>
      <c r="H1561" s="2" t="s">
        <v>2</v>
      </c>
      <c r="I1561" s="2" t="s">
        <v>3</v>
      </c>
      <c r="J1561" s="3" t="s">
        <v>4</v>
      </c>
    </row>
    <row r="1562" spans="1:10">
      <c r="A1562" s="1">
        <v>698829</v>
      </c>
      <c r="B1562" s="1">
        <v>23760013507</v>
      </c>
      <c r="C1562" s="1">
        <v>2</v>
      </c>
      <c r="D1562" s="1" t="s">
        <v>12394</v>
      </c>
      <c r="E1562" t="s">
        <v>14106</v>
      </c>
      <c r="F1562" s="1">
        <v>436196</v>
      </c>
      <c r="G1562" s="1">
        <v>7846510367</v>
      </c>
      <c r="H1562" s="1">
        <v>2</v>
      </c>
      <c r="I1562" s="1" t="s">
        <v>4719</v>
      </c>
      <c r="J1562" t="s">
        <v>14107</v>
      </c>
    </row>
    <row r="1563" spans="1:10">
      <c r="A1563" s="1">
        <v>674929</v>
      </c>
      <c r="B1563" s="1">
        <v>23760004230</v>
      </c>
      <c r="C1563" s="1">
        <v>9</v>
      </c>
      <c r="D1563" s="1" t="s">
        <v>4658</v>
      </c>
      <c r="E1563" t="s">
        <v>14108</v>
      </c>
      <c r="F1563" s="1">
        <v>757773</v>
      </c>
      <c r="G1563" s="1">
        <v>7846510382</v>
      </c>
      <c r="H1563" s="1">
        <v>4</v>
      </c>
      <c r="I1563" s="1" t="s">
        <v>4658</v>
      </c>
      <c r="J1563" t="s">
        <v>14109</v>
      </c>
    </row>
    <row r="1564" spans="1:10">
      <c r="A1564" s="1">
        <v>666123</v>
      </c>
      <c r="B1564" s="1">
        <v>24530004007</v>
      </c>
      <c r="C1564" s="1">
        <v>1</v>
      </c>
      <c r="D1564" s="1" t="s">
        <v>4719</v>
      </c>
      <c r="E1564" t="s">
        <v>14110</v>
      </c>
      <c r="F1564" s="1">
        <v>278523</v>
      </c>
      <c r="G1564" s="1">
        <v>1000075195</v>
      </c>
      <c r="H1564" s="1">
        <v>2</v>
      </c>
      <c r="I1564" s="1" t="s">
        <v>4658</v>
      </c>
      <c r="J1564" t="s">
        <v>14111</v>
      </c>
    </row>
    <row r="1565" spans="1:10">
      <c r="A1565" s="1">
        <v>455360</v>
      </c>
      <c r="B1565" s="1">
        <v>3907390115</v>
      </c>
      <c r="C1565" s="1">
        <v>2</v>
      </c>
      <c r="D1565" s="1" t="s">
        <v>12721</v>
      </c>
      <c r="E1565" t="s">
        <v>14112</v>
      </c>
      <c r="F1565" s="1">
        <v>685735</v>
      </c>
      <c r="G1565" s="1">
        <v>22055912022</v>
      </c>
      <c r="H1565" s="1">
        <v>2</v>
      </c>
      <c r="I1565" s="1" t="s">
        <v>4658</v>
      </c>
      <c r="J1565" t="s">
        <v>14113</v>
      </c>
    </row>
    <row r="1566" spans="1:10">
      <c r="A1566" s="1">
        <v>486357</v>
      </c>
      <c r="B1566" s="1">
        <v>3907304075</v>
      </c>
      <c r="C1566" s="1">
        <v>6</v>
      </c>
      <c r="D1566" s="1" t="s">
        <v>6754</v>
      </c>
      <c r="E1566" t="s">
        <v>14114</v>
      </c>
      <c r="F1566" s="1">
        <v>852525</v>
      </c>
      <c r="G1566" s="1">
        <v>7080006052</v>
      </c>
      <c r="H1566" s="1">
        <v>1</v>
      </c>
      <c r="I1566" s="1" t="s">
        <v>4719</v>
      </c>
      <c r="J1566" t="s">
        <v>14115</v>
      </c>
    </row>
    <row r="1567" spans="1:10">
      <c r="A1567" s="1">
        <v>403394</v>
      </c>
      <c r="B1567" s="1">
        <v>3907304134</v>
      </c>
      <c r="C1567" s="1">
        <v>2</v>
      </c>
      <c r="D1567" s="1" t="s">
        <v>12721</v>
      </c>
      <c r="E1567" t="s">
        <v>14116</v>
      </c>
      <c r="F1567" s="1">
        <v>892786</v>
      </c>
      <c r="G1567" s="1">
        <v>7080006009</v>
      </c>
      <c r="H1567" s="1">
        <v>4</v>
      </c>
      <c r="I1567" s="1" t="s">
        <v>4658</v>
      </c>
      <c r="J1567" t="s">
        <v>14117</v>
      </c>
    </row>
    <row r="1568" spans="1:10">
      <c r="A1568" s="1">
        <v>355727</v>
      </c>
      <c r="B1568" s="1">
        <v>3907303230</v>
      </c>
      <c r="C1568" s="1">
        <v>2</v>
      </c>
      <c r="D1568" s="1" t="s">
        <v>6804</v>
      </c>
      <c r="E1568" t="s">
        <v>14118</v>
      </c>
      <c r="F1568" s="1">
        <v>734640</v>
      </c>
      <c r="G1568" s="1">
        <v>7080006040</v>
      </c>
      <c r="H1568" s="1">
        <v>2</v>
      </c>
      <c r="I1568" s="1" t="s">
        <v>6804</v>
      </c>
      <c r="J1568" t="s">
        <v>14119</v>
      </c>
    </row>
    <row r="1569" spans="1:10" ht="15.75">
      <c r="A1569" s="1">
        <v>304709</v>
      </c>
      <c r="B1569" s="1">
        <v>3907304771</v>
      </c>
      <c r="C1569" s="1">
        <v>2</v>
      </c>
      <c r="D1569" s="1" t="s">
        <v>4719</v>
      </c>
      <c r="E1569" t="s">
        <v>14120</v>
      </c>
      <c r="F1569" s="4" t="s">
        <v>14121</v>
      </c>
      <c r="G1569" s="2"/>
      <c r="H1569" s="2"/>
      <c r="I1569" s="2"/>
      <c r="J1569" s="3"/>
    </row>
    <row r="1570" spans="1:10">
      <c r="A1570" s="1">
        <v>323055</v>
      </c>
      <c r="B1570" s="1">
        <v>3907304078</v>
      </c>
      <c r="C1570" s="1">
        <v>14</v>
      </c>
      <c r="D1570" s="1" t="s">
        <v>399</v>
      </c>
      <c r="E1570" t="s">
        <v>14122</v>
      </c>
      <c r="F1570" s="2" t="s">
        <v>0</v>
      </c>
      <c r="G1570" s="2" t="s">
        <v>1</v>
      </c>
      <c r="H1570" s="2" t="s">
        <v>2</v>
      </c>
      <c r="I1570" s="2" t="s">
        <v>3</v>
      </c>
      <c r="J1570" s="3" t="s">
        <v>4</v>
      </c>
    </row>
    <row r="1571" spans="1:10">
      <c r="A1571" s="1">
        <v>150904</v>
      </c>
      <c r="B1571" s="1">
        <v>3907302182</v>
      </c>
      <c r="C1571" s="1">
        <v>2</v>
      </c>
      <c r="D1571" s="1" t="s">
        <v>14123</v>
      </c>
      <c r="E1571" t="s">
        <v>14124</v>
      </c>
      <c r="F1571" s="1">
        <v>666958</v>
      </c>
      <c r="G1571" s="1">
        <v>27495619301</v>
      </c>
      <c r="H1571" s="1">
        <v>2</v>
      </c>
      <c r="I1571" s="1" t="s">
        <v>11749</v>
      </c>
      <c r="J1571" t="s">
        <v>14125</v>
      </c>
    </row>
    <row r="1572" spans="1:10">
      <c r="A1572" s="1">
        <v>463455</v>
      </c>
      <c r="B1572" s="1">
        <v>3907304201</v>
      </c>
      <c r="C1572" s="1">
        <v>2</v>
      </c>
      <c r="D1572" s="1" t="s">
        <v>4719</v>
      </c>
      <c r="E1572" t="s">
        <v>14126</v>
      </c>
      <c r="F1572" s="1">
        <v>771816</v>
      </c>
      <c r="G1572" s="1">
        <v>3760031234</v>
      </c>
      <c r="H1572" s="1">
        <v>24</v>
      </c>
      <c r="I1572" s="1" t="s">
        <v>546</v>
      </c>
      <c r="J1572" t="s">
        <v>14127</v>
      </c>
    </row>
    <row r="1573" spans="1:10">
      <c r="A1573" s="1">
        <v>734616</v>
      </c>
      <c r="B1573" s="1">
        <v>7846510445</v>
      </c>
      <c r="C1573" s="1">
        <v>2</v>
      </c>
      <c r="D1573" s="1" t="s">
        <v>6600</v>
      </c>
      <c r="E1573" t="s">
        <v>14128</v>
      </c>
      <c r="F1573" s="1">
        <v>315903</v>
      </c>
      <c r="G1573" s="1">
        <v>3760033352</v>
      </c>
      <c r="H1573" s="1">
        <v>4</v>
      </c>
      <c r="I1573" s="1" t="s">
        <v>4658</v>
      </c>
      <c r="J1573" t="s">
        <v>14129</v>
      </c>
    </row>
    <row r="1574" spans="1:10">
      <c r="A1574" s="1">
        <v>734624</v>
      </c>
      <c r="B1574" s="1">
        <v>7846510565</v>
      </c>
      <c r="C1574" s="1">
        <v>1</v>
      </c>
      <c r="D1574" s="1" t="s">
        <v>4719</v>
      </c>
      <c r="E1574" t="s">
        <v>14130</v>
      </c>
      <c r="F1574" s="1">
        <v>839506</v>
      </c>
      <c r="G1574" s="1">
        <v>3760020588</v>
      </c>
      <c r="H1574" s="1">
        <v>4</v>
      </c>
      <c r="I1574" s="1" t="s">
        <v>4723</v>
      </c>
      <c r="J1574" t="s">
        <v>14131</v>
      </c>
    </row>
    <row r="1575" spans="1:10">
      <c r="A1575" s="1">
        <v>505537</v>
      </c>
      <c r="B1575" s="1">
        <v>7846510431</v>
      </c>
      <c r="C1575" s="1">
        <v>1</v>
      </c>
      <c r="D1575" s="1" t="s">
        <v>4719</v>
      </c>
      <c r="E1575" t="s">
        <v>14132</v>
      </c>
      <c r="F1575" s="1">
        <v>268854</v>
      </c>
      <c r="G1575" s="1">
        <v>3760002958</v>
      </c>
      <c r="H1575" s="1">
        <v>4</v>
      </c>
      <c r="I1575" s="1" t="s">
        <v>4723</v>
      </c>
      <c r="J1575" t="s">
        <v>14133</v>
      </c>
    </row>
    <row r="1576" spans="1:10">
      <c r="A1576" s="1">
        <v>666255</v>
      </c>
      <c r="B1576" s="1">
        <v>27846504012</v>
      </c>
      <c r="C1576" s="1">
        <v>2</v>
      </c>
      <c r="D1576" s="1" t="s">
        <v>6600</v>
      </c>
      <c r="E1576" t="s">
        <v>14134</v>
      </c>
      <c r="F1576" s="1">
        <v>169516</v>
      </c>
      <c r="G1576" s="1">
        <v>3760023159</v>
      </c>
      <c r="H1576" s="1">
        <v>4</v>
      </c>
      <c r="I1576" s="1" t="s">
        <v>4658</v>
      </c>
      <c r="J1576" t="s">
        <v>14135</v>
      </c>
    </row>
    <row r="1577" spans="1:10">
      <c r="A1577" s="1">
        <v>169011</v>
      </c>
      <c r="B1577" s="1">
        <v>7846510453</v>
      </c>
      <c r="C1577" s="1">
        <v>4</v>
      </c>
      <c r="D1577" s="1" t="s">
        <v>11749</v>
      </c>
      <c r="E1577" t="s">
        <v>14136</v>
      </c>
      <c r="F1577" s="1">
        <v>351072</v>
      </c>
      <c r="G1577" s="1">
        <v>3760036753</v>
      </c>
      <c r="H1577" s="1">
        <v>4</v>
      </c>
      <c r="I1577" s="1" t="s">
        <v>4723</v>
      </c>
      <c r="J1577" t="s">
        <v>14137</v>
      </c>
    </row>
    <row r="1578" spans="1:10">
      <c r="A1578" s="1">
        <v>262709</v>
      </c>
      <c r="B1578" s="1">
        <v>1800205525</v>
      </c>
      <c r="C1578" s="1">
        <v>2</v>
      </c>
      <c r="D1578" s="1" t="s">
        <v>4719</v>
      </c>
      <c r="E1578" t="s">
        <v>14138</v>
      </c>
      <c r="F1578" s="1">
        <v>550434</v>
      </c>
      <c r="G1578" s="1">
        <v>3907301910</v>
      </c>
      <c r="H1578" s="1">
        <v>4</v>
      </c>
      <c r="I1578" s="1" t="s">
        <v>4815</v>
      </c>
      <c r="J1578" t="s">
        <v>14139</v>
      </c>
    </row>
    <row r="1579" spans="1:10">
      <c r="A1579" s="1">
        <v>685271</v>
      </c>
      <c r="B1579" s="1">
        <v>7597116844</v>
      </c>
      <c r="C1579" s="1">
        <v>2</v>
      </c>
      <c r="D1579" s="1" t="s">
        <v>6754</v>
      </c>
      <c r="E1579" t="s">
        <v>14140</v>
      </c>
      <c r="F1579" s="1">
        <v>511907</v>
      </c>
      <c r="G1579" s="1">
        <v>3907302221</v>
      </c>
      <c r="H1579" s="1">
        <v>4</v>
      </c>
      <c r="I1579" s="1" t="s">
        <v>4723</v>
      </c>
      <c r="J1579" t="s">
        <v>14141</v>
      </c>
    </row>
    <row r="1580" spans="1:10">
      <c r="A1580" s="1">
        <v>653220</v>
      </c>
      <c r="B1580" s="1">
        <v>7597112954</v>
      </c>
      <c r="C1580" s="1">
        <v>2</v>
      </c>
      <c r="D1580" s="1" t="s">
        <v>6754</v>
      </c>
      <c r="E1580" t="s">
        <v>14142</v>
      </c>
      <c r="F1580" s="1">
        <v>745455</v>
      </c>
      <c r="G1580" s="1">
        <v>2781541103</v>
      </c>
      <c r="H1580" s="1">
        <v>12</v>
      </c>
      <c r="I1580" s="1" t="s">
        <v>399</v>
      </c>
      <c r="J1580" t="s">
        <v>14143</v>
      </c>
    </row>
    <row r="1581" spans="1:10">
      <c r="A1581" s="1">
        <v>656090</v>
      </c>
      <c r="B1581" s="1">
        <v>7597112974</v>
      </c>
      <c r="C1581" s="1">
        <v>3</v>
      </c>
      <c r="D1581" s="1" t="s">
        <v>6754</v>
      </c>
      <c r="E1581" t="s">
        <v>14144</v>
      </c>
      <c r="F1581" s="1">
        <v>849463</v>
      </c>
      <c r="G1581" s="1">
        <v>2781541100</v>
      </c>
      <c r="H1581" s="1">
        <v>12</v>
      </c>
      <c r="I1581" s="1" t="s">
        <v>399</v>
      </c>
      <c r="J1581" t="s">
        <v>14145</v>
      </c>
    </row>
    <row r="1582" spans="1:10">
      <c r="A1582" s="1">
        <v>319475</v>
      </c>
      <c r="B1582" s="1">
        <v>7080006092</v>
      </c>
      <c r="C1582" s="1">
        <v>4</v>
      </c>
      <c r="D1582" s="1" t="s">
        <v>14146</v>
      </c>
      <c r="E1582" t="s">
        <v>14147</v>
      </c>
      <c r="F1582" s="1">
        <v>890707</v>
      </c>
      <c r="G1582" s="1">
        <v>3861636037</v>
      </c>
      <c r="H1582" s="1">
        <v>20</v>
      </c>
      <c r="I1582" s="1" t="s">
        <v>399</v>
      </c>
      <c r="J1582" t="s">
        <v>14148</v>
      </c>
    </row>
    <row r="1583" spans="1:10">
      <c r="A1583" s="1">
        <v>665745</v>
      </c>
      <c r="B1583" s="1">
        <v>27080005861</v>
      </c>
      <c r="C1583" s="1">
        <v>2</v>
      </c>
      <c r="D1583" s="1" t="s">
        <v>12394</v>
      </c>
      <c r="E1583" t="s">
        <v>14149</v>
      </c>
      <c r="F1583" s="1">
        <v>339960</v>
      </c>
      <c r="G1583" s="1">
        <v>7846510345</v>
      </c>
      <c r="H1583" s="1">
        <v>1</v>
      </c>
      <c r="I1583" s="1" t="s">
        <v>6804</v>
      </c>
      <c r="J1583" t="s">
        <v>14150</v>
      </c>
    </row>
    <row r="1584" spans="1:10">
      <c r="A1584" s="1">
        <v>665992</v>
      </c>
      <c r="B1584" s="1">
        <v>22440015019</v>
      </c>
      <c r="C1584" s="1">
        <v>2</v>
      </c>
      <c r="D1584" s="1" t="s">
        <v>4658</v>
      </c>
      <c r="E1584" t="s">
        <v>14151</v>
      </c>
      <c r="F1584" s="1">
        <v>666974</v>
      </c>
      <c r="G1584" s="1">
        <v>27846504052</v>
      </c>
      <c r="H1584" s="1">
        <v>2</v>
      </c>
      <c r="I1584" s="1" t="s">
        <v>6760</v>
      </c>
      <c r="J1584" t="s">
        <v>14152</v>
      </c>
    </row>
    <row r="1585" spans="1:10">
      <c r="A1585" s="1">
        <v>734632</v>
      </c>
      <c r="B1585" s="1">
        <v>7080005051</v>
      </c>
      <c r="C1585" s="1">
        <v>2</v>
      </c>
      <c r="D1585" s="1" t="s">
        <v>6804</v>
      </c>
      <c r="E1585" t="s">
        <v>14153</v>
      </c>
      <c r="F1585" s="1">
        <v>563429</v>
      </c>
      <c r="G1585" s="1">
        <v>7846510062</v>
      </c>
      <c r="H1585" s="1">
        <v>4</v>
      </c>
      <c r="I1585" s="1" t="s">
        <v>1656</v>
      </c>
      <c r="J1585" t="s">
        <v>14154</v>
      </c>
    </row>
    <row r="1586" spans="1:10">
      <c r="A1586" s="1">
        <v>697912</v>
      </c>
      <c r="B1586" s="1">
        <v>7080030063</v>
      </c>
      <c r="C1586" s="1">
        <v>2</v>
      </c>
      <c r="D1586" s="1" t="s">
        <v>11984</v>
      </c>
      <c r="E1586" t="s">
        <v>14155</v>
      </c>
      <c r="F1586" s="1">
        <v>563403</v>
      </c>
      <c r="G1586" s="1">
        <v>7846510063</v>
      </c>
      <c r="H1586" s="1">
        <v>4</v>
      </c>
      <c r="I1586" s="1" t="s">
        <v>13543</v>
      </c>
      <c r="J1586" t="s">
        <v>14156</v>
      </c>
    </row>
    <row r="1587" spans="1:10">
      <c r="A1587" s="1">
        <v>168831</v>
      </c>
      <c r="B1587" s="1">
        <v>7080005062</v>
      </c>
      <c r="C1587" s="1">
        <v>4</v>
      </c>
      <c r="D1587" s="1" t="s">
        <v>6754</v>
      </c>
      <c r="E1587" t="s">
        <v>14157</v>
      </c>
      <c r="F1587" s="1">
        <v>688564</v>
      </c>
      <c r="G1587" s="1">
        <v>7597116661</v>
      </c>
      <c r="H1587" s="1">
        <v>12</v>
      </c>
      <c r="I1587" s="1" t="s">
        <v>394</v>
      </c>
      <c r="J1587" t="s">
        <v>14158</v>
      </c>
    </row>
    <row r="1588" spans="1:10">
      <c r="A1588" s="1">
        <v>189498</v>
      </c>
      <c r="B1588" s="1">
        <v>7080002256</v>
      </c>
      <c r="C1588" s="1">
        <v>4</v>
      </c>
      <c r="D1588" s="1" t="s">
        <v>6754</v>
      </c>
      <c r="E1588" t="s">
        <v>14159</v>
      </c>
      <c r="F1588" s="1">
        <v>195156</v>
      </c>
      <c r="G1588" s="1">
        <v>70800006166</v>
      </c>
      <c r="H1588" s="1">
        <v>4</v>
      </c>
      <c r="I1588" s="1" t="s">
        <v>11749</v>
      </c>
      <c r="J1588" t="s">
        <v>14160</v>
      </c>
    </row>
    <row r="1589" spans="1:10">
      <c r="A1589" s="1">
        <v>516922</v>
      </c>
      <c r="B1589" s="1">
        <v>4051028904</v>
      </c>
      <c r="C1589" s="1">
        <v>2</v>
      </c>
      <c r="D1589" s="1" t="s">
        <v>4658</v>
      </c>
      <c r="E1589" t="s">
        <v>14161</v>
      </c>
      <c r="F1589" s="1">
        <v>345710</v>
      </c>
      <c r="G1589" s="1">
        <v>70800006167</v>
      </c>
      <c r="H1589" s="1">
        <v>4</v>
      </c>
      <c r="I1589" s="1" t="s">
        <v>11749</v>
      </c>
      <c r="J1589" t="s">
        <v>14162</v>
      </c>
    </row>
    <row r="1590" spans="1:10" ht="15.75">
      <c r="A1590" s="1">
        <v>697243</v>
      </c>
      <c r="B1590" s="1">
        <v>27080002826</v>
      </c>
      <c r="C1590" s="1">
        <v>2</v>
      </c>
      <c r="D1590" s="1" t="s">
        <v>6751</v>
      </c>
      <c r="E1590" t="s">
        <v>14163</v>
      </c>
      <c r="F1590" s="4" t="s">
        <v>14164</v>
      </c>
      <c r="G1590" s="2"/>
      <c r="H1590" s="2"/>
      <c r="I1590" s="2"/>
      <c r="J1590" s="3"/>
    </row>
    <row r="1591" spans="1:10">
      <c r="A1591" s="1">
        <v>520791</v>
      </c>
      <c r="B1591" s="1">
        <v>7069550022</v>
      </c>
      <c r="C1591" s="1">
        <v>2</v>
      </c>
      <c r="D1591" s="1" t="s">
        <v>6600</v>
      </c>
      <c r="E1591" t="s">
        <v>14165</v>
      </c>
      <c r="F1591" s="2" t="s">
        <v>0</v>
      </c>
      <c r="G1591" s="2" t="s">
        <v>1</v>
      </c>
      <c r="H1591" s="2" t="s">
        <v>2</v>
      </c>
      <c r="I1591" s="2" t="s">
        <v>3</v>
      </c>
      <c r="J1591" s="3" t="s">
        <v>4</v>
      </c>
    </row>
    <row r="1592" spans="1:10" ht="15.75">
      <c r="A1592" s="4" t="s">
        <v>14105</v>
      </c>
      <c r="B1592" s="2"/>
      <c r="C1592" s="2"/>
      <c r="D1592" s="2"/>
      <c r="E1592" s="3"/>
      <c r="F1592" s="1">
        <v>804211</v>
      </c>
      <c r="G1592" s="1">
        <v>7091907729</v>
      </c>
      <c r="H1592" s="1">
        <v>2</v>
      </c>
      <c r="I1592" s="1" t="s">
        <v>11749</v>
      </c>
      <c r="J1592" t="s">
        <v>14166</v>
      </c>
    </row>
    <row r="1593" spans="1:10">
      <c r="A1593" s="2" t="s">
        <v>0</v>
      </c>
      <c r="B1593" s="2" t="s">
        <v>1</v>
      </c>
      <c r="C1593" s="2" t="s">
        <v>2</v>
      </c>
      <c r="D1593" s="2" t="s">
        <v>3</v>
      </c>
      <c r="E1593" s="3" t="s">
        <v>4</v>
      </c>
      <c r="F1593" s="1">
        <v>619361</v>
      </c>
      <c r="G1593" s="1">
        <v>510102832</v>
      </c>
      <c r="H1593" s="1">
        <v>2</v>
      </c>
      <c r="I1593" s="1" t="s">
        <v>11749</v>
      </c>
      <c r="J1593" t="s">
        <v>14167</v>
      </c>
    </row>
    <row r="1594" spans="1:10">
      <c r="A1594" s="1">
        <v>278937</v>
      </c>
      <c r="B1594" s="1">
        <v>7091903204</v>
      </c>
      <c r="C1594" s="1">
        <v>2</v>
      </c>
      <c r="D1594" s="1" t="s">
        <v>4658</v>
      </c>
      <c r="E1594" t="s">
        <v>14168</v>
      </c>
      <c r="F1594" s="1">
        <v>470278</v>
      </c>
      <c r="G1594" s="1">
        <v>510104832</v>
      </c>
      <c r="H1594" s="1">
        <v>2</v>
      </c>
      <c r="I1594" s="1" t="s">
        <v>11749</v>
      </c>
      <c r="J1594" t="s">
        <v>14169</v>
      </c>
    </row>
    <row r="1595" spans="1:10">
      <c r="A1595" s="1">
        <v>666719</v>
      </c>
      <c r="B1595" s="1">
        <v>22730004066</v>
      </c>
      <c r="C1595" s="1">
        <v>6</v>
      </c>
      <c r="D1595" s="1" t="s">
        <v>11749</v>
      </c>
      <c r="E1595" t="s">
        <v>14170</v>
      </c>
      <c r="F1595" s="1">
        <v>378398</v>
      </c>
      <c r="G1595" s="1">
        <v>510101832</v>
      </c>
      <c r="H1595" s="1">
        <v>2</v>
      </c>
      <c r="I1595" s="1" t="s">
        <v>11749</v>
      </c>
      <c r="J1595" t="s">
        <v>14171</v>
      </c>
    </row>
    <row r="1596" spans="1:10">
      <c r="A1596" s="1">
        <v>390401</v>
      </c>
      <c r="B1596" s="1">
        <v>22730012327</v>
      </c>
      <c r="C1596" s="1">
        <v>4</v>
      </c>
      <c r="D1596" s="1" t="s">
        <v>11749</v>
      </c>
      <c r="E1596" t="s">
        <v>14172</v>
      </c>
      <c r="F1596" s="1">
        <v>469635</v>
      </c>
      <c r="G1596" s="1">
        <v>3150655301</v>
      </c>
      <c r="H1596" s="1">
        <v>1</v>
      </c>
      <c r="I1596" s="1" t="s">
        <v>4658</v>
      </c>
      <c r="J1596" t="s">
        <v>14173</v>
      </c>
    </row>
    <row r="1597" spans="1:10">
      <c r="A1597" s="1">
        <v>693283</v>
      </c>
      <c r="B1597" s="1">
        <v>22730012338</v>
      </c>
      <c r="C1597" s="1">
        <v>2</v>
      </c>
      <c r="D1597" s="1" t="s">
        <v>6754</v>
      </c>
      <c r="E1597" t="s">
        <v>14174</v>
      </c>
      <c r="F1597" s="1">
        <v>487777</v>
      </c>
      <c r="G1597" s="1">
        <v>3153978026</v>
      </c>
      <c r="H1597" s="1">
        <v>2</v>
      </c>
      <c r="I1597" s="1" t="s">
        <v>4719</v>
      </c>
      <c r="J1597" t="s">
        <v>14175</v>
      </c>
    </row>
    <row r="1598" spans="1:10">
      <c r="A1598" s="1">
        <v>666636</v>
      </c>
      <c r="B1598" s="1">
        <v>22730012334</v>
      </c>
      <c r="C1598" s="1">
        <v>3</v>
      </c>
      <c r="D1598" s="1" t="s">
        <v>6600</v>
      </c>
      <c r="E1598" t="s">
        <v>13356</v>
      </c>
      <c r="F1598" s="1">
        <v>75739</v>
      </c>
      <c r="G1598" s="1">
        <v>510100331</v>
      </c>
      <c r="H1598" s="1">
        <v>2</v>
      </c>
      <c r="I1598" s="1" t="s">
        <v>4658</v>
      </c>
      <c r="J1598" t="s">
        <v>14176</v>
      </c>
    </row>
    <row r="1599" spans="1:10">
      <c r="A1599" s="1">
        <v>666628</v>
      </c>
      <c r="B1599" s="1">
        <v>27495619373</v>
      </c>
      <c r="C1599" s="1">
        <v>4</v>
      </c>
      <c r="D1599" s="1" t="s">
        <v>4815</v>
      </c>
      <c r="E1599" t="s">
        <v>14177</v>
      </c>
      <c r="F1599" s="1">
        <v>262501</v>
      </c>
      <c r="G1599" s="1">
        <v>510100104</v>
      </c>
      <c r="H1599" s="1">
        <v>2</v>
      </c>
      <c r="I1599" s="1" t="s">
        <v>4658</v>
      </c>
      <c r="J1599" t="s">
        <v>14178</v>
      </c>
    </row>
    <row r="1600" spans="1:10">
      <c r="A1600" s="1">
        <v>666685</v>
      </c>
      <c r="B1600" s="1">
        <v>27846504063</v>
      </c>
      <c r="C1600" s="1">
        <v>2</v>
      </c>
      <c r="D1600" s="1" t="s">
        <v>6760</v>
      </c>
      <c r="E1600" t="s">
        <v>14179</v>
      </c>
      <c r="F1600" s="1">
        <v>417378</v>
      </c>
      <c r="G1600" s="1">
        <v>5101000024</v>
      </c>
      <c r="H1600" s="1">
        <v>2</v>
      </c>
      <c r="I1600" s="1" t="s">
        <v>11749</v>
      </c>
      <c r="J1600" t="s">
        <v>14180</v>
      </c>
    </row>
    <row r="1601" spans="1:10" ht="15.75">
      <c r="A1601" s="4" t="s">
        <v>14164</v>
      </c>
      <c r="B1601" s="2"/>
      <c r="C1601" s="2"/>
      <c r="D1601" s="2"/>
      <c r="E1601" s="3"/>
      <c r="F1601" s="4" t="s">
        <v>14181</v>
      </c>
      <c r="G1601" s="2"/>
      <c r="H1601" s="2"/>
      <c r="I1601" s="2"/>
      <c r="J1601" s="3"/>
    </row>
    <row r="1602" spans="1:10">
      <c r="A1602" s="2" t="s">
        <v>0</v>
      </c>
      <c r="B1602" s="2" t="s">
        <v>1</v>
      </c>
      <c r="C1602" s="2" t="s">
        <v>2</v>
      </c>
      <c r="D1602" s="2" t="s">
        <v>3</v>
      </c>
      <c r="E1602" s="3" t="s">
        <v>4</v>
      </c>
      <c r="F1602" s="2" t="s">
        <v>0</v>
      </c>
      <c r="G1602" s="2" t="s">
        <v>1</v>
      </c>
      <c r="H1602" s="2" t="s">
        <v>2</v>
      </c>
      <c r="I1602" s="2" t="s">
        <v>3</v>
      </c>
      <c r="J1602" s="3" t="s">
        <v>4</v>
      </c>
    </row>
    <row r="1603" spans="1:10">
      <c r="A1603" s="1">
        <v>675983</v>
      </c>
      <c r="B1603" s="1">
        <v>27490473041</v>
      </c>
      <c r="C1603" s="1">
        <v>2</v>
      </c>
      <c r="D1603" s="1" t="s">
        <v>11749</v>
      </c>
      <c r="E1603" t="s">
        <v>14182</v>
      </c>
      <c r="F1603" s="1">
        <v>779314</v>
      </c>
      <c r="G1603" s="1">
        <v>7274500000</v>
      </c>
      <c r="H1603" s="1">
        <v>2</v>
      </c>
      <c r="I1603" s="1" t="s">
        <v>4719</v>
      </c>
      <c r="J1603" t="s">
        <v>14183</v>
      </c>
    </row>
    <row r="1604" spans="1:10">
      <c r="A1604" s="1">
        <v>677989</v>
      </c>
      <c r="B1604" s="1">
        <v>27490474751</v>
      </c>
      <c r="C1604" s="1">
        <v>2</v>
      </c>
      <c r="D1604" s="1" t="s">
        <v>11749</v>
      </c>
      <c r="E1604" t="s">
        <v>14184</v>
      </c>
      <c r="F1604" s="1">
        <v>384065</v>
      </c>
      <c r="G1604" s="1">
        <v>7274545020</v>
      </c>
      <c r="H1604" s="1">
        <v>2</v>
      </c>
      <c r="I1604" s="1" t="s">
        <v>11749</v>
      </c>
      <c r="J1604" t="s">
        <v>14185</v>
      </c>
    </row>
    <row r="1605" spans="1:10">
      <c r="A1605" s="1">
        <v>680868</v>
      </c>
      <c r="B1605" s="1">
        <v>27490475572</v>
      </c>
      <c r="C1605" s="1">
        <v>2</v>
      </c>
      <c r="D1605" s="1" t="s">
        <v>11749</v>
      </c>
      <c r="E1605" t="s">
        <v>14186</v>
      </c>
      <c r="F1605" s="1">
        <v>782516</v>
      </c>
      <c r="G1605" s="1">
        <v>7274565161</v>
      </c>
      <c r="H1605" s="1">
        <v>2</v>
      </c>
      <c r="I1605" s="1" t="s">
        <v>6754</v>
      </c>
      <c r="J1605" t="s">
        <v>14187</v>
      </c>
    </row>
    <row r="1606" spans="1:10">
      <c r="A1606" s="1">
        <v>320010</v>
      </c>
      <c r="B1606" s="1">
        <v>70800008404</v>
      </c>
      <c r="C1606" s="1">
        <v>2</v>
      </c>
      <c r="D1606" s="1" t="s">
        <v>11749</v>
      </c>
      <c r="E1606" t="s">
        <v>14188</v>
      </c>
      <c r="F1606" s="1">
        <v>693788</v>
      </c>
      <c r="G1606" s="1">
        <v>20000050246</v>
      </c>
      <c r="H1606" s="1">
        <v>2</v>
      </c>
      <c r="I1606" s="1" t="s">
        <v>6804</v>
      </c>
      <c r="J1606" t="s">
        <v>14189</v>
      </c>
    </row>
    <row r="1607" spans="1:10">
      <c r="A1607" s="1">
        <v>66480</v>
      </c>
      <c r="B1607" s="1">
        <v>70800008403</v>
      </c>
      <c r="C1607" s="1">
        <v>2</v>
      </c>
      <c r="D1607" s="1" t="s">
        <v>11749</v>
      </c>
      <c r="E1607" t="s">
        <v>14190</v>
      </c>
      <c r="F1607" s="1">
        <v>323808</v>
      </c>
      <c r="G1607" s="1">
        <v>1800204445</v>
      </c>
      <c r="H1607" s="1">
        <v>2</v>
      </c>
      <c r="I1607" s="1" t="s">
        <v>7136</v>
      </c>
      <c r="J1607" t="s">
        <v>14191</v>
      </c>
    </row>
    <row r="1608" spans="1:10">
      <c r="A1608" s="1">
        <v>521369</v>
      </c>
      <c r="B1608" s="1">
        <v>70800008400</v>
      </c>
      <c r="C1608" s="1">
        <v>2</v>
      </c>
      <c r="D1608" s="1" t="s">
        <v>11749</v>
      </c>
      <c r="E1608" t="s">
        <v>14192</v>
      </c>
      <c r="F1608" s="1">
        <v>679811</v>
      </c>
      <c r="G1608" s="1">
        <v>5340010907</v>
      </c>
      <c r="H1608" s="1">
        <v>2</v>
      </c>
      <c r="I1608" s="1" t="s">
        <v>4815</v>
      </c>
      <c r="J1608" t="s">
        <v>14193</v>
      </c>
    </row>
    <row r="1609" spans="1:10" ht="15.75">
      <c r="A1609" s="4" t="s">
        <v>14181</v>
      </c>
      <c r="B1609" s="2"/>
      <c r="C1609" s="2"/>
      <c r="D1609" s="2"/>
      <c r="E1609" s="3"/>
      <c r="F1609" s="1">
        <v>686063</v>
      </c>
      <c r="G1609" s="1">
        <v>7597110901</v>
      </c>
      <c r="H1609" s="1">
        <v>2</v>
      </c>
      <c r="I1609" s="1" t="s">
        <v>4815</v>
      </c>
      <c r="J1609" t="s">
        <v>14194</v>
      </c>
    </row>
    <row r="1610" spans="1:10">
      <c r="A1610" s="2" t="s">
        <v>0</v>
      </c>
      <c r="B1610" s="2" t="s">
        <v>1</v>
      </c>
      <c r="C1610" s="2" t="s">
        <v>2</v>
      </c>
      <c r="D1610" s="2" t="s">
        <v>3</v>
      </c>
      <c r="E1610" s="3" t="s">
        <v>4</v>
      </c>
      <c r="F1610" s="1">
        <v>683987</v>
      </c>
      <c r="G1610" s="1">
        <v>7597116460</v>
      </c>
      <c r="H1610" s="1">
        <v>3</v>
      </c>
      <c r="I1610" s="1" t="s">
        <v>4723</v>
      </c>
      <c r="J1610" t="s">
        <v>14195</v>
      </c>
    </row>
    <row r="1611" spans="1:10">
      <c r="A1611" s="1">
        <v>76323</v>
      </c>
      <c r="B1611" s="1">
        <v>4530028780</v>
      </c>
      <c r="C1611" s="1">
        <v>2</v>
      </c>
      <c r="D1611" s="1" t="s">
        <v>11749</v>
      </c>
      <c r="E1611" t="s">
        <v>14196</v>
      </c>
      <c r="F1611" s="1">
        <v>656421</v>
      </c>
      <c r="G1611" s="1">
        <v>7597116324</v>
      </c>
      <c r="H1611" s="1">
        <v>2</v>
      </c>
      <c r="I1611" s="1" t="s">
        <v>6760</v>
      </c>
      <c r="J1611" t="s">
        <v>14197</v>
      </c>
    </row>
    <row r="1612" spans="1:10">
      <c r="A1612" s="1">
        <v>202358</v>
      </c>
      <c r="B1612" s="1">
        <v>4530028769</v>
      </c>
      <c r="C1612" s="1">
        <v>2</v>
      </c>
      <c r="D1612" s="1" t="s">
        <v>11749</v>
      </c>
      <c r="E1612" t="s">
        <v>14198</v>
      </c>
      <c r="F1612" s="1">
        <v>683979</v>
      </c>
      <c r="G1612" s="1">
        <v>7597116326</v>
      </c>
      <c r="H1612" s="1">
        <v>3</v>
      </c>
      <c r="I1612" s="1" t="s">
        <v>14199</v>
      </c>
      <c r="J1612" t="s">
        <v>14200</v>
      </c>
    </row>
    <row r="1613" spans="1:10">
      <c r="A1613" s="1">
        <v>691055</v>
      </c>
      <c r="B1613" s="1">
        <v>24530027312</v>
      </c>
      <c r="C1613" s="1">
        <v>2</v>
      </c>
      <c r="D1613" s="1" t="s">
        <v>6804</v>
      </c>
      <c r="E1613" t="s">
        <v>14201</v>
      </c>
      <c r="F1613" s="1">
        <v>682039</v>
      </c>
      <c r="G1613" s="1">
        <v>7597116329</v>
      </c>
      <c r="H1613" s="1">
        <v>3</v>
      </c>
      <c r="I1613" s="1" t="s">
        <v>14199</v>
      </c>
      <c r="J1613" t="s">
        <v>14202</v>
      </c>
    </row>
    <row r="1614" spans="1:10">
      <c r="A1614" s="1">
        <v>656348</v>
      </c>
      <c r="B1614" s="1">
        <v>4530030621</v>
      </c>
      <c r="C1614" s="1">
        <v>2</v>
      </c>
      <c r="D1614" s="1" t="s">
        <v>6804</v>
      </c>
      <c r="E1614" t="s">
        <v>14203</v>
      </c>
      <c r="F1614" s="1">
        <v>412643</v>
      </c>
      <c r="G1614" s="1">
        <v>4220553009</v>
      </c>
      <c r="H1614" s="1">
        <v>2</v>
      </c>
      <c r="I1614" s="1" t="s">
        <v>6754</v>
      </c>
      <c r="J1614" t="s">
        <v>14204</v>
      </c>
    </row>
    <row r="1615" spans="1:10">
      <c r="A1615" s="1">
        <v>450353</v>
      </c>
      <c r="B1615" s="1">
        <v>4530029923</v>
      </c>
      <c r="C1615" s="1">
        <v>4</v>
      </c>
      <c r="D1615" s="1" t="s">
        <v>4719</v>
      </c>
      <c r="E1615" t="s">
        <v>14205</v>
      </c>
      <c r="F1615" s="1">
        <v>376657</v>
      </c>
      <c r="G1615" s="1">
        <v>4220580097</v>
      </c>
      <c r="H1615" s="1">
        <v>2</v>
      </c>
      <c r="I1615" s="1" t="s">
        <v>6754</v>
      </c>
      <c r="J1615" t="s">
        <v>14206</v>
      </c>
    </row>
    <row r="1616" spans="1:10">
      <c r="A1616" s="1">
        <v>656322</v>
      </c>
      <c r="B1616" s="1">
        <v>4530030622</v>
      </c>
      <c r="C1616" s="1">
        <v>2</v>
      </c>
      <c r="D1616" s="1" t="s">
        <v>6760</v>
      </c>
      <c r="E1616" t="s">
        <v>14207</v>
      </c>
      <c r="F1616" s="1">
        <v>674648</v>
      </c>
      <c r="G1616" s="1">
        <v>22459350188</v>
      </c>
      <c r="H1616" s="1">
        <v>3</v>
      </c>
      <c r="I1616" s="1" t="s">
        <v>11749</v>
      </c>
      <c r="J1616" t="s">
        <v>14208</v>
      </c>
    </row>
    <row r="1617" spans="1:10">
      <c r="A1617" s="1">
        <v>571885</v>
      </c>
      <c r="B1617" s="1">
        <v>7091906386</v>
      </c>
      <c r="C1617" s="1">
        <v>2</v>
      </c>
      <c r="D1617" s="1" t="s">
        <v>6760</v>
      </c>
      <c r="E1617" t="s">
        <v>14209</v>
      </c>
      <c r="F1617" s="1">
        <v>663807</v>
      </c>
      <c r="G1617" s="1">
        <v>22459350306</v>
      </c>
      <c r="H1617" s="1">
        <v>2</v>
      </c>
      <c r="I1617" s="1" t="s">
        <v>6804</v>
      </c>
      <c r="J1617" t="s">
        <v>14210</v>
      </c>
    </row>
    <row r="1618" spans="1:10">
      <c r="A1618" s="1">
        <v>21634</v>
      </c>
      <c r="B1618" s="1">
        <v>7091906376</v>
      </c>
      <c r="C1618" s="1">
        <v>3</v>
      </c>
      <c r="D1618" s="1" t="s">
        <v>4658</v>
      </c>
      <c r="E1618" t="s">
        <v>14211</v>
      </c>
      <c r="F1618" s="1">
        <v>663781</v>
      </c>
      <c r="G1618" s="1">
        <v>22459350304</v>
      </c>
      <c r="H1618" s="1">
        <v>2</v>
      </c>
      <c r="I1618" s="1" t="s">
        <v>6804</v>
      </c>
      <c r="J1618" t="s">
        <v>14212</v>
      </c>
    </row>
    <row r="1619" spans="1:10">
      <c r="A1619" s="1">
        <v>667071</v>
      </c>
      <c r="B1619" s="1">
        <v>7597110536</v>
      </c>
      <c r="C1619" s="1">
        <v>2</v>
      </c>
      <c r="D1619" s="1" t="s">
        <v>6760</v>
      </c>
      <c r="E1619" t="s">
        <v>14213</v>
      </c>
      <c r="F1619" s="1">
        <v>663518</v>
      </c>
      <c r="G1619" s="1">
        <v>22459350076</v>
      </c>
      <c r="H1619" s="1">
        <v>2</v>
      </c>
      <c r="I1619" s="1" t="s">
        <v>6760</v>
      </c>
      <c r="J1619" t="s">
        <v>14214</v>
      </c>
    </row>
    <row r="1620" spans="1:10">
      <c r="A1620" s="1">
        <v>100636</v>
      </c>
      <c r="B1620" s="1">
        <v>7597116102</v>
      </c>
      <c r="C1620" s="1">
        <v>2</v>
      </c>
      <c r="D1620" s="1" t="s">
        <v>4658</v>
      </c>
      <c r="E1620" t="s">
        <v>14215</v>
      </c>
      <c r="F1620" s="1">
        <v>699637</v>
      </c>
      <c r="G1620" s="1">
        <v>22459350095</v>
      </c>
      <c r="H1620" s="1">
        <v>2</v>
      </c>
      <c r="I1620" s="1" t="s">
        <v>6760</v>
      </c>
      <c r="J1620" t="s">
        <v>14216</v>
      </c>
    </row>
    <row r="1621" spans="1:10">
      <c r="A1621" s="1">
        <v>892539</v>
      </c>
      <c r="B1621" s="1">
        <v>7597116254</v>
      </c>
      <c r="C1621" s="1">
        <v>2</v>
      </c>
      <c r="D1621" s="1" t="s">
        <v>4719</v>
      </c>
      <c r="E1621" t="s">
        <v>14217</v>
      </c>
      <c r="F1621" s="1">
        <v>663906</v>
      </c>
      <c r="G1621" s="1">
        <v>22459350450</v>
      </c>
      <c r="H1621" s="1">
        <v>2</v>
      </c>
      <c r="I1621" s="1" t="s">
        <v>6754</v>
      </c>
      <c r="J1621" t="s">
        <v>14218</v>
      </c>
    </row>
    <row r="1622" spans="1:10">
      <c r="A1622" s="1">
        <v>439430</v>
      </c>
      <c r="B1622" s="1">
        <v>3150663104</v>
      </c>
      <c r="C1622" s="1">
        <v>8</v>
      </c>
      <c r="D1622" s="1" t="s">
        <v>4723</v>
      </c>
      <c r="E1622" t="s">
        <v>14219</v>
      </c>
      <c r="F1622" s="1">
        <v>687483</v>
      </c>
      <c r="G1622" s="1">
        <v>22459350434</v>
      </c>
      <c r="H1622" s="1">
        <v>2</v>
      </c>
      <c r="I1622" s="1" t="s">
        <v>4815</v>
      </c>
      <c r="J1622" t="s">
        <v>14220</v>
      </c>
    </row>
    <row r="1623" spans="1:10" ht="15.75">
      <c r="A1623" s="1">
        <v>22079</v>
      </c>
      <c r="B1623" s="1">
        <v>3150642601</v>
      </c>
      <c r="C1623" s="1">
        <v>1</v>
      </c>
      <c r="D1623" s="1" t="s">
        <v>4658</v>
      </c>
      <c r="E1623" t="s">
        <v>14221</v>
      </c>
      <c r="F1623" s="4" t="s">
        <v>14222</v>
      </c>
      <c r="G1623" s="2"/>
      <c r="H1623" s="2"/>
      <c r="I1623" s="2"/>
      <c r="J1623" s="3"/>
    </row>
    <row r="1624" spans="1:10">
      <c r="A1624" s="1">
        <v>374702</v>
      </c>
      <c r="B1624" s="1">
        <v>3150669802</v>
      </c>
      <c r="C1624" s="1">
        <v>2</v>
      </c>
      <c r="D1624" s="1" t="s">
        <v>11749</v>
      </c>
      <c r="E1624" t="s">
        <v>14223</v>
      </c>
      <c r="F1624" s="2" t="s">
        <v>0</v>
      </c>
      <c r="G1624" s="2" t="s">
        <v>1</v>
      </c>
      <c r="H1624" s="2" t="s">
        <v>2</v>
      </c>
      <c r="I1624" s="2" t="s">
        <v>3</v>
      </c>
      <c r="J1624" s="3" t="s">
        <v>4</v>
      </c>
    </row>
    <row r="1625" spans="1:10">
      <c r="A1625" s="1">
        <v>229302</v>
      </c>
      <c r="B1625" s="1">
        <v>6422050220</v>
      </c>
      <c r="C1625" s="1">
        <v>8</v>
      </c>
      <c r="D1625" s="1" t="s">
        <v>13543</v>
      </c>
      <c r="E1625" t="s">
        <v>14224</v>
      </c>
      <c r="F1625" s="1">
        <v>596924</v>
      </c>
      <c r="G1625" s="1">
        <v>5010034005</v>
      </c>
      <c r="H1625" s="1">
        <v>1</v>
      </c>
      <c r="I1625" s="1" t="s">
        <v>6600</v>
      </c>
      <c r="J1625" t="s">
        <v>14225</v>
      </c>
    </row>
    <row r="1626" spans="1:10">
      <c r="A1626" s="1">
        <v>749929</v>
      </c>
      <c r="B1626" s="1">
        <v>64220551046</v>
      </c>
      <c r="C1626" s="1">
        <v>4</v>
      </c>
      <c r="D1626" s="1" t="s">
        <v>6600</v>
      </c>
      <c r="E1626" t="s">
        <v>14226</v>
      </c>
      <c r="F1626" s="1">
        <v>11106</v>
      </c>
      <c r="G1626" s="1">
        <v>7367503580</v>
      </c>
      <c r="H1626" s="1">
        <v>2</v>
      </c>
      <c r="I1626" s="1" t="s">
        <v>4658</v>
      </c>
      <c r="J1626" t="s">
        <v>14227</v>
      </c>
    </row>
    <row r="1627" spans="1:10">
      <c r="A1627" s="1">
        <v>347880</v>
      </c>
      <c r="B1627" s="1">
        <v>64220551394</v>
      </c>
      <c r="C1627" s="1">
        <v>4</v>
      </c>
      <c r="D1627" s="1" t="s">
        <v>4719</v>
      </c>
      <c r="E1627" t="s">
        <v>14228</v>
      </c>
      <c r="F1627" s="1">
        <v>674770</v>
      </c>
      <c r="G1627" s="1">
        <v>22730012521</v>
      </c>
      <c r="H1627" s="1">
        <v>2</v>
      </c>
      <c r="I1627" s="1" t="s">
        <v>6760</v>
      </c>
      <c r="J1627" t="s">
        <v>14229</v>
      </c>
    </row>
    <row r="1628" spans="1:10">
      <c r="A1628" s="1">
        <v>420521</v>
      </c>
      <c r="B1628" s="1">
        <v>64220555373</v>
      </c>
      <c r="C1628" s="1">
        <v>4</v>
      </c>
      <c r="D1628" s="1" t="s">
        <v>6760</v>
      </c>
      <c r="E1628" t="s">
        <v>14230</v>
      </c>
      <c r="F1628" s="1">
        <v>667998</v>
      </c>
      <c r="G1628" s="1">
        <v>22730004174</v>
      </c>
      <c r="H1628" s="1">
        <v>4</v>
      </c>
      <c r="I1628" s="1" t="s">
        <v>4815</v>
      </c>
      <c r="J1628" t="s">
        <v>14231</v>
      </c>
    </row>
    <row r="1629" spans="1:10">
      <c r="A1629" s="1">
        <v>766725</v>
      </c>
      <c r="B1629" s="1">
        <v>64220550482</v>
      </c>
      <c r="C1629" s="1">
        <v>4</v>
      </c>
      <c r="D1629" s="1" t="s">
        <v>4719</v>
      </c>
      <c r="E1629" t="s">
        <v>14232</v>
      </c>
      <c r="F1629" s="1">
        <v>667899</v>
      </c>
      <c r="G1629" s="1">
        <v>22730012156</v>
      </c>
      <c r="H1629" s="1">
        <v>3</v>
      </c>
      <c r="I1629" s="1" t="s">
        <v>4723</v>
      </c>
      <c r="J1629" t="s">
        <v>14233</v>
      </c>
    </row>
    <row r="1630" spans="1:10">
      <c r="A1630" s="1">
        <v>171736</v>
      </c>
      <c r="B1630" s="1">
        <v>4222285400</v>
      </c>
      <c r="C1630" s="1">
        <v>2</v>
      </c>
      <c r="D1630" s="1" t="s">
        <v>6804</v>
      </c>
      <c r="E1630" t="s">
        <v>14234</v>
      </c>
      <c r="F1630" s="1">
        <v>697003</v>
      </c>
      <c r="G1630" s="1">
        <v>7091903170</v>
      </c>
      <c r="H1630" s="1">
        <v>3</v>
      </c>
      <c r="I1630" s="1" t="s">
        <v>4658</v>
      </c>
      <c r="J1630" t="s">
        <v>14235</v>
      </c>
    </row>
    <row r="1631" spans="1:10">
      <c r="A1631" s="1">
        <v>843110</v>
      </c>
      <c r="B1631" s="1">
        <v>4222286822</v>
      </c>
      <c r="C1631" s="1">
        <v>2</v>
      </c>
      <c r="D1631" s="1" t="s">
        <v>14236</v>
      </c>
      <c r="E1631" t="s">
        <v>14237</v>
      </c>
      <c r="F1631" s="1">
        <v>699652</v>
      </c>
      <c r="G1631" s="1">
        <v>7091903366</v>
      </c>
      <c r="H1631" s="1">
        <v>2</v>
      </c>
      <c r="I1631" s="1" t="s">
        <v>4658</v>
      </c>
      <c r="J1631" t="s">
        <v>14238</v>
      </c>
    </row>
    <row r="1632" spans="1:10">
      <c r="A1632" s="1">
        <v>473306</v>
      </c>
      <c r="B1632" s="1">
        <v>4222280281</v>
      </c>
      <c r="C1632" s="1">
        <v>2</v>
      </c>
      <c r="D1632" s="1" t="s">
        <v>11749</v>
      </c>
      <c r="E1632" t="s">
        <v>14239</v>
      </c>
      <c r="F1632" s="1">
        <v>517201</v>
      </c>
      <c r="G1632" s="1">
        <v>7846510249</v>
      </c>
      <c r="H1632" s="1">
        <v>2</v>
      </c>
      <c r="I1632" s="1" t="s">
        <v>8579</v>
      </c>
      <c r="J1632" t="s">
        <v>14240</v>
      </c>
    </row>
    <row r="1633" spans="1:10">
      <c r="A1633" s="1">
        <v>862151</v>
      </c>
      <c r="B1633" s="1">
        <v>3907368521</v>
      </c>
      <c r="C1633" s="1">
        <v>3</v>
      </c>
      <c r="D1633" s="1" t="s">
        <v>4815</v>
      </c>
      <c r="E1633" t="s">
        <v>14241</v>
      </c>
      <c r="F1633" s="1">
        <v>674796</v>
      </c>
      <c r="G1633" s="1">
        <v>27846504221</v>
      </c>
      <c r="H1633" s="1">
        <v>2</v>
      </c>
      <c r="I1633" s="1" t="s">
        <v>8579</v>
      </c>
      <c r="J1633" t="s">
        <v>14242</v>
      </c>
    </row>
    <row r="1634" spans="1:10">
      <c r="A1634" s="1">
        <v>755512</v>
      </c>
      <c r="B1634" s="1">
        <v>3907392643</v>
      </c>
      <c r="C1634" s="1">
        <v>2</v>
      </c>
      <c r="D1634" s="1" t="s">
        <v>6804</v>
      </c>
      <c r="E1634" t="s">
        <v>14243</v>
      </c>
      <c r="F1634" s="1">
        <v>548123</v>
      </c>
      <c r="G1634" s="1">
        <v>7384933711</v>
      </c>
      <c r="H1634" s="1">
        <v>10</v>
      </c>
      <c r="I1634" s="1" t="s">
        <v>1973</v>
      </c>
      <c r="J1634" t="s">
        <v>14244</v>
      </c>
    </row>
    <row r="1635" spans="1:10" ht="15.75">
      <c r="A1635" s="1">
        <v>349845</v>
      </c>
      <c r="B1635" s="1">
        <v>3907392644</v>
      </c>
      <c r="C1635" s="1">
        <v>2</v>
      </c>
      <c r="D1635" s="1" t="s">
        <v>6760</v>
      </c>
      <c r="E1635" t="s">
        <v>14245</v>
      </c>
      <c r="F1635" s="4" t="s">
        <v>14246</v>
      </c>
      <c r="G1635" s="2"/>
      <c r="H1635" s="2"/>
      <c r="I1635" s="2"/>
      <c r="J1635" s="3"/>
    </row>
    <row r="1636" spans="1:10">
      <c r="A1636" s="1">
        <v>524140</v>
      </c>
      <c r="B1636" s="1">
        <v>3907392647</v>
      </c>
      <c r="C1636" s="1">
        <v>2</v>
      </c>
      <c r="D1636" s="1" t="s">
        <v>6804</v>
      </c>
      <c r="E1636" t="s">
        <v>14247</v>
      </c>
      <c r="F1636" s="2" t="s">
        <v>0</v>
      </c>
      <c r="G1636" s="2" t="s">
        <v>1</v>
      </c>
      <c r="H1636" s="2" t="s">
        <v>2</v>
      </c>
      <c r="I1636" s="2" t="s">
        <v>3</v>
      </c>
      <c r="J1636" s="3" t="s">
        <v>4</v>
      </c>
    </row>
    <row r="1637" spans="1:10">
      <c r="A1637" s="1">
        <v>748897</v>
      </c>
      <c r="B1637" s="1">
        <v>3907368520</v>
      </c>
      <c r="C1637" s="1">
        <v>3</v>
      </c>
      <c r="D1637" s="1" t="s">
        <v>4658</v>
      </c>
      <c r="E1637" t="s">
        <v>14248</v>
      </c>
      <c r="F1637" s="1">
        <v>821652</v>
      </c>
      <c r="G1637" s="1">
        <v>4113081054</v>
      </c>
      <c r="H1637" s="1">
        <v>20</v>
      </c>
      <c r="I1637" s="1" t="s">
        <v>381</v>
      </c>
      <c r="J1637" t="s">
        <v>14249</v>
      </c>
    </row>
    <row r="1638" spans="1:10">
      <c r="A1638" s="1">
        <v>777433</v>
      </c>
      <c r="B1638" s="1">
        <v>4220552094</v>
      </c>
      <c r="C1638" s="1">
        <v>2</v>
      </c>
      <c r="D1638" s="1" t="s">
        <v>12721</v>
      </c>
      <c r="E1638" t="s">
        <v>14250</v>
      </c>
      <c r="F1638" s="1">
        <v>879148</v>
      </c>
      <c r="G1638" s="1">
        <v>7012014343</v>
      </c>
      <c r="H1638" s="1">
        <v>5</v>
      </c>
      <c r="I1638" s="1" t="s">
        <v>860</v>
      </c>
      <c r="J1638" t="s">
        <v>14251</v>
      </c>
    </row>
    <row r="1639" spans="1:10">
      <c r="A1639" s="1">
        <v>403642</v>
      </c>
      <c r="B1639" s="1">
        <v>7274545019</v>
      </c>
      <c r="C1639" s="1">
        <v>2</v>
      </c>
      <c r="D1639" s="1" t="s">
        <v>11749</v>
      </c>
      <c r="E1639" t="s">
        <v>14252</v>
      </c>
      <c r="F1639" s="1">
        <v>583773</v>
      </c>
      <c r="G1639" s="1">
        <v>8505041008</v>
      </c>
      <c r="H1639" s="1">
        <v>6</v>
      </c>
      <c r="I1639" s="1" t="s">
        <v>4815</v>
      </c>
      <c r="J1639" t="s">
        <v>14253</v>
      </c>
    </row>
    <row r="1640" spans="1:10">
      <c r="A1640" s="1">
        <v>779306</v>
      </c>
      <c r="B1640" s="1">
        <v>7274500000</v>
      </c>
      <c r="C1640" s="1">
        <v>2</v>
      </c>
      <c r="D1640" s="1" t="s">
        <v>6760</v>
      </c>
      <c r="E1640" t="s">
        <v>14254</v>
      </c>
      <c r="F1640" s="1">
        <v>321224</v>
      </c>
      <c r="G1640" s="1">
        <v>8505009152</v>
      </c>
      <c r="H1640" s="1">
        <v>8</v>
      </c>
      <c r="I1640" s="1" t="s">
        <v>439</v>
      </c>
      <c r="J1640" t="s">
        <v>14255</v>
      </c>
    </row>
    <row r="1641" spans="1:10">
      <c r="A1641" s="1">
        <v>779322</v>
      </c>
      <c r="B1641" s="1">
        <v>7274500000</v>
      </c>
      <c r="C1641" s="1">
        <v>2</v>
      </c>
      <c r="D1641" s="1" t="s">
        <v>4719</v>
      </c>
      <c r="E1641" t="s">
        <v>14256</v>
      </c>
      <c r="F1641" s="1">
        <v>700575</v>
      </c>
      <c r="G1641" s="1">
        <v>8505002411</v>
      </c>
      <c r="H1641" s="1">
        <v>10</v>
      </c>
      <c r="I1641" s="1" t="s">
        <v>860</v>
      </c>
      <c r="J1641" t="s">
        <v>14257</v>
      </c>
    </row>
    <row r="1642" spans="1:10" ht="15.75">
      <c r="A1642" s="4" t="s">
        <v>14246</v>
      </c>
      <c r="B1642" s="2"/>
      <c r="C1642" s="2"/>
      <c r="D1642" s="2"/>
      <c r="E1642" s="3"/>
      <c r="F1642" s="4" t="s">
        <v>14258</v>
      </c>
      <c r="G1642" s="2"/>
      <c r="H1642" s="2"/>
      <c r="I1642" s="2"/>
      <c r="J1642" s="3"/>
    </row>
    <row r="1643" spans="1:10">
      <c r="A1643" s="2" t="s">
        <v>0</v>
      </c>
      <c r="B1643" s="2" t="s">
        <v>1</v>
      </c>
      <c r="C1643" s="2" t="s">
        <v>2</v>
      </c>
      <c r="D1643" s="2" t="s">
        <v>3</v>
      </c>
      <c r="E1643" s="3" t="s">
        <v>4</v>
      </c>
      <c r="F1643" s="2" t="s">
        <v>0</v>
      </c>
      <c r="G1643" s="2" t="s">
        <v>1</v>
      </c>
      <c r="H1643" s="2" t="s">
        <v>2</v>
      </c>
      <c r="I1643" s="2" t="s">
        <v>3</v>
      </c>
      <c r="J1643" s="3" t="s">
        <v>4</v>
      </c>
    </row>
    <row r="1644" spans="1:10">
      <c r="A1644" s="1">
        <v>307686</v>
      </c>
      <c r="B1644" s="1">
        <v>4542516673</v>
      </c>
      <c r="C1644" s="1">
        <v>6</v>
      </c>
      <c r="D1644" s="1" t="s">
        <v>489</v>
      </c>
      <c r="E1644" t="s">
        <v>14259</v>
      </c>
      <c r="F1644" s="1">
        <v>447466</v>
      </c>
      <c r="G1644" s="1">
        <v>92542117821</v>
      </c>
      <c r="H1644" s="1">
        <v>5</v>
      </c>
      <c r="I1644" s="1" t="s">
        <v>860</v>
      </c>
      <c r="J1644" t="s">
        <v>14260</v>
      </c>
    </row>
    <row r="1645" spans="1:10">
      <c r="A1645" s="1">
        <v>241281</v>
      </c>
      <c r="B1645" s="1">
        <v>4542516626</v>
      </c>
      <c r="C1645" s="1">
        <v>6</v>
      </c>
      <c r="D1645" s="1" t="s">
        <v>632</v>
      </c>
      <c r="E1645" t="s">
        <v>14261</v>
      </c>
      <c r="F1645" s="1">
        <v>700617</v>
      </c>
      <c r="G1645" s="1">
        <v>9254217961</v>
      </c>
      <c r="H1645" s="1">
        <v>5</v>
      </c>
      <c r="I1645" s="1" t="s">
        <v>860</v>
      </c>
      <c r="J1645" t="s">
        <v>14262</v>
      </c>
    </row>
    <row r="1646" spans="1:10">
      <c r="A1646" s="1">
        <v>271015</v>
      </c>
      <c r="B1646" s="1">
        <v>8505023011</v>
      </c>
      <c r="C1646" s="1">
        <v>10</v>
      </c>
      <c r="D1646" s="1" t="s">
        <v>14263</v>
      </c>
      <c r="E1646" t="s">
        <v>14264</v>
      </c>
      <c r="F1646" s="1">
        <v>404343</v>
      </c>
      <c r="G1646" s="1">
        <v>4113081046</v>
      </c>
      <c r="H1646" s="1">
        <v>12</v>
      </c>
      <c r="I1646" s="1" t="s">
        <v>347</v>
      </c>
      <c r="J1646" t="s">
        <v>14265</v>
      </c>
    </row>
    <row r="1647" spans="1:10">
      <c r="A1647" s="1">
        <v>894899</v>
      </c>
      <c r="B1647" s="1">
        <v>3680017845</v>
      </c>
      <c r="C1647" s="1">
        <v>10</v>
      </c>
      <c r="D1647" s="1" t="s">
        <v>1973</v>
      </c>
      <c r="E1647" t="s">
        <v>14266</v>
      </c>
      <c r="F1647" s="1">
        <v>499657</v>
      </c>
      <c r="G1647" s="1">
        <v>4113081048</v>
      </c>
      <c r="H1647" s="1">
        <v>12</v>
      </c>
      <c r="I1647" s="1" t="s">
        <v>381</v>
      </c>
      <c r="J1647" t="s">
        <v>14267</v>
      </c>
    </row>
    <row r="1648" spans="1:10">
      <c r="A1648" s="1">
        <v>320440</v>
      </c>
      <c r="B1648" s="1">
        <v>3719159654</v>
      </c>
      <c r="C1648" s="1">
        <v>10</v>
      </c>
      <c r="D1648" s="1" t="s">
        <v>860</v>
      </c>
      <c r="E1648" t="s">
        <v>14268</v>
      </c>
      <c r="F1648" s="1">
        <v>466797</v>
      </c>
      <c r="G1648" s="1">
        <v>4113081049</v>
      </c>
      <c r="H1648" s="1">
        <v>12</v>
      </c>
      <c r="I1648" s="1" t="s">
        <v>347</v>
      </c>
      <c r="J1648" t="s">
        <v>14269</v>
      </c>
    </row>
    <row r="1649" spans="1:10">
      <c r="A1649" s="1">
        <v>688796</v>
      </c>
      <c r="B1649" s="1">
        <v>3114965022</v>
      </c>
      <c r="C1649" s="1">
        <v>10</v>
      </c>
      <c r="D1649" s="1" t="s">
        <v>860</v>
      </c>
      <c r="E1649" t="s">
        <v>14270</v>
      </c>
      <c r="F1649" s="1">
        <v>156406</v>
      </c>
      <c r="G1649" s="1">
        <v>4113081050</v>
      </c>
      <c r="H1649" s="1">
        <v>12</v>
      </c>
      <c r="I1649" s="1" t="s">
        <v>381</v>
      </c>
      <c r="J1649" t="s">
        <v>14271</v>
      </c>
    </row>
    <row r="1650" spans="1:10">
      <c r="A1650" s="1">
        <v>688747</v>
      </c>
      <c r="B1650" s="1">
        <v>3114965024</v>
      </c>
      <c r="C1650" s="1">
        <v>10</v>
      </c>
      <c r="D1650" s="1" t="s">
        <v>860</v>
      </c>
      <c r="E1650" t="s">
        <v>14272</v>
      </c>
      <c r="F1650" s="1">
        <v>461145</v>
      </c>
      <c r="G1650" s="1">
        <v>4113081041</v>
      </c>
      <c r="H1650" s="1">
        <v>12</v>
      </c>
      <c r="I1650" s="1" t="s">
        <v>347</v>
      </c>
      <c r="J1650" t="s">
        <v>14273</v>
      </c>
    </row>
    <row r="1651" spans="1:10">
      <c r="A1651" s="1">
        <v>381830</v>
      </c>
      <c r="B1651" s="1">
        <v>8478010813</v>
      </c>
      <c r="C1651" s="1">
        <v>10</v>
      </c>
      <c r="D1651" s="1" t="s">
        <v>860</v>
      </c>
      <c r="E1651" t="s">
        <v>14274</v>
      </c>
      <c r="F1651" s="1">
        <v>197327</v>
      </c>
      <c r="G1651" s="1">
        <v>4113081058</v>
      </c>
      <c r="H1651" s="1">
        <v>24</v>
      </c>
      <c r="I1651" s="1" t="s">
        <v>360</v>
      </c>
      <c r="J1651" t="s">
        <v>14275</v>
      </c>
    </row>
    <row r="1652" spans="1:10">
      <c r="A1652" s="1">
        <v>486597</v>
      </c>
      <c r="B1652" s="1">
        <v>0</v>
      </c>
      <c r="C1652" s="1">
        <v>10</v>
      </c>
      <c r="D1652" s="1" t="s">
        <v>860</v>
      </c>
      <c r="E1652" t="s">
        <v>14276</v>
      </c>
      <c r="F1652" s="1">
        <v>766717</v>
      </c>
      <c r="G1652" s="1">
        <v>4113081070</v>
      </c>
      <c r="H1652" s="1">
        <v>12</v>
      </c>
      <c r="I1652" s="1" t="s">
        <v>439</v>
      </c>
      <c r="J1652" t="s">
        <v>14277</v>
      </c>
    </row>
    <row r="1653" spans="1:10">
      <c r="A1653" s="1">
        <v>696617</v>
      </c>
      <c r="B1653" s="1">
        <v>0</v>
      </c>
      <c r="C1653" s="1">
        <v>10</v>
      </c>
      <c r="D1653" s="1" t="s">
        <v>860</v>
      </c>
      <c r="E1653" t="s">
        <v>14278</v>
      </c>
      <c r="F1653" s="1">
        <v>360602</v>
      </c>
      <c r="G1653" s="1">
        <v>4113081040</v>
      </c>
      <c r="H1653" s="1">
        <v>12</v>
      </c>
      <c r="I1653" s="1" t="s">
        <v>489</v>
      </c>
      <c r="J1653" t="s">
        <v>14279</v>
      </c>
    </row>
    <row r="1654" spans="1:10">
      <c r="A1654" s="1">
        <v>320549</v>
      </c>
      <c r="B1654" s="1">
        <v>4113081053</v>
      </c>
      <c r="C1654" s="1">
        <v>12</v>
      </c>
      <c r="D1654" s="1" t="s">
        <v>259</v>
      </c>
      <c r="E1654" t="s">
        <v>14280</v>
      </c>
      <c r="F1654" s="1">
        <v>273961</v>
      </c>
      <c r="G1654" s="1">
        <v>4113081039</v>
      </c>
      <c r="H1654" s="1">
        <v>4</v>
      </c>
      <c r="I1654" s="1" t="s">
        <v>553</v>
      </c>
      <c r="J1654" t="s">
        <v>14279</v>
      </c>
    </row>
    <row r="1655" spans="1:10">
      <c r="A1655" s="1">
        <v>697870</v>
      </c>
      <c r="B1655" s="1">
        <v>7004132041</v>
      </c>
      <c r="C1655" s="1">
        <v>10</v>
      </c>
      <c r="D1655" s="1" t="s">
        <v>860</v>
      </c>
      <c r="E1655" t="s">
        <v>14281</v>
      </c>
      <c r="F1655" s="1">
        <v>691543</v>
      </c>
      <c r="G1655" s="1">
        <v>9254217541</v>
      </c>
      <c r="H1655" s="1">
        <v>5</v>
      </c>
      <c r="I1655" s="1" t="s">
        <v>860</v>
      </c>
      <c r="J1655" t="s">
        <v>14282</v>
      </c>
    </row>
    <row r="1656" spans="1:10">
      <c r="A1656" s="1">
        <v>497057</v>
      </c>
      <c r="B1656" s="1">
        <v>4116344046</v>
      </c>
      <c r="C1656" s="1">
        <v>5</v>
      </c>
      <c r="D1656" s="1" t="s">
        <v>4815</v>
      </c>
      <c r="E1656" t="s">
        <v>14283</v>
      </c>
      <c r="F1656" s="1">
        <v>774372</v>
      </c>
      <c r="G1656" s="1">
        <v>94659000208</v>
      </c>
      <c r="H1656" s="1">
        <v>6</v>
      </c>
      <c r="I1656" s="1" t="s">
        <v>4658</v>
      </c>
      <c r="J1656" t="s">
        <v>14284</v>
      </c>
    </row>
    <row r="1657" spans="1:10" ht="15.75">
      <c r="A1657" s="1">
        <v>457341</v>
      </c>
      <c r="B1657" s="1">
        <v>1558502333</v>
      </c>
      <c r="C1657" s="1">
        <v>10</v>
      </c>
      <c r="D1657" s="1" t="s">
        <v>860</v>
      </c>
      <c r="E1657" t="s">
        <v>14285</v>
      </c>
      <c r="F1657" s="4" t="s">
        <v>14286</v>
      </c>
      <c r="G1657" s="2"/>
      <c r="H1657" s="2"/>
      <c r="I1657" s="2"/>
      <c r="J1657" s="3"/>
    </row>
    <row r="1658" spans="1:10">
      <c r="A1658" s="1">
        <v>692954</v>
      </c>
      <c r="B1658" s="1">
        <v>7012014076</v>
      </c>
      <c r="C1658" s="1">
        <v>8</v>
      </c>
      <c r="D1658" s="1" t="s">
        <v>938</v>
      </c>
      <c r="E1658" t="s">
        <v>14287</v>
      </c>
      <c r="F1658" s="2" t="s">
        <v>0</v>
      </c>
      <c r="G1658" s="2" t="s">
        <v>1</v>
      </c>
      <c r="H1658" s="2" t="s">
        <v>2</v>
      </c>
      <c r="I1658" s="2" t="s">
        <v>3</v>
      </c>
      <c r="J1658" s="3" t="s">
        <v>4</v>
      </c>
    </row>
    <row r="1659" spans="1:10">
      <c r="A1659" s="1">
        <v>678680</v>
      </c>
      <c r="B1659" s="1">
        <v>7012014532</v>
      </c>
      <c r="C1659" s="1">
        <v>12</v>
      </c>
      <c r="D1659" s="1" t="s">
        <v>404</v>
      </c>
      <c r="E1659" t="s">
        <v>14288</v>
      </c>
      <c r="F1659" s="1">
        <v>596775</v>
      </c>
      <c r="G1659" s="1">
        <v>82650464536</v>
      </c>
      <c r="H1659" s="1">
        <v>10</v>
      </c>
      <c r="I1659" s="1" t="s">
        <v>381</v>
      </c>
      <c r="J1659" t="s">
        <v>14289</v>
      </c>
    </row>
    <row r="1660" spans="1:10">
      <c r="A1660" s="1">
        <v>685909</v>
      </c>
      <c r="B1660" s="1">
        <v>7012014058</v>
      </c>
      <c r="C1660" s="1">
        <v>8</v>
      </c>
      <c r="D1660" s="1" t="s">
        <v>489</v>
      </c>
      <c r="E1660" t="s">
        <v>14290</v>
      </c>
      <c r="F1660" s="1">
        <v>133629</v>
      </c>
      <c r="G1660" s="1">
        <v>4113081124</v>
      </c>
      <c r="H1660" s="1">
        <v>12</v>
      </c>
      <c r="I1660" s="1" t="s">
        <v>347</v>
      </c>
      <c r="J1660" t="s">
        <v>14291</v>
      </c>
    </row>
    <row r="1661" spans="1:10" ht="15.75">
      <c r="A1661" s="1">
        <v>366344</v>
      </c>
      <c r="B1661" s="1">
        <v>4116344257</v>
      </c>
      <c r="C1661" s="1">
        <v>10</v>
      </c>
      <c r="D1661" s="1" t="s">
        <v>860</v>
      </c>
      <c r="E1661" t="s">
        <v>14292</v>
      </c>
      <c r="F1661" s="4" t="s">
        <v>14293</v>
      </c>
      <c r="G1661" s="2"/>
      <c r="H1661" s="2"/>
      <c r="I1661" s="2"/>
      <c r="J1661" s="3"/>
    </row>
    <row r="1662" spans="1:10" ht="15.75">
      <c r="A1662" s="4" t="s">
        <v>14258</v>
      </c>
      <c r="B1662" s="2"/>
      <c r="C1662" s="2"/>
      <c r="D1662" s="2"/>
      <c r="E1662" s="3"/>
      <c r="F1662" s="2" t="s">
        <v>0</v>
      </c>
      <c r="G1662" s="2" t="s">
        <v>1</v>
      </c>
      <c r="H1662" s="2" t="s">
        <v>2</v>
      </c>
      <c r="I1662" s="2" t="s">
        <v>3</v>
      </c>
      <c r="J1662" s="3" t="s">
        <v>4</v>
      </c>
    </row>
    <row r="1663" spans="1:10">
      <c r="A1663" s="2" t="s">
        <v>0</v>
      </c>
      <c r="B1663" s="2" t="s">
        <v>1</v>
      </c>
      <c r="C1663" s="2" t="s">
        <v>2</v>
      </c>
      <c r="D1663" s="2" t="s">
        <v>3</v>
      </c>
      <c r="E1663" s="3" t="s">
        <v>4</v>
      </c>
      <c r="F1663" s="1">
        <v>684951</v>
      </c>
      <c r="G1663" s="1">
        <v>20000184951</v>
      </c>
      <c r="H1663" s="1">
        <v>4</v>
      </c>
      <c r="I1663" s="1" t="s">
        <v>4719</v>
      </c>
      <c r="J1663" t="s">
        <v>14294</v>
      </c>
    </row>
    <row r="1664" spans="1:10">
      <c r="A1664" s="1">
        <v>692962</v>
      </c>
      <c r="B1664" s="1">
        <v>7012014328</v>
      </c>
      <c r="C1664" s="1">
        <v>24</v>
      </c>
      <c r="D1664" s="1" t="s">
        <v>397</v>
      </c>
      <c r="E1664" t="s">
        <v>14295</v>
      </c>
      <c r="F1664" s="1">
        <v>585034</v>
      </c>
      <c r="G1664" s="1">
        <v>1238614499</v>
      </c>
      <c r="H1664" s="1">
        <v>16</v>
      </c>
      <c r="I1664" s="1" t="s">
        <v>347</v>
      </c>
      <c r="J1664" t="s">
        <v>14296</v>
      </c>
    </row>
    <row r="1665" spans="1:10">
      <c r="A1665" s="1">
        <v>317941</v>
      </c>
      <c r="B1665" s="1">
        <v>8478030032</v>
      </c>
      <c r="C1665" s="1">
        <v>12</v>
      </c>
      <c r="D1665" s="1" t="s">
        <v>347</v>
      </c>
      <c r="E1665" t="s">
        <v>14297</v>
      </c>
      <c r="F1665" s="1">
        <v>140012</v>
      </c>
      <c r="G1665" s="1">
        <v>1238614299</v>
      </c>
      <c r="H1665" s="1">
        <v>16</v>
      </c>
      <c r="I1665" s="1" t="s">
        <v>347</v>
      </c>
      <c r="J1665" t="s">
        <v>14298</v>
      </c>
    </row>
    <row r="1666" spans="1:10">
      <c r="A1666" s="1">
        <v>728808</v>
      </c>
      <c r="B1666" s="1">
        <v>3783812447</v>
      </c>
      <c r="C1666" s="1">
        <v>6</v>
      </c>
      <c r="D1666" s="1" t="s">
        <v>347</v>
      </c>
      <c r="E1666" t="s">
        <v>14299</v>
      </c>
      <c r="F1666" s="1">
        <v>392274</v>
      </c>
      <c r="G1666" s="1">
        <v>1238612599</v>
      </c>
      <c r="H1666" s="1">
        <v>16</v>
      </c>
      <c r="I1666" s="1" t="s">
        <v>347</v>
      </c>
      <c r="J1666" t="s">
        <v>14300</v>
      </c>
    </row>
    <row r="1667" spans="1:10">
      <c r="A1667" s="1">
        <v>654913</v>
      </c>
      <c r="B1667" s="1">
        <v>1165811702</v>
      </c>
      <c r="C1667" s="1">
        <v>5</v>
      </c>
      <c r="D1667" s="1" t="s">
        <v>860</v>
      </c>
      <c r="E1667" t="s">
        <v>14301</v>
      </c>
      <c r="F1667" s="1">
        <v>107615</v>
      </c>
      <c r="G1667" s="1">
        <v>5972002300</v>
      </c>
      <c r="H1667" s="1">
        <v>10</v>
      </c>
      <c r="I1667" s="1" t="s">
        <v>632</v>
      </c>
      <c r="J1667" t="s">
        <v>14302</v>
      </c>
    </row>
    <row r="1668" spans="1:10">
      <c r="A1668" s="1">
        <v>182741</v>
      </c>
      <c r="B1668" s="1">
        <v>4113081057</v>
      </c>
      <c r="C1668" s="1">
        <v>12</v>
      </c>
      <c r="D1668" s="1" t="s">
        <v>347</v>
      </c>
      <c r="E1668" t="s">
        <v>14303</v>
      </c>
      <c r="F1668" s="1">
        <v>808451</v>
      </c>
      <c r="G1668" s="1">
        <v>5972002311</v>
      </c>
      <c r="H1668" s="1">
        <v>10</v>
      </c>
      <c r="I1668" s="1" t="s">
        <v>632</v>
      </c>
      <c r="J1668" t="s">
        <v>14304</v>
      </c>
    </row>
    <row r="1669" spans="1:10">
      <c r="A1669" s="1">
        <v>602466</v>
      </c>
      <c r="B1669" s="1">
        <v>2650457838</v>
      </c>
      <c r="C1669" s="1">
        <v>6</v>
      </c>
      <c r="D1669" s="1" t="s">
        <v>860</v>
      </c>
      <c r="E1669" t="s">
        <v>14305</v>
      </c>
      <c r="F1669" s="1">
        <v>659227</v>
      </c>
      <c r="G1669" s="1">
        <v>20000000000</v>
      </c>
      <c r="H1669" s="1">
        <v>1</v>
      </c>
      <c r="I1669" s="1" t="s">
        <v>6810</v>
      </c>
      <c r="J1669" t="s">
        <v>14306</v>
      </c>
    </row>
    <row r="1670" spans="1:10">
      <c r="A1670" s="1">
        <v>66886</v>
      </c>
      <c r="B1670" s="1">
        <v>7399400256</v>
      </c>
      <c r="C1670" s="1">
        <v>6</v>
      </c>
      <c r="D1670" s="1" t="s">
        <v>860</v>
      </c>
      <c r="E1670" t="s">
        <v>14307</v>
      </c>
      <c r="F1670" s="1">
        <v>728790</v>
      </c>
      <c r="G1670" s="1">
        <v>3783822249</v>
      </c>
      <c r="H1670" s="1">
        <v>6</v>
      </c>
      <c r="I1670" s="1" t="s">
        <v>399</v>
      </c>
      <c r="J1670" t="s">
        <v>14308</v>
      </c>
    </row>
    <row r="1671" spans="1:10">
      <c r="A1671" s="1">
        <v>566752</v>
      </c>
      <c r="B1671" s="1">
        <v>7208712320</v>
      </c>
      <c r="C1671" s="1">
        <v>24</v>
      </c>
      <c r="D1671" s="1" t="s">
        <v>394</v>
      </c>
      <c r="E1671" t="s">
        <v>14309</v>
      </c>
      <c r="F1671" s="1">
        <v>828376</v>
      </c>
      <c r="G1671" s="1">
        <v>3783822232</v>
      </c>
      <c r="H1671" s="1">
        <v>6</v>
      </c>
      <c r="I1671" s="1" t="s">
        <v>347</v>
      </c>
      <c r="J1671" t="s">
        <v>14310</v>
      </c>
    </row>
    <row r="1672" spans="1:10">
      <c r="A1672" s="1">
        <v>458885</v>
      </c>
      <c r="B1672" s="1">
        <v>8231810021</v>
      </c>
      <c r="C1672" s="1">
        <v>5</v>
      </c>
      <c r="D1672" s="1" t="s">
        <v>860</v>
      </c>
      <c r="E1672" t="s">
        <v>14311</v>
      </c>
      <c r="F1672" s="1">
        <v>23218</v>
      </c>
      <c r="G1672" s="1">
        <v>7539196707</v>
      </c>
      <c r="H1672" s="1">
        <v>1</v>
      </c>
      <c r="I1672" s="1" t="s">
        <v>6595</v>
      </c>
      <c r="J1672" t="s">
        <v>14312</v>
      </c>
    </row>
    <row r="1673" spans="1:10">
      <c r="A1673" s="1">
        <v>683730</v>
      </c>
      <c r="B1673" s="1">
        <v>2575302827</v>
      </c>
      <c r="C1673" s="1">
        <v>12</v>
      </c>
      <c r="D1673" s="1" t="s">
        <v>399</v>
      </c>
      <c r="E1673" t="s">
        <v>14313</v>
      </c>
      <c r="F1673" s="1">
        <v>685602</v>
      </c>
      <c r="G1673" s="1">
        <v>80411100011</v>
      </c>
      <c r="H1673" s="1">
        <v>12</v>
      </c>
      <c r="I1673" s="1" t="s">
        <v>1973</v>
      </c>
      <c r="J1673" t="s">
        <v>14314</v>
      </c>
    </row>
    <row r="1674" spans="1:10">
      <c r="A1674" s="1">
        <v>79772</v>
      </c>
      <c r="B1674" s="1">
        <v>2575302829</v>
      </c>
      <c r="C1674" s="1">
        <v>12</v>
      </c>
      <c r="D1674" s="1" t="s">
        <v>489</v>
      </c>
      <c r="E1674" t="s">
        <v>14315</v>
      </c>
      <c r="F1674" s="1">
        <v>697847</v>
      </c>
      <c r="G1674" s="1">
        <v>80411100001</v>
      </c>
      <c r="H1674" s="1">
        <v>12</v>
      </c>
      <c r="I1674" s="1" t="s">
        <v>1973</v>
      </c>
      <c r="J1674" t="s">
        <v>14316</v>
      </c>
    </row>
    <row r="1675" spans="1:10">
      <c r="A1675" s="1">
        <v>735837</v>
      </c>
      <c r="B1675" s="1">
        <v>7005710403</v>
      </c>
      <c r="C1675" s="1">
        <v>12</v>
      </c>
      <c r="D1675" s="1" t="s">
        <v>14317</v>
      </c>
      <c r="E1675" t="s">
        <v>14318</v>
      </c>
      <c r="F1675" s="1">
        <v>763318</v>
      </c>
      <c r="G1675" s="1">
        <v>80411100100</v>
      </c>
      <c r="H1675" s="1">
        <v>10</v>
      </c>
      <c r="I1675" s="1" t="s">
        <v>381</v>
      </c>
      <c r="J1675" t="s">
        <v>14319</v>
      </c>
    </row>
    <row r="1676" spans="1:10">
      <c r="A1676" s="1">
        <v>464586</v>
      </c>
      <c r="B1676" s="1">
        <v>7005710401</v>
      </c>
      <c r="C1676" s="1">
        <v>12</v>
      </c>
      <c r="D1676" s="1" t="s">
        <v>14317</v>
      </c>
      <c r="E1676" t="s">
        <v>14320</v>
      </c>
      <c r="F1676" s="1">
        <v>675827</v>
      </c>
      <c r="G1676" s="1">
        <v>4113030807</v>
      </c>
      <c r="H1676" s="1">
        <v>8</v>
      </c>
      <c r="I1676" s="1" t="s">
        <v>4815</v>
      </c>
      <c r="J1676" t="s">
        <v>14321</v>
      </c>
    </row>
    <row r="1677" spans="1:10">
      <c r="A1677" s="1">
        <v>825646</v>
      </c>
      <c r="B1677" s="1">
        <v>61712003253</v>
      </c>
      <c r="C1677" s="1">
        <v>12</v>
      </c>
      <c r="D1677" s="1" t="s">
        <v>910</v>
      </c>
      <c r="E1677" t="s">
        <v>14322</v>
      </c>
      <c r="F1677" s="1">
        <v>652776</v>
      </c>
      <c r="G1677" s="1">
        <v>2650400902</v>
      </c>
      <c r="H1677" s="1">
        <v>12</v>
      </c>
      <c r="I1677" s="1" t="s">
        <v>860</v>
      </c>
      <c r="J1677" t="s">
        <v>14323</v>
      </c>
    </row>
    <row r="1678" spans="1:10">
      <c r="A1678" s="1">
        <v>826511</v>
      </c>
      <c r="B1678" s="1">
        <v>4616756026</v>
      </c>
      <c r="C1678" s="1">
        <v>24</v>
      </c>
      <c r="D1678" s="1" t="s">
        <v>397</v>
      </c>
      <c r="E1678" t="s">
        <v>14324</v>
      </c>
      <c r="F1678" s="1">
        <v>651786</v>
      </c>
      <c r="G1678" s="1">
        <v>7539197527</v>
      </c>
      <c r="H1678" s="1">
        <v>10</v>
      </c>
      <c r="I1678" s="1" t="s">
        <v>4723</v>
      </c>
      <c r="J1678" t="s">
        <v>14325</v>
      </c>
    </row>
    <row r="1679" spans="1:10">
      <c r="A1679" s="1">
        <v>565812</v>
      </c>
      <c r="B1679" s="1">
        <v>9254217826</v>
      </c>
      <c r="C1679" s="1">
        <v>5</v>
      </c>
      <c r="D1679" s="1" t="s">
        <v>860</v>
      </c>
      <c r="E1679" t="s">
        <v>14326</v>
      </c>
      <c r="F1679" s="1">
        <v>688705</v>
      </c>
      <c r="G1679" s="1">
        <v>82650424643</v>
      </c>
      <c r="H1679" s="1">
        <v>6</v>
      </c>
      <c r="I1679" s="1" t="s">
        <v>860</v>
      </c>
      <c r="J1679" t="s">
        <v>14327</v>
      </c>
    </row>
    <row r="1680" spans="1:10">
      <c r="A1680" s="1">
        <v>684878</v>
      </c>
      <c r="B1680" s="1">
        <v>8905910439</v>
      </c>
      <c r="C1680" s="1">
        <v>5</v>
      </c>
      <c r="D1680" s="1" t="s">
        <v>860</v>
      </c>
      <c r="E1680" t="s">
        <v>14328</v>
      </c>
      <c r="F1680" s="1">
        <v>687707</v>
      </c>
      <c r="G1680" s="1">
        <v>82650469605</v>
      </c>
      <c r="H1680" s="1">
        <v>10</v>
      </c>
      <c r="I1680" s="1" t="s">
        <v>1973</v>
      </c>
      <c r="J1680" t="s">
        <v>14329</v>
      </c>
    </row>
    <row r="1681" spans="1:10">
      <c r="A1681" s="1">
        <v>654327</v>
      </c>
      <c r="B1681" s="1">
        <v>3114977448</v>
      </c>
      <c r="C1681" s="1">
        <v>5</v>
      </c>
      <c r="D1681" s="1" t="s">
        <v>860</v>
      </c>
      <c r="E1681" t="s">
        <v>14330</v>
      </c>
      <c r="F1681" s="1">
        <v>660688</v>
      </c>
      <c r="G1681" s="1">
        <v>82650400702</v>
      </c>
      <c r="H1681" s="1">
        <v>15</v>
      </c>
      <c r="I1681" s="1" t="s">
        <v>860</v>
      </c>
      <c r="J1681" t="s">
        <v>14331</v>
      </c>
    </row>
    <row r="1682" spans="1:10">
      <c r="A1682" s="1">
        <v>690289</v>
      </c>
      <c r="B1682" s="1">
        <v>7208770020</v>
      </c>
      <c r="C1682" s="1">
        <v>5</v>
      </c>
      <c r="D1682" s="1" t="s">
        <v>860</v>
      </c>
      <c r="E1682" t="s">
        <v>14332</v>
      </c>
      <c r="F1682" s="1">
        <v>695387</v>
      </c>
      <c r="G1682" s="1">
        <v>27884811809</v>
      </c>
      <c r="H1682" s="1">
        <v>1</v>
      </c>
      <c r="I1682" s="1" t="s">
        <v>4719</v>
      </c>
      <c r="J1682" t="s">
        <v>14333</v>
      </c>
    </row>
    <row r="1683" spans="1:10" ht="15.75">
      <c r="A1683" s="4" t="s">
        <v>14293</v>
      </c>
      <c r="B1683" s="2"/>
      <c r="C1683" s="2"/>
      <c r="D1683" s="2"/>
      <c r="E1683" s="3"/>
      <c r="F1683" s="4" t="s">
        <v>14293</v>
      </c>
      <c r="G1683" s="2"/>
      <c r="H1683" s="2"/>
      <c r="I1683" s="2"/>
      <c r="J1683" s="3"/>
    </row>
    <row r="1684" spans="1:10">
      <c r="A1684" s="2" t="s">
        <v>0</v>
      </c>
      <c r="B1684" s="2" t="s">
        <v>1</v>
      </c>
      <c r="C1684" s="2" t="s">
        <v>2</v>
      </c>
      <c r="D1684" s="2" t="s">
        <v>3</v>
      </c>
      <c r="E1684" s="3" t="s">
        <v>4</v>
      </c>
      <c r="F1684" s="2" t="s">
        <v>0</v>
      </c>
      <c r="G1684" s="2" t="s">
        <v>1</v>
      </c>
      <c r="H1684" s="2" t="s">
        <v>2</v>
      </c>
      <c r="I1684" s="2" t="s">
        <v>3</v>
      </c>
      <c r="J1684" s="3" t="s">
        <v>4</v>
      </c>
    </row>
    <row r="1685" spans="1:10">
      <c r="A1685" s="1">
        <v>242164</v>
      </c>
      <c r="B1685" s="1">
        <v>2650472842</v>
      </c>
      <c r="C1685" s="1">
        <v>15</v>
      </c>
      <c r="D1685" s="1" t="s">
        <v>860</v>
      </c>
      <c r="E1685" t="s">
        <v>14334</v>
      </c>
      <c r="F1685" s="1">
        <v>829853</v>
      </c>
      <c r="G1685" s="1">
        <v>2575302825</v>
      </c>
      <c r="H1685" s="1">
        <v>12</v>
      </c>
      <c r="I1685" s="1" t="s">
        <v>399</v>
      </c>
      <c r="J1685" t="s">
        <v>14335</v>
      </c>
    </row>
    <row r="1686" spans="1:10">
      <c r="A1686" s="1">
        <v>469817</v>
      </c>
      <c r="B1686" s="1">
        <v>82650453306</v>
      </c>
      <c r="C1686" s="1">
        <v>10</v>
      </c>
      <c r="D1686" s="1" t="s">
        <v>381</v>
      </c>
      <c r="E1686" t="s">
        <v>14336</v>
      </c>
      <c r="F1686" s="1">
        <v>699934</v>
      </c>
      <c r="G1686" s="1">
        <v>82650498099</v>
      </c>
      <c r="H1686" s="1">
        <v>6</v>
      </c>
      <c r="I1686" s="1" t="s">
        <v>4815</v>
      </c>
      <c r="J1686" t="s">
        <v>14337</v>
      </c>
    </row>
    <row r="1687" spans="1:10">
      <c r="A1687" s="1">
        <v>737205</v>
      </c>
      <c r="B1687" s="1">
        <v>4113081016</v>
      </c>
      <c r="C1687" s="1">
        <v>12</v>
      </c>
      <c r="D1687" s="1" t="s">
        <v>381</v>
      </c>
      <c r="E1687" t="s">
        <v>14338</v>
      </c>
      <c r="F1687" s="1">
        <v>335836</v>
      </c>
      <c r="G1687" s="1">
        <v>7374402425</v>
      </c>
      <c r="H1687" s="1">
        <v>6</v>
      </c>
      <c r="I1687" s="1" t="s">
        <v>14339</v>
      </c>
      <c r="J1687" t="s">
        <v>14340</v>
      </c>
    </row>
    <row r="1688" spans="1:10">
      <c r="A1688" s="1">
        <v>699686</v>
      </c>
      <c r="B1688" s="1">
        <v>82650400702</v>
      </c>
      <c r="C1688" s="1">
        <v>15</v>
      </c>
      <c r="D1688" s="1" t="s">
        <v>860</v>
      </c>
      <c r="E1688" t="s">
        <v>14341</v>
      </c>
      <c r="F1688" s="1">
        <v>418640</v>
      </c>
      <c r="G1688" s="1">
        <v>7374402424</v>
      </c>
      <c r="H1688" s="1">
        <v>6</v>
      </c>
      <c r="I1688" s="1" t="s">
        <v>860</v>
      </c>
      <c r="J1688" t="s">
        <v>14342</v>
      </c>
    </row>
    <row r="1689" spans="1:10">
      <c r="A1689" s="1">
        <v>103507</v>
      </c>
      <c r="B1689" s="1">
        <v>3300002004</v>
      </c>
      <c r="C1689" s="1">
        <v>1</v>
      </c>
      <c r="D1689" s="1" t="s">
        <v>6810</v>
      </c>
      <c r="E1689" t="s">
        <v>14343</v>
      </c>
      <c r="F1689" s="1">
        <v>288571</v>
      </c>
      <c r="G1689" s="1">
        <v>7005710053</v>
      </c>
      <c r="H1689" s="1">
        <v>12</v>
      </c>
      <c r="I1689" s="1" t="s">
        <v>360</v>
      </c>
      <c r="J1689" t="s">
        <v>14344</v>
      </c>
    </row>
    <row r="1690" spans="1:10">
      <c r="A1690" s="1">
        <v>801399</v>
      </c>
      <c r="B1690" s="1">
        <v>82650422872</v>
      </c>
      <c r="C1690" s="1">
        <v>15</v>
      </c>
      <c r="D1690" s="1" t="s">
        <v>860</v>
      </c>
      <c r="E1690" t="s">
        <v>14345</v>
      </c>
      <c r="F1690" s="1">
        <v>41343</v>
      </c>
      <c r="G1690" s="1">
        <v>7005710013</v>
      </c>
      <c r="H1690" s="1">
        <v>12</v>
      </c>
      <c r="I1690" s="1" t="s">
        <v>363</v>
      </c>
      <c r="J1690" t="s">
        <v>14346</v>
      </c>
    </row>
    <row r="1691" spans="1:10">
      <c r="A1691" s="1">
        <v>479469</v>
      </c>
      <c r="B1691" s="1">
        <v>82650442680</v>
      </c>
      <c r="C1691" s="1">
        <v>10</v>
      </c>
      <c r="D1691" s="1" t="s">
        <v>1973</v>
      </c>
      <c r="E1691" t="s">
        <v>14347</v>
      </c>
      <c r="F1691" s="1">
        <v>697573</v>
      </c>
      <c r="G1691" s="1">
        <v>7005700198</v>
      </c>
      <c r="H1691" s="1">
        <v>12</v>
      </c>
      <c r="I1691" s="1" t="s">
        <v>404</v>
      </c>
      <c r="J1691" t="s">
        <v>14348</v>
      </c>
    </row>
    <row r="1692" spans="1:10">
      <c r="A1692" s="1">
        <v>419507</v>
      </c>
      <c r="B1692" s="1">
        <v>82650445397</v>
      </c>
      <c r="C1692" s="1">
        <v>10</v>
      </c>
      <c r="D1692" s="1" t="s">
        <v>1973</v>
      </c>
      <c r="E1692" t="s">
        <v>14349</v>
      </c>
      <c r="F1692" s="1">
        <v>698803</v>
      </c>
      <c r="G1692" s="1">
        <v>7005700190</v>
      </c>
      <c r="H1692" s="1">
        <v>12</v>
      </c>
      <c r="I1692" s="1" t="s">
        <v>404</v>
      </c>
      <c r="J1692" t="s">
        <v>14350</v>
      </c>
    </row>
    <row r="1693" spans="1:10">
      <c r="A1693" s="1">
        <v>808279</v>
      </c>
      <c r="B1693" s="1">
        <v>2335401730</v>
      </c>
      <c r="C1693" s="1">
        <v>24</v>
      </c>
      <c r="D1693" s="1" t="s">
        <v>397</v>
      </c>
      <c r="E1693" t="s">
        <v>14351</v>
      </c>
      <c r="F1693" s="1">
        <v>829143</v>
      </c>
      <c r="G1693" s="1">
        <v>7005736010</v>
      </c>
      <c r="H1693" s="1">
        <v>12</v>
      </c>
      <c r="I1693" s="1" t="s">
        <v>451</v>
      </c>
      <c r="J1693" t="s">
        <v>14352</v>
      </c>
    </row>
    <row r="1694" spans="1:10">
      <c r="A1694" s="1">
        <v>51706</v>
      </c>
      <c r="B1694" s="1">
        <v>4542516628</v>
      </c>
      <c r="C1694" s="1">
        <v>6</v>
      </c>
      <c r="D1694" s="1" t="s">
        <v>632</v>
      </c>
      <c r="E1694" t="s">
        <v>14353</v>
      </c>
      <c r="F1694" s="1">
        <v>693796</v>
      </c>
      <c r="G1694" s="1">
        <v>7005702022</v>
      </c>
      <c r="H1694" s="1">
        <v>12</v>
      </c>
      <c r="I1694" s="1" t="s">
        <v>910</v>
      </c>
      <c r="J1694" t="s">
        <v>14354</v>
      </c>
    </row>
    <row r="1695" spans="1:10">
      <c r="A1695" s="1">
        <v>489534</v>
      </c>
      <c r="B1695" s="1">
        <v>4542516670</v>
      </c>
      <c r="C1695" s="1">
        <v>6</v>
      </c>
      <c r="D1695" s="1" t="s">
        <v>347</v>
      </c>
      <c r="E1695" t="s">
        <v>14355</v>
      </c>
      <c r="F1695" s="1">
        <v>699025</v>
      </c>
      <c r="G1695" s="1">
        <v>7005702021</v>
      </c>
      <c r="H1695" s="1">
        <v>12</v>
      </c>
      <c r="I1695" s="1" t="s">
        <v>259</v>
      </c>
      <c r="J1695" t="s">
        <v>14356</v>
      </c>
    </row>
    <row r="1696" spans="1:10">
      <c r="A1696" s="1">
        <v>865899</v>
      </c>
      <c r="B1696" s="1">
        <v>5972007895</v>
      </c>
      <c r="C1696" s="1">
        <v>8</v>
      </c>
      <c r="D1696" s="1" t="s">
        <v>399</v>
      </c>
      <c r="E1696" t="s">
        <v>14357</v>
      </c>
      <c r="F1696" s="1">
        <v>485599</v>
      </c>
      <c r="G1696" s="1">
        <v>7005710402</v>
      </c>
      <c r="H1696" s="1">
        <v>12</v>
      </c>
      <c r="I1696" s="1" t="s">
        <v>14317</v>
      </c>
      <c r="J1696" t="s">
        <v>14358</v>
      </c>
    </row>
    <row r="1697" spans="1:10">
      <c r="A1697" s="1">
        <v>399881</v>
      </c>
      <c r="B1697" s="1">
        <v>5972004891</v>
      </c>
      <c r="C1697" s="1">
        <v>8</v>
      </c>
      <c r="D1697" s="1" t="s">
        <v>399</v>
      </c>
      <c r="E1697" t="s">
        <v>14359</v>
      </c>
      <c r="F1697" s="1">
        <v>699066</v>
      </c>
      <c r="G1697" s="1">
        <v>7005702020</v>
      </c>
      <c r="H1697" s="1">
        <v>12</v>
      </c>
      <c r="I1697" s="1" t="s">
        <v>259</v>
      </c>
      <c r="J1697" t="s">
        <v>14360</v>
      </c>
    </row>
    <row r="1698" spans="1:10">
      <c r="A1698" s="1">
        <v>542761</v>
      </c>
      <c r="B1698" s="1">
        <v>5972002893</v>
      </c>
      <c r="C1698" s="1">
        <v>8</v>
      </c>
      <c r="D1698" s="1" t="s">
        <v>399</v>
      </c>
      <c r="E1698" t="s">
        <v>14361</v>
      </c>
      <c r="F1698" s="1">
        <v>424150</v>
      </c>
      <c r="G1698" s="1">
        <v>82964100006</v>
      </c>
      <c r="H1698" s="1">
        <v>12</v>
      </c>
      <c r="I1698" s="1" t="s">
        <v>381</v>
      </c>
      <c r="J1698" t="s">
        <v>14362</v>
      </c>
    </row>
    <row r="1699" spans="1:10">
      <c r="A1699" s="1">
        <v>862268</v>
      </c>
      <c r="B1699" s="1">
        <v>5972000810</v>
      </c>
      <c r="C1699" s="1">
        <v>8</v>
      </c>
      <c r="D1699" s="1" t="s">
        <v>399</v>
      </c>
      <c r="E1699" t="s">
        <v>14363</v>
      </c>
      <c r="F1699" s="1">
        <v>623116</v>
      </c>
      <c r="G1699" s="1">
        <v>61712092564</v>
      </c>
      <c r="H1699" s="1">
        <v>12</v>
      </c>
      <c r="I1699" s="1" t="s">
        <v>781</v>
      </c>
      <c r="J1699" t="s">
        <v>14364</v>
      </c>
    </row>
    <row r="1700" spans="1:10">
      <c r="A1700" s="1">
        <v>411801</v>
      </c>
      <c r="B1700" s="1">
        <v>5972002892</v>
      </c>
      <c r="C1700" s="1">
        <v>8</v>
      </c>
      <c r="D1700" s="1" t="s">
        <v>399</v>
      </c>
      <c r="E1700" t="s">
        <v>14365</v>
      </c>
      <c r="F1700" s="1">
        <v>578260</v>
      </c>
      <c r="G1700" s="1">
        <v>92542888006</v>
      </c>
      <c r="H1700" s="1">
        <v>10</v>
      </c>
      <c r="I1700" s="1" t="s">
        <v>1973</v>
      </c>
      <c r="J1700" t="s">
        <v>14366</v>
      </c>
    </row>
    <row r="1701" spans="1:10">
      <c r="A1701" s="1">
        <v>860080</v>
      </c>
      <c r="B1701" s="1">
        <v>3783836008</v>
      </c>
      <c r="C1701" s="1">
        <v>12</v>
      </c>
      <c r="D1701" s="1" t="s">
        <v>404</v>
      </c>
      <c r="E1701" t="s">
        <v>14367</v>
      </c>
      <c r="F1701" s="1">
        <v>684597</v>
      </c>
      <c r="G1701" s="1">
        <v>20000068459</v>
      </c>
      <c r="H1701" s="1">
        <v>10</v>
      </c>
      <c r="I1701" s="1" t="s">
        <v>1973</v>
      </c>
      <c r="J1701" t="s">
        <v>14368</v>
      </c>
    </row>
    <row r="1702" spans="1:10">
      <c r="A1702" s="1">
        <v>388777</v>
      </c>
      <c r="B1702" s="1">
        <v>3783836020</v>
      </c>
      <c r="C1702" s="1">
        <v>12</v>
      </c>
      <c r="D1702" s="1" t="s">
        <v>394</v>
      </c>
      <c r="E1702" t="s">
        <v>14369</v>
      </c>
      <c r="F1702" s="1">
        <v>699892</v>
      </c>
      <c r="G1702" s="1">
        <v>4699428970</v>
      </c>
      <c r="H1702" s="1">
        <v>24</v>
      </c>
      <c r="I1702" s="1" t="s">
        <v>1973</v>
      </c>
      <c r="J1702" t="s">
        <v>14370</v>
      </c>
    </row>
    <row r="1703" spans="1:10">
      <c r="A1703" s="1">
        <v>822650</v>
      </c>
      <c r="B1703" s="1">
        <v>2650459477</v>
      </c>
      <c r="C1703" s="1">
        <v>10</v>
      </c>
      <c r="D1703" s="1" t="s">
        <v>1973</v>
      </c>
      <c r="E1703" t="s">
        <v>14371</v>
      </c>
      <c r="F1703" s="1">
        <v>699900</v>
      </c>
      <c r="G1703" s="1">
        <v>93137919503</v>
      </c>
      <c r="H1703" s="1">
        <v>12</v>
      </c>
      <c r="I1703" s="1" t="s">
        <v>4723</v>
      </c>
      <c r="J1703" t="s">
        <v>14370</v>
      </c>
    </row>
    <row r="1704" spans="1:10">
      <c r="A1704" s="1">
        <v>227553</v>
      </c>
      <c r="B1704" s="1">
        <v>0</v>
      </c>
      <c r="C1704" s="1">
        <v>1</v>
      </c>
      <c r="D1704" s="1" t="s">
        <v>6741</v>
      </c>
      <c r="E1704" t="s">
        <v>14372</v>
      </c>
      <c r="F1704" s="1">
        <v>687368</v>
      </c>
      <c r="G1704" s="1">
        <v>4162592412</v>
      </c>
      <c r="H1704" s="1">
        <v>12</v>
      </c>
      <c r="I1704" s="1" t="s">
        <v>938</v>
      </c>
      <c r="J1704" t="s">
        <v>14373</v>
      </c>
    </row>
    <row r="1705" spans="1:10">
      <c r="A1705" s="1">
        <v>475228</v>
      </c>
      <c r="B1705" s="1">
        <v>7399400529</v>
      </c>
      <c r="C1705" s="1">
        <v>12</v>
      </c>
      <c r="D1705" s="1" t="s">
        <v>404</v>
      </c>
      <c r="E1705" t="s">
        <v>14374</v>
      </c>
      <c r="F1705" s="1">
        <v>657841</v>
      </c>
      <c r="G1705" s="1">
        <v>7012014015</v>
      </c>
      <c r="H1705" s="1">
        <v>12</v>
      </c>
      <c r="I1705" s="1" t="s">
        <v>394</v>
      </c>
      <c r="J1705" t="s">
        <v>14375</v>
      </c>
    </row>
    <row r="1706" spans="1:10">
      <c r="A1706" s="1">
        <v>256537</v>
      </c>
      <c r="B1706" s="1">
        <v>7399400095</v>
      </c>
      <c r="C1706" s="1">
        <v>12</v>
      </c>
      <c r="D1706" s="1" t="s">
        <v>419</v>
      </c>
      <c r="E1706" t="s">
        <v>14376</v>
      </c>
      <c r="F1706" s="1">
        <v>693002</v>
      </c>
      <c r="G1706" s="1">
        <v>7094055115</v>
      </c>
      <c r="H1706" s="1">
        <v>12</v>
      </c>
      <c r="I1706" s="1" t="s">
        <v>632</v>
      </c>
      <c r="J1706" t="s">
        <v>14377</v>
      </c>
    </row>
    <row r="1707" spans="1:10">
      <c r="A1707" s="1">
        <v>288241</v>
      </c>
      <c r="B1707" s="1">
        <v>7399490012</v>
      </c>
      <c r="C1707" s="1">
        <v>48</v>
      </c>
      <c r="D1707" s="1" t="s">
        <v>397</v>
      </c>
      <c r="E1707" t="s">
        <v>14378</v>
      </c>
      <c r="F1707" s="1">
        <v>693010</v>
      </c>
      <c r="G1707" s="1">
        <v>7094055100</v>
      </c>
      <c r="H1707" s="1">
        <v>12</v>
      </c>
      <c r="I1707" s="1" t="s">
        <v>1198</v>
      </c>
      <c r="J1707" t="s">
        <v>14379</v>
      </c>
    </row>
    <row r="1708" spans="1:10">
      <c r="A1708" s="1">
        <v>67397</v>
      </c>
      <c r="B1708" s="1">
        <v>7399400519</v>
      </c>
      <c r="C1708" s="1">
        <v>12</v>
      </c>
      <c r="D1708" s="1" t="s">
        <v>399</v>
      </c>
      <c r="E1708" t="s">
        <v>14380</v>
      </c>
      <c r="F1708" s="1">
        <v>682906</v>
      </c>
      <c r="G1708" s="1">
        <v>0</v>
      </c>
      <c r="H1708" s="1">
        <v>10</v>
      </c>
      <c r="I1708" s="1" t="s">
        <v>4658</v>
      </c>
      <c r="J1708" t="s">
        <v>14381</v>
      </c>
    </row>
    <row r="1709" spans="1:10">
      <c r="A1709" s="1">
        <v>736678</v>
      </c>
      <c r="B1709" s="1">
        <v>7399433010</v>
      </c>
      <c r="C1709" s="1">
        <v>48</v>
      </c>
      <c r="D1709" s="1" t="s">
        <v>397</v>
      </c>
      <c r="E1709" t="s">
        <v>14382</v>
      </c>
      <c r="F1709" s="1">
        <v>688093</v>
      </c>
      <c r="G1709" s="1">
        <v>4162508123</v>
      </c>
      <c r="H1709" s="1">
        <v>8</v>
      </c>
      <c r="I1709" s="1" t="s">
        <v>469</v>
      </c>
      <c r="J1709" t="s">
        <v>14383</v>
      </c>
    </row>
    <row r="1710" spans="1:10">
      <c r="A1710" s="1">
        <v>101360</v>
      </c>
      <c r="B1710" s="1">
        <v>7399400541</v>
      </c>
      <c r="C1710" s="1">
        <v>24</v>
      </c>
      <c r="D1710" s="1" t="s">
        <v>397</v>
      </c>
      <c r="E1710" t="s">
        <v>14384</v>
      </c>
      <c r="F1710" s="1">
        <v>208645</v>
      </c>
      <c r="G1710" s="1">
        <v>4113081122</v>
      </c>
      <c r="H1710" s="1">
        <v>12</v>
      </c>
      <c r="I1710" s="1" t="s">
        <v>347</v>
      </c>
      <c r="J1710" t="s">
        <v>14385</v>
      </c>
    </row>
    <row r="1711" spans="1:10">
      <c r="A1711" s="1">
        <v>63941</v>
      </c>
      <c r="B1711" s="1">
        <v>7399400223</v>
      </c>
      <c r="C1711" s="1">
        <v>12</v>
      </c>
      <c r="D1711" s="1" t="s">
        <v>404</v>
      </c>
      <c r="E1711" t="s">
        <v>14386</v>
      </c>
      <c r="F1711" s="1">
        <v>114918</v>
      </c>
      <c r="G1711" s="1">
        <v>4113081126</v>
      </c>
      <c r="H1711" s="1">
        <v>12</v>
      </c>
      <c r="I1711" s="1" t="s">
        <v>347</v>
      </c>
      <c r="J1711" t="s">
        <v>14387</v>
      </c>
    </row>
    <row r="1712" spans="1:10">
      <c r="A1712" s="1">
        <v>222919</v>
      </c>
      <c r="B1712" s="1">
        <v>9697941001</v>
      </c>
      <c r="C1712" s="1">
        <v>12</v>
      </c>
      <c r="D1712" s="1" t="s">
        <v>1973</v>
      </c>
      <c r="E1712" t="s">
        <v>14388</v>
      </c>
      <c r="F1712" s="1">
        <v>131078</v>
      </c>
      <c r="G1712" s="1">
        <v>4113081121</v>
      </c>
      <c r="H1712" s="1">
        <v>8</v>
      </c>
      <c r="I1712" s="1" t="s">
        <v>375</v>
      </c>
      <c r="J1712" t="s">
        <v>14389</v>
      </c>
    </row>
    <row r="1713" spans="1:10">
      <c r="A1713" s="1">
        <v>749671</v>
      </c>
      <c r="B1713" s="1">
        <v>9697920112</v>
      </c>
      <c r="C1713" s="1">
        <v>8</v>
      </c>
      <c r="D1713" s="1" t="s">
        <v>860</v>
      </c>
      <c r="E1713" t="s">
        <v>14390</v>
      </c>
      <c r="F1713" s="1">
        <v>584367</v>
      </c>
      <c r="G1713" s="1">
        <v>4113081123</v>
      </c>
      <c r="H1713" s="1">
        <v>12</v>
      </c>
      <c r="I1713" s="1" t="s">
        <v>347</v>
      </c>
      <c r="J1713" t="s">
        <v>14391</v>
      </c>
    </row>
    <row r="1714" spans="1:10">
      <c r="A1714" s="1">
        <v>320374</v>
      </c>
      <c r="B1714" s="1">
        <v>6176301070</v>
      </c>
      <c r="C1714" s="1">
        <v>12</v>
      </c>
      <c r="D1714" s="1" t="s">
        <v>399</v>
      </c>
      <c r="E1714" t="s">
        <v>14392</v>
      </c>
      <c r="F1714" s="1">
        <v>452664</v>
      </c>
      <c r="G1714" s="1">
        <v>1238693599</v>
      </c>
      <c r="H1714" s="1">
        <v>36</v>
      </c>
      <c r="I1714" s="1" t="s">
        <v>2211</v>
      </c>
      <c r="J1714" t="s">
        <v>14393</v>
      </c>
    </row>
    <row r="1715" spans="1:10">
      <c r="A1715" s="1">
        <v>738153</v>
      </c>
      <c r="B1715" s="1">
        <v>6176301174</v>
      </c>
      <c r="C1715" s="1">
        <v>12</v>
      </c>
      <c r="D1715" s="1" t="s">
        <v>399</v>
      </c>
      <c r="E1715" t="s">
        <v>14394</v>
      </c>
      <c r="F1715" s="1">
        <v>386177</v>
      </c>
      <c r="G1715" s="1">
        <v>7539100085</v>
      </c>
      <c r="H1715" s="1">
        <v>1</v>
      </c>
      <c r="I1715" s="1" t="s">
        <v>4719</v>
      </c>
      <c r="J1715" t="s">
        <v>14395</v>
      </c>
    </row>
    <row r="1716" spans="1:10" ht="15.75">
      <c r="A1716" s="1">
        <v>309039</v>
      </c>
      <c r="B1716" s="1">
        <v>6176311173</v>
      </c>
      <c r="C1716" s="1">
        <v>12</v>
      </c>
      <c r="D1716" s="1" t="s">
        <v>489</v>
      </c>
      <c r="E1716" t="s">
        <v>14396</v>
      </c>
      <c r="F1716" s="4" t="s">
        <v>14397</v>
      </c>
      <c r="G1716" s="2"/>
      <c r="H1716" s="2"/>
      <c r="I1716" s="2"/>
      <c r="J1716" s="3"/>
    </row>
    <row r="1717" spans="1:10">
      <c r="A1717" s="1">
        <v>699215</v>
      </c>
      <c r="B1717" s="1">
        <v>7005700210</v>
      </c>
      <c r="C1717" s="1">
        <v>12</v>
      </c>
      <c r="D1717" s="1" t="s">
        <v>399</v>
      </c>
      <c r="E1717" t="s">
        <v>14398</v>
      </c>
      <c r="F1717" s="2" t="s">
        <v>0</v>
      </c>
      <c r="G1717" s="2" t="s">
        <v>1</v>
      </c>
      <c r="H1717" s="2" t="s">
        <v>2</v>
      </c>
      <c r="I1717" s="2" t="s">
        <v>3</v>
      </c>
      <c r="J1717" s="3" t="s">
        <v>4</v>
      </c>
    </row>
    <row r="1718" spans="1:10">
      <c r="A1718" s="1">
        <v>699165</v>
      </c>
      <c r="B1718" s="1">
        <v>7005700241</v>
      </c>
      <c r="C1718" s="1">
        <v>12</v>
      </c>
      <c r="D1718" s="1" t="s">
        <v>399</v>
      </c>
      <c r="E1718" t="s">
        <v>14399</v>
      </c>
      <c r="F1718" s="1">
        <v>67959</v>
      </c>
      <c r="G1718" s="1">
        <v>1238632599</v>
      </c>
      <c r="H1718" s="1">
        <v>16</v>
      </c>
      <c r="I1718" s="1" t="s">
        <v>347</v>
      </c>
      <c r="J1718" t="s">
        <v>14400</v>
      </c>
    </row>
    <row r="1719" spans="1:10">
      <c r="A1719" s="1">
        <v>659714</v>
      </c>
      <c r="B1719" s="1">
        <v>81200100003</v>
      </c>
      <c r="C1719" s="1">
        <v>8</v>
      </c>
      <c r="D1719" s="1" t="s">
        <v>3284</v>
      </c>
      <c r="E1719" t="s">
        <v>14401</v>
      </c>
      <c r="F1719" s="1">
        <v>687889</v>
      </c>
      <c r="G1719" s="1">
        <v>82650452994</v>
      </c>
      <c r="H1719" s="1">
        <v>10</v>
      </c>
      <c r="I1719" s="1" t="s">
        <v>1973</v>
      </c>
      <c r="J1719" t="s">
        <v>14402</v>
      </c>
    </row>
    <row r="1720" spans="1:10">
      <c r="A1720" s="1">
        <v>660456</v>
      </c>
      <c r="B1720" s="1">
        <v>81200100006</v>
      </c>
      <c r="C1720" s="1">
        <v>8</v>
      </c>
      <c r="D1720" s="1" t="s">
        <v>439</v>
      </c>
      <c r="E1720" t="s">
        <v>14403</v>
      </c>
      <c r="F1720" s="1">
        <v>660589</v>
      </c>
      <c r="G1720" s="1">
        <v>5972000890</v>
      </c>
      <c r="H1720" s="1">
        <v>8</v>
      </c>
      <c r="I1720" s="1" t="s">
        <v>399</v>
      </c>
      <c r="J1720" t="s">
        <v>14404</v>
      </c>
    </row>
    <row r="1721" spans="1:10">
      <c r="A1721" s="1">
        <v>498733</v>
      </c>
      <c r="B1721" s="1">
        <v>7929690111</v>
      </c>
      <c r="C1721" s="1">
        <v>12</v>
      </c>
      <c r="D1721" s="1" t="s">
        <v>358</v>
      </c>
      <c r="E1721" t="s">
        <v>14405</v>
      </c>
      <c r="F1721" s="1">
        <v>557223</v>
      </c>
      <c r="G1721" s="1">
        <v>5972000803</v>
      </c>
      <c r="H1721" s="1">
        <v>8</v>
      </c>
      <c r="I1721" s="1" t="s">
        <v>399</v>
      </c>
      <c r="J1721" t="s">
        <v>14406</v>
      </c>
    </row>
    <row r="1722" spans="1:10">
      <c r="A1722" s="1">
        <v>683797</v>
      </c>
      <c r="B1722" s="1">
        <v>2575302821</v>
      </c>
      <c r="C1722" s="1">
        <v>12</v>
      </c>
      <c r="D1722" s="1" t="s">
        <v>399</v>
      </c>
      <c r="E1722" t="s">
        <v>14407</v>
      </c>
      <c r="F1722" s="1">
        <v>847533</v>
      </c>
      <c r="G1722" s="1">
        <v>9697920200</v>
      </c>
      <c r="H1722" s="1">
        <v>8</v>
      </c>
      <c r="I1722" s="1" t="s">
        <v>860</v>
      </c>
      <c r="J1722" t="s">
        <v>14408</v>
      </c>
    </row>
    <row r="1723" spans="1:10">
      <c r="A1723" s="1">
        <v>652180</v>
      </c>
      <c r="B1723" s="1">
        <v>2575302819</v>
      </c>
      <c r="C1723" s="1">
        <v>12</v>
      </c>
      <c r="D1723" s="1" t="s">
        <v>489</v>
      </c>
      <c r="E1723" t="s">
        <v>14409</v>
      </c>
      <c r="F1723" s="1">
        <v>120212</v>
      </c>
      <c r="G1723" s="1">
        <v>969720100</v>
      </c>
      <c r="H1723" s="1">
        <v>8</v>
      </c>
      <c r="I1723" s="1" t="s">
        <v>860</v>
      </c>
      <c r="J1723" t="s">
        <v>14410</v>
      </c>
    </row>
    <row r="1724" spans="1:10" ht="15.75">
      <c r="A1724" s="4" t="s">
        <v>14397</v>
      </c>
      <c r="B1724" s="2"/>
      <c r="C1724" s="2"/>
      <c r="D1724" s="2"/>
      <c r="E1724" s="3"/>
      <c r="F1724" s="4" t="s">
        <v>14411</v>
      </c>
      <c r="G1724" s="2"/>
      <c r="H1724" s="2"/>
      <c r="I1724" s="2"/>
      <c r="J1724" s="3"/>
    </row>
    <row r="1725" spans="1:10">
      <c r="A1725" s="2" t="s">
        <v>0</v>
      </c>
      <c r="B1725" s="2" t="s">
        <v>1</v>
      </c>
      <c r="C1725" s="2" t="s">
        <v>2</v>
      </c>
      <c r="D1725" s="2" t="s">
        <v>3</v>
      </c>
      <c r="E1725" s="3" t="s">
        <v>4</v>
      </c>
      <c r="F1725" s="2" t="s">
        <v>0</v>
      </c>
      <c r="G1725" s="2" t="s">
        <v>1</v>
      </c>
      <c r="H1725" s="2" t="s">
        <v>2</v>
      </c>
      <c r="I1725" s="2" t="s">
        <v>3</v>
      </c>
      <c r="J1725" s="3" t="s">
        <v>4</v>
      </c>
    </row>
    <row r="1726" spans="1:10">
      <c r="A1726" s="1">
        <v>22061</v>
      </c>
      <c r="B1726" s="1">
        <v>6176301072</v>
      </c>
      <c r="C1726" s="1">
        <v>12</v>
      </c>
      <c r="D1726" s="1" t="s">
        <v>489</v>
      </c>
      <c r="E1726" t="s">
        <v>14412</v>
      </c>
      <c r="F1726" s="1">
        <v>824102</v>
      </c>
      <c r="G1726" s="1">
        <v>2265500062</v>
      </c>
      <c r="H1726" s="1">
        <v>12</v>
      </c>
      <c r="I1726" s="1" t="s">
        <v>4723</v>
      </c>
      <c r="J1726" t="s">
        <v>14413</v>
      </c>
    </row>
    <row r="1727" spans="1:10">
      <c r="A1727" s="1">
        <v>542803</v>
      </c>
      <c r="B1727" s="1">
        <v>7303080251</v>
      </c>
      <c r="C1727" s="1">
        <v>12</v>
      </c>
      <c r="D1727" s="1" t="s">
        <v>1546</v>
      </c>
      <c r="E1727" t="s">
        <v>14414</v>
      </c>
      <c r="F1727" s="1">
        <v>679977</v>
      </c>
      <c r="G1727" s="1">
        <v>2265526783</v>
      </c>
      <c r="H1727" s="1">
        <v>4</v>
      </c>
      <c r="I1727" s="1" t="s">
        <v>1973</v>
      </c>
      <c r="J1727" t="s">
        <v>14415</v>
      </c>
    </row>
    <row r="1728" spans="1:10">
      <c r="A1728" s="1">
        <v>542829</v>
      </c>
      <c r="B1728" s="1">
        <v>7303080250</v>
      </c>
      <c r="C1728" s="1">
        <v>12</v>
      </c>
      <c r="D1728" s="1" t="s">
        <v>1199</v>
      </c>
      <c r="E1728" t="s">
        <v>14416</v>
      </c>
      <c r="F1728" s="1">
        <v>679779</v>
      </c>
      <c r="G1728" s="1">
        <v>2265526856</v>
      </c>
      <c r="H1728" s="1">
        <v>2</v>
      </c>
      <c r="I1728" s="1" t="s">
        <v>1973</v>
      </c>
      <c r="J1728" t="s">
        <v>14417</v>
      </c>
    </row>
    <row r="1729" spans="1:10">
      <c r="A1729" s="1">
        <v>129841</v>
      </c>
      <c r="B1729" s="1">
        <v>4113081125</v>
      </c>
      <c r="C1729" s="1">
        <v>12</v>
      </c>
      <c r="D1729" s="1" t="s">
        <v>347</v>
      </c>
      <c r="E1729" t="s">
        <v>14418</v>
      </c>
      <c r="F1729" s="1">
        <v>492413</v>
      </c>
      <c r="G1729" s="1">
        <v>2265500061</v>
      </c>
      <c r="H1729" s="1">
        <v>12</v>
      </c>
      <c r="I1729" s="1" t="s">
        <v>4723</v>
      </c>
      <c r="J1729" t="s">
        <v>14419</v>
      </c>
    </row>
    <row r="1730" spans="1:10">
      <c r="A1730" s="1">
        <v>163105</v>
      </c>
      <c r="B1730" s="1">
        <v>2263560202</v>
      </c>
      <c r="C1730" s="1">
        <v>6</v>
      </c>
      <c r="D1730" s="1" t="s">
        <v>347</v>
      </c>
      <c r="E1730" t="s">
        <v>14420</v>
      </c>
      <c r="F1730" s="1">
        <v>680348</v>
      </c>
      <c r="G1730" s="1">
        <v>2265527068</v>
      </c>
      <c r="H1730" s="1">
        <v>6</v>
      </c>
      <c r="I1730" s="1" t="s">
        <v>1973</v>
      </c>
      <c r="J1730" t="s">
        <v>14421</v>
      </c>
    </row>
    <row r="1731" spans="1:10">
      <c r="A1731" s="1">
        <v>656512</v>
      </c>
      <c r="B1731" s="1">
        <v>2263560302</v>
      </c>
      <c r="C1731" s="1">
        <v>12</v>
      </c>
      <c r="D1731" s="1" t="s">
        <v>397</v>
      </c>
      <c r="E1731" t="s">
        <v>14422</v>
      </c>
      <c r="F1731" s="1">
        <v>681379</v>
      </c>
      <c r="G1731" s="1">
        <v>2265525261</v>
      </c>
      <c r="H1731" s="1">
        <v>6</v>
      </c>
      <c r="I1731" s="1" t="s">
        <v>4658</v>
      </c>
      <c r="J1731" t="s">
        <v>14423</v>
      </c>
    </row>
    <row r="1732" spans="1:10">
      <c r="A1732" s="1">
        <v>839571</v>
      </c>
      <c r="B1732" s="1">
        <v>2263560301</v>
      </c>
      <c r="C1732" s="1">
        <v>12</v>
      </c>
      <c r="D1732" s="1" t="s">
        <v>397</v>
      </c>
      <c r="E1732" t="s">
        <v>14424</v>
      </c>
      <c r="F1732" s="1">
        <v>680272</v>
      </c>
      <c r="G1732" s="1">
        <v>4530024081</v>
      </c>
      <c r="H1732" s="1">
        <v>6</v>
      </c>
      <c r="I1732" s="1" t="s">
        <v>11749</v>
      </c>
      <c r="J1732" t="s">
        <v>14425</v>
      </c>
    </row>
    <row r="1733" spans="1:10">
      <c r="A1733" s="1">
        <v>111468</v>
      </c>
      <c r="B1733" s="1">
        <v>2263560200</v>
      </c>
      <c r="C1733" s="1">
        <v>6</v>
      </c>
      <c r="D1733" s="1" t="s">
        <v>347</v>
      </c>
      <c r="E1733" t="s">
        <v>14426</v>
      </c>
      <c r="F1733" s="1">
        <v>691329</v>
      </c>
      <c r="G1733" s="1">
        <v>2265501110</v>
      </c>
      <c r="H1733" s="1">
        <v>4</v>
      </c>
      <c r="I1733" s="1" t="s">
        <v>4719</v>
      </c>
      <c r="J1733" t="s">
        <v>14427</v>
      </c>
    </row>
    <row r="1734" spans="1:10" ht="15.75">
      <c r="A1734" s="4" t="s">
        <v>14428</v>
      </c>
      <c r="B1734" s="2"/>
      <c r="C1734" s="2"/>
      <c r="D1734" s="2"/>
      <c r="E1734" s="3"/>
      <c r="F1734" s="1">
        <v>654236</v>
      </c>
      <c r="G1734" s="1">
        <v>2265501112</v>
      </c>
      <c r="H1734" s="1">
        <v>4</v>
      </c>
      <c r="I1734" s="1" t="s">
        <v>6600</v>
      </c>
      <c r="J1734" t="s">
        <v>14429</v>
      </c>
    </row>
    <row r="1735" spans="1:10">
      <c r="A1735" s="2" t="s">
        <v>0</v>
      </c>
      <c r="B1735" s="2" t="s">
        <v>1</v>
      </c>
      <c r="C1735" s="2" t="s">
        <v>2</v>
      </c>
      <c r="D1735" s="2" t="s">
        <v>3</v>
      </c>
      <c r="E1735" s="3" t="s">
        <v>4</v>
      </c>
      <c r="F1735" s="1">
        <v>673558</v>
      </c>
      <c r="G1735" s="1">
        <v>22265501114</v>
      </c>
      <c r="H1735" s="1">
        <v>4</v>
      </c>
      <c r="I1735" s="1" t="s">
        <v>6774</v>
      </c>
      <c r="J1735" t="s">
        <v>14430</v>
      </c>
    </row>
    <row r="1736" spans="1:10">
      <c r="A1736" s="1">
        <v>514091</v>
      </c>
      <c r="B1736" s="1">
        <v>4542516544</v>
      </c>
      <c r="C1736" s="1">
        <v>6</v>
      </c>
      <c r="D1736" s="1" t="s">
        <v>347</v>
      </c>
      <c r="E1736" t="s">
        <v>14431</v>
      </c>
      <c r="F1736" s="1">
        <v>697623</v>
      </c>
      <c r="G1736" s="1">
        <v>2265501016</v>
      </c>
      <c r="H1736" s="1">
        <v>2</v>
      </c>
      <c r="I1736" s="1" t="s">
        <v>11753</v>
      </c>
      <c r="J1736" t="s">
        <v>14432</v>
      </c>
    </row>
    <row r="1737" spans="1:10">
      <c r="A1737" s="1">
        <v>544940</v>
      </c>
      <c r="B1737" s="1">
        <v>4542516690</v>
      </c>
      <c r="C1737" s="1">
        <v>6</v>
      </c>
      <c r="D1737" s="1" t="s">
        <v>489</v>
      </c>
      <c r="E1737" t="s">
        <v>14433</v>
      </c>
      <c r="F1737" s="1">
        <v>697664</v>
      </c>
      <c r="G1737" s="1">
        <v>2265501020</v>
      </c>
      <c r="H1737" s="1">
        <v>2</v>
      </c>
      <c r="I1737" s="1" t="s">
        <v>4652</v>
      </c>
      <c r="J1737" t="s">
        <v>14434</v>
      </c>
    </row>
    <row r="1738" spans="1:10">
      <c r="A1738" s="1">
        <v>821694</v>
      </c>
      <c r="B1738" s="1">
        <v>4902982200</v>
      </c>
      <c r="C1738" s="1">
        <v>20</v>
      </c>
      <c r="D1738" s="1" t="s">
        <v>397</v>
      </c>
      <c r="E1738" t="s">
        <v>14435</v>
      </c>
      <c r="F1738" s="1">
        <v>697706</v>
      </c>
      <c r="G1738" s="1">
        <v>2265501022</v>
      </c>
      <c r="H1738" s="1">
        <v>2</v>
      </c>
      <c r="I1738" s="1" t="s">
        <v>6772</v>
      </c>
      <c r="J1738" t="s">
        <v>14436</v>
      </c>
    </row>
    <row r="1739" spans="1:10">
      <c r="A1739" s="1">
        <v>437673</v>
      </c>
      <c r="B1739" s="1">
        <v>1102931188</v>
      </c>
      <c r="C1739" s="1">
        <v>12</v>
      </c>
      <c r="D1739" s="1" t="s">
        <v>399</v>
      </c>
      <c r="E1739" t="s">
        <v>14437</v>
      </c>
      <c r="F1739" s="1">
        <v>668657</v>
      </c>
      <c r="G1739" s="1">
        <v>20000000003</v>
      </c>
      <c r="H1739" s="1">
        <v>1</v>
      </c>
      <c r="I1739" s="1" t="s">
        <v>6727</v>
      </c>
      <c r="J1739" t="s">
        <v>14438</v>
      </c>
    </row>
    <row r="1740" spans="1:10">
      <c r="A1740" s="1">
        <v>28084</v>
      </c>
      <c r="B1740" s="1">
        <v>1102931181</v>
      </c>
      <c r="C1740" s="1">
        <v>12</v>
      </c>
      <c r="D1740" s="1" t="s">
        <v>399</v>
      </c>
      <c r="E1740" t="s">
        <v>14439</v>
      </c>
      <c r="F1740" s="1">
        <v>654640</v>
      </c>
      <c r="G1740" s="1">
        <v>20000000003</v>
      </c>
      <c r="H1740" s="1">
        <v>1</v>
      </c>
      <c r="I1740" s="1" t="s">
        <v>1973</v>
      </c>
      <c r="J1740" t="s">
        <v>14440</v>
      </c>
    </row>
    <row r="1741" spans="1:10">
      <c r="A1741" s="1">
        <v>361584</v>
      </c>
      <c r="B1741" s="1">
        <v>1102931183</v>
      </c>
      <c r="C1741" s="1">
        <v>12</v>
      </c>
      <c r="D1741" s="1" t="s">
        <v>399</v>
      </c>
      <c r="E1741" t="s">
        <v>14441</v>
      </c>
      <c r="F1741" s="1">
        <v>654657</v>
      </c>
      <c r="G1741" s="1">
        <v>20000000003</v>
      </c>
      <c r="H1741" s="1">
        <v>1</v>
      </c>
      <c r="I1741" s="1" t="s">
        <v>1973</v>
      </c>
      <c r="J1741" t="s">
        <v>14440</v>
      </c>
    </row>
    <row r="1742" spans="1:10">
      <c r="A1742" s="1">
        <v>631804</v>
      </c>
      <c r="B1742" s="1">
        <v>1102931184</v>
      </c>
      <c r="C1742" s="1">
        <v>12</v>
      </c>
      <c r="D1742" s="1" t="s">
        <v>399</v>
      </c>
      <c r="E1742" t="s">
        <v>14442</v>
      </c>
      <c r="F1742" s="1">
        <v>654673</v>
      </c>
      <c r="G1742" s="1">
        <v>20000000003</v>
      </c>
      <c r="H1742" s="1">
        <v>1</v>
      </c>
      <c r="I1742" s="1" t="s">
        <v>1973</v>
      </c>
      <c r="J1742" t="s">
        <v>14440</v>
      </c>
    </row>
    <row r="1743" spans="1:10">
      <c r="A1743" s="1">
        <v>685362</v>
      </c>
      <c r="B1743" s="1">
        <v>7929690102</v>
      </c>
      <c r="C1743" s="1">
        <v>12</v>
      </c>
      <c r="D1743" s="1" t="s">
        <v>399</v>
      </c>
      <c r="E1743" t="s">
        <v>14443</v>
      </c>
      <c r="F1743" s="1">
        <v>654681</v>
      </c>
      <c r="G1743" s="1">
        <v>20000000003</v>
      </c>
      <c r="H1743" s="1">
        <v>1</v>
      </c>
      <c r="I1743" s="1" t="s">
        <v>1973</v>
      </c>
      <c r="J1743" t="s">
        <v>14440</v>
      </c>
    </row>
    <row r="1744" spans="1:10">
      <c r="A1744" s="1">
        <v>685354</v>
      </c>
      <c r="B1744" s="1">
        <v>7929690103</v>
      </c>
      <c r="C1744" s="1">
        <v>12</v>
      </c>
      <c r="D1744" s="1" t="s">
        <v>399</v>
      </c>
      <c r="E1744" t="s">
        <v>14444</v>
      </c>
      <c r="F1744" s="1">
        <v>654616</v>
      </c>
      <c r="G1744" s="1">
        <v>20000000003</v>
      </c>
      <c r="H1744" s="1">
        <v>1</v>
      </c>
      <c r="I1744" s="1" t="s">
        <v>1973</v>
      </c>
      <c r="J1744" t="s">
        <v>14445</v>
      </c>
    </row>
    <row r="1745" spans="1:10">
      <c r="A1745" s="1">
        <v>685370</v>
      </c>
      <c r="B1745" s="1">
        <v>7929690101</v>
      </c>
      <c r="C1745" s="1">
        <v>12</v>
      </c>
      <c r="D1745" s="1" t="s">
        <v>399</v>
      </c>
      <c r="E1745" t="s">
        <v>14446</v>
      </c>
      <c r="F1745" s="1">
        <v>654624</v>
      </c>
      <c r="G1745" s="1">
        <v>20000000003</v>
      </c>
      <c r="H1745" s="1">
        <v>1</v>
      </c>
      <c r="I1745" s="1" t="s">
        <v>1973</v>
      </c>
      <c r="J1745" t="s">
        <v>14445</v>
      </c>
    </row>
    <row r="1746" spans="1:10">
      <c r="A1746" s="1">
        <v>685396</v>
      </c>
      <c r="B1746" s="1">
        <v>7929690248</v>
      </c>
      <c r="C1746" s="1">
        <v>12</v>
      </c>
      <c r="D1746" s="1" t="s">
        <v>399</v>
      </c>
      <c r="E1746" t="s">
        <v>14447</v>
      </c>
      <c r="F1746" s="1">
        <v>654632</v>
      </c>
      <c r="G1746" s="1">
        <v>20000000003</v>
      </c>
      <c r="H1746" s="1">
        <v>1</v>
      </c>
      <c r="I1746" s="1" t="s">
        <v>1973</v>
      </c>
      <c r="J1746" t="s">
        <v>14445</v>
      </c>
    </row>
    <row r="1747" spans="1:10">
      <c r="A1747" s="1">
        <v>812453</v>
      </c>
      <c r="B1747" s="1">
        <v>7929690113</v>
      </c>
      <c r="C1747" s="1">
        <v>8</v>
      </c>
      <c r="D1747" s="1" t="s">
        <v>347</v>
      </c>
      <c r="E1747" t="s">
        <v>14448</v>
      </c>
      <c r="F1747" s="1">
        <v>482646</v>
      </c>
      <c r="G1747" s="1">
        <v>4220551394</v>
      </c>
      <c r="H1747" s="1">
        <v>1</v>
      </c>
      <c r="I1747" s="1" t="s">
        <v>12101</v>
      </c>
      <c r="J1747" t="s">
        <v>14449</v>
      </c>
    </row>
    <row r="1748" spans="1:10">
      <c r="A1748" s="1">
        <v>290528</v>
      </c>
      <c r="B1748" s="1">
        <v>5255214448</v>
      </c>
      <c r="C1748" s="1">
        <v>40</v>
      </c>
      <c r="D1748" s="1" t="s">
        <v>399</v>
      </c>
      <c r="E1748" t="s">
        <v>14450</v>
      </c>
      <c r="F1748" s="1">
        <v>690990</v>
      </c>
      <c r="G1748" s="1">
        <v>27232240131</v>
      </c>
      <c r="H1748" s="1">
        <v>41</v>
      </c>
      <c r="I1748" s="1" t="s">
        <v>4815</v>
      </c>
      <c r="J1748" t="s">
        <v>14451</v>
      </c>
    </row>
    <row r="1749" spans="1:10">
      <c r="A1749" s="1">
        <v>660464</v>
      </c>
      <c r="B1749" s="1">
        <v>1088705686</v>
      </c>
      <c r="C1749" s="1">
        <v>12</v>
      </c>
      <c r="D1749" s="1" t="s">
        <v>1656</v>
      </c>
      <c r="E1749" t="s">
        <v>14452</v>
      </c>
      <c r="F1749" s="1">
        <v>568600</v>
      </c>
      <c r="G1749" s="1">
        <v>4113060689</v>
      </c>
      <c r="H1749" s="1">
        <v>10</v>
      </c>
      <c r="I1749" s="1" t="s">
        <v>865</v>
      </c>
      <c r="J1749" t="s">
        <v>14453</v>
      </c>
    </row>
    <row r="1750" spans="1:10">
      <c r="A1750" s="1">
        <v>729780</v>
      </c>
      <c r="B1750" s="1">
        <v>71516604417</v>
      </c>
      <c r="C1750" s="1">
        <v>12</v>
      </c>
      <c r="D1750" s="1" t="s">
        <v>399</v>
      </c>
      <c r="E1750" t="s">
        <v>14454</v>
      </c>
      <c r="F1750" s="1">
        <v>672626</v>
      </c>
      <c r="G1750" s="1">
        <v>4113060156</v>
      </c>
      <c r="H1750" s="1">
        <v>4</v>
      </c>
      <c r="I1750" s="1" t="s">
        <v>4719</v>
      </c>
      <c r="J1750" t="s">
        <v>14455</v>
      </c>
    </row>
    <row r="1751" spans="1:10">
      <c r="A1751" s="1">
        <v>729798</v>
      </c>
      <c r="B1751" s="1">
        <v>71516604418</v>
      </c>
      <c r="C1751" s="1">
        <v>12</v>
      </c>
      <c r="D1751" s="1" t="s">
        <v>399</v>
      </c>
      <c r="E1751" t="s">
        <v>14456</v>
      </c>
      <c r="F1751" s="1">
        <v>681007</v>
      </c>
      <c r="G1751" s="1">
        <v>20000000000</v>
      </c>
      <c r="H1751" s="1">
        <v>1</v>
      </c>
      <c r="I1751" s="1" t="s">
        <v>12224</v>
      </c>
      <c r="J1751" t="s">
        <v>14455</v>
      </c>
    </row>
    <row r="1752" spans="1:10">
      <c r="A1752" s="1">
        <v>656777</v>
      </c>
      <c r="B1752" s="1">
        <v>71516614501</v>
      </c>
      <c r="C1752" s="1">
        <v>12</v>
      </c>
      <c r="D1752" s="1" t="s">
        <v>360</v>
      </c>
      <c r="E1752" t="s">
        <v>14457</v>
      </c>
      <c r="F1752" s="1">
        <v>685479</v>
      </c>
      <c r="G1752" s="1">
        <v>4113060157</v>
      </c>
      <c r="H1752" s="1">
        <v>4</v>
      </c>
      <c r="I1752" s="1" t="s">
        <v>6600</v>
      </c>
      <c r="J1752" t="s">
        <v>14458</v>
      </c>
    </row>
    <row r="1753" spans="1:10">
      <c r="A1753" s="1">
        <v>740456</v>
      </c>
      <c r="B1753" s="1">
        <v>71516608607</v>
      </c>
      <c r="C1753" s="1">
        <v>12</v>
      </c>
      <c r="D1753" s="1" t="s">
        <v>938</v>
      </c>
      <c r="E1753" t="s">
        <v>14459</v>
      </c>
      <c r="F1753" s="1">
        <v>681064</v>
      </c>
      <c r="G1753" s="1">
        <v>20000000000</v>
      </c>
      <c r="H1753" s="1">
        <v>1</v>
      </c>
      <c r="I1753" s="1" t="s">
        <v>12572</v>
      </c>
      <c r="J1753" t="s">
        <v>14458</v>
      </c>
    </row>
    <row r="1754" spans="1:10">
      <c r="A1754" s="1">
        <v>729806</v>
      </c>
      <c r="B1754" s="1">
        <v>71516610401</v>
      </c>
      <c r="C1754" s="1">
        <v>12</v>
      </c>
      <c r="D1754" s="1" t="s">
        <v>399</v>
      </c>
      <c r="E1754" t="s">
        <v>14460</v>
      </c>
      <c r="F1754" s="1">
        <v>688929</v>
      </c>
      <c r="G1754" s="1">
        <v>4113060158</v>
      </c>
      <c r="H1754" s="1">
        <v>4</v>
      </c>
      <c r="I1754" s="1" t="s">
        <v>6774</v>
      </c>
      <c r="J1754" t="s">
        <v>14461</v>
      </c>
    </row>
    <row r="1755" spans="1:10">
      <c r="A1755" s="1">
        <v>508010</v>
      </c>
      <c r="B1755" s="1">
        <v>9118600027</v>
      </c>
      <c r="C1755" s="1">
        <v>12</v>
      </c>
      <c r="D1755" s="1" t="s">
        <v>1973</v>
      </c>
      <c r="E1755" t="s">
        <v>14462</v>
      </c>
      <c r="F1755" s="1">
        <v>681072</v>
      </c>
      <c r="G1755" s="1">
        <v>20000000000</v>
      </c>
      <c r="H1755" s="1">
        <v>1</v>
      </c>
      <c r="I1755" s="1" t="s">
        <v>14463</v>
      </c>
      <c r="J1755" t="s">
        <v>14461</v>
      </c>
    </row>
    <row r="1756" spans="1:10" ht="15.75">
      <c r="A1756" s="4" t="s">
        <v>14464</v>
      </c>
      <c r="B1756" s="2"/>
      <c r="C1756" s="2"/>
      <c r="D1756" s="2"/>
      <c r="E1756" s="3"/>
      <c r="F1756" s="1">
        <v>674259</v>
      </c>
      <c r="G1756" s="1">
        <v>4113060159</v>
      </c>
      <c r="H1756" s="1">
        <v>2</v>
      </c>
      <c r="I1756" s="1" t="s">
        <v>11753</v>
      </c>
      <c r="J1756" t="s">
        <v>14465</v>
      </c>
    </row>
    <row r="1757" spans="1:10">
      <c r="A1757" s="2" t="s">
        <v>0</v>
      </c>
      <c r="B1757" s="2" t="s">
        <v>1</v>
      </c>
      <c r="C1757" s="2" t="s">
        <v>2</v>
      </c>
      <c r="D1757" s="2" t="s">
        <v>3</v>
      </c>
      <c r="E1757" s="3" t="s">
        <v>4</v>
      </c>
      <c r="F1757" s="1">
        <v>681080</v>
      </c>
      <c r="G1757" s="1">
        <v>20000000000</v>
      </c>
      <c r="H1757" s="1">
        <v>1</v>
      </c>
      <c r="I1757" s="1" t="s">
        <v>6729</v>
      </c>
      <c r="J1757" t="s">
        <v>14465</v>
      </c>
    </row>
    <row r="1758" spans="1:10">
      <c r="A1758" s="1">
        <v>699967</v>
      </c>
      <c r="B1758" s="1">
        <v>82650474296</v>
      </c>
      <c r="C1758" s="1">
        <v>12</v>
      </c>
      <c r="D1758" s="1" t="s">
        <v>860</v>
      </c>
      <c r="E1758" t="s">
        <v>14466</v>
      </c>
      <c r="F1758" s="1">
        <v>674242</v>
      </c>
      <c r="G1758" s="1">
        <v>4113060160</v>
      </c>
      <c r="H1758" s="1">
        <v>2</v>
      </c>
      <c r="I1758" s="1" t="s">
        <v>6737</v>
      </c>
      <c r="J1758" t="s">
        <v>14467</v>
      </c>
    </row>
    <row r="1759" spans="1:10">
      <c r="A1759" s="1">
        <v>691394</v>
      </c>
      <c r="B1759" s="1">
        <v>20000069139</v>
      </c>
      <c r="C1759" s="1">
        <v>4</v>
      </c>
      <c r="D1759" s="1" t="s">
        <v>4719</v>
      </c>
      <c r="E1759" t="s">
        <v>14468</v>
      </c>
      <c r="F1759" s="1">
        <v>681254</v>
      </c>
      <c r="G1759" s="1">
        <v>20000000000</v>
      </c>
      <c r="H1759" s="1">
        <v>1</v>
      </c>
      <c r="I1759" s="1" t="s">
        <v>12335</v>
      </c>
      <c r="J1759" t="s">
        <v>14467</v>
      </c>
    </row>
    <row r="1760" spans="1:10">
      <c r="A1760" s="1">
        <v>685438</v>
      </c>
      <c r="B1760" s="1">
        <v>7196781764</v>
      </c>
      <c r="C1760" s="1">
        <v>12</v>
      </c>
      <c r="D1760" s="1" t="s">
        <v>1973</v>
      </c>
      <c r="E1760" t="s">
        <v>14469</v>
      </c>
      <c r="F1760" s="1">
        <v>693028</v>
      </c>
      <c r="G1760" s="1">
        <v>4113060161</v>
      </c>
      <c r="H1760" s="1">
        <v>2</v>
      </c>
      <c r="I1760" s="1" t="s">
        <v>4652</v>
      </c>
      <c r="J1760" t="s">
        <v>14470</v>
      </c>
    </row>
    <row r="1761" spans="1:10">
      <c r="A1761" s="1">
        <v>685412</v>
      </c>
      <c r="B1761" s="1">
        <v>7196781767</v>
      </c>
      <c r="C1761" s="1">
        <v>6</v>
      </c>
      <c r="D1761" s="1" t="s">
        <v>938</v>
      </c>
      <c r="E1761" t="s">
        <v>14471</v>
      </c>
      <c r="F1761" s="1">
        <v>686188</v>
      </c>
      <c r="G1761" s="1">
        <v>21009310093</v>
      </c>
      <c r="H1761" s="1">
        <v>1</v>
      </c>
      <c r="I1761" s="1" t="s">
        <v>12449</v>
      </c>
      <c r="J1761" t="s">
        <v>14470</v>
      </c>
    </row>
    <row r="1762" spans="1:10" ht="15.75">
      <c r="A1762" s="4" t="s">
        <v>14411</v>
      </c>
      <c r="B1762" s="2"/>
      <c r="C1762" s="2"/>
      <c r="D1762" s="2"/>
      <c r="E1762" s="3"/>
      <c r="F1762" s="1">
        <v>685198</v>
      </c>
      <c r="G1762" s="1">
        <v>4113060162</v>
      </c>
      <c r="H1762" s="1">
        <v>2</v>
      </c>
      <c r="I1762" s="1" t="s">
        <v>6772</v>
      </c>
      <c r="J1762" t="s">
        <v>14472</v>
      </c>
    </row>
    <row r="1763" spans="1:10">
      <c r="A1763" s="2" t="s">
        <v>0</v>
      </c>
      <c r="B1763" s="2" t="s">
        <v>1</v>
      </c>
      <c r="C1763" s="2" t="s">
        <v>2</v>
      </c>
      <c r="D1763" s="2" t="s">
        <v>3</v>
      </c>
      <c r="E1763" s="3" t="s">
        <v>4</v>
      </c>
      <c r="F1763" s="1">
        <v>681270</v>
      </c>
      <c r="G1763" s="1">
        <v>20000000000</v>
      </c>
      <c r="H1763" s="1">
        <v>1</v>
      </c>
      <c r="I1763" s="1" t="s">
        <v>13687</v>
      </c>
      <c r="J1763" t="s">
        <v>14472</v>
      </c>
    </row>
    <row r="1764" spans="1:10">
      <c r="A1764" s="1">
        <v>680298</v>
      </c>
      <c r="B1764" s="1">
        <v>2265527487</v>
      </c>
      <c r="C1764" s="1">
        <v>12</v>
      </c>
      <c r="D1764" s="1" t="s">
        <v>4723</v>
      </c>
      <c r="E1764" t="s">
        <v>14473</v>
      </c>
      <c r="F1764" s="1">
        <v>681312</v>
      </c>
      <c r="G1764" s="1">
        <v>4113060163</v>
      </c>
      <c r="H1764" s="1">
        <v>2</v>
      </c>
      <c r="I1764" s="1" t="s">
        <v>6741</v>
      </c>
      <c r="J1764" t="s">
        <v>14474</v>
      </c>
    </row>
    <row r="1765" spans="1:10" ht="15.75">
      <c r="A1765" s="4" t="s">
        <v>14411</v>
      </c>
      <c r="B1765" s="2"/>
      <c r="C1765" s="2"/>
      <c r="D1765" s="2"/>
      <c r="E1765" s="3"/>
      <c r="F1765" s="4" t="s">
        <v>14411</v>
      </c>
      <c r="G1765" s="2"/>
      <c r="H1765" s="2"/>
      <c r="I1765" s="2"/>
      <c r="J1765" s="3"/>
    </row>
    <row r="1766" spans="1:10">
      <c r="A1766" s="2" t="s">
        <v>0</v>
      </c>
      <c r="B1766" s="2" t="s">
        <v>1</v>
      </c>
      <c r="C1766" s="2" t="s">
        <v>2</v>
      </c>
      <c r="D1766" s="2" t="s">
        <v>3</v>
      </c>
      <c r="E1766" s="3" t="s">
        <v>4</v>
      </c>
      <c r="F1766" s="2" t="s">
        <v>0</v>
      </c>
      <c r="G1766" s="2" t="s">
        <v>1</v>
      </c>
      <c r="H1766" s="2" t="s">
        <v>2</v>
      </c>
      <c r="I1766" s="2" t="s">
        <v>3</v>
      </c>
      <c r="J1766" s="3" t="s">
        <v>4</v>
      </c>
    </row>
    <row r="1767" spans="1:10">
      <c r="A1767" s="1">
        <v>681320</v>
      </c>
      <c r="B1767" s="1">
        <v>20000000000</v>
      </c>
      <c r="C1767" s="1">
        <v>2</v>
      </c>
      <c r="D1767" s="1" t="s">
        <v>12427</v>
      </c>
      <c r="E1767" t="s">
        <v>14475</v>
      </c>
      <c r="F1767" s="1">
        <v>115378</v>
      </c>
      <c r="G1767" s="1">
        <v>64809313129</v>
      </c>
      <c r="H1767" s="1">
        <v>6</v>
      </c>
      <c r="I1767" s="1" t="s">
        <v>940</v>
      </c>
      <c r="J1767" t="s">
        <v>14476</v>
      </c>
    </row>
    <row r="1768" spans="1:10">
      <c r="A1768" s="1">
        <v>63958</v>
      </c>
      <c r="B1768" s="1">
        <v>4113066559</v>
      </c>
      <c r="C1768" s="1">
        <v>10</v>
      </c>
      <c r="D1768" s="1" t="s">
        <v>4723</v>
      </c>
      <c r="E1768" t="s">
        <v>14477</v>
      </c>
      <c r="F1768" s="1">
        <v>227868</v>
      </c>
      <c r="G1768" s="1">
        <v>27274510086</v>
      </c>
      <c r="H1768" s="1">
        <v>1</v>
      </c>
      <c r="I1768" s="1" t="s">
        <v>12342</v>
      </c>
      <c r="J1768" t="s">
        <v>14478</v>
      </c>
    </row>
    <row r="1769" spans="1:10">
      <c r="A1769" s="1">
        <v>686303</v>
      </c>
      <c r="B1769" s="1">
        <v>4222251134</v>
      </c>
      <c r="C1769" s="1">
        <v>1</v>
      </c>
      <c r="D1769" s="1" t="s">
        <v>7</v>
      </c>
      <c r="E1769" t="s">
        <v>14479</v>
      </c>
      <c r="F1769" s="1">
        <v>656025</v>
      </c>
      <c r="G1769" s="1">
        <v>27274510079</v>
      </c>
      <c r="H1769" s="1">
        <v>1</v>
      </c>
      <c r="I1769" s="1" t="s">
        <v>13687</v>
      </c>
      <c r="J1769" t="s">
        <v>14480</v>
      </c>
    </row>
    <row r="1770" spans="1:10">
      <c r="A1770" s="1">
        <v>728584</v>
      </c>
      <c r="B1770" s="1">
        <v>24530001023</v>
      </c>
      <c r="C1770" s="1">
        <v>1</v>
      </c>
      <c r="D1770" s="1" t="s">
        <v>12516</v>
      </c>
      <c r="E1770" t="s">
        <v>14481</v>
      </c>
      <c r="F1770" s="1">
        <v>655993</v>
      </c>
      <c r="G1770" s="1">
        <v>27274510064</v>
      </c>
      <c r="H1770" s="1">
        <v>1</v>
      </c>
      <c r="I1770" s="1" t="s">
        <v>12018</v>
      </c>
      <c r="J1770" t="s">
        <v>14482</v>
      </c>
    </row>
    <row r="1771" spans="1:10">
      <c r="A1771" s="1">
        <v>572016</v>
      </c>
      <c r="B1771" s="1">
        <v>24530001110</v>
      </c>
      <c r="C1771" s="1">
        <v>1</v>
      </c>
      <c r="D1771" s="1" t="s">
        <v>10607</v>
      </c>
      <c r="E1771" t="s">
        <v>14483</v>
      </c>
      <c r="F1771" s="1">
        <v>693671</v>
      </c>
      <c r="G1771" s="1">
        <v>27274510079</v>
      </c>
      <c r="H1771" s="1">
        <v>1</v>
      </c>
      <c r="I1771" s="1" t="s">
        <v>6810</v>
      </c>
      <c r="J1771" t="s">
        <v>14484</v>
      </c>
    </row>
    <row r="1772" spans="1:10">
      <c r="A1772" s="1">
        <v>692285</v>
      </c>
      <c r="B1772" s="1">
        <v>24530001115</v>
      </c>
      <c r="C1772" s="1">
        <v>1</v>
      </c>
      <c r="D1772" s="1" t="s">
        <v>12106</v>
      </c>
      <c r="E1772" t="s">
        <v>14485</v>
      </c>
      <c r="F1772" s="1">
        <v>678995</v>
      </c>
      <c r="G1772" s="1">
        <v>7274526660</v>
      </c>
      <c r="H1772" s="1">
        <v>1</v>
      </c>
      <c r="I1772" s="1" t="s">
        <v>14486</v>
      </c>
      <c r="J1772" t="s">
        <v>14487</v>
      </c>
    </row>
    <row r="1773" spans="1:10">
      <c r="A1773" s="1">
        <v>663872</v>
      </c>
      <c r="B1773" s="1">
        <v>4113060690</v>
      </c>
      <c r="C1773" s="1">
        <v>10</v>
      </c>
      <c r="D1773" s="1" t="s">
        <v>4723</v>
      </c>
      <c r="E1773" t="s">
        <v>14488</v>
      </c>
      <c r="F1773" s="1">
        <v>689497</v>
      </c>
      <c r="G1773" s="1">
        <v>7274526910</v>
      </c>
      <c r="H1773" s="1">
        <v>12</v>
      </c>
      <c r="I1773" s="1" t="s">
        <v>12327</v>
      </c>
      <c r="J1773" t="s">
        <v>14489</v>
      </c>
    </row>
    <row r="1774" spans="1:10">
      <c r="A1774" s="1">
        <v>851444</v>
      </c>
      <c r="B1774" s="1">
        <v>0</v>
      </c>
      <c r="C1774" s="1">
        <v>16</v>
      </c>
      <c r="D1774" s="1" t="s">
        <v>553</v>
      </c>
      <c r="E1774" t="s">
        <v>14490</v>
      </c>
      <c r="F1774" s="1">
        <v>654434</v>
      </c>
      <c r="G1774" s="1">
        <v>20001800000</v>
      </c>
      <c r="H1774" s="1">
        <v>1</v>
      </c>
      <c r="I1774" s="1" t="s">
        <v>1973</v>
      </c>
      <c r="J1774" t="s">
        <v>14491</v>
      </c>
    </row>
    <row r="1775" spans="1:10">
      <c r="A1775" s="1">
        <v>424648</v>
      </c>
      <c r="B1775" s="1">
        <v>7527890982</v>
      </c>
      <c r="C1775" s="1">
        <v>8</v>
      </c>
      <c r="D1775" s="1" t="s">
        <v>860</v>
      </c>
      <c r="E1775" t="s">
        <v>14492</v>
      </c>
      <c r="F1775" s="1">
        <v>654442</v>
      </c>
      <c r="G1775" s="1">
        <v>20001800000</v>
      </c>
      <c r="H1775" s="1">
        <v>1</v>
      </c>
      <c r="I1775" s="1" t="s">
        <v>1973</v>
      </c>
      <c r="J1775" t="s">
        <v>14491</v>
      </c>
    </row>
    <row r="1776" spans="1:10">
      <c r="A1776" s="1">
        <v>346759</v>
      </c>
      <c r="B1776" s="1">
        <v>7527890983</v>
      </c>
      <c r="C1776" s="1">
        <v>8</v>
      </c>
      <c r="D1776" s="1" t="s">
        <v>860</v>
      </c>
      <c r="E1776" t="s">
        <v>14493</v>
      </c>
      <c r="F1776" s="1">
        <v>654459</v>
      </c>
      <c r="G1776" s="1">
        <v>20001800000</v>
      </c>
      <c r="H1776" s="1">
        <v>1</v>
      </c>
      <c r="I1776" s="1" t="s">
        <v>1973</v>
      </c>
      <c r="J1776" t="s">
        <v>14491</v>
      </c>
    </row>
    <row r="1777" spans="1:10">
      <c r="A1777" s="1">
        <v>655530</v>
      </c>
      <c r="B1777" s="1">
        <v>27232243260</v>
      </c>
      <c r="C1777" s="1">
        <v>1</v>
      </c>
      <c r="D1777" s="1" t="s">
        <v>1973</v>
      </c>
      <c r="E1777" t="s">
        <v>14494</v>
      </c>
      <c r="F1777" s="1">
        <v>654475</v>
      </c>
      <c r="G1777" s="1">
        <v>20002400000</v>
      </c>
      <c r="H1777" s="1">
        <v>1</v>
      </c>
      <c r="I1777" s="1" t="s">
        <v>1973</v>
      </c>
      <c r="J1777" t="s">
        <v>14495</v>
      </c>
    </row>
    <row r="1778" spans="1:10">
      <c r="A1778" s="1">
        <v>145920</v>
      </c>
      <c r="B1778" s="1">
        <v>7527890565</v>
      </c>
      <c r="C1778" s="1">
        <v>12</v>
      </c>
      <c r="D1778" s="1" t="s">
        <v>12740</v>
      </c>
      <c r="E1778" t="s">
        <v>14496</v>
      </c>
      <c r="F1778" s="1">
        <v>658393</v>
      </c>
      <c r="G1778" s="1">
        <v>20000000000</v>
      </c>
      <c r="H1778" s="1">
        <v>1</v>
      </c>
      <c r="I1778" s="1" t="s">
        <v>1973</v>
      </c>
      <c r="J1778" t="s">
        <v>14495</v>
      </c>
    </row>
    <row r="1779" spans="1:10">
      <c r="A1779" s="1">
        <v>282111</v>
      </c>
      <c r="B1779" s="1">
        <v>62909715510</v>
      </c>
      <c r="C1779" s="1">
        <v>12</v>
      </c>
      <c r="D1779" s="1" t="s">
        <v>4723</v>
      </c>
      <c r="E1779" t="s">
        <v>14497</v>
      </c>
      <c r="F1779" s="1">
        <v>658401</v>
      </c>
      <c r="G1779" s="1">
        <v>20000000000</v>
      </c>
      <c r="H1779" s="1">
        <v>1</v>
      </c>
      <c r="I1779" s="1" t="s">
        <v>1973</v>
      </c>
      <c r="J1779" t="s">
        <v>14495</v>
      </c>
    </row>
    <row r="1780" spans="1:10">
      <c r="A1780" s="1">
        <v>562447</v>
      </c>
      <c r="B1780" s="1">
        <v>0</v>
      </c>
      <c r="C1780" s="1">
        <v>4</v>
      </c>
      <c r="D1780" s="1" t="s">
        <v>6727</v>
      </c>
      <c r="E1780" t="s">
        <v>14498</v>
      </c>
      <c r="F1780" s="1">
        <v>685552</v>
      </c>
      <c r="G1780" s="1">
        <v>21009610096</v>
      </c>
      <c r="H1780" s="1">
        <v>1</v>
      </c>
      <c r="I1780" s="1" t="s">
        <v>6729</v>
      </c>
      <c r="J1780" t="s">
        <v>14499</v>
      </c>
    </row>
    <row r="1781" spans="1:10">
      <c r="A1781" s="1">
        <v>531319</v>
      </c>
      <c r="B1781" s="1">
        <v>0</v>
      </c>
      <c r="C1781" s="1">
        <v>4</v>
      </c>
      <c r="D1781" s="1" t="s">
        <v>12484</v>
      </c>
      <c r="E1781" t="s">
        <v>14500</v>
      </c>
      <c r="F1781" s="1">
        <v>650051</v>
      </c>
      <c r="G1781" s="1">
        <v>21009710097</v>
      </c>
      <c r="H1781" s="1">
        <v>1</v>
      </c>
      <c r="I1781" s="1" t="s">
        <v>12335</v>
      </c>
      <c r="J1781" t="s">
        <v>14501</v>
      </c>
    </row>
    <row r="1782" spans="1:10">
      <c r="A1782" s="1">
        <v>777037</v>
      </c>
      <c r="B1782" s="1">
        <v>0</v>
      </c>
      <c r="C1782" s="1">
        <v>2</v>
      </c>
      <c r="D1782" s="1" t="s">
        <v>13665</v>
      </c>
      <c r="E1782" t="s">
        <v>14502</v>
      </c>
      <c r="F1782" s="1">
        <v>651794</v>
      </c>
      <c r="G1782" s="1">
        <v>21009810098</v>
      </c>
      <c r="H1782" s="1">
        <v>1</v>
      </c>
      <c r="I1782" s="1" t="s">
        <v>12449</v>
      </c>
      <c r="J1782" t="s">
        <v>14503</v>
      </c>
    </row>
    <row r="1783" spans="1:10">
      <c r="A1783" s="1">
        <v>638072</v>
      </c>
      <c r="B1783" s="1">
        <v>0</v>
      </c>
      <c r="C1783" s="1">
        <v>2</v>
      </c>
      <c r="D1783" s="1" t="s">
        <v>10607</v>
      </c>
      <c r="E1783" t="s">
        <v>14504</v>
      </c>
      <c r="F1783" s="1">
        <v>652057</v>
      </c>
      <c r="G1783" s="1">
        <v>21009310093</v>
      </c>
      <c r="H1783" s="1">
        <v>1</v>
      </c>
      <c r="I1783" s="1" t="s">
        <v>13687</v>
      </c>
      <c r="J1783" t="s">
        <v>14505</v>
      </c>
    </row>
    <row r="1784" spans="1:10">
      <c r="A1784" s="1">
        <v>455501</v>
      </c>
      <c r="B1784" s="1">
        <v>0</v>
      </c>
      <c r="C1784" s="1">
        <v>4</v>
      </c>
      <c r="D1784" s="1" t="s">
        <v>4719</v>
      </c>
      <c r="E1784" t="s">
        <v>14506</v>
      </c>
      <c r="F1784" s="1">
        <v>654517</v>
      </c>
      <c r="G1784" s="1">
        <v>27496041621</v>
      </c>
      <c r="H1784" s="1">
        <v>1</v>
      </c>
      <c r="I1784" s="1" t="s">
        <v>13687</v>
      </c>
      <c r="J1784" t="s">
        <v>14507</v>
      </c>
    </row>
    <row r="1785" spans="1:10">
      <c r="A1785" s="1">
        <v>231324</v>
      </c>
      <c r="B1785" s="1">
        <v>0</v>
      </c>
      <c r="C1785" s="1">
        <v>4</v>
      </c>
      <c r="D1785" s="1" t="s">
        <v>4719</v>
      </c>
      <c r="E1785" t="s">
        <v>14508</v>
      </c>
      <c r="F1785" s="1">
        <v>654483</v>
      </c>
      <c r="G1785" s="1">
        <v>20002400000</v>
      </c>
      <c r="H1785" s="1">
        <v>2</v>
      </c>
      <c r="I1785" s="1" t="s">
        <v>6737</v>
      </c>
      <c r="J1785" t="s">
        <v>14509</v>
      </c>
    </row>
    <row r="1786" spans="1:10">
      <c r="A1786" s="1">
        <v>699728</v>
      </c>
      <c r="B1786" s="1">
        <v>20000000000</v>
      </c>
      <c r="C1786" s="1">
        <v>1</v>
      </c>
      <c r="D1786" s="1" t="s">
        <v>1973</v>
      </c>
      <c r="E1786" t="s">
        <v>14510</v>
      </c>
      <c r="F1786" s="1">
        <v>680843</v>
      </c>
      <c r="G1786" s="1">
        <v>7701316806</v>
      </c>
      <c r="H1786" s="1">
        <v>12</v>
      </c>
      <c r="I1786" s="1" t="s">
        <v>1654</v>
      </c>
      <c r="J1786" t="s">
        <v>14511</v>
      </c>
    </row>
    <row r="1787" spans="1:10">
      <c r="A1787" s="1">
        <v>699702</v>
      </c>
      <c r="B1787" s="1">
        <v>20000000000</v>
      </c>
      <c r="C1787" s="1">
        <v>1</v>
      </c>
      <c r="D1787" s="1" t="s">
        <v>1973</v>
      </c>
      <c r="E1787" t="s">
        <v>14512</v>
      </c>
      <c r="F1787" s="1">
        <v>321422</v>
      </c>
      <c r="G1787" s="1">
        <v>7701316804</v>
      </c>
      <c r="H1787" s="1">
        <v>12</v>
      </c>
      <c r="I1787" s="1" t="s">
        <v>1654</v>
      </c>
      <c r="J1787" t="s">
        <v>14513</v>
      </c>
    </row>
    <row r="1788" spans="1:10">
      <c r="A1788" s="1">
        <v>568022</v>
      </c>
      <c r="B1788" s="1">
        <v>4220554911</v>
      </c>
      <c r="C1788" s="1">
        <v>2</v>
      </c>
      <c r="D1788" s="1" t="s">
        <v>12394</v>
      </c>
      <c r="E1788" t="s">
        <v>14514</v>
      </c>
      <c r="F1788" s="1">
        <v>689752</v>
      </c>
      <c r="G1788" s="1">
        <v>27496046462</v>
      </c>
      <c r="H1788" s="1">
        <v>1</v>
      </c>
      <c r="I1788" s="1" t="s">
        <v>12369</v>
      </c>
      <c r="J1788" t="s">
        <v>14515</v>
      </c>
    </row>
    <row r="1789" spans="1:10">
      <c r="A1789" s="1">
        <v>679142</v>
      </c>
      <c r="B1789" s="1">
        <v>4222224510</v>
      </c>
      <c r="C1789" s="1">
        <v>4</v>
      </c>
      <c r="D1789" s="1" t="s">
        <v>4723</v>
      </c>
      <c r="E1789" t="s">
        <v>14516</v>
      </c>
      <c r="F1789" s="1">
        <v>653253</v>
      </c>
      <c r="G1789" s="1">
        <v>27496046464</v>
      </c>
      <c r="H1789" s="1">
        <v>1</v>
      </c>
      <c r="I1789" s="1" t="s">
        <v>12516</v>
      </c>
      <c r="J1789" t="s">
        <v>14517</v>
      </c>
    </row>
    <row r="1790" spans="1:10">
      <c r="A1790" s="1">
        <v>680413</v>
      </c>
      <c r="B1790" s="1">
        <v>7398132379</v>
      </c>
      <c r="C1790" s="1">
        <v>6</v>
      </c>
      <c r="D1790" s="1" t="s">
        <v>4815</v>
      </c>
      <c r="E1790" t="s">
        <v>14518</v>
      </c>
      <c r="F1790" s="1">
        <v>679472</v>
      </c>
      <c r="G1790" s="1">
        <v>27232253104</v>
      </c>
      <c r="H1790" s="1">
        <v>1</v>
      </c>
      <c r="I1790" s="1" t="s">
        <v>1973</v>
      </c>
      <c r="J1790" t="s">
        <v>14519</v>
      </c>
    </row>
    <row r="1791" spans="1:10">
      <c r="A1791" s="1">
        <v>325803</v>
      </c>
      <c r="B1791" s="1">
        <v>27232220027</v>
      </c>
      <c r="C1791" s="1">
        <v>1</v>
      </c>
      <c r="D1791" s="1" t="s">
        <v>6727</v>
      </c>
      <c r="E1791" t="s">
        <v>14520</v>
      </c>
      <c r="F1791" s="1">
        <v>679605</v>
      </c>
      <c r="G1791" s="1">
        <v>27232250131</v>
      </c>
      <c r="H1791" s="1">
        <v>1</v>
      </c>
      <c r="I1791" s="1" t="s">
        <v>1973</v>
      </c>
      <c r="J1791" t="s">
        <v>14521</v>
      </c>
    </row>
    <row r="1792" spans="1:10">
      <c r="A1792" s="1">
        <v>778894</v>
      </c>
      <c r="B1792" s="1">
        <v>27232221170</v>
      </c>
      <c r="C1792" s="1">
        <v>2</v>
      </c>
      <c r="D1792" s="1" t="s">
        <v>13665</v>
      </c>
      <c r="E1792" t="s">
        <v>14522</v>
      </c>
      <c r="F1792" s="1">
        <v>679209</v>
      </c>
      <c r="G1792" s="1">
        <v>27232251320</v>
      </c>
      <c r="H1792" s="1">
        <v>1</v>
      </c>
      <c r="I1792" s="1" t="s">
        <v>1973</v>
      </c>
      <c r="J1792" t="s">
        <v>14523</v>
      </c>
    </row>
    <row r="1793" spans="1:10">
      <c r="A1793" s="1">
        <v>401596</v>
      </c>
      <c r="B1793" s="1">
        <v>1540901208</v>
      </c>
      <c r="C1793" s="1">
        <v>1</v>
      </c>
      <c r="D1793" s="1" t="s">
        <v>12335</v>
      </c>
      <c r="E1793" t="s">
        <v>14524</v>
      </c>
      <c r="F1793" s="1">
        <v>695718</v>
      </c>
      <c r="G1793" s="1">
        <v>27274510094</v>
      </c>
      <c r="H1793" s="1">
        <v>1</v>
      </c>
      <c r="I1793" s="1" t="s">
        <v>12572</v>
      </c>
      <c r="J1793" t="s">
        <v>14525</v>
      </c>
    </row>
    <row r="1794" spans="1:10">
      <c r="A1794" s="1">
        <v>395285</v>
      </c>
      <c r="B1794" s="1">
        <v>1540900000</v>
      </c>
      <c r="C1794" s="1">
        <v>4</v>
      </c>
      <c r="D1794" s="1" t="s">
        <v>6600</v>
      </c>
      <c r="E1794" t="s">
        <v>14526</v>
      </c>
      <c r="F1794" s="1">
        <v>693432</v>
      </c>
      <c r="G1794" s="1">
        <v>27274560016</v>
      </c>
      <c r="H1794" s="1">
        <v>1</v>
      </c>
      <c r="I1794" s="1" t="s">
        <v>10607</v>
      </c>
      <c r="J1794" t="s">
        <v>14527</v>
      </c>
    </row>
    <row r="1795" spans="1:10">
      <c r="A1795" s="1">
        <v>239913</v>
      </c>
      <c r="B1795" s="1">
        <v>1540905054</v>
      </c>
      <c r="C1795" s="1">
        <v>1</v>
      </c>
      <c r="D1795" s="1" t="s">
        <v>12145</v>
      </c>
      <c r="E1795" t="s">
        <v>14528</v>
      </c>
      <c r="F1795" s="1">
        <v>695650</v>
      </c>
      <c r="G1795" s="1">
        <v>27274560016</v>
      </c>
      <c r="H1795" s="1">
        <v>1</v>
      </c>
      <c r="I1795" s="1" t="s">
        <v>10607</v>
      </c>
      <c r="J1795" t="s">
        <v>14527</v>
      </c>
    </row>
    <row r="1796" spans="1:10">
      <c r="A1796" s="1">
        <v>280057</v>
      </c>
      <c r="B1796" s="1">
        <v>1540905056</v>
      </c>
      <c r="C1796" s="1">
        <v>1</v>
      </c>
      <c r="D1796" s="1" t="s">
        <v>12335</v>
      </c>
      <c r="E1796" t="s">
        <v>14529</v>
      </c>
      <c r="F1796" s="1">
        <v>695700</v>
      </c>
      <c r="G1796" s="1">
        <v>27274510093</v>
      </c>
      <c r="H1796" s="1">
        <v>1</v>
      </c>
      <c r="I1796" s="1" t="s">
        <v>12224</v>
      </c>
      <c r="J1796" t="s">
        <v>14527</v>
      </c>
    </row>
    <row r="1797" spans="1:10">
      <c r="A1797" s="1">
        <v>766147</v>
      </c>
      <c r="B1797" s="1">
        <v>1540900000</v>
      </c>
      <c r="C1797" s="1">
        <v>2</v>
      </c>
      <c r="D1797" s="1" t="s">
        <v>4652</v>
      </c>
      <c r="E1797" t="s">
        <v>14530</v>
      </c>
      <c r="F1797" s="1">
        <v>695668</v>
      </c>
      <c r="G1797" s="1">
        <v>27274510094</v>
      </c>
      <c r="H1797" s="1">
        <v>1</v>
      </c>
      <c r="I1797" s="1" t="s">
        <v>1973</v>
      </c>
      <c r="J1797" t="s">
        <v>14531</v>
      </c>
    </row>
    <row r="1798" spans="1:10">
      <c r="A1798" s="1">
        <v>344853</v>
      </c>
      <c r="B1798" s="1">
        <v>1540905058</v>
      </c>
      <c r="C1798" s="1">
        <v>1</v>
      </c>
      <c r="D1798" s="1" t="s">
        <v>12342</v>
      </c>
      <c r="E1798" t="s">
        <v>14532</v>
      </c>
      <c r="F1798" s="1">
        <v>695726</v>
      </c>
      <c r="G1798" s="1">
        <v>27274510095</v>
      </c>
      <c r="H1798" s="1">
        <v>1</v>
      </c>
      <c r="I1798" s="1" t="s">
        <v>12106</v>
      </c>
      <c r="J1798" t="s">
        <v>14533</v>
      </c>
    </row>
    <row r="1799" spans="1:10">
      <c r="A1799" s="1">
        <v>360586</v>
      </c>
      <c r="B1799" s="1">
        <v>1540905052</v>
      </c>
      <c r="C1799" s="1">
        <v>1</v>
      </c>
      <c r="D1799" s="1" t="s">
        <v>6595</v>
      </c>
      <c r="E1799" t="s">
        <v>14534</v>
      </c>
      <c r="F1799" s="1">
        <v>695684</v>
      </c>
      <c r="G1799" s="1">
        <v>27274510095</v>
      </c>
      <c r="H1799" s="1">
        <v>1</v>
      </c>
      <c r="I1799" s="1" t="s">
        <v>6774</v>
      </c>
      <c r="J1799" t="s">
        <v>14535</v>
      </c>
    </row>
    <row r="1800" spans="1:10">
      <c r="A1800" s="1">
        <v>428151</v>
      </c>
      <c r="B1800" s="1">
        <v>1540901204</v>
      </c>
      <c r="C1800" s="1">
        <v>1</v>
      </c>
      <c r="D1800" s="1" t="s">
        <v>12342</v>
      </c>
      <c r="E1800" t="s">
        <v>14536</v>
      </c>
      <c r="F1800" s="1">
        <v>695759</v>
      </c>
      <c r="G1800" s="1">
        <v>27274560018</v>
      </c>
      <c r="H1800" s="1">
        <v>1</v>
      </c>
      <c r="I1800" s="1" t="s">
        <v>6729</v>
      </c>
      <c r="J1800" t="s">
        <v>14537</v>
      </c>
    </row>
    <row r="1801" spans="1:10">
      <c r="A1801" s="1">
        <v>692616</v>
      </c>
      <c r="B1801" s="1">
        <v>20000000587</v>
      </c>
      <c r="C1801" s="1">
        <v>1</v>
      </c>
      <c r="D1801" s="1" t="s">
        <v>6733</v>
      </c>
      <c r="E1801" t="s">
        <v>14538</v>
      </c>
      <c r="F1801" s="1">
        <v>693416</v>
      </c>
      <c r="G1801" s="1">
        <v>27274560018</v>
      </c>
      <c r="H1801" s="1">
        <v>1</v>
      </c>
      <c r="I1801" s="1" t="s">
        <v>12338</v>
      </c>
      <c r="J1801" t="s">
        <v>14537</v>
      </c>
    </row>
    <row r="1802" spans="1:10">
      <c r="A1802" s="1">
        <v>662965</v>
      </c>
      <c r="B1802" s="1">
        <v>20000000591</v>
      </c>
      <c r="C1802" s="1">
        <v>1</v>
      </c>
      <c r="D1802" s="1" t="s">
        <v>6597</v>
      </c>
      <c r="E1802" t="s">
        <v>14539</v>
      </c>
      <c r="F1802" s="1">
        <v>695817</v>
      </c>
      <c r="G1802" s="1">
        <v>27274560018</v>
      </c>
      <c r="H1802" s="1">
        <v>1</v>
      </c>
      <c r="I1802" s="1" t="s">
        <v>12338</v>
      </c>
      <c r="J1802" t="s">
        <v>14537</v>
      </c>
    </row>
    <row r="1803" spans="1:10">
      <c r="A1803" s="1">
        <v>728568</v>
      </c>
      <c r="B1803" s="1">
        <v>0</v>
      </c>
      <c r="C1803" s="1">
        <v>1</v>
      </c>
      <c r="D1803" s="1" t="s">
        <v>11735</v>
      </c>
      <c r="E1803" t="s">
        <v>14540</v>
      </c>
      <c r="F1803" s="1">
        <v>672360</v>
      </c>
      <c r="G1803" s="1">
        <v>27274510097</v>
      </c>
      <c r="H1803" s="1">
        <v>1</v>
      </c>
      <c r="I1803" s="1" t="s">
        <v>12335</v>
      </c>
      <c r="J1803" t="s">
        <v>14541</v>
      </c>
    </row>
    <row r="1804" spans="1:10">
      <c r="A1804" s="1">
        <v>728576</v>
      </c>
      <c r="B1804" s="1">
        <v>0</v>
      </c>
      <c r="C1804" s="1">
        <v>1</v>
      </c>
      <c r="D1804" s="1" t="s">
        <v>11735</v>
      </c>
      <c r="E1804" t="s">
        <v>14542</v>
      </c>
      <c r="F1804" s="1">
        <v>695767</v>
      </c>
      <c r="G1804" s="1">
        <v>27274510097</v>
      </c>
      <c r="H1804" s="1">
        <v>1</v>
      </c>
      <c r="I1804" s="1" t="s">
        <v>13665</v>
      </c>
      <c r="J1804" t="s">
        <v>14541</v>
      </c>
    </row>
    <row r="1805" spans="1:10">
      <c r="A1805" s="1">
        <v>657544</v>
      </c>
      <c r="B1805" s="1">
        <v>20000000200</v>
      </c>
      <c r="C1805" s="1">
        <v>1</v>
      </c>
      <c r="D1805" s="1" t="s">
        <v>12329</v>
      </c>
      <c r="E1805" t="s">
        <v>14543</v>
      </c>
      <c r="F1805" s="1">
        <v>691998</v>
      </c>
      <c r="G1805" s="1">
        <v>27274560020</v>
      </c>
      <c r="H1805" s="1">
        <v>1</v>
      </c>
      <c r="I1805" s="1" t="s">
        <v>12449</v>
      </c>
      <c r="J1805" t="s">
        <v>14544</v>
      </c>
    </row>
    <row r="1806" spans="1:10" ht="15.75">
      <c r="A1806" s="4" t="s">
        <v>14411</v>
      </c>
      <c r="B1806" s="2"/>
      <c r="C1806" s="2"/>
      <c r="D1806" s="2"/>
      <c r="E1806" s="3"/>
      <c r="F1806" s="4" t="s">
        <v>14411</v>
      </c>
      <c r="G1806" s="2"/>
      <c r="H1806" s="2"/>
      <c r="I1806" s="2"/>
      <c r="J1806" s="3"/>
    </row>
    <row r="1807" spans="1:10">
      <c r="A1807" s="2" t="s">
        <v>0</v>
      </c>
      <c r="B1807" s="2" t="s">
        <v>1</v>
      </c>
      <c r="C1807" s="2" t="s">
        <v>2</v>
      </c>
      <c r="D1807" s="2" t="s">
        <v>3</v>
      </c>
      <c r="E1807" s="3" t="s">
        <v>4</v>
      </c>
      <c r="F1807" s="2" t="s">
        <v>0</v>
      </c>
      <c r="G1807" s="2" t="s">
        <v>1</v>
      </c>
      <c r="H1807" s="2" t="s">
        <v>2</v>
      </c>
      <c r="I1807" s="2" t="s">
        <v>3</v>
      </c>
      <c r="J1807" s="3" t="s">
        <v>4</v>
      </c>
    </row>
    <row r="1808" spans="1:10">
      <c r="A1808" s="1">
        <v>695775</v>
      </c>
      <c r="B1808" s="1">
        <v>27274510098</v>
      </c>
      <c r="C1808" s="1">
        <v>1</v>
      </c>
      <c r="D1808" s="1" t="s">
        <v>12449</v>
      </c>
      <c r="E1808" t="s">
        <v>14544</v>
      </c>
      <c r="F1808" s="1">
        <v>669341</v>
      </c>
      <c r="G1808" s="1">
        <v>2370016223</v>
      </c>
      <c r="H1808" s="1">
        <v>12</v>
      </c>
      <c r="I1808" s="1" t="s">
        <v>1656</v>
      </c>
      <c r="J1808" t="s">
        <v>14545</v>
      </c>
    </row>
    <row r="1809" spans="1:10" ht="15.75">
      <c r="A1809" s="1">
        <v>695791</v>
      </c>
      <c r="B1809" s="1">
        <v>27274510099</v>
      </c>
      <c r="C1809" s="1">
        <v>1</v>
      </c>
      <c r="D1809" s="1" t="s">
        <v>13687</v>
      </c>
      <c r="E1809" t="s">
        <v>14546</v>
      </c>
      <c r="F1809" s="4" t="s">
        <v>14547</v>
      </c>
      <c r="G1809" s="2"/>
      <c r="H1809" s="2"/>
      <c r="I1809" s="2"/>
      <c r="J1809" s="3"/>
    </row>
    <row r="1810" spans="1:10">
      <c r="A1810" s="1">
        <v>674267</v>
      </c>
      <c r="B1810" s="1">
        <v>27274500199</v>
      </c>
      <c r="C1810" s="1">
        <v>1</v>
      </c>
      <c r="D1810" s="1" t="s">
        <v>12224</v>
      </c>
      <c r="E1810" t="s">
        <v>14546</v>
      </c>
      <c r="F1810" s="2" t="s">
        <v>0</v>
      </c>
      <c r="G1810" s="2" t="s">
        <v>1</v>
      </c>
      <c r="H1810" s="2" t="s">
        <v>2</v>
      </c>
      <c r="I1810" s="2" t="s">
        <v>3</v>
      </c>
      <c r="J1810" s="3" t="s">
        <v>4</v>
      </c>
    </row>
    <row r="1811" spans="1:10">
      <c r="A1811" s="1">
        <v>693440</v>
      </c>
      <c r="B1811" s="1">
        <v>27274560017</v>
      </c>
      <c r="C1811" s="1">
        <v>1</v>
      </c>
      <c r="D1811" s="1" t="s">
        <v>13687</v>
      </c>
      <c r="E1811" t="s">
        <v>14548</v>
      </c>
      <c r="F1811" s="1">
        <v>343525</v>
      </c>
      <c r="G1811" s="1">
        <v>73719118010</v>
      </c>
      <c r="H1811" s="1">
        <v>10</v>
      </c>
      <c r="I1811" s="1" t="s">
        <v>860</v>
      </c>
      <c r="J1811" t="s">
        <v>14549</v>
      </c>
    </row>
    <row r="1812" spans="1:10">
      <c r="A1812" s="1">
        <v>695809</v>
      </c>
      <c r="B1812" s="1">
        <v>27274560017</v>
      </c>
      <c r="C1812" s="1">
        <v>1</v>
      </c>
      <c r="D1812" s="1" t="s">
        <v>13687</v>
      </c>
      <c r="E1812" t="s">
        <v>14548</v>
      </c>
      <c r="F1812" s="1">
        <v>557520</v>
      </c>
      <c r="G1812" s="1">
        <v>71516630101</v>
      </c>
      <c r="H1812" s="1">
        <v>12</v>
      </c>
      <c r="I1812" s="1" t="s">
        <v>397</v>
      </c>
      <c r="J1812" t="s">
        <v>14550</v>
      </c>
    </row>
    <row r="1813" spans="1:10">
      <c r="A1813" s="1">
        <v>695999</v>
      </c>
      <c r="B1813" s="1">
        <v>27274560017</v>
      </c>
      <c r="C1813" s="1">
        <v>1</v>
      </c>
      <c r="D1813" s="1" t="s">
        <v>13687</v>
      </c>
      <c r="E1813" t="s">
        <v>14548</v>
      </c>
      <c r="F1813" s="1">
        <v>339044</v>
      </c>
      <c r="G1813" s="1">
        <v>71516630002</v>
      </c>
      <c r="H1813" s="1">
        <v>12</v>
      </c>
      <c r="I1813" s="1" t="s">
        <v>397</v>
      </c>
      <c r="J1813" t="s">
        <v>14551</v>
      </c>
    </row>
    <row r="1814" spans="1:10">
      <c r="A1814" s="1">
        <v>654707</v>
      </c>
      <c r="B1814" s="1">
        <v>27274500199</v>
      </c>
      <c r="C1814" s="1">
        <v>1</v>
      </c>
      <c r="D1814" s="1" t="s">
        <v>1973</v>
      </c>
      <c r="E1814" t="s">
        <v>14552</v>
      </c>
      <c r="F1814" s="1">
        <v>406116</v>
      </c>
      <c r="G1814" s="1">
        <v>4542516700</v>
      </c>
      <c r="H1814" s="1">
        <v>6</v>
      </c>
      <c r="I1814" s="1" t="s">
        <v>347</v>
      </c>
      <c r="J1814" t="s">
        <v>14553</v>
      </c>
    </row>
    <row r="1815" spans="1:10">
      <c r="A1815" s="1">
        <v>654715</v>
      </c>
      <c r="B1815" s="1">
        <v>27274500198</v>
      </c>
      <c r="C1815" s="1">
        <v>1</v>
      </c>
      <c r="D1815" s="1" t="s">
        <v>1973</v>
      </c>
      <c r="E1815" t="s">
        <v>14552</v>
      </c>
      <c r="F1815" s="1">
        <v>133710</v>
      </c>
      <c r="G1815" s="1">
        <v>71516630201</v>
      </c>
      <c r="H1815" s="1">
        <v>12</v>
      </c>
      <c r="I1815" s="1" t="s">
        <v>397</v>
      </c>
      <c r="J1815" t="s">
        <v>14554</v>
      </c>
    </row>
    <row r="1816" spans="1:10" ht="15.75">
      <c r="A1816" s="1">
        <v>654798</v>
      </c>
      <c r="B1816" s="1">
        <v>27274510097</v>
      </c>
      <c r="C1816" s="1">
        <v>1</v>
      </c>
      <c r="D1816" s="1" t="s">
        <v>1973</v>
      </c>
      <c r="E1816" t="s">
        <v>14552</v>
      </c>
      <c r="F1816" s="4" t="s">
        <v>14555</v>
      </c>
      <c r="G1816" s="2"/>
      <c r="H1816" s="2"/>
      <c r="I1816" s="2"/>
      <c r="J1816" s="3"/>
    </row>
    <row r="1817" spans="1:10">
      <c r="A1817" s="1">
        <v>654731</v>
      </c>
      <c r="B1817" s="1">
        <v>27274510096</v>
      </c>
      <c r="C1817" s="1">
        <v>1</v>
      </c>
      <c r="D1817" s="1" t="s">
        <v>1973</v>
      </c>
      <c r="E1817" t="s">
        <v>14556</v>
      </c>
      <c r="F1817" s="2" t="s">
        <v>0</v>
      </c>
      <c r="G1817" s="2" t="s">
        <v>1</v>
      </c>
      <c r="H1817" s="2" t="s">
        <v>2</v>
      </c>
      <c r="I1817" s="2" t="s">
        <v>3</v>
      </c>
      <c r="J1817" s="3" t="s">
        <v>4</v>
      </c>
    </row>
    <row r="1818" spans="1:10">
      <c r="A1818" s="1">
        <v>654723</v>
      </c>
      <c r="B1818" s="1">
        <v>27274510093</v>
      </c>
      <c r="C1818" s="1">
        <v>1</v>
      </c>
      <c r="D1818" s="1" t="s">
        <v>1973</v>
      </c>
      <c r="E1818" t="s">
        <v>14557</v>
      </c>
      <c r="F1818" s="1">
        <v>727768</v>
      </c>
      <c r="G1818" s="1">
        <v>6561400011</v>
      </c>
      <c r="H1818" s="1">
        <v>16</v>
      </c>
      <c r="I1818" s="1" t="s">
        <v>4723</v>
      </c>
      <c r="J1818" t="s">
        <v>14558</v>
      </c>
    </row>
    <row r="1819" spans="1:10">
      <c r="A1819" s="1">
        <v>654780</v>
      </c>
      <c r="B1819" s="1">
        <v>27274510095</v>
      </c>
      <c r="C1819" s="1">
        <v>1</v>
      </c>
      <c r="D1819" s="1" t="s">
        <v>1973</v>
      </c>
      <c r="E1819" t="s">
        <v>14557</v>
      </c>
      <c r="F1819" s="1">
        <v>727776</v>
      </c>
      <c r="G1819" s="1">
        <v>76561400001</v>
      </c>
      <c r="H1819" s="1">
        <v>9</v>
      </c>
      <c r="I1819" s="1" t="s">
        <v>4658</v>
      </c>
      <c r="J1819" t="s">
        <v>14559</v>
      </c>
    </row>
    <row r="1820" spans="1:10">
      <c r="A1820" s="1">
        <v>828483</v>
      </c>
      <c r="B1820" s="1">
        <v>7496041959</v>
      </c>
      <c r="C1820" s="1">
        <v>1</v>
      </c>
      <c r="D1820" s="1" t="s">
        <v>6729</v>
      </c>
      <c r="E1820" t="s">
        <v>14560</v>
      </c>
      <c r="F1820" s="1">
        <v>661074</v>
      </c>
      <c r="G1820" s="1">
        <v>3939212100</v>
      </c>
      <c r="H1820" s="1">
        <v>8</v>
      </c>
      <c r="I1820" s="1" t="s">
        <v>4658</v>
      </c>
      <c r="J1820" t="s">
        <v>14561</v>
      </c>
    </row>
    <row r="1821" spans="1:10">
      <c r="A1821" s="1">
        <v>828491</v>
      </c>
      <c r="B1821" s="1">
        <v>7496041960</v>
      </c>
      <c r="C1821" s="1">
        <v>1</v>
      </c>
      <c r="D1821" s="1" t="s">
        <v>10607</v>
      </c>
      <c r="E1821" t="s">
        <v>14562</v>
      </c>
      <c r="F1821" s="1">
        <v>661009</v>
      </c>
      <c r="G1821" s="1">
        <v>3939212000</v>
      </c>
      <c r="H1821" s="1">
        <v>12</v>
      </c>
      <c r="I1821" s="1" t="s">
        <v>954</v>
      </c>
      <c r="J1821" t="s">
        <v>14563</v>
      </c>
    </row>
    <row r="1822" spans="1:10">
      <c r="A1822" s="1">
        <v>469122</v>
      </c>
      <c r="B1822" s="1">
        <v>4222251134</v>
      </c>
      <c r="C1822" s="1">
        <v>6</v>
      </c>
      <c r="D1822" s="1" t="s">
        <v>4815</v>
      </c>
      <c r="E1822" t="s">
        <v>14564</v>
      </c>
      <c r="F1822" s="1">
        <v>403204</v>
      </c>
      <c r="G1822" s="1">
        <v>27080070915</v>
      </c>
      <c r="H1822" s="1">
        <v>1</v>
      </c>
      <c r="I1822" s="1" t="s">
        <v>6595</v>
      </c>
      <c r="J1822" t="s">
        <v>14565</v>
      </c>
    </row>
    <row r="1823" spans="1:10">
      <c r="A1823" s="1">
        <v>688986</v>
      </c>
      <c r="B1823" s="1">
        <v>21009510095</v>
      </c>
      <c r="C1823" s="1">
        <v>1</v>
      </c>
      <c r="D1823" s="1" t="s">
        <v>12018</v>
      </c>
      <c r="E1823" t="s">
        <v>14566</v>
      </c>
      <c r="F1823" s="1">
        <v>658575</v>
      </c>
      <c r="G1823" s="1">
        <v>20000058575</v>
      </c>
      <c r="H1823" s="1">
        <v>1</v>
      </c>
      <c r="I1823" s="1" t="s">
        <v>12329</v>
      </c>
      <c r="J1823" t="s">
        <v>14567</v>
      </c>
    </row>
    <row r="1824" spans="1:10">
      <c r="A1824" s="1">
        <v>737536</v>
      </c>
      <c r="B1824" s="1">
        <v>7232255008</v>
      </c>
      <c r="C1824" s="1">
        <v>12</v>
      </c>
      <c r="D1824" s="1" t="s">
        <v>1973</v>
      </c>
      <c r="E1824" t="s">
        <v>14568</v>
      </c>
      <c r="F1824" s="1">
        <v>568014</v>
      </c>
      <c r="G1824" s="1">
        <v>7091901048</v>
      </c>
      <c r="H1824" s="1">
        <v>4</v>
      </c>
      <c r="I1824" s="1" t="s">
        <v>11997</v>
      </c>
      <c r="J1824" t="s">
        <v>14569</v>
      </c>
    </row>
    <row r="1825" spans="1:10">
      <c r="A1825" s="1">
        <v>456855</v>
      </c>
      <c r="B1825" s="1">
        <v>7232255009</v>
      </c>
      <c r="C1825" s="1">
        <v>12</v>
      </c>
      <c r="D1825" s="1" t="s">
        <v>1973</v>
      </c>
      <c r="E1825" t="s">
        <v>14570</v>
      </c>
      <c r="F1825" s="1">
        <v>826479</v>
      </c>
      <c r="G1825" s="1">
        <v>7504224532</v>
      </c>
      <c r="H1825" s="1">
        <v>6</v>
      </c>
      <c r="I1825" s="1" t="s">
        <v>4719</v>
      </c>
      <c r="J1825" t="s">
        <v>14571</v>
      </c>
    </row>
    <row r="1826" spans="1:10">
      <c r="A1826" s="1">
        <v>292136</v>
      </c>
      <c r="B1826" s="1">
        <v>27232242205</v>
      </c>
      <c r="C1826" s="1">
        <v>1</v>
      </c>
      <c r="D1826" s="1" t="s">
        <v>6727</v>
      </c>
      <c r="E1826" t="s">
        <v>14572</v>
      </c>
      <c r="F1826" s="1">
        <v>499012</v>
      </c>
      <c r="G1826" s="1">
        <v>7504245320</v>
      </c>
      <c r="H1826" s="1">
        <v>6</v>
      </c>
      <c r="I1826" s="1" t="s">
        <v>4719</v>
      </c>
      <c r="J1826" t="s">
        <v>14573</v>
      </c>
    </row>
    <row r="1827" spans="1:10">
      <c r="A1827" s="1">
        <v>728097</v>
      </c>
      <c r="B1827" s="1">
        <v>27232234147</v>
      </c>
      <c r="C1827" s="1">
        <v>1</v>
      </c>
      <c r="D1827" s="1" t="s">
        <v>12106</v>
      </c>
      <c r="E1827" t="s">
        <v>14574</v>
      </c>
      <c r="F1827" s="1">
        <v>425116</v>
      </c>
      <c r="G1827" s="1">
        <v>70815602102</v>
      </c>
      <c r="H1827" s="1">
        <v>12</v>
      </c>
      <c r="I1827" s="1" t="s">
        <v>13543</v>
      </c>
      <c r="J1827" t="s">
        <v>14575</v>
      </c>
    </row>
    <row r="1828" spans="1:10">
      <c r="A1828" s="1">
        <v>728121</v>
      </c>
      <c r="B1828" s="1">
        <v>27232234217</v>
      </c>
      <c r="C1828" s="1">
        <v>1</v>
      </c>
      <c r="D1828" s="1" t="s">
        <v>12516</v>
      </c>
      <c r="E1828" t="s">
        <v>14576</v>
      </c>
      <c r="F1828" s="1">
        <v>416065</v>
      </c>
      <c r="G1828" s="1">
        <v>70815602116</v>
      </c>
      <c r="H1828" s="1">
        <v>6</v>
      </c>
      <c r="I1828" s="1" t="s">
        <v>12366</v>
      </c>
      <c r="J1828" t="s">
        <v>14577</v>
      </c>
    </row>
    <row r="1829" spans="1:10">
      <c r="A1829" s="1">
        <v>581231</v>
      </c>
      <c r="B1829" s="1">
        <v>27232234117</v>
      </c>
      <c r="C1829" s="1">
        <v>1</v>
      </c>
      <c r="D1829" s="1" t="s">
        <v>12181</v>
      </c>
      <c r="E1829" t="s">
        <v>14578</v>
      </c>
      <c r="F1829" s="1">
        <v>652065</v>
      </c>
      <c r="G1829" s="1">
        <v>70815602112</v>
      </c>
      <c r="H1829" s="1">
        <v>12</v>
      </c>
      <c r="I1829" s="1" t="s">
        <v>13603</v>
      </c>
      <c r="J1829" t="s">
        <v>14579</v>
      </c>
    </row>
    <row r="1830" spans="1:10">
      <c r="A1830" s="1">
        <v>436139</v>
      </c>
      <c r="B1830" s="1">
        <v>27232234177</v>
      </c>
      <c r="C1830" s="1">
        <v>1</v>
      </c>
      <c r="D1830" s="1" t="s">
        <v>11999</v>
      </c>
      <c r="E1830" t="s">
        <v>14580</v>
      </c>
      <c r="F1830" s="1">
        <v>555151</v>
      </c>
      <c r="G1830" s="1">
        <v>70815602115</v>
      </c>
      <c r="H1830" s="1">
        <v>6</v>
      </c>
      <c r="I1830" s="1" t="s">
        <v>12366</v>
      </c>
      <c r="J1830" t="s">
        <v>14579</v>
      </c>
    </row>
    <row r="1831" spans="1:10">
      <c r="A1831" s="1">
        <v>728089</v>
      </c>
      <c r="B1831" s="1">
        <v>27232234117</v>
      </c>
      <c r="C1831" s="1">
        <v>1</v>
      </c>
      <c r="D1831" s="1" t="s">
        <v>11997</v>
      </c>
      <c r="E1831" t="s">
        <v>14581</v>
      </c>
      <c r="F1831" s="1">
        <v>321901</v>
      </c>
      <c r="G1831" s="1">
        <v>70815602101</v>
      </c>
      <c r="H1831" s="1">
        <v>12</v>
      </c>
      <c r="I1831" s="1" t="s">
        <v>13603</v>
      </c>
      <c r="J1831" t="s">
        <v>14582</v>
      </c>
    </row>
    <row r="1832" spans="1:10">
      <c r="A1832" s="1">
        <v>728105</v>
      </c>
      <c r="B1832" s="1">
        <v>27232234147</v>
      </c>
      <c r="C1832" s="1">
        <v>4</v>
      </c>
      <c r="D1832" s="1" t="s">
        <v>12106</v>
      </c>
      <c r="E1832" t="s">
        <v>14583</v>
      </c>
      <c r="F1832" s="1">
        <v>892083</v>
      </c>
      <c r="G1832" s="1">
        <v>70815602113</v>
      </c>
      <c r="H1832" s="1">
        <v>6</v>
      </c>
      <c r="I1832" s="1" t="s">
        <v>12366</v>
      </c>
      <c r="J1832" t="s">
        <v>14584</v>
      </c>
    </row>
    <row r="1833" spans="1:10">
      <c r="A1833" s="1">
        <v>728113</v>
      </c>
      <c r="B1833" s="1">
        <v>27232234177</v>
      </c>
      <c r="C1833" s="1">
        <v>1</v>
      </c>
      <c r="D1833" s="1" t="s">
        <v>11999</v>
      </c>
      <c r="E1833" t="s">
        <v>14585</v>
      </c>
      <c r="F1833" s="1">
        <v>503235</v>
      </c>
      <c r="G1833" s="1">
        <v>70815602111</v>
      </c>
      <c r="H1833" s="1">
        <v>12</v>
      </c>
      <c r="I1833" s="1" t="s">
        <v>13603</v>
      </c>
      <c r="J1833" t="s">
        <v>14586</v>
      </c>
    </row>
    <row r="1834" spans="1:10">
      <c r="A1834" s="1">
        <v>829663</v>
      </c>
      <c r="B1834" s="1">
        <v>4220500000</v>
      </c>
      <c r="C1834" s="1">
        <v>4</v>
      </c>
      <c r="D1834" s="1" t="s">
        <v>4658</v>
      </c>
      <c r="E1834" t="s">
        <v>14587</v>
      </c>
      <c r="F1834" s="1">
        <v>258616</v>
      </c>
      <c r="G1834" s="1">
        <v>70815602114</v>
      </c>
      <c r="H1834" s="1">
        <v>6</v>
      </c>
      <c r="I1834" s="1" t="s">
        <v>12366</v>
      </c>
      <c r="J1834" t="s">
        <v>14586</v>
      </c>
    </row>
    <row r="1835" spans="1:10">
      <c r="A1835" s="1">
        <v>197566</v>
      </c>
      <c r="B1835" s="1">
        <v>27232242205</v>
      </c>
      <c r="C1835" s="1">
        <v>1</v>
      </c>
      <c r="D1835" s="1" t="s">
        <v>12534</v>
      </c>
      <c r="E1835" t="s">
        <v>14588</v>
      </c>
      <c r="F1835" s="1">
        <v>728451</v>
      </c>
      <c r="G1835" s="1">
        <v>10500000</v>
      </c>
      <c r="H1835" s="1">
        <v>1</v>
      </c>
      <c r="I1835" s="1" t="s">
        <v>11735</v>
      </c>
      <c r="J1835" t="s">
        <v>14589</v>
      </c>
    </row>
    <row r="1836" spans="1:10">
      <c r="A1836" s="1">
        <v>737882</v>
      </c>
      <c r="B1836" s="1">
        <v>4220555116</v>
      </c>
      <c r="C1836" s="1">
        <v>1</v>
      </c>
      <c r="D1836" s="1" t="s">
        <v>6741</v>
      </c>
      <c r="E1836" t="s">
        <v>14590</v>
      </c>
      <c r="F1836" s="1">
        <v>728444</v>
      </c>
      <c r="G1836" s="1">
        <v>10000000</v>
      </c>
      <c r="H1836" s="1">
        <v>1</v>
      </c>
      <c r="I1836" s="1" t="s">
        <v>11735</v>
      </c>
      <c r="J1836" t="s">
        <v>14591</v>
      </c>
    </row>
    <row r="1837" spans="1:10">
      <c r="A1837" s="1">
        <v>728139</v>
      </c>
      <c r="B1837" s="1">
        <v>27232235247</v>
      </c>
      <c r="C1837" s="1">
        <v>1</v>
      </c>
      <c r="D1837" s="1" t="s">
        <v>12181</v>
      </c>
      <c r="E1837" t="s">
        <v>14592</v>
      </c>
      <c r="F1837" s="1">
        <v>491944</v>
      </c>
      <c r="G1837" s="1">
        <v>1240000266</v>
      </c>
      <c r="H1837" s="1">
        <v>12</v>
      </c>
      <c r="I1837" s="1" t="s">
        <v>954</v>
      </c>
      <c r="J1837" t="s">
        <v>14593</v>
      </c>
    </row>
    <row r="1838" spans="1:10">
      <c r="A1838" s="1">
        <v>679134</v>
      </c>
      <c r="B1838" s="1">
        <v>4148065009</v>
      </c>
      <c r="C1838" s="1">
        <v>2</v>
      </c>
      <c r="D1838" s="1" t="s">
        <v>4719</v>
      </c>
      <c r="E1838" t="s">
        <v>14594</v>
      </c>
      <c r="F1838" s="1">
        <v>491936</v>
      </c>
      <c r="G1838" s="1">
        <v>1240000267</v>
      </c>
      <c r="H1838" s="1">
        <v>8</v>
      </c>
      <c r="I1838" s="1" t="s">
        <v>4658</v>
      </c>
      <c r="J1838" t="s">
        <v>14593</v>
      </c>
    </row>
    <row r="1839" spans="1:10">
      <c r="A1839" s="1">
        <v>430389</v>
      </c>
      <c r="B1839" s="1">
        <v>4113030811</v>
      </c>
      <c r="C1839" s="1">
        <v>12</v>
      </c>
      <c r="D1839" s="1" t="s">
        <v>4723</v>
      </c>
      <c r="E1839" t="s">
        <v>14595</v>
      </c>
      <c r="F1839" s="1">
        <v>17335</v>
      </c>
      <c r="G1839" s="1">
        <v>64809313151</v>
      </c>
      <c r="H1839" s="1">
        <v>6</v>
      </c>
      <c r="I1839" s="1" t="s">
        <v>940</v>
      </c>
      <c r="J1839" t="s">
        <v>14596</v>
      </c>
    </row>
    <row r="1840" spans="1:10">
      <c r="A1840" s="1">
        <v>830067</v>
      </c>
      <c r="B1840" s="1">
        <v>0</v>
      </c>
      <c r="C1840" s="1">
        <v>1</v>
      </c>
      <c r="D1840" s="1" t="s">
        <v>6786</v>
      </c>
      <c r="E1840" t="s">
        <v>14597</v>
      </c>
      <c r="F1840" s="1">
        <v>668194</v>
      </c>
      <c r="G1840" s="1">
        <v>8378400012</v>
      </c>
      <c r="H1840" s="1">
        <v>12</v>
      </c>
      <c r="I1840" s="1" t="s">
        <v>489</v>
      </c>
      <c r="J1840" t="s">
        <v>14598</v>
      </c>
    </row>
    <row r="1841" spans="1:10">
      <c r="A1841" s="1">
        <v>693234</v>
      </c>
      <c r="B1841" s="1">
        <v>2265501018</v>
      </c>
      <c r="C1841" s="1">
        <v>2</v>
      </c>
      <c r="D1841" s="1" t="s">
        <v>6737</v>
      </c>
      <c r="E1841" t="s">
        <v>14599</v>
      </c>
      <c r="F1841" s="1">
        <v>461483</v>
      </c>
      <c r="G1841" s="1">
        <v>7448844482</v>
      </c>
      <c r="H1841" s="1">
        <v>16</v>
      </c>
      <c r="I1841" s="1" t="s">
        <v>31</v>
      </c>
      <c r="J1841" t="s">
        <v>14600</v>
      </c>
    </row>
    <row r="1842" spans="1:10">
      <c r="A1842" s="1">
        <v>680280</v>
      </c>
      <c r="B1842" s="1">
        <v>2265526612</v>
      </c>
      <c r="C1842" s="1">
        <v>12</v>
      </c>
      <c r="D1842" s="1" t="s">
        <v>4723</v>
      </c>
      <c r="E1842" t="s">
        <v>14601</v>
      </c>
      <c r="F1842" s="1">
        <v>325720</v>
      </c>
      <c r="G1842" s="1">
        <v>7448844480</v>
      </c>
      <c r="H1842" s="1">
        <v>16</v>
      </c>
      <c r="I1842" s="1" t="s">
        <v>31</v>
      </c>
      <c r="J1842" t="s">
        <v>14602</v>
      </c>
    </row>
    <row r="1843" spans="1:10">
      <c r="A1843" s="1">
        <v>680264</v>
      </c>
      <c r="B1843" s="1">
        <v>24530024080</v>
      </c>
      <c r="C1843" s="1">
        <v>1</v>
      </c>
      <c r="D1843" s="1" t="s">
        <v>1973</v>
      </c>
      <c r="E1843" t="s">
        <v>14603</v>
      </c>
      <c r="F1843" s="1">
        <v>309203</v>
      </c>
      <c r="G1843" s="1">
        <v>7448844461</v>
      </c>
      <c r="H1843" s="1">
        <v>16</v>
      </c>
      <c r="I1843" s="1" t="s">
        <v>404</v>
      </c>
      <c r="J1843" t="s">
        <v>14604</v>
      </c>
    </row>
    <row r="1844" spans="1:10">
      <c r="A1844" s="1">
        <v>751511</v>
      </c>
      <c r="B1844" s="1">
        <v>24530001019</v>
      </c>
      <c r="C1844" s="1">
        <v>1</v>
      </c>
      <c r="D1844" s="1" t="s">
        <v>11999</v>
      </c>
      <c r="E1844" t="s">
        <v>14605</v>
      </c>
      <c r="F1844" s="1">
        <v>670521</v>
      </c>
      <c r="G1844" s="1">
        <v>7448844453</v>
      </c>
      <c r="H1844" s="1">
        <v>24</v>
      </c>
      <c r="I1844" s="1" t="s">
        <v>31</v>
      </c>
      <c r="J1844" t="s">
        <v>14606</v>
      </c>
    </row>
    <row r="1845" spans="1:10">
      <c r="A1845" s="1">
        <v>371310</v>
      </c>
      <c r="B1845" s="1">
        <v>2370055424</v>
      </c>
      <c r="C1845" s="1">
        <v>10</v>
      </c>
      <c r="D1845" s="1" t="s">
        <v>4815</v>
      </c>
      <c r="E1845" t="s">
        <v>14607</v>
      </c>
      <c r="F1845" s="1">
        <v>672675</v>
      </c>
      <c r="G1845" s="1">
        <v>7448844452</v>
      </c>
      <c r="H1845" s="1">
        <v>24</v>
      </c>
      <c r="I1845" s="1" t="s">
        <v>31</v>
      </c>
      <c r="J1845" t="s">
        <v>14608</v>
      </c>
    </row>
    <row r="1846" spans="1:10">
      <c r="A1846" s="1">
        <v>660167</v>
      </c>
      <c r="B1846" s="1">
        <v>2370016220</v>
      </c>
      <c r="C1846" s="1">
        <v>12</v>
      </c>
      <c r="D1846" s="1" t="s">
        <v>1656</v>
      </c>
      <c r="E1846" t="s">
        <v>14609</v>
      </c>
      <c r="F1846" s="1">
        <v>672725</v>
      </c>
      <c r="G1846" s="1">
        <v>7448844451</v>
      </c>
      <c r="H1846" s="1">
        <v>24</v>
      </c>
      <c r="I1846" s="1" t="s">
        <v>31</v>
      </c>
      <c r="J1846" t="s">
        <v>14610</v>
      </c>
    </row>
    <row r="1847" spans="1:10" ht="15.75">
      <c r="A1847" s="4" t="s">
        <v>14555</v>
      </c>
      <c r="B1847" s="2"/>
      <c r="C1847" s="2"/>
      <c r="D1847" s="2"/>
      <c r="E1847" s="3"/>
      <c r="F1847" s="4" t="s">
        <v>14611</v>
      </c>
      <c r="G1847" s="2"/>
      <c r="H1847" s="2"/>
      <c r="I1847" s="2"/>
      <c r="J1847" s="3"/>
    </row>
    <row r="1848" spans="1:10">
      <c r="A1848" s="2" t="s">
        <v>0</v>
      </c>
      <c r="B1848" s="2" t="s">
        <v>1</v>
      </c>
      <c r="C1848" s="2" t="s">
        <v>2</v>
      </c>
      <c r="D1848" s="2" t="s">
        <v>3</v>
      </c>
      <c r="E1848" s="3" t="s">
        <v>4</v>
      </c>
      <c r="F1848" s="2" t="s">
        <v>0</v>
      </c>
      <c r="G1848" s="2" t="s">
        <v>1</v>
      </c>
      <c r="H1848" s="2" t="s">
        <v>2</v>
      </c>
      <c r="I1848" s="2" t="s">
        <v>3</v>
      </c>
      <c r="J1848" s="3" t="s">
        <v>4</v>
      </c>
    </row>
    <row r="1849" spans="1:10">
      <c r="A1849" s="1">
        <v>331447</v>
      </c>
      <c r="B1849" s="1">
        <v>7080007263</v>
      </c>
      <c r="C1849" s="1">
        <v>6</v>
      </c>
      <c r="D1849" s="1" t="s">
        <v>4719</v>
      </c>
      <c r="E1849" t="s">
        <v>14612</v>
      </c>
      <c r="F1849" s="1">
        <v>779751</v>
      </c>
      <c r="G1849" s="1">
        <v>7590000200</v>
      </c>
      <c r="H1849" s="1">
        <v>12</v>
      </c>
      <c r="I1849" s="1" t="s">
        <v>1973</v>
      </c>
      <c r="J1849" t="s">
        <v>14613</v>
      </c>
    </row>
    <row r="1850" spans="1:10">
      <c r="A1850" s="1">
        <v>674424</v>
      </c>
      <c r="B1850" s="1">
        <v>27080071988</v>
      </c>
      <c r="C1850" s="1">
        <v>1</v>
      </c>
      <c r="D1850" s="1" t="s">
        <v>4719</v>
      </c>
      <c r="E1850" t="s">
        <v>14614</v>
      </c>
      <c r="F1850" s="1">
        <v>437939</v>
      </c>
      <c r="G1850" s="1">
        <v>7590000203</v>
      </c>
      <c r="H1850" s="1">
        <v>12</v>
      </c>
      <c r="I1850" s="1" t="s">
        <v>1973</v>
      </c>
      <c r="J1850" t="s">
        <v>14615</v>
      </c>
    </row>
    <row r="1851" spans="1:10">
      <c r="A1851" s="1">
        <v>657569</v>
      </c>
      <c r="B1851" s="1">
        <v>27080078165</v>
      </c>
      <c r="C1851" s="1">
        <v>1</v>
      </c>
      <c r="D1851" s="1" t="s">
        <v>12329</v>
      </c>
      <c r="E1851" t="s">
        <v>14616</v>
      </c>
      <c r="F1851" s="1">
        <v>828301</v>
      </c>
      <c r="G1851" s="1">
        <v>7590000592</v>
      </c>
      <c r="H1851" s="1">
        <v>8</v>
      </c>
      <c r="I1851" s="1" t="s">
        <v>363</v>
      </c>
      <c r="J1851" t="s">
        <v>14617</v>
      </c>
    </row>
    <row r="1852" spans="1:10">
      <c r="A1852" s="1">
        <v>659805</v>
      </c>
      <c r="B1852" s="1">
        <v>7080072604</v>
      </c>
      <c r="C1852" s="1">
        <v>12</v>
      </c>
      <c r="D1852" s="1" t="s">
        <v>12394</v>
      </c>
      <c r="E1852" t="s">
        <v>14618</v>
      </c>
      <c r="F1852" s="1">
        <v>1859</v>
      </c>
      <c r="G1852" s="1">
        <v>7590000231</v>
      </c>
      <c r="H1852" s="1">
        <v>9</v>
      </c>
      <c r="I1852" s="1" t="s">
        <v>574</v>
      </c>
      <c r="J1852" t="s">
        <v>14619</v>
      </c>
    </row>
    <row r="1853" spans="1:10">
      <c r="A1853" s="1">
        <v>658096</v>
      </c>
      <c r="B1853" s="1">
        <v>27080071847</v>
      </c>
      <c r="C1853" s="1">
        <v>1</v>
      </c>
      <c r="D1853" s="1" t="s">
        <v>6810</v>
      </c>
      <c r="E1853" t="s">
        <v>14620</v>
      </c>
      <c r="F1853" s="1">
        <v>828343</v>
      </c>
      <c r="G1853" s="1">
        <v>7590000593</v>
      </c>
      <c r="H1853" s="1">
        <v>8</v>
      </c>
      <c r="I1853" s="1" t="s">
        <v>363</v>
      </c>
      <c r="J1853" t="s">
        <v>14621</v>
      </c>
    </row>
    <row r="1854" spans="1:10">
      <c r="A1854" s="1">
        <v>657718</v>
      </c>
      <c r="B1854" s="1">
        <v>27080071808</v>
      </c>
      <c r="C1854" s="1">
        <v>1</v>
      </c>
      <c r="D1854" s="1" t="s">
        <v>6810</v>
      </c>
      <c r="E1854" t="s">
        <v>14622</v>
      </c>
      <c r="F1854" s="1">
        <v>314203</v>
      </c>
      <c r="G1854" s="1">
        <v>7590000240</v>
      </c>
      <c r="H1854" s="1">
        <v>8</v>
      </c>
      <c r="I1854" s="1" t="s">
        <v>347</v>
      </c>
      <c r="J1854" t="s">
        <v>14623</v>
      </c>
    </row>
    <row r="1855" spans="1:10">
      <c r="A1855" s="1">
        <v>688226</v>
      </c>
      <c r="B1855" s="1">
        <v>27080001851</v>
      </c>
      <c r="C1855" s="1">
        <v>1</v>
      </c>
      <c r="D1855" s="1" t="s">
        <v>6810</v>
      </c>
      <c r="E1855" t="s">
        <v>14624</v>
      </c>
      <c r="F1855" s="1">
        <v>867325</v>
      </c>
      <c r="G1855" s="1">
        <v>7590000280</v>
      </c>
      <c r="H1855" s="1">
        <v>8</v>
      </c>
      <c r="I1855" s="1" t="s">
        <v>347</v>
      </c>
      <c r="J1855" t="s">
        <v>14625</v>
      </c>
    </row>
    <row r="1856" spans="1:10">
      <c r="A1856" s="1">
        <v>658534</v>
      </c>
      <c r="B1856" s="1">
        <v>7080072634</v>
      </c>
      <c r="C1856" s="1">
        <v>6</v>
      </c>
      <c r="D1856" s="1" t="s">
        <v>4719</v>
      </c>
      <c r="E1856" t="s">
        <v>14626</v>
      </c>
      <c r="F1856" s="1">
        <v>137661</v>
      </c>
      <c r="G1856" s="1">
        <v>7590000544</v>
      </c>
      <c r="H1856" s="1">
        <v>8</v>
      </c>
      <c r="I1856" s="1" t="s">
        <v>14627</v>
      </c>
      <c r="J1856" t="s">
        <v>14628</v>
      </c>
    </row>
    <row r="1857" spans="1:10">
      <c r="A1857" s="1">
        <v>658542</v>
      </c>
      <c r="B1857" s="1">
        <v>27080072496</v>
      </c>
      <c r="C1857" s="1">
        <v>1</v>
      </c>
      <c r="D1857" s="1" t="s">
        <v>6810</v>
      </c>
      <c r="E1857" t="s">
        <v>14629</v>
      </c>
      <c r="F1857" s="1">
        <v>149948</v>
      </c>
      <c r="G1857" s="1">
        <v>7590000247</v>
      </c>
      <c r="H1857" s="1">
        <v>12</v>
      </c>
      <c r="I1857" s="1" t="s">
        <v>381</v>
      </c>
      <c r="J1857" t="s">
        <v>14630</v>
      </c>
    </row>
    <row r="1858" spans="1:10">
      <c r="A1858" s="1">
        <v>658500</v>
      </c>
      <c r="B1858" s="1">
        <v>27080072666</v>
      </c>
      <c r="C1858" s="1">
        <v>1</v>
      </c>
      <c r="D1858" s="1" t="s">
        <v>6810</v>
      </c>
      <c r="E1858" t="s">
        <v>14631</v>
      </c>
      <c r="F1858" s="1">
        <v>452110</v>
      </c>
      <c r="G1858" s="1">
        <v>7590000219</v>
      </c>
      <c r="H1858" s="1">
        <v>9</v>
      </c>
      <c r="I1858" s="1" t="s">
        <v>574</v>
      </c>
      <c r="J1858" t="s">
        <v>14632</v>
      </c>
    </row>
    <row r="1859" spans="1:10">
      <c r="A1859" s="1">
        <v>658435</v>
      </c>
      <c r="B1859" s="1">
        <v>27080072500</v>
      </c>
      <c r="C1859" s="1">
        <v>1</v>
      </c>
      <c r="D1859" s="1" t="s">
        <v>6810</v>
      </c>
      <c r="E1859" t="s">
        <v>14633</v>
      </c>
      <c r="F1859" s="1">
        <v>565440</v>
      </c>
      <c r="G1859" s="1">
        <v>7590000088</v>
      </c>
      <c r="H1859" s="1">
        <v>6</v>
      </c>
      <c r="I1859" s="1" t="s">
        <v>375</v>
      </c>
      <c r="J1859" t="s">
        <v>14634</v>
      </c>
    </row>
    <row r="1860" spans="1:10">
      <c r="A1860" s="1">
        <v>775700</v>
      </c>
      <c r="B1860" s="1">
        <v>8674519170</v>
      </c>
      <c r="C1860" s="1">
        <v>1</v>
      </c>
      <c r="D1860" s="1" t="s">
        <v>14635</v>
      </c>
      <c r="E1860" t="s">
        <v>14636</v>
      </c>
      <c r="F1860" s="1">
        <v>522672</v>
      </c>
      <c r="G1860" s="1">
        <v>7590000230</v>
      </c>
      <c r="H1860" s="1">
        <v>8</v>
      </c>
      <c r="I1860" s="1" t="s">
        <v>347</v>
      </c>
      <c r="J1860" t="s">
        <v>14637</v>
      </c>
    </row>
    <row r="1861" spans="1:10" ht="15.75">
      <c r="A1861" s="4" t="s">
        <v>14611</v>
      </c>
      <c r="B1861" s="2"/>
      <c r="C1861" s="2"/>
      <c r="D1861" s="2"/>
      <c r="E1861" s="3"/>
      <c r="F1861" s="1">
        <v>38737</v>
      </c>
      <c r="G1861" s="1">
        <v>7590000250</v>
      </c>
      <c r="H1861" s="1">
        <v>8</v>
      </c>
      <c r="I1861" s="1" t="s">
        <v>347</v>
      </c>
      <c r="J1861" t="s">
        <v>14638</v>
      </c>
    </row>
    <row r="1862" spans="1:10">
      <c r="A1862" s="2" t="s">
        <v>0</v>
      </c>
      <c r="B1862" s="2" t="s">
        <v>1</v>
      </c>
      <c r="C1862" s="2" t="s">
        <v>2</v>
      </c>
      <c r="D1862" s="2" t="s">
        <v>3</v>
      </c>
      <c r="E1862" s="3" t="s">
        <v>4</v>
      </c>
      <c r="F1862" s="1">
        <v>511915</v>
      </c>
      <c r="G1862" s="1">
        <v>7590000595</v>
      </c>
      <c r="H1862" s="1">
        <v>8</v>
      </c>
      <c r="I1862" s="1" t="s">
        <v>360</v>
      </c>
      <c r="J1862" t="s">
        <v>14639</v>
      </c>
    </row>
    <row r="1863" spans="1:10">
      <c r="A1863" s="1">
        <v>888099</v>
      </c>
      <c r="B1863" s="1">
        <v>6401410312</v>
      </c>
      <c r="C1863" s="1">
        <v>8</v>
      </c>
      <c r="D1863" s="1" t="s">
        <v>546</v>
      </c>
      <c r="E1863" t="s">
        <v>14640</v>
      </c>
      <c r="F1863" s="1">
        <v>352849</v>
      </c>
      <c r="G1863" s="1">
        <v>7590000596</v>
      </c>
      <c r="H1863" s="1">
        <v>8</v>
      </c>
      <c r="I1863" s="1" t="s">
        <v>805</v>
      </c>
      <c r="J1863" t="s">
        <v>14641</v>
      </c>
    </row>
    <row r="1864" spans="1:10">
      <c r="A1864" s="1">
        <v>489260</v>
      </c>
      <c r="B1864" s="1">
        <v>6401464312</v>
      </c>
      <c r="C1864" s="1">
        <v>8</v>
      </c>
      <c r="D1864" s="1" t="s">
        <v>546</v>
      </c>
      <c r="E1864" t="s">
        <v>14642</v>
      </c>
      <c r="F1864" s="1">
        <v>516393</v>
      </c>
      <c r="G1864" s="1">
        <v>7590000215</v>
      </c>
      <c r="H1864" s="1">
        <v>9</v>
      </c>
      <c r="I1864" s="1" t="s">
        <v>574</v>
      </c>
      <c r="J1864" t="s">
        <v>14643</v>
      </c>
    </row>
    <row r="1865" spans="1:10">
      <c r="A1865" s="1">
        <v>578955</v>
      </c>
      <c r="B1865" s="1">
        <v>6401467352</v>
      </c>
      <c r="C1865" s="1">
        <v>8</v>
      </c>
      <c r="D1865" s="1" t="s">
        <v>347</v>
      </c>
      <c r="E1865" t="s">
        <v>14644</v>
      </c>
      <c r="F1865" s="1">
        <v>43620</v>
      </c>
      <c r="G1865" s="1">
        <v>7590000024</v>
      </c>
      <c r="H1865" s="1">
        <v>12</v>
      </c>
      <c r="I1865" s="1" t="s">
        <v>399</v>
      </c>
      <c r="J1865" t="s">
        <v>14645</v>
      </c>
    </row>
    <row r="1866" spans="1:10">
      <c r="A1866" s="1">
        <v>214460</v>
      </c>
      <c r="B1866" s="1">
        <v>3077109710</v>
      </c>
      <c r="C1866" s="1">
        <v>8</v>
      </c>
      <c r="D1866" s="1" t="s">
        <v>347</v>
      </c>
      <c r="E1866" t="s">
        <v>14646</v>
      </c>
      <c r="F1866" s="1">
        <v>828335</v>
      </c>
      <c r="G1866" s="1">
        <v>7590000591</v>
      </c>
      <c r="H1866" s="1">
        <v>8</v>
      </c>
      <c r="I1866" s="1" t="s">
        <v>363</v>
      </c>
      <c r="J1866" t="s">
        <v>14647</v>
      </c>
    </row>
    <row r="1867" spans="1:10">
      <c r="A1867" s="1">
        <v>292789</v>
      </c>
      <c r="B1867" s="1">
        <v>3077109707</v>
      </c>
      <c r="C1867" s="1">
        <v>8</v>
      </c>
      <c r="D1867" s="1" t="s">
        <v>347</v>
      </c>
      <c r="E1867" t="s">
        <v>14648</v>
      </c>
      <c r="F1867" s="1">
        <v>433359</v>
      </c>
      <c r="G1867" s="1">
        <v>7590000488</v>
      </c>
      <c r="H1867" s="1">
        <v>12</v>
      </c>
      <c r="I1867" s="1" t="s">
        <v>399</v>
      </c>
      <c r="J1867" t="s">
        <v>14649</v>
      </c>
    </row>
    <row r="1868" spans="1:10">
      <c r="A1868" s="1">
        <v>266502</v>
      </c>
      <c r="B1868" s="1">
        <v>3077109713</v>
      </c>
      <c r="C1868" s="1">
        <v>8</v>
      </c>
      <c r="D1868" s="1" t="s">
        <v>347</v>
      </c>
      <c r="E1868" t="s">
        <v>14650</v>
      </c>
      <c r="F1868" s="1">
        <v>268268</v>
      </c>
      <c r="G1868" s="1">
        <v>7590000220</v>
      </c>
      <c r="H1868" s="1">
        <v>8</v>
      </c>
      <c r="I1868" s="1" t="s">
        <v>347</v>
      </c>
      <c r="J1868" t="s">
        <v>14651</v>
      </c>
    </row>
    <row r="1869" spans="1:10">
      <c r="A1869" s="1">
        <v>836130</v>
      </c>
      <c r="B1869" s="1">
        <v>3077109711</v>
      </c>
      <c r="C1869" s="1">
        <v>8</v>
      </c>
      <c r="D1869" s="1" t="s">
        <v>347</v>
      </c>
      <c r="E1869" t="s">
        <v>14652</v>
      </c>
      <c r="F1869" s="1">
        <v>26807</v>
      </c>
      <c r="G1869" s="1">
        <v>7590000223</v>
      </c>
      <c r="H1869" s="1">
        <v>9</v>
      </c>
      <c r="I1869" s="1" t="s">
        <v>574</v>
      </c>
      <c r="J1869" t="s">
        <v>14653</v>
      </c>
    </row>
    <row r="1870" spans="1:10">
      <c r="A1870" s="1">
        <v>661702</v>
      </c>
      <c r="B1870" s="1">
        <v>3077109785</v>
      </c>
      <c r="C1870" s="1">
        <v>8</v>
      </c>
      <c r="D1870" s="1" t="s">
        <v>347</v>
      </c>
      <c r="E1870" t="s">
        <v>14654</v>
      </c>
      <c r="F1870" s="1">
        <v>122218</v>
      </c>
      <c r="G1870" s="1">
        <v>7367525082</v>
      </c>
      <c r="H1870" s="1">
        <v>12</v>
      </c>
      <c r="I1870" s="1" t="s">
        <v>1973</v>
      </c>
      <c r="J1870" t="s">
        <v>14655</v>
      </c>
    </row>
    <row r="1871" spans="1:10">
      <c r="A1871" s="1">
        <v>625509</v>
      </c>
      <c r="B1871" s="1">
        <v>7601044420</v>
      </c>
      <c r="C1871" s="1">
        <v>8</v>
      </c>
      <c r="D1871" s="1" t="s">
        <v>489</v>
      </c>
      <c r="E1871" t="s">
        <v>14656</v>
      </c>
      <c r="F1871" s="1">
        <v>122226</v>
      </c>
      <c r="G1871" s="1">
        <v>7367525114</v>
      </c>
      <c r="H1871" s="1">
        <v>12</v>
      </c>
      <c r="I1871" s="1" t="s">
        <v>381</v>
      </c>
      <c r="J1871" t="s">
        <v>14657</v>
      </c>
    </row>
    <row r="1872" spans="1:10">
      <c r="A1872" s="1">
        <v>495317</v>
      </c>
      <c r="B1872" s="1">
        <v>7601022221</v>
      </c>
      <c r="C1872" s="1">
        <v>12</v>
      </c>
      <c r="D1872" s="1" t="s">
        <v>1973</v>
      </c>
      <c r="E1872" t="s">
        <v>14658</v>
      </c>
      <c r="F1872" s="1">
        <v>496323</v>
      </c>
      <c r="G1872" s="1">
        <v>66766600002</v>
      </c>
      <c r="H1872" s="1">
        <v>12</v>
      </c>
      <c r="I1872" s="1" t="s">
        <v>381</v>
      </c>
      <c r="J1872" t="s">
        <v>14659</v>
      </c>
    </row>
    <row r="1873" spans="1:10">
      <c r="A1873" s="1">
        <v>489252</v>
      </c>
      <c r="B1873" s="1">
        <v>7601011111</v>
      </c>
      <c r="C1873" s="1">
        <v>12</v>
      </c>
      <c r="D1873" s="1" t="s">
        <v>1973</v>
      </c>
      <c r="E1873" t="s">
        <v>14660</v>
      </c>
      <c r="F1873" s="1">
        <v>682930</v>
      </c>
      <c r="G1873" s="1">
        <v>66766600001</v>
      </c>
      <c r="H1873" s="1">
        <v>12</v>
      </c>
      <c r="I1873" s="1" t="s">
        <v>381</v>
      </c>
      <c r="J1873" t="s">
        <v>14661</v>
      </c>
    </row>
    <row r="1874" spans="1:10">
      <c r="A1874" s="1">
        <v>267161</v>
      </c>
      <c r="B1874" s="1">
        <v>7601011112</v>
      </c>
      <c r="C1874" s="1">
        <v>6</v>
      </c>
      <c r="D1874" s="1" t="s">
        <v>375</v>
      </c>
      <c r="E1874" t="s">
        <v>14660</v>
      </c>
      <c r="F1874" s="1">
        <v>662056</v>
      </c>
      <c r="G1874" s="1">
        <v>2730010017</v>
      </c>
      <c r="H1874" s="1">
        <v>16</v>
      </c>
      <c r="I1874" s="1" t="s">
        <v>363</v>
      </c>
      <c r="J1874" t="s">
        <v>14662</v>
      </c>
    </row>
    <row r="1875" spans="1:10">
      <c r="A1875" s="1">
        <v>596536</v>
      </c>
      <c r="B1875" s="1">
        <v>7601044416</v>
      </c>
      <c r="C1875" s="1">
        <v>12</v>
      </c>
      <c r="D1875" s="1" t="s">
        <v>489</v>
      </c>
      <c r="E1875" t="s">
        <v>14663</v>
      </c>
      <c r="F1875" s="1">
        <v>674549</v>
      </c>
      <c r="G1875" s="1">
        <v>2730010015</v>
      </c>
      <c r="H1875" s="1">
        <v>24</v>
      </c>
      <c r="I1875" s="1" t="s">
        <v>14</v>
      </c>
      <c r="J1875" t="s">
        <v>14664</v>
      </c>
    </row>
    <row r="1876" spans="1:10">
      <c r="A1876" s="1">
        <v>283895</v>
      </c>
      <c r="B1876" s="1">
        <v>7601044433</v>
      </c>
      <c r="C1876" s="1">
        <v>12</v>
      </c>
      <c r="D1876" s="1" t="s">
        <v>489</v>
      </c>
      <c r="E1876" t="s">
        <v>14665</v>
      </c>
      <c r="F1876" s="1">
        <v>375832</v>
      </c>
      <c r="G1876" s="1">
        <v>2730012055</v>
      </c>
      <c r="H1876" s="1">
        <v>12</v>
      </c>
      <c r="I1876" s="1" t="s">
        <v>489</v>
      </c>
      <c r="J1876" t="s">
        <v>14666</v>
      </c>
    </row>
    <row r="1877" spans="1:10">
      <c r="A1877" s="1">
        <v>530691</v>
      </c>
      <c r="B1877" s="1">
        <v>3100011502</v>
      </c>
      <c r="C1877" s="1">
        <v>12</v>
      </c>
      <c r="D1877" s="1" t="s">
        <v>1393</v>
      </c>
      <c r="E1877" t="s">
        <v>14667</v>
      </c>
      <c r="F1877" s="1">
        <v>668582</v>
      </c>
      <c r="G1877" s="1">
        <v>2730012023</v>
      </c>
      <c r="H1877" s="1">
        <v>12</v>
      </c>
      <c r="I1877" s="1" t="s">
        <v>1973</v>
      </c>
      <c r="J1877" t="s">
        <v>14668</v>
      </c>
    </row>
    <row r="1878" spans="1:10">
      <c r="A1878" s="1">
        <v>899302</v>
      </c>
      <c r="B1878" s="1">
        <v>3100029392</v>
      </c>
      <c r="C1878" s="1">
        <v>12</v>
      </c>
      <c r="D1878" s="1" t="s">
        <v>1393</v>
      </c>
      <c r="E1878" t="s">
        <v>14669</v>
      </c>
      <c r="F1878" s="1">
        <v>674911</v>
      </c>
      <c r="G1878" s="1">
        <v>2730010016</v>
      </c>
      <c r="H1878" s="1">
        <v>24</v>
      </c>
      <c r="I1878" s="1" t="s">
        <v>14</v>
      </c>
      <c r="J1878" t="s">
        <v>14670</v>
      </c>
    </row>
    <row r="1879" spans="1:10">
      <c r="A1879" s="1">
        <v>201848</v>
      </c>
      <c r="B1879" s="1">
        <v>3100026710</v>
      </c>
      <c r="C1879" s="1">
        <v>12</v>
      </c>
      <c r="D1879" s="1" t="s">
        <v>360</v>
      </c>
      <c r="E1879" t="s">
        <v>14671</v>
      </c>
      <c r="F1879" s="1">
        <v>668574</v>
      </c>
      <c r="G1879" s="1">
        <v>2730012024</v>
      </c>
      <c r="H1879" s="1">
        <v>12</v>
      </c>
      <c r="I1879" s="1" t="s">
        <v>1973</v>
      </c>
      <c r="J1879" t="s">
        <v>14672</v>
      </c>
    </row>
    <row r="1880" spans="1:10">
      <c r="A1880" s="1">
        <v>501452</v>
      </c>
      <c r="B1880" s="1">
        <v>3100030397</v>
      </c>
      <c r="C1880" s="1">
        <v>12</v>
      </c>
      <c r="D1880" s="1" t="s">
        <v>360</v>
      </c>
      <c r="E1880" t="s">
        <v>14673</v>
      </c>
      <c r="F1880" s="1">
        <v>586057</v>
      </c>
      <c r="G1880" s="1">
        <v>36800919538</v>
      </c>
      <c r="H1880" s="1">
        <v>12</v>
      </c>
      <c r="I1880" s="1" t="s">
        <v>347</v>
      </c>
      <c r="J1880" t="s">
        <v>14674</v>
      </c>
    </row>
    <row r="1881" spans="1:10">
      <c r="A1881" s="1">
        <v>186742</v>
      </c>
      <c r="B1881" s="1">
        <v>3100018453</v>
      </c>
      <c r="C1881" s="1">
        <v>12</v>
      </c>
      <c r="D1881" s="1" t="s">
        <v>360</v>
      </c>
      <c r="E1881" t="s">
        <v>14675</v>
      </c>
      <c r="F1881" s="1">
        <v>738401</v>
      </c>
      <c r="G1881" s="1">
        <v>7080075579</v>
      </c>
      <c r="H1881" s="1">
        <v>12</v>
      </c>
      <c r="I1881" s="1" t="s">
        <v>381</v>
      </c>
      <c r="J1881" t="s">
        <v>14676</v>
      </c>
    </row>
    <row r="1882" spans="1:10">
      <c r="A1882" s="1">
        <v>571521</v>
      </c>
      <c r="B1882" s="1">
        <v>3100018463</v>
      </c>
      <c r="C1882" s="1">
        <v>12</v>
      </c>
      <c r="D1882" s="1" t="s">
        <v>360</v>
      </c>
      <c r="E1882" t="s">
        <v>14677</v>
      </c>
      <c r="F1882" s="1">
        <v>773390</v>
      </c>
      <c r="G1882" s="1">
        <v>7080075553</v>
      </c>
      <c r="H1882" s="1">
        <v>12</v>
      </c>
      <c r="I1882" s="1" t="s">
        <v>381</v>
      </c>
      <c r="J1882" t="s">
        <v>14678</v>
      </c>
    </row>
    <row r="1883" spans="1:10">
      <c r="A1883" s="1">
        <v>75457</v>
      </c>
      <c r="B1883" s="1">
        <v>3100018461</v>
      </c>
      <c r="C1883" s="1">
        <v>12</v>
      </c>
      <c r="D1883" s="1" t="s">
        <v>360</v>
      </c>
      <c r="E1883" t="s">
        <v>14679</v>
      </c>
      <c r="F1883" s="1">
        <v>568055</v>
      </c>
      <c r="G1883" s="1">
        <v>7091903002</v>
      </c>
      <c r="H1883" s="1">
        <v>6</v>
      </c>
      <c r="I1883" s="1" t="s">
        <v>4723</v>
      </c>
      <c r="J1883" t="s">
        <v>14680</v>
      </c>
    </row>
    <row r="1884" spans="1:10">
      <c r="A1884" s="1">
        <v>382242</v>
      </c>
      <c r="B1884" s="1">
        <v>3100030741</v>
      </c>
      <c r="C1884" s="1">
        <v>12</v>
      </c>
      <c r="D1884" s="1" t="s">
        <v>360</v>
      </c>
      <c r="E1884" t="s">
        <v>14681</v>
      </c>
      <c r="F1884" s="1">
        <v>568048</v>
      </c>
      <c r="G1884" s="1">
        <v>7091903003</v>
      </c>
      <c r="H1884" s="1">
        <v>6</v>
      </c>
      <c r="I1884" s="1" t="s">
        <v>4723</v>
      </c>
      <c r="J1884" t="s">
        <v>14682</v>
      </c>
    </row>
    <row r="1885" spans="1:10">
      <c r="A1885" s="1">
        <v>609040</v>
      </c>
      <c r="B1885" s="1">
        <v>3100030473</v>
      </c>
      <c r="C1885" s="1">
        <v>12</v>
      </c>
      <c r="D1885" s="1" t="s">
        <v>360</v>
      </c>
      <c r="E1885" t="s">
        <v>14683</v>
      </c>
      <c r="F1885" s="1">
        <v>656603</v>
      </c>
      <c r="G1885" s="1">
        <v>4450033128</v>
      </c>
      <c r="H1885" s="1">
        <v>27</v>
      </c>
      <c r="I1885" s="1" t="s">
        <v>259</v>
      </c>
      <c r="J1885" t="s">
        <v>14684</v>
      </c>
    </row>
    <row r="1886" spans="1:10">
      <c r="A1886" s="1">
        <v>149294</v>
      </c>
      <c r="B1886" s="1">
        <v>7590000202</v>
      </c>
      <c r="C1886" s="1">
        <v>12</v>
      </c>
      <c r="D1886" s="1" t="s">
        <v>1973</v>
      </c>
      <c r="E1886" t="s">
        <v>14685</v>
      </c>
      <c r="F1886" s="1">
        <v>825729</v>
      </c>
      <c r="G1886" s="1">
        <v>7080004600</v>
      </c>
      <c r="H1886" s="1">
        <v>24</v>
      </c>
      <c r="I1886" s="1" t="s">
        <v>1973</v>
      </c>
      <c r="J1886" t="s">
        <v>14686</v>
      </c>
    </row>
    <row r="1887" spans="1:10">
      <c r="A1887" s="1">
        <v>779959</v>
      </c>
      <c r="B1887" s="1">
        <v>7590000205</v>
      </c>
      <c r="C1887" s="1">
        <v>12</v>
      </c>
      <c r="D1887" s="1" t="s">
        <v>381</v>
      </c>
      <c r="E1887" t="s">
        <v>14687</v>
      </c>
      <c r="F1887" s="1">
        <v>570945</v>
      </c>
      <c r="G1887" s="1">
        <v>7080004863</v>
      </c>
      <c r="H1887" s="1">
        <v>24</v>
      </c>
      <c r="I1887" s="1" t="s">
        <v>1973</v>
      </c>
      <c r="J1887" t="s">
        <v>14688</v>
      </c>
    </row>
    <row r="1888" spans="1:10" ht="15.75">
      <c r="A1888" s="4" t="s">
        <v>14611</v>
      </c>
      <c r="B1888" s="2"/>
      <c r="C1888" s="2"/>
      <c r="D1888" s="2"/>
      <c r="E1888" s="3"/>
      <c r="F1888" s="4" t="s">
        <v>14611</v>
      </c>
      <c r="G1888" s="2"/>
      <c r="H1888" s="2"/>
      <c r="I1888" s="2"/>
      <c r="J1888" s="3"/>
    </row>
    <row r="1889" spans="1:10">
      <c r="A1889" s="2" t="s">
        <v>0</v>
      </c>
      <c r="B1889" s="2" t="s">
        <v>1</v>
      </c>
      <c r="C1889" s="2" t="s">
        <v>2</v>
      </c>
      <c r="D1889" s="2" t="s">
        <v>3</v>
      </c>
      <c r="E1889" s="3" t="s">
        <v>4</v>
      </c>
      <c r="F1889" s="2" t="s">
        <v>0</v>
      </c>
      <c r="G1889" s="2" t="s">
        <v>1</v>
      </c>
      <c r="H1889" s="2" t="s">
        <v>2</v>
      </c>
      <c r="I1889" s="2" t="s">
        <v>3</v>
      </c>
      <c r="J1889" s="3" t="s">
        <v>4</v>
      </c>
    </row>
    <row r="1890" spans="1:10">
      <c r="A1890" s="1">
        <v>660357</v>
      </c>
      <c r="B1890" s="1">
        <v>7778200797</v>
      </c>
      <c r="C1890" s="1">
        <v>12</v>
      </c>
      <c r="D1890" s="1" t="s">
        <v>14689</v>
      </c>
      <c r="E1890" t="s">
        <v>14690</v>
      </c>
      <c r="F1890" s="1">
        <v>670042</v>
      </c>
      <c r="G1890" s="1">
        <v>3390000030</v>
      </c>
      <c r="H1890" s="1">
        <v>12</v>
      </c>
      <c r="I1890" s="1" t="s">
        <v>360</v>
      </c>
      <c r="J1890" t="s">
        <v>14691</v>
      </c>
    </row>
    <row r="1891" spans="1:10">
      <c r="A1891" s="1">
        <v>660373</v>
      </c>
      <c r="B1891" s="1">
        <v>7778200813</v>
      </c>
      <c r="C1891" s="1">
        <v>12</v>
      </c>
      <c r="D1891" s="1" t="s">
        <v>14689</v>
      </c>
      <c r="E1891" t="s">
        <v>14692</v>
      </c>
      <c r="F1891" s="1">
        <v>729616</v>
      </c>
      <c r="G1891" s="1">
        <v>3390000037</v>
      </c>
      <c r="H1891" s="1">
        <v>12</v>
      </c>
      <c r="I1891" s="1" t="s">
        <v>360</v>
      </c>
      <c r="J1891" t="s">
        <v>14693</v>
      </c>
    </row>
    <row r="1892" spans="1:10">
      <c r="A1892" s="1">
        <v>660399</v>
      </c>
      <c r="B1892" s="1">
        <v>7778200816</v>
      </c>
      <c r="C1892" s="1">
        <v>12</v>
      </c>
      <c r="D1892" s="1" t="s">
        <v>14689</v>
      </c>
      <c r="E1892" t="s">
        <v>14694</v>
      </c>
      <c r="F1892" s="1">
        <v>729624</v>
      </c>
      <c r="G1892" s="1">
        <v>3390000033</v>
      </c>
      <c r="H1892" s="1">
        <v>12</v>
      </c>
      <c r="I1892" s="1" t="s">
        <v>360</v>
      </c>
      <c r="J1892" t="s">
        <v>14695</v>
      </c>
    </row>
    <row r="1893" spans="1:10">
      <c r="A1893" s="1">
        <v>660381</v>
      </c>
      <c r="B1893" s="1">
        <v>7778200787</v>
      </c>
      <c r="C1893" s="1">
        <v>12</v>
      </c>
      <c r="D1893" s="1" t="s">
        <v>14689</v>
      </c>
      <c r="E1893" t="s">
        <v>14696</v>
      </c>
      <c r="F1893" s="1">
        <v>729632</v>
      </c>
      <c r="G1893" s="1">
        <v>7187153670</v>
      </c>
      <c r="H1893" s="1">
        <v>12</v>
      </c>
      <c r="I1893" s="1" t="s">
        <v>381</v>
      </c>
      <c r="J1893" t="s">
        <v>14697</v>
      </c>
    </row>
    <row r="1894" spans="1:10">
      <c r="A1894" s="1">
        <v>778951</v>
      </c>
      <c r="B1894" s="1">
        <v>7778200276</v>
      </c>
      <c r="C1894" s="1">
        <v>12</v>
      </c>
      <c r="D1894" s="1" t="s">
        <v>347</v>
      </c>
      <c r="E1894" t="s">
        <v>14698</v>
      </c>
      <c r="F1894" s="1">
        <v>660332</v>
      </c>
      <c r="G1894" s="1">
        <v>8247425004</v>
      </c>
      <c r="H1894" s="1">
        <v>12</v>
      </c>
      <c r="I1894" s="1" t="s">
        <v>381</v>
      </c>
      <c r="J1894" t="s">
        <v>14699</v>
      </c>
    </row>
    <row r="1895" spans="1:10">
      <c r="A1895" s="1">
        <v>664763</v>
      </c>
      <c r="B1895" s="1">
        <v>7778200193</v>
      </c>
      <c r="C1895" s="1">
        <v>10</v>
      </c>
      <c r="D1895" s="1" t="s">
        <v>381</v>
      </c>
      <c r="E1895" t="s">
        <v>14700</v>
      </c>
      <c r="F1895" s="1">
        <v>280156</v>
      </c>
      <c r="G1895" s="1">
        <v>7247425001</v>
      </c>
      <c r="H1895" s="1">
        <v>16</v>
      </c>
      <c r="I1895" s="1" t="s">
        <v>347</v>
      </c>
      <c r="J1895" t="s">
        <v>14701</v>
      </c>
    </row>
    <row r="1896" spans="1:10">
      <c r="A1896" s="1">
        <v>665067</v>
      </c>
      <c r="B1896" s="1">
        <v>7778200839</v>
      </c>
      <c r="C1896" s="1">
        <v>12</v>
      </c>
      <c r="D1896" s="1" t="s">
        <v>14702</v>
      </c>
      <c r="E1896" t="s">
        <v>14703</v>
      </c>
      <c r="F1896" s="1">
        <v>892802</v>
      </c>
      <c r="G1896" s="1">
        <v>7601021112</v>
      </c>
      <c r="H1896" s="1">
        <v>12</v>
      </c>
      <c r="I1896" s="1" t="s">
        <v>1973</v>
      </c>
      <c r="J1896" t="s">
        <v>14704</v>
      </c>
    </row>
    <row r="1897" spans="1:10">
      <c r="A1897" s="1">
        <v>665315</v>
      </c>
      <c r="B1897" s="1">
        <v>7790011563</v>
      </c>
      <c r="C1897" s="1">
        <v>12</v>
      </c>
      <c r="D1897" s="1" t="s">
        <v>1973</v>
      </c>
      <c r="E1897" t="s">
        <v>14705</v>
      </c>
      <c r="F1897" s="1">
        <v>28316</v>
      </c>
      <c r="G1897" s="1">
        <v>7601021111</v>
      </c>
      <c r="H1897" s="1">
        <v>12</v>
      </c>
      <c r="I1897" s="1" t="s">
        <v>1973</v>
      </c>
      <c r="J1897" t="s">
        <v>14706</v>
      </c>
    </row>
    <row r="1898" spans="1:10">
      <c r="A1898" s="1">
        <v>666792</v>
      </c>
      <c r="B1898" s="1">
        <v>7790019257</v>
      </c>
      <c r="C1898" s="1">
        <v>8</v>
      </c>
      <c r="D1898" s="1" t="s">
        <v>503</v>
      </c>
      <c r="E1898" t="s">
        <v>14707</v>
      </c>
      <c r="F1898" s="1">
        <v>391599</v>
      </c>
      <c r="G1898" s="1">
        <v>2836412930</v>
      </c>
      <c r="H1898" s="1">
        <v>12</v>
      </c>
      <c r="I1898" s="1" t="s">
        <v>381</v>
      </c>
      <c r="J1898" t="s">
        <v>14708</v>
      </c>
    </row>
    <row r="1899" spans="1:10">
      <c r="A1899" s="1">
        <v>663617</v>
      </c>
      <c r="B1899" s="1">
        <v>7790019479</v>
      </c>
      <c r="C1899" s="1">
        <v>8</v>
      </c>
      <c r="D1899" s="1" t="s">
        <v>503</v>
      </c>
      <c r="E1899" t="s">
        <v>14709</v>
      </c>
      <c r="F1899" s="1">
        <v>690701</v>
      </c>
      <c r="G1899" s="1">
        <v>2836412350</v>
      </c>
      <c r="H1899" s="1">
        <v>12</v>
      </c>
      <c r="I1899" s="1" t="s">
        <v>381</v>
      </c>
      <c r="J1899" t="s">
        <v>14710</v>
      </c>
    </row>
    <row r="1900" spans="1:10">
      <c r="A1900" s="1">
        <v>667345</v>
      </c>
      <c r="B1900" s="1">
        <v>7790019206</v>
      </c>
      <c r="C1900" s="1">
        <v>8</v>
      </c>
      <c r="D1900" s="1" t="s">
        <v>503</v>
      </c>
      <c r="E1900" t="s">
        <v>14711</v>
      </c>
      <c r="F1900" s="1">
        <v>690578</v>
      </c>
      <c r="G1900" s="1">
        <v>2836412370</v>
      </c>
      <c r="H1900" s="1">
        <v>12</v>
      </c>
      <c r="I1900" s="1" t="s">
        <v>381</v>
      </c>
      <c r="J1900" t="s">
        <v>14712</v>
      </c>
    </row>
    <row r="1901" spans="1:10">
      <c r="A1901" s="1">
        <v>671701</v>
      </c>
      <c r="B1901" s="1">
        <v>7790019400</v>
      </c>
      <c r="C1901" s="1">
        <v>12</v>
      </c>
      <c r="D1901" s="1" t="s">
        <v>352</v>
      </c>
      <c r="E1901" t="s">
        <v>14713</v>
      </c>
      <c r="F1901" s="1">
        <v>690834</v>
      </c>
      <c r="G1901" s="1">
        <v>2836412023</v>
      </c>
      <c r="H1901" s="1">
        <v>9</v>
      </c>
      <c r="I1901" s="1" t="s">
        <v>381</v>
      </c>
      <c r="J1901" t="s">
        <v>14714</v>
      </c>
    </row>
    <row r="1902" spans="1:10">
      <c r="A1902" s="1">
        <v>670224</v>
      </c>
      <c r="B1902" s="1">
        <v>7790011843</v>
      </c>
      <c r="C1902" s="1">
        <v>12</v>
      </c>
      <c r="D1902" s="1" t="s">
        <v>347</v>
      </c>
      <c r="E1902" t="s">
        <v>14715</v>
      </c>
      <c r="F1902" s="1">
        <v>693267</v>
      </c>
      <c r="G1902" s="1">
        <v>2836412360</v>
      </c>
      <c r="H1902" s="1">
        <v>12</v>
      </c>
      <c r="I1902" s="1" t="s">
        <v>381</v>
      </c>
      <c r="J1902" t="s">
        <v>14716</v>
      </c>
    </row>
    <row r="1903" spans="1:10">
      <c r="A1903" s="1">
        <v>315127</v>
      </c>
      <c r="B1903" s="1">
        <v>7790019235</v>
      </c>
      <c r="C1903" s="1">
        <v>8</v>
      </c>
      <c r="D1903" s="1" t="s">
        <v>489</v>
      </c>
      <c r="E1903" t="s">
        <v>14717</v>
      </c>
      <c r="F1903" s="1">
        <v>740548</v>
      </c>
      <c r="G1903" s="1">
        <v>2836412310</v>
      </c>
      <c r="H1903" s="1">
        <v>6</v>
      </c>
      <c r="I1903" s="1" t="s">
        <v>865</v>
      </c>
      <c r="J1903" t="s">
        <v>14718</v>
      </c>
    </row>
    <row r="1904" spans="1:10">
      <c r="A1904" s="1">
        <v>665356</v>
      </c>
      <c r="B1904" s="1">
        <v>7790019456</v>
      </c>
      <c r="C1904" s="1">
        <v>8</v>
      </c>
      <c r="D1904" s="1" t="s">
        <v>503</v>
      </c>
      <c r="E1904" t="s">
        <v>14719</v>
      </c>
      <c r="F1904" s="1">
        <v>696104</v>
      </c>
      <c r="G1904" s="1">
        <v>2836412290</v>
      </c>
      <c r="H1904" s="1">
        <v>6</v>
      </c>
      <c r="I1904" s="1" t="s">
        <v>865</v>
      </c>
      <c r="J1904" t="s">
        <v>14720</v>
      </c>
    </row>
    <row r="1905" spans="1:10">
      <c r="A1905" s="1">
        <v>388587</v>
      </c>
      <c r="B1905" s="1">
        <v>7790019774</v>
      </c>
      <c r="C1905" s="1">
        <v>8</v>
      </c>
      <c r="D1905" s="1" t="s">
        <v>489</v>
      </c>
      <c r="E1905" t="s">
        <v>14721</v>
      </c>
      <c r="F1905" s="1">
        <v>72959</v>
      </c>
      <c r="G1905" s="1">
        <v>2836412280</v>
      </c>
      <c r="H1905" s="1">
        <v>6</v>
      </c>
      <c r="I1905" s="1" t="s">
        <v>865</v>
      </c>
      <c r="J1905" t="s">
        <v>14722</v>
      </c>
    </row>
    <row r="1906" spans="1:10">
      <c r="A1906" s="1">
        <v>678540</v>
      </c>
      <c r="B1906" s="1">
        <v>7790030100</v>
      </c>
      <c r="C1906" s="1">
        <v>12</v>
      </c>
      <c r="D1906" s="1" t="s">
        <v>381</v>
      </c>
      <c r="E1906" t="s">
        <v>14723</v>
      </c>
      <c r="F1906" s="1">
        <v>690784</v>
      </c>
      <c r="G1906" s="1">
        <v>2836412340</v>
      </c>
      <c r="H1906" s="1">
        <v>12</v>
      </c>
      <c r="I1906" s="1" t="s">
        <v>381</v>
      </c>
      <c r="J1906" t="s">
        <v>14724</v>
      </c>
    </row>
    <row r="1907" spans="1:10">
      <c r="A1907" s="1">
        <v>368589</v>
      </c>
      <c r="B1907" s="1">
        <v>7790030659</v>
      </c>
      <c r="C1907" s="1">
        <v>12</v>
      </c>
      <c r="D1907" s="1" t="s">
        <v>381</v>
      </c>
      <c r="E1907" t="s">
        <v>14725</v>
      </c>
      <c r="F1907" s="1">
        <v>497941</v>
      </c>
      <c r="G1907" s="1">
        <v>2836412910</v>
      </c>
      <c r="H1907" s="1">
        <v>12</v>
      </c>
      <c r="I1907" s="1" t="s">
        <v>381</v>
      </c>
      <c r="J1907" t="s">
        <v>14726</v>
      </c>
    </row>
    <row r="1908" spans="1:10">
      <c r="A1908" s="1">
        <v>339481</v>
      </c>
      <c r="B1908" s="1">
        <v>7790030658</v>
      </c>
      <c r="C1908" s="1">
        <v>12</v>
      </c>
      <c r="D1908" s="1" t="s">
        <v>381</v>
      </c>
      <c r="E1908" t="s">
        <v>14727</v>
      </c>
      <c r="F1908" s="1">
        <v>692087</v>
      </c>
      <c r="G1908" s="1">
        <v>2836412022</v>
      </c>
      <c r="H1908" s="1">
        <v>9</v>
      </c>
      <c r="I1908" s="1" t="s">
        <v>381</v>
      </c>
      <c r="J1908" t="s">
        <v>14728</v>
      </c>
    </row>
    <row r="1909" spans="1:10">
      <c r="A1909" s="1">
        <v>390807</v>
      </c>
      <c r="B1909" s="1">
        <v>7790019242</v>
      </c>
      <c r="C1909" s="1">
        <v>8</v>
      </c>
      <c r="D1909" s="1" t="s">
        <v>489</v>
      </c>
      <c r="E1909" t="s">
        <v>14729</v>
      </c>
      <c r="F1909" s="1">
        <v>765008</v>
      </c>
      <c r="G1909" s="1">
        <v>2836412920</v>
      </c>
      <c r="H1909" s="1">
        <v>12</v>
      </c>
      <c r="I1909" s="1" t="s">
        <v>381</v>
      </c>
      <c r="J1909" t="s">
        <v>14730</v>
      </c>
    </row>
    <row r="1910" spans="1:10">
      <c r="A1910" s="1">
        <v>516864</v>
      </c>
      <c r="B1910" s="1">
        <v>7790019241</v>
      </c>
      <c r="C1910" s="1">
        <v>8</v>
      </c>
      <c r="D1910" s="1" t="s">
        <v>489</v>
      </c>
      <c r="E1910" t="s">
        <v>14731</v>
      </c>
      <c r="F1910" s="1">
        <v>690818</v>
      </c>
      <c r="G1910" s="1">
        <v>2836412330</v>
      </c>
      <c r="H1910" s="1">
        <v>12</v>
      </c>
      <c r="I1910" s="1" t="s">
        <v>381</v>
      </c>
      <c r="J1910" t="s">
        <v>14732</v>
      </c>
    </row>
    <row r="1911" spans="1:10">
      <c r="A1911" s="1">
        <v>670380</v>
      </c>
      <c r="B1911" s="1">
        <v>7790011753</v>
      </c>
      <c r="C1911" s="1">
        <v>6</v>
      </c>
      <c r="D1911" s="1" t="s">
        <v>375</v>
      </c>
      <c r="E1911" t="s">
        <v>14733</v>
      </c>
      <c r="F1911" s="1">
        <v>525253</v>
      </c>
      <c r="G1911" s="1">
        <v>2836420269</v>
      </c>
      <c r="H1911" s="1">
        <v>12</v>
      </c>
      <c r="I1911" s="1" t="s">
        <v>381</v>
      </c>
      <c r="J1911" t="s">
        <v>14734</v>
      </c>
    </row>
    <row r="1912" spans="1:10">
      <c r="A1912" s="1">
        <v>669432</v>
      </c>
      <c r="B1912" s="1">
        <v>7790011643</v>
      </c>
      <c r="C1912" s="1">
        <v>6</v>
      </c>
      <c r="D1912" s="1" t="s">
        <v>375</v>
      </c>
      <c r="E1912" t="s">
        <v>14735</v>
      </c>
      <c r="F1912" s="1">
        <v>540047</v>
      </c>
      <c r="G1912" s="1">
        <v>7080005006</v>
      </c>
      <c r="H1912" s="1">
        <v>12</v>
      </c>
      <c r="I1912" s="1" t="s">
        <v>381</v>
      </c>
      <c r="J1912" t="s">
        <v>14736</v>
      </c>
    </row>
    <row r="1913" spans="1:10">
      <c r="A1913" s="1">
        <v>665307</v>
      </c>
      <c r="B1913" s="1">
        <v>7790011553</v>
      </c>
      <c r="C1913" s="1">
        <v>12</v>
      </c>
      <c r="D1913" s="1" t="s">
        <v>1973</v>
      </c>
      <c r="E1913" t="s">
        <v>14737</v>
      </c>
      <c r="F1913" s="1">
        <v>779553</v>
      </c>
      <c r="G1913" s="1">
        <v>7080005011</v>
      </c>
      <c r="H1913" s="1">
        <v>12</v>
      </c>
      <c r="I1913" s="1" t="s">
        <v>259</v>
      </c>
      <c r="J1913" t="s">
        <v>14738</v>
      </c>
    </row>
    <row r="1914" spans="1:10">
      <c r="A1914" s="1">
        <v>665331</v>
      </c>
      <c r="B1914" s="1">
        <v>7790011633</v>
      </c>
      <c r="C1914" s="1">
        <v>12</v>
      </c>
      <c r="D1914" s="1" t="s">
        <v>1973</v>
      </c>
      <c r="E1914" t="s">
        <v>14739</v>
      </c>
      <c r="F1914" s="1">
        <v>279547</v>
      </c>
      <c r="G1914" s="1">
        <v>7080005002</v>
      </c>
      <c r="H1914" s="1">
        <v>12</v>
      </c>
      <c r="I1914" s="1" t="s">
        <v>381</v>
      </c>
      <c r="J1914" t="s">
        <v>14740</v>
      </c>
    </row>
    <row r="1915" spans="1:10">
      <c r="A1915" s="1">
        <v>652628</v>
      </c>
      <c r="B1915" s="1">
        <v>7790019416</v>
      </c>
      <c r="C1915" s="1">
        <v>8</v>
      </c>
      <c r="D1915" s="1" t="s">
        <v>503</v>
      </c>
      <c r="E1915" t="s">
        <v>14741</v>
      </c>
      <c r="F1915" s="1">
        <v>675421</v>
      </c>
      <c r="G1915" s="1">
        <v>7154002153</v>
      </c>
      <c r="H1915" s="1">
        <v>6</v>
      </c>
      <c r="I1915" s="1" t="s">
        <v>553</v>
      </c>
      <c r="J1915" t="s">
        <v>14742</v>
      </c>
    </row>
    <row r="1916" spans="1:10">
      <c r="A1916" s="1">
        <v>147918</v>
      </c>
      <c r="B1916" s="1">
        <v>72251540623</v>
      </c>
      <c r="C1916" s="1">
        <v>12</v>
      </c>
      <c r="D1916" s="1" t="s">
        <v>347</v>
      </c>
      <c r="E1916" t="s">
        <v>14743</v>
      </c>
      <c r="F1916" s="1">
        <v>670604</v>
      </c>
      <c r="G1916" s="1">
        <v>27080005151</v>
      </c>
      <c r="H1916" s="1">
        <v>1</v>
      </c>
      <c r="I1916" s="1" t="s">
        <v>4719</v>
      </c>
      <c r="J1916" t="s">
        <v>14744</v>
      </c>
    </row>
    <row r="1917" spans="1:10">
      <c r="A1917" s="1">
        <v>780031</v>
      </c>
      <c r="B1917" s="1">
        <v>72251540621</v>
      </c>
      <c r="C1917" s="1">
        <v>12</v>
      </c>
      <c r="D1917" s="1" t="s">
        <v>347</v>
      </c>
      <c r="E1917" t="s">
        <v>14745</v>
      </c>
      <c r="F1917" s="1">
        <v>292656</v>
      </c>
      <c r="G1917" s="1">
        <v>4113081543</v>
      </c>
      <c r="H1917" s="1">
        <v>12</v>
      </c>
      <c r="I1917" s="1" t="s">
        <v>347</v>
      </c>
      <c r="J1917" t="s">
        <v>14746</v>
      </c>
    </row>
    <row r="1918" spans="1:10">
      <c r="A1918" s="1">
        <v>896373</v>
      </c>
      <c r="B1918" s="1">
        <v>72251540622</v>
      </c>
      <c r="C1918" s="1">
        <v>12</v>
      </c>
      <c r="D1918" s="1" t="s">
        <v>347</v>
      </c>
      <c r="E1918" t="s">
        <v>14747</v>
      </c>
      <c r="F1918" s="1">
        <v>366880</v>
      </c>
      <c r="G1918" s="1">
        <v>4113081541</v>
      </c>
      <c r="H1918" s="1">
        <v>12</v>
      </c>
      <c r="I1918" s="1" t="s">
        <v>347</v>
      </c>
      <c r="J1918" t="s">
        <v>14748</v>
      </c>
    </row>
    <row r="1919" spans="1:10">
      <c r="A1919" s="1">
        <v>778977</v>
      </c>
      <c r="B1919" s="1">
        <v>7778201357</v>
      </c>
      <c r="C1919" s="1">
        <v>12</v>
      </c>
      <c r="D1919" s="1" t="s">
        <v>347</v>
      </c>
      <c r="E1919" t="s">
        <v>14749</v>
      </c>
      <c r="F1919" s="1">
        <v>582528</v>
      </c>
      <c r="G1919" s="1">
        <v>4113081542</v>
      </c>
      <c r="H1919" s="1">
        <v>12</v>
      </c>
      <c r="I1919" s="1" t="s">
        <v>546</v>
      </c>
      <c r="J1919" t="s">
        <v>14750</v>
      </c>
    </row>
    <row r="1920" spans="1:10">
      <c r="A1920" s="1">
        <v>871616</v>
      </c>
      <c r="B1920" s="1">
        <v>7778200793</v>
      </c>
      <c r="C1920" s="1">
        <v>12</v>
      </c>
      <c r="D1920" s="1" t="s">
        <v>14689</v>
      </c>
      <c r="E1920" t="s">
        <v>14751</v>
      </c>
      <c r="F1920" s="1">
        <v>60756</v>
      </c>
      <c r="G1920" s="1">
        <v>7229000047</v>
      </c>
      <c r="H1920" s="1">
        <v>12</v>
      </c>
      <c r="I1920" s="1" t="s">
        <v>1973</v>
      </c>
      <c r="J1920" t="s">
        <v>14752</v>
      </c>
    </row>
    <row r="1921" spans="1:10">
      <c r="A1921" s="1">
        <v>256032</v>
      </c>
      <c r="B1921" s="1">
        <v>7778200868</v>
      </c>
      <c r="C1921" s="1">
        <v>6</v>
      </c>
      <c r="D1921" s="1" t="s">
        <v>381</v>
      </c>
      <c r="E1921" t="s">
        <v>14753</v>
      </c>
      <c r="F1921" s="1">
        <v>266213</v>
      </c>
      <c r="G1921" s="1">
        <v>7229000020</v>
      </c>
      <c r="H1921" s="1">
        <v>12</v>
      </c>
      <c r="I1921" s="1" t="s">
        <v>1973</v>
      </c>
      <c r="J1921" t="s">
        <v>14754</v>
      </c>
    </row>
    <row r="1922" spans="1:10">
      <c r="A1922" s="1">
        <v>537860</v>
      </c>
      <c r="B1922" s="1">
        <v>7778200870</v>
      </c>
      <c r="C1922" s="1">
        <v>6</v>
      </c>
      <c r="D1922" s="1" t="s">
        <v>381</v>
      </c>
      <c r="E1922" t="s">
        <v>14755</v>
      </c>
      <c r="F1922" s="1">
        <v>682195</v>
      </c>
      <c r="G1922" s="1">
        <v>7229001901</v>
      </c>
      <c r="H1922" s="1">
        <v>4</v>
      </c>
      <c r="I1922" s="1" t="s">
        <v>14756</v>
      </c>
      <c r="J1922" t="s">
        <v>14757</v>
      </c>
    </row>
    <row r="1923" spans="1:10">
      <c r="A1923" s="1">
        <v>692046</v>
      </c>
      <c r="B1923" s="1">
        <v>7778201704</v>
      </c>
      <c r="C1923" s="1">
        <v>8</v>
      </c>
      <c r="D1923" s="1" t="s">
        <v>546</v>
      </c>
      <c r="E1923" t="s">
        <v>14758</v>
      </c>
      <c r="F1923" s="1">
        <v>674176</v>
      </c>
      <c r="G1923" s="1">
        <v>7229000000</v>
      </c>
      <c r="H1923" s="1">
        <v>12</v>
      </c>
      <c r="I1923" s="1" t="s">
        <v>1973</v>
      </c>
      <c r="J1923" t="s">
        <v>14759</v>
      </c>
    </row>
    <row r="1924" spans="1:10">
      <c r="A1924" s="1">
        <v>388199</v>
      </c>
      <c r="B1924" s="1">
        <v>7778201934</v>
      </c>
      <c r="C1924" s="1">
        <v>10</v>
      </c>
      <c r="D1924" s="1" t="s">
        <v>1180</v>
      </c>
      <c r="E1924" t="s">
        <v>14760</v>
      </c>
      <c r="F1924" s="1">
        <v>671784</v>
      </c>
      <c r="G1924" s="1">
        <v>7229080106</v>
      </c>
      <c r="H1924" s="1">
        <v>12</v>
      </c>
      <c r="I1924" s="1" t="s">
        <v>1973</v>
      </c>
      <c r="J1924" t="s">
        <v>14761</v>
      </c>
    </row>
    <row r="1925" spans="1:10">
      <c r="A1925" s="1">
        <v>615856</v>
      </c>
      <c r="B1925" s="1">
        <v>7778202002</v>
      </c>
      <c r="C1925" s="1">
        <v>10</v>
      </c>
      <c r="D1925" s="1" t="s">
        <v>1180</v>
      </c>
      <c r="E1925" t="s">
        <v>14762</v>
      </c>
      <c r="F1925" s="1">
        <v>729640</v>
      </c>
      <c r="G1925" s="1">
        <v>7229001902</v>
      </c>
      <c r="H1925" s="1">
        <v>4</v>
      </c>
      <c r="I1925" s="1" t="s">
        <v>14763</v>
      </c>
      <c r="J1925" t="s">
        <v>14764</v>
      </c>
    </row>
    <row r="1926" spans="1:10">
      <c r="A1926" s="1">
        <v>778969</v>
      </c>
      <c r="B1926" s="1">
        <v>7778200221</v>
      </c>
      <c r="C1926" s="1">
        <v>12</v>
      </c>
      <c r="D1926" s="1" t="s">
        <v>347</v>
      </c>
      <c r="E1926" t="s">
        <v>14765</v>
      </c>
      <c r="F1926" s="1">
        <v>729657</v>
      </c>
      <c r="G1926" s="1">
        <v>7229001900</v>
      </c>
      <c r="H1926" s="1">
        <v>4</v>
      </c>
      <c r="I1926" s="1" t="s">
        <v>14766</v>
      </c>
      <c r="J1926" t="s">
        <v>14767</v>
      </c>
    </row>
    <row r="1927" spans="1:10">
      <c r="A1927" s="1">
        <v>140228</v>
      </c>
      <c r="B1927" s="1">
        <v>7778201705</v>
      </c>
      <c r="C1927" s="1">
        <v>8</v>
      </c>
      <c r="D1927" s="1" t="s">
        <v>546</v>
      </c>
      <c r="E1927" t="s">
        <v>14768</v>
      </c>
      <c r="F1927" s="1">
        <v>255091</v>
      </c>
      <c r="G1927" s="1">
        <v>4708312341</v>
      </c>
      <c r="H1927" s="1">
        <v>12</v>
      </c>
      <c r="I1927" s="1" t="s">
        <v>860</v>
      </c>
      <c r="J1927" t="s">
        <v>14769</v>
      </c>
    </row>
    <row r="1928" spans="1:10">
      <c r="A1928" s="1">
        <v>181503</v>
      </c>
      <c r="B1928" s="1">
        <v>78188032131</v>
      </c>
      <c r="C1928" s="1">
        <v>12</v>
      </c>
      <c r="D1928" s="1" t="s">
        <v>1973</v>
      </c>
      <c r="E1928" t="s">
        <v>14770</v>
      </c>
      <c r="F1928" s="1">
        <v>24760</v>
      </c>
      <c r="G1928" s="1">
        <v>4708312342</v>
      </c>
      <c r="H1928" s="1">
        <v>12</v>
      </c>
      <c r="I1928" s="1" t="s">
        <v>860</v>
      </c>
      <c r="J1928" t="s">
        <v>14771</v>
      </c>
    </row>
    <row r="1929" spans="1:10" ht="15.75">
      <c r="A1929" s="4" t="s">
        <v>14611</v>
      </c>
      <c r="B1929" s="2"/>
      <c r="C1929" s="2"/>
      <c r="D1929" s="2"/>
      <c r="E1929" s="3"/>
      <c r="F1929" s="4" t="s">
        <v>14772</v>
      </c>
      <c r="G1929" s="2"/>
      <c r="H1929" s="2"/>
      <c r="I1929" s="2"/>
      <c r="J1929" s="3"/>
    </row>
    <row r="1930" spans="1:10">
      <c r="A1930" s="2" t="s">
        <v>0</v>
      </c>
      <c r="B1930" s="2" t="s">
        <v>1</v>
      </c>
      <c r="C1930" s="2" t="s">
        <v>2</v>
      </c>
      <c r="D1930" s="2" t="s">
        <v>3</v>
      </c>
      <c r="E1930" s="3" t="s">
        <v>4</v>
      </c>
      <c r="F1930" s="2" t="s">
        <v>0</v>
      </c>
      <c r="G1930" s="2" t="s">
        <v>1</v>
      </c>
      <c r="H1930" s="2" t="s">
        <v>2</v>
      </c>
      <c r="I1930" s="2" t="s">
        <v>3</v>
      </c>
      <c r="J1930" s="3" t="s">
        <v>4</v>
      </c>
    </row>
    <row r="1931" spans="1:10">
      <c r="A1931" s="1">
        <v>668913</v>
      </c>
      <c r="B1931" s="1">
        <v>7539300229</v>
      </c>
      <c r="C1931" s="1">
        <v>12</v>
      </c>
      <c r="D1931" s="1" t="s">
        <v>381</v>
      </c>
      <c r="E1931" t="s">
        <v>14773</v>
      </c>
      <c r="F1931" s="1">
        <v>480095</v>
      </c>
      <c r="G1931" s="1">
        <v>7590133614</v>
      </c>
      <c r="H1931" s="1">
        <v>12</v>
      </c>
      <c r="I1931" s="1" t="s">
        <v>3271</v>
      </c>
      <c r="J1931" t="s">
        <v>14774</v>
      </c>
    </row>
    <row r="1932" spans="1:10">
      <c r="A1932" s="1">
        <v>668921</v>
      </c>
      <c r="B1932" s="1">
        <v>7539300227</v>
      </c>
      <c r="C1932" s="1">
        <v>12</v>
      </c>
      <c r="D1932" s="1" t="s">
        <v>381</v>
      </c>
      <c r="E1932" t="s">
        <v>14775</v>
      </c>
      <c r="F1932" s="1">
        <v>567065</v>
      </c>
      <c r="G1932" s="1">
        <v>7590133219</v>
      </c>
      <c r="H1932" s="1">
        <v>12</v>
      </c>
      <c r="I1932" s="1" t="s">
        <v>1489</v>
      </c>
      <c r="J1932" t="s">
        <v>14776</v>
      </c>
    </row>
    <row r="1933" spans="1:10" ht="15.75">
      <c r="A1933" s="4" t="s">
        <v>14777</v>
      </c>
      <c r="B1933" s="2"/>
      <c r="C1933" s="2"/>
      <c r="D1933" s="2"/>
      <c r="E1933" s="3"/>
      <c r="F1933" s="1">
        <v>662866</v>
      </c>
      <c r="G1933" s="1">
        <v>7590133613</v>
      </c>
      <c r="H1933" s="1">
        <v>12</v>
      </c>
      <c r="I1933" s="1" t="s">
        <v>637</v>
      </c>
      <c r="J1933" t="s">
        <v>14778</v>
      </c>
    </row>
    <row r="1934" spans="1:10">
      <c r="A1934" s="2" t="s">
        <v>0</v>
      </c>
      <c r="B1934" s="2" t="s">
        <v>1</v>
      </c>
      <c r="C1934" s="2" t="s">
        <v>2</v>
      </c>
      <c r="D1934" s="2" t="s">
        <v>3</v>
      </c>
      <c r="E1934" s="3" t="s">
        <v>4</v>
      </c>
      <c r="F1934" s="1">
        <v>868190</v>
      </c>
      <c r="G1934" s="1">
        <v>27562010829</v>
      </c>
      <c r="H1934" s="1">
        <v>1</v>
      </c>
      <c r="I1934" s="1" t="s">
        <v>6600</v>
      </c>
      <c r="J1934" t="s">
        <v>14779</v>
      </c>
    </row>
    <row r="1935" spans="1:10">
      <c r="A1935" s="1">
        <v>828327</v>
      </c>
      <c r="B1935" s="1">
        <v>7590000560</v>
      </c>
      <c r="C1935" s="1">
        <v>8</v>
      </c>
      <c r="D1935" s="1" t="s">
        <v>489</v>
      </c>
      <c r="E1935" t="s">
        <v>14780</v>
      </c>
      <c r="F1935" s="1">
        <v>430439</v>
      </c>
      <c r="G1935" s="1">
        <v>7374401888</v>
      </c>
      <c r="H1935" s="1">
        <v>12</v>
      </c>
      <c r="I1935" s="1" t="s">
        <v>938</v>
      </c>
      <c r="J1935" t="s">
        <v>14781</v>
      </c>
    </row>
    <row r="1936" spans="1:10">
      <c r="A1936" s="1">
        <v>461830</v>
      </c>
      <c r="B1936" s="1">
        <v>7374401039</v>
      </c>
      <c r="C1936" s="1">
        <v>12</v>
      </c>
      <c r="D1936" s="1" t="s">
        <v>381</v>
      </c>
      <c r="E1936" t="s">
        <v>14782</v>
      </c>
      <c r="F1936" s="1">
        <v>459875</v>
      </c>
      <c r="G1936" s="1">
        <v>7374401878</v>
      </c>
      <c r="H1936" s="1">
        <v>12</v>
      </c>
      <c r="I1936" s="1" t="s">
        <v>938</v>
      </c>
      <c r="J1936" t="s">
        <v>14783</v>
      </c>
    </row>
    <row r="1937" spans="1:10">
      <c r="A1937" s="1">
        <v>695924</v>
      </c>
      <c r="B1937" s="1">
        <v>7374401056</v>
      </c>
      <c r="C1937" s="1">
        <v>12</v>
      </c>
      <c r="D1937" s="1" t="s">
        <v>1973</v>
      </c>
      <c r="E1937" t="s">
        <v>14784</v>
      </c>
      <c r="F1937" s="1">
        <v>555946</v>
      </c>
      <c r="G1937" s="1">
        <v>7374462101</v>
      </c>
      <c r="H1937" s="1">
        <v>6</v>
      </c>
      <c r="I1937" s="1" t="s">
        <v>938</v>
      </c>
      <c r="J1937" t="s">
        <v>14785</v>
      </c>
    </row>
    <row r="1938" spans="1:10">
      <c r="A1938" s="1">
        <v>220020</v>
      </c>
      <c r="B1938" s="1">
        <v>7374401066</v>
      </c>
      <c r="C1938" s="1">
        <v>12</v>
      </c>
      <c r="D1938" s="1" t="s">
        <v>381</v>
      </c>
      <c r="E1938" t="s">
        <v>14786</v>
      </c>
      <c r="F1938" s="1">
        <v>692830</v>
      </c>
      <c r="G1938" s="1">
        <v>7374462301</v>
      </c>
      <c r="H1938" s="1">
        <v>6</v>
      </c>
      <c r="I1938" s="1" t="s">
        <v>938</v>
      </c>
      <c r="J1938" t="s">
        <v>14787</v>
      </c>
    </row>
    <row r="1939" spans="1:10">
      <c r="A1939" s="1">
        <v>695940</v>
      </c>
      <c r="B1939" s="1">
        <v>7374401050</v>
      </c>
      <c r="C1939" s="1">
        <v>12</v>
      </c>
      <c r="D1939" s="1" t="s">
        <v>1973</v>
      </c>
      <c r="E1939" t="s">
        <v>14788</v>
      </c>
      <c r="F1939" s="1">
        <v>692848</v>
      </c>
      <c r="G1939" s="1">
        <v>7374462201</v>
      </c>
      <c r="H1939" s="1">
        <v>6</v>
      </c>
      <c r="I1939" s="1" t="s">
        <v>938</v>
      </c>
      <c r="J1939" t="s">
        <v>14789</v>
      </c>
    </row>
    <row r="1940" spans="1:10">
      <c r="A1940" s="1">
        <v>594366</v>
      </c>
      <c r="B1940" s="1">
        <v>4470002348</v>
      </c>
      <c r="C1940" s="1">
        <v>10</v>
      </c>
      <c r="D1940" s="1" t="s">
        <v>958</v>
      </c>
      <c r="E1940" t="s">
        <v>14790</v>
      </c>
      <c r="F1940" s="1">
        <v>675900</v>
      </c>
      <c r="G1940" s="1">
        <v>7374401830</v>
      </c>
      <c r="H1940" s="1">
        <v>8</v>
      </c>
      <c r="I1940" s="1" t="s">
        <v>865</v>
      </c>
      <c r="J1940" t="s">
        <v>14791</v>
      </c>
    </row>
    <row r="1941" spans="1:10">
      <c r="A1941" s="1">
        <v>222570</v>
      </c>
      <c r="B1941" s="1">
        <v>4470002347</v>
      </c>
      <c r="C1941" s="1">
        <v>10</v>
      </c>
      <c r="D1941" s="1" t="s">
        <v>958</v>
      </c>
      <c r="E1941" t="s">
        <v>14792</v>
      </c>
      <c r="F1941" s="1">
        <v>696831</v>
      </c>
      <c r="G1941" s="1">
        <v>7374401820</v>
      </c>
      <c r="H1941" s="1">
        <v>8</v>
      </c>
      <c r="I1941" s="1" t="s">
        <v>865</v>
      </c>
      <c r="J1941" t="s">
        <v>14793</v>
      </c>
    </row>
    <row r="1942" spans="1:10">
      <c r="A1942" s="1">
        <v>185959</v>
      </c>
      <c r="B1942" s="1">
        <v>4470002345</v>
      </c>
      <c r="C1942" s="1">
        <v>10</v>
      </c>
      <c r="D1942" s="1" t="s">
        <v>958</v>
      </c>
      <c r="E1942" t="s">
        <v>14794</v>
      </c>
      <c r="F1942" s="1">
        <v>390930</v>
      </c>
      <c r="G1942" s="1">
        <v>7374401870</v>
      </c>
      <c r="H1942" s="1">
        <v>8</v>
      </c>
      <c r="I1942" s="1" t="s">
        <v>9100</v>
      </c>
      <c r="J1942" t="s">
        <v>14795</v>
      </c>
    </row>
    <row r="1943" spans="1:10" ht="15.75">
      <c r="A1943" s="4" t="s">
        <v>14772</v>
      </c>
      <c r="B1943" s="2"/>
      <c r="C1943" s="2"/>
      <c r="D1943" s="2"/>
      <c r="E1943" s="3"/>
      <c r="F1943" s="1">
        <v>471359</v>
      </c>
      <c r="G1943" s="1">
        <v>7374401879</v>
      </c>
      <c r="H1943" s="1">
        <v>12</v>
      </c>
      <c r="I1943" s="1" t="s">
        <v>938</v>
      </c>
      <c r="J1943" t="s">
        <v>14796</v>
      </c>
    </row>
    <row r="1944" spans="1:10">
      <c r="A1944" s="2" t="s">
        <v>0</v>
      </c>
      <c r="B1944" s="2" t="s">
        <v>1</v>
      </c>
      <c r="C1944" s="2" t="s">
        <v>2</v>
      </c>
      <c r="D1944" s="2" t="s">
        <v>3</v>
      </c>
      <c r="E1944" s="3" t="s">
        <v>4</v>
      </c>
      <c r="F1944" s="1">
        <v>544395</v>
      </c>
      <c r="G1944" s="1">
        <v>7374401865</v>
      </c>
      <c r="H1944" s="1">
        <v>12</v>
      </c>
      <c r="I1944" s="1" t="s">
        <v>938</v>
      </c>
      <c r="J1944" t="s">
        <v>14797</v>
      </c>
    </row>
    <row r="1945" spans="1:10">
      <c r="A1945" s="1">
        <v>449090</v>
      </c>
      <c r="B1945" s="1">
        <v>7590133371</v>
      </c>
      <c r="C1945" s="1">
        <v>8</v>
      </c>
      <c r="D1945" s="1" t="s">
        <v>553</v>
      </c>
      <c r="E1945" t="s">
        <v>14798</v>
      </c>
      <c r="F1945" s="1">
        <v>828871</v>
      </c>
      <c r="G1945" s="1">
        <v>7374462501</v>
      </c>
      <c r="H1945" s="1">
        <v>6</v>
      </c>
      <c r="I1945" s="1" t="s">
        <v>381</v>
      </c>
      <c r="J1945" t="s">
        <v>14799</v>
      </c>
    </row>
    <row r="1946" spans="1:10">
      <c r="A1946" s="1">
        <v>268409</v>
      </c>
      <c r="B1946" s="1">
        <v>7590133372</v>
      </c>
      <c r="C1946" s="1">
        <v>8</v>
      </c>
      <c r="D1946" s="1" t="s">
        <v>553</v>
      </c>
      <c r="E1946" t="s">
        <v>14800</v>
      </c>
      <c r="F1946" s="1">
        <v>674820</v>
      </c>
      <c r="G1946" s="1">
        <v>7057500350</v>
      </c>
      <c r="H1946" s="1">
        <v>16</v>
      </c>
      <c r="I1946" s="1" t="s">
        <v>489</v>
      </c>
      <c r="J1946" t="s">
        <v>14801</v>
      </c>
    </row>
    <row r="1947" spans="1:10">
      <c r="A1947" s="1">
        <v>650861</v>
      </c>
      <c r="B1947" s="1">
        <v>78143955624</v>
      </c>
      <c r="C1947" s="1">
        <v>6</v>
      </c>
      <c r="D1947" s="1" t="s">
        <v>439</v>
      </c>
      <c r="E1947" t="s">
        <v>14802</v>
      </c>
      <c r="F1947" s="1">
        <v>685149</v>
      </c>
      <c r="G1947" s="1">
        <v>7057555040</v>
      </c>
      <c r="H1947" s="1">
        <v>6</v>
      </c>
      <c r="I1947" s="1" t="s">
        <v>971</v>
      </c>
      <c r="J1947" t="s">
        <v>14801</v>
      </c>
    </row>
    <row r="1948" spans="1:10">
      <c r="A1948" s="1">
        <v>652594</v>
      </c>
      <c r="B1948" s="1">
        <v>78143915624</v>
      </c>
      <c r="C1948" s="1">
        <v>6</v>
      </c>
      <c r="D1948" s="1" t="s">
        <v>439</v>
      </c>
      <c r="E1948" t="s">
        <v>14803</v>
      </c>
      <c r="F1948" s="1">
        <v>674598</v>
      </c>
      <c r="G1948" s="1">
        <v>7057500358</v>
      </c>
      <c r="H1948" s="1">
        <v>16</v>
      </c>
      <c r="I1948" s="1" t="s">
        <v>489</v>
      </c>
      <c r="J1948" t="s">
        <v>14804</v>
      </c>
    </row>
    <row r="1949" spans="1:10">
      <c r="A1949" s="1">
        <v>894972</v>
      </c>
      <c r="B1949" s="1">
        <v>2370000446</v>
      </c>
      <c r="C1949" s="1">
        <v>12</v>
      </c>
      <c r="D1949" s="1" t="s">
        <v>363</v>
      </c>
      <c r="E1949" t="s">
        <v>14805</v>
      </c>
      <c r="F1949" s="1">
        <v>690099</v>
      </c>
      <c r="G1949" s="1">
        <v>7057555840</v>
      </c>
      <c r="H1949" s="1">
        <v>6</v>
      </c>
      <c r="I1949" s="1" t="s">
        <v>971</v>
      </c>
      <c r="J1949" t="s">
        <v>14804</v>
      </c>
    </row>
    <row r="1950" spans="1:10">
      <c r="A1950" s="1">
        <v>260224</v>
      </c>
      <c r="B1950" s="1">
        <v>1590014035</v>
      </c>
      <c r="C1950" s="1">
        <v>12</v>
      </c>
      <c r="D1950" s="1" t="s">
        <v>13603</v>
      </c>
      <c r="E1950" t="s">
        <v>14806</v>
      </c>
      <c r="F1950" s="1">
        <v>691279</v>
      </c>
      <c r="G1950" s="1">
        <v>7057557732</v>
      </c>
      <c r="H1950" s="1">
        <v>6</v>
      </c>
      <c r="I1950" s="1" t="s">
        <v>954</v>
      </c>
      <c r="J1950" t="s">
        <v>14807</v>
      </c>
    </row>
    <row r="1951" spans="1:10">
      <c r="A1951" s="1">
        <v>292441</v>
      </c>
      <c r="B1951" s="1">
        <v>1590014048</v>
      </c>
      <c r="C1951" s="1">
        <v>12</v>
      </c>
      <c r="D1951" s="1" t="s">
        <v>13603</v>
      </c>
      <c r="E1951" t="s">
        <v>14808</v>
      </c>
      <c r="F1951" s="1">
        <v>674762</v>
      </c>
      <c r="G1951" s="1">
        <v>7057500351</v>
      </c>
      <c r="H1951" s="1">
        <v>16</v>
      </c>
      <c r="I1951" s="1" t="s">
        <v>489</v>
      </c>
      <c r="J1951" t="s">
        <v>14809</v>
      </c>
    </row>
    <row r="1952" spans="1:10">
      <c r="A1952" s="1">
        <v>24455</v>
      </c>
      <c r="B1952" s="1">
        <v>1590014054</v>
      </c>
      <c r="C1952" s="1">
        <v>8</v>
      </c>
      <c r="D1952" s="1" t="s">
        <v>4723</v>
      </c>
      <c r="E1952" t="s">
        <v>14808</v>
      </c>
      <c r="F1952" s="1">
        <v>674622</v>
      </c>
      <c r="G1952" s="1">
        <v>7057500379</v>
      </c>
      <c r="H1952" s="1">
        <v>16</v>
      </c>
      <c r="I1952" s="1" t="s">
        <v>399</v>
      </c>
      <c r="J1952" t="s">
        <v>14810</v>
      </c>
    </row>
    <row r="1953" spans="1:10">
      <c r="A1953" s="1">
        <v>113084</v>
      </c>
      <c r="B1953" s="1">
        <v>1590014037</v>
      </c>
      <c r="C1953" s="1">
        <v>12</v>
      </c>
      <c r="D1953" s="1" t="s">
        <v>13603</v>
      </c>
      <c r="E1953" t="s">
        <v>14811</v>
      </c>
      <c r="F1953" s="1">
        <v>689778</v>
      </c>
      <c r="G1953" s="1">
        <v>7057555140</v>
      </c>
      <c r="H1953" s="1">
        <v>6</v>
      </c>
      <c r="I1953" s="1" t="s">
        <v>971</v>
      </c>
      <c r="J1953" t="s">
        <v>14812</v>
      </c>
    </row>
    <row r="1954" spans="1:10">
      <c r="A1954" s="1">
        <v>346957</v>
      </c>
      <c r="B1954" s="1">
        <v>7346190639</v>
      </c>
      <c r="C1954" s="1">
        <v>24</v>
      </c>
      <c r="D1954" s="1" t="s">
        <v>404</v>
      </c>
      <c r="E1954" t="s">
        <v>14813</v>
      </c>
      <c r="F1954" s="1">
        <v>490250</v>
      </c>
      <c r="G1954" s="1">
        <v>7057500342</v>
      </c>
      <c r="H1954" s="1">
        <v>16</v>
      </c>
      <c r="I1954" s="1" t="s">
        <v>546</v>
      </c>
      <c r="J1954" t="s">
        <v>14814</v>
      </c>
    </row>
    <row r="1955" spans="1:10">
      <c r="A1955" s="1">
        <v>699017</v>
      </c>
      <c r="B1955" s="1">
        <v>7346102109</v>
      </c>
      <c r="C1955" s="1">
        <v>12</v>
      </c>
      <c r="D1955" s="1" t="s">
        <v>347</v>
      </c>
      <c r="E1955" t="s">
        <v>14815</v>
      </c>
      <c r="F1955" s="1">
        <v>681742</v>
      </c>
      <c r="G1955" s="1">
        <v>7274500107</v>
      </c>
      <c r="H1955" s="1">
        <v>18</v>
      </c>
      <c r="I1955" s="1" t="s">
        <v>347</v>
      </c>
      <c r="J1955" t="s">
        <v>14816</v>
      </c>
    </row>
    <row r="1956" spans="1:10">
      <c r="A1956" s="1">
        <v>699009</v>
      </c>
      <c r="B1956" s="1">
        <v>7346128501</v>
      </c>
      <c r="C1956" s="1">
        <v>12</v>
      </c>
      <c r="D1956" s="1" t="s">
        <v>347</v>
      </c>
      <c r="E1956" t="s">
        <v>14817</v>
      </c>
      <c r="F1956" s="1">
        <v>165597</v>
      </c>
      <c r="G1956" s="1">
        <v>7274580481</v>
      </c>
      <c r="H1956" s="1">
        <v>8</v>
      </c>
      <c r="I1956" s="1" t="s">
        <v>637</v>
      </c>
      <c r="J1956" t="s">
        <v>14818</v>
      </c>
    </row>
    <row r="1957" spans="1:10">
      <c r="A1957" s="1">
        <v>555144</v>
      </c>
      <c r="B1957" s="1">
        <v>7346190577</v>
      </c>
      <c r="C1957" s="1">
        <v>12</v>
      </c>
      <c r="D1957" s="1" t="s">
        <v>394</v>
      </c>
      <c r="E1957" t="s">
        <v>14819</v>
      </c>
      <c r="F1957" s="1">
        <v>467811</v>
      </c>
      <c r="G1957" s="1">
        <v>7274580403</v>
      </c>
      <c r="H1957" s="1">
        <v>8</v>
      </c>
      <c r="I1957" s="1" t="s">
        <v>375</v>
      </c>
      <c r="J1957" t="s">
        <v>14820</v>
      </c>
    </row>
    <row r="1958" spans="1:10">
      <c r="A1958" s="1">
        <v>698985</v>
      </c>
      <c r="B1958" s="1">
        <v>7346102108</v>
      </c>
      <c r="C1958" s="1">
        <v>12</v>
      </c>
      <c r="D1958" s="1" t="s">
        <v>347</v>
      </c>
      <c r="E1958" t="s">
        <v>14821</v>
      </c>
      <c r="F1958" s="1">
        <v>728188</v>
      </c>
      <c r="G1958" s="1">
        <v>7274580451</v>
      </c>
      <c r="H1958" s="1">
        <v>8</v>
      </c>
      <c r="I1958" s="1" t="s">
        <v>637</v>
      </c>
      <c r="J1958" t="s">
        <v>14822</v>
      </c>
    </row>
    <row r="1959" spans="1:10">
      <c r="A1959" s="1">
        <v>204768</v>
      </c>
      <c r="B1959" s="1">
        <v>7346190638</v>
      </c>
      <c r="C1959" s="1">
        <v>24</v>
      </c>
      <c r="D1959" s="1" t="s">
        <v>404</v>
      </c>
      <c r="E1959" t="s">
        <v>14823</v>
      </c>
      <c r="F1959" s="1">
        <v>319012</v>
      </c>
      <c r="G1959" s="1">
        <v>7701316220</v>
      </c>
      <c r="H1959" s="1">
        <v>8</v>
      </c>
      <c r="I1959" s="1" t="s">
        <v>13543</v>
      </c>
      <c r="J1959" t="s">
        <v>14824</v>
      </c>
    </row>
    <row r="1960" spans="1:10">
      <c r="A1960" s="1">
        <v>559153</v>
      </c>
      <c r="B1960" s="1">
        <v>7346190566</v>
      </c>
      <c r="C1960" s="1">
        <v>12</v>
      </c>
      <c r="D1960" s="1" t="s">
        <v>489</v>
      </c>
      <c r="E1960" t="s">
        <v>14825</v>
      </c>
      <c r="F1960" s="1">
        <v>292219</v>
      </c>
      <c r="G1960" s="1">
        <v>7701316237</v>
      </c>
      <c r="H1960" s="1">
        <v>8</v>
      </c>
      <c r="I1960" s="1" t="s">
        <v>13543</v>
      </c>
      <c r="J1960" t="s">
        <v>14826</v>
      </c>
    </row>
    <row r="1961" spans="1:10">
      <c r="A1961" s="1">
        <v>155440</v>
      </c>
      <c r="B1961" s="1">
        <v>7346190567</v>
      </c>
      <c r="C1961" s="1">
        <v>12</v>
      </c>
      <c r="D1961" s="1" t="s">
        <v>489</v>
      </c>
      <c r="E1961" t="s">
        <v>14827</v>
      </c>
      <c r="F1961" s="1">
        <v>349175</v>
      </c>
      <c r="G1961" s="1">
        <v>7701316805</v>
      </c>
      <c r="H1961" s="1">
        <v>12</v>
      </c>
      <c r="I1961" s="1" t="s">
        <v>1654</v>
      </c>
      <c r="J1961" t="s">
        <v>14828</v>
      </c>
    </row>
    <row r="1962" spans="1:10">
      <c r="A1962" s="1">
        <v>728147</v>
      </c>
      <c r="B1962" s="1">
        <v>3939251000</v>
      </c>
      <c r="C1962" s="1">
        <v>12</v>
      </c>
      <c r="D1962" s="1" t="s">
        <v>14829</v>
      </c>
      <c r="E1962" t="s">
        <v>14830</v>
      </c>
      <c r="F1962" s="1">
        <v>502799</v>
      </c>
      <c r="G1962" s="1">
        <v>7701316842</v>
      </c>
      <c r="H1962" s="1">
        <v>12</v>
      </c>
      <c r="I1962" s="1" t="s">
        <v>375</v>
      </c>
      <c r="J1962" t="s">
        <v>14831</v>
      </c>
    </row>
    <row r="1963" spans="1:10">
      <c r="A1963" s="1">
        <v>344390</v>
      </c>
      <c r="B1963" s="1">
        <v>39392660000</v>
      </c>
      <c r="C1963" s="1">
        <v>12</v>
      </c>
      <c r="D1963" s="1" t="s">
        <v>394</v>
      </c>
      <c r="E1963" t="s">
        <v>14832</v>
      </c>
      <c r="F1963" s="1">
        <v>674713</v>
      </c>
      <c r="G1963" s="1">
        <v>7057500377</v>
      </c>
      <c r="H1963" s="1">
        <v>16</v>
      </c>
      <c r="I1963" s="1" t="s">
        <v>546</v>
      </c>
      <c r="J1963" t="s">
        <v>14833</v>
      </c>
    </row>
    <row r="1964" spans="1:10">
      <c r="A1964" s="1">
        <v>375378</v>
      </c>
      <c r="B1964" s="1">
        <v>7590133150</v>
      </c>
      <c r="C1964" s="1">
        <v>10</v>
      </c>
      <c r="D1964" s="1" t="s">
        <v>938</v>
      </c>
      <c r="E1964" t="s">
        <v>14834</v>
      </c>
      <c r="F1964" s="1">
        <v>691915</v>
      </c>
      <c r="G1964" s="1">
        <v>7106804126</v>
      </c>
      <c r="H1964" s="1">
        <v>12</v>
      </c>
      <c r="I1964" s="1" t="s">
        <v>14835</v>
      </c>
      <c r="J1964" t="s">
        <v>14836</v>
      </c>
    </row>
    <row r="1965" spans="1:10">
      <c r="A1965" s="1">
        <v>666578</v>
      </c>
      <c r="B1965" s="1">
        <v>7590133731</v>
      </c>
      <c r="C1965" s="1">
        <v>12</v>
      </c>
      <c r="D1965" s="1" t="s">
        <v>489</v>
      </c>
      <c r="E1965" t="s">
        <v>14837</v>
      </c>
      <c r="F1965" s="1">
        <v>696310</v>
      </c>
      <c r="G1965" s="1">
        <v>7106846145</v>
      </c>
      <c r="H1965" s="1">
        <v>8</v>
      </c>
      <c r="I1965" s="1" t="s">
        <v>375</v>
      </c>
      <c r="J1965" t="s">
        <v>14838</v>
      </c>
    </row>
    <row r="1966" spans="1:10">
      <c r="A1966" s="1">
        <v>688085</v>
      </c>
      <c r="B1966" s="1">
        <v>7590133210</v>
      </c>
      <c r="C1966" s="1">
        <v>12</v>
      </c>
      <c r="D1966" s="1" t="s">
        <v>1366</v>
      </c>
      <c r="E1966" t="s">
        <v>14839</v>
      </c>
      <c r="F1966" s="1">
        <v>696344</v>
      </c>
      <c r="G1966" s="1">
        <v>7106841012</v>
      </c>
      <c r="H1966" s="1">
        <v>12</v>
      </c>
      <c r="I1966" s="1" t="s">
        <v>14840</v>
      </c>
      <c r="J1966" t="s">
        <v>14841</v>
      </c>
    </row>
    <row r="1967" spans="1:10">
      <c r="A1967" s="1">
        <v>666909</v>
      </c>
      <c r="B1967" s="1">
        <v>7590133732</v>
      </c>
      <c r="C1967" s="1">
        <v>12</v>
      </c>
      <c r="D1967" s="1" t="s">
        <v>489</v>
      </c>
      <c r="E1967" t="s">
        <v>14842</v>
      </c>
      <c r="F1967" s="1">
        <v>462812</v>
      </c>
      <c r="G1967" s="1">
        <v>7106811021</v>
      </c>
      <c r="H1967" s="1">
        <v>12</v>
      </c>
      <c r="I1967" s="1" t="s">
        <v>546</v>
      </c>
      <c r="J1967" t="s">
        <v>14843</v>
      </c>
    </row>
    <row r="1968" spans="1:10">
      <c r="A1968" s="1">
        <v>688077</v>
      </c>
      <c r="B1968" s="1">
        <v>7590133212</v>
      </c>
      <c r="C1968" s="1">
        <v>12</v>
      </c>
      <c r="D1968" s="1" t="s">
        <v>1366</v>
      </c>
      <c r="E1968" t="s">
        <v>14844</v>
      </c>
      <c r="F1968" s="1">
        <v>691881</v>
      </c>
      <c r="G1968" s="1">
        <v>7106801126</v>
      </c>
      <c r="H1968" s="1">
        <v>12</v>
      </c>
      <c r="I1968" s="1" t="s">
        <v>381</v>
      </c>
      <c r="J1968" t="s">
        <v>14845</v>
      </c>
    </row>
    <row r="1969" spans="1:10">
      <c r="A1969" s="1">
        <v>688101</v>
      </c>
      <c r="B1969" s="1">
        <v>7590133211</v>
      </c>
      <c r="C1969" s="1">
        <v>12</v>
      </c>
      <c r="D1969" s="1" t="s">
        <v>1366</v>
      </c>
      <c r="E1969" t="s">
        <v>14846</v>
      </c>
      <c r="F1969" s="1">
        <v>464776</v>
      </c>
      <c r="G1969" s="1">
        <v>2370001450</v>
      </c>
      <c r="H1969" s="1">
        <v>8</v>
      </c>
      <c r="I1969" s="1" t="s">
        <v>637</v>
      </c>
      <c r="J1969" t="s">
        <v>14847</v>
      </c>
    </row>
    <row r="1970" spans="1:10" ht="15.75">
      <c r="A1970" s="4" t="s">
        <v>14772</v>
      </c>
      <c r="B1970" s="2"/>
      <c r="C1970" s="2"/>
      <c r="D1970" s="2"/>
      <c r="E1970" s="3"/>
      <c r="F1970" s="4" t="s">
        <v>14848</v>
      </c>
      <c r="G1970" s="2"/>
      <c r="H1970" s="2"/>
      <c r="I1970" s="2"/>
      <c r="J1970" s="3"/>
    </row>
    <row r="1971" spans="1:10">
      <c r="A1971" s="2" t="s">
        <v>0</v>
      </c>
      <c r="B1971" s="2" t="s">
        <v>1</v>
      </c>
      <c r="C1971" s="2" t="s">
        <v>2</v>
      </c>
      <c r="D1971" s="2" t="s">
        <v>3</v>
      </c>
      <c r="E1971" s="3" t="s">
        <v>4</v>
      </c>
      <c r="F1971" s="2" t="s">
        <v>0</v>
      </c>
      <c r="G1971" s="2" t="s">
        <v>1</v>
      </c>
      <c r="H1971" s="2" t="s">
        <v>2</v>
      </c>
      <c r="I1971" s="2" t="s">
        <v>3</v>
      </c>
      <c r="J1971" s="3" t="s">
        <v>4</v>
      </c>
    </row>
    <row r="1972" spans="1:10">
      <c r="A1972" s="1">
        <v>26294</v>
      </c>
      <c r="B1972" s="1">
        <v>2370001451</v>
      </c>
      <c r="C1972" s="1">
        <v>8</v>
      </c>
      <c r="D1972" s="1" t="s">
        <v>1355</v>
      </c>
      <c r="E1972" t="s">
        <v>14849</v>
      </c>
      <c r="F1972" s="1">
        <v>696856</v>
      </c>
      <c r="G1972" s="1">
        <v>5010033724</v>
      </c>
      <c r="H1972" s="1">
        <v>12</v>
      </c>
      <c r="I1972" s="1" t="s">
        <v>381</v>
      </c>
      <c r="J1972" t="s">
        <v>14850</v>
      </c>
    </row>
    <row r="1973" spans="1:10">
      <c r="A1973" s="1">
        <v>166355</v>
      </c>
      <c r="B1973" s="1">
        <v>2370001449</v>
      </c>
      <c r="C1973" s="1">
        <v>8</v>
      </c>
      <c r="D1973" s="1" t="s">
        <v>3271</v>
      </c>
      <c r="E1973" t="s">
        <v>14851</v>
      </c>
      <c r="F1973" s="1">
        <v>684456</v>
      </c>
      <c r="G1973" s="1">
        <v>4437519018</v>
      </c>
      <c r="H1973" s="1">
        <v>1</v>
      </c>
      <c r="I1973" s="1" t="s">
        <v>6760</v>
      </c>
      <c r="J1973" t="s">
        <v>14852</v>
      </c>
    </row>
    <row r="1974" spans="1:10">
      <c r="A1974" s="1">
        <v>323550</v>
      </c>
      <c r="B1974" s="1">
        <v>2370001287</v>
      </c>
      <c r="C1974" s="1">
        <v>8</v>
      </c>
      <c r="D1974" s="1" t="s">
        <v>489</v>
      </c>
      <c r="E1974" t="s">
        <v>14853</v>
      </c>
      <c r="F1974" s="1">
        <v>728394</v>
      </c>
      <c r="G1974" s="1">
        <v>4437516639</v>
      </c>
      <c r="H1974" s="1">
        <v>8</v>
      </c>
      <c r="I1974" s="1" t="s">
        <v>4658</v>
      </c>
      <c r="J1974" t="s">
        <v>14854</v>
      </c>
    </row>
    <row r="1975" spans="1:10">
      <c r="A1975" s="1">
        <v>175273</v>
      </c>
      <c r="B1975" s="1">
        <v>2370001285</v>
      </c>
      <c r="C1975" s="1">
        <v>8</v>
      </c>
      <c r="D1975" s="1" t="s">
        <v>1355</v>
      </c>
      <c r="E1975" t="s">
        <v>14853</v>
      </c>
      <c r="F1975" s="1">
        <v>652149</v>
      </c>
      <c r="G1975" s="1">
        <v>70463996002</v>
      </c>
      <c r="H1975" s="1">
        <v>12</v>
      </c>
      <c r="I1975" s="1" t="s">
        <v>860</v>
      </c>
      <c r="J1975" t="s">
        <v>14855</v>
      </c>
    </row>
    <row r="1976" spans="1:10">
      <c r="A1976" s="1">
        <v>598938</v>
      </c>
      <c r="B1976" s="1">
        <v>2370001286</v>
      </c>
      <c r="C1976" s="1">
        <v>8</v>
      </c>
      <c r="D1976" s="1" t="s">
        <v>489</v>
      </c>
      <c r="E1976" t="s">
        <v>14856</v>
      </c>
      <c r="F1976" s="1">
        <v>653071</v>
      </c>
      <c r="G1976" s="1">
        <v>70463998002</v>
      </c>
      <c r="H1976" s="1">
        <v>12</v>
      </c>
      <c r="I1976" s="1" t="s">
        <v>860</v>
      </c>
      <c r="J1976" t="s">
        <v>14857</v>
      </c>
    </row>
    <row r="1977" spans="1:10">
      <c r="A1977" s="1">
        <v>220632</v>
      </c>
      <c r="B1977" s="1">
        <v>2370001284</v>
      </c>
      <c r="C1977" s="1">
        <v>8</v>
      </c>
      <c r="D1977" s="1" t="s">
        <v>1355</v>
      </c>
      <c r="E1977" t="s">
        <v>14856</v>
      </c>
      <c r="F1977" s="1">
        <v>176479</v>
      </c>
      <c r="G1977" s="1">
        <v>7982100084</v>
      </c>
      <c r="H1977" s="1">
        <v>12</v>
      </c>
      <c r="I1977" s="1" t="s">
        <v>860</v>
      </c>
      <c r="J1977" t="s">
        <v>14858</v>
      </c>
    </row>
    <row r="1978" spans="1:10">
      <c r="A1978" s="1">
        <v>666362</v>
      </c>
      <c r="B1978" s="1">
        <v>2370000069</v>
      </c>
      <c r="C1978" s="1">
        <v>8</v>
      </c>
      <c r="D1978" s="1" t="s">
        <v>489</v>
      </c>
      <c r="E1978" t="s">
        <v>14859</v>
      </c>
      <c r="F1978" s="1">
        <v>685685</v>
      </c>
      <c r="G1978" s="1">
        <v>7982100085</v>
      </c>
      <c r="H1978" s="1">
        <v>12</v>
      </c>
      <c r="I1978" s="1" t="s">
        <v>860</v>
      </c>
      <c r="J1978" t="s">
        <v>14860</v>
      </c>
    </row>
    <row r="1979" spans="1:10">
      <c r="A1979" s="1">
        <v>520619</v>
      </c>
      <c r="B1979" s="1">
        <v>2370000447</v>
      </c>
      <c r="C1979" s="1">
        <v>8</v>
      </c>
      <c r="D1979" s="1" t="s">
        <v>363</v>
      </c>
      <c r="E1979" t="s">
        <v>14861</v>
      </c>
      <c r="F1979" s="1">
        <v>728253</v>
      </c>
      <c r="G1979" s="1">
        <v>3939250000</v>
      </c>
      <c r="H1979" s="1">
        <v>12</v>
      </c>
      <c r="I1979" s="1" t="s">
        <v>14829</v>
      </c>
      <c r="J1979" t="s">
        <v>14862</v>
      </c>
    </row>
    <row r="1980" spans="1:10">
      <c r="A1980" s="1">
        <v>873042</v>
      </c>
      <c r="B1980" s="1">
        <v>2370000446</v>
      </c>
      <c r="C1980" s="1">
        <v>8</v>
      </c>
      <c r="D1980" s="1" t="s">
        <v>363</v>
      </c>
      <c r="E1980" t="s">
        <v>14863</v>
      </c>
      <c r="F1980" s="1">
        <v>533323</v>
      </c>
      <c r="G1980" s="1">
        <v>7162700705</v>
      </c>
      <c r="H1980" s="1">
        <v>1</v>
      </c>
      <c r="I1980" s="1" t="s">
        <v>11997</v>
      </c>
      <c r="J1980" t="s">
        <v>14864</v>
      </c>
    </row>
    <row r="1981" spans="1:10">
      <c r="A1981" s="1">
        <v>188326</v>
      </c>
      <c r="B1981" s="1">
        <v>2370099610</v>
      </c>
      <c r="C1981" s="1">
        <v>8</v>
      </c>
      <c r="D1981" s="1" t="s">
        <v>489</v>
      </c>
      <c r="E1981" t="s">
        <v>14865</v>
      </c>
      <c r="F1981" s="1">
        <v>460972</v>
      </c>
      <c r="G1981" s="1">
        <v>7590115550</v>
      </c>
      <c r="H1981" s="1">
        <v>6</v>
      </c>
      <c r="I1981" s="1" t="s">
        <v>1384</v>
      </c>
      <c r="J1981" t="s">
        <v>14866</v>
      </c>
    </row>
    <row r="1982" spans="1:10">
      <c r="A1982" s="1">
        <v>283739</v>
      </c>
      <c r="B1982" s="1">
        <v>2370099613</v>
      </c>
      <c r="C1982" s="1">
        <v>8</v>
      </c>
      <c r="D1982" s="1" t="s">
        <v>489</v>
      </c>
      <c r="E1982" t="s">
        <v>14867</v>
      </c>
      <c r="F1982" s="1">
        <v>728212</v>
      </c>
      <c r="G1982" s="1">
        <v>7590167511</v>
      </c>
      <c r="H1982" s="1">
        <v>12</v>
      </c>
      <c r="I1982" s="1" t="s">
        <v>954</v>
      </c>
      <c r="J1982" t="s">
        <v>14868</v>
      </c>
    </row>
    <row r="1983" spans="1:10">
      <c r="A1983" s="1">
        <v>595611</v>
      </c>
      <c r="B1983" s="1">
        <v>2370004763</v>
      </c>
      <c r="C1983" s="1">
        <v>8</v>
      </c>
      <c r="D1983" s="1" t="s">
        <v>347</v>
      </c>
      <c r="E1983" t="s">
        <v>14869</v>
      </c>
      <c r="F1983" s="1">
        <v>687640</v>
      </c>
      <c r="G1983" s="1">
        <v>2032300512</v>
      </c>
      <c r="H1983" s="1">
        <v>15</v>
      </c>
      <c r="I1983" s="1" t="s">
        <v>860</v>
      </c>
      <c r="J1983" t="s">
        <v>14870</v>
      </c>
    </row>
    <row r="1984" spans="1:10">
      <c r="A1984" s="1">
        <v>327734</v>
      </c>
      <c r="B1984" s="1">
        <v>2370004024</v>
      </c>
      <c r="C1984" s="1">
        <v>8</v>
      </c>
      <c r="D1984" s="1" t="s">
        <v>489</v>
      </c>
      <c r="E1984" t="s">
        <v>14871</v>
      </c>
      <c r="F1984" s="1">
        <v>686675</v>
      </c>
      <c r="G1984" s="1">
        <v>2032300516</v>
      </c>
      <c r="H1984" s="1">
        <v>8</v>
      </c>
      <c r="I1984" s="1" t="s">
        <v>4658</v>
      </c>
      <c r="J1984" t="s">
        <v>14872</v>
      </c>
    </row>
    <row r="1985" spans="1:10">
      <c r="A1985" s="1">
        <v>67983</v>
      </c>
      <c r="B1985" s="1">
        <v>2370000165</v>
      </c>
      <c r="C1985" s="1">
        <v>8</v>
      </c>
      <c r="D1985" s="1" t="s">
        <v>489</v>
      </c>
      <c r="E1985" t="s">
        <v>14873</v>
      </c>
      <c r="F1985" s="1">
        <v>654756</v>
      </c>
      <c r="G1985" s="1">
        <v>20178000000</v>
      </c>
      <c r="H1985" s="1">
        <v>1</v>
      </c>
      <c r="I1985" s="1" t="s">
        <v>6597</v>
      </c>
      <c r="J1985" t="s">
        <v>14874</v>
      </c>
    </row>
    <row r="1986" spans="1:10">
      <c r="A1986" s="1">
        <v>510776</v>
      </c>
      <c r="B1986" s="1">
        <v>2370001411</v>
      </c>
      <c r="C1986" s="1">
        <v>8</v>
      </c>
      <c r="D1986" s="1" t="s">
        <v>1313</v>
      </c>
      <c r="E1986" t="s">
        <v>14875</v>
      </c>
      <c r="F1986" s="1">
        <v>493346</v>
      </c>
      <c r="G1986" s="1">
        <v>7982100045</v>
      </c>
      <c r="H1986" s="1">
        <v>6</v>
      </c>
      <c r="I1986" s="1" t="s">
        <v>4658</v>
      </c>
      <c r="J1986" t="s">
        <v>14876</v>
      </c>
    </row>
    <row r="1987" spans="1:10">
      <c r="A1987" s="1">
        <v>787697</v>
      </c>
      <c r="B1987" s="1">
        <v>2370000591</v>
      </c>
      <c r="C1987" s="1">
        <v>8</v>
      </c>
      <c r="D1987" s="1" t="s">
        <v>703</v>
      </c>
      <c r="E1987" t="s">
        <v>14877</v>
      </c>
      <c r="F1987" s="1">
        <v>212365</v>
      </c>
      <c r="G1987" s="1">
        <v>7982100075</v>
      </c>
      <c r="H1987" s="1">
        <v>12</v>
      </c>
      <c r="I1987" s="1" t="s">
        <v>860</v>
      </c>
      <c r="J1987" t="s">
        <v>14878</v>
      </c>
    </row>
    <row r="1988" spans="1:10">
      <c r="A1988" s="1">
        <v>120683</v>
      </c>
      <c r="B1988" s="1">
        <v>2370002360</v>
      </c>
      <c r="C1988" s="1">
        <v>8</v>
      </c>
      <c r="D1988" s="1" t="s">
        <v>489</v>
      </c>
      <c r="E1988" t="s">
        <v>14879</v>
      </c>
      <c r="F1988" s="1">
        <v>655886</v>
      </c>
      <c r="G1988" s="1">
        <v>3666906178</v>
      </c>
      <c r="H1988" s="1">
        <v>10</v>
      </c>
      <c r="I1988" s="1" t="s">
        <v>1654</v>
      </c>
      <c r="J1988" t="s">
        <v>14880</v>
      </c>
    </row>
    <row r="1989" spans="1:10">
      <c r="A1989" s="1">
        <v>865345</v>
      </c>
      <c r="B1989" s="1">
        <v>2370001405</v>
      </c>
      <c r="C1989" s="1">
        <v>8</v>
      </c>
      <c r="D1989" s="1" t="s">
        <v>1355</v>
      </c>
      <c r="E1989" t="s">
        <v>14881</v>
      </c>
      <c r="F1989" s="1">
        <v>728220</v>
      </c>
      <c r="G1989" s="1">
        <v>3666906312</v>
      </c>
      <c r="H1989" s="1">
        <v>10</v>
      </c>
      <c r="I1989" s="1" t="s">
        <v>860</v>
      </c>
      <c r="J1989" t="s">
        <v>14882</v>
      </c>
    </row>
    <row r="1990" spans="1:10">
      <c r="A1990" s="1">
        <v>518332</v>
      </c>
      <c r="B1990" s="1">
        <v>2370001409</v>
      </c>
      <c r="C1990" s="1">
        <v>8</v>
      </c>
      <c r="D1990" s="1" t="s">
        <v>1313</v>
      </c>
      <c r="E1990" t="s">
        <v>14883</v>
      </c>
      <c r="F1990" s="1">
        <v>568469</v>
      </c>
      <c r="G1990" s="1">
        <v>3666906143</v>
      </c>
      <c r="H1990" s="1">
        <v>30</v>
      </c>
      <c r="I1990" s="1" t="s">
        <v>399</v>
      </c>
      <c r="J1990" t="s">
        <v>14882</v>
      </c>
    </row>
    <row r="1991" spans="1:10">
      <c r="A1991" s="1">
        <v>687541</v>
      </c>
      <c r="B1991" s="1">
        <v>2370005302</v>
      </c>
      <c r="C1991" s="1">
        <v>8</v>
      </c>
      <c r="D1991" s="1" t="s">
        <v>375</v>
      </c>
      <c r="E1991" t="s">
        <v>14884</v>
      </c>
      <c r="F1991" s="1">
        <v>728238</v>
      </c>
      <c r="G1991" s="1">
        <v>3666906144</v>
      </c>
      <c r="H1991" s="1">
        <v>10</v>
      </c>
      <c r="I1991" s="1" t="s">
        <v>860</v>
      </c>
      <c r="J1991" t="s">
        <v>14885</v>
      </c>
    </row>
    <row r="1992" spans="1:10">
      <c r="A1992" s="1">
        <v>345744</v>
      </c>
      <c r="B1992" s="1">
        <v>2370006276</v>
      </c>
      <c r="C1992" s="1">
        <v>8</v>
      </c>
      <c r="D1992" s="1" t="s">
        <v>4815</v>
      </c>
      <c r="E1992" t="s">
        <v>14884</v>
      </c>
      <c r="F1992" s="1">
        <v>667352</v>
      </c>
      <c r="G1992" s="1">
        <v>7790019209</v>
      </c>
      <c r="H1992" s="1">
        <v>8</v>
      </c>
      <c r="I1992" s="1" t="s">
        <v>503</v>
      </c>
      <c r="J1992" t="s">
        <v>14886</v>
      </c>
    </row>
    <row r="1993" spans="1:10">
      <c r="A1993" s="1">
        <v>199216</v>
      </c>
      <c r="B1993" s="1">
        <v>2370001488</v>
      </c>
      <c r="C1993" s="1">
        <v>8</v>
      </c>
      <c r="D1993" s="1" t="s">
        <v>1584</v>
      </c>
      <c r="E1993" t="s">
        <v>14887</v>
      </c>
      <c r="F1993" s="1">
        <v>688424</v>
      </c>
      <c r="G1993" s="1">
        <v>7350420010</v>
      </c>
      <c r="H1993" s="1">
        <v>12</v>
      </c>
      <c r="I1993" s="1" t="s">
        <v>14888</v>
      </c>
      <c r="J1993" t="s">
        <v>14889</v>
      </c>
    </row>
    <row r="1994" spans="1:10">
      <c r="A1994" s="1">
        <v>687632</v>
      </c>
      <c r="B1994" s="1">
        <v>2370000591</v>
      </c>
      <c r="C1994" s="1">
        <v>12</v>
      </c>
      <c r="D1994" s="1" t="s">
        <v>370</v>
      </c>
      <c r="E1994" t="s">
        <v>14890</v>
      </c>
      <c r="F1994" s="1">
        <v>655795</v>
      </c>
      <c r="G1994" s="1">
        <v>7350420003</v>
      </c>
      <c r="H1994" s="1">
        <v>12</v>
      </c>
      <c r="I1994" s="1" t="s">
        <v>904</v>
      </c>
      <c r="J1994" t="s">
        <v>14891</v>
      </c>
    </row>
    <row r="1995" spans="1:10">
      <c r="A1995" s="1">
        <v>691469</v>
      </c>
      <c r="B1995" s="1">
        <v>2370001410</v>
      </c>
      <c r="C1995" s="1">
        <v>8</v>
      </c>
      <c r="D1995" s="1" t="s">
        <v>1313</v>
      </c>
      <c r="E1995" t="s">
        <v>14892</v>
      </c>
      <c r="F1995" s="1">
        <v>159285</v>
      </c>
      <c r="G1995" s="1">
        <v>4833910020</v>
      </c>
      <c r="H1995" s="1">
        <v>6</v>
      </c>
      <c r="I1995" s="1" t="s">
        <v>439</v>
      </c>
      <c r="J1995" t="s">
        <v>14893</v>
      </c>
    </row>
    <row r="1996" spans="1:10">
      <c r="A1996" s="1">
        <v>780015</v>
      </c>
      <c r="B1996" s="1">
        <v>2370001407</v>
      </c>
      <c r="C1996" s="1">
        <v>8</v>
      </c>
      <c r="D1996" s="1" t="s">
        <v>1584</v>
      </c>
      <c r="E1996" t="s">
        <v>14894</v>
      </c>
      <c r="F1996" s="1">
        <v>691782</v>
      </c>
      <c r="G1996" s="1">
        <v>7374406522</v>
      </c>
      <c r="H1996" s="1">
        <v>6</v>
      </c>
      <c r="I1996" s="1" t="s">
        <v>553</v>
      </c>
      <c r="J1996" t="s">
        <v>14895</v>
      </c>
    </row>
    <row r="1997" spans="1:10">
      <c r="A1997" s="1">
        <v>201111</v>
      </c>
      <c r="B1997" s="1">
        <v>2370002193</v>
      </c>
      <c r="C1997" s="1">
        <v>8</v>
      </c>
      <c r="D1997" s="1" t="s">
        <v>4337</v>
      </c>
      <c r="E1997" t="s">
        <v>14896</v>
      </c>
      <c r="F1997" s="1">
        <v>692244</v>
      </c>
      <c r="G1997" s="1">
        <v>7374406445</v>
      </c>
      <c r="H1997" s="1">
        <v>6</v>
      </c>
      <c r="I1997" s="1" t="s">
        <v>865</v>
      </c>
      <c r="J1997" t="s">
        <v>14897</v>
      </c>
    </row>
    <row r="1998" spans="1:10">
      <c r="A1998" s="1">
        <v>566133</v>
      </c>
      <c r="B1998" s="1">
        <v>2370001493</v>
      </c>
      <c r="C1998" s="1">
        <v>8</v>
      </c>
      <c r="D1998" s="1" t="s">
        <v>1355</v>
      </c>
      <c r="E1998" t="s">
        <v>14898</v>
      </c>
      <c r="F1998" s="1">
        <v>768440</v>
      </c>
      <c r="G1998" s="1">
        <v>7374400684</v>
      </c>
      <c r="H1998" s="1">
        <v>9</v>
      </c>
      <c r="I1998" s="1" t="s">
        <v>908</v>
      </c>
      <c r="J1998" t="s">
        <v>14899</v>
      </c>
    </row>
    <row r="1999" spans="1:10">
      <c r="A1999" s="1">
        <v>549790</v>
      </c>
      <c r="B1999" s="1">
        <v>2370001413</v>
      </c>
      <c r="C1999" s="1">
        <v>8</v>
      </c>
      <c r="D1999" s="1" t="s">
        <v>1313</v>
      </c>
      <c r="E1999" t="s">
        <v>14900</v>
      </c>
      <c r="F1999" s="1">
        <v>660175</v>
      </c>
      <c r="G1999" s="1">
        <v>7374463201</v>
      </c>
      <c r="H1999" s="1">
        <v>6</v>
      </c>
      <c r="I1999" s="1" t="s">
        <v>938</v>
      </c>
      <c r="J1999" t="s">
        <v>14901</v>
      </c>
    </row>
    <row r="2000" spans="1:10">
      <c r="A2000" s="1">
        <v>47381</v>
      </c>
      <c r="B2000" s="1">
        <v>2370004281</v>
      </c>
      <c r="C2000" s="1">
        <v>8</v>
      </c>
      <c r="D2000" s="1" t="s">
        <v>4815</v>
      </c>
      <c r="E2000" t="s">
        <v>14902</v>
      </c>
      <c r="F2000" s="1">
        <v>692103</v>
      </c>
      <c r="G2000" s="1">
        <v>7374406502</v>
      </c>
      <c r="H2000" s="1">
        <v>6</v>
      </c>
      <c r="I2000" s="1" t="s">
        <v>4815</v>
      </c>
      <c r="J2000" t="s">
        <v>14903</v>
      </c>
    </row>
    <row r="2001" spans="1:10">
      <c r="A2001" s="1">
        <v>392803</v>
      </c>
      <c r="B2001" s="1">
        <v>2370000631</v>
      </c>
      <c r="C2001" s="1">
        <v>8</v>
      </c>
      <c r="D2001" s="1" t="s">
        <v>4337</v>
      </c>
      <c r="E2001" t="s">
        <v>14904</v>
      </c>
      <c r="F2001" s="1">
        <v>821868</v>
      </c>
      <c r="G2001" s="1">
        <v>7374403350</v>
      </c>
      <c r="H2001" s="1">
        <v>12</v>
      </c>
      <c r="I2001" s="1" t="s">
        <v>439</v>
      </c>
      <c r="J2001" t="s">
        <v>14905</v>
      </c>
    </row>
    <row r="2002" spans="1:10">
      <c r="A2002" s="1">
        <v>464024</v>
      </c>
      <c r="B2002" s="1">
        <v>2370001415</v>
      </c>
      <c r="C2002" s="1">
        <v>8</v>
      </c>
      <c r="D2002" s="1" t="s">
        <v>1355</v>
      </c>
      <c r="E2002" t="s">
        <v>14906</v>
      </c>
      <c r="F2002" s="1">
        <v>692236</v>
      </c>
      <c r="G2002" s="1">
        <v>7374400352</v>
      </c>
      <c r="H2002" s="1">
        <v>6</v>
      </c>
      <c r="I2002" s="1" t="s">
        <v>860</v>
      </c>
      <c r="J2002" t="s">
        <v>14907</v>
      </c>
    </row>
    <row r="2003" spans="1:10">
      <c r="A2003" s="1">
        <v>280776</v>
      </c>
      <c r="B2003" s="1">
        <v>2370000165</v>
      </c>
      <c r="C2003" s="1">
        <v>12</v>
      </c>
      <c r="D2003" s="1" t="s">
        <v>489</v>
      </c>
      <c r="E2003" t="s">
        <v>14908</v>
      </c>
      <c r="F2003" s="1">
        <v>190900</v>
      </c>
      <c r="G2003" s="1">
        <v>7374463101</v>
      </c>
      <c r="H2003" s="1">
        <v>6</v>
      </c>
      <c r="I2003" s="1" t="s">
        <v>938</v>
      </c>
      <c r="J2003" t="s">
        <v>14909</v>
      </c>
    </row>
    <row r="2004" spans="1:10">
      <c r="A2004" s="1">
        <v>737965</v>
      </c>
      <c r="B2004" s="1">
        <v>2370001218</v>
      </c>
      <c r="C2004" s="1">
        <v>8</v>
      </c>
      <c r="D2004" s="1" t="s">
        <v>1313</v>
      </c>
      <c r="E2004" t="s">
        <v>14910</v>
      </c>
      <c r="F2004" s="1">
        <v>690024</v>
      </c>
      <c r="G2004" s="1">
        <v>7350490001</v>
      </c>
      <c r="H2004" s="1">
        <v>12</v>
      </c>
      <c r="I2004" s="1" t="s">
        <v>439</v>
      </c>
      <c r="J2004" t="s">
        <v>14911</v>
      </c>
    </row>
    <row r="2005" spans="1:10" ht="15.75">
      <c r="A2005" s="4" t="s">
        <v>14848</v>
      </c>
      <c r="B2005" s="2"/>
      <c r="C2005" s="2"/>
      <c r="D2005" s="2"/>
      <c r="E2005" s="3"/>
      <c r="F2005" s="1">
        <v>686642</v>
      </c>
      <c r="G2005" s="1">
        <v>7350491000</v>
      </c>
      <c r="H2005" s="1">
        <v>12</v>
      </c>
      <c r="I2005" s="1" t="s">
        <v>370</v>
      </c>
      <c r="J2005" t="s">
        <v>14912</v>
      </c>
    </row>
    <row r="2006" spans="1:10">
      <c r="A2006" s="2" t="s">
        <v>0</v>
      </c>
      <c r="B2006" s="2" t="s">
        <v>1</v>
      </c>
      <c r="C2006" s="2" t="s">
        <v>2</v>
      </c>
      <c r="D2006" s="2" t="s">
        <v>3</v>
      </c>
      <c r="E2006" s="3" t="s">
        <v>4</v>
      </c>
      <c r="F2006" s="1">
        <v>125187</v>
      </c>
      <c r="G2006" s="1">
        <v>7350461152</v>
      </c>
      <c r="H2006" s="1">
        <v>12</v>
      </c>
      <c r="I2006" s="1" t="s">
        <v>375</v>
      </c>
      <c r="J2006" t="s">
        <v>14913</v>
      </c>
    </row>
    <row r="2007" spans="1:10">
      <c r="A2007" s="1">
        <v>370700</v>
      </c>
      <c r="B2007" s="1">
        <v>6401417202</v>
      </c>
      <c r="C2007" s="1">
        <v>8</v>
      </c>
      <c r="D2007" s="1" t="s">
        <v>347</v>
      </c>
      <c r="E2007" t="s">
        <v>14914</v>
      </c>
      <c r="F2007" s="1">
        <v>186072</v>
      </c>
      <c r="G2007" s="1">
        <v>7350461501</v>
      </c>
      <c r="H2007" s="1">
        <v>12</v>
      </c>
      <c r="I2007" s="1" t="s">
        <v>469</v>
      </c>
      <c r="J2007" t="s">
        <v>14915</v>
      </c>
    </row>
    <row r="2008" spans="1:10">
      <c r="A2008" s="1">
        <v>435743</v>
      </c>
      <c r="B2008" s="1">
        <v>76401486202</v>
      </c>
      <c r="C2008" s="1">
        <v>8</v>
      </c>
      <c r="D2008" s="1" t="s">
        <v>347</v>
      </c>
      <c r="E2008" t="s">
        <v>14916</v>
      </c>
      <c r="F2008" s="1">
        <v>217653</v>
      </c>
      <c r="G2008" s="1">
        <v>7350461102</v>
      </c>
      <c r="H2008" s="1">
        <v>6</v>
      </c>
      <c r="I2008" s="1" t="s">
        <v>3035</v>
      </c>
      <c r="J2008" t="s">
        <v>14917</v>
      </c>
    </row>
    <row r="2009" spans="1:10">
      <c r="A2009" s="1">
        <v>352682</v>
      </c>
      <c r="B2009" s="1">
        <v>76401487202</v>
      </c>
      <c r="C2009" s="1">
        <v>8</v>
      </c>
      <c r="D2009" s="1" t="s">
        <v>347</v>
      </c>
      <c r="E2009" t="s">
        <v>14918</v>
      </c>
      <c r="F2009" s="1">
        <v>484717</v>
      </c>
      <c r="G2009" s="1">
        <v>7350420021</v>
      </c>
      <c r="H2009" s="1">
        <v>12</v>
      </c>
      <c r="I2009" s="1" t="s">
        <v>347</v>
      </c>
      <c r="J2009" t="s">
        <v>14919</v>
      </c>
    </row>
    <row r="2010" spans="1:10">
      <c r="A2010" s="1">
        <v>202572</v>
      </c>
      <c r="B2010" s="1">
        <v>76401488202</v>
      </c>
      <c r="C2010" s="1">
        <v>8</v>
      </c>
      <c r="D2010" s="1" t="s">
        <v>347</v>
      </c>
      <c r="E2010" t="s">
        <v>14920</v>
      </c>
      <c r="F2010" s="1">
        <v>484725</v>
      </c>
      <c r="G2010" s="1">
        <v>7350420020</v>
      </c>
      <c r="H2010" s="1">
        <v>12</v>
      </c>
      <c r="I2010" s="1" t="s">
        <v>14888</v>
      </c>
      <c r="J2010" t="s">
        <v>14919</v>
      </c>
    </row>
    <row r="2011" spans="1:10" ht="15.75">
      <c r="A2011" s="4" t="s">
        <v>14848</v>
      </c>
      <c r="B2011" s="2"/>
      <c r="C2011" s="2"/>
      <c r="D2011" s="2"/>
      <c r="E2011" s="3"/>
      <c r="F2011" s="4" t="s">
        <v>14921</v>
      </c>
      <c r="G2011" s="2"/>
      <c r="H2011" s="2"/>
      <c r="I2011" s="2"/>
      <c r="J2011" s="3"/>
    </row>
    <row r="2012" spans="1:10">
      <c r="A2012" s="2" t="s">
        <v>0</v>
      </c>
      <c r="B2012" s="2" t="s">
        <v>1</v>
      </c>
      <c r="C2012" s="2" t="s">
        <v>2</v>
      </c>
      <c r="D2012" s="2" t="s">
        <v>3</v>
      </c>
      <c r="E2012" s="3" t="s">
        <v>4</v>
      </c>
      <c r="F2012" s="2" t="s">
        <v>0</v>
      </c>
      <c r="G2012" s="2" t="s">
        <v>1</v>
      </c>
      <c r="H2012" s="2" t="s">
        <v>2</v>
      </c>
      <c r="I2012" s="2" t="s">
        <v>3</v>
      </c>
      <c r="J2012" s="3" t="s">
        <v>4</v>
      </c>
    </row>
    <row r="2013" spans="1:10">
      <c r="A2013" s="1">
        <v>687715</v>
      </c>
      <c r="B2013" s="1">
        <v>7350420001</v>
      </c>
      <c r="C2013" s="1">
        <v>12</v>
      </c>
      <c r="D2013" s="1" t="s">
        <v>347</v>
      </c>
      <c r="E2013" t="s">
        <v>14922</v>
      </c>
      <c r="F2013" s="1">
        <v>768242</v>
      </c>
      <c r="G2013" s="1">
        <v>4359503400</v>
      </c>
      <c r="H2013" s="1">
        <v>24</v>
      </c>
      <c r="I2013" s="1" t="s">
        <v>397</v>
      </c>
      <c r="J2013" t="s">
        <v>14923</v>
      </c>
    </row>
    <row r="2014" spans="1:10">
      <c r="A2014" s="1">
        <v>248625</v>
      </c>
      <c r="B2014" s="1">
        <v>7350493001</v>
      </c>
      <c r="C2014" s="1">
        <v>12</v>
      </c>
      <c r="D2014" s="1" t="s">
        <v>375</v>
      </c>
      <c r="E2014" t="s">
        <v>14924</v>
      </c>
      <c r="F2014" s="1">
        <v>396242</v>
      </c>
      <c r="G2014" s="1">
        <v>4369503600</v>
      </c>
      <c r="H2014" s="1">
        <v>24</v>
      </c>
      <c r="I2014" s="1" t="s">
        <v>397</v>
      </c>
      <c r="J2014" t="s">
        <v>14925</v>
      </c>
    </row>
    <row r="2015" spans="1:10">
      <c r="A2015" s="1">
        <v>187682</v>
      </c>
      <c r="B2015" s="1">
        <v>7350461156</v>
      </c>
      <c r="C2015" s="1">
        <v>12</v>
      </c>
      <c r="D2015" s="1" t="s">
        <v>375</v>
      </c>
      <c r="E2015" t="s">
        <v>14926</v>
      </c>
      <c r="F2015" s="1">
        <v>302240</v>
      </c>
      <c r="G2015" s="1">
        <v>4369503300</v>
      </c>
      <c r="H2015" s="1">
        <v>24</v>
      </c>
      <c r="I2015" s="1" t="s">
        <v>397</v>
      </c>
      <c r="J2015" t="s">
        <v>14927</v>
      </c>
    </row>
    <row r="2016" spans="1:10">
      <c r="A2016" s="1">
        <v>687731</v>
      </c>
      <c r="B2016" s="1">
        <v>7350450111</v>
      </c>
      <c r="C2016" s="1">
        <v>12</v>
      </c>
      <c r="D2016" s="1" t="s">
        <v>370</v>
      </c>
      <c r="E2016" t="s">
        <v>14928</v>
      </c>
      <c r="F2016" s="1">
        <v>471615</v>
      </c>
      <c r="G2016" s="1">
        <v>4369503700</v>
      </c>
      <c r="H2016" s="1">
        <v>24</v>
      </c>
      <c r="I2016" s="1" t="s">
        <v>397</v>
      </c>
      <c r="J2016" t="s">
        <v>14929</v>
      </c>
    </row>
    <row r="2017" spans="1:10">
      <c r="A2017" s="1">
        <v>687723</v>
      </c>
      <c r="B2017" s="1">
        <v>7350450010</v>
      </c>
      <c r="C2017" s="1">
        <v>12</v>
      </c>
      <c r="D2017" s="1" t="s">
        <v>439</v>
      </c>
      <c r="E2017" t="s">
        <v>14928</v>
      </c>
      <c r="F2017" s="1">
        <v>453373</v>
      </c>
      <c r="G2017" s="1">
        <v>4369503100</v>
      </c>
      <c r="H2017" s="1">
        <v>24</v>
      </c>
      <c r="I2017" s="1" t="s">
        <v>397</v>
      </c>
      <c r="J2017" t="s">
        <v>14930</v>
      </c>
    </row>
    <row r="2018" spans="1:10">
      <c r="A2018" s="1">
        <v>692392</v>
      </c>
      <c r="B2018" s="1">
        <v>7057500367</v>
      </c>
      <c r="C2018" s="1">
        <v>16</v>
      </c>
      <c r="D2018" s="1" t="s">
        <v>347</v>
      </c>
      <c r="E2018" t="s">
        <v>14931</v>
      </c>
      <c r="F2018" s="1">
        <v>176578</v>
      </c>
      <c r="G2018" s="1">
        <v>4369502908</v>
      </c>
      <c r="H2018" s="1">
        <v>24</v>
      </c>
      <c r="I2018" s="1" t="s">
        <v>397</v>
      </c>
      <c r="J2018" t="s">
        <v>14932</v>
      </c>
    </row>
    <row r="2019" spans="1:10">
      <c r="A2019" s="1">
        <v>654806</v>
      </c>
      <c r="B2019" s="1">
        <v>9259600801</v>
      </c>
      <c r="C2019" s="1">
        <v>30</v>
      </c>
      <c r="D2019" s="1" t="s">
        <v>1973</v>
      </c>
      <c r="E2019" t="s">
        <v>14933</v>
      </c>
      <c r="F2019" s="1">
        <v>478743</v>
      </c>
      <c r="G2019" s="1">
        <v>81200100014</v>
      </c>
      <c r="H2019" s="1">
        <v>8</v>
      </c>
      <c r="I2019" s="1" t="s">
        <v>439</v>
      </c>
      <c r="J2019" t="s">
        <v>14934</v>
      </c>
    </row>
    <row r="2020" spans="1:10">
      <c r="A2020" s="1">
        <v>68270</v>
      </c>
      <c r="B2020" s="1">
        <v>7254505004</v>
      </c>
      <c r="C2020" s="1">
        <v>12</v>
      </c>
      <c r="D2020" s="1" t="s">
        <v>860</v>
      </c>
      <c r="E2020" t="s">
        <v>14935</v>
      </c>
      <c r="F2020" s="1">
        <v>697169</v>
      </c>
      <c r="G2020" s="1">
        <v>81200100004</v>
      </c>
      <c r="H2020" s="1">
        <v>8</v>
      </c>
      <c r="I2020" s="1" t="s">
        <v>439</v>
      </c>
      <c r="J2020" t="s">
        <v>14936</v>
      </c>
    </row>
    <row r="2021" spans="1:10">
      <c r="A2021" s="1">
        <v>475384</v>
      </c>
      <c r="B2021" s="1">
        <v>7254505003</v>
      </c>
      <c r="C2021" s="1">
        <v>12</v>
      </c>
      <c r="D2021" s="1" t="s">
        <v>375</v>
      </c>
      <c r="E2021" t="s">
        <v>14937</v>
      </c>
      <c r="F2021" s="1">
        <v>655167</v>
      </c>
      <c r="G2021" s="1">
        <v>81200100005</v>
      </c>
      <c r="H2021" s="1">
        <v>8</v>
      </c>
      <c r="I2021" s="1" t="s">
        <v>439</v>
      </c>
      <c r="J2021" t="s">
        <v>14938</v>
      </c>
    </row>
    <row r="2022" spans="1:10">
      <c r="A2022" s="1">
        <v>232777</v>
      </c>
      <c r="B2022" s="1">
        <v>7254505001</v>
      </c>
      <c r="C2022" s="1">
        <v>12</v>
      </c>
      <c r="D2022" s="1" t="s">
        <v>375</v>
      </c>
      <c r="E2022" t="s">
        <v>14939</v>
      </c>
      <c r="F2022" s="1">
        <v>478883</v>
      </c>
      <c r="G2022" s="1">
        <v>81200100013</v>
      </c>
      <c r="H2022" s="1">
        <v>8</v>
      </c>
      <c r="I2022" s="1" t="s">
        <v>439</v>
      </c>
      <c r="J2022" t="s">
        <v>14940</v>
      </c>
    </row>
    <row r="2023" spans="1:10">
      <c r="A2023" s="1">
        <v>407213</v>
      </c>
      <c r="B2023" s="1">
        <v>1578826230</v>
      </c>
      <c r="C2023" s="1">
        <v>16</v>
      </c>
      <c r="D2023" s="1" t="s">
        <v>1495</v>
      </c>
      <c r="E2023" t="s">
        <v>14941</v>
      </c>
      <c r="F2023" s="1">
        <v>689471</v>
      </c>
      <c r="G2023" s="1">
        <v>81200100007</v>
      </c>
      <c r="H2023" s="1">
        <v>8</v>
      </c>
      <c r="I2023" s="1" t="s">
        <v>14942</v>
      </c>
      <c r="J2023" t="s">
        <v>14943</v>
      </c>
    </row>
    <row r="2024" spans="1:10">
      <c r="A2024" s="1">
        <v>835975</v>
      </c>
      <c r="B2024" s="1">
        <v>1578826330</v>
      </c>
      <c r="C2024" s="1">
        <v>16</v>
      </c>
      <c r="D2024" s="1" t="s">
        <v>1495</v>
      </c>
      <c r="E2024" t="s">
        <v>14944</v>
      </c>
      <c r="F2024" s="1">
        <v>670893</v>
      </c>
      <c r="G2024" s="1">
        <v>81200100002</v>
      </c>
      <c r="H2024" s="1">
        <v>8</v>
      </c>
      <c r="I2024" s="1" t="s">
        <v>14945</v>
      </c>
      <c r="J2024" t="s">
        <v>14946</v>
      </c>
    </row>
    <row r="2025" spans="1:10">
      <c r="A2025" s="1">
        <v>888156</v>
      </c>
      <c r="B2025" s="1">
        <v>1578848130</v>
      </c>
      <c r="C2025" s="1">
        <v>16</v>
      </c>
      <c r="D2025" s="1" t="s">
        <v>1495</v>
      </c>
      <c r="E2025" t="s">
        <v>14947</v>
      </c>
      <c r="F2025" s="1">
        <v>661298</v>
      </c>
      <c r="G2025" s="1">
        <v>81200100001</v>
      </c>
      <c r="H2025" s="1">
        <v>8</v>
      </c>
      <c r="I2025" s="1" t="s">
        <v>439</v>
      </c>
      <c r="J2025" t="s">
        <v>14948</v>
      </c>
    </row>
    <row r="2026" spans="1:10">
      <c r="A2026" s="1">
        <v>152421</v>
      </c>
      <c r="B2026" s="1">
        <v>1578848530</v>
      </c>
      <c r="C2026" s="1">
        <v>16</v>
      </c>
      <c r="D2026" s="1" t="s">
        <v>1495</v>
      </c>
      <c r="E2026" t="s">
        <v>14949</v>
      </c>
      <c r="F2026" s="1">
        <v>892661</v>
      </c>
      <c r="G2026" s="1">
        <v>81200100016</v>
      </c>
      <c r="H2026" s="1">
        <v>8</v>
      </c>
      <c r="I2026" s="1" t="s">
        <v>14950</v>
      </c>
      <c r="J2026" t="s">
        <v>14951</v>
      </c>
    </row>
    <row r="2027" spans="1:10">
      <c r="A2027" s="1">
        <v>668830</v>
      </c>
      <c r="B2027" s="1">
        <v>7539300241</v>
      </c>
      <c r="C2027" s="1">
        <v>12</v>
      </c>
      <c r="D2027" s="1" t="s">
        <v>399</v>
      </c>
      <c r="E2027" t="s">
        <v>14952</v>
      </c>
      <c r="F2027" s="1">
        <v>890392</v>
      </c>
      <c r="G2027" s="1">
        <v>61266991651</v>
      </c>
      <c r="H2027" s="1">
        <v>6</v>
      </c>
      <c r="I2027" s="1" t="s">
        <v>381</v>
      </c>
      <c r="J2027" t="s">
        <v>14953</v>
      </c>
    </row>
    <row r="2028" spans="1:10">
      <c r="A2028" s="1">
        <v>689810</v>
      </c>
      <c r="B2028" s="1">
        <v>8298801006</v>
      </c>
      <c r="C2028" s="1">
        <v>12</v>
      </c>
      <c r="D2028" s="1" t="s">
        <v>363</v>
      </c>
      <c r="E2028" t="s">
        <v>14954</v>
      </c>
      <c r="F2028" s="1">
        <v>107441</v>
      </c>
      <c r="G2028" s="1">
        <v>61266991650</v>
      </c>
      <c r="H2028" s="1">
        <v>8</v>
      </c>
      <c r="I2028" s="1" t="s">
        <v>381</v>
      </c>
      <c r="J2028" t="s">
        <v>14955</v>
      </c>
    </row>
    <row r="2029" spans="1:10">
      <c r="A2029" s="1">
        <v>667980</v>
      </c>
      <c r="B2029" s="1">
        <v>8298801016</v>
      </c>
      <c r="C2029" s="1">
        <v>9</v>
      </c>
      <c r="D2029" s="1" t="s">
        <v>14956</v>
      </c>
      <c r="E2029" t="s">
        <v>14957</v>
      </c>
      <c r="F2029" s="1">
        <v>416412</v>
      </c>
      <c r="G2029" s="1">
        <v>4833910030</v>
      </c>
      <c r="H2029" s="1">
        <v>6</v>
      </c>
      <c r="I2029" s="1" t="s">
        <v>439</v>
      </c>
      <c r="J2029" t="s">
        <v>14958</v>
      </c>
    </row>
    <row r="2030" spans="1:10">
      <c r="A2030" s="1">
        <v>689828</v>
      </c>
      <c r="B2030" s="1">
        <v>8298800006</v>
      </c>
      <c r="C2030" s="1">
        <v>12</v>
      </c>
      <c r="D2030" s="1" t="s">
        <v>432</v>
      </c>
      <c r="E2030" t="s">
        <v>14959</v>
      </c>
      <c r="F2030" s="1">
        <v>696807</v>
      </c>
      <c r="G2030" s="1">
        <v>7374403863</v>
      </c>
      <c r="H2030" s="1">
        <v>6</v>
      </c>
      <c r="I2030" s="1" t="s">
        <v>4658</v>
      </c>
      <c r="J2030" t="s">
        <v>14960</v>
      </c>
    </row>
    <row r="2031" spans="1:10">
      <c r="A2031" s="1">
        <v>328997</v>
      </c>
      <c r="B2031" s="1">
        <v>89941100114</v>
      </c>
      <c r="C2031" s="1">
        <v>10</v>
      </c>
      <c r="D2031" s="1" t="s">
        <v>1654</v>
      </c>
      <c r="E2031" t="s">
        <v>14961</v>
      </c>
      <c r="F2031" s="1">
        <v>519041</v>
      </c>
      <c r="G2031" s="1">
        <v>7374404001</v>
      </c>
      <c r="H2031" s="1">
        <v>12</v>
      </c>
      <c r="I2031" s="1" t="s">
        <v>14962</v>
      </c>
      <c r="J2031" t="s">
        <v>14963</v>
      </c>
    </row>
    <row r="2032" spans="1:10">
      <c r="A2032" s="1">
        <v>401604</v>
      </c>
      <c r="B2032" s="1">
        <v>89941100113</v>
      </c>
      <c r="C2032" s="1">
        <v>10</v>
      </c>
      <c r="D2032" s="1" t="s">
        <v>1654</v>
      </c>
      <c r="E2032" t="s">
        <v>14964</v>
      </c>
      <c r="F2032" s="1">
        <v>695478</v>
      </c>
      <c r="G2032" s="1">
        <v>7374403715</v>
      </c>
      <c r="H2032" s="1">
        <v>6</v>
      </c>
      <c r="I2032" s="1" t="s">
        <v>13653</v>
      </c>
      <c r="J2032" t="s">
        <v>14965</v>
      </c>
    </row>
    <row r="2033" spans="1:10" ht="15.75">
      <c r="A2033" s="4" t="s">
        <v>14921</v>
      </c>
      <c r="B2033" s="2"/>
      <c r="C2033" s="2"/>
      <c r="D2033" s="2"/>
      <c r="E2033" s="3"/>
      <c r="F2033" s="1">
        <v>695239</v>
      </c>
      <c r="G2033" s="1">
        <v>7374404226</v>
      </c>
      <c r="H2033" s="1">
        <v>6</v>
      </c>
      <c r="I2033" s="1" t="s">
        <v>4658</v>
      </c>
      <c r="J2033" t="s">
        <v>14966</v>
      </c>
    </row>
    <row r="2034" spans="1:10">
      <c r="A2034" s="2" t="s">
        <v>0</v>
      </c>
      <c r="B2034" s="2" t="s">
        <v>1</v>
      </c>
      <c r="C2034" s="2" t="s">
        <v>2</v>
      </c>
      <c r="D2034" s="2" t="s">
        <v>3</v>
      </c>
      <c r="E2034" s="3" t="s">
        <v>4</v>
      </c>
      <c r="F2034" s="1">
        <v>476820</v>
      </c>
      <c r="G2034" s="1">
        <v>8509907406</v>
      </c>
      <c r="H2034" s="1">
        <v>6</v>
      </c>
      <c r="I2034" s="1" t="s">
        <v>4723</v>
      </c>
      <c r="J2034" t="s">
        <v>14967</v>
      </c>
    </row>
    <row r="2035" spans="1:10">
      <c r="A2035" s="1">
        <v>464883</v>
      </c>
      <c r="B2035" s="1">
        <v>7590000670</v>
      </c>
      <c r="C2035" s="1">
        <v>8</v>
      </c>
      <c r="D2035" s="1" t="s">
        <v>546</v>
      </c>
      <c r="E2035" t="s">
        <v>14968</v>
      </c>
      <c r="F2035" s="1">
        <v>179648</v>
      </c>
      <c r="G2035" s="1">
        <v>7229000491</v>
      </c>
      <c r="H2035" s="1">
        <v>24</v>
      </c>
      <c r="I2035" s="1" t="s">
        <v>14969</v>
      </c>
      <c r="J2035" t="s">
        <v>14970</v>
      </c>
    </row>
    <row r="2036" spans="1:10">
      <c r="A2036" s="1">
        <v>403071</v>
      </c>
      <c r="B2036" s="1">
        <v>7590000665</v>
      </c>
      <c r="C2036" s="1">
        <v>8</v>
      </c>
      <c r="D2036" s="1" t="s">
        <v>546</v>
      </c>
      <c r="E2036" t="s">
        <v>14971</v>
      </c>
      <c r="F2036" s="1">
        <v>566232</v>
      </c>
      <c r="G2036" s="1">
        <v>7229000488</v>
      </c>
      <c r="H2036" s="1">
        <v>24</v>
      </c>
      <c r="I2036" s="1" t="s">
        <v>14969</v>
      </c>
      <c r="J2036" t="s">
        <v>14972</v>
      </c>
    </row>
    <row r="2037" spans="1:10">
      <c r="A2037" s="1">
        <v>433425</v>
      </c>
      <c r="B2037" s="1">
        <v>7590004745</v>
      </c>
      <c r="C2037" s="1">
        <v>8</v>
      </c>
      <c r="D2037" s="1" t="s">
        <v>1366</v>
      </c>
      <c r="E2037" t="s">
        <v>14973</v>
      </c>
      <c r="F2037" s="1">
        <v>352153</v>
      </c>
      <c r="G2037" s="1">
        <v>7229000487</v>
      </c>
      <c r="H2037" s="1">
        <v>24</v>
      </c>
      <c r="I2037" s="1" t="s">
        <v>14974</v>
      </c>
      <c r="J2037" t="s">
        <v>14975</v>
      </c>
    </row>
    <row r="2038" spans="1:10">
      <c r="A2038" s="1">
        <v>356873</v>
      </c>
      <c r="B2038" s="1">
        <v>7590000575</v>
      </c>
      <c r="C2038" s="1">
        <v>8</v>
      </c>
      <c r="D2038" s="1" t="s">
        <v>489</v>
      </c>
      <c r="E2038" t="s">
        <v>14976</v>
      </c>
      <c r="F2038" s="1">
        <v>685230</v>
      </c>
      <c r="G2038" s="1">
        <v>7194714772</v>
      </c>
      <c r="H2038" s="1">
        <v>12</v>
      </c>
      <c r="I2038" s="1" t="s">
        <v>6249</v>
      </c>
      <c r="J2038" t="s">
        <v>14977</v>
      </c>
    </row>
    <row r="2039" spans="1:10">
      <c r="A2039" s="1">
        <v>347914</v>
      </c>
      <c r="B2039" s="1">
        <v>7590000229</v>
      </c>
      <c r="C2039" s="1">
        <v>9</v>
      </c>
      <c r="D2039" s="1" t="s">
        <v>574</v>
      </c>
      <c r="E2039" t="s">
        <v>14978</v>
      </c>
      <c r="F2039" s="1">
        <v>685222</v>
      </c>
      <c r="G2039" s="1">
        <v>7194714776</v>
      </c>
      <c r="H2039" s="1">
        <v>12</v>
      </c>
      <c r="I2039" s="1" t="s">
        <v>697</v>
      </c>
      <c r="J2039" t="s">
        <v>14979</v>
      </c>
    </row>
    <row r="2040" spans="1:10">
      <c r="A2040" s="1">
        <v>540062</v>
      </c>
      <c r="B2040" s="1">
        <v>7590000546</v>
      </c>
      <c r="C2040" s="1">
        <v>6</v>
      </c>
      <c r="D2040" s="1" t="s">
        <v>1409</v>
      </c>
      <c r="E2040" t="s">
        <v>14980</v>
      </c>
      <c r="F2040" s="1">
        <v>296517</v>
      </c>
      <c r="G2040" s="1">
        <v>7701316735</v>
      </c>
      <c r="H2040" s="1">
        <v>8</v>
      </c>
      <c r="I2040" s="1" t="s">
        <v>860</v>
      </c>
      <c r="J2040" t="s">
        <v>14981</v>
      </c>
    </row>
    <row r="2041" spans="1:10">
      <c r="A2041" s="1">
        <v>159947</v>
      </c>
      <c r="B2041" s="1">
        <v>2016915510</v>
      </c>
      <c r="C2041" s="1">
        <v>6</v>
      </c>
      <c r="D2041" s="1" t="s">
        <v>375</v>
      </c>
      <c r="E2041" t="s">
        <v>14982</v>
      </c>
      <c r="F2041" s="1">
        <v>418806</v>
      </c>
      <c r="G2041" s="1">
        <v>7701316736</v>
      </c>
      <c r="H2041" s="1">
        <v>8</v>
      </c>
      <c r="I2041" s="1" t="s">
        <v>860</v>
      </c>
      <c r="J2041" t="s">
        <v>14983</v>
      </c>
    </row>
    <row r="2042" spans="1:10">
      <c r="A2042" s="1">
        <v>516815</v>
      </c>
      <c r="B2042" s="1">
        <v>2016915600</v>
      </c>
      <c r="C2042" s="1">
        <v>6</v>
      </c>
      <c r="D2042" s="1" t="s">
        <v>375</v>
      </c>
      <c r="E2042" t="s">
        <v>14984</v>
      </c>
      <c r="F2042" s="1">
        <v>15933</v>
      </c>
      <c r="G2042" s="1">
        <v>7701316739</v>
      </c>
      <c r="H2042" s="1">
        <v>8</v>
      </c>
      <c r="I2042" s="1" t="s">
        <v>860</v>
      </c>
      <c r="J2042" t="s">
        <v>14985</v>
      </c>
    </row>
    <row r="2043" spans="1:10">
      <c r="A2043" s="1">
        <v>259259</v>
      </c>
      <c r="B2043" s="1">
        <v>2016915500</v>
      </c>
      <c r="C2043" s="1">
        <v>6</v>
      </c>
      <c r="D2043" s="1" t="s">
        <v>375</v>
      </c>
      <c r="E2043" t="s">
        <v>14986</v>
      </c>
      <c r="F2043" s="1">
        <v>682674</v>
      </c>
      <c r="G2043" s="1">
        <v>7701316737</v>
      </c>
      <c r="H2043" s="1">
        <v>8</v>
      </c>
      <c r="I2043" s="1" t="s">
        <v>13543</v>
      </c>
      <c r="J2043" t="s">
        <v>14987</v>
      </c>
    </row>
    <row r="2044" spans="1:10">
      <c r="A2044" s="1">
        <v>482356</v>
      </c>
      <c r="B2044" s="1">
        <v>2016915700</v>
      </c>
      <c r="C2044" s="1">
        <v>6</v>
      </c>
      <c r="D2044" s="1" t="s">
        <v>375</v>
      </c>
      <c r="E2044" t="s">
        <v>14988</v>
      </c>
      <c r="F2044" s="1">
        <v>306555</v>
      </c>
      <c r="G2044" s="1">
        <v>5972008814</v>
      </c>
      <c r="H2044" s="1">
        <v>12</v>
      </c>
      <c r="I2044" s="1" t="s">
        <v>399</v>
      </c>
      <c r="J2044" t="s">
        <v>14989</v>
      </c>
    </row>
    <row r="2045" spans="1:10">
      <c r="A2045" s="1">
        <v>800177</v>
      </c>
      <c r="B2045" s="1">
        <v>7162701007</v>
      </c>
      <c r="C2045" s="1">
        <v>12</v>
      </c>
      <c r="D2045" s="1" t="s">
        <v>4815</v>
      </c>
      <c r="E2045" t="s">
        <v>14990</v>
      </c>
      <c r="F2045" s="1">
        <v>888388</v>
      </c>
      <c r="G2045" s="1">
        <v>5972008815</v>
      </c>
      <c r="H2045" s="1">
        <v>12</v>
      </c>
      <c r="I2045" s="1" t="s">
        <v>399</v>
      </c>
      <c r="J2045" t="s">
        <v>14991</v>
      </c>
    </row>
    <row r="2046" spans="1:10">
      <c r="A2046" s="1">
        <v>486936</v>
      </c>
      <c r="B2046" s="1">
        <v>8510506103</v>
      </c>
      <c r="C2046" s="1">
        <v>12</v>
      </c>
      <c r="D2046" s="1" t="s">
        <v>4723</v>
      </c>
      <c r="E2046" t="s">
        <v>14992</v>
      </c>
      <c r="F2046" s="1">
        <v>575001</v>
      </c>
      <c r="G2046" s="1">
        <v>5972008819</v>
      </c>
      <c r="H2046" s="1">
        <v>12</v>
      </c>
      <c r="I2046" s="1" t="s">
        <v>399</v>
      </c>
      <c r="J2046" t="s">
        <v>14993</v>
      </c>
    </row>
    <row r="2047" spans="1:10">
      <c r="A2047" s="1">
        <v>582338</v>
      </c>
      <c r="B2047" s="1">
        <v>7556007640</v>
      </c>
      <c r="C2047" s="1">
        <v>8</v>
      </c>
      <c r="D2047" s="1" t="s">
        <v>4658</v>
      </c>
      <c r="E2047" t="s">
        <v>14994</v>
      </c>
      <c r="F2047" s="1">
        <v>760934</v>
      </c>
      <c r="G2047" s="1">
        <v>74616781003</v>
      </c>
      <c r="H2047" s="1">
        <v>9</v>
      </c>
      <c r="I2047" s="1" t="s">
        <v>439</v>
      </c>
      <c r="J2047" t="s">
        <v>14995</v>
      </c>
    </row>
    <row r="2048" spans="1:10">
      <c r="A2048" s="1">
        <v>562546</v>
      </c>
      <c r="B2048" s="1">
        <v>4369503800</v>
      </c>
      <c r="C2048" s="1">
        <v>24</v>
      </c>
      <c r="D2048" s="1" t="s">
        <v>397</v>
      </c>
      <c r="E2048" t="s">
        <v>14996</v>
      </c>
      <c r="F2048" s="1">
        <v>178194</v>
      </c>
      <c r="G2048" s="1">
        <v>74616781006</v>
      </c>
      <c r="H2048" s="1">
        <v>9</v>
      </c>
      <c r="I2048" s="1" t="s">
        <v>439</v>
      </c>
      <c r="J2048" t="s">
        <v>14997</v>
      </c>
    </row>
    <row r="2049" spans="1:10">
      <c r="A2049" s="1">
        <v>419804</v>
      </c>
      <c r="B2049" s="1">
        <v>4369503423</v>
      </c>
      <c r="C2049" s="1">
        <v>24</v>
      </c>
      <c r="D2049" s="1" t="s">
        <v>397</v>
      </c>
      <c r="E2049" t="s">
        <v>14998</v>
      </c>
      <c r="F2049" s="1">
        <v>196360</v>
      </c>
      <c r="G2049" s="1">
        <v>74616781002</v>
      </c>
      <c r="H2049" s="1">
        <v>9</v>
      </c>
      <c r="I2049" s="1" t="s">
        <v>439</v>
      </c>
      <c r="J2049" t="s">
        <v>14999</v>
      </c>
    </row>
    <row r="2050" spans="1:10">
      <c r="A2050" s="1">
        <v>808758</v>
      </c>
      <c r="B2050" s="1">
        <v>4369503900</v>
      </c>
      <c r="C2050" s="1">
        <v>24</v>
      </c>
      <c r="D2050" s="1" t="s">
        <v>397</v>
      </c>
      <c r="E2050" t="s">
        <v>15000</v>
      </c>
      <c r="F2050" s="1">
        <v>383323</v>
      </c>
      <c r="G2050" s="1">
        <v>74616781007</v>
      </c>
      <c r="H2050" s="1">
        <v>9</v>
      </c>
      <c r="I2050" s="1" t="s">
        <v>439</v>
      </c>
      <c r="J2050" t="s">
        <v>15001</v>
      </c>
    </row>
    <row r="2051" spans="1:10">
      <c r="A2051" s="1">
        <v>261446</v>
      </c>
      <c r="B2051" s="1">
        <v>4369503200</v>
      </c>
      <c r="C2051" s="1">
        <v>24</v>
      </c>
      <c r="D2051" s="1" t="s">
        <v>397</v>
      </c>
      <c r="E2051" t="s">
        <v>15002</v>
      </c>
      <c r="F2051" s="1">
        <v>492157</v>
      </c>
      <c r="G2051" s="1">
        <v>7229000486</v>
      </c>
      <c r="H2051" s="1">
        <v>24</v>
      </c>
      <c r="I2051" s="1" t="s">
        <v>15003</v>
      </c>
      <c r="J2051" t="s">
        <v>15004</v>
      </c>
    </row>
    <row r="2052" spans="1:10" ht="15.75">
      <c r="A2052" s="4" t="s">
        <v>14921</v>
      </c>
      <c r="B2052" s="2"/>
      <c r="C2052" s="2"/>
      <c r="D2052" s="2"/>
      <c r="E2052" s="3"/>
      <c r="F2052" s="4" t="s">
        <v>15005</v>
      </c>
      <c r="G2052" s="2"/>
      <c r="H2052" s="2"/>
      <c r="I2052" s="2"/>
      <c r="J2052" s="3"/>
    </row>
    <row r="2053" spans="1:10">
      <c r="A2053" s="2" t="s">
        <v>0</v>
      </c>
      <c r="B2053" s="2" t="s">
        <v>1</v>
      </c>
      <c r="C2053" s="2" t="s">
        <v>2</v>
      </c>
      <c r="D2053" s="2" t="s">
        <v>3</v>
      </c>
      <c r="E2053" s="3" t="s">
        <v>4</v>
      </c>
      <c r="F2053" s="2" t="s">
        <v>0</v>
      </c>
      <c r="G2053" s="2" t="s">
        <v>1</v>
      </c>
      <c r="H2053" s="2" t="s">
        <v>2</v>
      </c>
      <c r="I2053" s="2" t="s">
        <v>3</v>
      </c>
      <c r="J2053" s="3" t="s">
        <v>4</v>
      </c>
    </row>
    <row r="2054" spans="1:10">
      <c r="A2054" s="1">
        <v>627802</v>
      </c>
      <c r="B2054" s="1">
        <v>7229000489</v>
      </c>
      <c r="C2054" s="1">
        <v>24</v>
      </c>
      <c r="D2054" s="1" t="s">
        <v>14974</v>
      </c>
      <c r="E2054" t="s">
        <v>15006</v>
      </c>
      <c r="F2054" s="1">
        <v>640359</v>
      </c>
      <c r="G2054" s="1">
        <v>4127102505</v>
      </c>
      <c r="H2054" s="1">
        <v>12</v>
      </c>
      <c r="I2054" s="1" t="s">
        <v>1189</v>
      </c>
      <c r="J2054" t="s">
        <v>15007</v>
      </c>
    </row>
    <row r="2055" spans="1:10">
      <c r="A2055" s="1">
        <v>403063</v>
      </c>
      <c r="B2055" s="1">
        <v>7229001226</v>
      </c>
      <c r="C2055" s="1">
        <v>60</v>
      </c>
      <c r="D2055" s="1" t="s">
        <v>15008</v>
      </c>
      <c r="E2055" t="s">
        <v>15009</v>
      </c>
      <c r="F2055" s="1">
        <v>631911</v>
      </c>
      <c r="G2055" s="1">
        <v>4127102503</v>
      </c>
      <c r="H2055" s="1">
        <v>12</v>
      </c>
      <c r="I2055" s="1" t="s">
        <v>1189</v>
      </c>
      <c r="J2055" t="s">
        <v>15010</v>
      </c>
    </row>
    <row r="2056" spans="1:10">
      <c r="A2056" s="1">
        <v>243840</v>
      </c>
      <c r="B2056" s="1">
        <v>7229000490</v>
      </c>
      <c r="C2056" s="1">
        <v>24</v>
      </c>
      <c r="D2056" s="1" t="s">
        <v>14974</v>
      </c>
      <c r="E2056" t="s">
        <v>15011</v>
      </c>
      <c r="F2056" s="1">
        <v>568113</v>
      </c>
      <c r="G2056" s="1">
        <v>4127100884</v>
      </c>
      <c r="H2056" s="1">
        <v>12</v>
      </c>
      <c r="I2056" s="1" t="s">
        <v>1189</v>
      </c>
      <c r="J2056" t="s">
        <v>15012</v>
      </c>
    </row>
    <row r="2057" spans="1:10">
      <c r="A2057" s="1">
        <v>681882</v>
      </c>
      <c r="B2057" s="1">
        <v>2370002266</v>
      </c>
      <c r="C2057" s="1">
        <v>8</v>
      </c>
      <c r="D2057" s="1" t="s">
        <v>13225</v>
      </c>
      <c r="E2057" t="s">
        <v>15013</v>
      </c>
      <c r="F2057" s="1">
        <v>643056</v>
      </c>
      <c r="G2057" s="1">
        <v>4127101966</v>
      </c>
      <c r="H2057" s="1">
        <v>12</v>
      </c>
      <c r="I2057" s="1" t="s">
        <v>1191</v>
      </c>
      <c r="J2057" t="s">
        <v>15014</v>
      </c>
    </row>
    <row r="2058" spans="1:10" ht="15.75">
      <c r="A2058" s="4" t="s">
        <v>15005</v>
      </c>
      <c r="B2058" s="2"/>
      <c r="C2058" s="2"/>
      <c r="D2058" s="2"/>
      <c r="E2058" s="3"/>
      <c r="F2058" s="1">
        <v>643031</v>
      </c>
      <c r="G2058" s="1">
        <v>4127101965</v>
      </c>
      <c r="H2058" s="1">
        <v>12</v>
      </c>
      <c r="I2058" s="1" t="s">
        <v>1191</v>
      </c>
      <c r="J2058" t="s">
        <v>15015</v>
      </c>
    </row>
    <row r="2059" spans="1:10">
      <c r="A2059" s="2" t="s">
        <v>0</v>
      </c>
      <c r="B2059" s="2" t="s">
        <v>1</v>
      </c>
      <c r="C2059" s="2" t="s">
        <v>2</v>
      </c>
      <c r="D2059" s="2" t="s">
        <v>3</v>
      </c>
      <c r="E2059" s="3" t="s">
        <v>4</v>
      </c>
      <c r="F2059" s="1">
        <v>641845</v>
      </c>
      <c r="G2059" s="1">
        <v>4127102568</v>
      </c>
      <c r="H2059" s="1">
        <v>12</v>
      </c>
      <c r="I2059" s="1" t="s">
        <v>1189</v>
      </c>
      <c r="J2059" t="s">
        <v>15016</v>
      </c>
    </row>
    <row r="2060" spans="1:10">
      <c r="A2060" s="1">
        <v>642272</v>
      </c>
      <c r="B2060" s="1">
        <v>5000030262</v>
      </c>
      <c r="C2060" s="1">
        <v>12</v>
      </c>
      <c r="D2060" s="1" t="s">
        <v>1189</v>
      </c>
      <c r="E2060" t="s">
        <v>15017</v>
      </c>
      <c r="F2060" s="1">
        <v>642066</v>
      </c>
      <c r="G2060" s="1">
        <v>4127102608</v>
      </c>
      <c r="H2060" s="1">
        <v>12</v>
      </c>
      <c r="I2060" s="1" t="s">
        <v>1191</v>
      </c>
      <c r="J2060" t="s">
        <v>15018</v>
      </c>
    </row>
    <row r="2061" spans="1:10">
      <c r="A2061" s="1">
        <v>636589</v>
      </c>
      <c r="B2061" s="1">
        <v>5000032290</v>
      </c>
      <c r="C2061" s="1">
        <v>12</v>
      </c>
      <c r="D2061" s="1" t="s">
        <v>1189</v>
      </c>
      <c r="E2061" t="s">
        <v>15019</v>
      </c>
      <c r="F2061" s="1">
        <v>643627</v>
      </c>
      <c r="G2061" s="1">
        <v>3450063210</v>
      </c>
      <c r="H2061" s="1">
        <v>12</v>
      </c>
      <c r="I2061" s="1" t="s">
        <v>1189</v>
      </c>
      <c r="J2061" t="s">
        <v>15020</v>
      </c>
    </row>
    <row r="2062" spans="1:10">
      <c r="A2062" s="1">
        <v>636555</v>
      </c>
      <c r="B2062" s="1">
        <v>5000030432</v>
      </c>
      <c r="C2062" s="1">
        <v>12</v>
      </c>
      <c r="D2062" s="1" t="s">
        <v>1189</v>
      </c>
      <c r="E2062" t="s">
        <v>2167</v>
      </c>
      <c r="F2062" s="1">
        <v>643320</v>
      </c>
      <c r="G2062" s="1">
        <v>3450063251</v>
      </c>
      <c r="H2062" s="1">
        <v>12</v>
      </c>
      <c r="I2062" s="1" t="s">
        <v>1191</v>
      </c>
      <c r="J2062" t="s">
        <v>15021</v>
      </c>
    </row>
    <row r="2063" spans="1:10">
      <c r="A2063" s="1">
        <v>636290</v>
      </c>
      <c r="B2063" s="1">
        <v>5000032275</v>
      </c>
      <c r="C2063" s="1">
        <v>12</v>
      </c>
      <c r="D2063" s="1" t="s">
        <v>1189</v>
      </c>
      <c r="E2063" t="s">
        <v>15022</v>
      </c>
      <c r="F2063" s="1">
        <v>643379</v>
      </c>
      <c r="G2063" s="1">
        <v>3450063202</v>
      </c>
      <c r="H2063" s="1">
        <v>12</v>
      </c>
      <c r="I2063" s="1" t="s">
        <v>1189</v>
      </c>
      <c r="J2063" t="s">
        <v>15023</v>
      </c>
    </row>
    <row r="2064" spans="1:10">
      <c r="A2064" s="1">
        <v>630947</v>
      </c>
      <c r="B2064" s="1">
        <v>5000033952</v>
      </c>
      <c r="C2064" s="1">
        <v>12</v>
      </c>
      <c r="D2064" s="1" t="s">
        <v>1189</v>
      </c>
      <c r="E2064" t="s">
        <v>15024</v>
      </c>
      <c r="F2064" s="1">
        <v>643429</v>
      </c>
      <c r="G2064" s="1">
        <v>3450063211</v>
      </c>
      <c r="H2064" s="1">
        <v>12</v>
      </c>
      <c r="I2064" s="1" t="s">
        <v>1191</v>
      </c>
      <c r="J2064" t="s">
        <v>15025</v>
      </c>
    </row>
    <row r="2065" spans="1:10">
      <c r="A2065" s="1">
        <v>643072</v>
      </c>
      <c r="B2065" s="1">
        <v>5000032842</v>
      </c>
      <c r="C2065" s="1">
        <v>12</v>
      </c>
      <c r="D2065" s="1" t="s">
        <v>1191</v>
      </c>
      <c r="E2065" t="s">
        <v>15026</v>
      </c>
      <c r="F2065" s="1">
        <v>505040</v>
      </c>
      <c r="G2065" s="1">
        <v>3450063104</v>
      </c>
      <c r="H2065" s="1">
        <v>12</v>
      </c>
      <c r="I2065" s="1" t="s">
        <v>375</v>
      </c>
      <c r="J2065" t="s">
        <v>15027</v>
      </c>
    </row>
    <row r="2066" spans="1:10">
      <c r="A2066" s="1">
        <v>206946</v>
      </c>
      <c r="B2066" s="1">
        <v>5000084811</v>
      </c>
      <c r="C2066" s="1">
        <v>12</v>
      </c>
      <c r="D2066" s="1" t="s">
        <v>375</v>
      </c>
      <c r="E2066" t="s">
        <v>15028</v>
      </c>
      <c r="F2066" s="1">
        <v>879494</v>
      </c>
      <c r="G2066" s="1">
        <v>5000051593</v>
      </c>
      <c r="H2066" s="1">
        <v>12</v>
      </c>
      <c r="I2066" s="1" t="s">
        <v>1191</v>
      </c>
      <c r="J2066" t="s">
        <v>15029</v>
      </c>
    </row>
    <row r="2067" spans="1:10">
      <c r="A2067" s="1">
        <v>206938</v>
      </c>
      <c r="B2067" s="1">
        <v>5000084808</v>
      </c>
      <c r="C2067" s="1">
        <v>12</v>
      </c>
      <c r="D2067" s="1" t="s">
        <v>375</v>
      </c>
      <c r="E2067" t="s">
        <v>15030</v>
      </c>
      <c r="F2067" s="1">
        <v>642413</v>
      </c>
      <c r="G2067" s="1">
        <v>1116664241</v>
      </c>
      <c r="H2067" s="1">
        <v>12</v>
      </c>
      <c r="I2067" s="1" t="s">
        <v>1197</v>
      </c>
      <c r="J2067" t="s">
        <v>15031</v>
      </c>
    </row>
    <row r="2068" spans="1:10">
      <c r="A2068" s="1">
        <v>643189</v>
      </c>
      <c r="B2068" s="1">
        <v>5000033982</v>
      </c>
      <c r="C2068" s="1">
        <v>12</v>
      </c>
      <c r="D2068" s="1" t="s">
        <v>1191</v>
      </c>
      <c r="E2068" t="s">
        <v>15032</v>
      </c>
      <c r="F2068" s="1">
        <v>642439</v>
      </c>
      <c r="G2068" s="1">
        <v>1116664243</v>
      </c>
      <c r="H2068" s="1">
        <v>12</v>
      </c>
      <c r="I2068" s="1" t="s">
        <v>1191</v>
      </c>
      <c r="J2068" t="s">
        <v>15033</v>
      </c>
    </row>
    <row r="2069" spans="1:10">
      <c r="A2069" s="1">
        <v>316430</v>
      </c>
      <c r="B2069" s="1">
        <v>5000088680</v>
      </c>
      <c r="C2069" s="1">
        <v>12</v>
      </c>
      <c r="D2069" s="1" t="s">
        <v>1189</v>
      </c>
      <c r="E2069" t="s">
        <v>15034</v>
      </c>
      <c r="F2069" s="1">
        <v>642447</v>
      </c>
      <c r="G2069" s="1">
        <v>1116664244</v>
      </c>
      <c r="H2069" s="1">
        <v>12</v>
      </c>
      <c r="I2069" s="1" t="s">
        <v>1189</v>
      </c>
      <c r="J2069" t="s">
        <v>15033</v>
      </c>
    </row>
    <row r="2070" spans="1:10">
      <c r="A2070" s="1">
        <v>642280</v>
      </c>
      <c r="B2070" s="1">
        <v>5000030252</v>
      </c>
      <c r="C2070" s="1">
        <v>12</v>
      </c>
      <c r="D2070" s="1" t="s">
        <v>1191</v>
      </c>
      <c r="E2070" t="s">
        <v>15035</v>
      </c>
      <c r="F2070" s="1">
        <v>531145</v>
      </c>
      <c r="G2070" s="1">
        <v>1116670274</v>
      </c>
      <c r="H2070" s="1">
        <v>6</v>
      </c>
      <c r="I2070" s="1" t="s">
        <v>2496</v>
      </c>
      <c r="J2070" t="s">
        <v>15033</v>
      </c>
    </row>
    <row r="2071" spans="1:10">
      <c r="A2071" s="1">
        <v>643361</v>
      </c>
      <c r="B2071" s="1">
        <v>5000012734</v>
      </c>
      <c r="C2071" s="1">
        <v>12</v>
      </c>
      <c r="D2071" s="1" t="s">
        <v>1189</v>
      </c>
      <c r="E2071" t="s">
        <v>15036</v>
      </c>
      <c r="F2071" s="1">
        <v>645838</v>
      </c>
      <c r="G2071" s="1">
        <v>1116670272</v>
      </c>
      <c r="H2071" s="1">
        <v>12</v>
      </c>
      <c r="I2071" s="1" t="s">
        <v>1189</v>
      </c>
      <c r="J2071" t="s">
        <v>15037</v>
      </c>
    </row>
    <row r="2072" spans="1:10">
      <c r="A2072" s="1">
        <v>643494</v>
      </c>
      <c r="B2072" s="1">
        <v>5000012766</v>
      </c>
      <c r="C2072" s="1">
        <v>12</v>
      </c>
      <c r="D2072" s="1" t="s">
        <v>1189</v>
      </c>
      <c r="E2072" t="s">
        <v>15038</v>
      </c>
      <c r="F2072" s="1">
        <v>644906</v>
      </c>
      <c r="G2072" s="1">
        <v>1116670273</v>
      </c>
      <c r="H2072" s="1">
        <v>12</v>
      </c>
      <c r="I2072" s="1" t="s">
        <v>1191</v>
      </c>
      <c r="J2072" t="s">
        <v>15039</v>
      </c>
    </row>
    <row r="2073" spans="1:10">
      <c r="A2073" s="1">
        <v>754515</v>
      </c>
      <c r="B2073" s="1">
        <v>5000013294</v>
      </c>
      <c r="C2073" s="1">
        <v>12</v>
      </c>
      <c r="D2073" s="1" t="s">
        <v>381</v>
      </c>
      <c r="E2073" t="s">
        <v>15040</v>
      </c>
      <c r="F2073" s="1">
        <v>625525</v>
      </c>
      <c r="G2073" s="1">
        <v>1116662552</v>
      </c>
      <c r="H2073" s="1">
        <v>12</v>
      </c>
      <c r="I2073" s="1" t="s">
        <v>1189</v>
      </c>
      <c r="J2073" t="s">
        <v>15041</v>
      </c>
    </row>
    <row r="2074" spans="1:10" ht="15.75">
      <c r="A2074" s="1">
        <v>879510</v>
      </c>
      <c r="B2074" s="1">
        <v>5000021487</v>
      </c>
      <c r="C2074" s="1">
        <v>12</v>
      </c>
      <c r="D2074" s="1" t="s">
        <v>1191</v>
      </c>
      <c r="E2074" t="s">
        <v>15042</v>
      </c>
      <c r="F2074" s="4" t="s">
        <v>15043</v>
      </c>
      <c r="G2074" s="2"/>
      <c r="H2074" s="2"/>
      <c r="I2074" s="2"/>
      <c r="J2074" s="3"/>
    </row>
    <row r="2075" spans="1:10">
      <c r="A2075" s="1">
        <v>336131</v>
      </c>
      <c r="B2075" s="1">
        <v>5000095393</v>
      </c>
      <c r="C2075" s="1">
        <v>12</v>
      </c>
      <c r="D2075" s="1" t="s">
        <v>1191</v>
      </c>
      <c r="E2075" t="s">
        <v>15044</v>
      </c>
      <c r="F2075" s="2" t="s">
        <v>0</v>
      </c>
      <c r="G2075" s="2" t="s">
        <v>1</v>
      </c>
      <c r="H2075" s="2" t="s">
        <v>2</v>
      </c>
      <c r="I2075" s="2" t="s">
        <v>3</v>
      </c>
      <c r="J2075" s="3" t="s">
        <v>4</v>
      </c>
    </row>
    <row r="2076" spans="1:10">
      <c r="A2076" s="1">
        <v>206920</v>
      </c>
      <c r="B2076" s="1">
        <v>5000084805</v>
      </c>
      <c r="C2076" s="1">
        <v>12</v>
      </c>
      <c r="D2076" s="1" t="s">
        <v>381</v>
      </c>
      <c r="E2076" t="s">
        <v>15045</v>
      </c>
      <c r="F2076" s="1">
        <v>72207</v>
      </c>
      <c r="G2076" s="1">
        <v>3507451624</v>
      </c>
      <c r="H2076" s="1">
        <v>6</v>
      </c>
      <c r="I2076" s="1" t="s">
        <v>8599</v>
      </c>
      <c r="J2076" t="s">
        <v>15046</v>
      </c>
    </row>
    <row r="2077" spans="1:10">
      <c r="A2077" s="1">
        <v>636043</v>
      </c>
      <c r="B2077" s="1">
        <v>5000011234</v>
      </c>
      <c r="C2077" s="1">
        <v>12</v>
      </c>
      <c r="D2077" s="1" t="s">
        <v>1189</v>
      </c>
      <c r="E2077" t="s">
        <v>15047</v>
      </c>
      <c r="F2077" s="1">
        <v>780783</v>
      </c>
      <c r="G2077" s="1">
        <v>3507451603</v>
      </c>
      <c r="H2077" s="1">
        <v>6</v>
      </c>
      <c r="I2077" s="1" t="s">
        <v>8599</v>
      </c>
      <c r="J2077" t="s">
        <v>15048</v>
      </c>
    </row>
    <row r="2078" spans="1:10">
      <c r="A2078" s="1">
        <v>765719</v>
      </c>
      <c r="B2078" s="1">
        <v>5000015003</v>
      </c>
      <c r="C2078" s="1">
        <v>12</v>
      </c>
      <c r="D2078" s="1" t="s">
        <v>381</v>
      </c>
      <c r="E2078" t="s">
        <v>15049</v>
      </c>
      <c r="F2078" s="1">
        <v>395632</v>
      </c>
      <c r="G2078" s="1">
        <v>3507416184</v>
      </c>
      <c r="H2078" s="1">
        <v>24</v>
      </c>
      <c r="I2078" s="1" t="s">
        <v>381</v>
      </c>
      <c r="J2078" t="s">
        <v>15050</v>
      </c>
    </row>
    <row r="2079" spans="1:10">
      <c r="A2079" s="1">
        <v>246884</v>
      </c>
      <c r="B2079" s="1">
        <v>5000009999</v>
      </c>
      <c r="C2079" s="1">
        <v>12</v>
      </c>
      <c r="D2079" s="1" t="s">
        <v>381</v>
      </c>
      <c r="E2079" t="s">
        <v>15051</v>
      </c>
      <c r="F2079" s="1">
        <v>760439</v>
      </c>
      <c r="G2079" s="1">
        <v>3507451626</v>
      </c>
      <c r="H2079" s="1">
        <v>24</v>
      </c>
      <c r="I2079" s="1" t="s">
        <v>259</v>
      </c>
      <c r="J2079" t="s">
        <v>15052</v>
      </c>
    </row>
    <row r="2080" spans="1:10">
      <c r="A2080" s="1">
        <v>453316</v>
      </c>
      <c r="B2080" s="1">
        <v>5000015100</v>
      </c>
      <c r="C2080" s="1">
        <v>12</v>
      </c>
      <c r="D2080" s="1" t="s">
        <v>381</v>
      </c>
      <c r="E2080" t="s">
        <v>15053</v>
      </c>
      <c r="F2080" s="1">
        <v>742262</v>
      </c>
      <c r="G2080" s="1">
        <v>3507451600</v>
      </c>
      <c r="H2080" s="1">
        <v>24</v>
      </c>
      <c r="I2080" s="1" t="s">
        <v>259</v>
      </c>
      <c r="J2080" t="s">
        <v>15054</v>
      </c>
    </row>
    <row r="2081" spans="1:10">
      <c r="A2081" s="1">
        <v>491449</v>
      </c>
      <c r="B2081" s="1">
        <v>4127100906</v>
      </c>
      <c r="C2081" s="1">
        <v>12</v>
      </c>
      <c r="D2081" s="1" t="s">
        <v>1189</v>
      </c>
      <c r="E2081" t="s">
        <v>15055</v>
      </c>
      <c r="F2081" s="1">
        <v>509208</v>
      </c>
      <c r="G2081" s="1">
        <v>3507416411</v>
      </c>
      <c r="H2081" s="1">
        <v>10</v>
      </c>
      <c r="I2081" s="1" t="s">
        <v>379</v>
      </c>
      <c r="J2081" t="s">
        <v>15056</v>
      </c>
    </row>
    <row r="2082" spans="1:10">
      <c r="A2082" s="1">
        <v>287201</v>
      </c>
      <c r="B2082" s="1">
        <v>4127100905</v>
      </c>
      <c r="C2082" s="1">
        <v>12</v>
      </c>
      <c r="D2082" s="1" t="s">
        <v>1191</v>
      </c>
      <c r="E2082" t="s">
        <v>15057</v>
      </c>
      <c r="F2082" s="1">
        <v>596544</v>
      </c>
      <c r="G2082" s="1">
        <v>3836150309</v>
      </c>
      <c r="H2082" s="1">
        <v>12</v>
      </c>
      <c r="I2082" s="1" t="s">
        <v>381</v>
      </c>
      <c r="J2082" t="s">
        <v>15058</v>
      </c>
    </row>
    <row r="2083" spans="1:10">
      <c r="A2083" s="1">
        <v>641365</v>
      </c>
      <c r="B2083" s="1">
        <v>4127102564</v>
      </c>
      <c r="C2083" s="1">
        <v>12</v>
      </c>
      <c r="D2083" s="1" t="s">
        <v>1189</v>
      </c>
      <c r="E2083" t="s">
        <v>15059</v>
      </c>
      <c r="F2083" s="1">
        <v>620138</v>
      </c>
      <c r="G2083" s="1">
        <v>3446919865</v>
      </c>
      <c r="H2083" s="1">
        <v>4</v>
      </c>
      <c r="I2083" s="1" t="s">
        <v>375</v>
      </c>
      <c r="J2083" t="s">
        <v>15060</v>
      </c>
    </row>
    <row r="2084" spans="1:10">
      <c r="A2084" s="1">
        <v>647545</v>
      </c>
      <c r="B2084" s="1">
        <v>4127102562</v>
      </c>
      <c r="C2084" s="1">
        <v>12</v>
      </c>
      <c r="D2084" s="1" t="s">
        <v>1191</v>
      </c>
      <c r="E2084" t="s">
        <v>15061</v>
      </c>
      <c r="F2084" s="1">
        <v>621151</v>
      </c>
      <c r="G2084" s="1">
        <v>3446920005</v>
      </c>
      <c r="H2084" s="1">
        <v>4</v>
      </c>
      <c r="I2084" s="1" t="s">
        <v>1366</v>
      </c>
      <c r="J2084" t="s">
        <v>15062</v>
      </c>
    </row>
    <row r="2085" spans="1:10">
      <c r="A2085" s="1">
        <v>511493</v>
      </c>
      <c r="B2085" s="1">
        <v>4127100888</v>
      </c>
      <c r="C2085" s="1">
        <v>12</v>
      </c>
      <c r="D2085" s="1" t="s">
        <v>1189</v>
      </c>
      <c r="E2085" t="s">
        <v>15063</v>
      </c>
      <c r="F2085" s="1">
        <v>734202</v>
      </c>
      <c r="G2085" s="1">
        <v>77098105152</v>
      </c>
      <c r="H2085" s="1">
        <v>10</v>
      </c>
      <c r="I2085" s="1" t="s">
        <v>259</v>
      </c>
      <c r="J2085" t="s">
        <v>15064</v>
      </c>
    </row>
    <row r="2086" spans="1:10">
      <c r="A2086" s="1">
        <v>314716</v>
      </c>
      <c r="B2086" s="1">
        <v>4127100904</v>
      </c>
      <c r="C2086" s="1">
        <v>12</v>
      </c>
      <c r="D2086" s="1" t="s">
        <v>1189</v>
      </c>
      <c r="E2086" t="s">
        <v>15065</v>
      </c>
      <c r="F2086" s="1">
        <v>785873</v>
      </c>
      <c r="G2086" s="1">
        <v>7455503525</v>
      </c>
      <c r="H2086" s="1">
        <v>6</v>
      </c>
      <c r="I2086" s="1" t="s">
        <v>1387</v>
      </c>
      <c r="J2086" t="s">
        <v>15066</v>
      </c>
    </row>
    <row r="2087" spans="1:10">
      <c r="A2087" s="1">
        <v>647537</v>
      </c>
      <c r="B2087" s="1">
        <v>4127102619</v>
      </c>
      <c r="C2087" s="1">
        <v>12</v>
      </c>
      <c r="D2087" s="1" t="s">
        <v>1189</v>
      </c>
      <c r="E2087" t="s">
        <v>15067</v>
      </c>
      <c r="F2087" s="1">
        <v>424515</v>
      </c>
      <c r="G2087" s="1">
        <v>2814326789</v>
      </c>
      <c r="H2087" s="1">
        <v>2</v>
      </c>
      <c r="I2087" s="1" t="s">
        <v>47</v>
      </c>
      <c r="J2087" t="s">
        <v>15068</v>
      </c>
    </row>
    <row r="2088" spans="1:10">
      <c r="A2088" s="1">
        <v>642959</v>
      </c>
      <c r="B2088" s="1">
        <v>4127102518</v>
      </c>
      <c r="C2088" s="1">
        <v>12</v>
      </c>
      <c r="D2088" s="1" t="s">
        <v>1191</v>
      </c>
      <c r="E2088" t="s">
        <v>15069</v>
      </c>
      <c r="F2088" s="1">
        <v>619585</v>
      </c>
      <c r="G2088" s="1">
        <v>75090390096</v>
      </c>
      <c r="H2088" s="1">
        <v>24</v>
      </c>
      <c r="I2088" s="1" t="s">
        <v>574</v>
      </c>
      <c r="J2088" t="s">
        <v>15070</v>
      </c>
    </row>
    <row r="2089" spans="1:10">
      <c r="A2089" s="1">
        <v>647503</v>
      </c>
      <c r="B2089" s="1">
        <v>4127102563</v>
      </c>
      <c r="C2089" s="1">
        <v>12</v>
      </c>
      <c r="D2089" s="1" t="s">
        <v>1191</v>
      </c>
      <c r="E2089" t="s">
        <v>15071</v>
      </c>
      <c r="F2089" s="1">
        <v>603043</v>
      </c>
      <c r="G2089" s="1">
        <v>4980039255</v>
      </c>
      <c r="H2089" s="1">
        <v>4</v>
      </c>
      <c r="I2089" s="1" t="s">
        <v>12366</v>
      </c>
      <c r="J2089" t="s">
        <v>15072</v>
      </c>
    </row>
    <row r="2090" spans="1:10">
      <c r="A2090" s="1">
        <v>641167</v>
      </c>
      <c r="B2090" s="1">
        <v>4127102488</v>
      </c>
      <c r="C2090" s="1">
        <v>12</v>
      </c>
      <c r="D2090" s="1" t="s">
        <v>1189</v>
      </c>
      <c r="E2090" t="s">
        <v>15073</v>
      </c>
      <c r="F2090" s="1">
        <v>600163</v>
      </c>
      <c r="G2090" s="1">
        <v>4980064533</v>
      </c>
      <c r="H2090" s="1">
        <v>24</v>
      </c>
      <c r="I2090" s="1" t="s">
        <v>381</v>
      </c>
      <c r="J2090" t="s">
        <v>15074</v>
      </c>
    </row>
    <row r="2091" spans="1:10">
      <c r="A2091" s="1">
        <v>662841</v>
      </c>
      <c r="B2091" s="1">
        <v>4127101992</v>
      </c>
      <c r="C2091" s="1">
        <v>12</v>
      </c>
      <c r="D2091" s="1" t="s">
        <v>1191</v>
      </c>
      <c r="E2091" t="s">
        <v>15075</v>
      </c>
      <c r="F2091" s="1">
        <v>648956</v>
      </c>
      <c r="G2091" s="1">
        <v>75090303277</v>
      </c>
      <c r="H2091" s="1">
        <v>5</v>
      </c>
      <c r="I2091" s="1" t="s">
        <v>15076</v>
      </c>
      <c r="J2091" t="s">
        <v>15077</v>
      </c>
    </row>
    <row r="2092" spans="1:10">
      <c r="A2092" s="1">
        <v>585844</v>
      </c>
      <c r="B2092" s="1">
        <v>4127101996</v>
      </c>
      <c r="C2092" s="1">
        <v>12</v>
      </c>
      <c r="D2092" s="1" t="s">
        <v>1191</v>
      </c>
      <c r="E2092" t="s">
        <v>15078</v>
      </c>
      <c r="F2092" s="1">
        <v>585497</v>
      </c>
      <c r="G2092" s="1">
        <v>75090303275</v>
      </c>
      <c r="H2092" s="1">
        <v>24</v>
      </c>
      <c r="I2092" s="1" t="s">
        <v>742</v>
      </c>
      <c r="J2092" t="s">
        <v>15079</v>
      </c>
    </row>
    <row r="2093" spans="1:10" ht="15.75">
      <c r="A2093" s="4" t="s">
        <v>15043</v>
      </c>
      <c r="B2093" s="2"/>
      <c r="C2093" s="2"/>
      <c r="D2093" s="2"/>
      <c r="E2093" s="3"/>
      <c r="F2093" s="4" t="s">
        <v>15080</v>
      </c>
      <c r="G2093" s="2"/>
      <c r="H2093" s="2"/>
      <c r="I2093" s="2"/>
      <c r="J2093" s="3"/>
    </row>
    <row r="2094" spans="1:10">
      <c r="A2094" s="2" t="s">
        <v>0</v>
      </c>
      <c r="B2094" s="2" t="s">
        <v>1</v>
      </c>
      <c r="C2094" s="2" t="s">
        <v>2</v>
      </c>
      <c r="D2094" s="2" t="s">
        <v>3</v>
      </c>
      <c r="E2094" s="3" t="s">
        <v>4</v>
      </c>
      <c r="F2094" s="2" t="s">
        <v>0</v>
      </c>
      <c r="G2094" s="2" t="s">
        <v>1</v>
      </c>
      <c r="H2094" s="2" t="s">
        <v>2</v>
      </c>
      <c r="I2094" s="2" t="s">
        <v>3</v>
      </c>
      <c r="J2094" s="3" t="s">
        <v>4</v>
      </c>
    </row>
    <row r="2095" spans="1:10">
      <c r="A2095" s="1">
        <v>676999</v>
      </c>
      <c r="B2095" s="1">
        <v>75090300000</v>
      </c>
      <c r="C2095" s="1">
        <v>5</v>
      </c>
      <c r="D2095" s="1" t="s">
        <v>15076</v>
      </c>
      <c r="E2095" t="s">
        <v>15081</v>
      </c>
      <c r="F2095" s="1">
        <v>635912</v>
      </c>
      <c r="G2095" s="1">
        <v>2770004369</v>
      </c>
      <c r="H2095" s="1">
        <v>6</v>
      </c>
      <c r="I2095" s="1" t="s">
        <v>3633</v>
      </c>
      <c r="J2095" t="s">
        <v>15082</v>
      </c>
    </row>
    <row r="2096" spans="1:10">
      <c r="A2096" s="1">
        <v>74971</v>
      </c>
      <c r="B2096" s="1">
        <v>1290000565</v>
      </c>
      <c r="C2096" s="1">
        <v>8</v>
      </c>
      <c r="D2096" s="1" t="s">
        <v>4979</v>
      </c>
      <c r="E2096" t="s">
        <v>15083</v>
      </c>
      <c r="F2096" s="1">
        <v>38729</v>
      </c>
      <c r="G2096" s="1">
        <v>7731740003</v>
      </c>
      <c r="H2096" s="1">
        <v>48</v>
      </c>
      <c r="I2096" s="1" t="s">
        <v>397</v>
      </c>
      <c r="J2096" t="s">
        <v>15084</v>
      </c>
    </row>
    <row r="2097" spans="1:10">
      <c r="A2097" s="1">
        <v>67850</v>
      </c>
      <c r="B2097" s="1">
        <v>89963200001</v>
      </c>
      <c r="C2097" s="1">
        <v>12</v>
      </c>
      <c r="D2097" s="1" t="s">
        <v>7</v>
      </c>
      <c r="E2097" t="s">
        <v>15085</v>
      </c>
      <c r="F2097" s="1">
        <v>90589</v>
      </c>
      <c r="G2097" s="1">
        <v>7731741413</v>
      </c>
      <c r="H2097" s="1">
        <v>24</v>
      </c>
      <c r="I2097" s="1" t="s">
        <v>397</v>
      </c>
      <c r="J2097" t="s">
        <v>15086</v>
      </c>
    </row>
    <row r="2098" spans="1:10" ht="15.75">
      <c r="A2098" s="4" t="s">
        <v>15080</v>
      </c>
      <c r="B2098" s="2"/>
      <c r="C2098" s="2"/>
      <c r="D2098" s="2"/>
      <c r="E2098" s="3"/>
      <c r="F2098" s="1">
        <v>450791</v>
      </c>
      <c r="G2098" s="1">
        <v>7731741412</v>
      </c>
      <c r="H2098" s="1">
        <v>24</v>
      </c>
      <c r="I2098" s="1" t="s">
        <v>397</v>
      </c>
      <c r="J2098" t="s">
        <v>15087</v>
      </c>
    </row>
    <row r="2099" spans="1:10">
      <c r="A2099" s="2" t="s">
        <v>0</v>
      </c>
      <c r="B2099" s="2" t="s">
        <v>1</v>
      </c>
      <c r="C2099" s="2" t="s">
        <v>2</v>
      </c>
      <c r="D2099" s="2" t="s">
        <v>3</v>
      </c>
      <c r="E2099" s="3" t="s">
        <v>4</v>
      </c>
      <c r="F2099" s="1">
        <v>366096</v>
      </c>
      <c r="G2099" s="1">
        <v>7731740002</v>
      </c>
      <c r="H2099" s="1">
        <v>48</v>
      </c>
      <c r="I2099" s="1" t="s">
        <v>397</v>
      </c>
      <c r="J2099" t="s">
        <v>15088</v>
      </c>
    </row>
    <row r="2100" spans="1:10">
      <c r="A2100" s="1">
        <v>667675</v>
      </c>
      <c r="B2100" s="1">
        <v>2449704371</v>
      </c>
      <c r="C2100" s="1">
        <v>108</v>
      </c>
      <c r="D2100" s="1" t="s">
        <v>14</v>
      </c>
      <c r="E2100" t="s">
        <v>15089</v>
      </c>
      <c r="F2100" s="1">
        <v>37168</v>
      </c>
      <c r="G2100" s="1">
        <v>7731728212</v>
      </c>
      <c r="H2100" s="1">
        <v>6</v>
      </c>
      <c r="I2100" s="1" t="s">
        <v>1198</v>
      </c>
      <c r="J2100" t="s">
        <v>15090</v>
      </c>
    </row>
    <row r="2101" spans="1:10">
      <c r="A2101" s="1">
        <v>865113</v>
      </c>
      <c r="B2101" s="1">
        <v>3601673801</v>
      </c>
      <c r="C2101" s="1">
        <v>288</v>
      </c>
      <c r="D2101" s="1" t="s">
        <v>200</v>
      </c>
      <c r="E2101" t="s">
        <v>15091</v>
      </c>
      <c r="F2101" s="1">
        <v>253781</v>
      </c>
      <c r="G2101" s="1">
        <v>7731708212</v>
      </c>
      <c r="H2101" s="1">
        <v>6</v>
      </c>
      <c r="I2101" s="1" t="s">
        <v>1198</v>
      </c>
      <c r="J2101" t="s">
        <v>15092</v>
      </c>
    </row>
    <row r="2102" spans="1:10">
      <c r="A2102" s="1">
        <v>560789</v>
      </c>
      <c r="B2102" s="1">
        <v>1482120882</v>
      </c>
      <c r="C2102" s="1">
        <v>8</v>
      </c>
      <c r="D2102" s="1" t="s">
        <v>910</v>
      </c>
      <c r="E2102" t="s">
        <v>15093</v>
      </c>
      <c r="F2102" s="1">
        <v>252510</v>
      </c>
      <c r="G2102" s="1">
        <v>7731708213</v>
      </c>
      <c r="H2102" s="1">
        <v>6</v>
      </c>
      <c r="I2102" s="1" t="s">
        <v>1198</v>
      </c>
      <c r="J2102" t="s">
        <v>15094</v>
      </c>
    </row>
    <row r="2103" spans="1:10">
      <c r="A2103" s="1">
        <v>604025</v>
      </c>
      <c r="B2103" s="1">
        <v>2169801401</v>
      </c>
      <c r="C2103" s="1">
        <v>12</v>
      </c>
      <c r="D2103" s="1" t="s">
        <v>8</v>
      </c>
      <c r="E2103" t="s">
        <v>15095</v>
      </c>
      <c r="F2103" s="1">
        <v>41467</v>
      </c>
      <c r="G2103" s="1">
        <v>7731728413</v>
      </c>
      <c r="H2103" s="1">
        <v>6</v>
      </c>
      <c r="I2103" s="1" t="s">
        <v>1313</v>
      </c>
      <c r="J2103" t="s">
        <v>15096</v>
      </c>
    </row>
    <row r="2104" spans="1:10">
      <c r="A2104" s="1">
        <v>639559</v>
      </c>
      <c r="B2104" s="1">
        <v>70897111807</v>
      </c>
      <c r="C2104" s="1">
        <v>12</v>
      </c>
      <c r="D2104" s="1" t="s">
        <v>910</v>
      </c>
      <c r="E2104" t="s">
        <v>15097</v>
      </c>
      <c r="F2104" s="1">
        <v>491183</v>
      </c>
      <c r="G2104" s="1">
        <v>7731728213</v>
      </c>
      <c r="H2104" s="1">
        <v>6</v>
      </c>
      <c r="I2104" s="1" t="s">
        <v>1198</v>
      </c>
      <c r="J2104" t="s">
        <v>15098</v>
      </c>
    </row>
    <row r="2105" spans="1:10">
      <c r="A2105" s="1">
        <v>639807</v>
      </c>
      <c r="B2105" s="1">
        <v>70897111805</v>
      </c>
      <c r="C2105" s="1">
        <v>12</v>
      </c>
      <c r="D2105" s="1" t="s">
        <v>910</v>
      </c>
      <c r="E2105" t="s">
        <v>15099</v>
      </c>
      <c r="F2105" s="1">
        <v>417485</v>
      </c>
      <c r="G2105" s="1">
        <v>7731728269</v>
      </c>
      <c r="H2105" s="1">
        <v>6</v>
      </c>
      <c r="I2105" s="1" t="s">
        <v>1198</v>
      </c>
      <c r="J2105" t="s">
        <v>15100</v>
      </c>
    </row>
    <row r="2106" spans="1:10">
      <c r="A2106" s="1">
        <v>624213</v>
      </c>
      <c r="B2106" s="1">
        <v>70897111806</v>
      </c>
      <c r="C2106" s="1">
        <v>12</v>
      </c>
      <c r="D2106" s="1" t="s">
        <v>910</v>
      </c>
      <c r="E2106" t="s">
        <v>15101</v>
      </c>
      <c r="F2106" s="1">
        <v>378117</v>
      </c>
      <c r="G2106" s="1">
        <v>7731708157</v>
      </c>
      <c r="H2106" s="1">
        <v>6</v>
      </c>
      <c r="I2106" s="1" t="s">
        <v>637</v>
      </c>
      <c r="J2106" t="s">
        <v>15102</v>
      </c>
    </row>
    <row r="2107" spans="1:10">
      <c r="A2107" s="1">
        <v>612275</v>
      </c>
      <c r="B2107" s="1">
        <v>3601673800</v>
      </c>
      <c r="C2107" s="1">
        <v>288</v>
      </c>
      <c r="D2107" s="1" t="s">
        <v>200</v>
      </c>
      <c r="E2107" t="s">
        <v>15103</v>
      </c>
      <c r="F2107" s="1">
        <v>370957</v>
      </c>
      <c r="G2107" s="1">
        <v>7731728257</v>
      </c>
      <c r="H2107" s="1">
        <v>6</v>
      </c>
      <c r="I2107" s="1" t="s">
        <v>1355</v>
      </c>
      <c r="J2107" t="s">
        <v>15104</v>
      </c>
    </row>
    <row r="2108" spans="1:10">
      <c r="A2108" s="1">
        <v>630012</v>
      </c>
      <c r="B2108" s="1">
        <v>3601673901</v>
      </c>
      <c r="C2108" s="1">
        <v>180</v>
      </c>
      <c r="D2108" s="1" t="s">
        <v>31</v>
      </c>
      <c r="E2108" t="s">
        <v>15105</v>
      </c>
      <c r="F2108" s="1">
        <v>376814</v>
      </c>
      <c r="G2108" s="1">
        <v>7731708412</v>
      </c>
      <c r="H2108" s="1">
        <v>6</v>
      </c>
      <c r="I2108" s="1" t="s">
        <v>1313</v>
      </c>
      <c r="J2108" t="s">
        <v>15106</v>
      </c>
    </row>
    <row r="2109" spans="1:10">
      <c r="A2109" s="1">
        <v>636662</v>
      </c>
      <c r="B2109" s="1">
        <v>3601673923</v>
      </c>
      <c r="C2109" s="1">
        <v>180</v>
      </c>
      <c r="D2109" s="1" t="s">
        <v>31</v>
      </c>
      <c r="E2109" t="s">
        <v>15107</v>
      </c>
      <c r="F2109" s="1">
        <v>377812</v>
      </c>
      <c r="G2109" s="1">
        <v>7731708413</v>
      </c>
      <c r="H2109" s="1">
        <v>6</v>
      </c>
      <c r="I2109" s="1" t="s">
        <v>1313</v>
      </c>
      <c r="J2109" t="s">
        <v>15108</v>
      </c>
    </row>
    <row r="2110" spans="1:10">
      <c r="A2110" s="1">
        <v>631754</v>
      </c>
      <c r="B2110" s="1">
        <v>3601673931</v>
      </c>
      <c r="C2110" s="1">
        <v>180</v>
      </c>
      <c r="D2110" s="1" t="s">
        <v>31</v>
      </c>
      <c r="E2110" t="s">
        <v>15109</v>
      </c>
      <c r="F2110" s="1">
        <v>377960</v>
      </c>
      <c r="G2110" s="1">
        <v>7731708434</v>
      </c>
      <c r="H2110" s="1">
        <v>6</v>
      </c>
      <c r="I2110" s="1" t="s">
        <v>1313</v>
      </c>
      <c r="J2110" t="s">
        <v>15110</v>
      </c>
    </row>
    <row r="2111" spans="1:10">
      <c r="A2111" s="1">
        <v>639799</v>
      </c>
      <c r="B2111" s="1">
        <v>3601673911</v>
      </c>
      <c r="C2111" s="1">
        <v>180</v>
      </c>
      <c r="D2111" s="1" t="s">
        <v>31</v>
      </c>
      <c r="E2111" t="s">
        <v>15111</v>
      </c>
      <c r="F2111" s="1">
        <v>498089</v>
      </c>
      <c r="G2111" s="1">
        <v>7731740001</v>
      </c>
      <c r="H2111" s="1">
        <v>48</v>
      </c>
      <c r="I2111" s="1" t="s">
        <v>397</v>
      </c>
      <c r="J2111" t="s">
        <v>15112</v>
      </c>
    </row>
    <row r="2112" spans="1:10">
      <c r="A2112" s="1">
        <v>612168</v>
      </c>
      <c r="B2112" s="1">
        <v>3601673804</v>
      </c>
      <c r="C2112" s="1">
        <v>288</v>
      </c>
      <c r="D2112" s="1" t="s">
        <v>200</v>
      </c>
      <c r="E2112" t="s">
        <v>15113</v>
      </c>
      <c r="F2112" s="1">
        <v>81091</v>
      </c>
      <c r="G2112" s="1">
        <v>2951933300</v>
      </c>
      <c r="H2112" s="1">
        <v>1</v>
      </c>
      <c r="I2112" s="1" t="s">
        <v>6597</v>
      </c>
      <c r="J2112" t="s">
        <v>15114</v>
      </c>
    </row>
    <row r="2113" spans="1:10">
      <c r="A2113" s="1">
        <v>649988</v>
      </c>
      <c r="B2113" s="1">
        <v>3601673805</v>
      </c>
      <c r="C2113" s="1">
        <v>288</v>
      </c>
      <c r="D2113" s="1" t="s">
        <v>200</v>
      </c>
      <c r="E2113" t="s">
        <v>15115</v>
      </c>
      <c r="F2113" s="1">
        <v>883033</v>
      </c>
      <c r="G2113" s="1">
        <v>7225001079</v>
      </c>
      <c r="H2113" s="1">
        <v>16</v>
      </c>
      <c r="I2113" s="1" t="s">
        <v>363</v>
      </c>
      <c r="J2113" t="s">
        <v>15116</v>
      </c>
    </row>
    <row r="2114" spans="1:10">
      <c r="A2114" s="1">
        <v>637934</v>
      </c>
      <c r="B2114" s="1">
        <v>3601673913</v>
      </c>
      <c r="C2114" s="1">
        <v>180</v>
      </c>
      <c r="D2114" s="1" t="s">
        <v>31</v>
      </c>
      <c r="E2114" t="s">
        <v>15117</v>
      </c>
      <c r="F2114" s="1">
        <v>773770</v>
      </c>
      <c r="G2114" s="1">
        <v>7225000728</v>
      </c>
      <c r="H2114" s="1">
        <v>72</v>
      </c>
      <c r="I2114" s="1" t="s">
        <v>14</v>
      </c>
      <c r="J2114" t="s">
        <v>15118</v>
      </c>
    </row>
    <row r="2115" spans="1:10">
      <c r="A2115" s="1">
        <v>648402</v>
      </c>
      <c r="B2115" s="1">
        <v>3601673905</v>
      </c>
      <c r="C2115" s="1">
        <v>180</v>
      </c>
      <c r="D2115" s="1" t="s">
        <v>31</v>
      </c>
      <c r="E2115" t="s">
        <v>15119</v>
      </c>
      <c r="F2115" s="1">
        <v>800516</v>
      </c>
      <c r="G2115" s="1">
        <v>7225000726</v>
      </c>
      <c r="H2115" s="1">
        <v>72</v>
      </c>
      <c r="I2115" s="1" t="s">
        <v>312</v>
      </c>
      <c r="J2115" t="s">
        <v>15120</v>
      </c>
    </row>
    <row r="2116" spans="1:10">
      <c r="A2116" s="1">
        <v>288464</v>
      </c>
      <c r="B2116" s="1">
        <v>9456231903</v>
      </c>
      <c r="C2116" s="1">
        <v>288</v>
      </c>
      <c r="D2116" s="1" t="s">
        <v>16</v>
      </c>
      <c r="E2116" t="s">
        <v>15121</v>
      </c>
      <c r="F2116" s="1">
        <v>602177</v>
      </c>
      <c r="G2116" s="1">
        <v>2056949701</v>
      </c>
      <c r="H2116" s="1">
        <v>12</v>
      </c>
      <c r="I2116" s="1" t="s">
        <v>347</v>
      </c>
      <c r="J2116" t="s">
        <v>15122</v>
      </c>
    </row>
    <row r="2117" spans="1:10">
      <c r="A2117" s="1">
        <v>600858</v>
      </c>
      <c r="B2117" s="1">
        <v>4980011851</v>
      </c>
      <c r="C2117" s="1">
        <v>240</v>
      </c>
      <c r="D2117" s="1" t="s">
        <v>16</v>
      </c>
      <c r="E2117" t="s">
        <v>15123</v>
      </c>
      <c r="F2117" s="1">
        <v>638916</v>
      </c>
      <c r="G2117" s="1">
        <v>2056901321</v>
      </c>
      <c r="H2117" s="1">
        <v>96</v>
      </c>
      <c r="I2117" s="1" t="s">
        <v>14</v>
      </c>
      <c r="J2117" t="s">
        <v>15124</v>
      </c>
    </row>
    <row r="2118" spans="1:10">
      <c r="A2118" s="1">
        <v>600767</v>
      </c>
      <c r="B2118" s="1">
        <v>4980011873</v>
      </c>
      <c r="C2118" s="1">
        <v>240</v>
      </c>
      <c r="D2118" s="1" t="s">
        <v>16</v>
      </c>
      <c r="E2118" t="s">
        <v>15125</v>
      </c>
      <c r="F2118" s="1">
        <v>651844</v>
      </c>
      <c r="G2118" s="1">
        <v>2056920002</v>
      </c>
      <c r="H2118" s="1">
        <v>120</v>
      </c>
      <c r="I2118" s="1" t="s">
        <v>421</v>
      </c>
      <c r="J2118" t="s">
        <v>15126</v>
      </c>
    </row>
    <row r="2119" spans="1:10">
      <c r="A2119" s="1">
        <v>600700</v>
      </c>
      <c r="B2119" s="1">
        <v>4980011884</v>
      </c>
      <c r="C2119" s="1">
        <v>240</v>
      </c>
      <c r="D2119" s="1" t="s">
        <v>16</v>
      </c>
      <c r="E2119" t="s">
        <v>15127</v>
      </c>
      <c r="F2119" s="1">
        <v>629626</v>
      </c>
      <c r="G2119" s="1">
        <v>2056901015</v>
      </c>
      <c r="H2119" s="1">
        <v>96</v>
      </c>
      <c r="I2119" s="1" t="s">
        <v>14</v>
      </c>
      <c r="J2119" t="s">
        <v>15128</v>
      </c>
    </row>
    <row r="2120" spans="1:10">
      <c r="A2120" s="1">
        <v>619817</v>
      </c>
      <c r="B2120" s="1">
        <v>99880297</v>
      </c>
      <c r="C2120" s="1">
        <v>48</v>
      </c>
      <c r="D2120" s="1" t="s">
        <v>756</v>
      </c>
      <c r="E2120" t="s">
        <v>15129</v>
      </c>
      <c r="F2120" s="1">
        <v>629675</v>
      </c>
      <c r="G2120" s="1">
        <v>2056901116</v>
      </c>
      <c r="H2120" s="1">
        <v>96</v>
      </c>
      <c r="I2120" s="1" t="s">
        <v>14</v>
      </c>
      <c r="J2120" t="s">
        <v>15130</v>
      </c>
    </row>
    <row r="2121" spans="1:10">
      <c r="A2121" s="1">
        <v>169219</v>
      </c>
      <c r="B2121" s="1">
        <v>89963200083</v>
      </c>
      <c r="C2121" s="1">
        <v>12</v>
      </c>
      <c r="D2121" s="1" t="s">
        <v>15131</v>
      </c>
      <c r="E2121" t="s">
        <v>15132</v>
      </c>
      <c r="F2121" s="1">
        <v>615203</v>
      </c>
      <c r="G2121" s="1">
        <v>2056995000</v>
      </c>
      <c r="H2121" s="1">
        <v>12</v>
      </c>
      <c r="I2121" s="1" t="s">
        <v>439</v>
      </c>
      <c r="J2121" t="s">
        <v>15133</v>
      </c>
    </row>
    <row r="2122" spans="1:10">
      <c r="A2122" s="1">
        <v>628115</v>
      </c>
      <c r="B2122" s="1">
        <v>8304566755</v>
      </c>
      <c r="C2122" s="1">
        <v>8</v>
      </c>
      <c r="D2122" s="1" t="s">
        <v>954</v>
      </c>
      <c r="E2122" t="s">
        <v>15134</v>
      </c>
      <c r="F2122" s="1">
        <v>252551</v>
      </c>
      <c r="G2122" s="1">
        <v>2056920212</v>
      </c>
      <c r="H2122" s="1">
        <v>120</v>
      </c>
      <c r="I2122" s="1" t="s">
        <v>421</v>
      </c>
      <c r="J2122" t="s">
        <v>15135</v>
      </c>
    </row>
    <row r="2123" spans="1:10">
      <c r="A2123" s="1">
        <v>600031</v>
      </c>
      <c r="B2123" s="1">
        <v>8304566861</v>
      </c>
      <c r="C2123" s="1">
        <v>8</v>
      </c>
      <c r="D2123" s="1" t="s">
        <v>954</v>
      </c>
      <c r="E2123" t="s">
        <v>15136</v>
      </c>
      <c r="F2123" s="1">
        <v>629857</v>
      </c>
      <c r="G2123" s="1">
        <v>2056901010</v>
      </c>
      <c r="H2123" s="1">
        <v>96</v>
      </c>
      <c r="I2123" s="1" t="s">
        <v>14</v>
      </c>
      <c r="J2123" t="s">
        <v>15137</v>
      </c>
    </row>
    <row r="2124" spans="1:10">
      <c r="A2124" s="1">
        <v>621268</v>
      </c>
      <c r="B2124" s="1">
        <v>8304566886</v>
      </c>
      <c r="C2124" s="1">
        <v>8</v>
      </c>
      <c r="D2124" s="1" t="s">
        <v>954</v>
      </c>
      <c r="E2124" t="s">
        <v>15138</v>
      </c>
      <c r="F2124" s="1">
        <v>450171</v>
      </c>
      <c r="G2124" s="1">
        <v>2056931200</v>
      </c>
      <c r="H2124" s="1">
        <v>12</v>
      </c>
      <c r="I2124" s="1" t="s">
        <v>703</v>
      </c>
      <c r="J2124" t="s">
        <v>15139</v>
      </c>
    </row>
    <row r="2125" spans="1:10">
      <c r="A2125" s="1">
        <v>885087</v>
      </c>
      <c r="B2125" s="1">
        <v>7225000833</v>
      </c>
      <c r="C2125" s="1">
        <v>48</v>
      </c>
      <c r="D2125" s="1" t="s">
        <v>106</v>
      </c>
      <c r="E2125" t="s">
        <v>15140</v>
      </c>
      <c r="F2125" s="1">
        <v>162743</v>
      </c>
      <c r="G2125" s="1">
        <v>7626540479</v>
      </c>
      <c r="H2125" s="1">
        <v>24</v>
      </c>
      <c r="I2125" s="1" t="s">
        <v>546</v>
      </c>
      <c r="J2125" t="s">
        <v>15141</v>
      </c>
    </row>
    <row r="2126" spans="1:10">
      <c r="A2126" s="1">
        <v>883132</v>
      </c>
      <c r="B2126" s="1">
        <v>7225000815</v>
      </c>
      <c r="C2126" s="1">
        <v>48</v>
      </c>
      <c r="D2126" s="1" t="s">
        <v>106</v>
      </c>
      <c r="E2126" t="s">
        <v>15142</v>
      </c>
      <c r="F2126" s="1">
        <v>11718</v>
      </c>
      <c r="G2126" s="1">
        <v>7626599982</v>
      </c>
      <c r="H2126" s="1">
        <v>24</v>
      </c>
      <c r="I2126" s="1" t="s">
        <v>360</v>
      </c>
      <c r="J2126" t="s">
        <v>15143</v>
      </c>
    </row>
    <row r="2127" spans="1:10">
      <c r="A2127" s="1">
        <v>884676</v>
      </c>
      <c r="B2127" s="1">
        <v>7225001086</v>
      </c>
      <c r="C2127" s="1">
        <v>48</v>
      </c>
      <c r="D2127" s="1" t="s">
        <v>106</v>
      </c>
      <c r="E2127" t="s">
        <v>15144</v>
      </c>
      <c r="F2127" s="1">
        <v>536367</v>
      </c>
      <c r="G2127" s="1">
        <v>7626599987</v>
      </c>
      <c r="H2127" s="1">
        <v>24</v>
      </c>
      <c r="I2127" s="1" t="s">
        <v>360</v>
      </c>
      <c r="J2127" t="s">
        <v>15145</v>
      </c>
    </row>
    <row r="2128" spans="1:10">
      <c r="A2128" s="1">
        <v>261917</v>
      </c>
      <c r="B2128" s="1">
        <v>5097290500</v>
      </c>
      <c r="C2128" s="1">
        <v>8</v>
      </c>
      <c r="D2128" s="1" t="s">
        <v>1473</v>
      </c>
      <c r="E2128" t="s">
        <v>15146</v>
      </c>
      <c r="F2128" s="1">
        <v>623645</v>
      </c>
      <c r="G2128" s="1">
        <v>7626500620</v>
      </c>
      <c r="H2128" s="1">
        <v>18</v>
      </c>
      <c r="I2128" s="1" t="s">
        <v>632</v>
      </c>
      <c r="J2128" t="s">
        <v>15147</v>
      </c>
    </row>
    <row r="2129" spans="1:10">
      <c r="A2129" s="1">
        <v>386326</v>
      </c>
      <c r="B2129" s="1">
        <v>1482184028</v>
      </c>
      <c r="C2129" s="1">
        <v>12</v>
      </c>
      <c r="D2129" s="1" t="s">
        <v>347</v>
      </c>
      <c r="E2129" t="s">
        <v>15148</v>
      </c>
      <c r="F2129" s="1">
        <v>733766</v>
      </c>
      <c r="G2129" s="1">
        <v>7626500616</v>
      </c>
      <c r="H2129" s="1">
        <v>9</v>
      </c>
      <c r="I2129" s="1" t="s">
        <v>3633</v>
      </c>
      <c r="J2129" t="s">
        <v>15149</v>
      </c>
    </row>
    <row r="2130" spans="1:10">
      <c r="A2130" s="1">
        <v>700112</v>
      </c>
      <c r="B2130" s="1">
        <v>1482184048</v>
      </c>
      <c r="C2130" s="1">
        <v>12</v>
      </c>
      <c r="D2130" s="1" t="s">
        <v>347</v>
      </c>
      <c r="E2130" t="s">
        <v>15150</v>
      </c>
      <c r="F2130" s="1">
        <v>568493</v>
      </c>
      <c r="G2130" s="1">
        <v>7626500615</v>
      </c>
      <c r="H2130" s="1">
        <v>8</v>
      </c>
      <c r="I2130" s="1" t="s">
        <v>943</v>
      </c>
      <c r="J2130" t="s">
        <v>15151</v>
      </c>
    </row>
    <row r="2131" spans="1:10">
      <c r="A2131" s="1">
        <v>281717</v>
      </c>
      <c r="B2131" s="1">
        <v>1482184038</v>
      </c>
      <c r="C2131" s="1">
        <v>12</v>
      </c>
      <c r="D2131" s="1" t="s">
        <v>347</v>
      </c>
      <c r="E2131" t="s">
        <v>15152</v>
      </c>
      <c r="F2131" s="1">
        <v>343459</v>
      </c>
      <c r="G2131" s="1">
        <v>7626599981</v>
      </c>
      <c r="H2131" s="1">
        <v>24</v>
      </c>
      <c r="I2131" s="1" t="s">
        <v>360</v>
      </c>
      <c r="J2131" t="s">
        <v>15153</v>
      </c>
    </row>
    <row r="2132" spans="1:10">
      <c r="A2132" s="1">
        <v>219972</v>
      </c>
      <c r="B2132" s="1">
        <v>89366500223</v>
      </c>
      <c r="C2132" s="1">
        <v>12</v>
      </c>
      <c r="D2132" s="1" t="s">
        <v>439</v>
      </c>
      <c r="E2132" t="s">
        <v>15154</v>
      </c>
      <c r="F2132" s="1">
        <v>733774</v>
      </c>
      <c r="G2132" s="1">
        <v>4980004001</v>
      </c>
      <c r="H2132" s="1">
        <v>96</v>
      </c>
      <c r="I2132" s="1" t="s">
        <v>2211</v>
      </c>
      <c r="J2132" t="s">
        <v>15155</v>
      </c>
    </row>
    <row r="2133" spans="1:10">
      <c r="A2133" s="1">
        <v>635797</v>
      </c>
      <c r="B2133" s="1">
        <v>2770004373</v>
      </c>
      <c r="C2133" s="1">
        <v>6</v>
      </c>
      <c r="D2133" s="1" t="s">
        <v>3633</v>
      </c>
      <c r="E2133" t="s">
        <v>15156</v>
      </c>
      <c r="F2133" s="1">
        <v>733782</v>
      </c>
      <c r="G2133" s="1">
        <v>4980049804</v>
      </c>
      <c r="H2133" s="1">
        <v>60</v>
      </c>
      <c r="I2133" s="1" t="s">
        <v>14</v>
      </c>
      <c r="J2133" t="s">
        <v>15157</v>
      </c>
    </row>
    <row r="2134" spans="1:10" ht="15.75">
      <c r="A2134" s="4" t="s">
        <v>15080</v>
      </c>
      <c r="B2134" s="2"/>
      <c r="C2134" s="2"/>
      <c r="D2134" s="2"/>
      <c r="E2134" s="3"/>
      <c r="F2134" s="4" t="s">
        <v>15158</v>
      </c>
      <c r="G2134" s="2"/>
      <c r="H2134" s="2"/>
      <c r="I2134" s="2"/>
      <c r="J2134" s="3"/>
    </row>
    <row r="2135" spans="1:10">
      <c r="A2135" s="2" t="s">
        <v>0</v>
      </c>
      <c r="B2135" s="2" t="s">
        <v>1</v>
      </c>
      <c r="C2135" s="2" t="s">
        <v>2</v>
      </c>
      <c r="D2135" s="2" t="s">
        <v>3</v>
      </c>
      <c r="E2135" s="3" t="s">
        <v>4</v>
      </c>
      <c r="F2135" s="2" t="s">
        <v>0</v>
      </c>
      <c r="G2135" s="2" t="s">
        <v>1</v>
      </c>
      <c r="H2135" s="2" t="s">
        <v>2</v>
      </c>
      <c r="I2135" s="2" t="s">
        <v>3</v>
      </c>
      <c r="J2135" s="3" t="s">
        <v>4</v>
      </c>
    </row>
    <row r="2136" spans="1:10">
      <c r="A2136" s="1">
        <v>733790</v>
      </c>
      <c r="B2136" s="1">
        <v>4980004984</v>
      </c>
      <c r="C2136" s="1">
        <v>96</v>
      </c>
      <c r="D2136" s="1" t="s">
        <v>756</v>
      </c>
      <c r="E2136" t="s">
        <v>15159</v>
      </c>
      <c r="F2136" s="1">
        <v>149641</v>
      </c>
      <c r="G2136" s="1">
        <v>2951915747</v>
      </c>
      <c r="H2136" s="1">
        <v>16</v>
      </c>
      <c r="I2136" s="1" t="s">
        <v>347</v>
      </c>
      <c r="J2136" t="s">
        <v>15160</v>
      </c>
    </row>
    <row r="2137" spans="1:10">
      <c r="A2137" s="1">
        <v>564773</v>
      </c>
      <c r="B2137" s="1">
        <v>4980012810</v>
      </c>
      <c r="C2137" s="1">
        <v>100</v>
      </c>
      <c r="D2137" s="1" t="s">
        <v>14</v>
      </c>
      <c r="E2137" t="s">
        <v>15161</v>
      </c>
      <c r="F2137" s="1">
        <v>292839</v>
      </c>
      <c r="G2137" s="1">
        <v>77388900212</v>
      </c>
      <c r="H2137" s="1">
        <v>84</v>
      </c>
      <c r="I2137" s="1" t="s">
        <v>386</v>
      </c>
      <c r="J2137" t="s">
        <v>15162</v>
      </c>
    </row>
    <row r="2138" spans="1:10">
      <c r="A2138" s="1">
        <v>564732</v>
      </c>
      <c r="B2138" s="1">
        <v>4980014162</v>
      </c>
      <c r="C2138" s="1">
        <v>180</v>
      </c>
      <c r="D2138" s="1" t="s">
        <v>421</v>
      </c>
      <c r="E2138" t="s">
        <v>15163</v>
      </c>
      <c r="F2138" s="1">
        <v>832592</v>
      </c>
      <c r="G2138" s="1">
        <v>7388927531</v>
      </c>
      <c r="H2138" s="1">
        <v>84</v>
      </c>
      <c r="I2138" s="1" t="s">
        <v>386</v>
      </c>
      <c r="J2138" t="s">
        <v>15164</v>
      </c>
    </row>
    <row r="2139" spans="1:10">
      <c r="A2139" s="1">
        <v>564740</v>
      </c>
      <c r="B2139" s="1">
        <v>4980012362</v>
      </c>
      <c r="C2139" s="1">
        <v>100</v>
      </c>
      <c r="D2139" s="1" t="s">
        <v>421</v>
      </c>
      <c r="E2139" t="s">
        <v>15165</v>
      </c>
      <c r="F2139" s="1">
        <v>294710</v>
      </c>
      <c r="G2139" s="1">
        <v>7388913003</v>
      </c>
      <c r="H2139" s="1">
        <v>120</v>
      </c>
      <c r="I2139" s="1" t="s">
        <v>14</v>
      </c>
      <c r="J2139" t="s">
        <v>15166</v>
      </c>
    </row>
    <row r="2140" spans="1:10">
      <c r="A2140" s="1">
        <v>564757</v>
      </c>
      <c r="B2140" s="1">
        <v>4980012395</v>
      </c>
      <c r="C2140" s="1">
        <v>100</v>
      </c>
      <c r="D2140" s="1" t="s">
        <v>14</v>
      </c>
      <c r="E2140" t="s">
        <v>15167</v>
      </c>
      <c r="F2140" s="1">
        <v>74963</v>
      </c>
      <c r="G2140" s="1">
        <v>77388900213</v>
      </c>
      <c r="H2140" s="1">
        <v>84</v>
      </c>
      <c r="I2140" s="1" t="s">
        <v>386</v>
      </c>
      <c r="J2140" t="s">
        <v>15168</v>
      </c>
    </row>
    <row r="2141" spans="1:10">
      <c r="A2141" s="1">
        <v>564765</v>
      </c>
      <c r="B2141" s="1">
        <v>4980012802</v>
      </c>
      <c r="C2141" s="1">
        <v>100</v>
      </c>
      <c r="D2141" s="1" t="s">
        <v>14</v>
      </c>
      <c r="E2141" t="s">
        <v>15169</v>
      </c>
      <c r="F2141" s="1">
        <v>839555</v>
      </c>
      <c r="G2141" s="1">
        <v>7388913505</v>
      </c>
      <c r="H2141" s="1">
        <v>100</v>
      </c>
      <c r="I2141" s="1" t="s">
        <v>510</v>
      </c>
      <c r="J2141" t="s">
        <v>15170</v>
      </c>
    </row>
    <row r="2142" spans="1:10">
      <c r="A2142" s="1">
        <v>564690</v>
      </c>
      <c r="B2142" s="1">
        <v>4980014123</v>
      </c>
      <c r="C2142" s="1">
        <v>72</v>
      </c>
      <c r="D2142" s="1" t="s">
        <v>14</v>
      </c>
      <c r="E2142" t="s">
        <v>15171</v>
      </c>
      <c r="F2142" s="1">
        <v>803940</v>
      </c>
      <c r="G2142" s="1">
        <v>7388910565</v>
      </c>
      <c r="H2142" s="1">
        <v>84</v>
      </c>
      <c r="I2142" s="1" t="s">
        <v>386</v>
      </c>
      <c r="J2142" t="s">
        <v>15172</v>
      </c>
    </row>
    <row r="2143" spans="1:10">
      <c r="A2143" s="1">
        <v>733808</v>
      </c>
      <c r="B2143" s="1">
        <v>4980011455</v>
      </c>
      <c r="C2143" s="1">
        <v>96</v>
      </c>
      <c r="D2143" s="1" t="s">
        <v>2211</v>
      </c>
      <c r="E2143" t="s">
        <v>15173</v>
      </c>
      <c r="F2143" s="1">
        <v>686766</v>
      </c>
      <c r="G2143" s="1">
        <v>7388925676</v>
      </c>
      <c r="H2143" s="1">
        <v>120</v>
      </c>
      <c r="I2143" s="1" t="s">
        <v>2211</v>
      </c>
      <c r="J2143" t="s">
        <v>15174</v>
      </c>
    </row>
    <row r="2144" spans="1:10">
      <c r="A2144" s="1">
        <v>611475</v>
      </c>
      <c r="B2144" s="1">
        <v>4980003877</v>
      </c>
      <c r="C2144" s="1">
        <v>240</v>
      </c>
      <c r="D2144" s="1" t="s">
        <v>18</v>
      </c>
      <c r="E2144" t="s">
        <v>15175</v>
      </c>
      <c r="F2144" s="1">
        <v>786657</v>
      </c>
      <c r="G2144" s="1">
        <v>7388913507</v>
      </c>
      <c r="H2144" s="1">
        <v>100</v>
      </c>
      <c r="I2144" s="1" t="s">
        <v>510</v>
      </c>
      <c r="J2144" t="s">
        <v>15176</v>
      </c>
    </row>
    <row r="2145" spans="1:10">
      <c r="A2145" s="1">
        <v>739169</v>
      </c>
      <c r="B2145" s="1">
        <v>4980012663</v>
      </c>
      <c r="C2145" s="1">
        <v>84</v>
      </c>
      <c r="D2145" s="1" t="s">
        <v>31</v>
      </c>
      <c r="E2145" t="s">
        <v>15177</v>
      </c>
      <c r="F2145" s="1">
        <v>603902</v>
      </c>
      <c r="G2145" s="1">
        <v>1099500163</v>
      </c>
      <c r="H2145" s="1">
        <v>16</v>
      </c>
      <c r="I2145" s="1" t="s">
        <v>347</v>
      </c>
      <c r="J2145" t="s">
        <v>15178</v>
      </c>
    </row>
    <row r="2146" spans="1:10">
      <c r="A2146" s="1">
        <v>606053</v>
      </c>
      <c r="B2146" s="1">
        <v>7626540451</v>
      </c>
      <c r="C2146" s="1">
        <v>18</v>
      </c>
      <c r="D2146" s="1" t="s">
        <v>347</v>
      </c>
      <c r="E2146" t="s">
        <v>15179</v>
      </c>
      <c r="F2146" s="1">
        <v>603951</v>
      </c>
      <c r="G2146" s="1">
        <v>1099500161</v>
      </c>
      <c r="H2146" s="1">
        <v>16</v>
      </c>
      <c r="I2146" s="1" t="s">
        <v>347</v>
      </c>
      <c r="J2146" t="s">
        <v>15180</v>
      </c>
    </row>
    <row r="2147" spans="1:10">
      <c r="A2147" s="1">
        <v>85480</v>
      </c>
      <c r="B2147" s="1">
        <v>77098106185</v>
      </c>
      <c r="C2147" s="1">
        <v>24</v>
      </c>
      <c r="D2147" s="1" t="s">
        <v>615</v>
      </c>
      <c r="E2147" t="s">
        <v>15181</v>
      </c>
      <c r="F2147" s="1">
        <v>885467</v>
      </c>
      <c r="G2147" s="1">
        <v>7225090321</v>
      </c>
      <c r="H2147" s="1">
        <v>24</v>
      </c>
      <c r="I2147" s="1" t="s">
        <v>347</v>
      </c>
      <c r="J2147" t="s">
        <v>15182</v>
      </c>
    </row>
    <row r="2148" spans="1:10">
      <c r="A2148" s="1">
        <v>581348</v>
      </c>
      <c r="B2148" s="1">
        <v>77098106115</v>
      </c>
      <c r="C2148" s="1">
        <v>24</v>
      </c>
      <c r="D2148" s="1" t="s">
        <v>615</v>
      </c>
      <c r="E2148" t="s">
        <v>15183</v>
      </c>
      <c r="F2148" s="1">
        <v>885459</v>
      </c>
      <c r="G2148" s="1">
        <v>7225090325</v>
      </c>
      <c r="H2148" s="1">
        <v>24</v>
      </c>
      <c r="I2148" s="1" t="s">
        <v>381</v>
      </c>
      <c r="J2148" t="s">
        <v>15184</v>
      </c>
    </row>
    <row r="2149" spans="1:10">
      <c r="A2149" s="1">
        <v>143149</v>
      </c>
      <c r="B2149" s="1">
        <v>77098109517</v>
      </c>
      <c r="C2149" s="1">
        <v>18</v>
      </c>
      <c r="D2149" s="1" t="s">
        <v>599</v>
      </c>
      <c r="E2149" t="s">
        <v>15185</v>
      </c>
      <c r="F2149" s="1">
        <v>585638</v>
      </c>
      <c r="G2149" s="1">
        <v>77089106105</v>
      </c>
      <c r="H2149" s="1">
        <v>24</v>
      </c>
      <c r="I2149" s="1" t="s">
        <v>615</v>
      </c>
      <c r="J2149" t="s">
        <v>15186</v>
      </c>
    </row>
    <row r="2150" spans="1:10">
      <c r="A2150" s="1">
        <v>21717</v>
      </c>
      <c r="B2150" s="1">
        <v>77098106125</v>
      </c>
      <c r="C2150" s="1">
        <v>24</v>
      </c>
      <c r="D2150" s="1" t="s">
        <v>615</v>
      </c>
      <c r="E2150" t="s">
        <v>15187</v>
      </c>
      <c r="F2150" s="1">
        <v>734533</v>
      </c>
      <c r="G2150" s="1">
        <v>77098106130</v>
      </c>
      <c r="H2150" s="1">
        <v>24</v>
      </c>
      <c r="I2150" s="1" t="s">
        <v>615</v>
      </c>
      <c r="J2150" t="s">
        <v>15188</v>
      </c>
    </row>
    <row r="2151" spans="1:10">
      <c r="A2151" s="1">
        <v>612796</v>
      </c>
      <c r="B2151" s="1">
        <v>9456206285</v>
      </c>
      <c r="C2151" s="1">
        <v>120</v>
      </c>
      <c r="D2151" s="1" t="s">
        <v>31</v>
      </c>
      <c r="E2151" t="s">
        <v>15189</v>
      </c>
      <c r="F2151" s="1">
        <v>734541</v>
      </c>
      <c r="G2151" s="1">
        <v>77098106100</v>
      </c>
      <c r="H2151" s="1">
        <v>24</v>
      </c>
      <c r="I2151" s="1" t="s">
        <v>615</v>
      </c>
      <c r="J2151" t="s">
        <v>15190</v>
      </c>
    </row>
    <row r="2152" spans="1:10">
      <c r="A2152" s="1">
        <v>612721</v>
      </c>
      <c r="B2152" s="1">
        <v>9456206250</v>
      </c>
      <c r="C2152" s="1">
        <v>120</v>
      </c>
      <c r="D2152" s="1" t="s">
        <v>2636</v>
      </c>
      <c r="E2152" t="s">
        <v>15191</v>
      </c>
      <c r="F2152" s="1">
        <v>734558</v>
      </c>
      <c r="G2152" s="1">
        <v>77098109800</v>
      </c>
      <c r="H2152" s="1">
        <v>12</v>
      </c>
      <c r="I2152" s="1" t="s">
        <v>632</v>
      </c>
      <c r="J2152" t="s">
        <v>15192</v>
      </c>
    </row>
    <row r="2153" spans="1:10">
      <c r="A2153" s="1">
        <v>79087</v>
      </c>
      <c r="B2153" s="1">
        <v>9456208135</v>
      </c>
      <c r="C2153" s="1">
        <v>96</v>
      </c>
      <c r="D2153" s="1" t="s">
        <v>386</v>
      </c>
      <c r="E2153" t="s">
        <v>15193</v>
      </c>
      <c r="F2153" s="1">
        <v>736686</v>
      </c>
      <c r="G2153" s="1">
        <v>77098107570</v>
      </c>
      <c r="H2153" s="1">
        <v>12</v>
      </c>
      <c r="I2153" s="1" t="s">
        <v>381</v>
      </c>
      <c r="J2153" t="s">
        <v>15194</v>
      </c>
    </row>
    <row r="2154" spans="1:10">
      <c r="A2154" s="1">
        <v>630483</v>
      </c>
      <c r="B2154" s="1">
        <v>4708771326</v>
      </c>
      <c r="C2154" s="1">
        <v>48</v>
      </c>
      <c r="D2154" s="1" t="s">
        <v>536</v>
      </c>
      <c r="E2154" t="s">
        <v>15195</v>
      </c>
      <c r="F2154" s="1">
        <v>734566</v>
      </c>
      <c r="G2154" s="1">
        <v>77098107520</v>
      </c>
      <c r="H2154" s="1">
        <v>12</v>
      </c>
      <c r="I2154" s="1" t="s">
        <v>381</v>
      </c>
      <c r="J2154" t="s">
        <v>15196</v>
      </c>
    </row>
    <row r="2155" spans="1:10">
      <c r="A2155" s="1">
        <v>630400</v>
      </c>
      <c r="B2155" s="1">
        <v>4708771324</v>
      </c>
      <c r="C2155" s="1">
        <v>48</v>
      </c>
      <c r="D2155" s="1" t="s">
        <v>536</v>
      </c>
      <c r="E2155" t="s">
        <v>15197</v>
      </c>
      <c r="F2155" s="1">
        <v>734574</v>
      </c>
      <c r="G2155" s="1">
        <v>77098107510</v>
      </c>
      <c r="H2155" s="1">
        <v>12</v>
      </c>
      <c r="I2155" s="1" t="s">
        <v>908</v>
      </c>
      <c r="J2155" t="s">
        <v>15198</v>
      </c>
    </row>
    <row r="2156" spans="1:10" ht="15.75">
      <c r="A2156" s="4" t="s">
        <v>15158</v>
      </c>
      <c r="B2156" s="2"/>
      <c r="C2156" s="2"/>
      <c r="D2156" s="2"/>
      <c r="E2156" s="3"/>
      <c r="F2156" s="1">
        <v>629758</v>
      </c>
      <c r="G2156" s="1">
        <v>7056599292</v>
      </c>
      <c r="H2156" s="1">
        <v>6</v>
      </c>
      <c r="I2156" s="1" t="s">
        <v>15199</v>
      </c>
      <c r="J2156" t="s">
        <v>15200</v>
      </c>
    </row>
    <row r="2157" spans="1:10">
      <c r="A2157" s="2" t="s">
        <v>0</v>
      </c>
      <c r="B2157" s="2" t="s">
        <v>1</v>
      </c>
      <c r="C2157" s="2" t="s">
        <v>2</v>
      </c>
      <c r="D2157" s="2" t="s">
        <v>3</v>
      </c>
      <c r="E2157" s="3" t="s">
        <v>4</v>
      </c>
      <c r="F2157" s="1">
        <v>603787</v>
      </c>
      <c r="G2157" s="1">
        <v>3354727805</v>
      </c>
      <c r="H2157" s="1">
        <v>10</v>
      </c>
      <c r="I2157" s="1" t="s">
        <v>439</v>
      </c>
      <c r="J2157" t="s">
        <v>15201</v>
      </c>
    </row>
    <row r="2158" spans="1:10">
      <c r="A2158" s="1">
        <v>705244</v>
      </c>
      <c r="B2158" s="1">
        <v>3836134810</v>
      </c>
      <c r="C2158" s="1">
        <v>10</v>
      </c>
      <c r="D2158" s="1" t="s">
        <v>599</v>
      </c>
      <c r="E2158" t="s">
        <v>15202</v>
      </c>
      <c r="F2158" s="1">
        <v>326025</v>
      </c>
      <c r="G2158" s="1">
        <v>3354727851</v>
      </c>
      <c r="H2158" s="1">
        <v>10</v>
      </c>
      <c r="I2158" s="1" t="s">
        <v>439</v>
      </c>
      <c r="J2158" t="s">
        <v>15203</v>
      </c>
    </row>
    <row r="2159" spans="1:10">
      <c r="A2159" s="1">
        <v>611723</v>
      </c>
      <c r="B2159" s="1">
        <v>2480048651</v>
      </c>
      <c r="C2159" s="1">
        <v>75</v>
      </c>
      <c r="D2159" s="1" t="s">
        <v>663</v>
      </c>
      <c r="E2159" t="s">
        <v>15204</v>
      </c>
      <c r="F2159" s="1">
        <v>379222</v>
      </c>
      <c r="G2159" s="1">
        <v>3354727801</v>
      </c>
      <c r="H2159" s="1">
        <v>10</v>
      </c>
      <c r="I2159" s="1" t="s">
        <v>439</v>
      </c>
      <c r="J2159" t="s">
        <v>15205</v>
      </c>
    </row>
    <row r="2160" spans="1:10">
      <c r="A2160" s="1">
        <v>612838</v>
      </c>
      <c r="B2160" s="1">
        <v>2480048658</v>
      </c>
      <c r="C2160" s="1">
        <v>75</v>
      </c>
      <c r="D2160" s="1" t="s">
        <v>663</v>
      </c>
      <c r="E2160" t="s">
        <v>15206</v>
      </c>
      <c r="F2160" s="1">
        <v>395681</v>
      </c>
      <c r="G2160" s="1">
        <v>3354727830</v>
      </c>
      <c r="H2160" s="1">
        <v>10</v>
      </c>
      <c r="I2160" s="1" t="s">
        <v>439</v>
      </c>
      <c r="J2160" t="s">
        <v>15207</v>
      </c>
    </row>
    <row r="2161" spans="1:10">
      <c r="A2161" s="1">
        <v>614081</v>
      </c>
      <c r="B2161" s="1">
        <v>2480048660</v>
      </c>
      <c r="C2161" s="1">
        <v>75</v>
      </c>
      <c r="D2161" s="1" t="s">
        <v>663</v>
      </c>
      <c r="E2161" t="s">
        <v>15208</v>
      </c>
      <c r="F2161" s="1">
        <v>620476</v>
      </c>
      <c r="G2161" s="1">
        <v>3354737463</v>
      </c>
      <c r="H2161" s="1">
        <v>6</v>
      </c>
      <c r="I2161" s="1" t="s">
        <v>632</v>
      </c>
      <c r="J2161" t="s">
        <v>15209</v>
      </c>
    </row>
    <row r="2162" spans="1:10">
      <c r="A2162" s="1">
        <v>227728</v>
      </c>
      <c r="B2162" s="1">
        <v>3836131208</v>
      </c>
      <c r="C2162" s="1">
        <v>10</v>
      </c>
      <c r="D2162" s="1" t="s">
        <v>599</v>
      </c>
      <c r="E2162" t="s">
        <v>15210</v>
      </c>
      <c r="F2162" s="1">
        <v>279331</v>
      </c>
      <c r="G2162" s="1">
        <v>3354735405</v>
      </c>
      <c r="H2162" s="1">
        <v>36</v>
      </c>
      <c r="I2162" s="1" t="s">
        <v>14</v>
      </c>
      <c r="J2162" t="s">
        <v>15211</v>
      </c>
    </row>
    <row r="2163" spans="1:10">
      <c r="A2163" s="1">
        <v>614222</v>
      </c>
      <c r="B2163" s="1">
        <v>2480048656</v>
      </c>
      <c r="C2163" s="1">
        <v>75</v>
      </c>
      <c r="D2163" s="1" t="s">
        <v>663</v>
      </c>
      <c r="E2163" t="s">
        <v>15212</v>
      </c>
      <c r="F2163" s="1">
        <v>600015</v>
      </c>
      <c r="G2163" s="1">
        <v>1902501131</v>
      </c>
      <c r="H2163" s="1">
        <v>48</v>
      </c>
      <c r="I2163" s="1" t="s">
        <v>397</v>
      </c>
      <c r="J2163" t="s">
        <v>15213</v>
      </c>
    </row>
    <row r="2164" spans="1:10">
      <c r="A2164" s="1">
        <v>255935</v>
      </c>
      <c r="B2164" s="1">
        <v>2480048650</v>
      </c>
      <c r="C2164" s="1">
        <v>75</v>
      </c>
      <c r="D2164" s="1" t="s">
        <v>663</v>
      </c>
      <c r="E2164" t="s">
        <v>15214</v>
      </c>
      <c r="F2164" s="1">
        <v>600312</v>
      </c>
      <c r="G2164" s="1">
        <v>1902501132</v>
      </c>
      <c r="H2164" s="1">
        <v>48</v>
      </c>
      <c r="I2164" s="1" t="s">
        <v>397</v>
      </c>
      <c r="J2164" t="s">
        <v>15215</v>
      </c>
    </row>
    <row r="2165" spans="1:10">
      <c r="A2165" s="1">
        <v>479535</v>
      </c>
      <c r="B2165" s="1">
        <v>3836131205</v>
      </c>
      <c r="C2165" s="1">
        <v>10</v>
      </c>
      <c r="D2165" s="1" t="s">
        <v>599</v>
      </c>
      <c r="E2165" t="s">
        <v>15216</v>
      </c>
      <c r="F2165" s="1">
        <v>612945</v>
      </c>
      <c r="G2165" s="1">
        <v>75931315696</v>
      </c>
      <c r="H2165" s="1">
        <v>6</v>
      </c>
      <c r="I2165" s="1" t="s">
        <v>381</v>
      </c>
      <c r="J2165" t="s">
        <v>15217</v>
      </c>
    </row>
    <row r="2166" spans="1:10">
      <c r="A2166" s="1">
        <v>615278</v>
      </c>
      <c r="B2166" s="1">
        <v>2480048724</v>
      </c>
      <c r="C2166" s="1">
        <v>75</v>
      </c>
      <c r="D2166" s="1" t="s">
        <v>663</v>
      </c>
      <c r="E2166" t="s">
        <v>15218</v>
      </c>
      <c r="F2166" s="1">
        <v>621045</v>
      </c>
      <c r="G2166" s="1">
        <v>5931375416</v>
      </c>
      <c r="H2166" s="1">
        <v>6</v>
      </c>
      <c r="I2166" s="1" t="s">
        <v>381</v>
      </c>
      <c r="J2166" t="s">
        <v>15219</v>
      </c>
    </row>
    <row r="2167" spans="1:10">
      <c r="A2167" s="1">
        <v>649749</v>
      </c>
      <c r="B2167" s="1">
        <v>2480048680</v>
      </c>
      <c r="C2167" s="1">
        <v>75</v>
      </c>
      <c r="D2167" s="1" t="s">
        <v>663</v>
      </c>
      <c r="E2167" t="s">
        <v>15220</v>
      </c>
      <c r="F2167" s="1">
        <v>166702</v>
      </c>
      <c r="G2167" s="1">
        <v>75931326416</v>
      </c>
      <c r="H2167" s="1">
        <v>6</v>
      </c>
      <c r="I2167" s="1" t="s">
        <v>381</v>
      </c>
      <c r="J2167" t="s">
        <v>15221</v>
      </c>
    </row>
    <row r="2168" spans="1:10">
      <c r="A2168" s="1">
        <v>166165</v>
      </c>
      <c r="B2168" s="1">
        <v>2480048677</v>
      </c>
      <c r="C2168" s="1">
        <v>75</v>
      </c>
      <c r="D2168" s="1" t="s">
        <v>663</v>
      </c>
      <c r="E2168" t="s">
        <v>15222</v>
      </c>
      <c r="F2168" s="1">
        <v>601419</v>
      </c>
      <c r="G2168" s="1">
        <v>75931325408</v>
      </c>
      <c r="H2168" s="1">
        <v>6</v>
      </c>
      <c r="I2168" s="1" t="s">
        <v>399</v>
      </c>
      <c r="J2168" t="s">
        <v>15223</v>
      </c>
    </row>
    <row r="2169" spans="1:10">
      <c r="A2169" s="1">
        <v>614974</v>
      </c>
      <c r="B2169" s="1">
        <v>2480048662</v>
      </c>
      <c r="C2169" s="1">
        <v>75</v>
      </c>
      <c r="D2169" s="1" t="s">
        <v>663</v>
      </c>
      <c r="E2169" t="s">
        <v>15224</v>
      </c>
      <c r="F2169" s="1">
        <v>388462</v>
      </c>
      <c r="G2169" s="1">
        <v>75931323416</v>
      </c>
      <c r="H2169" s="1">
        <v>6</v>
      </c>
      <c r="I2169" s="1" t="s">
        <v>381</v>
      </c>
      <c r="J2169" t="s">
        <v>15225</v>
      </c>
    </row>
    <row r="2170" spans="1:10">
      <c r="A2170" s="1">
        <v>618140</v>
      </c>
      <c r="B2170" s="1">
        <v>2480048655</v>
      </c>
      <c r="C2170" s="1">
        <v>75</v>
      </c>
      <c r="D2170" s="1" t="s">
        <v>663</v>
      </c>
      <c r="E2170" t="s">
        <v>15226</v>
      </c>
      <c r="F2170" s="1">
        <v>647982</v>
      </c>
      <c r="G2170" s="1">
        <v>69997593215</v>
      </c>
      <c r="H2170" s="1">
        <v>20</v>
      </c>
      <c r="I2170" s="1" t="s">
        <v>546</v>
      </c>
      <c r="J2170" t="s">
        <v>15227</v>
      </c>
    </row>
    <row r="2171" spans="1:10">
      <c r="A2171" s="1">
        <v>279026</v>
      </c>
      <c r="B2171" s="1">
        <v>2951911095</v>
      </c>
      <c r="C2171" s="1">
        <v>12</v>
      </c>
      <c r="D2171" s="1" t="s">
        <v>632</v>
      </c>
      <c r="E2171" t="s">
        <v>15228</v>
      </c>
      <c r="F2171" s="1">
        <v>605733</v>
      </c>
      <c r="G2171" s="1">
        <v>69997590010</v>
      </c>
      <c r="H2171" s="1">
        <v>20</v>
      </c>
      <c r="I2171" s="1" t="s">
        <v>489</v>
      </c>
      <c r="J2171" t="s">
        <v>15229</v>
      </c>
    </row>
    <row r="2172" spans="1:10">
      <c r="A2172" s="1">
        <v>461327</v>
      </c>
      <c r="B2172" s="1">
        <v>2951900000</v>
      </c>
      <c r="C2172" s="1">
        <v>1</v>
      </c>
      <c r="D2172" s="1" t="s">
        <v>8</v>
      </c>
      <c r="E2172" t="s">
        <v>15230</v>
      </c>
      <c r="F2172" s="1">
        <v>647891</v>
      </c>
      <c r="G2172" s="1">
        <v>69997593213</v>
      </c>
      <c r="H2172" s="1">
        <v>20</v>
      </c>
      <c r="I2172" s="1" t="s">
        <v>546</v>
      </c>
      <c r="J2172" t="s">
        <v>15231</v>
      </c>
    </row>
    <row r="2173" spans="1:10">
      <c r="A2173" s="1">
        <v>614644</v>
      </c>
      <c r="B2173" s="1">
        <v>4845900553</v>
      </c>
      <c r="C2173" s="1">
        <v>12</v>
      </c>
      <c r="D2173" s="1" t="s">
        <v>347</v>
      </c>
      <c r="E2173" t="s">
        <v>15232</v>
      </c>
      <c r="F2173" s="1">
        <v>166744</v>
      </c>
      <c r="G2173" s="1">
        <v>64674500400</v>
      </c>
      <c r="H2173" s="1">
        <v>12</v>
      </c>
      <c r="I2173" s="1" t="s">
        <v>404</v>
      </c>
      <c r="J2173" t="s">
        <v>15233</v>
      </c>
    </row>
    <row r="2174" spans="1:10">
      <c r="A2174" s="1">
        <v>323287</v>
      </c>
      <c r="B2174" s="1">
        <v>2951900000</v>
      </c>
      <c r="C2174" s="1">
        <v>96</v>
      </c>
      <c r="D2174" s="1" t="s">
        <v>386</v>
      </c>
      <c r="E2174" t="s">
        <v>15234</v>
      </c>
      <c r="F2174" s="1">
        <v>472779</v>
      </c>
      <c r="G2174" s="1">
        <v>89963200011</v>
      </c>
      <c r="H2174" s="1">
        <v>12</v>
      </c>
      <c r="I2174" s="1" t="s">
        <v>4470</v>
      </c>
      <c r="J2174" t="s">
        <v>15235</v>
      </c>
    </row>
    <row r="2175" spans="1:10" ht="15.75">
      <c r="A2175" s="4" t="s">
        <v>15236</v>
      </c>
      <c r="B2175" s="2"/>
      <c r="C2175" s="2"/>
      <c r="D2175" s="2"/>
      <c r="E2175" s="3"/>
      <c r="F2175" s="4" t="s">
        <v>15236</v>
      </c>
      <c r="G2175" s="2"/>
      <c r="H2175" s="2"/>
      <c r="I2175" s="2"/>
      <c r="J2175" s="3"/>
    </row>
    <row r="2176" spans="1:10">
      <c r="A2176" s="2" t="s">
        <v>0</v>
      </c>
      <c r="B2176" s="2" t="s">
        <v>1</v>
      </c>
      <c r="C2176" s="2" t="s">
        <v>2</v>
      </c>
      <c r="D2176" s="2" t="s">
        <v>3</v>
      </c>
      <c r="E2176" s="3" t="s">
        <v>4</v>
      </c>
      <c r="F2176" s="2" t="s">
        <v>0</v>
      </c>
      <c r="G2176" s="2" t="s">
        <v>1</v>
      </c>
      <c r="H2176" s="2" t="s">
        <v>2</v>
      </c>
      <c r="I2176" s="2" t="s">
        <v>3</v>
      </c>
      <c r="J2176" s="3" t="s">
        <v>4</v>
      </c>
    </row>
    <row r="2177" spans="1:10">
      <c r="A2177" s="1">
        <v>889030</v>
      </c>
      <c r="B2177" s="1">
        <v>2883315000</v>
      </c>
      <c r="C2177" s="1">
        <v>6</v>
      </c>
      <c r="D2177" s="1" t="s">
        <v>381</v>
      </c>
      <c r="E2177" t="s">
        <v>15237</v>
      </c>
      <c r="F2177" s="1">
        <v>79038</v>
      </c>
      <c r="G2177" s="1">
        <v>65752275028</v>
      </c>
      <c r="H2177" s="1">
        <v>12</v>
      </c>
      <c r="I2177" s="1" t="s">
        <v>574</v>
      </c>
      <c r="J2177" t="s">
        <v>15238</v>
      </c>
    </row>
    <row r="2178" spans="1:10">
      <c r="A2178" s="1">
        <v>636266</v>
      </c>
      <c r="B2178" s="1">
        <v>2883311000</v>
      </c>
      <c r="C2178" s="1">
        <v>6</v>
      </c>
      <c r="D2178" s="1" t="s">
        <v>439</v>
      </c>
      <c r="E2178" t="s">
        <v>15239</v>
      </c>
      <c r="F2178" s="1">
        <v>887398</v>
      </c>
      <c r="G2178" s="1">
        <v>65752275024</v>
      </c>
      <c r="H2178" s="1">
        <v>9</v>
      </c>
      <c r="I2178" s="1" t="s">
        <v>1973</v>
      </c>
      <c r="J2178" t="s">
        <v>15240</v>
      </c>
    </row>
    <row r="2179" spans="1:10">
      <c r="A2179" s="1">
        <v>627422</v>
      </c>
      <c r="B2179" s="1">
        <v>2883312000</v>
      </c>
      <c r="C2179" s="1">
        <v>6</v>
      </c>
      <c r="D2179" s="1" t="s">
        <v>439</v>
      </c>
      <c r="E2179" t="s">
        <v>15241</v>
      </c>
      <c r="F2179" s="1">
        <v>603753</v>
      </c>
      <c r="G2179" s="1">
        <v>7829616259</v>
      </c>
      <c r="H2179" s="1">
        <v>11</v>
      </c>
      <c r="I2179" s="1" t="s">
        <v>1465</v>
      </c>
      <c r="J2179" t="s">
        <v>15242</v>
      </c>
    </row>
    <row r="2180" spans="1:10">
      <c r="A2180" s="1">
        <v>600429</v>
      </c>
      <c r="B2180" s="1">
        <v>2883306040</v>
      </c>
      <c r="C2180" s="1">
        <v>6</v>
      </c>
      <c r="D2180" s="1" t="s">
        <v>439</v>
      </c>
      <c r="E2180" t="s">
        <v>15243</v>
      </c>
      <c r="F2180" s="1">
        <v>603506</v>
      </c>
      <c r="G2180" s="1">
        <v>7829616249</v>
      </c>
      <c r="H2180" s="1">
        <v>11</v>
      </c>
      <c r="I2180" s="1" t="s">
        <v>1465</v>
      </c>
      <c r="J2180" t="s">
        <v>15244</v>
      </c>
    </row>
    <row r="2181" spans="1:10">
      <c r="A2181" s="1">
        <v>636233</v>
      </c>
      <c r="B2181" s="1">
        <v>2883305030</v>
      </c>
      <c r="C2181" s="1">
        <v>6</v>
      </c>
      <c r="D2181" s="1" t="s">
        <v>439</v>
      </c>
      <c r="E2181" t="s">
        <v>15245</v>
      </c>
      <c r="F2181" s="1">
        <v>603886</v>
      </c>
      <c r="G2181" s="1">
        <v>7829616269</v>
      </c>
      <c r="H2181" s="1">
        <v>11</v>
      </c>
      <c r="I2181" s="1" t="s">
        <v>1465</v>
      </c>
      <c r="J2181" t="s">
        <v>15246</v>
      </c>
    </row>
    <row r="2182" spans="1:10">
      <c r="A2182" s="1">
        <v>627430</v>
      </c>
      <c r="B2182" s="1">
        <v>2883301112</v>
      </c>
      <c r="C2182" s="1">
        <v>6</v>
      </c>
      <c r="D2182" s="1" t="s">
        <v>381</v>
      </c>
      <c r="E2182" t="s">
        <v>15247</v>
      </c>
      <c r="F2182" s="1">
        <v>608299</v>
      </c>
      <c r="G2182" s="1">
        <v>7829611079</v>
      </c>
      <c r="H2182" s="1">
        <v>20</v>
      </c>
      <c r="I2182" s="1" t="s">
        <v>574</v>
      </c>
      <c r="J2182" t="s">
        <v>15248</v>
      </c>
    </row>
    <row r="2183" spans="1:10">
      <c r="A2183" s="1">
        <v>583237</v>
      </c>
      <c r="B2183" s="1">
        <v>7403413913</v>
      </c>
      <c r="C2183" s="1">
        <v>22</v>
      </c>
      <c r="D2183" s="1" t="s">
        <v>632</v>
      </c>
      <c r="E2183" t="s">
        <v>15249</v>
      </c>
      <c r="F2183" s="1">
        <v>608307</v>
      </c>
      <c r="G2183" s="1">
        <v>7829619449</v>
      </c>
      <c r="H2183" s="1">
        <v>24</v>
      </c>
      <c r="I2183" s="1" t="s">
        <v>632</v>
      </c>
      <c r="J2183" t="s">
        <v>15250</v>
      </c>
    </row>
    <row r="2184" spans="1:10">
      <c r="A2184" s="1">
        <v>628966</v>
      </c>
      <c r="B2184" s="1">
        <v>7403413763</v>
      </c>
      <c r="C2184" s="1">
        <v>24</v>
      </c>
      <c r="D2184" s="1" t="s">
        <v>632</v>
      </c>
      <c r="E2184" t="s">
        <v>15251</v>
      </c>
      <c r="F2184" s="1">
        <v>608281</v>
      </c>
      <c r="G2184" s="1">
        <v>7829613059</v>
      </c>
      <c r="H2184" s="1">
        <v>20</v>
      </c>
      <c r="I2184" s="1" t="s">
        <v>546</v>
      </c>
      <c r="J2184" t="s">
        <v>15252</v>
      </c>
    </row>
    <row r="2185" spans="1:10">
      <c r="A2185" s="1">
        <v>628958</v>
      </c>
      <c r="B2185" s="1">
        <v>7403412783</v>
      </c>
      <c r="C2185" s="1">
        <v>18</v>
      </c>
      <c r="D2185" s="1" t="s">
        <v>632</v>
      </c>
      <c r="E2185" t="s">
        <v>15253</v>
      </c>
      <c r="F2185" s="1">
        <v>427948</v>
      </c>
      <c r="G2185" s="1">
        <v>7829610539</v>
      </c>
      <c r="H2185" s="1">
        <v>150</v>
      </c>
      <c r="I2185" s="1" t="s">
        <v>312</v>
      </c>
      <c r="J2185" t="s">
        <v>15254</v>
      </c>
    </row>
    <row r="2186" spans="1:10">
      <c r="A2186" s="1">
        <v>590018</v>
      </c>
      <c r="B2186" s="1">
        <v>7403414063</v>
      </c>
      <c r="C2186" s="1">
        <v>14</v>
      </c>
      <c r="D2186" s="1" t="s">
        <v>381</v>
      </c>
      <c r="E2186" t="s">
        <v>15255</v>
      </c>
      <c r="F2186" s="1">
        <v>506691</v>
      </c>
      <c r="G2186" s="1">
        <v>7829619309</v>
      </c>
      <c r="H2186" s="1">
        <v>24</v>
      </c>
      <c r="I2186" s="1" t="s">
        <v>1492</v>
      </c>
      <c r="J2186" t="s">
        <v>15256</v>
      </c>
    </row>
    <row r="2187" spans="1:10">
      <c r="A2187" s="1">
        <v>742973</v>
      </c>
      <c r="B2187" s="1">
        <v>60699102013</v>
      </c>
      <c r="C2187" s="1">
        <v>75</v>
      </c>
      <c r="D2187" s="1" t="s">
        <v>397</v>
      </c>
      <c r="E2187" t="s">
        <v>15257</v>
      </c>
      <c r="F2187" s="1">
        <v>607234</v>
      </c>
      <c r="G2187" s="1">
        <v>7829613689</v>
      </c>
      <c r="H2187" s="1">
        <v>20</v>
      </c>
      <c r="I2187" s="1" t="s">
        <v>1387</v>
      </c>
      <c r="J2187" t="s">
        <v>15258</v>
      </c>
    </row>
    <row r="2188" spans="1:10">
      <c r="A2188" s="1">
        <v>63271</v>
      </c>
      <c r="B2188" s="1">
        <v>60699101646</v>
      </c>
      <c r="C2188" s="1">
        <v>36</v>
      </c>
      <c r="D2188" s="1" t="s">
        <v>546</v>
      </c>
      <c r="E2188" t="s">
        <v>15259</v>
      </c>
      <c r="F2188" s="1">
        <v>620435</v>
      </c>
      <c r="G2188" s="1">
        <v>7829611099</v>
      </c>
      <c r="H2188" s="1">
        <v>30</v>
      </c>
      <c r="I2188" s="1" t="s">
        <v>347</v>
      </c>
      <c r="J2188" t="s">
        <v>15260</v>
      </c>
    </row>
    <row r="2189" spans="1:10">
      <c r="A2189" s="1">
        <v>477075</v>
      </c>
      <c r="B2189" s="1">
        <v>60699101647</v>
      </c>
      <c r="C2189" s="1">
        <v>18</v>
      </c>
      <c r="D2189" s="1" t="s">
        <v>259</v>
      </c>
      <c r="E2189" t="s">
        <v>15261</v>
      </c>
      <c r="F2189" s="1">
        <v>642256</v>
      </c>
      <c r="G2189" s="1">
        <v>7829614409</v>
      </c>
      <c r="H2189" s="1">
        <v>22</v>
      </c>
      <c r="I2189" s="1" t="s">
        <v>1492</v>
      </c>
      <c r="J2189" t="s">
        <v>15262</v>
      </c>
    </row>
    <row r="2190" spans="1:10">
      <c r="A2190" s="1">
        <v>490946</v>
      </c>
      <c r="B2190" s="1">
        <v>60699101477</v>
      </c>
      <c r="C2190" s="1">
        <v>16</v>
      </c>
      <c r="D2190" s="1" t="s">
        <v>381</v>
      </c>
      <c r="E2190" t="s">
        <v>15263</v>
      </c>
      <c r="F2190" s="1">
        <v>607382</v>
      </c>
      <c r="G2190" s="1">
        <v>7829619749</v>
      </c>
      <c r="H2190" s="1">
        <v>35</v>
      </c>
      <c r="I2190" s="1" t="s">
        <v>347</v>
      </c>
      <c r="J2190" t="s">
        <v>15264</v>
      </c>
    </row>
    <row r="2191" spans="1:10">
      <c r="A2191" s="1">
        <v>498212</v>
      </c>
      <c r="B2191" s="1">
        <v>60699101045</v>
      </c>
      <c r="C2191" s="1">
        <v>16</v>
      </c>
      <c r="D2191" s="1" t="s">
        <v>381</v>
      </c>
      <c r="E2191" t="s">
        <v>15265</v>
      </c>
      <c r="F2191" s="1">
        <v>608521</v>
      </c>
      <c r="G2191" s="1">
        <v>7829616469</v>
      </c>
      <c r="H2191" s="1">
        <v>20</v>
      </c>
      <c r="I2191" s="1" t="s">
        <v>938</v>
      </c>
      <c r="J2191" t="s">
        <v>15266</v>
      </c>
    </row>
    <row r="2192" spans="1:10">
      <c r="A2192" s="1">
        <v>116186</v>
      </c>
      <c r="B2192" s="1">
        <v>60699102012</v>
      </c>
      <c r="C2192" s="1">
        <v>75</v>
      </c>
      <c r="D2192" s="1" t="s">
        <v>397</v>
      </c>
      <c r="E2192" t="s">
        <v>15267</v>
      </c>
      <c r="F2192" s="1">
        <v>247957</v>
      </c>
      <c r="G2192" s="1">
        <v>7829611639</v>
      </c>
      <c r="H2192" s="1">
        <v>21</v>
      </c>
      <c r="I2192" s="1" t="s">
        <v>574</v>
      </c>
      <c r="J2192" t="s">
        <v>15268</v>
      </c>
    </row>
    <row r="2193" spans="1:10">
      <c r="A2193" s="1">
        <v>300905</v>
      </c>
      <c r="B2193" s="1">
        <v>60699101831</v>
      </c>
      <c r="C2193" s="1">
        <v>72</v>
      </c>
      <c r="D2193" s="1" t="s">
        <v>397</v>
      </c>
      <c r="E2193" t="s">
        <v>15269</v>
      </c>
      <c r="F2193" s="1">
        <v>447391</v>
      </c>
      <c r="G2193" s="1">
        <v>7829611049</v>
      </c>
      <c r="H2193" s="1">
        <v>35</v>
      </c>
      <c r="I2193" s="1" t="s">
        <v>489</v>
      </c>
      <c r="J2193" t="s">
        <v>15270</v>
      </c>
    </row>
    <row r="2194" spans="1:10">
      <c r="A2194" s="1">
        <v>338780</v>
      </c>
      <c r="B2194" s="1">
        <v>60699101816</v>
      </c>
      <c r="C2194" s="1">
        <v>72</v>
      </c>
      <c r="D2194" s="1" t="s">
        <v>397</v>
      </c>
      <c r="E2194" t="s">
        <v>15271</v>
      </c>
      <c r="F2194" s="1">
        <v>389999</v>
      </c>
      <c r="G2194" s="1">
        <v>7829611009</v>
      </c>
      <c r="H2194" s="1">
        <v>35</v>
      </c>
      <c r="I2194" s="1" t="s">
        <v>489</v>
      </c>
      <c r="J2194" t="s">
        <v>15272</v>
      </c>
    </row>
    <row r="2195" spans="1:10">
      <c r="A2195" s="1">
        <v>531202</v>
      </c>
      <c r="B2195" s="1">
        <v>60699101531</v>
      </c>
      <c r="C2195" s="1">
        <v>75</v>
      </c>
      <c r="D2195" s="1" t="s">
        <v>397</v>
      </c>
      <c r="E2195" t="s">
        <v>15273</v>
      </c>
      <c r="F2195" s="1">
        <v>609453</v>
      </c>
      <c r="G2195" s="1">
        <v>7829621539</v>
      </c>
      <c r="H2195" s="1">
        <v>20</v>
      </c>
      <c r="I2195" s="1" t="s">
        <v>574</v>
      </c>
      <c r="J2195" t="s">
        <v>15274</v>
      </c>
    </row>
    <row r="2196" spans="1:10">
      <c r="A2196" s="1">
        <v>874743</v>
      </c>
      <c r="B2196" s="1">
        <v>60699101812</v>
      </c>
      <c r="C2196" s="1">
        <v>75</v>
      </c>
      <c r="D2196" s="1" t="s">
        <v>397</v>
      </c>
      <c r="E2196" t="s">
        <v>15275</v>
      </c>
      <c r="F2196" s="1">
        <v>604595</v>
      </c>
      <c r="G2196" s="1">
        <v>7829613949</v>
      </c>
      <c r="H2196" s="1">
        <v>16</v>
      </c>
      <c r="I2196" s="1" t="s">
        <v>439</v>
      </c>
      <c r="J2196" t="s">
        <v>15276</v>
      </c>
    </row>
    <row r="2197" spans="1:10">
      <c r="A2197" s="1">
        <v>574129</v>
      </c>
      <c r="B2197" s="1">
        <v>4113038370</v>
      </c>
      <c r="C2197" s="1">
        <v>18</v>
      </c>
      <c r="D2197" s="1" t="s">
        <v>1341</v>
      </c>
      <c r="E2197" t="s">
        <v>15277</v>
      </c>
      <c r="F2197" s="1">
        <v>821488</v>
      </c>
      <c r="G2197" s="1">
        <v>7829624119</v>
      </c>
      <c r="H2197" s="1">
        <v>28</v>
      </c>
      <c r="I2197" s="1" t="s">
        <v>347</v>
      </c>
      <c r="J2197" t="s">
        <v>15278</v>
      </c>
    </row>
    <row r="2198" spans="1:10">
      <c r="A2198" s="1">
        <v>197939</v>
      </c>
      <c r="B2198" s="1">
        <v>4113038371</v>
      </c>
      <c r="C2198" s="1">
        <v>18</v>
      </c>
      <c r="D2198" s="1" t="s">
        <v>1341</v>
      </c>
      <c r="E2198" t="s">
        <v>15279</v>
      </c>
      <c r="F2198" s="1">
        <v>648394</v>
      </c>
      <c r="G2198" s="1">
        <v>7829610889</v>
      </c>
      <c r="H2198" s="1">
        <v>20</v>
      </c>
      <c r="I2198" s="1" t="s">
        <v>938</v>
      </c>
      <c r="J2198" t="s">
        <v>15280</v>
      </c>
    </row>
    <row r="2199" spans="1:10">
      <c r="A2199" s="1">
        <v>107755</v>
      </c>
      <c r="B2199" s="1">
        <v>4113038369</v>
      </c>
      <c r="C2199" s="1">
        <v>18</v>
      </c>
      <c r="D2199" s="1" t="s">
        <v>524</v>
      </c>
      <c r="E2199" t="s">
        <v>15281</v>
      </c>
      <c r="F2199" s="1">
        <v>235143</v>
      </c>
      <c r="G2199" s="1">
        <v>7829600000</v>
      </c>
      <c r="H2199" s="1">
        <v>24</v>
      </c>
      <c r="I2199" s="1" t="s">
        <v>632</v>
      </c>
      <c r="J2199" t="s">
        <v>15282</v>
      </c>
    </row>
    <row r="2200" spans="1:10">
      <c r="A2200" s="1">
        <v>769208</v>
      </c>
      <c r="B2200" s="1">
        <v>2951911094</v>
      </c>
      <c r="C2200" s="1">
        <v>12</v>
      </c>
      <c r="D2200" s="1" t="s">
        <v>632</v>
      </c>
      <c r="E2200" t="s">
        <v>15283</v>
      </c>
      <c r="F2200" s="1">
        <v>607093</v>
      </c>
      <c r="G2200" s="1">
        <v>7829611609</v>
      </c>
      <c r="H2200" s="1">
        <v>18</v>
      </c>
      <c r="I2200" s="1" t="s">
        <v>439</v>
      </c>
      <c r="J2200" t="s">
        <v>15284</v>
      </c>
    </row>
    <row r="2201" spans="1:10">
      <c r="A2201" s="1">
        <v>605089</v>
      </c>
      <c r="B2201" s="1">
        <v>65752275020</v>
      </c>
      <c r="C2201" s="1">
        <v>12</v>
      </c>
      <c r="D2201" s="1" t="s">
        <v>381</v>
      </c>
      <c r="E2201" t="s">
        <v>15285</v>
      </c>
      <c r="F2201" s="1">
        <v>607036</v>
      </c>
      <c r="G2201" s="1">
        <v>7829611689</v>
      </c>
      <c r="H2201" s="1">
        <v>20</v>
      </c>
      <c r="I2201" s="1" t="s">
        <v>938</v>
      </c>
      <c r="J2201" t="s">
        <v>15286</v>
      </c>
    </row>
    <row r="2202" spans="1:10">
      <c r="A2202" s="1">
        <v>605063</v>
      </c>
      <c r="B2202" s="1">
        <v>65752275012</v>
      </c>
      <c r="C2202" s="1">
        <v>12</v>
      </c>
      <c r="D2202" s="1" t="s">
        <v>381</v>
      </c>
      <c r="E2202" t="s">
        <v>15287</v>
      </c>
      <c r="F2202" s="1">
        <v>608554</v>
      </c>
      <c r="G2202" s="1">
        <v>7829613629</v>
      </c>
      <c r="H2202" s="1">
        <v>20</v>
      </c>
      <c r="I2202" s="1" t="s">
        <v>1387</v>
      </c>
      <c r="J2202" t="s">
        <v>15288</v>
      </c>
    </row>
    <row r="2203" spans="1:10">
      <c r="A2203" s="1">
        <v>605824</v>
      </c>
      <c r="B2203" s="1">
        <v>65752275001</v>
      </c>
      <c r="C2203" s="1">
        <v>18</v>
      </c>
      <c r="D2203" s="1" t="s">
        <v>363</v>
      </c>
      <c r="E2203" t="s">
        <v>15289</v>
      </c>
      <c r="F2203" s="1">
        <v>646786</v>
      </c>
      <c r="G2203" s="1">
        <v>7829619339</v>
      </c>
      <c r="H2203" s="1">
        <v>16</v>
      </c>
      <c r="I2203" s="1" t="s">
        <v>439</v>
      </c>
      <c r="J2203" t="s">
        <v>15290</v>
      </c>
    </row>
    <row r="2204" spans="1:10">
      <c r="A2204" s="1">
        <v>170548</v>
      </c>
      <c r="B2204" s="1">
        <v>65752275051</v>
      </c>
      <c r="C2204" s="1">
        <v>24</v>
      </c>
      <c r="D2204" s="1" t="s">
        <v>4650</v>
      </c>
      <c r="E2204" t="s">
        <v>15291</v>
      </c>
      <c r="F2204" s="1">
        <v>628214</v>
      </c>
      <c r="G2204" s="1">
        <v>7829619419</v>
      </c>
      <c r="H2204" s="1">
        <v>20</v>
      </c>
      <c r="I2204" s="1" t="s">
        <v>574</v>
      </c>
      <c r="J2204" t="s">
        <v>15292</v>
      </c>
    </row>
    <row r="2205" spans="1:10">
      <c r="A2205" s="1">
        <v>733394</v>
      </c>
      <c r="B2205" s="1">
        <v>65752275014</v>
      </c>
      <c r="C2205" s="1">
        <v>12</v>
      </c>
      <c r="D2205" s="1" t="s">
        <v>381</v>
      </c>
      <c r="E2205" t="s">
        <v>15293</v>
      </c>
      <c r="F2205" s="1">
        <v>526459</v>
      </c>
      <c r="G2205" s="1">
        <v>7829611059</v>
      </c>
      <c r="H2205" s="1">
        <v>35</v>
      </c>
      <c r="I2205" s="1" t="s">
        <v>489</v>
      </c>
      <c r="J2205" t="s">
        <v>15294</v>
      </c>
    </row>
    <row r="2206" spans="1:10">
      <c r="A2206" s="1">
        <v>887364</v>
      </c>
      <c r="B2206" s="1">
        <v>65752275002</v>
      </c>
      <c r="C2206" s="1">
        <v>12</v>
      </c>
      <c r="D2206" s="1" t="s">
        <v>381</v>
      </c>
      <c r="E2206" t="s">
        <v>15295</v>
      </c>
      <c r="F2206" s="1">
        <v>647974</v>
      </c>
      <c r="G2206" s="1">
        <v>7829621409</v>
      </c>
      <c r="H2206" s="1">
        <v>16</v>
      </c>
      <c r="I2206" s="1" t="s">
        <v>439</v>
      </c>
      <c r="J2206" t="s">
        <v>15296</v>
      </c>
    </row>
    <row r="2207" spans="1:10">
      <c r="A2207" s="1">
        <v>610253</v>
      </c>
      <c r="B2207" s="1">
        <v>65752275003</v>
      </c>
      <c r="C2207" s="1">
        <v>12</v>
      </c>
      <c r="D2207" s="1" t="s">
        <v>381</v>
      </c>
      <c r="E2207" t="s">
        <v>15297</v>
      </c>
      <c r="F2207" s="1">
        <v>247973</v>
      </c>
      <c r="G2207" s="1">
        <v>7829610129</v>
      </c>
      <c r="H2207" s="1">
        <v>20</v>
      </c>
      <c r="I2207" s="1" t="s">
        <v>938</v>
      </c>
      <c r="J2207" t="s">
        <v>15298</v>
      </c>
    </row>
    <row r="2208" spans="1:10">
      <c r="A2208" s="1">
        <v>454884</v>
      </c>
      <c r="B2208" s="1">
        <v>65752275053</v>
      </c>
      <c r="C2208" s="1">
        <v>24</v>
      </c>
      <c r="D2208" s="1" t="s">
        <v>4650</v>
      </c>
      <c r="E2208" t="s">
        <v>15299</v>
      </c>
      <c r="F2208" s="1">
        <v>756825</v>
      </c>
      <c r="G2208" s="1">
        <v>1922902639</v>
      </c>
      <c r="H2208" s="1">
        <v>18</v>
      </c>
      <c r="I2208" s="1" t="s">
        <v>259</v>
      </c>
      <c r="J2208" t="s">
        <v>15300</v>
      </c>
    </row>
    <row r="2209" spans="1:10">
      <c r="A2209" s="1">
        <v>887372</v>
      </c>
      <c r="B2209" s="1">
        <v>65752275019</v>
      </c>
      <c r="C2209" s="1">
        <v>9</v>
      </c>
      <c r="D2209" s="1" t="s">
        <v>381</v>
      </c>
      <c r="E2209" t="s">
        <v>15301</v>
      </c>
      <c r="F2209" s="1">
        <v>878876</v>
      </c>
      <c r="G2209" s="1">
        <v>1922906779</v>
      </c>
      <c r="H2209" s="1">
        <v>18</v>
      </c>
      <c r="I2209" s="1" t="s">
        <v>381</v>
      </c>
      <c r="J2209" t="s">
        <v>15302</v>
      </c>
    </row>
    <row r="2210" spans="1:10">
      <c r="A2210" s="1">
        <v>353433</v>
      </c>
      <c r="B2210" s="1">
        <v>65752275027</v>
      </c>
      <c r="C2210" s="1">
        <v>12</v>
      </c>
      <c r="D2210" s="1" t="s">
        <v>381</v>
      </c>
      <c r="E2210" t="s">
        <v>15303</v>
      </c>
      <c r="F2210" s="1">
        <v>523068</v>
      </c>
      <c r="G2210" s="1">
        <v>1922902633</v>
      </c>
      <c r="H2210" s="1">
        <v>18</v>
      </c>
      <c r="I2210" s="1" t="s">
        <v>259</v>
      </c>
      <c r="J2210" t="s">
        <v>15304</v>
      </c>
    </row>
    <row r="2211" spans="1:10">
      <c r="A2211" s="1">
        <v>887497</v>
      </c>
      <c r="B2211" s="1">
        <v>65752275009</v>
      </c>
      <c r="C2211" s="1">
        <v>12</v>
      </c>
      <c r="D2211" s="1" t="s">
        <v>381</v>
      </c>
      <c r="E2211" t="s">
        <v>15305</v>
      </c>
      <c r="F2211" s="1">
        <v>485102</v>
      </c>
      <c r="G2211" s="1">
        <v>1922906759</v>
      </c>
      <c r="H2211" s="1">
        <v>18</v>
      </c>
      <c r="I2211" s="1" t="s">
        <v>381</v>
      </c>
      <c r="J2211" t="s">
        <v>15306</v>
      </c>
    </row>
    <row r="2212" spans="1:10">
      <c r="A2212" s="1">
        <v>609776</v>
      </c>
      <c r="B2212" s="1">
        <v>65752275015</v>
      </c>
      <c r="C2212" s="1">
        <v>12</v>
      </c>
      <c r="D2212" s="1" t="s">
        <v>381</v>
      </c>
      <c r="E2212" t="s">
        <v>15307</v>
      </c>
      <c r="F2212" s="1">
        <v>740282</v>
      </c>
      <c r="G2212" s="1">
        <v>1922902641</v>
      </c>
      <c r="H2212" s="1">
        <v>18</v>
      </c>
      <c r="I2212" s="1" t="s">
        <v>259</v>
      </c>
      <c r="J2212" t="s">
        <v>15308</v>
      </c>
    </row>
    <row r="2213" spans="1:10">
      <c r="A2213" s="1">
        <v>648931</v>
      </c>
      <c r="B2213" s="1">
        <v>65752275006</v>
      </c>
      <c r="C2213" s="1">
        <v>9</v>
      </c>
      <c r="D2213" s="1" t="s">
        <v>439</v>
      </c>
      <c r="E2213" t="s">
        <v>15309</v>
      </c>
      <c r="F2213" s="1">
        <v>678953</v>
      </c>
      <c r="G2213" s="1">
        <v>1922906749</v>
      </c>
      <c r="H2213" s="1">
        <v>18</v>
      </c>
      <c r="I2213" s="1" t="s">
        <v>381</v>
      </c>
      <c r="J2213" t="s">
        <v>15310</v>
      </c>
    </row>
    <row r="2214" spans="1:10">
      <c r="A2214" s="1">
        <v>609883</v>
      </c>
      <c r="B2214" s="1">
        <v>65752275004</v>
      </c>
      <c r="C2214" s="1">
        <v>12</v>
      </c>
      <c r="D2214" s="1" t="s">
        <v>381</v>
      </c>
      <c r="E2214" t="s">
        <v>15311</v>
      </c>
      <c r="F2214" s="1">
        <v>317917</v>
      </c>
      <c r="G2214" s="1">
        <v>1922902635</v>
      </c>
      <c r="H2214" s="1">
        <v>18</v>
      </c>
      <c r="I2214" s="1" t="s">
        <v>259</v>
      </c>
      <c r="J2214" t="s">
        <v>15312</v>
      </c>
    </row>
    <row r="2215" spans="1:10">
      <c r="A2215" s="1">
        <v>440446</v>
      </c>
      <c r="B2215" s="1">
        <v>65752275052</v>
      </c>
      <c r="C2215" s="1">
        <v>24</v>
      </c>
      <c r="D2215" s="1" t="s">
        <v>4650</v>
      </c>
      <c r="E2215" t="s">
        <v>15313</v>
      </c>
      <c r="F2215" s="1">
        <v>692228</v>
      </c>
      <c r="G2215" s="1">
        <v>1922906769</v>
      </c>
      <c r="H2215" s="1">
        <v>18</v>
      </c>
      <c r="I2215" s="1" t="s">
        <v>381</v>
      </c>
      <c r="J2215" t="s">
        <v>15314</v>
      </c>
    </row>
    <row r="2216" spans="1:10" ht="15.75">
      <c r="A2216" s="4" t="s">
        <v>15236</v>
      </c>
      <c r="B2216" s="2"/>
      <c r="C2216" s="2"/>
      <c r="D2216" s="2"/>
      <c r="E2216" s="3"/>
      <c r="F2216" s="4" t="s">
        <v>15315</v>
      </c>
      <c r="G2216" s="2"/>
      <c r="H2216" s="2"/>
      <c r="I2216" s="2"/>
      <c r="J2216" s="3"/>
    </row>
    <row r="2217" spans="1:10">
      <c r="A2217" s="2" t="s">
        <v>0</v>
      </c>
      <c r="B2217" s="2" t="s">
        <v>1</v>
      </c>
      <c r="C2217" s="2" t="s">
        <v>2</v>
      </c>
      <c r="D2217" s="2" t="s">
        <v>3</v>
      </c>
      <c r="E2217" s="3" t="s">
        <v>4</v>
      </c>
      <c r="F2217" s="2" t="s">
        <v>0</v>
      </c>
      <c r="G2217" s="2" t="s">
        <v>1</v>
      </c>
      <c r="H2217" s="2" t="s">
        <v>2</v>
      </c>
      <c r="I2217" s="2" t="s">
        <v>3</v>
      </c>
      <c r="J2217" s="3" t="s">
        <v>4</v>
      </c>
    </row>
    <row r="2218" spans="1:10">
      <c r="A2218" s="1">
        <v>286922</v>
      </c>
      <c r="B2218" s="1">
        <v>1922902643</v>
      </c>
      <c r="C2218" s="1">
        <v>18</v>
      </c>
      <c r="D2218" s="1" t="s">
        <v>259</v>
      </c>
      <c r="E2218" t="s">
        <v>15316</v>
      </c>
      <c r="F2218" s="1">
        <v>602201</v>
      </c>
      <c r="G2218" s="1">
        <v>7403463943</v>
      </c>
      <c r="H2218" s="1">
        <v>10</v>
      </c>
      <c r="I2218" s="1" t="s">
        <v>632</v>
      </c>
      <c r="J2218" t="s">
        <v>15317</v>
      </c>
    </row>
    <row r="2219" spans="1:10">
      <c r="A2219" s="1">
        <v>416263</v>
      </c>
      <c r="B2219" s="1">
        <v>1922905847</v>
      </c>
      <c r="C2219" s="1">
        <v>18</v>
      </c>
      <c r="D2219" s="1" t="s">
        <v>259</v>
      </c>
      <c r="E2219" t="s">
        <v>15318</v>
      </c>
      <c r="F2219" s="1">
        <v>551606</v>
      </c>
      <c r="G2219" s="1">
        <v>2251595181</v>
      </c>
      <c r="H2219" s="1">
        <v>20</v>
      </c>
      <c r="I2219" s="1" t="s">
        <v>1519</v>
      </c>
      <c r="J2219" t="s">
        <v>15319</v>
      </c>
    </row>
    <row r="2220" spans="1:10">
      <c r="A2220" s="1">
        <v>462804</v>
      </c>
      <c r="B2220" s="1">
        <v>1922906850</v>
      </c>
      <c r="C2220" s="1">
        <v>16</v>
      </c>
      <c r="D2220" s="1" t="s">
        <v>347</v>
      </c>
      <c r="E2220" t="s">
        <v>15320</v>
      </c>
      <c r="F2220" s="1">
        <v>591206</v>
      </c>
      <c r="G2220" s="1">
        <v>2251595183</v>
      </c>
      <c r="H2220" s="1">
        <v>20</v>
      </c>
      <c r="I2220" s="1" t="s">
        <v>6306</v>
      </c>
      <c r="J2220" t="s">
        <v>15321</v>
      </c>
    </row>
    <row r="2221" spans="1:10">
      <c r="A2221" s="1">
        <v>386284</v>
      </c>
      <c r="B2221" s="1">
        <v>19229006624</v>
      </c>
      <c r="C2221" s="1">
        <v>16</v>
      </c>
      <c r="D2221" s="1" t="s">
        <v>381</v>
      </c>
      <c r="E2221" t="s">
        <v>15322</v>
      </c>
      <c r="F2221" s="1">
        <v>823955</v>
      </c>
      <c r="G2221" s="1">
        <v>2251595180</v>
      </c>
      <c r="H2221" s="1">
        <v>20</v>
      </c>
      <c r="I2221" s="1" t="s">
        <v>6306</v>
      </c>
      <c r="J2221" t="s">
        <v>15323</v>
      </c>
    </row>
    <row r="2222" spans="1:10">
      <c r="A2222" s="1">
        <v>801613</v>
      </c>
      <c r="B2222" s="1">
        <v>1922906736</v>
      </c>
      <c r="C2222" s="1">
        <v>12</v>
      </c>
      <c r="D2222" s="1" t="s">
        <v>940</v>
      </c>
      <c r="E2222" t="s">
        <v>15324</v>
      </c>
      <c r="F2222" s="1">
        <v>847277</v>
      </c>
      <c r="G2222" s="1">
        <v>7403431168</v>
      </c>
      <c r="H2222" s="1">
        <v>80</v>
      </c>
      <c r="I2222" s="1" t="s">
        <v>14</v>
      </c>
      <c r="J2222" t="s">
        <v>15325</v>
      </c>
    </row>
    <row r="2223" spans="1:10">
      <c r="A2223" s="1">
        <v>457309</v>
      </c>
      <c r="B2223" s="1">
        <v>1922906716</v>
      </c>
      <c r="C2223" s="1">
        <v>12</v>
      </c>
      <c r="D2223" s="1" t="s">
        <v>940</v>
      </c>
      <c r="E2223" t="s">
        <v>15326</v>
      </c>
      <c r="F2223" s="1">
        <v>640573</v>
      </c>
      <c r="G2223" s="1">
        <v>2251595182</v>
      </c>
      <c r="H2223" s="1">
        <v>20</v>
      </c>
      <c r="I2223" s="1" t="s">
        <v>6306</v>
      </c>
      <c r="J2223" t="s">
        <v>15327</v>
      </c>
    </row>
    <row r="2224" spans="1:10">
      <c r="A2224" s="1">
        <v>444232</v>
      </c>
      <c r="B2224" s="1">
        <v>1922906805</v>
      </c>
      <c r="C2224" s="1">
        <v>12</v>
      </c>
      <c r="D2224" s="1" t="s">
        <v>381</v>
      </c>
      <c r="E2224" t="s">
        <v>15328</v>
      </c>
      <c r="F2224" s="1">
        <v>771964</v>
      </c>
      <c r="G2224" s="1">
        <v>65752299126</v>
      </c>
      <c r="H2224" s="1">
        <v>14</v>
      </c>
      <c r="I2224" s="1" t="s">
        <v>6</v>
      </c>
      <c r="J2224" t="s">
        <v>15329</v>
      </c>
    </row>
    <row r="2225" spans="1:10">
      <c r="A2225" s="1">
        <v>42135</v>
      </c>
      <c r="B2225" s="1">
        <v>3967731012</v>
      </c>
      <c r="C2225" s="1">
        <v>28</v>
      </c>
      <c r="D2225" s="1" t="s">
        <v>489</v>
      </c>
      <c r="E2225" t="s">
        <v>15330</v>
      </c>
      <c r="F2225" s="1">
        <v>422683</v>
      </c>
      <c r="G2225" s="1">
        <v>65752275007</v>
      </c>
      <c r="H2225" s="1">
        <v>12</v>
      </c>
      <c r="I2225" s="1" t="s">
        <v>381</v>
      </c>
      <c r="J2225" t="s">
        <v>15331</v>
      </c>
    </row>
    <row r="2226" spans="1:10">
      <c r="A2226" s="1">
        <v>684969</v>
      </c>
      <c r="B2226" s="1">
        <v>9456232575</v>
      </c>
      <c r="C2226" s="1">
        <v>36</v>
      </c>
      <c r="D2226" s="1" t="s">
        <v>259</v>
      </c>
      <c r="E2226" t="s">
        <v>15332</v>
      </c>
      <c r="F2226" s="1">
        <v>491464</v>
      </c>
      <c r="G2226" s="1">
        <v>65752299127</v>
      </c>
      <c r="H2226" s="1">
        <v>14</v>
      </c>
      <c r="I2226" s="1" t="s">
        <v>6</v>
      </c>
      <c r="J2226" t="s">
        <v>15333</v>
      </c>
    </row>
    <row r="2227" spans="1:10">
      <c r="A2227" s="1">
        <v>639831</v>
      </c>
      <c r="B2227" s="1">
        <v>4980003033</v>
      </c>
      <c r="C2227" s="1">
        <v>24</v>
      </c>
      <c r="D2227" s="1" t="s">
        <v>6264</v>
      </c>
      <c r="E2227" t="s">
        <v>15334</v>
      </c>
      <c r="F2227" s="1">
        <v>614495</v>
      </c>
      <c r="G2227" s="1">
        <v>7536105091</v>
      </c>
      <c r="H2227" s="1">
        <v>8</v>
      </c>
      <c r="I2227" s="1" t="s">
        <v>910</v>
      </c>
      <c r="J2227" t="s">
        <v>15335</v>
      </c>
    </row>
    <row r="2228" spans="1:10">
      <c r="A2228" s="1">
        <v>639898</v>
      </c>
      <c r="B2228" s="1">
        <v>4980003041</v>
      </c>
      <c r="C2228" s="1">
        <v>24</v>
      </c>
      <c r="D2228" s="1" t="s">
        <v>574</v>
      </c>
      <c r="E2228" t="s">
        <v>15336</v>
      </c>
      <c r="F2228" s="1">
        <v>248013</v>
      </c>
      <c r="G2228" s="1">
        <v>7829621169</v>
      </c>
      <c r="H2228" s="1">
        <v>144</v>
      </c>
      <c r="I2228" s="1" t="s">
        <v>14</v>
      </c>
      <c r="J2228" t="s">
        <v>15337</v>
      </c>
    </row>
    <row r="2229" spans="1:10">
      <c r="A2229" s="1">
        <v>628834</v>
      </c>
      <c r="B2229" s="1">
        <v>4980036478</v>
      </c>
      <c r="C2229" s="1">
        <v>24</v>
      </c>
      <c r="D2229" s="1" t="s">
        <v>574</v>
      </c>
      <c r="E2229" t="s">
        <v>15338</v>
      </c>
      <c r="F2229" s="1">
        <v>609834</v>
      </c>
      <c r="G2229" s="1">
        <v>7829618209</v>
      </c>
      <c r="H2229" s="1">
        <v>168</v>
      </c>
      <c r="I2229" s="1" t="s">
        <v>421</v>
      </c>
      <c r="J2229" t="s">
        <v>15339</v>
      </c>
    </row>
    <row r="2230" spans="1:10">
      <c r="A2230" s="1">
        <v>612598</v>
      </c>
      <c r="B2230" s="1">
        <v>4980011156</v>
      </c>
      <c r="C2230" s="1">
        <v>20</v>
      </c>
      <c r="D2230" s="1" t="s">
        <v>1378</v>
      </c>
      <c r="E2230" t="s">
        <v>15340</v>
      </c>
      <c r="F2230" s="1">
        <v>508002</v>
      </c>
      <c r="G2230" s="1">
        <v>7070400000</v>
      </c>
      <c r="H2230" s="1">
        <v>12</v>
      </c>
      <c r="I2230" s="1" t="s">
        <v>940</v>
      </c>
      <c r="J2230" t="s">
        <v>15341</v>
      </c>
    </row>
    <row r="2231" spans="1:10">
      <c r="A2231" s="1">
        <v>644567</v>
      </c>
      <c r="B2231" s="1">
        <v>4980003068</v>
      </c>
      <c r="C2231" s="1">
        <v>24</v>
      </c>
      <c r="D2231" s="1" t="s">
        <v>1378</v>
      </c>
      <c r="E2231" t="s">
        <v>15342</v>
      </c>
      <c r="F2231" s="1">
        <v>315556</v>
      </c>
      <c r="G2231" s="1">
        <v>7070400844</v>
      </c>
      <c r="H2231" s="1">
        <v>12</v>
      </c>
      <c r="I2231" s="1" t="s">
        <v>574</v>
      </c>
      <c r="J2231" t="s">
        <v>15343</v>
      </c>
    </row>
    <row r="2232" spans="1:10">
      <c r="A2232" s="1">
        <v>605345</v>
      </c>
      <c r="B2232" s="1">
        <v>3188801408</v>
      </c>
      <c r="C2232" s="1">
        <v>80</v>
      </c>
      <c r="D2232" s="1" t="s">
        <v>14</v>
      </c>
      <c r="E2232" t="s">
        <v>15344</v>
      </c>
      <c r="F2232" s="1">
        <v>752683</v>
      </c>
      <c r="G2232" s="1">
        <v>64130370241</v>
      </c>
      <c r="H2232" s="1">
        <v>14</v>
      </c>
      <c r="I2232" s="1" t="s">
        <v>910</v>
      </c>
      <c r="J2232" t="s">
        <v>15345</v>
      </c>
    </row>
    <row r="2233" spans="1:10">
      <c r="A2233" s="1">
        <v>20453</v>
      </c>
      <c r="B2233" s="1">
        <v>73188801630</v>
      </c>
      <c r="C2233" s="1">
        <v>24</v>
      </c>
      <c r="D2233" s="1" t="s">
        <v>381</v>
      </c>
      <c r="E2233" t="s">
        <v>15346</v>
      </c>
      <c r="F2233" s="1">
        <v>115980</v>
      </c>
      <c r="G2233" s="1">
        <v>73188811550</v>
      </c>
      <c r="H2233" s="1">
        <v>15</v>
      </c>
      <c r="I2233" s="1" t="s">
        <v>632</v>
      </c>
      <c r="J2233" t="s">
        <v>15347</v>
      </c>
    </row>
    <row r="2234" spans="1:10">
      <c r="A2234" s="1">
        <v>360263</v>
      </c>
      <c r="B2234" s="1">
        <v>73188800000</v>
      </c>
      <c r="C2234" s="1">
        <v>16</v>
      </c>
      <c r="D2234" s="1" t="s">
        <v>381</v>
      </c>
      <c r="E2234" t="s">
        <v>15348</v>
      </c>
      <c r="F2234" s="1">
        <v>596858</v>
      </c>
      <c r="G2234" s="1">
        <v>73188811552</v>
      </c>
      <c r="H2234" s="1">
        <v>15</v>
      </c>
      <c r="I2234" s="1" t="s">
        <v>632</v>
      </c>
      <c r="J2234" t="s">
        <v>15349</v>
      </c>
    </row>
    <row r="2235" spans="1:10">
      <c r="A2235" s="1">
        <v>483859</v>
      </c>
      <c r="B2235" s="1">
        <v>73188800000</v>
      </c>
      <c r="C2235" s="1">
        <v>20</v>
      </c>
      <c r="D2235" s="1" t="s">
        <v>259</v>
      </c>
      <c r="E2235" t="s">
        <v>15350</v>
      </c>
      <c r="F2235" s="1">
        <v>271064</v>
      </c>
      <c r="G2235" s="1">
        <v>73188811553</v>
      </c>
      <c r="H2235" s="1">
        <v>15</v>
      </c>
      <c r="I2235" s="1" t="s">
        <v>632</v>
      </c>
      <c r="J2235" t="s">
        <v>15351</v>
      </c>
    </row>
    <row r="2236" spans="1:10">
      <c r="A2236" s="1">
        <v>635128</v>
      </c>
      <c r="B2236" s="1">
        <v>7648906777</v>
      </c>
      <c r="C2236" s="1">
        <v>24</v>
      </c>
      <c r="D2236" s="1" t="s">
        <v>574</v>
      </c>
      <c r="E2236" t="s">
        <v>15352</v>
      </c>
      <c r="F2236" s="1">
        <v>306035</v>
      </c>
      <c r="G2236" s="1">
        <v>73188811554</v>
      </c>
      <c r="H2236" s="1">
        <v>12</v>
      </c>
      <c r="I2236" s="1" t="s">
        <v>632</v>
      </c>
      <c r="J2236" t="s">
        <v>15353</v>
      </c>
    </row>
    <row r="2237" spans="1:10">
      <c r="A2237" s="1">
        <v>615971</v>
      </c>
      <c r="B2237" s="1">
        <v>7648900747</v>
      </c>
      <c r="C2237" s="1">
        <v>30</v>
      </c>
      <c r="D2237" s="1" t="s">
        <v>574</v>
      </c>
      <c r="E2237" t="s">
        <v>15354</v>
      </c>
      <c r="F2237" s="1">
        <v>819904</v>
      </c>
      <c r="G2237" s="1">
        <v>73188811657</v>
      </c>
      <c r="H2237" s="1">
        <v>14</v>
      </c>
      <c r="I2237" s="1" t="s">
        <v>910</v>
      </c>
      <c r="J2237" t="s">
        <v>15355</v>
      </c>
    </row>
    <row r="2238" spans="1:10">
      <c r="A2238" s="1">
        <v>603621</v>
      </c>
      <c r="B2238" s="1">
        <v>7648900750</v>
      </c>
      <c r="C2238" s="1">
        <v>30</v>
      </c>
      <c r="D2238" s="1" t="s">
        <v>574</v>
      </c>
      <c r="E2238" t="s">
        <v>15356</v>
      </c>
      <c r="F2238" s="1">
        <v>624619</v>
      </c>
      <c r="G2238" s="1">
        <v>7648900920</v>
      </c>
      <c r="H2238" s="1">
        <v>216</v>
      </c>
      <c r="I2238" s="1" t="s">
        <v>421</v>
      </c>
      <c r="J2238" t="s">
        <v>15357</v>
      </c>
    </row>
    <row r="2239" spans="1:10">
      <c r="A2239" s="1">
        <v>559534</v>
      </c>
      <c r="B2239" s="1">
        <v>7648900716</v>
      </c>
      <c r="C2239" s="1">
        <v>30</v>
      </c>
      <c r="D2239" s="1" t="s">
        <v>574</v>
      </c>
      <c r="E2239" t="s">
        <v>15358</v>
      </c>
      <c r="F2239" s="1">
        <v>602581</v>
      </c>
      <c r="G2239" s="1">
        <v>7648900754</v>
      </c>
      <c r="H2239" s="1">
        <v>480</v>
      </c>
      <c r="I2239" s="1" t="s">
        <v>5135</v>
      </c>
      <c r="J2239" t="s">
        <v>15359</v>
      </c>
    </row>
    <row r="2240" spans="1:10">
      <c r="A2240" s="1">
        <v>607804</v>
      </c>
      <c r="B2240" s="1">
        <v>7648906599</v>
      </c>
      <c r="C2240" s="1">
        <v>24</v>
      </c>
      <c r="D2240" s="1" t="s">
        <v>574</v>
      </c>
      <c r="E2240" t="s">
        <v>15360</v>
      </c>
      <c r="F2240" s="1">
        <v>602482</v>
      </c>
      <c r="G2240" s="1">
        <v>7648900726</v>
      </c>
      <c r="H2240" s="1">
        <v>240</v>
      </c>
      <c r="I2240" s="1" t="s">
        <v>417</v>
      </c>
      <c r="J2240" t="s">
        <v>15361</v>
      </c>
    </row>
    <row r="2241" spans="1:10">
      <c r="A2241" s="1">
        <v>639153</v>
      </c>
      <c r="B2241" s="1">
        <v>7648900510</v>
      </c>
      <c r="C2241" s="1">
        <v>25</v>
      </c>
      <c r="D2241" s="1" t="s">
        <v>11650</v>
      </c>
      <c r="E2241" t="s">
        <v>15362</v>
      </c>
      <c r="F2241" s="1">
        <v>602417</v>
      </c>
      <c r="G2241" s="1">
        <v>7648900709</v>
      </c>
      <c r="H2241" s="1">
        <v>120</v>
      </c>
      <c r="I2241" s="1" t="s">
        <v>397</v>
      </c>
      <c r="J2241" t="s">
        <v>15363</v>
      </c>
    </row>
    <row r="2242" spans="1:10">
      <c r="A2242" s="1">
        <v>602441</v>
      </c>
      <c r="B2242" s="1">
        <v>7648900721</v>
      </c>
      <c r="C2242" s="1">
        <v>30</v>
      </c>
      <c r="D2242" s="1" t="s">
        <v>574</v>
      </c>
      <c r="E2242" t="s">
        <v>15364</v>
      </c>
      <c r="F2242" s="1">
        <v>604439</v>
      </c>
      <c r="G2242" s="1">
        <v>7648900917</v>
      </c>
      <c r="H2242" s="1">
        <v>24</v>
      </c>
      <c r="I2242" s="1" t="s">
        <v>259</v>
      </c>
      <c r="J2242" t="s">
        <v>15365</v>
      </c>
    </row>
    <row r="2243" spans="1:10">
      <c r="A2243" s="1">
        <v>633396</v>
      </c>
      <c r="B2243" s="1">
        <v>7648951001</v>
      </c>
      <c r="C2243" s="1">
        <v>25</v>
      </c>
      <c r="D2243" s="1" t="s">
        <v>489</v>
      </c>
      <c r="E2243" t="s">
        <v>15366</v>
      </c>
      <c r="F2243" s="1">
        <v>604405</v>
      </c>
      <c r="G2243" s="1">
        <v>7648900982</v>
      </c>
      <c r="H2243" s="1">
        <v>225</v>
      </c>
      <c r="I2243" s="1" t="s">
        <v>417</v>
      </c>
      <c r="J2243" t="s">
        <v>15367</v>
      </c>
    </row>
    <row r="2244" spans="1:10">
      <c r="A2244" s="1">
        <v>649889</v>
      </c>
      <c r="B2244" s="1">
        <v>7648965501</v>
      </c>
      <c r="C2244" s="1">
        <v>48</v>
      </c>
      <c r="D2244" s="1" t="s">
        <v>781</v>
      </c>
      <c r="E2244" t="s">
        <v>15368</v>
      </c>
      <c r="F2244" s="1">
        <v>635326</v>
      </c>
      <c r="G2244" s="1">
        <v>7648906703</v>
      </c>
      <c r="H2244" s="1">
        <v>180</v>
      </c>
      <c r="I2244" s="1" t="s">
        <v>312</v>
      </c>
      <c r="J2244" t="s">
        <v>15369</v>
      </c>
    </row>
    <row r="2245" spans="1:10" ht="15.75">
      <c r="A2245" s="1">
        <v>635094</v>
      </c>
      <c r="B2245" s="1">
        <v>7648906744</v>
      </c>
      <c r="C2245" s="1">
        <v>24</v>
      </c>
      <c r="D2245" s="1" t="s">
        <v>574</v>
      </c>
      <c r="E2245" t="s">
        <v>15370</v>
      </c>
      <c r="F2245" s="4" t="s">
        <v>15371</v>
      </c>
      <c r="G2245" s="2"/>
      <c r="H2245" s="2"/>
      <c r="I2245" s="2"/>
      <c r="J2245" s="3"/>
    </row>
    <row r="2246" spans="1:10">
      <c r="A2246" s="1">
        <v>3160</v>
      </c>
      <c r="B2246" s="1">
        <v>7648900000</v>
      </c>
      <c r="C2246" s="1">
        <v>30</v>
      </c>
      <c r="D2246" s="1" t="s">
        <v>399</v>
      </c>
      <c r="E2246" t="s">
        <v>15372</v>
      </c>
      <c r="F2246" s="2" t="s">
        <v>0</v>
      </c>
      <c r="G2246" s="2" t="s">
        <v>1</v>
      </c>
      <c r="H2246" s="2" t="s">
        <v>2</v>
      </c>
      <c r="I2246" s="2" t="s">
        <v>3</v>
      </c>
      <c r="J2246" s="3" t="s">
        <v>4</v>
      </c>
    </row>
    <row r="2247" spans="1:10">
      <c r="A2247" s="1">
        <v>468116</v>
      </c>
      <c r="B2247" s="1">
        <v>7648900000</v>
      </c>
      <c r="C2247" s="1">
        <v>30</v>
      </c>
      <c r="D2247" s="1" t="s">
        <v>399</v>
      </c>
      <c r="E2247" t="s">
        <v>15373</v>
      </c>
      <c r="F2247" s="1">
        <v>503193</v>
      </c>
      <c r="G2247" s="1">
        <v>7829614909</v>
      </c>
      <c r="H2247" s="1">
        <v>162</v>
      </c>
      <c r="I2247" s="1" t="s">
        <v>14</v>
      </c>
      <c r="J2247" t="s">
        <v>15374</v>
      </c>
    </row>
    <row r="2248" spans="1:10">
      <c r="A2248" s="1">
        <v>635193</v>
      </c>
      <c r="B2248" s="1">
        <v>7648906796</v>
      </c>
      <c r="C2248" s="1">
        <v>24</v>
      </c>
      <c r="D2248" s="1" t="s">
        <v>574</v>
      </c>
      <c r="E2248" t="s">
        <v>15375</v>
      </c>
      <c r="F2248" s="1">
        <v>566687</v>
      </c>
      <c r="G2248" s="1">
        <v>7829614919</v>
      </c>
      <c r="H2248" s="1">
        <v>164</v>
      </c>
      <c r="I2248" s="1" t="s">
        <v>14</v>
      </c>
      <c r="J2248" t="s">
        <v>15376</v>
      </c>
    </row>
    <row r="2249" spans="1:10">
      <c r="A2249" s="1">
        <v>242958</v>
      </c>
      <c r="B2249" s="1">
        <v>7648973641</v>
      </c>
      <c r="C2249" s="1">
        <v>10</v>
      </c>
      <c r="D2249" s="1" t="s">
        <v>1366</v>
      </c>
      <c r="E2249" t="s">
        <v>15377</v>
      </c>
      <c r="F2249" s="1">
        <v>390369</v>
      </c>
      <c r="G2249" s="1">
        <v>7829614589</v>
      </c>
      <c r="H2249" s="1">
        <v>144</v>
      </c>
      <c r="I2249" s="1" t="s">
        <v>421</v>
      </c>
      <c r="J2249" t="s">
        <v>15378</v>
      </c>
    </row>
    <row r="2250" spans="1:10">
      <c r="A2250" s="1">
        <v>602516</v>
      </c>
      <c r="B2250" s="1">
        <v>7648900719</v>
      </c>
      <c r="C2250" s="1">
        <v>60</v>
      </c>
      <c r="D2250" s="1" t="s">
        <v>399</v>
      </c>
      <c r="E2250" t="s">
        <v>15379</v>
      </c>
      <c r="F2250" s="1">
        <v>826743</v>
      </c>
      <c r="G2250" s="1">
        <v>7829614579</v>
      </c>
      <c r="H2250" s="1">
        <v>144</v>
      </c>
      <c r="I2250" s="1" t="s">
        <v>421</v>
      </c>
      <c r="J2250" t="s">
        <v>15380</v>
      </c>
    </row>
    <row r="2251" spans="1:10">
      <c r="A2251" s="1">
        <v>632000</v>
      </c>
      <c r="B2251" s="1">
        <v>7648900403</v>
      </c>
      <c r="C2251" s="1">
        <v>20</v>
      </c>
      <c r="D2251" s="1" t="s">
        <v>439</v>
      </c>
      <c r="E2251" t="s">
        <v>15381</v>
      </c>
      <c r="F2251" s="1">
        <v>494302</v>
      </c>
      <c r="G2251" s="1">
        <v>7070400823</v>
      </c>
      <c r="H2251" s="1">
        <v>12</v>
      </c>
      <c r="I2251" s="1" t="s">
        <v>381</v>
      </c>
      <c r="J2251" t="s">
        <v>15382</v>
      </c>
    </row>
    <row r="2252" spans="1:10">
      <c r="A2252" s="1">
        <v>634758</v>
      </c>
      <c r="B2252" s="1">
        <v>7648906727</v>
      </c>
      <c r="C2252" s="1">
        <v>24</v>
      </c>
      <c r="D2252" s="1" t="s">
        <v>574</v>
      </c>
      <c r="E2252" t="s">
        <v>15383</v>
      </c>
      <c r="F2252" s="1">
        <v>481911</v>
      </c>
      <c r="G2252" s="1">
        <v>7070400853</v>
      </c>
      <c r="H2252" s="1">
        <v>12</v>
      </c>
      <c r="I2252" s="1" t="s">
        <v>1254</v>
      </c>
      <c r="J2252" t="s">
        <v>15384</v>
      </c>
    </row>
    <row r="2253" spans="1:10">
      <c r="A2253" s="1">
        <v>136861</v>
      </c>
      <c r="B2253" s="1">
        <v>7648900790</v>
      </c>
      <c r="C2253" s="1">
        <v>15</v>
      </c>
      <c r="D2253" s="1" t="s">
        <v>1473</v>
      </c>
      <c r="E2253" t="s">
        <v>15385</v>
      </c>
      <c r="F2253" s="1">
        <v>883413</v>
      </c>
      <c r="G2253" s="1">
        <v>7648906478</v>
      </c>
      <c r="H2253" s="1">
        <v>200</v>
      </c>
      <c r="I2253" s="1" t="s">
        <v>417</v>
      </c>
      <c r="J2253" t="s">
        <v>15386</v>
      </c>
    </row>
    <row r="2254" spans="1:10">
      <c r="A2254" s="1">
        <v>358937</v>
      </c>
      <c r="B2254" s="1">
        <v>1153550312</v>
      </c>
      <c r="C2254" s="1">
        <v>20</v>
      </c>
      <c r="D2254" s="1" t="s">
        <v>381</v>
      </c>
      <c r="E2254" t="s">
        <v>15387</v>
      </c>
      <c r="F2254" s="1">
        <v>883421</v>
      </c>
      <c r="G2254" s="1">
        <v>7648906473</v>
      </c>
      <c r="H2254" s="1">
        <v>200</v>
      </c>
      <c r="I2254" s="1" t="s">
        <v>31</v>
      </c>
      <c r="J2254" t="s">
        <v>15388</v>
      </c>
    </row>
    <row r="2255" spans="1:10">
      <c r="A2255" s="1">
        <v>387928</v>
      </c>
      <c r="B2255" s="1">
        <v>1153550314</v>
      </c>
      <c r="C2255" s="1">
        <v>20</v>
      </c>
      <c r="D2255" s="1" t="s">
        <v>381</v>
      </c>
      <c r="E2255" t="s">
        <v>15389</v>
      </c>
    </row>
    <row r="2256" spans="1:10">
      <c r="A2256" s="1">
        <v>604892</v>
      </c>
      <c r="B2256" s="1">
        <v>1153550315</v>
      </c>
      <c r="C2256" s="1">
        <v>24</v>
      </c>
      <c r="D2256" s="1" t="s">
        <v>347</v>
      </c>
      <c r="E2256" t="s">
        <v>15390</v>
      </c>
    </row>
    <row r="2257" spans="1:10" ht="15.75">
      <c r="A2257" s="4" t="s">
        <v>15371</v>
      </c>
      <c r="B2257" s="2"/>
      <c r="C2257" s="2"/>
      <c r="D2257" s="2"/>
      <c r="E2257" s="3"/>
      <c r="F2257" s="4" t="s">
        <v>15371</v>
      </c>
      <c r="G2257" s="2"/>
      <c r="H2257" s="2"/>
      <c r="I2257" s="2"/>
      <c r="J2257" s="3"/>
    </row>
    <row r="2258" spans="1:10">
      <c r="A2258" s="2" t="s">
        <v>0</v>
      </c>
      <c r="B2258" s="2" t="s">
        <v>1</v>
      </c>
      <c r="C2258" s="2" t="s">
        <v>2</v>
      </c>
      <c r="D2258" s="2" t="s">
        <v>3</v>
      </c>
      <c r="E2258" s="3" t="s">
        <v>4</v>
      </c>
      <c r="F2258" s="2" t="s">
        <v>0</v>
      </c>
      <c r="G2258" s="2" t="s">
        <v>1</v>
      </c>
      <c r="H2258" s="2" t="s">
        <v>2</v>
      </c>
      <c r="I2258" s="2" t="s">
        <v>3</v>
      </c>
      <c r="J2258" s="3" t="s">
        <v>4</v>
      </c>
    </row>
    <row r="2259" spans="1:10">
      <c r="A2259" s="1">
        <v>527275</v>
      </c>
      <c r="B2259" s="1">
        <v>65752275034</v>
      </c>
      <c r="C2259" s="1">
        <v>56</v>
      </c>
      <c r="D2259" s="1" t="s">
        <v>2211</v>
      </c>
      <c r="E2259" t="s">
        <v>15391</v>
      </c>
      <c r="F2259" s="1">
        <v>633826</v>
      </c>
      <c r="G2259" s="1">
        <v>7648900785</v>
      </c>
      <c r="H2259" s="1">
        <v>240</v>
      </c>
      <c r="I2259" s="1" t="s">
        <v>312</v>
      </c>
      <c r="J2259" t="s">
        <v>15392</v>
      </c>
    </row>
    <row r="2260" spans="1:10">
      <c r="A2260" s="1">
        <v>606772</v>
      </c>
      <c r="B2260" s="1">
        <v>7536102118</v>
      </c>
      <c r="C2260" s="1">
        <v>6</v>
      </c>
      <c r="D2260" s="1" t="s">
        <v>6404</v>
      </c>
      <c r="E2260" t="s">
        <v>15393</v>
      </c>
      <c r="F2260" s="1">
        <v>635821</v>
      </c>
      <c r="G2260" s="1">
        <v>7648906749</v>
      </c>
      <c r="H2260" s="1">
        <v>200</v>
      </c>
      <c r="I2260" s="1" t="s">
        <v>169</v>
      </c>
      <c r="J2260" t="s">
        <v>15394</v>
      </c>
    </row>
    <row r="2261" spans="1:10" ht="15.75">
      <c r="A2261" s="1">
        <v>883355</v>
      </c>
      <c r="B2261" s="1">
        <v>7829621509</v>
      </c>
      <c r="C2261" s="1">
        <v>20</v>
      </c>
      <c r="D2261" s="1" t="s">
        <v>938</v>
      </c>
      <c r="E2261" t="s">
        <v>15395</v>
      </c>
      <c r="F2261" s="4" t="s">
        <v>15396</v>
      </c>
      <c r="G2261" s="2"/>
      <c r="H2261" s="2"/>
      <c r="I2261" s="2"/>
      <c r="J2261" s="3"/>
    </row>
    <row r="2262" spans="1:10">
      <c r="A2262" s="1">
        <v>601757</v>
      </c>
      <c r="B2262" s="1">
        <v>7829611109</v>
      </c>
      <c r="C2262" s="1">
        <v>144</v>
      </c>
      <c r="D2262" s="1" t="s">
        <v>14</v>
      </c>
      <c r="E2262" t="s">
        <v>15397</v>
      </c>
      <c r="F2262" s="2" t="s">
        <v>0</v>
      </c>
      <c r="G2262" s="2" t="s">
        <v>1</v>
      </c>
      <c r="H2262" s="2" t="s">
        <v>2</v>
      </c>
      <c r="I2262" s="2" t="s">
        <v>3</v>
      </c>
      <c r="J2262" s="3" t="s">
        <v>4</v>
      </c>
    </row>
    <row r="2263" spans="1:10">
      <c r="A2263" s="1">
        <v>602771</v>
      </c>
      <c r="B2263" s="1">
        <v>7829611319</v>
      </c>
      <c r="C2263" s="1">
        <v>150</v>
      </c>
      <c r="D2263" s="1" t="s">
        <v>421</v>
      </c>
      <c r="E2263" t="s">
        <v>15398</v>
      </c>
      <c r="F2263" s="1">
        <v>196949</v>
      </c>
      <c r="G2263" s="1">
        <v>7403421181</v>
      </c>
      <c r="H2263" s="1">
        <v>100</v>
      </c>
      <c r="I2263" s="1" t="s">
        <v>312</v>
      </c>
      <c r="J2263" t="s">
        <v>15399</v>
      </c>
    </row>
    <row r="2264" spans="1:10">
      <c r="A2264" s="1">
        <v>609891</v>
      </c>
      <c r="B2264" s="1">
        <v>7829620639</v>
      </c>
      <c r="C2264" s="1">
        <v>300</v>
      </c>
      <c r="D2264" s="1" t="s">
        <v>17</v>
      </c>
      <c r="E2264" t="s">
        <v>15400</v>
      </c>
      <c r="F2264" s="1">
        <v>469775</v>
      </c>
      <c r="G2264" s="1">
        <v>7403421191</v>
      </c>
      <c r="H2264" s="1">
        <v>130</v>
      </c>
      <c r="I2264" s="1" t="s">
        <v>212</v>
      </c>
      <c r="J2264" t="s">
        <v>15401</v>
      </c>
    </row>
    <row r="2265" spans="1:10">
      <c r="A2265" s="1">
        <v>604322</v>
      </c>
      <c r="B2265" s="1">
        <v>7829611279</v>
      </c>
      <c r="C2265" s="1">
        <v>300</v>
      </c>
      <c r="D2265" s="1" t="s">
        <v>17</v>
      </c>
      <c r="E2265" t="s">
        <v>15402</v>
      </c>
      <c r="F2265" s="1">
        <v>255323</v>
      </c>
      <c r="G2265" s="1">
        <v>7893201087</v>
      </c>
      <c r="H2265" s="1">
        <v>6</v>
      </c>
      <c r="I2265" s="1" t="s">
        <v>860</v>
      </c>
      <c r="J2265" t="s">
        <v>15403</v>
      </c>
    </row>
    <row r="2266" spans="1:10">
      <c r="A2266" s="1">
        <v>889063</v>
      </c>
      <c r="B2266" s="1">
        <v>7829619509</v>
      </c>
      <c r="C2266" s="1">
        <v>144</v>
      </c>
      <c r="D2266" s="1" t="s">
        <v>421</v>
      </c>
      <c r="E2266" t="s">
        <v>15404</v>
      </c>
      <c r="F2266" s="1">
        <v>445908</v>
      </c>
      <c r="G2266" s="1">
        <v>7934102822</v>
      </c>
      <c r="H2266" s="1">
        <v>6</v>
      </c>
      <c r="I2266" s="1" t="s">
        <v>10495</v>
      </c>
      <c r="J2266" t="s">
        <v>15405</v>
      </c>
    </row>
    <row r="2267" spans="1:10">
      <c r="A2267" s="1">
        <v>605659</v>
      </c>
      <c r="B2267" s="1">
        <v>7829616909</v>
      </c>
      <c r="C2267" s="1">
        <v>90</v>
      </c>
      <c r="D2267" s="1" t="s">
        <v>397</v>
      </c>
      <c r="E2267" t="s">
        <v>15406</v>
      </c>
      <c r="F2267" s="1">
        <v>280974</v>
      </c>
      <c r="G2267" s="1">
        <v>7934102821</v>
      </c>
      <c r="H2267" s="1">
        <v>6</v>
      </c>
      <c r="I2267" s="1" t="s">
        <v>10495</v>
      </c>
      <c r="J2267" t="s">
        <v>15407</v>
      </c>
    </row>
    <row r="2268" spans="1:10">
      <c r="A2268" s="1">
        <v>889071</v>
      </c>
      <c r="B2268" s="1">
        <v>7829618909</v>
      </c>
      <c r="C2268" s="1">
        <v>240</v>
      </c>
      <c r="D2268" s="1" t="s">
        <v>18</v>
      </c>
      <c r="E2268" t="s">
        <v>15408</v>
      </c>
      <c r="F2268" s="1">
        <v>892489</v>
      </c>
      <c r="G2268" s="1">
        <v>7343500302</v>
      </c>
      <c r="H2268" s="1">
        <v>16</v>
      </c>
      <c r="I2268" s="1" t="s">
        <v>599</v>
      </c>
      <c r="J2268" t="s">
        <v>15409</v>
      </c>
    </row>
    <row r="2269" spans="1:10">
      <c r="A2269" s="1">
        <v>248005</v>
      </c>
      <c r="B2269" s="1">
        <v>7829611459</v>
      </c>
      <c r="C2269" s="1">
        <v>300</v>
      </c>
      <c r="D2269" s="1" t="s">
        <v>15</v>
      </c>
      <c r="E2269" t="s">
        <v>15410</v>
      </c>
      <c r="F2269" s="1">
        <v>644757</v>
      </c>
      <c r="G2269" s="1">
        <v>7343500001</v>
      </c>
      <c r="H2269" s="1">
        <v>12</v>
      </c>
      <c r="I2269" s="1" t="s">
        <v>381</v>
      </c>
      <c r="J2269" t="s">
        <v>15411</v>
      </c>
    </row>
    <row r="2270" spans="1:10">
      <c r="A2270" s="1">
        <v>775783</v>
      </c>
      <c r="B2270" s="1">
        <v>7829613009</v>
      </c>
      <c r="C2270" s="1">
        <v>20</v>
      </c>
      <c r="D2270" s="1" t="s">
        <v>938</v>
      </c>
      <c r="E2270" t="s">
        <v>15412</v>
      </c>
      <c r="F2270" s="1">
        <v>637215</v>
      </c>
      <c r="G2270" s="1">
        <v>7343500006</v>
      </c>
      <c r="H2270" s="1">
        <v>32</v>
      </c>
      <c r="I2270" s="1" t="s">
        <v>589</v>
      </c>
      <c r="J2270" t="s">
        <v>15413</v>
      </c>
    </row>
    <row r="2271" spans="1:10">
      <c r="A2271" s="1">
        <v>889105</v>
      </c>
      <c r="B2271" s="1">
        <v>7829614109</v>
      </c>
      <c r="C2271" s="1">
        <v>144</v>
      </c>
      <c r="D2271" s="1" t="s">
        <v>421</v>
      </c>
      <c r="E2271" t="s">
        <v>15414</v>
      </c>
      <c r="F2271" s="1">
        <v>890095</v>
      </c>
      <c r="G2271" s="1">
        <v>7343500220</v>
      </c>
      <c r="H2271" s="1">
        <v>24</v>
      </c>
      <c r="I2271" s="1" t="s">
        <v>589</v>
      </c>
      <c r="J2271" t="s">
        <v>15415</v>
      </c>
    </row>
    <row r="2272" spans="1:10">
      <c r="A2272" s="1">
        <v>733469</v>
      </c>
      <c r="B2272" s="1">
        <v>7829616919</v>
      </c>
      <c r="C2272" s="1">
        <v>108</v>
      </c>
      <c r="D2272" s="1" t="s">
        <v>397</v>
      </c>
      <c r="E2272" t="s">
        <v>15416</v>
      </c>
      <c r="F2272" s="1">
        <v>644732</v>
      </c>
      <c r="G2272" s="1">
        <v>7343500005</v>
      </c>
      <c r="H2272" s="1">
        <v>12</v>
      </c>
      <c r="I2272" s="1" t="s">
        <v>347</v>
      </c>
      <c r="J2272" t="s">
        <v>15417</v>
      </c>
    </row>
    <row r="2273" spans="1:10">
      <c r="A2273" s="1">
        <v>598243</v>
      </c>
      <c r="B2273" s="1">
        <v>7829600000</v>
      </c>
      <c r="C2273" s="1">
        <v>216</v>
      </c>
      <c r="D2273" s="1" t="s">
        <v>31</v>
      </c>
      <c r="E2273" t="s">
        <v>15418</v>
      </c>
      <c r="F2273" s="1">
        <v>644740</v>
      </c>
      <c r="G2273" s="1">
        <v>7343500004</v>
      </c>
      <c r="H2273" s="1">
        <v>12</v>
      </c>
      <c r="I2273" s="1" t="s">
        <v>347</v>
      </c>
      <c r="J2273" t="s">
        <v>15419</v>
      </c>
    </row>
    <row r="2274" spans="1:10">
      <c r="A2274" s="1">
        <v>883389</v>
      </c>
      <c r="B2274" s="1">
        <v>7829611119</v>
      </c>
      <c r="C2274" s="1">
        <v>144</v>
      </c>
      <c r="D2274" s="1" t="s">
        <v>14</v>
      </c>
      <c r="E2274" t="s">
        <v>15420</v>
      </c>
      <c r="F2274" s="1">
        <v>884098</v>
      </c>
      <c r="G2274" s="1">
        <v>7343500201</v>
      </c>
      <c r="H2274" s="1">
        <v>12</v>
      </c>
      <c r="I2274" s="1" t="s">
        <v>347</v>
      </c>
      <c r="J2274" t="s">
        <v>15421</v>
      </c>
    </row>
    <row r="2275" spans="1:10">
      <c r="A2275" s="1">
        <v>610360</v>
      </c>
      <c r="B2275" s="1">
        <v>7829611419</v>
      </c>
      <c r="C2275" s="1">
        <v>300</v>
      </c>
      <c r="D2275" s="1" t="s">
        <v>8</v>
      </c>
      <c r="E2275" t="s">
        <v>15422</v>
      </c>
      <c r="F2275" s="1">
        <v>875708</v>
      </c>
      <c r="G2275" s="1">
        <v>7343500225</v>
      </c>
      <c r="H2275" s="1">
        <v>24</v>
      </c>
      <c r="I2275" s="1" t="s">
        <v>589</v>
      </c>
      <c r="J2275" t="s">
        <v>15423</v>
      </c>
    </row>
    <row r="2276" spans="1:10">
      <c r="A2276" s="1">
        <v>733378</v>
      </c>
      <c r="B2276" s="1">
        <v>7829616929</v>
      </c>
      <c r="C2276" s="1">
        <v>108</v>
      </c>
      <c r="D2276" s="1" t="s">
        <v>397</v>
      </c>
      <c r="E2276" t="s">
        <v>15424</v>
      </c>
      <c r="F2276" s="1">
        <v>403048</v>
      </c>
      <c r="G2276" s="1">
        <v>7343500401</v>
      </c>
      <c r="H2276" s="1">
        <v>16</v>
      </c>
      <c r="I2276" s="1" t="s">
        <v>1341</v>
      </c>
      <c r="J2276" t="s">
        <v>15425</v>
      </c>
    </row>
    <row r="2277" spans="1:10">
      <c r="A2277" s="1">
        <v>46375</v>
      </c>
      <c r="B2277" s="1">
        <v>5759200000</v>
      </c>
      <c r="C2277" s="1">
        <v>250</v>
      </c>
      <c r="D2277" s="1" t="s">
        <v>15426</v>
      </c>
      <c r="E2277" t="s">
        <v>15427</v>
      </c>
      <c r="F2277" s="1">
        <v>562520</v>
      </c>
      <c r="G2277" s="1">
        <v>7343500200</v>
      </c>
      <c r="H2277" s="1">
        <v>12</v>
      </c>
      <c r="I2277" s="1" t="s">
        <v>259</v>
      </c>
      <c r="J2277" t="s">
        <v>15428</v>
      </c>
    </row>
    <row r="2278" spans="1:10">
      <c r="A2278" s="1">
        <v>636431</v>
      </c>
      <c r="B2278" s="1">
        <v>4980003148</v>
      </c>
      <c r="C2278" s="1">
        <v>72</v>
      </c>
      <c r="D2278" s="1" t="s">
        <v>397</v>
      </c>
      <c r="E2278" t="s">
        <v>15429</v>
      </c>
      <c r="F2278" s="1">
        <v>737767</v>
      </c>
      <c r="G2278" s="1">
        <v>3450063280</v>
      </c>
      <c r="H2278" s="1">
        <v>1</v>
      </c>
      <c r="I2278" s="1" t="s">
        <v>10028</v>
      </c>
      <c r="J2278" t="s">
        <v>15430</v>
      </c>
    </row>
    <row r="2279" spans="1:10">
      <c r="A2279" s="1">
        <v>636951</v>
      </c>
      <c r="B2279" s="1">
        <v>4980012722</v>
      </c>
      <c r="C2279" s="1">
        <v>144</v>
      </c>
      <c r="D2279" s="1" t="s">
        <v>421</v>
      </c>
      <c r="E2279" t="s">
        <v>15431</v>
      </c>
      <c r="F2279" s="1">
        <v>662510</v>
      </c>
      <c r="G2279" s="1">
        <v>3210000556</v>
      </c>
      <c r="H2279" s="1">
        <v>4</v>
      </c>
      <c r="I2279" s="1" t="s">
        <v>4815</v>
      </c>
      <c r="J2279" t="s">
        <v>15432</v>
      </c>
    </row>
    <row r="2280" spans="1:10">
      <c r="A2280" s="1">
        <v>636787</v>
      </c>
      <c r="B2280" s="1">
        <v>4980004280</v>
      </c>
      <c r="C2280" s="1">
        <v>240</v>
      </c>
      <c r="D2280" s="1" t="s">
        <v>17</v>
      </c>
      <c r="E2280" t="s">
        <v>15433</v>
      </c>
      <c r="F2280" s="1">
        <v>393165</v>
      </c>
      <c r="G2280" s="1">
        <v>4950800612</v>
      </c>
      <c r="H2280" s="1">
        <v>12</v>
      </c>
      <c r="I2280" s="1" t="s">
        <v>404</v>
      </c>
      <c r="J2280" t="s">
        <v>15434</v>
      </c>
    </row>
    <row r="2281" spans="1:10">
      <c r="A2281" s="1">
        <v>479691</v>
      </c>
      <c r="B2281" s="1">
        <v>4980000000</v>
      </c>
      <c r="C2281" s="1">
        <v>240</v>
      </c>
      <c r="D2281" s="1" t="s">
        <v>163</v>
      </c>
      <c r="E2281" t="s">
        <v>15435</v>
      </c>
      <c r="F2281" s="1">
        <v>891408</v>
      </c>
      <c r="G2281" s="1">
        <v>4950800620</v>
      </c>
      <c r="H2281" s="1">
        <v>12</v>
      </c>
      <c r="I2281" s="1" t="s">
        <v>404</v>
      </c>
      <c r="J2281" t="s">
        <v>15436</v>
      </c>
    </row>
    <row r="2282" spans="1:10">
      <c r="A2282" s="1">
        <v>497149</v>
      </c>
      <c r="B2282" s="1">
        <v>7070470803</v>
      </c>
      <c r="C2282" s="1">
        <v>24</v>
      </c>
      <c r="D2282" s="1" t="s">
        <v>347</v>
      </c>
      <c r="E2282" t="s">
        <v>15437</v>
      </c>
      <c r="F2282" s="1">
        <v>848838</v>
      </c>
      <c r="G2282" s="1">
        <v>4950800610</v>
      </c>
      <c r="H2282" s="1">
        <v>12</v>
      </c>
      <c r="I2282" s="1" t="s">
        <v>404</v>
      </c>
      <c r="J2282" t="s">
        <v>15438</v>
      </c>
    </row>
    <row r="2283" spans="1:10">
      <c r="A2283" s="1">
        <v>374660</v>
      </c>
      <c r="B2283" s="1">
        <v>64130370239</v>
      </c>
      <c r="C2283" s="1">
        <v>12</v>
      </c>
      <c r="D2283" s="1" t="s">
        <v>439</v>
      </c>
      <c r="E2283" t="s">
        <v>15439</v>
      </c>
      <c r="F2283" s="1">
        <v>152447</v>
      </c>
      <c r="G2283" s="1">
        <v>4950800615</v>
      </c>
      <c r="H2283" s="1">
        <v>12</v>
      </c>
      <c r="I2283" s="1" t="s">
        <v>404</v>
      </c>
      <c r="J2283" t="s">
        <v>15440</v>
      </c>
    </row>
    <row r="2284" spans="1:10">
      <c r="A2284" s="1">
        <v>351676</v>
      </c>
      <c r="B2284" s="1">
        <v>73188800000</v>
      </c>
      <c r="C2284" s="1">
        <v>80</v>
      </c>
      <c r="D2284" s="1" t="s">
        <v>14</v>
      </c>
      <c r="E2284" t="s">
        <v>15441</v>
      </c>
      <c r="F2284" s="1">
        <v>535179</v>
      </c>
      <c r="G2284" s="1">
        <v>4950800600</v>
      </c>
      <c r="H2284" s="1">
        <v>12</v>
      </c>
      <c r="I2284" s="1" t="s">
        <v>404</v>
      </c>
      <c r="J2284" t="s">
        <v>15442</v>
      </c>
    </row>
    <row r="2285" spans="1:10">
      <c r="A2285" s="1">
        <v>417881</v>
      </c>
      <c r="B2285" s="1">
        <v>73188800000</v>
      </c>
      <c r="C2285" s="1">
        <v>80</v>
      </c>
      <c r="D2285" s="1" t="s">
        <v>14</v>
      </c>
      <c r="E2285" t="s">
        <v>15443</v>
      </c>
      <c r="F2285" s="1">
        <v>644682</v>
      </c>
      <c r="G2285" s="1">
        <v>7312400106</v>
      </c>
      <c r="H2285" s="1">
        <v>12</v>
      </c>
      <c r="I2285" s="1" t="s">
        <v>347</v>
      </c>
      <c r="J2285" t="s">
        <v>15444</v>
      </c>
    </row>
    <row r="2286" spans="1:10">
      <c r="A2286" s="1">
        <v>488957</v>
      </c>
      <c r="B2286" s="1">
        <v>73188800000</v>
      </c>
      <c r="C2286" s="1">
        <v>90</v>
      </c>
      <c r="D2286" s="1" t="s">
        <v>14</v>
      </c>
      <c r="E2286" t="s">
        <v>15445</v>
      </c>
      <c r="F2286" s="1">
        <v>644245</v>
      </c>
      <c r="G2286" s="1">
        <v>7312400308</v>
      </c>
      <c r="H2286" s="1">
        <v>12</v>
      </c>
      <c r="I2286" s="1" t="s">
        <v>259</v>
      </c>
      <c r="J2286" t="s">
        <v>15446</v>
      </c>
    </row>
    <row r="2287" spans="1:10">
      <c r="A2287" s="1">
        <v>395269</v>
      </c>
      <c r="B2287" s="1">
        <v>73188800000</v>
      </c>
      <c r="C2287" s="1">
        <v>90</v>
      </c>
      <c r="D2287" s="1" t="s">
        <v>14</v>
      </c>
      <c r="E2287" t="s">
        <v>15447</v>
      </c>
      <c r="F2287" s="1">
        <v>644146</v>
      </c>
      <c r="G2287" s="1">
        <v>7312400307</v>
      </c>
      <c r="H2287" s="1">
        <v>12</v>
      </c>
      <c r="I2287" s="1" t="s">
        <v>259</v>
      </c>
      <c r="J2287" t="s">
        <v>15448</v>
      </c>
    </row>
    <row r="2288" spans="1:10">
      <c r="A2288" s="1">
        <v>10983</v>
      </c>
      <c r="B2288" s="1">
        <v>73188800000</v>
      </c>
      <c r="C2288" s="1">
        <v>80</v>
      </c>
      <c r="D2288" s="1" t="s">
        <v>89</v>
      </c>
      <c r="E2288" t="s">
        <v>15449</v>
      </c>
      <c r="F2288" s="1">
        <v>229039</v>
      </c>
      <c r="G2288" s="1">
        <v>7312400815</v>
      </c>
      <c r="H2288" s="1">
        <v>10</v>
      </c>
      <c r="I2288" s="1" t="s">
        <v>379</v>
      </c>
      <c r="J2288" t="s">
        <v>15450</v>
      </c>
    </row>
    <row r="2289" spans="1:10">
      <c r="A2289" s="1">
        <v>692558</v>
      </c>
      <c r="B2289" s="1">
        <v>73188800000</v>
      </c>
      <c r="C2289" s="1">
        <v>90</v>
      </c>
      <c r="D2289" s="1" t="s">
        <v>14</v>
      </c>
      <c r="E2289" t="s">
        <v>15451</v>
      </c>
      <c r="F2289" s="1">
        <v>644658</v>
      </c>
      <c r="G2289" s="1">
        <v>7312400506</v>
      </c>
      <c r="H2289" s="1">
        <v>12</v>
      </c>
      <c r="I2289" s="1" t="s">
        <v>347</v>
      </c>
      <c r="J2289" t="s">
        <v>15452</v>
      </c>
    </row>
    <row r="2290" spans="1:10">
      <c r="A2290" s="1">
        <v>502427</v>
      </c>
      <c r="B2290" s="1">
        <v>73188811551</v>
      </c>
      <c r="C2290" s="1">
        <v>14</v>
      </c>
      <c r="D2290" s="1" t="s">
        <v>908</v>
      </c>
      <c r="E2290" t="s">
        <v>15453</v>
      </c>
      <c r="F2290" s="1">
        <v>618215</v>
      </c>
      <c r="G2290" s="1">
        <v>7312400706</v>
      </c>
      <c r="H2290" s="1">
        <v>12</v>
      </c>
      <c r="I2290" s="1" t="s">
        <v>347</v>
      </c>
      <c r="J2290" t="s">
        <v>15454</v>
      </c>
    </row>
    <row r="2291" spans="1:10">
      <c r="A2291" s="1">
        <v>559542</v>
      </c>
      <c r="B2291" s="1">
        <v>7648900409</v>
      </c>
      <c r="C2291" s="1">
        <v>180</v>
      </c>
      <c r="D2291" s="1" t="s">
        <v>14</v>
      </c>
      <c r="E2291" t="s">
        <v>15455</v>
      </c>
      <c r="F2291" s="1">
        <v>618223</v>
      </c>
      <c r="G2291" s="1">
        <v>7312400705</v>
      </c>
      <c r="H2291" s="1">
        <v>12</v>
      </c>
      <c r="I2291" s="1" t="s">
        <v>347</v>
      </c>
      <c r="J2291" t="s">
        <v>15456</v>
      </c>
    </row>
    <row r="2292" spans="1:10">
      <c r="A2292" s="1">
        <v>632927</v>
      </c>
      <c r="B2292" s="1">
        <v>7648900560</v>
      </c>
      <c r="C2292" s="1">
        <v>240</v>
      </c>
      <c r="D2292" s="1" t="s">
        <v>15</v>
      </c>
      <c r="E2292" t="s">
        <v>15457</v>
      </c>
      <c r="F2292" s="1">
        <v>228981</v>
      </c>
      <c r="G2292" s="1">
        <v>7070400020</v>
      </c>
      <c r="H2292" s="1">
        <v>12</v>
      </c>
      <c r="I2292" s="1" t="s">
        <v>347</v>
      </c>
      <c r="J2292" t="s">
        <v>15458</v>
      </c>
    </row>
    <row r="2293" spans="1:10">
      <c r="A2293" s="1">
        <v>635227</v>
      </c>
      <c r="B2293" s="1">
        <v>7648906420</v>
      </c>
      <c r="C2293" s="1">
        <v>24</v>
      </c>
      <c r="D2293" s="1" t="s">
        <v>574</v>
      </c>
      <c r="E2293" t="s">
        <v>15459</v>
      </c>
      <c r="F2293" s="1">
        <v>233767</v>
      </c>
      <c r="G2293" s="1">
        <v>7312400405</v>
      </c>
      <c r="H2293" s="1">
        <v>16</v>
      </c>
      <c r="I2293" s="1" t="s">
        <v>489</v>
      </c>
      <c r="J2293" t="s">
        <v>15460</v>
      </c>
    </row>
    <row r="2294" spans="1:10">
      <c r="A2294" s="1">
        <v>883363</v>
      </c>
      <c r="B2294" s="1">
        <v>7648900554</v>
      </c>
      <c r="C2294" s="1">
        <v>240</v>
      </c>
      <c r="D2294" s="1" t="s">
        <v>15</v>
      </c>
      <c r="E2294" t="s">
        <v>15461</v>
      </c>
      <c r="F2294" s="1">
        <v>233759</v>
      </c>
      <c r="G2294" s="1">
        <v>7312400412</v>
      </c>
      <c r="H2294" s="1">
        <v>16</v>
      </c>
      <c r="I2294" s="1" t="s">
        <v>489</v>
      </c>
      <c r="J2294" t="s">
        <v>15462</v>
      </c>
    </row>
    <row r="2295" spans="1:10">
      <c r="A2295" s="1">
        <v>635888</v>
      </c>
      <c r="B2295" s="1">
        <v>7648906781</v>
      </c>
      <c r="C2295" s="1">
        <v>180</v>
      </c>
      <c r="D2295" s="1" t="s">
        <v>421</v>
      </c>
      <c r="E2295" t="s">
        <v>15463</v>
      </c>
      <c r="F2295" s="1">
        <v>644666</v>
      </c>
      <c r="G2295" s="1">
        <v>7312400206</v>
      </c>
      <c r="H2295" s="1">
        <v>12</v>
      </c>
      <c r="I2295" s="1" t="s">
        <v>347</v>
      </c>
      <c r="J2295" t="s">
        <v>15464</v>
      </c>
    </row>
    <row r="2296" spans="1:10">
      <c r="A2296" s="1">
        <v>602193</v>
      </c>
      <c r="B2296" s="1">
        <v>7648990501</v>
      </c>
      <c r="C2296" s="1">
        <v>48</v>
      </c>
      <c r="D2296" s="1" t="s">
        <v>394</v>
      </c>
      <c r="E2296" t="s">
        <v>15465</v>
      </c>
      <c r="F2296" s="1">
        <v>233775</v>
      </c>
      <c r="G2296" s="1">
        <v>7312400402</v>
      </c>
      <c r="H2296" s="1">
        <v>16</v>
      </c>
      <c r="I2296" s="1" t="s">
        <v>489</v>
      </c>
      <c r="J2296" t="s">
        <v>15466</v>
      </c>
    </row>
    <row r="2297" spans="1:10">
      <c r="A2297" s="1">
        <v>630749</v>
      </c>
      <c r="B2297" s="1">
        <v>7648900950</v>
      </c>
      <c r="C2297" s="1">
        <v>480</v>
      </c>
      <c r="D2297" s="1" t="s">
        <v>15</v>
      </c>
      <c r="E2297" t="s">
        <v>15467</v>
      </c>
      <c r="F2297" s="1">
        <v>647354</v>
      </c>
      <c r="G2297" s="1">
        <v>7312400508</v>
      </c>
      <c r="H2297" s="1">
        <v>12</v>
      </c>
      <c r="I2297" s="1" t="s">
        <v>399</v>
      </c>
      <c r="J2297" t="s">
        <v>15468</v>
      </c>
    </row>
    <row r="2298" spans="1:10" ht="15.75">
      <c r="A2298" s="4" t="s">
        <v>15371</v>
      </c>
      <c r="B2298" s="2"/>
      <c r="C2298" s="2"/>
      <c r="D2298" s="2"/>
      <c r="E2298" s="3"/>
      <c r="F2298" s="4" t="s">
        <v>15469</v>
      </c>
      <c r="G2298" s="2"/>
      <c r="H2298" s="2"/>
      <c r="I2298" s="2"/>
      <c r="J2298" s="3"/>
    </row>
    <row r="2299" spans="1:10">
      <c r="A2299" s="2" t="s">
        <v>0</v>
      </c>
      <c r="B2299" s="2" t="s">
        <v>1</v>
      </c>
      <c r="C2299" s="2" t="s">
        <v>2</v>
      </c>
      <c r="D2299" s="2" t="s">
        <v>3</v>
      </c>
      <c r="E2299" s="3" t="s">
        <v>4</v>
      </c>
      <c r="F2299" s="2" t="s">
        <v>0</v>
      </c>
      <c r="G2299" s="2" t="s">
        <v>1</v>
      </c>
      <c r="H2299" s="2" t="s">
        <v>2</v>
      </c>
      <c r="I2299" s="2" t="s">
        <v>3</v>
      </c>
      <c r="J2299" s="3" t="s">
        <v>4</v>
      </c>
    </row>
    <row r="2300" spans="1:10">
      <c r="A2300" s="1">
        <v>233783</v>
      </c>
      <c r="B2300" s="1">
        <v>7312400401</v>
      </c>
      <c r="C2300" s="1">
        <v>16</v>
      </c>
      <c r="D2300" s="1" t="s">
        <v>489</v>
      </c>
      <c r="E2300" t="s">
        <v>15470</v>
      </c>
      <c r="F2300" s="1">
        <v>893198</v>
      </c>
      <c r="G2300" s="1">
        <v>3621707029</v>
      </c>
      <c r="H2300" s="1">
        <v>4</v>
      </c>
      <c r="I2300" s="1" t="s">
        <v>347</v>
      </c>
      <c r="J2300" t="s">
        <v>15471</v>
      </c>
    </row>
    <row r="2301" spans="1:10">
      <c r="A2301" s="1">
        <v>233791</v>
      </c>
      <c r="B2301" s="1">
        <v>7312400421</v>
      </c>
      <c r="C2301" s="1">
        <v>6</v>
      </c>
      <c r="D2301" s="1" t="s">
        <v>722</v>
      </c>
      <c r="E2301" t="s">
        <v>15472</v>
      </c>
      <c r="F2301" s="1">
        <v>458224</v>
      </c>
      <c r="G2301" s="1">
        <v>69511929904</v>
      </c>
      <c r="H2301" s="1">
        <v>12</v>
      </c>
      <c r="I2301" s="1" t="s">
        <v>860</v>
      </c>
      <c r="J2301" t="s">
        <v>15473</v>
      </c>
    </row>
    <row r="2302" spans="1:10" ht="15.75">
      <c r="A2302" s="4" t="s">
        <v>15474</v>
      </c>
      <c r="B2302" s="2"/>
      <c r="C2302" s="2"/>
      <c r="D2302" s="2"/>
      <c r="E2302" s="3"/>
      <c r="F2302" s="1">
        <v>769398</v>
      </c>
      <c r="G2302" s="1">
        <v>1380000000</v>
      </c>
      <c r="H2302" s="1">
        <v>4</v>
      </c>
      <c r="I2302" s="1" t="s">
        <v>4871</v>
      </c>
      <c r="J2302" t="s">
        <v>15475</v>
      </c>
    </row>
    <row r="2303" spans="1:10">
      <c r="A2303" s="2" t="s">
        <v>0</v>
      </c>
      <c r="B2303" s="2" t="s">
        <v>1</v>
      </c>
      <c r="C2303" s="2" t="s">
        <v>2</v>
      </c>
      <c r="D2303" s="2" t="s">
        <v>3</v>
      </c>
      <c r="E2303" s="3" t="s">
        <v>4</v>
      </c>
      <c r="F2303" s="1">
        <v>470187</v>
      </c>
      <c r="G2303" s="1">
        <v>7111714446</v>
      </c>
      <c r="H2303" s="1">
        <v>4</v>
      </c>
      <c r="I2303" s="1" t="s">
        <v>4658</v>
      </c>
      <c r="J2303" t="s">
        <v>15476</v>
      </c>
    </row>
    <row r="2304" spans="1:10">
      <c r="A2304" s="1">
        <v>433318</v>
      </c>
      <c r="B2304" s="1">
        <v>76371980989</v>
      </c>
      <c r="C2304" s="1">
        <v>2</v>
      </c>
      <c r="D2304" s="1" t="s">
        <v>4658</v>
      </c>
      <c r="E2304" t="s">
        <v>15477</v>
      </c>
      <c r="F2304" s="1">
        <v>888560</v>
      </c>
      <c r="G2304" s="1">
        <v>7111714481</v>
      </c>
      <c r="H2304" s="1">
        <v>6</v>
      </c>
      <c r="I2304" s="1" t="s">
        <v>375</v>
      </c>
      <c r="J2304" t="s">
        <v>14064</v>
      </c>
    </row>
    <row r="2305" spans="1:10">
      <c r="A2305" s="1">
        <v>376475</v>
      </c>
      <c r="B2305" s="1">
        <v>1120400047</v>
      </c>
      <c r="C2305" s="1">
        <v>6</v>
      </c>
      <c r="D2305" s="1" t="s">
        <v>4658</v>
      </c>
      <c r="E2305" t="s">
        <v>15478</v>
      </c>
      <c r="F2305" s="1">
        <v>254672</v>
      </c>
      <c r="G2305" s="1">
        <v>7111714445</v>
      </c>
      <c r="H2305" s="1">
        <v>4</v>
      </c>
      <c r="I2305" s="1" t="s">
        <v>4658</v>
      </c>
      <c r="J2305" t="s">
        <v>15479</v>
      </c>
    </row>
    <row r="2306" spans="1:10">
      <c r="A2306" s="1">
        <v>351890</v>
      </c>
      <c r="B2306" s="1">
        <v>1120400000</v>
      </c>
      <c r="C2306" s="1">
        <v>5</v>
      </c>
      <c r="D2306" s="1" t="s">
        <v>11749</v>
      </c>
      <c r="E2306" t="s">
        <v>15480</v>
      </c>
      <c r="F2306" s="1">
        <v>670810</v>
      </c>
      <c r="G2306" s="1">
        <v>7111714439</v>
      </c>
      <c r="H2306" s="1">
        <v>4</v>
      </c>
      <c r="I2306" s="1" t="s">
        <v>4658</v>
      </c>
      <c r="J2306" t="s">
        <v>15481</v>
      </c>
    </row>
    <row r="2307" spans="1:10">
      <c r="A2307" s="1">
        <v>383075</v>
      </c>
      <c r="B2307" s="1">
        <v>7106880848</v>
      </c>
      <c r="C2307" s="1">
        <v>48</v>
      </c>
      <c r="D2307" s="1" t="s">
        <v>6600</v>
      </c>
      <c r="E2307" t="s">
        <v>15482</v>
      </c>
      <c r="F2307" s="1">
        <v>344358</v>
      </c>
      <c r="G2307" s="1">
        <v>7111714482</v>
      </c>
      <c r="H2307" s="1">
        <v>6</v>
      </c>
      <c r="I2307" s="1" t="s">
        <v>439</v>
      </c>
      <c r="J2307" t="s">
        <v>15483</v>
      </c>
    </row>
    <row r="2308" spans="1:10" ht="15.75">
      <c r="A2308" s="4" t="s">
        <v>15469</v>
      </c>
      <c r="B2308" s="2"/>
      <c r="C2308" s="2"/>
      <c r="D2308" s="2"/>
      <c r="E2308" s="3"/>
      <c r="F2308" s="1">
        <v>489575</v>
      </c>
      <c r="G2308" s="1">
        <v>7111714391</v>
      </c>
      <c r="H2308" s="1">
        <v>4</v>
      </c>
      <c r="I2308" s="1" t="s">
        <v>4658</v>
      </c>
      <c r="J2308" t="s">
        <v>15483</v>
      </c>
    </row>
    <row r="2309" spans="1:10">
      <c r="A2309" s="2" t="s">
        <v>0</v>
      </c>
      <c r="B2309" s="2" t="s">
        <v>1</v>
      </c>
      <c r="C2309" s="2" t="s">
        <v>2</v>
      </c>
      <c r="D2309" s="2" t="s">
        <v>3</v>
      </c>
      <c r="E2309" s="3" t="s">
        <v>4</v>
      </c>
      <c r="F2309" s="1">
        <v>652172</v>
      </c>
      <c r="G2309" s="1">
        <v>7111714179</v>
      </c>
      <c r="H2309" s="1">
        <v>6</v>
      </c>
      <c r="I2309" s="1" t="s">
        <v>4723</v>
      </c>
      <c r="J2309" t="s">
        <v>15484</v>
      </c>
    </row>
    <row r="2310" spans="1:10">
      <c r="A2310" s="1">
        <v>529081</v>
      </c>
      <c r="B2310" s="1">
        <v>1120400042</v>
      </c>
      <c r="C2310" s="1">
        <v>6</v>
      </c>
      <c r="D2310" s="1" t="s">
        <v>4658</v>
      </c>
      <c r="E2310" t="s">
        <v>15478</v>
      </c>
      <c r="F2310" s="1">
        <v>687871</v>
      </c>
      <c r="G2310" s="1">
        <v>27080068121</v>
      </c>
      <c r="H2310" s="1">
        <v>16</v>
      </c>
      <c r="I2310" s="1" t="s">
        <v>1654</v>
      </c>
      <c r="J2310" t="s">
        <v>15485</v>
      </c>
    </row>
    <row r="2311" spans="1:10">
      <c r="A2311" s="1">
        <v>354670</v>
      </c>
      <c r="B2311" s="1">
        <v>3841911523</v>
      </c>
      <c r="C2311" s="1">
        <v>1</v>
      </c>
      <c r="D2311" s="1" t="s">
        <v>4658</v>
      </c>
      <c r="E2311" t="s">
        <v>15486</v>
      </c>
      <c r="F2311" s="1">
        <v>678524</v>
      </c>
      <c r="G2311" s="1">
        <v>27080068202</v>
      </c>
      <c r="H2311" s="1">
        <v>16</v>
      </c>
      <c r="I2311" s="1" t="s">
        <v>1654</v>
      </c>
      <c r="J2311" t="s">
        <v>15487</v>
      </c>
    </row>
    <row r="2312" spans="1:10">
      <c r="A2312" s="1">
        <v>824466</v>
      </c>
      <c r="B2312" s="1">
        <v>4530022990</v>
      </c>
      <c r="C2312" s="1">
        <v>4</v>
      </c>
      <c r="D2312" s="1" t="s">
        <v>4719</v>
      </c>
      <c r="E2312" t="s">
        <v>15488</v>
      </c>
      <c r="F2312" s="1">
        <v>670513</v>
      </c>
      <c r="G2312" s="1">
        <v>7080002711</v>
      </c>
      <c r="H2312" s="1">
        <v>10</v>
      </c>
      <c r="I2312" s="1" t="s">
        <v>1973</v>
      </c>
      <c r="J2312" t="s">
        <v>15489</v>
      </c>
    </row>
    <row r="2313" spans="1:10">
      <c r="A2313" s="1">
        <v>320200</v>
      </c>
      <c r="B2313" s="1">
        <v>4980009232</v>
      </c>
      <c r="C2313" s="1">
        <v>4</v>
      </c>
      <c r="D2313" s="1" t="s">
        <v>4658</v>
      </c>
      <c r="E2313" t="s">
        <v>15490</v>
      </c>
      <c r="F2313" s="1">
        <v>670687</v>
      </c>
      <c r="G2313" s="1">
        <v>7080002709</v>
      </c>
      <c r="H2313" s="1">
        <v>10</v>
      </c>
      <c r="I2313" s="1" t="s">
        <v>1973</v>
      </c>
      <c r="J2313" t="s">
        <v>15491</v>
      </c>
    </row>
    <row r="2314" spans="1:10">
      <c r="A2314" s="1">
        <v>207761</v>
      </c>
      <c r="B2314" s="1">
        <v>5000005168</v>
      </c>
      <c r="C2314" s="1">
        <v>6</v>
      </c>
      <c r="D2314" s="1" t="s">
        <v>5333</v>
      </c>
      <c r="E2314" t="s">
        <v>5334</v>
      </c>
      <c r="F2314" s="1">
        <v>560078</v>
      </c>
      <c r="G2314" s="1">
        <v>1380030481</v>
      </c>
      <c r="H2314" s="1">
        <v>4</v>
      </c>
      <c r="I2314" s="1" t="s">
        <v>3035</v>
      </c>
      <c r="J2314" t="s">
        <v>15492</v>
      </c>
    </row>
    <row r="2315" spans="1:10">
      <c r="A2315" s="1">
        <v>390088</v>
      </c>
      <c r="B2315" s="1">
        <v>4113038009</v>
      </c>
      <c r="C2315" s="1">
        <v>6</v>
      </c>
      <c r="D2315" s="1" t="s">
        <v>938</v>
      </c>
      <c r="E2315" t="s">
        <v>15493</v>
      </c>
      <c r="F2315" s="1">
        <v>648345</v>
      </c>
      <c r="G2315" s="1">
        <v>1380030615</v>
      </c>
      <c r="H2315" s="1">
        <v>4</v>
      </c>
      <c r="I2315" s="1" t="s">
        <v>15494</v>
      </c>
      <c r="J2315" t="s">
        <v>15495</v>
      </c>
    </row>
    <row r="2316" spans="1:10">
      <c r="A2316" s="1">
        <v>240333</v>
      </c>
      <c r="B2316" s="1">
        <v>4113038010</v>
      </c>
      <c r="C2316" s="1">
        <v>6</v>
      </c>
      <c r="D2316" s="1" t="s">
        <v>553</v>
      </c>
      <c r="E2316" t="s">
        <v>15493</v>
      </c>
      <c r="F2316" s="1">
        <v>665836</v>
      </c>
      <c r="G2316" s="1">
        <v>1380030448</v>
      </c>
      <c r="H2316" s="1">
        <v>4</v>
      </c>
      <c r="I2316" s="1" t="s">
        <v>15494</v>
      </c>
      <c r="J2316" t="s">
        <v>15496</v>
      </c>
    </row>
    <row r="2317" spans="1:10">
      <c r="A2317" s="1">
        <v>554287</v>
      </c>
      <c r="B2317" s="1">
        <v>4113038054</v>
      </c>
      <c r="C2317" s="1">
        <v>6</v>
      </c>
      <c r="D2317" s="1" t="s">
        <v>938</v>
      </c>
      <c r="E2317" t="s">
        <v>15497</v>
      </c>
      <c r="F2317" s="1">
        <v>665844</v>
      </c>
      <c r="G2317" s="1">
        <v>1380030125</v>
      </c>
      <c r="H2317" s="1">
        <v>4</v>
      </c>
      <c r="I2317" s="1" t="s">
        <v>15498</v>
      </c>
      <c r="J2317" t="s">
        <v>15499</v>
      </c>
    </row>
    <row r="2318" spans="1:10">
      <c r="A2318" s="1">
        <v>105866</v>
      </c>
      <c r="B2318" s="1">
        <v>4113038011</v>
      </c>
      <c r="C2318" s="1">
        <v>6</v>
      </c>
      <c r="D2318" s="1" t="s">
        <v>938</v>
      </c>
      <c r="E2318" t="s">
        <v>15500</v>
      </c>
      <c r="F2318" s="1">
        <v>739086</v>
      </c>
      <c r="G2318" s="1">
        <v>1380030524</v>
      </c>
      <c r="H2318" s="1">
        <v>4</v>
      </c>
      <c r="I2318" s="1" t="s">
        <v>15501</v>
      </c>
      <c r="J2318" t="s">
        <v>15502</v>
      </c>
    </row>
    <row r="2319" spans="1:10">
      <c r="A2319" s="1">
        <v>236224</v>
      </c>
      <c r="B2319" s="1">
        <v>4113038012</v>
      </c>
      <c r="C2319" s="1">
        <v>6</v>
      </c>
      <c r="D2319" s="1" t="s">
        <v>938</v>
      </c>
      <c r="E2319" t="s">
        <v>15503</v>
      </c>
      <c r="F2319" s="1">
        <v>665976</v>
      </c>
      <c r="G2319" s="1">
        <v>1380030018</v>
      </c>
      <c r="H2319" s="1">
        <v>4</v>
      </c>
      <c r="I2319" s="1" t="s">
        <v>8154</v>
      </c>
      <c r="J2319" t="s">
        <v>15504</v>
      </c>
    </row>
    <row r="2320" spans="1:10">
      <c r="A2320" s="1">
        <v>234260</v>
      </c>
      <c r="B2320" s="1">
        <v>4113038007</v>
      </c>
      <c r="C2320" s="1">
        <v>6</v>
      </c>
      <c r="D2320" s="1" t="s">
        <v>938</v>
      </c>
      <c r="E2320" t="s">
        <v>15505</v>
      </c>
      <c r="F2320" s="1">
        <v>665919</v>
      </c>
      <c r="G2320" s="1">
        <v>1380030423</v>
      </c>
      <c r="H2320" s="1">
        <v>4</v>
      </c>
      <c r="I2320" s="1" t="s">
        <v>15501</v>
      </c>
      <c r="J2320" t="s">
        <v>15506</v>
      </c>
    </row>
    <row r="2321" spans="1:10">
      <c r="A2321" s="1">
        <v>778373</v>
      </c>
      <c r="B2321" s="1">
        <v>4113038006</v>
      </c>
      <c r="C2321" s="1">
        <v>6</v>
      </c>
      <c r="D2321" s="1" t="s">
        <v>938</v>
      </c>
      <c r="E2321" t="s">
        <v>15507</v>
      </c>
      <c r="F2321" s="1">
        <v>665901</v>
      </c>
      <c r="G2321" s="1">
        <v>1380030130</v>
      </c>
      <c r="H2321" s="1">
        <v>4</v>
      </c>
      <c r="I2321" s="1" t="s">
        <v>8154</v>
      </c>
      <c r="J2321" t="s">
        <v>15508</v>
      </c>
    </row>
    <row r="2322" spans="1:10">
      <c r="A2322" s="1">
        <v>516039</v>
      </c>
      <c r="B2322" s="1">
        <v>4113038005</v>
      </c>
      <c r="C2322" s="1">
        <v>6</v>
      </c>
      <c r="D2322" s="1" t="s">
        <v>938</v>
      </c>
      <c r="E2322" t="s">
        <v>15509</v>
      </c>
      <c r="F2322" s="1">
        <v>347302</v>
      </c>
      <c r="G2322" s="1">
        <v>1380030433</v>
      </c>
      <c r="H2322" s="1">
        <v>4</v>
      </c>
      <c r="I2322" s="1" t="s">
        <v>4871</v>
      </c>
      <c r="J2322" t="s">
        <v>15510</v>
      </c>
    </row>
    <row r="2323" spans="1:10">
      <c r="A2323" s="1">
        <v>196501</v>
      </c>
      <c r="B2323" s="1">
        <v>4113038015</v>
      </c>
      <c r="C2323" s="1">
        <v>6</v>
      </c>
      <c r="D2323" s="1" t="s">
        <v>938</v>
      </c>
      <c r="E2323" t="s">
        <v>15511</v>
      </c>
      <c r="F2323" s="1">
        <v>665877</v>
      </c>
      <c r="G2323" s="1">
        <v>1380030321</v>
      </c>
      <c r="H2323" s="1">
        <v>4</v>
      </c>
      <c r="I2323" s="1" t="s">
        <v>3077</v>
      </c>
      <c r="J2323" t="s">
        <v>15512</v>
      </c>
    </row>
    <row r="2324" spans="1:10">
      <c r="A2324" s="1">
        <v>487058</v>
      </c>
      <c r="B2324" s="1">
        <v>4113038008</v>
      </c>
      <c r="C2324" s="1">
        <v>6</v>
      </c>
      <c r="D2324" s="1" t="s">
        <v>938</v>
      </c>
      <c r="E2324" t="s">
        <v>15513</v>
      </c>
      <c r="F2324" s="1">
        <v>737981</v>
      </c>
      <c r="G2324" s="1">
        <v>1380030310</v>
      </c>
      <c r="H2324" s="1">
        <v>4</v>
      </c>
      <c r="I2324" s="1" t="s">
        <v>15494</v>
      </c>
      <c r="J2324" t="s">
        <v>15514</v>
      </c>
    </row>
    <row r="2325" spans="1:10">
      <c r="A2325" s="1">
        <v>271148</v>
      </c>
      <c r="B2325" s="1">
        <v>4113038016</v>
      </c>
      <c r="C2325" s="1">
        <v>6</v>
      </c>
      <c r="D2325" s="1" t="s">
        <v>259</v>
      </c>
      <c r="E2325" t="s">
        <v>15515</v>
      </c>
      <c r="F2325" s="1">
        <v>665851</v>
      </c>
      <c r="G2325" s="1">
        <v>1380030322</v>
      </c>
      <c r="H2325" s="1">
        <v>4</v>
      </c>
      <c r="I2325" s="1" t="s">
        <v>3077</v>
      </c>
      <c r="J2325" t="s">
        <v>15516</v>
      </c>
    </row>
    <row r="2326" spans="1:10">
      <c r="A2326" s="1">
        <v>150623</v>
      </c>
      <c r="B2326" s="1">
        <v>4113038013</v>
      </c>
      <c r="C2326" s="1">
        <v>6</v>
      </c>
      <c r="D2326" s="1" t="s">
        <v>938</v>
      </c>
      <c r="E2326" t="s">
        <v>15517</v>
      </c>
      <c r="F2326" s="1">
        <v>665893</v>
      </c>
      <c r="G2326" s="1">
        <v>1380030330</v>
      </c>
      <c r="H2326" s="1">
        <v>4</v>
      </c>
      <c r="I2326" s="1" t="s">
        <v>8154</v>
      </c>
      <c r="J2326" t="s">
        <v>15518</v>
      </c>
    </row>
    <row r="2327" spans="1:10">
      <c r="A2327" s="1">
        <v>323634</v>
      </c>
      <c r="B2327" s="1">
        <v>4113038014</v>
      </c>
      <c r="C2327" s="1">
        <v>6</v>
      </c>
      <c r="D2327" s="1" t="s">
        <v>553</v>
      </c>
      <c r="E2327" t="s">
        <v>15517</v>
      </c>
      <c r="F2327" s="1">
        <v>665885</v>
      </c>
      <c r="G2327" s="1">
        <v>1380030340</v>
      </c>
      <c r="H2327" s="1">
        <v>4</v>
      </c>
      <c r="I2327" s="1" t="s">
        <v>8154</v>
      </c>
      <c r="J2327" t="s">
        <v>15519</v>
      </c>
    </row>
    <row r="2328" spans="1:10">
      <c r="A2328" s="1">
        <v>104828</v>
      </c>
      <c r="B2328" s="1">
        <v>4113038056</v>
      </c>
      <c r="C2328" s="1">
        <v>6</v>
      </c>
      <c r="D2328" s="1" t="s">
        <v>910</v>
      </c>
      <c r="E2328" t="s">
        <v>15520</v>
      </c>
      <c r="F2328" s="1">
        <v>649020</v>
      </c>
      <c r="G2328" s="1">
        <v>1380030342</v>
      </c>
      <c r="H2328" s="1">
        <v>4</v>
      </c>
      <c r="I2328" s="1" t="s">
        <v>4048</v>
      </c>
      <c r="J2328" t="s">
        <v>15519</v>
      </c>
    </row>
    <row r="2329" spans="1:10">
      <c r="A2329" s="1">
        <v>572784</v>
      </c>
      <c r="B2329" s="1">
        <v>4113038055</v>
      </c>
      <c r="C2329" s="1">
        <v>6</v>
      </c>
      <c r="D2329" s="1" t="s">
        <v>1198</v>
      </c>
      <c r="E2329" t="s">
        <v>15521</v>
      </c>
      <c r="F2329" s="1">
        <v>665075</v>
      </c>
      <c r="G2329" s="1">
        <v>1380030033</v>
      </c>
      <c r="H2329" s="1">
        <v>4</v>
      </c>
      <c r="I2329" s="1" t="s">
        <v>15076</v>
      </c>
      <c r="J2329" t="s">
        <v>15522</v>
      </c>
    </row>
    <row r="2330" spans="1:10">
      <c r="A2330" s="1">
        <v>890202</v>
      </c>
      <c r="B2330" s="1">
        <v>9233884000</v>
      </c>
      <c r="C2330" s="1">
        <v>4</v>
      </c>
      <c r="D2330" s="1" t="s">
        <v>4658</v>
      </c>
      <c r="E2330" t="s">
        <v>15523</v>
      </c>
      <c r="F2330" s="1">
        <v>665281</v>
      </c>
      <c r="G2330" s="1">
        <v>1380030478</v>
      </c>
      <c r="H2330" s="1">
        <v>4</v>
      </c>
      <c r="I2330" s="1" t="s">
        <v>8154</v>
      </c>
      <c r="J2330" t="s">
        <v>15524</v>
      </c>
    </row>
    <row r="2331" spans="1:10">
      <c r="A2331" s="1">
        <v>416479</v>
      </c>
      <c r="B2331" s="1">
        <v>7183305467</v>
      </c>
      <c r="C2331" s="1">
        <v>6</v>
      </c>
      <c r="D2331" s="1" t="s">
        <v>375</v>
      </c>
      <c r="E2331" t="s">
        <v>15525</v>
      </c>
      <c r="F2331" s="1">
        <v>665927</v>
      </c>
      <c r="G2331" s="1">
        <v>1380030486</v>
      </c>
      <c r="H2331" s="1">
        <v>4</v>
      </c>
      <c r="I2331" s="1" t="s">
        <v>15501</v>
      </c>
      <c r="J2331" t="s">
        <v>15526</v>
      </c>
    </row>
    <row r="2332" spans="1:10">
      <c r="A2332" s="1">
        <v>227827</v>
      </c>
      <c r="B2332" s="1">
        <v>7183305437</v>
      </c>
      <c r="C2332" s="1">
        <v>4</v>
      </c>
      <c r="D2332" s="1" t="s">
        <v>4658</v>
      </c>
      <c r="E2332" t="s">
        <v>15525</v>
      </c>
      <c r="F2332" s="1">
        <v>319244</v>
      </c>
      <c r="G2332" s="1">
        <v>1380067468</v>
      </c>
      <c r="H2332" s="1">
        <v>4</v>
      </c>
      <c r="I2332" s="1" t="s">
        <v>15527</v>
      </c>
      <c r="J2332" t="s">
        <v>15528</v>
      </c>
    </row>
    <row r="2333" spans="1:10">
      <c r="A2333" s="1">
        <v>743153</v>
      </c>
      <c r="B2333" s="1">
        <v>7183305468</v>
      </c>
      <c r="C2333" s="1">
        <v>6</v>
      </c>
      <c r="D2333" s="1" t="s">
        <v>375</v>
      </c>
      <c r="E2333" t="s">
        <v>15529</v>
      </c>
      <c r="F2333" s="1">
        <v>665869</v>
      </c>
      <c r="G2333" s="1">
        <v>1380030060</v>
      </c>
      <c r="H2333" s="1">
        <v>4</v>
      </c>
      <c r="I2333" s="1" t="s">
        <v>15530</v>
      </c>
      <c r="J2333" t="s">
        <v>15531</v>
      </c>
    </row>
    <row r="2334" spans="1:10">
      <c r="A2334" s="1">
        <v>394197</v>
      </c>
      <c r="B2334" s="1">
        <v>7183306002</v>
      </c>
      <c r="C2334" s="1">
        <v>4</v>
      </c>
      <c r="D2334" s="1" t="s">
        <v>6754</v>
      </c>
      <c r="E2334" t="s">
        <v>15532</v>
      </c>
      <c r="F2334" s="1">
        <v>665828</v>
      </c>
      <c r="G2334" s="1">
        <v>1380030068</v>
      </c>
      <c r="H2334" s="1">
        <v>4</v>
      </c>
      <c r="I2334" s="1" t="s">
        <v>15533</v>
      </c>
      <c r="J2334" t="s">
        <v>15534</v>
      </c>
    </row>
    <row r="2335" spans="1:10">
      <c r="A2335" s="1">
        <v>465773</v>
      </c>
      <c r="B2335" s="1">
        <v>7183305426</v>
      </c>
      <c r="C2335" s="1">
        <v>6</v>
      </c>
      <c r="D2335" s="1" t="s">
        <v>375</v>
      </c>
      <c r="E2335" t="s">
        <v>15535</v>
      </c>
      <c r="F2335" s="1">
        <v>734855</v>
      </c>
      <c r="G2335" s="1">
        <v>1380030075</v>
      </c>
      <c r="H2335" s="1">
        <v>4</v>
      </c>
      <c r="I2335" s="1" t="s">
        <v>15536</v>
      </c>
      <c r="J2335" t="s">
        <v>15537</v>
      </c>
    </row>
    <row r="2336" spans="1:10">
      <c r="A2336" s="1">
        <v>354647</v>
      </c>
      <c r="B2336" s="1">
        <v>7183305447</v>
      </c>
      <c r="C2336" s="1">
        <v>4</v>
      </c>
      <c r="D2336" s="1" t="s">
        <v>4658</v>
      </c>
      <c r="E2336" t="s">
        <v>15535</v>
      </c>
      <c r="F2336" s="1">
        <v>353599</v>
      </c>
      <c r="G2336" s="1">
        <v>1380051333</v>
      </c>
      <c r="H2336" s="1">
        <v>4</v>
      </c>
      <c r="I2336" s="1" t="s">
        <v>15501</v>
      </c>
      <c r="J2336" t="s">
        <v>15538</v>
      </c>
    </row>
    <row r="2337" spans="1:10">
      <c r="A2337" s="1">
        <v>893214</v>
      </c>
      <c r="B2337" s="1">
        <v>3621707028</v>
      </c>
      <c r="C2337" s="1">
        <v>4</v>
      </c>
      <c r="D2337" s="1" t="s">
        <v>347</v>
      </c>
      <c r="E2337" t="s">
        <v>15539</v>
      </c>
      <c r="F2337" s="1">
        <v>643601</v>
      </c>
      <c r="G2337" s="1">
        <v>1380030409</v>
      </c>
      <c r="H2337" s="1">
        <v>4</v>
      </c>
      <c r="I2337" s="1" t="s">
        <v>3077</v>
      </c>
      <c r="J2337" t="s">
        <v>15540</v>
      </c>
    </row>
    <row r="2338" spans="1:10">
      <c r="A2338" s="1">
        <v>893206</v>
      </c>
      <c r="B2338" s="1">
        <v>3621707033</v>
      </c>
      <c r="C2338" s="1">
        <v>4</v>
      </c>
      <c r="D2338" s="1" t="s">
        <v>347</v>
      </c>
      <c r="E2338" t="s">
        <v>15541</v>
      </c>
      <c r="F2338" s="1">
        <v>665521</v>
      </c>
      <c r="G2338" s="1">
        <v>1380030496</v>
      </c>
      <c r="H2338" s="1">
        <v>4</v>
      </c>
      <c r="I2338" s="1" t="s">
        <v>4650</v>
      </c>
      <c r="J2338" t="s">
        <v>15542</v>
      </c>
    </row>
    <row r="2339" spans="1:10" ht="15.75">
      <c r="A2339" s="4" t="s">
        <v>15543</v>
      </c>
      <c r="B2339" s="2"/>
      <c r="C2339" s="2"/>
      <c r="D2339" s="2"/>
      <c r="E2339" s="3"/>
      <c r="F2339" s="4" t="s">
        <v>15543</v>
      </c>
      <c r="G2339" s="2"/>
      <c r="H2339" s="2"/>
      <c r="I2339" s="2"/>
      <c r="J2339" s="3"/>
    </row>
    <row r="2340" spans="1:10">
      <c r="A2340" s="2" t="s">
        <v>0</v>
      </c>
      <c r="B2340" s="2" t="s">
        <v>1</v>
      </c>
      <c r="C2340" s="2" t="s">
        <v>2</v>
      </c>
      <c r="D2340" s="2" t="s">
        <v>3</v>
      </c>
      <c r="E2340" s="3" t="s">
        <v>4</v>
      </c>
      <c r="F2340" s="2" t="s">
        <v>0</v>
      </c>
      <c r="G2340" s="2" t="s">
        <v>1</v>
      </c>
      <c r="H2340" s="2" t="s">
        <v>2</v>
      </c>
      <c r="I2340" s="2" t="s">
        <v>3</v>
      </c>
      <c r="J2340" s="3" t="s">
        <v>4</v>
      </c>
    </row>
    <row r="2341" spans="1:10">
      <c r="A2341" s="1">
        <v>212431</v>
      </c>
      <c r="B2341" s="1">
        <v>64414144141</v>
      </c>
      <c r="C2341" s="1">
        <v>4</v>
      </c>
      <c r="D2341" s="1" t="s">
        <v>8319</v>
      </c>
      <c r="E2341" t="s">
        <v>15544</v>
      </c>
      <c r="F2341" s="1">
        <v>459529</v>
      </c>
      <c r="G2341" s="1">
        <v>4113038043</v>
      </c>
      <c r="H2341" s="1">
        <v>12</v>
      </c>
      <c r="I2341" s="1" t="s">
        <v>89</v>
      </c>
      <c r="J2341" t="s">
        <v>15545</v>
      </c>
    </row>
    <row r="2342" spans="1:10">
      <c r="A2342" s="1">
        <v>468967</v>
      </c>
      <c r="B2342" s="1">
        <v>8668146307</v>
      </c>
      <c r="C2342" s="1">
        <v>1</v>
      </c>
      <c r="D2342" s="1" t="s">
        <v>6597</v>
      </c>
      <c r="E2342" t="s">
        <v>15546</v>
      </c>
      <c r="F2342" s="1">
        <v>394676</v>
      </c>
      <c r="G2342" s="1">
        <v>4113038040</v>
      </c>
      <c r="H2342" s="1">
        <v>12</v>
      </c>
      <c r="I2342" s="1" t="s">
        <v>89</v>
      </c>
      <c r="J2342" t="s">
        <v>15547</v>
      </c>
    </row>
    <row r="2343" spans="1:10">
      <c r="A2343" s="1">
        <v>102517</v>
      </c>
      <c r="B2343" s="1">
        <v>8668146309</v>
      </c>
      <c r="C2343" s="1">
        <v>1</v>
      </c>
      <c r="D2343" s="1" t="s">
        <v>6597</v>
      </c>
      <c r="E2343" t="s">
        <v>15548</v>
      </c>
      <c r="F2343" s="1">
        <v>493288</v>
      </c>
      <c r="G2343" s="1">
        <v>4113038042</v>
      </c>
      <c r="H2343" s="1">
        <v>12</v>
      </c>
      <c r="I2343" s="1" t="s">
        <v>89</v>
      </c>
      <c r="J2343" t="s">
        <v>15549</v>
      </c>
    </row>
    <row r="2344" spans="1:10">
      <c r="A2344" s="1">
        <v>324715</v>
      </c>
      <c r="B2344" s="1">
        <v>8668146308</v>
      </c>
      <c r="C2344" s="1">
        <v>1</v>
      </c>
      <c r="D2344" s="1" t="s">
        <v>6597</v>
      </c>
      <c r="E2344" t="s">
        <v>15550</v>
      </c>
      <c r="F2344" s="1">
        <v>351577</v>
      </c>
      <c r="G2344" s="1">
        <v>4113038044</v>
      </c>
      <c r="H2344" s="1">
        <v>12</v>
      </c>
      <c r="I2344" s="1" t="s">
        <v>89</v>
      </c>
      <c r="J2344" t="s">
        <v>15551</v>
      </c>
    </row>
    <row r="2345" spans="1:10">
      <c r="A2345" s="1">
        <v>755785</v>
      </c>
      <c r="B2345" s="1">
        <v>7873198610</v>
      </c>
      <c r="C2345" s="1">
        <v>10</v>
      </c>
      <c r="D2345" s="1" t="s">
        <v>11</v>
      </c>
      <c r="E2345" t="s">
        <v>15552</v>
      </c>
      <c r="F2345" s="1">
        <v>689109</v>
      </c>
      <c r="G2345" s="1">
        <v>4113038045</v>
      </c>
      <c r="H2345" s="1">
        <v>12</v>
      </c>
      <c r="I2345" s="1" t="s">
        <v>89</v>
      </c>
      <c r="J2345" t="s">
        <v>15553</v>
      </c>
    </row>
    <row r="2346" spans="1:10">
      <c r="A2346" s="1">
        <v>320184</v>
      </c>
      <c r="B2346" s="1">
        <v>7873192970</v>
      </c>
      <c r="C2346" s="1">
        <v>20</v>
      </c>
      <c r="D2346" s="1" t="s">
        <v>1219</v>
      </c>
      <c r="E2346" t="s">
        <v>15554</v>
      </c>
      <c r="F2346" s="1">
        <v>398610</v>
      </c>
      <c r="G2346" s="1">
        <v>4113038087</v>
      </c>
      <c r="H2346" s="1">
        <v>6</v>
      </c>
      <c r="I2346" s="1" t="s">
        <v>347</v>
      </c>
      <c r="J2346" t="s">
        <v>15555</v>
      </c>
    </row>
    <row r="2347" spans="1:10">
      <c r="A2347" s="1">
        <v>689919</v>
      </c>
      <c r="B2347" s="1">
        <v>7893220227</v>
      </c>
      <c r="C2347" s="1">
        <v>128</v>
      </c>
      <c r="D2347" s="1" t="s">
        <v>410</v>
      </c>
      <c r="E2347" t="s">
        <v>15556</v>
      </c>
      <c r="F2347" s="1">
        <v>532358</v>
      </c>
      <c r="G2347" s="1">
        <v>4113038049</v>
      </c>
      <c r="H2347" s="1">
        <v>6</v>
      </c>
      <c r="I2347" s="1" t="s">
        <v>347</v>
      </c>
      <c r="J2347" t="s">
        <v>15557</v>
      </c>
    </row>
    <row r="2348" spans="1:10">
      <c r="A2348" s="1">
        <v>293936</v>
      </c>
      <c r="B2348" s="1">
        <v>7893220229</v>
      </c>
      <c r="C2348" s="1">
        <v>128</v>
      </c>
      <c r="D2348" s="1" t="s">
        <v>410</v>
      </c>
      <c r="E2348" t="s">
        <v>15558</v>
      </c>
      <c r="F2348" s="1">
        <v>530618</v>
      </c>
      <c r="G2348" s="1">
        <v>4113038112</v>
      </c>
      <c r="H2348" s="1">
        <v>4</v>
      </c>
      <c r="I2348" s="1" t="s">
        <v>15559</v>
      </c>
      <c r="J2348" t="s">
        <v>15560</v>
      </c>
    </row>
    <row r="2349" spans="1:10">
      <c r="A2349" s="1">
        <v>550400</v>
      </c>
      <c r="B2349" s="1">
        <v>7893220236</v>
      </c>
      <c r="C2349" s="1">
        <v>50</v>
      </c>
      <c r="D2349" s="1" t="s">
        <v>312</v>
      </c>
      <c r="E2349" t="s">
        <v>15561</v>
      </c>
      <c r="F2349" s="1">
        <v>579482</v>
      </c>
      <c r="G2349" s="1">
        <v>4113038110</v>
      </c>
      <c r="H2349" s="1">
        <v>4</v>
      </c>
      <c r="I2349" s="1" t="s">
        <v>7504</v>
      </c>
      <c r="J2349" t="s">
        <v>15562</v>
      </c>
    </row>
    <row r="2350" spans="1:10">
      <c r="A2350" s="1">
        <v>147678</v>
      </c>
      <c r="B2350" s="1">
        <v>7893220221</v>
      </c>
      <c r="C2350" s="1">
        <v>46</v>
      </c>
      <c r="D2350" s="1" t="s">
        <v>421</v>
      </c>
      <c r="E2350" t="s">
        <v>15403</v>
      </c>
      <c r="F2350" s="1">
        <v>696401</v>
      </c>
      <c r="G2350" s="1">
        <v>4113038108</v>
      </c>
      <c r="H2350" s="1">
        <v>4</v>
      </c>
      <c r="I2350" s="1" t="s">
        <v>6502</v>
      </c>
      <c r="J2350" t="s">
        <v>15563</v>
      </c>
    </row>
    <row r="2351" spans="1:10">
      <c r="A2351" s="1">
        <v>683862</v>
      </c>
      <c r="B2351" s="1">
        <v>7893220222</v>
      </c>
      <c r="C2351" s="1">
        <v>46</v>
      </c>
      <c r="D2351" s="1" t="s">
        <v>421</v>
      </c>
      <c r="E2351" t="s">
        <v>15564</v>
      </c>
      <c r="F2351" s="1">
        <v>777177</v>
      </c>
      <c r="G2351" s="1">
        <v>4113038085</v>
      </c>
      <c r="H2351" s="1">
        <v>6</v>
      </c>
      <c r="I2351" s="1" t="s">
        <v>347</v>
      </c>
      <c r="J2351" t="s">
        <v>15565</v>
      </c>
    </row>
    <row r="2352" spans="1:10">
      <c r="A2352" s="1">
        <v>302620</v>
      </c>
      <c r="B2352" s="1">
        <v>7893220192</v>
      </c>
      <c r="C2352" s="1">
        <v>30</v>
      </c>
      <c r="D2352" s="1" t="s">
        <v>397</v>
      </c>
      <c r="E2352" t="s">
        <v>15566</v>
      </c>
      <c r="F2352" s="1">
        <v>394346</v>
      </c>
      <c r="G2352" s="1">
        <v>4113038047</v>
      </c>
      <c r="H2352" s="1">
        <v>6</v>
      </c>
      <c r="I2352" s="1" t="s">
        <v>347</v>
      </c>
      <c r="J2352" t="s">
        <v>15567</v>
      </c>
    </row>
    <row r="2353" spans="1:10">
      <c r="A2353" s="1">
        <v>469346</v>
      </c>
      <c r="B2353" s="1">
        <v>7128748101</v>
      </c>
      <c r="C2353" s="1">
        <v>1</v>
      </c>
      <c r="D2353" s="1" t="s">
        <v>10102</v>
      </c>
      <c r="E2353" t="s">
        <v>15568</v>
      </c>
      <c r="F2353" s="1">
        <v>324038</v>
      </c>
      <c r="G2353" s="1">
        <v>4113038052</v>
      </c>
      <c r="H2353" s="1">
        <v>6</v>
      </c>
      <c r="I2353" s="1" t="s">
        <v>347</v>
      </c>
      <c r="J2353" t="s">
        <v>15569</v>
      </c>
    </row>
    <row r="2354" spans="1:10">
      <c r="A2354" s="1">
        <v>701607</v>
      </c>
      <c r="B2354" s="1">
        <v>3841985018</v>
      </c>
      <c r="C2354" s="1">
        <v>2</v>
      </c>
      <c r="D2354" s="1" t="s">
        <v>4658</v>
      </c>
      <c r="E2354" t="s">
        <v>15570</v>
      </c>
      <c r="F2354" s="1">
        <v>675918</v>
      </c>
      <c r="G2354" s="1">
        <v>4113038046</v>
      </c>
      <c r="H2354" s="1">
        <v>6</v>
      </c>
      <c r="I2354" s="1" t="s">
        <v>347</v>
      </c>
      <c r="J2354" t="s">
        <v>15571</v>
      </c>
    </row>
    <row r="2355" spans="1:10">
      <c r="A2355" s="1">
        <v>387803</v>
      </c>
      <c r="B2355" s="1">
        <v>3841985029</v>
      </c>
      <c r="C2355" s="1">
        <v>2</v>
      </c>
      <c r="D2355" s="1" t="s">
        <v>4658</v>
      </c>
      <c r="E2355" t="s">
        <v>15572</v>
      </c>
      <c r="F2355" s="1">
        <v>764274</v>
      </c>
      <c r="G2355" s="1">
        <v>4113038086</v>
      </c>
      <c r="H2355" s="1">
        <v>6</v>
      </c>
      <c r="I2355" s="1" t="s">
        <v>347</v>
      </c>
      <c r="J2355" t="s">
        <v>15573</v>
      </c>
    </row>
    <row r="2356" spans="1:10">
      <c r="A2356" s="1">
        <v>72694</v>
      </c>
      <c r="B2356" s="1">
        <v>8341985006</v>
      </c>
      <c r="C2356" s="1">
        <v>12</v>
      </c>
      <c r="D2356" s="1" t="s">
        <v>375</v>
      </c>
      <c r="E2356" t="s">
        <v>15574</v>
      </c>
      <c r="F2356" s="1">
        <v>282830</v>
      </c>
      <c r="G2356" s="1">
        <v>4113038048</v>
      </c>
      <c r="H2356" s="1">
        <v>6</v>
      </c>
      <c r="I2356" s="1" t="s">
        <v>347</v>
      </c>
      <c r="J2356" t="s">
        <v>15575</v>
      </c>
    </row>
    <row r="2357" spans="1:10">
      <c r="A2357" s="1">
        <v>542399</v>
      </c>
      <c r="B2357" s="1">
        <v>3841985119</v>
      </c>
      <c r="C2357" s="1">
        <v>2</v>
      </c>
      <c r="D2357" s="1" t="s">
        <v>4658</v>
      </c>
      <c r="E2357" t="s">
        <v>15576</v>
      </c>
      <c r="F2357" s="1">
        <v>247965</v>
      </c>
      <c r="G2357" s="1">
        <v>4113038050</v>
      </c>
      <c r="H2357" s="1">
        <v>6</v>
      </c>
      <c r="I2357" s="1" t="s">
        <v>347</v>
      </c>
      <c r="J2357" t="s">
        <v>15577</v>
      </c>
    </row>
    <row r="2358" spans="1:10">
      <c r="A2358" s="1">
        <v>572677</v>
      </c>
      <c r="B2358" s="1">
        <v>3841985123</v>
      </c>
      <c r="C2358" s="1">
        <v>2</v>
      </c>
      <c r="D2358" s="1" t="s">
        <v>4658</v>
      </c>
      <c r="E2358" t="s">
        <v>15578</v>
      </c>
      <c r="F2358" s="1">
        <v>69625</v>
      </c>
      <c r="G2358" s="1">
        <v>4113038051</v>
      </c>
      <c r="H2358" s="1">
        <v>6</v>
      </c>
      <c r="I2358" s="1" t="s">
        <v>347</v>
      </c>
      <c r="J2358" t="s">
        <v>15579</v>
      </c>
    </row>
    <row r="2359" spans="1:10">
      <c r="A2359" s="1">
        <v>104539</v>
      </c>
      <c r="B2359" s="1">
        <v>3841985107</v>
      </c>
      <c r="C2359" s="1">
        <v>2</v>
      </c>
      <c r="D2359" s="1" t="s">
        <v>4658</v>
      </c>
      <c r="E2359" t="s">
        <v>15580</v>
      </c>
      <c r="F2359" s="1">
        <v>538991</v>
      </c>
      <c r="G2359" s="1">
        <v>4113038130</v>
      </c>
      <c r="H2359" s="1">
        <v>4</v>
      </c>
      <c r="I2359" s="1" t="s">
        <v>908</v>
      </c>
      <c r="J2359" t="s">
        <v>15581</v>
      </c>
    </row>
    <row r="2360" spans="1:10">
      <c r="A2360" s="1">
        <v>28852</v>
      </c>
      <c r="B2360" s="1">
        <v>3841985030</v>
      </c>
      <c r="C2360" s="1">
        <v>2</v>
      </c>
      <c r="D2360" s="1" t="s">
        <v>4658</v>
      </c>
      <c r="E2360" t="s">
        <v>15582</v>
      </c>
      <c r="F2360" s="1">
        <v>202143</v>
      </c>
      <c r="G2360" s="1">
        <v>5000035070</v>
      </c>
      <c r="H2360" s="1">
        <v>180</v>
      </c>
      <c r="I2360" s="1" t="s">
        <v>15583</v>
      </c>
      <c r="J2360" t="s">
        <v>15584</v>
      </c>
    </row>
    <row r="2361" spans="1:10">
      <c r="A2361" s="1">
        <v>458729</v>
      </c>
      <c r="B2361" s="1">
        <v>3841985028</v>
      </c>
      <c r="C2361" s="1">
        <v>2</v>
      </c>
      <c r="D2361" s="1" t="s">
        <v>4658</v>
      </c>
      <c r="E2361" t="s">
        <v>15585</v>
      </c>
      <c r="F2361" s="1">
        <v>202218</v>
      </c>
      <c r="G2361" s="1">
        <v>5000035080</v>
      </c>
      <c r="H2361" s="1">
        <v>180</v>
      </c>
      <c r="I2361" s="1" t="s">
        <v>15583</v>
      </c>
      <c r="J2361" t="s">
        <v>15586</v>
      </c>
    </row>
    <row r="2362" spans="1:10">
      <c r="A2362" s="1">
        <v>756502</v>
      </c>
      <c r="B2362" s="1">
        <v>3841985917</v>
      </c>
      <c r="C2362" s="1">
        <v>2</v>
      </c>
      <c r="D2362" s="1" t="s">
        <v>4658</v>
      </c>
      <c r="E2362" t="s">
        <v>15587</v>
      </c>
      <c r="F2362" s="1">
        <v>202226</v>
      </c>
      <c r="G2362" s="1">
        <v>5000035010</v>
      </c>
      <c r="H2362" s="1">
        <v>360</v>
      </c>
      <c r="I2362" s="1" t="s">
        <v>15583</v>
      </c>
      <c r="J2362" t="s">
        <v>15588</v>
      </c>
    </row>
    <row r="2363" spans="1:10">
      <c r="A2363" s="1">
        <v>838177</v>
      </c>
      <c r="B2363" s="1">
        <v>3841985005</v>
      </c>
      <c r="C2363" s="1">
        <v>12</v>
      </c>
      <c r="D2363" s="1" t="s">
        <v>381</v>
      </c>
      <c r="E2363" t="s">
        <v>15589</v>
      </c>
      <c r="F2363" s="1">
        <v>668640</v>
      </c>
      <c r="G2363" s="1">
        <v>2400000157</v>
      </c>
      <c r="H2363" s="1">
        <v>6</v>
      </c>
      <c r="I2363" s="1" t="s">
        <v>3398</v>
      </c>
      <c r="J2363" t="s">
        <v>15590</v>
      </c>
    </row>
    <row r="2364" spans="1:10">
      <c r="A2364" s="1">
        <v>532697</v>
      </c>
      <c r="B2364" s="1">
        <v>3841985014</v>
      </c>
      <c r="C2364" s="1">
        <v>12</v>
      </c>
      <c r="D2364" s="1" t="s">
        <v>399</v>
      </c>
      <c r="E2364" t="s">
        <v>15589</v>
      </c>
      <c r="F2364" s="1">
        <v>565333</v>
      </c>
      <c r="G2364" s="1">
        <v>100007</v>
      </c>
      <c r="H2364" s="1">
        <v>1</v>
      </c>
      <c r="I2364" s="1" t="s">
        <v>8</v>
      </c>
      <c r="J2364" t="s">
        <v>15591</v>
      </c>
    </row>
    <row r="2365" spans="1:10">
      <c r="A2365" s="1">
        <v>500421</v>
      </c>
      <c r="B2365" s="1">
        <v>3841985007</v>
      </c>
      <c r="C2365" s="1">
        <v>12</v>
      </c>
      <c r="D2365" s="1" t="s">
        <v>375</v>
      </c>
      <c r="E2365" t="s">
        <v>15592</v>
      </c>
      <c r="F2365" s="1">
        <v>176388</v>
      </c>
      <c r="G2365" s="1">
        <v>71603721810</v>
      </c>
      <c r="H2365" s="1">
        <v>200</v>
      </c>
      <c r="I2365" s="1" t="s">
        <v>15593</v>
      </c>
      <c r="J2365" t="s">
        <v>15594</v>
      </c>
    </row>
    <row r="2366" spans="1:10">
      <c r="A2366" s="1">
        <v>743112</v>
      </c>
      <c r="B2366" s="1">
        <v>3841985015</v>
      </c>
      <c r="C2366" s="1">
        <v>12</v>
      </c>
      <c r="D2366" s="1" t="s">
        <v>399</v>
      </c>
      <c r="E2366" t="s">
        <v>15592</v>
      </c>
      <c r="F2366" s="1">
        <v>734913</v>
      </c>
      <c r="G2366" s="1">
        <v>71603746850</v>
      </c>
      <c r="H2366" s="1">
        <v>200</v>
      </c>
      <c r="I2366" s="1" t="s">
        <v>2280</v>
      </c>
      <c r="J2366" t="s">
        <v>15595</v>
      </c>
    </row>
    <row r="2367" spans="1:10">
      <c r="A2367" s="1">
        <v>375667</v>
      </c>
      <c r="B2367" s="1">
        <v>3841985130</v>
      </c>
      <c r="C2367" s="1">
        <v>2</v>
      </c>
      <c r="D2367" s="1" t="s">
        <v>4658</v>
      </c>
      <c r="E2367" t="s">
        <v>15596</v>
      </c>
      <c r="F2367" s="1">
        <v>439000</v>
      </c>
      <c r="G2367" s="1">
        <v>4113007056</v>
      </c>
      <c r="H2367" s="1">
        <v>1</v>
      </c>
      <c r="I2367" s="1" t="s">
        <v>6729</v>
      </c>
      <c r="J2367" t="s">
        <v>15597</v>
      </c>
    </row>
    <row r="2368" spans="1:10">
      <c r="A2368" s="1">
        <v>756684</v>
      </c>
      <c r="B2368" s="1">
        <v>3841985918</v>
      </c>
      <c r="C2368" s="1">
        <v>2</v>
      </c>
      <c r="D2368" s="1" t="s">
        <v>4658</v>
      </c>
      <c r="E2368" t="s">
        <v>15598</v>
      </c>
      <c r="F2368" s="1">
        <v>212381</v>
      </c>
      <c r="G2368" s="1">
        <v>61513515135</v>
      </c>
      <c r="H2368" s="1">
        <v>1</v>
      </c>
      <c r="I2368" s="1" t="s">
        <v>6729</v>
      </c>
      <c r="J2368" t="s">
        <v>15599</v>
      </c>
    </row>
    <row r="2369" spans="1:10">
      <c r="A2369" s="1">
        <v>185629</v>
      </c>
      <c r="B2369" s="1">
        <v>3841985808</v>
      </c>
      <c r="C2369" s="1">
        <v>2</v>
      </c>
      <c r="D2369" s="1" t="s">
        <v>4658</v>
      </c>
      <c r="E2369" t="s">
        <v>15600</v>
      </c>
      <c r="F2369" s="1">
        <v>655340</v>
      </c>
      <c r="G2369" s="1">
        <v>7183305440</v>
      </c>
      <c r="H2369" s="1">
        <v>4</v>
      </c>
      <c r="I2369" s="1" t="s">
        <v>4658</v>
      </c>
      <c r="J2369" t="s">
        <v>15529</v>
      </c>
    </row>
    <row r="2370" spans="1:10">
      <c r="A2370" s="1">
        <v>112821</v>
      </c>
      <c r="B2370" s="1">
        <v>3841985916</v>
      </c>
      <c r="C2370" s="1">
        <v>2</v>
      </c>
      <c r="D2370" s="1" t="s">
        <v>4658</v>
      </c>
      <c r="E2370" t="s">
        <v>15601</v>
      </c>
      <c r="F2370" s="1">
        <v>689794</v>
      </c>
      <c r="G2370" s="1">
        <v>3621711108</v>
      </c>
      <c r="H2370" s="1">
        <v>1</v>
      </c>
      <c r="I2370" s="1" t="s">
        <v>4658</v>
      </c>
      <c r="J2370" t="s">
        <v>15602</v>
      </c>
    </row>
    <row r="2371" spans="1:10">
      <c r="A2371" s="1">
        <v>773127</v>
      </c>
      <c r="B2371" s="1">
        <v>3841985017</v>
      </c>
      <c r="C2371" s="1">
        <v>12</v>
      </c>
      <c r="D2371" s="1" t="s">
        <v>394</v>
      </c>
      <c r="E2371" t="s">
        <v>15603</v>
      </c>
      <c r="F2371" s="1">
        <v>144063</v>
      </c>
      <c r="G2371" s="1">
        <v>66304607550</v>
      </c>
      <c r="H2371" s="1">
        <v>1</v>
      </c>
      <c r="I2371" s="1" t="s">
        <v>6727</v>
      </c>
      <c r="J2371" t="s">
        <v>15604</v>
      </c>
    </row>
    <row r="2372" spans="1:10">
      <c r="A2372" s="1">
        <v>201020</v>
      </c>
      <c r="B2372" s="1">
        <v>3841985032</v>
      </c>
      <c r="C2372" s="1">
        <v>2</v>
      </c>
      <c r="D2372" s="1" t="s">
        <v>4658</v>
      </c>
      <c r="E2372" t="s">
        <v>15605</v>
      </c>
      <c r="F2372" s="1">
        <v>144055</v>
      </c>
      <c r="G2372" s="1">
        <v>66304607570</v>
      </c>
      <c r="H2372" s="1">
        <v>1</v>
      </c>
      <c r="I2372" s="1" t="s">
        <v>6727</v>
      </c>
      <c r="J2372" t="s">
        <v>15606</v>
      </c>
    </row>
    <row r="2373" spans="1:10">
      <c r="A2373" s="1">
        <v>864678</v>
      </c>
      <c r="B2373" s="1">
        <v>3841985008</v>
      </c>
      <c r="C2373" s="1">
        <v>12</v>
      </c>
      <c r="D2373" s="1" t="s">
        <v>375</v>
      </c>
      <c r="E2373" t="s">
        <v>15607</v>
      </c>
      <c r="F2373" s="1">
        <v>394445</v>
      </c>
      <c r="G2373" s="1">
        <v>3760033067</v>
      </c>
      <c r="H2373" s="1">
        <v>8</v>
      </c>
      <c r="I2373" s="1" t="s">
        <v>13543</v>
      </c>
      <c r="J2373" t="s">
        <v>15608</v>
      </c>
    </row>
    <row r="2374" spans="1:10">
      <c r="A2374" s="1">
        <v>421545</v>
      </c>
      <c r="B2374" s="1">
        <v>3841985162</v>
      </c>
      <c r="C2374" s="1">
        <v>2</v>
      </c>
      <c r="D2374" s="1" t="s">
        <v>4658</v>
      </c>
      <c r="E2374" t="s">
        <v>15609</v>
      </c>
      <c r="F2374" s="1">
        <v>395392</v>
      </c>
      <c r="G2374" s="1">
        <v>3760050072</v>
      </c>
      <c r="H2374" s="1">
        <v>8</v>
      </c>
      <c r="I2374" s="1" t="s">
        <v>1656</v>
      </c>
      <c r="J2374" t="s">
        <v>15610</v>
      </c>
    </row>
    <row r="2375" spans="1:10">
      <c r="A2375" s="1">
        <v>150524</v>
      </c>
      <c r="B2375" s="1">
        <v>3841985036</v>
      </c>
      <c r="C2375" s="1">
        <v>2</v>
      </c>
      <c r="D2375" s="1" t="s">
        <v>4658</v>
      </c>
      <c r="E2375" t="s">
        <v>15611</v>
      </c>
      <c r="F2375" s="1">
        <v>506295</v>
      </c>
      <c r="G2375" s="1">
        <v>3760018359</v>
      </c>
      <c r="H2375" s="1">
        <v>6</v>
      </c>
      <c r="I2375" s="1" t="s">
        <v>14100</v>
      </c>
      <c r="J2375" t="s">
        <v>15612</v>
      </c>
    </row>
    <row r="2376" spans="1:10">
      <c r="A2376" s="1">
        <v>46078</v>
      </c>
      <c r="B2376" s="1">
        <v>3841985521</v>
      </c>
      <c r="C2376" s="1">
        <v>12</v>
      </c>
      <c r="D2376" s="1" t="s">
        <v>381</v>
      </c>
      <c r="E2376" t="s">
        <v>15613</v>
      </c>
      <c r="F2376" s="1">
        <v>477463</v>
      </c>
      <c r="G2376" s="1">
        <v>3760050071</v>
      </c>
      <c r="H2376" s="1">
        <v>8</v>
      </c>
      <c r="I2376" s="1" t="s">
        <v>1656</v>
      </c>
      <c r="J2376" t="s">
        <v>15614</v>
      </c>
    </row>
    <row r="2377" spans="1:10">
      <c r="A2377" s="1">
        <v>341016</v>
      </c>
      <c r="B2377" s="1">
        <v>3841985069</v>
      </c>
      <c r="C2377" s="1">
        <v>2</v>
      </c>
      <c r="D2377" s="1" t="s">
        <v>4658</v>
      </c>
      <c r="E2377" t="s">
        <v>15615</v>
      </c>
      <c r="F2377" s="1">
        <v>335067</v>
      </c>
      <c r="G2377" s="1">
        <v>7501302004</v>
      </c>
      <c r="H2377" s="1">
        <v>2</v>
      </c>
      <c r="I2377" s="1" t="s">
        <v>4658</v>
      </c>
      <c r="J2377" t="s">
        <v>15616</v>
      </c>
    </row>
    <row r="2378" spans="1:10">
      <c r="A2378" s="1">
        <v>272187</v>
      </c>
      <c r="B2378" s="1">
        <v>4113038109</v>
      </c>
      <c r="C2378" s="1">
        <v>4</v>
      </c>
      <c r="D2378" s="1" t="s">
        <v>7504</v>
      </c>
      <c r="E2378" t="s">
        <v>15617</v>
      </c>
      <c r="F2378" s="1">
        <v>543926</v>
      </c>
      <c r="G2378" s="1">
        <v>7501316218</v>
      </c>
      <c r="H2378" s="1">
        <v>12</v>
      </c>
      <c r="I2378" s="1" t="s">
        <v>399</v>
      </c>
      <c r="J2378" t="s">
        <v>15618</v>
      </c>
    </row>
    <row r="2379" spans="1:10">
      <c r="A2379" s="1">
        <v>232272</v>
      </c>
      <c r="B2379" s="1">
        <v>4113038041</v>
      </c>
      <c r="C2379" s="1">
        <v>12</v>
      </c>
      <c r="D2379" s="1" t="s">
        <v>89</v>
      </c>
      <c r="E2379" t="s">
        <v>15619</v>
      </c>
      <c r="F2379" s="1">
        <v>116814</v>
      </c>
      <c r="G2379" s="1">
        <v>7501302024</v>
      </c>
      <c r="H2379" s="1">
        <v>2</v>
      </c>
      <c r="I2379" s="1" t="s">
        <v>4815</v>
      </c>
      <c r="J2379" t="s">
        <v>15620</v>
      </c>
    </row>
    <row r="2380" spans="1:10" ht="15.75">
      <c r="A2380" s="4" t="s">
        <v>15543</v>
      </c>
      <c r="B2380" s="2"/>
      <c r="C2380" s="2"/>
      <c r="D2380" s="2"/>
      <c r="E2380" s="3"/>
      <c r="F2380" s="4" t="s">
        <v>15621</v>
      </c>
      <c r="G2380" s="2"/>
      <c r="H2380" s="2"/>
      <c r="I2380" s="2"/>
      <c r="J2380" s="3"/>
    </row>
    <row r="2381" spans="1:10">
      <c r="A2381" s="2" t="s">
        <v>0</v>
      </c>
      <c r="B2381" s="2" t="s">
        <v>1</v>
      </c>
      <c r="C2381" s="2" t="s">
        <v>2</v>
      </c>
      <c r="D2381" s="2" t="s">
        <v>3</v>
      </c>
      <c r="E2381" s="3" t="s">
        <v>4</v>
      </c>
      <c r="F2381" s="2" t="s">
        <v>0</v>
      </c>
      <c r="G2381" s="2" t="s">
        <v>1</v>
      </c>
      <c r="H2381" s="2" t="s">
        <v>2</v>
      </c>
      <c r="I2381" s="2" t="s">
        <v>3</v>
      </c>
      <c r="J2381" s="3" t="s">
        <v>4</v>
      </c>
    </row>
    <row r="2382" spans="1:10">
      <c r="A2382" s="1">
        <v>156505</v>
      </c>
      <c r="B2382" s="1">
        <v>7501302062</v>
      </c>
      <c r="C2382" s="1">
        <v>2</v>
      </c>
      <c r="D2382" s="1" t="s">
        <v>4815</v>
      </c>
      <c r="E2382" t="s">
        <v>15622</v>
      </c>
      <c r="F2382" s="1">
        <v>352906</v>
      </c>
      <c r="G2382" s="1">
        <v>4113038035</v>
      </c>
      <c r="H2382" s="1">
        <v>6</v>
      </c>
      <c r="I2382" s="1" t="s">
        <v>1198</v>
      </c>
      <c r="J2382" t="s">
        <v>15623</v>
      </c>
    </row>
    <row r="2383" spans="1:10">
      <c r="A2383" s="1">
        <v>21451</v>
      </c>
      <c r="B2383" s="1">
        <v>7501302008</v>
      </c>
      <c r="C2383" s="1">
        <v>2</v>
      </c>
      <c r="D2383" s="1" t="s">
        <v>4658</v>
      </c>
      <c r="E2383" t="s">
        <v>15624</v>
      </c>
      <c r="F2383" s="1">
        <v>169532</v>
      </c>
      <c r="G2383" s="1">
        <v>4113038103</v>
      </c>
      <c r="H2383" s="1">
        <v>4</v>
      </c>
      <c r="I2383" s="1" t="s">
        <v>4650</v>
      </c>
      <c r="J2383" t="s">
        <v>15625</v>
      </c>
    </row>
    <row r="2384" spans="1:10">
      <c r="A2384" s="1">
        <v>520866</v>
      </c>
      <c r="B2384" s="1">
        <v>7501316228</v>
      </c>
      <c r="C2384" s="1">
        <v>12</v>
      </c>
      <c r="D2384" s="1" t="s">
        <v>399</v>
      </c>
      <c r="E2384" t="s">
        <v>15626</v>
      </c>
      <c r="F2384" s="1">
        <v>426247</v>
      </c>
      <c r="G2384" s="1">
        <v>4113038122</v>
      </c>
      <c r="H2384" s="1">
        <v>6</v>
      </c>
      <c r="I2384" s="1" t="s">
        <v>363</v>
      </c>
      <c r="J2384" t="s">
        <v>15627</v>
      </c>
    </row>
    <row r="2385" spans="1:10">
      <c r="A2385" s="1">
        <v>770677</v>
      </c>
      <c r="B2385" s="1">
        <v>7501302005</v>
      </c>
      <c r="C2385" s="1">
        <v>2</v>
      </c>
      <c r="D2385" s="1" t="s">
        <v>4658</v>
      </c>
      <c r="E2385" t="s">
        <v>15628</v>
      </c>
      <c r="F2385" s="1">
        <v>788646</v>
      </c>
      <c r="G2385" s="1">
        <v>4113038034</v>
      </c>
      <c r="H2385" s="1">
        <v>6</v>
      </c>
      <c r="I2385" s="1" t="s">
        <v>1198</v>
      </c>
      <c r="J2385" t="s">
        <v>15627</v>
      </c>
    </row>
    <row r="2386" spans="1:10">
      <c r="A2386" s="1">
        <v>371542</v>
      </c>
      <c r="B2386" s="1">
        <v>7501302000</v>
      </c>
      <c r="C2386" s="1">
        <v>2</v>
      </c>
      <c r="D2386" s="1" t="s">
        <v>4815</v>
      </c>
      <c r="E2386" t="s">
        <v>15629</v>
      </c>
      <c r="F2386" s="1">
        <v>315481</v>
      </c>
      <c r="G2386" s="1">
        <v>4113038102</v>
      </c>
      <c r="H2386" s="1">
        <v>4</v>
      </c>
      <c r="I2386" s="1" t="s">
        <v>4650</v>
      </c>
      <c r="J2386" t="s">
        <v>15627</v>
      </c>
    </row>
    <row r="2387" spans="1:10">
      <c r="A2387" s="1">
        <v>831917</v>
      </c>
      <c r="B2387" s="1">
        <v>7501302015</v>
      </c>
      <c r="C2387" s="1">
        <v>2</v>
      </c>
      <c r="D2387" s="1" t="s">
        <v>4815</v>
      </c>
      <c r="E2387" t="s">
        <v>15630</v>
      </c>
      <c r="F2387" s="1">
        <v>234120</v>
      </c>
      <c r="G2387" s="1">
        <v>4113038101</v>
      </c>
      <c r="H2387" s="1">
        <v>4</v>
      </c>
      <c r="I2387" s="1" t="s">
        <v>4650</v>
      </c>
      <c r="J2387" t="s">
        <v>15631</v>
      </c>
    </row>
    <row r="2388" spans="1:10">
      <c r="A2388" s="1">
        <v>304550</v>
      </c>
      <c r="B2388" s="1">
        <v>7501302012</v>
      </c>
      <c r="C2388" s="1">
        <v>2</v>
      </c>
      <c r="D2388" s="1" t="s">
        <v>4815</v>
      </c>
      <c r="E2388" t="s">
        <v>15632</v>
      </c>
      <c r="F2388" s="1">
        <v>443291</v>
      </c>
      <c r="G2388" s="1">
        <v>4113038104</v>
      </c>
      <c r="H2388" s="1">
        <v>4</v>
      </c>
      <c r="I2388" s="1" t="s">
        <v>4650</v>
      </c>
      <c r="J2388" t="s">
        <v>15633</v>
      </c>
    </row>
    <row r="2389" spans="1:10">
      <c r="A2389" s="1">
        <v>892851</v>
      </c>
      <c r="B2389" s="1">
        <v>7501302055</v>
      </c>
      <c r="C2389" s="1">
        <v>2</v>
      </c>
      <c r="D2389" s="1" t="s">
        <v>4815</v>
      </c>
      <c r="E2389" t="s">
        <v>15634</v>
      </c>
      <c r="F2389" s="1">
        <v>316000</v>
      </c>
      <c r="G2389" s="1">
        <v>4113038137</v>
      </c>
      <c r="H2389" s="1">
        <v>6</v>
      </c>
      <c r="I2389" s="1" t="s">
        <v>363</v>
      </c>
      <c r="J2389" t="s">
        <v>15635</v>
      </c>
    </row>
    <row r="2390" spans="1:10">
      <c r="A2390" s="1">
        <v>208280</v>
      </c>
      <c r="B2390" s="1">
        <v>7501302052</v>
      </c>
      <c r="C2390" s="1">
        <v>2</v>
      </c>
      <c r="D2390" s="1" t="s">
        <v>4815</v>
      </c>
      <c r="E2390" t="s">
        <v>15636</v>
      </c>
      <c r="F2390" s="1">
        <v>79756</v>
      </c>
      <c r="G2390" s="1">
        <v>4113038135</v>
      </c>
      <c r="H2390" s="1">
        <v>6</v>
      </c>
      <c r="I2390" s="1" t="s">
        <v>1198</v>
      </c>
      <c r="J2390" t="s">
        <v>15635</v>
      </c>
    </row>
    <row r="2391" spans="1:10">
      <c r="A2391" s="1">
        <v>630251</v>
      </c>
      <c r="B2391" s="1">
        <v>4602585018</v>
      </c>
      <c r="C2391" s="1">
        <v>12</v>
      </c>
      <c r="D2391" s="1" t="s">
        <v>47</v>
      </c>
      <c r="E2391" t="s">
        <v>15637</v>
      </c>
      <c r="F2391" s="1">
        <v>186767</v>
      </c>
      <c r="G2391" s="1">
        <v>4113038124</v>
      </c>
      <c r="H2391" s="1">
        <v>6</v>
      </c>
      <c r="I2391" s="1" t="s">
        <v>363</v>
      </c>
      <c r="J2391" t="s">
        <v>15638</v>
      </c>
    </row>
    <row r="2392" spans="1:10">
      <c r="A2392" s="1">
        <v>668632</v>
      </c>
      <c r="B2392" s="1">
        <v>8663173631</v>
      </c>
      <c r="C2392" s="1">
        <v>4</v>
      </c>
      <c r="D2392" s="1" t="s">
        <v>12683</v>
      </c>
      <c r="E2392" t="s">
        <v>15639</v>
      </c>
      <c r="F2392" s="1">
        <v>513747</v>
      </c>
      <c r="G2392" s="1">
        <v>4113038036</v>
      </c>
      <c r="H2392" s="1">
        <v>6</v>
      </c>
      <c r="I2392" s="1" t="s">
        <v>1198</v>
      </c>
      <c r="J2392" t="s">
        <v>15640</v>
      </c>
    </row>
    <row r="2393" spans="1:10">
      <c r="A2393" s="1">
        <v>197103</v>
      </c>
      <c r="B2393" s="1">
        <v>1380047832</v>
      </c>
      <c r="C2393" s="1">
        <v>4</v>
      </c>
      <c r="D2393" s="1" t="s">
        <v>11753</v>
      </c>
      <c r="E2393" t="s">
        <v>15641</v>
      </c>
      <c r="F2393" s="1">
        <v>177667</v>
      </c>
      <c r="G2393" s="1">
        <v>4113038136</v>
      </c>
      <c r="H2393" s="1">
        <v>6</v>
      </c>
      <c r="I2393" s="1" t="s">
        <v>363</v>
      </c>
      <c r="J2393" t="s">
        <v>15642</v>
      </c>
    </row>
    <row r="2394" spans="1:10">
      <c r="A2394" s="1">
        <v>197087</v>
      </c>
      <c r="B2394" s="1">
        <v>1380055781</v>
      </c>
      <c r="C2394" s="1">
        <v>4</v>
      </c>
      <c r="D2394" s="1" t="s">
        <v>11753</v>
      </c>
      <c r="E2394" t="s">
        <v>15643</v>
      </c>
      <c r="F2394" s="1">
        <v>7716</v>
      </c>
      <c r="G2394" s="1">
        <v>4113038134</v>
      </c>
      <c r="H2394" s="1">
        <v>6</v>
      </c>
      <c r="I2394" s="1" t="s">
        <v>1198</v>
      </c>
      <c r="J2394" t="s">
        <v>15642</v>
      </c>
    </row>
    <row r="2395" spans="1:10">
      <c r="A2395" s="1">
        <v>692368</v>
      </c>
      <c r="B2395" s="1">
        <v>7116541303</v>
      </c>
      <c r="C2395" s="1">
        <v>1</v>
      </c>
      <c r="D2395" s="1" t="s">
        <v>4652</v>
      </c>
      <c r="E2395" t="s">
        <v>15644</v>
      </c>
      <c r="F2395" s="1">
        <v>336180</v>
      </c>
      <c r="G2395" s="1">
        <v>4113038125</v>
      </c>
      <c r="H2395" s="1">
        <v>6</v>
      </c>
      <c r="I2395" s="1" t="s">
        <v>363</v>
      </c>
      <c r="J2395" t="s">
        <v>15645</v>
      </c>
    </row>
    <row r="2396" spans="1:10">
      <c r="A2396" s="1">
        <v>695502</v>
      </c>
      <c r="B2396" s="1">
        <v>71603701460</v>
      </c>
      <c r="C2396" s="1">
        <v>1</v>
      </c>
      <c r="D2396" s="1" t="s">
        <v>10102</v>
      </c>
      <c r="E2396" t="s">
        <v>15646</v>
      </c>
      <c r="F2396" s="1">
        <v>550376</v>
      </c>
      <c r="G2396" s="1">
        <v>4113038037</v>
      </c>
      <c r="H2396" s="1">
        <v>6</v>
      </c>
      <c r="I2396" s="1" t="s">
        <v>1198</v>
      </c>
      <c r="J2396" t="s">
        <v>15645</v>
      </c>
    </row>
    <row r="2397" spans="1:10">
      <c r="A2397" s="1">
        <v>532960</v>
      </c>
      <c r="B2397" s="1">
        <v>65428704359</v>
      </c>
      <c r="C2397" s="1">
        <v>3</v>
      </c>
      <c r="D2397" s="1" t="s">
        <v>4871</v>
      </c>
      <c r="E2397" t="s">
        <v>15647</v>
      </c>
      <c r="F2397" s="1">
        <v>24745</v>
      </c>
      <c r="G2397" s="1">
        <v>4113038126</v>
      </c>
      <c r="H2397" s="1">
        <v>6</v>
      </c>
      <c r="I2397" s="1" t="s">
        <v>363</v>
      </c>
      <c r="J2397" t="s">
        <v>15648</v>
      </c>
    </row>
    <row r="2398" spans="1:10">
      <c r="A2398" s="1">
        <v>734947</v>
      </c>
      <c r="B2398" s="1">
        <v>71603722810</v>
      </c>
      <c r="C2398" s="1">
        <v>200</v>
      </c>
      <c r="D2398" s="1" t="s">
        <v>15593</v>
      </c>
      <c r="E2398" t="s">
        <v>15649</v>
      </c>
      <c r="F2398" s="1">
        <v>317024</v>
      </c>
      <c r="G2398" s="1">
        <v>4113038038</v>
      </c>
      <c r="H2398" s="1">
        <v>6</v>
      </c>
      <c r="I2398" s="1" t="s">
        <v>1198</v>
      </c>
      <c r="J2398" t="s">
        <v>15648</v>
      </c>
    </row>
    <row r="2399" spans="1:10">
      <c r="A2399" s="1">
        <v>734988</v>
      </c>
      <c r="B2399" s="1">
        <v>71603748850</v>
      </c>
      <c r="C2399" s="1">
        <v>200</v>
      </c>
      <c r="D2399" s="1" t="s">
        <v>2280</v>
      </c>
      <c r="E2399" t="s">
        <v>15650</v>
      </c>
      <c r="F2399" s="1">
        <v>454652</v>
      </c>
      <c r="G2399" s="1">
        <v>4113038039</v>
      </c>
      <c r="H2399" s="1">
        <v>6</v>
      </c>
      <c r="I2399" s="1" t="s">
        <v>1198</v>
      </c>
      <c r="J2399" t="s">
        <v>15651</v>
      </c>
    </row>
    <row r="2400" spans="1:10">
      <c r="A2400" s="1">
        <v>475657</v>
      </c>
      <c r="B2400" s="1">
        <v>7781512348</v>
      </c>
      <c r="C2400" s="1">
        <v>24</v>
      </c>
      <c r="D2400" s="1" t="s">
        <v>1973</v>
      </c>
      <c r="E2400" t="s">
        <v>15652</v>
      </c>
      <c r="F2400" s="1">
        <v>161307</v>
      </c>
      <c r="G2400" s="1">
        <v>4113038105</v>
      </c>
      <c r="H2400" s="1">
        <v>4</v>
      </c>
      <c r="I2400" s="1" t="s">
        <v>4650</v>
      </c>
      <c r="J2400" t="s">
        <v>15653</v>
      </c>
    </row>
    <row r="2401" spans="1:10">
      <c r="A2401" s="1">
        <v>765982</v>
      </c>
      <c r="B2401" s="1">
        <v>4263643895</v>
      </c>
      <c r="C2401" s="1">
        <v>500</v>
      </c>
      <c r="D2401" s="1" t="s">
        <v>7123</v>
      </c>
      <c r="E2401" t="s">
        <v>15654</v>
      </c>
      <c r="F2401" s="1">
        <v>529750</v>
      </c>
      <c r="G2401" s="1">
        <v>4113038099</v>
      </c>
      <c r="H2401" s="1">
        <v>4</v>
      </c>
      <c r="I2401" s="1" t="s">
        <v>4650</v>
      </c>
      <c r="J2401" t="s">
        <v>15655</v>
      </c>
    </row>
    <row r="2402" spans="1:10">
      <c r="A2402" s="1">
        <v>508176</v>
      </c>
      <c r="B2402" s="1">
        <v>8663134587</v>
      </c>
      <c r="C2402" s="1">
        <v>6</v>
      </c>
      <c r="D2402" s="1" t="s">
        <v>10102</v>
      </c>
      <c r="E2402" t="s">
        <v>15656</v>
      </c>
      <c r="F2402" s="1">
        <v>499707</v>
      </c>
      <c r="G2402" s="1">
        <v>4113038121</v>
      </c>
      <c r="H2402" s="1">
        <v>6</v>
      </c>
      <c r="I2402" s="1" t="s">
        <v>363</v>
      </c>
      <c r="J2402" t="s">
        <v>15657</v>
      </c>
    </row>
    <row r="2403" spans="1:10">
      <c r="A2403" s="1">
        <v>856674</v>
      </c>
      <c r="B2403" s="1">
        <v>8663134581</v>
      </c>
      <c r="C2403" s="1">
        <v>6</v>
      </c>
      <c r="D2403" s="1" t="s">
        <v>10102</v>
      </c>
      <c r="E2403" t="s">
        <v>15658</v>
      </c>
      <c r="F2403" s="1">
        <v>567719</v>
      </c>
      <c r="G2403" s="1">
        <v>41663415997</v>
      </c>
      <c r="H2403" s="1">
        <v>1</v>
      </c>
      <c r="I2403" s="1" t="s">
        <v>15659</v>
      </c>
      <c r="J2403" t="s">
        <v>15660</v>
      </c>
    </row>
    <row r="2404" spans="1:10">
      <c r="A2404" s="1">
        <v>832212</v>
      </c>
      <c r="B2404" s="1">
        <v>7891102526</v>
      </c>
      <c r="C2404" s="1">
        <v>12</v>
      </c>
      <c r="D2404" s="1" t="s">
        <v>347</v>
      </c>
      <c r="E2404" t="s">
        <v>15661</v>
      </c>
      <c r="F2404" s="1">
        <v>418392</v>
      </c>
      <c r="G2404" s="1">
        <v>41663416031</v>
      </c>
      <c r="H2404" s="1">
        <v>1</v>
      </c>
      <c r="I2404" s="1" t="s">
        <v>15662</v>
      </c>
      <c r="J2404" t="s">
        <v>15663</v>
      </c>
    </row>
    <row r="2405" spans="1:10">
      <c r="A2405" s="1">
        <v>322438</v>
      </c>
      <c r="B2405" s="1">
        <v>7891102528</v>
      </c>
      <c r="C2405" s="1">
        <v>12</v>
      </c>
      <c r="D2405" s="1" t="s">
        <v>347</v>
      </c>
      <c r="E2405" t="s">
        <v>15664</v>
      </c>
      <c r="F2405" s="1">
        <v>776062</v>
      </c>
      <c r="G2405" s="1">
        <v>7781510311</v>
      </c>
      <c r="H2405" s="1">
        <v>1</v>
      </c>
      <c r="I2405" s="1" t="s">
        <v>6786</v>
      </c>
      <c r="J2405" t="s">
        <v>15665</v>
      </c>
    </row>
    <row r="2406" spans="1:10">
      <c r="A2406" s="1">
        <v>195297</v>
      </c>
      <c r="B2406" s="1">
        <v>7550000003</v>
      </c>
      <c r="C2406" s="1">
        <v>200</v>
      </c>
      <c r="D2406" s="1" t="s">
        <v>8</v>
      </c>
      <c r="E2406" t="s">
        <v>15666</v>
      </c>
      <c r="F2406" s="1">
        <v>428367</v>
      </c>
      <c r="G2406" s="1">
        <v>7781512350</v>
      </c>
      <c r="H2406" s="1">
        <v>1</v>
      </c>
      <c r="I2406" s="1" t="s">
        <v>15667</v>
      </c>
      <c r="J2406" t="s">
        <v>15668</v>
      </c>
    </row>
    <row r="2407" spans="1:10">
      <c r="A2407" s="1">
        <v>17624</v>
      </c>
      <c r="B2407" s="1">
        <v>5000038273</v>
      </c>
      <c r="C2407" s="1">
        <v>8</v>
      </c>
      <c r="D2407" s="1" t="s">
        <v>15669</v>
      </c>
      <c r="E2407" t="s">
        <v>15670</v>
      </c>
      <c r="F2407" s="1">
        <v>248096</v>
      </c>
      <c r="G2407" s="1">
        <v>7781512351</v>
      </c>
      <c r="H2407" s="1">
        <v>1</v>
      </c>
      <c r="I2407" s="1" t="s">
        <v>6786</v>
      </c>
      <c r="J2407" t="s">
        <v>15671</v>
      </c>
    </row>
    <row r="2408" spans="1:10">
      <c r="A2408" s="1">
        <v>259515</v>
      </c>
      <c r="B2408" s="1">
        <v>9901167100</v>
      </c>
      <c r="C2408" s="1">
        <v>1</v>
      </c>
      <c r="D2408" s="1" t="s">
        <v>1219</v>
      </c>
      <c r="E2408" t="s">
        <v>15672</v>
      </c>
      <c r="F2408" s="1">
        <v>866186</v>
      </c>
      <c r="G2408" s="1">
        <v>7781512467</v>
      </c>
      <c r="H2408" s="1">
        <v>1</v>
      </c>
      <c r="I2408" s="1" t="s">
        <v>6600</v>
      </c>
      <c r="J2408" t="s">
        <v>15673</v>
      </c>
    </row>
    <row r="2409" spans="1:10">
      <c r="A2409" s="1">
        <v>806570</v>
      </c>
      <c r="B2409" s="1">
        <v>2670069058</v>
      </c>
      <c r="C2409" s="1">
        <v>1</v>
      </c>
      <c r="D2409" s="1" t="s">
        <v>6729</v>
      </c>
      <c r="E2409" t="s">
        <v>15674</v>
      </c>
      <c r="F2409" s="1">
        <v>30023</v>
      </c>
      <c r="G2409" s="1">
        <v>2370000316</v>
      </c>
      <c r="H2409" s="1">
        <v>48</v>
      </c>
      <c r="I2409" s="1" t="s">
        <v>397</v>
      </c>
      <c r="J2409" t="s">
        <v>15675</v>
      </c>
    </row>
    <row r="2410" spans="1:10">
      <c r="A2410" s="1">
        <v>740597</v>
      </c>
      <c r="B2410" s="1">
        <v>2670001280</v>
      </c>
      <c r="C2410" s="1">
        <v>1</v>
      </c>
      <c r="D2410" s="1" t="s">
        <v>6729</v>
      </c>
      <c r="E2410" t="s">
        <v>15676</v>
      </c>
      <c r="F2410" s="1">
        <v>403923</v>
      </c>
      <c r="G2410" s="1">
        <v>2370010067</v>
      </c>
      <c r="H2410" s="1">
        <v>6</v>
      </c>
      <c r="I2410" s="1" t="s">
        <v>13004</v>
      </c>
      <c r="J2410" t="s">
        <v>15677</v>
      </c>
    </row>
    <row r="2411" spans="1:10" ht="15.75">
      <c r="A2411" s="1">
        <v>204321</v>
      </c>
      <c r="B2411" s="1">
        <v>2670010196</v>
      </c>
      <c r="C2411" s="1">
        <v>4</v>
      </c>
      <c r="D2411" s="1" t="s">
        <v>8319</v>
      </c>
      <c r="E2411" t="s">
        <v>15678</v>
      </c>
      <c r="F2411" s="4" t="s">
        <v>15679</v>
      </c>
      <c r="G2411" s="2"/>
      <c r="H2411" s="2"/>
      <c r="I2411" s="2"/>
      <c r="J2411" s="3"/>
    </row>
    <row r="2412" spans="1:10" ht="15.75">
      <c r="A2412" s="4" t="s">
        <v>15621</v>
      </c>
      <c r="B2412" s="2"/>
      <c r="C2412" s="2"/>
      <c r="D2412" s="2"/>
      <c r="E2412" s="3"/>
      <c r="F2412" s="2" t="s">
        <v>0</v>
      </c>
      <c r="G2412" s="2" t="s">
        <v>1</v>
      </c>
      <c r="H2412" s="2" t="s">
        <v>2</v>
      </c>
      <c r="I2412" s="2" t="s">
        <v>3</v>
      </c>
      <c r="J2412" s="3" t="s">
        <v>4</v>
      </c>
    </row>
    <row r="2413" spans="1:10">
      <c r="A2413" s="2" t="s">
        <v>0</v>
      </c>
      <c r="B2413" s="2" t="s">
        <v>1</v>
      </c>
      <c r="C2413" s="2" t="s">
        <v>2</v>
      </c>
      <c r="D2413" s="2" t="s">
        <v>3</v>
      </c>
      <c r="E2413" s="3" t="s">
        <v>4</v>
      </c>
      <c r="F2413" s="1">
        <v>565648</v>
      </c>
      <c r="G2413" s="1">
        <v>82315208910</v>
      </c>
      <c r="H2413" s="1">
        <v>1</v>
      </c>
      <c r="I2413" s="1" t="s">
        <v>4719</v>
      </c>
      <c r="J2413" t="s">
        <v>15680</v>
      </c>
    </row>
    <row r="2414" spans="1:10">
      <c r="A2414" s="1">
        <v>734905</v>
      </c>
      <c r="B2414" s="1">
        <v>4369505310</v>
      </c>
      <c r="C2414" s="1">
        <v>48</v>
      </c>
      <c r="D2414" s="1" t="s">
        <v>14</v>
      </c>
      <c r="E2414" t="s">
        <v>15681</v>
      </c>
      <c r="F2414" s="1">
        <v>601286</v>
      </c>
      <c r="G2414" s="1">
        <v>1394101812</v>
      </c>
      <c r="H2414" s="1">
        <v>2</v>
      </c>
      <c r="I2414" s="1" t="s">
        <v>4658</v>
      </c>
      <c r="J2414" t="s">
        <v>15682</v>
      </c>
    </row>
    <row r="2415" spans="1:10">
      <c r="A2415" s="1">
        <v>210153</v>
      </c>
      <c r="B2415" s="1">
        <v>4113038161</v>
      </c>
      <c r="C2415" s="1">
        <v>4</v>
      </c>
      <c r="D2415" s="1" t="s">
        <v>4650</v>
      </c>
      <c r="E2415" t="s">
        <v>15683</v>
      </c>
      <c r="F2415" s="1">
        <v>629501</v>
      </c>
      <c r="G2415" s="1">
        <v>1394105609</v>
      </c>
      <c r="H2415" s="1">
        <v>4</v>
      </c>
      <c r="I2415" s="1" t="s">
        <v>4658</v>
      </c>
      <c r="J2415" t="s">
        <v>15684</v>
      </c>
    </row>
    <row r="2416" spans="1:10">
      <c r="A2416" s="1">
        <v>738583</v>
      </c>
      <c r="B2416" s="1">
        <v>4113038162</v>
      </c>
      <c r="C2416" s="1">
        <v>4</v>
      </c>
      <c r="D2416" s="1" t="s">
        <v>4650</v>
      </c>
      <c r="E2416" t="s">
        <v>15685</v>
      </c>
      <c r="F2416" s="1">
        <v>833681</v>
      </c>
      <c r="G2416" s="1">
        <v>7274507367</v>
      </c>
      <c r="H2416" s="1">
        <v>1</v>
      </c>
      <c r="I2416" s="1" t="s">
        <v>4719</v>
      </c>
      <c r="J2416" t="s">
        <v>15686</v>
      </c>
    </row>
    <row r="2417" spans="1:10">
      <c r="A2417" s="1">
        <v>121921</v>
      </c>
      <c r="B2417" s="1">
        <v>4113038123</v>
      </c>
      <c r="C2417" s="1">
        <v>6</v>
      </c>
      <c r="D2417" s="1" t="s">
        <v>363</v>
      </c>
      <c r="E2417" t="s">
        <v>15687</v>
      </c>
      <c r="F2417" s="1">
        <v>822403</v>
      </c>
      <c r="G2417" s="1">
        <v>7274582027</v>
      </c>
      <c r="H2417" s="1">
        <v>3</v>
      </c>
      <c r="I2417" s="1" t="s">
        <v>4658</v>
      </c>
      <c r="J2417" t="s">
        <v>15688</v>
      </c>
    </row>
    <row r="2418" spans="1:10">
      <c r="A2418" s="1">
        <v>477984</v>
      </c>
      <c r="B2418" s="1">
        <v>4113038127</v>
      </c>
      <c r="C2418" s="1">
        <v>6</v>
      </c>
      <c r="D2418" s="1" t="s">
        <v>363</v>
      </c>
      <c r="E2418" t="s">
        <v>15689</v>
      </c>
      <c r="F2418" s="1">
        <v>283168</v>
      </c>
      <c r="G2418" s="1">
        <v>7274507682</v>
      </c>
      <c r="H2418" s="1">
        <v>2</v>
      </c>
      <c r="I2418" s="1" t="s">
        <v>4658</v>
      </c>
      <c r="J2418" t="s">
        <v>15690</v>
      </c>
    </row>
    <row r="2419" spans="1:10">
      <c r="A2419" s="1">
        <v>277822</v>
      </c>
      <c r="B2419" s="1">
        <v>4113038033</v>
      </c>
      <c r="C2419" s="1">
        <v>6</v>
      </c>
      <c r="D2419" s="1" t="s">
        <v>1198</v>
      </c>
      <c r="E2419" t="s">
        <v>15689</v>
      </c>
      <c r="F2419" s="1">
        <v>618645</v>
      </c>
      <c r="G2419" s="1">
        <v>3763803617</v>
      </c>
      <c r="H2419" s="1">
        <v>2</v>
      </c>
      <c r="I2419" s="1" t="s">
        <v>4658</v>
      </c>
      <c r="J2419" t="s">
        <v>15691</v>
      </c>
    </row>
    <row r="2420" spans="1:10">
      <c r="A2420" s="1">
        <v>753053</v>
      </c>
      <c r="B2420" s="1">
        <v>4113038100</v>
      </c>
      <c r="C2420" s="1">
        <v>4</v>
      </c>
      <c r="D2420" s="1" t="s">
        <v>4650</v>
      </c>
      <c r="E2420" t="s">
        <v>15689</v>
      </c>
      <c r="F2420" s="1">
        <v>594267</v>
      </c>
      <c r="G2420" s="1">
        <v>7563244493</v>
      </c>
      <c r="H2420" s="1">
        <v>10</v>
      </c>
      <c r="I2420" s="1" t="s">
        <v>1973</v>
      </c>
      <c r="J2420" t="s">
        <v>15692</v>
      </c>
    </row>
    <row r="2421" spans="1:10" ht="15.75">
      <c r="A2421" s="4" t="s">
        <v>15679</v>
      </c>
      <c r="B2421" s="2"/>
      <c r="C2421" s="2"/>
      <c r="D2421" s="2"/>
      <c r="E2421" s="3"/>
      <c r="F2421" s="4" t="s">
        <v>15693</v>
      </c>
      <c r="G2421" s="2"/>
      <c r="H2421" s="2"/>
      <c r="I2421" s="2"/>
      <c r="J2421" s="3"/>
    </row>
    <row r="2422" spans="1:10">
      <c r="A2422" s="2" t="s">
        <v>0</v>
      </c>
      <c r="B2422" s="2" t="s">
        <v>1</v>
      </c>
      <c r="C2422" s="2" t="s">
        <v>2</v>
      </c>
      <c r="D2422" s="2" t="s">
        <v>3</v>
      </c>
      <c r="E2422" s="3" t="s">
        <v>4</v>
      </c>
      <c r="F2422" s="2" t="s">
        <v>0</v>
      </c>
      <c r="G2422" s="2" t="s">
        <v>1</v>
      </c>
      <c r="H2422" s="2" t="s">
        <v>2</v>
      </c>
      <c r="I2422" s="2" t="s">
        <v>3</v>
      </c>
      <c r="J2422" s="3" t="s">
        <v>4</v>
      </c>
    </row>
    <row r="2423" spans="1:10">
      <c r="A2423" s="1">
        <v>871004</v>
      </c>
      <c r="B2423" s="1">
        <v>2370000000</v>
      </c>
      <c r="C2423" s="1">
        <v>2</v>
      </c>
      <c r="D2423" s="1" t="s">
        <v>11749</v>
      </c>
      <c r="E2423" t="s">
        <v>15694</v>
      </c>
      <c r="F2423" s="1">
        <v>602078</v>
      </c>
      <c r="G2423" s="1">
        <v>1450000461</v>
      </c>
      <c r="H2423" s="1">
        <v>12</v>
      </c>
      <c r="I2423" s="1" t="s">
        <v>381</v>
      </c>
      <c r="J2423" t="s">
        <v>15695</v>
      </c>
    </row>
    <row r="2424" spans="1:10">
      <c r="A2424" s="1">
        <v>558163</v>
      </c>
      <c r="B2424" s="1">
        <v>2370000000</v>
      </c>
      <c r="C2424" s="1">
        <v>2</v>
      </c>
      <c r="D2424" s="1" t="s">
        <v>11749</v>
      </c>
      <c r="E2424" t="s">
        <v>15696</v>
      </c>
      <c r="F2424" s="1">
        <v>609818</v>
      </c>
      <c r="G2424" s="1">
        <v>1450000516</v>
      </c>
      <c r="H2424" s="1">
        <v>24</v>
      </c>
      <c r="I2424" s="1" t="s">
        <v>347</v>
      </c>
      <c r="J2424" t="s">
        <v>15697</v>
      </c>
    </row>
    <row r="2425" spans="1:10">
      <c r="A2425" s="1">
        <v>26252</v>
      </c>
      <c r="B2425" s="1">
        <v>2370000000</v>
      </c>
      <c r="C2425" s="1">
        <v>2</v>
      </c>
      <c r="D2425" s="1" t="s">
        <v>11749</v>
      </c>
      <c r="E2425" t="s">
        <v>15698</v>
      </c>
      <c r="F2425" s="1">
        <v>601690</v>
      </c>
      <c r="G2425" s="1">
        <v>1450000378</v>
      </c>
      <c r="H2425" s="1">
        <v>12</v>
      </c>
      <c r="I2425" s="1" t="s">
        <v>6</v>
      </c>
      <c r="J2425" t="s">
        <v>15699</v>
      </c>
    </row>
    <row r="2426" spans="1:10">
      <c r="A2426" s="1">
        <v>672873</v>
      </c>
      <c r="B2426" s="1">
        <v>2370001744</v>
      </c>
      <c r="C2426" s="1">
        <v>1</v>
      </c>
      <c r="D2426" s="1" t="s">
        <v>4719</v>
      </c>
      <c r="E2426" t="s">
        <v>15700</v>
      </c>
      <c r="F2426" s="1">
        <v>608489</v>
      </c>
      <c r="G2426" s="1">
        <v>1450000439</v>
      </c>
      <c r="H2426" s="1">
        <v>12</v>
      </c>
      <c r="I2426" s="1" t="s">
        <v>381</v>
      </c>
      <c r="J2426" t="s">
        <v>15701</v>
      </c>
    </row>
    <row r="2427" spans="1:10">
      <c r="A2427" s="1">
        <v>734798</v>
      </c>
      <c r="B2427" s="1">
        <v>2370053866</v>
      </c>
      <c r="C2427" s="1">
        <v>2</v>
      </c>
      <c r="D2427" s="1" t="s">
        <v>4658</v>
      </c>
      <c r="E2427" t="s">
        <v>15702</v>
      </c>
      <c r="F2427" s="1">
        <v>601708</v>
      </c>
      <c r="G2427" s="1">
        <v>1450000380</v>
      </c>
      <c r="H2427" s="1">
        <v>8</v>
      </c>
      <c r="I2427" s="1" t="s">
        <v>47</v>
      </c>
      <c r="J2427" t="s">
        <v>15703</v>
      </c>
    </row>
    <row r="2428" spans="1:10">
      <c r="A2428" s="1">
        <v>737445</v>
      </c>
      <c r="B2428" s="1">
        <v>2370053338</v>
      </c>
      <c r="C2428" s="1">
        <v>2</v>
      </c>
      <c r="D2428" s="1" t="s">
        <v>4658</v>
      </c>
      <c r="E2428" t="s">
        <v>15704</v>
      </c>
      <c r="F2428" s="1">
        <v>731695</v>
      </c>
      <c r="G2428" s="1">
        <v>1450001100</v>
      </c>
      <c r="H2428" s="1">
        <v>12</v>
      </c>
      <c r="I2428" s="1" t="s">
        <v>347</v>
      </c>
      <c r="J2428" t="s">
        <v>15705</v>
      </c>
    </row>
    <row r="2429" spans="1:10">
      <c r="A2429" s="1">
        <v>441048</v>
      </c>
      <c r="B2429" s="1">
        <v>2370000325</v>
      </c>
      <c r="C2429" s="1">
        <v>3</v>
      </c>
      <c r="D2429" s="1" t="s">
        <v>11749</v>
      </c>
      <c r="E2429" t="s">
        <v>15706</v>
      </c>
      <c r="F2429" s="1">
        <v>731703</v>
      </c>
      <c r="G2429" s="1">
        <v>1450001101</v>
      </c>
      <c r="H2429" s="1">
        <v>12</v>
      </c>
      <c r="I2429" s="1" t="s">
        <v>347</v>
      </c>
      <c r="J2429" t="s">
        <v>15707</v>
      </c>
    </row>
    <row r="2430" spans="1:10">
      <c r="A2430" s="1">
        <v>40865</v>
      </c>
      <c r="B2430" s="1">
        <v>2370010066</v>
      </c>
      <c r="C2430" s="1">
        <v>6</v>
      </c>
      <c r="D2430" s="1" t="s">
        <v>13004</v>
      </c>
      <c r="E2430" t="s">
        <v>15708</v>
      </c>
      <c r="F2430" s="1">
        <v>610931</v>
      </c>
      <c r="G2430" s="1">
        <v>1450000373</v>
      </c>
      <c r="H2430" s="1">
        <v>12</v>
      </c>
      <c r="I2430" s="1" t="s">
        <v>7</v>
      </c>
      <c r="J2430" t="s">
        <v>15709</v>
      </c>
    </row>
    <row r="2431" spans="1:10">
      <c r="A2431" s="1">
        <v>381954</v>
      </c>
      <c r="B2431" s="1">
        <v>2370053340</v>
      </c>
      <c r="C2431" s="1">
        <v>2</v>
      </c>
      <c r="D2431" s="1" t="s">
        <v>4658</v>
      </c>
      <c r="E2431" t="s">
        <v>15710</v>
      </c>
      <c r="F2431" s="1">
        <v>731711</v>
      </c>
      <c r="G2431" s="1">
        <v>1450001128</v>
      </c>
      <c r="H2431" s="1">
        <v>12</v>
      </c>
      <c r="I2431" s="1" t="s">
        <v>347</v>
      </c>
      <c r="J2431" t="s">
        <v>15711</v>
      </c>
    </row>
    <row r="2432" spans="1:10">
      <c r="A2432" s="1">
        <v>384701</v>
      </c>
      <c r="B2432" s="1">
        <v>2370000324</v>
      </c>
      <c r="C2432" s="1">
        <v>3</v>
      </c>
      <c r="D2432" s="1" t="s">
        <v>11749</v>
      </c>
      <c r="E2432" t="s">
        <v>15712</v>
      </c>
      <c r="F2432" s="1">
        <v>601948</v>
      </c>
      <c r="G2432" s="1">
        <v>1450000553</v>
      </c>
      <c r="H2432" s="1">
        <v>12</v>
      </c>
      <c r="I2432" s="1" t="s">
        <v>489</v>
      </c>
      <c r="J2432" t="s">
        <v>15713</v>
      </c>
    </row>
    <row r="2433" spans="1:10">
      <c r="A2433" s="1">
        <v>520924</v>
      </c>
      <c r="B2433" s="1">
        <v>2370001088</v>
      </c>
      <c r="C2433" s="1">
        <v>2</v>
      </c>
      <c r="D2433" s="1" t="s">
        <v>15714</v>
      </c>
      <c r="E2433" t="s">
        <v>15715</v>
      </c>
      <c r="F2433" s="1">
        <v>601609</v>
      </c>
      <c r="G2433" s="1">
        <v>1450000569</v>
      </c>
      <c r="H2433" s="1">
        <v>12</v>
      </c>
      <c r="I2433" s="1" t="s">
        <v>546</v>
      </c>
      <c r="J2433" t="s">
        <v>15716</v>
      </c>
    </row>
    <row r="2434" spans="1:10">
      <c r="A2434" s="1">
        <v>522177</v>
      </c>
      <c r="B2434" s="1">
        <v>2370000326</v>
      </c>
      <c r="C2434" s="1">
        <v>3</v>
      </c>
      <c r="D2434" s="1" t="s">
        <v>11749</v>
      </c>
      <c r="E2434" t="s">
        <v>15717</v>
      </c>
      <c r="F2434" s="1">
        <v>602813</v>
      </c>
      <c r="G2434" s="1">
        <v>1450000437</v>
      </c>
      <c r="H2434" s="1">
        <v>12</v>
      </c>
      <c r="I2434" s="1" t="s">
        <v>381</v>
      </c>
      <c r="J2434" t="s">
        <v>15718</v>
      </c>
    </row>
    <row r="2435" spans="1:10">
      <c r="A2435" s="1">
        <v>13482</v>
      </c>
      <c r="B2435" s="1">
        <v>2370001089</v>
      </c>
      <c r="C2435" s="1">
        <v>2</v>
      </c>
      <c r="D2435" s="1" t="s">
        <v>15714</v>
      </c>
      <c r="E2435" t="s">
        <v>15719</v>
      </c>
      <c r="F2435" s="1">
        <v>601245</v>
      </c>
      <c r="G2435" s="1">
        <v>1450000442</v>
      </c>
      <c r="H2435" s="1">
        <v>12</v>
      </c>
      <c r="I2435" s="1" t="s">
        <v>489</v>
      </c>
      <c r="J2435" t="s">
        <v>15720</v>
      </c>
    </row>
    <row r="2436" spans="1:10">
      <c r="A2436" s="1">
        <v>563502</v>
      </c>
      <c r="B2436" s="1">
        <v>2370044037</v>
      </c>
      <c r="C2436" s="1">
        <v>1</v>
      </c>
      <c r="D2436" s="1" t="s">
        <v>6600</v>
      </c>
      <c r="E2436" t="s">
        <v>15721</v>
      </c>
      <c r="F2436" s="1">
        <v>606111</v>
      </c>
      <c r="G2436" s="1">
        <v>1450001134</v>
      </c>
      <c r="H2436" s="1">
        <v>12</v>
      </c>
      <c r="I2436" s="1" t="s">
        <v>347</v>
      </c>
      <c r="J2436" t="s">
        <v>15722</v>
      </c>
    </row>
    <row r="2437" spans="1:10">
      <c r="A2437" s="1">
        <v>291104</v>
      </c>
      <c r="B2437" s="1">
        <v>2370010065</v>
      </c>
      <c r="C2437" s="1">
        <v>6</v>
      </c>
      <c r="D2437" s="1" t="s">
        <v>13004</v>
      </c>
      <c r="E2437" t="s">
        <v>15723</v>
      </c>
      <c r="F2437" s="1">
        <v>758219</v>
      </c>
      <c r="G2437" s="1">
        <v>1450001158</v>
      </c>
      <c r="H2437" s="1">
        <v>12</v>
      </c>
      <c r="I2437" s="1" t="s">
        <v>347</v>
      </c>
      <c r="J2437" t="s">
        <v>15724</v>
      </c>
    </row>
    <row r="2438" spans="1:10" ht="15.75">
      <c r="A2438" s="4" t="s">
        <v>15693</v>
      </c>
      <c r="B2438" s="2"/>
      <c r="C2438" s="2"/>
      <c r="D2438" s="2"/>
      <c r="E2438" s="3"/>
      <c r="F2438" s="1">
        <v>615302</v>
      </c>
      <c r="G2438" s="1">
        <v>1450000433</v>
      </c>
      <c r="H2438" s="1">
        <v>12</v>
      </c>
      <c r="I2438" s="1" t="s">
        <v>381</v>
      </c>
      <c r="J2438" t="s">
        <v>15725</v>
      </c>
    </row>
    <row r="2439" spans="1:10">
      <c r="A2439" s="2" t="s">
        <v>0</v>
      </c>
      <c r="B2439" s="2" t="s">
        <v>1</v>
      </c>
      <c r="C2439" s="2" t="s">
        <v>2</v>
      </c>
      <c r="D2439" s="2" t="s">
        <v>3</v>
      </c>
      <c r="E2439" s="3" t="s">
        <v>4</v>
      </c>
      <c r="F2439" s="1">
        <v>608711</v>
      </c>
      <c r="G2439" s="1">
        <v>1450000544</v>
      </c>
      <c r="H2439" s="1">
        <v>12</v>
      </c>
      <c r="I2439" s="1" t="s">
        <v>399</v>
      </c>
      <c r="J2439" t="s">
        <v>15726</v>
      </c>
    </row>
    <row r="2440" spans="1:10">
      <c r="A2440" s="1">
        <v>622902</v>
      </c>
      <c r="B2440" s="1">
        <v>78902182263</v>
      </c>
      <c r="C2440" s="1">
        <v>6</v>
      </c>
      <c r="D2440" s="1" t="s">
        <v>4658</v>
      </c>
      <c r="E2440" t="s">
        <v>15727</v>
      </c>
      <c r="F2440" s="1">
        <v>601989</v>
      </c>
      <c r="G2440" s="1">
        <v>1450000783</v>
      </c>
      <c r="H2440" s="1">
        <v>12</v>
      </c>
      <c r="I2440" s="1" t="s">
        <v>489</v>
      </c>
      <c r="J2440" t="s">
        <v>15728</v>
      </c>
    </row>
    <row r="2441" spans="1:10">
      <c r="A2441" s="1">
        <v>622829</v>
      </c>
      <c r="B2441" s="1">
        <v>78902182267</v>
      </c>
      <c r="C2441" s="1">
        <v>6</v>
      </c>
      <c r="D2441" s="1" t="s">
        <v>4815</v>
      </c>
      <c r="E2441" t="s">
        <v>15729</v>
      </c>
      <c r="F2441" s="1">
        <v>608745</v>
      </c>
      <c r="G2441" s="1">
        <v>1450000542</v>
      </c>
      <c r="H2441" s="1">
        <v>12</v>
      </c>
      <c r="I2441" s="1" t="s">
        <v>399</v>
      </c>
      <c r="J2441" t="s">
        <v>15730</v>
      </c>
    </row>
    <row r="2442" spans="1:10">
      <c r="A2442" s="1">
        <v>622274</v>
      </c>
      <c r="B2442" s="1">
        <v>78902182268</v>
      </c>
      <c r="C2442" s="1">
        <v>6</v>
      </c>
      <c r="D2442" s="1" t="s">
        <v>4815</v>
      </c>
      <c r="E2442" t="s">
        <v>15731</v>
      </c>
      <c r="F2442" s="1">
        <v>703926</v>
      </c>
      <c r="G2442" s="1">
        <v>1450001163</v>
      </c>
      <c r="H2442" s="1">
        <v>12</v>
      </c>
      <c r="I2442" s="1" t="s">
        <v>347</v>
      </c>
      <c r="J2442" t="s">
        <v>15732</v>
      </c>
    </row>
    <row r="2443" spans="1:10">
      <c r="A2443" s="1">
        <v>488809</v>
      </c>
      <c r="B2443" s="1">
        <v>1450001282</v>
      </c>
      <c r="C2443" s="1">
        <v>12</v>
      </c>
      <c r="D2443" s="1" t="s">
        <v>489</v>
      </c>
      <c r="E2443" t="s">
        <v>15733</v>
      </c>
      <c r="F2443" s="1">
        <v>206029</v>
      </c>
      <c r="G2443" s="1">
        <v>1450001161</v>
      </c>
      <c r="H2443" s="1">
        <v>12</v>
      </c>
      <c r="I2443" s="1" t="s">
        <v>347</v>
      </c>
      <c r="J2443" t="s">
        <v>15734</v>
      </c>
    </row>
    <row r="2444" spans="1:10">
      <c r="A2444" s="1">
        <v>601013</v>
      </c>
      <c r="B2444" s="1">
        <v>1450000397</v>
      </c>
      <c r="C2444" s="1">
        <v>12</v>
      </c>
      <c r="D2444" s="1" t="s">
        <v>546</v>
      </c>
      <c r="E2444" t="s">
        <v>15735</v>
      </c>
      <c r="F2444" s="1">
        <v>832584</v>
      </c>
      <c r="G2444" s="1">
        <v>1450001164</v>
      </c>
      <c r="H2444" s="1">
        <v>12</v>
      </c>
      <c r="I2444" s="1" t="s">
        <v>347</v>
      </c>
      <c r="J2444" t="s">
        <v>15736</v>
      </c>
    </row>
    <row r="2445" spans="1:10">
      <c r="A2445" s="1">
        <v>607671</v>
      </c>
      <c r="B2445" s="1">
        <v>1450000256</v>
      </c>
      <c r="C2445" s="1">
        <v>12</v>
      </c>
      <c r="D2445" s="1" t="s">
        <v>259</v>
      </c>
      <c r="E2445" t="s">
        <v>15737</v>
      </c>
      <c r="F2445" s="1">
        <v>516625</v>
      </c>
      <c r="G2445" s="1">
        <v>1450001162</v>
      </c>
      <c r="H2445" s="1">
        <v>12</v>
      </c>
      <c r="I2445" s="1" t="s">
        <v>347</v>
      </c>
      <c r="J2445" t="s">
        <v>15738</v>
      </c>
    </row>
    <row r="2446" spans="1:10">
      <c r="A2446" s="1">
        <v>607812</v>
      </c>
      <c r="B2446" s="1">
        <v>1450000265</v>
      </c>
      <c r="C2446" s="1">
        <v>12</v>
      </c>
      <c r="D2446" s="1" t="s">
        <v>381</v>
      </c>
      <c r="E2446" t="s">
        <v>15739</v>
      </c>
      <c r="F2446" s="1">
        <v>430918</v>
      </c>
      <c r="G2446" s="1">
        <v>1450001283</v>
      </c>
      <c r="H2446" s="1">
        <v>12</v>
      </c>
      <c r="I2446" s="1" t="s">
        <v>347</v>
      </c>
      <c r="J2446" t="s">
        <v>15740</v>
      </c>
    </row>
    <row r="2447" spans="1:10">
      <c r="A2447" s="1">
        <v>607713</v>
      </c>
      <c r="B2447" s="1">
        <v>1450000260</v>
      </c>
      <c r="C2447" s="1">
        <v>12</v>
      </c>
      <c r="D2447" s="1" t="s">
        <v>381</v>
      </c>
      <c r="E2447" t="s">
        <v>15741</v>
      </c>
      <c r="F2447" s="1">
        <v>601732</v>
      </c>
      <c r="G2447" s="1">
        <v>1450000420</v>
      </c>
      <c r="H2447" s="1">
        <v>12</v>
      </c>
      <c r="I2447" s="1" t="s">
        <v>381</v>
      </c>
      <c r="J2447" t="s">
        <v>15742</v>
      </c>
    </row>
    <row r="2448" spans="1:10">
      <c r="A2448" s="1">
        <v>607820</v>
      </c>
      <c r="B2448" s="1">
        <v>1450000264</v>
      </c>
      <c r="C2448" s="1">
        <v>12</v>
      </c>
      <c r="D2448" s="1" t="s">
        <v>381</v>
      </c>
      <c r="E2448" t="s">
        <v>15743</v>
      </c>
      <c r="F2448" s="1">
        <v>557371</v>
      </c>
      <c r="G2448" s="1">
        <v>1450001195</v>
      </c>
      <c r="H2448" s="1">
        <v>8</v>
      </c>
      <c r="I2448" s="1" t="s">
        <v>379</v>
      </c>
      <c r="J2448" t="s">
        <v>15744</v>
      </c>
    </row>
    <row r="2449" spans="1:10">
      <c r="A2449" s="1">
        <v>607697</v>
      </c>
      <c r="B2449" s="1">
        <v>1450000253</v>
      </c>
      <c r="C2449" s="1">
        <v>12</v>
      </c>
      <c r="D2449" s="1" t="s">
        <v>381</v>
      </c>
      <c r="E2449" t="s">
        <v>15745</v>
      </c>
      <c r="F2449" s="1">
        <v>545491</v>
      </c>
      <c r="G2449" s="1">
        <v>1450001192</v>
      </c>
      <c r="H2449" s="1">
        <v>8</v>
      </c>
      <c r="I2449" s="1" t="s">
        <v>379</v>
      </c>
      <c r="J2449" t="s">
        <v>15746</v>
      </c>
    </row>
    <row r="2450" spans="1:10">
      <c r="A2450" s="1">
        <v>601781</v>
      </c>
      <c r="B2450" s="1">
        <v>1450000793</v>
      </c>
      <c r="C2450" s="1">
        <v>12</v>
      </c>
      <c r="D2450" s="1" t="s">
        <v>546</v>
      </c>
      <c r="E2450" t="s">
        <v>15747</v>
      </c>
      <c r="F2450" s="1">
        <v>610600</v>
      </c>
      <c r="G2450" s="1">
        <v>1450000190</v>
      </c>
      <c r="H2450" s="1">
        <v>24</v>
      </c>
      <c r="I2450" s="1" t="s">
        <v>489</v>
      </c>
      <c r="J2450" t="s">
        <v>15748</v>
      </c>
    </row>
    <row r="2451" spans="1:10">
      <c r="A2451" s="1">
        <v>601427</v>
      </c>
      <c r="B2451" s="1">
        <v>1450000578</v>
      </c>
      <c r="C2451" s="1">
        <v>12</v>
      </c>
      <c r="D2451" s="1" t="s">
        <v>399</v>
      </c>
      <c r="E2451" t="s">
        <v>15749</v>
      </c>
      <c r="F2451" s="1">
        <v>610535</v>
      </c>
      <c r="G2451" s="1">
        <v>1450000189</v>
      </c>
      <c r="H2451" s="1">
        <v>24</v>
      </c>
      <c r="I2451" s="1" t="s">
        <v>489</v>
      </c>
      <c r="J2451" t="s">
        <v>15750</v>
      </c>
    </row>
    <row r="2452" spans="1:10">
      <c r="A2452" s="1">
        <v>731661</v>
      </c>
      <c r="B2452" s="1">
        <v>1450001132</v>
      </c>
      <c r="C2452" s="1">
        <v>12</v>
      </c>
      <c r="D2452" s="1" t="s">
        <v>347</v>
      </c>
      <c r="E2452" t="s">
        <v>15751</v>
      </c>
      <c r="F2452" s="1">
        <v>293357</v>
      </c>
      <c r="G2452" s="1">
        <v>1450001256</v>
      </c>
      <c r="H2452" s="1">
        <v>8</v>
      </c>
      <c r="I2452" s="1" t="s">
        <v>379</v>
      </c>
      <c r="J2452" t="s">
        <v>15752</v>
      </c>
    </row>
    <row r="2453" spans="1:10">
      <c r="A2453" s="1">
        <v>601450</v>
      </c>
      <c r="B2453" s="1">
        <v>1450000589</v>
      </c>
      <c r="C2453" s="1">
        <v>12</v>
      </c>
      <c r="D2453" s="1" t="s">
        <v>489</v>
      </c>
      <c r="E2453" t="s">
        <v>15753</v>
      </c>
      <c r="F2453" s="1">
        <v>602144</v>
      </c>
      <c r="G2453" s="1">
        <v>1450050703</v>
      </c>
      <c r="H2453" s="1">
        <v>12</v>
      </c>
      <c r="I2453" s="1" t="s">
        <v>381</v>
      </c>
      <c r="J2453" t="s">
        <v>15754</v>
      </c>
    </row>
    <row r="2454" spans="1:10">
      <c r="A2454" s="1">
        <v>602102</v>
      </c>
      <c r="B2454" s="1">
        <v>1450000469</v>
      </c>
      <c r="C2454" s="1">
        <v>12</v>
      </c>
      <c r="D2454" s="1" t="s">
        <v>381</v>
      </c>
      <c r="E2454" t="s">
        <v>15755</v>
      </c>
      <c r="F2454" s="1">
        <v>600759</v>
      </c>
      <c r="G2454" s="1">
        <v>1450050563</v>
      </c>
      <c r="H2454" s="1">
        <v>12</v>
      </c>
      <c r="I2454" s="1" t="s">
        <v>381</v>
      </c>
      <c r="J2454" t="s">
        <v>15756</v>
      </c>
    </row>
    <row r="2455" spans="1:10">
      <c r="A2455" s="1">
        <v>731729</v>
      </c>
      <c r="B2455" s="1">
        <v>1450001129</v>
      </c>
      <c r="C2455" s="1">
        <v>12</v>
      </c>
      <c r="D2455" s="1" t="s">
        <v>347</v>
      </c>
      <c r="E2455" t="s">
        <v>15757</v>
      </c>
      <c r="F2455" s="1">
        <v>600742</v>
      </c>
      <c r="G2455" s="1">
        <v>1450050553</v>
      </c>
      <c r="H2455" s="1">
        <v>12</v>
      </c>
      <c r="I2455" s="1" t="s">
        <v>381</v>
      </c>
      <c r="J2455" t="s">
        <v>15758</v>
      </c>
    </row>
    <row r="2456" spans="1:10">
      <c r="A2456" s="1">
        <v>840843</v>
      </c>
      <c r="B2456" s="1">
        <v>1450000474</v>
      </c>
      <c r="C2456" s="1">
        <v>12</v>
      </c>
      <c r="D2456" s="1" t="s">
        <v>381</v>
      </c>
      <c r="E2456" t="s">
        <v>15759</v>
      </c>
      <c r="F2456" s="1">
        <v>439794</v>
      </c>
      <c r="G2456" s="1">
        <v>1450001312</v>
      </c>
      <c r="H2456" s="1">
        <v>12</v>
      </c>
      <c r="I2456" s="1" t="s">
        <v>489</v>
      </c>
      <c r="J2456" t="s">
        <v>15760</v>
      </c>
    </row>
    <row r="2457" spans="1:10">
      <c r="A2457" s="1">
        <v>731679</v>
      </c>
      <c r="B2457" s="1">
        <v>1450001098</v>
      </c>
      <c r="C2457" s="1">
        <v>12</v>
      </c>
      <c r="D2457" s="1" t="s">
        <v>347</v>
      </c>
      <c r="E2457" t="s">
        <v>15761</v>
      </c>
      <c r="F2457" s="1">
        <v>223263</v>
      </c>
      <c r="G2457" s="1">
        <v>1450001291</v>
      </c>
      <c r="H2457" s="1">
        <v>12</v>
      </c>
      <c r="I2457" s="1" t="s">
        <v>347</v>
      </c>
      <c r="J2457" t="s">
        <v>15762</v>
      </c>
    </row>
    <row r="2458" spans="1:10">
      <c r="A2458" s="1">
        <v>610790</v>
      </c>
      <c r="B2458" s="1">
        <v>1450000413</v>
      </c>
      <c r="C2458" s="1">
        <v>12</v>
      </c>
      <c r="D2458" s="1" t="s">
        <v>381</v>
      </c>
      <c r="E2458" t="s">
        <v>15761</v>
      </c>
      <c r="F2458" s="1">
        <v>862805</v>
      </c>
      <c r="G2458" s="1">
        <v>1450001280</v>
      </c>
      <c r="H2458" s="1">
        <v>12</v>
      </c>
      <c r="I2458" s="1" t="s">
        <v>489</v>
      </c>
      <c r="J2458" t="s">
        <v>15763</v>
      </c>
    </row>
    <row r="2459" spans="1:10">
      <c r="A2459" s="1">
        <v>631630</v>
      </c>
      <c r="B2459" s="1">
        <v>1450001183</v>
      </c>
      <c r="C2459" s="1">
        <v>12</v>
      </c>
      <c r="D2459" s="1" t="s">
        <v>347</v>
      </c>
      <c r="E2459" t="s">
        <v>15764</v>
      </c>
      <c r="F2459" s="1">
        <v>161042</v>
      </c>
      <c r="G2459" s="1">
        <v>1450001275</v>
      </c>
      <c r="H2459" s="1">
        <v>12</v>
      </c>
      <c r="I2459" s="1" t="s">
        <v>489</v>
      </c>
      <c r="J2459" t="s">
        <v>15765</v>
      </c>
    </row>
    <row r="2460" spans="1:10">
      <c r="A2460" s="1">
        <v>601047</v>
      </c>
      <c r="B2460" s="1">
        <v>1450000212</v>
      </c>
      <c r="C2460" s="1">
        <v>12</v>
      </c>
      <c r="D2460" s="1" t="s">
        <v>489</v>
      </c>
      <c r="E2460" t="s">
        <v>15766</v>
      </c>
      <c r="F2460" s="1">
        <v>202895</v>
      </c>
      <c r="G2460" s="1">
        <v>1450001279</v>
      </c>
      <c r="H2460" s="1">
        <v>12</v>
      </c>
      <c r="I2460" s="1" t="s">
        <v>489</v>
      </c>
      <c r="J2460" t="s">
        <v>15767</v>
      </c>
    </row>
    <row r="2461" spans="1:10">
      <c r="A2461" s="1">
        <v>601054</v>
      </c>
      <c r="B2461" s="1">
        <v>1450000187</v>
      </c>
      <c r="C2461" s="1">
        <v>24</v>
      </c>
      <c r="D2461" s="1" t="s">
        <v>489</v>
      </c>
      <c r="E2461" t="s">
        <v>15768</v>
      </c>
      <c r="F2461" s="1">
        <v>366765</v>
      </c>
      <c r="G2461" s="1">
        <v>1450001311</v>
      </c>
      <c r="H2461" s="1">
        <v>12</v>
      </c>
      <c r="I2461" s="1" t="s">
        <v>489</v>
      </c>
      <c r="J2461" t="s">
        <v>15769</v>
      </c>
    </row>
    <row r="2462" spans="1:10" ht="15.75">
      <c r="A2462" s="4" t="s">
        <v>15693</v>
      </c>
      <c r="B2462" s="2"/>
      <c r="C2462" s="2"/>
      <c r="D2462" s="2"/>
      <c r="E2462" s="3"/>
      <c r="F2462" s="4" t="s">
        <v>15693</v>
      </c>
      <c r="G2462" s="2"/>
      <c r="H2462" s="2"/>
      <c r="I2462" s="2"/>
      <c r="J2462" s="3"/>
    </row>
    <row r="2463" spans="1:10">
      <c r="A2463" s="2" t="s">
        <v>0</v>
      </c>
      <c r="B2463" s="2" t="s">
        <v>1</v>
      </c>
      <c r="C2463" s="2" t="s">
        <v>2</v>
      </c>
      <c r="D2463" s="2" t="s">
        <v>3</v>
      </c>
      <c r="E2463" s="3" t="s">
        <v>4</v>
      </c>
      <c r="F2463" s="2" t="s">
        <v>0</v>
      </c>
      <c r="G2463" s="2" t="s">
        <v>1</v>
      </c>
      <c r="H2463" s="2" t="s">
        <v>2</v>
      </c>
      <c r="I2463" s="2" t="s">
        <v>3</v>
      </c>
      <c r="J2463" s="3" t="s">
        <v>4</v>
      </c>
    </row>
    <row r="2464" spans="1:10">
      <c r="A2464" s="1">
        <v>731737</v>
      </c>
      <c r="B2464" s="1">
        <v>1450001126</v>
      </c>
      <c r="C2464" s="1">
        <v>12</v>
      </c>
      <c r="D2464" s="1" t="s">
        <v>347</v>
      </c>
      <c r="E2464" t="s">
        <v>15770</v>
      </c>
      <c r="F2464" s="1">
        <v>602672</v>
      </c>
      <c r="G2464" s="1">
        <v>2000012138</v>
      </c>
      <c r="H2464" s="1">
        <v>6</v>
      </c>
      <c r="I2464" s="1" t="s">
        <v>47</v>
      </c>
      <c r="J2464" t="s">
        <v>15771</v>
      </c>
    </row>
    <row r="2465" spans="1:10">
      <c r="A2465" s="1">
        <v>731687</v>
      </c>
      <c r="B2465" s="1">
        <v>1450001099</v>
      </c>
      <c r="C2465" s="1">
        <v>12</v>
      </c>
      <c r="D2465" s="1" t="s">
        <v>347</v>
      </c>
      <c r="E2465" t="s">
        <v>15772</v>
      </c>
      <c r="F2465" s="1">
        <v>602854</v>
      </c>
      <c r="G2465" s="1">
        <v>2000000065</v>
      </c>
      <c r="H2465" s="1">
        <v>12</v>
      </c>
      <c r="I2465" s="1" t="s">
        <v>489</v>
      </c>
      <c r="J2465" t="s">
        <v>15773</v>
      </c>
    </row>
    <row r="2466" spans="1:10">
      <c r="A2466" s="1">
        <v>610592</v>
      </c>
      <c r="B2466" s="1">
        <v>1450000440</v>
      </c>
      <c r="C2466" s="1">
        <v>12</v>
      </c>
      <c r="D2466" s="1" t="s">
        <v>381</v>
      </c>
      <c r="E2466" t="s">
        <v>15774</v>
      </c>
      <c r="F2466" s="1">
        <v>603175</v>
      </c>
      <c r="G2466" s="1">
        <v>2000017486</v>
      </c>
      <c r="H2466" s="1">
        <v>12</v>
      </c>
      <c r="I2466" s="1" t="s">
        <v>546</v>
      </c>
      <c r="J2466" t="s">
        <v>15773</v>
      </c>
    </row>
    <row r="2467" spans="1:10">
      <c r="A2467" s="1">
        <v>601641</v>
      </c>
      <c r="B2467" s="1">
        <v>1450050543</v>
      </c>
      <c r="C2467" s="1">
        <v>12</v>
      </c>
      <c r="D2467" s="1" t="s">
        <v>381</v>
      </c>
      <c r="E2467" t="s">
        <v>15775</v>
      </c>
      <c r="F2467" s="1">
        <v>682187</v>
      </c>
      <c r="G2467" s="1">
        <v>2000019758</v>
      </c>
      <c r="H2467" s="1">
        <v>12</v>
      </c>
      <c r="I2467" s="1" t="s">
        <v>360</v>
      </c>
      <c r="J2467" t="s">
        <v>15776</v>
      </c>
    </row>
    <row r="2468" spans="1:10">
      <c r="A2468" s="1">
        <v>562421</v>
      </c>
      <c r="B2468" s="1">
        <v>1450001157</v>
      </c>
      <c r="C2468" s="1">
        <v>12</v>
      </c>
      <c r="D2468" s="1" t="s">
        <v>347</v>
      </c>
      <c r="E2468" t="s">
        <v>15777</v>
      </c>
      <c r="F2468" s="1">
        <v>846469</v>
      </c>
      <c r="G2468" s="1">
        <v>2000019759</v>
      </c>
      <c r="H2468" s="1">
        <v>12</v>
      </c>
      <c r="I2468" s="1" t="s">
        <v>360</v>
      </c>
      <c r="J2468" t="s">
        <v>15778</v>
      </c>
    </row>
    <row r="2469" spans="1:10">
      <c r="A2469" s="1">
        <v>496562</v>
      </c>
      <c r="B2469" s="1">
        <v>73639390122</v>
      </c>
      <c r="C2469" s="1">
        <v>8</v>
      </c>
      <c r="D2469" s="1" t="s">
        <v>347</v>
      </c>
      <c r="E2469" t="s">
        <v>4045</v>
      </c>
      <c r="F2469" s="1">
        <v>731745</v>
      </c>
      <c r="G2469" s="1">
        <v>2000012864</v>
      </c>
      <c r="H2469" s="1">
        <v>6</v>
      </c>
      <c r="I2469" s="1" t="s">
        <v>47</v>
      </c>
      <c r="J2469" t="s">
        <v>15779</v>
      </c>
    </row>
    <row r="2470" spans="1:10">
      <c r="A2470" s="1">
        <v>139238</v>
      </c>
      <c r="B2470" s="1">
        <v>73639390162</v>
      </c>
      <c r="C2470" s="1">
        <v>8</v>
      </c>
      <c r="D2470" s="1" t="s">
        <v>347</v>
      </c>
      <c r="E2470" t="s">
        <v>15780</v>
      </c>
      <c r="F2470" s="1">
        <v>859504</v>
      </c>
      <c r="G2470" s="1">
        <v>2000015681</v>
      </c>
      <c r="H2470" s="1">
        <v>8</v>
      </c>
      <c r="I2470" s="1" t="s">
        <v>574</v>
      </c>
      <c r="J2470" t="s">
        <v>15781</v>
      </c>
    </row>
    <row r="2471" spans="1:10">
      <c r="A2471" s="1">
        <v>741694</v>
      </c>
      <c r="B2471" s="1">
        <v>73639395202</v>
      </c>
      <c r="C2471" s="1">
        <v>8</v>
      </c>
      <c r="D2471" s="1" t="s">
        <v>347</v>
      </c>
      <c r="E2471" t="s">
        <v>15782</v>
      </c>
      <c r="F2471" s="1">
        <v>438721</v>
      </c>
      <c r="G2471" s="1">
        <v>2000027333</v>
      </c>
      <c r="H2471" s="1">
        <v>12</v>
      </c>
      <c r="I2471" s="1" t="s">
        <v>347</v>
      </c>
      <c r="J2471" t="s">
        <v>15783</v>
      </c>
    </row>
    <row r="2472" spans="1:10">
      <c r="A2472" s="1">
        <v>406678</v>
      </c>
      <c r="B2472" s="1">
        <v>2000019962</v>
      </c>
      <c r="C2472" s="1">
        <v>12</v>
      </c>
      <c r="D2472" s="1" t="s">
        <v>347</v>
      </c>
      <c r="E2472" t="s">
        <v>15784</v>
      </c>
      <c r="F2472" s="1">
        <v>780650</v>
      </c>
      <c r="G2472" s="1">
        <v>2000027334</v>
      </c>
      <c r="H2472" s="1">
        <v>12</v>
      </c>
      <c r="I2472" s="1" t="s">
        <v>347</v>
      </c>
      <c r="J2472" t="s">
        <v>15785</v>
      </c>
    </row>
    <row r="2473" spans="1:10">
      <c r="A2473" s="1">
        <v>349142</v>
      </c>
      <c r="B2473" s="1">
        <v>2000019964</v>
      </c>
      <c r="C2473" s="1">
        <v>12</v>
      </c>
      <c r="D2473" s="1" t="s">
        <v>347</v>
      </c>
      <c r="E2473" t="s">
        <v>15786</v>
      </c>
      <c r="F2473" s="1">
        <v>214197</v>
      </c>
      <c r="G2473" s="1">
        <v>2000072829</v>
      </c>
      <c r="H2473" s="1">
        <v>12</v>
      </c>
      <c r="I2473" s="1" t="s">
        <v>347</v>
      </c>
      <c r="J2473" t="s">
        <v>15787</v>
      </c>
    </row>
    <row r="2474" spans="1:10">
      <c r="A2474" s="1">
        <v>460535</v>
      </c>
      <c r="B2474" s="1">
        <v>2000019965</v>
      </c>
      <c r="C2474" s="1">
        <v>12</v>
      </c>
      <c r="D2474" s="1" t="s">
        <v>347</v>
      </c>
      <c r="E2474" t="s">
        <v>15788</v>
      </c>
      <c r="F2474" s="1">
        <v>889576</v>
      </c>
      <c r="G2474" s="1">
        <v>2000015775</v>
      </c>
      <c r="H2474" s="1">
        <v>12</v>
      </c>
      <c r="I2474" s="1" t="s">
        <v>347</v>
      </c>
      <c r="J2474" t="s">
        <v>15789</v>
      </c>
    </row>
    <row r="2475" spans="1:10">
      <c r="A2475" s="1">
        <v>528299</v>
      </c>
      <c r="B2475" s="1">
        <v>2000019963</v>
      </c>
      <c r="C2475" s="1">
        <v>12</v>
      </c>
      <c r="D2475" s="1" t="s">
        <v>347</v>
      </c>
      <c r="E2475" t="s">
        <v>15790</v>
      </c>
      <c r="F2475" s="1">
        <v>605428</v>
      </c>
      <c r="G2475" s="1">
        <v>2000012566</v>
      </c>
      <c r="H2475" s="1">
        <v>12</v>
      </c>
      <c r="I2475" s="1" t="s">
        <v>546</v>
      </c>
      <c r="J2475" t="s">
        <v>15791</v>
      </c>
    </row>
    <row r="2476" spans="1:10">
      <c r="A2476" s="1">
        <v>559997</v>
      </c>
      <c r="B2476" s="1">
        <v>2000027332</v>
      </c>
      <c r="C2476" s="1">
        <v>12</v>
      </c>
      <c r="D2476" s="1" t="s">
        <v>347</v>
      </c>
      <c r="E2476" t="s">
        <v>15792</v>
      </c>
      <c r="F2476" s="1">
        <v>841098</v>
      </c>
      <c r="G2476" s="1">
        <v>2000012629</v>
      </c>
      <c r="H2476" s="1">
        <v>12</v>
      </c>
      <c r="I2476" s="1" t="s">
        <v>358</v>
      </c>
      <c r="J2476" t="s">
        <v>15793</v>
      </c>
    </row>
    <row r="2477" spans="1:10">
      <c r="A2477" s="1">
        <v>763656</v>
      </c>
      <c r="B2477" s="1">
        <v>2000019673</v>
      </c>
      <c r="C2477" s="1">
        <v>12</v>
      </c>
      <c r="D2477" s="1" t="s">
        <v>360</v>
      </c>
      <c r="E2477" t="s">
        <v>15794</v>
      </c>
      <c r="F2477" s="1">
        <v>347088</v>
      </c>
      <c r="G2477" s="1">
        <v>2000017541</v>
      </c>
      <c r="H2477" s="1">
        <v>8</v>
      </c>
      <c r="I2477" s="1" t="s">
        <v>259</v>
      </c>
      <c r="J2477" t="s">
        <v>15795</v>
      </c>
    </row>
    <row r="2478" spans="1:10">
      <c r="A2478" s="1">
        <v>375964</v>
      </c>
      <c r="B2478" s="1">
        <v>2000027337</v>
      </c>
      <c r="C2478" s="1">
        <v>12</v>
      </c>
      <c r="D2478" s="1" t="s">
        <v>347</v>
      </c>
      <c r="E2478" t="s">
        <v>15796</v>
      </c>
      <c r="F2478" s="1">
        <v>603340</v>
      </c>
      <c r="G2478" s="1">
        <v>2000017609</v>
      </c>
      <c r="H2478" s="1">
        <v>12</v>
      </c>
      <c r="I2478" s="1" t="s">
        <v>546</v>
      </c>
      <c r="J2478" t="s">
        <v>15797</v>
      </c>
    </row>
    <row r="2479" spans="1:10">
      <c r="A2479" s="1">
        <v>849513</v>
      </c>
      <c r="B2479" s="1">
        <v>2000027338</v>
      </c>
      <c r="C2479" s="1">
        <v>12</v>
      </c>
      <c r="D2479" s="1" t="s">
        <v>347</v>
      </c>
      <c r="E2479" t="s">
        <v>15798</v>
      </c>
      <c r="F2479" s="1">
        <v>753582</v>
      </c>
      <c r="G2479" s="1">
        <v>2000012727</v>
      </c>
      <c r="H2479" s="1">
        <v>4</v>
      </c>
      <c r="I2479" s="1" t="s">
        <v>203</v>
      </c>
      <c r="J2479" t="s">
        <v>15799</v>
      </c>
    </row>
    <row r="2480" spans="1:10">
      <c r="A2480" s="1">
        <v>762013</v>
      </c>
      <c r="B2480" s="1">
        <v>2000027335</v>
      </c>
      <c r="C2480" s="1">
        <v>12</v>
      </c>
      <c r="D2480" s="1" t="s">
        <v>347</v>
      </c>
      <c r="E2480" t="s">
        <v>15800</v>
      </c>
      <c r="F2480" s="1">
        <v>602664</v>
      </c>
      <c r="G2480" s="1">
        <v>2000012681</v>
      </c>
      <c r="H2480" s="1">
        <v>8</v>
      </c>
      <c r="I2480" s="1" t="s">
        <v>439</v>
      </c>
      <c r="J2480" t="s">
        <v>15801</v>
      </c>
    </row>
    <row r="2481" spans="1:10">
      <c r="A2481" s="1">
        <v>580449</v>
      </c>
      <c r="B2481" s="1">
        <v>2000027336</v>
      </c>
      <c r="C2481" s="1">
        <v>12</v>
      </c>
      <c r="D2481" s="1" t="s">
        <v>347</v>
      </c>
      <c r="E2481" t="s">
        <v>15802</v>
      </c>
      <c r="F2481" s="1">
        <v>603431</v>
      </c>
      <c r="G2481" s="1">
        <v>2000012637</v>
      </c>
      <c r="H2481" s="1">
        <v>12</v>
      </c>
      <c r="I2481" s="1" t="s">
        <v>546</v>
      </c>
      <c r="J2481" t="s">
        <v>15803</v>
      </c>
    </row>
    <row r="2482" spans="1:10">
      <c r="A2482" s="1">
        <v>679035</v>
      </c>
      <c r="B2482" s="1">
        <v>2000019961</v>
      </c>
      <c r="C2482" s="1">
        <v>12</v>
      </c>
      <c r="D2482" s="1" t="s">
        <v>347</v>
      </c>
      <c r="E2482" t="s">
        <v>15804</v>
      </c>
      <c r="F2482" s="1">
        <v>603167</v>
      </c>
      <c r="G2482" s="1">
        <v>2000017480</v>
      </c>
      <c r="H2482" s="1">
        <v>12</v>
      </c>
      <c r="I2482" s="1" t="s">
        <v>546</v>
      </c>
      <c r="J2482" t="s">
        <v>15805</v>
      </c>
    </row>
    <row r="2483" spans="1:10">
      <c r="A2483" s="1">
        <v>492744</v>
      </c>
      <c r="B2483" s="1">
        <v>2000019966</v>
      </c>
      <c r="C2483" s="1">
        <v>12</v>
      </c>
      <c r="D2483" s="1" t="s">
        <v>347</v>
      </c>
      <c r="E2483" t="s">
        <v>15806</v>
      </c>
      <c r="F2483" s="1">
        <v>602623</v>
      </c>
      <c r="G2483" s="1">
        <v>2000000090</v>
      </c>
      <c r="H2483" s="1">
        <v>12</v>
      </c>
      <c r="I2483" s="1" t="s">
        <v>489</v>
      </c>
      <c r="J2483" t="s">
        <v>15807</v>
      </c>
    </row>
    <row r="2484" spans="1:10">
      <c r="A2484" s="1">
        <v>602730</v>
      </c>
      <c r="B2484" s="1">
        <v>2000000190</v>
      </c>
      <c r="C2484" s="1">
        <v>12</v>
      </c>
      <c r="D2484" s="1" t="s">
        <v>489</v>
      </c>
      <c r="E2484" t="s">
        <v>15808</v>
      </c>
      <c r="F2484" s="1">
        <v>603001</v>
      </c>
      <c r="G2484" s="1">
        <v>2000000146</v>
      </c>
      <c r="H2484" s="1">
        <v>12</v>
      </c>
      <c r="I2484" s="1" t="s">
        <v>489</v>
      </c>
      <c r="J2484" t="s">
        <v>15809</v>
      </c>
    </row>
    <row r="2485" spans="1:10">
      <c r="A2485" s="1">
        <v>603878</v>
      </c>
      <c r="B2485" s="1">
        <v>2000012691</v>
      </c>
      <c r="C2485" s="1">
        <v>12</v>
      </c>
      <c r="D2485" s="1" t="s">
        <v>489</v>
      </c>
      <c r="E2485" t="s">
        <v>15810</v>
      </c>
      <c r="F2485" s="1">
        <v>602029</v>
      </c>
      <c r="G2485" s="1">
        <v>2000014071</v>
      </c>
      <c r="H2485" s="1">
        <v>12</v>
      </c>
      <c r="I2485" s="1" t="s">
        <v>546</v>
      </c>
      <c r="J2485" t="s">
        <v>15811</v>
      </c>
    </row>
    <row r="2486" spans="1:10">
      <c r="A2486" s="1">
        <v>859397</v>
      </c>
      <c r="B2486" s="1">
        <v>2000012973</v>
      </c>
      <c r="C2486" s="1">
        <v>12</v>
      </c>
      <c r="D2486" s="1" t="s">
        <v>489</v>
      </c>
      <c r="E2486" t="s">
        <v>15812</v>
      </c>
      <c r="F2486" s="1">
        <v>493130</v>
      </c>
      <c r="G2486" s="1">
        <v>2000029663</v>
      </c>
      <c r="H2486" s="1">
        <v>8</v>
      </c>
      <c r="I2486" s="1" t="s">
        <v>1198</v>
      </c>
      <c r="J2486" t="s">
        <v>15813</v>
      </c>
    </row>
    <row r="2487" spans="1:10">
      <c r="A2487" s="1">
        <v>859496</v>
      </c>
      <c r="B2487" s="1">
        <v>2000012974</v>
      </c>
      <c r="C2487" s="1">
        <v>12</v>
      </c>
      <c r="D2487" s="1" t="s">
        <v>489</v>
      </c>
      <c r="E2487" t="s">
        <v>15814</v>
      </c>
      <c r="F2487" s="1">
        <v>603324</v>
      </c>
      <c r="G2487" s="1">
        <v>2000017681</v>
      </c>
      <c r="H2487" s="1">
        <v>12</v>
      </c>
      <c r="I2487" s="1" t="s">
        <v>546</v>
      </c>
      <c r="J2487" t="s">
        <v>15815</v>
      </c>
    </row>
    <row r="2488" spans="1:10">
      <c r="A2488" s="1">
        <v>805101</v>
      </c>
      <c r="B2488" s="1">
        <v>2000019757</v>
      </c>
      <c r="C2488" s="1">
        <v>12</v>
      </c>
      <c r="D2488" s="1" t="s">
        <v>360</v>
      </c>
      <c r="E2488" t="s">
        <v>15816</v>
      </c>
      <c r="F2488" s="1">
        <v>602987</v>
      </c>
      <c r="G2488" s="1">
        <v>2000000086</v>
      </c>
      <c r="H2488" s="1">
        <v>12</v>
      </c>
      <c r="I2488" s="1" t="s">
        <v>489</v>
      </c>
      <c r="J2488" t="s">
        <v>15817</v>
      </c>
    </row>
    <row r="2489" spans="1:10">
      <c r="A2489" s="1">
        <v>859512</v>
      </c>
      <c r="B2489" s="1">
        <v>2000015683</v>
      </c>
      <c r="C2489" s="1">
        <v>8</v>
      </c>
      <c r="D2489" s="1" t="s">
        <v>574</v>
      </c>
      <c r="E2489" t="s">
        <v>15818</v>
      </c>
      <c r="F2489" s="1">
        <v>602755</v>
      </c>
      <c r="G2489" s="1">
        <v>2000000082</v>
      </c>
      <c r="H2489" s="1">
        <v>12</v>
      </c>
      <c r="I2489" s="1" t="s">
        <v>489</v>
      </c>
      <c r="J2489" t="s">
        <v>15819</v>
      </c>
    </row>
    <row r="2490" spans="1:10">
      <c r="A2490" s="1">
        <v>550178</v>
      </c>
      <c r="B2490" s="1">
        <v>2000047662</v>
      </c>
      <c r="C2490" s="1">
        <v>8</v>
      </c>
      <c r="D2490" s="1" t="s">
        <v>574</v>
      </c>
      <c r="E2490" t="s">
        <v>15820</v>
      </c>
      <c r="F2490" s="1">
        <v>507889</v>
      </c>
      <c r="G2490" s="1">
        <v>2000016362</v>
      </c>
      <c r="H2490" s="1">
        <v>12</v>
      </c>
      <c r="I2490" s="1" t="s">
        <v>399</v>
      </c>
      <c r="J2490" t="s">
        <v>15821</v>
      </c>
    </row>
    <row r="2491" spans="1:10">
      <c r="A2491" s="1">
        <v>602243</v>
      </c>
      <c r="B2491" s="1">
        <v>2000012682</v>
      </c>
      <c r="C2491" s="1">
        <v>8</v>
      </c>
      <c r="D2491" s="1" t="s">
        <v>439</v>
      </c>
      <c r="E2491" t="s">
        <v>15822</v>
      </c>
      <c r="F2491" s="1">
        <v>761544</v>
      </c>
      <c r="G2491" s="1">
        <v>2000016361</v>
      </c>
      <c r="H2491" s="1">
        <v>12</v>
      </c>
      <c r="I2491" s="1" t="s">
        <v>399</v>
      </c>
      <c r="J2491" t="s">
        <v>15823</v>
      </c>
    </row>
    <row r="2492" spans="1:10">
      <c r="A2492" s="1">
        <v>542183</v>
      </c>
      <c r="B2492" s="1">
        <v>2000017517</v>
      </c>
      <c r="C2492" s="1">
        <v>8</v>
      </c>
      <c r="D2492" s="1" t="s">
        <v>940</v>
      </c>
      <c r="E2492" t="s">
        <v>15824</v>
      </c>
      <c r="F2492" s="1">
        <v>602888</v>
      </c>
      <c r="G2492" s="1">
        <v>2000012125</v>
      </c>
      <c r="H2492" s="1">
        <v>12</v>
      </c>
      <c r="I2492" s="1" t="s">
        <v>546</v>
      </c>
      <c r="J2492" t="s">
        <v>15825</v>
      </c>
    </row>
    <row r="2493" spans="1:10">
      <c r="A2493" s="1">
        <v>602698</v>
      </c>
      <c r="B2493" s="1">
        <v>2000012680</v>
      </c>
      <c r="C2493" s="1">
        <v>8</v>
      </c>
      <c r="D2493" s="1" t="s">
        <v>439</v>
      </c>
      <c r="E2493" t="s">
        <v>15826</v>
      </c>
      <c r="F2493" s="1">
        <v>603928</v>
      </c>
      <c r="G2493" s="1">
        <v>2880029951</v>
      </c>
      <c r="H2493" s="1">
        <v>12</v>
      </c>
      <c r="I2493" s="1" t="s">
        <v>399</v>
      </c>
      <c r="J2493" t="s">
        <v>15827</v>
      </c>
    </row>
    <row r="2494" spans="1:10">
      <c r="A2494" s="1">
        <v>603282</v>
      </c>
      <c r="B2494" s="1">
        <v>2000017481</v>
      </c>
      <c r="C2494" s="1">
        <v>12</v>
      </c>
      <c r="D2494" s="1" t="s">
        <v>546</v>
      </c>
      <c r="E2494" t="s">
        <v>15828</v>
      </c>
      <c r="F2494" s="1">
        <v>603647</v>
      </c>
      <c r="G2494" s="1">
        <v>2880029311</v>
      </c>
      <c r="H2494" s="1">
        <v>12</v>
      </c>
      <c r="I2494" s="1" t="s">
        <v>259</v>
      </c>
      <c r="J2494" t="s">
        <v>15829</v>
      </c>
    </row>
    <row r="2495" spans="1:10">
      <c r="A2495" s="1">
        <v>602946</v>
      </c>
      <c r="B2495" s="1">
        <v>2000000180</v>
      </c>
      <c r="C2495" s="1">
        <v>12</v>
      </c>
      <c r="D2495" s="1" t="s">
        <v>489</v>
      </c>
      <c r="E2495" t="s">
        <v>15830</v>
      </c>
      <c r="F2495" s="1">
        <v>603555</v>
      </c>
      <c r="G2495" s="1">
        <v>2880029161</v>
      </c>
      <c r="H2495" s="1">
        <v>12</v>
      </c>
      <c r="I2495" s="1" t="s">
        <v>381</v>
      </c>
      <c r="J2495" t="s">
        <v>15831</v>
      </c>
    </row>
    <row r="2496" spans="1:10">
      <c r="A2496" s="1">
        <v>602714</v>
      </c>
      <c r="B2496" s="1">
        <v>2000000168</v>
      </c>
      <c r="C2496" s="1">
        <v>12</v>
      </c>
      <c r="D2496" s="1" t="s">
        <v>489</v>
      </c>
      <c r="E2496" t="s">
        <v>15832</v>
      </c>
      <c r="F2496" s="1">
        <v>609594</v>
      </c>
      <c r="G2496" s="1">
        <v>2880029999</v>
      </c>
      <c r="H2496" s="1">
        <v>12</v>
      </c>
      <c r="I2496" s="1" t="s">
        <v>381</v>
      </c>
      <c r="J2496" t="s">
        <v>3842</v>
      </c>
    </row>
    <row r="2497" spans="1:10">
      <c r="A2497" s="1">
        <v>610717</v>
      </c>
      <c r="B2497" s="1">
        <v>2000000140</v>
      </c>
      <c r="C2497" s="1">
        <v>12</v>
      </c>
      <c r="D2497" s="1" t="s">
        <v>489</v>
      </c>
      <c r="E2497" t="s">
        <v>15833</v>
      </c>
      <c r="F2497" s="1">
        <v>607747</v>
      </c>
      <c r="G2497" s="1">
        <v>2880029401</v>
      </c>
      <c r="H2497" s="1">
        <v>12</v>
      </c>
      <c r="I2497" s="1" t="s">
        <v>381</v>
      </c>
      <c r="J2497" t="s">
        <v>15834</v>
      </c>
    </row>
    <row r="2498" spans="1:10">
      <c r="A2498" s="1">
        <v>602961</v>
      </c>
      <c r="B2498" s="1">
        <v>2000000199</v>
      </c>
      <c r="C2498" s="1">
        <v>12</v>
      </c>
      <c r="D2498" s="1" t="s">
        <v>489</v>
      </c>
      <c r="E2498" t="s">
        <v>15835</v>
      </c>
      <c r="F2498" s="1">
        <v>603530</v>
      </c>
      <c r="G2498" s="1">
        <v>2880029441</v>
      </c>
      <c r="H2498" s="1">
        <v>12</v>
      </c>
      <c r="I2498" s="1" t="s">
        <v>381</v>
      </c>
      <c r="J2498" t="s">
        <v>15836</v>
      </c>
    </row>
    <row r="2499" spans="1:10">
      <c r="A2499" s="1">
        <v>781781</v>
      </c>
      <c r="B2499" s="1">
        <v>2000017518</v>
      </c>
      <c r="C2499" s="1">
        <v>8</v>
      </c>
      <c r="D2499" s="1" t="s">
        <v>940</v>
      </c>
      <c r="E2499" t="s">
        <v>15837</v>
      </c>
      <c r="F2499" s="1">
        <v>603522</v>
      </c>
      <c r="G2499" s="1">
        <v>2880029410</v>
      </c>
      <c r="H2499" s="1">
        <v>12</v>
      </c>
      <c r="I2499" s="1" t="s">
        <v>259</v>
      </c>
      <c r="J2499" t="s">
        <v>15838</v>
      </c>
    </row>
    <row r="2500" spans="1:10">
      <c r="A2500" s="1">
        <v>602565</v>
      </c>
      <c r="B2500" s="1">
        <v>2000014585</v>
      </c>
      <c r="C2500" s="1">
        <v>12</v>
      </c>
      <c r="D2500" s="1" t="s">
        <v>7</v>
      </c>
      <c r="E2500" t="s">
        <v>15839</v>
      </c>
      <c r="F2500" s="1">
        <v>604819</v>
      </c>
      <c r="G2500" s="1">
        <v>2880028972</v>
      </c>
      <c r="H2500" s="1">
        <v>6</v>
      </c>
      <c r="I2500" s="1" t="s">
        <v>553</v>
      </c>
      <c r="J2500" t="s">
        <v>15840</v>
      </c>
    </row>
    <row r="2501" spans="1:10">
      <c r="A2501" s="1">
        <v>602839</v>
      </c>
      <c r="B2501" s="1">
        <v>2000000110</v>
      </c>
      <c r="C2501" s="1">
        <v>12</v>
      </c>
      <c r="D2501" s="1" t="s">
        <v>489</v>
      </c>
      <c r="E2501" t="s">
        <v>3795</v>
      </c>
      <c r="F2501" s="1">
        <v>603332</v>
      </c>
      <c r="G2501" s="1">
        <v>2880029381</v>
      </c>
      <c r="H2501" s="1">
        <v>12</v>
      </c>
      <c r="I2501" s="1" t="s">
        <v>381</v>
      </c>
      <c r="J2501" t="s">
        <v>15841</v>
      </c>
    </row>
    <row r="2502" spans="1:10">
      <c r="A2502" s="1">
        <v>603290</v>
      </c>
      <c r="B2502" s="1">
        <v>2000017478</v>
      </c>
      <c r="C2502" s="1">
        <v>12</v>
      </c>
      <c r="D2502" s="1" t="s">
        <v>546</v>
      </c>
      <c r="E2502" t="s">
        <v>3795</v>
      </c>
      <c r="F2502" s="1">
        <v>603472</v>
      </c>
      <c r="G2502" s="1">
        <v>2880029261</v>
      </c>
      <c r="H2502" s="1">
        <v>12</v>
      </c>
      <c r="I2502" s="1" t="s">
        <v>381</v>
      </c>
      <c r="J2502" t="s">
        <v>15842</v>
      </c>
    </row>
    <row r="2503" spans="1:10" ht="15.75">
      <c r="A2503" s="4" t="s">
        <v>15693</v>
      </c>
      <c r="B2503" s="2"/>
      <c r="C2503" s="2"/>
      <c r="D2503" s="2"/>
      <c r="E2503" s="3"/>
      <c r="F2503" s="4" t="s">
        <v>15693</v>
      </c>
      <c r="G2503" s="2"/>
      <c r="H2503" s="2"/>
      <c r="I2503" s="2"/>
      <c r="J2503" s="3"/>
    </row>
    <row r="2504" spans="1:10">
      <c r="A2504" s="2" t="s">
        <v>0</v>
      </c>
      <c r="B2504" s="2" t="s">
        <v>1</v>
      </c>
      <c r="C2504" s="2" t="s">
        <v>2</v>
      </c>
      <c r="D2504" s="2" t="s">
        <v>3</v>
      </c>
      <c r="E2504" s="3" t="s">
        <v>4</v>
      </c>
      <c r="F2504" s="2" t="s">
        <v>0</v>
      </c>
      <c r="G2504" s="2" t="s">
        <v>1</v>
      </c>
      <c r="H2504" s="2" t="s">
        <v>2</v>
      </c>
      <c r="I2504" s="2" t="s">
        <v>3</v>
      </c>
      <c r="J2504" s="3" t="s">
        <v>4</v>
      </c>
    </row>
    <row r="2505" spans="1:10">
      <c r="A2505" s="1">
        <v>602003</v>
      </c>
      <c r="B2505" s="1">
        <v>2880029955</v>
      </c>
      <c r="C2505" s="1">
        <v>12</v>
      </c>
      <c r="D2505" s="1" t="s">
        <v>381</v>
      </c>
      <c r="E2505" t="s">
        <v>15843</v>
      </c>
      <c r="F2505" s="1">
        <v>609974</v>
      </c>
      <c r="G2505" s="1">
        <v>7056098377</v>
      </c>
      <c r="H2505" s="1">
        <v>9</v>
      </c>
      <c r="I2505" s="1" t="s">
        <v>381</v>
      </c>
      <c r="J2505" t="s">
        <v>15844</v>
      </c>
    </row>
    <row r="2506" spans="1:10">
      <c r="A2506" s="1">
        <v>604785</v>
      </c>
      <c r="B2506" s="1">
        <v>2880029403</v>
      </c>
      <c r="C2506" s="1">
        <v>6</v>
      </c>
      <c r="D2506" s="1" t="s">
        <v>553</v>
      </c>
      <c r="E2506" t="s">
        <v>15845</v>
      </c>
      <c r="F2506" s="1">
        <v>648527</v>
      </c>
      <c r="G2506" s="1">
        <v>7056090942</v>
      </c>
      <c r="H2506" s="1">
        <v>6</v>
      </c>
      <c r="I2506" s="1" t="s">
        <v>637</v>
      </c>
      <c r="J2506" t="s">
        <v>15846</v>
      </c>
    </row>
    <row r="2507" spans="1:10">
      <c r="A2507" s="1">
        <v>604728</v>
      </c>
      <c r="B2507" s="1">
        <v>2880029163</v>
      </c>
      <c r="C2507" s="1">
        <v>6</v>
      </c>
      <c r="D2507" s="1" t="s">
        <v>865</v>
      </c>
      <c r="E2507" t="s">
        <v>3738</v>
      </c>
      <c r="F2507" s="1">
        <v>338715</v>
      </c>
      <c r="G2507" s="1">
        <v>7056097806</v>
      </c>
      <c r="H2507" s="1">
        <v>12</v>
      </c>
      <c r="I2507" s="1" t="s">
        <v>347</v>
      </c>
      <c r="J2507" t="s">
        <v>15847</v>
      </c>
    </row>
    <row r="2508" spans="1:10">
      <c r="A2508" s="1">
        <v>603639</v>
      </c>
      <c r="B2508" s="1">
        <v>2880029361</v>
      </c>
      <c r="C2508" s="1">
        <v>12</v>
      </c>
      <c r="D2508" s="1" t="s">
        <v>546</v>
      </c>
      <c r="E2508" t="s">
        <v>15848</v>
      </c>
      <c r="F2508" s="1">
        <v>360438</v>
      </c>
      <c r="G2508" s="1">
        <v>7056091208</v>
      </c>
      <c r="H2508" s="1">
        <v>24</v>
      </c>
      <c r="I2508" s="1" t="s">
        <v>489</v>
      </c>
      <c r="J2508" t="s">
        <v>15849</v>
      </c>
    </row>
    <row r="2509" spans="1:10">
      <c r="A2509" s="1">
        <v>609651</v>
      </c>
      <c r="B2509" s="1">
        <v>2880029141</v>
      </c>
      <c r="C2509" s="1">
        <v>12</v>
      </c>
      <c r="D2509" s="1" t="s">
        <v>381</v>
      </c>
      <c r="E2509" t="s">
        <v>15850</v>
      </c>
      <c r="F2509" s="1">
        <v>56721</v>
      </c>
      <c r="G2509" s="1">
        <v>7056097811</v>
      </c>
      <c r="H2509" s="1">
        <v>12</v>
      </c>
      <c r="I2509" s="1" t="s">
        <v>347</v>
      </c>
      <c r="J2509" t="s">
        <v>15851</v>
      </c>
    </row>
    <row r="2510" spans="1:10">
      <c r="A2510" s="1">
        <v>603589</v>
      </c>
      <c r="B2510" s="1">
        <v>2880029691</v>
      </c>
      <c r="C2510" s="1">
        <v>12</v>
      </c>
      <c r="D2510" s="1" t="s">
        <v>259</v>
      </c>
      <c r="E2510" t="s">
        <v>15852</v>
      </c>
      <c r="F2510" s="1">
        <v>862235</v>
      </c>
      <c r="G2510" s="1">
        <v>7056095673</v>
      </c>
      <c r="H2510" s="1">
        <v>9</v>
      </c>
      <c r="I2510" s="1" t="s">
        <v>259</v>
      </c>
      <c r="J2510" t="s">
        <v>15853</v>
      </c>
    </row>
    <row r="2511" spans="1:10">
      <c r="A2511" s="1">
        <v>603514</v>
      </c>
      <c r="B2511" s="1">
        <v>2880029960</v>
      </c>
      <c r="C2511" s="1">
        <v>12</v>
      </c>
      <c r="D2511" s="1" t="s">
        <v>489</v>
      </c>
      <c r="E2511" t="s">
        <v>15854</v>
      </c>
      <c r="F2511" s="1">
        <v>608117</v>
      </c>
      <c r="G2511" s="1">
        <v>7056087677</v>
      </c>
      <c r="H2511" s="1">
        <v>9</v>
      </c>
      <c r="I2511" s="1" t="s">
        <v>381</v>
      </c>
      <c r="J2511" t="s">
        <v>15855</v>
      </c>
    </row>
    <row r="2512" spans="1:10">
      <c r="A2512" s="1">
        <v>377127</v>
      </c>
      <c r="B2512" s="1">
        <v>2880029481</v>
      </c>
      <c r="C2512" s="1">
        <v>12</v>
      </c>
      <c r="D2512" s="1" t="s">
        <v>381</v>
      </c>
      <c r="E2512" t="s">
        <v>15856</v>
      </c>
      <c r="F2512" s="1">
        <v>6585</v>
      </c>
      <c r="G2512" s="1">
        <v>7056087269</v>
      </c>
      <c r="H2512" s="1">
        <v>24</v>
      </c>
      <c r="I2512" s="1" t="s">
        <v>489</v>
      </c>
      <c r="J2512" t="s">
        <v>15857</v>
      </c>
    </row>
    <row r="2513" spans="1:10">
      <c r="A2513" s="1">
        <v>603795</v>
      </c>
      <c r="B2513" s="1">
        <v>2880029071</v>
      </c>
      <c r="C2513" s="1">
        <v>12</v>
      </c>
      <c r="D2513" s="1" t="s">
        <v>381</v>
      </c>
      <c r="E2513" t="s">
        <v>15858</v>
      </c>
      <c r="F2513" s="1">
        <v>601625</v>
      </c>
      <c r="G2513" s="1">
        <v>7056088740</v>
      </c>
      <c r="H2513" s="1">
        <v>9</v>
      </c>
      <c r="I2513" s="1" t="s">
        <v>381</v>
      </c>
      <c r="J2513" t="s">
        <v>15859</v>
      </c>
    </row>
    <row r="2514" spans="1:10">
      <c r="A2514" s="1">
        <v>779033</v>
      </c>
      <c r="B2514" s="1">
        <v>2880027985</v>
      </c>
      <c r="C2514" s="1">
        <v>12</v>
      </c>
      <c r="D2514" s="1" t="s">
        <v>381</v>
      </c>
      <c r="E2514" t="s">
        <v>15860</v>
      </c>
      <c r="F2514" s="1">
        <v>605519</v>
      </c>
      <c r="G2514" s="1">
        <v>7056092328</v>
      </c>
      <c r="H2514" s="1">
        <v>6</v>
      </c>
      <c r="I2514" s="1" t="s">
        <v>954</v>
      </c>
      <c r="J2514" t="s">
        <v>15861</v>
      </c>
    </row>
    <row r="2515" spans="1:10">
      <c r="A2515" s="1">
        <v>603118</v>
      </c>
      <c r="B2515" s="1">
        <v>2880027901</v>
      </c>
      <c r="C2515" s="1">
        <v>12</v>
      </c>
      <c r="D2515" s="1" t="s">
        <v>259</v>
      </c>
      <c r="E2515" t="s">
        <v>15862</v>
      </c>
      <c r="F2515" s="1">
        <v>890699</v>
      </c>
      <c r="G2515" s="1">
        <v>7056092105</v>
      </c>
      <c r="H2515" s="1">
        <v>9</v>
      </c>
      <c r="I2515" s="1" t="s">
        <v>381</v>
      </c>
      <c r="J2515" t="s">
        <v>15863</v>
      </c>
    </row>
    <row r="2516" spans="1:10">
      <c r="A2516" s="1">
        <v>603654</v>
      </c>
      <c r="B2516" s="1">
        <v>2880029661</v>
      </c>
      <c r="C2516" s="1">
        <v>12</v>
      </c>
      <c r="D2516" s="1" t="s">
        <v>381</v>
      </c>
      <c r="E2516" t="s">
        <v>3822</v>
      </c>
      <c r="F2516" s="1">
        <v>601773</v>
      </c>
      <c r="G2516" s="1">
        <v>7056088201</v>
      </c>
      <c r="H2516" s="1">
        <v>9</v>
      </c>
      <c r="I2516" s="1" t="s">
        <v>381</v>
      </c>
      <c r="J2516" t="s">
        <v>15864</v>
      </c>
    </row>
    <row r="2517" spans="1:10">
      <c r="A2517" s="1">
        <v>604777</v>
      </c>
      <c r="B2517" s="1">
        <v>2880029673</v>
      </c>
      <c r="C2517" s="1">
        <v>6</v>
      </c>
      <c r="D2517" s="1" t="s">
        <v>865</v>
      </c>
      <c r="E2517" t="s">
        <v>3822</v>
      </c>
      <c r="F2517" s="1">
        <v>217232</v>
      </c>
      <c r="G2517" s="1">
        <v>7056087157</v>
      </c>
      <c r="H2517" s="1">
        <v>9</v>
      </c>
      <c r="I2517" s="1" t="s">
        <v>259</v>
      </c>
      <c r="J2517" t="s">
        <v>15865</v>
      </c>
    </row>
    <row r="2518" spans="1:10">
      <c r="A2518" s="1">
        <v>604579</v>
      </c>
      <c r="B2518" s="1">
        <v>2880029003</v>
      </c>
      <c r="C2518" s="1">
        <v>6</v>
      </c>
      <c r="D2518" s="1" t="s">
        <v>553</v>
      </c>
      <c r="E2518" t="s">
        <v>15866</v>
      </c>
      <c r="F2518" s="1">
        <v>601229</v>
      </c>
      <c r="G2518" s="1">
        <v>7056085615</v>
      </c>
      <c r="H2518" s="1">
        <v>9</v>
      </c>
      <c r="I2518" s="1" t="s">
        <v>381</v>
      </c>
      <c r="J2518" t="s">
        <v>15867</v>
      </c>
    </row>
    <row r="2519" spans="1:10">
      <c r="A2519" s="1">
        <v>413799</v>
      </c>
      <c r="B2519" s="1">
        <v>2880029413</v>
      </c>
      <c r="C2519" s="1">
        <v>12</v>
      </c>
      <c r="D2519" s="1" t="s">
        <v>259</v>
      </c>
      <c r="E2519" t="s">
        <v>15868</v>
      </c>
      <c r="F2519" s="1">
        <v>436345</v>
      </c>
      <c r="G2519" s="1">
        <v>7056084821</v>
      </c>
      <c r="H2519" s="1">
        <v>9</v>
      </c>
      <c r="I2519" s="1" t="s">
        <v>259</v>
      </c>
      <c r="J2519" t="s">
        <v>15869</v>
      </c>
    </row>
    <row r="2520" spans="1:10">
      <c r="A2520" s="1">
        <v>609958</v>
      </c>
      <c r="B2520" s="1">
        <v>2880029445</v>
      </c>
      <c r="C2520" s="1">
        <v>12</v>
      </c>
      <c r="D2520" s="1" t="s">
        <v>259</v>
      </c>
      <c r="E2520" t="s">
        <v>15870</v>
      </c>
      <c r="F2520" s="1">
        <v>844043</v>
      </c>
      <c r="G2520" s="1">
        <v>7056083471</v>
      </c>
      <c r="H2520" s="1">
        <v>9</v>
      </c>
      <c r="I2520" s="1" t="s">
        <v>259</v>
      </c>
      <c r="J2520" t="s">
        <v>15871</v>
      </c>
    </row>
    <row r="2521" spans="1:10">
      <c r="A2521" s="1">
        <v>630822</v>
      </c>
      <c r="B2521" s="1">
        <v>2880030160</v>
      </c>
      <c r="C2521" s="1">
        <v>12</v>
      </c>
      <c r="D2521" s="1" t="s">
        <v>259</v>
      </c>
      <c r="E2521" t="s">
        <v>15872</v>
      </c>
      <c r="F2521" s="1">
        <v>320796</v>
      </c>
      <c r="G2521" s="1">
        <v>7056097826</v>
      </c>
      <c r="H2521" s="1">
        <v>12</v>
      </c>
      <c r="I2521" s="1" t="s">
        <v>347</v>
      </c>
      <c r="J2521" t="s">
        <v>15873</v>
      </c>
    </row>
    <row r="2522" spans="1:10">
      <c r="A2522" s="1">
        <v>603860</v>
      </c>
      <c r="B2522" s="1">
        <v>2880029100</v>
      </c>
      <c r="C2522" s="1">
        <v>12</v>
      </c>
      <c r="D2522" s="1" t="s">
        <v>259</v>
      </c>
      <c r="E2522" t="s">
        <v>15874</v>
      </c>
      <c r="F2522" s="1">
        <v>605493</v>
      </c>
      <c r="G2522" s="1">
        <v>7056084323</v>
      </c>
      <c r="H2522" s="1">
        <v>6</v>
      </c>
      <c r="I2522" s="1" t="s">
        <v>954</v>
      </c>
      <c r="J2522" t="s">
        <v>15875</v>
      </c>
    </row>
    <row r="2523" spans="1:10">
      <c r="A2523" s="1">
        <v>603563</v>
      </c>
      <c r="B2523" s="1">
        <v>2880029031</v>
      </c>
      <c r="C2523" s="1">
        <v>12</v>
      </c>
      <c r="D2523" s="1" t="s">
        <v>259</v>
      </c>
      <c r="E2523" t="s">
        <v>15876</v>
      </c>
      <c r="F2523" s="1">
        <v>115394</v>
      </c>
      <c r="G2523" s="1">
        <v>7056090056</v>
      </c>
      <c r="H2523" s="1">
        <v>6</v>
      </c>
      <c r="I2523" s="1" t="s">
        <v>954</v>
      </c>
      <c r="J2523" t="s">
        <v>15877</v>
      </c>
    </row>
    <row r="2524" spans="1:10">
      <c r="A2524" s="1">
        <v>321117</v>
      </c>
      <c r="B2524" s="1">
        <v>2880012963</v>
      </c>
      <c r="C2524" s="1">
        <v>12</v>
      </c>
      <c r="D2524" s="1" t="s">
        <v>1973</v>
      </c>
      <c r="E2524" t="s">
        <v>15878</v>
      </c>
      <c r="F2524" s="1">
        <v>891135</v>
      </c>
      <c r="G2524" s="1">
        <v>7056097801</v>
      </c>
      <c r="H2524" s="1">
        <v>12</v>
      </c>
      <c r="I2524" s="1" t="s">
        <v>347</v>
      </c>
      <c r="J2524" t="s">
        <v>15879</v>
      </c>
    </row>
    <row r="2525" spans="1:10">
      <c r="A2525" s="1">
        <v>603548</v>
      </c>
      <c r="B2525" s="1">
        <v>2880029291</v>
      </c>
      <c r="C2525" s="1">
        <v>12</v>
      </c>
      <c r="D2525" s="1" t="s">
        <v>259</v>
      </c>
      <c r="E2525" t="s">
        <v>15880</v>
      </c>
      <c r="F2525" s="1">
        <v>252007</v>
      </c>
      <c r="G2525" s="1">
        <v>7056097831</v>
      </c>
      <c r="H2525" s="1">
        <v>12</v>
      </c>
      <c r="I2525" s="1" t="s">
        <v>347</v>
      </c>
      <c r="J2525" t="s">
        <v>15881</v>
      </c>
    </row>
    <row r="2526" spans="1:10">
      <c r="A2526" s="1">
        <v>603837</v>
      </c>
      <c r="B2526" s="1">
        <v>2880029043</v>
      </c>
      <c r="C2526" s="1">
        <v>12</v>
      </c>
      <c r="D2526" s="1" t="s">
        <v>399</v>
      </c>
      <c r="E2526" t="s">
        <v>15882</v>
      </c>
      <c r="F2526" s="1">
        <v>731760</v>
      </c>
      <c r="G2526" s="1">
        <v>7056097620</v>
      </c>
      <c r="H2526" s="1">
        <v>9</v>
      </c>
      <c r="I2526" s="1" t="s">
        <v>259</v>
      </c>
      <c r="J2526" t="s">
        <v>15883</v>
      </c>
    </row>
    <row r="2527" spans="1:10">
      <c r="A2527" s="1">
        <v>773523</v>
      </c>
      <c r="B2527" s="1">
        <v>2880029055</v>
      </c>
      <c r="C2527" s="1">
        <v>12</v>
      </c>
      <c r="D2527" s="1" t="s">
        <v>381</v>
      </c>
      <c r="E2527" t="s">
        <v>15884</v>
      </c>
      <c r="F2527" s="1">
        <v>471425</v>
      </c>
      <c r="G2527" s="1">
        <v>7056081141</v>
      </c>
      <c r="H2527" s="1">
        <v>9</v>
      </c>
      <c r="I2527" s="1" t="s">
        <v>381</v>
      </c>
      <c r="J2527" t="s">
        <v>15885</v>
      </c>
    </row>
    <row r="2528" spans="1:10">
      <c r="A2528" s="1">
        <v>610006</v>
      </c>
      <c r="B2528" s="1">
        <v>2880029701</v>
      </c>
      <c r="C2528" s="1">
        <v>12</v>
      </c>
      <c r="D2528" s="1" t="s">
        <v>381</v>
      </c>
      <c r="E2528" t="s">
        <v>15886</v>
      </c>
      <c r="F2528" s="1">
        <v>416024</v>
      </c>
      <c r="G2528" s="1">
        <v>7056088379</v>
      </c>
      <c r="H2528" s="1">
        <v>9</v>
      </c>
      <c r="I2528" s="1" t="s">
        <v>381</v>
      </c>
      <c r="J2528" t="s">
        <v>15887</v>
      </c>
    </row>
    <row r="2529" spans="1:10">
      <c r="A2529" s="1">
        <v>603894</v>
      </c>
      <c r="B2529" s="1">
        <v>2880029060</v>
      </c>
      <c r="C2529" s="1">
        <v>12</v>
      </c>
      <c r="D2529" s="1" t="s">
        <v>259</v>
      </c>
      <c r="E2529" t="s">
        <v>15888</v>
      </c>
      <c r="F2529" s="1">
        <v>555557</v>
      </c>
      <c r="G2529" s="1">
        <v>7056081993</v>
      </c>
      <c r="H2529" s="1">
        <v>9</v>
      </c>
      <c r="I2529" s="1" t="s">
        <v>381</v>
      </c>
      <c r="J2529" t="s">
        <v>15889</v>
      </c>
    </row>
    <row r="2530" spans="1:10">
      <c r="A2530" s="1">
        <v>604678</v>
      </c>
      <c r="B2530" s="1">
        <v>2880029263</v>
      </c>
      <c r="C2530" s="1">
        <v>6</v>
      </c>
      <c r="D2530" s="1" t="s">
        <v>865</v>
      </c>
      <c r="E2530" t="s">
        <v>15890</v>
      </c>
      <c r="F2530" s="1">
        <v>731752</v>
      </c>
      <c r="G2530" s="1">
        <v>7056097626</v>
      </c>
      <c r="H2530" s="1">
        <v>9</v>
      </c>
      <c r="I2530" s="1" t="s">
        <v>259</v>
      </c>
      <c r="J2530" t="s">
        <v>15891</v>
      </c>
    </row>
    <row r="2531" spans="1:10">
      <c r="A2531" s="1">
        <v>603480</v>
      </c>
      <c r="B2531" s="1">
        <v>2880029051</v>
      </c>
      <c r="C2531" s="1">
        <v>12</v>
      </c>
      <c r="D2531" s="1" t="s">
        <v>381</v>
      </c>
      <c r="E2531" t="s">
        <v>15892</v>
      </c>
      <c r="F2531" s="1">
        <v>731794</v>
      </c>
      <c r="G2531" s="1">
        <v>7056097628</v>
      </c>
      <c r="H2531" s="1">
        <v>9</v>
      </c>
      <c r="I2531" s="1" t="s">
        <v>259</v>
      </c>
      <c r="J2531" t="s">
        <v>15893</v>
      </c>
    </row>
    <row r="2532" spans="1:10">
      <c r="A2532" s="1">
        <v>604660</v>
      </c>
      <c r="B2532" s="1">
        <v>2880029053</v>
      </c>
      <c r="C2532" s="1">
        <v>6</v>
      </c>
      <c r="D2532" s="1" t="s">
        <v>865</v>
      </c>
      <c r="E2532" t="s">
        <v>15892</v>
      </c>
      <c r="F2532" s="1">
        <v>731786</v>
      </c>
      <c r="G2532" s="1">
        <v>7056097622</v>
      </c>
      <c r="H2532" s="1">
        <v>9</v>
      </c>
      <c r="I2532" s="1" t="s">
        <v>259</v>
      </c>
      <c r="J2532" t="s">
        <v>15894</v>
      </c>
    </row>
    <row r="2533" spans="1:10">
      <c r="A2533" s="1">
        <v>603662</v>
      </c>
      <c r="B2533" s="1">
        <v>2880029741</v>
      </c>
      <c r="C2533" s="1">
        <v>12</v>
      </c>
      <c r="D2533" s="1" t="s">
        <v>381</v>
      </c>
      <c r="E2533" t="s">
        <v>15895</v>
      </c>
      <c r="F2533" s="1">
        <v>731778</v>
      </c>
      <c r="G2533" s="1">
        <v>7056097612</v>
      </c>
      <c r="H2533" s="1">
        <v>9</v>
      </c>
      <c r="I2533" s="1" t="s">
        <v>259</v>
      </c>
      <c r="J2533" t="s">
        <v>15896</v>
      </c>
    </row>
    <row r="2534" spans="1:10">
      <c r="A2534" s="1">
        <v>603605</v>
      </c>
      <c r="B2534" s="1">
        <v>2880029743</v>
      </c>
      <c r="C2534" s="1">
        <v>12</v>
      </c>
      <c r="D2534" s="1" t="s">
        <v>375</v>
      </c>
      <c r="E2534" t="s">
        <v>15895</v>
      </c>
      <c r="F2534" s="1">
        <v>605295</v>
      </c>
      <c r="G2534" s="1">
        <v>7056087280</v>
      </c>
      <c r="H2534" s="1">
        <v>6</v>
      </c>
      <c r="I2534" s="1" t="s">
        <v>375</v>
      </c>
      <c r="J2534" t="s">
        <v>15897</v>
      </c>
    </row>
    <row r="2535" spans="1:10">
      <c r="A2535" s="1">
        <v>603829</v>
      </c>
      <c r="B2535" s="1">
        <v>2880029281</v>
      </c>
      <c r="C2535" s="1">
        <v>12</v>
      </c>
      <c r="D2535" s="1" t="s">
        <v>259</v>
      </c>
      <c r="E2535" t="s">
        <v>15898</v>
      </c>
      <c r="F2535" s="1">
        <v>342576</v>
      </c>
      <c r="G2535" s="1">
        <v>7056087017</v>
      </c>
      <c r="H2535" s="1">
        <v>24</v>
      </c>
      <c r="I2535" s="1" t="s">
        <v>489</v>
      </c>
      <c r="J2535" t="s">
        <v>15899</v>
      </c>
    </row>
    <row r="2536" spans="1:10">
      <c r="A2536" s="1">
        <v>603696</v>
      </c>
      <c r="B2536" s="1">
        <v>2880029091</v>
      </c>
      <c r="C2536" s="1">
        <v>12</v>
      </c>
      <c r="D2536" s="1" t="s">
        <v>381</v>
      </c>
      <c r="E2536" t="s">
        <v>15900</v>
      </c>
      <c r="F2536" s="1">
        <v>238725</v>
      </c>
      <c r="G2536" s="1">
        <v>7056095656</v>
      </c>
      <c r="H2536" s="1">
        <v>9</v>
      </c>
      <c r="I2536" s="1" t="s">
        <v>259</v>
      </c>
      <c r="J2536" t="s">
        <v>15901</v>
      </c>
    </row>
    <row r="2537" spans="1:10">
      <c r="A2537" s="1">
        <v>603852</v>
      </c>
      <c r="B2537" s="1">
        <v>2880029541</v>
      </c>
      <c r="C2537" s="1">
        <v>12</v>
      </c>
      <c r="D2537" s="1" t="s">
        <v>259</v>
      </c>
      <c r="E2537" t="s">
        <v>15902</v>
      </c>
      <c r="F2537" s="1">
        <v>207068</v>
      </c>
      <c r="G2537" s="1">
        <v>7056096231</v>
      </c>
      <c r="H2537" s="1">
        <v>9</v>
      </c>
      <c r="I2537" s="1" t="s">
        <v>259</v>
      </c>
      <c r="J2537" t="s">
        <v>15903</v>
      </c>
    </row>
    <row r="2538" spans="1:10">
      <c r="A2538" s="1">
        <v>612770</v>
      </c>
      <c r="B2538" s="1">
        <v>1116211133</v>
      </c>
      <c r="C2538" s="1">
        <v>12</v>
      </c>
      <c r="D2538" s="1" t="s">
        <v>347</v>
      </c>
      <c r="E2538" t="s">
        <v>15904</v>
      </c>
      <c r="F2538" s="1">
        <v>362533</v>
      </c>
      <c r="G2538" s="1">
        <v>7056090316</v>
      </c>
      <c r="H2538" s="1">
        <v>9</v>
      </c>
      <c r="I2538" s="1" t="s">
        <v>259</v>
      </c>
      <c r="J2538" t="s">
        <v>15905</v>
      </c>
    </row>
    <row r="2539" spans="1:10">
      <c r="A2539" s="1">
        <v>603738</v>
      </c>
      <c r="B2539" s="1">
        <v>1312000473</v>
      </c>
      <c r="C2539" s="1">
        <v>12</v>
      </c>
      <c r="D2539" s="1" t="s">
        <v>347</v>
      </c>
      <c r="E2539" t="s">
        <v>15906</v>
      </c>
      <c r="F2539" s="1">
        <v>605535</v>
      </c>
      <c r="G2539" s="1">
        <v>7056095077</v>
      </c>
      <c r="H2539" s="1">
        <v>6</v>
      </c>
      <c r="I2539" s="1" t="s">
        <v>954</v>
      </c>
      <c r="J2539" t="s">
        <v>15907</v>
      </c>
    </row>
    <row r="2540" spans="1:10">
      <c r="A2540" s="1">
        <v>167700</v>
      </c>
      <c r="B2540" s="1">
        <v>7056097816</v>
      </c>
      <c r="C2540" s="1">
        <v>12</v>
      </c>
      <c r="D2540" s="1" t="s">
        <v>347</v>
      </c>
      <c r="E2540" t="s">
        <v>15908</v>
      </c>
      <c r="F2540" s="1">
        <v>638197</v>
      </c>
      <c r="G2540" s="1">
        <v>7056084803</v>
      </c>
      <c r="H2540" s="1">
        <v>9</v>
      </c>
      <c r="I2540" s="1" t="s">
        <v>259</v>
      </c>
      <c r="J2540" t="s">
        <v>15909</v>
      </c>
    </row>
    <row r="2541" spans="1:10">
      <c r="A2541" s="1">
        <v>638171</v>
      </c>
      <c r="B2541" s="1">
        <v>7056090965</v>
      </c>
      <c r="C2541" s="1">
        <v>9</v>
      </c>
      <c r="D2541" s="1" t="s">
        <v>379</v>
      </c>
      <c r="E2541" t="s">
        <v>15910</v>
      </c>
      <c r="F2541" s="1">
        <v>640938</v>
      </c>
      <c r="G2541" s="1">
        <v>1116664093</v>
      </c>
      <c r="H2541" s="1">
        <v>12</v>
      </c>
      <c r="I2541" s="1" t="s">
        <v>381</v>
      </c>
      <c r="J2541" t="s">
        <v>15911</v>
      </c>
    </row>
    <row r="2542" spans="1:10">
      <c r="A2542" s="1">
        <v>849398</v>
      </c>
      <c r="B2542" s="1">
        <v>7056092820</v>
      </c>
      <c r="C2542" s="1">
        <v>9</v>
      </c>
      <c r="D2542" s="1" t="s">
        <v>259</v>
      </c>
      <c r="E2542" t="s">
        <v>15912</v>
      </c>
      <c r="F2542" s="1">
        <v>403527</v>
      </c>
      <c r="G2542" s="1">
        <v>1116601383</v>
      </c>
      <c r="H2542" s="1">
        <v>12</v>
      </c>
      <c r="I2542" s="1" t="s">
        <v>347</v>
      </c>
      <c r="J2542" t="s">
        <v>15913</v>
      </c>
    </row>
    <row r="2543" spans="1:10">
      <c r="A2543" s="1">
        <v>638866</v>
      </c>
      <c r="B2543" s="1">
        <v>7056092501</v>
      </c>
      <c r="C2543" s="1">
        <v>9</v>
      </c>
      <c r="D2543" s="1" t="s">
        <v>259</v>
      </c>
      <c r="E2543" t="s">
        <v>15914</v>
      </c>
      <c r="F2543" s="1">
        <v>779074</v>
      </c>
      <c r="G2543" s="1">
        <v>1116601381</v>
      </c>
      <c r="H2543" s="1">
        <v>12</v>
      </c>
      <c r="I2543" s="1" t="s">
        <v>347</v>
      </c>
      <c r="J2543" t="s">
        <v>15915</v>
      </c>
    </row>
    <row r="2544" spans="1:10" ht="15.75">
      <c r="A2544" s="4" t="s">
        <v>15693</v>
      </c>
      <c r="B2544" s="2"/>
      <c r="C2544" s="2"/>
      <c r="D2544" s="2"/>
      <c r="E2544" s="3"/>
      <c r="F2544" s="4" t="s">
        <v>15693</v>
      </c>
      <c r="G2544" s="2"/>
      <c r="H2544" s="2"/>
      <c r="I2544" s="2"/>
      <c r="J2544" s="3"/>
    </row>
    <row r="2545" spans="1:10">
      <c r="A2545" s="2" t="s">
        <v>0</v>
      </c>
      <c r="B2545" s="2" t="s">
        <v>1</v>
      </c>
      <c r="C2545" s="2" t="s">
        <v>2</v>
      </c>
      <c r="D2545" s="2" t="s">
        <v>3</v>
      </c>
      <c r="E2545" s="3" t="s">
        <v>4</v>
      </c>
      <c r="F2545" s="2" t="s">
        <v>0</v>
      </c>
      <c r="G2545" s="2" t="s">
        <v>1</v>
      </c>
      <c r="H2545" s="2" t="s">
        <v>2</v>
      </c>
      <c r="I2545" s="2" t="s">
        <v>3</v>
      </c>
      <c r="J2545" s="3" t="s">
        <v>4</v>
      </c>
    </row>
    <row r="2546" spans="1:10">
      <c r="A2546" s="1">
        <v>824615</v>
      </c>
      <c r="B2546" s="1">
        <v>1116601382</v>
      </c>
      <c r="C2546" s="1">
        <v>12</v>
      </c>
      <c r="D2546" s="1" t="s">
        <v>347</v>
      </c>
      <c r="E2546" t="s">
        <v>15916</v>
      </c>
      <c r="F2546" s="1">
        <v>600494</v>
      </c>
      <c r="G2546" s="1">
        <v>1116660049</v>
      </c>
      <c r="H2546" s="1">
        <v>24</v>
      </c>
      <c r="I2546" s="1" t="s">
        <v>489</v>
      </c>
      <c r="J2546" t="s">
        <v>15917</v>
      </c>
    </row>
    <row r="2547" spans="1:10">
      <c r="A2547" s="1">
        <v>50161</v>
      </c>
      <c r="B2547" s="1">
        <v>1116601384</v>
      </c>
      <c r="C2547" s="1">
        <v>12</v>
      </c>
      <c r="D2547" s="1" t="s">
        <v>347</v>
      </c>
      <c r="E2547" t="s">
        <v>15918</v>
      </c>
      <c r="F2547" s="1">
        <v>605568</v>
      </c>
      <c r="G2547" s="1">
        <v>1116660556</v>
      </c>
      <c r="H2547" s="1">
        <v>12</v>
      </c>
      <c r="I2547" s="1" t="s">
        <v>489</v>
      </c>
      <c r="J2547" t="s">
        <v>15919</v>
      </c>
    </row>
    <row r="2548" spans="1:10">
      <c r="A2548" s="1">
        <v>613869</v>
      </c>
      <c r="B2548" s="1">
        <v>1116661386</v>
      </c>
      <c r="C2548" s="1">
        <v>12</v>
      </c>
      <c r="D2548" s="1" t="s">
        <v>381</v>
      </c>
      <c r="E2548" t="s">
        <v>15920</v>
      </c>
      <c r="F2548" s="1">
        <v>618108</v>
      </c>
      <c r="G2548" s="1">
        <v>1116661810</v>
      </c>
      <c r="H2548" s="1">
        <v>12</v>
      </c>
      <c r="I2548" s="1" t="s">
        <v>381</v>
      </c>
      <c r="J2548" t="s">
        <v>15921</v>
      </c>
    </row>
    <row r="2549" spans="1:10">
      <c r="A2549" s="1">
        <v>600999</v>
      </c>
      <c r="B2549" s="1">
        <v>1116660099</v>
      </c>
      <c r="C2549" s="1">
        <v>12</v>
      </c>
      <c r="D2549" s="1" t="s">
        <v>954</v>
      </c>
      <c r="E2549" t="s">
        <v>15920</v>
      </c>
      <c r="F2549" s="1">
        <v>600320</v>
      </c>
      <c r="G2549" s="1">
        <v>1116660032</v>
      </c>
      <c r="H2549" s="1">
        <v>24</v>
      </c>
      <c r="I2549" s="1" t="s">
        <v>489</v>
      </c>
      <c r="J2549" t="s">
        <v>15922</v>
      </c>
    </row>
    <row r="2550" spans="1:10">
      <c r="A2550" s="1">
        <v>235259</v>
      </c>
      <c r="B2550" s="1">
        <v>1116601380</v>
      </c>
      <c r="C2550" s="1">
        <v>12</v>
      </c>
      <c r="D2550" s="1" t="s">
        <v>347</v>
      </c>
      <c r="E2550" t="s">
        <v>15923</v>
      </c>
      <c r="F2550" s="1">
        <v>605642</v>
      </c>
      <c r="G2550" s="1">
        <v>1116660564</v>
      </c>
      <c r="H2550" s="1">
        <v>12</v>
      </c>
      <c r="I2550" s="1" t="s">
        <v>381</v>
      </c>
      <c r="J2550" t="s">
        <v>15924</v>
      </c>
    </row>
    <row r="2551" spans="1:10">
      <c r="A2551" s="1">
        <v>613976</v>
      </c>
      <c r="B2551" s="1">
        <v>1116661397</v>
      </c>
      <c r="C2551" s="1">
        <v>12</v>
      </c>
      <c r="D2551" s="1" t="s">
        <v>381</v>
      </c>
      <c r="E2551" t="s">
        <v>15923</v>
      </c>
      <c r="F2551" s="1">
        <v>601021</v>
      </c>
      <c r="G2551" s="1">
        <v>1116660102</v>
      </c>
      <c r="H2551" s="1">
        <v>12</v>
      </c>
      <c r="I2551" s="1" t="s">
        <v>375</v>
      </c>
      <c r="J2551" t="s">
        <v>15925</v>
      </c>
    </row>
    <row r="2552" spans="1:10">
      <c r="A2552" s="1">
        <v>600072</v>
      </c>
      <c r="B2552" s="1">
        <v>1116660007</v>
      </c>
      <c r="C2552" s="1">
        <v>24</v>
      </c>
      <c r="D2552" s="1" t="s">
        <v>489</v>
      </c>
      <c r="E2552" t="s">
        <v>15926</v>
      </c>
      <c r="F2552" s="1">
        <v>605527</v>
      </c>
      <c r="G2552" s="1">
        <v>1116660552</v>
      </c>
      <c r="H2552" s="1">
        <v>12</v>
      </c>
      <c r="I2552" s="1" t="s">
        <v>381</v>
      </c>
      <c r="J2552" t="s">
        <v>15927</v>
      </c>
    </row>
    <row r="2553" spans="1:10">
      <c r="A2553" s="1">
        <v>731836</v>
      </c>
      <c r="B2553" s="1">
        <v>1116601285</v>
      </c>
      <c r="C2553" s="1">
        <v>12</v>
      </c>
      <c r="D2553" s="1" t="s">
        <v>381</v>
      </c>
      <c r="E2553" t="s">
        <v>15926</v>
      </c>
      <c r="F2553" s="1">
        <v>600338</v>
      </c>
      <c r="G2553" s="1">
        <v>1116660033</v>
      </c>
      <c r="H2553" s="1">
        <v>24</v>
      </c>
      <c r="I2553" s="1" t="s">
        <v>489</v>
      </c>
      <c r="J2553" t="s">
        <v>15928</v>
      </c>
    </row>
    <row r="2554" spans="1:10">
      <c r="A2554" s="1">
        <v>88922</v>
      </c>
      <c r="B2554" s="1">
        <v>1116601379</v>
      </c>
      <c r="C2554" s="1">
        <v>12</v>
      </c>
      <c r="D2554" s="1" t="s">
        <v>347</v>
      </c>
      <c r="E2554" t="s">
        <v>15929</v>
      </c>
      <c r="F2554" s="1">
        <v>731802</v>
      </c>
      <c r="G2554" s="1">
        <v>1116662531</v>
      </c>
      <c r="H2554" s="1">
        <v>12</v>
      </c>
      <c r="I2554" s="1" t="s">
        <v>381</v>
      </c>
      <c r="J2554" t="s">
        <v>15930</v>
      </c>
    </row>
    <row r="2555" spans="1:10">
      <c r="A2555" s="1">
        <v>600106</v>
      </c>
      <c r="B2555" s="1">
        <v>1116660010</v>
      </c>
      <c r="C2555" s="1">
        <v>24</v>
      </c>
      <c r="D2555" s="1" t="s">
        <v>489</v>
      </c>
      <c r="E2555" t="s">
        <v>15931</v>
      </c>
      <c r="F2555" s="1">
        <v>731828</v>
      </c>
      <c r="G2555" s="1">
        <v>1116662549</v>
      </c>
      <c r="H2555" s="1">
        <v>12</v>
      </c>
      <c r="I2555" s="1" t="s">
        <v>381</v>
      </c>
      <c r="J2555" t="s">
        <v>15932</v>
      </c>
    </row>
    <row r="2556" spans="1:10">
      <c r="A2556" s="1">
        <v>612713</v>
      </c>
      <c r="B2556" s="1">
        <v>1116661271</v>
      </c>
      <c r="C2556" s="1">
        <v>12</v>
      </c>
      <c r="D2556" s="1" t="s">
        <v>381</v>
      </c>
      <c r="E2556" t="s">
        <v>15931</v>
      </c>
      <c r="F2556" s="1">
        <v>730010</v>
      </c>
      <c r="G2556" s="1">
        <v>1116601302</v>
      </c>
      <c r="H2556" s="1">
        <v>12</v>
      </c>
      <c r="I2556" s="1" t="s">
        <v>381</v>
      </c>
      <c r="J2556" t="s">
        <v>15933</v>
      </c>
    </row>
    <row r="2557" spans="1:10">
      <c r="A2557" s="1">
        <v>612481</v>
      </c>
      <c r="B2557" s="1">
        <v>1116661248</v>
      </c>
      <c r="C2557" s="1">
        <v>12</v>
      </c>
      <c r="D2557" s="1" t="s">
        <v>381</v>
      </c>
      <c r="E2557" t="s">
        <v>15934</v>
      </c>
      <c r="F2557" s="1">
        <v>600569</v>
      </c>
      <c r="G2557" s="1">
        <v>1116660056</v>
      </c>
      <c r="H2557" s="1">
        <v>12</v>
      </c>
      <c r="I2557" s="1" t="s">
        <v>381</v>
      </c>
      <c r="J2557" t="s">
        <v>15935</v>
      </c>
    </row>
    <row r="2558" spans="1:10">
      <c r="A2558" s="1">
        <v>600551</v>
      </c>
      <c r="B2558" s="1">
        <v>1116660055</v>
      </c>
      <c r="C2558" s="1">
        <v>12</v>
      </c>
      <c r="D2558" s="1" t="s">
        <v>381</v>
      </c>
      <c r="E2558" t="s">
        <v>15936</v>
      </c>
      <c r="F2558" s="1">
        <v>600254</v>
      </c>
      <c r="G2558" s="1">
        <v>1116660025</v>
      </c>
      <c r="H2558" s="1">
        <v>24</v>
      </c>
      <c r="I2558" s="1" t="s">
        <v>489</v>
      </c>
      <c r="J2558" t="s">
        <v>15937</v>
      </c>
    </row>
    <row r="2559" spans="1:10">
      <c r="A2559" s="1">
        <v>605808</v>
      </c>
      <c r="B2559" s="1">
        <v>1116660580</v>
      </c>
      <c r="C2559" s="1">
        <v>12</v>
      </c>
      <c r="D2559" s="1" t="s">
        <v>381</v>
      </c>
      <c r="E2559" t="s">
        <v>15938</v>
      </c>
      <c r="F2559" s="1">
        <v>612473</v>
      </c>
      <c r="G2559" s="1">
        <v>1116661247</v>
      </c>
      <c r="H2559" s="1">
        <v>12</v>
      </c>
      <c r="I2559" s="1" t="s">
        <v>381</v>
      </c>
      <c r="J2559" t="s">
        <v>15939</v>
      </c>
    </row>
    <row r="2560" spans="1:10">
      <c r="A2560" s="1">
        <v>618116</v>
      </c>
      <c r="B2560" s="1">
        <v>1116661811</v>
      </c>
      <c r="C2560" s="1">
        <v>12</v>
      </c>
      <c r="D2560" s="1" t="s">
        <v>381</v>
      </c>
      <c r="E2560" t="s">
        <v>15940</v>
      </c>
      <c r="F2560" s="1">
        <v>613844</v>
      </c>
      <c r="G2560" s="1">
        <v>1116661384</v>
      </c>
      <c r="H2560" s="1">
        <v>12</v>
      </c>
      <c r="I2560" s="1" t="s">
        <v>381</v>
      </c>
      <c r="J2560" t="s">
        <v>15941</v>
      </c>
    </row>
    <row r="2561" spans="1:10">
      <c r="A2561" s="1">
        <v>600080</v>
      </c>
      <c r="B2561" s="1">
        <v>1116660008</v>
      </c>
      <c r="C2561" s="1">
        <v>24</v>
      </c>
      <c r="D2561" s="1" t="s">
        <v>489</v>
      </c>
      <c r="E2561" t="s">
        <v>15942</v>
      </c>
      <c r="F2561" s="1">
        <v>645267</v>
      </c>
      <c r="G2561" s="1">
        <v>1116664526</v>
      </c>
      <c r="H2561" s="1">
        <v>12</v>
      </c>
      <c r="I2561" s="1" t="s">
        <v>381</v>
      </c>
      <c r="J2561" t="s">
        <v>15943</v>
      </c>
    </row>
    <row r="2562" spans="1:10">
      <c r="A2562" s="1">
        <v>600395</v>
      </c>
      <c r="B2562" s="1">
        <v>1116660039</v>
      </c>
      <c r="C2562" s="1">
        <v>24</v>
      </c>
      <c r="D2562" s="1" t="s">
        <v>489</v>
      </c>
      <c r="E2562" t="s">
        <v>15944</v>
      </c>
      <c r="F2562" s="1">
        <v>645242</v>
      </c>
      <c r="G2562" s="1">
        <v>1116664524</v>
      </c>
      <c r="H2562" s="1">
        <v>12</v>
      </c>
      <c r="I2562" s="1" t="s">
        <v>381</v>
      </c>
      <c r="J2562" t="s">
        <v>15945</v>
      </c>
    </row>
    <row r="2563" spans="1:10">
      <c r="A2563" s="1">
        <v>600171</v>
      </c>
      <c r="B2563" s="1">
        <v>1116660017</v>
      </c>
      <c r="C2563" s="1">
        <v>12</v>
      </c>
      <c r="D2563" s="1" t="s">
        <v>381</v>
      </c>
      <c r="E2563" t="s">
        <v>4082</v>
      </c>
      <c r="F2563" s="1">
        <v>613851</v>
      </c>
      <c r="G2563" s="1">
        <v>1116661385</v>
      </c>
      <c r="H2563" s="1">
        <v>12</v>
      </c>
      <c r="I2563" s="1" t="s">
        <v>381</v>
      </c>
      <c r="J2563" t="s">
        <v>15946</v>
      </c>
    </row>
    <row r="2564" spans="1:10">
      <c r="A2564" s="1">
        <v>600411</v>
      </c>
      <c r="B2564" s="1">
        <v>1116660041</v>
      </c>
      <c r="C2564" s="1">
        <v>24</v>
      </c>
      <c r="D2564" s="1" t="s">
        <v>489</v>
      </c>
      <c r="E2564" t="s">
        <v>15947</v>
      </c>
      <c r="F2564" s="1">
        <v>605550</v>
      </c>
      <c r="G2564" s="1">
        <v>1116660555</v>
      </c>
      <c r="H2564" s="1">
        <v>12</v>
      </c>
      <c r="I2564" s="1" t="s">
        <v>381</v>
      </c>
      <c r="J2564" t="s">
        <v>15948</v>
      </c>
    </row>
    <row r="2565" spans="1:10">
      <c r="A2565" s="1">
        <v>600882</v>
      </c>
      <c r="B2565" s="1">
        <v>1116660088</v>
      </c>
      <c r="C2565" s="1">
        <v>12</v>
      </c>
      <c r="D2565" s="1" t="s">
        <v>6</v>
      </c>
      <c r="E2565" t="s">
        <v>15949</v>
      </c>
      <c r="F2565" s="1">
        <v>618124</v>
      </c>
      <c r="G2565" s="1">
        <v>1116661812</v>
      </c>
      <c r="H2565" s="1">
        <v>12</v>
      </c>
      <c r="I2565" s="1" t="s">
        <v>381</v>
      </c>
      <c r="J2565" t="s">
        <v>15950</v>
      </c>
    </row>
    <row r="2566" spans="1:10">
      <c r="A2566" s="1">
        <v>600544</v>
      </c>
      <c r="B2566" s="1">
        <v>1116660054</v>
      </c>
      <c r="C2566" s="1">
        <v>12</v>
      </c>
      <c r="D2566" s="1" t="s">
        <v>448</v>
      </c>
      <c r="E2566" t="s">
        <v>15949</v>
      </c>
      <c r="F2566" s="1">
        <v>613836</v>
      </c>
      <c r="G2566" s="1">
        <v>1116661383</v>
      </c>
      <c r="H2566" s="1">
        <v>12</v>
      </c>
      <c r="I2566" s="1" t="s">
        <v>381</v>
      </c>
      <c r="J2566" t="s">
        <v>15951</v>
      </c>
    </row>
    <row r="2567" spans="1:10">
      <c r="A2567" s="1">
        <v>618611</v>
      </c>
      <c r="B2567" s="1">
        <v>1116661861</v>
      </c>
      <c r="C2567" s="1">
        <v>12</v>
      </c>
      <c r="D2567" s="1" t="s">
        <v>7</v>
      </c>
      <c r="E2567" t="s">
        <v>15952</v>
      </c>
      <c r="F2567" s="1">
        <v>648055</v>
      </c>
      <c r="G2567" s="1">
        <v>83418300101</v>
      </c>
      <c r="H2567" s="1">
        <v>12</v>
      </c>
      <c r="I2567" s="1" t="s">
        <v>381</v>
      </c>
      <c r="J2567" t="s">
        <v>15953</v>
      </c>
    </row>
    <row r="2568" spans="1:10">
      <c r="A2568" s="1">
        <v>613885</v>
      </c>
      <c r="B2568" s="1">
        <v>1116661388</v>
      </c>
      <c r="C2568" s="1">
        <v>12</v>
      </c>
      <c r="D2568" s="1" t="s">
        <v>381</v>
      </c>
      <c r="E2568" t="s">
        <v>15954</v>
      </c>
      <c r="F2568" s="1">
        <v>556803</v>
      </c>
      <c r="G2568" s="1">
        <v>83418300111</v>
      </c>
      <c r="H2568" s="1">
        <v>12</v>
      </c>
      <c r="I2568" s="1" t="s">
        <v>910</v>
      </c>
      <c r="J2568" t="s">
        <v>15955</v>
      </c>
    </row>
    <row r="2569" spans="1:10">
      <c r="A2569" s="1">
        <v>600957</v>
      </c>
      <c r="B2569" s="1">
        <v>1116660095</v>
      </c>
      <c r="C2569" s="1">
        <v>12</v>
      </c>
      <c r="D2569" s="1" t="s">
        <v>375</v>
      </c>
      <c r="E2569" t="s">
        <v>15956</v>
      </c>
      <c r="F2569" s="1">
        <v>555441</v>
      </c>
      <c r="G2569" s="1">
        <v>83418300105</v>
      </c>
      <c r="H2569" s="1">
        <v>12</v>
      </c>
      <c r="I2569" s="1" t="s">
        <v>363</v>
      </c>
      <c r="J2569" t="s">
        <v>15957</v>
      </c>
    </row>
    <row r="2570" spans="1:10">
      <c r="A2570" s="1">
        <v>618355</v>
      </c>
      <c r="B2570" s="1">
        <v>1116660432</v>
      </c>
      <c r="C2570" s="1">
        <v>6</v>
      </c>
      <c r="D2570" s="1" t="s">
        <v>865</v>
      </c>
      <c r="E2570" t="s">
        <v>15956</v>
      </c>
      <c r="F2570" s="1">
        <v>495853</v>
      </c>
      <c r="G2570" s="1">
        <v>83418300702</v>
      </c>
      <c r="H2570" s="1">
        <v>12</v>
      </c>
      <c r="I2570" s="1" t="s">
        <v>1198</v>
      </c>
      <c r="J2570" t="s">
        <v>15958</v>
      </c>
    </row>
    <row r="2571" spans="1:10">
      <c r="A2571" s="1">
        <v>618702</v>
      </c>
      <c r="B2571" s="1">
        <v>1116660319</v>
      </c>
      <c r="C2571" s="1">
        <v>6</v>
      </c>
      <c r="D2571" s="1" t="s">
        <v>865</v>
      </c>
      <c r="E2571" t="s">
        <v>3742</v>
      </c>
      <c r="F2571" s="1">
        <v>303644</v>
      </c>
      <c r="G2571" s="1">
        <v>83418300701</v>
      </c>
      <c r="H2571" s="1">
        <v>12</v>
      </c>
      <c r="I2571" s="1" t="s">
        <v>439</v>
      </c>
      <c r="J2571" t="s">
        <v>15959</v>
      </c>
    </row>
    <row r="2572" spans="1:10">
      <c r="A2572" s="1">
        <v>600148</v>
      </c>
      <c r="B2572" s="1">
        <v>1116660014</v>
      </c>
      <c r="C2572" s="1">
        <v>24</v>
      </c>
      <c r="D2572" s="1" t="s">
        <v>489</v>
      </c>
      <c r="E2572" t="s">
        <v>15960</v>
      </c>
      <c r="F2572" s="1">
        <v>891457</v>
      </c>
      <c r="G2572" s="1">
        <v>83418300709</v>
      </c>
      <c r="H2572" s="1">
        <v>12</v>
      </c>
      <c r="I2572" s="1" t="s">
        <v>1198</v>
      </c>
      <c r="J2572" t="s">
        <v>15961</v>
      </c>
    </row>
    <row r="2573" spans="1:10">
      <c r="A2573" s="1">
        <v>600155</v>
      </c>
      <c r="B2573" s="1">
        <v>1116660015</v>
      </c>
      <c r="C2573" s="1">
        <v>24</v>
      </c>
      <c r="D2573" s="1" t="s">
        <v>546</v>
      </c>
      <c r="E2573" t="s">
        <v>3745</v>
      </c>
      <c r="F2573" s="1">
        <v>48165</v>
      </c>
      <c r="G2573" s="1">
        <v>83418300712</v>
      </c>
      <c r="H2573" s="1">
        <v>12</v>
      </c>
      <c r="I2573" s="1" t="s">
        <v>938</v>
      </c>
      <c r="J2573" t="s">
        <v>15962</v>
      </c>
    </row>
    <row r="2574" spans="1:10">
      <c r="A2574" s="1">
        <v>600981</v>
      </c>
      <c r="B2574" s="1">
        <v>1116660098</v>
      </c>
      <c r="C2574" s="1">
        <v>12</v>
      </c>
      <c r="D2574" s="1" t="s">
        <v>375</v>
      </c>
      <c r="E2574" t="s">
        <v>15963</v>
      </c>
      <c r="F2574" s="1">
        <v>337402</v>
      </c>
      <c r="G2574" s="1">
        <v>83418300102</v>
      </c>
      <c r="H2574" s="1">
        <v>12</v>
      </c>
      <c r="I2574" s="1" t="s">
        <v>910</v>
      </c>
      <c r="J2574" t="s">
        <v>15964</v>
      </c>
    </row>
    <row r="2575" spans="1:10">
      <c r="A2575" s="1">
        <v>618314</v>
      </c>
      <c r="B2575" s="1">
        <v>1116660519</v>
      </c>
      <c r="C2575" s="1">
        <v>6</v>
      </c>
      <c r="D2575" s="1" t="s">
        <v>865</v>
      </c>
      <c r="E2575" t="s">
        <v>15963</v>
      </c>
      <c r="F2575" s="1">
        <v>266155</v>
      </c>
      <c r="G2575" s="1">
        <v>3680010446</v>
      </c>
      <c r="H2575" s="1">
        <v>12</v>
      </c>
      <c r="I2575" s="1" t="s">
        <v>375</v>
      </c>
      <c r="J2575" t="s">
        <v>15965</v>
      </c>
    </row>
    <row r="2576" spans="1:10">
      <c r="A2576" s="1">
        <v>600676</v>
      </c>
      <c r="B2576" s="1">
        <v>1116660067</v>
      </c>
      <c r="C2576" s="1">
        <v>12</v>
      </c>
      <c r="D2576" s="1" t="s">
        <v>381</v>
      </c>
      <c r="E2576" t="s">
        <v>15966</v>
      </c>
      <c r="F2576" s="1">
        <v>605725</v>
      </c>
      <c r="G2576" s="1">
        <v>7117930505</v>
      </c>
      <c r="H2576" s="1">
        <v>12</v>
      </c>
      <c r="I2576" s="1" t="s">
        <v>938</v>
      </c>
      <c r="J2576" t="s">
        <v>15967</v>
      </c>
    </row>
    <row r="2577" spans="1:10">
      <c r="A2577" s="1">
        <v>600650</v>
      </c>
      <c r="B2577" s="1">
        <v>1116660065</v>
      </c>
      <c r="C2577" s="1">
        <v>12</v>
      </c>
      <c r="D2577" s="1" t="s">
        <v>381</v>
      </c>
      <c r="E2577" t="s">
        <v>4083</v>
      </c>
      <c r="F2577" s="1">
        <v>634030</v>
      </c>
      <c r="G2577" s="1">
        <v>7271407041</v>
      </c>
      <c r="H2577" s="1">
        <v>12</v>
      </c>
      <c r="I2577" s="1" t="s">
        <v>375</v>
      </c>
      <c r="J2577" t="s">
        <v>15968</v>
      </c>
    </row>
    <row r="2578" spans="1:10">
      <c r="A2578" s="1">
        <v>600387</v>
      </c>
      <c r="B2578" s="1">
        <v>1116660038</v>
      </c>
      <c r="C2578" s="1">
        <v>24</v>
      </c>
      <c r="D2578" s="1" t="s">
        <v>489</v>
      </c>
      <c r="E2578" t="s">
        <v>15969</v>
      </c>
      <c r="F2578" s="1">
        <v>565309</v>
      </c>
      <c r="G2578" s="1">
        <v>7271403815</v>
      </c>
      <c r="H2578" s="1">
        <v>12</v>
      </c>
      <c r="I2578" s="1" t="s">
        <v>439</v>
      </c>
      <c r="J2578" t="s">
        <v>15970</v>
      </c>
    </row>
    <row r="2579" spans="1:10">
      <c r="A2579" s="1">
        <v>600965</v>
      </c>
      <c r="B2579" s="1">
        <v>1116660096</v>
      </c>
      <c r="C2579" s="1">
        <v>12</v>
      </c>
      <c r="D2579" s="1" t="s">
        <v>375</v>
      </c>
      <c r="E2579" t="s">
        <v>4812</v>
      </c>
      <c r="F2579" s="1">
        <v>626291</v>
      </c>
      <c r="G2579" s="1">
        <v>7271401635</v>
      </c>
      <c r="H2579" s="1">
        <v>12</v>
      </c>
      <c r="I2579" s="1" t="s">
        <v>637</v>
      </c>
      <c r="J2579" t="s">
        <v>15971</v>
      </c>
    </row>
    <row r="2580" spans="1:10">
      <c r="A2580" s="1">
        <v>600023</v>
      </c>
      <c r="B2580" s="1">
        <v>1116660002</v>
      </c>
      <c r="C2580" s="1">
        <v>12</v>
      </c>
      <c r="D2580" s="1" t="s">
        <v>381</v>
      </c>
      <c r="E2580" t="s">
        <v>15972</v>
      </c>
      <c r="F2580" s="1">
        <v>632513</v>
      </c>
      <c r="G2580" s="1">
        <v>7271403733</v>
      </c>
      <c r="H2580" s="1">
        <v>12</v>
      </c>
      <c r="I2580" s="1" t="s">
        <v>439</v>
      </c>
      <c r="J2580" t="s">
        <v>15973</v>
      </c>
    </row>
    <row r="2581" spans="1:10">
      <c r="A2581" s="1">
        <v>618652</v>
      </c>
      <c r="B2581" s="1">
        <v>1116660326</v>
      </c>
      <c r="C2581" s="1">
        <v>6</v>
      </c>
      <c r="D2581" s="1" t="s">
        <v>865</v>
      </c>
      <c r="E2581" t="s">
        <v>15974</v>
      </c>
      <c r="F2581" s="1">
        <v>625384</v>
      </c>
      <c r="G2581" s="1">
        <v>7271400646</v>
      </c>
      <c r="H2581" s="1">
        <v>12</v>
      </c>
      <c r="I2581" s="1" t="s">
        <v>637</v>
      </c>
      <c r="J2581" t="s">
        <v>15975</v>
      </c>
    </row>
    <row r="2582" spans="1:10">
      <c r="A2582" s="1">
        <v>600973</v>
      </c>
      <c r="B2582" s="1">
        <v>1116660097</v>
      </c>
      <c r="C2582" s="1">
        <v>12</v>
      </c>
      <c r="D2582" s="1" t="s">
        <v>375</v>
      </c>
      <c r="E2582" t="s">
        <v>3826</v>
      </c>
      <c r="F2582" s="1">
        <v>469718</v>
      </c>
      <c r="G2582" s="1">
        <v>7271404569</v>
      </c>
      <c r="H2582" s="1">
        <v>12</v>
      </c>
      <c r="I2582" s="1" t="s">
        <v>381</v>
      </c>
      <c r="J2582" t="s">
        <v>15976</v>
      </c>
    </row>
    <row r="2583" spans="1:10">
      <c r="A2583" s="1">
        <v>600577</v>
      </c>
      <c r="B2583" s="1">
        <v>1116660057</v>
      </c>
      <c r="C2583" s="1">
        <v>12</v>
      </c>
      <c r="D2583" s="1" t="s">
        <v>381</v>
      </c>
      <c r="E2583" t="s">
        <v>15977</v>
      </c>
      <c r="F2583" s="1">
        <v>624650</v>
      </c>
      <c r="G2583" s="1">
        <v>7271493382</v>
      </c>
      <c r="H2583" s="1">
        <v>12</v>
      </c>
      <c r="I2583" s="1" t="s">
        <v>637</v>
      </c>
      <c r="J2583" t="s">
        <v>15978</v>
      </c>
    </row>
    <row r="2584" spans="1:10">
      <c r="A2584" s="1">
        <v>618090</v>
      </c>
      <c r="B2584" s="1">
        <v>1116661809</v>
      </c>
      <c r="C2584" s="1">
        <v>12</v>
      </c>
      <c r="D2584" s="1" t="s">
        <v>381</v>
      </c>
      <c r="E2584" t="s">
        <v>15979</v>
      </c>
      <c r="F2584" s="1">
        <v>633958</v>
      </c>
      <c r="G2584" s="1">
        <v>7271407047</v>
      </c>
      <c r="H2584" s="1">
        <v>12</v>
      </c>
      <c r="I2584" s="1" t="s">
        <v>375</v>
      </c>
      <c r="J2584" t="s">
        <v>15980</v>
      </c>
    </row>
    <row r="2585" spans="1:10" ht="15.75">
      <c r="A2585" s="4" t="s">
        <v>15693</v>
      </c>
      <c r="B2585" s="2"/>
      <c r="C2585" s="2"/>
      <c r="D2585" s="2"/>
      <c r="E2585" s="3"/>
      <c r="F2585" s="4" t="s">
        <v>15693</v>
      </c>
      <c r="G2585" s="2"/>
      <c r="H2585" s="2"/>
      <c r="I2585" s="2"/>
      <c r="J2585" s="3"/>
    </row>
    <row r="2586" spans="1:10">
      <c r="A2586" s="2" t="s">
        <v>0</v>
      </c>
      <c r="B2586" s="2" t="s">
        <v>1</v>
      </c>
      <c r="C2586" s="2" t="s">
        <v>2</v>
      </c>
      <c r="D2586" s="2" t="s">
        <v>3</v>
      </c>
      <c r="E2586" s="3" t="s">
        <v>4</v>
      </c>
      <c r="F2586" s="2" t="s">
        <v>0</v>
      </c>
      <c r="G2586" s="2" t="s">
        <v>1</v>
      </c>
      <c r="H2586" s="2" t="s">
        <v>2</v>
      </c>
      <c r="I2586" s="2" t="s">
        <v>3</v>
      </c>
      <c r="J2586" s="3" t="s">
        <v>4</v>
      </c>
    </row>
    <row r="2587" spans="1:10">
      <c r="A2587" s="1">
        <v>634311</v>
      </c>
      <c r="B2587" s="1">
        <v>7271407164</v>
      </c>
      <c r="C2587" s="1">
        <v>12</v>
      </c>
      <c r="D2587" s="1" t="s">
        <v>954</v>
      </c>
      <c r="E2587" t="s">
        <v>15981</v>
      </c>
      <c r="F2587" s="1">
        <v>385898</v>
      </c>
      <c r="G2587" s="1">
        <v>1312001879</v>
      </c>
      <c r="H2587" s="1">
        <v>12</v>
      </c>
      <c r="I2587" s="1" t="s">
        <v>938</v>
      </c>
      <c r="J2587" t="s">
        <v>15982</v>
      </c>
    </row>
    <row r="2588" spans="1:10">
      <c r="A2588" s="1">
        <v>610857</v>
      </c>
      <c r="B2588" s="1">
        <v>4116400821</v>
      </c>
      <c r="C2588" s="1">
        <v>6</v>
      </c>
      <c r="D2588" s="1" t="s">
        <v>4815</v>
      </c>
      <c r="E2588" t="s">
        <v>15983</v>
      </c>
      <c r="F2588" s="1">
        <v>178558</v>
      </c>
      <c r="G2588" s="1">
        <v>1312000286</v>
      </c>
      <c r="H2588" s="1">
        <v>12</v>
      </c>
      <c r="I2588" s="1" t="s">
        <v>375</v>
      </c>
      <c r="J2588" t="s">
        <v>15984</v>
      </c>
    </row>
    <row r="2589" spans="1:10">
      <c r="A2589" s="1">
        <v>610667</v>
      </c>
      <c r="B2589" s="1">
        <v>4116400022</v>
      </c>
      <c r="C2589" s="1">
        <v>12</v>
      </c>
      <c r="D2589" s="1" t="s">
        <v>15985</v>
      </c>
      <c r="E2589" t="s">
        <v>15986</v>
      </c>
      <c r="F2589" s="1">
        <v>501197</v>
      </c>
      <c r="G2589" s="1">
        <v>1312000258</v>
      </c>
      <c r="H2589" s="1">
        <v>12</v>
      </c>
      <c r="I2589" s="1" t="s">
        <v>375</v>
      </c>
      <c r="J2589" t="s">
        <v>15987</v>
      </c>
    </row>
    <row r="2590" spans="1:10">
      <c r="A2590" s="1">
        <v>610659</v>
      </c>
      <c r="B2590" s="1">
        <v>4116400066</v>
      </c>
      <c r="C2590" s="1">
        <v>12</v>
      </c>
      <c r="D2590" s="1" t="s">
        <v>381</v>
      </c>
      <c r="E2590" t="s">
        <v>15988</v>
      </c>
      <c r="F2590" s="1">
        <v>491928</v>
      </c>
      <c r="G2590" s="1">
        <v>1312000787</v>
      </c>
      <c r="H2590" s="1">
        <v>12</v>
      </c>
      <c r="I2590" s="1" t="s">
        <v>439</v>
      </c>
      <c r="J2590" t="s">
        <v>15989</v>
      </c>
    </row>
    <row r="2591" spans="1:10">
      <c r="A2591" s="1">
        <v>605071</v>
      </c>
      <c r="B2591" s="1">
        <v>1312001064</v>
      </c>
      <c r="C2591" s="1">
        <v>12</v>
      </c>
      <c r="D2591" s="1" t="s">
        <v>489</v>
      </c>
      <c r="E2591" t="s">
        <v>15990</v>
      </c>
      <c r="F2591" s="1">
        <v>666727</v>
      </c>
      <c r="G2591" s="1">
        <v>1312000784</v>
      </c>
      <c r="H2591" s="1">
        <v>12</v>
      </c>
      <c r="I2591" s="1" t="s">
        <v>439</v>
      </c>
      <c r="J2591" t="s">
        <v>15991</v>
      </c>
    </row>
    <row r="2592" spans="1:10">
      <c r="A2592" s="1">
        <v>601807</v>
      </c>
      <c r="B2592" s="1">
        <v>1312001428</v>
      </c>
      <c r="C2592" s="1">
        <v>12</v>
      </c>
      <c r="D2592" s="1" t="s">
        <v>381</v>
      </c>
      <c r="E2592" t="s">
        <v>15992</v>
      </c>
      <c r="F2592" s="1">
        <v>220129</v>
      </c>
      <c r="G2592" s="1">
        <v>1312000082</v>
      </c>
      <c r="H2592" s="1">
        <v>12</v>
      </c>
      <c r="I2592" s="1" t="s">
        <v>375</v>
      </c>
      <c r="J2592" t="s">
        <v>15993</v>
      </c>
    </row>
    <row r="2593" spans="1:10">
      <c r="A2593" s="1">
        <v>604462</v>
      </c>
      <c r="B2593" s="1">
        <v>1312000428</v>
      </c>
      <c r="C2593" s="1">
        <v>12</v>
      </c>
      <c r="D2593" s="1" t="s">
        <v>954</v>
      </c>
      <c r="E2593" t="s">
        <v>15994</v>
      </c>
      <c r="F2593" s="1">
        <v>159004</v>
      </c>
      <c r="G2593" s="1">
        <v>1312000786</v>
      </c>
      <c r="H2593" s="1">
        <v>12</v>
      </c>
      <c r="I2593" s="1" t="s">
        <v>439</v>
      </c>
      <c r="J2593" t="s">
        <v>15995</v>
      </c>
    </row>
    <row r="2594" spans="1:10">
      <c r="A2594" s="1">
        <v>618199</v>
      </c>
      <c r="B2594" s="1">
        <v>1312000833</v>
      </c>
      <c r="C2594" s="1">
        <v>12</v>
      </c>
      <c r="D2594" s="1" t="s">
        <v>469</v>
      </c>
      <c r="E2594" t="s">
        <v>15996</v>
      </c>
      <c r="F2594" s="1">
        <v>604157</v>
      </c>
      <c r="G2594" s="1">
        <v>1116660415</v>
      </c>
      <c r="H2594" s="1">
        <v>6</v>
      </c>
      <c r="I2594" s="1" t="s">
        <v>4650</v>
      </c>
      <c r="J2594" t="s">
        <v>15997</v>
      </c>
    </row>
    <row r="2595" spans="1:10">
      <c r="A2595" s="1">
        <v>632273</v>
      </c>
      <c r="B2595" s="1">
        <v>1312001461</v>
      </c>
      <c r="C2595" s="1">
        <v>12</v>
      </c>
      <c r="D2595" s="1" t="s">
        <v>469</v>
      </c>
      <c r="E2595" t="s">
        <v>15998</v>
      </c>
      <c r="F2595" s="1">
        <v>214189</v>
      </c>
      <c r="G2595" s="1">
        <v>1116601408</v>
      </c>
      <c r="H2595" s="1">
        <v>12</v>
      </c>
      <c r="I2595" s="1" t="s">
        <v>10</v>
      </c>
      <c r="J2595" t="s">
        <v>15999</v>
      </c>
    </row>
    <row r="2596" spans="1:10">
      <c r="A2596" s="1">
        <v>604645</v>
      </c>
      <c r="B2596" s="1">
        <v>1312001036</v>
      </c>
      <c r="C2596" s="1">
        <v>12</v>
      </c>
      <c r="D2596" s="1" t="s">
        <v>938</v>
      </c>
      <c r="E2596" t="s">
        <v>16000</v>
      </c>
      <c r="F2596" s="1">
        <v>603746</v>
      </c>
      <c r="G2596" s="1">
        <v>1116660374</v>
      </c>
      <c r="H2596" s="1">
        <v>12</v>
      </c>
      <c r="I2596" s="1" t="s">
        <v>381</v>
      </c>
      <c r="J2596" t="s">
        <v>16001</v>
      </c>
    </row>
    <row r="2597" spans="1:10">
      <c r="A2597" s="1">
        <v>604850</v>
      </c>
      <c r="B2597" s="1">
        <v>1312000133</v>
      </c>
      <c r="C2597" s="1">
        <v>12</v>
      </c>
      <c r="D2597" s="1" t="s">
        <v>469</v>
      </c>
      <c r="E2597" t="s">
        <v>16002</v>
      </c>
      <c r="F2597" s="1">
        <v>607044</v>
      </c>
      <c r="G2597" s="1">
        <v>1116660704</v>
      </c>
      <c r="H2597" s="1">
        <v>12</v>
      </c>
      <c r="I2597" s="1" t="s">
        <v>375</v>
      </c>
      <c r="J2597" t="s">
        <v>16003</v>
      </c>
    </row>
    <row r="2598" spans="1:10">
      <c r="A2598" s="1">
        <v>606889</v>
      </c>
      <c r="B2598" s="1">
        <v>1312000650</v>
      </c>
      <c r="C2598" s="1">
        <v>12</v>
      </c>
      <c r="D2598" s="1" t="s">
        <v>375</v>
      </c>
      <c r="E2598" t="s">
        <v>16004</v>
      </c>
      <c r="F2598" s="1">
        <v>605691</v>
      </c>
      <c r="G2598" s="1">
        <v>1116660569</v>
      </c>
      <c r="H2598" s="1">
        <v>12</v>
      </c>
      <c r="I2598" s="1" t="s">
        <v>469</v>
      </c>
      <c r="J2598" t="s">
        <v>16005</v>
      </c>
    </row>
    <row r="2599" spans="1:10">
      <c r="A2599" s="1">
        <v>607010</v>
      </c>
      <c r="B2599" s="1">
        <v>1312001260</v>
      </c>
      <c r="C2599" s="1">
        <v>12</v>
      </c>
      <c r="D2599" s="1" t="s">
        <v>637</v>
      </c>
      <c r="E2599" t="s">
        <v>16006</v>
      </c>
      <c r="F2599" s="1">
        <v>604132</v>
      </c>
      <c r="G2599" s="1">
        <v>1116660413</v>
      </c>
      <c r="H2599" s="1">
        <v>12</v>
      </c>
      <c r="I2599" s="1" t="s">
        <v>375</v>
      </c>
      <c r="J2599" t="s">
        <v>16007</v>
      </c>
    </row>
    <row r="2600" spans="1:10">
      <c r="A2600" s="1">
        <v>840504</v>
      </c>
      <c r="B2600" s="1">
        <v>1312001251</v>
      </c>
      <c r="C2600" s="1">
        <v>12</v>
      </c>
      <c r="D2600" s="1" t="s">
        <v>805</v>
      </c>
      <c r="E2600" t="s">
        <v>16008</v>
      </c>
      <c r="F2600" s="1">
        <v>604140</v>
      </c>
      <c r="G2600" s="1">
        <v>1116660414</v>
      </c>
      <c r="H2600" s="1">
        <v>12</v>
      </c>
      <c r="I2600" s="1" t="s">
        <v>375</v>
      </c>
      <c r="J2600" t="s">
        <v>16009</v>
      </c>
    </row>
    <row r="2601" spans="1:10">
      <c r="A2601" s="1">
        <v>609586</v>
      </c>
      <c r="B2601" s="1">
        <v>1312001417</v>
      </c>
      <c r="C2601" s="1">
        <v>12</v>
      </c>
      <c r="D2601" s="1" t="s">
        <v>637</v>
      </c>
      <c r="E2601" t="s">
        <v>16010</v>
      </c>
      <c r="F2601" s="1">
        <v>731638</v>
      </c>
      <c r="G2601" s="1">
        <v>1116660407</v>
      </c>
      <c r="H2601" s="1">
        <v>12</v>
      </c>
      <c r="I2601" s="1" t="s">
        <v>954</v>
      </c>
      <c r="J2601" t="s">
        <v>16011</v>
      </c>
    </row>
    <row r="2602" spans="1:10">
      <c r="A2602" s="1">
        <v>604447</v>
      </c>
      <c r="B2602" s="1">
        <v>1312000291</v>
      </c>
      <c r="C2602" s="1">
        <v>8</v>
      </c>
      <c r="D2602" s="1" t="s">
        <v>4658</v>
      </c>
      <c r="E2602" t="s">
        <v>16012</v>
      </c>
      <c r="F2602" s="1">
        <v>731646</v>
      </c>
      <c r="G2602" s="1">
        <v>1116660406</v>
      </c>
      <c r="H2602" s="1">
        <v>12</v>
      </c>
      <c r="I2602" s="1" t="s">
        <v>954</v>
      </c>
      <c r="J2602" t="s">
        <v>16013</v>
      </c>
    </row>
    <row r="2603" spans="1:10">
      <c r="A2603" s="1">
        <v>618678</v>
      </c>
      <c r="B2603" s="1">
        <v>1312008564</v>
      </c>
      <c r="C2603" s="1">
        <v>6</v>
      </c>
      <c r="D2603" s="1" t="s">
        <v>6760</v>
      </c>
      <c r="E2603" t="s">
        <v>16012</v>
      </c>
      <c r="F2603" s="1">
        <v>604199</v>
      </c>
      <c r="G2603" s="1">
        <v>1116660419</v>
      </c>
      <c r="H2603" s="1">
        <v>12</v>
      </c>
      <c r="I2603" s="1" t="s">
        <v>375</v>
      </c>
      <c r="J2603" t="s">
        <v>16014</v>
      </c>
    </row>
    <row r="2604" spans="1:10">
      <c r="A2604" s="1">
        <v>604967</v>
      </c>
      <c r="B2604" s="1">
        <v>1312000483</v>
      </c>
      <c r="C2604" s="1">
        <v>12</v>
      </c>
      <c r="D2604" s="1" t="s">
        <v>954</v>
      </c>
      <c r="E2604" t="s">
        <v>16015</v>
      </c>
      <c r="F2604" s="1">
        <v>604207</v>
      </c>
      <c r="G2604" s="1">
        <v>1116660420</v>
      </c>
      <c r="H2604" s="1">
        <v>12</v>
      </c>
      <c r="I2604" s="1" t="s">
        <v>375</v>
      </c>
      <c r="J2604" t="s">
        <v>16016</v>
      </c>
    </row>
    <row r="2605" spans="1:10">
      <c r="A2605" s="1">
        <v>604371</v>
      </c>
      <c r="B2605" s="1">
        <v>1312000392</v>
      </c>
      <c r="C2605" s="1">
        <v>12</v>
      </c>
      <c r="D2605" s="1" t="s">
        <v>375</v>
      </c>
      <c r="E2605" t="s">
        <v>16017</v>
      </c>
      <c r="F2605" s="1">
        <v>604702</v>
      </c>
      <c r="G2605" s="1">
        <v>4113030543</v>
      </c>
      <c r="H2605" s="1">
        <v>6</v>
      </c>
      <c r="I2605" s="1" t="s">
        <v>4650</v>
      </c>
      <c r="J2605" t="s">
        <v>16018</v>
      </c>
    </row>
    <row r="2606" spans="1:10">
      <c r="A2606" s="1">
        <v>605394</v>
      </c>
      <c r="B2606" s="1">
        <v>1312000026</v>
      </c>
      <c r="C2606" s="1">
        <v>12</v>
      </c>
      <c r="D2606" s="1" t="s">
        <v>954</v>
      </c>
      <c r="E2606" t="s">
        <v>16019</v>
      </c>
      <c r="F2606" s="1">
        <v>604249</v>
      </c>
      <c r="G2606" s="1">
        <v>4113030540</v>
      </c>
      <c r="H2606" s="1">
        <v>6</v>
      </c>
      <c r="I2606" s="1" t="s">
        <v>4650</v>
      </c>
      <c r="J2606" t="s">
        <v>16020</v>
      </c>
    </row>
    <row r="2607" spans="1:10">
      <c r="A2607" s="1">
        <v>604090</v>
      </c>
      <c r="B2607" s="1">
        <v>1312000856</v>
      </c>
      <c r="C2607" s="1">
        <v>12</v>
      </c>
      <c r="D2607" s="1" t="s">
        <v>938</v>
      </c>
      <c r="E2607" t="s">
        <v>16021</v>
      </c>
      <c r="F2607" s="1">
        <v>604793</v>
      </c>
      <c r="G2607" s="1">
        <v>4113030539</v>
      </c>
      <c r="H2607" s="1">
        <v>12</v>
      </c>
      <c r="I2607" s="1" t="s">
        <v>938</v>
      </c>
      <c r="J2607" t="s">
        <v>16022</v>
      </c>
    </row>
    <row r="2608" spans="1:10">
      <c r="A2608" s="1">
        <v>605287</v>
      </c>
      <c r="B2608" s="1">
        <v>1312000296</v>
      </c>
      <c r="C2608" s="1">
        <v>12</v>
      </c>
      <c r="D2608" s="1" t="s">
        <v>637</v>
      </c>
      <c r="E2608" t="s">
        <v>16023</v>
      </c>
      <c r="F2608" s="1">
        <v>16097</v>
      </c>
      <c r="G2608" s="1">
        <v>4670409410</v>
      </c>
      <c r="H2608" s="1">
        <v>8</v>
      </c>
      <c r="I2608" s="1" t="s">
        <v>259</v>
      </c>
      <c r="J2608" t="s">
        <v>16024</v>
      </c>
    </row>
    <row r="2609" spans="1:10" ht="15.75">
      <c r="A2609" s="1">
        <v>114041</v>
      </c>
      <c r="B2609" s="1">
        <v>1312000469</v>
      </c>
      <c r="C2609" s="1">
        <v>12</v>
      </c>
      <c r="D2609" s="1" t="s">
        <v>954</v>
      </c>
      <c r="E2609" t="s">
        <v>16025</v>
      </c>
      <c r="F2609" s="4" t="s">
        <v>16026</v>
      </c>
      <c r="G2609" s="2"/>
      <c r="H2609" s="2"/>
      <c r="I2609" s="2"/>
      <c r="J2609" s="3"/>
    </row>
    <row r="2610" spans="1:10">
      <c r="A2610" s="1">
        <v>406744</v>
      </c>
      <c r="B2610" s="1">
        <v>1312001348</v>
      </c>
      <c r="C2610" s="1">
        <v>12</v>
      </c>
      <c r="D2610" s="1" t="s">
        <v>938</v>
      </c>
      <c r="E2610" t="s">
        <v>16027</v>
      </c>
      <c r="F2610" s="2" t="s">
        <v>0</v>
      </c>
      <c r="G2610" s="2" t="s">
        <v>1</v>
      </c>
      <c r="H2610" s="2" t="s">
        <v>2</v>
      </c>
      <c r="I2610" s="2" t="s">
        <v>3</v>
      </c>
      <c r="J2610" s="3" t="s">
        <v>4</v>
      </c>
    </row>
    <row r="2611" spans="1:10">
      <c r="A2611" s="1">
        <v>152173</v>
      </c>
      <c r="B2611" s="1">
        <v>1312001349</v>
      </c>
      <c r="C2611" s="1">
        <v>12</v>
      </c>
      <c r="D2611" s="1" t="s">
        <v>938</v>
      </c>
      <c r="E2611" t="s">
        <v>16028</v>
      </c>
      <c r="F2611" s="1">
        <v>606004</v>
      </c>
      <c r="G2611" s="1">
        <v>3100010102</v>
      </c>
      <c r="H2611" s="1">
        <v>24</v>
      </c>
      <c r="I2611" s="1" t="s">
        <v>360</v>
      </c>
      <c r="J2611" t="s">
        <v>16029</v>
      </c>
    </row>
    <row r="2612" spans="1:10">
      <c r="A2612" s="1">
        <v>604124</v>
      </c>
      <c r="B2612" s="1">
        <v>1312000828</v>
      </c>
      <c r="C2612" s="1">
        <v>12</v>
      </c>
      <c r="D2612" s="1" t="s">
        <v>954</v>
      </c>
      <c r="E2612" t="s">
        <v>16030</v>
      </c>
      <c r="F2612" s="1">
        <v>606152</v>
      </c>
      <c r="G2612" s="1">
        <v>3100010100</v>
      </c>
      <c r="H2612" s="1">
        <v>24</v>
      </c>
      <c r="I2612" s="1" t="s">
        <v>360</v>
      </c>
      <c r="J2612" t="s">
        <v>16031</v>
      </c>
    </row>
    <row r="2613" spans="1:10">
      <c r="A2613" s="1">
        <v>604876</v>
      </c>
      <c r="B2613" s="1">
        <v>1312000084</v>
      </c>
      <c r="C2613" s="1">
        <v>12</v>
      </c>
      <c r="D2613" s="1" t="s">
        <v>3633</v>
      </c>
      <c r="E2613" t="s">
        <v>16032</v>
      </c>
      <c r="F2613" s="1">
        <v>606087</v>
      </c>
      <c r="G2613" s="1">
        <v>3100010103</v>
      </c>
      <c r="H2613" s="1">
        <v>24</v>
      </c>
      <c r="I2613" s="1" t="s">
        <v>360</v>
      </c>
      <c r="J2613" t="s">
        <v>16033</v>
      </c>
    </row>
    <row r="2614" spans="1:10">
      <c r="A2614" s="1">
        <v>604348</v>
      </c>
      <c r="B2614" s="1">
        <v>1312000800</v>
      </c>
      <c r="C2614" s="1">
        <v>12</v>
      </c>
      <c r="D2614" s="1" t="s">
        <v>954</v>
      </c>
      <c r="E2614" t="s">
        <v>16034</v>
      </c>
      <c r="F2614" s="1">
        <v>606046</v>
      </c>
      <c r="G2614" s="1">
        <v>3100010101</v>
      </c>
      <c r="H2614" s="1">
        <v>24</v>
      </c>
      <c r="I2614" s="1" t="s">
        <v>360</v>
      </c>
      <c r="J2614" t="s">
        <v>16035</v>
      </c>
    </row>
    <row r="2615" spans="1:10">
      <c r="A2615" s="1">
        <v>604421</v>
      </c>
      <c r="B2615" s="1">
        <v>1312000019</v>
      </c>
      <c r="C2615" s="1">
        <v>12</v>
      </c>
      <c r="D2615" s="1" t="s">
        <v>375</v>
      </c>
      <c r="E2615" t="s">
        <v>16036</v>
      </c>
      <c r="F2615" s="1">
        <v>626697</v>
      </c>
      <c r="G2615" s="1">
        <v>7198404520</v>
      </c>
      <c r="H2615" s="1">
        <v>12</v>
      </c>
      <c r="I2615" s="1" t="s">
        <v>381</v>
      </c>
      <c r="J2615" t="s">
        <v>16037</v>
      </c>
    </row>
    <row r="2616" spans="1:10">
      <c r="A2616" s="1">
        <v>606095</v>
      </c>
      <c r="B2616" s="1">
        <v>1312000764</v>
      </c>
      <c r="C2616" s="1">
        <v>12</v>
      </c>
      <c r="D2616" s="1" t="s">
        <v>469</v>
      </c>
      <c r="E2616" t="s">
        <v>16038</v>
      </c>
      <c r="F2616" s="1">
        <v>608737</v>
      </c>
      <c r="G2616" s="1">
        <v>2113121546</v>
      </c>
      <c r="H2616" s="1">
        <v>12</v>
      </c>
      <c r="I2616" s="1" t="s">
        <v>1271</v>
      </c>
      <c r="J2616" t="s">
        <v>16039</v>
      </c>
    </row>
    <row r="2617" spans="1:10">
      <c r="A2617" s="1">
        <v>604538</v>
      </c>
      <c r="B2617" s="1">
        <v>1312000192</v>
      </c>
      <c r="C2617" s="1">
        <v>12</v>
      </c>
      <c r="D2617" s="1" t="s">
        <v>360</v>
      </c>
      <c r="E2617" t="s">
        <v>16040</v>
      </c>
      <c r="F2617" s="1">
        <v>608083</v>
      </c>
      <c r="G2617" s="1">
        <v>2113121545</v>
      </c>
      <c r="H2617" s="1">
        <v>12</v>
      </c>
      <c r="I2617" s="1" t="s">
        <v>1271</v>
      </c>
      <c r="J2617" t="s">
        <v>16041</v>
      </c>
    </row>
    <row r="2618" spans="1:10">
      <c r="A2618" s="1">
        <v>605055</v>
      </c>
      <c r="B2618" s="1">
        <v>1312001063</v>
      </c>
      <c r="C2618" s="1">
        <v>12</v>
      </c>
      <c r="D2618" s="1" t="s">
        <v>489</v>
      </c>
      <c r="E2618" t="s">
        <v>16042</v>
      </c>
      <c r="F2618" s="1">
        <v>640821</v>
      </c>
      <c r="G2618" s="1">
        <v>2113150106</v>
      </c>
      <c r="H2618" s="1">
        <v>12</v>
      </c>
      <c r="I2618" s="1" t="s">
        <v>1271</v>
      </c>
      <c r="J2618" t="s">
        <v>16043</v>
      </c>
    </row>
    <row r="2619" spans="1:10">
      <c r="A2619" s="1">
        <v>621458</v>
      </c>
      <c r="B2619" s="1">
        <v>1312001176</v>
      </c>
      <c r="C2619" s="1">
        <v>12</v>
      </c>
      <c r="D2619" s="1" t="s">
        <v>1198</v>
      </c>
      <c r="E2619" t="s">
        <v>16044</v>
      </c>
      <c r="F2619" s="1">
        <v>640268</v>
      </c>
      <c r="G2619" s="1">
        <v>2113150103</v>
      </c>
      <c r="H2619" s="1">
        <v>12</v>
      </c>
      <c r="I2619" s="1" t="s">
        <v>1271</v>
      </c>
      <c r="J2619" t="s">
        <v>16045</v>
      </c>
    </row>
    <row r="2620" spans="1:10">
      <c r="A2620" s="1">
        <v>217612</v>
      </c>
      <c r="B2620" s="1">
        <v>1312001280</v>
      </c>
      <c r="C2620" s="1">
        <v>12</v>
      </c>
      <c r="D2620" s="1" t="s">
        <v>637</v>
      </c>
      <c r="E2620" t="s">
        <v>16046</v>
      </c>
      <c r="F2620" s="1">
        <v>641043</v>
      </c>
      <c r="G2620" s="1">
        <v>2113150111</v>
      </c>
      <c r="H2620" s="1">
        <v>12</v>
      </c>
      <c r="I2620" s="1" t="s">
        <v>432</v>
      </c>
      <c r="J2620" t="s">
        <v>16047</v>
      </c>
    </row>
    <row r="2621" spans="1:10">
      <c r="A2621" s="1">
        <v>535427</v>
      </c>
      <c r="B2621" s="1">
        <v>1312001492</v>
      </c>
      <c r="C2621" s="1">
        <v>8</v>
      </c>
      <c r="D2621" s="1" t="s">
        <v>4815</v>
      </c>
      <c r="E2621" t="s">
        <v>16048</v>
      </c>
      <c r="F2621" s="1">
        <v>640854</v>
      </c>
      <c r="G2621" s="1">
        <v>2113150101</v>
      </c>
      <c r="H2621" s="1">
        <v>12</v>
      </c>
      <c r="I2621" s="1" t="s">
        <v>1271</v>
      </c>
      <c r="J2621" t="s">
        <v>16049</v>
      </c>
    </row>
    <row r="2622" spans="1:10">
      <c r="A2622" s="1">
        <v>607358</v>
      </c>
      <c r="B2622" s="1">
        <v>1312001261</v>
      </c>
      <c r="C2622" s="1">
        <v>12</v>
      </c>
      <c r="D2622" s="1" t="s">
        <v>954</v>
      </c>
      <c r="E2622" t="s">
        <v>16050</v>
      </c>
      <c r="F2622" s="1">
        <v>640953</v>
      </c>
      <c r="G2622" s="1">
        <v>2113150102</v>
      </c>
      <c r="H2622" s="1">
        <v>12</v>
      </c>
      <c r="I2622" s="1" t="s">
        <v>1271</v>
      </c>
      <c r="J2622" t="s">
        <v>16051</v>
      </c>
    </row>
    <row r="2623" spans="1:10">
      <c r="A2623" s="1">
        <v>217596</v>
      </c>
      <c r="B2623" s="1">
        <v>1312001150</v>
      </c>
      <c r="C2623" s="1">
        <v>12</v>
      </c>
      <c r="D2623" s="1" t="s">
        <v>536</v>
      </c>
      <c r="E2623" t="s">
        <v>16052</v>
      </c>
      <c r="F2623" s="1">
        <v>475731</v>
      </c>
      <c r="G2623" s="1">
        <v>2113150121</v>
      </c>
      <c r="H2623" s="1">
        <v>12</v>
      </c>
      <c r="I2623" s="1" t="s">
        <v>1269</v>
      </c>
      <c r="J2623" t="s">
        <v>16053</v>
      </c>
    </row>
    <row r="2624" spans="1:10">
      <c r="A2624" s="1">
        <v>605014</v>
      </c>
      <c r="B2624" s="1">
        <v>1312000484</v>
      </c>
      <c r="C2624" s="1">
        <v>12</v>
      </c>
      <c r="D2624" s="1" t="s">
        <v>375</v>
      </c>
      <c r="E2624" t="s">
        <v>16054</v>
      </c>
      <c r="F2624" s="1">
        <v>224246</v>
      </c>
      <c r="G2624" s="1">
        <v>2113150122</v>
      </c>
      <c r="H2624" s="1">
        <v>12</v>
      </c>
      <c r="I2624" s="1" t="s">
        <v>1269</v>
      </c>
      <c r="J2624" t="s">
        <v>16055</v>
      </c>
    </row>
    <row r="2625" spans="1:10">
      <c r="A2625" s="1">
        <v>845248</v>
      </c>
      <c r="B2625" s="1">
        <v>1312000455</v>
      </c>
      <c r="C2625" s="1">
        <v>12</v>
      </c>
      <c r="D2625" s="1" t="s">
        <v>954</v>
      </c>
      <c r="E2625" t="s">
        <v>16056</v>
      </c>
      <c r="F2625" s="1">
        <v>613794</v>
      </c>
      <c r="G2625" s="1">
        <v>1380010635</v>
      </c>
      <c r="H2625" s="1">
        <v>12</v>
      </c>
      <c r="I2625" s="1" t="s">
        <v>381</v>
      </c>
      <c r="J2625" t="s">
        <v>16057</v>
      </c>
    </row>
    <row r="2626" spans="1:10" ht="15.75">
      <c r="A2626" s="4" t="s">
        <v>16026</v>
      </c>
      <c r="B2626" s="2"/>
      <c r="C2626" s="2"/>
      <c r="D2626" s="2"/>
      <c r="E2626" s="3"/>
      <c r="F2626" s="4" t="s">
        <v>16058</v>
      </c>
      <c r="G2626" s="2"/>
      <c r="H2626" s="2"/>
      <c r="I2626" s="2"/>
      <c r="J2626" s="3"/>
    </row>
    <row r="2627" spans="1:10">
      <c r="A2627" s="2" t="s">
        <v>0</v>
      </c>
      <c r="B2627" s="2" t="s">
        <v>1</v>
      </c>
      <c r="C2627" s="2" t="s">
        <v>2</v>
      </c>
      <c r="D2627" s="2" t="s">
        <v>3</v>
      </c>
      <c r="E2627" s="3" t="s">
        <v>4</v>
      </c>
      <c r="F2627" s="2" t="s">
        <v>0</v>
      </c>
      <c r="G2627" s="2" t="s">
        <v>1</v>
      </c>
      <c r="H2627" s="2" t="s">
        <v>2</v>
      </c>
      <c r="I2627" s="2" t="s">
        <v>3</v>
      </c>
      <c r="J2627" s="3" t="s">
        <v>4</v>
      </c>
    </row>
    <row r="2628" spans="1:10">
      <c r="A2628" s="1">
        <v>606780</v>
      </c>
      <c r="B2628" s="1">
        <v>5100006032</v>
      </c>
      <c r="C2628" s="1">
        <v>24</v>
      </c>
      <c r="D2628" s="1" t="s">
        <v>360</v>
      </c>
      <c r="E2628" t="s">
        <v>16059</v>
      </c>
      <c r="F2628" s="1">
        <v>284943</v>
      </c>
      <c r="G2628" s="1">
        <v>3100018020</v>
      </c>
      <c r="H2628" s="1">
        <v>12</v>
      </c>
      <c r="I2628" s="1" t="s">
        <v>399</v>
      </c>
      <c r="J2628" t="s">
        <v>16060</v>
      </c>
    </row>
    <row r="2629" spans="1:10">
      <c r="A2629" s="1">
        <v>649624</v>
      </c>
      <c r="B2629" s="1">
        <v>5100006092</v>
      </c>
      <c r="C2629" s="1">
        <v>24</v>
      </c>
      <c r="D2629" s="1" t="s">
        <v>360</v>
      </c>
      <c r="E2629" t="s">
        <v>16061</v>
      </c>
      <c r="F2629" s="1">
        <v>607499</v>
      </c>
      <c r="G2629" s="1">
        <v>3100010907</v>
      </c>
      <c r="H2629" s="1">
        <v>12</v>
      </c>
      <c r="I2629" s="1" t="s">
        <v>432</v>
      </c>
      <c r="J2629" t="s">
        <v>16062</v>
      </c>
    </row>
    <row r="2630" spans="1:10" ht="15.75">
      <c r="A2630" s="4" t="s">
        <v>16058</v>
      </c>
      <c r="B2630" s="2"/>
      <c r="C2630" s="2"/>
      <c r="D2630" s="2"/>
      <c r="E2630" s="3"/>
      <c r="F2630" s="1">
        <v>607564</v>
      </c>
      <c r="G2630" s="1">
        <v>3100010909</v>
      </c>
      <c r="H2630" s="1">
        <v>12</v>
      </c>
      <c r="I2630" s="1" t="s">
        <v>489</v>
      </c>
      <c r="J2630" t="s">
        <v>16063</v>
      </c>
    </row>
    <row r="2631" spans="1:10">
      <c r="A2631" s="2" t="s">
        <v>0</v>
      </c>
      <c r="B2631" s="2" t="s">
        <v>1</v>
      </c>
      <c r="C2631" s="2" t="s">
        <v>2</v>
      </c>
      <c r="D2631" s="2" t="s">
        <v>3</v>
      </c>
      <c r="E2631" s="3" t="s">
        <v>4</v>
      </c>
      <c r="F2631" s="1">
        <v>607556</v>
      </c>
      <c r="G2631" s="1">
        <v>3100010905</v>
      </c>
      <c r="H2631" s="1">
        <v>12</v>
      </c>
      <c r="I2631" s="1" t="s">
        <v>432</v>
      </c>
      <c r="J2631" t="s">
        <v>16064</v>
      </c>
    </row>
    <row r="2632" spans="1:10">
      <c r="A2632" s="1">
        <v>646489</v>
      </c>
      <c r="B2632" s="1">
        <v>4227200161</v>
      </c>
      <c r="C2632" s="1">
        <v>12</v>
      </c>
      <c r="D2632" s="1" t="s">
        <v>489</v>
      </c>
      <c r="E2632" t="s">
        <v>16065</v>
      </c>
      <c r="F2632" s="1">
        <v>576330</v>
      </c>
      <c r="G2632" s="1">
        <v>3100011955</v>
      </c>
      <c r="H2632" s="1">
        <v>12</v>
      </c>
      <c r="I2632" s="1" t="s">
        <v>6221</v>
      </c>
      <c r="J2632" t="s">
        <v>16066</v>
      </c>
    </row>
    <row r="2633" spans="1:10">
      <c r="A2633" s="1">
        <v>858191</v>
      </c>
      <c r="B2633" s="1">
        <v>4227200058</v>
      </c>
      <c r="C2633" s="1">
        <v>12</v>
      </c>
      <c r="D2633" s="1" t="s">
        <v>489</v>
      </c>
      <c r="E2633" t="s">
        <v>16067</v>
      </c>
      <c r="F2633" s="1">
        <v>304782</v>
      </c>
      <c r="G2633" s="1">
        <v>3100018024</v>
      </c>
      <c r="H2633" s="1">
        <v>12</v>
      </c>
      <c r="I2633" s="1" t="s">
        <v>546</v>
      </c>
      <c r="J2633" t="s">
        <v>16068</v>
      </c>
    </row>
    <row r="2634" spans="1:10">
      <c r="A2634" s="1">
        <v>858282</v>
      </c>
      <c r="B2634" s="1">
        <v>4227200059</v>
      </c>
      <c r="C2634" s="1">
        <v>12</v>
      </c>
      <c r="D2634" s="1" t="s">
        <v>489</v>
      </c>
      <c r="E2634" t="s">
        <v>16069</v>
      </c>
      <c r="F2634" s="1">
        <v>607374</v>
      </c>
      <c r="G2634" s="1">
        <v>3100010903</v>
      </c>
      <c r="H2634" s="1">
        <v>12</v>
      </c>
      <c r="I2634" s="1" t="s">
        <v>5321</v>
      </c>
      <c r="J2634" t="s">
        <v>16070</v>
      </c>
    </row>
    <row r="2635" spans="1:10">
      <c r="A2635" s="1">
        <v>644526</v>
      </c>
      <c r="B2635" s="1">
        <v>4227200032</v>
      </c>
      <c r="C2635" s="1">
        <v>12</v>
      </c>
      <c r="D2635" s="1" t="s">
        <v>432</v>
      </c>
      <c r="E2635" t="s">
        <v>16071</v>
      </c>
      <c r="F2635" s="1">
        <v>358531</v>
      </c>
      <c r="G2635" s="1">
        <v>7336907063</v>
      </c>
      <c r="H2635" s="1">
        <v>12</v>
      </c>
      <c r="I2635" s="1" t="s">
        <v>358</v>
      </c>
      <c r="J2635" t="s">
        <v>16072</v>
      </c>
    </row>
    <row r="2636" spans="1:10">
      <c r="A2636" s="1">
        <v>644534</v>
      </c>
      <c r="B2636" s="1">
        <v>4227200030</v>
      </c>
      <c r="C2636" s="1">
        <v>12</v>
      </c>
      <c r="D2636" s="1" t="s">
        <v>546</v>
      </c>
      <c r="E2636" t="s">
        <v>16073</v>
      </c>
      <c r="F2636" s="1">
        <v>609156</v>
      </c>
      <c r="G2636" s="1">
        <v>7336906051</v>
      </c>
      <c r="H2636" s="1">
        <v>12</v>
      </c>
      <c r="I2636" s="1" t="s">
        <v>358</v>
      </c>
      <c r="J2636" t="s">
        <v>16074</v>
      </c>
    </row>
    <row r="2637" spans="1:10">
      <c r="A2637" s="1">
        <v>355008</v>
      </c>
      <c r="B2637" s="1">
        <v>4227200163</v>
      </c>
      <c r="C2637" s="1">
        <v>12</v>
      </c>
      <c r="D2637" s="1" t="s">
        <v>432</v>
      </c>
      <c r="E2637" t="s">
        <v>16075</v>
      </c>
      <c r="F2637" s="1">
        <v>609180</v>
      </c>
      <c r="G2637" s="1">
        <v>7336906055</v>
      </c>
      <c r="H2637" s="1">
        <v>12</v>
      </c>
      <c r="I2637" s="1" t="s">
        <v>358</v>
      </c>
      <c r="J2637" t="s">
        <v>16076</v>
      </c>
    </row>
    <row r="2638" spans="1:10">
      <c r="A2638" s="1">
        <v>861666</v>
      </c>
      <c r="B2638" s="1">
        <v>4227200176</v>
      </c>
      <c r="C2638" s="1">
        <v>12</v>
      </c>
      <c r="D2638" s="1" t="s">
        <v>432</v>
      </c>
      <c r="E2638" t="s">
        <v>16077</v>
      </c>
      <c r="F2638" s="1">
        <v>645390</v>
      </c>
      <c r="G2638" s="1">
        <v>7336906033</v>
      </c>
      <c r="H2638" s="1">
        <v>12</v>
      </c>
      <c r="I2638" s="1" t="s">
        <v>358</v>
      </c>
      <c r="J2638" t="s">
        <v>16078</v>
      </c>
    </row>
    <row r="2639" spans="1:10">
      <c r="A2639" s="1">
        <v>644104</v>
      </c>
      <c r="B2639" s="1">
        <v>4227200104</v>
      </c>
      <c r="C2639" s="1">
        <v>8</v>
      </c>
      <c r="D2639" s="1" t="s">
        <v>1180</v>
      </c>
      <c r="E2639" t="s">
        <v>16079</v>
      </c>
      <c r="F2639" s="1">
        <v>637546</v>
      </c>
      <c r="G2639" s="1">
        <v>7336906032</v>
      </c>
      <c r="H2639" s="1">
        <v>12</v>
      </c>
      <c r="I2639" s="1" t="s">
        <v>358</v>
      </c>
      <c r="J2639" t="s">
        <v>16080</v>
      </c>
    </row>
    <row r="2640" spans="1:10">
      <c r="A2640" s="1">
        <v>644054</v>
      </c>
      <c r="B2640" s="1">
        <v>4227200103</v>
      </c>
      <c r="C2640" s="1">
        <v>8</v>
      </c>
      <c r="D2640" s="1" t="s">
        <v>347</v>
      </c>
      <c r="E2640" t="s">
        <v>16081</v>
      </c>
      <c r="F2640" s="1">
        <v>609164</v>
      </c>
      <c r="G2640" s="1">
        <v>7336906031</v>
      </c>
      <c r="H2640" s="1">
        <v>12</v>
      </c>
      <c r="I2640" s="1" t="s">
        <v>358</v>
      </c>
      <c r="J2640" t="s">
        <v>16082</v>
      </c>
    </row>
    <row r="2641" spans="1:10">
      <c r="A2641" s="1">
        <v>644138</v>
      </c>
      <c r="B2641" s="1">
        <v>4227200102</v>
      </c>
      <c r="C2641" s="1">
        <v>8</v>
      </c>
      <c r="D2641" s="1" t="s">
        <v>259</v>
      </c>
      <c r="E2641" t="s">
        <v>16083</v>
      </c>
      <c r="F2641" s="1">
        <v>637504</v>
      </c>
      <c r="G2641" s="1">
        <v>7336907025</v>
      </c>
      <c r="H2641" s="1">
        <v>12</v>
      </c>
      <c r="I2641" s="1" t="s">
        <v>358</v>
      </c>
      <c r="J2641" t="s">
        <v>16084</v>
      </c>
    </row>
    <row r="2642" spans="1:10">
      <c r="A2642" s="1">
        <v>731232</v>
      </c>
      <c r="B2642" s="1">
        <v>4227200251</v>
      </c>
      <c r="C2642" s="1">
        <v>12</v>
      </c>
      <c r="D2642" s="1" t="s">
        <v>432</v>
      </c>
      <c r="E2642" t="s">
        <v>16085</v>
      </c>
      <c r="F2642" s="1">
        <v>637363</v>
      </c>
      <c r="G2642" s="1">
        <v>7336907029</v>
      </c>
      <c r="H2642" s="1">
        <v>12</v>
      </c>
      <c r="I2642" s="1" t="s">
        <v>358</v>
      </c>
      <c r="J2642" t="s">
        <v>16086</v>
      </c>
    </row>
    <row r="2643" spans="1:10">
      <c r="A2643" s="1">
        <v>270157</v>
      </c>
      <c r="B2643" s="1">
        <v>4227200199</v>
      </c>
      <c r="C2643" s="1">
        <v>8</v>
      </c>
      <c r="D2643" s="1" t="s">
        <v>379</v>
      </c>
      <c r="E2643" t="s">
        <v>16087</v>
      </c>
      <c r="F2643" s="1">
        <v>637470</v>
      </c>
      <c r="G2643" s="1">
        <v>7336907026</v>
      </c>
      <c r="H2643" s="1">
        <v>12</v>
      </c>
      <c r="I2643" s="1" t="s">
        <v>358</v>
      </c>
      <c r="J2643" t="s">
        <v>16088</v>
      </c>
    </row>
    <row r="2644" spans="1:10">
      <c r="A2644" s="1">
        <v>648113</v>
      </c>
      <c r="B2644" s="1">
        <v>4227200053</v>
      </c>
      <c r="C2644" s="1">
        <v>12</v>
      </c>
      <c r="D2644" s="1" t="s">
        <v>489</v>
      </c>
      <c r="E2644" t="s">
        <v>16089</v>
      </c>
      <c r="F2644" s="1">
        <v>637462</v>
      </c>
      <c r="G2644" s="1">
        <v>7336907027</v>
      </c>
      <c r="H2644" s="1">
        <v>12</v>
      </c>
      <c r="I2644" s="1" t="s">
        <v>358</v>
      </c>
      <c r="J2644" t="s">
        <v>16090</v>
      </c>
    </row>
    <row r="2645" spans="1:10">
      <c r="A2645" s="1">
        <v>620153</v>
      </c>
      <c r="B2645" s="1">
        <v>3100011393</v>
      </c>
      <c r="C2645" s="1">
        <v>6</v>
      </c>
      <c r="D2645" s="1" t="s">
        <v>954</v>
      </c>
      <c r="E2645" t="s">
        <v>16091</v>
      </c>
      <c r="F2645" s="1">
        <v>637454</v>
      </c>
      <c r="G2645" s="1">
        <v>7336907028</v>
      </c>
      <c r="H2645" s="1">
        <v>12</v>
      </c>
      <c r="I2645" s="1" t="s">
        <v>358</v>
      </c>
      <c r="J2645" t="s">
        <v>16092</v>
      </c>
    </row>
    <row r="2646" spans="1:10">
      <c r="A2646" s="1">
        <v>607317</v>
      </c>
      <c r="B2646" s="1">
        <v>3100010901</v>
      </c>
      <c r="C2646" s="1">
        <v>12</v>
      </c>
      <c r="D2646" s="1" t="s">
        <v>546</v>
      </c>
      <c r="E2646" t="s">
        <v>16093</v>
      </c>
      <c r="F2646" s="1">
        <v>609073</v>
      </c>
      <c r="G2646" s="1">
        <v>7336906052</v>
      </c>
      <c r="H2646" s="1">
        <v>12</v>
      </c>
      <c r="I2646" s="1" t="s">
        <v>358</v>
      </c>
      <c r="J2646" t="s">
        <v>16094</v>
      </c>
    </row>
    <row r="2647" spans="1:10">
      <c r="A2647" s="1">
        <v>56135</v>
      </c>
      <c r="B2647" s="1">
        <v>3100016610</v>
      </c>
      <c r="C2647" s="1">
        <v>4</v>
      </c>
      <c r="D2647" s="1" t="s">
        <v>9100</v>
      </c>
      <c r="E2647" t="s">
        <v>16095</v>
      </c>
      <c r="F2647" s="1">
        <v>637520</v>
      </c>
      <c r="G2647" s="1">
        <v>7336907024</v>
      </c>
      <c r="H2647" s="1">
        <v>12</v>
      </c>
      <c r="I2647" s="1" t="s">
        <v>358</v>
      </c>
      <c r="J2647" t="s">
        <v>16096</v>
      </c>
    </row>
    <row r="2648" spans="1:10">
      <c r="A2648" s="1">
        <v>820787</v>
      </c>
      <c r="B2648" s="1">
        <v>3100016619</v>
      </c>
      <c r="C2648" s="1">
        <v>4</v>
      </c>
      <c r="D2648" s="1" t="s">
        <v>9100</v>
      </c>
      <c r="E2648" t="s">
        <v>16097</v>
      </c>
      <c r="F2648" s="1">
        <v>609388</v>
      </c>
      <c r="G2648" s="1">
        <v>7336906053</v>
      </c>
      <c r="H2648" s="1">
        <v>12</v>
      </c>
      <c r="I2648" s="1" t="s">
        <v>358</v>
      </c>
      <c r="J2648" t="s">
        <v>16098</v>
      </c>
    </row>
    <row r="2649" spans="1:10">
      <c r="A2649" s="1">
        <v>395582</v>
      </c>
      <c r="B2649" s="1">
        <v>3100016611</v>
      </c>
      <c r="C2649" s="1">
        <v>4</v>
      </c>
      <c r="D2649" s="1" t="s">
        <v>16099</v>
      </c>
      <c r="E2649" t="s">
        <v>16100</v>
      </c>
      <c r="F2649" s="1">
        <v>637561</v>
      </c>
      <c r="G2649" s="1">
        <v>7336906030</v>
      </c>
      <c r="H2649" s="1">
        <v>12</v>
      </c>
      <c r="I2649" s="1" t="s">
        <v>358</v>
      </c>
      <c r="J2649" t="s">
        <v>16101</v>
      </c>
    </row>
    <row r="2650" spans="1:10">
      <c r="A2650" s="1">
        <v>622514</v>
      </c>
      <c r="B2650" s="1">
        <v>3100011347</v>
      </c>
      <c r="C2650" s="1">
        <v>6</v>
      </c>
      <c r="D2650" s="1" t="s">
        <v>954</v>
      </c>
      <c r="E2650" t="s">
        <v>16102</v>
      </c>
      <c r="F2650" s="1">
        <v>639914</v>
      </c>
      <c r="G2650" s="1">
        <v>7336906040</v>
      </c>
      <c r="H2650" s="1">
        <v>12</v>
      </c>
      <c r="I2650" s="1" t="s">
        <v>358</v>
      </c>
      <c r="J2650" t="s">
        <v>16103</v>
      </c>
    </row>
    <row r="2651" spans="1:10">
      <c r="A2651" s="1">
        <v>607077</v>
      </c>
      <c r="B2651" s="1">
        <v>3100011321</v>
      </c>
      <c r="C2651" s="1">
        <v>6</v>
      </c>
      <c r="D2651" s="1" t="s">
        <v>954</v>
      </c>
      <c r="E2651" t="s">
        <v>16104</v>
      </c>
      <c r="F2651" s="1">
        <v>609438</v>
      </c>
      <c r="G2651" s="1">
        <v>7336906050</v>
      </c>
      <c r="H2651" s="1">
        <v>12</v>
      </c>
      <c r="I2651" s="1" t="s">
        <v>358</v>
      </c>
      <c r="J2651" t="s">
        <v>16105</v>
      </c>
    </row>
    <row r="2652" spans="1:10">
      <c r="A2652" s="1">
        <v>448910</v>
      </c>
      <c r="B2652" s="1">
        <v>3100011050</v>
      </c>
      <c r="C2652" s="1">
        <v>12</v>
      </c>
      <c r="D2652" s="1" t="s">
        <v>434</v>
      </c>
      <c r="E2652" t="s">
        <v>16106</v>
      </c>
      <c r="F2652" s="1">
        <v>758466</v>
      </c>
      <c r="G2652" s="1">
        <v>3620023184</v>
      </c>
      <c r="H2652" s="1">
        <v>8</v>
      </c>
      <c r="I2652" s="1" t="s">
        <v>439</v>
      </c>
      <c r="J2652" t="s">
        <v>16107</v>
      </c>
    </row>
    <row r="2653" spans="1:10">
      <c r="A2653" s="1">
        <v>620039</v>
      </c>
      <c r="B2653" s="1">
        <v>3100011334</v>
      </c>
      <c r="C2653" s="1">
        <v>6</v>
      </c>
      <c r="D2653" s="1" t="s">
        <v>375</v>
      </c>
      <c r="E2653" t="s">
        <v>16108</v>
      </c>
      <c r="F2653" s="1">
        <v>230540</v>
      </c>
      <c r="G2653" s="1">
        <v>3620023182</v>
      </c>
      <c r="H2653" s="1">
        <v>8</v>
      </c>
      <c r="I2653" s="1" t="s">
        <v>439</v>
      </c>
      <c r="J2653" t="s">
        <v>16109</v>
      </c>
    </row>
    <row r="2654" spans="1:10">
      <c r="A2654" s="1">
        <v>620088</v>
      </c>
      <c r="B2654" s="1">
        <v>3100011305</v>
      </c>
      <c r="C2654" s="1">
        <v>6</v>
      </c>
      <c r="D2654" s="1" t="s">
        <v>3633</v>
      </c>
      <c r="E2654" t="s">
        <v>16110</v>
      </c>
      <c r="F2654" s="1">
        <v>333625</v>
      </c>
      <c r="G2654" s="1">
        <v>3620000705</v>
      </c>
      <c r="H2654" s="1">
        <v>8</v>
      </c>
      <c r="I2654" s="1" t="s">
        <v>439</v>
      </c>
      <c r="J2654" t="s">
        <v>16111</v>
      </c>
    </row>
    <row r="2655" spans="1:10">
      <c r="A2655" s="1">
        <v>666743</v>
      </c>
      <c r="B2655" s="1">
        <v>3100011052</v>
      </c>
      <c r="C2655" s="1">
        <v>12</v>
      </c>
      <c r="D2655" s="1" t="s">
        <v>363</v>
      </c>
      <c r="E2655" t="s">
        <v>16112</v>
      </c>
      <c r="F2655" s="1">
        <v>28662</v>
      </c>
      <c r="G2655" s="1">
        <v>3620000706</v>
      </c>
      <c r="H2655" s="1">
        <v>8</v>
      </c>
      <c r="I2655" s="1" t="s">
        <v>439</v>
      </c>
      <c r="J2655" t="s">
        <v>16113</v>
      </c>
    </row>
    <row r="2656" spans="1:10">
      <c r="A2656" s="1">
        <v>481457</v>
      </c>
      <c r="B2656" s="1">
        <v>3100011057</v>
      </c>
      <c r="C2656" s="1">
        <v>12</v>
      </c>
      <c r="D2656" s="1" t="s">
        <v>489</v>
      </c>
      <c r="E2656" t="s">
        <v>16114</v>
      </c>
      <c r="F2656" s="1">
        <v>377341</v>
      </c>
      <c r="G2656" s="1">
        <v>3620000703</v>
      </c>
      <c r="H2656" s="1">
        <v>8</v>
      </c>
      <c r="I2656" s="1" t="s">
        <v>439</v>
      </c>
      <c r="J2656" t="s">
        <v>16115</v>
      </c>
    </row>
    <row r="2657" spans="1:10">
      <c r="A2657" s="1">
        <v>666677</v>
      </c>
      <c r="B2657" s="1">
        <v>3100011055</v>
      </c>
      <c r="C2657" s="1">
        <v>12</v>
      </c>
      <c r="D2657" s="1" t="s">
        <v>16116</v>
      </c>
      <c r="E2657" t="s">
        <v>16117</v>
      </c>
      <c r="F2657" s="1">
        <v>315259</v>
      </c>
      <c r="G2657" s="1">
        <v>3620000704</v>
      </c>
      <c r="H2657" s="1">
        <v>8</v>
      </c>
      <c r="I2657" s="1" t="s">
        <v>439</v>
      </c>
      <c r="J2657" t="s">
        <v>16118</v>
      </c>
    </row>
    <row r="2658" spans="1:10">
      <c r="A2658" s="1">
        <v>884197</v>
      </c>
      <c r="B2658" s="1">
        <v>3100011058</v>
      </c>
      <c r="C2658" s="1">
        <v>12</v>
      </c>
      <c r="D2658" s="1" t="s">
        <v>923</v>
      </c>
      <c r="E2658" t="s">
        <v>16119</v>
      </c>
      <c r="F2658" s="1">
        <v>856864</v>
      </c>
      <c r="G2658" s="1">
        <v>3620005700</v>
      </c>
      <c r="H2658" s="1">
        <v>8</v>
      </c>
      <c r="I2658" s="1" t="s">
        <v>439</v>
      </c>
      <c r="J2658" t="s">
        <v>16120</v>
      </c>
    </row>
    <row r="2659" spans="1:10">
      <c r="A2659" s="1">
        <v>619981</v>
      </c>
      <c r="B2659" s="1">
        <v>3100011303</v>
      </c>
      <c r="C2659" s="1">
        <v>6</v>
      </c>
      <c r="D2659" s="1" t="s">
        <v>637</v>
      </c>
      <c r="E2659" t="s">
        <v>16121</v>
      </c>
      <c r="F2659" s="1">
        <v>856872</v>
      </c>
      <c r="G2659" s="1">
        <v>3620005704</v>
      </c>
      <c r="H2659" s="1">
        <v>8</v>
      </c>
      <c r="I2659" s="1" t="s">
        <v>439</v>
      </c>
      <c r="J2659" t="s">
        <v>16122</v>
      </c>
    </row>
    <row r="2660" spans="1:10">
      <c r="A2660" s="1">
        <v>358762</v>
      </c>
      <c r="B2660" s="1">
        <v>3100011053</v>
      </c>
      <c r="C2660" s="1">
        <v>12</v>
      </c>
      <c r="D2660" s="1" t="s">
        <v>615</v>
      </c>
      <c r="E2660" t="s">
        <v>16123</v>
      </c>
      <c r="F2660" s="1">
        <v>118349</v>
      </c>
      <c r="G2660" s="1">
        <v>3620025693</v>
      </c>
      <c r="H2660" s="1">
        <v>8</v>
      </c>
      <c r="I2660" s="1" t="s">
        <v>439</v>
      </c>
      <c r="J2660" t="s">
        <v>16124</v>
      </c>
    </row>
    <row r="2661" spans="1:10">
      <c r="A2661" s="1">
        <v>2535</v>
      </c>
      <c r="B2661" s="1">
        <v>3100018031</v>
      </c>
      <c r="C2661" s="1">
        <v>12</v>
      </c>
      <c r="D2661" s="1" t="s">
        <v>365</v>
      </c>
      <c r="E2661" t="s">
        <v>16125</v>
      </c>
      <c r="F2661" s="1">
        <v>731257</v>
      </c>
      <c r="G2661" s="1">
        <v>3620005714</v>
      </c>
      <c r="H2661" s="1">
        <v>8</v>
      </c>
      <c r="I2661" s="1" t="s">
        <v>439</v>
      </c>
      <c r="J2661" t="s">
        <v>16126</v>
      </c>
    </row>
    <row r="2662" spans="1:10">
      <c r="A2662" s="1">
        <v>690727</v>
      </c>
      <c r="B2662" s="1">
        <v>3100010900</v>
      </c>
      <c r="C2662" s="1">
        <v>12</v>
      </c>
      <c r="D2662" s="1" t="s">
        <v>2338</v>
      </c>
      <c r="E2662" t="s">
        <v>16127</v>
      </c>
      <c r="F2662" s="1">
        <v>731273</v>
      </c>
      <c r="G2662" s="1">
        <v>3620021110</v>
      </c>
      <c r="H2662" s="1">
        <v>8</v>
      </c>
      <c r="I2662" s="1" t="s">
        <v>439</v>
      </c>
      <c r="J2662" t="s">
        <v>16128</v>
      </c>
    </row>
    <row r="2663" spans="1:10">
      <c r="A2663" s="1">
        <v>622100</v>
      </c>
      <c r="B2663" s="1">
        <v>3100010918</v>
      </c>
      <c r="C2663" s="1">
        <v>12</v>
      </c>
      <c r="D2663" s="1" t="s">
        <v>4586</v>
      </c>
      <c r="E2663" t="s">
        <v>16129</v>
      </c>
      <c r="F2663" s="1">
        <v>181628</v>
      </c>
      <c r="G2663" s="1">
        <v>3620025691</v>
      </c>
      <c r="H2663" s="1">
        <v>8</v>
      </c>
      <c r="I2663" s="1" t="s">
        <v>439</v>
      </c>
      <c r="J2663" t="s">
        <v>16130</v>
      </c>
    </row>
    <row r="2664" spans="1:10">
      <c r="A2664" s="1">
        <v>607325</v>
      </c>
      <c r="B2664" s="1">
        <v>3100010938</v>
      </c>
      <c r="C2664" s="1">
        <v>12</v>
      </c>
      <c r="D2664" s="1" t="s">
        <v>489</v>
      </c>
      <c r="E2664" t="s">
        <v>16131</v>
      </c>
      <c r="F2664" s="1">
        <v>856856</v>
      </c>
      <c r="G2664" s="1">
        <v>3620005701</v>
      </c>
      <c r="H2664" s="1">
        <v>8</v>
      </c>
      <c r="I2664" s="1" t="s">
        <v>439</v>
      </c>
      <c r="J2664" t="s">
        <v>16132</v>
      </c>
    </row>
    <row r="2665" spans="1:10">
      <c r="A2665" s="1">
        <v>584680</v>
      </c>
      <c r="B2665" s="1">
        <v>3100018032</v>
      </c>
      <c r="C2665" s="1">
        <v>12</v>
      </c>
      <c r="D2665" s="1" t="s">
        <v>2338</v>
      </c>
      <c r="E2665" t="s">
        <v>16133</v>
      </c>
      <c r="F2665" s="1">
        <v>18648</v>
      </c>
      <c r="G2665" s="1">
        <v>3620025689</v>
      </c>
      <c r="H2665" s="1">
        <v>8</v>
      </c>
      <c r="I2665" s="1" t="s">
        <v>439</v>
      </c>
      <c r="J2665" t="s">
        <v>16134</v>
      </c>
    </row>
    <row r="2666" spans="1:10">
      <c r="A2666" s="1">
        <v>621755</v>
      </c>
      <c r="B2666" s="1">
        <v>3100010943</v>
      </c>
      <c r="C2666" s="1">
        <v>12</v>
      </c>
      <c r="D2666" s="1" t="s">
        <v>1737</v>
      </c>
      <c r="E2666" t="s">
        <v>16135</v>
      </c>
      <c r="F2666" s="1">
        <v>856831</v>
      </c>
      <c r="G2666" s="1">
        <v>3620005706</v>
      </c>
      <c r="H2666" s="1">
        <v>8</v>
      </c>
      <c r="I2666" s="1" t="s">
        <v>439</v>
      </c>
      <c r="J2666" t="s">
        <v>16136</v>
      </c>
    </row>
    <row r="2667" spans="1:10" ht="15.75">
      <c r="A2667" s="4" t="s">
        <v>16058</v>
      </c>
      <c r="B2667" s="2"/>
      <c r="C2667" s="2"/>
      <c r="D2667" s="2"/>
      <c r="E2667" s="3"/>
      <c r="F2667" s="4" t="s">
        <v>16058</v>
      </c>
      <c r="G2667" s="2"/>
      <c r="H2667" s="2"/>
      <c r="I2667" s="2"/>
      <c r="J2667" s="3"/>
    </row>
    <row r="2668" spans="1:10">
      <c r="A2668" s="2" t="s">
        <v>0</v>
      </c>
      <c r="B2668" s="2" t="s">
        <v>1</v>
      </c>
      <c r="C2668" s="2" t="s">
        <v>2</v>
      </c>
      <c r="D2668" s="2" t="s">
        <v>3</v>
      </c>
      <c r="E2668" s="3" t="s">
        <v>4</v>
      </c>
      <c r="F2668" s="2" t="s">
        <v>0</v>
      </c>
      <c r="G2668" s="2" t="s">
        <v>1</v>
      </c>
      <c r="H2668" s="2" t="s">
        <v>2</v>
      </c>
      <c r="I2668" s="2" t="s">
        <v>3</v>
      </c>
      <c r="J2668" s="3" t="s">
        <v>4</v>
      </c>
    </row>
    <row r="2669" spans="1:10">
      <c r="A2669" s="1">
        <v>856880</v>
      </c>
      <c r="B2669" s="1">
        <v>3620005708</v>
      </c>
      <c r="C2669" s="1">
        <v>8</v>
      </c>
      <c r="D2669" s="1" t="s">
        <v>439</v>
      </c>
      <c r="E2669" t="s">
        <v>16137</v>
      </c>
      <c r="F2669" s="1">
        <v>285056</v>
      </c>
      <c r="G2669" s="1">
        <v>8169755815</v>
      </c>
      <c r="H2669" s="1">
        <v>6</v>
      </c>
      <c r="I2669" s="1" t="s">
        <v>439</v>
      </c>
      <c r="J2669" t="s">
        <v>16138</v>
      </c>
    </row>
    <row r="2670" spans="1:10">
      <c r="A2670" s="1">
        <v>856914</v>
      </c>
      <c r="B2670" s="1">
        <v>3620005702</v>
      </c>
      <c r="C2670" s="1">
        <v>8</v>
      </c>
      <c r="D2670" s="1" t="s">
        <v>439</v>
      </c>
      <c r="E2670" t="s">
        <v>16139</v>
      </c>
      <c r="F2670" s="1">
        <v>411173</v>
      </c>
      <c r="G2670" s="1">
        <v>8169755849</v>
      </c>
      <c r="H2670" s="1">
        <v>6</v>
      </c>
      <c r="I2670" s="1" t="s">
        <v>439</v>
      </c>
      <c r="J2670" t="s">
        <v>16140</v>
      </c>
    </row>
    <row r="2671" spans="1:10">
      <c r="A2671" s="1">
        <v>602383</v>
      </c>
      <c r="B2671" s="1">
        <v>1450000713</v>
      </c>
      <c r="C2671" s="1">
        <v>8</v>
      </c>
      <c r="D2671" s="1" t="s">
        <v>1198</v>
      </c>
      <c r="E2671" t="s">
        <v>16141</v>
      </c>
      <c r="F2671" s="1">
        <v>741207</v>
      </c>
      <c r="G2671" s="1">
        <v>8169700013</v>
      </c>
      <c r="H2671" s="1">
        <v>6</v>
      </c>
      <c r="I2671" s="1" t="s">
        <v>439</v>
      </c>
      <c r="J2671" t="s">
        <v>16142</v>
      </c>
    </row>
    <row r="2672" spans="1:10">
      <c r="A2672" s="1">
        <v>104885</v>
      </c>
      <c r="B2672" s="1">
        <v>1450000717</v>
      </c>
      <c r="C2672" s="1">
        <v>8</v>
      </c>
      <c r="D2672" s="1" t="s">
        <v>1387</v>
      </c>
      <c r="E2672" t="s">
        <v>16143</v>
      </c>
      <c r="F2672" s="1">
        <v>329755</v>
      </c>
      <c r="G2672" s="1">
        <v>8169755823</v>
      </c>
      <c r="H2672" s="1">
        <v>6</v>
      </c>
      <c r="I2672" s="1" t="s">
        <v>439</v>
      </c>
      <c r="J2672" t="s">
        <v>16144</v>
      </c>
    </row>
    <row r="2673" spans="1:10">
      <c r="A2673" s="1">
        <v>687053</v>
      </c>
      <c r="B2673" s="1">
        <v>1450001301</v>
      </c>
      <c r="C2673" s="1">
        <v>8</v>
      </c>
      <c r="D2673" s="1" t="s">
        <v>439</v>
      </c>
      <c r="E2673" t="s">
        <v>16145</v>
      </c>
      <c r="F2673" s="1">
        <v>12682</v>
      </c>
      <c r="G2673" s="1">
        <v>8169755814</v>
      </c>
      <c r="H2673" s="1">
        <v>6</v>
      </c>
      <c r="I2673" s="1" t="s">
        <v>439</v>
      </c>
      <c r="J2673" t="s">
        <v>16146</v>
      </c>
    </row>
    <row r="2674" spans="1:10">
      <c r="A2674" s="1">
        <v>754911</v>
      </c>
      <c r="B2674" s="1">
        <v>1450001303</v>
      </c>
      <c r="C2674" s="1">
        <v>8</v>
      </c>
      <c r="D2674" s="1" t="s">
        <v>439</v>
      </c>
      <c r="E2674" t="s">
        <v>16147</v>
      </c>
      <c r="F2674" s="1">
        <v>319095</v>
      </c>
      <c r="G2674" s="1">
        <v>8169755812</v>
      </c>
      <c r="H2674" s="1">
        <v>6</v>
      </c>
      <c r="I2674" s="1" t="s">
        <v>439</v>
      </c>
      <c r="J2674" t="s">
        <v>16148</v>
      </c>
    </row>
    <row r="2675" spans="1:10">
      <c r="A2675" s="1">
        <v>238386</v>
      </c>
      <c r="B2675" s="1">
        <v>1450001306</v>
      </c>
      <c r="C2675" s="1">
        <v>8</v>
      </c>
      <c r="D2675" s="1" t="s">
        <v>439</v>
      </c>
      <c r="E2675" t="s">
        <v>16149</v>
      </c>
      <c r="F2675" s="1">
        <v>539437</v>
      </c>
      <c r="G2675" s="1">
        <v>8169755824</v>
      </c>
      <c r="H2675" s="1">
        <v>6</v>
      </c>
      <c r="I2675" s="1" t="s">
        <v>439</v>
      </c>
      <c r="J2675" t="s">
        <v>16150</v>
      </c>
    </row>
    <row r="2676" spans="1:10">
      <c r="A2676" s="1">
        <v>423111</v>
      </c>
      <c r="B2676" s="1">
        <v>1450001304</v>
      </c>
      <c r="C2676" s="1">
        <v>8</v>
      </c>
      <c r="D2676" s="1" t="s">
        <v>439</v>
      </c>
      <c r="E2676" t="s">
        <v>16151</v>
      </c>
      <c r="F2676" s="1">
        <v>620864</v>
      </c>
      <c r="G2676" s="1">
        <v>5115002082</v>
      </c>
      <c r="H2676" s="1">
        <v>6</v>
      </c>
      <c r="I2676" s="1" t="s">
        <v>954</v>
      </c>
      <c r="J2676" t="s">
        <v>16152</v>
      </c>
    </row>
    <row r="2677" spans="1:10">
      <c r="A2677" s="1">
        <v>348474</v>
      </c>
      <c r="B2677" s="1">
        <v>1450001327</v>
      </c>
      <c r="C2677" s="1">
        <v>8</v>
      </c>
      <c r="D2677" s="1" t="s">
        <v>439</v>
      </c>
      <c r="E2677" t="s">
        <v>16153</v>
      </c>
      <c r="F2677" s="1">
        <v>620849</v>
      </c>
      <c r="G2677" s="1">
        <v>5115002134</v>
      </c>
      <c r="H2677" s="1">
        <v>6</v>
      </c>
      <c r="I2677" s="1" t="s">
        <v>637</v>
      </c>
      <c r="J2677" t="s">
        <v>16154</v>
      </c>
    </row>
    <row r="2678" spans="1:10">
      <c r="A2678" s="1">
        <v>418020</v>
      </c>
      <c r="B2678" s="1">
        <v>1450001302</v>
      </c>
      <c r="C2678" s="1">
        <v>8</v>
      </c>
      <c r="D2678" s="1" t="s">
        <v>439</v>
      </c>
      <c r="E2678" t="s">
        <v>16155</v>
      </c>
      <c r="F2678" s="1">
        <v>620559</v>
      </c>
      <c r="G2678" s="1">
        <v>5115002550</v>
      </c>
      <c r="H2678" s="1">
        <v>6</v>
      </c>
      <c r="I2678" s="1" t="s">
        <v>954</v>
      </c>
      <c r="J2678" t="s">
        <v>16156</v>
      </c>
    </row>
    <row r="2679" spans="1:10">
      <c r="A2679" s="1">
        <v>601096</v>
      </c>
      <c r="B2679" s="1">
        <v>1450000711</v>
      </c>
      <c r="C2679" s="1">
        <v>8</v>
      </c>
      <c r="D2679" s="1" t="s">
        <v>1198</v>
      </c>
      <c r="E2679" t="s">
        <v>16157</v>
      </c>
      <c r="F2679" s="1">
        <v>620880</v>
      </c>
      <c r="G2679" s="1">
        <v>5115002210</v>
      </c>
      <c r="H2679" s="1">
        <v>6</v>
      </c>
      <c r="I2679" s="1" t="s">
        <v>954</v>
      </c>
      <c r="J2679" t="s">
        <v>16158</v>
      </c>
    </row>
    <row r="2680" spans="1:10">
      <c r="A2680" s="1">
        <v>848226</v>
      </c>
      <c r="B2680" s="1">
        <v>1450000727</v>
      </c>
      <c r="C2680" s="1">
        <v>8</v>
      </c>
      <c r="D2680" s="1" t="s">
        <v>1198</v>
      </c>
      <c r="E2680" t="s">
        <v>16159</v>
      </c>
      <c r="F2680" s="1">
        <v>620765</v>
      </c>
      <c r="G2680" s="1">
        <v>5115002202</v>
      </c>
      <c r="H2680" s="1">
        <v>6</v>
      </c>
      <c r="I2680" s="1" t="s">
        <v>954</v>
      </c>
      <c r="J2680" t="s">
        <v>16160</v>
      </c>
    </row>
    <row r="2681" spans="1:10">
      <c r="A2681" s="1">
        <v>613307</v>
      </c>
      <c r="B2681" s="1">
        <v>7198404509</v>
      </c>
      <c r="C2681" s="1">
        <v>12</v>
      </c>
      <c r="D2681" s="1" t="s">
        <v>381</v>
      </c>
      <c r="E2681" t="s">
        <v>16161</v>
      </c>
      <c r="F2681" s="1">
        <v>451286</v>
      </c>
      <c r="G2681" s="1">
        <v>73639380125</v>
      </c>
      <c r="H2681" s="1">
        <v>8</v>
      </c>
      <c r="I2681" s="1" t="s">
        <v>363</v>
      </c>
      <c r="J2681" t="s">
        <v>16162</v>
      </c>
    </row>
    <row r="2682" spans="1:10">
      <c r="A2682" s="1">
        <v>613323</v>
      </c>
      <c r="B2682" s="1">
        <v>7198404508</v>
      </c>
      <c r="C2682" s="1">
        <v>12</v>
      </c>
      <c r="D2682" s="1" t="s">
        <v>259</v>
      </c>
      <c r="E2682" t="s">
        <v>16163</v>
      </c>
      <c r="F2682" s="1">
        <v>396432</v>
      </c>
      <c r="G2682" s="1">
        <v>73639380155</v>
      </c>
      <c r="H2682" s="1">
        <v>8</v>
      </c>
      <c r="I2682" s="1" t="s">
        <v>363</v>
      </c>
      <c r="J2682" t="s">
        <v>16164</v>
      </c>
    </row>
    <row r="2683" spans="1:10">
      <c r="A2683" s="1">
        <v>750109</v>
      </c>
      <c r="B2683" s="1">
        <v>7198404604</v>
      </c>
      <c r="C2683" s="1">
        <v>12</v>
      </c>
      <c r="D2683" s="1" t="s">
        <v>503</v>
      </c>
      <c r="E2683" t="s">
        <v>16165</v>
      </c>
      <c r="F2683" s="1">
        <v>546127</v>
      </c>
      <c r="G2683" s="1">
        <v>73639380152</v>
      </c>
      <c r="H2683" s="1">
        <v>6</v>
      </c>
      <c r="I2683" s="1" t="s">
        <v>469</v>
      </c>
      <c r="J2683" t="s">
        <v>16166</v>
      </c>
    </row>
    <row r="2684" spans="1:10">
      <c r="A2684" s="1">
        <v>369843</v>
      </c>
      <c r="B2684" s="1">
        <v>7198404642</v>
      </c>
      <c r="C2684" s="1">
        <v>12</v>
      </c>
      <c r="D2684" s="1" t="s">
        <v>381</v>
      </c>
      <c r="E2684" t="s">
        <v>16167</v>
      </c>
      <c r="F2684" s="1">
        <v>608430</v>
      </c>
      <c r="G2684" s="1">
        <v>5010045962</v>
      </c>
      <c r="H2684" s="1">
        <v>12</v>
      </c>
      <c r="I2684" s="1" t="s">
        <v>363</v>
      </c>
      <c r="J2684" t="s">
        <v>16168</v>
      </c>
    </row>
    <row r="2685" spans="1:10">
      <c r="A2685" s="1">
        <v>610204</v>
      </c>
      <c r="B2685" s="1">
        <v>7198404573</v>
      </c>
      <c r="C2685" s="1">
        <v>12</v>
      </c>
      <c r="D2685" s="1" t="s">
        <v>910</v>
      </c>
      <c r="E2685" t="s">
        <v>16169</v>
      </c>
      <c r="F2685" s="1">
        <v>608273</v>
      </c>
      <c r="G2685" s="1">
        <v>5010045956</v>
      </c>
      <c r="H2685" s="1">
        <v>12</v>
      </c>
      <c r="I2685" s="1" t="s">
        <v>615</v>
      </c>
      <c r="J2685" t="s">
        <v>16170</v>
      </c>
    </row>
    <row r="2686" spans="1:10">
      <c r="A2686" s="1">
        <v>457531</v>
      </c>
      <c r="B2686" s="1">
        <v>7198404601</v>
      </c>
      <c r="C2686" s="1">
        <v>12</v>
      </c>
      <c r="D2686" s="1" t="s">
        <v>949</v>
      </c>
      <c r="E2686" t="s">
        <v>16171</v>
      </c>
      <c r="F2686" s="1">
        <v>476093</v>
      </c>
      <c r="G2686" s="1">
        <v>7265540501</v>
      </c>
      <c r="H2686" s="1">
        <v>8</v>
      </c>
      <c r="I2686" s="1" t="s">
        <v>489</v>
      </c>
      <c r="J2686" t="s">
        <v>16172</v>
      </c>
    </row>
    <row r="2687" spans="1:10">
      <c r="A2687" s="1">
        <v>840025</v>
      </c>
      <c r="B2687" s="1">
        <v>7198404585</v>
      </c>
      <c r="C2687" s="1">
        <v>12</v>
      </c>
      <c r="D2687" s="1" t="s">
        <v>742</v>
      </c>
      <c r="E2687" t="s">
        <v>16173</v>
      </c>
      <c r="F2687" s="1">
        <v>612515</v>
      </c>
      <c r="G2687" s="1">
        <v>5010045973</v>
      </c>
      <c r="H2687" s="1">
        <v>12</v>
      </c>
      <c r="I2687" s="1" t="s">
        <v>363</v>
      </c>
      <c r="J2687" t="s">
        <v>16174</v>
      </c>
    </row>
    <row r="2688" spans="1:10">
      <c r="A2688" s="1">
        <v>610550</v>
      </c>
      <c r="B2688" s="1">
        <v>7198404532</v>
      </c>
      <c r="C2688" s="1">
        <v>12</v>
      </c>
      <c r="D2688" s="1" t="s">
        <v>347</v>
      </c>
      <c r="E2688" t="s">
        <v>16175</v>
      </c>
      <c r="F2688" s="1">
        <v>608349</v>
      </c>
      <c r="G2688" s="1">
        <v>5010045960</v>
      </c>
      <c r="H2688" s="1">
        <v>12</v>
      </c>
      <c r="I2688" s="1" t="s">
        <v>703</v>
      </c>
      <c r="J2688" t="s">
        <v>16176</v>
      </c>
    </row>
    <row r="2689" spans="1:10">
      <c r="A2689" s="1">
        <v>840017</v>
      </c>
      <c r="B2689" s="1">
        <v>7198404584</v>
      </c>
      <c r="C2689" s="1">
        <v>12</v>
      </c>
      <c r="D2689" s="1" t="s">
        <v>347</v>
      </c>
      <c r="E2689" t="s">
        <v>16177</v>
      </c>
      <c r="F2689" s="1">
        <v>608265</v>
      </c>
      <c r="G2689" s="1">
        <v>5010045954</v>
      </c>
      <c r="H2689" s="1">
        <v>12</v>
      </c>
      <c r="I2689" s="1" t="s">
        <v>580</v>
      </c>
      <c r="J2689" t="s">
        <v>16178</v>
      </c>
    </row>
    <row r="2690" spans="1:10">
      <c r="A2690" s="1">
        <v>610436</v>
      </c>
      <c r="B2690" s="1">
        <v>7198404502</v>
      </c>
      <c r="C2690" s="1">
        <v>12</v>
      </c>
      <c r="D2690" s="1" t="s">
        <v>381</v>
      </c>
      <c r="E2690" t="s">
        <v>16177</v>
      </c>
      <c r="F2690" s="1">
        <v>624817</v>
      </c>
      <c r="G2690" s="1">
        <v>5010045972</v>
      </c>
      <c r="H2690" s="1">
        <v>12</v>
      </c>
      <c r="I2690" s="1" t="s">
        <v>363</v>
      </c>
      <c r="J2690" t="s">
        <v>16179</v>
      </c>
    </row>
    <row r="2691" spans="1:10">
      <c r="A2691" s="1">
        <v>610782</v>
      </c>
      <c r="B2691" s="1">
        <v>7198404524</v>
      </c>
      <c r="C2691" s="1">
        <v>12</v>
      </c>
      <c r="D2691" s="1" t="s">
        <v>381</v>
      </c>
      <c r="E2691" t="s">
        <v>16180</v>
      </c>
      <c r="F2691" s="1">
        <v>609537</v>
      </c>
      <c r="G2691" s="1">
        <v>5010040672</v>
      </c>
      <c r="H2691" s="1">
        <v>12</v>
      </c>
      <c r="I2691" s="1" t="s">
        <v>365</v>
      </c>
      <c r="J2691" t="s">
        <v>16181</v>
      </c>
    </row>
    <row r="2692" spans="1:10">
      <c r="A2692" s="1">
        <v>613109</v>
      </c>
      <c r="B2692" s="1">
        <v>7198404510</v>
      </c>
      <c r="C2692" s="1">
        <v>12</v>
      </c>
      <c r="D2692" s="1" t="s">
        <v>381</v>
      </c>
      <c r="E2692" t="s">
        <v>16182</v>
      </c>
      <c r="F2692" s="1">
        <v>608398</v>
      </c>
      <c r="G2692" s="1">
        <v>5010045963</v>
      </c>
      <c r="H2692" s="1">
        <v>12</v>
      </c>
      <c r="I2692" s="1" t="s">
        <v>370</v>
      </c>
      <c r="J2692" t="s">
        <v>16183</v>
      </c>
    </row>
    <row r="2693" spans="1:10">
      <c r="A2693" s="1">
        <v>840520</v>
      </c>
      <c r="B2693" s="1">
        <v>7198404580</v>
      </c>
      <c r="C2693" s="1">
        <v>12</v>
      </c>
      <c r="D2693" s="1" t="s">
        <v>546</v>
      </c>
      <c r="E2693" t="s">
        <v>16184</v>
      </c>
      <c r="F2693" s="1">
        <v>391623</v>
      </c>
      <c r="G2693" s="1">
        <v>7265540505</v>
      </c>
      <c r="H2693" s="1">
        <v>8</v>
      </c>
      <c r="I2693" s="1" t="s">
        <v>16185</v>
      </c>
      <c r="J2693" t="s">
        <v>16186</v>
      </c>
    </row>
    <row r="2694" spans="1:10">
      <c r="A2694" s="1">
        <v>610378</v>
      </c>
      <c r="B2694" s="1">
        <v>7198404575</v>
      </c>
      <c r="C2694" s="1">
        <v>12</v>
      </c>
      <c r="D2694" s="1" t="s">
        <v>910</v>
      </c>
      <c r="E2694" t="s">
        <v>16187</v>
      </c>
      <c r="F2694" s="1">
        <v>302059</v>
      </c>
      <c r="G2694" s="1">
        <v>7265540510</v>
      </c>
      <c r="H2694" s="1">
        <v>8</v>
      </c>
      <c r="I2694" s="1" t="s">
        <v>489</v>
      </c>
      <c r="J2694" t="s">
        <v>16188</v>
      </c>
    </row>
    <row r="2695" spans="1:10">
      <c r="A2695" s="1">
        <v>227892</v>
      </c>
      <c r="B2695" s="1">
        <v>7198404603</v>
      </c>
      <c r="C2695" s="1">
        <v>12</v>
      </c>
      <c r="D2695" s="1" t="s">
        <v>489</v>
      </c>
      <c r="E2695" t="s">
        <v>16189</v>
      </c>
      <c r="F2695" s="1">
        <v>838698</v>
      </c>
      <c r="G2695" s="1">
        <v>7265540502</v>
      </c>
      <c r="H2695" s="1">
        <v>8</v>
      </c>
      <c r="I2695" s="1" t="s">
        <v>489</v>
      </c>
      <c r="J2695" t="s">
        <v>16190</v>
      </c>
    </row>
    <row r="2696" spans="1:10">
      <c r="A2696" s="1">
        <v>276113</v>
      </c>
      <c r="B2696" s="1">
        <v>7336907061</v>
      </c>
      <c r="C2696" s="1">
        <v>12</v>
      </c>
      <c r="D2696" s="1" t="s">
        <v>358</v>
      </c>
      <c r="E2696" t="s">
        <v>16191</v>
      </c>
      <c r="F2696" s="1">
        <v>288662</v>
      </c>
      <c r="G2696" s="1">
        <v>7265540500</v>
      </c>
      <c r="H2696" s="1">
        <v>8</v>
      </c>
      <c r="I2696" s="1" t="s">
        <v>489</v>
      </c>
      <c r="J2696" t="s">
        <v>16192</v>
      </c>
    </row>
    <row r="2697" spans="1:10">
      <c r="A2697" s="1">
        <v>608042</v>
      </c>
      <c r="B2697" s="1">
        <v>2113150645</v>
      </c>
      <c r="C2697" s="1">
        <v>8</v>
      </c>
      <c r="D2697" s="1" t="s">
        <v>259</v>
      </c>
      <c r="E2697" t="s">
        <v>16193</v>
      </c>
      <c r="F2697" s="1">
        <v>607630</v>
      </c>
      <c r="G2697" s="1">
        <v>5010045975</v>
      </c>
      <c r="H2697" s="1">
        <v>12</v>
      </c>
      <c r="I2697" s="1" t="s">
        <v>1301</v>
      </c>
      <c r="J2697" t="s">
        <v>16194</v>
      </c>
    </row>
    <row r="2698" spans="1:10">
      <c r="A2698" s="1">
        <v>640292</v>
      </c>
      <c r="B2698" s="1">
        <v>2113150605</v>
      </c>
      <c r="C2698" s="1">
        <v>8</v>
      </c>
      <c r="D2698" s="1" t="s">
        <v>381</v>
      </c>
      <c r="E2698" t="s">
        <v>16195</v>
      </c>
      <c r="F2698" s="1">
        <v>608422</v>
      </c>
      <c r="G2698" s="1">
        <v>5010045965</v>
      </c>
      <c r="H2698" s="1">
        <v>12</v>
      </c>
      <c r="I2698" s="1" t="s">
        <v>16196</v>
      </c>
      <c r="J2698" t="s">
        <v>16197</v>
      </c>
    </row>
    <row r="2699" spans="1:10">
      <c r="A2699" s="1">
        <v>640771</v>
      </c>
      <c r="B2699" s="1">
        <v>2113150647</v>
      </c>
      <c r="C2699" s="1">
        <v>8</v>
      </c>
      <c r="D2699" s="1" t="s">
        <v>381</v>
      </c>
      <c r="E2699" t="s">
        <v>16198</v>
      </c>
      <c r="F2699" s="1">
        <v>608208</v>
      </c>
      <c r="G2699" s="1">
        <v>5010045951</v>
      </c>
      <c r="H2699" s="1">
        <v>12</v>
      </c>
      <c r="I2699" s="1" t="s">
        <v>370</v>
      </c>
      <c r="J2699" t="s">
        <v>16199</v>
      </c>
    </row>
    <row r="2700" spans="1:10">
      <c r="A2700" s="1">
        <v>635136</v>
      </c>
      <c r="B2700" s="1">
        <v>2113150630</v>
      </c>
      <c r="C2700" s="1">
        <v>8</v>
      </c>
      <c r="D2700" s="1" t="s">
        <v>259</v>
      </c>
      <c r="E2700" t="s">
        <v>16200</v>
      </c>
      <c r="F2700" s="1">
        <v>187617</v>
      </c>
      <c r="G2700" s="1">
        <v>7265540507</v>
      </c>
      <c r="H2700" s="1">
        <v>8</v>
      </c>
      <c r="I2700" s="1" t="s">
        <v>489</v>
      </c>
      <c r="J2700" t="s">
        <v>16201</v>
      </c>
    </row>
    <row r="2701" spans="1:10">
      <c r="A2701" s="1">
        <v>648204</v>
      </c>
      <c r="B2701" s="1">
        <v>2113145107</v>
      </c>
      <c r="C2701" s="1">
        <v>4</v>
      </c>
      <c r="D2701" s="1" t="s">
        <v>3077</v>
      </c>
      <c r="E2701" t="s">
        <v>16202</v>
      </c>
      <c r="F2701" s="1">
        <v>755744</v>
      </c>
      <c r="G2701" s="1">
        <v>7265540508</v>
      </c>
      <c r="H2701" s="1">
        <v>8</v>
      </c>
      <c r="I2701" s="1" t="s">
        <v>6466</v>
      </c>
      <c r="J2701" t="s">
        <v>16203</v>
      </c>
    </row>
    <row r="2702" spans="1:10">
      <c r="A2702" s="1">
        <v>640748</v>
      </c>
      <c r="B2702" s="1">
        <v>2113150560</v>
      </c>
      <c r="C2702" s="1">
        <v>8</v>
      </c>
      <c r="D2702" s="1" t="s">
        <v>259</v>
      </c>
      <c r="E2702" t="s">
        <v>16204</v>
      </c>
      <c r="F2702" s="1">
        <v>497164</v>
      </c>
      <c r="G2702" s="1">
        <v>7265540503</v>
      </c>
      <c r="H2702" s="1">
        <v>8</v>
      </c>
      <c r="I2702" s="1" t="s">
        <v>489</v>
      </c>
      <c r="J2702" t="s">
        <v>16205</v>
      </c>
    </row>
    <row r="2703" spans="1:10">
      <c r="A2703" s="1">
        <v>635938</v>
      </c>
      <c r="B2703" s="1">
        <v>2113150635</v>
      </c>
      <c r="C2703" s="1">
        <v>8</v>
      </c>
      <c r="D2703" s="1" t="s">
        <v>910</v>
      </c>
      <c r="E2703" t="s">
        <v>16206</v>
      </c>
      <c r="F2703" s="1">
        <v>181545</v>
      </c>
      <c r="G2703" s="1">
        <v>7265540509</v>
      </c>
      <c r="H2703" s="1">
        <v>8</v>
      </c>
      <c r="I2703" s="1" t="s">
        <v>434</v>
      </c>
      <c r="J2703" t="s">
        <v>16207</v>
      </c>
    </row>
    <row r="2704" spans="1:10">
      <c r="A2704" s="1">
        <v>641423</v>
      </c>
      <c r="B2704" s="1">
        <v>2113150713</v>
      </c>
      <c r="C2704" s="1">
        <v>8</v>
      </c>
      <c r="D2704" s="1" t="s">
        <v>1409</v>
      </c>
      <c r="E2704" t="s">
        <v>16208</v>
      </c>
      <c r="F2704" s="1">
        <v>489021</v>
      </c>
      <c r="G2704" s="1">
        <v>7265540519</v>
      </c>
      <c r="H2704" s="1">
        <v>8</v>
      </c>
      <c r="I2704" s="1" t="s">
        <v>489</v>
      </c>
      <c r="J2704" t="s">
        <v>16209</v>
      </c>
    </row>
    <row r="2705" spans="1:10">
      <c r="A2705" s="1">
        <v>611244</v>
      </c>
      <c r="B2705" s="1">
        <v>4164612367</v>
      </c>
      <c r="C2705" s="1">
        <v>12</v>
      </c>
      <c r="D2705" s="1" t="s">
        <v>259</v>
      </c>
      <c r="E2705" t="s">
        <v>16210</v>
      </c>
      <c r="F2705" s="1">
        <v>818955</v>
      </c>
      <c r="G2705" s="1">
        <v>7265540526</v>
      </c>
      <c r="H2705" s="1">
        <v>12</v>
      </c>
      <c r="I2705" s="1" t="s">
        <v>489</v>
      </c>
      <c r="J2705" t="s">
        <v>16211</v>
      </c>
    </row>
    <row r="2706" spans="1:10">
      <c r="A2706" s="1">
        <v>611301</v>
      </c>
      <c r="B2706" s="1">
        <v>4164612366</v>
      </c>
      <c r="C2706" s="1">
        <v>12</v>
      </c>
      <c r="D2706" s="1" t="s">
        <v>259</v>
      </c>
      <c r="E2706" t="s">
        <v>16212</v>
      </c>
      <c r="F2706" s="1">
        <v>674556</v>
      </c>
      <c r="G2706" s="1">
        <v>7265540527</v>
      </c>
      <c r="H2706" s="1">
        <v>12</v>
      </c>
      <c r="I2706" s="1" t="s">
        <v>1372</v>
      </c>
      <c r="J2706" t="s">
        <v>16213</v>
      </c>
    </row>
    <row r="2707" spans="1:10">
      <c r="A2707" s="1">
        <v>773317</v>
      </c>
      <c r="B2707" s="1">
        <v>8169755816</v>
      </c>
      <c r="C2707" s="1">
        <v>6</v>
      </c>
      <c r="D2707" s="1" t="s">
        <v>439</v>
      </c>
      <c r="E2707" t="s">
        <v>16214</v>
      </c>
      <c r="F2707" s="1">
        <v>511204</v>
      </c>
      <c r="G2707" s="1">
        <v>7265540528</v>
      </c>
      <c r="H2707" s="1">
        <v>12</v>
      </c>
      <c r="I2707" s="1" t="s">
        <v>16215</v>
      </c>
      <c r="J2707" t="s">
        <v>16216</v>
      </c>
    </row>
    <row r="2708" spans="1:10" ht="15.75">
      <c r="A2708" s="4" t="s">
        <v>16058</v>
      </c>
      <c r="B2708" s="2"/>
      <c r="C2708" s="2"/>
      <c r="D2708" s="2"/>
      <c r="E2708" s="3"/>
      <c r="F2708" s="4" t="s">
        <v>16058</v>
      </c>
      <c r="G2708" s="2"/>
      <c r="H2708" s="2"/>
      <c r="I2708" s="2"/>
      <c r="J2708" s="3"/>
    </row>
    <row r="2709" spans="1:10">
      <c r="A2709" s="2" t="s">
        <v>0</v>
      </c>
      <c r="B2709" s="2" t="s">
        <v>1</v>
      </c>
      <c r="C2709" s="2" t="s">
        <v>2</v>
      </c>
      <c r="D2709" s="2" t="s">
        <v>3</v>
      </c>
      <c r="E2709" s="3" t="s">
        <v>4</v>
      </c>
      <c r="F2709" s="2" t="s">
        <v>0</v>
      </c>
      <c r="G2709" s="2" t="s">
        <v>1</v>
      </c>
      <c r="H2709" s="2" t="s">
        <v>2</v>
      </c>
      <c r="I2709" s="2" t="s">
        <v>3</v>
      </c>
      <c r="J2709" s="3" t="s">
        <v>4</v>
      </c>
    </row>
    <row r="2710" spans="1:10">
      <c r="A2710" s="1">
        <v>787390</v>
      </c>
      <c r="B2710" s="1">
        <v>7265540513</v>
      </c>
      <c r="C2710" s="1">
        <v>8</v>
      </c>
      <c r="D2710" s="1" t="s">
        <v>489</v>
      </c>
      <c r="E2710" t="s">
        <v>16217</v>
      </c>
      <c r="F2710" s="1">
        <v>607655</v>
      </c>
      <c r="G2710" s="1">
        <v>3100019624</v>
      </c>
      <c r="H2710" s="1">
        <v>12</v>
      </c>
      <c r="I2710" s="1" t="s">
        <v>399</v>
      </c>
      <c r="J2710" t="s">
        <v>16218</v>
      </c>
    </row>
    <row r="2711" spans="1:10">
      <c r="A2711" s="1">
        <v>142950</v>
      </c>
      <c r="B2711" s="1">
        <v>7265540517</v>
      </c>
      <c r="C2711" s="1">
        <v>8</v>
      </c>
      <c r="D2711" s="1" t="s">
        <v>489</v>
      </c>
      <c r="E2711" t="s">
        <v>16219</v>
      </c>
      <c r="F2711" s="1">
        <v>607622</v>
      </c>
      <c r="G2711" s="1">
        <v>3100019603</v>
      </c>
      <c r="H2711" s="1">
        <v>12</v>
      </c>
      <c r="I2711" s="1" t="s">
        <v>399</v>
      </c>
      <c r="J2711" t="s">
        <v>16220</v>
      </c>
    </row>
    <row r="2712" spans="1:10">
      <c r="A2712" s="1">
        <v>166082</v>
      </c>
      <c r="B2712" s="1">
        <v>7265540530</v>
      </c>
      <c r="C2712" s="1">
        <v>12</v>
      </c>
      <c r="D2712" s="1" t="s">
        <v>489</v>
      </c>
      <c r="E2712" t="s">
        <v>16221</v>
      </c>
      <c r="F2712" s="1">
        <v>607515</v>
      </c>
      <c r="G2712" s="1">
        <v>3100019607</v>
      </c>
      <c r="H2712" s="1">
        <v>12</v>
      </c>
      <c r="I2712" s="1" t="s">
        <v>1301</v>
      </c>
      <c r="J2712" t="s">
        <v>16222</v>
      </c>
    </row>
    <row r="2713" spans="1:10">
      <c r="A2713" s="1">
        <v>335521</v>
      </c>
      <c r="B2713" s="1">
        <v>7265523018</v>
      </c>
      <c r="C2713" s="1">
        <v>12</v>
      </c>
      <c r="D2713" s="1" t="s">
        <v>347</v>
      </c>
      <c r="E2713" t="s">
        <v>16223</v>
      </c>
      <c r="F2713" s="1">
        <v>463182</v>
      </c>
      <c r="G2713" s="1">
        <v>3100019678</v>
      </c>
      <c r="H2713" s="1">
        <v>12</v>
      </c>
      <c r="I2713" s="1" t="s">
        <v>360</v>
      </c>
      <c r="J2713" t="s">
        <v>16224</v>
      </c>
    </row>
    <row r="2714" spans="1:10">
      <c r="A2714" s="1">
        <v>608091</v>
      </c>
      <c r="B2714" s="1">
        <v>5010040690</v>
      </c>
      <c r="C2714" s="1">
        <v>12</v>
      </c>
      <c r="D2714" s="1" t="s">
        <v>365</v>
      </c>
      <c r="E2714" t="s">
        <v>16225</v>
      </c>
      <c r="F2714" s="1">
        <v>694422</v>
      </c>
      <c r="G2714" s="1">
        <v>3100019685</v>
      </c>
      <c r="H2714" s="1">
        <v>12</v>
      </c>
      <c r="I2714" s="1" t="s">
        <v>2173</v>
      </c>
      <c r="J2714" t="s">
        <v>16226</v>
      </c>
    </row>
    <row r="2715" spans="1:10">
      <c r="A2715" s="1">
        <v>608323</v>
      </c>
      <c r="B2715" s="1">
        <v>5010045987</v>
      </c>
      <c r="C2715" s="1">
        <v>12</v>
      </c>
      <c r="D2715" s="1" t="s">
        <v>1303</v>
      </c>
      <c r="E2715" t="s">
        <v>16227</v>
      </c>
      <c r="F2715" s="1">
        <v>557801</v>
      </c>
      <c r="G2715" s="1">
        <v>3100019682</v>
      </c>
      <c r="H2715" s="1">
        <v>12</v>
      </c>
      <c r="I2715" s="1" t="s">
        <v>16228</v>
      </c>
      <c r="J2715" t="s">
        <v>16229</v>
      </c>
    </row>
    <row r="2716" spans="1:10">
      <c r="A2716" s="1">
        <v>611830</v>
      </c>
      <c r="B2716" s="1">
        <v>5010040806</v>
      </c>
      <c r="C2716" s="1">
        <v>12</v>
      </c>
      <c r="D2716" s="1" t="s">
        <v>7531</v>
      </c>
      <c r="E2716" t="s">
        <v>16230</v>
      </c>
      <c r="F2716" s="1">
        <v>646398</v>
      </c>
      <c r="G2716" s="1">
        <v>1380016608</v>
      </c>
      <c r="H2716" s="1">
        <v>12</v>
      </c>
      <c r="I2716" s="1" t="s">
        <v>399</v>
      </c>
      <c r="J2716" t="s">
        <v>16231</v>
      </c>
    </row>
    <row r="2717" spans="1:10">
      <c r="A2717" s="1">
        <v>625368</v>
      </c>
      <c r="B2717" s="1">
        <v>5010045974</v>
      </c>
      <c r="C2717" s="1">
        <v>12</v>
      </c>
      <c r="D2717" s="1" t="s">
        <v>347</v>
      </c>
      <c r="E2717" t="s">
        <v>16232</v>
      </c>
      <c r="F2717" s="1">
        <v>628156</v>
      </c>
      <c r="G2717" s="1">
        <v>1380044517</v>
      </c>
      <c r="H2717" s="1">
        <v>12</v>
      </c>
      <c r="I2717" s="1" t="s">
        <v>404</v>
      </c>
      <c r="J2717" t="s">
        <v>16233</v>
      </c>
    </row>
    <row r="2718" spans="1:10">
      <c r="A2718" s="1">
        <v>608224</v>
      </c>
      <c r="B2718" s="1">
        <v>7265540711</v>
      </c>
      <c r="C2718" s="1">
        <v>12</v>
      </c>
      <c r="D2718" s="1" t="s">
        <v>365</v>
      </c>
      <c r="E2718" t="s">
        <v>16234</v>
      </c>
      <c r="F2718" s="1">
        <v>430322</v>
      </c>
      <c r="G2718" s="1">
        <v>1380014407</v>
      </c>
      <c r="H2718" s="1">
        <v>12</v>
      </c>
      <c r="I2718" s="1" t="s">
        <v>16235</v>
      </c>
      <c r="J2718" t="s">
        <v>16236</v>
      </c>
    </row>
    <row r="2719" spans="1:10">
      <c r="A2719" s="1">
        <v>390419</v>
      </c>
      <c r="B2719" s="1">
        <v>7265540511</v>
      </c>
      <c r="C2719" s="1">
        <v>8</v>
      </c>
      <c r="D2719" s="1" t="s">
        <v>1301</v>
      </c>
      <c r="E2719" t="s">
        <v>16237</v>
      </c>
      <c r="F2719" s="1">
        <v>64402</v>
      </c>
      <c r="G2719" s="1">
        <v>1380064152</v>
      </c>
      <c r="H2719" s="1">
        <v>12</v>
      </c>
      <c r="I2719" s="1" t="s">
        <v>489</v>
      </c>
      <c r="J2719" t="s">
        <v>16238</v>
      </c>
    </row>
    <row r="2720" spans="1:10">
      <c r="A2720" s="1">
        <v>608505</v>
      </c>
      <c r="B2720" s="1">
        <v>5010040821</v>
      </c>
      <c r="C2720" s="1">
        <v>12</v>
      </c>
      <c r="D2720" s="1" t="s">
        <v>717</v>
      </c>
      <c r="E2720" t="s">
        <v>16239</v>
      </c>
      <c r="F2720" s="1">
        <v>750687</v>
      </c>
      <c r="G2720" s="1">
        <v>1380017420</v>
      </c>
      <c r="H2720" s="1">
        <v>12</v>
      </c>
      <c r="I2720" s="1" t="s">
        <v>489</v>
      </c>
      <c r="J2720" t="s">
        <v>16240</v>
      </c>
    </row>
    <row r="2721" spans="1:10">
      <c r="A2721" s="1">
        <v>608216</v>
      </c>
      <c r="B2721" s="1">
        <v>5010045950</v>
      </c>
      <c r="C2721" s="1">
        <v>12</v>
      </c>
      <c r="D2721" s="1" t="s">
        <v>742</v>
      </c>
      <c r="E2721" t="s">
        <v>16241</v>
      </c>
      <c r="F2721" s="1">
        <v>628511</v>
      </c>
      <c r="G2721" s="1">
        <v>1380016697</v>
      </c>
      <c r="H2721" s="1">
        <v>12</v>
      </c>
      <c r="I2721" s="1" t="s">
        <v>489</v>
      </c>
      <c r="J2721" t="s">
        <v>16242</v>
      </c>
    </row>
    <row r="2722" spans="1:10">
      <c r="A2722" s="1">
        <v>608679</v>
      </c>
      <c r="B2722" s="1">
        <v>7265540720</v>
      </c>
      <c r="C2722" s="1">
        <v>12</v>
      </c>
      <c r="D2722" s="1" t="s">
        <v>399</v>
      </c>
      <c r="E2722" t="s">
        <v>16241</v>
      </c>
      <c r="F2722" s="1">
        <v>883157</v>
      </c>
      <c r="G2722" s="1">
        <v>1380044608</v>
      </c>
      <c r="H2722" s="1">
        <v>12</v>
      </c>
      <c r="I2722" s="1" t="s">
        <v>404</v>
      </c>
      <c r="J2722" t="s">
        <v>16243</v>
      </c>
    </row>
    <row r="2723" spans="1:10">
      <c r="A2723" s="1">
        <v>608257</v>
      </c>
      <c r="B2723" s="1">
        <v>5010045953</v>
      </c>
      <c r="C2723" s="1">
        <v>12</v>
      </c>
      <c r="D2723" s="1" t="s">
        <v>347</v>
      </c>
      <c r="E2723" t="s">
        <v>16244</v>
      </c>
      <c r="F2723" s="1">
        <v>37267</v>
      </c>
      <c r="G2723" s="1">
        <v>1380055121</v>
      </c>
      <c r="H2723" s="1">
        <v>12</v>
      </c>
      <c r="I2723" s="1" t="s">
        <v>546</v>
      </c>
      <c r="J2723" t="s">
        <v>16245</v>
      </c>
    </row>
    <row r="2724" spans="1:10">
      <c r="A2724" s="1">
        <v>474957</v>
      </c>
      <c r="B2724" s="1">
        <v>7265523100</v>
      </c>
      <c r="C2724" s="1">
        <v>12</v>
      </c>
      <c r="D2724" s="1" t="s">
        <v>404</v>
      </c>
      <c r="E2724" t="s">
        <v>16246</v>
      </c>
      <c r="F2724" s="1">
        <v>625111</v>
      </c>
      <c r="G2724" s="1">
        <v>1380017137</v>
      </c>
      <c r="H2724" s="1">
        <v>12</v>
      </c>
      <c r="I2724" s="1" t="s">
        <v>546</v>
      </c>
      <c r="J2724" t="s">
        <v>16247</v>
      </c>
    </row>
    <row r="2725" spans="1:10">
      <c r="A2725" s="1">
        <v>611798</v>
      </c>
      <c r="B2725" s="1">
        <v>5010040803</v>
      </c>
      <c r="C2725" s="1">
        <v>12</v>
      </c>
      <c r="D2725" s="1" t="s">
        <v>489</v>
      </c>
      <c r="E2725" t="s">
        <v>16248</v>
      </c>
      <c r="F2725" s="1">
        <v>613398</v>
      </c>
      <c r="G2725" s="1">
        <v>1380016686</v>
      </c>
      <c r="H2725" s="1">
        <v>12</v>
      </c>
      <c r="I2725" s="1" t="s">
        <v>365</v>
      </c>
      <c r="J2725" t="s">
        <v>16249</v>
      </c>
    </row>
    <row r="2726" spans="1:10">
      <c r="A2726" s="1">
        <v>472944</v>
      </c>
      <c r="B2726" s="1">
        <v>1862729296</v>
      </c>
      <c r="C2726" s="1">
        <v>8</v>
      </c>
      <c r="D2726" s="1" t="s">
        <v>489</v>
      </c>
      <c r="E2726" t="s">
        <v>16250</v>
      </c>
      <c r="F2726" s="1">
        <v>646760</v>
      </c>
      <c r="G2726" s="1">
        <v>1380017201</v>
      </c>
      <c r="H2726" s="1">
        <v>12</v>
      </c>
      <c r="I2726" s="1" t="s">
        <v>546</v>
      </c>
      <c r="J2726" t="s">
        <v>16251</v>
      </c>
    </row>
    <row r="2727" spans="1:10">
      <c r="A2727" s="1">
        <v>479980</v>
      </c>
      <c r="B2727" s="1">
        <v>1862732909</v>
      </c>
      <c r="C2727" s="1">
        <v>8</v>
      </c>
      <c r="D2727" s="1" t="s">
        <v>489</v>
      </c>
      <c r="E2727" t="s">
        <v>16252</v>
      </c>
      <c r="F2727" s="1">
        <v>645861</v>
      </c>
      <c r="G2727" s="1">
        <v>1380014406</v>
      </c>
      <c r="H2727" s="1">
        <v>12</v>
      </c>
      <c r="I2727" s="1" t="s">
        <v>16235</v>
      </c>
      <c r="J2727" t="s">
        <v>16253</v>
      </c>
    </row>
    <row r="2728" spans="1:10">
      <c r="A2728" s="1">
        <v>255653</v>
      </c>
      <c r="B2728" s="1">
        <v>1862738102</v>
      </c>
      <c r="C2728" s="1">
        <v>8</v>
      </c>
      <c r="D2728" s="1" t="s">
        <v>781</v>
      </c>
      <c r="E2728" t="s">
        <v>16254</v>
      </c>
      <c r="F2728" s="1">
        <v>614107</v>
      </c>
      <c r="G2728" s="1">
        <v>1380055555</v>
      </c>
      <c r="H2728" s="1">
        <v>12</v>
      </c>
      <c r="I2728" s="1" t="s">
        <v>546</v>
      </c>
      <c r="J2728" t="s">
        <v>16255</v>
      </c>
    </row>
    <row r="2729" spans="1:10">
      <c r="A2729" s="1">
        <v>324913</v>
      </c>
      <c r="B2729" s="1">
        <v>1862729284</v>
      </c>
      <c r="C2729" s="1">
        <v>8</v>
      </c>
      <c r="D2729" s="1" t="s">
        <v>489</v>
      </c>
      <c r="E2729" t="s">
        <v>16256</v>
      </c>
      <c r="F2729" s="1">
        <v>646018</v>
      </c>
      <c r="G2729" s="1">
        <v>1380017116</v>
      </c>
      <c r="H2729" s="1">
        <v>12</v>
      </c>
      <c r="I2729" s="1" t="s">
        <v>546</v>
      </c>
      <c r="J2729" t="s">
        <v>16257</v>
      </c>
    </row>
    <row r="2730" spans="1:10">
      <c r="A2730" s="1">
        <v>381368</v>
      </c>
      <c r="B2730" s="1">
        <v>1862737337</v>
      </c>
      <c r="C2730" s="1">
        <v>8</v>
      </c>
      <c r="D2730" s="1" t="s">
        <v>489</v>
      </c>
      <c r="E2730" t="s">
        <v>16258</v>
      </c>
      <c r="F2730" s="1">
        <v>694596</v>
      </c>
      <c r="G2730" s="1">
        <v>1380013522</v>
      </c>
      <c r="H2730" s="1">
        <v>12</v>
      </c>
      <c r="I2730" s="1" t="s">
        <v>404</v>
      </c>
      <c r="J2730" t="s">
        <v>16259</v>
      </c>
    </row>
    <row r="2731" spans="1:10">
      <c r="A2731" s="1">
        <v>703603</v>
      </c>
      <c r="B2731" s="1">
        <v>1862729286</v>
      </c>
      <c r="C2731" s="1">
        <v>8</v>
      </c>
      <c r="D2731" s="1" t="s">
        <v>489</v>
      </c>
      <c r="E2731" t="s">
        <v>16260</v>
      </c>
      <c r="F2731" s="1">
        <v>612937</v>
      </c>
      <c r="G2731" s="1">
        <v>1380065455</v>
      </c>
      <c r="H2731" s="1">
        <v>12</v>
      </c>
      <c r="I2731" s="1" t="s">
        <v>546</v>
      </c>
      <c r="J2731" t="s">
        <v>16261</v>
      </c>
    </row>
    <row r="2732" spans="1:10">
      <c r="A2732" s="1">
        <v>267278</v>
      </c>
      <c r="B2732" s="1">
        <v>1862732911</v>
      </c>
      <c r="C2732" s="1">
        <v>8</v>
      </c>
      <c r="D2732" s="1" t="s">
        <v>489</v>
      </c>
      <c r="E2732" t="s">
        <v>16262</v>
      </c>
      <c r="F2732" s="1">
        <v>694430</v>
      </c>
      <c r="G2732" s="1">
        <v>1380013520</v>
      </c>
      <c r="H2732" s="1">
        <v>12</v>
      </c>
      <c r="I2732" s="1" t="s">
        <v>16263</v>
      </c>
      <c r="J2732" t="s">
        <v>16264</v>
      </c>
    </row>
    <row r="2733" spans="1:10">
      <c r="A2733" s="1">
        <v>706606</v>
      </c>
      <c r="B2733" s="1">
        <v>1862744126</v>
      </c>
      <c r="C2733" s="1">
        <v>8</v>
      </c>
      <c r="D2733" s="1" t="s">
        <v>489</v>
      </c>
      <c r="E2733" t="s">
        <v>16265</v>
      </c>
      <c r="F2733" s="1">
        <v>694448</v>
      </c>
      <c r="G2733" s="1">
        <v>1380013521</v>
      </c>
      <c r="H2733" s="1">
        <v>12</v>
      </c>
      <c r="I2733" s="1" t="s">
        <v>16266</v>
      </c>
      <c r="J2733" t="s">
        <v>16267</v>
      </c>
    </row>
    <row r="2734" spans="1:10">
      <c r="A2734" s="1">
        <v>533653</v>
      </c>
      <c r="B2734" s="1">
        <v>1862729290</v>
      </c>
      <c r="C2734" s="1">
        <v>8</v>
      </c>
      <c r="D2734" s="1" t="s">
        <v>489</v>
      </c>
      <c r="E2734" t="s">
        <v>16268</v>
      </c>
      <c r="F2734" s="1">
        <v>556613</v>
      </c>
      <c r="G2734" s="1">
        <v>1380044699</v>
      </c>
      <c r="H2734" s="1">
        <v>12</v>
      </c>
      <c r="I2734" s="1" t="s">
        <v>546</v>
      </c>
      <c r="J2734" t="s">
        <v>16269</v>
      </c>
    </row>
    <row r="2735" spans="1:10">
      <c r="A2735" s="1">
        <v>514729</v>
      </c>
      <c r="B2735" s="1">
        <v>1862737339</v>
      </c>
      <c r="C2735" s="1">
        <v>8</v>
      </c>
      <c r="D2735" s="1" t="s">
        <v>489</v>
      </c>
      <c r="E2735" t="s">
        <v>16270</v>
      </c>
      <c r="F2735" s="1">
        <v>761791</v>
      </c>
      <c r="G2735" s="1">
        <v>1380044732</v>
      </c>
      <c r="H2735" s="1">
        <v>12</v>
      </c>
      <c r="I2735" s="1" t="s">
        <v>546</v>
      </c>
      <c r="J2735" t="s">
        <v>16271</v>
      </c>
    </row>
    <row r="2736" spans="1:10">
      <c r="A2736" s="1">
        <v>754721</v>
      </c>
      <c r="B2736" s="1">
        <v>1862729292</v>
      </c>
      <c r="C2736" s="1">
        <v>8</v>
      </c>
      <c r="D2736" s="1" t="s">
        <v>489</v>
      </c>
      <c r="E2736" t="s">
        <v>16272</v>
      </c>
      <c r="F2736" s="1">
        <v>569319</v>
      </c>
      <c r="G2736" s="1">
        <v>1380044691</v>
      </c>
      <c r="H2736" s="1">
        <v>12</v>
      </c>
      <c r="I2736" s="1" t="s">
        <v>546</v>
      </c>
      <c r="J2736" t="s">
        <v>16273</v>
      </c>
    </row>
    <row r="2737" spans="1:10">
      <c r="A2737" s="1">
        <v>614677</v>
      </c>
      <c r="B2737" s="1">
        <v>1862729294</v>
      </c>
      <c r="C2737" s="1">
        <v>8</v>
      </c>
      <c r="D2737" s="1" t="s">
        <v>489</v>
      </c>
      <c r="E2737" t="s">
        <v>16274</v>
      </c>
      <c r="F2737" s="1">
        <v>543959</v>
      </c>
      <c r="G2737" s="1">
        <v>1380044730</v>
      </c>
      <c r="H2737" s="1">
        <v>12</v>
      </c>
      <c r="I2737" s="1" t="s">
        <v>546</v>
      </c>
      <c r="J2737" t="s">
        <v>16275</v>
      </c>
    </row>
    <row r="2738" spans="1:10">
      <c r="A2738" s="1">
        <v>469957</v>
      </c>
      <c r="B2738" s="1">
        <v>1862738098</v>
      </c>
      <c r="C2738" s="1">
        <v>8</v>
      </c>
      <c r="D2738" s="1" t="s">
        <v>781</v>
      </c>
      <c r="E2738" t="s">
        <v>16276</v>
      </c>
      <c r="F2738" s="1">
        <v>525683</v>
      </c>
      <c r="G2738" s="1">
        <v>1380044782</v>
      </c>
      <c r="H2738" s="1">
        <v>12</v>
      </c>
      <c r="I2738" s="1" t="s">
        <v>465</v>
      </c>
      <c r="J2738" t="s">
        <v>16277</v>
      </c>
    </row>
    <row r="2739" spans="1:10">
      <c r="A2739" s="1">
        <v>25429</v>
      </c>
      <c r="B2739" s="1">
        <v>1862744141</v>
      </c>
      <c r="C2739" s="1">
        <v>8</v>
      </c>
      <c r="D2739" s="1" t="s">
        <v>489</v>
      </c>
      <c r="E2739" t="s">
        <v>16278</v>
      </c>
      <c r="F2739" s="1">
        <v>613737</v>
      </c>
      <c r="G2739" s="1">
        <v>1380016636</v>
      </c>
      <c r="H2739" s="1">
        <v>12</v>
      </c>
      <c r="I2739" s="1" t="s">
        <v>16279</v>
      </c>
      <c r="J2739" t="s">
        <v>16280</v>
      </c>
    </row>
    <row r="2740" spans="1:10">
      <c r="A2740" s="1">
        <v>364133</v>
      </c>
      <c r="B2740" s="1">
        <v>1862738100</v>
      </c>
      <c r="C2740" s="1">
        <v>8</v>
      </c>
      <c r="D2740" s="1" t="s">
        <v>781</v>
      </c>
      <c r="E2740" t="s">
        <v>16281</v>
      </c>
      <c r="F2740" s="1">
        <v>646083</v>
      </c>
      <c r="G2740" s="1">
        <v>1380017124</v>
      </c>
      <c r="H2740" s="1">
        <v>12</v>
      </c>
      <c r="I2740" s="1" t="s">
        <v>546</v>
      </c>
      <c r="J2740" t="s">
        <v>16282</v>
      </c>
    </row>
    <row r="2741" spans="1:10">
      <c r="A2741" s="1">
        <v>290569</v>
      </c>
      <c r="B2741" s="1">
        <v>3100019675</v>
      </c>
      <c r="C2741" s="1">
        <v>12</v>
      </c>
      <c r="D2741" s="1" t="s">
        <v>8974</v>
      </c>
      <c r="E2741" t="s">
        <v>16283</v>
      </c>
      <c r="F2741" s="1">
        <v>236463</v>
      </c>
      <c r="G2741" s="1">
        <v>1380014880</v>
      </c>
      <c r="H2741" s="1">
        <v>12</v>
      </c>
      <c r="I2741" s="1" t="s">
        <v>347</v>
      </c>
      <c r="J2741" t="s">
        <v>16284</v>
      </c>
    </row>
    <row r="2742" spans="1:10">
      <c r="A2742" s="1">
        <v>607549</v>
      </c>
      <c r="B2742" s="1">
        <v>3100019604</v>
      </c>
      <c r="C2742" s="1">
        <v>12</v>
      </c>
      <c r="D2742" s="1" t="s">
        <v>5331</v>
      </c>
      <c r="E2742" t="s">
        <v>16285</v>
      </c>
      <c r="F2742" s="1">
        <v>625822</v>
      </c>
      <c r="G2742" s="1">
        <v>1380016689</v>
      </c>
      <c r="H2742" s="1">
        <v>12</v>
      </c>
      <c r="I2742" s="1" t="s">
        <v>365</v>
      </c>
      <c r="J2742" t="s">
        <v>16286</v>
      </c>
    </row>
    <row r="2743" spans="1:10">
      <c r="A2743" s="1">
        <v>438002</v>
      </c>
      <c r="B2743" s="1">
        <v>3100019684</v>
      </c>
      <c r="C2743" s="1">
        <v>12</v>
      </c>
      <c r="D2743" s="1" t="s">
        <v>16287</v>
      </c>
      <c r="E2743" t="s">
        <v>16288</v>
      </c>
      <c r="F2743" s="1">
        <v>857797</v>
      </c>
      <c r="G2743" s="1">
        <v>1380026680</v>
      </c>
      <c r="H2743" s="1">
        <v>12</v>
      </c>
      <c r="I2743" s="1" t="s">
        <v>546</v>
      </c>
      <c r="J2743" t="s">
        <v>16289</v>
      </c>
    </row>
    <row r="2744" spans="1:10">
      <c r="A2744" s="1">
        <v>388017</v>
      </c>
      <c r="B2744" s="1">
        <v>3100019683</v>
      </c>
      <c r="C2744" s="1">
        <v>12</v>
      </c>
      <c r="D2744" s="1" t="s">
        <v>1815</v>
      </c>
      <c r="E2744" t="s">
        <v>16290</v>
      </c>
      <c r="F2744" s="1">
        <v>259465</v>
      </c>
      <c r="G2744" s="1">
        <v>1380044776</v>
      </c>
      <c r="H2744" s="1">
        <v>12</v>
      </c>
      <c r="I2744" s="1" t="s">
        <v>465</v>
      </c>
      <c r="J2744" t="s">
        <v>16291</v>
      </c>
    </row>
    <row r="2745" spans="1:10">
      <c r="A2745" s="1">
        <v>607663</v>
      </c>
      <c r="B2745" s="1">
        <v>3100019601</v>
      </c>
      <c r="C2745" s="1">
        <v>12</v>
      </c>
      <c r="D2745" s="1" t="s">
        <v>365</v>
      </c>
      <c r="E2745" t="s">
        <v>16292</v>
      </c>
      <c r="F2745" s="1">
        <v>565911</v>
      </c>
      <c r="G2745" s="1">
        <v>1380017000</v>
      </c>
      <c r="H2745" s="1">
        <v>12</v>
      </c>
      <c r="I2745" s="1" t="s">
        <v>404</v>
      </c>
      <c r="J2745" t="s">
        <v>16293</v>
      </c>
    </row>
    <row r="2746" spans="1:10">
      <c r="A2746" s="1">
        <v>607648</v>
      </c>
      <c r="B2746" s="1">
        <v>3100019602</v>
      </c>
      <c r="C2746" s="1">
        <v>12</v>
      </c>
      <c r="D2746" s="1" t="s">
        <v>830</v>
      </c>
      <c r="E2746" t="s">
        <v>16294</v>
      </c>
      <c r="F2746" s="1">
        <v>627505</v>
      </c>
      <c r="G2746" s="1">
        <v>1380044697</v>
      </c>
      <c r="H2746" s="1">
        <v>12</v>
      </c>
      <c r="I2746" s="1" t="s">
        <v>404</v>
      </c>
      <c r="J2746" t="s">
        <v>16295</v>
      </c>
    </row>
    <row r="2747" spans="1:10">
      <c r="A2747" s="1">
        <v>607879</v>
      </c>
      <c r="B2747" s="1">
        <v>3100019615</v>
      </c>
      <c r="C2747" s="1">
        <v>12</v>
      </c>
      <c r="D2747" s="1" t="s">
        <v>524</v>
      </c>
      <c r="E2747" t="s">
        <v>16296</v>
      </c>
      <c r="F2747" s="1">
        <v>394817</v>
      </c>
      <c r="G2747" s="1">
        <v>1380044778</v>
      </c>
      <c r="H2747" s="1">
        <v>12</v>
      </c>
      <c r="I2747" s="1" t="s">
        <v>663</v>
      </c>
      <c r="J2747" t="s">
        <v>16297</v>
      </c>
    </row>
    <row r="2748" spans="1:10">
      <c r="A2748" s="1">
        <v>607507</v>
      </c>
      <c r="B2748" s="1">
        <v>3100019608</v>
      </c>
      <c r="C2748" s="1">
        <v>12</v>
      </c>
      <c r="D2748" s="1" t="s">
        <v>3272</v>
      </c>
      <c r="E2748" t="s">
        <v>16298</v>
      </c>
      <c r="F2748" s="1">
        <v>613588</v>
      </c>
      <c r="G2748" s="1">
        <v>1380016615</v>
      </c>
      <c r="H2748" s="1">
        <v>12</v>
      </c>
      <c r="I2748" s="1" t="s">
        <v>546</v>
      </c>
      <c r="J2748" t="s">
        <v>16299</v>
      </c>
    </row>
    <row r="2749" spans="1:10" ht="15.75">
      <c r="A2749" s="4" t="s">
        <v>16058</v>
      </c>
      <c r="B2749" s="2"/>
      <c r="C2749" s="2"/>
      <c r="D2749" s="2"/>
      <c r="E2749" s="3"/>
      <c r="F2749" s="4" t="s">
        <v>16058</v>
      </c>
      <c r="G2749" s="2"/>
      <c r="H2749" s="2"/>
      <c r="I2749" s="2"/>
      <c r="J2749" s="3"/>
    </row>
    <row r="2750" spans="1:10">
      <c r="A2750" s="2" t="s">
        <v>0</v>
      </c>
      <c r="B2750" s="2" t="s">
        <v>1</v>
      </c>
      <c r="C2750" s="2" t="s">
        <v>2</v>
      </c>
      <c r="D2750" s="2" t="s">
        <v>3</v>
      </c>
      <c r="E2750" s="3" t="s">
        <v>4</v>
      </c>
      <c r="F2750" s="2" t="s">
        <v>0</v>
      </c>
      <c r="G2750" s="2" t="s">
        <v>1</v>
      </c>
      <c r="H2750" s="2" t="s">
        <v>2</v>
      </c>
      <c r="I2750" s="2" t="s">
        <v>3</v>
      </c>
      <c r="J2750" s="3" t="s">
        <v>4</v>
      </c>
    </row>
    <row r="2751" spans="1:10">
      <c r="A2751" s="1">
        <v>613372</v>
      </c>
      <c r="B2751" s="1">
        <v>1380010154</v>
      </c>
      <c r="C2751" s="1">
        <v>12</v>
      </c>
      <c r="D2751" s="1" t="s">
        <v>546</v>
      </c>
      <c r="E2751" t="s">
        <v>16300</v>
      </c>
      <c r="F2751" s="1">
        <v>613174</v>
      </c>
      <c r="G2751" s="1">
        <v>1380017211</v>
      </c>
      <c r="H2751" s="1">
        <v>12</v>
      </c>
      <c r="I2751" s="1" t="s">
        <v>1096</v>
      </c>
      <c r="J2751" t="s">
        <v>16301</v>
      </c>
    </row>
    <row r="2752" spans="1:10">
      <c r="A2752" s="1">
        <v>591107</v>
      </c>
      <c r="B2752" s="1">
        <v>1380055285</v>
      </c>
      <c r="C2752" s="1">
        <v>12</v>
      </c>
      <c r="D2752" s="1" t="s">
        <v>546</v>
      </c>
      <c r="E2752" t="s">
        <v>16302</v>
      </c>
      <c r="F2752" s="1">
        <v>614578</v>
      </c>
      <c r="G2752" s="1">
        <v>1380015650</v>
      </c>
      <c r="H2752" s="1">
        <v>12</v>
      </c>
      <c r="I2752" s="1" t="s">
        <v>358</v>
      </c>
      <c r="J2752" t="s">
        <v>16303</v>
      </c>
    </row>
    <row r="2753" spans="1:10">
      <c r="A2753" s="1">
        <v>565903</v>
      </c>
      <c r="B2753" s="1">
        <v>1380017300</v>
      </c>
      <c r="C2753" s="1">
        <v>12</v>
      </c>
      <c r="D2753" s="1" t="s">
        <v>404</v>
      </c>
      <c r="E2753" t="s">
        <v>16304</v>
      </c>
      <c r="F2753" s="1">
        <v>343558</v>
      </c>
      <c r="G2753" s="1">
        <v>1380055118</v>
      </c>
      <c r="H2753" s="1">
        <v>12</v>
      </c>
      <c r="I2753" s="1" t="s">
        <v>16305</v>
      </c>
      <c r="J2753" t="s">
        <v>16306</v>
      </c>
    </row>
    <row r="2754" spans="1:10">
      <c r="A2754" s="1">
        <v>236505</v>
      </c>
      <c r="B2754" s="1">
        <v>1380014337</v>
      </c>
      <c r="C2754" s="1">
        <v>12</v>
      </c>
      <c r="D2754" s="1" t="s">
        <v>347</v>
      </c>
      <c r="E2754" t="s">
        <v>16307</v>
      </c>
      <c r="F2754" s="1">
        <v>565937</v>
      </c>
      <c r="G2754" s="1">
        <v>1380015600</v>
      </c>
      <c r="H2754" s="1">
        <v>12</v>
      </c>
      <c r="I2754" s="1" t="s">
        <v>404</v>
      </c>
      <c r="J2754" t="s">
        <v>16308</v>
      </c>
    </row>
    <row r="2755" spans="1:10">
      <c r="A2755" s="1">
        <v>625483</v>
      </c>
      <c r="B2755" s="1">
        <v>1380016651</v>
      </c>
      <c r="C2755" s="1">
        <v>12</v>
      </c>
      <c r="D2755" s="1" t="s">
        <v>546</v>
      </c>
      <c r="E2755" t="s">
        <v>16309</v>
      </c>
      <c r="F2755" s="1">
        <v>613422</v>
      </c>
      <c r="G2755" s="1">
        <v>1380018807</v>
      </c>
      <c r="H2755" s="1">
        <v>12</v>
      </c>
      <c r="I2755" s="1" t="s">
        <v>3569</v>
      </c>
      <c r="J2755" t="s">
        <v>16310</v>
      </c>
    </row>
    <row r="2756" spans="1:10">
      <c r="A2756" s="1">
        <v>467373</v>
      </c>
      <c r="B2756" s="1">
        <v>1380044609</v>
      </c>
      <c r="C2756" s="1">
        <v>12</v>
      </c>
      <c r="D2756" s="1" t="s">
        <v>404</v>
      </c>
      <c r="E2756" t="s">
        <v>16311</v>
      </c>
      <c r="F2756" s="1">
        <v>614370</v>
      </c>
      <c r="G2756" s="1">
        <v>1380014224</v>
      </c>
      <c r="H2756" s="1">
        <v>12</v>
      </c>
      <c r="I2756" s="1" t="s">
        <v>546</v>
      </c>
      <c r="J2756" t="s">
        <v>16312</v>
      </c>
    </row>
    <row r="2757" spans="1:10">
      <c r="A2757" s="1">
        <v>352393</v>
      </c>
      <c r="B2757" s="1">
        <v>1380014408</v>
      </c>
      <c r="C2757" s="1">
        <v>12</v>
      </c>
      <c r="D2757" s="1" t="s">
        <v>16235</v>
      </c>
      <c r="E2757" t="s">
        <v>16313</v>
      </c>
      <c r="F2757" s="1">
        <v>617233</v>
      </c>
      <c r="G2757" s="1">
        <v>1380016661</v>
      </c>
      <c r="H2757" s="1">
        <v>12</v>
      </c>
      <c r="I2757" s="1" t="s">
        <v>812</v>
      </c>
      <c r="J2757" t="s">
        <v>16314</v>
      </c>
    </row>
    <row r="2758" spans="1:10">
      <c r="A2758" s="1">
        <v>646638</v>
      </c>
      <c r="B2758" s="1">
        <v>1380017203</v>
      </c>
      <c r="C2758" s="1">
        <v>12</v>
      </c>
      <c r="D2758" s="1" t="s">
        <v>546</v>
      </c>
      <c r="E2758" t="s">
        <v>16315</v>
      </c>
      <c r="F2758" s="1">
        <v>613331</v>
      </c>
      <c r="G2758" s="1">
        <v>1380017112</v>
      </c>
      <c r="H2758" s="1">
        <v>12</v>
      </c>
      <c r="I2758" s="1" t="s">
        <v>546</v>
      </c>
      <c r="J2758" t="s">
        <v>16316</v>
      </c>
    </row>
    <row r="2759" spans="1:10">
      <c r="A2759" s="1">
        <v>236448</v>
      </c>
      <c r="B2759" s="1">
        <v>1380014820</v>
      </c>
      <c r="C2759" s="1">
        <v>12</v>
      </c>
      <c r="D2759" s="1" t="s">
        <v>347</v>
      </c>
      <c r="E2759" t="s">
        <v>16317</v>
      </c>
      <c r="F2759" s="1">
        <v>333138</v>
      </c>
      <c r="G2759" s="1">
        <v>2113150826</v>
      </c>
      <c r="H2759" s="1">
        <v>8</v>
      </c>
      <c r="I2759" s="1" t="s">
        <v>363</v>
      </c>
      <c r="J2759" t="s">
        <v>16318</v>
      </c>
    </row>
    <row r="2760" spans="1:10">
      <c r="A2760" s="1">
        <v>613315</v>
      </c>
      <c r="B2760" s="1">
        <v>1380016668</v>
      </c>
      <c r="C2760" s="1">
        <v>12</v>
      </c>
      <c r="D2760" s="1" t="s">
        <v>370</v>
      </c>
      <c r="E2760" t="s">
        <v>16319</v>
      </c>
      <c r="F2760" s="1">
        <v>75481</v>
      </c>
      <c r="G2760" s="1">
        <v>2113150817</v>
      </c>
      <c r="H2760" s="1">
        <v>8</v>
      </c>
      <c r="I2760" s="1" t="s">
        <v>379</v>
      </c>
      <c r="J2760" t="s">
        <v>16320</v>
      </c>
    </row>
    <row r="2761" spans="1:10">
      <c r="A2761" s="1">
        <v>613596</v>
      </c>
      <c r="B2761" s="1">
        <v>1380016605</v>
      </c>
      <c r="C2761" s="1">
        <v>12</v>
      </c>
      <c r="D2761" s="1" t="s">
        <v>370</v>
      </c>
      <c r="E2761" t="s">
        <v>16321</v>
      </c>
      <c r="F2761" s="1">
        <v>608190</v>
      </c>
      <c r="G2761" s="1">
        <v>2113150490</v>
      </c>
      <c r="H2761" s="1">
        <v>8</v>
      </c>
      <c r="I2761" s="1" t="s">
        <v>910</v>
      </c>
      <c r="J2761" t="s">
        <v>16322</v>
      </c>
    </row>
    <row r="2762" spans="1:10">
      <c r="A2762" s="1">
        <v>624429</v>
      </c>
      <c r="B2762" s="1">
        <v>1380004719</v>
      </c>
      <c r="C2762" s="1">
        <v>12</v>
      </c>
      <c r="D2762" s="1" t="s">
        <v>404</v>
      </c>
      <c r="E2762" t="s">
        <v>16323</v>
      </c>
      <c r="F2762" s="1">
        <v>660910</v>
      </c>
      <c r="G2762" s="1">
        <v>2113150812</v>
      </c>
      <c r="H2762" s="1">
        <v>8</v>
      </c>
      <c r="I2762" s="1" t="s">
        <v>379</v>
      </c>
      <c r="J2762" t="s">
        <v>16324</v>
      </c>
    </row>
    <row r="2763" spans="1:10">
      <c r="A2763" s="1">
        <v>618975</v>
      </c>
      <c r="B2763" s="1">
        <v>1380052325</v>
      </c>
      <c r="C2763" s="1">
        <v>12</v>
      </c>
      <c r="D2763" s="1" t="s">
        <v>365</v>
      </c>
      <c r="E2763" t="s">
        <v>16325</v>
      </c>
      <c r="F2763" s="1">
        <v>635201</v>
      </c>
      <c r="G2763" s="1">
        <v>2113130402</v>
      </c>
      <c r="H2763" s="1">
        <v>8</v>
      </c>
      <c r="I2763" s="1" t="s">
        <v>347</v>
      </c>
      <c r="J2763" t="s">
        <v>16326</v>
      </c>
    </row>
    <row r="2764" spans="1:10">
      <c r="A2764" s="1">
        <v>624072</v>
      </c>
      <c r="B2764" s="1">
        <v>1380004718</v>
      </c>
      <c r="C2764" s="1">
        <v>12</v>
      </c>
      <c r="D2764" s="1" t="s">
        <v>404</v>
      </c>
      <c r="E2764" t="s">
        <v>16327</v>
      </c>
      <c r="F2764" s="1">
        <v>272476</v>
      </c>
      <c r="G2764" s="1">
        <v>2113150608</v>
      </c>
      <c r="H2764" s="1">
        <v>8</v>
      </c>
      <c r="I2764" s="1" t="s">
        <v>259</v>
      </c>
      <c r="J2764" t="s">
        <v>16328</v>
      </c>
    </row>
    <row r="2765" spans="1:10">
      <c r="A2765" s="1">
        <v>624049</v>
      </c>
      <c r="B2765" s="1">
        <v>1380004717</v>
      </c>
      <c r="C2765" s="1">
        <v>12</v>
      </c>
      <c r="D2765" s="1" t="s">
        <v>404</v>
      </c>
      <c r="E2765" t="s">
        <v>16329</v>
      </c>
      <c r="F2765" s="1">
        <v>235127</v>
      </c>
      <c r="G2765" s="1">
        <v>2113150827</v>
      </c>
      <c r="H2765" s="1">
        <v>8</v>
      </c>
      <c r="I2765" s="1" t="s">
        <v>599</v>
      </c>
      <c r="J2765" t="s">
        <v>16330</v>
      </c>
    </row>
    <row r="2766" spans="1:10">
      <c r="A2766" s="1">
        <v>624502</v>
      </c>
      <c r="B2766" s="1">
        <v>1380004720</v>
      </c>
      <c r="C2766" s="1">
        <v>12</v>
      </c>
      <c r="D2766" s="1" t="s">
        <v>404</v>
      </c>
      <c r="E2766" t="s">
        <v>16331</v>
      </c>
      <c r="F2766" s="1">
        <v>640896</v>
      </c>
      <c r="G2766" s="1">
        <v>2113150475</v>
      </c>
      <c r="H2766" s="1">
        <v>8</v>
      </c>
      <c r="I2766" s="1" t="s">
        <v>379</v>
      </c>
      <c r="J2766" t="s">
        <v>16332</v>
      </c>
    </row>
    <row r="2767" spans="1:10">
      <c r="A2767" s="1">
        <v>613471</v>
      </c>
      <c r="B2767" s="1">
        <v>1380012043</v>
      </c>
      <c r="C2767" s="1">
        <v>12</v>
      </c>
      <c r="D2767" s="1" t="s">
        <v>399</v>
      </c>
      <c r="E2767" t="s">
        <v>16333</v>
      </c>
      <c r="F2767" s="1">
        <v>10934</v>
      </c>
      <c r="G2767" s="1">
        <v>2113150711</v>
      </c>
      <c r="H2767" s="1">
        <v>8</v>
      </c>
      <c r="I2767" s="1" t="s">
        <v>347</v>
      </c>
      <c r="J2767" t="s">
        <v>16334</v>
      </c>
    </row>
    <row r="2768" spans="1:10">
      <c r="A2768" s="1">
        <v>613414</v>
      </c>
      <c r="B2768" s="1">
        <v>1380018805</v>
      </c>
      <c r="C2768" s="1">
        <v>12</v>
      </c>
      <c r="D2768" s="1" t="s">
        <v>489</v>
      </c>
      <c r="E2768" t="s">
        <v>16335</v>
      </c>
      <c r="F2768" s="1">
        <v>90696</v>
      </c>
      <c r="G2768" s="1">
        <v>2113150801</v>
      </c>
      <c r="H2768" s="1">
        <v>8</v>
      </c>
      <c r="I2768" s="1" t="s">
        <v>379</v>
      </c>
      <c r="J2768" t="s">
        <v>16336</v>
      </c>
    </row>
    <row r="2769" spans="1:10">
      <c r="A2769" s="1">
        <v>613133</v>
      </c>
      <c r="B2769" s="1">
        <v>1380012044</v>
      </c>
      <c r="C2769" s="1">
        <v>12</v>
      </c>
      <c r="D2769" s="1" t="s">
        <v>399</v>
      </c>
      <c r="E2769" t="s">
        <v>16337</v>
      </c>
      <c r="F2769" s="1">
        <v>351346</v>
      </c>
      <c r="G2769" s="1">
        <v>2113134121</v>
      </c>
      <c r="H2769" s="1">
        <v>8</v>
      </c>
      <c r="I2769" s="1" t="s">
        <v>1305</v>
      </c>
      <c r="J2769" t="s">
        <v>16338</v>
      </c>
    </row>
    <row r="2770" spans="1:10">
      <c r="A2770" s="1">
        <v>613620</v>
      </c>
      <c r="B2770" s="1">
        <v>1380016635</v>
      </c>
      <c r="C2770" s="1">
        <v>12</v>
      </c>
      <c r="D2770" s="1" t="s">
        <v>703</v>
      </c>
      <c r="E2770" t="s">
        <v>16339</v>
      </c>
      <c r="F2770" s="1">
        <v>641522</v>
      </c>
      <c r="G2770" s="1">
        <v>2113150803</v>
      </c>
      <c r="H2770" s="1">
        <v>8</v>
      </c>
      <c r="I2770" s="1" t="s">
        <v>259</v>
      </c>
      <c r="J2770" t="s">
        <v>16340</v>
      </c>
    </row>
    <row r="2771" spans="1:10">
      <c r="A2771" s="1">
        <v>857730</v>
      </c>
      <c r="B2771" s="1">
        <v>1380026710</v>
      </c>
      <c r="C2771" s="1">
        <v>12</v>
      </c>
      <c r="D2771" s="1" t="s">
        <v>16341</v>
      </c>
      <c r="E2771" t="s">
        <v>16342</v>
      </c>
      <c r="F2771" s="1">
        <v>896357</v>
      </c>
      <c r="G2771" s="1">
        <v>2113150802</v>
      </c>
      <c r="H2771" s="1">
        <v>8</v>
      </c>
      <c r="I2771" s="1" t="s">
        <v>379</v>
      </c>
      <c r="J2771" t="s">
        <v>16343</v>
      </c>
    </row>
    <row r="2772" spans="1:10">
      <c r="A2772" s="1">
        <v>857623</v>
      </c>
      <c r="B2772" s="1">
        <v>1380026690</v>
      </c>
      <c r="C2772" s="1">
        <v>12</v>
      </c>
      <c r="D2772" s="1" t="s">
        <v>16344</v>
      </c>
      <c r="E2772" t="s">
        <v>16345</v>
      </c>
      <c r="F2772" s="1">
        <v>642850</v>
      </c>
      <c r="G2772" s="1">
        <v>2113150595</v>
      </c>
      <c r="H2772" s="1">
        <v>8</v>
      </c>
      <c r="I2772" s="1" t="s">
        <v>908</v>
      </c>
      <c r="J2772" t="s">
        <v>16346</v>
      </c>
    </row>
    <row r="2773" spans="1:10">
      <c r="A2773" s="1">
        <v>215939</v>
      </c>
      <c r="B2773" s="1">
        <v>1380055154</v>
      </c>
      <c r="C2773" s="1">
        <v>12</v>
      </c>
      <c r="D2773" s="1" t="s">
        <v>5321</v>
      </c>
      <c r="E2773" t="s">
        <v>16347</v>
      </c>
      <c r="F2773" s="1">
        <v>620625</v>
      </c>
      <c r="G2773" s="1">
        <v>2113150800</v>
      </c>
      <c r="H2773" s="1">
        <v>8</v>
      </c>
      <c r="I2773" s="1" t="s">
        <v>379</v>
      </c>
      <c r="J2773" t="s">
        <v>16348</v>
      </c>
    </row>
    <row r="2774" spans="1:10">
      <c r="A2774" s="1">
        <v>621102</v>
      </c>
      <c r="B2774" s="1">
        <v>1380016695</v>
      </c>
      <c r="C2774" s="1">
        <v>12</v>
      </c>
      <c r="D2774" s="1" t="s">
        <v>432</v>
      </c>
      <c r="E2774" t="s">
        <v>16349</v>
      </c>
      <c r="F2774" s="1">
        <v>483933</v>
      </c>
      <c r="G2774" s="1">
        <v>2113150823</v>
      </c>
      <c r="H2774" s="1">
        <v>8</v>
      </c>
      <c r="I2774" s="1" t="s">
        <v>599</v>
      </c>
      <c r="J2774" t="s">
        <v>16350</v>
      </c>
    </row>
    <row r="2775" spans="1:10">
      <c r="A2775" s="1">
        <v>612903</v>
      </c>
      <c r="B2775" s="1">
        <v>1380017113</v>
      </c>
      <c r="C2775" s="1">
        <v>12</v>
      </c>
      <c r="D2775" s="1" t="s">
        <v>546</v>
      </c>
      <c r="E2775" t="s">
        <v>16351</v>
      </c>
      <c r="F2775" s="1">
        <v>582080</v>
      </c>
      <c r="G2775" s="1">
        <v>2113150825</v>
      </c>
      <c r="H2775" s="1">
        <v>8</v>
      </c>
      <c r="I2775" s="1" t="s">
        <v>599</v>
      </c>
      <c r="J2775" t="s">
        <v>16352</v>
      </c>
    </row>
    <row r="2776" spans="1:10">
      <c r="A2776" s="1">
        <v>509497</v>
      </c>
      <c r="B2776" s="1">
        <v>1380055126</v>
      </c>
      <c r="C2776" s="1">
        <v>12</v>
      </c>
      <c r="D2776" s="1" t="s">
        <v>489</v>
      </c>
      <c r="E2776" t="s">
        <v>16353</v>
      </c>
      <c r="F2776" s="1">
        <v>436303</v>
      </c>
      <c r="G2776" s="1">
        <v>2113150815</v>
      </c>
      <c r="H2776" s="1">
        <v>8</v>
      </c>
      <c r="I2776" s="1" t="s">
        <v>742</v>
      </c>
      <c r="J2776" t="s">
        <v>16354</v>
      </c>
    </row>
    <row r="2777" spans="1:10">
      <c r="A2777" s="1">
        <v>575415</v>
      </c>
      <c r="B2777" s="1">
        <v>1380044780</v>
      </c>
      <c r="C2777" s="1">
        <v>12</v>
      </c>
      <c r="D2777" s="1" t="s">
        <v>4586</v>
      </c>
      <c r="E2777" t="s">
        <v>16355</v>
      </c>
      <c r="F2777" s="1">
        <v>886234</v>
      </c>
      <c r="G2777" s="1">
        <v>2113150814</v>
      </c>
      <c r="H2777" s="1">
        <v>8</v>
      </c>
      <c r="I2777" s="1" t="s">
        <v>379</v>
      </c>
      <c r="J2777" t="s">
        <v>16356</v>
      </c>
    </row>
    <row r="2778" spans="1:10">
      <c r="A2778" s="1">
        <v>885483</v>
      </c>
      <c r="B2778" s="1">
        <v>1380044695</v>
      </c>
      <c r="C2778" s="1">
        <v>12</v>
      </c>
      <c r="D2778" s="1" t="s">
        <v>404</v>
      </c>
      <c r="E2778" t="s">
        <v>16357</v>
      </c>
      <c r="F2778" s="1">
        <v>609560</v>
      </c>
      <c r="G2778" s="1">
        <v>2113150675</v>
      </c>
      <c r="H2778" s="1">
        <v>8</v>
      </c>
      <c r="I2778" s="1" t="s">
        <v>259</v>
      </c>
      <c r="J2778" t="s">
        <v>16358</v>
      </c>
    </row>
    <row r="2779" spans="1:10">
      <c r="A2779" s="1">
        <v>608877</v>
      </c>
      <c r="B2779" s="1">
        <v>1380016699</v>
      </c>
      <c r="C2779" s="1">
        <v>12</v>
      </c>
      <c r="D2779" s="1" t="s">
        <v>546</v>
      </c>
      <c r="E2779" t="s">
        <v>16359</v>
      </c>
      <c r="F2779" s="1">
        <v>167544</v>
      </c>
      <c r="G2779" s="1">
        <v>2113150822</v>
      </c>
      <c r="H2779" s="1">
        <v>8</v>
      </c>
      <c r="I2779" s="1" t="s">
        <v>489</v>
      </c>
      <c r="J2779" t="s">
        <v>16360</v>
      </c>
    </row>
    <row r="2780" spans="1:10">
      <c r="A2780" s="1">
        <v>624833</v>
      </c>
      <c r="B2780" s="1">
        <v>1380017134</v>
      </c>
      <c r="C2780" s="1">
        <v>12</v>
      </c>
      <c r="D2780" s="1" t="s">
        <v>16361</v>
      </c>
      <c r="E2780" t="s">
        <v>16362</v>
      </c>
      <c r="F2780" s="1">
        <v>640755</v>
      </c>
      <c r="G2780" s="1">
        <v>2113150660</v>
      </c>
      <c r="H2780" s="1">
        <v>8</v>
      </c>
      <c r="I2780" s="1" t="s">
        <v>259</v>
      </c>
      <c r="J2780" t="s">
        <v>16363</v>
      </c>
    </row>
    <row r="2781" spans="1:10">
      <c r="A2781" s="1">
        <v>624981</v>
      </c>
      <c r="B2781" s="1">
        <v>1380017132</v>
      </c>
      <c r="C2781" s="1">
        <v>12</v>
      </c>
      <c r="D2781" s="1" t="s">
        <v>489</v>
      </c>
      <c r="E2781" t="s">
        <v>16364</v>
      </c>
      <c r="F2781" s="1">
        <v>388561</v>
      </c>
      <c r="G2781" s="1">
        <v>2113150805</v>
      </c>
      <c r="H2781" s="1">
        <v>8</v>
      </c>
      <c r="I2781" s="1" t="s">
        <v>940</v>
      </c>
      <c r="J2781" t="s">
        <v>16365</v>
      </c>
    </row>
    <row r="2782" spans="1:10">
      <c r="A2782" s="1">
        <v>236430</v>
      </c>
      <c r="B2782" s="1">
        <v>1380014800</v>
      </c>
      <c r="C2782" s="1">
        <v>12</v>
      </c>
      <c r="D2782" s="1" t="s">
        <v>347</v>
      </c>
      <c r="E2782" t="s">
        <v>16366</v>
      </c>
      <c r="F2782" s="1">
        <v>881375</v>
      </c>
      <c r="G2782" s="1">
        <v>2113150806</v>
      </c>
      <c r="H2782" s="1">
        <v>8</v>
      </c>
      <c r="I2782" s="1" t="s">
        <v>16367</v>
      </c>
      <c r="J2782" t="s">
        <v>16368</v>
      </c>
    </row>
    <row r="2783" spans="1:10">
      <c r="A2783" s="1">
        <v>857805</v>
      </c>
      <c r="B2783" s="1">
        <v>1380026670</v>
      </c>
      <c r="C2783" s="1">
        <v>12</v>
      </c>
      <c r="D2783" s="1" t="s">
        <v>3272</v>
      </c>
      <c r="E2783" t="s">
        <v>16369</v>
      </c>
      <c r="F2783" s="1">
        <v>606574</v>
      </c>
      <c r="G2783" s="1">
        <v>71785410627</v>
      </c>
      <c r="H2783" s="1">
        <v>12</v>
      </c>
      <c r="I2783" s="1" t="s">
        <v>399</v>
      </c>
      <c r="J2783" t="s">
        <v>16370</v>
      </c>
    </row>
    <row r="2784" spans="1:10">
      <c r="A2784" s="1">
        <v>614289</v>
      </c>
      <c r="B2784" s="1">
        <v>1380014196</v>
      </c>
      <c r="C2784" s="1">
        <v>12</v>
      </c>
      <c r="D2784" s="1" t="s">
        <v>16371</v>
      </c>
      <c r="E2784" t="s">
        <v>16372</v>
      </c>
      <c r="F2784" s="1">
        <v>492785</v>
      </c>
      <c r="G2784" s="1">
        <v>71785410595</v>
      </c>
      <c r="H2784" s="1">
        <v>12</v>
      </c>
      <c r="I2784" s="1" t="s">
        <v>399</v>
      </c>
      <c r="J2784" t="s">
        <v>16373</v>
      </c>
    </row>
    <row r="2785" spans="1:10">
      <c r="A2785" s="1">
        <v>624536</v>
      </c>
      <c r="B2785" s="1">
        <v>1380017400</v>
      </c>
      <c r="C2785" s="1">
        <v>12</v>
      </c>
      <c r="D2785" s="1" t="s">
        <v>6270</v>
      </c>
      <c r="E2785" t="s">
        <v>16374</v>
      </c>
      <c r="F2785" s="1">
        <v>326983</v>
      </c>
      <c r="G2785" s="1">
        <v>71785410574</v>
      </c>
      <c r="H2785" s="1">
        <v>12</v>
      </c>
      <c r="I2785" s="1" t="s">
        <v>399</v>
      </c>
      <c r="J2785" t="s">
        <v>16375</v>
      </c>
    </row>
    <row r="2786" spans="1:10">
      <c r="A2786" s="1">
        <v>236497</v>
      </c>
      <c r="B2786" s="1">
        <v>1380014860</v>
      </c>
      <c r="C2786" s="1">
        <v>12</v>
      </c>
      <c r="D2786" s="1" t="s">
        <v>742</v>
      </c>
      <c r="E2786" t="s">
        <v>16376</v>
      </c>
      <c r="F2786" s="1">
        <v>762708</v>
      </c>
      <c r="G2786" s="1">
        <v>71785410594</v>
      </c>
      <c r="H2786" s="1">
        <v>12</v>
      </c>
      <c r="I2786" s="1" t="s">
        <v>399</v>
      </c>
      <c r="J2786" t="s">
        <v>16377</v>
      </c>
    </row>
    <row r="2787" spans="1:10">
      <c r="A2787" s="1">
        <v>617415</v>
      </c>
      <c r="B2787" s="1">
        <v>1380016619</v>
      </c>
      <c r="C2787" s="1">
        <v>12</v>
      </c>
      <c r="D2787" s="1" t="s">
        <v>432</v>
      </c>
      <c r="E2787" t="s">
        <v>16376</v>
      </c>
      <c r="F2787" s="1">
        <v>606293</v>
      </c>
      <c r="G2787" s="1">
        <v>71785410623</v>
      </c>
      <c r="H2787" s="1">
        <v>12</v>
      </c>
      <c r="I2787" s="1" t="s">
        <v>399</v>
      </c>
      <c r="J2787" t="s">
        <v>16378</v>
      </c>
    </row>
    <row r="2788" spans="1:10">
      <c r="A2788" s="1">
        <v>128843</v>
      </c>
      <c r="B2788" s="1">
        <v>1380044868</v>
      </c>
      <c r="C2788" s="1">
        <v>12</v>
      </c>
      <c r="D2788" s="1" t="s">
        <v>16379</v>
      </c>
      <c r="E2788" t="s">
        <v>16380</v>
      </c>
      <c r="F2788" s="1">
        <v>606335</v>
      </c>
      <c r="G2788" s="1">
        <v>71785410524</v>
      </c>
      <c r="H2788" s="1">
        <v>12</v>
      </c>
      <c r="I2788" s="1" t="s">
        <v>399</v>
      </c>
      <c r="J2788" t="s">
        <v>16381</v>
      </c>
    </row>
    <row r="2789" spans="1:10">
      <c r="A2789" s="1">
        <v>565929</v>
      </c>
      <c r="B2789" s="1">
        <v>1380015900</v>
      </c>
      <c r="C2789" s="1">
        <v>12</v>
      </c>
      <c r="D2789" s="1" t="s">
        <v>404</v>
      </c>
      <c r="E2789" t="s">
        <v>16382</v>
      </c>
      <c r="F2789" s="1">
        <v>610915</v>
      </c>
      <c r="G2789" s="1">
        <v>71785410521</v>
      </c>
      <c r="H2789" s="1">
        <v>12</v>
      </c>
      <c r="I2789" s="1" t="s">
        <v>399</v>
      </c>
      <c r="J2789" t="s">
        <v>16383</v>
      </c>
    </row>
    <row r="2790" spans="1:10" ht="15.75">
      <c r="A2790" s="4" t="s">
        <v>16058</v>
      </c>
      <c r="B2790" s="2"/>
      <c r="C2790" s="2"/>
      <c r="D2790" s="2"/>
      <c r="E2790" s="3"/>
      <c r="F2790" s="4" t="s">
        <v>16058</v>
      </c>
      <c r="G2790" s="2"/>
      <c r="H2790" s="2"/>
      <c r="I2790" s="2"/>
      <c r="J2790" s="3"/>
    </row>
    <row r="2791" spans="1:10">
      <c r="A2791" s="2" t="s">
        <v>0</v>
      </c>
      <c r="B2791" s="2" t="s">
        <v>1</v>
      </c>
      <c r="C2791" s="2" t="s">
        <v>2</v>
      </c>
      <c r="D2791" s="2" t="s">
        <v>3</v>
      </c>
      <c r="E2791" s="3" t="s">
        <v>4</v>
      </c>
      <c r="F2791" s="2" t="s">
        <v>0</v>
      </c>
      <c r="G2791" s="2" t="s">
        <v>1</v>
      </c>
      <c r="H2791" s="2" t="s">
        <v>2</v>
      </c>
      <c r="I2791" s="2" t="s">
        <v>3</v>
      </c>
      <c r="J2791" s="3" t="s">
        <v>4</v>
      </c>
    </row>
    <row r="2792" spans="1:10">
      <c r="A2792" s="1">
        <v>610923</v>
      </c>
      <c r="B2792" s="1">
        <v>71785410501</v>
      </c>
      <c r="C2792" s="1">
        <v>12</v>
      </c>
      <c r="D2792" s="1" t="s">
        <v>365</v>
      </c>
      <c r="E2792" t="s">
        <v>16384</v>
      </c>
      <c r="F2792" s="1">
        <v>731422</v>
      </c>
      <c r="G2792" s="1">
        <v>2580002642</v>
      </c>
      <c r="H2792" s="1">
        <v>12</v>
      </c>
      <c r="I2792" s="1" t="s">
        <v>489</v>
      </c>
      <c r="J2792" t="s">
        <v>16385</v>
      </c>
    </row>
    <row r="2793" spans="1:10">
      <c r="A2793" s="1">
        <v>606517</v>
      </c>
      <c r="B2793" s="1">
        <v>71785410625</v>
      </c>
      <c r="C2793" s="1">
        <v>12</v>
      </c>
      <c r="D2793" s="1" t="s">
        <v>399</v>
      </c>
      <c r="E2793" t="s">
        <v>16386</v>
      </c>
      <c r="F2793" s="1">
        <v>840371</v>
      </c>
      <c r="G2793" s="1">
        <v>2580002911</v>
      </c>
      <c r="H2793" s="1">
        <v>12</v>
      </c>
      <c r="I2793" s="1" t="s">
        <v>546</v>
      </c>
      <c r="J2793" t="s">
        <v>16387</v>
      </c>
    </row>
    <row r="2794" spans="1:10">
      <c r="A2794" s="1">
        <v>606210</v>
      </c>
      <c r="B2794" s="1">
        <v>71785410620</v>
      </c>
      <c r="C2794" s="1">
        <v>12</v>
      </c>
      <c r="D2794" s="1" t="s">
        <v>365</v>
      </c>
      <c r="E2794" t="s">
        <v>16388</v>
      </c>
      <c r="F2794" s="1">
        <v>840496</v>
      </c>
      <c r="G2794" s="1">
        <v>2580002910</v>
      </c>
      <c r="H2794" s="1">
        <v>12</v>
      </c>
      <c r="I2794" s="1" t="s">
        <v>546</v>
      </c>
      <c r="J2794" t="s">
        <v>16389</v>
      </c>
    </row>
    <row r="2795" spans="1:10">
      <c r="A2795" s="1">
        <v>606137</v>
      </c>
      <c r="B2795" s="1">
        <v>71785410629</v>
      </c>
      <c r="C2795" s="1">
        <v>12</v>
      </c>
      <c r="D2795" s="1" t="s">
        <v>365</v>
      </c>
      <c r="E2795" t="s">
        <v>16390</v>
      </c>
      <c r="F2795" s="1">
        <v>840082</v>
      </c>
      <c r="G2795" s="1">
        <v>2580002918</v>
      </c>
      <c r="H2795" s="1">
        <v>12</v>
      </c>
      <c r="I2795" s="1" t="s">
        <v>546</v>
      </c>
      <c r="J2795" t="s">
        <v>16391</v>
      </c>
    </row>
    <row r="2796" spans="1:10">
      <c r="A2796" s="1">
        <v>870188</v>
      </c>
      <c r="B2796" s="1">
        <v>71785410665</v>
      </c>
      <c r="C2796" s="1">
        <v>12</v>
      </c>
      <c r="D2796" s="1" t="s">
        <v>394</v>
      </c>
      <c r="E2796" t="s">
        <v>16392</v>
      </c>
      <c r="F2796" s="1">
        <v>731398</v>
      </c>
      <c r="G2796" s="1">
        <v>2580002630</v>
      </c>
      <c r="H2796" s="1">
        <v>12</v>
      </c>
      <c r="I2796" s="1" t="s">
        <v>546</v>
      </c>
      <c r="J2796" t="s">
        <v>16393</v>
      </c>
    </row>
    <row r="2797" spans="1:10">
      <c r="A2797" s="1">
        <v>788760</v>
      </c>
      <c r="B2797" s="1">
        <v>71785410664</v>
      </c>
      <c r="C2797" s="1">
        <v>12</v>
      </c>
      <c r="D2797" s="1" t="s">
        <v>394</v>
      </c>
      <c r="E2797" t="s">
        <v>16394</v>
      </c>
      <c r="F2797" s="1">
        <v>44503</v>
      </c>
      <c r="G2797" s="1">
        <v>2580002012</v>
      </c>
      <c r="H2797" s="1">
        <v>12</v>
      </c>
      <c r="I2797" s="1" t="s">
        <v>546</v>
      </c>
      <c r="J2797" t="s">
        <v>16395</v>
      </c>
    </row>
    <row r="2798" spans="1:10">
      <c r="A2798" s="1">
        <v>536235</v>
      </c>
      <c r="B2798" s="1">
        <v>71785410654</v>
      </c>
      <c r="C2798" s="1">
        <v>12</v>
      </c>
      <c r="D2798" s="1" t="s">
        <v>394</v>
      </c>
      <c r="E2798" t="s">
        <v>16396</v>
      </c>
      <c r="F2798" s="1">
        <v>468363</v>
      </c>
      <c r="G2798" s="1">
        <v>2580002372</v>
      </c>
      <c r="H2798" s="1">
        <v>12</v>
      </c>
      <c r="I2798" s="1" t="s">
        <v>489</v>
      </c>
      <c r="J2798" t="s">
        <v>16397</v>
      </c>
    </row>
    <row r="2799" spans="1:10">
      <c r="A2799" s="1">
        <v>843458</v>
      </c>
      <c r="B2799" s="1">
        <v>71785410656</v>
      </c>
      <c r="C2799" s="1">
        <v>12</v>
      </c>
      <c r="D2799" s="1" t="s">
        <v>399</v>
      </c>
      <c r="E2799" t="s">
        <v>16398</v>
      </c>
      <c r="F2799" s="1">
        <v>409102</v>
      </c>
      <c r="G2799" s="1">
        <v>2580002646</v>
      </c>
      <c r="H2799" s="1">
        <v>12</v>
      </c>
      <c r="I2799" s="1" t="s">
        <v>546</v>
      </c>
      <c r="J2799" t="s">
        <v>16399</v>
      </c>
    </row>
    <row r="2800" spans="1:10">
      <c r="A2800" s="1">
        <v>626929</v>
      </c>
      <c r="B2800" s="1">
        <v>71785410645</v>
      </c>
      <c r="C2800" s="1">
        <v>12</v>
      </c>
      <c r="D2800" s="1" t="s">
        <v>399</v>
      </c>
      <c r="E2800" t="s">
        <v>16400</v>
      </c>
      <c r="F2800" s="1">
        <v>162784</v>
      </c>
      <c r="G2800" s="1">
        <v>2580002935</v>
      </c>
      <c r="H2800" s="1">
        <v>12</v>
      </c>
      <c r="I2800" s="1" t="s">
        <v>546</v>
      </c>
      <c r="J2800" t="s">
        <v>16401</v>
      </c>
    </row>
    <row r="2801" spans="1:10">
      <c r="A2801" s="1">
        <v>601559</v>
      </c>
      <c r="B2801" s="1">
        <v>71785410515</v>
      </c>
      <c r="C2801" s="1">
        <v>12</v>
      </c>
      <c r="D2801" s="1" t="s">
        <v>399</v>
      </c>
      <c r="E2801" t="s">
        <v>16402</v>
      </c>
      <c r="F2801" s="1">
        <v>759126</v>
      </c>
      <c r="G2801" s="1">
        <v>2580002030</v>
      </c>
      <c r="H2801" s="1">
        <v>12</v>
      </c>
      <c r="I2801" s="1" t="s">
        <v>399</v>
      </c>
      <c r="J2801" t="s">
        <v>16403</v>
      </c>
    </row>
    <row r="2802" spans="1:10">
      <c r="A2802" s="1">
        <v>606251</v>
      </c>
      <c r="B2802" s="1">
        <v>71785410621</v>
      </c>
      <c r="C2802" s="1">
        <v>12</v>
      </c>
      <c r="D2802" s="1" t="s">
        <v>546</v>
      </c>
      <c r="E2802" t="s">
        <v>16404</v>
      </c>
      <c r="F2802" s="1">
        <v>210682</v>
      </c>
      <c r="G2802" s="1">
        <v>2580001941</v>
      </c>
      <c r="H2802" s="1">
        <v>12</v>
      </c>
      <c r="I2802" s="1" t="s">
        <v>489</v>
      </c>
      <c r="J2802" t="s">
        <v>16405</v>
      </c>
    </row>
    <row r="2803" spans="1:10">
      <c r="A2803" s="1">
        <v>607127</v>
      </c>
      <c r="B2803" s="1">
        <v>71785410628</v>
      </c>
      <c r="C2803" s="1">
        <v>12</v>
      </c>
      <c r="D2803" s="1" t="s">
        <v>399</v>
      </c>
      <c r="E2803" t="s">
        <v>16406</v>
      </c>
      <c r="F2803" s="1">
        <v>427625</v>
      </c>
      <c r="G2803" s="1">
        <v>1380044460</v>
      </c>
      <c r="H2803" s="1">
        <v>6</v>
      </c>
      <c r="I2803" s="1" t="s">
        <v>16407</v>
      </c>
      <c r="J2803" t="s">
        <v>16408</v>
      </c>
    </row>
    <row r="2804" spans="1:10">
      <c r="A2804" s="1">
        <v>606897</v>
      </c>
      <c r="B2804" s="1">
        <v>71785410557</v>
      </c>
      <c r="C2804" s="1">
        <v>12</v>
      </c>
      <c r="D2804" s="1" t="s">
        <v>399</v>
      </c>
      <c r="E2804" t="s">
        <v>16409</v>
      </c>
      <c r="F2804" s="1">
        <v>477406</v>
      </c>
      <c r="G2804" s="1">
        <v>1380044852</v>
      </c>
      <c r="H2804" s="1">
        <v>12</v>
      </c>
      <c r="I2804" s="1" t="s">
        <v>259</v>
      </c>
      <c r="J2804" t="s">
        <v>16410</v>
      </c>
    </row>
    <row r="2805" spans="1:10">
      <c r="A2805" s="1">
        <v>606350</v>
      </c>
      <c r="B2805" s="1">
        <v>71785410630</v>
      </c>
      <c r="C2805" s="1">
        <v>12</v>
      </c>
      <c r="D2805" s="1" t="s">
        <v>399</v>
      </c>
      <c r="E2805" t="s">
        <v>16411</v>
      </c>
      <c r="F2805" s="1">
        <v>614891</v>
      </c>
      <c r="G2805" s="1">
        <v>1380021450</v>
      </c>
      <c r="H2805" s="1">
        <v>12</v>
      </c>
      <c r="I2805" s="1" t="s">
        <v>489</v>
      </c>
      <c r="J2805" t="s">
        <v>16412</v>
      </c>
    </row>
    <row r="2806" spans="1:10">
      <c r="A2806" s="1">
        <v>731364</v>
      </c>
      <c r="B2806" s="1">
        <v>71785410572</v>
      </c>
      <c r="C2806" s="1">
        <v>12</v>
      </c>
      <c r="D2806" s="1" t="s">
        <v>399</v>
      </c>
      <c r="E2806" t="s">
        <v>16413</v>
      </c>
      <c r="F2806" s="1">
        <v>612929</v>
      </c>
      <c r="G2806" s="1">
        <v>1380010381</v>
      </c>
      <c r="H2806" s="1">
        <v>12</v>
      </c>
      <c r="I2806" s="1" t="s">
        <v>347</v>
      </c>
      <c r="J2806" t="s">
        <v>16414</v>
      </c>
    </row>
    <row r="2807" spans="1:10">
      <c r="A2807" s="1">
        <v>731372</v>
      </c>
      <c r="B2807" s="1">
        <v>71785410573</v>
      </c>
      <c r="C2807" s="1">
        <v>12</v>
      </c>
      <c r="D2807" s="1" t="s">
        <v>399</v>
      </c>
      <c r="E2807" t="s">
        <v>16415</v>
      </c>
      <c r="F2807" s="1">
        <v>731547</v>
      </c>
      <c r="G2807" s="1">
        <v>1380014390</v>
      </c>
      <c r="H2807" s="1">
        <v>12</v>
      </c>
      <c r="I2807" s="1" t="s">
        <v>404</v>
      </c>
      <c r="J2807" t="s">
        <v>16416</v>
      </c>
    </row>
    <row r="2808" spans="1:10">
      <c r="A2808" s="1">
        <v>647024</v>
      </c>
      <c r="B2808" s="1">
        <v>7057504022</v>
      </c>
      <c r="C2808" s="1">
        <v>6</v>
      </c>
      <c r="D2808" s="1" t="s">
        <v>954</v>
      </c>
      <c r="E2808" t="s">
        <v>16417</v>
      </c>
      <c r="F2808" s="1">
        <v>648352</v>
      </c>
      <c r="G2808" s="1">
        <v>1380012008</v>
      </c>
      <c r="H2808" s="1">
        <v>12</v>
      </c>
      <c r="I2808" s="1" t="s">
        <v>703</v>
      </c>
      <c r="J2808" t="s">
        <v>16418</v>
      </c>
    </row>
    <row r="2809" spans="1:10">
      <c r="A2809" s="1">
        <v>646125</v>
      </c>
      <c r="B2809" s="1">
        <v>7057504018</v>
      </c>
      <c r="C2809" s="1">
        <v>6</v>
      </c>
      <c r="D2809" s="1" t="s">
        <v>954</v>
      </c>
      <c r="E2809" t="s">
        <v>16419</v>
      </c>
      <c r="F2809" s="1">
        <v>647404</v>
      </c>
      <c r="G2809" s="1">
        <v>1380023270</v>
      </c>
      <c r="H2809" s="1">
        <v>6</v>
      </c>
      <c r="I2809" s="1" t="s">
        <v>16420</v>
      </c>
      <c r="J2809" t="s">
        <v>16421</v>
      </c>
    </row>
    <row r="2810" spans="1:10">
      <c r="A2810" s="1">
        <v>646778</v>
      </c>
      <c r="B2810" s="1">
        <v>7057504058</v>
      </c>
      <c r="C2810" s="1">
        <v>6</v>
      </c>
      <c r="D2810" s="1" t="s">
        <v>954</v>
      </c>
      <c r="E2810" t="s">
        <v>16422</v>
      </c>
      <c r="F2810" s="1">
        <v>648022</v>
      </c>
      <c r="G2810" s="1">
        <v>1380010620</v>
      </c>
      <c r="H2810" s="1">
        <v>12</v>
      </c>
      <c r="I2810" s="1" t="s">
        <v>489</v>
      </c>
      <c r="J2810" t="s">
        <v>16423</v>
      </c>
    </row>
    <row r="2811" spans="1:10">
      <c r="A2811" s="1">
        <v>646950</v>
      </c>
      <c r="B2811" s="1">
        <v>7057504009</v>
      </c>
      <c r="C2811" s="1">
        <v>6</v>
      </c>
      <c r="D2811" s="1" t="s">
        <v>954</v>
      </c>
      <c r="E2811" t="s">
        <v>16424</v>
      </c>
      <c r="F2811" s="1">
        <v>301424</v>
      </c>
      <c r="G2811" s="1">
        <v>1380050062</v>
      </c>
      <c r="H2811" s="1">
        <v>12</v>
      </c>
      <c r="I2811" s="1" t="s">
        <v>404</v>
      </c>
      <c r="J2811" t="s">
        <v>16425</v>
      </c>
    </row>
    <row r="2812" spans="1:10">
      <c r="A2812" s="1">
        <v>646968</v>
      </c>
      <c r="B2812" s="1">
        <v>7057504006</v>
      </c>
      <c r="C2812" s="1">
        <v>6</v>
      </c>
      <c r="D2812" s="1" t="s">
        <v>954</v>
      </c>
      <c r="E2812" t="s">
        <v>16426</v>
      </c>
      <c r="F2812" s="1">
        <v>378323</v>
      </c>
      <c r="G2812" s="1">
        <v>1380044798</v>
      </c>
      <c r="H2812" s="1">
        <v>12</v>
      </c>
      <c r="I2812" s="1" t="s">
        <v>404</v>
      </c>
      <c r="J2812" t="s">
        <v>16427</v>
      </c>
    </row>
    <row r="2813" spans="1:10">
      <c r="A2813" s="1">
        <v>646919</v>
      </c>
      <c r="B2813" s="1">
        <v>7057504010</v>
      </c>
      <c r="C2813" s="1">
        <v>6</v>
      </c>
      <c r="D2813" s="1" t="s">
        <v>954</v>
      </c>
      <c r="E2813" t="s">
        <v>16428</v>
      </c>
      <c r="F2813" s="1">
        <v>538777</v>
      </c>
      <c r="G2813" s="1">
        <v>1380044703</v>
      </c>
      <c r="H2813" s="1">
        <v>12</v>
      </c>
      <c r="I2813" s="1" t="s">
        <v>404</v>
      </c>
      <c r="J2813" t="s">
        <v>16429</v>
      </c>
    </row>
    <row r="2814" spans="1:10">
      <c r="A2814" s="1">
        <v>379792</v>
      </c>
      <c r="B2814" s="1">
        <v>7056098131</v>
      </c>
      <c r="C2814" s="1">
        <v>12</v>
      </c>
      <c r="D2814" s="1" t="s">
        <v>347</v>
      </c>
      <c r="E2814" t="s">
        <v>16430</v>
      </c>
      <c r="F2814" s="1">
        <v>495499</v>
      </c>
      <c r="G2814" s="1">
        <v>1380044842</v>
      </c>
      <c r="H2814" s="1">
        <v>12</v>
      </c>
      <c r="I2814" s="1" t="s">
        <v>663</v>
      </c>
      <c r="J2814" t="s">
        <v>16431</v>
      </c>
    </row>
    <row r="2815" spans="1:10">
      <c r="A2815" s="1">
        <v>386623</v>
      </c>
      <c r="B2815" s="1">
        <v>7056098106</v>
      </c>
      <c r="C2815" s="1">
        <v>12</v>
      </c>
      <c r="D2815" s="1" t="s">
        <v>347</v>
      </c>
      <c r="E2815" t="s">
        <v>16432</v>
      </c>
      <c r="F2815" s="1">
        <v>613430</v>
      </c>
      <c r="G2815" s="1">
        <v>1380019023</v>
      </c>
      <c r="H2815" s="1">
        <v>6</v>
      </c>
      <c r="I2815" s="1" t="s">
        <v>16420</v>
      </c>
      <c r="J2815" t="s">
        <v>16433</v>
      </c>
    </row>
    <row r="2816" spans="1:10">
      <c r="A2816" s="1">
        <v>344341</v>
      </c>
      <c r="B2816" s="1">
        <v>7056098116</v>
      </c>
      <c r="C2816" s="1">
        <v>12</v>
      </c>
      <c r="D2816" s="1" t="s">
        <v>347</v>
      </c>
      <c r="E2816" t="s">
        <v>16434</v>
      </c>
      <c r="F2816" s="1">
        <v>215475</v>
      </c>
      <c r="G2816" s="1">
        <v>1380044796</v>
      </c>
      <c r="H2816" s="1">
        <v>12</v>
      </c>
      <c r="I2816" s="1" t="s">
        <v>404</v>
      </c>
      <c r="J2816" t="s">
        <v>16435</v>
      </c>
    </row>
    <row r="2817" spans="1:10">
      <c r="A2817" s="1">
        <v>230748</v>
      </c>
      <c r="B2817" s="1">
        <v>7056098111</v>
      </c>
      <c r="C2817" s="1">
        <v>12</v>
      </c>
      <c r="D2817" s="1" t="s">
        <v>347</v>
      </c>
      <c r="E2817" t="s">
        <v>16436</v>
      </c>
      <c r="F2817" s="1">
        <v>621722</v>
      </c>
      <c r="G2817" s="1">
        <v>1380019086</v>
      </c>
      <c r="H2817" s="1">
        <v>6</v>
      </c>
      <c r="I2817" s="1" t="s">
        <v>1366</v>
      </c>
      <c r="J2817" t="s">
        <v>16437</v>
      </c>
    </row>
    <row r="2818" spans="1:10">
      <c r="A2818" s="1">
        <v>204271</v>
      </c>
      <c r="B2818" s="1">
        <v>7056098101</v>
      </c>
      <c r="C2818" s="1">
        <v>12</v>
      </c>
      <c r="D2818" s="1" t="s">
        <v>347</v>
      </c>
      <c r="E2818" t="s">
        <v>16438</v>
      </c>
      <c r="F2818" s="1">
        <v>613661</v>
      </c>
      <c r="G2818" s="1">
        <v>1380019074</v>
      </c>
      <c r="H2818" s="1">
        <v>6</v>
      </c>
      <c r="I2818" s="1" t="s">
        <v>553</v>
      </c>
      <c r="J2818" t="s">
        <v>16439</v>
      </c>
    </row>
    <row r="2819" spans="1:10">
      <c r="A2819" s="1">
        <v>255992</v>
      </c>
      <c r="B2819" s="1">
        <v>7056098126</v>
      </c>
      <c r="C2819" s="1">
        <v>12</v>
      </c>
      <c r="D2819" s="1" t="s">
        <v>347</v>
      </c>
      <c r="E2819" t="s">
        <v>16440</v>
      </c>
      <c r="F2819" s="1">
        <v>220954</v>
      </c>
      <c r="G2819" s="1">
        <v>1380044701</v>
      </c>
      <c r="H2819" s="1">
        <v>12</v>
      </c>
      <c r="I2819" s="1" t="s">
        <v>404</v>
      </c>
      <c r="J2819" t="s">
        <v>16441</v>
      </c>
    </row>
    <row r="2820" spans="1:10">
      <c r="A2820" s="1">
        <v>761825</v>
      </c>
      <c r="B2820" s="1">
        <v>7056098121</v>
      </c>
      <c r="C2820" s="1">
        <v>12</v>
      </c>
      <c r="D2820" s="1" t="s">
        <v>347</v>
      </c>
      <c r="E2820" t="s">
        <v>16442</v>
      </c>
      <c r="F2820" s="1">
        <v>613448</v>
      </c>
      <c r="G2820" s="1">
        <v>1380010524</v>
      </c>
      <c r="H2820" s="1">
        <v>12</v>
      </c>
      <c r="I2820" s="1" t="s">
        <v>347</v>
      </c>
      <c r="J2820" t="s">
        <v>16443</v>
      </c>
    </row>
    <row r="2821" spans="1:10">
      <c r="A2821" s="1">
        <v>511055</v>
      </c>
      <c r="B2821" s="1">
        <v>2580002034</v>
      </c>
      <c r="C2821" s="1">
        <v>12</v>
      </c>
      <c r="D2821" s="1" t="s">
        <v>399</v>
      </c>
      <c r="E2821" t="s">
        <v>16444</v>
      </c>
      <c r="F2821" s="1">
        <v>613406</v>
      </c>
      <c r="G2821" s="1">
        <v>1380010018</v>
      </c>
      <c r="H2821" s="1">
        <v>12</v>
      </c>
      <c r="I2821" s="1" t="s">
        <v>363</v>
      </c>
      <c r="J2821" t="s">
        <v>16445</v>
      </c>
    </row>
    <row r="2822" spans="1:10">
      <c r="A2822" s="1">
        <v>859116</v>
      </c>
      <c r="B2822" s="1">
        <v>2580002667</v>
      </c>
      <c r="C2822" s="1">
        <v>12</v>
      </c>
      <c r="D2822" s="1" t="s">
        <v>489</v>
      </c>
      <c r="E2822" t="s">
        <v>16446</v>
      </c>
      <c r="F2822" s="1">
        <v>573634</v>
      </c>
      <c r="G2822" s="1">
        <v>1380044786</v>
      </c>
      <c r="H2822" s="1">
        <v>12</v>
      </c>
      <c r="I2822" s="1" t="s">
        <v>347</v>
      </c>
      <c r="J2822" t="s">
        <v>16447</v>
      </c>
    </row>
    <row r="2823" spans="1:10">
      <c r="A2823" s="1">
        <v>474478</v>
      </c>
      <c r="B2823" s="1">
        <v>2580002031</v>
      </c>
      <c r="C2823" s="1">
        <v>12</v>
      </c>
      <c r="D2823" s="1" t="s">
        <v>399</v>
      </c>
      <c r="E2823" t="s">
        <v>16448</v>
      </c>
      <c r="F2823" s="1">
        <v>613604</v>
      </c>
      <c r="G2823" s="1">
        <v>1380010423</v>
      </c>
      <c r="H2823" s="1">
        <v>12</v>
      </c>
      <c r="I2823" s="1" t="s">
        <v>347</v>
      </c>
      <c r="J2823" t="s">
        <v>15506</v>
      </c>
    </row>
    <row r="2824" spans="1:10">
      <c r="A2824" s="1">
        <v>40469</v>
      </c>
      <c r="B2824" s="1">
        <v>2580002660</v>
      </c>
      <c r="C2824" s="1">
        <v>12</v>
      </c>
      <c r="D2824" s="1" t="s">
        <v>399</v>
      </c>
      <c r="E2824" t="s">
        <v>16449</v>
      </c>
      <c r="F2824" s="1">
        <v>580597</v>
      </c>
      <c r="G2824" s="1">
        <v>1380044677</v>
      </c>
      <c r="H2824" s="1">
        <v>6</v>
      </c>
      <c r="I2824" s="1" t="s">
        <v>971</v>
      </c>
      <c r="J2824" t="s">
        <v>16450</v>
      </c>
    </row>
    <row r="2825" spans="1:10">
      <c r="A2825" s="1">
        <v>882407</v>
      </c>
      <c r="B2825" s="1">
        <v>2580002931</v>
      </c>
      <c r="C2825" s="1">
        <v>12</v>
      </c>
      <c r="D2825" s="1" t="s">
        <v>546</v>
      </c>
      <c r="E2825" t="s">
        <v>16451</v>
      </c>
      <c r="F2825" s="1">
        <v>552992</v>
      </c>
      <c r="G2825" s="1">
        <v>1380044673</v>
      </c>
      <c r="H2825" s="1">
        <v>6</v>
      </c>
      <c r="I2825" s="1" t="s">
        <v>4987</v>
      </c>
      <c r="J2825" t="s">
        <v>16452</v>
      </c>
    </row>
    <row r="2826" spans="1:10">
      <c r="A2826" s="1">
        <v>731406</v>
      </c>
      <c r="B2826" s="1">
        <v>2580002632</v>
      </c>
      <c r="C2826" s="1">
        <v>12</v>
      </c>
      <c r="D2826" s="1" t="s">
        <v>5321</v>
      </c>
      <c r="E2826" t="s">
        <v>16453</v>
      </c>
      <c r="F2826" s="1">
        <v>744391</v>
      </c>
      <c r="G2826" s="1">
        <v>1380044671</v>
      </c>
      <c r="H2826" s="1">
        <v>6</v>
      </c>
      <c r="I2826" s="1" t="s">
        <v>954</v>
      </c>
      <c r="J2826" t="s">
        <v>16454</v>
      </c>
    </row>
    <row r="2827" spans="1:10">
      <c r="A2827" s="1">
        <v>520973</v>
      </c>
      <c r="B2827" s="1">
        <v>2580001965</v>
      </c>
      <c r="C2827" s="1">
        <v>12</v>
      </c>
      <c r="D2827" s="1" t="s">
        <v>546</v>
      </c>
      <c r="E2827" t="s">
        <v>16455</v>
      </c>
      <c r="F2827" s="1">
        <v>522805</v>
      </c>
      <c r="G2827" s="1">
        <v>1380044719</v>
      </c>
      <c r="H2827" s="1">
        <v>12</v>
      </c>
      <c r="I2827" s="1" t="s">
        <v>1298</v>
      </c>
      <c r="J2827" t="s">
        <v>16456</v>
      </c>
    </row>
    <row r="2828" spans="1:10">
      <c r="A2828" s="1">
        <v>731414</v>
      </c>
      <c r="B2828" s="1">
        <v>2580002638</v>
      </c>
      <c r="C2828" s="1">
        <v>12</v>
      </c>
      <c r="D2828" s="1" t="s">
        <v>432</v>
      </c>
      <c r="E2828" t="s">
        <v>16457</v>
      </c>
      <c r="F2828" s="1">
        <v>617076</v>
      </c>
      <c r="G2828" s="1">
        <v>1380003053</v>
      </c>
      <c r="H2828" s="1">
        <v>6</v>
      </c>
      <c r="I2828" s="1" t="s">
        <v>3077</v>
      </c>
      <c r="J2828" t="s">
        <v>16458</v>
      </c>
    </row>
    <row r="2829" spans="1:10">
      <c r="A2829" s="1">
        <v>866863</v>
      </c>
      <c r="B2829" s="1">
        <v>2580002032</v>
      </c>
      <c r="C2829" s="1">
        <v>12</v>
      </c>
      <c r="D2829" s="1" t="s">
        <v>399</v>
      </c>
      <c r="E2829" t="s">
        <v>16459</v>
      </c>
      <c r="F2829" s="1">
        <v>694638</v>
      </c>
      <c r="G2829" s="1">
        <v>1380026960</v>
      </c>
      <c r="H2829" s="1">
        <v>12</v>
      </c>
      <c r="I2829" s="1" t="s">
        <v>16460</v>
      </c>
      <c r="J2829" t="s">
        <v>16461</v>
      </c>
    </row>
    <row r="2830" spans="1:10">
      <c r="A2830" s="1">
        <v>342683</v>
      </c>
      <c r="B2830" s="1">
        <v>2580002666</v>
      </c>
      <c r="C2830" s="1">
        <v>12</v>
      </c>
      <c r="D2830" s="1" t="s">
        <v>399</v>
      </c>
      <c r="E2830" t="s">
        <v>16462</v>
      </c>
      <c r="F2830" s="1">
        <v>613729</v>
      </c>
      <c r="G2830" s="1">
        <v>1380010032</v>
      </c>
      <c r="H2830" s="1">
        <v>12</v>
      </c>
      <c r="I2830" s="1" t="s">
        <v>370</v>
      </c>
      <c r="J2830" t="s">
        <v>16463</v>
      </c>
    </row>
    <row r="2831" spans="1:10" ht="15.75">
      <c r="A2831" s="4" t="s">
        <v>16058</v>
      </c>
      <c r="B2831" s="2"/>
      <c r="C2831" s="2"/>
      <c r="D2831" s="2"/>
      <c r="E2831" s="3"/>
      <c r="F2831" s="4" t="s">
        <v>16058</v>
      </c>
      <c r="G2831" s="2"/>
      <c r="H2831" s="2"/>
      <c r="I2831" s="2"/>
      <c r="J2831" s="3"/>
    </row>
    <row r="2832" spans="1:10">
      <c r="A2832" s="2" t="s">
        <v>0</v>
      </c>
      <c r="B2832" s="2" t="s">
        <v>1</v>
      </c>
      <c r="C2832" s="2" t="s">
        <v>2</v>
      </c>
      <c r="D2832" s="2" t="s">
        <v>3</v>
      </c>
      <c r="E2832" s="3" t="s">
        <v>4</v>
      </c>
      <c r="F2832" s="2" t="s">
        <v>0</v>
      </c>
      <c r="G2832" s="2" t="s">
        <v>1</v>
      </c>
      <c r="H2832" s="2" t="s">
        <v>2</v>
      </c>
      <c r="I2832" s="2" t="s">
        <v>3</v>
      </c>
      <c r="J2832" s="3" t="s">
        <v>4</v>
      </c>
    </row>
    <row r="2833" spans="1:10">
      <c r="A2833" s="1">
        <v>648667</v>
      </c>
      <c r="B2833" s="1">
        <v>1380010171</v>
      </c>
      <c r="C2833" s="1">
        <v>12</v>
      </c>
      <c r="D2833" s="1" t="s">
        <v>347</v>
      </c>
      <c r="E2833" t="s">
        <v>16464</v>
      </c>
      <c r="F2833" s="1">
        <v>755272</v>
      </c>
      <c r="G2833" s="1">
        <v>1380044792</v>
      </c>
      <c r="H2833" s="1">
        <v>12</v>
      </c>
      <c r="I2833" s="1" t="s">
        <v>347</v>
      </c>
      <c r="J2833" t="s">
        <v>16465</v>
      </c>
    </row>
    <row r="2834" spans="1:10">
      <c r="A2834" s="1">
        <v>648683</v>
      </c>
      <c r="B2834" s="1">
        <v>1380010039</v>
      </c>
      <c r="C2834" s="1">
        <v>12</v>
      </c>
      <c r="D2834" s="1" t="s">
        <v>16466</v>
      </c>
      <c r="E2834" t="s">
        <v>16467</v>
      </c>
      <c r="F2834" s="1">
        <v>842732</v>
      </c>
      <c r="G2834" s="1">
        <v>1380044831</v>
      </c>
      <c r="H2834" s="1">
        <v>12</v>
      </c>
      <c r="I2834" s="1" t="s">
        <v>381</v>
      </c>
      <c r="J2834" t="s">
        <v>16468</v>
      </c>
    </row>
    <row r="2835" spans="1:10">
      <c r="A2835" s="1">
        <v>648659</v>
      </c>
      <c r="B2835" s="1">
        <v>1380010170</v>
      </c>
      <c r="C2835" s="1">
        <v>12</v>
      </c>
      <c r="D2835" s="1" t="s">
        <v>16469</v>
      </c>
      <c r="E2835" t="s">
        <v>16470</v>
      </c>
      <c r="F2835" s="1">
        <v>613265</v>
      </c>
      <c r="G2835" s="1">
        <v>1380019020</v>
      </c>
      <c r="H2835" s="1">
        <v>6</v>
      </c>
      <c r="I2835" s="1" t="s">
        <v>943</v>
      </c>
      <c r="J2835" t="s">
        <v>16471</v>
      </c>
    </row>
    <row r="2836" spans="1:10">
      <c r="A2836" s="1">
        <v>614180</v>
      </c>
      <c r="B2836" s="1">
        <v>1380010074</v>
      </c>
      <c r="C2836" s="1">
        <v>12</v>
      </c>
      <c r="D2836" s="1" t="s">
        <v>16472</v>
      </c>
      <c r="E2836" t="s">
        <v>16473</v>
      </c>
      <c r="F2836" s="1">
        <v>386441</v>
      </c>
      <c r="G2836" s="1">
        <v>1380044850</v>
      </c>
      <c r="H2836" s="1">
        <v>12</v>
      </c>
      <c r="I2836" s="1" t="s">
        <v>1058</v>
      </c>
      <c r="J2836" t="s">
        <v>16474</v>
      </c>
    </row>
    <row r="2837" spans="1:10">
      <c r="A2837" s="1">
        <v>614925</v>
      </c>
      <c r="B2837" s="1">
        <v>1380014238</v>
      </c>
      <c r="C2837" s="1">
        <v>12</v>
      </c>
      <c r="D2837" s="1" t="s">
        <v>16475</v>
      </c>
      <c r="E2837" t="s">
        <v>16476</v>
      </c>
      <c r="F2837" s="1">
        <v>303446</v>
      </c>
      <c r="G2837" s="1">
        <v>1380050064</v>
      </c>
      <c r="H2837" s="1">
        <v>12</v>
      </c>
      <c r="I2837" s="1" t="s">
        <v>404</v>
      </c>
      <c r="J2837" t="s">
        <v>16477</v>
      </c>
    </row>
    <row r="2838" spans="1:10">
      <c r="A2838" s="1">
        <v>613570</v>
      </c>
      <c r="B2838" s="1">
        <v>1380010028</v>
      </c>
      <c r="C2838" s="1">
        <v>12</v>
      </c>
      <c r="D2838" s="1" t="s">
        <v>489</v>
      </c>
      <c r="E2838" t="s">
        <v>16478</v>
      </c>
      <c r="F2838" s="1">
        <v>236562</v>
      </c>
      <c r="G2838" s="1">
        <v>1380014995</v>
      </c>
      <c r="H2838" s="1">
        <v>12</v>
      </c>
      <c r="I2838" s="1" t="s">
        <v>259</v>
      </c>
      <c r="J2838" t="s">
        <v>16479</v>
      </c>
    </row>
    <row r="2839" spans="1:10">
      <c r="A2839" s="1">
        <v>620831</v>
      </c>
      <c r="B2839" s="1">
        <v>1380010201</v>
      </c>
      <c r="C2839" s="1">
        <v>12</v>
      </c>
      <c r="D2839" s="1" t="s">
        <v>546</v>
      </c>
      <c r="E2839" t="s">
        <v>16480</v>
      </c>
      <c r="F2839" s="1">
        <v>614057</v>
      </c>
      <c r="G2839" s="1">
        <v>1380004708</v>
      </c>
      <c r="H2839" s="1">
        <v>12</v>
      </c>
      <c r="I2839" s="1" t="s">
        <v>16481</v>
      </c>
      <c r="J2839" t="s">
        <v>16482</v>
      </c>
    </row>
    <row r="2840" spans="1:10">
      <c r="A2840" s="1">
        <v>648626</v>
      </c>
      <c r="B2840" s="1">
        <v>1380010072</v>
      </c>
      <c r="C2840" s="1">
        <v>12</v>
      </c>
      <c r="D2840" s="1" t="s">
        <v>16483</v>
      </c>
      <c r="E2840" t="s">
        <v>16484</v>
      </c>
      <c r="F2840" s="1">
        <v>613356</v>
      </c>
      <c r="G2840" s="1">
        <v>1380010030</v>
      </c>
      <c r="H2840" s="1">
        <v>12</v>
      </c>
      <c r="I2840" s="1" t="s">
        <v>489</v>
      </c>
      <c r="J2840" t="s">
        <v>16485</v>
      </c>
    </row>
    <row r="2841" spans="1:10">
      <c r="A2841" s="1">
        <v>648675</v>
      </c>
      <c r="B2841" s="1">
        <v>1380010172</v>
      </c>
      <c r="C2841" s="1">
        <v>12</v>
      </c>
      <c r="D2841" s="1" t="s">
        <v>9501</v>
      </c>
      <c r="E2841" t="s">
        <v>16486</v>
      </c>
      <c r="F2841" s="1">
        <v>614099</v>
      </c>
      <c r="G2841" s="1">
        <v>1380010323</v>
      </c>
      <c r="H2841" s="1">
        <v>12</v>
      </c>
      <c r="I2841" s="1" t="s">
        <v>370</v>
      </c>
      <c r="J2841" t="s">
        <v>16487</v>
      </c>
    </row>
    <row r="2842" spans="1:10">
      <c r="A2842" s="1">
        <v>648642</v>
      </c>
      <c r="B2842" s="1">
        <v>1380010070</v>
      </c>
      <c r="C2842" s="1">
        <v>12</v>
      </c>
      <c r="D2842" s="1" t="s">
        <v>1357</v>
      </c>
      <c r="E2842" t="s">
        <v>16488</v>
      </c>
      <c r="F2842" s="1">
        <v>370676</v>
      </c>
      <c r="G2842" s="1">
        <v>1380044835</v>
      </c>
      <c r="H2842" s="1">
        <v>12</v>
      </c>
      <c r="I2842" s="1" t="s">
        <v>381</v>
      </c>
      <c r="J2842" t="s">
        <v>15531</v>
      </c>
    </row>
    <row r="2843" spans="1:10">
      <c r="A2843" s="1">
        <v>310821</v>
      </c>
      <c r="B2843" s="1">
        <v>1380050060</v>
      </c>
      <c r="C2843" s="1">
        <v>12</v>
      </c>
      <c r="D2843" s="1" t="s">
        <v>404</v>
      </c>
      <c r="E2843" t="s">
        <v>16489</v>
      </c>
      <c r="F2843" s="1">
        <v>383372</v>
      </c>
      <c r="G2843" s="1">
        <v>1380044848</v>
      </c>
      <c r="H2843" s="1">
        <v>12</v>
      </c>
      <c r="I2843" s="1" t="s">
        <v>910</v>
      </c>
      <c r="J2843" t="s">
        <v>16490</v>
      </c>
    </row>
    <row r="2844" spans="1:10">
      <c r="A2844" s="1">
        <v>478701</v>
      </c>
      <c r="B2844" s="1">
        <v>1380044709</v>
      </c>
      <c r="C2844" s="1">
        <v>12</v>
      </c>
      <c r="D2844" s="1" t="s">
        <v>16491</v>
      </c>
      <c r="E2844" t="s">
        <v>16492</v>
      </c>
      <c r="F2844" s="1">
        <v>613224</v>
      </c>
      <c r="G2844" s="1">
        <v>1380019021</v>
      </c>
      <c r="H2844" s="1">
        <v>6</v>
      </c>
      <c r="I2844" s="1" t="s">
        <v>375</v>
      </c>
      <c r="J2844" t="s">
        <v>16493</v>
      </c>
    </row>
    <row r="2845" spans="1:10">
      <c r="A2845" s="1">
        <v>613752</v>
      </c>
      <c r="B2845" s="1">
        <v>1380010321</v>
      </c>
      <c r="C2845" s="1">
        <v>12</v>
      </c>
      <c r="D2845" s="1" t="s">
        <v>370</v>
      </c>
      <c r="E2845" t="s">
        <v>15512</v>
      </c>
      <c r="F2845" s="1">
        <v>250969</v>
      </c>
      <c r="G2845" s="1">
        <v>1380044844</v>
      </c>
      <c r="H2845" s="1">
        <v>12</v>
      </c>
      <c r="I2845" s="1" t="s">
        <v>663</v>
      </c>
      <c r="J2845" t="s">
        <v>16494</v>
      </c>
    </row>
    <row r="2846" spans="1:10">
      <c r="A2846" s="1">
        <v>613760</v>
      </c>
      <c r="B2846" s="1">
        <v>1380010320</v>
      </c>
      <c r="C2846" s="1">
        <v>12</v>
      </c>
      <c r="D2846" s="1" t="s">
        <v>908</v>
      </c>
      <c r="E2846" t="s">
        <v>15512</v>
      </c>
      <c r="F2846" s="1">
        <v>618512</v>
      </c>
      <c r="G2846" s="1">
        <v>1380011014</v>
      </c>
      <c r="H2846" s="1">
        <v>8</v>
      </c>
      <c r="I2846" s="1" t="s">
        <v>1313</v>
      </c>
      <c r="J2846" t="s">
        <v>16495</v>
      </c>
    </row>
    <row r="2847" spans="1:10">
      <c r="A2847" s="1">
        <v>648139</v>
      </c>
      <c r="B2847" s="1">
        <v>1380023260</v>
      </c>
      <c r="C2847" s="1">
        <v>6</v>
      </c>
      <c r="D2847" s="1" t="s">
        <v>16420</v>
      </c>
      <c r="E2847" t="s">
        <v>15512</v>
      </c>
      <c r="F2847" s="1">
        <v>618439</v>
      </c>
      <c r="G2847" s="1">
        <v>1380011013</v>
      </c>
      <c r="H2847" s="1">
        <v>8</v>
      </c>
      <c r="I2847" s="1" t="s">
        <v>1313</v>
      </c>
      <c r="J2847" t="s">
        <v>16496</v>
      </c>
    </row>
    <row r="2848" spans="1:10">
      <c r="A2848" s="1">
        <v>612408</v>
      </c>
      <c r="B2848" s="1">
        <v>1380019091</v>
      </c>
      <c r="C2848" s="1">
        <v>12</v>
      </c>
      <c r="D2848" s="1" t="s">
        <v>703</v>
      </c>
      <c r="E2848" t="s">
        <v>16497</v>
      </c>
      <c r="F2848" s="1">
        <v>618686</v>
      </c>
      <c r="G2848" s="1">
        <v>1380011017</v>
      </c>
      <c r="H2848" s="1">
        <v>8</v>
      </c>
      <c r="I2848" s="1" t="s">
        <v>1313</v>
      </c>
      <c r="J2848" t="s">
        <v>16498</v>
      </c>
    </row>
    <row r="2849" spans="1:10">
      <c r="A2849" s="1">
        <v>153403</v>
      </c>
      <c r="B2849" s="1">
        <v>1380014331</v>
      </c>
      <c r="C2849" s="1">
        <v>6</v>
      </c>
      <c r="D2849" s="1" t="s">
        <v>1473</v>
      </c>
      <c r="E2849" t="s">
        <v>16499</v>
      </c>
      <c r="F2849" s="1">
        <v>617746</v>
      </c>
      <c r="G2849" s="1">
        <v>1380011012</v>
      </c>
      <c r="H2849" s="1">
        <v>8</v>
      </c>
      <c r="I2849" s="1" t="s">
        <v>1313</v>
      </c>
      <c r="J2849" t="s">
        <v>16500</v>
      </c>
    </row>
    <row r="2850" spans="1:10">
      <c r="A2850" s="1">
        <v>514695</v>
      </c>
      <c r="B2850" s="1">
        <v>1380020031</v>
      </c>
      <c r="C2850" s="1">
        <v>6</v>
      </c>
      <c r="D2850" s="1" t="s">
        <v>15527</v>
      </c>
      <c r="E2850" t="s">
        <v>16499</v>
      </c>
      <c r="F2850" s="1">
        <v>617548</v>
      </c>
      <c r="G2850" s="1">
        <v>1380011010</v>
      </c>
      <c r="H2850" s="1">
        <v>8</v>
      </c>
      <c r="I2850" s="1" t="s">
        <v>1313</v>
      </c>
      <c r="J2850" t="s">
        <v>16501</v>
      </c>
    </row>
    <row r="2851" spans="1:10">
      <c r="A2851" s="1">
        <v>617134</v>
      </c>
      <c r="B2851" s="1">
        <v>1380019004</v>
      </c>
      <c r="C2851" s="1">
        <v>6</v>
      </c>
      <c r="D2851" s="1" t="s">
        <v>3077</v>
      </c>
      <c r="E2851" t="s">
        <v>16502</v>
      </c>
      <c r="F2851" s="1">
        <v>619437</v>
      </c>
      <c r="G2851" s="1">
        <v>1380034103</v>
      </c>
      <c r="H2851" s="1">
        <v>8</v>
      </c>
      <c r="I2851" s="1" t="s">
        <v>11197</v>
      </c>
      <c r="J2851" t="s">
        <v>16503</v>
      </c>
    </row>
    <row r="2852" spans="1:10">
      <c r="A2852" s="1">
        <v>613703</v>
      </c>
      <c r="B2852" s="1">
        <v>1380019002</v>
      </c>
      <c r="C2852" s="1">
        <v>6</v>
      </c>
      <c r="D2852" s="1" t="s">
        <v>3077</v>
      </c>
      <c r="E2852" t="s">
        <v>15516</v>
      </c>
      <c r="F2852" s="1">
        <v>731539</v>
      </c>
      <c r="G2852" s="1">
        <v>1380014391</v>
      </c>
      <c r="H2852" s="1">
        <v>12</v>
      </c>
      <c r="I2852" s="1" t="s">
        <v>404</v>
      </c>
      <c r="J2852" t="s">
        <v>16504</v>
      </c>
    </row>
    <row r="2853" spans="1:10">
      <c r="A2853" s="1">
        <v>621664</v>
      </c>
      <c r="B2853" s="1">
        <v>1380014333</v>
      </c>
      <c r="C2853" s="1">
        <v>6</v>
      </c>
      <c r="D2853" s="1" t="s">
        <v>1473</v>
      </c>
      <c r="E2853" t="s">
        <v>16505</v>
      </c>
      <c r="F2853" s="1">
        <v>613521</v>
      </c>
      <c r="G2853" s="1">
        <v>1380010585</v>
      </c>
      <c r="H2853" s="1">
        <v>12</v>
      </c>
      <c r="I2853" s="1" t="s">
        <v>347</v>
      </c>
      <c r="J2853" t="s">
        <v>16506</v>
      </c>
    </row>
    <row r="2854" spans="1:10">
      <c r="A2854" s="1">
        <v>625798</v>
      </c>
      <c r="B2854" s="1">
        <v>1380016617</v>
      </c>
      <c r="C2854" s="1">
        <v>12</v>
      </c>
      <c r="D2854" s="1" t="s">
        <v>489</v>
      </c>
      <c r="E2854" t="s">
        <v>16507</v>
      </c>
      <c r="F2854" s="1">
        <v>613059</v>
      </c>
      <c r="G2854" s="1">
        <v>1380010393</v>
      </c>
      <c r="H2854" s="1">
        <v>12</v>
      </c>
      <c r="I2854" s="1" t="s">
        <v>692</v>
      </c>
      <c r="J2854" t="s">
        <v>16508</v>
      </c>
    </row>
    <row r="2855" spans="1:10">
      <c r="A2855" s="1">
        <v>619551</v>
      </c>
      <c r="B2855" s="1">
        <v>1380004550</v>
      </c>
      <c r="C2855" s="1">
        <v>12</v>
      </c>
      <c r="D2855" s="1" t="s">
        <v>399</v>
      </c>
      <c r="E2855" t="s">
        <v>16509</v>
      </c>
      <c r="F2855" s="1">
        <v>619692</v>
      </c>
      <c r="G2855" s="1">
        <v>1380045214</v>
      </c>
      <c r="H2855" s="1">
        <v>8</v>
      </c>
      <c r="I2855" s="1" t="s">
        <v>1387</v>
      </c>
      <c r="J2855" t="s">
        <v>16510</v>
      </c>
    </row>
    <row r="2856" spans="1:10">
      <c r="A2856" s="1">
        <v>613612</v>
      </c>
      <c r="B2856" s="1">
        <v>1380016610</v>
      </c>
      <c r="C2856" s="1">
        <v>12</v>
      </c>
      <c r="D2856" s="1" t="s">
        <v>365</v>
      </c>
      <c r="E2856" t="s">
        <v>16511</v>
      </c>
      <c r="F2856" s="1">
        <v>731521</v>
      </c>
      <c r="G2856" s="1">
        <v>1380014392</v>
      </c>
      <c r="H2856" s="1">
        <v>12</v>
      </c>
      <c r="I2856" s="1" t="s">
        <v>404</v>
      </c>
      <c r="J2856" t="s">
        <v>16512</v>
      </c>
    </row>
    <row r="2857" spans="1:10">
      <c r="A2857" s="1">
        <v>616722</v>
      </c>
      <c r="B2857" s="1">
        <v>1380016607</v>
      </c>
      <c r="C2857" s="1">
        <v>12</v>
      </c>
      <c r="D2857" s="1" t="s">
        <v>649</v>
      </c>
      <c r="E2857" t="s">
        <v>16513</v>
      </c>
      <c r="F2857" s="1">
        <v>512012</v>
      </c>
      <c r="G2857" s="1">
        <v>1380044837</v>
      </c>
      <c r="H2857" s="1">
        <v>12</v>
      </c>
      <c r="I2857" s="1" t="s">
        <v>465</v>
      </c>
      <c r="J2857" t="s">
        <v>16514</v>
      </c>
    </row>
    <row r="2858" spans="1:10">
      <c r="A2858" s="1">
        <v>614172</v>
      </c>
      <c r="B2858" s="1">
        <v>1380014252</v>
      </c>
      <c r="C2858" s="1">
        <v>12</v>
      </c>
      <c r="D2858" s="1" t="s">
        <v>489</v>
      </c>
      <c r="E2858" t="s">
        <v>16515</v>
      </c>
      <c r="F2858" s="1">
        <v>120709</v>
      </c>
      <c r="G2858" s="1">
        <v>1380050066</v>
      </c>
      <c r="H2858" s="1">
        <v>12</v>
      </c>
      <c r="I2858" s="1" t="s">
        <v>404</v>
      </c>
      <c r="J2858" t="s">
        <v>16516</v>
      </c>
    </row>
    <row r="2859" spans="1:10">
      <c r="A2859" s="1">
        <v>647420</v>
      </c>
      <c r="B2859" s="1">
        <v>1380017114</v>
      </c>
      <c r="C2859" s="1">
        <v>12</v>
      </c>
      <c r="D2859" s="1" t="s">
        <v>489</v>
      </c>
      <c r="E2859" t="s">
        <v>16517</v>
      </c>
      <c r="F2859" s="1">
        <v>613208</v>
      </c>
      <c r="G2859" s="1">
        <v>1380010067</v>
      </c>
      <c r="H2859" s="1">
        <v>12</v>
      </c>
      <c r="I2859" s="1" t="s">
        <v>1483</v>
      </c>
      <c r="J2859" t="s">
        <v>16518</v>
      </c>
    </row>
    <row r="2860" spans="1:10">
      <c r="A2860" s="1">
        <v>608810</v>
      </c>
      <c r="B2860" s="1">
        <v>1380016649</v>
      </c>
      <c r="C2860" s="1">
        <v>12</v>
      </c>
      <c r="D2860" s="1" t="s">
        <v>703</v>
      </c>
      <c r="E2860" t="s">
        <v>16519</v>
      </c>
      <c r="F2860" s="1">
        <v>614628</v>
      </c>
      <c r="G2860" s="1">
        <v>1380010066</v>
      </c>
      <c r="H2860" s="1">
        <v>12</v>
      </c>
      <c r="I2860" s="1" t="s">
        <v>489</v>
      </c>
      <c r="J2860" t="s">
        <v>16520</v>
      </c>
    </row>
    <row r="2861" spans="1:10">
      <c r="A2861" s="1">
        <v>613190</v>
      </c>
      <c r="B2861" s="1">
        <v>1380044257</v>
      </c>
      <c r="C2861" s="1">
        <v>12</v>
      </c>
      <c r="D2861" s="1" t="s">
        <v>347</v>
      </c>
      <c r="E2861" t="s">
        <v>16521</v>
      </c>
      <c r="F2861" s="1">
        <v>731513</v>
      </c>
      <c r="G2861" s="1">
        <v>1380014410</v>
      </c>
      <c r="H2861" s="1">
        <v>12</v>
      </c>
      <c r="I2861" s="1" t="s">
        <v>404</v>
      </c>
      <c r="J2861" t="s">
        <v>16522</v>
      </c>
    </row>
    <row r="2862" spans="1:10">
      <c r="A2862" s="1">
        <v>621847</v>
      </c>
      <c r="B2862" s="1">
        <v>1380004548</v>
      </c>
      <c r="C2862" s="1">
        <v>12</v>
      </c>
      <c r="D2862" s="1" t="s">
        <v>399</v>
      </c>
      <c r="E2862" t="s">
        <v>16523</v>
      </c>
      <c r="F2862" s="1">
        <v>643775</v>
      </c>
      <c r="G2862" s="1">
        <v>1380012009</v>
      </c>
      <c r="H2862" s="1">
        <v>12</v>
      </c>
      <c r="I2862" s="1" t="s">
        <v>703</v>
      </c>
      <c r="J2862" t="s">
        <v>16524</v>
      </c>
    </row>
    <row r="2863" spans="1:10">
      <c r="A2863" s="1">
        <v>622126</v>
      </c>
      <c r="B2863" s="1">
        <v>1380004551</v>
      </c>
      <c r="C2863" s="1">
        <v>12</v>
      </c>
      <c r="D2863" s="1" t="s">
        <v>399</v>
      </c>
      <c r="E2863" t="s">
        <v>16525</v>
      </c>
      <c r="F2863" s="1">
        <v>613901</v>
      </c>
      <c r="G2863" s="1">
        <v>1380013308</v>
      </c>
      <c r="H2863" s="1">
        <v>12</v>
      </c>
      <c r="I2863" s="1" t="s">
        <v>381</v>
      </c>
      <c r="J2863" t="s">
        <v>16526</v>
      </c>
    </row>
    <row r="2864" spans="1:10">
      <c r="A2864" s="1">
        <v>613216</v>
      </c>
      <c r="B2864" s="1">
        <v>1380017219</v>
      </c>
      <c r="C2864" s="1">
        <v>12</v>
      </c>
      <c r="D2864" s="1" t="s">
        <v>16527</v>
      </c>
      <c r="E2864" t="s">
        <v>16528</v>
      </c>
      <c r="F2864" s="1">
        <v>278598</v>
      </c>
      <c r="G2864" s="1">
        <v>1380044788</v>
      </c>
      <c r="H2864" s="1">
        <v>12</v>
      </c>
      <c r="I2864" s="1" t="s">
        <v>347</v>
      </c>
      <c r="J2864" t="s">
        <v>16529</v>
      </c>
    </row>
    <row r="2865" spans="1:10">
      <c r="A2865" s="1">
        <v>612366</v>
      </c>
      <c r="B2865" s="1">
        <v>1380012007</v>
      </c>
      <c r="C2865" s="1">
        <v>12</v>
      </c>
      <c r="D2865" s="1" t="s">
        <v>347</v>
      </c>
      <c r="E2865" t="s">
        <v>16530</v>
      </c>
      <c r="F2865" s="1">
        <v>476176</v>
      </c>
      <c r="G2865" s="1">
        <v>1380044790</v>
      </c>
      <c r="H2865" s="1">
        <v>12</v>
      </c>
      <c r="I2865" s="1" t="s">
        <v>16531</v>
      </c>
      <c r="J2865" t="s">
        <v>16532</v>
      </c>
    </row>
    <row r="2866" spans="1:10">
      <c r="A2866" s="1">
        <v>617050</v>
      </c>
      <c r="B2866" s="1">
        <v>1380019003</v>
      </c>
      <c r="C2866" s="1">
        <v>6</v>
      </c>
      <c r="D2866" s="1" t="s">
        <v>8154</v>
      </c>
      <c r="E2866" t="s">
        <v>16533</v>
      </c>
      <c r="F2866" s="1">
        <v>613646</v>
      </c>
      <c r="G2866" s="1">
        <v>1380010596</v>
      </c>
      <c r="H2866" s="1">
        <v>12</v>
      </c>
      <c r="I2866" s="1" t="s">
        <v>489</v>
      </c>
      <c r="J2866" t="s">
        <v>16534</v>
      </c>
    </row>
    <row r="2867" spans="1:10">
      <c r="A2867" s="1">
        <v>648576</v>
      </c>
      <c r="B2867" s="1">
        <v>1380010342</v>
      </c>
      <c r="C2867" s="1">
        <v>12</v>
      </c>
      <c r="D2867" s="1" t="s">
        <v>938</v>
      </c>
      <c r="E2867" t="s">
        <v>16535</v>
      </c>
      <c r="F2867" s="1">
        <v>178418</v>
      </c>
      <c r="G2867" s="1">
        <v>5100006345</v>
      </c>
      <c r="H2867" s="1">
        <v>12</v>
      </c>
      <c r="I2867" s="1" t="s">
        <v>259</v>
      </c>
      <c r="J2867" t="s">
        <v>16536</v>
      </c>
    </row>
    <row r="2868" spans="1:10">
      <c r="A2868" s="1">
        <v>621656</v>
      </c>
      <c r="B2868" s="1">
        <v>1380010334</v>
      </c>
      <c r="C2868" s="1">
        <v>6</v>
      </c>
      <c r="D2868" s="1" t="s">
        <v>553</v>
      </c>
      <c r="E2868" t="s">
        <v>16537</v>
      </c>
      <c r="F2868" s="1">
        <v>596163</v>
      </c>
      <c r="G2868" s="1">
        <v>5100006633</v>
      </c>
      <c r="H2868" s="1">
        <v>12</v>
      </c>
      <c r="I2868" s="1" t="s">
        <v>432</v>
      </c>
      <c r="J2868" t="s">
        <v>16538</v>
      </c>
    </row>
    <row r="2869" spans="1:10">
      <c r="A2869" s="1">
        <v>613125</v>
      </c>
      <c r="B2869" s="1">
        <v>1380010340</v>
      </c>
      <c r="C2869" s="1">
        <v>12</v>
      </c>
      <c r="D2869" s="1" t="s">
        <v>347</v>
      </c>
      <c r="E2869" t="s">
        <v>15519</v>
      </c>
      <c r="F2869" s="1">
        <v>365189</v>
      </c>
      <c r="G2869" s="1">
        <v>5100006632</v>
      </c>
      <c r="H2869" s="1">
        <v>12</v>
      </c>
      <c r="I2869" s="1" t="s">
        <v>4586</v>
      </c>
      <c r="J2869" t="s">
        <v>16539</v>
      </c>
    </row>
    <row r="2870" spans="1:10">
      <c r="A2870" s="1">
        <v>408682</v>
      </c>
      <c r="B2870" s="1">
        <v>1380044784</v>
      </c>
      <c r="C2870" s="1">
        <v>12</v>
      </c>
      <c r="D2870" s="1" t="s">
        <v>8481</v>
      </c>
      <c r="E2870" t="s">
        <v>16540</v>
      </c>
      <c r="F2870" s="1">
        <v>572453</v>
      </c>
      <c r="G2870" s="1">
        <v>65827620201</v>
      </c>
      <c r="H2870" s="1">
        <v>12</v>
      </c>
      <c r="I2870" s="1" t="s">
        <v>381</v>
      </c>
      <c r="J2870" t="s">
        <v>16541</v>
      </c>
    </row>
    <row r="2871" spans="1:10">
      <c r="A2871" s="1">
        <v>589184</v>
      </c>
      <c r="B2871" s="1">
        <v>1380044839</v>
      </c>
      <c r="C2871" s="1">
        <v>12</v>
      </c>
      <c r="D2871" s="1" t="s">
        <v>16542</v>
      </c>
      <c r="E2871" t="s">
        <v>16543</v>
      </c>
      <c r="F2871" s="1">
        <v>615179</v>
      </c>
      <c r="G2871" s="1">
        <v>5100006320</v>
      </c>
      <c r="H2871" s="1">
        <v>12</v>
      </c>
      <c r="I2871" s="1" t="s">
        <v>381</v>
      </c>
      <c r="J2871" t="s">
        <v>16544</v>
      </c>
    </row>
    <row r="2872" spans="1:10" ht="15.75">
      <c r="A2872" s="4" t="s">
        <v>16058</v>
      </c>
      <c r="B2872" s="2"/>
      <c r="C2872" s="2"/>
      <c r="D2872" s="2"/>
      <c r="E2872" s="3"/>
      <c r="F2872" s="4" t="s">
        <v>16058</v>
      </c>
      <c r="G2872" s="2"/>
      <c r="H2872" s="2"/>
      <c r="I2872" s="2"/>
      <c r="J2872" s="3"/>
    </row>
    <row r="2873" spans="1:10">
      <c r="A2873" s="2" t="s">
        <v>0</v>
      </c>
      <c r="B2873" s="2" t="s">
        <v>1</v>
      </c>
      <c r="C2873" s="2" t="s">
        <v>2</v>
      </c>
      <c r="D2873" s="2" t="s">
        <v>3</v>
      </c>
      <c r="E2873" s="3" t="s">
        <v>4</v>
      </c>
      <c r="F2873" s="2" t="s">
        <v>0</v>
      </c>
      <c r="G2873" s="2" t="s">
        <v>1</v>
      </c>
      <c r="H2873" s="2" t="s">
        <v>2</v>
      </c>
      <c r="I2873" s="2" t="s">
        <v>3</v>
      </c>
      <c r="J2873" s="3" t="s">
        <v>4</v>
      </c>
    </row>
    <row r="2874" spans="1:10">
      <c r="A2874" s="1">
        <v>609636</v>
      </c>
      <c r="B2874" s="1">
        <v>5100006276</v>
      </c>
      <c r="C2874" s="1">
        <v>12</v>
      </c>
      <c r="D2874" s="1" t="s">
        <v>381</v>
      </c>
      <c r="E2874" t="s">
        <v>16545</v>
      </c>
      <c r="F2874" s="1">
        <v>764126</v>
      </c>
      <c r="G2874" s="1">
        <v>2580002080</v>
      </c>
      <c r="H2874" s="1">
        <v>12</v>
      </c>
      <c r="I2874" s="1" t="s">
        <v>546</v>
      </c>
      <c r="J2874" t="s">
        <v>16546</v>
      </c>
    </row>
    <row r="2875" spans="1:10">
      <c r="A2875" s="1">
        <v>609628</v>
      </c>
      <c r="B2875" s="1">
        <v>5100006507</v>
      </c>
      <c r="C2875" s="1">
        <v>12</v>
      </c>
      <c r="D2875" s="1" t="s">
        <v>381</v>
      </c>
      <c r="E2875" t="s">
        <v>16547</v>
      </c>
      <c r="F2875" s="1">
        <v>608125</v>
      </c>
      <c r="G2875" s="1">
        <v>2580002376</v>
      </c>
      <c r="H2875" s="1">
        <v>12</v>
      </c>
      <c r="I2875" s="1" t="s">
        <v>546</v>
      </c>
      <c r="J2875" t="s">
        <v>16548</v>
      </c>
    </row>
    <row r="2876" spans="1:10" ht="15.75">
      <c r="A2876" s="1">
        <v>609248</v>
      </c>
      <c r="B2876" s="1">
        <v>5100006514</v>
      </c>
      <c r="C2876" s="1">
        <v>12</v>
      </c>
      <c r="D2876" s="1" t="s">
        <v>381</v>
      </c>
      <c r="E2876" t="s">
        <v>16549</v>
      </c>
      <c r="F2876" s="4" t="s">
        <v>16550</v>
      </c>
      <c r="G2876" s="2"/>
      <c r="H2876" s="2"/>
      <c r="I2876" s="2"/>
      <c r="J2876" s="3"/>
    </row>
    <row r="2877" spans="1:10">
      <c r="A2877" s="1">
        <v>609842</v>
      </c>
      <c r="B2877" s="1">
        <v>5100008375</v>
      </c>
      <c r="C2877" s="1">
        <v>12</v>
      </c>
      <c r="D2877" s="1" t="s">
        <v>381</v>
      </c>
      <c r="E2877" t="s">
        <v>16551</v>
      </c>
      <c r="F2877" s="2" t="s">
        <v>0</v>
      </c>
      <c r="G2877" s="2" t="s">
        <v>1</v>
      </c>
      <c r="H2877" s="2" t="s">
        <v>2</v>
      </c>
      <c r="I2877" s="2" t="s">
        <v>3</v>
      </c>
      <c r="J2877" s="3" t="s">
        <v>4</v>
      </c>
    </row>
    <row r="2878" spans="1:10">
      <c r="A2878" s="1">
        <v>609685</v>
      </c>
      <c r="B2878" s="1">
        <v>5100006283</v>
      </c>
      <c r="C2878" s="1">
        <v>12</v>
      </c>
      <c r="D2878" s="1" t="s">
        <v>381</v>
      </c>
      <c r="E2878" t="s">
        <v>16552</v>
      </c>
      <c r="F2878" s="1">
        <v>610824</v>
      </c>
      <c r="G2878" s="1">
        <v>4164612342</v>
      </c>
      <c r="H2878" s="1">
        <v>18</v>
      </c>
      <c r="I2878" s="1" t="s">
        <v>379</v>
      </c>
      <c r="J2878" t="s">
        <v>16553</v>
      </c>
    </row>
    <row r="2879" spans="1:10">
      <c r="A2879" s="1">
        <v>609545</v>
      </c>
      <c r="B2879" s="1">
        <v>5100006501</v>
      </c>
      <c r="C2879" s="1">
        <v>12</v>
      </c>
      <c r="D2879" s="1" t="s">
        <v>381</v>
      </c>
      <c r="E2879" t="s">
        <v>16554</v>
      </c>
      <c r="F2879" s="1">
        <v>606012</v>
      </c>
      <c r="G2879" s="1">
        <v>4164612361</v>
      </c>
      <c r="H2879" s="1">
        <v>18</v>
      </c>
      <c r="I2879" s="1" t="s">
        <v>379</v>
      </c>
      <c r="J2879" t="s">
        <v>16555</v>
      </c>
    </row>
    <row r="2880" spans="1:10">
      <c r="A2880" s="1">
        <v>609693</v>
      </c>
      <c r="B2880" s="1">
        <v>5100006261</v>
      </c>
      <c r="C2880" s="1">
        <v>12</v>
      </c>
      <c r="D2880" s="1" t="s">
        <v>940</v>
      </c>
      <c r="E2880" t="s">
        <v>16556</v>
      </c>
      <c r="F2880" s="1">
        <v>610121</v>
      </c>
      <c r="G2880" s="1">
        <v>7623942080</v>
      </c>
      <c r="H2880" s="1">
        <v>12</v>
      </c>
      <c r="I2880" s="1" t="s">
        <v>439</v>
      </c>
      <c r="J2880" t="s">
        <v>16557</v>
      </c>
    </row>
    <row r="2881" spans="1:10">
      <c r="A2881" s="1">
        <v>609396</v>
      </c>
      <c r="B2881" s="1">
        <v>5100006314</v>
      </c>
      <c r="C2881" s="1">
        <v>8</v>
      </c>
      <c r="D2881" s="1" t="s">
        <v>439</v>
      </c>
      <c r="E2881" t="s">
        <v>16558</v>
      </c>
      <c r="F2881" s="1">
        <v>610196</v>
      </c>
      <c r="G2881" s="1">
        <v>7623942081</v>
      </c>
      <c r="H2881" s="1">
        <v>12</v>
      </c>
      <c r="I2881" s="1" t="s">
        <v>439</v>
      </c>
      <c r="J2881" t="s">
        <v>16559</v>
      </c>
    </row>
    <row r="2882" spans="1:10">
      <c r="A2882" s="1">
        <v>609370</v>
      </c>
      <c r="B2882" s="1">
        <v>5100006315</v>
      </c>
      <c r="C2882" s="1">
        <v>8</v>
      </c>
      <c r="D2882" s="1" t="s">
        <v>439</v>
      </c>
      <c r="E2882" t="s">
        <v>16560</v>
      </c>
      <c r="F2882" s="1">
        <v>234989</v>
      </c>
      <c r="G2882" s="1">
        <v>4154903914</v>
      </c>
      <c r="H2882" s="1">
        <v>6</v>
      </c>
      <c r="I2882" s="1" t="s">
        <v>632</v>
      </c>
      <c r="J2882" t="s">
        <v>16561</v>
      </c>
    </row>
    <row r="2883" spans="1:10">
      <c r="A2883" s="1">
        <v>258780</v>
      </c>
      <c r="B2883" s="1">
        <v>5100006349</v>
      </c>
      <c r="C2883" s="1">
        <v>12</v>
      </c>
      <c r="D2883" s="1" t="s">
        <v>259</v>
      </c>
      <c r="E2883" t="s">
        <v>16562</v>
      </c>
      <c r="F2883" s="1">
        <v>601534</v>
      </c>
      <c r="G2883" s="1">
        <v>4154903766</v>
      </c>
      <c r="H2883" s="1">
        <v>6</v>
      </c>
      <c r="I2883" s="1" t="s">
        <v>439</v>
      </c>
      <c r="J2883" t="s">
        <v>16563</v>
      </c>
    </row>
    <row r="2884" spans="1:10">
      <c r="A2884" s="1">
        <v>505420</v>
      </c>
      <c r="B2884" s="1">
        <v>5100006628</v>
      </c>
      <c r="C2884" s="1">
        <v>12</v>
      </c>
      <c r="D2884" s="1" t="s">
        <v>432</v>
      </c>
      <c r="E2884" t="s">
        <v>16564</v>
      </c>
      <c r="F2884" s="1">
        <v>603910</v>
      </c>
      <c r="G2884" s="1">
        <v>4154900361</v>
      </c>
      <c r="H2884" s="1">
        <v>6</v>
      </c>
      <c r="I2884" s="1" t="s">
        <v>439</v>
      </c>
      <c r="J2884" t="s">
        <v>16565</v>
      </c>
    </row>
    <row r="2885" spans="1:10">
      <c r="A2885" s="1">
        <v>698886</v>
      </c>
      <c r="B2885" s="1">
        <v>5100006533</v>
      </c>
      <c r="C2885" s="1">
        <v>12</v>
      </c>
      <c r="D2885" s="1" t="s">
        <v>358</v>
      </c>
      <c r="E2885" t="s">
        <v>16566</v>
      </c>
      <c r="F2885" s="1">
        <v>620617</v>
      </c>
      <c r="G2885" s="1">
        <v>4154900370</v>
      </c>
      <c r="H2885" s="1">
        <v>6</v>
      </c>
      <c r="I2885" s="1" t="s">
        <v>1313</v>
      </c>
      <c r="J2885" t="s">
        <v>16567</v>
      </c>
    </row>
    <row r="2886" spans="1:10">
      <c r="A2886" s="1">
        <v>627166</v>
      </c>
      <c r="B2886" s="1">
        <v>5100006630</v>
      </c>
      <c r="C2886" s="1">
        <v>12</v>
      </c>
      <c r="D2886" s="1" t="s">
        <v>432</v>
      </c>
      <c r="E2886" t="s">
        <v>16568</v>
      </c>
      <c r="F2886" s="1">
        <v>620740</v>
      </c>
      <c r="G2886" s="1">
        <v>4154900371</v>
      </c>
      <c r="H2886" s="1">
        <v>6</v>
      </c>
      <c r="I2886" s="1" t="s">
        <v>1313</v>
      </c>
      <c r="J2886" t="s">
        <v>16569</v>
      </c>
    </row>
    <row r="2887" spans="1:10">
      <c r="A2887" s="1">
        <v>150391</v>
      </c>
      <c r="B2887" s="1">
        <v>5100006634</v>
      </c>
      <c r="C2887" s="1">
        <v>12</v>
      </c>
      <c r="D2887" s="1" t="s">
        <v>5321</v>
      </c>
      <c r="E2887" t="s">
        <v>16570</v>
      </c>
      <c r="F2887" s="1">
        <v>65326</v>
      </c>
      <c r="G2887" s="1">
        <v>4154903942</v>
      </c>
      <c r="H2887" s="1">
        <v>6</v>
      </c>
      <c r="I2887" s="1" t="s">
        <v>632</v>
      </c>
      <c r="J2887" t="s">
        <v>16571</v>
      </c>
    </row>
    <row r="2888" spans="1:10">
      <c r="A2888" s="1">
        <v>748129</v>
      </c>
      <c r="B2888" s="1">
        <v>4670401044</v>
      </c>
      <c r="C2888" s="1">
        <v>8</v>
      </c>
      <c r="D2888" s="1" t="s">
        <v>439</v>
      </c>
      <c r="E2888" t="s">
        <v>16572</v>
      </c>
      <c r="F2888" s="1">
        <v>376160</v>
      </c>
      <c r="G2888" s="1">
        <v>4154903944</v>
      </c>
      <c r="H2888" s="1">
        <v>6</v>
      </c>
      <c r="I2888" s="1" t="s">
        <v>632</v>
      </c>
      <c r="J2888" t="s">
        <v>16573</v>
      </c>
    </row>
    <row r="2889" spans="1:10">
      <c r="A2889" s="1">
        <v>890657</v>
      </c>
      <c r="B2889" s="1">
        <v>4670401042</v>
      </c>
      <c r="C2889" s="1">
        <v>8</v>
      </c>
      <c r="D2889" s="1" t="s">
        <v>439</v>
      </c>
      <c r="E2889" t="s">
        <v>16574</v>
      </c>
      <c r="F2889" s="1">
        <v>610030</v>
      </c>
      <c r="G2889" s="1">
        <v>4154903702</v>
      </c>
      <c r="H2889" s="1">
        <v>6</v>
      </c>
      <c r="I2889" s="1" t="s">
        <v>574</v>
      </c>
      <c r="J2889" t="s">
        <v>16575</v>
      </c>
    </row>
    <row r="2890" spans="1:10" ht="15.75">
      <c r="A2890" s="1">
        <v>161018</v>
      </c>
      <c r="B2890" s="1">
        <v>4670401040</v>
      </c>
      <c r="C2890" s="1">
        <v>8</v>
      </c>
      <c r="D2890" s="1" t="s">
        <v>439</v>
      </c>
      <c r="E2890" t="s">
        <v>16576</v>
      </c>
      <c r="F2890" s="4" t="s">
        <v>16577</v>
      </c>
      <c r="G2890" s="2"/>
      <c r="H2890" s="2"/>
      <c r="I2890" s="2"/>
      <c r="J2890" s="3"/>
    </row>
    <row r="2891" spans="1:10">
      <c r="A2891" s="1">
        <v>493528</v>
      </c>
      <c r="B2891" s="1">
        <v>4670401045</v>
      </c>
      <c r="C2891" s="1">
        <v>8</v>
      </c>
      <c r="D2891" s="1" t="s">
        <v>439</v>
      </c>
      <c r="E2891" t="s">
        <v>16578</v>
      </c>
      <c r="F2891" s="2" t="s">
        <v>0</v>
      </c>
      <c r="G2891" s="2" t="s">
        <v>1</v>
      </c>
      <c r="H2891" s="2" t="s">
        <v>2</v>
      </c>
      <c r="I2891" s="2" t="s">
        <v>3</v>
      </c>
      <c r="J2891" s="3" t="s">
        <v>4</v>
      </c>
    </row>
    <row r="2892" spans="1:10">
      <c r="A2892" s="1">
        <v>625202</v>
      </c>
      <c r="B2892" s="1">
        <v>2580002251</v>
      </c>
      <c r="C2892" s="1">
        <v>12</v>
      </c>
      <c r="D2892" s="1" t="s">
        <v>370</v>
      </c>
      <c r="E2892" t="s">
        <v>16579</v>
      </c>
      <c r="F2892" s="1">
        <v>210617</v>
      </c>
      <c r="G2892" s="1">
        <v>2951900000</v>
      </c>
      <c r="H2892" s="1">
        <v>330</v>
      </c>
      <c r="I2892" s="1" t="s">
        <v>5238</v>
      </c>
      <c r="J2892" t="s">
        <v>16580</v>
      </c>
    </row>
    <row r="2893" spans="1:10">
      <c r="A2893" s="1">
        <v>600361</v>
      </c>
      <c r="B2893" s="1">
        <v>2580002011</v>
      </c>
      <c r="C2893" s="1">
        <v>12</v>
      </c>
      <c r="D2893" s="1" t="s">
        <v>489</v>
      </c>
      <c r="E2893" t="s">
        <v>16581</v>
      </c>
      <c r="F2893" s="1">
        <v>825323</v>
      </c>
      <c r="G2893" s="1">
        <v>7388911720</v>
      </c>
      <c r="H2893" s="1">
        <v>144</v>
      </c>
      <c r="I2893" s="1" t="s">
        <v>14</v>
      </c>
      <c r="J2893" t="s">
        <v>16582</v>
      </c>
    </row>
    <row r="2894" spans="1:10">
      <c r="A2894" s="1">
        <v>608513</v>
      </c>
      <c r="B2894" s="1">
        <v>2580002240</v>
      </c>
      <c r="C2894" s="1">
        <v>12</v>
      </c>
      <c r="D2894" s="1" t="s">
        <v>546</v>
      </c>
      <c r="E2894" t="s">
        <v>16583</v>
      </c>
      <c r="F2894" s="1">
        <v>831396</v>
      </c>
      <c r="G2894" s="1">
        <v>7388911745</v>
      </c>
      <c r="H2894" s="1">
        <v>110</v>
      </c>
      <c r="I2894" s="1" t="s">
        <v>510</v>
      </c>
      <c r="J2894" t="s">
        <v>16584</v>
      </c>
    </row>
    <row r="2895" spans="1:10">
      <c r="A2895" s="1">
        <v>610568</v>
      </c>
      <c r="B2895" s="1">
        <v>2580002028</v>
      </c>
      <c r="C2895" s="1">
        <v>12</v>
      </c>
      <c r="D2895" s="1" t="s">
        <v>16585</v>
      </c>
      <c r="E2895" t="s">
        <v>16586</v>
      </c>
      <c r="F2895" s="1">
        <v>204958</v>
      </c>
      <c r="G2895" s="1">
        <v>7225001251</v>
      </c>
      <c r="H2895" s="1">
        <v>24</v>
      </c>
      <c r="I2895" s="1" t="s">
        <v>10244</v>
      </c>
      <c r="J2895" t="s">
        <v>16587</v>
      </c>
    </row>
    <row r="2896" spans="1:10" ht="15.75">
      <c r="A2896" s="1">
        <v>608638</v>
      </c>
      <c r="B2896" s="1">
        <v>2580002242</v>
      </c>
      <c r="C2896" s="1">
        <v>12</v>
      </c>
      <c r="D2896" s="1" t="s">
        <v>546</v>
      </c>
      <c r="E2896" t="s">
        <v>16588</v>
      </c>
      <c r="F2896" s="4" t="s">
        <v>16589</v>
      </c>
      <c r="G2896" s="2"/>
      <c r="H2896" s="2"/>
      <c r="I2896" s="2"/>
      <c r="J2896" s="3"/>
    </row>
    <row r="2897" spans="1:10">
      <c r="A2897" s="1">
        <v>610246</v>
      </c>
      <c r="B2897" s="1">
        <v>2580001937</v>
      </c>
      <c r="C2897" s="1">
        <v>12</v>
      </c>
      <c r="D2897" s="1" t="s">
        <v>703</v>
      </c>
      <c r="E2897" t="s">
        <v>16590</v>
      </c>
      <c r="F2897" s="2" t="s">
        <v>0</v>
      </c>
      <c r="G2897" s="2" t="s">
        <v>1</v>
      </c>
      <c r="H2897" s="2" t="s">
        <v>2</v>
      </c>
      <c r="I2897" s="2" t="s">
        <v>3</v>
      </c>
      <c r="J2897" s="3" t="s">
        <v>4</v>
      </c>
    </row>
    <row r="2898" spans="1:10">
      <c r="A2898" s="1">
        <v>607168</v>
      </c>
      <c r="B2898" s="1">
        <v>2580002295</v>
      </c>
      <c r="C2898" s="1">
        <v>12</v>
      </c>
      <c r="D2898" s="1" t="s">
        <v>432</v>
      </c>
      <c r="E2898" t="s">
        <v>16591</v>
      </c>
      <c r="F2898" s="1">
        <v>134809</v>
      </c>
      <c r="G2898" s="1">
        <v>4227200269</v>
      </c>
      <c r="H2898" s="1">
        <v>12</v>
      </c>
      <c r="I2898" s="1" t="s">
        <v>1959</v>
      </c>
      <c r="J2898" t="s">
        <v>16592</v>
      </c>
    </row>
    <row r="2899" spans="1:10">
      <c r="A2899" s="1">
        <v>623959</v>
      </c>
      <c r="B2899" s="1">
        <v>2580002246</v>
      </c>
      <c r="C2899" s="1">
        <v>12</v>
      </c>
      <c r="D2899" s="1" t="s">
        <v>546</v>
      </c>
      <c r="E2899" t="s">
        <v>16593</v>
      </c>
      <c r="F2899" s="1">
        <v>585315</v>
      </c>
      <c r="G2899" s="1">
        <v>4227200278</v>
      </c>
      <c r="H2899" s="1">
        <v>12</v>
      </c>
      <c r="I2899" s="1" t="s">
        <v>1959</v>
      </c>
      <c r="J2899" t="s">
        <v>16594</v>
      </c>
    </row>
    <row r="2900" spans="1:10">
      <c r="A2900" s="1">
        <v>609289</v>
      </c>
      <c r="B2900" s="1">
        <v>2580002395</v>
      </c>
      <c r="C2900" s="1">
        <v>12</v>
      </c>
      <c r="D2900" s="1" t="s">
        <v>546</v>
      </c>
      <c r="E2900" t="s">
        <v>16595</v>
      </c>
      <c r="F2900" s="1">
        <v>644898</v>
      </c>
      <c r="G2900" s="1">
        <v>4227200081</v>
      </c>
      <c r="H2900" s="1">
        <v>12</v>
      </c>
      <c r="I2900" s="1" t="s">
        <v>432</v>
      </c>
      <c r="J2900" t="s">
        <v>16596</v>
      </c>
    </row>
    <row r="2901" spans="1:10">
      <c r="A2901" s="1">
        <v>624098</v>
      </c>
      <c r="B2901" s="1">
        <v>2580002247</v>
      </c>
      <c r="C2901" s="1">
        <v>12</v>
      </c>
      <c r="D2901" s="1" t="s">
        <v>546</v>
      </c>
      <c r="E2901" t="s">
        <v>16597</v>
      </c>
      <c r="F2901" s="1">
        <v>646422</v>
      </c>
      <c r="G2901" s="1">
        <v>4227200071</v>
      </c>
      <c r="H2901" s="1">
        <v>12</v>
      </c>
      <c r="I2901" s="1" t="s">
        <v>404</v>
      </c>
      <c r="J2901" t="s">
        <v>16598</v>
      </c>
    </row>
    <row r="2902" spans="1:10">
      <c r="A2902" s="1">
        <v>607184</v>
      </c>
      <c r="B2902" s="1">
        <v>2580002296</v>
      </c>
      <c r="C2902" s="1">
        <v>12</v>
      </c>
      <c r="D2902" s="1" t="s">
        <v>5331</v>
      </c>
      <c r="E2902" t="s">
        <v>16599</v>
      </c>
      <c r="F2902" s="1">
        <v>646190</v>
      </c>
      <c r="G2902" s="1">
        <v>4227200070</v>
      </c>
      <c r="H2902" s="1">
        <v>12</v>
      </c>
      <c r="I2902" s="1" t="s">
        <v>404</v>
      </c>
      <c r="J2902" t="s">
        <v>16600</v>
      </c>
    </row>
    <row r="2903" spans="1:10">
      <c r="A2903" s="1">
        <v>630764</v>
      </c>
      <c r="B2903" s="1">
        <v>2580002325</v>
      </c>
      <c r="C2903" s="1">
        <v>12</v>
      </c>
      <c r="D2903" s="1" t="s">
        <v>432</v>
      </c>
      <c r="E2903" t="s">
        <v>16601</v>
      </c>
      <c r="F2903" s="1">
        <v>645614</v>
      </c>
      <c r="G2903" s="1">
        <v>4227200073</v>
      </c>
      <c r="H2903" s="1">
        <v>12</v>
      </c>
      <c r="I2903" s="1" t="s">
        <v>404</v>
      </c>
      <c r="J2903" t="s">
        <v>16602</v>
      </c>
    </row>
    <row r="2904" spans="1:10">
      <c r="A2904" s="1">
        <v>559989</v>
      </c>
      <c r="B2904" s="1">
        <v>2580002013</v>
      </c>
      <c r="C2904" s="1">
        <v>12</v>
      </c>
      <c r="D2904" s="1" t="s">
        <v>489</v>
      </c>
      <c r="E2904" t="s">
        <v>16603</v>
      </c>
      <c r="F2904" s="1">
        <v>644880</v>
      </c>
      <c r="G2904" s="1">
        <v>4227200080</v>
      </c>
      <c r="H2904" s="1">
        <v>12</v>
      </c>
      <c r="I2904" s="1" t="s">
        <v>432</v>
      </c>
      <c r="J2904" t="s">
        <v>16604</v>
      </c>
    </row>
    <row r="2905" spans="1:10">
      <c r="A2905" s="1">
        <v>628560</v>
      </c>
      <c r="B2905" s="1">
        <v>2580002323</v>
      </c>
      <c r="C2905" s="1">
        <v>12</v>
      </c>
      <c r="D2905" s="1" t="s">
        <v>5321</v>
      </c>
      <c r="E2905" t="s">
        <v>16605</v>
      </c>
      <c r="F2905" s="1">
        <v>647925</v>
      </c>
      <c r="G2905" s="1">
        <v>4227200057</v>
      </c>
      <c r="H2905" s="1">
        <v>12</v>
      </c>
      <c r="I2905" s="1" t="s">
        <v>546</v>
      </c>
      <c r="J2905" t="s">
        <v>16606</v>
      </c>
    </row>
    <row r="2906" spans="1:10">
      <c r="A2906" s="1">
        <v>626523</v>
      </c>
      <c r="B2906" s="1">
        <v>2580002256</v>
      </c>
      <c r="C2906" s="1">
        <v>12</v>
      </c>
      <c r="D2906" s="1" t="s">
        <v>432</v>
      </c>
      <c r="E2906" t="s">
        <v>16607</v>
      </c>
      <c r="F2906" s="1">
        <v>645093</v>
      </c>
      <c r="G2906" s="1">
        <v>4227200051</v>
      </c>
      <c r="H2906" s="1">
        <v>12</v>
      </c>
      <c r="I2906" s="1" t="s">
        <v>489</v>
      </c>
      <c r="J2906" t="s">
        <v>16608</v>
      </c>
    </row>
    <row r="2907" spans="1:10">
      <c r="A2907" s="1">
        <v>600346</v>
      </c>
      <c r="B2907" s="1">
        <v>2580002020</v>
      </c>
      <c r="C2907" s="1">
        <v>12</v>
      </c>
      <c r="D2907" s="1" t="s">
        <v>5321</v>
      </c>
      <c r="E2907" t="s">
        <v>16609</v>
      </c>
      <c r="F2907" s="1">
        <v>521583</v>
      </c>
      <c r="G2907" s="1">
        <v>7100706140</v>
      </c>
      <c r="H2907" s="1">
        <v>8</v>
      </c>
      <c r="I2907" s="1" t="s">
        <v>375</v>
      </c>
      <c r="J2907" t="s">
        <v>16610</v>
      </c>
    </row>
    <row r="2908" spans="1:10">
      <c r="A2908" s="1">
        <v>609966</v>
      </c>
      <c r="B2908" s="1">
        <v>2580000003</v>
      </c>
      <c r="C2908" s="1">
        <v>12</v>
      </c>
      <c r="D2908" s="1" t="s">
        <v>6270</v>
      </c>
      <c r="E2908" t="s">
        <v>16611</v>
      </c>
      <c r="F2908" s="1">
        <v>628800</v>
      </c>
      <c r="G2908" s="1">
        <v>7100730443</v>
      </c>
      <c r="H2908" s="1">
        <v>6</v>
      </c>
      <c r="I2908" s="1" t="s">
        <v>553</v>
      </c>
      <c r="J2908" t="s">
        <v>16612</v>
      </c>
    </row>
    <row r="2909" spans="1:10">
      <c r="A2909" s="1">
        <v>601120</v>
      </c>
      <c r="B2909" s="1">
        <v>2580002289</v>
      </c>
      <c r="C2909" s="1">
        <v>12</v>
      </c>
      <c r="D2909" s="1" t="s">
        <v>365</v>
      </c>
      <c r="E2909" t="s">
        <v>16613</v>
      </c>
      <c r="F2909" s="1">
        <v>296319</v>
      </c>
      <c r="G2909" s="1">
        <v>7100701868</v>
      </c>
      <c r="H2909" s="1">
        <v>8</v>
      </c>
      <c r="I2909" s="1" t="s">
        <v>375</v>
      </c>
      <c r="J2909" t="s">
        <v>16614</v>
      </c>
    </row>
    <row r="2910" spans="1:10">
      <c r="A2910" s="1">
        <v>600718</v>
      </c>
      <c r="B2910" s="1">
        <v>2580002360</v>
      </c>
      <c r="C2910" s="1">
        <v>12</v>
      </c>
      <c r="D2910" s="1" t="s">
        <v>489</v>
      </c>
      <c r="E2910" t="s">
        <v>16615</v>
      </c>
      <c r="F2910" s="1">
        <v>450981</v>
      </c>
      <c r="G2910" s="1">
        <v>7100701094</v>
      </c>
      <c r="H2910" s="1">
        <v>8</v>
      </c>
      <c r="I2910" s="1" t="s">
        <v>375</v>
      </c>
      <c r="J2910" t="s">
        <v>16616</v>
      </c>
    </row>
    <row r="2911" spans="1:10">
      <c r="A2911" s="1">
        <v>629378</v>
      </c>
      <c r="B2911" s="1">
        <v>2580002320</v>
      </c>
      <c r="C2911" s="1">
        <v>12</v>
      </c>
      <c r="D2911" s="1" t="s">
        <v>489</v>
      </c>
      <c r="E2911" t="s">
        <v>16617</v>
      </c>
      <c r="F2911" s="1">
        <v>559633</v>
      </c>
      <c r="G2911" s="1">
        <v>7100731028</v>
      </c>
      <c r="H2911" s="1">
        <v>6</v>
      </c>
      <c r="I2911" s="1" t="s">
        <v>553</v>
      </c>
      <c r="J2911" t="s">
        <v>16618</v>
      </c>
    </row>
    <row r="2912" spans="1:10">
      <c r="A2912" s="1">
        <v>609990</v>
      </c>
      <c r="B2912" s="1">
        <v>2580002398</v>
      </c>
      <c r="C2912" s="1">
        <v>12</v>
      </c>
      <c r="D2912" s="1" t="s">
        <v>363</v>
      </c>
      <c r="E2912" t="s">
        <v>16619</v>
      </c>
      <c r="F2912" s="1">
        <v>257006</v>
      </c>
      <c r="G2912" s="1">
        <v>7100766971</v>
      </c>
      <c r="H2912" s="1">
        <v>6</v>
      </c>
      <c r="I2912" s="1" t="s">
        <v>908</v>
      </c>
      <c r="J2912" t="s">
        <v>16620</v>
      </c>
    </row>
    <row r="2913" spans="1:10" ht="15.75">
      <c r="A2913" s="4" t="s">
        <v>16589</v>
      </c>
      <c r="B2913" s="2"/>
      <c r="C2913" s="2"/>
      <c r="D2913" s="2"/>
      <c r="E2913" s="3"/>
      <c r="F2913" s="4" t="s">
        <v>16621</v>
      </c>
      <c r="G2913" s="2"/>
      <c r="H2913" s="2"/>
      <c r="I2913" s="2"/>
      <c r="J2913" s="3"/>
    </row>
    <row r="2914" spans="1:10">
      <c r="A2914" s="2" t="s">
        <v>0</v>
      </c>
      <c r="B2914" s="2" t="s">
        <v>1</v>
      </c>
      <c r="C2914" s="2" t="s">
        <v>2</v>
      </c>
      <c r="D2914" s="2" t="s">
        <v>3</v>
      </c>
      <c r="E2914" s="3" t="s">
        <v>4</v>
      </c>
      <c r="F2914" s="2" t="s">
        <v>0</v>
      </c>
      <c r="G2914" s="2" t="s">
        <v>1</v>
      </c>
      <c r="H2914" s="2" t="s">
        <v>2</v>
      </c>
      <c r="I2914" s="2" t="s">
        <v>3</v>
      </c>
      <c r="J2914" s="3" t="s">
        <v>4</v>
      </c>
    </row>
    <row r="2915" spans="1:10">
      <c r="A2915" s="1">
        <v>467241</v>
      </c>
      <c r="B2915" s="1">
        <v>7100732351</v>
      </c>
      <c r="C2915" s="1">
        <v>6</v>
      </c>
      <c r="D2915" s="1" t="s">
        <v>553</v>
      </c>
      <c r="E2915" t="s">
        <v>16622</v>
      </c>
      <c r="F2915" s="1">
        <v>646810</v>
      </c>
      <c r="G2915" s="1">
        <v>4227200109</v>
      </c>
      <c r="H2915" s="1">
        <v>8</v>
      </c>
      <c r="I2915" s="1" t="s">
        <v>379</v>
      </c>
      <c r="J2915" t="s">
        <v>16623</v>
      </c>
    </row>
    <row r="2916" spans="1:10">
      <c r="A2916" s="1">
        <v>772178</v>
      </c>
      <c r="B2916" s="1">
        <v>7100766032</v>
      </c>
      <c r="C2916" s="1">
        <v>8</v>
      </c>
      <c r="D2916" s="1" t="s">
        <v>347</v>
      </c>
      <c r="E2916" t="s">
        <v>16624</v>
      </c>
      <c r="F2916" s="1">
        <v>612176</v>
      </c>
      <c r="G2916" s="1">
        <v>1960004400</v>
      </c>
      <c r="H2916" s="1">
        <v>12</v>
      </c>
      <c r="I2916" s="1" t="s">
        <v>16625</v>
      </c>
      <c r="J2916" t="s">
        <v>16626</v>
      </c>
    </row>
    <row r="2917" spans="1:10">
      <c r="A2917" s="1">
        <v>611335</v>
      </c>
      <c r="B2917" s="1">
        <v>7100740389</v>
      </c>
      <c r="C2917" s="1">
        <v>6</v>
      </c>
      <c r="D2917" s="1" t="s">
        <v>469</v>
      </c>
      <c r="E2917" t="s">
        <v>16627</v>
      </c>
      <c r="F2917" s="1">
        <v>612069</v>
      </c>
      <c r="G2917" s="1">
        <v>1960004630</v>
      </c>
      <c r="H2917" s="1">
        <v>12</v>
      </c>
      <c r="I2917" s="1" t="s">
        <v>16628</v>
      </c>
      <c r="J2917" t="s">
        <v>16629</v>
      </c>
    </row>
    <row r="2918" spans="1:10">
      <c r="A2918" s="1">
        <v>401083</v>
      </c>
      <c r="B2918" s="1">
        <v>7100706297</v>
      </c>
      <c r="C2918" s="1">
        <v>8</v>
      </c>
      <c r="D2918" s="1" t="s">
        <v>375</v>
      </c>
      <c r="E2918" t="s">
        <v>16630</v>
      </c>
      <c r="F2918" s="1">
        <v>731588</v>
      </c>
      <c r="G2918" s="1">
        <v>1960004740</v>
      </c>
      <c r="H2918" s="1">
        <v>12</v>
      </c>
      <c r="I2918" s="1" t="s">
        <v>404</v>
      </c>
      <c r="J2918" t="s">
        <v>16631</v>
      </c>
    </row>
    <row r="2919" spans="1:10">
      <c r="A2919" s="1">
        <v>113225</v>
      </c>
      <c r="B2919" s="1">
        <v>7100766469</v>
      </c>
      <c r="C2919" s="1">
        <v>8</v>
      </c>
      <c r="D2919" s="1" t="s">
        <v>347</v>
      </c>
      <c r="E2919" t="s">
        <v>16632</v>
      </c>
      <c r="F2919" s="1">
        <v>596403</v>
      </c>
      <c r="G2919" s="1">
        <v>1960004750</v>
      </c>
      <c r="H2919" s="1">
        <v>12</v>
      </c>
      <c r="I2919" s="1" t="s">
        <v>465</v>
      </c>
      <c r="J2919" t="s">
        <v>16633</v>
      </c>
    </row>
    <row r="2920" spans="1:10">
      <c r="A2920" s="1">
        <v>415380</v>
      </c>
      <c r="B2920" s="1">
        <v>7100772772</v>
      </c>
      <c r="C2920" s="1">
        <v>6</v>
      </c>
      <c r="D2920" s="1" t="s">
        <v>954</v>
      </c>
      <c r="E2920" t="s">
        <v>16634</v>
      </c>
      <c r="F2920" s="1">
        <v>612077</v>
      </c>
      <c r="G2920" s="1">
        <v>1960004610</v>
      </c>
      <c r="H2920" s="1">
        <v>12</v>
      </c>
      <c r="I2920" s="1" t="s">
        <v>781</v>
      </c>
      <c r="J2920" t="s">
        <v>16635</v>
      </c>
    </row>
    <row r="2921" spans="1:10">
      <c r="A2921" s="1">
        <v>611327</v>
      </c>
      <c r="B2921" s="1">
        <v>7100740370</v>
      </c>
      <c r="C2921" s="1">
        <v>6</v>
      </c>
      <c r="D2921" s="1" t="s">
        <v>469</v>
      </c>
      <c r="E2921" t="s">
        <v>16636</v>
      </c>
      <c r="F2921" s="1">
        <v>612200</v>
      </c>
      <c r="G2921" s="1">
        <v>1960005030</v>
      </c>
      <c r="H2921" s="1">
        <v>12</v>
      </c>
      <c r="I2921" s="1" t="s">
        <v>16625</v>
      </c>
      <c r="J2921" t="s">
        <v>16637</v>
      </c>
    </row>
    <row r="2922" spans="1:10">
      <c r="A2922" s="1">
        <v>506535</v>
      </c>
      <c r="B2922" s="1">
        <v>7320289351</v>
      </c>
      <c r="C2922" s="1">
        <v>24</v>
      </c>
      <c r="D2922" s="1" t="s">
        <v>394</v>
      </c>
      <c r="E2922" t="s">
        <v>16638</v>
      </c>
      <c r="F2922" s="1">
        <v>612051</v>
      </c>
      <c r="G2922" s="1">
        <v>1960004580</v>
      </c>
      <c r="H2922" s="1">
        <v>12</v>
      </c>
      <c r="I2922" s="1" t="s">
        <v>465</v>
      </c>
      <c r="J2922" t="s">
        <v>16639</v>
      </c>
    </row>
    <row r="2923" spans="1:10">
      <c r="A2923" s="1">
        <v>635896</v>
      </c>
      <c r="B2923" s="1">
        <v>7320289453</v>
      </c>
      <c r="C2923" s="1">
        <v>8</v>
      </c>
      <c r="D2923" s="1" t="s">
        <v>938</v>
      </c>
      <c r="E2923" t="s">
        <v>16640</v>
      </c>
      <c r="F2923" s="1">
        <v>612010</v>
      </c>
      <c r="G2923" s="1">
        <v>1960004570</v>
      </c>
      <c r="H2923" s="1">
        <v>12</v>
      </c>
      <c r="I2923" s="1" t="s">
        <v>1739</v>
      </c>
      <c r="J2923" t="s">
        <v>16641</v>
      </c>
    </row>
    <row r="2924" spans="1:10">
      <c r="A2924" s="1">
        <v>404913</v>
      </c>
      <c r="B2924" s="1">
        <v>7320289253</v>
      </c>
      <c r="C2924" s="1">
        <v>24</v>
      </c>
      <c r="D2924" s="1" t="s">
        <v>394</v>
      </c>
      <c r="E2924" t="s">
        <v>16642</v>
      </c>
      <c r="F2924" s="1">
        <v>612119</v>
      </c>
      <c r="G2924" s="1">
        <v>1960004670</v>
      </c>
      <c r="H2924" s="1">
        <v>12</v>
      </c>
      <c r="I2924" s="1" t="s">
        <v>793</v>
      </c>
      <c r="J2924" t="s">
        <v>16643</v>
      </c>
    </row>
    <row r="2925" spans="1:10">
      <c r="A2925" s="1">
        <v>703108</v>
      </c>
      <c r="B2925" s="1">
        <v>7320289511</v>
      </c>
      <c r="C2925" s="1">
        <v>8</v>
      </c>
      <c r="D2925" s="1" t="s">
        <v>347</v>
      </c>
      <c r="E2925" t="s">
        <v>16644</v>
      </c>
      <c r="F2925" s="1">
        <v>640656</v>
      </c>
      <c r="G2925" s="1">
        <v>1960004500</v>
      </c>
      <c r="H2925" s="1">
        <v>12</v>
      </c>
      <c r="I2925" s="1" t="s">
        <v>16645</v>
      </c>
      <c r="J2925" t="s">
        <v>16646</v>
      </c>
    </row>
    <row r="2926" spans="1:10">
      <c r="A2926" s="1">
        <v>635698</v>
      </c>
      <c r="B2926" s="1">
        <v>7320289451</v>
      </c>
      <c r="C2926" s="1">
        <v>8</v>
      </c>
      <c r="D2926" s="1" t="s">
        <v>938</v>
      </c>
      <c r="E2926" t="s">
        <v>16647</v>
      </c>
      <c r="F2926" s="1">
        <v>5009</v>
      </c>
      <c r="G2926" s="1">
        <v>4113038655</v>
      </c>
      <c r="H2926" s="1">
        <v>12</v>
      </c>
      <c r="I2926" s="1" t="s">
        <v>16648</v>
      </c>
      <c r="J2926" t="s">
        <v>16649</v>
      </c>
    </row>
    <row r="2927" spans="1:10">
      <c r="A2927" s="1">
        <v>353698</v>
      </c>
      <c r="B2927" s="1">
        <v>7320289251</v>
      </c>
      <c r="C2927" s="1">
        <v>24</v>
      </c>
      <c r="D2927" s="1" t="s">
        <v>394</v>
      </c>
      <c r="E2927" t="s">
        <v>16650</v>
      </c>
      <c r="F2927" s="1">
        <v>384339</v>
      </c>
      <c r="G2927" s="1">
        <v>4113038650</v>
      </c>
      <c r="H2927" s="1">
        <v>12</v>
      </c>
      <c r="I2927" s="1" t="s">
        <v>16651</v>
      </c>
      <c r="J2927" t="s">
        <v>16652</v>
      </c>
    </row>
    <row r="2928" spans="1:10">
      <c r="A2928" s="1">
        <v>636217</v>
      </c>
      <c r="B2928" s="1">
        <v>7320289455</v>
      </c>
      <c r="C2928" s="1">
        <v>8</v>
      </c>
      <c r="D2928" s="1" t="s">
        <v>6249</v>
      </c>
      <c r="E2928" t="s">
        <v>16653</v>
      </c>
      <c r="F2928" s="1">
        <v>229351</v>
      </c>
      <c r="G2928" s="1">
        <v>4113038651</v>
      </c>
      <c r="H2928" s="1">
        <v>12</v>
      </c>
      <c r="I2928" s="1" t="s">
        <v>16654</v>
      </c>
      <c r="J2928" t="s">
        <v>16655</v>
      </c>
    </row>
    <row r="2929" spans="1:10">
      <c r="A2929" s="1">
        <v>636258</v>
      </c>
      <c r="B2929" s="1">
        <v>7320289457</v>
      </c>
      <c r="C2929" s="1">
        <v>8</v>
      </c>
      <c r="D2929" s="1" t="s">
        <v>6249</v>
      </c>
      <c r="E2929" t="s">
        <v>16656</v>
      </c>
      <c r="F2929" s="1">
        <v>435230</v>
      </c>
      <c r="G2929" s="1">
        <v>4113038633</v>
      </c>
      <c r="H2929" s="1">
        <v>12</v>
      </c>
      <c r="I2929" s="1" t="s">
        <v>3271</v>
      </c>
      <c r="J2929" t="s">
        <v>16657</v>
      </c>
    </row>
    <row r="2930" spans="1:10">
      <c r="A2930" s="1">
        <v>610295</v>
      </c>
      <c r="B2930" s="1">
        <v>4830004256</v>
      </c>
      <c r="C2930" s="1">
        <v>24</v>
      </c>
      <c r="D2930" s="1" t="s">
        <v>394</v>
      </c>
      <c r="E2930" t="s">
        <v>16658</v>
      </c>
      <c r="F2930" s="1">
        <v>417139</v>
      </c>
      <c r="G2930" s="1">
        <v>4113038634</v>
      </c>
      <c r="H2930" s="1">
        <v>12</v>
      </c>
      <c r="I2930" s="1" t="s">
        <v>16659</v>
      </c>
      <c r="J2930" t="s">
        <v>16660</v>
      </c>
    </row>
    <row r="2931" spans="1:10">
      <c r="A2931" s="1">
        <v>647115</v>
      </c>
      <c r="B2931" s="1">
        <v>4830004260</v>
      </c>
      <c r="C2931" s="1">
        <v>24</v>
      </c>
      <c r="D2931" s="1" t="s">
        <v>394</v>
      </c>
      <c r="E2931" t="s">
        <v>16661</v>
      </c>
      <c r="F2931" s="1">
        <v>240721</v>
      </c>
      <c r="G2931" s="1">
        <v>4113038652</v>
      </c>
      <c r="H2931" s="1">
        <v>12</v>
      </c>
      <c r="I2931" s="1" t="s">
        <v>16662</v>
      </c>
      <c r="J2931" t="s">
        <v>16663</v>
      </c>
    </row>
    <row r="2932" spans="1:10">
      <c r="A2932" s="1">
        <v>610329</v>
      </c>
      <c r="B2932" s="1">
        <v>4830004255</v>
      </c>
      <c r="C2932" s="1">
        <v>24</v>
      </c>
      <c r="D2932" s="1" t="s">
        <v>394</v>
      </c>
      <c r="E2932" t="s">
        <v>16664</v>
      </c>
      <c r="F2932" s="1">
        <v>661926</v>
      </c>
      <c r="G2932" s="1">
        <v>4113038649</v>
      </c>
      <c r="H2932" s="1">
        <v>12</v>
      </c>
      <c r="I2932" s="1" t="s">
        <v>16665</v>
      </c>
      <c r="J2932" t="s">
        <v>16666</v>
      </c>
    </row>
    <row r="2933" spans="1:10">
      <c r="A2933" s="1">
        <v>647321</v>
      </c>
      <c r="B2933" s="1">
        <v>4830004261</v>
      </c>
      <c r="C2933" s="1">
        <v>24</v>
      </c>
      <c r="D2933" s="1" t="s">
        <v>394</v>
      </c>
      <c r="E2933" t="s">
        <v>16667</v>
      </c>
      <c r="F2933" s="1">
        <v>704528</v>
      </c>
      <c r="G2933" s="1">
        <v>4113038653</v>
      </c>
      <c r="H2933" s="1">
        <v>12</v>
      </c>
      <c r="I2933" s="1" t="s">
        <v>16668</v>
      </c>
      <c r="J2933" t="s">
        <v>16669</v>
      </c>
    </row>
    <row r="2934" spans="1:10">
      <c r="A2934" s="1">
        <v>610303</v>
      </c>
      <c r="B2934" s="1">
        <v>4830004257</v>
      </c>
      <c r="C2934" s="1">
        <v>24</v>
      </c>
      <c r="D2934" s="1" t="s">
        <v>394</v>
      </c>
      <c r="E2934" t="s">
        <v>16670</v>
      </c>
      <c r="F2934" s="1">
        <v>398958</v>
      </c>
      <c r="G2934" s="1">
        <v>4113038635</v>
      </c>
      <c r="H2934" s="1">
        <v>12</v>
      </c>
      <c r="I2934" s="1" t="s">
        <v>16671</v>
      </c>
      <c r="J2934" t="s">
        <v>16672</v>
      </c>
    </row>
    <row r="2935" spans="1:10" ht="15.75">
      <c r="A2935" s="4" t="s">
        <v>16673</v>
      </c>
      <c r="B2935" s="2"/>
      <c r="C2935" s="2"/>
      <c r="D2935" s="2"/>
      <c r="E2935" s="3"/>
      <c r="F2935" s="1">
        <v>772954</v>
      </c>
      <c r="G2935" s="1">
        <v>4113038636</v>
      </c>
      <c r="H2935" s="1">
        <v>12</v>
      </c>
      <c r="I2935" s="1" t="s">
        <v>1254</v>
      </c>
      <c r="J2935" t="s">
        <v>16674</v>
      </c>
    </row>
    <row r="2936" spans="1:10">
      <c r="A2936" s="2" t="s">
        <v>0</v>
      </c>
      <c r="B2936" s="2" t="s">
        <v>1</v>
      </c>
      <c r="C2936" s="2" t="s">
        <v>2</v>
      </c>
      <c r="D2936" s="2" t="s">
        <v>3</v>
      </c>
      <c r="E2936" s="3" t="s">
        <v>4</v>
      </c>
      <c r="F2936" s="1">
        <v>774398</v>
      </c>
      <c r="G2936" s="1">
        <v>4113038654</v>
      </c>
      <c r="H2936" s="1">
        <v>12</v>
      </c>
      <c r="I2936" s="1" t="s">
        <v>1267</v>
      </c>
      <c r="J2936" t="s">
        <v>16675</v>
      </c>
    </row>
    <row r="2937" spans="1:10">
      <c r="A2937" s="1">
        <v>434621</v>
      </c>
      <c r="B2937" s="1">
        <v>2880060007</v>
      </c>
      <c r="C2937" s="1">
        <v>12</v>
      </c>
      <c r="D2937" s="1" t="s">
        <v>599</v>
      </c>
      <c r="E2937" t="s">
        <v>16676</v>
      </c>
      <c r="F2937" s="1">
        <v>106831</v>
      </c>
      <c r="G2937" s="1">
        <v>4111800912</v>
      </c>
      <c r="H2937" s="1">
        <v>12</v>
      </c>
      <c r="I2937" s="1" t="s">
        <v>16677</v>
      </c>
      <c r="J2937" t="s">
        <v>16678</v>
      </c>
    </row>
    <row r="2938" spans="1:10">
      <c r="A2938" s="1">
        <v>610865</v>
      </c>
      <c r="B2938" s="1">
        <v>4430012812</v>
      </c>
      <c r="C2938" s="1">
        <v>12</v>
      </c>
      <c r="D2938" s="1" t="s">
        <v>4491</v>
      </c>
      <c r="E2938" t="s">
        <v>16679</v>
      </c>
      <c r="F2938" s="1">
        <v>623421</v>
      </c>
      <c r="G2938" s="1">
        <v>4111800908</v>
      </c>
      <c r="H2938" s="1">
        <v>12</v>
      </c>
      <c r="I2938" s="1" t="s">
        <v>16680</v>
      </c>
      <c r="J2938" t="s">
        <v>16681</v>
      </c>
    </row>
    <row r="2939" spans="1:10">
      <c r="A2939" s="1">
        <v>460881</v>
      </c>
      <c r="B2939" s="1">
        <v>7007700420</v>
      </c>
      <c r="C2939" s="1">
        <v>6</v>
      </c>
      <c r="D2939" s="1" t="s">
        <v>439</v>
      </c>
      <c r="E2939" t="s">
        <v>16682</v>
      </c>
      <c r="F2939" s="1">
        <v>640607</v>
      </c>
      <c r="G2939" s="1">
        <v>4111800902</v>
      </c>
      <c r="H2939" s="1">
        <v>12</v>
      </c>
      <c r="I2939" s="1" t="s">
        <v>16680</v>
      </c>
      <c r="J2939" t="s">
        <v>16683</v>
      </c>
    </row>
    <row r="2940" spans="1:10">
      <c r="A2940" s="1">
        <v>881235</v>
      </c>
      <c r="B2940" s="1">
        <v>7007700421</v>
      </c>
      <c r="C2940" s="1">
        <v>6</v>
      </c>
      <c r="D2940" s="1" t="s">
        <v>439</v>
      </c>
      <c r="E2940" t="s">
        <v>16684</v>
      </c>
      <c r="F2940" s="1">
        <v>251066</v>
      </c>
      <c r="G2940" s="1">
        <v>4111800981</v>
      </c>
      <c r="H2940" s="1">
        <v>12</v>
      </c>
      <c r="I2940" s="1" t="s">
        <v>16680</v>
      </c>
      <c r="J2940" t="s">
        <v>16685</v>
      </c>
    </row>
    <row r="2941" spans="1:10">
      <c r="A2941" s="1">
        <v>754655</v>
      </c>
      <c r="B2941" s="1">
        <v>7007700422</v>
      </c>
      <c r="C2941" s="1">
        <v>6</v>
      </c>
      <c r="D2941" s="1" t="s">
        <v>439</v>
      </c>
      <c r="E2941" t="s">
        <v>16686</v>
      </c>
      <c r="F2941" s="1">
        <v>452078</v>
      </c>
      <c r="G2941" s="1">
        <v>4178400015</v>
      </c>
      <c r="H2941" s="1">
        <v>16</v>
      </c>
      <c r="I2941" s="1" t="s">
        <v>465</v>
      </c>
      <c r="J2941" t="s">
        <v>16687</v>
      </c>
    </row>
    <row r="2942" spans="1:10">
      <c r="A2942" s="1">
        <v>68510</v>
      </c>
      <c r="B2942" s="1">
        <v>7007700423</v>
      </c>
      <c r="C2942" s="1">
        <v>6</v>
      </c>
      <c r="D2942" s="1" t="s">
        <v>439</v>
      </c>
      <c r="E2942" t="s">
        <v>16688</v>
      </c>
      <c r="F2942" s="1">
        <v>459206</v>
      </c>
      <c r="G2942" s="1">
        <v>4178400012</v>
      </c>
      <c r="H2942" s="1">
        <v>16</v>
      </c>
      <c r="I2942" s="1" t="s">
        <v>465</v>
      </c>
      <c r="J2942" t="s">
        <v>16689</v>
      </c>
    </row>
    <row r="2943" spans="1:10">
      <c r="A2943" s="1">
        <v>179259</v>
      </c>
      <c r="B2943" s="1">
        <v>7007700424</v>
      </c>
      <c r="C2943" s="1">
        <v>6</v>
      </c>
      <c r="D2943" s="1" t="s">
        <v>439</v>
      </c>
      <c r="E2943" t="s">
        <v>16690</v>
      </c>
      <c r="F2943" s="1">
        <v>228270</v>
      </c>
      <c r="G2943" s="1">
        <v>4178400014</v>
      </c>
      <c r="H2943" s="1">
        <v>16</v>
      </c>
      <c r="I2943" s="1" t="s">
        <v>465</v>
      </c>
      <c r="J2943" t="s">
        <v>16691</v>
      </c>
    </row>
    <row r="2944" spans="1:10">
      <c r="A2944" s="1">
        <v>197178</v>
      </c>
      <c r="B2944" s="1">
        <v>7007700425</v>
      </c>
      <c r="C2944" s="1">
        <v>6</v>
      </c>
      <c r="D2944" s="1" t="s">
        <v>439</v>
      </c>
      <c r="E2944" t="s">
        <v>16692</v>
      </c>
      <c r="F2944" s="1">
        <v>331322</v>
      </c>
      <c r="G2944" s="1">
        <v>4178400019</v>
      </c>
      <c r="H2944" s="1">
        <v>16</v>
      </c>
      <c r="I2944" s="1" t="s">
        <v>465</v>
      </c>
      <c r="J2944" t="s">
        <v>16693</v>
      </c>
    </row>
    <row r="2945" spans="1:10">
      <c r="A2945" s="1">
        <v>843052</v>
      </c>
      <c r="B2945" s="1">
        <v>7007700107</v>
      </c>
      <c r="C2945" s="1">
        <v>12</v>
      </c>
      <c r="D2945" s="1" t="s">
        <v>1626</v>
      </c>
      <c r="E2945" t="s">
        <v>16694</v>
      </c>
      <c r="F2945" s="1">
        <v>612135</v>
      </c>
      <c r="G2945" s="1">
        <v>5010040335</v>
      </c>
      <c r="H2945" s="1">
        <v>12</v>
      </c>
      <c r="I2945" s="1" t="s">
        <v>404</v>
      </c>
      <c r="J2945" t="s">
        <v>16695</v>
      </c>
    </row>
    <row r="2946" spans="1:10">
      <c r="A2946" s="1">
        <v>400143</v>
      </c>
      <c r="B2946" s="1">
        <v>7007700106</v>
      </c>
      <c r="C2946" s="1">
        <v>12</v>
      </c>
      <c r="D2946" s="1" t="s">
        <v>259</v>
      </c>
      <c r="E2946" t="s">
        <v>16696</v>
      </c>
      <c r="F2946" s="1">
        <v>612085</v>
      </c>
      <c r="G2946" s="1">
        <v>5010040333</v>
      </c>
      <c r="H2946" s="1">
        <v>12</v>
      </c>
      <c r="I2946" s="1" t="s">
        <v>16697</v>
      </c>
      <c r="J2946" t="s">
        <v>16698</v>
      </c>
    </row>
    <row r="2947" spans="1:10">
      <c r="A2947" s="1">
        <v>151092</v>
      </c>
      <c r="B2947" s="1">
        <v>7007700115</v>
      </c>
      <c r="C2947" s="1">
        <v>12</v>
      </c>
      <c r="D2947" s="1" t="s">
        <v>1626</v>
      </c>
      <c r="E2947" t="s">
        <v>16699</v>
      </c>
      <c r="F2947" s="1">
        <v>612218</v>
      </c>
      <c r="G2947" s="1">
        <v>5010040332</v>
      </c>
      <c r="H2947" s="1">
        <v>12</v>
      </c>
      <c r="I2947" s="1" t="s">
        <v>619</v>
      </c>
      <c r="J2947" t="s">
        <v>16700</v>
      </c>
    </row>
    <row r="2948" spans="1:10">
      <c r="A2948" s="1">
        <v>231159</v>
      </c>
      <c r="B2948" s="1">
        <v>7007700125</v>
      </c>
      <c r="C2948" s="1">
        <v>12</v>
      </c>
      <c r="D2948" s="1" t="s">
        <v>347</v>
      </c>
      <c r="E2948" t="s">
        <v>16701</v>
      </c>
      <c r="F2948" s="1">
        <v>324368</v>
      </c>
      <c r="G2948" s="1">
        <v>1862732901</v>
      </c>
      <c r="H2948" s="1">
        <v>8</v>
      </c>
      <c r="I2948" s="1" t="s">
        <v>742</v>
      </c>
      <c r="J2948" t="s">
        <v>16702</v>
      </c>
    </row>
    <row r="2949" spans="1:10">
      <c r="A2949" s="1">
        <v>536656</v>
      </c>
      <c r="B2949" s="1">
        <v>7007700116</v>
      </c>
      <c r="C2949" s="1">
        <v>12</v>
      </c>
      <c r="D2949" s="1" t="s">
        <v>259</v>
      </c>
      <c r="E2949" t="s">
        <v>16703</v>
      </c>
      <c r="F2949" s="1">
        <v>414680</v>
      </c>
      <c r="G2949" s="1">
        <v>1862732905</v>
      </c>
      <c r="H2949" s="1">
        <v>8</v>
      </c>
      <c r="I2949" s="1" t="s">
        <v>1265</v>
      </c>
      <c r="J2949" t="s">
        <v>16704</v>
      </c>
    </row>
    <row r="2950" spans="1:10">
      <c r="A2950" s="1">
        <v>619866</v>
      </c>
      <c r="B2950" s="1">
        <v>71785430552</v>
      </c>
      <c r="C2950" s="1">
        <v>12</v>
      </c>
      <c r="D2950" s="1" t="s">
        <v>399</v>
      </c>
      <c r="E2950" t="s">
        <v>16705</v>
      </c>
      <c r="F2950" s="1">
        <v>327940</v>
      </c>
      <c r="G2950" s="1">
        <v>1862744134</v>
      </c>
      <c r="H2950" s="1">
        <v>8</v>
      </c>
      <c r="I2950" s="1" t="s">
        <v>1616</v>
      </c>
      <c r="J2950" t="s">
        <v>16706</v>
      </c>
    </row>
    <row r="2951" spans="1:10" ht="15.75">
      <c r="A2951" s="4" t="s">
        <v>16621</v>
      </c>
      <c r="B2951" s="2"/>
      <c r="C2951" s="2"/>
      <c r="D2951" s="2"/>
      <c r="E2951" s="3"/>
      <c r="F2951" s="1">
        <v>330688</v>
      </c>
      <c r="G2951" s="1">
        <v>1862737344</v>
      </c>
      <c r="H2951" s="1">
        <v>8</v>
      </c>
      <c r="I2951" s="1" t="s">
        <v>1616</v>
      </c>
      <c r="J2951" t="s">
        <v>16707</v>
      </c>
    </row>
    <row r="2952" spans="1:10">
      <c r="A2952" s="2" t="s">
        <v>0</v>
      </c>
      <c r="B2952" s="2" t="s">
        <v>1</v>
      </c>
      <c r="C2952" s="2" t="s">
        <v>2</v>
      </c>
      <c r="D2952" s="2" t="s">
        <v>3</v>
      </c>
      <c r="E2952" s="3" t="s">
        <v>4</v>
      </c>
      <c r="F2952" s="1">
        <v>863647</v>
      </c>
      <c r="G2952" s="1">
        <v>1862737342</v>
      </c>
      <c r="H2952" s="1">
        <v>8</v>
      </c>
      <c r="I2952" s="1" t="s">
        <v>1241</v>
      </c>
      <c r="J2952" t="s">
        <v>16708</v>
      </c>
    </row>
    <row r="2953" spans="1:10">
      <c r="A2953" s="1">
        <v>644112</v>
      </c>
      <c r="B2953" s="1">
        <v>4227200101</v>
      </c>
      <c r="C2953" s="1">
        <v>8</v>
      </c>
      <c r="D2953" s="1" t="s">
        <v>379</v>
      </c>
      <c r="E2953" t="s">
        <v>16709</v>
      </c>
      <c r="F2953" s="1">
        <v>239715</v>
      </c>
      <c r="G2953" s="1">
        <v>1862732907</v>
      </c>
      <c r="H2953" s="1">
        <v>8</v>
      </c>
      <c r="I2953" s="1" t="s">
        <v>379</v>
      </c>
      <c r="J2953" t="s">
        <v>16710</v>
      </c>
    </row>
    <row r="2954" spans="1:10" ht="15.75">
      <c r="A2954" s="4" t="s">
        <v>16621</v>
      </c>
      <c r="B2954" s="2"/>
      <c r="C2954" s="2"/>
      <c r="D2954" s="2"/>
      <c r="E2954" s="3"/>
      <c r="F2954" s="4" t="s">
        <v>16711</v>
      </c>
      <c r="G2954" s="2"/>
      <c r="H2954" s="2"/>
      <c r="I2954" s="2"/>
      <c r="J2954" s="3"/>
    </row>
    <row r="2955" spans="1:10">
      <c r="A2955" s="2" t="s">
        <v>0</v>
      </c>
      <c r="B2955" s="2" t="s">
        <v>1</v>
      </c>
      <c r="C2955" s="2" t="s">
        <v>2</v>
      </c>
      <c r="D2955" s="2" t="s">
        <v>3</v>
      </c>
      <c r="E2955" s="3" t="s">
        <v>4</v>
      </c>
      <c r="F2955" s="2" t="s">
        <v>0</v>
      </c>
      <c r="G2955" s="2" t="s">
        <v>1</v>
      </c>
      <c r="H2955" s="2" t="s">
        <v>2</v>
      </c>
      <c r="I2955" s="2" t="s">
        <v>3</v>
      </c>
      <c r="J2955" s="3" t="s">
        <v>4</v>
      </c>
    </row>
    <row r="2956" spans="1:10">
      <c r="A2956" s="1">
        <v>4440</v>
      </c>
      <c r="B2956" s="1">
        <v>1862744138</v>
      </c>
      <c r="C2956" s="1">
        <v>8</v>
      </c>
      <c r="D2956" s="1" t="s">
        <v>1199</v>
      </c>
      <c r="E2956" t="s">
        <v>16712</v>
      </c>
      <c r="F2956" s="1">
        <v>731976</v>
      </c>
      <c r="G2956" s="1">
        <v>4227200076</v>
      </c>
      <c r="H2956" s="1">
        <v>12</v>
      </c>
      <c r="I2956" s="1" t="s">
        <v>796</v>
      </c>
      <c r="J2956" t="s">
        <v>16713</v>
      </c>
    </row>
    <row r="2957" spans="1:10">
      <c r="A2957" s="1">
        <v>485425</v>
      </c>
      <c r="B2957" s="1">
        <v>1862737348</v>
      </c>
      <c r="C2957" s="1">
        <v>8</v>
      </c>
      <c r="D2957" s="1" t="s">
        <v>1616</v>
      </c>
      <c r="E2957" t="s">
        <v>16714</v>
      </c>
      <c r="F2957" s="1">
        <v>731984</v>
      </c>
      <c r="G2957" s="1">
        <v>4227200165</v>
      </c>
      <c r="H2957" s="1">
        <v>12</v>
      </c>
      <c r="I2957" s="1" t="s">
        <v>432</v>
      </c>
      <c r="J2957" t="s">
        <v>16715</v>
      </c>
    </row>
    <row r="2958" spans="1:10">
      <c r="A2958" s="1">
        <v>369280</v>
      </c>
      <c r="B2958" s="1">
        <v>7218063429</v>
      </c>
      <c r="C2958" s="1">
        <v>12</v>
      </c>
      <c r="D2958" s="1" t="s">
        <v>16716</v>
      </c>
      <c r="E2958" t="s">
        <v>16717</v>
      </c>
      <c r="F2958" s="1">
        <v>102335</v>
      </c>
      <c r="G2958" s="1">
        <v>8405900043</v>
      </c>
      <c r="H2958" s="1">
        <v>12</v>
      </c>
      <c r="I2958" s="1" t="s">
        <v>489</v>
      </c>
      <c r="J2958" t="s">
        <v>16718</v>
      </c>
    </row>
    <row r="2959" spans="1:10">
      <c r="A2959" s="1">
        <v>343020</v>
      </c>
      <c r="B2959" s="1">
        <v>7218063245</v>
      </c>
      <c r="C2959" s="1">
        <v>12</v>
      </c>
      <c r="D2959" s="1" t="s">
        <v>524</v>
      </c>
      <c r="E2959" t="s">
        <v>16719</v>
      </c>
      <c r="F2959" s="1">
        <v>429423</v>
      </c>
      <c r="G2959" s="1">
        <v>1153550150</v>
      </c>
      <c r="H2959" s="1">
        <v>12</v>
      </c>
      <c r="I2959" s="1" t="s">
        <v>489</v>
      </c>
      <c r="J2959" t="s">
        <v>16720</v>
      </c>
    </row>
    <row r="2960" spans="1:10">
      <c r="A2960" s="1">
        <v>632950</v>
      </c>
      <c r="B2960" s="1">
        <v>7218063244</v>
      </c>
      <c r="C2960" s="1">
        <v>12</v>
      </c>
      <c r="D2960" s="1" t="s">
        <v>649</v>
      </c>
      <c r="E2960" t="s">
        <v>16721</v>
      </c>
      <c r="F2960" s="1">
        <v>755819</v>
      </c>
      <c r="G2960" s="1">
        <v>1153550153</v>
      </c>
      <c r="H2960" s="1">
        <v>12</v>
      </c>
      <c r="I2960" s="1" t="s">
        <v>489</v>
      </c>
      <c r="J2960" t="s">
        <v>16722</v>
      </c>
    </row>
    <row r="2961" spans="1:10">
      <c r="A2961" s="1">
        <v>55566</v>
      </c>
      <c r="B2961" s="1">
        <v>7218063473</v>
      </c>
      <c r="C2961" s="1">
        <v>12</v>
      </c>
      <c r="D2961" s="1" t="s">
        <v>938</v>
      </c>
      <c r="E2961" t="s">
        <v>16723</v>
      </c>
      <c r="F2961" s="1">
        <v>420190</v>
      </c>
      <c r="G2961" s="1">
        <v>1153550167</v>
      </c>
      <c r="H2961" s="1">
        <v>12</v>
      </c>
      <c r="I2961" s="1" t="s">
        <v>381</v>
      </c>
      <c r="J2961" t="s">
        <v>16724</v>
      </c>
    </row>
    <row r="2962" spans="1:10">
      <c r="A2962" s="1">
        <v>217257</v>
      </c>
      <c r="B2962" s="1">
        <v>7218063018</v>
      </c>
      <c r="C2962" s="1">
        <v>12</v>
      </c>
      <c r="D2962" s="1" t="s">
        <v>16725</v>
      </c>
      <c r="E2962" t="s">
        <v>16726</v>
      </c>
      <c r="F2962" s="1">
        <v>163972</v>
      </c>
      <c r="G2962" s="1">
        <v>1153550170</v>
      </c>
      <c r="H2962" s="1">
        <v>12</v>
      </c>
      <c r="I2962" s="1" t="s">
        <v>381</v>
      </c>
      <c r="J2962" t="s">
        <v>16727</v>
      </c>
    </row>
    <row r="2963" spans="1:10">
      <c r="A2963" s="1">
        <v>591453</v>
      </c>
      <c r="B2963" s="1">
        <v>7218063019</v>
      </c>
      <c r="C2963" s="1">
        <v>12</v>
      </c>
      <c r="D2963" s="1" t="s">
        <v>16728</v>
      </c>
      <c r="E2963" t="s">
        <v>16729</v>
      </c>
      <c r="F2963" s="1">
        <v>342659</v>
      </c>
      <c r="G2963" s="1">
        <v>1153550168</v>
      </c>
      <c r="H2963" s="1">
        <v>12</v>
      </c>
      <c r="I2963" s="1" t="s">
        <v>381</v>
      </c>
      <c r="J2963" t="s">
        <v>16730</v>
      </c>
    </row>
    <row r="2964" spans="1:10">
      <c r="A2964" s="1">
        <v>434159</v>
      </c>
      <c r="B2964" s="1">
        <v>7218063470</v>
      </c>
      <c r="C2964" s="1">
        <v>12</v>
      </c>
      <c r="D2964" s="1" t="s">
        <v>2253</v>
      </c>
      <c r="E2964" t="s">
        <v>16731</v>
      </c>
      <c r="F2964" s="1">
        <v>547034</v>
      </c>
      <c r="G2964" s="1">
        <v>1153550169</v>
      </c>
      <c r="H2964" s="1">
        <v>12</v>
      </c>
      <c r="I2964" s="1" t="s">
        <v>381</v>
      </c>
      <c r="J2964" t="s">
        <v>16732</v>
      </c>
    </row>
    <row r="2965" spans="1:10">
      <c r="A2965" s="1">
        <v>412585</v>
      </c>
      <c r="B2965" s="1">
        <v>7218063471</v>
      </c>
      <c r="C2965" s="1">
        <v>12</v>
      </c>
      <c r="D2965" s="1" t="s">
        <v>16733</v>
      </c>
      <c r="E2965" t="s">
        <v>16734</v>
      </c>
      <c r="F2965" s="1">
        <v>55020</v>
      </c>
      <c r="G2965" s="1">
        <v>1153550149</v>
      </c>
      <c r="H2965" s="1">
        <v>12</v>
      </c>
      <c r="I2965" s="1" t="s">
        <v>489</v>
      </c>
      <c r="J2965" t="s">
        <v>16735</v>
      </c>
    </row>
    <row r="2966" spans="1:10">
      <c r="A2966" s="1">
        <v>731596</v>
      </c>
      <c r="B2966" s="1">
        <v>1116601288</v>
      </c>
      <c r="C2966" s="1">
        <v>12</v>
      </c>
      <c r="D2966" s="1" t="s">
        <v>1271</v>
      </c>
      <c r="E2966" t="s">
        <v>16736</v>
      </c>
      <c r="F2966" s="1">
        <v>763797</v>
      </c>
      <c r="G2966" s="1">
        <v>1153550166</v>
      </c>
      <c r="H2966" s="1">
        <v>12</v>
      </c>
      <c r="I2966" s="1" t="s">
        <v>381</v>
      </c>
      <c r="J2966" t="s">
        <v>16737</v>
      </c>
    </row>
    <row r="2967" spans="1:10">
      <c r="A2967" s="1">
        <v>731612</v>
      </c>
      <c r="B2967" s="1">
        <v>1116601290</v>
      </c>
      <c r="C2967" s="1">
        <v>12</v>
      </c>
      <c r="D2967" s="1" t="s">
        <v>632</v>
      </c>
      <c r="E2967" t="s">
        <v>16738</v>
      </c>
      <c r="F2967" s="1">
        <v>837450</v>
      </c>
      <c r="G2967" s="1">
        <v>1153550148</v>
      </c>
      <c r="H2967" s="1">
        <v>12</v>
      </c>
      <c r="I2967" s="1" t="s">
        <v>489</v>
      </c>
      <c r="J2967" t="s">
        <v>16739</v>
      </c>
    </row>
    <row r="2968" spans="1:10">
      <c r="A2968" s="1">
        <v>731604</v>
      </c>
      <c r="B2968" s="1">
        <v>1116601289</v>
      </c>
      <c r="C2968" s="1">
        <v>12</v>
      </c>
      <c r="D2968" s="1" t="s">
        <v>940</v>
      </c>
      <c r="E2968" t="s">
        <v>16740</v>
      </c>
      <c r="F2968" s="1">
        <v>765339</v>
      </c>
      <c r="G2968" s="1">
        <v>1153550151</v>
      </c>
      <c r="H2968" s="1">
        <v>12</v>
      </c>
      <c r="I2968" s="1" t="s">
        <v>489</v>
      </c>
      <c r="J2968" t="s">
        <v>16741</v>
      </c>
    </row>
    <row r="2969" spans="1:10" ht="15.75">
      <c r="A2969" s="1">
        <v>731620</v>
      </c>
      <c r="B2969" s="1">
        <v>1116601291</v>
      </c>
      <c r="C2969" s="1">
        <v>12</v>
      </c>
      <c r="D2969" s="1" t="s">
        <v>1384</v>
      </c>
      <c r="E2969" t="s">
        <v>16742</v>
      </c>
      <c r="F2969" s="4" t="s">
        <v>16743</v>
      </c>
      <c r="G2969" s="2"/>
      <c r="H2969" s="2"/>
      <c r="I2969" s="2"/>
      <c r="J2969" s="3"/>
    </row>
    <row r="2970" spans="1:10">
      <c r="A2970" s="1">
        <v>889089</v>
      </c>
      <c r="B2970" s="1">
        <v>4113030632</v>
      </c>
      <c r="C2970" s="1">
        <v>16</v>
      </c>
      <c r="D2970" s="1" t="s">
        <v>4079</v>
      </c>
      <c r="E2970" t="s">
        <v>16744</v>
      </c>
      <c r="F2970" s="2" t="s">
        <v>0</v>
      </c>
      <c r="G2970" s="2" t="s">
        <v>1</v>
      </c>
      <c r="H2970" s="2" t="s">
        <v>2</v>
      </c>
      <c r="I2970" s="2" t="s">
        <v>3</v>
      </c>
      <c r="J2970" s="3" t="s">
        <v>4</v>
      </c>
    </row>
    <row r="2971" spans="1:10">
      <c r="A2971" s="1">
        <v>253054</v>
      </c>
      <c r="B2971" s="1">
        <v>4113030633</v>
      </c>
      <c r="C2971" s="1">
        <v>16</v>
      </c>
      <c r="D2971" s="1" t="s">
        <v>4079</v>
      </c>
      <c r="E2971" t="s">
        <v>16745</v>
      </c>
      <c r="F2971" s="1">
        <v>764985</v>
      </c>
      <c r="G2971" s="1">
        <v>4132237810</v>
      </c>
      <c r="H2971" s="1">
        <v>6</v>
      </c>
      <c r="I2971" s="1" t="s">
        <v>954</v>
      </c>
      <c r="J2971" t="s">
        <v>16746</v>
      </c>
    </row>
    <row r="2972" spans="1:10">
      <c r="A2972" s="1">
        <v>148171</v>
      </c>
      <c r="B2972" s="1">
        <v>4113030630</v>
      </c>
      <c r="C2972" s="1">
        <v>16</v>
      </c>
      <c r="D2972" s="1" t="s">
        <v>4079</v>
      </c>
      <c r="E2972" t="s">
        <v>16747</v>
      </c>
      <c r="F2972" s="1">
        <v>646356</v>
      </c>
      <c r="G2972" s="1">
        <v>4227200072</v>
      </c>
      <c r="H2972" s="1">
        <v>12</v>
      </c>
      <c r="I2972" s="1" t="s">
        <v>404</v>
      </c>
      <c r="J2972" t="s">
        <v>16748</v>
      </c>
    </row>
    <row r="2973" spans="1:10">
      <c r="A2973" s="1">
        <v>224808</v>
      </c>
      <c r="B2973" s="1">
        <v>4113030629</v>
      </c>
      <c r="C2973" s="1">
        <v>16</v>
      </c>
      <c r="D2973" s="1" t="s">
        <v>4079</v>
      </c>
      <c r="E2973" t="s">
        <v>16749</v>
      </c>
      <c r="F2973" s="1">
        <v>170902</v>
      </c>
      <c r="G2973" s="1">
        <v>4227200121</v>
      </c>
      <c r="H2973" s="1">
        <v>12</v>
      </c>
      <c r="I2973" s="1" t="s">
        <v>404</v>
      </c>
      <c r="J2973" t="s">
        <v>16750</v>
      </c>
    </row>
    <row r="2974" spans="1:10">
      <c r="A2974" s="1">
        <v>491340</v>
      </c>
      <c r="B2974" s="1">
        <v>1380015116</v>
      </c>
      <c r="C2974" s="1">
        <v>12</v>
      </c>
      <c r="D2974" s="1" t="s">
        <v>742</v>
      </c>
      <c r="E2974" t="s">
        <v>16751</v>
      </c>
      <c r="F2974" s="1">
        <v>647032</v>
      </c>
      <c r="G2974" s="1">
        <v>4227200093</v>
      </c>
      <c r="H2974" s="1">
        <v>12</v>
      </c>
      <c r="I2974" s="1" t="s">
        <v>106</v>
      </c>
      <c r="J2974" t="s">
        <v>16752</v>
      </c>
    </row>
    <row r="2975" spans="1:10">
      <c r="A2975" s="1">
        <v>612390</v>
      </c>
      <c r="B2975" s="1">
        <v>1380015182</v>
      </c>
      <c r="C2975" s="1">
        <v>12</v>
      </c>
      <c r="D2975" s="1" t="s">
        <v>621</v>
      </c>
      <c r="E2975" t="s">
        <v>16753</v>
      </c>
      <c r="F2975" s="1">
        <v>611459</v>
      </c>
      <c r="G2975" s="1">
        <v>7008506010</v>
      </c>
      <c r="H2975" s="1">
        <v>8</v>
      </c>
      <c r="I2975" s="1" t="s">
        <v>360</v>
      </c>
      <c r="J2975" t="s">
        <v>16754</v>
      </c>
    </row>
    <row r="2976" spans="1:10">
      <c r="A2976" s="1">
        <v>612374</v>
      </c>
      <c r="B2976" s="1">
        <v>1380015173</v>
      </c>
      <c r="C2976" s="1">
        <v>12</v>
      </c>
      <c r="D2976" s="1" t="s">
        <v>615</v>
      </c>
      <c r="E2976" t="s">
        <v>16755</v>
      </c>
      <c r="F2976" s="1">
        <v>611178</v>
      </c>
      <c r="G2976" s="1">
        <v>7008503512</v>
      </c>
      <c r="H2976" s="1">
        <v>5</v>
      </c>
      <c r="I2976" s="1" t="s">
        <v>16756</v>
      </c>
      <c r="J2976" t="s">
        <v>16757</v>
      </c>
    </row>
    <row r="2977" spans="1:10">
      <c r="A2977" s="1">
        <v>616102</v>
      </c>
      <c r="B2977" s="1">
        <v>1380015171</v>
      </c>
      <c r="C2977" s="1">
        <v>1</v>
      </c>
      <c r="D2977" s="1" t="s">
        <v>16758</v>
      </c>
      <c r="E2977" t="s">
        <v>16759</v>
      </c>
      <c r="F2977" s="1">
        <v>611467</v>
      </c>
      <c r="G2977" s="1">
        <v>7008506012</v>
      </c>
      <c r="H2977" s="1">
        <v>8</v>
      </c>
      <c r="I2977" s="1" t="s">
        <v>360</v>
      </c>
      <c r="J2977" t="s">
        <v>16760</v>
      </c>
    </row>
    <row r="2978" spans="1:10">
      <c r="A2978" s="1">
        <v>612358</v>
      </c>
      <c r="B2978" s="1">
        <v>1380015170</v>
      </c>
      <c r="C2978" s="1">
        <v>12</v>
      </c>
      <c r="D2978" s="1" t="s">
        <v>16761</v>
      </c>
      <c r="E2978" t="s">
        <v>16762</v>
      </c>
      <c r="F2978" s="1">
        <v>149864</v>
      </c>
      <c r="G2978" s="1">
        <v>7008503538</v>
      </c>
      <c r="H2978" s="1">
        <v>6</v>
      </c>
      <c r="I2978" s="1" t="s">
        <v>259</v>
      </c>
      <c r="J2978" t="s">
        <v>16763</v>
      </c>
    </row>
    <row r="2979" spans="1:10">
      <c r="A2979" s="1">
        <v>838292</v>
      </c>
      <c r="B2979" s="1">
        <v>7218063020</v>
      </c>
      <c r="C2979" s="1">
        <v>12</v>
      </c>
      <c r="D2979" s="1" t="s">
        <v>16764</v>
      </c>
      <c r="E2979" t="s">
        <v>16765</v>
      </c>
      <c r="F2979" s="1">
        <v>611061</v>
      </c>
      <c r="G2979" s="1">
        <v>7008503538</v>
      </c>
      <c r="H2979" s="1">
        <v>12</v>
      </c>
      <c r="I2979" s="1" t="s">
        <v>259</v>
      </c>
      <c r="J2979" t="s">
        <v>16766</v>
      </c>
    </row>
    <row r="2980" spans="1:10">
      <c r="A2980" s="1">
        <v>407932</v>
      </c>
      <c r="B2980" s="1">
        <v>7218063300</v>
      </c>
      <c r="C2980" s="1">
        <v>12</v>
      </c>
      <c r="D2980" s="1" t="s">
        <v>16767</v>
      </c>
      <c r="E2980" t="s">
        <v>16768</v>
      </c>
      <c r="F2980" s="1">
        <v>611764</v>
      </c>
      <c r="G2980" s="1">
        <v>7008503508</v>
      </c>
      <c r="H2980" s="1">
        <v>5</v>
      </c>
      <c r="I2980" s="1" t="s">
        <v>4856</v>
      </c>
      <c r="J2980" t="s">
        <v>16769</v>
      </c>
    </row>
    <row r="2981" spans="1:10">
      <c r="A2981" s="1">
        <v>442152</v>
      </c>
      <c r="B2981" s="1">
        <v>7218063450</v>
      </c>
      <c r="C2981" s="1">
        <v>12</v>
      </c>
      <c r="D2981" s="1" t="s">
        <v>910</v>
      </c>
      <c r="E2981" t="s">
        <v>16770</v>
      </c>
      <c r="F2981" s="1">
        <v>611491</v>
      </c>
      <c r="G2981" s="1">
        <v>7008506013</v>
      </c>
      <c r="H2981" s="1">
        <v>8</v>
      </c>
      <c r="I2981" s="1" t="s">
        <v>360</v>
      </c>
      <c r="J2981" t="s">
        <v>16771</v>
      </c>
    </row>
    <row r="2982" spans="1:10">
      <c r="A2982" s="1">
        <v>612317</v>
      </c>
      <c r="B2982" s="1">
        <v>4280011400</v>
      </c>
      <c r="C2982" s="1">
        <v>12</v>
      </c>
      <c r="D2982" s="1" t="s">
        <v>2173</v>
      </c>
      <c r="E2982" t="s">
        <v>16772</v>
      </c>
      <c r="F2982" s="1">
        <v>611111</v>
      </c>
      <c r="G2982" s="1">
        <v>7008503573</v>
      </c>
      <c r="H2982" s="1">
        <v>8</v>
      </c>
      <c r="I2982" s="1" t="s">
        <v>360</v>
      </c>
      <c r="J2982" t="s">
        <v>16773</v>
      </c>
    </row>
    <row r="2983" spans="1:10">
      <c r="A2983" s="1">
        <v>610758</v>
      </c>
      <c r="B2983" s="1">
        <v>4280011300</v>
      </c>
      <c r="C2983" s="1">
        <v>12</v>
      </c>
      <c r="D2983" s="1" t="s">
        <v>923</v>
      </c>
      <c r="E2983" t="s">
        <v>16774</v>
      </c>
      <c r="F2983" s="1">
        <v>592741</v>
      </c>
      <c r="G2983" s="1">
        <v>7008503535</v>
      </c>
      <c r="H2983" s="1">
        <v>6</v>
      </c>
      <c r="I2983" s="1" t="s">
        <v>259</v>
      </c>
      <c r="J2983" t="s">
        <v>16775</v>
      </c>
    </row>
    <row r="2984" spans="1:10">
      <c r="A2984" s="1">
        <v>612259</v>
      </c>
      <c r="B2984" s="1">
        <v>4280011600</v>
      </c>
      <c r="C2984" s="1">
        <v>12</v>
      </c>
      <c r="D2984" s="1" t="s">
        <v>1303</v>
      </c>
      <c r="E2984" t="s">
        <v>16776</v>
      </c>
      <c r="F2984" s="1">
        <v>398081</v>
      </c>
      <c r="G2984" s="1">
        <v>7100786544</v>
      </c>
      <c r="H2984" s="1">
        <v>9</v>
      </c>
      <c r="I2984" s="1" t="s">
        <v>1681</v>
      </c>
      <c r="J2984" t="s">
        <v>16777</v>
      </c>
    </row>
    <row r="2985" spans="1:10">
      <c r="A2985" s="1">
        <v>610709</v>
      </c>
      <c r="B2985" s="1">
        <v>4280010700</v>
      </c>
      <c r="C2985" s="1">
        <v>12</v>
      </c>
      <c r="D2985" s="1" t="s">
        <v>1227</v>
      </c>
      <c r="E2985" t="s">
        <v>16778</v>
      </c>
      <c r="F2985" s="1">
        <v>129627</v>
      </c>
      <c r="G2985" s="1">
        <v>7100786731</v>
      </c>
      <c r="H2985" s="1">
        <v>9</v>
      </c>
      <c r="I2985" s="1" t="s">
        <v>1681</v>
      </c>
      <c r="J2985" t="s">
        <v>16779</v>
      </c>
    </row>
    <row r="2986" spans="1:10">
      <c r="A2986" s="1">
        <v>496398</v>
      </c>
      <c r="B2986" s="1">
        <v>4280011402</v>
      </c>
      <c r="C2986" s="1">
        <v>12</v>
      </c>
      <c r="D2986" s="1" t="s">
        <v>2173</v>
      </c>
      <c r="E2986" t="s">
        <v>16780</v>
      </c>
      <c r="F2986" s="1">
        <v>698225</v>
      </c>
      <c r="G2986" s="1">
        <v>7100786195</v>
      </c>
      <c r="H2986" s="1">
        <v>9</v>
      </c>
      <c r="I2986" s="1" t="s">
        <v>1681</v>
      </c>
      <c r="J2986" t="s">
        <v>16781</v>
      </c>
    </row>
    <row r="2987" spans="1:10">
      <c r="A2987" s="1">
        <v>628446</v>
      </c>
      <c r="B2987" s="1">
        <v>4280011520</v>
      </c>
      <c r="C2987" s="1">
        <v>12</v>
      </c>
      <c r="D2987" s="1" t="s">
        <v>923</v>
      </c>
      <c r="E2987" t="s">
        <v>16782</v>
      </c>
      <c r="F2987" s="1">
        <v>189068</v>
      </c>
      <c r="G2987" s="1">
        <v>7100786287</v>
      </c>
      <c r="H2987" s="1">
        <v>9</v>
      </c>
      <c r="I2987" s="1" t="s">
        <v>1681</v>
      </c>
      <c r="J2987" t="s">
        <v>16783</v>
      </c>
    </row>
    <row r="2988" spans="1:10">
      <c r="A2988" s="1">
        <v>858399</v>
      </c>
      <c r="B2988" s="1">
        <v>2580002515</v>
      </c>
      <c r="C2988" s="1">
        <v>12</v>
      </c>
      <c r="D2988" s="1" t="s">
        <v>404</v>
      </c>
      <c r="E2988" t="s">
        <v>16784</v>
      </c>
      <c r="F2988" s="1">
        <v>613364</v>
      </c>
      <c r="G2988" s="1">
        <v>4132237791</v>
      </c>
      <c r="H2988" s="1">
        <v>12</v>
      </c>
      <c r="I2988" s="1" t="s">
        <v>489</v>
      </c>
      <c r="J2988" t="s">
        <v>16785</v>
      </c>
    </row>
    <row r="2989" spans="1:10">
      <c r="A2989" s="1">
        <v>858381</v>
      </c>
      <c r="B2989" s="1">
        <v>2580002517</v>
      </c>
      <c r="C2989" s="1">
        <v>12</v>
      </c>
      <c r="D2989" s="1" t="s">
        <v>404</v>
      </c>
      <c r="E2989" t="s">
        <v>16786</v>
      </c>
      <c r="F2989" s="1">
        <v>391847</v>
      </c>
      <c r="G2989" s="1">
        <v>4132235609</v>
      </c>
      <c r="H2989" s="1">
        <v>6</v>
      </c>
      <c r="I2989" s="1" t="s">
        <v>439</v>
      </c>
      <c r="J2989" t="s">
        <v>16787</v>
      </c>
    </row>
    <row r="2990" spans="1:10">
      <c r="A2990" s="1">
        <v>409292</v>
      </c>
      <c r="B2990" s="1">
        <v>1153550160</v>
      </c>
      <c r="C2990" s="1">
        <v>12</v>
      </c>
      <c r="D2990" s="1" t="s">
        <v>1272</v>
      </c>
      <c r="E2990" t="s">
        <v>16788</v>
      </c>
      <c r="F2990" s="1">
        <v>542845</v>
      </c>
      <c r="G2990" s="1">
        <v>4132235603</v>
      </c>
      <c r="H2990" s="1">
        <v>6</v>
      </c>
      <c r="I2990" s="1" t="s">
        <v>3422</v>
      </c>
      <c r="J2990" t="s">
        <v>16789</v>
      </c>
    </row>
    <row r="2991" spans="1:10">
      <c r="A2991" s="1">
        <v>44164</v>
      </c>
      <c r="B2991" s="1">
        <v>1153550159</v>
      </c>
      <c r="C2991" s="1">
        <v>12</v>
      </c>
      <c r="D2991" s="1" t="s">
        <v>1180</v>
      </c>
      <c r="E2991" t="s">
        <v>16790</v>
      </c>
      <c r="F2991" s="1">
        <v>600445</v>
      </c>
      <c r="G2991" s="1">
        <v>2880060045</v>
      </c>
      <c r="H2991" s="1">
        <v>8</v>
      </c>
      <c r="I2991" s="1" t="s">
        <v>1468</v>
      </c>
      <c r="J2991" t="s">
        <v>16791</v>
      </c>
    </row>
    <row r="2992" spans="1:10">
      <c r="A2992" s="1">
        <v>898460</v>
      </c>
      <c r="B2992" s="1">
        <v>1153550156</v>
      </c>
      <c r="C2992" s="1">
        <v>12</v>
      </c>
      <c r="D2992" s="1" t="s">
        <v>379</v>
      </c>
      <c r="E2992" t="s">
        <v>16792</v>
      </c>
      <c r="F2992" s="1">
        <v>600601</v>
      </c>
      <c r="G2992" s="1">
        <v>2880060000</v>
      </c>
      <c r="H2992" s="1">
        <v>18</v>
      </c>
      <c r="I2992" s="1" t="s">
        <v>16793</v>
      </c>
      <c r="J2992" t="s">
        <v>16794</v>
      </c>
    </row>
    <row r="2993" spans="1:10">
      <c r="F2993" s="1">
        <v>611202</v>
      </c>
      <c r="G2993" s="1">
        <v>4369507105</v>
      </c>
      <c r="H2993" s="1">
        <v>8</v>
      </c>
      <c r="I2993" s="1" t="s">
        <v>546</v>
      </c>
      <c r="J2993" t="s">
        <v>16795</v>
      </c>
    </row>
    <row r="2994" spans="1:10">
      <c r="F2994" s="1">
        <v>611731</v>
      </c>
      <c r="G2994" s="1">
        <v>4369507109</v>
      </c>
      <c r="H2994" s="1">
        <v>8</v>
      </c>
      <c r="I2994" s="1" t="s">
        <v>546</v>
      </c>
      <c r="J2994" t="s">
        <v>16796</v>
      </c>
    </row>
    <row r="2995" spans="1:10" ht="15.75">
      <c r="A2995" s="4" t="s">
        <v>16743</v>
      </c>
      <c r="B2995" s="2"/>
      <c r="C2995" s="2"/>
      <c r="D2995" s="2"/>
      <c r="E2995" s="3"/>
      <c r="F2995" s="4" t="s">
        <v>16743</v>
      </c>
      <c r="G2995" s="2"/>
      <c r="H2995" s="2"/>
      <c r="I2995" s="2"/>
      <c r="J2995" s="3"/>
    </row>
    <row r="2996" spans="1:10">
      <c r="A2996" s="2" t="s">
        <v>0</v>
      </c>
      <c r="B2996" s="2" t="s">
        <v>1</v>
      </c>
      <c r="C2996" s="2" t="s">
        <v>2</v>
      </c>
      <c r="D2996" s="2" t="s">
        <v>3</v>
      </c>
      <c r="E2996" s="3" t="s">
        <v>4</v>
      </c>
      <c r="F2996" s="2" t="s">
        <v>0</v>
      </c>
      <c r="G2996" s="2" t="s">
        <v>1</v>
      </c>
      <c r="H2996" s="2" t="s">
        <v>2</v>
      </c>
      <c r="I2996" s="2" t="s">
        <v>3</v>
      </c>
      <c r="J2996" s="3" t="s">
        <v>4</v>
      </c>
    </row>
    <row r="2997" spans="1:10">
      <c r="A2997" s="1">
        <v>611574</v>
      </c>
      <c r="B2997" s="1">
        <v>4369507114</v>
      </c>
      <c r="C2997" s="1">
        <v>8</v>
      </c>
      <c r="D2997" s="1" t="s">
        <v>489</v>
      </c>
      <c r="E2997" t="s">
        <v>16797</v>
      </c>
      <c r="F2997" s="1">
        <v>156323</v>
      </c>
      <c r="G2997" s="1">
        <v>4369507250</v>
      </c>
      <c r="H2997" s="1">
        <v>24</v>
      </c>
      <c r="I2997" s="1" t="s">
        <v>360</v>
      </c>
      <c r="J2997" t="s">
        <v>16798</v>
      </c>
    </row>
    <row r="2998" spans="1:10">
      <c r="A2998" s="1">
        <v>20172</v>
      </c>
      <c r="B2998" s="1">
        <v>4369507125</v>
      </c>
      <c r="C2998" s="1">
        <v>8</v>
      </c>
      <c r="D2998" s="1" t="s">
        <v>546</v>
      </c>
      <c r="E2998" t="s">
        <v>16799</v>
      </c>
      <c r="F2998" s="1">
        <v>317966</v>
      </c>
      <c r="G2998" s="1">
        <v>4369508501</v>
      </c>
      <c r="H2998" s="1">
        <v>8</v>
      </c>
      <c r="I2998" s="1" t="s">
        <v>546</v>
      </c>
      <c r="J2998" t="s">
        <v>16800</v>
      </c>
    </row>
    <row r="2999" spans="1:10">
      <c r="A2999" s="1">
        <v>611590</v>
      </c>
      <c r="B2999" s="1">
        <v>4369507118</v>
      </c>
      <c r="C2999" s="1">
        <v>8</v>
      </c>
      <c r="D2999" s="1" t="s">
        <v>546</v>
      </c>
      <c r="E2999" t="s">
        <v>16801</v>
      </c>
      <c r="F2999" s="1">
        <v>484592</v>
      </c>
      <c r="G2999" s="1">
        <v>4369506502</v>
      </c>
      <c r="H2999" s="1">
        <v>8</v>
      </c>
      <c r="I2999" s="1" t="s">
        <v>8974</v>
      </c>
      <c r="J2999" t="s">
        <v>16802</v>
      </c>
    </row>
    <row r="3000" spans="1:10">
      <c r="A3000" s="1">
        <v>763508</v>
      </c>
      <c r="B3000" s="1">
        <v>4369507202</v>
      </c>
      <c r="C3000" s="1">
        <v>8</v>
      </c>
      <c r="D3000" s="1" t="s">
        <v>358</v>
      </c>
      <c r="E3000" t="s">
        <v>16803</v>
      </c>
      <c r="F3000" s="1">
        <v>870279</v>
      </c>
      <c r="G3000" s="1">
        <v>4369506500</v>
      </c>
      <c r="H3000" s="1">
        <v>8</v>
      </c>
      <c r="I3000" s="1" t="s">
        <v>8974</v>
      </c>
      <c r="J3000" t="s">
        <v>16804</v>
      </c>
    </row>
    <row r="3001" spans="1:10">
      <c r="A3001" s="1">
        <v>611863</v>
      </c>
      <c r="B3001" s="1">
        <v>4369507119</v>
      </c>
      <c r="C3001" s="1">
        <v>8</v>
      </c>
      <c r="D3001" s="1" t="s">
        <v>546</v>
      </c>
      <c r="E3001" t="s">
        <v>16805</v>
      </c>
      <c r="F3001" s="1">
        <v>168948</v>
      </c>
      <c r="G3001" s="1">
        <v>4369506501</v>
      </c>
      <c r="H3001" s="1">
        <v>8</v>
      </c>
      <c r="I3001" s="1" t="s">
        <v>8974</v>
      </c>
      <c r="J3001" t="s">
        <v>16806</v>
      </c>
    </row>
    <row r="3002" spans="1:10">
      <c r="A3002" s="1">
        <v>621342</v>
      </c>
      <c r="B3002" s="1">
        <v>4369507123</v>
      </c>
      <c r="C3002" s="1">
        <v>8</v>
      </c>
      <c r="D3002" s="1" t="s">
        <v>546</v>
      </c>
      <c r="E3002" t="s">
        <v>14998</v>
      </c>
      <c r="F3002" s="1">
        <v>157495</v>
      </c>
      <c r="G3002" s="1">
        <v>4369506503</v>
      </c>
      <c r="H3002" s="1">
        <v>8</v>
      </c>
      <c r="I3002" s="1" t="s">
        <v>8974</v>
      </c>
      <c r="J3002" t="s">
        <v>16807</v>
      </c>
    </row>
    <row r="3003" spans="1:10">
      <c r="A3003" s="1">
        <v>685446</v>
      </c>
      <c r="B3003" s="1">
        <v>4369507104</v>
      </c>
      <c r="C3003" s="1">
        <v>8</v>
      </c>
      <c r="D3003" s="1" t="s">
        <v>546</v>
      </c>
      <c r="E3003" t="s">
        <v>16808</v>
      </c>
      <c r="F3003" s="1">
        <v>462432</v>
      </c>
      <c r="G3003" s="1">
        <v>4369508345</v>
      </c>
      <c r="H3003" s="1">
        <v>6</v>
      </c>
      <c r="I3003" s="1" t="s">
        <v>16809</v>
      </c>
      <c r="J3003" t="s">
        <v>16810</v>
      </c>
    </row>
    <row r="3004" spans="1:10">
      <c r="A3004" s="1">
        <v>611426</v>
      </c>
      <c r="B3004" s="1">
        <v>4369507103</v>
      </c>
      <c r="C3004" s="1">
        <v>8</v>
      </c>
      <c r="D3004" s="1" t="s">
        <v>546</v>
      </c>
      <c r="E3004" t="s">
        <v>16811</v>
      </c>
      <c r="F3004" s="1">
        <v>187211</v>
      </c>
      <c r="G3004" s="1">
        <v>4369508318</v>
      </c>
      <c r="H3004" s="1">
        <v>8</v>
      </c>
      <c r="I3004" s="1" t="s">
        <v>546</v>
      </c>
      <c r="J3004" t="s">
        <v>16812</v>
      </c>
    </row>
    <row r="3005" spans="1:10">
      <c r="A3005" s="1">
        <v>607143</v>
      </c>
      <c r="B3005" s="1">
        <v>4369505640</v>
      </c>
      <c r="C3005" s="1">
        <v>8</v>
      </c>
      <c r="D3005" s="1" t="s">
        <v>546</v>
      </c>
      <c r="E3005" t="s">
        <v>16813</v>
      </c>
      <c r="F3005" s="1">
        <v>684654</v>
      </c>
      <c r="G3005" s="1">
        <v>4369508315</v>
      </c>
      <c r="H3005" s="1">
        <v>8</v>
      </c>
      <c r="I3005" s="1" t="s">
        <v>546</v>
      </c>
      <c r="J3005" t="s">
        <v>16814</v>
      </c>
    </row>
    <row r="3006" spans="1:10">
      <c r="A3006" s="1">
        <v>606830</v>
      </c>
      <c r="B3006" s="1">
        <v>4369505632</v>
      </c>
      <c r="C3006" s="1">
        <v>8</v>
      </c>
      <c r="D3006" s="1" t="s">
        <v>546</v>
      </c>
      <c r="E3006" t="s">
        <v>16815</v>
      </c>
      <c r="F3006" s="1">
        <v>224907</v>
      </c>
      <c r="G3006" s="1">
        <v>4369508310</v>
      </c>
      <c r="H3006" s="1">
        <v>8</v>
      </c>
      <c r="I3006" s="1" t="s">
        <v>546</v>
      </c>
      <c r="J3006" t="s">
        <v>16816</v>
      </c>
    </row>
    <row r="3007" spans="1:10">
      <c r="A3007" s="1">
        <v>606814</v>
      </c>
      <c r="B3007" s="1">
        <v>4369505630</v>
      </c>
      <c r="C3007" s="1">
        <v>8</v>
      </c>
      <c r="D3007" s="1" t="s">
        <v>546</v>
      </c>
      <c r="E3007" t="s">
        <v>16817</v>
      </c>
      <c r="F3007" s="1">
        <v>691436</v>
      </c>
      <c r="G3007" s="1">
        <v>4369508332</v>
      </c>
      <c r="H3007" s="1">
        <v>8</v>
      </c>
      <c r="I3007" s="1" t="s">
        <v>4079</v>
      </c>
      <c r="J3007" t="s">
        <v>16818</v>
      </c>
    </row>
    <row r="3008" spans="1:10">
      <c r="A3008" s="1">
        <v>606665</v>
      </c>
      <c r="B3008" s="1">
        <v>4369505634</v>
      </c>
      <c r="C3008" s="1">
        <v>8</v>
      </c>
      <c r="D3008" s="1" t="s">
        <v>546</v>
      </c>
      <c r="E3008" t="s">
        <v>16819</v>
      </c>
      <c r="F3008" s="1">
        <v>581694</v>
      </c>
      <c r="G3008" s="1">
        <v>4369505100</v>
      </c>
      <c r="H3008" s="1">
        <v>8</v>
      </c>
      <c r="I3008" s="1" t="s">
        <v>4079</v>
      </c>
      <c r="J3008" t="s">
        <v>16820</v>
      </c>
    </row>
    <row r="3009" spans="1:10">
      <c r="A3009" s="1">
        <v>606822</v>
      </c>
      <c r="B3009" s="1">
        <v>4369505631</v>
      </c>
      <c r="C3009" s="1">
        <v>8</v>
      </c>
      <c r="D3009" s="1" t="s">
        <v>546</v>
      </c>
      <c r="E3009" t="s">
        <v>16821</v>
      </c>
      <c r="F3009" s="1">
        <v>621193</v>
      </c>
      <c r="G3009" s="1">
        <v>4369508305</v>
      </c>
      <c r="H3009" s="1">
        <v>8</v>
      </c>
      <c r="I3009" s="1" t="s">
        <v>546</v>
      </c>
      <c r="J3009" t="s">
        <v>16822</v>
      </c>
    </row>
    <row r="3010" spans="1:10">
      <c r="A3010" s="1">
        <v>427120</v>
      </c>
      <c r="B3010" s="1">
        <v>4369508500</v>
      </c>
      <c r="C3010" s="1">
        <v>8</v>
      </c>
      <c r="D3010" s="1" t="s">
        <v>546</v>
      </c>
      <c r="E3010" t="s">
        <v>16823</v>
      </c>
      <c r="F3010" s="1">
        <v>367250</v>
      </c>
      <c r="G3010" s="1">
        <v>4369507535</v>
      </c>
      <c r="H3010" s="1">
        <v>6</v>
      </c>
      <c r="I3010" s="1" t="s">
        <v>16824</v>
      </c>
      <c r="J3010" t="s">
        <v>16825</v>
      </c>
    </row>
    <row r="3011" spans="1:10">
      <c r="A3011" s="1">
        <v>479287</v>
      </c>
      <c r="B3011" s="1">
        <v>4369507201</v>
      </c>
      <c r="C3011" s="1">
        <v>8</v>
      </c>
      <c r="D3011" s="1" t="s">
        <v>358</v>
      </c>
      <c r="E3011" t="s">
        <v>16826</v>
      </c>
      <c r="F3011" s="1">
        <v>408112</v>
      </c>
      <c r="G3011" s="1">
        <v>4369508326</v>
      </c>
      <c r="H3011" s="1">
        <v>8</v>
      </c>
      <c r="I3011" s="1" t="s">
        <v>546</v>
      </c>
      <c r="J3011" t="s">
        <v>16827</v>
      </c>
    </row>
    <row r="3012" spans="1:10">
      <c r="A3012" s="1">
        <v>611541</v>
      </c>
      <c r="B3012" s="1">
        <v>4369507112</v>
      </c>
      <c r="C3012" s="1">
        <v>8</v>
      </c>
      <c r="D3012" s="1" t="s">
        <v>546</v>
      </c>
      <c r="E3012" t="s">
        <v>16828</v>
      </c>
      <c r="F3012" s="1">
        <v>289785</v>
      </c>
      <c r="G3012" s="1">
        <v>4280028506</v>
      </c>
      <c r="H3012" s="1">
        <v>12</v>
      </c>
      <c r="I3012" s="1" t="s">
        <v>365</v>
      </c>
      <c r="J3012" t="s">
        <v>16829</v>
      </c>
    </row>
    <row r="3013" spans="1:10">
      <c r="A3013" s="1">
        <v>624551</v>
      </c>
      <c r="B3013" s="1">
        <v>4369507512</v>
      </c>
      <c r="C3013" s="1">
        <v>6</v>
      </c>
      <c r="D3013" s="1" t="s">
        <v>16824</v>
      </c>
      <c r="E3013" t="s">
        <v>16830</v>
      </c>
      <c r="F3013" s="1">
        <v>761437</v>
      </c>
      <c r="G3013" s="1">
        <v>4280028504</v>
      </c>
      <c r="H3013" s="1">
        <v>12</v>
      </c>
      <c r="I3013" s="1" t="s">
        <v>365</v>
      </c>
      <c r="J3013" t="s">
        <v>16831</v>
      </c>
    </row>
    <row r="3014" spans="1:10">
      <c r="A3014" s="1">
        <v>731562</v>
      </c>
      <c r="B3014" s="1">
        <v>4369507144</v>
      </c>
      <c r="C3014" s="1">
        <v>6</v>
      </c>
      <c r="D3014" s="1" t="s">
        <v>6249</v>
      </c>
      <c r="E3014" t="s">
        <v>16832</v>
      </c>
      <c r="F3014" s="1">
        <v>528273</v>
      </c>
      <c r="G3014" s="1">
        <v>4280028505</v>
      </c>
      <c r="H3014" s="1">
        <v>12</v>
      </c>
      <c r="I3014" s="1" t="s">
        <v>365</v>
      </c>
      <c r="J3014" t="s">
        <v>16833</v>
      </c>
    </row>
    <row r="3015" spans="1:10">
      <c r="A3015" s="1">
        <v>621201</v>
      </c>
      <c r="B3015" s="1">
        <v>4369508306</v>
      </c>
      <c r="C3015" s="1">
        <v>8</v>
      </c>
      <c r="D3015" s="1" t="s">
        <v>546</v>
      </c>
      <c r="E3015" t="s">
        <v>16834</v>
      </c>
      <c r="F3015" s="1">
        <v>550145</v>
      </c>
      <c r="G3015" s="1">
        <v>1116601375</v>
      </c>
      <c r="H3015" s="1">
        <v>12</v>
      </c>
      <c r="I3015" s="1" t="s">
        <v>379</v>
      </c>
      <c r="J3015" t="s">
        <v>16835</v>
      </c>
    </row>
    <row r="3016" spans="1:10">
      <c r="A3016" s="1">
        <v>621227</v>
      </c>
      <c r="B3016" s="1">
        <v>4369508303</v>
      </c>
      <c r="C3016" s="1">
        <v>8</v>
      </c>
      <c r="D3016" s="1" t="s">
        <v>546</v>
      </c>
      <c r="E3016" t="s">
        <v>16836</v>
      </c>
      <c r="F3016" s="1">
        <v>638346</v>
      </c>
      <c r="G3016" s="1">
        <v>5150004815</v>
      </c>
      <c r="H3016" s="1">
        <v>10</v>
      </c>
      <c r="I3016" s="1" t="s">
        <v>399</v>
      </c>
      <c r="J3016" t="s">
        <v>16837</v>
      </c>
    </row>
    <row r="3017" spans="1:10">
      <c r="A3017" s="1">
        <v>621185</v>
      </c>
      <c r="B3017" s="1">
        <v>4369508304</v>
      </c>
      <c r="C3017" s="1">
        <v>8</v>
      </c>
      <c r="D3017" s="1" t="s">
        <v>546</v>
      </c>
      <c r="E3017" t="s">
        <v>16838</v>
      </c>
      <c r="F3017" s="1">
        <v>638817</v>
      </c>
      <c r="G3017" s="1">
        <v>5150004821</v>
      </c>
      <c r="H3017" s="1">
        <v>10</v>
      </c>
      <c r="I3017" s="1" t="s">
        <v>399</v>
      </c>
      <c r="J3017" t="s">
        <v>16839</v>
      </c>
    </row>
    <row r="3018" spans="1:10">
      <c r="A3018" s="1">
        <v>621078</v>
      </c>
      <c r="B3018" s="1">
        <v>4369508300</v>
      </c>
      <c r="C3018" s="1">
        <v>8</v>
      </c>
      <c r="D3018" s="1" t="s">
        <v>546</v>
      </c>
      <c r="E3018" t="s">
        <v>16840</v>
      </c>
      <c r="F3018" s="1">
        <v>638361</v>
      </c>
      <c r="G3018" s="1">
        <v>5150004816</v>
      </c>
      <c r="H3018" s="1">
        <v>10</v>
      </c>
      <c r="I3018" s="1" t="s">
        <v>399</v>
      </c>
      <c r="J3018" t="s">
        <v>16841</v>
      </c>
    </row>
    <row r="3019" spans="1:10">
      <c r="A3019" s="1">
        <v>611871</v>
      </c>
      <c r="B3019" s="1">
        <v>4369508316</v>
      </c>
      <c r="C3019" s="1">
        <v>8</v>
      </c>
      <c r="D3019" s="1" t="s">
        <v>546</v>
      </c>
      <c r="E3019" t="s">
        <v>16842</v>
      </c>
      <c r="F3019" s="1">
        <v>615898</v>
      </c>
      <c r="G3019" s="1">
        <v>7332100018</v>
      </c>
      <c r="H3019" s="1">
        <v>12</v>
      </c>
      <c r="I3019" s="1" t="s">
        <v>379</v>
      </c>
      <c r="J3019" t="s">
        <v>16843</v>
      </c>
    </row>
    <row r="3020" spans="1:10">
      <c r="A3020" s="1">
        <v>621383</v>
      </c>
      <c r="B3020" s="1">
        <v>4369508302</v>
      </c>
      <c r="C3020" s="1">
        <v>8</v>
      </c>
      <c r="D3020" s="1" t="s">
        <v>546</v>
      </c>
      <c r="E3020" t="s">
        <v>16844</v>
      </c>
      <c r="F3020" s="1">
        <v>637082</v>
      </c>
      <c r="G3020" s="1">
        <v>4670406830</v>
      </c>
      <c r="H3020" s="1">
        <v>8</v>
      </c>
      <c r="I3020" s="1" t="s">
        <v>489</v>
      </c>
      <c r="J3020" t="s">
        <v>16845</v>
      </c>
    </row>
    <row r="3021" spans="1:10">
      <c r="A3021" s="1">
        <v>621219</v>
      </c>
      <c r="B3021" s="1">
        <v>4369508307</v>
      </c>
      <c r="C3021" s="1">
        <v>8</v>
      </c>
      <c r="D3021" s="1" t="s">
        <v>546</v>
      </c>
      <c r="E3021" t="s">
        <v>16846</v>
      </c>
      <c r="F3021" s="1">
        <v>230391</v>
      </c>
      <c r="G3021" s="1">
        <v>4670406905</v>
      </c>
      <c r="H3021" s="1">
        <v>8</v>
      </c>
      <c r="I3021" s="1" t="s">
        <v>546</v>
      </c>
      <c r="J3021" t="s">
        <v>16847</v>
      </c>
    </row>
    <row r="3022" spans="1:10">
      <c r="A3022" s="1">
        <v>108449</v>
      </c>
      <c r="B3022" s="1">
        <v>4369507513</v>
      </c>
      <c r="C3022" s="1">
        <v>6</v>
      </c>
      <c r="D3022" s="1" t="s">
        <v>16824</v>
      </c>
      <c r="E3022" t="s">
        <v>16848</v>
      </c>
      <c r="F3022" s="1">
        <v>637249</v>
      </c>
      <c r="G3022" s="1">
        <v>4670406430</v>
      </c>
      <c r="H3022" s="1">
        <v>8</v>
      </c>
      <c r="I3022" s="1" t="s">
        <v>489</v>
      </c>
      <c r="J3022" t="s">
        <v>16849</v>
      </c>
    </row>
    <row r="3023" spans="1:10">
      <c r="A3023" s="1">
        <v>611558</v>
      </c>
      <c r="B3023" s="1">
        <v>4369507116</v>
      </c>
      <c r="C3023" s="1">
        <v>8</v>
      </c>
      <c r="D3023" s="1" t="s">
        <v>546</v>
      </c>
      <c r="E3023" t="s">
        <v>16850</v>
      </c>
      <c r="F3023" s="1">
        <v>637025</v>
      </c>
      <c r="G3023" s="1">
        <v>4670406850</v>
      </c>
      <c r="H3023" s="1">
        <v>8</v>
      </c>
      <c r="I3023" s="1" t="s">
        <v>363</v>
      </c>
      <c r="J3023" t="s">
        <v>16851</v>
      </c>
    </row>
    <row r="3024" spans="1:10">
      <c r="A3024" s="1">
        <v>624635</v>
      </c>
      <c r="B3024" s="1">
        <v>4369507511</v>
      </c>
      <c r="C3024" s="1">
        <v>6</v>
      </c>
      <c r="D3024" s="1" t="s">
        <v>16824</v>
      </c>
      <c r="E3024" t="s">
        <v>16852</v>
      </c>
      <c r="F3024" s="1">
        <v>696088</v>
      </c>
      <c r="G3024" s="1">
        <v>4670405020</v>
      </c>
      <c r="H3024" s="1">
        <v>8</v>
      </c>
      <c r="I3024" s="1" t="s">
        <v>489</v>
      </c>
      <c r="J3024" t="s">
        <v>16853</v>
      </c>
    </row>
    <row r="3025" spans="1:10">
      <c r="A3025" s="1">
        <v>731554</v>
      </c>
      <c r="B3025" s="1">
        <v>4369507143</v>
      </c>
      <c r="C3025" s="1">
        <v>6</v>
      </c>
      <c r="D3025" s="1" t="s">
        <v>6249</v>
      </c>
      <c r="E3025" t="s">
        <v>16854</v>
      </c>
      <c r="F3025" s="1">
        <v>443648</v>
      </c>
      <c r="G3025" s="1">
        <v>4670406902</v>
      </c>
      <c r="H3025" s="1">
        <v>8</v>
      </c>
      <c r="I3025" s="1" t="s">
        <v>399</v>
      </c>
      <c r="J3025" t="s">
        <v>16855</v>
      </c>
    </row>
    <row r="3026" spans="1:10">
      <c r="A3026" s="1">
        <v>731570</v>
      </c>
      <c r="B3026" s="1">
        <v>4369507107</v>
      </c>
      <c r="C3026" s="1">
        <v>8</v>
      </c>
      <c r="D3026" s="1" t="s">
        <v>546</v>
      </c>
      <c r="E3026" t="s">
        <v>16856</v>
      </c>
      <c r="F3026" s="1">
        <v>637991</v>
      </c>
      <c r="G3026" s="1">
        <v>4670408630</v>
      </c>
      <c r="H3026" s="1">
        <v>8</v>
      </c>
      <c r="I3026" s="1" t="s">
        <v>546</v>
      </c>
      <c r="J3026" t="s">
        <v>16857</v>
      </c>
    </row>
    <row r="3027" spans="1:10">
      <c r="A3027" s="1">
        <v>611665</v>
      </c>
      <c r="B3027" s="1">
        <v>4369507110</v>
      </c>
      <c r="C3027" s="1">
        <v>8</v>
      </c>
      <c r="D3027" s="1" t="s">
        <v>546</v>
      </c>
      <c r="E3027" t="s">
        <v>16858</v>
      </c>
      <c r="F3027" s="1">
        <v>637033</v>
      </c>
      <c r="G3027" s="1">
        <v>4670404940</v>
      </c>
      <c r="H3027" s="1">
        <v>8</v>
      </c>
      <c r="I3027" s="1" t="s">
        <v>399</v>
      </c>
      <c r="J3027" t="s">
        <v>16859</v>
      </c>
    </row>
    <row r="3028" spans="1:10">
      <c r="A3028" s="1">
        <v>611566</v>
      </c>
      <c r="B3028" s="1">
        <v>4369507111</v>
      </c>
      <c r="C3028" s="1">
        <v>8</v>
      </c>
      <c r="D3028" s="1" t="s">
        <v>546</v>
      </c>
      <c r="E3028" t="s">
        <v>16860</v>
      </c>
      <c r="F3028" s="1">
        <v>637165</v>
      </c>
      <c r="G3028" s="1">
        <v>4670408629</v>
      </c>
      <c r="H3028" s="1">
        <v>8</v>
      </c>
      <c r="I3028" s="1" t="s">
        <v>546</v>
      </c>
      <c r="J3028" t="s">
        <v>16861</v>
      </c>
    </row>
    <row r="3029" spans="1:10">
      <c r="A3029" s="1">
        <v>611681</v>
      </c>
      <c r="B3029" s="1">
        <v>4369507115</v>
      </c>
      <c r="C3029" s="1">
        <v>8</v>
      </c>
      <c r="D3029" s="1" t="s">
        <v>546</v>
      </c>
      <c r="E3029" t="s">
        <v>16862</v>
      </c>
      <c r="F3029" s="1">
        <v>851055</v>
      </c>
      <c r="G3029" s="1">
        <v>4670409614</v>
      </c>
      <c r="H3029" s="1">
        <v>8</v>
      </c>
      <c r="I3029" s="1" t="s">
        <v>546</v>
      </c>
      <c r="J3029" t="s">
        <v>16861</v>
      </c>
    </row>
    <row r="3030" spans="1:10">
      <c r="A3030" s="1">
        <v>250712</v>
      </c>
      <c r="B3030" s="1">
        <v>4369507203</v>
      </c>
      <c r="C3030" s="1">
        <v>8</v>
      </c>
      <c r="D3030" s="1" t="s">
        <v>358</v>
      </c>
      <c r="E3030" t="s">
        <v>16863</v>
      </c>
      <c r="F3030" s="1">
        <v>637090</v>
      </c>
      <c r="G3030" s="1">
        <v>4670408900</v>
      </c>
      <c r="H3030" s="1">
        <v>8</v>
      </c>
      <c r="I3030" s="1" t="s">
        <v>399</v>
      </c>
      <c r="J3030" t="s">
        <v>16864</v>
      </c>
    </row>
    <row r="3031" spans="1:10">
      <c r="A3031" s="1">
        <v>834820</v>
      </c>
      <c r="B3031" s="1">
        <v>4369505812</v>
      </c>
      <c r="C3031" s="1">
        <v>8</v>
      </c>
      <c r="D3031" s="1" t="s">
        <v>546</v>
      </c>
      <c r="E3031" t="s">
        <v>16865</v>
      </c>
      <c r="F3031" s="1">
        <v>637199</v>
      </c>
      <c r="G3031" s="1">
        <v>4670408910</v>
      </c>
      <c r="H3031" s="1">
        <v>8</v>
      </c>
      <c r="I3031" s="1" t="s">
        <v>399</v>
      </c>
      <c r="J3031" t="s">
        <v>16866</v>
      </c>
    </row>
    <row r="3032" spans="1:10">
      <c r="A3032" s="1">
        <v>691063</v>
      </c>
      <c r="B3032" s="1">
        <v>4369505811</v>
      </c>
      <c r="C3032" s="1">
        <v>8</v>
      </c>
      <c r="D3032" s="1" t="s">
        <v>546</v>
      </c>
      <c r="E3032" t="s">
        <v>16867</v>
      </c>
      <c r="F3032" s="1">
        <v>637009</v>
      </c>
      <c r="G3032" s="1">
        <v>4670406840</v>
      </c>
      <c r="H3032" s="1">
        <v>8</v>
      </c>
      <c r="I3032" s="1" t="s">
        <v>399</v>
      </c>
      <c r="J3032" t="s">
        <v>16868</v>
      </c>
    </row>
    <row r="3033" spans="1:10">
      <c r="A3033" s="1">
        <v>282814</v>
      </c>
      <c r="B3033" s="1">
        <v>4369505813</v>
      </c>
      <c r="C3033" s="1">
        <v>8</v>
      </c>
      <c r="D3033" s="1" t="s">
        <v>546</v>
      </c>
      <c r="E3033" t="s">
        <v>16869</v>
      </c>
      <c r="F3033" s="1">
        <v>841429</v>
      </c>
      <c r="G3033" s="1">
        <v>4670406835</v>
      </c>
      <c r="H3033" s="1">
        <v>8</v>
      </c>
      <c r="I3033" s="1" t="s">
        <v>3633</v>
      </c>
      <c r="J3033" t="s">
        <v>16870</v>
      </c>
    </row>
    <row r="3034" spans="1:10">
      <c r="A3034" s="1">
        <v>455642</v>
      </c>
      <c r="B3034" s="1">
        <v>4369507100</v>
      </c>
      <c r="C3034" s="1">
        <v>8</v>
      </c>
      <c r="D3034" s="1" t="s">
        <v>546</v>
      </c>
      <c r="E3034" t="s">
        <v>16871</v>
      </c>
      <c r="F3034" s="1">
        <v>841411</v>
      </c>
      <c r="G3034" s="1">
        <v>4670406847</v>
      </c>
      <c r="H3034" s="1">
        <v>8</v>
      </c>
      <c r="I3034" s="1" t="s">
        <v>439</v>
      </c>
      <c r="J3034" t="s">
        <v>16872</v>
      </c>
    </row>
    <row r="3035" spans="1:10">
      <c r="A3035" s="1">
        <v>611814</v>
      </c>
      <c r="B3035" s="1">
        <v>4369507120</v>
      </c>
      <c r="C3035" s="1">
        <v>8</v>
      </c>
      <c r="D3035" s="1" t="s">
        <v>546</v>
      </c>
      <c r="E3035" t="s">
        <v>16873</v>
      </c>
      <c r="F3035" s="1">
        <v>562512</v>
      </c>
      <c r="G3035" s="1">
        <v>4670408633</v>
      </c>
      <c r="H3035" s="1">
        <v>8</v>
      </c>
      <c r="I3035" s="1" t="s">
        <v>1355</v>
      </c>
      <c r="J3035" t="s">
        <v>16874</v>
      </c>
    </row>
    <row r="3036" spans="1:10" ht="15.75">
      <c r="A3036" s="4" t="s">
        <v>16743</v>
      </c>
      <c r="B3036" s="2"/>
      <c r="C3036" s="2"/>
      <c r="D3036" s="2"/>
      <c r="E3036" s="3"/>
      <c r="F3036" s="4" t="s">
        <v>16875</v>
      </c>
      <c r="G3036" s="2"/>
      <c r="H3036" s="2"/>
      <c r="I3036" s="2"/>
      <c r="J3036" s="3"/>
    </row>
    <row r="3037" spans="1:10">
      <c r="A3037" s="2" t="s">
        <v>0</v>
      </c>
      <c r="B3037" s="2" t="s">
        <v>1</v>
      </c>
      <c r="C3037" s="2" t="s">
        <v>2</v>
      </c>
      <c r="D3037" s="2" t="s">
        <v>3</v>
      </c>
      <c r="E3037" s="3" t="s">
        <v>4</v>
      </c>
      <c r="F3037" s="2" t="s">
        <v>0</v>
      </c>
      <c r="G3037" s="2" t="s">
        <v>1</v>
      </c>
      <c r="H3037" s="2" t="s">
        <v>2</v>
      </c>
      <c r="I3037" s="2" t="s">
        <v>3</v>
      </c>
      <c r="J3037" s="3" t="s">
        <v>4</v>
      </c>
    </row>
    <row r="3038" spans="1:10">
      <c r="A3038" s="1">
        <v>217588</v>
      </c>
      <c r="B3038" s="1">
        <v>4280000380</v>
      </c>
      <c r="C3038" s="1">
        <v>6</v>
      </c>
      <c r="D3038" s="1" t="s">
        <v>16876</v>
      </c>
      <c r="E3038" t="s">
        <v>16877</v>
      </c>
      <c r="F3038" s="1">
        <v>616128</v>
      </c>
      <c r="G3038" s="1">
        <v>1800051410</v>
      </c>
      <c r="H3038" s="1">
        <v>12</v>
      </c>
      <c r="I3038" s="1" t="s">
        <v>1519</v>
      </c>
      <c r="J3038" t="s">
        <v>16878</v>
      </c>
    </row>
    <row r="3039" spans="1:10">
      <c r="A3039" s="1">
        <v>770057</v>
      </c>
      <c r="B3039" s="1">
        <v>4280000580</v>
      </c>
      <c r="C3039" s="1">
        <v>12</v>
      </c>
      <c r="D3039" s="1" t="s">
        <v>358</v>
      </c>
      <c r="E3039" t="s">
        <v>16879</v>
      </c>
      <c r="F3039" s="1">
        <v>616110</v>
      </c>
      <c r="G3039" s="1">
        <v>1800051460</v>
      </c>
      <c r="H3039" s="1">
        <v>12</v>
      </c>
      <c r="I3039" s="1" t="s">
        <v>1519</v>
      </c>
      <c r="J3039" t="s">
        <v>16880</v>
      </c>
    </row>
    <row r="3040" spans="1:10">
      <c r="A3040" s="1">
        <v>853929</v>
      </c>
      <c r="B3040" s="1">
        <v>4280000880</v>
      </c>
      <c r="C3040" s="1">
        <v>9</v>
      </c>
      <c r="D3040" s="1" t="s">
        <v>4512</v>
      </c>
      <c r="E3040" t="s">
        <v>16881</v>
      </c>
      <c r="F3040" s="1">
        <v>228437</v>
      </c>
      <c r="G3040" s="1">
        <v>1800031427</v>
      </c>
      <c r="H3040" s="1">
        <v>12</v>
      </c>
      <c r="I3040" s="1" t="s">
        <v>1519</v>
      </c>
      <c r="J3040" t="s">
        <v>16882</v>
      </c>
    </row>
    <row r="3041" spans="1:10">
      <c r="A3041" s="1">
        <v>853903</v>
      </c>
      <c r="B3041" s="1">
        <v>4280000886</v>
      </c>
      <c r="C3041" s="1">
        <v>9</v>
      </c>
      <c r="D3041" s="1" t="s">
        <v>4512</v>
      </c>
      <c r="E3041" t="s">
        <v>16883</v>
      </c>
      <c r="F3041" s="1">
        <v>616151</v>
      </c>
      <c r="G3041" s="1">
        <v>1116661615</v>
      </c>
      <c r="H3041" s="1">
        <v>12</v>
      </c>
      <c r="I3041" s="1" t="s">
        <v>1271</v>
      </c>
      <c r="J3041" t="s">
        <v>16884</v>
      </c>
    </row>
    <row r="3042" spans="1:10" ht="15.75">
      <c r="A3042" s="1">
        <v>182238</v>
      </c>
      <c r="B3042" s="1">
        <v>4280072202</v>
      </c>
      <c r="C3042" s="1">
        <v>9</v>
      </c>
      <c r="D3042" s="1" t="s">
        <v>940</v>
      </c>
      <c r="E3042" t="s">
        <v>16885</v>
      </c>
      <c r="F3042" s="4" t="s">
        <v>16886</v>
      </c>
      <c r="G3042" s="2"/>
      <c r="H3042" s="2"/>
      <c r="I3042" s="2"/>
      <c r="J3042" s="3"/>
    </row>
    <row r="3043" spans="1:10">
      <c r="A3043" s="1">
        <v>853911</v>
      </c>
      <c r="B3043" s="1">
        <v>4280000883</v>
      </c>
      <c r="C3043" s="1">
        <v>9</v>
      </c>
      <c r="D3043" s="1" t="s">
        <v>4512</v>
      </c>
      <c r="E3043" t="s">
        <v>16887</v>
      </c>
      <c r="F3043" s="2" t="s">
        <v>0</v>
      </c>
      <c r="G3043" s="2" t="s">
        <v>1</v>
      </c>
      <c r="H3043" s="2" t="s">
        <v>2</v>
      </c>
      <c r="I3043" s="2" t="s">
        <v>3</v>
      </c>
      <c r="J3043" s="3" t="s">
        <v>4</v>
      </c>
    </row>
    <row r="3044" spans="1:10">
      <c r="A3044" s="1">
        <v>628172</v>
      </c>
      <c r="B3044" s="1">
        <v>4280000583</v>
      </c>
      <c r="C3044" s="1">
        <v>12</v>
      </c>
      <c r="D3044" s="1" t="s">
        <v>358</v>
      </c>
      <c r="E3044" t="s">
        <v>16888</v>
      </c>
      <c r="F3044" s="1">
        <v>11023</v>
      </c>
      <c r="G3044" s="1">
        <v>1960005170</v>
      </c>
      <c r="H3044" s="1">
        <v>8</v>
      </c>
      <c r="I3044" s="1" t="s">
        <v>938</v>
      </c>
      <c r="J3044" t="s">
        <v>16889</v>
      </c>
    </row>
    <row r="3045" spans="1:10">
      <c r="A3045" s="1">
        <v>217554</v>
      </c>
      <c r="B3045" s="1">
        <v>4280000382</v>
      </c>
      <c r="C3045" s="1">
        <v>6</v>
      </c>
      <c r="D3045" s="1" t="s">
        <v>16876</v>
      </c>
      <c r="E3045" t="s">
        <v>16890</v>
      </c>
      <c r="F3045" s="1">
        <v>841197</v>
      </c>
      <c r="G3045" s="1">
        <v>1960005120</v>
      </c>
      <c r="H3045" s="1">
        <v>8</v>
      </c>
      <c r="I3045" s="1" t="s">
        <v>938</v>
      </c>
      <c r="J3045" t="s">
        <v>16891</v>
      </c>
    </row>
    <row r="3046" spans="1:10">
      <c r="A3046" s="1">
        <v>299826</v>
      </c>
      <c r="B3046" s="1">
        <v>4280072818</v>
      </c>
      <c r="C3046" s="1">
        <v>6</v>
      </c>
      <c r="D3046" s="1" t="s">
        <v>16892</v>
      </c>
      <c r="E3046" t="s">
        <v>16893</v>
      </c>
      <c r="F3046" s="1">
        <v>841189</v>
      </c>
      <c r="G3046" s="1">
        <v>1960005090</v>
      </c>
      <c r="H3046" s="1">
        <v>8</v>
      </c>
      <c r="I3046" s="1" t="s">
        <v>938</v>
      </c>
      <c r="J3046" t="s">
        <v>16894</v>
      </c>
    </row>
    <row r="3047" spans="1:10">
      <c r="A3047" s="1">
        <v>627331</v>
      </c>
      <c r="B3047" s="1">
        <v>4280000586</v>
      </c>
      <c r="C3047" s="1">
        <v>12</v>
      </c>
      <c r="D3047" s="1" t="s">
        <v>358</v>
      </c>
      <c r="E3047" t="s">
        <v>16895</v>
      </c>
      <c r="F3047" s="1">
        <v>731869</v>
      </c>
      <c r="G3047" s="1">
        <v>3800027310</v>
      </c>
      <c r="H3047" s="1">
        <v>12</v>
      </c>
      <c r="I3047" s="1" t="s">
        <v>963</v>
      </c>
      <c r="J3047" t="s">
        <v>16896</v>
      </c>
    </row>
    <row r="3048" spans="1:10" ht="15.75">
      <c r="A3048" s="4" t="s">
        <v>16897</v>
      </c>
      <c r="B3048" s="2"/>
      <c r="C3048" s="2"/>
      <c r="D3048" s="2"/>
      <c r="E3048" s="3"/>
      <c r="F3048" s="1">
        <v>677054</v>
      </c>
      <c r="G3048" s="1">
        <v>3800036176</v>
      </c>
      <c r="H3048" s="1">
        <v>12</v>
      </c>
      <c r="I3048" s="1" t="s">
        <v>963</v>
      </c>
      <c r="J3048" t="s">
        <v>16898</v>
      </c>
    </row>
    <row r="3049" spans="1:10">
      <c r="A3049" s="2" t="s">
        <v>0</v>
      </c>
      <c r="B3049" s="2" t="s">
        <v>1</v>
      </c>
      <c r="C3049" s="2" t="s">
        <v>2</v>
      </c>
      <c r="D3049" s="2" t="s">
        <v>3</v>
      </c>
      <c r="E3049" s="3" t="s">
        <v>4</v>
      </c>
      <c r="F3049" s="1">
        <v>565358</v>
      </c>
      <c r="G3049" s="1">
        <v>3800027314</v>
      </c>
      <c r="H3049" s="1">
        <v>12</v>
      </c>
      <c r="I3049" s="1" t="s">
        <v>1670</v>
      </c>
      <c r="J3049" t="s">
        <v>16899</v>
      </c>
    </row>
    <row r="3050" spans="1:10">
      <c r="A3050" s="1">
        <v>623280</v>
      </c>
      <c r="B3050" s="1">
        <v>7729806728</v>
      </c>
      <c r="C3050" s="1">
        <v>12</v>
      </c>
      <c r="D3050" s="1" t="s">
        <v>404</v>
      </c>
      <c r="E3050" t="s">
        <v>16900</v>
      </c>
      <c r="F3050" s="1">
        <v>766501</v>
      </c>
      <c r="G3050" s="1">
        <v>3800037435</v>
      </c>
      <c r="H3050" s="1">
        <v>12</v>
      </c>
      <c r="I3050" s="1" t="s">
        <v>692</v>
      </c>
      <c r="J3050" t="s">
        <v>16901</v>
      </c>
    </row>
    <row r="3051" spans="1:10">
      <c r="A3051" s="1">
        <v>623306</v>
      </c>
      <c r="B3051" s="1">
        <v>7729806718</v>
      </c>
      <c r="C3051" s="1">
        <v>12</v>
      </c>
      <c r="D3051" s="1" t="s">
        <v>404</v>
      </c>
      <c r="E3051" t="s">
        <v>16902</v>
      </c>
      <c r="F3051" s="1">
        <v>610428</v>
      </c>
      <c r="G3051" s="1">
        <v>3800040470</v>
      </c>
      <c r="H3051" s="1">
        <v>12</v>
      </c>
      <c r="I3051" s="1" t="s">
        <v>963</v>
      </c>
      <c r="J3051" t="s">
        <v>16903</v>
      </c>
    </row>
    <row r="3052" spans="1:10" ht="15.75">
      <c r="A3052" s="4" t="s">
        <v>16904</v>
      </c>
      <c r="B3052" s="2"/>
      <c r="C3052" s="2"/>
      <c r="D3052" s="2"/>
      <c r="E3052" s="3"/>
      <c r="F3052" s="1">
        <v>107292</v>
      </c>
      <c r="G3052" s="1">
        <v>3800044053</v>
      </c>
      <c r="H3052" s="1">
        <v>12</v>
      </c>
      <c r="I3052" s="1" t="s">
        <v>1336</v>
      </c>
      <c r="J3052" t="s">
        <v>16905</v>
      </c>
    </row>
    <row r="3053" spans="1:10">
      <c r="A3053" s="2" t="s">
        <v>0</v>
      </c>
      <c r="B3053" s="2" t="s">
        <v>1</v>
      </c>
      <c r="C3053" s="2" t="s">
        <v>2</v>
      </c>
      <c r="D3053" s="2" t="s">
        <v>3</v>
      </c>
      <c r="E3053" s="3" t="s">
        <v>4</v>
      </c>
      <c r="F3053" s="1">
        <v>832766</v>
      </c>
      <c r="G3053" s="1">
        <v>3800036178</v>
      </c>
      <c r="H3053" s="1">
        <v>12</v>
      </c>
      <c r="I3053" s="1" t="s">
        <v>963</v>
      </c>
      <c r="J3053" t="s">
        <v>16906</v>
      </c>
    </row>
    <row r="3054" spans="1:10">
      <c r="A3054" s="1">
        <v>335232</v>
      </c>
      <c r="B3054" s="1">
        <v>83418300705</v>
      </c>
      <c r="C3054" s="1">
        <v>12</v>
      </c>
      <c r="D3054" s="1" t="s">
        <v>4149</v>
      </c>
      <c r="E3054" t="s">
        <v>16907</v>
      </c>
      <c r="F3054" s="1">
        <v>841163</v>
      </c>
      <c r="G3054" s="1">
        <v>3800001739</v>
      </c>
      <c r="H3054" s="1">
        <v>12</v>
      </c>
      <c r="I3054" s="1" t="s">
        <v>925</v>
      </c>
      <c r="J3054" t="s">
        <v>16908</v>
      </c>
    </row>
    <row r="3055" spans="1:10">
      <c r="A3055" s="1">
        <v>615419</v>
      </c>
      <c r="B3055" s="1">
        <v>4593771717</v>
      </c>
      <c r="C3055" s="1">
        <v>12</v>
      </c>
      <c r="D3055" s="1" t="s">
        <v>439</v>
      </c>
      <c r="E3055" t="s">
        <v>16909</v>
      </c>
      <c r="F3055" s="1">
        <v>610634</v>
      </c>
      <c r="G3055" s="1">
        <v>3800040350</v>
      </c>
      <c r="H3055" s="1">
        <v>12</v>
      </c>
      <c r="I3055" s="1" t="s">
        <v>963</v>
      </c>
      <c r="J3055" t="s">
        <v>16910</v>
      </c>
    </row>
    <row r="3056" spans="1:10" ht="15.75">
      <c r="A3056" s="4" t="s">
        <v>16875</v>
      </c>
      <c r="B3056" s="2"/>
      <c r="C3056" s="2"/>
      <c r="D3056" s="2"/>
      <c r="E3056" s="3"/>
      <c r="F3056" s="1">
        <v>610816</v>
      </c>
      <c r="G3056" s="1">
        <v>3800040460</v>
      </c>
      <c r="H3056" s="1">
        <v>12</v>
      </c>
      <c r="I3056" s="1" t="s">
        <v>963</v>
      </c>
      <c r="J3056" t="s">
        <v>16911</v>
      </c>
    </row>
    <row r="3057" spans="1:10">
      <c r="A3057" s="2" t="s">
        <v>0</v>
      </c>
      <c r="B3057" s="2" t="s">
        <v>1</v>
      </c>
      <c r="C3057" s="2" t="s">
        <v>2</v>
      </c>
      <c r="D3057" s="2" t="s">
        <v>3</v>
      </c>
      <c r="E3057" s="3" t="s">
        <v>4</v>
      </c>
      <c r="F3057" s="1">
        <v>610493</v>
      </c>
      <c r="G3057" s="1">
        <v>3800040320</v>
      </c>
      <c r="H3057" s="1">
        <v>12</v>
      </c>
      <c r="I3057" s="1" t="s">
        <v>963</v>
      </c>
      <c r="J3057" t="s">
        <v>16912</v>
      </c>
    </row>
    <row r="3058" spans="1:10">
      <c r="A3058" s="1">
        <v>581678</v>
      </c>
      <c r="B3058" s="1">
        <v>1960005470</v>
      </c>
      <c r="C3058" s="1">
        <v>12</v>
      </c>
      <c r="D3058" s="1" t="s">
        <v>16913</v>
      </c>
      <c r="E3058" t="s">
        <v>16914</v>
      </c>
      <c r="F3058" s="1">
        <v>611921</v>
      </c>
      <c r="G3058" s="1">
        <v>3800040330</v>
      </c>
      <c r="H3058" s="1">
        <v>12</v>
      </c>
      <c r="I3058" s="1" t="s">
        <v>4512</v>
      </c>
      <c r="J3058" t="s">
        <v>16912</v>
      </c>
    </row>
    <row r="3059" spans="1:10">
      <c r="A3059" s="1">
        <v>202713</v>
      </c>
      <c r="B3059" s="1">
        <v>1960005890</v>
      </c>
      <c r="C3059" s="1">
        <v>12</v>
      </c>
      <c r="D3059" s="1" t="s">
        <v>742</v>
      </c>
      <c r="E3059" t="s">
        <v>16915</v>
      </c>
      <c r="F3059" s="1">
        <v>610386</v>
      </c>
      <c r="G3059" s="1">
        <v>3800040290</v>
      </c>
      <c r="H3059" s="1">
        <v>12</v>
      </c>
      <c r="I3059" s="1" t="s">
        <v>963</v>
      </c>
      <c r="J3059" t="s">
        <v>16916</v>
      </c>
    </row>
    <row r="3060" spans="1:10">
      <c r="A3060" s="1">
        <v>741595</v>
      </c>
      <c r="B3060" s="1">
        <v>1960005770</v>
      </c>
      <c r="C3060" s="1">
        <v>12</v>
      </c>
      <c r="D3060" s="1" t="s">
        <v>742</v>
      </c>
      <c r="E3060" t="s">
        <v>16917</v>
      </c>
      <c r="F3060" s="1">
        <v>611939</v>
      </c>
      <c r="G3060" s="1">
        <v>3800040300</v>
      </c>
      <c r="H3060" s="1">
        <v>12</v>
      </c>
      <c r="I3060" s="1" t="s">
        <v>4512</v>
      </c>
      <c r="J3060" t="s">
        <v>16916</v>
      </c>
    </row>
    <row r="3061" spans="1:10">
      <c r="A3061" s="1">
        <v>615666</v>
      </c>
      <c r="B3061" s="1">
        <v>1960005820</v>
      </c>
      <c r="C3061" s="1">
        <v>12</v>
      </c>
      <c r="D3061" s="1" t="s">
        <v>1257</v>
      </c>
      <c r="E3061" t="s">
        <v>16918</v>
      </c>
      <c r="F3061" s="1">
        <v>610352</v>
      </c>
      <c r="G3061" s="1">
        <v>3800040310</v>
      </c>
      <c r="H3061" s="1">
        <v>8</v>
      </c>
      <c r="I3061" s="1" t="s">
        <v>16919</v>
      </c>
      <c r="J3061" t="s">
        <v>16916</v>
      </c>
    </row>
    <row r="3062" spans="1:10">
      <c r="A3062" s="1">
        <v>618983</v>
      </c>
      <c r="B3062" s="1">
        <v>1960005480</v>
      </c>
      <c r="C3062" s="1">
        <v>12</v>
      </c>
      <c r="D3062" s="1" t="s">
        <v>1409</v>
      </c>
      <c r="E3062" t="s">
        <v>16920</v>
      </c>
      <c r="F3062" s="1">
        <v>610741</v>
      </c>
      <c r="G3062" s="1">
        <v>3800040500</v>
      </c>
      <c r="H3062" s="1">
        <v>12</v>
      </c>
      <c r="I3062" s="1" t="s">
        <v>963</v>
      </c>
      <c r="J3062" t="s">
        <v>16921</v>
      </c>
    </row>
    <row r="3063" spans="1:10">
      <c r="A3063" s="1">
        <v>616144</v>
      </c>
      <c r="B3063" s="1">
        <v>1960005910</v>
      </c>
      <c r="C3063" s="1">
        <v>12</v>
      </c>
      <c r="D3063" s="1" t="s">
        <v>1257</v>
      </c>
      <c r="E3063" t="s">
        <v>16922</v>
      </c>
      <c r="F3063" s="1">
        <v>335984</v>
      </c>
      <c r="G3063" s="1">
        <v>3800025034</v>
      </c>
      <c r="H3063" s="1">
        <v>12</v>
      </c>
      <c r="I3063" s="1" t="s">
        <v>925</v>
      </c>
      <c r="J3063" t="s">
        <v>16923</v>
      </c>
    </row>
    <row r="3064" spans="1:10">
      <c r="A3064" s="1">
        <v>614503</v>
      </c>
      <c r="B3064" s="1">
        <v>1960005100</v>
      </c>
      <c r="C3064" s="1">
        <v>12</v>
      </c>
      <c r="D3064" s="1" t="s">
        <v>1257</v>
      </c>
      <c r="E3064" t="s">
        <v>16924</v>
      </c>
      <c r="F3064" s="1">
        <v>610956</v>
      </c>
      <c r="G3064" s="1">
        <v>3800040440</v>
      </c>
      <c r="H3064" s="1">
        <v>12</v>
      </c>
      <c r="I3064" s="1" t="s">
        <v>1303</v>
      </c>
      <c r="J3064" t="s">
        <v>16925</v>
      </c>
    </row>
    <row r="3065" spans="1:10">
      <c r="A3065" s="1">
        <v>430736</v>
      </c>
      <c r="B3065" s="1">
        <v>1960005968</v>
      </c>
      <c r="C3065" s="1">
        <v>12</v>
      </c>
      <c r="D3065" s="1" t="s">
        <v>742</v>
      </c>
      <c r="E3065" t="s">
        <v>16926</v>
      </c>
      <c r="F3065" s="1">
        <v>611236</v>
      </c>
      <c r="G3065" s="1">
        <v>3800040450</v>
      </c>
      <c r="H3065" s="1">
        <v>12</v>
      </c>
      <c r="I3065" s="1" t="s">
        <v>778</v>
      </c>
      <c r="J3065" t="s">
        <v>16925</v>
      </c>
    </row>
    <row r="3066" spans="1:10">
      <c r="A3066" s="1">
        <v>783183</v>
      </c>
      <c r="B3066" s="1">
        <v>3800034895</v>
      </c>
      <c r="C3066" s="1">
        <v>8</v>
      </c>
      <c r="D3066" s="1" t="s">
        <v>1305</v>
      </c>
      <c r="E3066" t="s">
        <v>16927</v>
      </c>
      <c r="F3066" s="1">
        <v>610261</v>
      </c>
      <c r="G3066" s="1">
        <v>3800040260</v>
      </c>
      <c r="H3066" s="1">
        <v>20</v>
      </c>
      <c r="I3066" s="1" t="s">
        <v>963</v>
      </c>
      <c r="J3066" t="s">
        <v>16928</v>
      </c>
    </row>
    <row r="3067" spans="1:10">
      <c r="A3067" s="1">
        <v>149633</v>
      </c>
      <c r="B3067" s="1">
        <v>3800039673</v>
      </c>
      <c r="C3067" s="1">
        <v>8</v>
      </c>
      <c r="D3067" s="1" t="s">
        <v>16913</v>
      </c>
      <c r="E3067" t="s">
        <v>16929</v>
      </c>
      <c r="F3067" s="1">
        <v>610998</v>
      </c>
      <c r="G3067" s="1">
        <v>3800040270</v>
      </c>
      <c r="H3067" s="1">
        <v>12</v>
      </c>
      <c r="I3067" s="1" t="s">
        <v>4512</v>
      </c>
      <c r="J3067" t="s">
        <v>16928</v>
      </c>
    </row>
    <row r="3068" spans="1:10">
      <c r="A3068" s="1">
        <v>458026</v>
      </c>
      <c r="B3068" s="1">
        <v>3800026066</v>
      </c>
      <c r="C3068" s="1">
        <v>8</v>
      </c>
      <c r="D3068" s="1" t="s">
        <v>1311</v>
      </c>
      <c r="E3068" t="s">
        <v>16930</v>
      </c>
      <c r="F3068" s="1">
        <v>610683</v>
      </c>
      <c r="G3068" s="1">
        <v>3800040280</v>
      </c>
      <c r="H3068" s="1">
        <v>8</v>
      </c>
      <c r="I3068" s="1" t="s">
        <v>16919</v>
      </c>
      <c r="J3068" t="s">
        <v>16928</v>
      </c>
    </row>
    <row r="3069" spans="1:10">
      <c r="A3069" s="1">
        <v>479055</v>
      </c>
      <c r="B3069" s="1">
        <v>3800026064</v>
      </c>
      <c r="C3069" s="1">
        <v>8</v>
      </c>
      <c r="D3069" s="1" t="s">
        <v>1305</v>
      </c>
      <c r="E3069" t="s">
        <v>16931</v>
      </c>
      <c r="F3069" s="1">
        <v>611046</v>
      </c>
      <c r="G3069" s="1">
        <v>3800040430</v>
      </c>
      <c r="H3069" s="1">
        <v>12</v>
      </c>
      <c r="I3069" s="1" t="s">
        <v>6306</v>
      </c>
      <c r="J3069" t="s">
        <v>16932</v>
      </c>
    </row>
    <row r="3070" spans="1:10">
      <c r="A3070" s="1">
        <v>615393</v>
      </c>
      <c r="B3070" s="1">
        <v>3800067300</v>
      </c>
      <c r="C3070" s="1">
        <v>12</v>
      </c>
      <c r="D3070" s="1" t="s">
        <v>1519</v>
      </c>
      <c r="E3070" t="s">
        <v>16933</v>
      </c>
      <c r="F3070" s="1">
        <v>615633</v>
      </c>
      <c r="G3070" s="1">
        <v>3800001714</v>
      </c>
      <c r="H3070" s="1">
        <v>12</v>
      </c>
      <c r="I3070" s="1" t="s">
        <v>1227</v>
      </c>
      <c r="J3070" t="s">
        <v>16934</v>
      </c>
    </row>
    <row r="3071" spans="1:10">
      <c r="A3071" s="1">
        <v>626572</v>
      </c>
      <c r="B3071" s="1">
        <v>4132237710</v>
      </c>
      <c r="C3071" s="1">
        <v>12</v>
      </c>
      <c r="D3071" s="1" t="s">
        <v>938</v>
      </c>
      <c r="E3071" t="s">
        <v>16935</v>
      </c>
      <c r="F3071" s="1">
        <v>610451</v>
      </c>
      <c r="G3071" s="1">
        <v>3800040370</v>
      </c>
      <c r="H3071" s="1">
        <v>12</v>
      </c>
      <c r="I3071" s="1" t="s">
        <v>963</v>
      </c>
      <c r="J3071" t="s">
        <v>16936</v>
      </c>
    </row>
    <row r="3072" spans="1:10">
      <c r="A3072" s="1">
        <v>616805</v>
      </c>
      <c r="B3072" s="1">
        <v>4132237712</v>
      </c>
      <c r="C3072" s="1">
        <v>12</v>
      </c>
      <c r="D3072" s="1" t="s">
        <v>938</v>
      </c>
      <c r="E3072" t="s">
        <v>16937</v>
      </c>
      <c r="F3072" s="1">
        <v>610808</v>
      </c>
      <c r="G3072" s="1">
        <v>3800040340</v>
      </c>
      <c r="H3072" s="1">
        <v>12</v>
      </c>
      <c r="I3072" s="1" t="s">
        <v>963</v>
      </c>
      <c r="J3072" t="s">
        <v>16938</v>
      </c>
    </row>
    <row r="3073" spans="1:10">
      <c r="A3073" s="1">
        <v>610113</v>
      </c>
      <c r="B3073" s="1">
        <v>3800005199</v>
      </c>
      <c r="C3073" s="1">
        <v>12</v>
      </c>
      <c r="D3073" s="1" t="s">
        <v>1265</v>
      </c>
      <c r="E3073" t="s">
        <v>16939</v>
      </c>
      <c r="F3073" s="1">
        <v>612291</v>
      </c>
      <c r="G3073" s="1">
        <v>3800040240</v>
      </c>
      <c r="H3073" s="1">
        <v>1</v>
      </c>
      <c r="I3073" s="1" t="s">
        <v>16940</v>
      </c>
      <c r="J3073" t="s">
        <v>16941</v>
      </c>
    </row>
    <row r="3074" spans="1:10">
      <c r="A3074" s="1">
        <v>610170</v>
      </c>
      <c r="B3074" s="1">
        <v>3800005198</v>
      </c>
      <c r="C3074" s="1">
        <v>12</v>
      </c>
      <c r="D3074" s="1" t="s">
        <v>1265</v>
      </c>
      <c r="E3074" t="s">
        <v>16942</v>
      </c>
      <c r="F3074" s="1">
        <v>193433</v>
      </c>
      <c r="G3074" s="1">
        <v>1862737380</v>
      </c>
      <c r="H3074" s="1">
        <v>12</v>
      </c>
      <c r="I3074" s="1" t="s">
        <v>546</v>
      </c>
      <c r="J3074" t="s">
        <v>16943</v>
      </c>
    </row>
    <row r="3075" spans="1:10">
      <c r="A3075" s="1">
        <v>291369</v>
      </c>
      <c r="B3075" s="1">
        <v>3800032683</v>
      </c>
      <c r="C3075" s="1">
        <v>12</v>
      </c>
      <c r="D3075" s="1" t="s">
        <v>16944</v>
      </c>
      <c r="E3075" t="s">
        <v>16945</v>
      </c>
      <c r="F3075" s="1">
        <v>617779</v>
      </c>
      <c r="G3075" s="1">
        <v>1862776100</v>
      </c>
      <c r="H3075" s="1">
        <v>12</v>
      </c>
      <c r="I3075" s="1" t="s">
        <v>546</v>
      </c>
      <c r="J3075" t="s">
        <v>16946</v>
      </c>
    </row>
    <row r="3076" spans="1:10">
      <c r="A3076" s="1">
        <v>618504</v>
      </c>
      <c r="B3076" s="1">
        <v>1800063870</v>
      </c>
      <c r="C3076" s="1">
        <v>1</v>
      </c>
      <c r="D3076" s="1" t="s">
        <v>16947</v>
      </c>
      <c r="E3076" t="s">
        <v>16948</v>
      </c>
      <c r="F3076" s="1">
        <v>617662</v>
      </c>
      <c r="G3076" s="1">
        <v>1862776000</v>
      </c>
      <c r="H3076" s="1">
        <v>12</v>
      </c>
      <c r="I3076" s="1" t="s">
        <v>546</v>
      </c>
      <c r="J3076" t="s">
        <v>16949</v>
      </c>
    </row>
    <row r="3077" spans="1:10" ht="15.75">
      <c r="A3077" s="4" t="s">
        <v>16886</v>
      </c>
      <c r="B3077" s="2"/>
      <c r="C3077" s="2"/>
      <c r="D3077" s="2"/>
      <c r="E3077" s="3"/>
      <c r="F3077" s="4" t="s">
        <v>16950</v>
      </c>
      <c r="G3077" s="2"/>
      <c r="H3077" s="2"/>
      <c r="I3077" s="2"/>
      <c r="J3077" s="3"/>
    </row>
    <row r="3078" spans="1:10">
      <c r="A3078" s="2" t="s">
        <v>0</v>
      </c>
      <c r="B3078" s="2" t="s">
        <v>1</v>
      </c>
      <c r="C3078" s="2" t="s">
        <v>2</v>
      </c>
      <c r="D3078" s="2" t="s">
        <v>3</v>
      </c>
      <c r="E3078" s="3" t="s">
        <v>4</v>
      </c>
      <c r="F3078" s="2" t="s">
        <v>0</v>
      </c>
      <c r="G3078" s="2" t="s">
        <v>1</v>
      </c>
      <c r="H3078" s="2" t="s">
        <v>2</v>
      </c>
      <c r="I3078" s="2" t="s">
        <v>3</v>
      </c>
      <c r="J3078" s="3" t="s">
        <v>4</v>
      </c>
    </row>
    <row r="3079" spans="1:10">
      <c r="A3079" s="1">
        <v>840645</v>
      </c>
      <c r="B3079" s="1">
        <v>1862751200</v>
      </c>
      <c r="C3079" s="1">
        <v>12</v>
      </c>
      <c r="D3079" s="1" t="s">
        <v>16951</v>
      </c>
      <c r="E3079" t="s">
        <v>16952</v>
      </c>
      <c r="F3079" s="1">
        <v>256768</v>
      </c>
      <c r="G3079" s="1">
        <v>7790035448</v>
      </c>
      <c r="H3079" s="1">
        <v>10</v>
      </c>
      <c r="I3079" s="1" t="s">
        <v>773</v>
      </c>
      <c r="J3079" t="s">
        <v>16953</v>
      </c>
    </row>
    <row r="3080" spans="1:10">
      <c r="A3080" s="1">
        <v>423087</v>
      </c>
      <c r="B3080" s="1">
        <v>3800032924</v>
      </c>
      <c r="C3080" s="1">
        <v>12</v>
      </c>
      <c r="D3080" s="1" t="s">
        <v>621</v>
      </c>
      <c r="E3080" t="s">
        <v>16954</v>
      </c>
      <c r="F3080" s="1">
        <v>891903</v>
      </c>
      <c r="G3080" s="1">
        <v>7790033504</v>
      </c>
      <c r="H3080" s="1">
        <v>10</v>
      </c>
      <c r="I3080" s="1" t="s">
        <v>1584</v>
      </c>
      <c r="J3080" t="s">
        <v>16955</v>
      </c>
    </row>
    <row r="3081" spans="1:10">
      <c r="A3081" s="1">
        <v>762187</v>
      </c>
      <c r="B3081" s="1">
        <v>3800029461</v>
      </c>
      <c r="C3081" s="1">
        <v>12</v>
      </c>
      <c r="D3081" s="1" t="s">
        <v>2326</v>
      </c>
      <c r="E3081" t="s">
        <v>16956</v>
      </c>
      <c r="F3081" s="1">
        <v>430181</v>
      </c>
      <c r="G3081" s="1">
        <v>7790035449</v>
      </c>
      <c r="H3081" s="1">
        <v>10</v>
      </c>
      <c r="I3081" s="1" t="s">
        <v>399</v>
      </c>
      <c r="J3081" t="s">
        <v>16957</v>
      </c>
    </row>
    <row r="3082" spans="1:10">
      <c r="A3082" s="1">
        <v>616078</v>
      </c>
      <c r="B3082" s="1">
        <v>1116661607</v>
      </c>
      <c r="C3082" s="1">
        <v>12</v>
      </c>
      <c r="D3082" s="1" t="s">
        <v>1495</v>
      </c>
      <c r="E3082" t="s">
        <v>16958</v>
      </c>
      <c r="F3082" s="1">
        <v>404566</v>
      </c>
      <c r="G3082" s="1">
        <v>7790035446</v>
      </c>
      <c r="H3082" s="1">
        <v>10</v>
      </c>
      <c r="I3082" s="1" t="s">
        <v>16959</v>
      </c>
      <c r="J3082" t="s">
        <v>16960</v>
      </c>
    </row>
    <row r="3083" spans="1:10">
      <c r="A3083" s="1">
        <v>615914</v>
      </c>
      <c r="B3083" s="1">
        <v>1116661591</v>
      </c>
      <c r="C3083" s="1">
        <v>12</v>
      </c>
      <c r="D3083" s="1" t="s">
        <v>1495</v>
      </c>
      <c r="E3083" t="s">
        <v>16961</v>
      </c>
      <c r="F3083" s="1">
        <v>251553</v>
      </c>
      <c r="G3083" s="1">
        <v>7790047133</v>
      </c>
      <c r="H3083" s="1">
        <v>8</v>
      </c>
      <c r="I3083" s="1" t="s">
        <v>360</v>
      </c>
      <c r="J3083" t="s">
        <v>16962</v>
      </c>
    </row>
    <row r="3084" spans="1:10">
      <c r="A3084" s="1">
        <v>615864</v>
      </c>
      <c r="B3084" s="1">
        <v>1116661586</v>
      </c>
      <c r="C3084" s="1">
        <v>12</v>
      </c>
      <c r="D3084" s="1" t="s">
        <v>1198</v>
      </c>
      <c r="E3084" t="s">
        <v>16963</v>
      </c>
      <c r="F3084" s="1">
        <v>731943</v>
      </c>
      <c r="G3084" s="1">
        <v>7790032088</v>
      </c>
      <c r="H3084" s="1">
        <v>8</v>
      </c>
      <c r="I3084" s="1" t="s">
        <v>630</v>
      </c>
      <c r="J3084" t="s">
        <v>16964</v>
      </c>
    </row>
    <row r="3085" spans="1:10">
      <c r="A3085" s="1">
        <v>614115</v>
      </c>
      <c r="B3085" s="1">
        <v>1116661411</v>
      </c>
      <c r="C3085" s="1">
        <v>12</v>
      </c>
      <c r="D3085" s="1" t="s">
        <v>1495</v>
      </c>
      <c r="E3085" t="s">
        <v>16965</v>
      </c>
      <c r="F3085" s="1">
        <v>626671</v>
      </c>
      <c r="G3085" s="1">
        <v>7790050239</v>
      </c>
      <c r="H3085" s="1">
        <v>6</v>
      </c>
      <c r="I3085" s="1" t="s">
        <v>381</v>
      </c>
      <c r="J3085" t="s">
        <v>16966</v>
      </c>
    </row>
    <row r="3086" spans="1:10">
      <c r="A3086" s="1">
        <v>629444</v>
      </c>
      <c r="B3086" s="1">
        <v>1116662944</v>
      </c>
      <c r="C3086" s="1">
        <v>12</v>
      </c>
      <c r="D3086" s="1" t="s">
        <v>1198</v>
      </c>
      <c r="E3086" t="s">
        <v>16967</v>
      </c>
      <c r="F3086" s="1">
        <v>633495</v>
      </c>
      <c r="G3086" s="1">
        <v>7790047132</v>
      </c>
      <c r="H3086" s="1">
        <v>8</v>
      </c>
      <c r="I3086" s="1" t="s">
        <v>399</v>
      </c>
      <c r="J3086" t="s">
        <v>16968</v>
      </c>
    </row>
    <row r="3087" spans="1:10">
      <c r="A3087" s="1">
        <v>486191</v>
      </c>
      <c r="B3087" s="1">
        <v>1116601245</v>
      </c>
      <c r="C3087" s="1">
        <v>12</v>
      </c>
      <c r="D3087" s="1" t="s">
        <v>1495</v>
      </c>
      <c r="E3087" t="s">
        <v>16969</v>
      </c>
      <c r="F3087" s="1">
        <v>373415</v>
      </c>
      <c r="G3087" s="1">
        <v>7790047131</v>
      </c>
      <c r="H3087" s="1">
        <v>8</v>
      </c>
      <c r="I3087" s="1" t="s">
        <v>399</v>
      </c>
      <c r="J3087" t="s">
        <v>16970</v>
      </c>
    </row>
    <row r="3088" spans="1:10" ht="15.75">
      <c r="A3088" s="4" t="s">
        <v>16950</v>
      </c>
      <c r="B3088" s="2"/>
      <c r="C3088" s="2"/>
      <c r="D3088" s="2"/>
      <c r="E3088" s="3"/>
      <c r="F3088" s="1">
        <v>736108</v>
      </c>
      <c r="G3088" s="1">
        <v>7790047130</v>
      </c>
      <c r="H3088" s="1">
        <v>8</v>
      </c>
      <c r="I3088" s="1" t="s">
        <v>16585</v>
      </c>
      <c r="J3088" t="s">
        <v>16971</v>
      </c>
    </row>
    <row r="3089" spans="1:10">
      <c r="A3089" s="2" t="s">
        <v>0</v>
      </c>
      <c r="B3089" s="2" t="s">
        <v>1</v>
      </c>
      <c r="C3089" s="2" t="s">
        <v>2</v>
      </c>
      <c r="D3089" s="2" t="s">
        <v>3</v>
      </c>
      <c r="E3089" s="3" t="s">
        <v>4</v>
      </c>
      <c r="F3089" s="1">
        <v>840728</v>
      </c>
      <c r="G3089" s="1">
        <v>7790032086</v>
      </c>
      <c r="H3089" s="1">
        <v>8</v>
      </c>
      <c r="I3089" s="1" t="s">
        <v>630</v>
      </c>
      <c r="J3089" t="s">
        <v>16972</v>
      </c>
    </row>
    <row r="3090" spans="1:10">
      <c r="A3090" s="1">
        <v>841213</v>
      </c>
      <c r="B3090" s="1">
        <v>1960005962</v>
      </c>
      <c r="C3090" s="1">
        <v>8</v>
      </c>
      <c r="D3090" s="1" t="s">
        <v>4483</v>
      </c>
      <c r="E3090" t="s">
        <v>16973</v>
      </c>
      <c r="F3090" s="1">
        <v>291823</v>
      </c>
      <c r="G3090" s="1">
        <v>7790047140</v>
      </c>
      <c r="H3090" s="1">
        <v>8</v>
      </c>
      <c r="I3090" s="1" t="s">
        <v>399</v>
      </c>
      <c r="J3090" t="s">
        <v>16974</v>
      </c>
    </row>
    <row r="3091" spans="1:10">
      <c r="A3091" s="1">
        <v>841239</v>
      </c>
      <c r="B3091" s="1">
        <v>1960005963</v>
      </c>
      <c r="C3091" s="1">
        <v>8</v>
      </c>
      <c r="D3091" s="1" t="s">
        <v>4483</v>
      </c>
      <c r="E3091" t="s">
        <v>16975</v>
      </c>
      <c r="F3091" s="1">
        <v>731950</v>
      </c>
      <c r="G3091" s="1">
        <v>7790033496</v>
      </c>
      <c r="H3091" s="1">
        <v>8</v>
      </c>
      <c r="I3091" s="1" t="s">
        <v>971</v>
      </c>
      <c r="J3091" t="s">
        <v>16976</v>
      </c>
    </row>
    <row r="3092" spans="1:10">
      <c r="A3092" s="1">
        <v>841205</v>
      </c>
      <c r="B3092" s="1">
        <v>1960005965</v>
      </c>
      <c r="C3092" s="1">
        <v>8</v>
      </c>
      <c r="D3092" s="1" t="s">
        <v>4602</v>
      </c>
      <c r="E3092" t="s">
        <v>16977</v>
      </c>
      <c r="F3092" s="1">
        <v>714204</v>
      </c>
      <c r="G3092" s="1">
        <v>7790033502</v>
      </c>
      <c r="H3092" s="1">
        <v>12</v>
      </c>
      <c r="I3092" s="1" t="s">
        <v>8974</v>
      </c>
      <c r="J3092" t="s">
        <v>16978</v>
      </c>
    </row>
    <row r="3093" spans="1:10">
      <c r="A3093" s="1">
        <v>805127</v>
      </c>
      <c r="B3093" s="1">
        <v>1960005983</v>
      </c>
      <c r="C3093" s="1">
        <v>8</v>
      </c>
      <c r="D3093" s="1" t="s">
        <v>16979</v>
      </c>
      <c r="E3093" t="s">
        <v>16980</v>
      </c>
      <c r="F3093" s="1">
        <v>169201</v>
      </c>
      <c r="G3093" s="1">
        <v>7790033503</v>
      </c>
      <c r="H3093" s="1">
        <v>12</v>
      </c>
      <c r="I3093" s="1" t="s">
        <v>8974</v>
      </c>
      <c r="J3093" t="s">
        <v>16981</v>
      </c>
    </row>
    <row r="3094" spans="1:10">
      <c r="A3094" s="1">
        <v>858886</v>
      </c>
      <c r="B3094" s="1">
        <v>1960005960</v>
      </c>
      <c r="C3094" s="1">
        <v>8</v>
      </c>
      <c r="D3094" s="1" t="s">
        <v>6306</v>
      </c>
      <c r="E3094" t="s">
        <v>16982</v>
      </c>
      <c r="F3094" s="1">
        <v>170886</v>
      </c>
      <c r="G3094" s="1">
        <v>7790034808</v>
      </c>
      <c r="H3094" s="1">
        <v>6</v>
      </c>
      <c r="I3094" s="1" t="s">
        <v>632</v>
      </c>
      <c r="J3094" t="s">
        <v>16983</v>
      </c>
    </row>
    <row r="3095" spans="1:10">
      <c r="A3095" s="1">
        <v>841221</v>
      </c>
      <c r="B3095" s="1">
        <v>1960005966</v>
      </c>
      <c r="C3095" s="1">
        <v>8</v>
      </c>
      <c r="D3095" s="1" t="s">
        <v>524</v>
      </c>
      <c r="E3095" t="s">
        <v>16984</v>
      </c>
      <c r="F3095" s="1">
        <v>269811</v>
      </c>
      <c r="G3095" s="1">
        <v>7790035450</v>
      </c>
      <c r="H3095" s="1">
        <v>10</v>
      </c>
      <c r="I3095" s="1" t="s">
        <v>399</v>
      </c>
      <c r="J3095" t="s">
        <v>16985</v>
      </c>
    </row>
    <row r="3096" spans="1:10">
      <c r="A3096" s="1">
        <v>614941</v>
      </c>
      <c r="B3096" s="1">
        <v>5100006390</v>
      </c>
      <c r="C3096" s="1">
        <v>12</v>
      </c>
      <c r="D3096" s="1" t="s">
        <v>663</v>
      </c>
      <c r="E3096" t="s">
        <v>16986</v>
      </c>
      <c r="F3096" s="1">
        <v>395277</v>
      </c>
      <c r="G3096" s="1">
        <v>7790049172</v>
      </c>
      <c r="H3096" s="1">
        <v>6</v>
      </c>
      <c r="I3096" s="1" t="s">
        <v>632</v>
      </c>
      <c r="J3096" t="s">
        <v>16987</v>
      </c>
    </row>
    <row r="3097" spans="1:10">
      <c r="A3097" s="1">
        <v>616821</v>
      </c>
      <c r="B3097" s="1">
        <v>5100006379</v>
      </c>
      <c r="C3097" s="1">
        <v>12</v>
      </c>
      <c r="D3097" s="1" t="s">
        <v>2214</v>
      </c>
      <c r="E3097" t="s">
        <v>16988</v>
      </c>
      <c r="F3097" s="1">
        <v>236604</v>
      </c>
      <c r="G3097" s="1">
        <v>7790049162</v>
      </c>
      <c r="H3097" s="1">
        <v>6</v>
      </c>
      <c r="I3097" s="1" t="s">
        <v>632</v>
      </c>
      <c r="J3097" t="s">
        <v>16989</v>
      </c>
    </row>
    <row r="3098" spans="1:10">
      <c r="A3098" s="1">
        <v>615005</v>
      </c>
      <c r="B3098" s="1">
        <v>5100006391</v>
      </c>
      <c r="C3098" s="1">
        <v>12</v>
      </c>
      <c r="D3098" s="1" t="s">
        <v>781</v>
      </c>
      <c r="E3098" t="s">
        <v>16990</v>
      </c>
      <c r="F3098" s="1">
        <v>236596</v>
      </c>
      <c r="G3098" s="1">
        <v>7790049160</v>
      </c>
      <c r="H3098" s="1">
        <v>6</v>
      </c>
      <c r="I3098" s="1" t="s">
        <v>632</v>
      </c>
      <c r="J3098" t="s">
        <v>16991</v>
      </c>
    </row>
    <row r="3099" spans="1:10">
      <c r="A3099" s="1">
        <v>614776</v>
      </c>
      <c r="B3099" s="1">
        <v>65827620019</v>
      </c>
      <c r="C3099" s="1">
        <v>12</v>
      </c>
      <c r="D3099" s="1" t="s">
        <v>352</v>
      </c>
      <c r="E3099" t="s">
        <v>16992</v>
      </c>
      <c r="F3099" s="1">
        <v>56028</v>
      </c>
      <c r="G3099" s="1">
        <v>7790049173</v>
      </c>
      <c r="H3099" s="1">
        <v>6</v>
      </c>
      <c r="I3099" s="1" t="s">
        <v>632</v>
      </c>
      <c r="J3099" t="s">
        <v>16993</v>
      </c>
    </row>
    <row r="3100" spans="1:10">
      <c r="A3100" s="1">
        <v>851592</v>
      </c>
      <c r="B3100" s="1">
        <v>1960005981</v>
      </c>
      <c r="C3100" s="1">
        <v>12</v>
      </c>
      <c r="D3100" s="1" t="s">
        <v>527</v>
      </c>
      <c r="E3100" t="s">
        <v>16994</v>
      </c>
      <c r="F3100" s="1">
        <v>463919</v>
      </c>
      <c r="G3100" s="1">
        <v>7790050308</v>
      </c>
      <c r="H3100" s="1">
        <v>3</v>
      </c>
      <c r="I3100" s="1" t="s">
        <v>1366</v>
      </c>
      <c r="J3100" t="s">
        <v>16995</v>
      </c>
    </row>
    <row r="3101" spans="1:10">
      <c r="A3101" s="1">
        <v>614982</v>
      </c>
      <c r="B3101" s="1">
        <v>5100006392</v>
      </c>
      <c r="C3101" s="1">
        <v>12</v>
      </c>
      <c r="D3101" s="1" t="s">
        <v>404</v>
      </c>
      <c r="E3101" t="s">
        <v>16996</v>
      </c>
      <c r="F3101" s="1">
        <v>601674</v>
      </c>
      <c r="G3101" s="1">
        <v>7790050311</v>
      </c>
      <c r="H3101" s="1">
        <v>3</v>
      </c>
      <c r="I3101" s="1" t="s">
        <v>1366</v>
      </c>
      <c r="J3101" t="s">
        <v>16997</v>
      </c>
    </row>
    <row r="3102" spans="1:10">
      <c r="A3102" s="1">
        <v>749911</v>
      </c>
      <c r="B3102" s="1">
        <v>1960005964</v>
      </c>
      <c r="C3102" s="1">
        <v>12</v>
      </c>
      <c r="D3102" s="1" t="s">
        <v>527</v>
      </c>
      <c r="E3102" t="s">
        <v>16998</v>
      </c>
      <c r="F3102" s="1">
        <v>840546</v>
      </c>
      <c r="G3102" s="1">
        <v>7790032089</v>
      </c>
      <c r="H3102" s="1">
        <v>8</v>
      </c>
      <c r="I3102" s="1" t="s">
        <v>630</v>
      </c>
      <c r="J3102" t="s">
        <v>16999</v>
      </c>
    </row>
    <row r="3103" spans="1:10">
      <c r="A3103" s="1">
        <v>406876</v>
      </c>
      <c r="B3103" s="1">
        <v>3800034899</v>
      </c>
      <c r="C3103" s="1">
        <v>12</v>
      </c>
      <c r="D3103" s="1" t="s">
        <v>1195</v>
      </c>
      <c r="E3103" t="s">
        <v>17000</v>
      </c>
      <c r="F3103" s="1">
        <v>840744</v>
      </c>
      <c r="G3103" s="1">
        <v>7790032090</v>
      </c>
      <c r="H3103" s="1">
        <v>8</v>
      </c>
      <c r="I3103" s="1" t="s">
        <v>630</v>
      </c>
      <c r="J3103" t="s">
        <v>17001</v>
      </c>
    </row>
    <row r="3104" spans="1:10">
      <c r="A3104" s="1">
        <v>446401</v>
      </c>
      <c r="B3104" s="1">
        <v>3800034897</v>
      </c>
      <c r="C3104" s="1">
        <v>12</v>
      </c>
      <c r="D3104" s="1" t="s">
        <v>1195</v>
      </c>
      <c r="E3104" t="s">
        <v>17002</v>
      </c>
      <c r="F3104" s="1">
        <v>562637</v>
      </c>
      <c r="G3104" s="1">
        <v>2100001625</v>
      </c>
      <c r="H3104" s="1">
        <v>12</v>
      </c>
      <c r="I3104" s="1" t="s">
        <v>489</v>
      </c>
      <c r="J3104" t="s">
        <v>17003</v>
      </c>
    </row>
    <row r="3105" spans="1:10">
      <c r="A3105" s="1">
        <v>606590</v>
      </c>
      <c r="B3105" s="1">
        <v>4369506200</v>
      </c>
      <c r="C3105" s="1">
        <v>8</v>
      </c>
      <c r="D3105" s="1" t="s">
        <v>546</v>
      </c>
      <c r="E3105" t="s">
        <v>17004</v>
      </c>
      <c r="F3105" s="1">
        <v>161455</v>
      </c>
      <c r="G3105" s="1">
        <v>2100001626</v>
      </c>
      <c r="H3105" s="1">
        <v>12</v>
      </c>
      <c r="I3105" s="1" t="s">
        <v>489</v>
      </c>
      <c r="J3105" t="s">
        <v>17005</v>
      </c>
    </row>
    <row r="3106" spans="1:10">
      <c r="A3106" s="1">
        <v>606475</v>
      </c>
      <c r="B3106" s="1">
        <v>4369506202</v>
      </c>
      <c r="C3106" s="1">
        <v>8</v>
      </c>
      <c r="D3106" s="1" t="s">
        <v>546</v>
      </c>
      <c r="E3106" t="s">
        <v>17006</v>
      </c>
      <c r="F3106" s="1">
        <v>459214</v>
      </c>
      <c r="G3106" s="1">
        <v>2100030265</v>
      </c>
      <c r="H3106" s="1">
        <v>12</v>
      </c>
      <c r="I3106" s="1" t="s">
        <v>489</v>
      </c>
      <c r="J3106" t="s">
        <v>17007</v>
      </c>
    </row>
    <row r="3107" spans="1:10">
      <c r="A3107" s="1">
        <v>611806</v>
      </c>
      <c r="B3107" s="1">
        <v>4369506252</v>
      </c>
      <c r="C3107" s="1">
        <v>8</v>
      </c>
      <c r="D3107" s="1" t="s">
        <v>546</v>
      </c>
      <c r="E3107" t="s">
        <v>17008</v>
      </c>
      <c r="F3107" s="1">
        <v>288548</v>
      </c>
      <c r="G3107" s="1">
        <v>2100030264</v>
      </c>
      <c r="H3107" s="1">
        <v>12</v>
      </c>
      <c r="I3107" s="1" t="s">
        <v>489</v>
      </c>
      <c r="J3107" t="s">
        <v>17009</v>
      </c>
    </row>
    <row r="3108" spans="1:10">
      <c r="A3108" s="1">
        <v>566471</v>
      </c>
      <c r="B3108" s="1">
        <v>7790031101</v>
      </c>
      <c r="C3108" s="1">
        <v>8</v>
      </c>
      <c r="D3108" s="1" t="s">
        <v>940</v>
      </c>
      <c r="E3108" t="s">
        <v>17010</v>
      </c>
      <c r="F3108" s="1">
        <v>841643</v>
      </c>
      <c r="G3108" s="1">
        <v>2100030263</v>
      </c>
      <c r="H3108" s="1">
        <v>12</v>
      </c>
      <c r="I3108" s="1" t="s">
        <v>489</v>
      </c>
      <c r="J3108" t="s">
        <v>17011</v>
      </c>
    </row>
    <row r="3109" spans="1:10">
      <c r="A3109" s="1">
        <v>290593</v>
      </c>
      <c r="B3109" s="1">
        <v>7790011101</v>
      </c>
      <c r="C3109" s="1">
        <v>4</v>
      </c>
      <c r="D3109" s="1" t="s">
        <v>1489</v>
      </c>
      <c r="E3109" t="s">
        <v>17012</v>
      </c>
      <c r="F3109" s="1">
        <v>292599</v>
      </c>
      <c r="G3109" s="1">
        <v>2100002408</v>
      </c>
      <c r="H3109" s="1">
        <v>12</v>
      </c>
      <c r="I3109" s="1" t="s">
        <v>489</v>
      </c>
      <c r="J3109" t="s">
        <v>17013</v>
      </c>
    </row>
    <row r="3110" spans="1:10">
      <c r="A3110" s="1">
        <v>365486</v>
      </c>
      <c r="B3110" s="1">
        <v>7790050212</v>
      </c>
      <c r="C3110" s="1">
        <v>6</v>
      </c>
      <c r="D3110" s="1" t="s">
        <v>13096</v>
      </c>
      <c r="E3110" t="s">
        <v>17014</v>
      </c>
      <c r="F3110" s="1">
        <v>699264</v>
      </c>
      <c r="G3110" s="1">
        <v>2100002410</v>
      </c>
      <c r="H3110" s="1">
        <v>12</v>
      </c>
      <c r="I3110" s="1" t="s">
        <v>489</v>
      </c>
      <c r="J3110" t="s">
        <v>17015</v>
      </c>
    </row>
    <row r="3111" spans="1:10">
      <c r="A3111" s="1">
        <v>581603</v>
      </c>
      <c r="B3111" s="1">
        <v>7790050207</v>
      </c>
      <c r="C3111" s="1">
        <v>6</v>
      </c>
      <c r="D3111" s="1" t="s">
        <v>17016</v>
      </c>
      <c r="E3111" t="s">
        <v>17017</v>
      </c>
      <c r="F3111" s="1">
        <v>664102</v>
      </c>
      <c r="G3111" s="1">
        <v>2100002406</v>
      </c>
      <c r="H3111" s="1">
        <v>12</v>
      </c>
      <c r="I3111" s="1" t="s">
        <v>489</v>
      </c>
      <c r="J3111" t="s">
        <v>17018</v>
      </c>
    </row>
    <row r="3112" spans="1:10">
      <c r="A3112" s="1">
        <v>655613</v>
      </c>
      <c r="B3112" s="1">
        <v>7790050209</v>
      </c>
      <c r="C3112" s="1">
        <v>6</v>
      </c>
      <c r="D3112" s="1" t="s">
        <v>632</v>
      </c>
      <c r="E3112" t="s">
        <v>17019</v>
      </c>
      <c r="F3112" s="1">
        <v>621813</v>
      </c>
      <c r="G3112" s="1">
        <v>4369506250</v>
      </c>
      <c r="H3112" s="1">
        <v>8</v>
      </c>
      <c r="I3112" s="1" t="s">
        <v>546</v>
      </c>
      <c r="J3112" t="s">
        <v>17020</v>
      </c>
    </row>
    <row r="3113" spans="1:10" ht="15.75">
      <c r="A3113" s="1">
        <v>156141</v>
      </c>
      <c r="B3113" s="1">
        <v>7790050213</v>
      </c>
      <c r="C3113" s="1">
        <v>6</v>
      </c>
      <c r="D3113" s="1" t="s">
        <v>17021</v>
      </c>
      <c r="E3113" t="s">
        <v>17022</v>
      </c>
      <c r="F3113" s="4" t="s">
        <v>17023</v>
      </c>
      <c r="G3113" s="2"/>
      <c r="H3113" s="2"/>
      <c r="I3113" s="2"/>
      <c r="J3113" s="3"/>
    </row>
    <row r="3114" spans="1:10">
      <c r="A3114" s="1">
        <v>354928</v>
      </c>
      <c r="B3114" s="1">
        <v>7790050210</v>
      </c>
      <c r="C3114" s="1">
        <v>6</v>
      </c>
      <c r="D3114" s="1" t="s">
        <v>632</v>
      </c>
      <c r="E3114" t="s">
        <v>17024</v>
      </c>
      <c r="F3114" s="2" t="s">
        <v>0</v>
      </c>
      <c r="G3114" s="2" t="s">
        <v>1</v>
      </c>
      <c r="H3114" s="2" t="s">
        <v>2</v>
      </c>
      <c r="I3114" s="2" t="s">
        <v>3</v>
      </c>
      <c r="J3114" s="3" t="s">
        <v>4</v>
      </c>
    </row>
    <row r="3115" spans="1:10">
      <c r="A3115" s="1">
        <v>122317</v>
      </c>
      <c r="B3115" s="1">
        <v>7790050242</v>
      </c>
      <c r="C3115" s="1">
        <v>6</v>
      </c>
      <c r="D3115" s="1" t="s">
        <v>632</v>
      </c>
      <c r="E3115" t="s">
        <v>17025</v>
      </c>
      <c r="F3115" s="1">
        <v>598300</v>
      </c>
      <c r="G3115" s="1">
        <v>3800043645</v>
      </c>
      <c r="H3115" s="1">
        <v>12</v>
      </c>
      <c r="I3115" s="1" t="s">
        <v>17026</v>
      </c>
      <c r="J3115" t="s">
        <v>17027</v>
      </c>
    </row>
    <row r="3116" spans="1:10">
      <c r="A3116" s="1">
        <v>500520</v>
      </c>
      <c r="B3116" s="1">
        <v>7790050241</v>
      </c>
      <c r="C3116" s="1">
        <v>6</v>
      </c>
      <c r="D3116" s="1" t="s">
        <v>17028</v>
      </c>
      <c r="E3116" t="s">
        <v>17029</v>
      </c>
      <c r="F3116" s="1">
        <v>441956</v>
      </c>
      <c r="G3116" s="1">
        <v>3800043175</v>
      </c>
      <c r="H3116" s="1">
        <v>12</v>
      </c>
      <c r="I3116" s="1" t="s">
        <v>1542</v>
      </c>
      <c r="J3116" t="s">
        <v>17030</v>
      </c>
    </row>
    <row r="3117" spans="1:10">
      <c r="A3117" s="1">
        <v>592147</v>
      </c>
      <c r="B3117" s="1">
        <v>7790050257</v>
      </c>
      <c r="C3117" s="1">
        <v>6</v>
      </c>
      <c r="D3117" s="1" t="s">
        <v>14627</v>
      </c>
      <c r="E3117" t="s">
        <v>17031</v>
      </c>
      <c r="F3117" s="1">
        <v>167577</v>
      </c>
      <c r="G3117" s="1">
        <v>3800043643</v>
      </c>
      <c r="H3117" s="1">
        <v>12</v>
      </c>
      <c r="I3117" s="1" t="s">
        <v>17026</v>
      </c>
      <c r="J3117" t="s">
        <v>17032</v>
      </c>
    </row>
    <row r="3118" spans="1:10" ht="15.75">
      <c r="A3118" s="4" t="s">
        <v>17023</v>
      </c>
      <c r="B3118" s="2"/>
      <c r="C3118" s="2"/>
      <c r="D3118" s="2"/>
      <c r="E3118" s="3"/>
      <c r="F3118" s="4" t="s">
        <v>17033</v>
      </c>
      <c r="G3118" s="2"/>
      <c r="H3118" s="2"/>
      <c r="I3118" s="2"/>
      <c r="J3118" s="3"/>
    </row>
    <row r="3119" spans="1:10">
      <c r="A3119" s="2" t="s">
        <v>0</v>
      </c>
      <c r="B3119" s="2" t="s">
        <v>1</v>
      </c>
      <c r="C3119" s="2" t="s">
        <v>2</v>
      </c>
      <c r="D3119" s="2" t="s">
        <v>3</v>
      </c>
      <c r="E3119" s="3" t="s">
        <v>4</v>
      </c>
      <c r="F3119" s="2" t="s">
        <v>0</v>
      </c>
      <c r="G3119" s="2" t="s">
        <v>1</v>
      </c>
      <c r="H3119" s="2" t="s">
        <v>2</v>
      </c>
      <c r="I3119" s="2" t="s">
        <v>3</v>
      </c>
      <c r="J3119" s="3" t="s">
        <v>4</v>
      </c>
    </row>
    <row r="3120" spans="1:10">
      <c r="A3120" s="1">
        <v>616193</v>
      </c>
      <c r="B3120" s="1">
        <v>3800039680</v>
      </c>
      <c r="C3120" s="1">
        <v>12</v>
      </c>
      <c r="D3120" s="1" t="s">
        <v>17034</v>
      </c>
      <c r="E3120" t="s">
        <v>17035</v>
      </c>
      <c r="F3120" s="1">
        <v>615443</v>
      </c>
      <c r="G3120" s="1">
        <v>7105200047</v>
      </c>
      <c r="H3120" s="1">
        <v>12</v>
      </c>
      <c r="I3120" s="1" t="s">
        <v>259</v>
      </c>
      <c r="J3120" t="s">
        <v>17036</v>
      </c>
    </row>
    <row r="3121" spans="1:10">
      <c r="A3121" s="1">
        <v>841262</v>
      </c>
      <c r="B3121" s="1">
        <v>3800023370</v>
      </c>
      <c r="C3121" s="1">
        <v>12</v>
      </c>
      <c r="D3121" s="1" t="s">
        <v>1123</v>
      </c>
      <c r="E3121" t="s">
        <v>17037</v>
      </c>
      <c r="F3121" s="1">
        <v>617209</v>
      </c>
      <c r="G3121" s="1">
        <v>5963500198</v>
      </c>
      <c r="H3121" s="1">
        <v>12</v>
      </c>
      <c r="I3121" s="1" t="s">
        <v>4586</v>
      </c>
      <c r="J3121" t="s">
        <v>17038</v>
      </c>
    </row>
    <row r="3122" spans="1:10">
      <c r="A3122" s="1">
        <v>606749</v>
      </c>
      <c r="B3122" s="1">
        <v>4369505633</v>
      </c>
      <c r="C3122" s="1">
        <v>8</v>
      </c>
      <c r="D3122" s="1" t="s">
        <v>546</v>
      </c>
      <c r="E3122" t="s">
        <v>17039</v>
      </c>
      <c r="F3122" s="1">
        <v>617118</v>
      </c>
      <c r="G3122" s="1">
        <v>5963500189</v>
      </c>
      <c r="H3122" s="1">
        <v>12</v>
      </c>
      <c r="I3122" s="1" t="s">
        <v>17040</v>
      </c>
      <c r="J3122" t="s">
        <v>17041</v>
      </c>
    </row>
    <row r="3123" spans="1:10">
      <c r="A3123" s="1">
        <v>208561</v>
      </c>
      <c r="B3123" s="1">
        <v>3800039682</v>
      </c>
      <c r="C3123" s="1">
        <v>12</v>
      </c>
      <c r="D3123" s="1" t="s">
        <v>17034</v>
      </c>
      <c r="E3123" t="s">
        <v>17042</v>
      </c>
      <c r="F3123" s="1">
        <v>615401</v>
      </c>
      <c r="G3123" s="1">
        <v>3889748374</v>
      </c>
      <c r="H3123" s="1">
        <v>12</v>
      </c>
      <c r="I3123" s="1" t="s">
        <v>381</v>
      </c>
      <c r="J3123" t="s">
        <v>17043</v>
      </c>
    </row>
    <row r="3124" spans="1:10">
      <c r="A3124" s="1">
        <v>228452</v>
      </c>
      <c r="B3124" s="1">
        <v>1800028523</v>
      </c>
      <c r="C3124" s="1">
        <v>6</v>
      </c>
      <c r="D3124" s="1" t="s">
        <v>1387</v>
      </c>
      <c r="E3124" t="s">
        <v>17044</v>
      </c>
      <c r="F3124" s="1">
        <v>615658</v>
      </c>
      <c r="G3124" s="1">
        <v>7045900551</v>
      </c>
      <c r="H3124" s="1">
        <v>12</v>
      </c>
      <c r="I3124" s="1" t="s">
        <v>381</v>
      </c>
      <c r="J3124" t="s">
        <v>17045</v>
      </c>
    </row>
    <row r="3125" spans="1:10">
      <c r="A3125" s="1">
        <v>618447</v>
      </c>
      <c r="B3125" s="1">
        <v>1800065716</v>
      </c>
      <c r="C3125" s="1">
        <v>12</v>
      </c>
      <c r="D3125" s="1" t="s">
        <v>489</v>
      </c>
      <c r="E3125" t="s">
        <v>17046</v>
      </c>
      <c r="F3125" s="1">
        <v>615351</v>
      </c>
      <c r="G3125" s="1">
        <v>7045900910</v>
      </c>
      <c r="H3125" s="1">
        <v>12</v>
      </c>
      <c r="I3125" s="1" t="s">
        <v>370</v>
      </c>
      <c r="J3125" t="s">
        <v>17047</v>
      </c>
    </row>
    <row r="3126" spans="1:10">
      <c r="A3126" s="1">
        <v>624346</v>
      </c>
      <c r="B3126" s="1">
        <v>1800065540</v>
      </c>
      <c r="C3126" s="1">
        <v>12</v>
      </c>
      <c r="D3126" s="1" t="s">
        <v>703</v>
      </c>
      <c r="E3126" t="s">
        <v>17048</v>
      </c>
      <c r="F3126" s="1">
        <v>530774</v>
      </c>
      <c r="G3126" s="1">
        <v>7045900921</v>
      </c>
      <c r="H3126" s="1">
        <v>12</v>
      </c>
      <c r="I3126" s="1" t="s">
        <v>703</v>
      </c>
      <c r="J3126" t="s">
        <v>17049</v>
      </c>
    </row>
    <row r="3127" spans="1:10">
      <c r="A3127" s="1">
        <v>624387</v>
      </c>
      <c r="B3127" s="1">
        <v>1800065530</v>
      </c>
      <c r="C3127" s="1">
        <v>12</v>
      </c>
      <c r="D3127" s="1" t="s">
        <v>703</v>
      </c>
      <c r="E3127" t="s">
        <v>17050</v>
      </c>
      <c r="F3127" s="1">
        <v>832089</v>
      </c>
      <c r="G3127" s="1">
        <v>7045900541</v>
      </c>
      <c r="H3127" s="1">
        <v>12</v>
      </c>
      <c r="I3127" s="1" t="s">
        <v>489</v>
      </c>
      <c r="J3127" t="s">
        <v>17051</v>
      </c>
    </row>
    <row r="3128" spans="1:10">
      <c r="A3128" s="1">
        <v>626432</v>
      </c>
      <c r="B3128" s="1">
        <v>1800065620</v>
      </c>
      <c r="C3128" s="1">
        <v>12</v>
      </c>
      <c r="D3128" s="1" t="s">
        <v>703</v>
      </c>
      <c r="E3128" t="s">
        <v>17052</v>
      </c>
      <c r="F3128" s="1">
        <v>820951</v>
      </c>
      <c r="G3128" s="1">
        <v>7045900915</v>
      </c>
      <c r="H3128" s="1">
        <v>12</v>
      </c>
      <c r="I3128" s="1" t="s">
        <v>381</v>
      </c>
      <c r="J3128" t="s">
        <v>17053</v>
      </c>
    </row>
    <row r="3129" spans="1:10">
      <c r="A3129" s="1">
        <v>624403</v>
      </c>
      <c r="B3129" s="1">
        <v>1800065500</v>
      </c>
      <c r="C3129" s="1">
        <v>12</v>
      </c>
      <c r="D3129" s="1" t="s">
        <v>703</v>
      </c>
      <c r="E3129" t="s">
        <v>17054</v>
      </c>
      <c r="F3129" s="1">
        <v>622811</v>
      </c>
      <c r="G3129" s="1">
        <v>7045900555</v>
      </c>
      <c r="H3129" s="1">
        <v>12</v>
      </c>
      <c r="I3129" s="1" t="s">
        <v>1180</v>
      </c>
      <c r="J3129" t="s">
        <v>17055</v>
      </c>
    </row>
    <row r="3130" spans="1:10">
      <c r="A3130" s="1">
        <v>624452</v>
      </c>
      <c r="B3130" s="1">
        <v>1800065680</v>
      </c>
      <c r="C3130" s="1">
        <v>12</v>
      </c>
      <c r="D3130" s="1" t="s">
        <v>703</v>
      </c>
      <c r="E3130" t="s">
        <v>17056</v>
      </c>
      <c r="F3130" s="1">
        <v>615336</v>
      </c>
      <c r="G3130" s="1">
        <v>7045900558</v>
      </c>
      <c r="H3130" s="1">
        <v>12</v>
      </c>
      <c r="I3130" s="1" t="s">
        <v>615</v>
      </c>
      <c r="J3130" t="s">
        <v>17057</v>
      </c>
    </row>
    <row r="3131" spans="1:10">
      <c r="A3131" s="1">
        <v>616433</v>
      </c>
      <c r="B3131" s="1">
        <v>1800065510</v>
      </c>
      <c r="C3131" s="1">
        <v>12</v>
      </c>
      <c r="D3131" s="1" t="s">
        <v>703</v>
      </c>
      <c r="E3131" t="s">
        <v>17058</v>
      </c>
      <c r="F3131" s="1">
        <v>858738</v>
      </c>
      <c r="G3131" s="1">
        <v>7045900573</v>
      </c>
      <c r="H3131" s="1">
        <v>12</v>
      </c>
      <c r="I3131" s="1" t="s">
        <v>1180</v>
      </c>
      <c r="J3131" t="s">
        <v>17059</v>
      </c>
    </row>
    <row r="3132" spans="1:10">
      <c r="A3132" s="1">
        <v>624262</v>
      </c>
      <c r="B3132" s="1">
        <v>1800065520</v>
      </c>
      <c r="C3132" s="1">
        <v>12</v>
      </c>
      <c r="D3132" s="1" t="s">
        <v>703</v>
      </c>
      <c r="E3132" t="s">
        <v>17060</v>
      </c>
      <c r="F3132" s="1">
        <v>615724</v>
      </c>
      <c r="G3132" s="1">
        <v>7045900553</v>
      </c>
      <c r="H3132" s="1">
        <v>12</v>
      </c>
      <c r="I3132" s="1" t="s">
        <v>1180</v>
      </c>
      <c r="J3132" t="s">
        <v>17061</v>
      </c>
    </row>
    <row r="3133" spans="1:10">
      <c r="A3133" s="1">
        <v>428052</v>
      </c>
      <c r="B3133" s="1">
        <v>1800028206</v>
      </c>
      <c r="C3133" s="1">
        <v>12</v>
      </c>
      <c r="D3133" s="1" t="s">
        <v>703</v>
      </c>
      <c r="E3133" t="s">
        <v>17062</v>
      </c>
      <c r="F3133" s="1">
        <v>822411</v>
      </c>
      <c r="G3133" s="1">
        <v>7045900777</v>
      </c>
      <c r="H3133" s="1">
        <v>12</v>
      </c>
      <c r="I3133" s="1" t="s">
        <v>259</v>
      </c>
      <c r="J3133" t="s">
        <v>17063</v>
      </c>
    </row>
    <row r="3134" spans="1:10">
      <c r="A3134" s="1">
        <v>765412</v>
      </c>
      <c r="B3134" s="1">
        <v>1800065420</v>
      </c>
      <c r="C3134" s="1">
        <v>12</v>
      </c>
      <c r="D3134" s="1" t="s">
        <v>703</v>
      </c>
      <c r="E3134" t="s">
        <v>17064</v>
      </c>
      <c r="F3134" s="1">
        <v>622894</v>
      </c>
      <c r="G3134" s="1">
        <v>5100007546</v>
      </c>
      <c r="H3134" s="1">
        <v>12</v>
      </c>
      <c r="I3134" s="1" t="s">
        <v>489</v>
      </c>
      <c r="J3134" t="s">
        <v>17065</v>
      </c>
    </row>
    <row r="3135" spans="1:10" ht="15.75">
      <c r="A3135" s="4" t="s">
        <v>17066</v>
      </c>
      <c r="B3135" s="2"/>
      <c r="C3135" s="2"/>
      <c r="D3135" s="2"/>
      <c r="E3135" s="3"/>
      <c r="F3135" s="1">
        <v>622886</v>
      </c>
      <c r="G3135" s="1">
        <v>5100007547</v>
      </c>
      <c r="H3135" s="1">
        <v>12</v>
      </c>
      <c r="I3135" s="1" t="s">
        <v>489</v>
      </c>
      <c r="J3135" t="s">
        <v>17067</v>
      </c>
    </row>
    <row r="3136" spans="1:10">
      <c r="A3136" s="2" t="s">
        <v>0</v>
      </c>
      <c r="B3136" s="2" t="s">
        <v>1</v>
      </c>
      <c r="C3136" s="2" t="s">
        <v>2</v>
      </c>
      <c r="D3136" s="2" t="s">
        <v>3</v>
      </c>
      <c r="E3136" s="3" t="s">
        <v>4</v>
      </c>
      <c r="F3136" s="1">
        <v>622233</v>
      </c>
      <c r="G3136" s="1">
        <v>5100007688</v>
      </c>
      <c r="H3136" s="1">
        <v>12</v>
      </c>
      <c r="I3136" s="1" t="s">
        <v>7531</v>
      </c>
      <c r="J3136" t="s">
        <v>17068</v>
      </c>
    </row>
    <row r="3137" spans="1:10">
      <c r="A3137" s="1">
        <v>621987</v>
      </c>
      <c r="B3137" s="1">
        <v>7680000211</v>
      </c>
      <c r="C3137" s="1">
        <v>12</v>
      </c>
      <c r="D3137" s="1" t="s">
        <v>910</v>
      </c>
      <c r="E3137" t="s">
        <v>17069</v>
      </c>
      <c r="F3137" s="1">
        <v>623819</v>
      </c>
      <c r="G3137" s="1">
        <v>5100012855</v>
      </c>
      <c r="H3137" s="1">
        <v>12</v>
      </c>
      <c r="I3137" s="1" t="s">
        <v>615</v>
      </c>
      <c r="J3137" t="s">
        <v>17070</v>
      </c>
    </row>
    <row r="3138" spans="1:10">
      <c r="A3138" s="1">
        <v>621995</v>
      </c>
      <c r="B3138" s="1">
        <v>7680000213</v>
      </c>
      <c r="C3138" s="1">
        <v>12</v>
      </c>
      <c r="D3138" s="1" t="s">
        <v>910</v>
      </c>
      <c r="E3138" t="s">
        <v>17071</v>
      </c>
      <c r="F3138" s="1">
        <v>623587</v>
      </c>
      <c r="G3138" s="1">
        <v>5100013865</v>
      </c>
      <c r="H3138" s="1">
        <v>12</v>
      </c>
      <c r="I3138" s="1" t="s">
        <v>949</v>
      </c>
      <c r="J3138" t="s">
        <v>17072</v>
      </c>
    </row>
    <row r="3139" spans="1:10">
      <c r="A3139" s="1">
        <v>615930</v>
      </c>
      <c r="B3139" s="1">
        <v>7680000070</v>
      </c>
      <c r="C3139" s="1">
        <v>12</v>
      </c>
      <c r="D3139" s="1" t="s">
        <v>347</v>
      </c>
      <c r="E3139" t="s">
        <v>17073</v>
      </c>
      <c r="F3139" s="1">
        <v>623322</v>
      </c>
      <c r="G3139" s="1">
        <v>5100014002</v>
      </c>
      <c r="H3139" s="1">
        <v>12</v>
      </c>
      <c r="I3139" s="1" t="s">
        <v>432</v>
      </c>
      <c r="J3139" t="s">
        <v>17074</v>
      </c>
    </row>
    <row r="3140" spans="1:10">
      <c r="A3140" s="1">
        <v>621599</v>
      </c>
      <c r="B3140" s="1">
        <v>7680000218</v>
      </c>
      <c r="C3140" s="1">
        <v>12</v>
      </c>
      <c r="D3140" s="1" t="s">
        <v>910</v>
      </c>
      <c r="E3140" t="s">
        <v>17075</v>
      </c>
      <c r="F3140" s="1">
        <v>623413</v>
      </c>
      <c r="G3140" s="1">
        <v>5100012767</v>
      </c>
      <c r="H3140" s="1">
        <v>12</v>
      </c>
      <c r="I3140" s="1" t="s">
        <v>615</v>
      </c>
      <c r="J3140" t="s">
        <v>17076</v>
      </c>
    </row>
    <row r="3141" spans="1:10">
      <c r="A3141" s="1">
        <v>615146</v>
      </c>
      <c r="B3141" s="1">
        <v>7680000012</v>
      </c>
      <c r="C3141" s="1">
        <v>12</v>
      </c>
      <c r="D3141" s="1" t="s">
        <v>347</v>
      </c>
      <c r="E3141" t="s">
        <v>17077</v>
      </c>
      <c r="F3141" s="1">
        <v>841106</v>
      </c>
      <c r="G3141" s="1">
        <v>1800029439</v>
      </c>
      <c r="H3141" s="1">
        <v>12</v>
      </c>
      <c r="I3141" s="1" t="s">
        <v>17078</v>
      </c>
      <c r="J3141" t="s">
        <v>17079</v>
      </c>
    </row>
    <row r="3142" spans="1:10">
      <c r="A3142" s="1">
        <v>622456</v>
      </c>
      <c r="B3142" s="1">
        <v>7680000202</v>
      </c>
      <c r="C3142" s="1">
        <v>12</v>
      </c>
      <c r="D3142" s="1" t="s">
        <v>742</v>
      </c>
      <c r="E3142" t="s">
        <v>17080</v>
      </c>
      <c r="F3142" s="1">
        <v>614032</v>
      </c>
      <c r="G3142" s="1">
        <v>1800085516</v>
      </c>
      <c r="H3142" s="1">
        <v>12</v>
      </c>
      <c r="I3142" s="1" t="s">
        <v>1313</v>
      </c>
      <c r="J3142" t="s">
        <v>17081</v>
      </c>
    </row>
    <row r="3143" spans="1:10">
      <c r="A3143" s="1">
        <v>622019</v>
      </c>
      <c r="B3143" s="1">
        <v>7680000223</v>
      </c>
      <c r="C3143" s="1">
        <v>12</v>
      </c>
      <c r="D3143" s="1" t="s">
        <v>910</v>
      </c>
      <c r="E3143" t="s">
        <v>17082</v>
      </c>
      <c r="F3143" s="1">
        <v>619536</v>
      </c>
      <c r="G3143" s="1">
        <v>1800085518</v>
      </c>
      <c r="H3143" s="1">
        <v>12</v>
      </c>
      <c r="I3143" s="1" t="s">
        <v>1313</v>
      </c>
      <c r="J3143" t="s">
        <v>17083</v>
      </c>
    </row>
    <row r="3144" spans="1:10">
      <c r="A3144" s="1">
        <v>621797</v>
      </c>
      <c r="B3144" s="1">
        <v>7680000062</v>
      </c>
      <c r="C3144" s="1">
        <v>12</v>
      </c>
      <c r="D3144" s="1" t="s">
        <v>489</v>
      </c>
      <c r="E3144" t="s">
        <v>17084</v>
      </c>
      <c r="F3144" s="1">
        <v>614149</v>
      </c>
      <c r="G3144" s="1">
        <v>1800085528</v>
      </c>
      <c r="H3144" s="1">
        <v>12</v>
      </c>
      <c r="I3144" s="1" t="s">
        <v>17085</v>
      </c>
      <c r="J3144" t="s">
        <v>17086</v>
      </c>
    </row>
    <row r="3145" spans="1:10">
      <c r="A3145" s="1">
        <v>615229</v>
      </c>
      <c r="B3145" s="1">
        <v>7680000059</v>
      </c>
      <c r="C3145" s="1">
        <v>12</v>
      </c>
      <c r="D3145" s="1" t="s">
        <v>347</v>
      </c>
      <c r="E3145" t="s">
        <v>17087</v>
      </c>
      <c r="F3145" s="1">
        <v>614198</v>
      </c>
      <c r="G3145" s="1">
        <v>1800085548</v>
      </c>
      <c r="H3145" s="1">
        <v>8</v>
      </c>
      <c r="I3145" s="1" t="s">
        <v>621</v>
      </c>
      <c r="J3145" t="s">
        <v>17088</v>
      </c>
    </row>
    <row r="3146" spans="1:10">
      <c r="A3146" s="1">
        <v>615120</v>
      </c>
      <c r="B3146" s="1">
        <v>7680000013</v>
      </c>
      <c r="C3146" s="1">
        <v>12</v>
      </c>
      <c r="D3146" s="1" t="s">
        <v>347</v>
      </c>
      <c r="E3146" t="s">
        <v>17089</v>
      </c>
      <c r="F3146" s="1">
        <v>600528</v>
      </c>
      <c r="G3146" s="1">
        <v>1800027913</v>
      </c>
      <c r="H3146" s="1">
        <v>8</v>
      </c>
      <c r="I3146" s="1" t="s">
        <v>621</v>
      </c>
      <c r="J3146" t="s">
        <v>17090</v>
      </c>
    </row>
    <row r="3147" spans="1:10">
      <c r="A3147" s="1">
        <v>615112</v>
      </c>
      <c r="B3147" s="1">
        <v>7680000011</v>
      </c>
      <c r="C3147" s="1">
        <v>12</v>
      </c>
      <c r="D3147" s="1" t="s">
        <v>347</v>
      </c>
      <c r="E3147" t="s">
        <v>17091</v>
      </c>
      <c r="F3147" s="1">
        <v>217521</v>
      </c>
      <c r="G3147" s="1">
        <v>1800041771</v>
      </c>
      <c r="H3147" s="1">
        <v>8</v>
      </c>
      <c r="I3147" s="1" t="s">
        <v>1123</v>
      </c>
      <c r="J3147" t="s">
        <v>17092</v>
      </c>
    </row>
    <row r="3148" spans="1:10">
      <c r="A3148" s="1">
        <v>614016</v>
      </c>
      <c r="B3148" s="1">
        <v>1116661455</v>
      </c>
      <c r="C3148" s="1">
        <v>12</v>
      </c>
      <c r="D3148" s="1" t="s">
        <v>347</v>
      </c>
      <c r="E3148" t="s">
        <v>17093</v>
      </c>
      <c r="F3148" s="1">
        <v>841114</v>
      </c>
      <c r="G3148" s="1">
        <v>1800029438</v>
      </c>
      <c r="H3148" s="1">
        <v>12</v>
      </c>
      <c r="I3148" s="1" t="s">
        <v>17094</v>
      </c>
      <c r="J3148" t="s">
        <v>17095</v>
      </c>
    </row>
    <row r="3149" spans="1:10">
      <c r="A3149" s="1">
        <v>614230</v>
      </c>
      <c r="B3149" s="1">
        <v>1116661497</v>
      </c>
      <c r="C3149" s="1">
        <v>12</v>
      </c>
      <c r="D3149" s="1" t="s">
        <v>347</v>
      </c>
      <c r="E3149" t="s">
        <v>17096</v>
      </c>
      <c r="F3149" s="1">
        <v>824680</v>
      </c>
      <c r="G3149" s="1">
        <v>1800041601</v>
      </c>
      <c r="H3149" s="1">
        <v>12</v>
      </c>
      <c r="I3149" s="1" t="s">
        <v>1180</v>
      </c>
      <c r="J3149" t="s">
        <v>17097</v>
      </c>
    </row>
    <row r="3150" spans="1:10">
      <c r="A3150" s="1">
        <v>614156</v>
      </c>
      <c r="B3150" s="1">
        <v>1116661489</v>
      </c>
      <c r="C3150" s="1">
        <v>12</v>
      </c>
      <c r="D3150" s="1" t="s">
        <v>347</v>
      </c>
      <c r="E3150" t="s">
        <v>17098</v>
      </c>
      <c r="F3150" s="1">
        <v>875492</v>
      </c>
      <c r="G3150" s="1">
        <v>1800041602</v>
      </c>
      <c r="H3150" s="1">
        <v>12</v>
      </c>
      <c r="I3150" s="1" t="s">
        <v>706</v>
      </c>
      <c r="J3150" t="s">
        <v>17099</v>
      </c>
    </row>
    <row r="3151" spans="1:10">
      <c r="A3151" s="1">
        <v>614073</v>
      </c>
      <c r="B3151" s="1">
        <v>1116661488</v>
      </c>
      <c r="C3151" s="1">
        <v>12</v>
      </c>
      <c r="D3151" s="1" t="s">
        <v>347</v>
      </c>
      <c r="E3151" t="s">
        <v>17100</v>
      </c>
      <c r="F3151" s="1">
        <v>619510</v>
      </c>
      <c r="G3151" s="1">
        <v>1800085517</v>
      </c>
      <c r="H3151" s="1">
        <v>12</v>
      </c>
      <c r="I3151" s="1" t="s">
        <v>1313</v>
      </c>
      <c r="J3151" t="s">
        <v>17101</v>
      </c>
    </row>
    <row r="3152" spans="1:10" ht="15.75">
      <c r="A3152" s="4" t="s">
        <v>17033</v>
      </c>
      <c r="B3152" s="2"/>
      <c r="C3152" s="2"/>
      <c r="D3152" s="2"/>
      <c r="E3152" s="3"/>
      <c r="F3152" s="1">
        <v>629923</v>
      </c>
      <c r="G3152" s="1">
        <v>1800085555</v>
      </c>
      <c r="H3152" s="1">
        <v>8</v>
      </c>
      <c r="I3152" s="1" t="s">
        <v>621</v>
      </c>
      <c r="J3152" t="s">
        <v>17102</v>
      </c>
    </row>
    <row r="3153" spans="1:10">
      <c r="A3153" s="2" t="s">
        <v>0</v>
      </c>
      <c r="B3153" s="2" t="s">
        <v>1</v>
      </c>
      <c r="C3153" s="2" t="s">
        <v>2</v>
      </c>
      <c r="D3153" s="2" t="s">
        <v>3</v>
      </c>
      <c r="E3153" s="3" t="s">
        <v>4</v>
      </c>
      <c r="F3153" s="1">
        <v>629964</v>
      </c>
      <c r="G3153" s="1">
        <v>1800085557</v>
      </c>
      <c r="H3153" s="1">
        <v>12</v>
      </c>
      <c r="I3153" s="1" t="s">
        <v>17103</v>
      </c>
      <c r="J3153" t="s">
        <v>17104</v>
      </c>
    </row>
    <row r="3154" spans="1:10">
      <c r="A3154" s="1">
        <v>822221</v>
      </c>
      <c r="B3154" s="1">
        <v>4750048101</v>
      </c>
      <c r="C3154" s="1">
        <v>12</v>
      </c>
      <c r="D3154" s="1" t="s">
        <v>865</v>
      </c>
      <c r="E3154" t="s">
        <v>17105</v>
      </c>
      <c r="F3154" s="1">
        <v>614818</v>
      </c>
      <c r="G3154" s="1">
        <v>1116661481</v>
      </c>
      <c r="H3154" s="1">
        <v>12</v>
      </c>
      <c r="I3154" s="1" t="s">
        <v>381</v>
      </c>
      <c r="J3154" t="s">
        <v>17106</v>
      </c>
    </row>
    <row r="3155" spans="1:10">
      <c r="A3155" s="1">
        <v>183111</v>
      </c>
      <c r="B3155" s="1">
        <v>4750000960</v>
      </c>
      <c r="C3155" s="1">
        <v>8</v>
      </c>
      <c r="D3155" s="1" t="s">
        <v>1058</v>
      </c>
      <c r="E3155" t="s">
        <v>17107</v>
      </c>
      <c r="F3155" s="1">
        <v>859199</v>
      </c>
      <c r="G3155" s="1">
        <v>1116661542</v>
      </c>
      <c r="H3155" s="1">
        <v>12</v>
      </c>
      <c r="I3155" s="1" t="s">
        <v>615</v>
      </c>
      <c r="J3155" t="s">
        <v>17108</v>
      </c>
    </row>
    <row r="3156" spans="1:10">
      <c r="A3156" s="1">
        <v>615740</v>
      </c>
      <c r="B3156" s="1">
        <v>4750000006</v>
      </c>
      <c r="C3156" s="1">
        <v>12</v>
      </c>
      <c r="D3156" s="1" t="s">
        <v>1313</v>
      </c>
      <c r="E3156" t="s">
        <v>17109</v>
      </c>
      <c r="F3156" s="1">
        <v>643585</v>
      </c>
      <c r="G3156" s="1">
        <v>1116664358</v>
      </c>
      <c r="H3156" s="1">
        <v>6</v>
      </c>
      <c r="I3156" s="1" t="s">
        <v>4650</v>
      </c>
      <c r="J3156" t="s">
        <v>17110</v>
      </c>
    </row>
    <row r="3157" spans="1:10">
      <c r="A3157" s="1">
        <v>616011</v>
      </c>
      <c r="B3157" s="1">
        <v>4750000111</v>
      </c>
      <c r="C3157" s="1">
        <v>12</v>
      </c>
      <c r="D3157" s="1" t="s">
        <v>3633</v>
      </c>
      <c r="E3157" t="s">
        <v>17111</v>
      </c>
      <c r="F3157" s="1">
        <v>644773</v>
      </c>
      <c r="G3157" s="1">
        <v>1116664477</v>
      </c>
      <c r="H3157" s="1">
        <v>12</v>
      </c>
      <c r="I3157" s="1" t="s">
        <v>381</v>
      </c>
      <c r="J3157" t="s">
        <v>17112</v>
      </c>
    </row>
    <row r="3158" spans="1:10">
      <c r="A3158" s="1">
        <v>615328</v>
      </c>
      <c r="B3158" s="1">
        <v>7105200009</v>
      </c>
      <c r="C3158" s="1">
        <v>12</v>
      </c>
      <c r="D3158" s="1" t="s">
        <v>381</v>
      </c>
      <c r="E3158" t="s">
        <v>17113</v>
      </c>
      <c r="F3158" s="1">
        <v>614859</v>
      </c>
      <c r="G3158" s="1">
        <v>1116661485</v>
      </c>
      <c r="H3158" s="1">
        <v>12</v>
      </c>
      <c r="I3158" s="1" t="s">
        <v>370</v>
      </c>
      <c r="J3158" t="s">
        <v>17114</v>
      </c>
    </row>
    <row r="3159" spans="1:10" ht="15.75">
      <c r="A3159" s="4" t="s">
        <v>17033</v>
      </c>
      <c r="B3159" s="2"/>
      <c r="C3159" s="2"/>
      <c r="D3159" s="2"/>
      <c r="E3159" s="3"/>
      <c r="F3159" s="4" t="s">
        <v>17115</v>
      </c>
      <c r="G3159" s="2"/>
      <c r="H3159" s="2"/>
      <c r="I3159" s="2"/>
      <c r="J3159" s="3"/>
    </row>
    <row r="3160" spans="1:10">
      <c r="A3160" s="2" t="s">
        <v>0</v>
      </c>
      <c r="B3160" s="2" t="s">
        <v>1</v>
      </c>
      <c r="C3160" s="2" t="s">
        <v>2</v>
      </c>
      <c r="D3160" s="2" t="s">
        <v>3</v>
      </c>
      <c r="E3160" s="3" t="s">
        <v>4</v>
      </c>
      <c r="F3160" s="2" t="s">
        <v>0</v>
      </c>
      <c r="G3160" s="2" t="s">
        <v>1</v>
      </c>
      <c r="H3160" s="2" t="s">
        <v>2</v>
      </c>
      <c r="I3160" s="2" t="s">
        <v>3</v>
      </c>
      <c r="J3160" s="3" t="s">
        <v>4</v>
      </c>
    </row>
    <row r="3161" spans="1:10">
      <c r="A3161" s="1">
        <v>875955</v>
      </c>
      <c r="B3161" s="1">
        <v>1116601378</v>
      </c>
      <c r="C3161" s="1">
        <v>12</v>
      </c>
      <c r="D3161" s="1" t="s">
        <v>399</v>
      </c>
      <c r="E3161" t="s">
        <v>17116</v>
      </c>
      <c r="F3161" s="1">
        <v>841130</v>
      </c>
      <c r="G3161" s="1">
        <v>1116210170</v>
      </c>
      <c r="H3161" s="1">
        <v>8</v>
      </c>
      <c r="I3161" s="1" t="s">
        <v>1489</v>
      </c>
      <c r="J3161" t="s">
        <v>17117</v>
      </c>
    </row>
    <row r="3162" spans="1:10">
      <c r="A3162" s="1">
        <v>615484</v>
      </c>
      <c r="B3162" s="1">
        <v>1116661548</v>
      </c>
      <c r="C3162" s="1">
        <v>12</v>
      </c>
      <c r="D3162" s="1" t="s">
        <v>379</v>
      </c>
      <c r="E3162" t="s">
        <v>17118</v>
      </c>
      <c r="F3162" s="1">
        <v>859991</v>
      </c>
      <c r="G3162" s="1">
        <v>1116210250</v>
      </c>
      <c r="H3162" s="1">
        <v>12</v>
      </c>
      <c r="I3162" s="1" t="s">
        <v>2253</v>
      </c>
      <c r="J3162" t="s">
        <v>17119</v>
      </c>
    </row>
    <row r="3163" spans="1:10">
      <c r="A3163" s="1">
        <v>638452</v>
      </c>
      <c r="B3163" s="1">
        <v>74816205596</v>
      </c>
      <c r="C3163" s="1">
        <v>12</v>
      </c>
      <c r="D3163" s="1" t="s">
        <v>381</v>
      </c>
      <c r="E3163" t="s">
        <v>17120</v>
      </c>
      <c r="F3163" s="1">
        <v>616920</v>
      </c>
      <c r="G3163" s="1">
        <v>1116210215</v>
      </c>
      <c r="H3163" s="1">
        <v>12</v>
      </c>
      <c r="I3163" s="1" t="s">
        <v>830</v>
      </c>
      <c r="J3163" t="s">
        <v>17121</v>
      </c>
    </row>
    <row r="3164" spans="1:10">
      <c r="A3164" s="1">
        <v>638403</v>
      </c>
      <c r="B3164" s="1">
        <v>74816261452</v>
      </c>
      <c r="C3164" s="1">
        <v>12</v>
      </c>
      <c r="D3164" s="1" t="s">
        <v>363</v>
      </c>
      <c r="E3164" t="s">
        <v>17122</v>
      </c>
      <c r="F3164" s="1">
        <v>617365</v>
      </c>
      <c r="G3164" s="1">
        <v>1116210208</v>
      </c>
      <c r="H3164" s="1">
        <v>12</v>
      </c>
      <c r="I3164" s="1" t="s">
        <v>717</v>
      </c>
      <c r="J3164" t="s">
        <v>17123</v>
      </c>
    </row>
    <row r="3165" spans="1:10">
      <c r="A3165" s="1">
        <v>731083</v>
      </c>
      <c r="B3165" s="1">
        <v>74816262102</v>
      </c>
      <c r="C3165" s="1">
        <v>12</v>
      </c>
      <c r="D3165" s="1" t="s">
        <v>910</v>
      </c>
      <c r="E3165" t="s">
        <v>17124</v>
      </c>
      <c r="F3165" s="1">
        <v>616946</v>
      </c>
      <c r="G3165" s="1">
        <v>1116210235</v>
      </c>
      <c r="H3165" s="1">
        <v>12</v>
      </c>
      <c r="I3165" s="1" t="s">
        <v>17125</v>
      </c>
      <c r="J3165" t="s">
        <v>17126</v>
      </c>
    </row>
    <row r="3166" spans="1:10">
      <c r="A3166" s="1">
        <v>638445</v>
      </c>
      <c r="B3166" s="1">
        <v>74816211179</v>
      </c>
      <c r="C3166" s="1">
        <v>12</v>
      </c>
      <c r="D3166" s="1" t="s">
        <v>381</v>
      </c>
      <c r="E3166" t="s">
        <v>17127</v>
      </c>
      <c r="F3166" s="1">
        <v>617316</v>
      </c>
      <c r="G3166" s="1">
        <v>1116210233</v>
      </c>
      <c r="H3166" s="1">
        <v>12</v>
      </c>
      <c r="I3166" s="1" t="s">
        <v>17125</v>
      </c>
      <c r="J3166" t="s">
        <v>17128</v>
      </c>
    </row>
    <row r="3167" spans="1:10">
      <c r="A3167" s="1">
        <v>433409</v>
      </c>
      <c r="B3167" s="1">
        <v>74816262200</v>
      </c>
      <c r="C3167" s="1">
        <v>12</v>
      </c>
      <c r="D3167" s="1" t="s">
        <v>910</v>
      </c>
      <c r="E3167" t="s">
        <v>17129</v>
      </c>
      <c r="F3167" s="1">
        <v>773721</v>
      </c>
      <c r="G3167" s="1">
        <v>1116210265</v>
      </c>
      <c r="H3167" s="1">
        <v>12</v>
      </c>
      <c r="I3167" s="1" t="s">
        <v>1313</v>
      </c>
      <c r="J3167" t="s">
        <v>17130</v>
      </c>
    </row>
    <row r="3168" spans="1:10">
      <c r="A3168" s="1">
        <v>623298</v>
      </c>
      <c r="B3168" s="1">
        <v>2580002306</v>
      </c>
      <c r="C3168" s="1">
        <v>12</v>
      </c>
      <c r="D3168" s="1" t="s">
        <v>17131</v>
      </c>
      <c r="E3168" t="s">
        <v>17132</v>
      </c>
      <c r="F3168" s="1">
        <v>627414</v>
      </c>
      <c r="G3168" s="1">
        <v>1116212021</v>
      </c>
      <c r="H3168" s="1">
        <v>12</v>
      </c>
      <c r="I3168" s="1" t="s">
        <v>938</v>
      </c>
      <c r="J3168" t="s">
        <v>17133</v>
      </c>
    </row>
    <row r="3169" spans="1:10" ht="15.75">
      <c r="A3169" s="4" t="s">
        <v>17115</v>
      </c>
      <c r="B3169" s="2"/>
      <c r="C3169" s="2"/>
      <c r="D3169" s="2"/>
      <c r="E3169" s="3"/>
      <c r="F3169" s="1">
        <v>692178</v>
      </c>
      <c r="G3169" s="1">
        <v>1116210262</v>
      </c>
      <c r="H3169" s="1">
        <v>12</v>
      </c>
      <c r="I3169" s="1" t="s">
        <v>17134</v>
      </c>
      <c r="J3169" t="s">
        <v>17135</v>
      </c>
    </row>
    <row r="3170" spans="1:10">
      <c r="A3170" s="2" t="s">
        <v>0</v>
      </c>
      <c r="B3170" s="2" t="s">
        <v>1</v>
      </c>
      <c r="C3170" s="2" t="s">
        <v>2</v>
      </c>
      <c r="D3170" s="2" t="s">
        <v>3</v>
      </c>
      <c r="E3170" s="3" t="s">
        <v>4</v>
      </c>
      <c r="F3170" s="1">
        <v>616524</v>
      </c>
      <c r="G3170" s="1">
        <v>1116661652</v>
      </c>
      <c r="H3170" s="1">
        <v>12</v>
      </c>
      <c r="I3170" s="1" t="s">
        <v>439</v>
      </c>
      <c r="J3170" t="s">
        <v>17136</v>
      </c>
    </row>
    <row r="3171" spans="1:10">
      <c r="A3171" s="1">
        <v>120568</v>
      </c>
      <c r="B3171" s="1">
        <v>4160066928</v>
      </c>
      <c r="C3171" s="1">
        <v>8</v>
      </c>
      <c r="D3171" s="1" t="s">
        <v>865</v>
      </c>
      <c r="E3171" t="s">
        <v>17137</v>
      </c>
      <c r="F3171" s="1">
        <v>785840</v>
      </c>
      <c r="G3171" s="1">
        <v>1116601260</v>
      </c>
      <c r="H3171" s="1">
        <v>12</v>
      </c>
      <c r="I3171" s="1" t="s">
        <v>724</v>
      </c>
      <c r="J3171" t="s">
        <v>17138</v>
      </c>
    </row>
    <row r="3172" spans="1:10">
      <c r="A3172" s="1">
        <v>831339</v>
      </c>
      <c r="B3172" s="1">
        <v>4160001058</v>
      </c>
      <c r="C3172" s="1">
        <v>12</v>
      </c>
      <c r="D3172" s="1" t="s">
        <v>404</v>
      </c>
      <c r="E3172" t="s">
        <v>17139</v>
      </c>
      <c r="F3172" s="1">
        <v>616615</v>
      </c>
      <c r="G3172" s="1">
        <v>1116661600</v>
      </c>
      <c r="H3172" s="1">
        <v>12</v>
      </c>
      <c r="I3172" s="1" t="s">
        <v>347</v>
      </c>
      <c r="J3172" t="s">
        <v>17140</v>
      </c>
    </row>
    <row r="3173" spans="1:10">
      <c r="A3173" s="1">
        <v>616383</v>
      </c>
      <c r="B3173" s="1">
        <v>4440015750</v>
      </c>
      <c r="C3173" s="1">
        <v>12</v>
      </c>
      <c r="D3173" s="1" t="s">
        <v>574</v>
      </c>
      <c r="E3173" t="s">
        <v>17141</v>
      </c>
      <c r="F3173" s="1">
        <v>616581</v>
      </c>
      <c r="G3173" s="1">
        <v>1116661603</v>
      </c>
      <c r="H3173" s="1">
        <v>12</v>
      </c>
      <c r="I3173" s="1" t="s">
        <v>717</v>
      </c>
      <c r="J3173" t="s">
        <v>17142</v>
      </c>
    </row>
    <row r="3174" spans="1:10">
      <c r="A3174" s="1">
        <v>859033</v>
      </c>
      <c r="B3174" s="1">
        <v>4440015350</v>
      </c>
      <c r="C3174" s="1">
        <v>12</v>
      </c>
      <c r="D3174" s="1" t="s">
        <v>1378</v>
      </c>
      <c r="E3174" t="s">
        <v>17143</v>
      </c>
      <c r="F3174" s="1">
        <v>616185</v>
      </c>
      <c r="G3174" s="1">
        <v>1116661618</v>
      </c>
      <c r="H3174" s="1">
        <v>12</v>
      </c>
      <c r="I3174" s="1" t="s">
        <v>381</v>
      </c>
      <c r="J3174" t="s">
        <v>17144</v>
      </c>
    </row>
    <row r="3175" spans="1:10">
      <c r="A3175" s="1">
        <v>617936</v>
      </c>
      <c r="B3175" s="1">
        <v>4440010270</v>
      </c>
      <c r="C3175" s="1">
        <v>12</v>
      </c>
      <c r="D3175" s="1" t="s">
        <v>3284</v>
      </c>
      <c r="E3175" t="s">
        <v>17145</v>
      </c>
      <c r="F3175" s="1">
        <v>638882</v>
      </c>
      <c r="G3175" s="1">
        <v>1116663888</v>
      </c>
      <c r="H3175" s="1">
        <v>12</v>
      </c>
      <c r="I3175" s="1" t="s">
        <v>399</v>
      </c>
      <c r="J3175" t="s">
        <v>17146</v>
      </c>
    </row>
    <row r="3176" spans="1:10">
      <c r="A3176" s="1">
        <v>616375</v>
      </c>
      <c r="B3176" s="1">
        <v>4440015770</v>
      </c>
      <c r="C3176" s="1">
        <v>12</v>
      </c>
      <c r="D3176" s="1" t="s">
        <v>717</v>
      </c>
      <c r="E3176" t="s">
        <v>17147</v>
      </c>
      <c r="F3176" s="1">
        <v>628537</v>
      </c>
      <c r="G3176" s="1">
        <v>4132232205</v>
      </c>
      <c r="H3176" s="1">
        <v>12</v>
      </c>
      <c r="I3176" s="1" t="s">
        <v>394</v>
      </c>
      <c r="J3176" t="s">
        <v>17148</v>
      </c>
    </row>
    <row r="3177" spans="1:10">
      <c r="A3177" s="1">
        <v>617639</v>
      </c>
      <c r="B3177" s="1">
        <v>4440017600</v>
      </c>
      <c r="C3177" s="1">
        <v>12</v>
      </c>
      <c r="D3177" s="1" t="s">
        <v>1833</v>
      </c>
      <c r="E3177" t="s">
        <v>17149</v>
      </c>
      <c r="F3177" s="1">
        <v>628388</v>
      </c>
      <c r="G3177" s="1">
        <v>4132210850</v>
      </c>
      <c r="H3177" s="1">
        <v>12</v>
      </c>
      <c r="I3177" s="1" t="s">
        <v>347</v>
      </c>
      <c r="J3177" t="s">
        <v>17150</v>
      </c>
    </row>
    <row r="3178" spans="1:10">
      <c r="A3178" s="1">
        <v>751669</v>
      </c>
      <c r="B3178" s="1">
        <v>4440016400</v>
      </c>
      <c r="C3178" s="1">
        <v>12</v>
      </c>
      <c r="D3178" s="1" t="s">
        <v>259</v>
      </c>
      <c r="E3178" t="s">
        <v>17151</v>
      </c>
      <c r="F3178" s="1">
        <v>628164</v>
      </c>
      <c r="G3178" s="1">
        <v>4132210855</v>
      </c>
      <c r="H3178" s="1">
        <v>12</v>
      </c>
      <c r="I3178" s="1" t="s">
        <v>938</v>
      </c>
      <c r="J3178" t="s">
        <v>17152</v>
      </c>
    </row>
    <row r="3179" spans="1:10">
      <c r="A3179" s="1">
        <v>616680</v>
      </c>
      <c r="B3179" s="1">
        <v>4440015220</v>
      </c>
      <c r="C3179" s="1">
        <v>12</v>
      </c>
      <c r="D3179" s="1" t="s">
        <v>363</v>
      </c>
      <c r="E3179" t="s">
        <v>17153</v>
      </c>
      <c r="F3179" s="1">
        <v>628255</v>
      </c>
      <c r="G3179" s="1">
        <v>4132210900</v>
      </c>
      <c r="H3179" s="1">
        <v>8</v>
      </c>
      <c r="I3179" s="1" t="s">
        <v>546</v>
      </c>
      <c r="J3179" t="s">
        <v>17154</v>
      </c>
    </row>
    <row r="3180" spans="1:10">
      <c r="A3180" s="1">
        <v>616565</v>
      </c>
      <c r="B3180" s="1">
        <v>4440015450</v>
      </c>
      <c r="C3180" s="1">
        <v>12</v>
      </c>
      <c r="D3180" s="1" t="s">
        <v>574</v>
      </c>
      <c r="E3180" t="s">
        <v>17155</v>
      </c>
      <c r="F3180" s="1">
        <v>617712</v>
      </c>
      <c r="G3180" s="1">
        <v>1960092010</v>
      </c>
      <c r="H3180" s="1">
        <v>12</v>
      </c>
      <c r="I3180" s="1" t="s">
        <v>17156</v>
      </c>
      <c r="J3180" t="s">
        <v>17157</v>
      </c>
    </row>
    <row r="3181" spans="1:10">
      <c r="A3181" s="1">
        <v>616508</v>
      </c>
      <c r="B3181" s="1">
        <v>4440015650</v>
      </c>
      <c r="C3181" s="1">
        <v>12</v>
      </c>
      <c r="D3181" s="1" t="s">
        <v>717</v>
      </c>
      <c r="E3181" t="s">
        <v>17158</v>
      </c>
      <c r="F3181" s="1">
        <v>649517</v>
      </c>
      <c r="G3181" s="1">
        <v>1960092034</v>
      </c>
      <c r="H3181" s="1">
        <v>12</v>
      </c>
      <c r="I3181" s="1" t="s">
        <v>908</v>
      </c>
      <c r="J3181" t="s">
        <v>17159</v>
      </c>
    </row>
    <row r="3182" spans="1:10">
      <c r="A3182" s="1">
        <v>616532</v>
      </c>
      <c r="B3182" s="1">
        <v>4440015460</v>
      </c>
      <c r="C3182" s="1">
        <v>12</v>
      </c>
      <c r="D3182" s="1" t="s">
        <v>574</v>
      </c>
      <c r="E3182" t="s">
        <v>17158</v>
      </c>
      <c r="F3182" s="1">
        <v>617811</v>
      </c>
      <c r="G3182" s="1">
        <v>1960092070</v>
      </c>
      <c r="H3182" s="1">
        <v>12</v>
      </c>
      <c r="I3182" s="1" t="s">
        <v>1300</v>
      </c>
      <c r="J3182" t="s">
        <v>17160</v>
      </c>
    </row>
    <row r="3183" spans="1:10">
      <c r="A3183" s="1">
        <v>616540</v>
      </c>
      <c r="B3183" s="1">
        <v>4440015600</v>
      </c>
      <c r="C3183" s="1">
        <v>12</v>
      </c>
      <c r="D3183" s="1" t="s">
        <v>717</v>
      </c>
      <c r="E3183" t="s">
        <v>17161</v>
      </c>
      <c r="F3183" s="1">
        <v>637181</v>
      </c>
      <c r="G3183" s="1">
        <v>1960092068</v>
      </c>
      <c r="H3183" s="1">
        <v>12</v>
      </c>
      <c r="I3183" s="1" t="s">
        <v>2080</v>
      </c>
      <c r="J3183" t="s">
        <v>17162</v>
      </c>
    </row>
    <row r="3184" spans="1:10" ht="15.75">
      <c r="A3184" s="1">
        <v>616227</v>
      </c>
      <c r="B3184" s="1">
        <v>4440015430</v>
      </c>
      <c r="C3184" s="1">
        <v>12</v>
      </c>
      <c r="D3184" s="1" t="s">
        <v>1833</v>
      </c>
      <c r="E3184" t="s">
        <v>17163</v>
      </c>
      <c r="F3184" s="4" t="s">
        <v>17164</v>
      </c>
      <c r="G3184" s="2"/>
      <c r="H3184" s="2"/>
      <c r="I3184" s="2"/>
      <c r="J3184" s="3"/>
    </row>
    <row r="3185" spans="1:10">
      <c r="A3185" s="1">
        <v>617670</v>
      </c>
      <c r="B3185" s="1">
        <v>4440017300</v>
      </c>
      <c r="C3185" s="1">
        <v>12</v>
      </c>
      <c r="D3185" s="1" t="s">
        <v>1833</v>
      </c>
      <c r="E3185" t="s">
        <v>17165</v>
      </c>
      <c r="F3185" s="2" t="s">
        <v>0</v>
      </c>
      <c r="G3185" s="2" t="s">
        <v>1</v>
      </c>
      <c r="H3185" s="2" t="s">
        <v>2</v>
      </c>
      <c r="I3185" s="2" t="s">
        <v>3</v>
      </c>
      <c r="J3185" s="3" t="s">
        <v>4</v>
      </c>
    </row>
    <row r="3186" spans="1:10">
      <c r="A3186" s="1">
        <v>477851</v>
      </c>
      <c r="B3186" s="1">
        <v>4440018600</v>
      </c>
      <c r="C3186" s="1">
        <v>12</v>
      </c>
      <c r="D3186" s="1" t="s">
        <v>3881</v>
      </c>
      <c r="E3186" t="s">
        <v>17166</v>
      </c>
      <c r="F3186" s="1">
        <v>596437</v>
      </c>
      <c r="G3186" s="1">
        <v>3100011564</v>
      </c>
      <c r="H3186" s="1">
        <v>12</v>
      </c>
      <c r="I3186" s="1" t="s">
        <v>637</v>
      </c>
      <c r="J3186" t="s">
        <v>17167</v>
      </c>
    </row>
    <row r="3187" spans="1:10">
      <c r="A3187" s="1">
        <v>616466</v>
      </c>
      <c r="B3187" s="1">
        <v>4440015250</v>
      </c>
      <c r="C3187" s="1">
        <v>12</v>
      </c>
      <c r="D3187" s="1" t="s">
        <v>363</v>
      </c>
      <c r="E3187" t="s">
        <v>17168</v>
      </c>
      <c r="F3187" s="1">
        <v>235325</v>
      </c>
      <c r="G3187" s="1">
        <v>3100011561</v>
      </c>
      <c r="H3187" s="1">
        <v>12</v>
      </c>
      <c r="I3187" s="1" t="s">
        <v>954</v>
      </c>
      <c r="J3187" t="s">
        <v>17169</v>
      </c>
    </row>
    <row r="3188" spans="1:10">
      <c r="A3188" s="1">
        <v>617704</v>
      </c>
      <c r="B3188" s="1">
        <v>4440018400</v>
      </c>
      <c r="C3188" s="1">
        <v>12</v>
      </c>
      <c r="D3188" s="1" t="s">
        <v>3881</v>
      </c>
      <c r="E3188" t="s">
        <v>17170</v>
      </c>
      <c r="F3188" s="1">
        <v>619627</v>
      </c>
      <c r="G3188" s="1">
        <v>3100010455</v>
      </c>
      <c r="H3188" s="1">
        <v>12</v>
      </c>
      <c r="I3188" s="1" t="s">
        <v>347</v>
      </c>
      <c r="J3188" t="s">
        <v>17171</v>
      </c>
    </row>
    <row r="3189" spans="1:10">
      <c r="A3189" s="1">
        <v>492371</v>
      </c>
      <c r="B3189" s="1">
        <v>4440015930</v>
      </c>
      <c r="C3189" s="1">
        <v>12</v>
      </c>
      <c r="D3189" s="1" t="s">
        <v>399</v>
      </c>
      <c r="E3189" t="s">
        <v>17172</v>
      </c>
      <c r="F3189" s="1">
        <v>583807</v>
      </c>
      <c r="G3189" s="1">
        <v>3100012024</v>
      </c>
      <c r="H3189" s="1">
        <v>12</v>
      </c>
      <c r="I3189" s="1" t="s">
        <v>1618</v>
      </c>
      <c r="J3189" t="s">
        <v>17173</v>
      </c>
    </row>
    <row r="3190" spans="1:10">
      <c r="A3190" s="1">
        <v>452003</v>
      </c>
      <c r="B3190" s="1">
        <v>4440015900</v>
      </c>
      <c r="C3190" s="1">
        <v>12</v>
      </c>
      <c r="D3190" s="1" t="s">
        <v>399</v>
      </c>
      <c r="E3190" t="s">
        <v>17174</v>
      </c>
      <c r="F3190" s="1">
        <v>437053</v>
      </c>
      <c r="G3190" s="1">
        <v>3100012027</v>
      </c>
      <c r="H3190" s="1">
        <v>12</v>
      </c>
      <c r="I3190" s="1" t="s">
        <v>347</v>
      </c>
      <c r="J3190" t="s">
        <v>17175</v>
      </c>
    </row>
    <row r="3191" spans="1:10">
      <c r="A3191" s="1">
        <v>731125</v>
      </c>
      <c r="B3191" s="1">
        <v>4440015170</v>
      </c>
      <c r="C3191" s="1">
        <v>12</v>
      </c>
      <c r="D3191" s="1" t="s">
        <v>370</v>
      </c>
      <c r="E3191" t="s">
        <v>17176</v>
      </c>
      <c r="F3191" s="1">
        <v>154302</v>
      </c>
      <c r="G3191" s="1">
        <v>3100012017</v>
      </c>
      <c r="H3191" s="1">
        <v>8</v>
      </c>
      <c r="I3191" s="1" t="s">
        <v>439</v>
      </c>
      <c r="J3191" t="s">
        <v>17177</v>
      </c>
    </row>
    <row r="3192" spans="1:10">
      <c r="A3192" s="1">
        <v>617464</v>
      </c>
      <c r="B3192" s="1">
        <v>4440017500</v>
      </c>
      <c r="C3192" s="1">
        <v>12</v>
      </c>
      <c r="D3192" s="1" t="s">
        <v>1833</v>
      </c>
      <c r="E3192" t="s">
        <v>17178</v>
      </c>
      <c r="F3192" s="1">
        <v>499681</v>
      </c>
      <c r="G3192" s="1">
        <v>3100012021</v>
      </c>
      <c r="H3192" s="1">
        <v>8</v>
      </c>
      <c r="I3192" s="1" t="s">
        <v>439</v>
      </c>
      <c r="J3192" t="s">
        <v>17179</v>
      </c>
    </row>
    <row r="3193" spans="1:10">
      <c r="A3193" s="1">
        <v>888172</v>
      </c>
      <c r="B3193" s="1">
        <v>4440015140</v>
      </c>
      <c r="C3193" s="1">
        <v>12</v>
      </c>
      <c r="D3193" s="1" t="s">
        <v>1371</v>
      </c>
      <c r="E3193" t="s">
        <v>17180</v>
      </c>
      <c r="F3193" s="1">
        <v>623611</v>
      </c>
      <c r="G3193" s="1">
        <v>3100011511</v>
      </c>
      <c r="H3193" s="1">
        <v>12</v>
      </c>
      <c r="I3193" s="1" t="s">
        <v>259</v>
      </c>
      <c r="J3193" t="s">
        <v>17181</v>
      </c>
    </row>
    <row r="3194" spans="1:10">
      <c r="A3194" s="1">
        <v>584144</v>
      </c>
      <c r="B3194" s="1">
        <v>4440015400</v>
      </c>
      <c r="C3194" s="1">
        <v>12</v>
      </c>
      <c r="D3194" s="1" t="s">
        <v>778</v>
      </c>
      <c r="E3194" t="s">
        <v>17182</v>
      </c>
      <c r="F3194" s="1">
        <v>625921</v>
      </c>
      <c r="G3194" s="1">
        <v>3100011514</v>
      </c>
      <c r="H3194" s="1">
        <v>12</v>
      </c>
      <c r="I3194" s="1" t="s">
        <v>381</v>
      </c>
      <c r="J3194" t="s">
        <v>17183</v>
      </c>
    </row>
    <row r="3195" spans="1:10">
      <c r="A3195" s="1">
        <v>565879</v>
      </c>
      <c r="B3195" s="1">
        <v>4440015110</v>
      </c>
      <c r="C3195" s="1">
        <v>12</v>
      </c>
      <c r="D3195" s="1" t="s">
        <v>1371</v>
      </c>
      <c r="E3195" t="s">
        <v>17184</v>
      </c>
      <c r="F3195" s="1">
        <v>345900</v>
      </c>
      <c r="G3195" s="1">
        <v>3100011562</v>
      </c>
      <c r="H3195" s="1">
        <v>12</v>
      </c>
      <c r="I3195" s="1" t="s">
        <v>954</v>
      </c>
      <c r="J3195" t="s">
        <v>17185</v>
      </c>
    </row>
    <row r="3196" spans="1:10">
      <c r="A3196" s="1">
        <v>565895</v>
      </c>
      <c r="B3196" s="1">
        <v>4440015130</v>
      </c>
      <c r="C3196" s="1">
        <v>12</v>
      </c>
      <c r="D3196" s="1" t="s">
        <v>347</v>
      </c>
      <c r="E3196" t="s">
        <v>17186</v>
      </c>
      <c r="F3196" s="1">
        <v>279133</v>
      </c>
      <c r="G3196" s="1">
        <v>3100010630</v>
      </c>
      <c r="H3196" s="1">
        <v>8</v>
      </c>
      <c r="I3196" s="1" t="s">
        <v>469</v>
      </c>
      <c r="J3196" t="s">
        <v>17187</v>
      </c>
    </row>
    <row r="3197" spans="1:10">
      <c r="A3197" s="1">
        <v>774091</v>
      </c>
      <c r="B3197" s="1">
        <v>4440018650</v>
      </c>
      <c r="C3197" s="1">
        <v>12</v>
      </c>
      <c r="D3197" s="1" t="s">
        <v>3881</v>
      </c>
      <c r="E3197" t="s">
        <v>17188</v>
      </c>
      <c r="F3197" s="1">
        <v>172023</v>
      </c>
      <c r="G3197" s="1">
        <v>3100011477</v>
      </c>
      <c r="H3197" s="1">
        <v>8</v>
      </c>
      <c r="I3197" s="1" t="s">
        <v>469</v>
      </c>
      <c r="J3197" t="s">
        <v>17189</v>
      </c>
    </row>
    <row r="3198" spans="1:10">
      <c r="A3198" s="1">
        <v>617555</v>
      </c>
      <c r="B3198" s="1">
        <v>4440015820</v>
      </c>
      <c r="C3198" s="1">
        <v>12</v>
      </c>
      <c r="D3198" s="1" t="s">
        <v>1301</v>
      </c>
      <c r="E3198" t="s">
        <v>17190</v>
      </c>
      <c r="F3198" s="1">
        <v>21758</v>
      </c>
      <c r="G3198" s="1">
        <v>3100011476</v>
      </c>
      <c r="H3198" s="1">
        <v>8</v>
      </c>
      <c r="I3198" s="1" t="s">
        <v>469</v>
      </c>
      <c r="J3198" t="s">
        <v>17191</v>
      </c>
    </row>
    <row r="3199" spans="1:10">
      <c r="A3199" s="1">
        <v>617381</v>
      </c>
      <c r="B3199" s="1">
        <v>4440011250</v>
      </c>
      <c r="C3199" s="1">
        <v>12</v>
      </c>
      <c r="D3199" s="1" t="s">
        <v>3284</v>
      </c>
      <c r="E3199" t="s">
        <v>17192</v>
      </c>
      <c r="F3199" s="1">
        <v>104364</v>
      </c>
      <c r="G3199" s="1">
        <v>3100011563</v>
      </c>
      <c r="H3199" s="1">
        <v>12</v>
      </c>
      <c r="I3199" s="1" t="s">
        <v>954</v>
      </c>
      <c r="J3199" t="s">
        <v>17193</v>
      </c>
    </row>
    <row r="3200" spans="1:10" ht="15.75">
      <c r="A3200" s="4" t="s">
        <v>17164</v>
      </c>
      <c r="B3200" s="2"/>
      <c r="C3200" s="2"/>
      <c r="D3200" s="2"/>
      <c r="E3200" s="3"/>
      <c r="F3200" s="4" t="s">
        <v>17164</v>
      </c>
      <c r="G3200" s="2"/>
      <c r="H3200" s="2"/>
      <c r="I3200" s="2"/>
      <c r="J3200" s="3"/>
    </row>
    <row r="3201" spans="1:10">
      <c r="A3201" s="2" t="s">
        <v>0</v>
      </c>
      <c r="B3201" s="2" t="s">
        <v>1</v>
      </c>
      <c r="C3201" s="2" t="s">
        <v>2</v>
      </c>
      <c r="D3201" s="2" t="s">
        <v>3</v>
      </c>
      <c r="E3201" s="3" t="s">
        <v>4</v>
      </c>
      <c r="F3201" s="2" t="s">
        <v>0</v>
      </c>
      <c r="G3201" s="2" t="s">
        <v>1</v>
      </c>
      <c r="H3201" s="2" t="s">
        <v>2</v>
      </c>
      <c r="I3201" s="2" t="s">
        <v>3</v>
      </c>
      <c r="J3201" s="3" t="s">
        <v>4</v>
      </c>
    </row>
    <row r="3202" spans="1:10">
      <c r="A3202" s="1">
        <v>851261</v>
      </c>
      <c r="B3202" s="1">
        <v>3100012015</v>
      </c>
      <c r="C3202" s="1">
        <v>8</v>
      </c>
      <c r="D3202" s="1" t="s">
        <v>11794</v>
      </c>
      <c r="E3202" t="s">
        <v>17194</v>
      </c>
      <c r="F3202" s="1">
        <v>614420</v>
      </c>
      <c r="G3202" s="1">
        <v>2898915202</v>
      </c>
      <c r="H3202" s="1">
        <v>8</v>
      </c>
      <c r="I3202" s="1" t="s">
        <v>489</v>
      </c>
      <c r="J3202" t="s">
        <v>17195</v>
      </c>
    </row>
    <row r="3203" spans="1:10">
      <c r="A3203" s="1">
        <v>353250</v>
      </c>
      <c r="B3203" s="1">
        <v>3100012026</v>
      </c>
      <c r="C3203" s="1">
        <v>12</v>
      </c>
      <c r="D3203" s="1" t="s">
        <v>910</v>
      </c>
      <c r="E3203" t="s">
        <v>17196</v>
      </c>
      <c r="F3203" s="1">
        <v>619874</v>
      </c>
      <c r="G3203" s="1">
        <v>7254506262</v>
      </c>
      <c r="H3203" s="1">
        <v>12</v>
      </c>
      <c r="I3203" s="1" t="s">
        <v>370</v>
      </c>
      <c r="J3203" t="s">
        <v>17197</v>
      </c>
    </row>
    <row r="3204" spans="1:10">
      <c r="A3204" s="1">
        <v>120717</v>
      </c>
      <c r="B3204" s="1">
        <v>3100012016</v>
      </c>
      <c r="C3204" s="1">
        <v>8</v>
      </c>
      <c r="D3204" s="1" t="s">
        <v>439</v>
      </c>
      <c r="E3204" t="s">
        <v>17198</v>
      </c>
      <c r="F3204" s="1">
        <v>603316</v>
      </c>
      <c r="G3204" s="1">
        <v>7254506256</v>
      </c>
      <c r="H3204" s="1">
        <v>12</v>
      </c>
      <c r="I3204" s="1" t="s">
        <v>439</v>
      </c>
      <c r="J3204" t="s">
        <v>17199</v>
      </c>
    </row>
    <row r="3205" spans="1:10" ht="15.75">
      <c r="A3205" s="1">
        <v>870527</v>
      </c>
      <c r="B3205" s="1">
        <v>3100011560</v>
      </c>
      <c r="C3205" s="1">
        <v>12</v>
      </c>
      <c r="D3205" s="1" t="s">
        <v>954</v>
      </c>
      <c r="E3205" t="s">
        <v>17200</v>
      </c>
      <c r="F3205" s="4" t="s">
        <v>17201</v>
      </c>
      <c r="G3205" s="2"/>
      <c r="H3205" s="2"/>
      <c r="I3205" s="2"/>
      <c r="J3205" s="3"/>
    </row>
    <row r="3206" spans="1:10">
      <c r="A3206" s="1">
        <v>43265</v>
      </c>
      <c r="B3206" s="1">
        <v>3100011611</v>
      </c>
      <c r="C3206" s="1">
        <v>6</v>
      </c>
      <c r="D3206" s="1" t="s">
        <v>722</v>
      </c>
      <c r="E3206" t="s">
        <v>17202</v>
      </c>
      <c r="F3206" s="2" t="s">
        <v>0</v>
      </c>
      <c r="G3206" s="2" t="s">
        <v>1</v>
      </c>
      <c r="H3206" s="2" t="s">
        <v>2</v>
      </c>
      <c r="I3206" s="2" t="s">
        <v>3</v>
      </c>
      <c r="J3206" s="3" t="s">
        <v>4</v>
      </c>
    </row>
    <row r="3207" spans="1:10">
      <c r="A3207" s="1">
        <v>74294</v>
      </c>
      <c r="B3207" s="1">
        <v>3100012029</v>
      </c>
      <c r="C3207" s="1">
        <v>12</v>
      </c>
      <c r="D3207" s="1" t="s">
        <v>1618</v>
      </c>
      <c r="E3207" t="s">
        <v>17203</v>
      </c>
      <c r="F3207" s="1">
        <v>368183</v>
      </c>
      <c r="G3207" s="1">
        <v>7120214064</v>
      </c>
      <c r="H3207" s="1">
        <v>6</v>
      </c>
      <c r="I3207" s="1" t="s">
        <v>4815</v>
      </c>
      <c r="J3207" t="s">
        <v>17204</v>
      </c>
    </row>
    <row r="3208" spans="1:10">
      <c r="A3208" s="1">
        <v>612762</v>
      </c>
      <c r="B3208" s="1">
        <v>3100012019</v>
      </c>
      <c r="C3208" s="1">
        <v>8</v>
      </c>
      <c r="D3208" s="1" t="s">
        <v>439</v>
      </c>
      <c r="E3208" t="s">
        <v>17205</v>
      </c>
      <c r="F3208" s="1">
        <v>622548</v>
      </c>
      <c r="G3208" s="1">
        <v>78902182265</v>
      </c>
      <c r="H3208" s="1">
        <v>6</v>
      </c>
      <c r="I3208" s="1" t="s">
        <v>4815</v>
      </c>
      <c r="J3208" t="s">
        <v>17206</v>
      </c>
    </row>
    <row r="3209" spans="1:10">
      <c r="A3209" s="1">
        <v>103796</v>
      </c>
      <c r="B3209" s="1">
        <v>3100012020</v>
      </c>
      <c r="C3209" s="1">
        <v>8</v>
      </c>
      <c r="D3209" s="1" t="s">
        <v>439</v>
      </c>
      <c r="E3209" t="s">
        <v>17207</v>
      </c>
      <c r="F3209" s="1">
        <v>622597</v>
      </c>
      <c r="G3209" s="1">
        <v>78902182260</v>
      </c>
      <c r="H3209" s="1">
        <v>6</v>
      </c>
      <c r="I3209" s="1" t="s">
        <v>4815</v>
      </c>
      <c r="J3209" t="s">
        <v>17208</v>
      </c>
    </row>
    <row r="3210" spans="1:10">
      <c r="A3210" s="1">
        <v>625269</v>
      </c>
      <c r="B3210" s="1">
        <v>75928367321</v>
      </c>
      <c r="C3210" s="1">
        <v>12</v>
      </c>
      <c r="D3210" s="1" t="s">
        <v>489</v>
      </c>
      <c r="E3210" t="s">
        <v>17209</v>
      </c>
      <c r="F3210" s="1">
        <v>621946</v>
      </c>
      <c r="G3210" s="1">
        <v>1450000119</v>
      </c>
      <c r="H3210" s="1">
        <v>12</v>
      </c>
      <c r="I3210" s="1" t="s">
        <v>489</v>
      </c>
      <c r="J3210" t="s">
        <v>17210</v>
      </c>
    </row>
    <row r="3211" spans="1:10">
      <c r="A3211" s="1">
        <v>175398</v>
      </c>
      <c r="B3211" s="1">
        <v>75928360104</v>
      </c>
      <c r="C3211" s="1">
        <v>12</v>
      </c>
      <c r="D3211" s="1" t="s">
        <v>347</v>
      </c>
      <c r="E3211" t="s">
        <v>17211</v>
      </c>
      <c r="F3211" s="1">
        <v>684282</v>
      </c>
      <c r="G3211" s="1">
        <v>7120221012</v>
      </c>
      <c r="H3211" s="1">
        <v>12</v>
      </c>
      <c r="I3211" s="1" t="s">
        <v>347</v>
      </c>
      <c r="J3211" t="s">
        <v>17212</v>
      </c>
    </row>
    <row r="3212" spans="1:10">
      <c r="A3212" s="1">
        <v>625129</v>
      </c>
      <c r="B3212" s="1">
        <v>75928333445</v>
      </c>
      <c r="C3212" s="1">
        <v>12</v>
      </c>
      <c r="D3212" s="1" t="s">
        <v>489</v>
      </c>
      <c r="E3212" t="s">
        <v>17213</v>
      </c>
      <c r="F3212" s="1">
        <v>684506</v>
      </c>
      <c r="G3212" s="1">
        <v>7120232012</v>
      </c>
      <c r="H3212" s="1">
        <v>12</v>
      </c>
      <c r="I3212" s="1" t="s">
        <v>347</v>
      </c>
      <c r="J3212" t="s">
        <v>17214</v>
      </c>
    </row>
    <row r="3213" spans="1:10">
      <c r="A3213" s="1">
        <v>127654</v>
      </c>
      <c r="B3213" s="1">
        <v>8405900034</v>
      </c>
      <c r="C3213" s="1">
        <v>12</v>
      </c>
      <c r="D3213" s="1" t="s">
        <v>489</v>
      </c>
      <c r="E3213" t="s">
        <v>17215</v>
      </c>
      <c r="F3213" s="1">
        <v>674408</v>
      </c>
      <c r="G3213" s="1">
        <v>7120211762</v>
      </c>
      <c r="H3213" s="1">
        <v>6</v>
      </c>
      <c r="I3213" s="1" t="s">
        <v>375</v>
      </c>
      <c r="J3213" t="s">
        <v>17214</v>
      </c>
    </row>
    <row r="3214" spans="1:10">
      <c r="A3214" s="1">
        <v>773440</v>
      </c>
      <c r="B3214" s="1">
        <v>8405900003</v>
      </c>
      <c r="C3214" s="1">
        <v>12</v>
      </c>
      <c r="D3214" s="1" t="s">
        <v>489</v>
      </c>
      <c r="E3214" t="s">
        <v>17216</v>
      </c>
      <c r="F3214" s="1">
        <v>684555</v>
      </c>
      <c r="G3214" s="1">
        <v>7120242012</v>
      </c>
      <c r="H3214" s="1">
        <v>12</v>
      </c>
      <c r="I3214" s="1" t="s">
        <v>347</v>
      </c>
      <c r="J3214" t="s">
        <v>17217</v>
      </c>
    </row>
    <row r="3215" spans="1:10">
      <c r="A3215" s="1">
        <v>20925</v>
      </c>
      <c r="B3215" s="1">
        <v>8405900042</v>
      </c>
      <c r="C3215" s="1">
        <v>12</v>
      </c>
      <c r="D3215" s="1" t="s">
        <v>489</v>
      </c>
      <c r="E3215" t="s">
        <v>17218</v>
      </c>
      <c r="F3215" s="1">
        <v>684431</v>
      </c>
      <c r="G3215" s="1">
        <v>7120231012</v>
      </c>
      <c r="H3215" s="1">
        <v>12</v>
      </c>
      <c r="I3215" s="1" t="s">
        <v>347</v>
      </c>
      <c r="J3215" t="s">
        <v>17219</v>
      </c>
    </row>
    <row r="3216" spans="1:10">
      <c r="A3216" s="1">
        <v>430496</v>
      </c>
      <c r="B3216" s="1">
        <v>8405900035</v>
      </c>
      <c r="C3216" s="1">
        <v>12</v>
      </c>
      <c r="D3216" s="1" t="s">
        <v>489</v>
      </c>
      <c r="E3216" t="s">
        <v>17220</v>
      </c>
      <c r="F3216" s="1">
        <v>424796</v>
      </c>
      <c r="G3216" s="1">
        <v>7120210518</v>
      </c>
      <c r="H3216" s="1">
        <v>12</v>
      </c>
      <c r="I3216" s="1" t="s">
        <v>381</v>
      </c>
      <c r="J3216" t="s">
        <v>17221</v>
      </c>
    </row>
    <row r="3217" spans="1:10">
      <c r="A3217" s="1">
        <v>615070</v>
      </c>
      <c r="B3217" s="1">
        <v>2898997110</v>
      </c>
      <c r="C3217" s="1">
        <v>12</v>
      </c>
      <c r="D3217" s="1" t="s">
        <v>399</v>
      </c>
      <c r="E3217" t="s">
        <v>17222</v>
      </c>
      <c r="F3217" s="1">
        <v>683524</v>
      </c>
      <c r="G3217" s="1">
        <v>7120211016</v>
      </c>
      <c r="H3217" s="1">
        <v>12</v>
      </c>
      <c r="I3217" s="1" t="s">
        <v>381</v>
      </c>
      <c r="J3217" t="s">
        <v>17223</v>
      </c>
    </row>
    <row r="3218" spans="1:10">
      <c r="A3218" s="1">
        <v>615062</v>
      </c>
      <c r="B3218" s="1">
        <v>2898997140</v>
      </c>
      <c r="C3218" s="1">
        <v>12</v>
      </c>
      <c r="D3218" s="1" t="s">
        <v>399</v>
      </c>
      <c r="E3218" t="s">
        <v>17224</v>
      </c>
      <c r="F3218" s="1">
        <v>731174</v>
      </c>
      <c r="G3218" s="1">
        <v>7120228515</v>
      </c>
      <c r="H3218" s="1">
        <v>12</v>
      </c>
      <c r="I3218" s="1" t="s">
        <v>381</v>
      </c>
      <c r="J3218" t="s">
        <v>3526</v>
      </c>
    </row>
    <row r="3219" spans="1:10">
      <c r="A3219" s="1">
        <v>615096</v>
      </c>
      <c r="B3219" s="1">
        <v>2898997195</v>
      </c>
      <c r="C3219" s="1">
        <v>12</v>
      </c>
      <c r="D3219" s="1" t="s">
        <v>2214</v>
      </c>
      <c r="E3219" t="s">
        <v>17225</v>
      </c>
      <c r="F3219" s="1">
        <v>684340</v>
      </c>
      <c r="G3219" s="1">
        <v>7120223012</v>
      </c>
      <c r="H3219" s="1">
        <v>12</v>
      </c>
      <c r="I3219" s="1" t="s">
        <v>347</v>
      </c>
      <c r="J3219" t="s">
        <v>17226</v>
      </c>
    </row>
    <row r="3220" spans="1:10">
      <c r="A3220" s="1">
        <v>614826</v>
      </c>
      <c r="B3220" s="1">
        <v>2898997540</v>
      </c>
      <c r="C3220" s="1">
        <v>8</v>
      </c>
      <c r="D3220" s="1" t="s">
        <v>489</v>
      </c>
      <c r="E3220" t="s">
        <v>17227</v>
      </c>
      <c r="F3220" s="1">
        <v>239814</v>
      </c>
      <c r="G3220" s="1">
        <v>7120217110</v>
      </c>
      <c r="H3220" s="1">
        <v>12</v>
      </c>
      <c r="I3220" s="1" t="s">
        <v>259</v>
      </c>
      <c r="J3220" t="s">
        <v>17228</v>
      </c>
    </row>
    <row r="3221" spans="1:10">
      <c r="A3221" s="1">
        <v>615583</v>
      </c>
      <c r="B3221" s="1">
        <v>2898997500</v>
      </c>
      <c r="C3221" s="1">
        <v>8</v>
      </c>
      <c r="D3221" s="1" t="s">
        <v>489</v>
      </c>
      <c r="E3221" t="s">
        <v>17229</v>
      </c>
      <c r="F3221" s="1">
        <v>855221</v>
      </c>
      <c r="G3221" s="1">
        <v>7120217715</v>
      </c>
      <c r="H3221" s="1">
        <v>12</v>
      </c>
      <c r="I3221" s="1" t="s">
        <v>381</v>
      </c>
      <c r="J3221" t="s">
        <v>17230</v>
      </c>
    </row>
    <row r="3222" spans="1:10">
      <c r="A3222" s="1">
        <v>621466</v>
      </c>
      <c r="B3222" s="1">
        <v>2898997580</v>
      </c>
      <c r="C3222" s="1">
        <v>12</v>
      </c>
      <c r="D3222" s="1" t="s">
        <v>432</v>
      </c>
      <c r="E3222" t="s">
        <v>17231</v>
      </c>
      <c r="F3222" s="1">
        <v>731166</v>
      </c>
      <c r="G3222" s="1">
        <v>87145400040</v>
      </c>
      <c r="H3222" s="1">
        <v>12</v>
      </c>
      <c r="I3222" s="1" t="s">
        <v>908</v>
      </c>
      <c r="J3222" t="s">
        <v>17232</v>
      </c>
    </row>
    <row r="3223" spans="1:10">
      <c r="A3223" s="1">
        <v>615104</v>
      </c>
      <c r="B3223" s="1">
        <v>2898997310</v>
      </c>
      <c r="C3223" s="1">
        <v>12</v>
      </c>
      <c r="D3223" s="1" t="s">
        <v>546</v>
      </c>
      <c r="E3223" t="s">
        <v>17233</v>
      </c>
      <c r="F3223" s="1">
        <v>622746</v>
      </c>
      <c r="G3223" s="1">
        <v>1116662274</v>
      </c>
      <c r="H3223" s="1">
        <v>12</v>
      </c>
      <c r="I3223" s="1" t="s">
        <v>347</v>
      </c>
      <c r="J3223" t="s">
        <v>17234</v>
      </c>
    </row>
    <row r="3224" spans="1:10">
      <c r="A3224" s="1">
        <v>484907</v>
      </c>
      <c r="B3224" s="1">
        <v>2898926175</v>
      </c>
      <c r="C3224" s="1">
        <v>8</v>
      </c>
      <c r="D3224" s="1" t="s">
        <v>399</v>
      </c>
      <c r="E3224" t="s">
        <v>17235</v>
      </c>
      <c r="F3224" s="1">
        <v>649970</v>
      </c>
      <c r="G3224" s="1">
        <v>1116662397</v>
      </c>
      <c r="H3224" s="1">
        <v>12</v>
      </c>
      <c r="I3224" s="1" t="s">
        <v>381</v>
      </c>
      <c r="J3224" t="s">
        <v>17236</v>
      </c>
    </row>
    <row r="3225" spans="1:10">
      <c r="A3225" s="1">
        <v>621771</v>
      </c>
      <c r="B3225" s="1">
        <v>2898905510</v>
      </c>
      <c r="C3225" s="1">
        <v>8</v>
      </c>
      <c r="D3225" s="1" t="s">
        <v>432</v>
      </c>
      <c r="E3225" t="s">
        <v>17237</v>
      </c>
      <c r="F3225" s="1">
        <v>622423</v>
      </c>
      <c r="G3225" s="1">
        <v>1116662242</v>
      </c>
      <c r="H3225" s="1">
        <v>12</v>
      </c>
      <c r="I3225" s="1" t="s">
        <v>347</v>
      </c>
      <c r="J3225" t="s">
        <v>17238</v>
      </c>
    </row>
    <row r="3226" spans="1:10">
      <c r="A3226" s="1">
        <v>774737</v>
      </c>
      <c r="B3226" s="1">
        <v>2898937354</v>
      </c>
      <c r="C3226" s="1">
        <v>8</v>
      </c>
      <c r="D3226" s="1" t="s">
        <v>432</v>
      </c>
      <c r="E3226" t="s">
        <v>17239</v>
      </c>
      <c r="F3226" s="1">
        <v>621714</v>
      </c>
      <c r="G3226" s="1">
        <v>1116662171</v>
      </c>
      <c r="H3226" s="1">
        <v>24</v>
      </c>
      <c r="I3226" s="1" t="s">
        <v>381</v>
      </c>
      <c r="J3226" t="s">
        <v>17240</v>
      </c>
    </row>
    <row r="3227" spans="1:10">
      <c r="A3227" s="1">
        <v>621557</v>
      </c>
      <c r="B3227" s="1">
        <v>2898997550</v>
      </c>
      <c r="C3227" s="1">
        <v>8</v>
      </c>
      <c r="D3227" s="1" t="s">
        <v>370</v>
      </c>
      <c r="E3227" t="s">
        <v>17241</v>
      </c>
      <c r="F3227" s="1">
        <v>621672</v>
      </c>
      <c r="G3227" s="1">
        <v>1116662167</v>
      </c>
      <c r="H3227" s="1">
        <v>24</v>
      </c>
      <c r="I3227" s="1" t="s">
        <v>489</v>
      </c>
      <c r="J3227" t="s">
        <v>17242</v>
      </c>
    </row>
    <row r="3228" spans="1:10">
      <c r="A3228" s="1">
        <v>621961</v>
      </c>
      <c r="B3228" s="1">
        <v>2898997542</v>
      </c>
      <c r="C3228" s="1">
        <v>8</v>
      </c>
      <c r="D3228" s="1" t="s">
        <v>370</v>
      </c>
      <c r="E3228" t="s">
        <v>17243</v>
      </c>
      <c r="F3228" s="1">
        <v>622647</v>
      </c>
      <c r="G3228" s="1">
        <v>1116662264</v>
      </c>
      <c r="H3228" s="1">
        <v>6</v>
      </c>
      <c r="I3228" s="1" t="s">
        <v>3035</v>
      </c>
      <c r="J3228" t="s">
        <v>17244</v>
      </c>
    </row>
    <row r="3229" spans="1:10">
      <c r="A3229" s="1">
        <v>621573</v>
      </c>
      <c r="B3229" s="1">
        <v>2898997948</v>
      </c>
      <c r="C3229" s="1">
        <v>12</v>
      </c>
      <c r="D3229" s="1" t="s">
        <v>347</v>
      </c>
      <c r="E3229" t="s">
        <v>17245</v>
      </c>
      <c r="F3229" s="1">
        <v>622027</v>
      </c>
      <c r="G3229" s="1">
        <v>1116662202</v>
      </c>
      <c r="H3229" s="1">
        <v>12</v>
      </c>
      <c r="I3229" s="1" t="s">
        <v>381</v>
      </c>
      <c r="J3229" t="s">
        <v>17246</v>
      </c>
    </row>
    <row r="3230" spans="1:10">
      <c r="A3230" s="1">
        <v>621748</v>
      </c>
      <c r="B3230" s="1">
        <v>2898905534</v>
      </c>
      <c r="C3230" s="1">
        <v>8</v>
      </c>
      <c r="D3230" s="1" t="s">
        <v>489</v>
      </c>
      <c r="E3230" t="s">
        <v>17247</v>
      </c>
      <c r="F3230" s="1">
        <v>622290</v>
      </c>
      <c r="G3230" s="1">
        <v>3889744500</v>
      </c>
      <c r="H3230" s="1">
        <v>12</v>
      </c>
      <c r="I3230" s="1" t="s">
        <v>404</v>
      </c>
      <c r="J3230" t="s">
        <v>17248</v>
      </c>
    </row>
    <row r="3231" spans="1:10" ht="15.75">
      <c r="A3231" s="1">
        <v>27441</v>
      </c>
      <c r="B3231" s="1">
        <v>2898943405</v>
      </c>
      <c r="C3231" s="1">
        <v>12</v>
      </c>
      <c r="D3231" s="1" t="s">
        <v>489</v>
      </c>
      <c r="E3231" t="s">
        <v>17249</v>
      </c>
      <c r="F3231" s="4" t="s">
        <v>17250</v>
      </c>
      <c r="G3231" s="2"/>
      <c r="H3231" s="2"/>
      <c r="I3231" s="2"/>
      <c r="J3231" s="3"/>
    </row>
    <row r="3232" spans="1:10">
      <c r="A3232" s="1">
        <v>238733</v>
      </c>
      <c r="B3232" s="1">
        <v>2898944045</v>
      </c>
      <c r="C3232" s="1">
        <v>12</v>
      </c>
      <c r="D3232" s="1" t="s">
        <v>546</v>
      </c>
      <c r="E3232" t="s">
        <v>17251</v>
      </c>
      <c r="F3232" s="2" t="s">
        <v>0</v>
      </c>
      <c r="G3232" s="2" t="s">
        <v>1</v>
      </c>
      <c r="H3232" s="2" t="s">
        <v>2</v>
      </c>
      <c r="I3232" s="2" t="s">
        <v>3</v>
      </c>
      <c r="J3232" s="3" t="s">
        <v>4</v>
      </c>
    </row>
    <row r="3233" spans="1:10">
      <c r="A3233" s="1">
        <v>479022</v>
      </c>
      <c r="B3233" s="1">
        <v>2898926173</v>
      </c>
      <c r="C3233" s="1">
        <v>8</v>
      </c>
      <c r="D3233" s="1" t="s">
        <v>399</v>
      </c>
      <c r="E3233" t="s">
        <v>17252</v>
      </c>
      <c r="F3233" s="1">
        <v>179168</v>
      </c>
      <c r="G3233" s="1">
        <v>4300003176</v>
      </c>
      <c r="H3233" s="1">
        <v>8</v>
      </c>
      <c r="I3233" s="1" t="s">
        <v>404</v>
      </c>
      <c r="J3233" t="s">
        <v>17253</v>
      </c>
    </row>
    <row r="3234" spans="1:10">
      <c r="A3234" s="1">
        <v>41418</v>
      </c>
      <c r="B3234" s="1">
        <v>2898943780</v>
      </c>
      <c r="C3234" s="1">
        <v>12</v>
      </c>
      <c r="D3234" s="1" t="s">
        <v>399</v>
      </c>
      <c r="E3234" t="s">
        <v>17254</v>
      </c>
      <c r="F3234" s="1">
        <v>612333</v>
      </c>
      <c r="G3234" s="1">
        <v>4300000274</v>
      </c>
      <c r="H3234" s="1">
        <v>12</v>
      </c>
      <c r="I3234" s="1" t="s">
        <v>399</v>
      </c>
      <c r="J3234" t="s">
        <v>17255</v>
      </c>
    </row>
    <row r="3235" spans="1:10">
      <c r="A3235" s="1">
        <v>731117</v>
      </c>
      <c r="B3235" s="1">
        <v>2898927894</v>
      </c>
      <c r="C3235" s="1">
        <v>8</v>
      </c>
      <c r="D3235" s="1" t="s">
        <v>546</v>
      </c>
      <c r="E3235" t="s">
        <v>17256</v>
      </c>
      <c r="F3235" s="1">
        <v>613349</v>
      </c>
      <c r="G3235" s="1">
        <v>4300000958</v>
      </c>
      <c r="H3235" s="1">
        <v>12</v>
      </c>
      <c r="I3235" s="1" t="s">
        <v>399</v>
      </c>
      <c r="J3235" t="s">
        <v>17257</v>
      </c>
    </row>
    <row r="3236" spans="1:10">
      <c r="A3236" s="1">
        <v>372615</v>
      </c>
      <c r="B3236" s="1">
        <v>2898941860</v>
      </c>
      <c r="C3236" s="1">
        <v>8</v>
      </c>
      <c r="D3236" s="1" t="s">
        <v>17258</v>
      </c>
      <c r="E3236" t="s">
        <v>17259</v>
      </c>
      <c r="F3236" s="1">
        <v>621805</v>
      </c>
      <c r="G3236" s="1">
        <v>4300000288</v>
      </c>
      <c r="H3236" s="1">
        <v>12</v>
      </c>
      <c r="I3236" s="1" t="s">
        <v>347</v>
      </c>
      <c r="J3236" t="s">
        <v>17260</v>
      </c>
    </row>
    <row r="3237" spans="1:10">
      <c r="A3237" s="1">
        <v>841247</v>
      </c>
      <c r="B3237" s="1">
        <v>2898922976</v>
      </c>
      <c r="C3237" s="1">
        <v>8</v>
      </c>
      <c r="D3237" s="1" t="s">
        <v>489</v>
      </c>
      <c r="E3237" t="s">
        <v>17261</v>
      </c>
      <c r="F3237" s="1">
        <v>621854</v>
      </c>
      <c r="G3237" s="1">
        <v>4300000287</v>
      </c>
      <c r="H3237" s="1">
        <v>24</v>
      </c>
      <c r="I3237" s="1" t="s">
        <v>399</v>
      </c>
      <c r="J3237" t="s">
        <v>17260</v>
      </c>
    </row>
    <row r="3238" spans="1:10">
      <c r="A3238" s="1">
        <v>108746</v>
      </c>
      <c r="B3238" s="1">
        <v>2898939207</v>
      </c>
      <c r="C3238" s="1">
        <v>8</v>
      </c>
      <c r="D3238" s="1" t="s">
        <v>432</v>
      </c>
      <c r="E3238" t="s">
        <v>17262</v>
      </c>
      <c r="F3238" s="1">
        <v>622001</v>
      </c>
      <c r="G3238" s="1">
        <v>4300000956</v>
      </c>
      <c r="H3238" s="1">
        <v>12</v>
      </c>
      <c r="I3238" s="1" t="s">
        <v>381</v>
      </c>
      <c r="J3238" t="s">
        <v>17263</v>
      </c>
    </row>
    <row r="3239" spans="1:10">
      <c r="A3239" s="1">
        <v>731109</v>
      </c>
      <c r="B3239" s="1">
        <v>2898927935</v>
      </c>
      <c r="C3239" s="1">
        <v>8</v>
      </c>
      <c r="D3239" s="1" t="s">
        <v>546</v>
      </c>
      <c r="E3239" t="s">
        <v>17264</v>
      </c>
      <c r="F3239" s="1">
        <v>730002</v>
      </c>
      <c r="G3239" s="1">
        <v>4300001084</v>
      </c>
      <c r="H3239" s="1">
        <v>12</v>
      </c>
      <c r="I3239" s="1" t="s">
        <v>399</v>
      </c>
      <c r="J3239" t="s">
        <v>17265</v>
      </c>
    </row>
    <row r="3240" spans="1:10">
      <c r="A3240" s="1">
        <v>567750</v>
      </c>
      <c r="B3240" s="1">
        <v>2898937352</v>
      </c>
      <c r="C3240" s="1">
        <v>8</v>
      </c>
      <c r="D3240" s="1" t="s">
        <v>503</v>
      </c>
      <c r="E3240" t="s">
        <v>17266</v>
      </c>
      <c r="F3240" s="1">
        <v>623264</v>
      </c>
      <c r="G3240" s="1">
        <v>4300000950</v>
      </c>
      <c r="H3240" s="1">
        <v>24</v>
      </c>
      <c r="I3240" s="1" t="s">
        <v>399</v>
      </c>
      <c r="J3240" t="s">
        <v>17267</v>
      </c>
    </row>
    <row r="3241" spans="1:10" ht="15.75">
      <c r="A3241" s="4" t="s">
        <v>17250</v>
      </c>
      <c r="B3241" s="2"/>
      <c r="C3241" s="2"/>
      <c r="D3241" s="2"/>
      <c r="E3241" s="3"/>
      <c r="F3241" s="4" t="s">
        <v>17268</v>
      </c>
      <c r="G3241" s="2"/>
      <c r="H3241" s="2"/>
      <c r="I3241" s="2"/>
      <c r="J3241" s="3"/>
    </row>
    <row r="3242" spans="1:10">
      <c r="A3242" s="2" t="s">
        <v>0</v>
      </c>
      <c r="B3242" s="2" t="s">
        <v>1</v>
      </c>
      <c r="C3242" s="2" t="s">
        <v>2</v>
      </c>
      <c r="D3242" s="2" t="s">
        <v>3</v>
      </c>
      <c r="E3242" s="3" t="s">
        <v>4</v>
      </c>
      <c r="F3242" s="2" t="s">
        <v>0</v>
      </c>
      <c r="G3242" s="2" t="s">
        <v>1</v>
      </c>
      <c r="H3242" s="2" t="s">
        <v>2</v>
      </c>
      <c r="I3242" s="2" t="s">
        <v>3</v>
      </c>
      <c r="J3242" s="3" t="s">
        <v>4</v>
      </c>
    </row>
    <row r="3243" spans="1:10">
      <c r="A3243" s="1">
        <v>622449</v>
      </c>
      <c r="B3243" s="1">
        <v>4300000960</v>
      </c>
      <c r="C3243" s="1">
        <v>12</v>
      </c>
      <c r="D3243" s="1" t="s">
        <v>381</v>
      </c>
      <c r="E3243" t="s">
        <v>17269</v>
      </c>
      <c r="F3243" s="1">
        <v>419036</v>
      </c>
      <c r="G3243" s="1">
        <v>4145866092</v>
      </c>
      <c r="H3243" s="1">
        <v>12</v>
      </c>
      <c r="I3243" s="1" t="s">
        <v>16215</v>
      </c>
      <c r="J3243" t="s">
        <v>17270</v>
      </c>
    </row>
    <row r="3244" spans="1:10">
      <c r="A3244" s="1">
        <v>622415</v>
      </c>
      <c r="B3244" s="1">
        <v>4300000944</v>
      </c>
      <c r="C3244" s="1">
        <v>12</v>
      </c>
      <c r="D3244" s="1" t="s">
        <v>347</v>
      </c>
      <c r="E3244" t="s">
        <v>17271</v>
      </c>
      <c r="F3244" s="1">
        <v>731018</v>
      </c>
      <c r="G3244" s="1">
        <v>4145810556</v>
      </c>
      <c r="H3244" s="1">
        <v>6</v>
      </c>
      <c r="I3244" s="1" t="s">
        <v>1355</v>
      </c>
      <c r="J3244" t="s">
        <v>17272</v>
      </c>
    </row>
    <row r="3245" spans="1:10">
      <c r="A3245" s="1">
        <v>622407</v>
      </c>
      <c r="B3245" s="1">
        <v>4300000953</v>
      </c>
      <c r="C3245" s="1">
        <v>24</v>
      </c>
      <c r="D3245" s="1" t="s">
        <v>399</v>
      </c>
      <c r="E3245" t="s">
        <v>17271</v>
      </c>
      <c r="F3245" s="1">
        <v>537977</v>
      </c>
      <c r="G3245" s="1">
        <v>4145811743</v>
      </c>
      <c r="H3245" s="1">
        <v>12</v>
      </c>
      <c r="I3245" s="1" t="s">
        <v>798</v>
      </c>
      <c r="J3245" t="s">
        <v>17273</v>
      </c>
    </row>
    <row r="3246" spans="1:10">
      <c r="A3246" s="1">
        <v>63131</v>
      </c>
      <c r="B3246" s="1">
        <v>4113038617</v>
      </c>
      <c r="C3246" s="1">
        <v>6</v>
      </c>
      <c r="D3246" s="1" t="s">
        <v>469</v>
      </c>
      <c r="E3246" t="s">
        <v>17274</v>
      </c>
      <c r="F3246" s="1">
        <v>623512</v>
      </c>
      <c r="G3246" s="1">
        <v>4145802108</v>
      </c>
      <c r="H3246" s="1">
        <v>6</v>
      </c>
      <c r="I3246" s="1" t="s">
        <v>375</v>
      </c>
      <c r="J3246" t="s">
        <v>17275</v>
      </c>
    </row>
    <row r="3247" spans="1:10">
      <c r="A3247" s="1">
        <v>622258</v>
      </c>
      <c r="B3247" s="1">
        <v>1116662225</v>
      </c>
      <c r="C3247" s="1">
        <v>18</v>
      </c>
      <c r="D3247" s="1" t="s">
        <v>399</v>
      </c>
      <c r="E3247" t="s">
        <v>17276</v>
      </c>
      <c r="F3247" s="1">
        <v>393900</v>
      </c>
      <c r="G3247" s="1">
        <v>4145810568</v>
      </c>
      <c r="H3247" s="1">
        <v>6</v>
      </c>
      <c r="I3247" s="1" t="s">
        <v>17277</v>
      </c>
      <c r="J3247" t="s">
        <v>17278</v>
      </c>
    </row>
    <row r="3248" spans="1:10">
      <c r="A3248" s="1">
        <v>622365</v>
      </c>
      <c r="B3248" s="1">
        <v>1116662236</v>
      </c>
      <c r="C3248" s="1">
        <v>12</v>
      </c>
      <c r="D3248" s="1" t="s">
        <v>347</v>
      </c>
      <c r="E3248" t="s">
        <v>17279</v>
      </c>
      <c r="F3248" s="1">
        <v>748269</v>
      </c>
      <c r="G3248" s="1">
        <v>2770054879</v>
      </c>
      <c r="H3248" s="1">
        <v>6</v>
      </c>
      <c r="I3248" s="1" t="s">
        <v>3633</v>
      </c>
      <c r="J3248" t="s">
        <v>17280</v>
      </c>
    </row>
    <row r="3249" spans="1:10">
      <c r="A3249" s="1">
        <v>622357</v>
      </c>
      <c r="B3249" s="1">
        <v>1116662235</v>
      </c>
      <c r="C3249" s="1">
        <v>18</v>
      </c>
      <c r="D3249" s="1" t="s">
        <v>399</v>
      </c>
      <c r="E3249" t="s">
        <v>17279</v>
      </c>
      <c r="F3249" s="1">
        <v>184531</v>
      </c>
      <c r="G3249" s="1">
        <v>2770054878</v>
      </c>
      <c r="H3249" s="1">
        <v>6</v>
      </c>
      <c r="I3249" s="1" t="s">
        <v>3633</v>
      </c>
      <c r="J3249" t="s">
        <v>17281</v>
      </c>
    </row>
    <row r="3250" spans="1:10">
      <c r="A3250" s="1">
        <v>633081</v>
      </c>
      <c r="B3250" s="1">
        <v>1116663308</v>
      </c>
      <c r="C3250" s="1">
        <v>18</v>
      </c>
      <c r="D3250" s="1" t="s">
        <v>399</v>
      </c>
      <c r="E3250" t="s">
        <v>17282</v>
      </c>
      <c r="F3250" s="1">
        <v>455550</v>
      </c>
      <c r="G3250" s="1">
        <v>2770054883</v>
      </c>
      <c r="H3250" s="1">
        <v>6</v>
      </c>
      <c r="I3250" s="1" t="s">
        <v>3633</v>
      </c>
      <c r="J3250" t="s">
        <v>17283</v>
      </c>
    </row>
    <row r="3251" spans="1:10" ht="15.75">
      <c r="A3251" s="4" t="s">
        <v>17268</v>
      </c>
      <c r="B3251" s="2"/>
      <c r="C3251" s="2"/>
      <c r="D3251" s="2"/>
      <c r="E3251" s="3"/>
      <c r="F3251" s="1">
        <v>556795</v>
      </c>
      <c r="G3251" s="1">
        <v>2770004192</v>
      </c>
      <c r="H3251" s="1">
        <v>6</v>
      </c>
      <c r="I3251" s="1" t="s">
        <v>697</v>
      </c>
      <c r="J3251" t="s">
        <v>17284</v>
      </c>
    </row>
    <row r="3252" spans="1:10">
      <c r="A3252" s="2" t="s">
        <v>0</v>
      </c>
      <c r="B3252" s="2" t="s">
        <v>1</v>
      </c>
      <c r="C3252" s="2" t="s">
        <v>2</v>
      </c>
      <c r="D3252" s="2" t="s">
        <v>3</v>
      </c>
      <c r="E3252" s="3" t="s">
        <v>4</v>
      </c>
      <c r="F3252" s="1">
        <v>623173</v>
      </c>
      <c r="G3252" s="1">
        <v>2770013001</v>
      </c>
      <c r="H3252" s="1">
        <v>6</v>
      </c>
      <c r="I3252" s="1" t="s">
        <v>6021</v>
      </c>
      <c r="J3252" t="s">
        <v>17285</v>
      </c>
    </row>
    <row r="3253" spans="1:10">
      <c r="A3253" s="1">
        <v>629196</v>
      </c>
      <c r="B3253" s="1">
        <v>7219600107</v>
      </c>
      <c r="C3253" s="1">
        <v>12</v>
      </c>
      <c r="D3253" s="1" t="s">
        <v>381</v>
      </c>
      <c r="E3253" t="s">
        <v>17286</v>
      </c>
      <c r="F3253" s="1">
        <v>417915</v>
      </c>
      <c r="G3253" s="1">
        <v>2770054874</v>
      </c>
      <c r="H3253" s="1">
        <v>6</v>
      </c>
      <c r="I3253" s="1" t="s">
        <v>3633</v>
      </c>
      <c r="J3253" t="s">
        <v>17287</v>
      </c>
    </row>
    <row r="3254" spans="1:10">
      <c r="A3254" s="1">
        <v>621144</v>
      </c>
      <c r="B3254" s="1">
        <v>7219607250</v>
      </c>
      <c r="C3254" s="1">
        <v>12</v>
      </c>
      <c r="D3254" s="1" t="s">
        <v>212</v>
      </c>
      <c r="E3254" t="s">
        <v>17288</v>
      </c>
      <c r="F3254" s="1">
        <v>253690</v>
      </c>
      <c r="G3254" s="1">
        <v>2770054843</v>
      </c>
      <c r="H3254" s="1">
        <v>6</v>
      </c>
      <c r="I3254" s="1" t="s">
        <v>17289</v>
      </c>
      <c r="J3254" t="s">
        <v>17290</v>
      </c>
    </row>
    <row r="3255" spans="1:10">
      <c r="A3255" s="1">
        <v>424986</v>
      </c>
      <c r="B3255" s="1">
        <v>4750000892</v>
      </c>
      <c r="C3255" s="1">
        <v>8</v>
      </c>
      <c r="D3255" s="1" t="s">
        <v>381</v>
      </c>
      <c r="E3255" t="s">
        <v>17291</v>
      </c>
      <c r="F3255" s="1">
        <v>430876</v>
      </c>
      <c r="G3255" s="1">
        <v>2770054875</v>
      </c>
      <c r="H3255" s="1">
        <v>6</v>
      </c>
      <c r="I3255" s="1" t="s">
        <v>3633</v>
      </c>
      <c r="J3255" t="s">
        <v>17292</v>
      </c>
    </row>
    <row r="3256" spans="1:10">
      <c r="A3256" s="1">
        <v>270165</v>
      </c>
      <c r="B3256" s="1">
        <v>4113038623</v>
      </c>
      <c r="C3256" s="1">
        <v>12</v>
      </c>
      <c r="D3256" s="1" t="s">
        <v>399</v>
      </c>
      <c r="E3256" t="s">
        <v>17293</v>
      </c>
      <c r="F3256" s="1">
        <v>621235</v>
      </c>
      <c r="G3256" s="1">
        <v>7770000026</v>
      </c>
      <c r="H3256" s="1">
        <v>6</v>
      </c>
      <c r="I3256" s="1" t="s">
        <v>375</v>
      </c>
      <c r="J3256" t="s">
        <v>17294</v>
      </c>
    </row>
    <row r="3257" spans="1:10">
      <c r="A3257" s="1">
        <v>312538</v>
      </c>
      <c r="B3257" s="1">
        <v>4113038622</v>
      </c>
      <c r="C3257" s="1">
        <v>12</v>
      </c>
      <c r="D3257" s="1" t="s">
        <v>399</v>
      </c>
      <c r="E3257" t="s">
        <v>17295</v>
      </c>
      <c r="F3257" s="1">
        <v>621540</v>
      </c>
      <c r="G3257" s="1">
        <v>7770000002</v>
      </c>
      <c r="H3257" s="1">
        <v>6</v>
      </c>
      <c r="I3257" s="1" t="s">
        <v>375</v>
      </c>
      <c r="J3257" t="s">
        <v>17296</v>
      </c>
    </row>
    <row r="3258" spans="1:10">
      <c r="A3258" s="1">
        <v>389767</v>
      </c>
      <c r="B3258" s="1">
        <v>4113038621</v>
      </c>
      <c r="C3258" s="1">
        <v>12</v>
      </c>
      <c r="D3258" s="1" t="s">
        <v>399</v>
      </c>
      <c r="E3258" t="s">
        <v>17297</v>
      </c>
      <c r="F3258" s="1">
        <v>621300</v>
      </c>
      <c r="G3258" s="1">
        <v>7770000004</v>
      </c>
      <c r="H3258" s="1">
        <v>6</v>
      </c>
      <c r="I3258" s="1" t="s">
        <v>375</v>
      </c>
      <c r="J3258" t="s">
        <v>17298</v>
      </c>
    </row>
    <row r="3259" spans="1:10">
      <c r="A3259" s="1">
        <v>252379</v>
      </c>
      <c r="B3259" s="1">
        <v>4113038624</v>
      </c>
      <c r="C3259" s="1">
        <v>12</v>
      </c>
      <c r="D3259" s="1" t="s">
        <v>17299</v>
      </c>
      <c r="E3259" t="s">
        <v>17300</v>
      </c>
      <c r="F3259" s="1">
        <v>851485</v>
      </c>
      <c r="G3259" s="1">
        <v>2770054876</v>
      </c>
      <c r="H3259" s="1">
        <v>6</v>
      </c>
      <c r="I3259" s="1" t="s">
        <v>3633</v>
      </c>
      <c r="J3259" t="s">
        <v>17301</v>
      </c>
    </row>
    <row r="3260" spans="1:10">
      <c r="A3260" s="1">
        <v>389916</v>
      </c>
      <c r="B3260" s="1">
        <v>4113038618</v>
      </c>
      <c r="C3260" s="1">
        <v>6</v>
      </c>
      <c r="D3260" s="1" t="s">
        <v>469</v>
      </c>
      <c r="E3260" t="s">
        <v>17302</v>
      </c>
      <c r="F3260" s="1">
        <v>495143</v>
      </c>
      <c r="G3260" s="1">
        <v>2770054877</v>
      </c>
      <c r="H3260" s="1">
        <v>6</v>
      </c>
      <c r="I3260" s="1" t="s">
        <v>3633</v>
      </c>
      <c r="J3260" t="s">
        <v>17303</v>
      </c>
    </row>
    <row r="3261" spans="1:10">
      <c r="A3261" s="1">
        <v>702985</v>
      </c>
      <c r="B3261" s="1">
        <v>4113038620</v>
      </c>
      <c r="C3261" s="1">
        <v>8</v>
      </c>
      <c r="D3261" s="1" t="s">
        <v>621</v>
      </c>
      <c r="E3261" t="s">
        <v>17304</v>
      </c>
      <c r="F3261" s="1">
        <v>530303</v>
      </c>
      <c r="G3261" s="1">
        <v>2770054880</v>
      </c>
      <c r="H3261" s="1">
        <v>6</v>
      </c>
      <c r="I3261" s="1" t="s">
        <v>3633</v>
      </c>
      <c r="J3261" t="s">
        <v>17305</v>
      </c>
    </row>
    <row r="3262" spans="1:10">
      <c r="A3262" s="1">
        <v>776161</v>
      </c>
      <c r="B3262" s="1">
        <v>4113038619</v>
      </c>
      <c r="C3262" s="1">
        <v>8</v>
      </c>
      <c r="D3262" s="1" t="s">
        <v>954</v>
      </c>
      <c r="E3262" t="s">
        <v>17306</v>
      </c>
      <c r="F3262" s="1">
        <v>623520</v>
      </c>
      <c r="G3262" s="1">
        <v>2770004011</v>
      </c>
      <c r="H3262" s="1">
        <v>6</v>
      </c>
      <c r="I3262" s="1" t="s">
        <v>722</v>
      </c>
      <c r="J3262" t="s">
        <v>17307</v>
      </c>
    </row>
    <row r="3263" spans="1:10">
      <c r="A3263" s="1">
        <v>842005</v>
      </c>
      <c r="B3263" s="1">
        <v>4113038637</v>
      </c>
      <c r="C3263" s="1">
        <v>4</v>
      </c>
      <c r="D3263" s="1" t="s">
        <v>553</v>
      </c>
      <c r="E3263" t="s">
        <v>17308</v>
      </c>
      <c r="F3263" s="1">
        <v>623132</v>
      </c>
      <c r="G3263" s="1">
        <v>2770004006</v>
      </c>
      <c r="H3263" s="1">
        <v>6</v>
      </c>
      <c r="I3263" s="1" t="s">
        <v>1489</v>
      </c>
      <c r="J3263" t="s">
        <v>17309</v>
      </c>
    </row>
    <row r="3264" spans="1:10">
      <c r="A3264" s="1">
        <v>649038</v>
      </c>
      <c r="B3264" s="1">
        <v>67667000107</v>
      </c>
      <c r="C3264" s="1">
        <v>9</v>
      </c>
      <c r="D3264" s="1" t="s">
        <v>16793</v>
      </c>
      <c r="E3264" t="s">
        <v>17310</v>
      </c>
      <c r="F3264" s="1">
        <v>623207</v>
      </c>
      <c r="G3264" s="1">
        <v>2770004016</v>
      </c>
      <c r="H3264" s="1">
        <v>12</v>
      </c>
      <c r="I3264" s="1" t="s">
        <v>347</v>
      </c>
      <c r="J3264" t="s">
        <v>17311</v>
      </c>
    </row>
    <row r="3265" spans="1:10">
      <c r="A3265" s="1">
        <v>649053</v>
      </c>
      <c r="B3265" s="1">
        <v>67667000106</v>
      </c>
      <c r="C3265" s="1">
        <v>9</v>
      </c>
      <c r="D3265" s="1" t="s">
        <v>16793</v>
      </c>
      <c r="E3265" t="s">
        <v>17312</v>
      </c>
      <c r="F3265" s="1">
        <v>160440</v>
      </c>
      <c r="G3265" s="1">
        <v>2770054881</v>
      </c>
      <c r="H3265" s="1">
        <v>6</v>
      </c>
      <c r="I3265" s="1" t="s">
        <v>3633</v>
      </c>
      <c r="J3265" t="s">
        <v>17313</v>
      </c>
    </row>
    <row r="3266" spans="1:10">
      <c r="A3266" s="1">
        <v>476234</v>
      </c>
      <c r="B3266" s="1">
        <v>64420942171</v>
      </c>
      <c r="C3266" s="1">
        <v>12</v>
      </c>
      <c r="D3266" s="1" t="s">
        <v>940</v>
      </c>
      <c r="E3266" t="s">
        <v>17314</v>
      </c>
      <c r="F3266" s="1">
        <v>641373</v>
      </c>
      <c r="G3266" s="1">
        <v>2770004108</v>
      </c>
      <c r="H3266" s="1">
        <v>12</v>
      </c>
      <c r="I3266" s="1" t="s">
        <v>793</v>
      </c>
      <c r="J3266" t="s">
        <v>17315</v>
      </c>
    </row>
    <row r="3267" spans="1:10">
      <c r="A3267" s="1">
        <v>503029</v>
      </c>
      <c r="B3267" s="1">
        <v>64420942169</v>
      </c>
      <c r="C3267" s="1">
        <v>12</v>
      </c>
      <c r="D3267" s="1" t="s">
        <v>940</v>
      </c>
      <c r="E3267" t="s">
        <v>17316</v>
      </c>
      <c r="F3267" s="1">
        <v>606061</v>
      </c>
      <c r="G3267" s="1">
        <v>7770072102</v>
      </c>
      <c r="H3267" s="1">
        <v>8</v>
      </c>
      <c r="I3267" s="1" t="s">
        <v>706</v>
      </c>
      <c r="J3267" t="s">
        <v>17317</v>
      </c>
    </row>
    <row r="3268" spans="1:10">
      <c r="A3268" s="1">
        <v>142935</v>
      </c>
      <c r="B3268" s="1">
        <v>64420942176</v>
      </c>
      <c r="C3268" s="1">
        <v>12</v>
      </c>
      <c r="D3268" s="1" t="s">
        <v>940</v>
      </c>
      <c r="E3268" t="s">
        <v>17318</v>
      </c>
      <c r="F3268" s="1">
        <v>502765</v>
      </c>
      <c r="G3268" s="1">
        <v>71027302001</v>
      </c>
      <c r="H3268" s="1">
        <v>8</v>
      </c>
      <c r="I3268" s="1" t="s">
        <v>263</v>
      </c>
      <c r="J3268" t="s">
        <v>17319</v>
      </c>
    </row>
    <row r="3269" spans="1:10">
      <c r="A3269" s="1">
        <v>623694</v>
      </c>
      <c r="B3269" s="1">
        <v>4145811722</v>
      </c>
      <c r="C3269" s="1">
        <v>12</v>
      </c>
      <c r="D3269" s="1" t="s">
        <v>4478</v>
      </c>
      <c r="E3269" t="s">
        <v>17320</v>
      </c>
      <c r="F3269" s="1">
        <v>624163</v>
      </c>
      <c r="G3269" s="1">
        <v>5100007623</v>
      </c>
      <c r="H3269" s="1">
        <v>6</v>
      </c>
      <c r="I3269" s="1" t="s">
        <v>17321</v>
      </c>
      <c r="J3269" t="s">
        <v>17322</v>
      </c>
    </row>
    <row r="3270" spans="1:10">
      <c r="A3270" s="1">
        <v>623595</v>
      </c>
      <c r="B3270" s="1">
        <v>4145810534</v>
      </c>
      <c r="C3270" s="1">
        <v>6</v>
      </c>
      <c r="D3270" s="1" t="s">
        <v>1366</v>
      </c>
      <c r="E3270" t="s">
        <v>17323</v>
      </c>
      <c r="F3270" s="1">
        <v>624106</v>
      </c>
      <c r="G3270" s="1">
        <v>5100007625</v>
      </c>
      <c r="H3270" s="1">
        <v>6</v>
      </c>
      <c r="I3270" s="1" t="s">
        <v>17321</v>
      </c>
      <c r="J3270" t="s">
        <v>17324</v>
      </c>
    </row>
    <row r="3271" spans="1:10">
      <c r="A3271" s="1">
        <v>623397</v>
      </c>
      <c r="B3271" s="1">
        <v>4145811705</v>
      </c>
      <c r="C3271" s="1">
        <v>12</v>
      </c>
      <c r="D3271" s="1" t="s">
        <v>465</v>
      </c>
      <c r="E3271" t="s">
        <v>17325</v>
      </c>
      <c r="F3271" s="1">
        <v>624205</v>
      </c>
      <c r="G3271" s="1">
        <v>5100007626</v>
      </c>
      <c r="H3271" s="1">
        <v>6</v>
      </c>
      <c r="I3271" s="1" t="s">
        <v>17321</v>
      </c>
      <c r="J3271" t="s">
        <v>17326</v>
      </c>
    </row>
    <row r="3272" spans="1:10">
      <c r="A3272" s="1">
        <v>701433</v>
      </c>
      <c r="B3272" s="1">
        <v>4145866088</v>
      </c>
      <c r="C3272" s="1">
        <v>8</v>
      </c>
      <c r="D3272" s="1" t="s">
        <v>17327</v>
      </c>
      <c r="E3272" t="s">
        <v>17328</v>
      </c>
      <c r="F3272" s="1">
        <v>625467</v>
      </c>
      <c r="G3272" s="1">
        <v>5100007874</v>
      </c>
      <c r="H3272" s="1">
        <v>12</v>
      </c>
      <c r="I3272" s="1" t="s">
        <v>834</v>
      </c>
      <c r="J3272" t="s">
        <v>17329</v>
      </c>
    </row>
    <row r="3273" spans="1:10">
      <c r="A3273" s="1">
        <v>696385</v>
      </c>
      <c r="B3273" s="1">
        <v>4145810246</v>
      </c>
      <c r="C3273" s="1">
        <v>6</v>
      </c>
      <c r="D3273" s="1" t="s">
        <v>3271</v>
      </c>
      <c r="E3273" t="s">
        <v>17330</v>
      </c>
      <c r="F3273" s="1">
        <v>625400</v>
      </c>
      <c r="G3273" s="1">
        <v>5100007519</v>
      </c>
      <c r="H3273" s="1">
        <v>12</v>
      </c>
      <c r="I3273" s="1" t="s">
        <v>742</v>
      </c>
      <c r="J3273" t="s">
        <v>17331</v>
      </c>
    </row>
    <row r="3274" spans="1:10">
      <c r="A3274" s="1">
        <v>623728</v>
      </c>
      <c r="B3274" s="1">
        <v>4145811704</v>
      </c>
      <c r="C3274" s="1">
        <v>12</v>
      </c>
      <c r="D3274" s="1" t="s">
        <v>1535</v>
      </c>
      <c r="E3274" t="s">
        <v>17332</v>
      </c>
      <c r="F3274" s="1">
        <v>625327</v>
      </c>
      <c r="G3274" s="1">
        <v>5100007501</v>
      </c>
      <c r="H3274" s="1">
        <v>12</v>
      </c>
      <c r="I3274" s="1" t="s">
        <v>742</v>
      </c>
      <c r="J3274" t="s">
        <v>17333</v>
      </c>
    </row>
    <row r="3275" spans="1:10">
      <c r="A3275" s="1">
        <v>649079</v>
      </c>
      <c r="B3275" s="1">
        <v>4145811713</v>
      </c>
      <c r="C3275" s="1">
        <v>12</v>
      </c>
      <c r="D3275" s="1" t="s">
        <v>352</v>
      </c>
      <c r="E3275" t="s">
        <v>17334</v>
      </c>
      <c r="F3275" s="1">
        <v>212886</v>
      </c>
      <c r="G3275" s="1">
        <v>5100017423</v>
      </c>
      <c r="H3275" s="1">
        <v>6</v>
      </c>
      <c r="I3275" s="1" t="s">
        <v>574</v>
      </c>
      <c r="J3275" t="s">
        <v>17335</v>
      </c>
    </row>
    <row r="3276" spans="1:10">
      <c r="A3276" s="1">
        <v>371518</v>
      </c>
      <c r="B3276" s="1">
        <v>4145810247</v>
      </c>
      <c r="C3276" s="1">
        <v>6</v>
      </c>
      <c r="D3276" s="1" t="s">
        <v>3271</v>
      </c>
      <c r="E3276" t="s">
        <v>17336</v>
      </c>
      <c r="F3276" s="1">
        <v>624122</v>
      </c>
      <c r="G3276" s="1">
        <v>5100007620</v>
      </c>
      <c r="H3276" s="1">
        <v>6</v>
      </c>
      <c r="I3276" s="1" t="s">
        <v>17321</v>
      </c>
      <c r="J3276" t="s">
        <v>17337</v>
      </c>
    </row>
    <row r="3277" spans="1:10">
      <c r="A3277" s="1">
        <v>122267</v>
      </c>
      <c r="B3277" s="1">
        <v>4145810300</v>
      </c>
      <c r="C3277" s="1">
        <v>6</v>
      </c>
      <c r="D3277" s="1" t="s">
        <v>637</v>
      </c>
      <c r="E3277" t="s">
        <v>17338</v>
      </c>
      <c r="F3277" s="1">
        <v>624239</v>
      </c>
      <c r="G3277" s="1">
        <v>5100007629</v>
      </c>
      <c r="H3277" s="1">
        <v>6</v>
      </c>
      <c r="I3277" s="1" t="s">
        <v>17321</v>
      </c>
      <c r="J3277" t="s">
        <v>17339</v>
      </c>
    </row>
    <row r="3278" spans="1:10">
      <c r="A3278" s="1">
        <v>56812</v>
      </c>
      <c r="B3278" s="1">
        <v>4145866096</v>
      </c>
      <c r="C3278" s="1">
        <v>8</v>
      </c>
      <c r="D3278" s="1" t="s">
        <v>17340</v>
      </c>
      <c r="E3278" t="s">
        <v>17341</v>
      </c>
      <c r="F3278" s="1">
        <v>852178</v>
      </c>
      <c r="G3278" s="1">
        <v>5100017875</v>
      </c>
      <c r="H3278" s="1">
        <v>6</v>
      </c>
      <c r="I3278" s="1" t="s">
        <v>574</v>
      </c>
      <c r="J3278" t="s">
        <v>17342</v>
      </c>
    </row>
    <row r="3279" spans="1:10">
      <c r="A3279" s="1">
        <v>573956</v>
      </c>
      <c r="B3279" s="1">
        <v>4145866097</v>
      </c>
      <c r="C3279" s="1">
        <v>6</v>
      </c>
      <c r="D3279" s="1" t="s">
        <v>3633</v>
      </c>
      <c r="E3279" t="s">
        <v>17343</v>
      </c>
      <c r="F3279" s="1">
        <v>625442</v>
      </c>
      <c r="G3279" s="1">
        <v>5100007508</v>
      </c>
      <c r="H3279" s="1">
        <v>12</v>
      </c>
      <c r="I3279" s="1" t="s">
        <v>489</v>
      </c>
      <c r="J3279" t="s">
        <v>17344</v>
      </c>
    </row>
    <row r="3280" spans="1:10">
      <c r="A3280" s="1">
        <v>568915</v>
      </c>
      <c r="B3280" s="1">
        <v>4145803116</v>
      </c>
      <c r="C3280" s="1">
        <v>6</v>
      </c>
      <c r="D3280" s="1" t="s">
        <v>971</v>
      </c>
      <c r="E3280" t="s">
        <v>17345</v>
      </c>
      <c r="F3280" s="1">
        <v>645739</v>
      </c>
      <c r="G3280" s="1">
        <v>1800085133</v>
      </c>
      <c r="H3280" s="1">
        <v>12</v>
      </c>
      <c r="I3280" s="1" t="s">
        <v>347</v>
      </c>
      <c r="J3280" t="s">
        <v>17346</v>
      </c>
    </row>
    <row r="3281" spans="1:10">
      <c r="A3281" s="1">
        <v>576223</v>
      </c>
      <c r="B3281" s="1">
        <v>4145866095</v>
      </c>
      <c r="C3281" s="1">
        <v>12</v>
      </c>
      <c r="D3281" s="1" t="s">
        <v>17299</v>
      </c>
      <c r="E3281" t="s">
        <v>17347</v>
      </c>
      <c r="F3281" s="1">
        <v>622639</v>
      </c>
      <c r="G3281" s="1">
        <v>1800085134</v>
      </c>
      <c r="H3281" s="1">
        <v>12</v>
      </c>
      <c r="I3281" s="1" t="s">
        <v>489</v>
      </c>
      <c r="J3281" t="s">
        <v>17348</v>
      </c>
    </row>
    <row r="3282" spans="1:10" ht="15.75">
      <c r="A3282" s="4" t="s">
        <v>17268</v>
      </c>
      <c r="B3282" s="2"/>
      <c r="C3282" s="2"/>
      <c r="D3282" s="2"/>
      <c r="E3282" s="3"/>
      <c r="F3282" s="4" t="s">
        <v>17349</v>
      </c>
      <c r="G3282" s="2"/>
      <c r="H3282" s="2"/>
      <c r="I3282" s="2"/>
      <c r="J3282" s="3"/>
    </row>
    <row r="3283" spans="1:10">
      <c r="A3283" s="2" t="s">
        <v>0</v>
      </c>
      <c r="B3283" s="2" t="s">
        <v>1</v>
      </c>
      <c r="C3283" s="2" t="s">
        <v>2</v>
      </c>
      <c r="D3283" s="2" t="s">
        <v>3</v>
      </c>
      <c r="E3283" s="3" t="s">
        <v>4</v>
      </c>
      <c r="F3283" s="2" t="s">
        <v>0</v>
      </c>
      <c r="G3283" s="2" t="s">
        <v>1</v>
      </c>
      <c r="H3283" s="2" t="s">
        <v>2</v>
      </c>
      <c r="I3283" s="2" t="s">
        <v>3</v>
      </c>
      <c r="J3283" s="3" t="s">
        <v>4</v>
      </c>
    </row>
    <row r="3284" spans="1:10">
      <c r="A3284" s="1">
        <v>622654</v>
      </c>
      <c r="B3284" s="1">
        <v>1800085138</v>
      </c>
      <c r="C3284" s="1">
        <v>12</v>
      </c>
      <c r="D3284" s="1" t="s">
        <v>347</v>
      </c>
      <c r="E3284" t="s">
        <v>17350</v>
      </c>
      <c r="F3284" s="1">
        <v>626069</v>
      </c>
      <c r="G3284" s="1">
        <v>2500002514</v>
      </c>
      <c r="H3284" s="1">
        <v>24</v>
      </c>
      <c r="I3284" s="1" t="s">
        <v>2303</v>
      </c>
      <c r="J3284" t="s">
        <v>17351</v>
      </c>
    </row>
    <row r="3285" spans="1:10">
      <c r="A3285" s="1">
        <v>527499</v>
      </c>
      <c r="B3285" s="1">
        <v>1116601485</v>
      </c>
      <c r="C3285" s="1">
        <v>12</v>
      </c>
      <c r="D3285" s="1" t="s">
        <v>489</v>
      </c>
      <c r="E3285" t="s">
        <v>17352</v>
      </c>
      <c r="F3285" s="1">
        <v>626101</v>
      </c>
      <c r="G3285" s="1">
        <v>2500002513</v>
      </c>
      <c r="H3285" s="1">
        <v>24</v>
      </c>
      <c r="I3285" s="1" t="s">
        <v>2303</v>
      </c>
      <c r="J3285" t="s">
        <v>17353</v>
      </c>
    </row>
    <row r="3286" spans="1:10">
      <c r="A3286" s="1">
        <v>621862</v>
      </c>
      <c r="B3286" s="1">
        <v>3210004724</v>
      </c>
      <c r="C3286" s="1">
        <v>6</v>
      </c>
      <c r="D3286" s="1" t="s">
        <v>1465</v>
      </c>
      <c r="E3286" t="s">
        <v>17354</v>
      </c>
      <c r="F3286" s="1">
        <v>626051</v>
      </c>
      <c r="G3286" s="1">
        <v>2500002516</v>
      </c>
      <c r="H3286" s="1">
        <v>24</v>
      </c>
      <c r="I3286" s="1" t="s">
        <v>4819</v>
      </c>
      <c r="J3286" t="s">
        <v>17355</v>
      </c>
    </row>
    <row r="3287" spans="1:10">
      <c r="A3287" s="1">
        <v>624270</v>
      </c>
      <c r="B3287" s="1">
        <v>3210004758</v>
      </c>
      <c r="C3287" s="1">
        <v>6</v>
      </c>
      <c r="D3287" s="1" t="s">
        <v>1465</v>
      </c>
      <c r="E3287" t="s">
        <v>17356</v>
      </c>
      <c r="F3287" s="1">
        <v>626093</v>
      </c>
      <c r="G3287" s="1">
        <v>2500002519</v>
      </c>
      <c r="H3287" s="1">
        <v>24</v>
      </c>
      <c r="I3287" s="1" t="s">
        <v>2303</v>
      </c>
      <c r="J3287" t="s">
        <v>17357</v>
      </c>
    </row>
    <row r="3288" spans="1:10">
      <c r="A3288" s="1">
        <v>624247</v>
      </c>
      <c r="B3288" s="1">
        <v>3210004741</v>
      </c>
      <c r="C3288" s="1">
        <v>6</v>
      </c>
      <c r="D3288" s="1" t="s">
        <v>1465</v>
      </c>
      <c r="E3288" t="s">
        <v>17358</v>
      </c>
      <c r="F3288" s="1">
        <v>626119</v>
      </c>
      <c r="G3288" s="1">
        <v>2500002521</v>
      </c>
      <c r="H3288" s="1">
        <v>24</v>
      </c>
      <c r="I3288" s="1" t="s">
        <v>1191</v>
      </c>
      <c r="J3288" t="s">
        <v>17357</v>
      </c>
    </row>
    <row r="3289" spans="1:10">
      <c r="A3289" s="1">
        <v>624478</v>
      </c>
      <c r="B3289" s="1">
        <v>3210003404</v>
      </c>
      <c r="C3289" s="1">
        <v>12</v>
      </c>
      <c r="D3289" s="1" t="s">
        <v>381</v>
      </c>
      <c r="E3289" t="s">
        <v>17359</v>
      </c>
      <c r="F3289" s="1">
        <v>623900</v>
      </c>
      <c r="G3289" s="1">
        <v>2500002496</v>
      </c>
      <c r="H3289" s="1">
        <v>24</v>
      </c>
      <c r="I3289" s="1" t="s">
        <v>2303</v>
      </c>
      <c r="J3289" t="s">
        <v>17360</v>
      </c>
    </row>
    <row r="3290" spans="1:10">
      <c r="A3290" s="1">
        <v>624783</v>
      </c>
      <c r="B3290" s="1">
        <v>3210003048</v>
      </c>
      <c r="C3290" s="1">
        <v>8</v>
      </c>
      <c r="D3290" s="1" t="s">
        <v>469</v>
      </c>
      <c r="E3290" t="s">
        <v>17361</v>
      </c>
      <c r="F3290" s="1">
        <v>623405</v>
      </c>
      <c r="G3290" s="1">
        <v>2500002544</v>
      </c>
      <c r="H3290" s="1">
        <v>24</v>
      </c>
      <c r="I3290" s="1" t="s">
        <v>2303</v>
      </c>
      <c r="J3290" t="s">
        <v>17362</v>
      </c>
    </row>
    <row r="3291" spans="1:10">
      <c r="A3291" s="1">
        <v>624437</v>
      </c>
      <c r="B3291" s="1">
        <v>3210002631</v>
      </c>
      <c r="C3291" s="1">
        <v>12</v>
      </c>
      <c r="D3291" s="1" t="s">
        <v>5054</v>
      </c>
      <c r="E3291" t="s">
        <v>17363</v>
      </c>
      <c r="F3291" s="1">
        <v>626556</v>
      </c>
      <c r="G3291" s="1">
        <v>2500002549</v>
      </c>
      <c r="H3291" s="1">
        <v>24</v>
      </c>
      <c r="I3291" s="1" t="s">
        <v>2303</v>
      </c>
      <c r="J3291" t="s">
        <v>17364</v>
      </c>
    </row>
    <row r="3292" spans="1:10">
      <c r="A3292" s="1">
        <v>624858</v>
      </c>
      <c r="B3292" s="1">
        <v>3210003722</v>
      </c>
      <c r="C3292" s="1">
        <v>8</v>
      </c>
      <c r="D3292" s="1" t="s">
        <v>637</v>
      </c>
      <c r="E3292" t="s">
        <v>17365</v>
      </c>
      <c r="F3292" s="1">
        <v>635581</v>
      </c>
      <c r="G3292" s="1">
        <v>7535511241</v>
      </c>
      <c r="H3292" s="1">
        <v>24</v>
      </c>
      <c r="I3292" s="1" t="s">
        <v>2303</v>
      </c>
      <c r="J3292" t="s">
        <v>17366</v>
      </c>
    </row>
    <row r="3293" spans="1:10">
      <c r="A3293" s="1">
        <v>624544</v>
      </c>
      <c r="B3293" s="1">
        <v>3210002011</v>
      </c>
      <c r="C3293" s="1">
        <v>12</v>
      </c>
      <c r="D3293" s="1" t="s">
        <v>940</v>
      </c>
      <c r="E3293" t="s">
        <v>17367</v>
      </c>
      <c r="F3293" s="1">
        <v>635599</v>
      </c>
      <c r="G3293" s="1">
        <v>7535511243</v>
      </c>
      <c r="H3293" s="1">
        <v>24</v>
      </c>
      <c r="I3293" s="1" t="s">
        <v>347</v>
      </c>
      <c r="J3293" t="s">
        <v>17368</v>
      </c>
    </row>
    <row r="3294" spans="1:10">
      <c r="A3294" s="1">
        <v>624791</v>
      </c>
      <c r="B3294" s="1">
        <v>3210002340</v>
      </c>
      <c r="C3294" s="1">
        <v>8</v>
      </c>
      <c r="D3294" s="1" t="s">
        <v>703</v>
      </c>
      <c r="E3294" t="s">
        <v>17369</v>
      </c>
      <c r="F3294" s="1">
        <v>635433</v>
      </c>
      <c r="G3294" s="1">
        <v>7535511244</v>
      </c>
      <c r="H3294" s="1">
        <v>24</v>
      </c>
      <c r="I3294" s="1" t="s">
        <v>347</v>
      </c>
      <c r="J3294" t="s">
        <v>17370</v>
      </c>
    </row>
    <row r="3295" spans="1:10">
      <c r="A3295" s="1">
        <v>621821</v>
      </c>
      <c r="B3295" s="1">
        <v>3210004721</v>
      </c>
      <c r="C3295" s="1">
        <v>6</v>
      </c>
      <c r="D3295" s="1" t="s">
        <v>1465</v>
      </c>
      <c r="E3295" t="s">
        <v>17371</v>
      </c>
      <c r="F3295" s="1">
        <v>635649</v>
      </c>
      <c r="G3295" s="1">
        <v>7535511249</v>
      </c>
      <c r="H3295" s="1">
        <v>24</v>
      </c>
      <c r="I3295" s="1" t="s">
        <v>2303</v>
      </c>
      <c r="J3295" t="s">
        <v>17372</v>
      </c>
    </row>
    <row r="3296" spans="1:10">
      <c r="A3296" s="1">
        <v>624486</v>
      </c>
      <c r="B3296" s="1">
        <v>3210004709</v>
      </c>
      <c r="C3296" s="1">
        <v>6</v>
      </c>
      <c r="D3296" s="1" t="s">
        <v>1465</v>
      </c>
      <c r="E3296" t="s">
        <v>17373</v>
      </c>
      <c r="F3296" s="1">
        <v>635979</v>
      </c>
      <c r="G3296" s="1">
        <v>7535511250</v>
      </c>
      <c r="H3296" s="1">
        <v>24</v>
      </c>
      <c r="I3296" s="1" t="s">
        <v>2303</v>
      </c>
      <c r="J3296" t="s">
        <v>17374</v>
      </c>
    </row>
    <row r="3297" spans="1:10">
      <c r="A3297" s="1">
        <v>624361</v>
      </c>
      <c r="B3297" s="1">
        <v>3210004765</v>
      </c>
      <c r="C3297" s="1">
        <v>6</v>
      </c>
      <c r="D3297" s="1" t="s">
        <v>1465</v>
      </c>
      <c r="E3297" t="s">
        <v>17375</v>
      </c>
      <c r="F3297" s="1">
        <v>626200</v>
      </c>
      <c r="G3297" s="1">
        <v>1116662620</v>
      </c>
      <c r="H3297" s="1">
        <v>24</v>
      </c>
      <c r="I3297" s="1" t="s">
        <v>2303</v>
      </c>
      <c r="J3297" t="s">
        <v>3015</v>
      </c>
    </row>
    <row r="3298" spans="1:10">
      <c r="A3298" s="1">
        <v>873695</v>
      </c>
      <c r="B3298" s="1">
        <v>3210004735</v>
      </c>
      <c r="C3298" s="1">
        <v>12</v>
      </c>
      <c r="D3298" s="1" t="s">
        <v>1221</v>
      </c>
      <c r="E3298" t="s">
        <v>17376</v>
      </c>
      <c r="F3298" s="1">
        <v>627778</v>
      </c>
      <c r="G3298" s="1">
        <v>1116662777</v>
      </c>
      <c r="H3298" s="1">
        <v>24</v>
      </c>
      <c r="I3298" s="1" t="s">
        <v>2303</v>
      </c>
      <c r="J3298" t="s">
        <v>17377</v>
      </c>
    </row>
    <row r="3299" spans="1:10">
      <c r="A3299" s="1">
        <v>318071</v>
      </c>
      <c r="B3299" s="1">
        <v>3210004738</v>
      </c>
      <c r="C3299" s="1">
        <v>12</v>
      </c>
      <c r="D3299" s="1" t="s">
        <v>1221</v>
      </c>
      <c r="E3299" t="s">
        <v>17378</v>
      </c>
      <c r="F3299" s="1">
        <v>624189</v>
      </c>
      <c r="G3299" s="1">
        <v>1116662418</v>
      </c>
      <c r="H3299" s="1">
        <v>24</v>
      </c>
      <c r="I3299" s="1" t="s">
        <v>2303</v>
      </c>
      <c r="J3299" t="s">
        <v>17379</v>
      </c>
    </row>
    <row r="3300" spans="1:10">
      <c r="A3300" s="1">
        <v>650069</v>
      </c>
      <c r="B3300" s="1">
        <v>4113030772</v>
      </c>
      <c r="C3300" s="1">
        <v>12</v>
      </c>
      <c r="D3300" s="1" t="s">
        <v>399</v>
      </c>
      <c r="E3300" t="s">
        <v>17380</v>
      </c>
      <c r="F3300" s="1">
        <v>626002</v>
      </c>
      <c r="G3300" s="1">
        <v>1116662600</v>
      </c>
      <c r="H3300" s="1">
        <v>24</v>
      </c>
      <c r="I3300" s="1" t="s">
        <v>1191</v>
      </c>
      <c r="J3300" t="s">
        <v>17381</v>
      </c>
    </row>
    <row r="3301" spans="1:10">
      <c r="A3301" s="1">
        <v>557181</v>
      </c>
      <c r="B3301" s="1">
        <v>4113030773</v>
      </c>
      <c r="C3301" s="1">
        <v>12</v>
      </c>
      <c r="D3301" s="1" t="s">
        <v>399</v>
      </c>
      <c r="E3301" t="s">
        <v>17382</v>
      </c>
      <c r="F3301" s="1">
        <v>625988</v>
      </c>
      <c r="G3301" s="1">
        <v>1116662598</v>
      </c>
      <c r="H3301" s="1">
        <v>24</v>
      </c>
      <c r="I3301" s="1" t="s">
        <v>2303</v>
      </c>
      <c r="J3301" t="s">
        <v>17383</v>
      </c>
    </row>
    <row r="3302" spans="1:10">
      <c r="A3302" s="1">
        <v>428540</v>
      </c>
      <c r="B3302" s="1">
        <v>4113030774</v>
      </c>
      <c r="C3302" s="1">
        <v>12</v>
      </c>
      <c r="D3302" s="1" t="s">
        <v>399</v>
      </c>
      <c r="E3302" t="s">
        <v>17384</v>
      </c>
      <c r="F3302" s="1">
        <v>645036</v>
      </c>
      <c r="G3302" s="1">
        <v>1116664503</v>
      </c>
      <c r="H3302" s="1">
        <v>24</v>
      </c>
      <c r="I3302" s="1" t="s">
        <v>2303</v>
      </c>
      <c r="J3302" t="s">
        <v>17385</v>
      </c>
    </row>
    <row r="3303" spans="1:10">
      <c r="A3303" s="1">
        <v>461152</v>
      </c>
      <c r="B3303" s="1">
        <v>4113030775</v>
      </c>
      <c r="C3303" s="1">
        <v>12</v>
      </c>
      <c r="D3303" s="1" t="s">
        <v>399</v>
      </c>
      <c r="E3303" t="s">
        <v>17386</v>
      </c>
      <c r="F3303" s="1">
        <v>626275</v>
      </c>
      <c r="G3303" s="1">
        <v>1116662627</v>
      </c>
      <c r="H3303" s="1">
        <v>24</v>
      </c>
      <c r="I3303" s="1" t="s">
        <v>2303</v>
      </c>
      <c r="J3303" t="s">
        <v>17387</v>
      </c>
    </row>
    <row r="3304" spans="1:10">
      <c r="A3304" s="1">
        <v>489542</v>
      </c>
      <c r="B3304" s="1">
        <v>4113030776</v>
      </c>
      <c r="C3304" s="1">
        <v>12</v>
      </c>
      <c r="D3304" s="1" t="s">
        <v>399</v>
      </c>
      <c r="E3304" t="s">
        <v>17388</v>
      </c>
      <c r="F3304" s="1">
        <v>626259</v>
      </c>
      <c r="G3304" s="1">
        <v>1116662625</v>
      </c>
      <c r="H3304" s="1">
        <v>24</v>
      </c>
      <c r="I3304" s="1" t="s">
        <v>2303</v>
      </c>
      <c r="J3304" t="s">
        <v>17389</v>
      </c>
    </row>
    <row r="3305" spans="1:10">
      <c r="A3305" s="1">
        <v>108753</v>
      </c>
      <c r="B3305" s="1">
        <v>2580002075</v>
      </c>
      <c r="C3305" s="1">
        <v>12</v>
      </c>
      <c r="D3305" s="1" t="s">
        <v>781</v>
      </c>
      <c r="E3305" t="s">
        <v>17390</v>
      </c>
      <c r="F3305" s="1">
        <v>626911</v>
      </c>
      <c r="G3305" s="1">
        <v>3710000016</v>
      </c>
      <c r="H3305" s="1">
        <v>24</v>
      </c>
      <c r="I3305" s="1" t="s">
        <v>2303</v>
      </c>
      <c r="J3305" t="s">
        <v>17391</v>
      </c>
    </row>
    <row r="3306" spans="1:10">
      <c r="A3306" s="1">
        <v>613562</v>
      </c>
      <c r="B3306" s="1">
        <v>2580002046</v>
      </c>
      <c r="C3306" s="1">
        <v>12</v>
      </c>
      <c r="D3306" s="1" t="s">
        <v>17392</v>
      </c>
      <c r="E3306" t="s">
        <v>17393</v>
      </c>
      <c r="F3306" s="1">
        <v>627083</v>
      </c>
      <c r="G3306" s="1">
        <v>4180010900</v>
      </c>
      <c r="H3306" s="1">
        <v>12</v>
      </c>
      <c r="I3306" s="1" t="s">
        <v>2758</v>
      </c>
      <c r="J3306" t="s">
        <v>17394</v>
      </c>
    </row>
    <row r="3307" spans="1:10" ht="15.75">
      <c r="A3307" s="4" t="s">
        <v>17349</v>
      </c>
      <c r="B3307" s="2"/>
      <c r="C3307" s="2"/>
      <c r="D3307" s="2"/>
      <c r="E3307" s="3"/>
      <c r="F3307" s="1">
        <v>627281</v>
      </c>
      <c r="G3307" s="1">
        <v>4180012100</v>
      </c>
      <c r="H3307" s="1">
        <v>12</v>
      </c>
      <c r="I3307" s="1" t="s">
        <v>2758</v>
      </c>
      <c r="J3307" t="s">
        <v>17395</v>
      </c>
    </row>
    <row r="3308" spans="1:10">
      <c r="A3308" s="2" t="s">
        <v>0</v>
      </c>
      <c r="B3308" s="2" t="s">
        <v>1</v>
      </c>
      <c r="C3308" s="2" t="s">
        <v>2</v>
      </c>
      <c r="D3308" s="2" t="s">
        <v>3</v>
      </c>
      <c r="E3308" s="3" t="s">
        <v>4</v>
      </c>
      <c r="F3308" s="1">
        <v>626622</v>
      </c>
      <c r="G3308" s="1">
        <v>4180012800</v>
      </c>
      <c r="H3308" s="1">
        <v>12</v>
      </c>
      <c r="I3308" s="1" t="s">
        <v>2758</v>
      </c>
      <c r="J3308" t="s">
        <v>17396</v>
      </c>
    </row>
    <row r="3309" spans="1:10">
      <c r="A3309" s="1">
        <v>731216</v>
      </c>
      <c r="B3309" s="1">
        <v>2500002570</v>
      </c>
      <c r="C3309" s="1">
        <v>12</v>
      </c>
      <c r="D3309" s="1" t="s">
        <v>347</v>
      </c>
      <c r="E3309" t="s">
        <v>17397</v>
      </c>
      <c r="F3309" s="1">
        <v>627117</v>
      </c>
      <c r="G3309" s="1">
        <v>4180000001</v>
      </c>
      <c r="H3309" s="1">
        <v>24</v>
      </c>
      <c r="I3309" s="1" t="s">
        <v>2758</v>
      </c>
      <c r="J3309" t="s">
        <v>17398</v>
      </c>
    </row>
    <row r="3310" spans="1:10">
      <c r="A3310" s="1">
        <v>625947</v>
      </c>
      <c r="B3310" s="1">
        <v>4850005202</v>
      </c>
      <c r="C3310" s="1">
        <v>24</v>
      </c>
      <c r="D3310" s="1" t="s">
        <v>2303</v>
      </c>
      <c r="E3310" t="s">
        <v>17399</v>
      </c>
      <c r="F3310" s="1">
        <v>627042</v>
      </c>
      <c r="G3310" s="1">
        <v>4180011600</v>
      </c>
      <c r="H3310" s="1">
        <v>12</v>
      </c>
      <c r="I3310" s="1" t="s">
        <v>2758</v>
      </c>
      <c r="J3310" t="s">
        <v>17400</v>
      </c>
    </row>
    <row r="3311" spans="1:10">
      <c r="A3311" s="1">
        <v>625251</v>
      </c>
      <c r="B3311" s="1">
        <v>4850005200</v>
      </c>
      <c r="C3311" s="1">
        <v>24</v>
      </c>
      <c r="D3311" s="1" t="s">
        <v>2303</v>
      </c>
      <c r="E3311" t="s">
        <v>17401</v>
      </c>
      <c r="F3311" s="1">
        <v>625103</v>
      </c>
      <c r="G3311" s="1">
        <v>4180013300</v>
      </c>
      <c r="H3311" s="1">
        <v>12</v>
      </c>
      <c r="I3311" s="1" t="s">
        <v>2758</v>
      </c>
      <c r="J3311" t="s">
        <v>17402</v>
      </c>
    </row>
    <row r="3312" spans="1:10">
      <c r="A3312" s="1">
        <v>625731</v>
      </c>
      <c r="B3312" s="1">
        <v>4850005201</v>
      </c>
      <c r="C3312" s="1">
        <v>24</v>
      </c>
      <c r="D3312" s="1" t="s">
        <v>2303</v>
      </c>
      <c r="E3312" t="s">
        <v>17403</v>
      </c>
      <c r="F3312" s="1">
        <v>619528</v>
      </c>
      <c r="G3312" s="1">
        <v>4180018200</v>
      </c>
      <c r="H3312" s="1">
        <v>12</v>
      </c>
      <c r="I3312" s="1" t="s">
        <v>2758</v>
      </c>
      <c r="J3312" t="s">
        <v>17404</v>
      </c>
    </row>
    <row r="3313" spans="1:10">
      <c r="A3313" s="1">
        <v>609198</v>
      </c>
      <c r="B3313" s="1">
        <v>2500000371</v>
      </c>
      <c r="C3313" s="1">
        <v>12</v>
      </c>
      <c r="D3313" s="1" t="s">
        <v>4819</v>
      </c>
      <c r="E3313" t="s">
        <v>17405</v>
      </c>
      <c r="F3313" s="1">
        <v>619494</v>
      </c>
      <c r="G3313" s="1">
        <v>4180018100</v>
      </c>
      <c r="H3313" s="1">
        <v>12</v>
      </c>
      <c r="I3313" s="1" t="s">
        <v>2758</v>
      </c>
      <c r="J3313" t="s">
        <v>17406</v>
      </c>
    </row>
    <row r="3314" spans="1:10">
      <c r="A3314" s="1">
        <v>601310</v>
      </c>
      <c r="B3314" s="1">
        <v>2500000625</v>
      </c>
      <c r="C3314" s="1">
        <v>12</v>
      </c>
      <c r="D3314" s="1" t="s">
        <v>4819</v>
      </c>
      <c r="E3314" t="s">
        <v>17407</v>
      </c>
      <c r="F3314" s="1">
        <v>619486</v>
      </c>
      <c r="G3314" s="1">
        <v>4180018400</v>
      </c>
      <c r="H3314" s="1">
        <v>12</v>
      </c>
      <c r="I3314" s="1" t="s">
        <v>2758</v>
      </c>
      <c r="J3314" t="s">
        <v>17408</v>
      </c>
    </row>
    <row r="3315" spans="1:10">
      <c r="A3315" s="1">
        <v>601344</v>
      </c>
      <c r="B3315" s="1">
        <v>2500000621</v>
      </c>
      <c r="C3315" s="1">
        <v>12</v>
      </c>
      <c r="D3315" s="1" t="s">
        <v>4819</v>
      </c>
      <c r="E3315" t="s">
        <v>17409</v>
      </c>
      <c r="F3315" s="1">
        <v>627190</v>
      </c>
      <c r="G3315" s="1">
        <v>4180000080</v>
      </c>
      <c r="H3315" s="1">
        <v>12</v>
      </c>
      <c r="I3315" s="1" t="s">
        <v>2758</v>
      </c>
      <c r="J3315" t="s">
        <v>17410</v>
      </c>
    </row>
    <row r="3316" spans="1:10" ht="15.75">
      <c r="A3316" s="1">
        <v>601088</v>
      </c>
      <c r="B3316" s="1">
        <v>2500000622</v>
      </c>
      <c r="C3316" s="1">
        <v>12</v>
      </c>
      <c r="D3316" s="1" t="s">
        <v>4819</v>
      </c>
      <c r="E3316" t="s">
        <v>17411</v>
      </c>
      <c r="F3316" s="4" t="s">
        <v>17412</v>
      </c>
      <c r="G3316" s="2"/>
      <c r="H3316" s="2"/>
      <c r="I3316" s="2"/>
      <c r="J3316" s="3"/>
    </row>
    <row r="3317" spans="1:10">
      <c r="A3317" s="1">
        <v>851741</v>
      </c>
      <c r="B3317" s="1">
        <v>2500002543</v>
      </c>
      <c r="C3317" s="1">
        <v>24</v>
      </c>
      <c r="D3317" s="1" t="s">
        <v>347</v>
      </c>
      <c r="E3317" t="s">
        <v>17413</v>
      </c>
      <c r="F3317" s="2" t="s">
        <v>0</v>
      </c>
      <c r="G3317" s="2" t="s">
        <v>1</v>
      </c>
      <c r="H3317" s="2" t="s">
        <v>2</v>
      </c>
      <c r="I3317" s="2" t="s">
        <v>3</v>
      </c>
      <c r="J3317" s="3" t="s">
        <v>4</v>
      </c>
    </row>
    <row r="3318" spans="1:10">
      <c r="A3318" s="1">
        <v>626796</v>
      </c>
      <c r="B3318" s="1">
        <v>2500002554</v>
      </c>
      <c r="C3318" s="1">
        <v>24</v>
      </c>
      <c r="D3318" s="1" t="s">
        <v>8880</v>
      </c>
      <c r="E3318" t="s">
        <v>17414</v>
      </c>
      <c r="F3318" s="1">
        <v>627307</v>
      </c>
      <c r="G3318" s="1">
        <v>4980001310</v>
      </c>
      <c r="H3318" s="1">
        <v>24</v>
      </c>
      <c r="I3318" s="1" t="s">
        <v>1191</v>
      </c>
      <c r="J3318" t="s">
        <v>17415</v>
      </c>
    </row>
    <row r="3319" spans="1:10">
      <c r="A3319" s="1">
        <v>626762</v>
      </c>
      <c r="B3319" s="1">
        <v>2500002558</v>
      </c>
      <c r="C3319" s="1">
        <v>24</v>
      </c>
      <c r="D3319" s="1" t="s">
        <v>2303</v>
      </c>
      <c r="E3319" t="s">
        <v>17416</v>
      </c>
      <c r="F3319" s="1">
        <v>627323</v>
      </c>
      <c r="G3319" s="1">
        <v>4980001329</v>
      </c>
      <c r="H3319" s="1">
        <v>12</v>
      </c>
      <c r="I3319" s="1" t="s">
        <v>1189</v>
      </c>
      <c r="J3319" t="s">
        <v>17415</v>
      </c>
    </row>
    <row r="3320" spans="1:10">
      <c r="A3320" s="1">
        <v>626721</v>
      </c>
      <c r="B3320" s="1">
        <v>2500002561</v>
      </c>
      <c r="C3320" s="1">
        <v>24</v>
      </c>
      <c r="D3320" s="1" t="s">
        <v>2303</v>
      </c>
      <c r="E3320" t="s">
        <v>17417</v>
      </c>
    </row>
    <row r="3321" spans="1:10">
      <c r="A3321" s="1">
        <v>626838</v>
      </c>
      <c r="B3321" s="1">
        <v>2500002582</v>
      </c>
      <c r="C3321" s="1">
        <v>24</v>
      </c>
      <c r="D3321" s="1" t="s">
        <v>2303</v>
      </c>
      <c r="E3321" t="s">
        <v>17418</v>
      </c>
    </row>
    <row r="3322" spans="1:10">
      <c r="A3322" s="1">
        <v>884361</v>
      </c>
      <c r="B3322" s="1">
        <v>2500000384</v>
      </c>
      <c r="C3322" s="1">
        <v>12</v>
      </c>
      <c r="D3322" s="1" t="s">
        <v>4819</v>
      </c>
      <c r="E3322" t="s">
        <v>17419</v>
      </c>
    </row>
    <row r="3323" spans="1:10" ht="15.75">
      <c r="A3323" s="4" t="s">
        <v>17420</v>
      </c>
      <c r="B3323" s="2"/>
      <c r="C3323" s="2"/>
      <c r="D3323" s="2"/>
      <c r="E3323" s="3"/>
      <c r="F3323" s="4" t="s">
        <v>17420</v>
      </c>
      <c r="G3323" s="2"/>
      <c r="H3323" s="2"/>
      <c r="I3323" s="2"/>
      <c r="J3323" s="3"/>
    </row>
    <row r="3324" spans="1:10">
      <c r="A3324" s="2" t="s">
        <v>0</v>
      </c>
      <c r="B3324" s="2" t="s">
        <v>1</v>
      </c>
      <c r="C3324" s="2" t="s">
        <v>2</v>
      </c>
      <c r="D3324" s="2" t="s">
        <v>3</v>
      </c>
      <c r="E3324" s="3" t="s">
        <v>4</v>
      </c>
      <c r="F3324" s="2" t="s">
        <v>0</v>
      </c>
      <c r="G3324" s="2" t="s">
        <v>1</v>
      </c>
      <c r="H3324" s="2" t="s">
        <v>2</v>
      </c>
      <c r="I3324" s="2" t="s">
        <v>3</v>
      </c>
      <c r="J3324" s="3" t="s">
        <v>4</v>
      </c>
    </row>
    <row r="3325" spans="1:10">
      <c r="A3325" s="1">
        <v>666768</v>
      </c>
      <c r="B3325" s="1">
        <v>7684004249</v>
      </c>
      <c r="C3325" s="1">
        <v>8</v>
      </c>
      <c r="D3325" s="1" t="s">
        <v>1191</v>
      </c>
      <c r="E3325" t="s">
        <v>17421</v>
      </c>
      <c r="F3325" s="1">
        <v>605907</v>
      </c>
      <c r="G3325" s="1">
        <v>7756728323</v>
      </c>
      <c r="H3325" s="1">
        <v>6</v>
      </c>
      <c r="I3325" s="1" t="s">
        <v>1200</v>
      </c>
      <c r="J3325" t="s">
        <v>17422</v>
      </c>
    </row>
    <row r="3326" spans="1:10">
      <c r="A3326" s="1">
        <v>353417</v>
      </c>
      <c r="B3326" s="1">
        <v>7684004313</v>
      </c>
      <c r="C3326" s="1">
        <v>12</v>
      </c>
      <c r="D3326" s="1" t="s">
        <v>17423</v>
      </c>
      <c r="E3326" t="s">
        <v>17424</v>
      </c>
      <c r="F3326" s="1">
        <v>605139</v>
      </c>
      <c r="G3326" s="1">
        <v>7756728320</v>
      </c>
      <c r="H3326" s="1">
        <v>6</v>
      </c>
      <c r="I3326" s="1" t="s">
        <v>1200</v>
      </c>
      <c r="J3326" t="s">
        <v>17425</v>
      </c>
    </row>
    <row r="3327" spans="1:10">
      <c r="A3327" s="1">
        <v>317271</v>
      </c>
      <c r="B3327" s="1">
        <v>7684010077</v>
      </c>
      <c r="C3327" s="1">
        <v>8</v>
      </c>
      <c r="D3327" s="1" t="s">
        <v>1191</v>
      </c>
      <c r="E3327" t="s">
        <v>17426</v>
      </c>
      <c r="F3327" s="1">
        <v>497560</v>
      </c>
      <c r="G3327" s="1">
        <v>7756725002</v>
      </c>
      <c r="H3327" s="1">
        <v>6</v>
      </c>
      <c r="I3327" s="1" t="s">
        <v>1200</v>
      </c>
      <c r="J3327" t="s">
        <v>17427</v>
      </c>
    </row>
    <row r="3328" spans="1:10">
      <c r="A3328" s="1">
        <v>383091</v>
      </c>
      <c r="B3328" s="1">
        <v>7684010207</v>
      </c>
      <c r="C3328" s="1">
        <v>8</v>
      </c>
      <c r="D3328" s="1" t="s">
        <v>1191</v>
      </c>
      <c r="E3328" t="s">
        <v>17428</v>
      </c>
      <c r="F3328" s="1">
        <v>730309</v>
      </c>
      <c r="G3328" s="1">
        <v>7756729900</v>
      </c>
      <c r="H3328" s="1">
        <v>6</v>
      </c>
      <c r="I3328" s="1" t="s">
        <v>1200</v>
      </c>
      <c r="J3328" t="s">
        <v>17429</v>
      </c>
    </row>
    <row r="3329" spans="1:10">
      <c r="A3329" s="1">
        <v>606608</v>
      </c>
      <c r="B3329" s="1">
        <v>7684010159</v>
      </c>
      <c r="C3329" s="1">
        <v>8</v>
      </c>
      <c r="D3329" s="1" t="s">
        <v>1191</v>
      </c>
      <c r="E3329" t="s">
        <v>17430</v>
      </c>
      <c r="F3329" s="1">
        <v>605238</v>
      </c>
      <c r="G3329" s="1">
        <v>7756728130</v>
      </c>
      <c r="H3329" s="1">
        <v>6</v>
      </c>
      <c r="I3329" s="1" t="s">
        <v>1200</v>
      </c>
      <c r="J3329" t="s">
        <v>17431</v>
      </c>
    </row>
    <row r="3330" spans="1:10">
      <c r="A3330" s="1">
        <v>366203</v>
      </c>
      <c r="B3330" s="1">
        <v>7684010148</v>
      </c>
      <c r="C3330" s="1">
        <v>8</v>
      </c>
      <c r="D3330" s="1" t="s">
        <v>1191</v>
      </c>
      <c r="E3330" t="s">
        <v>17432</v>
      </c>
      <c r="F3330" s="1">
        <v>607283</v>
      </c>
      <c r="G3330" s="1">
        <v>7756728192</v>
      </c>
      <c r="H3330" s="1">
        <v>6</v>
      </c>
      <c r="I3330" s="1" t="s">
        <v>17433</v>
      </c>
      <c r="J3330" t="s">
        <v>17434</v>
      </c>
    </row>
    <row r="3331" spans="1:10">
      <c r="A3331" s="1">
        <v>569178</v>
      </c>
      <c r="B3331" s="1">
        <v>7684010128</v>
      </c>
      <c r="C3331" s="1">
        <v>8</v>
      </c>
      <c r="D3331" s="1" t="s">
        <v>1191</v>
      </c>
      <c r="E3331" t="s">
        <v>17435</v>
      </c>
      <c r="F3331" s="1">
        <v>636209</v>
      </c>
      <c r="G3331" s="1">
        <v>7756725005</v>
      </c>
      <c r="H3331" s="1">
        <v>6</v>
      </c>
      <c r="I3331" s="1" t="s">
        <v>1200</v>
      </c>
      <c r="J3331" t="s">
        <v>17436</v>
      </c>
    </row>
    <row r="3332" spans="1:10">
      <c r="A3332" s="1">
        <v>602128</v>
      </c>
      <c r="B3332" s="1">
        <v>7684010015</v>
      </c>
      <c r="C3332" s="1">
        <v>8</v>
      </c>
      <c r="D3332" s="1" t="s">
        <v>1191</v>
      </c>
      <c r="E3332" t="s">
        <v>17437</v>
      </c>
      <c r="F3332" s="1">
        <v>450296</v>
      </c>
      <c r="G3332" s="1">
        <v>7756725004</v>
      </c>
      <c r="H3332" s="1">
        <v>6</v>
      </c>
      <c r="I3332" s="1" t="s">
        <v>1200</v>
      </c>
      <c r="J3332" t="s">
        <v>17438</v>
      </c>
    </row>
    <row r="3333" spans="1:10">
      <c r="A3333" s="1">
        <v>602334</v>
      </c>
      <c r="B3333" s="1">
        <v>7684010047</v>
      </c>
      <c r="C3333" s="1">
        <v>8</v>
      </c>
      <c r="D3333" s="1" t="s">
        <v>381</v>
      </c>
      <c r="E3333" t="s">
        <v>17439</v>
      </c>
      <c r="F3333" s="1">
        <v>425827</v>
      </c>
      <c r="G3333" s="1">
        <v>7756726666</v>
      </c>
      <c r="H3333" s="1">
        <v>6</v>
      </c>
      <c r="I3333" s="1" t="s">
        <v>1200</v>
      </c>
      <c r="J3333" t="s">
        <v>17440</v>
      </c>
    </row>
    <row r="3334" spans="1:10">
      <c r="A3334" s="1">
        <v>601070</v>
      </c>
      <c r="B3334" s="1">
        <v>7684010004</v>
      </c>
      <c r="C3334" s="1">
        <v>8</v>
      </c>
      <c r="D3334" s="1" t="s">
        <v>1191</v>
      </c>
      <c r="E3334" t="s">
        <v>17441</v>
      </c>
      <c r="F3334" s="1">
        <v>810333</v>
      </c>
      <c r="G3334" s="1">
        <v>7756726667</v>
      </c>
      <c r="H3334" s="1">
        <v>6</v>
      </c>
      <c r="I3334" s="1" t="s">
        <v>1200</v>
      </c>
      <c r="J3334" t="s">
        <v>17442</v>
      </c>
    </row>
    <row r="3335" spans="1:10">
      <c r="A3335" s="1">
        <v>602300</v>
      </c>
      <c r="B3335" s="1">
        <v>7684010035</v>
      </c>
      <c r="C3335" s="1">
        <v>8</v>
      </c>
      <c r="D3335" s="1" t="s">
        <v>1191</v>
      </c>
      <c r="E3335" t="s">
        <v>17443</v>
      </c>
      <c r="F3335" s="1">
        <v>604991</v>
      </c>
      <c r="G3335" s="1">
        <v>7756729500</v>
      </c>
      <c r="H3335" s="1">
        <v>6</v>
      </c>
      <c r="I3335" s="1" t="s">
        <v>865</v>
      </c>
      <c r="J3335" t="s">
        <v>17444</v>
      </c>
    </row>
    <row r="3336" spans="1:10">
      <c r="A3336" s="1">
        <v>341594</v>
      </c>
      <c r="B3336" s="1">
        <v>7684010205</v>
      </c>
      <c r="C3336" s="1">
        <v>8</v>
      </c>
      <c r="D3336" s="1" t="s">
        <v>1191</v>
      </c>
      <c r="E3336" t="s">
        <v>17445</v>
      </c>
      <c r="F3336" s="1">
        <v>426528</v>
      </c>
      <c r="G3336" s="1">
        <v>7756726402</v>
      </c>
      <c r="H3336" s="1">
        <v>6</v>
      </c>
      <c r="I3336" s="1" t="s">
        <v>865</v>
      </c>
      <c r="J3336" t="s">
        <v>17446</v>
      </c>
    </row>
    <row r="3337" spans="1:10">
      <c r="A3337" s="1">
        <v>258665</v>
      </c>
      <c r="B3337" s="1">
        <v>7684004359</v>
      </c>
      <c r="C3337" s="1">
        <v>6</v>
      </c>
      <c r="D3337" s="1" t="s">
        <v>1197</v>
      </c>
      <c r="E3337" t="s">
        <v>17447</v>
      </c>
      <c r="F3337" s="1">
        <v>620237</v>
      </c>
      <c r="G3337" s="1">
        <v>7756725450</v>
      </c>
      <c r="H3337" s="1">
        <v>6</v>
      </c>
      <c r="I3337" s="1" t="s">
        <v>1200</v>
      </c>
      <c r="J3337" t="s">
        <v>17448</v>
      </c>
    </row>
    <row r="3338" spans="1:10">
      <c r="A3338" s="1">
        <v>602748</v>
      </c>
      <c r="B3338" s="1">
        <v>7684010058</v>
      </c>
      <c r="C3338" s="1">
        <v>8</v>
      </c>
      <c r="D3338" s="1" t="s">
        <v>1191</v>
      </c>
      <c r="E3338" t="s">
        <v>17449</v>
      </c>
      <c r="F3338" s="1">
        <v>393942</v>
      </c>
      <c r="G3338" s="1">
        <v>7756728126</v>
      </c>
      <c r="H3338" s="1">
        <v>6</v>
      </c>
      <c r="I3338" s="1" t="s">
        <v>1200</v>
      </c>
      <c r="J3338" t="s">
        <v>17450</v>
      </c>
    </row>
    <row r="3339" spans="1:10">
      <c r="A3339" s="1">
        <v>759910</v>
      </c>
      <c r="B3339" s="1">
        <v>7684010018</v>
      </c>
      <c r="C3339" s="1">
        <v>8</v>
      </c>
      <c r="D3339" s="1" t="s">
        <v>1191</v>
      </c>
      <c r="E3339" t="s">
        <v>17451</v>
      </c>
      <c r="F3339" s="1">
        <v>605477</v>
      </c>
      <c r="G3339" s="1">
        <v>7756722600</v>
      </c>
      <c r="H3339" s="1">
        <v>6</v>
      </c>
      <c r="I3339" s="1" t="s">
        <v>1200</v>
      </c>
      <c r="J3339" t="s">
        <v>17452</v>
      </c>
    </row>
    <row r="3340" spans="1:10">
      <c r="A3340" s="1">
        <v>853598</v>
      </c>
      <c r="B3340" s="1">
        <v>7684010171</v>
      </c>
      <c r="C3340" s="1">
        <v>8</v>
      </c>
      <c r="D3340" s="1" t="s">
        <v>1191</v>
      </c>
      <c r="E3340" t="s">
        <v>17453</v>
      </c>
      <c r="F3340" s="1">
        <v>607945</v>
      </c>
      <c r="G3340" s="1">
        <v>7756728128</v>
      </c>
      <c r="H3340" s="1">
        <v>6</v>
      </c>
      <c r="I3340" s="1" t="s">
        <v>1200</v>
      </c>
      <c r="J3340" t="s">
        <v>17454</v>
      </c>
    </row>
    <row r="3341" spans="1:10">
      <c r="A3341" s="1">
        <v>604298</v>
      </c>
      <c r="B3341" s="1">
        <v>7684010132</v>
      </c>
      <c r="C3341" s="1">
        <v>8</v>
      </c>
      <c r="D3341" s="1" t="s">
        <v>1191</v>
      </c>
      <c r="E3341" t="s">
        <v>17455</v>
      </c>
      <c r="F3341" s="1">
        <v>620286</v>
      </c>
      <c r="G3341" s="1">
        <v>7756725420</v>
      </c>
      <c r="H3341" s="1">
        <v>6</v>
      </c>
      <c r="I3341" s="1" t="s">
        <v>1200</v>
      </c>
      <c r="J3341" t="s">
        <v>17456</v>
      </c>
    </row>
    <row r="3342" spans="1:10">
      <c r="A3342" s="1">
        <v>697680</v>
      </c>
      <c r="B3342" s="1">
        <v>7684010126</v>
      </c>
      <c r="C3342" s="1">
        <v>8</v>
      </c>
      <c r="D3342" s="1" t="s">
        <v>1191</v>
      </c>
      <c r="E3342" t="s">
        <v>17457</v>
      </c>
      <c r="F3342" s="1">
        <v>609099</v>
      </c>
      <c r="G3342" s="1">
        <v>7756722482</v>
      </c>
      <c r="H3342" s="1">
        <v>6</v>
      </c>
      <c r="I3342" s="1" t="s">
        <v>865</v>
      </c>
      <c r="J3342" t="s">
        <v>17458</v>
      </c>
    </row>
    <row r="3343" spans="1:10">
      <c r="A3343" s="1">
        <v>606442</v>
      </c>
      <c r="B3343" s="1">
        <v>7684010154</v>
      </c>
      <c r="C3343" s="1">
        <v>8</v>
      </c>
      <c r="D3343" s="1" t="s">
        <v>1191</v>
      </c>
      <c r="E3343" t="s">
        <v>17459</v>
      </c>
      <c r="F3343" s="1">
        <v>607846</v>
      </c>
      <c r="G3343" s="1">
        <v>7756725445</v>
      </c>
      <c r="H3343" s="1">
        <v>6</v>
      </c>
      <c r="I3343" s="1" t="s">
        <v>1200</v>
      </c>
      <c r="J3343" t="s">
        <v>17460</v>
      </c>
    </row>
    <row r="3344" spans="1:10">
      <c r="A3344" s="1">
        <v>601724</v>
      </c>
      <c r="B3344" s="1">
        <v>7684010014</v>
      </c>
      <c r="C3344" s="1">
        <v>8</v>
      </c>
      <c r="D3344" s="1" t="s">
        <v>1191</v>
      </c>
      <c r="E3344" t="s">
        <v>17461</v>
      </c>
      <c r="F3344" s="1">
        <v>608760</v>
      </c>
      <c r="G3344" s="1">
        <v>7756722480</v>
      </c>
      <c r="H3344" s="1">
        <v>6</v>
      </c>
      <c r="I3344" s="1" t="s">
        <v>865</v>
      </c>
      <c r="J3344" t="s">
        <v>17462</v>
      </c>
    </row>
    <row r="3345" spans="1:10">
      <c r="A3345" s="1">
        <v>602821</v>
      </c>
      <c r="B3345" s="1">
        <v>7684010081</v>
      </c>
      <c r="C3345" s="1">
        <v>8</v>
      </c>
      <c r="D3345" s="1" t="s">
        <v>1191</v>
      </c>
      <c r="E3345" t="s">
        <v>17463</v>
      </c>
      <c r="F3345" s="1">
        <v>620294</v>
      </c>
      <c r="G3345" s="1">
        <v>7756725440</v>
      </c>
      <c r="H3345" s="1">
        <v>6</v>
      </c>
      <c r="I3345" s="1" t="s">
        <v>1200</v>
      </c>
      <c r="J3345" t="s">
        <v>17464</v>
      </c>
    </row>
    <row r="3346" spans="1:10">
      <c r="A3346" s="1">
        <v>602870</v>
      </c>
      <c r="B3346" s="1">
        <v>7684010098</v>
      </c>
      <c r="C3346" s="1">
        <v>8</v>
      </c>
      <c r="D3346" s="1" t="s">
        <v>1191</v>
      </c>
      <c r="E3346" t="s">
        <v>17465</v>
      </c>
      <c r="F3346" s="1">
        <v>620252</v>
      </c>
      <c r="G3346" s="1">
        <v>7756725425</v>
      </c>
      <c r="H3346" s="1">
        <v>6</v>
      </c>
      <c r="I3346" s="1" t="s">
        <v>1200</v>
      </c>
      <c r="J3346" t="s">
        <v>17466</v>
      </c>
    </row>
    <row r="3347" spans="1:10">
      <c r="A3347" s="1">
        <v>604215</v>
      </c>
      <c r="B3347" s="1">
        <v>7684010118</v>
      </c>
      <c r="C3347" s="1">
        <v>8</v>
      </c>
      <c r="D3347" s="1" t="s">
        <v>1191</v>
      </c>
      <c r="E3347" t="s">
        <v>17467</v>
      </c>
      <c r="F3347" s="1">
        <v>620369</v>
      </c>
      <c r="G3347" s="1">
        <v>7756725421</v>
      </c>
      <c r="H3347" s="1">
        <v>6</v>
      </c>
      <c r="I3347" s="1" t="s">
        <v>865</v>
      </c>
      <c r="J3347" t="s">
        <v>17468</v>
      </c>
    </row>
    <row r="3348" spans="1:10">
      <c r="A3348" s="1">
        <v>808352</v>
      </c>
      <c r="B3348" s="1">
        <v>7684004460</v>
      </c>
      <c r="C3348" s="1">
        <v>6</v>
      </c>
      <c r="D3348" s="1" t="s">
        <v>1197</v>
      </c>
      <c r="E3348" t="s">
        <v>17469</v>
      </c>
      <c r="F3348" s="1">
        <v>633628</v>
      </c>
      <c r="G3348" s="1">
        <v>7756725438</v>
      </c>
      <c r="H3348" s="1">
        <v>6</v>
      </c>
      <c r="I3348" s="1" t="s">
        <v>1200</v>
      </c>
      <c r="J3348" t="s">
        <v>17470</v>
      </c>
    </row>
    <row r="3349" spans="1:10">
      <c r="A3349" s="1">
        <v>73346</v>
      </c>
      <c r="B3349" s="1">
        <v>7684004358</v>
      </c>
      <c r="C3349" s="1">
        <v>6</v>
      </c>
      <c r="D3349" s="1" t="s">
        <v>1197</v>
      </c>
      <c r="E3349" t="s">
        <v>17471</v>
      </c>
      <c r="F3349" s="1">
        <v>620278</v>
      </c>
      <c r="G3349" s="1">
        <v>7756725426</v>
      </c>
      <c r="H3349" s="1">
        <v>6</v>
      </c>
      <c r="I3349" s="1" t="s">
        <v>1200</v>
      </c>
      <c r="J3349" t="s">
        <v>17472</v>
      </c>
    </row>
    <row r="3350" spans="1:10">
      <c r="A3350" s="1">
        <v>601633</v>
      </c>
      <c r="B3350" s="1">
        <v>7684010007</v>
      </c>
      <c r="C3350" s="1">
        <v>8</v>
      </c>
      <c r="D3350" s="1" t="s">
        <v>1191</v>
      </c>
      <c r="E3350" t="s">
        <v>17473</v>
      </c>
      <c r="F3350" s="1">
        <v>620310</v>
      </c>
      <c r="G3350" s="1">
        <v>7756725433</v>
      </c>
      <c r="H3350" s="1">
        <v>6</v>
      </c>
      <c r="I3350" s="1" t="s">
        <v>1200</v>
      </c>
      <c r="J3350" t="s">
        <v>17474</v>
      </c>
    </row>
    <row r="3351" spans="1:10">
      <c r="A3351" s="1">
        <v>606921</v>
      </c>
      <c r="B3351" s="1">
        <v>7684040005</v>
      </c>
      <c r="C3351" s="1">
        <v>8</v>
      </c>
      <c r="D3351" s="1" t="s">
        <v>1191</v>
      </c>
      <c r="E3351" t="s">
        <v>17475</v>
      </c>
      <c r="F3351" s="1">
        <v>633636</v>
      </c>
      <c r="G3351" s="1">
        <v>7756725443</v>
      </c>
      <c r="H3351" s="1">
        <v>6</v>
      </c>
      <c r="I3351" s="1" t="s">
        <v>1200</v>
      </c>
      <c r="J3351" t="s">
        <v>17476</v>
      </c>
    </row>
    <row r="3352" spans="1:10">
      <c r="A3352" s="1">
        <v>498394</v>
      </c>
      <c r="B3352" s="1">
        <v>7684010182</v>
      </c>
      <c r="C3352" s="1">
        <v>8</v>
      </c>
      <c r="D3352" s="1" t="s">
        <v>1191</v>
      </c>
      <c r="E3352" t="s">
        <v>17477</v>
      </c>
      <c r="F3352" s="1">
        <v>633644</v>
      </c>
      <c r="G3352" s="1">
        <v>7756725442</v>
      </c>
      <c r="H3352" s="1">
        <v>6</v>
      </c>
      <c r="I3352" s="1" t="s">
        <v>1200</v>
      </c>
      <c r="J3352" t="s">
        <v>17478</v>
      </c>
    </row>
    <row r="3353" spans="1:10">
      <c r="A3353" s="1">
        <v>241091</v>
      </c>
      <c r="B3353" s="1">
        <v>7064045110</v>
      </c>
      <c r="C3353" s="1">
        <v>9</v>
      </c>
      <c r="D3353" s="1" t="s">
        <v>7917</v>
      </c>
      <c r="E3353" t="s">
        <v>17479</v>
      </c>
      <c r="F3353" s="1">
        <v>620351</v>
      </c>
      <c r="G3353" s="1">
        <v>7756725427</v>
      </c>
      <c r="H3353" s="1">
        <v>6</v>
      </c>
      <c r="I3353" s="1" t="s">
        <v>1200</v>
      </c>
      <c r="J3353" t="s">
        <v>17480</v>
      </c>
    </row>
    <row r="3354" spans="1:10">
      <c r="A3354" s="1">
        <v>221523</v>
      </c>
      <c r="B3354" s="1">
        <v>7064045112</v>
      </c>
      <c r="C3354" s="1">
        <v>9</v>
      </c>
      <c r="D3354" s="1" t="s">
        <v>7917</v>
      </c>
      <c r="E3354" t="s">
        <v>17481</v>
      </c>
      <c r="F3354" s="1">
        <v>620302</v>
      </c>
      <c r="G3354" s="1">
        <v>7756725432</v>
      </c>
      <c r="H3354" s="1">
        <v>6</v>
      </c>
      <c r="I3354" s="1" t="s">
        <v>1200</v>
      </c>
      <c r="J3354" t="s">
        <v>17482</v>
      </c>
    </row>
    <row r="3355" spans="1:10">
      <c r="A3355" s="1">
        <v>552745</v>
      </c>
      <c r="B3355" s="1">
        <v>7064045120</v>
      </c>
      <c r="C3355" s="1">
        <v>9</v>
      </c>
      <c r="D3355" s="1" t="s">
        <v>7917</v>
      </c>
      <c r="E3355" t="s">
        <v>17483</v>
      </c>
      <c r="F3355" s="1">
        <v>620484</v>
      </c>
      <c r="G3355" s="1">
        <v>7756722700</v>
      </c>
      <c r="H3355" s="1">
        <v>6</v>
      </c>
      <c r="I3355" s="1" t="s">
        <v>1200</v>
      </c>
      <c r="J3355" t="s">
        <v>17484</v>
      </c>
    </row>
    <row r="3356" spans="1:10">
      <c r="A3356" s="1">
        <v>426429</v>
      </c>
      <c r="B3356" s="1">
        <v>7064045119</v>
      </c>
      <c r="C3356" s="1">
        <v>9</v>
      </c>
      <c r="D3356" s="1" t="s">
        <v>7917</v>
      </c>
      <c r="E3356" t="s">
        <v>17485</v>
      </c>
      <c r="F3356" s="1">
        <v>393991</v>
      </c>
      <c r="G3356" s="1">
        <v>7756729618</v>
      </c>
      <c r="H3356" s="1">
        <v>6</v>
      </c>
      <c r="I3356" s="1" t="s">
        <v>1200</v>
      </c>
      <c r="J3356" t="s">
        <v>17486</v>
      </c>
    </row>
    <row r="3357" spans="1:10">
      <c r="A3357" s="1">
        <v>532903</v>
      </c>
      <c r="B3357" s="1">
        <v>7064045125</v>
      </c>
      <c r="C3357" s="1">
        <v>9</v>
      </c>
      <c r="D3357" s="1" t="s">
        <v>7917</v>
      </c>
      <c r="E3357" t="s">
        <v>17487</v>
      </c>
      <c r="F3357" s="1">
        <v>607739</v>
      </c>
      <c r="G3357" s="1">
        <v>7756728127</v>
      </c>
      <c r="H3357" s="1">
        <v>6</v>
      </c>
      <c r="I3357" s="1" t="s">
        <v>1200</v>
      </c>
      <c r="J3357" t="s">
        <v>17488</v>
      </c>
    </row>
    <row r="3358" spans="1:10">
      <c r="A3358" s="1">
        <v>570275</v>
      </c>
      <c r="B3358" s="1">
        <v>7064045123</v>
      </c>
      <c r="C3358" s="1">
        <v>9</v>
      </c>
      <c r="D3358" s="1" t="s">
        <v>7917</v>
      </c>
      <c r="E3358" t="s">
        <v>17489</v>
      </c>
      <c r="F3358" s="1">
        <v>620336</v>
      </c>
      <c r="G3358" s="1">
        <v>7756725424</v>
      </c>
      <c r="H3358" s="1">
        <v>6</v>
      </c>
      <c r="I3358" s="1" t="s">
        <v>1200</v>
      </c>
      <c r="J3358" t="s">
        <v>17490</v>
      </c>
    </row>
    <row r="3359" spans="1:10">
      <c r="A3359" s="1">
        <v>141200</v>
      </c>
      <c r="B3359" s="1">
        <v>7064045116</v>
      </c>
      <c r="C3359" s="1">
        <v>9</v>
      </c>
      <c r="D3359" s="1" t="s">
        <v>7917</v>
      </c>
      <c r="E3359" t="s">
        <v>17491</v>
      </c>
      <c r="F3359" s="1">
        <v>625657</v>
      </c>
      <c r="G3359" s="1">
        <v>7756722460</v>
      </c>
      <c r="H3359" s="1">
        <v>6</v>
      </c>
      <c r="I3359" s="1" t="s">
        <v>1200</v>
      </c>
      <c r="J3359" t="s">
        <v>17492</v>
      </c>
    </row>
    <row r="3360" spans="1:10">
      <c r="A3360" s="1">
        <v>608646</v>
      </c>
      <c r="B3360" s="1">
        <v>7756728110</v>
      </c>
      <c r="C3360" s="1">
        <v>6</v>
      </c>
      <c r="D3360" s="1" t="s">
        <v>1200</v>
      </c>
      <c r="E3360" t="s">
        <v>17493</v>
      </c>
      <c r="F3360" s="1">
        <v>607838</v>
      </c>
      <c r="G3360" s="1">
        <v>7756725444</v>
      </c>
      <c r="H3360" s="1">
        <v>6</v>
      </c>
      <c r="I3360" s="1" t="s">
        <v>1200</v>
      </c>
      <c r="J3360" t="s">
        <v>17494</v>
      </c>
    </row>
    <row r="3361" spans="1:10">
      <c r="A3361" s="1">
        <v>605097</v>
      </c>
      <c r="B3361" s="1">
        <v>7756726479</v>
      </c>
      <c r="C3361" s="1">
        <v>6</v>
      </c>
      <c r="D3361" s="1" t="s">
        <v>1200</v>
      </c>
      <c r="E3361" t="s">
        <v>17495</v>
      </c>
      <c r="F3361" s="1">
        <v>63529</v>
      </c>
      <c r="G3361" s="1">
        <v>7756704272</v>
      </c>
      <c r="H3361" s="1">
        <v>6</v>
      </c>
      <c r="I3361" s="1" t="s">
        <v>1200</v>
      </c>
      <c r="J3361" t="s">
        <v>17496</v>
      </c>
    </row>
    <row r="3362" spans="1:10">
      <c r="A3362" s="1">
        <v>290346</v>
      </c>
      <c r="B3362" s="1">
        <v>7756726463</v>
      </c>
      <c r="C3362" s="1">
        <v>6</v>
      </c>
      <c r="D3362" s="1" t="s">
        <v>1200</v>
      </c>
      <c r="E3362" t="s">
        <v>17497</v>
      </c>
      <c r="F3362" s="1">
        <v>265702</v>
      </c>
      <c r="G3362" s="1">
        <v>7756704274</v>
      </c>
      <c r="H3362" s="1">
        <v>6</v>
      </c>
      <c r="I3362" s="1" t="s">
        <v>1200</v>
      </c>
      <c r="J3362" t="s">
        <v>17498</v>
      </c>
    </row>
    <row r="3363" spans="1:10">
      <c r="A3363" s="1">
        <v>619395</v>
      </c>
      <c r="B3363" s="1">
        <v>7756725435</v>
      </c>
      <c r="C3363" s="1">
        <v>6</v>
      </c>
      <c r="D3363" s="1" t="s">
        <v>1200</v>
      </c>
      <c r="E3363" t="s">
        <v>17499</v>
      </c>
      <c r="F3363" s="1">
        <v>853663</v>
      </c>
      <c r="G3363" s="1">
        <v>7756726540</v>
      </c>
      <c r="H3363" s="1">
        <v>6</v>
      </c>
      <c r="I3363" s="1" t="s">
        <v>865</v>
      </c>
      <c r="J3363" t="s">
        <v>17500</v>
      </c>
    </row>
    <row r="3364" spans="1:10" ht="15.75">
      <c r="A3364" s="4" t="s">
        <v>17420</v>
      </c>
      <c r="B3364" s="2"/>
      <c r="C3364" s="2"/>
      <c r="D3364" s="2"/>
      <c r="E3364" s="3"/>
      <c r="F3364" s="4" t="s">
        <v>17420</v>
      </c>
      <c r="G3364" s="2"/>
      <c r="H3364" s="2"/>
      <c r="I3364" s="2"/>
      <c r="J3364" s="3"/>
    </row>
    <row r="3365" spans="1:10">
      <c r="A3365" s="2" t="s">
        <v>0</v>
      </c>
      <c r="B3365" s="2" t="s">
        <v>1</v>
      </c>
      <c r="C3365" s="2" t="s">
        <v>2</v>
      </c>
      <c r="D3365" s="2" t="s">
        <v>3</v>
      </c>
      <c r="E3365" s="3" t="s">
        <v>4</v>
      </c>
      <c r="F3365" s="2" t="s">
        <v>0</v>
      </c>
      <c r="G3365" s="2" t="s">
        <v>1</v>
      </c>
      <c r="H3365" s="2" t="s">
        <v>2</v>
      </c>
      <c r="I3365" s="2" t="s">
        <v>3</v>
      </c>
      <c r="J3365" s="3" t="s">
        <v>4</v>
      </c>
    </row>
    <row r="3366" spans="1:10">
      <c r="A3366" s="1">
        <v>609925</v>
      </c>
      <c r="B3366" s="1">
        <v>7756728198</v>
      </c>
      <c r="C3366" s="1">
        <v>6</v>
      </c>
      <c r="D3366" s="1" t="s">
        <v>1200</v>
      </c>
      <c r="E3366" t="s">
        <v>17501</v>
      </c>
      <c r="F3366" s="1">
        <v>627844</v>
      </c>
      <c r="G3366" s="1">
        <v>7144129107</v>
      </c>
      <c r="H3366" s="1">
        <v>6</v>
      </c>
      <c r="I3366" s="1" t="s">
        <v>1200</v>
      </c>
      <c r="J3366" t="s">
        <v>17502</v>
      </c>
    </row>
    <row r="3367" spans="1:10">
      <c r="A3367" s="1">
        <v>636167</v>
      </c>
      <c r="B3367" s="1">
        <v>7756726530</v>
      </c>
      <c r="C3367" s="1">
        <v>6</v>
      </c>
      <c r="D3367" s="1" t="s">
        <v>865</v>
      </c>
      <c r="E3367" t="s">
        <v>17503</v>
      </c>
      <c r="F3367" s="1">
        <v>600049</v>
      </c>
      <c r="G3367" s="1">
        <v>7571845203</v>
      </c>
      <c r="H3367" s="1">
        <v>4</v>
      </c>
      <c r="I3367" s="1" t="s">
        <v>2496</v>
      </c>
      <c r="J3367" t="s">
        <v>17504</v>
      </c>
    </row>
    <row r="3368" spans="1:10">
      <c r="A3368" s="1">
        <v>620328</v>
      </c>
      <c r="B3368" s="1">
        <v>7756725434</v>
      </c>
      <c r="C3368" s="1">
        <v>6</v>
      </c>
      <c r="D3368" s="1" t="s">
        <v>1200</v>
      </c>
      <c r="E3368" t="s">
        <v>17505</v>
      </c>
      <c r="F3368" s="1">
        <v>600122</v>
      </c>
      <c r="G3368" s="1">
        <v>7571845202</v>
      </c>
      <c r="H3368" s="1">
        <v>4</v>
      </c>
      <c r="I3368" s="1" t="s">
        <v>2496</v>
      </c>
      <c r="J3368" t="s">
        <v>17506</v>
      </c>
    </row>
    <row r="3369" spans="1:10">
      <c r="A3369" s="1">
        <v>481382</v>
      </c>
      <c r="B3369" s="1">
        <v>7756725003</v>
      </c>
      <c r="C3369" s="1">
        <v>6</v>
      </c>
      <c r="D3369" s="1" t="s">
        <v>1200</v>
      </c>
      <c r="E3369" t="s">
        <v>17507</v>
      </c>
      <c r="F3369" s="1">
        <v>544510</v>
      </c>
      <c r="G3369" s="1">
        <v>81529400253</v>
      </c>
      <c r="H3369" s="1">
        <v>9</v>
      </c>
      <c r="I3369" s="1" t="s">
        <v>2557</v>
      </c>
      <c r="J3369" t="s">
        <v>17508</v>
      </c>
    </row>
    <row r="3370" spans="1:10">
      <c r="A3370" s="1">
        <v>648543</v>
      </c>
      <c r="B3370" s="1">
        <v>7756727135</v>
      </c>
      <c r="C3370" s="1">
        <v>4</v>
      </c>
      <c r="D3370" s="1" t="s">
        <v>1188</v>
      </c>
      <c r="E3370" t="s">
        <v>17509</v>
      </c>
      <c r="F3370" s="1">
        <v>586198</v>
      </c>
      <c r="G3370" s="1">
        <v>81529400254</v>
      </c>
      <c r="H3370" s="1">
        <v>9</v>
      </c>
      <c r="I3370" s="1" t="s">
        <v>2557</v>
      </c>
      <c r="J3370" t="s">
        <v>17510</v>
      </c>
    </row>
    <row r="3371" spans="1:10">
      <c r="A3371" s="1">
        <v>620260</v>
      </c>
      <c r="B3371" s="1">
        <v>7756725423</v>
      </c>
      <c r="C3371" s="1">
        <v>6</v>
      </c>
      <c r="D3371" s="1" t="s">
        <v>865</v>
      </c>
      <c r="E3371" t="s">
        <v>17511</v>
      </c>
      <c r="F3371" s="1">
        <v>473330</v>
      </c>
      <c r="G3371" s="1">
        <v>8793200280</v>
      </c>
      <c r="H3371" s="1">
        <v>6</v>
      </c>
      <c r="I3371" s="1" t="s">
        <v>5050</v>
      </c>
      <c r="J3371" t="s">
        <v>17512</v>
      </c>
    </row>
    <row r="3372" spans="1:10">
      <c r="A3372" s="1">
        <v>440768</v>
      </c>
      <c r="B3372" s="1">
        <v>7756728168</v>
      </c>
      <c r="C3372" s="1">
        <v>6</v>
      </c>
      <c r="D3372" s="1" t="s">
        <v>1200</v>
      </c>
      <c r="E3372" t="s">
        <v>17513</v>
      </c>
      <c r="F3372" s="1">
        <v>605436</v>
      </c>
      <c r="G3372" s="1">
        <v>8793200271</v>
      </c>
      <c r="H3372" s="1">
        <v>6</v>
      </c>
      <c r="I3372" s="1" t="s">
        <v>5050</v>
      </c>
      <c r="J3372" t="s">
        <v>17514</v>
      </c>
    </row>
    <row r="3373" spans="1:10">
      <c r="A3373" s="1">
        <v>625665</v>
      </c>
      <c r="B3373" s="1">
        <v>7756722477</v>
      </c>
      <c r="C3373" s="1">
        <v>6</v>
      </c>
      <c r="D3373" s="1" t="s">
        <v>1200</v>
      </c>
      <c r="E3373" t="s">
        <v>17515</v>
      </c>
      <c r="F3373" s="1">
        <v>572040</v>
      </c>
      <c r="G3373" s="1">
        <v>8793200269</v>
      </c>
      <c r="H3373" s="1">
        <v>6</v>
      </c>
      <c r="I3373" s="1" t="s">
        <v>5050</v>
      </c>
      <c r="J3373" t="s">
        <v>17516</v>
      </c>
    </row>
    <row r="3374" spans="1:10">
      <c r="A3374" s="1">
        <v>853051</v>
      </c>
      <c r="B3374" s="1">
        <v>4767713941</v>
      </c>
      <c r="C3374" s="1">
        <v>6</v>
      </c>
      <c r="D3374" s="1" t="s">
        <v>2826</v>
      </c>
      <c r="E3374" t="s">
        <v>17517</v>
      </c>
      <c r="F3374" s="1">
        <v>181966</v>
      </c>
      <c r="G3374" s="1">
        <v>8793200278</v>
      </c>
      <c r="H3374" s="1">
        <v>6</v>
      </c>
      <c r="I3374" s="1" t="s">
        <v>5050</v>
      </c>
      <c r="J3374" t="s">
        <v>17518</v>
      </c>
    </row>
    <row r="3375" spans="1:10">
      <c r="A3375" s="1">
        <v>853069</v>
      </c>
      <c r="B3375" s="1">
        <v>4767713943</v>
      </c>
      <c r="C3375" s="1">
        <v>6</v>
      </c>
      <c r="D3375" s="1" t="s">
        <v>2826</v>
      </c>
      <c r="E3375" t="s">
        <v>17519</v>
      </c>
      <c r="F3375" s="1">
        <v>178202</v>
      </c>
      <c r="G3375" s="1">
        <v>8793200285</v>
      </c>
      <c r="H3375" s="1">
        <v>6</v>
      </c>
      <c r="I3375" s="1" t="s">
        <v>5050</v>
      </c>
      <c r="J3375" t="s">
        <v>17520</v>
      </c>
    </row>
    <row r="3376" spans="1:10">
      <c r="A3376" s="1">
        <v>853036</v>
      </c>
      <c r="B3376" s="1">
        <v>4767713949</v>
      </c>
      <c r="C3376" s="1">
        <v>6</v>
      </c>
      <c r="D3376" s="1" t="s">
        <v>2826</v>
      </c>
      <c r="E3376" t="s">
        <v>17521</v>
      </c>
      <c r="F3376" s="1">
        <v>528281</v>
      </c>
      <c r="G3376" s="1">
        <v>8793200281</v>
      </c>
      <c r="H3376" s="1">
        <v>6</v>
      </c>
      <c r="I3376" s="1" t="s">
        <v>5050</v>
      </c>
      <c r="J3376" t="s">
        <v>17522</v>
      </c>
    </row>
    <row r="3377" spans="1:10">
      <c r="A3377" s="1">
        <v>853135</v>
      </c>
      <c r="B3377" s="1">
        <v>4767713945</v>
      </c>
      <c r="C3377" s="1">
        <v>6</v>
      </c>
      <c r="D3377" s="1" t="s">
        <v>17523</v>
      </c>
      <c r="E3377" t="s">
        <v>17524</v>
      </c>
      <c r="F3377" s="1">
        <v>743179</v>
      </c>
      <c r="G3377" s="1">
        <v>8793200273</v>
      </c>
      <c r="H3377" s="1">
        <v>6</v>
      </c>
      <c r="I3377" s="1" t="s">
        <v>5050</v>
      </c>
      <c r="J3377" t="s">
        <v>17525</v>
      </c>
    </row>
    <row r="3378" spans="1:10">
      <c r="A3378" s="1">
        <v>853176</v>
      </c>
      <c r="B3378" s="1">
        <v>4767713946</v>
      </c>
      <c r="C3378" s="1">
        <v>6</v>
      </c>
      <c r="D3378" s="1" t="s">
        <v>17523</v>
      </c>
      <c r="E3378" t="s">
        <v>17526</v>
      </c>
      <c r="F3378" s="1">
        <v>538546</v>
      </c>
      <c r="G3378" s="1">
        <v>8793200282</v>
      </c>
      <c r="H3378" s="1">
        <v>6</v>
      </c>
      <c r="I3378" s="1" t="s">
        <v>5050</v>
      </c>
      <c r="J3378" t="s">
        <v>17527</v>
      </c>
    </row>
    <row r="3379" spans="1:10">
      <c r="A3379" s="1">
        <v>274118</v>
      </c>
      <c r="B3379" s="1">
        <v>4767726799</v>
      </c>
      <c r="C3379" s="1">
        <v>6</v>
      </c>
      <c r="D3379" s="1" t="s">
        <v>17523</v>
      </c>
      <c r="E3379" t="s">
        <v>17528</v>
      </c>
      <c r="F3379" s="1">
        <v>319228</v>
      </c>
      <c r="G3379" s="1">
        <v>8793200279</v>
      </c>
      <c r="H3379" s="1">
        <v>6</v>
      </c>
      <c r="I3379" s="1" t="s">
        <v>5050</v>
      </c>
      <c r="J3379" t="s">
        <v>17529</v>
      </c>
    </row>
    <row r="3380" spans="1:10">
      <c r="A3380" s="1">
        <v>853218</v>
      </c>
      <c r="B3380" s="1">
        <v>4767713947</v>
      </c>
      <c r="C3380" s="1">
        <v>6</v>
      </c>
      <c r="D3380" s="1" t="s">
        <v>17523</v>
      </c>
      <c r="E3380" t="s">
        <v>17530</v>
      </c>
      <c r="F3380" s="1">
        <v>615054</v>
      </c>
      <c r="G3380" s="1">
        <v>8793260140</v>
      </c>
      <c r="H3380" s="1">
        <v>6</v>
      </c>
      <c r="I3380" s="1" t="s">
        <v>5050</v>
      </c>
      <c r="J3380" t="s">
        <v>17531</v>
      </c>
    </row>
    <row r="3381" spans="1:10">
      <c r="A3381" s="1">
        <v>196915</v>
      </c>
      <c r="B3381" s="1">
        <v>7144129997</v>
      </c>
      <c r="C3381" s="1">
        <v>6</v>
      </c>
      <c r="D3381" s="1" t="s">
        <v>1200</v>
      </c>
      <c r="E3381" t="s">
        <v>17532</v>
      </c>
      <c r="F3381" s="1">
        <v>32649</v>
      </c>
      <c r="G3381" s="1">
        <v>8793200284</v>
      </c>
      <c r="H3381" s="1">
        <v>6</v>
      </c>
      <c r="I3381" s="1" t="s">
        <v>5050</v>
      </c>
      <c r="J3381" t="s">
        <v>17533</v>
      </c>
    </row>
    <row r="3382" spans="1:10">
      <c r="A3382" s="1">
        <v>627877</v>
      </c>
      <c r="B3382" s="1">
        <v>7144129116</v>
      </c>
      <c r="C3382" s="1">
        <v>6</v>
      </c>
      <c r="D3382" s="1" t="s">
        <v>1200</v>
      </c>
      <c r="E3382" t="s">
        <v>17534</v>
      </c>
      <c r="F3382" s="1">
        <v>615518</v>
      </c>
      <c r="G3382" s="1">
        <v>8793260293</v>
      </c>
      <c r="H3382" s="1">
        <v>6</v>
      </c>
      <c r="I3382" s="1" t="s">
        <v>5050</v>
      </c>
      <c r="J3382" t="s">
        <v>17535</v>
      </c>
    </row>
    <row r="3383" spans="1:10">
      <c r="A3383" s="1">
        <v>647511</v>
      </c>
      <c r="B3383" s="1">
        <v>7144102517</v>
      </c>
      <c r="C3383" s="1">
        <v>6</v>
      </c>
      <c r="D3383" s="1" t="s">
        <v>1200</v>
      </c>
      <c r="E3383" t="s">
        <v>17536</v>
      </c>
      <c r="F3383" s="1">
        <v>615294</v>
      </c>
      <c r="G3383" s="1">
        <v>8793260167</v>
      </c>
      <c r="H3383" s="1">
        <v>6</v>
      </c>
      <c r="I3383" s="1" t="s">
        <v>5050</v>
      </c>
      <c r="J3383" t="s">
        <v>17537</v>
      </c>
    </row>
    <row r="3384" spans="1:10">
      <c r="A3384" s="1">
        <v>637892</v>
      </c>
      <c r="B3384" s="1">
        <v>7144129244</v>
      </c>
      <c r="C3384" s="1">
        <v>6</v>
      </c>
      <c r="D3384" s="1" t="s">
        <v>1200</v>
      </c>
      <c r="E3384" t="s">
        <v>17538</v>
      </c>
      <c r="F3384" s="1">
        <v>609750</v>
      </c>
      <c r="G3384" s="1">
        <v>8793260152</v>
      </c>
      <c r="H3384" s="1">
        <v>6</v>
      </c>
      <c r="I3384" s="1" t="s">
        <v>5050</v>
      </c>
      <c r="J3384" t="s">
        <v>17539</v>
      </c>
    </row>
    <row r="3385" spans="1:10">
      <c r="A3385" s="1">
        <v>648964</v>
      </c>
      <c r="B3385" s="1">
        <v>7144102502</v>
      </c>
      <c r="C3385" s="1">
        <v>6</v>
      </c>
      <c r="D3385" s="1" t="s">
        <v>1200</v>
      </c>
      <c r="E3385" t="s">
        <v>17540</v>
      </c>
      <c r="F3385" s="1">
        <v>615138</v>
      </c>
      <c r="G3385" s="1">
        <v>8793260143</v>
      </c>
      <c r="H3385" s="1">
        <v>6</v>
      </c>
      <c r="I3385" s="1" t="s">
        <v>5050</v>
      </c>
      <c r="J3385" t="s">
        <v>17541</v>
      </c>
    </row>
    <row r="3386" spans="1:10">
      <c r="A3386" s="1">
        <v>639542</v>
      </c>
      <c r="B3386" s="1">
        <v>7144129177</v>
      </c>
      <c r="C3386" s="1">
        <v>6</v>
      </c>
      <c r="D3386" s="1" t="s">
        <v>1200</v>
      </c>
      <c r="E3386" t="s">
        <v>17542</v>
      </c>
      <c r="F3386" s="1">
        <v>603969</v>
      </c>
      <c r="G3386" s="1">
        <v>8793260158</v>
      </c>
      <c r="H3386" s="1">
        <v>6</v>
      </c>
      <c r="I3386" s="1" t="s">
        <v>5050</v>
      </c>
      <c r="J3386" t="s">
        <v>17543</v>
      </c>
    </row>
    <row r="3387" spans="1:10">
      <c r="A3387" s="1">
        <v>647875</v>
      </c>
      <c r="B3387" s="1">
        <v>7144102586</v>
      </c>
      <c r="C3387" s="1">
        <v>6</v>
      </c>
      <c r="D3387" s="1" t="s">
        <v>1200</v>
      </c>
      <c r="E3387" t="s">
        <v>17544</v>
      </c>
      <c r="F3387" s="1">
        <v>730457</v>
      </c>
      <c r="G3387" s="1">
        <v>8793200257</v>
      </c>
      <c r="H3387" s="1">
        <v>6</v>
      </c>
      <c r="I3387" s="1" t="s">
        <v>5050</v>
      </c>
      <c r="J3387" t="s">
        <v>17545</v>
      </c>
    </row>
    <row r="3388" spans="1:10">
      <c r="A3388" s="1">
        <v>510289</v>
      </c>
      <c r="B3388" s="1">
        <v>7144186281</v>
      </c>
      <c r="C3388" s="1">
        <v>6</v>
      </c>
      <c r="D3388" s="1" t="s">
        <v>1200</v>
      </c>
      <c r="E3388" t="s">
        <v>17546</v>
      </c>
      <c r="F3388" s="1">
        <v>730440</v>
      </c>
      <c r="G3388" s="1">
        <v>8793200259</v>
      </c>
      <c r="H3388" s="1">
        <v>6</v>
      </c>
      <c r="I3388" s="1" t="s">
        <v>5050</v>
      </c>
      <c r="J3388" t="s">
        <v>17547</v>
      </c>
    </row>
    <row r="3389" spans="1:10">
      <c r="A3389" s="1">
        <v>648998</v>
      </c>
      <c r="B3389" s="1">
        <v>7144102507</v>
      </c>
      <c r="C3389" s="1">
        <v>6</v>
      </c>
      <c r="D3389" s="1" t="s">
        <v>1200</v>
      </c>
      <c r="E3389" t="s">
        <v>17548</v>
      </c>
      <c r="F3389" s="1">
        <v>615252</v>
      </c>
      <c r="G3389" s="1">
        <v>8793260156</v>
      </c>
      <c r="H3389" s="1">
        <v>6</v>
      </c>
      <c r="I3389" s="1" t="s">
        <v>5050</v>
      </c>
      <c r="J3389" t="s">
        <v>17549</v>
      </c>
    </row>
    <row r="3390" spans="1:10">
      <c r="A3390" s="1">
        <v>603613</v>
      </c>
      <c r="B3390" s="1">
        <v>7144102500</v>
      </c>
      <c r="C3390" s="1">
        <v>6</v>
      </c>
      <c r="D3390" s="1" t="s">
        <v>1200</v>
      </c>
      <c r="E3390" t="s">
        <v>17550</v>
      </c>
      <c r="F3390" s="1">
        <v>615245</v>
      </c>
      <c r="G3390" s="1">
        <v>8793260155</v>
      </c>
      <c r="H3390" s="1">
        <v>6</v>
      </c>
      <c r="I3390" s="1" t="s">
        <v>5050</v>
      </c>
      <c r="J3390" t="s">
        <v>17551</v>
      </c>
    </row>
    <row r="3391" spans="1:10">
      <c r="A3391" s="1">
        <v>637801</v>
      </c>
      <c r="B3391" s="1">
        <v>7144129119</v>
      </c>
      <c r="C3391" s="1">
        <v>6</v>
      </c>
      <c r="D3391" s="1" t="s">
        <v>1200</v>
      </c>
      <c r="E3391" t="s">
        <v>17552</v>
      </c>
      <c r="F3391" s="1">
        <v>616219</v>
      </c>
      <c r="G3391" s="1">
        <v>8793260258</v>
      </c>
      <c r="H3391" s="1">
        <v>6</v>
      </c>
      <c r="I3391" s="1" t="s">
        <v>5050</v>
      </c>
      <c r="J3391" t="s">
        <v>17553</v>
      </c>
    </row>
    <row r="3392" spans="1:10">
      <c r="A3392" s="1">
        <v>627836</v>
      </c>
      <c r="B3392" s="1">
        <v>7144129108</v>
      </c>
      <c r="C3392" s="1">
        <v>6</v>
      </c>
      <c r="D3392" s="1" t="s">
        <v>1200</v>
      </c>
      <c r="E3392" t="s">
        <v>17554</v>
      </c>
      <c r="F3392" s="1">
        <v>615088</v>
      </c>
      <c r="G3392" s="1">
        <v>8793260142</v>
      </c>
      <c r="H3392" s="1">
        <v>6</v>
      </c>
      <c r="I3392" s="1" t="s">
        <v>5050</v>
      </c>
      <c r="J3392" t="s">
        <v>17555</v>
      </c>
    </row>
    <row r="3393" spans="1:10">
      <c r="A3393" s="1">
        <v>648089</v>
      </c>
      <c r="B3393" s="1">
        <v>7144102578</v>
      </c>
      <c r="C3393" s="1">
        <v>6</v>
      </c>
      <c r="D3393" s="1" t="s">
        <v>1200</v>
      </c>
      <c r="E3393" t="s">
        <v>17556</v>
      </c>
      <c r="F3393" s="1">
        <v>615831</v>
      </c>
      <c r="G3393" s="1">
        <v>8793200129</v>
      </c>
      <c r="H3393" s="1">
        <v>6</v>
      </c>
      <c r="I3393" s="1" t="s">
        <v>5050</v>
      </c>
      <c r="J3393" t="s">
        <v>17557</v>
      </c>
    </row>
    <row r="3394" spans="1:10">
      <c r="A3394" s="1">
        <v>647842</v>
      </c>
      <c r="B3394" s="1">
        <v>7144102503</v>
      </c>
      <c r="C3394" s="1">
        <v>6</v>
      </c>
      <c r="D3394" s="1" t="s">
        <v>1200</v>
      </c>
      <c r="E3394" t="s">
        <v>17558</v>
      </c>
      <c r="F3394" s="1">
        <v>615922</v>
      </c>
      <c r="G3394" s="1">
        <v>8793200219</v>
      </c>
      <c r="H3394" s="1">
        <v>6</v>
      </c>
      <c r="I3394" s="1" t="s">
        <v>5050</v>
      </c>
      <c r="J3394" t="s">
        <v>17559</v>
      </c>
    </row>
    <row r="3395" spans="1:10">
      <c r="A3395" s="1">
        <v>648972</v>
      </c>
      <c r="B3395" s="1">
        <v>7144102525</v>
      </c>
      <c r="C3395" s="1">
        <v>6</v>
      </c>
      <c r="D3395" s="1" t="s">
        <v>1200</v>
      </c>
      <c r="E3395" t="s">
        <v>17560</v>
      </c>
      <c r="F3395" s="1">
        <v>618066</v>
      </c>
      <c r="G3395" s="1">
        <v>8793260141</v>
      </c>
      <c r="H3395" s="1">
        <v>6</v>
      </c>
      <c r="I3395" s="1" t="s">
        <v>5050</v>
      </c>
      <c r="J3395" t="s">
        <v>17561</v>
      </c>
    </row>
    <row r="3396" spans="1:10">
      <c r="A3396" s="1">
        <v>648808</v>
      </c>
      <c r="B3396" s="1">
        <v>7144102528</v>
      </c>
      <c r="C3396" s="1">
        <v>6</v>
      </c>
      <c r="D3396" s="1" t="s">
        <v>1200</v>
      </c>
      <c r="E3396" t="s">
        <v>17562</v>
      </c>
      <c r="F3396" s="1">
        <v>615047</v>
      </c>
      <c r="G3396" s="1">
        <v>8793200014</v>
      </c>
      <c r="H3396" s="1">
        <v>6</v>
      </c>
      <c r="I3396" s="1" t="s">
        <v>5050</v>
      </c>
      <c r="J3396" t="s">
        <v>17563</v>
      </c>
    </row>
    <row r="3397" spans="1:10">
      <c r="A3397" s="1">
        <v>510172</v>
      </c>
      <c r="B3397" s="1">
        <v>7144129182</v>
      </c>
      <c r="C3397" s="1">
        <v>6</v>
      </c>
      <c r="D3397" s="1" t="s">
        <v>1200</v>
      </c>
      <c r="E3397" t="s">
        <v>17564</v>
      </c>
      <c r="F3397" s="1">
        <v>640383</v>
      </c>
      <c r="G3397" s="1">
        <v>8793200283</v>
      </c>
      <c r="H3397" s="1">
        <v>6</v>
      </c>
      <c r="I3397" s="1" t="s">
        <v>5050</v>
      </c>
      <c r="J3397" t="s">
        <v>17565</v>
      </c>
    </row>
    <row r="3398" spans="1:10">
      <c r="A3398" s="1">
        <v>648741</v>
      </c>
      <c r="B3398" s="1">
        <v>7144102524</v>
      </c>
      <c r="C3398" s="1">
        <v>6</v>
      </c>
      <c r="D3398" s="1" t="s">
        <v>1200</v>
      </c>
      <c r="E3398" t="s">
        <v>17566</v>
      </c>
      <c r="F3398" s="1">
        <v>622191</v>
      </c>
      <c r="G3398" s="1">
        <v>1116662219</v>
      </c>
      <c r="H3398" s="1">
        <v>6</v>
      </c>
      <c r="I3398" s="1" t="s">
        <v>2496</v>
      </c>
      <c r="J3398" t="s">
        <v>17567</v>
      </c>
    </row>
    <row r="3399" spans="1:10">
      <c r="A3399" s="1">
        <v>510164</v>
      </c>
      <c r="B3399" s="1">
        <v>7144129178</v>
      </c>
      <c r="C3399" s="1">
        <v>6</v>
      </c>
      <c r="D3399" s="1" t="s">
        <v>1200</v>
      </c>
      <c r="E3399" t="s">
        <v>17568</v>
      </c>
      <c r="F3399" s="1">
        <v>199075</v>
      </c>
      <c r="G3399" s="1">
        <v>1116601323</v>
      </c>
      <c r="H3399" s="1">
        <v>6</v>
      </c>
      <c r="I3399" s="1" t="s">
        <v>2496</v>
      </c>
      <c r="J3399" t="s">
        <v>17569</v>
      </c>
    </row>
    <row r="3400" spans="1:10">
      <c r="A3400" s="1">
        <v>645937</v>
      </c>
      <c r="B3400" s="1">
        <v>7144102555</v>
      </c>
      <c r="C3400" s="1">
        <v>6</v>
      </c>
      <c r="D3400" s="1" t="s">
        <v>1200</v>
      </c>
      <c r="E3400" t="s">
        <v>17570</v>
      </c>
      <c r="F3400" s="1">
        <v>621474</v>
      </c>
      <c r="G3400" s="1">
        <v>1116662147</v>
      </c>
      <c r="H3400" s="1">
        <v>6</v>
      </c>
      <c r="I3400" s="1" t="s">
        <v>2496</v>
      </c>
      <c r="J3400" t="s">
        <v>17571</v>
      </c>
    </row>
    <row r="3401" spans="1:10">
      <c r="A3401" s="1">
        <v>510149</v>
      </c>
      <c r="B3401" s="1">
        <v>7144129298</v>
      </c>
      <c r="C3401" s="1">
        <v>6</v>
      </c>
      <c r="D3401" s="1" t="s">
        <v>1200</v>
      </c>
      <c r="E3401" t="s">
        <v>17572</v>
      </c>
      <c r="F3401" s="1">
        <v>622225</v>
      </c>
      <c r="G3401" s="1">
        <v>1116662222</v>
      </c>
      <c r="H3401" s="1">
        <v>6</v>
      </c>
      <c r="I3401" s="1" t="s">
        <v>2496</v>
      </c>
      <c r="J3401" t="s">
        <v>17573</v>
      </c>
    </row>
    <row r="3402" spans="1:10">
      <c r="A3402" s="1">
        <v>647396</v>
      </c>
      <c r="B3402" s="1">
        <v>7144102501</v>
      </c>
      <c r="C3402" s="1">
        <v>6</v>
      </c>
      <c r="D3402" s="1" t="s">
        <v>1200</v>
      </c>
      <c r="E3402" t="s">
        <v>17574</v>
      </c>
      <c r="F3402" s="1">
        <v>622183</v>
      </c>
      <c r="G3402" s="1">
        <v>1116662218</v>
      </c>
      <c r="H3402" s="1">
        <v>6</v>
      </c>
      <c r="I3402" s="1" t="s">
        <v>2496</v>
      </c>
      <c r="J3402" t="s">
        <v>17575</v>
      </c>
    </row>
    <row r="3403" spans="1:10">
      <c r="A3403" s="1">
        <v>637983</v>
      </c>
      <c r="B3403" s="1">
        <v>7144129106</v>
      </c>
      <c r="C3403" s="1">
        <v>6</v>
      </c>
      <c r="D3403" s="1" t="s">
        <v>1200</v>
      </c>
      <c r="E3403" t="s">
        <v>17576</v>
      </c>
      <c r="F3403" s="1">
        <v>858126</v>
      </c>
      <c r="G3403" s="1">
        <v>4113030459</v>
      </c>
      <c r="H3403" s="1">
        <v>2</v>
      </c>
      <c r="I3403" s="1" t="s">
        <v>2866</v>
      </c>
      <c r="J3403" t="s">
        <v>17577</v>
      </c>
    </row>
    <row r="3404" spans="1:10">
      <c r="A3404" s="1">
        <v>627828</v>
      </c>
      <c r="B3404" s="1">
        <v>7144102508</v>
      </c>
      <c r="C3404" s="1">
        <v>6</v>
      </c>
      <c r="D3404" s="1" t="s">
        <v>1200</v>
      </c>
      <c r="E3404" t="s">
        <v>17578</v>
      </c>
      <c r="F3404" s="1">
        <v>857953</v>
      </c>
      <c r="G3404" s="1">
        <v>4113030712</v>
      </c>
      <c r="H3404" s="1">
        <v>2</v>
      </c>
      <c r="I3404" s="1" t="s">
        <v>2866</v>
      </c>
      <c r="J3404" t="s">
        <v>17579</v>
      </c>
    </row>
    <row r="3405" spans="1:10" ht="15.75">
      <c r="A3405" s="4" t="s">
        <v>17420</v>
      </c>
      <c r="B3405" s="2"/>
      <c r="C3405" s="2"/>
      <c r="D3405" s="2"/>
      <c r="E3405" s="3"/>
      <c r="F3405" s="4" t="s">
        <v>17420</v>
      </c>
      <c r="G3405" s="2"/>
      <c r="H3405" s="2"/>
      <c r="I3405" s="2"/>
      <c r="J3405" s="3"/>
    </row>
    <row r="3406" spans="1:10">
      <c r="A3406" s="2" t="s">
        <v>0</v>
      </c>
      <c r="B3406" s="2" t="s">
        <v>1</v>
      </c>
      <c r="C3406" s="2" t="s">
        <v>2</v>
      </c>
      <c r="D3406" s="2" t="s">
        <v>3</v>
      </c>
      <c r="E3406" s="3" t="s">
        <v>4</v>
      </c>
      <c r="F3406" s="2" t="s">
        <v>0</v>
      </c>
      <c r="G3406" s="2" t="s">
        <v>1</v>
      </c>
      <c r="H3406" s="2" t="s">
        <v>2</v>
      </c>
      <c r="I3406" s="2" t="s">
        <v>3</v>
      </c>
      <c r="J3406" s="3" t="s">
        <v>4</v>
      </c>
    </row>
    <row r="3407" spans="1:10">
      <c r="A3407" s="1">
        <v>620674</v>
      </c>
      <c r="B3407" s="1">
        <v>4113030032</v>
      </c>
      <c r="C3407" s="1">
        <v>6</v>
      </c>
      <c r="D3407" s="1" t="s">
        <v>3035</v>
      </c>
      <c r="E3407" t="s">
        <v>17580</v>
      </c>
      <c r="F3407" s="1">
        <v>689695</v>
      </c>
      <c r="G3407" s="1">
        <v>4113061297</v>
      </c>
      <c r="H3407" s="1">
        <v>6</v>
      </c>
      <c r="I3407" s="1" t="s">
        <v>1200</v>
      </c>
      <c r="J3407" t="s">
        <v>17581</v>
      </c>
    </row>
    <row r="3408" spans="1:10">
      <c r="A3408" s="1">
        <v>858068</v>
      </c>
      <c r="B3408" s="1">
        <v>4113030715</v>
      </c>
      <c r="C3408" s="1">
        <v>2</v>
      </c>
      <c r="D3408" s="1" t="s">
        <v>2866</v>
      </c>
      <c r="E3408" t="s">
        <v>17582</v>
      </c>
      <c r="F3408" s="1">
        <v>503706</v>
      </c>
      <c r="G3408" s="1">
        <v>4113061295</v>
      </c>
      <c r="H3408" s="1">
        <v>6</v>
      </c>
      <c r="I3408" s="1" t="s">
        <v>1200</v>
      </c>
      <c r="J3408" t="s">
        <v>17583</v>
      </c>
    </row>
    <row r="3409" spans="1:10">
      <c r="A3409" s="1">
        <v>128017</v>
      </c>
      <c r="B3409" s="1">
        <v>4113030959</v>
      </c>
      <c r="C3409" s="1">
        <v>2</v>
      </c>
      <c r="D3409" s="1" t="s">
        <v>17584</v>
      </c>
      <c r="E3409" t="s">
        <v>17585</v>
      </c>
      <c r="F3409" s="1">
        <v>874339</v>
      </c>
      <c r="G3409" s="1">
        <v>4113061310</v>
      </c>
      <c r="H3409" s="1">
        <v>6</v>
      </c>
      <c r="I3409" s="1" t="s">
        <v>1200</v>
      </c>
      <c r="J3409" t="s">
        <v>17586</v>
      </c>
    </row>
    <row r="3410" spans="1:10">
      <c r="A3410" s="1">
        <v>589838</v>
      </c>
      <c r="B3410" s="1">
        <v>4113030958</v>
      </c>
      <c r="C3410" s="1">
        <v>2</v>
      </c>
      <c r="D3410" s="1" t="s">
        <v>17584</v>
      </c>
      <c r="E3410" t="s">
        <v>17587</v>
      </c>
      <c r="F3410" s="1">
        <v>396010</v>
      </c>
      <c r="G3410" s="1">
        <v>4113061296</v>
      </c>
      <c r="H3410" s="1">
        <v>6</v>
      </c>
      <c r="I3410" s="1" t="s">
        <v>1200</v>
      </c>
      <c r="J3410" t="s">
        <v>17588</v>
      </c>
    </row>
    <row r="3411" spans="1:10">
      <c r="A3411" s="1">
        <v>219766</v>
      </c>
      <c r="B3411" s="1">
        <v>4113030961</v>
      </c>
      <c r="C3411" s="1">
        <v>2</v>
      </c>
      <c r="D3411" s="1" t="s">
        <v>17584</v>
      </c>
      <c r="E3411" t="s">
        <v>17589</v>
      </c>
      <c r="F3411" s="1">
        <v>594481</v>
      </c>
      <c r="G3411" s="1">
        <v>4113061283</v>
      </c>
      <c r="H3411" s="1">
        <v>6</v>
      </c>
      <c r="I3411" s="1" t="s">
        <v>1200</v>
      </c>
      <c r="J3411" t="s">
        <v>17590</v>
      </c>
    </row>
    <row r="3412" spans="1:10">
      <c r="A3412" s="1">
        <v>608463</v>
      </c>
      <c r="B3412" s="1">
        <v>4113030954</v>
      </c>
      <c r="C3412" s="1">
        <v>2</v>
      </c>
      <c r="D3412" s="1" t="s">
        <v>17584</v>
      </c>
      <c r="E3412" t="s">
        <v>17591</v>
      </c>
      <c r="F3412" s="1">
        <v>141044</v>
      </c>
      <c r="G3412" s="1">
        <v>4113061302</v>
      </c>
      <c r="H3412" s="1">
        <v>6</v>
      </c>
      <c r="I3412" s="1" t="s">
        <v>1200</v>
      </c>
      <c r="J3412" t="s">
        <v>17592</v>
      </c>
    </row>
    <row r="3413" spans="1:10">
      <c r="A3413" s="1">
        <v>33126</v>
      </c>
      <c r="B3413" s="1">
        <v>4113030956</v>
      </c>
      <c r="C3413" s="1">
        <v>2</v>
      </c>
      <c r="D3413" s="1" t="s">
        <v>17584</v>
      </c>
      <c r="E3413" t="s">
        <v>17593</v>
      </c>
      <c r="F3413" s="1">
        <v>125120</v>
      </c>
      <c r="G3413" s="1">
        <v>4113061304</v>
      </c>
      <c r="H3413" s="1">
        <v>6</v>
      </c>
      <c r="I3413" s="1" t="s">
        <v>1200</v>
      </c>
      <c r="J3413" t="s">
        <v>17594</v>
      </c>
    </row>
    <row r="3414" spans="1:10">
      <c r="A3414" s="1">
        <v>854091</v>
      </c>
      <c r="B3414" s="1">
        <v>4113030965</v>
      </c>
      <c r="C3414" s="1">
        <v>6</v>
      </c>
      <c r="D3414" s="1" t="s">
        <v>2496</v>
      </c>
      <c r="E3414" t="s">
        <v>17595</v>
      </c>
      <c r="F3414" s="1">
        <v>859785</v>
      </c>
      <c r="G3414" s="1">
        <v>4113061285</v>
      </c>
      <c r="H3414" s="1">
        <v>6</v>
      </c>
      <c r="I3414" s="1" t="s">
        <v>1200</v>
      </c>
      <c r="J3414" t="s">
        <v>17596</v>
      </c>
    </row>
    <row r="3415" spans="1:10">
      <c r="A3415" s="1">
        <v>644484</v>
      </c>
      <c r="B3415" s="1">
        <v>4113030968</v>
      </c>
      <c r="C3415" s="1">
        <v>6</v>
      </c>
      <c r="D3415" s="1" t="s">
        <v>2496</v>
      </c>
      <c r="E3415" t="s">
        <v>17597</v>
      </c>
      <c r="F3415" s="1">
        <v>551036</v>
      </c>
      <c r="G3415" s="1">
        <v>4113061291</v>
      </c>
      <c r="H3415" s="1">
        <v>6</v>
      </c>
      <c r="I3415" s="1" t="s">
        <v>1200</v>
      </c>
      <c r="J3415" t="s">
        <v>17598</v>
      </c>
    </row>
    <row r="3416" spans="1:10">
      <c r="A3416" s="1">
        <v>830539</v>
      </c>
      <c r="B3416" s="1">
        <v>4113030969</v>
      </c>
      <c r="C3416" s="1">
        <v>6</v>
      </c>
      <c r="D3416" s="1" t="s">
        <v>2496</v>
      </c>
      <c r="E3416" t="s">
        <v>17599</v>
      </c>
      <c r="F3416" s="1">
        <v>635656</v>
      </c>
      <c r="G3416" s="1">
        <v>4113061305</v>
      </c>
      <c r="H3416" s="1">
        <v>6</v>
      </c>
      <c r="I3416" s="1" t="s">
        <v>1200</v>
      </c>
      <c r="J3416" t="s">
        <v>17600</v>
      </c>
    </row>
    <row r="3417" spans="1:10">
      <c r="A3417" s="1">
        <v>597781</v>
      </c>
      <c r="B3417" s="1">
        <v>4113030955</v>
      </c>
      <c r="C3417" s="1">
        <v>2</v>
      </c>
      <c r="D3417" s="1" t="s">
        <v>17584</v>
      </c>
      <c r="E3417" t="s">
        <v>17601</v>
      </c>
      <c r="F3417" s="1">
        <v>541086</v>
      </c>
      <c r="G3417" s="1">
        <v>4113061289</v>
      </c>
      <c r="H3417" s="1">
        <v>6</v>
      </c>
      <c r="I3417" s="1" t="s">
        <v>1200</v>
      </c>
      <c r="J3417" t="s">
        <v>17602</v>
      </c>
    </row>
    <row r="3418" spans="1:10">
      <c r="A3418" s="1">
        <v>272146</v>
      </c>
      <c r="B3418" s="1">
        <v>4113030960</v>
      </c>
      <c r="C3418" s="1">
        <v>2</v>
      </c>
      <c r="D3418" s="1" t="s">
        <v>17584</v>
      </c>
      <c r="E3418" t="s">
        <v>17603</v>
      </c>
      <c r="F3418" s="1">
        <v>533067</v>
      </c>
      <c r="G3418" s="1">
        <v>4113061316</v>
      </c>
      <c r="H3418" s="1">
        <v>6</v>
      </c>
      <c r="I3418" s="1" t="s">
        <v>1200</v>
      </c>
      <c r="J3418" t="s">
        <v>17604</v>
      </c>
    </row>
    <row r="3419" spans="1:10">
      <c r="A3419" s="1">
        <v>620856</v>
      </c>
      <c r="B3419" s="1">
        <v>4113030033</v>
      </c>
      <c r="C3419" s="1">
        <v>6</v>
      </c>
      <c r="D3419" s="1" t="s">
        <v>3035</v>
      </c>
      <c r="E3419" t="s">
        <v>17605</v>
      </c>
      <c r="F3419" s="1">
        <v>17863</v>
      </c>
      <c r="G3419" s="1">
        <v>4113061298</v>
      </c>
      <c r="H3419" s="1">
        <v>6</v>
      </c>
      <c r="I3419" s="1" t="s">
        <v>1200</v>
      </c>
      <c r="J3419" t="s">
        <v>17606</v>
      </c>
    </row>
    <row r="3420" spans="1:10">
      <c r="A3420" s="1">
        <v>620203</v>
      </c>
      <c r="B3420" s="1">
        <v>4113030031</v>
      </c>
      <c r="C3420" s="1">
        <v>6</v>
      </c>
      <c r="D3420" s="1" t="s">
        <v>2496</v>
      </c>
      <c r="E3420" t="s">
        <v>17607</v>
      </c>
      <c r="F3420" s="1">
        <v>392704</v>
      </c>
      <c r="G3420" s="1">
        <v>4113061301</v>
      </c>
      <c r="H3420" s="1">
        <v>6</v>
      </c>
      <c r="I3420" s="1" t="s">
        <v>1200</v>
      </c>
      <c r="J3420" t="s">
        <v>17608</v>
      </c>
    </row>
    <row r="3421" spans="1:10">
      <c r="A3421" s="1">
        <v>624338</v>
      </c>
      <c r="B3421" s="1">
        <v>4113030922</v>
      </c>
      <c r="C3421" s="1">
        <v>6</v>
      </c>
      <c r="D3421" s="1" t="s">
        <v>2496</v>
      </c>
      <c r="E3421" t="s">
        <v>17609</v>
      </c>
      <c r="F3421" s="1">
        <v>847962</v>
      </c>
      <c r="G3421" s="1">
        <v>4113061294</v>
      </c>
      <c r="H3421" s="1">
        <v>6</v>
      </c>
      <c r="I3421" s="1" t="s">
        <v>1200</v>
      </c>
      <c r="J3421" t="s">
        <v>17610</v>
      </c>
    </row>
    <row r="3422" spans="1:10">
      <c r="A3422" s="1">
        <v>615260</v>
      </c>
      <c r="B3422" s="1">
        <v>4113030749</v>
      </c>
      <c r="C3422" s="1">
        <v>6</v>
      </c>
      <c r="D3422" s="1" t="s">
        <v>2496</v>
      </c>
      <c r="E3422" t="s">
        <v>17611</v>
      </c>
      <c r="F3422" s="1">
        <v>524405</v>
      </c>
      <c r="G3422" s="1">
        <v>4113061315</v>
      </c>
      <c r="H3422" s="1">
        <v>6</v>
      </c>
      <c r="I3422" s="1" t="s">
        <v>1200</v>
      </c>
      <c r="J3422" t="s">
        <v>17612</v>
      </c>
    </row>
    <row r="3423" spans="1:10">
      <c r="A3423" s="1">
        <v>238915</v>
      </c>
      <c r="B3423" s="1">
        <v>692208152</v>
      </c>
      <c r="C3423" s="1">
        <v>6</v>
      </c>
      <c r="D3423" s="1" t="s">
        <v>6306</v>
      </c>
      <c r="E3423" t="s">
        <v>17613</v>
      </c>
      <c r="F3423" s="1">
        <v>872358</v>
      </c>
      <c r="G3423" s="1">
        <v>4113061303</v>
      </c>
      <c r="H3423" s="1">
        <v>6</v>
      </c>
      <c r="I3423" s="1" t="s">
        <v>1200</v>
      </c>
      <c r="J3423" t="s">
        <v>17614</v>
      </c>
    </row>
    <row r="3424" spans="1:10">
      <c r="A3424" s="1">
        <v>193177</v>
      </c>
      <c r="B3424" s="1">
        <v>692208162</v>
      </c>
      <c r="C3424" s="1">
        <v>6</v>
      </c>
      <c r="D3424" s="1" t="s">
        <v>6306</v>
      </c>
      <c r="E3424" t="s">
        <v>17615</v>
      </c>
      <c r="F3424" s="1">
        <v>188052</v>
      </c>
      <c r="G3424" s="1">
        <v>4113061287</v>
      </c>
      <c r="H3424" s="1">
        <v>6</v>
      </c>
      <c r="I3424" s="1" t="s">
        <v>1200</v>
      </c>
      <c r="J3424" t="s">
        <v>17616</v>
      </c>
    </row>
    <row r="3425" spans="1:10">
      <c r="A3425" s="1">
        <v>197921</v>
      </c>
      <c r="B3425" s="1">
        <v>692208153</v>
      </c>
      <c r="C3425" s="1">
        <v>6</v>
      </c>
      <c r="D3425" s="1" t="s">
        <v>6306</v>
      </c>
      <c r="E3425" t="s">
        <v>17617</v>
      </c>
      <c r="F3425" s="1">
        <v>266056</v>
      </c>
      <c r="G3425" s="1">
        <v>4113061281</v>
      </c>
      <c r="H3425" s="1">
        <v>6</v>
      </c>
      <c r="I3425" s="1" t="s">
        <v>1200</v>
      </c>
      <c r="J3425" t="s">
        <v>17618</v>
      </c>
    </row>
    <row r="3426" spans="1:10">
      <c r="A3426" s="1">
        <v>539866</v>
      </c>
      <c r="B3426" s="1">
        <v>692208163</v>
      </c>
      <c r="C3426" s="1">
        <v>6</v>
      </c>
      <c r="D3426" s="1" t="s">
        <v>6306</v>
      </c>
      <c r="E3426" t="s">
        <v>17619</v>
      </c>
      <c r="F3426" s="1">
        <v>805226</v>
      </c>
      <c r="G3426" s="1">
        <v>4113061290</v>
      </c>
      <c r="H3426" s="1">
        <v>6</v>
      </c>
      <c r="I3426" s="1" t="s">
        <v>1200</v>
      </c>
      <c r="J3426" t="s">
        <v>17620</v>
      </c>
    </row>
    <row r="3427" spans="1:10">
      <c r="A3427" s="1">
        <v>13599</v>
      </c>
      <c r="B3427" s="1">
        <v>692208164</v>
      </c>
      <c r="C3427" s="1">
        <v>6</v>
      </c>
      <c r="D3427" s="1" t="s">
        <v>6306</v>
      </c>
      <c r="E3427" t="s">
        <v>17621</v>
      </c>
      <c r="F3427" s="1">
        <v>405548</v>
      </c>
      <c r="G3427" s="1">
        <v>4113061300</v>
      </c>
      <c r="H3427" s="1">
        <v>6</v>
      </c>
      <c r="I3427" s="1" t="s">
        <v>1200</v>
      </c>
      <c r="J3427" t="s">
        <v>17622</v>
      </c>
    </row>
    <row r="3428" spans="1:10">
      <c r="A3428" s="1">
        <v>356998</v>
      </c>
      <c r="B3428" s="1">
        <v>692208159</v>
      </c>
      <c r="C3428" s="1">
        <v>6</v>
      </c>
      <c r="D3428" s="1" t="s">
        <v>6306</v>
      </c>
      <c r="E3428" t="s">
        <v>17623</v>
      </c>
      <c r="F3428" s="1">
        <v>305623</v>
      </c>
      <c r="G3428" s="1">
        <v>4113061279</v>
      </c>
      <c r="H3428" s="1">
        <v>6</v>
      </c>
      <c r="I3428" s="1" t="s">
        <v>1200</v>
      </c>
      <c r="J3428" t="s">
        <v>17624</v>
      </c>
    </row>
    <row r="3429" spans="1:10">
      <c r="A3429" s="1">
        <v>698712</v>
      </c>
      <c r="B3429" s="1">
        <v>692208158</v>
      </c>
      <c r="C3429" s="1">
        <v>6</v>
      </c>
      <c r="D3429" s="1" t="s">
        <v>6306</v>
      </c>
      <c r="E3429" t="s">
        <v>17625</v>
      </c>
      <c r="F3429" s="1">
        <v>598177</v>
      </c>
      <c r="G3429" s="1">
        <v>4113061278</v>
      </c>
      <c r="H3429" s="1">
        <v>6</v>
      </c>
      <c r="I3429" s="1" t="s">
        <v>1200</v>
      </c>
      <c r="J3429" t="s">
        <v>17626</v>
      </c>
    </row>
    <row r="3430" spans="1:10">
      <c r="A3430" s="1">
        <v>145847</v>
      </c>
      <c r="B3430" s="1">
        <v>692208160</v>
      </c>
      <c r="C3430" s="1">
        <v>6</v>
      </c>
      <c r="D3430" s="1" t="s">
        <v>6306</v>
      </c>
      <c r="E3430" t="s">
        <v>17627</v>
      </c>
      <c r="F3430" s="1">
        <v>154138</v>
      </c>
      <c r="G3430" s="1">
        <v>4113061299</v>
      </c>
      <c r="H3430" s="1">
        <v>6</v>
      </c>
      <c r="I3430" s="1" t="s">
        <v>1200</v>
      </c>
      <c r="J3430" t="s">
        <v>17628</v>
      </c>
    </row>
    <row r="3431" spans="1:10">
      <c r="A3431" s="1">
        <v>768473</v>
      </c>
      <c r="B3431" s="1">
        <v>692208155</v>
      </c>
      <c r="C3431" s="1">
        <v>6</v>
      </c>
      <c r="D3431" s="1" t="s">
        <v>6306</v>
      </c>
      <c r="E3431" t="s">
        <v>17629</v>
      </c>
      <c r="F3431" s="1">
        <v>151167</v>
      </c>
      <c r="G3431" s="1">
        <v>4113061280</v>
      </c>
      <c r="H3431" s="1">
        <v>6</v>
      </c>
      <c r="I3431" s="1" t="s">
        <v>1200</v>
      </c>
      <c r="J3431" t="s">
        <v>17630</v>
      </c>
    </row>
    <row r="3432" spans="1:10">
      <c r="A3432" s="1">
        <v>262659</v>
      </c>
      <c r="B3432" s="1">
        <v>692208161</v>
      </c>
      <c r="C3432" s="1">
        <v>6</v>
      </c>
      <c r="D3432" s="1" t="s">
        <v>6306</v>
      </c>
      <c r="E3432" t="s">
        <v>17631</v>
      </c>
      <c r="F3432" s="1">
        <v>527606</v>
      </c>
      <c r="G3432" s="1">
        <v>4113061284</v>
      </c>
      <c r="H3432" s="1">
        <v>6</v>
      </c>
      <c r="I3432" s="1" t="s">
        <v>1200</v>
      </c>
      <c r="J3432" t="s">
        <v>17632</v>
      </c>
    </row>
    <row r="3433" spans="1:10">
      <c r="A3433" s="1">
        <v>324236</v>
      </c>
      <c r="B3433" s="1">
        <v>692208156</v>
      </c>
      <c r="C3433" s="1">
        <v>6</v>
      </c>
      <c r="D3433" s="1" t="s">
        <v>6306</v>
      </c>
      <c r="E3433" t="s">
        <v>17633</v>
      </c>
      <c r="F3433" s="1">
        <v>114330</v>
      </c>
      <c r="G3433" s="1">
        <v>4113061286</v>
      </c>
      <c r="H3433" s="1">
        <v>6</v>
      </c>
      <c r="I3433" s="1" t="s">
        <v>1200</v>
      </c>
      <c r="J3433" t="s">
        <v>17634</v>
      </c>
    </row>
    <row r="3434" spans="1:10">
      <c r="A3434" s="1">
        <v>104190</v>
      </c>
      <c r="B3434" s="1">
        <v>7756704611</v>
      </c>
      <c r="C3434" s="1">
        <v>8</v>
      </c>
      <c r="D3434" s="1" t="s">
        <v>1191</v>
      </c>
      <c r="E3434" t="s">
        <v>17635</v>
      </c>
      <c r="F3434" s="1">
        <v>118117</v>
      </c>
      <c r="G3434" s="1">
        <v>4113061309</v>
      </c>
      <c r="H3434" s="1">
        <v>6</v>
      </c>
      <c r="I3434" s="1" t="s">
        <v>1200</v>
      </c>
      <c r="J3434" t="s">
        <v>17636</v>
      </c>
    </row>
    <row r="3435" spans="1:10">
      <c r="A3435" s="1">
        <v>690677</v>
      </c>
      <c r="B3435" s="1">
        <v>7756704613</v>
      </c>
      <c r="C3435" s="1">
        <v>8</v>
      </c>
      <c r="D3435" s="1" t="s">
        <v>1191</v>
      </c>
      <c r="E3435" t="s">
        <v>17637</v>
      </c>
      <c r="F3435" s="1">
        <v>502252</v>
      </c>
      <c r="G3435" s="1">
        <v>4113061277</v>
      </c>
      <c r="H3435" s="1">
        <v>6</v>
      </c>
      <c r="I3435" s="1" t="s">
        <v>1200</v>
      </c>
      <c r="J3435" t="s">
        <v>17638</v>
      </c>
    </row>
    <row r="3436" spans="1:10">
      <c r="A3436" s="1">
        <v>518399</v>
      </c>
      <c r="B3436" s="1">
        <v>7756704615</v>
      </c>
      <c r="C3436" s="1">
        <v>12</v>
      </c>
      <c r="D3436" s="1" t="s">
        <v>17639</v>
      </c>
      <c r="E3436" t="s">
        <v>17640</v>
      </c>
      <c r="F3436" s="1">
        <v>335000</v>
      </c>
      <c r="G3436" s="1">
        <v>4113061215</v>
      </c>
      <c r="H3436" s="1">
        <v>6</v>
      </c>
      <c r="I3436" s="1" t="s">
        <v>5050</v>
      </c>
      <c r="J3436" t="s">
        <v>17641</v>
      </c>
    </row>
    <row r="3437" spans="1:10">
      <c r="A3437" s="1">
        <v>608547</v>
      </c>
      <c r="B3437" s="1">
        <v>7756704612</v>
      </c>
      <c r="C3437" s="1">
        <v>8</v>
      </c>
      <c r="D3437" s="1" t="s">
        <v>1191</v>
      </c>
      <c r="E3437" t="s">
        <v>17642</v>
      </c>
      <c r="F3437" s="1">
        <v>356675</v>
      </c>
      <c r="G3437" s="1">
        <v>4113061253</v>
      </c>
      <c r="H3437" s="1">
        <v>6</v>
      </c>
      <c r="I3437" s="1" t="s">
        <v>17643</v>
      </c>
      <c r="J3437" t="s">
        <v>17644</v>
      </c>
    </row>
    <row r="3438" spans="1:10">
      <c r="A3438" s="1">
        <v>538611</v>
      </c>
      <c r="B3438" s="1">
        <v>7756704614</v>
      </c>
      <c r="C3438" s="1">
        <v>8</v>
      </c>
      <c r="D3438" s="1" t="s">
        <v>1191</v>
      </c>
      <c r="E3438" t="s">
        <v>17645</v>
      </c>
      <c r="F3438" s="1">
        <v>582312</v>
      </c>
      <c r="G3438" s="1">
        <v>4113061254</v>
      </c>
      <c r="H3438" s="1">
        <v>6</v>
      </c>
      <c r="I3438" s="1" t="s">
        <v>17643</v>
      </c>
      <c r="J3438" t="s">
        <v>17646</v>
      </c>
    </row>
    <row r="3439" spans="1:10">
      <c r="A3439" s="1">
        <v>825059</v>
      </c>
      <c r="B3439" s="1">
        <v>4113061313</v>
      </c>
      <c r="C3439" s="1">
        <v>6</v>
      </c>
      <c r="D3439" s="1" t="s">
        <v>1200</v>
      </c>
      <c r="E3439" t="s">
        <v>17647</v>
      </c>
      <c r="F3439" s="1">
        <v>329250</v>
      </c>
      <c r="G3439" s="1">
        <v>4113061257</v>
      </c>
      <c r="H3439" s="1">
        <v>6</v>
      </c>
      <c r="I3439" s="1" t="s">
        <v>17643</v>
      </c>
      <c r="J3439" t="s">
        <v>17648</v>
      </c>
    </row>
    <row r="3440" spans="1:10">
      <c r="A3440" s="1">
        <v>122531</v>
      </c>
      <c r="B3440" s="1">
        <v>4113061318</v>
      </c>
      <c r="C3440" s="1">
        <v>6</v>
      </c>
      <c r="D3440" s="1" t="s">
        <v>1200</v>
      </c>
      <c r="E3440" t="s">
        <v>17649</v>
      </c>
      <c r="F3440" s="1">
        <v>538736</v>
      </c>
      <c r="G3440" s="1">
        <v>4113061252</v>
      </c>
      <c r="H3440" s="1">
        <v>6</v>
      </c>
      <c r="I3440" s="1" t="s">
        <v>17643</v>
      </c>
      <c r="J3440" t="s">
        <v>17650</v>
      </c>
    </row>
    <row r="3441" spans="1:10">
      <c r="A3441" s="1">
        <v>585455</v>
      </c>
      <c r="B3441" s="1">
        <v>4113061307</v>
      </c>
      <c r="C3441" s="1">
        <v>6</v>
      </c>
      <c r="D3441" s="1" t="s">
        <v>1200</v>
      </c>
      <c r="E3441" t="s">
        <v>17651</v>
      </c>
      <c r="F3441" s="1">
        <v>623462</v>
      </c>
      <c r="G3441" s="1">
        <v>2073511018</v>
      </c>
      <c r="H3441" s="1">
        <v>6</v>
      </c>
      <c r="I3441" s="1" t="s">
        <v>1200</v>
      </c>
      <c r="J3441" t="s">
        <v>17652</v>
      </c>
    </row>
    <row r="3442" spans="1:10">
      <c r="A3442" s="1">
        <v>56739</v>
      </c>
      <c r="B3442" s="1">
        <v>4113061282</v>
      </c>
      <c r="C3442" s="1">
        <v>6</v>
      </c>
      <c r="D3442" s="1" t="s">
        <v>1200</v>
      </c>
      <c r="E3442" t="s">
        <v>17653</v>
      </c>
      <c r="F3442" s="1">
        <v>494997</v>
      </c>
      <c r="G3442" s="1">
        <v>2073511017</v>
      </c>
      <c r="H3442" s="1">
        <v>6</v>
      </c>
      <c r="I3442" s="1" t="s">
        <v>1200</v>
      </c>
      <c r="J3442" t="s">
        <v>17654</v>
      </c>
    </row>
    <row r="3443" spans="1:10">
      <c r="A3443" s="1">
        <v>561357</v>
      </c>
      <c r="B3443" s="1">
        <v>4113061314</v>
      </c>
      <c r="C3443" s="1">
        <v>6</v>
      </c>
      <c r="D3443" s="1" t="s">
        <v>1200</v>
      </c>
      <c r="E3443" t="s">
        <v>17655</v>
      </c>
      <c r="F3443" s="1">
        <v>622324</v>
      </c>
      <c r="G3443" s="1">
        <v>2073511014</v>
      </c>
      <c r="H3443" s="1">
        <v>6</v>
      </c>
      <c r="I3443" s="1" t="s">
        <v>1200</v>
      </c>
      <c r="J3443" t="s">
        <v>17656</v>
      </c>
    </row>
    <row r="3444" spans="1:10">
      <c r="A3444" s="1">
        <v>523175</v>
      </c>
      <c r="B3444" s="1">
        <v>4113061293</v>
      </c>
      <c r="C3444" s="1">
        <v>6</v>
      </c>
      <c r="D3444" s="1" t="s">
        <v>1200</v>
      </c>
      <c r="E3444" t="s">
        <v>17657</v>
      </c>
      <c r="F3444" s="1">
        <v>276915</v>
      </c>
      <c r="G3444" s="1">
        <v>2073512128</v>
      </c>
      <c r="H3444" s="1">
        <v>6</v>
      </c>
      <c r="I3444" s="1" t="s">
        <v>1200</v>
      </c>
      <c r="J3444" t="s">
        <v>17658</v>
      </c>
    </row>
    <row r="3445" spans="1:10">
      <c r="A3445" s="1">
        <v>484816</v>
      </c>
      <c r="B3445" s="1">
        <v>4113061317</v>
      </c>
      <c r="C3445" s="1">
        <v>6</v>
      </c>
      <c r="D3445" s="1" t="s">
        <v>1200</v>
      </c>
      <c r="E3445" t="s">
        <v>17659</v>
      </c>
      <c r="F3445" s="1">
        <v>624908</v>
      </c>
      <c r="G3445" s="1">
        <v>2073511024</v>
      </c>
      <c r="H3445" s="1">
        <v>6</v>
      </c>
      <c r="I3445" s="1" t="s">
        <v>1200</v>
      </c>
      <c r="J3445" t="s">
        <v>17660</v>
      </c>
    </row>
    <row r="3446" spans="1:10" ht="15.75">
      <c r="A3446" s="4" t="s">
        <v>17420</v>
      </c>
      <c r="B3446" s="2"/>
      <c r="C3446" s="2"/>
      <c r="D3446" s="2"/>
      <c r="E3446" s="3"/>
      <c r="F3446" s="4" t="s">
        <v>17420</v>
      </c>
      <c r="G3446" s="2"/>
      <c r="H3446" s="2"/>
      <c r="I3446" s="2"/>
      <c r="J3446" s="3"/>
    </row>
    <row r="3447" spans="1:10">
      <c r="A3447" s="2" t="s">
        <v>0</v>
      </c>
      <c r="B3447" s="2" t="s">
        <v>1</v>
      </c>
      <c r="C3447" s="2" t="s">
        <v>2</v>
      </c>
      <c r="D3447" s="2" t="s">
        <v>3</v>
      </c>
      <c r="E3447" s="3" t="s">
        <v>4</v>
      </c>
      <c r="F3447" s="2" t="s">
        <v>0</v>
      </c>
      <c r="G3447" s="2" t="s">
        <v>1</v>
      </c>
      <c r="H3447" s="2" t="s">
        <v>2</v>
      </c>
      <c r="I3447" s="2" t="s">
        <v>3</v>
      </c>
      <c r="J3447" s="3" t="s">
        <v>4</v>
      </c>
    </row>
    <row r="3448" spans="1:10">
      <c r="A3448" s="1">
        <v>622373</v>
      </c>
      <c r="B3448" s="1">
        <v>2073511016</v>
      </c>
      <c r="C3448" s="1">
        <v>6</v>
      </c>
      <c r="D3448" s="1" t="s">
        <v>1200</v>
      </c>
      <c r="E3448" t="s">
        <v>17661</v>
      </c>
      <c r="F3448" s="1">
        <v>622340</v>
      </c>
      <c r="G3448" s="1">
        <v>2073511102</v>
      </c>
      <c r="H3448" s="1">
        <v>6</v>
      </c>
      <c r="I3448" s="1" t="s">
        <v>1200</v>
      </c>
      <c r="J3448" t="s">
        <v>17662</v>
      </c>
    </row>
    <row r="3449" spans="1:10">
      <c r="A3449" s="1">
        <v>810317</v>
      </c>
      <c r="B3449" s="1">
        <v>2073542085</v>
      </c>
      <c r="C3449" s="1">
        <v>8</v>
      </c>
      <c r="D3449" s="1" t="s">
        <v>1191</v>
      </c>
      <c r="E3449" t="s">
        <v>17663</v>
      </c>
      <c r="F3449" s="1">
        <v>624932</v>
      </c>
      <c r="G3449" s="1">
        <v>2073511101</v>
      </c>
      <c r="H3449" s="1">
        <v>6</v>
      </c>
      <c r="I3449" s="1" t="s">
        <v>2496</v>
      </c>
      <c r="J3449" t="s">
        <v>17664</v>
      </c>
    </row>
    <row r="3450" spans="1:10">
      <c r="A3450" s="1">
        <v>827188</v>
      </c>
      <c r="B3450" s="1">
        <v>2073542080</v>
      </c>
      <c r="C3450" s="1">
        <v>8</v>
      </c>
      <c r="D3450" s="1" t="s">
        <v>1191</v>
      </c>
      <c r="E3450" t="s">
        <v>17665</v>
      </c>
      <c r="F3450" s="1">
        <v>381442</v>
      </c>
      <c r="G3450" s="1">
        <v>2073512125</v>
      </c>
      <c r="H3450" s="1">
        <v>6</v>
      </c>
      <c r="I3450" s="1" t="s">
        <v>1200</v>
      </c>
      <c r="J3450" t="s">
        <v>17666</v>
      </c>
    </row>
    <row r="3451" spans="1:10">
      <c r="A3451" s="1">
        <v>858043</v>
      </c>
      <c r="B3451" s="1">
        <v>2073512122</v>
      </c>
      <c r="C3451" s="1">
        <v>6</v>
      </c>
      <c r="D3451" s="1" t="s">
        <v>1200</v>
      </c>
      <c r="E3451" t="s">
        <v>17667</v>
      </c>
      <c r="F3451" s="1">
        <v>53959</v>
      </c>
      <c r="G3451" s="1">
        <v>2073511020</v>
      </c>
      <c r="H3451" s="1">
        <v>6</v>
      </c>
      <c r="I3451" s="1" t="s">
        <v>1200</v>
      </c>
      <c r="J3451" t="s">
        <v>17668</v>
      </c>
    </row>
    <row r="3452" spans="1:10">
      <c r="A3452" s="1">
        <v>623470</v>
      </c>
      <c r="B3452" s="1">
        <v>2073542093</v>
      </c>
      <c r="C3452" s="1">
        <v>6</v>
      </c>
      <c r="D3452" s="1" t="s">
        <v>1200</v>
      </c>
      <c r="E3452" t="s">
        <v>17669</v>
      </c>
      <c r="F3452" s="1">
        <v>119529</v>
      </c>
      <c r="G3452" s="1">
        <v>2073542079</v>
      </c>
      <c r="H3452" s="1">
        <v>8</v>
      </c>
      <c r="I3452" s="1" t="s">
        <v>1191</v>
      </c>
      <c r="J3452" t="s">
        <v>17670</v>
      </c>
    </row>
    <row r="3453" spans="1:10">
      <c r="A3453" s="1">
        <v>626028</v>
      </c>
      <c r="B3453" s="1">
        <v>2073511202</v>
      </c>
      <c r="C3453" s="1">
        <v>6</v>
      </c>
      <c r="D3453" s="1" t="s">
        <v>1200</v>
      </c>
      <c r="E3453" t="s">
        <v>17671</v>
      </c>
      <c r="F3453" s="1">
        <v>622969</v>
      </c>
      <c r="G3453" s="1">
        <v>2073511013</v>
      </c>
      <c r="H3453" s="1">
        <v>6</v>
      </c>
      <c r="I3453" s="1" t="s">
        <v>1200</v>
      </c>
      <c r="J3453" t="s">
        <v>17672</v>
      </c>
    </row>
    <row r="3454" spans="1:10">
      <c r="A3454" s="1">
        <v>622712</v>
      </c>
      <c r="B3454" s="1">
        <v>2073511022</v>
      </c>
      <c r="C3454" s="1">
        <v>6</v>
      </c>
      <c r="D3454" s="1" t="s">
        <v>1200</v>
      </c>
      <c r="E3454" t="s">
        <v>17673</v>
      </c>
      <c r="F3454" s="1">
        <v>622696</v>
      </c>
      <c r="G3454" s="1">
        <v>2073511001</v>
      </c>
      <c r="H3454" s="1">
        <v>6</v>
      </c>
      <c r="I3454" s="1" t="s">
        <v>1200</v>
      </c>
      <c r="J3454" t="s">
        <v>17674</v>
      </c>
    </row>
    <row r="3455" spans="1:10">
      <c r="A3455" s="1">
        <v>279224</v>
      </c>
      <c r="B3455" s="1">
        <v>2073512010</v>
      </c>
      <c r="C3455" s="1">
        <v>6</v>
      </c>
      <c r="D3455" s="1" t="s">
        <v>1200</v>
      </c>
      <c r="E3455" t="s">
        <v>17675</v>
      </c>
      <c r="F3455" s="1">
        <v>622316</v>
      </c>
      <c r="G3455" s="1">
        <v>2073511006</v>
      </c>
      <c r="H3455" s="1">
        <v>6</v>
      </c>
      <c r="I3455" s="1" t="s">
        <v>1200</v>
      </c>
      <c r="J3455" t="s">
        <v>17676</v>
      </c>
    </row>
    <row r="3456" spans="1:10">
      <c r="A3456" s="1">
        <v>130575</v>
      </c>
      <c r="B3456" s="1">
        <v>2073511212</v>
      </c>
      <c r="C3456" s="1">
        <v>6</v>
      </c>
      <c r="D3456" s="1" t="s">
        <v>1200</v>
      </c>
      <c r="E3456" t="s">
        <v>17677</v>
      </c>
      <c r="F3456" s="1">
        <v>622282</v>
      </c>
      <c r="G3456" s="1">
        <v>2073511004</v>
      </c>
      <c r="H3456" s="1">
        <v>6</v>
      </c>
      <c r="I3456" s="1" t="s">
        <v>1200</v>
      </c>
      <c r="J3456" t="s">
        <v>17678</v>
      </c>
    </row>
    <row r="3457" spans="1:10">
      <c r="A3457" s="1">
        <v>360990</v>
      </c>
      <c r="B3457" s="1">
        <v>2073511213</v>
      </c>
      <c r="C3457" s="1">
        <v>6</v>
      </c>
      <c r="D3457" s="1" t="s">
        <v>1200</v>
      </c>
      <c r="E3457" t="s">
        <v>17679</v>
      </c>
      <c r="F3457" s="1">
        <v>541227</v>
      </c>
      <c r="G3457" s="1">
        <v>2073542084</v>
      </c>
      <c r="H3457" s="1">
        <v>8</v>
      </c>
      <c r="I3457" s="1" t="s">
        <v>1191</v>
      </c>
      <c r="J3457" t="s">
        <v>17680</v>
      </c>
    </row>
    <row r="3458" spans="1:10">
      <c r="A3458" s="1">
        <v>566620</v>
      </c>
      <c r="B3458" s="1">
        <v>2073511210</v>
      </c>
      <c r="C3458" s="1">
        <v>6</v>
      </c>
      <c r="D3458" s="1" t="s">
        <v>1200</v>
      </c>
      <c r="E3458" t="s">
        <v>17681</v>
      </c>
      <c r="F3458" s="1">
        <v>400937</v>
      </c>
      <c r="G3458" s="1">
        <v>2073542073</v>
      </c>
      <c r="H3458" s="1">
        <v>8</v>
      </c>
      <c r="I3458" s="1" t="s">
        <v>1191</v>
      </c>
      <c r="J3458" t="s">
        <v>17682</v>
      </c>
    </row>
    <row r="3459" spans="1:10">
      <c r="A3459" s="1">
        <v>269399</v>
      </c>
      <c r="B3459" s="1">
        <v>2073511211</v>
      </c>
      <c r="C3459" s="1">
        <v>6</v>
      </c>
      <c r="D3459" s="1" t="s">
        <v>1200</v>
      </c>
      <c r="E3459" t="s">
        <v>17683</v>
      </c>
      <c r="F3459" s="1">
        <v>122598</v>
      </c>
      <c r="G3459" s="1">
        <v>2073541999</v>
      </c>
      <c r="H3459" s="1">
        <v>8</v>
      </c>
      <c r="I3459" s="1" t="s">
        <v>1191</v>
      </c>
      <c r="J3459" t="s">
        <v>17684</v>
      </c>
    </row>
    <row r="3460" spans="1:10">
      <c r="A3460" s="1">
        <v>499616</v>
      </c>
      <c r="B3460" s="1">
        <v>2073542037</v>
      </c>
      <c r="C3460" s="1">
        <v>6</v>
      </c>
      <c r="D3460" s="1" t="s">
        <v>1200</v>
      </c>
      <c r="E3460" t="s">
        <v>17685</v>
      </c>
      <c r="F3460" s="1">
        <v>271189</v>
      </c>
      <c r="G3460" s="1">
        <v>2073542001</v>
      </c>
      <c r="H3460" s="1">
        <v>8</v>
      </c>
      <c r="I3460" s="1" t="s">
        <v>1191</v>
      </c>
      <c r="J3460" t="s">
        <v>17686</v>
      </c>
    </row>
    <row r="3461" spans="1:10">
      <c r="A3461" s="1">
        <v>45690</v>
      </c>
      <c r="B3461" s="1">
        <v>2073542038</v>
      </c>
      <c r="C3461" s="1">
        <v>6</v>
      </c>
      <c r="D3461" s="1" t="s">
        <v>1200</v>
      </c>
      <c r="E3461" t="s">
        <v>17687</v>
      </c>
      <c r="F3461" s="1">
        <v>432617</v>
      </c>
      <c r="G3461" s="1">
        <v>2073542076</v>
      </c>
      <c r="H3461" s="1">
        <v>8</v>
      </c>
      <c r="I3461" s="1" t="s">
        <v>1191</v>
      </c>
      <c r="J3461" t="s">
        <v>17688</v>
      </c>
    </row>
    <row r="3462" spans="1:10" ht="15.75">
      <c r="A3462" s="1">
        <v>168567</v>
      </c>
      <c r="B3462" s="1">
        <v>2073542041</v>
      </c>
      <c r="C3462" s="1">
        <v>8</v>
      </c>
      <c r="D3462" s="1" t="s">
        <v>1191</v>
      </c>
      <c r="E3462" t="s">
        <v>17689</v>
      </c>
      <c r="F3462" s="4" t="s">
        <v>17690</v>
      </c>
      <c r="G3462" s="2"/>
      <c r="H3462" s="2"/>
      <c r="I3462" s="2"/>
      <c r="J3462" s="3"/>
    </row>
    <row r="3463" spans="1:10">
      <c r="A3463" s="1">
        <v>131136</v>
      </c>
      <c r="B3463" s="1">
        <v>2073511214</v>
      </c>
      <c r="C3463" s="1">
        <v>6</v>
      </c>
      <c r="D3463" s="1" t="s">
        <v>1200</v>
      </c>
      <c r="E3463" t="s">
        <v>17691</v>
      </c>
      <c r="F3463" s="2" t="s">
        <v>0</v>
      </c>
      <c r="G3463" s="2" t="s">
        <v>1</v>
      </c>
      <c r="H3463" s="2" t="s">
        <v>2</v>
      </c>
      <c r="I3463" s="2" t="s">
        <v>3</v>
      </c>
      <c r="J3463" s="3" t="s">
        <v>4</v>
      </c>
    </row>
    <row r="3464" spans="1:10">
      <c r="A3464" s="1">
        <v>26336</v>
      </c>
      <c r="B3464" s="1">
        <v>2073512123</v>
      </c>
      <c r="C3464" s="1">
        <v>6</v>
      </c>
      <c r="D3464" s="1" t="s">
        <v>1200</v>
      </c>
      <c r="E3464" t="s">
        <v>17692</v>
      </c>
      <c r="F3464" s="1">
        <v>602359</v>
      </c>
      <c r="G3464" s="1">
        <v>7684010055</v>
      </c>
      <c r="H3464" s="1">
        <v>8</v>
      </c>
      <c r="I3464" s="1" t="s">
        <v>1191</v>
      </c>
      <c r="J3464" t="s">
        <v>17693</v>
      </c>
    </row>
    <row r="3465" spans="1:10">
      <c r="A3465" s="1">
        <v>622134</v>
      </c>
      <c r="B3465" s="1">
        <v>2073511057</v>
      </c>
      <c r="C3465" s="1">
        <v>6</v>
      </c>
      <c r="D3465" s="1" t="s">
        <v>1200</v>
      </c>
      <c r="E3465" t="s">
        <v>17694</v>
      </c>
      <c r="F3465" s="1">
        <v>607259</v>
      </c>
      <c r="G3465" s="1">
        <v>7756728190</v>
      </c>
      <c r="H3465" s="1">
        <v>6</v>
      </c>
      <c r="I3465" s="1" t="s">
        <v>1200</v>
      </c>
      <c r="J3465" t="s">
        <v>17695</v>
      </c>
    </row>
    <row r="3466" spans="1:10">
      <c r="A3466" s="1">
        <v>624916</v>
      </c>
      <c r="B3466" s="1">
        <v>2073513504</v>
      </c>
      <c r="C3466" s="1">
        <v>6</v>
      </c>
      <c r="D3466" s="1" t="s">
        <v>1200</v>
      </c>
      <c r="E3466" t="s">
        <v>17696</v>
      </c>
      <c r="F3466" s="1">
        <v>603209</v>
      </c>
      <c r="G3466" s="1">
        <v>2880065101</v>
      </c>
      <c r="H3466" s="1">
        <v>12</v>
      </c>
      <c r="I3466" s="1" t="s">
        <v>632</v>
      </c>
      <c r="J3466" t="s">
        <v>17697</v>
      </c>
    </row>
    <row r="3467" spans="1:10">
      <c r="A3467" s="1">
        <v>624890</v>
      </c>
      <c r="B3467" s="1">
        <v>2073511002</v>
      </c>
      <c r="C3467" s="1">
        <v>6</v>
      </c>
      <c r="D3467" s="1" t="s">
        <v>1200</v>
      </c>
      <c r="E3467" t="s">
        <v>17698</v>
      </c>
      <c r="F3467" s="1">
        <v>509687</v>
      </c>
      <c r="G3467" s="1">
        <v>2880012964</v>
      </c>
      <c r="H3467" s="1">
        <v>12</v>
      </c>
      <c r="I3467" s="1" t="s">
        <v>347</v>
      </c>
      <c r="J3467" t="s">
        <v>17699</v>
      </c>
    </row>
    <row r="3468" spans="1:10">
      <c r="A3468" s="1">
        <v>622464</v>
      </c>
      <c r="B3468" s="1">
        <v>2073511011</v>
      </c>
      <c r="C3468" s="1">
        <v>6</v>
      </c>
      <c r="D3468" s="1" t="s">
        <v>1200</v>
      </c>
      <c r="E3468" t="s">
        <v>17700</v>
      </c>
      <c r="F3468" s="1">
        <v>603092</v>
      </c>
      <c r="G3468" s="1">
        <v>2880065109</v>
      </c>
      <c r="H3468" s="1">
        <v>12</v>
      </c>
      <c r="I3468" s="1" t="s">
        <v>1492</v>
      </c>
      <c r="J3468" t="s">
        <v>17701</v>
      </c>
    </row>
    <row r="3469" spans="1:10">
      <c r="A3469" s="1">
        <v>136812</v>
      </c>
      <c r="B3469" s="1">
        <v>2073511216</v>
      </c>
      <c r="C3469" s="1">
        <v>6</v>
      </c>
      <c r="D3469" s="1" t="s">
        <v>1200</v>
      </c>
      <c r="E3469" t="s">
        <v>17702</v>
      </c>
      <c r="F3469" s="1">
        <v>604108</v>
      </c>
      <c r="G3469" s="1">
        <v>2880065114</v>
      </c>
      <c r="H3469" s="1">
        <v>12</v>
      </c>
      <c r="I3469" s="1" t="s">
        <v>706</v>
      </c>
      <c r="J3469" t="s">
        <v>17703</v>
      </c>
    </row>
    <row r="3470" spans="1:10">
      <c r="A3470" s="1">
        <v>546051</v>
      </c>
      <c r="B3470" s="1">
        <v>2073542024</v>
      </c>
      <c r="C3470" s="1">
        <v>6</v>
      </c>
      <c r="D3470" s="1" t="s">
        <v>1200</v>
      </c>
      <c r="E3470" t="s">
        <v>17704</v>
      </c>
      <c r="F3470" s="1">
        <v>509646</v>
      </c>
      <c r="G3470" s="1">
        <v>4148301683</v>
      </c>
      <c r="H3470" s="1">
        <v>6</v>
      </c>
      <c r="I3470" s="1" t="s">
        <v>1200</v>
      </c>
      <c r="J3470" t="s">
        <v>17705</v>
      </c>
    </row>
    <row r="3471" spans="1:10">
      <c r="A3471" s="1">
        <v>847251</v>
      </c>
      <c r="B3471" s="1">
        <v>2073512127</v>
      </c>
      <c r="C3471" s="1">
        <v>6</v>
      </c>
      <c r="D3471" s="1" t="s">
        <v>1200</v>
      </c>
      <c r="E3471" t="s">
        <v>17706</v>
      </c>
      <c r="F3471" s="1">
        <v>647990</v>
      </c>
      <c r="G3471" s="1">
        <v>4148302278</v>
      </c>
      <c r="H3471" s="1">
        <v>6</v>
      </c>
      <c r="I3471" s="1" t="s">
        <v>865</v>
      </c>
      <c r="J3471" t="s">
        <v>17707</v>
      </c>
    </row>
    <row r="3472" spans="1:10">
      <c r="A3472" s="1">
        <v>730507</v>
      </c>
      <c r="B3472" s="1">
        <v>2073512121</v>
      </c>
      <c r="C3472" s="1">
        <v>6</v>
      </c>
      <c r="D3472" s="1" t="s">
        <v>1200</v>
      </c>
      <c r="E3472" t="s">
        <v>17708</v>
      </c>
      <c r="F3472" s="1">
        <v>461590</v>
      </c>
      <c r="G3472" s="1">
        <v>4148300081</v>
      </c>
      <c r="H3472" s="1">
        <v>6</v>
      </c>
      <c r="I3472" s="1" t="s">
        <v>1200</v>
      </c>
      <c r="J3472" t="s">
        <v>17709</v>
      </c>
    </row>
    <row r="3473" spans="1:10">
      <c r="A3473" s="1">
        <v>730523</v>
      </c>
      <c r="B3473" s="1">
        <v>2073512114</v>
      </c>
      <c r="C3473" s="1">
        <v>6</v>
      </c>
      <c r="D3473" s="1" t="s">
        <v>1200</v>
      </c>
      <c r="E3473" t="s">
        <v>17710</v>
      </c>
      <c r="F3473" s="1">
        <v>351288</v>
      </c>
      <c r="G3473" s="1">
        <v>4148303580</v>
      </c>
      <c r="H3473" s="1">
        <v>6</v>
      </c>
      <c r="I3473" s="1" t="s">
        <v>1200</v>
      </c>
      <c r="J3473" t="s">
        <v>17711</v>
      </c>
    </row>
    <row r="3474" spans="1:10">
      <c r="A3474" s="1">
        <v>375840</v>
      </c>
      <c r="B3474" s="1">
        <v>2073542023</v>
      </c>
      <c r="C3474" s="1">
        <v>6</v>
      </c>
      <c r="D3474" s="1" t="s">
        <v>1200</v>
      </c>
      <c r="E3474" t="s">
        <v>17712</v>
      </c>
      <c r="F3474" s="1">
        <v>624007</v>
      </c>
      <c r="G3474" s="1">
        <v>2073512533</v>
      </c>
      <c r="H3474" s="1">
        <v>6</v>
      </c>
      <c r="I3474" s="1" t="s">
        <v>1200</v>
      </c>
      <c r="J3474" t="s">
        <v>17713</v>
      </c>
    </row>
    <row r="3475" spans="1:10">
      <c r="A3475" s="1">
        <v>379412</v>
      </c>
      <c r="B3475" s="1">
        <v>2073542025</v>
      </c>
      <c r="C3475" s="1">
        <v>8</v>
      </c>
      <c r="D3475" s="1" t="s">
        <v>1191</v>
      </c>
      <c r="E3475" t="s">
        <v>17714</v>
      </c>
      <c r="F3475" s="1">
        <v>624056</v>
      </c>
      <c r="G3475" s="1">
        <v>2073512535</v>
      </c>
      <c r="H3475" s="1">
        <v>6</v>
      </c>
      <c r="I3475" s="1" t="s">
        <v>1200</v>
      </c>
      <c r="J3475" t="s">
        <v>17715</v>
      </c>
    </row>
    <row r="3476" spans="1:10">
      <c r="A3476" s="1">
        <v>622308</v>
      </c>
      <c r="B3476" s="1">
        <v>2073511007</v>
      </c>
      <c r="C3476" s="1">
        <v>6</v>
      </c>
      <c r="D3476" s="1" t="s">
        <v>1200</v>
      </c>
      <c r="E3476" t="s">
        <v>17716</v>
      </c>
      <c r="F3476" s="1">
        <v>359539</v>
      </c>
      <c r="G3476" s="1">
        <v>2073512538</v>
      </c>
      <c r="H3476" s="1">
        <v>6</v>
      </c>
      <c r="I3476" s="1" t="s">
        <v>1200</v>
      </c>
      <c r="J3476" t="s">
        <v>17717</v>
      </c>
    </row>
    <row r="3477" spans="1:10">
      <c r="A3477" s="1">
        <v>622381</v>
      </c>
      <c r="B3477" s="1">
        <v>2073542094</v>
      </c>
      <c r="C3477" s="1">
        <v>6</v>
      </c>
      <c r="D3477" s="1" t="s">
        <v>1200</v>
      </c>
      <c r="E3477" t="s">
        <v>17718</v>
      </c>
      <c r="F3477" s="1">
        <v>784694</v>
      </c>
      <c r="G3477" s="1">
        <v>2073512505</v>
      </c>
      <c r="H3477" s="1">
        <v>6</v>
      </c>
      <c r="I3477" s="1" t="s">
        <v>1200</v>
      </c>
      <c r="J3477" t="s">
        <v>17719</v>
      </c>
    </row>
    <row r="3478" spans="1:10" ht="15.75">
      <c r="A3478" s="1">
        <v>626440</v>
      </c>
      <c r="B3478" s="1">
        <v>2073511204</v>
      </c>
      <c r="C3478" s="1">
        <v>6</v>
      </c>
      <c r="D3478" s="1" t="s">
        <v>1200</v>
      </c>
      <c r="E3478" t="s">
        <v>17720</v>
      </c>
      <c r="F3478" s="4" t="s">
        <v>17721</v>
      </c>
      <c r="G3478" s="2"/>
      <c r="H3478" s="2"/>
      <c r="I3478" s="2"/>
      <c r="J3478" s="3"/>
    </row>
    <row r="3479" spans="1:10">
      <c r="A3479" s="1">
        <v>626465</v>
      </c>
      <c r="B3479" s="1">
        <v>2073511205</v>
      </c>
      <c r="C3479" s="1">
        <v>6</v>
      </c>
      <c r="D3479" s="1" t="s">
        <v>1200</v>
      </c>
      <c r="E3479" t="s">
        <v>17722</v>
      </c>
      <c r="F3479" s="2" t="s">
        <v>0</v>
      </c>
      <c r="G3479" s="2" t="s">
        <v>1</v>
      </c>
      <c r="H3479" s="2" t="s">
        <v>2</v>
      </c>
      <c r="I3479" s="2" t="s">
        <v>3</v>
      </c>
      <c r="J3479" s="3" t="s">
        <v>4</v>
      </c>
    </row>
    <row r="3480" spans="1:10">
      <c r="A3480" s="1">
        <v>622878</v>
      </c>
      <c r="B3480" s="1">
        <v>2073511003</v>
      </c>
      <c r="C3480" s="1">
        <v>6</v>
      </c>
      <c r="D3480" s="1" t="s">
        <v>1200</v>
      </c>
      <c r="E3480" t="s">
        <v>17723</v>
      </c>
      <c r="F3480" s="1">
        <v>490359</v>
      </c>
      <c r="G3480" s="1">
        <v>4148300319</v>
      </c>
      <c r="H3480" s="1">
        <v>6</v>
      </c>
      <c r="I3480" s="1" t="s">
        <v>1189</v>
      </c>
      <c r="J3480" t="s">
        <v>17724</v>
      </c>
    </row>
    <row r="3481" spans="1:10">
      <c r="A3481" s="1">
        <v>878371</v>
      </c>
      <c r="B3481" s="1">
        <v>2073511207</v>
      </c>
      <c r="C3481" s="1">
        <v>6</v>
      </c>
      <c r="D3481" s="1" t="s">
        <v>1200</v>
      </c>
      <c r="E3481" t="s">
        <v>17725</v>
      </c>
      <c r="F3481" s="1">
        <v>26328</v>
      </c>
      <c r="G3481" s="1">
        <v>4148300322</v>
      </c>
      <c r="H3481" s="1">
        <v>3</v>
      </c>
      <c r="I3481" s="1" t="s">
        <v>3040</v>
      </c>
      <c r="J3481" t="s">
        <v>17724</v>
      </c>
    </row>
    <row r="3482" spans="1:10">
      <c r="A3482" s="1">
        <v>567297</v>
      </c>
      <c r="B3482" s="1">
        <v>2073542083</v>
      </c>
      <c r="C3482" s="1">
        <v>8</v>
      </c>
      <c r="D3482" s="1" t="s">
        <v>1191</v>
      </c>
      <c r="E3482" t="s">
        <v>17726</v>
      </c>
      <c r="F3482" s="1">
        <v>768010</v>
      </c>
      <c r="G3482" s="1">
        <v>4148302519</v>
      </c>
      <c r="H3482" s="1">
        <v>3</v>
      </c>
      <c r="I3482" s="1" t="s">
        <v>3040</v>
      </c>
      <c r="J3482" t="s">
        <v>17727</v>
      </c>
    </row>
    <row r="3483" spans="1:10">
      <c r="A3483" s="1">
        <v>855908</v>
      </c>
      <c r="B3483" s="1">
        <v>2073542099</v>
      </c>
      <c r="C3483" s="1">
        <v>6</v>
      </c>
      <c r="D3483" s="1" t="s">
        <v>1200</v>
      </c>
      <c r="E3483" t="s">
        <v>17728</v>
      </c>
      <c r="F3483" s="1">
        <v>293613</v>
      </c>
      <c r="G3483" s="1">
        <v>4148300330</v>
      </c>
      <c r="H3483" s="1">
        <v>3</v>
      </c>
      <c r="I3483" s="1" t="s">
        <v>3040</v>
      </c>
      <c r="J3483" t="s">
        <v>17729</v>
      </c>
    </row>
    <row r="3484" spans="1:10">
      <c r="A3484" s="1">
        <v>855791</v>
      </c>
      <c r="B3484" s="1">
        <v>2073542096</v>
      </c>
      <c r="C3484" s="1">
        <v>6</v>
      </c>
      <c r="D3484" s="1" t="s">
        <v>1200</v>
      </c>
      <c r="E3484" t="s">
        <v>17730</v>
      </c>
      <c r="F3484" s="1">
        <v>238824</v>
      </c>
      <c r="G3484" s="1">
        <v>4148300320</v>
      </c>
      <c r="H3484" s="1">
        <v>6</v>
      </c>
      <c r="I3484" s="1" t="s">
        <v>1189</v>
      </c>
      <c r="J3484" t="s">
        <v>17731</v>
      </c>
    </row>
    <row r="3485" spans="1:10">
      <c r="A3485" s="1">
        <v>622621</v>
      </c>
      <c r="B3485" s="1">
        <v>2073542091</v>
      </c>
      <c r="C3485" s="1">
        <v>6</v>
      </c>
      <c r="D3485" s="1" t="s">
        <v>1200</v>
      </c>
      <c r="E3485" t="s">
        <v>17732</v>
      </c>
      <c r="F3485" s="1">
        <v>664664</v>
      </c>
      <c r="G3485" s="1">
        <v>4148300321</v>
      </c>
      <c r="H3485" s="1">
        <v>6</v>
      </c>
      <c r="I3485" s="1" t="s">
        <v>1189</v>
      </c>
      <c r="J3485" t="s">
        <v>17733</v>
      </c>
    </row>
    <row r="3486" spans="1:10">
      <c r="A3486" s="1">
        <v>142059</v>
      </c>
      <c r="B3486" s="1">
        <v>2073512124</v>
      </c>
      <c r="C3486" s="1">
        <v>6</v>
      </c>
      <c r="D3486" s="1" t="s">
        <v>1200</v>
      </c>
      <c r="E3486" t="s">
        <v>17734</v>
      </c>
      <c r="F3486" s="1">
        <v>266866</v>
      </c>
      <c r="G3486" s="1">
        <v>4148302572</v>
      </c>
      <c r="H3486" s="1">
        <v>3</v>
      </c>
      <c r="I3486" s="1" t="s">
        <v>3040</v>
      </c>
      <c r="J3486" t="s">
        <v>17735</v>
      </c>
    </row>
    <row r="3487" spans="1:10" ht="15.75">
      <c r="A3487" s="4" t="s">
        <v>17721</v>
      </c>
      <c r="B3487" s="2"/>
      <c r="C3487" s="2"/>
      <c r="D3487" s="2"/>
      <c r="E3487" s="3"/>
      <c r="F3487" s="4" t="s">
        <v>17736</v>
      </c>
      <c r="G3487" s="2"/>
      <c r="H3487" s="2"/>
      <c r="I3487" s="2"/>
      <c r="J3487" s="3"/>
    </row>
    <row r="3488" spans="1:10">
      <c r="A3488" s="2" t="s">
        <v>0</v>
      </c>
      <c r="B3488" s="2" t="s">
        <v>1</v>
      </c>
      <c r="C3488" s="2" t="s">
        <v>2</v>
      </c>
      <c r="D3488" s="2" t="s">
        <v>3</v>
      </c>
      <c r="E3488" s="3" t="s">
        <v>4</v>
      </c>
      <c r="F3488" s="2" t="s">
        <v>0</v>
      </c>
      <c r="G3488" s="2" t="s">
        <v>1</v>
      </c>
      <c r="H3488" s="2" t="s">
        <v>2</v>
      </c>
      <c r="I3488" s="2" t="s">
        <v>3</v>
      </c>
      <c r="J3488" s="3" t="s">
        <v>4</v>
      </c>
    </row>
    <row r="3489" spans="1:10">
      <c r="A3489" s="1">
        <v>878827</v>
      </c>
      <c r="B3489" s="1">
        <v>4113030963</v>
      </c>
      <c r="C3489" s="1">
        <v>2</v>
      </c>
      <c r="D3489" s="1" t="s">
        <v>17584</v>
      </c>
      <c r="E3489" t="s">
        <v>17737</v>
      </c>
      <c r="F3489" s="1">
        <v>630871</v>
      </c>
      <c r="G3489" s="1">
        <v>7756720121</v>
      </c>
      <c r="H3489" s="1">
        <v>12</v>
      </c>
      <c r="I3489" s="1" t="s">
        <v>17738</v>
      </c>
      <c r="J3489" t="s">
        <v>17739</v>
      </c>
    </row>
    <row r="3490" spans="1:10">
      <c r="A3490" s="1">
        <v>273524</v>
      </c>
      <c r="B3490" s="1">
        <v>4113030966</v>
      </c>
      <c r="C3490" s="1">
        <v>6</v>
      </c>
      <c r="D3490" s="1" t="s">
        <v>2496</v>
      </c>
      <c r="E3490" t="s">
        <v>17737</v>
      </c>
      <c r="F3490" s="1">
        <v>651588</v>
      </c>
      <c r="G3490" s="1">
        <v>4100005094</v>
      </c>
      <c r="H3490" s="1">
        <v>12</v>
      </c>
      <c r="I3490" s="1" t="s">
        <v>15559</v>
      </c>
      <c r="J3490" t="s">
        <v>17740</v>
      </c>
    </row>
    <row r="3491" spans="1:10">
      <c r="A3491" s="1">
        <v>558304</v>
      </c>
      <c r="B3491" s="1">
        <v>4113030964</v>
      </c>
      <c r="C3491" s="1">
        <v>6</v>
      </c>
      <c r="D3491" s="1" t="s">
        <v>2496</v>
      </c>
      <c r="E3491" t="s">
        <v>17741</v>
      </c>
      <c r="F3491" s="1">
        <v>606343</v>
      </c>
      <c r="G3491" s="1">
        <v>4100005152</v>
      </c>
      <c r="H3491" s="1">
        <v>12</v>
      </c>
      <c r="I3491" s="1" t="s">
        <v>7808</v>
      </c>
      <c r="J3491" t="s">
        <v>17742</v>
      </c>
    </row>
    <row r="3492" spans="1:10">
      <c r="A3492" s="1">
        <v>260125</v>
      </c>
      <c r="B3492" s="1">
        <v>4113061321</v>
      </c>
      <c r="C3492" s="1">
        <v>6</v>
      </c>
      <c r="D3492" s="1" t="s">
        <v>1200</v>
      </c>
      <c r="E3492" t="s">
        <v>17743</v>
      </c>
      <c r="F3492" s="1">
        <v>626820</v>
      </c>
      <c r="G3492" s="1">
        <v>4100005890</v>
      </c>
      <c r="H3492" s="1">
        <v>12</v>
      </c>
      <c r="I3492" s="1" t="s">
        <v>7808</v>
      </c>
      <c r="J3492" t="s">
        <v>17744</v>
      </c>
    </row>
    <row r="3493" spans="1:10">
      <c r="A3493" s="1">
        <v>556951</v>
      </c>
      <c r="B3493" s="1">
        <v>4113061320</v>
      </c>
      <c r="C3493" s="1">
        <v>6</v>
      </c>
      <c r="D3493" s="1" t="s">
        <v>1200</v>
      </c>
      <c r="E3493" t="s">
        <v>17745</v>
      </c>
      <c r="F3493" s="1">
        <v>630046</v>
      </c>
      <c r="G3493" s="1">
        <v>7756730520</v>
      </c>
      <c r="H3493" s="1">
        <v>12</v>
      </c>
      <c r="I3493" s="1" t="s">
        <v>17738</v>
      </c>
      <c r="J3493" t="s">
        <v>17746</v>
      </c>
    </row>
    <row r="3494" spans="1:10">
      <c r="A3494" s="1">
        <v>85449</v>
      </c>
      <c r="B3494" s="1">
        <v>4113061319</v>
      </c>
      <c r="C3494" s="1">
        <v>6</v>
      </c>
      <c r="D3494" s="1" t="s">
        <v>1200</v>
      </c>
      <c r="E3494" t="s">
        <v>17747</v>
      </c>
      <c r="F3494" s="1">
        <v>635763</v>
      </c>
      <c r="G3494" s="1">
        <v>4100005315</v>
      </c>
      <c r="H3494" s="1">
        <v>12</v>
      </c>
      <c r="I3494" s="1" t="s">
        <v>632</v>
      </c>
      <c r="J3494" t="s">
        <v>17748</v>
      </c>
    </row>
    <row r="3495" spans="1:10">
      <c r="A3495" s="1">
        <v>281782</v>
      </c>
      <c r="B3495" s="1">
        <v>4113061259</v>
      </c>
      <c r="C3495" s="1">
        <v>6</v>
      </c>
      <c r="D3495" s="1" t="s">
        <v>17643</v>
      </c>
      <c r="E3495" t="s">
        <v>17749</v>
      </c>
      <c r="F3495" s="1">
        <v>635714</v>
      </c>
      <c r="G3495" s="1">
        <v>4100005167</v>
      </c>
      <c r="H3495" s="1">
        <v>12</v>
      </c>
      <c r="I3495" s="1" t="s">
        <v>7808</v>
      </c>
      <c r="J3495" t="s">
        <v>17750</v>
      </c>
    </row>
    <row r="3496" spans="1:10">
      <c r="A3496" s="1">
        <v>256297</v>
      </c>
      <c r="B3496" s="1">
        <v>4113061260</v>
      </c>
      <c r="C3496" s="1">
        <v>6</v>
      </c>
      <c r="D3496" s="1" t="s">
        <v>17643</v>
      </c>
      <c r="E3496" t="s">
        <v>17751</v>
      </c>
      <c r="F3496" s="1">
        <v>546887</v>
      </c>
      <c r="G3496" s="1">
        <v>4100005093</v>
      </c>
      <c r="H3496" s="1">
        <v>12</v>
      </c>
      <c r="I3496" s="1" t="s">
        <v>15559</v>
      </c>
      <c r="J3496" t="s">
        <v>17752</v>
      </c>
    </row>
    <row r="3497" spans="1:10" ht="15.75">
      <c r="A3497" s="4" t="s">
        <v>17736</v>
      </c>
      <c r="B3497" s="2"/>
      <c r="C3497" s="2"/>
      <c r="D3497" s="2"/>
      <c r="E3497" s="3"/>
      <c r="F3497" s="1">
        <v>632166</v>
      </c>
      <c r="G3497" s="1">
        <v>7265540892</v>
      </c>
      <c r="H3497" s="1">
        <v>12</v>
      </c>
      <c r="I3497" s="1" t="s">
        <v>17753</v>
      </c>
      <c r="J3497" t="s">
        <v>17754</v>
      </c>
    </row>
    <row r="3498" spans="1:10">
      <c r="A3498" s="2" t="s">
        <v>0</v>
      </c>
      <c r="B3498" s="2" t="s">
        <v>1</v>
      </c>
      <c r="C3498" s="2" t="s">
        <v>2</v>
      </c>
      <c r="D3498" s="2" t="s">
        <v>3</v>
      </c>
      <c r="E3498" s="3" t="s">
        <v>4</v>
      </c>
      <c r="F3498" s="1">
        <v>53116</v>
      </c>
      <c r="G3498" s="1">
        <v>7258670115</v>
      </c>
      <c r="H3498" s="1">
        <v>12</v>
      </c>
      <c r="I3498" s="1" t="s">
        <v>17755</v>
      </c>
      <c r="J3498" t="s">
        <v>17756</v>
      </c>
    </row>
    <row r="3499" spans="1:10">
      <c r="A3499" s="1">
        <v>194282</v>
      </c>
      <c r="B3499" s="1">
        <v>5324300152</v>
      </c>
      <c r="C3499" s="1">
        <v>8</v>
      </c>
      <c r="D3499" s="1" t="s">
        <v>2557</v>
      </c>
      <c r="E3499" t="s">
        <v>17757</v>
      </c>
      <c r="F3499" s="1">
        <v>570861</v>
      </c>
      <c r="G3499" s="1">
        <v>7258670100</v>
      </c>
      <c r="H3499" s="1">
        <v>12</v>
      </c>
      <c r="I3499" s="1" t="s">
        <v>7817</v>
      </c>
      <c r="J3499" t="s">
        <v>17758</v>
      </c>
    </row>
    <row r="3500" spans="1:10">
      <c r="A3500" s="1">
        <v>138453</v>
      </c>
      <c r="B3500" s="1">
        <v>7684020015</v>
      </c>
      <c r="C3500" s="1">
        <v>12</v>
      </c>
      <c r="D3500" s="1" t="s">
        <v>17639</v>
      </c>
      <c r="E3500" t="s">
        <v>17437</v>
      </c>
      <c r="F3500" s="1">
        <v>21063</v>
      </c>
      <c r="G3500" s="1">
        <v>7258670105</v>
      </c>
      <c r="H3500" s="1">
        <v>12</v>
      </c>
      <c r="I3500" s="1" t="s">
        <v>7817</v>
      </c>
      <c r="J3500" t="s">
        <v>17759</v>
      </c>
    </row>
    <row r="3501" spans="1:10">
      <c r="A3501" s="1">
        <v>307793</v>
      </c>
      <c r="B3501" s="1">
        <v>7684020027</v>
      </c>
      <c r="C3501" s="1">
        <v>12</v>
      </c>
      <c r="D3501" s="1" t="s">
        <v>17639</v>
      </c>
      <c r="E3501" t="s">
        <v>17760</v>
      </c>
      <c r="F3501" s="1">
        <v>618009</v>
      </c>
      <c r="G3501" s="1">
        <v>7258600119</v>
      </c>
      <c r="H3501" s="1">
        <v>12</v>
      </c>
      <c r="I3501" s="1" t="s">
        <v>10244</v>
      </c>
      <c r="J3501" t="s">
        <v>17761</v>
      </c>
    </row>
    <row r="3502" spans="1:10">
      <c r="A3502" s="1">
        <v>298539</v>
      </c>
      <c r="B3502" s="1">
        <v>7684020016</v>
      </c>
      <c r="C3502" s="1">
        <v>12</v>
      </c>
      <c r="D3502" s="1" t="s">
        <v>17639</v>
      </c>
      <c r="E3502" t="s">
        <v>17439</v>
      </c>
      <c r="F3502" s="1">
        <v>628859</v>
      </c>
      <c r="G3502" s="1">
        <v>7585603142</v>
      </c>
      <c r="H3502" s="1">
        <v>12</v>
      </c>
      <c r="I3502" s="1" t="s">
        <v>2557</v>
      </c>
      <c r="J3502" t="s">
        <v>17762</v>
      </c>
    </row>
    <row r="3503" spans="1:10">
      <c r="A3503" s="1">
        <v>730663</v>
      </c>
      <c r="B3503" s="1">
        <v>7064030904</v>
      </c>
      <c r="C3503" s="1">
        <v>6</v>
      </c>
      <c r="D3503" s="1" t="s">
        <v>17763</v>
      </c>
      <c r="E3503" t="s">
        <v>17764</v>
      </c>
      <c r="F3503" s="1">
        <v>626317</v>
      </c>
      <c r="G3503" s="1">
        <v>7585603114</v>
      </c>
      <c r="H3503" s="1">
        <v>12</v>
      </c>
      <c r="I3503" s="1" t="s">
        <v>17765</v>
      </c>
      <c r="J3503" t="s">
        <v>17766</v>
      </c>
    </row>
    <row r="3504" spans="1:10">
      <c r="A3504" s="1">
        <v>730630</v>
      </c>
      <c r="B3504" s="1">
        <v>7064031530</v>
      </c>
      <c r="C3504" s="1">
        <v>12</v>
      </c>
      <c r="D3504" s="1" t="s">
        <v>15559</v>
      </c>
      <c r="E3504" t="s">
        <v>17767</v>
      </c>
      <c r="F3504" s="1">
        <v>606277</v>
      </c>
      <c r="G3504" s="1">
        <v>7585600170</v>
      </c>
      <c r="H3504" s="1">
        <v>12</v>
      </c>
      <c r="I3504" s="1" t="s">
        <v>6502</v>
      </c>
      <c r="J3504" t="s">
        <v>17768</v>
      </c>
    </row>
    <row r="3505" spans="1:10">
      <c r="A3505" s="1">
        <v>730655</v>
      </c>
      <c r="B3505" s="1">
        <v>7064031004</v>
      </c>
      <c r="C3505" s="1">
        <v>6</v>
      </c>
      <c r="D3505" s="1" t="s">
        <v>17763</v>
      </c>
      <c r="E3505" t="s">
        <v>17769</v>
      </c>
      <c r="F3505" s="1">
        <v>626804</v>
      </c>
      <c r="G3505" s="1">
        <v>7585601129</v>
      </c>
      <c r="H3505" s="1">
        <v>12</v>
      </c>
      <c r="I3505" s="1" t="s">
        <v>15559</v>
      </c>
      <c r="J3505" t="s">
        <v>17770</v>
      </c>
    </row>
    <row r="3506" spans="1:10">
      <c r="A3506" s="1">
        <v>730580</v>
      </c>
      <c r="B3506" s="1">
        <v>7064040636</v>
      </c>
      <c r="C3506" s="1">
        <v>12</v>
      </c>
      <c r="D3506" s="1" t="s">
        <v>7817</v>
      </c>
      <c r="E3506" t="s">
        <v>17771</v>
      </c>
      <c r="F3506" s="1">
        <v>627448</v>
      </c>
      <c r="G3506" s="1">
        <v>7585601113</v>
      </c>
      <c r="H3506" s="1">
        <v>12</v>
      </c>
      <c r="I3506" s="1" t="s">
        <v>6502</v>
      </c>
      <c r="J3506" t="s">
        <v>17772</v>
      </c>
    </row>
    <row r="3507" spans="1:10">
      <c r="A3507" s="1">
        <v>730705</v>
      </c>
      <c r="B3507" s="1">
        <v>7064063023</v>
      </c>
      <c r="C3507" s="1">
        <v>8</v>
      </c>
      <c r="D3507" s="1" t="s">
        <v>17773</v>
      </c>
      <c r="E3507" t="s">
        <v>17774</v>
      </c>
      <c r="F3507" s="1">
        <v>626580</v>
      </c>
      <c r="G3507" s="1">
        <v>7585600120</v>
      </c>
      <c r="H3507" s="1">
        <v>12</v>
      </c>
      <c r="I3507" s="1" t="s">
        <v>6502</v>
      </c>
      <c r="J3507" t="s">
        <v>17775</v>
      </c>
    </row>
    <row r="3508" spans="1:10">
      <c r="A3508" s="1">
        <v>730697</v>
      </c>
      <c r="B3508" s="1">
        <v>7064063021</v>
      </c>
      <c r="C3508" s="1">
        <v>6</v>
      </c>
      <c r="D3508" s="1" t="s">
        <v>17776</v>
      </c>
      <c r="E3508" t="s">
        <v>17777</v>
      </c>
      <c r="F3508" s="1">
        <v>626408</v>
      </c>
      <c r="G3508" s="1">
        <v>7585601611</v>
      </c>
      <c r="H3508" s="1">
        <v>12</v>
      </c>
      <c r="I3508" s="1" t="s">
        <v>6502</v>
      </c>
      <c r="J3508" t="s">
        <v>17778</v>
      </c>
    </row>
    <row r="3509" spans="1:10">
      <c r="A3509" s="1">
        <v>857532</v>
      </c>
      <c r="B3509" s="1">
        <v>7756706153</v>
      </c>
      <c r="C3509" s="1">
        <v>12</v>
      </c>
      <c r="D3509" s="1" t="s">
        <v>7808</v>
      </c>
      <c r="E3509" t="s">
        <v>17779</v>
      </c>
      <c r="F3509" s="1">
        <v>730853</v>
      </c>
      <c r="G3509" s="1">
        <v>7585602409</v>
      </c>
      <c r="H3509" s="1">
        <v>12</v>
      </c>
      <c r="I3509" s="1" t="s">
        <v>2557</v>
      </c>
      <c r="J3509" t="s">
        <v>17780</v>
      </c>
    </row>
    <row r="3510" spans="1:10">
      <c r="A3510" s="1">
        <v>626960</v>
      </c>
      <c r="B3510" s="1">
        <v>7585606101</v>
      </c>
      <c r="C3510" s="1">
        <v>12</v>
      </c>
      <c r="D3510" s="1" t="s">
        <v>15559</v>
      </c>
      <c r="E3510" t="s">
        <v>17781</v>
      </c>
      <c r="F3510" s="1">
        <v>626473</v>
      </c>
      <c r="G3510" s="1">
        <v>7585600110</v>
      </c>
      <c r="H3510" s="1">
        <v>12</v>
      </c>
      <c r="I3510" s="1" t="s">
        <v>6502</v>
      </c>
      <c r="J3510" t="s">
        <v>17782</v>
      </c>
    </row>
    <row r="3511" spans="1:10">
      <c r="A3511" s="1">
        <v>627216</v>
      </c>
      <c r="B3511" s="1">
        <v>7585606105</v>
      </c>
      <c r="C3511" s="1">
        <v>12</v>
      </c>
      <c r="D3511" s="1" t="s">
        <v>7808</v>
      </c>
      <c r="E3511" t="s">
        <v>17783</v>
      </c>
      <c r="F3511" s="1">
        <v>730879</v>
      </c>
      <c r="G3511" s="1">
        <v>7585602415</v>
      </c>
      <c r="H3511" s="1">
        <v>12</v>
      </c>
      <c r="I3511" s="1" t="s">
        <v>2557</v>
      </c>
      <c r="J3511" t="s">
        <v>17784</v>
      </c>
    </row>
    <row r="3512" spans="1:10">
      <c r="A3512" s="1">
        <v>376368</v>
      </c>
      <c r="B3512" s="1">
        <v>7756703175</v>
      </c>
      <c r="C3512" s="1">
        <v>12</v>
      </c>
      <c r="D3512" s="1" t="s">
        <v>7808</v>
      </c>
      <c r="E3512" t="s">
        <v>17785</v>
      </c>
      <c r="F3512" s="1">
        <v>845172</v>
      </c>
      <c r="G3512" s="1">
        <v>7585601136</v>
      </c>
      <c r="H3512" s="1">
        <v>12</v>
      </c>
      <c r="I3512" s="1" t="s">
        <v>1191</v>
      </c>
      <c r="J3512" t="s">
        <v>17786</v>
      </c>
    </row>
    <row r="3513" spans="1:10">
      <c r="A3513" s="1">
        <v>376079</v>
      </c>
      <c r="B3513" s="1">
        <v>7756703177</v>
      </c>
      <c r="C3513" s="1">
        <v>12</v>
      </c>
      <c r="D3513" s="1" t="s">
        <v>7808</v>
      </c>
      <c r="E3513" t="s">
        <v>17787</v>
      </c>
      <c r="F3513" s="1">
        <v>628412</v>
      </c>
      <c r="G3513" s="1">
        <v>7585603141</v>
      </c>
      <c r="H3513" s="1">
        <v>12</v>
      </c>
      <c r="I3513" s="1" t="s">
        <v>2557</v>
      </c>
      <c r="J3513" t="s">
        <v>17788</v>
      </c>
    </row>
    <row r="3514" spans="1:10">
      <c r="A3514" s="1">
        <v>894410</v>
      </c>
      <c r="B3514" s="1">
        <v>7756700492</v>
      </c>
      <c r="C3514" s="1">
        <v>12</v>
      </c>
      <c r="D3514" s="1" t="s">
        <v>2826</v>
      </c>
      <c r="E3514" t="s">
        <v>17789</v>
      </c>
      <c r="F3514" s="1">
        <v>629022</v>
      </c>
      <c r="G3514" s="1">
        <v>7585603140</v>
      </c>
      <c r="H3514" s="1">
        <v>12</v>
      </c>
      <c r="I3514" s="1" t="s">
        <v>17790</v>
      </c>
      <c r="J3514" t="s">
        <v>17791</v>
      </c>
    </row>
    <row r="3515" spans="1:10">
      <c r="A3515" s="1">
        <v>485300</v>
      </c>
      <c r="B3515" s="1">
        <v>7756700493</v>
      </c>
      <c r="C3515" s="1">
        <v>12</v>
      </c>
      <c r="D3515" s="1" t="s">
        <v>2826</v>
      </c>
      <c r="E3515" t="s">
        <v>17792</v>
      </c>
      <c r="F3515" s="1">
        <v>626648</v>
      </c>
      <c r="G3515" s="1">
        <v>7585601120</v>
      </c>
      <c r="H3515" s="1">
        <v>12</v>
      </c>
      <c r="I3515" s="1" t="s">
        <v>2557</v>
      </c>
      <c r="J3515" t="s">
        <v>17793</v>
      </c>
    </row>
    <row r="3516" spans="1:10">
      <c r="A3516" s="1">
        <v>647529</v>
      </c>
      <c r="B3516" s="1">
        <v>4100005864</v>
      </c>
      <c r="C3516" s="1">
        <v>1</v>
      </c>
      <c r="D3516" s="1" t="s">
        <v>2506</v>
      </c>
      <c r="E3516" t="s">
        <v>17794</v>
      </c>
      <c r="F3516" s="1">
        <v>228361</v>
      </c>
      <c r="G3516" s="1">
        <v>81529400011</v>
      </c>
      <c r="H3516" s="1">
        <v>9</v>
      </c>
      <c r="I3516" s="1" t="s">
        <v>2762</v>
      </c>
      <c r="J3516" t="s">
        <v>17795</v>
      </c>
    </row>
    <row r="3517" spans="1:10">
      <c r="A3517" s="1">
        <v>619064</v>
      </c>
      <c r="B3517" s="1">
        <v>7258624860</v>
      </c>
      <c r="C3517" s="1">
        <v>12</v>
      </c>
      <c r="D3517" s="1" t="s">
        <v>10244</v>
      </c>
      <c r="E3517" t="s">
        <v>17796</v>
      </c>
      <c r="F3517" s="1">
        <v>228353</v>
      </c>
      <c r="G3517" s="1">
        <v>81529400007</v>
      </c>
      <c r="H3517" s="1">
        <v>9</v>
      </c>
      <c r="I3517" s="1" t="s">
        <v>2762</v>
      </c>
      <c r="J3517" t="s">
        <v>17797</v>
      </c>
    </row>
    <row r="3518" spans="1:10">
      <c r="A3518" s="1">
        <v>631556</v>
      </c>
      <c r="B3518" s="1">
        <v>4767704113</v>
      </c>
      <c r="C3518" s="1">
        <v>12</v>
      </c>
      <c r="D3518" s="1" t="s">
        <v>2303</v>
      </c>
      <c r="E3518" t="s">
        <v>17798</v>
      </c>
      <c r="F3518" s="1">
        <v>174979</v>
      </c>
      <c r="G3518" s="1">
        <v>81529400013</v>
      </c>
      <c r="H3518" s="1">
        <v>9</v>
      </c>
      <c r="I3518" s="1" t="s">
        <v>2762</v>
      </c>
      <c r="J3518" t="s">
        <v>17799</v>
      </c>
    </row>
    <row r="3519" spans="1:10">
      <c r="A3519" s="1">
        <v>631507</v>
      </c>
      <c r="B3519" s="1">
        <v>4767704118</v>
      </c>
      <c r="C3519" s="1">
        <v>12</v>
      </c>
      <c r="D3519" s="1" t="s">
        <v>2303</v>
      </c>
      <c r="E3519" t="s">
        <v>17800</v>
      </c>
      <c r="F3519" s="1">
        <v>228379</v>
      </c>
      <c r="G3519" s="1">
        <v>81529400008</v>
      </c>
      <c r="H3519" s="1">
        <v>9</v>
      </c>
      <c r="I3519" s="1" t="s">
        <v>2762</v>
      </c>
      <c r="J3519" t="s">
        <v>17801</v>
      </c>
    </row>
    <row r="3520" spans="1:10">
      <c r="A3520" s="1">
        <v>631549</v>
      </c>
      <c r="B3520" s="1">
        <v>4767704116</v>
      </c>
      <c r="C3520" s="1">
        <v>12</v>
      </c>
      <c r="D3520" s="1" t="s">
        <v>2303</v>
      </c>
      <c r="E3520" t="s">
        <v>17802</v>
      </c>
      <c r="F3520" s="1">
        <v>628438</v>
      </c>
      <c r="G3520" s="1">
        <v>7332100025</v>
      </c>
      <c r="H3520" s="1">
        <v>9</v>
      </c>
      <c r="I3520" s="1" t="s">
        <v>2762</v>
      </c>
      <c r="J3520" t="s">
        <v>17803</v>
      </c>
    </row>
    <row r="3521" spans="1:10">
      <c r="A3521" s="1">
        <v>689356</v>
      </c>
      <c r="B3521" s="1">
        <v>4767700031</v>
      </c>
      <c r="C3521" s="1">
        <v>12</v>
      </c>
      <c r="D3521" s="1" t="s">
        <v>17804</v>
      </c>
      <c r="E3521" t="s">
        <v>17805</v>
      </c>
      <c r="F3521" s="1">
        <v>628701</v>
      </c>
      <c r="G3521" s="1">
        <v>7332100023</v>
      </c>
      <c r="H3521" s="1">
        <v>9</v>
      </c>
      <c r="I3521" s="1" t="s">
        <v>2762</v>
      </c>
      <c r="J3521" t="s">
        <v>17806</v>
      </c>
    </row>
    <row r="3522" spans="1:10">
      <c r="A3522" s="1">
        <v>278614</v>
      </c>
      <c r="B3522" s="1">
        <v>4767700031</v>
      </c>
      <c r="C3522" s="1">
        <v>12</v>
      </c>
      <c r="D3522" s="1" t="s">
        <v>2303</v>
      </c>
      <c r="E3522" t="s">
        <v>17805</v>
      </c>
      <c r="F3522" s="1">
        <v>628420</v>
      </c>
      <c r="G3522" s="1">
        <v>7332100027</v>
      </c>
      <c r="H3522" s="1">
        <v>9</v>
      </c>
      <c r="I3522" s="1" t="s">
        <v>2762</v>
      </c>
      <c r="J3522" t="s">
        <v>17807</v>
      </c>
    </row>
    <row r="3523" spans="1:10">
      <c r="A3523" s="1">
        <v>865907</v>
      </c>
      <c r="B3523" s="1">
        <v>4767700036</v>
      </c>
      <c r="C3523" s="1">
        <v>12</v>
      </c>
      <c r="D3523" s="1" t="s">
        <v>2303</v>
      </c>
      <c r="E3523" t="s">
        <v>17808</v>
      </c>
      <c r="F3523" s="1">
        <v>730887</v>
      </c>
      <c r="G3523" s="1">
        <v>7332104405</v>
      </c>
      <c r="H3523" s="1">
        <v>9</v>
      </c>
      <c r="I3523" s="1" t="s">
        <v>2762</v>
      </c>
      <c r="J3523" t="s">
        <v>17809</v>
      </c>
    </row>
    <row r="3524" spans="1:10">
      <c r="A3524" s="1">
        <v>14084</v>
      </c>
      <c r="B3524" s="1">
        <v>4767700036</v>
      </c>
      <c r="C3524" s="1">
        <v>12</v>
      </c>
      <c r="D3524" s="1" t="s">
        <v>17804</v>
      </c>
      <c r="E3524" t="s">
        <v>17810</v>
      </c>
      <c r="F3524" s="1">
        <v>803296</v>
      </c>
      <c r="G3524" s="1">
        <v>4767725892</v>
      </c>
      <c r="H3524" s="1">
        <v>12</v>
      </c>
      <c r="I3524" s="1" t="s">
        <v>2758</v>
      </c>
      <c r="J3524" t="s">
        <v>17811</v>
      </c>
    </row>
    <row r="3525" spans="1:10">
      <c r="A3525" s="1">
        <v>618405</v>
      </c>
      <c r="B3525" s="1">
        <v>7258600122</v>
      </c>
      <c r="C3525" s="1">
        <v>12</v>
      </c>
      <c r="D3525" s="1" t="s">
        <v>10244</v>
      </c>
      <c r="E3525" t="s">
        <v>17812</v>
      </c>
      <c r="F3525" s="1">
        <v>631721</v>
      </c>
      <c r="G3525" s="1">
        <v>4767720432</v>
      </c>
      <c r="H3525" s="1">
        <v>8</v>
      </c>
      <c r="I3525" s="1" t="s">
        <v>17813</v>
      </c>
      <c r="J3525" t="s">
        <v>17814</v>
      </c>
    </row>
    <row r="3526" spans="1:10">
      <c r="A3526" s="1">
        <v>283762</v>
      </c>
      <c r="B3526" s="1">
        <v>7756702096</v>
      </c>
      <c r="C3526" s="1">
        <v>12</v>
      </c>
      <c r="D3526" s="1" t="s">
        <v>17815</v>
      </c>
      <c r="E3526" t="s">
        <v>17816</v>
      </c>
      <c r="F3526" s="1">
        <v>632984</v>
      </c>
      <c r="G3526" s="1">
        <v>4767720431</v>
      </c>
      <c r="H3526" s="1">
        <v>8</v>
      </c>
      <c r="I3526" s="1" t="s">
        <v>15559</v>
      </c>
      <c r="J3526" t="s">
        <v>17817</v>
      </c>
    </row>
    <row r="3527" spans="1:10">
      <c r="A3527" s="1">
        <v>630855</v>
      </c>
      <c r="B3527" s="1">
        <v>7756720120</v>
      </c>
      <c r="C3527" s="1">
        <v>12</v>
      </c>
      <c r="D3527" s="1" t="s">
        <v>17738</v>
      </c>
      <c r="E3527" t="s">
        <v>17818</v>
      </c>
      <c r="F3527" s="1">
        <v>855197</v>
      </c>
      <c r="G3527" s="1">
        <v>4767715725</v>
      </c>
      <c r="H3527" s="1">
        <v>12</v>
      </c>
      <c r="I3527" s="1" t="s">
        <v>2303</v>
      </c>
      <c r="J3527" t="s">
        <v>17819</v>
      </c>
    </row>
    <row r="3528" spans="1:10" ht="15.75">
      <c r="A3528" s="4" t="s">
        <v>17736</v>
      </c>
      <c r="B3528" s="2"/>
      <c r="C3528" s="2"/>
      <c r="D3528" s="2"/>
      <c r="E3528" s="3"/>
      <c r="F3528" s="4" t="s">
        <v>17736</v>
      </c>
      <c r="G3528" s="2"/>
      <c r="H3528" s="2"/>
      <c r="I3528" s="2"/>
      <c r="J3528" s="3"/>
    </row>
    <row r="3529" spans="1:10">
      <c r="A3529" s="2" t="s">
        <v>0</v>
      </c>
      <c r="B3529" s="2" t="s">
        <v>1</v>
      </c>
      <c r="C3529" s="2" t="s">
        <v>2</v>
      </c>
      <c r="D3529" s="2" t="s">
        <v>3</v>
      </c>
      <c r="E3529" s="3" t="s">
        <v>4</v>
      </c>
      <c r="F3529" s="2" t="s">
        <v>0</v>
      </c>
      <c r="G3529" s="2" t="s">
        <v>1</v>
      </c>
      <c r="H3529" s="2" t="s">
        <v>2</v>
      </c>
      <c r="I3529" s="2" t="s">
        <v>3</v>
      </c>
      <c r="J3529" s="3" t="s">
        <v>4</v>
      </c>
    </row>
    <row r="3530" spans="1:10">
      <c r="A3530" s="1">
        <v>330431</v>
      </c>
      <c r="B3530" s="1">
        <v>4767700251</v>
      </c>
      <c r="C3530" s="1">
        <v>12</v>
      </c>
      <c r="D3530" s="1" t="s">
        <v>2303</v>
      </c>
      <c r="E3530" t="s">
        <v>17820</v>
      </c>
      <c r="F3530" s="1">
        <v>856724</v>
      </c>
      <c r="G3530" s="1">
        <v>1116662750</v>
      </c>
      <c r="H3530" s="1">
        <v>6</v>
      </c>
      <c r="I3530" s="1" t="s">
        <v>7812</v>
      </c>
      <c r="J3530" t="s">
        <v>17821</v>
      </c>
    </row>
    <row r="3531" spans="1:10">
      <c r="A3531" s="1">
        <v>623256</v>
      </c>
      <c r="B3531" s="1">
        <v>2500003531</v>
      </c>
      <c r="C3531" s="1">
        <v>12</v>
      </c>
      <c r="D3531" s="1" t="s">
        <v>6502</v>
      </c>
      <c r="E3531" t="s">
        <v>17822</v>
      </c>
      <c r="F3531" s="1">
        <v>856716</v>
      </c>
      <c r="G3531" s="1">
        <v>1116662748</v>
      </c>
      <c r="H3531" s="1">
        <v>6</v>
      </c>
      <c r="I3531" s="1" t="s">
        <v>7812</v>
      </c>
      <c r="J3531" t="s">
        <v>17823</v>
      </c>
    </row>
    <row r="3532" spans="1:10">
      <c r="A3532" s="1">
        <v>731208</v>
      </c>
      <c r="B3532" s="1">
        <v>2500003565</v>
      </c>
      <c r="C3532" s="1">
        <v>12</v>
      </c>
      <c r="D3532" s="1" t="s">
        <v>2557</v>
      </c>
      <c r="E3532" t="s">
        <v>17824</v>
      </c>
      <c r="F3532" s="1">
        <v>856740</v>
      </c>
      <c r="G3532" s="1">
        <v>1116662752</v>
      </c>
      <c r="H3532" s="1">
        <v>9</v>
      </c>
      <c r="I3532" s="1" t="s">
        <v>3090</v>
      </c>
      <c r="J3532" t="s">
        <v>17825</v>
      </c>
    </row>
    <row r="3533" spans="1:10">
      <c r="A3533" s="1">
        <v>730903</v>
      </c>
      <c r="B3533" s="1">
        <v>2500003568</v>
      </c>
      <c r="C3533" s="1">
        <v>12</v>
      </c>
      <c r="D3533" s="1" t="s">
        <v>2557</v>
      </c>
      <c r="E3533" t="s">
        <v>17826</v>
      </c>
      <c r="F3533" s="1">
        <v>856732</v>
      </c>
      <c r="G3533" s="1">
        <v>1116601203</v>
      </c>
      <c r="H3533" s="1">
        <v>12</v>
      </c>
      <c r="I3533" s="1" t="s">
        <v>15559</v>
      </c>
      <c r="J3533" t="s">
        <v>17827</v>
      </c>
    </row>
    <row r="3534" spans="1:10">
      <c r="A3534" s="1">
        <v>674531</v>
      </c>
      <c r="B3534" s="1">
        <v>8793200286</v>
      </c>
      <c r="C3534" s="1">
        <v>8</v>
      </c>
      <c r="D3534" s="1" t="s">
        <v>17828</v>
      </c>
      <c r="E3534" t="s">
        <v>17829</v>
      </c>
      <c r="F3534" s="1">
        <v>856591</v>
      </c>
      <c r="G3534" s="1">
        <v>1116601204</v>
      </c>
      <c r="H3534" s="1">
        <v>6</v>
      </c>
      <c r="I3534" s="1" t="s">
        <v>7812</v>
      </c>
      <c r="J3534" t="s">
        <v>17830</v>
      </c>
    </row>
    <row r="3535" spans="1:10">
      <c r="A3535" s="1">
        <v>886606</v>
      </c>
      <c r="B3535" s="1">
        <v>8793200287</v>
      </c>
      <c r="C3535" s="1">
        <v>12</v>
      </c>
      <c r="D3535" s="1" t="s">
        <v>2311</v>
      </c>
      <c r="E3535" t="s">
        <v>17831</v>
      </c>
      <c r="F3535" s="1">
        <v>856666</v>
      </c>
      <c r="G3535" s="1">
        <v>1116662745</v>
      </c>
      <c r="H3535" s="1">
        <v>6</v>
      </c>
      <c r="I3535" s="1" t="s">
        <v>7812</v>
      </c>
      <c r="J3535" t="s">
        <v>17832</v>
      </c>
    </row>
    <row r="3536" spans="1:10">
      <c r="A3536" s="1">
        <v>514984</v>
      </c>
      <c r="B3536" s="1">
        <v>8793200288</v>
      </c>
      <c r="C3536" s="1">
        <v>12</v>
      </c>
      <c r="D3536" s="1" t="s">
        <v>2311</v>
      </c>
      <c r="E3536" t="s">
        <v>17833</v>
      </c>
      <c r="F3536" s="1">
        <v>856443</v>
      </c>
      <c r="G3536" s="1">
        <v>1116601207</v>
      </c>
      <c r="H3536" s="1">
        <v>12</v>
      </c>
      <c r="I3536" s="1" t="s">
        <v>15559</v>
      </c>
      <c r="J3536" t="s">
        <v>17834</v>
      </c>
    </row>
    <row r="3537" spans="1:10">
      <c r="A3537" s="1">
        <v>616961</v>
      </c>
      <c r="B3537" s="1">
        <v>8793260112</v>
      </c>
      <c r="C3537" s="1">
        <v>8</v>
      </c>
      <c r="D3537" s="1" t="s">
        <v>7812</v>
      </c>
      <c r="E3537" t="s">
        <v>17835</v>
      </c>
      <c r="F3537" s="1">
        <v>856781</v>
      </c>
      <c r="G3537" s="1">
        <v>1116662768</v>
      </c>
      <c r="H3537" s="1">
        <v>12</v>
      </c>
      <c r="I3537" s="1" t="s">
        <v>7808</v>
      </c>
      <c r="J3537" t="s">
        <v>17836</v>
      </c>
    </row>
    <row r="3538" spans="1:10">
      <c r="A3538" s="1">
        <v>616979</v>
      </c>
      <c r="B3538" s="1">
        <v>8793260115</v>
      </c>
      <c r="C3538" s="1">
        <v>8</v>
      </c>
      <c r="D3538" s="1" t="s">
        <v>7812</v>
      </c>
      <c r="E3538" t="s">
        <v>17837</v>
      </c>
      <c r="F3538" s="1">
        <v>856435</v>
      </c>
      <c r="G3538" s="1">
        <v>1116601205</v>
      </c>
      <c r="H3538" s="1">
        <v>12</v>
      </c>
      <c r="I3538" s="1" t="s">
        <v>15559</v>
      </c>
      <c r="J3538" t="s">
        <v>17838</v>
      </c>
    </row>
    <row r="3539" spans="1:10">
      <c r="A3539" s="1">
        <v>617480</v>
      </c>
      <c r="B3539" s="1">
        <v>8793260308</v>
      </c>
      <c r="C3539" s="1">
        <v>6</v>
      </c>
      <c r="D3539" s="1" t="s">
        <v>2762</v>
      </c>
      <c r="E3539" t="s">
        <v>17839</v>
      </c>
      <c r="F3539" s="1">
        <v>856583</v>
      </c>
      <c r="G3539" s="1">
        <v>1116662740</v>
      </c>
      <c r="H3539" s="1">
        <v>6</v>
      </c>
      <c r="I3539" s="1" t="s">
        <v>7812</v>
      </c>
      <c r="J3539" t="s">
        <v>17840</v>
      </c>
    </row>
    <row r="3540" spans="1:10">
      <c r="A3540" s="1">
        <v>617472</v>
      </c>
      <c r="B3540" s="1">
        <v>8793260309</v>
      </c>
      <c r="C3540" s="1">
        <v>8</v>
      </c>
      <c r="D3540" s="1" t="s">
        <v>3090</v>
      </c>
      <c r="E3540" t="s">
        <v>17841</v>
      </c>
      <c r="F3540" s="1">
        <v>627695</v>
      </c>
      <c r="G3540" s="1">
        <v>1116662756</v>
      </c>
      <c r="H3540" s="1">
        <v>6</v>
      </c>
      <c r="I3540" s="1" t="s">
        <v>2762</v>
      </c>
      <c r="J3540" t="s">
        <v>17842</v>
      </c>
    </row>
    <row r="3541" spans="1:10">
      <c r="A3541" s="1">
        <v>617100</v>
      </c>
      <c r="B3541" s="1">
        <v>8793260307</v>
      </c>
      <c r="C3541" s="1">
        <v>6</v>
      </c>
      <c r="D3541" s="1" t="s">
        <v>2762</v>
      </c>
      <c r="E3541" t="s">
        <v>17843</v>
      </c>
      <c r="F3541" s="1">
        <v>382762</v>
      </c>
      <c r="G3541" s="1">
        <v>2580001973</v>
      </c>
      <c r="H3541" s="1">
        <v>12</v>
      </c>
      <c r="I3541" s="1" t="s">
        <v>958</v>
      </c>
      <c r="J3541" t="s">
        <v>17844</v>
      </c>
    </row>
    <row r="3542" spans="1:10">
      <c r="A3542" s="1">
        <v>616631</v>
      </c>
      <c r="B3542" s="1">
        <v>8793260121</v>
      </c>
      <c r="C3542" s="1">
        <v>8</v>
      </c>
      <c r="D3542" s="1" t="s">
        <v>3090</v>
      </c>
      <c r="E3542" t="s">
        <v>17845</v>
      </c>
      <c r="F3542" s="1">
        <v>631580</v>
      </c>
      <c r="G3542" s="1">
        <v>4767700051</v>
      </c>
      <c r="H3542" s="1">
        <v>12</v>
      </c>
      <c r="I3542" s="1" t="s">
        <v>2303</v>
      </c>
      <c r="J3542" t="s">
        <v>17846</v>
      </c>
    </row>
    <row r="3543" spans="1:10">
      <c r="A3543" s="1">
        <v>616177</v>
      </c>
      <c r="B3543" s="1">
        <v>8793200033</v>
      </c>
      <c r="C3543" s="1">
        <v>16</v>
      </c>
      <c r="D3543" s="1" t="s">
        <v>15559</v>
      </c>
      <c r="E3543" t="s">
        <v>17847</v>
      </c>
      <c r="F3543" s="1">
        <v>632646</v>
      </c>
      <c r="G3543" s="1">
        <v>4767737115</v>
      </c>
      <c r="H3543" s="1">
        <v>8</v>
      </c>
      <c r="I3543" s="1" t="s">
        <v>17848</v>
      </c>
      <c r="J3543" t="s">
        <v>17849</v>
      </c>
    </row>
    <row r="3544" spans="1:10">
      <c r="A3544" s="1">
        <v>616599</v>
      </c>
      <c r="B3544" s="1">
        <v>8793260110</v>
      </c>
      <c r="C3544" s="1">
        <v>8</v>
      </c>
      <c r="D3544" s="1" t="s">
        <v>3090</v>
      </c>
      <c r="E3544" t="s">
        <v>17847</v>
      </c>
      <c r="F3544" s="1">
        <v>730895</v>
      </c>
      <c r="G3544" s="1">
        <v>4767716212</v>
      </c>
      <c r="H3544" s="1">
        <v>12</v>
      </c>
      <c r="I3544" s="1" t="s">
        <v>2303</v>
      </c>
      <c r="J3544" t="s">
        <v>17850</v>
      </c>
    </row>
    <row r="3545" spans="1:10">
      <c r="A3545" s="1">
        <v>616953</v>
      </c>
      <c r="B3545" s="1">
        <v>8793260129</v>
      </c>
      <c r="C3545" s="1">
        <v>8</v>
      </c>
      <c r="D3545" s="1" t="s">
        <v>7812</v>
      </c>
      <c r="E3545" t="s">
        <v>17851</v>
      </c>
      <c r="F3545" s="1">
        <v>195255</v>
      </c>
      <c r="G3545" s="1">
        <v>4113061269</v>
      </c>
      <c r="H3545" s="1">
        <v>12</v>
      </c>
      <c r="I3545" s="1" t="s">
        <v>2303</v>
      </c>
      <c r="J3545" t="s">
        <v>17852</v>
      </c>
    </row>
    <row r="3546" spans="1:10">
      <c r="A3546" s="1">
        <v>611368</v>
      </c>
      <c r="B3546" s="1">
        <v>8793260306</v>
      </c>
      <c r="C3546" s="1">
        <v>9</v>
      </c>
      <c r="D3546" s="1" t="s">
        <v>15559</v>
      </c>
      <c r="E3546" t="s">
        <v>17853</v>
      </c>
      <c r="F3546" s="1">
        <v>140640</v>
      </c>
      <c r="G3546" s="1">
        <v>4113061268</v>
      </c>
      <c r="H3546" s="1">
        <v>12</v>
      </c>
      <c r="I3546" s="1" t="s">
        <v>2303</v>
      </c>
      <c r="J3546" t="s">
        <v>17854</v>
      </c>
    </row>
    <row r="3547" spans="1:10">
      <c r="A3547" s="1">
        <v>616730</v>
      </c>
      <c r="B3547" s="1">
        <v>8793260116</v>
      </c>
      <c r="C3547" s="1">
        <v>8</v>
      </c>
      <c r="D3547" s="1" t="s">
        <v>2826</v>
      </c>
      <c r="E3547" t="s">
        <v>17855</v>
      </c>
      <c r="F3547" s="1">
        <v>562413</v>
      </c>
      <c r="G3547" s="1">
        <v>4113061271</v>
      </c>
      <c r="H3547" s="1">
        <v>12</v>
      </c>
      <c r="I3547" s="1" t="s">
        <v>17856</v>
      </c>
      <c r="J3547" t="s">
        <v>17857</v>
      </c>
    </row>
    <row r="3548" spans="1:10">
      <c r="A3548" s="1">
        <v>587246</v>
      </c>
      <c r="B3548" s="1">
        <v>65724317514</v>
      </c>
      <c r="C3548" s="1">
        <v>12</v>
      </c>
      <c r="D3548" s="1" t="s">
        <v>15559</v>
      </c>
      <c r="E3548" t="s">
        <v>17858</v>
      </c>
      <c r="F3548" s="1">
        <v>476218</v>
      </c>
      <c r="G3548" s="1">
        <v>4113061270</v>
      </c>
      <c r="H3548" s="1">
        <v>12</v>
      </c>
      <c r="I3548" s="1" t="s">
        <v>7808</v>
      </c>
      <c r="J3548" t="s">
        <v>17859</v>
      </c>
    </row>
    <row r="3549" spans="1:10">
      <c r="A3549" s="1">
        <v>615674</v>
      </c>
      <c r="B3549" s="1">
        <v>65724304606</v>
      </c>
      <c r="C3549" s="1">
        <v>12</v>
      </c>
      <c r="D3549" s="1" t="s">
        <v>2557</v>
      </c>
      <c r="E3549" t="s">
        <v>17860</v>
      </c>
      <c r="F3549" s="1">
        <v>686915</v>
      </c>
      <c r="G3549" s="1">
        <v>4113061276</v>
      </c>
      <c r="H3549" s="1">
        <v>24</v>
      </c>
      <c r="I3549" s="1" t="s">
        <v>2308</v>
      </c>
      <c r="J3549" t="s">
        <v>17861</v>
      </c>
    </row>
    <row r="3550" spans="1:10">
      <c r="A3550" s="1">
        <v>615682</v>
      </c>
      <c r="B3550" s="1">
        <v>65724317512</v>
      </c>
      <c r="C3550" s="1">
        <v>12</v>
      </c>
      <c r="D3550" s="1" t="s">
        <v>15559</v>
      </c>
      <c r="E3550" t="s">
        <v>17862</v>
      </c>
      <c r="F3550" s="1">
        <v>398990</v>
      </c>
      <c r="G3550" s="1">
        <v>4113061275</v>
      </c>
      <c r="H3550" s="1">
        <v>24</v>
      </c>
      <c r="I3550" s="1" t="s">
        <v>2308</v>
      </c>
      <c r="J3550" t="s">
        <v>17863</v>
      </c>
    </row>
    <row r="3551" spans="1:10">
      <c r="A3551" s="1">
        <v>730937</v>
      </c>
      <c r="B3551" s="1">
        <v>7756702228</v>
      </c>
      <c r="C3551" s="1">
        <v>6</v>
      </c>
      <c r="D3551" s="1" t="s">
        <v>17864</v>
      </c>
      <c r="E3551" t="s">
        <v>17865</v>
      </c>
      <c r="F3551" s="1">
        <v>158923</v>
      </c>
      <c r="G3551" s="1">
        <v>4113061274</v>
      </c>
      <c r="H3551" s="1">
        <v>24</v>
      </c>
      <c r="I3551" s="1" t="s">
        <v>2308</v>
      </c>
      <c r="J3551" t="s">
        <v>17866</v>
      </c>
    </row>
    <row r="3552" spans="1:10">
      <c r="A3552" s="1">
        <v>608356</v>
      </c>
      <c r="B3552" s="1">
        <v>7756702772</v>
      </c>
      <c r="C3552" s="1">
        <v>6</v>
      </c>
      <c r="D3552" s="1" t="s">
        <v>17867</v>
      </c>
      <c r="E3552" t="s">
        <v>17868</v>
      </c>
      <c r="F3552" s="1">
        <v>392019</v>
      </c>
      <c r="G3552" s="1">
        <v>4113061273</v>
      </c>
      <c r="H3552" s="1">
        <v>24</v>
      </c>
      <c r="I3552" s="1" t="s">
        <v>2308</v>
      </c>
      <c r="J3552" t="s">
        <v>17869</v>
      </c>
    </row>
    <row r="3553" spans="1:10">
      <c r="A3553" s="1">
        <v>640508</v>
      </c>
      <c r="B3553" s="1">
        <v>7756702036</v>
      </c>
      <c r="C3553" s="1">
        <v>12</v>
      </c>
      <c r="D3553" s="1" t="s">
        <v>17870</v>
      </c>
      <c r="E3553" t="s">
        <v>17871</v>
      </c>
      <c r="F3553" s="1">
        <v>157065</v>
      </c>
      <c r="G3553" s="1">
        <v>4113061272</v>
      </c>
      <c r="H3553" s="1">
        <v>24</v>
      </c>
      <c r="I3553" s="1" t="s">
        <v>2308</v>
      </c>
      <c r="J3553" t="s">
        <v>17872</v>
      </c>
    </row>
    <row r="3554" spans="1:10">
      <c r="A3554" s="1">
        <v>853259</v>
      </c>
      <c r="B3554" s="1">
        <v>7756702257</v>
      </c>
      <c r="C3554" s="1">
        <v>6</v>
      </c>
      <c r="D3554" s="1" t="s">
        <v>2826</v>
      </c>
      <c r="E3554" t="s">
        <v>17873</v>
      </c>
      <c r="F3554" s="1">
        <v>277129</v>
      </c>
      <c r="G3554" s="1">
        <v>7064050001</v>
      </c>
      <c r="H3554" s="1">
        <v>12</v>
      </c>
      <c r="I3554" s="1" t="s">
        <v>15559</v>
      </c>
      <c r="J3554" t="s">
        <v>17874</v>
      </c>
    </row>
    <row r="3555" spans="1:10">
      <c r="A3555" s="1">
        <v>630814</v>
      </c>
      <c r="B3555" s="1">
        <v>7756712120</v>
      </c>
      <c r="C3555" s="1">
        <v>12</v>
      </c>
      <c r="D3555" s="1" t="s">
        <v>4512</v>
      </c>
      <c r="E3555" t="s">
        <v>17875</v>
      </c>
      <c r="F3555" s="1">
        <v>277327</v>
      </c>
      <c r="G3555" s="1">
        <v>7064050002</v>
      </c>
      <c r="H3555" s="1">
        <v>12</v>
      </c>
      <c r="I3555" s="1" t="s">
        <v>15559</v>
      </c>
      <c r="J3555" t="s">
        <v>17876</v>
      </c>
    </row>
    <row r="3556" spans="1:10">
      <c r="A3556" s="1">
        <v>630053</v>
      </c>
      <c r="B3556" s="1">
        <v>7756702153</v>
      </c>
      <c r="C3556" s="1">
        <v>6</v>
      </c>
      <c r="D3556" s="1" t="s">
        <v>17877</v>
      </c>
      <c r="E3556" t="s">
        <v>17878</v>
      </c>
      <c r="F3556" s="1">
        <v>277251</v>
      </c>
      <c r="G3556" s="1">
        <v>7064050030</v>
      </c>
      <c r="H3556" s="1">
        <v>12</v>
      </c>
      <c r="I3556" s="1" t="s">
        <v>2557</v>
      </c>
      <c r="J3556" t="s">
        <v>17879</v>
      </c>
    </row>
    <row r="3557" spans="1:10">
      <c r="A3557" s="1">
        <v>630913</v>
      </c>
      <c r="B3557" s="1">
        <v>7756702254</v>
      </c>
      <c r="C3557" s="1">
        <v>6</v>
      </c>
      <c r="D3557" s="1" t="s">
        <v>2755</v>
      </c>
      <c r="E3557" t="s">
        <v>17880</v>
      </c>
      <c r="F3557" s="1">
        <v>277293</v>
      </c>
      <c r="G3557" s="1">
        <v>7064050031</v>
      </c>
      <c r="H3557" s="1">
        <v>12</v>
      </c>
      <c r="I3557" s="1" t="s">
        <v>2557</v>
      </c>
      <c r="J3557" t="s">
        <v>17881</v>
      </c>
    </row>
    <row r="3558" spans="1:10">
      <c r="A3558" s="1">
        <v>630731</v>
      </c>
      <c r="B3558" s="1">
        <v>7756702198</v>
      </c>
      <c r="C3558" s="1">
        <v>6</v>
      </c>
      <c r="D3558" s="1" t="s">
        <v>17882</v>
      </c>
      <c r="E3558" t="s">
        <v>17883</v>
      </c>
      <c r="F3558" s="1">
        <v>277426</v>
      </c>
      <c r="G3558" s="1">
        <v>7064050050</v>
      </c>
      <c r="H3558" s="1">
        <v>12</v>
      </c>
      <c r="I3558" s="1" t="s">
        <v>1191</v>
      </c>
      <c r="J3558" t="s">
        <v>17884</v>
      </c>
    </row>
    <row r="3559" spans="1:10">
      <c r="A3559" s="1">
        <v>630806</v>
      </c>
      <c r="B3559" s="1">
        <v>7756712121</v>
      </c>
      <c r="C3559" s="1">
        <v>12</v>
      </c>
      <c r="D3559" s="1" t="s">
        <v>17738</v>
      </c>
      <c r="E3559" t="s">
        <v>17885</v>
      </c>
      <c r="F3559" s="1">
        <v>304766</v>
      </c>
      <c r="G3559" s="1">
        <v>7064050020</v>
      </c>
      <c r="H3559" s="1">
        <v>12</v>
      </c>
      <c r="I3559" s="1" t="s">
        <v>15559</v>
      </c>
      <c r="J3559" t="s">
        <v>17886</v>
      </c>
    </row>
    <row r="3560" spans="1:10">
      <c r="A3560" s="1">
        <v>630004</v>
      </c>
      <c r="B3560" s="1">
        <v>7756702128</v>
      </c>
      <c r="C3560" s="1">
        <v>12</v>
      </c>
      <c r="D3560" s="1" t="s">
        <v>17738</v>
      </c>
      <c r="E3560" t="s">
        <v>17887</v>
      </c>
      <c r="F3560" s="1">
        <v>277335</v>
      </c>
      <c r="G3560" s="1">
        <v>7064050010</v>
      </c>
      <c r="H3560" s="1">
        <v>12</v>
      </c>
      <c r="I3560" s="1" t="s">
        <v>2557</v>
      </c>
      <c r="J3560" t="s">
        <v>17888</v>
      </c>
    </row>
    <row r="3561" spans="1:10">
      <c r="A3561" s="1">
        <v>610675</v>
      </c>
      <c r="B3561" s="1">
        <v>7756702218</v>
      </c>
      <c r="C3561" s="1">
        <v>6</v>
      </c>
      <c r="D3561" s="1" t="s">
        <v>943</v>
      </c>
      <c r="E3561" t="s">
        <v>17889</v>
      </c>
      <c r="F3561" s="1">
        <v>167338</v>
      </c>
      <c r="G3561" s="1">
        <v>7064000153</v>
      </c>
      <c r="H3561" s="1">
        <v>12</v>
      </c>
      <c r="I3561" s="1" t="s">
        <v>7432</v>
      </c>
      <c r="J3561" t="s">
        <v>17890</v>
      </c>
    </row>
    <row r="3562" spans="1:10">
      <c r="A3562" s="1">
        <v>631168</v>
      </c>
      <c r="B3562" s="1">
        <v>7756702295</v>
      </c>
      <c r="C3562" s="1">
        <v>6</v>
      </c>
      <c r="D3562" s="1" t="s">
        <v>17877</v>
      </c>
      <c r="E3562" t="s">
        <v>17891</v>
      </c>
      <c r="F3562" s="1">
        <v>273441</v>
      </c>
      <c r="G3562" s="1">
        <v>7064050043</v>
      </c>
      <c r="H3562" s="1">
        <v>12</v>
      </c>
      <c r="I3562" s="1" t="s">
        <v>2303</v>
      </c>
      <c r="J3562" t="s">
        <v>17892</v>
      </c>
    </row>
    <row r="3563" spans="1:10">
      <c r="A3563" s="1">
        <v>11304</v>
      </c>
      <c r="B3563" s="1">
        <v>7756704059</v>
      </c>
      <c r="C3563" s="1">
        <v>6</v>
      </c>
      <c r="D3563" s="1" t="s">
        <v>2365</v>
      </c>
      <c r="E3563" t="s">
        <v>17893</v>
      </c>
      <c r="F3563" s="1">
        <v>325233</v>
      </c>
      <c r="G3563" s="1">
        <v>7064050034</v>
      </c>
      <c r="H3563" s="1">
        <v>12</v>
      </c>
      <c r="I3563" s="1" t="s">
        <v>2557</v>
      </c>
      <c r="J3563" t="s">
        <v>17894</v>
      </c>
    </row>
    <row r="3564" spans="1:10">
      <c r="A3564" s="1">
        <v>877829</v>
      </c>
      <c r="B3564" s="1">
        <v>7756702349</v>
      </c>
      <c r="C3564" s="1">
        <v>12</v>
      </c>
      <c r="D3564" s="1" t="s">
        <v>17895</v>
      </c>
      <c r="E3564" t="s">
        <v>17896</v>
      </c>
      <c r="F3564" s="1">
        <v>461822</v>
      </c>
      <c r="G3564" s="1">
        <v>7064050042</v>
      </c>
      <c r="H3564" s="1">
        <v>12</v>
      </c>
      <c r="I3564" s="1" t="s">
        <v>2303</v>
      </c>
      <c r="J3564" t="s">
        <v>17897</v>
      </c>
    </row>
    <row r="3565" spans="1:10">
      <c r="A3565" s="1">
        <v>630194</v>
      </c>
      <c r="B3565" s="1">
        <v>7756712130</v>
      </c>
      <c r="C3565" s="1">
        <v>6</v>
      </c>
      <c r="D3565" s="1" t="s">
        <v>17877</v>
      </c>
      <c r="E3565" t="s">
        <v>17898</v>
      </c>
      <c r="F3565" s="1">
        <v>62174</v>
      </c>
      <c r="G3565" s="1">
        <v>7064000151</v>
      </c>
      <c r="H3565" s="1">
        <v>12</v>
      </c>
      <c r="I3565" s="1" t="s">
        <v>404</v>
      </c>
      <c r="J3565" t="s">
        <v>17899</v>
      </c>
    </row>
    <row r="3566" spans="1:10">
      <c r="A3566" s="1">
        <v>856492</v>
      </c>
      <c r="B3566" s="1">
        <v>1116662746</v>
      </c>
      <c r="C3566" s="1">
        <v>12</v>
      </c>
      <c r="D3566" s="1" t="s">
        <v>15559</v>
      </c>
      <c r="E3566" t="s">
        <v>17900</v>
      </c>
      <c r="F3566" s="1">
        <v>446583</v>
      </c>
      <c r="G3566" s="1">
        <v>7064000078</v>
      </c>
      <c r="H3566" s="1">
        <v>12</v>
      </c>
      <c r="I3566" s="1" t="s">
        <v>2557</v>
      </c>
      <c r="J3566" t="s">
        <v>17901</v>
      </c>
    </row>
    <row r="3567" spans="1:10">
      <c r="A3567" s="1">
        <v>856567</v>
      </c>
      <c r="B3567" s="1">
        <v>1116601208</v>
      </c>
      <c r="C3567" s="1">
        <v>12</v>
      </c>
      <c r="D3567" s="1" t="s">
        <v>15559</v>
      </c>
      <c r="E3567" t="s">
        <v>17902</v>
      </c>
      <c r="F3567" s="1">
        <v>305680</v>
      </c>
      <c r="G3567" s="1">
        <v>7064050044</v>
      </c>
      <c r="H3567" s="1">
        <v>12</v>
      </c>
      <c r="I3567" s="1" t="s">
        <v>2303</v>
      </c>
      <c r="J3567" t="s">
        <v>17903</v>
      </c>
    </row>
    <row r="3568" spans="1:10">
      <c r="A3568" s="1">
        <v>856575</v>
      </c>
      <c r="B3568" s="1">
        <v>1116662741</v>
      </c>
      <c r="C3568" s="1">
        <v>6</v>
      </c>
      <c r="D3568" s="1" t="s">
        <v>3090</v>
      </c>
      <c r="E3568" t="s">
        <v>17904</v>
      </c>
      <c r="F3568" s="1">
        <v>770040</v>
      </c>
      <c r="G3568" s="1">
        <v>7064000136</v>
      </c>
      <c r="H3568" s="1">
        <v>12</v>
      </c>
      <c r="I3568" s="1" t="s">
        <v>1190</v>
      </c>
      <c r="J3568" t="s">
        <v>17905</v>
      </c>
    </row>
    <row r="3569" spans="1:10" ht="15.75">
      <c r="A3569" s="4" t="s">
        <v>17736</v>
      </c>
      <c r="B3569" s="2"/>
      <c r="C3569" s="2"/>
      <c r="D3569" s="2"/>
      <c r="E3569" s="3"/>
      <c r="F3569" s="4" t="s">
        <v>17906</v>
      </c>
      <c r="G3569" s="2"/>
      <c r="H3569" s="2"/>
      <c r="I3569" s="2"/>
      <c r="J3569" s="3"/>
    </row>
    <row r="3570" spans="1:10">
      <c r="A3570" s="2" t="s">
        <v>0</v>
      </c>
      <c r="B3570" s="2" t="s">
        <v>1</v>
      </c>
      <c r="C3570" s="2" t="s">
        <v>2</v>
      </c>
      <c r="D3570" s="2" t="s">
        <v>3</v>
      </c>
      <c r="E3570" s="3" t="s">
        <v>4</v>
      </c>
      <c r="F3570" s="2" t="s">
        <v>0</v>
      </c>
      <c r="G3570" s="2" t="s">
        <v>1</v>
      </c>
      <c r="H3570" s="2" t="s">
        <v>2</v>
      </c>
      <c r="I3570" s="2" t="s">
        <v>3</v>
      </c>
      <c r="J3570" s="3" t="s">
        <v>4</v>
      </c>
    </row>
    <row r="3571" spans="1:10">
      <c r="A3571" s="1">
        <v>68254</v>
      </c>
      <c r="B3571" s="1">
        <v>7064000152</v>
      </c>
      <c r="C3571" s="1">
        <v>12</v>
      </c>
      <c r="D3571" s="1" t="s">
        <v>8189</v>
      </c>
      <c r="E3571" t="s">
        <v>17907</v>
      </c>
      <c r="F3571" s="1">
        <v>648535</v>
      </c>
      <c r="G3571" s="1">
        <v>5090307462</v>
      </c>
      <c r="H3571" s="1">
        <v>12</v>
      </c>
      <c r="I3571" s="1" t="s">
        <v>381</v>
      </c>
      <c r="J3571" t="s">
        <v>17908</v>
      </c>
    </row>
    <row r="3572" spans="1:10">
      <c r="A3572" s="1">
        <v>694158</v>
      </c>
      <c r="B3572" s="1">
        <v>7064050045</v>
      </c>
      <c r="C3572" s="1">
        <v>12</v>
      </c>
      <c r="D3572" s="1" t="s">
        <v>2303</v>
      </c>
      <c r="E3572" t="s">
        <v>17909</v>
      </c>
      <c r="F3572" s="1">
        <v>734251</v>
      </c>
      <c r="G3572" s="1">
        <v>75090307473</v>
      </c>
      <c r="H3572" s="1">
        <v>20</v>
      </c>
      <c r="I3572" s="1" t="s">
        <v>347</v>
      </c>
      <c r="J3572" t="s">
        <v>17910</v>
      </c>
    </row>
    <row r="3573" spans="1:10">
      <c r="A3573" s="1">
        <v>601328</v>
      </c>
      <c r="B3573" s="1">
        <v>4175230110</v>
      </c>
      <c r="C3573" s="1">
        <v>1</v>
      </c>
      <c r="D3573" s="1" t="s">
        <v>4719</v>
      </c>
      <c r="E3573" t="s">
        <v>17911</v>
      </c>
      <c r="F3573" s="1">
        <v>238006</v>
      </c>
      <c r="G3573" s="1">
        <v>1290000550</v>
      </c>
      <c r="H3573" s="1">
        <v>8</v>
      </c>
      <c r="I3573" s="1" t="s">
        <v>1451</v>
      </c>
      <c r="J3573" t="s">
        <v>17912</v>
      </c>
    </row>
    <row r="3574" spans="1:10">
      <c r="A3574" s="1">
        <v>782409</v>
      </c>
      <c r="B3574" s="1">
        <v>4113021160</v>
      </c>
      <c r="C3574" s="1">
        <v>5</v>
      </c>
      <c r="D3574" s="1" t="s">
        <v>4719</v>
      </c>
      <c r="E3574" t="s">
        <v>17913</v>
      </c>
      <c r="F3574" s="1">
        <v>785899</v>
      </c>
      <c r="G3574" s="1">
        <v>1290000560</v>
      </c>
      <c r="H3574" s="1">
        <v>8</v>
      </c>
      <c r="I3574" s="1" t="s">
        <v>1451</v>
      </c>
      <c r="J3574" t="s">
        <v>17914</v>
      </c>
    </row>
    <row r="3575" spans="1:10" ht="15.75">
      <c r="A3575" s="1">
        <v>782417</v>
      </c>
      <c r="B3575" s="1">
        <v>4113021161</v>
      </c>
      <c r="C3575" s="1">
        <v>1</v>
      </c>
      <c r="D3575" s="1" t="s">
        <v>11753</v>
      </c>
      <c r="E3575" t="s">
        <v>17913</v>
      </c>
      <c r="F3575" s="4" t="s">
        <v>17915</v>
      </c>
      <c r="G3575" s="2"/>
      <c r="H3575" s="2"/>
      <c r="I3575" s="2"/>
      <c r="J3575" s="3"/>
    </row>
    <row r="3576" spans="1:10" ht="15.75">
      <c r="A3576" s="4" t="s">
        <v>17906</v>
      </c>
      <c r="B3576" s="2"/>
      <c r="C3576" s="2"/>
      <c r="D3576" s="2"/>
      <c r="E3576" s="3"/>
      <c r="F3576" s="2" t="s">
        <v>0</v>
      </c>
      <c r="G3576" s="2" t="s">
        <v>1</v>
      </c>
      <c r="H3576" s="2" t="s">
        <v>2</v>
      </c>
      <c r="I3576" s="2" t="s">
        <v>3</v>
      </c>
      <c r="J3576" s="3" t="s">
        <v>4</v>
      </c>
    </row>
    <row r="3577" spans="1:10">
      <c r="A3577" s="2" t="s">
        <v>0</v>
      </c>
      <c r="B3577" s="2" t="s">
        <v>1</v>
      </c>
      <c r="C3577" s="2" t="s">
        <v>2</v>
      </c>
      <c r="D3577" s="2" t="s">
        <v>3</v>
      </c>
      <c r="E3577" s="3" t="s">
        <v>4</v>
      </c>
      <c r="F3577" s="1">
        <v>242032</v>
      </c>
      <c r="G3577" s="1">
        <v>1628915611</v>
      </c>
      <c r="H3577" s="1">
        <v>6</v>
      </c>
      <c r="I3577" s="1" t="s">
        <v>381</v>
      </c>
      <c r="J3577" t="s">
        <v>17916</v>
      </c>
    </row>
    <row r="3578" spans="1:10">
      <c r="A3578" s="1">
        <v>527713</v>
      </c>
      <c r="B3578" s="1">
        <v>1628915640</v>
      </c>
      <c r="C3578" s="1">
        <v>6</v>
      </c>
      <c r="D3578" s="1" t="s">
        <v>381</v>
      </c>
      <c r="E3578" t="s">
        <v>17917</v>
      </c>
      <c r="F3578" s="1">
        <v>633834</v>
      </c>
      <c r="G3578" s="1">
        <v>3446900806</v>
      </c>
      <c r="H3578" s="1">
        <v>6</v>
      </c>
      <c r="I3578" s="1" t="s">
        <v>439</v>
      </c>
      <c r="J3578" t="s">
        <v>17918</v>
      </c>
    </row>
    <row r="3579" spans="1:10">
      <c r="A3579" s="1">
        <v>851535</v>
      </c>
      <c r="B3579" s="1">
        <v>1628921664</v>
      </c>
      <c r="C3579" s="1">
        <v>6</v>
      </c>
      <c r="D3579" s="1" t="s">
        <v>637</v>
      </c>
      <c r="E3579" t="s">
        <v>17919</v>
      </c>
      <c r="F3579" s="1">
        <v>290502</v>
      </c>
      <c r="G3579" s="1">
        <v>2951913912</v>
      </c>
      <c r="H3579" s="1">
        <v>12</v>
      </c>
      <c r="I3579" s="1" t="s">
        <v>17920</v>
      </c>
      <c r="J3579" t="s">
        <v>17921</v>
      </c>
    </row>
    <row r="3580" spans="1:10">
      <c r="A3580" s="1">
        <v>884502</v>
      </c>
      <c r="B3580" s="1">
        <v>1628915641</v>
      </c>
      <c r="C3580" s="1">
        <v>6</v>
      </c>
      <c r="D3580" s="1" t="s">
        <v>381</v>
      </c>
      <c r="E3580" t="s">
        <v>17922</v>
      </c>
      <c r="F3580" s="1">
        <v>638528</v>
      </c>
      <c r="G3580" s="1">
        <v>6806574005</v>
      </c>
      <c r="H3580" s="1">
        <v>12</v>
      </c>
      <c r="I3580" s="1" t="s">
        <v>17923</v>
      </c>
      <c r="J3580" t="s">
        <v>17924</v>
      </c>
    </row>
    <row r="3581" spans="1:10">
      <c r="A3581" s="1">
        <v>202101</v>
      </c>
      <c r="B3581" s="1">
        <v>1628915629</v>
      </c>
      <c r="C3581" s="1">
        <v>6</v>
      </c>
      <c r="D3581" s="1" t="s">
        <v>381</v>
      </c>
      <c r="E3581" t="s">
        <v>17925</v>
      </c>
      <c r="F3581" s="1">
        <v>605303</v>
      </c>
      <c r="G3581" s="1">
        <v>6808574004</v>
      </c>
      <c r="H3581" s="1">
        <v>12</v>
      </c>
      <c r="I3581" s="1" t="s">
        <v>2253</v>
      </c>
      <c r="J3581" t="s">
        <v>17926</v>
      </c>
    </row>
    <row r="3582" spans="1:10">
      <c r="A3582" s="1">
        <v>737593</v>
      </c>
      <c r="B3582" s="1">
        <v>82415301586</v>
      </c>
      <c r="C3582" s="1">
        <v>12</v>
      </c>
      <c r="D3582" s="1" t="s">
        <v>381</v>
      </c>
      <c r="E3582" t="s">
        <v>17927</v>
      </c>
      <c r="F3582" s="1">
        <v>421867</v>
      </c>
      <c r="G3582" s="1">
        <v>77098104240</v>
      </c>
      <c r="H3582" s="1">
        <v>16</v>
      </c>
      <c r="I3582" s="1" t="s">
        <v>370</v>
      </c>
      <c r="J3582" t="s">
        <v>17928</v>
      </c>
    </row>
    <row r="3583" spans="1:10">
      <c r="A3583" s="1">
        <v>396804</v>
      </c>
      <c r="B3583" s="1">
        <v>82415302221</v>
      </c>
      <c r="C3583" s="1">
        <v>24</v>
      </c>
      <c r="D3583" s="1" t="s">
        <v>347</v>
      </c>
      <c r="E3583" t="s">
        <v>17929</v>
      </c>
      <c r="F3583" s="1">
        <v>880658</v>
      </c>
      <c r="G3583" s="1">
        <v>77098105157</v>
      </c>
      <c r="H3583" s="1">
        <v>20</v>
      </c>
      <c r="I3583" s="1" t="s">
        <v>489</v>
      </c>
      <c r="J3583" t="s">
        <v>17930</v>
      </c>
    </row>
    <row r="3584" spans="1:10">
      <c r="A3584" s="1">
        <v>475400</v>
      </c>
      <c r="B3584" s="1">
        <v>3507418433</v>
      </c>
      <c r="C3584" s="1">
        <v>24</v>
      </c>
      <c r="D3584" s="1" t="s">
        <v>940</v>
      </c>
      <c r="E3584" t="s">
        <v>17931</v>
      </c>
      <c r="F3584" s="1">
        <v>510586</v>
      </c>
      <c r="G3584" s="1">
        <v>1482119555</v>
      </c>
      <c r="H3584" s="1">
        <v>12</v>
      </c>
      <c r="I3584" s="1" t="s">
        <v>546</v>
      </c>
      <c r="J3584" t="s">
        <v>17932</v>
      </c>
    </row>
    <row r="3585" spans="1:10">
      <c r="A3585" s="1">
        <v>228056</v>
      </c>
      <c r="B3585" s="1">
        <v>3507416356</v>
      </c>
      <c r="C3585" s="1">
        <v>24</v>
      </c>
      <c r="D3585" s="1" t="s">
        <v>347</v>
      </c>
      <c r="E3585" t="s">
        <v>17933</v>
      </c>
      <c r="F3585" s="1">
        <v>156679</v>
      </c>
      <c r="G3585" s="1">
        <v>3354733436</v>
      </c>
      <c r="H3585" s="1">
        <v>24</v>
      </c>
      <c r="I3585" s="1" t="s">
        <v>399</v>
      </c>
      <c r="J3585" t="s">
        <v>17934</v>
      </c>
    </row>
    <row r="3586" spans="1:10">
      <c r="A3586" s="1">
        <v>625590</v>
      </c>
      <c r="B3586" s="1">
        <v>3555298053</v>
      </c>
      <c r="C3586" s="1">
        <v>6</v>
      </c>
      <c r="D3586" s="1" t="s">
        <v>17935</v>
      </c>
      <c r="E3586" t="s">
        <v>17936</v>
      </c>
      <c r="F3586" s="1">
        <v>11056</v>
      </c>
      <c r="G3586" s="1">
        <v>5960800465</v>
      </c>
      <c r="H3586" s="1">
        <v>8</v>
      </c>
      <c r="I3586" s="1" t="s">
        <v>432</v>
      </c>
      <c r="J3586" t="s">
        <v>17937</v>
      </c>
    </row>
    <row r="3587" spans="1:10">
      <c r="A3587" s="1">
        <v>629592</v>
      </c>
      <c r="B3587" s="1">
        <v>3446919863</v>
      </c>
      <c r="C3587" s="1">
        <v>4</v>
      </c>
      <c r="D3587" s="1" t="s">
        <v>1489</v>
      </c>
      <c r="E3587" t="s">
        <v>17938</v>
      </c>
      <c r="F3587" s="1">
        <v>669044</v>
      </c>
      <c r="G3587" s="1">
        <v>89963200002</v>
      </c>
      <c r="H3587" s="1">
        <v>12</v>
      </c>
      <c r="I3587" s="1" t="s">
        <v>798</v>
      </c>
      <c r="J3587" t="s">
        <v>17939</v>
      </c>
    </row>
    <row r="3588" spans="1:10">
      <c r="A3588" s="1">
        <v>620070</v>
      </c>
      <c r="B3588" s="1">
        <v>3446920006</v>
      </c>
      <c r="C3588" s="1">
        <v>4</v>
      </c>
      <c r="D3588" s="1" t="s">
        <v>1473</v>
      </c>
      <c r="E3588" t="s">
        <v>17940</v>
      </c>
      <c r="F3588" s="1">
        <v>533216</v>
      </c>
      <c r="G3588" s="1">
        <v>89963200009</v>
      </c>
      <c r="H3588" s="1">
        <v>12</v>
      </c>
      <c r="I3588" s="1" t="s">
        <v>798</v>
      </c>
      <c r="J3588" t="s">
        <v>17941</v>
      </c>
    </row>
    <row r="3589" spans="1:10" ht="15.75">
      <c r="A3589" s="1">
        <v>600916</v>
      </c>
      <c r="B3589" s="1">
        <v>3446914618</v>
      </c>
      <c r="C3589" s="1">
        <v>4</v>
      </c>
      <c r="D3589" s="1" t="s">
        <v>1489</v>
      </c>
      <c r="E3589" t="s">
        <v>17942</v>
      </c>
      <c r="F3589" s="4" t="s">
        <v>17943</v>
      </c>
      <c r="G3589" s="2"/>
      <c r="H3589" s="2"/>
      <c r="I3589" s="2"/>
      <c r="J3589" s="3"/>
    </row>
    <row r="3590" spans="1:10">
      <c r="A3590" s="1">
        <v>619973</v>
      </c>
      <c r="B3590" s="1">
        <v>3446919867</v>
      </c>
      <c r="C3590" s="1">
        <v>4</v>
      </c>
      <c r="D3590" s="1" t="s">
        <v>1366</v>
      </c>
      <c r="E3590" t="s">
        <v>17944</v>
      </c>
      <c r="F3590" s="2" t="s">
        <v>0</v>
      </c>
      <c r="G3590" s="2" t="s">
        <v>1</v>
      </c>
      <c r="H3590" s="2" t="s">
        <v>2</v>
      </c>
      <c r="I3590" s="2" t="s">
        <v>3</v>
      </c>
      <c r="J3590" s="3" t="s">
        <v>4</v>
      </c>
    </row>
    <row r="3591" spans="1:10">
      <c r="A3591" s="1">
        <v>611293</v>
      </c>
      <c r="B3591" s="1">
        <v>3446970033</v>
      </c>
      <c r="C3591" s="1">
        <v>4</v>
      </c>
      <c r="D3591" s="1" t="s">
        <v>375</v>
      </c>
      <c r="E3591" t="s">
        <v>17945</v>
      </c>
      <c r="F3591" s="1">
        <v>487751</v>
      </c>
      <c r="G3591" s="1">
        <v>11037522003</v>
      </c>
      <c r="H3591" s="1">
        <v>36</v>
      </c>
      <c r="I3591" s="1" t="s">
        <v>404</v>
      </c>
      <c r="J3591" t="s">
        <v>17946</v>
      </c>
    </row>
    <row r="3592" spans="1:10">
      <c r="A3592" s="1">
        <v>625012</v>
      </c>
      <c r="B3592" s="1">
        <v>3446918020</v>
      </c>
      <c r="C3592" s="1">
        <v>6</v>
      </c>
      <c r="D3592" s="1" t="s">
        <v>938</v>
      </c>
      <c r="E3592" t="s">
        <v>17947</v>
      </c>
      <c r="F3592" s="1">
        <v>878785</v>
      </c>
      <c r="G3592" s="1">
        <v>1037441024</v>
      </c>
      <c r="H3592" s="1">
        <v>6</v>
      </c>
      <c r="I3592" s="1" t="s">
        <v>553</v>
      </c>
      <c r="J3592" t="s">
        <v>17948</v>
      </c>
    </row>
    <row r="3593" spans="1:10">
      <c r="A3593" s="1">
        <v>620005</v>
      </c>
      <c r="B3593" s="1">
        <v>3446914639</v>
      </c>
      <c r="C3593" s="1">
        <v>4</v>
      </c>
      <c r="D3593" s="1" t="s">
        <v>375</v>
      </c>
      <c r="E3593" t="s">
        <v>17949</v>
      </c>
      <c r="F3593" s="1">
        <v>734426</v>
      </c>
      <c r="G3593" s="1">
        <v>1037432406</v>
      </c>
      <c r="H3593" s="1">
        <v>6</v>
      </c>
      <c r="I3593" s="1" t="s">
        <v>375</v>
      </c>
      <c r="J3593" t="s">
        <v>17950</v>
      </c>
    </row>
    <row r="3594" spans="1:10">
      <c r="A3594" s="1">
        <v>494773</v>
      </c>
      <c r="B3594" s="1">
        <v>7677915705</v>
      </c>
      <c r="C3594" s="1">
        <v>4</v>
      </c>
      <c r="D3594" s="1" t="s">
        <v>954</v>
      </c>
      <c r="E3594" t="s">
        <v>17951</v>
      </c>
      <c r="F3594" s="1">
        <v>377143</v>
      </c>
      <c r="G3594" s="1">
        <v>10374332060</v>
      </c>
      <c r="H3594" s="1">
        <v>6</v>
      </c>
      <c r="I3594" s="1" t="s">
        <v>4856</v>
      </c>
      <c r="J3594" t="s">
        <v>17952</v>
      </c>
    </row>
    <row r="3595" spans="1:10">
      <c r="A3595" s="1">
        <v>358754</v>
      </c>
      <c r="B3595" s="1">
        <v>1099500644</v>
      </c>
      <c r="C3595" s="1">
        <v>12</v>
      </c>
      <c r="D3595" s="1" t="s">
        <v>10244</v>
      </c>
      <c r="E3595" t="s">
        <v>17953</v>
      </c>
      <c r="F3595" s="1">
        <v>399295</v>
      </c>
      <c r="G3595" s="1">
        <v>1037416204</v>
      </c>
      <c r="H3595" s="1">
        <v>9</v>
      </c>
      <c r="I3595" s="1" t="s">
        <v>381</v>
      </c>
      <c r="J3595" t="s">
        <v>17954</v>
      </c>
    </row>
    <row r="3596" spans="1:10">
      <c r="A3596" s="1">
        <v>460733</v>
      </c>
      <c r="B3596" s="1">
        <v>77098105031</v>
      </c>
      <c r="C3596" s="1">
        <v>12</v>
      </c>
      <c r="D3596" s="1" t="s">
        <v>908</v>
      </c>
      <c r="E3596" t="s">
        <v>17955</v>
      </c>
      <c r="F3596" s="1">
        <v>441774</v>
      </c>
      <c r="G3596" s="1">
        <v>1037416200</v>
      </c>
      <c r="H3596" s="1">
        <v>9</v>
      </c>
      <c r="I3596" s="1" t="s">
        <v>381</v>
      </c>
      <c r="J3596" t="s">
        <v>17956</v>
      </c>
    </row>
    <row r="3597" spans="1:10">
      <c r="A3597" s="1">
        <v>109264</v>
      </c>
      <c r="B3597" s="1">
        <v>77098104016</v>
      </c>
      <c r="C3597" s="1">
        <v>16</v>
      </c>
      <c r="D3597" s="1" t="s">
        <v>363</v>
      </c>
      <c r="E3597" t="s">
        <v>17957</v>
      </c>
      <c r="F3597" s="1">
        <v>314948</v>
      </c>
      <c r="G3597" s="1">
        <v>1037418018</v>
      </c>
      <c r="H3597" s="1">
        <v>6</v>
      </c>
      <c r="I3597" s="1" t="s">
        <v>381</v>
      </c>
      <c r="J3597" t="s">
        <v>17958</v>
      </c>
    </row>
    <row r="3598" spans="1:10">
      <c r="A3598" s="1">
        <v>148031</v>
      </c>
      <c r="B3598" s="1">
        <v>77098104018</v>
      </c>
      <c r="C3598" s="1">
        <v>16</v>
      </c>
      <c r="D3598" s="1" t="s">
        <v>363</v>
      </c>
      <c r="E3598" t="s">
        <v>17959</v>
      </c>
      <c r="F3598" s="1">
        <v>413419</v>
      </c>
      <c r="G3598" s="1">
        <v>1037441021</v>
      </c>
      <c r="H3598" s="1">
        <v>6</v>
      </c>
      <c r="I3598" s="1" t="s">
        <v>553</v>
      </c>
      <c r="J3598" t="s">
        <v>17960</v>
      </c>
    </row>
    <row r="3599" spans="1:10">
      <c r="A3599" s="1">
        <v>536599</v>
      </c>
      <c r="B3599" s="1">
        <v>77098105028</v>
      </c>
      <c r="C3599" s="1">
        <v>10</v>
      </c>
      <c r="D3599" s="1" t="s">
        <v>910</v>
      </c>
      <c r="E3599" t="s">
        <v>17961</v>
      </c>
      <c r="F3599" s="1">
        <v>440404</v>
      </c>
      <c r="G3599" s="1">
        <v>1037441022</v>
      </c>
      <c r="H3599" s="1">
        <v>6</v>
      </c>
      <c r="I3599" s="1" t="s">
        <v>553</v>
      </c>
      <c r="J3599" t="s">
        <v>17962</v>
      </c>
    </row>
    <row r="3600" spans="1:10">
      <c r="A3600" s="1">
        <v>734228</v>
      </c>
      <c r="B3600" s="1">
        <v>77098107540</v>
      </c>
      <c r="C3600" s="1">
        <v>12</v>
      </c>
      <c r="D3600" s="1" t="s">
        <v>381</v>
      </c>
      <c r="E3600" t="s">
        <v>17963</v>
      </c>
      <c r="F3600" s="1">
        <v>302679</v>
      </c>
      <c r="G3600" s="1">
        <v>1037416201</v>
      </c>
      <c r="H3600" s="1">
        <v>9</v>
      </c>
      <c r="I3600" s="1" t="s">
        <v>381</v>
      </c>
      <c r="J3600" t="s">
        <v>17964</v>
      </c>
    </row>
    <row r="3601" spans="1:10">
      <c r="A3601" s="1">
        <v>734244</v>
      </c>
      <c r="B3601" s="1">
        <v>77098107530</v>
      </c>
      <c r="C3601" s="1">
        <v>12</v>
      </c>
      <c r="D3601" s="1" t="s">
        <v>908</v>
      </c>
      <c r="E3601" t="s">
        <v>17965</v>
      </c>
      <c r="F3601" s="1">
        <v>629725</v>
      </c>
      <c r="G3601" s="1">
        <v>1037441111</v>
      </c>
      <c r="H3601" s="1">
        <v>6</v>
      </c>
      <c r="I3601" s="1" t="s">
        <v>553</v>
      </c>
      <c r="J3601" t="s">
        <v>17966</v>
      </c>
    </row>
    <row r="3602" spans="1:10">
      <c r="A3602" s="1">
        <v>734236</v>
      </c>
      <c r="B3602" s="1">
        <v>77098107550</v>
      </c>
      <c r="C3602" s="1">
        <v>12</v>
      </c>
      <c r="D3602" s="1" t="s">
        <v>381</v>
      </c>
      <c r="E3602" t="s">
        <v>17967</v>
      </c>
      <c r="F3602" s="1">
        <v>319624</v>
      </c>
      <c r="G3602" s="1">
        <v>1037416205</v>
      </c>
      <c r="H3602" s="1">
        <v>9</v>
      </c>
      <c r="I3602" s="1" t="s">
        <v>381</v>
      </c>
      <c r="J3602" t="s">
        <v>17968</v>
      </c>
    </row>
    <row r="3603" spans="1:10">
      <c r="A3603" s="1">
        <v>886622</v>
      </c>
      <c r="B3603" s="1">
        <v>7455503505</v>
      </c>
      <c r="C3603" s="1">
        <v>6</v>
      </c>
      <c r="D3603" s="1" t="s">
        <v>1387</v>
      </c>
      <c r="E3603" t="s">
        <v>17969</v>
      </c>
      <c r="F3603" s="1">
        <v>433458</v>
      </c>
      <c r="G3603" s="1">
        <v>2814344877</v>
      </c>
      <c r="H3603" s="1">
        <v>4</v>
      </c>
      <c r="I3603" s="1" t="s">
        <v>3302</v>
      </c>
      <c r="J3603" t="s">
        <v>17970</v>
      </c>
    </row>
    <row r="3604" spans="1:10">
      <c r="A3604" s="1">
        <v>38463</v>
      </c>
      <c r="B3604" s="1">
        <v>2814301204</v>
      </c>
      <c r="C3604" s="1">
        <v>2</v>
      </c>
      <c r="D3604" s="1" t="s">
        <v>3302</v>
      </c>
      <c r="E3604" t="s">
        <v>17971</v>
      </c>
      <c r="F3604" s="1">
        <v>435818</v>
      </c>
      <c r="G3604" s="1">
        <v>2814317425</v>
      </c>
      <c r="H3604" s="1">
        <v>4</v>
      </c>
      <c r="I3604" s="1" t="s">
        <v>3302</v>
      </c>
      <c r="J3604" t="s">
        <v>17972</v>
      </c>
    </row>
    <row r="3605" spans="1:10">
      <c r="A3605" s="1">
        <v>83675</v>
      </c>
      <c r="B3605" s="1">
        <v>78802203042</v>
      </c>
      <c r="C3605" s="1">
        <v>63</v>
      </c>
      <c r="D3605" s="1" t="s">
        <v>910</v>
      </c>
      <c r="E3605" t="s">
        <v>17973</v>
      </c>
      <c r="F3605" s="1">
        <v>836494</v>
      </c>
      <c r="G3605" s="1">
        <v>2814350803</v>
      </c>
      <c r="H3605" s="1">
        <v>8</v>
      </c>
      <c r="I3605" s="1" t="s">
        <v>632</v>
      </c>
      <c r="J3605" t="s">
        <v>17974</v>
      </c>
    </row>
    <row r="3606" spans="1:10">
      <c r="A3606" s="1">
        <v>19224</v>
      </c>
      <c r="B3606" s="1">
        <v>5960800474</v>
      </c>
      <c r="C3606" s="1">
        <v>12</v>
      </c>
      <c r="D3606" s="1" t="s">
        <v>574</v>
      </c>
      <c r="E3606" t="s">
        <v>17975</v>
      </c>
      <c r="F3606" s="1">
        <v>520452</v>
      </c>
      <c r="G3606" s="1">
        <v>2814350888</v>
      </c>
      <c r="H3606" s="1">
        <v>8</v>
      </c>
      <c r="I3606" s="1" t="s">
        <v>632</v>
      </c>
      <c r="J3606" t="s">
        <v>17976</v>
      </c>
    </row>
    <row r="3607" spans="1:10">
      <c r="A3607" s="1">
        <v>394007</v>
      </c>
      <c r="B3607" s="1">
        <v>4980032061</v>
      </c>
      <c r="C3607" s="1">
        <v>6</v>
      </c>
      <c r="D3607" s="1" t="s">
        <v>637</v>
      </c>
      <c r="E3607" t="s">
        <v>17977</v>
      </c>
    </row>
    <row r="3608" spans="1:10">
      <c r="A3608" s="1">
        <v>277475</v>
      </c>
      <c r="B3608" s="1">
        <v>4980017300</v>
      </c>
      <c r="C3608" s="1">
        <v>6</v>
      </c>
      <c r="D3608" s="1" t="s">
        <v>1198</v>
      </c>
      <c r="E3608" t="s">
        <v>17978</v>
      </c>
    </row>
    <row r="3609" spans="1:10">
      <c r="A3609" s="1">
        <v>394015</v>
      </c>
      <c r="B3609" s="1">
        <v>4980062710</v>
      </c>
      <c r="C3609" s="1">
        <v>6</v>
      </c>
      <c r="D3609" s="1" t="s">
        <v>637</v>
      </c>
      <c r="E3609" t="s">
        <v>17979</v>
      </c>
    </row>
    <row r="3610" spans="1:10" ht="15.75">
      <c r="A3610" s="4" t="s">
        <v>17980</v>
      </c>
      <c r="B3610" s="2"/>
      <c r="C3610" s="2"/>
      <c r="D3610" s="2"/>
      <c r="E3610" s="3"/>
      <c r="F3610" s="4" t="s">
        <v>17980</v>
      </c>
      <c r="G3610" s="2"/>
      <c r="H3610" s="2"/>
      <c r="I3610" s="2"/>
      <c r="J3610" s="3"/>
    </row>
    <row r="3611" spans="1:10">
      <c r="A3611" s="2" t="s">
        <v>0</v>
      </c>
      <c r="B3611" s="2" t="s">
        <v>1</v>
      </c>
      <c r="C3611" s="2" t="s">
        <v>2</v>
      </c>
      <c r="D3611" s="2" t="s">
        <v>3</v>
      </c>
      <c r="E3611" s="3" t="s">
        <v>4</v>
      </c>
      <c r="F3611" s="2" t="s">
        <v>0</v>
      </c>
      <c r="G3611" s="2" t="s">
        <v>1</v>
      </c>
      <c r="H3611" s="2" t="s">
        <v>2</v>
      </c>
      <c r="I3611" s="2" t="s">
        <v>3</v>
      </c>
      <c r="J3611" s="3" t="s">
        <v>4</v>
      </c>
    </row>
    <row r="3612" spans="1:10">
      <c r="A3612" s="1">
        <v>616623</v>
      </c>
      <c r="B3612" s="1">
        <v>1628902552</v>
      </c>
      <c r="C3612" s="1">
        <v>12</v>
      </c>
      <c r="D3612" s="1" t="s">
        <v>347</v>
      </c>
      <c r="E3612" t="s">
        <v>17981</v>
      </c>
      <c r="F3612" s="1">
        <v>510495</v>
      </c>
      <c r="G3612" s="1">
        <v>1482110350</v>
      </c>
      <c r="H3612" s="1">
        <v>6</v>
      </c>
      <c r="I3612" s="1" t="s">
        <v>381</v>
      </c>
      <c r="J3612" t="s">
        <v>17982</v>
      </c>
    </row>
    <row r="3613" spans="1:10">
      <c r="A3613" s="1">
        <v>617019</v>
      </c>
      <c r="B3613" s="1">
        <v>1628902544</v>
      </c>
      <c r="C3613" s="1">
        <v>12</v>
      </c>
      <c r="D3613" s="1" t="s">
        <v>347</v>
      </c>
      <c r="E3613" t="s">
        <v>17983</v>
      </c>
      <c r="F3613" s="1">
        <v>510446</v>
      </c>
      <c r="G3613" s="1">
        <v>1482110310</v>
      </c>
      <c r="H3613" s="1">
        <v>6</v>
      </c>
      <c r="I3613" s="1" t="s">
        <v>381</v>
      </c>
      <c r="J3613" t="s">
        <v>17984</v>
      </c>
    </row>
    <row r="3614" spans="1:10">
      <c r="A3614" s="1">
        <v>617084</v>
      </c>
      <c r="B3614" s="1">
        <v>1628902540</v>
      </c>
      <c r="C3614" s="1">
        <v>12</v>
      </c>
      <c r="D3614" s="1" t="s">
        <v>347</v>
      </c>
      <c r="E3614" t="s">
        <v>17985</v>
      </c>
      <c r="F3614" s="1">
        <v>510503</v>
      </c>
      <c r="G3614" s="1">
        <v>1482110330</v>
      </c>
      <c r="H3614" s="1">
        <v>6</v>
      </c>
      <c r="I3614" s="1" t="s">
        <v>381</v>
      </c>
      <c r="J3614" t="s">
        <v>17986</v>
      </c>
    </row>
    <row r="3615" spans="1:10">
      <c r="A3615" s="1">
        <v>616573</v>
      </c>
      <c r="B3615" s="1">
        <v>1628902541</v>
      </c>
      <c r="C3615" s="1">
        <v>12</v>
      </c>
      <c r="D3615" s="1" t="s">
        <v>347</v>
      </c>
      <c r="E3615" t="s">
        <v>17987</v>
      </c>
      <c r="F3615" s="1">
        <v>510578</v>
      </c>
      <c r="G3615" s="1">
        <v>1482116211</v>
      </c>
      <c r="H3615" s="1">
        <v>9</v>
      </c>
      <c r="I3615" s="1" t="s">
        <v>703</v>
      </c>
      <c r="J3615" t="s">
        <v>17988</v>
      </c>
    </row>
    <row r="3616" spans="1:10">
      <c r="A3616" s="1">
        <v>616664</v>
      </c>
      <c r="B3616" s="1">
        <v>1628902511</v>
      </c>
      <c r="C3616" s="1">
        <v>12</v>
      </c>
      <c r="D3616" s="1" t="s">
        <v>347</v>
      </c>
      <c r="E3616" t="s">
        <v>17989</v>
      </c>
      <c r="F3616" s="1">
        <v>785865</v>
      </c>
      <c r="G3616" s="1">
        <v>7455503526</v>
      </c>
      <c r="H3616" s="1">
        <v>6</v>
      </c>
      <c r="I3616" s="1" t="s">
        <v>1198</v>
      </c>
      <c r="J3616" t="s">
        <v>17990</v>
      </c>
    </row>
    <row r="3617" spans="1:10">
      <c r="A3617" s="1">
        <v>616649</v>
      </c>
      <c r="B3617" s="1">
        <v>1628902526</v>
      </c>
      <c r="C3617" s="1">
        <v>12</v>
      </c>
      <c r="D3617" s="1" t="s">
        <v>347</v>
      </c>
      <c r="E3617" t="s">
        <v>17991</v>
      </c>
      <c r="F3617" s="1">
        <v>619015</v>
      </c>
      <c r="G3617" s="1">
        <v>2495160025</v>
      </c>
      <c r="H3617" s="1">
        <v>12</v>
      </c>
      <c r="I3617" s="1" t="s">
        <v>381</v>
      </c>
      <c r="J3617" t="s">
        <v>17992</v>
      </c>
    </row>
    <row r="3618" spans="1:10">
      <c r="A3618" s="1">
        <v>518795</v>
      </c>
      <c r="B3618" s="1">
        <v>1628993052</v>
      </c>
      <c r="C3618" s="1">
        <v>48</v>
      </c>
      <c r="D3618" s="1" t="s">
        <v>14</v>
      </c>
      <c r="E3618" t="s">
        <v>17993</v>
      </c>
      <c r="F3618" s="1">
        <v>122457</v>
      </c>
      <c r="G3618" s="1">
        <v>75090390214</v>
      </c>
      <c r="H3618" s="1">
        <v>12</v>
      </c>
      <c r="I3618" s="1" t="s">
        <v>1387</v>
      </c>
      <c r="J3618" t="s">
        <v>17994</v>
      </c>
    </row>
    <row r="3619" spans="1:10">
      <c r="A3619" s="1">
        <v>702340</v>
      </c>
      <c r="B3619" s="1">
        <v>1628902545</v>
      </c>
      <c r="C3619" s="1">
        <v>12</v>
      </c>
      <c r="D3619" s="1" t="s">
        <v>347</v>
      </c>
      <c r="E3619" t="s">
        <v>17995</v>
      </c>
      <c r="F3619" s="1">
        <v>21337</v>
      </c>
      <c r="G3619" s="1">
        <v>75090303278</v>
      </c>
      <c r="H3619" s="1">
        <v>24</v>
      </c>
      <c r="I3619" s="1" t="s">
        <v>742</v>
      </c>
      <c r="J3619" t="s">
        <v>17996</v>
      </c>
    </row>
    <row r="3620" spans="1:10">
      <c r="A3620" s="1">
        <v>23978</v>
      </c>
      <c r="B3620" s="1">
        <v>1628902546</v>
      </c>
      <c r="C3620" s="1">
        <v>12</v>
      </c>
      <c r="D3620" s="1" t="s">
        <v>347</v>
      </c>
      <c r="E3620" t="s">
        <v>17997</v>
      </c>
      <c r="F3620" s="1">
        <v>603217</v>
      </c>
      <c r="G3620" s="1">
        <v>4980064536</v>
      </c>
      <c r="H3620" s="1">
        <v>24</v>
      </c>
      <c r="I3620" s="1" t="s">
        <v>381</v>
      </c>
      <c r="J3620" t="s">
        <v>17998</v>
      </c>
    </row>
    <row r="3621" spans="1:10">
      <c r="A3621" s="1">
        <v>617373</v>
      </c>
      <c r="B3621" s="1">
        <v>1628909801</v>
      </c>
      <c r="C3621" s="1">
        <v>12</v>
      </c>
      <c r="D3621" s="1" t="s">
        <v>347</v>
      </c>
      <c r="E3621" t="s">
        <v>17999</v>
      </c>
      <c r="F3621" s="1">
        <v>587261</v>
      </c>
      <c r="G3621" s="1">
        <v>75090303280</v>
      </c>
      <c r="H3621" s="1">
        <v>5</v>
      </c>
      <c r="I3621" s="1" t="s">
        <v>15076</v>
      </c>
      <c r="J3621" t="s">
        <v>18000</v>
      </c>
    </row>
    <row r="3622" spans="1:10" ht="15.75">
      <c r="A3622" s="1">
        <v>377762</v>
      </c>
      <c r="B3622" s="1">
        <v>1628902547</v>
      </c>
      <c r="C3622" s="1">
        <v>12</v>
      </c>
      <c r="D3622" s="1" t="s">
        <v>347</v>
      </c>
      <c r="E3622" t="s">
        <v>18001</v>
      </c>
      <c r="F3622" s="4" t="s">
        <v>18002</v>
      </c>
      <c r="G3622" s="2"/>
      <c r="H3622" s="2"/>
      <c r="I3622" s="2"/>
      <c r="J3622" s="3"/>
    </row>
    <row r="3623" spans="1:10">
      <c r="A3623" s="1">
        <v>68171</v>
      </c>
      <c r="B3623" s="1">
        <v>1628993047</v>
      </c>
      <c r="C3623" s="1">
        <v>48</v>
      </c>
      <c r="D3623" s="1" t="s">
        <v>14</v>
      </c>
      <c r="E3623" t="s">
        <v>18003</v>
      </c>
      <c r="F3623" s="2" t="s">
        <v>0</v>
      </c>
      <c r="G3623" s="2" t="s">
        <v>1</v>
      </c>
      <c r="H3623" s="2" t="s">
        <v>2</v>
      </c>
      <c r="I3623" s="2" t="s">
        <v>3</v>
      </c>
      <c r="J3623" s="3" t="s">
        <v>4</v>
      </c>
    </row>
    <row r="3624" spans="1:10">
      <c r="A3624" s="1">
        <v>37945</v>
      </c>
      <c r="B3624" s="1">
        <v>1628993011</v>
      </c>
      <c r="C3624" s="1">
        <v>48</v>
      </c>
      <c r="D3624" s="1" t="s">
        <v>14</v>
      </c>
      <c r="E3624" t="s">
        <v>18004</v>
      </c>
      <c r="F3624" s="1">
        <v>170811</v>
      </c>
      <c r="G3624" s="1">
        <v>3836134811</v>
      </c>
      <c r="H3624" s="1">
        <v>10</v>
      </c>
      <c r="I3624" s="1" t="s">
        <v>370</v>
      </c>
      <c r="J3624" t="s">
        <v>18005</v>
      </c>
    </row>
    <row r="3625" spans="1:10">
      <c r="A3625" s="1">
        <v>593384</v>
      </c>
      <c r="B3625" s="1">
        <v>3507455002</v>
      </c>
      <c r="C3625" s="1">
        <v>6</v>
      </c>
      <c r="D3625" s="1" t="s">
        <v>8599</v>
      </c>
      <c r="E3625" t="s">
        <v>18006</v>
      </c>
      <c r="F3625" s="1">
        <v>527671</v>
      </c>
      <c r="G3625" s="1">
        <v>3836131203</v>
      </c>
      <c r="H3625" s="1">
        <v>10</v>
      </c>
      <c r="I3625" s="1" t="s">
        <v>599</v>
      </c>
      <c r="J3625" t="s">
        <v>18007</v>
      </c>
    </row>
    <row r="3626" spans="1:10">
      <c r="A3626" s="1">
        <v>485490</v>
      </c>
      <c r="B3626" s="1">
        <v>3507455006</v>
      </c>
      <c r="C3626" s="1">
        <v>24</v>
      </c>
      <c r="D3626" s="1" t="s">
        <v>259</v>
      </c>
      <c r="E3626" t="s">
        <v>18008</v>
      </c>
      <c r="F3626" s="1">
        <v>612812</v>
      </c>
      <c r="G3626" s="1">
        <v>2480048669</v>
      </c>
      <c r="H3626" s="1">
        <v>75</v>
      </c>
      <c r="I3626" s="1" t="s">
        <v>663</v>
      </c>
      <c r="J3626" t="s">
        <v>18009</v>
      </c>
    </row>
    <row r="3627" spans="1:10">
      <c r="A3627" s="1">
        <v>810218</v>
      </c>
      <c r="B3627" s="1">
        <v>3836150304</v>
      </c>
      <c r="C3627" s="1">
        <v>12</v>
      </c>
      <c r="D3627" s="1" t="s">
        <v>381</v>
      </c>
      <c r="E3627" t="s">
        <v>18010</v>
      </c>
      <c r="F3627" s="1">
        <v>610089</v>
      </c>
      <c r="G3627" s="1">
        <v>2480048653</v>
      </c>
      <c r="H3627" s="1">
        <v>75</v>
      </c>
      <c r="I3627" s="1" t="s">
        <v>663</v>
      </c>
      <c r="J3627" t="s">
        <v>18011</v>
      </c>
    </row>
    <row r="3628" spans="1:10">
      <c r="A3628" s="1">
        <v>578799</v>
      </c>
      <c r="B3628" s="1">
        <v>3836150306</v>
      </c>
      <c r="C3628" s="1">
        <v>12</v>
      </c>
      <c r="D3628" s="1" t="s">
        <v>381</v>
      </c>
      <c r="E3628" t="s">
        <v>18012</v>
      </c>
      <c r="F3628" s="1">
        <v>611673</v>
      </c>
      <c r="G3628" s="1">
        <v>2480048654</v>
      </c>
      <c r="H3628" s="1">
        <v>75</v>
      </c>
      <c r="I3628" s="1" t="s">
        <v>663</v>
      </c>
      <c r="J3628" t="s">
        <v>18013</v>
      </c>
    </row>
    <row r="3629" spans="1:10">
      <c r="A3629" s="1">
        <v>588798</v>
      </c>
      <c r="B3629" s="1">
        <v>3836150305</v>
      </c>
      <c r="C3629" s="1">
        <v>12</v>
      </c>
      <c r="D3629" s="1" t="s">
        <v>381</v>
      </c>
      <c r="E3629" t="s">
        <v>18014</v>
      </c>
      <c r="F3629" s="1">
        <v>615963</v>
      </c>
      <c r="G3629" s="1">
        <v>2480048661</v>
      </c>
      <c r="H3629" s="1">
        <v>75</v>
      </c>
      <c r="I3629" s="1" t="s">
        <v>663</v>
      </c>
      <c r="J3629" t="s">
        <v>18015</v>
      </c>
    </row>
    <row r="3630" spans="1:10">
      <c r="A3630" s="1">
        <v>133447</v>
      </c>
      <c r="B3630" s="1">
        <v>3836150308</v>
      </c>
      <c r="C3630" s="1">
        <v>12</v>
      </c>
      <c r="D3630" s="1" t="s">
        <v>381</v>
      </c>
      <c r="E3630" t="s">
        <v>18016</v>
      </c>
      <c r="F3630" s="1">
        <v>381061</v>
      </c>
      <c r="G3630" s="1">
        <v>2480048672</v>
      </c>
      <c r="H3630" s="1">
        <v>75</v>
      </c>
      <c r="I3630" s="1" t="s">
        <v>663</v>
      </c>
      <c r="J3630" t="s">
        <v>18017</v>
      </c>
    </row>
    <row r="3631" spans="1:10">
      <c r="A3631" s="1">
        <v>575639</v>
      </c>
      <c r="B3631" s="1">
        <v>3836150310</v>
      </c>
      <c r="C3631" s="1">
        <v>12</v>
      </c>
      <c r="D3631" s="1" t="s">
        <v>381</v>
      </c>
      <c r="E3631" t="s">
        <v>18018</v>
      </c>
      <c r="F3631" s="1">
        <v>603449</v>
      </c>
      <c r="G3631" s="1">
        <v>1099500160</v>
      </c>
      <c r="H3631" s="1">
        <v>16</v>
      </c>
      <c r="I3631" s="1" t="s">
        <v>347</v>
      </c>
      <c r="J3631" t="s">
        <v>18019</v>
      </c>
    </row>
    <row r="3632" spans="1:10">
      <c r="A3632" s="1">
        <v>381426</v>
      </c>
      <c r="B3632" s="1">
        <v>3836150311</v>
      </c>
      <c r="C3632" s="1">
        <v>12</v>
      </c>
      <c r="D3632" s="1" t="s">
        <v>381</v>
      </c>
      <c r="E3632" t="s">
        <v>18020</v>
      </c>
      <c r="F3632" s="1">
        <v>619726</v>
      </c>
      <c r="G3632" s="1">
        <v>3354737401</v>
      </c>
      <c r="H3632" s="1">
        <v>6</v>
      </c>
      <c r="I3632" s="1" t="s">
        <v>632</v>
      </c>
      <c r="J3632" t="s">
        <v>18021</v>
      </c>
    </row>
    <row r="3633" spans="1:10">
      <c r="A3633" s="1">
        <v>627240</v>
      </c>
      <c r="B3633" s="1">
        <v>3446919870</v>
      </c>
      <c r="C3633" s="1">
        <v>12</v>
      </c>
      <c r="D3633" s="1" t="s">
        <v>381</v>
      </c>
      <c r="E3633" t="s">
        <v>18022</v>
      </c>
      <c r="F3633" s="1">
        <v>615849</v>
      </c>
      <c r="G3633" s="1">
        <v>3354728405</v>
      </c>
      <c r="H3633" s="1">
        <v>12</v>
      </c>
      <c r="I3633" s="1" t="s">
        <v>910</v>
      </c>
      <c r="J3633" t="s">
        <v>18023</v>
      </c>
    </row>
    <row r="3634" spans="1:10">
      <c r="A3634" s="1">
        <v>625830</v>
      </c>
      <c r="B3634" s="1">
        <v>3446921011</v>
      </c>
      <c r="C3634" s="1">
        <v>6</v>
      </c>
      <c r="D3634" s="1" t="s">
        <v>954</v>
      </c>
      <c r="E3634" t="s">
        <v>18024</v>
      </c>
      <c r="F3634" s="1">
        <v>620013</v>
      </c>
      <c r="G3634" s="1">
        <v>3354737461</v>
      </c>
      <c r="H3634" s="1">
        <v>6</v>
      </c>
      <c r="I3634" s="1" t="s">
        <v>632</v>
      </c>
      <c r="J3634" t="s">
        <v>18025</v>
      </c>
    </row>
    <row r="3635" spans="1:10">
      <c r="A3635" s="1">
        <v>601237</v>
      </c>
      <c r="B3635" s="1">
        <v>3446921008</v>
      </c>
      <c r="C3635" s="1">
        <v>6</v>
      </c>
      <c r="D3635" s="1" t="s">
        <v>943</v>
      </c>
      <c r="E3635" t="s">
        <v>18026</v>
      </c>
      <c r="F3635" s="1">
        <v>612879</v>
      </c>
      <c r="G3635" s="1">
        <v>75931305696</v>
      </c>
      <c r="H3635" s="1">
        <v>6</v>
      </c>
      <c r="I3635" s="1" t="s">
        <v>381</v>
      </c>
      <c r="J3635" t="s">
        <v>18027</v>
      </c>
    </row>
    <row r="3636" spans="1:10">
      <c r="A3636" s="1">
        <v>625897</v>
      </c>
      <c r="B3636" s="1">
        <v>3446921009</v>
      </c>
      <c r="C3636" s="1">
        <v>6</v>
      </c>
      <c r="D3636" s="1" t="s">
        <v>954</v>
      </c>
      <c r="E3636" t="s">
        <v>18028</v>
      </c>
      <c r="F3636" s="1">
        <v>607267</v>
      </c>
      <c r="G3636" s="1">
        <v>75931306408</v>
      </c>
      <c r="H3636" s="1">
        <v>6</v>
      </c>
      <c r="I3636" s="1" t="s">
        <v>399</v>
      </c>
      <c r="J3636" t="s">
        <v>18029</v>
      </c>
    </row>
    <row r="3637" spans="1:10">
      <c r="A3637" s="1">
        <v>363259</v>
      </c>
      <c r="B3637" s="1">
        <v>3446909478</v>
      </c>
      <c r="C3637" s="1">
        <v>6</v>
      </c>
      <c r="D3637" s="1" t="s">
        <v>637</v>
      </c>
      <c r="E3637" t="s">
        <v>18030</v>
      </c>
      <c r="F3637" s="1">
        <v>500983</v>
      </c>
      <c r="G3637" s="1">
        <v>89963200081</v>
      </c>
      <c r="H3637" s="1">
        <v>12</v>
      </c>
      <c r="I3637" s="1" t="s">
        <v>6468</v>
      </c>
      <c r="J3637" t="s">
        <v>18031</v>
      </c>
    </row>
    <row r="3638" spans="1:10">
      <c r="A3638" s="1">
        <v>601542</v>
      </c>
      <c r="B3638" s="1">
        <v>3446921006</v>
      </c>
      <c r="C3638" s="1">
        <v>6</v>
      </c>
      <c r="D3638" s="1" t="s">
        <v>375</v>
      </c>
      <c r="E3638" t="s">
        <v>18032</v>
      </c>
      <c r="F3638" s="1">
        <v>282350</v>
      </c>
      <c r="G3638" s="1">
        <v>89963200003</v>
      </c>
      <c r="H3638" s="1">
        <v>12</v>
      </c>
      <c r="I3638" s="1" t="s">
        <v>4470</v>
      </c>
      <c r="J3638" t="s">
        <v>18033</v>
      </c>
    </row>
    <row r="3639" spans="1:10" ht="15.75">
      <c r="A3639" s="1">
        <v>656991</v>
      </c>
      <c r="B3639" s="1">
        <v>2951914158</v>
      </c>
      <c r="C3639" s="1">
        <v>4</v>
      </c>
      <c r="D3639" s="1" t="s">
        <v>3603</v>
      </c>
      <c r="E3639" t="s">
        <v>18034</v>
      </c>
      <c r="F3639" s="4" t="s">
        <v>18035</v>
      </c>
      <c r="G3639" s="2"/>
      <c r="H3639" s="2"/>
      <c r="I3639" s="2"/>
      <c r="J3639" s="3"/>
    </row>
    <row r="3640" spans="1:10">
      <c r="A3640" s="1">
        <v>633933</v>
      </c>
      <c r="B3640" s="1">
        <v>3446921030</v>
      </c>
      <c r="C3640" s="1">
        <v>4</v>
      </c>
      <c r="D3640" s="1" t="s">
        <v>865</v>
      </c>
      <c r="E3640" t="s">
        <v>18036</v>
      </c>
      <c r="F3640" s="2" t="s">
        <v>0</v>
      </c>
      <c r="G3640" s="2" t="s">
        <v>1</v>
      </c>
      <c r="H3640" s="2" t="s">
        <v>2</v>
      </c>
      <c r="I3640" s="2" t="s">
        <v>3</v>
      </c>
      <c r="J3640" s="3" t="s">
        <v>4</v>
      </c>
    </row>
    <row r="3641" spans="1:10">
      <c r="A3641" s="1">
        <v>607796</v>
      </c>
      <c r="B3641" s="1">
        <v>2951907288</v>
      </c>
      <c r="C3641" s="1">
        <v>6</v>
      </c>
      <c r="D3641" s="1" t="s">
        <v>1473</v>
      </c>
      <c r="E3641" t="s">
        <v>18037</v>
      </c>
      <c r="F3641" s="1">
        <v>621581</v>
      </c>
      <c r="G3641" s="1">
        <v>8304500834</v>
      </c>
      <c r="H3641" s="1">
        <v>8</v>
      </c>
      <c r="I3641" s="1" t="s">
        <v>637</v>
      </c>
      <c r="J3641" t="s">
        <v>18038</v>
      </c>
    </row>
    <row r="3642" spans="1:10">
      <c r="A3642" s="1">
        <v>608018</v>
      </c>
      <c r="B3642" s="1">
        <v>2951907322</v>
      </c>
      <c r="C3642" s="1">
        <v>6</v>
      </c>
      <c r="D3642" s="1" t="s">
        <v>1473</v>
      </c>
      <c r="E3642" t="s">
        <v>18039</v>
      </c>
      <c r="F3642" s="1">
        <v>458091</v>
      </c>
      <c r="G3642" s="1">
        <v>3881700331</v>
      </c>
      <c r="H3642" s="1">
        <v>10</v>
      </c>
      <c r="I3642" s="1" t="s">
        <v>347</v>
      </c>
      <c r="J3642" t="s">
        <v>18040</v>
      </c>
    </row>
    <row r="3643" spans="1:10">
      <c r="A3643" s="1">
        <v>608166</v>
      </c>
      <c r="B3643" s="1">
        <v>2951907076</v>
      </c>
      <c r="C3643" s="1">
        <v>6</v>
      </c>
      <c r="D3643" s="1" t="s">
        <v>1473</v>
      </c>
      <c r="E3643" t="s">
        <v>18041</v>
      </c>
      <c r="F3643" s="1">
        <v>866079</v>
      </c>
      <c r="G3643" s="1">
        <v>3881700332</v>
      </c>
      <c r="H3643" s="1">
        <v>10</v>
      </c>
      <c r="I3643" s="1" t="s">
        <v>347</v>
      </c>
      <c r="J3643" t="s">
        <v>18042</v>
      </c>
    </row>
    <row r="3644" spans="1:10">
      <c r="A3644" s="1">
        <v>608067</v>
      </c>
      <c r="B3644" s="1">
        <v>2951907321</v>
      </c>
      <c r="C3644" s="1">
        <v>6</v>
      </c>
      <c r="D3644" s="1" t="s">
        <v>1473</v>
      </c>
      <c r="E3644" t="s">
        <v>18043</v>
      </c>
      <c r="F3644" s="1">
        <v>504639</v>
      </c>
      <c r="G3644" s="1">
        <v>3881700333</v>
      </c>
      <c r="H3644" s="1">
        <v>10</v>
      </c>
      <c r="I3644" s="1" t="s">
        <v>347</v>
      </c>
      <c r="J3644" t="s">
        <v>18044</v>
      </c>
    </row>
    <row r="3645" spans="1:10">
      <c r="A3645" s="1">
        <v>633115</v>
      </c>
      <c r="B3645" s="1">
        <v>3446921029</v>
      </c>
      <c r="C3645" s="1">
        <v>4</v>
      </c>
      <c r="D3645" s="1" t="s">
        <v>865</v>
      </c>
      <c r="E3645" t="s">
        <v>18045</v>
      </c>
      <c r="F3645" s="1">
        <v>745562</v>
      </c>
      <c r="G3645" s="1">
        <v>3881700334</v>
      </c>
      <c r="H3645" s="1">
        <v>10</v>
      </c>
      <c r="I3645" s="1" t="s">
        <v>347</v>
      </c>
      <c r="J3645" t="s">
        <v>18046</v>
      </c>
    </row>
    <row r="3646" spans="1:10">
      <c r="A3646" s="1">
        <v>618827</v>
      </c>
      <c r="B3646" s="1">
        <v>3446900812</v>
      </c>
      <c r="C3646" s="1">
        <v>6</v>
      </c>
      <c r="D3646" s="1" t="s">
        <v>632</v>
      </c>
      <c r="E3646" t="s">
        <v>18047</v>
      </c>
      <c r="F3646" s="1">
        <v>852368</v>
      </c>
      <c r="G3646" s="1">
        <v>3881700336</v>
      </c>
      <c r="H3646" s="1">
        <v>10</v>
      </c>
      <c r="I3646" s="1" t="s">
        <v>347</v>
      </c>
      <c r="J3646" t="s">
        <v>18048</v>
      </c>
    </row>
    <row r="3647" spans="1:10">
      <c r="A3647" s="1">
        <v>633891</v>
      </c>
      <c r="B3647" s="1">
        <v>3446921028</v>
      </c>
      <c r="C3647" s="1">
        <v>4</v>
      </c>
      <c r="D3647" s="1" t="s">
        <v>865</v>
      </c>
      <c r="E3647" t="s">
        <v>18049</v>
      </c>
      <c r="F3647" s="1">
        <v>885327</v>
      </c>
      <c r="G3647" s="1">
        <v>7225000103</v>
      </c>
      <c r="H3647" s="1">
        <v>48</v>
      </c>
      <c r="I3647" s="1" t="s">
        <v>106</v>
      </c>
      <c r="J3647" t="s">
        <v>18050</v>
      </c>
    </row>
    <row r="3648" spans="1:10">
      <c r="A3648" s="1">
        <v>411264</v>
      </c>
      <c r="B3648" s="1">
        <v>7225090337</v>
      </c>
      <c r="C3648" s="1">
        <v>48</v>
      </c>
      <c r="D3648" s="1" t="s">
        <v>312</v>
      </c>
      <c r="E3648" t="s">
        <v>18051</v>
      </c>
      <c r="F3648" s="1">
        <v>883116</v>
      </c>
      <c r="G3648" s="1">
        <v>7225000817</v>
      </c>
      <c r="H3648" s="1">
        <v>48</v>
      </c>
      <c r="I3648" s="1" t="s">
        <v>106</v>
      </c>
      <c r="J3648" t="s">
        <v>18052</v>
      </c>
    </row>
    <row r="3649" spans="1:10">
      <c r="A3649" s="1">
        <v>509398</v>
      </c>
      <c r="B3649" s="1">
        <v>7225000821</v>
      </c>
      <c r="C3649" s="1">
        <v>48</v>
      </c>
      <c r="D3649" s="1" t="s">
        <v>18053</v>
      </c>
      <c r="E3649" t="s">
        <v>18054</v>
      </c>
      <c r="F3649" s="1">
        <v>747915</v>
      </c>
      <c r="G3649" s="1">
        <v>5097290100</v>
      </c>
      <c r="H3649" s="1">
        <v>8</v>
      </c>
      <c r="I3649" s="1" t="s">
        <v>1473</v>
      </c>
      <c r="J3649" t="s">
        <v>18055</v>
      </c>
    </row>
    <row r="3650" spans="1:10">
      <c r="A3650" s="1">
        <v>611350</v>
      </c>
      <c r="B3650" s="1">
        <v>1482110117</v>
      </c>
      <c r="C3650" s="1">
        <v>12</v>
      </c>
      <c r="D3650" s="1" t="s">
        <v>632</v>
      </c>
      <c r="E3650" t="s">
        <v>18056</v>
      </c>
      <c r="F3650" s="1">
        <v>330589</v>
      </c>
      <c r="G3650" s="1">
        <v>5097290124</v>
      </c>
      <c r="H3650" s="1">
        <v>8</v>
      </c>
      <c r="I3650" s="1" t="s">
        <v>722</v>
      </c>
      <c r="J3650" t="s">
        <v>18057</v>
      </c>
    </row>
    <row r="3651" spans="1:10" ht="15.75">
      <c r="A3651" s="4" t="s">
        <v>18035</v>
      </c>
      <c r="B3651" s="2"/>
      <c r="C3651" s="2"/>
      <c r="D3651" s="2"/>
      <c r="E3651" s="3"/>
      <c r="F3651" s="4" t="s">
        <v>18035</v>
      </c>
      <c r="G3651" s="2"/>
      <c r="H3651" s="2"/>
      <c r="I3651" s="2"/>
      <c r="J3651" s="3"/>
    </row>
    <row r="3652" spans="1:10">
      <c r="A3652" s="2" t="s">
        <v>0</v>
      </c>
      <c r="B3652" s="2" t="s">
        <v>1</v>
      </c>
      <c r="C3652" s="2" t="s">
        <v>2</v>
      </c>
      <c r="D3652" s="2" t="s">
        <v>3</v>
      </c>
      <c r="E3652" s="3" t="s">
        <v>4</v>
      </c>
      <c r="F3652" s="2" t="s">
        <v>0</v>
      </c>
      <c r="G3652" s="2" t="s">
        <v>1</v>
      </c>
      <c r="H3652" s="2" t="s">
        <v>2</v>
      </c>
      <c r="I3652" s="2" t="s">
        <v>3</v>
      </c>
      <c r="J3652" s="3" t="s">
        <v>4</v>
      </c>
    </row>
    <row r="3653" spans="1:10">
      <c r="A3653" s="1">
        <v>286492</v>
      </c>
      <c r="B3653" s="1">
        <v>5097290616</v>
      </c>
      <c r="C3653" s="1">
        <v>8</v>
      </c>
      <c r="D3653" s="1" t="s">
        <v>722</v>
      </c>
      <c r="E3653" t="s">
        <v>18058</v>
      </c>
      <c r="F3653" s="1">
        <v>42804</v>
      </c>
      <c r="G3653" s="1">
        <v>7731728210</v>
      </c>
      <c r="H3653" s="1">
        <v>6</v>
      </c>
      <c r="I3653" s="1" t="s">
        <v>1198</v>
      </c>
      <c r="J3653" t="s">
        <v>18059</v>
      </c>
    </row>
    <row r="3654" spans="1:10">
      <c r="A3654" s="1">
        <v>410852</v>
      </c>
      <c r="B3654" s="1">
        <v>5097290400</v>
      </c>
      <c r="C3654" s="1">
        <v>8</v>
      </c>
      <c r="D3654" s="1" t="s">
        <v>1473</v>
      </c>
      <c r="E3654" t="s">
        <v>18060</v>
      </c>
      <c r="F3654" s="1">
        <v>213967</v>
      </c>
      <c r="G3654" s="1">
        <v>7731708211</v>
      </c>
      <c r="H3654" s="1">
        <v>6</v>
      </c>
      <c r="I3654" s="1" t="s">
        <v>1355</v>
      </c>
      <c r="J3654" t="s">
        <v>18061</v>
      </c>
    </row>
    <row r="3655" spans="1:10">
      <c r="A3655" s="1">
        <v>482539</v>
      </c>
      <c r="B3655" s="1">
        <v>5097290600</v>
      </c>
      <c r="C3655" s="1">
        <v>8</v>
      </c>
      <c r="D3655" s="1" t="s">
        <v>1473</v>
      </c>
      <c r="E3655" t="s">
        <v>18062</v>
      </c>
      <c r="F3655" s="1">
        <v>622787</v>
      </c>
      <c r="G3655" s="1">
        <v>7731728217</v>
      </c>
      <c r="H3655" s="1">
        <v>6</v>
      </c>
      <c r="I3655" s="1" t="s">
        <v>1198</v>
      </c>
      <c r="J3655" t="s">
        <v>18063</v>
      </c>
    </row>
    <row r="3656" spans="1:10">
      <c r="A3656" s="1">
        <v>44479</v>
      </c>
      <c r="B3656" s="1">
        <v>5097290106</v>
      </c>
      <c r="C3656" s="1">
        <v>8</v>
      </c>
      <c r="D3656" s="1" t="s">
        <v>1473</v>
      </c>
      <c r="E3656" t="s">
        <v>18064</v>
      </c>
      <c r="F3656" s="1">
        <v>253799</v>
      </c>
      <c r="G3656" s="1">
        <v>7731708217</v>
      </c>
      <c r="H3656" s="1">
        <v>6</v>
      </c>
      <c r="I3656" s="1" t="s">
        <v>1198</v>
      </c>
      <c r="J3656" t="s">
        <v>18065</v>
      </c>
    </row>
    <row r="3657" spans="1:10">
      <c r="A3657" s="1">
        <v>509802</v>
      </c>
      <c r="B3657" s="1">
        <v>5097291200</v>
      </c>
      <c r="C3657" s="1">
        <v>8</v>
      </c>
      <c r="D3657" s="1" t="s">
        <v>1473</v>
      </c>
      <c r="E3657" t="s">
        <v>18066</v>
      </c>
      <c r="F3657" s="1">
        <v>493635</v>
      </c>
      <c r="G3657" s="1">
        <v>7731728235</v>
      </c>
      <c r="H3657" s="1">
        <v>6</v>
      </c>
      <c r="I3657" s="1" t="s">
        <v>1198</v>
      </c>
      <c r="J3657" t="s">
        <v>18067</v>
      </c>
    </row>
    <row r="3658" spans="1:10">
      <c r="A3658" s="1">
        <v>467282</v>
      </c>
      <c r="B3658" s="1">
        <v>5097291102</v>
      </c>
      <c r="C3658" s="1">
        <v>8</v>
      </c>
      <c r="D3658" s="1" t="s">
        <v>1465</v>
      </c>
      <c r="E3658" t="s">
        <v>18068</v>
      </c>
      <c r="F3658" s="1">
        <v>377853</v>
      </c>
      <c r="G3658" s="1">
        <v>7731708235</v>
      </c>
      <c r="H3658" s="1">
        <v>6</v>
      </c>
      <c r="I3658" s="1" t="s">
        <v>1198</v>
      </c>
      <c r="J3658" t="s">
        <v>18069</v>
      </c>
    </row>
    <row r="3659" spans="1:10">
      <c r="A3659" s="1">
        <v>511287</v>
      </c>
      <c r="B3659" s="1">
        <v>1482107803</v>
      </c>
      <c r="C3659" s="1">
        <v>6</v>
      </c>
      <c r="D3659" s="1" t="s">
        <v>1313</v>
      </c>
      <c r="E3659" t="s">
        <v>18070</v>
      </c>
      <c r="F3659" s="1">
        <v>377283</v>
      </c>
      <c r="G3659" s="1">
        <v>7731708410</v>
      </c>
      <c r="H3659" s="1">
        <v>6</v>
      </c>
      <c r="I3659" s="1" t="s">
        <v>1313</v>
      </c>
      <c r="J3659" t="s">
        <v>18071</v>
      </c>
    </row>
    <row r="3660" spans="1:10">
      <c r="A3660" s="1">
        <v>611343</v>
      </c>
      <c r="B3660" s="1">
        <v>1482105807</v>
      </c>
      <c r="C3660" s="1">
        <v>6</v>
      </c>
      <c r="D3660" s="1" t="s">
        <v>439</v>
      </c>
      <c r="E3660" t="s">
        <v>18072</v>
      </c>
      <c r="F3660" s="1">
        <v>158931</v>
      </c>
      <c r="G3660" s="1">
        <v>7731728232</v>
      </c>
      <c r="H3660" s="1">
        <v>6</v>
      </c>
      <c r="I3660" s="1" t="s">
        <v>1198</v>
      </c>
      <c r="J3660" t="s">
        <v>18073</v>
      </c>
    </row>
    <row r="3661" spans="1:10">
      <c r="A3661" s="1">
        <v>327619</v>
      </c>
      <c r="B3661" s="1">
        <v>1482184018</v>
      </c>
      <c r="C3661" s="1">
        <v>12</v>
      </c>
      <c r="D3661" s="1" t="s">
        <v>347</v>
      </c>
      <c r="E3661" t="s">
        <v>18074</v>
      </c>
      <c r="F3661" s="1">
        <v>878421</v>
      </c>
      <c r="G3661" s="1">
        <v>7731728222</v>
      </c>
      <c r="H3661" s="1">
        <v>6</v>
      </c>
      <c r="I3661" s="1" t="s">
        <v>1198</v>
      </c>
      <c r="J3661" t="s">
        <v>18075</v>
      </c>
    </row>
    <row r="3662" spans="1:10">
      <c r="A3662" s="1">
        <v>511329</v>
      </c>
      <c r="B3662" s="1">
        <v>1482105801</v>
      </c>
      <c r="C3662" s="1">
        <v>6</v>
      </c>
      <c r="D3662" s="1" t="s">
        <v>439</v>
      </c>
      <c r="E3662" t="s">
        <v>18076</v>
      </c>
      <c r="F3662" s="1">
        <v>351338</v>
      </c>
      <c r="G3662" s="1">
        <v>7731728424</v>
      </c>
      <c r="H3662" s="1">
        <v>6</v>
      </c>
      <c r="I3662" s="1" t="s">
        <v>1313</v>
      </c>
      <c r="J3662" t="s">
        <v>18077</v>
      </c>
    </row>
    <row r="3663" spans="1:10">
      <c r="A3663" s="1">
        <v>26898</v>
      </c>
      <c r="B3663" s="1">
        <v>4980005965</v>
      </c>
      <c r="C3663" s="1">
        <v>6</v>
      </c>
      <c r="D3663" s="1" t="s">
        <v>553</v>
      </c>
      <c r="E3663" t="s">
        <v>18078</v>
      </c>
      <c r="F3663" s="1">
        <v>394502</v>
      </c>
      <c r="G3663" s="1">
        <v>7731728224</v>
      </c>
      <c r="H3663" s="1">
        <v>6</v>
      </c>
      <c r="I3663" s="1" t="s">
        <v>1198</v>
      </c>
      <c r="J3663" t="s">
        <v>18079</v>
      </c>
    </row>
    <row r="3664" spans="1:10">
      <c r="A3664" s="1">
        <v>226092</v>
      </c>
      <c r="B3664" s="1">
        <v>89366500241</v>
      </c>
      <c r="C3664" s="1">
        <v>6</v>
      </c>
      <c r="D3664" s="1" t="s">
        <v>18080</v>
      </c>
      <c r="E3664" t="s">
        <v>18081</v>
      </c>
      <c r="F3664" s="1">
        <v>326512</v>
      </c>
      <c r="G3664" s="1">
        <v>7731728256</v>
      </c>
      <c r="H3664" s="1">
        <v>6</v>
      </c>
      <c r="I3664" s="1" t="s">
        <v>1198</v>
      </c>
      <c r="J3664" t="s">
        <v>18082</v>
      </c>
    </row>
    <row r="3665" spans="1:10">
      <c r="A3665" s="1">
        <v>149021</v>
      </c>
      <c r="B3665" s="1">
        <v>89366500133</v>
      </c>
      <c r="C3665" s="1">
        <v>6</v>
      </c>
      <c r="D3665" s="1" t="s">
        <v>3271</v>
      </c>
      <c r="E3665" t="s">
        <v>18083</v>
      </c>
      <c r="F3665" s="1">
        <v>376962</v>
      </c>
      <c r="G3665" s="1">
        <v>7731708422</v>
      </c>
      <c r="H3665" s="1">
        <v>6</v>
      </c>
      <c r="I3665" s="1" t="s">
        <v>1313</v>
      </c>
      <c r="J3665" t="s">
        <v>18084</v>
      </c>
    </row>
    <row r="3666" spans="1:10">
      <c r="A3666" s="1">
        <v>140574</v>
      </c>
      <c r="B3666" s="1">
        <v>89366500130</v>
      </c>
      <c r="C3666" s="1">
        <v>6</v>
      </c>
      <c r="D3666" s="1" t="s">
        <v>3271</v>
      </c>
      <c r="E3666" t="s">
        <v>18085</v>
      </c>
      <c r="F3666" s="1">
        <v>851352</v>
      </c>
      <c r="G3666" s="1">
        <v>7731705926</v>
      </c>
      <c r="H3666" s="1">
        <v>48</v>
      </c>
      <c r="I3666" s="1" t="s">
        <v>397</v>
      </c>
      <c r="J3666" t="s">
        <v>18086</v>
      </c>
    </row>
    <row r="3667" spans="1:10" ht="15.75">
      <c r="A3667" s="1">
        <v>325860</v>
      </c>
      <c r="B3667" s="1">
        <v>2770004385</v>
      </c>
      <c r="C3667" s="1">
        <v>6</v>
      </c>
      <c r="D3667" s="1" t="s">
        <v>3309</v>
      </c>
      <c r="E3667" t="s">
        <v>18087</v>
      </c>
      <c r="F3667" s="4" t="s">
        <v>18088</v>
      </c>
      <c r="G3667" s="2"/>
      <c r="H3667" s="2"/>
      <c r="I3667" s="2"/>
      <c r="J3667" s="3"/>
    </row>
    <row r="3668" spans="1:10">
      <c r="A3668" s="1">
        <v>302109</v>
      </c>
      <c r="B3668" s="1">
        <v>2770004389</v>
      </c>
      <c r="C3668" s="1">
        <v>6</v>
      </c>
      <c r="D3668" s="1" t="s">
        <v>3309</v>
      </c>
      <c r="E3668" t="s">
        <v>18089</v>
      </c>
      <c r="F3668" s="2" t="s">
        <v>0</v>
      </c>
      <c r="G3668" s="2" t="s">
        <v>1</v>
      </c>
      <c r="H3668" s="2" t="s">
        <v>2</v>
      </c>
      <c r="I3668" s="2" t="s">
        <v>3</v>
      </c>
      <c r="J3668" s="3" t="s">
        <v>4</v>
      </c>
    </row>
    <row r="3669" spans="1:10">
      <c r="A3669" s="1">
        <v>635003</v>
      </c>
      <c r="B3669" s="1">
        <v>2770004374</v>
      </c>
      <c r="C3669" s="1">
        <v>6</v>
      </c>
      <c r="D3669" s="1" t="s">
        <v>3633</v>
      </c>
      <c r="E3669" t="s">
        <v>18090</v>
      </c>
      <c r="F3669" s="1">
        <v>603407</v>
      </c>
      <c r="G3669" s="1">
        <v>2056900413</v>
      </c>
      <c r="H3669" s="1">
        <v>120</v>
      </c>
      <c r="I3669" s="1" t="s">
        <v>421</v>
      </c>
      <c r="J3669" t="s">
        <v>18091</v>
      </c>
    </row>
    <row r="3670" spans="1:10">
      <c r="A3670" s="1">
        <v>635961</v>
      </c>
      <c r="B3670" s="1">
        <v>2770004380</v>
      </c>
      <c r="C3670" s="1">
        <v>6</v>
      </c>
      <c r="D3670" s="1" t="s">
        <v>3633</v>
      </c>
      <c r="E3670" t="s">
        <v>18092</v>
      </c>
      <c r="F3670" s="1">
        <v>274431</v>
      </c>
      <c r="G3670" s="1">
        <v>2056932000</v>
      </c>
      <c r="H3670" s="1">
        <v>16</v>
      </c>
      <c r="I3670" s="1" t="s">
        <v>546</v>
      </c>
      <c r="J3670" t="s">
        <v>18093</v>
      </c>
    </row>
    <row r="3671" spans="1:10">
      <c r="A3671" s="1">
        <v>636035</v>
      </c>
      <c r="B3671" s="1">
        <v>2770004378</v>
      </c>
      <c r="C3671" s="1">
        <v>6</v>
      </c>
      <c r="D3671" s="1" t="s">
        <v>3633</v>
      </c>
      <c r="E3671" t="s">
        <v>18094</v>
      </c>
      <c r="F3671" s="1">
        <v>363697</v>
      </c>
      <c r="G3671" s="1">
        <v>2056932100</v>
      </c>
      <c r="H3671" s="1">
        <v>16</v>
      </c>
      <c r="I3671" s="1" t="s">
        <v>546</v>
      </c>
      <c r="J3671" t="s">
        <v>18095</v>
      </c>
    </row>
    <row r="3672" spans="1:10">
      <c r="A3672" s="1">
        <v>636670</v>
      </c>
      <c r="B3672" s="1">
        <v>2770004381</v>
      </c>
      <c r="C3672" s="1">
        <v>6</v>
      </c>
      <c r="D3672" s="1" t="s">
        <v>3633</v>
      </c>
      <c r="E3672" t="s">
        <v>18096</v>
      </c>
      <c r="F3672" s="1">
        <v>239129</v>
      </c>
      <c r="G3672" s="1">
        <v>2056933500</v>
      </c>
      <c r="H3672" s="1">
        <v>16</v>
      </c>
      <c r="I3672" s="1" t="s">
        <v>18097</v>
      </c>
      <c r="J3672" t="s">
        <v>18098</v>
      </c>
    </row>
    <row r="3673" spans="1:10">
      <c r="A3673" s="1">
        <v>181206</v>
      </c>
      <c r="B3673" s="1">
        <v>64746610411</v>
      </c>
      <c r="C3673" s="1">
        <v>4</v>
      </c>
      <c r="D3673" s="1" t="s">
        <v>6137</v>
      </c>
      <c r="E3673" t="s">
        <v>18099</v>
      </c>
      <c r="F3673" s="1">
        <v>635847</v>
      </c>
      <c r="G3673" s="1">
        <v>2056900107</v>
      </c>
      <c r="H3673" s="1">
        <v>84</v>
      </c>
      <c r="I3673" s="1" t="s">
        <v>128</v>
      </c>
      <c r="J3673" t="s">
        <v>18100</v>
      </c>
    </row>
    <row r="3674" spans="1:10">
      <c r="A3674" s="1">
        <v>150342</v>
      </c>
      <c r="B3674" s="1">
        <v>64746610415</v>
      </c>
      <c r="C3674" s="1">
        <v>4</v>
      </c>
      <c r="D3674" s="1" t="s">
        <v>6021</v>
      </c>
      <c r="E3674" t="s">
        <v>18101</v>
      </c>
      <c r="F3674" s="1">
        <v>838490</v>
      </c>
      <c r="G3674" s="1">
        <v>2056932513</v>
      </c>
      <c r="H3674" s="1">
        <v>288</v>
      </c>
      <c r="I3674" s="1" t="s">
        <v>18102</v>
      </c>
      <c r="J3674" t="s">
        <v>18103</v>
      </c>
    </row>
    <row r="3675" spans="1:10">
      <c r="A3675" s="1">
        <v>11494</v>
      </c>
      <c r="B3675" s="1">
        <v>64746610416</v>
      </c>
      <c r="C3675" s="1">
        <v>4</v>
      </c>
      <c r="D3675" s="1" t="s">
        <v>6021</v>
      </c>
      <c r="E3675" t="s">
        <v>18104</v>
      </c>
      <c r="F3675" s="1">
        <v>884882</v>
      </c>
      <c r="G3675" s="1">
        <v>2056932511</v>
      </c>
      <c r="H3675" s="1">
        <v>288</v>
      </c>
      <c r="I3675" s="1" t="s">
        <v>18102</v>
      </c>
      <c r="J3675" t="s">
        <v>18105</v>
      </c>
    </row>
    <row r="3676" spans="1:10">
      <c r="A3676" s="1">
        <v>487603</v>
      </c>
      <c r="B3676" s="1">
        <v>7731710210</v>
      </c>
      <c r="C3676" s="1">
        <v>6</v>
      </c>
      <c r="D3676" s="1" t="s">
        <v>722</v>
      </c>
      <c r="E3676" t="s">
        <v>18106</v>
      </c>
      <c r="F3676" s="1">
        <v>674101</v>
      </c>
      <c r="G3676" s="1">
        <v>2056932512</v>
      </c>
      <c r="H3676" s="1">
        <v>288</v>
      </c>
      <c r="I3676" s="1" t="s">
        <v>18102</v>
      </c>
      <c r="J3676" t="s">
        <v>18107</v>
      </c>
    </row>
    <row r="3677" spans="1:10">
      <c r="A3677" s="1">
        <v>254086</v>
      </c>
      <c r="B3677" s="1">
        <v>7731710224</v>
      </c>
      <c r="C3677" s="1">
        <v>6</v>
      </c>
      <c r="D3677" s="1" t="s">
        <v>722</v>
      </c>
      <c r="E3677" t="s">
        <v>18108</v>
      </c>
      <c r="F3677" s="1">
        <v>635854</v>
      </c>
      <c r="G3677" s="1">
        <v>2056900100</v>
      </c>
      <c r="H3677" s="1">
        <v>96</v>
      </c>
      <c r="I3677" s="1" t="s">
        <v>417</v>
      </c>
      <c r="J3677" t="s">
        <v>18109</v>
      </c>
    </row>
    <row r="3678" spans="1:10">
      <c r="A3678" s="1">
        <v>71621</v>
      </c>
      <c r="B3678" s="1">
        <v>7731710256</v>
      </c>
      <c r="C3678" s="1">
        <v>6</v>
      </c>
      <c r="D3678" s="1" t="s">
        <v>722</v>
      </c>
      <c r="E3678" t="s">
        <v>18110</v>
      </c>
      <c r="F3678" s="1">
        <v>842930</v>
      </c>
      <c r="G3678" s="1">
        <v>7626500619</v>
      </c>
      <c r="H3678" s="1">
        <v>8</v>
      </c>
      <c r="I3678" s="1" t="s">
        <v>3633</v>
      </c>
      <c r="J3678" t="s">
        <v>18111</v>
      </c>
    </row>
    <row r="3679" spans="1:10">
      <c r="A3679" s="1">
        <v>571067</v>
      </c>
      <c r="B3679" s="1">
        <v>7731712210</v>
      </c>
      <c r="C3679" s="1">
        <v>6</v>
      </c>
      <c r="D3679" s="1" t="s">
        <v>722</v>
      </c>
      <c r="E3679" t="s">
        <v>18112</v>
      </c>
      <c r="F3679" s="1">
        <v>547513</v>
      </c>
      <c r="G3679" s="1">
        <v>7626500617</v>
      </c>
      <c r="H3679" s="1">
        <v>8</v>
      </c>
      <c r="I3679" s="1" t="s">
        <v>3633</v>
      </c>
      <c r="J3679" t="s">
        <v>18113</v>
      </c>
    </row>
    <row r="3680" spans="1:10" ht="15.75">
      <c r="A3680" s="1">
        <v>272385</v>
      </c>
      <c r="B3680" s="1">
        <v>7731712217</v>
      </c>
      <c r="C3680" s="1">
        <v>6</v>
      </c>
      <c r="D3680" s="1" t="s">
        <v>722</v>
      </c>
      <c r="E3680" t="s">
        <v>18114</v>
      </c>
      <c r="F3680" s="4" t="s">
        <v>18115</v>
      </c>
      <c r="G3680" s="2"/>
      <c r="H3680" s="2"/>
      <c r="I3680" s="2"/>
      <c r="J3680" s="3"/>
    </row>
    <row r="3681" spans="1:10">
      <c r="A3681" s="1">
        <v>529677</v>
      </c>
      <c r="B3681" s="1">
        <v>7731712256</v>
      </c>
      <c r="C3681" s="1">
        <v>6</v>
      </c>
      <c r="D3681" s="1" t="s">
        <v>722</v>
      </c>
      <c r="E3681" t="s">
        <v>18116</v>
      </c>
      <c r="F3681" s="2" t="s">
        <v>0</v>
      </c>
      <c r="G3681" s="2" t="s">
        <v>1</v>
      </c>
      <c r="H3681" s="2" t="s">
        <v>2</v>
      </c>
      <c r="I3681" s="2" t="s">
        <v>3</v>
      </c>
      <c r="J3681" s="3" t="s">
        <v>4</v>
      </c>
    </row>
    <row r="3682" spans="1:10">
      <c r="A3682" s="1">
        <v>521591</v>
      </c>
      <c r="B3682" s="1">
        <v>7731741410</v>
      </c>
      <c r="C3682" s="1">
        <v>24</v>
      </c>
      <c r="D3682" s="1" t="s">
        <v>397</v>
      </c>
      <c r="E3682" t="s">
        <v>18117</v>
      </c>
      <c r="F3682" s="1">
        <v>884163</v>
      </c>
      <c r="G3682" s="1">
        <v>1099500636</v>
      </c>
      <c r="H3682" s="1">
        <v>12</v>
      </c>
      <c r="I3682" s="1" t="s">
        <v>10244</v>
      </c>
      <c r="J3682" t="s">
        <v>18118</v>
      </c>
    </row>
    <row r="3683" spans="1:10">
      <c r="A3683" s="1">
        <v>749705</v>
      </c>
      <c r="B3683" s="1">
        <v>7731740093</v>
      </c>
      <c r="C3683" s="1">
        <v>48</v>
      </c>
      <c r="D3683" s="1" t="s">
        <v>397</v>
      </c>
      <c r="E3683" t="s">
        <v>18119</v>
      </c>
      <c r="F3683" s="1">
        <v>537407</v>
      </c>
      <c r="G3683" s="1">
        <v>3507417746</v>
      </c>
      <c r="H3683" s="1">
        <v>168</v>
      </c>
      <c r="I3683" s="1" t="s">
        <v>15</v>
      </c>
      <c r="J3683" t="s">
        <v>18120</v>
      </c>
    </row>
    <row r="3684" spans="1:10">
      <c r="A3684" s="1">
        <v>251884</v>
      </c>
      <c r="B3684" s="1">
        <v>7731708210</v>
      </c>
      <c r="C3684" s="1">
        <v>6</v>
      </c>
      <c r="D3684" s="1" t="s">
        <v>1198</v>
      </c>
      <c r="E3684" t="s">
        <v>18121</v>
      </c>
      <c r="F3684" s="1">
        <v>322354</v>
      </c>
      <c r="G3684" s="1">
        <v>3836150139</v>
      </c>
      <c r="H3684" s="1">
        <v>96</v>
      </c>
      <c r="I3684" s="1" t="s">
        <v>31</v>
      </c>
      <c r="J3684" t="s">
        <v>18122</v>
      </c>
    </row>
    <row r="3685" spans="1:10">
      <c r="A3685" s="1">
        <v>350132</v>
      </c>
      <c r="B3685" s="1">
        <v>7731708424</v>
      </c>
      <c r="C3685" s="1">
        <v>6</v>
      </c>
      <c r="D3685" s="1" t="s">
        <v>1198</v>
      </c>
      <c r="E3685" t="s">
        <v>18123</v>
      </c>
      <c r="F3685" s="1">
        <v>380477</v>
      </c>
      <c r="G3685" s="1">
        <v>3507417721</v>
      </c>
      <c r="H3685" s="1">
        <v>168</v>
      </c>
      <c r="I3685" s="1" t="s">
        <v>15</v>
      </c>
      <c r="J3685" t="s">
        <v>18124</v>
      </c>
    </row>
    <row r="3686" spans="1:10">
      <c r="A3686" s="1">
        <v>376749</v>
      </c>
      <c r="B3686" s="1">
        <v>7731708122</v>
      </c>
      <c r="C3686" s="1">
        <v>6</v>
      </c>
      <c r="D3686" s="1" t="s">
        <v>637</v>
      </c>
      <c r="E3686" t="s">
        <v>18125</v>
      </c>
      <c r="F3686" s="1">
        <v>285874</v>
      </c>
      <c r="G3686" s="1">
        <v>4113038368</v>
      </c>
      <c r="H3686" s="1">
        <v>16</v>
      </c>
      <c r="I3686" s="1" t="s">
        <v>370</v>
      </c>
      <c r="J3686" t="s">
        <v>18126</v>
      </c>
    </row>
    <row r="3687" spans="1:10">
      <c r="A3687" s="1">
        <v>377978</v>
      </c>
      <c r="B3687" s="1">
        <v>7731708232</v>
      </c>
      <c r="C3687" s="1">
        <v>6</v>
      </c>
      <c r="D3687" s="1" t="s">
        <v>1198</v>
      </c>
      <c r="E3687" t="s">
        <v>18127</v>
      </c>
      <c r="F3687" s="1">
        <v>690719</v>
      </c>
      <c r="G3687" s="1">
        <v>4113038367</v>
      </c>
      <c r="H3687" s="1">
        <v>16</v>
      </c>
      <c r="I3687" s="1" t="s">
        <v>370</v>
      </c>
      <c r="J3687" t="s">
        <v>18128</v>
      </c>
    </row>
    <row r="3688" spans="1:10">
      <c r="A3688" s="1">
        <v>254839</v>
      </c>
      <c r="B3688" s="1">
        <v>7731708224</v>
      </c>
      <c r="C3688" s="1">
        <v>6</v>
      </c>
      <c r="D3688" s="1" t="s">
        <v>1198</v>
      </c>
      <c r="E3688" t="s">
        <v>18129</v>
      </c>
      <c r="F3688" s="1">
        <v>19042</v>
      </c>
      <c r="G3688" s="1">
        <v>7388915243</v>
      </c>
      <c r="H3688" s="1">
        <v>64</v>
      </c>
      <c r="I3688" s="1" t="s">
        <v>510</v>
      </c>
      <c r="J3688" t="s">
        <v>18130</v>
      </c>
    </row>
    <row r="3689" spans="1:10">
      <c r="A3689" s="1">
        <v>253807</v>
      </c>
      <c r="B3689" s="1">
        <v>7731708256</v>
      </c>
      <c r="C3689" s="1">
        <v>6</v>
      </c>
      <c r="D3689" s="1" t="s">
        <v>1198</v>
      </c>
      <c r="E3689" t="s">
        <v>18131</v>
      </c>
      <c r="F3689" s="1">
        <v>490151</v>
      </c>
      <c r="G3689" s="1">
        <v>7388915244</v>
      </c>
      <c r="H3689" s="1">
        <v>64</v>
      </c>
      <c r="I3689" s="1" t="s">
        <v>89</v>
      </c>
      <c r="J3689" t="s">
        <v>18132</v>
      </c>
    </row>
    <row r="3690" spans="1:10">
      <c r="A3690" s="1">
        <v>378315</v>
      </c>
      <c r="B3690" s="1">
        <v>7731728211</v>
      </c>
      <c r="C3690" s="1">
        <v>6</v>
      </c>
      <c r="D3690" s="1" t="s">
        <v>1355</v>
      </c>
      <c r="E3690" t="s">
        <v>18133</v>
      </c>
      <c r="F3690" s="1">
        <v>197350</v>
      </c>
      <c r="G3690" s="1">
        <v>1099500236</v>
      </c>
      <c r="H3690" s="1">
        <v>12</v>
      </c>
      <c r="I3690" s="1" t="s">
        <v>347</v>
      </c>
      <c r="J3690" t="s">
        <v>18134</v>
      </c>
    </row>
    <row r="3691" spans="1:10">
      <c r="A3691" s="1">
        <v>378927</v>
      </c>
      <c r="B3691" s="1">
        <v>7731728410</v>
      </c>
      <c r="C3691" s="1">
        <v>6</v>
      </c>
      <c r="D3691" s="1" t="s">
        <v>1313</v>
      </c>
      <c r="E3691" t="s">
        <v>18135</v>
      </c>
      <c r="F3691" s="1">
        <v>887109</v>
      </c>
      <c r="G3691" s="1">
        <v>1099500128</v>
      </c>
      <c r="H3691" s="1">
        <v>12</v>
      </c>
      <c r="I3691" s="1" t="s">
        <v>347</v>
      </c>
      <c r="J3691" t="s">
        <v>18136</v>
      </c>
    </row>
    <row r="3692" spans="1:10" ht="15.75">
      <c r="A3692" s="4" t="s">
        <v>18115</v>
      </c>
      <c r="B3692" s="2"/>
      <c r="C3692" s="2"/>
      <c r="D3692" s="2"/>
      <c r="E3692" s="3"/>
      <c r="F3692" s="4" t="s">
        <v>18115</v>
      </c>
      <c r="G3692" s="2"/>
      <c r="H3692" s="2"/>
      <c r="I3692" s="2"/>
      <c r="J3692" s="3"/>
    </row>
    <row r="3693" spans="1:10">
      <c r="A3693" s="2" t="s">
        <v>0</v>
      </c>
      <c r="B3693" s="2" t="s">
        <v>1</v>
      </c>
      <c r="C3693" s="2" t="s">
        <v>2</v>
      </c>
      <c r="D3693" s="2" t="s">
        <v>3</v>
      </c>
      <c r="E3693" s="3" t="s">
        <v>4</v>
      </c>
      <c r="F3693" s="2" t="s">
        <v>0</v>
      </c>
      <c r="G3693" s="2" t="s">
        <v>1</v>
      </c>
      <c r="H3693" s="2" t="s">
        <v>2</v>
      </c>
      <c r="I3693" s="2" t="s">
        <v>3</v>
      </c>
      <c r="J3693" s="3" t="s">
        <v>4</v>
      </c>
    </row>
    <row r="3694" spans="1:10">
      <c r="A3694" s="1">
        <v>755058</v>
      </c>
      <c r="B3694" s="1">
        <v>1099500962</v>
      </c>
      <c r="C3694" s="1">
        <v>12</v>
      </c>
      <c r="D3694" s="1" t="s">
        <v>7</v>
      </c>
      <c r="E3694" t="s">
        <v>18137</v>
      </c>
      <c r="F3694" s="1">
        <v>422931</v>
      </c>
      <c r="G3694" s="1">
        <v>3354727836</v>
      </c>
      <c r="H3694" s="1">
        <v>10</v>
      </c>
      <c r="I3694" s="1" t="s">
        <v>439</v>
      </c>
      <c r="J3694" t="s">
        <v>18138</v>
      </c>
    </row>
    <row r="3695" spans="1:10">
      <c r="A3695" s="1">
        <v>887208</v>
      </c>
      <c r="B3695" s="1">
        <v>1099500237</v>
      </c>
      <c r="C3695" s="1">
        <v>12</v>
      </c>
      <c r="D3695" s="1" t="s">
        <v>347</v>
      </c>
      <c r="E3695" t="s">
        <v>18139</v>
      </c>
      <c r="F3695" s="1">
        <v>210070</v>
      </c>
      <c r="G3695" s="1">
        <v>5960800793</v>
      </c>
      <c r="H3695" s="1">
        <v>12</v>
      </c>
      <c r="I3695" s="1" t="s">
        <v>259</v>
      </c>
      <c r="J3695" t="s">
        <v>18140</v>
      </c>
    </row>
    <row r="3696" spans="1:10">
      <c r="A3696" s="1">
        <v>887117</v>
      </c>
      <c r="B3696" s="1">
        <v>1099500127</v>
      </c>
      <c r="C3696" s="1">
        <v>12</v>
      </c>
      <c r="D3696" s="1" t="s">
        <v>347</v>
      </c>
      <c r="E3696" t="s">
        <v>18141</v>
      </c>
      <c r="F3696" s="1">
        <v>733717</v>
      </c>
      <c r="G3696" s="1">
        <v>5960800764</v>
      </c>
      <c r="H3696" s="1">
        <v>8</v>
      </c>
      <c r="I3696" s="1" t="s">
        <v>17340</v>
      </c>
      <c r="J3696" t="s">
        <v>18142</v>
      </c>
    </row>
    <row r="3697" spans="1:10">
      <c r="A3697" s="1">
        <v>261818</v>
      </c>
      <c r="B3697" s="1">
        <v>1099500961</v>
      </c>
      <c r="C3697" s="1">
        <v>12</v>
      </c>
      <c r="D3697" s="1" t="s">
        <v>7</v>
      </c>
      <c r="E3697" t="s">
        <v>18143</v>
      </c>
      <c r="F3697" s="1">
        <v>614701</v>
      </c>
      <c r="G3697" s="1">
        <v>5960800794</v>
      </c>
      <c r="H3697" s="1">
        <v>12</v>
      </c>
      <c r="I3697" s="1" t="s">
        <v>259</v>
      </c>
      <c r="J3697" t="s">
        <v>18144</v>
      </c>
    </row>
    <row r="3698" spans="1:10">
      <c r="A3698" s="1">
        <v>511691</v>
      </c>
      <c r="B3698" s="1">
        <v>1099500717</v>
      </c>
      <c r="C3698" s="1">
        <v>60</v>
      </c>
      <c r="D3698" s="1" t="s">
        <v>410</v>
      </c>
      <c r="E3698" t="s">
        <v>18145</v>
      </c>
      <c r="F3698" s="1">
        <v>609222</v>
      </c>
      <c r="G3698" s="1">
        <v>5960800790</v>
      </c>
      <c r="H3698" s="1">
        <v>8</v>
      </c>
      <c r="I3698" s="1" t="s">
        <v>381</v>
      </c>
      <c r="J3698" t="s">
        <v>18146</v>
      </c>
    </row>
    <row r="3699" spans="1:10">
      <c r="A3699" s="1">
        <v>254334</v>
      </c>
      <c r="B3699" s="1">
        <v>1099500716</v>
      </c>
      <c r="C3699" s="1">
        <v>60</v>
      </c>
      <c r="D3699" s="1" t="s">
        <v>410</v>
      </c>
      <c r="E3699" t="s">
        <v>18147</v>
      </c>
      <c r="F3699" s="1">
        <v>609024</v>
      </c>
      <c r="G3699" s="1">
        <v>5960800791</v>
      </c>
      <c r="H3699" s="1">
        <v>8</v>
      </c>
      <c r="I3699" s="1" t="s">
        <v>381</v>
      </c>
      <c r="J3699" t="s">
        <v>18148</v>
      </c>
    </row>
    <row r="3700" spans="1:10">
      <c r="A3700" s="1">
        <v>214056</v>
      </c>
      <c r="B3700" s="1">
        <v>1099500234</v>
      </c>
      <c r="C3700" s="1">
        <v>12</v>
      </c>
      <c r="D3700" s="1" t="s">
        <v>347</v>
      </c>
      <c r="E3700" t="s">
        <v>18149</v>
      </c>
      <c r="F3700" s="1">
        <v>609032</v>
      </c>
      <c r="G3700" s="1">
        <v>5960800789</v>
      </c>
      <c r="H3700" s="1">
        <v>8</v>
      </c>
      <c r="I3700" s="1" t="s">
        <v>381</v>
      </c>
      <c r="J3700" t="s">
        <v>18150</v>
      </c>
    </row>
    <row r="3701" spans="1:10">
      <c r="A3701" s="1">
        <v>490078</v>
      </c>
      <c r="B3701" s="1">
        <v>1099500235</v>
      </c>
      <c r="C3701" s="1">
        <v>12</v>
      </c>
      <c r="D3701" s="1" t="s">
        <v>347</v>
      </c>
      <c r="E3701" t="s">
        <v>18151</v>
      </c>
      <c r="F3701" s="1">
        <v>603274</v>
      </c>
      <c r="G3701" s="1">
        <v>5960800795</v>
      </c>
      <c r="H3701" s="1">
        <v>12</v>
      </c>
      <c r="I3701" s="1" t="s">
        <v>259</v>
      </c>
      <c r="J3701" t="s">
        <v>18152</v>
      </c>
    </row>
    <row r="3702" spans="1:10">
      <c r="A3702" s="1">
        <v>883215</v>
      </c>
      <c r="B3702" s="1">
        <v>1099500794</v>
      </c>
      <c r="C3702" s="1">
        <v>16</v>
      </c>
      <c r="D3702" s="1" t="s">
        <v>489</v>
      </c>
      <c r="E3702" t="s">
        <v>18153</v>
      </c>
      <c r="F3702" s="1">
        <v>580969</v>
      </c>
      <c r="G3702" s="1">
        <v>5960800766</v>
      </c>
      <c r="H3702" s="1">
        <v>8</v>
      </c>
      <c r="I3702" s="1" t="s">
        <v>18154</v>
      </c>
      <c r="J3702" t="s">
        <v>18155</v>
      </c>
    </row>
    <row r="3703" spans="1:10">
      <c r="A3703" s="1">
        <v>212696</v>
      </c>
      <c r="B3703" s="1">
        <v>1099500795</v>
      </c>
      <c r="C3703" s="1">
        <v>16</v>
      </c>
      <c r="D3703" s="1" t="s">
        <v>489</v>
      </c>
      <c r="E3703" t="s">
        <v>18156</v>
      </c>
      <c r="F3703" s="1">
        <v>629238</v>
      </c>
      <c r="G3703" s="1">
        <v>4980011674</v>
      </c>
      <c r="H3703" s="1">
        <v>144</v>
      </c>
      <c r="I3703" s="1" t="s">
        <v>312</v>
      </c>
      <c r="J3703" t="s">
        <v>18157</v>
      </c>
    </row>
    <row r="3704" spans="1:10">
      <c r="A3704" s="1">
        <v>67843</v>
      </c>
      <c r="B3704" s="1">
        <v>1099500910</v>
      </c>
      <c r="C3704" s="1">
        <v>336</v>
      </c>
      <c r="D3704" s="1" t="s">
        <v>404</v>
      </c>
      <c r="E3704" t="s">
        <v>18158</v>
      </c>
      <c r="F3704" s="1">
        <v>594275</v>
      </c>
      <c r="G3704" s="1">
        <v>75090303499</v>
      </c>
      <c r="H3704" s="1">
        <v>144</v>
      </c>
      <c r="I3704" s="1" t="s">
        <v>18159</v>
      </c>
      <c r="J3704" t="s">
        <v>18160</v>
      </c>
    </row>
    <row r="3705" spans="1:10">
      <c r="A3705" s="1">
        <v>285205</v>
      </c>
      <c r="B3705" s="1">
        <v>1099500641</v>
      </c>
      <c r="C3705" s="1">
        <v>16</v>
      </c>
      <c r="D3705" s="1" t="s">
        <v>59</v>
      </c>
      <c r="E3705" t="s">
        <v>18161</v>
      </c>
      <c r="F3705" s="1">
        <v>273318</v>
      </c>
      <c r="G3705" s="1">
        <v>75090303474</v>
      </c>
      <c r="H3705" s="1">
        <v>144</v>
      </c>
      <c r="I3705" s="1" t="s">
        <v>18159</v>
      </c>
      <c r="J3705" t="s">
        <v>18162</v>
      </c>
    </row>
    <row r="3706" spans="1:10" ht="15.75">
      <c r="A3706" s="1">
        <v>212761</v>
      </c>
      <c r="B3706" s="1">
        <v>1099500126</v>
      </c>
      <c r="C3706" s="1">
        <v>16</v>
      </c>
      <c r="D3706" s="1" t="s">
        <v>489</v>
      </c>
      <c r="E3706" t="s">
        <v>18163</v>
      </c>
      <c r="F3706" s="4" t="s">
        <v>18164</v>
      </c>
      <c r="G3706" s="2"/>
      <c r="H3706" s="2"/>
      <c r="I3706" s="2"/>
      <c r="J3706" s="3"/>
    </row>
    <row r="3707" spans="1:10">
      <c r="A3707" s="1">
        <v>836726</v>
      </c>
      <c r="B3707" s="1">
        <v>1099500125</v>
      </c>
      <c r="C3707" s="1">
        <v>16</v>
      </c>
      <c r="D3707" s="1" t="s">
        <v>489</v>
      </c>
      <c r="E3707" t="s">
        <v>18165</v>
      </c>
      <c r="F3707" s="2" t="s">
        <v>0</v>
      </c>
      <c r="G3707" s="2" t="s">
        <v>1</v>
      </c>
      <c r="H3707" s="2" t="s">
        <v>2</v>
      </c>
      <c r="I3707" s="2" t="s">
        <v>3</v>
      </c>
      <c r="J3707" s="3" t="s">
        <v>4</v>
      </c>
    </row>
    <row r="3708" spans="1:10">
      <c r="A3708" s="1">
        <v>885392</v>
      </c>
      <c r="B3708" s="1">
        <v>7225001075</v>
      </c>
      <c r="C3708" s="1">
        <v>16</v>
      </c>
      <c r="D3708" s="1" t="s">
        <v>370</v>
      </c>
      <c r="E3708" t="s">
        <v>18166</v>
      </c>
      <c r="F3708" s="1">
        <v>661207</v>
      </c>
      <c r="G3708" s="1">
        <v>1628909602</v>
      </c>
      <c r="H3708" s="1">
        <v>6</v>
      </c>
      <c r="I3708" s="1" t="s">
        <v>404</v>
      </c>
      <c r="J3708" t="s">
        <v>18167</v>
      </c>
    </row>
    <row r="3709" spans="1:10">
      <c r="A3709" s="1">
        <v>885442</v>
      </c>
      <c r="B3709" s="1">
        <v>7225001085</v>
      </c>
      <c r="C3709" s="1">
        <v>16</v>
      </c>
      <c r="D3709" s="1" t="s">
        <v>363</v>
      </c>
      <c r="E3709" t="s">
        <v>18168</v>
      </c>
      <c r="F3709" s="1">
        <v>392035</v>
      </c>
      <c r="G3709" s="1">
        <v>1628909607</v>
      </c>
      <c r="H3709" s="1">
        <v>6</v>
      </c>
      <c r="I3709" s="1" t="s">
        <v>404</v>
      </c>
      <c r="J3709" t="s">
        <v>18169</v>
      </c>
    </row>
    <row r="3710" spans="1:10">
      <c r="A3710" s="1">
        <v>499749</v>
      </c>
      <c r="B3710" s="1">
        <v>7225001083</v>
      </c>
      <c r="C3710" s="1">
        <v>16</v>
      </c>
      <c r="D3710" s="1" t="s">
        <v>1096</v>
      </c>
      <c r="E3710" t="s">
        <v>18170</v>
      </c>
      <c r="F3710" s="1">
        <v>502708</v>
      </c>
      <c r="G3710" s="1">
        <v>1628909606</v>
      </c>
      <c r="H3710" s="1">
        <v>6</v>
      </c>
      <c r="I3710" s="1" t="s">
        <v>404</v>
      </c>
      <c r="J3710" t="s">
        <v>18171</v>
      </c>
    </row>
    <row r="3711" spans="1:10">
      <c r="A3711" s="1">
        <v>499764</v>
      </c>
      <c r="B3711" s="1">
        <v>7225001084</v>
      </c>
      <c r="C3711" s="1">
        <v>16</v>
      </c>
      <c r="D3711" s="1" t="s">
        <v>8481</v>
      </c>
      <c r="E3711" t="s">
        <v>18172</v>
      </c>
      <c r="F3711" s="1">
        <v>28480</v>
      </c>
      <c r="G3711" s="1">
        <v>1628909603</v>
      </c>
      <c r="H3711" s="1">
        <v>6</v>
      </c>
      <c r="I3711" s="1" t="s">
        <v>404</v>
      </c>
      <c r="J3711" t="s">
        <v>18173</v>
      </c>
    </row>
    <row r="3712" spans="1:10">
      <c r="A3712" s="1">
        <v>885376</v>
      </c>
      <c r="B3712" s="1">
        <v>7225001077</v>
      </c>
      <c r="C3712" s="1">
        <v>16</v>
      </c>
      <c r="D3712" s="1" t="s">
        <v>546</v>
      </c>
      <c r="E3712" t="s">
        <v>18174</v>
      </c>
      <c r="F3712" s="1">
        <v>560102</v>
      </c>
      <c r="G3712" s="1">
        <v>82415302218</v>
      </c>
      <c r="H3712" s="1">
        <v>24</v>
      </c>
      <c r="I3712" s="1" t="s">
        <v>347</v>
      </c>
      <c r="J3712" t="s">
        <v>18175</v>
      </c>
    </row>
    <row r="3713" spans="1:10">
      <c r="A3713" s="1">
        <v>887935</v>
      </c>
      <c r="B3713" s="1">
        <v>7225000723</v>
      </c>
      <c r="C3713" s="1">
        <v>48</v>
      </c>
      <c r="D3713" s="1" t="s">
        <v>394</v>
      </c>
      <c r="E3713" t="s">
        <v>18176</v>
      </c>
      <c r="F3713" s="1">
        <v>742585</v>
      </c>
      <c r="G3713" s="1">
        <v>70897111879</v>
      </c>
      <c r="H3713" s="1">
        <v>12</v>
      </c>
      <c r="I3713" s="1" t="s">
        <v>10</v>
      </c>
      <c r="J3713" t="s">
        <v>18177</v>
      </c>
    </row>
    <row r="3714" spans="1:10">
      <c r="A3714" s="1">
        <v>573451</v>
      </c>
      <c r="B3714" s="1">
        <v>7225090411</v>
      </c>
      <c r="C3714" s="1">
        <v>16</v>
      </c>
      <c r="D3714" s="1" t="s">
        <v>347</v>
      </c>
      <c r="E3714" t="s">
        <v>15118</v>
      </c>
      <c r="F3714" s="1">
        <v>54965</v>
      </c>
      <c r="G3714" s="1">
        <v>2449704375</v>
      </c>
      <c r="H3714" s="1">
        <v>108</v>
      </c>
      <c r="I3714" s="1" t="s">
        <v>14</v>
      </c>
      <c r="J3714" t="s">
        <v>18178</v>
      </c>
    </row>
    <row r="3715" spans="1:10">
      <c r="A3715" s="1">
        <v>786863</v>
      </c>
      <c r="B3715" s="1">
        <v>7225000820</v>
      </c>
      <c r="C3715" s="1">
        <v>36</v>
      </c>
      <c r="D3715" s="1" t="s">
        <v>397</v>
      </c>
      <c r="E3715" t="s">
        <v>18179</v>
      </c>
      <c r="F3715" s="1">
        <v>881730</v>
      </c>
      <c r="G3715" s="1">
        <v>70640914401</v>
      </c>
      <c r="H3715" s="1">
        <v>20</v>
      </c>
      <c r="I3715" s="1" t="s">
        <v>31</v>
      </c>
      <c r="J3715" t="s">
        <v>18180</v>
      </c>
    </row>
    <row r="3716" spans="1:10">
      <c r="A3716" s="1">
        <v>887943</v>
      </c>
      <c r="B3716" s="1">
        <v>7225000765</v>
      </c>
      <c r="C3716" s="1">
        <v>48</v>
      </c>
      <c r="D3716" s="1" t="s">
        <v>404</v>
      </c>
      <c r="E3716" t="s">
        <v>18181</v>
      </c>
      <c r="F3716" s="1">
        <v>353110</v>
      </c>
      <c r="G3716" s="1">
        <v>70640912002</v>
      </c>
      <c r="H3716" s="1">
        <v>28</v>
      </c>
      <c r="I3716" s="1" t="s">
        <v>5384</v>
      </c>
      <c r="J3716" t="s">
        <v>18182</v>
      </c>
    </row>
    <row r="3717" spans="1:10">
      <c r="A3717" s="1">
        <v>775965</v>
      </c>
      <c r="B3717" s="1">
        <v>7225090407</v>
      </c>
      <c r="C3717" s="1">
        <v>16</v>
      </c>
      <c r="D3717" s="1" t="s">
        <v>370</v>
      </c>
      <c r="E3717" t="s">
        <v>15120</v>
      </c>
      <c r="F3717" s="1">
        <v>498428</v>
      </c>
      <c r="G3717" s="1">
        <v>70640914452</v>
      </c>
      <c r="H3717" s="1">
        <v>24</v>
      </c>
      <c r="I3717" s="1" t="s">
        <v>91</v>
      </c>
      <c r="J3717" t="s">
        <v>18183</v>
      </c>
    </row>
    <row r="3718" spans="1:10">
      <c r="A3718" s="1">
        <v>191544</v>
      </c>
      <c r="B3718" s="1">
        <v>7225000055</v>
      </c>
      <c r="C3718" s="1">
        <v>36</v>
      </c>
      <c r="D3718" s="1" t="s">
        <v>645</v>
      </c>
      <c r="E3718" t="s">
        <v>18184</v>
      </c>
      <c r="F3718" s="1">
        <v>89151</v>
      </c>
      <c r="G3718" s="1">
        <v>70640914451</v>
      </c>
      <c r="H3718" s="1">
        <v>24</v>
      </c>
      <c r="I3718" s="1" t="s">
        <v>91</v>
      </c>
      <c r="J3718" t="s">
        <v>18185</v>
      </c>
    </row>
    <row r="3719" spans="1:10">
      <c r="A3719" s="1">
        <v>590398</v>
      </c>
      <c r="B3719" s="1">
        <v>77098104275</v>
      </c>
      <c r="C3719" s="1">
        <v>16</v>
      </c>
      <c r="D3719" s="1" t="s">
        <v>599</v>
      </c>
      <c r="E3719" t="s">
        <v>18186</v>
      </c>
      <c r="F3719" s="1">
        <v>213694</v>
      </c>
      <c r="G3719" s="1">
        <v>70640912125</v>
      </c>
      <c r="H3719" s="1">
        <v>20</v>
      </c>
      <c r="I3719" s="1" t="s">
        <v>31</v>
      </c>
      <c r="J3719" t="s">
        <v>18187</v>
      </c>
    </row>
    <row r="3720" spans="1:10">
      <c r="A3720" s="1">
        <v>654665</v>
      </c>
      <c r="B3720" s="1">
        <v>77098104285</v>
      </c>
      <c r="C3720" s="1">
        <v>16</v>
      </c>
      <c r="D3720" s="1" t="s">
        <v>599</v>
      </c>
      <c r="E3720" t="s">
        <v>18188</v>
      </c>
      <c r="F3720" s="1">
        <v>148247</v>
      </c>
      <c r="G3720" s="1">
        <v>70640914422</v>
      </c>
      <c r="H3720" s="1">
        <v>24</v>
      </c>
      <c r="I3720" s="1" t="s">
        <v>31</v>
      </c>
      <c r="J3720" t="s">
        <v>18189</v>
      </c>
    </row>
    <row r="3721" spans="1:10">
      <c r="A3721" s="1">
        <v>464040</v>
      </c>
      <c r="B3721" s="1">
        <v>77098105101</v>
      </c>
      <c r="C3721" s="1">
        <v>10</v>
      </c>
      <c r="D3721" s="1" t="s">
        <v>910</v>
      </c>
      <c r="E3721" t="s">
        <v>18190</v>
      </c>
      <c r="F3721" s="1">
        <v>106310</v>
      </c>
      <c r="G3721" s="1">
        <v>70640914507</v>
      </c>
      <c r="H3721" s="1">
        <v>24</v>
      </c>
      <c r="I3721" s="1" t="s">
        <v>91</v>
      </c>
      <c r="J3721" t="s">
        <v>18191</v>
      </c>
    </row>
    <row r="3722" spans="1:10">
      <c r="A3722" s="1">
        <v>435396</v>
      </c>
      <c r="B3722" s="1">
        <v>77098104250</v>
      </c>
      <c r="C3722" s="1">
        <v>16</v>
      </c>
      <c r="D3722" s="1" t="s">
        <v>599</v>
      </c>
      <c r="E3722" t="s">
        <v>18192</v>
      </c>
      <c r="F3722" s="1">
        <v>168997</v>
      </c>
      <c r="G3722" s="1">
        <v>70640914505</v>
      </c>
      <c r="H3722" s="1">
        <v>24</v>
      </c>
      <c r="I3722" s="1" t="s">
        <v>103</v>
      </c>
      <c r="J3722" t="s">
        <v>18193</v>
      </c>
    </row>
    <row r="3723" spans="1:10">
      <c r="A3723" s="1">
        <v>734475</v>
      </c>
      <c r="B3723" s="1">
        <v>77098102210</v>
      </c>
      <c r="C3723" s="1">
        <v>12</v>
      </c>
      <c r="D3723" s="1" t="s">
        <v>4979</v>
      </c>
      <c r="E3723" t="s">
        <v>18194</v>
      </c>
      <c r="F3723" s="1">
        <v>180661</v>
      </c>
      <c r="G3723" s="1">
        <v>70640974418</v>
      </c>
      <c r="H3723" s="1">
        <v>24</v>
      </c>
      <c r="I3723" s="1" t="s">
        <v>31</v>
      </c>
      <c r="J3723" t="s">
        <v>18195</v>
      </c>
    </row>
    <row r="3724" spans="1:10">
      <c r="A3724" s="1">
        <v>734483</v>
      </c>
      <c r="B3724" s="1">
        <v>77098102200</v>
      </c>
      <c r="C3724" s="1">
        <v>12</v>
      </c>
      <c r="D3724" s="1" t="s">
        <v>632</v>
      </c>
      <c r="E3724" t="s">
        <v>18196</v>
      </c>
      <c r="F3724" s="1">
        <v>269498</v>
      </c>
      <c r="G3724" s="1">
        <v>70640914536</v>
      </c>
      <c r="H3724" s="1">
        <v>24</v>
      </c>
      <c r="I3724" s="1" t="s">
        <v>31</v>
      </c>
      <c r="J3724" t="s">
        <v>18197</v>
      </c>
    </row>
    <row r="3725" spans="1:10">
      <c r="A3725" s="1">
        <v>165548</v>
      </c>
      <c r="B3725" s="1">
        <v>77098102250</v>
      </c>
      <c r="C3725" s="1">
        <v>12</v>
      </c>
      <c r="D3725" s="1" t="s">
        <v>632</v>
      </c>
      <c r="E3725" t="s">
        <v>18198</v>
      </c>
      <c r="F3725" s="1">
        <v>446674</v>
      </c>
      <c r="G3725" s="1">
        <v>70640914535</v>
      </c>
      <c r="H3725" s="1">
        <v>24</v>
      </c>
      <c r="I3725" s="1" t="s">
        <v>31</v>
      </c>
      <c r="J3725" t="s">
        <v>18199</v>
      </c>
    </row>
    <row r="3726" spans="1:10">
      <c r="A3726" s="1">
        <v>748517</v>
      </c>
      <c r="B3726" s="1">
        <v>7455503684</v>
      </c>
      <c r="C3726" s="1">
        <v>15</v>
      </c>
      <c r="D3726" s="1" t="s">
        <v>363</v>
      </c>
      <c r="E3726" t="s">
        <v>18200</v>
      </c>
      <c r="F3726" s="1">
        <v>652578</v>
      </c>
      <c r="G3726" s="1">
        <v>70640914001</v>
      </c>
      <c r="H3726" s="1">
        <v>24</v>
      </c>
      <c r="I3726" s="1" t="s">
        <v>91</v>
      </c>
      <c r="J3726" t="s">
        <v>18201</v>
      </c>
    </row>
    <row r="3727" spans="1:10">
      <c r="A3727" s="1">
        <v>673632</v>
      </c>
      <c r="B3727" s="1">
        <v>7455503821</v>
      </c>
      <c r="C3727" s="1">
        <v>18</v>
      </c>
      <c r="D3727" s="1" t="s">
        <v>59</v>
      </c>
      <c r="E3727" t="s">
        <v>18202</v>
      </c>
      <c r="F3727" s="1">
        <v>339259</v>
      </c>
      <c r="G3727" s="1">
        <v>2951908917</v>
      </c>
      <c r="H3727" s="1">
        <v>4</v>
      </c>
      <c r="I3727" s="1" t="s">
        <v>16824</v>
      </c>
      <c r="J3727" t="s">
        <v>18203</v>
      </c>
    </row>
    <row r="3728" spans="1:10">
      <c r="A3728" s="1">
        <v>567974</v>
      </c>
      <c r="B3728" s="1">
        <v>7455503822</v>
      </c>
      <c r="C3728" s="1">
        <v>18</v>
      </c>
      <c r="D3728" s="1" t="s">
        <v>59</v>
      </c>
      <c r="E3728" t="s">
        <v>18204</v>
      </c>
      <c r="F3728" s="1">
        <v>339192</v>
      </c>
      <c r="G3728" s="1">
        <v>2951908919</v>
      </c>
      <c r="H3728" s="1">
        <v>4</v>
      </c>
      <c r="I3728" s="1" t="s">
        <v>6137</v>
      </c>
      <c r="J3728" t="s">
        <v>18205</v>
      </c>
    </row>
    <row r="3729" spans="1:10">
      <c r="A3729" s="1">
        <v>760066</v>
      </c>
      <c r="B3729" s="1">
        <v>70624599012</v>
      </c>
      <c r="C3729" s="1">
        <v>24</v>
      </c>
      <c r="D3729" s="1" t="s">
        <v>360</v>
      </c>
      <c r="E3729" t="s">
        <v>18206</v>
      </c>
      <c r="F3729" s="1">
        <v>620989</v>
      </c>
      <c r="G3729" s="1">
        <v>3446914727</v>
      </c>
      <c r="H3729" s="1">
        <v>4</v>
      </c>
      <c r="I3729" s="1" t="s">
        <v>865</v>
      </c>
      <c r="J3729" t="s">
        <v>18207</v>
      </c>
    </row>
    <row r="3730" spans="1:10">
      <c r="A3730" s="1">
        <v>283960</v>
      </c>
      <c r="B3730" s="1">
        <v>70624599014</v>
      </c>
      <c r="C3730" s="1">
        <v>24</v>
      </c>
      <c r="D3730" s="1" t="s">
        <v>360</v>
      </c>
      <c r="E3730" t="s">
        <v>18208</v>
      </c>
      <c r="F3730" s="1">
        <v>600783</v>
      </c>
      <c r="G3730" s="1">
        <v>3446966101</v>
      </c>
      <c r="H3730" s="1">
        <v>6</v>
      </c>
      <c r="I3730" s="1" t="s">
        <v>943</v>
      </c>
      <c r="J3730" t="s">
        <v>18209</v>
      </c>
    </row>
    <row r="3731" spans="1:10">
      <c r="A3731" s="1">
        <v>381921</v>
      </c>
      <c r="B3731" s="1">
        <v>70624501013</v>
      </c>
      <c r="C3731" s="1">
        <v>24</v>
      </c>
      <c r="D3731" s="1" t="s">
        <v>360</v>
      </c>
      <c r="E3731" t="s">
        <v>18210</v>
      </c>
      <c r="F3731" s="1">
        <v>620997</v>
      </c>
      <c r="G3731" s="1">
        <v>3446914728</v>
      </c>
      <c r="H3731" s="1">
        <v>4</v>
      </c>
      <c r="I3731" s="1" t="s">
        <v>2244</v>
      </c>
      <c r="J3731" t="s">
        <v>18211</v>
      </c>
    </row>
    <row r="3732" spans="1:10">
      <c r="A3732" s="1">
        <v>699926</v>
      </c>
      <c r="B3732" s="1">
        <v>70624501014</v>
      </c>
      <c r="C3732" s="1">
        <v>24</v>
      </c>
      <c r="D3732" s="1" t="s">
        <v>360</v>
      </c>
      <c r="E3732" t="s">
        <v>18212</v>
      </c>
      <c r="F3732" s="1">
        <v>176024</v>
      </c>
      <c r="G3732" s="1">
        <v>2951913294</v>
      </c>
      <c r="H3732" s="1">
        <v>4</v>
      </c>
      <c r="I3732" s="1" t="s">
        <v>6021</v>
      </c>
      <c r="J3732" t="s">
        <v>18213</v>
      </c>
    </row>
    <row r="3733" spans="1:10" ht="15.75">
      <c r="A3733" s="4" t="s">
        <v>18164</v>
      </c>
      <c r="B3733" s="2"/>
      <c r="C3733" s="2"/>
      <c r="D3733" s="2"/>
      <c r="E3733" s="3"/>
      <c r="F3733" s="4" t="s">
        <v>18164</v>
      </c>
      <c r="G3733" s="2"/>
      <c r="H3733" s="2"/>
      <c r="I3733" s="2"/>
      <c r="J3733" s="3"/>
    </row>
    <row r="3734" spans="1:10">
      <c r="A3734" s="2" t="s">
        <v>0</v>
      </c>
      <c r="B3734" s="2" t="s">
        <v>1</v>
      </c>
      <c r="C3734" s="2" t="s">
        <v>2</v>
      </c>
      <c r="D3734" s="2" t="s">
        <v>3</v>
      </c>
      <c r="E3734" s="3" t="s">
        <v>4</v>
      </c>
      <c r="F3734" s="2" t="s">
        <v>0</v>
      </c>
      <c r="G3734" s="2" t="s">
        <v>1</v>
      </c>
      <c r="H3734" s="2" t="s">
        <v>2</v>
      </c>
      <c r="I3734" s="2" t="s">
        <v>3</v>
      </c>
      <c r="J3734" s="3" t="s">
        <v>4</v>
      </c>
    </row>
    <row r="3735" spans="1:10">
      <c r="A3735" s="1">
        <v>621037</v>
      </c>
      <c r="B3735" s="1">
        <v>3446996840</v>
      </c>
      <c r="C3735" s="1">
        <v>4</v>
      </c>
      <c r="D3735" s="1" t="s">
        <v>4856</v>
      </c>
      <c r="E3735" t="s">
        <v>18214</v>
      </c>
      <c r="F3735" s="1">
        <v>743971</v>
      </c>
      <c r="G3735" s="1">
        <v>1482120887</v>
      </c>
      <c r="H3735" s="1">
        <v>8</v>
      </c>
      <c r="I3735" s="1" t="s">
        <v>910</v>
      </c>
      <c r="J3735" t="s">
        <v>18215</v>
      </c>
    </row>
    <row r="3736" spans="1:10">
      <c r="A3736" s="1">
        <v>339143</v>
      </c>
      <c r="B3736" s="1">
        <v>2951908108</v>
      </c>
      <c r="C3736" s="1">
        <v>8</v>
      </c>
      <c r="D3736" s="1" t="s">
        <v>1313</v>
      </c>
      <c r="E3736" t="s">
        <v>18216</v>
      </c>
      <c r="F3736" s="1">
        <v>578708</v>
      </c>
      <c r="G3736" s="1">
        <v>1482120885</v>
      </c>
      <c r="H3736" s="1">
        <v>8</v>
      </c>
      <c r="I3736" s="1" t="s">
        <v>910</v>
      </c>
      <c r="J3736" t="s">
        <v>18217</v>
      </c>
    </row>
    <row r="3737" spans="1:10">
      <c r="A3737" s="1">
        <v>621029</v>
      </c>
      <c r="B3737" s="1">
        <v>3446914725</v>
      </c>
      <c r="C3737" s="1">
        <v>4</v>
      </c>
      <c r="D3737" s="1" t="s">
        <v>954</v>
      </c>
      <c r="E3737" t="s">
        <v>18218</v>
      </c>
      <c r="F3737" s="1">
        <v>887026</v>
      </c>
      <c r="G3737" s="1">
        <v>7455503513</v>
      </c>
      <c r="H3737" s="1">
        <v>6</v>
      </c>
      <c r="I3737" s="1" t="s">
        <v>574</v>
      </c>
      <c r="J3737" t="s">
        <v>18219</v>
      </c>
    </row>
    <row r="3738" spans="1:10">
      <c r="A3738" s="1">
        <v>545814</v>
      </c>
      <c r="B3738" s="1">
        <v>3446936293</v>
      </c>
      <c r="C3738" s="1">
        <v>6</v>
      </c>
      <c r="D3738" s="1" t="s">
        <v>697</v>
      </c>
      <c r="E3738" t="s">
        <v>18220</v>
      </c>
      <c r="F3738" s="1">
        <v>417063</v>
      </c>
      <c r="G3738" s="1">
        <v>2814350817</v>
      </c>
      <c r="H3738" s="1">
        <v>8</v>
      </c>
      <c r="I3738" s="1" t="s">
        <v>632</v>
      </c>
      <c r="J3738" t="s">
        <v>18221</v>
      </c>
    </row>
    <row r="3739" spans="1:10">
      <c r="A3739" s="1">
        <v>399402</v>
      </c>
      <c r="B3739" s="1">
        <v>3446936409</v>
      </c>
      <c r="C3739" s="1">
        <v>6</v>
      </c>
      <c r="D3739" s="1" t="s">
        <v>1473</v>
      </c>
      <c r="E3739" t="s">
        <v>18222</v>
      </c>
      <c r="F3739" s="1">
        <v>177535</v>
      </c>
      <c r="G3739" s="1">
        <v>9616255207</v>
      </c>
      <c r="H3739" s="1">
        <v>1</v>
      </c>
      <c r="I3739" s="1" t="s">
        <v>4658</v>
      </c>
      <c r="J3739" t="s">
        <v>18223</v>
      </c>
    </row>
    <row r="3740" spans="1:10">
      <c r="A3740" s="1">
        <v>600775</v>
      </c>
      <c r="B3740" s="1">
        <v>3446919862</v>
      </c>
      <c r="C3740" s="1">
        <v>4</v>
      </c>
      <c r="D3740" s="1" t="s">
        <v>1489</v>
      </c>
      <c r="E3740" t="s">
        <v>18224</v>
      </c>
      <c r="F3740" s="1">
        <v>539502</v>
      </c>
      <c r="G3740" s="1">
        <v>9616255208</v>
      </c>
      <c r="H3740" s="1">
        <v>1</v>
      </c>
      <c r="I3740" s="1" t="s">
        <v>4658</v>
      </c>
      <c r="J3740" t="s">
        <v>18225</v>
      </c>
    </row>
    <row r="3741" spans="1:10">
      <c r="A3741" s="1">
        <v>578047</v>
      </c>
      <c r="B3741" s="1">
        <v>2951915709</v>
      </c>
      <c r="C3741" s="1">
        <v>12</v>
      </c>
      <c r="D3741" s="1" t="s">
        <v>381</v>
      </c>
      <c r="E3741" t="s">
        <v>18226</v>
      </c>
      <c r="F3741" s="1">
        <v>455808</v>
      </c>
      <c r="G3741" s="1">
        <v>9616255512</v>
      </c>
      <c r="H3741" s="1">
        <v>1</v>
      </c>
      <c r="I3741" s="1" t="s">
        <v>4658</v>
      </c>
      <c r="J3741" t="s">
        <v>18227</v>
      </c>
    </row>
    <row r="3742" spans="1:10">
      <c r="A3742" s="1">
        <v>600890</v>
      </c>
      <c r="B3742" s="1">
        <v>3446970001</v>
      </c>
      <c r="C3742" s="1">
        <v>4</v>
      </c>
      <c r="D3742" s="1" t="s">
        <v>1366</v>
      </c>
      <c r="E3742" t="s">
        <v>18228</v>
      </c>
      <c r="F3742" s="1">
        <v>784736</v>
      </c>
      <c r="G3742" s="1">
        <v>9616255303</v>
      </c>
      <c r="H3742" s="1">
        <v>1</v>
      </c>
      <c r="I3742" s="1" t="s">
        <v>4658</v>
      </c>
      <c r="J3742" t="s">
        <v>18229</v>
      </c>
    </row>
    <row r="3743" spans="1:10">
      <c r="A3743" s="1">
        <v>439653</v>
      </c>
      <c r="B3743" s="1">
        <v>3446991295</v>
      </c>
      <c r="C3743" s="1">
        <v>8</v>
      </c>
      <c r="D3743" s="1" t="s">
        <v>347</v>
      </c>
      <c r="E3743" t="s">
        <v>18230</v>
      </c>
      <c r="F3743" s="1">
        <v>168344</v>
      </c>
      <c r="G3743" s="1">
        <v>9616219461</v>
      </c>
      <c r="H3743" s="1">
        <v>12</v>
      </c>
      <c r="I3743" s="1" t="s">
        <v>381</v>
      </c>
      <c r="J3743" t="s">
        <v>18231</v>
      </c>
    </row>
    <row r="3744" spans="1:10">
      <c r="A3744" s="1">
        <v>115931</v>
      </c>
      <c r="B3744" s="1">
        <v>2951914178</v>
      </c>
      <c r="C3744" s="1">
        <v>4</v>
      </c>
      <c r="D3744" s="1" t="s">
        <v>8599</v>
      </c>
      <c r="E3744" t="s">
        <v>18232</v>
      </c>
      <c r="F3744" s="1">
        <v>588848</v>
      </c>
      <c r="G3744" s="1">
        <v>9616255506</v>
      </c>
      <c r="H3744" s="1">
        <v>1</v>
      </c>
      <c r="I3744" s="1" t="s">
        <v>4658</v>
      </c>
      <c r="J3744" t="s">
        <v>18233</v>
      </c>
    </row>
    <row r="3745" spans="1:10">
      <c r="A3745" s="1">
        <v>521211</v>
      </c>
      <c r="B3745" s="1">
        <v>2951915707</v>
      </c>
      <c r="C3745" s="1">
        <v>12</v>
      </c>
      <c r="D3745" s="1" t="s">
        <v>381</v>
      </c>
      <c r="E3745" t="s">
        <v>18234</v>
      </c>
      <c r="F3745" s="1">
        <v>665299</v>
      </c>
      <c r="G3745" s="1">
        <v>9616219201</v>
      </c>
      <c r="H3745" s="1">
        <v>12</v>
      </c>
      <c r="I3745" s="1" t="s">
        <v>381</v>
      </c>
      <c r="J3745" t="s">
        <v>18235</v>
      </c>
    </row>
    <row r="3746" spans="1:10">
      <c r="A3746" s="1">
        <v>627588</v>
      </c>
      <c r="B3746" s="1">
        <v>3446970002</v>
      </c>
      <c r="C3746" s="1">
        <v>4</v>
      </c>
      <c r="D3746" s="1" t="s">
        <v>971</v>
      </c>
      <c r="E3746" t="s">
        <v>18236</v>
      </c>
      <c r="F3746" s="1">
        <v>558106</v>
      </c>
      <c r="G3746" s="1">
        <v>9616219161</v>
      </c>
      <c r="H3746" s="1">
        <v>12</v>
      </c>
      <c r="I3746" s="1" t="s">
        <v>381</v>
      </c>
      <c r="J3746" t="s">
        <v>18237</v>
      </c>
    </row>
    <row r="3747" spans="1:10">
      <c r="A3747" s="1">
        <v>701474</v>
      </c>
      <c r="B3747" s="1">
        <v>7677999395</v>
      </c>
      <c r="C3747" s="1">
        <v>4</v>
      </c>
      <c r="D3747" s="1" t="s">
        <v>11650</v>
      </c>
      <c r="E3747" t="s">
        <v>18238</v>
      </c>
      <c r="F3747" s="1">
        <v>690560</v>
      </c>
      <c r="G3747" s="1">
        <v>9616200000</v>
      </c>
      <c r="H3747" s="1">
        <v>6</v>
      </c>
      <c r="I3747" s="1" t="s">
        <v>375</v>
      </c>
      <c r="J3747" t="s">
        <v>18239</v>
      </c>
    </row>
    <row r="3748" spans="1:10">
      <c r="A3748" s="1">
        <v>513374</v>
      </c>
      <c r="B3748" s="1">
        <v>7677999394</v>
      </c>
      <c r="C3748" s="1">
        <v>4</v>
      </c>
      <c r="D3748" s="1" t="s">
        <v>3035</v>
      </c>
      <c r="E3748" t="s">
        <v>18240</v>
      </c>
      <c r="F3748" s="1">
        <v>702498</v>
      </c>
      <c r="G3748" s="1">
        <v>9616219181</v>
      </c>
      <c r="H3748" s="1">
        <v>12</v>
      </c>
      <c r="I3748" s="1" t="s">
        <v>381</v>
      </c>
      <c r="J3748" t="s">
        <v>18241</v>
      </c>
    </row>
    <row r="3749" spans="1:10">
      <c r="A3749" s="1">
        <v>848556</v>
      </c>
      <c r="B3749" s="1">
        <v>7677999895</v>
      </c>
      <c r="C3749" s="1">
        <v>4</v>
      </c>
      <c r="D3749" s="1" t="s">
        <v>865</v>
      </c>
      <c r="E3749" t="s">
        <v>18242</v>
      </c>
      <c r="F3749" s="1">
        <v>744045</v>
      </c>
      <c r="G3749" s="1">
        <v>9616255508</v>
      </c>
      <c r="H3749" s="1">
        <v>1</v>
      </c>
      <c r="I3749" s="1" t="s">
        <v>4658</v>
      </c>
      <c r="J3749" t="s">
        <v>18243</v>
      </c>
    </row>
    <row r="3750" spans="1:10">
      <c r="A3750" s="1">
        <v>163634</v>
      </c>
      <c r="B3750" s="1">
        <v>7677994215</v>
      </c>
      <c r="C3750" s="1">
        <v>6</v>
      </c>
      <c r="D3750" s="1" t="s">
        <v>439</v>
      </c>
      <c r="E3750" t="s">
        <v>18244</v>
      </c>
      <c r="F3750" s="1">
        <v>136291</v>
      </c>
      <c r="G3750" s="1">
        <v>9616219281</v>
      </c>
      <c r="H3750" s="1">
        <v>12</v>
      </c>
      <c r="I3750" s="1" t="s">
        <v>381</v>
      </c>
      <c r="J3750" t="s">
        <v>18245</v>
      </c>
    </row>
    <row r="3751" spans="1:10">
      <c r="A3751" s="1">
        <v>455485</v>
      </c>
      <c r="B3751" s="1">
        <v>7677993231</v>
      </c>
      <c r="C3751" s="1">
        <v>6</v>
      </c>
      <c r="D3751" s="1" t="s">
        <v>439</v>
      </c>
      <c r="E3751" t="s">
        <v>18246</v>
      </c>
      <c r="F3751" s="1">
        <v>848861</v>
      </c>
      <c r="G3751" s="1">
        <v>9616255501</v>
      </c>
      <c r="H3751" s="1">
        <v>1</v>
      </c>
      <c r="I3751" s="1" t="s">
        <v>4658</v>
      </c>
      <c r="J3751" t="s">
        <v>18247</v>
      </c>
    </row>
    <row r="3752" spans="1:10">
      <c r="A3752" s="1">
        <v>422170</v>
      </c>
      <c r="B3752" s="1">
        <v>7677993234</v>
      </c>
      <c r="C3752" s="1">
        <v>6</v>
      </c>
      <c r="D3752" s="1" t="s">
        <v>439</v>
      </c>
      <c r="E3752" t="s">
        <v>18248</v>
      </c>
      <c r="F3752" s="1">
        <v>488627</v>
      </c>
      <c r="G3752" s="1">
        <v>9616255302</v>
      </c>
      <c r="H3752" s="1">
        <v>1</v>
      </c>
      <c r="I3752" s="1" t="s">
        <v>4658</v>
      </c>
      <c r="J3752" t="s">
        <v>18249</v>
      </c>
    </row>
    <row r="3753" spans="1:10">
      <c r="A3753" s="1">
        <v>314575</v>
      </c>
      <c r="B3753" s="1">
        <v>7677919402</v>
      </c>
      <c r="C3753" s="1">
        <v>6</v>
      </c>
      <c r="D3753" s="1" t="s">
        <v>11650</v>
      </c>
      <c r="E3753" t="s">
        <v>18250</v>
      </c>
      <c r="F3753" s="1">
        <v>494146</v>
      </c>
      <c r="G3753" s="1">
        <v>9616255305</v>
      </c>
      <c r="H3753" s="1">
        <v>1</v>
      </c>
      <c r="I3753" s="1" t="s">
        <v>4658</v>
      </c>
      <c r="J3753" t="s">
        <v>18251</v>
      </c>
    </row>
    <row r="3754" spans="1:10">
      <c r="A3754" s="1">
        <v>458794</v>
      </c>
      <c r="B3754" s="1">
        <v>7677915505</v>
      </c>
      <c r="C3754" s="1">
        <v>4</v>
      </c>
      <c r="D3754" s="1" t="s">
        <v>722</v>
      </c>
      <c r="E3754" t="s">
        <v>18252</v>
      </c>
      <c r="F3754" s="1">
        <v>317974</v>
      </c>
      <c r="G3754" s="1">
        <v>9616255201</v>
      </c>
      <c r="H3754" s="1">
        <v>1</v>
      </c>
      <c r="I3754" s="1" t="s">
        <v>4658</v>
      </c>
      <c r="J3754" t="s">
        <v>18253</v>
      </c>
    </row>
    <row r="3755" spans="1:10">
      <c r="A3755" s="1">
        <v>227801</v>
      </c>
      <c r="B3755" s="1">
        <v>7388936451</v>
      </c>
      <c r="C3755" s="1">
        <v>54</v>
      </c>
      <c r="D3755" s="1" t="s">
        <v>106</v>
      </c>
      <c r="E3755" t="s">
        <v>18254</v>
      </c>
      <c r="F3755" s="1">
        <v>316133</v>
      </c>
      <c r="G3755" s="1">
        <v>9616255103</v>
      </c>
      <c r="H3755" s="1">
        <v>1</v>
      </c>
      <c r="I3755" s="1" t="s">
        <v>4658</v>
      </c>
      <c r="J3755" t="s">
        <v>18255</v>
      </c>
    </row>
    <row r="3756" spans="1:10">
      <c r="A3756" s="1">
        <v>65565</v>
      </c>
      <c r="B3756" s="1">
        <v>7388936455</v>
      </c>
      <c r="C3756" s="1">
        <v>54</v>
      </c>
      <c r="D3756" s="1" t="s">
        <v>106</v>
      </c>
      <c r="E3756" t="s">
        <v>18256</v>
      </c>
      <c r="F3756" s="1">
        <v>478586</v>
      </c>
      <c r="G3756" s="1">
        <v>9616200000</v>
      </c>
      <c r="H3756" s="1">
        <v>1</v>
      </c>
      <c r="I3756" s="1" t="s">
        <v>4658</v>
      </c>
      <c r="J3756" t="s">
        <v>18257</v>
      </c>
    </row>
    <row r="3757" spans="1:10">
      <c r="A3757" s="1">
        <v>885350</v>
      </c>
      <c r="B3757" s="1">
        <v>7225090323</v>
      </c>
      <c r="C3757" s="1">
        <v>24</v>
      </c>
      <c r="D3757" s="1" t="s">
        <v>347</v>
      </c>
      <c r="E3757" t="s">
        <v>18258</v>
      </c>
      <c r="F3757" s="1">
        <v>756858</v>
      </c>
      <c r="G3757" s="1">
        <v>9616200000</v>
      </c>
      <c r="H3757" s="1">
        <v>1</v>
      </c>
      <c r="I3757" s="1" t="s">
        <v>4658</v>
      </c>
      <c r="J3757" t="s">
        <v>18259</v>
      </c>
    </row>
    <row r="3758" spans="1:10">
      <c r="A3758" s="1">
        <v>400390</v>
      </c>
      <c r="B3758" s="1">
        <v>77098109771</v>
      </c>
      <c r="C3758" s="1">
        <v>24</v>
      </c>
      <c r="D3758" s="1" t="s">
        <v>360</v>
      </c>
      <c r="E3758" t="s">
        <v>18260</v>
      </c>
      <c r="F3758" s="1">
        <v>486381</v>
      </c>
      <c r="G3758" s="1">
        <v>9616200000</v>
      </c>
      <c r="H3758" s="1">
        <v>1</v>
      </c>
      <c r="I3758" s="1" t="s">
        <v>4658</v>
      </c>
      <c r="J3758" t="s">
        <v>18261</v>
      </c>
    </row>
    <row r="3759" spans="1:10">
      <c r="A3759" s="1">
        <v>265975</v>
      </c>
      <c r="B3759" s="1">
        <v>77098109770</v>
      </c>
      <c r="C3759" s="1">
        <v>24</v>
      </c>
      <c r="D3759" s="1" t="s">
        <v>360</v>
      </c>
      <c r="E3759" t="s">
        <v>18262</v>
      </c>
      <c r="F3759" s="1">
        <v>476358</v>
      </c>
      <c r="G3759" s="1">
        <v>9616255102</v>
      </c>
      <c r="H3759" s="1">
        <v>1</v>
      </c>
      <c r="I3759" s="1" t="s">
        <v>4658</v>
      </c>
      <c r="J3759" t="s">
        <v>18263</v>
      </c>
    </row>
    <row r="3760" spans="1:10">
      <c r="A3760" s="1">
        <v>68858</v>
      </c>
      <c r="B3760" s="1">
        <v>77098109842</v>
      </c>
      <c r="C3760" s="1">
        <v>12</v>
      </c>
      <c r="D3760" s="1" t="s">
        <v>632</v>
      </c>
      <c r="E3760" t="s">
        <v>18264</v>
      </c>
      <c r="F3760" s="1">
        <v>308494</v>
      </c>
      <c r="G3760" s="1">
        <v>9616255210</v>
      </c>
      <c r="H3760" s="1">
        <v>1</v>
      </c>
      <c r="I3760" s="1" t="s">
        <v>4658</v>
      </c>
      <c r="J3760" t="s">
        <v>18265</v>
      </c>
    </row>
    <row r="3761" spans="1:10">
      <c r="A3761" s="1">
        <v>525048</v>
      </c>
      <c r="B3761" s="1">
        <v>77098105026</v>
      </c>
      <c r="C3761" s="1">
        <v>12</v>
      </c>
      <c r="D3761" s="1" t="s">
        <v>632</v>
      </c>
      <c r="E3761" t="s">
        <v>18266</v>
      </c>
      <c r="F3761" s="1">
        <v>650267</v>
      </c>
      <c r="G3761" s="1">
        <v>9616255511</v>
      </c>
      <c r="H3761" s="1">
        <v>1</v>
      </c>
      <c r="I3761" s="1" t="s">
        <v>4658</v>
      </c>
      <c r="J3761" t="s">
        <v>18267</v>
      </c>
    </row>
    <row r="3762" spans="1:10">
      <c r="A3762" s="1">
        <v>589507</v>
      </c>
      <c r="B3762" s="1">
        <v>77098109600</v>
      </c>
      <c r="C3762" s="1">
        <v>24</v>
      </c>
      <c r="D3762" s="1" t="s">
        <v>370</v>
      </c>
      <c r="E3762" t="s">
        <v>18268</v>
      </c>
      <c r="F3762" s="1">
        <v>628198</v>
      </c>
      <c r="G3762" s="1">
        <v>70897111838</v>
      </c>
      <c r="H3762" s="1">
        <v>12</v>
      </c>
      <c r="I3762" s="1" t="s">
        <v>910</v>
      </c>
      <c r="J3762" t="s">
        <v>18269</v>
      </c>
    </row>
    <row r="3763" spans="1:10">
      <c r="A3763" s="1">
        <v>744383</v>
      </c>
      <c r="B3763" s="1">
        <v>77098109841</v>
      </c>
      <c r="C3763" s="1">
        <v>12</v>
      </c>
      <c r="D3763" s="1" t="s">
        <v>632</v>
      </c>
      <c r="E3763" t="s">
        <v>18270</v>
      </c>
      <c r="F3763" s="1">
        <v>233312</v>
      </c>
      <c r="G3763" s="1">
        <v>2169801872</v>
      </c>
      <c r="H3763" s="1">
        <v>12</v>
      </c>
      <c r="I3763" s="1" t="s">
        <v>259</v>
      </c>
      <c r="J3763" t="s">
        <v>18271</v>
      </c>
    </row>
    <row r="3764" spans="1:10">
      <c r="A3764" s="1">
        <v>651810</v>
      </c>
      <c r="B3764" s="1">
        <v>77098109501</v>
      </c>
      <c r="C3764" s="1">
        <v>120</v>
      </c>
      <c r="D3764" s="1" t="s">
        <v>6282</v>
      </c>
      <c r="E3764" t="s">
        <v>18272</v>
      </c>
      <c r="F3764" s="1">
        <v>623025</v>
      </c>
      <c r="G3764" s="1">
        <v>70897111802</v>
      </c>
      <c r="H3764" s="1">
        <v>12</v>
      </c>
      <c r="I3764" s="1" t="s">
        <v>910</v>
      </c>
      <c r="J3764" t="s">
        <v>18273</v>
      </c>
    </row>
    <row r="3765" spans="1:10">
      <c r="A3765" s="1">
        <v>619247</v>
      </c>
      <c r="B3765" s="1">
        <v>77098109501</v>
      </c>
      <c r="C3765" s="1">
        <v>40</v>
      </c>
      <c r="D3765" s="1" t="s">
        <v>6282</v>
      </c>
      <c r="E3765" t="s">
        <v>18274</v>
      </c>
      <c r="F3765" s="1">
        <v>233387</v>
      </c>
      <c r="G3765" s="1">
        <v>2169802163</v>
      </c>
      <c r="H3765" s="1">
        <v>24</v>
      </c>
      <c r="I3765" s="1" t="s">
        <v>379</v>
      </c>
      <c r="J3765" t="s">
        <v>18275</v>
      </c>
    </row>
    <row r="3766" spans="1:10">
      <c r="A3766" s="1">
        <v>514679</v>
      </c>
      <c r="B3766" s="1">
        <v>77098109520</v>
      </c>
      <c r="C3766" s="1">
        <v>24</v>
      </c>
      <c r="D3766" s="1" t="s">
        <v>615</v>
      </c>
      <c r="E3766" t="s">
        <v>18276</v>
      </c>
      <c r="F3766" s="1">
        <v>603381</v>
      </c>
      <c r="G3766" s="1">
        <v>70897111803</v>
      </c>
      <c r="H3766" s="1">
        <v>12</v>
      </c>
      <c r="I3766" s="1" t="s">
        <v>10</v>
      </c>
      <c r="J3766" t="s">
        <v>18277</v>
      </c>
    </row>
    <row r="3767" spans="1:10">
      <c r="A3767" s="1">
        <v>734095</v>
      </c>
      <c r="B3767" s="1">
        <v>77098109810</v>
      </c>
      <c r="C3767" s="1">
        <v>12</v>
      </c>
      <c r="D3767" s="1" t="s">
        <v>632</v>
      </c>
      <c r="E3767" t="s">
        <v>18278</v>
      </c>
      <c r="F3767" s="1">
        <v>603308</v>
      </c>
      <c r="G3767" s="1">
        <v>70897111801</v>
      </c>
      <c r="H3767" s="1">
        <v>12</v>
      </c>
      <c r="I3767" s="1" t="s">
        <v>910</v>
      </c>
      <c r="J3767" t="s">
        <v>18279</v>
      </c>
    </row>
    <row r="3768" spans="1:10">
      <c r="A3768" s="1">
        <v>734103</v>
      </c>
      <c r="B3768" s="1">
        <v>77098109680</v>
      </c>
      <c r="C3768" s="1">
        <v>12</v>
      </c>
      <c r="D3768" s="1" t="s">
        <v>439</v>
      </c>
      <c r="E3768" t="s">
        <v>18280</v>
      </c>
      <c r="F3768" s="1">
        <v>337204</v>
      </c>
      <c r="G3768" s="1">
        <v>70897141878</v>
      </c>
      <c r="H3768" s="1">
        <v>12</v>
      </c>
      <c r="I3768" s="1" t="s">
        <v>363</v>
      </c>
      <c r="J3768" t="s">
        <v>18281</v>
      </c>
    </row>
    <row r="3769" spans="1:10">
      <c r="A3769" s="1">
        <v>470955</v>
      </c>
      <c r="B3769" s="1">
        <v>77098109861</v>
      </c>
      <c r="C3769" s="1">
        <v>10</v>
      </c>
      <c r="D3769" s="1" t="s">
        <v>637</v>
      </c>
      <c r="E3769" t="s">
        <v>18282</v>
      </c>
      <c r="F3769" s="1">
        <v>1909</v>
      </c>
      <c r="G3769" s="1">
        <v>2169802162</v>
      </c>
      <c r="H3769" s="1">
        <v>24</v>
      </c>
      <c r="I3769" s="1" t="s">
        <v>379</v>
      </c>
      <c r="J3769" t="s">
        <v>18283</v>
      </c>
    </row>
    <row r="3770" spans="1:10">
      <c r="A3770" s="1">
        <v>577411</v>
      </c>
      <c r="B3770" s="1">
        <v>77098109806</v>
      </c>
      <c r="C3770" s="1">
        <v>12</v>
      </c>
      <c r="D3770" s="1" t="s">
        <v>632</v>
      </c>
      <c r="E3770" t="s">
        <v>18284</v>
      </c>
      <c r="F3770" s="1">
        <v>639484</v>
      </c>
      <c r="G3770" s="1">
        <v>70897111812</v>
      </c>
      <c r="H3770" s="1">
        <v>12</v>
      </c>
      <c r="I3770" s="1" t="s">
        <v>910</v>
      </c>
      <c r="J3770" t="s">
        <v>18285</v>
      </c>
    </row>
    <row r="3771" spans="1:10">
      <c r="A3771" s="1">
        <v>238246</v>
      </c>
      <c r="B3771" s="1">
        <v>77098109811</v>
      </c>
      <c r="C3771" s="1">
        <v>12</v>
      </c>
      <c r="D3771" s="1" t="s">
        <v>632</v>
      </c>
      <c r="E3771" t="s">
        <v>18286</v>
      </c>
      <c r="F3771" s="1">
        <v>603357</v>
      </c>
      <c r="G3771" s="1">
        <v>70897111810</v>
      </c>
      <c r="H3771" s="1">
        <v>12</v>
      </c>
      <c r="I3771" s="1" t="s">
        <v>10</v>
      </c>
      <c r="J3771" t="s">
        <v>18287</v>
      </c>
    </row>
    <row r="3772" spans="1:10">
      <c r="A3772" s="1">
        <v>389270</v>
      </c>
      <c r="B3772" s="1">
        <v>77098109801</v>
      </c>
      <c r="C3772" s="1">
        <v>12</v>
      </c>
      <c r="D3772" s="1" t="s">
        <v>632</v>
      </c>
      <c r="E3772" t="s">
        <v>18288</v>
      </c>
      <c r="F3772" s="1">
        <v>404665</v>
      </c>
      <c r="G3772" s="1">
        <v>74208275001</v>
      </c>
      <c r="H3772" s="1">
        <v>48</v>
      </c>
      <c r="I3772" s="1" t="s">
        <v>89</v>
      </c>
      <c r="J3772" t="s">
        <v>18289</v>
      </c>
    </row>
    <row r="3773" spans="1:10">
      <c r="A3773" s="1">
        <v>556977</v>
      </c>
      <c r="B3773" s="1">
        <v>7829611499</v>
      </c>
      <c r="C3773" s="1">
        <v>216</v>
      </c>
      <c r="D3773" s="1" t="s">
        <v>31</v>
      </c>
      <c r="E3773" t="s">
        <v>18290</v>
      </c>
      <c r="F3773" s="1">
        <v>680876</v>
      </c>
      <c r="G3773" s="1">
        <v>74208287000</v>
      </c>
      <c r="H3773" s="1">
        <v>24</v>
      </c>
      <c r="I3773" s="1" t="s">
        <v>89</v>
      </c>
      <c r="J3773" t="s">
        <v>18291</v>
      </c>
    </row>
    <row r="3774" spans="1:10" ht="15.75">
      <c r="A3774" s="4" t="s">
        <v>18164</v>
      </c>
      <c r="B3774" s="2"/>
      <c r="C3774" s="2"/>
      <c r="D3774" s="2"/>
      <c r="E3774" s="3"/>
      <c r="F3774" s="4" t="s">
        <v>18292</v>
      </c>
      <c r="G3774" s="2"/>
      <c r="H3774" s="2"/>
      <c r="I3774" s="2"/>
      <c r="J3774" s="3"/>
    </row>
    <row r="3775" spans="1:10">
      <c r="A3775" s="2" t="s">
        <v>0</v>
      </c>
      <c r="B3775" s="2" t="s">
        <v>1</v>
      </c>
      <c r="C3775" s="2" t="s">
        <v>2</v>
      </c>
      <c r="D3775" s="2" t="s">
        <v>3</v>
      </c>
      <c r="E3775" s="3" t="s">
        <v>4</v>
      </c>
      <c r="F3775" s="2" t="s">
        <v>0</v>
      </c>
      <c r="G3775" s="2" t="s">
        <v>1</v>
      </c>
      <c r="H3775" s="2" t="s">
        <v>2</v>
      </c>
      <c r="I3775" s="2" t="s">
        <v>3</v>
      </c>
      <c r="J3775" s="3" t="s">
        <v>4</v>
      </c>
    </row>
    <row r="3776" spans="1:10">
      <c r="A3776" s="1">
        <v>477349</v>
      </c>
      <c r="B3776" s="1">
        <v>74208213011</v>
      </c>
      <c r="C3776" s="1">
        <v>24</v>
      </c>
      <c r="D3776" s="1" t="s">
        <v>89</v>
      </c>
      <c r="E3776" t="s">
        <v>18293</v>
      </c>
      <c r="F3776" s="1">
        <v>647792</v>
      </c>
      <c r="G3776" s="1">
        <v>64243400109</v>
      </c>
      <c r="H3776" s="1">
        <v>72</v>
      </c>
      <c r="I3776" s="1" t="s">
        <v>394</v>
      </c>
      <c r="J3776" t="s">
        <v>18294</v>
      </c>
    </row>
    <row r="3777" spans="1:10">
      <c r="A3777" s="1">
        <v>76109</v>
      </c>
      <c r="B3777" s="1">
        <v>74208275002</v>
      </c>
      <c r="C3777" s="1">
        <v>24</v>
      </c>
      <c r="D3777" s="1" t="s">
        <v>89</v>
      </c>
      <c r="E3777" t="s">
        <v>18295</v>
      </c>
      <c r="F3777" s="1">
        <v>478248</v>
      </c>
      <c r="G3777" s="1">
        <v>4243400136</v>
      </c>
      <c r="H3777" s="1">
        <v>72</v>
      </c>
      <c r="I3777" s="1" t="s">
        <v>394</v>
      </c>
      <c r="J3777" t="s">
        <v>18296</v>
      </c>
    </row>
    <row r="3778" spans="1:10">
      <c r="A3778" s="1">
        <v>883066</v>
      </c>
      <c r="B3778" s="1">
        <v>624501012</v>
      </c>
      <c r="C3778" s="1">
        <v>24</v>
      </c>
      <c r="D3778" s="1" t="s">
        <v>399</v>
      </c>
      <c r="E3778" t="s">
        <v>18297</v>
      </c>
      <c r="F3778" s="1">
        <v>309245</v>
      </c>
      <c r="G3778" s="1">
        <v>64243400105</v>
      </c>
      <c r="H3778" s="1">
        <v>72</v>
      </c>
      <c r="I3778" s="1" t="s">
        <v>394</v>
      </c>
      <c r="J3778" t="s">
        <v>18298</v>
      </c>
    </row>
    <row r="3779" spans="1:10">
      <c r="A3779" s="1">
        <v>883058</v>
      </c>
      <c r="B3779" s="1">
        <v>624501011</v>
      </c>
      <c r="C3779" s="1">
        <v>24</v>
      </c>
      <c r="D3779" s="1" t="s">
        <v>399</v>
      </c>
      <c r="E3779" t="s">
        <v>18299</v>
      </c>
      <c r="F3779" s="1">
        <v>552703</v>
      </c>
      <c r="G3779" s="1">
        <v>64243400107</v>
      </c>
      <c r="H3779" s="1">
        <v>72</v>
      </c>
      <c r="I3779" s="1" t="s">
        <v>394</v>
      </c>
      <c r="J3779" t="s">
        <v>18300</v>
      </c>
    </row>
    <row r="3780" spans="1:10">
      <c r="A3780" s="1">
        <v>608869</v>
      </c>
      <c r="B3780" s="1">
        <v>624500114</v>
      </c>
      <c r="C3780" s="1">
        <v>24</v>
      </c>
      <c r="D3780" s="1" t="s">
        <v>399</v>
      </c>
      <c r="E3780" t="s">
        <v>18301</v>
      </c>
      <c r="F3780" s="1">
        <v>329011</v>
      </c>
      <c r="G3780" s="1">
        <v>64243400104</v>
      </c>
      <c r="H3780" s="1">
        <v>72</v>
      </c>
      <c r="I3780" s="1" t="s">
        <v>394</v>
      </c>
      <c r="J3780" t="s">
        <v>18302</v>
      </c>
    </row>
    <row r="3781" spans="1:10">
      <c r="A3781" s="1">
        <v>612242</v>
      </c>
      <c r="B3781" s="1">
        <v>3601673802</v>
      </c>
      <c r="C3781" s="1">
        <v>288</v>
      </c>
      <c r="D3781" s="1" t="s">
        <v>200</v>
      </c>
      <c r="E3781" t="s">
        <v>18303</v>
      </c>
      <c r="F3781" s="1">
        <v>294587</v>
      </c>
      <c r="G3781" s="1">
        <v>64243400106</v>
      </c>
      <c r="H3781" s="1">
        <v>72</v>
      </c>
      <c r="I3781" s="1" t="s">
        <v>394</v>
      </c>
      <c r="J3781" t="s">
        <v>18304</v>
      </c>
    </row>
    <row r="3782" spans="1:10">
      <c r="A3782" s="1">
        <v>615948</v>
      </c>
      <c r="B3782" s="1">
        <v>6305417020</v>
      </c>
      <c r="C3782" s="1">
        <v>12</v>
      </c>
      <c r="D3782" s="1" t="s">
        <v>2214</v>
      </c>
      <c r="E3782" t="s">
        <v>18305</v>
      </c>
      <c r="F3782" s="1">
        <v>17681</v>
      </c>
      <c r="G3782" s="1">
        <v>64243400126</v>
      </c>
      <c r="H3782" s="1">
        <v>72</v>
      </c>
      <c r="I3782" s="1" t="s">
        <v>394</v>
      </c>
      <c r="J3782" t="s">
        <v>18306</v>
      </c>
    </row>
    <row r="3783" spans="1:10">
      <c r="A3783" s="1">
        <v>382135</v>
      </c>
      <c r="B3783" s="1">
        <v>6305417010</v>
      </c>
      <c r="C3783" s="1">
        <v>12</v>
      </c>
      <c r="D3783" s="1" t="s">
        <v>2214</v>
      </c>
      <c r="E3783" t="s">
        <v>18307</v>
      </c>
      <c r="F3783" s="1">
        <v>323972</v>
      </c>
      <c r="G3783" s="1">
        <v>64243400125</v>
      </c>
      <c r="H3783" s="1">
        <v>72</v>
      </c>
      <c r="I3783" s="1" t="s">
        <v>394</v>
      </c>
      <c r="J3783" t="s">
        <v>18308</v>
      </c>
    </row>
    <row r="3784" spans="1:10">
      <c r="A3784" s="1">
        <v>600726</v>
      </c>
      <c r="B3784" s="1">
        <v>75090391461</v>
      </c>
      <c r="C3784" s="1">
        <v>5</v>
      </c>
      <c r="D3784" s="1" t="s">
        <v>15527</v>
      </c>
      <c r="E3784" t="s">
        <v>18309</v>
      </c>
      <c r="F3784" s="1">
        <v>339234</v>
      </c>
      <c r="G3784" s="1">
        <v>64243400117</v>
      </c>
      <c r="H3784" s="1">
        <v>72</v>
      </c>
      <c r="I3784" s="1" t="s">
        <v>394</v>
      </c>
      <c r="J3784" t="s">
        <v>18310</v>
      </c>
    </row>
    <row r="3785" spans="1:10">
      <c r="A3785" s="1">
        <v>734285</v>
      </c>
      <c r="B3785" s="1">
        <v>4980000405</v>
      </c>
      <c r="C3785" s="1">
        <v>8</v>
      </c>
      <c r="D3785" s="1" t="s">
        <v>13634</v>
      </c>
      <c r="E3785" t="s">
        <v>18311</v>
      </c>
      <c r="F3785" s="1">
        <v>183301</v>
      </c>
      <c r="G3785" s="1">
        <v>64243400120</v>
      </c>
      <c r="H3785" s="1">
        <v>72</v>
      </c>
      <c r="I3785" s="1" t="s">
        <v>394</v>
      </c>
      <c r="J3785" t="s">
        <v>18312</v>
      </c>
    </row>
    <row r="3786" spans="1:10">
      <c r="A3786" s="1">
        <v>619593</v>
      </c>
      <c r="B3786" s="1">
        <v>75090390065</v>
      </c>
      <c r="C3786" s="1">
        <v>24</v>
      </c>
      <c r="D3786" s="1" t="s">
        <v>1180</v>
      </c>
      <c r="E3786" t="s">
        <v>18313</v>
      </c>
      <c r="F3786" s="1">
        <v>661256</v>
      </c>
      <c r="G3786" s="1">
        <v>64243400101</v>
      </c>
      <c r="H3786" s="1">
        <v>72</v>
      </c>
      <c r="I3786" s="1" t="s">
        <v>394</v>
      </c>
      <c r="J3786" t="s">
        <v>18314</v>
      </c>
    </row>
    <row r="3787" spans="1:10">
      <c r="A3787" s="1">
        <v>603183</v>
      </c>
      <c r="B3787" s="1">
        <v>4980039263</v>
      </c>
      <c r="C3787" s="1">
        <v>4</v>
      </c>
      <c r="D3787" s="1" t="s">
        <v>12366</v>
      </c>
      <c r="E3787" t="s">
        <v>18315</v>
      </c>
      <c r="F3787" s="1">
        <v>73361</v>
      </c>
      <c r="G3787" s="1">
        <v>64243400103</v>
      </c>
      <c r="H3787" s="1">
        <v>72</v>
      </c>
      <c r="I3787" s="1" t="s">
        <v>394</v>
      </c>
      <c r="J3787" t="s">
        <v>18316</v>
      </c>
    </row>
    <row r="3788" spans="1:10">
      <c r="A3788" s="1">
        <v>488536</v>
      </c>
      <c r="B3788" s="1">
        <v>4980011834</v>
      </c>
      <c r="C3788" s="1">
        <v>240</v>
      </c>
      <c r="D3788" s="1" t="s">
        <v>16</v>
      </c>
      <c r="E3788" t="s">
        <v>18317</v>
      </c>
      <c r="F3788" s="1">
        <v>499046</v>
      </c>
      <c r="G3788" s="1">
        <v>64243400110</v>
      </c>
      <c r="H3788" s="1">
        <v>72</v>
      </c>
      <c r="I3788" s="1" t="s">
        <v>394</v>
      </c>
      <c r="J3788" t="s">
        <v>18318</v>
      </c>
    </row>
    <row r="3789" spans="1:10">
      <c r="A3789" s="1">
        <v>601039</v>
      </c>
      <c r="B3789" s="1">
        <v>4980011895</v>
      </c>
      <c r="C3789" s="1">
        <v>240</v>
      </c>
      <c r="D3789" s="1" t="s">
        <v>16</v>
      </c>
      <c r="E3789" t="s">
        <v>18319</v>
      </c>
      <c r="F3789" s="1">
        <v>289991</v>
      </c>
      <c r="G3789" s="1">
        <v>64243400102</v>
      </c>
      <c r="H3789" s="1">
        <v>72</v>
      </c>
      <c r="I3789" s="1" t="s">
        <v>394</v>
      </c>
      <c r="J3789" t="s">
        <v>18320</v>
      </c>
    </row>
    <row r="3790" spans="1:10">
      <c r="A3790" s="1">
        <v>228916</v>
      </c>
      <c r="B3790" s="1">
        <v>1290000708</v>
      </c>
      <c r="C3790" s="1">
        <v>24</v>
      </c>
      <c r="D3790" s="1" t="s">
        <v>394</v>
      </c>
      <c r="E3790" t="s">
        <v>18321</v>
      </c>
      <c r="F3790" s="1">
        <v>822288</v>
      </c>
      <c r="G3790" s="1">
        <v>64243400118</v>
      </c>
      <c r="H3790" s="1">
        <v>72</v>
      </c>
      <c r="I3790" s="1" t="s">
        <v>394</v>
      </c>
      <c r="J3790" t="s">
        <v>18322</v>
      </c>
    </row>
    <row r="3791" spans="1:10">
      <c r="A3791" s="1">
        <v>600056</v>
      </c>
      <c r="B3791" s="1">
        <v>1290000700</v>
      </c>
      <c r="C3791" s="1">
        <v>24</v>
      </c>
      <c r="D3791" s="1" t="s">
        <v>394</v>
      </c>
      <c r="E3791" t="s">
        <v>18323</v>
      </c>
      <c r="F3791" s="1">
        <v>362384</v>
      </c>
      <c r="G3791" s="1">
        <v>64243400131</v>
      </c>
      <c r="H3791" s="1">
        <v>72</v>
      </c>
      <c r="I3791" s="1" t="s">
        <v>394</v>
      </c>
      <c r="J3791" t="s">
        <v>18324</v>
      </c>
    </row>
    <row r="3792" spans="1:10">
      <c r="A3792" s="1">
        <v>644468</v>
      </c>
      <c r="B3792" s="1">
        <v>1290000805</v>
      </c>
      <c r="C3792" s="1">
        <v>12</v>
      </c>
      <c r="D3792" s="1" t="s">
        <v>379</v>
      </c>
      <c r="E3792" t="s">
        <v>18325</v>
      </c>
      <c r="F3792" s="1">
        <v>776633</v>
      </c>
      <c r="G3792" s="1">
        <v>64243400130</v>
      </c>
      <c r="H3792" s="1">
        <v>72</v>
      </c>
      <c r="I3792" s="1" t="s">
        <v>394</v>
      </c>
      <c r="J3792" t="s">
        <v>18326</v>
      </c>
    </row>
    <row r="3793" spans="1:10">
      <c r="A3793" s="1">
        <v>407494</v>
      </c>
      <c r="B3793" s="1">
        <v>1290000340</v>
      </c>
      <c r="C3793" s="1">
        <v>12</v>
      </c>
      <c r="D3793" s="1" t="s">
        <v>10096</v>
      </c>
      <c r="E3793" t="s">
        <v>18327</v>
      </c>
      <c r="F3793" s="1">
        <v>733659</v>
      </c>
      <c r="G3793" s="1">
        <v>71824077912</v>
      </c>
      <c r="H3793" s="1">
        <v>15</v>
      </c>
      <c r="I3793" s="1" t="s">
        <v>954</v>
      </c>
      <c r="J3793" t="s">
        <v>18328</v>
      </c>
    </row>
    <row r="3794" spans="1:10">
      <c r="A3794" s="1">
        <v>401026</v>
      </c>
      <c r="B3794" s="1">
        <v>1290000342</v>
      </c>
      <c r="C3794" s="1">
        <v>12</v>
      </c>
      <c r="D3794" s="1" t="s">
        <v>399</v>
      </c>
      <c r="E3794" t="s">
        <v>18329</v>
      </c>
      <c r="F3794" s="1">
        <v>733667</v>
      </c>
      <c r="G3794" s="1">
        <v>71824077906</v>
      </c>
      <c r="H3794" s="1">
        <v>15</v>
      </c>
      <c r="I3794" s="1" t="s">
        <v>954</v>
      </c>
      <c r="J3794" t="s">
        <v>18330</v>
      </c>
    </row>
    <row r="3795" spans="1:10">
      <c r="A3795" s="1">
        <v>777805</v>
      </c>
      <c r="B3795" s="1">
        <v>1290000335</v>
      </c>
      <c r="C3795" s="1">
        <v>12</v>
      </c>
      <c r="D3795" s="1" t="s">
        <v>6</v>
      </c>
      <c r="E3795" t="s">
        <v>18331</v>
      </c>
      <c r="F3795" s="1">
        <v>733675</v>
      </c>
      <c r="G3795" s="1">
        <v>71824077901</v>
      </c>
      <c r="H3795" s="1">
        <v>15</v>
      </c>
      <c r="I3795" s="1" t="s">
        <v>954</v>
      </c>
      <c r="J3795" t="s">
        <v>18332</v>
      </c>
    </row>
    <row r="3796" spans="1:10">
      <c r="A3796" s="1">
        <v>644336</v>
      </c>
      <c r="B3796" s="1">
        <v>1290000106</v>
      </c>
      <c r="C3796" s="1">
        <v>12</v>
      </c>
      <c r="D3796" s="1" t="s">
        <v>14</v>
      </c>
      <c r="E3796" t="s">
        <v>18333</v>
      </c>
      <c r="F3796" s="1">
        <v>733683</v>
      </c>
      <c r="G3796" s="1">
        <v>71824077903</v>
      </c>
      <c r="H3796" s="1">
        <v>15</v>
      </c>
      <c r="I3796" s="1" t="s">
        <v>954</v>
      </c>
      <c r="J3796" t="s">
        <v>18334</v>
      </c>
    </row>
    <row r="3797" spans="1:10">
      <c r="A3797" s="1">
        <v>636324</v>
      </c>
      <c r="B3797" s="1">
        <v>1290000330</v>
      </c>
      <c r="C3797" s="1">
        <v>12</v>
      </c>
      <c r="D3797" s="1" t="s">
        <v>6</v>
      </c>
      <c r="E3797" t="s">
        <v>18335</v>
      </c>
      <c r="F3797" s="1">
        <v>733691</v>
      </c>
      <c r="G3797" s="1">
        <v>71824077908</v>
      </c>
      <c r="H3797" s="1">
        <v>15</v>
      </c>
      <c r="I3797" s="1" t="s">
        <v>954</v>
      </c>
      <c r="J3797" t="s">
        <v>18336</v>
      </c>
    </row>
    <row r="3798" spans="1:10">
      <c r="A3798" s="1">
        <v>560086</v>
      </c>
      <c r="B3798" s="1">
        <v>7091600000</v>
      </c>
      <c r="C3798" s="1">
        <v>12</v>
      </c>
      <c r="D3798" s="1" t="s">
        <v>347</v>
      </c>
      <c r="E3798" t="s">
        <v>18337</v>
      </c>
      <c r="F3798" s="1">
        <v>699512</v>
      </c>
      <c r="G3798" s="1">
        <v>7312400877</v>
      </c>
      <c r="H3798" s="1">
        <v>14</v>
      </c>
      <c r="I3798" s="1" t="s">
        <v>632</v>
      </c>
      <c r="J3798" t="s">
        <v>18338</v>
      </c>
    </row>
    <row r="3799" spans="1:10">
      <c r="A3799" s="1">
        <v>838540</v>
      </c>
      <c r="B3799" s="1">
        <v>7091677710</v>
      </c>
      <c r="C3799" s="1">
        <v>12</v>
      </c>
      <c r="D3799" s="1" t="s">
        <v>347</v>
      </c>
      <c r="E3799" t="s">
        <v>18339</v>
      </c>
      <c r="F3799" s="1">
        <v>391185</v>
      </c>
      <c r="G3799" s="1">
        <v>7312400880</v>
      </c>
      <c r="H3799" s="1">
        <v>14</v>
      </c>
      <c r="I3799" s="1" t="s">
        <v>632</v>
      </c>
      <c r="J3799" t="s">
        <v>18340</v>
      </c>
    </row>
    <row r="3800" spans="1:10">
      <c r="A3800" s="1">
        <v>270884</v>
      </c>
      <c r="B3800" s="1">
        <v>7091600000</v>
      </c>
      <c r="C3800" s="1">
        <v>12</v>
      </c>
      <c r="D3800" s="1" t="s">
        <v>399</v>
      </c>
      <c r="E3800" t="s">
        <v>18341</v>
      </c>
      <c r="F3800" s="1">
        <v>362780</v>
      </c>
      <c r="G3800" s="1">
        <v>7312400876</v>
      </c>
      <c r="H3800" s="1">
        <v>14</v>
      </c>
      <c r="I3800" s="1" t="s">
        <v>632</v>
      </c>
      <c r="J3800" t="s">
        <v>18342</v>
      </c>
    </row>
    <row r="3801" spans="1:10" ht="15.75">
      <c r="A3801" s="1">
        <v>428581</v>
      </c>
      <c r="B3801" s="1">
        <v>7091600000</v>
      </c>
      <c r="C3801" s="1">
        <v>12</v>
      </c>
      <c r="D3801" s="1" t="s">
        <v>812</v>
      </c>
      <c r="E3801" t="s">
        <v>18343</v>
      </c>
      <c r="F3801" s="4" t="s">
        <v>18344</v>
      </c>
      <c r="G3801" s="2"/>
      <c r="H3801" s="2"/>
      <c r="I3801" s="2"/>
      <c r="J3801" s="3"/>
    </row>
    <row r="3802" spans="1:10">
      <c r="A3802" s="1">
        <v>404244</v>
      </c>
      <c r="B3802" s="1">
        <v>78302503003</v>
      </c>
      <c r="C3802" s="1">
        <v>4</v>
      </c>
      <c r="D3802" s="1" t="s">
        <v>469</v>
      </c>
      <c r="E3802" t="s">
        <v>18345</v>
      </c>
      <c r="F3802" s="2" t="s">
        <v>0</v>
      </c>
      <c r="G3802" s="2" t="s">
        <v>1</v>
      </c>
      <c r="H3802" s="2" t="s">
        <v>2</v>
      </c>
      <c r="I3802" s="2" t="s">
        <v>3</v>
      </c>
      <c r="J3802" s="3" t="s">
        <v>4</v>
      </c>
    </row>
    <row r="3803" spans="1:10">
      <c r="A3803" s="1">
        <v>55996</v>
      </c>
      <c r="B3803" s="1">
        <v>78302502001</v>
      </c>
      <c r="C3803" s="1">
        <v>4</v>
      </c>
      <c r="D3803" s="1" t="s">
        <v>6130</v>
      </c>
      <c r="E3803" t="s">
        <v>18346</v>
      </c>
      <c r="F3803" s="1">
        <v>627927</v>
      </c>
      <c r="G3803" s="1">
        <v>2883314000</v>
      </c>
      <c r="H3803" s="1">
        <v>6</v>
      </c>
      <c r="I3803" s="1" t="s">
        <v>439</v>
      </c>
      <c r="J3803" t="s">
        <v>18347</v>
      </c>
    </row>
    <row r="3804" spans="1:10">
      <c r="A3804" s="1">
        <v>541821</v>
      </c>
      <c r="B3804" s="1">
        <v>78302505001</v>
      </c>
      <c r="C3804" s="1">
        <v>2</v>
      </c>
      <c r="D3804" s="1" t="s">
        <v>3652</v>
      </c>
      <c r="E3804" t="s">
        <v>18348</v>
      </c>
      <c r="F3804" s="1">
        <v>627521</v>
      </c>
      <c r="G3804" s="1">
        <v>2883306000</v>
      </c>
      <c r="H3804" s="1">
        <v>6</v>
      </c>
      <c r="I3804" s="1" t="s">
        <v>439</v>
      </c>
      <c r="J3804" t="s">
        <v>18349</v>
      </c>
    </row>
    <row r="3805" spans="1:10">
      <c r="A3805" s="1">
        <v>431023</v>
      </c>
      <c r="B3805" s="1">
        <v>78302501003</v>
      </c>
      <c r="C3805" s="1">
        <v>4</v>
      </c>
      <c r="D3805" s="1" t="s">
        <v>637</v>
      </c>
      <c r="E3805" t="s">
        <v>18348</v>
      </c>
      <c r="F3805" s="1">
        <v>628065</v>
      </c>
      <c r="G3805" s="1">
        <v>7403411007</v>
      </c>
      <c r="H3805" s="1">
        <v>10</v>
      </c>
      <c r="I3805" s="1" t="s">
        <v>375</v>
      </c>
      <c r="J3805" t="s">
        <v>18350</v>
      </c>
    </row>
    <row r="3806" spans="1:10">
      <c r="A3806" s="1">
        <v>808733</v>
      </c>
      <c r="B3806" s="1">
        <v>78302505003</v>
      </c>
      <c r="C3806" s="1">
        <v>2</v>
      </c>
      <c r="D3806" s="1" t="s">
        <v>4650</v>
      </c>
      <c r="E3806" t="s">
        <v>18351</v>
      </c>
      <c r="F3806" s="1">
        <v>609552</v>
      </c>
      <c r="G3806" s="1">
        <v>65752275013</v>
      </c>
      <c r="H3806" s="1">
        <v>12</v>
      </c>
      <c r="I3806" s="1" t="s">
        <v>381</v>
      </c>
      <c r="J3806" t="s">
        <v>18352</v>
      </c>
    </row>
    <row r="3807" spans="1:10">
      <c r="A3807" s="1">
        <v>230144</v>
      </c>
      <c r="B3807" s="1">
        <v>78302503004</v>
      </c>
      <c r="C3807" s="1">
        <v>4</v>
      </c>
      <c r="D3807" s="1" t="s">
        <v>469</v>
      </c>
      <c r="E3807" t="s">
        <v>18353</v>
      </c>
      <c r="F3807" s="1">
        <v>182386</v>
      </c>
      <c r="G3807" s="1">
        <v>65752275067</v>
      </c>
      <c r="H3807" s="1">
        <v>12</v>
      </c>
      <c r="I3807" s="1" t="s">
        <v>381</v>
      </c>
      <c r="J3807" t="s">
        <v>18354</v>
      </c>
    </row>
    <row r="3808" spans="1:10">
      <c r="A3808" s="1">
        <v>432096</v>
      </c>
      <c r="B3808" s="1">
        <v>78302503005</v>
      </c>
      <c r="C3808" s="1">
        <v>4</v>
      </c>
      <c r="D3808" s="1" t="s">
        <v>469</v>
      </c>
      <c r="E3808" t="s">
        <v>18355</v>
      </c>
      <c r="F3808" s="1">
        <v>653758</v>
      </c>
      <c r="G3808" s="1">
        <v>7829619429</v>
      </c>
      <c r="H3808" s="1">
        <v>24</v>
      </c>
      <c r="I3808" s="1" t="s">
        <v>632</v>
      </c>
      <c r="J3808" t="s">
        <v>18356</v>
      </c>
    </row>
    <row r="3809" spans="1:10">
      <c r="A3809" s="1">
        <v>440651</v>
      </c>
      <c r="B3809" s="1">
        <v>78302503006</v>
      </c>
      <c r="C3809" s="1">
        <v>4</v>
      </c>
      <c r="D3809" s="1" t="s">
        <v>469</v>
      </c>
      <c r="E3809" t="s">
        <v>18357</v>
      </c>
      <c r="F3809" s="1">
        <v>165910</v>
      </c>
      <c r="G3809" s="1">
        <v>7829611019</v>
      </c>
      <c r="H3809" s="1">
        <v>35</v>
      </c>
      <c r="I3809" s="1" t="s">
        <v>489</v>
      </c>
      <c r="J3809" t="s">
        <v>18358</v>
      </c>
    </row>
    <row r="3810" spans="1:10">
      <c r="A3810" s="1">
        <v>152231</v>
      </c>
      <c r="B3810" s="1">
        <v>89963200087</v>
      </c>
      <c r="C3810" s="1">
        <v>12</v>
      </c>
      <c r="D3810" s="1" t="s">
        <v>6468</v>
      </c>
      <c r="E3810" t="s">
        <v>18359</v>
      </c>
      <c r="F3810" s="1">
        <v>556126</v>
      </c>
      <c r="G3810" s="1">
        <v>7829619349</v>
      </c>
      <c r="H3810" s="1">
        <v>24</v>
      </c>
      <c r="I3810" s="1" t="s">
        <v>632</v>
      </c>
      <c r="J3810" t="s">
        <v>18360</v>
      </c>
    </row>
    <row r="3811" spans="1:10">
      <c r="A3811" s="1">
        <v>889303</v>
      </c>
      <c r="B3811" s="1">
        <v>89963200023</v>
      </c>
      <c r="C3811" s="1">
        <v>12</v>
      </c>
      <c r="D3811" s="1" t="s">
        <v>43</v>
      </c>
      <c r="E3811" t="s">
        <v>18361</v>
      </c>
      <c r="F3811" s="1">
        <v>511949</v>
      </c>
      <c r="G3811" s="1">
        <v>5960800129</v>
      </c>
      <c r="H3811" s="1">
        <v>12</v>
      </c>
      <c r="I3811" s="1" t="s">
        <v>347</v>
      </c>
      <c r="J3811" t="s">
        <v>18362</v>
      </c>
    </row>
    <row r="3812" spans="1:10">
      <c r="A3812" s="1">
        <v>636415</v>
      </c>
      <c r="B3812" s="1">
        <v>89963200059</v>
      </c>
      <c r="C3812" s="1">
        <v>12</v>
      </c>
      <c r="D3812" s="1" t="s">
        <v>10244</v>
      </c>
      <c r="E3812" t="s">
        <v>18363</v>
      </c>
      <c r="F3812" s="1">
        <v>644476</v>
      </c>
      <c r="G3812" s="1">
        <v>5960800102</v>
      </c>
      <c r="H3812" s="1">
        <v>12</v>
      </c>
      <c r="I3812" s="1" t="s">
        <v>7</v>
      </c>
      <c r="J3812" t="s">
        <v>18364</v>
      </c>
    </row>
    <row r="3813" spans="1:10">
      <c r="A3813" s="1">
        <v>836569</v>
      </c>
      <c r="B3813" s="1">
        <v>89963200025</v>
      </c>
      <c r="C3813" s="1">
        <v>12</v>
      </c>
      <c r="D3813" s="1" t="s">
        <v>43</v>
      </c>
      <c r="E3813" t="s">
        <v>18365</v>
      </c>
      <c r="F3813" s="1">
        <v>835363</v>
      </c>
      <c r="G3813" s="1">
        <v>5960800168</v>
      </c>
      <c r="H3813" s="1">
        <v>12</v>
      </c>
      <c r="I3813" s="1" t="s">
        <v>347</v>
      </c>
      <c r="J3813" t="s">
        <v>18366</v>
      </c>
    </row>
    <row r="3814" spans="1:10">
      <c r="A3814" s="1">
        <v>872796</v>
      </c>
      <c r="B3814" s="1">
        <v>4243400121</v>
      </c>
      <c r="C3814" s="1">
        <v>72</v>
      </c>
      <c r="D3814" s="1" t="s">
        <v>394</v>
      </c>
      <c r="E3814" t="s">
        <v>18367</v>
      </c>
      <c r="F3814" s="1">
        <v>644500</v>
      </c>
      <c r="G3814" s="1">
        <v>4980003084</v>
      </c>
      <c r="H3814" s="1">
        <v>24</v>
      </c>
      <c r="I3814" s="1" t="s">
        <v>1298</v>
      </c>
      <c r="J3814" t="s">
        <v>18368</v>
      </c>
    </row>
    <row r="3815" spans="1:10" ht="15.75">
      <c r="A3815" s="4" t="s">
        <v>18344</v>
      </c>
      <c r="B3815" s="2"/>
      <c r="C3815" s="2"/>
      <c r="D3815" s="2"/>
      <c r="E3815" s="3"/>
    </row>
    <row r="3816" spans="1:10">
      <c r="A3816" s="2" t="s">
        <v>0</v>
      </c>
      <c r="B3816" s="2" t="s">
        <v>1</v>
      </c>
      <c r="C3816" s="2" t="s">
        <v>2</v>
      </c>
      <c r="D3816" s="2" t="s">
        <v>3</v>
      </c>
      <c r="E3816" s="3" t="s">
        <v>4</v>
      </c>
    </row>
    <row r="3817" spans="1:10">
      <c r="A3817" s="1">
        <v>446534</v>
      </c>
      <c r="B3817" s="1">
        <v>73188800000</v>
      </c>
      <c r="C3817" s="1">
        <v>24</v>
      </c>
      <c r="D3817" s="1" t="s">
        <v>381</v>
      </c>
      <c r="E3817" t="s">
        <v>18369</v>
      </c>
    </row>
    <row r="3818" spans="1:10">
      <c r="A3818" s="1">
        <v>634600</v>
      </c>
      <c r="B3818" s="1">
        <v>7648906725</v>
      </c>
      <c r="C3818" s="1">
        <v>24</v>
      </c>
      <c r="D3818" s="1" t="s">
        <v>574</v>
      </c>
      <c r="E3818" t="s">
        <v>18370</v>
      </c>
    </row>
    <row r="3819" spans="1:10">
      <c r="A3819" s="1">
        <v>700971</v>
      </c>
      <c r="B3819" s="1">
        <v>1153550313</v>
      </c>
      <c r="C3819" s="1">
        <v>20</v>
      </c>
      <c r="D3819" s="1" t="s">
        <v>381</v>
      </c>
      <c r="E3819" t="s">
        <v>18371</v>
      </c>
    </row>
    <row r="3820" spans="1:10" ht="15.75">
      <c r="A3820" s="4" t="s">
        <v>18372</v>
      </c>
      <c r="B3820" s="2"/>
      <c r="C3820" s="2"/>
      <c r="D3820" s="2"/>
      <c r="E3820" s="3"/>
    </row>
    <row r="3821" spans="1:10">
      <c r="A3821" s="2" t="s">
        <v>0</v>
      </c>
      <c r="B3821" s="2" t="s">
        <v>1</v>
      </c>
      <c r="C3821" s="2" t="s">
        <v>2</v>
      </c>
      <c r="D3821" s="2" t="s">
        <v>3</v>
      </c>
      <c r="E3821" s="3" t="s">
        <v>4</v>
      </c>
    </row>
    <row r="3822" spans="1:10">
      <c r="A3822" s="1">
        <v>887083</v>
      </c>
      <c r="B3822" s="1">
        <v>7225001051</v>
      </c>
      <c r="C3822" s="1">
        <v>24</v>
      </c>
      <c r="D3822" s="1" t="s">
        <v>10244</v>
      </c>
      <c r="E3822" t="s">
        <v>18373</v>
      </c>
    </row>
    <row r="3823" spans="1:10">
      <c r="A3823" s="1">
        <v>472266</v>
      </c>
      <c r="B3823" s="1">
        <v>77098108013</v>
      </c>
      <c r="C3823" s="1">
        <v>16</v>
      </c>
      <c r="D3823" s="1" t="s">
        <v>347</v>
      </c>
      <c r="E3823" t="s">
        <v>18374</v>
      </c>
    </row>
    <row r="3824" spans="1:10">
      <c r="A3824" s="1">
        <v>211185</v>
      </c>
      <c r="B3824" s="1">
        <v>77098109713</v>
      </c>
      <c r="C3824" s="1">
        <v>40</v>
      </c>
      <c r="D3824" s="1" t="s">
        <v>14</v>
      </c>
      <c r="E3824" t="s">
        <v>18375</v>
      </c>
    </row>
    <row r="3825" spans="1:5">
      <c r="A3825" s="1">
        <v>437996</v>
      </c>
      <c r="B3825" s="1">
        <v>77098108002</v>
      </c>
      <c r="C3825" s="1">
        <v>24</v>
      </c>
      <c r="D3825" s="1" t="s">
        <v>379</v>
      </c>
      <c r="E3825" t="s">
        <v>18376</v>
      </c>
    </row>
    <row r="3826" spans="1:5">
      <c r="A3826" s="1">
        <v>632034</v>
      </c>
      <c r="B3826" s="1">
        <v>4508463509</v>
      </c>
      <c r="C3826" s="1">
        <v>12</v>
      </c>
      <c r="D3826" s="1" t="s">
        <v>10096</v>
      </c>
      <c r="E3826" t="s">
        <v>18377</v>
      </c>
    </row>
    <row r="3827" spans="1:5">
      <c r="A3827" s="1">
        <v>632091</v>
      </c>
      <c r="B3827" s="1">
        <v>4508463505</v>
      </c>
      <c r="C3827" s="1">
        <v>12</v>
      </c>
      <c r="D3827" s="1" t="s">
        <v>10096</v>
      </c>
      <c r="E3827" t="s">
        <v>18378</v>
      </c>
    </row>
    <row r="3828" spans="1:5">
      <c r="A3828" s="1">
        <v>647065</v>
      </c>
      <c r="B3828" s="1">
        <v>3029105339</v>
      </c>
      <c r="C3828" s="1">
        <v>15</v>
      </c>
      <c r="D3828" s="1" t="s">
        <v>1313</v>
      </c>
      <c r="E3828" t="s">
        <v>18379</v>
      </c>
    </row>
    <row r="3829" spans="1:5">
      <c r="A3829" s="1">
        <v>733725</v>
      </c>
      <c r="B3829" s="1">
        <v>3029105342</v>
      </c>
      <c r="C3829" s="1">
        <v>15</v>
      </c>
      <c r="D3829" s="1" t="s">
        <v>1387</v>
      </c>
      <c r="E3829" t="s">
        <v>18380</v>
      </c>
    </row>
    <row r="3830" spans="1:5">
      <c r="A3830" s="1">
        <v>646703</v>
      </c>
      <c r="B3830" s="1">
        <v>3029105332</v>
      </c>
      <c r="C3830" s="1">
        <v>15</v>
      </c>
      <c r="D3830" s="1" t="s">
        <v>1387</v>
      </c>
      <c r="E3830" t="s">
        <v>18381</v>
      </c>
    </row>
    <row r="3831" spans="1:5">
      <c r="A3831" s="1">
        <v>646034</v>
      </c>
      <c r="B3831" s="1">
        <v>3029105330</v>
      </c>
      <c r="C3831" s="1">
        <v>15</v>
      </c>
      <c r="D3831" s="1" t="s">
        <v>938</v>
      </c>
      <c r="E3831" t="s">
        <v>18382</v>
      </c>
    </row>
    <row r="3832" spans="1:5">
      <c r="A3832" s="1">
        <v>646067</v>
      </c>
      <c r="B3832" s="1">
        <v>3029105331</v>
      </c>
      <c r="C3832" s="1">
        <v>15</v>
      </c>
      <c r="D3832" s="1" t="s">
        <v>1387</v>
      </c>
      <c r="E3832" t="s">
        <v>18383</v>
      </c>
    </row>
    <row r="3833" spans="1:5">
      <c r="A3833" s="1">
        <v>606228</v>
      </c>
      <c r="B3833" s="1">
        <v>7626540450</v>
      </c>
      <c r="C3833" s="1">
        <v>18</v>
      </c>
      <c r="D3833" s="1" t="s">
        <v>347</v>
      </c>
      <c r="E3833" t="s">
        <v>18384</v>
      </c>
    </row>
    <row r="3834" spans="1:5">
      <c r="A3834" s="1">
        <v>254359</v>
      </c>
      <c r="B3834" s="1">
        <v>4980004896</v>
      </c>
      <c r="C3834" s="1">
        <v>108</v>
      </c>
      <c r="D3834" s="1" t="s">
        <v>394</v>
      </c>
      <c r="E3834" t="s">
        <v>18385</v>
      </c>
    </row>
    <row r="3835" spans="1:5">
      <c r="A3835" s="1">
        <v>601880</v>
      </c>
      <c r="B3835" s="1">
        <v>4980003535</v>
      </c>
      <c r="C3835" s="1">
        <v>120</v>
      </c>
      <c r="D3835" s="1" t="s">
        <v>312</v>
      </c>
      <c r="E3835" t="s">
        <v>18386</v>
      </c>
    </row>
    <row r="3836" spans="1:5">
      <c r="A3836" s="1">
        <v>610063</v>
      </c>
      <c r="B3836" s="1">
        <v>99806097</v>
      </c>
      <c r="C3836" s="1">
        <v>48</v>
      </c>
      <c r="D3836" s="1" t="s">
        <v>251</v>
      </c>
      <c r="E3836" t="s">
        <v>18387</v>
      </c>
    </row>
    <row r="3837" spans="1:5">
      <c r="A3837" s="1">
        <v>604710</v>
      </c>
      <c r="B3837" s="1">
        <v>99880341</v>
      </c>
      <c r="C3837" s="1">
        <v>45</v>
      </c>
      <c r="D3837" s="1" t="s">
        <v>18388</v>
      </c>
      <c r="E3837" t="s">
        <v>18389</v>
      </c>
    </row>
    <row r="3838" spans="1:5">
      <c r="A3838" s="1">
        <v>604603</v>
      </c>
      <c r="B3838" s="1">
        <v>99880328</v>
      </c>
      <c r="C3838" s="1">
        <v>48</v>
      </c>
      <c r="D3838" s="1" t="s">
        <v>89</v>
      </c>
      <c r="E3838" t="s">
        <v>18390</v>
      </c>
    </row>
  </sheetData>
  <pageMargins left="0.2" right="0.33" top="0.35" bottom="0.5" header="0.18" footer="0.3"/>
  <pageSetup scale="90" orientation="landscape" r:id="rId1"/>
  <headerFooter>
    <oddHeader>&amp;A</oddHeader>
    <oddFooter>Page &amp;P</oddFooter>
  </headerFooter>
  <customProperties>
    <customPr name="DVSECTION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IV409"/>
  <sheetViews>
    <sheetView workbookViewId="0">
      <selection activeCell="BR409" sqref="BR409"/>
    </sheetView>
  </sheetViews>
  <sheetFormatPr defaultRowHeight="15"/>
  <sheetData>
    <row r="1" spans="1:256">
      <c r="A1">
        <f>IF('COVER PAGE'!1:1,"AAAAAHr7XwA=",0)</f>
        <v>0</v>
      </c>
      <c r="B1" t="e">
        <f>AND('COVER PAGE'!A1,"AAAAAHr7XwE=")</f>
        <v>#VALUE!</v>
      </c>
      <c r="C1">
        <f>IF('COVER PAGE'!2:2,"AAAAAHr7XwI=",0)</f>
        <v>0</v>
      </c>
      <c r="D1" t="e">
        <f>AND('COVER PAGE'!A2,"AAAAAHr7XwM=")</f>
        <v>#VALUE!</v>
      </c>
      <c r="E1">
        <f>IF('COVER PAGE'!3:3,"AAAAAHr7XwQ=",0)</f>
        <v>0</v>
      </c>
      <c r="F1" t="e">
        <f>AND('COVER PAGE'!A3,"AAAAAHr7XwU=")</f>
        <v>#VALUE!</v>
      </c>
      <c r="G1">
        <f>IF('COVER PAGE'!4:4,"AAAAAHr7XwY=",0)</f>
        <v>0</v>
      </c>
      <c r="H1" t="e">
        <f>AND('COVER PAGE'!A4,"AAAAAHr7Xwc=")</f>
        <v>#VALUE!</v>
      </c>
      <c r="I1">
        <f>IF('COVER PAGE'!5:5,"AAAAAHr7Xwg=",0)</f>
        <v>0</v>
      </c>
      <c r="J1" t="e">
        <f>AND('COVER PAGE'!A5,"AAAAAHr7Xwk=")</f>
        <v>#VALUE!</v>
      </c>
      <c r="K1">
        <f>IF('COVER PAGE'!6:6,"AAAAAHr7Xwo=",0)</f>
        <v>0</v>
      </c>
      <c r="L1" t="e">
        <f>AND('COVER PAGE'!A6,"AAAAAHr7Xws=")</f>
        <v>#VALUE!</v>
      </c>
      <c r="M1">
        <f>IF('COVER PAGE'!7:7,"AAAAAHr7Xww=",0)</f>
        <v>0</v>
      </c>
      <c r="N1" t="e">
        <f>AND('COVER PAGE'!A7,"AAAAAHr7Xw0=")</f>
        <v>#VALUE!</v>
      </c>
      <c r="O1">
        <f>IF('COVER PAGE'!8:8,"AAAAAHr7Xw4=",0)</f>
        <v>0</v>
      </c>
      <c r="P1" t="e">
        <f>AND('COVER PAGE'!A8,"AAAAAHr7Xw8=")</f>
        <v>#VALUE!</v>
      </c>
      <c r="Q1">
        <f>IF('COVER PAGE'!9:9,"AAAAAHr7XxA=",0)</f>
        <v>0</v>
      </c>
      <c r="R1" t="e">
        <f>AND('COVER PAGE'!A9,"AAAAAHr7XxE=")</f>
        <v>#VALUE!</v>
      </c>
      <c r="S1">
        <f>IF('COVER PAGE'!10:10,"AAAAAHr7XxI=",0)</f>
        <v>0</v>
      </c>
      <c r="T1" t="e">
        <f>AND('COVER PAGE'!A10,"AAAAAHr7XxM=")</f>
        <v>#VALUE!</v>
      </c>
      <c r="U1">
        <f>IF('COVER PAGE'!11:11,"AAAAAHr7XxQ=",0)</f>
        <v>0</v>
      </c>
      <c r="V1" t="e">
        <f>AND('COVER PAGE'!A11,"AAAAAHr7XxU=")</f>
        <v>#VALUE!</v>
      </c>
      <c r="W1">
        <f>IF('COVER PAGE'!12:12,"AAAAAHr7XxY=",0)</f>
        <v>0</v>
      </c>
      <c r="X1" t="e">
        <f>AND('COVER PAGE'!A12,"AAAAAHr7Xxc=")</f>
        <v>#VALUE!</v>
      </c>
      <c r="Y1">
        <f>IF('COVER PAGE'!13:13,"AAAAAHr7Xxg=",0)</f>
        <v>0</v>
      </c>
      <c r="Z1" t="e">
        <f>AND('COVER PAGE'!A13,"AAAAAHr7Xxk=")</f>
        <v>#VALUE!</v>
      </c>
      <c r="AA1">
        <f>IF('COVER PAGE'!14:14,"AAAAAHr7Xxo=",0)</f>
        <v>0</v>
      </c>
      <c r="AB1" t="e">
        <f>AND('COVER PAGE'!A14,"AAAAAHr7Xxs=")</f>
        <v>#VALUE!</v>
      </c>
      <c r="AC1">
        <f>IF('COVER PAGE'!15:15,"AAAAAHr7Xxw=",0)</f>
        <v>0</v>
      </c>
      <c r="AD1" t="e">
        <f>AND('COVER PAGE'!A15,"AAAAAHr7Xx0=")</f>
        <v>#VALUE!</v>
      </c>
      <c r="AE1">
        <f>IF('COVER PAGE'!16:16,"AAAAAHr7Xx4=",0)</f>
        <v>0</v>
      </c>
      <c r="AF1" t="e">
        <f>AND('COVER PAGE'!A16,"AAAAAHr7Xx8=")</f>
        <v>#VALUE!</v>
      </c>
      <c r="AG1">
        <f>IF('COVER PAGE'!17:17,"AAAAAHr7XyA=",0)</f>
        <v>0</v>
      </c>
      <c r="AH1" t="e">
        <f>AND('COVER PAGE'!A17,"AAAAAHr7XyE=")</f>
        <v>#VALUE!</v>
      </c>
      <c r="AI1">
        <f>IF('COVER PAGE'!18:18,"AAAAAHr7XyI=",0)</f>
        <v>0</v>
      </c>
      <c r="AJ1" t="e">
        <f>AND('COVER PAGE'!A18,"AAAAAHr7XyM=")</f>
        <v>#VALUE!</v>
      </c>
      <c r="AK1">
        <f>IF('COVER PAGE'!19:19,"AAAAAHr7XyQ=",0)</f>
        <v>0</v>
      </c>
      <c r="AL1" t="e">
        <f>AND('COVER PAGE'!A19,"AAAAAHr7XyU=")</f>
        <v>#VALUE!</v>
      </c>
      <c r="AM1">
        <f>IF('COVER PAGE'!20:20,"AAAAAHr7XyY=",0)</f>
        <v>0</v>
      </c>
      <c r="AN1" t="e">
        <f>AND('COVER PAGE'!A20,"AAAAAHr7Xyc=")</f>
        <v>#VALUE!</v>
      </c>
      <c r="AO1">
        <f>IF('COVER PAGE'!21:21,"AAAAAHr7Xyg=",0)</f>
        <v>0</v>
      </c>
      <c r="AP1" t="e">
        <f>AND('COVER PAGE'!A21,"AAAAAHr7Xyk=")</f>
        <v>#VALUE!</v>
      </c>
      <c r="AQ1">
        <f>IF('COVER PAGE'!22:22,"AAAAAHr7Xyo=",0)</f>
        <v>0</v>
      </c>
      <c r="AR1" t="e">
        <f>AND('COVER PAGE'!A22,"AAAAAHr7Xys=")</f>
        <v>#VALUE!</v>
      </c>
      <c r="AS1">
        <f>IF('COVER PAGE'!23:23,"AAAAAHr7Xyw=",0)</f>
        <v>0</v>
      </c>
      <c r="AT1" t="e">
        <f>AND('COVER PAGE'!A23,"AAAAAHr7Xy0=")</f>
        <v>#VALUE!</v>
      </c>
      <c r="AU1">
        <f>IF('COVER PAGE'!24:24,"AAAAAHr7Xy4=",0)</f>
        <v>0</v>
      </c>
      <c r="AV1" t="e">
        <f>AND('COVER PAGE'!A24,"AAAAAHr7Xy8=")</f>
        <v>#VALUE!</v>
      </c>
      <c r="AW1">
        <f>IF('COVER PAGE'!25:25,"AAAAAHr7XzA=",0)</f>
        <v>0</v>
      </c>
      <c r="AX1" t="e">
        <f>AND('COVER PAGE'!A25,"AAAAAHr7XzE=")</f>
        <v>#VALUE!</v>
      </c>
      <c r="AY1">
        <f>IF('COVER PAGE'!26:26,"AAAAAHr7XzI=",0)</f>
        <v>0</v>
      </c>
      <c r="AZ1" t="e">
        <f>AND('COVER PAGE'!A26,"AAAAAHr7XzM=")</f>
        <v>#VALUE!</v>
      </c>
      <c r="BA1">
        <f>IF('COVER PAGE'!27:27,"AAAAAHr7XzQ=",0)</f>
        <v>0</v>
      </c>
      <c r="BB1" t="e">
        <f>AND('COVER PAGE'!A27,"AAAAAHr7XzU=")</f>
        <v>#VALUE!</v>
      </c>
      <c r="BC1">
        <f>IF('COVER PAGE'!28:28,"AAAAAHr7XzY=",0)</f>
        <v>0</v>
      </c>
      <c r="BD1" t="e">
        <f>AND('COVER PAGE'!A28,"AAAAAHr7Xzc=")</f>
        <v>#VALUE!</v>
      </c>
      <c r="BE1">
        <f>IF('COVER PAGE'!29:29,"AAAAAHr7Xzg=",0)</f>
        <v>0</v>
      </c>
      <c r="BF1" t="e">
        <f>AND('COVER PAGE'!A29,"AAAAAHr7Xzk=")</f>
        <v>#VALUE!</v>
      </c>
      <c r="BG1">
        <f>IF('COVER PAGE'!30:30,"AAAAAHr7Xzo=",0)</f>
        <v>0</v>
      </c>
      <c r="BH1" t="e">
        <f>AND('COVER PAGE'!A30,"AAAAAHr7Xzs=")</f>
        <v>#VALUE!</v>
      </c>
      <c r="BI1">
        <f>IF('COVER PAGE'!31:31,"AAAAAHr7Xzw=",0)</f>
        <v>0</v>
      </c>
      <c r="BJ1" t="e">
        <f>AND('COVER PAGE'!A31,"AAAAAHr7Xz0=")</f>
        <v>#VALUE!</v>
      </c>
      <c r="BK1">
        <f>IF('COVER PAGE'!32:32,"AAAAAHr7Xz4=",0)</f>
        <v>0</v>
      </c>
      <c r="BL1" t="e">
        <f>AND('COVER PAGE'!A32,"AAAAAHr7Xz8=")</f>
        <v>#VALUE!</v>
      </c>
      <c r="BM1">
        <f>IF('COVER PAGE'!33:33,"AAAAAHr7X0A=",0)</f>
        <v>0</v>
      </c>
      <c r="BN1">
        <f>IF('COVER PAGE'!34:34,"AAAAAHr7X0E=",0)</f>
        <v>0</v>
      </c>
      <c r="BO1">
        <f>IF('COVER PAGE'!35:35,"AAAAAHr7X0I=",0)</f>
        <v>0</v>
      </c>
      <c r="BP1">
        <f>IF('COVER PAGE'!A:A,"AAAAAHr7X0M=",0)</f>
        <v>0</v>
      </c>
      <c r="BQ1">
        <f>IF('INDEX '!1:1,"AAAAAHr7X0Q=",0)</f>
        <v>0</v>
      </c>
      <c r="BR1" t="e">
        <f>AND('INDEX '!A1,"AAAAAHr7X0U=")</f>
        <v>#VALUE!</v>
      </c>
      <c r="BS1" t="e">
        <f>AND('INDEX '!B1,"AAAAAHr7X0Y=")</f>
        <v>#VALUE!</v>
      </c>
      <c r="BT1" t="e">
        <f>AND('INDEX '!C1,"AAAAAHr7X0c=")</f>
        <v>#VALUE!</v>
      </c>
      <c r="BU1" t="e">
        <f>AND('INDEX '!D1,"AAAAAHr7X0g=")</f>
        <v>#VALUE!</v>
      </c>
      <c r="BV1" t="e">
        <f>AND('INDEX '!E1,"AAAAAHr7X0k=")</f>
        <v>#VALUE!</v>
      </c>
      <c r="BW1" t="e">
        <f>AND('INDEX '!F1,"AAAAAHr7X0o=")</f>
        <v>#VALUE!</v>
      </c>
      <c r="BX1" t="e">
        <f>AND('INDEX '!G1,"AAAAAHr7X0s=")</f>
        <v>#VALUE!</v>
      </c>
      <c r="BY1" t="e">
        <f>AND('INDEX '!H1,"AAAAAHr7X0w=")</f>
        <v>#VALUE!</v>
      </c>
      <c r="BZ1" t="e">
        <f>AND('INDEX '!I1,"AAAAAHr7X00=")</f>
        <v>#VALUE!</v>
      </c>
      <c r="CA1" t="e">
        <f>AND('INDEX '!J1,"AAAAAHr7X04=")</f>
        <v>#VALUE!</v>
      </c>
      <c r="CB1" t="e">
        <f>AND('INDEX '!K1,"AAAAAHr7X08=")</f>
        <v>#VALUE!</v>
      </c>
      <c r="CC1">
        <f>IF('INDEX '!2:2,"AAAAAHr7X1A=",0)</f>
        <v>0</v>
      </c>
      <c r="CD1" t="e">
        <f>AND('INDEX '!A2,"AAAAAHr7X1E=")</f>
        <v>#VALUE!</v>
      </c>
      <c r="CE1" t="e">
        <f>AND('INDEX '!B2,"AAAAAHr7X1I=")</f>
        <v>#VALUE!</v>
      </c>
      <c r="CF1" t="e">
        <f>AND('INDEX '!C2,"AAAAAHr7X1M=")</f>
        <v>#VALUE!</v>
      </c>
      <c r="CG1" t="e">
        <f>AND('INDEX '!D2,"AAAAAHr7X1Q=")</f>
        <v>#VALUE!</v>
      </c>
      <c r="CH1" t="e">
        <f>AND('INDEX '!E2,"AAAAAHr7X1U=")</f>
        <v>#VALUE!</v>
      </c>
      <c r="CI1" t="e">
        <f>AND('INDEX '!F2,"AAAAAHr7X1Y=")</f>
        <v>#VALUE!</v>
      </c>
      <c r="CJ1" t="e">
        <f>AND('INDEX '!G2,"AAAAAHr7X1c=")</f>
        <v>#VALUE!</v>
      </c>
      <c r="CK1" t="e">
        <f>AND('INDEX '!H2,"AAAAAHr7X1g=")</f>
        <v>#VALUE!</v>
      </c>
      <c r="CL1" t="e">
        <f>AND('INDEX '!I2,"AAAAAHr7X1k=")</f>
        <v>#VALUE!</v>
      </c>
      <c r="CM1" t="e">
        <f>AND('INDEX '!J2,"AAAAAHr7X1o=")</f>
        <v>#VALUE!</v>
      </c>
      <c r="CN1" t="e">
        <f>AND('INDEX '!K2,"AAAAAHr7X1s=")</f>
        <v>#VALUE!</v>
      </c>
      <c r="CO1">
        <f>IF('INDEX '!3:3,"AAAAAHr7X1w=",0)</f>
        <v>0</v>
      </c>
      <c r="CP1" t="e">
        <f>AND('INDEX '!A3,"AAAAAHr7X10=")</f>
        <v>#VALUE!</v>
      </c>
      <c r="CQ1" t="e">
        <f>AND('INDEX '!B3,"AAAAAHr7X14=")</f>
        <v>#VALUE!</v>
      </c>
      <c r="CR1" t="e">
        <f>AND('INDEX '!C3,"AAAAAHr7X18=")</f>
        <v>#VALUE!</v>
      </c>
      <c r="CS1" t="e">
        <f>AND('INDEX '!D3,"AAAAAHr7X2A=")</f>
        <v>#VALUE!</v>
      </c>
      <c r="CT1" t="e">
        <f>AND('INDEX '!E3,"AAAAAHr7X2E=")</f>
        <v>#VALUE!</v>
      </c>
      <c r="CU1" t="e">
        <f>AND('INDEX '!F3,"AAAAAHr7X2I=")</f>
        <v>#VALUE!</v>
      </c>
      <c r="CV1" t="e">
        <f>AND('INDEX '!G3,"AAAAAHr7X2M=")</f>
        <v>#VALUE!</v>
      </c>
      <c r="CW1" t="e">
        <f>AND('INDEX '!H3,"AAAAAHr7X2Q=")</f>
        <v>#VALUE!</v>
      </c>
      <c r="CX1" t="e">
        <f>AND('INDEX '!I3,"AAAAAHr7X2U=")</f>
        <v>#VALUE!</v>
      </c>
      <c r="CY1" t="e">
        <f>AND('INDEX '!J3,"AAAAAHr7X2Y=")</f>
        <v>#VALUE!</v>
      </c>
      <c r="CZ1" t="e">
        <f>AND('INDEX '!K3,"AAAAAHr7X2c=")</f>
        <v>#VALUE!</v>
      </c>
      <c r="DA1">
        <f>IF('INDEX '!4:4,"AAAAAHr7X2g=",0)</f>
        <v>0</v>
      </c>
      <c r="DB1" t="e">
        <f>AND('INDEX '!A4,"AAAAAHr7X2k=")</f>
        <v>#VALUE!</v>
      </c>
      <c r="DC1" t="e">
        <f>AND('INDEX '!B4,"AAAAAHr7X2o=")</f>
        <v>#VALUE!</v>
      </c>
      <c r="DD1" t="e">
        <f>AND('INDEX '!C4,"AAAAAHr7X2s=")</f>
        <v>#VALUE!</v>
      </c>
      <c r="DE1" t="e">
        <f>AND('INDEX '!D4,"AAAAAHr7X2w=")</f>
        <v>#VALUE!</v>
      </c>
      <c r="DF1" t="e">
        <f>AND('INDEX '!E4,"AAAAAHr7X20=")</f>
        <v>#VALUE!</v>
      </c>
      <c r="DG1" t="e">
        <f>AND('INDEX '!F4,"AAAAAHr7X24=")</f>
        <v>#VALUE!</v>
      </c>
      <c r="DH1" t="e">
        <f>AND('INDEX '!G4,"AAAAAHr7X28=")</f>
        <v>#VALUE!</v>
      </c>
      <c r="DI1" t="e">
        <f>AND('INDEX '!H4,"AAAAAHr7X3A=")</f>
        <v>#VALUE!</v>
      </c>
      <c r="DJ1" t="e">
        <f>AND('INDEX '!I4,"AAAAAHr7X3E=")</f>
        <v>#VALUE!</v>
      </c>
      <c r="DK1" t="e">
        <f>AND('INDEX '!J4,"AAAAAHr7X3I=")</f>
        <v>#VALUE!</v>
      </c>
      <c r="DL1" t="e">
        <f>AND('INDEX '!K4,"AAAAAHr7X3M=")</f>
        <v>#VALUE!</v>
      </c>
      <c r="DM1">
        <f>IF('INDEX '!5:5,"AAAAAHr7X3Q=",0)</f>
        <v>0</v>
      </c>
      <c r="DN1" t="e">
        <f>AND('INDEX '!A5,"AAAAAHr7X3U=")</f>
        <v>#VALUE!</v>
      </c>
      <c r="DO1" t="e">
        <f>AND('INDEX '!B5,"AAAAAHr7X3Y=")</f>
        <v>#VALUE!</v>
      </c>
      <c r="DP1" t="e">
        <f>AND('INDEX '!C5,"AAAAAHr7X3c=")</f>
        <v>#VALUE!</v>
      </c>
      <c r="DQ1" t="e">
        <f>AND('INDEX '!D5,"AAAAAHr7X3g=")</f>
        <v>#VALUE!</v>
      </c>
      <c r="DR1" t="e">
        <f>AND('INDEX '!E5,"AAAAAHr7X3k=")</f>
        <v>#VALUE!</v>
      </c>
      <c r="DS1" t="e">
        <f>AND('INDEX '!F5,"AAAAAHr7X3o=")</f>
        <v>#VALUE!</v>
      </c>
      <c r="DT1" t="e">
        <f>AND('INDEX '!G5,"AAAAAHr7X3s=")</f>
        <v>#VALUE!</v>
      </c>
      <c r="DU1" t="e">
        <f>AND('INDEX '!H5,"AAAAAHr7X3w=")</f>
        <v>#VALUE!</v>
      </c>
      <c r="DV1" t="e">
        <f>AND('INDEX '!I5,"AAAAAHr7X30=")</f>
        <v>#VALUE!</v>
      </c>
      <c r="DW1" t="e">
        <f>AND('INDEX '!J5,"AAAAAHr7X34=")</f>
        <v>#VALUE!</v>
      </c>
      <c r="DX1" t="e">
        <f>AND('INDEX '!K5,"AAAAAHr7X38=")</f>
        <v>#VALUE!</v>
      </c>
      <c r="DY1">
        <f>IF('INDEX '!6:6,"AAAAAHr7X4A=",0)</f>
        <v>0</v>
      </c>
      <c r="DZ1" t="e">
        <f>AND('INDEX '!A6,"AAAAAHr7X4E=")</f>
        <v>#VALUE!</v>
      </c>
      <c r="EA1" t="e">
        <f>AND('INDEX '!B6,"AAAAAHr7X4I=")</f>
        <v>#VALUE!</v>
      </c>
      <c r="EB1" t="e">
        <f>AND('INDEX '!C6,"AAAAAHr7X4M=")</f>
        <v>#VALUE!</v>
      </c>
      <c r="EC1" t="e">
        <f>AND('INDEX '!D6,"AAAAAHr7X4Q=")</f>
        <v>#VALUE!</v>
      </c>
      <c r="ED1" t="e">
        <f>AND('INDEX '!E6,"AAAAAHr7X4U=")</f>
        <v>#VALUE!</v>
      </c>
      <c r="EE1" t="e">
        <f>AND('INDEX '!F6,"AAAAAHr7X4Y=")</f>
        <v>#VALUE!</v>
      </c>
      <c r="EF1" t="e">
        <f>AND('INDEX '!G6,"AAAAAHr7X4c=")</f>
        <v>#VALUE!</v>
      </c>
      <c r="EG1" t="e">
        <f>AND('INDEX '!H6,"AAAAAHr7X4g=")</f>
        <v>#VALUE!</v>
      </c>
      <c r="EH1" t="e">
        <f>AND('INDEX '!I6,"AAAAAHr7X4k=")</f>
        <v>#VALUE!</v>
      </c>
      <c r="EI1" t="e">
        <f>AND('INDEX '!J6,"AAAAAHr7X4o=")</f>
        <v>#VALUE!</v>
      </c>
      <c r="EJ1" t="e">
        <f>AND('INDEX '!K6,"AAAAAHr7X4s=")</f>
        <v>#VALUE!</v>
      </c>
      <c r="EK1">
        <f>IF('INDEX '!7:7,"AAAAAHr7X4w=",0)</f>
        <v>0</v>
      </c>
      <c r="EL1" t="e">
        <f>AND('INDEX '!A7,"AAAAAHr7X40=")</f>
        <v>#VALUE!</v>
      </c>
      <c r="EM1" t="e">
        <f>AND('INDEX '!B7,"AAAAAHr7X44=")</f>
        <v>#VALUE!</v>
      </c>
      <c r="EN1" t="e">
        <f>AND('INDEX '!C7,"AAAAAHr7X48=")</f>
        <v>#VALUE!</v>
      </c>
      <c r="EO1" t="e">
        <f>AND('INDEX '!D7,"AAAAAHr7X5A=")</f>
        <v>#VALUE!</v>
      </c>
      <c r="EP1" t="e">
        <f>AND('INDEX '!E7,"AAAAAHr7X5E=")</f>
        <v>#VALUE!</v>
      </c>
      <c r="EQ1" t="e">
        <f>AND('INDEX '!F7,"AAAAAHr7X5I=")</f>
        <v>#VALUE!</v>
      </c>
      <c r="ER1" t="e">
        <f>AND('INDEX '!G7,"AAAAAHr7X5M=")</f>
        <v>#VALUE!</v>
      </c>
      <c r="ES1" t="e">
        <f>AND('INDEX '!H7,"AAAAAHr7X5Q=")</f>
        <v>#VALUE!</v>
      </c>
      <c r="ET1" t="e">
        <f>AND('INDEX '!I7,"AAAAAHr7X5U=")</f>
        <v>#VALUE!</v>
      </c>
      <c r="EU1" t="e">
        <f>AND('INDEX '!J7,"AAAAAHr7X5Y=")</f>
        <v>#VALUE!</v>
      </c>
      <c r="EV1" t="e">
        <f>AND('INDEX '!K7,"AAAAAHr7X5c=")</f>
        <v>#VALUE!</v>
      </c>
      <c r="EW1">
        <f>IF('INDEX '!8:8,"AAAAAHr7X5g=",0)</f>
        <v>0</v>
      </c>
      <c r="EX1" t="e">
        <f>AND('INDEX '!A8,"AAAAAHr7X5k=")</f>
        <v>#VALUE!</v>
      </c>
      <c r="EY1" t="e">
        <f>AND('INDEX '!B8,"AAAAAHr7X5o=")</f>
        <v>#VALUE!</v>
      </c>
      <c r="EZ1" t="e">
        <f>AND('INDEX '!C8,"AAAAAHr7X5s=")</f>
        <v>#VALUE!</v>
      </c>
      <c r="FA1" t="e">
        <f>AND('INDEX '!D8,"AAAAAHr7X5w=")</f>
        <v>#VALUE!</v>
      </c>
      <c r="FB1" t="e">
        <f>AND('INDEX '!E8,"AAAAAHr7X50=")</f>
        <v>#VALUE!</v>
      </c>
      <c r="FC1" t="e">
        <f>AND('INDEX '!F8,"AAAAAHr7X54=")</f>
        <v>#VALUE!</v>
      </c>
      <c r="FD1" t="e">
        <f>AND('INDEX '!G8,"AAAAAHr7X58=")</f>
        <v>#VALUE!</v>
      </c>
      <c r="FE1" t="e">
        <f>AND('INDEX '!H8,"AAAAAHr7X6A=")</f>
        <v>#VALUE!</v>
      </c>
      <c r="FF1" t="e">
        <f>AND('INDEX '!I8,"AAAAAHr7X6E=")</f>
        <v>#VALUE!</v>
      </c>
      <c r="FG1" t="e">
        <f>AND('INDEX '!J8,"AAAAAHr7X6I=")</f>
        <v>#VALUE!</v>
      </c>
      <c r="FH1" t="e">
        <f>AND('INDEX '!K8,"AAAAAHr7X6M=")</f>
        <v>#VALUE!</v>
      </c>
      <c r="FI1">
        <f>IF('INDEX '!9:9,"AAAAAHr7X6Q=",0)</f>
        <v>0</v>
      </c>
      <c r="FJ1" t="e">
        <f>AND('INDEX '!A9,"AAAAAHr7X6U=")</f>
        <v>#VALUE!</v>
      </c>
      <c r="FK1" t="e">
        <f>AND('INDEX '!B9,"AAAAAHr7X6Y=")</f>
        <v>#VALUE!</v>
      </c>
      <c r="FL1" t="e">
        <f>AND('INDEX '!C9,"AAAAAHr7X6c=")</f>
        <v>#VALUE!</v>
      </c>
      <c r="FM1" t="e">
        <f>AND('INDEX '!D9,"AAAAAHr7X6g=")</f>
        <v>#VALUE!</v>
      </c>
      <c r="FN1" t="e">
        <f>AND('INDEX '!E9,"AAAAAHr7X6k=")</f>
        <v>#VALUE!</v>
      </c>
      <c r="FO1" t="e">
        <f>AND('INDEX '!F9,"AAAAAHr7X6o=")</f>
        <v>#VALUE!</v>
      </c>
      <c r="FP1" t="e">
        <f>AND('INDEX '!G9,"AAAAAHr7X6s=")</f>
        <v>#VALUE!</v>
      </c>
      <c r="FQ1" t="e">
        <f>AND('INDEX '!H9,"AAAAAHr7X6w=")</f>
        <v>#VALUE!</v>
      </c>
      <c r="FR1" t="e">
        <f>AND('INDEX '!I9,"AAAAAHr7X60=")</f>
        <v>#VALUE!</v>
      </c>
      <c r="FS1" t="e">
        <f>AND('INDEX '!J9,"AAAAAHr7X64=")</f>
        <v>#VALUE!</v>
      </c>
      <c r="FT1" t="e">
        <f>AND('INDEX '!K9,"AAAAAHr7X68=")</f>
        <v>#VALUE!</v>
      </c>
      <c r="FU1">
        <f>IF('INDEX '!10:10,"AAAAAHr7X7A=",0)</f>
        <v>0</v>
      </c>
      <c r="FV1" t="e">
        <f>AND('INDEX '!A10,"AAAAAHr7X7E=")</f>
        <v>#VALUE!</v>
      </c>
      <c r="FW1" t="e">
        <f>AND('INDEX '!B10,"AAAAAHr7X7I=")</f>
        <v>#VALUE!</v>
      </c>
      <c r="FX1" t="e">
        <f>AND('INDEX '!C10,"AAAAAHr7X7M=")</f>
        <v>#VALUE!</v>
      </c>
      <c r="FY1" t="e">
        <f>AND('INDEX '!D10,"AAAAAHr7X7Q=")</f>
        <v>#VALUE!</v>
      </c>
      <c r="FZ1" t="e">
        <f>AND('INDEX '!E10,"AAAAAHr7X7U=")</f>
        <v>#VALUE!</v>
      </c>
      <c r="GA1" t="e">
        <f>AND('INDEX '!F10,"AAAAAHr7X7Y=")</f>
        <v>#VALUE!</v>
      </c>
      <c r="GB1" t="e">
        <f>AND('INDEX '!G10,"AAAAAHr7X7c=")</f>
        <v>#VALUE!</v>
      </c>
      <c r="GC1" t="e">
        <f>AND('INDEX '!H10,"AAAAAHr7X7g=")</f>
        <v>#VALUE!</v>
      </c>
      <c r="GD1" t="e">
        <f>AND('INDEX '!I10,"AAAAAHr7X7k=")</f>
        <v>#VALUE!</v>
      </c>
      <c r="GE1" t="e">
        <f>AND('INDEX '!J10,"AAAAAHr7X7o=")</f>
        <v>#VALUE!</v>
      </c>
      <c r="GF1" t="e">
        <f>AND('INDEX '!K10,"AAAAAHr7X7s=")</f>
        <v>#VALUE!</v>
      </c>
      <c r="GG1">
        <f>IF('INDEX '!11:11,"AAAAAHr7X7w=",0)</f>
        <v>0</v>
      </c>
      <c r="GH1" t="e">
        <f>AND('INDEX '!A11,"AAAAAHr7X70=")</f>
        <v>#VALUE!</v>
      </c>
      <c r="GI1" t="e">
        <f>AND('INDEX '!B11,"AAAAAHr7X74=")</f>
        <v>#VALUE!</v>
      </c>
      <c r="GJ1" t="e">
        <f>AND('INDEX '!C11,"AAAAAHr7X78=")</f>
        <v>#VALUE!</v>
      </c>
      <c r="GK1" t="e">
        <f>AND('INDEX '!D11,"AAAAAHr7X8A=")</f>
        <v>#VALUE!</v>
      </c>
      <c r="GL1" t="e">
        <f>AND('INDEX '!E11,"AAAAAHr7X8E=")</f>
        <v>#VALUE!</v>
      </c>
      <c r="GM1" t="e">
        <f>AND('INDEX '!F11,"AAAAAHr7X8I=")</f>
        <v>#VALUE!</v>
      </c>
      <c r="GN1" t="e">
        <f>AND('INDEX '!G11,"AAAAAHr7X8M=")</f>
        <v>#VALUE!</v>
      </c>
      <c r="GO1" t="e">
        <f>AND('INDEX '!H11,"AAAAAHr7X8Q=")</f>
        <v>#VALUE!</v>
      </c>
      <c r="GP1" t="e">
        <f>AND('INDEX '!I11,"AAAAAHr7X8U=")</f>
        <v>#VALUE!</v>
      </c>
      <c r="GQ1" t="e">
        <f>AND('INDEX '!J11,"AAAAAHr7X8Y=")</f>
        <v>#VALUE!</v>
      </c>
      <c r="GR1" t="e">
        <f>AND('INDEX '!K11,"AAAAAHr7X8c=")</f>
        <v>#VALUE!</v>
      </c>
      <c r="GS1">
        <f>IF('INDEX '!12:12,"AAAAAHr7X8g=",0)</f>
        <v>0</v>
      </c>
      <c r="GT1" t="e">
        <f>AND('INDEX '!A12,"AAAAAHr7X8k=")</f>
        <v>#VALUE!</v>
      </c>
      <c r="GU1" t="e">
        <f>AND('INDEX '!B12,"AAAAAHr7X8o=")</f>
        <v>#VALUE!</v>
      </c>
      <c r="GV1" t="e">
        <f>AND('INDEX '!C12,"AAAAAHr7X8s=")</f>
        <v>#VALUE!</v>
      </c>
      <c r="GW1" t="e">
        <f>AND('INDEX '!D12,"AAAAAHr7X8w=")</f>
        <v>#VALUE!</v>
      </c>
      <c r="GX1" t="e">
        <f>AND('INDEX '!E12,"AAAAAHr7X80=")</f>
        <v>#VALUE!</v>
      </c>
      <c r="GY1" t="e">
        <f>AND('INDEX '!F12,"AAAAAHr7X84=")</f>
        <v>#VALUE!</v>
      </c>
      <c r="GZ1" t="e">
        <f>AND('INDEX '!G12,"AAAAAHr7X88=")</f>
        <v>#VALUE!</v>
      </c>
      <c r="HA1" t="e">
        <f>AND('INDEX '!H12,"AAAAAHr7X9A=")</f>
        <v>#VALUE!</v>
      </c>
      <c r="HB1" t="e">
        <f>AND('INDEX '!I12,"AAAAAHr7X9E=")</f>
        <v>#VALUE!</v>
      </c>
      <c r="HC1" t="e">
        <f>AND('INDEX '!J12,"AAAAAHr7X9I=")</f>
        <v>#VALUE!</v>
      </c>
      <c r="HD1" t="e">
        <f>AND('INDEX '!K12,"AAAAAHr7X9M=")</f>
        <v>#VALUE!</v>
      </c>
      <c r="HE1">
        <f>IF('INDEX '!13:13,"AAAAAHr7X9Q=",0)</f>
        <v>0</v>
      </c>
      <c r="HF1" t="e">
        <f>AND('INDEX '!A13,"AAAAAHr7X9U=")</f>
        <v>#VALUE!</v>
      </c>
      <c r="HG1" t="e">
        <f>AND('INDEX '!B13,"AAAAAHr7X9Y=")</f>
        <v>#VALUE!</v>
      </c>
      <c r="HH1" t="e">
        <f>AND('INDEX '!C13,"AAAAAHr7X9c=")</f>
        <v>#VALUE!</v>
      </c>
      <c r="HI1" t="e">
        <f>AND('INDEX '!D13,"AAAAAHr7X9g=")</f>
        <v>#VALUE!</v>
      </c>
      <c r="HJ1" t="e">
        <f>AND('INDEX '!E13,"AAAAAHr7X9k=")</f>
        <v>#VALUE!</v>
      </c>
      <c r="HK1" t="e">
        <f>AND('INDEX '!F13,"AAAAAHr7X9o=")</f>
        <v>#VALUE!</v>
      </c>
      <c r="HL1" t="e">
        <f>AND('INDEX '!G13,"AAAAAHr7X9s=")</f>
        <v>#VALUE!</v>
      </c>
      <c r="HM1" t="e">
        <f>AND('INDEX '!H13,"AAAAAHr7X9w=")</f>
        <v>#VALUE!</v>
      </c>
      <c r="HN1" t="e">
        <f>AND('INDEX '!I13,"AAAAAHr7X90=")</f>
        <v>#VALUE!</v>
      </c>
      <c r="HO1" t="e">
        <f>AND('INDEX '!J13,"AAAAAHr7X94=")</f>
        <v>#VALUE!</v>
      </c>
      <c r="HP1" t="e">
        <f>AND('INDEX '!K13,"AAAAAHr7X98=")</f>
        <v>#VALUE!</v>
      </c>
      <c r="HQ1">
        <f>IF('INDEX '!14:14,"AAAAAHr7X+A=",0)</f>
        <v>0</v>
      </c>
      <c r="HR1" t="e">
        <f>AND('INDEX '!A14,"AAAAAHr7X+E=")</f>
        <v>#VALUE!</v>
      </c>
      <c r="HS1" t="e">
        <f>AND('INDEX '!B14,"AAAAAHr7X+I=")</f>
        <v>#VALUE!</v>
      </c>
      <c r="HT1" t="e">
        <f>AND('INDEX '!C14,"AAAAAHr7X+M=")</f>
        <v>#VALUE!</v>
      </c>
      <c r="HU1" t="e">
        <f>AND('INDEX '!D14,"AAAAAHr7X+Q=")</f>
        <v>#VALUE!</v>
      </c>
      <c r="HV1" t="e">
        <f>AND('INDEX '!E14,"AAAAAHr7X+U=")</f>
        <v>#VALUE!</v>
      </c>
      <c r="HW1" t="e">
        <f>AND('INDEX '!F14,"AAAAAHr7X+Y=")</f>
        <v>#VALUE!</v>
      </c>
      <c r="HX1" t="e">
        <f>AND('INDEX '!G14,"AAAAAHr7X+c=")</f>
        <v>#VALUE!</v>
      </c>
      <c r="HY1" t="e">
        <f>AND('INDEX '!H14,"AAAAAHr7X+g=")</f>
        <v>#VALUE!</v>
      </c>
      <c r="HZ1" t="e">
        <f>AND('INDEX '!I14,"AAAAAHr7X+k=")</f>
        <v>#VALUE!</v>
      </c>
      <c r="IA1" t="e">
        <f>AND('INDEX '!J14,"AAAAAHr7X+o=")</f>
        <v>#VALUE!</v>
      </c>
      <c r="IB1" t="e">
        <f>AND('INDEX '!K14,"AAAAAHr7X+s=")</f>
        <v>#VALUE!</v>
      </c>
      <c r="IC1">
        <f>IF('INDEX '!15:15,"AAAAAHr7X+w=",0)</f>
        <v>0</v>
      </c>
      <c r="ID1" t="e">
        <f>AND('INDEX '!A15,"AAAAAHr7X+0=")</f>
        <v>#VALUE!</v>
      </c>
      <c r="IE1" t="e">
        <f>AND('INDEX '!B15,"AAAAAHr7X+4=")</f>
        <v>#VALUE!</v>
      </c>
      <c r="IF1" t="e">
        <f>AND('INDEX '!C15,"AAAAAHr7X+8=")</f>
        <v>#VALUE!</v>
      </c>
      <c r="IG1" t="e">
        <f>AND('INDEX '!D15,"AAAAAHr7X/A=")</f>
        <v>#VALUE!</v>
      </c>
      <c r="IH1" t="e">
        <f>AND('INDEX '!E15,"AAAAAHr7X/E=")</f>
        <v>#VALUE!</v>
      </c>
      <c r="II1" t="e">
        <f>AND('INDEX '!F15,"AAAAAHr7X/I=")</f>
        <v>#VALUE!</v>
      </c>
      <c r="IJ1" t="e">
        <f>AND('INDEX '!G15,"AAAAAHr7X/M=")</f>
        <v>#VALUE!</v>
      </c>
      <c r="IK1" t="e">
        <f>AND('INDEX '!H15,"AAAAAHr7X/Q=")</f>
        <v>#VALUE!</v>
      </c>
      <c r="IL1" t="e">
        <f>AND('INDEX '!I15,"AAAAAHr7X/U=")</f>
        <v>#VALUE!</v>
      </c>
      <c r="IM1" t="e">
        <f>AND('INDEX '!J15,"AAAAAHr7X/Y=")</f>
        <v>#VALUE!</v>
      </c>
      <c r="IN1" t="e">
        <f>AND('INDEX '!K15,"AAAAAHr7X/c=")</f>
        <v>#VALUE!</v>
      </c>
      <c r="IO1">
        <f>IF('INDEX '!16:16,"AAAAAHr7X/g=",0)</f>
        <v>0</v>
      </c>
      <c r="IP1" t="e">
        <f>AND('INDEX '!A16,"AAAAAHr7X/k=")</f>
        <v>#VALUE!</v>
      </c>
      <c r="IQ1" t="e">
        <f>AND('INDEX '!B16,"AAAAAHr7X/o=")</f>
        <v>#VALUE!</v>
      </c>
      <c r="IR1" t="e">
        <f>AND('INDEX '!C16,"AAAAAHr7X/s=")</f>
        <v>#VALUE!</v>
      </c>
      <c r="IS1" t="e">
        <f>AND('INDEX '!D16,"AAAAAHr7X/w=")</f>
        <v>#VALUE!</v>
      </c>
      <c r="IT1" t="e">
        <f>AND('INDEX '!E16,"AAAAAHr7X/0=")</f>
        <v>#VALUE!</v>
      </c>
      <c r="IU1" t="e">
        <f>AND('INDEX '!F16,"AAAAAHr7X/4=")</f>
        <v>#VALUE!</v>
      </c>
      <c r="IV1" t="e">
        <f>AND('INDEX '!G16,"AAAAAHr7X/8=")</f>
        <v>#VALUE!</v>
      </c>
    </row>
    <row r="2" spans="1:256">
      <c r="A2" t="e">
        <f>AND('INDEX '!H16,"AAAAAHbymQA=")</f>
        <v>#VALUE!</v>
      </c>
      <c r="B2" t="e">
        <f>AND('INDEX '!I16,"AAAAAHbymQE=")</f>
        <v>#VALUE!</v>
      </c>
      <c r="C2" t="e">
        <f>AND('INDEX '!J16,"AAAAAHbymQI=")</f>
        <v>#VALUE!</v>
      </c>
      <c r="D2" t="e">
        <f>AND('INDEX '!K16,"AAAAAHbymQM=")</f>
        <v>#VALUE!</v>
      </c>
      <c r="E2" t="str">
        <f>IF('INDEX '!17:17,"AAAAAHbymQQ=",0)</f>
        <v>AAAAAHbymQQ=</v>
      </c>
      <c r="F2" t="e">
        <f>AND('INDEX '!A17,"AAAAAHbymQU=")</f>
        <v>#VALUE!</v>
      </c>
      <c r="G2" t="e">
        <f>AND('INDEX '!B17,"AAAAAHbymQY=")</f>
        <v>#VALUE!</v>
      </c>
      <c r="H2" t="e">
        <f>AND('INDEX '!C17,"AAAAAHbymQc=")</f>
        <v>#VALUE!</v>
      </c>
      <c r="I2" t="e">
        <f>AND('INDEX '!D17,"AAAAAHbymQg=")</f>
        <v>#VALUE!</v>
      </c>
      <c r="J2" t="e">
        <f>AND('INDEX '!E17,"AAAAAHbymQk=")</f>
        <v>#VALUE!</v>
      </c>
      <c r="K2" t="e">
        <f>AND('INDEX '!F17,"AAAAAHbymQo=")</f>
        <v>#VALUE!</v>
      </c>
      <c r="L2" t="e">
        <f>AND('INDEX '!G17,"AAAAAHbymQs=")</f>
        <v>#VALUE!</v>
      </c>
      <c r="M2" t="e">
        <f>AND('INDEX '!H17,"AAAAAHbymQw=")</f>
        <v>#VALUE!</v>
      </c>
      <c r="N2" t="e">
        <f>AND('INDEX '!I17,"AAAAAHbymQ0=")</f>
        <v>#VALUE!</v>
      </c>
      <c r="O2" t="e">
        <f>AND('INDEX '!J17,"AAAAAHbymQ4=")</f>
        <v>#VALUE!</v>
      </c>
      <c r="P2" t="e">
        <f>AND('INDEX '!K17,"AAAAAHbymQ8=")</f>
        <v>#VALUE!</v>
      </c>
      <c r="Q2">
        <f>IF('INDEX '!18:18,"AAAAAHbymRA=",0)</f>
        <v>0</v>
      </c>
      <c r="R2" t="e">
        <f>AND('INDEX '!A18,"AAAAAHbymRE=")</f>
        <v>#VALUE!</v>
      </c>
      <c r="S2" t="e">
        <f>AND('INDEX '!B18,"AAAAAHbymRI=")</f>
        <v>#VALUE!</v>
      </c>
      <c r="T2" t="e">
        <f>AND('INDEX '!C18,"AAAAAHbymRM=")</f>
        <v>#VALUE!</v>
      </c>
      <c r="U2" t="e">
        <f>AND('INDEX '!D18,"AAAAAHbymRQ=")</f>
        <v>#VALUE!</v>
      </c>
      <c r="V2" t="e">
        <f>AND('INDEX '!E18,"AAAAAHbymRU=")</f>
        <v>#VALUE!</v>
      </c>
      <c r="W2" t="e">
        <f>AND('INDEX '!F18,"AAAAAHbymRY=")</f>
        <v>#VALUE!</v>
      </c>
      <c r="X2" t="e">
        <f>AND('INDEX '!G18,"AAAAAHbymRc=")</f>
        <v>#VALUE!</v>
      </c>
      <c r="Y2" t="e">
        <f>AND('INDEX '!H18,"AAAAAHbymRg=")</f>
        <v>#VALUE!</v>
      </c>
      <c r="Z2" t="e">
        <f>AND('INDEX '!I18,"AAAAAHbymRk=")</f>
        <v>#VALUE!</v>
      </c>
      <c r="AA2" t="e">
        <f>AND('INDEX '!J18,"AAAAAHbymRo=")</f>
        <v>#VALUE!</v>
      </c>
      <c r="AB2" t="e">
        <f>AND('INDEX '!K18,"AAAAAHbymRs=")</f>
        <v>#VALUE!</v>
      </c>
      <c r="AC2">
        <f>IF('INDEX '!19:19,"AAAAAHbymRw=",0)</f>
        <v>0</v>
      </c>
      <c r="AD2" t="e">
        <f>AND('INDEX '!A19,"AAAAAHbymR0=")</f>
        <v>#VALUE!</v>
      </c>
      <c r="AE2" t="e">
        <f>AND('INDEX '!B19,"AAAAAHbymR4=")</f>
        <v>#VALUE!</v>
      </c>
      <c r="AF2" t="e">
        <f>AND('INDEX '!C19,"AAAAAHbymR8=")</f>
        <v>#VALUE!</v>
      </c>
      <c r="AG2" t="e">
        <f>AND('INDEX '!D19,"AAAAAHbymSA=")</f>
        <v>#VALUE!</v>
      </c>
      <c r="AH2" t="e">
        <f>AND('INDEX '!E19,"AAAAAHbymSE=")</f>
        <v>#VALUE!</v>
      </c>
      <c r="AI2" t="e">
        <f>AND('INDEX '!F19,"AAAAAHbymSI=")</f>
        <v>#VALUE!</v>
      </c>
      <c r="AJ2" t="e">
        <f>AND('INDEX '!G19,"AAAAAHbymSM=")</f>
        <v>#VALUE!</v>
      </c>
      <c r="AK2" t="e">
        <f>AND('INDEX '!H19,"AAAAAHbymSQ=")</f>
        <v>#VALUE!</v>
      </c>
      <c r="AL2" t="e">
        <f>AND('INDEX '!I19,"AAAAAHbymSU=")</f>
        <v>#VALUE!</v>
      </c>
      <c r="AM2" t="e">
        <f>AND('INDEX '!J19,"AAAAAHbymSY=")</f>
        <v>#VALUE!</v>
      </c>
      <c r="AN2" t="e">
        <f>AND('INDEX '!K19,"AAAAAHbymSc=")</f>
        <v>#VALUE!</v>
      </c>
      <c r="AO2">
        <f>IF('INDEX '!20:20,"AAAAAHbymSg=",0)</f>
        <v>0</v>
      </c>
      <c r="AP2" t="e">
        <f>AND('INDEX '!A20,"AAAAAHbymSk=")</f>
        <v>#VALUE!</v>
      </c>
      <c r="AQ2" t="e">
        <f>AND('INDEX '!B20,"AAAAAHbymSo=")</f>
        <v>#VALUE!</v>
      </c>
      <c r="AR2" t="e">
        <f>AND('INDEX '!C20,"AAAAAHbymSs=")</f>
        <v>#VALUE!</v>
      </c>
      <c r="AS2" t="e">
        <f>AND('INDEX '!D20,"AAAAAHbymSw=")</f>
        <v>#VALUE!</v>
      </c>
      <c r="AT2" t="e">
        <f>AND('INDEX '!E20,"AAAAAHbymS0=")</f>
        <v>#VALUE!</v>
      </c>
      <c r="AU2" t="e">
        <f>AND('INDEX '!F20,"AAAAAHbymS4=")</f>
        <v>#VALUE!</v>
      </c>
      <c r="AV2" t="e">
        <f>AND('INDEX '!G20,"AAAAAHbymS8=")</f>
        <v>#VALUE!</v>
      </c>
      <c r="AW2" t="e">
        <f>AND('INDEX '!H20,"AAAAAHbymTA=")</f>
        <v>#VALUE!</v>
      </c>
      <c r="AX2" t="e">
        <f>AND('INDEX '!I20,"AAAAAHbymTE=")</f>
        <v>#VALUE!</v>
      </c>
      <c r="AY2" t="e">
        <f>AND('INDEX '!J20,"AAAAAHbymTI=")</f>
        <v>#VALUE!</v>
      </c>
      <c r="AZ2" t="e">
        <f>AND('INDEX '!K20,"AAAAAHbymTM=")</f>
        <v>#VALUE!</v>
      </c>
      <c r="BA2">
        <f>IF('INDEX '!21:21,"AAAAAHbymTQ=",0)</f>
        <v>0</v>
      </c>
      <c r="BB2" t="e">
        <f>AND('INDEX '!A21,"AAAAAHbymTU=")</f>
        <v>#VALUE!</v>
      </c>
      <c r="BC2" t="e">
        <f>AND('INDEX '!B21,"AAAAAHbymTY=")</f>
        <v>#VALUE!</v>
      </c>
      <c r="BD2" t="e">
        <f>AND('INDEX '!C21,"AAAAAHbymTc=")</f>
        <v>#VALUE!</v>
      </c>
      <c r="BE2" t="e">
        <f>AND('INDEX '!D21,"AAAAAHbymTg=")</f>
        <v>#VALUE!</v>
      </c>
      <c r="BF2" t="e">
        <f>AND('INDEX '!E21,"AAAAAHbymTk=")</f>
        <v>#VALUE!</v>
      </c>
      <c r="BG2" t="e">
        <f>AND('INDEX '!F21,"AAAAAHbymTo=")</f>
        <v>#VALUE!</v>
      </c>
      <c r="BH2" t="e">
        <f>AND('INDEX '!G21,"AAAAAHbymTs=")</f>
        <v>#VALUE!</v>
      </c>
      <c r="BI2" t="e">
        <f>AND('INDEX '!H21,"AAAAAHbymTw=")</f>
        <v>#VALUE!</v>
      </c>
      <c r="BJ2" t="e">
        <f>AND('INDEX '!I21,"AAAAAHbymT0=")</f>
        <v>#VALUE!</v>
      </c>
      <c r="BK2" t="e">
        <f>AND('INDEX '!J21,"AAAAAHbymT4=")</f>
        <v>#VALUE!</v>
      </c>
      <c r="BL2" t="e">
        <f>AND('INDEX '!K21,"AAAAAHbymT8=")</f>
        <v>#VALUE!</v>
      </c>
      <c r="BM2">
        <f>IF('INDEX '!22:22,"AAAAAHbymUA=",0)</f>
        <v>0</v>
      </c>
      <c r="BN2" t="e">
        <f>AND('INDEX '!A22,"AAAAAHbymUE=")</f>
        <v>#VALUE!</v>
      </c>
      <c r="BO2" t="e">
        <f>AND('INDEX '!B22,"AAAAAHbymUI=")</f>
        <v>#VALUE!</v>
      </c>
      <c r="BP2" t="e">
        <f>AND('INDEX '!C22,"AAAAAHbymUM=")</f>
        <v>#VALUE!</v>
      </c>
      <c r="BQ2" t="e">
        <f>AND('INDEX '!D22,"AAAAAHbymUQ=")</f>
        <v>#VALUE!</v>
      </c>
      <c r="BR2" t="e">
        <f>AND('INDEX '!E22,"AAAAAHbymUU=")</f>
        <v>#VALUE!</v>
      </c>
      <c r="BS2" t="e">
        <f>AND('INDEX '!F22,"AAAAAHbymUY=")</f>
        <v>#VALUE!</v>
      </c>
      <c r="BT2" t="e">
        <f>AND('INDEX '!G22,"AAAAAHbymUc=")</f>
        <v>#VALUE!</v>
      </c>
      <c r="BU2" t="e">
        <f>AND('INDEX '!H22,"AAAAAHbymUg=")</f>
        <v>#VALUE!</v>
      </c>
      <c r="BV2" t="e">
        <f>AND('INDEX '!I22,"AAAAAHbymUk=")</f>
        <v>#VALUE!</v>
      </c>
      <c r="BW2" t="e">
        <f>AND('INDEX '!J22,"AAAAAHbymUo=")</f>
        <v>#VALUE!</v>
      </c>
      <c r="BX2" t="e">
        <f>AND('INDEX '!K22,"AAAAAHbymUs=")</f>
        <v>#VALUE!</v>
      </c>
      <c r="BY2">
        <f>IF('INDEX '!23:23,"AAAAAHbymUw=",0)</f>
        <v>0</v>
      </c>
      <c r="BZ2" t="e">
        <f>AND('INDEX '!A23,"AAAAAHbymU0=")</f>
        <v>#VALUE!</v>
      </c>
      <c r="CA2" t="e">
        <f>AND('INDEX '!B23,"AAAAAHbymU4=")</f>
        <v>#VALUE!</v>
      </c>
      <c r="CB2" t="e">
        <f>AND('INDEX '!C23,"AAAAAHbymU8=")</f>
        <v>#VALUE!</v>
      </c>
      <c r="CC2" t="e">
        <f>AND('INDEX '!D23,"AAAAAHbymVA=")</f>
        <v>#VALUE!</v>
      </c>
      <c r="CD2" t="e">
        <f>AND('INDEX '!E23,"AAAAAHbymVE=")</f>
        <v>#VALUE!</v>
      </c>
      <c r="CE2" t="e">
        <f>AND('INDEX '!F23,"AAAAAHbymVI=")</f>
        <v>#VALUE!</v>
      </c>
      <c r="CF2" t="e">
        <f>AND('INDEX '!G23,"AAAAAHbymVM=")</f>
        <v>#VALUE!</v>
      </c>
      <c r="CG2" t="e">
        <f>AND('INDEX '!H23,"AAAAAHbymVQ=")</f>
        <v>#VALUE!</v>
      </c>
      <c r="CH2" t="e">
        <f>AND('INDEX '!I23,"AAAAAHbymVU=")</f>
        <v>#VALUE!</v>
      </c>
      <c r="CI2" t="e">
        <f>AND('INDEX '!J23,"AAAAAHbymVY=")</f>
        <v>#VALUE!</v>
      </c>
      <c r="CJ2" t="e">
        <f>AND('INDEX '!K23,"AAAAAHbymVc=")</f>
        <v>#VALUE!</v>
      </c>
      <c r="CK2">
        <f>IF('INDEX '!24:24,"AAAAAHbymVg=",0)</f>
        <v>0</v>
      </c>
      <c r="CL2" t="e">
        <f>AND('INDEX '!A24,"AAAAAHbymVk=")</f>
        <v>#VALUE!</v>
      </c>
      <c r="CM2" t="e">
        <f>AND('INDEX '!B24,"AAAAAHbymVo=")</f>
        <v>#VALUE!</v>
      </c>
      <c r="CN2" t="e">
        <f>AND('INDEX '!C24,"AAAAAHbymVs=")</f>
        <v>#VALUE!</v>
      </c>
      <c r="CO2" t="e">
        <f>AND('INDEX '!D24,"AAAAAHbymVw=")</f>
        <v>#VALUE!</v>
      </c>
      <c r="CP2" t="e">
        <f>AND('INDEX '!E24,"AAAAAHbymV0=")</f>
        <v>#VALUE!</v>
      </c>
      <c r="CQ2" t="e">
        <f>AND('INDEX '!F24,"AAAAAHbymV4=")</f>
        <v>#VALUE!</v>
      </c>
      <c r="CR2" t="e">
        <f>AND('INDEX '!G24,"AAAAAHbymV8=")</f>
        <v>#VALUE!</v>
      </c>
      <c r="CS2" t="e">
        <f>AND('INDEX '!H24,"AAAAAHbymWA=")</f>
        <v>#VALUE!</v>
      </c>
      <c r="CT2" t="e">
        <f>AND('INDEX '!I24,"AAAAAHbymWE=")</f>
        <v>#VALUE!</v>
      </c>
      <c r="CU2" t="e">
        <f>AND('INDEX '!J24,"AAAAAHbymWI=")</f>
        <v>#VALUE!</v>
      </c>
      <c r="CV2" t="e">
        <f>AND('INDEX '!K24,"AAAAAHbymWM=")</f>
        <v>#VALUE!</v>
      </c>
      <c r="CW2">
        <f>IF('INDEX '!25:25,"AAAAAHbymWQ=",0)</f>
        <v>0</v>
      </c>
      <c r="CX2" t="e">
        <f>AND('INDEX '!A25,"AAAAAHbymWU=")</f>
        <v>#VALUE!</v>
      </c>
      <c r="CY2" t="e">
        <f>AND('INDEX '!B25,"AAAAAHbymWY=")</f>
        <v>#VALUE!</v>
      </c>
      <c r="CZ2" t="e">
        <f>AND('INDEX '!C25,"AAAAAHbymWc=")</f>
        <v>#VALUE!</v>
      </c>
      <c r="DA2" t="e">
        <f>AND('INDEX '!D25,"AAAAAHbymWg=")</f>
        <v>#VALUE!</v>
      </c>
      <c r="DB2" t="e">
        <f>AND('INDEX '!E25,"AAAAAHbymWk=")</f>
        <v>#VALUE!</v>
      </c>
      <c r="DC2" t="e">
        <f>AND('INDEX '!F25,"AAAAAHbymWo=")</f>
        <v>#VALUE!</v>
      </c>
      <c r="DD2" t="e">
        <f>AND('INDEX '!G25,"AAAAAHbymWs=")</f>
        <v>#VALUE!</v>
      </c>
      <c r="DE2" t="e">
        <f>AND('INDEX '!H25,"AAAAAHbymWw=")</f>
        <v>#VALUE!</v>
      </c>
      <c r="DF2" t="e">
        <f>AND('INDEX '!I25,"AAAAAHbymW0=")</f>
        <v>#VALUE!</v>
      </c>
      <c r="DG2" t="e">
        <f>AND('INDEX '!J25,"AAAAAHbymW4=")</f>
        <v>#VALUE!</v>
      </c>
      <c r="DH2" t="e">
        <f>AND('INDEX '!K25,"AAAAAHbymW8=")</f>
        <v>#VALUE!</v>
      </c>
      <c r="DI2">
        <f>IF('INDEX '!26:26,"AAAAAHbymXA=",0)</f>
        <v>0</v>
      </c>
      <c r="DJ2" t="e">
        <f>AND('INDEX '!A26,"AAAAAHbymXE=")</f>
        <v>#VALUE!</v>
      </c>
      <c r="DK2" t="e">
        <f>AND('INDEX '!B26,"AAAAAHbymXI=")</f>
        <v>#VALUE!</v>
      </c>
      <c r="DL2" t="e">
        <f>AND('INDEX '!C26,"AAAAAHbymXM=")</f>
        <v>#VALUE!</v>
      </c>
      <c r="DM2" t="e">
        <f>AND('INDEX '!D26,"AAAAAHbymXQ=")</f>
        <v>#VALUE!</v>
      </c>
      <c r="DN2" t="e">
        <f>AND('INDEX '!E26,"AAAAAHbymXU=")</f>
        <v>#VALUE!</v>
      </c>
      <c r="DO2" t="e">
        <f>AND('INDEX '!F26,"AAAAAHbymXY=")</f>
        <v>#VALUE!</v>
      </c>
      <c r="DP2" t="e">
        <f>AND('INDEX '!G26,"AAAAAHbymXc=")</f>
        <v>#VALUE!</v>
      </c>
      <c r="DQ2" t="e">
        <f>AND('INDEX '!H26,"AAAAAHbymXg=")</f>
        <v>#VALUE!</v>
      </c>
      <c r="DR2" t="e">
        <f>AND('INDEX '!I26,"AAAAAHbymXk=")</f>
        <v>#VALUE!</v>
      </c>
      <c r="DS2" t="e">
        <f>AND('INDEX '!J26,"AAAAAHbymXo=")</f>
        <v>#VALUE!</v>
      </c>
      <c r="DT2" t="e">
        <f>AND('INDEX '!K26,"AAAAAHbymXs=")</f>
        <v>#VALUE!</v>
      </c>
      <c r="DU2">
        <f>IF('INDEX '!27:27,"AAAAAHbymXw=",0)</f>
        <v>0</v>
      </c>
      <c r="DV2" t="e">
        <f>AND('INDEX '!A27,"AAAAAHbymX0=")</f>
        <v>#VALUE!</v>
      </c>
      <c r="DW2" t="e">
        <f>AND('INDEX '!B27,"AAAAAHbymX4=")</f>
        <v>#VALUE!</v>
      </c>
      <c r="DX2" t="e">
        <f>AND('INDEX '!C27,"AAAAAHbymX8=")</f>
        <v>#VALUE!</v>
      </c>
      <c r="DY2" t="e">
        <f>AND('INDEX '!D27,"AAAAAHbymYA=")</f>
        <v>#VALUE!</v>
      </c>
      <c r="DZ2" t="e">
        <f>AND('INDEX '!E27,"AAAAAHbymYE=")</f>
        <v>#VALUE!</v>
      </c>
      <c r="EA2" t="e">
        <f>AND('INDEX '!F27,"AAAAAHbymYI=")</f>
        <v>#VALUE!</v>
      </c>
      <c r="EB2" t="e">
        <f>AND('INDEX '!G27,"AAAAAHbymYM=")</f>
        <v>#VALUE!</v>
      </c>
      <c r="EC2" t="e">
        <f>AND('INDEX '!H27,"AAAAAHbymYQ=")</f>
        <v>#VALUE!</v>
      </c>
      <c r="ED2" t="e">
        <f>AND('INDEX '!I27,"AAAAAHbymYU=")</f>
        <v>#VALUE!</v>
      </c>
      <c r="EE2" t="e">
        <f>AND('INDEX '!J27,"AAAAAHbymYY=")</f>
        <v>#VALUE!</v>
      </c>
      <c r="EF2" t="e">
        <f>AND('INDEX '!K27,"AAAAAHbymYc=")</f>
        <v>#VALUE!</v>
      </c>
      <c r="EG2">
        <f>IF('INDEX '!28:28,"AAAAAHbymYg=",0)</f>
        <v>0</v>
      </c>
      <c r="EH2" t="e">
        <f>AND('INDEX '!A28,"AAAAAHbymYk=")</f>
        <v>#VALUE!</v>
      </c>
      <c r="EI2" t="e">
        <f>AND('INDEX '!B28,"AAAAAHbymYo=")</f>
        <v>#VALUE!</v>
      </c>
      <c r="EJ2" t="e">
        <f>AND('INDEX '!C28,"AAAAAHbymYs=")</f>
        <v>#VALUE!</v>
      </c>
      <c r="EK2" t="e">
        <f>AND('INDEX '!D28,"AAAAAHbymYw=")</f>
        <v>#VALUE!</v>
      </c>
      <c r="EL2" t="e">
        <f>AND('INDEX '!E28,"AAAAAHbymY0=")</f>
        <v>#VALUE!</v>
      </c>
      <c r="EM2" t="e">
        <f>AND('INDEX '!F28,"AAAAAHbymY4=")</f>
        <v>#VALUE!</v>
      </c>
      <c r="EN2" t="e">
        <f>AND('INDEX '!G28,"AAAAAHbymY8=")</f>
        <v>#VALUE!</v>
      </c>
      <c r="EO2" t="e">
        <f>AND('INDEX '!H28,"AAAAAHbymZA=")</f>
        <v>#VALUE!</v>
      </c>
      <c r="EP2" t="e">
        <f>AND('INDEX '!I28,"AAAAAHbymZE=")</f>
        <v>#VALUE!</v>
      </c>
      <c r="EQ2" t="e">
        <f>AND('INDEX '!J28,"AAAAAHbymZI=")</f>
        <v>#VALUE!</v>
      </c>
      <c r="ER2" t="e">
        <f>AND('INDEX '!K28,"AAAAAHbymZM=")</f>
        <v>#VALUE!</v>
      </c>
      <c r="ES2">
        <f>IF('INDEX '!29:29,"AAAAAHbymZQ=",0)</f>
        <v>0</v>
      </c>
      <c r="ET2" t="e">
        <f>AND('INDEX '!A29,"AAAAAHbymZU=")</f>
        <v>#VALUE!</v>
      </c>
      <c r="EU2" t="e">
        <f>AND('INDEX '!B29,"AAAAAHbymZY=")</f>
        <v>#VALUE!</v>
      </c>
      <c r="EV2" t="e">
        <f>AND('INDEX '!C29,"AAAAAHbymZc=")</f>
        <v>#VALUE!</v>
      </c>
      <c r="EW2" t="e">
        <f>AND('INDEX '!D29,"AAAAAHbymZg=")</f>
        <v>#VALUE!</v>
      </c>
      <c r="EX2" t="e">
        <f>AND('INDEX '!E29,"AAAAAHbymZk=")</f>
        <v>#VALUE!</v>
      </c>
      <c r="EY2" t="e">
        <f>AND('INDEX '!F29,"AAAAAHbymZo=")</f>
        <v>#VALUE!</v>
      </c>
      <c r="EZ2" t="e">
        <f>AND('INDEX '!G29,"AAAAAHbymZs=")</f>
        <v>#VALUE!</v>
      </c>
      <c r="FA2" t="e">
        <f>AND('INDEX '!H29,"AAAAAHbymZw=")</f>
        <v>#VALUE!</v>
      </c>
      <c r="FB2" t="e">
        <f>AND('INDEX '!I29,"AAAAAHbymZ0=")</f>
        <v>#VALUE!</v>
      </c>
      <c r="FC2" t="e">
        <f>AND('INDEX '!J29,"AAAAAHbymZ4=")</f>
        <v>#VALUE!</v>
      </c>
      <c r="FD2" t="e">
        <f>AND('INDEX '!K29,"AAAAAHbymZ8=")</f>
        <v>#VALUE!</v>
      </c>
      <c r="FE2">
        <f>IF('INDEX '!30:30,"AAAAAHbymaA=",0)</f>
        <v>0</v>
      </c>
      <c r="FF2" t="e">
        <f>AND('INDEX '!A30,"AAAAAHbymaE=")</f>
        <v>#VALUE!</v>
      </c>
      <c r="FG2" t="e">
        <f>AND('INDEX '!B30,"AAAAAHbymaI=")</f>
        <v>#VALUE!</v>
      </c>
      <c r="FH2" t="e">
        <f>AND('INDEX '!C30,"AAAAAHbymaM=")</f>
        <v>#VALUE!</v>
      </c>
      <c r="FI2" t="e">
        <f>AND('INDEX '!D30,"AAAAAHbymaQ=")</f>
        <v>#VALUE!</v>
      </c>
      <c r="FJ2" t="e">
        <f>AND('INDEX '!E30,"AAAAAHbymaU=")</f>
        <v>#VALUE!</v>
      </c>
      <c r="FK2" t="e">
        <f>AND('INDEX '!F30,"AAAAAHbymaY=")</f>
        <v>#VALUE!</v>
      </c>
      <c r="FL2" t="e">
        <f>AND('INDEX '!G30,"AAAAAHbymac=")</f>
        <v>#VALUE!</v>
      </c>
      <c r="FM2" t="e">
        <f>AND('INDEX '!H30,"AAAAAHbymag=")</f>
        <v>#VALUE!</v>
      </c>
      <c r="FN2" t="e">
        <f>AND('INDEX '!I30,"AAAAAHbymak=")</f>
        <v>#VALUE!</v>
      </c>
      <c r="FO2" t="e">
        <f>AND('INDEX '!J30,"AAAAAHbymao=")</f>
        <v>#VALUE!</v>
      </c>
      <c r="FP2" t="e">
        <f>AND('INDEX '!K30,"AAAAAHbymas=")</f>
        <v>#VALUE!</v>
      </c>
      <c r="FQ2">
        <f>IF('INDEX '!31:31,"AAAAAHbymaw=",0)</f>
        <v>0</v>
      </c>
      <c r="FR2" t="e">
        <f>AND('INDEX '!A31,"AAAAAHbyma0=")</f>
        <v>#VALUE!</v>
      </c>
      <c r="FS2" t="e">
        <f>AND('INDEX '!B31,"AAAAAHbyma4=")</f>
        <v>#VALUE!</v>
      </c>
      <c r="FT2" t="e">
        <f>AND('INDEX '!C31,"AAAAAHbyma8=")</f>
        <v>#VALUE!</v>
      </c>
      <c r="FU2" t="e">
        <f>AND('INDEX '!D31,"AAAAAHbymbA=")</f>
        <v>#VALUE!</v>
      </c>
      <c r="FV2" t="e">
        <f>AND('INDEX '!E31,"AAAAAHbymbE=")</f>
        <v>#VALUE!</v>
      </c>
      <c r="FW2" t="e">
        <f>AND('INDEX '!F31,"AAAAAHbymbI=")</f>
        <v>#VALUE!</v>
      </c>
      <c r="FX2" t="e">
        <f>AND('INDEX '!G31,"AAAAAHbymbM=")</f>
        <v>#VALUE!</v>
      </c>
      <c r="FY2" t="e">
        <f>AND('INDEX '!H31,"AAAAAHbymbQ=")</f>
        <v>#VALUE!</v>
      </c>
      <c r="FZ2" t="e">
        <f>AND('INDEX '!I31,"AAAAAHbymbU=")</f>
        <v>#VALUE!</v>
      </c>
      <c r="GA2" t="e">
        <f>AND('INDEX '!J31,"AAAAAHbymbY=")</f>
        <v>#VALUE!</v>
      </c>
      <c r="GB2" t="e">
        <f>AND('INDEX '!K31,"AAAAAHbymbc=")</f>
        <v>#VALUE!</v>
      </c>
      <c r="GC2">
        <f>IF('INDEX '!32:32,"AAAAAHbymbg=",0)</f>
        <v>0</v>
      </c>
      <c r="GD2" t="e">
        <f>AND('INDEX '!A32,"AAAAAHbymbk=")</f>
        <v>#VALUE!</v>
      </c>
      <c r="GE2" t="e">
        <f>AND('INDEX '!B32,"AAAAAHbymbo=")</f>
        <v>#VALUE!</v>
      </c>
      <c r="GF2" t="e">
        <f>AND('INDEX '!C32,"AAAAAHbymbs=")</f>
        <v>#VALUE!</v>
      </c>
      <c r="GG2" t="e">
        <f>AND('INDEX '!D32,"AAAAAHbymbw=")</f>
        <v>#VALUE!</v>
      </c>
      <c r="GH2" t="e">
        <f>AND('INDEX '!E32,"AAAAAHbymb0=")</f>
        <v>#VALUE!</v>
      </c>
      <c r="GI2" t="e">
        <f>AND('INDEX '!F32,"AAAAAHbymb4=")</f>
        <v>#VALUE!</v>
      </c>
      <c r="GJ2" t="e">
        <f>AND('INDEX '!G32,"AAAAAHbymb8=")</f>
        <v>#VALUE!</v>
      </c>
      <c r="GK2" t="e">
        <f>AND('INDEX '!H32,"AAAAAHbymcA=")</f>
        <v>#VALUE!</v>
      </c>
      <c r="GL2" t="e">
        <f>AND('INDEX '!I32,"AAAAAHbymcE=")</f>
        <v>#VALUE!</v>
      </c>
      <c r="GM2" t="e">
        <f>AND('INDEX '!J32,"AAAAAHbymcI=")</f>
        <v>#VALUE!</v>
      </c>
      <c r="GN2" t="e">
        <f>AND('INDEX '!K32,"AAAAAHbymcM=")</f>
        <v>#VALUE!</v>
      </c>
      <c r="GO2">
        <f>IF('INDEX '!33:33,"AAAAAHbymcQ=",0)</f>
        <v>0</v>
      </c>
      <c r="GP2" t="e">
        <f>AND('INDEX '!A33,"AAAAAHbymcU=")</f>
        <v>#VALUE!</v>
      </c>
      <c r="GQ2" t="e">
        <f>AND('INDEX '!B33,"AAAAAHbymcY=")</f>
        <v>#VALUE!</v>
      </c>
      <c r="GR2" t="e">
        <f>AND('INDEX '!C33,"AAAAAHbymcc=")</f>
        <v>#VALUE!</v>
      </c>
      <c r="GS2" t="e">
        <f>AND('INDEX '!D33,"AAAAAHbymcg=")</f>
        <v>#VALUE!</v>
      </c>
      <c r="GT2" t="e">
        <f>AND('INDEX '!E33,"AAAAAHbymck=")</f>
        <v>#VALUE!</v>
      </c>
      <c r="GU2" t="e">
        <f>AND('INDEX '!F33,"AAAAAHbymco=")</f>
        <v>#VALUE!</v>
      </c>
      <c r="GV2" t="e">
        <f>AND('INDEX '!G33,"AAAAAHbymcs=")</f>
        <v>#VALUE!</v>
      </c>
      <c r="GW2" t="e">
        <f>AND('INDEX '!H33,"AAAAAHbymcw=")</f>
        <v>#VALUE!</v>
      </c>
      <c r="GX2" t="e">
        <f>AND('INDEX '!I33,"AAAAAHbymc0=")</f>
        <v>#VALUE!</v>
      </c>
      <c r="GY2" t="e">
        <f>AND('INDEX '!J33,"AAAAAHbymc4=")</f>
        <v>#VALUE!</v>
      </c>
      <c r="GZ2" t="e">
        <f>AND('INDEX '!K33,"AAAAAHbymc8=")</f>
        <v>#VALUE!</v>
      </c>
      <c r="HA2">
        <f>IF('INDEX '!34:34,"AAAAAHbymdA=",0)</f>
        <v>0</v>
      </c>
      <c r="HB2" t="e">
        <f>AND('INDEX '!A34,"AAAAAHbymdE=")</f>
        <v>#VALUE!</v>
      </c>
      <c r="HC2" t="e">
        <f>AND('INDEX '!B34,"AAAAAHbymdI=")</f>
        <v>#VALUE!</v>
      </c>
      <c r="HD2" t="e">
        <f>AND('INDEX '!C34,"AAAAAHbymdM=")</f>
        <v>#VALUE!</v>
      </c>
      <c r="HE2" t="e">
        <f>AND('INDEX '!D34,"AAAAAHbymdQ=")</f>
        <v>#VALUE!</v>
      </c>
      <c r="HF2" t="e">
        <f>AND('INDEX '!E34,"AAAAAHbymdU=")</f>
        <v>#VALUE!</v>
      </c>
      <c r="HG2" t="e">
        <f>AND('INDEX '!F34,"AAAAAHbymdY=")</f>
        <v>#VALUE!</v>
      </c>
      <c r="HH2" t="e">
        <f>AND('INDEX '!G34,"AAAAAHbymdc=")</f>
        <v>#VALUE!</v>
      </c>
      <c r="HI2" t="e">
        <f>AND('INDEX '!H34,"AAAAAHbymdg=")</f>
        <v>#VALUE!</v>
      </c>
      <c r="HJ2" t="e">
        <f>AND('INDEX '!I34,"AAAAAHbymdk=")</f>
        <v>#VALUE!</v>
      </c>
      <c r="HK2" t="e">
        <f>AND('INDEX '!J34,"AAAAAHbymdo=")</f>
        <v>#VALUE!</v>
      </c>
      <c r="HL2" t="e">
        <f>AND('INDEX '!K34,"AAAAAHbymds=")</f>
        <v>#VALUE!</v>
      </c>
      <c r="HM2">
        <f>IF('INDEX '!35:35,"AAAAAHbymdw=",0)</f>
        <v>0</v>
      </c>
      <c r="HN2" t="e">
        <f>AND('INDEX '!A35,"AAAAAHbymd0=")</f>
        <v>#VALUE!</v>
      </c>
      <c r="HO2" t="e">
        <f>AND('INDEX '!B35,"AAAAAHbymd4=")</f>
        <v>#VALUE!</v>
      </c>
      <c r="HP2" t="e">
        <f>AND('INDEX '!C35,"AAAAAHbymd8=")</f>
        <v>#VALUE!</v>
      </c>
      <c r="HQ2" t="e">
        <f>AND('INDEX '!D35,"AAAAAHbymeA=")</f>
        <v>#VALUE!</v>
      </c>
      <c r="HR2" t="e">
        <f>AND('INDEX '!E35,"AAAAAHbymeE=")</f>
        <v>#VALUE!</v>
      </c>
      <c r="HS2" t="e">
        <f>AND('INDEX '!F35,"AAAAAHbymeI=")</f>
        <v>#VALUE!</v>
      </c>
      <c r="HT2" t="e">
        <f>AND('INDEX '!G35,"AAAAAHbymeM=")</f>
        <v>#VALUE!</v>
      </c>
      <c r="HU2" t="e">
        <f>AND('INDEX '!H35,"AAAAAHbymeQ=")</f>
        <v>#VALUE!</v>
      </c>
      <c r="HV2" t="e">
        <f>AND('INDEX '!I35,"AAAAAHbymeU=")</f>
        <v>#VALUE!</v>
      </c>
      <c r="HW2" t="e">
        <f>AND('INDEX '!J35,"AAAAAHbymeY=")</f>
        <v>#VALUE!</v>
      </c>
      <c r="HX2" t="e">
        <f>AND('INDEX '!K35,"AAAAAHbymec=")</f>
        <v>#VALUE!</v>
      </c>
      <c r="HY2">
        <f>IF('INDEX '!36:36,"AAAAAHbymeg=",0)</f>
        <v>0</v>
      </c>
      <c r="HZ2" t="e">
        <f>AND('INDEX '!A36,"AAAAAHbymek=")</f>
        <v>#VALUE!</v>
      </c>
      <c r="IA2" t="e">
        <f>AND('INDEX '!B36,"AAAAAHbymeo=")</f>
        <v>#VALUE!</v>
      </c>
      <c r="IB2" t="e">
        <f>AND('INDEX '!C36,"AAAAAHbymes=")</f>
        <v>#VALUE!</v>
      </c>
      <c r="IC2" t="e">
        <f>AND('INDEX '!D36,"AAAAAHbymew=")</f>
        <v>#VALUE!</v>
      </c>
      <c r="ID2" t="e">
        <f>AND('INDEX '!E36,"AAAAAHbyme0=")</f>
        <v>#VALUE!</v>
      </c>
      <c r="IE2" t="e">
        <f>AND('INDEX '!F36,"AAAAAHbyme4=")</f>
        <v>#VALUE!</v>
      </c>
      <c r="IF2" t="e">
        <f>AND('INDEX '!G36,"AAAAAHbyme8=")</f>
        <v>#VALUE!</v>
      </c>
      <c r="IG2" t="e">
        <f>AND('INDEX '!H36,"AAAAAHbymfA=")</f>
        <v>#VALUE!</v>
      </c>
      <c r="IH2" t="e">
        <f>AND('INDEX '!I36,"AAAAAHbymfE=")</f>
        <v>#VALUE!</v>
      </c>
      <c r="II2" t="e">
        <f>AND('INDEX '!J36,"AAAAAHbymfI=")</f>
        <v>#VALUE!</v>
      </c>
      <c r="IJ2" t="e">
        <f>AND('INDEX '!K36,"AAAAAHbymfM=")</f>
        <v>#VALUE!</v>
      </c>
      <c r="IK2">
        <f>IF('INDEX '!37:37,"AAAAAHbymfQ=",0)</f>
        <v>0</v>
      </c>
      <c r="IL2" t="e">
        <f>AND('INDEX '!A37,"AAAAAHbymfU=")</f>
        <v>#VALUE!</v>
      </c>
      <c r="IM2" t="e">
        <f>AND('INDEX '!B37,"AAAAAHbymfY=")</f>
        <v>#VALUE!</v>
      </c>
      <c r="IN2" t="e">
        <f>AND('INDEX '!C37,"AAAAAHbymfc=")</f>
        <v>#VALUE!</v>
      </c>
      <c r="IO2" t="e">
        <f>AND('INDEX '!D37,"AAAAAHbymfg=")</f>
        <v>#VALUE!</v>
      </c>
      <c r="IP2" t="e">
        <f>AND('INDEX '!E37,"AAAAAHbymfk=")</f>
        <v>#VALUE!</v>
      </c>
      <c r="IQ2" t="e">
        <f>AND('INDEX '!F37,"AAAAAHbymfo=")</f>
        <v>#VALUE!</v>
      </c>
      <c r="IR2" t="e">
        <f>AND('INDEX '!G37,"AAAAAHbymfs=")</f>
        <v>#VALUE!</v>
      </c>
      <c r="IS2" t="e">
        <f>AND('INDEX '!H37,"AAAAAHbymfw=")</f>
        <v>#VALUE!</v>
      </c>
      <c r="IT2" t="e">
        <f>AND('INDEX '!I37,"AAAAAHbymf0=")</f>
        <v>#VALUE!</v>
      </c>
      <c r="IU2" t="e">
        <f>AND('INDEX '!J37,"AAAAAHbymf4=")</f>
        <v>#VALUE!</v>
      </c>
      <c r="IV2" t="e">
        <f>AND('INDEX '!K37,"AAAAAHbymf8=")</f>
        <v>#VALUE!</v>
      </c>
    </row>
    <row r="3" spans="1:256">
      <c r="A3">
        <f>IF('INDEX '!38:38,"AAAAAH+dLQA=",0)</f>
        <v>0</v>
      </c>
      <c r="B3" t="e">
        <f>AND('INDEX '!A38,"AAAAAH+dLQE=")</f>
        <v>#VALUE!</v>
      </c>
      <c r="C3" t="e">
        <f>AND('INDEX '!B38,"AAAAAH+dLQI=")</f>
        <v>#VALUE!</v>
      </c>
      <c r="D3" t="e">
        <f>AND('INDEX '!C38,"AAAAAH+dLQM=")</f>
        <v>#VALUE!</v>
      </c>
      <c r="E3" t="e">
        <f>AND('INDEX '!D38,"AAAAAH+dLQQ=")</f>
        <v>#VALUE!</v>
      </c>
      <c r="F3" t="e">
        <f>AND('INDEX '!E38,"AAAAAH+dLQU=")</f>
        <v>#VALUE!</v>
      </c>
      <c r="G3" t="e">
        <f>AND('INDEX '!F38,"AAAAAH+dLQY=")</f>
        <v>#VALUE!</v>
      </c>
      <c r="H3" t="e">
        <f>AND('INDEX '!G38,"AAAAAH+dLQc=")</f>
        <v>#VALUE!</v>
      </c>
      <c r="I3" t="e">
        <f>AND('INDEX '!H38,"AAAAAH+dLQg=")</f>
        <v>#VALUE!</v>
      </c>
      <c r="J3" t="e">
        <f>AND('INDEX '!I38,"AAAAAH+dLQk=")</f>
        <v>#VALUE!</v>
      </c>
      <c r="K3" t="e">
        <f>AND('INDEX '!J38,"AAAAAH+dLQo=")</f>
        <v>#VALUE!</v>
      </c>
      <c r="L3" t="e">
        <f>AND('INDEX '!K38,"AAAAAH+dLQs=")</f>
        <v>#VALUE!</v>
      </c>
      <c r="M3">
        <f>IF('INDEX '!39:39,"AAAAAH+dLQw=",0)</f>
        <v>0</v>
      </c>
      <c r="N3" t="e">
        <f>AND('INDEX '!A39,"AAAAAH+dLQ0=")</f>
        <v>#VALUE!</v>
      </c>
      <c r="O3" t="e">
        <f>AND('INDEX '!B39,"AAAAAH+dLQ4=")</f>
        <v>#VALUE!</v>
      </c>
      <c r="P3" t="e">
        <f>AND('INDEX '!C39,"AAAAAH+dLQ8=")</f>
        <v>#VALUE!</v>
      </c>
      <c r="Q3" t="e">
        <f>AND('INDEX '!D39,"AAAAAH+dLRA=")</f>
        <v>#VALUE!</v>
      </c>
      <c r="R3" t="e">
        <f>AND('INDEX '!E39,"AAAAAH+dLRE=")</f>
        <v>#VALUE!</v>
      </c>
      <c r="S3" t="e">
        <f>AND('INDEX '!F39,"AAAAAH+dLRI=")</f>
        <v>#VALUE!</v>
      </c>
      <c r="T3" t="e">
        <f>AND('INDEX '!G39,"AAAAAH+dLRM=")</f>
        <v>#VALUE!</v>
      </c>
      <c r="U3" t="e">
        <f>AND('INDEX '!H39,"AAAAAH+dLRQ=")</f>
        <v>#VALUE!</v>
      </c>
      <c r="V3" t="e">
        <f>AND('INDEX '!I39,"AAAAAH+dLRU=")</f>
        <v>#VALUE!</v>
      </c>
      <c r="W3" t="e">
        <f>AND('INDEX '!J39,"AAAAAH+dLRY=")</f>
        <v>#VALUE!</v>
      </c>
      <c r="X3" t="e">
        <f>AND('INDEX '!K39,"AAAAAH+dLRc=")</f>
        <v>#VALUE!</v>
      </c>
      <c r="Y3">
        <f>IF('INDEX '!40:40,"AAAAAH+dLRg=",0)</f>
        <v>0</v>
      </c>
      <c r="Z3" t="e">
        <f>AND('INDEX '!A40,"AAAAAH+dLRk=")</f>
        <v>#VALUE!</v>
      </c>
      <c r="AA3" t="e">
        <f>AND('INDEX '!B40,"AAAAAH+dLRo=")</f>
        <v>#VALUE!</v>
      </c>
      <c r="AB3" t="e">
        <f>AND('INDEX '!C40,"AAAAAH+dLRs=")</f>
        <v>#VALUE!</v>
      </c>
      <c r="AC3" t="e">
        <f>AND('INDEX '!D40,"AAAAAH+dLRw=")</f>
        <v>#VALUE!</v>
      </c>
      <c r="AD3" t="e">
        <f>AND('INDEX '!E40,"AAAAAH+dLR0=")</f>
        <v>#VALUE!</v>
      </c>
      <c r="AE3" t="e">
        <f>AND('INDEX '!F40,"AAAAAH+dLR4=")</f>
        <v>#VALUE!</v>
      </c>
      <c r="AF3" t="e">
        <f>AND('INDEX '!G40,"AAAAAH+dLR8=")</f>
        <v>#VALUE!</v>
      </c>
      <c r="AG3" t="e">
        <f>AND('INDEX '!H40,"AAAAAH+dLSA=")</f>
        <v>#VALUE!</v>
      </c>
      <c r="AH3" t="e">
        <f>AND('INDEX '!I40,"AAAAAH+dLSE=")</f>
        <v>#VALUE!</v>
      </c>
      <c r="AI3" t="e">
        <f>AND('INDEX '!J40,"AAAAAH+dLSI=")</f>
        <v>#VALUE!</v>
      </c>
      <c r="AJ3" t="e">
        <f>AND('INDEX '!K40,"AAAAAH+dLSM=")</f>
        <v>#VALUE!</v>
      </c>
      <c r="AK3">
        <f>IF('INDEX '!41:41,"AAAAAH+dLSQ=",0)</f>
        <v>0</v>
      </c>
      <c r="AL3" t="e">
        <f>AND('INDEX '!A41,"AAAAAH+dLSU=")</f>
        <v>#VALUE!</v>
      </c>
      <c r="AM3" t="e">
        <f>AND('INDEX '!B41,"AAAAAH+dLSY=")</f>
        <v>#VALUE!</v>
      </c>
      <c r="AN3" t="e">
        <f>AND('INDEX '!C41,"AAAAAH+dLSc=")</f>
        <v>#VALUE!</v>
      </c>
      <c r="AO3" t="e">
        <f>AND('INDEX '!D41,"AAAAAH+dLSg=")</f>
        <v>#VALUE!</v>
      </c>
      <c r="AP3" t="e">
        <f>AND('INDEX '!E41,"AAAAAH+dLSk=")</f>
        <v>#VALUE!</v>
      </c>
      <c r="AQ3" t="e">
        <f>AND('INDEX '!F41,"AAAAAH+dLSo=")</f>
        <v>#VALUE!</v>
      </c>
      <c r="AR3" t="e">
        <f>AND('INDEX '!G41,"AAAAAH+dLSs=")</f>
        <v>#VALUE!</v>
      </c>
      <c r="AS3" t="e">
        <f>AND('INDEX '!H41,"AAAAAH+dLSw=")</f>
        <v>#VALUE!</v>
      </c>
      <c r="AT3" t="e">
        <f>AND('INDEX '!I41,"AAAAAH+dLS0=")</f>
        <v>#VALUE!</v>
      </c>
      <c r="AU3" t="e">
        <f>AND('INDEX '!J41,"AAAAAH+dLS4=")</f>
        <v>#VALUE!</v>
      </c>
      <c r="AV3" t="e">
        <f>AND('INDEX '!K41,"AAAAAH+dLS8=")</f>
        <v>#VALUE!</v>
      </c>
      <c r="AW3">
        <f>IF('INDEX '!42:42,"AAAAAH+dLTA=",0)</f>
        <v>0</v>
      </c>
      <c r="AX3" t="e">
        <f>AND('INDEX '!A42,"AAAAAH+dLTE=")</f>
        <v>#VALUE!</v>
      </c>
      <c r="AY3" t="e">
        <f>AND('INDEX '!B42,"AAAAAH+dLTI=")</f>
        <v>#VALUE!</v>
      </c>
      <c r="AZ3" t="e">
        <f>AND('INDEX '!C42,"AAAAAH+dLTM=")</f>
        <v>#VALUE!</v>
      </c>
      <c r="BA3" t="e">
        <f>AND('INDEX '!D42,"AAAAAH+dLTQ=")</f>
        <v>#VALUE!</v>
      </c>
      <c r="BB3" t="e">
        <f>AND('INDEX '!E42,"AAAAAH+dLTU=")</f>
        <v>#VALUE!</v>
      </c>
      <c r="BC3" t="e">
        <f>AND('INDEX '!F42,"AAAAAH+dLTY=")</f>
        <v>#VALUE!</v>
      </c>
      <c r="BD3" t="e">
        <f>AND('INDEX '!G42,"AAAAAH+dLTc=")</f>
        <v>#VALUE!</v>
      </c>
      <c r="BE3" t="e">
        <f>AND('INDEX '!H42,"AAAAAH+dLTg=")</f>
        <v>#VALUE!</v>
      </c>
      <c r="BF3" t="e">
        <f>AND('INDEX '!I42,"AAAAAH+dLTk=")</f>
        <v>#VALUE!</v>
      </c>
      <c r="BG3" t="e">
        <f>AND('INDEX '!J42,"AAAAAH+dLTo=")</f>
        <v>#VALUE!</v>
      </c>
      <c r="BH3" t="e">
        <f>AND('INDEX '!K42,"AAAAAH+dLTs=")</f>
        <v>#VALUE!</v>
      </c>
      <c r="BI3">
        <f>IF('INDEX '!43:43,"AAAAAH+dLTw=",0)</f>
        <v>0</v>
      </c>
      <c r="BJ3" t="e">
        <f>AND('INDEX '!A43,"AAAAAH+dLT0=")</f>
        <v>#VALUE!</v>
      </c>
      <c r="BK3" t="e">
        <f>AND('INDEX '!B43,"AAAAAH+dLT4=")</f>
        <v>#VALUE!</v>
      </c>
      <c r="BL3" t="e">
        <f>AND('INDEX '!C43,"AAAAAH+dLT8=")</f>
        <v>#VALUE!</v>
      </c>
      <c r="BM3" t="e">
        <f>AND('INDEX '!D43,"AAAAAH+dLUA=")</f>
        <v>#VALUE!</v>
      </c>
      <c r="BN3" t="e">
        <f>AND('INDEX '!E43,"AAAAAH+dLUE=")</f>
        <v>#VALUE!</v>
      </c>
      <c r="BO3" t="e">
        <f>AND('INDEX '!F43,"AAAAAH+dLUI=")</f>
        <v>#VALUE!</v>
      </c>
      <c r="BP3" t="e">
        <f>AND('INDEX '!G43,"AAAAAH+dLUM=")</f>
        <v>#VALUE!</v>
      </c>
      <c r="BQ3" t="e">
        <f>AND('INDEX '!H43,"AAAAAH+dLUQ=")</f>
        <v>#VALUE!</v>
      </c>
      <c r="BR3" t="e">
        <f>AND('INDEX '!I43,"AAAAAH+dLUU=")</f>
        <v>#VALUE!</v>
      </c>
      <c r="BS3" t="e">
        <f>AND('INDEX '!J43,"AAAAAH+dLUY=")</f>
        <v>#VALUE!</v>
      </c>
      <c r="BT3" t="e">
        <f>AND('INDEX '!K43,"AAAAAH+dLUc=")</f>
        <v>#VALUE!</v>
      </c>
      <c r="BU3">
        <f>IF('INDEX '!44:44,"AAAAAH+dLUg=",0)</f>
        <v>0</v>
      </c>
      <c r="BV3" t="e">
        <f>AND('INDEX '!A44,"AAAAAH+dLUk=")</f>
        <v>#VALUE!</v>
      </c>
      <c r="BW3" t="e">
        <f>AND('INDEX '!B44,"AAAAAH+dLUo=")</f>
        <v>#VALUE!</v>
      </c>
      <c r="BX3" t="e">
        <f>AND('INDEX '!C44,"AAAAAH+dLUs=")</f>
        <v>#VALUE!</v>
      </c>
      <c r="BY3" t="e">
        <f>AND('INDEX '!D44,"AAAAAH+dLUw=")</f>
        <v>#VALUE!</v>
      </c>
      <c r="BZ3" t="e">
        <f>AND('INDEX '!E44,"AAAAAH+dLU0=")</f>
        <v>#VALUE!</v>
      </c>
      <c r="CA3" t="e">
        <f>AND('INDEX '!F44,"AAAAAH+dLU4=")</f>
        <v>#VALUE!</v>
      </c>
      <c r="CB3" t="e">
        <f>AND('INDEX '!G44,"AAAAAH+dLU8=")</f>
        <v>#VALUE!</v>
      </c>
      <c r="CC3" t="e">
        <f>AND('INDEX '!H44,"AAAAAH+dLVA=")</f>
        <v>#VALUE!</v>
      </c>
      <c r="CD3" t="e">
        <f>AND('INDEX '!I44,"AAAAAH+dLVE=")</f>
        <v>#VALUE!</v>
      </c>
      <c r="CE3" t="e">
        <f>AND('INDEX '!J44,"AAAAAH+dLVI=")</f>
        <v>#VALUE!</v>
      </c>
      <c r="CF3" t="e">
        <f>AND('INDEX '!K44,"AAAAAH+dLVM=")</f>
        <v>#VALUE!</v>
      </c>
      <c r="CG3">
        <f>IF('INDEX '!45:45,"AAAAAH+dLVQ=",0)</f>
        <v>0</v>
      </c>
      <c r="CH3" t="e">
        <f>AND('INDEX '!A45,"AAAAAH+dLVU=")</f>
        <v>#VALUE!</v>
      </c>
      <c r="CI3" t="e">
        <f>AND('INDEX '!B45,"AAAAAH+dLVY=")</f>
        <v>#VALUE!</v>
      </c>
      <c r="CJ3" t="e">
        <f>AND('INDEX '!C45,"AAAAAH+dLVc=")</f>
        <v>#VALUE!</v>
      </c>
      <c r="CK3" t="e">
        <f>AND('INDEX '!D45,"AAAAAH+dLVg=")</f>
        <v>#VALUE!</v>
      </c>
      <c r="CL3" t="e">
        <f>AND('INDEX '!E45,"AAAAAH+dLVk=")</f>
        <v>#VALUE!</v>
      </c>
      <c r="CM3" t="e">
        <f>AND('INDEX '!F45,"AAAAAH+dLVo=")</f>
        <v>#VALUE!</v>
      </c>
      <c r="CN3" t="e">
        <f>AND('INDEX '!G45,"AAAAAH+dLVs=")</f>
        <v>#VALUE!</v>
      </c>
      <c r="CO3" t="e">
        <f>AND('INDEX '!H45,"AAAAAH+dLVw=")</f>
        <v>#VALUE!</v>
      </c>
      <c r="CP3" t="e">
        <f>AND('INDEX '!I45,"AAAAAH+dLV0=")</f>
        <v>#VALUE!</v>
      </c>
      <c r="CQ3" t="e">
        <f>AND('INDEX '!J45,"AAAAAH+dLV4=")</f>
        <v>#VALUE!</v>
      </c>
      <c r="CR3" t="e">
        <f>AND('INDEX '!K45,"AAAAAH+dLV8=")</f>
        <v>#VALUE!</v>
      </c>
      <c r="CS3">
        <f>IF('INDEX '!46:46,"AAAAAH+dLWA=",0)</f>
        <v>0</v>
      </c>
      <c r="CT3" t="e">
        <f>AND('INDEX '!A46,"AAAAAH+dLWE=")</f>
        <v>#VALUE!</v>
      </c>
      <c r="CU3" t="e">
        <f>AND('INDEX '!B46,"AAAAAH+dLWI=")</f>
        <v>#VALUE!</v>
      </c>
      <c r="CV3" t="e">
        <f>AND('INDEX '!C46,"AAAAAH+dLWM=")</f>
        <v>#VALUE!</v>
      </c>
      <c r="CW3" t="e">
        <f>AND('INDEX '!D46,"AAAAAH+dLWQ=")</f>
        <v>#VALUE!</v>
      </c>
      <c r="CX3" t="e">
        <f>AND('INDEX '!E46,"AAAAAH+dLWU=")</f>
        <v>#VALUE!</v>
      </c>
      <c r="CY3" t="e">
        <f>AND('INDEX '!F46,"AAAAAH+dLWY=")</f>
        <v>#VALUE!</v>
      </c>
      <c r="CZ3" t="e">
        <f>AND('INDEX '!G46,"AAAAAH+dLWc=")</f>
        <v>#VALUE!</v>
      </c>
      <c r="DA3" t="e">
        <f>AND('INDEX '!H46,"AAAAAH+dLWg=")</f>
        <v>#VALUE!</v>
      </c>
      <c r="DB3" t="e">
        <f>AND('INDEX '!I46,"AAAAAH+dLWk=")</f>
        <v>#VALUE!</v>
      </c>
      <c r="DC3" t="e">
        <f>AND('INDEX '!J46,"AAAAAH+dLWo=")</f>
        <v>#VALUE!</v>
      </c>
      <c r="DD3" t="e">
        <f>AND('INDEX '!K46,"AAAAAH+dLWs=")</f>
        <v>#VALUE!</v>
      </c>
      <c r="DE3">
        <f>IF('INDEX '!47:47,"AAAAAH+dLWw=",0)</f>
        <v>0</v>
      </c>
      <c r="DF3" t="e">
        <f>AND('INDEX '!A47,"AAAAAH+dLW0=")</f>
        <v>#VALUE!</v>
      </c>
      <c r="DG3" t="e">
        <f>AND('INDEX '!B47,"AAAAAH+dLW4=")</f>
        <v>#VALUE!</v>
      </c>
      <c r="DH3" t="e">
        <f>AND('INDEX '!C47,"AAAAAH+dLW8=")</f>
        <v>#VALUE!</v>
      </c>
      <c r="DI3" t="e">
        <f>AND('INDEX '!D47,"AAAAAH+dLXA=")</f>
        <v>#VALUE!</v>
      </c>
      <c r="DJ3" t="e">
        <f>AND('INDEX '!E47,"AAAAAH+dLXE=")</f>
        <v>#VALUE!</v>
      </c>
      <c r="DK3" t="e">
        <f>AND('INDEX '!F47,"AAAAAH+dLXI=")</f>
        <v>#VALUE!</v>
      </c>
      <c r="DL3" t="e">
        <f>AND('INDEX '!G47,"AAAAAH+dLXM=")</f>
        <v>#VALUE!</v>
      </c>
      <c r="DM3" t="e">
        <f>AND('INDEX '!H47,"AAAAAH+dLXQ=")</f>
        <v>#VALUE!</v>
      </c>
      <c r="DN3" t="e">
        <f>AND('INDEX '!I47,"AAAAAH+dLXU=")</f>
        <v>#VALUE!</v>
      </c>
      <c r="DO3" t="e">
        <f>AND('INDEX '!J47,"AAAAAH+dLXY=")</f>
        <v>#VALUE!</v>
      </c>
      <c r="DP3" t="e">
        <f>AND('INDEX '!K47,"AAAAAH+dLXc=")</f>
        <v>#VALUE!</v>
      </c>
      <c r="DQ3">
        <f>IF('INDEX '!48:48,"AAAAAH+dLXg=",0)</f>
        <v>0</v>
      </c>
      <c r="DR3" t="e">
        <f>AND('INDEX '!A48,"AAAAAH+dLXk=")</f>
        <v>#VALUE!</v>
      </c>
      <c r="DS3" t="e">
        <f>AND('INDEX '!B48,"AAAAAH+dLXo=")</f>
        <v>#VALUE!</v>
      </c>
      <c r="DT3" t="e">
        <f>AND('INDEX '!C48,"AAAAAH+dLXs=")</f>
        <v>#VALUE!</v>
      </c>
      <c r="DU3" t="e">
        <f>AND('INDEX '!D48,"AAAAAH+dLXw=")</f>
        <v>#VALUE!</v>
      </c>
      <c r="DV3" t="e">
        <f>AND('INDEX '!E48,"AAAAAH+dLX0=")</f>
        <v>#VALUE!</v>
      </c>
      <c r="DW3" t="e">
        <f>AND('INDEX '!F48,"AAAAAH+dLX4=")</f>
        <v>#VALUE!</v>
      </c>
      <c r="DX3" t="e">
        <f>AND('INDEX '!G48,"AAAAAH+dLX8=")</f>
        <v>#VALUE!</v>
      </c>
      <c r="DY3" t="e">
        <f>AND('INDEX '!H48,"AAAAAH+dLYA=")</f>
        <v>#VALUE!</v>
      </c>
      <c r="DZ3" t="e">
        <f>AND('INDEX '!I48,"AAAAAH+dLYE=")</f>
        <v>#VALUE!</v>
      </c>
      <c r="EA3" t="e">
        <f>AND('INDEX '!J48,"AAAAAH+dLYI=")</f>
        <v>#VALUE!</v>
      </c>
      <c r="EB3" t="e">
        <f>AND('INDEX '!K48,"AAAAAH+dLYM=")</f>
        <v>#VALUE!</v>
      </c>
      <c r="EC3">
        <f>IF('INDEX '!49:49,"AAAAAH+dLYQ=",0)</f>
        <v>0</v>
      </c>
      <c r="ED3" t="e">
        <f>AND('INDEX '!A49,"AAAAAH+dLYU=")</f>
        <v>#VALUE!</v>
      </c>
      <c r="EE3" t="e">
        <f>AND('INDEX '!B49,"AAAAAH+dLYY=")</f>
        <v>#VALUE!</v>
      </c>
      <c r="EF3" t="e">
        <f>AND('INDEX '!C49,"AAAAAH+dLYc=")</f>
        <v>#VALUE!</v>
      </c>
      <c r="EG3" t="e">
        <f>AND('INDEX '!D49,"AAAAAH+dLYg=")</f>
        <v>#VALUE!</v>
      </c>
      <c r="EH3" t="e">
        <f>AND('INDEX '!E49,"AAAAAH+dLYk=")</f>
        <v>#VALUE!</v>
      </c>
      <c r="EI3" t="e">
        <f>AND('INDEX '!F49,"AAAAAH+dLYo=")</f>
        <v>#VALUE!</v>
      </c>
      <c r="EJ3" t="e">
        <f>AND('INDEX '!G49,"AAAAAH+dLYs=")</f>
        <v>#VALUE!</v>
      </c>
      <c r="EK3" t="e">
        <f>AND('INDEX '!H49,"AAAAAH+dLYw=")</f>
        <v>#VALUE!</v>
      </c>
      <c r="EL3" t="e">
        <f>AND('INDEX '!I49,"AAAAAH+dLY0=")</f>
        <v>#VALUE!</v>
      </c>
      <c r="EM3" t="e">
        <f>AND('INDEX '!J49,"AAAAAH+dLY4=")</f>
        <v>#VALUE!</v>
      </c>
      <c r="EN3" t="e">
        <f>AND('INDEX '!K49,"AAAAAH+dLY8=")</f>
        <v>#VALUE!</v>
      </c>
      <c r="EO3">
        <f>IF('INDEX '!50:50,"AAAAAH+dLZA=",0)</f>
        <v>0</v>
      </c>
      <c r="EP3" t="e">
        <f>AND('INDEX '!A50,"AAAAAH+dLZE=")</f>
        <v>#VALUE!</v>
      </c>
      <c r="EQ3" t="e">
        <f>AND('INDEX '!B50,"AAAAAH+dLZI=")</f>
        <v>#VALUE!</v>
      </c>
      <c r="ER3" t="e">
        <f>AND('INDEX '!C50,"AAAAAH+dLZM=")</f>
        <v>#VALUE!</v>
      </c>
      <c r="ES3" t="e">
        <f>AND('INDEX '!D50,"AAAAAH+dLZQ=")</f>
        <v>#VALUE!</v>
      </c>
      <c r="ET3" t="e">
        <f>AND('INDEX '!E50,"AAAAAH+dLZU=")</f>
        <v>#VALUE!</v>
      </c>
      <c r="EU3" t="e">
        <f>AND('INDEX '!F50,"AAAAAH+dLZY=")</f>
        <v>#VALUE!</v>
      </c>
      <c r="EV3" t="e">
        <f>AND('INDEX '!G50,"AAAAAH+dLZc=")</f>
        <v>#VALUE!</v>
      </c>
      <c r="EW3" t="e">
        <f>AND('INDEX '!H50,"AAAAAH+dLZg=")</f>
        <v>#VALUE!</v>
      </c>
      <c r="EX3" t="e">
        <f>AND('INDEX '!I50,"AAAAAH+dLZk=")</f>
        <v>#VALUE!</v>
      </c>
      <c r="EY3" t="e">
        <f>AND('INDEX '!J50,"AAAAAH+dLZo=")</f>
        <v>#VALUE!</v>
      </c>
      <c r="EZ3" t="e">
        <f>AND('INDEX '!K50,"AAAAAH+dLZs=")</f>
        <v>#VALUE!</v>
      </c>
      <c r="FA3">
        <f>IF('INDEX '!51:51,"AAAAAH+dLZw=",0)</f>
        <v>0</v>
      </c>
      <c r="FB3" t="e">
        <f>AND('INDEX '!A51,"AAAAAH+dLZ0=")</f>
        <v>#VALUE!</v>
      </c>
      <c r="FC3" t="e">
        <f>AND('INDEX '!B51,"AAAAAH+dLZ4=")</f>
        <v>#VALUE!</v>
      </c>
      <c r="FD3" t="e">
        <f>AND('INDEX '!C51,"AAAAAH+dLZ8=")</f>
        <v>#VALUE!</v>
      </c>
      <c r="FE3" t="e">
        <f>AND('INDEX '!D51,"AAAAAH+dLaA=")</f>
        <v>#VALUE!</v>
      </c>
      <c r="FF3" t="e">
        <f>AND('INDEX '!E51,"AAAAAH+dLaE=")</f>
        <v>#VALUE!</v>
      </c>
      <c r="FG3" t="e">
        <f>AND('INDEX '!F51,"AAAAAH+dLaI=")</f>
        <v>#VALUE!</v>
      </c>
      <c r="FH3" t="e">
        <f>AND('INDEX '!G51,"AAAAAH+dLaM=")</f>
        <v>#VALUE!</v>
      </c>
      <c r="FI3" t="e">
        <f>AND('INDEX '!H51,"AAAAAH+dLaQ=")</f>
        <v>#VALUE!</v>
      </c>
      <c r="FJ3" t="e">
        <f>AND('INDEX '!I51,"AAAAAH+dLaU=")</f>
        <v>#VALUE!</v>
      </c>
      <c r="FK3" t="e">
        <f>AND('INDEX '!J51,"AAAAAH+dLaY=")</f>
        <v>#VALUE!</v>
      </c>
      <c r="FL3" t="e">
        <f>AND('INDEX '!K51,"AAAAAH+dLac=")</f>
        <v>#VALUE!</v>
      </c>
      <c r="FM3">
        <f>IF('INDEX '!52:52,"AAAAAH+dLag=",0)</f>
        <v>0</v>
      </c>
      <c r="FN3" t="e">
        <f>AND('INDEX '!A52,"AAAAAH+dLak=")</f>
        <v>#VALUE!</v>
      </c>
      <c r="FO3" t="e">
        <f>AND('INDEX '!B52,"AAAAAH+dLao=")</f>
        <v>#VALUE!</v>
      </c>
      <c r="FP3" t="e">
        <f>AND('INDEX '!C52,"AAAAAH+dLas=")</f>
        <v>#VALUE!</v>
      </c>
      <c r="FQ3" t="e">
        <f>AND('INDEX '!D52,"AAAAAH+dLaw=")</f>
        <v>#VALUE!</v>
      </c>
      <c r="FR3" t="e">
        <f>AND('INDEX '!E52,"AAAAAH+dLa0=")</f>
        <v>#VALUE!</v>
      </c>
      <c r="FS3" t="e">
        <f>AND('INDEX '!F52,"AAAAAH+dLa4=")</f>
        <v>#VALUE!</v>
      </c>
      <c r="FT3" t="e">
        <f>AND('INDEX '!G52,"AAAAAH+dLa8=")</f>
        <v>#VALUE!</v>
      </c>
      <c r="FU3" t="e">
        <f>AND('INDEX '!H52,"AAAAAH+dLbA=")</f>
        <v>#VALUE!</v>
      </c>
      <c r="FV3" t="e">
        <f>AND('INDEX '!I52,"AAAAAH+dLbE=")</f>
        <v>#VALUE!</v>
      </c>
      <c r="FW3" t="e">
        <f>AND('INDEX '!J52,"AAAAAH+dLbI=")</f>
        <v>#VALUE!</v>
      </c>
      <c r="FX3" t="e">
        <f>AND('INDEX '!K52,"AAAAAH+dLbM=")</f>
        <v>#VALUE!</v>
      </c>
      <c r="FY3">
        <f>IF('INDEX '!53:53,"AAAAAH+dLbQ=",0)</f>
        <v>0</v>
      </c>
      <c r="FZ3" t="e">
        <f>AND('INDEX '!A53,"AAAAAH+dLbU=")</f>
        <v>#VALUE!</v>
      </c>
      <c r="GA3" t="e">
        <f>AND('INDEX '!B53,"AAAAAH+dLbY=")</f>
        <v>#VALUE!</v>
      </c>
      <c r="GB3" t="e">
        <f>AND('INDEX '!C53,"AAAAAH+dLbc=")</f>
        <v>#VALUE!</v>
      </c>
      <c r="GC3" t="e">
        <f>AND('INDEX '!D53,"AAAAAH+dLbg=")</f>
        <v>#VALUE!</v>
      </c>
      <c r="GD3" t="e">
        <f>AND('INDEX '!E53,"AAAAAH+dLbk=")</f>
        <v>#VALUE!</v>
      </c>
      <c r="GE3" t="e">
        <f>AND('INDEX '!F53,"AAAAAH+dLbo=")</f>
        <v>#VALUE!</v>
      </c>
      <c r="GF3" t="e">
        <f>AND('INDEX '!G53,"AAAAAH+dLbs=")</f>
        <v>#VALUE!</v>
      </c>
      <c r="GG3" t="e">
        <f>AND('INDEX '!H53,"AAAAAH+dLbw=")</f>
        <v>#VALUE!</v>
      </c>
      <c r="GH3" t="e">
        <f>AND('INDEX '!I53,"AAAAAH+dLb0=")</f>
        <v>#VALUE!</v>
      </c>
      <c r="GI3" t="e">
        <f>AND('INDEX '!J53,"AAAAAH+dLb4=")</f>
        <v>#VALUE!</v>
      </c>
      <c r="GJ3" t="e">
        <f>AND('INDEX '!K53,"AAAAAH+dLb8=")</f>
        <v>#VALUE!</v>
      </c>
      <c r="GK3">
        <f>IF('INDEX '!54:54,"AAAAAH+dLcA=",0)</f>
        <v>0</v>
      </c>
      <c r="GL3" t="e">
        <f>AND('INDEX '!A54,"AAAAAH+dLcE=")</f>
        <v>#VALUE!</v>
      </c>
      <c r="GM3" t="e">
        <f>AND('INDEX '!B54,"AAAAAH+dLcI=")</f>
        <v>#VALUE!</v>
      </c>
      <c r="GN3" t="e">
        <f>AND('INDEX '!C54,"AAAAAH+dLcM=")</f>
        <v>#VALUE!</v>
      </c>
      <c r="GO3" t="e">
        <f>AND('INDEX '!D54,"AAAAAH+dLcQ=")</f>
        <v>#VALUE!</v>
      </c>
      <c r="GP3" t="e">
        <f>AND('INDEX '!E54,"AAAAAH+dLcU=")</f>
        <v>#VALUE!</v>
      </c>
      <c r="GQ3" t="e">
        <f>AND('INDEX '!F54,"AAAAAH+dLcY=")</f>
        <v>#VALUE!</v>
      </c>
      <c r="GR3" t="e">
        <f>AND('INDEX '!G54,"AAAAAH+dLcc=")</f>
        <v>#VALUE!</v>
      </c>
      <c r="GS3" t="e">
        <f>AND('INDEX '!H54,"AAAAAH+dLcg=")</f>
        <v>#VALUE!</v>
      </c>
      <c r="GT3" t="e">
        <f>AND('INDEX '!I54,"AAAAAH+dLck=")</f>
        <v>#VALUE!</v>
      </c>
      <c r="GU3" t="e">
        <f>AND('INDEX '!J54,"AAAAAH+dLco=")</f>
        <v>#VALUE!</v>
      </c>
      <c r="GV3" t="e">
        <f>AND('INDEX '!K54,"AAAAAH+dLcs=")</f>
        <v>#VALUE!</v>
      </c>
      <c r="GW3">
        <f>IF('INDEX '!55:55,"AAAAAH+dLcw=",0)</f>
        <v>0</v>
      </c>
      <c r="GX3" t="e">
        <f>AND('INDEX '!A55,"AAAAAH+dLc0=")</f>
        <v>#VALUE!</v>
      </c>
      <c r="GY3" t="e">
        <f>AND('INDEX '!B55,"AAAAAH+dLc4=")</f>
        <v>#VALUE!</v>
      </c>
      <c r="GZ3" t="e">
        <f>AND('INDEX '!C55,"AAAAAH+dLc8=")</f>
        <v>#VALUE!</v>
      </c>
      <c r="HA3" t="e">
        <f>AND('INDEX '!D55,"AAAAAH+dLdA=")</f>
        <v>#VALUE!</v>
      </c>
      <c r="HB3" t="e">
        <f>AND('INDEX '!E55,"AAAAAH+dLdE=")</f>
        <v>#VALUE!</v>
      </c>
      <c r="HC3" t="e">
        <f>AND('INDEX '!F55,"AAAAAH+dLdI=")</f>
        <v>#VALUE!</v>
      </c>
      <c r="HD3" t="e">
        <f>AND('INDEX '!G55,"AAAAAH+dLdM=")</f>
        <v>#VALUE!</v>
      </c>
      <c r="HE3" t="e">
        <f>AND('INDEX '!H55,"AAAAAH+dLdQ=")</f>
        <v>#VALUE!</v>
      </c>
      <c r="HF3" t="e">
        <f>AND('INDEX '!I55,"AAAAAH+dLdU=")</f>
        <v>#VALUE!</v>
      </c>
      <c r="HG3" t="e">
        <f>AND('INDEX '!J55,"AAAAAH+dLdY=")</f>
        <v>#VALUE!</v>
      </c>
      <c r="HH3" t="e">
        <f>AND('INDEX '!K55,"AAAAAH+dLdc=")</f>
        <v>#VALUE!</v>
      </c>
      <c r="HI3">
        <f>IF('INDEX '!56:56,"AAAAAH+dLdg=",0)</f>
        <v>0</v>
      </c>
      <c r="HJ3" t="e">
        <f>AND('INDEX '!A56,"AAAAAH+dLdk=")</f>
        <v>#VALUE!</v>
      </c>
      <c r="HK3" t="e">
        <f>AND('INDEX '!B56,"AAAAAH+dLdo=")</f>
        <v>#VALUE!</v>
      </c>
      <c r="HL3" t="e">
        <f>AND('INDEX '!C56,"AAAAAH+dLds=")</f>
        <v>#VALUE!</v>
      </c>
      <c r="HM3" t="e">
        <f>AND('INDEX '!D56,"AAAAAH+dLdw=")</f>
        <v>#VALUE!</v>
      </c>
      <c r="HN3" t="e">
        <f>AND('INDEX '!E56,"AAAAAH+dLd0=")</f>
        <v>#VALUE!</v>
      </c>
      <c r="HO3" t="e">
        <f>AND('INDEX '!F56,"AAAAAH+dLd4=")</f>
        <v>#VALUE!</v>
      </c>
      <c r="HP3" t="e">
        <f>AND('INDEX '!G56,"AAAAAH+dLd8=")</f>
        <v>#VALUE!</v>
      </c>
      <c r="HQ3" t="e">
        <f>AND('INDEX '!H56,"AAAAAH+dLeA=")</f>
        <v>#VALUE!</v>
      </c>
      <c r="HR3" t="e">
        <f>AND('INDEX '!I56,"AAAAAH+dLeE=")</f>
        <v>#VALUE!</v>
      </c>
      <c r="HS3" t="e">
        <f>AND('INDEX '!J56,"AAAAAH+dLeI=")</f>
        <v>#VALUE!</v>
      </c>
      <c r="HT3" t="e">
        <f>AND('INDEX '!K56,"AAAAAH+dLeM=")</f>
        <v>#VALUE!</v>
      </c>
      <c r="HU3">
        <f>IF('INDEX '!57:57,"AAAAAH+dLeQ=",0)</f>
        <v>0</v>
      </c>
      <c r="HV3" t="e">
        <f>AND('INDEX '!A57,"AAAAAH+dLeU=")</f>
        <v>#VALUE!</v>
      </c>
      <c r="HW3" t="e">
        <f>AND('INDEX '!B57,"AAAAAH+dLeY=")</f>
        <v>#VALUE!</v>
      </c>
      <c r="HX3" t="e">
        <f>AND('INDEX '!C57,"AAAAAH+dLec=")</f>
        <v>#VALUE!</v>
      </c>
      <c r="HY3" t="e">
        <f>AND('INDEX '!D57,"AAAAAH+dLeg=")</f>
        <v>#VALUE!</v>
      </c>
      <c r="HZ3" t="e">
        <f>AND('INDEX '!E57,"AAAAAH+dLek=")</f>
        <v>#VALUE!</v>
      </c>
      <c r="IA3" t="e">
        <f>AND('INDEX '!F57,"AAAAAH+dLeo=")</f>
        <v>#VALUE!</v>
      </c>
      <c r="IB3" t="e">
        <f>AND('INDEX '!G57,"AAAAAH+dLes=")</f>
        <v>#VALUE!</v>
      </c>
      <c r="IC3" t="e">
        <f>AND('INDEX '!H57,"AAAAAH+dLew=")</f>
        <v>#VALUE!</v>
      </c>
      <c r="ID3" t="e">
        <f>AND('INDEX '!I57,"AAAAAH+dLe0=")</f>
        <v>#VALUE!</v>
      </c>
      <c r="IE3" t="e">
        <f>AND('INDEX '!J57,"AAAAAH+dLe4=")</f>
        <v>#VALUE!</v>
      </c>
      <c r="IF3" t="e">
        <f>AND('INDEX '!K57,"AAAAAH+dLe8=")</f>
        <v>#VALUE!</v>
      </c>
      <c r="IG3">
        <f>IF('INDEX '!58:58,"AAAAAH+dLfA=",0)</f>
        <v>0</v>
      </c>
      <c r="IH3" t="e">
        <f>AND('INDEX '!A58,"AAAAAH+dLfE=")</f>
        <v>#VALUE!</v>
      </c>
      <c r="II3" t="e">
        <f>AND('INDEX '!B58,"AAAAAH+dLfI=")</f>
        <v>#VALUE!</v>
      </c>
      <c r="IJ3" t="e">
        <f>AND('INDEX '!C58,"AAAAAH+dLfM=")</f>
        <v>#VALUE!</v>
      </c>
      <c r="IK3" t="e">
        <f>AND('INDEX '!D58,"AAAAAH+dLfQ=")</f>
        <v>#VALUE!</v>
      </c>
      <c r="IL3" t="e">
        <f>AND('INDEX '!E58,"AAAAAH+dLfU=")</f>
        <v>#VALUE!</v>
      </c>
      <c r="IM3" t="e">
        <f>AND('INDEX '!F58,"AAAAAH+dLfY=")</f>
        <v>#VALUE!</v>
      </c>
      <c r="IN3" t="e">
        <f>AND('INDEX '!G58,"AAAAAH+dLfc=")</f>
        <v>#VALUE!</v>
      </c>
      <c r="IO3" t="e">
        <f>AND('INDEX '!H58,"AAAAAH+dLfg=")</f>
        <v>#VALUE!</v>
      </c>
      <c r="IP3" t="e">
        <f>AND('INDEX '!I58,"AAAAAH+dLfk=")</f>
        <v>#VALUE!</v>
      </c>
      <c r="IQ3" t="e">
        <f>AND('INDEX '!J58,"AAAAAH+dLfo=")</f>
        <v>#VALUE!</v>
      </c>
      <c r="IR3" t="e">
        <f>AND('INDEX '!K58,"AAAAAH+dLfs=")</f>
        <v>#VALUE!</v>
      </c>
      <c r="IS3">
        <f>IF('INDEX '!59:59,"AAAAAH+dLfw=",0)</f>
        <v>0</v>
      </c>
      <c r="IT3" t="e">
        <f>AND('INDEX '!A59,"AAAAAH+dLf0=")</f>
        <v>#VALUE!</v>
      </c>
      <c r="IU3" t="e">
        <f>AND('INDEX '!B59,"AAAAAH+dLf4=")</f>
        <v>#VALUE!</v>
      </c>
      <c r="IV3" t="e">
        <f>AND('INDEX '!C59,"AAAAAH+dLf8=")</f>
        <v>#VALUE!</v>
      </c>
    </row>
    <row r="4" spans="1:256">
      <c r="A4" t="e">
        <f>AND('INDEX '!D59,"AAAAAFP++gA=")</f>
        <v>#VALUE!</v>
      </c>
      <c r="B4" t="e">
        <f>AND('INDEX '!E59,"AAAAAFP++gE=")</f>
        <v>#VALUE!</v>
      </c>
      <c r="C4" t="e">
        <f>AND('INDEX '!F59,"AAAAAFP++gI=")</f>
        <v>#VALUE!</v>
      </c>
      <c r="D4" t="e">
        <f>AND('INDEX '!G59,"AAAAAFP++gM=")</f>
        <v>#VALUE!</v>
      </c>
      <c r="E4" t="e">
        <f>AND('INDEX '!H59,"AAAAAFP++gQ=")</f>
        <v>#VALUE!</v>
      </c>
      <c r="F4" t="e">
        <f>AND('INDEX '!I59,"AAAAAFP++gU=")</f>
        <v>#VALUE!</v>
      </c>
      <c r="G4" t="e">
        <f>AND('INDEX '!J59,"AAAAAFP++gY=")</f>
        <v>#VALUE!</v>
      </c>
      <c r="H4" t="e">
        <f>AND('INDEX '!K59,"AAAAAFP++gc=")</f>
        <v>#VALUE!</v>
      </c>
      <c r="I4">
        <f>IF('INDEX '!60:60,"AAAAAFP++gg=",0)</f>
        <v>0</v>
      </c>
      <c r="J4" t="e">
        <f>AND('INDEX '!A60,"AAAAAFP++gk=")</f>
        <v>#VALUE!</v>
      </c>
      <c r="K4" t="e">
        <f>AND('INDEX '!B60,"AAAAAFP++go=")</f>
        <v>#VALUE!</v>
      </c>
      <c r="L4" t="e">
        <f>AND('INDEX '!C60,"AAAAAFP++gs=")</f>
        <v>#VALUE!</v>
      </c>
      <c r="M4" t="e">
        <f>AND('INDEX '!D60,"AAAAAFP++gw=")</f>
        <v>#VALUE!</v>
      </c>
      <c r="N4" t="e">
        <f>AND('INDEX '!E60,"AAAAAFP++g0=")</f>
        <v>#VALUE!</v>
      </c>
      <c r="O4" t="e">
        <f>AND('INDEX '!F60,"AAAAAFP++g4=")</f>
        <v>#VALUE!</v>
      </c>
      <c r="P4" t="e">
        <f>AND('INDEX '!G60,"AAAAAFP++g8=")</f>
        <v>#VALUE!</v>
      </c>
      <c r="Q4" t="e">
        <f>AND('INDEX '!H60,"AAAAAFP++hA=")</f>
        <v>#VALUE!</v>
      </c>
      <c r="R4" t="e">
        <f>AND('INDEX '!I60,"AAAAAFP++hE=")</f>
        <v>#VALUE!</v>
      </c>
      <c r="S4" t="e">
        <f>AND('INDEX '!J60,"AAAAAFP++hI=")</f>
        <v>#VALUE!</v>
      </c>
      <c r="T4" t="e">
        <f>AND('INDEX '!K60,"AAAAAFP++hM=")</f>
        <v>#VALUE!</v>
      </c>
      <c r="U4">
        <f>IF('INDEX '!61:61,"AAAAAFP++hQ=",0)</f>
        <v>0</v>
      </c>
      <c r="V4" t="e">
        <f>AND('INDEX '!A61,"AAAAAFP++hU=")</f>
        <v>#VALUE!</v>
      </c>
      <c r="W4" t="e">
        <f>AND('INDEX '!B61,"AAAAAFP++hY=")</f>
        <v>#VALUE!</v>
      </c>
      <c r="X4" t="e">
        <f>AND('INDEX '!C61,"AAAAAFP++hc=")</f>
        <v>#VALUE!</v>
      </c>
      <c r="Y4" t="e">
        <f>AND('INDEX '!D61,"AAAAAFP++hg=")</f>
        <v>#VALUE!</v>
      </c>
      <c r="Z4" t="e">
        <f>AND('INDEX '!E61,"AAAAAFP++hk=")</f>
        <v>#VALUE!</v>
      </c>
      <c r="AA4" t="e">
        <f>AND('INDEX '!F61,"AAAAAFP++ho=")</f>
        <v>#VALUE!</v>
      </c>
      <c r="AB4" t="e">
        <f>AND('INDEX '!G61,"AAAAAFP++hs=")</f>
        <v>#VALUE!</v>
      </c>
      <c r="AC4" t="e">
        <f>AND('INDEX '!H61,"AAAAAFP++hw=")</f>
        <v>#VALUE!</v>
      </c>
      <c r="AD4" t="e">
        <f>AND('INDEX '!I61,"AAAAAFP++h0=")</f>
        <v>#VALUE!</v>
      </c>
      <c r="AE4" t="e">
        <f>AND('INDEX '!J61,"AAAAAFP++h4=")</f>
        <v>#VALUE!</v>
      </c>
      <c r="AF4" t="e">
        <f>AND('INDEX '!K61,"AAAAAFP++h8=")</f>
        <v>#VALUE!</v>
      </c>
      <c r="AG4">
        <f>IF('INDEX '!62:62,"AAAAAFP++iA=",0)</f>
        <v>0</v>
      </c>
      <c r="AH4" t="e">
        <f>AND('INDEX '!A62,"AAAAAFP++iE=")</f>
        <v>#VALUE!</v>
      </c>
      <c r="AI4" t="e">
        <f>AND('INDEX '!B62,"AAAAAFP++iI=")</f>
        <v>#VALUE!</v>
      </c>
      <c r="AJ4" t="e">
        <f>AND('INDEX '!C62,"AAAAAFP++iM=")</f>
        <v>#VALUE!</v>
      </c>
      <c r="AK4" t="e">
        <f>AND('INDEX '!D62,"AAAAAFP++iQ=")</f>
        <v>#VALUE!</v>
      </c>
      <c r="AL4" t="e">
        <f>AND('INDEX '!E62,"AAAAAFP++iU=")</f>
        <v>#VALUE!</v>
      </c>
      <c r="AM4" t="e">
        <f>AND('INDEX '!F62,"AAAAAFP++iY=")</f>
        <v>#VALUE!</v>
      </c>
      <c r="AN4" t="e">
        <f>AND('INDEX '!G62,"AAAAAFP++ic=")</f>
        <v>#VALUE!</v>
      </c>
      <c r="AO4" t="e">
        <f>AND('INDEX '!H62,"AAAAAFP++ig=")</f>
        <v>#VALUE!</v>
      </c>
      <c r="AP4" t="e">
        <f>AND('INDEX '!I62,"AAAAAFP++ik=")</f>
        <v>#VALUE!</v>
      </c>
      <c r="AQ4" t="e">
        <f>AND('INDEX '!J62,"AAAAAFP++io=")</f>
        <v>#VALUE!</v>
      </c>
      <c r="AR4" t="e">
        <f>AND('INDEX '!K62,"AAAAAFP++is=")</f>
        <v>#VALUE!</v>
      </c>
      <c r="AS4">
        <f>IF('INDEX '!63:63,"AAAAAFP++iw=",0)</f>
        <v>0</v>
      </c>
      <c r="AT4" t="e">
        <f>AND('INDEX '!A63,"AAAAAFP++i0=")</f>
        <v>#VALUE!</v>
      </c>
      <c r="AU4" t="e">
        <f>AND('INDEX '!B63,"AAAAAFP++i4=")</f>
        <v>#VALUE!</v>
      </c>
      <c r="AV4" t="e">
        <f>AND('INDEX '!C63,"AAAAAFP++i8=")</f>
        <v>#VALUE!</v>
      </c>
      <c r="AW4" t="e">
        <f>AND('INDEX '!D63,"AAAAAFP++jA=")</f>
        <v>#VALUE!</v>
      </c>
      <c r="AX4" t="e">
        <f>AND('INDEX '!E63,"AAAAAFP++jE=")</f>
        <v>#VALUE!</v>
      </c>
      <c r="AY4" t="e">
        <f>AND('INDEX '!F63,"AAAAAFP++jI=")</f>
        <v>#VALUE!</v>
      </c>
      <c r="AZ4" t="e">
        <f>AND('INDEX '!G63,"AAAAAFP++jM=")</f>
        <v>#VALUE!</v>
      </c>
      <c r="BA4" t="e">
        <f>AND('INDEX '!H63,"AAAAAFP++jQ=")</f>
        <v>#VALUE!</v>
      </c>
      <c r="BB4" t="e">
        <f>AND('INDEX '!I63,"AAAAAFP++jU=")</f>
        <v>#VALUE!</v>
      </c>
      <c r="BC4" t="e">
        <f>AND('INDEX '!J63,"AAAAAFP++jY=")</f>
        <v>#VALUE!</v>
      </c>
      <c r="BD4" t="e">
        <f>AND('INDEX '!K63,"AAAAAFP++jc=")</f>
        <v>#VALUE!</v>
      </c>
      <c r="BE4">
        <f>IF('INDEX '!64:64,"AAAAAFP++jg=",0)</f>
        <v>0</v>
      </c>
      <c r="BF4" t="e">
        <f>AND('INDEX '!A64,"AAAAAFP++jk=")</f>
        <v>#VALUE!</v>
      </c>
      <c r="BG4" t="e">
        <f>AND('INDEX '!B64,"AAAAAFP++jo=")</f>
        <v>#VALUE!</v>
      </c>
      <c r="BH4" t="e">
        <f>AND('INDEX '!C64,"AAAAAFP++js=")</f>
        <v>#VALUE!</v>
      </c>
      <c r="BI4" t="e">
        <f>AND('INDEX '!D64,"AAAAAFP++jw=")</f>
        <v>#VALUE!</v>
      </c>
      <c r="BJ4" t="e">
        <f>AND('INDEX '!E64,"AAAAAFP++j0=")</f>
        <v>#VALUE!</v>
      </c>
      <c r="BK4" t="e">
        <f>AND('INDEX '!F64,"AAAAAFP++j4=")</f>
        <v>#VALUE!</v>
      </c>
      <c r="BL4" t="e">
        <f>AND('INDEX '!G64,"AAAAAFP++j8=")</f>
        <v>#VALUE!</v>
      </c>
      <c r="BM4" t="e">
        <f>AND('INDEX '!H64,"AAAAAFP++kA=")</f>
        <v>#VALUE!</v>
      </c>
      <c r="BN4" t="e">
        <f>AND('INDEX '!I64,"AAAAAFP++kE=")</f>
        <v>#VALUE!</v>
      </c>
      <c r="BO4" t="e">
        <f>AND('INDEX '!J64,"AAAAAFP++kI=")</f>
        <v>#VALUE!</v>
      </c>
      <c r="BP4" t="e">
        <f>AND('INDEX '!K64,"AAAAAFP++kM=")</f>
        <v>#VALUE!</v>
      </c>
      <c r="BQ4">
        <f>IF('INDEX '!65:65,"AAAAAFP++kQ=",0)</f>
        <v>0</v>
      </c>
      <c r="BR4" t="e">
        <f>AND('INDEX '!A65,"AAAAAFP++kU=")</f>
        <v>#VALUE!</v>
      </c>
      <c r="BS4" t="e">
        <f>AND('INDEX '!B65,"AAAAAFP++kY=")</f>
        <v>#VALUE!</v>
      </c>
      <c r="BT4" t="e">
        <f>AND('INDEX '!C65,"AAAAAFP++kc=")</f>
        <v>#VALUE!</v>
      </c>
      <c r="BU4" t="e">
        <f>AND('INDEX '!D65,"AAAAAFP++kg=")</f>
        <v>#VALUE!</v>
      </c>
      <c r="BV4" t="e">
        <f>AND('INDEX '!E65,"AAAAAFP++kk=")</f>
        <v>#VALUE!</v>
      </c>
      <c r="BW4" t="e">
        <f>AND('INDEX '!F65,"AAAAAFP++ko=")</f>
        <v>#VALUE!</v>
      </c>
      <c r="BX4" t="e">
        <f>AND('INDEX '!G65,"AAAAAFP++ks=")</f>
        <v>#VALUE!</v>
      </c>
      <c r="BY4" t="e">
        <f>AND('INDEX '!H65,"AAAAAFP++kw=")</f>
        <v>#VALUE!</v>
      </c>
      <c r="BZ4" t="e">
        <f>AND('INDEX '!I65,"AAAAAFP++k0=")</f>
        <v>#VALUE!</v>
      </c>
      <c r="CA4" t="e">
        <f>AND('INDEX '!J65,"AAAAAFP++k4=")</f>
        <v>#VALUE!</v>
      </c>
      <c r="CB4" t="e">
        <f>AND('INDEX '!K65,"AAAAAFP++k8=")</f>
        <v>#VALUE!</v>
      </c>
      <c r="CC4">
        <f>IF('INDEX '!66:66,"AAAAAFP++lA=",0)</f>
        <v>0</v>
      </c>
      <c r="CD4" t="e">
        <f>AND('INDEX '!A66,"AAAAAFP++lE=")</f>
        <v>#VALUE!</v>
      </c>
      <c r="CE4" t="e">
        <f>AND('INDEX '!B66,"AAAAAFP++lI=")</f>
        <v>#VALUE!</v>
      </c>
      <c r="CF4" t="e">
        <f>AND('INDEX '!C66,"AAAAAFP++lM=")</f>
        <v>#VALUE!</v>
      </c>
      <c r="CG4" t="e">
        <f>AND('INDEX '!D66,"AAAAAFP++lQ=")</f>
        <v>#VALUE!</v>
      </c>
      <c r="CH4" t="e">
        <f>AND('INDEX '!E66,"AAAAAFP++lU=")</f>
        <v>#VALUE!</v>
      </c>
      <c r="CI4" t="e">
        <f>AND('INDEX '!F66,"AAAAAFP++lY=")</f>
        <v>#VALUE!</v>
      </c>
      <c r="CJ4" t="e">
        <f>AND('INDEX '!G66,"AAAAAFP++lc=")</f>
        <v>#VALUE!</v>
      </c>
      <c r="CK4" t="e">
        <f>AND('INDEX '!H66,"AAAAAFP++lg=")</f>
        <v>#VALUE!</v>
      </c>
      <c r="CL4" t="e">
        <f>AND('INDEX '!I66,"AAAAAFP++lk=")</f>
        <v>#VALUE!</v>
      </c>
      <c r="CM4" t="e">
        <f>AND('INDEX '!J66,"AAAAAFP++lo=")</f>
        <v>#VALUE!</v>
      </c>
      <c r="CN4" t="e">
        <f>AND('INDEX '!K66,"AAAAAFP++ls=")</f>
        <v>#VALUE!</v>
      </c>
      <c r="CO4">
        <f>IF('INDEX '!67:67,"AAAAAFP++lw=",0)</f>
        <v>0</v>
      </c>
      <c r="CP4" t="e">
        <f>AND('INDEX '!A67,"AAAAAFP++l0=")</f>
        <v>#VALUE!</v>
      </c>
      <c r="CQ4" t="e">
        <f>AND('INDEX '!B67,"AAAAAFP++l4=")</f>
        <v>#VALUE!</v>
      </c>
      <c r="CR4" t="e">
        <f>AND('INDEX '!C67,"AAAAAFP++l8=")</f>
        <v>#VALUE!</v>
      </c>
      <c r="CS4" t="e">
        <f>AND('INDEX '!D67,"AAAAAFP++mA=")</f>
        <v>#VALUE!</v>
      </c>
      <c r="CT4" t="e">
        <f>AND('INDEX '!E67,"AAAAAFP++mE=")</f>
        <v>#VALUE!</v>
      </c>
      <c r="CU4" t="e">
        <f>AND('INDEX '!F67,"AAAAAFP++mI=")</f>
        <v>#VALUE!</v>
      </c>
      <c r="CV4" t="e">
        <f>AND('INDEX '!G67,"AAAAAFP++mM=")</f>
        <v>#VALUE!</v>
      </c>
      <c r="CW4" t="e">
        <f>AND('INDEX '!H67,"AAAAAFP++mQ=")</f>
        <v>#VALUE!</v>
      </c>
      <c r="CX4" t="e">
        <f>AND('INDEX '!I67,"AAAAAFP++mU=")</f>
        <v>#VALUE!</v>
      </c>
      <c r="CY4" t="e">
        <f>AND('INDEX '!J67,"AAAAAFP++mY=")</f>
        <v>#VALUE!</v>
      </c>
      <c r="CZ4" t="e">
        <f>AND('INDEX '!K67,"AAAAAFP++mc=")</f>
        <v>#VALUE!</v>
      </c>
      <c r="DA4">
        <f>IF('INDEX '!68:68,"AAAAAFP++mg=",0)</f>
        <v>0</v>
      </c>
      <c r="DB4" t="e">
        <f>AND('INDEX '!A68,"AAAAAFP++mk=")</f>
        <v>#VALUE!</v>
      </c>
      <c r="DC4" t="e">
        <f>AND('INDEX '!B68,"AAAAAFP++mo=")</f>
        <v>#VALUE!</v>
      </c>
      <c r="DD4" t="e">
        <f>AND('INDEX '!C68,"AAAAAFP++ms=")</f>
        <v>#VALUE!</v>
      </c>
      <c r="DE4" t="e">
        <f>AND('INDEX '!D68,"AAAAAFP++mw=")</f>
        <v>#VALUE!</v>
      </c>
      <c r="DF4" t="e">
        <f>AND('INDEX '!E68,"AAAAAFP++m0=")</f>
        <v>#VALUE!</v>
      </c>
      <c r="DG4" t="e">
        <f>AND('INDEX '!F68,"AAAAAFP++m4=")</f>
        <v>#VALUE!</v>
      </c>
      <c r="DH4" t="e">
        <f>AND('INDEX '!G68,"AAAAAFP++m8=")</f>
        <v>#VALUE!</v>
      </c>
      <c r="DI4" t="e">
        <f>AND('INDEX '!H68,"AAAAAFP++nA=")</f>
        <v>#VALUE!</v>
      </c>
      <c r="DJ4" t="e">
        <f>AND('INDEX '!I68,"AAAAAFP++nE=")</f>
        <v>#VALUE!</v>
      </c>
      <c r="DK4" t="e">
        <f>AND('INDEX '!J68,"AAAAAFP++nI=")</f>
        <v>#VALUE!</v>
      </c>
      <c r="DL4" t="e">
        <f>AND('INDEX '!K68,"AAAAAFP++nM=")</f>
        <v>#VALUE!</v>
      </c>
      <c r="DM4">
        <f>IF('INDEX '!69:69,"AAAAAFP++nQ=",0)</f>
        <v>0</v>
      </c>
      <c r="DN4" t="e">
        <f>AND('INDEX '!A69,"AAAAAFP++nU=")</f>
        <v>#VALUE!</v>
      </c>
      <c r="DO4" t="e">
        <f>AND('INDEX '!B69,"AAAAAFP++nY=")</f>
        <v>#VALUE!</v>
      </c>
      <c r="DP4" t="e">
        <f>AND('INDEX '!C69,"AAAAAFP++nc=")</f>
        <v>#VALUE!</v>
      </c>
      <c r="DQ4" t="e">
        <f>AND('INDEX '!D69,"AAAAAFP++ng=")</f>
        <v>#VALUE!</v>
      </c>
      <c r="DR4" t="e">
        <f>AND('INDEX '!E69,"AAAAAFP++nk=")</f>
        <v>#VALUE!</v>
      </c>
      <c r="DS4" t="e">
        <f>AND('INDEX '!F69,"AAAAAFP++no=")</f>
        <v>#VALUE!</v>
      </c>
      <c r="DT4" t="e">
        <f>AND('INDEX '!G69,"AAAAAFP++ns=")</f>
        <v>#VALUE!</v>
      </c>
      <c r="DU4" t="e">
        <f>AND('INDEX '!H69,"AAAAAFP++nw=")</f>
        <v>#VALUE!</v>
      </c>
      <c r="DV4" t="e">
        <f>AND('INDEX '!I69,"AAAAAFP++n0=")</f>
        <v>#VALUE!</v>
      </c>
      <c r="DW4" t="e">
        <f>AND('INDEX '!J69,"AAAAAFP++n4=")</f>
        <v>#VALUE!</v>
      </c>
      <c r="DX4" t="e">
        <f>AND('INDEX '!K69,"AAAAAFP++n8=")</f>
        <v>#VALUE!</v>
      </c>
      <c r="DY4">
        <f>IF('INDEX '!70:70,"AAAAAFP++oA=",0)</f>
        <v>0</v>
      </c>
      <c r="DZ4" t="e">
        <f>AND('INDEX '!A70,"AAAAAFP++oE=")</f>
        <v>#VALUE!</v>
      </c>
      <c r="EA4" t="e">
        <f>AND('INDEX '!B70,"AAAAAFP++oI=")</f>
        <v>#VALUE!</v>
      </c>
      <c r="EB4" t="e">
        <f>AND('INDEX '!C70,"AAAAAFP++oM=")</f>
        <v>#VALUE!</v>
      </c>
      <c r="EC4" t="e">
        <f>AND('INDEX '!D70,"AAAAAFP++oQ=")</f>
        <v>#VALUE!</v>
      </c>
      <c r="ED4" t="e">
        <f>AND('INDEX '!E70,"AAAAAFP++oU=")</f>
        <v>#VALUE!</v>
      </c>
      <c r="EE4" t="e">
        <f>AND('INDEX '!F70,"AAAAAFP++oY=")</f>
        <v>#VALUE!</v>
      </c>
      <c r="EF4" t="e">
        <f>AND('INDEX '!G70,"AAAAAFP++oc=")</f>
        <v>#VALUE!</v>
      </c>
      <c r="EG4" t="e">
        <f>AND('INDEX '!H70,"AAAAAFP++og=")</f>
        <v>#VALUE!</v>
      </c>
      <c r="EH4" t="e">
        <f>AND('INDEX '!I70,"AAAAAFP++ok=")</f>
        <v>#VALUE!</v>
      </c>
      <c r="EI4" t="e">
        <f>AND('INDEX '!J70,"AAAAAFP++oo=")</f>
        <v>#VALUE!</v>
      </c>
      <c r="EJ4" t="e">
        <f>AND('INDEX '!K70,"AAAAAFP++os=")</f>
        <v>#VALUE!</v>
      </c>
      <c r="EK4">
        <f>IF('INDEX '!71:71,"AAAAAFP++ow=",0)</f>
        <v>0</v>
      </c>
      <c r="EL4" t="e">
        <f>AND('INDEX '!A71,"AAAAAFP++o0=")</f>
        <v>#VALUE!</v>
      </c>
      <c r="EM4" t="e">
        <f>AND('INDEX '!B71,"AAAAAFP++o4=")</f>
        <v>#VALUE!</v>
      </c>
      <c r="EN4" t="e">
        <f>AND('INDEX '!C71,"AAAAAFP++o8=")</f>
        <v>#VALUE!</v>
      </c>
      <c r="EO4" t="e">
        <f>AND('INDEX '!D71,"AAAAAFP++pA=")</f>
        <v>#VALUE!</v>
      </c>
      <c r="EP4" t="e">
        <f>AND('INDEX '!E71,"AAAAAFP++pE=")</f>
        <v>#VALUE!</v>
      </c>
      <c r="EQ4" t="e">
        <f>AND('INDEX '!F71,"AAAAAFP++pI=")</f>
        <v>#VALUE!</v>
      </c>
      <c r="ER4" t="e">
        <f>AND('INDEX '!G71,"AAAAAFP++pM=")</f>
        <v>#VALUE!</v>
      </c>
      <c r="ES4" t="e">
        <f>AND('INDEX '!H71,"AAAAAFP++pQ=")</f>
        <v>#VALUE!</v>
      </c>
      <c r="ET4" t="e">
        <f>AND('INDEX '!I71,"AAAAAFP++pU=")</f>
        <v>#VALUE!</v>
      </c>
      <c r="EU4" t="e">
        <f>AND('INDEX '!J71,"AAAAAFP++pY=")</f>
        <v>#VALUE!</v>
      </c>
      <c r="EV4" t="e">
        <f>AND('INDEX '!K71,"AAAAAFP++pc=")</f>
        <v>#VALUE!</v>
      </c>
      <c r="EW4">
        <f>IF('INDEX '!72:72,"AAAAAFP++pg=",0)</f>
        <v>0</v>
      </c>
      <c r="EX4" t="e">
        <f>AND('INDEX '!A72,"AAAAAFP++pk=")</f>
        <v>#VALUE!</v>
      </c>
      <c r="EY4" t="e">
        <f>AND('INDEX '!B72,"AAAAAFP++po=")</f>
        <v>#VALUE!</v>
      </c>
      <c r="EZ4" t="e">
        <f>AND('INDEX '!C72,"AAAAAFP++ps=")</f>
        <v>#VALUE!</v>
      </c>
      <c r="FA4" t="e">
        <f>AND('INDEX '!D72,"AAAAAFP++pw=")</f>
        <v>#VALUE!</v>
      </c>
      <c r="FB4" t="e">
        <f>AND('INDEX '!E72,"AAAAAFP++p0=")</f>
        <v>#VALUE!</v>
      </c>
      <c r="FC4" t="e">
        <f>AND('INDEX '!F72,"AAAAAFP++p4=")</f>
        <v>#VALUE!</v>
      </c>
      <c r="FD4" t="e">
        <f>AND('INDEX '!G72,"AAAAAFP++p8=")</f>
        <v>#VALUE!</v>
      </c>
      <c r="FE4" t="e">
        <f>AND('INDEX '!H72,"AAAAAFP++qA=")</f>
        <v>#VALUE!</v>
      </c>
      <c r="FF4" t="e">
        <f>AND('INDEX '!I72,"AAAAAFP++qE=")</f>
        <v>#VALUE!</v>
      </c>
      <c r="FG4" t="e">
        <f>AND('INDEX '!J72,"AAAAAFP++qI=")</f>
        <v>#VALUE!</v>
      </c>
      <c r="FH4" t="e">
        <f>AND('INDEX '!K72,"AAAAAFP++qM=")</f>
        <v>#VALUE!</v>
      </c>
      <c r="FI4">
        <f>IF('INDEX '!73:73,"AAAAAFP++qQ=",0)</f>
        <v>0</v>
      </c>
      <c r="FJ4" t="e">
        <f>AND('INDEX '!A73,"AAAAAFP++qU=")</f>
        <v>#VALUE!</v>
      </c>
      <c r="FK4" t="e">
        <f>AND('INDEX '!B73,"AAAAAFP++qY=")</f>
        <v>#VALUE!</v>
      </c>
      <c r="FL4" t="e">
        <f>AND('INDEX '!C73,"AAAAAFP++qc=")</f>
        <v>#VALUE!</v>
      </c>
      <c r="FM4" t="e">
        <f>AND('INDEX '!D73,"AAAAAFP++qg=")</f>
        <v>#VALUE!</v>
      </c>
      <c r="FN4" t="e">
        <f>AND('INDEX '!E73,"AAAAAFP++qk=")</f>
        <v>#VALUE!</v>
      </c>
      <c r="FO4" t="e">
        <f>AND('INDEX '!F73,"AAAAAFP++qo=")</f>
        <v>#VALUE!</v>
      </c>
      <c r="FP4" t="e">
        <f>AND('INDEX '!G73,"AAAAAFP++qs=")</f>
        <v>#VALUE!</v>
      </c>
      <c r="FQ4" t="e">
        <f>AND('INDEX '!H73,"AAAAAFP++qw=")</f>
        <v>#VALUE!</v>
      </c>
      <c r="FR4" t="e">
        <f>AND('INDEX '!I73,"AAAAAFP++q0=")</f>
        <v>#VALUE!</v>
      </c>
      <c r="FS4" t="e">
        <f>AND('INDEX '!J73,"AAAAAFP++q4=")</f>
        <v>#VALUE!</v>
      </c>
      <c r="FT4" t="e">
        <f>AND('INDEX '!K73,"AAAAAFP++q8=")</f>
        <v>#VALUE!</v>
      </c>
      <c r="FU4">
        <f>IF('INDEX '!74:74,"AAAAAFP++rA=",0)</f>
        <v>0</v>
      </c>
      <c r="FV4" t="e">
        <f>AND('INDEX '!A74,"AAAAAFP++rE=")</f>
        <v>#VALUE!</v>
      </c>
      <c r="FW4" t="e">
        <f>AND('INDEX '!B74,"AAAAAFP++rI=")</f>
        <v>#VALUE!</v>
      </c>
      <c r="FX4" t="e">
        <f>AND('INDEX '!C74,"AAAAAFP++rM=")</f>
        <v>#VALUE!</v>
      </c>
      <c r="FY4" t="e">
        <f>AND('INDEX '!D74,"AAAAAFP++rQ=")</f>
        <v>#VALUE!</v>
      </c>
      <c r="FZ4" t="e">
        <f>AND('INDEX '!E74,"AAAAAFP++rU=")</f>
        <v>#VALUE!</v>
      </c>
      <c r="GA4" t="e">
        <f>AND('INDEX '!F74,"AAAAAFP++rY=")</f>
        <v>#VALUE!</v>
      </c>
      <c r="GB4" t="e">
        <f>AND('INDEX '!G74,"AAAAAFP++rc=")</f>
        <v>#VALUE!</v>
      </c>
      <c r="GC4" t="e">
        <f>AND('INDEX '!H74,"AAAAAFP++rg=")</f>
        <v>#VALUE!</v>
      </c>
      <c r="GD4" t="e">
        <f>AND('INDEX '!I74,"AAAAAFP++rk=")</f>
        <v>#VALUE!</v>
      </c>
      <c r="GE4" t="e">
        <f>AND('INDEX '!J74,"AAAAAFP++ro=")</f>
        <v>#VALUE!</v>
      </c>
      <c r="GF4" t="e">
        <f>AND('INDEX '!K74,"AAAAAFP++rs=")</f>
        <v>#VALUE!</v>
      </c>
      <c r="GG4">
        <f>IF('INDEX '!75:75,"AAAAAFP++rw=",0)</f>
        <v>0</v>
      </c>
      <c r="GH4" t="e">
        <f>AND('INDEX '!A75,"AAAAAFP++r0=")</f>
        <v>#VALUE!</v>
      </c>
      <c r="GI4" t="e">
        <f>AND('INDEX '!B75,"AAAAAFP++r4=")</f>
        <v>#VALUE!</v>
      </c>
      <c r="GJ4" t="e">
        <f>AND('INDEX '!C75,"AAAAAFP++r8=")</f>
        <v>#VALUE!</v>
      </c>
      <c r="GK4" t="e">
        <f>AND('INDEX '!D75,"AAAAAFP++sA=")</f>
        <v>#VALUE!</v>
      </c>
      <c r="GL4" t="e">
        <f>AND('INDEX '!E75,"AAAAAFP++sE=")</f>
        <v>#VALUE!</v>
      </c>
      <c r="GM4" t="e">
        <f>AND('INDEX '!F75,"AAAAAFP++sI=")</f>
        <v>#VALUE!</v>
      </c>
      <c r="GN4" t="e">
        <f>AND('INDEX '!G75,"AAAAAFP++sM=")</f>
        <v>#VALUE!</v>
      </c>
      <c r="GO4" t="e">
        <f>AND('INDEX '!H75,"AAAAAFP++sQ=")</f>
        <v>#VALUE!</v>
      </c>
      <c r="GP4" t="e">
        <f>AND('INDEX '!I75,"AAAAAFP++sU=")</f>
        <v>#VALUE!</v>
      </c>
      <c r="GQ4" t="e">
        <f>AND('INDEX '!J75,"AAAAAFP++sY=")</f>
        <v>#VALUE!</v>
      </c>
      <c r="GR4" t="e">
        <f>AND('INDEX '!K75,"AAAAAFP++sc=")</f>
        <v>#VALUE!</v>
      </c>
      <c r="GS4">
        <f>IF('INDEX '!76:76,"AAAAAFP++sg=",0)</f>
        <v>0</v>
      </c>
      <c r="GT4" t="e">
        <f>AND('INDEX '!A76,"AAAAAFP++sk=")</f>
        <v>#VALUE!</v>
      </c>
      <c r="GU4" t="e">
        <f>AND('INDEX '!B76,"AAAAAFP++so=")</f>
        <v>#VALUE!</v>
      </c>
      <c r="GV4" t="e">
        <f>AND('INDEX '!C76,"AAAAAFP++ss=")</f>
        <v>#VALUE!</v>
      </c>
      <c r="GW4" t="e">
        <f>AND('INDEX '!D76,"AAAAAFP++sw=")</f>
        <v>#VALUE!</v>
      </c>
      <c r="GX4" t="e">
        <f>AND('INDEX '!E76,"AAAAAFP++s0=")</f>
        <v>#VALUE!</v>
      </c>
      <c r="GY4" t="e">
        <f>AND('INDEX '!F76,"AAAAAFP++s4=")</f>
        <v>#VALUE!</v>
      </c>
      <c r="GZ4" t="e">
        <f>AND('INDEX '!G76,"AAAAAFP++s8=")</f>
        <v>#VALUE!</v>
      </c>
      <c r="HA4" t="e">
        <f>AND('INDEX '!H76,"AAAAAFP++tA=")</f>
        <v>#VALUE!</v>
      </c>
      <c r="HB4" t="e">
        <f>AND('INDEX '!I76,"AAAAAFP++tE=")</f>
        <v>#VALUE!</v>
      </c>
      <c r="HC4" t="e">
        <f>AND('INDEX '!J76,"AAAAAFP++tI=")</f>
        <v>#VALUE!</v>
      </c>
      <c r="HD4" t="e">
        <f>AND('INDEX '!K76,"AAAAAFP++tM=")</f>
        <v>#VALUE!</v>
      </c>
      <c r="HE4">
        <f>IF('INDEX '!77:77,"AAAAAFP++tQ=",0)</f>
        <v>0</v>
      </c>
      <c r="HF4" t="e">
        <f>AND('INDEX '!A77,"AAAAAFP++tU=")</f>
        <v>#VALUE!</v>
      </c>
      <c r="HG4" t="e">
        <f>AND('INDEX '!B77,"AAAAAFP++tY=")</f>
        <v>#VALUE!</v>
      </c>
      <c r="HH4" t="e">
        <f>AND('INDEX '!C77,"AAAAAFP++tc=")</f>
        <v>#VALUE!</v>
      </c>
      <c r="HI4" t="e">
        <f>AND('INDEX '!D77,"AAAAAFP++tg=")</f>
        <v>#VALUE!</v>
      </c>
      <c r="HJ4" t="e">
        <f>AND('INDEX '!E77,"AAAAAFP++tk=")</f>
        <v>#VALUE!</v>
      </c>
      <c r="HK4" t="e">
        <f>AND('INDEX '!F77,"AAAAAFP++to=")</f>
        <v>#VALUE!</v>
      </c>
      <c r="HL4" t="e">
        <f>AND('INDEX '!G77,"AAAAAFP++ts=")</f>
        <v>#VALUE!</v>
      </c>
      <c r="HM4" t="e">
        <f>AND('INDEX '!H77,"AAAAAFP++tw=")</f>
        <v>#VALUE!</v>
      </c>
      <c r="HN4" t="e">
        <f>AND('INDEX '!I77,"AAAAAFP++t0=")</f>
        <v>#VALUE!</v>
      </c>
      <c r="HO4" t="e">
        <f>AND('INDEX '!J77,"AAAAAFP++t4=")</f>
        <v>#VALUE!</v>
      </c>
      <c r="HP4" t="e">
        <f>AND('INDEX '!K77,"AAAAAFP++t8=")</f>
        <v>#VALUE!</v>
      </c>
      <c r="HQ4">
        <f>IF('INDEX '!78:78,"AAAAAFP++uA=",0)</f>
        <v>0</v>
      </c>
      <c r="HR4" t="e">
        <f>AND('INDEX '!A78,"AAAAAFP++uE=")</f>
        <v>#VALUE!</v>
      </c>
      <c r="HS4" t="e">
        <f>AND('INDEX '!B78,"AAAAAFP++uI=")</f>
        <v>#VALUE!</v>
      </c>
      <c r="HT4" t="e">
        <f>AND('INDEX '!C78,"AAAAAFP++uM=")</f>
        <v>#VALUE!</v>
      </c>
      <c r="HU4" t="e">
        <f>AND('INDEX '!D78,"AAAAAFP++uQ=")</f>
        <v>#VALUE!</v>
      </c>
      <c r="HV4" t="e">
        <f>AND('INDEX '!E78,"AAAAAFP++uU=")</f>
        <v>#VALUE!</v>
      </c>
      <c r="HW4" t="e">
        <f>AND('INDEX '!F78,"AAAAAFP++uY=")</f>
        <v>#VALUE!</v>
      </c>
      <c r="HX4" t="e">
        <f>AND('INDEX '!G78,"AAAAAFP++uc=")</f>
        <v>#VALUE!</v>
      </c>
      <c r="HY4" t="e">
        <f>AND('INDEX '!H78,"AAAAAFP++ug=")</f>
        <v>#VALUE!</v>
      </c>
      <c r="HZ4" t="e">
        <f>AND('INDEX '!I78,"AAAAAFP++uk=")</f>
        <v>#VALUE!</v>
      </c>
      <c r="IA4" t="e">
        <f>AND('INDEX '!J78,"AAAAAFP++uo=")</f>
        <v>#VALUE!</v>
      </c>
      <c r="IB4" t="e">
        <f>AND('INDEX '!K78,"AAAAAFP++us=")</f>
        <v>#VALUE!</v>
      </c>
      <c r="IC4">
        <f>IF('INDEX '!79:79,"AAAAAFP++uw=",0)</f>
        <v>0</v>
      </c>
      <c r="ID4" t="e">
        <f>AND('INDEX '!A79,"AAAAAFP++u0=")</f>
        <v>#VALUE!</v>
      </c>
      <c r="IE4" t="e">
        <f>AND('INDEX '!B79,"AAAAAFP++u4=")</f>
        <v>#VALUE!</v>
      </c>
      <c r="IF4" t="e">
        <f>AND('INDEX '!C79,"AAAAAFP++u8=")</f>
        <v>#VALUE!</v>
      </c>
      <c r="IG4" t="e">
        <f>AND('INDEX '!D79,"AAAAAFP++vA=")</f>
        <v>#VALUE!</v>
      </c>
      <c r="IH4" t="e">
        <f>AND('INDEX '!E79,"AAAAAFP++vE=")</f>
        <v>#VALUE!</v>
      </c>
      <c r="II4" t="e">
        <f>AND('INDEX '!F79,"AAAAAFP++vI=")</f>
        <v>#VALUE!</v>
      </c>
      <c r="IJ4" t="e">
        <f>AND('INDEX '!G79,"AAAAAFP++vM=")</f>
        <v>#VALUE!</v>
      </c>
      <c r="IK4" t="e">
        <f>AND('INDEX '!H79,"AAAAAFP++vQ=")</f>
        <v>#VALUE!</v>
      </c>
      <c r="IL4" t="e">
        <f>AND('INDEX '!I79,"AAAAAFP++vU=")</f>
        <v>#VALUE!</v>
      </c>
      <c r="IM4" t="e">
        <f>AND('INDEX '!J79,"AAAAAFP++vY=")</f>
        <v>#VALUE!</v>
      </c>
      <c r="IN4" t="e">
        <f>AND('INDEX '!K79,"AAAAAFP++vc=")</f>
        <v>#VALUE!</v>
      </c>
      <c r="IO4">
        <f>IF('INDEX '!80:80,"AAAAAFP++vg=",0)</f>
        <v>0</v>
      </c>
      <c r="IP4" t="e">
        <f>AND('INDEX '!A80,"AAAAAFP++vk=")</f>
        <v>#VALUE!</v>
      </c>
      <c r="IQ4" t="e">
        <f>AND('INDEX '!B80,"AAAAAFP++vo=")</f>
        <v>#VALUE!</v>
      </c>
      <c r="IR4" t="e">
        <f>AND('INDEX '!C80,"AAAAAFP++vs=")</f>
        <v>#VALUE!</v>
      </c>
      <c r="IS4" t="e">
        <f>AND('INDEX '!D80,"AAAAAFP++vw=")</f>
        <v>#VALUE!</v>
      </c>
      <c r="IT4" t="e">
        <f>AND('INDEX '!E80,"AAAAAFP++v0=")</f>
        <v>#VALUE!</v>
      </c>
      <c r="IU4" t="e">
        <f>AND('INDEX '!F80,"AAAAAFP++v4=")</f>
        <v>#VALUE!</v>
      </c>
      <c r="IV4" t="e">
        <f>AND('INDEX '!G80,"AAAAAFP++v8=")</f>
        <v>#VALUE!</v>
      </c>
    </row>
    <row r="5" spans="1:256">
      <c r="A5" t="e">
        <f>AND('INDEX '!H80,"AAAAAHf//gA=")</f>
        <v>#VALUE!</v>
      </c>
      <c r="B5" t="e">
        <f>AND('INDEX '!I80,"AAAAAHf//gE=")</f>
        <v>#VALUE!</v>
      </c>
      <c r="C5" t="e">
        <f>AND('INDEX '!J80,"AAAAAHf//gI=")</f>
        <v>#VALUE!</v>
      </c>
      <c r="D5" t="e">
        <f>AND('INDEX '!K80,"AAAAAHf//gM=")</f>
        <v>#VALUE!</v>
      </c>
      <c r="E5" t="str">
        <f>IF('INDEX '!81:81,"AAAAAHf//gQ=",0)</f>
        <v>AAAAAHf//gQ=</v>
      </c>
      <c r="F5" t="e">
        <f>AND('INDEX '!A81,"AAAAAHf//gU=")</f>
        <v>#VALUE!</v>
      </c>
      <c r="G5" t="e">
        <f>AND('INDEX '!B81,"AAAAAHf//gY=")</f>
        <v>#VALUE!</v>
      </c>
      <c r="H5" t="e">
        <f>AND('INDEX '!C81,"AAAAAHf//gc=")</f>
        <v>#VALUE!</v>
      </c>
      <c r="I5" t="e">
        <f>AND('INDEX '!D81,"AAAAAHf//gg=")</f>
        <v>#VALUE!</v>
      </c>
      <c r="J5" t="e">
        <f>AND('INDEX '!E81,"AAAAAHf//gk=")</f>
        <v>#VALUE!</v>
      </c>
      <c r="K5" t="e">
        <f>AND('INDEX '!F81,"AAAAAHf//go=")</f>
        <v>#VALUE!</v>
      </c>
      <c r="L5" t="e">
        <f>AND('INDEX '!G81,"AAAAAHf//gs=")</f>
        <v>#VALUE!</v>
      </c>
      <c r="M5" t="e">
        <f>AND('INDEX '!H81,"AAAAAHf//gw=")</f>
        <v>#VALUE!</v>
      </c>
      <c r="N5" t="e">
        <f>AND('INDEX '!I81,"AAAAAHf//g0=")</f>
        <v>#VALUE!</v>
      </c>
      <c r="O5" t="e">
        <f>AND('INDEX '!J81,"AAAAAHf//g4=")</f>
        <v>#VALUE!</v>
      </c>
      <c r="P5" t="e">
        <f>AND('INDEX '!K81,"AAAAAHf//g8=")</f>
        <v>#VALUE!</v>
      </c>
      <c r="Q5">
        <f>IF('INDEX '!82:82,"AAAAAHf//hA=",0)</f>
        <v>0</v>
      </c>
      <c r="R5" t="e">
        <f>AND('INDEX '!A82,"AAAAAHf//hE=")</f>
        <v>#VALUE!</v>
      </c>
      <c r="S5" t="e">
        <f>AND('INDEX '!B82,"AAAAAHf//hI=")</f>
        <v>#VALUE!</v>
      </c>
      <c r="T5" t="e">
        <f>AND('INDEX '!C82,"AAAAAHf//hM=")</f>
        <v>#VALUE!</v>
      </c>
      <c r="U5" t="e">
        <f>AND('INDEX '!D82,"AAAAAHf//hQ=")</f>
        <v>#VALUE!</v>
      </c>
      <c r="V5" t="e">
        <f>AND('INDEX '!E82,"AAAAAHf//hU=")</f>
        <v>#VALUE!</v>
      </c>
      <c r="W5" t="e">
        <f>AND('INDEX '!F82,"AAAAAHf//hY=")</f>
        <v>#VALUE!</v>
      </c>
      <c r="X5" t="e">
        <f>AND('INDEX '!G82,"AAAAAHf//hc=")</f>
        <v>#VALUE!</v>
      </c>
      <c r="Y5" t="e">
        <f>AND('INDEX '!H82,"AAAAAHf//hg=")</f>
        <v>#VALUE!</v>
      </c>
      <c r="Z5" t="e">
        <f>AND('INDEX '!I82,"AAAAAHf//hk=")</f>
        <v>#VALUE!</v>
      </c>
      <c r="AA5" t="e">
        <f>AND('INDEX '!J82,"AAAAAHf//ho=")</f>
        <v>#VALUE!</v>
      </c>
      <c r="AB5" t="e">
        <f>AND('INDEX '!K82,"AAAAAHf//hs=")</f>
        <v>#VALUE!</v>
      </c>
      <c r="AC5">
        <f>IF('INDEX '!83:83,"AAAAAHf//hw=",0)</f>
        <v>0</v>
      </c>
      <c r="AD5" t="e">
        <f>AND('INDEX '!A83,"AAAAAHf//h0=")</f>
        <v>#VALUE!</v>
      </c>
      <c r="AE5" t="e">
        <f>AND('INDEX '!B83,"AAAAAHf//h4=")</f>
        <v>#VALUE!</v>
      </c>
      <c r="AF5" t="e">
        <f>AND('INDEX '!C83,"AAAAAHf//h8=")</f>
        <v>#VALUE!</v>
      </c>
      <c r="AG5" t="e">
        <f>AND('INDEX '!D83,"AAAAAHf//iA=")</f>
        <v>#VALUE!</v>
      </c>
      <c r="AH5" t="e">
        <f>AND('INDEX '!E83,"AAAAAHf//iE=")</f>
        <v>#VALUE!</v>
      </c>
      <c r="AI5" t="e">
        <f>AND('INDEX '!F83,"AAAAAHf//iI=")</f>
        <v>#VALUE!</v>
      </c>
      <c r="AJ5" t="e">
        <f>AND('INDEX '!G83,"AAAAAHf//iM=")</f>
        <v>#VALUE!</v>
      </c>
      <c r="AK5" t="e">
        <f>AND('INDEX '!H83,"AAAAAHf//iQ=")</f>
        <v>#VALUE!</v>
      </c>
      <c r="AL5" t="e">
        <f>AND('INDEX '!I83,"AAAAAHf//iU=")</f>
        <v>#VALUE!</v>
      </c>
      <c r="AM5" t="e">
        <f>AND('INDEX '!J83,"AAAAAHf//iY=")</f>
        <v>#VALUE!</v>
      </c>
      <c r="AN5" t="e">
        <f>AND('INDEX '!K83,"AAAAAHf//ic=")</f>
        <v>#VALUE!</v>
      </c>
      <c r="AO5">
        <f>IF('INDEX '!84:84,"AAAAAHf//ig=",0)</f>
        <v>0</v>
      </c>
      <c r="AP5" t="e">
        <f>AND('INDEX '!A84,"AAAAAHf//ik=")</f>
        <v>#VALUE!</v>
      </c>
      <c r="AQ5" t="e">
        <f>AND('INDEX '!B84,"AAAAAHf//io=")</f>
        <v>#VALUE!</v>
      </c>
      <c r="AR5" t="e">
        <f>AND('INDEX '!C84,"AAAAAHf//is=")</f>
        <v>#VALUE!</v>
      </c>
      <c r="AS5" t="e">
        <f>AND('INDEX '!D84,"AAAAAHf//iw=")</f>
        <v>#VALUE!</v>
      </c>
      <c r="AT5" t="e">
        <f>AND('INDEX '!E84,"AAAAAHf//i0=")</f>
        <v>#VALUE!</v>
      </c>
      <c r="AU5" t="e">
        <f>AND('INDEX '!F84,"AAAAAHf//i4=")</f>
        <v>#VALUE!</v>
      </c>
      <c r="AV5" t="e">
        <f>AND('INDEX '!G84,"AAAAAHf//i8=")</f>
        <v>#VALUE!</v>
      </c>
      <c r="AW5" t="e">
        <f>AND('INDEX '!H84,"AAAAAHf//jA=")</f>
        <v>#VALUE!</v>
      </c>
      <c r="AX5" t="e">
        <f>AND('INDEX '!I84,"AAAAAHf//jE=")</f>
        <v>#VALUE!</v>
      </c>
      <c r="AY5" t="e">
        <f>AND('INDEX '!J84,"AAAAAHf//jI=")</f>
        <v>#VALUE!</v>
      </c>
      <c r="AZ5" t="e">
        <f>AND('INDEX '!K84,"AAAAAHf//jM=")</f>
        <v>#VALUE!</v>
      </c>
      <c r="BA5">
        <f>IF('INDEX '!85:85,"AAAAAHf//jQ=",0)</f>
        <v>0</v>
      </c>
      <c r="BB5" t="e">
        <f>AND('INDEX '!A85,"AAAAAHf//jU=")</f>
        <v>#VALUE!</v>
      </c>
      <c r="BC5" t="e">
        <f>AND('INDEX '!B85,"AAAAAHf//jY=")</f>
        <v>#VALUE!</v>
      </c>
      <c r="BD5" t="e">
        <f>AND('INDEX '!C85,"AAAAAHf//jc=")</f>
        <v>#VALUE!</v>
      </c>
      <c r="BE5" t="e">
        <f>AND('INDEX '!D85,"AAAAAHf//jg=")</f>
        <v>#VALUE!</v>
      </c>
      <c r="BF5" t="e">
        <f>AND('INDEX '!E85,"AAAAAHf//jk=")</f>
        <v>#VALUE!</v>
      </c>
      <c r="BG5" t="e">
        <f>AND('INDEX '!F85,"AAAAAHf//jo=")</f>
        <v>#VALUE!</v>
      </c>
      <c r="BH5" t="e">
        <f>AND('INDEX '!G85,"AAAAAHf//js=")</f>
        <v>#VALUE!</v>
      </c>
      <c r="BI5" t="e">
        <f>AND('INDEX '!H85,"AAAAAHf//jw=")</f>
        <v>#VALUE!</v>
      </c>
      <c r="BJ5" t="e">
        <f>AND('INDEX '!I85,"AAAAAHf//j0=")</f>
        <v>#VALUE!</v>
      </c>
      <c r="BK5" t="e">
        <f>AND('INDEX '!J85,"AAAAAHf//j4=")</f>
        <v>#VALUE!</v>
      </c>
      <c r="BL5" t="e">
        <f>AND('INDEX '!K85,"AAAAAHf//j8=")</f>
        <v>#VALUE!</v>
      </c>
      <c r="BM5">
        <f>IF('INDEX '!86:86,"AAAAAHf//kA=",0)</f>
        <v>0</v>
      </c>
      <c r="BN5" t="e">
        <f>AND('INDEX '!A86,"AAAAAHf//kE=")</f>
        <v>#VALUE!</v>
      </c>
      <c r="BO5" t="e">
        <f>AND('INDEX '!B86,"AAAAAHf//kI=")</f>
        <v>#VALUE!</v>
      </c>
      <c r="BP5" t="e">
        <f>AND('INDEX '!C86,"AAAAAHf//kM=")</f>
        <v>#VALUE!</v>
      </c>
      <c r="BQ5" t="e">
        <f>AND('INDEX '!D86,"AAAAAHf//kQ=")</f>
        <v>#VALUE!</v>
      </c>
      <c r="BR5" t="e">
        <f>AND('INDEX '!E86,"AAAAAHf//kU=")</f>
        <v>#VALUE!</v>
      </c>
      <c r="BS5" t="e">
        <f>AND('INDEX '!F86,"AAAAAHf//kY=")</f>
        <v>#VALUE!</v>
      </c>
      <c r="BT5" t="e">
        <f>AND('INDEX '!G86,"AAAAAHf//kc=")</f>
        <v>#VALUE!</v>
      </c>
      <c r="BU5" t="e">
        <f>AND('INDEX '!H86,"AAAAAHf//kg=")</f>
        <v>#VALUE!</v>
      </c>
      <c r="BV5" t="e">
        <f>AND('INDEX '!I86,"AAAAAHf//kk=")</f>
        <v>#VALUE!</v>
      </c>
      <c r="BW5" t="e">
        <f>AND('INDEX '!J86,"AAAAAHf//ko=")</f>
        <v>#VALUE!</v>
      </c>
      <c r="BX5" t="e">
        <f>AND('INDEX '!K86,"AAAAAHf//ks=")</f>
        <v>#VALUE!</v>
      </c>
      <c r="BY5">
        <f>IF('INDEX '!87:87,"AAAAAHf//kw=",0)</f>
        <v>0</v>
      </c>
      <c r="BZ5" t="e">
        <f>AND('INDEX '!A87,"AAAAAHf//k0=")</f>
        <v>#VALUE!</v>
      </c>
      <c r="CA5" t="e">
        <f>AND('INDEX '!B87,"AAAAAHf//k4=")</f>
        <v>#VALUE!</v>
      </c>
      <c r="CB5" t="e">
        <f>AND('INDEX '!C87,"AAAAAHf//k8=")</f>
        <v>#VALUE!</v>
      </c>
      <c r="CC5" t="e">
        <f>AND('INDEX '!D87,"AAAAAHf//lA=")</f>
        <v>#VALUE!</v>
      </c>
      <c r="CD5" t="e">
        <f>AND('INDEX '!E87,"AAAAAHf//lE=")</f>
        <v>#VALUE!</v>
      </c>
      <c r="CE5" t="e">
        <f>AND('INDEX '!F87,"AAAAAHf//lI=")</f>
        <v>#VALUE!</v>
      </c>
      <c r="CF5" t="e">
        <f>AND('INDEX '!G87,"AAAAAHf//lM=")</f>
        <v>#VALUE!</v>
      </c>
      <c r="CG5" t="e">
        <f>AND('INDEX '!H87,"AAAAAHf//lQ=")</f>
        <v>#VALUE!</v>
      </c>
      <c r="CH5" t="e">
        <f>AND('INDEX '!I87,"AAAAAHf//lU=")</f>
        <v>#VALUE!</v>
      </c>
      <c r="CI5" t="e">
        <f>AND('INDEX '!J87,"AAAAAHf//lY=")</f>
        <v>#VALUE!</v>
      </c>
      <c r="CJ5" t="e">
        <f>AND('INDEX '!K87,"AAAAAHf//lc=")</f>
        <v>#VALUE!</v>
      </c>
      <c r="CK5">
        <f>IF('INDEX '!88:88,"AAAAAHf//lg=",0)</f>
        <v>0</v>
      </c>
      <c r="CL5" t="e">
        <f>AND('INDEX '!A88,"AAAAAHf//lk=")</f>
        <v>#VALUE!</v>
      </c>
      <c r="CM5" t="e">
        <f>AND('INDEX '!B88,"AAAAAHf//lo=")</f>
        <v>#VALUE!</v>
      </c>
      <c r="CN5" t="e">
        <f>AND('INDEX '!C88,"AAAAAHf//ls=")</f>
        <v>#VALUE!</v>
      </c>
      <c r="CO5" t="e">
        <f>AND('INDEX '!D88,"AAAAAHf//lw=")</f>
        <v>#VALUE!</v>
      </c>
      <c r="CP5" t="e">
        <f>AND('INDEX '!E88,"AAAAAHf//l0=")</f>
        <v>#VALUE!</v>
      </c>
      <c r="CQ5" t="e">
        <f>AND('INDEX '!F88,"AAAAAHf//l4=")</f>
        <v>#VALUE!</v>
      </c>
      <c r="CR5" t="e">
        <f>AND('INDEX '!G88,"AAAAAHf//l8=")</f>
        <v>#VALUE!</v>
      </c>
      <c r="CS5" t="e">
        <f>AND('INDEX '!H88,"AAAAAHf//mA=")</f>
        <v>#VALUE!</v>
      </c>
      <c r="CT5" t="e">
        <f>AND('INDEX '!I88,"AAAAAHf//mE=")</f>
        <v>#VALUE!</v>
      </c>
      <c r="CU5" t="e">
        <f>AND('INDEX '!J88,"AAAAAHf//mI=")</f>
        <v>#VALUE!</v>
      </c>
      <c r="CV5" t="e">
        <f>AND('INDEX '!K88,"AAAAAHf//mM=")</f>
        <v>#VALUE!</v>
      </c>
      <c r="CW5">
        <f>IF('INDEX '!89:89,"AAAAAHf//mQ=",0)</f>
        <v>0</v>
      </c>
      <c r="CX5" t="e">
        <f>AND('INDEX '!A89,"AAAAAHf//mU=")</f>
        <v>#VALUE!</v>
      </c>
      <c r="CY5" t="e">
        <f>AND('INDEX '!B89,"AAAAAHf//mY=")</f>
        <v>#VALUE!</v>
      </c>
      <c r="CZ5" t="e">
        <f>AND('INDEX '!C89,"AAAAAHf//mc=")</f>
        <v>#VALUE!</v>
      </c>
      <c r="DA5" t="e">
        <f>AND('INDEX '!D89,"AAAAAHf//mg=")</f>
        <v>#VALUE!</v>
      </c>
      <c r="DB5" t="e">
        <f>AND('INDEX '!E89,"AAAAAHf//mk=")</f>
        <v>#VALUE!</v>
      </c>
      <c r="DC5" t="e">
        <f>AND('INDEX '!F89,"AAAAAHf//mo=")</f>
        <v>#VALUE!</v>
      </c>
      <c r="DD5" t="e">
        <f>AND('INDEX '!G89,"AAAAAHf//ms=")</f>
        <v>#VALUE!</v>
      </c>
      <c r="DE5" t="e">
        <f>AND('INDEX '!H89,"AAAAAHf//mw=")</f>
        <v>#VALUE!</v>
      </c>
      <c r="DF5" t="e">
        <f>AND('INDEX '!I89,"AAAAAHf//m0=")</f>
        <v>#VALUE!</v>
      </c>
      <c r="DG5" t="e">
        <f>AND('INDEX '!J89,"AAAAAHf//m4=")</f>
        <v>#VALUE!</v>
      </c>
      <c r="DH5" t="e">
        <f>AND('INDEX '!K89,"AAAAAHf//m8=")</f>
        <v>#VALUE!</v>
      </c>
      <c r="DI5">
        <f>IF('INDEX '!90:90,"AAAAAHf//nA=",0)</f>
        <v>0</v>
      </c>
      <c r="DJ5" t="e">
        <f>AND('INDEX '!A90,"AAAAAHf//nE=")</f>
        <v>#VALUE!</v>
      </c>
      <c r="DK5" t="e">
        <f>AND('INDEX '!B90,"AAAAAHf//nI=")</f>
        <v>#VALUE!</v>
      </c>
      <c r="DL5" t="e">
        <f>AND('INDEX '!C90,"AAAAAHf//nM=")</f>
        <v>#VALUE!</v>
      </c>
      <c r="DM5" t="e">
        <f>AND('INDEX '!D90,"AAAAAHf//nQ=")</f>
        <v>#VALUE!</v>
      </c>
      <c r="DN5" t="e">
        <f>AND('INDEX '!E90,"AAAAAHf//nU=")</f>
        <v>#VALUE!</v>
      </c>
      <c r="DO5" t="e">
        <f>AND('INDEX '!F90,"AAAAAHf//nY=")</f>
        <v>#VALUE!</v>
      </c>
      <c r="DP5" t="e">
        <f>AND('INDEX '!G90,"AAAAAHf//nc=")</f>
        <v>#VALUE!</v>
      </c>
      <c r="DQ5" t="e">
        <f>AND('INDEX '!H90,"AAAAAHf//ng=")</f>
        <v>#VALUE!</v>
      </c>
      <c r="DR5" t="e">
        <f>AND('INDEX '!I90,"AAAAAHf//nk=")</f>
        <v>#VALUE!</v>
      </c>
      <c r="DS5" t="e">
        <f>AND('INDEX '!J90,"AAAAAHf//no=")</f>
        <v>#VALUE!</v>
      </c>
      <c r="DT5" t="e">
        <f>AND('INDEX '!K90,"AAAAAHf//ns=")</f>
        <v>#VALUE!</v>
      </c>
      <c r="DU5">
        <f>IF('INDEX '!91:91,"AAAAAHf//nw=",0)</f>
        <v>0</v>
      </c>
      <c r="DV5" t="e">
        <f>AND('INDEX '!A91,"AAAAAHf//n0=")</f>
        <v>#VALUE!</v>
      </c>
      <c r="DW5" t="e">
        <f>AND('INDEX '!B91,"AAAAAHf//n4=")</f>
        <v>#VALUE!</v>
      </c>
      <c r="DX5" t="e">
        <f>AND('INDEX '!C91,"AAAAAHf//n8=")</f>
        <v>#VALUE!</v>
      </c>
      <c r="DY5" t="e">
        <f>AND('INDEX '!D91,"AAAAAHf//oA=")</f>
        <v>#VALUE!</v>
      </c>
      <c r="DZ5" t="e">
        <f>AND('INDEX '!E91,"AAAAAHf//oE=")</f>
        <v>#VALUE!</v>
      </c>
      <c r="EA5" t="e">
        <f>AND('INDEX '!F91,"AAAAAHf//oI=")</f>
        <v>#VALUE!</v>
      </c>
      <c r="EB5" t="e">
        <f>AND('INDEX '!G91,"AAAAAHf//oM=")</f>
        <v>#VALUE!</v>
      </c>
      <c r="EC5" t="e">
        <f>AND('INDEX '!H91,"AAAAAHf//oQ=")</f>
        <v>#VALUE!</v>
      </c>
      <c r="ED5" t="e">
        <f>AND('INDEX '!I91,"AAAAAHf//oU=")</f>
        <v>#VALUE!</v>
      </c>
      <c r="EE5" t="e">
        <f>AND('INDEX '!J91,"AAAAAHf//oY=")</f>
        <v>#VALUE!</v>
      </c>
      <c r="EF5" t="e">
        <f>AND('INDEX '!K91,"AAAAAHf//oc=")</f>
        <v>#VALUE!</v>
      </c>
      <c r="EG5">
        <f>IF('INDEX '!92:92,"AAAAAHf//og=",0)</f>
        <v>0</v>
      </c>
      <c r="EH5" t="e">
        <f>AND('INDEX '!A92,"AAAAAHf//ok=")</f>
        <v>#VALUE!</v>
      </c>
      <c r="EI5" t="e">
        <f>AND('INDEX '!B92,"AAAAAHf//oo=")</f>
        <v>#VALUE!</v>
      </c>
      <c r="EJ5" t="e">
        <f>AND('INDEX '!C92,"AAAAAHf//os=")</f>
        <v>#VALUE!</v>
      </c>
      <c r="EK5" t="e">
        <f>AND('INDEX '!D92,"AAAAAHf//ow=")</f>
        <v>#VALUE!</v>
      </c>
      <c r="EL5" t="e">
        <f>AND('INDEX '!E92,"AAAAAHf//o0=")</f>
        <v>#VALUE!</v>
      </c>
      <c r="EM5" t="e">
        <f>AND('INDEX '!F92,"AAAAAHf//o4=")</f>
        <v>#VALUE!</v>
      </c>
      <c r="EN5" t="e">
        <f>AND('INDEX '!G92,"AAAAAHf//o8=")</f>
        <v>#VALUE!</v>
      </c>
      <c r="EO5" t="e">
        <f>AND('INDEX '!H92,"AAAAAHf//pA=")</f>
        <v>#VALUE!</v>
      </c>
      <c r="EP5" t="e">
        <f>AND('INDEX '!I92,"AAAAAHf//pE=")</f>
        <v>#VALUE!</v>
      </c>
      <c r="EQ5" t="e">
        <f>AND('INDEX '!J92,"AAAAAHf//pI=")</f>
        <v>#VALUE!</v>
      </c>
      <c r="ER5" t="e">
        <f>AND('INDEX '!K92,"AAAAAHf//pM=")</f>
        <v>#VALUE!</v>
      </c>
      <c r="ES5">
        <f>IF('INDEX '!93:93,"AAAAAHf//pQ=",0)</f>
        <v>0</v>
      </c>
      <c r="ET5" t="e">
        <f>AND('INDEX '!A93,"AAAAAHf//pU=")</f>
        <v>#VALUE!</v>
      </c>
      <c r="EU5" t="e">
        <f>AND('INDEX '!B93,"AAAAAHf//pY=")</f>
        <v>#VALUE!</v>
      </c>
      <c r="EV5" t="e">
        <f>AND('INDEX '!C93,"AAAAAHf//pc=")</f>
        <v>#VALUE!</v>
      </c>
      <c r="EW5" t="e">
        <f>AND('INDEX '!D93,"AAAAAHf//pg=")</f>
        <v>#VALUE!</v>
      </c>
      <c r="EX5" t="e">
        <f>AND('INDEX '!E93,"AAAAAHf//pk=")</f>
        <v>#VALUE!</v>
      </c>
      <c r="EY5" t="e">
        <f>AND('INDEX '!F93,"AAAAAHf//po=")</f>
        <v>#VALUE!</v>
      </c>
      <c r="EZ5" t="e">
        <f>AND('INDEX '!G93,"AAAAAHf//ps=")</f>
        <v>#VALUE!</v>
      </c>
      <c r="FA5" t="e">
        <f>AND('INDEX '!H93,"AAAAAHf//pw=")</f>
        <v>#VALUE!</v>
      </c>
      <c r="FB5" t="e">
        <f>AND('INDEX '!I93,"AAAAAHf//p0=")</f>
        <v>#VALUE!</v>
      </c>
      <c r="FC5" t="e">
        <f>AND('INDEX '!J93,"AAAAAHf//p4=")</f>
        <v>#VALUE!</v>
      </c>
      <c r="FD5" t="e">
        <f>AND('INDEX '!K93,"AAAAAHf//p8=")</f>
        <v>#VALUE!</v>
      </c>
      <c r="FE5">
        <f>IF('INDEX '!94:94,"AAAAAHf//qA=",0)</f>
        <v>0</v>
      </c>
      <c r="FF5" t="e">
        <f>AND('INDEX '!A94,"AAAAAHf//qE=")</f>
        <v>#VALUE!</v>
      </c>
      <c r="FG5" t="e">
        <f>AND('INDEX '!B94,"AAAAAHf//qI=")</f>
        <v>#VALUE!</v>
      </c>
      <c r="FH5" t="e">
        <f>AND('INDEX '!C94,"AAAAAHf//qM=")</f>
        <v>#VALUE!</v>
      </c>
      <c r="FI5" t="e">
        <f>AND('INDEX '!D94,"AAAAAHf//qQ=")</f>
        <v>#VALUE!</v>
      </c>
      <c r="FJ5" t="e">
        <f>AND('INDEX '!E94,"AAAAAHf//qU=")</f>
        <v>#VALUE!</v>
      </c>
      <c r="FK5" t="e">
        <f>AND('INDEX '!F94,"AAAAAHf//qY=")</f>
        <v>#VALUE!</v>
      </c>
      <c r="FL5" t="e">
        <f>AND('INDEX '!G94,"AAAAAHf//qc=")</f>
        <v>#VALUE!</v>
      </c>
      <c r="FM5" t="e">
        <f>AND('INDEX '!H94,"AAAAAHf//qg=")</f>
        <v>#VALUE!</v>
      </c>
      <c r="FN5" t="e">
        <f>AND('INDEX '!I94,"AAAAAHf//qk=")</f>
        <v>#VALUE!</v>
      </c>
      <c r="FO5" t="e">
        <f>AND('INDEX '!J94,"AAAAAHf//qo=")</f>
        <v>#VALUE!</v>
      </c>
      <c r="FP5" t="e">
        <f>AND('INDEX '!K94,"AAAAAHf//qs=")</f>
        <v>#VALUE!</v>
      </c>
      <c r="FQ5">
        <f>IF('INDEX '!95:95,"AAAAAHf//qw=",0)</f>
        <v>0</v>
      </c>
      <c r="FR5" t="e">
        <f>AND('INDEX '!A95,"AAAAAHf//q0=")</f>
        <v>#VALUE!</v>
      </c>
      <c r="FS5" t="e">
        <f>AND('INDEX '!B95,"AAAAAHf//q4=")</f>
        <v>#VALUE!</v>
      </c>
      <c r="FT5" t="e">
        <f>AND('INDEX '!C95,"AAAAAHf//q8=")</f>
        <v>#VALUE!</v>
      </c>
      <c r="FU5" t="e">
        <f>AND('INDEX '!D95,"AAAAAHf//rA=")</f>
        <v>#VALUE!</v>
      </c>
      <c r="FV5" t="e">
        <f>AND('INDEX '!E95,"AAAAAHf//rE=")</f>
        <v>#VALUE!</v>
      </c>
      <c r="FW5" t="e">
        <f>AND('INDEX '!F95,"AAAAAHf//rI=")</f>
        <v>#VALUE!</v>
      </c>
      <c r="FX5" t="e">
        <f>AND('INDEX '!G95,"AAAAAHf//rM=")</f>
        <v>#VALUE!</v>
      </c>
      <c r="FY5" t="e">
        <f>AND('INDEX '!H95,"AAAAAHf//rQ=")</f>
        <v>#VALUE!</v>
      </c>
      <c r="FZ5" t="e">
        <f>AND('INDEX '!I95,"AAAAAHf//rU=")</f>
        <v>#VALUE!</v>
      </c>
      <c r="GA5" t="e">
        <f>AND('INDEX '!J95,"AAAAAHf//rY=")</f>
        <v>#VALUE!</v>
      </c>
      <c r="GB5" t="e">
        <f>AND('INDEX '!K95,"AAAAAHf//rc=")</f>
        <v>#VALUE!</v>
      </c>
      <c r="GC5">
        <f>IF('INDEX '!96:96,"AAAAAHf//rg=",0)</f>
        <v>0</v>
      </c>
      <c r="GD5" t="e">
        <f>AND('INDEX '!A96,"AAAAAHf//rk=")</f>
        <v>#VALUE!</v>
      </c>
      <c r="GE5" t="e">
        <f>AND('INDEX '!B96,"AAAAAHf//ro=")</f>
        <v>#VALUE!</v>
      </c>
      <c r="GF5" t="e">
        <f>AND('INDEX '!C96,"AAAAAHf//rs=")</f>
        <v>#VALUE!</v>
      </c>
      <c r="GG5" t="e">
        <f>AND('INDEX '!D96,"AAAAAHf//rw=")</f>
        <v>#VALUE!</v>
      </c>
      <c r="GH5" t="e">
        <f>AND('INDEX '!E96,"AAAAAHf//r0=")</f>
        <v>#VALUE!</v>
      </c>
      <c r="GI5" t="e">
        <f>AND('INDEX '!F96,"AAAAAHf//r4=")</f>
        <v>#VALUE!</v>
      </c>
      <c r="GJ5" t="e">
        <f>AND('INDEX '!G96,"AAAAAHf//r8=")</f>
        <v>#VALUE!</v>
      </c>
      <c r="GK5" t="e">
        <f>AND('INDEX '!H96,"AAAAAHf//sA=")</f>
        <v>#VALUE!</v>
      </c>
      <c r="GL5" t="e">
        <f>AND('INDEX '!I96,"AAAAAHf//sE=")</f>
        <v>#VALUE!</v>
      </c>
      <c r="GM5" t="e">
        <f>AND('INDEX '!J96,"AAAAAHf//sI=")</f>
        <v>#VALUE!</v>
      </c>
      <c r="GN5" t="e">
        <f>AND('INDEX '!K96,"AAAAAHf//sM=")</f>
        <v>#VALUE!</v>
      </c>
      <c r="GO5">
        <f>IF('INDEX '!97:97,"AAAAAHf//sQ=",0)</f>
        <v>0</v>
      </c>
      <c r="GP5" t="e">
        <f>AND('INDEX '!A97,"AAAAAHf//sU=")</f>
        <v>#VALUE!</v>
      </c>
      <c r="GQ5" t="e">
        <f>AND('INDEX '!B97,"AAAAAHf//sY=")</f>
        <v>#VALUE!</v>
      </c>
      <c r="GR5" t="e">
        <f>AND('INDEX '!C97,"AAAAAHf//sc=")</f>
        <v>#VALUE!</v>
      </c>
      <c r="GS5" t="e">
        <f>AND('INDEX '!D97,"AAAAAHf//sg=")</f>
        <v>#VALUE!</v>
      </c>
      <c r="GT5" t="e">
        <f>AND('INDEX '!E97,"AAAAAHf//sk=")</f>
        <v>#VALUE!</v>
      </c>
      <c r="GU5" t="e">
        <f>AND('INDEX '!F97,"AAAAAHf//so=")</f>
        <v>#VALUE!</v>
      </c>
      <c r="GV5" t="e">
        <f>AND('INDEX '!G97,"AAAAAHf//ss=")</f>
        <v>#VALUE!</v>
      </c>
      <c r="GW5" t="e">
        <f>AND('INDEX '!H97,"AAAAAHf//sw=")</f>
        <v>#VALUE!</v>
      </c>
      <c r="GX5" t="e">
        <f>AND('INDEX '!I97,"AAAAAHf//s0=")</f>
        <v>#VALUE!</v>
      </c>
      <c r="GY5" t="e">
        <f>AND('INDEX '!J97,"AAAAAHf//s4=")</f>
        <v>#VALUE!</v>
      </c>
      <c r="GZ5" t="e">
        <f>AND('INDEX '!K97,"AAAAAHf//s8=")</f>
        <v>#VALUE!</v>
      </c>
      <c r="HA5">
        <f>IF('INDEX '!98:98,"AAAAAHf//tA=",0)</f>
        <v>0</v>
      </c>
      <c r="HB5" t="e">
        <f>AND('INDEX '!A98,"AAAAAHf//tE=")</f>
        <v>#VALUE!</v>
      </c>
      <c r="HC5" t="e">
        <f>AND('INDEX '!B98,"AAAAAHf//tI=")</f>
        <v>#VALUE!</v>
      </c>
      <c r="HD5" t="e">
        <f>AND('INDEX '!C98,"AAAAAHf//tM=")</f>
        <v>#VALUE!</v>
      </c>
      <c r="HE5" t="e">
        <f>AND('INDEX '!D98,"AAAAAHf//tQ=")</f>
        <v>#VALUE!</v>
      </c>
      <c r="HF5" t="e">
        <f>AND('INDEX '!E98,"AAAAAHf//tU=")</f>
        <v>#VALUE!</v>
      </c>
      <c r="HG5" t="e">
        <f>AND('INDEX '!F98,"AAAAAHf//tY=")</f>
        <v>#VALUE!</v>
      </c>
      <c r="HH5" t="e">
        <f>AND('INDEX '!G98,"AAAAAHf//tc=")</f>
        <v>#VALUE!</v>
      </c>
      <c r="HI5" t="e">
        <f>AND('INDEX '!H98,"AAAAAHf//tg=")</f>
        <v>#VALUE!</v>
      </c>
      <c r="HJ5" t="e">
        <f>AND('INDEX '!I98,"AAAAAHf//tk=")</f>
        <v>#VALUE!</v>
      </c>
      <c r="HK5" t="e">
        <f>AND('INDEX '!J98,"AAAAAHf//to=")</f>
        <v>#VALUE!</v>
      </c>
      <c r="HL5" t="e">
        <f>AND('INDEX '!K98,"AAAAAHf//ts=")</f>
        <v>#VALUE!</v>
      </c>
      <c r="HM5">
        <f>IF('INDEX '!99:99,"AAAAAHf//tw=",0)</f>
        <v>0</v>
      </c>
      <c r="HN5" t="e">
        <f>AND('INDEX '!A99,"AAAAAHf//t0=")</f>
        <v>#VALUE!</v>
      </c>
      <c r="HO5" t="e">
        <f>AND('INDEX '!B99,"AAAAAHf//t4=")</f>
        <v>#VALUE!</v>
      </c>
      <c r="HP5" t="e">
        <f>AND('INDEX '!C99,"AAAAAHf//t8=")</f>
        <v>#VALUE!</v>
      </c>
      <c r="HQ5" t="e">
        <f>AND('INDEX '!D99,"AAAAAHf//uA=")</f>
        <v>#VALUE!</v>
      </c>
      <c r="HR5" t="e">
        <f>AND('INDEX '!E99,"AAAAAHf//uE=")</f>
        <v>#VALUE!</v>
      </c>
      <c r="HS5" t="e">
        <f>AND('INDEX '!F99,"AAAAAHf//uI=")</f>
        <v>#VALUE!</v>
      </c>
      <c r="HT5" t="e">
        <f>AND('INDEX '!G99,"AAAAAHf//uM=")</f>
        <v>#VALUE!</v>
      </c>
      <c r="HU5" t="e">
        <f>AND('INDEX '!H99,"AAAAAHf//uQ=")</f>
        <v>#VALUE!</v>
      </c>
      <c r="HV5" t="e">
        <f>AND('INDEX '!I99,"AAAAAHf//uU=")</f>
        <v>#VALUE!</v>
      </c>
      <c r="HW5" t="e">
        <f>AND('INDEX '!J99,"AAAAAHf//uY=")</f>
        <v>#VALUE!</v>
      </c>
      <c r="HX5" t="e">
        <f>AND('INDEX '!K99,"AAAAAHf//uc=")</f>
        <v>#VALUE!</v>
      </c>
      <c r="HY5">
        <f>IF('INDEX '!100:100,"AAAAAHf//ug=",0)</f>
        <v>0</v>
      </c>
      <c r="HZ5" t="e">
        <f>AND('INDEX '!A100,"AAAAAHf//uk=")</f>
        <v>#VALUE!</v>
      </c>
      <c r="IA5" t="e">
        <f>AND('INDEX '!B100,"AAAAAHf//uo=")</f>
        <v>#VALUE!</v>
      </c>
      <c r="IB5" t="e">
        <f>AND('INDEX '!C100,"AAAAAHf//us=")</f>
        <v>#VALUE!</v>
      </c>
      <c r="IC5" t="e">
        <f>AND('INDEX '!D100,"AAAAAHf//uw=")</f>
        <v>#VALUE!</v>
      </c>
      <c r="ID5" t="e">
        <f>AND('INDEX '!E100,"AAAAAHf//u0=")</f>
        <v>#VALUE!</v>
      </c>
      <c r="IE5" t="e">
        <f>AND('INDEX '!F100,"AAAAAHf//u4=")</f>
        <v>#VALUE!</v>
      </c>
      <c r="IF5" t="e">
        <f>AND('INDEX '!G100,"AAAAAHf//u8=")</f>
        <v>#VALUE!</v>
      </c>
      <c r="IG5" t="e">
        <f>AND('INDEX '!H100,"AAAAAHf//vA=")</f>
        <v>#VALUE!</v>
      </c>
      <c r="IH5" t="e">
        <f>AND('INDEX '!I100,"AAAAAHf//vE=")</f>
        <v>#VALUE!</v>
      </c>
      <c r="II5" t="e">
        <f>AND('INDEX '!J100,"AAAAAHf//vI=")</f>
        <v>#VALUE!</v>
      </c>
      <c r="IJ5" t="e">
        <f>AND('INDEX '!K100,"AAAAAHf//vM=")</f>
        <v>#VALUE!</v>
      </c>
      <c r="IK5">
        <f>IF('INDEX '!101:101,"AAAAAHf//vQ=",0)</f>
        <v>0</v>
      </c>
      <c r="IL5" t="e">
        <f>AND('INDEX '!A101,"AAAAAHf//vU=")</f>
        <v>#VALUE!</v>
      </c>
      <c r="IM5" t="e">
        <f>AND('INDEX '!B101,"AAAAAHf//vY=")</f>
        <v>#VALUE!</v>
      </c>
      <c r="IN5" t="e">
        <f>AND('INDEX '!C101,"AAAAAHf//vc=")</f>
        <v>#VALUE!</v>
      </c>
      <c r="IO5" t="e">
        <f>AND('INDEX '!D101,"AAAAAHf//vg=")</f>
        <v>#VALUE!</v>
      </c>
      <c r="IP5" t="e">
        <f>AND('INDEX '!E101,"AAAAAHf//vk=")</f>
        <v>#VALUE!</v>
      </c>
      <c r="IQ5" t="e">
        <f>AND('INDEX '!F101,"AAAAAHf//vo=")</f>
        <v>#VALUE!</v>
      </c>
      <c r="IR5" t="e">
        <f>AND('INDEX '!G101,"AAAAAHf//vs=")</f>
        <v>#VALUE!</v>
      </c>
      <c r="IS5" t="e">
        <f>AND('INDEX '!H101,"AAAAAHf//vw=")</f>
        <v>#VALUE!</v>
      </c>
      <c r="IT5" t="e">
        <f>AND('INDEX '!I101,"AAAAAHf//v0=")</f>
        <v>#VALUE!</v>
      </c>
      <c r="IU5" t="e">
        <f>AND('INDEX '!J101,"AAAAAHf//v4=")</f>
        <v>#VALUE!</v>
      </c>
      <c r="IV5" t="e">
        <f>AND('INDEX '!K101,"AAAAAHf//v8=")</f>
        <v>#VALUE!</v>
      </c>
    </row>
    <row r="6" spans="1:256">
      <c r="A6" t="e">
        <f>IF('INDEX '!102:102,"AAAAAHxutgA=",0)</f>
        <v>#VALUE!</v>
      </c>
      <c r="B6" t="e">
        <f>AND('INDEX '!A102,"AAAAAHxutgE=")</f>
        <v>#VALUE!</v>
      </c>
      <c r="C6" t="e">
        <f>AND('INDEX '!B102,"AAAAAHxutgI=")</f>
        <v>#VALUE!</v>
      </c>
      <c r="D6" t="e">
        <f>AND('INDEX '!C102,"AAAAAHxutgM=")</f>
        <v>#VALUE!</v>
      </c>
      <c r="E6" t="e">
        <f>AND('INDEX '!D102,"AAAAAHxutgQ=")</f>
        <v>#VALUE!</v>
      </c>
      <c r="F6" t="e">
        <f>AND('INDEX '!E102,"AAAAAHxutgU=")</f>
        <v>#VALUE!</v>
      </c>
      <c r="G6" t="e">
        <f>AND('INDEX '!F102,"AAAAAHxutgY=")</f>
        <v>#VALUE!</v>
      </c>
      <c r="H6" t="e">
        <f>AND('INDEX '!G102,"AAAAAHxutgc=")</f>
        <v>#VALUE!</v>
      </c>
      <c r="I6" t="e">
        <f>AND('INDEX '!H102,"AAAAAHxutgg=")</f>
        <v>#VALUE!</v>
      </c>
      <c r="J6" t="e">
        <f>AND('INDEX '!I102,"AAAAAHxutgk=")</f>
        <v>#VALUE!</v>
      </c>
      <c r="K6" t="e">
        <f>AND('INDEX '!J102,"AAAAAHxutgo=")</f>
        <v>#VALUE!</v>
      </c>
      <c r="L6" t="e">
        <f>AND('INDEX '!K102,"AAAAAHxutgs=")</f>
        <v>#VALUE!</v>
      </c>
      <c r="M6">
        <f>IF('INDEX '!103:103,"AAAAAHxutgw=",0)</f>
        <v>0</v>
      </c>
      <c r="N6" t="e">
        <f>AND('INDEX '!A103,"AAAAAHxutg0=")</f>
        <v>#VALUE!</v>
      </c>
      <c r="O6" t="e">
        <f>AND('INDEX '!B103,"AAAAAHxutg4=")</f>
        <v>#VALUE!</v>
      </c>
      <c r="P6" t="e">
        <f>AND('INDEX '!C103,"AAAAAHxutg8=")</f>
        <v>#VALUE!</v>
      </c>
      <c r="Q6" t="e">
        <f>AND('INDEX '!D103,"AAAAAHxuthA=")</f>
        <v>#VALUE!</v>
      </c>
      <c r="R6" t="e">
        <f>AND('INDEX '!E103,"AAAAAHxuthE=")</f>
        <v>#VALUE!</v>
      </c>
      <c r="S6" t="e">
        <f>AND('INDEX '!F103,"AAAAAHxuthI=")</f>
        <v>#VALUE!</v>
      </c>
      <c r="T6" t="e">
        <f>AND('INDEX '!G103,"AAAAAHxuthM=")</f>
        <v>#VALUE!</v>
      </c>
      <c r="U6" t="e">
        <f>AND('INDEX '!H103,"AAAAAHxuthQ=")</f>
        <v>#VALUE!</v>
      </c>
      <c r="V6" t="e">
        <f>AND('INDEX '!I103,"AAAAAHxuthU=")</f>
        <v>#VALUE!</v>
      </c>
      <c r="W6" t="e">
        <f>AND('INDEX '!J103,"AAAAAHxuthY=")</f>
        <v>#VALUE!</v>
      </c>
      <c r="X6" t="e">
        <f>AND('INDEX '!K103,"AAAAAHxuthc=")</f>
        <v>#VALUE!</v>
      </c>
      <c r="Y6">
        <f>IF('INDEX '!104:104,"AAAAAHxuthg=",0)</f>
        <v>0</v>
      </c>
      <c r="Z6" t="e">
        <f>AND('INDEX '!A104,"AAAAAHxuthk=")</f>
        <v>#VALUE!</v>
      </c>
      <c r="AA6" t="e">
        <f>AND('INDEX '!B104,"AAAAAHxutho=")</f>
        <v>#VALUE!</v>
      </c>
      <c r="AB6" t="e">
        <f>AND('INDEX '!C104,"AAAAAHxuths=")</f>
        <v>#VALUE!</v>
      </c>
      <c r="AC6" t="e">
        <f>AND('INDEX '!D104,"AAAAAHxuthw=")</f>
        <v>#VALUE!</v>
      </c>
      <c r="AD6" t="e">
        <f>AND('INDEX '!E104,"AAAAAHxuth0=")</f>
        <v>#VALUE!</v>
      </c>
      <c r="AE6" t="e">
        <f>AND('INDEX '!F104,"AAAAAHxuth4=")</f>
        <v>#VALUE!</v>
      </c>
      <c r="AF6" t="e">
        <f>AND('INDEX '!G104,"AAAAAHxuth8=")</f>
        <v>#VALUE!</v>
      </c>
      <c r="AG6" t="e">
        <f>AND('INDEX '!H104,"AAAAAHxutiA=")</f>
        <v>#VALUE!</v>
      </c>
      <c r="AH6" t="e">
        <f>AND('INDEX '!I104,"AAAAAHxutiE=")</f>
        <v>#VALUE!</v>
      </c>
      <c r="AI6" t="e">
        <f>AND('INDEX '!J104,"AAAAAHxutiI=")</f>
        <v>#VALUE!</v>
      </c>
      <c r="AJ6" t="e">
        <f>AND('INDEX '!K104,"AAAAAHxutiM=")</f>
        <v>#VALUE!</v>
      </c>
      <c r="AK6">
        <f>IF('INDEX '!105:105,"AAAAAHxutiQ=",0)</f>
        <v>0</v>
      </c>
      <c r="AL6" t="e">
        <f>AND('INDEX '!A105,"AAAAAHxutiU=")</f>
        <v>#VALUE!</v>
      </c>
      <c r="AM6" t="e">
        <f>AND('INDEX '!B105,"AAAAAHxutiY=")</f>
        <v>#VALUE!</v>
      </c>
      <c r="AN6" t="e">
        <f>AND('INDEX '!C105,"AAAAAHxutic=")</f>
        <v>#VALUE!</v>
      </c>
      <c r="AO6" t="e">
        <f>AND('INDEX '!D105,"AAAAAHxutig=")</f>
        <v>#VALUE!</v>
      </c>
      <c r="AP6" t="e">
        <f>AND('INDEX '!E105,"AAAAAHxutik=")</f>
        <v>#VALUE!</v>
      </c>
      <c r="AQ6" t="e">
        <f>AND('INDEX '!F105,"AAAAAHxutio=")</f>
        <v>#VALUE!</v>
      </c>
      <c r="AR6" t="e">
        <f>AND('INDEX '!G105,"AAAAAHxutis=")</f>
        <v>#VALUE!</v>
      </c>
      <c r="AS6" t="e">
        <f>AND('INDEX '!H105,"AAAAAHxutiw=")</f>
        <v>#VALUE!</v>
      </c>
      <c r="AT6" t="e">
        <f>AND('INDEX '!I105,"AAAAAHxuti0=")</f>
        <v>#VALUE!</v>
      </c>
      <c r="AU6" t="e">
        <f>AND('INDEX '!J105,"AAAAAHxuti4=")</f>
        <v>#VALUE!</v>
      </c>
      <c r="AV6" t="e">
        <f>AND('INDEX '!K105,"AAAAAHxuti8=")</f>
        <v>#VALUE!</v>
      </c>
      <c r="AW6">
        <f>IF('INDEX '!106:106,"AAAAAHxutjA=",0)</f>
        <v>0</v>
      </c>
      <c r="AX6" t="e">
        <f>AND('INDEX '!A106,"AAAAAHxutjE=")</f>
        <v>#VALUE!</v>
      </c>
      <c r="AY6" t="e">
        <f>AND('INDEX '!B106,"AAAAAHxutjI=")</f>
        <v>#VALUE!</v>
      </c>
      <c r="AZ6" t="e">
        <f>AND('INDEX '!C106,"AAAAAHxutjM=")</f>
        <v>#VALUE!</v>
      </c>
      <c r="BA6" t="e">
        <f>AND('INDEX '!D106,"AAAAAHxutjQ=")</f>
        <v>#VALUE!</v>
      </c>
      <c r="BB6" t="e">
        <f>AND('INDEX '!E106,"AAAAAHxutjU=")</f>
        <v>#VALUE!</v>
      </c>
      <c r="BC6" t="e">
        <f>AND('INDEX '!F106,"AAAAAHxutjY=")</f>
        <v>#VALUE!</v>
      </c>
      <c r="BD6" t="e">
        <f>AND('INDEX '!G106,"AAAAAHxutjc=")</f>
        <v>#VALUE!</v>
      </c>
      <c r="BE6" t="e">
        <f>AND('INDEX '!H106,"AAAAAHxutjg=")</f>
        <v>#VALUE!</v>
      </c>
      <c r="BF6" t="e">
        <f>AND('INDEX '!I106,"AAAAAHxutjk=")</f>
        <v>#VALUE!</v>
      </c>
      <c r="BG6" t="e">
        <f>AND('INDEX '!J106,"AAAAAHxutjo=")</f>
        <v>#VALUE!</v>
      </c>
      <c r="BH6" t="e">
        <f>AND('INDEX '!K106,"AAAAAHxutjs=")</f>
        <v>#VALUE!</v>
      </c>
      <c r="BI6">
        <f>IF('INDEX '!107:107,"AAAAAHxutjw=",0)</f>
        <v>0</v>
      </c>
      <c r="BJ6" t="e">
        <f>AND('INDEX '!A107,"AAAAAHxutj0=")</f>
        <v>#VALUE!</v>
      </c>
      <c r="BK6" t="e">
        <f>AND('INDEX '!B107,"AAAAAHxutj4=")</f>
        <v>#VALUE!</v>
      </c>
      <c r="BL6" t="e">
        <f>AND('INDEX '!C107,"AAAAAHxutj8=")</f>
        <v>#VALUE!</v>
      </c>
      <c r="BM6" t="e">
        <f>AND('INDEX '!D107,"AAAAAHxutkA=")</f>
        <v>#VALUE!</v>
      </c>
      <c r="BN6" t="e">
        <f>AND('INDEX '!E107,"AAAAAHxutkE=")</f>
        <v>#VALUE!</v>
      </c>
      <c r="BO6" t="e">
        <f>AND('INDEX '!F107,"AAAAAHxutkI=")</f>
        <v>#VALUE!</v>
      </c>
      <c r="BP6" t="e">
        <f>AND('INDEX '!G107,"AAAAAHxutkM=")</f>
        <v>#VALUE!</v>
      </c>
      <c r="BQ6" t="e">
        <f>AND('INDEX '!H107,"AAAAAHxutkQ=")</f>
        <v>#VALUE!</v>
      </c>
      <c r="BR6" t="e">
        <f>AND('INDEX '!I107,"AAAAAHxutkU=")</f>
        <v>#VALUE!</v>
      </c>
      <c r="BS6" t="e">
        <f>AND('INDEX '!J107,"AAAAAHxutkY=")</f>
        <v>#VALUE!</v>
      </c>
      <c r="BT6" t="e">
        <f>AND('INDEX '!K107,"AAAAAHxutkc=")</f>
        <v>#VALUE!</v>
      </c>
      <c r="BU6">
        <f>IF('INDEX '!108:108,"AAAAAHxutkg=",0)</f>
        <v>0</v>
      </c>
      <c r="BV6" t="e">
        <f>AND('INDEX '!A108,"AAAAAHxutkk=")</f>
        <v>#VALUE!</v>
      </c>
      <c r="BW6" t="e">
        <f>AND('INDEX '!B108,"AAAAAHxutko=")</f>
        <v>#VALUE!</v>
      </c>
      <c r="BX6" t="e">
        <f>AND('INDEX '!C108,"AAAAAHxutks=")</f>
        <v>#VALUE!</v>
      </c>
      <c r="BY6" t="e">
        <f>AND('INDEX '!D108,"AAAAAHxutkw=")</f>
        <v>#VALUE!</v>
      </c>
      <c r="BZ6" t="e">
        <f>AND('INDEX '!E108,"AAAAAHxutk0=")</f>
        <v>#VALUE!</v>
      </c>
      <c r="CA6" t="e">
        <f>AND('INDEX '!F108,"AAAAAHxutk4=")</f>
        <v>#VALUE!</v>
      </c>
      <c r="CB6" t="e">
        <f>AND('INDEX '!G108,"AAAAAHxutk8=")</f>
        <v>#VALUE!</v>
      </c>
      <c r="CC6" t="e">
        <f>AND('INDEX '!H108,"AAAAAHxutlA=")</f>
        <v>#VALUE!</v>
      </c>
      <c r="CD6" t="e">
        <f>AND('INDEX '!I108,"AAAAAHxutlE=")</f>
        <v>#VALUE!</v>
      </c>
      <c r="CE6" t="e">
        <f>AND('INDEX '!J108,"AAAAAHxutlI=")</f>
        <v>#VALUE!</v>
      </c>
      <c r="CF6" t="e">
        <f>AND('INDEX '!K108,"AAAAAHxutlM=")</f>
        <v>#VALUE!</v>
      </c>
      <c r="CG6">
        <f>IF('INDEX '!109:109,"AAAAAHxutlQ=",0)</f>
        <v>0</v>
      </c>
      <c r="CH6" t="e">
        <f>AND('INDEX '!A109,"AAAAAHxutlU=")</f>
        <v>#VALUE!</v>
      </c>
      <c r="CI6" t="e">
        <f>AND('INDEX '!B109,"AAAAAHxutlY=")</f>
        <v>#VALUE!</v>
      </c>
      <c r="CJ6" t="e">
        <f>AND('INDEX '!C109,"AAAAAHxutlc=")</f>
        <v>#VALUE!</v>
      </c>
      <c r="CK6" t="e">
        <f>AND('INDEX '!D109,"AAAAAHxutlg=")</f>
        <v>#VALUE!</v>
      </c>
      <c r="CL6" t="e">
        <f>AND('INDEX '!E109,"AAAAAHxutlk=")</f>
        <v>#VALUE!</v>
      </c>
      <c r="CM6" t="e">
        <f>AND('INDEX '!F109,"AAAAAHxutlo=")</f>
        <v>#VALUE!</v>
      </c>
      <c r="CN6" t="e">
        <f>AND('INDEX '!G109,"AAAAAHxutls=")</f>
        <v>#VALUE!</v>
      </c>
      <c r="CO6" t="e">
        <f>AND('INDEX '!H109,"AAAAAHxutlw=")</f>
        <v>#VALUE!</v>
      </c>
      <c r="CP6" t="e">
        <f>AND('INDEX '!I109,"AAAAAHxutl0=")</f>
        <v>#VALUE!</v>
      </c>
      <c r="CQ6" t="e">
        <f>AND('INDEX '!J109,"AAAAAHxutl4=")</f>
        <v>#VALUE!</v>
      </c>
      <c r="CR6" t="e">
        <f>AND('INDEX '!K109,"AAAAAHxutl8=")</f>
        <v>#VALUE!</v>
      </c>
      <c r="CS6">
        <f>IF('INDEX '!110:110,"AAAAAHxutmA=",0)</f>
        <v>0</v>
      </c>
      <c r="CT6" t="e">
        <f>AND('INDEX '!A110,"AAAAAHxutmE=")</f>
        <v>#VALUE!</v>
      </c>
      <c r="CU6" t="e">
        <f>AND('INDEX '!B110,"AAAAAHxutmI=")</f>
        <v>#VALUE!</v>
      </c>
      <c r="CV6" t="e">
        <f>AND('INDEX '!C110,"AAAAAHxutmM=")</f>
        <v>#VALUE!</v>
      </c>
      <c r="CW6" t="e">
        <f>AND('INDEX '!D110,"AAAAAHxutmQ=")</f>
        <v>#VALUE!</v>
      </c>
      <c r="CX6" t="e">
        <f>AND('INDEX '!E110,"AAAAAHxutmU=")</f>
        <v>#VALUE!</v>
      </c>
      <c r="CY6" t="e">
        <f>AND('INDEX '!F110,"AAAAAHxutmY=")</f>
        <v>#VALUE!</v>
      </c>
      <c r="CZ6" t="e">
        <f>AND('INDEX '!G110,"AAAAAHxutmc=")</f>
        <v>#VALUE!</v>
      </c>
      <c r="DA6" t="e">
        <f>AND('INDEX '!H110,"AAAAAHxutmg=")</f>
        <v>#VALUE!</v>
      </c>
      <c r="DB6" t="e">
        <f>AND('INDEX '!I110,"AAAAAHxutmk=")</f>
        <v>#VALUE!</v>
      </c>
      <c r="DC6" t="e">
        <f>AND('INDEX '!J110,"AAAAAHxutmo=")</f>
        <v>#VALUE!</v>
      </c>
      <c r="DD6" t="e">
        <f>AND('INDEX '!K110,"AAAAAHxutms=")</f>
        <v>#VALUE!</v>
      </c>
      <c r="DE6">
        <f>IF('INDEX '!111:111,"AAAAAHxutmw=",0)</f>
        <v>0</v>
      </c>
      <c r="DF6" t="e">
        <f>AND('INDEX '!A111,"AAAAAHxutm0=")</f>
        <v>#VALUE!</v>
      </c>
      <c r="DG6" t="e">
        <f>AND('INDEX '!B111,"AAAAAHxutm4=")</f>
        <v>#VALUE!</v>
      </c>
      <c r="DH6" t="e">
        <f>AND('INDEX '!C111,"AAAAAHxutm8=")</f>
        <v>#VALUE!</v>
      </c>
      <c r="DI6" t="e">
        <f>AND('INDEX '!D111,"AAAAAHxutnA=")</f>
        <v>#VALUE!</v>
      </c>
      <c r="DJ6" t="e">
        <f>AND('INDEX '!E111,"AAAAAHxutnE=")</f>
        <v>#VALUE!</v>
      </c>
      <c r="DK6" t="e">
        <f>AND('INDEX '!F111,"AAAAAHxutnI=")</f>
        <v>#VALUE!</v>
      </c>
      <c r="DL6" t="e">
        <f>AND('INDEX '!G111,"AAAAAHxutnM=")</f>
        <v>#VALUE!</v>
      </c>
      <c r="DM6" t="e">
        <f>AND('INDEX '!H111,"AAAAAHxutnQ=")</f>
        <v>#VALUE!</v>
      </c>
      <c r="DN6" t="e">
        <f>AND('INDEX '!I111,"AAAAAHxutnU=")</f>
        <v>#VALUE!</v>
      </c>
      <c r="DO6" t="e">
        <f>AND('INDEX '!J111,"AAAAAHxutnY=")</f>
        <v>#VALUE!</v>
      </c>
      <c r="DP6" t="e">
        <f>AND('INDEX '!K111,"AAAAAHxutnc=")</f>
        <v>#VALUE!</v>
      </c>
      <c r="DQ6">
        <f>IF('INDEX '!112:112,"AAAAAHxutng=",0)</f>
        <v>0</v>
      </c>
      <c r="DR6" t="e">
        <f>AND('INDEX '!A112,"AAAAAHxutnk=")</f>
        <v>#VALUE!</v>
      </c>
      <c r="DS6" t="e">
        <f>AND('INDEX '!B112,"AAAAAHxutno=")</f>
        <v>#VALUE!</v>
      </c>
      <c r="DT6" t="e">
        <f>AND('INDEX '!C112,"AAAAAHxutns=")</f>
        <v>#VALUE!</v>
      </c>
      <c r="DU6" t="e">
        <f>AND('INDEX '!D112,"AAAAAHxutnw=")</f>
        <v>#VALUE!</v>
      </c>
      <c r="DV6" t="e">
        <f>AND('INDEX '!E112,"AAAAAHxutn0=")</f>
        <v>#VALUE!</v>
      </c>
      <c r="DW6" t="e">
        <f>AND('INDEX '!F112,"AAAAAHxutn4=")</f>
        <v>#VALUE!</v>
      </c>
      <c r="DX6" t="e">
        <f>AND('INDEX '!G112,"AAAAAHxutn8=")</f>
        <v>#VALUE!</v>
      </c>
      <c r="DY6" t="e">
        <f>AND('INDEX '!H112,"AAAAAHxutoA=")</f>
        <v>#VALUE!</v>
      </c>
      <c r="DZ6" t="e">
        <f>AND('INDEX '!I112,"AAAAAHxutoE=")</f>
        <v>#VALUE!</v>
      </c>
      <c r="EA6" t="e">
        <f>AND('INDEX '!J112,"AAAAAHxutoI=")</f>
        <v>#VALUE!</v>
      </c>
      <c r="EB6" t="e">
        <f>AND('INDEX '!K112,"AAAAAHxutoM=")</f>
        <v>#VALUE!</v>
      </c>
      <c r="EC6">
        <f>IF('INDEX '!113:113,"AAAAAHxutoQ=",0)</f>
        <v>0</v>
      </c>
      <c r="ED6" t="e">
        <f>AND('INDEX '!A113,"AAAAAHxutoU=")</f>
        <v>#VALUE!</v>
      </c>
      <c r="EE6" t="e">
        <f>AND('INDEX '!B113,"AAAAAHxutoY=")</f>
        <v>#VALUE!</v>
      </c>
      <c r="EF6" t="e">
        <f>AND('INDEX '!C113,"AAAAAHxutoc=")</f>
        <v>#VALUE!</v>
      </c>
      <c r="EG6" t="e">
        <f>AND('INDEX '!D113,"AAAAAHxutog=")</f>
        <v>#VALUE!</v>
      </c>
      <c r="EH6" t="e">
        <f>AND('INDEX '!E113,"AAAAAHxutok=")</f>
        <v>#VALUE!</v>
      </c>
      <c r="EI6" t="e">
        <f>AND('INDEX '!F113,"AAAAAHxutoo=")</f>
        <v>#VALUE!</v>
      </c>
      <c r="EJ6" t="e">
        <f>AND('INDEX '!G113,"AAAAAHxutos=")</f>
        <v>#VALUE!</v>
      </c>
      <c r="EK6" t="e">
        <f>AND('INDEX '!H113,"AAAAAHxutow=")</f>
        <v>#VALUE!</v>
      </c>
      <c r="EL6" t="e">
        <f>AND('INDEX '!I113,"AAAAAHxuto0=")</f>
        <v>#VALUE!</v>
      </c>
      <c r="EM6" t="e">
        <f>AND('INDEX '!J113,"AAAAAHxuto4=")</f>
        <v>#VALUE!</v>
      </c>
      <c r="EN6" t="e">
        <f>AND('INDEX '!K113,"AAAAAHxuto8=")</f>
        <v>#VALUE!</v>
      </c>
      <c r="EO6">
        <f>IF('INDEX '!114:114,"AAAAAHxutpA=",0)</f>
        <v>0</v>
      </c>
      <c r="EP6" t="e">
        <f>AND('INDEX '!A114,"AAAAAHxutpE=")</f>
        <v>#VALUE!</v>
      </c>
      <c r="EQ6" t="e">
        <f>AND('INDEX '!B114,"AAAAAHxutpI=")</f>
        <v>#VALUE!</v>
      </c>
      <c r="ER6" t="e">
        <f>AND('INDEX '!C114,"AAAAAHxutpM=")</f>
        <v>#VALUE!</v>
      </c>
      <c r="ES6" t="e">
        <f>AND('INDEX '!D114,"AAAAAHxutpQ=")</f>
        <v>#VALUE!</v>
      </c>
      <c r="ET6" t="e">
        <f>AND('INDEX '!E114,"AAAAAHxutpU=")</f>
        <v>#VALUE!</v>
      </c>
      <c r="EU6" t="e">
        <f>AND('INDEX '!F114,"AAAAAHxutpY=")</f>
        <v>#VALUE!</v>
      </c>
      <c r="EV6" t="e">
        <f>AND('INDEX '!G114,"AAAAAHxutpc=")</f>
        <v>#VALUE!</v>
      </c>
      <c r="EW6" t="e">
        <f>AND('INDEX '!H114,"AAAAAHxutpg=")</f>
        <v>#VALUE!</v>
      </c>
      <c r="EX6" t="e">
        <f>AND('INDEX '!I114,"AAAAAHxutpk=")</f>
        <v>#VALUE!</v>
      </c>
      <c r="EY6" t="e">
        <f>AND('INDEX '!J114,"AAAAAHxutpo=")</f>
        <v>#VALUE!</v>
      </c>
      <c r="EZ6" t="e">
        <f>AND('INDEX '!K114,"AAAAAHxutps=")</f>
        <v>#VALUE!</v>
      </c>
      <c r="FA6">
        <f>IF('INDEX '!115:115,"AAAAAHxutpw=",0)</f>
        <v>0</v>
      </c>
      <c r="FB6" t="e">
        <f>AND('INDEX '!A115,"AAAAAHxutp0=")</f>
        <v>#VALUE!</v>
      </c>
      <c r="FC6" t="e">
        <f>AND('INDEX '!B115,"AAAAAHxutp4=")</f>
        <v>#VALUE!</v>
      </c>
      <c r="FD6" t="e">
        <f>AND('INDEX '!C115,"AAAAAHxutp8=")</f>
        <v>#VALUE!</v>
      </c>
      <c r="FE6" t="e">
        <f>AND('INDEX '!D115,"AAAAAHxutqA=")</f>
        <v>#VALUE!</v>
      </c>
      <c r="FF6" t="e">
        <f>AND('INDEX '!E115,"AAAAAHxutqE=")</f>
        <v>#VALUE!</v>
      </c>
      <c r="FG6" t="e">
        <f>AND('INDEX '!F115,"AAAAAHxutqI=")</f>
        <v>#VALUE!</v>
      </c>
      <c r="FH6" t="e">
        <f>AND('INDEX '!G115,"AAAAAHxutqM=")</f>
        <v>#VALUE!</v>
      </c>
      <c r="FI6" t="e">
        <f>AND('INDEX '!H115,"AAAAAHxutqQ=")</f>
        <v>#VALUE!</v>
      </c>
      <c r="FJ6" t="e">
        <f>AND('INDEX '!I115,"AAAAAHxutqU=")</f>
        <v>#VALUE!</v>
      </c>
      <c r="FK6" t="e">
        <f>AND('INDEX '!J115,"AAAAAHxutqY=")</f>
        <v>#VALUE!</v>
      </c>
      <c r="FL6" t="e">
        <f>AND('INDEX '!K115,"AAAAAHxutqc=")</f>
        <v>#VALUE!</v>
      </c>
      <c r="FM6">
        <f>IF('INDEX '!116:116,"AAAAAHxutqg=",0)</f>
        <v>0</v>
      </c>
      <c r="FN6" t="e">
        <f>AND('INDEX '!A116,"AAAAAHxutqk=")</f>
        <v>#VALUE!</v>
      </c>
      <c r="FO6" t="e">
        <f>AND('INDEX '!B116,"AAAAAHxutqo=")</f>
        <v>#VALUE!</v>
      </c>
      <c r="FP6" t="e">
        <f>AND('INDEX '!C116,"AAAAAHxutqs=")</f>
        <v>#VALUE!</v>
      </c>
      <c r="FQ6" t="e">
        <f>AND('INDEX '!D116,"AAAAAHxutqw=")</f>
        <v>#VALUE!</v>
      </c>
      <c r="FR6" t="e">
        <f>AND('INDEX '!E116,"AAAAAHxutq0=")</f>
        <v>#VALUE!</v>
      </c>
      <c r="FS6" t="e">
        <f>AND('INDEX '!F116,"AAAAAHxutq4=")</f>
        <v>#VALUE!</v>
      </c>
      <c r="FT6" t="e">
        <f>AND('INDEX '!G116,"AAAAAHxutq8=")</f>
        <v>#VALUE!</v>
      </c>
      <c r="FU6" t="e">
        <f>AND('INDEX '!H116,"AAAAAHxutrA=")</f>
        <v>#VALUE!</v>
      </c>
      <c r="FV6" t="e">
        <f>AND('INDEX '!I116,"AAAAAHxutrE=")</f>
        <v>#VALUE!</v>
      </c>
      <c r="FW6" t="e">
        <f>AND('INDEX '!J116,"AAAAAHxutrI=")</f>
        <v>#VALUE!</v>
      </c>
      <c r="FX6" t="e">
        <f>AND('INDEX '!K116,"AAAAAHxutrM=")</f>
        <v>#VALUE!</v>
      </c>
      <c r="FY6">
        <f>IF('INDEX '!117:117,"AAAAAHxutrQ=",0)</f>
        <v>0</v>
      </c>
      <c r="FZ6" t="e">
        <f>AND('INDEX '!A117,"AAAAAHxutrU=")</f>
        <v>#VALUE!</v>
      </c>
      <c r="GA6" t="e">
        <f>AND('INDEX '!B117,"AAAAAHxutrY=")</f>
        <v>#VALUE!</v>
      </c>
      <c r="GB6" t="e">
        <f>AND('INDEX '!C117,"AAAAAHxutrc=")</f>
        <v>#VALUE!</v>
      </c>
      <c r="GC6" t="e">
        <f>AND('INDEX '!D117,"AAAAAHxutrg=")</f>
        <v>#VALUE!</v>
      </c>
      <c r="GD6" t="e">
        <f>AND('INDEX '!E117,"AAAAAHxutrk=")</f>
        <v>#VALUE!</v>
      </c>
      <c r="GE6" t="e">
        <f>AND('INDEX '!F117,"AAAAAHxutro=")</f>
        <v>#VALUE!</v>
      </c>
      <c r="GF6" t="e">
        <f>AND('INDEX '!G117,"AAAAAHxutrs=")</f>
        <v>#VALUE!</v>
      </c>
      <c r="GG6" t="e">
        <f>AND('INDEX '!H117,"AAAAAHxutrw=")</f>
        <v>#VALUE!</v>
      </c>
      <c r="GH6" t="e">
        <f>AND('INDEX '!I117,"AAAAAHxutr0=")</f>
        <v>#VALUE!</v>
      </c>
      <c r="GI6" t="e">
        <f>AND('INDEX '!J117,"AAAAAHxutr4=")</f>
        <v>#VALUE!</v>
      </c>
      <c r="GJ6" t="e">
        <f>AND('INDEX '!K117,"AAAAAHxutr8=")</f>
        <v>#VALUE!</v>
      </c>
      <c r="GK6">
        <f>IF('INDEX '!118:118,"AAAAAHxutsA=",0)</f>
        <v>0</v>
      </c>
      <c r="GL6" t="e">
        <f>AND('INDEX '!A118,"AAAAAHxutsE=")</f>
        <v>#VALUE!</v>
      </c>
      <c r="GM6" t="e">
        <f>AND('INDEX '!B118,"AAAAAHxutsI=")</f>
        <v>#VALUE!</v>
      </c>
      <c r="GN6" t="e">
        <f>AND('INDEX '!C118,"AAAAAHxutsM=")</f>
        <v>#VALUE!</v>
      </c>
      <c r="GO6" t="e">
        <f>AND('INDEX '!D118,"AAAAAHxutsQ=")</f>
        <v>#VALUE!</v>
      </c>
      <c r="GP6" t="e">
        <f>AND('INDEX '!E118,"AAAAAHxutsU=")</f>
        <v>#VALUE!</v>
      </c>
      <c r="GQ6" t="e">
        <f>AND('INDEX '!F118,"AAAAAHxutsY=")</f>
        <v>#VALUE!</v>
      </c>
      <c r="GR6" t="e">
        <f>AND('INDEX '!G118,"AAAAAHxutsc=")</f>
        <v>#VALUE!</v>
      </c>
      <c r="GS6" t="e">
        <f>AND('INDEX '!H118,"AAAAAHxutsg=")</f>
        <v>#VALUE!</v>
      </c>
      <c r="GT6" t="e">
        <f>AND('INDEX '!I118,"AAAAAHxutsk=")</f>
        <v>#VALUE!</v>
      </c>
      <c r="GU6" t="e">
        <f>AND('INDEX '!J118,"AAAAAHxutso=")</f>
        <v>#VALUE!</v>
      </c>
      <c r="GV6" t="e">
        <f>AND('INDEX '!K118,"AAAAAHxutss=")</f>
        <v>#VALUE!</v>
      </c>
      <c r="GW6">
        <f>IF('INDEX '!119:119,"AAAAAHxutsw=",0)</f>
        <v>0</v>
      </c>
      <c r="GX6" t="e">
        <f>AND('INDEX '!A119,"AAAAAHxuts0=")</f>
        <v>#VALUE!</v>
      </c>
      <c r="GY6" t="e">
        <f>AND('INDEX '!B119,"AAAAAHxuts4=")</f>
        <v>#VALUE!</v>
      </c>
      <c r="GZ6" t="e">
        <f>AND('INDEX '!C119,"AAAAAHxuts8=")</f>
        <v>#VALUE!</v>
      </c>
      <c r="HA6" t="e">
        <f>AND('INDEX '!D119,"AAAAAHxuttA=")</f>
        <v>#VALUE!</v>
      </c>
      <c r="HB6" t="e">
        <f>AND('INDEX '!E119,"AAAAAHxuttE=")</f>
        <v>#VALUE!</v>
      </c>
      <c r="HC6" t="e">
        <f>AND('INDEX '!F119,"AAAAAHxuttI=")</f>
        <v>#VALUE!</v>
      </c>
      <c r="HD6" t="e">
        <f>AND('INDEX '!G119,"AAAAAHxuttM=")</f>
        <v>#VALUE!</v>
      </c>
      <c r="HE6" t="e">
        <f>AND('INDEX '!H119,"AAAAAHxuttQ=")</f>
        <v>#VALUE!</v>
      </c>
      <c r="HF6" t="e">
        <f>AND('INDEX '!I119,"AAAAAHxuttU=")</f>
        <v>#VALUE!</v>
      </c>
      <c r="HG6" t="e">
        <f>AND('INDEX '!J119,"AAAAAHxuttY=")</f>
        <v>#VALUE!</v>
      </c>
      <c r="HH6" t="e">
        <f>AND('INDEX '!K119,"AAAAAHxuttc=")</f>
        <v>#VALUE!</v>
      </c>
      <c r="HI6">
        <f>IF('INDEX '!120:120,"AAAAAHxuttg=",0)</f>
        <v>0</v>
      </c>
      <c r="HJ6" t="e">
        <f>AND('INDEX '!A120,"AAAAAHxuttk=")</f>
        <v>#VALUE!</v>
      </c>
      <c r="HK6" t="e">
        <f>AND('INDEX '!B120,"AAAAAHxutto=")</f>
        <v>#VALUE!</v>
      </c>
      <c r="HL6" t="e">
        <f>AND('INDEX '!C120,"AAAAAHxutts=")</f>
        <v>#VALUE!</v>
      </c>
      <c r="HM6" t="e">
        <f>AND('INDEX '!D120,"AAAAAHxuttw=")</f>
        <v>#VALUE!</v>
      </c>
      <c r="HN6" t="e">
        <f>AND('INDEX '!E120,"AAAAAHxutt0=")</f>
        <v>#VALUE!</v>
      </c>
      <c r="HO6" t="e">
        <f>AND('INDEX '!F120,"AAAAAHxutt4=")</f>
        <v>#VALUE!</v>
      </c>
      <c r="HP6" t="e">
        <f>AND('INDEX '!G120,"AAAAAHxutt8=")</f>
        <v>#VALUE!</v>
      </c>
      <c r="HQ6" t="e">
        <f>AND('INDEX '!H120,"AAAAAHxutuA=")</f>
        <v>#VALUE!</v>
      </c>
      <c r="HR6" t="e">
        <f>AND('INDEX '!I120,"AAAAAHxutuE=")</f>
        <v>#VALUE!</v>
      </c>
      <c r="HS6" t="e">
        <f>AND('INDEX '!J120,"AAAAAHxutuI=")</f>
        <v>#VALUE!</v>
      </c>
      <c r="HT6" t="e">
        <f>AND('INDEX '!K120,"AAAAAHxutuM=")</f>
        <v>#VALUE!</v>
      </c>
      <c r="HU6">
        <f>IF('INDEX '!121:121,"AAAAAHxutuQ=",0)</f>
        <v>0</v>
      </c>
      <c r="HV6" t="e">
        <f>AND('INDEX '!A121,"AAAAAHxutuU=")</f>
        <v>#VALUE!</v>
      </c>
      <c r="HW6" t="e">
        <f>AND('INDEX '!B121,"AAAAAHxutuY=")</f>
        <v>#VALUE!</v>
      </c>
      <c r="HX6" t="e">
        <f>AND('INDEX '!C121,"AAAAAHxutuc=")</f>
        <v>#VALUE!</v>
      </c>
      <c r="HY6" t="e">
        <f>AND('INDEX '!D121,"AAAAAHxutug=")</f>
        <v>#VALUE!</v>
      </c>
      <c r="HZ6" t="e">
        <f>AND('INDEX '!E121,"AAAAAHxutuk=")</f>
        <v>#VALUE!</v>
      </c>
      <c r="IA6" t="e">
        <f>AND('INDEX '!F121,"AAAAAHxutuo=")</f>
        <v>#VALUE!</v>
      </c>
      <c r="IB6" t="e">
        <f>AND('INDEX '!G121,"AAAAAHxutus=")</f>
        <v>#VALUE!</v>
      </c>
      <c r="IC6" t="e">
        <f>AND('INDEX '!H121,"AAAAAHxutuw=")</f>
        <v>#VALUE!</v>
      </c>
      <c r="ID6" t="e">
        <f>AND('INDEX '!I121,"AAAAAHxutu0=")</f>
        <v>#VALUE!</v>
      </c>
      <c r="IE6" t="e">
        <f>AND('INDEX '!J121,"AAAAAHxutu4=")</f>
        <v>#VALUE!</v>
      </c>
      <c r="IF6" t="e">
        <f>AND('INDEX '!K121,"AAAAAHxutu8=")</f>
        <v>#VALUE!</v>
      </c>
      <c r="IG6">
        <f>IF('INDEX '!122:122,"AAAAAHxutvA=",0)</f>
        <v>0</v>
      </c>
      <c r="IH6" t="e">
        <f>AND('INDEX '!A122,"AAAAAHxutvE=")</f>
        <v>#VALUE!</v>
      </c>
      <c r="II6" t="e">
        <f>AND('INDEX '!B122,"AAAAAHxutvI=")</f>
        <v>#VALUE!</v>
      </c>
      <c r="IJ6" t="e">
        <f>AND('INDEX '!C122,"AAAAAHxutvM=")</f>
        <v>#VALUE!</v>
      </c>
      <c r="IK6" t="e">
        <f>AND('INDEX '!D122,"AAAAAHxutvQ=")</f>
        <v>#VALUE!</v>
      </c>
      <c r="IL6" t="e">
        <f>AND('INDEX '!E122,"AAAAAHxutvU=")</f>
        <v>#VALUE!</v>
      </c>
      <c r="IM6" t="e">
        <f>AND('INDEX '!F122,"AAAAAHxutvY=")</f>
        <v>#VALUE!</v>
      </c>
      <c r="IN6" t="e">
        <f>AND('INDEX '!G122,"AAAAAHxutvc=")</f>
        <v>#VALUE!</v>
      </c>
      <c r="IO6" t="e">
        <f>AND('INDEX '!H122,"AAAAAHxutvg=")</f>
        <v>#VALUE!</v>
      </c>
      <c r="IP6" t="e">
        <f>AND('INDEX '!I122,"AAAAAHxutvk=")</f>
        <v>#VALUE!</v>
      </c>
      <c r="IQ6" t="e">
        <f>AND('INDEX '!J122,"AAAAAHxutvo=")</f>
        <v>#VALUE!</v>
      </c>
      <c r="IR6" t="e">
        <f>AND('INDEX '!K122,"AAAAAHxutvs=")</f>
        <v>#VALUE!</v>
      </c>
      <c r="IS6">
        <f>IF('INDEX '!123:123,"AAAAAHxutvw=",0)</f>
        <v>0</v>
      </c>
      <c r="IT6" t="e">
        <f>AND('INDEX '!A123,"AAAAAHxutv0=")</f>
        <v>#VALUE!</v>
      </c>
      <c r="IU6" t="e">
        <f>AND('INDEX '!B123,"AAAAAHxutv4=")</f>
        <v>#VALUE!</v>
      </c>
      <c r="IV6" t="e">
        <f>AND('INDEX '!C123,"AAAAAHxutv8=")</f>
        <v>#VALUE!</v>
      </c>
    </row>
    <row r="7" spans="1:256">
      <c r="A7" t="e">
        <f>AND('INDEX '!D123,"AAAAAEv8ZgA=")</f>
        <v>#VALUE!</v>
      </c>
      <c r="B7" t="e">
        <f>AND('INDEX '!E123,"AAAAAEv8ZgE=")</f>
        <v>#VALUE!</v>
      </c>
      <c r="C7" t="e">
        <f>AND('INDEX '!F123,"AAAAAEv8ZgI=")</f>
        <v>#VALUE!</v>
      </c>
      <c r="D7" t="e">
        <f>AND('INDEX '!G123,"AAAAAEv8ZgM=")</f>
        <v>#VALUE!</v>
      </c>
      <c r="E7" t="e">
        <f>AND('INDEX '!H123,"AAAAAEv8ZgQ=")</f>
        <v>#VALUE!</v>
      </c>
      <c r="F7" t="e">
        <f>AND('INDEX '!I123,"AAAAAEv8ZgU=")</f>
        <v>#VALUE!</v>
      </c>
      <c r="G7" t="e">
        <f>AND('INDEX '!J123,"AAAAAEv8ZgY=")</f>
        <v>#VALUE!</v>
      </c>
      <c r="H7" t="e">
        <f>AND('INDEX '!K123,"AAAAAEv8Zgc=")</f>
        <v>#VALUE!</v>
      </c>
      <c r="I7">
        <f>IF('INDEX '!124:124,"AAAAAEv8Zgg=",0)</f>
        <v>0</v>
      </c>
      <c r="J7" t="e">
        <f>AND('INDEX '!A124,"AAAAAEv8Zgk=")</f>
        <v>#VALUE!</v>
      </c>
      <c r="K7" t="e">
        <f>AND('INDEX '!B124,"AAAAAEv8Zgo=")</f>
        <v>#VALUE!</v>
      </c>
      <c r="L7" t="e">
        <f>AND('INDEX '!C124,"AAAAAEv8Zgs=")</f>
        <v>#VALUE!</v>
      </c>
      <c r="M7" t="e">
        <f>AND('INDEX '!D124,"AAAAAEv8Zgw=")</f>
        <v>#VALUE!</v>
      </c>
      <c r="N7" t="e">
        <f>AND('INDEX '!E124,"AAAAAEv8Zg0=")</f>
        <v>#VALUE!</v>
      </c>
      <c r="O7" t="e">
        <f>AND('INDEX '!F124,"AAAAAEv8Zg4=")</f>
        <v>#VALUE!</v>
      </c>
      <c r="P7" t="e">
        <f>AND('INDEX '!G124,"AAAAAEv8Zg8=")</f>
        <v>#VALUE!</v>
      </c>
      <c r="Q7" t="e">
        <f>AND('INDEX '!H124,"AAAAAEv8ZhA=")</f>
        <v>#VALUE!</v>
      </c>
      <c r="R7" t="e">
        <f>AND('INDEX '!I124,"AAAAAEv8ZhE=")</f>
        <v>#VALUE!</v>
      </c>
      <c r="S7" t="e">
        <f>AND('INDEX '!J124,"AAAAAEv8ZhI=")</f>
        <v>#VALUE!</v>
      </c>
      <c r="T7" t="e">
        <f>AND('INDEX '!K124,"AAAAAEv8ZhM=")</f>
        <v>#VALUE!</v>
      </c>
      <c r="U7">
        <f>IF('INDEX '!125:125,"AAAAAEv8ZhQ=",0)</f>
        <v>0</v>
      </c>
      <c r="V7" t="e">
        <f>AND('INDEX '!A125,"AAAAAEv8ZhU=")</f>
        <v>#VALUE!</v>
      </c>
      <c r="W7" t="e">
        <f>AND('INDEX '!B125,"AAAAAEv8ZhY=")</f>
        <v>#VALUE!</v>
      </c>
      <c r="X7" t="e">
        <f>AND('INDEX '!C125,"AAAAAEv8Zhc=")</f>
        <v>#VALUE!</v>
      </c>
      <c r="Y7" t="e">
        <f>AND('INDEX '!D125,"AAAAAEv8Zhg=")</f>
        <v>#VALUE!</v>
      </c>
      <c r="Z7" t="e">
        <f>AND('INDEX '!E125,"AAAAAEv8Zhk=")</f>
        <v>#VALUE!</v>
      </c>
      <c r="AA7" t="e">
        <f>AND('INDEX '!F125,"AAAAAEv8Zho=")</f>
        <v>#VALUE!</v>
      </c>
      <c r="AB7" t="e">
        <f>AND('INDEX '!G125,"AAAAAEv8Zhs=")</f>
        <v>#VALUE!</v>
      </c>
      <c r="AC7" t="e">
        <f>AND('INDEX '!H125,"AAAAAEv8Zhw=")</f>
        <v>#VALUE!</v>
      </c>
      <c r="AD7" t="e">
        <f>AND('INDEX '!I125,"AAAAAEv8Zh0=")</f>
        <v>#VALUE!</v>
      </c>
      <c r="AE7" t="e">
        <f>AND('INDEX '!J125,"AAAAAEv8Zh4=")</f>
        <v>#VALUE!</v>
      </c>
      <c r="AF7" t="e">
        <f>AND('INDEX '!K125,"AAAAAEv8Zh8=")</f>
        <v>#VALUE!</v>
      </c>
      <c r="AG7">
        <f>IF('INDEX '!126:126,"AAAAAEv8ZiA=",0)</f>
        <v>0</v>
      </c>
      <c r="AH7" t="e">
        <f>AND('INDEX '!A126,"AAAAAEv8ZiE=")</f>
        <v>#VALUE!</v>
      </c>
      <c r="AI7" t="e">
        <f>AND('INDEX '!B126,"AAAAAEv8ZiI=")</f>
        <v>#VALUE!</v>
      </c>
      <c r="AJ7" t="e">
        <f>AND('INDEX '!C126,"AAAAAEv8ZiM=")</f>
        <v>#VALUE!</v>
      </c>
      <c r="AK7" t="e">
        <f>AND('INDEX '!D126,"AAAAAEv8ZiQ=")</f>
        <v>#VALUE!</v>
      </c>
      <c r="AL7" t="e">
        <f>AND('INDEX '!E126,"AAAAAEv8ZiU=")</f>
        <v>#VALUE!</v>
      </c>
      <c r="AM7" t="e">
        <f>AND('INDEX '!F126,"AAAAAEv8ZiY=")</f>
        <v>#VALUE!</v>
      </c>
      <c r="AN7" t="e">
        <f>AND('INDEX '!G126,"AAAAAEv8Zic=")</f>
        <v>#VALUE!</v>
      </c>
      <c r="AO7" t="e">
        <f>AND('INDEX '!H126,"AAAAAEv8Zig=")</f>
        <v>#VALUE!</v>
      </c>
      <c r="AP7" t="e">
        <f>AND('INDEX '!I126,"AAAAAEv8Zik=")</f>
        <v>#VALUE!</v>
      </c>
      <c r="AQ7" t="e">
        <f>AND('INDEX '!J126,"AAAAAEv8Zio=")</f>
        <v>#VALUE!</v>
      </c>
      <c r="AR7" t="e">
        <f>AND('INDEX '!K126,"AAAAAEv8Zis=")</f>
        <v>#VALUE!</v>
      </c>
      <c r="AS7">
        <f>IF('INDEX '!127:127,"AAAAAEv8Ziw=",0)</f>
        <v>0</v>
      </c>
      <c r="AT7" t="e">
        <f>AND('INDEX '!A127,"AAAAAEv8Zi0=")</f>
        <v>#VALUE!</v>
      </c>
      <c r="AU7" t="e">
        <f>AND('INDEX '!B127,"AAAAAEv8Zi4=")</f>
        <v>#VALUE!</v>
      </c>
      <c r="AV7" t="e">
        <f>AND('INDEX '!C127,"AAAAAEv8Zi8=")</f>
        <v>#VALUE!</v>
      </c>
      <c r="AW7" t="e">
        <f>AND('INDEX '!D127,"AAAAAEv8ZjA=")</f>
        <v>#VALUE!</v>
      </c>
      <c r="AX7" t="e">
        <f>AND('INDEX '!E127,"AAAAAEv8ZjE=")</f>
        <v>#VALUE!</v>
      </c>
      <c r="AY7" t="e">
        <f>AND('INDEX '!F127,"AAAAAEv8ZjI=")</f>
        <v>#VALUE!</v>
      </c>
      <c r="AZ7" t="e">
        <f>AND('INDEX '!G127,"AAAAAEv8ZjM=")</f>
        <v>#VALUE!</v>
      </c>
      <c r="BA7" t="e">
        <f>AND('INDEX '!H127,"AAAAAEv8ZjQ=")</f>
        <v>#VALUE!</v>
      </c>
      <c r="BB7" t="e">
        <f>AND('INDEX '!I127,"AAAAAEv8ZjU=")</f>
        <v>#VALUE!</v>
      </c>
      <c r="BC7" t="e">
        <f>AND('INDEX '!J127,"AAAAAEv8ZjY=")</f>
        <v>#VALUE!</v>
      </c>
      <c r="BD7" t="e">
        <f>AND('INDEX '!K127,"AAAAAEv8Zjc=")</f>
        <v>#VALUE!</v>
      </c>
      <c r="BE7">
        <f>IF('INDEX '!128:128,"AAAAAEv8Zjg=",0)</f>
        <v>0</v>
      </c>
      <c r="BF7" t="e">
        <f>AND('INDEX '!A128,"AAAAAEv8Zjk=")</f>
        <v>#VALUE!</v>
      </c>
      <c r="BG7" t="e">
        <f>AND('INDEX '!B128,"AAAAAEv8Zjo=")</f>
        <v>#VALUE!</v>
      </c>
      <c r="BH7" t="e">
        <f>AND('INDEX '!C128,"AAAAAEv8Zjs=")</f>
        <v>#VALUE!</v>
      </c>
      <c r="BI7" t="e">
        <f>AND('INDEX '!D128,"AAAAAEv8Zjw=")</f>
        <v>#VALUE!</v>
      </c>
      <c r="BJ7" t="e">
        <f>AND('INDEX '!E128,"AAAAAEv8Zj0=")</f>
        <v>#VALUE!</v>
      </c>
      <c r="BK7" t="e">
        <f>AND('INDEX '!F128,"AAAAAEv8Zj4=")</f>
        <v>#VALUE!</v>
      </c>
      <c r="BL7" t="e">
        <f>AND('INDEX '!G128,"AAAAAEv8Zj8=")</f>
        <v>#VALUE!</v>
      </c>
      <c r="BM7" t="e">
        <f>AND('INDEX '!H128,"AAAAAEv8ZkA=")</f>
        <v>#VALUE!</v>
      </c>
      <c r="BN7" t="e">
        <f>AND('INDEX '!I128,"AAAAAEv8ZkE=")</f>
        <v>#VALUE!</v>
      </c>
      <c r="BO7" t="e">
        <f>AND('INDEX '!J128,"AAAAAEv8ZkI=")</f>
        <v>#VALUE!</v>
      </c>
      <c r="BP7" t="e">
        <f>AND('INDEX '!K128,"AAAAAEv8ZkM=")</f>
        <v>#VALUE!</v>
      </c>
      <c r="BQ7">
        <f>IF('INDEX '!129:129,"AAAAAEv8ZkQ=",0)</f>
        <v>0</v>
      </c>
      <c r="BR7" t="e">
        <f>AND('INDEX '!A129,"AAAAAEv8ZkU=")</f>
        <v>#VALUE!</v>
      </c>
      <c r="BS7" t="e">
        <f>AND('INDEX '!B129,"AAAAAEv8ZkY=")</f>
        <v>#VALUE!</v>
      </c>
      <c r="BT7" t="e">
        <f>AND('INDEX '!C129,"AAAAAEv8Zkc=")</f>
        <v>#VALUE!</v>
      </c>
      <c r="BU7" t="e">
        <f>AND('INDEX '!D129,"AAAAAEv8Zkg=")</f>
        <v>#VALUE!</v>
      </c>
      <c r="BV7" t="e">
        <f>AND('INDEX '!E129,"AAAAAEv8Zkk=")</f>
        <v>#VALUE!</v>
      </c>
      <c r="BW7" t="e">
        <f>AND('INDEX '!F129,"AAAAAEv8Zko=")</f>
        <v>#VALUE!</v>
      </c>
      <c r="BX7" t="e">
        <f>AND('INDEX '!G129,"AAAAAEv8Zks=")</f>
        <v>#VALUE!</v>
      </c>
      <c r="BY7" t="e">
        <f>AND('INDEX '!H129,"AAAAAEv8Zkw=")</f>
        <v>#VALUE!</v>
      </c>
      <c r="BZ7" t="e">
        <f>AND('INDEX '!I129,"AAAAAEv8Zk0=")</f>
        <v>#VALUE!</v>
      </c>
      <c r="CA7" t="e">
        <f>AND('INDEX '!J129,"AAAAAEv8Zk4=")</f>
        <v>#VALUE!</v>
      </c>
      <c r="CB7" t="e">
        <f>AND('INDEX '!K129,"AAAAAEv8Zk8=")</f>
        <v>#VALUE!</v>
      </c>
      <c r="CC7">
        <f>IF('INDEX '!130:130,"AAAAAEv8ZlA=",0)</f>
        <v>0</v>
      </c>
      <c r="CD7" t="e">
        <f>AND('INDEX '!A130,"AAAAAEv8ZlE=")</f>
        <v>#VALUE!</v>
      </c>
      <c r="CE7" t="e">
        <f>AND('INDEX '!B130,"AAAAAEv8ZlI=")</f>
        <v>#VALUE!</v>
      </c>
      <c r="CF7" t="e">
        <f>AND('INDEX '!C130,"AAAAAEv8ZlM=")</f>
        <v>#VALUE!</v>
      </c>
      <c r="CG7" t="e">
        <f>AND('INDEX '!D130,"AAAAAEv8ZlQ=")</f>
        <v>#VALUE!</v>
      </c>
      <c r="CH7" t="e">
        <f>AND('INDEX '!E130,"AAAAAEv8ZlU=")</f>
        <v>#VALUE!</v>
      </c>
      <c r="CI7" t="e">
        <f>AND('INDEX '!F130,"AAAAAEv8ZlY=")</f>
        <v>#VALUE!</v>
      </c>
      <c r="CJ7" t="e">
        <f>AND('INDEX '!G130,"AAAAAEv8Zlc=")</f>
        <v>#VALUE!</v>
      </c>
      <c r="CK7" t="e">
        <f>AND('INDEX '!H130,"AAAAAEv8Zlg=")</f>
        <v>#VALUE!</v>
      </c>
      <c r="CL7" t="e">
        <f>AND('INDEX '!I130,"AAAAAEv8Zlk=")</f>
        <v>#VALUE!</v>
      </c>
      <c r="CM7" t="e">
        <f>AND('INDEX '!J130,"AAAAAEv8Zlo=")</f>
        <v>#VALUE!</v>
      </c>
      <c r="CN7" t="e">
        <f>AND('INDEX '!K130,"AAAAAEv8Zls=")</f>
        <v>#VALUE!</v>
      </c>
      <c r="CO7">
        <f>IF('INDEX '!131:131,"AAAAAEv8Zlw=",0)</f>
        <v>0</v>
      </c>
      <c r="CP7" t="e">
        <f>AND('INDEX '!A131,"AAAAAEv8Zl0=")</f>
        <v>#VALUE!</v>
      </c>
      <c r="CQ7" t="e">
        <f>AND('INDEX '!B131,"AAAAAEv8Zl4=")</f>
        <v>#VALUE!</v>
      </c>
      <c r="CR7" t="e">
        <f>AND('INDEX '!C131,"AAAAAEv8Zl8=")</f>
        <v>#VALUE!</v>
      </c>
      <c r="CS7" t="e">
        <f>AND('INDEX '!D131,"AAAAAEv8ZmA=")</f>
        <v>#VALUE!</v>
      </c>
      <c r="CT7" t="e">
        <f>AND('INDEX '!E131,"AAAAAEv8ZmE=")</f>
        <v>#VALUE!</v>
      </c>
      <c r="CU7" t="e">
        <f>AND('INDEX '!F131,"AAAAAEv8ZmI=")</f>
        <v>#VALUE!</v>
      </c>
      <c r="CV7" t="e">
        <f>AND('INDEX '!G131,"AAAAAEv8ZmM=")</f>
        <v>#VALUE!</v>
      </c>
      <c r="CW7" t="e">
        <f>AND('INDEX '!H131,"AAAAAEv8ZmQ=")</f>
        <v>#VALUE!</v>
      </c>
      <c r="CX7" t="e">
        <f>AND('INDEX '!I131,"AAAAAEv8ZmU=")</f>
        <v>#VALUE!</v>
      </c>
      <c r="CY7" t="e">
        <f>AND('INDEX '!J131,"AAAAAEv8ZmY=")</f>
        <v>#VALUE!</v>
      </c>
      <c r="CZ7" t="e">
        <f>AND('INDEX '!K131,"AAAAAEv8Zmc=")</f>
        <v>#VALUE!</v>
      </c>
      <c r="DA7">
        <f>IF('INDEX '!132:132,"AAAAAEv8Zmg=",0)</f>
        <v>0</v>
      </c>
      <c r="DB7" t="e">
        <f>AND('INDEX '!A132,"AAAAAEv8Zmk=")</f>
        <v>#VALUE!</v>
      </c>
      <c r="DC7" t="e">
        <f>AND('INDEX '!B132,"AAAAAEv8Zmo=")</f>
        <v>#VALUE!</v>
      </c>
      <c r="DD7" t="e">
        <f>AND('INDEX '!C132,"AAAAAEv8Zms=")</f>
        <v>#VALUE!</v>
      </c>
      <c r="DE7" t="e">
        <f>AND('INDEX '!D132,"AAAAAEv8Zmw=")</f>
        <v>#VALUE!</v>
      </c>
      <c r="DF7" t="e">
        <f>AND('INDEX '!E132,"AAAAAEv8Zm0=")</f>
        <v>#VALUE!</v>
      </c>
      <c r="DG7" t="e">
        <f>AND('INDEX '!F132,"AAAAAEv8Zm4=")</f>
        <v>#VALUE!</v>
      </c>
      <c r="DH7" t="e">
        <f>AND('INDEX '!G132,"AAAAAEv8Zm8=")</f>
        <v>#VALUE!</v>
      </c>
      <c r="DI7" t="e">
        <f>AND('INDEX '!H132,"AAAAAEv8ZnA=")</f>
        <v>#VALUE!</v>
      </c>
      <c r="DJ7" t="e">
        <f>AND('INDEX '!I132,"AAAAAEv8ZnE=")</f>
        <v>#VALUE!</v>
      </c>
      <c r="DK7" t="e">
        <f>AND('INDEX '!J132,"AAAAAEv8ZnI=")</f>
        <v>#VALUE!</v>
      </c>
      <c r="DL7" t="e">
        <f>AND('INDEX '!K132,"AAAAAEv8ZnM=")</f>
        <v>#VALUE!</v>
      </c>
      <c r="DM7">
        <f>IF('INDEX '!133:133,"AAAAAEv8ZnQ=",0)</f>
        <v>0</v>
      </c>
      <c r="DN7" t="e">
        <f>AND('INDEX '!A133,"AAAAAEv8ZnU=")</f>
        <v>#VALUE!</v>
      </c>
      <c r="DO7" t="e">
        <f>AND('INDEX '!B133,"AAAAAEv8ZnY=")</f>
        <v>#VALUE!</v>
      </c>
      <c r="DP7" t="e">
        <f>AND('INDEX '!C133,"AAAAAEv8Znc=")</f>
        <v>#VALUE!</v>
      </c>
      <c r="DQ7" t="e">
        <f>AND('INDEX '!D133,"AAAAAEv8Zng=")</f>
        <v>#VALUE!</v>
      </c>
      <c r="DR7" t="e">
        <f>AND('INDEX '!E133,"AAAAAEv8Znk=")</f>
        <v>#VALUE!</v>
      </c>
      <c r="DS7" t="e">
        <f>AND('INDEX '!F133,"AAAAAEv8Zno=")</f>
        <v>#VALUE!</v>
      </c>
      <c r="DT7" t="e">
        <f>AND('INDEX '!G133,"AAAAAEv8Zns=")</f>
        <v>#VALUE!</v>
      </c>
      <c r="DU7" t="e">
        <f>AND('INDEX '!H133,"AAAAAEv8Znw=")</f>
        <v>#VALUE!</v>
      </c>
      <c r="DV7" t="e">
        <f>AND('INDEX '!I133,"AAAAAEv8Zn0=")</f>
        <v>#VALUE!</v>
      </c>
      <c r="DW7" t="e">
        <f>AND('INDEX '!J133,"AAAAAEv8Zn4=")</f>
        <v>#VALUE!</v>
      </c>
      <c r="DX7" t="e">
        <f>AND('INDEX '!K133,"AAAAAEv8Zn8=")</f>
        <v>#VALUE!</v>
      </c>
      <c r="DY7">
        <f>IF('INDEX '!134:134,"AAAAAEv8ZoA=",0)</f>
        <v>0</v>
      </c>
      <c r="DZ7" t="e">
        <f>AND('INDEX '!A134,"AAAAAEv8ZoE=")</f>
        <v>#VALUE!</v>
      </c>
      <c r="EA7" t="e">
        <f>AND('INDEX '!B134,"AAAAAEv8ZoI=")</f>
        <v>#VALUE!</v>
      </c>
      <c r="EB7" t="e">
        <f>AND('INDEX '!C134,"AAAAAEv8ZoM=")</f>
        <v>#VALUE!</v>
      </c>
      <c r="EC7" t="e">
        <f>AND('INDEX '!D134,"AAAAAEv8ZoQ=")</f>
        <v>#VALUE!</v>
      </c>
      <c r="ED7" t="e">
        <f>AND('INDEX '!E134,"AAAAAEv8ZoU=")</f>
        <v>#VALUE!</v>
      </c>
      <c r="EE7" t="e">
        <f>AND('INDEX '!F134,"AAAAAEv8ZoY=")</f>
        <v>#VALUE!</v>
      </c>
      <c r="EF7" t="e">
        <f>AND('INDEX '!G134,"AAAAAEv8Zoc=")</f>
        <v>#VALUE!</v>
      </c>
      <c r="EG7" t="e">
        <f>AND('INDEX '!H134,"AAAAAEv8Zog=")</f>
        <v>#VALUE!</v>
      </c>
      <c r="EH7" t="e">
        <f>AND('INDEX '!I134,"AAAAAEv8Zok=")</f>
        <v>#VALUE!</v>
      </c>
      <c r="EI7" t="e">
        <f>AND('INDEX '!J134,"AAAAAEv8Zoo=")</f>
        <v>#VALUE!</v>
      </c>
      <c r="EJ7" t="e">
        <f>AND('INDEX '!K134,"AAAAAEv8Zos=")</f>
        <v>#VALUE!</v>
      </c>
      <c r="EK7">
        <f>IF('INDEX '!135:135,"AAAAAEv8Zow=",0)</f>
        <v>0</v>
      </c>
      <c r="EL7" t="e">
        <f>AND('INDEX '!A135,"AAAAAEv8Zo0=")</f>
        <v>#VALUE!</v>
      </c>
      <c r="EM7" t="e">
        <f>AND('INDEX '!B135,"AAAAAEv8Zo4=")</f>
        <v>#VALUE!</v>
      </c>
      <c r="EN7" t="e">
        <f>AND('INDEX '!C135,"AAAAAEv8Zo8=")</f>
        <v>#VALUE!</v>
      </c>
      <c r="EO7" t="e">
        <f>AND('INDEX '!D135,"AAAAAEv8ZpA=")</f>
        <v>#VALUE!</v>
      </c>
      <c r="EP7" t="e">
        <f>AND('INDEX '!E135,"AAAAAEv8ZpE=")</f>
        <v>#VALUE!</v>
      </c>
      <c r="EQ7" t="e">
        <f>AND('INDEX '!F135,"AAAAAEv8ZpI=")</f>
        <v>#VALUE!</v>
      </c>
      <c r="ER7" t="e">
        <f>AND('INDEX '!G135,"AAAAAEv8ZpM=")</f>
        <v>#VALUE!</v>
      </c>
      <c r="ES7" t="e">
        <f>AND('INDEX '!H135,"AAAAAEv8ZpQ=")</f>
        <v>#VALUE!</v>
      </c>
      <c r="ET7" t="e">
        <f>AND('INDEX '!I135,"AAAAAEv8ZpU=")</f>
        <v>#VALUE!</v>
      </c>
      <c r="EU7" t="e">
        <f>AND('INDEX '!J135,"AAAAAEv8ZpY=")</f>
        <v>#VALUE!</v>
      </c>
      <c r="EV7" t="e">
        <f>AND('INDEX '!K135,"AAAAAEv8Zpc=")</f>
        <v>#VALUE!</v>
      </c>
      <c r="EW7">
        <f>IF('INDEX '!136:136,"AAAAAEv8Zpg=",0)</f>
        <v>0</v>
      </c>
      <c r="EX7" t="e">
        <f>AND('INDEX '!A136,"AAAAAEv8Zpk=")</f>
        <v>#VALUE!</v>
      </c>
      <c r="EY7" t="e">
        <f>AND('INDEX '!B136,"AAAAAEv8Zpo=")</f>
        <v>#VALUE!</v>
      </c>
      <c r="EZ7" t="e">
        <f>AND('INDEX '!C136,"AAAAAEv8Zps=")</f>
        <v>#VALUE!</v>
      </c>
      <c r="FA7" t="e">
        <f>AND('INDEX '!D136,"AAAAAEv8Zpw=")</f>
        <v>#VALUE!</v>
      </c>
      <c r="FB7" t="e">
        <f>AND('INDEX '!E136,"AAAAAEv8Zp0=")</f>
        <v>#VALUE!</v>
      </c>
      <c r="FC7" t="e">
        <f>AND('INDEX '!F136,"AAAAAEv8Zp4=")</f>
        <v>#VALUE!</v>
      </c>
      <c r="FD7" t="e">
        <f>AND('INDEX '!G136,"AAAAAEv8Zp8=")</f>
        <v>#VALUE!</v>
      </c>
      <c r="FE7" t="e">
        <f>AND('INDEX '!H136,"AAAAAEv8ZqA=")</f>
        <v>#VALUE!</v>
      </c>
      <c r="FF7" t="e">
        <f>AND('INDEX '!I136,"AAAAAEv8ZqE=")</f>
        <v>#VALUE!</v>
      </c>
      <c r="FG7" t="e">
        <f>AND('INDEX '!J136,"AAAAAEv8ZqI=")</f>
        <v>#VALUE!</v>
      </c>
      <c r="FH7" t="e">
        <f>AND('INDEX '!K136,"AAAAAEv8ZqM=")</f>
        <v>#VALUE!</v>
      </c>
      <c r="FI7">
        <f>IF('INDEX '!137:137,"AAAAAEv8ZqQ=",0)</f>
        <v>0</v>
      </c>
      <c r="FJ7" t="e">
        <f>AND('INDEX '!A137,"AAAAAEv8ZqU=")</f>
        <v>#VALUE!</v>
      </c>
      <c r="FK7" t="e">
        <f>AND('INDEX '!B137,"AAAAAEv8ZqY=")</f>
        <v>#VALUE!</v>
      </c>
      <c r="FL7" t="e">
        <f>AND('INDEX '!C137,"AAAAAEv8Zqc=")</f>
        <v>#VALUE!</v>
      </c>
      <c r="FM7" t="e">
        <f>AND('INDEX '!D137,"AAAAAEv8Zqg=")</f>
        <v>#VALUE!</v>
      </c>
      <c r="FN7" t="e">
        <f>AND('INDEX '!E137,"AAAAAEv8Zqk=")</f>
        <v>#VALUE!</v>
      </c>
      <c r="FO7" t="e">
        <f>AND('INDEX '!F137,"AAAAAEv8Zqo=")</f>
        <v>#VALUE!</v>
      </c>
      <c r="FP7" t="e">
        <f>AND('INDEX '!G137,"AAAAAEv8Zqs=")</f>
        <v>#VALUE!</v>
      </c>
      <c r="FQ7" t="e">
        <f>AND('INDEX '!H137,"AAAAAEv8Zqw=")</f>
        <v>#VALUE!</v>
      </c>
      <c r="FR7" t="e">
        <f>AND('INDEX '!I137,"AAAAAEv8Zq0=")</f>
        <v>#VALUE!</v>
      </c>
      <c r="FS7" t="e">
        <f>AND('INDEX '!J137,"AAAAAEv8Zq4=")</f>
        <v>#VALUE!</v>
      </c>
      <c r="FT7" t="e">
        <f>AND('INDEX '!K137,"AAAAAEv8Zq8=")</f>
        <v>#VALUE!</v>
      </c>
      <c r="FU7">
        <f>IF('INDEX '!138:138,"AAAAAEv8ZrA=",0)</f>
        <v>0</v>
      </c>
      <c r="FV7" t="e">
        <f>AND('INDEX '!A138,"AAAAAEv8ZrE=")</f>
        <v>#VALUE!</v>
      </c>
      <c r="FW7" t="e">
        <f>AND('INDEX '!B138,"AAAAAEv8ZrI=")</f>
        <v>#VALUE!</v>
      </c>
      <c r="FX7" t="e">
        <f>AND('INDEX '!C138,"AAAAAEv8ZrM=")</f>
        <v>#VALUE!</v>
      </c>
      <c r="FY7" t="e">
        <f>AND('INDEX '!D138,"AAAAAEv8ZrQ=")</f>
        <v>#VALUE!</v>
      </c>
      <c r="FZ7" t="e">
        <f>AND('INDEX '!E138,"AAAAAEv8ZrU=")</f>
        <v>#VALUE!</v>
      </c>
      <c r="GA7" t="e">
        <f>AND('INDEX '!F138,"AAAAAEv8ZrY=")</f>
        <v>#VALUE!</v>
      </c>
      <c r="GB7" t="e">
        <f>AND('INDEX '!G138,"AAAAAEv8Zrc=")</f>
        <v>#VALUE!</v>
      </c>
      <c r="GC7" t="e">
        <f>AND('INDEX '!H138,"AAAAAEv8Zrg=")</f>
        <v>#VALUE!</v>
      </c>
      <c r="GD7" t="e">
        <f>AND('INDEX '!I138,"AAAAAEv8Zrk=")</f>
        <v>#VALUE!</v>
      </c>
      <c r="GE7" t="e">
        <f>AND('INDEX '!J138,"AAAAAEv8Zro=")</f>
        <v>#VALUE!</v>
      </c>
      <c r="GF7" t="e">
        <f>AND('INDEX '!K138,"AAAAAEv8Zrs=")</f>
        <v>#VALUE!</v>
      </c>
      <c r="GG7">
        <f>IF('INDEX '!139:139,"AAAAAEv8Zrw=",0)</f>
        <v>0</v>
      </c>
      <c r="GH7" t="e">
        <f>AND('INDEX '!A139,"AAAAAEv8Zr0=")</f>
        <v>#VALUE!</v>
      </c>
      <c r="GI7" t="e">
        <f>AND('INDEX '!B139,"AAAAAEv8Zr4=")</f>
        <v>#VALUE!</v>
      </c>
      <c r="GJ7" t="e">
        <f>AND('INDEX '!C139,"AAAAAEv8Zr8=")</f>
        <v>#VALUE!</v>
      </c>
      <c r="GK7" t="e">
        <f>AND('INDEX '!D139,"AAAAAEv8ZsA=")</f>
        <v>#VALUE!</v>
      </c>
      <c r="GL7" t="e">
        <f>AND('INDEX '!E139,"AAAAAEv8ZsE=")</f>
        <v>#VALUE!</v>
      </c>
      <c r="GM7" t="e">
        <f>AND('INDEX '!F139,"AAAAAEv8ZsI=")</f>
        <v>#VALUE!</v>
      </c>
      <c r="GN7" t="e">
        <f>AND('INDEX '!G139,"AAAAAEv8ZsM=")</f>
        <v>#VALUE!</v>
      </c>
      <c r="GO7" t="e">
        <f>AND('INDEX '!H139,"AAAAAEv8ZsQ=")</f>
        <v>#VALUE!</v>
      </c>
      <c r="GP7" t="e">
        <f>AND('INDEX '!I139,"AAAAAEv8ZsU=")</f>
        <v>#VALUE!</v>
      </c>
      <c r="GQ7" t="e">
        <f>AND('INDEX '!J139,"AAAAAEv8ZsY=")</f>
        <v>#VALUE!</v>
      </c>
      <c r="GR7" t="e">
        <f>AND('INDEX '!K139,"AAAAAEv8Zsc=")</f>
        <v>#VALUE!</v>
      </c>
      <c r="GS7">
        <f>IF('INDEX '!140:140,"AAAAAEv8Zsg=",0)</f>
        <v>0</v>
      </c>
      <c r="GT7" t="e">
        <f>AND('INDEX '!A140,"AAAAAEv8Zsk=")</f>
        <v>#VALUE!</v>
      </c>
      <c r="GU7" t="e">
        <f>AND('INDEX '!B140,"AAAAAEv8Zso=")</f>
        <v>#VALUE!</v>
      </c>
      <c r="GV7" t="e">
        <f>AND('INDEX '!C140,"AAAAAEv8Zss=")</f>
        <v>#VALUE!</v>
      </c>
      <c r="GW7" t="e">
        <f>AND('INDEX '!D140,"AAAAAEv8Zsw=")</f>
        <v>#VALUE!</v>
      </c>
      <c r="GX7" t="e">
        <f>AND('INDEX '!E140,"AAAAAEv8Zs0=")</f>
        <v>#VALUE!</v>
      </c>
      <c r="GY7" t="e">
        <f>AND('INDEX '!F140,"AAAAAEv8Zs4=")</f>
        <v>#VALUE!</v>
      </c>
      <c r="GZ7" t="e">
        <f>AND('INDEX '!G140,"AAAAAEv8Zs8=")</f>
        <v>#VALUE!</v>
      </c>
      <c r="HA7" t="e">
        <f>AND('INDEX '!H140,"AAAAAEv8ZtA=")</f>
        <v>#VALUE!</v>
      </c>
      <c r="HB7" t="e">
        <f>AND('INDEX '!I140,"AAAAAEv8ZtE=")</f>
        <v>#VALUE!</v>
      </c>
      <c r="HC7" t="e">
        <f>AND('INDEX '!J140,"AAAAAEv8ZtI=")</f>
        <v>#VALUE!</v>
      </c>
      <c r="HD7" t="e">
        <f>AND('INDEX '!K140,"AAAAAEv8ZtM=")</f>
        <v>#VALUE!</v>
      </c>
      <c r="HE7">
        <f>IF('INDEX '!141:141,"AAAAAEv8ZtQ=",0)</f>
        <v>0</v>
      </c>
      <c r="HF7" t="e">
        <f>AND('INDEX '!A141,"AAAAAEv8ZtU=")</f>
        <v>#VALUE!</v>
      </c>
      <c r="HG7" t="e">
        <f>AND('INDEX '!B141,"AAAAAEv8ZtY=")</f>
        <v>#VALUE!</v>
      </c>
      <c r="HH7" t="e">
        <f>AND('INDEX '!C141,"AAAAAEv8Ztc=")</f>
        <v>#VALUE!</v>
      </c>
      <c r="HI7" t="e">
        <f>AND('INDEX '!D141,"AAAAAEv8Ztg=")</f>
        <v>#VALUE!</v>
      </c>
      <c r="HJ7" t="e">
        <f>AND('INDEX '!E141,"AAAAAEv8Ztk=")</f>
        <v>#VALUE!</v>
      </c>
      <c r="HK7" t="e">
        <f>AND('INDEX '!F141,"AAAAAEv8Zto=")</f>
        <v>#VALUE!</v>
      </c>
      <c r="HL7" t="e">
        <f>AND('INDEX '!G141,"AAAAAEv8Zts=")</f>
        <v>#VALUE!</v>
      </c>
      <c r="HM7" t="e">
        <f>AND('INDEX '!H141,"AAAAAEv8Ztw=")</f>
        <v>#VALUE!</v>
      </c>
      <c r="HN7" t="e">
        <f>AND('INDEX '!I141,"AAAAAEv8Zt0=")</f>
        <v>#VALUE!</v>
      </c>
      <c r="HO7" t="e">
        <f>AND('INDEX '!J141,"AAAAAEv8Zt4=")</f>
        <v>#VALUE!</v>
      </c>
      <c r="HP7" t="e">
        <f>AND('INDEX '!K141,"AAAAAEv8Zt8=")</f>
        <v>#VALUE!</v>
      </c>
      <c r="HQ7">
        <f>IF('INDEX '!142:142,"AAAAAEv8ZuA=",0)</f>
        <v>0</v>
      </c>
      <c r="HR7" t="e">
        <f>AND('INDEX '!A142,"AAAAAEv8ZuE=")</f>
        <v>#VALUE!</v>
      </c>
      <c r="HS7" t="e">
        <f>AND('INDEX '!B142,"AAAAAEv8ZuI=")</f>
        <v>#VALUE!</v>
      </c>
      <c r="HT7" t="e">
        <f>AND('INDEX '!C142,"AAAAAEv8ZuM=")</f>
        <v>#VALUE!</v>
      </c>
      <c r="HU7" t="e">
        <f>AND('INDEX '!D142,"AAAAAEv8ZuQ=")</f>
        <v>#VALUE!</v>
      </c>
      <c r="HV7" t="e">
        <f>AND('INDEX '!E142,"AAAAAEv8ZuU=")</f>
        <v>#VALUE!</v>
      </c>
      <c r="HW7" t="e">
        <f>AND('INDEX '!F142,"AAAAAEv8ZuY=")</f>
        <v>#VALUE!</v>
      </c>
      <c r="HX7" t="e">
        <f>AND('INDEX '!G142,"AAAAAEv8Zuc=")</f>
        <v>#VALUE!</v>
      </c>
      <c r="HY7" t="e">
        <f>AND('INDEX '!H142,"AAAAAEv8Zug=")</f>
        <v>#VALUE!</v>
      </c>
      <c r="HZ7" t="e">
        <f>AND('INDEX '!I142,"AAAAAEv8Zuk=")</f>
        <v>#VALUE!</v>
      </c>
      <c r="IA7" t="e">
        <f>AND('INDEX '!J142,"AAAAAEv8Zuo=")</f>
        <v>#VALUE!</v>
      </c>
      <c r="IB7" t="e">
        <f>AND('INDEX '!K142,"AAAAAEv8Zus=")</f>
        <v>#VALUE!</v>
      </c>
      <c r="IC7">
        <f>IF('INDEX '!143:143,"AAAAAEv8Zuw=",0)</f>
        <v>0</v>
      </c>
      <c r="ID7" t="e">
        <f>AND('INDEX '!A143,"AAAAAEv8Zu0=")</f>
        <v>#VALUE!</v>
      </c>
      <c r="IE7" t="e">
        <f>AND('INDEX '!B143,"AAAAAEv8Zu4=")</f>
        <v>#VALUE!</v>
      </c>
      <c r="IF7" t="e">
        <f>AND('INDEX '!C143,"AAAAAEv8Zu8=")</f>
        <v>#VALUE!</v>
      </c>
      <c r="IG7" t="e">
        <f>AND('INDEX '!D143,"AAAAAEv8ZvA=")</f>
        <v>#VALUE!</v>
      </c>
      <c r="IH7" t="e">
        <f>AND('INDEX '!E143,"AAAAAEv8ZvE=")</f>
        <v>#VALUE!</v>
      </c>
      <c r="II7" t="e">
        <f>AND('INDEX '!F143,"AAAAAEv8ZvI=")</f>
        <v>#VALUE!</v>
      </c>
      <c r="IJ7" t="e">
        <f>AND('INDEX '!G143,"AAAAAEv8ZvM=")</f>
        <v>#VALUE!</v>
      </c>
      <c r="IK7" t="e">
        <f>AND('INDEX '!H143,"AAAAAEv8ZvQ=")</f>
        <v>#VALUE!</v>
      </c>
      <c r="IL7" t="e">
        <f>AND('INDEX '!I143,"AAAAAEv8ZvU=")</f>
        <v>#VALUE!</v>
      </c>
      <c r="IM7" t="e">
        <f>AND('INDEX '!J143,"AAAAAEv8ZvY=")</f>
        <v>#VALUE!</v>
      </c>
      <c r="IN7" t="e">
        <f>AND('INDEX '!K143,"AAAAAEv8Zvc=")</f>
        <v>#VALUE!</v>
      </c>
      <c r="IO7">
        <f>IF('INDEX '!144:144,"AAAAAEv8Zvg=",0)</f>
        <v>0</v>
      </c>
      <c r="IP7" t="e">
        <f>AND('INDEX '!A144,"AAAAAEv8Zvk=")</f>
        <v>#VALUE!</v>
      </c>
      <c r="IQ7" t="e">
        <f>AND('INDEX '!B144,"AAAAAEv8Zvo=")</f>
        <v>#VALUE!</v>
      </c>
      <c r="IR7" t="e">
        <f>AND('INDEX '!C144,"AAAAAEv8Zvs=")</f>
        <v>#VALUE!</v>
      </c>
      <c r="IS7" t="e">
        <f>AND('INDEX '!D144,"AAAAAEv8Zvw=")</f>
        <v>#VALUE!</v>
      </c>
      <c r="IT7" t="e">
        <f>AND('INDEX '!E144,"AAAAAEv8Zv0=")</f>
        <v>#VALUE!</v>
      </c>
      <c r="IU7" t="e">
        <f>AND('INDEX '!F144,"AAAAAEv8Zv4=")</f>
        <v>#VALUE!</v>
      </c>
      <c r="IV7" t="e">
        <f>AND('INDEX '!G144,"AAAAAEv8Zv8=")</f>
        <v>#VALUE!</v>
      </c>
    </row>
    <row r="8" spans="1:256">
      <c r="A8" t="e">
        <f>AND('INDEX '!H144,"AAAAAH+/8QA=")</f>
        <v>#VALUE!</v>
      </c>
      <c r="B8" t="e">
        <f>AND('INDEX '!I144,"AAAAAH+/8QE=")</f>
        <v>#VALUE!</v>
      </c>
      <c r="C8" t="e">
        <f>AND('INDEX '!J144,"AAAAAH+/8QI=")</f>
        <v>#VALUE!</v>
      </c>
      <c r="D8" t="e">
        <f>AND('INDEX '!K144,"AAAAAH+/8QM=")</f>
        <v>#VALUE!</v>
      </c>
      <c r="E8">
        <f>IF('INDEX '!145:145,"AAAAAH+/8QQ=",0)</f>
        <v>0</v>
      </c>
      <c r="F8" t="e">
        <f>AND('INDEX '!A145,"AAAAAH+/8QU=")</f>
        <v>#VALUE!</v>
      </c>
      <c r="G8" t="e">
        <f>AND('INDEX '!B145,"AAAAAH+/8QY=")</f>
        <v>#VALUE!</v>
      </c>
      <c r="H8" t="e">
        <f>AND('INDEX '!C145,"AAAAAH+/8Qc=")</f>
        <v>#VALUE!</v>
      </c>
      <c r="I8" t="e">
        <f>AND('INDEX '!D145,"AAAAAH+/8Qg=")</f>
        <v>#VALUE!</v>
      </c>
      <c r="J8" t="e">
        <f>AND('INDEX '!E145,"AAAAAH+/8Qk=")</f>
        <v>#VALUE!</v>
      </c>
      <c r="K8" t="e">
        <f>AND('INDEX '!F145,"AAAAAH+/8Qo=")</f>
        <v>#VALUE!</v>
      </c>
      <c r="L8" t="e">
        <f>AND('INDEX '!G145,"AAAAAH+/8Qs=")</f>
        <v>#VALUE!</v>
      </c>
      <c r="M8" t="e">
        <f>AND('INDEX '!H145,"AAAAAH+/8Qw=")</f>
        <v>#VALUE!</v>
      </c>
      <c r="N8" t="e">
        <f>AND('INDEX '!I145,"AAAAAH+/8Q0=")</f>
        <v>#VALUE!</v>
      </c>
      <c r="O8" t="e">
        <f>AND('INDEX '!J145,"AAAAAH+/8Q4=")</f>
        <v>#VALUE!</v>
      </c>
      <c r="P8" t="e">
        <f>AND('INDEX '!K145,"AAAAAH+/8Q8=")</f>
        <v>#VALUE!</v>
      </c>
      <c r="Q8">
        <f>IF('INDEX '!146:146,"AAAAAH+/8RA=",0)</f>
        <v>0</v>
      </c>
      <c r="R8" t="e">
        <f>AND('INDEX '!A146,"AAAAAH+/8RE=")</f>
        <v>#VALUE!</v>
      </c>
      <c r="S8" t="e">
        <f>AND('INDEX '!B146,"AAAAAH+/8RI=")</f>
        <v>#VALUE!</v>
      </c>
      <c r="T8" t="e">
        <f>AND('INDEX '!C146,"AAAAAH+/8RM=")</f>
        <v>#VALUE!</v>
      </c>
      <c r="U8" t="e">
        <f>AND('INDEX '!D146,"AAAAAH+/8RQ=")</f>
        <v>#VALUE!</v>
      </c>
      <c r="V8" t="e">
        <f>AND('INDEX '!E146,"AAAAAH+/8RU=")</f>
        <v>#VALUE!</v>
      </c>
      <c r="W8" t="e">
        <f>AND('INDEX '!F146,"AAAAAH+/8RY=")</f>
        <v>#VALUE!</v>
      </c>
      <c r="X8" t="e">
        <f>AND('INDEX '!G146,"AAAAAH+/8Rc=")</f>
        <v>#VALUE!</v>
      </c>
      <c r="Y8" t="e">
        <f>AND('INDEX '!H146,"AAAAAH+/8Rg=")</f>
        <v>#VALUE!</v>
      </c>
      <c r="Z8" t="e">
        <f>AND('INDEX '!I146,"AAAAAH+/8Rk=")</f>
        <v>#VALUE!</v>
      </c>
      <c r="AA8" t="e">
        <f>AND('INDEX '!J146,"AAAAAH+/8Ro=")</f>
        <v>#VALUE!</v>
      </c>
      <c r="AB8" t="e">
        <f>AND('INDEX '!K146,"AAAAAH+/8Rs=")</f>
        <v>#VALUE!</v>
      </c>
      <c r="AC8">
        <f>IF('INDEX '!147:147,"AAAAAH+/8Rw=",0)</f>
        <v>0</v>
      </c>
      <c r="AD8" t="e">
        <f>AND('INDEX '!A147,"AAAAAH+/8R0=")</f>
        <v>#VALUE!</v>
      </c>
      <c r="AE8" t="e">
        <f>AND('INDEX '!B147,"AAAAAH+/8R4=")</f>
        <v>#VALUE!</v>
      </c>
      <c r="AF8" t="e">
        <f>AND('INDEX '!C147,"AAAAAH+/8R8=")</f>
        <v>#VALUE!</v>
      </c>
      <c r="AG8" t="e">
        <f>AND('INDEX '!D147,"AAAAAH+/8SA=")</f>
        <v>#VALUE!</v>
      </c>
      <c r="AH8" t="e">
        <f>AND('INDEX '!E147,"AAAAAH+/8SE=")</f>
        <v>#VALUE!</v>
      </c>
      <c r="AI8" t="e">
        <f>AND('INDEX '!F147,"AAAAAH+/8SI=")</f>
        <v>#VALUE!</v>
      </c>
      <c r="AJ8" t="e">
        <f>AND('INDEX '!G147,"AAAAAH+/8SM=")</f>
        <v>#VALUE!</v>
      </c>
      <c r="AK8" t="e">
        <f>AND('INDEX '!H147,"AAAAAH+/8SQ=")</f>
        <v>#VALUE!</v>
      </c>
      <c r="AL8" t="e">
        <f>AND('INDEX '!I147,"AAAAAH+/8SU=")</f>
        <v>#VALUE!</v>
      </c>
      <c r="AM8" t="e">
        <f>AND('INDEX '!J147,"AAAAAH+/8SY=")</f>
        <v>#VALUE!</v>
      </c>
      <c r="AN8" t="e">
        <f>AND('INDEX '!K147,"AAAAAH+/8Sc=")</f>
        <v>#VALUE!</v>
      </c>
      <c r="AO8">
        <f>IF('INDEX '!148:148,"AAAAAH+/8Sg=",0)</f>
        <v>0</v>
      </c>
      <c r="AP8" t="e">
        <f>AND('INDEX '!A148,"AAAAAH+/8Sk=")</f>
        <v>#VALUE!</v>
      </c>
      <c r="AQ8" t="e">
        <f>AND('INDEX '!B148,"AAAAAH+/8So=")</f>
        <v>#VALUE!</v>
      </c>
      <c r="AR8" t="e">
        <f>AND('INDEX '!C148,"AAAAAH+/8Ss=")</f>
        <v>#VALUE!</v>
      </c>
      <c r="AS8" t="e">
        <f>AND('INDEX '!D148,"AAAAAH+/8Sw=")</f>
        <v>#VALUE!</v>
      </c>
      <c r="AT8" t="e">
        <f>AND('INDEX '!E148,"AAAAAH+/8S0=")</f>
        <v>#VALUE!</v>
      </c>
      <c r="AU8" t="e">
        <f>AND('INDEX '!F148,"AAAAAH+/8S4=")</f>
        <v>#VALUE!</v>
      </c>
      <c r="AV8" t="e">
        <f>AND('INDEX '!G148,"AAAAAH+/8S8=")</f>
        <v>#VALUE!</v>
      </c>
      <c r="AW8" t="e">
        <f>AND('INDEX '!H148,"AAAAAH+/8TA=")</f>
        <v>#VALUE!</v>
      </c>
      <c r="AX8" t="e">
        <f>AND('INDEX '!I148,"AAAAAH+/8TE=")</f>
        <v>#VALUE!</v>
      </c>
      <c r="AY8" t="e">
        <f>AND('INDEX '!J148,"AAAAAH+/8TI=")</f>
        <v>#VALUE!</v>
      </c>
      <c r="AZ8" t="e">
        <f>AND('INDEX '!K148,"AAAAAH+/8TM=")</f>
        <v>#VALUE!</v>
      </c>
      <c r="BA8">
        <f>IF('INDEX '!149:149,"AAAAAH+/8TQ=",0)</f>
        <v>0</v>
      </c>
      <c r="BB8" t="e">
        <f>AND('INDEX '!A149,"AAAAAH+/8TU=")</f>
        <v>#VALUE!</v>
      </c>
      <c r="BC8" t="e">
        <f>AND('INDEX '!B149,"AAAAAH+/8TY=")</f>
        <v>#VALUE!</v>
      </c>
      <c r="BD8" t="e">
        <f>AND('INDEX '!C149,"AAAAAH+/8Tc=")</f>
        <v>#VALUE!</v>
      </c>
      <c r="BE8" t="e">
        <f>AND('INDEX '!D149,"AAAAAH+/8Tg=")</f>
        <v>#VALUE!</v>
      </c>
      <c r="BF8" t="e">
        <f>AND('INDEX '!E149,"AAAAAH+/8Tk=")</f>
        <v>#VALUE!</v>
      </c>
      <c r="BG8" t="e">
        <f>AND('INDEX '!F149,"AAAAAH+/8To=")</f>
        <v>#VALUE!</v>
      </c>
      <c r="BH8" t="e">
        <f>AND('INDEX '!G149,"AAAAAH+/8Ts=")</f>
        <v>#VALUE!</v>
      </c>
      <c r="BI8" t="e">
        <f>AND('INDEX '!H149,"AAAAAH+/8Tw=")</f>
        <v>#VALUE!</v>
      </c>
      <c r="BJ8" t="e">
        <f>AND('INDEX '!I149,"AAAAAH+/8T0=")</f>
        <v>#VALUE!</v>
      </c>
      <c r="BK8" t="e">
        <f>AND('INDEX '!J149,"AAAAAH+/8T4=")</f>
        <v>#VALUE!</v>
      </c>
      <c r="BL8" t="e">
        <f>AND('INDEX '!K149,"AAAAAH+/8T8=")</f>
        <v>#VALUE!</v>
      </c>
      <c r="BM8">
        <f>IF('INDEX '!150:150,"AAAAAH+/8UA=",0)</f>
        <v>0</v>
      </c>
      <c r="BN8">
        <f>IF('INDEX '!151:151,"AAAAAH+/8UE=",0)</f>
        <v>0</v>
      </c>
      <c r="BO8" t="e">
        <f>IF('INDEX '!A:A,"AAAAAH+/8UI=",0)</f>
        <v>#VALUE!</v>
      </c>
      <c r="BP8" t="str">
        <f>IF('INDEX '!B:B,"AAAAAH+/8UM=",0)</f>
        <v>AAAAAH+/8UM=</v>
      </c>
      <c r="BQ8">
        <f>IF('INDEX '!C:C,"AAAAAH+/8UQ=",0)</f>
        <v>0</v>
      </c>
      <c r="BR8" t="e">
        <f>IF('INDEX '!D:D,"AAAAAH+/8UU=",0)</f>
        <v>#VALUE!</v>
      </c>
      <c r="BS8" t="str">
        <f>IF('INDEX '!E:E,"AAAAAH+/8UY=",0)</f>
        <v>AAAAAH+/8UY=</v>
      </c>
      <c r="BT8">
        <f>IF('INDEX '!F:F,"AAAAAH+/8Uc=",0)</f>
        <v>0</v>
      </c>
      <c r="BU8" t="e">
        <f>IF('INDEX '!G:G,"AAAAAH+/8Ug=",0)</f>
        <v>#VALUE!</v>
      </c>
      <c r="BV8" t="str">
        <f>IF('INDEX '!H:H,"AAAAAH+/8Uk=",0)</f>
        <v>AAAAAH+/8Uk=</v>
      </c>
      <c r="BW8">
        <f>IF('INDEX '!I:I,"AAAAAH+/8Uo=",0)</f>
        <v>0</v>
      </c>
      <c r="BX8">
        <f>IF('INDEX '!J:J,"AAAAAH+/8Us=",0)</f>
        <v>0</v>
      </c>
      <c r="BY8">
        <f>IF('INDEX '!K:K,"AAAAAH+/8Uw=",0)</f>
        <v>0</v>
      </c>
      <c r="BZ8">
        <f>IF('STERLING CATALOG - DRY '!1:1,"AAAAAH+/8U0=",0)</f>
        <v>0</v>
      </c>
      <c r="CA8" t="e">
        <f>AND('STERLING CATALOG - DRY '!A1,"AAAAAH+/8U4=")</f>
        <v>#VALUE!</v>
      </c>
      <c r="CB8" t="e">
        <f>AND('STERLING CATALOG - DRY '!B1,"AAAAAH+/8U8=")</f>
        <v>#VALUE!</v>
      </c>
      <c r="CC8" t="e">
        <f>AND('STERLING CATALOG - DRY '!C1,"AAAAAH+/8VA=")</f>
        <v>#VALUE!</v>
      </c>
      <c r="CD8" t="e">
        <f>AND('STERLING CATALOG - DRY '!D1,"AAAAAH+/8VE=")</f>
        <v>#VALUE!</v>
      </c>
      <c r="CE8" t="e">
        <f>AND('STERLING CATALOG - DRY '!E1,"AAAAAH+/8VI=")</f>
        <v>#VALUE!</v>
      </c>
      <c r="CF8" t="e">
        <f>AND('STERLING CATALOG - DRY '!F1,"AAAAAH+/8VM=")</f>
        <v>#VALUE!</v>
      </c>
      <c r="CG8" t="e">
        <f>AND('STERLING CATALOG - DRY '!G1,"AAAAAH+/8VQ=")</f>
        <v>#VALUE!</v>
      </c>
      <c r="CH8" t="e">
        <f>AND('STERLING CATALOG - DRY '!H1,"AAAAAH+/8VU=")</f>
        <v>#VALUE!</v>
      </c>
      <c r="CI8" t="e">
        <f>AND('STERLING CATALOG - DRY '!I1,"AAAAAH+/8VY=")</f>
        <v>#VALUE!</v>
      </c>
      <c r="CJ8" t="e">
        <f>AND('STERLING CATALOG - DRY '!J1,"AAAAAH+/8Vc=")</f>
        <v>#VALUE!</v>
      </c>
      <c r="CK8">
        <f>IF('STERLING CATALOG - DRY '!2:2,"AAAAAH+/8Vg=",0)</f>
        <v>0</v>
      </c>
      <c r="CL8" t="e">
        <f>AND('STERLING CATALOG - DRY '!A2,"AAAAAH+/8Vk=")</f>
        <v>#VALUE!</v>
      </c>
      <c r="CM8" t="e">
        <f>AND('STERLING CATALOG - DRY '!B2,"AAAAAH+/8Vo=")</f>
        <v>#VALUE!</v>
      </c>
      <c r="CN8" t="e">
        <f>AND('STERLING CATALOG - DRY '!C2,"AAAAAH+/8Vs=")</f>
        <v>#VALUE!</v>
      </c>
      <c r="CO8" t="e">
        <f>AND('STERLING CATALOG - DRY '!D2,"AAAAAH+/8Vw=")</f>
        <v>#VALUE!</v>
      </c>
      <c r="CP8" t="e">
        <f>AND('STERLING CATALOG - DRY '!E2,"AAAAAH+/8V0=")</f>
        <v>#VALUE!</v>
      </c>
      <c r="CQ8" t="e">
        <f>AND('STERLING CATALOG - DRY '!F2,"AAAAAH+/8V4=")</f>
        <v>#VALUE!</v>
      </c>
      <c r="CR8" t="e">
        <f>AND('STERLING CATALOG - DRY '!G2,"AAAAAH+/8V8=")</f>
        <v>#VALUE!</v>
      </c>
      <c r="CS8" t="e">
        <f>AND('STERLING CATALOG - DRY '!H2,"AAAAAH+/8WA=")</f>
        <v>#VALUE!</v>
      </c>
      <c r="CT8" t="e">
        <f>AND('STERLING CATALOG - DRY '!I2,"AAAAAH+/8WE=")</f>
        <v>#VALUE!</v>
      </c>
      <c r="CU8" t="e">
        <f>AND('STERLING CATALOG - DRY '!J2,"AAAAAH+/8WI=")</f>
        <v>#VALUE!</v>
      </c>
      <c r="CV8">
        <f>IF('STERLING CATALOG - DRY '!3:3,"AAAAAH+/8WM=",0)</f>
        <v>0</v>
      </c>
      <c r="CW8" t="e">
        <f>AND('STERLING CATALOG - DRY '!A3,"AAAAAH+/8WQ=")</f>
        <v>#VALUE!</v>
      </c>
      <c r="CX8" t="e">
        <f>AND('STERLING CATALOG - DRY '!B3,"AAAAAH+/8WU=")</f>
        <v>#VALUE!</v>
      </c>
      <c r="CY8" t="e">
        <f>AND('STERLING CATALOG - DRY '!C3,"AAAAAH+/8WY=")</f>
        <v>#VALUE!</v>
      </c>
      <c r="CZ8" t="e">
        <f>AND('STERLING CATALOG - DRY '!D3,"AAAAAH+/8Wc=")</f>
        <v>#VALUE!</v>
      </c>
      <c r="DA8" t="e">
        <f>AND('STERLING CATALOG - DRY '!E3,"AAAAAH+/8Wg=")</f>
        <v>#VALUE!</v>
      </c>
      <c r="DB8" t="e">
        <f>AND('STERLING CATALOG - DRY '!F3,"AAAAAH+/8Wk=")</f>
        <v>#VALUE!</v>
      </c>
      <c r="DC8" t="e">
        <f>AND('STERLING CATALOG - DRY '!G3,"AAAAAH+/8Wo=")</f>
        <v>#VALUE!</v>
      </c>
      <c r="DD8" t="e">
        <f>AND('STERLING CATALOG - DRY '!H3,"AAAAAH+/8Ws=")</f>
        <v>#VALUE!</v>
      </c>
      <c r="DE8" t="e">
        <f>AND('STERLING CATALOG - DRY '!I3,"AAAAAH+/8Ww=")</f>
        <v>#VALUE!</v>
      </c>
      <c r="DF8" t="e">
        <f>AND('STERLING CATALOG - DRY '!J3,"AAAAAH+/8W0=")</f>
        <v>#VALUE!</v>
      </c>
      <c r="DG8">
        <f>IF('STERLING CATALOG - DRY '!4:4,"AAAAAH+/8W4=",0)</f>
        <v>0</v>
      </c>
      <c r="DH8" t="e">
        <f>AND('STERLING CATALOG - DRY '!A4,"AAAAAH+/8W8=")</f>
        <v>#VALUE!</v>
      </c>
      <c r="DI8" t="e">
        <f>AND('STERLING CATALOG - DRY '!B4,"AAAAAH+/8XA=")</f>
        <v>#VALUE!</v>
      </c>
      <c r="DJ8" t="e">
        <f>AND('STERLING CATALOG - DRY '!C4,"AAAAAH+/8XE=")</f>
        <v>#VALUE!</v>
      </c>
      <c r="DK8" t="e">
        <f>AND('STERLING CATALOG - DRY '!D4,"AAAAAH+/8XI=")</f>
        <v>#VALUE!</v>
      </c>
      <c r="DL8" t="e">
        <f>AND('STERLING CATALOG - DRY '!E4,"AAAAAH+/8XM=")</f>
        <v>#VALUE!</v>
      </c>
      <c r="DM8" t="e">
        <f>AND('STERLING CATALOG - DRY '!F4,"AAAAAH+/8XQ=")</f>
        <v>#VALUE!</v>
      </c>
      <c r="DN8" t="e">
        <f>AND('STERLING CATALOG - DRY '!G4,"AAAAAH+/8XU=")</f>
        <v>#VALUE!</v>
      </c>
      <c r="DO8" t="e">
        <f>AND('STERLING CATALOG - DRY '!H4,"AAAAAH+/8XY=")</f>
        <v>#VALUE!</v>
      </c>
      <c r="DP8" t="e">
        <f>AND('STERLING CATALOG - DRY '!I4,"AAAAAH+/8Xc=")</f>
        <v>#VALUE!</v>
      </c>
      <c r="DQ8" t="e">
        <f>AND('STERLING CATALOG - DRY '!J4,"AAAAAH+/8Xg=")</f>
        <v>#VALUE!</v>
      </c>
      <c r="DR8">
        <f>IF('STERLING CATALOG - DRY '!5:5,"AAAAAH+/8Xk=",0)</f>
        <v>0</v>
      </c>
      <c r="DS8" t="e">
        <f>AND('STERLING CATALOG - DRY '!A5,"AAAAAH+/8Xo=")</f>
        <v>#VALUE!</v>
      </c>
      <c r="DT8" t="e">
        <f>AND('STERLING CATALOG - DRY '!B5,"AAAAAH+/8Xs=")</f>
        <v>#VALUE!</v>
      </c>
      <c r="DU8" t="e">
        <f>AND('STERLING CATALOG - DRY '!C5,"AAAAAH+/8Xw=")</f>
        <v>#VALUE!</v>
      </c>
      <c r="DV8" t="e">
        <f>AND('STERLING CATALOG - DRY '!D5,"AAAAAH+/8X0=")</f>
        <v>#VALUE!</v>
      </c>
      <c r="DW8" t="e">
        <f>AND('STERLING CATALOG - DRY '!E5,"AAAAAH+/8X4=")</f>
        <v>#VALUE!</v>
      </c>
      <c r="DX8" t="e">
        <f>AND('STERLING CATALOG - DRY '!F5,"AAAAAH+/8X8=")</f>
        <v>#VALUE!</v>
      </c>
      <c r="DY8" t="e">
        <f>AND('STERLING CATALOG - DRY '!G5,"AAAAAH+/8YA=")</f>
        <v>#VALUE!</v>
      </c>
      <c r="DZ8" t="e">
        <f>AND('STERLING CATALOG - DRY '!H5,"AAAAAH+/8YE=")</f>
        <v>#VALUE!</v>
      </c>
      <c r="EA8" t="e">
        <f>AND('STERLING CATALOG - DRY '!I5,"AAAAAH+/8YI=")</f>
        <v>#VALUE!</v>
      </c>
      <c r="EB8" t="e">
        <f>AND('STERLING CATALOG - DRY '!J5,"AAAAAH+/8YM=")</f>
        <v>#VALUE!</v>
      </c>
      <c r="EC8">
        <f>IF('STERLING CATALOG - DRY '!6:6,"AAAAAH+/8YQ=",0)</f>
        <v>0</v>
      </c>
      <c r="ED8" t="e">
        <f>AND('STERLING CATALOG - DRY '!A6,"AAAAAH+/8YU=")</f>
        <v>#VALUE!</v>
      </c>
      <c r="EE8" t="e">
        <f>AND('STERLING CATALOG - DRY '!B6,"AAAAAH+/8YY=")</f>
        <v>#VALUE!</v>
      </c>
      <c r="EF8" t="e">
        <f>AND('STERLING CATALOG - DRY '!C6,"AAAAAH+/8Yc=")</f>
        <v>#VALUE!</v>
      </c>
      <c r="EG8" t="e">
        <f>AND('STERLING CATALOG - DRY '!D6,"AAAAAH+/8Yg=")</f>
        <v>#VALUE!</v>
      </c>
      <c r="EH8" t="e">
        <f>AND('STERLING CATALOG - DRY '!E6,"AAAAAH+/8Yk=")</f>
        <v>#VALUE!</v>
      </c>
      <c r="EI8" t="e">
        <f>AND('STERLING CATALOG - DRY '!F6,"AAAAAH+/8Yo=")</f>
        <v>#VALUE!</v>
      </c>
      <c r="EJ8" t="e">
        <f>AND('STERLING CATALOG - DRY '!G6,"AAAAAH+/8Ys=")</f>
        <v>#VALUE!</v>
      </c>
      <c r="EK8" t="e">
        <f>AND('STERLING CATALOG - DRY '!H6,"AAAAAH+/8Yw=")</f>
        <v>#VALUE!</v>
      </c>
      <c r="EL8" t="e">
        <f>AND('STERLING CATALOG - DRY '!I6,"AAAAAH+/8Y0=")</f>
        <v>#VALUE!</v>
      </c>
      <c r="EM8" t="e">
        <f>AND('STERLING CATALOG - DRY '!J6,"AAAAAH+/8Y4=")</f>
        <v>#VALUE!</v>
      </c>
      <c r="EN8">
        <f>IF('STERLING CATALOG - DRY '!7:7,"AAAAAH+/8Y8=",0)</f>
        <v>0</v>
      </c>
      <c r="EO8" t="e">
        <f>AND('STERLING CATALOG - DRY '!A7,"AAAAAH+/8ZA=")</f>
        <v>#VALUE!</v>
      </c>
      <c r="EP8" t="e">
        <f>AND('STERLING CATALOG - DRY '!B7,"AAAAAH+/8ZE=")</f>
        <v>#VALUE!</v>
      </c>
      <c r="EQ8" t="e">
        <f>AND('STERLING CATALOG - DRY '!C7,"AAAAAH+/8ZI=")</f>
        <v>#VALUE!</v>
      </c>
      <c r="ER8" t="e">
        <f>AND('STERLING CATALOG - DRY '!D7,"AAAAAH+/8ZM=")</f>
        <v>#VALUE!</v>
      </c>
      <c r="ES8" t="e">
        <f>AND('STERLING CATALOG - DRY '!E7,"AAAAAH+/8ZQ=")</f>
        <v>#VALUE!</v>
      </c>
      <c r="ET8" t="e">
        <f>AND('STERLING CATALOG - DRY '!F7,"AAAAAH+/8ZU=")</f>
        <v>#VALUE!</v>
      </c>
      <c r="EU8" t="e">
        <f>AND('STERLING CATALOG - DRY '!G7,"AAAAAH+/8ZY=")</f>
        <v>#VALUE!</v>
      </c>
      <c r="EV8" t="e">
        <f>AND('STERLING CATALOG - DRY '!H7,"AAAAAH+/8Zc=")</f>
        <v>#VALUE!</v>
      </c>
      <c r="EW8" t="e">
        <f>AND('STERLING CATALOG - DRY '!I7,"AAAAAH+/8Zg=")</f>
        <v>#VALUE!</v>
      </c>
      <c r="EX8" t="e">
        <f>AND('STERLING CATALOG - DRY '!J7,"AAAAAH+/8Zk=")</f>
        <v>#VALUE!</v>
      </c>
      <c r="EY8">
        <f>IF('STERLING CATALOG - DRY '!8:8,"AAAAAH+/8Zo=",0)</f>
        <v>0</v>
      </c>
      <c r="EZ8" t="e">
        <f>AND('STERLING CATALOG - DRY '!A8,"AAAAAH+/8Zs=")</f>
        <v>#VALUE!</v>
      </c>
      <c r="FA8" t="e">
        <f>AND('STERLING CATALOG - DRY '!B8,"AAAAAH+/8Zw=")</f>
        <v>#VALUE!</v>
      </c>
      <c r="FB8" t="e">
        <f>AND('STERLING CATALOG - DRY '!C8,"AAAAAH+/8Z0=")</f>
        <v>#VALUE!</v>
      </c>
      <c r="FC8" t="e">
        <f>AND('STERLING CATALOG - DRY '!D8,"AAAAAH+/8Z4=")</f>
        <v>#VALUE!</v>
      </c>
      <c r="FD8" t="e">
        <f>AND('STERLING CATALOG - DRY '!E8,"AAAAAH+/8Z8=")</f>
        <v>#VALUE!</v>
      </c>
      <c r="FE8" t="e">
        <f>AND('STERLING CATALOG - DRY '!F8,"AAAAAH+/8aA=")</f>
        <v>#VALUE!</v>
      </c>
      <c r="FF8" t="e">
        <f>AND('STERLING CATALOG - DRY '!G8,"AAAAAH+/8aE=")</f>
        <v>#VALUE!</v>
      </c>
      <c r="FG8" t="e">
        <f>AND('STERLING CATALOG - DRY '!H8,"AAAAAH+/8aI=")</f>
        <v>#VALUE!</v>
      </c>
      <c r="FH8" t="e">
        <f>AND('STERLING CATALOG - DRY '!I8,"AAAAAH+/8aM=")</f>
        <v>#VALUE!</v>
      </c>
      <c r="FI8" t="e">
        <f>AND('STERLING CATALOG - DRY '!J8,"AAAAAH+/8aQ=")</f>
        <v>#VALUE!</v>
      </c>
      <c r="FJ8">
        <f>IF('STERLING CATALOG - DRY '!9:9,"AAAAAH+/8aU=",0)</f>
        <v>0</v>
      </c>
      <c r="FK8" t="e">
        <f>AND('STERLING CATALOG - DRY '!A9,"AAAAAH+/8aY=")</f>
        <v>#VALUE!</v>
      </c>
      <c r="FL8" t="e">
        <f>AND('STERLING CATALOG - DRY '!B9,"AAAAAH+/8ac=")</f>
        <v>#VALUE!</v>
      </c>
      <c r="FM8" t="e">
        <f>AND('STERLING CATALOG - DRY '!C9,"AAAAAH+/8ag=")</f>
        <v>#VALUE!</v>
      </c>
      <c r="FN8" t="e">
        <f>AND('STERLING CATALOG - DRY '!D9,"AAAAAH+/8ak=")</f>
        <v>#VALUE!</v>
      </c>
      <c r="FO8" t="e">
        <f>AND('STERLING CATALOG - DRY '!E9,"AAAAAH+/8ao=")</f>
        <v>#VALUE!</v>
      </c>
      <c r="FP8" t="e">
        <f>AND('STERLING CATALOG - DRY '!F9,"AAAAAH+/8as=")</f>
        <v>#VALUE!</v>
      </c>
      <c r="FQ8" t="e">
        <f>AND('STERLING CATALOG - DRY '!G9,"AAAAAH+/8aw=")</f>
        <v>#VALUE!</v>
      </c>
      <c r="FR8" t="e">
        <f>AND('STERLING CATALOG - DRY '!H9,"AAAAAH+/8a0=")</f>
        <v>#VALUE!</v>
      </c>
      <c r="FS8" t="e">
        <f>AND('STERLING CATALOG - DRY '!I9,"AAAAAH+/8a4=")</f>
        <v>#VALUE!</v>
      </c>
      <c r="FT8" t="e">
        <f>AND('STERLING CATALOG - DRY '!J9,"AAAAAH+/8a8=")</f>
        <v>#VALUE!</v>
      </c>
      <c r="FU8">
        <f>IF('STERLING CATALOG - DRY '!10:10,"AAAAAH+/8bA=",0)</f>
        <v>0</v>
      </c>
      <c r="FV8" t="e">
        <f>AND('STERLING CATALOG - DRY '!A10,"AAAAAH+/8bE=")</f>
        <v>#VALUE!</v>
      </c>
      <c r="FW8" t="e">
        <f>AND('STERLING CATALOG - DRY '!B10,"AAAAAH+/8bI=")</f>
        <v>#VALUE!</v>
      </c>
      <c r="FX8" t="e">
        <f>AND('STERLING CATALOG - DRY '!C10,"AAAAAH+/8bM=")</f>
        <v>#VALUE!</v>
      </c>
      <c r="FY8" t="e">
        <f>AND('STERLING CATALOG - DRY '!D10,"AAAAAH+/8bQ=")</f>
        <v>#VALUE!</v>
      </c>
      <c r="FZ8" t="e">
        <f>AND('STERLING CATALOG - DRY '!E10,"AAAAAH+/8bU=")</f>
        <v>#VALUE!</v>
      </c>
      <c r="GA8" t="e">
        <f>AND('STERLING CATALOG - DRY '!F10,"AAAAAH+/8bY=")</f>
        <v>#VALUE!</v>
      </c>
      <c r="GB8" t="e">
        <f>AND('STERLING CATALOG - DRY '!G10,"AAAAAH+/8bc=")</f>
        <v>#VALUE!</v>
      </c>
      <c r="GC8" t="e">
        <f>AND('STERLING CATALOG - DRY '!H10,"AAAAAH+/8bg=")</f>
        <v>#VALUE!</v>
      </c>
      <c r="GD8" t="e">
        <f>AND('STERLING CATALOG - DRY '!I10,"AAAAAH+/8bk=")</f>
        <v>#VALUE!</v>
      </c>
      <c r="GE8" t="e">
        <f>AND('STERLING CATALOG - DRY '!J10,"AAAAAH+/8bo=")</f>
        <v>#VALUE!</v>
      </c>
      <c r="GF8">
        <f>IF('STERLING CATALOG - DRY '!11:11,"AAAAAH+/8bs=",0)</f>
        <v>0</v>
      </c>
      <c r="GG8" t="e">
        <f>AND('STERLING CATALOG - DRY '!A11,"AAAAAH+/8bw=")</f>
        <v>#VALUE!</v>
      </c>
      <c r="GH8" t="e">
        <f>AND('STERLING CATALOG - DRY '!B11,"AAAAAH+/8b0=")</f>
        <v>#VALUE!</v>
      </c>
      <c r="GI8" t="e">
        <f>AND('STERLING CATALOG - DRY '!C11,"AAAAAH+/8b4=")</f>
        <v>#VALUE!</v>
      </c>
      <c r="GJ8" t="e">
        <f>AND('STERLING CATALOG - DRY '!D11,"AAAAAH+/8b8=")</f>
        <v>#VALUE!</v>
      </c>
      <c r="GK8" t="e">
        <f>AND('STERLING CATALOG - DRY '!E11,"AAAAAH+/8cA=")</f>
        <v>#VALUE!</v>
      </c>
      <c r="GL8" t="e">
        <f>AND('STERLING CATALOG - DRY '!F11,"AAAAAH+/8cE=")</f>
        <v>#VALUE!</v>
      </c>
      <c r="GM8" t="e">
        <f>AND('STERLING CATALOG - DRY '!G11,"AAAAAH+/8cI=")</f>
        <v>#VALUE!</v>
      </c>
      <c r="GN8" t="e">
        <f>AND('STERLING CATALOG - DRY '!H11,"AAAAAH+/8cM=")</f>
        <v>#VALUE!</v>
      </c>
      <c r="GO8" t="e">
        <f>AND('STERLING CATALOG - DRY '!I11,"AAAAAH+/8cQ=")</f>
        <v>#VALUE!</v>
      </c>
      <c r="GP8" t="e">
        <f>AND('STERLING CATALOG - DRY '!J11,"AAAAAH+/8cU=")</f>
        <v>#VALUE!</v>
      </c>
      <c r="GQ8">
        <f>IF('STERLING CATALOG - DRY '!12:12,"AAAAAH+/8cY=",0)</f>
        <v>0</v>
      </c>
      <c r="GR8" t="e">
        <f>AND('STERLING CATALOG - DRY '!A12,"AAAAAH+/8cc=")</f>
        <v>#VALUE!</v>
      </c>
      <c r="GS8" t="e">
        <f>AND('STERLING CATALOG - DRY '!B12,"AAAAAH+/8cg=")</f>
        <v>#VALUE!</v>
      </c>
      <c r="GT8" t="e">
        <f>AND('STERLING CATALOG - DRY '!C12,"AAAAAH+/8ck=")</f>
        <v>#VALUE!</v>
      </c>
      <c r="GU8" t="e">
        <f>AND('STERLING CATALOG - DRY '!D12,"AAAAAH+/8co=")</f>
        <v>#VALUE!</v>
      </c>
      <c r="GV8" t="e">
        <f>AND('STERLING CATALOG - DRY '!E12,"AAAAAH+/8cs=")</f>
        <v>#VALUE!</v>
      </c>
      <c r="GW8" t="e">
        <f>AND('STERLING CATALOG - DRY '!F12,"AAAAAH+/8cw=")</f>
        <v>#VALUE!</v>
      </c>
      <c r="GX8" t="e">
        <f>AND('STERLING CATALOG - DRY '!G12,"AAAAAH+/8c0=")</f>
        <v>#VALUE!</v>
      </c>
      <c r="GY8" t="e">
        <f>AND('STERLING CATALOG - DRY '!H12,"AAAAAH+/8c4=")</f>
        <v>#VALUE!</v>
      </c>
      <c r="GZ8" t="e">
        <f>AND('STERLING CATALOG - DRY '!I12,"AAAAAH+/8c8=")</f>
        <v>#VALUE!</v>
      </c>
      <c r="HA8" t="e">
        <f>AND('STERLING CATALOG - DRY '!J12,"AAAAAH+/8dA=")</f>
        <v>#VALUE!</v>
      </c>
      <c r="HB8">
        <f>IF('STERLING CATALOG - DRY '!13:13,"AAAAAH+/8dE=",0)</f>
        <v>0</v>
      </c>
      <c r="HC8" t="e">
        <f>AND('STERLING CATALOG - DRY '!A13,"AAAAAH+/8dI=")</f>
        <v>#VALUE!</v>
      </c>
      <c r="HD8" t="e">
        <f>AND('STERLING CATALOG - DRY '!B13,"AAAAAH+/8dM=")</f>
        <v>#VALUE!</v>
      </c>
      <c r="HE8" t="e">
        <f>AND('STERLING CATALOG - DRY '!C13,"AAAAAH+/8dQ=")</f>
        <v>#VALUE!</v>
      </c>
      <c r="HF8" t="e">
        <f>AND('STERLING CATALOG - DRY '!D13,"AAAAAH+/8dU=")</f>
        <v>#VALUE!</v>
      </c>
      <c r="HG8" t="e">
        <f>AND('STERLING CATALOG - DRY '!E13,"AAAAAH+/8dY=")</f>
        <v>#VALUE!</v>
      </c>
      <c r="HH8" t="e">
        <f>AND('STERLING CATALOG - DRY '!F13,"AAAAAH+/8dc=")</f>
        <v>#VALUE!</v>
      </c>
      <c r="HI8" t="e">
        <f>AND('STERLING CATALOG - DRY '!G13,"AAAAAH+/8dg=")</f>
        <v>#VALUE!</v>
      </c>
      <c r="HJ8" t="e">
        <f>AND('STERLING CATALOG - DRY '!H13,"AAAAAH+/8dk=")</f>
        <v>#VALUE!</v>
      </c>
      <c r="HK8" t="e">
        <f>AND('STERLING CATALOG - DRY '!I13,"AAAAAH+/8do=")</f>
        <v>#VALUE!</v>
      </c>
      <c r="HL8" t="e">
        <f>AND('STERLING CATALOG - DRY '!J13,"AAAAAH+/8ds=")</f>
        <v>#VALUE!</v>
      </c>
      <c r="HM8">
        <f>IF('STERLING CATALOG - DRY '!14:14,"AAAAAH+/8dw=",0)</f>
        <v>0</v>
      </c>
      <c r="HN8" t="e">
        <f>AND('STERLING CATALOG - DRY '!A14,"AAAAAH+/8d0=")</f>
        <v>#VALUE!</v>
      </c>
      <c r="HO8" t="e">
        <f>AND('STERLING CATALOG - DRY '!B14,"AAAAAH+/8d4=")</f>
        <v>#VALUE!</v>
      </c>
      <c r="HP8" t="e">
        <f>AND('STERLING CATALOG - DRY '!C14,"AAAAAH+/8d8=")</f>
        <v>#VALUE!</v>
      </c>
      <c r="HQ8" t="e">
        <f>AND('STERLING CATALOG - DRY '!D14,"AAAAAH+/8eA=")</f>
        <v>#VALUE!</v>
      </c>
      <c r="HR8" t="e">
        <f>AND('STERLING CATALOG - DRY '!E14,"AAAAAH+/8eE=")</f>
        <v>#VALUE!</v>
      </c>
      <c r="HS8" t="e">
        <f>AND('STERLING CATALOG - DRY '!F14,"AAAAAH+/8eI=")</f>
        <v>#VALUE!</v>
      </c>
      <c r="HT8" t="e">
        <f>AND('STERLING CATALOG - DRY '!G14,"AAAAAH+/8eM=")</f>
        <v>#VALUE!</v>
      </c>
      <c r="HU8" t="e">
        <f>AND('STERLING CATALOG - DRY '!H14,"AAAAAH+/8eQ=")</f>
        <v>#VALUE!</v>
      </c>
      <c r="HV8" t="e">
        <f>AND('STERLING CATALOG - DRY '!I14,"AAAAAH+/8eU=")</f>
        <v>#VALUE!</v>
      </c>
      <c r="HW8" t="e">
        <f>AND('STERLING CATALOG - DRY '!J14,"AAAAAH+/8eY=")</f>
        <v>#VALUE!</v>
      </c>
      <c r="HX8">
        <f>IF('STERLING CATALOG - DRY '!15:15,"AAAAAH+/8ec=",0)</f>
        <v>0</v>
      </c>
      <c r="HY8" t="e">
        <f>AND('STERLING CATALOG - DRY '!A15,"AAAAAH+/8eg=")</f>
        <v>#VALUE!</v>
      </c>
      <c r="HZ8" t="e">
        <f>AND('STERLING CATALOG - DRY '!B15,"AAAAAH+/8ek=")</f>
        <v>#VALUE!</v>
      </c>
      <c r="IA8" t="e">
        <f>AND('STERLING CATALOG - DRY '!C15,"AAAAAH+/8eo=")</f>
        <v>#VALUE!</v>
      </c>
      <c r="IB8" t="e">
        <f>AND('STERLING CATALOG - DRY '!D15,"AAAAAH+/8es=")</f>
        <v>#VALUE!</v>
      </c>
      <c r="IC8" t="e">
        <f>AND('STERLING CATALOG - DRY '!E15,"AAAAAH+/8ew=")</f>
        <v>#VALUE!</v>
      </c>
      <c r="ID8" t="e">
        <f>AND('STERLING CATALOG - DRY '!F15,"AAAAAH+/8e0=")</f>
        <v>#VALUE!</v>
      </c>
      <c r="IE8" t="e">
        <f>AND('STERLING CATALOG - DRY '!G15,"AAAAAH+/8e4=")</f>
        <v>#VALUE!</v>
      </c>
      <c r="IF8" t="e">
        <f>AND('STERLING CATALOG - DRY '!H15,"AAAAAH+/8e8=")</f>
        <v>#VALUE!</v>
      </c>
      <c r="IG8" t="e">
        <f>AND('STERLING CATALOG - DRY '!I15,"AAAAAH+/8fA=")</f>
        <v>#VALUE!</v>
      </c>
      <c r="IH8" t="e">
        <f>AND('STERLING CATALOG - DRY '!J15,"AAAAAH+/8fE=")</f>
        <v>#VALUE!</v>
      </c>
      <c r="II8">
        <f>IF('STERLING CATALOG - DRY '!16:16,"AAAAAH+/8fI=",0)</f>
        <v>0</v>
      </c>
      <c r="IJ8" t="e">
        <f>AND('STERLING CATALOG - DRY '!A16,"AAAAAH+/8fM=")</f>
        <v>#VALUE!</v>
      </c>
      <c r="IK8" t="e">
        <f>AND('STERLING CATALOG - DRY '!B16,"AAAAAH+/8fQ=")</f>
        <v>#VALUE!</v>
      </c>
      <c r="IL8" t="e">
        <f>AND('STERLING CATALOG - DRY '!C16,"AAAAAH+/8fU=")</f>
        <v>#VALUE!</v>
      </c>
      <c r="IM8" t="e">
        <f>AND('STERLING CATALOG - DRY '!D16,"AAAAAH+/8fY=")</f>
        <v>#VALUE!</v>
      </c>
      <c r="IN8" t="e">
        <f>AND('STERLING CATALOG - DRY '!E16,"AAAAAH+/8fc=")</f>
        <v>#VALUE!</v>
      </c>
      <c r="IO8" t="e">
        <f>AND('STERLING CATALOG - DRY '!F16,"AAAAAH+/8fg=")</f>
        <v>#VALUE!</v>
      </c>
      <c r="IP8" t="e">
        <f>AND('STERLING CATALOG - DRY '!G16,"AAAAAH+/8fk=")</f>
        <v>#VALUE!</v>
      </c>
      <c r="IQ8" t="e">
        <f>AND('STERLING CATALOG - DRY '!H16,"AAAAAH+/8fo=")</f>
        <v>#VALUE!</v>
      </c>
      <c r="IR8" t="e">
        <f>AND('STERLING CATALOG - DRY '!I16,"AAAAAH+/8fs=")</f>
        <v>#VALUE!</v>
      </c>
      <c r="IS8" t="e">
        <f>AND('STERLING CATALOG - DRY '!J16,"AAAAAH+/8fw=")</f>
        <v>#VALUE!</v>
      </c>
      <c r="IT8">
        <f>IF('STERLING CATALOG - DRY '!17:17,"AAAAAH+/8f0=",0)</f>
        <v>0</v>
      </c>
      <c r="IU8" t="e">
        <f>AND('STERLING CATALOG - DRY '!A17,"AAAAAH+/8f4=")</f>
        <v>#VALUE!</v>
      </c>
      <c r="IV8" t="e">
        <f>AND('STERLING CATALOG - DRY '!B17,"AAAAAH+/8f8=")</f>
        <v>#VALUE!</v>
      </c>
    </row>
    <row r="9" spans="1:256">
      <c r="A9" t="e">
        <f>AND('STERLING CATALOG - DRY '!C17,"AAAAAH1nzgA=")</f>
        <v>#VALUE!</v>
      </c>
      <c r="B9" t="e">
        <f>AND('STERLING CATALOG - DRY '!D17,"AAAAAH1nzgE=")</f>
        <v>#VALUE!</v>
      </c>
      <c r="C9" t="e">
        <f>AND('STERLING CATALOG - DRY '!E17,"AAAAAH1nzgI=")</f>
        <v>#VALUE!</v>
      </c>
      <c r="D9" t="e">
        <f>AND('STERLING CATALOG - DRY '!F17,"AAAAAH1nzgM=")</f>
        <v>#VALUE!</v>
      </c>
      <c r="E9" t="e">
        <f>AND('STERLING CATALOG - DRY '!G17,"AAAAAH1nzgQ=")</f>
        <v>#VALUE!</v>
      </c>
      <c r="F9" t="e">
        <f>AND('STERLING CATALOG - DRY '!H17,"AAAAAH1nzgU=")</f>
        <v>#VALUE!</v>
      </c>
      <c r="G9" t="e">
        <f>AND('STERLING CATALOG - DRY '!I17,"AAAAAH1nzgY=")</f>
        <v>#VALUE!</v>
      </c>
      <c r="H9" t="e">
        <f>AND('STERLING CATALOG - DRY '!J17,"AAAAAH1nzgc=")</f>
        <v>#VALUE!</v>
      </c>
      <c r="I9" t="e">
        <f>IF('STERLING CATALOG - DRY '!18:18,"AAAAAH1nzgg=",0)</f>
        <v>#VALUE!</v>
      </c>
      <c r="J9" t="e">
        <f>AND('STERLING CATALOG - DRY '!A18,"AAAAAH1nzgk=")</f>
        <v>#VALUE!</v>
      </c>
      <c r="K9" t="e">
        <f>AND('STERLING CATALOG - DRY '!B18,"AAAAAH1nzgo=")</f>
        <v>#VALUE!</v>
      </c>
      <c r="L9" t="e">
        <f>AND('STERLING CATALOG - DRY '!C18,"AAAAAH1nzgs=")</f>
        <v>#VALUE!</v>
      </c>
      <c r="M9" t="e">
        <f>AND('STERLING CATALOG - DRY '!D18,"AAAAAH1nzgw=")</f>
        <v>#VALUE!</v>
      </c>
      <c r="N9" t="e">
        <f>AND('STERLING CATALOG - DRY '!E18,"AAAAAH1nzg0=")</f>
        <v>#VALUE!</v>
      </c>
      <c r="O9" t="e">
        <f>AND('STERLING CATALOG - DRY '!F18,"AAAAAH1nzg4=")</f>
        <v>#VALUE!</v>
      </c>
      <c r="P9" t="e">
        <f>AND('STERLING CATALOG - DRY '!G18,"AAAAAH1nzg8=")</f>
        <v>#VALUE!</v>
      </c>
      <c r="Q9" t="e">
        <f>AND('STERLING CATALOG - DRY '!H18,"AAAAAH1nzhA=")</f>
        <v>#VALUE!</v>
      </c>
      <c r="R9" t="e">
        <f>AND('STERLING CATALOG - DRY '!I18,"AAAAAH1nzhE=")</f>
        <v>#VALUE!</v>
      </c>
      <c r="S9" t="e">
        <f>AND('STERLING CATALOG - DRY '!J18,"AAAAAH1nzhI=")</f>
        <v>#VALUE!</v>
      </c>
      <c r="T9">
        <f>IF('STERLING CATALOG - DRY '!19:19,"AAAAAH1nzhM=",0)</f>
        <v>0</v>
      </c>
      <c r="U9" t="e">
        <f>AND('STERLING CATALOG - DRY '!A19,"AAAAAH1nzhQ=")</f>
        <v>#VALUE!</v>
      </c>
      <c r="V9" t="e">
        <f>AND('STERLING CATALOG - DRY '!B19,"AAAAAH1nzhU=")</f>
        <v>#VALUE!</v>
      </c>
      <c r="W9" t="e">
        <f>AND('STERLING CATALOG - DRY '!C19,"AAAAAH1nzhY=")</f>
        <v>#VALUE!</v>
      </c>
      <c r="X9" t="e">
        <f>AND('STERLING CATALOG - DRY '!D19,"AAAAAH1nzhc=")</f>
        <v>#VALUE!</v>
      </c>
      <c r="Y9" t="e">
        <f>AND('STERLING CATALOG - DRY '!E19,"AAAAAH1nzhg=")</f>
        <v>#VALUE!</v>
      </c>
      <c r="Z9" t="e">
        <f>AND('STERLING CATALOG - DRY '!F19,"AAAAAH1nzhk=")</f>
        <v>#VALUE!</v>
      </c>
      <c r="AA9" t="e">
        <f>AND('STERLING CATALOG - DRY '!G19,"AAAAAH1nzho=")</f>
        <v>#VALUE!</v>
      </c>
      <c r="AB9" t="e">
        <f>AND('STERLING CATALOG - DRY '!H19,"AAAAAH1nzhs=")</f>
        <v>#VALUE!</v>
      </c>
      <c r="AC9" t="e">
        <f>AND('STERLING CATALOG - DRY '!I19,"AAAAAH1nzhw=")</f>
        <v>#VALUE!</v>
      </c>
      <c r="AD9" t="e">
        <f>AND('STERLING CATALOG - DRY '!J19,"AAAAAH1nzh0=")</f>
        <v>#VALUE!</v>
      </c>
      <c r="AE9">
        <f>IF('STERLING CATALOG - DRY '!20:20,"AAAAAH1nzh4=",0)</f>
        <v>0</v>
      </c>
      <c r="AF9" t="e">
        <f>AND('STERLING CATALOG - DRY '!A20,"AAAAAH1nzh8=")</f>
        <v>#VALUE!</v>
      </c>
      <c r="AG9" t="e">
        <f>AND('STERLING CATALOG - DRY '!B20,"AAAAAH1nziA=")</f>
        <v>#VALUE!</v>
      </c>
      <c r="AH9" t="e">
        <f>AND('STERLING CATALOG - DRY '!C20,"AAAAAH1nziE=")</f>
        <v>#VALUE!</v>
      </c>
      <c r="AI9" t="e">
        <f>AND('STERLING CATALOG - DRY '!D20,"AAAAAH1nziI=")</f>
        <v>#VALUE!</v>
      </c>
      <c r="AJ9" t="e">
        <f>AND('STERLING CATALOG - DRY '!E20,"AAAAAH1nziM=")</f>
        <v>#VALUE!</v>
      </c>
      <c r="AK9" t="e">
        <f>AND('STERLING CATALOG - DRY '!F20,"AAAAAH1nziQ=")</f>
        <v>#VALUE!</v>
      </c>
      <c r="AL9" t="e">
        <f>AND('STERLING CATALOG - DRY '!G20,"AAAAAH1nziU=")</f>
        <v>#VALUE!</v>
      </c>
      <c r="AM9" t="e">
        <f>AND('STERLING CATALOG - DRY '!H20,"AAAAAH1nziY=")</f>
        <v>#VALUE!</v>
      </c>
      <c r="AN9" t="e">
        <f>AND('STERLING CATALOG - DRY '!I20,"AAAAAH1nzic=")</f>
        <v>#VALUE!</v>
      </c>
      <c r="AO9" t="e">
        <f>AND('STERLING CATALOG - DRY '!J20,"AAAAAH1nzig=")</f>
        <v>#VALUE!</v>
      </c>
      <c r="AP9">
        <f>IF('STERLING CATALOG - DRY '!21:21,"AAAAAH1nzik=",0)</f>
        <v>0</v>
      </c>
      <c r="AQ9" t="e">
        <f>AND('STERLING CATALOG - DRY '!A21,"AAAAAH1nzio=")</f>
        <v>#VALUE!</v>
      </c>
      <c r="AR9" t="e">
        <f>AND('STERLING CATALOG - DRY '!B21,"AAAAAH1nzis=")</f>
        <v>#VALUE!</v>
      </c>
      <c r="AS9" t="e">
        <f>AND('STERLING CATALOG - DRY '!C21,"AAAAAH1nziw=")</f>
        <v>#VALUE!</v>
      </c>
      <c r="AT9" t="e">
        <f>AND('STERLING CATALOG - DRY '!D21,"AAAAAH1nzi0=")</f>
        <v>#VALUE!</v>
      </c>
      <c r="AU9" t="e">
        <f>AND('STERLING CATALOG - DRY '!E21,"AAAAAH1nzi4=")</f>
        <v>#VALUE!</v>
      </c>
      <c r="AV9" t="e">
        <f>AND('STERLING CATALOG - DRY '!F21,"AAAAAH1nzi8=")</f>
        <v>#VALUE!</v>
      </c>
      <c r="AW9" t="e">
        <f>AND('STERLING CATALOG - DRY '!G21,"AAAAAH1nzjA=")</f>
        <v>#VALUE!</v>
      </c>
      <c r="AX9" t="e">
        <f>AND('STERLING CATALOG - DRY '!H21,"AAAAAH1nzjE=")</f>
        <v>#VALUE!</v>
      </c>
      <c r="AY9" t="e">
        <f>AND('STERLING CATALOG - DRY '!I21,"AAAAAH1nzjI=")</f>
        <v>#VALUE!</v>
      </c>
      <c r="AZ9" t="e">
        <f>AND('STERLING CATALOG - DRY '!J21,"AAAAAH1nzjM=")</f>
        <v>#VALUE!</v>
      </c>
      <c r="BA9">
        <f>IF('STERLING CATALOG - DRY '!22:22,"AAAAAH1nzjQ=",0)</f>
        <v>0</v>
      </c>
      <c r="BB9" t="e">
        <f>AND('STERLING CATALOG - DRY '!A22,"AAAAAH1nzjU=")</f>
        <v>#VALUE!</v>
      </c>
      <c r="BC9" t="e">
        <f>AND('STERLING CATALOG - DRY '!B22,"AAAAAH1nzjY=")</f>
        <v>#VALUE!</v>
      </c>
      <c r="BD9" t="e">
        <f>AND('STERLING CATALOG - DRY '!C22,"AAAAAH1nzjc=")</f>
        <v>#VALUE!</v>
      </c>
      <c r="BE9" t="e">
        <f>AND('STERLING CATALOG - DRY '!D22,"AAAAAH1nzjg=")</f>
        <v>#VALUE!</v>
      </c>
      <c r="BF9" t="e">
        <f>AND('STERLING CATALOG - DRY '!E22,"AAAAAH1nzjk=")</f>
        <v>#VALUE!</v>
      </c>
      <c r="BG9" t="e">
        <f>AND('STERLING CATALOG - DRY '!F22,"AAAAAH1nzjo=")</f>
        <v>#VALUE!</v>
      </c>
      <c r="BH9" t="e">
        <f>AND('STERLING CATALOG - DRY '!G22,"AAAAAH1nzjs=")</f>
        <v>#VALUE!</v>
      </c>
      <c r="BI9" t="e">
        <f>AND('STERLING CATALOG - DRY '!H22,"AAAAAH1nzjw=")</f>
        <v>#VALUE!</v>
      </c>
      <c r="BJ9" t="e">
        <f>AND('STERLING CATALOG - DRY '!I22,"AAAAAH1nzj0=")</f>
        <v>#VALUE!</v>
      </c>
      <c r="BK9" t="e">
        <f>AND('STERLING CATALOG - DRY '!J22,"AAAAAH1nzj4=")</f>
        <v>#VALUE!</v>
      </c>
      <c r="BL9">
        <f>IF('STERLING CATALOG - DRY '!23:23,"AAAAAH1nzj8=",0)</f>
        <v>0</v>
      </c>
      <c r="BM9" t="e">
        <f>AND('STERLING CATALOG - DRY '!A23,"AAAAAH1nzkA=")</f>
        <v>#VALUE!</v>
      </c>
      <c r="BN9" t="e">
        <f>AND('STERLING CATALOG - DRY '!B23,"AAAAAH1nzkE=")</f>
        <v>#VALUE!</v>
      </c>
      <c r="BO9" t="e">
        <f>AND('STERLING CATALOG - DRY '!C23,"AAAAAH1nzkI=")</f>
        <v>#VALUE!</v>
      </c>
      <c r="BP9" t="e">
        <f>AND('STERLING CATALOG - DRY '!D23,"AAAAAH1nzkM=")</f>
        <v>#VALUE!</v>
      </c>
      <c r="BQ9" t="e">
        <f>AND('STERLING CATALOG - DRY '!E23,"AAAAAH1nzkQ=")</f>
        <v>#VALUE!</v>
      </c>
      <c r="BR9" t="e">
        <f>AND('STERLING CATALOG - DRY '!F23,"AAAAAH1nzkU=")</f>
        <v>#VALUE!</v>
      </c>
      <c r="BS9" t="e">
        <f>AND('STERLING CATALOG - DRY '!G23,"AAAAAH1nzkY=")</f>
        <v>#VALUE!</v>
      </c>
      <c r="BT9" t="e">
        <f>AND('STERLING CATALOG - DRY '!H23,"AAAAAH1nzkc=")</f>
        <v>#VALUE!</v>
      </c>
      <c r="BU9" t="e">
        <f>AND('STERLING CATALOG - DRY '!I23,"AAAAAH1nzkg=")</f>
        <v>#VALUE!</v>
      </c>
      <c r="BV9" t="e">
        <f>AND('STERLING CATALOG - DRY '!J23,"AAAAAH1nzkk=")</f>
        <v>#VALUE!</v>
      </c>
      <c r="BW9">
        <f>IF('STERLING CATALOG - DRY '!24:24,"AAAAAH1nzko=",0)</f>
        <v>0</v>
      </c>
      <c r="BX9" t="e">
        <f>AND('STERLING CATALOG - DRY '!A24,"AAAAAH1nzks=")</f>
        <v>#VALUE!</v>
      </c>
      <c r="BY9" t="e">
        <f>AND('STERLING CATALOG - DRY '!B24,"AAAAAH1nzkw=")</f>
        <v>#VALUE!</v>
      </c>
      <c r="BZ9" t="e">
        <f>AND('STERLING CATALOG - DRY '!C24,"AAAAAH1nzk0=")</f>
        <v>#VALUE!</v>
      </c>
      <c r="CA9" t="e">
        <f>AND('STERLING CATALOG - DRY '!D24,"AAAAAH1nzk4=")</f>
        <v>#VALUE!</v>
      </c>
      <c r="CB9" t="e">
        <f>AND('STERLING CATALOG - DRY '!E24,"AAAAAH1nzk8=")</f>
        <v>#VALUE!</v>
      </c>
      <c r="CC9" t="e">
        <f>AND('STERLING CATALOG - DRY '!F24,"AAAAAH1nzlA=")</f>
        <v>#VALUE!</v>
      </c>
      <c r="CD9" t="e">
        <f>AND('STERLING CATALOG - DRY '!G24,"AAAAAH1nzlE=")</f>
        <v>#VALUE!</v>
      </c>
      <c r="CE9" t="e">
        <f>AND('STERLING CATALOG - DRY '!H24,"AAAAAH1nzlI=")</f>
        <v>#VALUE!</v>
      </c>
      <c r="CF9" t="e">
        <f>AND('STERLING CATALOG - DRY '!I24,"AAAAAH1nzlM=")</f>
        <v>#VALUE!</v>
      </c>
      <c r="CG9" t="e">
        <f>AND('STERLING CATALOG - DRY '!J24,"AAAAAH1nzlQ=")</f>
        <v>#VALUE!</v>
      </c>
      <c r="CH9">
        <f>IF('STERLING CATALOG - DRY '!25:25,"AAAAAH1nzlU=",0)</f>
        <v>0</v>
      </c>
      <c r="CI9" t="e">
        <f>AND('STERLING CATALOG - DRY '!A25,"AAAAAH1nzlY=")</f>
        <v>#VALUE!</v>
      </c>
      <c r="CJ9" t="e">
        <f>AND('STERLING CATALOG - DRY '!B25,"AAAAAH1nzlc=")</f>
        <v>#VALUE!</v>
      </c>
      <c r="CK9" t="e">
        <f>AND('STERLING CATALOG - DRY '!C25,"AAAAAH1nzlg=")</f>
        <v>#VALUE!</v>
      </c>
      <c r="CL9" t="e">
        <f>AND('STERLING CATALOG - DRY '!D25,"AAAAAH1nzlk=")</f>
        <v>#VALUE!</v>
      </c>
      <c r="CM9" t="e">
        <f>AND('STERLING CATALOG - DRY '!E25,"AAAAAH1nzlo=")</f>
        <v>#VALUE!</v>
      </c>
      <c r="CN9" t="e">
        <f>AND('STERLING CATALOG - DRY '!F25,"AAAAAH1nzls=")</f>
        <v>#VALUE!</v>
      </c>
      <c r="CO9" t="e">
        <f>AND('STERLING CATALOG - DRY '!G25,"AAAAAH1nzlw=")</f>
        <v>#VALUE!</v>
      </c>
      <c r="CP9" t="e">
        <f>AND('STERLING CATALOG - DRY '!H25,"AAAAAH1nzl0=")</f>
        <v>#VALUE!</v>
      </c>
      <c r="CQ9" t="e">
        <f>AND('STERLING CATALOG - DRY '!I25,"AAAAAH1nzl4=")</f>
        <v>#VALUE!</v>
      </c>
      <c r="CR9" t="e">
        <f>AND('STERLING CATALOG - DRY '!J25,"AAAAAH1nzl8=")</f>
        <v>#VALUE!</v>
      </c>
      <c r="CS9">
        <f>IF('STERLING CATALOG - DRY '!26:26,"AAAAAH1nzmA=",0)</f>
        <v>0</v>
      </c>
      <c r="CT9" t="e">
        <f>AND('STERLING CATALOG - DRY '!A26,"AAAAAH1nzmE=")</f>
        <v>#VALUE!</v>
      </c>
      <c r="CU9" t="e">
        <f>AND('STERLING CATALOG - DRY '!B26,"AAAAAH1nzmI=")</f>
        <v>#VALUE!</v>
      </c>
      <c r="CV9" t="e">
        <f>AND('STERLING CATALOG - DRY '!C26,"AAAAAH1nzmM=")</f>
        <v>#VALUE!</v>
      </c>
      <c r="CW9" t="e">
        <f>AND('STERLING CATALOG - DRY '!D26,"AAAAAH1nzmQ=")</f>
        <v>#VALUE!</v>
      </c>
      <c r="CX9" t="e">
        <f>AND('STERLING CATALOG - DRY '!E26,"AAAAAH1nzmU=")</f>
        <v>#VALUE!</v>
      </c>
      <c r="CY9" t="e">
        <f>AND('STERLING CATALOG - DRY '!F26,"AAAAAH1nzmY=")</f>
        <v>#VALUE!</v>
      </c>
      <c r="CZ9" t="e">
        <f>AND('STERLING CATALOG - DRY '!G26,"AAAAAH1nzmc=")</f>
        <v>#VALUE!</v>
      </c>
      <c r="DA9" t="e">
        <f>AND('STERLING CATALOG - DRY '!H26,"AAAAAH1nzmg=")</f>
        <v>#VALUE!</v>
      </c>
      <c r="DB9" t="e">
        <f>AND('STERLING CATALOG - DRY '!I26,"AAAAAH1nzmk=")</f>
        <v>#VALUE!</v>
      </c>
      <c r="DC9" t="e">
        <f>AND('STERLING CATALOG - DRY '!J26,"AAAAAH1nzmo=")</f>
        <v>#VALUE!</v>
      </c>
      <c r="DD9">
        <f>IF('STERLING CATALOG - DRY '!27:27,"AAAAAH1nzms=",0)</f>
        <v>0</v>
      </c>
      <c r="DE9" t="e">
        <f>AND('STERLING CATALOG - DRY '!A27,"AAAAAH1nzmw=")</f>
        <v>#VALUE!</v>
      </c>
      <c r="DF9" t="e">
        <f>AND('STERLING CATALOG - DRY '!B27,"AAAAAH1nzm0=")</f>
        <v>#VALUE!</v>
      </c>
      <c r="DG9" t="e">
        <f>AND('STERLING CATALOG - DRY '!C27,"AAAAAH1nzm4=")</f>
        <v>#VALUE!</v>
      </c>
      <c r="DH9" t="e">
        <f>AND('STERLING CATALOG - DRY '!D27,"AAAAAH1nzm8=")</f>
        <v>#VALUE!</v>
      </c>
      <c r="DI9" t="e">
        <f>AND('STERLING CATALOG - DRY '!E27,"AAAAAH1nznA=")</f>
        <v>#VALUE!</v>
      </c>
      <c r="DJ9" t="e">
        <f>AND('STERLING CATALOG - DRY '!F27,"AAAAAH1nznE=")</f>
        <v>#VALUE!</v>
      </c>
      <c r="DK9" t="e">
        <f>AND('STERLING CATALOG - DRY '!G27,"AAAAAH1nznI=")</f>
        <v>#VALUE!</v>
      </c>
      <c r="DL9" t="e">
        <f>AND('STERLING CATALOG - DRY '!H27,"AAAAAH1nznM=")</f>
        <v>#VALUE!</v>
      </c>
      <c r="DM9" t="e">
        <f>AND('STERLING CATALOG - DRY '!I27,"AAAAAH1nznQ=")</f>
        <v>#VALUE!</v>
      </c>
      <c r="DN9" t="e">
        <f>AND('STERLING CATALOG - DRY '!J27,"AAAAAH1nznU=")</f>
        <v>#VALUE!</v>
      </c>
      <c r="DO9">
        <f>IF('STERLING CATALOG - DRY '!28:28,"AAAAAH1nznY=",0)</f>
        <v>0</v>
      </c>
      <c r="DP9" t="e">
        <f>AND('STERLING CATALOG - DRY '!A28,"AAAAAH1nznc=")</f>
        <v>#VALUE!</v>
      </c>
      <c r="DQ9" t="e">
        <f>AND('STERLING CATALOG - DRY '!B28,"AAAAAH1nzng=")</f>
        <v>#VALUE!</v>
      </c>
      <c r="DR9" t="e">
        <f>AND('STERLING CATALOG - DRY '!C28,"AAAAAH1nznk=")</f>
        <v>#VALUE!</v>
      </c>
      <c r="DS9" t="e">
        <f>AND('STERLING CATALOG - DRY '!D28,"AAAAAH1nzno=")</f>
        <v>#VALUE!</v>
      </c>
      <c r="DT9" t="e">
        <f>AND('STERLING CATALOG - DRY '!E28,"AAAAAH1nzns=")</f>
        <v>#VALUE!</v>
      </c>
      <c r="DU9" t="e">
        <f>AND('STERLING CATALOG - DRY '!F28,"AAAAAH1nznw=")</f>
        <v>#VALUE!</v>
      </c>
      <c r="DV9" t="e">
        <f>AND('STERLING CATALOG - DRY '!G28,"AAAAAH1nzn0=")</f>
        <v>#VALUE!</v>
      </c>
      <c r="DW9" t="e">
        <f>AND('STERLING CATALOG - DRY '!H28,"AAAAAH1nzn4=")</f>
        <v>#VALUE!</v>
      </c>
      <c r="DX9" t="e">
        <f>AND('STERLING CATALOG - DRY '!I28,"AAAAAH1nzn8=")</f>
        <v>#VALUE!</v>
      </c>
      <c r="DY9" t="e">
        <f>AND('STERLING CATALOG - DRY '!J28,"AAAAAH1nzoA=")</f>
        <v>#VALUE!</v>
      </c>
      <c r="DZ9">
        <f>IF('STERLING CATALOG - DRY '!29:29,"AAAAAH1nzoE=",0)</f>
        <v>0</v>
      </c>
      <c r="EA9" t="e">
        <f>AND('STERLING CATALOG - DRY '!A29,"AAAAAH1nzoI=")</f>
        <v>#VALUE!</v>
      </c>
      <c r="EB9" t="e">
        <f>AND('STERLING CATALOG - DRY '!B29,"AAAAAH1nzoM=")</f>
        <v>#VALUE!</v>
      </c>
      <c r="EC9" t="e">
        <f>AND('STERLING CATALOG - DRY '!C29,"AAAAAH1nzoQ=")</f>
        <v>#VALUE!</v>
      </c>
      <c r="ED9" t="e">
        <f>AND('STERLING CATALOG - DRY '!D29,"AAAAAH1nzoU=")</f>
        <v>#VALUE!</v>
      </c>
      <c r="EE9" t="e">
        <f>AND('STERLING CATALOG - DRY '!E29,"AAAAAH1nzoY=")</f>
        <v>#VALUE!</v>
      </c>
      <c r="EF9" t="e">
        <f>AND('STERLING CATALOG - DRY '!F29,"AAAAAH1nzoc=")</f>
        <v>#VALUE!</v>
      </c>
      <c r="EG9" t="e">
        <f>AND('STERLING CATALOG - DRY '!G29,"AAAAAH1nzog=")</f>
        <v>#VALUE!</v>
      </c>
      <c r="EH9" t="e">
        <f>AND('STERLING CATALOG - DRY '!H29,"AAAAAH1nzok=")</f>
        <v>#VALUE!</v>
      </c>
      <c r="EI9" t="e">
        <f>AND('STERLING CATALOG - DRY '!I29,"AAAAAH1nzoo=")</f>
        <v>#VALUE!</v>
      </c>
      <c r="EJ9" t="e">
        <f>AND('STERLING CATALOG - DRY '!J29,"AAAAAH1nzos=")</f>
        <v>#VALUE!</v>
      </c>
      <c r="EK9">
        <f>IF('STERLING CATALOG - DRY '!30:30,"AAAAAH1nzow=",0)</f>
        <v>0</v>
      </c>
      <c r="EL9" t="e">
        <f>AND('STERLING CATALOG - DRY '!A30,"AAAAAH1nzo0=")</f>
        <v>#VALUE!</v>
      </c>
      <c r="EM9" t="e">
        <f>AND('STERLING CATALOG - DRY '!B30,"AAAAAH1nzo4=")</f>
        <v>#VALUE!</v>
      </c>
      <c r="EN9" t="e">
        <f>AND('STERLING CATALOG - DRY '!C30,"AAAAAH1nzo8=")</f>
        <v>#VALUE!</v>
      </c>
      <c r="EO9" t="e">
        <f>AND('STERLING CATALOG - DRY '!D30,"AAAAAH1nzpA=")</f>
        <v>#VALUE!</v>
      </c>
      <c r="EP9" t="e">
        <f>AND('STERLING CATALOG - DRY '!E30,"AAAAAH1nzpE=")</f>
        <v>#VALUE!</v>
      </c>
      <c r="EQ9" t="e">
        <f>AND('STERLING CATALOG - DRY '!F30,"AAAAAH1nzpI=")</f>
        <v>#VALUE!</v>
      </c>
      <c r="ER9" t="e">
        <f>AND('STERLING CATALOG - DRY '!G30,"AAAAAH1nzpM=")</f>
        <v>#VALUE!</v>
      </c>
      <c r="ES9" t="e">
        <f>AND('STERLING CATALOG - DRY '!H30,"AAAAAH1nzpQ=")</f>
        <v>#VALUE!</v>
      </c>
      <c r="ET9" t="e">
        <f>AND('STERLING CATALOG - DRY '!I30,"AAAAAH1nzpU=")</f>
        <v>#VALUE!</v>
      </c>
      <c r="EU9" t="e">
        <f>AND('STERLING CATALOG - DRY '!J30,"AAAAAH1nzpY=")</f>
        <v>#VALUE!</v>
      </c>
      <c r="EV9">
        <f>IF('STERLING CATALOG - DRY '!31:31,"AAAAAH1nzpc=",0)</f>
        <v>0</v>
      </c>
      <c r="EW9" t="e">
        <f>AND('STERLING CATALOG - DRY '!A31,"AAAAAH1nzpg=")</f>
        <v>#VALUE!</v>
      </c>
      <c r="EX9" t="e">
        <f>AND('STERLING CATALOG - DRY '!B31,"AAAAAH1nzpk=")</f>
        <v>#VALUE!</v>
      </c>
      <c r="EY9" t="e">
        <f>AND('STERLING CATALOG - DRY '!C31,"AAAAAH1nzpo=")</f>
        <v>#VALUE!</v>
      </c>
      <c r="EZ9" t="e">
        <f>AND('STERLING CATALOG - DRY '!D31,"AAAAAH1nzps=")</f>
        <v>#VALUE!</v>
      </c>
      <c r="FA9" t="e">
        <f>AND('STERLING CATALOG - DRY '!E31,"AAAAAH1nzpw=")</f>
        <v>#VALUE!</v>
      </c>
      <c r="FB9" t="e">
        <f>AND('STERLING CATALOG - DRY '!F31,"AAAAAH1nzp0=")</f>
        <v>#VALUE!</v>
      </c>
      <c r="FC9" t="e">
        <f>AND('STERLING CATALOG - DRY '!G31,"AAAAAH1nzp4=")</f>
        <v>#VALUE!</v>
      </c>
      <c r="FD9" t="e">
        <f>AND('STERLING CATALOG - DRY '!H31,"AAAAAH1nzp8=")</f>
        <v>#VALUE!</v>
      </c>
      <c r="FE9" t="e">
        <f>AND('STERLING CATALOG - DRY '!I31,"AAAAAH1nzqA=")</f>
        <v>#VALUE!</v>
      </c>
      <c r="FF9" t="e">
        <f>AND('STERLING CATALOG - DRY '!J31,"AAAAAH1nzqE=")</f>
        <v>#VALUE!</v>
      </c>
      <c r="FG9">
        <f>IF('STERLING CATALOG - DRY '!32:32,"AAAAAH1nzqI=",0)</f>
        <v>0</v>
      </c>
      <c r="FH9" t="e">
        <f>AND('STERLING CATALOG - DRY '!A32,"AAAAAH1nzqM=")</f>
        <v>#VALUE!</v>
      </c>
      <c r="FI9" t="e">
        <f>AND('STERLING CATALOG - DRY '!B32,"AAAAAH1nzqQ=")</f>
        <v>#VALUE!</v>
      </c>
      <c r="FJ9" t="e">
        <f>AND('STERLING CATALOG - DRY '!C32,"AAAAAH1nzqU=")</f>
        <v>#VALUE!</v>
      </c>
      <c r="FK9" t="e">
        <f>AND('STERLING CATALOG - DRY '!D32,"AAAAAH1nzqY=")</f>
        <v>#VALUE!</v>
      </c>
      <c r="FL9" t="e">
        <f>AND('STERLING CATALOG - DRY '!E32,"AAAAAH1nzqc=")</f>
        <v>#VALUE!</v>
      </c>
      <c r="FM9" t="e">
        <f>AND('STERLING CATALOG - DRY '!F32,"AAAAAH1nzqg=")</f>
        <v>#VALUE!</v>
      </c>
      <c r="FN9" t="e">
        <f>AND('STERLING CATALOG - DRY '!G32,"AAAAAH1nzqk=")</f>
        <v>#VALUE!</v>
      </c>
      <c r="FO9" t="e">
        <f>AND('STERLING CATALOG - DRY '!H32,"AAAAAH1nzqo=")</f>
        <v>#VALUE!</v>
      </c>
      <c r="FP9" t="e">
        <f>AND('STERLING CATALOG - DRY '!I32,"AAAAAH1nzqs=")</f>
        <v>#VALUE!</v>
      </c>
      <c r="FQ9" t="e">
        <f>AND('STERLING CATALOG - DRY '!J32,"AAAAAH1nzqw=")</f>
        <v>#VALUE!</v>
      </c>
      <c r="FR9">
        <f>IF('STERLING CATALOG - DRY '!33:33,"AAAAAH1nzq0=",0)</f>
        <v>0</v>
      </c>
      <c r="FS9" t="e">
        <f>AND('STERLING CATALOG - DRY '!A33,"AAAAAH1nzq4=")</f>
        <v>#VALUE!</v>
      </c>
      <c r="FT9" t="e">
        <f>AND('STERLING CATALOG - DRY '!B33,"AAAAAH1nzq8=")</f>
        <v>#VALUE!</v>
      </c>
      <c r="FU9" t="e">
        <f>AND('STERLING CATALOG - DRY '!C33,"AAAAAH1nzrA=")</f>
        <v>#VALUE!</v>
      </c>
      <c r="FV9" t="e">
        <f>AND('STERLING CATALOG - DRY '!D33,"AAAAAH1nzrE=")</f>
        <v>#VALUE!</v>
      </c>
      <c r="FW9" t="e">
        <f>AND('STERLING CATALOG - DRY '!E33,"AAAAAH1nzrI=")</f>
        <v>#VALUE!</v>
      </c>
      <c r="FX9" t="e">
        <f>AND('STERLING CATALOG - DRY '!F33,"AAAAAH1nzrM=")</f>
        <v>#VALUE!</v>
      </c>
      <c r="FY9" t="e">
        <f>AND('STERLING CATALOG - DRY '!G33,"AAAAAH1nzrQ=")</f>
        <v>#VALUE!</v>
      </c>
      <c r="FZ9" t="e">
        <f>AND('STERLING CATALOG - DRY '!H33,"AAAAAH1nzrU=")</f>
        <v>#VALUE!</v>
      </c>
      <c r="GA9" t="e">
        <f>AND('STERLING CATALOG - DRY '!I33,"AAAAAH1nzrY=")</f>
        <v>#VALUE!</v>
      </c>
      <c r="GB9" t="e">
        <f>AND('STERLING CATALOG - DRY '!J33,"AAAAAH1nzrc=")</f>
        <v>#VALUE!</v>
      </c>
      <c r="GC9">
        <f>IF('STERLING CATALOG - DRY '!34:34,"AAAAAH1nzrg=",0)</f>
        <v>0</v>
      </c>
      <c r="GD9" t="e">
        <f>AND('STERLING CATALOG - DRY '!A34,"AAAAAH1nzrk=")</f>
        <v>#VALUE!</v>
      </c>
      <c r="GE9" t="e">
        <f>AND('STERLING CATALOG - DRY '!B34,"AAAAAH1nzro=")</f>
        <v>#VALUE!</v>
      </c>
      <c r="GF9" t="e">
        <f>AND('STERLING CATALOG - DRY '!C34,"AAAAAH1nzrs=")</f>
        <v>#VALUE!</v>
      </c>
      <c r="GG9" t="e">
        <f>AND('STERLING CATALOG - DRY '!D34,"AAAAAH1nzrw=")</f>
        <v>#VALUE!</v>
      </c>
      <c r="GH9" t="e">
        <f>AND('STERLING CATALOG - DRY '!E34,"AAAAAH1nzr0=")</f>
        <v>#VALUE!</v>
      </c>
      <c r="GI9" t="e">
        <f>AND('STERLING CATALOG - DRY '!F34,"AAAAAH1nzr4=")</f>
        <v>#VALUE!</v>
      </c>
      <c r="GJ9" t="e">
        <f>AND('STERLING CATALOG - DRY '!G34,"AAAAAH1nzr8=")</f>
        <v>#VALUE!</v>
      </c>
      <c r="GK9" t="e">
        <f>AND('STERLING CATALOG - DRY '!H34,"AAAAAH1nzsA=")</f>
        <v>#VALUE!</v>
      </c>
      <c r="GL9" t="e">
        <f>AND('STERLING CATALOG - DRY '!I34,"AAAAAH1nzsE=")</f>
        <v>#VALUE!</v>
      </c>
      <c r="GM9" t="e">
        <f>AND('STERLING CATALOG - DRY '!J34,"AAAAAH1nzsI=")</f>
        <v>#VALUE!</v>
      </c>
      <c r="GN9">
        <f>IF('STERLING CATALOG - DRY '!35:35,"AAAAAH1nzsM=",0)</f>
        <v>0</v>
      </c>
      <c r="GO9" t="e">
        <f>AND('STERLING CATALOG - DRY '!A35,"AAAAAH1nzsQ=")</f>
        <v>#VALUE!</v>
      </c>
      <c r="GP9" t="e">
        <f>AND('STERLING CATALOG - DRY '!B35,"AAAAAH1nzsU=")</f>
        <v>#VALUE!</v>
      </c>
      <c r="GQ9" t="e">
        <f>AND('STERLING CATALOG - DRY '!C35,"AAAAAH1nzsY=")</f>
        <v>#VALUE!</v>
      </c>
      <c r="GR9" t="e">
        <f>AND('STERLING CATALOG - DRY '!D35,"AAAAAH1nzsc=")</f>
        <v>#VALUE!</v>
      </c>
      <c r="GS9" t="e">
        <f>AND('STERLING CATALOG - DRY '!E35,"AAAAAH1nzsg=")</f>
        <v>#VALUE!</v>
      </c>
      <c r="GT9" t="e">
        <f>AND('STERLING CATALOG - DRY '!F35,"AAAAAH1nzsk=")</f>
        <v>#VALUE!</v>
      </c>
      <c r="GU9" t="e">
        <f>AND('STERLING CATALOG - DRY '!G35,"AAAAAH1nzso=")</f>
        <v>#VALUE!</v>
      </c>
      <c r="GV9" t="e">
        <f>AND('STERLING CATALOG - DRY '!H35,"AAAAAH1nzss=")</f>
        <v>#VALUE!</v>
      </c>
      <c r="GW9" t="e">
        <f>AND('STERLING CATALOG - DRY '!I35,"AAAAAH1nzsw=")</f>
        <v>#VALUE!</v>
      </c>
      <c r="GX9" t="e">
        <f>AND('STERLING CATALOG - DRY '!J35,"AAAAAH1nzs0=")</f>
        <v>#VALUE!</v>
      </c>
      <c r="GY9">
        <f>IF('STERLING CATALOG - DRY '!36:36,"AAAAAH1nzs4=",0)</f>
        <v>0</v>
      </c>
      <c r="GZ9" t="e">
        <f>AND('STERLING CATALOG - DRY '!A36,"AAAAAH1nzs8=")</f>
        <v>#VALUE!</v>
      </c>
      <c r="HA9" t="e">
        <f>AND('STERLING CATALOG - DRY '!B36,"AAAAAH1nztA=")</f>
        <v>#VALUE!</v>
      </c>
      <c r="HB9" t="e">
        <f>AND('STERLING CATALOG - DRY '!C36,"AAAAAH1nztE=")</f>
        <v>#VALUE!</v>
      </c>
      <c r="HC9" t="e">
        <f>AND('STERLING CATALOG - DRY '!D36,"AAAAAH1nztI=")</f>
        <v>#VALUE!</v>
      </c>
      <c r="HD9" t="e">
        <f>AND('STERLING CATALOG - DRY '!E36,"AAAAAH1nztM=")</f>
        <v>#VALUE!</v>
      </c>
      <c r="HE9" t="e">
        <f>AND('STERLING CATALOG - DRY '!F36,"AAAAAH1nztQ=")</f>
        <v>#VALUE!</v>
      </c>
      <c r="HF9" t="e">
        <f>AND('STERLING CATALOG - DRY '!G36,"AAAAAH1nztU=")</f>
        <v>#VALUE!</v>
      </c>
      <c r="HG9" t="e">
        <f>AND('STERLING CATALOG - DRY '!H36,"AAAAAH1nztY=")</f>
        <v>#VALUE!</v>
      </c>
      <c r="HH9" t="e">
        <f>AND('STERLING CATALOG - DRY '!I36,"AAAAAH1nztc=")</f>
        <v>#VALUE!</v>
      </c>
      <c r="HI9" t="e">
        <f>AND('STERLING CATALOG - DRY '!J36,"AAAAAH1nztg=")</f>
        <v>#VALUE!</v>
      </c>
      <c r="HJ9">
        <f>IF('STERLING CATALOG - DRY '!37:37,"AAAAAH1nztk=",0)</f>
        <v>0</v>
      </c>
      <c r="HK9" t="e">
        <f>AND('STERLING CATALOG - DRY '!A37,"AAAAAH1nzto=")</f>
        <v>#VALUE!</v>
      </c>
      <c r="HL9" t="e">
        <f>AND('STERLING CATALOG - DRY '!B37,"AAAAAH1nzts=")</f>
        <v>#VALUE!</v>
      </c>
      <c r="HM9" t="e">
        <f>AND('STERLING CATALOG - DRY '!C37,"AAAAAH1nztw=")</f>
        <v>#VALUE!</v>
      </c>
      <c r="HN9" t="e">
        <f>AND('STERLING CATALOG - DRY '!D37,"AAAAAH1nzt0=")</f>
        <v>#VALUE!</v>
      </c>
      <c r="HO9" t="e">
        <f>AND('STERLING CATALOG - DRY '!E37,"AAAAAH1nzt4=")</f>
        <v>#VALUE!</v>
      </c>
      <c r="HP9" t="e">
        <f>AND('STERLING CATALOG - DRY '!F37,"AAAAAH1nzt8=")</f>
        <v>#VALUE!</v>
      </c>
      <c r="HQ9" t="e">
        <f>AND('STERLING CATALOG - DRY '!G37,"AAAAAH1nzuA=")</f>
        <v>#VALUE!</v>
      </c>
      <c r="HR9" t="e">
        <f>AND('STERLING CATALOG - DRY '!H37,"AAAAAH1nzuE=")</f>
        <v>#VALUE!</v>
      </c>
      <c r="HS9" t="e">
        <f>AND('STERLING CATALOG - DRY '!I37,"AAAAAH1nzuI=")</f>
        <v>#VALUE!</v>
      </c>
      <c r="HT9" t="e">
        <f>AND('STERLING CATALOG - DRY '!J37,"AAAAAH1nzuM=")</f>
        <v>#VALUE!</v>
      </c>
      <c r="HU9">
        <f>IF('STERLING CATALOG - DRY '!38:38,"AAAAAH1nzuQ=",0)</f>
        <v>0</v>
      </c>
      <c r="HV9" t="e">
        <f>AND('STERLING CATALOG - DRY '!A38,"AAAAAH1nzuU=")</f>
        <v>#VALUE!</v>
      </c>
      <c r="HW9" t="e">
        <f>AND('STERLING CATALOG - DRY '!B38,"AAAAAH1nzuY=")</f>
        <v>#VALUE!</v>
      </c>
      <c r="HX9" t="e">
        <f>AND('STERLING CATALOG - DRY '!C38,"AAAAAH1nzuc=")</f>
        <v>#VALUE!</v>
      </c>
      <c r="HY9" t="e">
        <f>AND('STERLING CATALOG - DRY '!D38,"AAAAAH1nzug=")</f>
        <v>#VALUE!</v>
      </c>
      <c r="HZ9" t="e">
        <f>AND('STERLING CATALOG - DRY '!E38,"AAAAAH1nzuk=")</f>
        <v>#VALUE!</v>
      </c>
      <c r="IA9" t="e">
        <f>AND('STERLING CATALOG - DRY '!F38,"AAAAAH1nzuo=")</f>
        <v>#VALUE!</v>
      </c>
      <c r="IB9" t="e">
        <f>AND('STERLING CATALOG - DRY '!G38,"AAAAAH1nzus=")</f>
        <v>#VALUE!</v>
      </c>
      <c r="IC9" t="e">
        <f>AND('STERLING CATALOG - DRY '!H38,"AAAAAH1nzuw=")</f>
        <v>#VALUE!</v>
      </c>
      <c r="ID9" t="e">
        <f>AND('STERLING CATALOG - DRY '!I38,"AAAAAH1nzu0=")</f>
        <v>#VALUE!</v>
      </c>
      <c r="IE9" t="e">
        <f>AND('STERLING CATALOG - DRY '!J38,"AAAAAH1nzu4=")</f>
        <v>#VALUE!</v>
      </c>
      <c r="IF9">
        <f>IF('STERLING CATALOG - DRY '!39:39,"AAAAAH1nzu8=",0)</f>
        <v>0</v>
      </c>
      <c r="IG9" t="e">
        <f>AND('STERLING CATALOG - DRY '!A39,"AAAAAH1nzvA=")</f>
        <v>#VALUE!</v>
      </c>
      <c r="IH9" t="e">
        <f>AND('STERLING CATALOG - DRY '!B39,"AAAAAH1nzvE=")</f>
        <v>#VALUE!</v>
      </c>
      <c r="II9" t="e">
        <f>AND('STERLING CATALOG - DRY '!C39,"AAAAAH1nzvI=")</f>
        <v>#VALUE!</v>
      </c>
      <c r="IJ9" t="e">
        <f>AND('STERLING CATALOG - DRY '!D39,"AAAAAH1nzvM=")</f>
        <v>#VALUE!</v>
      </c>
      <c r="IK9" t="e">
        <f>AND('STERLING CATALOG - DRY '!E39,"AAAAAH1nzvQ=")</f>
        <v>#VALUE!</v>
      </c>
      <c r="IL9" t="e">
        <f>AND('STERLING CATALOG - DRY '!F39,"AAAAAH1nzvU=")</f>
        <v>#VALUE!</v>
      </c>
      <c r="IM9" t="e">
        <f>AND('STERLING CATALOG - DRY '!G39,"AAAAAH1nzvY=")</f>
        <v>#VALUE!</v>
      </c>
      <c r="IN9" t="e">
        <f>AND('STERLING CATALOG - DRY '!H39,"AAAAAH1nzvc=")</f>
        <v>#VALUE!</v>
      </c>
      <c r="IO9" t="e">
        <f>AND('STERLING CATALOG - DRY '!I39,"AAAAAH1nzvg=")</f>
        <v>#VALUE!</v>
      </c>
      <c r="IP9" t="e">
        <f>AND('STERLING CATALOG - DRY '!J39,"AAAAAH1nzvk=")</f>
        <v>#VALUE!</v>
      </c>
      <c r="IQ9">
        <f>IF('STERLING CATALOG - DRY '!40:40,"AAAAAH1nzvo=",0)</f>
        <v>0</v>
      </c>
      <c r="IR9" t="e">
        <f>AND('STERLING CATALOG - DRY '!A40,"AAAAAH1nzvs=")</f>
        <v>#VALUE!</v>
      </c>
      <c r="IS9" t="e">
        <f>AND('STERLING CATALOG - DRY '!B40,"AAAAAH1nzvw=")</f>
        <v>#VALUE!</v>
      </c>
      <c r="IT9" t="e">
        <f>AND('STERLING CATALOG - DRY '!C40,"AAAAAH1nzv0=")</f>
        <v>#VALUE!</v>
      </c>
      <c r="IU9" t="e">
        <f>AND('STERLING CATALOG - DRY '!D40,"AAAAAH1nzv4=")</f>
        <v>#VALUE!</v>
      </c>
      <c r="IV9" t="e">
        <f>AND('STERLING CATALOG - DRY '!E40,"AAAAAH1nzv8=")</f>
        <v>#VALUE!</v>
      </c>
    </row>
    <row r="10" spans="1:256">
      <c r="A10" t="e">
        <f>AND('STERLING CATALOG - DRY '!F40,"AAAAAH//tQA=")</f>
        <v>#VALUE!</v>
      </c>
      <c r="B10" t="e">
        <f>AND('STERLING CATALOG - DRY '!G40,"AAAAAH//tQE=")</f>
        <v>#VALUE!</v>
      </c>
      <c r="C10" t="e">
        <f>AND('STERLING CATALOG - DRY '!H40,"AAAAAH//tQI=")</f>
        <v>#VALUE!</v>
      </c>
      <c r="D10" t="e">
        <f>AND('STERLING CATALOG - DRY '!I40,"AAAAAH//tQM=")</f>
        <v>#VALUE!</v>
      </c>
      <c r="E10" t="e">
        <f>AND('STERLING CATALOG - DRY '!J40,"AAAAAH//tQQ=")</f>
        <v>#VALUE!</v>
      </c>
      <c r="F10" t="str">
        <f>IF('STERLING CATALOG - DRY '!41:41,"AAAAAH//tQU=",0)</f>
        <v>AAAAAH//tQU=</v>
      </c>
      <c r="G10" t="e">
        <f>AND('STERLING CATALOG - DRY '!A41,"AAAAAH//tQY=")</f>
        <v>#VALUE!</v>
      </c>
      <c r="H10" t="e">
        <f>AND('STERLING CATALOG - DRY '!B41,"AAAAAH//tQc=")</f>
        <v>#VALUE!</v>
      </c>
      <c r="I10" t="e">
        <f>AND('STERLING CATALOG - DRY '!C41,"AAAAAH//tQg=")</f>
        <v>#VALUE!</v>
      </c>
      <c r="J10" t="e">
        <f>AND('STERLING CATALOG - DRY '!D41,"AAAAAH//tQk=")</f>
        <v>#VALUE!</v>
      </c>
      <c r="K10" t="e">
        <f>AND('STERLING CATALOG - DRY '!E41,"AAAAAH//tQo=")</f>
        <v>#VALUE!</v>
      </c>
      <c r="L10" t="e">
        <f>AND('STERLING CATALOG - DRY '!F41,"AAAAAH//tQs=")</f>
        <v>#VALUE!</v>
      </c>
      <c r="M10" t="e">
        <f>AND('STERLING CATALOG - DRY '!G41,"AAAAAH//tQw=")</f>
        <v>#VALUE!</v>
      </c>
      <c r="N10" t="e">
        <f>AND('STERLING CATALOG - DRY '!H41,"AAAAAH//tQ0=")</f>
        <v>#VALUE!</v>
      </c>
      <c r="O10" t="e">
        <f>AND('STERLING CATALOG - DRY '!I41,"AAAAAH//tQ4=")</f>
        <v>#VALUE!</v>
      </c>
      <c r="P10" t="e">
        <f>AND('STERLING CATALOG - DRY '!J41,"AAAAAH//tQ8=")</f>
        <v>#VALUE!</v>
      </c>
      <c r="Q10">
        <f>IF('STERLING CATALOG - DRY '!42:42,"AAAAAH//tRA=",0)</f>
        <v>0</v>
      </c>
      <c r="R10" t="e">
        <f>AND('STERLING CATALOG - DRY '!A42,"AAAAAH//tRE=")</f>
        <v>#VALUE!</v>
      </c>
      <c r="S10" t="e">
        <f>AND('STERLING CATALOG - DRY '!B42,"AAAAAH//tRI=")</f>
        <v>#VALUE!</v>
      </c>
      <c r="T10" t="e">
        <f>AND('STERLING CATALOG - DRY '!C42,"AAAAAH//tRM=")</f>
        <v>#VALUE!</v>
      </c>
      <c r="U10" t="e">
        <f>AND('STERLING CATALOG - DRY '!D42,"AAAAAH//tRQ=")</f>
        <v>#VALUE!</v>
      </c>
      <c r="V10" t="e">
        <f>AND('STERLING CATALOG - DRY '!E42,"AAAAAH//tRU=")</f>
        <v>#VALUE!</v>
      </c>
      <c r="W10" t="e">
        <f>AND('STERLING CATALOG - DRY '!F42,"AAAAAH//tRY=")</f>
        <v>#VALUE!</v>
      </c>
      <c r="X10" t="e">
        <f>AND('STERLING CATALOG - DRY '!G42,"AAAAAH//tRc=")</f>
        <v>#VALUE!</v>
      </c>
      <c r="Y10" t="e">
        <f>AND('STERLING CATALOG - DRY '!H42,"AAAAAH//tRg=")</f>
        <v>#VALUE!</v>
      </c>
      <c r="Z10" t="e">
        <f>AND('STERLING CATALOG - DRY '!I42,"AAAAAH//tRk=")</f>
        <v>#VALUE!</v>
      </c>
      <c r="AA10" t="e">
        <f>AND('STERLING CATALOG - DRY '!J42,"AAAAAH//tRo=")</f>
        <v>#VALUE!</v>
      </c>
      <c r="AB10">
        <f>IF('STERLING CATALOG - DRY '!43:43,"AAAAAH//tRs=",0)</f>
        <v>0</v>
      </c>
      <c r="AC10" t="e">
        <f>AND('STERLING CATALOG - DRY '!A43,"AAAAAH//tRw=")</f>
        <v>#VALUE!</v>
      </c>
      <c r="AD10" t="e">
        <f>AND('STERLING CATALOG - DRY '!B43,"AAAAAH//tR0=")</f>
        <v>#VALUE!</v>
      </c>
      <c r="AE10" t="e">
        <f>AND('STERLING CATALOG - DRY '!C43,"AAAAAH//tR4=")</f>
        <v>#VALUE!</v>
      </c>
      <c r="AF10" t="e">
        <f>AND('STERLING CATALOG - DRY '!D43,"AAAAAH//tR8=")</f>
        <v>#VALUE!</v>
      </c>
      <c r="AG10" t="e">
        <f>AND('STERLING CATALOG - DRY '!E43,"AAAAAH//tSA=")</f>
        <v>#VALUE!</v>
      </c>
      <c r="AH10" t="e">
        <f>AND('STERLING CATALOG - DRY '!F43,"AAAAAH//tSE=")</f>
        <v>#VALUE!</v>
      </c>
      <c r="AI10" t="e">
        <f>AND('STERLING CATALOG - DRY '!G43,"AAAAAH//tSI=")</f>
        <v>#VALUE!</v>
      </c>
      <c r="AJ10" t="e">
        <f>AND('STERLING CATALOG - DRY '!H43,"AAAAAH//tSM=")</f>
        <v>#VALUE!</v>
      </c>
      <c r="AK10" t="e">
        <f>AND('STERLING CATALOG - DRY '!I43,"AAAAAH//tSQ=")</f>
        <v>#VALUE!</v>
      </c>
      <c r="AL10" t="e">
        <f>AND('STERLING CATALOG - DRY '!J43,"AAAAAH//tSU=")</f>
        <v>#VALUE!</v>
      </c>
      <c r="AM10">
        <f>IF('STERLING CATALOG - DRY '!44:44,"AAAAAH//tSY=",0)</f>
        <v>0</v>
      </c>
      <c r="AN10" t="e">
        <f>AND('STERLING CATALOG - DRY '!A44,"AAAAAH//tSc=")</f>
        <v>#VALUE!</v>
      </c>
      <c r="AO10" t="e">
        <f>AND('STERLING CATALOG - DRY '!B44,"AAAAAH//tSg=")</f>
        <v>#VALUE!</v>
      </c>
      <c r="AP10" t="e">
        <f>AND('STERLING CATALOG - DRY '!C44,"AAAAAH//tSk=")</f>
        <v>#VALUE!</v>
      </c>
      <c r="AQ10" t="e">
        <f>AND('STERLING CATALOG - DRY '!D44,"AAAAAH//tSo=")</f>
        <v>#VALUE!</v>
      </c>
      <c r="AR10" t="e">
        <f>AND('STERLING CATALOG - DRY '!E44,"AAAAAH//tSs=")</f>
        <v>#VALUE!</v>
      </c>
      <c r="AS10" t="e">
        <f>AND('STERLING CATALOG - DRY '!F44,"AAAAAH//tSw=")</f>
        <v>#VALUE!</v>
      </c>
      <c r="AT10" t="e">
        <f>AND('STERLING CATALOG - DRY '!G44,"AAAAAH//tS0=")</f>
        <v>#VALUE!</v>
      </c>
      <c r="AU10" t="e">
        <f>AND('STERLING CATALOG - DRY '!H44,"AAAAAH//tS4=")</f>
        <v>#VALUE!</v>
      </c>
      <c r="AV10" t="e">
        <f>AND('STERLING CATALOG - DRY '!I44,"AAAAAH//tS8=")</f>
        <v>#VALUE!</v>
      </c>
      <c r="AW10" t="e">
        <f>AND('STERLING CATALOG - DRY '!J44,"AAAAAH//tTA=")</f>
        <v>#VALUE!</v>
      </c>
      <c r="AX10">
        <f>IF('STERLING CATALOG - DRY '!45:45,"AAAAAH//tTE=",0)</f>
        <v>0</v>
      </c>
      <c r="AY10" t="e">
        <f>AND('STERLING CATALOG - DRY '!A45,"AAAAAH//tTI=")</f>
        <v>#VALUE!</v>
      </c>
      <c r="AZ10" t="e">
        <f>AND('STERLING CATALOG - DRY '!B45,"AAAAAH//tTM=")</f>
        <v>#VALUE!</v>
      </c>
      <c r="BA10" t="e">
        <f>AND('STERLING CATALOG - DRY '!C45,"AAAAAH//tTQ=")</f>
        <v>#VALUE!</v>
      </c>
      <c r="BB10" t="e">
        <f>AND('STERLING CATALOG - DRY '!D45,"AAAAAH//tTU=")</f>
        <v>#VALUE!</v>
      </c>
      <c r="BC10" t="e">
        <f>AND('STERLING CATALOG - DRY '!E45,"AAAAAH//tTY=")</f>
        <v>#VALUE!</v>
      </c>
      <c r="BD10" t="e">
        <f>AND('STERLING CATALOG - DRY '!F45,"AAAAAH//tTc=")</f>
        <v>#VALUE!</v>
      </c>
      <c r="BE10" t="e">
        <f>AND('STERLING CATALOG - DRY '!G45,"AAAAAH//tTg=")</f>
        <v>#VALUE!</v>
      </c>
      <c r="BF10" t="e">
        <f>AND('STERLING CATALOG - DRY '!H45,"AAAAAH//tTk=")</f>
        <v>#VALUE!</v>
      </c>
      <c r="BG10" t="e">
        <f>AND('STERLING CATALOG - DRY '!I45,"AAAAAH//tTo=")</f>
        <v>#VALUE!</v>
      </c>
      <c r="BH10" t="e">
        <f>AND('STERLING CATALOG - DRY '!J45,"AAAAAH//tTs=")</f>
        <v>#VALUE!</v>
      </c>
      <c r="BI10">
        <f>IF('STERLING CATALOG - DRY '!46:46,"AAAAAH//tTw=",0)</f>
        <v>0</v>
      </c>
      <c r="BJ10" t="e">
        <f>AND('STERLING CATALOG - DRY '!A46,"AAAAAH//tT0=")</f>
        <v>#VALUE!</v>
      </c>
      <c r="BK10" t="e">
        <f>AND('STERLING CATALOG - DRY '!B46,"AAAAAH//tT4=")</f>
        <v>#VALUE!</v>
      </c>
      <c r="BL10" t="e">
        <f>AND('STERLING CATALOG - DRY '!C46,"AAAAAH//tT8=")</f>
        <v>#VALUE!</v>
      </c>
      <c r="BM10" t="e">
        <f>AND('STERLING CATALOG - DRY '!D46,"AAAAAH//tUA=")</f>
        <v>#VALUE!</v>
      </c>
      <c r="BN10" t="e">
        <f>AND('STERLING CATALOG - DRY '!E46,"AAAAAH//tUE=")</f>
        <v>#VALUE!</v>
      </c>
      <c r="BO10" t="e">
        <f>AND('STERLING CATALOG - DRY '!F46,"AAAAAH//tUI=")</f>
        <v>#VALUE!</v>
      </c>
      <c r="BP10" t="e">
        <f>AND('STERLING CATALOG - DRY '!G46,"AAAAAH//tUM=")</f>
        <v>#VALUE!</v>
      </c>
      <c r="BQ10" t="e">
        <f>AND('STERLING CATALOG - DRY '!H46,"AAAAAH//tUQ=")</f>
        <v>#VALUE!</v>
      </c>
      <c r="BR10" t="e">
        <f>AND('STERLING CATALOG - DRY '!I46,"AAAAAH//tUU=")</f>
        <v>#VALUE!</v>
      </c>
      <c r="BS10" t="e">
        <f>AND('STERLING CATALOG - DRY '!J46,"AAAAAH//tUY=")</f>
        <v>#VALUE!</v>
      </c>
      <c r="BT10">
        <f>IF('STERLING CATALOG - DRY '!47:47,"AAAAAH//tUc=",0)</f>
        <v>0</v>
      </c>
      <c r="BU10" t="e">
        <f>AND('STERLING CATALOG - DRY '!A47,"AAAAAH//tUg=")</f>
        <v>#VALUE!</v>
      </c>
      <c r="BV10" t="e">
        <f>AND('STERLING CATALOG - DRY '!B47,"AAAAAH//tUk=")</f>
        <v>#VALUE!</v>
      </c>
      <c r="BW10" t="e">
        <f>AND('STERLING CATALOG - DRY '!C47,"AAAAAH//tUo=")</f>
        <v>#VALUE!</v>
      </c>
      <c r="BX10" t="e">
        <f>AND('STERLING CATALOG - DRY '!D47,"AAAAAH//tUs=")</f>
        <v>#VALUE!</v>
      </c>
      <c r="BY10" t="e">
        <f>AND('STERLING CATALOG - DRY '!E47,"AAAAAH//tUw=")</f>
        <v>#VALUE!</v>
      </c>
      <c r="BZ10" t="e">
        <f>AND('STERLING CATALOG - DRY '!F47,"AAAAAH//tU0=")</f>
        <v>#VALUE!</v>
      </c>
      <c r="CA10" t="e">
        <f>AND('STERLING CATALOG - DRY '!G47,"AAAAAH//tU4=")</f>
        <v>#VALUE!</v>
      </c>
      <c r="CB10" t="e">
        <f>AND('STERLING CATALOG - DRY '!H47,"AAAAAH//tU8=")</f>
        <v>#VALUE!</v>
      </c>
      <c r="CC10" t="e">
        <f>AND('STERLING CATALOG - DRY '!I47,"AAAAAH//tVA=")</f>
        <v>#VALUE!</v>
      </c>
      <c r="CD10" t="e">
        <f>AND('STERLING CATALOG - DRY '!J47,"AAAAAH//tVE=")</f>
        <v>#VALUE!</v>
      </c>
      <c r="CE10">
        <f>IF('STERLING CATALOG - DRY '!48:48,"AAAAAH//tVI=",0)</f>
        <v>0</v>
      </c>
      <c r="CF10" t="e">
        <f>AND('STERLING CATALOG - DRY '!A48,"AAAAAH//tVM=")</f>
        <v>#VALUE!</v>
      </c>
      <c r="CG10" t="e">
        <f>AND('STERLING CATALOG - DRY '!B48,"AAAAAH//tVQ=")</f>
        <v>#VALUE!</v>
      </c>
      <c r="CH10" t="e">
        <f>AND('STERLING CATALOG - DRY '!C48,"AAAAAH//tVU=")</f>
        <v>#VALUE!</v>
      </c>
      <c r="CI10" t="e">
        <f>AND('STERLING CATALOG - DRY '!D48,"AAAAAH//tVY=")</f>
        <v>#VALUE!</v>
      </c>
      <c r="CJ10" t="e">
        <f>AND('STERLING CATALOG - DRY '!E48,"AAAAAH//tVc=")</f>
        <v>#VALUE!</v>
      </c>
      <c r="CK10" t="e">
        <f>AND('STERLING CATALOG - DRY '!F48,"AAAAAH//tVg=")</f>
        <v>#VALUE!</v>
      </c>
      <c r="CL10" t="e">
        <f>AND('STERLING CATALOG - DRY '!G48,"AAAAAH//tVk=")</f>
        <v>#VALUE!</v>
      </c>
      <c r="CM10" t="e">
        <f>AND('STERLING CATALOG - DRY '!H48,"AAAAAH//tVo=")</f>
        <v>#VALUE!</v>
      </c>
      <c r="CN10" t="e">
        <f>AND('STERLING CATALOG - DRY '!I48,"AAAAAH//tVs=")</f>
        <v>#VALUE!</v>
      </c>
      <c r="CO10" t="e">
        <f>AND('STERLING CATALOG - DRY '!J48,"AAAAAH//tVw=")</f>
        <v>#VALUE!</v>
      </c>
      <c r="CP10">
        <f>IF('STERLING CATALOG - DRY '!49:49,"AAAAAH//tV0=",0)</f>
        <v>0</v>
      </c>
      <c r="CQ10" t="e">
        <f>AND('STERLING CATALOG - DRY '!A49,"AAAAAH//tV4=")</f>
        <v>#VALUE!</v>
      </c>
      <c r="CR10" t="e">
        <f>AND('STERLING CATALOG - DRY '!B49,"AAAAAH//tV8=")</f>
        <v>#VALUE!</v>
      </c>
      <c r="CS10" t="e">
        <f>AND('STERLING CATALOG - DRY '!C49,"AAAAAH//tWA=")</f>
        <v>#VALUE!</v>
      </c>
      <c r="CT10" t="e">
        <f>AND('STERLING CATALOG - DRY '!D49,"AAAAAH//tWE=")</f>
        <v>#VALUE!</v>
      </c>
      <c r="CU10" t="e">
        <f>AND('STERLING CATALOG - DRY '!E49,"AAAAAH//tWI=")</f>
        <v>#VALUE!</v>
      </c>
      <c r="CV10" t="e">
        <f>AND('STERLING CATALOG - DRY '!F49,"AAAAAH//tWM=")</f>
        <v>#VALUE!</v>
      </c>
      <c r="CW10" t="e">
        <f>AND('STERLING CATALOG - DRY '!G49,"AAAAAH//tWQ=")</f>
        <v>#VALUE!</v>
      </c>
      <c r="CX10" t="e">
        <f>AND('STERLING CATALOG - DRY '!H49,"AAAAAH//tWU=")</f>
        <v>#VALUE!</v>
      </c>
      <c r="CY10" t="e">
        <f>AND('STERLING CATALOG - DRY '!I49,"AAAAAH//tWY=")</f>
        <v>#VALUE!</v>
      </c>
      <c r="CZ10" t="e">
        <f>AND('STERLING CATALOG - DRY '!J49,"AAAAAH//tWc=")</f>
        <v>#VALUE!</v>
      </c>
      <c r="DA10">
        <f>IF('STERLING CATALOG - DRY '!50:50,"AAAAAH//tWg=",0)</f>
        <v>0</v>
      </c>
      <c r="DB10" t="e">
        <f>AND('STERLING CATALOG - DRY '!A50,"AAAAAH//tWk=")</f>
        <v>#VALUE!</v>
      </c>
      <c r="DC10" t="e">
        <f>AND('STERLING CATALOG - DRY '!B50,"AAAAAH//tWo=")</f>
        <v>#VALUE!</v>
      </c>
      <c r="DD10" t="e">
        <f>AND('STERLING CATALOG - DRY '!C50,"AAAAAH//tWs=")</f>
        <v>#VALUE!</v>
      </c>
      <c r="DE10" t="e">
        <f>AND('STERLING CATALOG - DRY '!D50,"AAAAAH//tWw=")</f>
        <v>#VALUE!</v>
      </c>
      <c r="DF10" t="e">
        <f>AND('STERLING CATALOG - DRY '!E50,"AAAAAH//tW0=")</f>
        <v>#VALUE!</v>
      </c>
      <c r="DG10" t="e">
        <f>AND('STERLING CATALOG - DRY '!F50,"AAAAAH//tW4=")</f>
        <v>#VALUE!</v>
      </c>
      <c r="DH10" t="e">
        <f>AND('STERLING CATALOG - DRY '!G50,"AAAAAH//tW8=")</f>
        <v>#VALUE!</v>
      </c>
      <c r="DI10" t="e">
        <f>AND('STERLING CATALOG - DRY '!H50,"AAAAAH//tXA=")</f>
        <v>#VALUE!</v>
      </c>
      <c r="DJ10" t="e">
        <f>AND('STERLING CATALOG - DRY '!I50,"AAAAAH//tXE=")</f>
        <v>#VALUE!</v>
      </c>
      <c r="DK10" t="e">
        <f>AND('STERLING CATALOG - DRY '!J50,"AAAAAH//tXI=")</f>
        <v>#VALUE!</v>
      </c>
      <c r="DL10">
        <f>IF('STERLING CATALOG - DRY '!51:51,"AAAAAH//tXM=",0)</f>
        <v>0</v>
      </c>
      <c r="DM10" t="e">
        <f>AND('STERLING CATALOG - DRY '!A51,"AAAAAH//tXQ=")</f>
        <v>#VALUE!</v>
      </c>
      <c r="DN10" t="e">
        <f>AND('STERLING CATALOG - DRY '!B51,"AAAAAH//tXU=")</f>
        <v>#VALUE!</v>
      </c>
      <c r="DO10" t="e">
        <f>AND('STERLING CATALOG - DRY '!C51,"AAAAAH//tXY=")</f>
        <v>#VALUE!</v>
      </c>
      <c r="DP10" t="e">
        <f>AND('STERLING CATALOG - DRY '!D51,"AAAAAH//tXc=")</f>
        <v>#VALUE!</v>
      </c>
      <c r="DQ10" t="e">
        <f>AND('STERLING CATALOG - DRY '!E51,"AAAAAH//tXg=")</f>
        <v>#VALUE!</v>
      </c>
      <c r="DR10" t="e">
        <f>AND('STERLING CATALOG - DRY '!F51,"AAAAAH//tXk=")</f>
        <v>#VALUE!</v>
      </c>
      <c r="DS10" t="e">
        <f>AND('STERLING CATALOG - DRY '!G51,"AAAAAH//tXo=")</f>
        <v>#VALUE!</v>
      </c>
      <c r="DT10" t="e">
        <f>AND('STERLING CATALOG - DRY '!H51,"AAAAAH//tXs=")</f>
        <v>#VALUE!</v>
      </c>
      <c r="DU10" t="e">
        <f>AND('STERLING CATALOG - DRY '!I51,"AAAAAH//tXw=")</f>
        <v>#VALUE!</v>
      </c>
      <c r="DV10" t="e">
        <f>AND('STERLING CATALOG - DRY '!J51,"AAAAAH//tX0=")</f>
        <v>#VALUE!</v>
      </c>
      <c r="DW10">
        <f>IF('STERLING CATALOG - DRY '!52:52,"AAAAAH//tX4=",0)</f>
        <v>0</v>
      </c>
      <c r="DX10" t="e">
        <f>AND('STERLING CATALOG - DRY '!A52,"AAAAAH//tX8=")</f>
        <v>#VALUE!</v>
      </c>
      <c r="DY10" t="e">
        <f>AND('STERLING CATALOG - DRY '!B52,"AAAAAH//tYA=")</f>
        <v>#VALUE!</v>
      </c>
      <c r="DZ10" t="e">
        <f>AND('STERLING CATALOG - DRY '!C52,"AAAAAH//tYE=")</f>
        <v>#VALUE!</v>
      </c>
      <c r="EA10" t="e">
        <f>AND('STERLING CATALOG - DRY '!D52,"AAAAAH//tYI=")</f>
        <v>#VALUE!</v>
      </c>
      <c r="EB10" t="e">
        <f>AND('STERLING CATALOG - DRY '!E52,"AAAAAH//tYM=")</f>
        <v>#VALUE!</v>
      </c>
      <c r="EC10" t="e">
        <f>AND('STERLING CATALOG - DRY '!F52,"AAAAAH//tYQ=")</f>
        <v>#VALUE!</v>
      </c>
      <c r="ED10" t="e">
        <f>AND('STERLING CATALOG - DRY '!G52,"AAAAAH//tYU=")</f>
        <v>#VALUE!</v>
      </c>
      <c r="EE10" t="e">
        <f>AND('STERLING CATALOG - DRY '!H52,"AAAAAH//tYY=")</f>
        <v>#VALUE!</v>
      </c>
      <c r="EF10" t="e">
        <f>AND('STERLING CATALOG - DRY '!I52,"AAAAAH//tYc=")</f>
        <v>#VALUE!</v>
      </c>
      <c r="EG10" t="e">
        <f>AND('STERLING CATALOG - DRY '!J52,"AAAAAH//tYg=")</f>
        <v>#VALUE!</v>
      </c>
      <c r="EH10">
        <f>IF('STERLING CATALOG - DRY '!53:53,"AAAAAH//tYk=",0)</f>
        <v>0</v>
      </c>
      <c r="EI10" t="e">
        <f>AND('STERLING CATALOG - DRY '!A53,"AAAAAH//tYo=")</f>
        <v>#VALUE!</v>
      </c>
      <c r="EJ10" t="e">
        <f>AND('STERLING CATALOG - DRY '!B53,"AAAAAH//tYs=")</f>
        <v>#VALUE!</v>
      </c>
      <c r="EK10" t="e">
        <f>AND('STERLING CATALOG - DRY '!C53,"AAAAAH//tYw=")</f>
        <v>#VALUE!</v>
      </c>
      <c r="EL10" t="e">
        <f>AND('STERLING CATALOG - DRY '!D53,"AAAAAH//tY0=")</f>
        <v>#VALUE!</v>
      </c>
      <c r="EM10" t="e">
        <f>AND('STERLING CATALOG - DRY '!E53,"AAAAAH//tY4=")</f>
        <v>#VALUE!</v>
      </c>
      <c r="EN10" t="e">
        <f>AND('STERLING CATALOG - DRY '!F53,"AAAAAH//tY8=")</f>
        <v>#VALUE!</v>
      </c>
      <c r="EO10" t="e">
        <f>AND('STERLING CATALOG - DRY '!G53,"AAAAAH//tZA=")</f>
        <v>#VALUE!</v>
      </c>
      <c r="EP10" t="e">
        <f>AND('STERLING CATALOG - DRY '!H53,"AAAAAH//tZE=")</f>
        <v>#VALUE!</v>
      </c>
      <c r="EQ10" t="e">
        <f>AND('STERLING CATALOG - DRY '!I53,"AAAAAH//tZI=")</f>
        <v>#VALUE!</v>
      </c>
      <c r="ER10" t="e">
        <f>AND('STERLING CATALOG - DRY '!J53,"AAAAAH//tZM=")</f>
        <v>#VALUE!</v>
      </c>
      <c r="ES10">
        <f>IF('STERLING CATALOG - DRY '!54:54,"AAAAAH//tZQ=",0)</f>
        <v>0</v>
      </c>
      <c r="ET10" t="e">
        <f>AND('STERLING CATALOG - DRY '!A54,"AAAAAH//tZU=")</f>
        <v>#VALUE!</v>
      </c>
      <c r="EU10" t="e">
        <f>AND('STERLING CATALOG - DRY '!B54,"AAAAAH//tZY=")</f>
        <v>#VALUE!</v>
      </c>
      <c r="EV10" t="e">
        <f>AND('STERLING CATALOG - DRY '!C54,"AAAAAH//tZc=")</f>
        <v>#VALUE!</v>
      </c>
      <c r="EW10" t="e">
        <f>AND('STERLING CATALOG - DRY '!D54,"AAAAAH//tZg=")</f>
        <v>#VALUE!</v>
      </c>
      <c r="EX10" t="e">
        <f>AND('STERLING CATALOG - DRY '!E54,"AAAAAH//tZk=")</f>
        <v>#VALUE!</v>
      </c>
      <c r="EY10" t="e">
        <f>AND('STERLING CATALOG - DRY '!F54,"AAAAAH//tZo=")</f>
        <v>#VALUE!</v>
      </c>
      <c r="EZ10" t="e">
        <f>AND('STERLING CATALOG - DRY '!G54,"AAAAAH//tZs=")</f>
        <v>#VALUE!</v>
      </c>
      <c r="FA10" t="e">
        <f>AND('STERLING CATALOG - DRY '!H54,"AAAAAH//tZw=")</f>
        <v>#VALUE!</v>
      </c>
      <c r="FB10" t="e">
        <f>AND('STERLING CATALOG - DRY '!I54,"AAAAAH//tZ0=")</f>
        <v>#VALUE!</v>
      </c>
      <c r="FC10" t="e">
        <f>AND('STERLING CATALOG - DRY '!J54,"AAAAAH//tZ4=")</f>
        <v>#VALUE!</v>
      </c>
      <c r="FD10">
        <f>IF('STERLING CATALOG - DRY '!55:55,"AAAAAH//tZ8=",0)</f>
        <v>0</v>
      </c>
      <c r="FE10" t="e">
        <f>AND('STERLING CATALOG - DRY '!A55,"AAAAAH//taA=")</f>
        <v>#VALUE!</v>
      </c>
      <c r="FF10" t="e">
        <f>AND('STERLING CATALOG - DRY '!B55,"AAAAAH//taE=")</f>
        <v>#VALUE!</v>
      </c>
      <c r="FG10" t="e">
        <f>AND('STERLING CATALOG - DRY '!C55,"AAAAAH//taI=")</f>
        <v>#VALUE!</v>
      </c>
      <c r="FH10" t="e">
        <f>AND('STERLING CATALOG - DRY '!D55,"AAAAAH//taM=")</f>
        <v>#VALUE!</v>
      </c>
      <c r="FI10" t="e">
        <f>AND('STERLING CATALOG - DRY '!E55,"AAAAAH//taQ=")</f>
        <v>#VALUE!</v>
      </c>
      <c r="FJ10" t="e">
        <f>AND('STERLING CATALOG - DRY '!F55,"AAAAAH//taU=")</f>
        <v>#VALUE!</v>
      </c>
      <c r="FK10" t="e">
        <f>AND('STERLING CATALOG - DRY '!G55,"AAAAAH//taY=")</f>
        <v>#VALUE!</v>
      </c>
      <c r="FL10" t="e">
        <f>AND('STERLING CATALOG - DRY '!H55,"AAAAAH//tac=")</f>
        <v>#VALUE!</v>
      </c>
      <c r="FM10" t="e">
        <f>AND('STERLING CATALOG - DRY '!I55,"AAAAAH//tag=")</f>
        <v>#VALUE!</v>
      </c>
      <c r="FN10" t="e">
        <f>AND('STERLING CATALOG - DRY '!J55,"AAAAAH//tak=")</f>
        <v>#VALUE!</v>
      </c>
      <c r="FO10">
        <f>IF('STERLING CATALOG - DRY '!56:56,"AAAAAH//tao=",0)</f>
        <v>0</v>
      </c>
      <c r="FP10" t="e">
        <f>AND('STERLING CATALOG - DRY '!A56,"AAAAAH//tas=")</f>
        <v>#VALUE!</v>
      </c>
      <c r="FQ10" t="e">
        <f>AND('STERLING CATALOG - DRY '!B56,"AAAAAH//taw=")</f>
        <v>#VALUE!</v>
      </c>
      <c r="FR10" t="e">
        <f>AND('STERLING CATALOG - DRY '!C56,"AAAAAH//ta0=")</f>
        <v>#VALUE!</v>
      </c>
      <c r="FS10" t="e">
        <f>AND('STERLING CATALOG - DRY '!D56,"AAAAAH//ta4=")</f>
        <v>#VALUE!</v>
      </c>
      <c r="FT10" t="e">
        <f>AND('STERLING CATALOG - DRY '!E56,"AAAAAH//ta8=")</f>
        <v>#VALUE!</v>
      </c>
      <c r="FU10" t="e">
        <f>AND('STERLING CATALOG - DRY '!F56,"AAAAAH//tbA=")</f>
        <v>#VALUE!</v>
      </c>
      <c r="FV10" t="e">
        <f>AND('STERLING CATALOG - DRY '!G56,"AAAAAH//tbE=")</f>
        <v>#VALUE!</v>
      </c>
      <c r="FW10" t="e">
        <f>AND('STERLING CATALOG - DRY '!H56,"AAAAAH//tbI=")</f>
        <v>#VALUE!</v>
      </c>
      <c r="FX10" t="e">
        <f>AND('STERLING CATALOG - DRY '!I56,"AAAAAH//tbM=")</f>
        <v>#VALUE!</v>
      </c>
      <c r="FY10" t="e">
        <f>AND('STERLING CATALOG - DRY '!J56,"AAAAAH//tbQ=")</f>
        <v>#VALUE!</v>
      </c>
      <c r="FZ10">
        <f>IF('STERLING CATALOG - DRY '!57:57,"AAAAAH//tbU=",0)</f>
        <v>0</v>
      </c>
      <c r="GA10" t="e">
        <f>AND('STERLING CATALOG - DRY '!A57,"AAAAAH//tbY=")</f>
        <v>#VALUE!</v>
      </c>
      <c r="GB10" t="e">
        <f>AND('STERLING CATALOG - DRY '!B57,"AAAAAH//tbc=")</f>
        <v>#VALUE!</v>
      </c>
      <c r="GC10" t="e">
        <f>AND('STERLING CATALOG - DRY '!C57,"AAAAAH//tbg=")</f>
        <v>#VALUE!</v>
      </c>
      <c r="GD10" t="e">
        <f>AND('STERLING CATALOG - DRY '!D57,"AAAAAH//tbk=")</f>
        <v>#VALUE!</v>
      </c>
      <c r="GE10" t="e">
        <f>AND('STERLING CATALOG - DRY '!E57,"AAAAAH//tbo=")</f>
        <v>#VALUE!</v>
      </c>
      <c r="GF10" t="e">
        <f>AND('STERLING CATALOG - DRY '!F57,"AAAAAH//tbs=")</f>
        <v>#VALUE!</v>
      </c>
      <c r="GG10" t="e">
        <f>AND('STERLING CATALOG - DRY '!G57,"AAAAAH//tbw=")</f>
        <v>#VALUE!</v>
      </c>
      <c r="GH10" t="e">
        <f>AND('STERLING CATALOG - DRY '!H57,"AAAAAH//tb0=")</f>
        <v>#VALUE!</v>
      </c>
      <c r="GI10" t="e">
        <f>AND('STERLING CATALOG - DRY '!I57,"AAAAAH//tb4=")</f>
        <v>#VALUE!</v>
      </c>
      <c r="GJ10" t="e">
        <f>AND('STERLING CATALOG - DRY '!J57,"AAAAAH//tb8=")</f>
        <v>#VALUE!</v>
      </c>
      <c r="GK10">
        <f>IF('STERLING CATALOG - DRY '!58:58,"AAAAAH//tcA=",0)</f>
        <v>0</v>
      </c>
      <c r="GL10" t="e">
        <f>AND('STERLING CATALOG - DRY '!A58,"AAAAAH//tcE=")</f>
        <v>#VALUE!</v>
      </c>
      <c r="GM10" t="e">
        <f>AND('STERLING CATALOG - DRY '!B58,"AAAAAH//tcI=")</f>
        <v>#VALUE!</v>
      </c>
      <c r="GN10" t="e">
        <f>AND('STERLING CATALOG - DRY '!C58,"AAAAAH//tcM=")</f>
        <v>#VALUE!</v>
      </c>
      <c r="GO10" t="e">
        <f>AND('STERLING CATALOG - DRY '!D58,"AAAAAH//tcQ=")</f>
        <v>#VALUE!</v>
      </c>
      <c r="GP10" t="e">
        <f>AND('STERLING CATALOG - DRY '!E58,"AAAAAH//tcU=")</f>
        <v>#VALUE!</v>
      </c>
      <c r="GQ10" t="e">
        <f>AND('STERLING CATALOG - DRY '!F58,"AAAAAH//tcY=")</f>
        <v>#VALUE!</v>
      </c>
      <c r="GR10" t="e">
        <f>AND('STERLING CATALOG - DRY '!G58,"AAAAAH//tcc=")</f>
        <v>#VALUE!</v>
      </c>
      <c r="GS10" t="e">
        <f>AND('STERLING CATALOG - DRY '!H58,"AAAAAH//tcg=")</f>
        <v>#VALUE!</v>
      </c>
      <c r="GT10" t="e">
        <f>AND('STERLING CATALOG - DRY '!I58,"AAAAAH//tck=")</f>
        <v>#VALUE!</v>
      </c>
      <c r="GU10" t="e">
        <f>AND('STERLING CATALOG - DRY '!J58,"AAAAAH//tco=")</f>
        <v>#VALUE!</v>
      </c>
      <c r="GV10">
        <f>IF('STERLING CATALOG - DRY '!59:59,"AAAAAH//tcs=",0)</f>
        <v>0</v>
      </c>
      <c r="GW10" t="e">
        <f>AND('STERLING CATALOG - DRY '!A59,"AAAAAH//tcw=")</f>
        <v>#VALUE!</v>
      </c>
      <c r="GX10" t="e">
        <f>AND('STERLING CATALOG - DRY '!B59,"AAAAAH//tc0=")</f>
        <v>#VALUE!</v>
      </c>
      <c r="GY10" t="e">
        <f>AND('STERLING CATALOG - DRY '!C59,"AAAAAH//tc4=")</f>
        <v>#VALUE!</v>
      </c>
      <c r="GZ10" t="e">
        <f>AND('STERLING CATALOG - DRY '!D59,"AAAAAH//tc8=")</f>
        <v>#VALUE!</v>
      </c>
      <c r="HA10" t="e">
        <f>AND('STERLING CATALOG - DRY '!E59,"AAAAAH//tdA=")</f>
        <v>#VALUE!</v>
      </c>
      <c r="HB10" t="e">
        <f>AND('STERLING CATALOG - DRY '!F59,"AAAAAH//tdE=")</f>
        <v>#VALUE!</v>
      </c>
      <c r="HC10" t="e">
        <f>AND('STERLING CATALOG - DRY '!G59,"AAAAAH//tdI=")</f>
        <v>#VALUE!</v>
      </c>
      <c r="HD10" t="e">
        <f>AND('STERLING CATALOG - DRY '!H59,"AAAAAH//tdM=")</f>
        <v>#VALUE!</v>
      </c>
      <c r="HE10" t="e">
        <f>AND('STERLING CATALOG - DRY '!I59,"AAAAAH//tdQ=")</f>
        <v>#VALUE!</v>
      </c>
      <c r="HF10" t="e">
        <f>AND('STERLING CATALOG - DRY '!J59,"AAAAAH//tdU=")</f>
        <v>#VALUE!</v>
      </c>
      <c r="HG10">
        <f>IF('STERLING CATALOG - DRY '!60:60,"AAAAAH//tdY=",0)</f>
        <v>0</v>
      </c>
      <c r="HH10" t="e">
        <f>AND('STERLING CATALOG - DRY '!A60,"AAAAAH//tdc=")</f>
        <v>#VALUE!</v>
      </c>
      <c r="HI10" t="e">
        <f>AND('STERLING CATALOG - DRY '!B60,"AAAAAH//tdg=")</f>
        <v>#VALUE!</v>
      </c>
      <c r="HJ10" t="e">
        <f>AND('STERLING CATALOG - DRY '!C60,"AAAAAH//tdk=")</f>
        <v>#VALUE!</v>
      </c>
      <c r="HK10" t="e">
        <f>AND('STERLING CATALOG - DRY '!D60,"AAAAAH//tdo=")</f>
        <v>#VALUE!</v>
      </c>
      <c r="HL10" t="e">
        <f>AND('STERLING CATALOG - DRY '!E60,"AAAAAH//tds=")</f>
        <v>#VALUE!</v>
      </c>
      <c r="HM10" t="e">
        <f>AND('STERLING CATALOG - DRY '!F60,"AAAAAH//tdw=")</f>
        <v>#VALUE!</v>
      </c>
      <c r="HN10" t="e">
        <f>AND('STERLING CATALOG - DRY '!G60,"AAAAAH//td0=")</f>
        <v>#VALUE!</v>
      </c>
      <c r="HO10" t="e">
        <f>AND('STERLING CATALOG - DRY '!H60,"AAAAAH//td4=")</f>
        <v>#VALUE!</v>
      </c>
      <c r="HP10" t="e">
        <f>AND('STERLING CATALOG - DRY '!I60,"AAAAAH//td8=")</f>
        <v>#VALUE!</v>
      </c>
      <c r="HQ10" t="e">
        <f>AND('STERLING CATALOG - DRY '!J60,"AAAAAH//teA=")</f>
        <v>#VALUE!</v>
      </c>
      <c r="HR10">
        <f>IF('STERLING CATALOG - DRY '!61:61,"AAAAAH//teE=",0)</f>
        <v>0</v>
      </c>
      <c r="HS10" t="e">
        <f>AND('STERLING CATALOG - DRY '!A61,"AAAAAH//teI=")</f>
        <v>#VALUE!</v>
      </c>
      <c r="HT10" t="e">
        <f>AND('STERLING CATALOG - DRY '!B61,"AAAAAH//teM=")</f>
        <v>#VALUE!</v>
      </c>
      <c r="HU10" t="e">
        <f>AND('STERLING CATALOG - DRY '!C61,"AAAAAH//teQ=")</f>
        <v>#VALUE!</v>
      </c>
      <c r="HV10" t="e">
        <f>AND('STERLING CATALOG - DRY '!D61,"AAAAAH//teU=")</f>
        <v>#VALUE!</v>
      </c>
      <c r="HW10" t="e">
        <f>AND('STERLING CATALOG - DRY '!E61,"AAAAAH//teY=")</f>
        <v>#VALUE!</v>
      </c>
      <c r="HX10" t="e">
        <f>AND('STERLING CATALOG - DRY '!F61,"AAAAAH//tec=")</f>
        <v>#VALUE!</v>
      </c>
      <c r="HY10" t="e">
        <f>AND('STERLING CATALOG - DRY '!G61,"AAAAAH//teg=")</f>
        <v>#VALUE!</v>
      </c>
      <c r="HZ10" t="e">
        <f>AND('STERLING CATALOG - DRY '!H61,"AAAAAH//tek=")</f>
        <v>#VALUE!</v>
      </c>
      <c r="IA10" t="e">
        <f>AND('STERLING CATALOG - DRY '!I61,"AAAAAH//teo=")</f>
        <v>#VALUE!</v>
      </c>
      <c r="IB10" t="e">
        <f>AND('STERLING CATALOG - DRY '!J61,"AAAAAH//tes=")</f>
        <v>#VALUE!</v>
      </c>
      <c r="IC10">
        <f>IF('STERLING CATALOG - DRY '!62:62,"AAAAAH//tew=",0)</f>
        <v>0</v>
      </c>
      <c r="ID10" t="e">
        <f>AND('STERLING CATALOG - DRY '!A62,"AAAAAH//te0=")</f>
        <v>#VALUE!</v>
      </c>
      <c r="IE10" t="e">
        <f>AND('STERLING CATALOG - DRY '!B62,"AAAAAH//te4=")</f>
        <v>#VALUE!</v>
      </c>
      <c r="IF10" t="e">
        <f>AND('STERLING CATALOG - DRY '!C62,"AAAAAH//te8=")</f>
        <v>#VALUE!</v>
      </c>
      <c r="IG10" t="e">
        <f>AND('STERLING CATALOG - DRY '!D62,"AAAAAH//tfA=")</f>
        <v>#VALUE!</v>
      </c>
      <c r="IH10" t="e">
        <f>AND('STERLING CATALOG - DRY '!E62,"AAAAAH//tfE=")</f>
        <v>#VALUE!</v>
      </c>
      <c r="II10" t="e">
        <f>AND('STERLING CATALOG - DRY '!F62,"AAAAAH//tfI=")</f>
        <v>#VALUE!</v>
      </c>
      <c r="IJ10" t="e">
        <f>AND('STERLING CATALOG - DRY '!G62,"AAAAAH//tfM=")</f>
        <v>#VALUE!</v>
      </c>
      <c r="IK10" t="e">
        <f>AND('STERLING CATALOG - DRY '!H62,"AAAAAH//tfQ=")</f>
        <v>#VALUE!</v>
      </c>
      <c r="IL10" t="e">
        <f>AND('STERLING CATALOG - DRY '!I62,"AAAAAH//tfU=")</f>
        <v>#VALUE!</v>
      </c>
      <c r="IM10" t="e">
        <f>AND('STERLING CATALOG - DRY '!J62,"AAAAAH//tfY=")</f>
        <v>#VALUE!</v>
      </c>
      <c r="IN10">
        <f>IF('STERLING CATALOG - DRY '!63:63,"AAAAAH//tfc=",0)</f>
        <v>0</v>
      </c>
      <c r="IO10" t="e">
        <f>AND('STERLING CATALOG - DRY '!A63,"AAAAAH//tfg=")</f>
        <v>#VALUE!</v>
      </c>
      <c r="IP10" t="e">
        <f>AND('STERLING CATALOG - DRY '!B63,"AAAAAH//tfk=")</f>
        <v>#VALUE!</v>
      </c>
      <c r="IQ10" t="e">
        <f>AND('STERLING CATALOG - DRY '!C63,"AAAAAH//tfo=")</f>
        <v>#VALUE!</v>
      </c>
      <c r="IR10" t="e">
        <f>AND('STERLING CATALOG - DRY '!D63,"AAAAAH//tfs=")</f>
        <v>#VALUE!</v>
      </c>
      <c r="IS10" t="e">
        <f>AND('STERLING CATALOG - DRY '!E63,"AAAAAH//tfw=")</f>
        <v>#VALUE!</v>
      </c>
      <c r="IT10" t="e">
        <f>AND('STERLING CATALOG - DRY '!F63,"AAAAAH//tf0=")</f>
        <v>#VALUE!</v>
      </c>
      <c r="IU10" t="e">
        <f>AND('STERLING CATALOG - DRY '!G63,"AAAAAH//tf4=")</f>
        <v>#VALUE!</v>
      </c>
      <c r="IV10" t="e">
        <f>AND('STERLING CATALOG - DRY '!H63,"AAAAAH//tf8=")</f>
        <v>#VALUE!</v>
      </c>
    </row>
    <row r="11" spans="1:256">
      <c r="A11" t="e">
        <f>AND('STERLING CATALOG - DRY '!I63,"AAAAAGl6bwA=")</f>
        <v>#VALUE!</v>
      </c>
      <c r="B11" t="e">
        <f>AND('STERLING CATALOG - DRY '!J63,"AAAAAGl6bwE=")</f>
        <v>#VALUE!</v>
      </c>
      <c r="C11" t="str">
        <f>IF('STERLING CATALOG - DRY '!64:64,"AAAAAGl6bwI=",0)</f>
        <v>AAAAAGl6bwI=</v>
      </c>
      <c r="D11" t="e">
        <f>AND('STERLING CATALOG - DRY '!A64,"AAAAAGl6bwM=")</f>
        <v>#VALUE!</v>
      </c>
      <c r="E11" t="e">
        <f>AND('STERLING CATALOG - DRY '!B64,"AAAAAGl6bwQ=")</f>
        <v>#VALUE!</v>
      </c>
      <c r="F11" t="e">
        <f>AND('STERLING CATALOG - DRY '!C64,"AAAAAGl6bwU=")</f>
        <v>#VALUE!</v>
      </c>
      <c r="G11" t="e">
        <f>AND('STERLING CATALOG - DRY '!D64,"AAAAAGl6bwY=")</f>
        <v>#VALUE!</v>
      </c>
      <c r="H11" t="e">
        <f>AND('STERLING CATALOG - DRY '!E64,"AAAAAGl6bwc=")</f>
        <v>#VALUE!</v>
      </c>
      <c r="I11" t="e">
        <f>AND('STERLING CATALOG - DRY '!F64,"AAAAAGl6bwg=")</f>
        <v>#VALUE!</v>
      </c>
      <c r="J11" t="e">
        <f>AND('STERLING CATALOG - DRY '!G64,"AAAAAGl6bwk=")</f>
        <v>#VALUE!</v>
      </c>
      <c r="K11" t="e">
        <f>AND('STERLING CATALOG - DRY '!H64,"AAAAAGl6bwo=")</f>
        <v>#VALUE!</v>
      </c>
      <c r="L11" t="e">
        <f>AND('STERLING CATALOG - DRY '!I64,"AAAAAGl6bws=")</f>
        <v>#VALUE!</v>
      </c>
      <c r="M11" t="e">
        <f>AND('STERLING CATALOG - DRY '!J64,"AAAAAGl6bww=")</f>
        <v>#VALUE!</v>
      </c>
      <c r="N11">
        <f>IF('STERLING CATALOG - DRY '!65:65,"AAAAAGl6bw0=",0)</f>
        <v>0</v>
      </c>
      <c r="O11" t="e">
        <f>AND('STERLING CATALOG - DRY '!A65,"AAAAAGl6bw4=")</f>
        <v>#VALUE!</v>
      </c>
      <c r="P11" t="e">
        <f>AND('STERLING CATALOG - DRY '!B65,"AAAAAGl6bw8=")</f>
        <v>#VALUE!</v>
      </c>
      <c r="Q11" t="e">
        <f>AND('STERLING CATALOG - DRY '!C65,"AAAAAGl6bxA=")</f>
        <v>#VALUE!</v>
      </c>
      <c r="R11" t="e">
        <f>AND('STERLING CATALOG - DRY '!D65,"AAAAAGl6bxE=")</f>
        <v>#VALUE!</v>
      </c>
      <c r="S11" t="e">
        <f>AND('STERLING CATALOG - DRY '!E65,"AAAAAGl6bxI=")</f>
        <v>#VALUE!</v>
      </c>
      <c r="T11" t="e">
        <f>AND('STERLING CATALOG - DRY '!F65,"AAAAAGl6bxM=")</f>
        <v>#VALUE!</v>
      </c>
      <c r="U11" t="e">
        <f>AND('STERLING CATALOG - DRY '!G65,"AAAAAGl6bxQ=")</f>
        <v>#VALUE!</v>
      </c>
      <c r="V11" t="e">
        <f>AND('STERLING CATALOG - DRY '!H65,"AAAAAGl6bxU=")</f>
        <v>#VALUE!</v>
      </c>
      <c r="W11" t="e">
        <f>AND('STERLING CATALOG - DRY '!I65,"AAAAAGl6bxY=")</f>
        <v>#VALUE!</v>
      </c>
      <c r="X11" t="e">
        <f>AND('STERLING CATALOG - DRY '!J65,"AAAAAGl6bxc=")</f>
        <v>#VALUE!</v>
      </c>
      <c r="Y11">
        <f>IF('STERLING CATALOG - DRY '!66:66,"AAAAAGl6bxg=",0)</f>
        <v>0</v>
      </c>
      <c r="Z11" t="e">
        <f>AND('STERLING CATALOG - DRY '!A66,"AAAAAGl6bxk=")</f>
        <v>#VALUE!</v>
      </c>
      <c r="AA11" t="e">
        <f>AND('STERLING CATALOG - DRY '!B66,"AAAAAGl6bxo=")</f>
        <v>#VALUE!</v>
      </c>
      <c r="AB11" t="e">
        <f>AND('STERLING CATALOG - DRY '!C66,"AAAAAGl6bxs=")</f>
        <v>#VALUE!</v>
      </c>
      <c r="AC11" t="e">
        <f>AND('STERLING CATALOG - DRY '!D66,"AAAAAGl6bxw=")</f>
        <v>#VALUE!</v>
      </c>
      <c r="AD11" t="e">
        <f>AND('STERLING CATALOG - DRY '!E66,"AAAAAGl6bx0=")</f>
        <v>#VALUE!</v>
      </c>
      <c r="AE11" t="e">
        <f>AND('STERLING CATALOG - DRY '!F66,"AAAAAGl6bx4=")</f>
        <v>#VALUE!</v>
      </c>
      <c r="AF11" t="e">
        <f>AND('STERLING CATALOG - DRY '!G66,"AAAAAGl6bx8=")</f>
        <v>#VALUE!</v>
      </c>
      <c r="AG11" t="e">
        <f>AND('STERLING CATALOG - DRY '!H66,"AAAAAGl6byA=")</f>
        <v>#VALUE!</v>
      </c>
      <c r="AH11" t="e">
        <f>AND('STERLING CATALOG - DRY '!I66,"AAAAAGl6byE=")</f>
        <v>#VALUE!</v>
      </c>
      <c r="AI11" t="e">
        <f>AND('STERLING CATALOG - DRY '!J66,"AAAAAGl6byI=")</f>
        <v>#VALUE!</v>
      </c>
      <c r="AJ11">
        <f>IF('STERLING CATALOG - DRY '!67:67,"AAAAAGl6byM=",0)</f>
        <v>0</v>
      </c>
      <c r="AK11" t="e">
        <f>AND('STERLING CATALOG - DRY '!A67,"AAAAAGl6byQ=")</f>
        <v>#VALUE!</v>
      </c>
      <c r="AL11" t="e">
        <f>AND('STERLING CATALOG - DRY '!B67,"AAAAAGl6byU=")</f>
        <v>#VALUE!</v>
      </c>
      <c r="AM11" t="e">
        <f>AND('STERLING CATALOG - DRY '!C67,"AAAAAGl6byY=")</f>
        <v>#VALUE!</v>
      </c>
      <c r="AN11" t="e">
        <f>AND('STERLING CATALOG - DRY '!D67,"AAAAAGl6byc=")</f>
        <v>#VALUE!</v>
      </c>
      <c r="AO11" t="e">
        <f>AND('STERLING CATALOG - DRY '!E67,"AAAAAGl6byg=")</f>
        <v>#VALUE!</v>
      </c>
      <c r="AP11" t="e">
        <f>AND('STERLING CATALOG - DRY '!F67,"AAAAAGl6byk=")</f>
        <v>#VALUE!</v>
      </c>
      <c r="AQ11" t="e">
        <f>AND('STERLING CATALOG - DRY '!G67,"AAAAAGl6byo=")</f>
        <v>#VALUE!</v>
      </c>
      <c r="AR11" t="e">
        <f>AND('STERLING CATALOG - DRY '!H67,"AAAAAGl6bys=")</f>
        <v>#VALUE!</v>
      </c>
      <c r="AS11" t="e">
        <f>AND('STERLING CATALOG - DRY '!I67,"AAAAAGl6byw=")</f>
        <v>#VALUE!</v>
      </c>
      <c r="AT11" t="e">
        <f>AND('STERLING CATALOG - DRY '!J67,"AAAAAGl6by0=")</f>
        <v>#VALUE!</v>
      </c>
      <c r="AU11">
        <f>IF('STERLING CATALOG - DRY '!68:68,"AAAAAGl6by4=",0)</f>
        <v>0</v>
      </c>
      <c r="AV11" t="e">
        <f>AND('STERLING CATALOG - DRY '!A68,"AAAAAGl6by8=")</f>
        <v>#VALUE!</v>
      </c>
      <c r="AW11" t="e">
        <f>AND('STERLING CATALOG - DRY '!B68,"AAAAAGl6bzA=")</f>
        <v>#VALUE!</v>
      </c>
      <c r="AX11" t="e">
        <f>AND('STERLING CATALOG - DRY '!C68,"AAAAAGl6bzE=")</f>
        <v>#VALUE!</v>
      </c>
      <c r="AY11" t="e">
        <f>AND('STERLING CATALOG - DRY '!D68,"AAAAAGl6bzI=")</f>
        <v>#VALUE!</v>
      </c>
      <c r="AZ11" t="e">
        <f>AND('STERLING CATALOG - DRY '!E68,"AAAAAGl6bzM=")</f>
        <v>#VALUE!</v>
      </c>
      <c r="BA11" t="e">
        <f>AND('STERLING CATALOG - DRY '!F68,"AAAAAGl6bzQ=")</f>
        <v>#VALUE!</v>
      </c>
      <c r="BB11" t="e">
        <f>AND('STERLING CATALOG - DRY '!G68,"AAAAAGl6bzU=")</f>
        <v>#VALUE!</v>
      </c>
      <c r="BC11" t="e">
        <f>AND('STERLING CATALOG - DRY '!H68,"AAAAAGl6bzY=")</f>
        <v>#VALUE!</v>
      </c>
      <c r="BD11" t="e">
        <f>AND('STERLING CATALOG - DRY '!I68,"AAAAAGl6bzc=")</f>
        <v>#VALUE!</v>
      </c>
      <c r="BE11" t="e">
        <f>AND('STERLING CATALOG - DRY '!J68,"AAAAAGl6bzg=")</f>
        <v>#VALUE!</v>
      </c>
      <c r="BF11">
        <f>IF('STERLING CATALOG - DRY '!69:69,"AAAAAGl6bzk=",0)</f>
        <v>0</v>
      </c>
      <c r="BG11" t="e">
        <f>AND('STERLING CATALOG - DRY '!A69,"AAAAAGl6bzo=")</f>
        <v>#VALUE!</v>
      </c>
      <c r="BH11" t="e">
        <f>AND('STERLING CATALOG - DRY '!B69,"AAAAAGl6bzs=")</f>
        <v>#VALUE!</v>
      </c>
      <c r="BI11" t="e">
        <f>AND('STERLING CATALOG - DRY '!C69,"AAAAAGl6bzw=")</f>
        <v>#VALUE!</v>
      </c>
      <c r="BJ11" t="e">
        <f>AND('STERLING CATALOG - DRY '!D69,"AAAAAGl6bz0=")</f>
        <v>#VALUE!</v>
      </c>
      <c r="BK11" t="e">
        <f>AND('STERLING CATALOG - DRY '!E69,"AAAAAGl6bz4=")</f>
        <v>#VALUE!</v>
      </c>
      <c r="BL11" t="e">
        <f>AND('STERLING CATALOG - DRY '!F69,"AAAAAGl6bz8=")</f>
        <v>#VALUE!</v>
      </c>
      <c r="BM11" t="e">
        <f>AND('STERLING CATALOG - DRY '!G69,"AAAAAGl6b0A=")</f>
        <v>#VALUE!</v>
      </c>
      <c r="BN11" t="e">
        <f>AND('STERLING CATALOG - DRY '!H69,"AAAAAGl6b0E=")</f>
        <v>#VALUE!</v>
      </c>
      <c r="BO11" t="e">
        <f>AND('STERLING CATALOG - DRY '!I69,"AAAAAGl6b0I=")</f>
        <v>#VALUE!</v>
      </c>
      <c r="BP11" t="e">
        <f>AND('STERLING CATALOG - DRY '!J69,"AAAAAGl6b0M=")</f>
        <v>#VALUE!</v>
      </c>
      <c r="BQ11">
        <f>IF('STERLING CATALOG - DRY '!70:70,"AAAAAGl6b0Q=",0)</f>
        <v>0</v>
      </c>
      <c r="BR11" t="e">
        <f>AND('STERLING CATALOG - DRY '!A70,"AAAAAGl6b0U=")</f>
        <v>#VALUE!</v>
      </c>
      <c r="BS11" t="e">
        <f>AND('STERLING CATALOG - DRY '!B70,"AAAAAGl6b0Y=")</f>
        <v>#VALUE!</v>
      </c>
      <c r="BT11" t="e">
        <f>AND('STERLING CATALOG - DRY '!C70,"AAAAAGl6b0c=")</f>
        <v>#VALUE!</v>
      </c>
      <c r="BU11" t="e">
        <f>AND('STERLING CATALOG - DRY '!D70,"AAAAAGl6b0g=")</f>
        <v>#VALUE!</v>
      </c>
      <c r="BV11" t="e">
        <f>AND('STERLING CATALOG - DRY '!E70,"AAAAAGl6b0k=")</f>
        <v>#VALUE!</v>
      </c>
      <c r="BW11" t="e">
        <f>AND('STERLING CATALOG - DRY '!F70,"AAAAAGl6b0o=")</f>
        <v>#VALUE!</v>
      </c>
      <c r="BX11" t="e">
        <f>AND('STERLING CATALOG - DRY '!G70,"AAAAAGl6b0s=")</f>
        <v>#VALUE!</v>
      </c>
      <c r="BY11" t="e">
        <f>AND('STERLING CATALOG - DRY '!H70,"AAAAAGl6b0w=")</f>
        <v>#VALUE!</v>
      </c>
      <c r="BZ11" t="e">
        <f>AND('STERLING CATALOG - DRY '!I70,"AAAAAGl6b00=")</f>
        <v>#VALUE!</v>
      </c>
      <c r="CA11" t="e">
        <f>AND('STERLING CATALOG - DRY '!J70,"AAAAAGl6b04=")</f>
        <v>#VALUE!</v>
      </c>
      <c r="CB11">
        <f>IF('STERLING CATALOG - DRY '!71:71,"AAAAAGl6b08=",0)</f>
        <v>0</v>
      </c>
      <c r="CC11" t="e">
        <f>AND('STERLING CATALOG - DRY '!A71,"AAAAAGl6b1A=")</f>
        <v>#VALUE!</v>
      </c>
      <c r="CD11" t="e">
        <f>AND('STERLING CATALOG - DRY '!B71,"AAAAAGl6b1E=")</f>
        <v>#VALUE!</v>
      </c>
      <c r="CE11" t="e">
        <f>AND('STERLING CATALOG - DRY '!C71,"AAAAAGl6b1I=")</f>
        <v>#VALUE!</v>
      </c>
      <c r="CF11" t="e">
        <f>AND('STERLING CATALOG - DRY '!D71,"AAAAAGl6b1M=")</f>
        <v>#VALUE!</v>
      </c>
      <c r="CG11" t="e">
        <f>AND('STERLING CATALOG - DRY '!E71,"AAAAAGl6b1Q=")</f>
        <v>#VALUE!</v>
      </c>
      <c r="CH11" t="e">
        <f>AND('STERLING CATALOG - DRY '!F71,"AAAAAGl6b1U=")</f>
        <v>#VALUE!</v>
      </c>
      <c r="CI11" t="e">
        <f>AND('STERLING CATALOG - DRY '!G71,"AAAAAGl6b1Y=")</f>
        <v>#VALUE!</v>
      </c>
      <c r="CJ11" t="e">
        <f>AND('STERLING CATALOG - DRY '!H71,"AAAAAGl6b1c=")</f>
        <v>#VALUE!</v>
      </c>
      <c r="CK11" t="e">
        <f>AND('STERLING CATALOG - DRY '!I71,"AAAAAGl6b1g=")</f>
        <v>#VALUE!</v>
      </c>
      <c r="CL11" t="e">
        <f>AND('STERLING CATALOG - DRY '!J71,"AAAAAGl6b1k=")</f>
        <v>#VALUE!</v>
      </c>
      <c r="CM11">
        <f>IF('STERLING CATALOG - DRY '!72:72,"AAAAAGl6b1o=",0)</f>
        <v>0</v>
      </c>
      <c r="CN11" t="e">
        <f>AND('STERLING CATALOG - DRY '!A72,"AAAAAGl6b1s=")</f>
        <v>#VALUE!</v>
      </c>
      <c r="CO11" t="e">
        <f>AND('STERLING CATALOG - DRY '!B72,"AAAAAGl6b1w=")</f>
        <v>#VALUE!</v>
      </c>
      <c r="CP11" t="e">
        <f>AND('STERLING CATALOG - DRY '!C72,"AAAAAGl6b10=")</f>
        <v>#VALUE!</v>
      </c>
      <c r="CQ11" t="e">
        <f>AND('STERLING CATALOG - DRY '!D72,"AAAAAGl6b14=")</f>
        <v>#VALUE!</v>
      </c>
      <c r="CR11" t="e">
        <f>AND('STERLING CATALOG - DRY '!E72,"AAAAAGl6b18=")</f>
        <v>#VALUE!</v>
      </c>
      <c r="CS11" t="e">
        <f>AND('STERLING CATALOG - DRY '!F72,"AAAAAGl6b2A=")</f>
        <v>#VALUE!</v>
      </c>
      <c r="CT11" t="e">
        <f>AND('STERLING CATALOG - DRY '!G72,"AAAAAGl6b2E=")</f>
        <v>#VALUE!</v>
      </c>
      <c r="CU11" t="e">
        <f>AND('STERLING CATALOG - DRY '!H72,"AAAAAGl6b2I=")</f>
        <v>#VALUE!</v>
      </c>
      <c r="CV11" t="e">
        <f>AND('STERLING CATALOG - DRY '!I72,"AAAAAGl6b2M=")</f>
        <v>#VALUE!</v>
      </c>
      <c r="CW11" t="e">
        <f>AND('STERLING CATALOG - DRY '!J72,"AAAAAGl6b2Q=")</f>
        <v>#VALUE!</v>
      </c>
      <c r="CX11">
        <f>IF('STERLING CATALOG - DRY '!73:73,"AAAAAGl6b2U=",0)</f>
        <v>0</v>
      </c>
      <c r="CY11" t="e">
        <f>AND('STERLING CATALOG - DRY '!A73,"AAAAAGl6b2Y=")</f>
        <v>#VALUE!</v>
      </c>
      <c r="CZ11" t="e">
        <f>AND('STERLING CATALOG - DRY '!B73,"AAAAAGl6b2c=")</f>
        <v>#VALUE!</v>
      </c>
      <c r="DA11" t="e">
        <f>AND('STERLING CATALOG - DRY '!C73,"AAAAAGl6b2g=")</f>
        <v>#VALUE!</v>
      </c>
      <c r="DB11" t="e">
        <f>AND('STERLING CATALOG - DRY '!D73,"AAAAAGl6b2k=")</f>
        <v>#VALUE!</v>
      </c>
      <c r="DC11" t="e">
        <f>AND('STERLING CATALOG - DRY '!E73,"AAAAAGl6b2o=")</f>
        <v>#VALUE!</v>
      </c>
      <c r="DD11" t="e">
        <f>AND('STERLING CATALOG - DRY '!F73,"AAAAAGl6b2s=")</f>
        <v>#VALUE!</v>
      </c>
      <c r="DE11" t="e">
        <f>AND('STERLING CATALOG - DRY '!G73,"AAAAAGl6b2w=")</f>
        <v>#VALUE!</v>
      </c>
      <c r="DF11" t="e">
        <f>AND('STERLING CATALOG - DRY '!H73,"AAAAAGl6b20=")</f>
        <v>#VALUE!</v>
      </c>
      <c r="DG11" t="e">
        <f>AND('STERLING CATALOG - DRY '!I73,"AAAAAGl6b24=")</f>
        <v>#VALUE!</v>
      </c>
      <c r="DH11" t="e">
        <f>AND('STERLING CATALOG - DRY '!J73,"AAAAAGl6b28=")</f>
        <v>#VALUE!</v>
      </c>
      <c r="DI11">
        <f>IF('STERLING CATALOG - DRY '!74:74,"AAAAAGl6b3A=",0)</f>
        <v>0</v>
      </c>
      <c r="DJ11" t="e">
        <f>AND('STERLING CATALOG - DRY '!A74,"AAAAAGl6b3E=")</f>
        <v>#VALUE!</v>
      </c>
      <c r="DK11" t="e">
        <f>AND('STERLING CATALOG - DRY '!B74,"AAAAAGl6b3I=")</f>
        <v>#VALUE!</v>
      </c>
      <c r="DL11" t="e">
        <f>AND('STERLING CATALOG - DRY '!C74,"AAAAAGl6b3M=")</f>
        <v>#VALUE!</v>
      </c>
      <c r="DM11" t="e">
        <f>AND('STERLING CATALOG - DRY '!D74,"AAAAAGl6b3Q=")</f>
        <v>#VALUE!</v>
      </c>
      <c r="DN11" t="e">
        <f>AND('STERLING CATALOG - DRY '!E74,"AAAAAGl6b3U=")</f>
        <v>#VALUE!</v>
      </c>
      <c r="DO11" t="e">
        <f>AND('STERLING CATALOG - DRY '!F74,"AAAAAGl6b3Y=")</f>
        <v>#VALUE!</v>
      </c>
      <c r="DP11" t="e">
        <f>AND('STERLING CATALOG - DRY '!G74,"AAAAAGl6b3c=")</f>
        <v>#VALUE!</v>
      </c>
      <c r="DQ11" t="e">
        <f>AND('STERLING CATALOG - DRY '!H74,"AAAAAGl6b3g=")</f>
        <v>#VALUE!</v>
      </c>
      <c r="DR11" t="e">
        <f>AND('STERLING CATALOG - DRY '!I74,"AAAAAGl6b3k=")</f>
        <v>#VALUE!</v>
      </c>
      <c r="DS11" t="e">
        <f>AND('STERLING CATALOG - DRY '!J74,"AAAAAGl6b3o=")</f>
        <v>#VALUE!</v>
      </c>
      <c r="DT11">
        <f>IF('STERLING CATALOG - DRY '!75:75,"AAAAAGl6b3s=",0)</f>
        <v>0</v>
      </c>
      <c r="DU11" t="e">
        <f>AND('STERLING CATALOG - DRY '!A75,"AAAAAGl6b3w=")</f>
        <v>#VALUE!</v>
      </c>
      <c r="DV11" t="e">
        <f>AND('STERLING CATALOG - DRY '!B75,"AAAAAGl6b30=")</f>
        <v>#VALUE!</v>
      </c>
      <c r="DW11" t="e">
        <f>AND('STERLING CATALOG - DRY '!C75,"AAAAAGl6b34=")</f>
        <v>#VALUE!</v>
      </c>
      <c r="DX11" t="e">
        <f>AND('STERLING CATALOG - DRY '!D75,"AAAAAGl6b38=")</f>
        <v>#VALUE!</v>
      </c>
      <c r="DY11" t="e">
        <f>AND('STERLING CATALOG - DRY '!E75,"AAAAAGl6b4A=")</f>
        <v>#VALUE!</v>
      </c>
      <c r="DZ11" t="e">
        <f>AND('STERLING CATALOG - DRY '!F75,"AAAAAGl6b4E=")</f>
        <v>#VALUE!</v>
      </c>
      <c r="EA11" t="e">
        <f>AND('STERLING CATALOG - DRY '!G75,"AAAAAGl6b4I=")</f>
        <v>#VALUE!</v>
      </c>
      <c r="EB11" t="e">
        <f>AND('STERLING CATALOG - DRY '!H75,"AAAAAGl6b4M=")</f>
        <v>#VALUE!</v>
      </c>
      <c r="EC11" t="e">
        <f>AND('STERLING CATALOG - DRY '!I75,"AAAAAGl6b4Q=")</f>
        <v>#VALUE!</v>
      </c>
      <c r="ED11" t="e">
        <f>AND('STERLING CATALOG - DRY '!J75,"AAAAAGl6b4U=")</f>
        <v>#VALUE!</v>
      </c>
      <c r="EE11">
        <f>IF('STERLING CATALOG - DRY '!76:76,"AAAAAGl6b4Y=",0)</f>
        <v>0</v>
      </c>
      <c r="EF11" t="e">
        <f>AND('STERLING CATALOG - DRY '!A76,"AAAAAGl6b4c=")</f>
        <v>#VALUE!</v>
      </c>
      <c r="EG11" t="e">
        <f>AND('STERLING CATALOG - DRY '!B76,"AAAAAGl6b4g=")</f>
        <v>#VALUE!</v>
      </c>
      <c r="EH11" t="e">
        <f>AND('STERLING CATALOG - DRY '!C76,"AAAAAGl6b4k=")</f>
        <v>#VALUE!</v>
      </c>
      <c r="EI11" t="e">
        <f>AND('STERLING CATALOG - DRY '!D76,"AAAAAGl6b4o=")</f>
        <v>#VALUE!</v>
      </c>
      <c r="EJ11" t="e">
        <f>AND('STERLING CATALOG - DRY '!E76,"AAAAAGl6b4s=")</f>
        <v>#VALUE!</v>
      </c>
      <c r="EK11" t="e">
        <f>AND('STERLING CATALOG - DRY '!F76,"AAAAAGl6b4w=")</f>
        <v>#VALUE!</v>
      </c>
      <c r="EL11" t="e">
        <f>AND('STERLING CATALOG - DRY '!G76,"AAAAAGl6b40=")</f>
        <v>#VALUE!</v>
      </c>
      <c r="EM11" t="e">
        <f>AND('STERLING CATALOG - DRY '!H76,"AAAAAGl6b44=")</f>
        <v>#VALUE!</v>
      </c>
      <c r="EN11" t="e">
        <f>AND('STERLING CATALOG - DRY '!I76,"AAAAAGl6b48=")</f>
        <v>#VALUE!</v>
      </c>
      <c r="EO11" t="e">
        <f>AND('STERLING CATALOG - DRY '!J76,"AAAAAGl6b5A=")</f>
        <v>#VALUE!</v>
      </c>
      <c r="EP11">
        <f>IF('STERLING CATALOG - DRY '!77:77,"AAAAAGl6b5E=",0)</f>
        <v>0</v>
      </c>
      <c r="EQ11" t="e">
        <f>AND('STERLING CATALOG - DRY '!A77,"AAAAAGl6b5I=")</f>
        <v>#VALUE!</v>
      </c>
      <c r="ER11" t="e">
        <f>AND('STERLING CATALOG - DRY '!B77,"AAAAAGl6b5M=")</f>
        <v>#VALUE!</v>
      </c>
      <c r="ES11" t="e">
        <f>AND('STERLING CATALOG - DRY '!C77,"AAAAAGl6b5Q=")</f>
        <v>#VALUE!</v>
      </c>
      <c r="ET11" t="e">
        <f>AND('STERLING CATALOG - DRY '!D77,"AAAAAGl6b5U=")</f>
        <v>#VALUE!</v>
      </c>
      <c r="EU11" t="e">
        <f>AND('STERLING CATALOG - DRY '!E77,"AAAAAGl6b5Y=")</f>
        <v>#VALUE!</v>
      </c>
      <c r="EV11" t="e">
        <f>AND('STERLING CATALOG - DRY '!F77,"AAAAAGl6b5c=")</f>
        <v>#VALUE!</v>
      </c>
      <c r="EW11" t="e">
        <f>AND('STERLING CATALOG - DRY '!G77,"AAAAAGl6b5g=")</f>
        <v>#VALUE!</v>
      </c>
      <c r="EX11" t="e">
        <f>AND('STERLING CATALOG - DRY '!H77,"AAAAAGl6b5k=")</f>
        <v>#VALUE!</v>
      </c>
      <c r="EY11" t="e">
        <f>AND('STERLING CATALOG - DRY '!I77,"AAAAAGl6b5o=")</f>
        <v>#VALUE!</v>
      </c>
      <c r="EZ11" t="e">
        <f>AND('STERLING CATALOG - DRY '!J77,"AAAAAGl6b5s=")</f>
        <v>#VALUE!</v>
      </c>
      <c r="FA11">
        <f>IF('STERLING CATALOG - DRY '!78:78,"AAAAAGl6b5w=",0)</f>
        <v>0</v>
      </c>
      <c r="FB11" t="e">
        <f>AND('STERLING CATALOG - DRY '!A78,"AAAAAGl6b50=")</f>
        <v>#VALUE!</v>
      </c>
      <c r="FC11" t="e">
        <f>AND('STERLING CATALOG - DRY '!B78,"AAAAAGl6b54=")</f>
        <v>#VALUE!</v>
      </c>
      <c r="FD11" t="e">
        <f>AND('STERLING CATALOG - DRY '!C78,"AAAAAGl6b58=")</f>
        <v>#VALUE!</v>
      </c>
      <c r="FE11" t="e">
        <f>AND('STERLING CATALOG - DRY '!D78,"AAAAAGl6b6A=")</f>
        <v>#VALUE!</v>
      </c>
      <c r="FF11" t="e">
        <f>AND('STERLING CATALOG - DRY '!E78,"AAAAAGl6b6E=")</f>
        <v>#VALUE!</v>
      </c>
      <c r="FG11" t="e">
        <f>AND('STERLING CATALOG - DRY '!F78,"AAAAAGl6b6I=")</f>
        <v>#VALUE!</v>
      </c>
      <c r="FH11" t="e">
        <f>AND('STERLING CATALOG - DRY '!G78,"AAAAAGl6b6M=")</f>
        <v>#VALUE!</v>
      </c>
      <c r="FI11" t="e">
        <f>AND('STERLING CATALOG - DRY '!H78,"AAAAAGl6b6Q=")</f>
        <v>#VALUE!</v>
      </c>
      <c r="FJ11" t="e">
        <f>AND('STERLING CATALOG - DRY '!I78,"AAAAAGl6b6U=")</f>
        <v>#VALUE!</v>
      </c>
      <c r="FK11" t="e">
        <f>AND('STERLING CATALOG - DRY '!J78,"AAAAAGl6b6Y=")</f>
        <v>#VALUE!</v>
      </c>
      <c r="FL11">
        <f>IF('STERLING CATALOG - DRY '!79:79,"AAAAAGl6b6c=",0)</f>
        <v>0</v>
      </c>
      <c r="FM11" t="e">
        <f>AND('STERLING CATALOG - DRY '!A79,"AAAAAGl6b6g=")</f>
        <v>#VALUE!</v>
      </c>
      <c r="FN11" t="e">
        <f>AND('STERLING CATALOG - DRY '!B79,"AAAAAGl6b6k=")</f>
        <v>#VALUE!</v>
      </c>
      <c r="FO11" t="e">
        <f>AND('STERLING CATALOG - DRY '!C79,"AAAAAGl6b6o=")</f>
        <v>#VALUE!</v>
      </c>
      <c r="FP11" t="e">
        <f>AND('STERLING CATALOG - DRY '!D79,"AAAAAGl6b6s=")</f>
        <v>#VALUE!</v>
      </c>
      <c r="FQ11" t="e">
        <f>AND('STERLING CATALOG - DRY '!E79,"AAAAAGl6b6w=")</f>
        <v>#VALUE!</v>
      </c>
      <c r="FR11" t="e">
        <f>AND('STERLING CATALOG - DRY '!F79,"AAAAAGl6b60=")</f>
        <v>#VALUE!</v>
      </c>
      <c r="FS11" t="e">
        <f>AND('STERLING CATALOG - DRY '!G79,"AAAAAGl6b64=")</f>
        <v>#VALUE!</v>
      </c>
      <c r="FT11" t="e">
        <f>AND('STERLING CATALOG - DRY '!H79,"AAAAAGl6b68=")</f>
        <v>#VALUE!</v>
      </c>
      <c r="FU11" t="e">
        <f>AND('STERLING CATALOG - DRY '!I79,"AAAAAGl6b7A=")</f>
        <v>#VALUE!</v>
      </c>
      <c r="FV11" t="e">
        <f>AND('STERLING CATALOG - DRY '!J79,"AAAAAGl6b7E=")</f>
        <v>#VALUE!</v>
      </c>
      <c r="FW11">
        <f>IF('STERLING CATALOG - DRY '!80:80,"AAAAAGl6b7I=",0)</f>
        <v>0</v>
      </c>
      <c r="FX11" t="e">
        <f>AND('STERLING CATALOG - DRY '!A80,"AAAAAGl6b7M=")</f>
        <v>#VALUE!</v>
      </c>
      <c r="FY11" t="e">
        <f>AND('STERLING CATALOG - DRY '!B80,"AAAAAGl6b7Q=")</f>
        <v>#VALUE!</v>
      </c>
      <c r="FZ11" t="e">
        <f>AND('STERLING CATALOG - DRY '!C80,"AAAAAGl6b7U=")</f>
        <v>#VALUE!</v>
      </c>
      <c r="GA11" t="e">
        <f>AND('STERLING CATALOG - DRY '!D80,"AAAAAGl6b7Y=")</f>
        <v>#VALUE!</v>
      </c>
      <c r="GB11" t="e">
        <f>AND('STERLING CATALOG - DRY '!E80,"AAAAAGl6b7c=")</f>
        <v>#VALUE!</v>
      </c>
      <c r="GC11" t="e">
        <f>AND('STERLING CATALOG - DRY '!F80,"AAAAAGl6b7g=")</f>
        <v>#VALUE!</v>
      </c>
      <c r="GD11" t="e">
        <f>AND('STERLING CATALOG - DRY '!G80,"AAAAAGl6b7k=")</f>
        <v>#VALUE!</v>
      </c>
      <c r="GE11" t="e">
        <f>AND('STERLING CATALOG - DRY '!H80,"AAAAAGl6b7o=")</f>
        <v>#VALUE!</v>
      </c>
      <c r="GF11" t="e">
        <f>AND('STERLING CATALOG - DRY '!I80,"AAAAAGl6b7s=")</f>
        <v>#VALUE!</v>
      </c>
      <c r="GG11" t="e">
        <f>AND('STERLING CATALOG - DRY '!J80,"AAAAAGl6b7w=")</f>
        <v>#VALUE!</v>
      </c>
      <c r="GH11">
        <f>IF('STERLING CATALOG - DRY '!81:81,"AAAAAGl6b70=",0)</f>
        <v>0</v>
      </c>
      <c r="GI11" t="e">
        <f>AND('STERLING CATALOG - DRY '!A81,"AAAAAGl6b74=")</f>
        <v>#VALUE!</v>
      </c>
      <c r="GJ11" t="e">
        <f>AND('STERLING CATALOG - DRY '!B81,"AAAAAGl6b78=")</f>
        <v>#VALUE!</v>
      </c>
      <c r="GK11" t="e">
        <f>AND('STERLING CATALOG - DRY '!C81,"AAAAAGl6b8A=")</f>
        <v>#VALUE!</v>
      </c>
      <c r="GL11" t="e">
        <f>AND('STERLING CATALOG - DRY '!D81,"AAAAAGl6b8E=")</f>
        <v>#VALUE!</v>
      </c>
      <c r="GM11" t="e">
        <f>AND('STERLING CATALOG - DRY '!E81,"AAAAAGl6b8I=")</f>
        <v>#VALUE!</v>
      </c>
      <c r="GN11" t="e">
        <f>AND('STERLING CATALOG - DRY '!F81,"AAAAAGl6b8M=")</f>
        <v>#VALUE!</v>
      </c>
      <c r="GO11" t="e">
        <f>AND('STERLING CATALOG - DRY '!G81,"AAAAAGl6b8Q=")</f>
        <v>#VALUE!</v>
      </c>
      <c r="GP11" t="e">
        <f>AND('STERLING CATALOG - DRY '!H81,"AAAAAGl6b8U=")</f>
        <v>#VALUE!</v>
      </c>
      <c r="GQ11" t="e">
        <f>AND('STERLING CATALOG - DRY '!I81,"AAAAAGl6b8Y=")</f>
        <v>#VALUE!</v>
      </c>
      <c r="GR11" t="e">
        <f>AND('STERLING CATALOG - DRY '!J81,"AAAAAGl6b8c=")</f>
        <v>#VALUE!</v>
      </c>
      <c r="GS11">
        <f>IF('STERLING CATALOG - DRY '!82:82,"AAAAAGl6b8g=",0)</f>
        <v>0</v>
      </c>
      <c r="GT11" t="e">
        <f>AND('STERLING CATALOG - DRY '!A82,"AAAAAGl6b8k=")</f>
        <v>#VALUE!</v>
      </c>
      <c r="GU11" t="e">
        <f>AND('STERLING CATALOG - DRY '!B82,"AAAAAGl6b8o=")</f>
        <v>#VALUE!</v>
      </c>
      <c r="GV11" t="e">
        <f>AND('STERLING CATALOG - DRY '!C82,"AAAAAGl6b8s=")</f>
        <v>#VALUE!</v>
      </c>
      <c r="GW11" t="e">
        <f>AND('STERLING CATALOG - DRY '!D82,"AAAAAGl6b8w=")</f>
        <v>#VALUE!</v>
      </c>
      <c r="GX11" t="e">
        <f>AND('STERLING CATALOG - DRY '!E82,"AAAAAGl6b80=")</f>
        <v>#VALUE!</v>
      </c>
      <c r="GY11" t="e">
        <f>AND('STERLING CATALOG - DRY '!F82,"AAAAAGl6b84=")</f>
        <v>#VALUE!</v>
      </c>
      <c r="GZ11" t="e">
        <f>AND('STERLING CATALOG - DRY '!G82,"AAAAAGl6b88=")</f>
        <v>#VALUE!</v>
      </c>
      <c r="HA11" t="e">
        <f>AND('STERLING CATALOG - DRY '!H82,"AAAAAGl6b9A=")</f>
        <v>#VALUE!</v>
      </c>
      <c r="HB11" t="e">
        <f>AND('STERLING CATALOG - DRY '!I82,"AAAAAGl6b9E=")</f>
        <v>#VALUE!</v>
      </c>
      <c r="HC11" t="e">
        <f>AND('STERLING CATALOG - DRY '!J82,"AAAAAGl6b9I=")</f>
        <v>#VALUE!</v>
      </c>
      <c r="HD11">
        <f>IF('STERLING CATALOG - DRY '!83:83,"AAAAAGl6b9M=",0)</f>
        <v>0</v>
      </c>
      <c r="HE11" t="e">
        <f>AND('STERLING CATALOG - DRY '!A83,"AAAAAGl6b9Q=")</f>
        <v>#VALUE!</v>
      </c>
      <c r="HF11" t="e">
        <f>AND('STERLING CATALOG - DRY '!B83,"AAAAAGl6b9U=")</f>
        <v>#VALUE!</v>
      </c>
      <c r="HG11" t="e">
        <f>AND('STERLING CATALOG - DRY '!C83,"AAAAAGl6b9Y=")</f>
        <v>#VALUE!</v>
      </c>
      <c r="HH11" t="e">
        <f>AND('STERLING CATALOG - DRY '!D83,"AAAAAGl6b9c=")</f>
        <v>#VALUE!</v>
      </c>
      <c r="HI11" t="e">
        <f>AND('STERLING CATALOG - DRY '!E83,"AAAAAGl6b9g=")</f>
        <v>#VALUE!</v>
      </c>
      <c r="HJ11" t="e">
        <f>AND('STERLING CATALOG - DRY '!F83,"AAAAAGl6b9k=")</f>
        <v>#VALUE!</v>
      </c>
      <c r="HK11" t="e">
        <f>AND('STERLING CATALOG - DRY '!G83,"AAAAAGl6b9o=")</f>
        <v>#VALUE!</v>
      </c>
      <c r="HL11" t="e">
        <f>AND('STERLING CATALOG - DRY '!H83,"AAAAAGl6b9s=")</f>
        <v>#VALUE!</v>
      </c>
      <c r="HM11" t="e">
        <f>AND('STERLING CATALOG - DRY '!I83,"AAAAAGl6b9w=")</f>
        <v>#VALUE!</v>
      </c>
      <c r="HN11" t="e">
        <f>AND('STERLING CATALOG - DRY '!J83,"AAAAAGl6b90=")</f>
        <v>#VALUE!</v>
      </c>
      <c r="HO11">
        <f>IF('STERLING CATALOG - DRY '!84:84,"AAAAAGl6b94=",0)</f>
        <v>0</v>
      </c>
      <c r="HP11" t="e">
        <f>AND('STERLING CATALOG - DRY '!A84,"AAAAAGl6b98=")</f>
        <v>#VALUE!</v>
      </c>
      <c r="HQ11" t="e">
        <f>AND('STERLING CATALOG - DRY '!B84,"AAAAAGl6b+A=")</f>
        <v>#VALUE!</v>
      </c>
      <c r="HR11" t="e">
        <f>AND('STERLING CATALOG - DRY '!C84,"AAAAAGl6b+E=")</f>
        <v>#VALUE!</v>
      </c>
      <c r="HS11" t="e">
        <f>AND('STERLING CATALOG - DRY '!D84,"AAAAAGl6b+I=")</f>
        <v>#VALUE!</v>
      </c>
      <c r="HT11" t="e">
        <f>AND('STERLING CATALOG - DRY '!E84,"AAAAAGl6b+M=")</f>
        <v>#VALUE!</v>
      </c>
      <c r="HU11" t="e">
        <f>AND('STERLING CATALOG - DRY '!F84,"AAAAAGl6b+Q=")</f>
        <v>#VALUE!</v>
      </c>
      <c r="HV11" t="e">
        <f>AND('STERLING CATALOG - DRY '!G84,"AAAAAGl6b+U=")</f>
        <v>#VALUE!</v>
      </c>
      <c r="HW11" t="e">
        <f>AND('STERLING CATALOG - DRY '!H84,"AAAAAGl6b+Y=")</f>
        <v>#VALUE!</v>
      </c>
      <c r="HX11" t="e">
        <f>AND('STERLING CATALOG - DRY '!I84,"AAAAAGl6b+c=")</f>
        <v>#VALUE!</v>
      </c>
      <c r="HY11" t="e">
        <f>AND('STERLING CATALOG - DRY '!J84,"AAAAAGl6b+g=")</f>
        <v>#VALUE!</v>
      </c>
      <c r="HZ11">
        <f>IF('STERLING CATALOG - DRY '!85:85,"AAAAAGl6b+k=",0)</f>
        <v>0</v>
      </c>
      <c r="IA11" t="e">
        <f>AND('STERLING CATALOG - DRY '!A85,"AAAAAGl6b+o=")</f>
        <v>#VALUE!</v>
      </c>
      <c r="IB11" t="e">
        <f>AND('STERLING CATALOG - DRY '!B85,"AAAAAGl6b+s=")</f>
        <v>#VALUE!</v>
      </c>
      <c r="IC11" t="e">
        <f>AND('STERLING CATALOG - DRY '!C85,"AAAAAGl6b+w=")</f>
        <v>#VALUE!</v>
      </c>
      <c r="ID11" t="e">
        <f>AND('STERLING CATALOG - DRY '!D85,"AAAAAGl6b+0=")</f>
        <v>#VALUE!</v>
      </c>
      <c r="IE11" t="e">
        <f>AND('STERLING CATALOG - DRY '!E85,"AAAAAGl6b+4=")</f>
        <v>#VALUE!</v>
      </c>
      <c r="IF11" t="e">
        <f>AND('STERLING CATALOG - DRY '!F85,"AAAAAGl6b+8=")</f>
        <v>#VALUE!</v>
      </c>
      <c r="IG11" t="e">
        <f>AND('STERLING CATALOG - DRY '!G85,"AAAAAGl6b/A=")</f>
        <v>#VALUE!</v>
      </c>
      <c r="IH11" t="e">
        <f>AND('STERLING CATALOG - DRY '!H85,"AAAAAGl6b/E=")</f>
        <v>#VALUE!</v>
      </c>
      <c r="II11" t="e">
        <f>AND('STERLING CATALOG - DRY '!I85,"AAAAAGl6b/I=")</f>
        <v>#VALUE!</v>
      </c>
      <c r="IJ11" t="e">
        <f>AND('STERLING CATALOG - DRY '!J85,"AAAAAGl6b/M=")</f>
        <v>#VALUE!</v>
      </c>
      <c r="IK11">
        <f>IF('STERLING CATALOG - DRY '!86:86,"AAAAAGl6b/Q=",0)</f>
        <v>0</v>
      </c>
      <c r="IL11" t="e">
        <f>AND('STERLING CATALOG - DRY '!A86,"AAAAAGl6b/U=")</f>
        <v>#VALUE!</v>
      </c>
      <c r="IM11" t="e">
        <f>AND('STERLING CATALOG - DRY '!B86,"AAAAAGl6b/Y=")</f>
        <v>#VALUE!</v>
      </c>
      <c r="IN11" t="e">
        <f>AND('STERLING CATALOG - DRY '!C86,"AAAAAGl6b/c=")</f>
        <v>#VALUE!</v>
      </c>
      <c r="IO11" t="e">
        <f>AND('STERLING CATALOG - DRY '!D86,"AAAAAGl6b/g=")</f>
        <v>#VALUE!</v>
      </c>
      <c r="IP11" t="e">
        <f>AND('STERLING CATALOG - DRY '!E86,"AAAAAGl6b/k=")</f>
        <v>#VALUE!</v>
      </c>
      <c r="IQ11" t="e">
        <f>AND('STERLING CATALOG - DRY '!F86,"AAAAAGl6b/o=")</f>
        <v>#VALUE!</v>
      </c>
      <c r="IR11" t="e">
        <f>AND('STERLING CATALOG - DRY '!G86,"AAAAAGl6b/s=")</f>
        <v>#VALUE!</v>
      </c>
      <c r="IS11" t="e">
        <f>AND('STERLING CATALOG - DRY '!H86,"AAAAAGl6b/w=")</f>
        <v>#VALUE!</v>
      </c>
      <c r="IT11" t="e">
        <f>AND('STERLING CATALOG - DRY '!I86,"AAAAAGl6b/0=")</f>
        <v>#VALUE!</v>
      </c>
      <c r="IU11" t="e">
        <f>AND('STERLING CATALOG - DRY '!J86,"AAAAAGl6b/4=")</f>
        <v>#VALUE!</v>
      </c>
      <c r="IV11">
        <f>IF('STERLING CATALOG - DRY '!87:87,"AAAAAGl6b/8=",0)</f>
        <v>0</v>
      </c>
    </row>
    <row r="12" spans="1:256">
      <c r="A12" t="e">
        <f>AND('STERLING CATALOG - DRY '!A87,"AAAAAH+zXQA=")</f>
        <v>#VALUE!</v>
      </c>
      <c r="B12" t="e">
        <f>AND('STERLING CATALOG - DRY '!B87,"AAAAAH+zXQE=")</f>
        <v>#VALUE!</v>
      </c>
      <c r="C12" t="e">
        <f>AND('STERLING CATALOG - DRY '!C87,"AAAAAH+zXQI=")</f>
        <v>#VALUE!</v>
      </c>
      <c r="D12" t="e">
        <f>AND('STERLING CATALOG - DRY '!D87,"AAAAAH+zXQM=")</f>
        <v>#VALUE!</v>
      </c>
      <c r="E12" t="e">
        <f>AND('STERLING CATALOG - DRY '!E87,"AAAAAH+zXQQ=")</f>
        <v>#VALUE!</v>
      </c>
      <c r="F12" t="e">
        <f>AND('STERLING CATALOG - DRY '!F87,"AAAAAH+zXQU=")</f>
        <v>#VALUE!</v>
      </c>
      <c r="G12" t="e">
        <f>AND('STERLING CATALOG - DRY '!G87,"AAAAAH+zXQY=")</f>
        <v>#VALUE!</v>
      </c>
      <c r="H12" t="e">
        <f>AND('STERLING CATALOG - DRY '!H87,"AAAAAH+zXQc=")</f>
        <v>#VALUE!</v>
      </c>
      <c r="I12" t="e">
        <f>AND('STERLING CATALOG - DRY '!I87,"AAAAAH+zXQg=")</f>
        <v>#VALUE!</v>
      </c>
      <c r="J12" t="e">
        <f>AND('STERLING CATALOG - DRY '!J87,"AAAAAH+zXQk=")</f>
        <v>#VALUE!</v>
      </c>
      <c r="K12">
        <f>IF('STERLING CATALOG - DRY '!88:88,"AAAAAH+zXQo=",0)</f>
        <v>0</v>
      </c>
      <c r="L12" t="e">
        <f>AND('STERLING CATALOG - DRY '!A88,"AAAAAH+zXQs=")</f>
        <v>#VALUE!</v>
      </c>
      <c r="M12" t="e">
        <f>AND('STERLING CATALOG - DRY '!B88,"AAAAAH+zXQw=")</f>
        <v>#VALUE!</v>
      </c>
      <c r="N12" t="e">
        <f>AND('STERLING CATALOG - DRY '!C88,"AAAAAH+zXQ0=")</f>
        <v>#VALUE!</v>
      </c>
      <c r="O12" t="e">
        <f>AND('STERLING CATALOG - DRY '!D88,"AAAAAH+zXQ4=")</f>
        <v>#VALUE!</v>
      </c>
      <c r="P12" t="e">
        <f>AND('STERLING CATALOG - DRY '!E88,"AAAAAH+zXQ8=")</f>
        <v>#VALUE!</v>
      </c>
      <c r="Q12" t="e">
        <f>AND('STERLING CATALOG - DRY '!F88,"AAAAAH+zXRA=")</f>
        <v>#VALUE!</v>
      </c>
      <c r="R12" t="e">
        <f>AND('STERLING CATALOG - DRY '!G88,"AAAAAH+zXRE=")</f>
        <v>#VALUE!</v>
      </c>
      <c r="S12" t="e">
        <f>AND('STERLING CATALOG - DRY '!H88,"AAAAAH+zXRI=")</f>
        <v>#VALUE!</v>
      </c>
      <c r="T12" t="e">
        <f>AND('STERLING CATALOG - DRY '!I88,"AAAAAH+zXRM=")</f>
        <v>#VALUE!</v>
      </c>
      <c r="U12" t="e">
        <f>AND('STERLING CATALOG - DRY '!J88,"AAAAAH+zXRQ=")</f>
        <v>#VALUE!</v>
      </c>
      <c r="V12">
        <f>IF('STERLING CATALOG - DRY '!89:89,"AAAAAH+zXRU=",0)</f>
        <v>0</v>
      </c>
      <c r="W12" t="e">
        <f>AND('STERLING CATALOG - DRY '!A89,"AAAAAH+zXRY=")</f>
        <v>#VALUE!</v>
      </c>
      <c r="X12" t="e">
        <f>AND('STERLING CATALOG - DRY '!B89,"AAAAAH+zXRc=")</f>
        <v>#VALUE!</v>
      </c>
      <c r="Y12" t="e">
        <f>AND('STERLING CATALOG - DRY '!C89,"AAAAAH+zXRg=")</f>
        <v>#VALUE!</v>
      </c>
      <c r="Z12" t="e">
        <f>AND('STERLING CATALOG - DRY '!D89,"AAAAAH+zXRk=")</f>
        <v>#VALUE!</v>
      </c>
      <c r="AA12" t="e">
        <f>AND('STERLING CATALOG - DRY '!E89,"AAAAAH+zXRo=")</f>
        <v>#VALUE!</v>
      </c>
      <c r="AB12" t="e">
        <f>AND('STERLING CATALOG - DRY '!F89,"AAAAAH+zXRs=")</f>
        <v>#VALUE!</v>
      </c>
      <c r="AC12" t="e">
        <f>AND('STERLING CATALOG - DRY '!G89,"AAAAAH+zXRw=")</f>
        <v>#VALUE!</v>
      </c>
      <c r="AD12" t="e">
        <f>AND('STERLING CATALOG - DRY '!H89,"AAAAAH+zXR0=")</f>
        <v>#VALUE!</v>
      </c>
      <c r="AE12" t="e">
        <f>AND('STERLING CATALOG - DRY '!I89,"AAAAAH+zXR4=")</f>
        <v>#VALUE!</v>
      </c>
      <c r="AF12" t="e">
        <f>AND('STERLING CATALOG - DRY '!J89,"AAAAAH+zXR8=")</f>
        <v>#VALUE!</v>
      </c>
      <c r="AG12">
        <f>IF('STERLING CATALOG - DRY '!90:90,"AAAAAH+zXSA=",0)</f>
        <v>0</v>
      </c>
      <c r="AH12" t="e">
        <f>AND('STERLING CATALOG - DRY '!A90,"AAAAAH+zXSE=")</f>
        <v>#VALUE!</v>
      </c>
      <c r="AI12" t="e">
        <f>AND('STERLING CATALOG - DRY '!B90,"AAAAAH+zXSI=")</f>
        <v>#VALUE!</v>
      </c>
      <c r="AJ12" t="e">
        <f>AND('STERLING CATALOG - DRY '!C90,"AAAAAH+zXSM=")</f>
        <v>#VALUE!</v>
      </c>
      <c r="AK12" t="e">
        <f>AND('STERLING CATALOG - DRY '!D90,"AAAAAH+zXSQ=")</f>
        <v>#VALUE!</v>
      </c>
      <c r="AL12" t="e">
        <f>AND('STERLING CATALOG - DRY '!E90,"AAAAAH+zXSU=")</f>
        <v>#VALUE!</v>
      </c>
      <c r="AM12" t="e">
        <f>AND('STERLING CATALOG - DRY '!F90,"AAAAAH+zXSY=")</f>
        <v>#VALUE!</v>
      </c>
      <c r="AN12" t="e">
        <f>AND('STERLING CATALOG - DRY '!G90,"AAAAAH+zXSc=")</f>
        <v>#VALUE!</v>
      </c>
      <c r="AO12" t="e">
        <f>AND('STERLING CATALOG - DRY '!H90,"AAAAAH+zXSg=")</f>
        <v>#VALUE!</v>
      </c>
      <c r="AP12" t="e">
        <f>AND('STERLING CATALOG - DRY '!I90,"AAAAAH+zXSk=")</f>
        <v>#VALUE!</v>
      </c>
      <c r="AQ12" t="e">
        <f>AND('STERLING CATALOG - DRY '!J90,"AAAAAH+zXSo=")</f>
        <v>#VALUE!</v>
      </c>
      <c r="AR12">
        <f>IF('STERLING CATALOG - DRY '!91:91,"AAAAAH+zXSs=",0)</f>
        <v>0</v>
      </c>
      <c r="AS12" t="e">
        <f>AND('STERLING CATALOG - DRY '!A91,"AAAAAH+zXSw=")</f>
        <v>#VALUE!</v>
      </c>
      <c r="AT12" t="e">
        <f>AND('STERLING CATALOG - DRY '!B91,"AAAAAH+zXS0=")</f>
        <v>#VALUE!</v>
      </c>
      <c r="AU12" t="e">
        <f>AND('STERLING CATALOG - DRY '!C91,"AAAAAH+zXS4=")</f>
        <v>#VALUE!</v>
      </c>
      <c r="AV12" t="e">
        <f>AND('STERLING CATALOG - DRY '!D91,"AAAAAH+zXS8=")</f>
        <v>#VALUE!</v>
      </c>
      <c r="AW12" t="e">
        <f>AND('STERLING CATALOG - DRY '!E91,"AAAAAH+zXTA=")</f>
        <v>#VALUE!</v>
      </c>
      <c r="AX12" t="e">
        <f>AND('STERLING CATALOG - DRY '!F91,"AAAAAH+zXTE=")</f>
        <v>#VALUE!</v>
      </c>
      <c r="AY12" t="e">
        <f>AND('STERLING CATALOG - DRY '!G91,"AAAAAH+zXTI=")</f>
        <v>#VALUE!</v>
      </c>
      <c r="AZ12" t="e">
        <f>AND('STERLING CATALOG - DRY '!H91,"AAAAAH+zXTM=")</f>
        <v>#VALUE!</v>
      </c>
      <c r="BA12" t="e">
        <f>AND('STERLING CATALOG - DRY '!I91,"AAAAAH+zXTQ=")</f>
        <v>#VALUE!</v>
      </c>
      <c r="BB12" t="e">
        <f>AND('STERLING CATALOG - DRY '!J91,"AAAAAH+zXTU=")</f>
        <v>#VALUE!</v>
      </c>
      <c r="BC12">
        <f>IF('STERLING CATALOG - DRY '!92:92,"AAAAAH+zXTY=",0)</f>
        <v>0</v>
      </c>
      <c r="BD12" t="e">
        <f>AND('STERLING CATALOG - DRY '!A92,"AAAAAH+zXTc=")</f>
        <v>#VALUE!</v>
      </c>
      <c r="BE12" t="e">
        <f>AND('STERLING CATALOG - DRY '!B92,"AAAAAH+zXTg=")</f>
        <v>#VALUE!</v>
      </c>
      <c r="BF12" t="e">
        <f>AND('STERLING CATALOG - DRY '!C92,"AAAAAH+zXTk=")</f>
        <v>#VALUE!</v>
      </c>
      <c r="BG12" t="e">
        <f>AND('STERLING CATALOG - DRY '!D92,"AAAAAH+zXTo=")</f>
        <v>#VALUE!</v>
      </c>
      <c r="BH12" t="e">
        <f>AND('STERLING CATALOG - DRY '!E92,"AAAAAH+zXTs=")</f>
        <v>#VALUE!</v>
      </c>
      <c r="BI12" t="e">
        <f>AND('STERLING CATALOG - DRY '!F92,"AAAAAH+zXTw=")</f>
        <v>#VALUE!</v>
      </c>
      <c r="BJ12" t="e">
        <f>AND('STERLING CATALOG - DRY '!G92,"AAAAAH+zXT0=")</f>
        <v>#VALUE!</v>
      </c>
      <c r="BK12" t="e">
        <f>AND('STERLING CATALOG - DRY '!H92,"AAAAAH+zXT4=")</f>
        <v>#VALUE!</v>
      </c>
      <c r="BL12" t="e">
        <f>AND('STERLING CATALOG - DRY '!I92,"AAAAAH+zXT8=")</f>
        <v>#VALUE!</v>
      </c>
      <c r="BM12" t="e">
        <f>AND('STERLING CATALOG - DRY '!J92,"AAAAAH+zXUA=")</f>
        <v>#VALUE!</v>
      </c>
      <c r="BN12">
        <f>IF('STERLING CATALOG - DRY '!93:93,"AAAAAH+zXUE=",0)</f>
        <v>0</v>
      </c>
      <c r="BO12" t="e">
        <f>AND('STERLING CATALOG - DRY '!A93,"AAAAAH+zXUI=")</f>
        <v>#VALUE!</v>
      </c>
      <c r="BP12" t="e">
        <f>AND('STERLING CATALOG - DRY '!B93,"AAAAAH+zXUM=")</f>
        <v>#VALUE!</v>
      </c>
      <c r="BQ12" t="e">
        <f>AND('STERLING CATALOG - DRY '!C93,"AAAAAH+zXUQ=")</f>
        <v>#VALUE!</v>
      </c>
      <c r="BR12" t="e">
        <f>AND('STERLING CATALOG - DRY '!D93,"AAAAAH+zXUU=")</f>
        <v>#VALUE!</v>
      </c>
      <c r="BS12" t="e">
        <f>AND('STERLING CATALOG - DRY '!E93,"AAAAAH+zXUY=")</f>
        <v>#VALUE!</v>
      </c>
      <c r="BT12" t="e">
        <f>AND('STERLING CATALOG - DRY '!F93,"AAAAAH+zXUc=")</f>
        <v>#VALUE!</v>
      </c>
      <c r="BU12" t="e">
        <f>AND('STERLING CATALOG - DRY '!G93,"AAAAAH+zXUg=")</f>
        <v>#VALUE!</v>
      </c>
      <c r="BV12" t="e">
        <f>AND('STERLING CATALOG - DRY '!H93,"AAAAAH+zXUk=")</f>
        <v>#VALUE!</v>
      </c>
      <c r="BW12" t="e">
        <f>AND('STERLING CATALOG - DRY '!I93,"AAAAAH+zXUo=")</f>
        <v>#VALUE!</v>
      </c>
      <c r="BX12" t="e">
        <f>AND('STERLING CATALOG - DRY '!J93,"AAAAAH+zXUs=")</f>
        <v>#VALUE!</v>
      </c>
      <c r="BY12">
        <f>IF('STERLING CATALOG - DRY '!94:94,"AAAAAH+zXUw=",0)</f>
        <v>0</v>
      </c>
      <c r="BZ12" t="e">
        <f>AND('STERLING CATALOG - DRY '!A94,"AAAAAH+zXU0=")</f>
        <v>#VALUE!</v>
      </c>
      <c r="CA12" t="e">
        <f>AND('STERLING CATALOG - DRY '!B94,"AAAAAH+zXU4=")</f>
        <v>#VALUE!</v>
      </c>
      <c r="CB12" t="e">
        <f>AND('STERLING CATALOG - DRY '!C94,"AAAAAH+zXU8=")</f>
        <v>#VALUE!</v>
      </c>
      <c r="CC12" t="e">
        <f>AND('STERLING CATALOG - DRY '!D94,"AAAAAH+zXVA=")</f>
        <v>#VALUE!</v>
      </c>
      <c r="CD12" t="e">
        <f>AND('STERLING CATALOG - DRY '!E94,"AAAAAH+zXVE=")</f>
        <v>#VALUE!</v>
      </c>
      <c r="CE12" t="e">
        <f>AND('STERLING CATALOG - DRY '!F94,"AAAAAH+zXVI=")</f>
        <v>#VALUE!</v>
      </c>
      <c r="CF12" t="e">
        <f>AND('STERLING CATALOG - DRY '!G94,"AAAAAH+zXVM=")</f>
        <v>#VALUE!</v>
      </c>
      <c r="CG12" t="e">
        <f>AND('STERLING CATALOG - DRY '!H94,"AAAAAH+zXVQ=")</f>
        <v>#VALUE!</v>
      </c>
      <c r="CH12" t="e">
        <f>AND('STERLING CATALOG - DRY '!I94,"AAAAAH+zXVU=")</f>
        <v>#VALUE!</v>
      </c>
      <c r="CI12" t="e">
        <f>AND('STERLING CATALOG - DRY '!J94,"AAAAAH+zXVY=")</f>
        <v>#VALUE!</v>
      </c>
      <c r="CJ12">
        <f>IF('STERLING CATALOG - DRY '!95:95,"AAAAAH+zXVc=",0)</f>
        <v>0</v>
      </c>
      <c r="CK12" t="e">
        <f>AND('STERLING CATALOG - DRY '!A95,"AAAAAH+zXVg=")</f>
        <v>#VALUE!</v>
      </c>
      <c r="CL12" t="e">
        <f>AND('STERLING CATALOG - DRY '!B95,"AAAAAH+zXVk=")</f>
        <v>#VALUE!</v>
      </c>
      <c r="CM12" t="e">
        <f>AND('STERLING CATALOG - DRY '!C95,"AAAAAH+zXVo=")</f>
        <v>#VALUE!</v>
      </c>
      <c r="CN12" t="e">
        <f>AND('STERLING CATALOG - DRY '!D95,"AAAAAH+zXVs=")</f>
        <v>#VALUE!</v>
      </c>
      <c r="CO12" t="e">
        <f>AND('STERLING CATALOG - DRY '!E95,"AAAAAH+zXVw=")</f>
        <v>#VALUE!</v>
      </c>
      <c r="CP12" t="e">
        <f>AND('STERLING CATALOG - DRY '!F95,"AAAAAH+zXV0=")</f>
        <v>#VALUE!</v>
      </c>
      <c r="CQ12" t="e">
        <f>AND('STERLING CATALOG - DRY '!G95,"AAAAAH+zXV4=")</f>
        <v>#VALUE!</v>
      </c>
      <c r="CR12" t="e">
        <f>AND('STERLING CATALOG - DRY '!H95,"AAAAAH+zXV8=")</f>
        <v>#VALUE!</v>
      </c>
      <c r="CS12" t="e">
        <f>AND('STERLING CATALOG - DRY '!I95,"AAAAAH+zXWA=")</f>
        <v>#VALUE!</v>
      </c>
      <c r="CT12" t="e">
        <f>AND('STERLING CATALOG - DRY '!J95,"AAAAAH+zXWE=")</f>
        <v>#VALUE!</v>
      </c>
      <c r="CU12">
        <f>IF('STERLING CATALOG - DRY '!96:96,"AAAAAH+zXWI=",0)</f>
        <v>0</v>
      </c>
      <c r="CV12" t="e">
        <f>AND('STERLING CATALOG - DRY '!A96,"AAAAAH+zXWM=")</f>
        <v>#VALUE!</v>
      </c>
      <c r="CW12" t="e">
        <f>AND('STERLING CATALOG - DRY '!B96,"AAAAAH+zXWQ=")</f>
        <v>#VALUE!</v>
      </c>
      <c r="CX12" t="e">
        <f>AND('STERLING CATALOG - DRY '!C96,"AAAAAH+zXWU=")</f>
        <v>#VALUE!</v>
      </c>
      <c r="CY12" t="e">
        <f>AND('STERLING CATALOG - DRY '!D96,"AAAAAH+zXWY=")</f>
        <v>#VALUE!</v>
      </c>
      <c r="CZ12" t="e">
        <f>AND('STERLING CATALOG - DRY '!E96,"AAAAAH+zXWc=")</f>
        <v>#VALUE!</v>
      </c>
      <c r="DA12" t="e">
        <f>AND('STERLING CATALOG - DRY '!F96,"AAAAAH+zXWg=")</f>
        <v>#VALUE!</v>
      </c>
      <c r="DB12" t="e">
        <f>AND('STERLING CATALOG - DRY '!G96,"AAAAAH+zXWk=")</f>
        <v>#VALUE!</v>
      </c>
      <c r="DC12" t="e">
        <f>AND('STERLING CATALOG - DRY '!H96,"AAAAAH+zXWo=")</f>
        <v>#VALUE!</v>
      </c>
      <c r="DD12" t="e">
        <f>AND('STERLING CATALOG - DRY '!I96,"AAAAAH+zXWs=")</f>
        <v>#VALUE!</v>
      </c>
      <c r="DE12" t="e">
        <f>AND('STERLING CATALOG - DRY '!J96,"AAAAAH+zXWw=")</f>
        <v>#VALUE!</v>
      </c>
      <c r="DF12">
        <f>IF('STERLING CATALOG - DRY '!97:97,"AAAAAH+zXW0=",0)</f>
        <v>0</v>
      </c>
      <c r="DG12" t="e">
        <f>AND('STERLING CATALOG - DRY '!A97,"AAAAAH+zXW4=")</f>
        <v>#VALUE!</v>
      </c>
      <c r="DH12" t="e">
        <f>AND('STERLING CATALOG - DRY '!B97,"AAAAAH+zXW8=")</f>
        <v>#VALUE!</v>
      </c>
      <c r="DI12" t="e">
        <f>AND('STERLING CATALOG - DRY '!C97,"AAAAAH+zXXA=")</f>
        <v>#VALUE!</v>
      </c>
      <c r="DJ12" t="e">
        <f>AND('STERLING CATALOG - DRY '!D97,"AAAAAH+zXXE=")</f>
        <v>#VALUE!</v>
      </c>
      <c r="DK12" t="e">
        <f>AND('STERLING CATALOG - DRY '!E97,"AAAAAH+zXXI=")</f>
        <v>#VALUE!</v>
      </c>
      <c r="DL12" t="e">
        <f>AND('STERLING CATALOG - DRY '!F97,"AAAAAH+zXXM=")</f>
        <v>#VALUE!</v>
      </c>
      <c r="DM12" t="e">
        <f>AND('STERLING CATALOG - DRY '!G97,"AAAAAH+zXXQ=")</f>
        <v>#VALUE!</v>
      </c>
      <c r="DN12" t="e">
        <f>AND('STERLING CATALOG - DRY '!H97,"AAAAAH+zXXU=")</f>
        <v>#VALUE!</v>
      </c>
      <c r="DO12" t="e">
        <f>AND('STERLING CATALOG - DRY '!I97,"AAAAAH+zXXY=")</f>
        <v>#VALUE!</v>
      </c>
      <c r="DP12" t="e">
        <f>AND('STERLING CATALOG - DRY '!J97,"AAAAAH+zXXc=")</f>
        <v>#VALUE!</v>
      </c>
      <c r="DQ12">
        <f>IF('STERLING CATALOG - DRY '!98:98,"AAAAAH+zXXg=",0)</f>
        <v>0</v>
      </c>
      <c r="DR12" t="e">
        <f>AND('STERLING CATALOG - DRY '!A98,"AAAAAH+zXXk=")</f>
        <v>#VALUE!</v>
      </c>
      <c r="DS12" t="e">
        <f>AND('STERLING CATALOG - DRY '!B98,"AAAAAH+zXXo=")</f>
        <v>#VALUE!</v>
      </c>
      <c r="DT12" t="e">
        <f>AND('STERLING CATALOG - DRY '!C98,"AAAAAH+zXXs=")</f>
        <v>#VALUE!</v>
      </c>
      <c r="DU12" t="e">
        <f>AND('STERLING CATALOG - DRY '!D98,"AAAAAH+zXXw=")</f>
        <v>#VALUE!</v>
      </c>
      <c r="DV12" t="e">
        <f>AND('STERLING CATALOG - DRY '!E98,"AAAAAH+zXX0=")</f>
        <v>#VALUE!</v>
      </c>
      <c r="DW12" t="e">
        <f>AND('STERLING CATALOG - DRY '!F98,"AAAAAH+zXX4=")</f>
        <v>#VALUE!</v>
      </c>
      <c r="DX12" t="e">
        <f>AND('STERLING CATALOG - DRY '!G98,"AAAAAH+zXX8=")</f>
        <v>#VALUE!</v>
      </c>
      <c r="DY12" t="e">
        <f>AND('STERLING CATALOG - DRY '!H98,"AAAAAH+zXYA=")</f>
        <v>#VALUE!</v>
      </c>
      <c r="DZ12" t="e">
        <f>AND('STERLING CATALOG - DRY '!I98,"AAAAAH+zXYE=")</f>
        <v>#VALUE!</v>
      </c>
      <c r="EA12" t="e">
        <f>AND('STERLING CATALOG - DRY '!J98,"AAAAAH+zXYI=")</f>
        <v>#VALUE!</v>
      </c>
      <c r="EB12">
        <f>IF('STERLING CATALOG - DRY '!99:99,"AAAAAH+zXYM=",0)</f>
        <v>0</v>
      </c>
      <c r="EC12" t="e">
        <f>AND('STERLING CATALOG - DRY '!A99,"AAAAAH+zXYQ=")</f>
        <v>#VALUE!</v>
      </c>
      <c r="ED12" t="e">
        <f>AND('STERLING CATALOG - DRY '!B99,"AAAAAH+zXYU=")</f>
        <v>#VALUE!</v>
      </c>
      <c r="EE12" t="e">
        <f>AND('STERLING CATALOG - DRY '!C99,"AAAAAH+zXYY=")</f>
        <v>#VALUE!</v>
      </c>
      <c r="EF12" t="e">
        <f>AND('STERLING CATALOG - DRY '!D99,"AAAAAH+zXYc=")</f>
        <v>#VALUE!</v>
      </c>
      <c r="EG12" t="e">
        <f>AND('STERLING CATALOG - DRY '!E99,"AAAAAH+zXYg=")</f>
        <v>#VALUE!</v>
      </c>
      <c r="EH12" t="e">
        <f>AND('STERLING CATALOG - DRY '!F99,"AAAAAH+zXYk=")</f>
        <v>#VALUE!</v>
      </c>
      <c r="EI12" t="e">
        <f>AND('STERLING CATALOG - DRY '!G99,"AAAAAH+zXYo=")</f>
        <v>#VALUE!</v>
      </c>
      <c r="EJ12" t="e">
        <f>AND('STERLING CATALOG - DRY '!H99,"AAAAAH+zXYs=")</f>
        <v>#VALUE!</v>
      </c>
      <c r="EK12" t="e">
        <f>AND('STERLING CATALOG - DRY '!I99,"AAAAAH+zXYw=")</f>
        <v>#VALUE!</v>
      </c>
      <c r="EL12" t="e">
        <f>AND('STERLING CATALOG - DRY '!J99,"AAAAAH+zXY0=")</f>
        <v>#VALUE!</v>
      </c>
      <c r="EM12">
        <f>IF('STERLING CATALOG - DRY '!100:100,"AAAAAH+zXY4=",0)</f>
        <v>0</v>
      </c>
      <c r="EN12" t="e">
        <f>AND('STERLING CATALOG - DRY '!A100,"AAAAAH+zXY8=")</f>
        <v>#VALUE!</v>
      </c>
      <c r="EO12" t="e">
        <f>AND('STERLING CATALOG - DRY '!B100,"AAAAAH+zXZA=")</f>
        <v>#VALUE!</v>
      </c>
      <c r="EP12" t="e">
        <f>AND('STERLING CATALOG - DRY '!C100,"AAAAAH+zXZE=")</f>
        <v>#VALUE!</v>
      </c>
      <c r="EQ12" t="e">
        <f>AND('STERLING CATALOG - DRY '!D100,"AAAAAH+zXZI=")</f>
        <v>#VALUE!</v>
      </c>
      <c r="ER12" t="e">
        <f>AND('STERLING CATALOG - DRY '!E100,"AAAAAH+zXZM=")</f>
        <v>#VALUE!</v>
      </c>
      <c r="ES12" t="e">
        <f>AND('STERLING CATALOG - DRY '!F100,"AAAAAH+zXZQ=")</f>
        <v>#VALUE!</v>
      </c>
      <c r="ET12" t="e">
        <f>AND('STERLING CATALOG - DRY '!G100,"AAAAAH+zXZU=")</f>
        <v>#VALUE!</v>
      </c>
      <c r="EU12" t="e">
        <f>AND('STERLING CATALOG - DRY '!H100,"AAAAAH+zXZY=")</f>
        <v>#VALUE!</v>
      </c>
      <c r="EV12" t="e">
        <f>AND('STERLING CATALOG - DRY '!I100,"AAAAAH+zXZc=")</f>
        <v>#VALUE!</v>
      </c>
      <c r="EW12" t="e">
        <f>AND('STERLING CATALOG - DRY '!J100,"AAAAAH+zXZg=")</f>
        <v>#VALUE!</v>
      </c>
      <c r="EX12">
        <f>IF('STERLING CATALOG - DRY '!101:101,"AAAAAH+zXZk=",0)</f>
        <v>0</v>
      </c>
      <c r="EY12" t="e">
        <f>AND('STERLING CATALOG - DRY '!A101,"AAAAAH+zXZo=")</f>
        <v>#VALUE!</v>
      </c>
      <c r="EZ12" t="e">
        <f>AND('STERLING CATALOG - DRY '!B101,"AAAAAH+zXZs=")</f>
        <v>#VALUE!</v>
      </c>
      <c r="FA12" t="e">
        <f>AND('STERLING CATALOG - DRY '!C101,"AAAAAH+zXZw=")</f>
        <v>#VALUE!</v>
      </c>
      <c r="FB12" t="e">
        <f>AND('STERLING CATALOG - DRY '!D101,"AAAAAH+zXZ0=")</f>
        <v>#VALUE!</v>
      </c>
      <c r="FC12" t="e">
        <f>AND('STERLING CATALOG - DRY '!E101,"AAAAAH+zXZ4=")</f>
        <v>#VALUE!</v>
      </c>
      <c r="FD12" t="e">
        <f>AND('STERLING CATALOG - DRY '!F101,"AAAAAH+zXZ8=")</f>
        <v>#VALUE!</v>
      </c>
      <c r="FE12" t="e">
        <f>AND('STERLING CATALOG - DRY '!G101,"AAAAAH+zXaA=")</f>
        <v>#VALUE!</v>
      </c>
      <c r="FF12" t="e">
        <f>AND('STERLING CATALOG - DRY '!H101,"AAAAAH+zXaE=")</f>
        <v>#VALUE!</v>
      </c>
      <c r="FG12" t="e">
        <f>AND('STERLING CATALOG - DRY '!I101,"AAAAAH+zXaI=")</f>
        <v>#VALUE!</v>
      </c>
      <c r="FH12" t="e">
        <f>AND('STERLING CATALOG - DRY '!J101,"AAAAAH+zXaM=")</f>
        <v>#VALUE!</v>
      </c>
      <c r="FI12">
        <f>IF('STERLING CATALOG - DRY '!102:102,"AAAAAH+zXaQ=",0)</f>
        <v>0</v>
      </c>
      <c r="FJ12" t="e">
        <f>AND('STERLING CATALOG - DRY '!A102,"AAAAAH+zXaU=")</f>
        <v>#VALUE!</v>
      </c>
      <c r="FK12" t="e">
        <f>AND('STERLING CATALOG - DRY '!B102,"AAAAAH+zXaY=")</f>
        <v>#VALUE!</v>
      </c>
      <c r="FL12" t="e">
        <f>AND('STERLING CATALOG - DRY '!C102,"AAAAAH+zXac=")</f>
        <v>#VALUE!</v>
      </c>
      <c r="FM12" t="e">
        <f>AND('STERLING CATALOG - DRY '!D102,"AAAAAH+zXag=")</f>
        <v>#VALUE!</v>
      </c>
      <c r="FN12" t="e">
        <f>AND('STERLING CATALOG - DRY '!E102,"AAAAAH+zXak=")</f>
        <v>#VALUE!</v>
      </c>
      <c r="FO12" t="e">
        <f>AND('STERLING CATALOG - DRY '!F102,"AAAAAH+zXao=")</f>
        <v>#VALUE!</v>
      </c>
      <c r="FP12" t="e">
        <f>AND('STERLING CATALOG - DRY '!G102,"AAAAAH+zXas=")</f>
        <v>#VALUE!</v>
      </c>
      <c r="FQ12" t="e">
        <f>AND('STERLING CATALOG - DRY '!H102,"AAAAAH+zXaw=")</f>
        <v>#VALUE!</v>
      </c>
      <c r="FR12" t="e">
        <f>AND('STERLING CATALOG - DRY '!I102,"AAAAAH+zXa0=")</f>
        <v>#VALUE!</v>
      </c>
      <c r="FS12" t="e">
        <f>AND('STERLING CATALOG - DRY '!J102,"AAAAAH+zXa4=")</f>
        <v>#VALUE!</v>
      </c>
      <c r="FT12">
        <f>IF('STERLING CATALOG - DRY '!103:103,"AAAAAH+zXa8=",0)</f>
        <v>0</v>
      </c>
      <c r="FU12" t="e">
        <f>AND('STERLING CATALOG - DRY '!A103,"AAAAAH+zXbA=")</f>
        <v>#VALUE!</v>
      </c>
      <c r="FV12" t="e">
        <f>AND('STERLING CATALOG - DRY '!B103,"AAAAAH+zXbE=")</f>
        <v>#VALUE!</v>
      </c>
      <c r="FW12" t="e">
        <f>AND('STERLING CATALOG - DRY '!C103,"AAAAAH+zXbI=")</f>
        <v>#VALUE!</v>
      </c>
      <c r="FX12" t="e">
        <f>AND('STERLING CATALOG - DRY '!D103,"AAAAAH+zXbM=")</f>
        <v>#VALUE!</v>
      </c>
      <c r="FY12" t="e">
        <f>AND('STERLING CATALOG - DRY '!E103,"AAAAAH+zXbQ=")</f>
        <v>#VALUE!</v>
      </c>
      <c r="FZ12" t="e">
        <f>AND('STERLING CATALOG - DRY '!F103,"AAAAAH+zXbU=")</f>
        <v>#VALUE!</v>
      </c>
      <c r="GA12" t="e">
        <f>AND('STERLING CATALOG - DRY '!G103,"AAAAAH+zXbY=")</f>
        <v>#VALUE!</v>
      </c>
      <c r="GB12" t="e">
        <f>AND('STERLING CATALOG - DRY '!H103,"AAAAAH+zXbc=")</f>
        <v>#VALUE!</v>
      </c>
      <c r="GC12" t="e">
        <f>AND('STERLING CATALOG - DRY '!I103,"AAAAAH+zXbg=")</f>
        <v>#VALUE!</v>
      </c>
      <c r="GD12" t="e">
        <f>AND('STERLING CATALOG - DRY '!J103,"AAAAAH+zXbk=")</f>
        <v>#VALUE!</v>
      </c>
      <c r="GE12">
        <f>IF('STERLING CATALOG - DRY '!104:104,"AAAAAH+zXbo=",0)</f>
        <v>0</v>
      </c>
      <c r="GF12" t="e">
        <f>AND('STERLING CATALOG - DRY '!A104,"AAAAAH+zXbs=")</f>
        <v>#VALUE!</v>
      </c>
      <c r="GG12" t="e">
        <f>AND('STERLING CATALOG - DRY '!B104,"AAAAAH+zXbw=")</f>
        <v>#VALUE!</v>
      </c>
      <c r="GH12" t="e">
        <f>AND('STERLING CATALOG - DRY '!C104,"AAAAAH+zXb0=")</f>
        <v>#VALUE!</v>
      </c>
      <c r="GI12" t="e">
        <f>AND('STERLING CATALOG - DRY '!D104,"AAAAAH+zXb4=")</f>
        <v>#VALUE!</v>
      </c>
      <c r="GJ12" t="e">
        <f>AND('STERLING CATALOG - DRY '!E104,"AAAAAH+zXb8=")</f>
        <v>#VALUE!</v>
      </c>
      <c r="GK12" t="e">
        <f>AND('STERLING CATALOG - DRY '!F104,"AAAAAH+zXcA=")</f>
        <v>#VALUE!</v>
      </c>
      <c r="GL12" t="e">
        <f>AND('STERLING CATALOG - DRY '!G104,"AAAAAH+zXcE=")</f>
        <v>#VALUE!</v>
      </c>
      <c r="GM12" t="e">
        <f>AND('STERLING CATALOG - DRY '!H104,"AAAAAH+zXcI=")</f>
        <v>#VALUE!</v>
      </c>
      <c r="GN12" t="e">
        <f>AND('STERLING CATALOG - DRY '!I104,"AAAAAH+zXcM=")</f>
        <v>#VALUE!</v>
      </c>
      <c r="GO12" t="e">
        <f>AND('STERLING CATALOG - DRY '!J104,"AAAAAH+zXcQ=")</f>
        <v>#VALUE!</v>
      </c>
      <c r="GP12">
        <f>IF('STERLING CATALOG - DRY '!105:105,"AAAAAH+zXcU=",0)</f>
        <v>0</v>
      </c>
      <c r="GQ12" t="e">
        <f>AND('STERLING CATALOG - DRY '!A105,"AAAAAH+zXcY=")</f>
        <v>#VALUE!</v>
      </c>
      <c r="GR12" t="e">
        <f>AND('STERLING CATALOG - DRY '!B105,"AAAAAH+zXcc=")</f>
        <v>#VALUE!</v>
      </c>
      <c r="GS12" t="e">
        <f>AND('STERLING CATALOG - DRY '!C105,"AAAAAH+zXcg=")</f>
        <v>#VALUE!</v>
      </c>
      <c r="GT12" t="e">
        <f>AND('STERLING CATALOG - DRY '!D105,"AAAAAH+zXck=")</f>
        <v>#VALUE!</v>
      </c>
      <c r="GU12" t="e">
        <f>AND('STERLING CATALOG - DRY '!E105,"AAAAAH+zXco=")</f>
        <v>#VALUE!</v>
      </c>
      <c r="GV12" t="e">
        <f>AND('STERLING CATALOG - DRY '!F105,"AAAAAH+zXcs=")</f>
        <v>#VALUE!</v>
      </c>
      <c r="GW12" t="e">
        <f>AND('STERLING CATALOG - DRY '!G105,"AAAAAH+zXcw=")</f>
        <v>#VALUE!</v>
      </c>
      <c r="GX12" t="e">
        <f>AND('STERLING CATALOG - DRY '!H105,"AAAAAH+zXc0=")</f>
        <v>#VALUE!</v>
      </c>
      <c r="GY12" t="e">
        <f>AND('STERLING CATALOG - DRY '!I105,"AAAAAH+zXc4=")</f>
        <v>#VALUE!</v>
      </c>
      <c r="GZ12" t="e">
        <f>AND('STERLING CATALOG - DRY '!J105,"AAAAAH+zXc8=")</f>
        <v>#VALUE!</v>
      </c>
      <c r="HA12">
        <f>IF('STERLING CATALOG - DRY '!106:106,"AAAAAH+zXdA=",0)</f>
        <v>0</v>
      </c>
      <c r="HB12" t="e">
        <f>AND('STERLING CATALOG - DRY '!A106,"AAAAAH+zXdE=")</f>
        <v>#VALUE!</v>
      </c>
      <c r="HC12" t="e">
        <f>AND('STERLING CATALOG - DRY '!B106,"AAAAAH+zXdI=")</f>
        <v>#VALUE!</v>
      </c>
      <c r="HD12" t="e">
        <f>AND('STERLING CATALOG - DRY '!C106,"AAAAAH+zXdM=")</f>
        <v>#VALUE!</v>
      </c>
      <c r="HE12" t="e">
        <f>AND('STERLING CATALOG - DRY '!D106,"AAAAAH+zXdQ=")</f>
        <v>#VALUE!</v>
      </c>
      <c r="HF12" t="e">
        <f>AND('STERLING CATALOG - DRY '!E106,"AAAAAH+zXdU=")</f>
        <v>#VALUE!</v>
      </c>
      <c r="HG12" t="e">
        <f>AND('STERLING CATALOG - DRY '!F106,"AAAAAH+zXdY=")</f>
        <v>#VALUE!</v>
      </c>
      <c r="HH12" t="e">
        <f>AND('STERLING CATALOG - DRY '!G106,"AAAAAH+zXdc=")</f>
        <v>#VALUE!</v>
      </c>
      <c r="HI12" t="e">
        <f>AND('STERLING CATALOG - DRY '!H106,"AAAAAH+zXdg=")</f>
        <v>#VALUE!</v>
      </c>
      <c r="HJ12" t="e">
        <f>AND('STERLING CATALOG - DRY '!I106,"AAAAAH+zXdk=")</f>
        <v>#VALUE!</v>
      </c>
      <c r="HK12" t="e">
        <f>AND('STERLING CATALOG - DRY '!J106,"AAAAAH+zXdo=")</f>
        <v>#VALUE!</v>
      </c>
      <c r="HL12">
        <f>IF('STERLING CATALOG - DRY '!107:107,"AAAAAH+zXds=",0)</f>
        <v>0</v>
      </c>
      <c r="HM12" t="e">
        <f>AND('STERLING CATALOG - DRY '!A107,"AAAAAH+zXdw=")</f>
        <v>#VALUE!</v>
      </c>
      <c r="HN12" t="e">
        <f>AND('STERLING CATALOG - DRY '!B107,"AAAAAH+zXd0=")</f>
        <v>#VALUE!</v>
      </c>
      <c r="HO12" t="e">
        <f>AND('STERLING CATALOG - DRY '!C107,"AAAAAH+zXd4=")</f>
        <v>#VALUE!</v>
      </c>
      <c r="HP12" t="e">
        <f>AND('STERLING CATALOG - DRY '!D107,"AAAAAH+zXd8=")</f>
        <v>#VALUE!</v>
      </c>
      <c r="HQ12" t="e">
        <f>AND('STERLING CATALOG - DRY '!E107,"AAAAAH+zXeA=")</f>
        <v>#VALUE!</v>
      </c>
      <c r="HR12" t="e">
        <f>AND('STERLING CATALOG - DRY '!F107,"AAAAAH+zXeE=")</f>
        <v>#VALUE!</v>
      </c>
      <c r="HS12" t="e">
        <f>AND('STERLING CATALOG - DRY '!G107,"AAAAAH+zXeI=")</f>
        <v>#VALUE!</v>
      </c>
      <c r="HT12" t="e">
        <f>AND('STERLING CATALOG - DRY '!H107,"AAAAAH+zXeM=")</f>
        <v>#VALUE!</v>
      </c>
      <c r="HU12" t="e">
        <f>AND('STERLING CATALOG - DRY '!I107,"AAAAAH+zXeQ=")</f>
        <v>#VALUE!</v>
      </c>
      <c r="HV12" t="e">
        <f>AND('STERLING CATALOG - DRY '!J107,"AAAAAH+zXeU=")</f>
        <v>#VALUE!</v>
      </c>
      <c r="HW12">
        <f>IF('STERLING CATALOG - DRY '!108:108,"AAAAAH+zXeY=",0)</f>
        <v>0</v>
      </c>
      <c r="HX12" t="e">
        <f>AND('STERLING CATALOG - DRY '!A108,"AAAAAH+zXec=")</f>
        <v>#VALUE!</v>
      </c>
      <c r="HY12" t="e">
        <f>AND('STERLING CATALOG - DRY '!B108,"AAAAAH+zXeg=")</f>
        <v>#VALUE!</v>
      </c>
      <c r="HZ12" t="e">
        <f>AND('STERLING CATALOG - DRY '!C108,"AAAAAH+zXek=")</f>
        <v>#VALUE!</v>
      </c>
      <c r="IA12" t="e">
        <f>AND('STERLING CATALOG - DRY '!D108,"AAAAAH+zXeo=")</f>
        <v>#VALUE!</v>
      </c>
      <c r="IB12" t="e">
        <f>AND('STERLING CATALOG - DRY '!E108,"AAAAAH+zXes=")</f>
        <v>#VALUE!</v>
      </c>
      <c r="IC12" t="e">
        <f>AND('STERLING CATALOG - DRY '!F108,"AAAAAH+zXew=")</f>
        <v>#VALUE!</v>
      </c>
      <c r="ID12" t="e">
        <f>AND('STERLING CATALOG - DRY '!G108,"AAAAAH+zXe0=")</f>
        <v>#VALUE!</v>
      </c>
      <c r="IE12" t="e">
        <f>AND('STERLING CATALOG - DRY '!H108,"AAAAAH+zXe4=")</f>
        <v>#VALUE!</v>
      </c>
      <c r="IF12" t="e">
        <f>AND('STERLING CATALOG - DRY '!I108,"AAAAAH+zXe8=")</f>
        <v>#VALUE!</v>
      </c>
      <c r="IG12" t="e">
        <f>AND('STERLING CATALOG - DRY '!J108,"AAAAAH+zXfA=")</f>
        <v>#VALUE!</v>
      </c>
      <c r="IH12">
        <f>IF('STERLING CATALOG - DRY '!109:109,"AAAAAH+zXfE=",0)</f>
        <v>0</v>
      </c>
      <c r="II12" t="e">
        <f>AND('STERLING CATALOG - DRY '!A109,"AAAAAH+zXfI=")</f>
        <v>#VALUE!</v>
      </c>
      <c r="IJ12" t="e">
        <f>AND('STERLING CATALOG - DRY '!B109,"AAAAAH+zXfM=")</f>
        <v>#VALUE!</v>
      </c>
      <c r="IK12" t="e">
        <f>AND('STERLING CATALOG - DRY '!C109,"AAAAAH+zXfQ=")</f>
        <v>#VALUE!</v>
      </c>
      <c r="IL12" t="e">
        <f>AND('STERLING CATALOG - DRY '!D109,"AAAAAH+zXfU=")</f>
        <v>#VALUE!</v>
      </c>
      <c r="IM12" t="e">
        <f>AND('STERLING CATALOG - DRY '!E109,"AAAAAH+zXfY=")</f>
        <v>#VALUE!</v>
      </c>
      <c r="IN12" t="e">
        <f>AND('STERLING CATALOG - DRY '!F109,"AAAAAH+zXfc=")</f>
        <v>#VALUE!</v>
      </c>
      <c r="IO12" t="e">
        <f>AND('STERLING CATALOG - DRY '!G109,"AAAAAH+zXfg=")</f>
        <v>#VALUE!</v>
      </c>
      <c r="IP12" t="e">
        <f>AND('STERLING CATALOG - DRY '!H109,"AAAAAH+zXfk=")</f>
        <v>#VALUE!</v>
      </c>
      <c r="IQ12" t="e">
        <f>AND('STERLING CATALOG - DRY '!I109,"AAAAAH+zXfo=")</f>
        <v>#VALUE!</v>
      </c>
      <c r="IR12" t="e">
        <f>AND('STERLING CATALOG - DRY '!J109,"AAAAAH+zXfs=")</f>
        <v>#VALUE!</v>
      </c>
      <c r="IS12">
        <f>IF('STERLING CATALOG - DRY '!110:110,"AAAAAH+zXfw=",0)</f>
        <v>0</v>
      </c>
      <c r="IT12" t="e">
        <f>AND('STERLING CATALOG - DRY '!A110,"AAAAAH+zXf0=")</f>
        <v>#VALUE!</v>
      </c>
      <c r="IU12" t="e">
        <f>AND('STERLING CATALOG - DRY '!B110,"AAAAAH+zXf4=")</f>
        <v>#VALUE!</v>
      </c>
      <c r="IV12" t="e">
        <f>AND('STERLING CATALOG - DRY '!C110,"AAAAAH+zXf8=")</f>
        <v>#VALUE!</v>
      </c>
    </row>
    <row r="13" spans="1:256">
      <c r="A13" t="e">
        <f>AND('STERLING CATALOG - DRY '!D110,"AAAAAF/Z0wA=")</f>
        <v>#VALUE!</v>
      </c>
      <c r="B13" t="e">
        <f>AND('STERLING CATALOG - DRY '!E110,"AAAAAF/Z0wE=")</f>
        <v>#VALUE!</v>
      </c>
      <c r="C13" t="e">
        <f>AND('STERLING CATALOG - DRY '!F110,"AAAAAF/Z0wI=")</f>
        <v>#VALUE!</v>
      </c>
      <c r="D13" t="e">
        <f>AND('STERLING CATALOG - DRY '!G110,"AAAAAF/Z0wM=")</f>
        <v>#VALUE!</v>
      </c>
      <c r="E13" t="e">
        <f>AND('STERLING CATALOG - DRY '!H110,"AAAAAF/Z0wQ=")</f>
        <v>#VALUE!</v>
      </c>
      <c r="F13" t="e">
        <f>AND('STERLING CATALOG - DRY '!I110,"AAAAAF/Z0wU=")</f>
        <v>#VALUE!</v>
      </c>
      <c r="G13" t="e">
        <f>AND('STERLING CATALOG - DRY '!J110,"AAAAAF/Z0wY=")</f>
        <v>#VALUE!</v>
      </c>
      <c r="H13" t="str">
        <f>IF('STERLING CATALOG - DRY '!111:111,"AAAAAF/Z0wc=",0)</f>
        <v>AAAAAF/Z0wc=</v>
      </c>
      <c r="I13" t="e">
        <f>AND('STERLING CATALOG - DRY '!A111,"AAAAAF/Z0wg=")</f>
        <v>#VALUE!</v>
      </c>
      <c r="J13" t="e">
        <f>AND('STERLING CATALOG - DRY '!B111,"AAAAAF/Z0wk=")</f>
        <v>#VALUE!</v>
      </c>
      <c r="K13" t="e">
        <f>AND('STERLING CATALOG - DRY '!C111,"AAAAAF/Z0wo=")</f>
        <v>#VALUE!</v>
      </c>
      <c r="L13" t="e">
        <f>AND('STERLING CATALOG - DRY '!D111,"AAAAAF/Z0ws=")</f>
        <v>#VALUE!</v>
      </c>
      <c r="M13" t="e">
        <f>AND('STERLING CATALOG - DRY '!E111,"AAAAAF/Z0ww=")</f>
        <v>#VALUE!</v>
      </c>
      <c r="N13" t="e">
        <f>AND('STERLING CATALOG - DRY '!F111,"AAAAAF/Z0w0=")</f>
        <v>#VALUE!</v>
      </c>
      <c r="O13" t="e">
        <f>AND('STERLING CATALOG - DRY '!G111,"AAAAAF/Z0w4=")</f>
        <v>#VALUE!</v>
      </c>
      <c r="P13" t="e">
        <f>AND('STERLING CATALOG - DRY '!H111,"AAAAAF/Z0w8=")</f>
        <v>#VALUE!</v>
      </c>
      <c r="Q13" t="e">
        <f>AND('STERLING CATALOG - DRY '!I111,"AAAAAF/Z0xA=")</f>
        <v>#VALUE!</v>
      </c>
      <c r="R13" t="e">
        <f>AND('STERLING CATALOG - DRY '!J111,"AAAAAF/Z0xE=")</f>
        <v>#VALUE!</v>
      </c>
      <c r="S13">
        <f>IF('STERLING CATALOG - DRY '!112:112,"AAAAAF/Z0xI=",0)</f>
        <v>0</v>
      </c>
      <c r="T13" t="e">
        <f>AND('STERLING CATALOG - DRY '!A112,"AAAAAF/Z0xM=")</f>
        <v>#VALUE!</v>
      </c>
      <c r="U13" t="e">
        <f>AND('STERLING CATALOG - DRY '!B112,"AAAAAF/Z0xQ=")</f>
        <v>#VALUE!</v>
      </c>
      <c r="V13" t="e">
        <f>AND('STERLING CATALOG - DRY '!C112,"AAAAAF/Z0xU=")</f>
        <v>#VALUE!</v>
      </c>
      <c r="W13" t="e">
        <f>AND('STERLING CATALOG - DRY '!D112,"AAAAAF/Z0xY=")</f>
        <v>#VALUE!</v>
      </c>
      <c r="X13" t="e">
        <f>AND('STERLING CATALOG - DRY '!E112,"AAAAAF/Z0xc=")</f>
        <v>#VALUE!</v>
      </c>
      <c r="Y13" t="e">
        <f>AND('STERLING CATALOG - DRY '!F112,"AAAAAF/Z0xg=")</f>
        <v>#VALUE!</v>
      </c>
      <c r="Z13" t="e">
        <f>AND('STERLING CATALOG - DRY '!G112,"AAAAAF/Z0xk=")</f>
        <v>#VALUE!</v>
      </c>
      <c r="AA13" t="e">
        <f>AND('STERLING CATALOG - DRY '!H112,"AAAAAF/Z0xo=")</f>
        <v>#VALUE!</v>
      </c>
      <c r="AB13" t="e">
        <f>AND('STERLING CATALOG - DRY '!I112,"AAAAAF/Z0xs=")</f>
        <v>#VALUE!</v>
      </c>
      <c r="AC13" t="e">
        <f>AND('STERLING CATALOG - DRY '!J112,"AAAAAF/Z0xw=")</f>
        <v>#VALUE!</v>
      </c>
      <c r="AD13">
        <f>IF('STERLING CATALOG - DRY '!113:113,"AAAAAF/Z0x0=",0)</f>
        <v>0</v>
      </c>
      <c r="AE13" t="e">
        <f>AND('STERLING CATALOG - DRY '!A113,"AAAAAF/Z0x4=")</f>
        <v>#VALUE!</v>
      </c>
      <c r="AF13" t="e">
        <f>AND('STERLING CATALOG - DRY '!B113,"AAAAAF/Z0x8=")</f>
        <v>#VALUE!</v>
      </c>
      <c r="AG13" t="e">
        <f>AND('STERLING CATALOG - DRY '!C113,"AAAAAF/Z0yA=")</f>
        <v>#VALUE!</v>
      </c>
      <c r="AH13" t="e">
        <f>AND('STERLING CATALOG - DRY '!D113,"AAAAAF/Z0yE=")</f>
        <v>#VALUE!</v>
      </c>
      <c r="AI13" t="e">
        <f>AND('STERLING CATALOG - DRY '!E113,"AAAAAF/Z0yI=")</f>
        <v>#VALUE!</v>
      </c>
      <c r="AJ13" t="e">
        <f>AND('STERLING CATALOG - DRY '!F113,"AAAAAF/Z0yM=")</f>
        <v>#VALUE!</v>
      </c>
      <c r="AK13" t="e">
        <f>AND('STERLING CATALOG - DRY '!G113,"AAAAAF/Z0yQ=")</f>
        <v>#VALUE!</v>
      </c>
      <c r="AL13" t="e">
        <f>AND('STERLING CATALOG - DRY '!H113,"AAAAAF/Z0yU=")</f>
        <v>#VALUE!</v>
      </c>
      <c r="AM13" t="e">
        <f>AND('STERLING CATALOG - DRY '!I113,"AAAAAF/Z0yY=")</f>
        <v>#VALUE!</v>
      </c>
      <c r="AN13" t="e">
        <f>AND('STERLING CATALOG - DRY '!J113,"AAAAAF/Z0yc=")</f>
        <v>#VALUE!</v>
      </c>
      <c r="AO13">
        <f>IF('STERLING CATALOG - DRY '!114:114,"AAAAAF/Z0yg=",0)</f>
        <v>0</v>
      </c>
      <c r="AP13" t="e">
        <f>AND('STERLING CATALOG - DRY '!A114,"AAAAAF/Z0yk=")</f>
        <v>#VALUE!</v>
      </c>
      <c r="AQ13" t="e">
        <f>AND('STERLING CATALOG - DRY '!B114,"AAAAAF/Z0yo=")</f>
        <v>#VALUE!</v>
      </c>
      <c r="AR13" t="e">
        <f>AND('STERLING CATALOG - DRY '!C114,"AAAAAF/Z0ys=")</f>
        <v>#VALUE!</v>
      </c>
      <c r="AS13" t="e">
        <f>AND('STERLING CATALOG - DRY '!D114,"AAAAAF/Z0yw=")</f>
        <v>#VALUE!</v>
      </c>
      <c r="AT13" t="e">
        <f>AND('STERLING CATALOG - DRY '!E114,"AAAAAF/Z0y0=")</f>
        <v>#VALUE!</v>
      </c>
      <c r="AU13" t="e">
        <f>AND('STERLING CATALOG - DRY '!F114,"AAAAAF/Z0y4=")</f>
        <v>#VALUE!</v>
      </c>
      <c r="AV13" t="e">
        <f>AND('STERLING CATALOG - DRY '!G114,"AAAAAF/Z0y8=")</f>
        <v>#VALUE!</v>
      </c>
      <c r="AW13" t="e">
        <f>AND('STERLING CATALOG - DRY '!H114,"AAAAAF/Z0zA=")</f>
        <v>#VALUE!</v>
      </c>
      <c r="AX13" t="e">
        <f>AND('STERLING CATALOG - DRY '!I114,"AAAAAF/Z0zE=")</f>
        <v>#VALUE!</v>
      </c>
      <c r="AY13" t="e">
        <f>AND('STERLING CATALOG - DRY '!J114,"AAAAAF/Z0zI=")</f>
        <v>#VALUE!</v>
      </c>
      <c r="AZ13">
        <f>IF('STERLING CATALOG - DRY '!115:115,"AAAAAF/Z0zM=",0)</f>
        <v>0</v>
      </c>
      <c r="BA13" t="e">
        <f>AND('STERLING CATALOG - DRY '!A115,"AAAAAF/Z0zQ=")</f>
        <v>#VALUE!</v>
      </c>
      <c r="BB13" t="e">
        <f>AND('STERLING CATALOG - DRY '!B115,"AAAAAF/Z0zU=")</f>
        <v>#VALUE!</v>
      </c>
      <c r="BC13" t="e">
        <f>AND('STERLING CATALOG - DRY '!C115,"AAAAAF/Z0zY=")</f>
        <v>#VALUE!</v>
      </c>
      <c r="BD13" t="e">
        <f>AND('STERLING CATALOG - DRY '!D115,"AAAAAF/Z0zc=")</f>
        <v>#VALUE!</v>
      </c>
      <c r="BE13" t="e">
        <f>AND('STERLING CATALOG - DRY '!E115,"AAAAAF/Z0zg=")</f>
        <v>#VALUE!</v>
      </c>
      <c r="BF13" t="e">
        <f>AND('STERLING CATALOG - DRY '!F115,"AAAAAF/Z0zk=")</f>
        <v>#VALUE!</v>
      </c>
      <c r="BG13" t="e">
        <f>AND('STERLING CATALOG - DRY '!G115,"AAAAAF/Z0zo=")</f>
        <v>#VALUE!</v>
      </c>
      <c r="BH13" t="e">
        <f>AND('STERLING CATALOG - DRY '!H115,"AAAAAF/Z0zs=")</f>
        <v>#VALUE!</v>
      </c>
      <c r="BI13" t="e">
        <f>AND('STERLING CATALOG - DRY '!I115,"AAAAAF/Z0zw=")</f>
        <v>#VALUE!</v>
      </c>
      <c r="BJ13" t="e">
        <f>AND('STERLING CATALOG - DRY '!J115,"AAAAAF/Z0z0=")</f>
        <v>#VALUE!</v>
      </c>
      <c r="BK13">
        <f>IF('STERLING CATALOG - DRY '!116:116,"AAAAAF/Z0z4=",0)</f>
        <v>0</v>
      </c>
      <c r="BL13" t="e">
        <f>AND('STERLING CATALOG - DRY '!A116,"AAAAAF/Z0z8=")</f>
        <v>#VALUE!</v>
      </c>
      <c r="BM13" t="e">
        <f>AND('STERLING CATALOG - DRY '!B116,"AAAAAF/Z00A=")</f>
        <v>#VALUE!</v>
      </c>
      <c r="BN13" t="e">
        <f>AND('STERLING CATALOG - DRY '!C116,"AAAAAF/Z00E=")</f>
        <v>#VALUE!</v>
      </c>
      <c r="BO13" t="e">
        <f>AND('STERLING CATALOG - DRY '!D116,"AAAAAF/Z00I=")</f>
        <v>#VALUE!</v>
      </c>
      <c r="BP13" t="e">
        <f>AND('STERLING CATALOG - DRY '!E116,"AAAAAF/Z00M=")</f>
        <v>#VALUE!</v>
      </c>
      <c r="BQ13" t="e">
        <f>AND('STERLING CATALOG - DRY '!F116,"AAAAAF/Z00Q=")</f>
        <v>#VALUE!</v>
      </c>
      <c r="BR13" t="e">
        <f>AND('STERLING CATALOG - DRY '!G116,"AAAAAF/Z00U=")</f>
        <v>#VALUE!</v>
      </c>
      <c r="BS13" t="e">
        <f>AND('STERLING CATALOG - DRY '!H116,"AAAAAF/Z00Y=")</f>
        <v>#VALUE!</v>
      </c>
      <c r="BT13" t="e">
        <f>AND('STERLING CATALOG - DRY '!I116,"AAAAAF/Z00c=")</f>
        <v>#VALUE!</v>
      </c>
      <c r="BU13" t="e">
        <f>AND('STERLING CATALOG - DRY '!J116,"AAAAAF/Z00g=")</f>
        <v>#VALUE!</v>
      </c>
      <c r="BV13">
        <f>IF('STERLING CATALOG - DRY '!117:117,"AAAAAF/Z00k=",0)</f>
        <v>0</v>
      </c>
      <c r="BW13" t="e">
        <f>AND('STERLING CATALOG - DRY '!A117,"AAAAAF/Z00o=")</f>
        <v>#VALUE!</v>
      </c>
      <c r="BX13" t="e">
        <f>AND('STERLING CATALOG - DRY '!B117,"AAAAAF/Z00s=")</f>
        <v>#VALUE!</v>
      </c>
      <c r="BY13" t="e">
        <f>AND('STERLING CATALOG - DRY '!C117,"AAAAAF/Z00w=")</f>
        <v>#VALUE!</v>
      </c>
      <c r="BZ13" t="e">
        <f>AND('STERLING CATALOG - DRY '!D117,"AAAAAF/Z000=")</f>
        <v>#VALUE!</v>
      </c>
      <c r="CA13" t="e">
        <f>AND('STERLING CATALOG - DRY '!E117,"AAAAAF/Z004=")</f>
        <v>#VALUE!</v>
      </c>
      <c r="CB13" t="e">
        <f>AND('STERLING CATALOG - DRY '!F117,"AAAAAF/Z008=")</f>
        <v>#VALUE!</v>
      </c>
      <c r="CC13" t="e">
        <f>AND('STERLING CATALOG - DRY '!G117,"AAAAAF/Z01A=")</f>
        <v>#VALUE!</v>
      </c>
      <c r="CD13" t="e">
        <f>AND('STERLING CATALOG - DRY '!H117,"AAAAAF/Z01E=")</f>
        <v>#VALUE!</v>
      </c>
      <c r="CE13" t="e">
        <f>AND('STERLING CATALOG - DRY '!I117,"AAAAAF/Z01I=")</f>
        <v>#VALUE!</v>
      </c>
      <c r="CF13" t="e">
        <f>AND('STERLING CATALOG - DRY '!J117,"AAAAAF/Z01M=")</f>
        <v>#VALUE!</v>
      </c>
      <c r="CG13">
        <f>IF('STERLING CATALOG - DRY '!118:118,"AAAAAF/Z01Q=",0)</f>
        <v>0</v>
      </c>
      <c r="CH13" t="e">
        <f>AND('STERLING CATALOG - DRY '!A118,"AAAAAF/Z01U=")</f>
        <v>#VALUE!</v>
      </c>
      <c r="CI13" t="e">
        <f>AND('STERLING CATALOG - DRY '!B118,"AAAAAF/Z01Y=")</f>
        <v>#VALUE!</v>
      </c>
      <c r="CJ13" t="e">
        <f>AND('STERLING CATALOG - DRY '!C118,"AAAAAF/Z01c=")</f>
        <v>#VALUE!</v>
      </c>
      <c r="CK13" t="e">
        <f>AND('STERLING CATALOG - DRY '!D118,"AAAAAF/Z01g=")</f>
        <v>#VALUE!</v>
      </c>
      <c r="CL13" t="e">
        <f>AND('STERLING CATALOG - DRY '!E118,"AAAAAF/Z01k=")</f>
        <v>#VALUE!</v>
      </c>
      <c r="CM13" t="e">
        <f>AND('STERLING CATALOG - DRY '!F118,"AAAAAF/Z01o=")</f>
        <v>#VALUE!</v>
      </c>
      <c r="CN13" t="e">
        <f>AND('STERLING CATALOG - DRY '!G118,"AAAAAF/Z01s=")</f>
        <v>#VALUE!</v>
      </c>
      <c r="CO13" t="e">
        <f>AND('STERLING CATALOG - DRY '!H118,"AAAAAF/Z01w=")</f>
        <v>#VALUE!</v>
      </c>
      <c r="CP13" t="e">
        <f>AND('STERLING CATALOG - DRY '!I118,"AAAAAF/Z010=")</f>
        <v>#VALUE!</v>
      </c>
      <c r="CQ13" t="e">
        <f>AND('STERLING CATALOG - DRY '!J118,"AAAAAF/Z014=")</f>
        <v>#VALUE!</v>
      </c>
      <c r="CR13">
        <f>IF('STERLING CATALOG - DRY '!119:119,"AAAAAF/Z018=",0)</f>
        <v>0</v>
      </c>
      <c r="CS13" t="e">
        <f>AND('STERLING CATALOG - DRY '!A119,"AAAAAF/Z02A=")</f>
        <v>#VALUE!</v>
      </c>
      <c r="CT13" t="e">
        <f>AND('STERLING CATALOG - DRY '!B119,"AAAAAF/Z02E=")</f>
        <v>#VALUE!</v>
      </c>
      <c r="CU13" t="e">
        <f>AND('STERLING CATALOG - DRY '!C119,"AAAAAF/Z02I=")</f>
        <v>#VALUE!</v>
      </c>
      <c r="CV13" t="e">
        <f>AND('STERLING CATALOG - DRY '!D119,"AAAAAF/Z02M=")</f>
        <v>#VALUE!</v>
      </c>
      <c r="CW13" t="e">
        <f>AND('STERLING CATALOG - DRY '!E119,"AAAAAF/Z02Q=")</f>
        <v>#VALUE!</v>
      </c>
      <c r="CX13" t="e">
        <f>AND('STERLING CATALOG - DRY '!F119,"AAAAAF/Z02U=")</f>
        <v>#VALUE!</v>
      </c>
      <c r="CY13" t="e">
        <f>AND('STERLING CATALOG - DRY '!G119,"AAAAAF/Z02Y=")</f>
        <v>#VALUE!</v>
      </c>
      <c r="CZ13" t="e">
        <f>AND('STERLING CATALOG - DRY '!H119,"AAAAAF/Z02c=")</f>
        <v>#VALUE!</v>
      </c>
      <c r="DA13" t="e">
        <f>AND('STERLING CATALOG - DRY '!I119,"AAAAAF/Z02g=")</f>
        <v>#VALUE!</v>
      </c>
      <c r="DB13" t="e">
        <f>AND('STERLING CATALOG - DRY '!J119,"AAAAAF/Z02k=")</f>
        <v>#VALUE!</v>
      </c>
      <c r="DC13">
        <f>IF('STERLING CATALOG - DRY '!120:120,"AAAAAF/Z02o=",0)</f>
        <v>0</v>
      </c>
      <c r="DD13" t="e">
        <f>AND('STERLING CATALOG - DRY '!A120,"AAAAAF/Z02s=")</f>
        <v>#VALUE!</v>
      </c>
      <c r="DE13" t="e">
        <f>AND('STERLING CATALOG - DRY '!B120,"AAAAAF/Z02w=")</f>
        <v>#VALUE!</v>
      </c>
      <c r="DF13" t="e">
        <f>AND('STERLING CATALOG - DRY '!C120,"AAAAAF/Z020=")</f>
        <v>#VALUE!</v>
      </c>
      <c r="DG13" t="e">
        <f>AND('STERLING CATALOG - DRY '!D120,"AAAAAF/Z024=")</f>
        <v>#VALUE!</v>
      </c>
      <c r="DH13" t="e">
        <f>AND('STERLING CATALOG - DRY '!E120,"AAAAAF/Z028=")</f>
        <v>#VALUE!</v>
      </c>
      <c r="DI13" t="e">
        <f>AND('STERLING CATALOG - DRY '!F120,"AAAAAF/Z03A=")</f>
        <v>#VALUE!</v>
      </c>
      <c r="DJ13" t="e">
        <f>AND('STERLING CATALOG - DRY '!G120,"AAAAAF/Z03E=")</f>
        <v>#VALUE!</v>
      </c>
      <c r="DK13" t="e">
        <f>AND('STERLING CATALOG - DRY '!H120,"AAAAAF/Z03I=")</f>
        <v>#VALUE!</v>
      </c>
      <c r="DL13" t="e">
        <f>AND('STERLING CATALOG - DRY '!I120,"AAAAAF/Z03M=")</f>
        <v>#VALUE!</v>
      </c>
      <c r="DM13" t="e">
        <f>AND('STERLING CATALOG - DRY '!J120,"AAAAAF/Z03Q=")</f>
        <v>#VALUE!</v>
      </c>
      <c r="DN13">
        <f>IF('STERLING CATALOG - DRY '!121:121,"AAAAAF/Z03U=",0)</f>
        <v>0</v>
      </c>
      <c r="DO13" t="e">
        <f>AND('STERLING CATALOG - DRY '!A121,"AAAAAF/Z03Y=")</f>
        <v>#VALUE!</v>
      </c>
      <c r="DP13" t="e">
        <f>AND('STERLING CATALOG - DRY '!B121,"AAAAAF/Z03c=")</f>
        <v>#VALUE!</v>
      </c>
      <c r="DQ13" t="e">
        <f>AND('STERLING CATALOG - DRY '!C121,"AAAAAF/Z03g=")</f>
        <v>#VALUE!</v>
      </c>
      <c r="DR13" t="e">
        <f>AND('STERLING CATALOG - DRY '!D121,"AAAAAF/Z03k=")</f>
        <v>#VALUE!</v>
      </c>
      <c r="DS13" t="e">
        <f>AND('STERLING CATALOG - DRY '!E121,"AAAAAF/Z03o=")</f>
        <v>#VALUE!</v>
      </c>
      <c r="DT13" t="e">
        <f>AND('STERLING CATALOG - DRY '!F121,"AAAAAF/Z03s=")</f>
        <v>#VALUE!</v>
      </c>
      <c r="DU13" t="e">
        <f>AND('STERLING CATALOG - DRY '!G121,"AAAAAF/Z03w=")</f>
        <v>#VALUE!</v>
      </c>
      <c r="DV13" t="e">
        <f>AND('STERLING CATALOG - DRY '!H121,"AAAAAF/Z030=")</f>
        <v>#VALUE!</v>
      </c>
      <c r="DW13" t="e">
        <f>AND('STERLING CATALOG - DRY '!I121,"AAAAAF/Z034=")</f>
        <v>#VALUE!</v>
      </c>
      <c r="DX13" t="e">
        <f>AND('STERLING CATALOG - DRY '!J121,"AAAAAF/Z038=")</f>
        <v>#VALUE!</v>
      </c>
      <c r="DY13">
        <f>IF('STERLING CATALOG - DRY '!122:122,"AAAAAF/Z04A=",0)</f>
        <v>0</v>
      </c>
      <c r="DZ13" t="e">
        <f>AND('STERLING CATALOG - DRY '!A122,"AAAAAF/Z04E=")</f>
        <v>#VALUE!</v>
      </c>
      <c r="EA13" t="e">
        <f>AND('STERLING CATALOG - DRY '!B122,"AAAAAF/Z04I=")</f>
        <v>#VALUE!</v>
      </c>
      <c r="EB13" t="e">
        <f>AND('STERLING CATALOG - DRY '!C122,"AAAAAF/Z04M=")</f>
        <v>#VALUE!</v>
      </c>
      <c r="EC13" t="e">
        <f>AND('STERLING CATALOG - DRY '!D122,"AAAAAF/Z04Q=")</f>
        <v>#VALUE!</v>
      </c>
      <c r="ED13" t="e">
        <f>AND('STERLING CATALOG - DRY '!E122,"AAAAAF/Z04U=")</f>
        <v>#VALUE!</v>
      </c>
      <c r="EE13" t="e">
        <f>AND('STERLING CATALOG - DRY '!F122,"AAAAAF/Z04Y=")</f>
        <v>#VALUE!</v>
      </c>
      <c r="EF13" t="e">
        <f>AND('STERLING CATALOG - DRY '!G122,"AAAAAF/Z04c=")</f>
        <v>#VALUE!</v>
      </c>
      <c r="EG13" t="e">
        <f>AND('STERLING CATALOG - DRY '!H122,"AAAAAF/Z04g=")</f>
        <v>#VALUE!</v>
      </c>
      <c r="EH13" t="e">
        <f>AND('STERLING CATALOG - DRY '!I122,"AAAAAF/Z04k=")</f>
        <v>#VALUE!</v>
      </c>
      <c r="EI13" t="e">
        <f>AND('STERLING CATALOG - DRY '!J122,"AAAAAF/Z04o=")</f>
        <v>#VALUE!</v>
      </c>
      <c r="EJ13">
        <f>IF('STERLING CATALOG - DRY '!123:123,"AAAAAF/Z04s=",0)</f>
        <v>0</v>
      </c>
      <c r="EK13" t="e">
        <f>AND('STERLING CATALOG - DRY '!A123,"AAAAAF/Z04w=")</f>
        <v>#VALUE!</v>
      </c>
      <c r="EL13" t="e">
        <f>AND('STERLING CATALOG - DRY '!B123,"AAAAAF/Z040=")</f>
        <v>#VALUE!</v>
      </c>
      <c r="EM13" t="e">
        <f>AND('STERLING CATALOG - DRY '!C123,"AAAAAF/Z044=")</f>
        <v>#VALUE!</v>
      </c>
      <c r="EN13" t="e">
        <f>AND('STERLING CATALOG - DRY '!D123,"AAAAAF/Z048=")</f>
        <v>#VALUE!</v>
      </c>
      <c r="EO13" t="e">
        <f>AND('STERLING CATALOG - DRY '!E123,"AAAAAF/Z05A=")</f>
        <v>#VALUE!</v>
      </c>
      <c r="EP13" t="e">
        <f>AND('STERLING CATALOG - DRY '!F123,"AAAAAF/Z05E=")</f>
        <v>#VALUE!</v>
      </c>
      <c r="EQ13" t="e">
        <f>AND('STERLING CATALOG - DRY '!G123,"AAAAAF/Z05I=")</f>
        <v>#VALUE!</v>
      </c>
      <c r="ER13" t="e">
        <f>AND('STERLING CATALOG - DRY '!H123,"AAAAAF/Z05M=")</f>
        <v>#VALUE!</v>
      </c>
      <c r="ES13" t="e">
        <f>AND('STERLING CATALOG - DRY '!I123,"AAAAAF/Z05Q=")</f>
        <v>#VALUE!</v>
      </c>
      <c r="ET13" t="e">
        <f>AND('STERLING CATALOG - DRY '!J123,"AAAAAF/Z05U=")</f>
        <v>#VALUE!</v>
      </c>
      <c r="EU13">
        <f>IF('STERLING CATALOG - DRY '!124:124,"AAAAAF/Z05Y=",0)</f>
        <v>0</v>
      </c>
      <c r="EV13" t="e">
        <f>AND('STERLING CATALOG - DRY '!A124,"AAAAAF/Z05c=")</f>
        <v>#VALUE!</v>
      </c>
      <c r="EW13" t="e">
        <f>AND('STERLING CATALOG - DRY '!B124,"AAAAAF/Z05g=")</f>
        <v>#VALUE!</v>
      </c>
      <c r="EX13" t="e">
        <f>AND('STERLING CATALOG - DRY '!C124,"AAAAAF/Z05k=")</f>
        <v>#VALUE!</v>
      </c>
      <c r="EY13" t="e">
        <f>AND('STERLING CATALOG - DRY '!D124,"AAAAAF/Z05o=")</f>
        <v>#VALUE!</v>
      </c>
      <c r="EZ13" t="e">
        <f>AND('STERLING CATALOG - DRY '!E124,"AAAAAF/Z05s=")</f>
        <v>#VALUE!</v>
      </c>
      <c r="FA13" t="e">
        <f>AND('STERLING CATALOG - DRY '!F124,"AAAAAF/Z05w=")</f>
        <v>#VALUE!</v>
      </c>
      <c r="FB13" t="e">
        <f>AND('STERLING CATALOG - DRY '!G124,"AAAAAF/Z050=")</f>
        <v>#VALUE!</v>
      </c>
      <c r="FC13" t="e">
        <f>AND('STERLING CATALOG - DRY '!H124,"AAAAAF/Z054=")</f>
        <v>#VALUE!</v>
      </c>
      <c r="FD13" t="e">
        <f>AND('STERLING CATALOG - DRY '!I124,"AAAAAF/Z058=")</f>
        <v>#VALUE!</v>
      </c>
      <c r="FE13" t="e">
        <f>AND('STERLING CATALOG - DRY '!J124,"AAAAAF/Z06A=")</f>
        <v>#VALUE!</v>
      </c>
      <c r="FF13">
        <f>IF('STERLING CATALOG - DRY '!125:125,"AAAAAF/Z06E=",0)</f>
        <v>0</v>
      </c>
      <c r="FG13" t="e">
        <f>AND('STERLING CATALOG - DRY '!A125,"AAAAAF/Z06I=")</f>
        <v>#VALUE!</v>
      </c>
      <c r="FH13" t="e">
        <f>AND('STERLING CATALOG - DRY '!B125,"AAAAAF/Z06M=")</f>
        <v>#VALUE!</v>
      </c>
      <c r="FI13" t="e">
        <f>AND('STERLING CATALOG - DRY '!C125,"AAAAAF/Z06Q=")</f>
        <v>#VALUE!</v>
      </c>
      <c r="FJ13" t="e">
        <f>AND('STERLING CATALOG - DRY '!D125,"AAAAAF/Z06U=")</f>
        <v>#VALUE!</v>
      </c>
      <c r="FK13" t="e">
        <f>AND('STERLING CATALOG - DRY '!E125,"AAAAAF/Z06Y=")</f>
        <v>#VALUE!</v>
      </c>
      <c r="FL13" t="e">
        <f>AND('STERLING CATALOG - DRY '!F125,"AAAAAF/Z06c=")</f>
        <v>#VALUE!</v>
      </c>
      <c r="FM13" t="e">
        <f>AND('STERLING CATALOG - DRY '!G125,"AAAAAF/Z06g=")</f>
        <v>#VALUE!</v>
      </c>
      <c r="FN13" t="e">
        <f>AND('STERLING CATALOG - DRY '!H125,"AAAAAF/Z06k=")</f>
        <v>#VALUE!</v>
      </c>
      <c r="FO13" t="e">
        <f>AND('STERLING CATALOG - DRY '!I125,"AAAAAF/Z06o=")</f>
        <v>#VALUE!</v>
      </c>
      <c r="FP13" t="e">
        <f>AND('STERLING CATALOG - DRY '!J125,"AAAAAF/Z06s=")</f>
        <v>#VALUE!</v>
      </c>
      <c r="FQ13">
        <f>IF('STERLING CATALOG - DRY '!126:126,"AAAAAF/Z06w=",0)</f>
        <v>0</v>
      </c>
      <c r="FR13" t="e">
        <f>AND('STERLING CATALOG - DRY '!A126,"AAAAAF/Z060=")</f>
        <v>#VALUE!</v>
      </c>
      <c r="FS13" t="e">
        <f>AND('STERLING CATALOG - DRY '!B126,"AAAAAF/Z064=")</f>
        <v>#VALUE!</v>
      </c>
      <c r="FT13" t="e">
        <f>AND('STERLING CATALOG - DRY '!C126,"AAAAAF/Z068=")</f>
        <v>#VALUE!</v>
      </c>
      <c r="FU13" t="e">
        <f>AND('STERLING CATALOG - DRY '!D126,"AAAAAF/Z07A=")</f>
        <v>#VALUE!</v>
      </c>
      <c r="FV13" t="e">
        <f>AND('STERLING CATALOG - DRY '!E126,"AAAAAF/Z07E=")</f>
        <v>#VALUE!</v>
      </c>
      <c r="FW13" t="e">
        <f>AND('STERLING CATALOG - DRY '!F126,"AAAAAF/Z07I=")</f>
        <v>#VALUE!</v>
      </c>
      <c r="FX13" t="e">
        <f>AND('STERLING CATALOG - DRY '!G126,"AAAAAF/Z07M=")</f>
        <v>#VALUE!</v>
      </c>
      <c r="FY13" t="e">
        <f>AND('STERLING CATALOG - DRY '!H126,"AAAAAF/Z07Q=")</f>
        <v>#VALUE!</v>
      </c>
      <c r="FZ13" t="e">
        <f>AND('STERLING CATALOG - DRY '!I126,"AAAAAF/Z07U=")</f>
        <v>#VALUE!</v>
      </c>
      <c r="GA13" t="e">
        <f>AND('STERLING CATALOG - DRY '!J126,"AAAAAF/Z07Y=")</f>
        <v>#VALUE!</v>
      </c>
      <c r="GB13">
        <f>IF('STERLING CATALOG - DRY '!127:127,"AAAAAF/Z07c=",0)</f>
        <v>0</v>
      </c>
      <c r="GC13" t="e">
        <f>AND('STERLING CATALOG - DRY '!A127,"AAAAAF/Z07g=")</f>
        <v>#VALUE!</v>
      </c>
      <c r="GD13" t="e">
        <f>AND('STERLING CATALOG - DRY '!B127,"AAAAAF/Z07k=")</f>
        <v>#VALUE!</v>
      </c>
      <c r="GE13" t="e">
        <f>AND('STERLING CATALOG - DRY '!C127,"AAAAAF/Z07o=")</f>
        <v>#VALUE!</v>
      </c>
      <c r="GF13" t="e">
        <f>AND('STERLING CATALOG - DRY '!D127,"AAAAAF/Z07s=")</f>
        <v>#VALUE!</v>
      </c>
      <c r="GG13" t="e">
        <f>AND('STERLING CATALOG - DRY '!E127,"AAAAAF/Z07w=")</f>
        <v>#VALUE!</v>
      </c>
      <c r="GH13" t="e">
        <f>AND('STERLING CATALOG - DRY '!F127,"AAAAAF/Z070=")</f>
        <v>#VALUE!</v>
      </c>
      <c r="GI13" t="e">
        <f>AND('STERLING CATALOG - DRY '!G127,"AAAAAF/Z074=")</f>
        <v>#VALUE!</v>
      </c>
      <c r="GJ13" t="e">
        <f>AND('STERLING CATALOG - DRY '!H127,"AAAAAF/Z078=")</f>
        <v>#VALUE!</v>
      </c>
      <c r="GK13" t="e">
        <f>AND('STERLING CATALOG - DRY '!I127,"AAAAAF/Z08A=")</f>
        <v>#VALUE!</v>
      </c>
      <c r="GL13" t="e">
        <f>AND('STERLING CATALOG - DRY '!J127,"AAAAAF/Z08E=")</f>
        <v>#VALUE!</v>
      </c>
      <c r="GM13">
        <f>IF('STERLING CATALOG - DRY '!128:128,"AAAAAF/Z08I=",0)</f>
        <v>0</v>
      </c>
      <c r="GN13" t="e">
        <f>AND('STERLING CATALOG - DRY '!A128,"AAAAAF/Z08M=")</f>
        <v>#VALUE!</v>
      </c>
      <c r="GO13" t="e">
        <f>AND('STERLING CATALOG - DRY '!B128,"AAAAAF/Z08Q=")</f>
        <v>#VALUE!</v>
      </c>
      <c r="GP13" t="e">
        <f>AND('STERLING CATALOG - DRY '!C128,"AAAAAF/Z08U=")</f>
        <v>#VALUE!</v>
      </c>
      <c r="GQ13" t="e">
        <f>AND('STERLING CATALOG - DRY '!D128,"AAAAAF/Z08Y=")</f>
        <v>#VALUE!</v>
      </c>
      <c r="GR13" t="e">
        <f>AND('STERLING CATALOG - DRY '!E128,"AAAAAF/Z08c=")</f>
        <v>#VALUE!</v>
      </c>
      <c r="GS13" t="e">
        <f>AND('STERLING CATALOG - DRY '!F128,"AAAAAF/Z08g=")</f>
        <v>#VALUE!</v>
      </c>
      <c r="GT13" t="e">
        <f>AND('STERLING CATALOG - DRY '!G128,"AAAAAF/Z08k=")</f>
        <v>#VALUE!</v>
      </c>
      <c r="GU13" t="e">
        <f>AND('STERLING CATALOG - DRY '!H128,"AAAAAF/Z08o=")</f>
        <v>#VALUE!</v>
      </c>
      <c r="GV13" t="e">
        <f>AND('STERLING CATALOG - DRY '!I128,"AAAAAF/Z08s=")</f>
        <v>#VALUE!</v>
      </c>
      <c r="GW13" t="e">
        <f>AND('STERLING CATALOG - DRY '!J128,"AAAAAF/Z08w=")</f>
        <v>#VALUE!</v>
      </c>
      <c r="GX13">
        <f>IF('STERLING CATALOG - DRY '!129:129,"AAAAAF/Z080=",0)</f>
        <v>0</v>
      </c>
      <c r="GY13" t="e">
        <f>AND('STERLING CATALOG - DRY '!A129,"AAAAAF/Z084=")</f>
        <v>#VALUE!</v>
      </c>
      <c r="GZ13" t="e">
        <f>AND('STERLING CATALOG - DRY '!B129,"AAAAAF/Z088=")</f>
        <v>#VALUE!</v>
      </c>
      <c r="HA13" t="e">
        <f>AND('STERLING CATALOG - DRY '!C129,"AAAAAF/Z09A=")</f>
        <v>#VALUE!</v>
      </c>
      <c r="HB13" t="e">
        <f>AND('STERLING CATALOG - DRY '!D129,"AAAAAF/Z09E=")</f>
        <v>#VALUE!</v>
      </c>
      <c r="HC13" t="e">
        <f>AND('STERLING CATALOG - DRY '!E129,"AAAAAF/Z09I=")</f>
        <v>#VALUE!</v>
      </c>
      <c r="HD13" t="e">
        <f>AND('STERLING CATALOG - DRY '!F129,"AAAAAF/Z09M=")</f>
        <v>#VALUE!</v>
      </c>
      <c r="HE13" t="e">
        <f>AND('STERLING CATALOG - DRY '!G129,"AAAAAF/Z09Q=")</f>
        <v>#VALUE!</v>
      </c>
      <c r="HF13" t="e">
        <f>AND('STERLING CATALOG - DRY '!H129,"AAAAAF/Z09U=")</f>
        <v>#VALUE!</v>
      </c>
      <c r="HG13" t="e">
        <f>AND('STERLING CATALOG - DRY '!I129,"AAAAAF/Z09Y=")</f>
        <v>#VALUE!</v>
      </c>
      <c r="HH13" t="e">
        <f>AND('STERLING CATALOG - DRY '!J129,"AAAAAF/Z09c=")</f>
        <v>#VALUE!</v>
      </c>
      <c r="HI13">
        <f>IF('STERLING CATALOG - DRY '!130:130,"AAAAAF/Z09g=",0)</f>
        <v>0</v>
      </c>
      <c r="HJ13" t="e">
        <f>AND('STERLING CATALOG - DRY '!A130,"AAAAAF/Z09k=")</f>
        <v>#VALUE!</v>
      </c>
      <c r="HK13" t="e">
        <f>AND('STERLING CATALOG - DRY '!B130,"AAAAAF/Z09o=")</f>
        <v>#VALUE!</v>
      </c>
      <c r="HL13" t="e">
        <f>AND('STERLING CATALOG - DRY '!C130,"AAAAAF/Z09s=")</f>
        <v>#VALUE!</v>
      </c>
      <c r="HM13" t="e">
        <f>AND('STERLING CATALOG - DRY '!D130,"AAAAAF/Z09w=")</f>
        <v>#VALUE!</v>
      </c>
      <c r="HN13" t="e">
        <f>AND('STERLING CATALOG - DRY '!E130,"AAAAAF/Z090=")</f>
        <v>#VALUE!</v>
      </c>
      <c r="HO13" t="e">
        <f>AND('STERLING CATALOG - DRY '!F130,"AAAAAF/Z094=")</f>
        <v>#VALUE!</v>
      </c>
      <c r="HP13" t="e">
        <f>AND('STERLING CATALOG - DRY '!G130,"AAAAAF/Z098=")</f>
        <v>#VALUE!</v>
      </c>
      <c r="HQ13" t="e">
        <f>AND('STERLING CATALOG - DRY '!H130,"AAAAAF/Z0+A=")</f>
        <v>#VALUE!</v>
      </c>
      <c r="HR13" t="e">
        <f>AND('STERLING CATALOG - DRY '!I130,"AAAAAF/Z0+E=")</f>
        <v>#VALUE!</v>
      </c>
      <c r="HS13" t="e">
        <f>AND('STERLING CATALOG - DRY '!J130,"AAAAAF/Z0+I=")</f>
        <v>#VALUE!</v>
      </c>
      <c r="HT13">
        <f>IF('STERLING CATALOG - DRY '!131:131,"AAAAAF/Z0+M=",0)</f>
        <v>0</v>
      </c>
      <c r="HU13" t="e">
        <f>AND('STERLING CATALOG - DRY '!A131,"AAAAAF/Z0+Q=")</f>
        <v>#VALUE!</v>
      </c>
      <c r="HV13" t="e">
        <f>AND('STERLING CATALOG - DRY '!B131,"AAAAAF/Z0+U=")</f>
        <v>#VALUE!</v>
      </c>
      <c r="HW13" t="e">
        <f>AND('STERLING CATALOG - DRY '!C131,"AAAAAF/Z0+Y=")</f>
        <v>#VALUE!</v>
      </c>
      <c r="HX13" t="e">
        <f>AND('STERLING CATALOG - DRY '!D131,"AAAAAF/Z0+c=")</f>
        <v>#VALUE!</v>
      </c>
      <c r="HY13" t="e">
        <f>AND('STERLING CATALOG - DRY '!E131,"AAAAAF/Z0+g=")</f>
        <v>#VALUE!</v>
      </c>
      <c r="HZ13" t="e">
        <f>AND('STERLING CATALOG - DRY '!F131,"AAAAAF/Z0+k=")</f>
        <v>#VALUE!</v>
      </c>
      <c r="IA13" t="e">
        <f>AND('STERLING CATALOG - DRY '!G131,"AAAAAF/Z0+o=")</f>
        <v>#VALUE!</v>
      </c>
      <c r="IB13" t="e">
        <f>AND('STERLING CATALOG - DRY '!H131,"AAAAAF/Z0+s=")</f>
        <v>#VALUE!</v>
      </c>
      <c r="IC13" t="e">
        <f>AND('STERLING CATALOG - DRY '!I131,"AAAAAF/Z0+w=")</f>
        <v>#VALUE!</v>
      </c>
      <c r="ID13" t="e">
        <f>AND('STERLING CATALOG - DRY '!J131,"AAAAAF/Z0+0=")</f>
        <v>#VALUE!</v>
      </c>
      <c r="IE13">
        <f>IF('STERLING CATALOG - DRY '!132:132,"AAAAAF/Z0+4=",0)</f>
        <v>0</v>
      </c>
      <c r="IF13" t="e">
        <f>AND('STERLING CATALOG - DRY '!A132,"AAAAAF/Z0+8=")</f>
        <v>#VALUE!</v>
      </c>
      <c r="IG13" t="e">
        <f>AND('STERLING CATALOG - DRY '!B132,"AAAAAF/Z0/A=")</f>
        <v>#VALUE!</v>
      </c>
      <c r="IH13" t="e">
        <f>AND('STERLING CATALOG - DRY '!C132,"AAAAAF/Z0/E=")</f>
        <v>#VALUE!</v>
      </c>
      <c r="II13" t="e">
        <f>AND('STERLING CATALOG - DRY '!D132,"AAAAAF/Z0/I=")</f>
        <v>#VALUE!</v>
      </c>
      <c r="IJ13" t="e">
        <f>AND('STERLING CATALOG - DRY '!E132,"AAAAAF/Z0/M=")</f>
        <v>#VALUE!</v>
      </c>
      <c r="IK13" t="e">
        <f>AND('STERLING CATALOG - DRY '!F132,"AAAAAF/Z0/Q=")</f>
        <v>#VALUE!</v>
      </c>
      <c r="IL13" t="e">
        <f>AND('STERLING CATALOG - DRY '!G132,"AAAAAF/Z0/U=")</f>
        <v>#VALUE!</v>
      </c>
      <c r="IM13" t="e">
        <f>AND('STERLING CATALOG - DRY '!H132,"AAAAAF/Z0/Y=")</f>
        <v>#VALUE!</v>
      </c>
      <c r="IN13" t="e">
        <f>AND('STERLING CATALOG - DRY '!I132,"AAAAAF/Z0/c=")</f>
        <v>#VALUE!</v>
      </c>
      <c r="IO13" t="e">
        <f>AND('STERLING CATALOG - DRY '!J132,"AAAAAF/Z0/g=")</f>
        <v>#VALUE!</v>
      </c>
      <c r="IP13">
        <f>IF('STERLING CATALOG - DRY '!133:133,"AAAAAF/Z0/k=",0)</f>
        <v>0</v>
      </c>
      <c r="IQ13" t="e">
        <f>AND('STERLING CATALOG - DRY '!A133,"AAAAAF/Z0/o=")</f>
        <v>#VALUE!</v>
      </c>
      <c r="IR13" t="e">
        <f>AND('STERLING CATALOG - DRY '!B133,"AAAAAF/Z0/s=")</f>
        <v>#VALUE!</v>
      </c>
      <c r="IS13" t="e">
        <f>AND('STERLING CATALOG - DRY '!C133,"AAAAAF/Z0/w=")</f>
        <v>#VALUE!</v>
      </c>
      <c r="IT13" t="e">
        <f>AND('STERLING CATALOG - DRY '!D133,"AAAAAF/Z0/0=")</f>
        <v>#VALUE!</v>
      </c>
      <c r="IU13" t="e">
        <f>AND('STERLING CATALOG - DRY '!E133,"AAAAAF/Z0/4=")</f>
        <v>#VALUE!</v>
      </c>
      <c r="IV13" t="e">
        <f>AND('STERLING CATALOG - DRY '!F133,"AAAAAF/Z0/8=")</f>
        <v>#VALUE!</v>
      </c>
    </row>
    <row r="14" spans="1:256">
      <c r="A14" t="e">
        <f>AND('STERLING CATALOG - DRY '!G133,"AAAAAH/8/gA=")</f>
        <v>#VALUE!</v>
      </c>
      <c r="B14" t="e">
        <f>AND('STERLING CATALOG - DRY '!H133,"AAAAAH/8/gE=")</f>
        <v>#VALUE!</v>
      </c>
      <c r="C14" t="e">
        <f>AND('STERLING CATALOG - DRY '!I133,"AAAAAH/8/gI=")</f>
        <v>#VALUE!</v>
      </c>
      <c r="D14" t="e">
        <f>AND('STERLING CATALOG - DRY '!J133,"AAAAAH/8/gM=")</f>
        <v>#VALUE!</v>
      </c>
      <c r="E14" t="e">
        <f>IF('STERLING CATALOG - DRY '!134:134,"AAAAAH/8/gQ=",0)</f>
        <v>#VALUE!</v>
      </c>
      <c r="F14" t="e">
        <f>AND('STERLING CATALOG - DRY '!A134,"AAAAAH/8/gU=")</f>
        <v>#VALUE!</v>
      </c>
      <c r="G14" t="e">
        <f>AND('STERLING CATALOG - DRY '!B134,"AAAAAH/8/gY=")</f>
        <v>#VALUE!</v>
      </c>
      <c r="H14" t="e">
        <f>AND('STERLING CATALOG - DRY '!C134,"AAAAAH/8/gc=")</f>
        <v>#VALUE!</v>
      </c>
      <c r="I14" t="e">
        <f>AND('STERLING CATALOG - DRY '!D134,"AAAAAH/8/gg=")</f>
        <v>#VALUE!</v>
      </c>
      <c r="J14" t="e">
        <f>AND('STERLING CATALOG - DRY '!E134,"AAAAAH/8/gk=")</f>
        <v>#VALUE!</v>
      </c>
      <c r="K14" t="e">
        <f>AND('STERLING CATALOG - DRY '!F134,"AAAAAH/8/go=")</f>
        <v>#VALUE!</v>
      </c>
      <c r="L14" t="e">
        <f>AND('STERLING CATALOG - DRY '!G134,"AAAAAH/8/gs=")</f>
        <v>#VALUE!</v>
      </c>
      <c r="M14" t="e">
        <f>AND('STERLING CATALOG - DRY '!H134,"AAAAAH/8/gw=")</f>
        <v>#VALUE!</v>
      </c>
      <c r="N14" t="e">
        <f>AND('STERLING CATALOG - DRY '!I134,"AAAAAH/8/g0=")</f>
        <v>#VALUE!</v>
      </c>
      <c r="O14" t="e">
        <f>AND('STERLING CATALOG - DRY '!J134,"AAAAAH/8/g4=")</f>
        <v>#VALUE!</v>
      </c>
      <c r="P14">
        <f>IF('STERLING CATALOG - DRY '!135:135,"AAAAAH/8/g8=",0)</f>
        <v>0</v>
      </c>
      <c r="Q14" t="e">
        <f>AND('STERLING CATALOG - DRY '!A135,"AAAAAH/8/hA=")</f>
        <v>#VALUE!</v>
      </c>
      <c r="R14" t="e">
        <f>AND('STERLING CATALOG - DRY '!B135,"AAAAAH/8/hE=")</f>
        <v>#VALUE!</v>
      </c>
      <c r="S14" t="e">
        <f>AND('STERLING CATALOG - DRY '!C135,"AAAAAH/8/hI=")</f>
        <v>#VALUE!</v>
      </c>
      <c r="T14" t="e">
        <f>AND('STERLING CATALOG - DRY '!D135,"AAAAAH/8/hM=")</f>
        <v>#VALUE!</v>
      </c>
      <c r="U14" t="e">
        <f>AND('STERLING CATALOG - DRY '!E135,"AAAAAH/8/hQ=")</f>
        <v>#VALUE!</v>
      </c>
      <c r="V14" t="e">
        <f>AND('STERLING CATALOG - DRY '!F135,"AAAAAH/8/hU=")</f>
        <v>#VALUE!</v>
      </c>
      <c r="W14" t="e">
        <f>AND('STERLING CATALOG - DRY '!G135,"AAAAAH/8/hY=")</f>
        <v>#VALUE!</v>
      </c>
      <c r="X14" t="e">
        <f>AND('STERLING CATALOG - DRY '!H135,"AAAAAH/8/hc=")</f>
        <v>#VALUE!</v>
      </c>
      <c r="Y14" t="e">
        <f>AND('STERLING CATALOG - DRY '!I135,"AAAAAH/8/hg=")</f>
        <v>#VALUE!</v>
      </c>
      <c r="Z14" t="e">
        <f>AND('STERLING CATALOG - DRY '!J135,"AAAAAH/8/hk=")</f>
        <v>#VALUE!</v>
      </c>
      <c r="AA14">
        <f>IF('STERLING CATALOG - DRY '!136:136,"AAAAAH/8/ho=",0)</f>
        <v>0</v>
      </c>
      <c r="AB14" t="e">
        <f>AND('STERLING CATALOG - DRY '!A136,"AAAAAH/8/hs=")</f>
        <v>#VALUE!</v>
      </c>
      <c r="AC14" t="e">
        <f>AND('STERLING CATALOG - DRY '!B136,"AAAAAH/8/hw=")</f>
        <v>#VALUE!</v>
      </c>
      <c r="AD14" t="e">
        <f>AND('STERLING CATALOG - DRY '!C136,"AAAAAH/8/h0=")</f>
        <v>#VALUE!</v>
      </c>
      <c r="AE14" t="e">
        <f>AND('STERLING CATALOG - DRY '!D136,"AAAAAH/8/h4=")</f>
        <v>#VALUE!</v>
      </c>
      <c r="AF14" t="e">
        <f>AND('STERLING CATALOG - DRY '!E136,"AAAAAH/8/h8=")</f>
        <v>#VALUE!</v>
      </c>
      <c r="AG14" t="e">
        <f>AND('STERLING CATALOG - DRY '!F136,"AAAAAH/8/iA=")</f>
        <v>#VALUE!</v>
      </c>
      <c r="AH14" t="e">
        <f>AND('STERLING CATALOG - DRY '!G136,"AAAAAH/8/iE=")</f>
        <v>#VALUE!</v>
      </c>
      <c r="AI14" t="e">
        <f>AND('STERLING CATALOG - DRY '!H136,"AAAAAH/8/iI=")</f>
        <v>#VALUE!</v>
      </c>
      <c r="AJ14" t="e">
        <f>AND('STERLING CATALOG - DRY '!I136,"AAAAAH/8/iM=")</f>
        <v>#VALUE!</v>
      </c>
      <c r="AK14" t="e">
        <f>AND('STERLING CATALOG - DRY '!J136,"AAAAAH/8/iQ=")</f>
        <v>#VALUE!</v>
      </c>
      <c r="AL14">
        <f>IF('STERLING CATALOG - DRY '!137:137,"AAAAAH/8/iU=",0)</f>
        <v>0</v>
      </c>
      <c r="AM14" t="e">
        <f>AND('STERLING CATALOG - DRY '!A137,"AAAAAH/8/iY=")</f>
        <v>#VALUE!</v>
      </c>
      <c r="AN14" t="e">
        <f>AND('STERLING CATALOG - DRY '!B137,"AAAAAH/8/ic=")</f>
        <v>#VALUE!</v>
      </c>
      <c r="AO14" t="e">
        <f>AND('STERLING CATALOG - DRY '!C137,"AAAAAH/8/ig=")</f>
        <v>#VALUE!</v>
      </c>
      <c r="AP14" t="e">
        <f>AND('STERLING CATALOG - DRY '!D137,"AAAAAH/8/ik=")</f>
        <v>#VALUE!</v>
      </c>
      <c r="AQ14" t="e">
        <f>AND('STERLING CATALOG - DRY '!E137,"AAAAAH/8/io=")</f>
        <v>#VALUE!</v>
      </c>
      <c r="AR14" t="e">
        <f>AND('STERLING CATALOG - DRY '!F137,"AAAAAH/8/is=")</f>
        <v>#VALUE!</v>
      </c>
      <c r="AS14" t="e">
        <f>AND('STERLING CATALOG - DRY '!G137,"AAAAAH/8/iw=")</f>
        <v>#VALUE!</v>
      </c>
      <c r="AT14" t="e">
        <f>AND('STERLING CATALOG - DRY '!H137,"AAAAAH/8/i0=")</f>
        <v>#VALUE!</v>
      </c>
      <c r="AU14" t="e">
        <f>AND('STERLING CATALOG - DRY '!I137,"AAAAAH/8/i4=")</f>
        <v>#VALUE!</v>
      </c>
      <c r="AV14" t="e">
        <f>AND('STERLING CATALOG - DRY '!J137,"AAAAAH/8/i8=")</f>
        <v>#VALUE!</v>
      </c>
      <c r="AW14">
        <f>IF('STERLING CATALOG - DRY '!138:138,"AAAAAH/8/jA=",0)</f>
        <v>0</v>
      </c>
      <c r="AX14" t="e">
        <f>AND('STERLING CATALOG - DRY '!A138,"AAAAAH/8/jE=")</f>
        <v>#VALUE!</v>
      </c>
      <c r="AY14" t="e">
        <f>AND('STERLING CATALOG - DRY '!B138,"AAAAAH/8/jI=")</f>
        <v>#VALUE!</v>
      </c>
      <c r="AZ14" t="e">
        <f>AND('STERLING CATALOG - DRY '!C138,"AAAAAH/8/jM=")</f>
        <v>#VALUE!</v>
      </c>
      <c r="BA14" t="e">
        <f>AND('STERLING CATALOG - DRY '!D138,"AAAAAH/8/jQ=")</f>
        <v>#VALUE!</v>
      </c>
      <c r="BB14" t="e">
        <f>AND('STERLING CATALOG - DRY '!E138,"AAAAAH/8/jU=")</f>
        <v>#VALUE!</v>
      </c>
      <c r="BC14" t="e">
        <f>AND('STERLING CATALOG - DRY '!F138,"AAAAAH/8/jY=")</f>
        <v>#VALUE!</v>
      </c>
      <c r="BD14" t="e">
        <f>AND('STERLING CATALOG - DRY '!G138,"AAAAAH/8/jc=")</f>
        <v>#VALUE!</v>
      </c>
      <c r="BE14" t="e">
        <f>AND('STERLING CATALOG - DRY '!H138,"AAAAAH/8/jg=")</f>
        <v>#VALUE!</v>
      </c>
      <c r="BF14" t="e">
        <f>AND('STERLING CATALOG - DRY '!I138,"AAAAAH/8/jk=")</f>
        <v>#VALUE!</v>
      </c>
      <c r="BG14" t="e">
        <f>AND('STERLING CATALOG - DRY '!J138,"AAAAAH/8/jo=")</f>
        <v>#VALUE!</v>
      </c>
      <c r="BH14">
        <f>IF('STERLING CATALOG - DRY '!139:139,"AAAAAH/8/js=",0)</f>
        <v>0</v>
      </c>
      <c r="BI14" t="e">
        <f>AND('STERLING CATALOG - DRY '!A139,"AAAAAH/8/jw=")</f>
        <v>#VALUE!</v>
      </c>
      <c r="BJ14" t="e">
        <f>AND('STERLING CATALOG - DRY '!B139,"AAAAAH/8/j0=")</f>
        <v>#VALUE!</v>
      </c>
      <c r="BK14" t="e">
        <f>AND('STERLING CATALOG - DRY '!C139,"AAAAAH/8/j4=")</f>
        <v>#VALUE!</v>
      </c>
      <c r="BL14" t="e">
        <f>AND('STERLING CATALOG - DRY '!D139,"AAAAAH/8/j8=")</f>
        <v>#VALUE!</v>
      </c>
      <c r="BM14" t="e">
        <f>AND('STERLING CATALOG - DRY '!E139,"AAAAAH/8/kA=")</f>
        <v>#VALUE!</v>
      </c>
      <c r="BN14" t="e">
        <f>AND('STERLING CATALOG - DRY '!F139,"AAAAAH/8/kE=")</f>
        <v>#VALUE!</v>
      </c>
      <c r="BO14" t="e">
        <f>AND('STERLING CATALOG - DRY '!G139,"AAAAAH/8/kI=")</f>
        <v>#VALUE!</v>
      </c>
      <c r="BP14" t="e">
        <f>AND('STERLING CATALOG - DRY '!H139,"AAAAAH/8/kM=")</f>
        <v>#VALUE!</v>
      </c>
      <c r="BQ14" t="e">
        <f>AND('STERLING CATALOG - DRY '!I139,"AAAAAH/8/kQ=")</f>
        <v>#VALUE!</v>
      </c>
      <c r="BR14" t="e">
        <f>AND('STERLING CATALOG - DRY '!J139,"AAAAAH/8/kU=")</f>
        <v>#VALUE!</v>
      </c>
      <c r="BS14">
        <f>IF('STERLING CATALOG - DRY '!140:140,"AAAAAH/8/kY=",0)</f>
        <v>0</v>
      </c>
      <c r="BT14" t="e">
        <f>AND('STERLING CATALOG - DRY '!A140,"AAAAAH/8/kc=")</f>
        <v>#VALUE!</v>
      </c>
      <c r="BU14" t="e">
        <f>AND('STERLING CATALOG - DRY '!B140,"AAAAAH/8/kg=")</f>
        <v>#VALUE!</v>
      </c>
      <c r="BV14" t="e">
        <f>AND('STERLING CATALOG - DRY '!C140,"AAAAAH/8/kk=")</f>
        <v>#VALUE!</v>
      </c>
      <c r="BW14" t="e">
        <f>AND('STERLING CATALOG - DRY '!D140,"AAAAAH/8/ko=")</f>
        <v>#VALUE!</v>
      </c>
      <c r="BX14" t="e">
        <f>AND('STERLING CATALOG - DRY '!E140,"AAAAAH/8/ks=")</f>
        <v>#VALUE!</v>
      </c>
      <c r="BY14" t="e">
        <f>AND('STERLING CATALOG - DRY '!F140,"AAAAAH/8/kw=")</f>
        <v>#VALUE!</v>
      </c>
      <c r="BZ14" t="e">
        <f>AND('STERLING CATALOG - DRY '!G140,"AAAAAH/8/k0=")</f>
        <v>#VALUE!</v>
      </c>
      <c r="CA14" t="e">
        <f>AND('STERLING CATALOG - DRY '!H140,"AAAAAH/8/k4=")</f>
        <v>#VALUE!</v>
      </c>
      <c r="CB14" t="e">
        <f>AND('STERLING CATALOG - DRY '!I140,"AAAAAH/8/k8=")</f>
        <v>#VALUE!</v>
      </c>
      <c r="CC14" t="e">
        <f>AND('STERLING CATALOG - DRY '!J140,"AAAAAH/8/lA=")</f>
        <v>#VALUE!</v>
      </c>
      <c r="CD14">
        <f>IF('STERLING CATALOG - DRY '!141:141,"AAAAAH/8/lE=",0)</f>
        <v>0</v>
      </c>
      <c r="CE14" t="e">
        <f>AND('STERLING CATALOG - DRY '!A141,"AAAAAH/8/lI=")</f>
        <v>#VALUE!</v>
      </c>
      <c r="CF14" t="e">
        <f>AND('STERLING CATALOG - DRY '!B141,"AAAAAH/8/lM=")</f>
        <v>#VALUE!</v>
      </c>
      <c r="CG14" t="e">
        <f>AND('STERLING CATALOG - DRY '!C141,"AAAAAH/8/lQ=")</f>
        <v>#VALUE!</v>
      </c>
      <c r="CH14" t="e">
        <f>AND('STERLING CATALOG - DRY '!D141,"AAAAAH/8/lU=")</f>
        <v>#VALUE!</v>
      </c>
      <c r="CI14" t="e">
        <f>AND('STERLING CATALOG - DRY '!E141,"AAAAAH/8/lY=")</f>
        <v>#VALUE!</v>
      </c>
      <c r="CJ14" t="e">
        <f>AND('STERLING CATALOG - DRY '!F141,"AAAAAH/8/lc=")</f>
        <v>#VALUE!</v>
      </c>
      <c r="CK14" t="e">
        <f>AND('STERLING CATALOG - DRY '!G141,"AAAAAH/8/lg=")</f>
        <v>#VALUE!</v>
      </c>
      <c r="CL14" t="e">
        <f>AND('STERLING CATALOG - DRY '!H141,"AAAAAH/8/lk=")</f>
        <v>#VALUE!</v>
      </c>
      <c r="CM14" t="e">
        <f>AND('STERLING CATALOG - DRY '!I141,"AAAAAH/8/lo=")</f>
        <v>#VALUE!</v>
      </c>
      <c r="CN14" t="e">
        <f>AND('STERLING CATALOG - DRY '!J141,"AAAAAH/8/ls=")</f>
        <v>#VALUE!</v>
      </c>
      <c r="CO14">
        <f>IF('STERLING CATALOG - DRY '!142:142,"AAAAAH/8/lw=",0)</f>
        <v>0</v>
      </c>
      <c r="CP14" t="e">
        <f>AND('STERLING CATALOG - DRY '!A142,"AAAAAH/8/l0=")</f>
        <v>#VALUE!</v>
      </c>
      <c r="CQ14" t="e">
        <f>AND('STERLING CATALOG - DRY '!B142,"AAAAAH/8/l4=")</f>
        <v>#VALUE!</v>
      </c>
      <c r="CR14" t="e">
        <f>AND('STERLING CATALOG - DRY '!C142,"AAAAAH/8/l8=")</f>
        <v>#VALUE!</v>
      </c>
      <c r="CS14" t="e">
        <f>AND('STERLING CATALOG - DRY '!D142,"AAAAAH/8/mA=")</f>
        <v>#VALUE!</v>
      </c>
      <c r="CT14" t="e">
        <f>AND('STERLING CATALOG - DRY '!E142,"AAAAAH/8/mE=")</f>
        <v>#VALUE!</v>
      </c>
      <c r="CU14" t="e">
        <f>AND('STERLING CATALOG - DRY '!F142,"AAAAAH/8/mI=")</f>
        <v>#VALUE!</v>
      </c>
      <c r="CV14" t="e">
        <f>AND('STERLING CATALOG - DRY '!G142,"AAAAAH/8/mM=")</f>
        <v>#VALUE!</v>
      </c>
      <c r="CW14" t="e">
        <f>AND('STERLING CATALOG - DRY '!H142,"AAAAAH/8/mQ=")</f>
        <v>#VALUE!</v>
      </c>
      <c r="CX14" t="e">
        <f>AND('STERLING CATALOG - DRY '!I142,"AAAAAH/8/mU=")</f>
        <v>#VALUE!</v>
      </c>
      <c r="CY14" t="e">
        <f>AND('STERLING CATALOG - DRY '!J142,"AAAAAH/8/mY=")</f>
        <v>#VALUE!</v>
      </c>
      <c r="CZ14">
        <f>IF('STERLING CATALOG - DRY '!143:143,"AAAAAH/8/mc=",0)</f>
        <v>0</v>
      </c>
      <c r="DA14" t="e">
        <f>AND('STERLING CATALOG - DRY '!A143,"AAAAAH/8/mg=")</f>
        <v>#VALUE!</v>
      </c>
      <c r="DB14" t="e">
        <f>AND('STERLING CATALOG - DRY '!B143,"AAAAAH/8/mk=")</f>
        <v>#VALUE!</v>
      </c>
      <c r="DC14" t="e">
        <f>AND('STERLING CATALOG - DRY '!C143,"AAAAAH/8/mo=")</f>
        <v>#VALUE!</v>
      </c>
      <c r="DD14" t="e">
        <f>AND('STERLING CATALOG - DRY '!D143,"AAAAAH/8/ms=")</f>
        <v>#VALUE!</v>
      </c>
      <c r="DE14" t="e">
        <f>AND('STERLING CATALOG - DRY '!E143,"AAAAAH/8/mw=")</f>
        <v>#VALUE!</v>
      </c>
      <c r="DF14" t="e">
        <f>AND('STERLING CATALOG - DRY '!F143,"AAAAAH/8/m0=")</f>
        <v>#VALUE!</v>
      </c>
      <c r="DG14" t="e">
        <f>AND('STERLING CATALOG - DRY '!G143,"AAAAAH/8/m4=")</f>
        <v>#VALUE!</v>
      </c>
      <c r="DH14" t="e">
        <f>AND('STERLING CATALOG - DRY '!H143,"AAAAAH/8/m8=")</f>
        <v>#VALUE!</v>
      </c>
      <c r="DI14" t="e">
        <f>AND('STERLING CATALOG - DRY '!I143,"AAAAAH/8/nA=")</f>
        <v>#VALUE!</v>
      </c>
      <c r="DJ14" t="e">
        <f>AND('STERLING CATALOG - DRY '!J143,"AAAAAH/8/nE=")</f>
        <v>#VALUE!</v>
      </c>
      <c r="DK14">
        <f>IF('STERLING CATALOG - DRY '!144:144,"AAAAAH/8/nI=",0)</f>
        <v>0</v>
      </c>
      <c r="DL14" t="e">
        <f>AND('STERLING CATALOG - DRY '!A144,"AAAAAH/8/nM=")</f>
        <v>#VALUE!</v>
      </c>
      <c r="DM14" t="e">
        <f>AND('STERLING CATALOG - DRY '!B144,"AAAAAH/8/nQ=")</f>
        <v>#VALUE!</v>
      </c>
      <c r="DN14" t="e">
        <f>AND('STERLING CATALOG - DRY '!C144,"AAAAAH/8/nU=")</f>
        <v>#VALUE!</v>
      </c>
      <c r="DO14" t="e">
        <f>AND('STERLING CATALOG - DRY '!D144,"AAAAAH/8/nY=")</f>
        <v>#VALUE!</v>
      </c>
      <c r="DP14" t="e">
        <f>AND('STERLING CATALOG - DRY '!E144,"AAAAAH/8/nc=")</f>
        <v>#VALUE!</v>
      </c>
      <c r="DQ14" t="e">
        <f>AND('STERLING CATALOG - DRY '!F144,"AAAAAH/8/ng=")</f>
        <v>#VALUE!</v>
      </c>
      <c r="DR14" t="e">
        <f>AND('STERLING CATALOG - DRY '!G144,"AAAAAH/8/nk=")</f>
        <v>#VALUE!</v>
      </c>
      <c r="DS14" t="e">
        <f>AND('STERLING CATALOG - DRY '!H144,"AAAAAH/8/no=")</f>
        <v>#VALUE!</v>
      </c>
      <c r="DT14" t="e">
        <f>AND('STERLING CATALOG - DRY '!I144,"AAAAAH/8/ns=")</f>
        <v>#VALUE!</v>
      </c>
      <c r="DU14" t="e">
        <f>AND('STERLING CATALOG - DRY '!J144,"AAAAAH/8/nw=")</f>
        <v>#VALUE!</v>
      </c>
      <c r="DV14">
        <f>IF('STERLING CATALOG - DRY '!145:145,"AAAAAH/8/n0=",0)</f>
        <v>0</v>
      </c>
      <c r="DW14" t="e">
        <f>AND('STERLING CATALOG - DRY '!A145,"AAAAAH/8/n4=")</f>
        <v>#VALUE!</v>
      </c>
      <c r="DX14" t="e">
        <f>AND('STERLING CATALOG - DRY '!B145,"AAAAAH/8/n8=")</f>
        <v>#VALUE!</v>
      </c>
      <c r="DY14" t="e">
        <f>AND('STERLING CATALOG - DRY '!C145,"AAAAAH/8/oA=")</f>
        <v>#VALUE!</v>
      </c>
      <c r="DZ14" t="e">
        <f>AND('STERLING CATALOG - DRY '!D145,"AAAAAH/8/oE=")</f>
        <v>#VALUE!</v>
      </c>
      <c r="EA14" t="e">
        <f>AND('STERLING CATALOG - DRY '!E145,"AAAAAH/8/oI=")</f>
        <v>#VALUE!</v>
      </c>
      <c r="EB14" t="e">
        <f>AND('STERLING CATALOG - DRY '!F145,"AAAAAH/8/oM=")</f>
        <v>#VALUE!</v>
      </c>
      <c r="EC14" t="e">
        <f>AND('STERLING CATALOG - DRY '!G145,"AAAAAH/8/oQ=")</f>
        <v>#VALUE!</v>
      </c>
      <c r="ED14" t="e">
        <f>AND('STERLING CATALOG - DRY '!H145,"AAAAAH/8/oU=")</f>
        <v>#VALUE!</v>
      </c>
      <c r="EE14" t="e">
        <f>AND('STERLING CATALOG - DRY '!I145,"AAAAAH/8/oY=")</f>
        <v>#VALUE!</v>
      </c>
      <c r="EF14" t="e">
        <f>AND('STERLING CATALOG - DRY '!J145,"AAAAAH/8/oc=")</f>
        <v>#VALUE!</v>
      </c>
      <c r="EG14">
        <f>IF('STERLING CATALOG - DRY '!146:146,"AAAAAH/8/og=",0)</f>
        <v>0</v>
      </c>
      <c r="EH14" t="e">
        <f>AND('STERLING CATALOG - DRY '!A146,"AAAAAH/8/ok=")</f>
        <v>#VALUE!</v>
      </c>
      <c r="EI14" t="e">
        <f>AND('STERLING CATALOG - DRY '!B146,"AAAAAH/8/oo=")</f>
        <v>#VALUE!</v>
      </c>
      <c r="EJ14" t="e">
        <f>AND('STERLING CATALOG - DRY '!C146,"AAAAAH/8/os=")</f>
        <v>#VALUE!</v>
      </c>
      <c r="EK14" t="e">
        <f>AND('STERLING CATALOG - DRY '!D146,"AAAAAH/8/ow=")</f>
        <v>#VALUE!</v>
      </c>
      <c r="EL14" t="e">
        <f>AND('STERLING CATALOG - DRY '!E146,"AAAAAH/8/o0=")</f>
        <v>#VALUE!</v>
      </c>
      <c r="EM14" t="e">
        <f>AND('STERLING CATALOG - DRY '!F146,"AAAAAH/8/o4=")</f>
        <v>#VALUE!</v>
      </c>
      <c r="EN14" t="e">
        <f>AND('STERLING CATALOG - DRY '!G146,"AAAAAH/8/o8=")</f>
        <v>#VALUE!</v>
      </c>
      <c r="EO14" t="e">
        <f>AND('STERLING CATALOG - DRY '!H146,"AAAAAH/8/pA=")</f>
        <v>#VALUE!</v>
      </c>
      <c r="EP14" t="e">
        <f>AND('STERLING CATALOG - DRY '!I146,"AAAAAH/8/pE=")</f>
        <v>#VALUE!</v>
      </c>
      <c r="EQ14" t="e">
        <f>AND('STERLING CATALOG - DRY '!J146,"AAAAAH/8/pI=")</f>
        <v>#VALUE!</v>
      </c>
      <c r="ER14">
        <f>IF('STERLING CATALOG - DRY '!147:147,"AAAAAH/8/pM=",0)</f>
        <v>0</v>
      </c>
      <c r="ES14" t="e">
        <f>AND('STERLING CATALOG - DRY '!A147,"AAAAAH/8/pQ=")</f>
        <v>#VALUE!</v>
      </c>
      <c r="ET14" t="e">
        <f>AND('STERLING CATALOG - DRY '!B147,"AAAAAH/8/pU=")</f>
        <v>#VALUE!</v>
      </c>
      <c r="EU14" t="e">
        <f>AND('STERLING CATALOG - DRY '!C147,"AAAAAH/8/pY=")</f>
        <v>#VALUE!</v>
      </c>
      <c r="EV14" t="e">
        <f>AND('STERLING CATALOG - DRY '!D147,"AAAAAH/8/pc=")</f>
        <v>#VALUE!</v>
      </c>
      <c r="EW14" t="e">
        <f>AND('STERLING CATALOG - DRY '!E147,"AAAAAH/8/pg=")</f>
        <v>#VALUE!</v>
      </c>
      <c r="EX14" t="e">
        <f>AND('STERLING CATALOG - DRY '!F147,"AAAAAH/8/pk=")</f>
        <v>#VALUE!</v>
      </c>
      <c r="EY14" t="e">
        <f>AND('STERLING CATALOG - DRY '!G147,"AAAAAH/8/po=")</f>
        <v>#VALUE!</v>
      </c>
      <c r="EZ14" t="e">
        <f>AND('STERLING CATALOG - DRY '!H147,"AAAAAH/8/ps=")</f>
        <v>#VALUE!</v>
      </c>
      <c r="FA14" t="e">
        <f>AND('STERLING CATALOG - DRY '!I147,"AAAAAH/8/pw=")</f>
        <v>#VALUE!</v>
      </c>
      <c r="FB14" t="e">
        <f>AND('STERLING CATALOG - DRY '!J147,"AAAAAH/8/p0=")</f>
        <v>#VALUE!</v>
      </c>
      <c r="FC14">
        <f>IF('STERLING CATALOG - DRY '!148:148,"AAAAAH/8/p4=",0)</f>
        <v>0</v>
      </c>
      <c r="FD14" t="e">
        <f>AND('STERLING CATALOG - DRY '!A148,"AAAAAH/8/p8=")</f>
        <v>#VALUE!</v>
      </c>
      <c r="FE14" t="e">
        <f>AND('STERLING CATALOG - DRY '!B148,"AAAAAH/8/qA=")</f>
        <v>#VALUE!</v>
      </c>
      <c r="FF14" t="e">
        <f>AND('STERLING CATALOG - DRY '!C148,"AAAAAH/8/qE=")</f>
        <v>#VALUE!</v>
      </c>
      <c r="FG14" t="e">
        <f>AND('STERLING CATALOG - DRY '!D148,"AAAAAH/8/qI=")</f>
        <v>#VALUE!</v>
      </c>
      <c r="FH14" t="e">
        <f>AND('STERLING CATALOG - DRY '!E148,"AAAAAH/8/qM=")</f>
        <v>#VALUE!</v>
      </c>
      <c r="FI14" t="e">
        <f>AND('STERLING CATALOG - DRY '!F148,"AAAAAH/8/qQ=")</f>
        <v>#VALUE!</v>
      </c>
      <c r="FJ14" t="e">
        <f>AND('STERLING CATALOG - DRY '!G148,"AAAAAH/8/qU=")</f>
        <v>#VALUE!</v>
      </c>
      <c r="FK14" t="e">
        <f>AND('STERLING CATALOG - DRY '!H148,"AAAAAH/8/qY=")</f>
        <v>#VALUE!</v>
      </c>
      <c r="FL14" t="e">
        <f>AND('STERLING CATALOG - DRY '!I148,"AAAAAH/8/qc=")</f>
        <v>#VALUE!</v>
      </c>
      <c r="FM14" t="e">
        <f>AND('STERLING CATALOG - DRY '!J148,"AAAAAH/8/qg=")</f>
        <v>#VALUE!</v>
      </c>
      <c r="FN14">
        <f>IF('STERLING CATALOG - DRY '!149:149,"AAAAAH/8/qk=",0)</f>
        <v>0</v>
      </c>
      <c r="FO14" t="e">
        <f>AND('STERLING CATALOG - DRY '!A149,"AAAAAH/8/qo=")</f>
        <v>#VALUE!</v>
      </c>
      <c r="FP14" t="e">
        <f>AND('STERLING CATALOG - DRY '!B149,"AAAAAH/8/qs=")</f>
        <v>#VALUE!</v>
      </c>
      <c r="FQ14" t="e">
        <f>AND('STERLING CATALOG - DRY '!C149,"AAAAAH/8/qw=")</f>
        <v>#VALUE!</v>
      </c>
      <c r="FR14" t="e">
        <f>AND('STERLING CATALOG - DRY '!D149,"AAAAAH/8/q0=")</f>
        <v>#VALUE!</v>
      </c>
      <c r="FS14" t="e">
        <f>AND('STERLING CATALOG - DRY '!E149,"AAAAAH/8/q4=")</f>
        <v>#VALUE!</v>
      </c>
      <c r="FT14" t="e">
        <f>AND('STERLING CATALOG - DRY '!F149,"AAAAAH/8/q8=")</f>
        <v>#VALUE!</v>
      </c>
      <c r="FU14" t="e">
        <f>AND('STERLING CATALOG - DRY '!G149,"AAAAAH/8/rA=")</f>
        <v>#VALUE!</v>
      </c>
      <c r="FV14" t="e">
        <f>AND('STERLING CATALOG - DRY '!H149,"AAAAAH/8/rE=")</f>
        <v>#VALUE!</v>
      </c>
      <c r="FW14" t="e">
        <f>AND('STERLING CATALOG - DRY '!I149,"AAAAAH/8/rI=")</f>
        <v>#VALUE!</v>
      </c>
      <c r="FX14" t="e">
        <f>AND('STERLING CATALOG - DRY '!J149,"AAAAAH/8/rM=")</f>
        <v>#VALUE!</v>
      </c>
      <c r="FY14">
        <f>IF('STERLING CATALOG - DRY '!150:150,"AAAAAH/8/rQ=",0)</f>
        <v>0</v>
      </c>
      <c r="FZ14" t="e">
        <f>AND('STERLING CATALOG - DRY '!A150,"AAAAAH/8/rU=")</f>
        <v>#VALUE!</v>
      </c>
      <c r="GA14" t="e">
        <f>AND('STERLING CATALOG - DRY '!B150,"AAAAAH/8/rY=")</f>
        <v>#VALUE!</v>
      </c>
      <c r="GB14" t="e">
        <f>AND('STERLING CATALOG - DRY '!C150,"AAAAAH/8/rc=")</f>
        <v>#VALUE!</v>
      </c>
      <c r="GC14" t="e">
        <f>AND('STERLING CATALOG - DRY '!D150,"AAAAAH/8/rg=")</f>
        <v>#VALUE!</v>
      </c>
      <c r="GD14" t="e">
        <f>AND('STERLING CATALOG - DRY '!E150,"AAAAAH/8/rk=")</f>
        <v>#VALUE!</v>
      </c>
      <c r="GE14" t="e">
        <f>AND('STERLING CATALOG - DRY '!F150,"AAAAAH/8/ro=")</f>
        <v>#VALUE!</v>
      </c>
      <c r="GF14" t="e">
        <f>AND('STERLING CATALOG - DRY '!G150,"AAAAAH/8/rs=")</f>
        <v>#VALUE!</v>
      </c>
      <c r="GG14" t="e">
        <f>AND('STERLING CATALOG - DRY '!H150,"AAAAAH/8/rw=")</f>
        <v>#VALUE!</v>
      </c>
      <c r="GH14" t="e">
        <f>AND('STERLING CATALOG - DRY '!I150,"AAAAAH/8/r0=")</f>
        <v>#VALUE!</v>
      </c>
      <c r="GI14" t="e">
        <f>AND('STERLING CATALOG - DRY '!J150,"AAAAAH/8/r4=")</f>
        <v>#VALUE!</v>
      </c>
      <c r="GJ14">
        <f>IF('STERLING CATALOG - DRY '!151:151,"AAAAAH/8/r8=",0)</f>
        <v>0</v>
      </c>
      <c r="GK14" t="e">
        <f>AND('STERLING CATALOG - DRY '!A151,"AAAAAH/8/sA=")</f>
        <v>#VALUE!</v>
      </c>
      <c r="GL14" t="e">
        <f>AND('STERLING CATALOG - DRY '!B151,"AAAAAH/8/sE=")</f>
        <v>#VALUE!</v>
      </c>
      <c r="GM14" t="e">
        <f>AND('STERLING CATALOG - DRY '!C151,"AAAAAH/8/sI=")</f>
        <v>#VALUE!</v>
      </c>
      <c r="GN14" t="e">
        <f>AND('STERLING CATALOG - DRY '!D151,"AAAAAH/8/sM=")</f>
        <v>#VALUE!</v>
      </c>
      <c r="GO14" t="e">
        <f>AND('STERLING CATALOG - DRY '!E151,"AAAAAH/8/sQ=")</f>
        <v>#VALUE!</v>
      </c>
      <c r="GP14" t="e">
        <f>AND('STERLING CATALOG - DRY '!F151,"AAAAAH/8/sU=")</f>
        <v>#VALUE!</v>
      </c>
      <c r="GQ14" t="e">
        <f>AND('STERLING CATALOG - DRY '!G151,"AAAAAH/8/sY=")</f>
        <v>#VALUE!</v>
      </c>
      <c r="GR14" t="e">
        <f>AND('STERLING CATALOG - DRY '!H151,"AAAAAH/8/sc=")</f>
        <v>#VALUE!</v>
      </c>
      <c r="GS14" t="e">
        <f>AND('STERLING CATALOG - DRY '!I151,"AAAAAH/8/sg=")</f>
        <v>#VALUE!</v>
      </c>
      <c r="GT14" t="e">
        <f>AND('STERLING CATALOG - DRY '!J151,"AAAAAH/8/sk=")</f>
        <v>#VALUE!</v>
      </c>
      <c r="GU14">
        <f>IF('STERLING CATALOG - DRY '!152:152,"AAAAAH/8/so=",0)</f>
        <v>0</v>
      </c>
      <c r="GV14" t="e">
        <f>AND('STERLING CATALOG - DRY '!A152,"AAAAAH/8/ss=")</f>
        <v>#VALUE!</v>
      </c>
      <c r="GW14" t="e">
        <f>AND('STERLING CATALOG - DRY '!B152,"AAAAAH/8/sw=")</f>
        <v>#VALUE!</v>
      </c>
      <c r="GX14" t="e">
        <f>AND('STERLING CATALOG - DRY '!C152,"AAAAAH/8/s0=")</f>
        <v>#VALUE!</v>
      </c>
      <c r="GY14" t="e">
        <f>AND('STERLING CATALOG - DRY '!D152,"AAAAAH/8/s4=")</f>
        <v>#VALUE!</v>
      </c>
      <c r="GZ14" t="e">
        <f>AND('STERLING CATALOG - DRY '!E152,"AAAAAH/8/s8=")</f>
        <v>#VALUE!</v>
      </c>
      <c r="HA14" t="e">
        <f>AND('STERLING CATALOG - DRY '!F152,"AAAAAH/8/tA=")</f>
        <v>#VALUE!</v>
      </c>
      <c r="HB14" t="e">
        <f>AND('STERLING CATALOG - DRY '!G152,"AAAAAH/8/tE=")</f>
        <v>#VALUE!</v>
      </c>
      <c r="HC14" t="e">
        <f>AND('STERLING CATALOG - DRY '!H152,"AAAAAH/8/tI=")</f>
        <v>#VALUE!</v>
      </c>
      <c r="HD14" t="e">
        <f>AND('STERLING CATALOG - DRY '!I152,"AAAAAH/8/tM=")</f>
        <v>#VALUE!</v>
      </c>
      <c r="HE14" t="e">
        <f>AND('STERLING CATALOG - DRY '!J152,"AAAAAH/8/tQ=")</f>
        <v>#VALUE!</v>
      </c>
      <c r="HF14">
        <f>IF('STERLING CATALOG - DRY '!153:153,"AAAAAH/8/tU=",0)</f>
        <v>0</v>
      </c>
      <c r="HG14" t="e">
        <f>AND('STERLING CATALOG - DRY '!A153,"AAAAAH/8/tY=")</f>
        <v>#VALUE!</v>
      </c>
      <c r="HH14" t="e">
        <f>AND('STERLING CATALOG - DRY '!B153,"AAAAAH/8/tc=")</f>
        <v>#VALUE!</v>
      </c>
      <c r="HI14" t="e">
        <f>AND('STERLING CATALOG - DRY '!C153,"AAAAAH/8/tg=")</f>
        <v>#VALUE!</v>
      </c>
      <c r="HJ14" t="e">
        <f>AND('STERLING CATALOG - DRY '!D153,"AAAAAH/8/tk=")</f>
        <v>#VALUE!</v>
      </c>
      <c r="HK14" t="e">
        <f>AND('STERLING CATALOG - DRY '!E153,"AAAAAH/8/to=")</f>
        <v>#VALUE!</v>
      </c>
      <c r="HL14" t="e">
        <f>AND('STERLING CATALOG - DRY '!F153,"AAAAAH/8/ts=")</f>
        <v>#VALUE!</v>
      </c>
      <c r="HM14" t="e">
        <f>AND('STERLING CATALOG - DRY '!G153,"AAAAAH/8/tw=")</f>
        <v>#VALUE!</v>
      </c>
      <c r="HN14" t="e">
        <f>AND('STERLING CATALOG - DRY '!H153,"AAAAAH/8/t0=")</f>
        <v>#VALUE!</v>
      </c>
      <c r="HO14" t="e">
        <f>AND('STERLING CATALOG - DRY '!I153,"AAAAAH/8/t4=")</f>
        <v>#VALUE!</v>
      </c>
      <c r="HP14" t="e">
        <f>AND('STERLING CATALOG - DRY '!J153,"AAAAAH/8/t8=")</f>
        <v>#VALUE!</v>
      </c>
      <c r="HQ14">
        <f>IF('STERLING CATALOG - DRY '!154:154,"AAAAAH/8/uA=",0)</f>
        <v>0</v>
      </c>
      <c r="HR14" t="e">
        <f>AND('STERLING CATALOG - DRY '!A154,"AAAAAH/8/uE=")</f>
        <v>#VALUE!</v>
      </c>
      <c r="HS14" t="e">
        <f>AND('STERLING CATALOG - DRY '!B154,"AAAAAH/8/uI=")</f>
        <v>#VALUE!</v>
      </c>
      <c r="HT14" t="e">
        <f>AND('STERLING CATALOG - DRY '!C154,"AAAAAH/8/uM=")</f>
        <v>#VALUE!</v>
      </c>
      <c r="HU14" t="e">
        <f>AND('STERLING CATALOG - DRY '!D154,"AAAAAH/8/uQ=")</f>
        <v>#VALUE!</v>
      </c>
      <c r="HV14" t="e">
        <f>AND('STERLING CATALOG - DRY '!E154,"AAAAAH/8/uU=")</f>
        <v>#VALUE!</v>
      </c>
      <c r="HW14" t="e">
        <f>AND('STERLING CATALOG - DRY '!F154,"AAAAAH/8/uY=")</f>
        <v>#VALUE!</v>
      </c>
      <c r="HX14" t="e">
        <f>AND('STERLING CATALOG - DRY '!G154,"AAAAAH/8/uc=")</f>
        <v>#VALUE!</v>
      </c>
      <c r="HY14" t="e">
        <f>AND('STERLING CATALOG - DRY '!H154,"AAAAAH/8/ug=")</f>
        <v>#VALUE!</v>
      </c>
      <c r="HZ14" t="e">
        <f>AND('STERLING CATALOG - DRY '!I154,"AAAAAH/8/uk=")</f>
        <v>#VALUE!</v>
      </c>
      <c r="IA14" t="e">
        <f>AND('STERLING CATALOG - DRY '!J154,"AAAAAH/8/uo=")</f>
        <v>#VALUE!</v>
      </c>
      <c r="IB14">
        <f>IF('STERLING CATALOG - DRY '!155:155,"AAAAAH/8/us=",0)</f>
        <v>0</v>
      </c>
      <c r="IC14" t="e">
        <f>AND('STERLING CATALOG - DRY '!A155,"AAAAAH/8/uw=")</f>
        <v>#VALUE!</v>
      </c>
      <c r="ID14" t="e">
        <f>AND('STERLING CATALOG - DRY '!B155,"AAAAAH/8/u0=")</f>
        <v>#VALUE!</v>
      </c>
      <c r="IE14" t="e">
        <f>AND('STERLING CATALOG - DRY '!C155,"AAAAAH/8/u4=")</f>
        <v>#VALUE!</v>
      </c>
      <c r="IF14" t="e">
        <f>AND('STERLING CATALOG - DRY '!D155,"AAAAAH/8/u8=")</f>
        <v>#VALUE!</v>
      </c>
      <c r="IG14" t="e">
        <f>AND('STERLING CATALOG - DRY '!E155,"AAAAAH/8/vA=")</f>
        <v>#VALUE!</v>
      </c>
      <c r="IH14" t="e">
        <f>AND('STERLING CATALOG - DRY '!F155,"AAAAAH/8/vE=")</f>
        <v>#VALUE!</v>
      </c>
      <c r="II14" t="e">
        <f>AND('STERLING CATALOG - DRY '!G155,"AAAAAH/8/vI=")</f>
        <v>#VALUE!</v>
      </c>
      <c r="IJ14" t="e">
        <f>AND('STERLING CATALOG - DRY '!H155,"AAAAAH/8/vM=")</f>
        <v>#VALUE!</v>
      </c>
      <c r="IK14" t="e">
        <f>AND('STERLING CATALOG - DRY '!I155,"AAAAAH/8/vQ=")</f>
        <v>#VALUE!</v>
      </c>
      <c r="IL14" t="e">
        <f>AND('STERLING CATALOG - DRY '!J155,"AAAAAH/8/vU=")</f>
        <v>#VALUE!</v>
      </c>
      <c r="IM14">
        <f>IF('STERLING CATALOG - DRY '!156:156,"AAAAAH/8/vY=",0)</f>
        <v>0</v>
      </c>
      <c r="IN14" t="e">
        <f>AND('STERLING CATALOG - DRY '!A156,"AAAAAH/8/vc=")</f>
        <v>#VALUE!</v>
      </c>
      <c r="IO14" t="e">
        <f>AND('STERLING CATALOG - DRY '!B156,"AAAAAH/8/vg=")</f>
        <v>#VALUE!</v>
      </c>
      <c r="IP14" t="e">
        <f>AND('STERLING CATALOG - DRY '!C156,"AAAAAH/8/vk=")</f>
        <v>#VALUE!</v>
      </c>
      <c r="IQ14" t="e">
        <f>AND('STERLING CATALOG - DRY '!D156,"AAAAAH/8/vo=")</f>
        <v>#VALUE!</v>
      </c>
      <c r="IR14" t="e">
        <f>AND('STERLING CATALOG - DRY '!E156,"AAAAAH/8/vs=")</f>
        <v>#VALUE!</v>
      </c>
      <c r="IS14" t="e">
        <f>AND('STERLING CATALOG - DRY '!F156,"AAAAAH/8/vw=")</f>
        <v>#VALUE!</v>
      </c>
      <c r="IT14" t="e">
        <f>AND('STERLING CATALOG - DRY '!G156,"AAAAAH/8/v0=")</f>
        <v>#VALUE!</v>
      </c>
      <c r="IU14" t="e">
        <f>AND('STERLING CATALOG - DRY '!H156,"AAAAAH/8/v4=")</f>
        <v>#VALUE!</v>
      </c>
      <c r="IV14" t="e">
        <f>AND('STERLING CATALOG - DRY '!I156,"AAAAAH/8/v8=")</f>
        <v>#VALUE!</v>
      </c>
    </row>
    <row r="15" spans="1:256">
      <c r="A15" t="e">
        <f>AND('STERLING CATALOG - DRY '!J156,"AAAAAF323gA=")</f>
        <v>#VALUE!</v>
      </c>
      <c r="B15" t="str">
        <f>IF('STERLING CATALOG - DRY '!157:157,"AAAAAF323gE=",0)</f>
        <v>AAAAAF323gE=</v>
      </c>
      <c r="C15" t="e">
        <f>AND('STERLING CATALOG - DRY '!A157,"AAAAAF323gI=")</f>
        <v>#VALUE!</v>
      </c>
      <c r="D15" t="e">
        <f>AND('STERLING CATALOG - DRY '!B157,"AAAAAF323gM=")</f>
        <v>#VALUE!</v>
      </c>
      <c r="E15" t="e">
        <f>AND('STERLING CATALOG - DRY '!C157,"AAAAAF323gQ=")</f>
        <v>#VALUE!</v>
      </c>
      <c r="F15" t="e">
        <f>AND('STERLING CATALOG - DRY '!D157,"AAAAAF323gU=")</f>
        <v>#VALUE!</v>
      </c>
      <c r="G15" t="e">
        <f>AND('STERLING CATALOG - DRY '!E157,"AAAAAF323gY=")</f>
        <v>#VALUE!</v>
      </c>
      <c r="H15" t="e">
        <f>AND('STERLING CATALOG - DRY '!F157,"AAAAAF323gc=")</f>
        <v>#VALUE!</v>
      </c>
      <c r="I15" t="e">
        <f>AND('STERLING CATALOG - DRY '!G157,"AAAAAF323gg=")</f>
        <v>#VALUE!</v>
      </c>
      <c r="J15" t="e">
        <f>AND('STERLING CATALOG - DRY '!H157,"AAAAAF323gk=")</f>
        <v>#VALUE!</v>
      </c>
      <c r="K15" t="e">
        <f>AND('STERLING CATALOG - DRY '!I157,"AAAAAF323go=")</f>
        <v>#VALUE!</v>
      </c>
      <c r="L15" t="e">
        <f>AND('STERLING CATALOG - DRY '!J157,"AAAAAF323gs=")</f>
        <v>#VALUE!</v>
      </c>
      <c r="M15">
        <f>IF('STERLING CATALOG - DRY '!158:158,"AAAAAF323gw=",0)</f>
        <v>0</v>
      </c>
      <c r="N15" t="e">
        <f>AND('STERLING CATALOG - DRY '!A158,"AAAAAF323g0=")</f>
        <v>#VALUE!</v>
      </c>
      <c r="O15" t="e">
        <f>AND('STERLING CATALOG - DRY '!B158,"AAAAAF323g4=")</f>
        <v>#VALUE!</v>
      </c>
      <c r="P15" t="e">
        <f>AND('STERLING CATALOG - DRY '!C158,"AAAAAF323g8=")</f>
        <v>#VALUE!</v>
      </c>
      <c r="Q15" t="e">
        <f>AND('STERLING CATALOG - DRY '!D158,"AAAAAF323hA=")</f>
        <v>#VALUE!</v>
      </c>
      <c r="R15" t="e">
        <f>AND('STERLING CATALOG - DRY '!E158,"AAAAAF323hE=")</f>
        <v>#VALUE!</v>
      </c>
      <c r="S15" t="e">
        <f>AND('STERLING CATALOG - DRY '!F158,"AAAAAF323hI=")</f>
        <v>#VALUE!</v>
      </c>
      <c r="T15" t="e">
        <f>AND('STERLING CATALOG - DRY '!G158,"AAAAAF323hM=")</f>
        <v>#VALUE!</v>
      </c>
      <c r="U15" t="e">
        <f>AND('STERLING CATALOG - DRY '!H158,"AAAAAF323hQ=")</f>
        <v>#VALUE!</v>
      </c>
      <c r="V15" t="e">
        <f>AND('STERLING CATALOG - DRY '!I158,"AAAAAF323hU=")</f>
        <v>#VALUE!</v>
      </c>
      <c r="W15" t="e">
        <f>AND('STERLING CATALOG - DRY '!J158,"AAAAAF323hY=")</f>
        <v>#VALUE!</v>
      </c>
      <c r="X15">
        <f>IF('STERLING CATALOG - DRY '!159:159,"AAAAAF323hc=",0)</f>
        <v>0</v>
      </c>
      <c r="Y15" t="e">
        <f>AND('STERLING CATALOG - DRY '!A159,"AAAAAF323hg=")</f>
        <v>#VALUE!</v>
      </c>
      <c r="Z15" t="e">
        <f>AND('STERLING CATALOG - DRY '!B159,"AAAAAF323hk=")</f>
        <v>#VALUE!</v>
      </c>
      <c r="AA15" t="e">
        <f>AND('STERLING CATALOG - DRY '!C159,"AAAAAF323ho=")</f>
        <v>#VALUE!</v>
      </c>
      <c r="AB15" t="e">
        <f>AND('STERLING CATALOG - DRY '!D159,"AAAAAF323hs=")</f>
        <v>#VALUE!</v>
      </c>
      <c r="AC15" t="e">
        <f>AND('STERLING CATALOG - DRY '!E159,"AAAAAF323hw=")</f>
        <v>#VALUE!</v>
      </c>
      <c r="AD15" t="e">
        <f>AND('STERLING CATALOG - DRY '!F159,"AAAAAF323h0=")</f>
        <v>#VALUE!</v>
      </c>
      <c r="AE15" t="e">
        <f>AND('STERLING CATALOG - DRY '!G159,"AAAAAF323h4=")</f>
        <v>#VALUE!</v>
      </c>
      <c r="AF15" t="e">
        <f>AND('STERLING CATALOG - DRY '!H159,"AAAAAF323h8=")</f>
        <v>#VALUE!</v>
      </c>
      <c r="AG15" t="e">
        <f>AND('STERLING CATALOG - DRY '!I159,"AAAAAF323iA=")</f>
        <v>#VALUE!</v>
      </c>
      <c r="AH15" t="e">
        <f>AND('STERLING CATALOG - DRY '!J159,"AAAAAF323iE=")</f>
        <v>#VALUE!</v>
      </c>
      <c r="AI15">
        <f>IF('STERLING CATALOG - DRY '!160:160,"AAAAAF323iI=",0)</f>
        <v>0</v>
      </c>
      <c r="AJ15" t="e">
        <f>AND('STERLING CATALOG - DRY '!A160,"AAAAAF323iM=")</f>
        <v>#VALUE!</v>
      </c>
      <c r="AK15" t="e">
        <f>AND('STERLING CATALOG - DRY '!B160,"AAAAAF323iQ=")</f>
        <v>#VALUE!</v>
      </c>
      <c r="AL15" t="e">
        <f>AND('STERLING CATALOG - DRY '!C160,"AAAAAF323iU=")</f>
        <v>#VALUE!</v>
      </c>
      <c r="AM15" t="e">
        <f>AND('STERLING CATALOG - DRY '!D160,"AAAAAF323iY=")</f>
        <v>#VALUE!</v>
      </c>
      <c r="AN15" t="e">
        <f>AND('STERLING CATALOG - DRY '!E160,"AAAAAF323ic=")</f>
        <v>#VALUE!</v>
      </c>
      <c r="AO15" t="e">
        <f>AND('STERLING CATALOG - DRY '!F160,"AAAAAF323ig=")</f>
        <v>#VALUE!</v>
      </c>
      <c r="AP15" t="e">
        <f>AND('STERLING CATALOG - DRY '!G160,"AAAAAF323ik=")</f>
        <v>#VALUE!</v>
      </c>
      <c r="AQ15" t="e">
        <f>AND('STERLING CATALOG - DRY '!H160,"AAAAAF323io=")</f>
        <v>#VALUE!</v>
      </c>
      <c r="AR15" t="e">
        <f>AND('STERLING CATALOG - DRY '!I160,"AAAAAF323is=")</f>
        <v>#VALUE!</v>
      </c>
      <c r="AS15" t="e">
        <f>AND('STERLING CATALOG - DRY '!J160,"AAAAAF323iw=")</f>
        <v>#VALUE!</v>
      </c>
      <c r="AT15">
        <f>IF('STERLING CATALOG - DRY '!161:161,"AAAAAF323i0=",0)</f>
        <v>0</v>
      </c>
      <c r="AU15" t="e">
        <f>AND('STERLING CATALOG - DRY '!A161,"AAAAAF323i4=")</f>
        <v>#VALUE!</v>
      </c>
      <c r="AV15" t="e">
        <f>AND('STERLING CATALOG - DRY '!B161,"AAAAAF323i8=")</f>
        <v>#VALUE!</v>
      </c>
      <c r="AW15" t="e">
        <f>AND('STERLING CATALOG - DRY '!C161,"AAAAAF323jA=")</f>
        <v>#VALUE!</v>
      </c>
      <c r="AX15" t="e">
        <f>AND('STERLING CATALOG - DRY '!D161,"AAAAAF323jE=")</f>
        <v>#VALUE!</v>
      </c>
      <c r="AY15" t="e">
        <f>AND('STERLING CATALOG - DRY '!E161,"AAAAAF323jI=")</f>
        <v>#VALUE!</v>
      </c>
      <c r="AZ15" t="e">
        <f>AND('STERLING CATALOG - DRY '!F161,"AAAAAF323jM=")</f>
        <v>#VALUE!</v>
      </c>
      <c r="BA15" t="e">
        <f>AND('STERLING CATALOG - DRY '!G161,"AAAAAF323jQ=")</f>
        <v>#VALUE!</v>
      </c>
      <c r="BB15" t="e">
        <f>AND('STERLING CATALOG - DRY '!H161,"AAAAAF323jU=")</f>
        <v>#VALUE!</v>
      </c>
      <c r="BC15" t="e">
        <f>AND('STERLING CATALOG - DRY '!I161,"AAAAAF323jY=")</f>
        <v>#VALUE!</v>
      </c>
      <c r="BD15" t="e">
        <f>AND('STERLING CATALOG - DRY '!J161,"AAAAAF323jc=")</f>
        <v>#VALUE!</v>
      </c>
      <c r="BE15">
        <f>IF('STERLING CATALOG - DRY '!162:162,"AAAAAF323jg=",0)</f>
        <v>0</v>
      </c>
      <c r="BF15" t="e">
        <f>AND('STERLING CATALOG - DRY '!A162,"AAAAAF323jk=")</f>
        <v>#VALUE!</v>
      </c>
      <c r="BG15" t="e">
        <f>AND('STERLING CATALOG - DRY '!B162,"AAAAAF323jo=")</f>
        <v>#VALUE!</v>
      </c>
      <c r="BH15" t="e">
        <f>AND('STERLING CATALOG - DRY '!C162,"AAAAAF323js=")</f>
        <v>#VALUE!</v>
      </c>
      <c r="BI15" t="e">
        <f>AND('STERLING CATALOG - DRY '!D162,"AAAAAF323jw=")</f>
        <v>#VALUE!</v>
      </c>
      <c r="BJ15" t="e">
        <f>AND('STERLING CATALOG - DRY '!E162,"AAAAAF323j0=")</f>
        <v>#VALUE!</v>
      </c>
      <c r="BK15" t="e">
        <f>AND('STERLING CATALOG - DRY '!F162,"AAAAAF323j4=")</f>
        <v>#VALUE!</v>
      </c>
      <c r="BL15" t="e">
        <f>AND('STERLING CATALOG - DRY '!G162,"AAAAAF323j8=")</f>
        <v>#VALUE!</v>
      </c>
      <c r="BM15" t="e">
        <f>AND('STERLING CATALOG - DRY '!H162,"AAAAAF323kA=")</f>
        <v>#VALUE!</v>
      </c>
      <c r="BN15" t="e">
        <f>AND('STERLING CATALOG - DRY '!I162,"AAAAAF323kE=")</f>
        <v>#VALUE!</v>
      </c>
      <c r="BO15" t="e">
        <f>AND('STERLING CATALOG - DRY '!J162,"AAAAAF323kI=")</f>
        <v>#VALUE!</v>
      </c>
      <c r="BP15">
        <f>IF('STERLING CATALOG - DRY '!163:163,"AAAAAF323kM=",0)</f>
        <v>0</v>
      </c>
      <c r="BQ15" t="e">
        <f>AND('STERLING CATALOG - DRY '!A163,"AAAAAF323kQ=")</f>
        <v>#VALUE!</v>
      </c>
      <c r="BR15" t="e">
        <f>AND('STERLING CATALOG - DRY '!B163,"AAAAAF323kU=")</f>
        <v>#VALUE!</v>
      </c>
      <c r="BS15" t="e">
        <f>AND('STERLING CATALOG - DRY '!C163,"AAAAAF323kY=")</f>
        <v>#VALUE!</v>
      </c>
      <c r="BT15" t="e">
        <f>AND('STERLING CATALOG - DRY '!D163,"AAAAAF323kc=")</f>
        <v>#VALUE!</v>
      </c>
      <c r="BU15" t="e">
        <f>AND('STERLING CATALOG - DRY '!E163,"AAAAAF323kg=")</f>
        <v>#VALUE!</v>
      </c>
      <c r="BV15" t="e">
        <f>AND('STERLING CATALOG - DRY '!F163,"AAAAAF323kk=")</f>
        <v>#VALUE!</v>
      </c>
      <c r="BW15" t="e">
        <f>AND('STERLING CATALOG - DRY '!G163,"AAAAAF323ko=")</f>
        <v>#VALUE!</v>
      </c>
      <c r="BX15" t="e">
        <f>AND('STERLING CATALOG - DRY '!H163,"AAAAAF323ks=")</f>
        <v>#VALUE!</v>
      </c>
      <c r="BY15" t="e">
        <f>AND('STERLING CATALOG - DRY '!I163,"AAAAAF323kw=")</f>
        <v>#VALUE!</v>
      </c>
      <c r="BZ15" t="e">
        <f>AND('STERLING CATALOG - DRY '!J163,"AAAAAF323k0=")</f>
        <v>#VALUE!</v>
      </c>
      <c r="CA15">
        <f>IF('STERLING CATALOG - DRY '!164:164,"AAAAAF323k4=",0)</f>
        <v>0</v>
      </c>
      <c r="CB15" t="e">
        <f>AND('STERLING CATALOG - DRY '!A164,"AAAAAF323k8=")</f>
        <v>#VALUE!</v>
      </c>
      <c r="CC15" t="e">
        <f>AND('STERLING CATALOG - DRY '!B164,"AAAAAF323lA=")</f>
        <v>#VALUE!</v>
      </c>
      <c r="CD15" t="e">
        <f>AND('STERLING CATALOG - DRY '!C164,"AAAAAF323lE=")</f>
        <v>#VALUE!</v>
      </c>
      <c r="CE15" t="e">
        <f>AND('STERLING CATALOG - DRY '!D164,"AAAAAF323lI=")</f>
        <v>#VALUE!</v>
      </c>
      <c r="CF15" t="e">
        <f>AND('STERLING CATALOG - DRY '!E164,"AAAAAF323lM=")</f>
        <v>#VALUE!</v>
      </c>
      <c r="CG15" t="e">
        <f>AND('STERLING CATALOG - DRY '!F164,"AAAAAF323lQ=")</f>
        <v>#VALUE!</v>
      </c>
      <c r="CH15" t="e">
        <f>AND('STERLING CATALOG - DRY '!G164,"AAAAAF323lU=")</f>
        <v>#VALUE!</v>
      </c>
      <c r="CI15" t="e">
        <f>AND('STERLING CATALOG - DRY '!H164,"AAAAAF323lY=")</f>
        <v>#VALUE!</v>
      </c>
      <c r="CJ15" t="e">
        <f>AND('STERLING CATALOG - DRY '!I164,"AAAAAF323lc=")</f>
        <v>#VALUE!</v>
      </c>
      <c r="CK15" t="e">
        <f>AND('STERLING CATALOG - DRY '!J164,"AAAAAF323lg=")</f>
        <v>#VALUE!</v>
      </c>
      <c r="CL15">
        <f>IF('STERLING CATALOG - DRY '!165:165,"AAAAAF323lk=",0)</f>
        <v>0</v>
      </c>
      <c r="CM15" t="e">
        <f>AND('STERLING CATALOG - DRY '!A165,"AAAAAF323lo=")</f>
        <v>#VALUE!</v>
      </c>
      <c r="CN15" t="e">
        <f>AND('STERLING CATALOG - DRY '!B165,"AAAAAF323ls=")</f>
        <v>#VALUE!</v>
      </c>
      <c r="CO15" t="e">
        <f>AND('STERLING CATALOG - DRY '!C165,"AAAAAF323lw=")</f>
        <v>#VALUE!</v>
      </c>
      <c r="CP15" t="e">
        <f>AND('STERLING CATALOG - DRY '!D165,"AAAAAF323l0=")</f>
        <v>#VALUE!</v>
      </c>
      <c r="CQ15" t="e">
        <f>AND('STERLING CATALOG - DRY '!E165,"AAAAAF323l4=")</f>
        <v>#VALUE!</v>
      </c>
      <c r="CR15" t="e">
        <f>AND('STERLING CATALOG - DRY '!F165,"AAAAAF323l8=")</f>
        <v>#VALUE!</v>
      </c>
      <c r="CS15" t="e">
        <f>AND('STERLING CATALOG - DRY '!G165,"AAAAAF323mA=")</f>
        <v>#VALUE!</v>
      </c>
      <c r="CT15" t="e">
        <f>AND('STERLING CATALOG - DRY '!H165,"AAAAAF323mE=")</f>
        <v>#VALUE!</v>
      </c>
      <c r="CU15" t="e">
        <f>AND('STERLING CATALOG - DRY '!I165,"AAAAAF323mI=")</f>
        <v>#VALUE!</v>
      </c>
      <c r="CV15" t="e">
        <f>AND('STERLING CATALOG - DRY '!J165,"AAAAAF323mM=")</f>
        <v>#VALUE!</v>
      </c>
      <c r="CW15">
        <f>IF('STERLING CATALOG - DRY '!166:166,"AAAAAF323mQ=",0)</f>
        <v>0</v>
      </c>
      <c r="CX15" t="e">
        <f>AND('STERLING CATALOG - DRY '!A166,"AAAAAF323mU=")</f>
        <v>#VALUE!</v>
      </c>
      <c r="CY15" t="e">
        <f>AND('STERLING CATALOG - DRY '!B166,"AAAAAF323mY=")</f>
        <v>#VALUE!</v>
      </c>
      <c r="CZ15" t="e">
        <f>AND('STERLING CATALOG - DRY '!C166,"AAAAAF323mc=")</f>
        <v>#VALUE!</v>
      </c>
      <c r="DA15" t="e">
        <f>AND('STERLING CATALOG - DRY '!D166,"AAAAAF323mg=")</f>
        <v>#VALUE!</v>
      </c>
      <c r="DB15" t="e">
        <f>AND('STERLING CATALOG - DRY '!E166,"AAAAAF323mk=")</f>
        <v>#VALUE!</v>
      </c>
      <c r="DC15" t="e">
        <f>AND('STERLING CATALOG - DRY '!F166,"AAAAAF323mo=")</f>
        <v>#VALUE!</v>
      </c>
      <c r="DD15" t="e">
        <f>AND('STERLING CATALOG - DRY '!G166,"AAAAAF323ms=")</f>
        <v>#VALUE!</v>
      </c>
      <c r="DE15" t="e">
        <f>AND('STERLING CATALOG - DRY '!H166,"AAAAAF323mw=")</f>
        <v>#VALUE!</v>
      </c>
      <c r="DF15" t="e">
        <f>AND('STERLING CATALOG - DRY '!I166,"AAAAAF323m0=")</f>
        <v>#VALUE!</v>
      </c>
      <c r="DG15" t="e">
        <f>AND('STERLING CATALOG - DRY '!J166,"AAAAAF323m4=")</f>
        <v>#VALUE!</v>
      </c>
      <c r="DH15">
        <f>IF('STERLING CATALOG - DRY '!167:167,"AAAAAF323m8=",0)</f>
        <v>0</v>
      </c>
      <c r="DI15" t="e">
        <f>AND('STERLING CATALOG - DRY '!A167,"AAAAAF323nA=")</f>
        <v>#VALUE!</v>
      </c>
      <c r="DJ15" t="e">
        <f>AND('STERLING CATALOG - DRY '!B167,"AAAAAF323nE=")</f>
        <v>#VALUE!</v>
      </c>
      <c r="DK15" t="e">
        <f>AND('STERLING CATALOG - DRY '!C167,"AAAAAF323nI=")</f>
        <v>#VALUE!</v>
      </c>
      <c r="DL15" t="e">
        <f>AND('STERLING CATALOG - DRY '!D167,"AAAAAF323nM=")</f>
        <v>#VALUE!</v>
      </c>
      <c r="DM15" t="e">
        <f>AND('STERLING CATALOG - DRY '!E167,"AAAAAF323nQ=")</f>
        <v>#VALUE!</v>
      </c>
      <c r="DN15" t="e">
        <f>AND('STERLING CATALOG - DRY '!F167,"AAAAAF323nU=")</f>
        <v>#VALUE!</v>
      </c>
      <c r="DO15" t="e">
        <f>AND('STERLING CATALOG - DRY '!G167,"AAAAAF323nY=")</f>
        <v>#VALUE!</v>
      </c>
      <c r="DP15" t="e">
        <f>AND('STERLING CATALOG - DRY '!H167,"AAAAAF323nc=")</f>
        <v>#VALUE!</v>
      </c>
      <c r="DQ15" t="e">
        <f>AND('STERLING CATALOG - DRY '!I167,"AAAAAF323ng=")</f>
        <v>#VALUE!</v>
      </c>
      <c r="DR15" t="e">
        <f>AND('STERLING CATALOG - DRY '!J167,"AAAAAF323nk=")</f>
        <v>#VALUE!</v>
      </c>
      <c r="DS15">
        <f>IF('STERLING CATALOG - DRY '!168:168,"AAAAAF323no=",0)</f>
        <v>0</v>
      </c>
      <c r="DT15" t="e">
        <f>AND('STERLING CATALOG - DRY '!A168,"AAAAAF323ns=")</f>
        <v>#VALUE!</v>
      </c>
      <c r="DU15" t="e">
        <f>AND('STERLING CATALOG - DRY '!B168,"AAAAAF323nw=")</f>
        <v>#VALUE!</v>
      </c>
      <c r="DV15" t="e">
        <f>AND('STERLING CATALOG - DRY '!C168,"AAAAAF323n0=")</f>
        <v>#VALUE!</v>
      </c>
      <c r="DW15" t="e">
        <f>AND('STERLING CATALOG - DRY '!D168,"AAAAAF323n4=")</f>
        <v>#VALUE!</v>
      </c>
      <c r="DX15" t="e">
        <f>AND('STERLING CATALOG - DRY '!E168,"AAAAAF323n8=")</f>
        <v>#VALUE!</v>
      </c>
      <c r="DY15" t="e">
        <f>AND('STERLING CATALOG - DRY '!F168,"AAAAAF323oA=")</f>
        <v>#VALUE!</v>
      </c>
      <c r="DZ15" t="e">
        <f>AND('STERLING CATALOG - DRY '!G168,"AAAAAF323oE=")</f>
        <v>#VALUE!</v>
      </c>
      <c r="EA15" t="e">
        <f>AND('STERLING CATALOG - DRY '!H168,"AAAAAF323oI=")</f>
        <v>#VALUE!</v>
      </c>
      <c r="EB15" t="e">
        <f>AND('STERLING CATALOG - DRY '!I168,"AAAAAF323oM=")</f>
        <v>#VALUE!</v>
      </c>
      <c r="EC15" t="e">
        <f>AND('STERLING CATALOG - DRY '!J168,"AAAAAF323oQ=")</f>
        <v>#VALUE!</v>
      </c>
      <c r="ED15">
        <f>IF('STERLING CATALOG - DRY '!169:169,"AAAAAF323oU=",0)</f>
        <v>0</v>
      </c>
      <c r="EE15" t="e">
        <f>AND('STERLING CATALOG - DRY '!A169,"AAAAAF323oY=")</f>
        <v>#VALUE!</v>
      </c>
      <c r="EF15" t="e">
        <f>AND('STERLING CATALOG - DRY '!B169,"AAAAAF323oc=")</f>
        <v>#VALUE!</v>
      </c>
      <c r="EG15" t="e">
        <f>AND('STERLING CATALOG - DRY '!C169,"AAAAAF323og=")</f>
        <v>#VALUE!</v>
      </c>
      <c r="EH15" t="e">
        <f>AND('STERLING CATALOG - DRY '!D169,"AAAAAF323ok=")</f>
        <v>#VALUE!</v>
      </c>
      <c r="EI15" t="e">
        <f>AND('STERLING CATALOG - DRY '!E169,"AAAAAF323oo=")</f>
        <v>#VALUE!</v>
      </c>
      <c r="EJ15" t="e">
        <f>AND('STERLING CATALOG - DRY '!F169,"AAAAAF323os=")</f>
        <v>#VALUE!</v>
      </c>
      <c r="EK15" t="e">
        <f>AND('STERLING CATALOG - DRY '!G169,"AAAAAF323ow=")</f>
        <v>#VALUE!</v>
      </c>
      <c r="EL15" t="e">
        <f>AND('STERLING CATALOG - DRY '!H169,"AAAAAF323o0=")</f>
        <v>#VALUE!</v>
      </c>
      <c r="EM15" t="e">
        <f>AND('STERLING CATALOG - DRY '!I169,"AAAAAF323o4=")</f>
        <v>#VALUE!</v>
      </c>
      <c r="EN15" t="e">
        <f>AND('STERLING CATALOG - DRY '!J169,"AAAAAF323o8=")</f>
        <v>#VALUE!</v>
      </c>
      <c r="EO15">
        <f>IF('STERLING CATALOG - DRY '!170:170,"AAAAAF323pA=",0)</f>
        <v>0</v>
      </c>
      <c r="EP15" t="e">
        <f>AND('STERLING CATALOG - DRY '!A170,"AAAAAF323pE=")</f>
        <v>#VALUE!</v>
      </c>
      <c r="EQ15" t="e">
        <f>AND('STERLING CATALOG - DRY '!B170,"AAAAAF323pI=")</f>
        <v>#VALUE!</v>
      </c>
      <c r="ER15" t="e">
        <f>AND('STERLING CATALOG - DRY '!C170,"AAAAAF323pM=")</f>
        <v>#VALUE!</v>
      </c>
      <c r="ES15" t="e">
        <f>AND('STERLING CATALOG - DRY '!D170,"AAAAAF323pQ=")</f>
        <v>#VALUE!</v>
      </c>
      <c r="ET15" t="e">
        <f>AND('STERLING CATALOG - DRY '!E170,"AAAAAF323pU=")</f>
        <v>#VALUE!</v>
      </c>
      <c r="EU15" t="e">
        <f>AND('STERLING CATALOG - DRY '!F170,"AAAAAF323pY=")</f>
        <v>#VALUE!</v>
      </c>
      <c r="EV15" t="e">
        <f>AND('STERLING CATALOG - DRY '!G170,"AAAAAF323pc=")</f>
        <v>#VALUE!</v>
      </c>
      <c r="EW15" t="e">
        <f>AND('STERLING CATALOG - DRY '!H170,"AAAAAF323pg=")</f>
        <v>#VALUE!</v>
      </c>
      <c r="EX15" t="e">
        <f>AND('STERLING CATALOG - DRY '!I170,"AAAAAF323pk=")</f>
        <v>#VALUE!</v>
      </c>
      <c r="EY15" t="e">
        <f>AND('STERLING CATALOG - DRY '!J170,"AAAAAF323po=")</f>
        <v>#VALUE!</v>
      </c>
      <c r="EZ15">
        <f>IF('STERLING CATALOG - DRY '!171:171,"AAAAAF323ps=",0)</f>
        <v>0</v>
      </c>
      <c r="FA15" t="e">
        <f>AND('STERLING CATALOG - DRY '!A171,"AAAAAF323pw=")</f>
        <v>#VALUE!</v>
      </c>
      <c r="FB15" t="e">
        <f>AND('STERLING CATALOG - DRY '!B171,"AAAAAF323p0=")</f>
        <v>#VALUE!</v>
      </c>
      <c r="FC15" t="e">
        <f>AND('STERLING CATALOG - DRY '!C171,"AAAAAF323p4=")</f>
        <v>#VALUE!</v>
      </c>
      <c r="FD15" t="e">
        <f>AND('STERLING CATALOG - DRY '!D171,"AAAAAF323p8=")</f>
        <v>#VALUE!</v>
      </c>
      <c r="FE15" t="e">
        <f>AND('STERLING CATALOG - DRY '!E171,"AAAAAF323qA=")</f>
        <v>#VALUE!</v>
      </c>
      <c r="FF15" t="e">
        <f>AND('STERLING CATALOG - DRY '!F171,"AAAAAF323qE=")</f>
        <v>#VALUE!</v>
      </c>
      <c r="FG15" t="e">
        <f>AND('STERLING CATALOG - DRY '!G171,"AAAAAF323qI=")</f>
        <v>#VALUE!</v>
      </c>
      <c r="FH15" t="e">
        <f>AND('STERLING CATALOG - DRY '!H171,"AAAAAF323qM=")</f>
        <v>#VALUE!</v>
      </c>
      <c r="FI15" t="e">
        <f>AND('STERLING CATALOG - DRY '!I171,"AAAAAF323qQ=")</f>
        <v>#VALUE!</v>
      </c>
      <c r="FJ15" t="e">
        <f>AND('STERLING CATALOG - DRY '!J171,"AAAAAF323qU=")</f>
        <v>#VALUE!</v>
      </c>
      <c r="FK15">
        <f>IF('STERLING CATALOG - DRY '!172:172,"AAAAAF323qY=",0)</f>
        <v>0</v>
      </c>
      <c r="FL15" t="e">
        <f>AND('STERLING CATALOG - DRY '!A172,"AAAAAF323qc=")</f>
        <v>#VALUE!</v>
      </c>
      <c r="FM15" t="e">
        <f>AND('STERLING CATALOG - DRY '!B172,"AAAAAF323qg=")</f>
        <v>#VALUE!</v>
      </c>
      <c r="FN15" t="e">
        <f>AND('STERLING CATALOG - DRY '!C172,"AAAAAF323qk=")</f>
        <v>#VALUE!</v>
      </c>
      <c r="FO15" t="e">
        <f>AND('STERLING CATALOG - DRY '!D172,"AAAAAF323qo=")</f>
        <v>#VALUE!</v>
      </c>
      <c r="FP15" t="e">
        <f>AND('STERLING CATALOG - DRY '!E172,"AAAAAF323qs=")</f>
        <v>#VALUE!</v>
      </c>
      <c r="FQ15" t="e">
        <f>AND('STERLING CATALOG - DRY '!F172,"AAAAAF323qw=")</f>
        <v>#VALUE!</v>
      </c>
      <c r="FR15" t="e">
        <f>AND('STERLING CATALOG - DRY '!G172,"AAAAAF323q0=")</f>
        <v>#VALUE!</v>
      </c>
      <c r="FS15" t="e">
        <f>AND('STERLING CATALOG - DRY '!H172,"AAAAAF323q4=")</f>
        <v>#VALUE!</v>
      </c>
      <c r="FT15" t="e">
        <f>AND('STERLING CATALOG - DRY '!I172,"AAAAAF323q8=")</f>
        <v>#VALUE!</v>
      </c>
      <c r="FU15" t="e">
        <f>AND('STERLING CATALOG - DRY '!J172,"AAAAAF323rA=")</f>
        <v>#VALUE!</v>
      </c>
      <c r="FV15">
        <f>IF('STERLING CATALOG - DRY '!173:173,"AAAAAF323rE=",0)</f>
        <v>0</v>
      </c>
      <c r="FW15" t="e">
        <f>AND('STERLING CATALOG - DRY '!A173,"AAAAAF323rI=")</f>
        <v>#VALUE!</v>
      </c>
      <c r="FX15" t="e">
        <f>AND('STERLING CATALOG - DRY '!B173,"AAAAAF323rM=")</f>
        <v>#VALUE!</v>
      </c>
      <c r="FY15" t="e">
        <f>AND('STERLING CATALOG - DRY '!C173,"AAAAAF323rQ=")</f>
        <v>#VALUE!</v>
      </c>
      <c r="FZ15" t="e">
        <f>AND('STERLING CATALOG - DRY '!D173,"AAAAAF323rU=")</f>
        <v>#VALUE!</v>
      </c>
      <c r="GA15" t="e">
        <f>AND('STERLING CATALOG - DRY '!E173,"AAAAAF323rY=")</f>
        <v>#VALUE!</v>
      </c>
      <c r="GB15" t="e">
        <f>AND('STERLING CATALOG - DRY '!F173,"AAAAAF323rc=")</f>
        <v>#VALUE!</v>
      </c>
      <c r="GC15" t="e">
        <f>AND('STERLING CATALOG - DRY '!G173,"AAAAAF323rg=")</f>
        <v>#VALUE!</v>
      </c>
      <c r="GD15" t="e">
        <f>AND('STERLING CATALOG - DRY '!H173,"AAAAAF323rk=")</f>
        <v>#VALUE!</v>
      </c>
      <c r="GE15" t="e">
        <f>AND('STERLING CATALOG - DRY '!I173,"AAAAAF323ro=")</f>
        <v>#VALUE!</v>
      </c>
      <c r="GF15" t="e">
        <f>AND('STERLING CATALOG - DRY '!J173,"AAAAAF323rs=")</f>
        <v>#VALUE!</v>
      </c>
      <c r="GG15">
        <f>IF('STERLING CATALOG - DRY '!174:174,"AAAAAF323rw=",0)</f>
        <v>0</v>
      </c>
      <c r="GH15" t="e">
        <f>AND('STERLING CATALOG - DRY '!A174,"AAAAAF323r0=")</f>
        <v>#VALUE!</v>
      </c>
      <c r="GI15" t="e">
        <f>AND('STERLING CATALOG - DRY '!B174,"AAAAAF323r4=")</f>
        <v>#VALUE!</v>
      </c>
      <c r="GJ15" t="e">
        <f>AND('STERLING CATALOG - DRY '!C174,"AAAAAF323r8=")</f>
        <v>#VALUE!</v>
      </c>
      <c r="GK15" t="e">
        <f>AND('STERLING CATALOG - DRY '!D174,"AAAAAF323sA=")</f>
        <v>#VALUE!</v>
      </c>
      <c r="GL15" t="e">
        <f>AND('STERLING CATALOG - DRY '!E174,"AAAAAF323sE=")</f>
        <v>#VALUE!</v>
      </c>
      <c r="GM15" t="e">
        <f>AND('STERLING CATALOG - DRY '!F174,"AAAAAF323sI=")</f>
        <v>#VALUE!</v>
      </c>
      <c r="GN15" t="e">
        <f>AND('STERLING CATALOG - DRY '!G174,"AAAAAF323sM=")</f>
        <v>#VALUE!</v>
      </c>
      <c r="GO15" t="e">
        <f>AND('STERLING CATALOG - DRY '!H174,"AAAAAF323sQ=")</f>
        <v>#VALUE!</v>
      </c>
      <c r="GP15" t="e">
        <f>AND('STERLING CATALOG - DRY '!I174,"AAAAAF323sU=")</f>
        <v>#VALUE!</v>
      </c>
      <c r="GQ15" t="e">
        <f>AND('STERLING CATALOG - DRY '!J174,"AAAAAF323sY=")</f>
        <v>#VALUE!</v>
      </c>
      <c r="GR15">
        <f>IF('STERLING CATALOG - DRY '!175:175,"AAAAAF323sc=",0)</f>
        <v>0</v>
      </c>
      <c r="GS15" t="e">
        <f>AND('STERLING CATALOG - DRY '!A175,"AAAAAF323sg=")</f>
        <v>#VALUE!</v>
      </c>
      <c r="GT15" t="e">
        <f>AND('STERLING CATALOG - DRY '!B175,"AAAAAF323sk=")</f>
        <v>#VALUE!</v>
      </c>
      <c r="GU15" t="e">
        <f>AND('STERLING CATALOG - DRY '!C175,"AAAAAF323so=")</f>
        <v>#VALUE!</v>
      </c>
      <c r="GV15" t="e">
        <f>AND('STERLING CATALOG - DRY '!D175,"AAAAAF323ss=")</f>
        <v>#VALUE!</v>
      </c>
      <c r="GW15" t="e">
        <f>AND('STERLING CATALOG - DRY '!E175,"AAAAAF323sw=")</f>
        <v>#VALUE!</v>
      </c>
      <c r="GX15" t="e">
        <f>AND('STERLING CATALOG - DRY '!F175,"AAAAAF323s0=")</f>
        <v>#VALUE!</v>
      </c>
      <c r="GY15" t="e">
        <f>AND('STERLING CATALOG - DRY '!G175,"AAAAAF323s4=")</f>
        <v>#VALUE!</v>
      </c>
      <c r="GZ15" t="e">
        <f>AND('STERLING CATALOG - DRY '!H175,"AAAAAF323s8=")</f>
        <v>#VALUE!</v>
      </c>
      <c r="HA15" t="e">
        <f>AND('STERLING CATALOG - DRY '!I175,"AAAAAF323tA=")</f>
        <v>#VALUE!</v>
      </c>
      <c r="HB15" t="e">
        <f>AND('STERLING CATALOG - DRY '!J175,"AAAAAF323tE=")</f>
        <v>#VALUE!</v>
      </c>
      <c r="HC15">
        <f>IF('STERLING CATALOG - DRY '!176:176,"AAAAAF323tI=",0)</f>
        <v>0</v>
      </c>
      <c r="HD15" t="e">
        <f>AND('STERLING CATALOG - DRY '!A176,"AAAAAF323tM=")</f>
        <v>#VALUE!</v>
      </c>
      <c r="HE15" t="e">
        <f>AND('STERLING CATALOG - DRY '!B176,"AAAAAF323tQ=")</f>
        <v>#VALUE!</v>
      </c>
      <c r="HF15" t="e">
        <f>AND('STERLING CATALOG - DRY '!C176,"AAAAAF323tU=")</f>
        <v>#VALUE!</v>
      </c>
      <c r="HG15" t="e">
        <f>AND('STERLING CATALOG - DRY '!D176,"AAAAAF323tY=")</f>
        <v>#VALUE!</v>
      </c>
      <c r="HH15" t="e">
        <f>AND('STERLING CATALOG - DRY '!E176,"AAAAAF323tc=")</f>
        <v>#VALUE!</v>
      </c>
      <c r="HI15" t="e">
        <f>AND('STERLING CATALOG - DRY '!F176,"AAAAAF323tg=")</f>
        <v>#VALUE!</v>
      </c>
      <c r="HJ15" t="e">
        <f>AND('STERLING CATALOG - DRY '!G176,"AAAAAF323tk=")</f>
        <v>#VALUE!</v>
      </c>
      <c r="HK15" t="e">
        <f>AND('STERLING CATALOG - DRY '!H176,"AAAAAF323to=")</f>
        <v>#VALUE!</v>
      </c>
      <c r="HL15" t="e">
        <f>AND('STERLING CATALOG - DRY '!I176,"AAAAAF323ts=")</f>
        <v>#VALUE!</v>
      </c>
      <c r="HM15" t="e">
        <f>AND('STERLING CATALOG - DRY '!J176,"AAAAAF323tw=")</f>
        <v>#VALUE!</v>
      </c>
      <c r="HN15">
        <f>IF('STERLING CATALOG - DRY '!177:177,"AAAAAF323t0=",0)</f>
        <v>0</v>
      </c>
      <c r="HO15" t="e">
        <f>AND('STERLING CATALOG - DRY '!A177,"AAAAAF323t4=")</f>
        <v>#VALUE!</v>
      </c>
      <c r="HP15" t="e">
        <f>AND('STERLING CATALOG - DRY '!B177,"AAAAAF323t8=")</f>
        <v>#VALUE!</v>
      </c>
      <c r="HQ15" t="e">
        <f>AND('STERLING CATALOG - DRY '!C177,"AAAAAF323uA=")</f>
        <v>#VALUE!</v>
      </c>
      <c r="HR15" t="e">
        <f>AND('STERLING CATALOG - DRY '!D177,"AAAAAF323uE=")</f>
        <v>#VALUE!</v>
      </c>
      <c r="HS15" t="e">
        <f>AND('STERLING CATALOG - DRY '!E177,"AAAAAF323uI=")</f>
        <v>#VALUE!</v>
      </c>
      <c r="HT15" t="e">
        <f>AND('STERLING CATALOG - DRY '!F177,"AAAAAF323uM=")</f>
        <v>#VALUE!</v>
      </c>
      <c r="HU15" t="e">
        <f>AND('STERLING CATALOG - DRY '!G177,"AAAAAF323uQ=")</f>
        <v>#VALUE!</v>
      </c>
      <c r="HV15" t="e">
        <f>AND('STERLING CATALOG - DRY '!H177,"AAAAAF323uU=")</f>
        <v>#VALUE!</v>
      </c>
      <c r="HW15" t="e">
        <f>AND('STERLING CATALOG - DRY '!I177,"AAAAAF323uY=")</f>
        <v>#VALUE!</v>
      </c>
      <c r="HX15" t="e">
        <f>AND('STERLING CATALOG - DRY '!J177,"AAAAAF323uc=")</f>
        <v>#VALUE!</v>
      </c>
      <c r="HY15">
        <f>IF('STERLING CATALOG - DRY '!178:178,"AAAAAF323ug=",0)</f>
        <v>0</v>
      </c>
      <c r="HZ15" t="e">
        <f>AND('STERLING CATALOG - DRY '!A178,"AAAAAF323uk=")</f>
        <v>#VALUE!</v>
      </c>
      <c r="IA15" t="e">
        <f>AND('STERLING CATALOG - DRY '!B178,"AAAAAF323uo=")</f>
        <v>#VALUE!</v>
      </c>
      <c r="IB15" t="e">
        <f>AND('STERLING CATALOG - DRY '!C178,"AAAAAF323us=")</f>
        <v>#VALUE!</v>
      </c>
      <c r="IC15" t="e">
        <f>AND('STERLING CATALOG - DRY '!D178,"AAAAAF323uw=")</f>
        <v>#VALUE!</v>
      </c>
      <c r="ID15" t="e">
        <f>AND('STERLING CATALOG - DRY '!E178,"AAAAAF323u0=")</f>
        <v>#VALUE!</v>
      </c>
      <c r="IE15" t="e">
        <f>AND('STERLING CATALOG - DRY '!F178,"AAAAAF323u4=")</f>
        <v>#VALUE!</v>
      </c>
      <c r="IF15" t="e">
        <f>AND('STERLING CATALOG - DRY '!G178,"AAAAAF323u8=")</f>
        <v>#VALUE!</v>
      </c>
      <c r="IG15" t="e">
        <f>AND('STERLING CATALOG - DRY '!H178,"AAAAAF323vA=")</f>
        <v>#VALUE!</v>
      </c>
      <c r="IH15" t="e">
        <f>AND('STERLING CATALOG - DRY '!I178,"AAAAAF323vE=")</f>
        <v>#VALUE!</v>
      </c>
      <c r="II15" t="e">
        <f>AND('STERLING CATALOG - DRY '!J178,"AAAAAF323vI=")</f>
        <v>#VALUE!</v>
      </c>
      <c r="IJ15">
        <f>IF('STERLING CATALOG - DRY '!179:179,"AAAAAF323vM=",0)</f>
        <v>0</v>
      </c>
      <c r="IK15" t="e">
        <f>AND('STERLING CATALOG - DRY '!A179,"AAAAAF323vQ=")</f>
        <v>#VALUE!</v>
      </c>
      <c r="IL15" t="e">
        <f>AND('STERLING CATALOG - DRY '!B179,"AAAAAF323vU=")</f>
        <v>#VALUE!</v>
      </c>
      <c r="IM15" t="e">
        <f>AND('STERLING CATALOG - DRY '!C179,"AAAAAF323vY=")</f>
        <v>#VALUE!</v>
      </c>
      <c r="IN15" t="e">
        <f>AND('STERLING CATALOG - DRY '!D179,"AAAAAF323vc=")</f>
        <v>#VALUE!</v>
      </c>
      <c r="IO15" t="e">
        <f>AND('STERLING CATALOG - DRY '!E179,"AAAAAF323vg=")</f>
        <v>#VALUE!</v>
      </c>
      <c r="IP15" t="e">
        <f>AND('STERLING CATALOG - DRY '!F179,"AAAAAF323vk=")</f>
        <v>#VALUE!</v>
      </c>
      <c r="IQ15" t="e">
        <f>AND('STERLING CATALOG - DRY '!G179,"AAAAAF323vo=")</f>
        <v>#VALUE!</v>
      </c>
      <c r="IR15" t="e">
        <f>AND('STERLING CATALOG - DRY '!H179,"AAAAAF323vs=")</f>
        <v>#VALUE!</v>
      </c>
      <c r="IS15" t="e">
        <f>AND('STERLING CATALOG - DRY '!I179,"AAAAAF323vw=")</f>
        <v>#VALUE!</v>
      </c>
      <c r="IT15" t="e">
        <f>AND('STERLING CATALOG - DRY '!J179,"AAAAAF323v0=")</f>
        <v>#VALUE!</v>
      </c>
      <c r="IU15">
        <f>IF('STERLING CATALOG - DRY '!180:180,"AAAAAF323v4=",0)</f>
        <v>0</v>
      </c>
      <c r="IV15" t="e">
        <f>AND('STERLING CATALOG - DRY '!A180,"AAAAAF323v8=")</f>
        <v>#VALUE!</v>
      </c>
    </row>
    <row r="16" spans="1:256">
      <c r="A16" t="e">
        <f>AND('STERLING CATALOG - DRY '!B180,"AAAAABf+7gA=")</f>
        <v>#VALUE!</v>
      </c>
      <c r="B16" t="e">
        <f>AND('STERLING CATALOG - DRY '!C180,"AAAAABf+7gE=")</f>
        <v>#VALUE!</v>
      </c>
      <c r="C16" t="e">
        <f>AND('STERLING CATALOG - DRY '!D180,"AAAAABf+7gI=")</f>
        <v>#VALUE!</v>
      </c>
      <c r="D16" t="e">
        <f>AND('STERLING CATALOG - DRY '!E180,"AAAAABf+7gM=")</f>
        <v>#VALUE!</v>
      </c>
      <c r="E16" t="e">
        <f>AND('STERLING CATALOG - DRY '!F180,"AAAAABf+7gQ=")</f>
        <v>#VALUE!</v>
      </c>
      <c r="F16" t="e">
        <f>AND('STERLING CATALOG - DRY '!G180,"AAAAABf+7gU=")</f>
        <v>#VALUE!</v>
      </c>
      <c r="G16" t="e">
        <f>AND('STERLING CATALOG - DRY '!H180,"AAAAABf+7gY=")</f>
        <v>#VALUE!</v>
      </c>
      <c r="H16" t="e">
        <f>AND('STERLING CATALOG - DRY '!I180,"AAAAABf+7gc=")</f>
        <v>#VALUE!</v>
      </c>
      <c r="I16" t="e">
        <f>AND('STERLING CATALOG - DRY '!J180,"AAAAABf+7gg=")</f>
        <v>#VALUE!</v>
      </c>
      <c r="J16" t="e">
        <f>IF('STERLING CATALOG - DRY '!181:181,"AAAAABf+7gk=",0)</f>
        <v>#VALUE!</v>
      </c>
      <c r="K16" t="e">
        <f>AND('STERLING CATALOG - DRY '!A181,"AAAAABf+7go=")</f>
        <v>#VALUE!</v>
      </c>
      <c r="L16" t="e">
        <f>AND('STERLING CATALOG - DRY '!B181,"AAAAABf+7gs=")</f>
        <v>#VALUE!</v>
      </c>
      <c r="M16" t="e">
        <f>AND('STERLING CATALOG - DRY '!C181,"AAAAABf+7gw=")</f>
        <v>#VALUE!</v>
      </c>
      <c r="N16" t="e">
        <f>AND('STERLING CATALOG - DRY '!D181,"AAAAABf+7g0=")</f>
        <v>#VALUE!</v>
      </c>
      <c r="O16" t="e">
        <f>AND('STERLING CATALOG - DRY '!E181,"AAAAABf+7g4=")</f>
        <v>#VALUE!</v>
      </c>
      <c r="P16" t="e">
        <f>AND('STERLING CATALOG - DRY '!F181,"AAAAABf+7g8=")</f>
        <v>#VALUE!</v>
      </c>
      <c r="Q16" t="e">
        <f>AND('STERLING CATALOG - DRY '!G181,"AAAAABf+7hA=")</f>
        <v>#VALUE!</v>
      </c>
      <c r="R16" t="e">
        <f>AND('STERLING CATALOG - DRY '!H181,"AAAAABf+7hE=")</f>
        <v>#VALUE!</v>
      </c>
      <c r="S16" t="e">
        <f>AND('STERLING CATALOG - DRY '!I181,"AAAAABf+7hI=")</f>
        <v>#VALUE!</v>
      </c>
      <c r="T16" t="e">
        <f>AND('STERLING CATALOG - DRY '!J181,"AAAAABf+7hM=")</f>
        <v>#VALUE!</v>
      </c>
      <c r="U16">
        <f>IF('STERLING CATALOG - DRY '!182:182,"AAAAABf+7hQ=",0)</f>
        <v>0</v>
      </c>
      <c r="V16" t="e">
        <f>AND('STERLING CATALOG - DRY '!A182,"AAAAABf+7hU=")</f>
        <v>#VALUE!</v>
      </c>
      <c r="W16" t="e">
        <f>AND('STERLING CATALOG - DRY '!B182,"AAAAABf+7hY=")</f>
        <v>#VALUE!</v>
      </c>
      <c r="X16" t="e">
        <f>AND('STERLING CATALOG - DRY '!C182,"AAAAABf+7hc=")</f>
        <v>#VALUE!</v>
      </c>
      <c r="Y16" t="e">
        <f>AND('STERLING CATALOG - DRY '!D182,"AAAAABf+7hg=")</f>
        <v>#VALUE!</v>
      </c>
      <c r="Z16" t="e">
        <f>AND('STERLING CATALOG - DRY '!E182,"AAAAABf+7hk=")</f>
        <v>#VALUE!</v>
      </c>
      <c r="AA16" t="e">
        <f>AND('STERLING CATALOG - DRY '!F182,"AAAAABf+7ho=")</f>
        <v>#VALUE!</v>
      </c>
      <c r="AB16" t="e">
        <f>AND('STERLING CATALOG - DRY '!G182,"AAAAABf+7hs=")</f>
        <v>#VALUE!</v>
      </c>
      <c r="AC16" t="e">
        <f>AND('STERLING CATALOG - DRY '!H182,"AAAAABf+7hw=")</f>
        <v>#VALUE!</v>
      </c>
      <c r="AD16" t="e">
        <f>AND('STERLING CATALOG - DRY '!I182,"AAAAABf+7h0=")</f>
        <v>#VALUE!</v>
      </c>
      <c r="AE16" t="e">
        <f>AND('STERLING CATALOG - DRY '!J182,"AAAAABf+7h4=")</f>
        <v>#VALUE!</v>
      </c>
      <c r="AF16">
        <f>IF('STERLING CATALOG - DRY '!183:183,"AAAAABf+7h8=",0)</f>
        <v>0</v>
      </c>
      <c r="AG16" t="e">
        <f>AND('STERLING CATALOG - DRY '!A183,"AAAAABf+7iA=")</f>
        <v>#VALUE!</v>
      </c>
      <c r="AH16" t="e">
        <f>AND('STERLING CATALOG - DRY '!B183,"AAAAABf+7iE=")</f>
        <v>#VALUE!</v>
      </c>
      <c r="AI16" t="e">
        <f>AND('STERLING CATALOG - DRY '!C183,"AAAAABf+7iI=")</f>
        <v>#VALUE!</v>
      </c>
      <c r="AJ16" t="e">
        <f>AND('STERLING CATALOG - DRY '!D183,"AAAAABf+7iM=")</f>
        <v>#VALUE!</v>
      </c>
      <c r="AK16" t="e">
        <f>AND('STERLING CATALOG - DRY '!E183,"AAAAABf+7iQ=")</f>
        <v>#VALUE!</v>
      </c>
      <c r="AL16" t="e">
        <f>AND('STERLING CATALOG - DRY '!F183,"AAAAABf+7iU=")</f>
        <v>#VALUE!</v>
      </c>
      <c r="AM16" t="e">
        <f>AND('STERLING CATALOG - DRY '!G183,"AAAAABf+7iY=")</f>
        <v>#VALUE!</v>
      </c>
      <c r="AN16" t="e">
        <f>AND('STERLING CATALOG - DRY '!H183,"AAAAABf+7ic=")</f>
        <v>#VALUE!</v>
      </c>
      <c r="AO16" t="e">
        <f>AND('STERLING CATALOG - DRY '!I183,"AAAAABf+7ig=")</f>
        <v>#VALUE!</v>
      </c>
      <c r="AP16" t="e">
        <f>AND('STERLING CATALOG - DRY '!J183,"AAAAABf+7ik=")</f>
        <v>#VALUE!</v>
      </c>
      <c r="AQ16">
        <f>IF('STERLING CATALOG - DRY '!184:184,"AAAAABf+7io=",0)</f>
        <v>0</v>
      </c>
      <c r="AR16" t="e">
        <f>AND('STERLING CATALOG - DRY '!A184,"AAAAABf+7is=")</f>
        <v>#VALUE!</v>
      </c>
      <c r="AS16" t="e">
        <f>AND('STERLING CATALOG - DRY '!B184,"AAAAABf+7iw=")</f>
        <v>#VALUE!</v>
      </c>
      <c r="AT16" t="e">
        <f>AND('STERLING CATALOG - DRY '!C184,"AAAAABf+7i0=")</f>
        <v>#VALUE!</v>
      </c>
      <c r="AU16" t="e">
        <f>AND('STERLING CATALOG - DRY '!D184,"AAAAABf+7i4=")</f>
        <v>#VALUE!</v>
      </c>
      <c r="AV16" t="e">
        <f>AND('STERLING CATALOG - DRY '!E184,"AAAAABf+7i8=")</f>
        <v>#VALUE!</v>
      </c>
      <c r="AW16" t="e">
        <f>AND('STERLING CATALOG - DRY '!F184,"AAAAABf+7jA=")</f>
        <v>#VALUE!</v>
      </c>
      <c r="AX16" t="e">
        <f>AND('STERLING CATALOG - DRY '!G184,"AAAAABf+7jE=")</f>
        <v>#VALUE!</v>
      </c>
      <c r="AY16" t="e">
        <f>AND('STERLING CATALOG - DRY '!H184,"AAAAABf+7jI=")</f>
        <v>#VALUE!</v>
      </c>
      <c r="AZ16" t="e">
        <f>AND('STERLING CATALOG - DRY '!I184,"AAAAABf+7jM=")</f>
        <v>#VALUE!</v>
      </c>
      <c r="BA16" t="e">
        <f>AND('STERLING CATALOG - DRY '!J184,"AAAAABf+7jQ=")</f>
        <v>#VALUE!</v>
      </c>
      <c r="BB16">
        <f>IF('STERLING CATALOG - DRY '!185:185,"AAAAABf+7jU=",0)</f>
        <v>0</v>
      </c>
      <c r="BC16" t="e">
        <f>AND('STERLING CATALOG - DRY '!A185,"AAAAABf+7jY=")</f>
        <v>#VALUE!</v>
      </c>
      <c r="BD16" t="e">
        <f>AND('STERLING CATALOG - DRY '!B185,"AAAAABf+7jc=")</f>
        <v>#VALUE!</v>
      </c>
      <c r="BE16" t="e">
        <f>AND('STERLING CATALOG - DRY '!C185,"AAAAABf+7jg=")</f>
        <v>#VALUE!</v>
      </c>
      <c r="BF16" t="e">
        <f>AND('STERLING CATALOG - DRY '!D185,"AAAAABf+7jk=")</f>
        <v>#VALUE!</v>
      </c>
      <c r="BG16" t="e">
        <f>AND('STERLING CATALOG - DRY '!E185,"AAAAABf+7jo=")</f>
        <v>#VALUE!</v>
      </c>
      <c r="BH16" t="e">
        <f>AND('STERLING CATALOG - DRY '!F185,"AAAAABf+7js=")</f>
        <v>#VALUE!</v>
      </c>
      <c r="BI16" t="e">
        <f>AND('STERLING CATALOG - DRY '!G185,"AAAAABf+7jw=")</f>
        <v>#VALUE!</v>
      </c>
      <c r="BJ16" t="e">
        <f>AND('STERLING CATALOG - DRY '!H185,"AAAAABf+7j0=")</f>
        <v>#VALUE!</v>
      </c>
      <c r="BK16" t="e">
        <f>AND('STERLING CATALOG - DRY '!I185,"AAAAABf+7j4=")</f>
        <v>#VALUE!</v>
      </c>
      <c r="BL16" t="e">
        <f>AND('STERLING CATALOG - DRY '!J185,"AAAAABf+7j8=")</f>
        <v>#VALUE!</v>
      </c>
      <c r="BM16">
        <f>IF('STERLING CATALOG - DRY '!186:186,"AAAAABf+7kA=",0)</f>
        <v>0</v>
      </c>
      <c r="BN16" t="e">
        <f>AND('STERLING CATALOG - DRY '!A186,"AAAAABf+7kE=")</f>
        <v>#VALUE!</v>
      </c>
      <c r="BO16" t="e">
        <f>AND('STERLING CATALOG - DRY '!B186,"AAAAABf+7kI=")</f>
        <v>#VALUE!</v>
      </c>
      <c r="BP16" t="e">
        <f>AND('STERLING CATALOG - DRY '!C186,"AAAAABf+7kM=")</f>
        <v>#VALUE!</v>
      </c>
      <c r="BQ16" t="e">
        <f>AND('STERLING CATALOG - DRY '!D186,"AAAAABf+7kQ=")</f>
        <v>#VALUE!</v>
      </c>
      <c r="BR16" t="e">
        <f>AND('STERLING CATALOG - DRY '!E186,"AAAAABf+7kU=")</f>
        <v>#VALUE!</v>
      </c>
      <c r="BS16" t="e">
        <f>AND('STERLING CATALOG - DRY '!F186,"AAAAABf+7kY=")</f>
        <v>#VALUE!</v>
      </c>
      <c r="BT16" t="e">
        <f>AND('STERLING CATALOG - DRY '!G186,"AAAAABf+7kc=")</f>
        <v>#VALUE!</v>
      </c>
      <c r="BU16" t="e">
        <f>AND('STERLING CATALOG - DRY '!H186,"AAAAABf+7kg=")</f>
        <v>#VALUE!</v>
      </c>
      <c r="BV16" t="e">
        <f>AND('STERLING CATALOG - DRY '!I186,"AAAAABf+7kk=")</f>
        <v>#VALUE!</v>
      </c>
      <c r="BW16" t="e">
        <f>AND('STERLING CATALOG - DRY '!J186,"AAAAABf+7ko=")</f>
        <v>#VALUE!</v>
      </c>
      <c r="BX16">
        <f>IF('STERLING CATALOG - DRY '!187:187,"AAAAABf+7ks=",0)</f>
        <v>0</v>
      </c>
      <c r="BY16" t="e">
        <f>AND('STERLING CATALOG - DRY '!A187,"AAAAABf+7kw=")</f>
        <v>#VALUE!</v>
      </c>
      <c r="BZ16" t="e">
        <f>AND('STERLING CATALOG - DRY '!B187,"AAAAABf+7k0=")</f>
        <v>#VALUE!</v>
      </c>
      <c r="CA16" t="e">
        <f>AND('STERLING CATALOG - DRY '!C187,"AAAAABf+7k4=")</f>
        <v>#VALUE!</v>
      </c>
      <c r="CB16" t="e">
        <f>AND('STERLING CATALOG - DRY '!D187,"AAAAABf+7k8=")</f>
        <v>#VALUE!</v>
      </c>
      <c r="CC16" t="e">
        <f>AND('STERLING CATALOG - DRY '!E187,"AAAAABf+7lA=")</f>
        <v>#VALUE!</v>
      </c>
      <c r="CD16" t="e">
        <f>AND('STERLING CATALOG - DRY '!F187,"AAAAABf+7lE=")</f>
        <v>#VALUE!</v>
      </c>
      <c r="CE16" t="e">
        <f>AND('STERLING CATALOG - DRY '!G187,"AAAAABf+7lI=")</f>
        <v>#VALUE!</v>
      </c>
      <c r="CF16" t="e">
        <f>AND('STERLING CATALOG - DRY '!H187,"AAAAABf+7lM=")</f>
        <v>#VALUE!</v>
      </c>
      <c r="CG16" t="e">
        <f>AND('STERLING CATALOG - DRY '!I187,"AAAAABf+7lQ=")</f>
        <v>#VALUE!</v>
      </c>
      <c r="CH16" t="e">
        <f>AND('STERLING CATALOG - DRY '!J187,"AAAAABf+7lU=")</f>
        <v>#VALUE!</v>
      </c>
      <c r="CI16">
        <f>IF('STERLING CATALOG - DRY '!188:188,"AAAAABf+7lY=",0)</f>
        <v>0</v>
      </c>
      <c r="CJ16" t="e">
        <f>AND('STERLING CATALOG - DRY '!A188,"AAAAABf+7lc=")</f>
        <v>#VALUE!</v>
      </c>
      <c r="CK16" t="e">
        <f>AND('STERLING CATALOG - DRY '!B188,"AAAAABf+7lg=")</f>
        <v>#VALUE!</v>
      </c>
      <c r="CL16" t="e">
        <f>AND('STERLING CATALOG - DRY '!C188,"AAAAABf+7lk=")</f>
        <v>#VALUE!</v>
      </c>
      <c r="CM16" t="e">
        <f>AND('STERLING CATALOG - DRY '!D188,"AAAAABf+7lo=")</f>
        <v>#VALUE!</v>
      </c>
      <c r="CN16" t="e">
        <f>AND('STERLING CATALOG - DRY '!E188,"AAAAABf+7ls=")</f>
        <v>#VALUE!</v>
      </c>
      <c r="CO16" t="e">
        <f>AND('STERLING CATALOG - DRY '!F188,"AAAAABf+7lw=")</f>
        <v>#VALUE!</v>
      </c>
      <c r="CP16" t="e">
        <f>AND('STERLING CATALOG - DRY '!G188,"AAAAABf+7l0=")</f>
        <v>#VALUE!</v>
      </c>
      <c r="CQ16" t="e">
        <f>AND('STERLING CATALOG - DRY '!H188,"AAAAABf+7l4=")</f>
        <v>#VALUE!</v>
      </c>
      <c r="CR16" t="e">
        <f>AND('STERLING CATALOG - DRY '!I188,"AAAAABf+7l8=")</f>
        <v>#VALUE!</v>
      </c>
      <c r="CS16" t="e">
        <f>AND('STERLING CATALOG - DRY '!J188,"AAAAABf+7mA=")</f>
        <v>#VALUE!</v>
      </c>
      <c r="CT16">
        <f>IF('STERLING CATALOG - DRY '!189:189,"AAAAABf+7mE=",0)</f>
        <v>0</v>
      </c>
      <c r="CU16" t="e">
        <f>AND('STERLING CATALOG - DRY '!A189,"AAAAABf+7mI=")</f>
        <v>#VALUE!</v>
      </c>
      <c r="CV16" t="e">
        <f>AND('STERLING CATALOG - DRY '!B189,"AAAAABf+7mM=")</f>
        <v>#VALUE!</v>
      </c>
      <c r="CW16" t="e">
        <f>AND('STERLING CATALOG - DRY '!C189,"AAAAABf+7mQ=")</f>
        <v>#VALUE!</v>
      </c>
      <c r="CX16" t="e">
        <f>AND('STERLING CATALOG - DRY '!D189,"AAAAABf+7mU=")</f>
        <v>#VALUE!</v>
      </c>
      <c r="CY16" t="e">
        <f>AND('STERLING CATALOG - DRY '!E189,"AAAAABf+7mY=")</f>
        <v>#VALUE!</v>
      </c>
      <c r="CZ16" t="e">
        <f>AND('STERLING CATALOG - DRY '!F189,"AAAAABf+7mc=")</f>
        <v>#VALUE!</v>
      </c>
      <c r="DA16" t="e">
        <f>AND('STERLING CATALOG - DRY '!G189,"AAAAABf+7mg=")</f>
        <v>#VALUE!</v>
      </c>
      <c r="DB16" t="e">
        <f>AND('STERLING CATALOG - DRY '!H189,"AAAAABf+7mk=")</f>
        <v>#VALUE!</v>
      </c>
      <c r="DC16" t="e">
        <f>AND('STERLING CATALOG - DRY '!I189,"AAAAABf+7mo=")</f>
        <v>#VALUE!</v>
      </c>
      <c r="DD16" t="e">
        <f>AND('STERLING CATALOG - DRY '!J189,"AAAAABf+7ms=")</f>
        <v>#VALUE!</v>
      </c>
      <c r="DE16">
        <f>IF('STERLING CATALOG - DRY '!190:190,"AAAAABf+7mw=",0)</f>
        <v>0</v>
      </c>
      <c r="DF16" t="e">
        <f>AND('STERLING CATALOG - DRY '!A190,"AAAAABf+7m0=")</f>
        <v>#VALUE!</v>
      </c>
      <c r="DG16" t="e">
        <f>AND('STERLING CATALOG - DRY '!B190,"AAAAABf+7m4=")</f>
        <v>#VALUE!</v>
      </c>
      <c r="DH16" t="e">
        <f>AND('STERLING CATALOG - DRY '!C190,"AAAAABf+7m8=")</f>
        <v>#VALUE!</v>
      </c>
      <c r="DI16" t="e">
        <f>AND('STERLING CATALOG - DRY '!D190,"AAAAABf+7nA=")</f>
        <v>#VALUE!</v>
      </c>
      <c r="DJ16" t="e">
        <f>AND('STERLING CATALOG - DRY '!E190,"AAAAABf+7nE=")</f>
        <v>#VALUE!</v>
      </c>
      <c r="DK16" t="e">
        <f>AND('STERLING CATALOG - DRY '!F190,"AAAAABf+7nI=")</f>
        <v>#VALUE!</v>
      </c>
      <c r="DL16" t="e">
        <f>AND('STERLING CATALOG - DRY '!G190,"AAAAABf+7nM=")</f>
        <v>#VALUE!</v>
      </c>
      <c r="DM16" t="e">
        <f>AND('STERLING CATALOG - DRY '!H190,"AAAAABf+7nQ=")</f>
        <v>#VALUE!</v>
      </c>
      <c r="DN16" t="e">
        <f>AND('STERLING CATALOG - DRY '!I190,"AAAAABf+7nU=")</f>
        <v>#VALUE!</v>
      </c>
      <c r="DO16" t="e">
        <f>AND('STERLING CATALOG - DRY '!J190,"AAAAABf+7nY=")</f>
        <v>#VALUE!</v>
      </c>
      <c r="DP16">
        <f>IF('STERLING CATALOG - DRY '!191:191,"AAAAABf+7nc=",0)</f>
        <v>0</v>
      </c>
      <c r="DQ16" t="e">
        <f>AND('STERLING CATALOG - DRY '!A191,"AAAAABf+7ng=")</f>
        <v>#VALUE!</v>
      </c>
      <c r="DR16" t="e">
        <f>AND('STERLING CATALOG - DRY '!B191,"AAAAABf+7nk=")</f>
        <v>#VALUE!</v>
      </c>
      <c r="DS16" t="e">
        <f>AND('STERLING CATALOG - DRY '!C191,"AAAAABf+7no=")</f>
        <v>#VALUE!</v>
      </c>
      <c r="DT16" t="e">
        <f>AND('STERLING CATALOG - DRY '!D191,"AAAAABf+7ns=")</f>
        <v>#VALUE!</v>
      </c>
      <c r="DU16" t="e">
        <f>AND('STERLING CATALOG - DRY '!E191,"AAAAABf+7nw=")</f>
        <v>#VALUE!</v>
      </c>
      <c r="DV16" t="e">
        <f>AND('STERLING CATALOG - DRY '!F191,"AAAAABf+7n0=")</f>
        <v>#VALUE!</v>
      </c>
      <c r="DW16" t="e">
        <f>AND('STERLING CATALOG - DRY '!G191,"AAAAABf+7n4=")</f>
        <v>#VALUE!</v>
      </c>
      <c r="DX16" t="e">
        <f>AND('STERLING CATALOG - DRY '!H191,"AAAAABf+7n8=")</f>
        <v>#VALUE!</v>
      </c>
      <c r="DY16" t="e">
        <f>AND('STERLING CATALOG - DRY '!I191,"AAAAABf+7oA=")</f>
        <v>#VALUE!</v>
      </c>
      <c r="DZ16" t="e">
        <f>AND('STERLING CATALOG - DRY '!J191,"AAAAABf+7oE=")</f>
        <v>#VALUE!</v>
      </c>
      <c r="EA16">
        <f>IF('STERLING CATALOG - DRY '!192:192,"AAAAABf+7oI=",0)</f>
        <v>0</v>
      </c>
      <c r="EB16" t="e">
        <f>AND('STERLING CATALOG - DRY '!A192,"AAAAABf+7oM=")</f>
        <v>#VALUE!</v>
      </c>
      <c r="EC16" t="e">
        <f>AND('STERLING CATALOG - DRY '!B192,"AAAAABf+7oQ=")</f>
        <v>#VALUE!</v>
      </c>
      <c r="ED16" t="e">
        <f>AND('STERLING CATALOG - DRY '!C192,"AAAAABf+7oU=")</f>
        <v>#VALUE!</v>
      </c>
      <c r="EE16" t="e">
        <f>AND('STERLING CATALOG - DRY '!D192,"AAAAABf+7oY=")</f>
        <v>#VALUE!</v>
      </c>
      <c r="EF16" t="e">
        <f>AND('STERLING CATALOG - DRY '!E192,"AAAAABf+7oc=")</f>
        <v>#VALUE!</v>
      </c>
      <c r="EG16" t="e">
        <f>AND('STERLING CATALOG - DRY '!F192,"AAAAABf+7og=")</f>
        <v>#VALUE!</v>
      </c>
      <c r="EH16" t="e">
        <f>AND('STERLING CATALOG - DRY '!G192,"AAAAABf+7ok=")</f>
        <v>#VALUE!</v>
      </c>
      <c r="EI16" t="e">
        <f>AND('STERLING CATALOG - DRY '!H192,"AAAAABf+7oo=")</f>
        <v>#VALUE!</v>
      </c>
      <c r="EJ16" t="e">
        <f>AND('STERLING CATALOG - DRY '!I192,"AAAAABf+7os=")</f>
        <v>#VALUE!</v>
      </c>
      <c r="EK16" t="e">
        <f>AND('STERLING CATALOG - DRY '!J192,"AAAAABf+7ow=")</f>
        <v>#VALUE!</v>
      </c>
      <c r="EL16">
        <f>IF('STERLING CATALOG - DRY '!193:193,"AAAAABf+7o0=",0)</f>
        <v>0</v>
      </c>
      <c r="EM16" t="e">
        <f>AND('STERLING CATALOG - DRY '!A193,"AAAAABf+7o4=")</f>
        <v>#VALUE!</v>
      </c>
      <c r="EN16" t="e">
        <f>AND('STERLING CATALOG - DRY '!B193,"AAAAABf+7o8=")</f>
        <v>#VALUE!</v>
      </c>
      <c r="EO16" t="e">
        <f>AND('STERLING CATALOG - DRY '!C193,"AAAAABf+7pA=")</f>
        <v>#VALUE!</v>
      </c>
      <c r="EP16" t="e">
        <f>AND('STERLING CATALOG - DRY '!D193,"AAAAABf+7pE=")</f>
        <v>#VALUE!</v>
      </c>
      <c r="EQ16" t="e">
        <f>AND('STERLING CATALOG - DRY '!E193,"AAAAABf+7pI=")</f>
        <v>#VALUE!</v>
      </c>
      <c r="ER16" t="e">
        <f>AND('STERLING CATALOG - DRY '!F193,"AAAAABf+7pM=")</f>
        <v>#VALUE!</v>
      </c>
      <c r="ES16" t="e">
        <f>AND('STERLING CATALOG - DRY '!G193,"AAAAABf+7pQ=")</f>
        <v>#VALUE!</v>
      </c>
      <c r="ET16" t="e">
        <f>AND('STERLING CATALOG - DRY '!H193,"AAAAABf+7pU=")</f>
        <v>#VALUE!</v>
      </c>
      <c r="EU16" t="e">
        <f>AND('STERLING CATALOG - DRY '!I193,"AAAAABf+7pY=")</f>
        <v>#VALUE!</v>
      </c>
      <c r="EV16" t="e">
        <f>AND('STERLING CATALOG - DRY '!J193,"AAAAABf+7pc=")</f>
        <v>#VALUE!</v>
      </c>
      <c r="EW16">
        <f>IF('STERLING CATALOG - DRY '!194:194,"AAAAABf+7pg=",0)</f>
        <v>0</v>
      </c>
      <c r="EX16" t="e">
        <f>AND('STERLING CATALOG - DRY '!A194,"AAAAABf+7pk=")</f>
        <v>#VALUE!</v>
      </c>
      <c r="EY16" t="e">
        <f>AND('STERLING CATALOG - DRY '!B194,"AAAAABf+7po=")</f>
        <v>#VALUE!</v>
      </c>
      <c r="EZ16" t="e">
        <f>AND('STERLING CATALOG - DRY '!C194,"AAAAABf+7ps=")</f>
        <v>#VALUE!</v>
      </c>
      <c r="FA16" t="e">
        <f>AND('STERLING CATALOG - DRY '!D194,"AAAAABf+7pw=")</f>
        <v>#VALUE!</v>
      </c>
      <c r="FB16" t="e">
        <f>AND('STERLING CATALOG - DRY '!E194,"AAAAABf+7p0=")</f>
        <v>#VALUE!</v>
      </c>
      <c r="FC16" t="e">
        <f>AND('STERLING CATALOG - DRY '!F194,"AAAAABf+7p4=")</f>
        <v>#VALUE!</v>
      </c>
      <c r="FD16" t="e">
        <f>AND('STERLING CATALOG - DRY '!G194,"AAAAABf+7p8=")</f>
        <v>#VALUE!</v>
      </c>
      <c r="FE16" t="e">
        <f>AND('STERLING CATALOG - DRY '!H194,"AAAAABf+7qA=")</f>
        <v>#VALUE!</v>
      </c>
      <c r="FF16" t="e">
        <f>AND('STERLING CATALOG - DRY '!I194,"AAAAABf+7qE=")</f>
        <v>#VALUE!</v>
      </c>
      <c r="FG16" t="e">
        <f>AND('STERLING CATALOG - DRY '!J194,"AAAAABf+7qI=")</f>
        <v>#VALUE!</v>
      </c>
      <c r="FH16">
        <f>IF('STERLING CATALOG - DRY '!195:195,"AAAAABf+7qM=",0)</f>
        <v>0</v>
      </c>
      <c r="FI16" t="e">
        <f>AND('STERLING CATALOG - DRY '!A195,"AAAAABf+7qQ=")</f>
        <v>#VALUE!</v>
      </c>
      <c r="FJ16" t="e">
        <f>AND('STERLING CATALOG - DRY '!B195,"AAAAABf+7qU=")</f>
        <v>#VALUE!</v>
      </c>
      <c r="FK16" t="e">
        <f>AND('STERLING CATALOG - DRY '!C195,"AAAAABf+7qY=")</f>
        <v>#VALUE!</v>
      </c>
      <c r="FL16" t="e">
        <f>AND('STERLING CATALOG - DRY '!D195,"AAAAABf+7qc=")</f>
        <v>#VALUE!</v>
      </c>
      <c r="FM16" t="e">
        <f>AND('STERLING CATALOG - DRY '!E195,"AAAAABf+7qg=")</f>
        <v>#VALUE!</v>
      </c>
      <c r="FN16" t="e">
        <f>AND('STERLING CATALOG - DRY '!F195,"AAAAABf+7qk=")</f>
        <v>#VALUE!</v>
      </c>
      <c r="FO16" t="e">
        <f>AND('STERLING CATALOG - DRY '!G195,"AAAAABf+7qo=")</f>
        <v>#VALUE!</v>
      </c>
      <c r="FP16" t="e">
        <f>AND('STERLING CATALOG - DRY '!H195,"AAAAABf+7qs=")</f>
        <v>#VALUE!</v>
      </c>
      <c r="FQ16" t="e">
        <f>AND('STERLING CATALOG - DRY '!I195,"AAAAABf+7qw=")</f>
        <v>#VALUE!</v>
      </c>
      <c r="FR16" t="e">
        <f>AND('STERLING CATALOG - DRY '!J195,"AAAAABf+7q0=")</f>
        <v>#VALUE!</v>
      </c>
      <c r="FS16">
        <f>IF('STERLING CATALOG - DRY '!196:196,"AAAAABf+7q4=",0)</f>
        <v>0</v>
      </c>
      <c r="FT16" t="e">
        <f>AND('STERLING CATALOG - DRY '!A196,"AAAAABf+7q8=")</f>
        <v>#VALUE!</v>
      </c>
      <c r="FU16" t="e">
        <f>AND('STERLING CATALOG - DRY '!B196,"AAAAABf+7rA=")</f>
        <v>#VALUE!</v>
      </c>
      <c r="FV16" t="e">
        <f>AND('STERLING CATALOG - DRY '!C196,"AAAAABf+7rE=")</f>
        <v>#VALUE!</v>
      </c>
      <c r="FW16" t="e">
        <f>AND('STERLING CATALOG - DRY '!D196,"AAAAABf+7rI=")</f>
        <v>#VALUE!</v>
      </c>
      <c r="FX16" t="e">
        <f>AND('STERLING CATALOG - DRY '!E196,"AAAAABf+7rM=")</f>
        <v>#VALUE!</v>
      </c>
      <c r="FY16" t="e">
        <f>AND('STERLING CATALOG - DRY '!F196,"AAAAABf+7rQ=")</f>
        <v>#VALUE!</v>
      </c>
      <c r="FZ16" t="e">
        <f>AND('STERLING CATALOG - DRY '!G196,"AAAAABf+7rU=")</f>
        <v>#VALUE!</v>
      </c>
      <c r="GA16" t="e">
        <f>AND('STERLING CATALOG - DRY '!H196,"AAAAABf+7rY=")</f>
        <v>#VALUE!</v>
      </c>
      <c r="GB16" t="e">
        <f>AND('STERLING CATALOG - DRY '!I196,"AAAAABf+7rc=")</f>
        <v>#VALUE!</v>
      </c>
      <c r="GC16" t="e">
        <f>AND('STERLING CATALOG - DRY '!J196,"AAAAABf+7rg=")</f>
        <v>#VALUE!</v>
      </c>
      <c r="GD16">
        <f>IF('STERLING CATALOG - DRY '!197:197,"AAAAABf+7rk=",0)</f>
        <v>0</v>
      </c>
      <c r="GE16" t="e">
        <f>AND('STERLING CATALOG - DRY '!A197,"AAAAABf+7ro=")</f>
        <v>#VALUE!</v>
      </c>
      <c r="GF16" t="e">
        <f>AND('STERLING CATALOG - DRY '!B197,"AAAAABf+7rs=")</f>
        <v>#VALUE!</v>
      </c>
      <c r="GG16" t="e">
        <f>AND('STERLING CATALOG - DRY '!C197,"AAAAABf+7rw=")</f>
        <v>#VALUE!</v>
      </c>
      <c r="GH16" t="e">
        <f>AND('STERLING CATALOG - DRY '!D197,"AAAAABf+7r0=")</f>
        <v>#VALUE!</v>
      </c>
      <c r="GI16" t="e">
        <f>AND('STERLING CATALOG - DRY '!E197,"AAAAABf+7r4=")</f>
        <v>#VALUE!</v>
      </c>
      <c r="GJ16" t="e">
        <f>AND('STERLING CATALOG - DRY '!F197,"AAAAABf+7r8=")</f>
        <v>#VALUE!</v>
      </c>
      <c r="GK16" t="e">
        <f>AND('STERLING CATALOG - DRY '!G197,"AAAAABf+7sA=")</f>
        <v>#VALUE!</v>
      </c>
      <c r="GL16" t="e">
        <f>AND('STERLING CATALOG - DRY '!H197,"AAAAABf+7sE=")</f>
        <v>#VALUE!</v>
      </c>
      <c r="GM16" t="e">
        <f>AND('STERLING CATALOG - DRY '!I197,"AAAAABf+7sI=")</f>
        <v>#VALUE!</v>
      </c>
      <c r="GN16" t="e">
        <f>AND('STERLING CATALOG - DRY '!J197,"AAAAABf+7sM=")</f>
        <v>#VALUE!</v>
      </c>
      <c r="GO16">
        <f>IF('STERLING CATALOG - DRY '!198:198,"AAAAABf+7sQ=",0)</f>
        <v>0</v>
      </c>
      <c r="GP16" t="e">
        <f>AND('STERLING CATALOG - DRY '!A198,"AAAAABf+7sU=")</f>
        <v>#VALUE!</v>
      </c>
      <c r="GQ16" t="e">
        <f>AND('STERLING CATALOG - DRY '!B198,"AAAAABf+7sY=")</f>
        <v>#VALUE!</v>
      </c>
      <c r="GR16" t="e">
        <f>AND('STERLING CATALOG - DRY '!C198,"AAAAABf+7sc=")</f>
        <v>#VALUE!</v>
      </c>
      <c r="GS16" t="e">
        <f>AND('STERLING CATALOG - DRY '!D198,"AAAAABf+7sg=")</f>
        <v>#VALUE!</v>
      </c>
      <c r="GT16" t="e">
        <f>AND('STERLING CATALOG - DRY '!E198,"AAAAABf+7sk=")</f>
        <v>#VALUE!</v>
      </c>
      <c r="GU16" t="e">
        <f>AND('STERLING CATALOG - DRY '!F198,"AAAAABf+7so=")</f>
        <v>#VALUE!</v>
      </c>
      <c r="GV16" t="e">
        <f>AND('STERLING CATALOG - DRY '!G198,"AAAAABf+7ss=")</f>
        <v>#VALUE!</v>
      </c>
      <c r="GW16" t="e">
        <f>AND('STERLING CATALOG - DRY '!H198,"AAAAABf+7sw=")</f>
        <v>#VALUE!</v>
      </c>
      <c r="GX16" t="e">
        <f>AND('STERLING CATALOG - DRY '!I198,"AAAAABf+7s0=")</f>
        <v>#VALUE!</v>
      </c>
      <c r="GY16" t="e">
        <f>AND('STERLING CATALOG - DRY '!J198,"AAAAABf+7s4=")</f>
        <v>#VALUE!</v>
      </c>
      <c r="GZ16">
        <f>IF('STERLING CATALOG - DRY '!199:199,"AAAAABf+7s8=",0)</f>
        <v>0</v>
      </c>
      <c r="HA16" t="e">
        <f>AND('STERLING CATALOG - DRY '!A199,"AAAAABf+7tA=")</f>
        <v>#VALUE!</v>
      </c>
      <c r="HB16" t="e">
        <f>AND('STERLING CATALOG - DRY '!B199,"AAAAABf+7tE=")</f>
        <v>#VALUE!</v>
      </c>
      <c r="HC16" t="e">
        <f>AND('STERLING CATALOG - DRY '!C199,"AAAAABf+7tI=")</f>
        <v>#VALUE!</v>
      </c>
      <c r="HD16" t="e">
        <f>AND('STERLING CATALOG - DRY '!D199,"AAAAABf+7tM=")</f>
        <v>#VALUE!</v>
      </c>
      <c r="HE16" t="e">
        <f>AND('STERLING CATALOG - DRY '!E199,"AAAAABf+7tQ=")</f>
        <v>#VALUE!</v>
      </c>
      <c r="HF16" t="e">
        <f>AND('STERLING CATALOG - DRY '!F199,"AAAAABf+7tU=")</f>
        <v>#VALUE!</v>
      </c>
      <c r="HG16" t="e">
        <f>AND('STERLING CATALOG - DRY '!G199,"AAAAABf+7tY=")</f>
        <v>#VALUE!</v>
      </c>
      <c r="HH16" t="e">
        <f>AND('STERLING CATALOG - DRY '!H199,"AAAAABf+7tc=")</f>
        <v>#VALUE!</v>
      </c>
      <c r="HI16" t="e">
        <f>AND('STERLING CATALOG - DRY '!I199,"AAAAABf+7tg=")</f>
        <v>#VALUE!</v>
      </c>
      <c r="HJ16" t="e">
        <f>AND('STERLING CATALOG - DRY '!J199,"AAAAABf+7tk=")</f>
        <v>#VALUE!</v>
      </c>
      <c r="HK16">
        <f>IF('STERLING CATALOG - DRY '!200:200,"AAAAABf+7to=",0)</f>
        <v>0</v>
      </c>
      <c r="HL16" t="e">
        <f>AND('STERLING CATALOG - DRY '!A200,"AAAAABf+7ts=")</f>
        <v>#VALUE!</v>
      </c>
      <c r="HM16" t="e">
        <f>AND('STERLING CATALOG - DRY '!B200,"AAAAABf+7tw=")</f>
        <v>#VALUE!</v>
      </c>
      <c r="HN16" t="e">
        <f>AND('STERLING CATALOG - DRY '!C200,"AAAAABf+7t0=")</f>
        <v>#VALUE!</v>
      </c>
      <c r="HO16" t="e">
        <f>AND('STERLING CATALOG - DRY '!D200,"AAAAABf+7t4=")</f>
        <v>#VALUE!</v>
      </c>
      <c r="HP16" t="e">
        <f>AND('STERLING CATALOG - DRY '!E200,"AAAAABf+7t8=")</f>
        <v>#VALUE!</v>
      </c>
      <c r="HQ16" t="e">
        <f>AND('STERLING CATALOG - DRY '!F200,"AAAAABf+7uA=")</f>
        <v>#VALUE!</v>
      </c>
      <c r="HR16" t="e">
        <f>AND('STERLING CATALOG - DRY '!G200,"AAAAABf+7uE=")</f>
        <v>#VALUE!</v>
      </c>
      <c r="HS16" t="e">
        <f>AND('STERLING CATALOG - DRY '!H200,"AAAAABf+7uI=")</f>
        <v>#VALUE!</v>
      </c>
      <c r="HT16" t="e">
        <f>AND('STERLING CATALOG - DRY '!I200,"AAAAABf+7uM=")</f>
        <v>#VALUE!</v>
      </c>
      <c r="HU16" t="e">
        <f>AND('STERLING CATALOG - DRY '!J200,"AAAAABf+7uQ=")</f>
        <v>#VALUE!</v>
      </c>
      <c r="HV16">
        <f>IF('STERLING CATALOG - DRY '!201:201,"AAAAABf+7uU=",0)</f>
        <v>0</v>
      </c>
      <c r="HW16" t="e">
        <f>AND('STERLING CATALOG - DRY '!A201,"AAAAABf+7uY=")</f>
        <v>#VALUE!</v>
      </c>
      <c r="HX16" t="e">
        <f>AND('STERLING CATALOG - DRY '!B201,"AAAAABf+7uc=")</f>
        <v>#VALUE!</v>
      </c>
      <c r="HY16" t="e">
        <f>AND('STERLING CATALOG - DRY '!C201,"AAAAABf+7ug=")</f>
        <v>#VALUE!</v>
      </c>
      <c r="HZ16" t="e">
        <f>AND('STERLING CATALOG - DRY '!D201,"AAAAABf+7uk=")</f>
        <v>#VALUE!</v>
      </c>
      <c r="IA16" t="e">
        <f>AND('STERLING CATALOG - DRY '!E201,"AAAAABf+7uo=")</f>
        <v>#VALUE!</v>
      </c>
      <c r="IB16" t="e">
        <f>AND('STERLING CATALOG - DRY '!F201,"AAAAABf+7us=")</f>
        <v>#VALUE!</v>
      </c>
      <c r="IC16" t="e">
        <f>AND('STERLING CATALOG - DRY '!G201,"AAAAABf+7uw=")</f>
        <v>#VALUE!</v>
      </c>
      <c r="ID16" t="e">
        <f>AND('STERLING CATALOG - DRY '!H201,"AAAAABf+7u0=")</f>
        <v>#VALUE!</v>
      </c>
      <c r="IE16" t="e">
        <f>AND('STERLING CATALOG - DRY '!I201,"AAAAABf+7u4=")</f>
        <v>#VALUE!</v>
      </c>
      <c r="IF16" t="e">
        <f>AND('STERLING CATALOG - DRY '!J201,"AAAAABf+7u8=")</f>
        <v>#VALUE!</v>
      </c>
      <c r="IG16">
        <f>IF('STERLING CATALOG - DRY '!202:202,"AAAAABf+7vA=",0)</f>
        <v>0</v>
      </c>
      <c r="IH16" t="e">
        <f>AND('STERLING CATALOG - DRY '!A202,"AAAAABf+7vE=")</f>
        <v>#VALUE!</v>
      </c>
      <c r="II16" t="e">
        <f>AND('STERLING CATALOG - DRY '!B202,"AAAAABf+7vI=")</f>
        <v>#VALUE!</v>
      </c>
      <c r="IJ16" t="e">
        <f>AND('STERLING CATALOG - DRY '!C202,"AAAAABf+7vM=")</f>
        <v>#VALUE!</v>
      </c>
      <c r="IK16" t="e">
        <f>AND('STERLING CATALOG - DRY '!D202,"AAAAABf+7vQ=")</f>
        <v>#VALUE!</v>
      </c>
      <c r="IL16" t="e">
        <f>AND('STERLING CATALOG - DRY '!E202,"AAAAABf+7vU=")</f>
        <v>#VALUE!</v>
      </c>
      <c r="IM16" t="e">
        <f>AND('STERLING CATALOG - DRY '!F202,"AAAAABf+7vY=")</f>
        <v>#VALUE!</v>
      </c>
      <c r="IN16" t="e">
        <f>AND('STERLING CATALOG - DRY '!G202,"AAAAABf+7vc=")</f>
        <v>#VALUE!</v>
      </c>
      <c r="IO16" t="e">
        <f>AND('STERLING CATALOG - DRY '!H202,"AAAAABf+7vg=")</f>
        <v>#VALUE!</v>
      </c>
      <c r="IP16" t="e">
        <f>AND('STERLING CATALOG - DRY '!I202,"AAAAABf+7vk=")</f>
        <v>#VALUE!</v>
      </c>
      <c r="IQ16" t="e">
        <f>AND('STERLING CATALOG - DRY '!J202,"AAAAABf+7vo=")</f>
        <v>#VALUE!</v>
      </c>
      <c r="IR16">
        <f>IF('STERLING CATALOG - DRY '!203:203,"AAAAABf+7vs=",0)</f>
        <v>0</v>
      </c>
      <c r="IS16" t="e">
        <f>AND('STERLING CATALOG - DRY '!A203,"AAAAABf+7vw=")</f>
        <v>#VALUE!</v>
      </c>
      <c r="IT16" t="e">
        <f>AND('STERLING CATALOG - DRY '!B203,"AAAAABf+7v0=")</f>
        <v>#VALUE!</v>
      </c>
      <c r="IU16" t="e">
        <f>AND('STERLING CATALOG - DRY '!C203,"AAAAABf+7v4=")</f>
        <v>#VALUE!</v>
      </c>
      <c r="IV16" t="e">
        <f>AND('STERLING CATALOG - DRY '!D203,"AAAAABf+7v8=")</f>
        <v>#VALUE!</v>
      </c>
    </row>
    <row r="17" spans="1:256">
      <c r="A17" t="e">
        <f>AND('STERLING CATALOG - DRY '!E203,"AAAAAFv/+wA=")</f>
        <v>#VALUE!</v>
      </c>
      <c r="B17" t="e">
        <f>AND('STERLING CATALOG - DRY '!F203,"AAAAAFv/+wE=")</f>
        <v>#VALUE!</v>
      </c>
      <c r="C17" t="e">
        <f>AND('STERLING CATALOG - DRY '!G203,"AAAAAFv/+wI=")</f>
        <v>#VALUE!</v>
      </c>
      <c r="D17" t="e">
        <f>AND('STERLING CATALOG - DRY '!H203,"AAAAAFv/+wM=")</f>
        <v>#VALUE!</v>
      </c>
      <c r="E17" t="e">
        <f>AND('STERLING CATALOG - DRY '!I203,"AAAAAFv/+wQ=")</f>
        <v>#VALUE!</v>
      </c>
      <c r="F17" t="e">
        <f>AND('STERLING CATALOG - DRY '!J203,"AAAAAFv/+wU=")</f>
        <v>#VALUE!</v>
      </c>
      <c r="G17" t="str">
        <f>IF('STERLING CATALOG - DRY '!204:204,"AAAAAFv/+wY=",0)</f>
        <v>AAAAAFv/+wY=</v>
      </c>
      <c r="H17" t="e">
        <f>AND('STERLING CATALOG - DRY '!A204,"AAAAAFv/+wc=")</f>
        <v>#VALUE!</v>
      </c>
      <c r="I17" t="e">
        <f>AND('STERLING CATALOG - DRY '!B204,"AAAAAFv/+wg=")</f>
        <v>#VALUE!</v>
      </c>
      <c r="J17" t="e">
        <f>AND('STERLING CATALOG - DRY '!C204,"AAAAAFv/+wk=")</f>
        <v>#VALUE!</v>
      </c>
      <c r="K17" t="e">
        <f>AND('STERLING CATALOG - DRY '!D204,"AAAAAFv/+wo=")</f>
        <v>#VALUE!</v>
      </c>
      <c r="L17" t="e">
        <f>AND('STERLING CATALOG - DRY '!E204,"AAAAAFv/+ws=")</f>
        <v>#VALUE!</v>
      </c>
      <c r="M17" t="e">
        <f>AND('STERLING CATALOG - DRY '!F204,"AAAAAFv/+ww=")</f>
        <v>#VALUE!</v>
      </c>
      <c r="N17" t="e">
        <f>AND('STERLING CATALOG - DRY '!G204,"AAAAAFv/+w0=")</f>
        <v>#VALUE!</v>
      </c>
      <c r="O17" t="e">
        <f>AND('STERLING CATALOG - DRY '!H204,"AAAAAFv/+w4=")</f>
        <v>#VALUE!</v>
      </c>
      <c r="P17" t="e">
        <f>AND('STERLING CATALOG - DRY '!I204,"AAAAAFv/+w8=")</f>
        <v>#VALUE!</v>
      </c>
      <c r="Q17" t="e">
        <f>AND('STERLING CATALOG - DRY '!J204,"AAAAAFv/+xA=")</f>
        <v>#VALUE!</v>
      </c>
      <c r="R17">
        <f>IF('STERLING CATALOG - DRY '!205:205,"AAAAAFv/+xE=",0)</f>
        <v>0</v>
      </c>
      <c r="S17" t="e">
        <f>AND('STERLING CATALOG - DRY '!A205,"AAAAAFv/+xI=")</f>
        <v>#VALUE!</v>
      </c>
      <c r="T17" t="e">
        <f>AND('STERLING CATALOG - DRY '!B205,"AAAAAFv/+xM=")</f>
        <v>#VALUE!</v>
      </c>
      <c r="U17" t="e">
        <f>AND('STERLING CATALOG - DRY '!C205,"AAAAAFv/+xQ=")</f>
        <v>#VALUE!</v>
      </c>
      <c r="V17" t="e">
        <f>AND('STERLING CATALOG - DRY '!D205,"AAAAAFv/+xU=")</f>
        <v>#VALUE!</v>
      </c>
      <c r="W17" t="e">
        <f>AND('STERLING CATALOG - DRY '!E205,"AAAAAFv/+xY=")</f>
        <v>#VALUE!</v>
      </c>
      <c r="X17" t="e">
        <f>AND('STERLING CATALOG - DRY '!F205,"AAAAAFv/+xc=")</f>
        <v>#VALUE!</v>
      </c>
      <c r="Y17" t="e">
        <f>AND('STERLING CATALOG - DRY '!G205,"AAAAAFv/+xg=")</f>
        <v>#VALUE!</v>
      </c>
      <c r="Z17" t="e">
        <f>AND('STERLING CATALOG - DRY '!H205,"AAAAAFv/+xk=")</f>
        <v>#VALUE!</v>
      </c>
      <c r="AA17" t="e">
        <f>AND('STERLING CATALOG - DRY '!I205,"AAAAAFv/+xo=")</f>
        <v>#VALUE!</v>
      </c>
      <c r="AB17" t="e">
        <f>AND('STERLING CATALOG - DRY '!J205,"AAAAAFv/+xs=")</f>
        <v>#VALUE!</v>
      </c>
      <c r="AC17">
        <f>IF('STERLING CATALOG - DRY '!206:206,"AAAAAFv/+xw=",0)</f>
        <v>0</v>
      </c>
      <c r="AD17" t="e">
        <f>AND('STERLING CATALOG - DRY '!A206,"AAAAAFv/+x0=")</f>
        <v>#VALUE!</v>
      </c>
      <c r="AE17" t="e">
        <f>AND('STERLING CATALOG - DRY '!B206,"AAAAAFv/+x4=")</f>
        <v>#VALUE!</v>
      </c>
      <c r="AF17" t="e">
        <f>AND('STERLING CATALOG - DRY '!C206,"AAAAAFv/+x8=")</f>
        <v>#VALUE!</v>
      </c>
      <c r="AG17" t="e">
        <f>AND('STERLING CATALOG - DRY '!D206,"AAAAAFv/+yA=")</f>
        <v>#VALUE!</v>
      </c>
      <c r="AH17" t="e">
        <f>AND('STERLING CATALOG - DRY '!E206,"AAAAAFv/+yE=")</f>
        <v>#VALUE!</v>
      </c>
      <c r="AI17" t="e">
        <f>AND('STERLING CATALOG - DRY '!F206,"AAAAAFv/+yI=")</f>
        <v>#VALUE!</v>
      </c>
      <c r="AJ17" t="e">
        <f>AND('STERLING CATALOG - DRY '!G206,"AAAAAFv/+yM=")</f>
        <v>#VALUE!</v>
      </c>
      <c r="AK17" t="e">
        <f>AND('STERLING CATALOG - DRY '!H206,"AAAAAFv/+yQ=")</f>
        <v>#VALUE!</v>
      </c>
      <c r="AL17" t="e">
        <f>AND('STERLING CATALOG - DRY '!I206,"AAAAAFv/+yU=")</f>
        <v>#VALUE!</v>
      </c>
      <c r="AM17" t="e">
        <f>AND('STERLING CATALOG - DRY '!J206,"AAAAAFv/+yY=")</f>
        <v>#VALUE!</v>
      </c>
      <c r="AN17">
        <f>IF('STERLING CATALOG - DRY '!207:207,"AAAAAFv/+yc=",0)</f>
        <v>0</v>
      </c>
      <c r="AO17" t="e">
        <f>AND('STERLING CATALOG - DRY '!A207,"AAAAAFv/+yg=")</f>
        <v>#VALUE!</v>
      </c>
      <c r="AP17" t="e">
        <f>AND('STERLING CATALOG - DRY '!B207,"AAAAAFv/+yk=")</f>
        <v>#VALUE!</v>
      </c>
      <c r="AQ17" t="e">
        <f>AND('STERLING CATALOG - DRY '!C207,"AAAAAFv/+yo=")</f>
        <v>#VALUE!</v>
      </c>
      <c r="AR17" t="e">
        <f>AND('STERLING CATALOG - DRY '!D207,"AAAAAFv/+ys=")</f>
        <v>#VALUE!</v>
      </c>
      <c r="AS17" t="e">
        <f>AND('STERLING CATALOG - DRY '!E207,"AAAAAFv/+yw=")</f>
        <v>#VALUE!</v>
      </c>
      <c r="AT17" t="e">
        <f>AND('STERLING CATALOG - DRY '!F207,"AAAAAFv/+y0=")</f>
        <v>#VALUE!</v>
      </c>
      <c r="AU17" t="e">
        <f>AND('STERLING CATALOG - DRY '!G207,"AAAAAFv/+y4=")</f>
        <v>#VALUE!</v>
      </c>
      <c r="AV17" t="e">
        <f>AND('STERLING CATALOG - DRY '!H207,"AAAAAFv/+y8=")</f>
        <v>#VALUE!</v>
      </c>
      <c r="AW17" t="e">
        <f>AND('STERLING CATALOG - DRY '!I207,"AAAAAFv/+zA=")</f>
        <v>#VALUE!</v>
      </c>
      <c r="AX17" t="e">
        <f>AND('STERLING CATALOG - DRY '!J207,"AAAAAFv/+zE=")</f>
        <v>#VALUE!</v>
      </c>
      <c r="AY17">
        <f>IF('STERLING CATALOG - DRY '!208:208,"AAAAAFv/+zI=",0)</f>
        <v>0</v>
      </c>
      <c r="AZ17" t="e">
        <f>AND('STERLING CATALOG - DRY '!A208,"AAAAAFv/+zM=")</f>
        <v>#VALUE!</v>
      </c>
      <c r="BA17" t="e">
        <f>AND('STERLING CATALOG - DRY '!B208,"AAAAAFv/+zQ=")</f>
        <v>#VALUE!</v>
      </c>
      <c r="BB17" t="e">
        <f>AND('STERLING CATALOG - DRY '!C208,"AAAAAFv/+zU=")</f>
        <v>#VALUE!</v>
      </c>
      <c r="BC17" t="e">
        <f>AND('STERLING CATALOG - DRY '!D208,"AAAAAFv/+zY=")</f>
        <v>#VALUE!</v>
      </c>
      <c r="BD17" t="e">
        <f>AND('STERLING CATALOG - DRY '!E208,"AAAAAFv/+zc=")</f>
        <v>#VALUE!</v>
      </c>
      <c r="BE17" t="e">
        <f>AND('STERLING CATALOG - DRY '!F208,"AAAAAFv/+zg=")</f>
        <v>#VALUE!</v>
      </c>
      <c r="BF17" t="e">
        <f>AND('STERLING CATALOG - DRY '!G208,"AAAAAFv/+zk=")</f>
        <v>#VALUE!</v>
      </c>
      <c r="BG17" t="e">
        <f>AND('STERLING CATALOG - DRY '!H208,"AAAAAFv/+zo=")</f>
        <v>#VALUE!</v>
      </c>
      <c r="BH17" t="e">
        <f>AND('STERLING CATALOG - DRY '!I208,"AAAAAFv/+zs=")</f>
        <v>#VALUE!</v>
      </c>
      <c r="BI17" t="e">
        <f>AND('STERLING CATALOG - DRY '!J208,"AAAAAFv/+zw=")</f>
        <v>#VALUE!</v>
      </c>
      <c r="BJ17">
        <f>IF('STERLING CATALOG - DRY '!209:209,"AAAAAFv/+z0=",0)</f>
        <v>0</v>
      </c>
      <c r="BK17" t="e">
        <f>AND('STERLING CATALOG - DRY '!A209,"AAAAAFv/+z4=")</f>
        <v>#VALUE!</v>
      </c>
      <c r="BL17" t="e">
        <f>AND('STERLING CATALOG - DRY '!B209,"AAAAAFv/+z8=")</f>
        <v>#VALUE!</v>
      </c>
      <c r="BM17" t="e">
        <f>AND('STERLING CATALOG - DRY '!C209,"AAAAAFv/+0A=")</f>
        <v>#VALUE!</v>
      </c>
      <c r="BN17" t="e">
        <f>AND('STERLING CATALOG - DRY '!D209,"AAAAAFv/+0E=")</f>
        <v>#VALUE!</v>
      </c>
      <c r="BO17" t="e">
        <f>AND('STERLING CATALOG - DRY '!E209,"AAAAAFv/+0I=")</f>
        <v>#VALUE!</v>
      </c>
      <c r="BP17" t="e">
        <f>AND('STERLING CATALOG - DRY '!F209,"AAAAAFv/+0M=")</f>
        <v>#VALUE!</v>
      </c>
      <c r="BQ17" t="e">
        <f>AND('STERLING CATALOG - DRY '!G209,"AAAAAFv/+0Q=")</f>
        <v>#VALUE!</v>
      </c>
      <c r="BR17" t="e">
        <f>AND('STERLING CATALOG - DRY '!H209,"AAAAAFv/+0U=")</f>
        <v>#VALUE!</v>
      </c>
      <c r="BS17" t="e">
        <f>AND('STERLING CATALOG - DRY '!I209,"AAAAAFv/+0Y=")</f>
        <v>#VALUE!</v>
      </c>
      <c r="BT17" t="e">
        <f>AND('STERLING CATALOG - DRY '!J209,"AAAAAFv/+0c=")</f>
        <v>#VALUE!</v>
      </c>
      <c r="BU17">
        <f>IF('STERLING CATALOG - DRY '!210:210,"AAAAAFv/+0g=",0)</f>
        <v>0</v>
      </c>
      <c r="BV17" t="e">
        <f>AND('STERLING CATALOG - DRY '!A210,"AAAAAFv/+0k=")</f>
        <v>#VALUE!</v>
      </c>
      <c r="BW17" t="e">
        <f>AND('STERLING CATALOG - DRY '!B210,"AAAAAFv/+0o=")</f>
        <v>#VALUE!</v>
      </c>
      <c r="BX17" t="e">
        <f>AND('STERLING CATALOG - DRY '!C210,"AAAAAFv/+0s=")</f>
        <v>#VALUE!</v>
      </c>
      <c r="BY17" t="e">
        <f>AND('STERLING CATALOG - DRY '!D210,"AAAAAFv/+0w=")</f>
        <v>#VALUE!</v>
      </c>
      <c r="BZ17" t="e">
        <f>AND('STERLING CATALOG - DRY '!E210,"AAAAAFv/+00=")</f>
        <v>#VALUE!</v>
      </c>
      <c r="CA17" t="e">
        <f>AND('STERLING CATALOG - DRY '!F210,"AAAAAFv/+04=")</f>
        <v>#VALUE!</v>
      </c>
      <c r="CB17" t="e">
        <f>AND('STERLING CATALOG - DRY '!G210,"AAAAAFv/+08=")</f>
        <v>#VALUE!</v>
      </c>
      <c r="CC17" t="e">
        <f>AND('STERLING CATALOG - DRY '!H210,"AAAAAFv/+1A=")</f>
        <v>#VALUE!</v>
      </c>
      <c r="CD17" t="e">
        <f>AND('STERLING CATALOG - DRY '!I210,"AAAAAFv/+1E=")</f>
        <v>#VALUE!</v>
      </c>
      <c r="CE17" t="e">
        <f>AND('STERLING CATALOG - DRY '!J210,"AAAAAFv/+1I=")</f>
        <v>#VALUE!</v>
      </c>
      <c r="CF17">
        <f>IF('STERLING CATALOG - DRY '!211:211,"AAAAAFv/+1M=",0)</f>
        <v>0</v>
      </c>
      <c r="CG17" t="e">
        <f>AND('STERLING CATALOG - DRY '!A211,"AAAAAFv/+1Q=")</f>
        <v>#VALUE!</v>
      </c>
      <c r="CH17" t="e">
        <f>AND('STERLING CATALOG - DRY '!B211,"AAAAAFv/+1U=")</f>
        <v>#VALUE!</v>
      </c>
      <c r="CI17" t="e">
        <f>AND('STERLING CATALOG - DRY '!C211,"AAAAAFv/+1Y=")</f>
        <v>#VALUE!</v>
      </c>
      <c r="CJ17" t="e">
        <f>AND('STERLING CATALOG - DRY '!D211,"AAAAAFv/+1c=")</f>
        <v>#VALUE!</v>
      </c>
      <c r="CK17" t="e">
        <f>AND('STERLING CATALOG - DRY '!E211,"AAAAAFv/+1g=")</f>
        <v>#VALUE!</v>
      </c>
      <c r="CL17" t="e">
        <f>AND('STERLING CATALOG - DRY '!F211,"AAAAAFv/+1k=")</f>
        <v>#VALUE!</v>
      </c>
      <c r="CM17" t="e">
        <f>AND('STERLING CATALOG - DRY '!G211,"AAAAAFv/+1o=")</f>
        <v>#VALUE!</v>
      </c>
      <c r="CN17" t="e">
        <f>AND('STERLING CATALOG - DRY '!H211,"AAAAAFv/+1s=")</f>
        <v>#VALUE!</v>
      </c>
      <c r="CO17" t="e">
        <f>AND('STERLING CATALOG - DRY '!I211,"AAAAAFv/+1w=")</f>
        <v>#VALUE!</v>
      </c>
      <c r="CP17" t="e">
        <f>AND('STERLING CATALOG - DRY '!J211,"AAAAAFv/+10=")</f>
        <v>#VALUE!</v>
      </c>
      <c r="CQ17">
        <f>IF('STERLING CATALOG - DRY '!212:212,"AAAAAFv/+14=",0)</f>
        <v>0</v>
      </c>
      <c r="CR17" t="e">
        <f>AND('STERLING CATALOG - DRY '!A212,"AAAAAFv/+18=")</f>
        <v>#VALUE!</v>
      </c>
      <c r="CS17" t="e">
        <f>AND('STERLING CATALOG - DRY '!B212,"AAAAAFv/+2A=")</f>
        <v>#VALUE!</v>
      </c>
      <c r="CT17" t="e">
        <f>AND('STERLING CATALOG - DRY '!C212,"AAAAAFv/+2E=")</f>
        <v>#VALUE!</v>
      </c>
      <c r="CU17" t="e">
        <f>AND('STERLING CATALOG - DRY '!D212,"AAAAAFv/+2I=")</f>
        <v>#VALUE!</v>
      </c>
      <c r="CV17" t="e">
        <f>AND('STERLING CATALOG - DRY '!E212,"AAAAAFv/+2M=")</f>
        <v>#VALUE!</v>
      </c>
      <c r="CW17" t="e">
        <f>AND('STERLING CATALOG - DRY '!F212,"AAAAAFv/+2Q=")</f>
        <v>#VALUE!</v>
      </c>
      <c r="CX17" t="e">
        <f>AND('STERLING CATALOG - DRY '!G212,"AAAAAFv/+2U=")</f>
        <v>#VALUE!</v>
      </c>
      <c r="CY17" t="e">
        <f>AND('STERLING CATALOG - DRY '!H212,"AAAAAFv/+2Y=")</f>
        <v>#VALUE!</v>
      </c>
      <c r="CZ17" t="e">
        <f>AND('STERLING CATALOG - DRY '!I212,"AAAAAFv/+2c=")</f>
        <v>#VALUE!</v>
      </c>
      <c r="DA17" t="e">
        <f>AND('STERLING CATALOG - DRY '!J212,"AAAAAFv/+2g=")</f>
        <v>#VALUE!</v>
      </c>
      <c r="DB17">
        <f>IF('STERLING CATALOG - DRY '!213:213,"AAAAAFv/+2k=",0)</f>
        <v>0</v>
      </c>
      <c r="DC17" t="e">
        <f>AND('STERLING CATALOG - DRY '!A213,"AAAAAFv/+2o=")</f>
        <v>#VALUE!</v>
      </c>
      <c r="DD17" t="e">
        <f>AND('STERLING CATALOG - DRY '!B213,"AAAAAFv/+2s=")</f>
        <v>#VALUE!</v>
      </c>
      <c r="DE17" t="e">
        <f>AND('STERLING CATALOG - DRY '!C213,"AAAAAFv/+2w=")</f>
        <v>#VALUE!</v>
      </c>
      <c r="DF17" t="e">
        <f>AND('STERLING CATALOG - DRY '!D213,"AAAAAFv/+20=")</f>
        <v>#VALUE!</v>
      </c>
      <c r="DG17" t="e">
        <f>AND('STERLING CATALOG - DRY '!E213,"AAAAAFv/+24=")</f>
        <v>#VALUE!</v>
      </c>
      <c r="DH17" t="e">
        <f>AND('STERLING CATALOG - DRY '!F213,"AAAAAFv/+28=")</f>
        <v>#VALUE!</v>
      </c>
      <c r="DI17" t="e">
        <f>AND('STERLING CATALOG - DRY '!G213,"AAAAAFv/+3A=")</f>
        <v>#VALUE!</v>
      </c>
      <c r="DJ17" t="e">
        <f>AND('STERLING CATALOG - DRY '!H213,"AAAAAFv/+3E=")</f>
        <v>#VALUE!</v>
      </c>
      <c r="DK17" t="e">
        <f>AND('STERLING CATALOG - DRY '!I213,"AAAAAFv/+3I=")</f>
        <v>#VALUE!</v>
      </c>
      <c r="DL17" t="e">
        <f>AND('STERLING CATALOG - DRY '!J213,"AAAAAFv/+3M=")</f>
        <v>#VALUE!</v>
      </c>
      <c r="DM17">
        <f>IF('STERLING CATALOG - DRY '!214:214,"AAAAAFv/+3Q=",0)</f>
        <v>0</v>
      </c>
      <c r="DN17" t="e">
        <f>AND('STERLING CATALOG - DRY '!A214,"AAAAAFv/+3U=")</f>
        <v>#VALUE!</v>
      </c>
      <c r="DO17" t="e">
        <f>AND('STERLING CATALOG - DRY '!B214,"AAAAAFv/+3Y=")</f>
        <v>#VALUE!</v>
      </c>
      <c r="DP17" t="e">
        <f>AND('STERLING CATALOG - DRY '!C214,"AAAAAFv/+3c=")</f>
        <v>#VALUE!</v>
      </c>
      <c r="DQ17" t="e">
        <f>AND('STERLING CATALOG - DRY '!D214,"AAAAAFv/+3g=")</f>
        <v>#VALUE!</v>
      </c>
      <c r="DR17" t="e">
        <f>AND('STERLING CATALOG - DRY '!E214,"AAAAAFv/+3k=")</f>
        <v>#VALUE!</v>
      </c>
      <c r="DS17" t="e">
        <f>AND('STERLING CATALOG - DRY '!F214,"AAAAAFv/+3o=")</f>
        <v>#VALUE!</v>
      </c>
      <c r="DT17" t="e">
        <f>AND('STERLING CATALOG - DRY '!G214,"AAAAAFv/+3s=")</f>
        <v>#VALUE!</v>
      </c>
      <c r="DU17" t="e">
        <f>AND('STERLING CATALOG - DRY '!H214,"AAAAAFv/+3w=")</f>
        <v>#VALUE!</v>
      </c>
      <c r="DV17" t="e">
        <f>AND('STERLING CATALOG - DRY '!I214,"AAAAAFv/+30=")</f>
        <v>#VALUE!</v>
      </c>
      <c r="DW17" t="e">
        <f>AND('STERLING CATALOG - DRY '!J214,"AAAAAFv/+34=")</f>
        <v>#VALUE!</v>
      </c>
      <c r="DX17">
        <f>IF('STERLING CATALOG - DRY '!215:215,"AAAAAFv/+38=",0)</f>
        <v>0</v>
      </c>
      <c r="DY17" t="e">
        <f>AND('STERLING CATALOG - DRY '!A215,"AAAAAFv/+4A=")</f>
        <v>#VALUE!</v>
      </c>
      <c r="DZ17" t="e">
        <f>AND('STERLING CATALOG - DRY '!B215,"AAAAAFv/+4E=")</f>
        <v>#VALUE!</v>
      </c>
      <c r="EA17" t="e">
        <f>AND('STERLING CATALOG - DRY '!C215,"AAAAAFv/+4I=")</f>
        <v>#VALUE!</v>
      </c>
      <c r="EB17" t="e">
        <f>AND('STERLING CATALOG - DRY '!D215,"AAAAAFv/+4M=")</f>
        <v>#VALUE!</v>
      </c>
      <c r="EC17" t="e">
        <f>AND('STERLING CATALOG - DRY '!E215,"AAAAAFv/+4Q=")</f>
        <v>#VALUE!</v>
      </c>
      <c r="ED17" t="e">
        <f>AND('STERLING CATALOG - DRY '!F215,"AAAAAFv/+4U=")</f>
        <v>#VALUE!</v>
      </c>
      <c r="EE17" t="e">
        <f>AND('STERLING CATALOG - DRY '!G215,"AAAAAFv/+4Y=")</f>
        <v>#VALUE!</v>
      </c>
      <c r="EF17" t="e">
        <f>AND('STERLING CATALOG - DRY '!H215,"AAAAAFv/+4c=")</f>
        <v>#VALUE!</v>
      </c>
      <c r="EG17" t="e">
        <f>AND('STERLING CATALOG - DRY '!I215,"AAAAAFv/+4g=")</f>
        <v>#VALUE!</v>
      </c>
      <c r="EH17" t="e">
        <f>AND('STERLING CATALOG - DRY '!J215,"AAAAAFv/+4k=")</f>
        <v>#VALUE!</v>
      </c>
      <c r="EI17">
        <f>IF('STERLING CATALOG - DRY '!216:216,"AAAAAFv/+4o=",0)</f>
        <v>0</v>
      </c>
      <c r="EJ17" t="e">
        <f>AND('STERLING CATALOG - DRY '!A216,"AAAAAFv/+4s=")</f>
        <v>#VALUE!</v>
      </c>
      <c r="EK17" t="e">
        <f>AND('STERLING CATALOG - DRY '!B216,"AAAAAFv/+4w=")</f>
        <v>#VALUE!</v>
      </c>
      <c r="EL17" t="e">
        <f>AND('STERLING CATALOG - DRY '!C216,"AAAAAFv/+40=")</f>
        <v>#VALUE!</v>
      </c>
      <c r="EM17" t="e">
        <f>AND('STERLING CATALOG - DRY '!D216,"AAAAAFv/+44=")</f>
        <v>#VALUE!</v>
      </c>
      <c r="EN17" t="e">
        <f>AND('STERLING CATALOG - DRY '!E216,"AAAAAFv/+48=")</f>
        <v>#VALUE!</v>
      </c>
      <c r="EO17" t="e">
        <f>AND('STERLING CATALOG - DRY '!F216,"AAAAAFv/+5A=")</f>
        <v>#VALUE!</v>
      </c>
      <c r="EP17" t="e">
        <f>AND('STERLING CATALOG - DRY '!G216,"AAAAAFv/+5E=")</f>
        <v>#VALUE!</v>
      </c>
      <c r="EQ17" t="e">
        <f>AND('STERLING CATALOG - DRY '!H216,"AAAAAFv/+5I=")</f>
        <v>#VALUE!</v>
      </c>
      <c r="ER17" t="e">
        <f>AND('STERLING CATALOG - DRY '!I216,"AAAAAFv/+5M=")</f>
        <v>#VALUE!</v>
      </c>
      <c r="ES17" t="e">
        <f>AND('STERLING CATALOG - DRY '!J216,"AAAAAFv/+5Q=")</f>
        <v>#VALUE!</v>
      </c>
      <c r="ET17">
        <f>IF('STERLING CATALOG - DRY '!217:217,"AAAAAFv/+5U=",0)</f>
        <v>0</v>
      </c>
      <c r="EU17" t="e">
        <f>AND('STERLING CATALOG - DRY '!A217,"AAAAAFv/+5Y=")</f>
        <v>#VALUE!</v>
      </c>
      <c r="EV17" t="e">
        <f>AND('STERLING CATALOG - DRY '!B217,"AAAAAFv/+5c=")</f>
        <v>#VALUE!</v>
      </c>
      <c r="EW17" t="e">
        <f>AND('STERLING CATALOG - DRY '!C217,"AAAAAFv/+5g=")</f>
        <v>#VALUE!</v>
      </c>
      <c r="EX17" t="e">
        <f>AND('STERLING CATALOG - DRY '!D217,"AAAAAFv/+5k=")</f>
        <v>#VALUE!</v>
      </c>
      <c r="EY17" t="e">
        <f>AND('STERLING CATALOG - DRY '!E217,"AAAAAFv/+5o=")</f>
        <v>#VALUE!</v>
      </c>
      <c r="EZ17" t="e">
        <f>AND('STERLING CATALOG - DRY '!F217,"AAAAAFv/+5s=")</f>
        <v>#VALUE!</v>
      </c>
      <c r="FA17" t="e">
        <f>AND('STERLING CATALOG - DRY '!G217,"AAAAAFv/+5w=")</f>
        <v>#VALUE!</v>
      </c>
      <c r="FB17" t="e">
        <f>AND('STERLING CATALOG - DRY '!H217,"AAAAAFv/+50=")</f>
        <v>#VALUE!</v>
      </c>
      <c r="FC17" t="e">
        <f>AND('STERLING CATALOG - DRY '!I217,"AAAAAFv/+54=")</f>
        <v>#VALUE!</v>
      </c>
      <c r="FD17" t="e">
        <f>AND('STERLING CATALOG - DRY '!J217,"AAAAAFv/+58=")</f>
        <v>#VALUE!</v>
      </c>
      <c r="FE17">
        <f>IF('STERLING CATALOG - DRY '!218:218,"AAAAAFv/+6A=",0)</f>
        <v>0</v>
      </c>
      <c r="FF17" t="e">
        <f>AND('STERLING CATALOG - DRY '!A218,"AAAAAFv/+6E=")</f>
        <v>#VALUE!</v>
      </c>
      <c r="FG17" t="e">
        <f>AND('STERLING CATALOG - DRY '!B218,"AAAAAFv/+6I=")</f>
        <v>#VALUE!</v>
      </c>
      <c r="FH17" t="e">
        <f>AND('STERLING CATALOG - DRY '!C218,"AAAAAFv/+6M=")</f>
        <v>#VALUE!</v>
      </c>
      <c r="FI17" t="e">
        <f>AND('STERLING CATALOG - DRY '!D218,"AAAAAFv/+6Q=")</f>
        <v>#VALUE!</v>
      </c>
      <c r="FJ17" t="e">
        <f>AND('STERLING CATALOG - DRY '!E218,"AAAAAFv/+6U=")</f>
        <v>#VALUE!</v>
      </c>
      <c r="FK17" t="e">
        <f>AND('STERLING CATALOG - DRY '!F218,"AAAAAFv/+6Y=")</f>
        <v>#VALUE!</v>
      </c>
      <c r="FL17" t="e">
        <f>AND('STERLING CATALOG - DRY '!G218,"AAAAAFv/+6c=")</f>
        <v>#VALUE!</v>
      </c>
      <c r="FM17" t="e">
        <f>AND('STERLING CATALOG - DRY '!H218,"AAAAAFv/+6g=")</f>
        <v>#VALUE!</v>
      </c>
      <c r="FN17" t="e">
        <f>AND('STERLING CATALOG - DRY '!I218,"AAAAAFv/+6k=")</f>
        <v>#VALUE!</v>
      </c>
      <c r="FO17" t="e">
        <f>AND('STERLING CATALOG - DRY '!J218,"AAAAAFv/+6o=")</f>
        <v>#VALUE!</v>
      </c>
      <c r="FP17">
        <f>IF('STERLING CATALOG - DRY '!219:219,"AAAAAFv/+6s=",0)</f>
        <v>0</v>
      </c>
      <c r="FQ17" t="e">
        <f>AND('STERLING CATALOG - DRY '!A219,"AAAAAFv/+6w=")</f>
        <v>#VALUE!</v>
      </c>
      <c r="FR17" t="e">
        <f>AND('STERLING CATALOG - DRY '!B219,"AAAAAFv/+60=")</f>
        <v>#VALUE!</v>
      </c>
      <c r="FS17" t="e">
        <f>AND('STERLING CATALOG - DRY '!C219,"AAAAAFv/+64=")</f>
        <v>#VALUE!</v>
      </c>
      <c r="FT17" t="e">
        <f>AND('STERLING CATALOG - DRY '!D219,"AAAAAFv/+68=")</f>
        <v>#VALUE!</v>
      </c>
      <c r="FU17" t="e">
        <f>AND('STERLING CATALOG - DRY '!E219,"AAAAAFv/+7A=")</f>
        <v>#VALUE!</v>
      </c>
      <c r="FV17" t="e">
        <f>AND('STERLING CATALOG - DRY '!F219,"AAAAAFv/+7E=")</f>
        <v>#VALUE!</v>
      </c>
      <c r="FW17" t="e">
        <f>AND('STERLING CATALOG - DRY '!G219,"AAAAAFv/+7I=")</f>
        <v>#VALUE!</v>
      </c>
      <c r="FX17" t="e">
        <f>AND('STERLING CATALOG - DRY '!H219,"AAAAAFv/+7M=")</f>
        <v>#VALUE!</v>
      </c>
      <c r="FY17" t="e">
        <f>AND('STERLING CATALOG - DRY '!I219,"AAAAAFv/+7Q=")</f>
        <v>#VALUE!</v>
      </c>
      <c r="FZ17" t="e">
        <f>AND('STERLING CATALOG - DRY '!J219,"AAAAAFv/+7U=")</f>
        <v>#VALUE!</v>
      </c>
      <c r="GA17">
        <f>IF('STERLING CATALOG - DRY '!220:220,"AAAAAFv/+7Y=",0)</f>
        <v>0</v>
      </c>
      <c r="GB17" t="e">
        <f>AND('STERLING CATALOG - DRY '!A220,"AAAAAFv/+7c=")</f>
        <v>#VALUE!</v>
      </c>
      <c r="GC17" t="e">
        <f>AND('STERLING CATALOG - DRY '!B220,"AAAAAFv/+7g=")</f>
        <v>#VALUE!</v>
      </c>
      <c r="GD17" t="e">
        <f>AND('STERLING CATALOG - DRY '!C220,"AAAAAFv/+7k=")</f>
        <v>#VALUE!</v>
      </c>
      <c r="GE17" t="e">
        <f>AND('STERLING CATALOG - DRY '!D220,"AAAAAFv/+7o=")</f>
        <v>#VALUE!</v>
      </c>
      <c r="GF17" t="e">
        <f>AND('STERLING CATALOG - DRY '!E220,"AAAAAFv/+7s=")</f>
        <v>#VALUE!</v>
      </c>
      <c r="GG17" t="e">
        <f>AND('STERLING CATALOG - DRY '!F220,"AAAAAFv/+7w=")</f>
        <v>#VALUE!</v>
      </c>
      <c r="GH17" t="e">
        <f>AND('STERLING CATALOG - DRY '!G220,"AAAAAFv/+70=")</f>
        <v>#VALUE!</v>
      </c>
      <c r="GI17" t="e">
        <f>AND('STERLING CATALOG - DRY '!H220,"AAAAAFv/+74=")</f>
        <v>#VALUE!</v>
      </c>
      <c r="GJ17" t="e">
        <f>AND('STERLING CATALOG - DRY '!I220,"AAAAAFv/+78=")</f>
        <v>#VALUE!</v>
      </c>
      <c r="GK17" t="e">
        <f>AND('STERLING CATALOG - DRY '!J220,"AAAAAFv/+8A=")</f>
        <v>#VALUE!</v>
      </c>
      <c r="GL17">
        <f>IF('STERLING CATALOG - DRY '!221:221,"AAAAAFv/+8E=",0)</f>
        <v>0</v>
      </c>
      <c r="GM17" t="e">
        <f>AND('STERLING CATALOG - DRY '!A221,"AAAAAFv/+8I=")</f>
        <v>#VALUE!</v>
      </c>
      <c r="GN17" t="e">
        <f>AND('STERLING CATALOG - DRY '!B221,"AAAAAFv/+8M=")</f>
        <v>#VALUE!</v>
      </c>
      <c r="GO17" t="e">
        <f>AND('STERLING CATALOG - DRY '!C221,"AAAAAFv/+8Q=")</f>
        <v>#VALUE!</v>
      </c>
      <c r="GP17" t="e">
        <f>AND('STERLING CATALOG - DRY '!D221,"AAAAAFv/+8U=")</f>
        <v>#VALUE!</v>
      </c>
      <c r="GQ17" t="e">
        <f>AND('STERLING CATALOG - DRY '!E221,"AAAAAFv/+8Y=")</f>
        <v>#VALUE!</v>
      </c>
      <c r="GR17" t="e">
        <f>AND('STERLING CATALOG - DRY '!F221,"AAAAAFv/+8c=")</f>
        <v>#VALUE!</v>
      </c>
      <c r="GS17" t="e">
        <f>AND('STERLING CATALOG - DRY '!G221,"AAAAAFv/+8g=")</f>
        <v>#VALUE!</v>
      </c>
      <c r="GT17" t="e">
        <f>AND('STERLING CATALOG - DRY '!H221,"AAAAAFv/+8k=")</f>
        <v>#VALUE!</v>
      </c>
      <c r="GU17" t="e">
        <f>AND('STERLING CATALOG - DRY '!I221,"AAAAAFv/+8o=")</f>
        <v>#VALUE!</v>
      </c>
      <c r="GV17" t="e">
        <f>AND('STERLING CATALOG - DRY '!J221,"AAAAAFv/+8s=")</f>
        <v>#VALUE!</v>
      </c>
      <c r="GW17">
        <f>IF('STERLING CATALOG - DRY '!222:222,"AAAAAFv/+8w=",0)</f>
        <v>0</v>
      </c>
      <c r="GX17" t="e">
        <f>AND('STERLING CATALOG - DRY '!A222,"AAAAAFv/+80=")</f>
        <v>#VALUE!</v>
      </c>
      <c r="GY17" t="e">
        <f>AND('STERLING CATALOG - DRY '!B222,"AAAAAFv/+84=")</f>
        <v>#VALUE!</v>
      </c>
      <c r="GZ17" t="e">
        <f>AND('STERLING CATALOG - DRY '!C222,"AAAAAFv/+88=")</f>
        <v>#VALUE!</v>
      </c>
      <c r="HA17" t="e">
        <f>AND('STERLING CATALOG - DRY '!D222,"AAAAAFv/+9A=")</f>
        <v>#VALUE!</v>
      </c>
      <c r="HB17" t="e">
        <f>AND('STERLING CATALOG - DRY '!E222,"AAAAAFv/+9E=")</f>
        <v>#VALUE!</v>
      </c>
      <c r="HC17" t="e">
        <f>AND('STERLING CATALOG - DRY '!F222,"AAAAAFv/+9I=")</f>
        <v>#VALUE!</v>
      </c>
      <c r="HD17" t="e">
        <f>AND('STERLING CATALOG - DRY '!G222,"AAAAAFv/+9M=")</f>
        <v>#VALUE!</v>
      </c>
      <c r="HE17" t="e">
        <f>AND('STERLING CATALOG - DRY '!H222,"AAAAAFv/+9Q=")</f>
        <v>#VALUE!</v>
      </c>
      <c r="HF17" t="e">
        <f>AND('STERLING CATALOG - DRY '!I222,"AAAAAFv/+9U=")</f>
        <v>#VALUE!</v>
      </c>
      <c r="HG17" t="e">
        <f>AND('STERLING CATALOG - DRY '!J222,"AAAAAFv/+9Y=")</f>
        <v>#VALUE!</v>
      </c>
      <c r="HH17">
        <f>IF('STERLING CATALOG - DRY '!223:223,"AAAAAFv/+9c=",0)</f>
        <v>0</v>
      </c>
      <c r="HI17" t="e">
        <f>AND('STERLING CATALOG - DRY '!A223,"AAAAAFv/+9g=")</f>
        <v>#VALUE!</v>
      </c>
      <c r="HJ17" t="e">
        <f>AND('STERLING CATALOG - DRY '!B223,"AAAAAFv/+9k=")</f>
        <v>#VALUE!</v>
      </c>
      <c r="HK17" t="e">
        <f>AND('STERLING CATALOG - DRY '!C223,"AAAAAFv/+9o=")</f>
        <v>#VALUE!</v>
      </c>
      <c r="HL17" t="e">
        <f>AND('STERLING CATALOG - DRY '!D223,"AAAAAFv/+9s=")</f>
        <v>#VALUE!</v>
      </c>
      <c r="HM17" t="e">
        <f>AND('STERLING CATALOG - DRY '!E223,"AAAAAFv/+9w=")</f>
        <v>#VALUE!</v>
      </c>
      <c r="HN17" t="e">
        <f>AND('STERLING CATALOG - DRY '!F223,"AAAAAFv/+90=")</f>
        <v>#VALUE!</v>
      </c>
      <c r="HO17" t="e">
        <f>AND('STERLING CATALOG - DRY '!G223,"AAAAAFv/+94=")</f>
        <v>#VALUE!</v>
      </c>
      <c r="HP17" t="e">
        <f>AND('STERLING CATALOG - DRY '!H223,"AAAAAFv/+98=")</f>
        <v>#VALUE!</v>
      </c>
      <c r="HQ17" t="e">
        <f>AND('STERLING CATALOG - DRY '!I223,"AAAAAFv/++A=")</f>
        <v>#VALUE!</v>
      </c>
      <c r="HR17" t="e">
        <f>AND('STERLING CATALOG - DRY '!J223,"AAAAAFv/++E=")</f>
        <v>#VALUE!</v>
      </c>
      <c r="HS17">
        <f>IF('STERLING CATALOG - DRY '!224:224,"AAAAAFv/++I=",0)</f>
        <v>0</v>
      </c>
      <c r="HT17" t="e">
        <f>AND('STERLING CATALOG - DRY '!A224,"AAAAAFv/++M=")</f>
        <v>#VALUE!</v>
      </c>
      <c r="HU17" t="e">
        <f>AND('STERLING CATALOG - DRY '!B224,"AAAAAFv/++Q=")</f>
        <v>#VALUE!</v>
      </c>
      <c r="HV17" t="e">
        <f>AND('STERLING CATALOG - DRY '!C224,"AAAAAFv/++U=")</f>
        <v>#VALUE!</v>
      </c>
      <c r="HW17" t="e">
        <f>AND('STERLING CATALOG - DRY '!D224,"AAAAAFv/++Y=")</f>
        <v>#VALUE!</v>
      </c>
      <c r="HX17" t="e">
        <f>AND('STERLING CATALOG - DRY '!E224,"AAAAAFv/++c=")</f>
        <v>#VALUE!</v>
      </c>
      <c r="HY17" t="e">
        <f>AND('STERLING CATALOG - DRY '!F224,"AAAAAFv/++g=")</f>
        <v>#VALUE!</v>
      </c>
      <c r="HZ17" t="e">
        <f>AND('STERLING CATALOG - DRY '!G224,"AAAAAFv/++k=")</f>
        <v>#VALUE!</v>
      </c>
      <c r="IA17" t="e">
        <f>AND('STERLING CATALOG - DRY '!H224,"AAAAAFv/++o=")</f>
        <v>#VALUE!</v>
      </c>
      <c r="IB17" t="e">
        <f>AND('STERLING CATALOG - DRY '!I224,"AAAAAFv/++s=")</f>
        <v>#VALUE!</v>
      </c>
      <c r="IC17" t="e">
        <f>AND('STERLING CATALOG - DRY '!J224,"AAAAAFv/++w=")</f>
        <v>#VALUE!</v>
      </c>
      <c r="ID17">
        <f>IF('STERLING CATALOG - DRY '!225:225,"AAAAAFv/++0=",0)</f>
        <v>0</v>
      </c>
      <c r="IE17" t="e">
        <f>AND('STERLING CATALOG - DRY '!A225,"AAAAAFv/++4=")</f>
        <v>#VALUE!</v>
      </c>
      <c r="IF17" t="e">
        <f>AND('STERLING CATALOG - DRY '!B225,"AAAAAFv/++8=")</f>
        <v>#VALUE!</v>
      </c>
      <c r="IG17" t="e">
        <f>AND('STERLING CATALOG - DRY '!C225,"AAAAAFv/+/A=")</f>
        <v>#VALUE!</v>
      </c>
      <c r="IH17" t="e">
        <f>AND('STERLING CATALOG - DRY '!D225,"AAAAAFv/+/E=")</f>
        <v>#VALUE!</v>
      </c>
      <c r="II17" t="e">
        <f>AND('STERLING CATALOG - DRY '!E225,"AAAAAFv/+/I=")</f>
        <v>#VALUE!</v>
      </c>
      <c r="IJ17" t="e">
        <f>AND('STERLING CATALOG - DRY '!F225,"AAAAAFv/+/M=")</f>
        <v>#VALUE!</v>
      </c>
      <c r="IK17" t="e">
        <f>AND('STERLING CATALOG - DRY '!G225,"AAAAAFv/+/Q=")</f>
        <v>#VALUE!</v>
      </c>
      <c r="IL17" t="e">
        <f>AND('STERLING CATALOG - DRY '!H225,"AAAAAFv/+/U=")</f>
        <v>#VALUE!</v>
      </c>
      <c r="IM17" t="e">
        <f>AND('STERLING CATALOG - DRY '!I225,"AAAAAFv/+/Y=")</f>
        <v>#VALUE!</v>
      </c>
      <c r="IN17" t="e">
        <f>AND('STERLING CATALOG - DRY '!J225,"AAAAAFv/+/c=")</f>
        <v>#VALUE!</v>
      </c>
      <c r="IO17">
        <f>IF('STERLING CATALOG - DRY '!226:226,"AAAAAFv/+/g=",0)</f>
        <v>0</v>
      </c>
      <c r="IP17" t="e">
        <f>AND('STERLING CATALOG - DRY '!A226,"AAAAAFv/+/k=")</f>
        <v>#VALUE!</v>
      </c>
      <c r="IQ17" t="e">
        <f>AND('STERLING CATALOG - DRY '!B226,"AAAAAFv/+/o=")</f>
        <v>#VALUE!</v>
      </c>
      <c r="IR17" t="e">
        <f>AND('STERLING CATALOG - DRY '!C226,"AAAAAFv/+/s=")</f>
        <v>#VALUE!</v>
      </c>
      <c r="IS17" t="e">
        <f>AND('STERLING CATALOG - DRY '!D226,"AAAAAFv/+/w=")</f>
        <v>#VALUE!</v>
      </c>
      <c r="IT17" t="e">
        <f>AND('STERLING CATALOG - DRY '!E226,"AAAAAFv/+/0=")</f>
        <v>#VALUE!</v>
      </c>
      <c r="IU17" t="e">
        <f>AND('STERLING CATALOG - DRY '!F226,"AAAAAFv/+/4=")</f>
        <v>#VALUE!</v>
      </c>
      <c r="IV17" t="e">
        <f>AND('STERLING CATALOG - DRY '!G226,"AAAAAFv/+/8=")</f>
        <v>#VALUE!</v>
      </c>
    </row>
    <row r="18" spans="1:256">
      <c r="A18" t="e">
        <f>AND('STERLING CATALOG - DRY '!H226,"AAAAAHcc9wA=")</f>
        <v>#VALUE!</v>
      </c>
      <c r="B18" t="e">
        <f>AND('STERLING CATALOG - DRY '!I226,"AAAAAHcc9wE=")</f>
        <v>#VALUE!</v>
      </c>
      <c r="C18" t="e">
        <f>AND('STERLING CATALOG - DRY '!J226,"AAAAAHcc9wI=")</f>
        <v>#VALUE!</v>
      </c>
      <c r="D18" t="e">
        <f>IF('STERLING CATALOG - DRY '!227:227,"AAAAAHcc9wM=",0)</f>
        <v>#VALUE!</v>
      </c>
      <c r="E18" t="e">
        <f>AND('STERLING CATALOG - DRY '!A227,"AAAAAHcc9wQ=")</f>
        <v>#VALUE!</v>
      </c>
      <c r="F18" t="e">
        <f>AND('STERLING CATALOG - DRY '!B227,"AAAAAHcc9wU=")</f>
        <v>#VALUE!</v>
      </c>
      <c r="G18" t="e">
        <f>AND('STERLING CATALOG - DRY '!C227,"AAAAAHcc9wY=")</f>
        <v>#VALUE!</v>
      </c>
      <c r="H18" t="e">
        <f>AND('STERLING CATALOG - DRY '!D227,"AAAAAHcc9wc=")</f>
        <v>#VALUE!</v>
      </c>
      <c r="I18" t="e">
        <f>AND('STERLING CATALOG - DRY '!E227,"AAAAAHcc9wg=")</f>
        <v>#VALUE!</v>
      </c>
      <c r="J18" t="e">
        <f>AND('STERLING CATALOG - DRY '!F227,"AAAAAHcc9wk=")</f>
        <v>#VALUE!</v>
      </c>
      <c r="K18" t="e">
        <f>AND('STERLING CATALOG - DRY '!G227,"AAAAAHcc9wo=")</f>
        <v>#VALUE!</v>
      </c>
      <c r="L18" t="e">
        <f>AND('STERLING CATALOG - DRY '!H227,"AAAAAHcc9ws=")</f>
        <v>#VALUE!</v>
      </c>
      <c r="M18" t="e">
        <f>AND('STERLING CATALOG - DRY '!I227,"AAAAAHcc9ww=")</f>
        <v>#VALUE!</v>
      </c>
      <c r="N18" t="e">
        <f>AND('STERLING CATALOG - DRY '!J227,"AAAAAHcc9w0=")</f>
        <v>#VALUE!</v>
      </c>
      <c r="O18">
        <f>IF('STERLING CATALOG - DRY '!228:228,"AAAAAHcc9w4=",0)</f>
        <v>0</v>
      </c>
      <c r="P18" t="e">
        <f>AND('STERLING CATALOG - DRY '!A228,"AAAAAHcc9w8=")</f>
        <v>#VALUE!</v>
      </c>
      <c r="Q18" t="e">
        <f>AND('STERLING CATALOG - DRY '!B228,"AAAAAHcc9xA=")</f>
        <v>#VALUE!</v>
      </c>
      <c r="R18" t="e">
        <f>AND('STERLING CATALOG - DRY '!C228,"AAAAAHcc9xE=")</f>
        <v>#VALUE!</v>
      </c>
      <c r="S18" t="e">
        <f>AND('STERLING CATALOG - DRY '!D228,"AAAAAHcc9xI=")</f>
        <v>#VALUE!</v>
      </c>
      <c r="T18" t="e">
        <f>AND('STERLING CATALOG - DRY '!E228,"AAAAAHcc9xM=")</f>
        <v>#VALUE!</v>
      </c>
      <c r="U18" t="e">
        <f>AND('STERLING CATALOG - DRY '!F228,"AAAAAHcc9xQ=")</f>
        <v>#VALUE!</v>
      </c>
      <c r="V18" t="e">
        <f>AND('STERLING CATALOG - DRY '!G228,"AAAAAHcc9xU=")</f>
        <v>#VALUE!</v>
      </c>
      <c r="W18" t="e">
        <f>AND('STERLING CATALOG - DRY '!H228,"AAAAAHcc9xY=")</f>
        <v>#VALUE!</v>
      </c>
      <c r="X18" t="e">
        <f>AND('STERLING CATALOG - DRY '!I228,"AAAAAHcc9xc=")</f>
        <v>#VALUE!</v>
      </c>
      <c r="Y18" t="e">
        <f>AND('STERLING CATALOG - DRY '!J228,"AAAAAHcc9xg=")</f>
        <v>#VALUE!</v>
      </c>
      <c r="Z18">
        <f>IF('STERLING CATALOG - DRY '!229:229,"AAAAAHcc9xk=",0)</f>
        <v>0</v>
      </c>
      <c r="AA18" t="e">
        <f>AND('STERLING CATALOG - DRY '!A229,"AAAAAHcc9xo=")</f>
        <v>#VALUE!</v>
      </c>
      <c r="AB18" t="e">
        <f>AND('STERLING CATALOG - DRY '!B229,"AAAAAHcc9xs=")</f>
        <v>#VALUE!</v>
      </c>
      <c r="AC18" t="e">
        <f>AND('STERLING CATALOG - DRY '!C229,"AAAAAHcc9xw=")</f>
        <v>#VALUE!</v>
      </c>
      <c r="AD18" t="e">
        <f>AND('STERLING CATALOG - DRY '!D229,"AAAAAHcc9x0=")</f>
        <v>#VALUE!</v>
      </c>
      <c r="AE18" t="e">
        <f>AND('STERLING CATALOG - DRY '!E229,"AAAAAHcc9x4=")</f>
        <v>#VALUE!</v>
      </c>
      <c r="AF18" t="e">
        <f>AND('STERLING CATALOG - DRY '!F229,"AAAAAHcc9x8=")</f>
        <v>#VALUE!</v>
      </c>
      <c r="AG18" t="e">
        <f>AND('STERLING CATALOG - DRY '!G229,"AAAAAHcc9yA=")</f>
        <v>#VALUE!</v>
      </c>
      <c r="AH18" t="e">
        <f>AND('STERLING CATALOG - DRY '!H229,"AAAAAHcc9yE=")</f>
        <v>#VALUE!</v>
      </c>
      <c r="AI18" t="e">
        <f>AND('STERLING CATALOG - DRY '!I229,"AAAAAHcc9yI=")</f>
        <v>#VALUE!</v>
      </c>
      <c r="AJ18" t="e">
        <f>AND('STERLING CATALOG - DRY '!J229,"AAAAAHcc9yM=")</f>
        <v>#VALUE!</v>
      </c>
      <c r="AK18">
        <f>IF('STERLING CATALOG - DRY '!230:230,"AAAAAHcc9yQ=",0)</f>
        <v>0</v>
      </c>
      <c r="AL18" t="e">
        <f>AND('STERLING CATALOG - DRY '!A230,"AAAAAHcc9yU=")</f>
        <v>#VALUE!</v>
      </c>
      <c r="AM18" t="e">
        <f>AND('STERLING CATALOG - DRY '!B230,"AAAAAHcc9yY=")</f>
        <v>#VALUE!</v>
      </c>
      <c r="AN18" t="e">
        <f>AND('STERLING CATALOG - DRY '!C230,"AAAAAHcc9yc=")</f>
        <v>#VALUE!</v>
      </c>
      <c r="AO18" t="e">
        <f>AND('STERLING CATALOG - DRY '!D230,"AAAAAHcc9yg=")</f>
        <v>#VALUE!</v>
      </c>
      <c r="AP18" t="e">
        <f>AND('STERLING CATALOG - DRY '!E230,"AAAAAHcc9yk=")</f>
        <v>#VALUE!</v>
      </c>
      <c r="AQ18" t="e">
        <f>AND('STERLING CATALOG - DRY '!F230,"AAAAAHcc9yo=")</f>
        <v>#VALUE!</v>
      </c>
      <c r="AR18" t="e">
        <f>AND('STERLING CATALOG - DRY '!G230,"AAAAAHcc9ys=")</f>
        <v>#VALUE!</v>
      </c>
      <c r="AS18" t="e">
        <f>AND('STERLING CATALOG - DRY '!H230,"AAAAAHcc9yw=")</f>
        <v>#VALUE!</v>
      </c>
      <c r="AT18" t="e">
        <f>AND('STERLING CATALOG - DRY '!I230,"AAAAAHcc9y0=")</f>
        <v>#VALUE!</v>
      </c>
      <c r="AU18" t="e">
        <f>AND('STERLING CATALOG - DRY '!J230,"AAAAAHcc9y4=")</f>
        <v>#VALUE!</v>
      </c>
      <c r="AV18">
        <f>IF('STERLING CATALOG - DRY '!231:231,"AAAAAHcc9y8=",0)</f>
        <v>0</v>
      </c>
      <c r="AW18" t="e">
        <f>AND('STERLING CATALOG - DRY '!A231,"AAAAAHcc9zA=")</f>
        <v>#VALUE!</v>
      </c>
      <c r="AX18" t="e">
        <f>AND('STERLING CATALOG - DRY '!B231,"AAAAAHcc9zE=")</f>
        <v>#VALUE!</v>
      </c>
      <c r="AY18" t="e">
        <f>AND('STERLING CATALOG - DRY '!C231,"AAAAAHcc9zI=")</f>
        <v>#VALUE!</v>
      </c>
      <c r="AZ18" t="e">
        <f>AND('STERLING CATALOG - DRY '!D231,"AAAAAHcc9zM=")</f>
        <v>#VALUE!</v>
      </c>
      <c r="BA18" t="e">
        <f>AND('STERLING CATALOG - DRY '!E231,"AAAAAHcc9zQ=")</f>
        <v>#VALUE!</v>
      </c>
      <c r="BB18" t="e">
        <f>AND('STERLING CATALOG - DRY '!F231,"AAAAAHcc9zU=")</f>
        <v>#VALUE!</v>
      </c>
      <c r="BC18" t="e">
        <f>AND('STERLING CATALOG - DRY '!G231,"AAAAAHcc9zY=")</f>
        <v>#VALUE!</v>
      </c>
      <c r="BD18" t="e">
        <f>AND('STERLING CATALOG - DRY '!H231,"AAAAAHcc9zc=")</f>
        <v>#VALUE!</v>
      </c>
      <c r="BE18" t="e">
        <f>AND('STERLING CATALOG - DRY '!I231,"AAAAAHcc9zg=")</f>
        <v>#VALUE!</v>
      </c>
      <c r="BF18" t="e">
        <f>AND('STERLING CATALOG - DRY '!J231,"AAAAAHcc9zk=")</f>
        <v>#VALUE!</v>
      </c>
      <c r="BG18">
        <f>IF('STERLING CATALOG - DRY '!232:232,"AAAAAHcc9zo=",0)</f>
        <v>0</v>
      </c>
      <c r="BH18" t="e">
        <f>AND('STERLING CATALOG - DRY '!A232,"AAAAAHcc9zs=")</f>
        <v>#VALUE!</v>
      </c>
      <c r="BI18" t="e">
        <f>AND('STERLING CATALOG - DRY '!B232,"AAAAAHcc9zw=")</f>
        <v>#VALUE!</v>
      </c>
      <c r="BJ18" t="e">
        <f>AND('STERLING CATALOG - DRY '!C232,"AAAAAHcc9z0=")</f>
        <v>#VALUE!</v>
      </c>
      <c r="BK18" t="e">
        <f>AND('STERLING CATALOG - DRY '!D232,"AAAAAHcc9z4=")</f>
        <v>#VALUE!</v>
      </c>
      <c r="BL18" t="e">
        <f>AND('STERLING CATALOG - DRY '!E232,"AAAAAHcc9z8=")</f>
        <v>#VALUE!</v>
      </c>
      <c r="BM18" t="e">
        <f>AND('STERLING CATALOG - DRY '!F232,"AAAAAHcc90A=")</f>
        <v>#VALUE!</v>
      </c>
      <c r="BN18" t="e">
        <f>AND('STERLING CATALOG - DRY '!G232,"AAAAAHcc90E=")</f>
        <v>#VALUE!</v>
      </c>
      <c r="BO18" t="e">
        <f>AND('STERLING CATALOG - DRY '!H232,"AAAAAHcc90I=")</f>
        <v>#VALUE!</v>
      </c>
      <c r="BP18" t="e">
        <f>AND('STERLING CATALOG - DRY '!I232,"AAAAAHcc90M=")</f>
        <v>#VALUE!</v>
      </c>
      <c r="BQ18" t="e">
        <f>AND('STERLING CATALOG - DRY '!J232,"AAAAAHcc90Q=")</f>
        <v>#VALUE!</v>
      </c>
      <c r="BR18">
        <f>IF('STERLING CATALOG - DRY '!233:233,"AAAAAHcc90U=",0)</f>
        <v>0</v>
      </c>
      <c r="BS18" t="e">
        <f>AND('STERLING CATALOG - DRY '!A233,"AAAAAHcc90Y=")</f>
        <v>#VALUE!</v>
      </c>
      <c r="BT18" t="e">
        <f>AND('STERLING CATALOG - DRY '!B233,"AAAAAHcc90c=")</f>
        <v>#VALUE!</v>
      </c>
      <c r="BU18" t="e">
        <f>AND('STERLING CATALOG - DRY '!C233,"AAAAAHcc90g=")</f>
        <v>#VALUE!</v>
      </c>
      <c r="BV18" t="e">
        <f>AND('STERLING CATALOG - DRY '!D233,"AAAAAHcc90k=")</f>
        <v>#VALUE!</v>
      </c>
      <c r="BW18" t="e">
        <f>AND('STERLING CATALOG - DRY '!E233,"AAAAAHcc90o=")</f>
        <v>#VALUE!</v>
      </c>
      <c r="BX18" t="e">
        <f>AND('STERLING CATALOG - DRY '!F233,"AAAAAHcc90s=")</f>
        <v>#VALUE!</v>
      </c>
      <c r="BY18" t="e">
        <f>AND('STERLING CATALOG - DRY '!G233,"AAAAAHcc90w=")</f>
        <v>#VALUE!</v>
      </c>
      <c r="BZ18" t="e">
        <f>AND('STERLING CATALOG - DRY '!H233,"AAAAAHcc900=")</f>
        <v>#VALUE!</v>
      </c>
      <c r="CA18" t="e">
        <f>AND('STERLING CATALOG - DRY '!I233,"AAAAAHcc904=")</f>
        <v>#VALUE!</v>
      </c>
      <c r="CB18" t="e">
        <f>AND('STERLING CATALOG - DRY '!J233,"AAAAAHcc908=")</f>
        <v>#VALUE!</v>
      </c>
      <c r="CC18">
        <f>IF('STERLING CATALOG - DRY '!234:234,"AAAAAHcc91A=",0)</f>
        <v>0</v>
      </c>
      <c r="CD18" t="e">
        <f>AND('STERLING CATALOG - DRY '!A234,"AAAAAHcc91E=")</f>
        <v>#VALUE!</v>
      </c>
      <c r="CE18" t="e">
        <f>AND('STERLING CATALOG - DRY '!B234,"AAAAAHcc91I=")</f>
        <v>#VALUE!</v>
      </c>
      <c r="CF18" t="e">
        <f>AND('STERLING CATALOG - DRY '!C234,"AAAAAHcc91M=")</f>
        <v>#VALUE!</v>
      </c>
      <c r="CG18" t="e">
        <f>AND('STERLING CATALOG - DRY '!D234,"AAAAAHcc91Q=")</f>
        <v>#VALUE!</v>
      </c>
      <c r="CH18" t="e">
        <f>AND('STERLING CATALOG - DRY '!E234,"AAAAAHcc91U=")</f>
        <v>#VALUE!</v>
      </c>
      <c r="CI18" t="e">
        <f>AND('STERLING CATALOG - DRY '!F234,"AAAAAHcc91Y=")</f>
        <v>#VALUE!</v>
      </c>
      <c r="CJ18" t="e">
        <f>AND('STERLING CATALOG - DRY '!G234,"AAAAAHcc91c=")</f>
        <v>#VALUE!</v>
      </c>
      <c r="CK18" t="e">
        <f>AND('STERLING CATALOG - DRY '!H234,"AAAAAHcc91g=")</f>
        <v>#VALUE!</v>
      </c>
      <c r="CL18" t="e">
        <f>AND('STERLING CATALOG - DRY '!I234,"AAAAAHcc91k=")</f>
        <v>#VALUE!</v>
      </c>
      <c r="CM18" t="e">
        <f>AND('STERLING CATALOG - DRY '!J234,"AAAAAHcc91o=")</f>
        <v>#VALUE!</v>
      </c>
      <c r="CN18">
        <f>IF('STERLING CATALOG - DRY '!235:235,"AAAAAHcc91s=",0)</f>
        <v>0</v>
      </c>
      <c r="CO18" t="e">
        <f>AND('STERLING CATALOG - DRY '!A235,"AAAAAHcc91w=")</f>
        <v>#VALUE!</v>
      </c>
      <c r="CP18" t="e">
        <f>AND('STERLING CATALOG - DRY '!B235,"AAAAAHcc910=")</f>
        <v>#VALUE!</v>
      </c>
      <c r="CQ18" t="e">
        <f>AND('STERLING CATALOG - DRY '!C235,"AAAAAHcc914=")</f>
        <v>#VALUE!</v>
      </c>
      <c r="CR18" t="e">
        <f>AND('STERLING CATALOG - DRY '!D235,"AAAAAHcc918=")</f>
        <v>#VALUE!</v>
      </c>
      <c r="CS18" t="e">
        <f>AND('STERLING CATALOG - DRY '!E235,"AAAAAHcc92A=")</f>
        <v>#VALUE!</v>
      </c>
      <c r="CT18" t="e">
        <f>AND('STERLING CATALOG - DRY '!F235,"AAAAAHcc92E=")</f>
        <v>#VALUE!</v>
      </c>
      <c r="CU18" t="e">
        <f>AND('STERLING CATALOG - DRY '!G235,"AAAAAHcc92I=")</f>
        <v>#VALUE!</v>
      </c>
      <c r="CV18" t="e">
        <f>AND('STERLING CATALOG - DRY '!H235,"AAAAAHcc92M=")</f>
        <v>#VALUE!</v>
      </c>
      <c r="CW18" t="e">
        <f>AND('STERLING CATALOG - DRY '!I235,"AAAAAHcc92Q=")</f>
        <v>#VALUE!</v>
      </c>
      <c r="CX18" t="e">
        <f>AND('STERLING CATALOG - DRY '!J235,"AAAAAHcc92U=")</f>
        <v>#VALUE!</v>
      </c>
      <c r="CY18">
        <f>IF('STERLING CATALOG - DRY '!236:236,"AAAAAHcc92Y=",0)</f>
        <v>0</v>
      </c>
      <c r="CZ18" t="e">
        <f>AND('STERLING CATALOG - DRY '!A236,"AAAAAHcc92c=")</f>
        <v>#VALUE!</v>
      </c>
      <c r="DA18" t="e">
        <f>AND('STERLING CATALOG - DRY '!B236,"AAAAAHcc92g=")</f>
        <v>#VALUE!</v>
      </c>
      <c r="DB18" t="e">
        <f>AND('STERLING CATALOG - DRY '!C236,"AAAAAHcc92k=")</f>
        <v>#VALUE!</v>
      </c>
      <c r="DC18" t="e">
        <f>AND('STERLING CATALOG - DRY '!D236,"AAAAAHcc92o=")</f>
        <v>#VALUE!</v>
      </c>
      <c r="DD18" t="e">
        <f>AND('STERLING CATALOG - DRY '!E236,"AAAAAHcc92s=")</f>
        <v>#VALUE!</v>
      </c>
      <c r="DE18" t="e">
        <f>AND('STERLING CATALOG - DRY '!F236,"AAAAAHcc92w=")</f>
        <v>#VALUE!</v>
      </c>
      <c r="DF18" t="e">
        <f>AND('STERLING CATALOG - DRY '!G236,"AAAAAHcc920=")</f>
        <v>#VALUE!</v>
      </c>
      <c r="DG18" t="e">
        <f>AND('STERLING CATALOG - DRY '!H236,"AAAAAHcc924=")</f>
        <v>#VALUE!</v>
      </c>
      <c r="DH18" t="e">
        <f>AND('STERLING CATALOG - DRY '!I236,"AAAAAHcc928=")</f>
        <v>#VALUE!</v>
      </c>
      <c r="DI18" t="e">
        <f>AND('STERLING CATALOG - DRY '!J236,"AAAAAHcc93A=")</f>
        <v>#VALUE!</v>
      </c>
      <c r="DJ18">
        <f>IF('STERLING CATALOG - DRY '!237:237,"AAAAAHcc93E=",0)</f>
        <v>0</v>
      </c>
      <c r="DK18" t="e">
        <f>AND('STERLING CATALOG - DRY '!A237,"AAAAAHcc93I=")</f>
        <v>#VALUE!</v>
      </c>
      <c r="DL18" t="e">
        <f>AND('STERLING CATALOG - DRY '!B237,"AAAAAHcc93M=")</f>
        <v>#VALUE!</v>
      </c>
      <c r="DM18" t="e">
        <f>AND('STERLING CATALOG - DRY '!C237,"AAAAAHcc93Q=")</f>
        <v>#VALUE!</v>
      </c>
      <c r="DN18" t="e">
        <f>AND('STERLING CATALOG - DRY '!D237,"AAAAAHcc93U=")</f>
        <v>#VALUE!</v>
      </c>
      <c r="DO18" t="e">
        <f>AND('STERLING CATALOG - DRY '!E237,"AAAAAHcc93Y=")</f>
        <v>#VALUE!</v>
      </c>
      <c r="DP18" t="e">
        <f>AND('STERLING CATALOG - DRY '!F237,"AAAAAHcc93c=")</f>
        <v>#VALUE!</v>
      </c>
      <c r="DQ18" t="e">
        <f>AND('STERLING CATALOG - DRY '!G237,"AAAAAHcc93g=")</f>
        <v>#VALUE!</v>
      </c>
      <c r="DR18" t="e">
        <f>AND('STERLING CATALOG - DRY '!H237,"AAAAAHcc93k=")</f>
        <v>#VALUE!</v>
      </c>
      <c r="DS18" t="e">
        <f>AND('STERLING CATALOG - DRY '!I237,"AAAAAHcc93o=")</f>
        <v>#VALUE!</v>
      </c>
      <c r="DT18" t="e">
        <f>AND('STERLING CATALOG - DRY '!J237,"AAAAAHcc93s=")</f>
        <v>#VALUE!</v>
      </c>
      <c r="DU18">
        <f>IF('STERLING CATALOG - DRY '!238:238,"AAAAAHcc93w=",0)</f>
        <v>0</v>
      </c>
      <c r="DV18" t="e">
        <f>AND('STERLING CATALOG - DRY '!A238,"AAAAAHcc930=")</f>
        <v>#VALUE!</v>
      </c>
      <c r="DW18" t="e">
        <f>AND('STERLING CATALOG - DRY '!B238,"AAAAAHcc934=")</f>
        <v>#VALUE!</v>
      </c>
      <c r="DX18" t="e">
        <f>AND('STERLING CATALOG - DRY '!C238,"AAAAAHcc938=")</f>
        <v>#VALUE!</v>
      </c>
      <c r="DY18" t="e">
        <f>AND('STERLING CATALOG - DRY '!D238,"AAAAAHcc94A=")</f>
        <v>#VALUE!</v>
      </c>
      <c r="DZ18" t="e">
        <f>AND('STERLING CATALOG - DRY '!E238,"AAAAAHcc94E=")</f>
        <v>#VALUE!</v>
      </c>
      <c r="EA18" t="e">
        <f>AND('STERLING CATALOG - DRY '!F238,"AAAAAHcc94I=")</f>
        <v>#VALUE!</v>
      </c>
      <c r="EB18" t="e">
        <f>AND('STERLING CATALOG - DRY '!G238,"AAAAAHcc94M=")</f>
        <v>#VALUE!</v>
      </c>
      <c r="EC18" t="e">
        <f>AND('STERLING CATALOG - DRY '!H238,"AAAAAHcc94Q=")</f>
        <v>#VALUE!</v>
      </c>
      <c r="ED18" t="e">
        <f>AND('STERLING CATALOG - DRY '!I238,"AAAAAHcc94U=")</f>
        <v>#VALUE!</v>
      </c>
      <c r="EE18" t="e">
        <f>AND('STERLING CATALOG - DRY '!J238,"AAAAAHcc94Y=")</f>
        <v>#VALUE!</v>
      </c>
      <c r="EF18">
        <f>IF('STERLING CATALOG - DRY '!239:239,"AAAAAHcc94c=",0)</f>
        <v>0</v>
      </c>
      <c r="EG18" t="e">
        <f>AND('STERLING CATALOG - DRY '!A239,"AAAAAHcc94g=")</f>
        <v>#VALUE!</v>
      </c>
      <c r="EH18" t="e">
        <f>AND('STERLING CATALOG - DRY '!B239,"AAAAAHcc94k=")</f>
        <v>#VALUE!</v>
      </c>
      <c r="EI18" t="e">
        <f>AND('STERLING CATALOG - DRY '!C239,"AAAAAHcc94o=")</f>
        <v>#VALUE!</v>
      </c>
      <c r="EJ18" t="e">
        <f>AND('STERLING CATALOG - DRY '!D239,"AAAAAHcc94s=")</f>
        <v>#VALUE!</v>
      </c>
      <c r="EK18" t="e">
        <f>AND('STERLING CATALOG - DRY '!E239,"AAAAAHcc94w=")</f>
        <v>#VALUE!</v>
      </c>
      <c r="EL18" t="e">
        <f>AND('STERLING CATALOG - DRY '!F239,"AAAAAHcc940=")</f>
        <v>#VALUE!</v>
      </c>
      <c r="EM18" t="e">
        <f>AND('STERLING CATALOG - DRY '!G239,"AAAAAHcc944=")</f>
        <v>#VALUE!</v>
      </c>
      <c r="EN18" t="e">
        <f>AND('STERLING CATALOG - DRY '!H239,"AAAAAHcc948=")</f>
        <v>#VALUE!</v>
      </c>
      <c r="EO18" t="e">
        <f>AND('STERLING CATALOG - DRY '!I239,"AAAAAHcc95A=")</f>
        <v>#VALUE!</v>
      </c>
      <c r="EP18" t="e">
        <f>AND('STERLING CATALOG - DRY '!J239,"AAAAAHcc95E=")</f>
        <v>#VALUE!</v>
      </c>
      <c r="EQ18">
        <f>IF('STERLING CATALOG - DRY '!240:240,"AAAAAHcc95I=",0)</f>
        <v>0</v>
      </c>
      <c r="ER18" t="e">
        <f>AND('STERLING CATALOG - DRY '!A240,"AAAAAHcc95M=")</f>
        <v>#VALUE!</v>
      </c>
      <c r="ES18" t="e">
        <f>AND('STERLING CATALOG - DRY '!B240,"AAAAAHcc95Q=")</f>
        <v>#VALUE!</v>
      </c>
      <c r="ET18" t="e">
        <f>AND('STERLING CATALOG - DRY '!C240,"AAAAAHcc95U=")</f>
        <v>#VALUE!</v>
      </c>
      <c r="EU18" t="e">
        <f>AND('STERLING CATALOG - DRY '!D240,"AAAAAHcc95Y=")</f>
        <v>#VALUE!</v>
      </c>
      <c r="EV18" t="e">
        <f>AND('STERLING CATALOG - DRY '!E240,"AAAAAHcc95c=")</f>
        <v>#VALUE!</v>
      </c>
      <c r="EW18" t="e">
        <f>AND('STERLING CATALOG - DRY '!F240,"AAAAAHcc95g=")</f>
        <v>#VALUE!</v>
      </c>
      <c r="EX18" t="e">
        <f>AND('STERLING CATALOG - DRY '!G240,"AAAAAHcc95k=")</f>
        <v>#VALUE!</v>
      </c>
      <c r="EY18" t="e">
        <f>AND('STERLING CATALOG - DRY '!H240,"AAAAAHcc95o=")</f>
        <v>#VALUE!</v>
      </c>
      <c r="EZ18" t="e">
        <f>AND('STERLING CATALOG - DRY '!I240,"AAAAAHcc95s=")</f>
        <v>#VALUE!</v>
      </c>
      <c r="FA18" t="e">
        <f>AND('STERLING CATALOG - DRY '!J240,"AAAAAHcc95w=")</f>
        <v>#VALUE!</v>
      </c>
      <c r="FB18">
        <f>IF('STERLING CATALOG - DRY '!241:241,"AAAAAHcc950=",0)</f>
        <v>0</v>
      </c>
      <c r="FC18" t="e">
        <f>AND('STERLING CATALOG - DRY '!A241,"AAAAAHcc954=")</f>
        <v>#VALUE!</v>
      </c>
      <c r="FD18" t="e">
        <f>AND('STERLING CATALOG - DRY '!B241,"AAAAAHcc958=")</f>
        <v>#VALUE!</v>
      </c>
      <c r="FE18" t="e">
        <f>AND('STERLING CATALOG - DRY '!C241,"AAAAAHcc96A=")</f>
        <v>#VALUE!</v>
      </c>
      <c r="FF18" t="e">
        <f>AND('STERLING CATALOG - DRY '!D241,"AAAAAHcc96E=")</f>
        <v>#VALUE!</v>
      </c>
      <c r="FG18" t="e">
        <f>AND('STERLING CATALOG - DRY '!E241,"AAAAAHcc96I=")</f>
        <v>#VALUE!</v>
      </c>
      <c r="FH18" t="e">
        <f>AND('STERLING CATALOG - DRY '!F241,"AAAAAHcc96M=")</f>
        <v>#VALUE!</v>
      </c>
      <c r="FI18" t="e">
        <f>AND('STERLING CATALOG - DRY '!G241,"AAAAAHcc96Q=")</f>
        <v>#VALUE!</v>
      </c>
      <c r="FJ18" t="e">
        <f>AND('STERLING CATALOG - DRY '!H241,"AAAAAHcc96U=")</f>
        <v>#VALUE!</v>
      </c>
      <c r="FK18" t="e">
        <f>AND('STERLING CATALOG - DRY '!I241,"AAAAAHcc96Y=")</f>
        <v>#VALUE!</v>
      </c>
      <c r="FL18" t="e">
        <f>AND('STERLING CATALOG - DRY '!J241,"AAAAAHcc96c=")</f>
        <v>#VALUE!</v>
      </c>
      <c r="FM18">
        <f>IF('STERLING CATALOG - DRY '!242:242,"AAAAAHcc96g=",0)</f>
        <v>0</v>
      </c>
      <c r="FN18" t="e">
        <f>AND('STERLING CATALOG - DRY '!A242,"AAAAAHcc96k=")</f>
        <v>#VALUE!</v>
      </c>
      <c r="FO18" t="e">
        <f>AND('STERLING CATALOG - DRY '!B242,"AAAAAHcc96o=")</f>
        <v>#VALUE!</v>
      </c>
      <c r="FP18" t="e">
        <f>AND('STERLING CATALOG - DRY '!C242,"AAAAAHcc96s=")</f>
        <v>#VALUE!</v>
      </c>
      <c r="FQ18" t="e">
        <f>AND('STERLING CATALOG - DRY '!D242,"AAAAAHcc96w=")</f>
        <v>#VALUE!</v>
      </c>
      <c r="FR18" t="e">
        <f>AND('STERLING CATALOG - DRY '!E242,"AAAAAHcc960=")</f>
        <v>#VALUE!</v>
      </c>
      <c r="FS18" t="e">
        <f>AND('STERLING CATALOG - DRY '!F242,"AAAAAHcc964=")</f>
        <v>#VALUE!</v>
      </c>
      <c r="FT18" t="e">
        <f>AND('STERLING CATALOG - DRY '!G242,"AAAAAHcc968=")</f>
        <v>#VALUE!</v>
      </c>
      <c r="FU18" t="e">
        <f>AND('STERLING CATALOG - DRY '!H242,"AAAAAHcc97A=")</f>
        <v>#VALUE!</v>
      </c>
      <c r="FV18" t="e">
        <f>AND('STERLING CATALOG - DRY '!I242,"AAAAAHcc97E=")</f>
        <v>#VALUE!</v>
      </c>
      <c r="FW18" t="e">
        <f>AND('STERLING CATALOG - DRY '!J242,"AAAAAHcc97I=")</f>
        <v>#VALUE!</v>
      </c>
      <c r="FX18">
        <f>IF('STERLING CATALOG - DRY '!243:243,"AAAAAHcc97M=",0)</f>
        <v>0</v>
      </c>
      <c r="FY18" t="e">
        <f>AND('STERLING CATALOG - DRY '!A243,"AAAAAHcc97Q=")</f>
        <v>#VALUE!</v>
      </c>
      <c r="FZ18" t="e">
        <f>AND('STERLING CATALOG - DRY '!B243,"AAAAAHcc97U=")</f>
        <v>#VALUE!</v>
      </c>
      <c r="GA18" t="e">
        <f>AND('STERLING CATALOG - DRY '!C243,"AAAAAHcc97Y=")</f>
        <v>#VALUE!</v>
      </c>
      <c r="GB18" t="e">
        <f>AND('STERLING CATALOG - DRY '!D243,"AAAAAHcc97c=")</f>
        <v>#VALUE!</v>
      </c>
      <c r="GC18" t="e">
        <f>AND('STERLING CATALOG - DRY '!E243,"AAAAAHcc97g=")</f>
        <v>#VALUE!</v>
      </c>
      <c r="GD18" t="e">
        <f>AND('STERLING CATALOG - DRY '!F243,"AAAAAHcc97k=")</f>
        <v>#VALUE!</v>
      </c>
      <c r="GE18" t="e">
        <f>AND('STERLING CATALOG - DRY '!G243,"AAAAAHcc97o=")</f>
        <v>#VALUE!</v>
      </c>
      <c r="GF18" t="e">
        <f>AND('STERLING CATALOG - DRY '!H243,"AAAAAHcc97s=")</f>
        <v>#VALUE!</v>
      </c>
      <c r="GG18" t="e">
        <f>AND('STERLING CATALOG - DRY '!I243,"AAAAAHcc97w=")</f>
        <v>#VALUE!</v>
      </c>
      <c r="GH18" t="e">
        <f>AND('STERLING CATALOG - DRY '!J243,"AAAAAHcc970=")</f>
        <v>#VALUE!</v>
      </c>
      <c r="GI18">
        <f>IF('STERLING CATALOG - DRY '!244:244,"AAAAAHcc974=",0)</f>
        <v>0</v>
      </c>
      <c r="GJ18" t="e">
        <f>AND('STERLING CATALOG - DRY '!A244,"AAAAAHcc978=")</f>
        <v>#VALUE!</v>
      </c>
      <c r="GK18" t="e">
        <f>AND('STERLING CATALOG - DRY '!B244,"AAAAAHcc98A=")</f>
        <v>#VALUE!</v>
      </c>
      <c r="GL18" t="e">
        <f>AND('STERLING CATALOG - DRY '!C244,"AAAAAHcc98E=")</f>
        <v>#VALUE!</v>
      </c>
      <c r="GM18" t="e">
        <f>AND('STERLING CATALOG - DRY '!D244,"AAAAAHcc98I=")</f>
        <v>#VALUE!</v>
      </c>
      <c r="GN18" t="e">
        <f>AND('STERLING CATALOG - DRY '!E244,"AAAAAHcc98M=")</f>
        <v>#VALUE!</v>
      </c>
      <c r="GO18" t="e">
        <f>AND('STERLING CATALOG - DRY '!F244,"AAAAAHcc98Q=")</f>
        <v>#VALUE!</v>
      </c>
      <c r="GP18" t="e">
        <f>AND('STERLING CATALOG - DRY '!G244,"AAAAAHcc98U=")</f>
        <v>#VALUE!</v>
      </c>
      <c r="GQ18" t="e">
        <f>AND('STERLING CATALOG - DRY '!H244,"AAAAAHcc98Y=")</f>
        <v>#VALUE!</v>
      </c>
      <c r="GR18" t="e">
        <f>AND('STERLING CATALOG - DRY '!I244,"AAAAAHcc98c=")</f>
        <v>#VALUE!</v>
      </c>
      <c r="GS18" t="e">
        <f>AND('STERLING CATALOG - DRY '!J244,"AAAAAHcc98g=")</f>
        <v>#VALUE!</v>
      </c>
      <c r="GT18">
        <f>IF('STERLING CATALOG - DRY '!245:245,"AAAAAHcc98k=",0)</f>
        <v>0</v>
      </c>
      <c r="GU18" t="e">
        <f>AND('STERLING CATALOG - DRY '!A245,"AAAAAHcc98o=")</f>
        <v>#VALUE!</v>
      </c>
      <c r="GV18" t="e">
        <f>AND('STERLING CATALOG - DRY '!B245,"AAAAAHcc98s=")</f>
        <v>#VALUE!</v>
      </c>
      <c r="GW18" t="e">
        <f>AND('STERLING CATALOG - DRY '!C245,"AAAAAHcc98w=")</f>
        <v>#VALUE!</v>
      </c>
      <c r="GX18" t="e">
        <f>AND('STERLING CATALOG - DRY '!D245,"AAAAAHcc980=")</f>
        <v>#VALUE!</v>
      </c>
      <c r="GY18" t="e">
        <f>AND('STERLING CATALOG - DRY '!E245,"AAAAAHcc984=")</f>
        <v>#VALUE!</v>
      </c>
      <c r="GZ18" t="e">
        <f>AND('STERLING CATALOG - DRY '!F245,"AAAAAHcc988=")</f>
        <v>#VALUE!</v>
      </c>
      <c r="HA18" t="e">
        <f>AND('STERLING CATALOG - DRY '!G245,"AAAAAHcc99A=")</f>
        <v>#VALUE!</v>
      </c>
      <c r="HB18" t="e">
        <f>AND('STERLING CATALOG - DRY '!H245,"AAAAAHcc99E=")</f>
        <v>#VALUE!</v>
      </c>
      <c r="HC18" t="e">
        <f>AND('STERLING CATALOG - DRY '!I245,"AAAAAHcc99I=")</f>
        <v>#VALUE!</v>
      </c>
      <c r="HD18" t="e">
        <f>AND('STERLING CATALOG - DRY '!J245,"AAAAAHcc99M=")</f>
        <v>#VALUE!</v>
      </c>
      <c r="HE18">
        <f>IF('STERLING CATALOG - DRY '!246:246,"AAAAAHcc99Q=",0)</f>
        <v>0</v>
      </c>
      <c r="HF18" t="e">
        <f>AND('STERLING CATALOG - DRY '!A246,"AAAAAHcc99U=")</f>
        <v>#VALUE!</v>
      </c>
      <c r="HG18" t="e">
        <f>AND('STERLING CATALOG - DRY '!B246,"AAAAAHcc99Y=")</f>
        <v>#VALUE!</v>
      </c>
      <c r="HH18" t="e">
        <f>AND('STERLING CATALOG - DRY '!C246,"AAAAAHcc99c=")</f>
        <v>#VALUE!</v>
      </c>
      <c r="HI18" t="e">
        <f>AND('STERLING CATALOG - DRY '!D246,"AAAAAHcc99g=")</f>
        <v>#VALUE!</v>
      </c>
      <c r="HJ18" t="e">
        <f>AND('STERLING CATALOG - DRY '!E246,"AAAAAHcc99k=")</f>
        <v>#VALUE!</v>
      </c>
      <c r="HK18" t="e">
        <f>AND('STERLING CATALOG - DRY '!F246,"AAAAAHcc99o=")</f>
        <v>#VALUE!</v>
      </c>
      <c r="HL18" t="e">
        <f>AND('STERLING CATALOG - DRY '!G246,"AAAAAHcc99s=")</f>
        <v>#VALUE!</v>
      </c>
      <c r="HM18" t="e">
        <f>AND('STERLING CATALOG - DRY '!H246,"AAAAAHcc99w=")</f>
        <v>#VALUE!</v>
      </c>
      <c r="HN18" t="e">
        <f>AND('STERLING CATALOG - DRY '!I246,"AAAAAHcc990=")</f>
        <v>#VALUE!</v>
      </c>
      <c r="HO18" t="e">
        <f>AND('STERLING CATALOG - DRY '!J246,"AAAAAHcc994=")</f>
        <v>#VALUE!</v>
      </c>
      <c r="HP18">
        <f>IF('STERLING CATALOG - DRY '!247:247,"AAAAAHcc998=",0)</f>
        <v>0</v>
      </c>
      <c r="HQ18" t="e">
        <f>AND('STERLING CATALOG - DRY '!A247,"AAAAAHcc9+A=")</f>
        <v>#VALUE!</v>
      </c>
      <c r="HR18" t="e">
        <f>AND('STERLING CATALOG - DRY '!B247,"AAAAAHcc9+E=")</f>
        <v>#VALUE!</v>
      </c>
      <c r="HS18" t="e">
        <f>AND('STERLING CATALOG - DRY '!C247,"AAAAAHcc9+I=")</f>
        <v>#VALUE!</v>
      </c>
      <c r="HT18" t="e">
        <f>AND('STERLING CATALOG - DRY '!D247,"AAAAAHcc9+M=")</f>
        <v>#VALUE!</v>
      </c>
      <c r="HU18" t="e">
        <f>AND('STERLING CATALOG - DRY '!E247,"AAAAAHcc9+Q=")</f>
        <v>#VALUE!</v>
      </c>
      <c r="HV18" t="e">
        <f>AND('STERLING CATALOG - DRY '!F247,"AAAAAHcc9+U=")</f>
        <v>#VALUE!</v>
      </c>
      <c r="HW18" t="e">
        <f>AND('STERLING CATALOG - DRY '!G247,"AAAAAHcc9+Y=")</f>
        <v>#VALUE!</v>
      </c>
      <c r="HX18" t="e">
        <f>AND('STERLING CATALOG - DRY '!H247,"AAAAAHcc9+c=")</f>
        <v>#VALUE!</v>
      </c>
      <c r="HY18" t="e">
        <f>AND('STERLING CATALOG - DRY '!I247,"AAAAAHcc9+g=")</f>
        <v>#VALUE!</v>
      </c>
      <c r="HZ18" t="e">
        <f>AND('STERLING CATALOG - DRY '!J247,"AAAAAHcc9+k=")</f>
        <v>#VALUE!</v>
      </c>
      <c r="IA18">
        <f>IF('STERLING CATALOG - DRY '!248:248,"AAAAAHcc9+o=",0)</f>
        <v>0</v>
      </c>
      <c r="IB18" t="e">
        <f>AND('STERLING CATALOG - DRY '!A248,"AAAAAHcc9+s=")</f>
        <v>#VALUE!</v>
      </c>
      <c r="IC18" t="e">
        <f>AND('STERLING CATALOG - DRY '!B248,"AAAAAHcc9+w=")</f>
        <v>#VALUE!</v>
      </c>
      <c r="ID18" t="e">
        <f>AND('STERLING CATALOG - DRY '!C248,"AAAAAHcc9+0=")</f>
        <v>#VALUE!</v>
      </c>
      <c r="IE18" t="e">
        <f>AND('STERLING CATALOG - DRY '!D248,"AAAAAHcc9+4=")</f>
        <v>#VALUE!</v>
      </c>
      <c r="IF18" t="e">
        <f>AND('STERLING CATALOG - DRY '!E248,"AAAAAHcc9+8=")</f>
        <v>#VALUE!</v>
      </c>
      <c r="IG18" t="e">
        <f>AND('STERLING CATALOG - DRY '!F248,"AAAAAHcc9/A=")</f>
        <v>#VALUE!</v>
      </c>
      <c r="IH18" t="e">
        <f>AND('STERLING CATALOG - DRY '!G248,"AAAAAHcc9/E=")</f>
        <v>#VALUE!</v>
      </c>
      <c r="II18" t="e">
        <f>AND('STERLING CATALOG - DRY '!H248,"AAAAAHcc9/I=")</f>
        <v>#VALUE!</v>
      </c>
      <c r="IJ18" t="e">
        <f>AND('STERLING CATALOG - DRY '!I248,"AAAAAHcc9/M=")</f>
        <v>#VALUE!</v>
      </c>
      <c r="IK18" t="e">
        <f>AND('STERLING CATALOG - DRY '!J248,"AAAAAHcc9/Q=")</f>
        <v>#VALUE!</v>
      </c>
      <c r="IL18">
        <f>IF('STERLING CATALOG - DRY '!249:249,"AAAAAHcc9/U=",0)</f>
        <v>0</v>
      </c>
      <c r="IM18" t="e">
        <f>AND('STERLING CATALOG - DRY '!A249,"AAAAAHcc9/Y=")</f>
        <v>#VALUE!</v>
      </c>
      <c r="IN18" t="e">
        <f>AND('STERLING CATALOG - DRY '!B249,"AAAAAHcc9/c=")</f>
        <v>#VALUE!</v>
      </c>
      <c r="IO18" t="e">
        <f>AND('STERLING CATALOG - DRY '!C249,"AAAAAHcc9/g=")</f>
        <v>#VALUE!</v>
      </c>
      <c r="IP18" t="e">
        <f>AND('STERLING CATALOG - DRY '!D249,"AAAAAHcc9/k=")</f>
        <v>#VALUE!</v>
      </c>
      <c r="IQ18" t="e">
        <f>AND('STERLING CATALOG - DRY '!E249,"AAAAAHcc9/o=")</f>
        <v>#VALUE!</v>
      </c>
      <c r="IR18" t="e">
        <f>AND('STERLING CATALOG - DRY '!F249,"AAAAAHcc9/s=")</f>
        <v>#VALUE!</v>
      </c>
      <c r="IS18" t="e">
        <f>AND('STERLING CATALOG - DRY '!G249,"AAAAAHcc9/w=")</f>
        <v>#VALUE!</v>
      </c>
      <c r="IT18" t="e">
        <f>AND('STERLING CATALOG - DRY '!H249,"AAAAAHcc9/0=")</f>
        <v>#VALUE!</v>
      </c>
      <c r="IU18" t="e">
        <f>AND('STERLING CATALOG - DRY '!I249,"AAAAAHcc9/4=")</f>
        <v>#VALUE!</v>
      </c>
      <c r="IV18" t="e">
        <f>AND('STERLING CATALOG - DRY '!J249,"AAAAAHcc9/8=")</f>
        <v>#VALUE!</v>
      </c>
    </row>
    <row r="19" spans="1:256">
      <c r="A19" t="str">
        <f>IF('STERLING CATALOG - DRY '!250:250,"AAAAAG+LewA=",0)</f>
        <v>AAAAAG+LewA=</v>
      </c>
      <c r="B19" t="e">
        <f>AND('STERLING CATALOG - DRY '!A250,"AAAAAG+LewE=")</f>
        <v>#VALUE!</v>
      </c>
      <c r="C19" t="e">
        <f>AND('STERLING CATALOG - DRY '!B250,"AAAAAG+LewI=")</f>
        <v>#VALUE!</v>
      </c>
      <c r="D19" t="e">
        <f>AND('STERLING CATALOG - DRY '!C250,"AAAAAG+LewM=")</f>
        <v>#VALUE!</v>
      </c>
      <c r="E19" t="e">
        <f>AND('STERLING CATALOG - DRY '!D250,"AAAAAG+LewQ=")</f>
        <v>#VALUE!</v>
      </c>
      <c r="F19" t="e">
        <f>AND('STERLING CATALOG - DRY '!E250,"AAAAAG+LewU=")</f>
        <v>#VALUE!</v>
      </c>
      <c r="G19" t="e">
        <f>AND('STERLING CATALOG - DRY '!F250,"AAAAAG+LewY=")</f>
        <v>#VALUE!</v>
      </c>
      <c r="H19" t="e">
        <f>AND('STERLING CATALOG - DRY '!G250,"AAAAAG+Lewc=")</f>
        <v>#VALUE!</v>
      </c>
      <c r="I19" t="e">
        <f>AND('STERLING CATALOG - DRY '!H250,"AAAAAG+Lewg=")</f>
        <v>#VALUE!</v>
      </c>
      <c r="J19" t="e">
        <f>AND('STERLING CATALOG - DRY '!I250,"AAAAAG+Lewk=")</f>
        <v>#VALUE!</v>
      </c>
      <c r="K19" t="e">
        <f>AND('STERLING CATALOG - DRY '!J250,"AAAAAG+Lewo=")</f>
        <v>#VALUE!</v>
      </c>
      <c r="L19">
        <f>IF('STERLING CATALOG - DRY '!251:251,"AAAAAG+Lews=",0)</f>
        <v>0</v>
      </c>
      <c r="M19" t="e">
        <f>AND('STERLING CATALOG - DRY '!A251,"AAAAAG+Leww=")</f>
        <v>#VALUE!</v>
      </c>
      <c r="N19" t="e">
        <f>AND('STERLING CATALOG - DRY '!B251,"AAAAAG+Lew0=")</f>
        <v>#VALUE!</v>
      </c>
      <c r="O19" t="e">
        <f>AND('STERLING CATALOG - DRY '!C251,"AAAAAG+Lew4=")</f>
        <v>#VALUE!</v>
      </c>
      <c r="P19" t="e">
        <f>AND('STERLING CATALOG - DRY '!D251,"AAAAAG+Lew8=")</f>
        <v>#VALUE!</v>
      </c>
      <c r="Q19" t="e">
        <f>AND('STERLING CATALOG - DRY '!E251,"AAAAAG+LexA=")</f>
        <v>#VALUE!</v>
      </c>
      <c r="R19" t="e">
        <f>AND('STERLING CATALOG - DRY '!F251,"AAAAAG+LexE=")</f>
        <v>#VALUE!</v>
      </c>
      <c r="S19" t="e">
        <f>AND('STERLING CATALOG - DRY '!G251,"AAAAAG+LexI=")</f>
        <v>#VALUE!</v>
      </c>
      <c r="T19" t="e">
        <f>AND('STERLING CATALOG - DRY '!H251,"AAAAAG+LexM=")</f>
        <v>#VALUE!</v>
      </c>
      <c r="U19" t="e">
        <f>AND('STERLING CATALOG - DRY '!I251,"AAAAAG+LexQ=")</f>
        <v>#VALUE!</v>
      </c>
      <c r="V19" t="e">
        <f>AND('STERLING CATALOG - DRY '!J251,"AAAAAG+LexU=")</f>
        <v>#VALUE!</v>
      </c>
      <c r="W19">
        <f>IF('STERLING CATALOG - DRY '!252:252,"AAAAAG+LexY=",0)</f>
        <v>0</v>
      </c>
      <c r="X19" t="e">
        <f>AND('STERLING CATALOG - DRY '!A252,"AAAAAG+Lexc=")</f>
        <v>#VALUE!</v>
      </c>
      <c r="Y19" t="e">
        <f>AND('STERLING CATALOG - DRY '!B252,"AAAAAG+Lexg=")</f>
        <v>#VALUE!</v>
      </c>
      <c r="Z19" t="e">
        <f>AND('STERLING CATALOG - DRY '!C252,"AAAAAG+Lexk=")</f>
        <v>#VALUE!</v>
      </c>
      <c r="AA19" t="e">
        <f>AND('STERLING CATALOG - DRY '!D252,"AAAAAG+Lexo=")</f>
        <v>#VALUE!</v>
      </c>
      <c r="AB19" t="e">
        <f>AND('STERLING CATALOG - DRY '!E252,"AAAAAG+Lexs=")</f>
        <v>#VALUE!</v>
      </c>
      <c r="AC19" t="e">
        <f>AND('STERLING CATALOG - DRY '!F252,"AAAAAG+Lexw=")</f>
        <v>#VALUE!</v>
      </c>
      <c r="AD19" t="e">
        <f>AND('STERLING CATALOG - DRY '!G252,"AAAAAG+Lex0=")</f>
        <v>#VALUE!</v>
      </c>
      <c r="AE19" t="e">
        <f>AND('STERLING CATALOG - DRY '!H252,"AAAAAG+Lex4=")</f>
        <v>#VALUE!</v>
      </c>
      <c r="AF19" t="e">
        <f>AND('STERLING CATALOG - DRY '!I252,"AAAAAG+Lex8=")</f>
        <v>#VALUE!</v>
      </c>
      <c r="AG19" t="e">
        <f>AND('STERLING CATALOG - DRY '!J252,"AAAAAG+LeyA=")</f>
        <v>#VALUE!</v>
      </c>
      <c r="AH19">
        <f>IF('STERLING CATALOG - DRY '!253:253,"AAAAAG+LeyE=",0)</f>
        <v>0</v>
      </c>
      <c r="AI19" t="e">
        <f>AND('STERLING CATALOG - DRY '!A253,"AAAAAG+LeyI=")</f>
        <v>#VALUE!</v>
      </c>
      <c r="AJ19" t="e">
        <f>AND('STERLING CATALOG - DRY '!B253,"AAAAAG+LeyM=")</f>
        <v>#VALUE!</v>
      </c>
      <c r="AK19" t="e">
        <f>AND('STERLING CATALOG - DRY '!C253,"AAAAAG+LeyQ=")</f>
        <v>#VALUE!</v>
      </c>
      <c r="AL19" t="e">
        <f>AND('STERLING CATALOG - DRY '!D253,"AAAAAG+LeyU=")</f>
        <v>#VALUE!</v>
      </c>
      <c r="AM19" t="e">
        <f>AND('STERLING CATALOG - DRY '!E253,"AAAAAG+LeyY=")</f>
        <v>#VALUE!</v>
      </c>
      <c r="AN19" t="e">
        <f>AND('STERLING CATALOG - DRY '!F253,"AAAAAG+Leyc=")</f>
        <v>#VALUE!</v>
      </c>
      <c r="AO19" t="e">
        <f>AND('STERLING CATALOG - DRY '!G253,"AAAAAG+Leyg=")</f>
        <v>#VALUE!</v>
      </c>
      <c r="AP19" t="e">
        <f>AND('STERLING CATALOG - DRY '!H253,"AAAAAG+Leyk=")</f>
        <v>#VALUE!</v>
      </c>
      <c r="AQ19" t="e">
        <f>AND('STERLING CATALOG - DRY '!I253,"AAAAAG+Leyo=")</f>
        <v>#VALUE!</v>
      </c>
      <c r="AR19" t="e">
        <f>AND('STERLING CATALOG - DRY '!J253,"AAAAAG+Leys=")</f>
        <v>#VALUE!</v>
      </c>
      <c r="AS19">
        <f>IF('STERLING CATALOG - DRY '!254:254,"AAAAAG+Leyw=",0)</f>
        <v>0</v>
      </c>
      <c r="AT19" t="e">
        <f>AND('STERLING CATALOG - DRY '!A254,"AAAAAG+Ley0=")</f>
        <v>#VALUE!</v>
      </c>
      <c r="AU19" t="e">
        <f>AND('STERLING CATALOG - DRY '!B254,"AAAAAG+Ley4=")</f>
        <v>#VALUE!</v>
      </c>
      <c r="AV19" t="e">
        <f>AND('STERLING CATALOG - DRY '!C254,"AAAAAG+Ley8=")</f>
        <v>#VALUE!</v>
      </c>
      <c r="AW19" t="e">
        <f>AND('STERLING CATALOG - DRY '!D254,"AAAAAG+LezA=")</f>
        <v>#VALUE!</v>
      </c>
      <c r="AX19" t="e">
        <f>AND('STERLING CATALOG - DRY '!E254,"AAAAAG+LezE=")</f>
        <v>#VALUE!</v>
      </c>
      <c r="AY19" t="e">
        <f>AND('STERLING CATALOG - DRY '!F254,"AAAAAG+LezI=")</f>
        <v>#VALUE!</v>
      </c>
      <c r="AZ19" t="e">
        <f>AND('STERLING CATALOG - DRY '!G254,"AAAAAG+LezM=")</f>
        <v>#VALUE!</v>
      </c>
      <c r="BA19" t="e">
        <f>AND('STERLING CATALOG - DRY '!H254,"AAAAAG+LezQ=")</f>
        <v>#VALUE!</v>
      </c>
      <c r="BB19" t="e">
        <f>AND('STERLING CATALOG - DRY '!I254,"AAAAAG+LezU=")</f>
        <v>#VALUE!</v>
      </c>
      <c r="BC19" t="e">
        <f>AND('STERLING CATALOG - DRY '!J254,"AAAAAG+LezY=")</f>
        <v>#VALUE!</v>
      </c>
      <c r="BD19">
        <f>IF('STERLING CATALOG - DRY '!255:255,"AAAAAG+Lezc=",0)</f>
        <v>0</v>
      </c>
      <c r="BE19" t="e">
        <f>AND('STERLING CATALOG - DRY '!A255,"AAAAAG+Lezg=")</f>
        <v>#VALUE!</v>
      </c>
      <c r="BF19" t="e">
        <f>AND('STERLING CATALOG - DRY '!B255,"AAAAAG+Lezk=")</f>
        <v>#VALUE!</v>
      </c>
      <c r="BG19" t="e">
        <f>AND('STERLING CATALOG - DRY '!C255,"AAAAAG+Lezo=")</f>
        <v>#VALUE!</v>
      </c>
      <c r="BH19" t="e">
        <f>AND('STERLING CATALOG - DRY '!D255,"AAAAAG+Lezs=")</f>
        <v>#VALUE!</v>
      </c>
      <c r="BI19" t="e">
        <f>AND('STERLING CATALOG - DRY '!E255,"AAAAAG+Lezw=")</f>
        <v>#VALUE!</v>
      </c>
      <c r="BJ19" t="e">
        <f>AND('STERLING CATALOG - DRY '!F255,"AAAAAG+Lez0=")</f>
        <v>#VALUE!</v>
      </c>
      <c r="BK19" t="e">
        <f>AND('STERLING CATALOG - DRY '!G255,"AAAAAG+Lez4=")</f>
        <v>#VALUE!</v>
      </c>
      <c r="BL19" t="e">
        <f>AND('STERLING CATALOG - DRY '!H255,"AAAAAG+Lez8=")</f>
        <v>#VALUE!</v>
      </c>
      <c r="BM19" t="e">
        <f>AND('STERLING CATALOG - DRY '!I255,"AAAAAG+Le0A=")</f>
        <v>#VALUE!</v>
      </c>
      <c r="BN19" t="e">
        <f>AND('STERLING CATALOG - DRY '!J255,"AAAAAG+Le0E=")</f>
        <v>#VALUE!</v>
      </c>
      <c r="BO19">
        <f>IF('STERLING CATALOG - DRY '!256:256,"AAAAAG+Le0I=",0)</f>
        <v>0</v>
      </c>
      <c r="BP19" t="e">
        <f>AND('STERLING CATALOG - DRY '!A256,"AAAAAG+Le0M=")</f>
        <v>#VALUE!</v>
      </c>
      <c r="BQ19" t="e">
        <f>AND('STERLING CATALOG - DRY '!B256,"AAAAAG+Le0Q=")</f>
        <v>#VALUE!</v>
      </c>
      <c r="BR19" t="e">
        <f>AND('STERLING CATALOG - DRY '!C256,"AAAAAG+Le0U=")</f>
        <v>#VALUE!</v>
      </c>
      <c r="BS19" t="e">
        <f>AND('STERLING CATALOG - DRY '!D256,"AAAAAG+Le0Y=")</f>
        <v>#VALUE!</v>
      </c>
      <c r="BT19" t="e">
        <f>AND('STERLING CATALOG - DRY '!E256,"AAAAAG+Le0c=")</f>
        <v>#VALUE!</v>
      </c>
      <c r="BU19" t="e">
        <f>AND('STERLING CATALOG - DRY '!F256,"AAAAAG+Le0g=")</f>
        <v>#VALUE!</v>
      </c>
      <c r="BV19" t="e">
        <f>AND('STERLING CATALOG - DRY '!G256,"AAAAAG+Le0k=")</f>
        <v>#VALUE!</v>
      </c>
      <c r="BW19" t="e">
        <f>AND('STERLING CATALOG - DRY '!H256,"AAAAAG+Le0o=")</f>
        <v>#VALUE!</v>
      </c>
      <c r="BX19" t="e">
        <f>AND('STERLING CATALOG - DRY '!I256,"AAAAAG+Le0s=")</f>
        <v>#VALUE!</v>
      </c>
      <c r="BY19" t="e">
        <f>AND('STERLING CATALOG - DRY '!J256,"AAAAAG+Le0w=")</f>
        <v>#VALUE!</v>
      </c>
      <c r="BZ19">
        <f>IF('STERLING CATALOG - DRY '!257:257,"AAAAAG+Le00=",0)</f>
        <v>0</v>
      </c>
      <c r="CA19" t="e">
        <f>AND('STERLING CATALOG - DRY '!A257,"AAAAAG+Le04=")</f>
        <v>#VALUE!</v>
      </c>
      <c r="CB19" t="e">
        <f>AND('STERLING CATALOG - DRY '!B257,"AAAAAG+Le08=")</f>
        <v>#VALUE!</v>
      </c>
      <c r="CC19" t="e">
        <f>AND('STERLING CATALOG - DRY '!C257,"AAAAAG+Le1A=")</f>
        <v>#VALUE!</v>
      </c>
      <c r="CD19" t="e">
        <f>AND('STERLING CATALOG - DRY '!D257,"AAAAAG+Le1E=")</f>
        <v>#VALUE!</v>
      </c>
      <c r="CE19" t="e">
        <f>AND('STERLING CATALOG - DRY '!E257,"AAAAAG+Le1I=")</f>
        <v>#VALUE!</v>
      </c>
      <c r="CF19" t="e">
        <f>AND('STERLING CATALOG - DRY '!F257,"AAAAAG+Le1M=")</f>
        <v>#VALUE!</v>
      </c>
      <c r="CG19" t="e">
        <f>AND('STERLING CATALOG - DRY '!G257,"AAAAAG+Le1Q=")</f>
        <v>#VALUE!</v>
      </c>
      <c r="CH19" t="e">
        <f>AND('STERLING CATALOG - DRY '!H257,"AAAAAG+Le1U=")</f>
        <v>#VALUE!</v>
      </c>
      <c r="CI19" t="e">
        <f>AND('STERLING CATALOG - DRY '!I257,"AAAAAG+Le1Y=")</f>
        <v>#VALUE!</v>
      </c>
      <c r="CJ19" t="e">
        <f>AND('STERLING CATALOG - DRY '!J257,"AAAAAG+Le1c=")</f>
        <v>#VALUE!</v>
      </c>
      <c r="CK19">
        <f>IF('STERLING CATALOG - DRY '!258:258,"AAAAAG+Le1g=",0)</f>
        <v>0</v>
      </c>
      <c r="CL19" t="e">
        <f>AND('STERLING CATALOG - DRY '!A258,"AAAAAG+Le1k=")</f>
        <v>#VALUE!</v>
      </c>
      <c r="CM19" t="e">
        <f>AND('STERLING CATALOG - DRY '!B258,"AAAAAG+Le1o=")</f>
        <v>#VALUE!</v>
      </c>
      <c r="CN19" t="e">
        <f>AND('STERLING CATALOG - DRY '!C258,"AAAAAG+Le1s=")</f>
        <v>#VALUE!</v>
      </c>
      <c r="CO19" t="e">
        <f>AND('STERLING CATALOG - DRY '!D258,"AAAAAG+Le1w=")</f>
        <v>#VALUE!</v>
      </c>
      <c r="CP19" t="e">
        <f>AND('STERLING CATALOG - DRY '!E258,"AAAAAG+Le10=")</f>
        <v>#VALUE!</v>
      </c>
      <c r="CQ19" t="e">
        <f>AND('STERLING CATALOG - DRY '!F258,"AAAAAG+Le14=")</f>
        <v>#VALUE!</v>
      </c>
      <c r="CR19" t="e">
        <f>AND('STERLING CATALOG - DRY '!G258,"AAAAAG+Le18=")</f>
        <v>#VALUE!</v>
      </c>
      <c r="CS19" t="e">
        <f>AND('STERLING CATALOG - DRY '!H258,"AAAAAG+Le2A=")</f>
        <v>#VALUE!</v>
      </c>
      <c r="CT19" t="e">
        <f>AND('STERLING CATALOG - DRY '!I258,"AAAAAG+Le2E=")</f>
        <v>#VALUE!</v>
      </c>
      <c r="CU19" t="e">
        <f>AND('STERLING CATALOG - DRY '!J258,"AAAAAG+Le2I=")</f>
        <v>#VALUE!</v>
      </c>
      <c r="CV19">
        <f>IF('STERLING CATALOG - DRY '!259:259,"AAAAAG+Le2M=",0)</f>
        <v>0</v>
      </c>
      <c r="CW19" t="e">
        <f>AND('STERLING CATALOG - DRY '!A259,"AAAAAG+Le2Q=")</f>
        <v>#VALUE!</v>
      </c>
      <c r="CX19" t="e">
        <f>AND('STERLING CATALOG - DRY '!B259,"AAAAAG+Le2U=")</f>
        <v>#VALUE!</v>
      </c>
      <c r="CY19" t="e">
        <f>AND('STERLING CATALOG - DRY '!C259,"AAAAAG+Le2Y=")</f>
        <v>#VALUE!</v>
      </c>
      <c r="CZ19" t="e">
        <f>AND('STERLING CATALOG - DRY '!D259,"AAAAAG+Le2c=")</f>
        <v>#VALUE!</v>
      </c>
      <c r="DA19" t="e">
        <f>AND('STERLING CATALOG - DRY '!E259,"AAAAAG+Le2g=")</f>
        <v>#VALUE!</v>
      </c>
      <c r="DB19" t="e">
        <f>AND('STERLING CATALOG - DRY '!F259,"AAAAAG+Le2k=")</f>
        <v>#VALUE!</v>
      </c>
      <c r="DC19" t="e">
        <f>AND('STERLING CATALOG - DRY '!G259,"AAAAAG+Le2o=")</f>
        <v>#VALUE!</v>
      </c>
      <c r="DD19" t="e">
        <f>AND('STERLING CATALOG - DRY '!H259,"AAAAAG+Le2s=")</f>
        <v>#VALUE!</v>
      </c>
      <c r="DE19" t="e">
        <f>AND('STERLING CATALOG - DRY '!I259,"AAAAAG+Le2w=")</f>
        <v>#VALUE!</v>
      </c>
      <c r="DF19" t="e">
        <f>AND('STERLING CATALOG - DRY '!J259,"AAAAAG+Le20=")</f>
        <v>#VALUE!</v>
      </c>
      <c r="DG19">
        <f>IF('STERLING CATALOG - DRY '!260:260,"AAAAAG+Le24=",0)</f>
        <v>0</v>
      </c>
      <c r="DH19" t="e">
        <f>AND('STERLING CATALOG - DRY '!A260,"AAAAAG+Le28=")</f>
        <v>#VALUE!</v>
      </c>
      <c r="DI19" t="e">
        <f>AND('STERLING CATALOG - DRY '!B260,"AAAAAG+Le3A=")</f>
        <v>#VALUE!</v>
      </c>
      <c r="DJ19" t="e">
        <f>AND('STERLING CATALOG - DRY '!C260,"AAAAAG+Le3E=")</f>
        <v>#VALUE!</v>
      </c>
      <c r="DK19" t="e">
        <f>AND('STERLING CATALOG - DRY '!D260,"AAAAAG+Le3I=")</f>
        <v>#VALUE!</v>
      </c>
      <c r="DL19" t="e">
        <f>AND('STERLING CATALOG - DRY '!E260,"AAAAAG+Le3M=")</f>
        <v>#VALUE!</v>
      </c>
      <c r="DM19" t="e">
        <f>AND('STERLING CATALOG - DRY '!F260,"AAAAAG+Le3Q=")</f>
        <v>#VALUE!</v>
      </c>
      <c r="DN19" t="e">
        <f>AND('STERLING CATALOG - DRY '!G260,"AAAAAG+Le3U=")</f>
        <v>#VALUE!</v>
      </c>
      <c r="DO19" t="e">
        <f>AND('STERLING CATALOG - DRY '!H260,"AAAAAG+Le3Y=")</f>
        <v>#VALUE!</v>
      </c>
      <c r="DP19" t="e">
        <f>AND('STERLING CATALOG - DRY '!I260,"AAAAAG+Le3c=")</f>
        <v>#VALUE!</v>
      </c>
      <c r="DQ19" t="e">
        <f>AND('STERLING CATALOG - DRY '!J260,"AAAAAG+Le3g=")</f>
        <v>#VALUE!</v>
      </c>
      <c r="DR19">
        <f>IF('STERLING CATALOG - DRY '!261:261,"AAAAAG+Le3k=",0)</f>
        <v>0</v>
      </c>
      <c r="DS19" t="e">
        <f>AND('STERLING CATALOG - DRY '!A261,"AAAAAG+Le3o=")</f>
        <v>#VALUE!</v>
      </c>
      <c r="DT19" t="e">
        <f>AND('STERLING CATALOG - DRY '!B261,"AAAAAG+Le3s=")</f>
        <v>#VALUE!</v>
      </c>
      <c r="DU19" t="e">
        <f>AND('STERLING CATALOG - DRY '!C261,"AAAAAG+Le3w=")</f>
        <v>#VALUE!</v>
      </c>
      <c r="DV19" t="e">
        <f>AND('STERLING CATALOG - DRY '!D261,"AAAAAG+Le30=")</f>
        <v>#VALUE!</v>
      </c>
      <c r="DW19" t="e">
        <f>AND('STERLING CATALOG - DRY '!E261,"AAAAAG+Le34=")</f>
        <v>#VALUE!</v>
      </c>
      <c r="DX19" t="e">
        <f>AND('STERLING CATALOG - DRY '!F261,"AAAAAG+Le38=")</f>
        <v>#VALUE!</v>
      </c>
      <c r="DY19" t="e">
        <f>AND('STERLING CATALOG - DRY '!G261,"AAAAAG+Le4A=")</f>
        <v>#VALUE!</v>
      </c>
      <c r="DZ19" t="e">
        <f>AND('STERLING CATALOG - DRY '!H261,"AAAAAG+Le4E=")</f>
        <v>#VALUE!</v>
      </c>
      <c r="EA19" t="e">
        <f>AND('STERLING CATALOG - DRY '!I261,"AAAAAG+Le4I=")</f>
        <v>#VALUE!</v>
      </c>
      <c r="EB19" t="e">
        <f>AND('STERLING CATALOG - DRY '!J261,"AAAAAG+Le4M=")</f>
        <v>#VALUE!</v>
      </c>
      <c r="EC19">
        <f>IF('STERLING CATALOG - DRY '!262:262,"AAAAAG+Le4Q=",0)</f>
        <v>0</v>
      </c>
      <c r="ED19" t="e">
        <f>AND('STERLING CATALOG - DRY '!A262,"AAAAAG+Le4U=")</f>
        <v>#VALUE!</v>
      </c>
      <c r="EE19" t="e">
        <f>AND('STERLING CATALOG - DRY '!B262,"AAAAAG+Le4Y=")</f>
        <v>#VALUE!</v>
      </c>
      <c r="EF19" t="e">
        <f>AND('STERLING CATALOG - DRY '!C262,"AAAAAG+Le4c=")</f>
        <v>#VALUE!</v>
      </c>
      <c r="EG19" t="e">
        <f>AND('STERLING CATALOG - DRY '!D262,"AAAAAG+Le4g=")</f>
        <v>#VALUE!</v>
      </c>
      <c r="EH19" t="e">
        <f>AND('STERLING CATALOG - DRY '!E262,"AAAAAG+Le4k=")</f>
        <v>#VALUE!</v>
      </c>
      <c r="EI19" t="e">
        <f>AND('STERLING CATALOG - DRY '!F262,"AAAAAG+Le4o=")</f>
        <v>#VALUE!</v>
      </c>
      <c r="EJ19" t="e">
        <f>AND('STERLING CATALOG - DRY '!G262,"AAAAAG+Le4s=")</f>
        <v>#VALUE!</v>
      </c>
      <c r="EK19" t="e">
        <f>AND('STERLING CATALOG - DRY '!H262,"AAAAAG+Le4w=")</f>
        <v>#VALUE!</v>
      </c>
      <c r="EL19" t="e">
        <f>AND('STERLING CATALOG - DRY '!I262,"AAAAAG+Le40=")</f>
        <v>#VALUE!</v>
      </c>
      <c r="EM19" t="e">
        <f>AND('STERLING CATALOG - DRY '!J262,"AAAAAG+Le44=")</f>
        <v>#VALUE!</v>
      </c>
      <c r="EN19">
        <f>IF('STERLING CATALOG - DRY '!263:263,"AAAAAG+Le48=",0)</f>
        <v>0</v>
      </c>
      <c r="EO19" t="e">
        <f>AND('STERLING CATALOG - DRY '!A263,"AAAAAG+Le5A=")</f>
        <v>#VALUE!</v>
      </c>
      <c r="EP19" t="e">
        <f>AND('STERLING CATALOG - DRY '!B263,"AAAAAG+Le5E=")</f>
        <v>#VALUE!</v>
      </c>
      <c r="EQ19" t="e">
        <f>AND('STERLING CATALOG - DRY '!C263,"AAAAAG+Le5I=")</f>
        <v>#VALUE!</v>
      </c>
      <c r="ER19" t="e">
        <f>AND('STERLING CATALOG - DRY '!D263,"AAAAAG+Le5M=")</f>
        <v>#VALUE!</v>
      </c>
      <c r="ES19" t="e">
        <f>AND('STERLING CATALOG - DRY '!E263,"AAAAAG+Le5Q=")</f>
        <v>#VALUE!</v>
      </c>
      <c r="ET19" t="e">
        <f>AND('STERLING CATALOG - DRY '!F263,"AAAAAG+Le5U=")</f>
        <v>#VALUE!</v>
      </c>
      <c r="EU19" t="e">
        <f>AND('STERLING CATALOG - DRY '!G263,"AAAAAG+Le5Y=")</f>
        <v>#VALUE!</v>
      </c>
      <c r="EV19" t="e">
        <f>AND('STERLING CATALOG - DRY '!H263,"AAAAAG+Le5c=")</f>
        <v>#VALUE!</v>
      </c>
      <c r="EW19" t="e">
        <f>AND('STERLING CATALOG - DRY '!I263,"AAAAAG+Le5g=")</f>
        <v>#VALUE!</v>
      </c>
      <c r="EX19" t="e">
        <f>AND('STERLING CATALOG - DRY '!J263,"AAAAAG+Le5k=")</f>
        <v>#VALUE!</v>
      </c>
      <c r="EY19">
        <f>IF('STERLING CATALOG - DRY '!264:264,"AAAAAG+Le5o=",0)</f>
        <v>0</v>
      </c>
      <c r="EZ19" t="e">
        <f>AND('STERLING CATALOG - DRY '!A264,"AAAAAG+Le5s=")</f>
        <v>#VALUE!</v>
      </c>
      <c r="FA19" t="e">
        <f>AND('STERLING CATALOG - DRY '!B264,"AAAAAG+Le5w=")</f>
        <v>#VALUE!</v>
      </c>
      <c r="FB19" t="e">
        <f>AND('STERLING CATALOG - DRY '!C264,"AAAAAG+Le50=")</f>
        <v>#VALUE!</v>
      </c>
      <c r="FC19" t="e">
        <f>AND('STERLING CATALOG - DRY '!D264,"AAAAAG+Le54=")</f>
        <v>#VALUE!</v>
      </c>
      <c r="FD19" t="e">
        <f>AND('STERLING CATALOG - DRY '!E264,"AAAAAG+Le58=")</f>
        <v>#VALUE!</v>
      </c>
      <c r="FE19" t="e">
        <f>AND('STERLING CATALOG - DRY '!F264,"AAAAAG+Le6A=")</f>
        <v>#VALUE!</v>
      </c>
      <c r="FF19" t="e">
        <f>AND('STERLING CATALOG - DRY '!G264,"AAAAAG+Le6E=")</f>
        <v>#VALUE!</v>
      </c>
      <c r="FG19" t="e">
        <f>AND('STERLING CATALOG - DRY '!H264,"AAAAAG+Le6I=")</f>
        <v>#VALUE!</v>
      </c>
      <c r="FH19" t="e">
        <f>AND('STERLING CATALOG - DRY '!I264,"AAAAAG+Le6M=")</f>
        <v>#VALUE!</v>
      </c>
      <c r="FI19" t="e">
        <f>AND('STERLING CATALOG - DRY '!J264,"AAAAAG+Le6Q=")</f>
        <v>#VALUE!</v>
      </c>
      <c r="FJ19">
        <f>IF('STERLING CATALOG - DRY '!265:265,"AAAAAG+Le6U=",0)</f>
        <v>0</v>
      </c>
      <c r="FK19" t="e">
        <f>AND('STERLING CATALOG - DRY '!A265,"AAAAAG+Le6Y=")</f>
        <v>#VALUE!</v>
      </c>
      <c r="FL19" t="e">
        <f>AND('STERLING CATALOG - DRY '!B265,"AAAAAG+Le6c=")</f>
        <v>#VALUE!</v>
      </c>
      <c r="FM19" t="e">
        <f>AND('STERLING CATALOG - DRY '!C265,"AAAAAG+Le6g=")</f>
        <v>#VALUE!</v>
      </c>
      <c r="FN19" t="e">
        <f>AND('STERLING CATALOG - DRY '!D265,"AAAAAG+Le6k=")</f>
        <v>#VALUE!</v>
      </c>
      <c r="FO19" t="e">
        <f>AND('STERLING CATALOG - DRY '!E265,"AAAAAG+Le6o=")</f>
        <v>#VALUE!</v>
      </c>
      <c r="FP19" t="e">
        <f>AND('STERLING CATALOG - DRY '!F265,"AAAAAG+Le6s=")</f>
        <v>#VALUE!</v>
      </c>
      <c r="FQ19" t="e">
        <f>AND('STERLING CATALOG - DRY '!G265,"AAAAAG+Le6w=")</f>
        <v>#VALUE!</v>
      </c>
      <c r="FR19" t="e">
        <f>AND('STERLING CATALOG - DRY '!H265,"AAAAAG+Le60=")</f>
        <v>#VALUE!</v>
      </c>
      <c r="FS19" t="e">
        <f>AND('STERLING CATALOG - DRY '!I265,"AAAAAG+Le64=")</f>
        <v>#VALUE!</v>
      </c>
      <c r="FT19" t="e">
        <f>AND('STERLING CATALOG - DRY '!J265,"AAAAAG+Le68=")</f>
        <v>#VALUE!</v>
      </c>
      <c r="FU19">
        <f>IF('STERLING CATALOG - DRY '!266:266,"AAAAAG+Le7A=",0)</f>
        <v>0</v>
      </c>
      <c r="FV19" t="e">
        <f>AND('STERLING CATALOG - DRY '!A266,"AAAAAG+Le7E=")</f>
        <v>#VALUE!</v>
      </c>
      <c r="FW19" t="e">
        <f>AND('STERLING CATALOG - DRY '!B266,"AAAAAG+Le7I=")</f>
        <v>#VALUE!</v>
      </c>
      <c r="FX19" t="e">
        <f>AND('STERLING CATALOG - DRY '!C266,"AAAAAG+Le7M=")</f>
        <v>#VALUE!</v>
      </c>
      <c r="FY19" t="e">
        <f>AND('STERLING CATALOG - DRY '!D266,"AAAAAG+Le7Q=")</f>
        <v>#VALUE!</v>
      </c>
      <c r="FZ19" t="e">
        <f>AND('STERLING CATALOG - DRY '!E266,"AAAAAG+Le7U=")</f>
        <v>#VALUE!</v>
      </c>
      <c r="GA19" t="e">
        <f>AND('STERLING CATALOG - DRY '!F266,"AAAAAG+Le7Y=")</f>
        <v>#VALUE!</v>
      </c>
      <c r="GB19" t="e">
        <f>AND('STERLING CATALOG - DRY '!G266,"AAAAAG+Le7c=")</f>
        <v>#VALUE!</v>
      </c>
      <c r="GC19" t="e">
        <f>AND('STERLING CATALOG - DRY '!H266,"AAAAAG+Le7g=")</f>
        <v>#VALUE!</v>
      </c>
      <c r="GD19" t="e">
        <f>AND('STERLING CATALOG - DRY '!I266,"AAAAAG+Le7k=")</f>
        <v>#VALUE!</v>
      </c>
      <c r="GE19" t="e">
        <f>AND('STERLING CATALOG - DRY '!J266,"AAAAAG+Le7o=")</f>
        <v>#VALUE!</v>
      </c>
      <c r="GF19">
        <f>IF('STERLING CATALOG - DRY '!267:267,"AAAAAG+Le7s=",0)</f>
        <v>0</v>
      </c>
      <c r="GG19" t="e">
        <f>AND('STERLING CATALOG - DRY '!A267,"AAAAAG+Le7w=")</f>
        <v>#VALUE!</v>
      </c>
      <c r="GH19" t="e">
        <f>AND('STERLING CATALOG - DRY '!B267,"AAAAAG+Le70=")</f>
        <v>#VALUE!</v>
      </c>
      <c r="GI19" t="e">
        <f>AND('STERLING CATALOG - DRY '!C267,"AAAAAG+Le74=")</f>
        <v>#VALUE!</v>
      </c>
      <c r="GJ19" t="e">
        <f>AND('STERLING CATALOG - DRY '!D267,"AAAAAG+Le78=")</f>
        <v>#VALUE!</v>
      </c>
      <c r="GK19" t="e">
        <f>AND('STERLING CATALOG - DRY '!E267,"AAAAAG+Le8A=")</f>
        <v>#VALUE!</v>
      </c>
      <c r="GL19" t="e">
        <f>AND('STERLING CATALOG - DRY '!F267,"AAAAAG+Le8E=")</f>
        <v>#VALUE!</v>
      </c>
      <c r="GM19" t="e">
        <f>AND('STERLING CATALOG - DRY '!G267,"AAAAAG+Le8I=")</f>
        <v>#VALUE!</v>
      </c>
      <c r="GN19" t="e">
        <f>AND('STERLING CATALOG - DRY '!H267,"AAAAAG+Le8M=")</f>
        <v>#VALUE!</v>
      </c>
      <c r="GO19" t="e">
        <f>AND('STERLING CATALOG - DRY '!I267,"AAAAAG+Le8Q=")</f>
        <v>#VALUE!</v>
      </c>
      <c r="GP19" t="e">
        <f>AND('STERLING CATALOG - DRY '!J267,"AAAAAG+Le8U=")</f>
        <v>#VALUE!</v>
      </c>
      <c r="GQ19">
        <f>IF('STERLING CATALOG - DRY '!268:268,"AAAAAG+Le8Y=",0)</f>
        <v>0</v>
      </c>
      <c r="GR19" t="e">
        <f>AND('STERLING CATALOG - DRY '!A268,"AAAAAG+Le8c=")</f>
        <v>#VALUE!</v>
      </c>
      <c r="GS19" t="e">
        <f>AND('STERLING CATALOG - DRY '!B268,"AAAAAG+Le8g=")</f>
        <v>#VALUE!</v>
      </c>
      <c r="GT19" t="e">
        <f>AND('STERLING CATALOG - DRY '!C268,"AAAAAG+Le8k=")</f>
        <v>#VALUE!</v>
      </c>
      <c r="GU19" t="e">
        <f>AND('STERLING CATALOG - DRY '!D268,"AAAAAG+Le8o=")</f>
        <v>#VALUE!</v>
      </c>
      <c r="GV19" t="e">
        <f>AND('STERLING CATALOG - DRY '!E268,"AAAAAG+Le8s=")</f>
        <v>#VALUE!</v>
      </c>
      <c r="GW19" t="e">
        <f>AND('STERLING CATALOG - DRY '!F268,"AAAAAG+Le8w=")</f>
        <v>#VALUE!</v>
      </c>
      <c r="GX19" t="e">
        <f>AND('STERLING CATALOG - DRY '!G268,"AAAAAG+Le80=")</f>
        <v>#VALUE!</v>
      </c>
      <c r="GY19" t="e">
        <f>AND('STERLING CATALOG - DRY '!H268,"AAAAAG+Le84=")</f>
        <v>#VALUE!</v>
      </c>
      <c r="GZ19" t="e">
        <f>AND('STERLING CATALOG - DRY '!I268,"AAAAAG+Le88=")</f>
        <v>#VALUE!</v>
      </c>
      <c r="HA19" t="e">
        <f>AND('STERLING CATALOG - DRY '!J268,"AAAAAG+Le9A=")</f>
        <v>#VALUE!</v>
      </c>
      <c r="HB19">
        <f>IF('STERLING CATALOG - DRY '!269:269,"AAAAAG+Le9E=",0)</f>
        <v>0</v>
      </c>
      <c r="HC19" t="e">
        <f>AND('STERLING CATALOG - DRY '!A269,"AAAAAG+Le9I=")</f>
        <v>#VALUE!</v>
      </c>
      <c r="HD19" t="e">
        <f>AND('STERLING CATALOG - DRY '!B269,"AAAAAG+Le9M=")</f>
        <v>#VALUE!</v>
      </c>
      <c r="HE19" t="e">
        <f>AND('STERLING CATALOG - DRY '!C269,"AAAAAG+Le9Q=")</f>
        <v>#VALUE!</v>
      </c>
      <c r="HF19" t="e">
        <f>AND('STERLING CATALOG - DRY '!D269,"AAAAAG+Le9U=")</f>
        <v>#VALUE!</v>
      </c>
      <c r="HG19" t="e">
        <f>AND('STERLING CATALOG - DRY '!E269,"AAAAAG+Le9Y=")</f>
        <v>#VALUE!</v>
      </c>
      <c r="HH19" t="e">
        <f>AND('STERLING CATALOG - DRY '!F269,"AAAAAG+Le9c=")</f>
        <v>#VALUE!</v>
      </c>
      <c r="HI19" t="e">
        <f>AND('STERLING CATALOG - DRY '!G269,"AAAAAG+Le9g=")</f>
        <v>#VALUE!</v>
      </c>
      <c r="HJ19" t="e">
        <f>AND('STERLING CATALOG - DRY '!H269,"AAAAAG+Le9k=")</f>
        <v>#VALUE!</v>
      </c>
      <c r="HK19" t="e">
        <f>AND('STERLING CATALOG - DRY '!I269,"AAAAAG+Le9o=")</f>
        <v>#VALUE!</v>
      </c>
      <c r="HL19" t="e">
        <f>AND('STERLING CATALOG - DRY '!J269,"AAAAAG+Le9s=")</f>
        <v>#VALUE!</v>
      </c>
      <c r="HM19">
        <f>IF('STERLING CATALOG - DRY '!270:270,"AAAAAG+Le9w=",0)</f>
        <v>0</v>
      </c>
      <c r="HN19" t="e">
        <f>AND('STERLING CATALOG - DRY '!A270,"AAAAAG+Le90=")</f>
        <v>#VALUE!</v>
      </c>
      <c r="HO19" t="e">
        <f>AND('STERLING CATALOG - DRY '!B270,"AAAAAG+Le94=")</f>
        <v>#VALUE!</v>
      </c>
      <c r="HP19" t="e">
        <f>AND('STERLING CATALOG - DRY '!C270,"AAAAAG+Le98=")</f>
        <v>#VALUE!</v>
      </c>
      <c r="HQ19" t="e">
        <f>AND('STERLING CATALOG - DRY '!D270,"AAAAAG+Le+A=")</f>
        <v>#VALUE!</v>
      </c>
      <c r="HR19" t="e">
        <f>AND('STERLING CATALOG - DRY '!E270,"AAAAAG+Le+E=")</f>
        <v>#VALUE!</v>
      </c>
      <c r="HS19" t="e">
        <f>AND('STERLING CATALOG - DRY '!F270,"AAAAAG+Le+I=")</f>
        <v>#VALUE!</v>
      </c>
      <c r="HT19" t="e">
        <f>AND('STERLING CATALOG - DRY '!G270,"AAAAAG+Le+M=")</f>
        <v>#VALUE!</v>
      </c>
      <c r="HU19" t="e">
        <f>AND('STERLING CATALOG - DRY '!H270,"AAAAAG+Le+Q=")</f>
        <v>#VALUE!</v>
      </c>
      <c r="HV19" t="e">
        <f>AND('STERLING CATALOG - DRY '!I270,"AAAAAG+Le+U=")</f>
        <v>#VALUE!</v>
      </c>
      <c r="HW19" t="e">
        <f>AND('STERLING CATALOG - DRY '!J270,"AAAAAG+Le+Y=")</f>
        <v>#VALUE!</v>
      </c>
      <c r="HX19">
        <f>IF('STERLING CATALOG - DRY '!271:271,"AAAAAG+Le+c=",0)</f>
        <v>0</v>
      </c>
      <c r="HY19" t="e">
        <f>AND('STERLING CATALOG - DRY '!A271,"AAAAAG+Le+g=")</f>
        <v>#VALUE!</v>
      </c>
      <c r="HZ19" t="e">
        <f>AND('STERLING CATALOG - DRY '!B271,"AAAAAG+Le+k=")</f>
        <v>#VALUE!</v>
      </c>
      <c r="IA19" t="e">
        <f>AND('STERLING CATALOG - DRY '!C271,"AAAAAG+Le+o=")</f>
        <v>#VALUE!</v>
      </c>
      <c r="IB19" t="e">
        <f>AND('STERLING CATALOG - DRY '!D271,"AAAAAG+Le+s=")</f>
        <v>#VALUE!</v>
      </c>
      <c r="IC19" t="e">
        <f>AND('STERLING CATALOG - DRY '!E271,"AAAAAG+Le+w=")</f>
        <v>#VALUE!</v>
      </c>
      <c r="ID19" t="e">
        <f>AND('STERLING CATALOG - DRY '!F271,"AAAAAG+Le+0=")</f>
        <v>#VALUE!</v>
      </c>
      <c r="IE19" t="e">
        <f>AND('STERLING CATALOG - DRY '!G271,"AAAAAG+Le+4=")</f>
        <v>#VALUE!</v>
      </c>
      <c r="IF19" t="e">
        <f>AND('STERLING CATALOG - DRY '!H271,"AAAAAG+Le+8=")</f>
        <v>#VALUE!</v>
      </c>
      <c r="IG19" t="e">
        <f>AND('STERLING CATALOG - DRY '!I271,"AAAAAG+Le/A=")</f>
        <v>#VALUE!</v>
      </c>
      <c r="IH19" t="e">
        <f>AND('STERLING CATALOG - DRY '!J271,"AAAAAG+Le/E=")</f>
        <v>#VALUE!</v>
      </c>
      <c r="II19">
        <f>IF('STERLING CATALOG - DRY '!272:272,"AAAAAG+Le/I=",0)</f>
        <v>0</v>
      </c>
      <c r="IJ19" t="e">
        <f>AND('STERLING CATALOG - DRY '!A272,"AAAAAG+Le/M=")</f>
        <v>#VALUE!</v>
      </c>
      <c r="IK19" t="e">
        <f>AND('STERLING CATALOG - DRY '!B272,"AAAAAG+Le/Q=")</f>
        <v>#VALUE!</v>
      </c>
      <c r="IL19" t="e">
        <f>AND('STERLING CATALOG - DRY '!C272,"AAAAAG+Le/U=")</f>
        <v>#VALUE!</v>
      </c>
      <c r="IM19" t="e">
        <f>AND('STERLING CATALOG - DRY '!D272,"AAAAAG+Le/Y=")</f>
        <v>#VALUE!</v>
      </c>
      <c r="IN19" t="e">
        <f>AND('STERLING CATALOG - DRY '!E272,"AAAAAG+Le/c=")</f>
        <v>#VALUE!</v>
      </c>
      <c r="IO19" t="e">
        <f>AND('STERLING CATALOG - DRY '!F272,"AAAAAG+Le/g=")</f>
        <v>#VALUE!</v>
      </c>
      <c r="IP19" t="e">
        <f>AND('STERLING CATALOG - DRY '!G272,"AAAAAG+Le/k=")</f>
        <v>#VALUE!</v>
      </c>
      <c r="IQ19" t="e">
        <f>AND('STERLING CATALOG - DRY '!H272,"AAAAAG+Le/o=")</f>
        <v>#VALUE!</v>
      </c>
      <c r="IR19" t="e">
        <f>AND('STERLING CATALOG - DRY '!I272,"AAAAAG+Le/s=")</f>
        <v>#VALUE!</v>
      </c>
      <c r="IS19" t="e">
        <f>AND('STERLING CATALOG - DRY '!J272,"AAAAAG+Le/w=")</f>
        <v>#VALUE!</v>
      </c>
      <c r="IT19">
        <f>IF('STERLING CATALOG - DRY '!273:273,"AAAAAG+Le/0=",0)</f>
        <v>0</v>
      </c>
      <c r="IU19" t="e">
        <f>AND('STERLING CATALOG - DRY '!A273,"AAAAAG+Le/4=")</f>
        <v>#VALUE!</v>
      </c>
      <c r="IV19" t="e">
        <f>AND('STERLING CATALOG - DRY '!B273,"AAAAAG+Le/8=")</f>
        <v>#VALUE!</v>
      </c>
    </row>
    <row r="20" spans="1:256">
      <c r="A20" t="e">
        <f>AND('STERLING CATALOG - DRY '!C273,"AAAAAB1W5gA=")</f>
        <v>#VALUE!</v>
      </c>
      <c r="B20" t="e">
        <f>AND('STERLING CATALOG - DRY '!D273,"AAAAAB1W5gE=")</f>
        <v>#VALUE!</v>
      </c>
      <c r="C20" t="e">
        <f>AND('STERLING CATALOG - DRY '!E273,"AAAAAB1W5gI=")</f>
        <v>#VALUE!</v>
      </c>
      <c r="D20" t="e">
        <f>AND('STERLING CATALOG - DRY '!F273,"AAAAAB1W5gM=")</f>
        <v>#VALUE!</v>
      </c>
      <c r="E20" t="e">
        <f>AND('STERLING CATALOG - DRY '!G273,"AAAAAB1W5gQ=")</f>
        <v>#VALUE!</v>
      </c>
      <c r="F20" t="e">
        <f>AND('STERLING CATALOG - DRY '!H273,"AAAAAB1W5gU=")</f>
        <v>#VALUE!</v>
      </c>
      <c r="G20" t="e">
        <f>AND('STERLING CATALOG - DRY '!I273,"AAAAAB1W5gY=")</f>
        <v>#VALUE!</v>
      </c>
      <c r="H20" t="e">
        <f>AND('STERLING CATALOG - DRY '!J273,"AAAAAB1W5gc=")</f>
        <v>#VALUE!</v>
      </c>
      <c r="I20" t="e">
        <f>IF('STERLING CATALOG - DRY '!274:274,"AAAAAB1W5gg=",0)</f>
        <v>#VALUE!</v>
      </c>
      <c r="J20" t="e">
        <f>AND('STERLING CATALOG - DRY '!A274,"AAAAAB1W5gk=")</f>
        <v>#VALUE!</v>
      </c>
      <c r="K20" t="e">
        <f>AND('STERLING CATALOG - DRY '!B274,"AAAAAB1W5go=")</f>
        <v>#VALUE!</v>
      </c>
      <c r="L20" t="e">
        <f>AND('STERLING CATALOG - DRY '!C274,"AAAAAB1W5gs=")</f>
        <v>#VALUE!</v>
      </c>
      <c r="M20" t="e">
        <f>AND('STERLING CATALOG - DRY '!D274,"AAAAAB1W5gw=")</f>
        <v>#VALUE!</v>
      </c>
      <c r="N20" t="e">
        <f>AND('STERLING CATALOG - DRY '!E274,"AAAAAB1W5g0=")</f>
        <v>#VALUE!</v>
      </c>
      <c r="O20" t="e">
        <f>AND('STERLING CATALOG - DRY '!F274,"AAAAAB1W5g4=")</f>
        <v>#VALUE!</v>
      </c>
      <c r="P20" t="e">
        <f>AND('STERLING CATALOG - DRY '!G274,"AAAAAB1W5g8=")</f>
        <v>#VALUE!</v>
      </c>
      <c r="Q20" t="e">
        <f>AND('STERLING CATALOG - DRY '!H274,"AAAAAB1W5hA=")</f>
        <v>#VALUE!</v>
      </c>
      <c r="R20" t="e">
        <f>AND('STERLING CATALOG - DRY '!I274,"AAAAAB1W5hE=")</f>
        <v>#VALUE!</v>
      </c>
      <c r="S20" t="e">
        <f>AND('STERLING CATALOG - DRY '!J274,"AAAAAB1W5hI=")</f>
        <v>#VALUE!</v>
      </c>
      <c r="T20">
        <f>IF('STERLING CATALOG - DRY '!275:275,"AAAAAB1W5hM=",0)</f>
        <v>0</v>
      </c>
      <c r="U20" t="e">
        <f>AND('STERLING CATALOG - DRY '!A275,"AAAAAB1W5hQ=")</f>
        <v>#VALUE!</v>
      </c>
      <c r="V20" t="e">
        <f>AND('STERLING CATALOG - DRY '!B275,"AAAAAB1W5hU=")</f>
        <v>#VALUE!</v>
      </c>
      <c r="W20" t="e">
        <f>AND('STERLING CATALOG - DRY '!C275,"AAAAAB1W5hY=")</f>
        <v>#VALUE!</v>
      </c>
      <c r="X20" t="e">
        <f>AND('STERLING CATALOG - DRY '!D275,"AAAAAB1W5hc=")</f>
        <v>#VALUE!</v>
      </c>
      <c r="Y20" t="e">
        <f>AND('STERLING CATALOG - DRY '!E275,"AAAAAB1W5hg=")</f>
        <v>#VALUE!</v>
      </c>
      <c r="Z20" t="e">
        <f>AND('STERLING CATALOG - DRY '!F275,"AAAAAB1W5hk=")</f>
        <v>#VALUE!</v>
      </c>
      <c r="AA20" t="e">
        <f>AND('STERLING CATALOG - DRY '!G275,"AAAAAB1W5ho=")</f>
        <v>#VALUE!</v>
      </c>
      <c r="AB20" t="e">
        <f>AND('STERLING CATALOG - DRY '!H275,"AAAAAB1W5hs=")</f>
        <v>#VALUE!</v>
      </c>
      <c r="AC20" t="e">
        <f>AND('STERLING CATALOG - DRY '!I275,"AAAAAB1W5hw=")</f>
        <v>#VALUE!</v>
      </c>
      <c r="AD20" t="e">
        <f>AND('STERLING CATALOG - DRY '!J275,"AAAAAB1W5h0=")</f>
        <v>#VALUE!</v>
      </c>
      <c r="AE20">
        <f>IF('STERLING CATALOG - DRY '!276:276,"AAAAAB1W5h4=",0)</f>
        <v>0</v>
      </c>
      <c r="AF20" t="e">
        <f>AND('STERLING CATALOG - DRY '!A276,"AAAAAB1W5h8=")</f>
        <v>#VALUE!</v>
      </c>
      <c r="AG20" t="e">
        <f>AND('STERLING CATALOG - DRY '!B276,"AAAAAB1W5iA=")</f>
        <v>#VALUE!</v>
      </c>
      <c r="AH20" t="e">
        <f>AND('STERLING CATALOG - DRY '!C276,"AAAAAB1W5iE=")</f>
        <v>#VALUE!</v>
      </c>
      <c r="AI20" t="e">
        <f>AND('STERLING CATALOG - DRY '!D276,"AAAAAB1W5iI=")</f>
        <v>#VALUE!</v>
      </c>
      <c r="AJ20" t="e">
        <f>AND('STERLING CATALOG - DRY '!E276,"AAAAAB1W5iM=")</f>
        <v>#VALUE!</v>
      </c>
      <c r="AK20" t="e">
        <f>AND('STERLING CATALOG - DRY '!F276,"AAAAAB1W5iQ=")</f>
        <v>#VALUE!</v>
      </c>
      <c r="AL20" t="e">
        <f>AND('STERLING CATALOG - DRY '!G276,"AAAAAB1W5iU=")</f>
        <v>#VALUE!</v>
      </c>
      <c r="AM20" t="e">
        <f>AND('STERLING CATALOG - DRY '!H276,"AAAAAB1W5iY=")</f>
        <v>#VALUE!</v>
      </c>
      <c r="AN20" t="e">
        <f>AND('STERLING CATALOG - DRY '!I276,"AAAAAB1W5ic=")</f>
        <v>#VALUE!</v>
      </c>
      <c r="AO20" t="e">
        <f>AND('STERLING CATALOG - DRY '!J276,"AAAAAB1W5ig=")</f>
        <v>#VALUE!</v>
      </c>
      <c r="AP20">
        <f>IF('STERLING CATALOG - DRY '!277:277,"AAAAAB1W5ik=",0)</f>
        <v>0</v>
      </c>
      <c r="AQ20" t="e">
        <f>AND('STERLING CATALOG - DRY '!A277,"AAAAAB1W5io=")</f>
        <v>#VALUE!</v>
      </c>
      <c r="AR20" t="e">
        <f>AND('STERLING CATALOG - DRY '!B277,"AAAAAB1W5is=")</f>
        <v>#VALUE!</v>
      </c>
      <c r="AS20" t="e">
        <f>AND('STERLING CATALOG - DRY '!C277,"AAAAAB1W5iw=")</f>
        <v>#VALUE!</v>
      </c>
      <c r="AT20" t="e">
        <f>AND('STERLING CATALOG - DRY '!D277,"AAAAAB1W5i0=")</f>
        <v>#VALUE!</v>
      </c>
      <c r="AU20" t="e">
        <f>AND('STERLING CATALOG - DRY '!E277,"AAAAAB1W5i4=")</f>
        <v>#VALUE!</v>
      </c>
      <c r="AV20" t="e">
        <f>AND('STERLING CATALOG - DRY '!F277,"AAAAAB1W5i8=")</f>
        <v>#VALUE!</v>
      </c>
      <c r="AW20" t="e">
        <f>AND('STERLING CATALOG - DRY '!G277,"AAAAAB1W5jA=")</f>
        <v>#VALUE!</v>
      </c>
      <c r="AX20" t="e">
        <f>AND('STERLING CATALOG - DRY '!H277,"AAAAAB1W5jE=")</f>
        <v>#VALUE!</v>
      </c>
      <c r="AY20" t="e">
        <f>AND('STERLING CATALOG - DRY '!I277,"AAAAAB1W5jI=")</f>
        <v>#VALUE!</v>
      </c>
      <c r="AZ20" t="e">
        <f>AND('STERLING CATALOG - DRY '!J277,"AAAAAB1W5jM=")</f>
        <v>#VALUE!</v>
      </c>
      <c r="BA20">
        <f>IF('STERLING CATALOG - DRY '!278:278,"AAAAAB1W5jQ=",0)</f>
        <v>0</v>
      </c>
      <c r="BB20" t="e">
        <f>AND('STERLING CATALOG - DRY '!A278,"AAAAAB1W5jU=")</f>
        <v>#VALUE!</v>
      </c>
      <c r="BC20" t="e">
        <f>AND('STERLING CATALOG - DRY '!B278,"AAAAAB1W5jY=")</f>
        <v>#VALUE!</v>
      </c>
      <c r="BD20" t="e">
        <f>AND('STERLING CATALOG - DRY '!C278,"AAAAAB1W5jc=")</f>
        <v>#VALUE!</v>
      </c>
      <c r="BE20" t="e">
        <f>AND('STERLING CATALOG - DRY '!D278,"AAAAAB1W5jg=")</f>
        <v>#VALUE!</v>
      </c>
      <c r="BF20" t="e">
        <f>AND('STERLING CATALOG - DRY '!E278,"AAAAAB1W5jk=")</f>
        <v>#VALUE!</v>
      </c>
      <c r="BG20" t="e">
        <f>AND('STERLING CATALOG - DRY '!F278,"AAAAAB1W5jo=")</f>
        <v>#VALUE!</v>
      </c>
      <c r="BH20" t="e">
        <f>AND('STERLING CATALOG - DRY '!G278,"AAAAAB1W5js=")</f>
        <v>#VALUE!</v>
      </c>
      <c r="BI20" t="e">
        <f>AND('STERLING CATALOG - DRY '!H278,"AAAAAB1W5jw=")</f>
        <v>#VALUE!</v>
      </c>
      <c r="BJ20" t="e">
        <f>AND('STERLING CATALOG - DRY '!I278,"AAAAAB1W5j0=")</f>
        <v>#VALUE!</v>
      </c>
      <c r="BK20" t="e">
        <f>AND('STERLING CATALOG - DRY '!J278,"AAAAAB1W5j4=")</f>
        <v>#VALUE!</v>
      </c>
      <c r="BL20">
        <f>IF('STERLING CATALOG - DRY '!279:279,"AAAAAB1W5j8=",0)</f>
        <v>0</v>
      </c>
      <c r="BM20" t="e">
        <f>AND('STERLING CATALOG - DRY '!A279,"AAAAAB1W5kA=")</f>
        <v>#VALUE!</v>
      </c>
      <c r="BN20" t="e">
        <f>AND('STERLING CATALOG - DRY '!B279,"AAAAAB1W5kE=")</f>
        <v>#VALUE!</v>
      </c>
      <c r="BO20" t="e">
        <f>AND('STERLING CATALOG - DRY '!C279,"AAAAAB1W5kI=")</f>
        <v>#VALUE!</v>
      </c>
      <c r="BP20" t="e">
        <f>AND('STERLING CATALOG - DRY '!D279,"AAAAAB1W5kM=")</f>
        <v>#VALUE!</v>
      </c>
      <c r="BQ20" t="e">
        <f>AND('STERLING CATALOG - DRY '!E279,"AAAAAB1W5kQ=")</f>
        <v>#VALUE!</v>
      </c>
      <c r="BR20" t="e">
        <f>AND('STERLING CATALOG - DRY '!F279,"AAAAAB1W5kU=")</f>
        <v>#VALUE!</v>
      </c>
      <c r="BS20" t="e">
        <f>AND('STERLING CATALOG - DRY '!G279,"AAAAAB1W5kY=")</f>
        <v>#VALUE!</v>
      </c>
      <c r="BT20" t="e">
        <f>AND('STERLING CATALOG - DRY '!H279,"AAAAAB1W5kc=")</f>
        <v>#VALUE!</v>
      </c>
      <c r="BU20" t="e">
        <f>AND('STERLING CATALOG - DRY '!I279,"AAAAAB1W5kg=")</f>
        <v>#VALUE!</v>
      </c>
      <c r="BV20" t="e">
        <f>AND('STERLING CATALOG - DRY '!J279,"AAAAAB1W5kk=")</f>
        <v>#VALUE!</v>
      </c>
      <c r="BW20">
        <f>IF('STERLING CATALOG - DRY '!280:280,"AAAAAB1W5ko=",0)</f>
        <v>0</v>
      </c>
      <c r="BX20" t="e">
        <f>AND('STERLING CATALOG - DRY '!A280,"AAAAAB1W5ks=")</f>
        <v>#VALUE!</v>
      </c>
      <c r="BY20" t="e">
        <f>AND('STERLING CATALOG - DRY '!B280,"AAAAAB1W5kw=")</f>
        <v>#VALUE!</v>
      </c>
      <c r="BZ20" t="e">
        <f>AND('STERLING CATALOG - DRY '!C280,"AAAAAB1W5k0=")</f>
        <v>#VALUE!</v>
      </c>
      <c r="CA20" t="e">
        <f>AND('STERLING CATALOG - DRY '!D280,"AAAAAB1W5k4=")</f>
        <v>#VALUE!</v>
      </c>
      <c r="CB20" t="e">
        <f>AND('STERLING CATALOG - DRY '!E280,"AAAAAB1W5k8=")</f>
        <v>#VALUE!</v>
      </c>
      <c r="CC20" t="e">
        <f>AND('STERLING CATALOG - DRY '!F280,"AAAAAB1W5lA=")</f>
        <v>#VALUE!</v>
      </c>
      <c r="CD20" t="e">
        <f>AND('STERLING CATALOG - DRY '!G280,"AAAAAB1W5lE=")</f>
        <v>#VALUE!</v>
      </c>
      <c r="CE20" t="e">
        <f>AND('STERLING CATALOG - DRY '!H280,"AAAAAB1W5lI=")</f>
        <v>#VALUE!</v>
      </c>
      <c r="CF20" t="e">
        <f>AND('STERLING CATALOG - DRY '!I280,"AAAAAB1W5lM=")</f>
        <v>#VALUE!</v>
      </c>
      <c r="CG20" t="e">
        <f>AND('STERLING CATALOG - DRY '!J280,"AAAAAB1W5lQ=")</f>
        <v>#VALUE!</v>
      </c>
      <c r="CH20">
        <f>IF('STERLING CATALOG - DRY '!281:281,"AAAAAB1W5lU=",0)</f>
        <v>0</v>
      </c>
      <c r="CI20" t="e">
        <f>AND('STERLING CATALOG - DRY '!A281,"AAAAAB1W5lY=")</f>
        <v>#VALUE!</v>
      </c>
      <c r="CJ20" t="e">
        <f>AND('STERLING CATALOG - DRY '!B281,"AAAAAB1W5lc=")</f>
        <v>#VALUE!</v>
      </c>
      <c r="CK20" t="e">
        <f>AND('STERLING CATALOG - DRY '!C281,"AAAAAB1W5lg=")</f>
        <v>#VALUE!</v>
      </c>
      <c r="CL20" t="e">
        <f>AND('STERLING CATALOG - DRY '!D281,"AAAAAB1W5lk=")</f>
        <v>#VALUE!</v>
      </c>
      <c r="CM20" t="e">
        <f>AND('STERLING CATALOG - DRY '!E281,"AAAAAB1W5lo=")</f>
        <v>#VALUE!</v>
      </c>
      <c r="CN20" t="e">
        <f>AND('STERLING CATALOG - DRY '!F281,"AAAAAB1W5ls=")</f>
        <v>#VALUE!</v>
      </c>
      <c r="CO20" t="e">
        <f>AND('STERLING CATALOG - DRY '!G281,"AAAAAB1W5lw=")</f>
        <v>#VALUE!</v>
      </c>
      <c r="CP20" t="e">
        <f>AND('STERLING CATALOG - DRY '!H281,"AAAAAB1W5l0=")</f>
        <v>#VALUE!</v>
      </c>
      <c r="CQ20" t="e">
        <f>AND('STERLING CATALOG - DRY '!I281,"AAAAAB1W5l4=")</f>
        <v>#VALUE!</v>
      </c>
      <c r="CR20" t="e">
        <f>AND('STERLING CATALOG - DRY '!J281,"AAAAAB1W5l8=")</f>
        <v>#VALUE!</v>
      </c>
      <c r="CS20">
        <f>IF('STERLING CATALOG - DRY '!282:282,"AAAAAB1W5mA=",0)</f>
        <v>0</v>
      </c>
      <c r="CT20" t="e">
        <f>AND('STERLING CATALOG - DRY '!A282,"AAAAAB1W5mE=")</f>
        <v>#VALUE!</v>
      </c>
      <c r="CU20" t="e">
        <f>AND('STERLING CATALOG - DRY '!B282,"AAAAAB1W5mI=")</f>
        <v>#VALUE!</v>
      </c>
      <c r="CV20" t="e">
        <f>AND('STERLING CATALOG - DRY '!C282,"AAAAAB1W5mM=")</f>
        <v>#VALUE!</v>
      </c>
      <c r="CW20" t="e">
        <f>AND('STERLING CATALOG - DRY '!D282,"AAAAAB1W5mQ=")</f>
        <v>#VALUE!</v>
      </c>
      <c r="CX20" t="e">
        <f>AND('STERLING CATALOG - DRY '!E282,"AAAAAB1W5mU=")</f>
        <v>#VALUE!</v>
      </c>
      <c r="CY20" t="e">
        <f>AND('STERLING CATALOG - DRY '!F282,"AAAAAB1W5mY=")</f>
        <v>#VALUE!</v>
      </c>
      <c r="CZ20" t="e">
        <f>AND('STERLING CATALOG - DRY '!G282,"AAAAAB1W5mc=")</f>
        <v>#VALUE!</v>
      </c>
      <c r="DA20" t="e">
        <f>AND('STERLING CATALOG - DRY '!H282,"AAAAAB1W5mg=")</f>
        <v>#VALUE!</v>
      </c>
      <c r="DB20" t="e">
        <f>AND('STERLING CATALOG - DRY '!I282,"AAAAAB1W5mk=")</f>
        <v>#VALUE!</v>
      </c>
      <c r="DC20" t="e">
        <f>AND('STERLING CATALOG - DRY '!J282,"AAAAAB1W5mo=")</f>
        <v>#VALUE!</v>
      </c>
      <c r="DD20">
        <f>IF('STERLING CATALOG - DRY '!283:283,"AAAAAB1W5ms=",0)</f>
        <v>0</v>
      </c>
      <c r="DE20" t="e">
        <f>AND('STERLING CATALOG - DRY '!A283,"AAAAAB1W5mw=")</f>
        <v>#VALUE!</v>
      </c>
      <c r="DF20" t="e">
        <f>AND('STERLING CATALOG - DRY '!B283,"AAAAAB1W5m0=")</f>
        <v>#VALUE!</v>
      </c>
      <c r="DG20" t="e">
        <f>AND('STERLING CATALOG - DRY '!C283,"AAAAAB1W5m4=")</f>
        <v>#VALUE!</v>
      </c>
      <c r="DH20" t="e">
        <f>AND('STERLING CATALOG - DRY '!D283,"AAAAAB1W5m8=")</f>
        <v>#VALUE!</v>
      </c>
      <c r="DI20" t="e">
        <f>AND('STERLING CATALOG - DRY '!E283,"AAAAAB1W5nA=")</f>
        <v>#VALUE!</v>
      </c>
      <c r="DJ20" t="e">
        <f>AND('STERLING CATALOG - DRY '!F283,"AAAAAB1W5nE=")</f>
        <v>#VALUE!</v>
      </c>
      <c r="DK20" t="e">
        <f>AND('STERLING CATALOG - DRY '!G283,"AAAAAB1W5nI=")</f>
        <v>#VALUE!</v>
      </c>
      <c r="DL20" t="e">
        <f>AND('STERLING CATALOG - DRY '!H283,"AAAAAB1W5nM=")</f>
        <v>#VALUE!</v>
      </c>
      <c r="DM20" t="e">
        <f>AND('STERLING CATALOG - DRY '!I283,"AAAAAB1W5nQ=")</f>
        <v>#VALUE!</v>
      </c>
      <c r="DN20" t="e">
        <f>AND('STERLING CATALOG - DRY '!J283,"AAAAAB1W5nU=")</f>
        <v>#VALUE!</v>
      </c>
      <c r="DO20">
        <f>IF('STERLING CATALOG - DRY '!284:284,"AAAAAB1W5nY=",0)</f>
        <v>0</v>
      </c>
      <c r="DP20" t="e">
        <f>AND('STERLING CATALOG - DRY '!A284,"AAAAAB1W5nc=")</f>
        <v>#VALUE!</v>
      </c>
      <c r="DQ20" t="e">
        <f>AND('STERLING CATALOG - DRY '!B284,"AAAAAB1W5ng=")</f>
        <v>#VALUE!</v>
      </c>
      <c r="DR20" t="e">
        <f>AND('STERLING CATALOG - DRY '!C284,"AAAAAB1W5nk=")</f>
        <v>#VALUE!</v>
      </c>
      <c r="DS20" t="e">
        <f>AND('STERLING CATALOG - DRY '!D284,"AAAAAB1W5no=")</f>
        <v>#VALUE!</v>
      </c>
      <c r="DT20" t="e">
        <f>AND('STERLING CATALOG - DRY '!E284,"AAAAAB1W5ns=")</f>
        <v>#VALUE!</v>
      </c>
      <c r="DU20" t="e">
        <f>AND('STERLING CATALOG - DRY '!F284,"AAAAAB1W5nw=")</f>
        <v>#VALUE!</v>
      </c>
      <c r="DV20" t="e">
        <f>AND('STERLING CATALOG - DRY '!G284,"AAAAAB1W5n0=")</f>
        <v>#VALUE!</v>
      </c>
      <c r="DW20" t="e">
        <f>AND('STERLING CATALOG - DRY '!H284,"AAAAAB1W5n4=")</f>
        <v>#VALUE!</v>
      </c>
      <c r="DX20" t="e">
        <f>AND('STERLING CATALOG - DRY '!I284,"AAAAAB1W5n8=")</f>
        <v>#VALUE!</v>
      </c>
      <c r="DY20" t="e">
        <f>AND('STERLING CATALOG - DRY '!J284,"AAAAAB1W5oA=")</f>
        <v>#VALUE!</v>
      </c>
      <c r="DZ20">
        <f>IF('STERLING CATALOG - DRY '!285:285,"AAAAAB1W5oE=",0)</f>
        <v>0</v>
      </c>
      <c r="EA20" t="e">
        <f>AND('STERLING CATALOG - DRY '!A285,"AAAAAB1W5oI=")</f>
        <v>#VALUE!</v>
      </c>
      <c r="EB20" t="e">
        <f>AND('STERLING CATALOG - DRY '!B285,"AAAAAB1W5oM=")</f>
        <v>#VALUE!</v>
      </c>
      <c r="EC20" t="e">
        <f>AND('STERLING CATALOG - DRY '!C285,"AAAAAB1W5oQ=")</f>
        <v>#VALUE!</v>
      </c>
      <c r="ED20" t="e">
        <f>AND('STERLING CATALOG - DRY '!D285,"AAAAAB1W5oU=")</f>
        <v>#VALUE!</v>
      </c>
      <c r="EE20" t="e">
        <f>AND('STERLING CATALOG - DRY '!E285,"AAAAAB1W5oY=")</f>
        <v>#VALUE!</v>
      </c>
      <c r="EF20" t="e">
        <f>AND('STERLING CATALOG - DRY '!F285,"AAAAAB1W5oc=")</f>
        <v>#VALUE!</v>
      </c>
      <c r="EG20" t="e">
        <f>AND('STERLING CATALOG - DRY '!G285,"AAAAAB1W5og=")</f>
        <v>#VALUE!</v>
      </c>
      <c r="EH20" t="e">
        <f>AND('STERLING CATALOG - DRY '!H285,"AAAAAB1W5ok=")</f>
        <v>#VALUE!</v>
      </c>
      <c r="EI20" t="e">
        <f>AND('STERLING CATALOG - DRY '!I285,"AAAAAB1W5oo=")</f>
        <v>#VALUE!</v>
      </c>
      <c r="EJ20" t="e">
        <f>AND('STERLING CATALOG - DRY '!J285,"AAAAAB1W5os=")</f>
        <v>#VALUE!</v>
      </c>
      <c r="EK20">
        <f>IF('STERLING CATALOG - DRY '!286:286,"AAAAAB1W5ow=",0)</f>
        <v>0</v>
      </c>
      <c r="EL20" t="e">
        <f>AND('STERLING CATALOG - DRY '!A286,"AAAAAB1W5o0=")</f>
        <v>#VALUE!</v>
      </c>
      <c r="EM20" t="e">
        <f>AND('STERLING CATALOG - DRY '!B286,"AAAAAB1W5o4=")</f>
        <v>#VALUE!</v>
      </c>
      <c r="EN20" t="e">
        <f>AND('STERLING CATALOG - DRY '!C286,"AAAAAB1W5o8=")</f>
        <v>#VALUE!</v>
      </c>
      <c r="EO20" t="e">
        <f>AND('STERLING CATALOG - DRY '!D286,"AAAAAB1W5pA=")</f>
        <v>#VALUE!</v>
      </c>
      <c r="EP20" t="e">
        <f>AND('STERLING CATALOG - DRY '!E286,"AAAAAB1W5pE=")</f>
        <v>#VALUE!</v>
      </c>
      <c r="EQ20" t="e">
        <f>AND('STERLING CATALOG - DRY '!F286,"AAAAAB1W5pI=")</f>
        <v>#VALUE!</v>
      </c>
      <c r="ER20" t="e">
        <f>AND('STERLING CATALOG - DRY '!G286,"AAAAAB1W5pM=")</f>
        <v>#VALUE!</v>
      </c>
      <c r="ES20" t="e">
        <f>AND('STERLING CATALOG - DRY '!H286,"AAAAAB1W5pQ=")</f>
        <v>#VALUE!</v>
      </c>
      <c r="ET20" t="e">
        <f>AND('STERLING CATALOG - DRY '!I286,"AAAAAB1W5pU=")</f>
        <v>#VALUE!</v>
      </c>
      <c r="EU20" t="e">
        <f>AND('STERLING CATALOG - DRY '!J286,"AAAAAB1W5pY=")</f>
        <v>#VALUE!</v>
      </c>
      <c r="EV20">
        <f>IF('STERLING CATALOG - DRY '!287:287,"AAAAAB1W5pc=",0)</f>
        <v>0</v>
      </c>
      <c r="EW20" t="e">
        <f>AND('STERLING CATALOG - DRY '!A287,"AAAAAB1W5pg=")</f>
        <v>#VALUE!</v>
      </c>
      <c r="EX20" t="e">
        <f>AND('STERLING CATALOG - DRY '!B287,"AAAAAB1W5pk=")</f>
        <v>#VALUE!</v>
      </c>
      <c r="EY20" t="e">
        <f>AND('STERLING CATALOG - DRY '!C287,"AAAAAB1W5po=")</f>
        <v>#VALUE!</v>
      </c>
      <c r="EZ20" t="e">
        <f>AND('STERLING CATALOG - DRY '!D287,"AAAAAB1W5ps=")</f>
        <v>#VALUE!</v>
      </c>
      <c r="FA20" t="e">
        <f>AND('STERLING CATALOG - DRY '!E287,"AAAAAB1W5pw=")</f>
        <v>#VALUE!</v>
      </c>
      <c r="FB20" t="e">
        <f>AND('STERLING CATALOG - DRY '!F287,"AAAAAB1W5p0=")</f>
        <v>#VALUE!</v>
      </c>
      <c r="FC20" t="e">
        <f>AND('STERLING CATALOG - DRY '!G287,"AAAAAB1W5p4=")</f>
        <v>#VALUE!</v>
      </c>
      <c r="FD20" t="e">
        <f>AND('STERLING CATALOG - DRY '!H287,"AAAAAB1W5p8=")</f>
        <v>#VALUE!</v>
      </c>
      <c r="FE20" t="e">
        <f>AND('STERLING CATALOG - DRY '!I287,"AAAAAB1W5qA=")</f>
        <v>#VALUE!</v>
      </c>
      <c r="FF20" t="e">
        <f>AND('STERLING CATALOG - DRY '!J287,"AAAAAB1W5qE=")</f>
        <v>#VALUE!</v>
      </c>
      <c r="FG20">
        <f>IF('STERLING CATALOG - DRY '!288:288,"AAAAAB1W5qI=",0)</f>
        <v>0</v>
      </c>
      <c r="FH20" t="e">
        <f>AND('STERLING CATALOG - DRY '!A288,"AAAAAB1W5qM=")</f>
        <v>#VALUE!</v>
      </c>
      <c r="FI20" t="e">
        <f>AND('STERLING CATALOG - DRY '!B288,"AAAAAB1W5qQ=")</f>
        <v>#VALUE!</v>
      </c>
      <c r="FJ20" t="e">
        <f>AND('STERLING CATALOG - DRY '!C288,"AAAAAB1W5qU=")</f>
        <v>#VALUE!</v>
      </c>
      <c r="FK20" t="e">
        <f>AND('STERLING CATALOG - DRY '!D288,"AAAAAB1W5qY=")</f>
        <v>#VALUE!</v>
      </c>
      <c r="FL20" t="e">
        <f>AND('STERLING CATALOG - DRY '!E288,"AAAAAB1W5qc=")</f>
        <v>#VALUE!</v>
      </c>
      <c r="FM20" t="e">
        <f>AND('STERLING CATALOG - DRY '!F288,"AAAAAB1W5qg=")</f>
        <v>#VALUE!</v>
      </c>
      <c r="FN20" t="e">
        <f>AND('STERLING CATALOG - DRY '!G288,"AAAAAB1W5qk=")</f>
        <v>#VALUE!</v>
      </c>
      <c r="FO20" t="e">
        <f>AND('STERLING CATALOG - DRY '!H288,"AAAAAB1W5qo=")</f>
        <v>#VALUE!</v>
      </c>
      <c r="FP20" t="e">
        <f>AND('STERLING CATALOG - DRY '!I288,"AAAAAB1W5qs=")</f>
        <v>#VALUE!</v>
      </c>
      <c r="FQ20" t="e">
        <f>AND('STERLING CATALOG - DRY '!J288,"AAAAAB1W5qw=")</f>
        <v>#VALUE!</v>
      </c>
      <c r="FR20">
        <f>IF('STERLING CATALOG - DRY '!289:289,"AAAAAB1W5q0=",0)</f>
        <v>0</v>
      </c>
      <c r="FS20" t="e">
        <f>AND('STERLING CATALOG - DRY '!A289,"AAAAAB1W5q4=")</f>
        <v>#VALUE!</v>
      </c>
      <c r="FT20" t="e">
        <f>AND('STERLING CATALOG - DRY '!B289,"AAAAAB1W5q8=")</f>
        <v>#VALUE!</v>
      </c>
      <c r="FU20" t="e">
        <f>AND('STERLING CATALOG - DRY '!C289,"AAAAAB1W5rA=")</f>
        <v>#VALUE!</v>
      </c>
      <c r="FV20" t="e">
        <f>AND('STERLING CATALOG - DRY '!D289,"AAAAAB1W5rE=")</f>
        <v>#VALUE!</v>
      </c>
      <c r="FW20" t="e">
        <f>AND('STERLING CATALOG - DRY '!E289,"AAAAAB1W5rI=")</f>
        <v>#VALUE!</v>
      </c>
      <c r="FX20" t="e">
        <f>AND('STERLING CATALOG - DRY '!F289,"AAAAAB1W5rM=")</f>
        <v>#VALUE!</v>
      </c>
      <c r="FY20" t="e">
        <f>AND('STERLING CATALOG - DRY '!G289,"AAAAAB1W5rQ=")</f>
        <v>#VALUE!</v>
      </c>
      <c r="FZ20" t="e">
        <f>AND('STERLING CATALOG - DRY '!H289,"AAAAAB1W5rU=")</f>
        <v>#VALUE!</v>
      </c>
      <c r="GA20" t="e">
        <f>AND('STERLING CATALOG - DRY '!I289,"AAAAAB1W5rY=")</f>
        <v>#VALUE!</v>
      </c>
      <c r="GB20" t="e">
        <f>AND('STERLING CATALOG - DRY '!J289,"AAAAAB1W5rc=")</f>
        <v>#VALUE!</v>
      </c>
      <c r="GC20">
        <f>IF('STERLING CATALOG - DRY '!290:290,"AAAAAB1W5rg=",0)</f>
        <v>0</v>
      </c>
      <c r="GD20" t="e">
        <f>AND('STERLING CATALOG - DRY '!A290,"AAAAAB1W5rk=")</f>
        <v>#VALUE!</v>
      </c>
      <c r="GE20" t="e">
        <f>AND('STERLING CATALOG - DRY '!B290,"AAAAAB1W5ro=")</f>
        <v>#VALUE!</v>
      </c>
      <c r="GF20" t="e">
        <f>AND('STERLING CATALOG - DRY '!C290,"AAAAAB1W5rs=")</f>
        <v>#VALUE!</v>
      </c>
      <c r="GG20" t="e">
        <f>AND('STERLING CATALOG - DRY '!D290,"AAAAAB1W5rw=")</f>
        <v>#VALUE!</v>
      </c>
      <c r="GH20" t="e">
        <f>AND('STERLING CATALOG - DRY '!E290,"AAAAAB1W5r0=")</f>
        <v>#VALUE!</v>
      </c>
      <c r="GI20" t="e">
        <f>AND('STERLING CATALOG - DRY '!F290,"AAAAAB1W5r4=")</f>
        <v>#VALUE!</v>
      </c>
      <c r="GJ20" t="e">
        <f>AND('STERLING CATALOG - DRY '!G290,"AAAAAB1W5r8=")</f>
        <v>#VALUE!</v>
      </c>
      <c r="GK20" t="e">
        <f>AND('STERLING CATALOG - DRY '!H290,"AAAAAB1W5sA=")</f>
        <v>#VALUE!</v>
      </c>
      <c r="GL20" t="e">
        <f>AND('STERLING CATALOG - DRY '!I290,"AAAAAB1W5sE=")</f>
        <v>#VALUE!</v>
      </c>
      <c r="GM20" t="e">
        <f>AND('STERLING CATALOG - DRY '!J290,"AAAAAB1W5sI=")</f>
        <v>#VALUE!</v>
      </c>
      <c r="GN20">
        <f>IF('STERLING CATALOG - DRY '!291:291,"AAAAAB1W5sM=",0)</f>
        <v>0</v>
      </c>
      <c r="GO20" t="e">
        <f>AND('STERLING CATALOG - DRY '!A291,"AAAAAB1W5sQ=")</f>
        <v>#VALUE!</v>
      </c>
      <c r="GP20" t="e">
        <f>AND('STERLING CATALOG - DRY '!B291,"AAAAAB1W5sU=")</f>
        <v>#VALUE!</v>
      </c>
      <c r="GQ20" t="e">
        <f>AND('STERLING CATALOG - DRY '!C291,"AAAAAB1W5sY=")</f>
        <v>#VALUE!</v>
      </c>
      <c r="GR20" t="e">
        <f>AND('STERLING CATALOG - DRY '!D291,"AAAAAB1W5sc=")</f>
        <v>#VALUE!</v>
      </c>
      <c r="GS20" t="e">
        <f>AND('STERLING CATALOG - DRY '!E291,"AAAAAB1W5sg=")</f>
        <v>#VALUE!</v>
      </c>
      <c r="GT20" t="e">
        <f>AND('STERLING CATALOG - DRY '!F291,"AAAAAB1W5sk=")</f>
        <v>#VALUE!</v>
      </c>
      <c r="GU20" t="e">
        <f>AND('STERLING CATALOG - DRY '!G291,"AAAAAB1W5so=")</f>
        <v>#VALUE!</v>
      </c>
      <c r="GV20" t="e">
        <f>AND('STERLING CATALOG - DRY '!H291,"AAAAAB1W5ss=")</f>
        <v>#VALUE!</v>
      </c>
      <c r="GW20" t="e">
        <f>AND('STERLING CATALOG - DRY '!I291,"AAAAAB1W5sw=")</f>
        <v>#VALUE!</v>
      </c>
      <c r="GX20" t="e">
        <f>AND('STERLING CATALOG - DRY '!J291,"AAAAAB1W5s0=")</f>
        <v>#VALUE!</v>
      </c>
      <c r="GY20">
        <f>IF('STERLING CATALOG - DRY '!292:292,"AAAAAB1W5s4=",0)</f>
        <v>0</v>
      </c>
      <c r="GZ20" t="e">
        <f>AND('STERLING CATALOG - DRY '!A292,"AAAAAB1W5s8=")</f>
        <v>#VALUE!</v>
      </c>
      <c r="HA20" t="e">
        <f>AND('STERLING CATALOG - DRY '!B292,"AAAAAB1W5tA=")</f>
        <v>#VALUE!</v>
      </c>
      <c r="HB20" t="e">
        <f>AND('STERLING CATALOG - DRY '!C292,"AAAAAB1W5tE=")</f>
        <v>#VALUE!</v>
      </c>
      <c r="HC20" t="e">
        <f>AND('STERLING CATALOG - DRY '!D292,"AAAAAB1W5tI=")</f>
        <v>#VALUE!</v>
      </c>
      <c r="HD20" t="e">
        <f>AND('STERLING CATALOG - DRY '!E292,"AAAAAB1W5tM=")</f>
        <v>#VALUE!</v>
      </c>
      <c r="HE20" t="e">
        <f>AND('STERLING CATALOG - DRY '!F292,"AAAAAB1W5tQ=")</f>
        <v>#VALUE!</v>
      </c>
      <c r="HF20" t="e">
        <f>AND('STERLING CATALOG - DRY '!G292,"AAAAAB1W5tU=")</f>
        <v>#VALUE!</v>
      </c>
      <c r="HG20" t="e">
        <f>AND('STERLING CATALOG - DRY '!H292,"AAAAAB1W5tY=")</f>
        <v>#VALUE!</v>
      </c>
      <c r="HH20" t="e">
        <f>AND('STERLING CATALOG - DRY '!I292,"AAAAAB1W5tc=")</f>
        <v>#VALUE!</v>
      </c>
      <c r="HI20" t="e">
        <f>AND('STERLING CATALOG - DRY '!J292,"AAAAAB1W5tg=")</f>
        <v>#VALUE!</v>
      </c>
      <c r="HJ20">
        <f>IF('STERLING CATALOG - DRY '!293:293,"AAAAAB1W5tk=",0)</f>
        <v>0</v>
      </c>
      <c r="HK20" t="e">
        <f>AND('STERLING CATALOG - DRY '!A293,"AAAAAB1W5to=")</f>
        <v>#VALUE!</v>
      </c>
      <c r="HL20" t="e">
        <f>AND('STERLING CATALOG - DRY '!B293,"AAAAAB1W5ts=")</f>
        <v>#VALUE!</v>
      </c>
      <c r="HM20" t="e">
        <f>AND('STERLING CATALOG - DRY '!C293,"AAAAAB1W5tw=")</f>
        <v>#VALUE!</v>
      </c>
      <c r="HN20" t="e">
        <f>AND('STERLING CATALOG - DRY '!D293,"AAAAAB1W5t0=")</f>
        <v>#VALUE!</v>
      </c>
      <c r="HO20" t="e">
        <f>AND('STERLING CATALOG - DRY '!E293,"AAAAAB1W5t4=")</f>
        <v>#VALUE!</v>
      </c>
      <c r="HP20" t="e">
        <f>AND('STERLING CATALOG - DRY '!F293,"AAAAAB1W5t8=")</f>
        <v>#VALUE!</v>
      </c>
      <c r="HQ20" t="e">
        <f>AND('STERLING CATALOG - DRY '!G293,"AAAAAB1W5uA=")</f>
        <v>#VALUE!</v>
      </c>
      <c r="HR20" t="e">
        <f>AND('STERLING CATALOG - DRY '!H293,"AAAAAB1W5uE=")</f>
        <v>#VALUE!</v>
      </c>
      <c r="HS20" t="e">
        <f>AND('STERLING CATALOG - DRY '!I293,"AAAAAB1W5uI=")</f>
        <v>#VALUE!</v>
      </c>
      <c r="HT20" t="e">
        <f>AND('STERLING CATALOG - DRY '!J293,"AAAAAB1W5uM=")</f>
        <v>#VALUE!</v>
      </c>
      <c r="HU20">
        <f>IF('STERLING CATALOG - DRY '!294:294,"AAAAAB1W5uQ=",0)</f>
        <v>0</v>
      </c>
      <c r="HV20" t="e">
        <f>AND('STERLING CATALOG - DRY '!A294,"AAAAAB1W5uU=")</f>
        <v>#VALUE!</v>
      </c>
      <c r="HW20" t="e">
        <f>AND('STERLING CATALOG - DRY '!B294,"AAAAAB1W5uY=")</f>
        <v>#VALUE!</v>
      </c>
      <c r="HX20" t="e">
        <f>AND('STERLING CATALOG - DRY '!C294,"AAAAAB1W5uc=")</f>
        <v>#VALUE!</v>
      </c>
      <c r="HY20" t="e">
        <f>AND('STERLING CATALOG - DRY '!D294,"AAAAAB1W5ug=")</f>
        <v>#VALUE!</v>
      </c>
      <c r="HZ20" t="e">
        <f>AND('STERLING CATALOG - DRY '!E294,"AAAAAB1W5uk=")</f>
        <v>#VALUE!</v>
      </c>
      <c r="IA20" t="e">
        <f>AND('STERLING CATALOG - DRY '!F294,"AAAAAB1W5uo=")</f>
        <v>#VALUE!</v>
      </c>
      <c r="IB20" t="e">
        <f>AND('STERLING CATALOG - DRY '!G294,"AAAAAB1W5us=")</f>
        <v>#VALUE!</v>
      </c>
      <c r="IC20" t="e">
        <f>AND('STERLING CATALOG - DRY '!H294,"AAAAAB1W5uw=")</f>
        <v>#VALUE!</v>
      </c>
      <c r="ID20" t="e">
        <f>AND('STERLING CATALOG - DRY '!I294,"AAAAAB1W5u0=")</f>
        <v>#VALUE!</v>
      </c>
      <c r="IE20" t="e">
        <f>AND('STERLING CATALOG - DRY '!J294,"AAAAAB1W5u4=")</f>
        <v>#VALUE!</v>
      </c>
      <c r="IF20">
        <f>IF('STERLING CATALOG - DRY '!295:295,"AAAAAB1W5u8=",0)</f>
        <v>0</v>
      </c>
      <c r="IG20" t="e">
        <f>AND('STERLING CATALOG - DRY '!A295,"AAAAAB1W5vA=")</f>
        <v>#VALUE!</v>
      </c>
      <c r="IH20" t="e">
        <f>AND('STERLING CATALOG - DRY '!B295,"AAAAAB1W5vE=")</f>
        <v>#VALUE!</v>
      </c>
      <c r="II20" t="e">
        <f>AND('STERLING CATALOG - DRY '!C295,"AAAAAB1W5vI=")</f>
        <v>#VALUE!</v>
      </c>
      <c r="IJ20" t="e">
        <f>AND('STERLING CATALOG - DRY '!D295,"AAAAAB1W5vM=")</f>
        <v>#VALUE!</v>
      </c>
      <c r="IK20" t="e">
        <f>AND('STERLING CATALOG - DRY '!E295,"AAAAAB1W5vQ=")</f>
        <v>#VALUE!</v>
      </c>
      <c r="IL20" t="e">
        <f>AND('STERLING CATALOG - DRY '!F295,"AAAAAB1W5vU=")</f>
        <v>#VALUE!</v>
      </c>
      <c r="IM20" t="e">
        <f>AND('STERLING CATALOG - DRY '!G295,"AAAAAB1W5vY=")</f>
        <v>#VALUE!</v>
      </c>
      <c r="IN20" t="e">
        <f>AND('STERLING CATALOG - DRY '!H295,"AAAAAB1W5vc=")</f>
        <v>#VALUE!</v>
      </c>
      <c r="IO20" t="e">
        <f>AND('STERLING CATALOG - DRY '!I295,"AAAAAB1W5vg=")</f>
        <v>#VALUE!</v>
      </c>
      <c r="IP20" t="e">
        <f>AND('STERLING CATALOG - DRY '!J295,"AAAAAB1W5vk=")</f>
        <v>#VALUE!</v>
      </c>
      <c r="IQ20">
        <f>IF('STERLING CATALOG - DRY '!296:296,"AAAAAB1W5vo=",0)</f>
        <v>0</v>
      </c>
      <c r="IR20" t="e">
        <f>AND('STERLING CATALOG - DRY '!A296,"AAAAAB1W5vs=")</f>
        <v>#VALUE!</v>
      </c>
      <c r="IS20" t="e">
        <f>AND('STERLING CATALOG - DRY '!B296,"AAAAAB1W5vw=")</f>
        <v>#VALUE!</v>
      </c>
      <c r="IT20" t="e">
        <f>AND('STERLING CATALOG - DRY '!C296,"AAAAAB1W5v0=")</f>
        <v>#VALUE!</v>
      </c>
      <c r="IU20" t="e">
        <f>AND('STERLING CATALOG - DRY '!D296,"AAAAAB1W5v4=")</f>
        <v>#VALUE!</v>
      </c>
      <c r="IV20" t="e">
        <f>AND('STERLING CATALOG - DRY '!E296,"AAAAAB1W5v8=")</f>
        <v>#VALUE!</v>
      </c>
    </row>
    <row r="21" spans="1:256">
      <c r="A21" t="e">
        <f>AND('STERLING CATALOG - DRY '!F296,"AAAAAG3fZgA=")</f>
        <v>#VALUE!</v>
      </c>
      <c r="B21" t="e">
        <f>AND('STERLING CATALOG - DRY '!G296,"AAAAAG3fZgE=")</f>
        <v>#VALUE!</v>
      </c>
      <c r="C21" t="e">
        <f>AND('STERLING CATALOG - DRY '!H296,"AAAAAG3fZgI=")</f>
        <v>#VALUE!</v>
      </c>
      <c r="D21" t="e">
        <f>AND('STERLING CATALOG - DRY '!I296,"AAAAAG3fZgM=")</f>
        <v>#VALUE!</v>
      </c>
      <c r="E21" t="e">
        <f>AND('STERLING CATALOG - DRY '!J296,"AAAAAG3fZgQ=")</f>
        <v>#VALUE!</v>
      </c>
      <c r="F21" t="str">
        <f>IF('STERLING CATALOG - DRY '!297:297,"AAAAAG3fZgU=",0)</f>
        <v>AAAAAG3fZgU=</v>
      </c>
      <c r="G21" t="e">
        <f>AND('STERLING CATALOG - DRY '!A297,"AAAAAG3fZgY=")</f>
        <v>#VALUE!</v>
      </c>
      <c r="H21" t="e">
        <f>AND('STERLING CATALOG - DRY '!B297,"AAAAAG3fZgc=")</f>
        <v>#VALUE!</v>
      </c>
      <c r="I21" t="e">
        <f>AND('STERLING CATALOG - DRY '!C297,"AAAAAG3fZgg=")</f>
        <v>#VALUE!</v>
      </c>
      <c r="J21" t="e">
        <f>AND('STERLING CATALOG - DRY '!D297,"AAAAAG3fZgk=")</f>
        <v>#VALUE!</v>
      </c>
      <c r="K21" t="e">
        <f>AND('STERLING CATALOG - DRY '!E297,"AAAAAG3fZgo=")</f>
        <v>#VALUE!</v>
      </c>
      <c r="L21" t="e">
        <f>AND('STERLING CATALOG - DRY '!F297,"AAAAAG3fZgs=")</f>
        <v>#VALUE!</v>
      </c>
      <c r="M21" t="e">
        <f>AND('STERLING CATALOG - DRY '!G297,"AAAAAG3fZgw=")</f>
        <v>#VALUE!</v>
      </c>
      <c r="N21" t="e">
        <f>AND('STERLING CATALOG - DRY '!H297,"AAAAAG3fZg0=")</f>
        <v>#VALUE!</v>
      </c>
      <c r="O21" t="e">
        <f>AND('STERLING CATALOG - DRY '!I297,"AAAAAG3fZg4=")</f>
        <v>#VALUE!</v>
      </c>
      <c r="P21" t="e">
        <f>AND('STERLING CATALOG - DRY '!J297,"AAAAAG3fZg8=")</f>
        <v>#VALUE!</v>
      </c>
      <c r="Q21">
        <f>IF('STERLING CATALOG - DRY '!298:298,"AAAAAG3fZhA=",0)</f>
        <v>0</v>
      </c>
      <c r="R21" t="e">
        <f>AND('STERLING CATALOG - DRY '!A298,"AAAAAG3fZhE=")</f>
        <v>#VALUE!</v>
      </c>
      <c r="S21" t="e">
        <f>AND('STERLING CATALOG - DRY '!B298,"AAAAAG3fZhI=")</f>
        <v>#VALUE!</v>
      </c>
      <c r="T21" t="e">
        <f>AND('STERLING CATALOG - DRY '!C298,"AAAAAG3fZhM=")</f>
        <v>#VALUE!</v>
      </c>
      <c r="U21" t="e">
        <f>AND('STERLING CATALOG - DRY '!D298,"AAAAAG3fZhQ=")</f>
        <v>#VALUE!</v>
      </c>
      <c r="V21" t="e">
        <f>AND('STERLING CATALOG - DRY '!E298,"AAAAAG3fZhU=")</f>
        <v>#VALUE!</v>
      </c>
      <c r="W21" t="e">
        <f>AND('STERLING CATALOG - DRY '!F298,"AAAAAG3fZhY=")</f>
        <v>#VALUE!</v>
      </c>
      <c r="X21" t="e">
        <f>AND('STERLING CATALOG - DRY '!G298,"AAAAAG3fZhc=")</f>
        <v>#VALUE!</v>
      </c>
      <c r="Y21" t="e">
        <f>AND('STERLING CATALOG - DRY '!H298,"AAAAAG3fZhg=")</f>
        <v>#VALUE!</v>
      </c>
      <c r="Z21" t="e">
        <f>AND('STERLING CATALOG - DRY '!I298,"AAAAAG3fZhk=")</f>
        <v>#VALUE!</v>
      </c>
      <c r="AA21" t="e">
        <f>AND('STERLING CATALOG - DRY '!J298,"AAAAAG3fZho=")</f>
        <v>#VALUE!</v>
      </c>
      <c r="AB21">
        <f>IF('STERLING CATALOG - DRY '!299:299,"AAAAAG3fZhs=",0)</f>
        <v>0</v>
      </c>
      <c r="AC21" t="e">
        <f>AND('STERLING CATALOG - DRY '!A299,"AAAAAG3fZhw=")</f>
        <v>#VALUE!</v>
      </c>
      <c r="AD21" t="e">
        <f>AND('STERLING CATALOG - DRY '!B299,"AAAAAG3fZh0=")</f>
        <v>#VALUE!</v>
      </c>
      <c r="AE21" t="e">
        <f>AND('STERLING CATALOG - DRY '!C299,"AAAAAG3fZh4=")</f>
        <v>#VALUE!</v>
      </c>
      <c r="AF21" t="e">
        <f>AND('STERLING CATALOG - DRY '!D299,"AAAAAG3fZh8=")</f>
        <v>#VALUE!</v>
      </c>
      <c r="AG21" t="e">
        <f>AND('STERLING CATALOG - DRY '!E299,"AAAAAG3fZiA=")</f>
        <v>#VALUE!</v>
      </c>
      <c r="AH21" t="e">
        <f>AND('STERLING CATALOG - DRY '!F299,"AAAAAG3fZiE=")</f>
        <v>#VALUE!</v>
      </c>
      <c r="AI21" t="e">
        <f>AND('STERLING CATALOG - DRY '!G299,"AAAAAG3fZiI=")</f>
        <v>#VALUE!</v>
      </c>
      <c r="AJ21" t="e">
        <f>AND('STERLING CATALOG - DRY '!H299,"AAAAAG3fZiM=")</f>
        <v>#VALUE!</v>
      </c>
      <c r="AK21" t="e">
        <f>AND('STERLING CATALOG - DRY '!I299,"AAAAAG3fZiQ=")</f>
        <v>#VALUE!</v>
      </c>
      <c r="AL21" t="e">
        <f>AND('STERLING CATALOG - DRY '!J299,"AAAAAG3fZiU=")</f>
        <v>#VALUE!</v>
      </c>
      <c r="AM21">
        <f>IF('STERLING CATALOG - DRY '!300:300,"AAAAAG3fZiY=",0)</f>
        <v>0</v>
      </c>
      <c r="AN21" t="e">
        <f>AND('STERLING CATALOG - DRY '!A300,"AAAAAG3fZic=")</f>
        <v>#VALUE!</v>
      </c>
      <c r="AO21" t="e">
        <f>AND('STERLING CATALOG - DRY '!B300,"AAAAAG3fZig=")</f>
        <v>#VALUE!</v>
      </c>
      <c r="AP21" t="e">
        <f>AND('STERLING CATALOG - DRY '!C300,"AAAAAG3fZik=")</f>
        <v>#VALUE!</v>
      </c>
      <c r="AQ21" t="e">
        <f>AND('STERLING CATALOG - DRY '!D300,"AAAAAG3fZio=")</f>
        <v>#VALUE!</v>
      </c>
      <c r="AR21" t="e">
        <f>AND('STERLING CATALOG - DRY '!E300,"AAAAAG3fZis=")</f>
        <v>#VALUE!</v>
      </c>
      <c r="AS21" t="e">
        <f>AND('STERLING CATALOG - DRY '!F300,"AAAAAG3fZiw=")</f>
        <v>#VALUE!</v>
      </c>
      <c r="AT21" t="e">
        <f>AND('STERLING CATALOG - DRY '!G300,"AAAAAG3fZi0=")</f>
        <v>#VALUE!</v>
      </c>
      <c r="AU21" t="e">
        <f>AND('STERLING CATALOG - DRY '!H300,"AAAAAG3fZi4=")</f>
        <v>#VALUE!</v>
      </c>
      <c r="AV21" t="e">
        <f>AND('STERLING CATALOG - DRY '!I300,"AAAAAG3fZi8=")</f>
        <v>#VALUE!</v>
      </c>
      <c r="AW21" t="e">
        <f>AND('STERLING CATALOG - DRY '!J300,"AAAAAG3fZjA=")</f>
        <v>#VALUE!</v>
      </c>
      <c r="AX21">
        <f>IF('STERLING CATALOG - DRY '!301:301,"AAAAAG3fZjE=",0)</f>
        <v>0</v>
      </c>
      <c r="AY21" t="e">
        <f>AND('STERLING CATALOG - DRY '!A301,"AAAAAG3fZjI=")</f>
        <v>#VALUE!</v>
      </c>
      <c r="AZ21" t="e">
        <f>AND('STERLING CATALOG - DRY '!B301,"AAAAAG3fZjM=")</f>
        <v>#VALUE!</v>
      </c>
      <c r="BA21" t="e">
        <f>AND('STERLING CATALOG - DRY '!C301,"AAAAAG3fZjQ=")</f>
        <v>#VALUE!</v>
      </c>
      <c r="BB21" t="e">
        <f>AND('STERLING CATALOG - DRY '!D301,"AAAAAG3fZjU=")</f>
        <v>#VALUE!</v>
      </c>
      <c r="BC21" t="e">
        <f>AND('STERLING CATALOG - DRY '!E301,"AAAAAG3fZjY=")</f>
        <v>#VALUE!</v>
      </c>
      <c r="BD21" t="e">
        <f>AND('STERLING CATALOG - DRY '!F301,"AAAAAG3fZjc=")</f>
        <v>#VALUE!</v>
      </c>
      <c r="BE21" t="e">
        <f>AND('STERLING CATALOG - DRY '!G301,"AAAAAG3fZjg=")</f>
        <v>#VALUE!</v>
      </c>
      <c r="BF21" t="e">
        <f>AND('STERLING CATALOG - DRY '!H301,"AAAAAG3fZjk=")</f>
        <v>#VALUE!</v>
      </c>
      <c r="BG21" t="e">
        <f>AND('STERLING CATALOG - DRY '!I301,"AAAAAG3fZjo=")</f>
        <v>#VALUE!</v>
      </c>
      <c r="BH21" t="e">
        <f>AND('STERLING CATALOG - DRY '!J301,"AAAAAG3fZjs=")</f>
        <v>#VALUE!</v>
      </c>
      <c r="BI21">
        <f>IF('STERLING CATALOG - DRY '!302:302,"AAAAAG3fZjw=",0)</f>
        <v>0</v>
      </c>
      <c r="BJ21" t="e">
        <f>AND('STERLING CATALOG - DRY '!A302,"AAAAAG3fZj0=")</f>
        <v>#VALUE!</v>
      </c>
      <c r="BK21" t="e">
        <f>AND('STERLING CATALOG - DRY '!B302,"AAAAAG3fZj4=")</f>
        <v>#VALUE!</v>
      </c>
      <c r="BL21" t="e">
        <f>AND('STERLING CATALOG - DRY '!C302,"AAAAAG3fZj8=")</f>
        <v>#VALUE!</v>
      </c>
      <c r="BM21" t="e">
        <f>AND('STERLING CATALOG - DRY '!D302,"AAAAAG3fZkA=")</f>
        <v>#VALUE!</v>
      </c>
      <c r="BN21" t="e">
        <f>AND('STERLING CATALOG - DRY '!E302,"AAAAAG3fZkE=")</f>
        <v>#VALUE!</v>
      </c>
      <c r="BO21" t="e">
        <f>AND('STERLING CATALOG - DRY '!F302,"AAAAAG3fZkI=")</f>
        <v>#VALUE!</v>
      </c>
      <c r="BP21" t="e">
        <f>AND('STERLING CATALOG - DRY '!G302,"AAAAAG3fZkM=")</f>
        <v>#VALUE!</v>
      </c>
      <c r="BQ21" t="e">
        <f>AND('STERLING CATALOG - DRY '!H302,"AAAAAG3fZkQ=")</f>
        <v>#VALUE!</v>
      </c>
      <c r="BR21" t="e">
        <f>AND('STERLING CATALOG - DRY '!I302,"AAAAAG3fZkU=")</f>
        <v>#VALUE!</v>
      </c>
      <c r="BS21" t="e">
        <f>AND('STERLING CATALOG - DRY '!J302,"AAAAAG3fZkY=")</f>
        <v>#VALUE!</v>
      </c>
      <c r="BT21">
        <f>IF('STERLING CATALOG - DRY '!303:303,"AAAAAG3fZkc=",0)</f>
        <v>0</v>
      </c>
      <c r="BU21" t="e">
        <f>AND('STERLING CATALOG - DRY '!A303,"AAAAAG3fZkg=")</f>
        <v>#VALUE!</v>
      </c>
      <c r="BV21" t="e">
        <f>AND('STERLING CATALOG - DRY '!B303,"AAAAAG3fZkk=")</f>
        <v>#VALUE!</v>
      </c>
      <c r="BW21" t="e">
        <f>AND('STERLING CATALOG - DRY '!C303,"AAAAAG3fZko=")</f>
        <v>#VALUE!</v>
      </c>
      <c r="BX21" t="e">
        <f>AND('STERLING CATALOG - DRY '!D303,"AAAAAG3fZks=")</f>
        <v>#VALUE!</v>
      </c>
      <c r="BY21" t="e">
        <f>AND('STERLING CATALOG - DRY '!E303,"AAAAAG3fZkw=")</f>
        <v>#VALUE!</v>
      </c>
      <c r="BZ21" t="e">
        <f>AND('STERLING CATALOG - DRY '!F303,"AAAAAG3fZk0=")</f>
        <v>#VALUE!</v>
      </c>
      <c r="CA21" t="e">
        <f>AND('STERLING CATALOG - DRY '!G303,"AAAAAG3fZk4=")</f>
        <v>#VALUE!</v>
      </c>
      <c r="CB21" t="e">
        <f>AND('STERLING CATALOG - DRY '!H303,"AAAAAG3fZk8=")</f>
        <v>#VALUE!</v>
      </c>
      <c r="CC21" t="e">
        <f>AND('STERLING CATALOG - DRY '!I303,"AAAAAG3fZlA=")</f>
        <v>#VALUE!</v>
      </c>
      <c r="CD21" t="e">
        <f>AND('STERLING CATALOG - DRY '!J303,"AAAAAG3fZlE=")</f>
        <v>#VALUE!</v>
      </c>
      <c r="CE21">
        <f>IF('STERLING CATALOG - DRY '!304:304,"AAAAAG3fZlI=",0)</f>
        <v>0</v>
      </c>
      <c r="CF21" t="e">
        <f>AND('STERLING CATALOG - DRY '!A304,"AAAAAG3fZlM=")</f>
        <v>#VALUE!</v>
      </c>
      <c r="CG21" t="e">
        <f>AND('STERLING CATALOG - DRY '!B304,"AAAAAG3fZlQ=")</f>
        <v>#VALUE!</v>
      </c>
      <c r="CH21" t="e">
        <f>AND('STERLING CATALOG - DRY '!C304,"AAAAAG3fZlU=")</f>
        <v>#VALUE!</v>
      </c>
      <c r="CI21" t="e">
        <f>AND('STERLING CATALOG - DRY '!D304,"AAAAAG3fZlY=")</f>
        <v>#VALUE!</v>
      </c>
      <c r="CJ21" t="e">
        <f>AND('STERLING CATALOG - DRY '!E304,"AAAAAG3fZlc=")</f>
        <v>#VALUE!</v>
      </c>
      <c r="CK21" t="e">
        <f>AND('STERLING CATALOG - DRY '!F304,"AAAAAG3fZlg=")</f>
        <v>#VALUE!</v>
      </c>
      <c r="CL21" t="e">
        <f>AND('STERLING CATALOG - DRY '!G304,"AAAAAG3fZlk=")</f>
        <v>#VALUE!</v>
      </c>
      <c r="CM21" t="e">
        <f>AND('STERLING CATALOG - DRY '!H304,"AAAAAG3fZlo=")</f>
        <v>#VALUE!</v>
      </c>
      <c r="CN21" t="e">
        <f>AND('STERLING CATALOG - DRY '!I304,"AAAAAG3fZls=")</f>
        <v>#VALUE!</v>
      </c>
      <c r="CO21" t="e">
        <f>AND('STERLING CATALOG - DRY '!J304,"AAAAAG3fZlw=")</f>
        <v>#VALUE!</v>
      </c>
      <c r="CP21">
        <f>IF('STERLING CATALOG - DRY '!305:305,"AAAAAG3fZl0=",0)</f>
        <v>0</v>
      </c>
      <c r="CQ21" t="e">
        <f>AND('STERLING CATALOG - DRY '!A305,"AAAAAG3fZl4=")</f>
        <v>#VALUE!</v>
      </c>
      <c r="CR21" t="e">
        <f>AND('STERLING CATALOG - DRY '!B305,"AAAAAG3fZl8=")</f>
        <v>#VALUE!</v>
      </c>
      <c r="CS21" t="e">
        <f>AND('STERLING CATALOG - DRY '!C305,"AAAAAG3fZmA=")</f>
        <v>#VALUE!</v>
      </c>
      <c r="CT21" t="e">
        <f>AND('STERLING CATALOG - DRY '!D305,"AAAAAG3fZmE=")</f>
        <v>#VALUE!</v>
      </c>
      <c r="CU21" t="e">
        <f>AND('STERLING CATALOG - DRY '!E305,"AAAAAG3fZmI=")</f>
        <v>#VALUE!</v>
      </c>
      <c r="CV21" t="e">
        <f>AND('STERLING CATALOG - DRY '!F305,"AAAAAG3fZmM=")</f>
        <v>#VALUE!</v>
      </c>
      <c r="CW21" t="e">
        <f>AND('STERLING CATALOG - DRY '!G305,"AAAAAG3fZmQ=")</f>
        <v>#VALUE!</v>
      </c>
      <c r="CX21" t="e">
        <f>AND('STERLING CATALOG - DRY '!H305,"AAAAAG3fZmU=")</f>
        <v>#VALUE!</v>
      </c>
      <c r="CY21" t="e">
        <f>AND('STERLING CATALOG - DRY '!I305,"AAAAAG3fZmY=")</f>
        <v>#VALUE!</v>
      </c>
      <c r="CZ21" t="e">
        <f>AND('STERLING CATALOG - DRY '!J305,"AAAAAG3fZmc=")</f>
        <v>#VALUE!</v>
      </c>
      <c r="DA21">
        <f>IF('STERLING CATALOG - DRY '!306:306,"AAAAAG3fZmg=",0)</f>
        <v>0</v>
      </c>
      <c r="DB21" t="e">
        <f>AND('STERLING CATALOG - DRY '!A306,"AAAAAG3fZmk=")</f>
        <v>#VALUE!</v>
      </c>
      <c r="DC21" t="e">
        <f>AND('STERLING CATALOG - DRY '!B306,"AAAAAG3fZmo=")</f>
        <v>#VALUE!</v>
      </c>
      <c r="DD21" t="e">
        <f>AND('STERLING CATALOG - DRY '!C306,"AAAAAG3fZms=")</f>
        <v>#VALUE!</v>
      </c>
      <c r="DE21" t="e">
        <f>AND('STERLING CATALOG - DRY '!D306,"AAAAAG3fZmw=")</f>
        <v>#VALUE!</v>
      </c>
      <c r="DF21" t="e">
        <f>AND('STERLING CATALOG - DRY '!E306,"AAAAAG3fZm0=")</f>
        <v>#VALUE!</v>
      </c>
      <c r="DG21" t="e">
        <f>AND('STERLING CATALOG - DRY '!F306,"AAAAAG3fZm4=")</f>
        <v>#VALUE!</v>
      </c>
      <c r="DH21" t="e">
        <f>AND('STERLING CATALOG - DRY '!G306,"AAAAAG3fZm8=")</f>
        <v>#VALUE!</v>
      </c>
      <c r="DI21" t="e">
        <f>AND('STERLING CATALOG - DRY '!H306,"AAAAAG3fZnA=")</f>
        <v>#VALUE!</v>
      </c>
      <c r="DJ21" t="e">
        <f>AND('STERLING CATALOG - DRY '!I306,"AAAAAG3fZnE=")</f>
        <v>#VALUE!</v>
      </c>
      <c r="DK21" t="e">
        <f>AND('STERLING CATALOG - DRY '!J306,"AAAAAG3fZnI=")</f>
        <v>#VALUE!</v>
      </c>
      <c r="DL21">
        <f>IF('STERLING CATALOG - DRY '!307:307,"AAAAAG3fZnM=",0)</f>
        <v>0</v>
      </c>
      <c r="DM21" t="e">
        <f>AND('STERLING CATALOG - DRY '!A307,"AAAAAG3fZnQ=")</f>
        <v>#VALUE!</v>
      </c>
      <c r="DN21" t="e">
        <f>AND('STERLING CATALOG - DRY '!B307,"AAAAAG3fZnU=")</f>
        <v>#VALUE!</v>
      </c>
      <c r="DO21" t="e">
        <f>AND('STERLING CATALOG - DRY '!C307,"AAAAAG3fZnY=")</f>
        <v>#VALUE!</v>
      </c>
      <c r="DP21" t="e">
        <f>AND('STERLING CATALOG - DRY '!D307,"AAAAAG3fZnc=")</f>
        <v>#VALUE!</v>
      </c>
      <c r="DQ21" t="e">
        <f>AND('STERLING CATALOG - DRY '!E307,"AAAAAG3fZng=")</f>
        <v>#VALUE!</v>
      </c>
      <c r="DR21" t="e">
        <f>AND('STERLING CATALOG - DRY '!F307,"AAAAAG3fZnk=")</f>
        <v>#VALUE!</v>
      </c>
      <c r="DS21" t="e">
        <f>AND('STERLING CATALOG - DRY '!G307,"AAAAAG3fZno=")</f>
        <v>#VALUE!</v>
      </c>
      <c r="DT21" t="e">
        <f>AND('STERLING CATALOG - DRY '!H307,"AAAAAG3fZns=")</f>
        <v>#VALUE!</v>
      </c>
      <c r="DU21" t="e">
        <f>AND('STERLING CATALOG - DRY '!I307,"AAAAAG3fZnw=")</f>
        <v>#VALUE!</v>
      </c>
      <c r="DV21" t="e">
        <f>AND('STERLING CATALOG - DRY '!J307,"AAAAAG3fZn0=")</f>
        <v>#VALUE!</v>
      </c>
      <c r="DW21">
        <f>IF('STERLING CATALOG - DRY '!308:308,"AAAAAG3fZn4=",0)</f>
        <v>0</v>
      </c>
      <c r="DX21" t="e">
        <f>AND('STERLING CATALOG - DRY '!A308,"AAAAAG3fZn8=")</f>
        <v>#VALUE!</v>
      </c>
      <c r="DY21" t="e">
        <f>AND('STERLING CATALOG - DRY '!B308,"AAAAAG3fZoA=")</f>
        <v>#VALUE!</v>
      </c>
      <c r="DZ21" t="e">
        <f>AND('STERLING CATALOG - DRY '!C308,"AAAAAG3fZoE=")</f>
        <v>#VALUE!</v>
      </c>
      <c r="EA21" t="e">
        <f>AND('STERLING CATALOG - DRY '!D308,"AAAAAG3fZoI=")</f>
        <v>#VALUE!</v>
      </c>
      <c r="EB21" t="e">
        <f>AND('STERLING CATALOG - DRY '!E308,"AAAAAG3fZoM=")</f>
        <v>#VALUE!</v>
      </c>
      <c r="EC21" t="e">
        <f>AND('STERLING CATALOG - DRY '!F308,"AAAAAG3fZoQ=")</f>
        <v>#VALUE!</v>
      </c>
      <c r="ED21" t="e">
        <f>AND('STERLING CATALOG - DRY '!G308,"AAAAAG3fZoU=")</f>
        <v>#VALUE!</v>
      </c>
      <c r="EE21" t="e">
        <f>AND('STERLING CATALOG - DRY '!H308,"AAAAAG3fZoY=")</f>
        <v>#VALUE!</v>
      </c>
      <c r="EF21" t="e">
        <f>AND('STERLING CATALOG - DRY '!I308,"AAAAAG3fZoc=")</f>
        <v>#VALUE!</v>
      </c>
      <c r="EG21" t="e">
        <f>AND('STERLING CATALOG - DRY '!J308,"AAAAAG3fZog=")</f>
        <v>#VALUE!</v>
      </c>
      <c r="EH21">
        <f>IF('STERLING CATALOG - DRY '!309:309,"AAAAAG3fZok=",0)</f>
        <v>0</v>
      </c>
      <c r="EI21" t="e">
        <f>AND('STERLING CATALOG - DRY '!A309,"AAAAAG3fZoo=")</f>
        <v>#VALUE!</v>
      </c>
      <c r="EJ21" t="e">
        <f>AND('STERLING CATALOG - DRY '!B309,"AAAAAG3fZos=")</f>
        <v>#VALUE!</v>
      </c>
      <c r="EK21" t="e">
        <f>AND('STERLING CATALOG - DRY '!C309,"AAAAAG3fZow=")</f>
        <v>#VALUE!</v>
      </c>
      <c r="EL21" t="e">
        <f>AND('STERLING CATALOG - DRY '!D309,"AAAAAG3fZo0=")</f>
        <v>#VALUE!</v>
      </c>
      <c r="EM21" t="e">
        <f>AND('STERLING CATALOG - DRY '!E309,"AAAAAG3fZo4=")</f>
        <v>#VALUE!</v>
      </c>
      <c r="EN21" t="e">
        <f>AND('STERLING CATALOG - DRY '!F309,"AAAAAG3fZo8=")</f>
        <v>#VALUE!</v>
      </c>
      <c r="EO21" t="e">
        <f>AND('STERLING CATALOG - DRY '!G309,"AAAAAG3fZpA=")</f>
        <v>#VALUE!</v>
      </c>
      <c r="EP21" t="e">
        <f>AND('STERLING CATALOG - DRY '!H309,"AAAAAG3fZpE=")</f>
        <v>#VALUE!</v>
      </c>
      <c r="EQ21" t="e">
        <f>AND('STERLING CATALOG - DRY '!I309,"AAAAAG3fZpI=")</f>
        <v>#VALUE!</v>
      </c>
      <c r="ER21" t="e">
        <f>AND('STERLING CATALOG - DRY '!J309,"AAAAAG3fZpM=")</f>
        <v>#VALUE!</v>
      </c>
      <c r="ES21">
        <f>IF('STERLING CATALOG - DRY '!310:310,"AAAAAG3fZpQ=",0)</f>
        <v>0</v>
      </c>
      <c r="ET21" t="e">
        <f>AND('STERLING CATALOG - DRY '!A310,"AAAAAG3fZpU=")</f>
        <v>#VALUE!</v>
      </c>
      <c r="EU21" t="e">
        <f>AND('STERLING CATALOG - DRY '!B310,"AAAAAG3fZpY=")</f>
        <v>#VALUE!</v>
      </c>
      <c r="EV21" t="e">
        <f>AND('STERLING CATALOG - DRY '!C310,"AAAAAG3fZpc=")</f>
        <v>#VALUE!</v>
      </c>
      <c r="EW21" t="e">
        <f>AND('STERLING CATALOG - DRY '!D310,"AAAAAG3fZpg=")</f>
        <v>#VALUE!</v>
      </c>
      <c r="EX21" t="e">
        <f>AND('STERLING CATALOG - DRY '!E310,"AAAAAG3fZpk=")</f>
        <v>#VALUE!</v>
      </c>
      <c r="EY21" t="e">
        <f>AND('STERLING CATALOG - DRY '!F310,"AAAAAG3fZpo=")</f>
        <v>#VALUE!</v>
      </c>
      <c r="EZ21" t="e">
        <f>AND('STERLING CATALOG - DRY '!G310,"AAAAAG3fZps=")</f>
        <v>#VALUE!</v>
      </c>
      <c r="FA21" t="e">
        <f>AND('STERLING CATALOG - DRY '!H310,"AAAAAG3fZpw=")</f>
        <v>#VALUE!</v>
      </c>
      <c r="FB21" t="e">
        <f>AND('STERLING CATALOG - DRY '!I310,"AAAAAG3fZp0=")</f>
        <v>#VALUE!</v>
      </c>
      <c r="FC21" t="e">
        <f>AND('STERLING CATALOG - DRY '!J310,"AAAAAG3fZp4=")</f>
        <v>#VALUE!</v>
      </c>
      <c r="FD21">
        <f>IF('STERLING CATALOG - DRY '!311:311,"AAAAAG3fZp8=",0)</f>
        <v>0</v>
      </c>
      <c r="FE21" t="e">
        <f>AND('STERLING CATALOG - DRY '!A311,"AAAAAG3fZqA=")</f>
        <v>#VALUE!</v>
      </c>
      <c r="FF21" t="e">
        <f>AND('STERLING CATALOG - DRY '!B311,"AAAAAG3fZqE=")</f>
        <v>#VALUE!</v>
      </c>
      <c r="FG21" t="e">
        <f>AND('STERLING CATALOG - DRY '!C311,"AAAAAG3fZqI=")</f>
        <v>#VALUE!</v>
      </c>
      <c r="FH21" t="e">
        <f>AND('STERLING CATALOG - DRY '!D311,"AAAAAG3fZqM=")</f>
        <v>#VALUE!</v>
      </c>
      <c r="FI21" t="e">
        <f>AND('STERLING CATALOG - DRY '!E311,"AAAAAG3fZqQ=")</f>
        <v>#VALUE!</v>
      </c>
      <c r="FJ21" t="e">
        <f>AND('STERLING CATALOG - DRY '!F311,"AAAAAG3fZqU=")</f>
        <v>#VALUE!</v>
      </c>
      <c r="FK21" t="e">
        <f>AND('STERLING CATALOG - DRY '!G311,"AAAAAG3fZqY=")</f>
        <v>#VALUE!</v>
      </c>
      <c r="FL21" t="e">
        <f>AND('STERLING CATALOG - DRY '!H311,"AAAAAG3fZqc=")</f>
        <v>#VALUE!</v>
      </c>
      <c r="FM21" t="e">
        <f>AND('STERLING CATALOG - DRY '!I311,"AAAAAG3fZqg=")</f>
        <v>#VALUE!</v>
      </c>
      <c r="FN21" t="e">
        <f>AND('STERLING CATALOG - DRY '!J311,"AAAAAG3fZqk=")</f>
        <v>#VALUE!</v>
      </c>
      <c r="FO21">
        <f>IF('STERLING CATALOG - DRY '!312:312,"AAAAAG3fZqo=",0)</f>
        <v>0</v>
      </c>
      <c r="FP21" t="e">
        <f>AND('STERLING CATALOG - DRY '!A312,"AAAAAG3fZqs=")</f>
        <v>#VALUE!</v>
      </c>
      <c r="FQ21" t="e">
        <f>AND('STERLING CATALOG - DRY '!B312,"AAAAAG3fZqw=")</f>
        <v>#VALUE!</v>
      </c>
      <c r="FR21" t="e">
        <f>AND('STERLING CATALOG - DRY '!C312,"AAAAAG3fZq0=")</f>
        <v>#VALUE!</v>
      </c>
      <c r="FS21" t="e">
        <f>AND('STERLING CATALOG - DRY '!D312,"AAAAAG3fZq4=")</f>
        <v>#VALUE!</v>
      </c>
      <c r="FT21" t="e">
        <f>AND('STERLING CATALOG - DRY '!E312,"AAAAAG3fZq8=")</f>
        <v>#VALUE!</v>
      </c>
      <c r="FU21" t="e">
        <f>AND('STERLING CATALOG - DRY '!F312,"AAAAAG3fZrA=")</f>
        <v>#VALUE!</v>
      </c>
      <c r="FV21" t="e">
        <f>AND('STERLING CATALOG - DRY '!G312,"AAAAAG3fZrE=")</f>
        <v>#VALUE!</v>
      </c>
      <c r="FW21" t="e">
        <f>AND('STERLING CATALOG - DRY '!H312,"AAAAAG3fZrI=")</f>
        <v>#VALUE!</v>
      </c>
      <c r="FX21" t="e">
        <f>AND('STERLING CATALOG - DRY '!I312,"AAAAAG3fZrM=")</f>
        <v>#VALUE!</v>
      </c>
      <c r="FY21" t="e">
        <f>AND('STERLING CATALOG - DRY '!J312,"AAAAAG3fZrQ=")</f>
        <v>#VALUE!</v>
      </c>
      <c r="FZ21">
        <f>IF('STERLING CATALOG - DRY '!313:313,"AAAAAG3fZrU=",0)</f>
        <v>0</v>
      </c>
      <c r="GA21" t="e">
        <f>AND('STERLING CATALOG - DRY '!A313,"AAAAAG3fZrY=")</f>
        <v>#VALUE!</v>
      </c>
      <c r="GB21" t="e">
        <f>AND('STERLING CATALOG - DRY '!B313,"AAAAAG3fZrc=")</f>
        <v>#VALUE!</v>
      </c>
      <c r="GC21" t="e">
        <f>AND('STERLING CATALOG - DRY '!C313,"AAAAAG3fZrg=")</f>
        <v>#VALUE!</v>
      </c>
      <c r="GD21" t="e">
        <f>AND('STERLING CATALOG - DRY '!D313,"AAAAAG3fZrk=")</f>
        <v>#VALUE!</v>
      </c>
      <c r="GE21" t="e">
        <f>AND('STERLING CATALOG - DRY '!E313,"AAAAAG3fZro=")</f>
        <v>#VALUE!</v>
      </c>
      <c r="GF21" t="e">
        <f>AND('STERLING CATALOG - DRY '!F313,"AAAAAG3fZrs=")</f>
        <v>#VALUE!</v>
      </c>
      <c r="GG21" t="e">
        <f>AND('STERLING CATALOG - DRY '!G313,"AAAAAG3fZrw=")</f>
        <v>#VALUE!</v>
      </c>
      <c r="GH21" t="e">
        <f>AND('STERLING CATALOG - DRY '!H313,"AAAAAG3fZr0=")</f>
        <v>#VALUE!</v>
      </c>
      <c r="GI21" t="e">
        <f>AND('STERLING CATALOG - DRY '!I313,"AAAAAG3fZr4=")</f>
        <v>#VALUE!</v>
      </c>
      <c r="GJ21" t="e">
        <f>AND('STERLING CATALOG - DRY '!J313,"AAAAAG3fZr8=")</f>
        <v>#VALUE!</v>
      </c>
      <c r="GK21">
        <f>IF('STERLING CATALOG - DRY '!314:314,"AAAAAG3fZsA=",0)</f>
        <v>0</v>
      </c>
      <c r="GL21" t="e">
        <f>AND('STERLING CATALOG - DRY '!A314,"AAAAAG3fZsE=")</f>
        <v>#VALUE!</v>
      </c>
      <c r="GM21" t="e">
        <f>AND('STERLING CATALOG - DRY '!B314,"AAAAAG3fZsI=")</f>
        <v>#VALUE!</v>
      </c>
      <c r="GN21" t="e">
        <f>AND('STERLING CATALOG - DRY '!C314,"AAAAAG3fZsM=")</f>
        <v>#VALUE!</v>
      </c>
      <c r="GO21" t="e">
        <f>AND('STERLING CATALOG - DRY '!D314,"AAAAAG3fZsQ=")</f>
        <v>#VALUE!</v>
      </c>
      <c r="GP21" t="e">
        <f>AND('STERLING CATALOG - DRY '!E314,"AAAAAG3fZsU=")</f>
        <v>#VALUE!</v>
      </c>
      <c r="GQ21" t="e">
        <f>AND('STERLING CATALOG - DRY '!F314,"AAAAAG3fZsY=")</f>
        <v>#VALUE!</v>
      </c>
      <c r="GR21" t="e">
        <f>AND('STERLING CATALOG - DRY '!G314,"AAAAAG3fZsc=")</f>
        <v>#VALUE!</v>
      </c>
      <c r="GS21" t="e">
        <f>AND('STERLING CATALOG - DRY '!H314,"AAAAAG3fZsg=")</f>
        <v>#VALUE!</v>
      </c>
      <c r="GT21" t="e">
        <f>AND('STERLING CATALOG - DRY '!I314,"AAAAAG3fZsk=")</f>
        <v>#VALUE!</v>
      </c>
      <c r="GU21" t="e">
        <f>AND('STERLING CATALOG - DRY '!J314,"AAAAAG3fZso=")</f>
        <v>#VALUE!</v>
      </c>
      <c r="GV21">
        <f>IF('STERLING CATALOG - DRY '!315:315,"AAAAAG3fZss=",0)</f>
        <v>0</v>
      </c>
      <c r="GW21" t="e">
        <f>AND('STERLING CATALOG - DRY '!A315,"AAAAAG3fZsw=")</f>
        <v>#VALUE!</v>
      </c>
      <c r="GX21" t="e">
        <f>AND('STERLING CATALOG - DRY '!B315,"AAAAAG3fZs0=")</f>
        <v>#VALUE!</v>
      </c>
      <c r="GY21" t="e">
        <f>AND('STERLING CATALOG - DRY '!C315,"AAAAAG3fZs4=")</f>
        <v>#VALUE!</v>
      </c>
      <c r="GZ21" t="e">
        <f>AND('STERLING CATALOG - DRY '!D315,"AAAAAG3fZs8=")</f>
        <v>#VALUE!</v>
      </c>
      <c r="HA21" t="e">
        <f>AND('STERLING CATALOG - DRY '!E315,"AAAAAG3fZtA=")</f>
        <v>#VALUE!</v>
      </c>
      <c r="HB21" t="e">
        <f>AND('STERLING CATALOG - DRY '!F315,"AAAAAG3fZtE=")</f>
        <v>#VALUE!</v>
      </c>
      <c r="HC21" t="e">
        <f>AND('STERLING CATALOG - DRY '!G315,"AAAAAG3fZtI=")</f>
        <v>#VALUE!</v>
      </c>
      <c r="HD21" t="e">
        <f>AND('STERLING CATALOG - DRY '!H315,"AAAAAG3fZtM=")</f>
        <v>#VALUE!</v>
      </c>
      <c r="HE21" t="e">
        <f>AND('STERLING CATALOG - DRY '!I315,"AAAAAG3fZtQ=")</f>
        <v>#VALUE!</v>
      </c>
      <c r="HF21" t="e">
        <f>AND('STERLING CATALOG - DRY '!J315,"AAAAAG3fZtU=")</f>
        <v>#VALUE!</v>
      </c>
      <c r="HG21">
        <f>IF('STERLING CATALOG - DRY '!316:316,"AAAAAG3fZtY=",0)</f>
        <v>0</v>
      </c>
      <c r="HH21" t="e">
        <f>AND('STERLING CATALOG - DRY '!A316,"AAAAAG3fZtc=")</f>
        <v>#VALUE!</v>
      </c>
      <c r="HI21" t="e">
        <f>AND('STERLING CATALOG - DRY '!B316,"AAAAAG3fZtg=")</f>
        <v>#VALUE!</v>
      </c>
      <c r="HJ21" t="e">
        <f>AND('STERLING CATALOG - DRY '!C316,"AAAAAG3fZtk=")</f>
        <v>#VALUE!</v>
      </c>
      <c r="HK21" t="e">
        <f>AND('STERLING CATALOG - DRY '!D316,"AAAAAG3fZto=")</f>
        <v>#VALUE!</v>
      </c>
      <c r="HL21" t="e">
        <f>AND('STERLING CATALOG - DRY '!E316,"AAAAAG3fZts=")</f>
        <v>#VALUE!</v>
      </c>
      <c r="HM21" t="e">
        <f>AND('STERLING CATALOG - DRY '!F316,"AAAAAG3fZtw=")</f>
        <v>#VALUE!</v>
      </c>
      <c r="HN21" t="e">
        <f>AND('STERLING CATALOG - DRY '!G316,"AAAAAG3fZt0=")</f>
        <v>#VALUE!</v>
      </c>
      <c r="HO21" t="e">
        <f>AND('STERLING CATALOG - DRY '!H316,"AAAAAG3fZt4=")</f>
        <v>#VALUE!</v>
      </c>
      <c r="HP21" t="e">
        <f>AND('STERLING CATALOG - DRY '!I316,"AAAAAG3fZt8=")</f>
        <v>#VALUE!</v>
      </c>
      <c r="HQ21" t="e">
        <f>AND('STERLING CATALOG - DRY '!J316,"AAAAAG3fZuA=")</f>
        <v>#VALUE!</v>
      </c>
      <c r="HR21">
        <f>IF('STERLING CATALOG - DRY '!317:317,"AAAAAG3fZuE=",0)</f>
        <v>0</v>
      </c>
      <c r="HS21" t="e">
        <f>AND('STERLING CATALOG - DRY '!A317,"AAAAAG3fZuI=")</f>
        <v>#VALUE!</v>
      </c>
      <c r="HT21" t="e">
        <f>AND('STERLING CATALOG - DRY '!B317,"AAAAAG3fZuM=")</f>
        <v>#VALUE!</v>
      </c>
      <c r="HU21" t="e">
        <f>AND('STERLING CATALOG - DRY '!C317,"AAAAAG3fZuQ=")</f>
        <v>#VALUE!</v>
      </c>
      <c r="HV21" t="e">
        <f>AND('STERLING CATALOG - DRY '!D317,"AAAAAG3fZuU=")</f>
        <v>#VALUE!</v>
      </c>
      <c r="HW21" t="e">
        <f>AND('STERLING CATALOG - DRY '!E317,"AAAAAG3fZuY=")</f>
        <v>#VALUE!</v>
      </c>
      <c r="HX21" t="e">
        <f>AND('STERLING CATALOG - DRY '!F317,"AAAAAG3fZuc=")</f>
        <v>#VALUE!</v>
      </c>
      <c r="HY21" t="e">
        <f>AND('STERLING CATALOG - DRY '!G317,"AAAAAG3fZug=")</f>
        <v>#VALUE!</v>
      </c>
      <c r="HZ21" t="e">
        <f>AND('STERLING CATALOG - DRY '!H317,"AAAAAG3fZuk=")</f>
        <v>#VALUE!</v>
      </c>
      <c r="IA21" t="e">
        <f>AND('STERLING CATALOG - DRY '!I317,"AAAAAG3fZuo=")</f>
        <v>#VALUE!</v>
      </c>
      <c r="IB21" t="e">
        <f>AND('STERLING CATALOG - DRY '!J317,"AAAAAG3fZus=")</f>
        <v>#VALUE!</v>
      </c>
      <c r="IC21">
        <f>IF('STERLING CATALOG - DRY '!318:318,"AAAAAG3fZuw=",0)</f>
        <v>0</v>
      </c>
      <c r="ID21" t="e">
        <f>AND('STERLING CATALOG - DRY '!A318,"AAAAAG3fZu0=")</f>
        <v>#VALUE!</v>
      </c>
      <c r="IE21" t="e">
        <f>AND('STERLING CATALOG - DRY '!B318,"AAAAAG3fZu4=")</f>
        <v>#VALUE!</v>
      </c>
      <c r="IF21" t="e">
        <f>AND('STERLING CATALOG - DRY '!C318,"AAAAAG3fZu8=")</f>
        <v>#VALUE!</v>
      </c>
      <c r="IG21" t="e">
        <f>AND('STERLING CATALOG - DRY '!D318,"AAAAAG3fZvA=")</f>
        <v>#VALUE!</v>
      </c>
      <c r="IH21" t="e">
        <f>AND('STERLING CATALOG - DRY '!E318,"AAAAAG3fZvE=")</f>
        <v>#VALUE!</v>
      </c>
      <c r="II21" t="e">
        <f>AND('STERLING CATALOG - DRY '!F318,"AAAAAG3fZvI=")</f>
        <v>#VALUE!</v>
      </c>
      <c r="IJ21" t="e">
        <f>AND('STERLING CATALOG - DRY '!G318,"AAAAAG3fZvM=")</f>
        <v>#VALUE!</v>
      </c>
      <c r="IK21" t="e">
        <f>AND('STERLING CATALOG - DRY '!H318,"AAAAAG3fZvQ=")</f>
        <v>#VALUE!</v>
      </c>
      <c r="IL21" t="e">
        <f>AND('STERLING CATALOG - DRY '!I318,"AAAAAG3fZvU=")</f>
        <v>#VALUE!</v>
      </c>
      <c r="IM21" t="e">
        <f>AND('STERLING CATALOG - DRY '!J318,"AAAAAG3fZvY=")</f>
        <v>#VALUE!</v>
      </c>
      <c r="IN21">
        <f>IF('STERLING CATALOG - DRY '!319:319,"AAAAAG3fZvc=",0)</f>
        <v>0</v>
      </c>
      <c r="IO21" t="e">
        <f>AND('STERLING CATALOG - DRY '!A319,"AAAAAG3fZvg=")</f>
        <v>#VALUE!</v>
      </c>
      <c r="IP21" t="e">
        <f>AND('STERLING CATALOG - DRY '!B319,"AAAAAG3fZvk=")</f>
        <v>#VALUE!</v>
      </c>
      <c r="IQ21" t="e">
        <f>AND('STERLING CATALOG - DRY '!C319,"AAAAAG3fZvo=")</f>
        <v>#VALUE!</v>
      </c>
      <c r="IR21" t="e">
        <f>AND('STERLING CATALOG - DRY '!D319,"AAAAAG3fZvs=")</f>
        <v>#VALUE!</v>
      </c>
      <c r="IS21" t="e">
        <f>AND('STERLING CATALOG - DRY '!E319,"AAAAAG3fZvw=")</f>
        <v>#VALUE!</v>
      </c>
      <c r="IT21" t="e">
        <f>AND('STERLING CATALOG - DRY '!F319,"AAAAAG3fZv0=")</f>
        <v>#VALUE!</v>
      </c>
      <c r="IU21" t="e">
        <f>AND('STERLING CATALOG - DRY '!G319,"AAAAAG3fZv4=")</f>
        <v>#VALUE!</v>
      </c>
      <c r="IV21" t="e">
        <f>AND('STERLING CATALOG - DRY '!H319,"AAAAAG3fZv8=")</f>
        <v>#VALUE!</v>
      </c>
    </row>
    <row r="22" spans="1:256">
      <c r="A22" t="e">
        <f>AND('STERLING CATALOG - DRY '!I319,"AAAAAHz/sQA=")</f>
        <v>#VALUE!</v>
      </c>
      <c r="B22" t="e">
        <f>AND('STERLING CATALOG - DRY '!J319,"AAAAAHz/sQE=")</f>
        <v>#VALUE!</v>
      </c>
      <c r="C22" t="str">
        <f>IF('STERLING CATALOG - DRY '!320:320,"AAAAAHz/sQI=",0)</f>
        <v>AAAAAHz/sQI=</v>
      </c>
      <c r="D22" t="e">
        <f>AND('STERLING CATALOG - DRY '!A320,"AAAAAHz/sQM=")</f>
        <v>#VALUE!</v>
      </c>
      <c r="E22" t="e">
        <f>AND('STERLING CATALOG - DRY '!B320,"AAAAAHz/sQQ=")</f>
        <v>#VALUE!</v>
      </c>
      <c r="F22" t="e">
        <f>AND('STERLING CATALOG - DRY '!C320,"AAAAAHz/sQU=")</f>
        <v>#VALUE!</v>
      </c>
      <c r="G22" t="e">
        <f>AND('STERLING CATALOG - DRY '!D320,"AAAAAHz/sQY=")</f>
        <v>#VALUE!</v>
      </c>
      <c r="H22" t="e">
        <f>AND('STERLING CATALOG - DRY '!E320,"AAAAAHz/sQc=")</f>
        <v>#VALUE!</v>
      </c>
      <c r="I22" t="e">
        <f>AND('STERLING CATALOG - DRY '!F320,"AAAAAHz/sQg=")</f>
        <v>#VALUE!</v>
      </c>
      <c r="J22" t="e">
        <f>AND('STERLING CATALOG - DRY '!G320,"AAAAAHz/sQk=")</f>
        <v>#VALUE!</v>
      </c>
      <c r="K22" t="e">
        <f>AND('STERLING CATALOG - DRY '!H320,"AAAAAHz/sQo=")</f>
        <v>#VALUE!</v>
      </c>
      <c r="L22" t="e">
        <f>AND('STERLING CATALOG - DRY '!I320,"AAAAAHz/sQs=")</f>
        <v>#VALUE!</v>
      </c>
      <c r="M22" t="e">
        <f>AND('STERLING CATALOG - DRY '!J320,"AAAAAHz/sQw=")</f>
        <v>#VALUE!</v>
      </c>
      <c r="N22">
        <f>IF('STERLING CATALOG - DRY '!321:321,"AAAAAHz/sQ0=",0)</f>
        <v>0</v>
      </c>
      <c r="O22" t="e">
        <f>AND('STERLING CATALOG - DRY '!A321,"AAAAAHz/sQ4=")</f>
        <v>#VALUE!</v>
      </c>
      <c r="P22" t="e">
        <f>AND('STERLING CATALOG - DRY '!B321,"AAAAAHz/sQ8=")</f>
        <v>#VALUE!</v>
      </c>
      <c r="Q22" t="e">
        <f>AND('STERLING CATALOG - DRY '!C321,"AAAAAHz/sRA=")</f>
        <v>#VALUE!</v>
      </c>
      <c r="R22" t="e">
        <f>AND('STERLING CATALOG - DRY '!D321,"AAAAAHz/sRE=")</f>
        <v>#VALUE!</v>
      </c>
      <c r="S22" t="e">
        <f>AND('STERLING CATALOG - DRY '!E321,"AAAAAHz/sRI=")</f>
        <v>#VALUE!</v>
      </c>
      <c r="T22" t="e">
        <f>AND('STERLING CATALOG - DRY '!F321,"AAAAAHz/sRM=")</f>
        <v>#VALUE!</v>
      </c>
      <c r="U22" t="e">
        <f>AND('STERLING CATALOG - DRY '!G321,"AAAAAHz/sRQ=")</f>
        <v>#VALUE!</v>
      </c>
      <c r="V22" t="e">
        <f>AND('STERLING CATALOG - DRY '!H321,"AAAAAHz/sRU=")</f>
        <v>#VALUE!</v>
      </c>
      <c r="W22" t="e">
        <f>AND('STERLING CATALOG - DRY '!I321,"AAAAAHz/sRY=")</f>
        <v>#VALUE!</v>
      </c>
      <c r="X22" t="e">
        <f>AND('STERLING CATALOG - DRY '!J321,"AAAAAHz/sRc=")</f>
        <v>#VALUE!</v>
      </c>
      <c r="Y22">
        <f>IF('STERLING CATALOG - DRY '!322:322,"AAAAAHz/sRg=",0)</f>
        <v>0</v>
      </c>
      <c r="Z22" t="e">
        <f>AND('STERLING CATALOG - DRY '!A322,"AAAAAHz/sRk=")</f>
        <v>#VALUE!</v>
      </c>
      <c r="AA22" t="e">
        <f>AND('STERLING CATALOG - DRY '!B322,"AAAAAHz/sRo=")</f>
        <v>#VALUE!</v>
      </c>
      <c r="AB22" t="e">
        <f>AND('STERLING CATALOG - DRY '!C322,"AAAAAHz/sRs=")</f>
        <v>#VALUE!</v>
      </c>
      <c r="AC22" t="e">
        <f>AND('STERLING CATALOG - DRY '!D322,"AAAAAHz/sRw=")</f>
        <v>#VALUE!</v>
      </c>
      <c r="AD22" t="e">
        <f>AND('STERLING CATALOG - DRY '!E322,"AAAAAHz/sR0=")</f>
        <v>#VALUE!</v>
      </c>
      <c r="AE22" t="e">
        <f>AND('STERLING CATALOG - DRY '!F322,"AAAAAHz/sR4=")</f>
        <v>#VALUE!</v>
      </c>
      <c r="AF22" t="e">
        <f>AND('STERLING CATALOG - DRY '!G322,"AAAAAHz/sR8=")</f>
        <v>#VALUE!</v>
      </c>
      <c r="AG22" t="e">
        <f>AND('STERLING CATALOG - DRY '!H322,"AAAAAHz/sSA=")</f>
        <v>#VALUE!</v>
      </c>
      <c r="AH22" t="e">
        <f>AND('STERLING CATALOG - DRY '!I322,"AAAAAHz/sSE=")</f>
        <v>#VALUE!</v>
      </c>
      <c r="AI22" t="e">
        <f>AND('STERLING CATALOG - DRY '!J322,"AAAAAHz/sSI=")</f>
        <v>#VALUE!</v>
      </c>
      <c r="AJ22">
        <f>IF('STERLING CATALOG - DRY '!323:323,"AAAAAHz/sSM=",0)</f>
        <v>0</v>
      </c>
      <c r="AK22" t="e">
        <f>AND('STERLING CATALOG - DRY '!A323,"AAAAAHz/sSQ=")</f>
        <v>#VALUE!</v>
      </c>
      <c r="AL22" t="e">
        <f>AND('STERLING CATALOG - DRY '!B323,"AAAAAHz/sSU=")</f>
        <v>#VALUE!</v>
      </c>
      <c r="AM22" t="e">
        <f>AND('STERLING CATALOG - DRY '!C323,"AAAAAHz/sSY=")</f>
        <v>#VALUE!</v>
      </c>
      <c r="AN22" t="e">
        <f>AND('STERLING CATALOG - DRY '!D323,"AAAAAHz/sSc=")</f>
        <v>#VALUE!</v>
      </c>
      <c r="AO22" t="e">
        <f>AND('STERLING CATALOG - DRY '!E323,"AAAAAHz/sSg=")</f>
        <v>#VALUE!</v>
      </c>
      <c r="AP22" t="e">
        <f>AND('STERLING CATALOG - DRY '!F323,"AAAAAHz/sSk=")</f>
        <v>#VALUE!</v>
      </c>
      <c r="AQ22" t="e">
        <f>AND('STERLING CATALOG - DRY '!G323,"AAAAAHz/sSo=")</f>
        <v>#VALUE!</v>
      </c>
      <c r="AR22" t="e">
        <f>AND('STERLING CATALOG - DRY '!H323,"AAAAAHz/sSs=")</f>
        <v>#VALUE!</v>
      </c>
      <c r="AS22" t="e">
        <f>AND('STERLING CATALOG - DRY '!I323,"AAAAAHz/sSw=")</f>
        <v>#VALUE!</v>
      </c>
      <c r="AT22" t="e">
        <f>AND('STERLING CATALOG - DRY '!J323,"AAAAAHz/sS0=")</f>
        <v>#VALUE!</v>
      </c>
      <c r="AU22">
        <f>IF('STERLING CATALOG - DRY '!324:324,"AAAAAHz/sS4=",0)</f>
        <v>0</v>
      </c>
      <c r="AV22" t="e">
        <f>AND('STERLING CATALOG - DRY '!A324,"AAAAAHz/sS8=")</f>
        <v>#VALUE!</v>
      </c>
      <c r="AW22" t="e">
        <f>AND('STERLING CATALOG - DRY '!B324,"AAAAAHz/sTA=")</f>
        <v>#VALUE!</v>
      </c>
      <c r="AX22" t="e">
        <f>AND('STERLING CATALOG - DRY '!C324,"AAAAAHz/sTE=")</f>
        <v>#VALUE!</v>
      </c>
      <c r="AY22" t="e">
        <f>AND('STERLING CATALOG - DRY '!D324,"AAAAAHz/sTI=")</f>
        <v>#VALUE!</v>
      </c>
      <c r="AZ22" t="e">
        <f>AND('STERLING CATALOG - DRY '!E324,"AAAAAHz/sTM=")</f>
        <v>#VALUE!</v>
      </c>
      <c r="BA22" t="e">
        <f>AND('STERLING CATALOG - DRY '!F324,"AAAAAHz/sTQ=")</f>
        <v>#VALUE!</v>
      </c>
      <c r="BB22" t="e">
        <f>AND('STERLING CATALOG - DRY '!G324,"AAAAAHz/sTU=")</f>
        <v>#VALUE!</v>
      </c>
      <c r="BC22" t="e">
        <f>AND('STERLING CATALOG - DRY '!H324,"AAAAAHz/sTY=")</f>
        <v>#VALUE!</v>
      </c>
      <c r="BD22" t="e">
        <f>AND('STERLING CATALOG - DRY '!I324,"AAAAAHz/sTc=")</f>
        <v>#VALUE!</v>
      </c>
      <c r="BE22" t="e">
        <f>AND('STERLING CATALOG - DRY '!J324,"AAAAAHz/sTg=")</f>
        <v>#VALUE!</v>
      </c>
      <c r="BF22">
        <f>IF('STERLING CATALOG - DRY '!325:325,"AAAAAHz/sTk=",0)</f>
        <v>0</v>
      </c>
      <c r="BG22" t="e">
        <f>AND('STERLING CATALOG - DRY '!A325,"AAAAAHz/sTo=")</f>
        <v>#VALUE!</v>
      </c>
      <c r="BH22" t="e">
        <f>AND('STERLING CATALOG - DRY '!B325,"AAAAAHz/sTs=")</f>
        <v>#VALUE!</v>
      </c>
      <c r="BI22" t="e">
        <f>AND('STERLING CATALOG - DRY '!C325,"AAAAAHz/sTw=")</f>
        <v>#VALUE!</v>
      </c>
      <c r="BJ22" t="e">
        <f>AND('STERLING CATALOG - DRY '!D325,"AAAAAHz/sT0=")</f>
        <v>#VALUE!</v>
      </c>
      <c r="BK22" t="e">
        <f>AND('STERLING CATALOG - DRY '!E325,"AAAAAHz/sT4=")</f>
        <v>#VALUE!</v>
      </c>
      <c r="BL22" t="e">
        <f>AND('STERLING CATALOG - DRY '!F325,"AAAAAHz/sT8=")</f>
        <v>#VALUE!</v>
      </c>
      <c r="BM22" t="e">
        <f>AND('STERLING CATALOG - DRY '!G325,"AAAAAHz/sUA=")</f>
        <v>#VALUE!</v>
      </c>
      <c r="BN22" t="e">
        <f>AND('STERLING CATALOG - DRY '!H325,"AAAAAHz/sUE=")</f>
        <v>#VALUE!</v>
      </c>
      <c r="BO22" t="e">
        <f>AND('STERLING CATALOG - DRY '!I325,"AAAAAHz/sUI=")</f>
        <v>#VALUE!</v>
      </c>
      <c r="BP22" t="e">
        <f>AND('STERLING CATALOG - DRY '!J325,"AAAAAHz/sUM=")</f>
        <v>#VALUE!</v>
      </c>
      <c r="BQ22">
        <f>IF('STERLING CATALOG - DRY '!326:326,"AAAAAHz/sUQ=",0)</f>
        <v>0</v>
      </c>
      <c r="BR22" t="e">
        <f>AND('STERLING CATALOG - DRY '!A326,"AAAAAHz/sUU=")</f>
        <v>#VALUE!</v>
      </c>
      <c r="BS22" t="e">
        <f>AND('STERLING CATALOG - DRY '!B326,"AAAAAHz/sUY=")</f>
        <v>#VALUE!</v>
      </c>
      <c r="BT22" t="e">
        <f>AND('STERLING CATALOG - DRY '!C326,"AAAAAHz/sUc=")</f>
        <v>#VALUE!</v>
      </c>
      <c r="BU22" t="e">
        <f>AND('STERLING CATALOG - DRY '!D326,"AAAAAHz/sUg=")</f>
        <v>#VALUE!</v>
      </c>
      <c r="BV22" t="e">
        <f>AND('STERLING CATALOG - DRY '!E326,"AAAAAHz/sUk=")</f>
        <v>#VALUE!</v>
      </c>
      <c r="BW22" t="e">
        <f>AND('STERLING CATALOG - DRY '!F326,"AAAAAHz/sUo=")</f>
        <v>#VALUE!</v>
      </c>
      <c r="BX22" t="e">
        <f>AND('STERLING CATALOG - DRY '!G326,"AAAAAHz/sUs=")</f>
        <v>#VALUE!</v>
      </c>
      <c r="BY22" t="e">
        <f>AND('STERLING CATALOG - DRY '!H326,"AAAAAHz/sUw=")</f>
        <v>#VALUE!</v>
      </c>
      <c r="BZ22" t="e">
        <f>AND('STERLING CATALOG - DRY '!I326,"AAAAAHz/sU0=")</f>
        <v>#VALUE!</v>
      </c>
      <c r="CA22" t="e">
        <f>AND('STERLING CATALOG - DRY '!J326,"AAAAAHz/sU4=")</f>
        <v>#VALUE!</v>
      </c>
      <c r="CB22">
        <f>IF('STERLING CATALOG - DRY '!327:327,"AAAAAHz/sU8=",0)</f>
        <v>0</v>
      </c>
      <c r="CC22" t="e">
        <f>AND('STERLING CATALOG - DRY '!A327,"AAAAAHz/sVA=")</f>
        <v>#VALUE!</v>
      </c>
      <c r="CD22" t="e">
        <f>AND('STERLING CATALOG - DRY '!B327,"AAAAAHz/sVE=")</f>
        <v>#VALUE!</v>
      </c>
      <c r="CE22" t="e">
        <f>AND('STERLING CATALOG - DRY '!C327,"AAAAAHz/sVI=")</f>
        <v>#VALUE!</v>
      </c>
      <c r="CF22" t="e">
        <f>AND('STERLING CATALOG - DRY '!D327,"AAAAAHz/sVM=")</f>
        <v>#VALUE!</v>
      </c>
      <c r="CG22" t="e">
        <f>AND('STERLING CATALOG - DRY '!E327,"AAAAAHz/sVQ=")</f>
        <v>#VALUE!</v>
      </c>
      <c r="CH22" t="e">
        <f>AND('STERLING CATALOG - DRY '!F327,"AAAAAHz/sVU=")</f>
        <v>#VALUE!</v>
      </c>
      <c r="CI22" t="e">
        <f>AND('STERLING CATALOG - DRY '!G327,"AAAAAHz/sVY=")</f>
        <v>#VALUE!</v>
      </c>
      <c r="CJ22" t="e">
        <f>AND('STERLING CATALOG - DRY '!H327,"AAAAAHz/sVc=")</f>
        <v>#VALUE!</v>
      </c>
      <c r="CK22" t="e">
        <f>AND('STERLING CATALOG - DRY '!I327,"AAAAAHz/sVg=")</f>
        <v>#VALUE!</v>
      </c>
      <c r="CL22" t="e">
        <f>AND('STERLING CATALOG - DRY '!J327,"AAAAAHz/sVk=")</f>
        <v>#VALUE!</v>
      </c>
      <c r="CM22">
        <f>IF('STERLING CATALOG - DRY '!328:328,"AAAAAHz/sVo=",0)</f>
        <v>0</v>
      </c>
      <c r="CN22" t="e">
        <f>AND('STERLING CATALOG - DRY '!A328,"AAAAAHz/sVs=")</f>
        <v>#VALUE!</v>
      </c>
      <c r="CO22" t="e">
        <f>AND('STERLING CATALOG - DRY '!B328,"AAAAAHz/sVw=")</f>
        <v>#VALUE!</v>
      </c>
      <c r="CP22" t="e">
        <f>AND('STERLING CATALOG - DRY '!C328,"AAAAAHz/sV0=")</f>
        <v>#VALUE!</v>
      </c>
      <c r="CQ22" t="e">
        <f>AND('STERLING CATALOG - DRY '!D328,"AAAAAHz/sV4=")</f>
        <v>#VALUE!</v>
      </c>
      <c r="CR22" t="e">
        <f>AND('STERLING CATALOG - DRY '!E328,"AAAAAHz/sV8=")</f>
        <v>#VALUE!</v>
      </c>
      <c r="CS22" t="e">
        <f>AND('STERLING CATALOG - DRY '!F328,"AAAAAHz/sWA=")</f>
        <v>#VALUE!</v>
      </c>
      <c r="CT22" t="e">
        <f>AND('STERLING CATALOG - DRY '!G328,"AAAAAHz/sWE=")</f>
        <v>#VALUE!</v>
      </c>
      <c r="CU22" t="e">
        <f>AND('STERLING CATALOG - DRY '!H328,"AAAAAHz/sWI=")</f>
        <v>#VALUE!</v>
      </c>
      <c r="CV22" t="e">
        <f>AND('STERLING CATALOG - DRY '!I328,"AAAAAHz/sWM=")</f>
        <v>#VALUE!</v>
      </c>
      <c r="CW22" t="e">
        <f>AND('STERLING CATALOG - DRY '!J328,"AAAAAHz/sWQ=")</f>
        <v>#VALUE!</v>
      </c>
      <c r="CX22">
        <f>IF('STERLING CATALOG - DRY '!329:329,"AAAAAHz/sWU=",0)</f>
        <v>0</v>
      </c>
      <c r="CY22" t="e">
        <f>AND('STERLING CATALOG - DRY '!A329,"AAAAAHz/sWY=")</f>
        <v>#VALUE!</v>
      </c>
      <c r="CZ22" t="e">
        <f>AND('STERLING CATALOG - DRY '!B329,"AAAAAHz/sWc=")</f>
        <v>#VALUE!</v>
      </c>
      <c r="DA22" t="e">
        <f>AND('STERLING CATALOG - DRY '!C329,"AAAAAHz/sWg=")</f>
        <v>#VALUE!</v>
      </c>
      <c r="DB22" t="e">
        <f>AND('STERLING CATALOG - DRY '!D329,"AAAAAHz/sWk=")</f>
        <v>#VALUE!</v>
      </c>
      <c r="DC22" t="e">
        <f>AND('STERLING CATALOG - DRY '!E329,"AAAAAHz/sWo=")</f>
        <v>#VALUE!</v>
      </c>
      <c r="DD22" t="e">
        <f>AND('STERLING CATALOG - DRY '!F329,"AAAAAHz/sWs=")</f>
        <v>#VALUE!</v>
      </c>
      <c r="DE22" t="e">
        <f>AND('STERLING CATALOG - DRY '!G329,"AAAAAHz/sWw=")</f>
        <v>#VALUE!</v>
      </c>
      <c r="DF22" t="e">
        <f>AND('STERLING CATALOG - DRY '!H329,"AAAAAHz/sW0=")</f>
        <v>#VALUE!</v>
      </c>
      <c r="DG22" t="e">
        <f>AND('STERLING CATALOG - DRY '!I329,"AAAAAHz/sW4=")</f>
        <v>#VALUE!</v>
      </c>
      <c r="DH22" t="e">
        <f>AND('STERLING CATALOG - DRY '!J329,"AAAAAHz/sW8=")</f>
        <v>#VALUE!</v>
      </c>
      <c r="DI22">
        <f>IF('STERLING CATALOG - DRY '!330:330,"AAAAAHz/sXA=",0)</f>
        <v>0</v>
      </c>
      <c r="DJ22" t="e">
        <f>AND('STERLING CATALOG - DRY '!A330,"AAAAAHz/sXE=")</f>
        <v>#VALUE!</v>
      </c>
      <c r="DK22" t="e">
        <f>AND('STERLING CATALOG - DRY '!B330,"AAAAAHz/sXI=")</f>
        <v>#VALUE!</v>
      </c>
      <c r="DL22" t="e">
        <f>AND('STERLING CATALOG - DRY '!C330,"AAAAAHz/sXM=")</f>
        <v>#VALUE!</v>
      </c>
      <c r="DM22" t="e">
        <f>AND('STERLING CATALOG - DRY '!D330,"AAAAAHz/sXQ=")</f>
        <v>#VALUE!</v>
      </c>
      <c r="DN22" t="e">
        <f>AND('STERLING CATALOG - DRY '!E330,"AAAAAHz/sXU=")</f>
        <v>#VALUE!</v>
      </c>
      <c r="DO22" t="e">
        <f>AND('STERLING CATALOG - DRY '!F330,"AAAAAHz/sXY=")</f>
        <v>#VALUE!</v>
      </c>
      <c r="DP22" t="e">
        <f>AND('STERLING CATALOG - DRY '!G330,"AAAAAHz/sXc=")</f>
        <v>#VALUE!</v>
      </c>
      <c r="DQ22" t="e">
        <f>AND('STERLING CATALOG - DRY '!H330,"AAAAAHz/sXg=")</f>
        <v>#VALUE!</v>
      </c>
      <c r="DR22" t="e">
        <f>AND('STERLING CATALOG - DRY '!I330,"AAAAAHz/sXk=")</f>
        <v>#VALUE!</v>
      </c>
      <c r="DS22" t="e">
        <f>AND('STERLING CATALOG - DRY '!J330,"AAAAAHz/sXo=")</f>
        <v>#VALUE!</v>
      </c>
      <c r="DT22">
        <f>IF('STERLING CATALOG - DRY '!331:331,"AAAAAHz/sXs=",0)</f>
        <v>0</v>
      </c>
      <c r="DU22" t="e">
        <f>AND('STERLING CATALOG - DRY '!A331,"AAAAAHz/sXw=")</f>
        <v>#VALUE!</v>
      </c>
      <c r="DV22" t="e">
        <f>AND('STERLING CATALOG - DRY '!B331,"AAAAAHz/sX0=")</f>
        <v>#VALUE!</v>
      </c>
      <c r="DW22" t="e">
        <f>AND('STERLING CATALOG - DRY '!C331,"AAAAAHz/sX4=")</f>
        <v>#VALUE!</v>
      </c>
      <c r="DX22" t="e">
        <f>AND('STERLING CATALOG - DRY '!D331,"AAAAAHz/sX8=")</f>
        <v>#VALUE!</v>
      </c>
      <c r="DY22" t="e">
        <f>AND('STERLING CATALOG - DRY '!E331,"AAAAAHz/sYA=")</f>
        <v>#VALUE!</v>
      </c>
      <c r="DZ22" t="e">
        <f>AND('STERLING CATALOG - DRY '!F331,"AAAAAHz/sYE=")</f>
        <v>#VALUE!</v>
      </c>
      <c r="EA22" t="e">
        <f>AND('STERLING CATALOG - DRY '!G331,"AAAAAHz/sYI=")</f>
        <v>#VALUE!</v>
      </c>
      <c r="EB22" t="e">
        <f>AND('STERLING CATALOG - DRY '!H331,"AAAAAHz/sYM=")</f>
        <v>#VALUE!</v>
      </c>
      <c r="EC22" t="e">
        <f>AND('STERLING CATALOG - DRY '!I331,"AAAAAHz/sYQ=")</f>
        <v>#VALUE!</v>
      </c>
      <c r="ED22" t="e">
        <f>AND('STERLING CATALOG - DRY '!J331,"AAAAAHz/sYU=")</f>
        <v>#VALUE!</v>
      </c>
      <c r="EE22">
        <f>IF('STERLING CATALOG - DRY '!332:332,"AAAAAHz/sYY=",0)</f>
        <v>0</v>
      </c>
      <c r="EF22" t="e">
        <f>AND('STERLING CATALOG - DRY '!A332,"AAAAAHz/sYc=")</f>
        <v>#VALUE!</v>
      </c>
      <c r="EG22" t="e">
        <f>AND('STERLING CATALOG - DRY '!B332,"AAAAAHz/sYg=")</f>
        <v>#VALUE!</v>
      </c>
      <c r="EH22" t="e">
        <f>AND('STERLING CATALOG - DRY '!C332,"AAAAAHz/sYk=")</f>
        <v>#VALUE!</v>
      </c>
      <c r="EI22" t="e">
        <f>AND('STERLING CATALOG - DRY '!D332,"AAAAAHz/sYo=")</f>
        <v>#VALUE!</v>
      </c>
      <c r="EJ22" t="e">
        <f>AND('STERLING CATALOG - DRY '!E332,"AAAAAHz/sYs=")</f>
        <v>#VALUE!</v>
      </c>
      <c r="EK22" t="e">
        <f>AND('STERLING CATALOG - DRY '!F332,"AAAAAHz/sYw=")</f>
        <v>#VALUE!</v>
      </c>
      <c r="EL22" t="e">
        <f>AND('STERLING CATALOG - DRY '!G332,"AAAAAHz/sY0=")</f>
        <v>#VALUE!</v>
      </c>
      <c r="EM22" t="e">
        <f>AND('STERLING CATALOG - DRY '!H332,"AAAAAHz/sY4=")</f>
        <v>#VALUE!</v>
      </c>
      <c r="EN22" t="e">
        <f>AND('STERLING CATALOG - DRY '!I332,"AAAAAHz/sY8=")</f>
        <v>#VALUE!</v>
      </c>
      <c r="EO22" t="e">
        <f>AND('STERLING CATALOG - DRY '!J332,"AAAAAHz/sZA=")</f>
        <v>#VALUE!</v>
      </c>
      <c r="EP22">
        <f>IF('STERLING CATALOG - DRY '!333:333,"AAAAAHz/sZE=",0)</f>
        <v>0</v>
      </c>
      <c r="EQ22" t="e">
        <f>AND('STERLING CATALOG - DRY '!A333,"AAAAAHz/sZI=")</f>
        <v>#VALUE!</v>
      </c>
      <c r="ER22" t="e">
        <f>AND('STERLING CATALOG - DRY '!B333,"AAAAAHz/sZM=")</f>
        <v>#VALUE!</v>
      </c>
      <c r="ES22" t="e">
        <f>AND('STERLING CATALOG - DRY '!C333,"AAAAAHz/sZQ=")</f>
        <v>#VALUE!</v>
      </c>
      <c r="ET22" t="e">
        <f>AND('STERLING CATALOG - DRY '!D333,"AAAAAHz/sZU=")</f>
        <v>#VALUE!</v>
      </c>
      <c r="EU22" t="e">
        <f>AND('STERLING CATALOG - DRY '!E333,"AAAAAHz/sZY=")</f>
        <v>#VALUE!</v>
      </c>
      <c r="EV22" t="e">
        <f>AND('STERLING CATALOG - DRY '!F333,"AAAAAHz/sZc=")</f>
        <v>#VALUE!</v>
      </c>
      <c r="EW22" t="e">
        <f>AND('STERLING CATALOG - DRY '!G333,"AAAAAHz/sZg=")</f>
        <v>#VALUE!</v>
      </c>
      <c r="EX22" t="e">
        <f>AND('STERLING CATALOG - DRY '!H333,"AAAAAHz/sZk=")</f>
        <v>#VALUE!</v>
      </c>
      <c r="EY22" t="e">
        <f>AND('STERLING CATALOG - DRY '!I333,"AAAAAHz/sZo=")</f>
        <v>#VALUE!</v>
      </c>
      <c r="EZ22" t="e">
        <f>AND('STERLING CATALOG - DRY '!J333,"AAAAAHz/sZs=")</f>
        <v>#VALUE!</v>
      </c>
      <c r="FA22">
        <f>IF('STERLING CATALOG - DRY '!334:334,"AAAAAHz/sZw=",0)</f>
        <v>0</v>
      </c>
      <c r="FB22" t="e">
        <f>AND('STERLING CATALOG - DRY '!A334,"AAAAAHz/sZ0=")</f>
        <v>#VALUE!</v>
      </c>
      <c r="FC22" t="e">
        <f>AND('STERLING CATALOG - DRY '!B334,"AAAAAHz/sZ4=")</f>
        <v>#VALUE!</v>
      </c>
      <c r="FD22" t="e">
        <f>AND('STERLING CATALOG - DRY '!C334,"AAAAAHz/sZ8=")</f>
        <v>#VALUE!</v>
      </c>
      <c r="FE22" t="e">
        <f>AND('STERLING CATALOG - DRY '!D334,"AAAAAHz/saA=")</f>
        <v>#VALUE!</v>
      </c>
      <c r="FF22" t="e">
        <f>AND('STERLING CATALOG - DRY '!E334,"AAAAAHz/saE=")</f>
        <v>#VALUE!</v>
      </c>
      <c r="FG22" t="e">
        <f>AND('STERLING CATALOG - DRY '!F334,"AAAAAHz/saI=")</f>
        <v>#VALUE!</v>
      </c>
      <c r="FH22" t="e">
        <f>AND('STERLING CATALOG - DRY '!G334,"AAAAAHz/saM=")</f>
        <v>#VALUE!</v>
      </c>
      <c r="FI22" t="e">
        <f>AND('STERLING CATALOG - DRY '!H334,"AAAAAHz/saQ=")</f>
        <v>#VALUE!</v>
      </c>
      <c r="FJ22" t="e">
        <f>AND('STERLING CATALOG - DRY '!I334,"AAAAAHz/saU=")</f>
        <v>#VALUE!</v>
      </c>
      <c r="FK22" t="e">
        <f>AND('STERLING CATALOG - DRY '!J334,"AAAAAHz/saY=")</f>
        <v>#VALUE!</v>
      </c>
      <c r="FL22">
        <f>IF('STERLING CATALOG - DRY '!335:335,"AAAAAHz/sac=",0)</f>
        <v>0</v>
      </c>
      <c r="FM22" t="e">
        <f>AND('STERLING CATALOG - DRY '!A335,"AAAAAHz/sag=")</f>
        <v>#VALUE!</v>
      </c>
      <c r="FN22" t="e">
        <f>AND('STERLING CATALOG - DRY '!B335,"AAAAAHz/sak=")</f>
        <v>#VALUE!</v>
      </c>
      <c r="FO22" t="e">
        <f>AND('STERLING CATALOG - DRY '!C335,"AAAAAHz/sao=")</f>
        <v>#VALUE!</v>
      </c>
      <c r="FP22" t="e">
        <f>AND('STERLING CATALOG - DRY '!D335,"AAAAAHz/sas=")</f>
        <v>#VALUE!</v>
      </c>
      <c r="FQ22" t="e">
        <f>AND('STERLING CATALOG - DRY '!E335,"AAAAAHz/saw=")</f>
        <v>#VALUE!</v>
      </c>
      <c r="FR22" t="e">
        <f>AND('STERLING CATALOG - DRY '!F335,"AAAAAHz/sa0=")</f>
        <v>#VALUE!</v>
      </c>
      <c r="FS22" t="e">
        <f>AND('STERLING CATALOG - DRY '!G335,"AAAAAHz/sa4=")</f>
        <v>#VALUE!</v>
      </c>
      <c r="FT22" t="e">
        <f>AND('STERLING CATALOG - DRY '!H335,"AAAAAHz/sa8=")</f>
        <v>#VALUE!</v>
      </c>
      <c r="FU22" t="e">
        <f>AND('STERLING CATALOG - DRY '!I335,"AAAAAHz/sbA=")</f>
        <v>#VALUE!</v>
      </c>
      <c r="FV22" t="e">
        <f>AND('STERLING CATALOG - DRY '!J335,"AAAAAHz/sbE=")</f>
        <v>#VALUE!</v>
      </c>
      <c r="FW22">
        <f>IF('STERLING CATALOG - DRY '!336:336,"AAAAAHz/sbI=",0)</f>
        <v>0</v>
      </c>
      <c r="FX22" t="e">
        <f>AND('STERLING CATALOG - DRY '!A336,"AAAAAHz/sbM=")</f>
        <v>#VALUE!</v>
      </c>
      <c r="FY22" t="e">
        <f>AND('STERLING CATALOG - DRY '!B336,"AAAAAHz/sbQ=")</f>
        <v>#VALUE!</v>
      </c>
      <c r="FZ22" t="e">
        <f>AND('STERLING CATALOG - DRY '!C336,"AAAAAHz/sbU=")</f>
        <v>#VALUE!</v>
      </c>
      <c r="GA22" t="e">
        <f>AND('STERLING CATALOG - DRY '!D336,"AAAAAHz/sbY=")</f>
        <v>#VALUE!</v>
      </c>
      <c r="GB22" t="e">
        <f>AND('STERLING CATALOG - DRY '!E336,"AAAAAHz/sbc=")</f>
        <v>#VALUE!</v>
      </c>
      <c r="GC22" t="e">
        <f>AND('STERLING CATALOG - DRY '!F336,"AAAAAHz/sbg=")</f>
        <v>#VALUE!</v>
      </c>
      <c r="GD22" t="e">
        <f>AND('STERLING CATALOG - DRY '!G336,"AAAAAHz/sbk=")</f>
        <v>#VALUE!</v>
      </c>
      <c r="GE22" t="e">
        <f>AND('STERLING CATALOG - DRY '!H336,"AAAAAHz/sbo=")</f>
        <v>#VALUE!</v>
      </c>
      <c r="GF22" t="e">
        <f>AND('STERLING CATALOG - DRY '!I336,"AAAAAHz/sbs=")</f>
        <v>#VALUE!</v>
      </c>
      <c r="GG22" t="e">
        <f>AND('STERLING CATALOG - DRY '!J336,"AAAAAHz/sbw=")</f>
        <v>#VALUE!</v>
      </c>
      <c r="GH22">
        <f>IF('STERLING CATALOG - DRY '!337:337,"AAAAAHz/sb0=",0)</f>
        <v>0</v>
      </c>
      <c r="GI22" t="e">
        <f>AND('STERLING CATALOG - DRY '!A337,"AAAAAHz/sb4=")</f>
        <v>#VALUE!</v>
      </c>
      <c r="GJ22" t="e">
        <f>AND('STERLING CATALOG - DRY '!B337,"AAAAAHz/sb8=")</f>
        <v>#VALUE!</v>
      </c>
      <c r="GK22" t="e">
        <f>AND('STERLING CATALOG - DRY '!C337,"AAAAAHz/scA=")</f>
        <v>#VALUE!</v>
      </c>
      <c r="GL22" t="e">
        <f>AND('STERLING CATALOG - DRY '!D337,"AAAAAHz/scE=")</f>
        <v>#VALUE!</v>
      </c>
      <c r="GM22" t="e">
        <f>AND('STERLING CATALOG - DRY '!E337,"AAAAAHz/scI=")</f>
        <v>#VALUE!</v>
      </c>
      <c r="GN22" t="e">
        <f>AND('STERLING CATALOG - DRY '!F337,"AAAAAHz/scM=")</f>
        <v>#VALUE!</v>
      </c>
      <c r="GO22" t="e">
        <f>AND('STERLING CATALOG - DRY '!G337,"AAAAAHz/scQ=")</f>
        <v>#VALUE!</v>
      </c>
      <c r="GP22" t="e">
        <f>AND('STERLING CATALOG - DRY '!H337,"AAAAAHz/scU=")</f>
        <v>#VALUE!</v>
      </c>
      <c r="GQ22" t="e">
        <f>AND('STERLING CATALOG - DRY '!I337,"AAAAAHz/scY=")</f>
        <v>#VALUE!</v>
      </c>
      <c r="GR22" t="e">
        <f>AND('STERLING CATALOG - DRY '!J337,"AAAAAHz/scc=")</f>
        <v>#VALUE!</v>
      </c>
      <c r="GS22">
        <f>IF('STERLING CATALOG - DRY '!338:338,"AAAAAHz/scg=",0)</f>
        <v>0</v>
      </c>
      <c r="GT22" t="e">
        <f>AND('STERLING CATALOG - DRY '!A338,"AAAAAHz/sck=")</f>
        <v>#VALUE!</v>
      </c>
      <c r="GU22" t="e">
        <f>AND('STERLING CATALOG - DRY '!B338,"AAAAAHz/sco=")</f>
        <v>#VALUE!</v>
      </c>
      <c r="GV22" t="e">
        <f>AND('STERLING CATALOG - DRY '!C338,"AAAAAHz/scs=")</f>
        <v>#VALUE!</v>
      </c>
      <c r="GW22" t="e">
        <f>AND('STERLING CATALOG - DRY '!D338,"AAAAAHz/scw=")</f>
        <v>#VALUE!</v>
      </c>
      <c r="GX22" t="e">
        <f>AND('STERLING CATALOG - DRY '!E338,"AAAAAHz/sc0=")</f>
        <v>#VALUE!</v>
      </c>
      <c r="GY22" t="e">
        <f>AND('STERLING CATALOG - DRY '!F338,"AAAAAHz/sc4=")</f>
        <v>#VALUE!</v>
      </c>
      <c r="GZ22" t="e">
        <f>AND('STERLING CATALOG - DRY '!G338,"AAAAAHz/sc8=")</f>
        <v>#VALUE!</v>
      </c>
      <c r="HA22" t="e">
        <f>AND('STERLING CATALOG - DRY '!H338,"AAAAAHz/sdA=")</f>
        <v>#VALUE!</v>
      </c>
      <c r="HB22" t="e">
        <f>AND('STERLING CATALOG - DRY '!I338,"AAAAAHz/sdE=")</f>
        <v>#VALUE!</v>
      </c>
      <c r="HC22" t="e">
        <f>AND('STERLING CATALOG - DRY '!J338,"AAAAAHz/sdI=")</f>
        <v>#VALUE!</v>
      </c>
      <c r="HD22">
        <f>IF('STERLING CATALOG - DRY '!339:339,"AAAAAHz/sdM=",0)</f>
        <v>0</v>
      </c>
      <c r="HE22" t="e">
        <f>AND('STERLING CATALOG - DRY '!A339,"AAAAAHz/sdQ=")</f>
        <v>#VALUE!</v>
      </c>
      <c r="HF22" t="e">
        <f>AND('STERLING CATALOG - DRY '!B339,"AAAAAHz/sdU=")</f>
        <v>#VALUE!</v>
      </c>
      <c r="HG22" t="e">
        <f>AND('STERLING CATALOG - DRY '!C339,"AAAAAHz/sdY=")</f>
        <v>#VALUE!</v>
      </c>
      <c r="HH22" t="e">
        <f>AND('STERLING CATALOG - DRY '!D339,"AAAAAHz/sdc=")</f>
        <v>#VALUE!</v>
      </c>
      <c r="HI22" t="e">
        <f>AND('STERLING CATALOG - DRY '!E339,"AAAAAHz/sdg=")</f>
        <v>#VALUE!</v>
      </c>
      <c r="HJ22" t="e">
        <f>AND('STERLING CATALOG - DRY '!F339,"AAAAAHz/sdk=")</f>
        <v>#VALUE!</v>
      </c>
      <c r="HK22" t="e">
        <f>AND('STERLING CATALOG - DRY '!G339,"AAAAAHz/sdo=")</f>
        <v>#VALUE!</v>
      </c>
      <c r="HL22" t="e">
        <f>AND('STERLING CATALOG - DRY '!H339,"AAAAAHz/sds=")</f>
        <v>#VALUE!</v>
      </c>
      <c r="HM22" t="e">
        <f>AND('STERLING CATALOG - DRY '!I339,"AAAAAHz/sdw=")</f>
        <v>#VALUE!</v>
      </c>
      <c r="HN22" t="e">
        <f>AND('STERLING CATALOG - DRY '!J339,"AAAAAHz/sd0=")</f>
        <v>#VALUE!</v>
      </c>
      <c r="HO22">
        <f>IF('STERLING CATALOG - DRY '!340:340,"AAAAAHz/sd4=",0)</f>
        <v>0</v>
      </c>
      <c r="HP22" t="e">
        <f>AND('STERLING CATALOG - DRY '!A340,"AAAAAHz/sd8=")</f>
        <v>#VALUE!</v>
      </c>
      <c r="HQ22" t="e">
        <f>AND('STERLING CATALOG - DRY '!B340,"AAAAAHz/seA=")</f>
        <v>#VALUE!</v>
      </c>
      <c r="HR22" t="e">
        <f>AND('STERLING CATALOG - DRY '!C340,"AAAAAHz/seE=")</f>
        <v>#VALUE!</v>
      </c>
      <c r="HS22" t="e">
        <f>AND('STERLING CATALOG - DRY '!D340,"AAAAAHz/seI=")</f>
        <v>#VALUE!</v>
      </c>
      <c r="HT22" t="e">
        <f>AND('STERLING CATALOG - DRY '!E340,"AAAAAHz/seM=")</f>
        <v>#VALUE!</v>
      </c>
      <c r="HU22" t="e">
        <f>AND('STERLING CATALOG - DRY '!F340,"AAAAAHz/seQ=")</f>
        <v>#VALUE!</v>
      </c>
      <c r="HV22" t="e">
        <f>AND('STERLING CATALOG - DRY '!G340,"AAAAAHz/seU=")</f>
        <v>#VALUE!</v>
      </c>
      <c r="HW22" t="e">
        <f>AND('STERLING CATALOG - DRY '!H340,"AAAAAHz/seY=")</f>
        <v>#VALUE!</v>
      </c>
      <c r="HX22" t="e">
        <f>AND('STERLING CATALOG - DRY '!I340,"AAAAAHz/sec=")</f>
        <v>#VALUE!</v>
      </c>
      <c r="HY22" t="e">
        <f>AND('STERLING CATALOG - DRY '!J340,"AAAAAHz/seg=")</f>
        <v>#VALUE!</v>
      </c>
      <c r="HZ22">
        <f>IF('STERLING CATALOG - DRY '!341:341,"AAAAAHz/sek=",0)</f>
        <v>0</v>
      </c>
      <c r="IA22" t="e">
        <f>AND('STERLING CATALOG - DRY '!A341,"AAAAAHz/seo=")</f>
        <v>#VALUE!</v>
      </c>
      <c r="IB22" t="e">
        <f>AND('STERLING CATALOG - DRY '!B341,"AAAAAHz/ses=")</f>
        <v>#VALUE!</v>
      </c>
      <c r="IC22" t="e">
        <f>AND('STERLING CATALOG - DRY '!C341,"AAAAAHz/sew=")</f>
        <v>#VALUE!</v>
      </c>
      <c r="ID22" t="e">
        <f>AND('STERLING CATALOG - DRY '!D341,"AAAAAHz/se0=")</f>
        <v>#VALUE!</v>
      </c>
      <c r="IE22" t="e">
        <f>AND('STERLING CATALOG - DRY '!E341,"AAAAAHz/se4=")</f>
        <v>#VALUE!</v>
      </c>
      <c r="IF22" t="e">
        <f>AND('STERLING CATALOG - DRY '!F341,"AAAAAHz/se8=")</f>
        <v>#VALUE!</v>
      </c>
      <c r="IG22" t="e">
        <f>AND('STERLING CATALOG - DRY '!G341,"AAAAAHz/sfA=")</f>
        <v>#VALUE!</v>
      </c>
      <c r="IH22" t="e">
        <f>AND('STERLING CATALOG - DRY '!H341,"AAAAAHz/sfE=")</f>
        <v>#VALUE!</v>
      </c>
      <c r="II22" t="e">
        <f>AND('STERLING CATALOG - DRY '!I341,"AAAAAHz/sfI=")</f>
        <v>#VALUE!</v>
      </c>
      <c r="IJ22" t="e">
        <f>AND('STERLING CATALOG - DRY '!J341,"AAAAAHz/sfM=")</f>
        <v>#VALUE!</v>
      </c>
      <c r="IK22">
        <f>IF('STERLING CATALOG - DRY '!342:342,"AAAAAHz/sfQ=",0)</f>
        <v>0</v>
      </c>
      <c r="IL22" t="e">
        <f>AND('STERLING CATALOG - DRY '!A342,"AAAAAHz/sfU=")</f>
        <v>#VALUE!</v>
      </c>
      <c r="IM22" t="e">
        <f>AND('STERLING CATALOG - DRY '!B342,"AAAAAHz/sfY=")</f>
        <v>#VALUE!</v>
      </c>
      <c r="IN22" t="e">
        <f>AND('STERLING CATALOG - DRY '!C342,"AAAAAHz/sfc=")</f>
        <v>#VALUE!</v>
      </c>
      <c r="IO22" t="e">
        <f>AND('STERLING CATALOG - DRY '!D342,"AAAAAHz/sfg=")</f>
        <v>#VALUE!</v>
      </c>
      <c r="IP22" t="e">
        <f>AND('STERLING CATALOG - DRY '!E342,"AAAAAHz/sfk=")</f>
        <v>#VALUE!</v>
      </c>
      <c r="IQ22" t="e">
        <f>AND('STERLING CATALOG - DRY '!F342,"AAAAAHz/sfo=")</f>
        <v>#VALUE!</v>
      </c>
      <c r="IR22" t="e">
        <f>AND('STERLING CATALOG - DRY '!G342,"AAAAAHz/sfs=")</f>
        <v>#VALUE!</v>
      </c>
      <c r="IS22" t="e">
        <f>AND('STERLING CATALOG - DRY '!H342,"AAAAAHz/sfw=")</f>
        <v>#VALUE!</v>
      </c>
      <c r="IT22" t="e">
        <f>AND('STERLING CATALOG - DRY '!I342,"AAAAAHz/sf0=")</f>
        <v>#VALUE!</v>
      </c>
      <c r="IU22" t="e">
        <f>AND('STERLING CATALOG - DRY '!J342,"AAAAAHz/sf4=")</f>
        <v>#VALUE!</v>
      </c>
      <c r="IV22">
        <f>IF('STERLING CATALOG - DRY '!343:343,"AAAAAHz/sf8=",0)</f>
        <v>0</v>
      </c>
    </row>
    <row r="23" spans="1:256">
      <c r="A23" t="e">
        <f>AND('STERLING CATALOG - DRY '!A343,"AAAAAHee/wA=")</f>
        <v>#VALUE!</v>
      </c>
      <c r="B23" t="e">
        <f>AND('STERLING CATALOG - DRY '!B343,"AAAAAHee/wE=")</f>
        <v>#VALUE!</v>
      </c>
      <c r="C23" t="e">
        <f>AND('STERLING CATALOG - DRY '!C343,"AAAAAHee/wI=")</f>
        <v>#VALUE!</v>
      </c>
      <c r="D23" t="e">
        <f>AND('STERLING CATALOG - DRY '!D343,"AAAAAHee/wM=")</f>
        <v>#VALUE!</v>
      </c>
      <c r="E23" t="e">
        <f>AND('STERLING CATALOG - DRY '!E343,"AAAAAHee/wQ=")</f>
        <v>#VALUE!</v>
      </c>
      <c r="F23" t="e">
        <f>AND('STERLING CATALOG - DRY '!F343,"AAAAAHee/wU=")</f>
        <v>#VALUE!</v>
      </c>
      <c r="G23" t="e">
        <f>AND('STERLING CATALOG - DRY '!G343,"AAAAAHee/wY=")</f>
        <v>#VALUE!</v>
      </c>
      <c r="H23" t="e">
        <f>AND('STERLING CATALOG - DRY '!H343,"AAAAAHee/wc=")</f>
        <v>#VALUE!</v>
      </c>
      <c r="I23" t="e">
        <f>AND('STERLING CATALOG - DRY '!I343,"AAAAAHee/wg=")</f>
        <v>#VALUE!</v>
      </c>
      <c r="J23" t="e">
        <f>AND('STERLING CATALOG - DRY '!J343,"AAAAAHee/wk=")</f>
        <v>#VALUE!</v>
      </c>
      <c r="K23">
        <f>IF('STERLING CATALOG - DRY '!344:344,"AAAAAHee/wo=",0)</f>
        <v>0</v>
      </c>
      <c r="L23" t="e">
        <f>AND('STERLING CATALOG - DRY '!A344,"AAAAAHee/ws=")</f>
        <v>#VALUE!</v>
      </c>
      <c r="M23" t="e">
        <f>AND('STERLING CATALOG - DRY '!B344,"AAAAAHee/ww=")</f>
        <v>#VALUE!</v>
      </c>
      <c r="N23" t="e">
        <f>AND('STERLING CATALOG - DRY '!C344,"AAAAAHee/w0=")</f>
        <v>#VALUE!</v>
      </c>
      <c r="O23" t="e">
        <f>AND('STERLING CATALOG - DRY '!D344,"AAAAAHee/w4=")</f>
        <v>#VALUE!</v>
      </c>
      <c r="P23" t="e">
        <f>AND('STERLING CATALOG - DRY '!E344,"AAAAAHee/w8=")</f>
        <v>#VALUE!</v>
      </c>
      <c r="Q23" t="e">
        <f>AND('STERLING CATALOG - DRY '!F344,"AAAAAHee/xA=")</f>
        <v>#VALUE!</v>
      </c>
      <c r="R23" t="e">
        <f>AND('STERLING CATALOG - DRY '!G344,"AAAAAHee/xE=")</f>
        <v>#VALUE!</v>
      </c>
      <c r="S23" t="e">
        <f>AND('STERLING CATALOG - DRY '!H344,"AAAAAHee/xI=")</f>
        <v>#VALUE!</v>
      </c>
      <c r="T23" t="e">
        <f>AND('STERLING CATALOG - DRY '!I344,"AAAAAHee/xM=")</f>
        <v>#VALUE!</v>
      </c>
      <c r="U23" t="e">
        <f>AND('STERLING CATALOG - DRY '!J344,"AAAAAHee/xQ=")</f>
        <v>#VALUE!</v>
      </c>
      <c r="V23">
        <f>IF('STERLING CATALOG - DRY '!345:345,"AAAAAHee/xU=",0)</f>
        <v>0</v>
      </c>
      <c r="W23" t="e">
        <f>AND('STERLING CATALOG - DRY '!A345,"AAAAAHee/xY=")</f>
        <v>#VALUE!</v>
      </c>
      <c r="X23" t="e">
        <f>AND('STERLING CATALOG - DRY '!B345,"AAAAAHee/xc=")</f>
        <v>#VALUE!</v>
      </c>
      <c r="Y23" t="e">
        <f>AND('STERLING CATALOG - DRY '!C345,"AAAAAHee/xg=")</f>
        <v>#VALUE!</v>
      </c>
      <c r="Z23" t="e">
        <f>AND('STERLING CATALOG - DRY '!D345,"AAAAAHee/xk=")</f>
        <v>#VALUE!</v>
      </c>
      <c r="AA23" t="e">
        <f>AND('STERLING CATALOG - DRY '!E345,"AAAAAHee/xo=")</f>
        <v>#VALUE!</v>
      </c>
      <c r="AB23" t="e">
        <f>AND('STERLING CATALOG - DRY '!F345,"AAAAAHee/xs=")</f>
        <v>#VALUE!</v>
      </c>
      <c r="AC23" t="e">
        <f>AND('STERLING CATALOG - DRY '!G345,"AAAAAHee/xw=")</f>
        <v>#VALUE!</v>
      </c>
      <c r="AD23" t="e">
        <f>AND('STERLING CATALOG - DRY '!H345,"AAAAAHee/x0=")</f>
        <v>#VALUE!</v>
      </c>
      <c r="AE23" t="e">
        <f>AND('STERLING CATALOG - DRY '!I345,"AAAAAHee/x4=")</f>
        <v>#VALUE!</v>
      </c>
      <c r="AF23" t="e">
        <f>AND('STERLING CATALOG - DRY '!J345,"AAAAAHee/x8=")</f>
        <v>#VALUE!</v>
      </c>
      <c r="AG23">
        <f>IF('STERLING CATALOG - DRY '!346:346,"AAAAAHee/yA=",0)</f>
        <v>0</v>
      </c>
      <c r="AH23" t="e">
        <f>AND('STERLING CATALOG - DRY '!A346,"AAAAAHee/yE=")</f>
        <v>#VALUE!</v>
      </c>
      <c r="AI23" t="e">
        <f>AND('STERLING CATALOG - DRY '!B346,"AAAAAHee/yI=")</f>
        <v>#VALUE!</v>
      </c>
      <c r="AJ23" t="e">
        <f>AND('STERLING CATALOG - DRY '!C346,"AAAAAHee/yM=")</f>
        <v>#VALUE!</v>
      </c>
      <c r="AK23" t="e">
        <f>AND('STERLING CATALOG - DRY '!D346,"AAAAAHee/yQ=")</f>
        <v>#VALUE!</v>
      </c>
      <c r="AL23" t="e">
        <f>AND('STERLING CATALOG - DRY '!E346,"AAAAAHee/yU=")</f>
        <v>#VALUE!</v>
      </c>
      <c r="AM23" t="e">
        <f>AND('STERLING CATALOG - DRY '!F346,"AAAAAHee/yY=")</f>
        <v>#VALUE!</v>
      </c>
      <c r="AN23" t="e">
        <f>AND('STERLING CATALOG - DRY '!G346,"AAAAAHee/yc=")</f>
        <v>#VALUE!</v>
      </c>
      <c r="AO23" t="e">
        <f>AND('STERLING CATALOG - DRY '!H346,"AAAAAHee/yg=")</f>
        <v>#VALUE!</v>
      </c>
      <c r="AP23" t="e">
        <f>AND('STERLING CATALOG - DRY '!I346,"AAAAAHee/yk=")</f>
        <v>#VALUE!</v>
      </c>
      <c r="AQ23" t="e">
        <f>AND('STERLING CATALOG - DRY '!J346,"AAAAAHee/yo=")</f>
        <v>#VALUE!</v>
      </c>
      <c r="AR23">
        <f>IF('STERLING CATALOG - DRY '!347:347,"AAAAAHee/ys=",0)</f>
        <v>0</v>
      </c>
      <c r="AS23" t="e">
        <f>AND('STERLING CATALOG - DRY '!A347,"AAAAAHee/yw=")</f>
        <v>#VALUE!</v>
      </c>
      <c r="AT23" t="e">
        <f>AND('STERLING CATALOG - DRY '!B347,"AAAAAHee/y0=")</f>
        <v>#VALUE!</v>
      </c>
      <c r="AU23" t="e">
        <f>AND('STERLING CATALOG - DRY '!C347,"AAAAAHee/y4=")</f>
        <v>#VALUE!</v>
      </c>
      <c r="AV23" t="e">
        <f>AND('STERLING CATALOG - DRY '!D347,"AAAAAHee/y8=")</f>
        <v>#VALUE!</v>
      </c>
      <c r="AW23" t="e">
        <f>AND('STERLING CATALOG - DRY '!E347,"AAAAAHee/zA=")</f>
        <v>#VALUE!</v>
      </c>
      <c r="AX23" t="e">
        <f>AND('STERLING CATALOG - DRY '!F347,"AAAAAHee/zE=")</f>
        <v>#VALUE!</v>
      </c>
      <c r="AY23" t="e">
        <f>AND('STERLING CATALOG - DRY '!G347,"AAAAAHee/zI=")</f>
        <v>#VALUE!</v>
      </c>
      <c r="AZ23" t="e">
        <f>AND('STERLING CATALOG - DRY '!H347,"AAAAAHee/zM=")</f>
        <v>#VALUE!</v>
      </c>
      <c r="BA23" t="e">
        <f>AND('STERLING CATALOG - DRY '!I347,"AAAAAHee/zQ=")</f>
        <v>#VALUE!</v>
      </c>
      <c r="BB23" t="e">
        <f>AND('STERLING CATALOG - DRY '!J347,"AAAAAHee/zU=")</f>
        <v>#VALUE!</v>
      </c>
      <c r="BC23">
        <f>IF('STERLING CATALOG - DRY '!348:348,"AAAAAHee/zY=",0)</f>
        <v>0</v>
      </c>
      <c r="BD23" t="e">
        <f>AND('STERLING CATALOG - DRY '!A348,"AAAAAHee/zc=")</f>
        <v>#VALUE!</v>
      </c>
      <c r="BE23" t="e">
        <f>AND('STERLING CATALOG - DRY '!B348,"AAAAAHee/zg=")</f>
        <v>#VALUE!</v>
      </c>
      <c r="BF23" t="e">
        <f>AND('STERLING CATALOG - DRY '!C348,"AAAAAHee/zk=")</f>
        <v>#VALUE!</v>
      </c>
      <c r="BG23" t="e">
        <f>AND('STERLING CATALOG - DRY '!D348,"AAAAAHee/zo=")</f>
        <v>#VALUE!</v>
      </c>
      <c r="BH23" t="e">
        <f>AND('STERLING CATALOG - DRY '!E348,"AAAAAHee/zs=")</f>
        <v>#VALUE!</v>
      </c>
      <c r="BI23" t="e">
        <f>AND('STERLING CATALOG - DRY '!F348,"AAAAAHee/zw=")</f>
        <v>#VALUE!</v>
      </c>
      <c r="BJ23" t="e">
        <f>AND('STERLING CATALOG - DRY '!G348,"AAAAAHee/z0=")</f>
        <v>#VALUE!</v>
      </c>
      <c r="BK23" t="e">
        <f>AND('STERLING CATALOG - DRY '!H348,"AAAAAHee/z4=")</f>
        <v>#VALUE!</v>
      </c>
      <c r="BL23" t="e">
        <f>AND('STERLING CATALOG - DRY '!I348,"AAAAAHee/z8=")</f>
        <v>#VALUE!</v>
      </c>
      <c r="BM23" t="e">
        <f>AND('STERLING CATALOG - DRY '!J348,"AAAAAHee/0A=")</f>
        <v>#VALUE!</v>
      </c>
      <c r="BN23">
        <f>IF('STERLING CATALOG - DRY '!349:349,"AAAAAHee/0E=",0)</f>
        <v>0</v>
      </c>
      <c r="BO23" t="e">
        <f>AND('STERLING CATALOG - DRY '!A349,"AAAAAHee/0I=")</f>
        <v>#VALUE!</v>
      </c>
      <c r="BP23" t="e">
        <f>AND('STERLING CATALOG - DRY '!B349,"AAAAAHee/0M=")</f>
        <v>#VALUE!</v>
      </c>
      <c r="BQ23" t="e">
        <f>AND('STERLING CATALOG - DRY '!C349,"AAAAAHee/0Q=")</f>
        <v>#VALUE!</v>
      </c>
      <c r="BR23" t="e">
        <f>AND('STERLING CATALOG - DRY '!D349,"AAAAAHee/0U=")</f>
        <v>#VALUE!</v>
      </c>
      <c r="BS23" t="e">
        <f>AND('STERLING CATALOG - DRY '!E349,"AAAAAHee/0Y=")</f>
        <v>#VALUE!</v>
      </c>
      <c r="BT23" t="e">
        <f>AND('STERLING CATALOG - DRY '!F349,"AAAAAHee/0c=")</f>
        <v>#VALUE!</v>
      </c>
      <c r="BU23" t="e">
        <f>AND('STERLING CATALOG - DRY '!G349,"AAAAAHee/0g=")</f>
        <v>#VALUE!</v>
      </c>
      <c r="BV23" t="e">
        <f>AND('STERLING CATALOG - DRY '!H349,"AAAAAHee/0k=")</f>
        <v>#VALUE!</v>
      </c>
      <c r="BW23" t="e">
        <f>AND('STERLING CATALOG - DRY '!I349,"AAAAAHee/0o=")</f>
        <v>#VALUE!</v>
      </c>
      <c r="BX23" t="e">
        <f>AND('STERLING CATALOG - DRY '!J349,"AAAAAHee/0s=")</f>
        <v>#VALUE!</v>
      </c>
      <c r="BY23">
        <f>IF('STERLING CATALOG - DRY '!350:350,"AAAAAHee/0w=",0)</f>
        <v>0</v>
      </c>
      <c r="BZ23" t="e">
        <f>AND('STERLING CATALOG - DRY '!A350,"AAAAAHee/00=")</f>
        <v>#VALUE!</v>
      </c>
      <c r="CA23" t="e">
        <f>AND('STERLING CATALOG - DRY '!B350,"AAAAAHee/04=")</f>
        <v>#VALUE!</v>
      </c>
      <c r="CB23" t="e">
        <f>AND('STERLING CATALOG - DRY '!C350,"AAAAAHee/08=")</f>
        <v>#VALUE!</v>
      </c>
      <c r="CC23" t="e">
        <f>AND('STERLING CATALOG - DRY '!D350,"AAAAAHee/1A=")</f>
        <v>#VALUE!</v>
      </c>
      <c r="CD23" t="e">
        <f>AND('STERLING CATALOG - DRY '!E350,"AAAAAHee/1E=")</f>
        <v>#VALUE!</v>
      </c>
      <c r="CE23" t="e">
        <f>AND('STERLING CATALOG - DRY '!F350,"AAAAAHee/1I=")</f>
        <v>#VALUE!</v>
      </c>
      <c r="CF23" t="e">
        <f>AND('STERLING CATALOG - DRY '!G350,"AAAAAHee/1M=")</f>
        <v>#VALUE!</v>
      </c>
      <c r="CG23" t="e">
        <f>AND('STERLING CATALOG - DRY '!H350,"AAAAAHee/1Q=")</f>
        <v>#VALUE!</v>
      </c>
      <c r="CH23" t="e">
        <f>AND('STERLING CATALOG - DRY '!I350,"AAAAAHee/1U=")</f>
        <v>#VALUE!</v>
      </c>
      <c r="CI23" t="e">
        <f>AND('STERLING CATALOG - DRY '!J350,"AAAAAHee/1Y=")</f>
        <v>#VALUE!</v>
      </c>
      <c r="CJ23">
        <f>IF('STERLING CATALOG - DRY '!351:351,"AAAAAHee/1c=",0)</f>
        <v>0</v>
      </c>
      <c r="CK23" t="e">
        <f>AND('STERLING CATALOG - DRY '!A351,"AAAAAHee/1g=")</f>
        <v>#VALUE!</v>
      </c>
      <c r="CL23" t="e">
        <f>AND('STERLING CATALOG - DRY '!B351,"AAAAAHee/1k=")</f>
        <v>#VALUE!</v>
      </c>
      <c r="CM23" t="e">
        <f>AND('STERLING CATALOG - DRY '!C351,"AAAAAHee/1o=")</f>
        <v>#VALUE!</v>
      </c>
      <c r="CN23" t="e">
        <f>AND('STERLING CATALOG - DRY '!D351,"AAAAAHee/1s=")</f>
        <v>#VALUE!</v>
      </c>
      <c r="CO23" t="e">
        <f>AND('STERLING CATALOG - DRY '!E351,"AAAAAHee/1w=")</f>
        <v>#VALUE!</v>
      </c>
      <c r="CP23" t="e">
        <f>AND('STERLING CATALOG - DRY '!F351,"AAAAAHee/10=")</f>
        <v>#VALUE!</v>
      </c>
      <c r="CQ23" t="e">
        <f>AND('STERLING CATALOG - DRY '!G351,"AAAAAHee/14=")</f>
        <v>#VALUE!</v>
      </c>
      <c r="CR23" t="e">
        <f>AND('STERLING CATALOG - DRY '!H351,"AAAAAHee/18=")</f>
        <v>#VALUE!</v>
      </c>
      <c r="CS23" t="e">
        <f>AND('STERLING CATALOG - DRY '!I351,"AAAAAHee/2A=")</f>
        <v>#VALUE!</v>
      </c>
      <c r="CT23" t="e">
        <f>AND('STERLING CATALOG - DRY '!J351,"AAAAAHee/2E=")</f>
        <v>#VALUE!</v>
      </c>
      <c r="CU23">
        <f>IF('STERLING CATALOG - DRY '!352:352,"AAAAAHee/2I=",0)</f>
        <v>0</v>
      </c>
      <c r="CV23" t="e">
        <f>AND('STERLING CATALOG - DRY '!A352,"AAAAAHee/2M=")</f>
        <v>#VALUE!</v>
      </c>
      <c r="CW23" t="e">
        <f>AND('STERLING CATALOG - DRY '!B352,"AAAAAHee/2Q=")</f>
        <v>#VALUE!</v>
      </c>
      <c r="CX23" t="e">
        <f>AND('STERLING CATALOG - DRY '!C352,"AAAAAHee/2U=")</f>
        <v>#VALUE!</v>
      </c>
      <c r="CY23" t="e">
        <f>AND('STERLING CATALOG - DRY '!D352,"AAAAAHee/2Y=")</f>
        <v>#VALUE!</v>
      </c>
      <c r="CZ23" t="e">
        <f>AND('STERLING CATALOG - DRY '!E352,"AAAAAHee/2c=")</f>
        <v>#VALUE!</v>
      </c>
      <c r="DA23" t="e">
        <f>AND('STERLING CATALOG - DRY '!F352,"AAAAAHee/2g=")</f>
        <v>#VALUE!</v>
      </c>
      <c r="DB23" t="e">
        <f>AND('STERLING CATALOG - DRY '!G352,"AAAAAHee/2k=")</f>
        <v>#VALUE!</v>
      </c>
      <c r="DC23" t="e">
        <f>AND('STERLING CATALOG - DRY '!H352,"AAAAAHee/2o=")</f>
        <v>#VALUE!</v>
      </c>
      <c r="DD23" t="e">
        <f>AND('STERLING CATALOG - DRY '!I352,"AAAAAHee/2s=")</f>
        <v>#VALUE!</v>
      </c>
      <c r="DE23" t="e">
        <f>AND('STERLING CATALOG - DRY '!J352,"AAAAAHee/2w=")</f>
        <v>#VALUE!</v>
      </c>
      <c r="DF23">
        <f>IF('STERLING CATALOG - DRY '!353:353,"AAAAAHee/20=",0)</f>
        <v>0</v>
      </c>
      <c r="DG23" t="e">
        <f>AND('STERLING CATALOG - DRY '!A353,"AAAAAHee/24=")</f>
        <v>#VALUE!</v>
      </c>
      <c r="DH23" t="e">
        <f>AND('STERLING CATALOG - DRY '!B353,"AAAAAHee/28=")</f>
        <v>#VALUE!</v>
      </c>
      <c r="DI23" t="e">
        <f>AND('STERLING CATALOG - DRY '!C353,"AAAAAHee/3A=")</f>
        <v>#VALUE!</v>
      </c>
      <c r="DJ23" t="e">
        <f>AND('STERLING CATALOG - DRY '!D353,"AAAAAHee/3E=")</f>
        <v>#VALUE!</v>
      </c>
      <c r="DK23" t="e">
        <f>AND('STERLING CATALOG - DRY '!E353,"AAAAAHee/3I=")</f>
        <v>#VALUE!</v>
      </c>
      <c r="DL23" t="e">
        <f>AND('STERLING CATALOG - DRY '!F353,"AAAAAHee/3M=")</f>
        <v>#VALUE!</v>
      </c>
      <c r="DM23" t="e">
        <f>AND('STERLING CATALOG - DRY '!G353,"AAAAAHee/3Q=")</f>
        <v>#VALUE!</v>
      </c>
      <c r="DN23" t="e">
        <f>AND('STERLING CATALOG - DRY '!H353,"AAAAAHee/3U=")</f>
        <v>#VALUE!</v>
      </c>
      <c r="DO23" t="e">
        <f>AND('STERLING CATALOG - DRY '!I353,"AAAAAHee/3Y=")</f>
        <v>#VALUE!</v>
      </c>
      <c r="DP23" t="e">
        <f>AND('STERLING CATALOG - DRY '!J353,"AAAAAHee/3c=")</f>
        <v>#VALUE!</v>
      </c>
      <c r="DQ23">
        <f>IF('STERLING CATALOG - DRY '!354:354,"AAAAAHee/3g=",0)</f>
        <v>0</v>
      </c>
      <c r="DR23" t="e">
        <f>AND('STERLING CATALOG - DRY '!A354,"AAAAAHee/3k=")</f>
        <v>#VALUE!</v>
      </c>
      <c r="DS23" t="e">
        <f>AND('STERLING CATALOG - DRY '!B354,"AAAAAHee/3o=")</f>
        <v>#VALUE!</v>
      </c>
      <c r="DT23" t="e">
        <f>AND('STERLING CATALOG - DRY '!C354,"AAAAAHee/3s=")</f>
        <v>#VALUE!</v>
      </c>
      <c r="DU23" t="e">
        <f>AND('STERLING CATALOG - DRY '!D354,"AAAAAHee/3w=")</f>
        <v>#VALUE!</v>
      </c>
      <c r="DV23" t="e">
        <f>AND('STERLING CATALOG - DRY '!E354,"AAAAAHee/30=")</f>
        <v>#VALUE!</v>
      </c>
      <c r="DW23" t="e">
        <f>AND('STERLING CATALOG - DRY '!F354,"AAAAAHee/34=")</f>
        <v>#VALUE!</v>
      </c>
      <c r="DX23" t="e">
        <f>AND('STERLING CATALOG - DRY '!G354,"AAAAAHee/38=")</f>
        <v>#VALUE!</v>
      </c>
      <c r="DY23" t="e">
        <f>AND('STERLING CATALOG - DRY '!H354,"AAAAAHee/4A=")</f>
        <v>#VALUE!</v>
      </c>
      <c r="DZ23" t="e">
        <f>AND('STERLING CATALOG - DRY '!I354,"AAAAAHee/4E=")</f>
        <v>#VALUE!</v>
      </c>
      <c r="EA23" t="e">
        <f>AND('STERLING CATALOG - DRY '!J354,"AAAAAHee/4I=")</f>
        <v>#VALUE!</v>
      </c>
      <c r="EB23">
        <f>IF('STERLING CATALOG - DRY '!355:355,"AAAAAHee/4M=",0)</f>
        <v>0</v>
      </c>
      <c r="EC23" t="e">
        <f>AND('STERLING CATALOG - DRY '!A355,"AAAAAHee/4Q=")</f>
        <v>#VALUE!</v>
      </c>
      <c r="ED23" t="e">
        <f>AND('STERLING CATALOG - DRY '!B355,"AAAAAHee/4U=")</f>
        <v>#VALUE!</v>
      </c>
      <c r="EE23" t="e">
        <f>AND('STERLING CATALOG - DRY '!C355,"AAAAAHee/4Y=")</f>
        <v>#VALUE!</v>
      </c>
      <c r="EF23" t="e">
        <f>AND('STERLING CATALOG - DRY '!D355,"AAAAAHee/4c=")</f>
        <v>#VALUE!</v>
      </c>
      <c r="EG23" t="e">
        <f>AND('STERLING CATALOG - DRY '!E355,"AAAAAHee/4g=")</f>
        <v>#VALUE!</v>
      </c>
      <c r="EH23" t="e">
        <f>AND('STERLING CATALOG - DRY '!F355,"AAAAAHee/4k=")</f>
        <v>#VALUE!</v>
      </c>
      <c r="EI23" t="e">
        <f>AND('STERLING CATALOG - DRY '!G355,"AAAAAHee/4o=")</f>
        <v>#VALUE!</v>
      </c>
      <c r="EJ23" t="e">
        <f>AND('STERLING CATALOG - DRY '!H355,"AAAAAHee/4s=")</f>
        <v>#VALUE!</v>
      </c>
      <c r="EK23" t="e">
        <f>AND('STERLING CATALOG - DRY '!I355,"AAAAAHee/4w=")</f>
        <v>#VALUE!</v>
      </c>
      <c r="EL23" t="e">
        <f>AND('STERLING CATALOG - DRY '!J355,"AAAAAHee/40=")</f>
        <v>#VALUE!</v>
      </c>
      <c r="EM23">
        <f>IF('STERLING CATALOG - DRY '!356:356,"AAAAAHee/44=",0)</f>
        <v>0</v>
      </c>
      <c r="EN23" t="e">
        <f>AND('STERLING CATALOG - DRY '!A356,"AAAAAHee/48=")</f>
        <v>#VALUE!</v>
      </c>
      <c r="EO23" t="e">
        <f>AND('STERLING CATALOG - DRY '!B356,"AAAAAHee/5A=")</f>
        <v>#VALUE!</v>
      </c>
      <c r="EP23" t="e">
        <f>AND('STERLING CATALOG - DRY '!C356,"AAAAAHee/5E=")</f>
        <v>#VALUE!</v>
      </c>
      <c r="EQ23" t="e">
        <f>AND('STERLING CATALOG - DRY '!D356,"AAAAAHee/5I=")</f>
        <v>#VALUE!</v>
      </c>
      <c r="ER23" t="e">
        <f>AND('STERLING CATALOG - DRY '!E356,"AAAAAHee/5M=")</f>
        <v>#VALUE!</v>
      </c>
      <c r="ES23" t="e">
        <f>AND('STERLING CATALOG - DRY '!F356,"AAAAAHee/5Q=")</f>
        <v>#VALUE!</v>
      </c>
      <c r="ET23" t="e">
        <f>AND('STERLING CATALOG - DRY '!G356,"AAAAAHee/5U=")</f>
        <v>#VALUE!</v>
      </c>
      <c r="EU23" t="e">
        <f>AND('STERLING CATALOG - DRY '!H356,"AAAAAHee/5Y=")</f>
        <v>#VALUE!</v>
      </c>
      <c r="EV23" t="e">
        <f>AND('STERLING CATALOG - DRY '!I356,"AAAAAHee/5c=")</f>
        <v>#VALUE!</v>
      </c>
      <c r="EW23" t="e">
        <f>AND('STERLING CATALOG - DRY '!J356,"AAAAAHee/5g=")</f>
        <v>#VALUE!</v>
      </c>
      <c r="EX23">
        <f>IF('STERLING CATALOG - DRY '!357:357,"AAAAAHee/5k=",0)</f>
        <v>0</v>
      </c>
      <c r="EY23" t="e">
        <f>AND('STERLING CATALOG - DRY '!A357,"AAAAAHee/5o=")</f>
        <v>#VALUE!</v>
      </c>
      <c r="EZ23" t="e">
        <f>AND('STERLING CATALOG - DRY '!B357,"AAAAAHee/5s=")</f>
        <v>#VALUE!</v>
      </c>
      <c r="FA23" t="e">
        <f>AND('STERLING CATALOG - DRY '!C357,"AAAAAHee/5w=")</f>
        <v>#VALUE!</v>
      </c>
      <c r="FB23" t="e">
        <f>AND('STERLING CATALOG - DRY '!D357,"AAAAAHee/50=")</f>
        <v>#VALUE!</v>
      </c>
      <c r="FC23" t="e">
        <f>AND('STERLING CATALOG - DRY '!E357,"AAAAAHee/54=")</f>
        <v>#VALUE!</v>
      </c>
      <c r="FD23" t="e">
        <f>AND('STERLING CATALOG - DRY '!F357,"AAAAAHee/58=")</f>
        <v>#VALUE!</v>
      </c>
      <c r="FE23" t="e">
        <f>AND('STERLING CATALOG - DRY '!G357,"AAAAAHee/6A=")</f>
        <v>#VALUE!</v>
      </c>
      <c r="FF23" t="e">
        <f>AND('STERLING CATALOG - DRY '!H357,"AAAAAHee/6E=")</f>
        <v>#VALUE!</v>
      </c>
      <c r="FG23" t="e">
        <f>AND('STERLING CATALOG - DRY '!I357,"AAAAAHee/6I=")</f>
        <v>#VALUE!</v>
      </c>
      <c r="FH23" t="e">
        <f>AND('STERLING CATALOG - DRY '!J357,"AAAAAHee/6M=")</f>
        <v>#VALUE!</v>
      </c>
      <c r="FI23">
        <f>IF('STERLING CATALOG - DRY '!358:358,"AAAAAHee/6Q=",0)</f>
        <v>0</v>
      </c>
      <c r="FJ23" t="e">
        <f>AND('STERLING CATALOG - DRY '!A358,"AAAAAHee/6U=")</f>
        <v>#VALUE!</v>
      </c>
      <c r="FK23" t="e">
        <f>AND('STERLING CATALOG - DRY '!B358,"AAAAAHee/6Y=")</f>
        <v>#VALUE!</v>
      </c>
      <c r="FL23" t="e">
        <f>AND('STERLING CATALOG - DRY '!C358,"AAAAAHee/6c=")</f>
        <v>#VALUE!</v>
      </c>
      <c r="FM23" t="e">
        <f>AND('STERLING CATALOG - DRY '!D358,"AAAAAHee/6g=")</f>
        <v>#VALUE!</v>
      </c>
      <c r="FN23" t="e">
        <f>AND('STERLING CATALOG - DRY '!E358,"AAAAAHee/6k=")</f>
        <v>#VALUE!</v>
      </c>
      <c r="FO23" t="e">
        <f>AND('STERLING CATALOG - DRY '!F358,"AAAAAHee/6o=")</f>
        <v>#VALUE!</v>
      </c>
      <c r="FP23" t="e">
        <f>AND('STERLING CATALOG - DRY '!G358,"AAAAAHee/6s=")</f>
        <v>#VALUE!</v>
      </c>
      <c r="FQ23" t="e">
        <f>AND('STERLING CATALOG - DRY '!H358,"AAAAAHee/6w=")</f>
        <v>#VALUE!</v>
      </c>
      <c r="FR23" t="e">
        <f>AND('STERLING CATALOG - DRY '!I358,"AAAAAHee/60=")</f>
        <v>#VALUE!</v>
      </c>
      <c r="FS23" t="e">
        <f>AND('STERLING CATALOG - DRY '!J358,"AAAAAHee/64=")</f>
        <v>#VALUE!</v>
      </c>
      <c r="FT23">
        <f>IF('STERLING CATALOG - DRY '!359:359,"AAAAAHee/68=",0)</f>
        <v>0</v>
      </c>
      <c r="FU23" t="e">
        <f>AND('STERLING CATALOG - DRY '!A359,"AAAAAHee/7A=")</f>
        <v>#VALUE!</v>
      </c>
      <c r="FV23" t="e">
        <f>AND('STERLING CATALOG - DRY '!B359,"AAAAAHee/7E=")</f>
        <v>#VALUE!</v>
      </c>
      <c r="FW23" t="e">
        <f>AND('STERLING CATALOG - DRY '!C359,"AAAAAHee/7I=")</f>
        <v>#VALUE!</v>
      </c>
      <c r="FX23" t="e">
        <f>AND('STERLING CATALOG - DRY '!D359,"AAAAAHee/7M=")</f>
        <v>#VALUE!</v>
      </c>
      <c r="FY23" t="e">
        <f>AND('STERLING CATALOG - DRY '!E359,"AAAAAHee/7Q=")</f>
        <v>#VALUE!</v>
      </c>
      <c r="FZ23" t="e">
        <f>AND('STERLING CATALOG - DRY '!F359,"AAAAAHee/7U=")</f>
        <v>#VALUE!</v>
      </c>
      <c r="GA23" t="e">
        <f>AND('STERLING CATALOG - DRY '!G359,"AAAAAHee/7Y=")</f>
        <v>#VALUE!</v>
      </c>
      <c r="GB23" t="e">
        <f>AND('STERLING CATALOG - DRY '!H359,"AAAAAHee/7c=")</f>
        <v>#VALUE!</v>
      </c>
      <c r="GC23" t="e">
        <f>AND('STERLING CATALOG - DRY '!I359,"AAAAAHee/7g=")</f>
        <v>#VALUE!</v>
      </c>
      <c r="GD23" t="e">
        <f>AND('STERLING CATALOG - DRY '!J359,"AAAAAHee/7k=")</f>
        <v>#VALUE!</v>
      </c>
      <c r="GE23">
        <f>IF('STERLING CATALOG - DRY '!360:360,"AAAAAHee/7o=",0)</f>
        <v>0</v>
      </c>
      <c r="GF23" t="e">
        <f>AND('STERLING CATALOG - DRY '!A360,"AAAAAHee/7s=")</f>
        <v>#VALUE!</v>
      </c>
      <c r="GG23" t="e">
        <f>AND('STERLING CATALOG - DRY '!B360,"AAAAAHee/7w=")</f>
        <v>#VALUE!</v>
      </c>
      <c r="GH23" t="e">
        <f>AND('STERLING CATALOG - DRY '!C360,"AAAAAHee/70=")</f>
        <v>#VALUE!</v>
      </c>
      <c r="GI23" t="e">
        <f>AND('STERLING CATALOG - DRY '!D360,"AAAAAHee/74=")</f>
        <v>#VALUE!</v>
      </c>
      <c r="GJ23" t="e">
        <f>AND('STERLING CATALOG - DRY '!E360,"AAAAAHee/78=")</f>
        <v>#VALUE!</v>
      </c>
      <c r="GK23" t="e">
        <f>AND('STERLING CATALOG - DRY '!F360,"AAAAAHee/8A=")</f>
        <v>#VALUE!</v>
      </c>
      <c r="GL23" t="e">
        <f>AND('STERLING CATALOG - DRY '!G360,"AAAAAHee/8E=")</f>
        <v>#VALUE!</v>
      </c>
      <c r="GM23" t="e">
        <f>AND('STERLING CATALOG - DRY '!H360,"AAAAAHee/8I=")</f>
        <v>#VALUE!</v>
      </c>
      <c r="GN23" t="e">
        <f>AND('STERLING CATALOG - DRY '!I360,"AAAAAHee/8M=")</f>
        <v>#VALUE!</v>
      </c>
      <c r="GO23" t="e">
        <f>AND('STERLING CATALOG - DRY '!J360,"AAAAAHee/8Q=")</f>
        <v>#VALUE!</v>
      </c>
      <c r="GP23">
        <f>IF('STERLING CATALOG - DRY '!361:361,"AAAAAHee/8U=",0)</f>
        <v>0</v>
      </c>
      <c r="GQ23" t="e">
        <f>AND('STERLING CATALOG - DRY '!A361,"AAAAAHee/8Y=")</f>
        <v>#VALUE!</v>
      </c>
      <c r="GR23" t="e">
        <f>AND('STERLING CATALOG - DRY '!B361,"AAAAAHee/8c=")</f>
        <v>#VALUE!</v>
      </c>
      <c r="GS23" t="e">
        <f>AND('STERLING CATALOG - DRY '!C361,"AAAAAHee/8g=")</f>
        <v>#VALUE!</v>
      </c>
      <c r="GT23" t="e">
        <f>AND('STERLING CATALOG - DRY '!D361,"AAAAAHee/8k=")</f>
        <v>#VALUE!</v>
      </c>
      <c r="GU23" t="e">
        <f>AND('STERLING CATALOG - DRY '!E361,"AAAAAHee/8o=")</f>
        <v>#VALUE!</v>
      </c>
      <c r="GV23" t="e">
        <f>AND('STERLING CATALOG - DRY '!F361,"AAAAAHee/8s=")</f>
        <v>#VALUE!</v>
      </c>
      <c r="GW23" t="e">
        <f>AND('STERLING CATALOG - DRY '!G361,"AAAAAHee/8w=")</f>
        <v>#VALUE!</v>
      </c>
      <c r="GX23" t="e">
        <f>AND('STERLING CATALOG - DRY '!H361,"AAAAAHee/80=")</f>
        <v>#VALUE!</v>
      </c>
      <c r="GY23" t="e">
        <f>AND('STERLING CATALOG - DRY '!I361,"AAAAAHee/84=")</f>
        <v>#VALUE!</v>
      </c>
      <c r="GZ23" t="e">
        <f>AND('STERLING CATALOG - DRY '!J361,"AAAAAHee/88=")</f>
        <v>#VALUE!</v>
      </c>
      <c r="HA23">
        <f>IF('STERLING CATALOG - DRY '!362:362,"AAAAAHee/9A=",0)</f>
        <v>0</v>
      </c>
      <c r="HB23" t="e">
        <f>AND('STERLING CATALOG - DRY '!A362,"AAAAAHee/9E=")</f>
        <v>#VALUE!</v>
      </c>
      <c r="HC23" t="e">
        <f>AND('STERLING CATALOG - DRY '!B362,"AAAAAHee/9I=")</f>
        <v>#VALUE!</v>
      </c>
      <c r="HD23" t="e">
        <f>AND('STERLING CATALOG - DRY '!C362,"AAAAAHee/9M=")</f>
        <v>#VALUE!</v>
      </c>
      <c r="HE23" t="e">
        <f>AND('STERLING CATALOG - DRY '!D362,"AAAAAHee/9Q=")</f>
        <v>#VALUE!</v>
      </c>
      <c r="HF23" t="e">
        <f>AND('STERLING CATALOG - DRY '!E362,"AAAAAHee/9U=")</f>
        <v>#VALUE!</v>
      </c>
      <c r="HG23" t="e">
        <f>AND('STERLING CATALOG - DRY '!F362,"AAAAAHee/9Y=")</f>
        <v>#VALUE!</v>
      </c>
      <c r="HH23" t="e">
        <f>AND('STERLING CATALOG - DRY '!G362,"AAAAAHee/9c=")</f>
        <v>#VALUE!</v>
      </c>
      <c r="HI23" t="e">
        <f>AND('STERLING CATALOG - DRY '!H362,"AAAAAHee/9g=")</f>
        <v>#VALUE!</v>
      </c>
      <c r="HJ23" t="e">
        <f>AND('STERLING CATALOG - DRY '!I362,"AAAAAHee/9k=")</f>
        <v>#VALUE!</v>
      </c>
      <c r="HK23" t="e">
        <f>AND('STERLING CATALOG - DRY '!J362,"AAAAAHee/9o=")</f>
        <v>#VALUE!</v>
      </c>
      <c r="HL23">
        <f>IF('STERLING CATALOG - DRY '!363:363,"AAAAAHee/9s=",0)</f>
        <v>0</v>
      </c>
      <c r="HM23" t="e">
        <f>AND('STERLING CATALOG - DRY '!A363,"AAAAAHee/9w=")</f>
        <v>#VALUE!</v>
      </c>
      <c r="HN23" t="e">
        <f>AND('STERLING CATALOG - DRY '!B363,"AAAAAHee/90=")</f>
        <v>#VALUE!</v>
      </c>
      <c r="HO23" t="e">
        <f>AND('STERLING CATALOG - DRY '!C363,"AAAAAHee/94=")</f>
        <v>#VALUE!</v>
      </c>
      <c r="HP23" t="e">
        <f>AND('STERLING CATALOG - DRY '!D363,"AAAAAHee/98=")</f>
        <v>#VALUE!</v>
      </c>
      <c r="HQ23" t="e">
        <f>AND('STERLING CATALOG - DRY '!E363,"AAAAAHee/+A=")</f>
        <v>#VALUE!</v>
      </c>
      <c r="HR23" t="e">
        <f>AND('STERLING CATALOG - DRY '!F363,"AAAAAHee/+E=")</f>
        <v>#VALUE!</v>
      </c>
      <c r="HS23" t="e">
        <f>AND('STERLING CATALOG - DRY '!G363,"AAAAAHee/+I=")</f>
        <v>#VALUE!</v>
      </c>
      <c r="HT23" t="e">
        <f>AND('STERLING CATALOG - DRY '!H363,"AAAAAHee/+M=")</f>
        <v>#VALUE!</v>
      </c>
      <c r="HU23" t="e">
        <f>AND('STERLING CATALOG - DRY '!I363,"AAAAAHee/+Q=")</f>
        <v>#VALUE!</v>
      </c>
      <c r="HV23" t="e">
        <f>AND('STERLING CATALOG - DRY '!J363,"AAAAAHee/+U=")</f>
        <v>#VALUE!</v>
      </c>
      <c r="HW23">
        <f>IF('STERLING CATALOG - DRY '!364:364,"AAAAAHee/+Y=",0)</f>
        <v>0</v>
      </c>
      <c r="HX23" t="e">
        <f>AND('STERLING CATALOG - DRY '!A364,"AAAAAHee/+c=")</f>
        <v>#VALUE!</v>
      </c>
      <c r="HY23" t="e">
        <f>AND('STERLING CATALOG - DRY '!B364,"AAAAAHee/+g=")</f>
        <v>#VALUE!</v>
      </c>
      <c r="HZ23" t="e">
        <f>AND('STERLING CATALOG - DRY '!C364,"AAAAAHee/+k=")</f>
        <v>#VALUE!</v>
      </c>
      <c r="IA23" t="e">
        <f>AND('STERLING CATALOG - DRY '!D364,"AAAAAHee/+o=")</f>
        <v>#VALUE!</v>
      </c>
      <c r="IB23" t="e">
        <f>AND('STERLING CATALOG - DRY '!E364,"AAAAAHee/+s=")</f>
        <v>#VALUE!</v>
      </c>
      <c r="IC23" t="e">
        <f>AND('STERLING CATALOG - DRY '!F364,"AAAAAHee/+w=")</f>
        <v>#VALUE!</v>
      </c>
      <c r="ID23" t="e">
        <f>AND('STERLING CATALOG - DRY '!G364,"AAAAAHee/+0=")</f>
        <v>#VALUE!</v>
      </c>
      <c r="IE23" t="e">
        <f>AND('STERLING CATALOG - DRY '!H364,"AAAAAHee/+4=")</f>
        <v>#VALUE!</v>
      </c>
      <c r="IF23" t="e">
        <f>AND('STERLING CATALOG - DRY '!I364,"AAAAAHee/+8=")</f>
        <v>#VALUE!</v>
      </c>
      <c r="IG23" t="e">
        <f>AND('STERLING CATALOG - DRY '!J364,"AAAAAHee//A=")</f>
        <v>#VALUE!</v>
      </c>
      <c r="IH23">
        <f>IF('STERLING CATALOG - DRY '!365:365,"AAAAAHee//E=",0)</f>
        <v>0</v>
      </c>
      <c r="II23" t="e">
        <f>AND('STERLING CATALOG - DRY '!A365,"AAAAAHee//I=")</f>
        <v>#VALUE!</v>
      </c>
      <c r="IJ23" t="e">
        <f>AND('STERLING CATALOG - DRY '!B365,"AAAAAHee//M=")</f>
        <v>#VALUE!</v>
      </c>
      <c r="IK23" t="e">
        <f>AND('STERLING CATALOG - DRY '!C365,"AAAAAHee//Q=")</f>
        <v>#VALUE!</v>
      </c>
      <c r="IL23" t="e">
        <f>AND('STERLING CATALOG - DRY '!D365,"AAAAAHee//U=")</f>
        <v>#VALUE!</v>
      </c>
      <c r="IM23" t="e">
        <f>AND('STERLING CATALOG - DRY '!E365,"AAAAAHee//Y=")</f>
        <v>#VALUE!</v>
      </c>
      <c r="IN23" t="e">
        <f>AND('STERLING CATALOG - DRY '!F365,"AAAAAHee//c=")</f>
        <v>#VALUE!</v>
      </c>
      <c r="IO23" t="e">
        <f>AND('STERLING CATALOG - DRY '!G365,"AAAAAHee//g=")</f>
        <v>#VALUE!</v>
      </c>
      <c r="IP23" t="e">
        <f>AND('STERLING CATALOG - DRY '!H365,"AAAAAHee//k=")</f>
        <v>#VALUE!</v>
      </c>
      <c r="IQ23" t="e">
        <f>AND('STERLING CATALOG - DRY '!I365,"AAAAAHee//o=")</f>
        <v>#VALUE!</v>
      </c>
      <c r="IR23" t="e">
        <f>AND('STERLING CATALOG - DRY '!J365,"AAAAAHee//s=")</f>
        <v>#VALUE!</v>
      </c>
      <c r="IS23">
        <f>IF('STERLING CATALOG - DRY '!366:366,"AAAAAHee//w=",0)</f>
        <v>0</v>
      </c>
      <c r="IT23" t="e">
        <f>AND('STERLING CATALOG - DRY '!A366,"AAAAAHee//0=")</f>
        <v>#VALUE!</v>
      </c>
      <c r="IU23" t="e">
        <f>AND('STERLING CATALOG - DRY '!B366,"AAAAAHee//4=")</f>
        <v>#VALUE!</v>
      </c>
      <c r="IV23" t="e">
        <f>AND('STERLING CATALOG - DRY '!C366,"AAAAAHee//8=")</f>
        <v>#VALUE!</v>
      </c>
    </row>
    <row r="24" spans="1:256">
      <c r="A24" t="e">
        <f>AND('STERLING CATALOG - DRY '!D366,"AAAAAD//pgA=")</f>
        <v>#VALUE!</v>
      </c>
      <c r="B24" t="e">
        <f>AND('STERLING CATALOG - DRY '!E366,"AAAAAD//pgE=")</f>
        <v>#VALUE!</v>
      </c>
      <c r="C24" t="e">
        <f>AND('STERLING CATALOG - DRY '!F366,"AAAAAD//pgI=")</f>
        <v>#VALUE!</v>
      </c>
      <c r="D24" t="e">
        <f>AND('STERLING CATALOG - DRY '!G366,"AAAAAD//pgM=")</f>
        <v>#VALUE!</v>
      </c>
      <c r="E24" t="e">
        <f>AND('STERLING CATALOG - DRY '!H366,"AAAAAD//pgQ=")</f>
        <v>#VALUE!</v>
      </c>
      <c r="F24" t="e">
        <f>AND('STERLING CATALOG - DRY '!I366,"AAAAAD//pgU=")</f>
        <v>#VALUE!</v>
      </c>
      <c r="G24" t="e">
        <f>AND('STERLING CATALOG - DRY '!J366,"AAAAAD//pgY=")</f>
        <v>#VALUE!</v>
      </c>
      <c r="H24" t="str">
        <f>IF('STERLING CATALOG - DRY '!367:367,"AAAAAD//pgc=",0)</f>
        <v>AAAAAD//pgc=</v>
      </c>
      <c r="I24" t="e">
        <f>AND('STERLING CATALOG - DRY '!A367,"AAAAAD//pgg=")</f>
        <v>#VALUE!</v>
      </c>
      <c r="J24" t="e">
        <f>AND('STERLING CATALOG - DRY '!B367,"AAAAAD//pgk=")</f>
        <v>#VALUE!</v>
      </c>
      <c r="K24" t="e">
        <f>AND('STERLING CATALOG - DRY '!C367,"AAAAAD//pgo=")</f>
        <v>#VALUE!</v>
      </c>
      <c r="L24" t="e">
        <f>AND('STERLING CATALOG - DRY '!D367,"AAAAAD//pgs=")</f>
        <v>#VALUE!</v>
      </c>
      <c r="M24" t="e">
        <f>AND('STERLING CATALOG - DRY '!E367,"AAAAAD//pgw=")</f>
        <v>#VALUE!</v>
      </c>
      <c r="N24" t="e">
        <f>AND('STERLING CATALOG - DRY '!F367,"AAAAAD//pg0=")</f>
        <v>#VALUE!</v>
      </c>
      <c r="O24" t="e">
        <f>AND('STERLING CATALOG - DRY '!G367,"AAAAAD//pg4=")</f>
        <v>#VALUE!</v>
      </c>
      <c r="P24" t="e">
        <f>AND('STERLING CATALOG - DRY '!H367,"AAAAAD//pg8=")</f>
        <v>#VALUE!</v>
      </c>
      <c r="Q24" t="e">
        <f>AND('STERLING CATALOG - DRY '!I367,"AAAAAD//phA=")</f>
        <v>#VALUE!</v>
      </c>
      <c r="R24" t="e">
        <f>AND('STERLING CATALOG - DRY '!J367,"AAAAAD//phE=")</f>
        <v>#VALUE!</v>
      </c>
      <c r="S24">
        <f>IF('STERLING CATALOG - DRY '!368:368,"AAAAAD//phI=",0)</f>
        <v>0</v>
      </c>
      <c r="T24" t="e">
        <f>AND('STERLING CATALOG - DRY '!A368,"AAAAAD//phM=")</f>
        <v>#VALUE!</v>
      </c>
      <c r="U24" t="e">
        <f>AND('STERLING CATALOG - DRY '!B368,"AAAAAD//phQ=")</f>
        <v>#VALUE!</v>
      </c>
      <c r="V24" t="e">
        <f>AND('STERLING CATALOG - DRY '!C368,"AAAAAD//phU=")</f>
        <v>#VALUE!</v>
      </c>
      <c r="W24" t="e">
        <f>AND('STERLING CATALOG - DRY '!D368,"AAAAAD//phY=")</f>
        <v>#VALUE!</v>
      </c>
      <c r="X24" t="e">
        <f>AND('STERLING CATALOG - DRY '!E368,"AAAAAD//phc=")</f>
        <v>#VALUE!</v>
      </c>
      <c r="Y24" t="e">
        <f>AND('STERLING CATALOG - DRY '!F368,"AAAAAD//phg=")</f>
        <v>#VALUE!</v>
      </c>
      <c r="Z24" t="e">
        <f>AND('STERLING CATALOG - DRY '!G368,"AAAAAD//phk=")</f>
        <v>#VALUE!</v>
      </c>
      <c r="AA24" t="e">
        <f>AND('STERLING CATALOG - DRY '!H368,"AAAAAD//pho=")</f>
        <v>#VALUE!</v>
      </c>
      <c r="AB24" t="e">
        <f>AND('STERLING CATALOG - DRY '!I368,"AAAAAD//phs=")</f>
        <v>#VALUE!</v>
      </c>
      <c r="AC24" t="e">
        <f>AND('STERLING CATALOG - DRY '!J368,"AAAAAD//phw=")</f>
        <v>#VALUE!</v>
      </c>
      <c r="AD24">
        <f>IF('STERLING CATALOG - DRY '!369:369,"AAAAAD//ph0=",0)</f>
        <v>0</v>
      </c>
      <c r="AE24" t="e">
        <f>AND('STERLING CATALOG - DRY '!A369,"AAAAAD//ph4=")</f>
        <v>#VALUE!</v>
      </c>
      <c r="AF24" t="e">
        <f>AND('STERLING CATALOG - DRY '!B369,"AAAAAD//ph8=")</f>
        <v>#VALUE!</v>
      </c>
      <c r="AG24" t="e">
        <f>AND('STERLING CATALOG - DRY '!C369,"AAAAAD//piA=")</f>
        <v>#VALUE!</v>
      </c>
      <c r="AH24" t="e">
        <f>AND('STERLING CATALOG - DRY '!D369,"AAAAAD//piE=")</f>
        <v>#VALUE!</v>
      </c>
      <c r="AI24" t="e">
        <f>AND('STERLING CATALOG - DRY '!E369,"AAAAAD//piI=")</f>
        <v>#VALUE!</v>
      </c>
      <c r="AJ24" t="e">
        <f>AND('STERLING CATALOG - DRY '!F369,"AAAAAD//piM=")</f>
        <v>#VALUE!</v>
      </c>
      <c r="AK24" t="e">
        <f>AND('STERLING CATALOG - DRY '!G369,"AAAAAD//piQ=")</f>
        <v>#VALUE!</v>
      </c>
      <c r="AL24" t="e">
        <f>AND('STERLING CATALOG - DRY '!H369,"AAAAAD//piU=")</f>
        <v>#VALUE!</v>
      </c>
      <c r="AM24" t="e">
        <f>AND('STERLING CATALOG - DRY '!I369,"AAAAAD//piY=")</f>
        <v>#VALUE!</v>
      </c>
      <c r="AN24" t="e">
        <f>AND('STERLING CATALOG - DRY '!J369,"AAAAAD//pic=")</f>
        <v>#VALUE!</v>
      </c>
      <c r="AO24">
        <f>IF('STERLING CATALOG - DRY '!370:370,"AAAAAD//pig=",0)</f>
        <v>0</v>
      </c>
      <c r="AP24" t="e">
        <f>AND('STERLING CATALOG - DRY '!A370,"AAAAAD//pik=")</f>
        <v>#VALUE!</v>
      </c>
      <c r="AQ24" t="e">
        <f>AND('STERLING CATALOG - DRY '!B370,"AAAAAD//pio=")</f>
        <v>#VALUE!</v>
      </c>
      <c r="AR24" t="e">
        <f>AND('STERLING CATALOG - DRY '!C370,"AAAAAD//pis=")</f>
        <v>#VALUE!</v>
      </c>
      <c r="AS24" t="e">
        <f>AND('STERLING CATALOG - DRY '!D370,"AAAAAD//piw=")</f>
        <v>#VALUE!</v>
      </c>
      <c r="AT24" t="e">
        <f>AND('STERLING CATALOG - DRY '!E370,"AAAAAD//pi0=")</f>
        <v>#VALUE!</v>
      </c>
      <c r="AU24" t="e">
        <f>AND('STERLING CATALOG - DRY '!F370,"AAAAAD//pi4=")</f>
        <v>#VALUE!</v>
      </c>
      <c r="AV24" t="e">
        <f>AND('STERLING CATALOG - DRY '!G370,"AAAAAD//pi8=")</f>
        <v>#VALUE!</v>
      </c>
      <c r="AW24" t="e">
        <f>AND('STERLING CATALOG - DRY '!H370,"AAAAAD//pjA=")</f>
        <v>#VALUE!</v>
      </c>
      <c r="AX24" t="e">
        <f>AND('STERLING CATALOG - DRY '!I370,"AAAAAD//pjE=")</f>
        <v>#VALUE!</v>
      </c>
      <c r="AY24" t="e">
        <f>AND('STERLING CATALOG - DRY '!J370,"AAAAAD//pjI=")</f>
        <v>#VALUE!</v>
      </c>
      <c r="AZ24">
        <f>IF('STERLING CATALOG - DRY '!371:371,"AAAAAD//pjM=",0)</f>
        <v>0</v>
      </c>
      <c r="BA24" t="e">
        <f>AND('STERLING CATALOG - DRY '!A371,"AAAAAD//pjQ=")</f>
        <v>#VALUE!</v>
      </c>
      <c r="BB24" t="e">
        <f>AND('STERLING CATALOG - DRY '!B371,"AAAAAD//pjU=")</f>
        <v>#VALUE!</v>
      </c>
      <c r="BC24" t="e">
        <f>AND('STERLING CATALOG - DRY '!C371,"AAAAAD//pjY=")</f>
        <v>#VALUE!</v>
      </c>
      <c r="BD24" t="e">
        <f>AND('STERLING CATALOG - DRY '!D371,"AAAAAD//pjc=")</f>
        <v>#VALUE!</v>
      </c>
      <c r="BE24" t="e">
        <f>AND('STERLING CATALOG - DRY '!E371,"AAAAAD//pjg=")</f>
        <v>#VALUE!</v>
      </c>
      <c r="BF24" t="e">
        <f>AND('STERLING CATALOG - DRY '!F371,"AAAAAD//pjk=")</f>
        <v>#VALUE!</v>
      </c>
      <c r="BG24" t="e">
        <f>AND('STERLING CATALOG - DRY '!G371,"AAAAAD//pjo=")</f>
        <v>#VALUE!</v>
      </c>
      <c r="BH24" t="e">
        <f>AND('STERLING CATALOG - DRY '!H371,"AAAAAD//pjs=")</f>
        <v>#VALUE!</v>
      </c>
      <c r="BI24" t="e">
        <f>AND('STERLING CATALOG - DRY '!I371,"AAAAAD//pjw=")</f>
        <v>#VALUE!</v>
      </c>
      <c r="BJ24" t="e">
        <f>AND('STERLING CATALOG - DRY '!J371,"AAAAAD//pj0=")</f>
        <v>#VALUE!</v>
      </c>
      <c r="BK24">
        <f>IF('STERLING CATALOG - DRY '!372:372,"AAAAAD//pj4=",0)</f>
        <v>0</v>
      </c>
      <c r="BL24" t="e">
        <f>AND('STERLING CATALOG - DRY '!A372,"AAAAAD//pj8=")</f>
        <v>#VALUE!</v>
      </c>
      <c r="BM24" t="e">
        <f>AND('STERLING CATALOG - DRY '!B372,"AAAAAD//pkA=")</f>
        <v>#VALUE!</v>
      </c>
      <c r="BN24" t="e">
        <f>AND('STERLING CATALOG - DRY '!C372,"AAAAAD//pkE=")</f>
        <v>#VALUE!</v>
      </c>
      <c r="BO24" t="e">
        <f>AND('STERLING CATALOG - DRY '!D372,"AAAAAD//pkI=")</f>
        <v>#VALUE!</v>
      </c>
      <c r="BP24" t="e">
        <f>AND('STERLING CATALOG - DRY '!E372,"AAAAAD//pkM=")</f>
        <v>#VALUE!</v>
      </c>
      <c r="BQ24" t="e">
        <f>AND('STERLING CATALOG - DRY '!F372,"AAAAAD//pkQ=")</f>
        <v>#VALUE!</v>
      </c>
      <c r="BR24" t="e">
        <f>AND('STERLING CATALOG - DRY '!G372,"AAAAAD//pkU=")</f>
        <v>#VALUE!</v>
      </c>
      <c r="BS24" t="e">
        <f>AND('STERLING CATALOG - DRY '!H372,"AAAAAD//pkY=")</f>
        <v>#VALUE!</v>
      </c>
      <c r="BT24" t="e">
        <f>AND('STERLING CATALOG - DRY '!I372,"AAAAAD//pkc=")</f>
        <v>#VALUE!</v>
      </c>
      <c r="BU24" t="e">
        <f>AND('STERLING CATALOG - DRY '!J372,"AAAAAD//pkg=")</f>
        <v>#VALUE!</v>
      </c>
      <c r="BV24">
        <f>IF('STERLING CATALOG - DRY '!373:373,"AAAAAD//pkk=",0)</f>
        <v>0</v>
      </c>
      <c r="BW24" t="e">
        <f>AND('STERLING CATALOG - DRY '!A373,"AAAAAD//pko=")</f>
        <v>#VALUE!</v>
      </c>
      <c r="BX24" t="e">
        <f>AND('STERLING CATALOG - DRY '!B373,"AAAAAD//pks=")</f>
        <v>#VALUE!</v>
      </c>
      <c r="BY24" t="e">
        <f>AND('STERLING CATALOG - DRY '!C373,"AAAAAD//pkw=")</f>
        <v>#VALUE!</v>
      </c>
      <c r="BZ24" t="e">
        <f>AND('STERLING CATALOG - DRY '!D373,"AAAAAD//pk0=")</f>
        <v>#VALUE!</v>
      </c>
      <c r="CA24" t="e">
        <f>AND('STERLING CATALOG - DRY '!E373,"AAAAAD//pk4=")</f>
        <v>#VALUE!</v>
      </c>
      <c r="CB24" t="e">
        <f>AND('STERLING CATALOG - DRY '!F373,"AAAAAD//pk8=")</f>
        <v>#VALUE!</v>
      </c>
      <c r="CC24" t="e">
        <f>AND('STERLING CATALOG - DRY '!G373,"AAAAAD//plA=")</f>
        <v>#VALUE!</v>
      </c>
      <c r="CD24" t="e">
        <f>AND('STERLING CATALOG - DRY '!H373,"AAAAAD//plE=")</f>
        <v>#VALUE!</v>
      </c>
      <c r="CE24" t="e">
        <f>AND('STERLING CATALOG - DRY '!I373,"AAAAAD//plI=")</f>
        <v>#VALUE!</v>
      </c>
      <c r="CF24" t="e">
        <f>AND('STERLING CATALOG - DRY '!J373,"AAAAAD//plM=")</f>
        <v>#VALUE!</v>
      </c>
      <c r="CG24">
        <f>IF('STERLING CATALOG - DRY '!374:374,"AAAAAD//plQ=",0)</f>
        <v>0</v>
      </c>
      <c r="CH24" t="e">
        <f>AND('STERLING CATALOG - DRY '!A374,"AAAAAD//plU=")</f>
        <v>#VALUE!</v>
      </c>
      <c r="CI24" t="e">
        <f>AND('STERLING CATALOG - DRY '!B374,"AAAAAD//plY=")</f>
        <v>#VALUE!</v>
      </c>
      <c r="CJ24" t="e">
        <f>AND('STERLING CATALOG - DRY '!C374,"AAAAAD//plc=")</f>
        <v>#VALUE!</v>
      </c>
      <c r="CK24" t="e">
        <f>AND('STERLING CATALOG - DRY '!D374,"AAAAAD//plg=")</f>
        <v>#VALUE!</v>
      </c>
      <c r="CL24" t="e">
        <f>AND('STERLING CATALOG - DRY '!E374,"AAAAAD//plk=")</f>
        <v>#VALUE!</v>
      </c>
      <c r="CM24" t="e">
        <f>AND('STERLING CATALOG - DRY '!F374,"AAAAAD//plo=")</f>
        <v>#VALUE!</v>
      </c>
      <c r="CN24" t="e">
        <f>AND('STERLING CATALOG - DRY '!G374,"AAAAAD//pls=")</f>
        <v>#VALUE!</v>
      </c>
      <c r="CO24" t="e">
        <f>AND('STERLING CATALOG - DRY '!H374,"AAAAAD//plw=")</f>
        <v>#VALUE!</v>
      </c>
      <c r="CP24" t="e">
        <f>AND('STERLING CATALOG - DRY '!I374,"AAAAAD//pl0=")</f>
        <v>#VALUE!</v>
      </c>
      <c r="CQ24" t="e">
        <f>AND('STERLING CATALOG - DRY '!J374,"AAAAAD//pl4=")</f>
        <v>#VALUE!</v>
      </c>
      <c r="CR24">
        <f>IF('STERLING CATALOG - DRY '!375:375,"AAAAAD//pl8=",0)</f>
        <v>0</v>
      </c>
      <c r="CS24" t="e">
        <f>AND('STERLING CATALOG - DRY '!A375,"AAAAAD//pmA=")</f>
        <v>#VALUE!</v>
      </c>
      <c r="CT24" t="e">
        <f>AND('STERLING CATALOG - DRY '!B375,"AAAAAD//pmE=")</f>
        <v>#VALUE!</v>
      </c>
      <c r="CU24" t="e">
        <f>AND('STERLING CATALOG - DRY '!C375,"AAAAAD//pmI=")</f>
        <v>#VALUE!</v>
      </c>
      <c r="CV24" t="e">
        <f>AND('STERLING CATALOG - DRY '!D375,"AAAAAD//pmM=")</f>
        <v>#VALUE!</v>
      </c>
      <c r="CW24" t="e">
        <f>AND('STERLING CATALOG - DRY '!E375,"AAAAAD//pmQ=")</f>
        <v>#VALUE!</v>
      </c>
      <c r="CX24" t="e">
        <f>AND('STERLING CATALOG - DRY '!F375,"AAAAAD//pmU=")</f>
        <v>#VALUE!</v>
      </c>
      <c r="CY24" t="e">
        <f>AND('STERLING CATALOG - DRY '!G375,"AAAAAD//pmY=")</f>
        <v>#VALUE!</v>
      </c>
      <c r="CZ24" t="e">
        <f>AND('STERLING CATALOG - DRY '!H375,"AAAAAD//pmc=")</f>
        <v>#VALUE!</v>
      </c>
      <c r="DA24" t="e">
        <f>AND('STERLING CATALOG - DRY '!I375,"AAAAAD//pmg=")</f>
        <v>#VALUE!</v>
      </c>
      <c r="DB24" t="e">
        <f>AND('STERLING CATALOG - DRY '!J375,"AAAAAD//pmk=")</f>
        <v>#VALUE!</v>
      </c>
      <c r="DC24">
        <f>IF('STERLING CATALOG - DRY '!376:376,"AAAAAD//pmo=",0)</f>
        <v>0</v>
      </c>
      <c r="DD24" t="e">
        <f>AND('STERLING CATALOG - DRY '!A376,"AAAAAD//pms=")</f>
        <v>#VALUE!</v>
      </c>
      <c r="DE24" t="e">
        <f>AND('STERLING CATALOG - DRY '!B376,"AAAAAD//pmw=")</f>
        <v>#VALUE!</v>
      </c>
      <c r="DF24" t="e">
        <f>AND('STERLING CATALOG - DRY '!C376,"AAAAAD//pm0=")</f>
        <v>#VALUE!</v>
      </c>
      <c r="DG24" t="e">
        <f>AND('STERLING CATALOG - DRY '!D376,"AAAAAD//pm4=")</f>
        <v>#VALUE!</v>
      </c>
      <c r="DH24" t="e">
        <f>AND('STERLING CATALOG - DRY '!E376,"AAAAAD//pm8=")</f>
        <v>#VALUE!</v>
      </c>
      <c r="DI24" t="e">
        <f>AND('STERLING CATALOG - DRY '!F376,"AAAAAD//pnA=")</f>
        <v>#VALUE!</v>
      </c>
      <c r="DJ24" t="e">
        <f>AND('STERLING CATALOG - DRY '!G376,"AAAAAD//pnE=")</f>
        <v>#VALUE!</v>
      </c>
      <c r="DK24" t="e">
        <f>AND('STERLING CATALOG - DRY '!H376,"AAAAAD//pnI=")</f>
        <v>#VALUE!</v>
      </c>
      <c r="DL24" t="e">
        <f>AND('STERLING CATALOG - DRY '!I376,"AAAAAD//pnM=")</f>
        <v>#VALUE!</v>
      </c>
      <c r="DM24" t="e">
        <f>AND('STERLING CATALOG - DRY '!J376,"AAAAAD//pnQ=")</f>
        <v>#VALUE!</v>
      </c>
      <c r="DN24">
        <f>IF('STERLING CATALOG - DRY '!377:377,"AAAAAD//pnU=",0)</f>
        <v>0</v>
      </c>
      <c r="DO24" t="e">
        <f>AND('STERLING CATALOG - DRY '!A377,"AAAAAD//pnY=")</f>
        <v>#VALUE!</v>
      </c>
      <c r="DP24" t="e">
        <f>AND('STERLING CATALOG - DRY '!B377,"AAAAAD//pnc=")</f>
        <v>#VALUE!</v>
      </c>
      <c r="DQ24" t="e">
        <f>AND('STERLING CATALOG - DRY '!C377,"AAAAAD//png=")</f>
        <v>#VALUE!</v>
      </c>
      <c r="DR24" t="e">
        <f>AND('STERLING CATALOG - DRY '!D377,"AAAAAD//pnk=")</f>
        <v>#VALUE!</v>
      </c>
      <c r="DS24" t="e">
        <f>AND('STERLING CATALOG - DRY '!E377,"AAAAAD//pno=")</f>
        <v>#VALUE!</v>
      </c>
      <c r="DT24" t="e">
        <f>AND('STERLING CATALOG - DRY '!F377,"AAAAAD//pns=")</f>
        <v>#VALUE!</v>
      </c>
      <c r="DU24" t="e">
        <f>AND('STERLING CATALOG - DRY '!G377,"AAAAAD//pnw=")</f>
        <v>#VALUE!</v>
      </c>
      <c r="DV24" t="e">
        <f>AND('STERLING CATALOG - DRY '!H377,"AAAAAD//pn0=")</f>
        <v>#VALUE!</v>
      </c>
      <c r="DW24" t="e">
        <f>AND('STERLING CATALOG - DRY '!I377,"AAAAAD//pn4=")</f>
        <v>#VALUE!</v>
      </c>
      <c r="DX24" t="e">
        <f>AND('STERLING CATALOG - DRY '!J377,"AAAAAD//pn8=")</f>
        <v>#VALUE!</v>
      </c>
      <c r="DY24">
        <f>IF('STERLING CATALOG - DRY '!378:378,"AAAAAD//poA=",0)</f>
        <v>0</v>
      </c>
      <c r="DZ24" t="e">
        <f>AND('STERLING CATALOG - DRY '!A378,"AAAAAD//poE=")</f>
        <v>#VALUE!</v>
      </c>
      <c r="EA24" t="e">
        <f>AND('STERLING CATALOG - DRY '!B378,"AAAAAD//poI=")</f>
        <v>#VALUE!</v>
      </c>
      <c r="EB24" t="e">
        <f>AND('STERLING CATALOG - DRY '!C378,"AAAAAD//poM=")</f>
        <v>#VALUE!</v>
      </c>
      <c r="EC24" t="e">
        <f>AND('STERLING CATALOG - DRY '!D378,"AAAAAD//poQ=")</f>
        <v>#VALUE!</v>
      </c>
      <c r="ED24" t="e">
        <f>AND('STERLING CATALOG - DRY '!E378,"AAAAAD//poU=")</f>
        <v>#VALUE!</v>
      </c>
      <c r="EE24" t="e">
        <f>AND('STERLING CATALOG - DRY '!F378,"AAAAAD//poY=")</f>
        <v>#VALUE!</v>
      </c>
      <c r="EF24" t="e">
        <f>AND('STERLING CATALOG - DRY '!G378,"AAAAAD//poc=")</f>
        <v>#VALUE!</v>
      </c>
      <c r="EG24" t="e">
        <f>AND('STERLING CATALOG - DRY '!H378,"AAAAAD//pog=")</f>
        <v>#VALUE!</v>
      </c>
      <c r="EH24" t="e">
        <f>AND('STERLING CATALOG - DRY '!I378,"AAAAAD//pok=")</f>
        <v>#VALUE!</v>
      </c>
      <c r="EI24" t="e">
        <f>AND('STERLING CATALOG - DRY '!J378,"AAAAAD//poo=")</f>
        <v>#VALUE!</v>
      </c>
      <c r="EJ24">
        <f>IF('STERLING CATALOG - DRY '!379:379,"AAAAAD//pos=",0)</f>
        <v>0</v>
      </c>
      <c r="EK24" t="e">
        <f>AND('STERLING CATALOG - DRY '!A379,"AAAAAD//pow=")</f>
        <v>#VALUE!</v>
      </c>
      <c r="EL24" t="e">
        <f>AND('STERLING CATALOG - DRY '!B379,"AAAAAD//po0=")</f>
        <v>#VALUE!</v>
      </c>
      <c r="EM24" t="e">
        <f>AND('STERLING CATALOG - DRY '!C379,"AAAAAD//po4=")</f>
        <v>#VALUE!</v>
      </c>
      <c r="EN24" t="e">
        <f>AND('STERLING CATALOG - DRY '!D379,"AAAAAD//po8=")</f>
        <v>#VALUE!</v>
      </c>
      <c r="EO24" t="e">
        <f>AND('STERLING CATALOG - DRY '!E379,"AAAAAD//ppA=")</f>
        <v>#VALUE!</v>
      </c>
      <c r="EP24" t="e">
        <f>AND('STERLING CATALOG - DRY '!F379,"AAAAAD//ppE=")</f>
        <v>#VALUE!</v>
      </c>
      <c r="EQ24" t="e">
        <f>AND('STERLING CATALOG - DRY '!G379,"AAAAAD//ppI=")</f>
        <v>#VALUE!</v>
      </c>
      <c r="ER24" t="e">
        <f>AND('STERLING CATALOG - DRY '!H379,"AAAAAD//ppM=")</f>
        <v>#VALUE!</v>
      </c>
      <c r="ES24" t="e">
        <f>AND('STERLING CATALOG - DRY '!I379,"AAAAAD//ppQ=")</f>
        <v>#VALUE!</v>
      </c>
      <c r="ET24" t="e">
        <f>AND('STERLING CATALOG - DRY '!J379,"AAAAAD//ppU=")</f>
        <v>#VALUE!</v>
      </c>
      <c r="EU24">
        <f>IF('STERLING CATALOG - DRY '!380:380,"AAAAAD//ppY=",0)</f>
        <v>0</v>
      </c>
      <c r="EV24" t="e">
        <f>AND('STERLING CATALOG - DRY '!A380,"AAAAAD//ppc=")</f>
        <v>#VALUE!</v>
      </c>
      <c r="EW24" t="e">
        <f>AND('STERLING CATALOG - DRY '!B380,"AAAAAD//ppg=")</f>
        <v>#VALUE!</v>
      </c>
      <c r="EX24" t="e">
        <f>AND('STERLING CATALOG - DRY '!C380,"AAAAAD//ppk=")</f>
        <v>#VALUE!</v>
      </c>
      <c r="EY24" t="e">
        <f>AND('STERLING CATALOG - DRY '!D380,"AAAAAD//ppo=")</f>
        <v>#VALUE!</v>
      </c>
      <c r="EZ24" t="e">
        <f>AND('STERLING CATALOG - DRY '!E380,"AAAAAD//pps=")</f>
        <v>#VALUE!</v>
      </c>
      <c r="FA24" t="e">
        <f>AND('STERLING CATALOG - DRY '!F380,"AAAAAD//ppw=")</f>
        <v>#VALUE!</v>
      </c>
      <c r="FB24" t="e">
        <f>AND('STERLING CATALOG - DRY '!G380,"AAAAAD//pp0=")</f>
        <v>#VALUE!</v>
      </c>
      <c r="FC24" t="e">
        <f>AND('STERLING CATALOG - DRY '!H380,"AAAAAD//pp4=")</f>
        <v>#VALUE!</v>
      </c>
      <c r="FD24" t="e">
        <f>AND('STERLING CATALOG - DRY '!I380,"AAAAAD//pp8=")</f>
        <v>#VALUE!</v>
      </c>
      <c r="FE24" t="e">
        <f>AND('STERLING CATALOG - DRY '!J380,"AAAAAD//pqA=")</f>
        <v>#VALUE!</v>
      </c>
      <c r="FF24">
        <f>IF('STERLING CATALOG - DRY '!381:381,"AAAAAD//pqE=",0)</f>
        <v>0</v>
      </c>
      <c r="FG24" t="e">
        <f>AND('STERLING CATALOG - DRY '!A381,"AAAAAD//pqI=")</f>
        <v>#VALUE!</v>
      </c>
      <c r="FH24" t="e">
        <f>AND('STERLING CATALOG - DRY '!B381,"AAAAAD//pqM=")</f>
        <v>#VALUE!</v>
      </c>
      <c r="FI24" t="e">
        <f>AND('STERLING CATALOG - DRY '!C381,"AAAAAD//pqQ=")</f>
        <v>#VALUE!</v>
      </c>
      <c r="FJ24" t="e">
        <f>AND('STERLING CATALOG - DRY '!D381,"AAAAAD//pqU=")</f>
        <v>#VALUE!</v>
      </c>
      <c r="FK24" t="e">
        <f>AND('STERLING CATALOG - DRY '!E381,"AAAAAD//pqY=")</f>
        <v>#VALUE!</v>
      </c>
      <c r="FL24" t="e">
        <f>AND('STERLING CATALOG - DRY '!F381,"AAAAAD//pqc=")</f>
        <v>#VALUE!</v>
      </c>
      <c r="FM24" t="e">
        <f>AND('STERLING CATALOG - DRY '!G381,"AAAAAD//pqg=")</f>
        <v>#VALUE!</v>
      </c>
      <c r="FN24" t="e">
        <f>AND('STERLING CATALOG - DRY '!H381,"AAAAAD//pqk=")</f>
        <v>#VALUE!</v>
      </c>
      <c r="FO24" t="e">
        <f>AND('STERLING CATALOG - DRY '!I381,"AAAAAD//pqo=")</f>
        <v>#VALUE!</v>
      </c>
      <c r="FP24" t="e">
        <f>AND('STERLING CATALOG - DRY '!J381,"AAAAAD//pqs=")</f>
        <v>#VALUE!</v>
      </c>
      <c r="FQ24">
        <f>IF('STERLING CATALOG - DRY '!382:382,"AAAAAD//pqw=",0)</f>
        <v>0</v>
      </c>
      <c r="FR24" t="e">
        <f>AND('STERLING CATALOG - DRY '!A382,"AAAAAD//pq0=")</f>
        <v>#VALUE!</v>
      </c>
      <c r="FS24" t="e">
        <f>AND('STERLING CATALOG - DRY '!B382,"AAAAAD//pq4=")</f>
        <v>#VALUE!</v>
      </c>
      <c r="FT24" t="e">
        <f>AND('STERLING CATALOG - DRY '!C382,"AAAAAD//pq8=")</f>
        <v>#VALUE!</v>
      </c>
      <c r="FU24" t="e">
        <f>AND('STERLING CATALOG - DRY '!D382,"AAAAAD//prA=")</f>
        <v>#VALUE!</v>
      </c>
      <c r="FV24" t="e">
        <f>AND('STERLING CATALOG - DRY '!E382,"AAAAAD//prE=")</f>
        <v>#VALUE!</v>
      </c>
      <c r="FW24" t="e">
        <f>AND('STERLING CATALOG - DRY '!F382,"AAAAAD//prI=")</f>
        <v>#VALUE!</v>
      </c>
      <c r="FX24" t="e">
        <f>AND('STERLING CATALOG - DRY '!G382,"AAAAAD//prM=")</f>
        <v>#VALUE!</v>
      </c>
      <c r="FY24" t="e">
        <f>AND('STERLING CATALOG - DRY '!H382,"AAAAAD//prQ=")</f>
        <v>#VALUE!</v>
      </c>
      <c r="FZ24" t="e">
        <f>AND('STERLING CATALOG - DRY '!I382,"AAAAAD//prU=")</f>
        <v>#VALUE!</v>
      </c>
      <c r="GA24" t="e">
        <f>AND('STERLING CATALOG - DRY '!J382,"AAAAAD//prY=")</f>
        <v>#VALUE!</v>
      </c>
      <c r="GB24">
        <f>IF('STERLING CATALOG - DRY '!383:383,"AAAAAD//prc=",0)</f>
        <v>0</v>
      </c>
      <c r="GC24" t="e">
        <f>AND('STERLING CATALOG - DRY '!A383,"AAAAAD//prg=")</f>
        <v>#VALUE!</v>
      </c>
      <c r="GD24" t="e">
        <f>AND('STERLING CATALOG - DRY '!B383,"AAAAAD//prk=")</f>
        <v>#VALUE!</v>
      </c>
      <c r="GE24" t="e">
        <f>AND('STERLING CATALOG - DRY '!C383,"AAAAAD//pro=")</f>
        <v>#VALUE!</v>
      </c>
      <c r="GF24" t="e">
        <f>AND('STERLING CATALOG - DRY '!D383,"AAAAAD//prs=")</f>
        <v>#VALUE!</v>
      </c>
      <c r="GG24" t="e">
        <f>AND('STERLING CATALOG - DRY '!E383,"AAAAAD//prw=")</f>
        <v>#VALUE!</v>
      </c>
      <c r="GH24" t="e">
        <f>AND('STERLING CATALOG - DRY '!F383,"AAAAAD//pr0=")</f>
        <v>#VALUE!</v>
      </c>
      <c r="GI24" t="e">
        <f>AND('STERLING CATALOG - DRY '!G383,"AAAAAD//pr4=")</f>
        <v>#VALUE!</v>
      </c>
      <c r="GJ24" t="e">
        <f>AND('STERLING CATALOG - DRY '!H383,"AAAAAD//pr8=")</f>
        <v>#VALUE!</v>
      </c>
      <c r="GK24" t="e">
        <f>AND('STERLING CATALOG - DRY '!I383,"AAAAAD//psA=")</f>
        <v>#VALUE!</v>
      </c>
      <c r="GL24" t="e">
        <f>AND('STERLING CATALOG - DRY '!J383,"AAAAAD//psE=")</f>
        <v>#VALUE!</v>
      </c>
      <c r="GM24">
        <f>IF('STERLING CATALOG - DRY '!384:384,"AAAAAD//psI=",0)</f>
        <v>0</v>
      </c>
      <c r="GN24" t="e">
        <f>AND('STERLING CATALOG - DRY '!A384,"AAAAAD//psM=")</f>
        <v>#VALUE!</v>
      </c>
      <c r="GO24" t="e">
        <f>AND('STERLING CATALOG - DRY '!B384,"AAAAAD//psQ=")</f>
        <v>#VALUE!</v>
      </c>
      <c r="GP24" t="e">
        <f>AND('STERLING CATALOG - DRY '!C384,"AAAAAD//psU=")</f>
        <v>#VALUE!</v>
      </c>
      <c r="GQ24" t="e">
        <f>AND('STERLING CATALOG - DRY '!D384,"AAAAAD//psY=")</f>
        <v>#VALUE!</v>
      </c>
      <c r="GR24" t="e">
        <f>AND('STERLING CATALOG - DRY '!E384,"AAAAAD//psc=")</f>
        <v>#VALUE!</v>
      </c>
      <c r="GS24" t="e">
        <f>AND('STERLING CATALOG - DRY '!F384,"AAAAAD//psg=")</f>
        <v>#VALUE!</v>
      </c>
      <c r="GT24" t="e">
        <f>AND('STERLING CATALOG - DRY '!G384,"AAAAAD//psk=")</f>
        <v>#VALUE!</v>
      </c>
      <c r="GU24" t="e">
        <f>AND('STERLING CATALOG - DRY '!H384,"AAAAAD//pso=")</f>
        <v>#VALUE!</v>
      </c>
      <c r="GV24" t="e">
        <f>AND('STERLING CATALOG - DRY '!I384,"AAAAAD//pss=")</f>
        <v>#VALUE!</v>
      </c>
      <c r="GW24" t="e">
        <f>AND('STERLING CATALOG - DRY '!J384,"AAAAAD//psw=")</f>
        <v>#VALUE!</v>
      </c>
      <c r="GX24">
        <f>IF('STERLING CATALOG - DRY '!385:385,"AAAAAD//ps0=",0)</f>
        <v>0</v>
      </c>
      <c r="GY24" t="e">
        <f>AND('STERLING CATALOG - DRY '!A385,"AAAAAD//ps4=")</f>
        <v>#VALUE!</v>
      </c>
      <c r="GZ24" t="e">
        <f>AND('STERLING CATALOG - DRY '!B385,"AAAAAD//ps8=")</f>
        <v>#VALUE!</v>
      </c>
      <c r="HA24" t="e">
        <f>AND('STERLING CATALOG - DRY '!C385,"AAAAAD//ptA=")</f>
        <v>#VALUE!</v>
      </c>
      <c r="HB24" t="e">
        <f>AND('STERLING CATALOG - DRY '!D385,"AAAAAD//ptE=")</f>
        <v>#VALUE!</v>
      </c>
      <c r="HC24" t="e">
        <f>AND('STERLING CATALOG - DRY '!E385,"AAAAAD//ptI=")</f>
        <v>#VALUE!</v>
      </c>
      <c r="HD24" t="e">
        <f>AND('STERLING CATALOG - DRY '!F385,"AAAAAD//ptM=")</f>
        <v>#VALUE!</v>
      </c>
      <c r="HE24" t="e">
        <f>AND('STERLING CATALOG - DRY '!G385,"AAAAAD//ptQ=")</f>
        <v>#VALUE!</v>
      </c>
      <c r="HF24" t="e">
        <f>AND('STERLING CATALOG - DRY '!H385,"AAAAAD//ptU=")</f>
        <v>#VALUE!</v>
      </c>
      <c r="HG24" t="e">
        <f>AND('STERLING CATALOG - DRY '!I385,"AAAAAD//ptY=")</f>
        <v>#VALUE!</v>
      </c>
      <c r="HH24" t="e">
        <f>AND('STERLING CATALOG - DRY '!J385,"AAAAAD//ptc=")</f>
        <v>#VALUE!</v>
      </c>
      <c r="HI24">
        <f>IF('STERLING CATALOG - DRY '!386:386,"AAAAAD//ptg=",0)</f>
        <v>0</v>
      </c>
      <c r="HJ24" t="e">
        <f>AND('STERLING CATALOG - DRY '!A386,"AAAAAD//ptk=")</f>
        <v>#VALUE!</v>
      </c>
      <c r="HK24" t="e">
        <f>AND('STERLING CATALOG - DRY '!B386,"AAAAAD//pto=")</f>
        <v>#VALUE!</v>
      </c>
      <c r="HL24" t="e">
        <f>AND('STERLING CATALOG - DRY '!C386,"AAAAAD//pts=")</f>
        <v>#VALUE!</v>
      </c>
      <c r="HM24" t="e">
        <f>AND('STERLING CATALOG - DRY '!D386,"AAAAAD//ptw=")</f>
        <v>#VALUE!</v>
      </c>
      <c r="HN24" t="e">
        <f>AND('STERLING CATALOG - DRY '!E386,"AAAAAD//pt0=")</f>
        <v>#VALUE!</v>
      </c>
      <c r="HO24" t="e">
        <f>AND('STERLING CATALOG - DRY '!F386,"AAAAAD//pt4=")</f>
        <v>#VALUE!</v>
      </c>
      <c r="HP24" t="e">
        <f>AND('STERLING CATALOG - DRY '!G386,"AAAAAD//pt8=")</f>
        <v>#VALUE!</v>
      </c>
      <c r="HQ24" t="e">
        <f>AND('STERLING CATALOG - DRY '!H386,"AAAAAD//puA=")</f>
        <v>#VALUE!</v>
      </c>
      <c r="HR24" t="e">
        <f>AND('STERLING CATALOG - DRY '!I386,"AAAAAD//puE=")</f>
        <v>#VALUE!</v>
      </c>
      <c r="HS24" t="e">
        <f>AND('STERLING CATALOG - DRY '!J386,"AAAAAD//puI=")</f>
        <v>#VALUE!</v>
      </c>
      <c r="HT24">
        <f>IF('STERLING CATALOG - DRY '!387:387,"AAAAAD//puM=",0)</f>
        <v>0</v>
      </c>
      <c r="HU24" t="e">
        <f>AND('STERLING CATALOG - DRY '!A387,"AAAAAD//puQ=")</f>
        <v>#VALUE!</v>
      </c>
      <c r="HV24" t="e">
        <f>AND('STERLING CATALOG - DRY '!B387,"AAAAAD//puU=")</f>
        <v>#VALUE!</v>
      </c>
      <c r="HW24" t="e">
        <f>AND('STERLING CATALOG - DRY '!C387,"AAAAAD//puY=")</f>
        <v>#VALUE!</v>
      </c>
      <c r="HX24" t="e">
        <f>AND('STERLING CATALOG - DRY '!D387,"AAAAAD//puc=")</f>
        <v>#VALUE!</v>
      </c>
      <c r="HY24" t="e">
        <f>AND('STERLING CATALOG - DRY '!E387,"AAAAAD//pug=")</f>
        <v>#VALUE!</v>
      </c>
      <c r="HZ24" t="e">
        <f>AND('STERLING CATALOG - DRY '!F387,"AAAAAD//puk=")</f>
        <v>#VALUE!</v>
      </c>
      <c r="IA24" t="e">
        <f>AND('STERLING CATALOG - DRY '!G387,"AAAAAD//puo=")</f>
        <v>#VALUE!</v>
      </c>
      <c r="IB24" t="e">
        <f>AND('STERLING CATALOG - DRY '!H387,"AAAAAD//pus=")</f>
        <v>#VALUE!</v>
      </c>
      <c r="IC24" t="e">
        <f>AND('STERLING CATALOG - DRY '!I387,"AAAAAD//puw=")</f>
        <v>#VALUE!</v>
      </c>
      <c r="ID24" t="e">
        <f>AND('STERLING CATALOG - DRY '!J387,"AAAAAD//pu0=")</f>
        <v>#VALUE!</v>
      </c>
      <c r="IE24">
        <f>IF('STERLING CATALOG - DRY '!388:388,"AAAAAD//pu4=",0)</f>
        <v>0</v>
      </c>
      <c r="IF24" t="e">
        <f>AND('STERLING CATALOG - DRY '!A388,"AAAAAD//pu8=")</f>
        <v>#VALUE!</v>
      </c>
      <c r="IG24" t="e">
        <f>AND('STERLING CATALOG - DRY '!B388,"AAAAAD//pvA=")</f>
        <v>#VALUE!</v>
      </c>
      <c r="IH24" t="e">
        <f>AND('STERLING CATALOG - DRY '!C388,"AAAAAD//pvE=")</f>
        <v>#VALUE!</v>
      </c>
      <c r="II24" t="e">
        <f>AND('STERLING CATALOG - DRY '!D388,"AAAAAD//pvI=")</f>
        <v>#VALUE!</v>
      </c>
      <c r="IJ24" t="e">
        <f>AND('STERLING CATALOG - DRY '!E388,"AAAAAD//pvM=")</f>
        <v>#VALUE!</v>
      </c>
      <c r="IK24" t="e">
        <f>AND('STERLING CATALOG - DRY '!F388,"AAAAAD//pvQ=")</f>
        <v>#VALUE!</v>
      </c>
      <c r="IL24" t="e">
        <f>AND('STERLING CATALOG - DRY '!G388,"AAAAAD//pvU=")</f>
        <v>#VALUE!</v>
      </c>
      <c r="IM24" t="e">
        <f>AND('STERLING CATALOG - DRY '!H388,"AAAAAD//pvY=")</f>
        <v>#VALUE!</v>
      </c>
      <c r="IN24" t="e">
        <f>AND('STERLING CATALOG - DRY '!I388,"AAAAAD//pvc=")</f>
        <v>#VALUE!</v>
      </c>
      <c r="IO24" t="e">
        <f>AND('STERLING CATALOG - DRY '!J388,"AAAAAD//pvg=")</f>
        <v>#VALUE!</v>
      </c>
      <c r="IP24">
        <f>IF('STERLING CATALOG - DRY '!389:389,"AAAAAD//pvk=",0)</f>
        <v>0</v>
      </c>
      <c r="IQ24" t="e">
        <f>AND('STERLING CATALOG - DRY '!A389,"AAAAAD//pvo=")</f>
        <v>#VALUE!</v>
      </c>
      <c r="IR24" t="e">
        <f>AND('STERLING CATALOG - DRY '!B389,"AAAAAD//pvs=")</f>
        <v>#VALUE!</v>
      </c>
      <c r="IS24" t="e">
        <f>AND('STERLING CATALOG - DRY '!C389,"AAAAAD//pvw=")</f>
        <v>#VALUE!</v>
      </c>
      <c r="IT24" t="e">
        <f>AND('STERLING CATALOG - DRY '!D389,"AAAAAD//pv0=")</f>
        <v>#VALUE!</v>
      </c>
      <c r="IU24" t="e">
        <f>AND('STERLING CATALOG - DRY '!E389,"AAAAAD//pv4=")</f>
        <v>#VALUE!</v>
      </c>
      <c r="IV24" t="e">
        <f>AND('STERLING CATALOG - DRY '!F389,"AAAAAD//pv8=")</f>
        <v>#VALUE!</v>
      </c>
    </row>
    <row r="25" spans="1:256">
      <c r="A25" t="e">
        <f>AND('STERLING CATALOG - DRY '!G389,"AAAAAG9eVwA=")</f>
        <v>#VALUE!</v>
      </c>
      <c r="B25" t="e">
        <f>AND('STERLING CATALOG - DRY '!H389,"AAAAAG9eVwE=")</f>
        <v>#VALUE!</v>
      </c>
      <c r="C25" t="e">
        <f>AND('STERLING CATALOG - DRY '!I389,"AAAAAG9eVwI=")</f>
        <v>#VALUE!</v>
      </c>
      <c r="D25" t="e">
        <f>AND('STERLING CATALOG - DRY '!J389,"AAAAAG9eVwM=")</f>
        <v>#VALUE!</v>
      </c>
      <c r="E25" t="e">
        <f>IF('STERLING CATALOG - DRY '!390:390,"AAAAAG9eVwQ=",0)</f>
        <v>#VALUE!</v>
      </c>
      <c r="F25" t="e">
        <f>AND('STERLING CATALOG - DRY '!A390,"AAAAAG9eVwU=")</f>
        <v>#VALUE!</v>
      </c>
      <c r="G25" t="e">
        <f>AND('STERLING CATALOG - DRY '!B390,"AAAAAG9eVwY=")</f>
        <v>#VALUE!</v>
      </c>
      <c r="H25" t="e">
        <f>AND('STERLING CATALOG - DRY '!C390,"AAAAAG9eVwc=")</f>
        <v>#VALUE!</v>
      </c>
      <c r="I25" t="e">
        <f>AND('STERLING CATALOG - DRY '!D390,"AAAAAG9eVwg=")</f>
        <v>#VALUE!</v>
      </c>
      <c r="J25" t="e">
        <f>AND('STERLING CATALOG - DRY '!E390,"AAAAAG9eVwk=")</f>
        <v>#VALUE!</v>
      </c>
      <c r="K25" t="e">
        <f>AND('STERLING CATALOG - DRY '!F390,"AAAAAG9eVwo=")</f>
        <v>#VALUE!</v>
      </c>
      <c r="L25" t="e">
        <f>AND('STERLING CATALOG - DRY '!G390,"AAAAAG9eVws=")</f>
        <v>#VALUE!</v>
      </c>
      <c r="M25" t="e">
        <f>AND('STERLING CATALOG - DRY '!H390,"AAAAAG9eVww=")</f>
        <v>#VALUE!</v>
      </c>
      <c r="N25" t="e">
        <f>AND('STERLING CATALOG - DRY '!I390,"AAAAAG9eVw0=")</f>
        <v>#VALUE!</v>
      </c>
      <c r="O25" t="e">
        <f>AND('STERLING CATALOG - DRY '!J390,"AAAAAG9eVw4=")</f>
        <v>#VALUE!</v>
      </c>
      <c r="P25">
        <f>IF('STERLING CATALOG - DRY '!391:391,"AAAAAG9eVw8=",0)</f>
        <v>0</v>
      </c>
      <c r="Q25" t="e">
        <f>AND('STERLING CATALOG - DRY '!A391,"AAAAAG9eVxA=")</f>
        <v>#VALUE!</v>
      </c>
      <c r="R25" t="e">
        <f>AND('STERLING CATALOG - DRY '!B391,"AAAAAG9eVxE=")</f>
        <v>#VALUE!</v>
      </c>
      <c r="S25" t="e">
        <f>AND('STERLING CATALOG - DRY '!C391,"AAAAAG9eVxI=")</f>
        <v>#VALUE!</v>
      </c>
      <c r="T25" t="e">
        <f>AND('STERLING CATALOG - DRY '!D391,"AAAAAG9eVxM=")</f>
        <v>#VALUE!</v>
      </c>
      <c r="U25" t="e">
        <f>AND('STERLING CATALOG - DRY '!E391,"AAAAAG9eVxQ=")</f>
        <v>#VALUE!</v>
      </c>
      <c r="V25" t="e">
        <f>AND('STERLING CATALOG - DRY '!F391,"AAAAAG9eVxU=")</f>
        <v>#VALUE!</v>
      </c>
      <c r="W25" t="e">
        <f>AND('STERLING CATALOG - DRY '!G391,"AAAAAG9eVxY=")</f>
        <v>#VALUE!</v>
      </c>
      <c r="X25" t="e">
        <f>AND('STERLING CATALOG - DRY '!H391,"AAAAAG9eVxc=")</f>
        <v>#VALUE!</v>
      </c>
      <c r="Y25" t="e">
        <f>AND('STERLING CATALOG - DRY '!I391,"AAAAAG9eVxg=")</f>
        <v>#VALUE!</v>
      </c>
      <c r="Z25" t="e">
        <f>AND('STERLING CATALOG - DRY '!J391,"AAAAAG9eVxk=")</f>
        <v>#VALUE!</v>
      </c>
      <c r="AA25">
        <f>IF('STERLING CATALOG - DRY '!392:392,"AAAAAG9eVxo=",0)</f>
        <v>0</v>
      </c>
      <c r="AB25" t="e">
        <f>AND('STERLING CATALOG - DRY '!A392,"AAAAAG9eVxs=")</f>
        <v>#VALUE!</v>
      </c>
      <c r="AC25" t="e">
        <f>AND('STERLING CATALOG - DRY '!B392,"AAAAAG9eVxw=")</f>
        <v>#VALUE!</v>
      </c>
      <c r="AD25" t="e">
        <f>AND('STERLING CATALOG - DRY '!C392,"AAAAAG9eVx0=")</f>
        <v>#VALUE!</v>
      </c>
      <c r="AE25" t="e">
        <f>AND('STERLING CATALOG - DRY '!D392,"AAAAAG9eVx4=")</f>
        <v>#VALUE!</v>
      </c>
      <c r="AF25" t="e">
        <f>AND('STERLING CATALOG - DRY '!E392,"AAAAAG9eVx8=")</f>
        <v>#VALUE!</v>
      </c>
      <c r="AG25" t="e">
        <f>AND('STERLING CATALOG - DRY '!F392,"AAAAAG9eVyA=")</f>
        <v>#VALUE!</v>
      </c>
      <c r="AH25" t="e">
        <f>AND('STERLING CATALOG - DRY '!G392,"AAAAAG9eVyE=")</f>
        <v>#VALUE!</v>
      </c>
      <c r="AI25" t="e">
        <f>AND('STERLING CATALOG - DRY '!H392,"AAAAAG9eVyI=")</f>
        <v>#VALUE!</v>
      </c>
      <c r="AJ25" t="e">
        <f>AND('STERLING CATALOG - DRY '!I392,"AAAAAG9eVyM=")</f>
        <v>#VALUE!</v>
      </c>
      <c r="AK25" t="e">
        <f>AND('STERLING CATALOG - DRY '!J392,"AAAAAG9eVyQ=")</f>
        <v>#VALUE!</v>
      </c>
      <c r="AL25">
        <f>IF('STERLING CATALOG - DRY '!393:393,"AAAAAG9eVyU=",0)</f>
        <v>0</v>
      </c>
      <c r="AM25" t="e">
        <f>AND('STERLING CATALOG - DRY '!A393,"AAAAAG9eVyY=")</f>
        <v>#VALUE!</v>
      </c>
      <c r="AN25" t="e">
        <f>AND('STERLING CATALOG - DRY '!B393,"AAAAAG9eVyc=")</f>
        <v>#VALUE!</v>
      </c>
      <c r="AO25" t="e">
        <f>AND('STERLING CATALOG - DRY '!C393,"AAAAAG9eVyg=")</f>
        <v>#VALUE!</v>
      </c>
      <c r="AP25" t="e">
        <f>AND('STERLING CATALOG - DRY '!D393,"AAAAAG9eVyk=")</f>
        <v>#VALUE!</v>
      </c>
      <c r="AQ25" t="e">
        <f>AND('STERLING CATALOG - DRY '!E393,"AAAAAG9eVyo=")</f>
        <v>#VALUE!</v>
      </c>
      <c r="AR25" t="e">
        <f>AND('STERLING CATALOG - DRY '!F393,"AAAAAG9eVys=")</f>
        <v>#VALUE!</v>
      </c>
      <c r="AS25" t="e">
        <f>AND('STERLING CATALOG - DRY '!G393,"AAAAAG9eVyw=")</f>
        <v>#VALUE!</v>
      </c>
      <c r="AT25" t="e">
        <f>AND('STERLING CATALOG - DRY '!H393,"AAAAAG9eVy0=")</f>
        <v>#VALUE!</v>
      </c>
      <c r="AU25" t="e">
        <f>AND('STERLING CATALOG - DRY '!I393,"AAAAAG9eVy4=")</f>
        <v>#VALUE!</v>
      </c>
      <c r="AV25" t="e">
        <f>AND('STERLING CATALOG - DRY '!J393,"AAAAAG9eVy8=")</f>
        <v>#VALUE!</v>
      </c>
      <c r="AW25">
        <f>IF('STERLING CATALOG - DRY '!394:394,"AAAAAG9eVzA=",0)</f>
        <v>0</v>
      </c>
      <c r="AX25" t="e">
        <f>AND('STERLING CATALOG - DRY '!A394,"AAAAAG9eVzE=")</f>
        <v>#VALUE!</v>
      </c>
      <c r="AY25" t="e">
        <f>AND('STERLING CATALOG - DRY '!B394,"AAAAAG9eVzI=")</f>
        <v>#VALUE!</v>
      </c>
      <c r="AZ25" t="e">
        <f>AND('STERLING CATALOG - DRY '!C394,"AAAAAG9eVzM=")</f>
        <v>#VALUE!</v>
      </c>
      <c r="BA25" t="e">
        <f>AND('STERLING CATALOG - DRY '!D394,"AAAAAG9eVzQ=")</f>
        <v>#VALUE!</v>
      </c>
      <c r="BB25" t="e">
        <f>AND('STERLING CATALOG - DRY '!E394,"AAAAAG9eVzU=")</f>
        <v>#VALUE!</v>
      </c>
      <c r="BC25" t="e">
        <f>AND('STERLING CATALOG - DRY '!F394,"AAAAAG9eVzY=")</f>
        <v>#VALUE!</v>
      </c>
      <c r="BD25" t="e">
        <f>AND('STERLING CATALOG - DRY '!G394,"AAAAAG9eVzc=")</f>
        <v>#VALUE!</v>
      </c>
      <c r="BE25" t="e">
        <f>AND('STERLING CATALOG - DRY '!H394,"AAAAAG9eVzg=")</f>
        <v>#VALUE!</v>
      </c>
      <c r="BF25" t="e">
        <f>AND('STERLING CATALOG - DRY '!I394,"AAAAAG9eVzk=")</f>
        <v>#VALUE!</v>
      </c>
      <c r="BG25" t="e">
        <f>AND('STERLING CATALOG - DRY '!J394,"AAAAAG9eVzo=")</f>
        <v>#VALUE!</v>
      </c>
      <c r="BH25">
        <f>IF('STERLING CATALOG - DRY '!395:395,"AAAAAG9eVzs=",0)</f>
        <v>0</v>
      </c>
      <c r="BI25" t="e">
        <f>AND('STERLING CATALOG - DRY '!A395,"AAAAAG9eVzw=")</f>
        <v>#VALUE!</v>
      </c>
      <c r="BJ25" t="e">
        <f>AND('STERLING CATALOG - DRY '!B395,"AAAAAG9eVz0=")</f>
        <v>#VALUE!</v>
      </c>
      <c r="BK25" t="e">
        <f>AND('STERLING CATALOG - DRY '!C395,"AAAAAG9eVz4=")</f>
        <v>#VALUE!</v>
      </c>
      <c r="BL25" t="e">
        <f>AND('STERLING CATALOG - DRY '!D395,"AAAAAG9eVz8=")</f>
        <v>#VALUE!</v>
      </c>
      <c r="BM25" t="e">
        <f>AND('STERLING CATALOG - DRY '!E395,"AAAAAG9eV0A=")</f>
        <v>#VALUE!</v>
      </c>
      <c r="BN25" t="e">
        <f>AND('STERLING CATALOG - DRY '!F395,"AAAAAG9eV0E=")</f>
        <v>#VALUE!</v>
      </c>
      <c r="BO25" t="e">
        <f>AND('STERLING CATALOG - DRY '!G395,"AAAAAG9eV0I=")</f>
        <v>#VALUE!</v>
      </c>
      <c r="BP25" t="e">
        <f>AND('STERLING CATALOG - DRY '!H395,"AAAAAG9eV0M=")</f>
        <v>#VALUE!</v>
      </c>
      <c r="BQ25" t="e">
        <f>AND('STERLING CATALOG - DRY '!I395,"AAAAAG9eV0Q=")</f>
        <v>#VALUE!</v>
      </c>
      <c r="BR25" t="e">
        <f>AND('STERLING CATALOG - DRY '!J395,"AAAAAG9eV0U=")</f>
        <v>#VALUE!</v>
      </c>
      <c r="BS25">
        <f>IF('STERLING CATALOG - DRY '!396:396,"AAAAAG9eV0Y=",0)</f>
        <v>0</v>
      </c>
      <c r="BT25" t="e">
        <f>AND('STERLING CATALOG - DRY '!A396,"AAAAAG9eV0c=")</f>
        <v>#VALUE!</v>
      </c>
      <c r="BU25" t="e">
        <f>AND('STERLING CATALOG - DRY '!B396,"AAAAAG9eV0g=")</f>
        <v>#VALUE!</v>
      </c>
      <c r="BV25" t="e">
        <f>AND('STERLING CATALOG - DRY '!C396,"AAAAAG9eV0k=")</f>
        <v>#VALUE!</v>
      </c>
      <c r="BW25" t="e">
        <f>AND('STERLING CATALOG - DRY '!D396,"AAAAAG9eV0o=")</f>
        <v>#VALUE!</v>
      </c>
      <c r="BX25" t="e">
        <f>AND('STERLING CATALOG - DRY '!E396,"AAAAAG9eV0s=")</f>
        <v>#VALUE!</v>
      </c>
      <c r="BY25" t="e">
        <f>AND('STERLING CATALOG - DRY '!F396,"AAAAAG9eV0w=")</f>
        <v>#VALUE!</v>
      </c>
      <c r="BZ25" t="e">
        <f>AND('STERLING CATALOG - DRY '!G396,"AAAAAG9eV00=")</f>
        <v>#VALUE!</v>
      </c>
      <c r="CA25" t="e">
        <f>AND('STERLING CATALOG - DRY '!H396,"AAAAAG9eV04=")</f>
        <v>#VALUE!</v>
      </c>
      <c r="CB25" t="e">
        <f>AND('STERLING CATALOG - DRY '!I396,"AAAAAG9eV08=")</f>
        <v>#VALUE!</v>
      </c>
      <c r="CC25" t="e">
        <f>AND('STERLING CATALOG - DRY '!J396,"AAAAAG9eV1A=")</f>
        <v>#VALUE!</v>
      </c>
      <c r="CD25">
        <f>IF('STERLING CATALOG - DRY '!397:397,"AAAAAG9eV1E=",0)</f>
        <v>0</v>
      </c>
      <c r="CE25" t="e">
        <f>AND('STERLING CATALOG - DRY '!A397,"AAAAAG9eV1I=")</f>
        <v>#VALUE!</v>
      </c>
      <c r="CF25" t="e">
        <f>AND('STERLING CATALOG - DRY '!B397,"AAAAAG9eV1M=")</f>
        <v>#VALUE!</v>
      </c>
      <c r="CG25" t="e">
        <f>AND('STERLING CATALOG - DRY '!C397,"AAAAAG9eV1Q=")</f>
        <v>#VALUE!</v>
      </c>
      <c r="CH25" t="e">
        <f>AND('STERLING CATALOG - DRY '!D397,"AAAAAG9eV1U=")</f>
        <v>#VALUE!</v>
      </c>
      <c r="CI25" t="e">
        <f>AND('STERLING CATALOG - DRY '!E397,"AAAAAG9eV1Y=")</f>
        <v>#VALUE!</v>
      </c>
      <c r="CJ25" t="e">
        <f>AND('STERLING CATALOG - DRY '!F397,"AAAAAG9eV1c=")</f>
        <v>#VALUE!</v>
      </c>
      <c r="CK25" t="e">
        <f>AND('STERLING CATALOG - DRY '!G397,"AAAAAG9eV1g=")</f>
        <v>#VALUE!</v>
      </c>
      <c r="CL25" t="e">
        <f>AND('STERLING CATALOG - DRY '!H397,"AAAAAG9eV1k=")</f>
        <v>#VALUE!</v>
      </c>
      <c r="CM25" t="e">
        <f>AND('STERLING CATALOG - DRY '!I397,"AAAAAG9eV1o=")</f>
        <v>#VALUE!</v>
      </c>
      <c r="CN25" t="e">
        <f>AND('STERLING CATALOG - DRY '!J397,"AAAAAG9eV1s=")</f>
        <v>#VALUE!</v>
      </c>
      <c r="CO25">
        <f>IF('STERLING CATALOG - DRY '!398:398,"AAAAAG9eV1w=",0)</f>
        <v>0</v>
      </c>
      <c r="CP25" t="e">
        <f>AND('STERLING CATALOG - DRY '!A398,"AAAAAG9eV10=")</f>
        <v>#VALUE!</v>
      </c>
      <c r="CQ25" t="e">
        <f>AND('STERLING CATALOG - DRY '!B398,"AAAAAG9eV14=")</f>
        <v>#VALUE!</v>
      </c>
      <c r="CR25" t="e">
        <f>AND('STERLING CATALOG - DRY '!C398,"AAAAAG9eV18=")</f>
        <v>#VALUE!</v>
      </c>
      <c r="CS25" t="e">
        <f>AND('STERLING CATALOG - DRY '!D398,"AAAAAG9eV2A=")</f>
        <v>#VALUE!</v>
      </c>
      <c r="CT25" t="e">
        <f>AND('STERLING CATALOG - DRY '!E398,"AAAAAG9eV2E=")</f>
        <v>#VALUE!</v>
      </c>
      <c r="CU25" t="e">
        <f>AND('STERLING CATALOG - DRY '!F398,"AAAAAG9eV2I=")</f>
        <v>#VALUE!</v>
      </c>
      <c r="CV25" t="e">
        <f>AND('STERLING CATALOG - DRY '!G398,"AAAAAG9eV2M=")</f>
        <v>#VALUE!</v>
      </c>
      <c r="CW25" t="e">
        <f>AND('STERLING CATALOG - DRY '!H398,"AAAAAG9eV2Q=")</f>
        <v>#VALUE!</v>
      </c>
      <c r="CX25" t="e">
        <f>AND('STERLING CATALOG - DRY '!I398,"AAAAAG9eV2U=")</f>
        <v>#VALUE!</v>
      </c>
      <c r="CY25" t="e">
        <f>AND('STERLING CATALOG - DRY '!J398,"AAAAAG9eV2Y=")</f>
        <v>#VALUE!</v>
      </c>
      <c r="CZ25">
        <f>IF('STERLING CATALOG - DRY '!399:399,"AAAAAG9eV2c=",0)</f>
        <v>0</v>
      </c>
      <c r="DA25" t="e">
        <f>AND('STERLING CATALOG - DRY '!A399,"AAAAAG9eV2g=")</f>
        <v>#VALUE!</v>
      </c>
      <c r="DB25" t="e">
        <f>AND('STERLING CATALOG - DRY '!B399,"AAAAAG9eV2k=")</f>
        <v>#VALUE!</v>
      </c>
      <c r="DC25" t="e">
        <f>AND('STERLING CATALOG - DRY '!C399,"AAAAAG9eV2o=")</f>
        <v>#VALUE!</v>
      </c>
      <c r="DD25" t="e">
        <f>AND('STERLING CATALOG - DRY '!D399,"AAAAAG9eV2s=")</f>
        <v>#VALUE!</v>
      </c>
      <c r="DE25" t="e">
        <f>AND('STERLING CATALOG - DRY '!E399,"AAAAAG9eV2w=")</f>
        <v>#VALUE!</v>
      </c>
      <c r="DF25" t="e">
        <f>AND('STERLING CATALOG - DRY '!F399,"AAAAAG9eV20=")</f>
        <v>#VALUE!</v>
      </c>
      <c r="DG25" t="e">
        <f>AND('STERLING CATALOG - DRY '!G399,"AAAAAG9eV24=")</f>
        <v>#VALUE!</v>
      </c>
      <c r="DH25" t="e">
        <f>AND('STERLING CATALOG - DRY '!H399,"AAAAAG9eV28=")</f>
        <v>#VALUE!</v>
      </c>
      <c r="DI25" t="e">
        <f>AND('STERLING CATALOG - DRY '!I399,"AAAAAG9eV3A=")</f>
        <v>#VALUE!</v>
      </c>
      <c r="DJ25" t="e">
        <f>AND('STERLING CATALOG - DRY '!J399,"AAAAAG9eV3E=")</f>
        <v>#VALUE!</v>
      </c>
      <c r="DK25">
        <f>IF('STERLING CATALOG - DRY '!400:400,"AAAAAG9eV3I=",0)</f>
        <v>0</v>
      </c>
      <c r="DL25" t="e">
        <f>AND('STERLING CATALOG - DRY '!A400,"AAAAAG9eV3M=")</f>
        <v>#VALUE!</v>
      </c>
      <c r="DM25" t="e">
        <f>AND('STERLING CATALOG - DRY '!B400,"AAAAAG9eV3Q=")</f>
        <v>#VALUE!</v>
      </c>
      <c r="DN25" t="e">
        <f>AND('STERLING CATALOG - DRY '!C400,"AAAAAG9eV3U=")</f>
        <v>#VALUE!</v>
      </c>
      <c r="DO25" t="e">
        <f>AND('STERLING CATALOG - DRY '!D400,"AAAAAG9eV3Y=")</f>
        <v>#VALUE!</v>
      </c>
      <c r="DP25" t="e">
        <f>AND('STERLING CATALOG - DRY '!E400,"AAAAAG9eV3c=")</f>
        <v>#VALUE!</v>
      </c>
      <c r="DQ25" t="e">
        <f>AND('STERLING CATALOG - DRY '!F400,"AAAAAG9eV3g=")</f>
        <v>#VALUE!</v>
      </c>
      <c r="DR25" t="e">
        <f>AND('STERLING CATALOG - DRY '!G400,"AAAAAG9eV3k=")</f>
        <v>#VALUE!</v>
      </c>
      <c r="DS25" t="e">
        <f>AND('STERLING CATALOG - DRY '!H400,"AAAAAG9eV3o=")</f>
        <v>#VALUE!</v>
      </c>
      <c r="DT25" t="e">
        <f>AND('STERLING CATALOG - DRY '!I400,"AAAAAG9eV3s=")</f>
        <v>#VALUE!</v>
      </c>
      <c r="DU25" t="e">
        <f>AND('STERLING CATALOG - DRY '!J400,"AAAAAG9eV3w=")</f>
        <v>#VALUE!</v>
      </c>
      <c r="DV25">
        <f>IF('STERLING CATALOG - DRY '!401:401,"AAAAAG9eV30=",0)</f>
        <v>0</v>
      </c>
      <c r="DW25" t="e">
        <f>AND('STERLING CATALOG - DRY '!A401,"AAAAAG9eV34=")</f>
        <v>#VALUE!</v>
      </c>
      <c r="DX25" t="e">
        <f>AND('STERLING CATALOG - DRY '!B401,"AAAAAG9eV38=")</f>
        <v>#VALUE!</v>
      </c>
      <c r="DY25" t="e">
        <f>AND('STERLING CATALOG - DRY '!C401,"AAAAAG9eV4A=")</f>
        <v>#VALUE!</v>
      </c>
      <c r="DZ25" t="e">
        <f>AND('STERLING CATALOG - DRY '!D401,"AAAAAG9eV4E=")</f>
        <v>#VALUE!</v>
      </c>
      <c r="EA25" t="e">
        <f>AND('STERLING CATALOG - DRY '!E401,"AAAAAG9eV4I=")</f>
        <v>#VALUE!</v>
      </c>
      <c r="EB25" t="e">
        <f>AND('STERLING CATALOG - DRY '!F401,"AAAAAG9eV4M=")</f>
        <v>#VALUE!</v>
      </c>
      <c r="EC25" t="e">
        <f>AND('STERLING CATALOG - DRY '!G401,"AAAAAG9eV4Q=")</f>
        <v>#VALUE!</v>
      </c>
      <c r="ED25" t="e">
        <f>AND('STERLING CATALOG - DRY '!H401,"AAAAAG9eV4U=")</f>
        <v>#VALUE!</v>
      </c>
      <c r="EE25" t="e">
        <f>AND('STERLING CATALOG - DRY '!I401,"AAAAAG9eV4Y=")</f>
        <v>#VALUE!</v>
      </c>
      <c r="EF25" t="e">
        <f>AND('STERLING CATALOG - DRY '!J401,"AAAAAG9eV4c=")</f>
        <v>#VALUE!</v>
      </c>
      <c r="EG25">
        <f>IF('STERLING CATALOG - DRY '!402:402,"AAAAAG9eV4g=",0)</f>
        <v>0</v>
      </c>
      <c r="EH25" t="e">
        <f>AND('STERLING CATALOG - DRY '!A402,"AAAAAG9eV4k=")</f>
        <v>#VALUE!</v>
      </c>
      <c r="EI25" t="e">
        <f>AND('STERLING CATALOG - DRY '!B402,"AAAAAG9eV4o=")</f>
        <v>#VALUE!</v>
      </c>
      <c r="EJ25" t="e">
        <f>AND('STERLING CATALOG - DRY '!C402,"AAAAAG9eV4s=")</f>
        <v>#VALUE!</v>
      </c>
      <c r="EK25" t="e">
        <f>AND('STERLING CATALOG - DRY '!D402,"AAAAAG9eV4w=")</f>
        <v>#VALUE!</v>
      </c>
      <c r="EL25" t="e">
        <f>AND('STERLING CATALOG - DRY '!E402,"AAAAAG9eV40=")</f>
        <v>#VALUE!</v>
      </c>
      <c r="EM25" t="e">
        <f>AND('STERLING CATALOG - DRY '!F402,"AAAAAG9eV44=")</f>
        <v>#VALUE!</v>
      </c>
      <c r="EN25" t="e">
        <f>AND('STERLING CATALOG - DRY '!G402,"AAAAAG9eV48=")</f>
        <v>#VALUE!</v>
      </c>
      <c r="EO25" t="e">
        <f>AND('STERLING CATALOG - DRY '!H402,"AAAAAG9eV5A=")</f>
        <v>#VALUE!</v>
      </c>
      <c r="EP25" t="e">
        <f>AND('STERLING CATALOG - DRY '!I402,"AAAAAG9eV5E=")</f>
        <v>#VALUE!</v>
      </c>
      <c r="EQ25" t="e">
        <f>AND('STERLING CATALOG - DRY '!J402,"AAAAAG9eV5I=")</f>
        <v>#VALUE!</v>
      </c>
      <c r="ER25">
        <f>IF('STERLING CATALOG - DRY '!403:403,"AAAAAG9eV5M=",0)</f>
        <v>0</v>
      </c>
      <c r="ES25" t="e">
        <f>AND('STERLING CATALOG - DRY '!A403,"AAAAAG9eV5Q=")</f>
        <v>#VALUE!</v>
      </c>
      <c r="ET25" t="e">
        <f>AND('STERLING CATALOG - DRY '!B403,"AAAAAG9eV5U=")</f>
        <v>#VALUE!</v>
      </c>
      <c r="EU25" t="e">
        <f>AND('STERLING CATALOG - DRY '!C403,"AAAAAG9eV5Y=")</f>
        <v>#VALUE!</v>
      </c>
      <c r="EV25" t="e">
        <f>AND('STERLING CATALOG - DRY '!D403,"AAAAAG9eV5c=")</f>
        <v>#VALUE!</v>
      </c>
      <c r="EW25" t="e">
        <f>AND('STERLING CATALOG - DRY '!E403,"AAAAAG9eV5g=")</f>
        <v>#VALUE!</v>
      </c>
      <c r="EX25" t="e">
        <f>AND('STERLING CATALOG - DRY '!F403,"AAAAAG9eV5k=")</f>
        <v>#VALUE!</v>
      </c>
      <c r="EY25" t="e">
        <f>AND('STERLING CATALOG - DRY '!G403,"AAAAAG9eV5o=")</f>
        <v>#VALUE!</v>
      </c>
      <c r="EZ25" t="e">
        <f>AND('STERLING CATALOG - DRY '!H403,"AAAAAG9eV5s=")</f>
        <v>#VALUE!</v>
      </c>
      <c r="FA25" t="e">
        <f>AND('STERLING CATALOG - DRY '!I403,"AAAAAG9eV5w=")</f>
        <v>#VALUE!</v>
      </c>
      <c r="FB25" t="e">
        <f>AND('STERLING CATALOG - DRY '!J403,"AAAAAG9eV50=")</f>
        <v>#VALUE!</v>
      </c>
      <c r="FC25">
        <f>IF('STERLING CATALOG - DRY '!404:404,"AAAAAG9eV54=",0)</f>
        <v>0</v>
      </c>
      <c r="FD25" t="e">
        <f>AND('STERLING CATALOG - DRY '!A404,"AAAAAG9eV58=")</f>
        <v>#VALUE!</v>
      </c>
      <c r="FE25" t="e">
        <f>AND('STERLING CATALOG - DRY '!B404,"AAAAAG9eV6A=")</f>
        <v>#VALUE!</v>
      </c>
      <c r="FF25" t="e">
        <f>AND('STERLING CATALOG - DRY '!C404,"AAAAAG9eV6E=")</f>
        <v>#VALUE!</v>
      </c>
      <c r="FG25" t="e">
        <f>AND('STERLING CATALOG - DRY '!D404,"AAAAAG9eV6I=")</f>
        <v>#VALUE!</v>
      </c>
      <c r="FH25" t="e">
        <f>AND('STERLING CATALOG - DRY '!E404,"AAAAAG9eV6M=")</f>
        <v>#VALUE!</v>
      </c>
      <c r="FI25" t="e">
        <f>AND('STERLING CATALOG - DRY '!F404,"AAAAAG9eV6Q=")</f>
        <v>#VALUE!</v>
      </c>
      <c r="FJ25" t="e">
        <f>AND('STERLING CATALOG - DRY '!G404,"AAAAAG9eV6U=")</f>
        <v>#VALUE!</v>
      </c>
      <c r="FK25" t="e">
        <f>AND('STERLING CATALOG - DRY '!H404,"AAAAAG9eV6Y=")</f>
        <v>#VALUE!</v>
      </c>
      <c r="FL25" t="e">
        <f>AND('STERLING CATALOG - DRY '!I404,"AAAAAG9eV6c=")</f>
        <v>#VALUE!</v>
      </c>
      <c r="FM25" t="e">
        <f>AND('STERLING CATALOG - DRY '!J404,"AAAAAG9eV6g=")</f>
        <v>#VALUE!</v>
      </c>
      <c r="FN25">
        <f>IF('STERLING CATALOG - DRY '!405:405,"AAAAAG9eV6k=",0)</f>
        <v>0</v>
      </c>
      <c r="FO25" t="e">
        <f>AND('STERLING CATALOG - DRY '!A405,"AAAAAG9eV6o=")</f>
        <v>#VALUE!</v>
      </c>
      <c r="FP25" t="e">
        <f>AND('STERLING CATALOG - DRY '!B405,"AAAAAG9eV6s=")</f>
        <v>#VALUE!</v>
      </c>
      <c r="FQ25" t="e">
        <f>AND('STERLING CATALOG - DRY '!C405,"AAAAAG9eV6w=")</f>
        <v>#VALUE!</v>
      </c>
      <c r="FR25" t="e">
        <f>AND('STERLING CATALOG - DRY '!D405,"AAAAAG9eV60=")</f>
        <v>#VALUE!</v>
      </c>
      <c r="FS25" t="e">
        <f>AND('STERLING CATALOG - DRY '!E405,"AAAAAG9eV64=")</f>
        <v>#VALUE!</v>
      </c>
      <c r="FT25" t="e">
        <f>AND('STERLING CATALOG - DRY '!F405,"AAAAAG9eV68=")</f>
        <v>#VALUE!</v>
      </c>
      <c r="FU25" t="e">
        <f>AND('STERLING CATALOG - DRY '!G405,"AAAAAG9eV7A=")</f>
        <v>#VALUE!</v>
      </c>
      <c r="FV25" t="e">
        <f>AND('STERLING CATALOG - DRY '!H405,"AAAAAG9eV7E=")</f>
        <v>#VALUE!</v>
      </c>
      <c r="FW25" t="e">
        <f>AND('STERLING CATALOG - DRY '!I405,"AAAAAG9eV7I=")</f>
        <v>#VALUE!</v>
      </c>
      <c r="FX25" t="e">
        <f>AND('STERLING CATALOG - DRY '!J405,"AAAAAG9eV7M=")</f>
        <v>#VALUE!</v>
      </c>
      <c r="FY25">
        <f>IF('STERLING CATALOG - DRY '!406:406,"AAAAAG9eV7Q=",0)</f>
        <v>0</v>
      </c>
      <c r="FZ25" t="e">
        <f>AND('STERLING CATALOG - DRY '!A406,"AAAAAG9eV7U=")</f>
        <v>#VALUE!</v>
      </c>
      <c r="GA25" t="e">
        <f>AND('STERLING CATALOG - DRY '!B406,"AAAAAG9eV7Y=")</f>
        <v>#VALUE!</v>
      </c>
      <c r="GB25" t="e">
        <f>AND('STERLING CATALOG - DRY '!C406,"AAAAAG9eV7c=")</f>
        <v>#VALUE!</v>
      </c>
      <c r="GC25" t="e">
        <f>AND('STERLING CATALOG - DRY '!D406,"AAAAAG9eV7g=")</f>
        <v>#VALUE!</v>
      </c>
      <c r="GD25" t="e">
        <f>AND('STERLING CATALOG - DRY '!E406,"AAAAAG9eV7k=")</f>
        <v>#VALUE!</v>
      </c>
      <c r="GE25" t="e">
        <f>AND('STERLING CATALOG - DRY '!F406,"AAAAAG9eV7o=")</f>
        <v>#VALUE!</v>
      </c>
      <c r="GF25" t="e">
        <f>AND('STERLING CATALOG - DRY '!G406,"AAAAAG9eV7s=")</f>
        <v>#VALUE!</v>
      </c>
      <c r="GG25" t="e">
        <f>AND('STERLING CATALOG - DRY '!H406,"AAAAAG9eV7w=")</f>
        <v>#VALUE!</v>
      </c>
      <c r="GH25" t="e">
        <f>AND('STERLING CATALOG - DRY '!I406,"AAAAAG9eV70=")</f>
        <v>#VALUE!</v>
      </c>
      <c r="GI25" t="e">
        <f>AND('STERLING CATALOG - DRY '!J406,"AAAAAG9eV74=")</f>
        <v>#VALUE!</v>
      </c>
      <c r="GJ25">
        <f>IF('STERLING CATALOG - DRY '!407:407,"AAAAAG9eV78=",0)</f>
        <v>0</v>
      </c>
      <c r="GK25" t="e">
        <f>AND('STERLING CATALOG - DRY '!A407,"AAAAAG9eV8A=")</f>
        <v>#VALUE!</v>
      </c>
      <c r="GL25" t="e">
        <f>AND('STERLING CATALOG - DRY '!B407,"AAAAAG9eV8E=")</f>
        <v>#VALUE!</v>
      </c>
      <c r="GM25" t="e">
        <f>AND('STERLING CATALOG - DRY '!C407,"AAAAAG9eV8I=")</f>
        <v>#VALUE!</v>
      </c>
      <c r="GN25" t="e">
        <f>AND('STERLING CATALOG - DRY '!D407,"AAAAAG9eV8M=")</f>
        <v>#VALUE!</v>
      </c>
      <c r="GO25" t="e">
        <f>AND('STERLING CATALOG - DRY '!E407,"AAAAAG9eV8Q=")</f>
        <v>#VALUE!</v>
      </c>
      <c r="GP25" t="e">
        <f>AND('STERLING CATALOG - DRY '!F407,"AAAAAG9eV8U=")</f>
        <v>#VALUE!</v>
      </c>
      <c r="GQ25" t="e">
        <f>AND('STERLING CATALOG - DRY '!G407,"AAAAAG9eV8Y=")</f>
        <v>#VALUE!</v>
      </c>
      <c r="GR25" t="e">
        <f>AND('STERLING CATALOG - DRY '!H407,"AAAAAG9eV8c=")</f>
        <v>#VALUE!</v>
      </c>
      <c r="GS25" t="e">
        <f>AND('STERLING CATALOG - DRY '!I407,"AAAAAG9eV8g=")</f>
        <v>#VALUE!</v>
      </c>
      <c r="GT25" t="e">
        <f>AND('STERLING CATALOG - DRY '!J407,"AAAAAG9eV8k=")</f>
        <v>#VALUE!</v>
      </c>
      <c r="GU25">
        <f>IF('STERLING CATALOG - DRY '!408:408,"AAAAAG9eV8o=",0)</f>
        <v>0</v>
      </c>
      <c r="GV25" t="e">
        <f>AND('STERLING CATALOG - DRY '!A408,"AAAAAG9eV8s=")</f>
        <v>#VALUE!</v>
      </c>
      <c r="GW25" t="e">
        <f>AND('STERLING CATALOG - DRY '!B408,"AAAAAG9eV8w=")</f>
        <v>#VALUE!</v>
      </c>
      <c r="GX25" t="e">
        <f>AND('STERLING CATALOG - DRY '!C408,"AAAAAG9eV80=")</f>
        <v>#VALUE!</v>
      </c>
      <c r="GY25" t="e">
        <f>AND('STERLING CATALOG - DRY '!D408,"AAAAAG9eV84=")</f>
        <v>#VALUE!</v>
      </c>
      <c r="GZ25" t="e">
        <f>AND('STERLING CATALOG - DRY '!E408,"AAAAAG9eV88=")</f>
        <v>#VALUE!</v>
      </c>
      <c r="HA25" t="e">
        <f>AND('STERLING CATALOG - DRY '!F408,"AAAAAG9eV9A=")</f>
        <v>#VALUE!</v>
      </c>
      <c r="HB25" t="e">
        <f>AND('STERLING CATALOG - DRY '!G408,"AAAAAG9eV9E=")</f>
        <v>#VALUE!</v>
      </c>
      <c r="HC25" t="e">
        <f>AND('STERLING CATALOG - DRY '!H408,"AAAAAG9eV9I=")</f>
        <v>#VALUE!</v>
      </c>
      <c r="HD25" t="e">
        <f>AND('STERLING CATALOG - DRY '!I408,"AAAAAG9eV9M=")</f>
        <v>#VALUE!</v>
      </c>
      <c r="HE25" t="e">
        <f>AND('STERLING CATALOG - DRY '!J408,"AAAAAG9eV9Q=")</f>
        <v>#VALUE!</v>
      </c>
      <c r="HF25">
        <f>IF('STERLING CATALOG - DRY '!409:409,"AAAAAG9eV9U=",0)</f>
        <v>0</v>
      </c>
      <c r="HG25" t="e">
        <f>AND('STERLING CATALOG - DRY '!A409,"AAAAAG9eV9Y=")</f>
        <v>#VALUE!</v>
      </c>
      <c r="HH25" t="e">
        <f>AND('STERLING CATALOG - DRY '!B409,"AAAAAG9eV9c=")</f>
        <v>#VALUE!</v>
      </c>
      <c r="HI25" t="e">
        <f>AND('STERLING CATALOG - DRY '!C409,"AAAAAG9eV9g=")</f>
        <v>#VALUE!</v>
      </c>
      <c r="HJ25" t="e">
        <f>AND('STERLING CATALOG - DRY '!D409,"AAAAAG9eV9k=")</f>
        <v>#VALUE!</v>
      </c>
      <c r="HK25" t="e">
        <f>AND('STERLING CATALOG - DRY '!E409,"AAAAAG9eV9o=")</f>
        <v>#VALUE!</v>
      </c>
      <c r="HL25" t="e">
        <f>AND('STERLING CATALOG - DRY '!F409,"AAAAAG9eV9s=")</f>
        <v>#VALUE!</v>
      </c>
      <c r="HM25" t="e">
        <f>AND('STERLING CATALOG - DRY '!G409,"AAAAAG9eV9w=")</f>
        <v>#VALUE!</v>
      </c>
      <c r="HN25" t="e">
        <f>AND('STERLING CATALOG - DRY '!H409,"AAAAAG9eV90=")</f>
        <v>#VALUE!</v>
      </c>
      <c r="HO25" t="e">
        <f>AND('STERLING CATALOG - DRY '!I409,"AAAAAG9eV94=")</f>
        <v>#VALUE!</v>
      </c>
      <c r="HP25" t="e">
        <f>AND('STERLING CATALOG - DRY '!J409,"AAAAAG9eV98=")</f>
        <v>#VALUE!</v>
      </c>
      <c r="HQ25">
        <f>IF('STERLING CATALOG - DRY '!410:410,"AAAAAG9eV+A=",0)</f>
        <v>0</v>
      </c>
      <c r="HR25" t="e">
        <f>AND('STERLING CATALOG - DRY '!A410,"AAAAAG9eV+E=")</f>
        <v>#VALUE!</v>
      </c>
      <c r="HS25" t="e">
        <f>AND('STERLING CATALOG - DRY '!B410,"AAAAAG9eV+I=")</f>
        <v>#VALUE!</v>
      </c>
      <c r="HT25" t="e">
        <f>AND('STERLING CATALOG - DRY '!C410,"AAAAAG9eV+M=")</f>
        <v>#VALUE!</v>
      </c>
      <c r="HU25" t="e">
        <f>AND('STERLING CATALOG - DRY '!D410,"AAAAAG9eV+Q=")</f>
        <v>#VALUE!</v>
      </c>
      <c r="HV25" t="e">
        <f>AND('STERLING CATALOG - DRY '!E410,"AAAAAG9eV+U=")</f>
        <v>#VALUE!</v>
      </c>
      <c r="HW25" t="e">
        <f>AND('STERLING CATALOG - DRY '!F410,"AAAAAG9eV+Y=")</f>
        <v>#VALUE!</v>
      </c>
      <c r="HX25" t="e">
        <f>AND('STERLING CATALOG - DRY '!G410,"AAAAAG9eV+c=")</f>
        <v>#VALUE!</v>
      </c>
      <c r="HY25" t="e">
        <f>AND('STERLING CATALOG - DRY '!H410,"AAAAAG9eV+g=")</f>
        <v>#VALUE!</v>
      </c>
      <c r="HZ25" t="e">
        <f>AND('STERLING CATALOG - DRY '!I410,"AAAAAG9eV+k=")</f>
        <v>#VALUE!</v>
      </c>
      <c r="IA25" t="e">
        <f>AND('STERLING CATALOG - DRY '!J410,"AAAAAG9eV+o=")</f>
        <v>#VALUE!</v>
      </c>
      <c r="IB25">
        <f>IF('STERLING CATALOG - DRY '!411:411,"AAAAAG9eV+s=",0)</f>
        <v>0</v>
      </c>
      <c r="IC25" t="e">
        <f>AND('STERLING CATALOG - DRY '!A411,"AAAAAG9eV+w=")</f>
        <v>#VALUE!</v>
      </c>
      <c r="ID25" t="e">
        <f>AND('STERLING CATALOG - DRY '!B411,"AAAAAG9eV+0=")</f>
        <v>#VALUE!</v>
      </c>
      <c r="IE25" t="e">
        <f>AND('STERLING CATALOG - DRY '!C411,"AAAAAG9eV+4=")</f>
        <v>#VALUE!</v>
      </c>
      <c r="IF25" t="e">
        <f>AND('STERLING CATALOG - DRY '!D411,"AAAAAG9eV+8=")</f>
        <v>#VALUE!</v>
      </c>
      <c r="IG25" t="e">
        <f>AND('STERLING CATALOG - DRY '!E411,"AAAAAG9eV/A=")</f>
        <v>#VALUE!</v>
      </c>
      <c r="IH25" t="e">
        <f>AND('STERLING CATALOG - DRY '!F411,"AAAAAG9eV/E=")</f>
        <v>#VALUE!</v>
      </c>
      <c r="II25" t="e">
        <f>AND('STERLING CATALOG - DRY '!G411,"AAAAAG9eV/I=")</f>
        <v>#VALUE!</v>
      </c>
      <c r="IJ25" t="e">
        <f>AND('STERLING CATALOG - DRY '!H411,"AAAAAG9eV/M=")</f>
        <v>#VALUE!</v>
      </c>
      <c r="IK25" t="e">
        <f>AND('STERLING CATALOG - DRY '!I411,"AAAAAG9eV/Q=")</f>
        <v>#VALUE!</v>
      </c>
      <c r="IL25" t="e">
        <f>AND('STERLING CATALOG - DRY '!J411,"AAAAAG9eV/U=")</f>
        <v>#VALUE!</v>
      </c>
      <c r="IM25">
        <f>IF('STERLING CATALOG - DRY '!412:412,"AAAAAG9eV/Y=",0)</f>
        <v>0</v>
      </c>
      <c r="IN25" t="e">
        <f>AND('STERLING CATALOG - DRY '!A412,"AAAAAG9eV/c=")</f>
        <v>#VALUE!</v>
      </c>
      <c r="IO25" t="e">
        <f>AND('STERLING CATALOG - DRY '!B412,"AAAAAG9eV/g=")</f>
        <v>#VALUE!</v>
      </c>
      <c r="IP25" t="e">
        <f>AND('STERLING CATALOG - DRY '!C412,"AAAAAG9eV/k=")</f>
        <v>#VALUE!</v>
      </c>
      <c r="IQ25" t="e">
        <f>AND('STERLING CATALOG - DRY '!D412,"AAAAAG9eV/o=")</f>
        <v>#VALUE!</v>
      </c>
      <c r="IR25" t="e">
        <f>AND('STERLING CATALOG - DRY '!E412,"AAAAAG9eV/s=")</f>
        <v>#VALUE!</v>
      </c>
      <c r="IS25" t="e">
        <f>AND('STERLING CATALOG - DRY '!F412,"AAAAAG9eV/w=")</f>
        <v>#VALUE!</v>
      </c>
      <c r="IT25" t="e">
        <f>AND('STERLING CATALOG - DRY '!G412,"AAAAAG9eV/0=")</f>
        <v>#VALUE!</v>
      </c>
      <c r="IU25" t="e">
        <f>AND('STERLING CATALOG - DRY '!H412,"AAAAAG9eV/4=")</f>
        <v>#VALUE!</v>
      </c>
      <c r="IV25" t="e">
        <f>AND('STERLING CATALOG - DRY '!I412,"AAAAAG9eV/8=")</f>
        <v>#VALUE!</v>
      </c>
    </row>
    <row r="26" spans="1:256">
      <c r="A26" t="e">
        <f>AND('STERLING CATALOG - DRY '!J412,"AAAAAD3ZvwA=")</f>
        <v>#VALUE!</v>
      </c>
      <c r="B26" t="str">
        <f>IF('STERLING CATALOG - DRY '!413:413,"AAAAAD3ZvwE=",0)</f>
        <v>AAAAAD3ZvwE=</v>
      </c>
      <c r="C26" t="e">
        <f>AND('STERLING CATALOG - DRY '!A413,"AAAAAD3ZvwI=")</f>
        <v>#VALUE!</v>
      </c>
      <c r="D26" t="e">
        <f>AND('STERLING CATALOG - DRY '!B413,"AAAAAD3ZvwM=")</f>
        <v>#VALUE!</v>
      </c>
      <c r="E26" t="e">
        <f>AND('STERLING CATALOG - DRY '!C413,"AAAAAD3ZvwQ=")</f>
        <v>#VALUE!</v>
      </c>
      <c r="F26" t="e">
        <f>AND('STERLING CATALOG - DRY '!D413,"AAAAAD3ZvwU=")</f>
        <v>#VALUE!</v>
      </c>
      <c r="G26" t="e">
        <f>AND('STERLING CATALOG - DRY '!E413,"AAAAAD3ZvwY=")</f>
        <v>#VALUE!</v>
      </c>
      <c r="H26" t="e">
        <f>AND('STERLING CATALOG - DRY '!F413,"AAAAAD3Zvwc=")</f>
        <v>#VALUE!</v>
      </c>
      <c r="I26" t="e">
        <f>AND('STERLING CATALOG - DRY '!G413,"AAAAAD3Zvwg=")</f>
        <v>#VALUE!</v>
      </c>
      <c r="J26" t="e">
        <f>AND('STERLING CATALOG - DRY '!H413,"AAAAAD3Zvwk=")</f>
        <v>#VALUE!</v>
      </c>
      <c r="K26" t="e">
        <f>AND('STERLING CATALOG - DRY '!I413,"AAAAAD3Zvwo=")</f>
        <v>#VALUE!</v>
      </c>
      <c r="L26" t="e">
        <f>AND('STERLING CATALOG - DRY '!J413,"AAAAAD3Zvws=")</f>
        <v>#VALUE!</v>
      </c>
      <c r="M26">
        <f>IF('STERLING CATALOG - DRY '!414:414,"AAAAAD3Zvww=",0)</f>
        <v>0</v>
      </c>
      <c r="N26" t="e">
        <f>AND('STERLING CATALOG - DRY '!A414,"AAAAAD3Zvw0=")</f>
        <v>#VALUE!</v>
      </c>
      <c r="O26" t="e">
        <f>AND('STERLING CATALOG - DRY '!B414,"AAAAAD3Zvw4=")</f>
        <v>#VALUE!</v>
      </c>
      <c r="P26" t="e">
        <f>AND('STERLING CATALOG - DRY '!C414,"AAAAAD3Zvw8=")</f>
        <v>#VALUE!</v>
      </c>
      <c r="Q26" t="e">
        <f>AND('STERLING CATALOG - DRY '!D414,"AAAAAD3ZvxA=")</f>
        <v>#VALUE!</v>
      </c>
      <c r="R26" t="e">
        <f>AND('STERLING CATALOG - DRY '!E414,"AAAAAD3ZvxE=")</f>
        <v>#VALUE!</v>
      </c>
      <c r="S26" t="e">
        <f>AND('STERLING CATALOG - DRY '!F414,"AAAAAD3ZvxI=")</f>
        <v>#VALUE!</v>
      </c>
      <c r="T26" t="e">
        <f>AND('STERLING CATALOG - DRY '!G414,"AAAAAD3ZvxM=")</f>
        <v>#VALUE!</v>
      </c>
      <c r="U26" t="e">
        <f>AND('STERLING CATALOG - DRY '!H414,"AAAAAD3ZvxQ=")</f>
        <v>#VALUE!</v>
      </c>
      <c r="V26" t="e">
        <f>AND('STERLING CATALOG - DRY '!I414,"AAAAAD3ZvxU=")</f>
        <v>#VALUE!</v>
      </c>
      <c r="W26" t="e">
        <f>AND('STERLING CATALOG - DRY '!J414,"AAAAAD3ZvxY=")</f>
        <v>#VALUE!</v>
      </c>
      <c r="X26">
        <f>IF('STERLING CATALOG - DRY '!415:415,"AAAAAD3Zvxc=",0)</f>
        <v>0</v>
      </c>
      <c r="Y26" t="e">
        <f>AND('STERLING CATALOG - DRY '!A415,"AAAAAD3Zvxg=")</f>
        <v>#VALUE!</v>
      </c>
      <c r="Z26" t="e">
        <f>AND('STERLING CATALOG - DRY '!B415,"AAAAAD3Zvxk=")</f>
        <v>#VALUE!</v>
      </c>
      <c r="AA26" t="e">
        <f>AND('STERLING CATALOG - DRY '!C415,"AAAAAD3Zvxo=")</f>
        <v>#VALUE!</v>
      </c>
      <c r="AB26" t="e">
        <f>AND('STERLING CATALOG - DRY '!D415,"AAAAAD3Zvxs=")</f>
        <v>#VALUE!</v>
      </c>
      <c r="AC26" t="e">
        <f>AND('STERLING CATALOG - DRY '!E415,"AAAAAD3Zvxw=")</f>
        <v>#VALUE!</v>
      </c>
      <c r="AD26" t="e">
        <f>AND('STERLING CATALOG - DRY '!F415,"AAAAAD3Zvx0=")</f>
        <v>#VALUE!</v>
      </c>
      <c r="AE26" t="e">
        <f>AND('STERLING CATALOG - DRY '!G415,"AAAAAD3Zvx4=")</f>
        <v>#VALUE!</v>
      </c>
      <c r="AF26" t="e">
        <f>AND('STERLING CATALOG - DRY '!H415,"AAAAAD3Zvx8=")</f>
        <v>#VALUE!</v>
      </c>
      <c r="AG26" t="e">
        <f>AND('STERLING CATALOG - DRY '!I415,"AAAAAD3ZvyA=")</f>
        <v>#VALUE!</v>
      </c>
      <c r="AH26" t="e">
        <f>AND('STERLING CATALOG - DRY '!J415,"AAAAAD3ZvyE=")</f>
        <v>#VALUE!</v>
      </c>
      <c r="AI26">
        <f>IF('STERLING CATALOG - DRY '!416:416,"AAAAAD3ZvyI=",0)</f>
        <v>0</v>
      </c>
      <c r="AJ26" t="e">
        <f>AND('STERLING CATALOG - DRY '!A416,"AAAAAD3ZvyM=")</f>
        <v>#VALUE!</v>
      </c>
      <c r="AK26" t="e">
        <f>AND('STERLING CATALOG - DRY '!B416,"AAAAAD3ZvyQ=")</f>
        <v>#VALUE!</v>
      </c>
      <c r="AL26" t="e">
        <f>AND('STERLING CATALOG - DRY '!C416,"AAAAAD3ZvyU=")</f>
        <v>#VALUE!</v>
      </c>
      <c r="AM26" t="e">
        <f>AND('STERLING CATALOG - DRY '!D416,"AAAAAD3ZvyY=")</f>
        <v>#VALUE!</v>
      </c>
      <c r="AN26" t="e">
        <f>AND('STERLING CATALOG - DRY '!E416,"AAAAAD3Zvyc=")</f>
        <v>#VALUE!</v>
      </c>
      <c r="AO26" t="e">
        <f>AND('STERLING CATALOG - DRY '!F416,"AAAAAD3Zvyg=")</f>
        <v>#VALUE!</v>
      </c>
      <c r="AP26" t="e">
        <f>AND('STERLING CATALOG - DRY '!G416,"AAAAAD3Zvyk=")</f>
        <v>#VALUE!</v>
      </c>
      <c r="AQ26" t="e">
        <f>AND('STERLING CATALOG - DRY '!H416,"AAAAAD3Zvyo=")</f>
        <v>#VALUE!</v>
      </c>
      <c r="AR26" t="e">
        <f>AND('STERLING CATALOG - DRY '!I416,"AAAAAD3Zvys=")</f>
        <v>#VALUE!</v>
      </c>
      <c r="AS26" t="e">
        <f>AND('STERLING CATALOG - DRY '!J416,"AAAAAD3Zvyw=")</f>
        <v>#VALUE!</v>
      </c>
      <c r="AT26">
        <f>IF('STERLING CATALOG - DRY '!417:417,"AAAAAD3Zvy0=",0)</f>
        <v>0</v>
      </c>
      <c r="AU26" t="e">
        <f>AND('STERLING CATALOG - DRY '!A417,"AAAAAD3Zvy4=")</f>
        <v>#VALUE!</v>
      </c>
      <c r="AV26" t="e">
        <f>AND('STERLING CATALOG - DRY '!B417,"AAAAAD3Zvy8=")</f>
        <v>#VALUE!</v>
      </c>
      <c r="AW26" t="e">
        <f>AND('STERLING CATALOG - DRY '!C417,"AAAAAD3ZvzA=")</f>
        <v>#VALUE!</v>
      </c>
      <c r="AX26" t="e">
        <f>AND('STERLING CATALOG - DRY '!D417,"AAAAAD3ZvzE=")</f>
        <v>#VALUE!</v>
      </c>
      <c r="AY26" t="e">
        <f>AND('STERLING CATALOG - DRY '!E417,"AAAAAD3ZvzI=")</f>
        <v>#VALUE!</v>
      </c>
      <c r="AZ26" t="e">
        <f>AND('STERLING CATALOG - DRY '!F417,"AAAAAD3ZvzM=")</f>
        <v>#VALUE!</v>
      </c>
      <c r="BA26" t="e">
        <f>AND('STERLING CATALOG - DRY '!G417,"AAAAAD3ZvzQ=")</f>
        <v>#VALUE!</v>
      </c>
      <c r="BB26" t="e">
        <f>AND('STERLING CATALOG - DRY '!H417,"AAAAAD3ZvzU=")</f>
        <v>#VALUE!</v>
      </c>
      <c r="BC26" t="e">
        <f>AND('STERLING CATALOG - DRY '!I417,"AAAAAD3ZvzY=")</f>
        <v>#VALUE!</v>
      </c>
      <c r="BD26" t="e">
        <f>AND('STERLING CATALOG - DRY '!J417,"AAAAAD3Zvzc=")</f>
        <v>#VALUE!</v>
      </c>
      <c r="BE26">
        <f>IF('STERLING CATALOG - DRY '!418:418,"AAAAAD3Zvzg=",0)</f>
        <v>0</v>
      </c>
      <c r="BF26" t="e">
        <f>AND('STERLING CATALOG - DRY '!A418,"AAAAAD3Zvzk=")</f>
        <v>#VALUE!</v>
      </c>
      <c r="BG26" t="e">
        <f>AND('STERLING CATALOG - DRY '!B418,"AAAAAD3Zvzo=")</f>
        <v>#VALUE!</v>
      </c>
      <c r="BH26" t="e">
        <f>AND('STERLING CATALOG - DRY '!C418,"AAAAAD3Zvzs=")</f>
        <v>#VALUE!</v>
      </c>
      <c r="BI26" t="e">
        <f>AND('STERLING CATALOG - DRY '!D418,"AAAAAD3Zvzw=")</f>
        <v>#VALUE!</v>
      </c>
      <c r="BJ26" t="e">
        <f>AND('STERLING CATALOG - DRY '!E418,"AAAAAD3Zvz0=")</f>
        <v>#VALUE!</v>
      </c>
      <c r="BK26" t="e">
        <f>AND('STERLING CATALOG - DRY '!F418,"AAAAAD3Zvz4=")</f>
        <v>#VALUE!</v>
      </c>
      <c r="BL26" t="e">
        <f>AND('STERLING CATALOG - DRY '!G418,"AAAAAD3Zvz8=")</f>
        <v>#VALUE!</v>
      </c>
      <c r="BM26" t="e">
        <f>AND('STERLING CATALOG - DRY '!H418,"AAAAAD3Zv0A=")</f>
        <v>#VALUE!</v>
      </c>
      <c r="BN26" t="e">
        <f>AND('STERLING CATALOG - DRY '!I418,"AAAAAD3Zv0E=")</f>
        <v>#VALUE!</v>
      </c>
      <c r="BO26" t="e">
        <f>AND('STERLING CATALOG - DRY '!J418,"AAAAAD3Zv0I=")</f>
        <v>#VALUE!</v>
      </c>
      <c r="BP26">
        <f>IF('STERLING CATALOG - DRY '!419:419,"AAAAAD3Zv0M=",0)</f>
        <v>0</v>
      </c>
      <c r="BQ26" t="e">
        <f>AND('STERLING CATALOG - DRY '!A419,"AAAAAD3Zv0Q=")</f>
        <v>#VALUE!</v>
      </c>
      <c r="BR26" t="e">
        <f>AND('STERLING CATALOG - DRY '!B419,"AAAAAD3Zv0U=")</f>
        <v>#VALUE!</v>
      </c>
      <c r="BS26" t="e">
        <f>AND('STERLING CATALOG - DRY '!C419,"AAAAAD3Zv0Y=")</f>
        <v>#VALUE!</v>
      </c>
      <c r="BT26" t="e">
        <f>AND('STERLING CATALOG - DRY '!D419,"AAAAAD3Zv0c=")</f>
        <v>#VALUE!</v>
      </c>
      <c r="BU26" t="e">
        <f>AND('STERLING CATALOG - DRY '!E419,"AAAAAD3Zv0g=")</f>
        <v>#VALUE!</v>
      </c>
      <c r="BV26" t="e">
        <f>AND('STERLING CATALOG - DRY '!F419,"AAAAAD3Zv0k=")</f>
        <v>#VALUE!</v>
      </c>
      <c r="BW26" t="e">
        <f>AND('STERLING CATALOG - DRY '!G419,"AAAAAD3Zv0o=")</f>
        <v>#VALUE!</v>
      </c>
      <c r="BX26" t="e">
        <f>AND('STERLING CATALOG - DRY '!H419,"AAAAAD3Zv0s=")</f>
        <v>#VALUE!</v>
      </c>
      <c r="BY26" t="e">
        <f>AND('STERLING CATALOG - DRY '!I419,"AAAAAD3Zv0w=")</f>
        <v>#VALUE!</v>
      </c>
      <c r="BZ26" t="e">
        <f>AND('STERLING CATALOG - DRY '!J419,"AAAAAD3Zv00=")</f>
        <v>#VALUE!</v>
      </c>
      <c r="CA26">
        <f>IF('STERLING CATALOG - DRY '!420:420,"AAAAAD3Zv04=",0)</f>
        <v>0</v>
      </c>
      <c r="CB26" t="e">
        <f>AND('STERLING CATALOG - DRY '!A420,"AAAAAD3Zv08=")</f>
        <v>#VALUE!</v>
      </c>
      <c r="CC26" t="e">
        <f>AND('STERLING CATALOG - DRY '!B420,"AAAAAD3Zv1A=")</f>
        <v>#VALUE!</v>
      </c>
      <c r="CD26" t="e">
        <f>AND('STERLING CATALOG - DRY '!C420,"AAAAAD3Zv1E=")</f>
        <v>#VALUE!</v>
      </c>
      <c r="CE26" t="e">
        <f>AND('STERLING CATALOG - DRY '!D420,"AAAAAD3Zv1I=")</f>
        <v>#VALUE!</v>
      </c>
      <c r="CF26" t="e">
        <f>AND('STERLING CATALOG - DRY '!E420,"AAAAAD3Zv1M=")</f>
        <v>#VALUE!</v>
      </c>
      <c r="CG26" t="e">
        <f>AND('STERLING CATALOG - DRY '!F420,"AAAAAD3Zv1Q=")</f>
        <v>#VALUE!</v>
      </c>
      <c r="CH26" t="e">
        <f>AND('STERLING CATALOG - DRY '!G420,"AAAAAD3Zv1U=")</f>
        <v>#VALUE!</v>
      </c>
      <c r="CI26" t="e">
        <f>AND('STERLING CATALOG - DRY '!H420,"AAAAAD3Zv1Y=")</f>
        <v>#VALUE!</v>
      </c>
      <c r="CJ26" t="e">
        <f>AND('STERLING CATALOG - DRY '!I420,"AAAAAD3Zv1c=")</f>
        <v>#VALUE!</v>
      </c>
      <c r="CK26" t="e">
        <f>AND('STERLING CATALOG - DRY '!J420,"AAAAAD3Zv1g=")</f>
        <v>#VALUE!</v>
      </c>
      <c r="CL26">
        <f>IF('STERLING CATALOG - DRY '!421:421,"AAAAAD3Zv1k=",0)</f>
        <v>0</v>
      </c>
      <c r="CM26" t="e">
        <f>AND('STERLING CATALOG - DRY '!A421,"AAAAAD3Zv1o=")</f>
        <v>#VALUE!</v>
      </c>
      <c r="CN26" t="e">
        <f>AND('STERLING CATALOG - DRY '!B421,"AAAAAD3Zv1s=")</f>
        <v>#VALUE!</v>
      </c>
      <c r="CO26" t="e">
        <f>AND('STERLING CATALOG - DRY '!C421,"AAAAAD3Zv1w=")</f>
        <v>#VALUE!</v>
      </c>
      <c r="CP26" t="e">
        <f>AND('STERLING CATALOG - DRY '!D421,"AAAAAD3Zv10=")</f>
        <v>#VALUE!</v>
      </c>
      <c r="CQ26" t="e">
        <f>AND('STERLING CATALOG - DRY '!E421,"AAAAAD3Zv14=")</f>
        <v>#VALUE!</v>
      </c>
      <c r="CR26" t="e">
        <f>AND('STERLING CATALOG - DRY '!F421,"AAAAAD3Zv18=")</f>
        <v>#VALUE!</v>
      </c>
      <c r="CS26" t="e">
        <f>AND('STERLING CATALOG - DRY '!G421,"AAAAAD3Zv2A=")</f>
        <v>#VALUE!</v>
      </c>
      <c r="CT26" t="e">
        <f>AND('STERLING CATALOG - DRY '!H421,"AAAAAD3Zv2E=")</f>
        <v>#VALUE!</v>
      </c>
      <c r="CU26" t="e">
        <f>AND('STERLING CATALOG - DRY '!I421,"AAAAAD3Zv2I=")</f>
        <v>#VALUE!</v>
      </c>
      <c r="CV26" t="e">
        <f>AND('STERLING CATALOG - DRY '!J421,"AAAAAD3Zv2M=")</f>
        <v>#VALUE!</v>
      </c>
      <c r="CW26">
        <f>IF('STERLING CATALOG - DRY '!422:422,"AAAAAD3Zv2Q=",0)</f>
        <v>0</v>
      </c>
      <c r="CX26" t="e">
        <f>AND('STERLING CATALOG - DRY '!A422,"AAAAAD3Zv2U=")</f>
        <v>#VALUE!</v>
      </c>
      <c r="CY26" t="e">
        <f>AND('STERLING CATALOG - DRY '!B422,"AAAAAD3Zv2Y=")</f>
        <v>#VALUE!</v>
      </c>
      <c r="CZ26" t="e">
        <f>AND('STERLING CATALOG - DRY '!C422,"AAAAAD3Zv2c=")</f>
        <v>#VALUE!</v>
      </c>
      <c r="DA26" t="e">
        <f>AND('STERLING CATALOG - DRY '!D422,"AAAAAD3Zv2g=")</f>
        <v>#VALUE!</v>
      </c>
      <c r="DB26" t="e">
        <f>AND('STERLING CATALOG - DRY '!E422,"AAAAAD3Zv2k=")</f>
        <v>#VALUE!</v>
      </c>
      <c r="DC26" t="e">
        <f>AND('STERLING CATALOG - DRY '!F422,"AAAAAD3Zv2o=")</f>
        <v>#VALUE!</v>
      </c>
      <c r="DD26" t="e">
        <f>AND('STERLING CATALOG - DRY '!G422,"AAAAAD3Zv2s=")</f>
        <v>#VALUE!</v>
      </c>
      <c r="DE26" t="e">
        <f>AND('STERLING CATALOG - DRY '!H422,"AAAAAD3Zv2w=")</f>
        <v>#VALUE!</v>
      </c>
      <c r="DF26" t="e">
        <f>AND('STERLING CATALOG - DRY '!I422,"AAAAAD3Zv20=")</f>
        <v>#VALUE!</v>
      </c>
      <c r="DG26" t="e">
        <f>AND('STERLING CATALOG - DRY '!J422,"AAAAAD3Zv24=")</f>
        <v>#VALUE!</v>
      </c>
      <c r="DH26">
        <f>IF('STERLING CATALOG - DRY '!423:423,"AAAAAD3Zv28=",0)</f>
        <v>0</v>
      </c>
      <c r="DI26" t="e">
        <f>AND('STERLING CATALOG - DRY '!A423,"AAAAAD3Zv3A=")</f>
        <v>#VALUE!</v>
      </c>
      <c r="DJ26" t="e">
        <f>AND('STERLING CATALOG - DRY '!B423,"AAAAAD3Zv3E=")</f>
        <v>#VALUE!</v>
      </c>
      <c r="DK26" t="e">
        <f>AND('STERLING CATALOG - DRY '!C423,"AAAAAD3Zv3I=")</f>
        <v>#VALUE!</v>
      </c>
      <c r="DL26" t="e">
        <f>AND('STERLING CATALOG - DRY '!D423,"AAAAAD3Zv3M=")</f>
        <v>#VALUE!</v>
      </c>
      <c r="DM26" t="e">
        <f>AND('STERLING CATALOG - DRY '!E423,"AAAAAD3Zv3Q=")</f>
        <v>#VALUE!</v>
      </c>
      <c r="DN26" t="e">
        <f>AND('STERLING CATALOG - DRY '!F423,"AAAAAD3Zv3U=")</f>
        <v>#VALUE!</v>
      </c>
      <c r="DO26" t="e">
        <f>AND('STERLING CATALOG - DRY '!G423,"AAAAAD3Zv3Y=")</f>
        <v>#VALUE!</v>
      </c>
      <c r="DP26" t="e">
        <f>AND('STERLING CATALOG - DRY '!H423,"AAAAAD3Zv3c=")</f>
        <v>#VALUE!</v>
      </c>
      <c r="DQ26" t="e">
        <f>AND('STERLING CATALOG - DRY '!I423,"AAAAAD3Zv3g=")</f>
        <v>#VALUE!</v>
      </c>
      <c r="DR26" t="e">
        <f>AND('STERLING CATALOG - DRY '!J423,"AAAAAD3Zv3k=")</f>
        <v>#VALUE!</v>
      </c>
      <c r="DS26">
        <f>IF('STERLING CATALOG - DRY '!424:424,"AAAAAD3Zv3o=",0)</f>
        <v>0</v>
      </c>
      <c r="DT26" t="e">
        <f>AND('STERLING CATALOG - DRY '!A424,"AAAAAD3Zv3s=")</f>
        <v>#VALUE!</v>
      </c>
      <c r="DU26" t="e">
        <f>AND('STERLING CATALOG - DRY '!B424,"AAAAAD3Zv3w=")</f>
        <v>#VALUE!</v>
      </c>
      <c r="DV26" t="e">
        <f>AND('STERLING CATALOG - DRY '!C424,"AAAAAD3Zv30=")</f>
        <v>#VALUE!</v>
      </c>
      <c r="DW26" t="e">
        <f>AND('STERLING CATALOG - DRY '!D424,"AAAAAD3Zv34=")</f>
        <v>#VALUE!</v>
      </c>
      <c r="DX26" t="e">
        <f>AND('STERLING CATALOG - DRY '!E424,"AAAAAD3Zv38=")</f>
        <v>#VALUE!</v>
      </c>
      <c r="DY26" t="e">
        <f>AND('STERLING CATALOG - DRY '!F424,"AAAAAD3Zv4A=")</f>
        <v>#VALUE!</v>
      </c>
      <c r="DZ26" t="e">
        <f>AND('STERLING CATALOG - DRY '!G424,"AAAAAD3Zv4E=")</f>
        <v>#VALUE!</v>
      </c>
      <c r="EA26" t="e">
        <f>AND('STERLING CATALOG - DRY '!H424,"AAAAAD3Zv4I=")</f>
        <v>#VALUE!</v>
      </c>
      <c r="EB26" t="e">
        <f>AND('STERLING CATALOG - DRY '!I424,"AAAAAD3Zv4M=")</f>
        <v>#VALUE!</v>
      </c>
      <c r="EC26" t="e">
        <f>AND('STERLING CATALOG - DRY '!J424,"AAAAAD3Zv4Q=")</f>
        <v>#VALUE!</v>
      </c>
      <c r="ED26">
        <f>IF('STERLING CATALOG - DRY '!425:425,"AAAAAD3Zv4U=",0)</f>
        <v>0</v>
      </c>
      <c r="EE26" t="e">
        <f>AND('STERLING CATALOG - DRY '!A425,"AAAAAD3Zv4Y=")</f>
        <v>#VALUE!</v>
      </c>
      <c r="EF26" t="e">
        <f>AND('STERLING CATALOG - DRY '!B425,"AAAAAD3Zv4c=")</f>
        <v>#VALUE!</v>
      </c>
      <c r="EG26" t="e">
        <f>AND('STERLING CATALOG - DRY '!C425,"AAAAAD3Zv4g=")</f>
        <v>#VALUE!</v>
      </c>
      <c r="EH26" t="e">
        <f>AND('STERLING CATALOG - DRY '!D425,"AAAAAD3Zv4k=")</f>
        <v>#VALUE!</v>
      </c>
      <c r="EI26" t="e">
        <f>AND('STERLING CATALOG - DRY '!E425,"AAAAAD3Zv4o=")</f>
        <v>#VALUE!</v>
      </c>
      <c r="EJ26" t="e">
        <f>AND('STERLING CATALOG - DRY '!F425,"AAAAAD3Zv4s=")</f>
        <v>#VALUE!</v>
      </c>
      <c r="EK26" t="e">
        <f>AND('STERLING CATALOG - DRY '!G425,"AAAAAD3Zv4w=")</f>
        <v>#VALUE!</v>
      </c>
      <c r="EL26" t="e">
        <f>AND('STERLING CATALOG - DRY '!H425,"AAAAAD3Zv40=")</f>
        <v>#VALUE!</v>
      </c>
      <c r="EM26" t="e">
        <f>AND('STERLING CATALOG - DRY '!I425,"AAAAAD3Zv44=")</f>
        <v>#VALUE!</v>
      </c>
      <c r="EN26" t="e">
        <f>AND('STERLING CATALOG - DRY '!J425,"AAAAAD3Zv48=")</f>
        <v>#VALUE!</v>
      </c>
      <c r="EO26">
        <f>IF('STERLING CATALOG - DRY '!426:426,"AAAAAD3Zv5A=",0)</f>
        <v>0</v>
      </c>
      <c r="EP26" t="e">
        <f>AND('STERLING CATALOG - DRY '!A426,"AAAAAD3Zv5E=")</f>
        <v>#VALUE!</v>
      </c>
      <c r="EQ26" t="e">
        <f>AND('STERLING CATALOG - DRY '!B426,"AAAAAD3Zv5I=")</f>
        <v>#VALUE!</v>
      </c>
      <c r="ER26" t="e">
        <f>AND('STERLING CATALOG - DRY '!C426,"AAAAAD3Zv5M=")</f>
        <v>#VALUE!</v>
      </c>
      <c r="ES26" t="e">
        <f>AND('STERLING CATALOG - DRY '!D426,"AAAAAD3Zv5Q=")</f>
        <v>#VALUE!</v>
      </c>
      <c r="ET26" t="e">
        <f>AND('STERLING CATALOG - DRY '!E426,"AAAAAD3Zv5U=")</f>
        <v>#VALUE!</v>
      </c>
      <c r="EU26" t="e">
        <f>AND('STERLING CATALOG - DRY '!F426,"AAAAAD3Zv5Y=")</f>
        <v>#VALUE!</v>
      </c>
      <c r="EV26" t="e">
        <f>AND('STERLING CATALOG - DRY '!G426,"AAAAAD3Zv5c=")</f>
        <v>#VALUE!</v>
      </c>
      <c r="EW26" t="e">
        <f>AND('STERLING CATALOG - DRY '!H426,"AAAAAD3Zv5g=")</f>
        <v>#VALUE!</v>
      </c>
      <c r="EX26" t="e">
        <f>AND('STERLING CATALOG - DRY '!I426,"AAAAAD3Zv5k=")</f>
        <v>#VALUE!</v>
      </c>
      <c r="EY26" t="e">
        <f>AND('STERLING CATALOG - DRY '!J426,"AAAAAD3Zv5o=")</f>
        <v>#VALUE!</v>
      </c>
      <c r="EZ26">
        <f>IF('STERLING CATALOG - DRY '!427:427,"AAAAAD3Zv5s=",0)</f>
        <v>0</v>
      </c>
      <c r="FA26" t="e">
        <f>AND('STERLING CATALOG - DRY '!A427,"AAAAAD3Zv5w=")</f>
        <v>#VALUE!</v>
      </c>
      <c r="FB26" t="e">
        <f>AND('STERLING CATALOG - DRY '!B427,"AAAAAD3Zv50=")</f>
        <v>#VALUE!</v>
      </c>
      <c r="FC26" t="e">
        <f>AND('STERLING CATALOG - DRY '!C427,"AAAAAD3Zv54=")</f>
        <v>#VALUE!</v>
      </c>
      <c r="FD26" t="e">
        <f>AND('STERLING CATALOG - DRY '!D427,"AAAAAD3Zv58=")</f>
        <v>#VALUE!</v>
      </c>
      <c r="FE26" t="e">
        <f>AND('STERLING CATALOG - DRY '!E427,"AAAAAD3Zv6A=")</f>
        <v>#VALUE!</v>
      </c>
      <c r="FF26" t="e">
        <f>AND('STERLING CATALOG - DRY '!F427,"AAAAAD3Zv6E=")</f>
        <v>#VALUE!</v>
      </c>
      <c r="FG26" t="e">
        <f>AND('STERLING CATALOG - DRY '!G427,"AAAAAD3Zv6I=")</f>
        <v>#VALUE!</v>
      </c>
      <c r="FH26" t="e">
        <f>AND('STERLING CATALOG - DRY '!H427,"AAAAAD3Zv6M=")</f>
        <v>#VALUE!</v>
      </c>
      <c r="FI26" t="e">
        <f>AND('STERLING CATALOG - DRY '!I427,"AAAAAD3Zv6Q=")</f>
        <v>#VALUE!</v>
      </c>
      <c r="FJ26" t="e">
        <f>AND('STERLING CATALOG - DRY '!J427,"AAAAAD3Zv6U=")</f>
        <v>#VALUE!</v>
      </c>
      <c r="FK26">
        <f>IF('STERLING CATALOG - DRY '!428:428,"AAAAAD3Zv6Y=",0)</f>
        <v>0</v>
      </c>
      <c r="FL26" t="e">
        <f>AND('STERLING CATALOG - DRY '!A428,"AAAAAD3Zv6c=")</f>
        <v>#VALUE!</v>
      </c>
      <c r="FM26" t="e">
        <f>AND('STERLING CATALOG - DRY '!B428,"AAAAAD3Zv6g=")</f>
        <v>#VALUE!</v>
      </c>
      <c r="FN26" t="e">
        <f>AND('STERLING CATALOG - DRY '!C428,"AAAAAD3Zv6k=")</f>
        <v>#VALUE!</v>
      </c>
      <c r="FO26" t="e">
        <f>AND('STERLING CATALOG - DRY '!D428,"AAAAAD3Zv6o=")</f>
        <v>#VALUE!</v>
      </c>
      <c r="FP26" t="e">
        <f>AND('STERLING CATALOG - DRY '!E428,"AAAAAD3Zv6s=")</f>
        <v>#VALUE!</v>
      </c>
      <c r="FQ26" t="e">
        <f>AND('STERLING CATALOG - DRY '!F428,"AAAAAD3Zv6w=")</f>
        <v>#VALUE!</v>
      </c>
      <c r="FR26" t="e">
        <f>AND('STERLING CATALOG - DRY '!G428,"AAAAAD3Zv60=")</f>
        <v>#VALUE!</v>
      </c>
      <c r="FS26" t="e">
        <f>AND('STERLING CATALOG - DRY '!H428,"AAAAAD3Zv64=")</f>
        <v>#VALUE!</v>
      </c>
      <c r="FT26" t="e">
        <f>AND('STERLING CATALOG - DRY '!I428,"AAAAAD3Zv68=")</f>
        <v>#VALUE!</v>
      </c>
      <c r="FU26" t="e">
        <f>AND('STERLING CATALOG - DRY '!J428,"AAAAAD3Zv7A=")</f>
        <v>#VALUE!</v>
      </c>
      <c r="FV26">
        <f>IF('STERLING CATALOG - DRY '!429:429,"AAAAAD3Zv7E=",0)</f>
        <v>0</v>
      </c>
      <c r="FW26" t="e">
        <f>AND('STERLING CATALOG - DRY '!A429,"AAAAAD3Zv7I=")</f>
        <v>#VALUE!</v>
      </c>
      <c r="FX26" t="e">
        <f>AND('STERLING CATALOG - DRY '!B429,"AAAAAD3Zv7M=")</f>
        <v>#VALUE!</v>
      </c>
      <c r="FY26" t="e">
        <f>AND('STERLING CATALOG - DRY '!C429,"AAAAAD3Zv7Q=")</f>
        <v>#VALUE!</v>
      </c>
      <c r="FZ26" t="e">
        <f>AND('STERLING CATALOG - DRY '!D429,"AAAAAD3Zv7U=")</f>
        <v>#VALUE!</v>
      </c>
      <c r="GA26" t="e">
        <f>AND('STERLING CATALOG - DRY '!E429,"AAAAAD3Zv7Y=")</f>
        <v>#VALUE!</v>
      </c>
      <c r="GB26" t="e">
        <f>AND('STERLING CATALOG - DRY '!F429,"AAAAAD3Zv7c=")</f>
        <v>#VALUE!</v>
      </c>
      <c r="GC26" t="e">
        <f>AND('STERLING CATALOG - DRY '!G429,"AAAAAD3Zv7g=")</f>
        <v>#VALUE!</v>
      </c>
      <c r="GD26" t="e">
        <f>AND('STERLING CATALOG - DRY '!H429,"AAAAAD3Zv7k=")</f>
        <v>#VALUE!</v>
      </c>
      <c r="GE26" t="e">
        <f>AND('STERLING CATALOG - DRY '!I429,"AAAAAD3Zv7o=")</f>
        <v>#VALUE!</v>
      </c>
      <c r="GF26" t="e">
        <f>AND('STERLING CATALOG - DRY '!J429,"AAAAAD3Zv7s=")</f>
        <v>#VALUE!</v>
      </c>
      <c r="GG26">
        <f>IF('STERLING CATALOG - DRY '!430:430,"AAAAAD3Zv7w=",0)</f>
        <v>0</v>
      </c>
      <c r="GH26" t="e">
        <f>AND('STERLING CATALOG - DRY '!A430,"AAAAAD3Zv70=")</f>
        <v>#VALUE!</v>
      </c>
      <c r="GI26" t="e">
        <f>AND('STERLING CATALOG - DRY '!B430,"AAAAAD3Zv74=")</f>
        <v>#VALUE!</v>
      </c>
      <c r="GJ26" t="e">
        <f>AND('STERLING CATALOG - DRY '!C430,"AAAAAD3Zv78=")</f>
        <v>#VALUE!</v>
      </c>
      <c r="GK26" t="e">
        <f>AND('STERLING CATALOG - DRY '!D430,"AAAAAD3Zv8A=")</f>
        <v>#VALUE!</v>
      </c>
      <c r="GL26" t="e">
        <f>AND('STERLING CATALOG - DRY '!E430,"AAAAAD3Zv8E=")</f>
        <v>#VALUE!</v>
      </c>
      <c r="GM26" t="e">
        <f>AND('STERLING CATALOG - DRY '!F430,"AAAAAD3Zv8I=")</f>
        <v>#VALUE!</v>
      </c>
      <c r="GN26" t="e">
        <f>AND('STERLING CATALOG - DRY '!G430,"AAAAAD3Zv8M=")</f>
        <v>#VALUE!</v>
      </c>
      <c r="GO26" t="e">
        <f>AND('STERLING CATALOG - DRY '!H430,"AAAAAD3Zv8Q=")</f>
        <v>#VALUE!</v>
      </c>
      <c r="GP26" t="e">
        <f>AND('STERLING CATALOG - DRY '!I430,"AAAAAD3Zv8U=")</f>
        <v>#VALUE!</v>
      </c>
      <c r="GQ26" t="e">
        <f>AND('STERLING CATALOG - DRY '!J430,"AAAAAD3Zv8Y=")</f>
        <v>#VALUE!</v>
      </c>
      <c r="GR26">
        <f>IF('STERLING CATALOG - DRY '!431:431,"AAAAAD3Zv8c=",0)</f>
        <v>0</v>
      </c>
      <c r="GS26" t="e">
        <f>AND('STERLING CATALOG - DRY '!A431,"AAAAAD3Zv8g=")</f>
        <v>#VALUE!</v>
      </c>
      <c r="GT26" t="e">
        <f>AND('STERLING CATALOG - DRY '!B431,"AAAAAD3Zv8k=")</f>
        <v>#VALUE!</v>
      </c>
      <c r="GU26" t="e">
        <f>AND('STERLING CATALOG - DRY '!C431,"AAAAAD3Zv8o=")</f>
        <v>#VALUE!</v>
      </c>
      <c r="GV26" t="e">
        <f>AND('STERLING CATALOG - DRY '!D431,"AAAAAD3Zv8s=")</f>
        <v>#VALUE!</v>
      </c>
      <c r="GW26" t="e">
        <f>AND('STERLING CATALOG - DRY '!E431,"AAAAAD3Zv8w=")</f>
        <v>#VALUE!</v>
      </c>
      <c r="GX26" t="e">
        <f>AND('STERLING CATALOG - DRY '!F431,"AAAAAD3Zv80=")</f>
        <v>#VALUE!</v>
      </c>
      <c r="GY26" t="e">
        <f>AND('STERLING CATALOG - DRY '!G431,"AAAAAD3Zv84=")</f>
        <v>#VALUE!</v>
      </c>
      <c r="GZ26" t="e">
        <f>AND('STERLING CATALOG - DRY '!H431,"AAAAAD3Zv88=")</f>
        <v>#VALUE!</v>
      </c>
      <c r="HA26" t="e">
        <f>AND('STERLING CATALOG - DRY '!I431,"AAAAAD3Zv9A=")</f>
        <v>#VALUE!</v>
      </c>
      <c r="HB26" t="e">
        <f>AND('STERLING CATALOG - DRY '!J431,"AAAAAD3Zv9E=")</f>
        <v>#VALUE!</v>
      </c>
      <c r="HC26">
        <f>IF('STERLING CATALOG - DRY '!432:432,"AAAAAD3Zv9I=",0)</f>
        <v>0</v>
      </c>
      <c r="HD26" t="e">
        <f>AND('STERLING CATALOG - DRY '!A432,"AAAAAD3Zv9M=")</f>
        <v>#VALUE!</v>
      </c>
      <c r="HE26" t="e">
        <f>AND('STERLING CATALOG - DRY '!B432,"AAAAAD3Zv9Q=")</f>
        <v>#VALUE!</v>
      </c>
      <c r="HF26" t="e">
        <f>AND('STERLING CATALOG - DRY '!C432,"AAAAAD3Zv9U=")</f>
        <v>#VALUE!</v>
      </c>
      <c r="HG26" t="e">
        <f>AND('STERLING CATALOG - DRY '!D432,"AAAAAD3Zv9Y=")</f>
        <v>#VALUE!</v>
      </c>
      <c r="HH26" t="e">
        <f>AND('STERLING CATALOG - DRY '!E432,"AAAAAD3Zv9c=")</f>
        <v>#VALUE!</v>
      </c>
      <c r="HI26" t="e">
        <f>AND('STERLING CATALOG - DRY '!F432,"AAAAAD3Zv9g=")</f>
        <v>#VALUE!</v>
      </c>
      <c r="HJ26" t="e">
        <f>AND('STERLING CATALOG - DRY '!G432,"AAAAAD3Zv9k=")</f>
        <v>#VALUE!</v>
      </c>
      <c r="HK26" t="e">
        <f>AND('STERLING CATALOG - DRY '!H432,"AAAAAD3Zv9o=")</f>
        <v>#VALUE!</v>
      </c>
      <c r="HL26" t="e">
        <f>AND('STERLING CATALOG - DRY '!I432,"AAAAAD3Zv9s=")</f>
        <v>#VALUE!</v>
      </c>
      <c r="HM26" t="e">
        <f>AND('STERLING CATALOG - DRY '!J432,"AAAAAD3Zv9w=")</f>
        <v>#VALUE!</v>
      </c>
      <c r="HN26">
        <f>IF('STERLING CATALOG - DRY '!433:433,"AAAAAD3Zv90=",0)</f>
        <v>0</v>
      </c>
      <c r="HO26" t="e">
        <f>AND('STERLING CATALOG - DRY '!A433,"AAAAAD3Zv94=")</f>
        <v>#VALUE!</v>
      </c>
      <c r="HP26" t="e">
        <f>AND('STERLING CATALOG - DRY '!B433,"AAAAAD3Zv98=")</f>
        <v>#VALUE!</v>
      </c>
      <c r="HQ26" t="e">
        <f>AND('STERLING CATALOG - DRY '!C433,"AAAAAD3Zv+A=")</f>
        <v>#VALUE!</v>
      </c>
      <c r="HR26" t="e">
        <f>AND('STERLING CATALOG - DRY '!D433,"AAAAAD3Zv+E=")</f>
        <v>#VALUE!</v>
      </c>
      <c r="HS26" t="e">
        <f>AND('STERLING CATALOG - DRY '!E433,"AAAAAD3Zv+I=")</f>
        <v>#VALUE!</v>
      </c>
      <c r="HT26" t="e">
        <f>AND('STERLING CATALOG - DRY '!F433,"AAAAAD3Zv+M=")</f>
        <v>#VALUE!</v>
      </c>
      <c r="HU26" t="e">
        <f>AND('STERLING CATALOG - DRY '!G433,"AAAAAD3Zv+Q=")</f>
        <v>#VALUE!</v>
      </c>
      <c r="HV26" t="e">
        <f>AND('STERLING CATALOG - DRY '!H433,"AAAAAD3Zv+U=")</f>
        <v>#VALUE!</v>
      </c>
      <c r="HW26" t="e">
        <f>AND('STERLING CATALOG - DRY '!I433,"AAAAAD3Zv+Y=")</f>
        <v>#VALUE!</v>
      </c>
      <c r="HX26" t="e">
        <f>AND('STERLING CATALOG - DRY '!J433,"AAAAAD3Zv+c=")</f>
        <v>#VALUE!</v>
      </c>
      <c r="HY26">
        <f>IF('STERLING CATALOG - DRY '!434:434,"AAAAAD3Zv+g=",0)</f>
        <v>0</v>
      </c>
      <c r="HZ26" t="e">
        <f>AND('STERLING CATALOG - DRY '!A434,"AAAAAD3Zv+k=")</f>
        <v>#VALUE!</v>
      </c>
      <c r="IA26" t="e">
        <f>AND('STERLING CATALOG - DRY '!B434,"AAAAAD3Zv+o=")</f>
        <v>#VALUE!</v>
      </c>
      <c r="IB26" t="e">
        <f>AND('STERLING CATALOG - DRY '!C434,"AAAAAD3Zv+s=")</f>
        <v>#VALUE!</v>
      </c>
      <c r="IC26" t="e">
        <f>AND('STERLING CATALOG - DRY '!D434,"AAAAAD3Zv+w=")</f>
        <v>#VALUE!</v>
      </c>
      <c r="ID26" t="e">
        <f>AND('STERLING CATALOG - DRY '!E434,"AAAAAD3Zv+0=")</f>
        <v>#VALUE!</v>
      </c>
      <c r="IE26" t="e">
        <f>AND('STERLING CATALOG - DRY '!F434,"AAAAAD3Zv+4=")</f>
        <v>#VALUE!</v>
      </c>
      <c r="IF26" t="e">
        <f>AND('STERLING CATALOG - DRY '!G434,"AAAAAD3Zv+8=")</f>
        <v>#VALUE!</v>
      </c>
      <c r="IG26" t="e">
        <f>AND('STERLING CATALOG - DRY '!H434,"AAAAAD3Zv/A=")</f>
        <v>#VALUE!</v>
      </c>
      <c r="IH26" t="e">
        <f>AND('STERLING CATALOG - DRY '!I434,"AAAAAD3Zv/E=")</f>
        <v>#VALUE!</v>
      </c>
      <c r="II26" t="e">
        <f>AND('STERLING CATALOG - DRY '!J434,"AAAAAD3Zv/I=")</f>
        <v>#VALUE!</v>
      </c>
      <c r="IJ26">
        <f>IF('STERLING CATALOG - DRY '!435:435,"AAAAAD3Zv/M=",0)</f>
        <v>0</v>
      </c>
      <c r="IK26" t="e">
        <f>AND('STERLING CATALOG - DRY '!A435,"AAAAAD3Zv/Q=")</f>
        <v>#VALUE!</v>
      </c>
      <c r="IL26" t="e">
        <f>AND('STERLING CATALOG - DRY '!B435,"AAAAAD3Zv/U=")</f>
        <v>#VALUE!</v>
      </c>
      <c r="IM26" t="e">
        <f>AND('STERLING CATALOG - DRY '!C435,"AAAAAD3Zv/Y=")</f>
        <v>#VALUE!</v>
      </c>
      <c r="IN26" t="e">
        <f>AND('STERLING CATALOG - DRY '!D435,"AAAAAD3Zv/c=")</f>
        <v>#VALUE!</v>
      </c>
      <c r="IO26" t="e">
        <f>AND('STERLING CATALOG - DRY '!E435,"AAAAAD3Zv/g=")</f>
        <v>#VALUE!</v>
      </c>
      <c r="IP26" t="e">
        <f>AND('STERLING CATALOG - DRY '!F435,"AAAAAD3Zv/k=")</f>
        <v>#VALUE!</v>
      </c>
      <c r="IQ26" t="e">
        <f>AND('STERLING CATALOG - DRY '!G435,"AAAAAD3Zv/o=")</f>
        <v>#VALUE!</v>
      </c>
      <c r="IR26" t="e">
        <f>AND('STERLING CATALOG - DRY '!H435,"AAAAAD3Zv/s=")</f>
        <v>#VALUE!</v>
      </c>
      <c r="IS26" t="e">
        <f>AND('STERLING CATALOG - DRY '!I435,"AAAAAD3Zv/w=")</f>
        <v>#VALUE!</v>
      </c>
      <c r="IT26" t="e">
        <f>AND('STERLING CATALOG - DRY '!J435,"AAAAAD3Zv/0=")</f>
        <v>#VALUE!</v>
      </c>
      <c r="IU26">
        <f>IF('STERLING CATALOG - DRY '!436:436,"AAAAAD3Zv/4=",0)</f>
        <v>0</v>
      </c>
      <c r="IV26" t="e">
        <f>AND('STERLING CATALOG - DRY '!A436,"AAAAAD3Zv/8=")</f>
        <v>#VALUE!</v>
      </c>
    </row>
    <row r="27" spans="1:256">
      <c r="A27" t="e">
        <f>AND('STERLING CATALOG - DRY '!B436,"AAAAAF0+zgA=")</f>
        <v>#VALUE!</v>
      </c>
      <c r="B27" t="e">
        <f>AND('STERLING CATALOG - DRY '!C436,"AAAAAF0+zgE=")</f>
        <v>#VALUE!</v>
      </c>
      <c r="C27" t="e">
        <f>AND('STERLING CATALOG - DRY '!D436,"AAAAAF0+zgI=")</f>
        <v>#VALUE!</v>
      </c>
      <c r="D27" t="e">
        <f>AND('STERLING CATALOG - DRY '!E436,"AAAAAF0+zgM=")</f>
        <v>#VALUE!</v>
      </c>
      <c r="E27" t="e">
        <f>AND('STERLING CATALOG - DRY '!F436,"AAAAAF0+zgQ=")</f>
        <v>#VALUE!</v>
      </c>
      <c r="F27" t="e">
        <f>AND('STERLING CATALOG - DRY '!G436,"AAAAAF0+zgU=")</f>
        <v>#VALUE!</v>
      </c>
      <c r="G27" t="e">
        <f>AND('STERLING CATALOG - DRY '!H436,"AAAAAF0+zgY=")</f>
        <v>#VALUE!</v>
      </c>
      <c r="H27" t="e">
        <f>AND('STERLING CATALOG - DRY '!I436,"AAAAAF0+zgc=")</f>
        <v>#VALUE!</v>
      </c>
      <c r="I27" t="e">
        <f>AND('STERLING CATALOG - DRY '!J436,"AAAAAF0+zgg=")</f>
        <v>#VALUE!</v>
      </c>
      <c r="J27" t="e">
        <f>IF('STERLING CATALOG - DRY '!437:437,"AAAAAF0+zgk=",0)</f>
        <v>#VALUE!</v>
      </c>
      <c r="K27" t="e">
        <f>AND('STERLING CATALOG - DRY '!A437,"AAAAAF0+zgo=")</f>
        <v>#VALUE!</v>
      </c>
      <c r="L27" t="e">
        <f>AND('STERLING CATALOG - DRY '!B437,"AAAAAF0+zgs=")</f>
        <v>#VALUE!</v>
      </c>
      <c r="M27" t="e">
        <f>AND('STERLING CATALOG - DRY '!C437,"AAAAAF0+zgw=")</f>
        <v>#VALUE!</v>
      </c>
      <c r="N27" t="e">
        <f>AND('STERLING CATALOG - DRY '!D437,"AAAAAF0+zg0=")</f>
        <v>#VALUE!</v>
      </c>
      <c r="O27" t="e">
        <f>AND('STERLING CATALOG - DRY '!E437,"AAAAAF0+zg4=")</f>
        <v>#VALUE!</v>
      </c>
      <c r="P27" t="e">
        <f>AND('STERLING CATALOG - DRY '!F437,"AAAAAF0+zg8=")</f>
        <v>#VALUE!</v>
      </c>
      <c r="Q27" t="e">
        <f>AND('STERLING CATALOG - DRY '!G437,"AAAAAF0+zhA=")</f>
        <v>#VALUE!</v>
      </c>
      <c r="R27" t="e">
        <f>AND('STERLING CATALOG - DRY '!H437,"AAAAAF0+zhE=")</f>
        <v>#VALUE!</v>
      </c>
      <c r="S27" t="e">
        <f>AND('STERLING CATALOG - DRY '!I437,"AAAAAF0+zhI=")</f>
        <v>#VALUE!</v>
      </c>
      <c r="T27" t="e">
        <f>AND('STERLING CATALOG - DRY '!J437,"AAAAAF0+zhM=")</f>
        <v>#VALUE!</v>
      </c>
      <c r="U27">
        <f>IF('STERLING CATALOG - DRY '!438:438,"AAAAAF0+zhQ=",0)</f>
        <v>0</v>
      </c>
      <c r="V27" t="e">
        <f>AND('STERLING CATALOG - DRY '!A438,"AAAAAF0+zhU=")</f>
        <v>#VALUE!</v>
      </c>
      <c r="W27" t="e">
        <f>AND('STERLING CATALOG - DRY '!B438,"AAAAAF0+zhY=")</f>
        <v>#VALUE!</v>
      </c>
      <c r="X27" t="e">
        <f>AND('STERLING CATALOG - DRY '!C438,"AAAAAF0+zhc=")</f>
        <v>#VALUE!</v>
      </c>
      <c r="Y27" t="e">
        <f>AND('STERLING CATALOG - DRY '!D438,"AAAAAF0+zhg=")</f>
        <v>#VALUE!</v>
      </c>
      <c r="Z27" t="e">
        <f>AND('STERLING CATALOG - DRY '!E438,"AAAAAF0+zhk=")</f>
        <v>#VALUE!</v>
      </c>
      <c r="AA27" t="e">
        <f>AND('STERLING CATALOG - DRY '!F438,"AAAAAF0+zho=")</f>
        <v>#VALUE!</v>
      </c>
      <c r="AB27" t="e">
        <f>AND('STERLING CATALOG - DRY '!G438,"AAAAAF0+zhs=")</f>
        <v>#VALUE!</v>
      </c>
      <c r="AC27" t="e">
        <f>AND('STERLING CATALOG - DRY '!H438,"AAAAAF0+zhw=")</f>
        <v>#VALUE!</v>
      </c>
      <c r="AD27" t="e">
        <f>AND('STERLING CATALOG - DRY '!I438,"AAAAAF0+zh0=")</f>
        <v>#VALUE!</v>
      </c>
      <c r="AE27" t="e">
        <f>AND('STERLING CATALOG - DRY '!J438,"AAAAAF0+zh4=")</f>
        <v>#VALUE!</v>
      </c>
      <c r="AF27">
        <f>IF('STERLING CATALOG - DRY '!439:439,"AAAAAF0+zh8=",0)</f>
        <v>0</v>
      </c>
      <c r="AG27" t="e">
        <f>AND('STERLING CATALOG - DRY '!A439,"AAAAAF0+ziA=")</f>
        <v>#VALUE!</v>
      </c>
      <c r="AH27" t="e">
        <f>AND('STERLING CATALOG - DRY '!B439,"AAAAAF0+ziE=")</f>
        <v>#VALUE!</v>
      </c>
      <c r="AI27" t="e">
        <f>AND('STERLING CATALOG - DRY '!C439,"AAAAAF0+ziI=")</f>
        <v>#VALUE!</v>
      </c>
      <c r="AJ27" t="e">
        <f>AND('STERLING CATALOG - DRY '!D439,"AAAAAF0+ziM=")</f>
        <v>#VALUE!</v>
      </c>
      <c r="AK27" t="e">
        <f>AND('STERLING CATALOG - DRY '!E439,"AAAAAF0+ziQ=")</f>
        <v>#VALUE!</v>
      </c>
      <c r="AL27" t="e">
        <f>AND('STERLING CATALOG - DRY '!F439,"AAAAAF0+ziU=")</f>
        <v>#VALUE!</v>
      </c>
      <c r="AM27" t="e">
        <f>AND('STERLING CATALOG - DRY '!G439,"AAAAAF0+ziY=")</f>
        <v>#VALUE!</v>
      </c>
      <c r="AN27" t="e">
        <f>AND('STERLING CATALOG - DRY '!H439,"AAAAAF0+zic=")</f>
        <v>#VALUE!</v>
      </c>
      <c r="AO27" t="e">
        <f>AND('STERLING CATALOG - DRY '!I439,"AAAAAF0+zig=")</f>
        <v>#VALUE!</v>
      </c>
      <c r="AP27" t="e">
        <f>AND('STERLING CATALOG - DRY '!J439,"AAAAAF0+zik=")</f>
        <v>#VALUE!</v>
      </c>
      <c r="AQ27">
        <f>IF('STERLING CATALOG - DRY '!440:440,"AAAAAF0+zio=",0)</f>
        <v>0</v>
      </c>
      <c r="AR27" t="e">
        <f>AND('STERLING CATALOG - DRY '!A440,"AAAAAF0+zis=")</f>
        <v>#VALUE!</v>
      </c>
      <c r="AS27" t="e">
        <f>AND('STERLING CATALOG - DRY '!B440,"AAAAAF0+ziw=")</f>
        <v>#VALUE!</v>
      </c>
      <c r="AT27" t="e">
        <f>AND('STERLING CATALOG - DRY '!C440,"AAAAAF0+zi0=")</f>
        <v>#VALUE!</v>
      </c>
      <c r="AU27" t="e">
        <f>AND('STERLING CATALOG - DRY '!D440,"AAAAAF0+zi4=")</f>
        <v>#VALUE!</v>
      </c>
      <c r="AV27" t="e">
        <f>AND('STERLING CATALOG - DRY '!E440,"AAAAAF0+zi8=")</f>
        <v>#VALUE!</v>
      </c>
      <c r="AW27" t="e">
        <f>AND('STERLING CATALOG - DRY '!F440,"AAAAAF0+zjA=")</f>
        <v>#VALUE!</v>
      </c>
      <c r="AX27" t="e">
        <f>AND('STERLING CATALOG - DRY '!G440,"AAAAAF0+zjE=")</f>
        <v>#VALUE!</v>
      </c>
      <c r="AY27" t="e">
        <f>AND('STERLING CATALOG - DRY '!H440,"AAAAAF0+zjI=")</f>
        <v>#VALUE!</v>
      </c>
      <c r="AZ27" t="e">
        <f>AND('STERLING CATALOG - DRY '!I440,"AAAAAF0+zjM=")</f>
        <v>#VALUE!</v>
      </c>
      <c r="BA27" t="e">
        <f>AND('STERLING CATALOG - DRY '!J440,"AAAAAF0+zjQ=")</f>
        <v>#VALUE!</v>
      </c>
      <c r="BB27">
        <f>IF('STERLING CATALOG - DRY '!441:441,"AAAAAF0+zjU=",0)</f>
        <v>0</v>
      </c>
      <c r="BC27" t="e">
        <f>AND('STERLING CATALOG - DRY '!A441,"AAAAAF0+zjY=")</f>
        <v>#VALUE!</v>
      </c>
      <c r="BD27" t="e">
        <f>AND('STERLING CATALOG - DRY '!B441,"AAAAAF0+zjc=")</f>
        <v>#VALUE!</v>
      </c>
      <c r="BE27" t="e">
        <f>AND('STERLING CATALOG - DRY '!C441,"AAAAAF0+zjg=")</f>
        <v>#VALUE!</v>
      </c>
      <c r="BF27" t="e">
        <f>AND('STERLING CATALOG - DRY '!D441,"AAAAAF0+zjk=")</f>
        <v>#VALUE!</v>
      </c>
      <c r="BG27" t="e">
        <f>AND('STERLING CATALOG - DRY '!E441,"AAAAAF0+zjo=")</f>
        <v>#VALUE!</v>
      </c>
      <c r="BH27" t="e">
        <f>AND('STERLING CATALOG - DRY '!F441,"AAAAAF0+zjs=")</f>
        <v>#VALUE!</v>
      </c>
      <c r="BI27" t="e">
        <f>AND('STERLING CATALOG - DRY '!G441,"AAAAAF0+zjw=")</f>
        <v>#VALUE!</v>
      </c>
      <c r="BJ27" t="e">
        <f>AND('STERLING CATALOG - DRY '!H441,"AAAAAF0+zj0=")</f>
        <v>#VALUE!</v>
      </c>
      <c r="BK27" t="e">
        <f>AND('STERLING CATALOG - DRY '!I441,"AAAAAF0+zj4=")</f>
        <v>#VALUE!</v>
      </c>
      <c r="BL27" t="e">
        <f>AND('STERLING CATALOG - DRY '!J441,"AAAAAF0+zj8=")</f>
        <v>#VALUE!</v>
      </c>
      <c r="BM27">
        <f>IF('STERLING CATALOG - DRY '!442:442,"AAAAAF0+zkA=",0)</f>
        <v>0</v>
      </c>
      <c r="BN27" t="e">
        <f>AND('STERLING CATALOG - DRY '!A442,"AAAAAF0+zkE=")</f>
        <v>#VALUE!</v>
      </c>
      <c r="BO27" t="e">
        <f>AND('STERLING CATALOG - DRY '!B442,"AAAAAF0+zkI=")</f>
        <v>#VALUE!</v>
      </c>
      <c r="BP27" t="e">
        <f>AND('STERLING CATALOG - DRY '!C442,"AAAAAF0+zkM=")</f>
        <v>#VALUE!</v>
      </c>
      <c r="BQ27" t="e">
        <f>AND('STERLING CATALOG - DRY '!D442,"AAAAAF0+zkQ=")</f>
        <v>#VALUE!</v>
      </c>
      <c r="BR27" t="e">
        <f>AND('STERLING CATALOG - DRY '!E442,"AAAAAF0+zkU=")</f>
        <v>#VALUE!</v>
      </c>
      <c r="BS27" t="e">
        <f>AND('STERLING CATALOG - DRY '!F442,"AAAAAF0+zkY=")</f>
        <v>#VALUE!</v>
      </c>
      <c r="BT27" t="e">
        <f>AND('STERLING CATALOG - DRY '!G442,"AAAAAF0+zkc=")</f>
        <v>#VALUE!</v>
      </c>
      <c r="BU27" t="e">
        <f>AND('STERLING CATALOG - DRY '!H442,"AAAAAF0+zkg=")</f>
        <v>#VALUE!</v>
      </c>
      <c r="BV27" t="e">
        <f>AND('STERLING CATALOG - DRY '!I442,"AAAAAF0+zkk=")</f>
        <v>#VALUE!</v>
      </c>
      <c r="BW27" t="e">
        <f>AND('STERLING CATALOG - DRY '!J442,"AAAAAF0+zko=")</f>
        <v>#VALUE!</v>
      </c>
      <c r="BX27">
        <f>IF('STERLING CATALOG - DRY '!443:443,"AAAAAF0+zks=",0)</f>
        <v>0</v>
      </c>
      <c r="BY27" t="e">
        <f>AND('STERLING CATALOG - DRY '!A443,"AAAAAF0+zkw=")</f>
        <v>#VALUE!</v>
      </c>
      <c r="BZ27" t="e">
        <f>AND('STERLING CATALOG - DRY '!B443,"AAAAAF0+zk0=")</f>
        <v>#VALUE!</v>
      </c>
      <c r="CA27" t="e">
        <f>AND('STERLING CATALOG - DRY '!C443,"AAAAAF0+zk4=")</f>
        <v>#VALUE!</v>
      </c>
      <c r="CB27" t="e">
        <f>AND('STERLING CATALOG - DRY '!D443,"AAAAAF0+zk8=")</f>
        <v>#VALUE!</v>
      </c>
      <c r="CC27" t="e">
        <f>AND('STERLING CATALOG - DRY '!E443,"AAAAAF0+zlA=")</f>
        <v>#VALUE!</v>
      </c>
      <c r="CD27" t="e">
        <f>AND('STERLING CATALOG - DRY '!F443,"AAAAAF0+zlE=")</f>
        <v>#VALUE!</v>
      </c>
      <c r="CE27" t="e">
        <f>AND('STERLING CATALOG - DRY '!G443,"AAAAAF0+zlI=")</f>
        <v>#VALUE!</v>
      </c>
      <c r="CF27" t="e">
        <f>AND('STERLING CATALOG - DRY '!H443,"AAAAAF0+zlM=")</f>
        <v>#VALUE!</v>
      </c>
      <c r="CG27" t="e">
        <f>AND('STERLING CATALOG - DRY '!I443,"AAAAAF0+zlQ=")</f>
        <v>#VALUE!</v>
      </c>
      <c r="CH27" t="e">
        <f>AND('STERLING CATALOG - DRY '!J443,"AAAAAF0+zlU=")</f>
        <v>#VALUE!</v>
      </c>
      <c r="CI27">
        <f>IF('STERLING CATALOG - DRY '!444:444,"AAAAAF0+zlY=",0)</f>
        <v>0</v>
      </c>
      <c r="CJ27" t="e">
        <f>AND('STERLING CATALOG - DRY '!A444,"AAAAAF0+zlc=")</f>
        <v>#VALUE!</v>
      </c>
      <c r="CK27" t="e">
        <f>AND('STERLING CATALOG - DRY '!B444,"AAAAAF0+zlg=")</f>
        <v>#VALUE!</v>
      </c>
      <c r="CL27" t="e">
        <f>AND('STERLING CATALOG - DRY '!C444,"AAAAAF0+zlk=")</f>
        <v>#VALUE!</v>
      </c>
      <c r="CM27" t="e">
        <f>AND('STERLING CATALOG - DRY '!D444,"AAAAAF0+zlo=")</f>
        <v>#VALUE!</v>
      </c>
      <c r="CN27" t="e">
        <f>AND('STERLING CATALOG - DRY '!E444,"AAAAAF0+zls=")</f>
        <v>#VALUE!</v>
      </c>
      <c r="CO27" t="e">
        <f>AND('STERLING CATALOG - DRY '!F444,"AAAAAF0+zlw=")</f>
        <v>#VALUE!</v>
      </c>
      <c r="CP27" t="e">
        <f>AND('STERLING CATALOG - DRY '!G444,"AAAAAF0+zl0=")</f>
        <v>#VALUE!</v>
      </c>
      <c r="CQ27" t="e">
        <f>AND('STERLING CATALOG - DRY '!H444,"AAAAAF0+zl4=")</f>
        <v>#VALUE!</v>
      </c>
      <c r="CR27" t="e">
        <f>AND('STERLING CATALOG - DRY '!I444,"AAAAAF0+zl8=")</f>
        <v>#VALUE!</v>
      </c>
      <c r="CS27" t="e">
        <f>AND('STERLING CATALOG - DRY '!J444,"AAAAAF0+zmA=")</f>
        <v>#VALUE!</v>
      </c>
      <c r="CT27">
        <f>IF('STERLING CATALOG - DRY '!445:445,"AAAAAF0+zmE=",0)</f>
        <v>0</v>
      </c>
      <c r="CU27" t="e">
        <f>AND('STERLING CATALOG - DRY '!A445,"AAAAAF0+zmI=")</f>
        <v>#VALUE!</v>
      </c>
      <c r="CV27" t="e">
        <f>AND('STERLING CATALOG - DRY '!B445,"AAAAAF0+zmM=")</f>
        <v>#VALUE!</v>
      </c>
      <c r="CW27" t="e">
        <f>AND('STERLING CATALOG - DRY '!C445,"AAAAAF0+zmQ=")</f>
        <v>#VALUE!</v>
      </c>
      <c r="CX27" t="e">
        <f>AND('STERLING CATALOG - DRY '!D445,"AAAAAF0+zmU=")</f>
        <v>#VALUE!</v>
      </c>
      <c r="CY27" t="e">
        <f>AND('STERLING CATALOG - DRY '!E445,"AAAAAF0+zmY=")</f>
        <v>#VALUE!</v>
      </c>
      <c r="CZ27" t="e">
        <f>AND('STERLING CATALOG - DRY '!F445,"AAAAAF0+zmc=")</f>
        <v>#VALUE!</v>
      </c>
      <c r="DA27" t="e">
        <f>AND('STERLING CATALOG - DRY '!G445,"AAAAAF0+zmg=")</f>
        <v>#VALUE!</v>
      </c>
      <c r="DB27" t="e">
        <f>AND('STERLING CATALOG - DRY '!H445,"AAAAAF0+zmk=")</f>
        <v>#VALUE!</v>
      </c>
      <c r="DC27" t="e">
        <f>AND('STERLING CATALOG - DRY '!I445,"AAAAAF0+zmo=")</f>
        <v>#VALUE!</v>
      </c>
      <c r="DD27" t="e">
        <f>AND('STERLING CATALOG - DRY '!J445,"AAAAAF0+zms=")</f>
        <v>#VALUE!</v>
      </c>
      <c r="DE27">
        <f>IF('STERLING CATALOG - DRY '!446:446,"AAAAAF0+zmw=",0)</f>
        <v>0</v>
      </c>
      <c r="DF27" t="e">
        <f>AND('STERLING CATALOG - DRY '!A446,"AAAAAF0+zm0=")</f>
        <v>#VALUE!</v>
      </c>
      <c r="DG27" t="e">
        <f>AND('STERLING CATALOG - DRY '!B446,"AAAAAF0+zm4=")</f>
        <v>#VALUE!</v>
      </c>
      <c r="DH27" t="e">
        <f>AND('STERLING CATALOG - DRY '!C446,"AAAAAF0+zm8=")</f>
        <v>#VALUE!</v>
      </c>
      <c r="DI27" t="e">
        <f>AND('STERLING CATALOG - DRY '!D446,"AAAAAF0+znA=")</f>
        <v>#VALUE!</v>
      </c>
      <c r="DJ27" t="e">
        <f>AND('STERLING CATALOG - DRY '!E446,"AAAAAF0+znE=")</f>
        <v>#VALUE!</v>
      </c>
      <c r="DK27" t="e">
        <f>AND('STERLING CATALOG - DRY '!F446,"AAAAAF0+znI=")</f>
        <v>#VALUE!</v>
      </c>
      <c r="DL27" t="e">
        <f>AND('STERLING CATALOG - DRY '!G446,"AAAAAF0+znM=")</f>
        <v>#VALUE!</v>
      </c>
      <c r="DM27" t="e">
        <f>AND('STERLING CATALOG - DRY '!H446,"AAAAAF0+znQ=")</f>
        <v>#VALUE!</v>
      </c>
      <c r="DN27" t="e">
        <f>AND('STERLING CATALOG - DRY '!I446,"AAAAAF0+znU=")</f>
        <v>#VALUE!</v>
      </c>
      <c r="DO27" t="e">
        <f>AND('STERLING CATALOG - DRY '!J446,"AAAAAF0+znY=")</f>
        <v>#VALUE!</v>
      </c>
      <c r="DP27">
        <f>IF('STERLING CATALOG - DRY '!447:447,"AAAAAF0+znc=",0)</f>
        <v>0</v>
      </c>
      <c r="DQ27" t="e">
        <f>AND('STERLING CATALOG - DRY '!A447,"AAAAAF0+zng=")</f>
        <v>#VALUE!</v>
      </c>
      <c r="DR27" t="e">
        <f>AND('STERLING CATALOG - DRY '!B447,"AAAAAF0+znk=")</f>
        <v>#VALUE!</v>
      </c>
      <c r="DS27" t="e">
        <f>AND('STERLING CATALOG - DRY '!C447,"AAAAAF0+zno=")</f>
        <v>#VALUE!</v>
      </c>
      <c r="DT27" t="e">
        <f>AND('STERLING CATALOG - DRY '!D447,"AAAAAF0+zns=")</f>
        <v>#VALUE!</v>
      </c>
      <c r="DU27" t="e">
        <f>AND('STERLING CATALOG - DRY '!E447,"AAAAAF0+znw=")</f>
        <v>#VALUE!</v>
      </c>
      <c r="DV27" t="e">
        <f>AND('STERLING CATALOG - DRY '!F447,"AAAAAF0+zn0=")</f>
        <v>#VALUE!</v>
      </c>
      <c r="DW27" t="e">
        <f>AND('STERLING CATALOG - DRY '!G447,"AAAAAF0+zn4=")</f>
        <v>#VALUE!</v>
      </c>
      <c r="DX27" t="e">
        <f>AND('STERLING CATALOG - DRY '!H447,"AAAAAF0+zn8=")</f>
        <v>#VALUE!</v>
      </c>
      <c r="DY27" t="e">
        <f>AND('STERLING CATALOG - DRY '!I447,"AAAAAF0+zoA=")</f>
        <v>#VALUE!</v>
      </c>
      <c r="DZ27" t="e">
        <f>AND('STERLING CATALOG - DRY '!J447,"AAAAAF0+zoE=")</f>
        <v>#VALUE!</v>
      </c>
      <c r="EA27">
        <f>IF('STERLING CATALOG - DRY '!448:448,"AAAAAF0+zoI=",0)</f>
        <v>0</v>
      </c>
      <c r="EB27" t="e">
        <f>AND('STERLING CATALOG - DRY '!A448,"AAAAAF0+zoM=")</f>
        <v>#VALUE!</v>
      </c>
      <c r="EC27" t="e">
        <f>AND('STERLING CATALOG - DRY '!B448,"AAAAAF0+zoQ=")</f>
        <v>#VALUE!</v>
      </c>
      <c r="ED27" t="e">
        <f>AND('STERLING CATALOG - DRY '!C448,"AAAAAF0+zoU=")</f>
        <v>#VALUE!</v>
      </c>
      <c r="EE27" t="e">
        <f>AND('STERLING CATALOG - DRY '!D448,"AAAAAF0+zoY=")</f>
        <v>#VALUE!</v>
      </c>
      <c r="EF27" t="e">
        <f>AND('STERLING CATALOG - DRY '!E448,"AAAAAF0+zoc=")</f>
        <v>#VALUE!</v>
      </c>
      <c r="EG27" t="e">
        <f>AND('STERLING CATALOG - DRY '!F448,"AAAAAF0+zog=")</f>
        <v>#VALUE!</v>
      </c>
      <c r="EH27" t="e">
        <f>AND('STERLING CATALOG - DRY '!G448,"AAAAAF0+zok=")</f>
        <v>#VALUE!</v>
      </c>
      <c r="EI27" t="e">
        <f>AND('STERLING CATALOG - DRY '!H448,"AAAAAF0+zoo=")</f>
        <v>#VALUE!</v>
      </c>
      <c r="EJ27" t="e">
        <f>AND('STERLING CATALOG - DRY '!I448,"AAAAAF0+zos=")</f>
        <v>#VALUE!</v>
      </c>
      <c r="EK27" t="e">
        <f>AND('STERLING CATALOG - DRY '!J448,"AAAAAF0+zow=")</f>
        <v>#VALUE!</v>
      </c>
      <c r="EL27">
        <f>IF('STERLING CATALOG - DRY '!449:449,"AAAAAF0+zo0=",0)</f>
        <v>0</v>
      </c>
      <c r="EM27" t="e">
        <f>AND('STERLING CATALOG - DRY '!A449,"AAAAAF0+zo4=")</f>
        <v>#VALUE!</v>
      </c>
      <c r="EN27" t="e">
        <f>AND('STERLING CATALOG - DRY '!B449,"AAAAAF0+zo8=")</f>
        <v>#VALUE!</v>
      </c>
      <c r="EO27" t="e">
        <f>AND('STERLING CATALOG - DRY '!C449,"AAAAAF0+zpA=")</f>
        <v>#VALUE!</v>
      </c>
      <c r="EP27" t="e">
        <f>AND('STERLING CATALOG - DRY '!D449,"AAAAAF0+zpE=")</f>
        <v>#VALUE!</v>
      </c>
      <c r="EQ27" t="e">
        <f>AND('STERLING CATALOG - DRY '!E449,"AAAAAF0+zpI=")</f>
        <v>#VALUE!</v>
      </c>
      <c r="ER27" t="e">
        <f>AND('STERLING CATALOG - DRY '!F449,"AAAAAF0+zpM=")</f>
        <v>#VALUE!</v>
      </c>
      <c r="ES27" t="e">
        <f>AND('STERLING CATALOG - DRY '!G449,"AAAAAF0+zpQ=")</f>
        <v>#VALUE!</v>
      </c>
      <c r="ET27" t="e">
        <f>AND('STERLING CATALOG - DRY '!H449,"AAAAAF0+zpU=")</f>
        <v>#VALUE!</v>
      </c>
      <c r="EU27" t="e">
        <f>AND('STERLING CATALOG - DRY '!I449,"AAAAAF0+zpY=")</f>
        <v>#VALUE!</v>
      </c>
      <c r="EV27" t="e">
        <f>AND('STERLING CATALOG - DRY '!J449,"AAAAAF0+zpc=")</f>
        <v>#VALUE!</v>
      </c>
      <c r="EW27">
        <f>IF('STERLING CATALOG - DRY '!450:450,"AAAAAF0+zpg=",0)</f>
        <v>0</v>
      </c>
      <c r="EX27" t="e">
        <f>AND('STERLING CATALOG - DRY '!A450,"AAAAAF0+zpk=")</f>
        <v>#VALUE!</v>
      </c>
      <c r="EY27" t="e">
        <f>AND('STERLING CATALOG - DRY '!B450,"AAAAAF0+zpo=")</f>
        <v>#VALUE!</v>
      </c>
      <c r="EZ27" t="e">
        <f>AND('STERLING CATALOG - DRY '!C450,"AAAAAF0+zps=")</f>
        <v>#VALUE!</v>
      </c>
      <c r="FA27" t="e">
        <f>AND('STERLING CATALOG - DRY '!D450,"AAAAAF0+zpw=")</f>
        <v>#VALUE!</v>
      </c>
      <c r="FB27" t="e">
        <f>AND('STERLING CATALOG - DRY '!E450,"AAAAAF0+zp0=")</f>
        <v>#VALUE!</v>
      </c>
      <c r="FC27" t="e">
        <f>AND('STERLING CATALOG - DRY '!F450,"AAAAAF0+zp4=")</f>
        <v>#VALUE!</v>
      </c>
      <c r="FD27" t="e">
        <f>AND('STERLING CATALOG - DRY '!G450,"AAAAAF0+zp8=")</f>
        <v>#VALUE!</v>
      </c>
      <c r="FE27" t="e">
        <f>AND('STERLING CATALOG - DRY '!H450,"AAAAAF0+zqA=")</f>
        <v>#VALUE!</v>
      </c>
      <c r="FF27" t="e">
        <f>AND('STERLING CATALOG - DRY '!I450,"AAAAAF0+zqE=")</f>
        <v>#VALUE!</v>
      </c>
      <c r="FG27" t="e">
        <f>AND('STERLING CATALOG - DRY '!J450,"AAAAAF0+zqI=")</f>
        <v>#VALUE!</v>
      </c>
      <c r="FH27">
        <f>IF('STERLING CATALOG - DRY '!451:451,"AAAAAF0+zqM=",0)</f>
        <v>0</v>
      </c>
      <c r="FI27" t="e">
        <f>AND('STERLING CATALOG - DRY '!A451,"AAAAAF0+zqQ=")</f>
        <v>#VALUE!</v>
      </c>
      <c r="FJ27" t="e">
        <f>AND('STERLING CATALOG - DRY '!B451,"AAAAAF0+zqU=")</f>
        <v>#VALUE!</v>
      </c>
      <c r="FK27" t="e">
        <f>AND('STERLING CATALOG - DRY '!C451,"AAAAAF0+zqY=")</f>
        <v>#VALUE!</v>
      </c>
      <c r="FL27" t="e">
        <f>AND('STERLING CATALOG - DRY '!D451,"AAAAAF0+zqc=")</f>
        <v>#VALUE!</v>
      </c>
      <c r="FM27" t="e">
        <f>AND('STERLING CATALOG - DRY '!E451,"AAAAAF0+zqg=")</f>
        <v>#VALUE!</v>
      </c>
      <c r="FN27" t="e">
        <f>AND('STERLING CATALOG - DRY '!F451,"AAAAAF0+zqk=")</f>
        <v>#VALUE!</v>
      </c>
      <c r="FO27" t="e">
        <f>AND('STERLING CATALOG - DRY '!G451,"AAAAAF0+zqo=")</f>
        <v>#VALUE!</v>
      </c>
      <c r="FP27" t="e">
        <f>AND('STERLING CATALOG - DRY '!H451,"AAAAAF0+zqs=")</f>
        <v>#VALUE!</v>
      </c>
      <c r="FQ27" t="e">
        <f>AND('STERLING CATALOG - DRY '!I451,"AAAAAF0+zqw=")</f>
        <v>#VALUE!</v>
      </c>
      <c r="FR27" t="e">
        <f>AND('STERLING CATALOG - DRY '!J451,"AAAAAF0+zq0=")</f>
        <v>#VALUE!</v>
      </c>
      <c r="FS27">
        <f>IF('STERLING CATALOG - DRY '!452:452,"AAAAAF0+zq4=",0)</f>
        <v>0</v>
      </c>
      <c r="FT27" t="e">
        <f>AND('STERLING CATALOG - DRY '!A452,"AAAAAF0+zq8=")</f>
        <v>#VALUE!</v>
      </c>
      <c r="FU27" t="e">
        <f>AND('STERLING CATALOG - DRY '!B452,"AAAAAF0+zrA=")</f>
        <v>#VALUE!</v>
      </c>
      <c r="FV27" t="e">
        <f>AND('STERLING CATALOG - DRY '!C452,"AAAAAF0+zrE=")</f>
        <v>#VALUE!</v>
      </c>
      <c r="FW27" t="e">
        <f>AND('STERLING CATALOG - DRY '!D452,"AAAAAF0+zrI=")</f>
        <v>#VALUE!</v>
      </c>
      <c r="FX27" t="e">
        <f>AND('STERLING CATALOG - DRY '!E452,"AAAAAF0+zrM=")</f>
        <v>#VALUE!</v>
      </c>
      <c r="FY27" t="e">
        <f>AND('STERLING CATALOG - DRY '!F452,"AAAAAF0+zrQ=")</f>
        <v>#VALUE!</v>
      </c>
      <c r="FZ27" t="e">
        <f>AND('STERLING CATALOG - DRY '!G452,"AAAAAF0+zrU=")</f>
        <v>#VALUE!</v>
      </c>
      <c r="GA27" t="e">
        <f>AND('STERLING CATALOG - DRY '!H452,"AAAAAF0+zrY=")</f>
        <v>#VALUE!</v>
      </c>
      <c r="GB27" t="e">
        <f>AND('STERLING CATALOG - DRY '!I452,"AAAAAF0+zrc=")</f>
        <v>#VALUE!</v>
      </c>
      <c r="GC27" t="e">
        <f>AND('STERLING CATALOG - DRY '!J452,"AAAAAF0+zrg=")</f>
        <v>#VALUE!</v>
      </c>
      <c r="GD27">
        <f>IF('STERLING CATALOG - DRY '!453:453,"AAAAAF0+zrk=",0)</f>
        <v>0</v>
      </c>
      <c r="GE27" t="e">
        <f>AND('STERLING CATALOG - DRY '!A453,"AAAAAF0+zro=")</f>
        <v>#VALUE!</v>
      </c>
      <c r="GF27" t="e">
        <f>AND('STERLING CATALOG - DRY '!B453,"AAAAAF0+zrs=")</f>
        <v>#VALUE!</v>
      </c>
      <c r="GG27" t="e">
        <f>AND('STERLING CATALOG - DRY '!C453,"AAAAAF0+zrw=")</f>
        <v>#VALUE!</v>
      </c>
      <c r="GH27" t="e">
        <f>AND('STERLING CATALOG - DRY '!D453,"AAAAAF0+zr0=")</f>
        <v>#VALUE!</v>
      </c>
      <c r="GI27" t="e">
        <f>AND('STERLING CATALOG - DRY '!E453,"AAAAAF0+zr4=")</f>
        <v>#VALUE!</v>
      </c>
      <c r="GJ27" t="e">
        <f>AND('STERLING CATALOG - DRY '!F453,"AAAAAF0+zr8=")</f>
        <v>#VALUE!</v>
      </c>
      <c r="GK27" t="e">
        <f>AND('STERLING CATALOG - DRY '!G453,"AAAAAF0+zsA=")</f>
        <v>#VALUE!</v>
      </c>
      <c r="GL27" t="e">
        <f>AND('STERLING CATALOG - DRY '!H453,"AAAAAF0+zsE=")</f>
        <v>#VALUE!</v>
      </c>
      <c r="GM27" t="e">
        <f>AND('STERLING CATALOG - DRY '!I453,"AAAAAF0+zsI=")</f>
        <v>#VALUE!</v>
      </c>
      <c r="GN27" t="e">
        <f>AND('STERLING CATALOG - DRY '!J453,"AAAAAF0+zsM=")</f>
        <v>#VALUE!</v>
      </c>
      <c r="GO27">
        <f>IF('STERLING CATALOG - DRY '!454:454,"AAAAAF0+zsQ=",0)</f>
        <v>0</v>
      </c>
      <c r="GP27" t="e">
        <f>AND('STERLING CATALOG - DRY '!A454,"AAAAAF0+zsU=")</f>
        <v>#VALUE!</v>
      </c>
      <c r="GQ27" t="e">
        <f>AND('STERLING CATALOG - DRY '!B454,"AAAAAF0+zsY=")</f>
        <v>#VALUE!</v>
      </c>
      <c r="GR27" t="e">
        <f>AND('STERLING CATALOG - DRY '!C454,"AAAAAF0+zsc=")</f>
        <v>#VALUE!</v>
      </c>
      <c r="GS27" t="e">
        <f>AND('STERLING CATALOG - DRY '!D454,"AAAAAF0+zsg=")</f>
        <v>#VALUE!</v>
      </c>
      <c r="GT27" t="e">
        <f>AND('STERLING CATALOG - DRY '!E454,"AAAAAF0+zsk=")</f>
        <v>#VALUE!</v>
      </c>
      <c r="GU27" t="e">
        <f>AND('STERLING CATALOG - DRY '!F454,"AAAAAF0+zso=")</f>
        <v>#VALUE!</v>
      </c>
      <c r="GV27" t="e">
        <f>AND('STERLING CATALOG - DRY '!G454,"AAAAAF0+zss=")</f>
        <v>#VALUE!</v>
      </c>
      <c r="GW27" t="e">
        <f>AND('STERLING CATALOG - DRY '!H454,"AAAAAF0+zsw=")</f>
        <v>#VALUE!</v>
      </c>
      <c r="GX27" t="e">
        <f>AND('STERLING CATALOG - DRY '!I454,"AAAAAF0+zs0=")</f>
        <v>#VALUE!</v>
      </c>
      <c r="GY27" t="e">
        <f>AND('STERLING CATALOG - DRY '!J454,"AAAAAF0+zs4=")</f>
        <v>#VALUE!</v>
      </c>
      <c r="GZ27">
        <f>IF('STERLING CATALOG - DRY '!455:455,"AAAAAF0+zs8=",0)</f>
        <v>0</v>
      </c>
      <c r="HA27" t="e">
        <f>AND('STERLING CATALOG - DRY '!A455,"AAAAAF0+ztA=")</f>
        <v>#VALUE!</v>
      </c>
      <c r="HB27" t="e">
        <f>AND('STERLING CATALOG - DRY '!B455,"AAAAAF0+ztE=")</f>
        <v>#VALUE!</v>
      </c>
      <c r="HC27" t="e">
        <f>AND('STERLING CATALOG - DRY '!C455,"AAAAAF0+ztI=")</f>
        <v>#VALUE!</v>
      </c>
      <c r="HD27" t="e">
        <f>AND('STERLING CATALOG - DRY '!D455,"AAAAAF0+ztM=")</f>
        <v>#VALUE!</v>
      </c>
      <c r="HE27" t="e">
        <f>AND('STERLING CATALOG - DRY '!E455,"AAAAAF0+ztQ=")</f>
        <v>#VALUE!</v>
      </c>
      <c r="HF27" t="e">
        <f>AND('STERLING CATALOG - DRY '!F455,"AAAAAF0+ztU=")</f>
        <v>#VALUE!</v>
      </c>
      <c r="HG27" t="e">
        <f>AND('STERLING CATALOG - DRY '!G455,"AAAAAF0+ztY=")</f>
        <v>#VALUE!</v>
      </c>
      <c r="HH27" t="e">
        <f>AND('STERLING CATALOG - DRY '!H455,"AAAAAF0+ztc=")</f>
        <v>#VALUE!</v>
      </c>
      <c r="HI27" t="e">
        <f>AND('STERLING CATALOG - DRY '!I455,"AAAAAF0+ztg=")</f>
        <v>#VALUE!</v>
      </c>
      <c r="HJ27" t="e">
        <f>AND('STERLING CATALOG - DRY '!J455,"AAAAAF0+ztk=")</f>
        <v>#VALUE!</v>
      </c>
      <c r="HK27">
        <f>IF('STERLING CATALOG - DRY '!456:456,"AAAAAF0+zto=",0)</f>
        <v>0</v>
      </c>
      <c r="HL27" t="e">
        <f>AND('STERLING CATALOG - DRY '!A456,"AAAAAF0+zts=")</f>
        <v>#VALUE!</v>
      </c>
      <c r="HM27" t="e">
        <f>AND('STERLING CATALOG - DRY '!B456,"AAAAAF0+ztw=")</f>
        <v>#VALUE!</v>
      </c>
      <c r="HN27" t="e">
        <f>AND('STERLING CATALOG - DRY '!C456,"AAAAAF0+zt0=")</f>
        <v>#VALUE!</v>
      </c>
      <c r="HO27" t="e">
        <f>AND('STERLING CATALOG - DRY '!D456,"AAAAAF0+zt4=")</f>
        <v>#VALUE!</v>
      </c>
      <c r="HP27" t="e">
        <f>AND('STERLING CATALOG - DRY '!E456,"AAAAAF0+zt8=")</f>
        <v>#VALUE!</v>
      </c>
      <c r="HQ27" t="e">
        <f>AND('STERLING CATALOG - DRY '!F456,"AAAAAF0+zuA=")</f>
        <v>#VALUE!</v>
      </c>
      <c r="HR27" t="e">
        <f>AND('STERLING CATALOG - DRY '!G456,"AAAAAF0+zuE=")</f>
        <v>#VALUE!</v>
      </c>
      <c r="HS27" t="e">
        <f>AND('STERLING CATALOG - DRY '!H456,"AAAAAF0+zuI=")</f>
        <v>#VALUE!</v>
      </c>
      <c r="HT27" t="e">
        <f>AND('STERLING CATALOG - DRY '!I456,"AAAAAF0+zuM=")</f>
        <v>#VALUE!</v>
      </c>
      <c r="HU27" t="e">
        <f>AND('STERLING CATALOG - DRY '!J456,"AAAAAF0+zuQ=")</f>
        <v>#VALUE!</v>
      </c>
      <c r="HV27">
        <f>IF('STERLING CATALOG - DRY '!457:457,"AAAAAF0+zuU=",0)</f>
        <v>0</v>
      </c>
      <c r="HW27" t="e">
        <f>AND('STERLING CATALOG - DRY '!A457,"AAAAAF0+zuY=")</f>
        <v>#VALUE!</v>
      </c>
      <c r="HX27" t="e">
        <f>AND('STERLING CATALOG - DRY '!B457,"AAAAAF0+zuc=")</f>
        <v>#VALUE!</v>
      </c>
      <c r="HY27" t="e">
        <f>AND('STERLING CATALOG - DRY '!C457,"AAAAAF0+zug=")</f>
        <v>#VALUE!</v>
      </c>
      <c r="HZ27" t="e">
        <f>AND('STERLING CATALOG - DRY '!D457,"AAAAAF0+zuk=")</f>
        <v>#VALUE!</v>
      </c>
      <c r="IA27" t="e">
        <f>AND('STERLING CATALOG - DRY '!E457,"AAAAAF0+zuo=")</f>
        <v>#VALUE!</v>
      </c>
      <c r="IB27" t="e">
        <f>AND('STERLING CATALOG - DRY '!F457,"AAAAAF0+zus=")</f>
        <v>#VALUE!</v>
      </c>
      <c r="IC27" t="e">
        <f>AND('STERLING CATALOG - DRY '!G457,"AAAAAF0+zuw=")</f>
        <v>#VALUE!</v>
      </c>
      <c r="ID27" t="e">
        <f>AND('STERLING CATALOG - DRY '!H457,"AAAAAF0+zu0=")</f>
        <v>#VALUE!</v>
      </c>
      <c r="IE27" t="e">
        <f>AND('STERLING CATALOG - DRY '!I457,"AAAAAF0+zu4=")</f>
        <v>#VALUE!</v>
      </c>
      <c r="IF27" t="e">
        <f>AND('STERLING CATALOG - DRY '!J457,"AAAAAF0+zu8=")</f>
        <v>#VALUE!</v>
      </c>
      <c r="IG27">
        <f>IF('STERLING CATALOG - DRY '!458:458,"AAAAAF0+zvA=",0)</f>
        <v>0</v>
      </c>
      <c r="IH27" t="e">
        <f>AND('STERLING CATALOG - DRY '!A458,"AAAAAF0+zvE=")</f>
        <v>#VALUE!</v>
      </c>
      <c r="II27" t="e">
        <f>AND('STERLING CATALOG - DRY '!B458,"AAAAAF0+zvI=")</f>
        <v>#VALUE!</v>
      </c>
      <c r="IJ27" t="e">
        <f>AND('STERLING CATALOG - DRY '!C458,"AAAAAF0+zvM=")</f>
        <v>#VALUE!</v>
      </c>
      <c r="IK27" t="e">
        <f>AND('STERLING CATALOG - DRY '!D458,"AAAAAF0+zvQ=")</f>
        <v>#VALUE!</v>
      </c>
      <c r="IL27" t="e">
        <f>AND('STERLING CATALOG - DRY '!E458,"AAAAAF0+zvU=")</f>
        <v>#VALUE!</v>
      </c>
      <c r="IM27" t="e">
        <f>AND('STERLING CATALOG - DRY '!F458,"AAAAAF0+zvY=")</f>
        <v>#VALUE!</v>
      </c>
      <c r="IN27" t="e">
        <f>AND('STERLING CATALOG - DRY '!G458,"AAAAAF0+zvc=")</f>
        <v>#VALUE!</v>
      </c>
      <c r="IO27" t="e">
        <f>AND('STERLING CATALOG - DRY '!H458,"AAAAAF0+zvg=")</f>
        <v>#VALUE!</v>
      </c>
      <c r="IP27" t="e">
        <f>AND('STERLING CATALOG - DRY '!I458,"AAAAAF0+zvk=")</f>
        <v>#VALUE!</v>
      </c>
      <c r="IQ27" t="e">
        <f>AND('STERLING CATALOG - DRY '!J458,"AAAAAF0+zvo=")</f>
        <v>#VALUE!</v>
      </c>
      <c r="IR27">
        <f>IF('STERLING CATALOG - DRY '!459:459,"AAAAAF0+zvs=",0)</f>
        <v>0</v>
      </c>
      <c r="IS27" t="e">
        <f>AND('STERLING CATALOG - DRY '!A459,"AAAAAF0+zvw=")</f>
        <v>#VALUE!</v>
      </c>
      <c r="IT27" t="e">
        <f>AND('STERLING CATALOG - DRY '!B459,"AAAAAF0+zv0=")</f>
        <v>#VALUE!</v>
      </c>
      <c r="IU27" t="e">
        <f>AND('STERLING CATALOG - DRY '!C459,"AAAAAF0+zv4=")</f>
        <v>#VALUE!</v>
      </c>
      <c r="IV27" t="e">
        <f>AND('STERLING CATALOG - DRY '!D459,"AAAAAF0+zv8=")</f>
        <v>#VALUE!</v>
      </c>
    </row>
    <row r="28" spans="1:256">
      <c r="A28" t="e">
        <f>AND('STERLING CATALOG - DRY '!E459,"AAAAAH1p/gA=")</f>
        <v>#VALUE!</v>
      </c>
      <c r="B28" t="e">
        <f>AND('STERLING CATALOG - DRY '!F459,"AAAAAH1p/gE=")</f>
        <v>#VALUE!</v>
      </c>
      <c r="C28" t="e">
        <f>AND('STERLING CATALOG - DRY '!G459,"AAAAAH1p/gI=")</f>
        <v>#VALUE!</v>
      </c>
      <c r="D28" t="e">
        <f>AND('STERLING CATALOG - DRY '!H459,"AAAAAH1p/gM=")</f>
        <v>#VALUE!</v>
      </c>
      <c r="E28" t="e">
        <f>AND('STERLING CATALOG - DRY '!I459,"AAAAAH1p/gQ=")</f>
        <v>#VALUE!</v>
      </c>
      <c r="F28" t="e">
        <f>AND('STERLING CATALOG - DRY '!J459,"AAAAAH1p/gU=")</f>
        <v>#VALUE!</v>
      </c>
      <c r="G28" t="str">
        <f>IF('STERLING CATALOG - DRY '!460:460,"AAAAAH1p/gY=",0)</f>
        <v>AAAAAH1p/gY=</v>
      </c>
      <c r="H28" t="e">
        <f>AND('STERLING CATALOG - DRY '!A460,"AAAAAH1p/gc=")</f>
        <v>#VALUE!</v>
      </c>
      <c r="I28" t="e">
        <f>AND('STERLING CATALOG - DRY '!B460,"AAAAAH1p/gg=")</f>
        <v>#VALUE!</v>
      </c>
      <c r="J28" t="e">
        <f>AND('STERLING CATALOG - DRY '!C460,"AAAAAH1p/gk=")</f>
        <v>#VALUE!</v>
      </c>
      <c r="K28" t="e">
        <f>AND('STERLING CATALOG - DRY '!D460,"AAAAAH1p/go=")</f>
        <v>#VALUE!</v>
      </c>
      <c r="L28" t="e">
        <f>AND('STERLING CATALOG - DRY '!E460,"AAAAAH1p/gs=")</f>
        <v>#VALUE!</v>
      </c>
      <c r="M28" t="e">
        <f>AND('STERLING CATALOG - DRY '!F460,"AAAAAH1p/gw=")</f>
        <v>#VALUE!</v>
      </c>
      <c r="N28" t="e">
        <f>AND('STERLING CATALOG - DRY '!G460,"AAAAAH1p/g0=")</f>
        <v>#VALUE!</v>
      </c>
      <c r="O28" t="e">
        <f>AND('STERLING CATALOG - DRY '!H460,"AAAAAH1p/g4=")</f>
        <v>#VALUE!</v>
      </c>
      <c r="P28" t="e">
        <f>AND('STERLING CATALOG - DRY '!I460,"AAAAAH1p/g8=")</f>
        <v>#VALUE!</v>
      </c>
      <c r="Q28" t="e">
        <f>AND('STERLING CATALOG - DRY '!J460,"AAAAAH1p/hA=")</f>
        <v>#VALUE!</v>
      </c>
      <c r="R28">
        <f>IF('STERLING CATALOG - DRY '!461:461,"AAAAAH1p/hE=",0)</f>
        <v>0</v>
      </c>
      <c r="S28" t="e">
        <f>AND('STERLING CATALOG - DRY '!A461,"AAAAAH1p/hI=")</f>
        <v>#VALUE!</v>
      </c>
      <c r="T28" t="e">
        <f>AND('STERLING CATALOG - DRY '!B461,"AAAAAH1p/hM=")</f>
        <v>#VALUE!</v>
      </c>
      <c r="U28" t="e">
        <f>AND('STERLING CATALOG - DRY '!C461,"AAAAAH1p/hQ=")</f>
        <v>#VALUE!</v>
      </c>
      <c r="V28" t="e">
        <f>AND('STERLING CATALOG - DRY '!D461,"AAAAAH1p/hU=")</f>
        <v>#VALUE!</v>
      </c>
      <c r="W28" t="e">
        <f>AND('STERLING CATALOG - DRY '!E461,"AAAAAH1p/hY=")</f>
        <v>#VALUE!</v>
      </c>
      <c r="X28" t="e">
        <f>AND('STERLING CATALOG - DRY '!F461,"AAAAAH1p/hc=")</f>
        <v>#VALUE!</v>
      </c>
      <c r="Y28" t="e">
        <f>AND('STERLING CATALOG - DRY '!G461,"AAAAAH1p/hg=")</f>
        <v>#VALUE!</v>
      </c>
      <c r="Z28" t="e">
        <f>AND('STERLING CATALOG - DRY '!H461,"AAAAAH1p/hk=")</f>
        <v>#VALUE!</v>
      </c>
      <c r="AA28" t="e">
        <f>AND('STERLING CATALOG - DRY '!I461,"AAAAAH1p/ho=")</f>
        <v>#VALUE!</v>
      </c>
      <c r="AB28" t="e">
        <f>AND('STERLING CATALOG - DRY '!J461,"AAAAAH1p/hs=")</f>
        <v>#VALUE!</v>
      </c>
      <c r="AC28">
        <f>IF('STERLING CATALOG - DRY '!462:462,"AAAAAH1p/hw=",0)</f>
        <v>0</v>
      </c>
      <c r="AD28" t="e">
        <f>AND('STERLING CATALOG - DRY '!A462,"AAAAAH1p/h0=")</f>
        <v>#VALUE!</v>
      </c>
      <c r="AE28" t="e">
        <f>AND('STERLING CATALOG - DRY '!B462,"AAAAAH1p/h4=")</f>
        <v>#VALUE!</v>
      </c>
      <c r="AF28" t="e">
        <f>AND('STERLING CATALOG - DRY '!C462,"AAAAAH1p/h8=")</f>
        <v>#VALUE!</v>
      </c>
      <c r="AG28" t="e">
        <f>AND('STERLING CATALOG - DRY '!D462,"AAAAAH1p/iA=")</f>
        <v>#VALUE!</v>
      </c>
      <c r="AH28" t="e">
        <f>AND('STERLING CATALOG - DRY '!E462,"AAAAAH1p/iE=")</f>
        <v>#VALUE!</v>
      </c>
      <c r="AI28" t="e">
        <f>AND('STERLING CATALOG - DRY '!F462,"AAAAAH1p/iI=")</f>
        <v>#VALUE!</v>
      </c>
      <c r="AJ28" t="e">
        <f>AND('STERLING CATALOG - DRY '!G462,"AAAAAH1p/iM=")</f>
        <v>#VALUE!</v>
      </c>
      <c r="AK28" t="e">
        <f>AND('STERLING CATALOG - DRY '!H462,"AAAAAH1p/iQ=")</f>
        <v>#VALUE!</v>
      </c>
      <c r="AL28" t="e">
        <f>AND('STERLING CATALOG - DRY '!I462,"AAAAAH1p/iU=")</f>
        <v>#VALUE!</v>
      </c>
      <c r="AM28" t="e">
        <f>AND('STERLING CATALOG - DRY '!J462,"AAAAAH1p/iY=")</f>
        <v>#VALUE!</v>
      </c>
      <c r="AN28">
        <f>IF('STERLING CATALOG - DRY '!463:463,"AAAAAH1p/ic=",0)</f>
        <v>0</v>
      </c>
      <c r="AO28" t="e">
        <f>AND('STERLING CATALOG - DRY '!A463,"AAAAAH1p/ig=")</f>
        <v>#VALUE!</v>
      </c>
      <c r="AP28" t="e">
        <f>AND('STERLING CATALOG - DRY '!B463,"AAAAAH1p/ik=")</f>
        <v>#VALUE!</v>
      </c>
      <c r="AQ28" t="e">
        <f>AND('STERLING CATALOG - DRY '!C463,"AAAAAH1p/io=")</f>
        <v>#VALUE!</v>
      </c>
      <c r="AR28" t="e">
        <f>AND('STERLING CATALOG - DRY '!D463,"AAAAAH1p/is=")</f>
        <v>#VALUE!</v>
      </c>
      <c r="AS28" t="e">
        <f>AND('STERLING CATALOG - DRY '!E463,"AAAAAH1p/iw=")</f>
        <v>#VALUE!</v>
      </c>
      <c r="AT28" t="e">
        <f>AND('STERLING CATALOG - DRY '!F463,"AAAAAH1p/i0=")</f>
        <v>#VALUE!</v>
      </c>
      <c r="AU28" t="e">
        <f>AND('STERLING CATALOG - DRY '!G463,"AAAAAH1p/i4=")</f>
        <v>#VALUE!</v>
      </c>
      <c r="AV28" t="e">
        <f>AND('STERLING CATALOG - DRY '!H463,"AAAAAH1p/i8=")</f>
        <v>#VALUE!</v>
      </c>
      <c r="AW28" t="e">
        <f>AND('STERLING CATALOG - DRY '!I463,"AAAAAH1p/jA=")</f>
        <v>#VALUE!</v>
      </c>
      <c r="AX28" t="e">
        <f>AND('STERLING CATALOG - DRY '!J463,"AAAAAH1p/jE=")</f>
        <v>#VALUE!</v>
      </c>
      <c r="AY28">
        <f>IF('STERLING CATALOG - DRY '!464:464,"AAAAAH1p/jI=",0)</f>
        <v>0</v>
      </c>
      <c r="AZ28" t="e">
        <f>AND('STERLING CATALOG - DRY '!A464,"AAAAAH1p/jM=")</f>
        <v>#VALUE!</v>
      </c>
      <c r="BA28" t="e">
        <f>AND('STERLING CATALOG - DRY '!B464,"AAAAAH1p/jQ=")</f>
        <v>#VALUE!</v>
      </c>
      <c r="BB28" t="e">
        <f>AND('STERLING CATALOG - DRY '!C464,"AAAAAH1p/jU=")</f>
        <v>#VALUE!</v>
      </c>
      <c r="BC28" t="e">
        <f>AND('STERLING CATALOG - DRY '!D464,"AAAAAH1p/jY=")</f>
        <v>#VALUE!</v>
      </c>
      <c r="BD28" t="e">
        <f>AND('STERLING CATALOG - DRY '!E464,"AAAAAH1p/jc=")</f>
        <v>#VALUE!</v>
      </c>
      <c r="BE28" t="e">
        <f>AND('STERLING CATALOG - DRY '!F464,"AAAAAH1p/jg=")</f>
        <v>#VALUE!</v>
      </c>
      <c r="BF28" t="e">
        <f>AND('STERLING CATALOG - DRY '!G464,"AAAAAH1p/jk=")</f>
        <v>#VALUE!</v>
      </c>
      <c r="BG28" t="e">
        <f>AND('STERLING CATALOG - DRY '!H464,"AAAAAH1p/jo=")</f>
        <v>#VALUE!</v>
      </c>
      <c r="BH28" t="e">
        <f>AND('STERLING CATALOG - DRY '!I464,"AAAAAH1p/js=")</f>
        <v>#VALUE!</v>
      </c>
      <c r="BI28" t="e">
        <f>AND('STERLING CATALOG - DRY '!J464,"AAAAAH1p/jw=")</f>
        <v>#VALUE!</v>
      </c>
      <c r="BJ28">
        <f>IF('STERLING CATALOG - DRY '!465:465,"AAAAAH1p/j0=",0)</f>
        <v>0</v>
      </c>
      <c r="BK28" t="e">
        <f>AND('STERLING CATALOG - DRY '!A465,"AAAAAH1p/j4=")</f>
        <v>#VALUE!</v>
      </c>
      <c r="BL28" t="e">
        <f>AND('STERLING CATALOG - DRY '!B465,"AAAAAH1p/j8=")</f>
        <v>#VALUE!</v>
      </c>
      <c r="BM28" t="e">
        <f>AND('STERLING CATALOG - DRY '!C465,"AAAAAH1p/kA=")</f>
        <v>#VALUE!</v>
      </c>
      <c r="BN28" t="e">
        <f>AND('STERLING CATALOG - DRY '!D465,"AAAAAH1p/kE=")</f>
        <v>#VALUE!</v>
      </c>
      <c r="BO28" t="e">
        <f>AND('STERLING CATALOG - DRY '!E465,"AAAAAH1p/kI=")</f>
        <v>#VALUE!</v>
      </c>
      <c r="BP28" t="e">
        <f>AND('STERLING CATALOG - DRY '!F465,"AAAAAH1p/kM=")</f>
        <v>#VALUE!</v>
      </c>
      <c r="BQ28" t="e">
        <f>AND('STERLING CATALOG - DRY '!G465,"AAAAAH1p/kQ=")</f>
        <v>#VALUE!</v>
      </c>
      <c r="BR28" t="e">
        <f>AND('STERLING CATALOG - DRY '!H465,"AAAAAH1p/kU=")</f>
        <v>#VALUE!</v>
      </c>
      <c r="BS28" t="e">
        <f>AND('STERLING CATALOG - DRY '!I465,"AAAAAH1p/kY=")</f>
        <v>#VALUE!</v>
      </c>
      <c r="BT28" t="e">
        <f>AND('STERLING CATALOG - DRY '!J465,"AAAAAH1p/kc=")</f>
        <v>#VALUE!</v>
      </c>
      <c r="BU28">
        <f>IF('STERLING CATALOG - DRY '!466:466,"AAAAAH1p/kg=",0)</f>
        <v>0</v>
      </c>
      <c r="BV28" t="e">
        <f>AND('STERLING CATALOG - DRY '!A466,"AAAAAH1p/kk=")</f>
        <v>#VALUE!</v>
      </c>
      <c r="BW28" t="e">
        <f>AND('STERLING CATALOG - DRY '!B466,"AAAAAH1p/ko=")</f>
        <v>#VALUE!</v>
      </c>
      <c r="BX28" t="e">
        <f>AND('STERLING CATALOG - DRY '!C466,"AAAAAH1p/ks=")</f>
        <v>#VALUE!</v>
      </c>
      <c r="BY28" t="e">
        <f>AND('STERLING CATALOG - DRY '!D466,"AAAAAH1p/kw=")</f>
        <v>#VALUE!</v>
      </c>
      <c r="BZ28" t="e">
        <f>AND('STERLING CATALOG - DRY '!E466,"AAAAAH1p/k0=")</f>
        <v>#VALUE!</v>
      </c>
      <c r="CA28" t="e">
        <f>AND('STERLING CATALOG - DRY '!F466,"AAAAAH1p/k4=")</f>
        <v>#VALUE!</v>
      </c>
      <c r="CB28" t="e">
        <f>AND('STERLING CATALOG - DRY '!G466,"AAAAAH1p/k8=")</f>
        <v>#VALUE!</v>
      </c>
      <c r="CC28" t="e">
        <f>AND('STERLING CATALOG - DRY '!H466,"AAAAAH1p/lA=")</f>
        <v>#VALUE!</v>
      </c>
      <c r="CD28" t="e">
        <f>AND('STERLING CATALOG - DRY '!I466,"AAAAAH1p/lE=")</f>
        <v>#VALUE!</v>
      </c>
      <c r="CE28" t="e">
        <f>AND('STERLING CATALOG - DRY '!J466,"AAAAAH1p/lI=")</f>
        <v>#VALUE!</v>
      </c>
      <c r="CF28">
        <f>IF('STERLING CATALOG - DRY '!467:467,"AAAAAH1p/lM=",0)</f>
        <v>0</v>
      </c>
      <c r="CG28" t="e">
        <f>AND('STERLING CATALOG - DRY '!A467,"AAAAAH1p/lQ=")</f>
        <v>#VALUE!</v>
      </c>
      <c r="CH28" t="e">
        <f>AND('STERLING CATALOG - DRY '!B467,"AAAAAH1p/lU=")</f>
        <v>#VALUE!</v>
      </c>
      <c r="CI28" t="e">
        <f>AND('STERLING CATALOG - DRY '!C467,"AAAAAH1p/lY=")</f>
        <v>#VALUE!</v>
      </c>
      <c r="CJ28" t="e">
        <f>AND('STERLING CATALOG - DRY '!D467,"AAAAAH1p/lc=")</f>
        <v>#VALUE!</v>
      </c>
      <c r="CK28" t="e">
        <f>AND('STERLING CATALOG - DRY '!E467,"AAAAAH1p/lg=")</f>
        <v>#VALUE!</v>
      </c>
      <c r="CL28" t="e">
        <f>AND('STERLING CATALOG - DRY '!F467,"AAAAAH1p/lk=")</f>
        <v>#VALUE!</v>
      </c>
      <c r="CM28" t="e">
        <f>AND('STERLING CATALOG - DRY '!G467,"AAAAAH1p/lo=")</f>
        <v>#VALUE!</v>
      </c>
      <c r="CN28" t="e">
        <f>AND('STERLING CATALOG - DRY '!H467,"AAAAAH1p/ls=")</f>
        <v>#VALUE!</v>
      </c>
      <c r="CO28" t="e">
        <f>AND('STERLING CATALOG - DRY '!I467,"AAAAAH1p/lw=")</f>
        <v>#VALUE!</v>
      </c>
      <c r="CP28" t="e">
        <f>AND('STERLING CATALOG - DRY '!J467,"AAAAAH1p/l0=")</f>
        <v>#VALUE!</v>
      </c>
      <c r="CQ28">
        <f>IF('STERLING CATALOG - DRY '!468:468,"AAAAAH1p/l4=",0)</f>
        <v>0</v>
      </c>
      <c r="CR28" t="e">
        <f>AND('STERLING CATALOG - DRY '!A468,"AAAAAH1p/l8=")</f>
        <v>#VALUE!</v>
      </c>
      <c r="CS28" t="e">
        <f>AND('STERLING CATALOG - DRY '!B468,"AAAAAH1p/mA=")</f>
        <v>#VALUE!</v>
      </c>
      <c r="CT28" t="e">
        <f>AND('STERLING CATALOG - DRY '!C468,"AAAAAH1p/mE=")</f>
        <v>#VALUE!</v>
      </c>
      <c r="CU28" t="e">
        <f>AND('STERLING CATALOG - DRY '!D468,"AAAAAH1p/mI=")</f>
        <v>#VALUE!</v>
      </c>
      <c r="CV28" t="e">
        <f>AND('STERLING CATALOG - DRY '!E468,"AAAAAH1p/mM=")</f>
        <v>#VALUE!</v>
      </c>
      <c r="CW28" t="e">
        <f>AND('STERLING CATALOG - DRY '!F468,"AAAAAH1p/mQ=")</f>
        <v>#VALUE!</v>
      </c>
      <c r="CX28" t="e">
        <f>AND('STERLING CATALOG - DRY '!G468,"AAAAAH1p/mU=")</f>
        <v>#VALUE!</v>
      </c>
      <c r="CY28" t="e">
        <f>AND('STERLING CATALOG - DRY '!H468,"AAAAAH1p/mY=")</f>
        <v>#VALUE!</v>
      </c>
      <c r="CZ28" t="e">
        <f>AND('STERLING CATALOG - DRY '!I468,"AAAAAH1p/mc=")</f>
        <v>#VALUE!</v>
      </c>
      <c r="DA28" t="e">
        <f>AND('STERLING CATALOG - DRY '!J468,"AAAAAH1p/mg=")</f>
        <v>#VALUE!</v>
      </c>
      <c r="DB28">
        <f>IF('STERLING CATALOG - DRY '!469:469,"AAAAAH1p/mk=",0)</f>
        <v>0</v>
      </c>
      <c r="DC28" t="e">
        <f>AND('STERLING CATALOG - DRY '!A469,"AAAAAH1p/mo=")</f>
        <v>#VALUE!</v>
      </c>
      <c r="DD28" t="e">
        <f>AND('STERLING CATALOG - DRY '!B469,"AAAAAH1p/ms=")</f>
        <v>#VALUE!</v>
      </c>
      <c r="DE28" t="e">
        <f>AND('STERLING CATALOG - DRY '!C469,"AAAAAH1p/mw=")</f>
        <v>#VALUE!</v>
      </c>
      <c r="DF28" t="e">
        <f>AND('STERLING CATALOG - DRY '!D469,"AAAAAH1p/m0=")</f>
        <v>#VALUE!</v>
      </c>
      <c r="DG28" t="e">
        <f>AND('STERLING CATALOG - DRY '!E469,"AAAAAH1p/m4=")</f>
        <v>#VALUE!</v>
      </c>
      <c r="DH28" t="e">
        <f>AND('STERLING CATALOG - DRY '!F469,"AAAAAH1p/m8=")</f>
        <v>#VALUE!</v>
      </c>
      <c r="DI28" t="e">
        <f>AND('STERLING CATALOG - DRY '!G469,"AAAAAH1p/nA=")</f>
        <v>#VALUE!</v>
      </c>
      <c r="DJ28" t="e">
        <f>AND('STERLING CATALOG - DRY '!H469,"AAAAAH1p/nE=")</f>
        <v>#VALUE!</v>
      </c>
      <c r="DK28" t="e">
        <f>AND('STERLING CATALOG - DRY '!I469,"AAAAAH1p/nI=")</f>
        <v>#VALUE!</v>
      </c>
      <c r="DL28" t="e">
        <f>AND('STERLING CATALOG - DRY '!J469,"AAAAAH1p/nM=")</f>
        <v>#VALUE!</v>
      </c>
      <c r="DM28">
        <f>IF('STERLING CATALOG - DRY '!470:470,"AAAAAH1p/nQ=",0)</f>
        <v>0</v>
      </c>
      <c r="DN28" t="e">
        <f>AND('STERLING CATALOG - DRY '!A470,"AAAAAH1p/nU=")</f>
        <v>#VALUE!</v>
      </c>
      <c r="DO28" t="e">
        <f>AND('STERLING CATALOG - DRY '!B470,"AAAAAH1p/nY=")</f>
        <v>#VALUE!</v>
      </c>
      <c r="DP28" t="e">
        <f>AND('STERLING CATALOG - DRY '!C470,"AAAAAH1p/nc=")</f>
        <v>#VALUE!</v>
      </c>
      <c r="DQ28" t="e">
        <f>AND('STERLING CATALOG - DRY '!D470,"AAAAAH1p/ng=")</f>
        <v>#VALUE!</v>
      </c>
      <c r="DR28" t="e">
        <f>AND('STERLING CATALOG - DRY '!E470,"AAAAAH1p/nk=")</f>
        <v>#VALUE!</v>
      </c>
      <c r="DS28" t="e">
        <f>AND('STERLING CATALOG - DRY '!F470,"AAAAAH1p/no=")</f>
        <v>#VALUE!</v>
      </c>
      <c r="DT28" t="e">
        <f>AND('STERLING CATALOG - DRY '!G470,"AAAAAH1p/ns=")</f>
        <v>#VALUE!</v>
      </c>
      <c r="DU28" t="e">
        <f>AND('STERLING CATALOG - DRY '!H470,"AAAAAH1p/nw=")</f>
        <v>#VALUE!</v>
      </c>
      <c r="DV28" t="e">
        <f>AND('STERLING CATALOG - DRY '!I470,"AAAAAH1p/n0=")</f>
        <v>#VALUE!</v>
      </c>
      <c r="DW28" t="e">
        <f>AND('STERLING CATALOG - DRY '!J470,"AAAAAH1p/n4=")</f>
        <v>#VALUE!</v>
      </c>
      <c r="DX28">
        <f>IF('STERLING CATALOG - DRY '!471:471,"AAAAAH1p/n8=",0)</f>
        <v>0</v>
      </c>
      <c r="DY28" t="e">
        <f>AND('STERLING CATALOG - DRY '!A471,"AAAAAH1p/oA=")</f>
        <v>#VALUE!</v>
      </c>
      <c r="DZ28" t="e">
        <f>AND('STERLING CATALOG - DRY '!B471,"AAAAAH1p/oE=")</f>
        <v>#VALUE!</v>
      </c>
      <c r="EA28" t="e">
        <f>AND('STERLING CATALOG - DRY '!C471,"AAAAAH1p/oI=")</f>
        <v>#VALUE!</v>
      </c>
      <c r="EB28" t="e">
        <f>AND('STERLING CATALOG - DRY '!D471,"AAAAAH1p/oM=")</f>
        <v>#VALUE!</v>
      </c>
      <c r="EC28" t="e">
        <f>AND('STERLING CATALOG - DRY '!E471,"AAAAAH1p/oQ=")</f>
        <v>#VALUE!</v>
      </c>
      <c r="ED28" t="e">
        <f>AND('STERLING CATALOG - DRY '!F471,"AAAAAH1p/oU=")</f>
        <v>#VALUE!</v>
      </c>
      <c r="EE28" t="e">
        <f>AND('STERLING CATALOG - DRY '!G471,"AAAAAH1p/oY=")</f>
        <v>#VALUE!</v>
      </c>
      <c r="EF28" t="e">
        <f>AND('STERLING CATALOG - DRY '!H471,"AAAAAH1p/oc=")</f>
        <v>#VALUE!</v>
      </c>
      <c r="EG28" t="e">
        <f>AND('STERLING CATALOG - DRY '!I471,"AAAAAH1p/og=")</f>
        <v>#VALUE!</v>
      </c>
      <c r="EH28" t="e">
        <f>AND('STERLING CATALOG - DRY '!J471,"AAAAAH1p/ok=")</f>
        <v>#VALUE!</v>
      </c>
      <c r="EI28">
        <f>IF('STERLING CATALOG - DRY '!472:472,"AAAAAH1p/oo=",0)</f>
        <v>0</v>
      </c>
      <c r="EJ28" t="e">
        <f>AND('STERLING CATALOG - DRY '!A472,"AAAAAH1p/os=")</f>
        <v>#VALUE!</v>
      </c>
      <c r="EK28" t="e">
        <f>AND('STERLING CATALOG - DRY '!B472,"AAAAAH1p/ow=")</f>
        <v>#VALUE!</v>
      </c>
      <c r="EL28" t="e">
        <f>AND('STERLING CATALOG - DRY '!C472,"AAAAAH1p/o0=")</f>
        <v>#VALUE!</v>
      </c>
      <c r="EM28" t="e">
        <f>AND('STERLING CATALOG - DRY '!D472,"AAAAAH1p/o4=")</f>
        <v>#VALUE!</v>
      </c>
      <c r="EN28" t="e">
        <f>AND('STERLING CATALOG - DRY '!E472,"AAAAAH1p/o8=")</f>
        <v>#VALUE!</v>
      </c>
      <c r="EO28" t="e">
        <f>AND('STERLING CATALOG - DRY '!F472,"AAAAAH1p/pA=")</f>
        <v>#VALUE!</v>
      </c>
      <c r="EP28" t="e">
        <f>AND('STERLING CATALOG - DRY '!G472,"AAAAAH1p/pE=")</f>
        <v>#VALUE!</v>
      </c>
      <c r="EQ28" t="e">
        <f>AND('STERLING CATALOG - DRY '!H472,"AAAAAH1p/pI=")</f>
        <v>#VALUE!</v>
      </c>
      <c r="ER28" t="e">
        <f>AND('STERLING CATALOG - DRY '!I472,"AAAAAH1p/pM=")</f>
        <v>#VALUE!</v>
      </c>
      <c r="ES28" t="e">
        <f>AND('STERLING CATALOG - DRY '!J472,"AAAAAH1p/pQ=")</f>
        <v>#VALUE!</v>
      </c>
      <c r="ET28">
        <f>IF('STERLING CATALOG - DRY '!473:473,"AAAAAH1p/pU=",0)</f>
        <v>0</v>
      </c>
      <c r="EU28" t="e">
        <f>AND('STERLING CATALOG - DRY '!A473,"AAAAAH1p/pY=")</f>
        <v>#VALUE!</v>
      </c>
      <c r="EV28" t="e">
        <f>AND('STERLING CATALOG - DRY '!B473,"AAAAAH1p/pc=")</f>
        <v>#VALUE!</v>
      </c>
      <c r="EW28" t="e">
        <f>AND('STERLING CATALOG - DRY '!C473,"AAAAAH1p/pg=")</f>
        <v>#VALUE!</v>
      </c>
      <c r="EX28" t="e">
        <f>AND('STERLING CATALOG - DRY '!D473,"AAAAAH1p/pk=")</f>
        <v>#VALUE!</v>
      </c>
      <c r="EY28" t="e">
        <f>AND('STERLING CATALOG - DRY '!E473,"AAAAAH1p/po=")</f>
        <v>#VALUE!</v>
      </c>
      <c r="EZ28" t="e">
        <f>AND('STERLING CATALOG - DRY '!F473,"AAAAAH1p/ps=")</f>
        <v>#VALUE!</v>
      </c>
      <c r="FA28" t="e">
        <f>AND('STERLING CATALOG - DRY '!G473,"AAAAAH1p/pw=")</f>
        <v>#VALUE!</v>
      </c>
      <c r="FB28" t="e">
        <f>AND('STERLING CATALOG - DRY '!H473,"AAAAAH1p/p0=")</f>
        <v>#VALUE!</v>
      </c>
      <c r="FC28" t="e">
        <f>AND('STERLING CATALOG - DRY '!I473,"AAAAAH1p/p4=")</f>
        <v>#VALUE!</v>
      </c>
      <c r="FD28" t="e">
        <f>AND('STERLING CATALOG - DRY '!J473,"AAAAAH1p/p8=")</f>
        <v>#VALUE!</v>
      </c>
      <c r="FE28">
        <f>IF('STERLING CATALOG - DRY '!474:474,"AAAAAH1p/qA=",0)</f>
        <v>0</v>
      </c>
      <c r="FF28" t="e">
        <f>AND('STERLING CATALOG - DRY '!A474,"AAAAAH1p/qE=")</f>
        <v>#VALUE!</v>
      </c>
      <c r="FG28" t="e">
        <f>AND('STERLING CATALOG - DRY '!B474,"AAAAAH1p/qI=")</f>
        <v>#VALUE!</v>
      </c>
      <c r="FH28" t="e">
        <f>AND('STERLING CATALOG - DRY '!C474,"AAAAAH1p/qM=")</f>
        <v>#VALUE!</v>
      </c>
      <c r="FI28" t="e">
        <f>AND('STERLING CATALOG - DRY '!D474,"AAAAAH1p/qQ=")</f>
        <v>#VALUE!</v>
      </c>
      <c r="FJ28" t="e">
        <f>AND('STERLING CATALOG - DRY '!E474,"AAAAAH1p/qU=")</f>
        <v>#VALUE!</v>
      </c>
      <c r="FK28" t="e">
        <f>AND('STERLING CATALOG - DRY '!F474,"AAAAAH1p/qY=")</f>
        <v>#VALUE!</v>
      </c>
      <c r="FL28" t="e">
        <f>AND('STERLING CATALOG - DRY '!G474,"AAAAAH1p/qc=")</f>
        <v>#VALUE!</v>
      </c>
      <c r="FM28" t="e">
        <f>AND('STERLING CATALOG - DRY '!H474,"AAAAAH1p/qg=")</f>
        <v>#VALUE!</v>
      </c>
      <c r="FN28" t="e">
        <f>AND('STERLING CATALOG - DRY '!I474,"AAAAAH1p/qk=")</f>
        <v>#VALUE!</v>
      </c>
      <c r="FO28" t="e">
        <f>AND('STERLING CATALOG - DRY '!J474,"AAAAAH1p/qo=")</f>
        <v>#VALUE!</v>
      </c>
      <c r="FP28">
        <f>IF('STERLING CATALOG - DRY '!475:475,"AAAAAH1p/qs=",0)</f>
        <v>0</v>
      </c>
      <c r="FQ28" t="e">
        <f>AND('STERLING CATALOG - DRY '!A475,"AAAAAH1p/qw=")</f>
        <v>#VALUE!</v>
      </c>
      <c r="FR28" t="e">
        <f>AND('STERLING CATALOG - DRY '!B475,"AAAAAH1p/q0=")</f>
        <v>#VALUE!</v>
      </c>
      <c r="FS28" t="e">
        <f>AND('STERLING CATALOG - DRY '!C475,"AAAAAH1p/q4=")</f>
        <v>#VALUE!</v>
      </c>
      <c r="FT28" t="e">
        <f>AND('STERLING CATALOG - DRY '!D475,"AAAAAH1p/q8=")</f>
        <v>#VALUE!</v>
      </c>
      <c r="FU28" t="e">
        <f>AND('STERLING CATALOG - DRY '!E475,"AAAAAH1p/rA=")</f>
        <v>#VALUE!</v>
      </c>
      <c r="FV28" t="e">
        <f>AND('STERLING CATALOG - DRY '!F475,"AAAAAH1p/rE=")</f>
        <v>#VALUE!</v>
      </c>
      <c r="FW28" t="e">
        <f>AND('STERLING CATALOG - DRY '!G475,"AAAAAH1p/rI=")</f>
        <v>#VALUE!</v>
      </c>
      <c r="FX28" t="e">
        <f>AND('STERLING CATALOG - DRY '!H475,"AAAAAH1p/rM=")</f>
        <v>#VALUE!</v>
      </c>
      <c r="FY28" t="e">
        <f>AND('STERLING CATALOG - DRY '!I475,"AAAAAH1p/rQ=")</f>
        <v>#VALUE!</v>
      </c>
      <c r="FZ28" t="e">
        <f>AND('STERLING CATALOG - DRY '!J475,"AAAAAH1p/rU=")</f>
        <v>#VALUE!</v>
      </c>
      <c r="GA28">
        <f>IF('STERLING CATALOG - DRY '!476:476,"AAAAAH1p/rY=",0)</f>
        <v>0</v>
      </c>
      <c r="GB28" t="e">
        <f>AND('STERLING CATALOG - DRY '!A476,"AAAAAH1p/rc=")</f>
        <v>#VALUE!</v>
      </c>
      <c r="GC28" t="e">
        <f>AND('STERLING CATALOG - DRY '!B476,"AAAAAH1p/rg=")</f>
        <v>#VALUE!</v>
      </c>
      <c r="GD28" t="e">
        <f>AND('STERLING CATALOG - DRY '!C476,"AAAAAH1p/rk=")</f>
        <v>#VALUE!</v>
      </c>
      <c r="GE28" t="e">
        <f>AND('STERLING CATALOG - DRY '!D476,"AAAAAH1p/ro=")</f>
        <v>#VALUE!</v>
      </c>
      <c r="GF28" t="e">
        <f>AND('STERLING CATALOG - DRY '!E476,"AAAAAH1p/rs=")</f>
        <v>#VALUE!</v>
      </c>
      <c r="GG28" t="e">
        <f>AND('STERLING CATALOG - DRY '!F476,"AAAAAH1p/rw=")</f>
        <v>#VALUE!</v>
      </c>
      <c r="GH28" t="e">
        <f>AND('STERLING CATALOG - DRY '!G476,"AAAAAH1p/r0=")</f>
        <v>#VALUE!</v>
      </c>
      <c r="GI28" t="e">
        <f>AND('STERLING CATALOG - DRY '!H476,"AAAAAH1p/r4=")</f>
        <v>#VALUE!</v>
      </c>
      <c r="GJ28" t="e">
        <f>AND('STERLING CATALOG - DRY '!I476,"AAAAAH1p/r8=")</f>
        <v>#VALUE!</v>
      </c>
      <c r="GK28" t="e">
        <f>AND('STERLING CATALOG - DRY '!J476,"AAAAAH1p/sA=")</f>
        <v>#VALUE!</v>
      </c>
      <c r="GL28">
        <f>IF('STERLING CATALOG - DRY '!477:477,"AAAAAH1p/sE=",0)</f>
        <v>0</v>
      </c>
      <c r="GM28" t="e">
        <f>AND('STERLING CATALOG - DRY '!A477,"AAAAAH1p/sI=")</f>
        <v>#VALUE!</v>
      </c>
      <c r="GN28" t="e">
        <f>AND('STERLING CATALOG - DRY '!B477,"AAAAAH1p/sM=")</f>
        <v>#VALUE!</v>
      </c>
      <c r="GO28" t="e">
        <f>AND('STERLING CATALOG - DRY '!C477,"AAAAAH1p/sQ=")</f>
        <v>#VALUE!</v>
      </c>
      <c r="GP28" t="e">
        <f>AND('STERLING CATALOG - DRY '!D477,"AAAAAH1p/sU=")</f>
        <v>#VALUE!</v>
      </c>
      <c r="GQ28" t="e">
        <f>AND('STERLING CATALOG - DRY '!E477,"AAAAAH1p/sY=")</f>
        <v>#VALUE!</v>
      </c>
      <c r="GR28" t="e">
        <f>AND('STERLING CATALOG - DRY '!F477,"AAAAAH1p/sc=")</f>
        <v>#VALUE!</v>
      </c>
      <c r="GS28" t="e">
        <f>AND('STERLING CATALOG - DRY '!G477,"AAAAAH1p/sg=")</f>
        <v>#VALUE!</v>
      </c>
      <c r="GT28" t="e">
        <f>AND('STERLING CATALOG - DRY '!H477,"AAAAAH1p/sk=")</f>
        <v>#VALUE!</v>
      </c>
      <c r="GU28" t="e">
        <f>AND('STERLING CATALOG - DRY '!I477,"AAAAAH1p/so=")</f>
        <v>#VALUE!</v>
      </c>
      <c r="GV28" t="e">
        <f>AND('STERLING CATALOG - DRY '!J477,"AAAAAH1p/ss=")</f>
        <v>#VALUE!</v>
      </c>
      <c r="GW28">
        <f>IF('STERLING CATALOG - DRY '!478:478,"AAAAAH1p/sw=",0)</f>
        <v>0</v>
      </c>
      <c r="GX28" t="e">
        <f>AND('STERLING CATALOG - DRY '!A478,"AAAAAH1p/s0=")</f>
        <v>#VALUE!</v>
      </c>
      <c r="GY28" t="e">
        <f>AND('STERLING CATALOG - DRY '!B478,"AAAAAH1p/s4=")</f>
        <v>#VALUE!</v>
      </c>
      <c r="GZ28" t="e">
        <f>AND('STERLING CATALOG - DRY '!C478,"AAAAAH1p/s8=")</f>
        <v>#VALUE!</v>
      </c>
      <c r="HA28" t="e">
        <f>AND('STERLING CATALOG - DRY '!D478,"AAAAAH1p/tA=")</f>
        <v>#VALUE!</v>
      </c>
      <c r="HB28" t="e">
        <f>AND('STERLING CATALOG - DRY '!E478,"AAAAAH1p/tE=")</f>
        <v>#VALUE!</v>
      </c>
      <c r="HC28" t="e">
        <f>AND('STERLING CATALOG - DRY '!F478,"AAAAAH1p/tI=")</f>
        <v>#VALUE!</v>
      </c>
      <c r="HD28" t="e">
        <f>AND('STERLING CATALOG - DRY '!G478,"AAAAAH1p/tM=")</f>
        <v>#VALUE!</v>
      </c>
      <c r="HE28" t="e">
        <f>AND('STERLING CATALOG - DRY '!H478,"AAAAAH1p/tQ=")</f>
        <v>#VALUE!</v>
      </c>
      <c r="HF28" t="e">
        <f>AND('STERLING CATALOG - DRY '!I478,"AAAAAH1p/tU=")</f>
        <v>#VALUE!</v>
      </c>
      <c r="HG28" t="e">
        <f>AND('STERLING CATALOG - DRY '!J478,"AAAAAH1p/tY=")</f>
        <v>#VALUE!</v>
      </c>
      <c r="HH28">
        <f>IF('STERLING CATALOG - DRY '!479:479,"AAAAAH1p/tc=",0)</f>
        <v>0</v>
      </c>
      <c r="HI28" t="e">
        <f>AND('STERLING CATALOG - DRY '!A479,"AAAAAH1p/tg=")</f>
        <v>#VALUE!</v>
      </c>
      <c r="HJ28" t="e">
        <f>AND('STERLING CATALOG - DRY '!B479,"AAAAAH1p/tk=")</f>
        <v>#VALUE!</v>
      </c>
      <c r="HK28" t="e">
        <f>AND('STERLING CATALOG - DRY '!C479,"AAAAAH1p/to=")</f>
        <v>#VALUE!</v>
      </c>
      <c r="HL28" t="e">
        <f>AND('STERLING CATALOG - DRY '!D479,"AAAAAH1p/ts=")</f>
        <v>#VALUE!</v>
      </c>
      <c r="HM28" t="e">
        <f>AND('STERLING CATALOG - DRY '!E479,"AAAAAH1p/tw=")</f>
        <v>#VALUE!</v>
      </c>
      <c r="HN28" t="e">
        <f>AND('STERLING CATALOG - DRY '!F479,"AAAAAH1p/t0=")</f>
        <v>#VALUE!</v>
      </c>
      <c r="HO28" t="e">
        <f>AND('STERLING CATALOG - DRY '!G479,"AAAAAH1p/t4=")</f>
        <v>#VALUE!</v>
      </c>
      <c r="HP28" t="e">
        <f>AND('STERLING CATALOG - DRY '!H479,"AAAAAH1p/t8=")</f>
        <v>#VALUE!</v>
      </c>
      <c r="HQ28" t="e">
        <f>AND('STERLING CATALOG - DRY '!I479,"AAAAAH1p/uA=")</f>
        <v>#VALUE!</v>
      </c>
      <c r="HR28" t="e">
        <f>AND('STERLING CATALOG - DRY '!J479,"AAAAAH1p/uE=")</f>
        <v>#VALUE!</v>
      </c>
      <c r="HS28">
        <f>IF('STERLING CATALOG - DRY '!480:480,"AAAAAH1p/uI=",0)</f>
        <v>0</v>
      </c>
      <c r="HT28" t="e">
        <f>AND('STERLING CATALOG - DRY '!A480,"AAAAAH1p/uM=")</f>
        <v>#VALUE!</v>
      </c>
      <c r="HU28" t="e">
        <f>AND('STERLING CATALOG - DRY '!B480,"AAAAAH1p/uQ=")</f>
        <v>#VALUE!</v>
      </c>
      <c r="HV28" t="e">
        <f>AND('STERLING CATALOG - DRY '!C480,"AAAAAH1p/uU=")</f>
        <v>#VALUE!</v>
      </c>
      <c r="HW28" t="e">
        <f>AND('STERLING CATALOG - DRY '!D480,"AAAAAH1p/uY=")</f>
        <v>#VALUE!</v>
      </c>
      <c r="HX28" t="e">
        <f>AND('STERLING CATALOG - DRY '!E480,"AAAAAH1p/uc=")</f>
        <v>#VALUE!</v>
      </c>
      <c r="HY28" t="e">
        <f>AND('STERLING CATALOG - DRY '!F480,"AAAAAH1p/ug=")</f>
        <v>#VALUE!</v>
      </c>
      <c r="HZ28" t="e">
        <f>AND('STERLING CATALOG - DRY '!G480,"AAAAAH1p/uk=")</f>
        <v>#VALUE!</v>
      </c>
      <c r="IA28" t="e">
        <f>AND('STERLING CATALOG - DRY '!H480,"AAAAAH1p/uo=")</f>
        <v>#VALUE!</v>
      </c>
      <c r="IB28" t="e">
        <f>AND('STERLING CATALOG - DRY '!I480,"AAAAAH1p/us=")</f>
        <v>#VALUE!</v>
      </c>
      <c r="IC28" t="e">
        <f>AND('STERLING CATALOG - DRY '!J480,"AAAAAH1p/uw=")</f>
        <v>#VALUE!</v>
      </c>
      <c r="ID28">
        <f>IF('STERLING CATALOG - DRY '!481:481,"AAAAAH1p/u0=",0)</f>
        <v>0</v>
      </c>
      <c r="IE28" t="e">
        <f>AND('STERLING CATALOG - DRY '!A481,"AAAAAH1p/u4=")</f>
        <v>#VALUE!</v>
      </c>
      <c r="IF28" t="e">
        <f>AND('STERLING CATALOG - DRY '!B481,"AAAAAH1p/u8=")</f>
        <v>#VALUE!</v>
      </c>
      <c r="IG28" t="e">
        <f>AND('STERLING CATALOG - DRY '!C481,"AAAAAH1p/vA=")</f>
        <v>#VALUE!</v>
      </c>
      <c r="IH28" t="e">
        <f>AND('STERLING CATALOG - DRY '!D481,"AAAAAH1p/vE=")</f>
        <v>#VALUE!</v>
      </c>
      <c r="II28" t="e">
        <f>AND('STERLING CATALOG - DRY '!E481,"AAAAAH1p/vI=")</f>
        <v>#VALUE!</v>
      </c>
      <c r="IJ28" t="e">
        <f>AND('STERLING CATALOG - DRY '!F481,"AAAAAH1p/vM=")</f>
        <v>#VALUE!</v>
      </c>
      <c r="IK28" t="e">
        <f>AND('STERLING CATALOG - DRY '!G481,"AAAAAH1p/vQ=")</f>
        <v>#VALUE!</v>
      </c>
      <c r="IL28" t="e">
        <f>AND('STERLING CATALOG - DRY '!H481,"AAAAAH1p/vU=")</f>
        <v>#VALUE!</v>
      </c>
      <c r="IM28" t="e">
        <f>AND('STERLING CATALOG - DRY '!I481,"AAAAAH1p/vY=")</f>
        <v>#VALUE!</v>
      </c>
      <c r="IN28" t="e">
        <f>AND('STERLING CATALOG - DRY '!J481,"AAAAAH1p/vc=")</f>
        <v>#VALUE!</v>
      </c>
      <c r="IO28">
        <f>IF('STERLING CATALOG - DRY '!482:482,"AAAAAH1p/vg=",0)</f>
        <v>0</v>
      </c>
      <c r="IP28" t="e">
        <f>AND('STERLING CATALOG - DRY '!A482,"AAAAAH1p/vk=")</f>
        <v>#VALUE!</v>
      </c>
      <c r="IQ28" t="e">
        <f>AND('STERLING CATALOG - DRY '!B482,"AAAAAH1p/vo=")</f>
        <v>#VALUE!</v>
      </c>
      <c r="IR28" t="e">
        <f>AND('STERLING CATALOG - DRY '!C482,"AAAAAH1p/vs=")</f>
        <v>#VALUE!</v>
      </c>
      <c r="IS28" t="e">
        <f>AND('STERLING CATALOG - DRY '!D482,"AAAAAH1p/vw=")</f>
        <v>#VALUE!</v>
      </c>
      <c r="IT28" t="e">
        <f>AND('STERLING CATALOG - DRY '!E482,"AAAAAH1p/v0=")</f>
        <v>#VALUE!</v>
      </c>
      <c r="IU28" t="e">
        <f>AND('STERLING CATALOG - DRY '!F482,"AAAAAH1p/v4=")</f>
        <v>#VALUE!</v>
      </c>
      <c r="IV28" t="e">
        <f>AND('STERLING CATALOG - DRY '!G482,"AAAAAH1p/v8=")</f>
        <v>#VALUE!</v>
      </c>
    </row>
    <row r="29" spans="1:256">
      <c r="A29" t="e">
        <f>AND('STERLING CATALOG - DRY '!H482,"AAAAADdgxwA=")</f>
        <v>#VALUE!</v>
      </c>
      <c r="B29" t="e">
        <f>AND('STERLING CATALOG - DRY '!I482,"AAAAADdgxwE=")</f>
        <v>#VALUE!</v>
      </c>
      <c r="C29" t="e">
        <f>AND('STERLING CATALOG - DRY '!J482,"AAAAADdgxwI=")</f>
        <v>#VALUE!</v>
      </c>
      <c r="D29" t="e">
        <f>IF('STERLING CATALOG - DRY '!483:483,"AAAAADdgxwM=",0)</f>
        <v>#VALUE!</v>
      </c>
      <c r="E29" t="e">
        <f>AND('STERLING CATALOG - DRY '!A483,"AAAAADdgxwQ=")</f>
        <v>#VALUE!</v>
      </c>
      <c r="F29" t="e">
        <f>AND('STERLING CATALOG - DRY '!B483,"AAAAADdgxwU=")</f>
        <v>#VALUE!</v>
      </c>
      <c r="G29" t="e">
        <f>AND('STERLING CATALOG - DRY '!C483,"AAAAADdgxwY=")</f>
        <v>#VALUE!</v>
      </c>
      <c r="H29" t="e">
        <f>AND('STERLING CATALOG - DRY '!D483,"AAAAADdgxwc=")</f>
        <v>#VALUE!</v>
      </c>
      <c r="I29" t="e">
        <f>AND('STERLING CATALOG - DRY '!E483,"AAAAADdgxwg=")</f>
        <v>#VALUE!</v>
      </c>
      <c r="J29" t="e">
        <f>AND('STERLING CATALOG - DRY '!F483,"AAAAADdgxwk=")</f>
        <v>#VALUE!</v>
      </c>
      <c r="K29" t="e">
        <f>AND('STERLING CATALOG - DRY '!G483,"AAAAADdgxwo=")</f>
        <v>#VALUE!</v>
      </c>
      <c r="L29" t="e">
        <f>AND('STERLING CATALOG - DRY '!H483,"AAAAADdgxws=")</f>
        <v>#VALUE!</v>
      </c>
      <c r="M29" t="e">
        <f>AND('STERLING CATALOG - DRY '!I483,"AAAAADdgxww=")</f>
        <v>#VALUE!</v>
      </c>
      <c r="N29" t="e">
        <f>AND('STERLING CATALOG - DRY '!J483,"AAAAADdgxw0=")</f>
        <v>#VALUE!</v>
      </c>
      <c r="O29">
        <f>IF('STERLING CATALOG - DRY '!484:484,"AAAAADdgxw4=",0)</f>
        <v>0</v>
      </c>
      <c r="P29" t="e">
        <f>AND('STERLING CATALOG - DRY '!A484,"AAAAADdgxw8=")</f>
        <v>#VALUE!</v>
      </c>
      <c r="Q29" t="e">
        <f>AND('STERLING CATALOG - DRY '!B484,"AAAAADdgxxA=")</f>
        <v>#VALUE!</v>
      </c>
      <c r="R29" t="e">
        <f>AND('STERLING CATALOG - DRY '!C484,"AAAAADdgxxE=")</f>
        <v>#VALUE!</v>
      </c>
      <c r="S29" t="e">
        <f>AND('STERLING CATALOG - DRY '!D484,"AAAAADdgxxI=")</f>
        <v>#VALUE!</v>
      </c>
      <c r="T29" t="e">
        <f>AND('STERLING CATALOG - DRY '!E484,"AAAAADdgxxM=")</f>
        <v>#VALUE!</v>
      </c>
      <c r="U29" t="e">
        <f>AND('STERLING CATALOG - DRY '!F484,"AAAAADdgxxQ=")</f>
        <v>#VALUE!</v>
      </c>
      <c r="V29" t="e">
        <f>AND('STERLING CATALOG - DRY '!G484,"AAAAADdgxxU=")</f>
        <v>#VALUE!</v>
      </c>
      <c r="W29" t="e">
        <f>AND('STERLING CATALOG - DRY '!H484,"AAAAADdgxxY=")</f>
        <v>#VALUE!</v>
      </c>
      <c r="X29" t="e">
        <f>AND('STERLING CATALOG - DRY '!I484,"AAAAADdgxxc=")</f>
        <v>#VALUE!</v>
      </c>
      <c r="Y29" t="e">
        <f>AND('STERLING CATALOG - DRY '!J484,"AAAAADdgxxg=")</f>
        <v>#VALUE!</v>
      </c>
      <c r="Z29">
        <f>IF('STERLING CATALOG - DRY '!485:485,"AAAAADdgxxk=",0)</f>
        <v>0</v>
      </c>
      <c r="AA29" t="e">
        <f>AND('STERLING CATALOG - DRY '!A485,"AAAAADdgxxo=")</f>
        <v>#VALUE!</v>
      </c>
      <c r="AB29" t="e">
        <f>AND('STERLING CATALOG - DRY '!B485,"AAAAADdgxxs=")</f>
        <v>#VALUE!</v>
      </c>
      <c r="AC29" t="e">
        <f>AND('STERLING CATALOG - DRY '!C485,"AAAAADdgxxw=")</f>
        <v>#VALUE!</v>
      </c>
      <c r="AD29" t="e">
        <f>AND('STERLING CATALOG - DRY '!D485,"AAAAADdgxx0=")</f>
        <v>#VALUE!</v>
      </c>
      <c r="AE29" t="e">
        <f>AND('STERLING CATALOG - DRY '!E485,"AAAAADdgxx4=")</f>
        <v>#VALUE!</v>
      </c>
      <c r="AF29" t="e">
        <f>AND('STERLING CATALOG - DRY '!F485,"AAAAADdgxx8=")</f>
        <v>#VALUE!</v>
      </c>
      <c r="AG29" t="e">
        <f>AND('STERLING CATALOG - DRY '!G485,"AAAAADdgxyA=")</f>
        <v>#VALUE!</v>
      </c>
      <c r="AH29" t="e">
        <f>AND('STERLING CATALOG - DRY '!H485,"AAAAADdgxyE=")</f>
        <v>#VALUE!</v>
      </c>
      <c r="AI29" t="e">
        <f>AND('STERLING CATALOG - DRY '!I485,"AAAAADdgxyI=")</f>
        <v>#VALUE!</v>
      </c>
      <c r="AJ29" t="e">
        <f>AND('STERLING CATALOG - DRY '!J485,"AAAAADdgxyM=")</f>
        <v>#VALUE!</v>
      </c>
      <c r="AK29">
        <f>IF('STERLING CATALOG - DRY '!486:486,"AAAAADdgxyQ=",0)</f>
        <v>0</v>
      </c>
      <c r="AL29" t="e">
        <f>AND('STERLING CATALOG - DRY '!A486,"AAAAADdgxyU=")</f>
        <v>#VALUE!</v>
      </c>
      <c r="AM29" t="e">
        <f>AND('STERLING CATALOG - DRY '!B486,"AAAAADdgxyY=")</f>
        <v>#VALUE!</v>
      </c>
      <c r="AN29" t="e">
        <f>AND('STERLING CATALOG - DRY '!C486,"AAAAADdgxyc=")</f>
        <v>#VALUE!</v>
      </c>
      <c r="AO29" t="e">
        <f>AND('STERLING CATALOG - DRY '!D486,"AAAAADdgxyg=")</f>
        <v>#VALUE!</v>
      </c>
      <c r="AP29" t="e">
        <f>AND('STERLING CATALOG - DRY '!E486,"AAAAADdgxyk=")</f>
        <v>#VALUE!</v>
      </c>
      <c r="AQ29" t="e">
        <f>AND('STERLING CATALOG - DRY '!F486,"AAAAADdgxyo=")</f>
        <v>#VALUE!</v>
      </c>
      <c r="AR29" t="e">
        <f>AND('STERLING CATALOG - DRY '!G486,"AAAAADdgxys=")</f>
        <v>#VALUE!</v>
      </c>
      <c r="AS29" t="e">
        <f>AND('STERLING CATALOG - DRY '!H486,"AAAAADdgxyw=")</f>
        <v>#VALUE!</v>
      </c>
      <c r="AT29" t="e">
        <f>AND('STERLING CATALOG - DRY '!I486,"AAAAADdgxy0=")</f>
        <v>#VALUE!</v>
      </c>
      <c r="AU29" t="e">
        <f>AND('STERLING CATALOG - DRY '!J486,"AAAAADdgxy4=")</f>
        <v>#VALUE!</v>
      </c>
      <c r="AV29">
        <f>IF('STERLING CATALOG - DRY '!487:487,"AAAAADdgxy8=",0)</f>
        <v>0</v>
      </c>
      <c r="AW29" t="e">
        <f>AND('STERLING CATALOG - DRY '!A487,"AAAAADdgxzA=")</f>
        <v>#VALUE!</v>
      </c>
      <c r="AX29" t="e">
        <f>AND('STERLING CATALOG - DRY '!B487,"AAAAADdgxzE=")</f>
        <v>#VALUE!</v>
      </c>
      <c r="AY29" t="e">
        <f>AND('STERLING CATALOG - DRY '!C487,"AAAAADdgxzI=")</f>
        <v>#VALUE!</v>
      </c>
      <c r="AZ29" t="e">
        <f>AND('STERLING CATALOG - DRY '!D487,"AAAAADdgxzM=")</f>
        <v>#VALUE!</v>
      </c>
      <c r="BA29" t="e">
        <f>AND('STERLING CATALOG - DRY '!E487,"AAAAADdgxzQ=")</f>
        <v>#VALUE!</v>
      </c>
      <c r="BB29" t="e">
        <f>AND('STERLING CATALOG - DRY '!F487,"AAAAADdgxzU=")</f>
        <v>#VALUE!</v>
      </c>
      <c r="BC29" t="e">
        <f>AND('STERLING CATALOG - DRY '!G487,"AAAAADdgxzY=")</f>
        <v>#VALUE!</v>
      </c>
      <c r="BD29" t="e">
        <f>AND('STERLING CATALOG - DRY '!H487,"AAAAADdgxzc=")</f>
        <v>#VALUE!</v>
      </c>
      <c r="BE29" t="e">
        <f>AND('STERLING CATALOG - DRY '!I487,"AAAAADdgxzg=")</f>
        <v>#VALUE!</v>
      </c>
      <c r="BF29" t="e">
        <f>AND('STERLING CATALOG - DRY '!J487,"AAAAADdgxzk=")</f>
        <v>#VALUE!</v>
      </c>
      <c r="BG29">
        <f>IF('STERLING CATALOG - DRY '!488:488,"AAAAADdgxzo=",0)</f>
        <v>0</v>
      </c>
      <c r="BH29" t="e">
        <f>AND('STERLING CATALOG - DRY '!A488,"AAAAADdgxzs=")</f>
        <v>#VALUE!</v>
      </c>
      <c r="BI29" t="e">
        <f>AND('STERLING CATALOG - DRY '!B488,"AAAAADdgxzw=")</f>
        <v>#VALUE!</v>
      </c>
      <c r="BJ29" t="e">
        <f>AND('STERLING CATALOG - DRY '!C488,"AAAAADdgxz0=")</f>
        <v>#VALUE!</v>
      </c>
      <c r="BK29" t="e">
        <f>AND('STERLING CATALOG - DRY '!D488,"AAAAADdgxz4=")</f>
        <v>#VALUE!</v>
      </c>
      <c r="BL29" t="e">
        <f>AND('STERLING CATALOG - DRY '!E488,"AAAAADdgxz8=")</f>
        <v>#VALUE!</v>
      </c>
      <c r="BM29" t="e">
        <f>AND('STERLING CATALOG - DRY '!F488,"AAAAADdgx0A=")</f>
        <v>#VALUE!</v>
      </c>
      <c r="BN29" t="e">
        <f>AND('STERLING CATALOG - DRY '!G488,"AAAAADdgx0E=")</f>
        <v>#VALUE!</v>
      </c>
      <c r="BO29" t="e">
        <f>AND('STERLING CATALOG - DRY '!H488,"AAAAADdgx0I=")</f>
        <v>#VALUE!</v>
      </c>
      <c r="BP29" t="e">
        <f>AND('STERLING CATALOG - DRY '!I488,"AAAAADdgx0M=")</f>
        <v>#VALUE!</v>
      </c>
      <c r="BQ29" t="e">
        <f>AND('STERLING CATALOG - DRY '!J488,"AAAAADdgx0Q=")</f>
        <v>#VALUE!</v>
      </c>
      <c r="BR29">
        <f>IF('STERLING CATALOG - DRY '!489:489,"AAAAADdgx0U=",0)</f>
        <v>0</v>
      </c>
      <c r="BS29" t="e">
        <f>AND('STERLING CATALOG - DRY '!A489,"AAAAADdgx0Y=")</f>
        <v>#VALUE!</v>
      </c>
      <c r="BT29" t="e">
        <f>AND('STERLING CATALOG - DRY '!B489,"AAAAADdgx0c=")</f>
        <v>#VALUE!</v>
      </c>
      <c r="BU29" t="e">
        <f>AND('STERLING CATALOG - DRY '!C489,"AAAAADdgx0g=")</f>
        <v>#VALUE!</v>
      </c>
      <c r="BV29" t="e">
        <f>AND('STERLING CATALOG - DRY '!D489,"AAAAADdgx0k=")</f>
        <v>#VALUE!</v>
      </c>
      <c r="BW29" t="e">
        <f>AND('STERLING CATALOG - DRY '!E489,"AAAAADdgx0o=")</f>
        <v>#VALUE!</v>
      </c>
      <c r="BX29" t="e">
        <f>AND('STERLING CATALOG - DRY '!F489,"AAAAADdgx0s=")</f>
        <v>#VALUE!</v>
      </c>
      <c r="BY29" t="e">
        <f>AND('STERLING CATALOG - DRY '!G489,"AAAAADdgx0w=")</f>
        <v>#VALUE!</v>
      </c>
      <c r="BZ29" t="e">
        <f>AND('STERLING CATALOG - DRY '!H489,"AAAAADdgx00=")</f>
        <v>#VALUE!</v>
      </c>
      <c r="CA29" t="e">
        <f>AND('STERLING CATALOG - DRY '!I489,"AAAAADdgx04=")</f>
        <v>#VALUE!</v>
      </c>
      <c r="CB29" t="e">
        <f>AND('STERLING CATALOG - DRY '!J489,"AAAAADdgx08=")</f>
        <v>#VALUE!</v>
      </c>
      <c r="CC29">
        <f>IF('STERLING CATALOG - DRY '!490:490,"AAAAADdgx1A=",0)</f>
        <v>0</v>
      </c>
      <c r="CD29" t="e">
        <f>AND('STERLING CATALOG - DRY '!A490,"AAAAADdgx1E=")</f>
        <v>#VALUE!</v>
      </c>
      <c r="CE29" t="e">
        <f>AND('STERLING CATALOG - DRY '!B490,"AAAAADdgx1I=")</f>
        <v>#VALUE!</v>
      </c>
      <c r="CF29" t="e">
        <f>AND('STERLING CATALOG - DRY '!C490,"AAAAADdgx1M=")</f>
        <v>#VALUE!</v>
      </c>
      <c r="CG29" t="e">
        <f>AND('STERLING CATALOG - DRY '!D490,"AAAAADdgx1Q=")</f>
        <v>#VALUE!</v>
      </c>
      <c r="CH29" t="e">
        <f>AND('STERLING CATALOG - DRY '!E490,"AAAAADdgx1U=")</f>
        <v>#VALUE!</v>
      </c>
      <c r="CI29" t="e">
        <f>AND('STERLING CATALOG - DRY '!F490,"AAAAADdgx1Y=")</f>
        <v>#VALUE!</v>
      </c>
      <c r="CJ29" t="e">
        <f>AND('STERLING CATALOG - DRY '!G490,"AAAAADdgx1c=")</f>
        <v>#VALUE!</v>
      </c>
      <c r="CK29" t="e">
        <f>AND('STERLING CATALOG - DRY '!H490,"AAAAADdgx1g=")</f>
        <v>#VALUE!</v>
      </c>
      <c r="CL29" t="e">
        <f>AND('STERLING CATALOG - DRY '!I490,"AAAAADdgx1k=")</f>
        <v>#VALUE!</v>
      </c>
      <c r="CM29" t="e">
        <f>AND('STERLING CATALOG - DRY '!J490,"AAAAADdgx1o=")</f>
        <v>#VALUE!</v>
      </c>
      <c r="CN29">
        <f>IF('STERLING CATALOG - DRY '!491:491,"AAAAADdgx1s=",0)</f>
        <v>0</v>
      </c>
      <c r="CO29" t="e">
        <f>AND('STERLING CATALOG - DRY '!A491,"AAAAADdgx1w=")</f>
        <v>#VALUE!</v>
      </c>
      <c r="CP29" t="e">
        <f>AND('STERLING CATALOG - DRY '!B491,"AAAAADdgx10=")</f>
        <v>#VALUE!</v>
      </c>
      <c r="CQ29" t="e">
        <f>AND('STERLING CATALOG - DRY '!C491,"AAAAADdgx14=")</f>
        <v>#VALUE!</v>
      </c>
      <c r="CR29" t="e">
        <f>AND('STERLING CATALOG - DRY '!D491,"AAAAADdgx18=")</f>
        <v>#VALUE!</v>
      </c>
      <c r="CS29" t="e">
        <f>AND('STERLING CATALOG - DRY '!E491,"AAAAADdgx2A=")</f>
        <v>#VALUE!</v>
      </c>
      <c r="CT29" t="e">
        <f>AND('STERLING CATALOG - DRY '!F491,"AAAAADdgx2E=")</f>
        <v>#VALUE!</v>
      </c>
      <c r="CU29" t="e">
        <f>AND('STERLING CATALOG - DRY '!G491,"AAAAADdgx2I=")</f>
        <v>#VALUE!</v>
      </c>
      <c r="CV29" t="e">
        <f>AND('STERLING CATALOG - DRY '!H491,"AAAAADdgx2M=")</f>
        <v>#VALUE!</v>
      </c>
      <c r="CW29" t="e">
        <f>AND('STERLING CATALOG - DRY '!I491,"AAAAADdgx2Q=")</f>
        <v>#VALUE!</v>
      </c>
      <c r="CX29" t="e">
        <f>AND('STERLING CATALOG - DRY '!J491,"AAAAADdgx2U=")</f>
        <v>#VALUE!</v>
      </c>
      <c r="CY29">
        <f>IF('STERLING CATALOG - DRY '!492:492,"AAAAADdgx2Y=",0)</f>
        <v>0</v>
      </c>
      <c r="CZ29" t="e">
        <f>AND('STERLING CATALOG - DRY '!A492,"AAAAADdgx2c=")</f>
        <v>#VALUE!</v>
      </c>
      <c r="DA29" t="e">
        <f>AND('STERLING CATALOG - DRY '!B492,"AAAAADdgx2g=")</f>
        <v>#VALUE!</v>
      </c>
      <c r="DB29" t="e">
        <f>AND('STERLING CATALOG - DRY '!C492,"AAAAADdgx2k=")</f>
        <v>#VALUE!</v>
      </c>
      <c r="DC29" t="e">
        <f>AND('STERLING CATALOG - DRY '!D492,"AAAAADdgx2o=")</f>
        <v>#VALUE!</v>
      </c>
      <c r="DD29" t="e">
        <f>AND('STERLING CATALOG - DRY '!E492,"AAAAADdgx2s=")</f>
        <v>#VALUE!</v>
      </c>
      <c r="DE29" t="e">
        <f>AND('STERLING CATALOG - DRY '!F492,"AAAAADdgx2w=")</f>
        <v>#VALUE!</v>
      </c>
      <c r="DF29" t="e">
        <f>AND('STERLING CATALOG - DRY '!G492,"AAAAADdgx20=")</f>
        <v>#VALUE!</v>
      </c>
      <c r="DG29" t="e">
        <f>AND('STERLING CATALOG - DRY '!H492,"AAAAADdgx24=")</f>
        <v>#VALUE!</v>
      </c>
      <c r="DH29" t="e">
        <f>AND('STERLING CATALOG - DRY '!I492,"AAAAADdgx28=")</f>
        <v>#VALUE!</v>
      </c>
      <c r="DI29" t="e">
        <f>AND('STERLING CATALOG - DRY '!J492,"AAAAADdgx3A=")</f>
        <v>#VALUE!</v>
      </c>
      <c r="DJ29">
        <f>IF('STERLING CATALOG - DRY '!493:493,"AAAAADdgx3E=",0)</f>
        <v>0</v>
      </c>
      <c r="DK29" t="e">
        <f>AND('STERLING CATALOG - DRY '!A493,"AAAAADdgx3I=")</f>
        <v>#VALUE!</v>
      </c>
      <c r="DL29" t="e">
        <f>AND('STERLING CATALOG - DRY '!B493,"AAAAADdgx3M=")</f>
        <v>#VALUE!</v>
      </c>
      <c r="DM29" t="e">
        <f>AND('STERLING CATALOG - DRY '!C493,"AAAAADdgx3Q=")</f>
        <v>#VALUE!</v>
      </c>
      <c r="DN29" t="e">
        <f>AND('STERLING CATALOG - DRY '!D493,"AAAAADdgx3U=")</f>
        <v>#VALUE!</v>
      </c>
      <c r="DO29" t="e">
        <f>AND('STERLING CATALOG - DRY '!E493,"AAAAADdgx3Y=")</f>
        <v>#VALUE!</v>
      </c>
      <c r="DP29" t="e">
        <f>AND('STERLING CATALOG - DRY '!F493,"AAAAADdgx3c=")</f>
        <v>#VALUE!</v>
      </c>
      <c r="DQ29" t="e">
        <f>AND('STERLING CATALOG - DRY '!G493,"AAAAADdgx3g=")</f>
        <v>#VALUE!</v>
      </c>
      <c r="DR29" t="e">
        <f>AND('STERLING CATALOG - DRY '!H493,"AAAAADdgx3k=")</f>
        <v>#VALUE!</v>
      </c>
      <c r="DS29" t="e">
        <f>AND('STERLING CATALOG - DRY '!I493,"AAAAADdgx3o=")</f>
        <v>#VALUE!</v>
      </c>
      <c r="DT29" t="e">
        <f>AND('STERLING CATALOG - DRY '!J493,"AAAAADdgx3s=")</f>
        <v>#VALUE!</v>
      </c>
      <c r="DU29">
        <f>IF('STERLING CATALOG - DRY '!494:494,"AAAAADdgx3w=",0)</f>
        <v>0</v>
      </c>
      <c r="DV29" t="e">
        <f>AND('STERLING CATALOG - DRY '!A494,"AAAAADdgx30=")</f>
        <v>#VALUE!</v>
      </c>
      <c r="DW29" t="e">
        <f>AND('STERLING CATALOG - DRY '!B494,"AAAAADdgx34=")</f>
        <v>#VALUE!</v>
      </c>
      <c r="DX29" t="e">
        <f>AND('STERLING CATALOG - DRY '!C494,"AAAAADdgx38=")</f>
        <v>#VALUE!</v>
      </c>
      <c r="DY29" t="e">
        <f>AND('STERLING CATALOG - DRY '!D494,"AAAAADdgx4A=")</f>
        <v>#VALUE!</v>
      </c>
      <c r="DZ29" t="e">
        <f>AND('STERLING CATALOG - DRY '!E494,"AAAAADdgx4E=")</f>
        <v>#VALUE!</v>
      </c>
      <c r="EA29" t="e">
        <f>AND('STERLING CATALOG - DRY '!F494,"AAAAADdgx4I=")</f>
        <v>#VALUE!</v>
      </c>
      <c r="EB29" t="e">
        <f>AND('STERLING CATALOG - DRY '!G494,"AAAAADdgx4M=")</f>
        <v>#VALUE!</v>
      </c>
      <c r="EC29" t="e">
        <f>AND('STERLING CATALOG - DRY '!H494,"AAAAADdgx4Q=")</f>
        <v>#VALUE!</v>
      </c>
      <c r="ED29" t="e">
        <f>AND('STERLING CATALOG - DRY '!I494,"AAAAADdgx4U=")</f>
        <v>#VALUE!</v>
      </c>
      <c r="EE29" t="e">
        <f>AND('STERLING CATALOG - DRY '!J494,"AAAAADdgx4Y=")</f>
        <v>#VALUE!</v>
      </c>
      <c r="EF29">
        <f>IF('STERLING CATALOG - DRY '!495:495,"AAAAADdgx4c=",0)</f>
        <v>0</v>
      </c>
      <c r="EG29" t="e">
        <f>AND('STERLING CATALOG - DRY '!A495,"AAAAADdgx4g=")</f>
        <v>#VALUE!</v>
      </c>
      <c r="EH29" t="e">
        <f>AND('STERLING CATALOG - DRY '!B495,"AAAAADdgx4k=")</f>
        <v>#VALUE!</v>
      </c>
      <c r="EI29" t="e">
        <f>AND('STERLING CATALOG - DRY '!C495,"AAAAADdgx4o=")</f>
        <v>#VALUE!</v>
      </c>
      <c r="EJ29" t="e">
        <f>AND('STERLING CATALOG - DRY '!D495,"AAAAADdgx4s=")</f>
        <v>#VALUE!</v>
      </c>
      <c r="EK29" t="e">
        <f>AND('STERLING CATALOG - DRY '!E495,"AAAAADdgx4w=")</f>
        <v>#VALUE!</v>
      </c>
      <c r="EL29" t="e">
        <f>AND('STERLING CATALOG - DRY '!F495,"AAAAADdgx40=")</f>
        <v>#VALUE!</v>
      </c>
      <c r="EM29" t="e">
        <f>AND('STERLING CATALOG - DRY '!G495,"AAAAADdgx44=")</f>
        <v>#VALUE!</v>
      </c>
      <c r="EN29" t="e">
        <f>AND('STERLING CATALOG - DRY '!H495,"AAAAADdgx48=")</f>
        <v>#VALUE!</v>
      </c>
      <c r="EO29" t="e">
        <f>AND('STERLING CATALOG - DRY '!I495,"AAAAADdgx5A=")</f>
        <v>#VALUE!</v>
      </c>
      <c r="EP29" t="e">
        <f>AND('STERLING CATALOG - DRY '!J495,"AAAAADdgx5E=")</f>
        <v>#VALUE!</v>
      </c>
      <c r="EQ29">
        <f>IF('STERLING CATALOG - DRY '!496:496,"AAAAADdgx5I=",0)</f>
        <v>0</v>
      </c>
      <c r="ER29" t="e">
        <f>AND('STERLING CATALOG - DRY '!A496,"AAAAADdgx5M=")</f>
        <v>#VALUE!</v>
      </c>
      <c r="ES29" t="e">
        <f>AND('STERLING CATALOG - DRY '!B496,"AAAAADdgx5Q=")</f>
        <v>#VALUE!</v>
      </c>
      <c r="ET29" t="e">
        <f>AND('STERLING CATALOG - DRY '!C496,"AAAAADdgx5U=")</f>
        <v>#VALUE!</v>
      </c>
      <c r="EU29" t="e">
        <f>AND('STERLING CATALOG - DRY '!D496,"AAAAADdgx5Y=")</f>
        <v>#VALUE!</v>
      </c>
      <c r="EV29" t="e">
        <f>AND('STERLING CATALOG - DRY '!E496,"AAAAADdgx5c=")</f>
        <v>#VALUE!</v>
      </c>
      <c r="EW29" t="e">
        <f>AND('STERLING CATALOG - DRY '!F496,"AAAAADdgx5g=")</f>
        <v>#VALUE!</v>
      </c>
      <c r="EX29" t="e">
        <f>AND('STERLING CATALOG - DRY '!G496,"AAAAADdgx5k=")</f>
        <v>#VALUE!</v>
      </c>
      <c r="EY29" t="e">
        <f>AND('STERLING CATALOG - DRY '!H496,"AAAAADdgx5o=")</f>
        <v>#VALUE!</v>
      </c>
      <c r="EZ29" t="e">
        <f>AND('STERLING CATALOG - DRY '!I496,"AAAAADdgx5s=")</f>
        <v>#VALUE!</v>
      </c>
      <c r="FA29" t="e">
        <f>AND('STERLING CATALOG - DRY '!J496,"AAAAADdgx5w=")</f>
        <v>#VALUE!</v>
      </c>
      <c r="FB29">
        <f>IF('STERLING CATALOG - DRY '!497:497,"AAAAADdgx50=",0)</f>
        <v>0</v>
      </c>
      <c r="FC29" t="e">
        <f>AND('STERLING CATALOG - DRY '!A497,"AAAAADdgx54=")</f>
        <v>#VALUE!</v>
      </c>
      <c r="FD29" t="e">
        <f>AND('STERLING CATALOG - DRY '!B497,"AAAAADdgx58=")</f>
        <v>#VALUE!</v>
      </c>
      <c r="FE29" t="e">
        <f>AND('STERLING CATALOG - DRY '!C497,"AAAAADdgx6A=")</f>
        <v>#VALUE!</v>
      </c>
      <c r="FF29" t="e">
        <f>AND('STERLING CATALOG - DRY '!D497,"AAAAADdgx6E=")</f>
        <v>#VALUE!</v>
      </c>
      <c r="FG29" t="e">
        <f>AND('STERLING CATALOG - DRY '!E497,"AAAAADdgx6I=")</f>
        <v>#VALUE!</v>
      </c>
      <c r="FH29" t="e">
        <f>AND('STERLING CATALOG - DRY '!F497,"AAAAADdgx6M=")</f>
        <v>#VALUE!</v>
      </c>
      <c r="FI29" t="e">
        <f>AND('STERLING CATALOG - DRY '!G497,"AAAAADdgx6Q=")</f>
        <v>#VALUE!</v>
      </c>
      <c r="FJ29" t="e">
        <f>AND('STERLING CATALOG - DRY '!H497,"AAAAADdgx6U=")</f>
        <v>#VALUE!</v>
      </c>
      <c r="FK29" t="e">
        <f>AND('STERLING CATALOG - DRY '!I497,"AAAAADdgx6Y=")</f>
        <v>#VALUE!</v>
      </c>
      <c r="FL29" t="e">
        <f>AND('STERLING CATALOG - DRY '!J497,"AAAAADdgx6c=")</f>
        <v>#VALUE!</v>
      </c>
      <c r="FM29">
        <f>IF('STERLING CATALOG - DRY '!498:498,"AAAAADdgx6g=",0)</f>
        <v>0</v>
      </c>
      <c r="FN29" t="e">
        <f>AND('STERLING CATALOG - DRY '!A498,"AAAAADdgx6k=")</f>
        <v>#VALUE!</v>
      </c>
      <c r="FO29" t="e">
        <f>AND('STERLING CATALOG - DRY '!B498,"AAAAADdgx6o=")</f>
        <v>#VALUE!</v>
      </c>
      <c r="FP29" t="e">
        <f>AND('STERLING CATALOG - DRY '!C498,"AAAAADdgx6s=")</f>
        <v>#VALUE!</v>
      </c>
      <c r="FQ29" t="e">
        <f>AND('STERLING CATALOG - DRY '!D498,"AAAAADdgx6w=")</f>
        <v>#VALUE!</v>
      </c>
      <c r="FR29" t="e">
        <f>AND('STERLING CATALOG - DRY '!E498,"AAAAADdgx60=")</f>
        <v>#VALUE!</v>
      </c>
      <c r="FS29" t="e">
        <f>AND('STERLING CATALOG - DRY '!F498,"AAAAADdgx64=")</f>
        <v>#VALUE!</v>
      </c>
      <c r="FT29" t="e">
        <f>AND('STERLING CATALOG - DRY '!G498,"AAAAADdgx68=")</f>
        <v>#VALUE!</v>
      </c>
      <c r="FU29" t="e">
        <f>AND('STERLING CATALOG - DRY '!H498,"AAAAADdgx7A=")</f>
        <v>#VALUE!</v>
      </c>
      <c r="FV29" t="e">
        <f>AND('STERLING CATALOG - DRY '!I498,"AAAAADdgx7E=")</f>
        <v>#VALUE!</v>
      </c>
      <c r="FW29" t="e">
        <f>AND('STERLING CATALOG - DRY '!J498,"AAAAADdgx7I=")</f>
        <v>#VALUE!</v>
      </c>
      <c r="FX29">
        <f>IF('STERLING CATALOG - DRY '!499:499,"AAAAADdgx7M=",0)</f>
        <v>0</v>
      </c>
      <c r="FY29" t="e">
        <f>AND('STERLING CATALOG - DRY '!A499,"AAAAADdgx7Q=")</f>
        <v>#VALUE!</v>
      </c>
      <c r="FZ29" t="e">
        <f>AND('STERLING CATALOG - DRY '!B499,"AAAAADdgx7U=")</f>
        <v>#VALUE!</v>
      </c>
      <c r="GA29" t="e">
        <f>AND('STERLING CATALOG - DRY '!C499,"AAAAADdgx7Y=")</f>
        <v>#VALUE!</v>
      </c>
      <c r="GB29" t="e">
        <f>AND('STERLING CATALOG - DRY '!D499,"AAAAADdgx7c=")</f>
        <v>#VALUE!</v>
      </c>
      <c r="GC29" t="e">
        <f>AND('STERLING CATALOG - DRY '!E499,"AAAAADdgx7g=")</f>
        <v>#VALUE!</v>
      </c>
      <c r="GD29" t="e">
        <f>AND('STERLING CATALOG - DRY '!F499,"AAAAADdgx7k=")</f>
        <v>#VALUE!</v>
      </c>
      <c r="GE29" t="e">
        <f>AND('STERLING CATALOG - DRY '!G499,"AAAAADdgx7o=")</f>
        <v>#VALUE!</v>
      </c>
      <c r="GF29" t="e">
        <f>AND('STERLING CATALOG - DRY '!H499,"AAAAADdgx7s=")</f>
        <v>#VALUE!</v>
      </c>
      <c r="GG29" t="e">
        <f>AND('STERLING CATALOG - DRY '!I499,"AAAAADdgx7w=")</f>
        <v>#VALUE!</v>
      </c>
      <c r="GH29" t="e">
        <f>AND('STERLING CATALOG - DRY '!J499,"AAAAADdgx70=")</f>
        <v>#VALUE!</v>
      </c>
      <c r="GI29">
        <f>IF('STERLING CATALOG - DRY '!500:500,"AAAAADdgx74=",0)</f>
        <v>0</v>
      </c>
      <c r="GJ29" t="e">
        <f>AND('STERLING CATALOG - DRY '!A500,"AAAAADdgx78=")</f>
        <v>#VALUE!</v>
      </c>
      <c r="GK29" t="e">
        <f>AND('STERLING CATALOG - DRY '!B500,"AAAAADdgx8A=")</f>
        <v>#VALUE!</v>
      </c>
      <c r="GL29" t="e">
        <f>AND('STERLING CATALOG - DRY '!C500,"AAAAADdgx8E=")</f>
        <v>#VALUE!</v>
      </c>
      <c r="GM29" t="e">
        <f>AND('STERLING CATALOG - DRY '!D500,"AAAAADdgx8I=")</f>
        <v>#VALUE!</v>
      </c>
      <c r="GN29" t="e">
        <f>AND('STERLING CATALOG - DRY '!E500,"AAAAADdgx8M=")</f>
        <v>#VALUE!</v>
      </c>
      <c r="GO29" t="e">
        <f>AND('STERLING CATALOG - DRY '!F500,"AAAAADdgx8Q=")</f>
        <v>#VALUE!</v>
      </c>
      <c r="GP29" t="e">
        <f>AND('STERLING CATALOG - DRY '!G500,"AAAAADdgx8U=")</f>
        <v>#VALUE!</v>
      </c>
      <c r="GQ29" t="e">
        <f>AND('STERLING CATALOG - DRY '!H500,"AAAAADdgx8Y=")</f>
        <v>#VALUE!</v>
      </c>
      <c r="GR29" t="e">
        <f>AND('STERLING CATALOG - DRY '!I500,"AAAAADdgx8c=")</f>
        <v>#VALUE!</v>
      </c>
      <c r="GS29" t="e">
        <f>AND('STERLING CATALOG - DRY '!J500,"AAAAADdgx8g=")</f>
        <v>#VALUE!</v>
      </c>
      <c r="GT29">
        <f>IF('STERLING CATALOG - DRY '!501:501,"AAAAADdgx8k=",0)</f>
        <v>0</v>
      </c>
      <c r="GU29" t="e">
        <f>AND('STERLING CATALOG - DRY '!A501,"AAAAADdgx8o=")</f>
        <v>#VALUE!</v>
      </c>
      <c r="GV29" t="e">
        <f>AND('STERLING CATALOG - DRY '!B501,"AAAAADdgx8s=")</f>
        <v>#VALUE!</v>
      </c>
      <c r="GW29" t="e">
        <f>AND('STERLING CATALOG - DRY '!C501,"AAAAADdgx8w=")</f>
        <v>#VALUE!</v>
      </c>
      <c r="GX29" t="e">
        <f>AND('STERLING CATALOG - DRY '!D501,"AAAAADdgx80=")</f>
        <v>#VALUE!</v>
      </c>
      <c r="GY29" t="e">
        <f>AND('STERLING CATALOG - DRY '!E501,"AAAAADdgx84=")</f>
        <v>#VALUE!</v>
      </c>
      <c r="GZ29" t="e">
        <f>AND('STERLING CATALOG - DRY '!F501,"AAAAADdgx88=")</f>
        <v>#VALUE!</v>
      </c>
      <c r="HA29" t="e">
        <f>AND('STERLING CATALOG - DRY '!G501,"AAAAADdgx9A=")</f>
        <v>#VALUE!</v>
      </c>
      <c r="HB29" t="e">
        <f>AND('STERLING CATALOG - DRY '!H501,"AAAAADdgx9E=")</f>
        <v>#VALUE!</v>
      </c>
      <c r="HC29" t="e">
        <f>AND('STERLING CATALOG - DRY '!I501,"AAAAADdgx9I=")</f>
        <v>#VALUE!</v>
      </c>
      <c r="HD29" t="e">
        <f>AND('STERLING CATALOG - DRY '!J501,"AAAAADdgx9M=")</f>
        <v>#VALUE!</v>
      </c>
      <c r="HE29">
        <f>IF('STERLING CATALOG - DRY '!502:502,"AAAAADdgx9Q=",0)</f>
        <v>0</v>
      </c>
      <c r="HF29" t="e">
        <f>AND('STERLING CATALOG - DRY '!A502,"AAAAADdgx9U=")</f>
        <v>#VALUE!</v>
      </c>
      <c r="HG29" t="e">
        <f>AND('STERLING CATALOG - DRY '!B502,"AAAAADdgx9Y=")</f>
        <v>#VALUE!</v>
      </c>
      <c r="HH29" t="e">
        <f>AND('STERLING CATALOG - DRY '!C502,"AAAAADdgx9c=")</f>
        <v>#VALUE!</v>
      </c>
      <c r="HI29" t="e">
        <f>AND('STERLING CATALOG - DRY '!D502,"AAAAADdgx9g=")</f>
        <v>#VALUE!</v>
      </c>
      <c r="HJ29" t="e">
        <f>AND('STERLING CATALOG - DRY '!E502,"AAAAADdgx9k=")</f>
        <v>#VALUE!</v>
      </c>
      <c r="HK29" t="e">
        <f>AND('STERLING CATALOG - DRY '!F502,"AAAAADdgx9o=")</f>
        <v>#VALUE!</v>
      </c>
      <c r="HL29" t="e">
        <f>AND('STERLING CATALOG - DRY '!G502,"AAAAADdgx9s=")</f>
        <v>#VALUE!</v>
      </c>
      <c r="HM29" t="e">
        <f>AND('STERLING CATALOG - DRY '!H502,"AAAAADdgx9w=")</f>
        <v>#VALUE!</v>
      </c>
      <c r="HN29" t="e">
        <f>AND('STERLING CATALOG - DRY '!I502,"AAAAADdgx90=")</f>
        <v>#VALUE!</v>
      </c>
      <c r="HO29" t="e">
        <f>AND('STERLING CATALOG - DRY '!J502,"AAAAADdgx94=")</f>
        <v>#VALUE!</v>
      </c>
      <c r="HP29">
        <f>IF('STERLING CATALOG - DRY '!503:503,"AAAAADdgx98=",0)</f>
        <v>0</v>
      </c>
      <c r="HQ29" t="e">
        <f>AND('STERLING CATALOG - DRY '!A503,"AAAAADdgx+A=")</f>
        <v>#VALUE!</v>
      </c>
      <c r="HR29" t="e">
        <f>AND('STERLING CATALOG - DRY '!B503,"AAAAADdgx+E=")</f>
        <v>#VALUE!</v>
      </c>
      <c r="HS29" t="e">
        <f>AND('STERLING CATALOG - DRY '!C503,"AAAAADdgx+I=")</f>
        <v>#VALUE!</v>
      </c>
      <c r="HT29" t="e">
        <f>AND('STERLING CATALOG - DRY '!D503,"AAAAADdgx+M=")</f>
        <v>#VALUE!</v>
      </c>
      <c r="HU29" t="e">
        <f>AND('STERLING CATALOG - DRY '!E503,"AAAAADdgx+Q=")</f>
        <v>#VALUE!</v>
      </c>
      <c r="HV29" t="e">
        <f>AND('STERLING CATALOG - DRY '!F503,"AAAAADdgx+U=")</f>
        <v>#VALUE!</v>
      </c>
      <c r="HW29" t="e">
        <f>AND('STERLING CATALOG - DRY '!G503,"AAAAADdgx+Y=")</f>
        <v>#VALUE!</v>
      </c>
      <c r="HX29" t="e">
        <f>AND('STERLING CATALOG - DRY '!H503,"AAAAADdgx+c=")</f>
        <v>#VALUE!</v>
      </c>
      <c r="HY29" t="e">
        <f>AND('STERLING CATALOG - DRY '!I503,"AAAAADdgx+g=")</f>
        <v>#VALUE!</v>
      </c>
      <c r="HZ29" t="e">
        <f>AND('STERLING CATALOG - DRY '!J503,"AAAAADdgx+k=")</f>
        <v>#VALUE!</v>
      </c>
      <c r="IA29">
        <f>IF('STERLING CATALOG - DRY '!504:504,"AAAAADdgx+o=",0)</f>
        <v>0</v>
      </c>
      <c r="IB29" t="e">
        <f>AND('STERLING CATALOG - DRY '!A504,"AAAAADdgx+s=")</f>
        <v>#VALUE!</v>
      </c>
      <c r="IC29" t="e">
        <f>AND('STERLING CATALOG - DRY '!B504,"AAAAADdgx+w=")</f>
        <v>#VALUE!</v>
      </c>
      <c r="ID29" t="e">
        <f>AND('STERLING CATALOG - DRY '!C504,"AAAAADdgx+0=")</f>
        <v>#VALUE!</v>
      </c>
      <c r="IE29" t="e">
        <f>AND('STERLING CATALOG - DRY '!D504,"AAAAADdgx+4=")</f>
        <v>#VALUE!</v>
      </c>
      <c r="IF29" t="e">
        <f>AND('STERLING CATALOG - DRY '!E504,"AAAAADdgx+8=")</f>
        <v>#VALUE!</v>
      </c>
      <c r="IG29" t="e">
        <f>AND('STERLING CATALOG - DRY '!F504,"AAAAADdgx/A=")</f>
        <v>#VALUE!</v>
      </c>
      <c r="IH29" t="e">
        <f>AND('STERLING CATALOG - DRY '!G504,"AAAAADdgx/E=")</f>
        <v>#VALUE!</v>
      </c>
      <c r="II29" t="e">
        <f>AND('STERLING CATALOG - DRY '!H504,"AAAAADdgx/I=")</f>
        <v>#VALUE!</v>
      </c>
      <c r="IJ29" t="e">
        <f>AND('STERLING CATALOG - DRY '!I504,"AAAAADdgx/M=")</f>
        <v>#VALUE!</v>
      </c>
      <c r="IK29" t="e">
        <f>AND('STERLING CATALOG - DRY '!J504,"AAAAADdgx/Q=")</f>
        <v>#VALUE!</v>
      </c>
      <c r="IL29">
        <f>IF('STERLING CATALOG - DRY '!505:505,"AAAAADdgx/U=",0)</f>
        <v>0</v>
      </c>
      <c r="IM29" t="e">
        <f>AND('STERLING CATALOG - DRY '!A505,"AAAAADdgx/Y=")</f>
        <v>#VALUE!</v>
      </c>
      <c r="IN29" t="e">
        <f>AND('STERLING CATALOG - DRY '!B505,"AAAAADdgx/c=")</f>
        <v>#VALUE!</v>
      </c>
      <c r="IO29" t="e">
        <f>AND('STERLING CATALOG - DRY '!C505,"AAAAADdgx/g=")</f>
        <v>#VALUE!</v>
      </c>
      <c r="IP29" t="e">
        <f>AND('STERLING CATALOG - DRY '!D505,"AAAAADdgx/k=")</f>
        <v>#VALUE!</v>
      </c>
      <c r="IQ29" t="e">
        <f>AND('STERLING CATALOG - DRY '!E505,"AAAAADdgx/o=")</f>
        <v>#VALUE!</v>
      </c>
      <c r="IR29" t="e">
        <f>AND('STERLING CATALOG - DRY '!F505,"AAAAADdgx/s=")</f>
        <v>#VALUE!</v>
      </c>
      <c r="IS29" t="e">
        <f>AND('STERLING CATALOG - DRY '!G505,"AAAAADdgx/w=")</f>
        <v>#VALUE!</v>
      </c>
      <c r="IT29" t="e">
        <f>AND('STERLING CATALOG - DRY '!H505,"AAAAADdgx/0=")</f>
        <v>#VALUE!</v>
      </c>
      <c r="IU29" t="e">
        <f>AND('STERLING CATALOG - DRY '!I505,"AAAAADdgx/4=")</f>
        <v>#VALUE!</v>
      </c>
      <c r="IV29" t="e">
        <f>AND('STERLING CATALOG - DRY '!J505,"AAAAADdgx/8=")</f>
        <v>#VALUE!</v>
      </c>
    </row>
    <row r="30" spans="1:256">
      <c r="A30" t="str">
        <f>IF('STERLING CATALOG - DRY '!506:506,"AAAAAAe73wA=",0)</f>
        <v>AAAAAAe73wA=</v>
      </c>
      <c r="B30" t="e">
        <f>AND('STERLING CATALOG - DRY '!A506,"AAAAAAe73wE=")</f>
        <v>#VALUE!</v>
      </c>
      <c r="C30" t="e">
        <f>AND('STERLING CATALOG - DRY '!B506,"AAAAAAe73wI=")</f>
        <v>#VALUE!</v>
      </c>
      <c r="D30" t="e">
        <f>AND('STERLING CATALOG - DRY '!C506,"AAAAAAe73wM=")</f>
        <v>#VALUE!</v>
      </c>
      <c r="E30" t="e">
        <f>AND('STERLING CATALOG - DRY '!D506,"AAAAAAe73wQ=")</f>
        <v>#VALUE!</v>
      </c>
      <c r="F30" t="e">
        <f>AND('STERLING CATALOG - DRY '!E506,"AAAAAAe73wU=")</f>
        <v>#VALUE!</v>
      </c>
      <c r="G30" t="e">
        <f>AND('STERLING CATALOG - DRY '!F506,"AAAAAAe73wY=")</f>
        <v>#VALUE!</v>
      </c>
      <c r="H30" t="e">
        <f>AND('STERLING CATALOG - DRY '!G506,"AAAAAAe73wc=")</f>
        <v>#VALUE!</v>
      </c>
      <c r="I30" t="e">
        <f>AND('STERLING CATALOG - DRY '!H506,"AAAAAAe73wg=")</f>
        <v>#VALUE!</v>
      </c>
      <c r="J30" t="e">
        <f>AND('STERLING CATALOG - DRY '!I506,"AAAAAAe73wk=")</f>
        <v>#VALUE!</v>
      </c>
      <c r="K30" t="e">
        <f>AND('STERLING CATALOG - DRY '!J506,"AAAAAAe73wo=")</f>
        <v>#VALUE!</v>
      </c>
      <c r="L30">
        <f>IF('STERLING CATALOG - DRY '!507:507,"AAAAAAe73ws=",0)</f>
        <v>0</v>
      </c>
      <c r="M30" t="e">
        <f>AND('STERLING CATALOG - DRY '!A507,"AAAAAAe73ww=")</f>
        <v>#VALUE!</v>
      </c>
      <c r="N30" t="e">
        <f>AND('STERLING CATALOG - DRY '!B507,"AAAAAAe73w0=")</f>
        <v>#VALUE!</v>
      </c>
      <c r="O30" t="e">
        <f>AND('STERLING CATALOG - DRY '!C507,"AAAAAAe73w4=")</f>
        <v>#VALUE!</v>
      </c>
      <c r="P30" t="e">
        <f>AND('STERLING CATALOG - DRY '!D507,"AAAAAAe73w8=")</f>
        <v>#VALUE!</v>
      </c>
      <c r="Q30" t="e">
        <f>AND('STERLING CATALOG - DRY '!E507,"AAAAAAe73xA=")</f>
        <v>#VALUE!</v>
      </c>
      <c r="R30" t="e">
        <f>AND('STERLING CATALOG - DRY '!F507,"AAAAAAe73xE=")</f>
        <v>#VALUE!</v>
      </c>
      <c r="S30" t="e">
        <f>AND('STERLING CATALOG - DRY '!G507,"AAAAAAe73xI=")</f>
        <v>#VALUE!</v>
      </c>
      <c r="T30" t="e">
        <f>AND('STERLING CATALOG - DRY '!H507,"AAAAAAe73xM=")</f>
        <v>#VALUE!</v>
      </c>
      <c r="U30" t="e">
        <f>AND('STERLING CATALOG - DRY '!I507,"AAAAAAe73xQ=")</f>
        <v>#VALUE!</v>
      </c>
      <c r="V30" t="e">
        <f>AND('STERLING CATALOG - DRY '!J507,"AAAAAAe73xU=")</f>
        <v>#VALUE!</v>
      </c>
      <c r="W30">
        <f>IF('STERLING CATALOG - DRY '!508:508,"AAAAAAe73xY=",0)</f>
        <v>0</v>
      </c>
      <c r="X30" t="e">
        <f>AND('STERLING CATALOG - DRY '!A508,"AAAAAAe73xc=")</f>
        <v>#VALUE!</v>
      </c>
      <c r="Y30" t="e">
        <f>AND('STERLING CATALOG - DRY '!B508,"AAAAAAe73xg=")</f>
        <v>#VALUE!</v>
      </c>
      <c r="Z30" t="e">
        <f>AND('STERLING CATALOG - DRY '!C508,"AAAAAAe73xk=")</f>
        <v>#VALUE!</v>
      </c>
      <c r="AA30" t="e">
        <f>AND('STERLING CATALOG - DRY '!D508,"AAAAAAe73xo=")</f>
        <v>#VALUE!</v>
      </c>
      <c r="AB30" t="e">
        <f>AND('STERLING CATALOG - DRY '!E508,"AAAAAAe73xs=")</f>
        <v>#VALUE!</v>
      </c>
      <c r="AC30" t="e">
        <f>AND('STERLING CATALOG - DRY '!F508,"AAAAAAe73xw=")</f>
        <v>#VALUE!</v>
      </c>
      <c r="AD30" t="e">
        <f>AND('STERLING CATALOG - DRY '!G508,"AAAAAAe73x0=")</f>
        <v>#VALUE!</v>
      </c>
      <c r="AE30" t="e">
        <f>AND('STERLING CATALOG - DRY '!H508,"AAAAAAe73x4=")</f>
        <v>#VALUE!</v>
      </c>
      <c r="AF30" t="e">
        <f>AND('STERLING CATALOG - DRY '!I508,"AAAAAAe73x8=")</f>
        <v>#VALUE!</v>
      </c>
      <c r="AG30" t="e">
        <f>AND('STERLING CATALOG - DRY '!J508,"AAAAAAe73yA=")</f>
        <v>#VALUE!</v>
      </c>
      <c r="AH30">
        <f>IF('STERLING CATALOG - DRY '!509:509,"AAAAAAe73yE=",0)</f>
        <v>0</v>
      </c>
      <c r="AI30" t="e">
        <f>AND('STERLING CATALOG - DRY '!A509,"AAAAAAe73yI=")</f>
        <v>#VALUE!</v>
      </c>
      <c r="AJ30" t="e">
        <f>AND('STERLING CATALOG - DRY '!B509,"AAAAAAe73yM=")</f>
        <v>#VALUE!</v>
      </c>
      <c r="AK30" t="e">
        <f>AND('STERLING CATALOG - DRY '!C509,"AAAAAAe73yQ=")</f>
        <v>#VALUE!</v>
      </c>
      <c r="AL30" t="e">
        <f>AND('STERLING CATALOG - DRY '!D509,"AAAAAAe73yU=")</f>
        <v>#VALUE!</v>
      </c>
      <c r="AM30" t="e">
        <f>AND('STERLING CATALOG - DRY '!E509,"AAAAAAe73yY=")</f>
        <v>#VALUE!</v>
      </c>
      <c r="AN30" t="e">
        <f>AND('STERLING CATALOG - DRY '!F509,"AAAAAAe73yc=")</f>
        <v>#VALUE!</v>
      </c>
      <c r="AO30" t="e">
        <f>AND('STERLING CATALOG - DRY '!G509,"AAAAAAe73yg=")</f>
        <v>#VALUE!</v>
      </c>
      <c r="AP30" t="e">
        <f>AND('STERLING CATALOG - DRY '!H509,"AAAAAAe73yk=")</f>
        <v>#VALUE!</v>
      </c>
      <c r="AQ30" t="e">
        <f>AND('STERLING CATALOG - DRY '!I509,"AAAAAAe73yo=")</f>
        <v>#VALUE!</v>
      </c>
      <c r="AR30" t="e">
        <f>AND('STERLING CATALOG - DRY '!J509,"AAAAAAe73ys=")</f>
        <v>#VALUE!</v>
      </c>
      <c r="AS30">
        <f>IF('STERLING CATALOG - DRY '!510:510,"AAAAAAe73yw=",0)</f>
        <v>0</v>
      </c>
      <c r="AT30" t="e">
        <f>AND('STERLING CATALOG - DRY '!A510,"AAAAAAe73y0=")</f>
        <v>#VALUE!</v>
      </c>
      <c r="AU30" t="e">
        <f>AND('STERLING CATALOG - DRY '!B510,"AAAAAAe73y4=")</f>
        <v>#VALUE!</v>
      </c>
      <c r="AV30" t="e">
        <f>AND('STERLING CATALOG - DRY '!C510,"AAAAAAe73y8=")</f>
        <v>#VALUE!</v>
      </c>
      <c r="AW30" t="e">
        <f>AND('STERLING CATALOG - DRY '!D510,"AAAAAAe73zA=")</f>
        <v>#VALUE!</v>
      </c>
      <c r="AX30" t="e">
        <f>AND('STERLING CATALOG - DRY '!E510,"AAAAAAe73zE=")</f>
        <v>#VALUE!</v>
      </c>
      <c r="AY30" t="e">
        <f>AND('STERLING CATALOG - DRY '!F510,"AAAAAAe73zI=")</f>
        <v>#VALUE!</v>
      </c>
      <c r="AZ30" t="e">
        <f>AND('STERLING CATALOG - DRY '!G510,"AAAAAAe73zM=")</f>
        <v>#VALUE!</v>
      </c>
      <c r="BA30" t="e">
        <f>AND('STERLING CATALOG - DRY '!H510,"AAAAAAe73zQ=")</f>
        <v>#VALUE!</v>
      </c>
      <c r="BB30" t="e">
        <f>AND('STERLING CATALOG - DRY '!I510,"AAAAAAe73zU=")</f>
        <v>#VALUE!</v>
      </c>
      <c r="BC30" t="e">
        <f>AND('STERLING CATALOG - DRY '!J510,"AAAAAAe73zY=")</f>
        <v>#VALUE!</v>
      </c>
      <c r="BD30">
        <f>IF('STERLING CATALOG - DRY '!511:511,"AAAAAAe73zc=",0)</f>
        <v>0</v>
      </c>
      <c r="BE30" t="e">
        <f>AND('STERLING CATALOG - DRY '!A511,"AAAAAAe73zg=")</f>
        <v>#VALUE!</v>
      </c>
      <c r="BF30" t="e">
        <f>AND('STERLING CATALOG - DRY '!B511,"AAAAAAe73zk=")</f>
        <v>#VALUE!</v>
      </c>
      <c r="BG30" t="e">
        <f>AND('STERLING CATALOG - DRY '!C511,"AAAAAAe73zo=")</f>
        <v>#VALUE!</v>
      </c>
      <c r="BH30" t="e">
        <f>AND('STERLING CATALOG - DRY '!D511,"AAAAAAe73zs=")</f>
        <v>#VALUE!</v>
      </c>
      <c r="BI30" t="e">
        <f>AND('STERLING CATALOG - DRY '!E511,"AAAAAAe73zw=")</f>
        <v>#VALUE!</v>
      </c>
      <c r="BJ30" t="e">
        <f>AND('STERLING CATALOG - DRY '!F511,"AAAAAAe73z0=")</f>
        <v>#VALUE!</v>
      </c>
      <c r="BK30" t="e">
        <f>AND('STERLING CATALOG - DRY '!G511,"AAAAAAe73z4=")</f>
        <v>#VALUE!</v>
      </c>
      <c r="BL30" t="e">
        <f>AND('STERLING CATALOG - DRY '!H511,"AAAAAAe73z8=")</f>
        <v>#VALUE!</v>
      </c>
      <c r="BM30" t="e">
        <f>AND('STERLING CATALOG - DRY '!I511,"AAAAAAe730A=")</f>
        <v>#VALUE!</v>
      </c>
      <c r="BN30" t="e">
        <f>AND('STERLING CATALOG - DRY '!J511,"AAAAAAe730E=")</f>
        <v>#VALUE!</v>
      </c>
      <c r="BO30">
        <f>IF('STERLING CATALOG - DRY '!512:512,"AAAAAAe730I=",0)</f>
        <v>0</v>
      </c>
      <c r="BP30" t="e">
        <f>AND('STERLING CATALOG - DRY '!A512,"AAAAAAe730M=")</f>
        <v>#VALUE!</v>
      </c>
      <c r="BQ30" t="e">
        <f>AND('STERLING CATALOG - DRY '!B512,"AAAAAAe730Q=")</f>
        <v>#VALUE!</v>
      </c>
      <c r="BR30" t="e">
        <f>AND('STERLING CATALOG - DRY '!C512,"AAAAAAe730U=")</f>
        <v>#VALUE!</v>
      </c>
      <c r="BS30" t="e">
        <f>AND('STERLING CATALOG - DRY '!D512,"AAAAAAe730Y=")</f>
        <v>#VALUE!</v>
      </c>
      <c r="BT30" t="e">
        <f>AND('STERLING CATALOG - DRY '!E512,"AAAAAAe730c=")</f>
        <v>#VALUE!</v>
      </c>
      <c r="BU30" t="e">
        <f>AND('STERLING CATALOG - DRY '!F512,"AAAAAAe730g=")</f>
        <v>#VALUE!</v>
      </c>
      <c r="BV30" t="e">
        <f>AND('STERLING CATALOG - DRY '!G512,"AAAAAAe730k=")</f>
        <v>#VALUE!</v>
      </c>
      <c r="BW30" t="e">
        <f>AND('STERLING CATALOG - DRY '!H512,"AAAAAAe730o=")</f>
        <v>#VALUE!</v>
      </c>
      <c r="BX30" t="e">
        <f>AND('STERLING CATALOG - DRY '!I512,"AAAAAAe730s=")</f>
        <v>#VALUE!</v>
      </c>
      <c r="BY30" t="e">
        <f>AND('STERLING CATALOG - DRY '!J512,"AAAAAAe730w=")</f>
        <v>#VALUE!</v>
      </c>
      <c r="BZ30">
        <f>IF('STERLING CATALOG - DRY '!513:513,"AAAAAAe7300=",0)</f>
        <v>0</v>
      </c>
      <c r="CA30" t="e">
        <f>AND('STERLING CATALOG - DRY '!A513,"AAAAAAe7304=")</f>
        <v>#VALUE!</v>
      </c>
      <c r="CB30" t="e">
        <f>AND('STERLING CATALOG - DRY '!B513,"AAAAAAe7308=")</f>
        <v>#VALUE!</v>
      </c>
      <c r="CC30" t="e">
        <f>AND('STERLING CATALOG - DRY '!C513,"AAAAAAe731A=")</f>
        <v>#VALUE!</v>
      </c>
      <c r="CD30" t="e">
        <f>AND('STERLING CATALOG - DRY '!D513,"AAAAAAe731E=")</f>
        <v>#VALUE!</v>
      </c>
      <c r="CE30" t="e">
        <f>AND('STERLING CATALOG - DRY '!E513,"AAAAAAe731I=")</f>
        <v>#VALUE!</v>
      </c>
      <c r="CF30" t="e">
        <f>AND('STERLING CATALOG - DRY '!F513,"AAAAAAe731M=")</f>
        <v>#VALUE!</v>
      </c>
      <c r="CG30" t="e">
        <f>AND('STERLING CATALOG - DRY '!G513,"AAAAAAe731Q=")</f>
        <v>#VALUE!</v>
      </c>
      <c r="CH30" t="e">
        <f>AND('STERLING CATALOG - DRY '!H513,"AAAAAAe731U=")</f>
        <v>#VALUE!</v>
      </c>
      <c r="CI30" t="e">
        <f>AND('STERLING CATALOG - DRY '!I513,"AAAAAAe731Y=")</f>
        <v>#VALUE!</v>
      </c>
      <c r="CJ30" t="e">
        <f>AND('STERLING CATALOG - DRY '!J513,"AAAAAAe731c=")</f>
        <v>#VALUE!</v>
      </c>
      <c r="CK30">
        <f>IF('STERLING CATALOG - DRY '!514:514,"AAAAAAe731g=",0)</f>
        <v>0</v>
      </c>
      <c r="CL30" t="e">
        <f>AND('STERLING CATALOG - DRY '!A514,"AAAAAAe731k=")</f>
        <v>#VALUE!</v>
      </c>
      <c r="CM30" t="e">
        <f>AND('STERLING CATALOG - DRY '!B514,"AAAAAAe731o=")</f>
        <v>#VALUE!</v>
      </c>
      <c r="CN30" t="e">
        <f>AND('STERLING CATALOG - DRY '!C514,"AAAAAAe731s=")</f>
        <v>#VALUE!</v>
      </c>
      <c r="CO30" t="e">
        <f>AND('STERLING CATALOG - DRY '!D514,"AAAAAAe731w=")</f>
        <v>#VALUE!</v>
      </c>
      <c r="CP30" t="e">
        <f>AND('STERLING CATALOG - DRY '!E514,"AAAAAAe7310=")</f>
        <v>#VALUE!</v>
      </c>
      <c r="CQ30" t="e">
        <f>AND('STERLING CATALOG - DRY '!F514,"AAAAAAe7314=")</f>
        <v>#VALUE!</v>
      </c>
      <c r="CR30" t="e">
        <f>AND('STERLING CATALOG - DRY '!G514,"AAAAAAe7318=")</f>
        <v>#VALUE!</v>
      </c>
      <c r="CS30" t="e">
        <f>AND('STERLING CATALOG - DRY '!H514,"AAAAAAe732A=")</f>
        <v>#VALUE!</v>
      </c>
      <c r="CT30" t="e">
        <f>AND('STERLING CATALOG - DRY '!I514,"AAAAAAe732E=")</f>
        <v>#VALUE!</v>
      </c>
      <c r="CU30" t="e">
        <f>AND('STERLING CATALOG - DRY '!J514,"AAAAAAe732I=")</f>
        <v>#VALUE!</v>
      </c>
      <c r="CV30">
        <f>IF('STERLING CATALOG - DRY '!515:515,"AAAAAAe732M=",0)</f>
        <v>0</v>
      </c>
      <c r="CW30" t="e">
        <f>AND('STERLING CATALOG - DRY '!A515,"AAAAAAe732Q=")</f>
        <v>#VALUE!</v>
      </c>
      <c r="CX30" t="e">
        <f>AND('STERLING CATALOG - DRY '!B515,"AAAAAAe732U=")</f>
        <v>#VALUE!</v>
      </c>
      <c r="CY30" t="e">
        <f>AND('STERLING CATALOG - DRY '!C515,"AAAAAAe732Y=")</f>
        <v>#VALUE!</v>
      </c>
      <c r="CZ30" t="e">
        <f>AND('STERLING CATALOG - DRY '!D515,"AAAAAAe732c=")</f>
        <v>#VALUE!</v>
      </c>
      <c r="DA30" t="e">
        <f>AND('STERLING CATALOG - DRY '!E515,"AAAAAAe732g=")</f>
        <v>#VALUE!</v>
      </c>
      <c r="DB30" t="e">
        <f>AND('STERLING CATALOG - DRY '!F515,"AAAAAAe732k=")</f>
        <v>#VALUE!</v>
      </c>
      <c r="DC30" t="e">
        <f>AND('STERLING CATALOG - DRY '!G515,"AAAAAAe732o=")</f>
        <v>#VALUE!</v>
      </c>
      <c r="DD30" t="e">
        <f>AND('STERLING CATALOG - DRY '!H515,"AAAAAAe732s=")</f>
        <v>#VALUE!</v>
      </c>
      <c r="DE30" t="e">
        <f>AND('STERLING CATALOG - DRY '!I515,"AAAAAAe732w=")</f>
        <v>#VALUE!</v>
      </c>
      <c r="DF30" t="e">
        <f>AND('STERLING CATALOG - DRY '!J515,"AAAAAAe7320=")</f>
        <v>#VALUE!</v>
      </c>
      <c r="DG30">
        <f>IF('STERLING CATALOG - DRY '!516:516,"AAAAAAe7324=",0)</f>
        <v>0</v>
      </c>
      <c r="DH30" t="e">
        <f>AND('STERLING CATALOG - DRY '!A516,"AAAAAAe7328=")</f>
        <v>#VALUE!</v>
      </c>
      <c r="DI30" t="e">
        <f>AND('STERLING CATALOG - DRY '!B516,"AAAAAAe733A=")</f>
        <v>#VALUE!</v>
      </c>
      <c r="DJ30" t="e">
        <f>AND('STERLING CATALOG - DRY '!C516,"AAAAAAe733E=")</f>
        <v>#VALUE!</v>
      </c>
      <c r="DK30" t="e">
        <f>AND('STERLING CATALOG - DRY '!D516,"AAAAAAe733I=")</f>
        <v>#VALUE!</v>
      </c>
      <c r="DL30" t="e">
        <f>AND('STERLING CATALOG - DRY '!E516,"AAAAAAe733M=")</f>
        <v>#VALUE!</v>
      </c>
      <c r="DM30" t="e">
        <f>AND('STERLING CATALOG - DRY '!F516,"AAAAAAe733Q=")</f>
        <v>#VALUE!</v>
      </c>
      <c r="DN30" t="e">
        <f>AND('STERLING CATALOG - DRY '!G516,"AAAAAAe733U=")</f>
        <v>#VALUE!</v>
      </c>
      <c r="DO30" t="e">
        <f>AND('STERLING CATALOG - DRY '!H516,"AAAAAAe733Y=")</f>
        <v>#VALUE!</v>
      </c>
      <c r="DP30" t="e">
        <f>AND('STERLING CATALOG - DRY '!I516,"AAAAAAe733c=")</f>
        <v>#VALUE!</v>
      </c>
      <c r="DQ30" t="e">
        <f>AND('STERLING CATALOG - DRY '!J516,"AAAAAAe733g=")</f>
        <v>#VALUE!</v>
      </c>
      <c r="DR30">
        <f>IF('STERLING CATALOG - DRY '!517:517,"AAAAAAe733k=",0)</f>
        <v>0</v>
      </c>
      <c r="DS30" t="e">
        <f>AND('STERLING CATALOG - DRY '!A517,"AAAAAAe733o=")</f>
        <v>#VALUE!</v>
      </c>
      <c r="DT30" t="e">
        <f>AND('STERLING CATALOG - DRY '!B517,"AAAAAAe733s=")</f>
        <v>#VALUE!</v>
      </c>
      <c r="DU30" t="e">
        <f>AND('STERLING CATALOG - DRY '!C517,"AAAAAAe733w=")</f>
        <v>#VALUE!</v>
      </c>
      <c r="DV30" t="e">
        <f>AND('STERLING CATALOG - DRY '!D517,"AAAAAAe7330=")</f>
        <v>#VALUE!</v>
      </c>
      <c r="DW30" t="e">
        <f>AND('STERLING CATALOG - DRY '!E517,"AAAAAAe7334=")</f>
        <v>#VALUE!</v>
      </c>
      <c r="DX30" t="e">
        <f>AND('STERLING CATALOG - DRY '!F517,"AAAAAAe7338=")</f>
        <v>#VALUE!</v>
      </c>
      <c r="DY30" t="e">
        <f>AND('STERLING CATALOG - DRY '!G517,"AAAAAAe734A=")</f>
        <v>#VALUE!</v>
      </c>
      <c r="DZ30" t="e">
        <f>AND('STERLING CATALOG - DRY '!H517,"AAAAAAe734E=")</f>
        <v>#VALUE!</v>
      </c>
      <c r="EA30" t="e">
        <f>AND('STERLING CATALOG - DRY '!I517,"AAAAAAe734I=")</f>
        <v>#VALUE!</v>
      </c>
      <c r="EB30" t="e">
        <f>AND('STERLING CATALOG - DRY '!J517,"AAAAAAe734M=")</f>
        <v>#VALUE!</v>
      </c>
      <c r="EC30">
        <f>IF('STERLING CATALOG - DRY '!518:518,"AAAAAAe734Q=",0)</f>
        <v>0</v>
      </c>
      <c r="ED30" t="e">
        <f>AND('STERLING CATALOG - DRY '!A518,"AAAAAAe734U=")</f>
        <v>#VALUE!</v>
      </c>
      <c r="EE30" t="e">
        <f>AND('STERLING CATALOG - DRY '!B518,"AAAAAAe734Y=")</f>
        <v>#VALUE!</v>
      </c>
      <c r="EF30" t="e">
        <f>AND('STERLING CATALOG - DRY '!C518,"AAAAAAe734c=")</f>
        <v>#VALUE!</v>
      </c>
      <c r="EG30" t="e">
        <f>AND('STERLING CATALOG - DRY '!D518,"AAAAAAe734g=")</f>
        <v>#VALUE!</v>
      </c>
      <c r="EH30" t="e">
        <f>AND('STERLING CATALOG - DRY '!E518,"AAAAAAe734k=")</f>
        <v>#VALUE!</v>
      </c>
      <c r="EI30" t="e">
        <f>AND('STERLING CATALOG - DRY '!F518,"AAAAAAe734o=")</f>
        <v>#VALUE!</v>
      </c>
      <c r="EJ30" t="e">
        <f>AND('STERLING CATALOG - DRY '!G518,"AAAAAAe734s=")</f>
        <v>#VALUE!</v>
      </c>
      <c r="EK30" t="e">
        <f>AND('STERLING CATALOG - DRY '!H518,"AAAAAAe734w=")</f>
        <v>#VALUE!</v>
      </c>
      <c r="EL30" t="e">
        <f>AND('STERLING CATALOG - DRY '!I518,"AAAAAAe7340=")</f>
        <v>#VALUE!</v>
      </c>
      <c r="EM30" t="e">
        <f>AND('STERLING CATALOG - DRY '!J518,"AAAAAAe7344=")</f>
        <v>#VALUE!</v>
      </c>
      <c r="EN30">
        <f>IF('STERLING CATALOG - DRY '!519:519,"AAAAAAe7348=",0)</f>
        <v>0</v>
      </c>
      <c r="EO30" t="e">
        <f>AND('STERLING CATALOG - DRY '!A519,"AAAAAAe735A=")</f>
        <v>#VALUE!</v>
      </c>
      <c r="EP30" t="e">
        <f>AND('STERLING CATALOG - DRY '!B519,"AAAAAAe735E=")</f>
        <v>#VALUE!</v>
      </c>
      <c r="EQ30" t="e">
        <f>AND('STERLING CATALOG - DRY '!C519,"AAAAAAe735I=")</f>
        <v>#VALUE!</v>
      </c>
      <c r="ER30" t="e">
        <f>AND('STERLING CATALOG - DRY '!D519,"AAAAAAe735M=")</f>
        <v>#VALUE!</v>
      </c>
      <c r="ES30" t="e">
        <f>AND('STERLING CATALOG - DRY '!E519,"AAAAAAe735Q=")</f>
        <v>#VALUE!</v>
      </c>
      <c r="ET30" t="e">
        <f>AND('STERLING CATALOG - DRY '!F519,"AAAAAAe735U=")</f>
        <v>#VALUE!</v>
      </c>
      <c r="EU30" t="e">
        <f>AND('STERLING CATALOG - DRY '!G519,"AAAAAAe735Y=")</f>
        <v>#VALUE!</v>
      </c>
      <c r="EV30" t="e">
        <f>AND('STERLING CATALOG - DRY '!H519,"AAAAAAe735c=")</f>
        <v>#VALUE!</v>
      </c>
      <c r="EW30" t="e">
        <f>AND('STERLING CATALOG - DRY '!I519,"AAAAAAe735g=")</f>
        <v>#VALUE!</v>
      </c>
      <c r="EX30" t="e">
        <f>AND('STERLING CATALOG - DRY '!J519,"AAAAAAe735k=")</f>
        <v>#VALUE!</v>
      </c>
      <c r="EY30">
        <f>IF('STERLING CATALOG - DRY '!520:520,"AAAAAAe735o=",0)</f>
        <v>0</v>
      </c>
      <c r="EZ30" t="e">
        <f>AND('STERLING CATALOG - DRY '!A520,"AAAAAAe735s=")</f>
        <v>#VALUE!</v>
      </c>
      <c r="FA30" t="e">
        <f>AND('STERLING CATALOG - DRY '!B520,"AAAAAAe735w=")</f>
        <v>#VALUE!</v>
      </c>
      <c r="FB30" t="e">
        <f>AND('STERLING CATALOG - DRY '!C520,"AAAAAAe7350=")</f>
        <v>#VALUE!</v>
      </c>
      <c r="FC30" t="e">
        <f>AND('STERLING CATALOG - DRY '!D520,"AAAAAAe7354=")</f>
        <v>#VALUE!</v>
      </c>
      <c r="FD30" t="e">
        <f>AND('STERLING CATALOG - DRY '!E520,"AAAAAAe7358=")</f>
        <v>#VALUE!</v>
      </c>
      <c r="FE30" t="e">
        <f>AND('STERLING CATALOG - DRY '!F520,"AAAAAAe736A=")</f>
        <v>#VALUE!</v>
      </c>
      <c r="FF30" t="e">
        <f>AND('STERLING CATALOG - DRY '!G520,"AAAAAAe736E=")</f>
        <v>#VALUE!</v>
      </c>
      <c r="FG30" t="e">
        <f>AND('STERLING CATALOG - DRY '!H520,"AAAAAAe736I=")</f>
        <v>#VALUE!</v>
      </c>
      <c r="FH30" t="e">
        <f>AND('STERLING CATALOG - DRY '!I520,"AAAAAAe736M=")</f>
        <v>#VALUE!</v>
      </c>
      <c r="FI30" t="e">
        <f>AND('STERLING CATALOG - DRY '!J520,"AAAAAAe736Q=")</f>
        <v>#VALUE!</v>
      </c>
      <c r="FJ30">
        <f>IF('STERLING CATALOG - DRY '!521:521,"AAAAAAe736U=",0)</f>
        <v>0</v>
      </c>
      <c r="FK30" t="e">
        <f>AND('STERLING CATALOG - DRY '!A521,"AAAAAAe736Y=")</f>
        <v>#VALUE!</v>
      </c>
      <c r="FL30" t="e">
        <f>AND('STERLING CATALOG - DRY '!B521,"AAAAAAe736c=")</f>
        <v>#VALUE!</v>
      </c>
      <c r="FM30" t="e">
        <f>AND('STERLING CATALOG - DRY '!C521,"AAAAAAe736g=")</f>
        <v>#VALUE!</v>
      </c>
      <c r="FN30" t="e">
        <f>AND('STERLING CATALOG - DRY '!D521,"AAAAAAe736k=")</f>
        <v>#VALUE!</v>
      </c>
      <c r="FO30" t="e">
        <f>AND('STERLING CATALOG - DRY '!E521,"AAAAAAe736o=")</f>
        <v>#VALUE!</v>
      </c>
      <c r="FP30" t="e">
        <f>AND('STERLING CATALOG - DRY '!F521,"AAAAAAe736s=")</f>
        <v>#VALUE!</v>
      </c>
      <c r="FQ30" t="e">
        <f>AND('STERLING CATALOG - DRY '!G521,"AAAAAAe736w=")</f>
        <v>#VALUE!</v>
      </c>
      <c r="FR30" t="e">
        <f>AND('STERLING CATALOG - DRY '!H521,"AAAAAAe7360=")</f>
        <v>#VALUE!</v>
      </c>
      <c r="FS30" t="e">
        <f>AND('STERLING CATALOG - DRY '!I521,"AAAAAAe7364=")</f>
        <v>#VALUE!</v>
      </c>
      <c r="FT30" t="e">
        <f>AND('STERLING CATALOG - DRY '!J521,"AAAAAAe7368=")</f>
        <v>#VALUE!</v>
      </c>
      <c r="FU30">
        <f>IF('STERLING CATALOG - DRY '!522:522,"AAAAAAe737A=",0)</f>
        <v>0</v>
      </c>
      <c r="FV30" t="e">
        <f>AND('STERLING CATALOG - DRY '!A522,"AAAAAAe737E=")</f>
        <v>#VALUE!</v>
      </c>
      <c r="FW30" t="e">
        <f>AND('STERLING CATALOG - DRY '!B522,"AAAAAAe737I=")</f>
        <v>#VALUE!</v>
      </c>
      <c r="FX30" t="e">
        <f>AND('STERLING CATALOG - DRY '!C522,"AAAAAAe737M=")</f>
        <v>#VALUE!</v>
      </c>
      <c r="FY30" t="e">
        <f>AND('STERLING CATALOG - DRY '!D522,"AAAAAAe737Q=")</f>
        <v>#VALUE!</v>
      </c>
      <c r="FZ30" t="e">
        <f>AND('STERLING CATALOG - DRY '!E522,"AAAAAAe737U=")</f>
        <v>#VALUE!</v>
      </c>
      <c r="GA30" t="e">
        <f>AND('STERLING CATALOG - DRY '!F522,"AAAAAAe737Y=")</f>
        <v>#VALUE!</v>
      </c>
      <c r="GB30" t="e">
        <f>AND('STERLING CATALOG - DRY '!G522,"AAAAAAe737c=")</f>
        <v>#VALUE!</v>
      </c>
      <c r="GC30" t="e">
        <f>AND('STERLING CATALOG - DRY '!H522,"AAAAAAe737g=")</f>
        <v>#VALUE!</v>
      </c>
      <c r="GD30" t="e">
        <f>AND('STERLING CATALOG - DRY '!I522,"AAAAAAe737k=")</f>
        <v>#VALUE!</v>
      </c>
      <c r="GE30" t="e">
        <f>AND('STERLING CATALOG - DRY '!J522,"AAAAAAe737o=")</f>
        <v>#VALUE!</v>
      </c>
      <c r="GF30">
        <f>IF('STERLING CATALOG - DRY '!523:523,"AAAAAAe737s=",0)</f>
        <v>0</v>
      </c>
      <c r="GG30" t="e">
        <f>AND('STERLING CATALOG - DRY '!A523,"AAAAAAe737w=")</f>
        <v>#VALUE!</v>
      </c>
      <c r="GH30" t="e">
        <f>AND('STERLING CATALOG - DRY '!B523,"AAAAAAe7370=")</f>
        <v>#VALUE!</v>
      </c>
      <c r="GI30" t="e">
        <f>AND('STERLING CATALOG - DRY '!C523,"AAAAAAe7374=")</f>
        <v>#VALUE!</v>
      </c>
      <c r="GJ30" t="e">
        <f>AND('STERLING CATALOG - DRY '!D523,"AAAAAAe7378=")</f>
        <v>#VALUE!</v>
      </c>
      <c r="GK30" t="e">
        <f>AND('STERLING CATALOG - DRY '!E523,"AAAAAAe738A=")</f>
        <v>#VALUE!</v>
      </c>
      <c r="GL30" t="e">
        <f>AND('STERLING CATALOG - DRY '!F523,"AAAAAAe738E=")</f>
        <v>#VALUE!</v>
      </c>
      <c r="GM30" t="e">
        <f>AND('STERLING CATALOG - DRY '!G523,"AAAAAAe738I=")</f>
        <v>#VALUE!</v>
      </c>
      <c r="GN30" t="e">
        <f>AND('STERLING CATALOG - DRY '!H523,"AAAAAAe738M=")</f>
        <v>#VALUE!</v>
      </c>
      <c r="GO30" t="e">
        <f>AND('STERLING CATALOG - DRY '!I523,"AAAAAAe738Q=")</f>
        <v>#VALUE!</v>
      </c>
      <c r="GP30" t="e">
        <f>AND('STERLING CATALOG - DRY '!J523,"AAAAAAe738U=")</f>
        <v>#VALUE!</v>
      </c>
      <c r="GQ30">
        <f>IF('STERLING CATALOG - DRY '!524:524,"AAAAAAe738Y=",0)</f>
        <v>0</v>
      </c>
      <c r="GR30" t="e">
        <f>AND('STERLING CATALOG - DRY '!A524,"AAAAAAe738c=")</f>
        <v>#VALUE!</v>
      </c>
      <c r="GS30" t="e">
        <f>AND('STERLING CATALOG - DRY '!B524,"AAAAAAe738g=")</f>
        <v>#VALUE!</v>
      </c>
      <c r="GT30" t="e">
        <f>AND('STERLING CATALOG - DRY '!C524,"AAAAAAe738k=")</f>
        <v>#VALUE!</v>
      </c>
      <c r="GU30" t="e">
        <f>AND('STERLING CATALOG - DRY '!D524,"AAAAAAe738o=")</f>
        <v>#VALUE!</v>
      </c>
      <c r="GV30" t="e">
        <f>AND('STERLING CATALOG - DRY '!E524,"AAAAAAe738s=")</f>
        <v>#VALUE!</v>
      </c>
      <c r="GW30" t="e">
        <f>AND('STERLING CATALOG - DRY '!F524,"AAAAAAe738w=")</f>
        <v>#VALUE!</v>
      </c>
      <c r="GX30" t="e">
        <f>AND('STERLING CATALOG - DRY '!G524,"AAAAAAe7380=")</f>
        <v>#VALUE!</v>
      </c>
      <c r="GY30" t="e">
        <f>AND('STERLING CATALOG - DRY '!H524,"AAAAAAe7384=")</f>
        <v>#VALUE!</v>
      </c>
      <c r="GZ30" t="e">
        <f>AND('STERLING CATALOG - DRY '!I524,"AAAAAAe7388=")</f>
        <v>#VALUE!</v>
      </c>
      <c r="HA30" t="e">
        <f>AND('STERLING CATALOG - DRY '!J524,"AAAAAAe739A=")</f>
        <v>#VALUE!</v>
      </c>
      <c r="HB30">
        <f>IF('STERLING CATALOG - DRY '!525:525,"AAAAAAe739E=",0)</f>
        <v>0</v>
      </c>
      <c r="HC30" t="e">
        <f>AND('STERLING CATALOG - DRY '!A525,"AAAAAAe739I=")</f>
        <v>#VALUE!</v>
      </c>
      <c r="HD30" t="e">
        <f>AND('STERLING CATALOG - DRY '!B525,"AAAAAAe739M=")</f>
        <v>#VALUE!</v>
      </c>
      <c r="HE30" t="e">
        <f>AND('STERLING CATALOG - DRY '!C525,"AAAAAAe739Q=")</f>
        <v>#VALUE!</v>
      </c>
      <c r="HF30" t="e">
        <f>AND('STERLING CATALOG - DRY '!D525,"AAAAAAe739U=")</f>
        <v>#VALUE!</v>
      </c>
      <c r="HG30" t="e">
        <f>AND('STERLING CATALOG - DRY '!E525,"AAAAAAe739Y=")</f>
        <v>#VALUE!</v>
      </c>
      <c r="HH30" t="e">
        <f>AND('STERLING CATALOG - DRY '!F525,"AAAAAAe739c=")</f>
        <v>#VALUE!</v>
      </c>
      <c r="HI30" t="e">
        <f>AND('STERLING CATALOG - DRY '!G525,"AAAAAAe739g=")</f>
        <v>#VALUE!</v>
      </c>
      <c r="HJ30" t="e">
        <f>AND('STERLING CATALOG - DRY '!H525,"AAAAAAe739k=")</f>
        <v>#VALUE!</v>
      </c>
      <c r="HK30" t="e">
        <f>AND('STERLING CATALOG - DRY '!I525,"AAAAAAe739o=")</f>
        <v>#VALUE!</v>
      </c>
      <c r="HL30" t="e">
        <f>AND('STERLING CATALOG - DRY '!J525,"AAAAAAe739s=")</f>
        <v>#VALUE!</v>
      </c>
      <c r="HM30">
        <f>IF('STERLING CATALOG - DRY '!526:526,"AAAAAAe739w=",0)</f>
        <v>0</v>
      </c>
      <c r="HN30" t="e">
        <f>AND('STERLING CATALOG - DRY '!A526,"AAAAAAe7390=")</f>
        <v>#VALUE!</v>
      </c>
      <c r="HO30" t="e">
        <f>AND('STERLING CATALOG - DRY '!B526,"AAAAAAe7394=")</f>
        <v>#VALUE!</v>
      </c>
      <c r="HP30" t="e">
        <f>AND('STERLING CATALOG - DRY '!C526,"AAAAAAe7398=")</f>
        <v>#VALUE!</v>
      </c>
      <c r="HQ30" t="e">
        <f>AND('STERLING CATALOG - DRY '!D526,"AAAAAAe73+A=")</f>
        <v>#VALUE!</v>
      </c>
      <c r="HR30" t="e">
        <f>AND('STERLING CATALOG - DRY '!E526,"AAAAAAe73+E=")</f>
        <v>#VALUE!</v>
      </c>
      <c r="HS30" t="e">
        <f>AND('STERLING CATALOG - DRY '!F526,"AAAAAAe73+I=")</f>
        <v>#VALUE!</v>
      </c>
      <c r="HT30" t="e">
        <f>AND('STERLING CATALOG - DRY '!G526,"AAAAAAe73+M=")</f>
        <v>#VALUE!</v>
      </c>
      <c r="HU30" t="e">
        <f>AND('STERLING CATALOG - DRY '!H526,"AAAAAAe73+Q=")</f>
        <v>#VALUE!</v>
      </c>
      <c r="HV30" t="e">
        <f>AND('STERLING CATALOG - DRY '!I526,"AAAAAAe73+U=")</f>
        <v>#VALUE!</v>
      </c>
      <c r="HW30" t="e">
        <f>AND('STERLING CATALOG - DRY '!J526,"AAAAAAe73+Y=")</f>
        <v>#VALUE!</v>
      </c>
      <c r="HX30">
        <f>IF('STERLING CATALOG - DRY '!527:527,"AAAAAAe73+c=",0)</f>
        <v>0</v>
      </c>
      <c r="HY30" t="e">
        <f>AND('STERLING CATALOG - DRY '!A527,"AAAAAAe73+g=")</f>
        <v>#VALUE!</v>
      </c>
      <c r="HZ30" t="e">
        <f>AND('STERLING CATALOG - DRY '!B527,"AAAAAAe73+k=")</f>
        <v>#VALUE!</v>
      </c>
      <c r="IA30" t="e">
        <f>AND('STERLING CATALOG - DRY '!C527,"AAAAAAe73+o=")</f>
        <v>#VALUE!</v>
      </c>
      <c r="IB30" t="e">
        <f>AND('STERLING CATALOG - DRY '!D527,"AAAAAAe73+s=")</f>
        <v>#VALUE!</v>
      </c>
      <c r="IC30" t="e">
        <f>AND('STERLING CATALOG - DRY '!E527,"AAAAAAe73+w=")</f>
        <v>#VALUE!</v>
      </c>
      <c r="ID30" t="e">
        <f>AND('STERLING CATALOG - DRY '!F527,"AAAAAAe73+0=")</f>
        <v>#VALUE!</v>
      </c>
      <c r="IE30" t="e">
        <f>AND('STERLING CATALOG - DRY '!G527,"AAAAAAe73+4=")</f>
        <v>#VALUE!</v>
      </c>
      <c r="IF30" t="e">
        <f>AND('STERLING CATALOG - DRY '!H527,"AAAAAAe73+8=")</f>
        <v>#VALUE!</v>
      </c>
      <c r="IG30" t="e">
        <f>AND('STERLING CATALOG - DRY '!I527,"AAAAAAe73/A=")</f>
        <v>#VALUE!</v>
      </c>
      <c r="IH30" t="e">
        <f>AND('STERLING CATALOG - DRY '!J527,"AAAAAAe73/E=")</f>
        <v>#VALUE!</v>
      </c>
      <c r="II30">
        <f>IF('STERLING CATALOG - DRY '!528:528,"AAAAAAe73/I=",0)</f>
        <v>0</v>
      </c>
      <c r="IJ30" t="e">
        <f>AND('STERLING CATALOG - DRY '!A528,"AAAAAAe73/M=")</f>
        <v>#VALUE!</v>
      </c>
      <c r="IK30" t="e">
        <f>AND('STERLING CATALOG - DRY '!B528,"AAAAAAe73/Q=")</f>
        <v>#VALUE!</v>
      </c>
      <c r="IL30" t="e">
        <f>AND('STERLING CATALOG - DRY '!C528,"AAAAAAe73/U=")</f>
        <v>#VALUE!</v>
      </c>
      <c r="IM30" t="e">
        <f>AND('STERLING CATALOG - DRY '!D528,"AAAAAAe73/Y=")</f>
        <v>#VALUE!</v>
      </c>
      <c r="IN30" t="e">
        <f>AND('STERLING CATALOG - DRY '!E528,"AAAAAAe73/c=")</f>
        <v>#VALUE!</v>
      </c>
      <c r="IO30" t="e">
        <f>AND('STERLING CATALOG - DRY '!F528,"AAAAAAe73/g=")</f>
        <v>#VALUE!</v>
      </c>
      <c r="IP30" t="e">
        <f>AND('STERLING CATALOG - DRY '!G528,"AAAAAAe73/k=")</f>
        <v>#VALUE!</v>
      </c>
      <c r="IQ30" t="e">
        <f>AND('STERLING CATALOG - DRY '!H528,"AAAAAAe73/o=")</f>
        <v>#VALUE!</v>
      </c>
      <c r="IR30" t="e">
        <f>AND('STERLING CATALOG - DRY '!I528,"AAAAAAe73/s=")</f>
        <v>#VALUE!</v>
      </c>
      <c r="IS30" t="e">
        <f>AND('STERLING CATALOG - DRY '!J528,"AAAAAAe73/w=")</f>
        <v>#VALUE!</v>
      </c>
      <c r="IT30">
        <f>IF('STERLING CATALOG - DRY '!529:529,"AAAAAAe73/0=",0)</f>
        <v>0</v>
      </c>
      <c r="IU30" t="e">
        <f>AND('STERLING CATALOG - DRY '!A529,"AAAAAAe73/4=")</f>
        <v>#VALUE!</v>
      </c>
      <c r="IV30" t="e">
        <f>AND('STERLING CATALOG - DRY '!B529,"AAAAAAe73/8=")</f>
        <v>#VALUE!</v>
      </c>
    </row>
    <row r="31" spans="1:256">
      <c r="A31" t="e">
        <f>AND('STERLING CATALOG - DRY '!C529,"AAAAAHv+ZwA=")</f>
        <v>#VALUE!</v>
      </c>
      <c r="B31" t="e">
        <f>AND('STERLING CATALOG - DRY '!D529,"AAAAAHv+ZwE=")</f>
        <v>#VALUE!</v>
      </c>
      <c r="C31" t="e">
        <f>AND('STERLING CATALOG - DRY '!E529,"AAAAAHv+ZwI=")</f>
        <v>#VALUE!</v>
      </c>
      <c r="D31" t="e">
        <f>AND('STERLING CATALOG - DRY '!F529,"AAAAAHv+ZwM=")</f>
        <v>#VALUE!</v>
      </c>
      <c r="E31" t="e">
        <f>AND('STERLING CATALOG - DRY '!G529,"AAAAAHv+ZwQ=")</f>
        <v>#VALUE!</v>
      </c>
      <c r="F31" t="e">
        <f>AND('STERLING CATALOG - DRY '!H529,"AAAAAHv+ZwU=")</f>
        <v>#VALUE!</v>
      </c>
      <c r="G31" t="e">
        <f>AND('STERLING CATALOG - DRY '!I529,"AAAAAHv+ZwY=")</f>
        <v>#VALUE!</v>
      </c>
      <c r="H31" t="e">
        <f>AND('STERLING CATALOG - DRY '!J529,"AAAAAHv+Zwc=")</f>
        <v>#VALUE!</v>
      </c>
      <c r="I31" t="e">
        <f>IF('STERLING CATALOG - DRY '!530:530,"AAAAAHv+Zwg=",0)</f>
        <v>#VALUE!</v>
      </c>
      <c r="J31" t="e">
        <f>AND('STERLING CATALOG - DRY '!A530,"AAAAAHv+Zwk=")</f>
        <v>#VALUE!</v>
      </c>
      <c r="K31" t="e">
        <f>AND('STERLING CATALOG - DRY '!B530,"AAAAAHv+Zwo=")</f>
        <v>#VALUE!</v>
      </c>
      <c r="L31" t="e">
        <f>AND('STERLING CATALOG - DRY '!C530,"AAAAAHv+Zws=")</f>
        <v>#VALUE!</v>
      </c>
      <c r="M31" t="e">
        <f>AND('STERLING CATALOG - DRY '!D530,"AAAAAHv+Zww=")</f>
        <v>#VALUE!</v>
      </c>
      <c r="N31" t="e">
        <f>AND('STERLING CATALOG - DRY '!E530,"AAAAAHv+Zw0=")</f>
        <v>#VALUE!</v>
      </c>
      <c r="O31" t="e">
        <f>AND('STERLING CATALOG - DRY '!F530,"AAAAAHv+Zw4=")</f>
        <v>#VALUE!</v>
      </c>
      <c r="P31" t="e">
        <f>AND('STERLING CATALOG - DRY '!G530,"AAAAAHv+Zw8=")</f>
        <v>#VALUE!</v>
      </c>
      <c r="Q31" t="e">
        <f>AND('STERLING CATALOG - DRY '!H530,"AAAAAHv+ZxA=")</f>
        <v>#VALUE!</v>
      </c>
      <c r="R31" t="e">
        <f>AND('STERLING CATALOG - DRY '!I530,"AAAAAHv+ZxE=")</f>
        <v>#VALUE!</v>
      </c>
      <c r="S31" t="e">
        <f>AND('STERLING CATALOG - DRY '!J530,"AAAAAHv+ZxI=")</f>
        <v>#VALUE!</v>
      </c>
      <c r="T31">
        <f>IF('STERLING CATALOG - DRY '!531:531,"AAAAAHv+ZxM=",0)</f>
        <v>0</v>
      </c>
      <c r="U31" t="e">
        <f>AND('STERLING CATALOG - DRY '!A531,"AAAAAHv+ZxQ=")</f>
        <v>#VALUE!</v>
      </c>
      <c r="V31" t="e">
        <f>AND('STERLING CATALOG - DRY '!B531,"AAAAAHv+ZxU=")</f>
        <v>#VALUE!</v>
      </c>
      <c r="W31" t="e">
        <f>AND('STERLING CATALOG - DRY '!C531,"AAAAAHv+ZxY=")</f>
        <v>#VALUE!</v>
      </c>
      <c r="X31" t="e">
        <f>AND('STERLING CATALOG - DRY '!D531,"AAAAAHv+Zxc=")</f>
        <v>#VALUE!</v>
      </c>
      <c r="Y31" t="e">
        <f>AND('STERLING CATALOG - DRY '!E531,"AAAAAHv+Zxg=")</f>
        <v>#VALUE!</v>
      </c>
      <c r="Z31" t="e">
        <f>AND('STERLING CATALOG - DRY '!F531,"AAAAAHv+Zxk=")</f>
        <v>#VALUE!</v>
      </c>
      <c r="AA31" t="e">
        <f>AND('STERLING CATALOG - DRY '!G531,"AAAAAHv+Zxo=")</f>
        <v>#VALUE!</v>
      </c>
      <c r="AB31" t="e">
        <f>AND('STERLING CATALOG - DRY '!H531,"AAAAAHv+Zxs=")</f>
        <v>#VALUE!</v>
      </c>
      <c r="AC31" t="e">
        <f>AND('STERLING CATALOG - DRY '!I531,"AAAAAHv+Zxw=")</f>
        <v>#VALUE!</v>
      </c>
      <c r="AD31" t="e">
        <f>AND('STERLING CATALOG - DRY '!J531,"AAAAAHv+Zx0=")</f>
        <v>#VALUE!</v>
      </c>
      <c r="AE31">
        <f>IF('STERLING CATALOG - DRY '!532:532,"AAAAAHv+Zx4=",0)</f>
        <v>0</v>
      </c>
      <c r="AF31" t="e">
        <f>AND('STERLING CATALOG - DRY '!A532,"AAAAAHv+Zx8=")</f>
        <v>#VALUE!</v>
      </c>
      <c r="AG31" t="e">
        <f>AND('STERLING CATALOG - DRY '!B532,"AAAAAHv+ZyA=")</f>
        <v>#VALUE!</v>
      </c>
      <c r="AH31" t="e">
        <f>AND('STERLING CATALOG - DRY '!C532,"AAAAAHv+ZyE=")</f>
        <v>#VALUE!</v>
      </c>
      <c r="AI31" t="e">
        <f>AND('STERLING CATALOG - DRY '!D532,"AAAAAHv+ZyI=")</f>
        <v>#VALUE!</v>
      </c>
      <c r="AJ31" t="e">
        <f>AND('STERLING CATALOG - DRY '!E532,"AAAAAHv+ZyM=")</f>
        <v>#VALUE!</v>
      </c>
      <c r="AK31" t="e">
        <f>AND('STERLING CATALOG - DRY '!F532,"AAAAAHv+ZyQ=")</f>
        <v>#VALUE!</v>
      </c>
      <c r="AL31" t="e">
        <f>AND('STERLING CATALOG - DRY '!G532,"AAAAAHv+ZyU=")</f>
        <v>#VALUE!</v>
      </c>
      <c r="AM31" t="e">
        <f>AND('STERLING CATALOG - DRY '!H532,"AAAAAHv+ZyY=")</f>
        <v>#VALUE!</v>
      </c>
      <c r="AN31" t="e">
        <f>AND('STERLING CATALOG - DRY '!I532,"AAAAAHv+Zyc=")</f>
        <v>#VALUE!</v>
      </c>
      <c r="AO31" t="e">
        <f>AND('STERLING CATALOG - DRY '!J532,"AAAAAHv+Zyg=")</f>
        <v>#VALUE!</v>
      </c>
      <c r="AP31">
        <f>IF('STERLING CATALOG - DRY '!533:533,"AAAAAHv+Zyk=",0)</f>
        <v>0</v>
      </c>
      <c r="AQ31" t="e">
        <f>AND('STERLING CATALOG - DRY '!A533,"AAAAAHv+Zyo=")</f>
        <v>#VALUE!</v>
      </c>
      <c r="AR31" t="e">
        <f>AND('STERLING CATALOG - DRY '!B533,"AAAAAHv+Zys=")</f>
        <v>#VALUE!</v>
      </c>
      <c r="AS31" t="e">
        <f>AND('STERLING CATALOG - DRY '!C533,"AAAAAHv+Zyw=")</f>
        <v>#VALUE!</v>
      </c>
      <c r="AT31" t="e">
        <f>AND('STERLING CATALOG - DRY '!D533,"AAAAAHv+Zy0=")</f>
        <v>#VALUE!</v>
      </c>
      <c r="AU31" t="e">
        <f>AND('STERLING CATALOG - DRY '!E533,"AAAAAHv+Zy4=")</f>
        <v>#VALUE!</v>
      </c>
      <c r="AV31" t="e">
        <f>AND('STERLING CATALOG - DRY '!F533,"AAAAAHv+Zy8=")</f>
        <v>#VALUE!</v>
      </c>
      <c r="AW31" t="e">
        <f>AND('STERLING CATALOG - DRY '!G533,"AAAAAHv+ZzA=")</f>
        <v>#VALUE!</v>
      </c>
      <c r="AX31" t="e">
        <f>AND('STERLING CATALOG - DRY '!H533,"AAAAAHv+ZzE=")</f>
        <v>#VALUE!</v>
      </c>
      <c r="AY31" t="e">
        <f>AND('STERLING CATALOG - DRY '!I533,"AAAAAHv+ZzI=")</f>
        <v>#VALUE!</v>
      </c>
      <c r="AZ31" t="e">
        <f>AND('STERLING CATALOG - DRY '!J533,"AAAAAHv+ZzM=")</f>
        <v>#VALUE!</v>
      </c>
      <c r="BA31">
        <f>IF('STERLING CATALOG - DRY '!534:534,"AAAAAHv+ZzQ=",0)</f>
        <v>0</v>
      </c>
      <c r="BB31" t="e">
        <f>AND('STERLING CATALOG - DRY '!A534,"AAAAAHv+ZzU=")</f>
        <v>#VALUE!</v>
      </c>
      <c r="BC31" t="e">
        <f>AND('STERLING CATALOG - DRY '!B534,"AAAAAHv+ZzY=")</f>
        <v>#VALUE!</v>
      </c>
      <c r="BD31" t="e">
        <f>AND('STERLING CATALOG - DRY '!C534,"AAAAAHv+Zzc=")</f>
        <v>#VALUE!</v>
      </c>
      <c r="BE31" t="e">
        <f>AND('STERLING CATALOG - DRY '!D534,"AAAAAHv+Zzg=")</f>
        <v>#VALUE!</v>
      </c>
      <c r="BF31" t="e">
        <f>AND('STERLING CATALOG - DRY '!E534,"AAAAAHv+Zzk=")</f>
        <v>#VALUE!</v>
      </c>
      <c r="BG31" t="e">
        <f>AND('STERLING CATALOG - DRY '!F534,"AAAAAHv+Zzo=")</f>
        <v>#VALUE!</v>
      </c>
      <c r="BH31" t="e">
        <f>AND('STERLING CATALOG - DRY '!G534,"AAAAAHv+Zzs=")</f>
        <v>#VALUE!</v>
      </c>
      <c r="BI31" t="e">
        <f>AND('STERLING CATALOG - DRY '!H534,"AAAAAHv+Zzw=")</f>
        <v>#VALUE!</v>
      </c>
      <c r="BJ31" t="e">
        <f>AND('STERLING CATALOG - DRY '!I534,"AAAAAHv+Zz0=")</f>
        <v>#VALUE!</v>
      </c>
      <c r="BK31" t="e">
        <f>AND('STERLING CATALOG - DRY '!J534,"AAAAAHv+Zz4=")</f>
        <v>#VALUE!</v>
      </c>
      <c r="BL31">
        <f>IF('STERLING CATALOG - DRY '!535:535,"AAAAAHv+Zz8=",0)</f>
        <v>0</v>
      </c>
      <c r="BM31" t="e">
        <f>AND('STERLING CATALOG - DRY '!A535,"AAAAAHv+Z0A=")</f>
        <v>#VALUE!</v>
      </c>
      <c r="BN31" t="e">
        <f>AND('STERLING CATALOG - DRY '!B535,"AAAAAHv+Z0E=")</f>
        <v>#VALUE!</v>
      </c>
      <c r="BO31" t="e">
        <f>AND('STERLING CATALOG - DRY '!C535,"AAAAAHv+Z0I=")</f>
        <v>#VALUE!</v>
      </c>
      <c r="BP31" t="e">
        <f>AND('STERLING CATALOG - DRY '!D535,"AAAAAHv+Z0M=")</f>
        <v>#VALUE!</v>
      </c>
      <c r="BQ31" t="e">
        <f>AND('STERLING CATALOG - DRY '!E535,"AAAAAHv+Z0Q=")</f>
        <v>#VALUE!</v>
      </c>
      <c r="BR31" t="e">
        <f>AND('STERLING CATALOG - DRY '!F535,"AAAAAHv+Z0U=")</f>
        <v>#VALUE!</v>
      </c>
      <c r="BS31" t="e">
        <f>AND('STERLING CATALOG - DRY '!G535,"AAAAAHv+Z0Y=")</f>
        <v>#VALUE!</v>
      </c>
      <c r="BT31" t="e">
        <f>AND('STERLING CATALOG - DRY '!H535,"AAAAAHv+Z0c=")</f>
        <v>#VALUE!</v>
      </c>
      <c r="BU31" t="e">
        <f>AND('STERLING CATALOG - DRY '!I535,"AAAAAHv+Z0g=")</f>
        <v>#VALUE!</v>
      </c>
      <c r="BV31" t="e">
        <f>AND('STERLING CATALOG - DRY '!J535,"AAAAAHv+Z0k=")</f>
        <v>#VALUE!</v>
      </c>
      <c r="BW31">
        <f>IF('STERLING CATALOG - DRY '!536:536,"AAAAAHv+Z0o=",0)</f>
        <v>0</v>
      </c>
      <c r="BX31" t="e">
        <f>AND('STERLING CATALOG - DRY '!A536,"AAAAAHv+Z0s=")</f>
        <v>#VALUE!</v>
      </c>
      <c r="BY31" t="e">
        <f>AND('STERLING CATALOG - DRY '!B536,"AAAAAHv+Z0w=")</f>
        <v>#VALUE!</v>
      </c>
      <c r="BZ31" t="e">
        <f>AND('STERLING CATALOG - DRY '!C536,"AAAAAHv+Z00=")</f>
        <v>#VALUE!</v>
      </c>
      <c r="CA31" t="e">
        <f>AND('STERLING CATALOG - DRY '!D536,"AAAAAHv+Z04=")</f>
        <v>#VALUE!</v>
      </c>
      <c r="CB31" t="e">
        <f>AND('STERLING CATALOG - DRY '!E536,"AAAAAHv+Z08=")</f>
        <v>#VALUE!</v>
      </c>
      <c r="CC31" t="e">
        <f>AND('STERLING CATALOG - DRY '!F536,"AAAAAHv+Z1A=")</f>
        <v>#VALUE!</v>
      </c>
      <c r="CD31" t="e">
        <f>AND('STERLING CATALOG - DRY '!G536,"AAAAAHv+Z1E=")</f>
        <v>#VALUE!</v>
      </c>
      <c r="CE31" t="e">
        <f>AND('STERLING CATALOG - DRY '!H536,"AAAAAHv+Z1I=")</f>
        <v>#VALUE!</v>
      </c>
      <c r="CF31" t="e">
        <f>AND('STERLING CATALOG - DRY '!I536,"AAAAAHv+Z1M=")</f>
        <v>#VALUE!</v>
      </c>
      <c r="CG31" t="e">
        <f>AND('STERLING CATALOG - DRY '!J536,"AAAAAHv+Z1Q=")</f>
        <v>#VALUE!</v>
      </c>
      <c r="CH31">
        <f>IF('STERLING CATALOG - DRY '!537:537,"AAAAAHv+Z1U=",0)</f>
        <v>0</v>
      </c>
      <c r="CI31" t="e">
        <f>AND('STERLING CATALOG - DRY '!A537,"AAAAAHv+Z1Y=")</f>
        <v>#VALUE!</v>
      </c>
      <c r="CJ31" t="e">
        <f>AND('STERLING CATALOG - DRY '!B537,"AAAAAHv+Z1c=")</f>
        <v>#VALUE!</v>
      </c>
      <c r="CK31" t="e">
        <f>AND('STERLING CATALOG - DRY '!C537,"AAAAAHv+Z1g=")</f>
        <v>#VALUE!</v>
      </c>
      <c r="CL31" t="e">
        <f>AND('STERLING CATALOG - DRY '!D537,"AAAAAHv+Z1k=")</f>
        <v>#VALUE!</v>
      </c>
      <c r="CM31" t="e">
        <f>AND('STERLING CATALOG - DRY '!E537,"AAAAAHv+Z1o=")</f>
        <v>#VALUE!</v>
      </c>
      <c r="CN31" t="e">
        <f>AND('STERLING CATALOG - DRY '!F537,"AAAAAHv+Z1s=")</f>
        <v>#VALUE!</v>
      </c>
      <c r="CO31" t="e">
        <f>AND('STERLING CATALOG - DRY '!G537,"AAAAAHv+Z1w=")</f>
        <v>#VALUE!</v>
      </c>
      <c r="CP31" t="e">
        <f>AND('STERLING CATALOG - DRY '!H537,"AAAAAHv+Z10=")</f>
        <v>#VALUE!</v>
      </c>
      <c r="CQ31" t="e">
        <f>AND('STERLING CATALOG - DRY '!I537,"AAAAAHv+Z14=")</f>
        <v>#VALUE!</v>
      </c>
      <c r="CR31" t="e">
        <f>AND('STERLING CATALOG - DRY '!J537,"AAAAAHv+Z18=")</f>
        <v>#VALUE!</v>
      </c>
      <c r="CS31">
        <f>IF('STERLING CATALOG - DRY '!538:538,"AAAAAHv+Z2A=",0)</f>
        <v>0</v>
      </c>
      <c r="CT31" t="e">
        <f>AND('STERLING CATALOG - DRY '!A538,"AAAAAHv+Z2E=")</f>
        <v>#VALUE!</v>
      </c>
      <c r="CU31" t="e">
        <f>AND('STERLING CATALOG - DRY '!B538,"AAAAAHv+Z2I=")</f>
        <v>#VALUE!</v>
      </c>
      <c r="CV31" t="e">
        <f>AND('STERLING CATALOG - DRY '!C538,"AAAAAHv+Z2M=")</f>
        <v>#VALUE!</v>
      </c>
      <c r="CW31" t="e">
        <f>AND('STERLING CATALOG - DRY '!D538,"AAAAAHv+Z2Q=")</f>
        <v>#VALUE!</v>
      </c>
      <c r="CX31" t="e">
        <f>AND('STERLING CATALOG - DRY '!E538,"AAAAAHv+Z2U=")</f>
        <v>#VALUE!</v>
      </c>
      <c r="CY31" t="e">
        <f>AND('STERLING CATALOG - DRY '!F538,"AAAAAHv+Z2Y=")</f>
        <v>#VALUE!</v>
      </c>
      <c r="CZ31" t="e">
        <f>AND('STERLING CATALOG - DRY '!G538,"AAAAAHv+Z2c=")</f>
        <v>#VALUE!</v>
      </c>
      <c r="DA31" t="e">
        <f>AND('STERLING CATALOG - DRY '!H538,"AAAAAHv+Z2g=")</f>
        <v>#VALUE!</v>
      </c>
      <c r="DB31" t="e">
        <f>AND('STERLING CATALOG - DRY '!I538,"AAAAAHv+Z2k=")</f>
        <v>#VALUE!</v>
      </c>
      <c r="DC31" t="e">
        <f>AND('STERLING CATALOG - DRY '!J538,"AAAAAHv+Z2o=")</f>
        <v>#VALUE!</v>
      </c>
      <c r="DD31">
        <f>IF('STERLING CATALOG - DRY '!539:539,"AAAAAHv+Z2s=",0)</f>
        <v>0</v>
      </c>
      <c r="DE31" t="e">
        <f>AND('STERLING CATALOG - DRY '!A539,"AAAAAHv+Z2w=")</f>
        <v>#VALUE!</v>
      </c>
      <c r="DF31" t="e">
        <f>AND('STERLING CATALOG - DRY '!B539,"AAAAAHv+Z20=")</f>
        <v>#VALUE!</v>
      </c>
      <c r="DG31" t="e">
        <f>AND('STERLING CATALOG - DRY '!C539,"AAAAAHv+Z24=")</f>
        <v>#VALUE!</v>
      </c>
      <c r="DH31" t="e">
        <f>AND('STERLING CATALOG - DRY '!D539,"AAAAAHv+Z28=")</f>
        <v>#VALUE!</v>
      </c>
      <c r="DI31" t="e">
        <f>AND('STERLING CATALOG - DRY '!E539,"AAAAAHv+Z3A=")</f>
        <v>#VALUE!</v>
      </c>
      <c r="DJ31" t="e">
        <f>AND('STERLING CATALOG - DRY '!F539,"AAAAAHv+Z3E=")</f>
        <v>#VALUE!</v>
      </c>
      <c r="DK31" t="e">
        <f>AND('STERLING CATALOG - DRY '!G539,"AAAAAHv+Z3I=")</f>
        <v>#VALUE!</v>
      </c>
      <c r="DL31" t="e">
        <f>AND('STERLING CATALOG - DRY '!H539,"AAAAAHv+Z3M=")</f>
        <v>#VALUE!</v>
      </c>
      <c r="DM31" t="e">
        <f>AND('STERLING CATALOG - DRY '!I539,"AAAAAHv+Z3Q=")</f>
        <v>#VALUE!</v>
      </c>
      <c r="DN31" t="e">
        <f>AND('STERLING CATALOG - DRY '!J539,"AAAAAHv+Z3U=")</f>
        <v>#VALUE!</v>
      </c>
      <c r="DO31">
        <f>IF('STERLING CATALOG - DRY '!540:540,"AAAAAHv+Z3Y=",0)</f>
        <v>0</v>
      </c>
      <c r="DP31" t="e">
        <f>AND('STERLING CATALOG - DRY '!A540,"AAAAAHv+Z3c=")</f>
        <v>#VALUE!</v>
      </c>
      <c r="DQ31" t="e">
        <f>AND('STERLING CATALOG - DRY '!B540,"AAAAAHv+Z3g=")</f>
        <v>#VALUE!</v>
      </c>
      <c r="DR31" t="e">
        <f>AND('STERLING CATALOG - DRY '!C540,"AAAAAHv+Z3k=")</f>
        <v>#VALUE!</v>
      </c>
      <c r="DS31" t="e">
        <f>AND('STERLING CATALOG - DRY '!D540,"AAAAAHv+Z3o=")</f>
        <v>#VALUE!</v>
      </c>
      <c r="DT31" t="e">
        <f>AND('STERLING CATALOG - DRY '!E540,"AAAAAHv+Z3s=")</f>
        <v>#VALUE!</v>
      </c>
      <c r="DU31" t="e">
        <f>AND('STERLING CATALOG - DRY '!F540,"AAAAAHv+Z3w=")</f>
        <v>#VALUE!</v>
      </c>
      <c r="DV31" t="e">
        <f>AND('STERLING CATALOG - DRY '!G540,"AAAAAHv+Z30=")</f>
        <v>#VALUE!</v>
      </c>
      <c r="DW31" t="e">
        <f>AND('STERLING CATALOG - DRY '!H540,"AAAAAHv+Z34=")</f>
        <v>#VALUE!</v>
      </c>
      <c r="DX31" t="e">
        <f>AND('STERLING CATALOG - DRY '!I540,"AAAAAHv+Z38=")</f>
        <v>#VALUE!</v>
      </c>
      <c r="DY31" t="e">
        <f>AND('STERLING CATALOG - DRY '!J540,"AAAAAHv+Z4A=")</f>
        <v>#VALUE!</v>
      </c>
      <c r="DZ31">
        <f>IF('STERLING CATALOG - DRY '!541:541,"AAAAAHv+Z4E=",0)</f>
        <v>0</v>
      </c>
      <c r="EA31" t="e">
        <f>AND('STERLING CATALOG - DRY '!A541,"AAAAAHv+Z4I=")</f>
        <v>#VALUE!</v>
      </c>
      <c r="EB31" t="e">
        <f>AND('STERLING CATALOG - DRY '!B541,"AAAAAHv+Z4M=")</f>
        <v>#VALUE!</v>
      </c>
      <c r="EC31" t="e">
        <f>AND('STERLING CATALOG - DRY '!C541,"AAAAAHv+Z4Q=")</f>
        <v>#VALUE!</v>
      </c>
      <c r="ED31" t="e">
        <f>AND('STERLING CATALOG - DRY '!D541,"AAAAAHv+Z4U=")</f>
        <v>#VALUE!</v>
      </c>
      <c r="EE31" t="e">
        <f>AND('STERLING CATALOG - DRY '!E541,"AAAAAHv+Z4Y=")</f>
        <v>#VALUE!</v>
      </c>
      <c r="EF31" t="e">
        <f>AND('STERLING CATALOG - DRY '!F541,"AAAAAHv+Z4c=")</f>
        <v>#VALUE!</v>
      </c>
      <c r="EG31" t="e">
        <f>AND('STERLING CATALOG - DRY '!G541,"AAAAAHv+Z4g=")</f>
        <v>#VALUE!</v>
      </c>
      <c r="EH31" t="e">
        <f>AND('STERLING CATALOG - DRY '!H541,"AAAAAHv+Z4k=")</f>
        <v>#VALUE!</v>
      </c>
      <c r="EI31" t="e">
        <f>AND('STERLING CATALOG - DRY '!I541,"AAAAAHv+Z4o=")</f>
        <v>#VALUE!</v>
      </c>
      <c r="EJ31" t="e">
        <f>AND('STERLING CATALOG - DRY '!J541,"AAAAAHv+Z4s=")</f>
        <v>#VALUE!</v>
      </c>
      <c r="EK31">
        <f>IF('STERLING CATALOG - DRY '!542:542,"AAAAAHv+Z4w=",0)</f>
        <v>0</v>
      </c>
      <c r="EL31" t="e">
        <f>AND('STERLING CATALOG - DRY '!A542,"AAAAAHv+Z40=")</f>
        <v>#VALUE!</v>
      </c>
      <c r="EM31" t="e">
        <f>AND('STERLING CATALOG - DRY '!B542,"AAAAAHv+Z44=")</f>
        <v>#VALUE!</v>
      </c>
      <c r="EN31" t="e">
        <f>AND('STERLING CATALOG - DRY '!C542,"AAAAAHv+Z48=")</f>
        <v>#VALUE!</v>
      </c>
      <c r="EO31" t="e">
        <f>AND('STERLING CATALOG - DRY '!D542,"AAAAAHv+Z5A=")</f>
        <v>#VALUE!</v>
      </c>
      <c r="EP31" t="e">
        <f>AND('STERLING CATALOG - DRY '!E542,"AAAAAHv+Z5E=")</f>
        <v>#VALUE!</v>
      </c>
      <c r="EQ31" t="e">
        <f>AND('STERLING CATALOG - DRY '!F542,"AAAAAHv+Z5I=")</f>
        <v>#VALUE!</v>
      </c>
      <c r="ER31" t="e">
        <f>AND('STERLING CATALOG - DRY '!G542,"AAAAAHv+Z5M=")</f>
        <v>#VALUE!</v>
      </c>
      <c r="ES31" t="e">
        <f>AND('STERLING CATALOG - DRY '!H542,"AAAAAHv+Z5Q=")</f>
        <v>#VALUE!</v>
      </c>
      <c r="ET31" t="e">
        <f>AND('STERLING CATALOG - DRY '!I542,"AAAAAHv+Z5U=")</f>
        <v>#VALUE!</v>
      </c>
      <c r="EU31" t="e">
        <f>AND('STERLING CATALOG - DRY '!J542,"AAAAAHv+Z5Y=")</f>
        <v>#VALUE!</v>
      </c>
      <c r="EV31">
        <f>IF('STERLING CATALOG - DRY '!543:543,"AAAAAHv+Z5c=",0)</f>
        <v>0</v>
      </c>
      <c r="EW31" t="e">
        <f>AND('STERLING CATALOG - DRY '!A543,"AAAAAHv+Z5g=")</f>
        <v>#VALUE!</v>
      </c>
      <c r="EX31" t="e">
        <f>AND('STERLING CATALOG - DRY '!B543,"AAAAAHv+Z5k=")</f>
        <v>#VALUE!</v>
      </c>
      <c r="EY31" t="e">
        <f>AND('STERLING CATALOG - DRY '!C543,"AAAAAHv+Z5o=")</f>
        <v>#VALUE!</v>
      </c>
      <c r="EZ31" t="e">
        <f>AND('STERLING CATALOG - DRY '!D543,"AAAAAHv+Z5s=")</f>
        <v>#VALUE!</v>
      </c>
      <c r="FA31" t="e">
        <f>AND('STERLING CATALOG - DRY '!E543,"AAAAAHv+Z5w=")</f>
        <v>#VALUE!</v>
      </c>
      <c r="FB31" t="e">
        <f>AND('STERLING CATALOG - DRY '!F543,"AAAAAHv+Z50=")</f>
        <v>#VALUE!</v>
      </c>
      <c r="FC31" t="e">
        <f>AND('STERLING CATALOG - DRY '!G543,"AAAAAHv+Z54=")</f>
        <v>#VALUE!</v>
      </c>
      <c r="FD31" t="e">
        <f>AND('STERLING CATALOG - DRY '!H543,"AAAAAHv+Z58=")</f>
        <v>#VALUE!</v>
      </c>
      <c r="FE31" t="e">
        <f>AND('STERLING CATALOG - DRY '!I543,"AAAAAHv+Z6A=")</f>
        <v>#VALUE!</v>
      </c>
      <c r="FF31" t="e">
        <f>AND('STERLING CATALOG - DRY '!J543,"AAAAAHv+Z6E=")</f>
        <v>#VALUE!</v>
      </c>
      <c r="FG31">
        <f>IF('STERLING CATALOG - DRY '!544:544,"AAAAAHv+Z6I=",0)</f>
        <v>0</v>
      </c>
      <c r="FH31" t="e">
        <f>AND('STERLING CATALOG - DRY '!A544,"AAAAAHv+Z6M=")</f>
        <v>#VALUE!</v>
      </c>
      <c r="FI31" t="e">
        <f>AND('STERLING CATALOG - DRY '!B544,"AAAAAHv+Z6Q=")</f>
        <v>#VALUE!</v>
      </c>
      <c r="FJ31" t="e">
        <f>AND('STERLING CATALOG - DRY '!C544,"AAAAAHv+Z6U=")</f>
        <v>#VALUE!</v>
      </c>
      <c r="FK31" t="e">
        <f>AND('STERLING CATALOG - DRY '!D544,"AAAAAHv+Z6Y=")</f>
        <v>#VALUE!</v>
      </c>
      <c r="FL31" t="e">
        <f>AND('STERLING CATALOG - DRY '!E544,"AAAAAHv+Z6c=")</f>
        <v>#VALUE!</v>
      </c>
      <c r="FM31" t="e">
        <f>AND('STERLING CATALOG - DRY '!F544,"AAAAAHv+Z6g=")</f>
        <v>#VALUE!</v>
      </c>
      <c r="FN31" t="e">
        <f>AND('STERLING CATALOG - DRY '!G544,"AAAAAHv+Z6k=")</f>
        <v>#VALUE!</v>
      </c>
      <c r="FO31" t="e">
        <f>AND('STERLING CATALOG - DRY '!H544,"AAAAAHv+Z6o=")</f>
        <v>#VALUE!</v>
      </c>
      <c r="FP31" t="e">
        <f>AND('STERLING CATALOG - DRY '!I544,"AAAAAHv+Z6s=")</f>
        <v>#VALUE!</v>
      </c>
      <c r="FQ31" t="e">
        <f>AND('STERLING CATALOG - DRY '!J544,"AAAAAHv+Z6w=")</f>
        <v>#VALUE!</v>
      </c>
      <c r="FR31">
        <f>IF('STERLING CATALOG - DRY '!545:545,"AAAAAHv+Z60=",0)</f>
        <v>0</v>
      </c>
      <c r="FS31" t="e">
        <f>AND('STERLING CATALOG - DRY '!A545,"AAAAAHv+Z64=")</f>
        <v>#VALUE!</v>
      </c>
      <c r="FT31" t="e">
        <f>AND('STERLING CATALOG - DRY '!B545,"AAAAAHv+Z68=")</f>
        <v>#VALUE!</v>
      </c>
      <c r="FU31" t="e">
        <f>AND('STERLING CATALOG - DRY '!C545,"AAAAAHv+Z7A=")</f>
        <v>#VALUE!</v>
      </c>
      <c r="FV31" t="e">
        <f>AND('STERLING CATALOG - DRY '!D545,"AAAAAHv+Z7E=")</f>
        <v>#VALUE!</v>
      </c>
      <c r="FW31" t="e">
        <f>AND('STERLING CATALOG - DRY '!E545,"AAAAAHv+Z7I=")</f>
        <v>#VALUE!</v>
      </c>
      <c r="FX31" t="e">
        <f>AND('STERLING CATALOG - DRY '!F545,"AAAAAHv+Z7M=")</f>
        <v>#VALUE!</v>
      </c>
      <c r="FY31" t="e">
        <f>AND('STERLING CATALOG - DRY '!G545,"AAAAAHv+Z7Q=")</f>
        <v>#VALUE!</v>
      </c>
      <c r="FZ31" t="e">
        <f>AND('STERLING CATALOG - DRY '!H545,"AAAAAHv+Z7U=")</f>
        <v>#VALUE!</v>
      </c>
      <c r="GA31" t="e">
        <f>AND('STERLING CATALOG - DRY '!I545,"AAAAAHv+Z7Y=")</f>
        <v>#VALUE!</v>
      </c>
      <c r="GB31" t="e">
        <f>AND('STERLING CATALOG - DRY '!J545,"AAAAAHv+Z7c=")</f>
        <v>#VALUE!</v>
      </c>
      <c r="GC31">
        <f>IF('STERLING CATALOG - DRY '!546:546,"AAAAAHv+Z7g=",0)</f>
        <v>0</v>
      </c>
      <c r="GD31" t="e">
        <f>AND('STERLING CATALOG - DRY '!A546,"AAAAAHv+Z7k=")</f>
        <v>#VALUE!</v>
      </c>
      <c r="GE31" t="e">
        <f>AND('STERLING CATALOG - DRY '!B546,"AAAAAHv+Z7o=")</f>
        <v>#VALUE!</v>
      </c>
      <c r="GF31" t="e">
        <f>AND('STERLING CATALOG - DRY '!C546,"AAAAAHv+Z7s=")</f>
        <v>#VALUE!</v>
      </c>
      <c r="GG31" t="e">
        <f>AND('STERLING CATALOG - DRY '!D546,"AAAAAHv+Z7w=")</f>
        <v>#VALUE!</v>
      </c>
      <c r="GH31" t="e">
        <f>AND('STERLING CATALOG - DRY '!E546,"AAAAAHv+Z70=")</f>
        <v>#VALUE!</v>
      </c>
      <c r="GI31" t="e">
        <f>AND('STERLING CATALOG - DRY '!F546,"AAAAAHv+Z74=")</f>
        <v>#VALUE!</v>
      </c>
      <c r="GJ31" t="e">
        <f>AND('STERLING CATALOG - DRY '!G546,"AAAAAHv+Z78=")</f>
        <v>#VALUE!</v>
      </c>
      <c r="GK31" t="e">
        <f>AND('STERLING CATALOG - DRY '!H546,"AAAAAHv+Z8A=")</f>
        <v>#VALUE!</v>
      </c>
      <c r="GL31" t="e">
        <f>AND('STERLING CATALOG - DRY '!I546,"AAAAAHv+Z8E=")</f>
        <v>#VALUE!</v>
      </c>
      <c r="GM31" t="e">
        <f>AND('STERLING CATALOG - DRY '!J546,"AAAAAHv+Z8I=")</f>
        <v>#VALUE!</v>
      </c>
      <c r="GN31">
        <f>IF('STERLING CATALOG - DRY '!547:547,"AAAAAHv+Z8M=",0)</f>
        <v>0</v>
      </c>
      <c r="GO31" t="e">
        <f>AND('STERLING CATALOG - DRY '!A547,"AAAAAHv+Z8Q=")</f>
        <v>#VALUE!</v>
      </c>
      <c r="GP31" t="e">
        <f>AND('STERLING CATALOG - DRY '!B547,"AAAAAHv+Z8U=")</f>
        <v>#VALUE!</v>
      </c>
      <c r="GQ31" t="e">
        <f>AND('STERLING CATALOG - DRY '!C547,"AAAAAHv+Z8Y=")</f>
        <v>#VALUE!</v>
      </c>
      <c r="GR31" t="e">
        <f>AND('STERLING CATALOG - DRY '!D547,"AAAAAHv+Z8c=")</f>
        <v>#VALUE!</v>
      </c>
      <c r="GS31" t="e">
        <f>AND('STERLING CATALOG - DRY '!E547,"AAAAAHv+Z8g=")</f>
        <v>#VALUE!</v>
      </c>
      <c r="GT31" t="e">
        <f>AND('STERLING CATALOG - DRY '!F547,"AAAAAHv+Z8k=")</f>
        <v>#VALUE!</v>
      </c>
      <c r="GU31" t="e">
        <f>AND('STERLING CATALOG - DRY '!G547,"AAAAAHv+Z8o=")</f>
        <v>#VALUE!</v>
      </c>
      <c r="GV31" t="e">
        <f>AND('STERLING CATALOG - DRY '!H547,"AAAAAHv+Z8s=")</f>
        <v>#VALUE!</v>
      </c>
      <c r="GW31" t="e">
        <f>AND('STERLING CATALOG - DRY '!I547,"AAAAAHv+Z8w=")</f>
        <v>#VALUE!</v>
      </c>
      <c r="GX31" t="e">
        <f>AND('STERLING CATALOG - DRY '!J547,"AAAAAHv+Z80=")</f>
        <v>#VALUE!</v>
      </c>
      <c r="GY31">
        <f>IF('STERLING CATALOG - DRY '!548:548,"AAAAAHv+Z84=",0)</f>
        <v>0</v>
      </c>
      <c r="GZ31" t="e">
        <f>AND('STERLING CATALOG - DRY '!A548,"AAAAAHv+Z88=")</f>
        <v>#VALUE!</v>
      </c>
      <c r="HA31" t="e">
        <f>AND('STERLING CATALOG - DRY '!B548,"AAAAAHv+Z9A=")</f>
        <v>#VALUE!</v>
      </c>
      <c r="HB31" t="e">
        <f>AND('STERLING CATALOG - DRY '!C548,"AAAAAHv+Z9E=")</f>
        <v>#VALUE!</v>
      </c>
      <c r="HC31" t="e">
        <f>AND('STERLING CATALOG - DRY '!D548,"AAAAAHv+Z9I=")</f>
        <v>#VALUE!</v>
      </c>
      <c r="HD31" t="e">
        <f>AND('STERLING CATALOG - DRY '!E548,"AAAAAHv+Z9M=")</f>
        <v>#VALUE!</v>
      </c>
      <c r="HE31" t="e">
        <f>AND('STERLING CATALOG - DRY '!F548,"AAAAAHv+Z9Q=")</f>
        <v>#VALUE!</v>
      </c>
      <c r="HF31" t="e">
        <f>AND('STERLING CATALOG - DRY '!G548,"AAAAAHv+Z9U=")</f>
        <v>#VALUE!</v>
      </c>
      <c r="HG31" t="e">
        <f>AND('STERLING CATALOG - DRY '!H548,"AAAAAHv+Z9Y=")</f>
        <v>#VALUE!</v>
      </c>
      <c r="HH31" t="e">
        <f>AND('STERLING CATALOG - DRY '!I548,"AAAAAHv+Z9c=")</f>
        <v>#VALUE!</v>
      </c>
      <c r="HI31" t="e">
        <f>AND('STERLING CATALOG - DRY '!J548,"AAAAAHv+Z9g=")</f>
        <v>#VALUE!</v>
      </c>
      <c r="HJ31">
        <f>IF('STERLING CATALOG - DRY '!549:549,"AAAAAHv+Z9k=",0)</f>
        <v>0</v>
      </c>
      <c r="HK31" t="e">
        <f>AND('STERLING CATALOG - DRY '!A549,"AAAAAHv+Z9o=")</f>
        <v>#VALUE!</v>
      </c>
      <c r="HL31" t="e">
        <f>AND('STERLING CATALOG - DRY '!B549,"AAAAAHv+Z9s=")</f>
        <v>#VALUE!</v>
      </c>
      <c r="HM31" t="e">
        <f>AND('STERLING CATALOG - DRY '!C549,"AAAAAHv+Z9w=")</f>
        <v>#VALUE!</v>
      </c>
      <c r="HN31" t="e">
        <f>AND('STERLING CATALOG - DRY '!D549,"AAAAAHv+Z90=")</f>
        <v>#VALUE!</v>
      </c>
      <c r="HO31" t="e">
        <f>AND('STERLING CATALOG - DRY '!E549,"AAAAAHv+Z94=")</f>
        <v>#VALUE!</v>
      </c>
      <c r="HP31" t="e">
        <f>AND('STERLING CATALOG - DRY '!F549,"AAAAAHv+Z98=")</f>
        <v>#VALUE!</v>
      </c>
      <c r="HQ31" t="e">
        <f>AND('STERLING CATALOG - DRY '!G549,"AAAAAHv+Z+A=")</f>
        <v>#VALUE!</v>
      </c>
      <c r="HR31" t="e">
        <f>AND('STERLING CATALOG - DRY '!H549,"AAAAAHv+Z+E=")</f>
        <v>#VALUE!</v>
      </c>
      <c r="HS31" t="e">
        <f>AND('STERLING CATALOG - DRY '!I549,"AAAAAHv+Z+I=")</f>
        <v>#VALUE!</v>
      </c>
      <c r="HT31" t="e">
        <f>AND('STERLING CATALOG - DRY '!J549,"AAAAAHv+Z+M=")</f>
        <v>#VALUE!</v>
      </c>
      <c r="HU31">
        <f>IF('STERLING CATALOG - DRY '!550:550,"AAAAAHv+Z+Q=",0)</f>
        <v>0</v>
      </c>
      <c r="HV31" t="e">
        <f>AND('STERLING CATALOG - DRY '!A550,"AAAAAHv+Z+U=")</f>
        <v>#VALUE!</v>
      </c>
      <c r="HW31" t="e">
        <f>AND('STERLING CATALOG - DRY '!B550,"AAAAAHv+Z+Y=")</f>
        <v>#VALUE!</v>
      </c>
      <c r="HX31" t="e">
        <f>AND('STERLING CATALOG - DRY '!C550,"AAAAAHv+Z+c=")</f>
        <v>#VALUE!</v>
      </c>
      <c r="HY31" t="e">
        <f>AND('STERLING CATALOG - DRY '!D550,"AAAAAHv+Z+g=")</f>
        <v>#VALUE!</v>
      </c>
      <c r="HZ31" t="e">
        <f>AND('STERLING CATALOG - DRY '!E550,"AAAAAHv+Z+k=")</f>
        <v>#VALUE!</v>
      </c>
      <c r="IA31" t="e">
        <f>AND('STERLING CATALOG - DRY '!F550,"AAAAAHv+Z+o=")</f>
        <v>#VALUE!</v>
      </c>
      <c r="IB31" t="e">
        <f>AND('STERLING CATALOG - DRY '!G550,"AAAAAHv+Z+s=")</f>
        <v>#VALUE!</v>
      </c>
      <c r="IC31" t="e">
        <f>AND('STERLING CATALOG - DRY '!H550,"AAAAAHv+Z+w=")</f>
        <v>#VALUE!</v>
      </c>
      <c r="ID31" t="e">
        <f>AND('STERLING CATALOG - DRY '!I550,"AAAAAHv+Z+0=")</f>
        <v>#VALUE!</v>
      </c>
      <c r="IE31" t="e">
        <f>AND('STERLING CATALOG - DRY '!J550,"AAAAAHv+Z+4=")</f>
        <v>#VALUE!</v>
      </c>
      <c r="IF31">
        <f>IF('STERLING CATALOG - DRY '!551:551,"AAAAAHv+Z+8=",0)</f>
        <v>0</v>
      </c>
      <c r="IG31" t="e">
        <f>AND('STERLING CATALOG - DRY '!A551,"AAAAAHv+Z/A=")</f>
        <v>#VALUE!</v>
      </c>
      <c r="IH31" t="e">
        <f>AND('STERLING CATALOG - DRY '!B551,"AAAAAHv+Z/E=")</f>
        <v>#VALUE!</v>
      </c>
      <c r="II31" t="e">
        <f>AND('STERLING CATALOG - DRY '!C551,"AAAAAHv+Z/I=")</f>
        <v>#VALUE!</v>
      </c>
      <c r="IJ31" t="e">
        <f>AND('STERLING CATALOG - DRY '!D551,"AAAAAHv+Z/M=")</f>
        <v>#VALUE!</v>
      </c>
      <c r="IK31" t="e">
        <f>AND('STERLING CATALOG - DRY '!E551,"AAAAAHv+Z/Q=")</f>
        <v>#VALUE!</v>
      </c>
      <c r="IL31" t="e">
        <f>AND('STERLING CATALOG - DRY '!F551,"AAAAAHv+Z/U=")</f>
        <v>#VALUE!</v>
      </c>
      <c r="IM31" t="e">
        <f>AND('STERLING CATALOG - DRY '!G551,"AAAAAHv+Z/Y=")</f>
        <v>#VALUE!</v>
      </c>
      <c r="IN31" t="e">
        <f>AND('STERLING CATALOG - DRY '!H551,"AAAAAHv+Z/c=")</f>
        <v>#VALUE!</v>
      </c>
      <c r="IO31" t="e">
        <f>AND('STERLING CATALOG - DRY '!I551,"AAAAAHv+Z/g=")</f>
        <v>#VALUE!</v>
      </c>
      <c r="IP31" t="e">
        <f>AND('STERLING CATALOG - DRY '!J551,"AAAAAHv+Z/k=")</f>
        <v>#VALUE!</v>
      </c>
      <c r="IQ31">
        <f>IF('STERLING CATALOG - DRY '!552:552,"AAAAAHv+Z/o=",0)</f>
        <v>0</v>
      </c>
      <c r="IR31" t="e">
        <f>AND('STERLING CATALOG - DRY '!A552,"AAAAAHv+Z/s=")</f>
        <v>#VALUE!</v>
      </c>
      <c r="IS31" t="e">
        <f>AND('STERLING CATALOG - DRY '!B552,"AAAAAHv+Z/w=")</f>
        <v>#VALUE!</v>
      </c>
      <c r="IT31" t="e">
        <f>AND('STERLING CATALOG - DRY '!C552,"AAAAAHv+Z/0=")</f>
        <v>#VALUE!</v>
      </c>
      <c r="IU31" t="e">
        <f>AND('STERLING CATALOG - DRY '!D552,"AAAAAHv+Z/4=")</f>
        <v>#VALUE!</v>
      </c>
      <c r="IV31" t="e">
        <f>AND('STERLING CATALOG - DRY '!E552,"AAAAAHv+Z/8=")</f>
        <v>#VALUE!</v>
      </c>
    </row>
    <row r="32" spans="1:256">
      <c r="A32" t="e">
        <f>AND('STERLING CATALOG - DRY '!F552,"AAAAAEvX3wA=")</f>
        <v>#VALUE!</v>
      </c>
      <c r="B32" t="e">
        <f>AND('STERLING CATALOG - DRY '!G552,"AAAAAEvX3wE=")</f>
        <v>#VALUE!</v>
      </c>
      <c r="C32" t="e">
        <f>AND('STERLING CATALOG - DRY '!H552,"AAAAAEvX3wI=")</f>
        <v>#VALUE!</v>
      </c>
      <c r="D32" t="e">
        <f>AND('STERLING CATALOG - DRY '!I552,"AAAAAEvX3wM=")</f>
        <v>#VALUE!</v>
      </c>
      <c r="E32" t="e">
        <f>AND('STERLING CATALOG - DRY '!J552,"AAAAAEvX3wQ=")</f>
        <v>#VALUE!</v>
      </c>
      <c r="F32" t="str">
        <f>IF('STERLING CATALOG - DRY '!553:553,"AAAAAEvX3wU=",0)</f>
        <v>AAAAAEvX3wU=</v>
      </c>
      <c r="G32" t="e">
        <f>AND('STERLING CATALOG - DRY '!A553,"AAAAAEvX3wY=")</f>
        <v>#VALUE!</v>
      </c>
      <c r="H32" t="e">
        <f>AND('STERLING CATALOG - DRY '!B553,"AAAAAEvX3wc=")</f>
        <v>#VALUE!</v>
      </c>
      <c r="I32" t="e">
        <f>AND('STERLING CATALOG - DRY '!C553,"AAAAAEvX3wg=")</f>
        <v>#VALUE!</v>
      </c>
      <c r="J32" t="e">
        <f>AND('STERLING CATALOG - DRY '!D553,"AAAAAEvX3wk=")</f>
        <v>#VALUE!</v>
      </c>
      <c r="K32" t="e">
        <f>AND('STERLING CATALOG - DRY '!E553,"AAAAAEvX3wo=")</f>
        <v>#VALUE!</v>
      </c>
      <c r="L32" t="e">
        <f>AND('STERLING CATALOG - DRY '!F553,"AAAAAEvX3ws=")</f>
        <v>#VALUE!</v>
      </c>
      <c r="M32" t="e">
        <f>AND('STERLING CATALOG - DRY '!G553,"AAAAAEvX3ww=")</f>
        <v>#VALUE!</v>
      </c>
      <c r="N32" t="e">
        <f>AND('STERLING CATALOG - DRY '!H553,"AAAAAEvX3w0=")</f>
        <v>#VALUE!</v>
      </c>
      <c r="O32" t="e">
        <f>AND('STERLING CATALOG - DRY '!I553,"AAAAAEvX3w4=")</f>
        <v>#VALUE!</v>
      </c>
      <c r="P32" t="e">
        <f>AND('STERLING CATALOG - DRY '!J553,"AAAAAEvX3w8=")</f>
        <v>#VALUE!</v>
      </c>
      <c r="Q32">
        <f>IF('STERLING CATALOG - DRY '!554:554,"AAAAAEvX3xA=",0)</f>
        <v>0</v>
      </c>
      <c r="R32" t="e">
        <f>AND('STERLING CATALOG - DRY '!A554,"AAAAAEvX3xE=")</f>
        <v>#VALUE!</v>
      </c>
      <c r="S32" t="e">
        <f>AND('STERLING CATALOG - DRY '!B554,"AAAAAEvX3xI=")</f>
        <v>#VALUE!</v>
      </c>
      <c r="T32" t="e">
        <f>AND('STERLING CATALOG - DRY '!C554,"AAAAAEvX3xM=")</f>
        <v>#VALUE!</v>
      </c>
      <c r="U32" t="e">
        <f>AND('STERLING CATALOG - DRY '!D554,"AAAAAEvX3xQ=")</f>
        <v>#VALUE!</v>
      </c>
      <c r="V32" t="e">
        <f>AND('STERLING CATALOG - DRY '!E554,"AAAAAEvX3xU=")</f>
        <v>#VALUE!</v>
      </c>
      <c r="W32" t="e">
        <f>AND('STERLING CATALOG - DRY '!F554,"AAAAAEvX3xY=")</f>
        <v>#VALUE!</v>
      </c>
      <c r="X32" t="e">
        <f>AND('STERLING CATALOG - DRY '!G554,"AAAAAEvX3xc=")</f>
        <v>#VALUE!</v>
      </c>
      <c r="Y32" t="e">
        <f>AND('STERLING CATALOG - DRY '!H554,"AAAAAEvX3xg=")</f>
        <v>#VALUE!</v>
      </c>
      <c r="Z32" t="e">
        <f>AND('STERLING CATALOG - DRY '!I554,"AAAAAEvX3xk=")</f>
        <v>#VALUE!</v>
      </c>
      <c r="AA32" t="e">
        <f>AND('STERLING CATALOG - DRY '!J554,"AAAAAEvX3xo=")</f>
        <v>#VALUE!</v>
      </c>
      <c r="AB32">
        <f>IF('STERLING CATALOG - DRY '!555:555,"AAAAAEvX3xs=",0)</f>
        <v>0</v>
      </c>
      <c r="AC32" t="e">
        <f>AND('STERLING CATALOG - DRY '!A555,"AAAAAEvX3xw=")</f>
        <v>#VALUE!</v>
      </c>
      <c r="AD32" t="e">
        <f>AND('STERLING CATALOG - DRY '!B555,"AAAAAEvX3x0=")</f>
        <v>#VALUE!</v>
      </c>
      <c r="AE32" t="e">
        <f>AND('STERLING CATALOG - DRY '!C555,"AAAAAEvX3x4=")</f>
        <v>#VALUE!</v>
      </c>
      <c r="AF32" t="e">
        <f>AND('STERLING CATALOG - DRY '!D555,"AAAAAEvX3x8=")</f>
        <v>#VALUE!</v>
      </c>
      <c r="AG32" t="e">
        <f>AND('STERLING CATALOG - DRY '!E555,"AAAAAEvX3yA=")</f>
        <v>#VALUE!</v>
      </c>
      <c r="AH32" t="e">
        <f>AND('STERLING CATALOG - DRY '!F555,"AAAAAEvX3yE=")</f>
        <v>#VALUE!</v>
      </c>
      <c r="AI32" t="e">
        <f>AND('STERLING CATALOG - DRY '!G555,"AAAAAEvX3yI=")</f>
        <v>#VALUE!</v>
      </c>
      <c r="AJ32" t="e">
        <f>AND('STERLING CATALOG - DRY '!H555,"AAAAAEvX3yM=")</f>
        <v>#VALUE!</v>
      </c>
      <c r="AK32" t="e">
        <f>AND('STERLING CATALOG - DRY '!I555,"AAAAAEvX3yQ=")</f>
        <v>#VALUE!</v>
      </c>
      <c r="AL32" t="e">
        <f>AND('STERLING CATALOG - DRY '!J555,"AAAAAEvX3yU=")</f>
        <v>#VALUE!</v>
      </c>
      <c r="AM32">
        <f>IF('STERLING CATALOG - DRY '!556:556,"AAAAAEvX3yY=",0)</f>
        <v>0</v>
      </c>
      <c r="AN32" t="e">
        <f>AND('STERLING CATALOG - DRY '!A556,"AAAAAEvX3yc=")</f>
        <v>#VALUE!</v>
      </c>
      <c r="AO32" t="e">
        <f>AND('STERLING CATALOG - DRY '!B556,"AAAAAEvX3yg=")</f>
        <v>#VALUE!</v>
      </c>
      <c r="AP32" t="e">
        <f>AND('STERLING CATALOG - DRY '!C556,"AAAAAEvX3yk=")</f>
        <v>#VALUE!</v>
      </c>
      <c r="AQ32" t="e">
        <f>AND('STERLING CATALOG - DRY '!D556,"AAAAAEvX3yo=")</f>
        <v>#VALUE!</v>
      </c>
      <c r="AR32" t="e">
        <f>AND('STERLING CATALOG - DRY '!E556,"AAAAAEvX3ys=")</f>
        <v>#VALUE!</v>
      </c>
      <c r="AS32" t="e">
        <f>AND('STERLING CATALOG - DRY '!F556,"AAAAAEvX3yw=")</f>
        <v>#VALUE!</v>
      </c>
      <c r="AT32" t="e">
        <f>AND('STERLING CATALOG - DRY '!G556,"AAAAAEvX3y0=")</f>
        <v>#VALUE!</v>
      </c>
      <c r="AU32" t="e">
        <f>AND('STERLING CATALOG - DRY '!H556,"AAAAAEvX3y4=")</f>
        <v>#VALUE!</v>
      </c>
      <c r="AV32" t="e">
        <f>AND('STERLING CATALOG - DRY '!I556,"AAAAAEvX3y8=")</f>
        <v>#VALUE!</v>
      </c>
      <c r="AW32" t="e">
        <f>AND('STERLING CATALOG - DRY '!J556,"AAAAAEvX3zA=")</f>
        <v>#VALUE!</v>
      </c>
      <c r="AX32">
        <f>IF('STERLING CATALOG - DRY '!557:557,"AAAAAEvX3zE=",0)</f>
        <v>0</v>
      </c>
      <c r="AY32" t="e">
        <f>AND('STERLING CATALOG - DRY '!A557,"AAAAAEvX3zI=")</f>
        <v>#VALUE!</v>
      </c>
      <c r="AZ32" t="e">
        <f>AND('STERLING CATALOG - DRY '!B557,"AAAAAEvX3zM=")</f>
        <v>#VALUE!</v>
      </c>
      <c r="BA32" t="e">
        <f>AND('STERLING CATALOG - DRY '!C557,"AAAAAEvX3zQ=")</f>
        <v>#VALUE!</v>
      </c>
      <c r="BB32" t="e">
        <f>AND('STERLING CATALOG - DRY '!D557,"AAAAAEvX3zU=")</f>
        <v>#VALUE!</v>
      </c>
      <c r="BC32" t="e">
        <f>AND('STERLING CATALOG - DRY '!E557,"AAAAAEvX3zY=")</f>
        <v>#VALUE!</v>
      </c>
      <c r="BD32" t="e">
        <f>AND('STERLING CATALOG - DRY '!F557,"AAAAAEvX3zc=")</f>
        <v>#VALUE!</v>
      </c>
      <c r="BE32" t="e">
        <f>AND('STERLING CATALOG - DRY '!G557,"AAAAAEvX3zg=")</f>
        <v>#VALUE!</v>
      </c>
      <c r="BF32" t="e">
        <f>AND('STERLING CATALOG - DRY '!H557,"AAAAAEvX3zk=")</f>
        <v>#VALUE!</v>
      </c>
      <c r="BG32" t="e">
        <f>AND('STERLING CATALOG - DRY '!I557,"AAAAAEvX3zo=")</f>
        <v>#VALUE!</v>
      </c>
      <c r="BH32" t="e">
        <f>AND('STERLING CATALOG - DRY '!J557,"AAAAAEvX3zs=")</f>
        <v>#VALUE!</v>
      </c>
      <c r="BI32">
        <f>IF('STERLING CATALOG - DRY '!558:558,"AAAAAEvX3zw=",0)</f>
        <v>0</v>
      </c>
      <c r="BJ32" t="e">
        <f>AND('STERLING CATALOG - DRY '!A558,"AAAAAEvX3z0=")</f>
        <v>#VALUE!</v>
      </c>
      <c r="BK32" t="e">
        <f>AND('STERLING CATALOG - DRY '!B558,"AAAAAEvX3z4=")</f>
        <v>#VALUE!</v>
      </c>
      <c r="BL32" t="e">
        <f>AND('STERLING CATALOG - DRY '!C558,"AAAAAEvX3z8=")</f>
        <v>#VALUE!</v>
      </c>
      <c r="BM32" t="e">
        <f>AND('STERLING CATALOG - DRY '!D558,"AAAAAEvX30A=")</f>
        <v>#VALUE!</v>
      </c>
      <c r="BN32" t="e">
        <f>AND('STERLING CATALOG - DRY '!E558,"AAAAAEvX30E=")</f>
        <v>#VALUE!</v>
      </c>
      <c r="BO32" t="e">
        <f>AND('STERLING CATALOG - DRY '!F558,"AAAAAEvX30I=")</f>
        <v>#VALUE!</v>
      </c>
      <c r="BP32" t="e">
        <f>AND('STERLING CATALOG - DRY '!G558,"AAAAAEvX30M=")</f>
        <v>#VALUE!</v>
      </c>
      <c r="BQ32" t="e">
        <f>AND('STERLING CATALOG - DRY '!H558,"AAAAAEvX30Q=")</f>
        <v>#VALUE!</v>
      </c>
      <c r="BR32" t="e">
        <f>AND('STERLING CATALOG - DRY '!I558,"AAAAAEvX30U=")</f>
        <v>#VALUE!</v>
      </c>
      <c r="BS32" t="e">
        <f>AND('STERLING CATALOG - DRY '!J558,"AAAAAEvX30Y=")</f>
        <v>#VALUE!</v>
      </c>
      <c r="BT32">
        <f>IF('STERLING CATALOG - DRY '!559:559,"AAAAAEvX30c=",0)</f>
        <v>0</v>
      </c>
      <c r="BU32" t="e">
        <f>AND('STERLING CATALOG - DRY '!A559,"AAAAAEvX30g=")</f>
        <v>#VALUE!</v>
      </c>
      <c r="BV32" t="e">
        <f>AND('STERLING CATALOG - DRY '!B559,"AAAAAEvX30k=")</f>
        <v>#VALUE!</v>
      </c>
      <c r="BW32" t="e">
        <f>AND('STERLING CATALOG - DRY '!C559,"AAAAAEvX30o=")</f>
        <v>#VALUE!</v>
      </c>
      <c r="BX32" t="e">
        <f>AND('STERLING CATALOG - DRY '!D559,"AAAAAEvX30s=")</f>
        <v>#VALUE!</v>
      </c>
      <c r="BY32" t="e">
        <f>AND('STERLING CATALOG - DRY '!E559,"AAAAAEvX30w=")</f>
        <v>#VALUE!</v>
      </c>
      <c r="BZ32" t="e">
        <f>AND('STERLING CATALOG - DRY '!F559,"AAAAAEvX300=")</f>
        <v>#VALUE!</v>
      </c>
      <c r="CA32" t="e">
        <f>AND('STERLING CATALOG - DRY '!G559,"AAAAAEvX304=")</f>
        <v>#VALUE!</v>
      </c>
      <c r="CB32" t="e">
        <f>AND('STERLING CATALOG - DRY '!H559,"AAAAAEvX308=")</f>
        <v>#VALUE!</v>
      </c>
      <c r="CC32" t="e">
        <f>AND('STERLING CATALOG - DRY '!I559,"AAAAAEvX31A=")</f>
        <v>#VALUE!</v>
      </c>
      <c r="CD32" t="e">
        <f>AND('STERLING CATALOG - DRY '!J559,"AAAAAEvX31E=")</f>
        <v>#VALUE!</v>
      </c>
      <c r="CE32">
        <f>IF('STERLING CATALOG - DRY '!560:560,"AAAAAEvX31I=",0)</f>
        <v>0</v>
      </c>
      <c r="CF32" t="e">
        <f>AND('STERLING CATALOG - DRY '!A560,"AAAAAEvX31M=")</f>
        <v>#VALUE!</v>
      </c>
      <c r="CG32" t="e">
        <f>AND('STERLING CATALOG - DRY '!B560,"AAAAAEvX31Q=")</f>
        <v>#VALUE!</v>
      </c>
      <c r="CH32" t="e">
        <f>AND('STERLING CATALOG - DRY '!C560,"AAAAAEvX31U=")</f>
        <v>#VALUE!</v>
      </c>
      <c r="CI32" t="e">
        <f>AND('STERLING CATALOG - DRY '!D560,"AAAAAEvX31Y=")</f>
        <v>#VALUE!</v>
      </c>
      <c r="CJ32" t="e">
        <f>AND('STERLING CATALOG - DRY '!E560,"AAAAAEvX31c=")</f>
        <v>#VALUE!</v>
      </c>
      <c r="CK32" t="e">
        <f>AND('STERLING CATALOG - DRY '!F560,"AAAAAEvX31g=")</f>
        <v>#VALUE!</v>
      </c>
      <c r="CL32" t="e">
        <f>AND('STERLING CATALOG - DRY '!G560,"AAAAAEvX31k=")</f>
        <v>#VALUE!</v>
      </c>
      <c r="CM32" t="e">
        <f>AND('STERLING CATALOG - DRY '!H560,"AAAAAEvX31o=")</f>
        <v>#VALUE!</v>
      </c>
      <c r="CN32" t="e">
        <f>AND('STERLING CATALOG - DRY '!I560,"AAAAAEvX31s=")</f>
        <v>#VALUE!</v>
      </c>
      <c r="CO32" t="e">
        <f>AND('STERLING CATALOG - DRY '!J560,"AAAAAEvX31w=")</f>
        <v>#VALUE!</v>
      </c>
      <c r="CP32">
        <f>IF('STERLING CATALOG - DRY '!561:561,"AAAAAEvX310=",0)</f>
        <v>0</v>
      </c>
      <c r="CQ32" t="e">
        <f>AND('STERLING CATALOG - DRY '!A561,"AAAAAEvX314=")</f>
        <v>#VALUE!</v>
      </c>
      <c r="CR32" t="e">
        <f>AND('STERLING CATALOG - DRY '!B561,"AAAAAEvX318=")</f>
        <v>#VALUE!</v>
      </c>
      <c r="CS32" t="e">
        <f>AND('STERLING CATALOG - DRY '!C561,"AAAAAEvX32A=")</f>
        <v>#VALUE!</v>
      </c>
      <c r="CT32" t="e">
        <f>AND('STERLING CATALOG - DRY '!D561,"AAAAAEvX32E=")</f>
        <v>#VALUE!</v>
      </c>
      <c r="CU32" t="e">
        <f>AND('STERLING CATALOG - DRY '!E561,"AAAAAEvX32I=")</f>
        <v>#VALUE!</v>
      </c>
      <c r="CV32" t="e">
        <f>AND('STERLING CATALOG - DRY '!F561,"AAAAAEvX32M=")</f>
        <v>#VALUE!</v>
      </c>
      <c r="CW32" t="e">
        <f>AND('STERLING CATALOG - DRY '!G561,"AAAAAEvX32Q=")</f>
        <v>#VALUE!</v>
      </c>
      <c r="CX32" t="e">
        <f>AND('STERLING CATALOG - DRY '!H561,"AAAAAEvX32U=")</f>
        <v>#VALUE!</v>
      </c>
      <c r="CY32" t="e">
        <f>AND('STERLING CATALOG - DRY '!I561,"AAAAAEvX32Y=")</f>
        <v>#VALUE!</v>
      </c>
      <c r="CZ32" t="e">
        <f>AND('STERLING CATALOG - DRY '!J561,"AAAAAEvX32c=")</f>
        <v>#VALUE!</v>
      </c>
      <c r="DA32">
        <f>IF('STERLING CATALOG - DRY '!562:562,"AAAAAEvX32g=",0)</f>
        <v>0</v>
      </c>
      <c r="DB32" t="e">
        <f>AND('STERLING CATALOG - DRY '!A562,"AAAAAEvX32k=")</f>
        <v>#VALUE!</v>
      </c>
      <c r="DC32" t="e">
        <f>AND('STERLING CATALOG - DRY '!B562,"AAAAAEvX32o=")</f>
        <v>#VALUE!</v>
      </c>
      <c r="DD32" t="e">
        <f>AND('STERLING CATALOG - DRY '!C562,"AAAAAEvX32s=")</f>
        <v>#VALUE!</v>
      </c>
      <c r="DE32" t="e">
        <f>AND('STERLING CATALOG - DRY '!D562,"AAAAAEvX32w=")</f>
        <v>#VALUE!</v>
      </c>
      <c r="DF32" t="e">
        <f>AND('STERLING CATALOG - DRY '!E562,"AAAAAEvX320=")</f>
        <v>#VALUE!</v>
      </c>
      <c r="DG32" t="e">
        <f>AND('STERLING CATALOG - DRY '!F562,"AAAAAEvX324=")</f>
        <v>#VALUE!</v>
      </c>
      <c r="DH32" t="e">
        <f>AND('STERLING CATALOG - DRY '!G562,"AAAAAEvX328=")</f>
        <v>#VALUE!</v>
      </c>
      <c r="DI32" t="e">
        <f>AND('STERLING CATALOG - DRY '!H562,"AAAAAEvX33A=")</f>
        <v>#VALUE!</v>
      </c>
      <c r="DJ32" t="e">
        <f>AND('STERLING CATALOG - DRY '!I562,"AAAAAEvX33E=")</f>
        <v>#VALUE!</v>
      </c>
      <c r="DK32" t="e">
        <f>AND('STERLING CATALOG - DRY '!J562,"AAAAAEvX33I=")</f>
        <v>#VALUE!</v>
      </c>
      <c r="DL32">
        <f>IF('STERLING CATALOG - DRY '!563:563,"AAAAAEvX33M=",0)</f>
        <v>0</v>
      </c>
      <c r="DM32" t="e">
        <f>AND('STERLING CATALOG - DRY '!A563,"AAAAAEvX33Q=")</f>
        <v>#VALUE!</v>
      </c>
      <c r="DN32" t="e">
        <f>AND('STERLING CATALOG - DRY '!B563,"AAAAAEvX33U=")</f>
        <v>#VALUE!</v>
      </c>
      <c r="DO32" t="e">
        <f>AND('STERLING CATALOG - DRY '!C563,"AAAAAEvX33Y=")</f>
        <v>#VALUE!</v>
      </c>
      <c r="DP32" t="e">
        <f>AND('STERLING CATALOG - DRY '!D563,"AAAAAEvX33c=")</f>
        <v>#VALUE!</v>
      </c>
      <c r="DQ32" t="e">
        <f>AND('STERLING CATALOG - DRY '!E563,"AAAAAEvX33g=")</f>
        <v>#VALUE!</v>
      </c>
      <c r="DR32" t="e">
        <f>AND('STERLING CATALOG - DRY '!F563,"AAAAAEvX33k=")</f>
        <v>#VALUE!</v>
      </c>
      <c r="DS32" t="e">
        <f>AND('STERLING CATALOG - DRY '!G563,"AAAAAEvX33o=")</f>
        <v>#VALUE!</v>
      </c>
      <c r="DT32" t="e">
        <f>AND('STERLING CATALOG - DRY '!H563,"AAAAAEvX33s=")</f>
        <v>#VALUE!</v>
      </c>
      <c r="DU32" t="e">
        <f>AND('STERLING CATALOG - DRY '!I563,"AAAAAEvX33w=")</f>
        <v>#VALUE!</v>
      </c>
      <c r="DV32" t="e">
        <f>AND('STERLING CATALOG - DRY '!J563,"AAAAAEvX330=")</f>
        <v>#VALUE!</v>
      </c>
      <c r="DW32">
        <f>IF('STERLING CATALOG - DRY '!564:564,"AAAAAEvX334=",0)</f>
        <v>0</v>
      </c>
      <c r="DX32" t="e">
        <f>AND('STERLING CATALOG - DRY '!A564,"AAAAAEvX338=")</f>
        <v>#VALUE!</v>
      </c>
      <c r="DY32" t="e">
        <f>AND('STERLING CATALOG - DRY '!B564,"AAAAAEvX34A=")</f>
        <v>#VALUE!</v>
      </c>
      <c r="DZ32" t="e">
        <f>AND('STERLING CATALOG - DRY '!C564,"AAAAAEvX34E=")</f>
        <v>#VALUE!</v>
      </c>
      <c r="EA32" t="e">
        <f>AND('STERLING CATALOG - DRY '!D564,"AAAAAEvX34I=")</f>
        <v>#VALUE!</v>
      </c>
      <c r="EB32" t="e">
        <f>AND('STERLING CATALOG - DRY '!E564,"AAAAAEvX34M=")</f>
        <v>#VALUE!</v>
      </c>
      <c r="EC32" t="e">
        <f>AND('STERLING CATALOG - DRY '!F564,"AAAAAEvX34Q=")</f>
        <v>#VALUE!</v>
      </c>
      <c r="ED32" t="e">
        <f>AND('STERLING CATALOG - DRY '!G564,"AAAAAEvX34U=")</f>
        <v>#VALUE!</v>
      </c>
      <c r="EE32" t="e">
        <f>AND('STERLING CATALOG - DRY '!H564,"AAAAAEvX34Y=")</f>
        <v>#VALUE!</v>
      </c>
      <c r="EF32" t="e">
        <f>AND('STERLING CATALOG - DRY '!I564,"AAAAAEvX34c=")</f>
        <v>#VALUE!</v>
      </c>
      <c r="EG32" t="e">
        <f>AND('STERLING CATALOG - DRY '!J564,"AAAAAEvX34g=")</f>
        <v>#VALUE!</v>
      </c>
      <c r="EH32">
        <f>IF('STERLING CATALOG - DRY '!565:565,"AAAAAEvX34k=",0)</f>
        <v>0</v>
      </c>
      <c r="EI32" t="e">
        <f>AND('STERLING CATALOG - DRY '!A565,"AAAAAEvX34o=")</f>
        <v>#VALUE!</v>
      </c>
      <c r="EJ32" t="e">
        <f>AND('STERLING CATALOG - DRY '!B565,"AAAAAEvX34s=")</f>
        <v>#VALUE!</v>
      </c>
      <c r="EK32" t="e">
        <f>AND('STERLING CATALOG - DRY '!C565,"AAAAAEvX34w=")</f>
        <v>#VALUE!</v>
      </c>
      <c r="EL32" t="e">
        <f>AND('STERLING CATALOG - DRY '!D565,"AAAAAEvX340=")</f>
        <v>#VALUE!</v>
      </c>
      <c r="EM32" t="e">
        <f>AND('STERLING CATALOG - DRY '!E565,"AAAAAEvX344=")</f>
        <v>#VALUE!</v>
      </c>
      <c r="EN32" t="e">
        <f>AND('STERLING CATALOG - DRY '!F565,"AAAAAEvX348=")</f>
        <v>#VALUE!</v>
      </c>
      <c r="EO32" t="e">
        <f>AND('STERLING CATALOG - DRY '!G565,"AAAAAEvX35A=")</f>
        <v>#VALUE!</v>
      </c>
      <c r="EP32" t="e">
        <f>AND('STERLING CATALOG - DRY '!H565,"AAAAAEvX35E=")</f>
        <v>#VALUE!</v>
      </c>
      <c r="EQ32" t="e">
        <f>AND('STERLING CATALOG - DRY '!I565,"AAAAAEvX35I=")</f>
        <v>#VALUE!</v>
      </c>
      <c r="ER32" t="e">
        <f>AND('STERLING CATALOG - DRY '!J565,"AAAAAEvX35M=")</f>
        <v>#VALUE!</v>
      </c>
      <c r="ES32">
        <f>IF('STERLING CATALOG - DRY '!566:566,"AAAAAEvX35Q=",0)</f>
        <v>0</v>
      </c>
      <c r="ET32" t="e">
        <f>AND('STERLING CATALOG - DRY '!A566,"AAAAAEvX35U=")</f>
        <v>#VALUE!</v>
      </c>
      <c r="EU32" t="e">
        <f>AND('STERLING CATALOG - DRY '!B566,"AAAAAEvX35Y=")</f>
        <v>#VALUE!</v>
      </c>
      <c r="EV32" t="e">
        <f>AND('STERLING CATALOG - DRY '!C566,"AAAAAEvX35c=")</f>
        <v>#VALUE!</v>
      </c>
      <c r="EW32" t="e">
        <f>AND('STERLING CATALOG - DRY '!D566,"AAAAAEvX35g=")</f>
        <v>#VALUE!</v>
      </c>
      <c r="EX32" t="e">
        <f>AND('STERLING CATALOG - DRY '!E566,"AAAAAEvX35k=")</f>
        <v>#VALUE!</v>
      </c>
      <c r="EY32" t="e">
        <f>AND('STERLING CATALOG - DRY '!F566,"AAAAAEvX35o=")</f>
        <v>#VALUE!</v>
      </c>
      <c r="EZ32" t="e">
        <f>AND('STERLING CATALOG - DRY '!G566,"AAAAAEvX35s=")</f>
        <v>#VALUE!</v>
      </c>
      <c r="FA32" t="e">
        <f>AND('STERLING CATALOG - DRY '!H566,"AAAAAEvX35w=")</f>
        <v>#VALUE!</v>
      </c>
      <c r="FB32" t="e">
        <f>AND('STERLING CATALOG - DRY '!I566,"AAAAAEvX350=")</f>
        <v>#VALUE!</v>
      </c>
      <c r="FC32" t="e">
        <f>AND('STERLING CATALOG - DRY '!J566,"AAAAAEvX354=")</f>
        <v>#VALUE!</v>
      </c>
      <c r="FD32">
        <f>IF('STERLING CATALOG - DRY '!567:567,"AAAAAEvX358=",0)</f>
        <v>0</v>
      </c>
      <c r="FE32" t="e">
        <f>AND('STERLING CATALOG - DRY '!A567,"AAAAAEvX36A=")</f>
        <v>#VALUE!</v>
      </c>
      <c r="FF32" t="e">
        <f>AND('STERLING CATALOG - DRY '!B567,"AAAAAEvX36E=")</f>
        <v>#VALUE!</v>
      </c>
      <c r="FG32" t="e">
        <f>AND('STERLING CATALOG - DRY '!C567,"AAAAAEvX36I=")</f>
        <v>#VALUE!</v>
      </c>
      <c r="FH32" t="e">
        <f>AND('STERLING CATALOG - DRY '!D567,"AAAAAEvX36M=")</f>
        <v>#VALUE!</v>
      </c>
      <c r="FI32" t="e">
        <f>AND('STERLING CATALOG - DRY '!E567,"AAAAAEvX36Q=")</f>
        <v>#VALUE!</v>
      </c>
      <c r="FJ32" t="e">
        <f>AND('STERLING CATALOG - DRY '!F567,"AAAAAEvX36U=")</f>
        <v>#VALUE!</v>
      </c>
      <c r="FK32" t="e">
        <f>AND('STERLING CATALOG - DRY '!G567,"AAAAAEvX36Y=")</f>
        <v>#VALUE!</v>
      </c>
      <c r="FL32" t="e">
        <f>AND('STERLING CATALOG - DRY '!H567,"AAAAAEvX36c=")</f>
        <v>#VALUE!</v>
      </c>
      <c r="FM32" t="e">
        <f>AND('STERLING CATALOG - DRY '!I567,"AAAAAEvX36g=")</f>
        <v>#VALUE!</v>
      </c>
      <c r="FN32" t="e">
        <f>AND('STERLING CATALOG - DRY '!J567,"AAAAAEvX36k=")</f>
        <v>#VALUE!</v>
      </c>
      <c r="FO32">
        <f>IF('STERLING CATALOG - DRY '!568:568,"AAAAAEvX36o=",0)</f>
        <v>0</v>
      </c>
      <c r="FP32" t="e">
        <f>AND('STERLING CATALOG - DRY '!A568,"AAAAAEvX36s=")</f>
        <v>#VALUE!</v>
      </c>
      <c r="FQ32" t="e">
        <f>AND('STERLING CATALOG - DRY '!B568,"AAAAAEvX36w=")</f>
        <v>#VALUE!</v>
      </c>
      <c r="FR32" t="e">
        <f>AND('STERLING CATALOG - DRY '!C568,"AAAAAEvX360=")</f>
        <v>#VALUE!</v>
      </c>
      <c r="FS32" t="e">
        <f>AND('STERLING CATALOG - DRY '!D568,"AAAAAEvX364=")</f>
        <v>#VALUE!</v>
      </c>
      <c r="FT32" t="e">
        <f>AND('STERLING CATALOG - DRY '!E568,"AAAAAEvX368=")</f>
        <v>#VALUE!</v>
      </c>
      <c r="FU32" t="e">
        <f>AND('STERLING CATALOG - DRY '!F568,"AAAAAEvX37A=")</f>
        <v>#VALUE!</v>
      </c>
      <c r="FV32" t="e">
        <f>AND('STERLING CATALOG - DRY '!G568,"AAAAAEvX37E=")</f>
        <v>#VALUE!</v>
      </c>
      <c r="FW32" t="e">
        <f>AND('STERLING CATALOG - DRY '!H568,"AAAAAEvX37I=")</f>
        <v>#VALUE!</v>
      </c>
      <c r="FX32" t="e">
        <f>AND('STERLING CATALOG - DRY '!I568,"AAAAAEvX37M=")</f>
        <v>#VALUE!</v>
      </c>
      <c r="FY32" t="e">
        <f>AND('STERLING CATALOG - DRY '!J568,"AAAAAEvX37Q=")</f>
        <v>#VALUE!</v>
      </c>
      <c r="FZ32">
        <f>IF('STERLING CATALOG - DRY '!569:569,"AAAAAEvX37U=",0)</f>
        <v>0</v>
      </c>
      <c r="GA32" t="e">
        <f>AND('STERLING CATALOG - DRY '!A569,"AAAAAEvX37Y=")</f>
        <v>#VALUE!</v>
      </c>
      <c r="GB32" t="e">
        <f>AND('STERLING CATALOG - DRY '!B569,"AAAAAEvX37c=")</f>
        <v>#VALUE!</v>
      </c>
      <c r="GC32" t="e">
        <f>AND('STERLING CATALOG - DRY '!C569,"AAAAAEvX37g=")</f>
        <v>#VALUE!</v>
      </c>
      <c r="GD32" t="e">
        <f>AND('STERLING CATALOG - DRY '!D569,"AAAAAEvX37k=")</f>
        <v>#VALUE!</v>
      </c>
      <c r="GE32" t="e">
        <f>AND('STERLING CATALOG - DRY '!E569,"AAAAAEvX37o=")</f>
        <v>#VALUE!</v>
      </c>
      <c r="GF32" t="e">
        <f>AND('STERLING CATALOG - DRY '!F569,"AAAAAEvX37s=")</f>
        <v>#VALUE!</v>
      </c>
      <c r="GG32" t="e">
        <f>AND('STERLING CATALOG - DRY '!G569,"AAAAAEvX37w=")</f>
        <v>#VALUE!</v>
      </c>
      <c r="GH32" t="e">
        <f>AND('STERLING CATALOG - DRY '!H569,"AAAAAEvX370=")</f>
        <v>#VALUE!</v>
      </c>
      <c r="GI32" t="e">
        <f>AND('STERLING CATALOG - DRY '!I569,"AAAAAEvX374=")</f>
        <v>#VALUE!</v>
      </c>
      <c r="GJ32" t="e">
        <f>AND('STERLING CATALOG - DRY '!J569,"AAAAAEvX378=")</f>
        <v>#VALUE!</v>
      </c>
      <c r="GK32">
        <f>IF('STERLING CATALOG - DRY '!570:570,"AAAAAEvX38A=",0)</f>
        <v>0</v>
      </c>
      <c r="GL32" t="e">
        <f>AND('STERLING CATALOG - DRY '!A570,"AAAAAEvX38E=")</f>
        <v>#VALUE!</v>
      </c>
      <c r="GM32" t="e">
        <f>AND('STERLING CATALOG - DRY '!B570,"AAAAAEvX38I=")</f>
        <v>#VALUE!</v>
      </c>
      <c r="GN32" t="e">
        <f>AND('STERLING CATALOG - DRY '!C570,"AAAAAEvX38M=")</f>
        <v>#VALUE!</v>
      </c>
      <c r="GO32" t="e">
        <f>AND('STERLING CATALOG - DRY '!D570,"AAAAAEvX38Q=")</f>
        <v>#VALUE!</v>
      </c>
      <c r="GP32" t="e">
        <f>AND('STERLING CATALOG - DRY '!E570,"AAAAAEvX38U=")</f>
        <v>#VALUE!</v>
      </c>
      <c r="GQ32" t="e">
        <f>AND('STERLING CATALOG - DRY '!F570,"AAAAAEvX38Y=")</f>
        <v>#VALUE!</v>
      </c>
      <c r="GR32" t="e">
        <f>AND('STERLING CATALOG - DRY '!G570,"AAAAAEvX38c=")</f>
        <v>#VALUE!</v>
      </c>
      <c r="GS32" t="e">
        <f>AND('STERLING CATALOG - DRY '!H570,"AAAAAEvX38g=")</f>
        <v>#VALUE!</v>
      </c>
      <c r="GT32" t="e">
        <f>AND('STERLING CATALOG - DRY '!I570,"AAAAAEvX38k=")</f>
        <v>#VALUE!</v>
      </c>
      <c r="GU32" t="e">
        <f>AND('STERLING CATALOG - DRY '!J570,"AAAAAEvX38o=")</f>
        <v>#VALUE!</v>
      </c>
      <c r="GV32">
        <f>IF('STERLING CATALOG - DRY '!571:571,"AAAAAEvX38s=",0)</f>
        <v>0</v>
      </c>
      <c r="GW32" t="e">
        <f>AND('STERLING CATALOG - DRY '!A571,"AAAAAEvX38w=")</f>
        <v>#VALUE!</v>
      </c>
      <c r="GX32" t="e">
        <f>AND('STERLING CATALOG - DRY '!B571,"AAAAAEvX380=")</f>
        <v>#VALUE!</v>
      </c>
      <c r="GY32" t="e">
        <f>AND('STERLING CATALOG - DRY '!C571,"AAAAAEvX384=")</f>
        <v>#VALUE!</v>
      </c>
      <c r="GZ32" t="e">
        <f>AND('STERLING CATALOG - DRY '!D571,"AAAAAEvX388=")</f>
        <v>#VALUE!</v>
      </c>
      <c r="HA32" t="e">
        <f>AND('STERLING CATALOG - DRY '!E571,"AAAAAEvX39A=")</f>
        <v>#VALUE!</v>
      </c>
      <c r="HB32" t="e">
        <f>AND('STERLING CATALOG - DRY '!F571,"AAAAAEvX39E=")</f>
        <v>#VALUE!</v>
      </c>
      <c r="HC32" t="e">
        <f>AND('STERLING CATALOG - DRY '!G571,"AAAAAEvX39I=")</f>
        <v>#VALUE!</v>
      </c>
      <c r="HD32" t="e">
        <f>AND('STERLING CATALOG - DRY '!H571,"AAAAAEvX39M=")</f>
        <v>#VALUE!</v>
      </c>
      <c r="HE32" t="e">
        <f>AND('STERLING CATALOG - DRY '!I571,"AAAAAEvX39Q=")</f>
        <v>#VALUE!</v>
      </c>
      <c r="HF32" t="e">
        <f>AND('STERLING CATALOG - DRY '!J571,"AAAAAEvX39U=")</f>
        <v>#VALUE!</v>
      </c>
      <c r="HG32">
        <f>IF('STERLING CATALOG - DRY '!572:572,"AAAAAEvX39Y=",0)</f>
        <v>0</v>
      </c>
      <c r="HH32" t="e">
        <f>AND('STERLING CATALOG - DRY '!A572,"AAAAAEvX39c=")</f>
        <v>#VALUE!</v>
      </c>
      <c r="HI32" t="e">
        <f>AND('STERLING CATALOG - DRY '!B572,"AAAAAEvX39g=")</f>
        <v>#VALUE!</v>
      </c>
      <c r="HJ32" t="e">
        <f>AND('STERLING CATALOG - DRY '!C572,"AAAAAEvX39k=")</f>
        <v>#VALUE!</v>
      </c>
      <c r="HK32" t="e">
        <f>AND('STERLING CATALOG - DRY '!D572,"AAAAAEvX39o=")</f>
        <v>#VALUE!</v>
      </c>
      <c r="HL32" t="e">
        <f>AND('STERLING CATALOG - DRY '!E572,"AAAAAEvX39s=")</f>
        <v>#VALUE!</v>
      </c>
      <c r="HM32" t="e">
        <f>AND('STERLING CATALOG - DRY '!F572,"AAAAAEvX39w=")</f>
        <v>#VALUE!</v>
      </c>
      <c r="HN32" t="e">
        <f>AND('STERLING CATALOG - DRY '!G572,"AAAAAEvX390=")</f>
        <v>#VALUE!</v>
      </c>
      <c r="HO32" t="e">
        <f>AND('STERLING CATALOG - DRY '!H572,"AAAAAEvX394=")</f>
        <v>#VALUE!</v>
      </c>
      <c r="HP32" t="e">
        <f>AND('STERLING CATALOG - DRY '!I572,"AAAAAEvX398=")</f>
        <v>#VALUE!</v>
      </c>
      <c r="HQ32" t="e">
        <f>AND('STERLING CATALOG - DRY '!J572,"AAAAAEvX3+A=")</f>
        <v>#VALUE!</v>
      </c>
      <c r="HR32">
        <f>IF('STERLING CATALOG - DRY '!573:573,"AAAAAEvX3+E=",0)</f>
        <v>0</v>
      </c>
      <c r="HS32" t="e">
        <f>AND('STERLING CATALOG - DRY '!A573,"AAAAAEvX3+I=")</f>
        <v>#VALUE!</v>
      </c>
      <c r="HT32" t="e">
        <f>AND('STERLING CATALOG - DRY '!B573,"AAAAAEvX3+M=")</f>
        <v>#VALUE!</v>
      </c>
      <c r="HU32" t="e">
        <f>AND('STERLING CATALOG - DRY '!C573,"AAAAAEvX3+Q=")</f>
        <v>#VALUE!</v>
      </c>
      <c r="HV32" t="e">
        <f>AND('STERLING CATALOG - DRY '!D573,"AAAAAEvX3+U=")</f>
        <v>#VALUE!</v>
      </c>
      <c r="HW32" t="e">
        <f>AND('STERLING CATALOG - DRY '!E573,"AAAAAEvX3+Y=")</f>
        <v>#VALUE!</v>
      </c>
      <c r="HX32" t="e">
        <f>AND('STERLING CATALOG - DRY '!F573,"AAAAAEvX3+c=")</f>
        <v>#VALUE!</v>
      </c>
      <c r="HY32" t="e">
        <f>AND('STERLING CATALOG - DRY '!G573,"AAAAAEvX3+g=")</f>
        <v>#VALUE!</v>
      </c>
      <c r="HZ32" t="e">
        <f>AND('STERLING CATALOG - DRY '!H573,"AAAAAEvX3+k=")</f>
        <v>#VALUE!</v>
      </c>
      <c r="IA32" t="e">
        <f>AND('STERLING CATALOG - DRY '!I573,"AAAAAEvX3+o=")</f>
        <v>#VALUE!</v>
      </c>
      <c r="IB32" t="e">
        <f>AND('STERLING CATALOG - DRY '!J573,"AAAAAEvX3+s=")</f>
        <v>#VALUE!</v>
      </c>
      <c r="IC32">
        <f>IF('STERLING CATALOG - DRY '!574:574,"AAAAAEvX3+w=",0)</f>
        <v>0</v>
      </c>
      <c r="ID32" t="e">
        <f>AND('STERLING CATALOG - DRY '!A574,"AAAAAEvX3+0=")</f>
        <v>#VALUE!</v>
      </c>
      <c r="IE32" t="e">
        <f>AND('STERLING CATALOG - DRY '!B574,"AAAAAEvX3+4=")</f>
        <v>#VALUE!</v>
      </c>
      <c r="IF32" t="e">
        <f>AND('STERLING CATALOG - DRY '!C574,"AAAAAEvX3+8=")</f>
        <v>#VALUE!</v>
      </c>
      <c r="IG32" t="e">
        <f>AND('STERLING CATALOG - DRY '!D574,"AAAAAEvX3/A=")</f>
        <v>#VALUE!</v>
      </c>
      <c r="IH32" t="e">
        <f>AND('STERLING CATALOG - DRY '!E574,"AAAAAEvX3/E=")</f>
        <v>#VALUE!</v>
      </c>
      <c r="II32" t="e">
        <f>AND('STERLING CATALOG - DRY '!F574,"AAAAAEvX3/I=")</f>
        <v>#VALUE!</v>
      </c>
      <c r="IJ32" t="e">
        <f>AND('STERLING CATALOG - DRY '!G574,"AAAAAEvX3/M=")</f>
        <v>#VALUE!</v>
      </c>
      <c r="IK32" t="e">
        <f>AND('STERLING CATALOG - DRY '!H574,"AAAAAEvX3/Q=")</f>
        <v>#VALUE!</v>
      </c>
      <c r="IL32" t="e">
        <f>AND('STERLING CATALOG - DRY '!I574,"AAAAAEvX3/U=")</f>
        <v>#VALUE!</v>
      </c>
      <c r="IM32" t="e">
        <f>AND('STERLING CATALOG - DRY '!J574,"AAAAAEvX3/Y=")</f>
        <v>#VALUE!</v>
      </c>
      <c r="IN32">
        <f>IF('STERLING CATALOG - DRY '!575:575,"AAAAAEvX3/c=",0)</f>
        <v>0</v>
      </c>
      <c r="IO32" t="e">
        <f>AND('STERLING CATALOG - DRY '!A575,"AAAAAEvX3/g=")</f>
        <v>#VALUE!</v>
      </c>
      <c r="IP32" t="e">
        <f>AND('STERLING CATALOG - DRY '!B575,"AAAAAEvX3/k=")</f>
        <v>#VALUE!</v>
      </c>
      <c r="IQ32" t="e">
        <f>AND('STERLING CATALOG - DRY '!C575,"AAAAAEvX3/o=")</f>
        <v>#VALUE!</v>
      </c>
      <c r="IR32" t="e">
        <f>AND('STERLING CATALOG - DRY '!D575,"AAAAAEvX3/s=")</f>
        <v>#VALUE!</v>
      </c>
      <c r="IS32" t="e">
        <f>AND('STERLING CATALOG - DRY '!E575,"AAAAAEvX3/w=")</f>
        <v>#VALUE!</v>
      </c>
      <c r="IT32" t="e">
        <f>AND('STERLING CATALOG - DRY '!F575,"AAAAAEvX3/0=")</f>
        <v>#VALUE!</v>
      </c>
      <c r="IU32" t="e">
        <f>AND('STERLING CATALOG - DRY '!G575,"AAAAAEvX3/4=")</f>
        <v>#VALUE!</v>
      </c>
      <c r="IV32" t="e">
        <f>AND('STERLING CATALOG - DRY '!H575,"AAAAAEvX3/8=")</f>
        <v>#VALUE!</v>
      </c>
    </row>
    <row r="33" spans="1:256">
      <c r="A33" t="e">
        <f>AND('STERLING CATALOG - DRY '!I575,"AAAAAC//vwA=")</f>
        <v>#VALUE!</v>
      </c>
      <c r="B33" t="e">
        <f>AND('STERLING CATALOG - DRY '!J575,"AAAAAC//vwE=")</f>
        <v>#VALUE!</v>
      </c>
      <c r="C33" t="e">
        <f>IF('STERLING CATALOG - DRY '!576:576,"AAAAAC//vwI=",0)</f>
        <v>#VALUE!</v>
      </c>
      <c r="D33" t="e">
        <f>AND('STERLING CATALOG - DRY '!A576,"AAAAAC//vwM=")</f>
        <v>#VALUE!</v>
      </c>
      <c r="E33" t="e">
        <f>AND('STERLING CATALOG - DRY '!B576,"AAAAAC//vwQ=")</f>
        <v>#VALUE!</v>
      </c>
      <c r="F33" t="e">
        <f>AND('STERLING CATALOG - DRY '!C576,"AAAAAC//vwU=")</f>
        <v>#VALUE!</v>
      </c>
      <c r="G33" t="e">
        <f>AND('STERLING CATALOG - DRY '!D576,"AAAAAC//vwY=")</f>
        <v>#VALUE!</v>
      </c>
      <c r="H33" t="e">
        <f>AND('STERLING CATALOG - DRY '!E576,"AAAAAC//vwc=")</f>
        <v>#VALUE!</v>
      </c>
      <c r="I33" t="e">
        <f>AND('STERLING CATALOG - DRY '!F576,"AAAAAC//vwg=")</f>
        <v>#VALUE!</v>
      </c>
      <c r="J33" t="e">
        <f>AND('STERLING CATALOG - DRY '!G576,"AAAAAC//vwk=")</f>
        <v>#VALUE!</v>
      </c>
      <c r="K33" t="e">
        <f>AND('STERLING CATALOG - DRY '!H576,"AAAAAC//vwo=")</f>
        <v>#VALUE!</v>
      </c>
      <c r="L33" t="e">
        <f>AND('STERLING CATALOG - DRY '!I576,"AAAAAC//vws=")</f>
        <v>#VALUE!</v>
      </c>
      <c r="M33" t="e">
        <f>AND('STERLING CATALOG - DRY '!J576,"AAAAAC//vww=")</f>
        <v>#VALUE!</v>
      </c>
      <c r="N33">
        <f>IF('STERLING CATALOG - DRY '!577:577,"AAAAAC//vw0=",0)</f>
        <v>0</v>
      </c>
      <c r="O33" t="e">
        <f>AND('STERLING CATALOG - DRY '!A577,"AAAAAC//vw4=")</f>
        <v>#VALUE!</v>
      </c>
      <c r="P33" t="e">
        <f>AND('STERLING CATALOG - DRY '!B577,"AAAAAC//vw8=")</f>
        <v>#VALUE!</v>
      </c>
      <c r="Q33" t="e">
        <f>AND('STERLING CATALOG - DRY '!C577,"AAAAAC//vxA=")</f>
        <v>#VALUE!</v>
      </c>
      <c r="R33" t="e">
        <f>AND('STERLING CATALOG - DRY '!D577,"AAAAAC//vxE=")</f>
        <v>#VALUE!</v>
      </c>
      <c r="S33" t="e">
        <f>AND('STERLING CATALOG - DRY '!E577,"AAAAAC//vxI=")</f>
        <v>#VALUE!</v>
      </c>
      <c r="T33" t="e">
        <f>AND('STERLING CATALOG - DRY '!F577,"AAAAAC//vxM=")</f>
        <v>#VALUE!</v>
      </c>
      <c r="U33" t="e">
        <f>AND('STERLING CATALOG - DRY '!G577,"AAAAAC//vxQ=")</f>
        <v>#VALUE!</v>
      </c>
      <c r="V33" t="e">
        <f>AND('STERLING CATALOG - DRY '!H577,"AAAAAC//vxU=")</f>
        <v>#VALUE!</v>
      </c>
      <c r="W33" t="e">
        <f>AND('STERLING CATALOG - DRY '!I577,"AAAAAC//vxY=")</f>
        <v>#VALUE!</v>
      </c>
      <c r="X33" t="e">
        <f>AND('STERLING CATALOG - DRY '!J577,"AAAAAC//vxc=")</f>
        <v>#VALUE!</v>
      </c>
      <c r="Y33">
        <f>IF('STERLING CATALOG - DRY '!578:578,"AAAAAC//vxg=",0)</f>
        <v>0</v>
      </c>
      <c r="Z33" t="e">
        <f>AND('STERLING CATALOG - DRY '!A578,"AAAAAC//vxk=")</f>
        <v>#VALUE!</v>
      </c>
      <c r="AA33" t="e">
        <f>AND('STERLING CATALOG - DRY '!B578,"AAAAAC//vxo=")</f>
        <v>#VALUE!</v>
      </c>
      <c r="AB33" t="e">
        <f>AND('STERLING CATALOG - DRY '!C578,"AAAAAC//vxs=")</f>
        <v>#VALUE!</v>
      </c>
      <c r="AC33" t="e">
        <f>AND('STERLING CATALOG - DRY '!D578,"AAAAAC//vxw=")</f>
        <v>#VALUE!</v>
      </c>
      <c r="AD33" t="e">
        <f>AND('STERLING CATALOG - DRY '!E578,"AAAAAC//vx0=")</f>
        <v>#VALUE!</v>
      </c>
      <c r="AE33" t="e">
        <f>AND('STERLING CATALOG - DRY '!F578,"AAAAAC//vx4=")</f>
        <v>#VALUE!</v>
      </c>
      <c r="AF33" t="e">
        <f>AND('STERLING CATALOG - DRY '!G578,"AAAAAC//vx8=")</f>
        <v>#VALUE!</v>
      </c>
      <c r="AG33" t="e">
        <f>AND('STERLING CATALOG - DRY '!H578,"AAAAAC//vyA=")</f>
        <v>#VALUE!</v>
      </c>
      <c r="AH33" t="e">
        <f>AND('STERLING CATALOG - DRY '!I578,"AAAAAC//vyE=")</f>
        <v>#VALUE!</v>
      </c>
      <c r="AI33" t="e">
        <f>AND('STERLING CATALOG - DRY '!J578,"AAAAAC//vyI=")</f>
        <v>#VALUE!</v>
      </c>
      <c r="AJ33">
        <f>IF('STERLING CATALOG - DRY '!579:579,"AAAAAC//vyM=",0)</f>
        <v>0</v>
      </c>
      <c r="AK33" t="e">
        <f>AND('STERLING CATALOG - DRY '!A579,"AAAAAC//vyQ=")</f>
        <v>#VALUE!</v>
      </c>
      <c r="AL33" t="e">
        <f>AND('STERLING CATALOG - DRY '!B579,"AAAAAC//vyU=")</f>
        <v>#VALUE!</v>
      </c>
      <c r="AM33" t="e">
        <f>AND('STERLING CATALOG - DRY '!C579,"AAAAAC//vyY=")</f>
        <v>#VALUE!</v>
      </c>
      <c r="AN33" t="e">
        <f>AND('STERLING CATALOG - DRY '!D579,"AAAAAC//vyc=")</f>
        <v>#VALUE!</v>
      </c>
      <c r="AO33" t="e">
        <f>AND('STERLING CATALOG - DRY '!E579,"AAAAAC//vyg=")</f>
        <v>#VALUE!</v>
      </c>
      <c r="AP33" t="e">
        <f>AND('STERLING CATALOG - DRY '!F579,"AAAAAC//vyk=")</f>
        <v>#VALUE!</v>
      </c>
      <c r="AQ33" t="e">
        <f>AND('STERLING CATALOG - DRY '!G579,"AAAAAC//vyo=")</f>
        <v>#VALUE!</v>
      </c>
      <c r="AR33" t="e">
        <f>AND('STERLING CATALOG - DRY '!H579,"AAAAAC//vys=")</f>
        <v>#VALUE!</v>
      </c>
      <c r="AS33" t="e">
        <f>AND('STERLING CATALOG - DRY '!I579,"AAAAAC//vyw=")</f>
        <v>#VALUE!</v>
      </c>
      <c r="AT33" t="e">
        <f>AND('STERLING CATALOG - DRY '!J579,"AAAAAC//vy0=")</f>
        <v>#VALUE!</v>
      </c>
      <c r="AU33">
        <f>IF('STERLING CATALOG - DRY '!580:580,"AAAAAC//vy4=",0)</f>
        <v>0</v>
      </c>
      <c r="AV33" t="e">
        <f>AND('STERLING CATALOG - DRY '!A580,"AAAAAC//vy8=")</f>
        <v>#VALUE!</v>
      </c>
      <c r="AW33" t="e">
        <f>AND('STERLING CATALOG - DRY '!B580,"AAAAAC//vzA=")</f>
        <v>#VALUE!</v>
      </c>
      <c r="AX33" t="e">
        <f>AND('STERLING CATALOG - DRY '!C580,"AAAAAC//vzE=")</f>
        <v>#VALUE!</v>
      </c>
      <c r="AY33" t="e">
        <f>AND('STERLING CATALOG - DRY '!D580,"AAAAAC//vzI=")</f>
        <v>#VALUE!</v>
      </c>
      <c r="AZ33" t="e">
        <f>AND('STERLING CATALOG - DRY '!E580,"AAAAAC//vzM=")</f>
        <v>#VALUE!</v>
      </c>
      <c r="BA33" t="e">
        <f>AND('STERLING CATALOG - DRY '!F580,"AAAAAC//vzQ=")</f>
        <v>#VALUE!</v>
      </c>
      <c r="BB33" t="e">
        <f>AND('STERLING CATALOG - DRY '!G580,"AAAAAC//vzU=")</f>
        <v>#VALUE!</v>
      </c>
      <c r="BC33" t="e">
        <f>AND('STERLING CATALOG - DRY '!H580,"AAAAAC//vzY=")</f>
        <v>#VALUE!</v>
      </c>
      <c r="BD33" t="e">
        <f>AND('STERLING CATALOG - DRY '!I580,"AAAAAC//vzc=")</f>
        <v>#VALUE!</v>
      </c>
      <c r="BE33" t="e">
        <f>AND('STERLING CATALOG - DRY '!J580,"AAAAAC//vzg=")</f>
        <v>#VALUE!</v>
      </c>
      <c r="BF33">
        <f>IF('STERLING CATALOG - DRY '!581:581,"AAAAAC//vzk=",0)</f>
        <v>0</v>
      </c>
      <c r="BG33" t="e">
        <f>AND('STERLING CATALOG - DRY '!A581,"AAAAAC//vzo=")</f>
        <v>#VALUE!</v>
      </c>
      <c r="BH33" t="e">
        <f>AND('STERLING CATALOG - DRY '!B581,"AAAAAC//vzs=")</f>
        <v>#VALUE!</v>
      </c>
      <c r="BI33" t="e">
        <f>AND('STERLING CATALOG - DRY '!C581,"AAAAAC//vzw=")</f>
        <v>#VALUE!</v>
      </c>
      <c r="BJ33" t="e">
        <f>AND('STERLING CATALOG - DRY '!D581,"AAAAAC//vz0=")</f>
        <v>#VALUE!</v>
      </c>
      <c r="BK33" t="e">
        <f>AND('STERLING CATALOG - DRY '!E581,"AAAAAC//vz4=")</f>
        <v>#VALUE!</v>
      </c>
      <c r="BL33" t="e">
        <f>AND('STERLING CATALOG - DRY '!F581,"AAAAAC//vz8=")</f>
        <v>#VALUE!</v>
      </c>
      <c r="BM33" t="e">
        <f>AND('STERLING CATALOG - DRY '!G581,"AAAAAC//v0A=")</f>
        <v>#VALUE!</v>
      </c>
      <c r="BN33" t="e">
        <f>AND('STERLING CATALOG - DRY '!H581,"AAAAAC//v0E=")</f>
        <v>#VALUE!</v>
      </c>
      <c r="BO33" t="e">
        <f>AND('STERLING CATALOG - DRY '!I581,"AAAAAC//v0I=")</f>
        <v>#VALUE!</v>
      </c>
      <c r="BP33" t="e">
        <f>AND('STERLING CATALOG - DRY '!J581,"AAAAAC//v0M=")</f>
        <v>#VALUE!</v>
      </c>
      <c r="BQ33">
        <f>IF('STERLING CATALOG - DRY '!582:582,"AAAAAC//v0Q=",0)</f>
        <v>0</v>
      </c>
      <c r="BR33" t="e">
        <f>AND('STERLING CATALOG - DRY '!A582,"AAAAAC//v0U=")</f>
        <v>#VALUE!</v>
      </c>
      <c r="BS33" t="e">
        <f>AND('STERLING CATALOG - DRY '!B582,"AAAAAC//v0Y=")</f>
        <v>#VALUE!</v>
      </c>
      <c r="BT33" t="e">
        <f>AND('STERLING CATALOG - DRY '!C582,"AAAAAC//v0c=")</f>
        <v>#VALUE!</v>
      </c>
      <c r="BU33" t="e">
        <f>AND('STERLING CATALOG - DRY '!D582,"AAAAAC//v0g=")</f>
        <v>#VALUE!</v>
      </c>
      <c r="BV33" t="e">
        <f>AND('STERLING CATALOG - DRY '!E582,"AAAAAC//v0k=")</f>
        <v>#VALUE!</v>
      </c>
      <c r="BW33" t="e">
        <f>AND('STERLING CATALOG - DRY '!F582,"AAAAAC//v0o=")</f>
        <v>#VALUE!</v>
      </c>
      <c r="BX33" t="e">
        <f>AND('STERLING CATALOG - DRY '!G582,"AAAAAC//v0s=")</f>
        <v>#VALUE!</v>
      </c>
      <c r="BY33" t="e">
        <f>AND('STERLING CATALOG - DRY '!H582,"AAAAAC//v0w=")</f>
        <v>#VALUE!</v>
      </c>
      <c r="BZ33" t="e">
        <f>AND('STERLING CATALOG - DRY '!I582,"AAAAAC//v00=")</f>
        <v>#VALUE!</v>
      </c>
      <c r="CA33" t="e">
        <f>AND('STERLING CATALOG - DRY '!J582,"AAAAAC//v04=")</f>
        <v>#VALUE!</v>
      </c>
      <c r="CB33">
        <f>IF('STERLING CATALOG - DRY '!583:583,"AAAAAC//v08=",0)</f>
        <v>0</v>
      </c>
      <c r="CC33" t="e">
        <f>AND('STERLING CATALOG - DRY '!A583,"AAAAAC//v1A=")</f>
        <v>#VALUE!</v>
      </c>
      <c r="CD33" t="e">
        <f>AND('STERLING CATALOG - DRY '!B583,"AAAAAC//v1E=")</f>
        <v>#VALUE!</v>
      </c>
      <c r="CE33" t="e">
        <f>AND('STERLING CATALOG - DRY '!C583,"AAAAAC//v1I=")</f>
        <v>#VALUE!</v>
      </c>
      <c r="CF33" t="e">
        <f>AND('STERLING CATALOG - DRY '!D583,"AAAAAC//v1M=")</f>
        <v>#VALUE!</v>
      </c>
      <c r="CG33" t="e">
        <f>AND('STERLING CATALOG - DRY '!E583,"AAAAAC//v1Q=")</f>
        <v>#VALUE!</v>
      </c>
      <c r="CH33" t="e">
        <f>AND('STERLING CATALOG - DRY '!F583,"AAAAAC//v1U=")</f>
        <v>#VALUE!</v>
      </c>
      <c r="CI33" t="e">
        <f>AND('STERLING CATALOG - DRY '!G583,"AAAAAC//v1Y=")</f>
        <v>#VALUE!</v>
      </c>
      <c r="CJ33" t="e">
        <f>AND('STERLING CATALOG - DRY '!H583,"AAAAAC//v1c=")</f>
        <v>#VALUE!</v>
      </c>
      <c r="CK33" t="e">
        <f>AND('STERLING CATALOG - DRY '!I583,"AAAAAC//v1g=")</f>
        <v>#VALUE!</v>
      </c>
      <c r="CL33" t="e">
        <f>AND('STERLING CATALOG - DRY '!J583,"AAAAAC//v1k=")</f>
        <v>#VALUE!</v>
      </c>
      <c r="CM33">
        <f>IF('STERLING CATALOG - DRY '!584:584,"AAAAAC//v1o=",0)</f>
        <v>0</v>
      </c>
      <c r="CN33" t="e">
        <f>AND('STERLING CATALOG - DRY '!A584,"AAAAAC//v1s=")</f>
        <v>#VALUE!</v>
      </c>
      <c r="CO33" t="e">
        <f>AND('STERLING CATALOG - DRY '!B584,"AAAAAC//v1w=")</f>
        <v>#VALUE!</v>
      </c>
      <c r="CP33" t="e">
        <f>AND('STERLING CATALOG - DRY '!C584,"AAAAAC//v10=")</f>
        <v>#VALUE!</v>
      </c>
      <c r="CQ33" t="e">
        <f>AND('STERLING CATALOG - DRY '!D584,"AAAAAC//v14=")</f>
        <v>#VALUE!</v>
      </c>
      <c r="CR33" t="e">
        <f>AND('STERLING CATALOG - DRY '!E584,"AAAAAC//v18=")</f>
        <v>#VALUE!</v>
      </c>
      <c r="CS33" t="e">
        <f>AND('STERLING CATALOG - DRY '!F584,"AAAAAC//v2A=")</f>
        <v>#VALUE!</v>
      </c>
      <c r="CT33" t="e">
        <f>AND('STERLING CATALOG - DRY '!G584,"AAAAAC//v2E=")</f>
        <v>#VALUE!</v>
      </c>
      <c r="CU33" t="e">
        <f>AND('STERLING CATALOG - DRY '!H584,"AAAAAC//v2I=")</f>
        <v>#VALUE!</v>
      </c>
      <c r="CV33" t="e">
        <f>AND('STERLING CATALOG - DRY '!I584,"AAAAAC//v2M=")</f>
        <v>#VALUE!</v>
      </c>
      <c r="CW33" t="e">
        <f>AND('STERLING CATALOG - DRY '!J584,"AAAAAC//v2Q=")</f>
        <v>#VALUE!</v>
      </c>
      <c r="CX33">
        <f>IF('STERLING CATALOG - DRY '!585:585,"AAAAAC//v2U=",0)</f>
        <v>0</v>
      </c>
      <c r="CY33" t="e">
        <f>AND('STERLING CATALOG - DRY '!A585,"AAAAAC//v2Y=")</f>
        <v>#VALUE!</v>
      </c>
      <c r="CZ33" t="e">
        <f>AND('STERLING CATALOG - DRY '!B585,"AAAAAC//v2c=")</f>
        <v>#VALUE!</v>
      </c>
      <c r="DA33" t="e">
        <f>AND('STERLING CATALOG - DRY '!C585,"AAAAAC//v2g=")</f>
        <v>#VALUE!</v>
      </c>
      <c r="DB33" t="e">
        <f>AND('STERLING CATALOG - DRY '!D585,"AAAAAC//v2k=")</f>
        <v>#VALUE!</v>
      </c>
      <c r="DC33" t="e">
        <f>AND('STERLING CATALOG - DRY '!E585,"AAAAAC//v2o=")</f>
        <v>#VALUE!</v>
      </c>
      <c r="DD33" t="e">
        <f>AND('STERLING CATALOG - DRY '!F585,"AAAAAC//v2s=")</f>
        <v>#VALUE!</v>
      </c>
      <c r="DE33" t="e">
        <f>AND('STERLING CATALOG - DRY '!G585,"AAAAAC//v2w=")</f>
        <v>#VALUE!</v>
      </c>
      <c r="DF33" t="e">
        <f>AND('STERLING CATALOG - DRY '!H585,"AAAAAC//v20=")</f>
        <v>#VALUE!</v>
      </c>
      <c r="DG33" t="e">
        <f>AND('STERLING CATALOG - DRY '!I585,"AAAAAC//v24=")</f>
        <v>#VALUE!</v>
      </c>
      <c r="DH33" t="e">
        <f>AND('STERLING CATALOG - DRY '!J585,"AAAAAC//v28=")</f>
        <v>#VALUE!</v>
      </c>
      <c r="DI33">
        <f>IF('STERLING CATALOG - DRY '!586:586,"AAAAAC//v3A=",0)</f>
        <v>0</v>
      </c>
      <c r="DJ33" t="e">
        <f>AND('STERLING CATALOG - DRY '!A586,"AAAAAC//v3E=")</f>
        <v>#VALUE!</v>
      </c>
      <c r="DK33" t="e">
        <f>AND('STERLING CATALOG - DRY '!B586,"AAAAAC//v3I=")</f>
        <v>#VALUE!</v>
      </c>
      <c r="DL33" t="e">
        <f>AND('STERLING CATALOG - DRY '!C586,"AAAAAC//v3M=")</f>
        <v>#VALUE!</v>
      </c>
      <c r="DM33" t="e">
        <f>AND('STERLING CATALOG - DRY '!D586,"AAAAAC//v3Q=")</f>
        <v>#VALUE!</v>
      </c>
      <c r="DN33" t="e">
        <f>AND('STERLING CATALOG - DRY '!E586,"AAAAAC//v3U=")</f>
        <v>#VALUE!</v>
      </c>
      <c r="DO33" t="e">
        <f>AND('STERLING CATALOG - DRY '!F586,"AAAAAC//v3Y=")</f>
        <v>#VALUE!</v>
      </c>
      <c r="DP33" t="e">
        <f>AND('STERLING CATALOG - DRY '!G586,"AAAAAC//v3c=")</f>
        <v>#VALUE!</v>
      </c>
      <c r="DQ33" t="e">
        <f>AND('STERLING CATALOG - DRY '!H586,"AAAAAC//v3g=")</f>
        <v>#VALUE!</v>
      </c>
      <c r="DR33" t="e">
        <f>AND('STERLING CATALOG - DRY '!I586,"AAAAAC//v3k=")</f>
        <v>#VALUE!</v>
      </c>
      <c r="DS33" t="e">
        <f>AND('STERLING CATALOG - DRY '!J586,"AAAAAC//v3o=")</f>
        <v>#VALUE!</v>
      </c>
      <c r="DT33">
        <f>IF('STERLING CATALOG - DRY '!587:587,"AAAAAC//v3s=",0)</f>
        <v>0</v>
      </c>
      <c r="DU33" t="e">
        <f>AND('STERLING CATALOG - DRY '!A587,"AAAAAC//v3w=")</f>
        <v>#VALUE!</v>
      </c>
      <c r="DV33" t="e">
        <f>AND('STERLING CATALOG - DRY '!B587,"AAAAAC//v30=")</f>
        <v>#VALUE!</v>
      </c>
      <c r="DW33" t="e">
        <f>AND('STERLING CATALOG - DRY '!C587,"AAAAAC//v34=")</f>
        <v>#VALUE!</v>
      </c>
      <c r="DX33" t="e">
        <f>AND('STERLING CATALOG - DRY '!D587,"AAAAAC//v38=")</f>
        <v>#VALUE!</v>
      </c>
      <c r="DY33" t="e">
        <f>AND('STERLING CATALOG - DRY '!E587,"AAAAAC//v4A=")</f>
        <v>#VALUE!</v>
      </c>
      <c r="DZ33" t="e">
        <f>AND('STERLING CATALOG - DRY '!F587,"AAAAAC//v4E=")</f>
        <v>#VALUE!</v>
      </c>
      <c r="EA33" t="e">
        <f>AND('STERLING CATALOG - DRY '!G587,"AAAAAC//v4I=")</f>
        <v>#VALUE!</v>
      </c>
      <c r="EB33" t="e">
        <f>AND('STERLING CATALOG - DRY '!H587,"AAAAAC//v4M=")</f>
        <v>#VALUE!</v>
      </c>
      <c r="EC33" t="e">
        <f>AND('STERLING CATALOG - DRY '!I587,"AAAAAC//v4Q=")</f>
        <v>#VALUE!</v>
      </c>
      <c r="ED33" t="e">
        <f>AND('STERLING CATALOG - DRY '!J587,"AAAAAC//v4U=")</f>
        <v>#VALUE!</v>
      </c>
      <c r="EE33">
        <f>IF('STERLING CATALOG - DRY '!588:588,"AAAAAC//v4Y=",0)</f>
        <v>0</v>
      </c>
      <c r="EF33" t="e">
        <f>AND('STERLING CATALOG - DRY '!A588,"AAAAAC//v4c=")</f>
        <v>#VALUE!</v>
      </c>
      <c r="EG33" t="e">
        <f>AND('STERLING CATALOG - DRY '!B588,"AAAAAC//v4g=")</f>
        <v>#VALUE!</v>
      </c>
      <c r="EH33" t="e">
        <f>AND('STERLING CATALOG - DRY '!C588,"AAAAAC//v4k=")</f>
        <v>#VALUE!</v>
      </c>
      <c r="EI33" t="e">
        <f>AND('STERLING CATALOG - DRY '!D588,"AAAAAC//v4o=")</f>
        <v>#VALUE!</v>
      </c>
      <c r="EJ33" t="e">
        <f>AND('STERLING CATALOG - DRY '!E588,"AAAAAC//v4s=")</f>
        <v>#VALUE!</v>
      </c>
      <c r="EK33" t="e">
        <f>AND('STERLING CATALOG - DRY '!F588,"AAAAAC//v4w=")</f>
        <v>#VALUE!</v>
      </c>
      <c r="EL33" t="e">
        <f>AND('STERLING CATALOG - DRY '!G588,"AAAAAC//v40=")</f>
        <v>#VALUE!</v>
      </c>
      <c r="EM33" t="e">
        <f>AND('STERLING CATALOG - DRY '!H588,"AAAAAC//v44=")</f>
        <v>#VALUE!</v>
      </c>
      <c r="EN33" t="e">
        <f>AND('STERLING CATALOG - DRY '!I588,"AAAAAC//v48=")</f>
        <v>#VALUE!</v>
      </c>
      <c r="EO33" t="e">
        <f>AND('STERLING CATALOG - DRY '!J588,"AAAAAC//v5A=")</f>
        <v>#VALUE!</v>
      </c>
      <c r="EP33">
        <f>IF('STERLING CATALOG - DRY '!589:589,"AAAAAC//v5E=",0)</f>
        <v>0</v>
      </c>
      <c r="EQ33" t="e">
        <f>AND('STERLING CATALOG - DRY '!A589,"AAAAAC//v5I=")</f>
        <v>#VALUE!</v>
      </c>
      <c r="ER33" t="e">
        <f>AND('STERLING CATALOG - DRY '!B589,"AAAAAC//v5M=")</f>
        <v>#VALUE!</v>
      </c>
      <c r="ES33" t="e">
        <f>AND('STERLING CATALOG - DRY '!C589,"AAAAAC//v5Q=")</f>
        <v>#VALUE!</v>
      </c>
      <c r="ET33" t="e">
        <f>AND('STERLING CATALOG - DRY '!D589,"AAAAAC//v5U=")</f>
        <v>#VALUE!</v>
      </c>
      <c r="EU33" t="e">
        <f>AND('STERLING CATALOG - DRY '!E589,"AAAAAC//v5Y=")</f>
        <v>#VALUE!</v>
      </c>
      <c r="EV33" t="e">
        <f>AND('STERLING CATALOG - DRY '!F589,"AAAAAC//v5c=")</f>
        <v>#VALUE!</v>
      </c>
      <c r="EW33" t="e">
        <f>AND('STERLING CATALOG - DRY '!G589,"AAAAAC//v5g=")</f>
        <v>#VALUE!</v>
      </c>
      <c r="EX33" t="e">
        <f>AND('STERLING CATALOG - DRY '!H589,"AAAAAC//v5k=")</f>
        <v>#VALUE!</v>
      </c>
      <c r="EY33" t="e">
        <f>AND('STERLING CATALOG - DRY '!I589,"AAAAAC//v5o=")</f>
        <v>#VALUE!</v>
      </c>
      <c r="EZ33" t="e">
        <f>AND('STERLING CATALOG - DRY '!J589,"AAAAAC//v5s=")</f>
        <v>#VALUE!</v>
      </c>
      <c r="FA33">
        <f>IF('STERLING CATALOG - DRY '!590:590,"AAAAAC//v5w=",0)</f>
        <v>0</v>
      </c>
      <c r="FB33" t="e">
        <f>AND('STERLING CATALOG - DRY '!A590,"AAAAAC//v50=")</f>
        <v>#VALUE!</v>
      </c>
      <c r="FC33" t="e">
        <f>AND('STERLING CATALOG - DRY '!B590,"AAAAAC//v54=")</f>
        <v>#VALUE!</v>
      </c>
      <c r="FD33" t="e">
        <f>AND('STERLING CATALOG - DRY '!C590,"AAAAAC//v58=")</f>
        <v>#VALUE!</v>
      </c>
      <c r="FE33" t="e">
        <f>AND('STERLING CATALOG - DRY '!D590,"AAAAAC//v6A=")</f>
        <v>#VALUE!</v>
      </c>
      <c r="FF33" t="e">
        <f>AND('STERLING CATALOG - DRY '!E590,"AAAAAC//v6E=")</f>
        <v>#VALUE!</v>
      </c>
      <c r="FG33" t="e">
        <f>AND('STERLING CATALOG - DRY '!F590,"AAAAAC//v6I=")</f>
        <v>#VALUE!</v>
      </c>
      <c r="FH33" t="e">
        <f>AND('STERLING CATALOG - DRY '!G590,"AAAAAC//v6M=")</f>
        <v>#VALUE!</v>
      </c>
      <c r="FI33" t="e">
        <f>AND('STERLING CATALOG - DRY '!H590,"AAAAAC//v6Q=")</f>
        <v>#VALUE!</v>
      </c>
      <c r="FJ33" t="e">
        <f>AND('STERLING CATALOG - DRY '!I590,"AAAAAC//v6U=")</f>
        <v>#VALUE!</v>
      </c>
      <c r="FK33" t="e">
        <f>AND('STERLING CATALOG - DRY '!J590,"AAAAAC//v6Y=")</f>
        <v>#VALUE!</v>
      </c>
      <c r="FL33">
        <f>IF('STERLING CATALOG - DRY '!591:591,"AAAAAC//v6c=",0)</f>
        <v>0</v>
      </c>
      <c r="FM33" t="e">
        <f>AND('STERLING CATALOG - DRY '!A591,"AAAAAC//v6g=")</f>
        <v>#VALUE!</v>
      </c>
      <c r="FN33" t="e">
        <f>AND('STERLING CATALOG - DRY '!B591,"AAAAAC//v6k=")</f>
        <v>#VALUE!</v>
      </c>
      <c r="FO33" t="e">
        <f>AND('STERLING CATALOG - DRY '!C591,"AAAAAC//v6o=")</f>
        <v>#VALUE!</v>
      </c>
      <c r="FP33" t="e">
        <f>AND('STERLING CATALOG - DRY '!D591,"AAAAAC//v6s=")</f>
        <v>#VALUE!</v>
      </c>
      <c r="FQ33" t="e">
        <f>AND('STERLING CATALOG - DRY '!E591,"AAAAAC//v6w=")</f>
        <v>#VALUE!</v>
      </c>
      <c r="FR33" t="e">
        <f>AND('STERLING CATALOG - DRY '!F591,"AAAAAC//v60=")</f>
        <v>#VALUE!</v>
      </c>
      <c r="FS33" t="e">
        <f>AND('STERLING CATALOG - DRY '!G591,"AAAAAC//v64=")</f>
        <v>#VALUE!</v>
      </c>
      <c r="FT33" t="e">
        <f>AND('STERLING CATALOG - DRY '!H591,"AAAAAC//v68=")</f>
        <v>#VALUE!</v>
      </c>
      <c r="FU33" t="e">
        <f>AND('STERLING CATALOG - DRY '!I591,"AAAAAC//v7A=")</f>
        <v>#VALUE!</v>
      </c>
      <c r="FV33" t="e">
        <f>AND('STERLING CATALOG - DRY '!J591,"AAAAAC//v7E=")</f>
        <v>#VALUE!</v>
      </c>
      <c r="FW33">
        <f>IF('STERLING CATALOG - DRY '!592:592,"AAAAAC//v7I=",0)</f>
        <v>0</v>
      </c>
      <c r="FX33" t="e">
        <f>AND('STERLING CATALOG - DRY '!A592,"AAAAAC//v7M=")</f>
        <v>#VALUE!</v>
      </c>
      <c r="FY33" t="e">
        <f>AND('STERLING CATALOG - DRY '!B592,"AAAAAC//v7Q=")</f>
        <v>#VALUE!</v>
      </c>
      <c r="FZ33" t="e">
        <f>AND('STERLING CATALOG - DRY '!C592,"AAAAAC//v7U=")</f>
        <v>#VALUE!</v>
      </c>
      <c r="GA33" t="e">
        <f>AND('STERLING CATALOG - DRY '!D592,"AAAAAC//v7Y=")</f>
        <v>#VALUE!</v>
      </c>
      <c r="GB33" t="e">
        <f>AND('STERLING CATALOG - DRY '!E592,"AAAAAC//v7c=")</f>
        <v>#VALUE!</v>
      </c>
      <c r="GC33" t="e">
        <f>AND('STERLING CATALOG - DRY '!F592,"AAAAAC//v7g=")</f>
        <v>#VALUE!</v>
      </c>
      <c r="GD33" t="e">
        <f>AND('STERLING CATALOG - DRY '!G592,"AAAAAC//v7k=")</f>
        <v>#VALUE!</v>
      </c>
      <c r="GE33" t="e">
        <f>AND('STERLING CATALOG - DRY '!H592,"AAAAAC//v7o=")</f>
        <v>#VALUE!</v>
      </c>
      <c r="GF33" t="e">
        <f>AND('STERLING CATALOG - DRY '!I592,"AAAAAC//v7s=")</f>
        <v>#VALUE!</v>
      </c>
      <c r="GG33" t="e">
        <f>AND('STERLING CATALOG - DRY '!J592,"AAAAAC//v7w=")</f>
        <v>#VALUE!</v>
      </c>
      <c r="GH33">
        <f>IF('STERLING CATALOG - DRY '!593:593,"AAAAAC//v70=",0)</f>
        <v>0</v>
      </c>
      <c r="GI33" t="e">
        <f>AND('STERLING CATALOG - DRY '!A593,"AAAAAC//v74=")</f>
        <v>#VALUE!</v>
      </c>
      <c r="GJ33" t="e">
        <f>AND('STERLING CATALOG - DRY '!B593,"AAAAAC//v78=")</f>
        <v>#VALUE!</v>
      </c>
      <c r="GK33" t="e">
        <f>AND('STERLING CATALOG - DRY '!C593,"AAAAAC//v8A=")</f>
        <v>#VALUE!</v>
      </c>
      <c r="GL33" t="e">
        <f>AND('STERLING CATALOG - DRY '!D593,"AAAAAC//v8E=")</f>
        <v>#VALUE!</v>
      </c>
      <c r="GM33" t="e">
        <f>AND('STERLING CATALOG - DRY '!E593,"AAAAAC//v8I=")</f>
        <v>#VALUE!</v>
      </c>
      <c r="GN33" t="e">
        <f>AND('STERLING CATALOG - DRY '!F593,"AAAAAC//v8M=")</f>
        <v>#VALUE!</v>
      </c>
      <c r="GO33" t="e">
        <f>AND('STERLING CATALOG - DRY '!G593,"AAAAAC//v8Q=")</f>
        <v>#VALUE!</v>
      </c>
      <c r="GP33" t="e">
        <f>AND('STERLING CATALOG - DRY '!H593,"AAAAAC//v8U=")</f>
        <v>#VALUE!</v>
      </c>
      <c r="GQ33" t="e">
        <f>AND('STERLING CATALOG - DRY '!I593,"AAAAAC//v8Y=")</f>
        <v>#VALUE!</v>
      </c>
      <c r="GR33" t="e">
        <f>AND('STERLING CATALOG - DRY '!J593,"AAAAAC//v8c=")</f>
        <v>#VALUE!</v>
      </c>
      <c r="GS33">
        <f>IF('STERLING CATALOG - DRY '!594:594,"AAAAAC//v8g=",0)</f>
        <v>0</v>
      </c>
      <c r="GT33" t="e">
        <f>AND('STERLING CATALOG - DRY '!A594,"AAAAAC//v8k=")</f>
        <v>#VALUE!</v>
      </c>
      <c r="GU33" t="e">
        <f>AND('STERLING CATALOG - DRY '!B594,"AAAAAC//v8o=")</f>
        <v>#VALUE!</v>
      </c>
      <c r="GV33" t="e">
        <f>AND('STERLING CATALOG - DRY '!C594,"AAAAAC//v8s=")</f>
        <v>#VALUE!</v>
      </c>
      <c r="GW33" t="e">
        <f>AND('STERLING CATALOG - DRY '!D594,"AAAAAC//v8w=")</f>
        <v>#VALUE!</v>
      </c>
      <c r="GX33" t="e">
        <f>AND('STERLING CATALOG - DRY '!E594,"AAAAAC//v80=")</f>
        <v>#VALUE!</v>
      </c>
      <c r="GY33" t="e">
        <f>AND('STERLING CATALOG - DRY '!F594,"AAAAAC//v84=")</f>
        <v>#VALUE!</v>
      </c>
      <c r="GZ33" t="e">
        <f>AND('STERLING CATALOG - DRY '!G594,"AAAAAC//v88=")</f>
        <v>#VALUE!</v>
      </c>
      <c r="HA33" t="e">
        <f>AND('STERLING CATALOG - DRY '!H594,"AAAAAC//v9A=")</f>
        <v>#VALUE!</v>
      </c>
      <c r="HB33" t="e">
        <f>AND('STERLING CATALOG - DRY '!I594,"AAAAAC//v9E=")</f>
        <v>#VALUE!</v>
      </c>
      <c r="HC33" t="e">
        <f>AND('STERLING CATALOG - DRY '!J594,"AAAAAC//v9I=")</f>
        <v>#VALUE!</v>
      </c>
      <c r="HD33">
        <f>IF('STERLING CATALOG - DRY '!595:595,"AAAAAC//v9M=",0)</f>
        <v>0</v>
      </c>
      <c r="HE33" t="e">
        <f>AND('STERLING CATALOG - DRY '!A595,"AAAAAC//v9Q=")</f>
        <v>#VALUE!</v>
      </c>
      <c r="HF33" t="e">
        <f>AND('STERLING CATALOG - DRY '!B595,"AAAAAC//v9U=")</f>
        <v>#VALUE!</v>
      </c>
      <c r="HG33" t="e">
        <f>AND('STERLING CATALOG - DRY '!C595,"AAAAAC//v9Y=")</f>
        <v>#VALUE!</v>
      </c>
      <c r="HH33" t="e">
        <f>AND('STERLING CATALOG - DRY '!D595,"AAAAAC//v9c=")</f>
        <v>#VALUE!</v>
      </c>
      <c r="HI33" t="e">
        <f>AND('STERLING CATALOG - DRY '!E595,"AAAAAC//v9g=")</f>
        <v>#VALUE!</v>
      </c>
      <c r="HJ33" t="e">
        <f>AND('STERLING CATALOG - DRY '!F595,"AAAAAC//v9k=")</f>
        <v>#VALUE!</v>
      </c>
      <c r="HK33" t="e">
        <f>AND('STERLING CATALOG - DRY '!G595,"AAAAAC//v9o=")</f>
        <v>#VALUE!</v>
      </c>
      <c r="HL33" t="e">
        <f>AND('STERLING CATALOG - DRY '!H595,"AAAAAC//v9s=")</f>
        <v>#VALUE!</v>
      </c>
      <c r="HM33" t="e">
        <f>AND('STERLING CATALOG - DRY '!I595,"AAAAAC//v9w=")</f>
        <v>#VALUE!</v>
      </c>
      <c r="HN33" t="e">
        <f>AND('STERLING CATALOG - DRY '!J595,"AAAAAC//v90=")</f>
        <v>#VALUE!</v>
      </c>
      <c r="HO33">
        <f>IF('STERLING CATALOG - DRY '!596:596,"AAAAAC//v94=",0)</f>
        <v>0</v>
      </c>
      <c r="HP33" t="e">
        <f>AND('STERLING CATALOG - DRY '!A596,"AAAAAC//v98=")</f>
        <v>#VALUE!</v>
      </c>
      <c r="HQ33" t="e">
        <f>AND('STERLING CATALOG - DRY '!B596,"AAAAAC//v+A=")</f>
        <v>#VALUE!</v>
      </c>
      <c r="HR33" t="e">
        <f>AND('STERLING CATALOG - DRY '!C596,"AAAAAC//v+E=")</f>
        <v>#VALUE!</v>
      </c>
      <c r="HS33" t="e">
        <f>AND('STERLING CATALOG - DRY '!D596,"AAAAAC//v+I=")</f>
        <v>#VALUE!</v>
      </c>
      <c r="HT33" t="e">
        <f>AND('STERLING CATALOG - DRY '!E596,"AAAAAC//v+M=")</f>
        <v>#VALUE!</v>
      </c>
      <c r="HU33" t="e">
        <f>AND('STERLING CATALOG - DRY '!F596,"AAAAAC//v+Q=")</f>
        <v>#VALUE!</v>
      </c>
      <c r="HV33" t="e">
        <f>AND('STERLING CATALOG - DRY '!G596,"AAAAAC//v+U=")</f>
        <v>#VALUE!</v>
      </c>
      <c r="HW33" t="e">
        <f>AND('STERLING CATALOG - DRY '!H596,"AAAAAC//v+Y=")</f>
        <v>#VALUE!</v>
      </c>
      <c r="HX33" t="e">
        <f>AND('STERLING CATALOG - DRY '!I596,"AAAAAC//v+c=")</f>
        <v>#VALUE!</v>
      </c>
      <c r="HY33" t="e">
        <f>AND('STERLING CATALOG - DRY '!J596,"AAAAAC//v+g=")</f>
        <v>#VALUE!</v>
      </c>
      <c r="HZ33">
        <f>IF('STERLING CATALOG - DRY '!597:597,"AAAAAC//v+k=",0)</f>
        <v>0</v>
      </c>
      <c r="IA33" t="e">
        <f>AND('STERLING CATALOG - DRY '!A597,"AAAAAC//v+o=")</f>
        <v>#VALUE!</v>
      </c>
      <c r="IB33" t="e">
        <f>AND('STERLING CATALOG - DRY '!B597,"AAAAAC//v+s=")</f>
        <v>#VALUE!</v>
      </c>
      <c r="IC33" t="e">
        <f>AND('STERLING CATALOG - DRY '!C597,"AAAAAC//v+w=")</f>
        <v>#VALUE!</v>
      </c>
      <c r="ID33" t="e">
        <f>AND('STERLING CATALOG - DRY '!D597,"AAAAAC//v+0=")</f>
        <v>#VALUE!</v>
      </c>
      <c r="IE33" t="e">
        <f>AND('STERLING CATALOG - DRY '!E597,"AAAAAC//v+4=")</f>
        <v>#VALUE!</v>
      </c>
      <c r="IF33" t="e">
        <f>AND('STERLING CATALOG - DRY '!F597,"AAAAAC//v+8=")</f>
        <v>#VALUE!</v>
      </c>
      <c r="IG33" t="e">
        <f>AND('STERLING CATALOG - DRY '!G597,"AAAAAC//v/A=")</f>
        <v>#VALUE!</v>
      </c>
      <c r="IH33" t="e">
        <f>AND('STERLING CATALOG - DRY '!H597,"AAAAAC//v/E=")</f>
        <v>#VALUE!</v>
      </c>
      <c r="II33" t="e">
        <f>AND('STERLING CATALOG - DRY '!I597,"AAAAAC//v/I=")</f>
        <v>#VALUE!</v>
      </c>
      <c r="IJ33" t="e">
        <f>AND('STERLING CATALOG - DRY '!J597,"AAAAAC//v/M=")</f>
        <v>#VALUE!</v>
      </c>
      <c r="IK33">
        <f>IF('STERLING CATALOG - DRY '!598:598,"AAAAAC//v/Q=",0)</f>
        <v>0</v>
      </c>
      <c r="IL33" t="e">
        <f>AND('STERLING CATALOG - DRY '!A598,"AAAAAC//v/U=")</f>
        <v>#VALUE!</v>
      </c>
      <c r="IM33" t="e">
        <f>AND('STERLING CATALOG - DRY '!B598,"AAAAAC//v/Y=")</f>
        <v>#VALUE!</v>
      </c>
      <c r="IN33" t="e">
        <f>AND('STERLING CATALOG - DRY '!C598,"AAAAAC//v/c=")</f>
        <v>#VALUE!</v>
      </c>
      <c r="IO33" t="e">
        <f>AND('STERLING CATALOG - DRY '!D598,"AAAAAC//v/g=")</f>
        <v>#VALUE!</v>
      </c>
      <c r="IP33" t="e">
        <f>AND('STERLING CATALOG - DRY '!E598,"AAAAAC//v/k=")</f>
        <v>#VALUE!</v>
      </c>
      <c r="IQ33" t="e">
        <f>AND('STERLING CATALOG - DRY '!F598,"AAAAAC//v/o=")</f>
        <v>#VALUE!</v>
      </c>
      <c r="IR33" t="e">
        <f>AND('STERLING CATALOG - DRY '!G598,"AAAAAC//v/s=")</f>
        <v>#VALUE!</v>
      </c>
      <c r="IS33" t="e">
        <f>AND('STERLING CATALOG - DRY '!H598,"AAAAAC//v/w=")</f>
        <v>#VALUE!</v>
      </c>
      <c r="IT33" t="e">
        <f>AND('STERLING CATALOG - DRY '!I598,"AAAAAC//v/0=")</f>
        <v>#VALUE!</v>
      </c>
      <c r="IU33" t="e">
        <f>AND('STERLING CATALOG - DRY '!J598,"AAAAAC//v/4=")</f>
        <v>#VALUE!</v>
      </c>
      <c r="IV33">
        <f>IF('STERLING CATALOG - DRY '!599:599,"AAAAAC//v/8=",0)</f>
        <v>0</v>
      </c>
    </row>
    <row r="34" spans="1:256">
      <c r="A34" t="e">
        <f>AND('STERLING CATALOG - DRY '!A599,"AAAAAGj2/wA=")</f>
        <v>#VALUE!</v>
      </c>
      <c r="B34" t="e">
        <f>AND('STERLING CATALOG - DRY '!B599,"AAAAAGj2/wE=")</f>
        <v>#VALUE!</v>
      </c>
      <c r="C34" t="e">
        <f>AND('STERLING CATALOG - DRY '!C599,"AAAAAGj2/wI=")</f>
        <v>#VALUE!</v>
      </c>
      <c r="D34" t="e">
        <f>AND('STERLING CATALOG - DRY '!D599,"AAAAAGj2/wM=")</f>
        <v>#VALUE!</v>
      </c>
      <c r="E34" t="e">
        <f>AND('STERLING CATALOG - DRY '!E599,"AAAAAGj2/wQ=")</f>
        <v>#VALUE!</v>
      </c>
      <c r="F34" t="e">
        <f>AND('STERLING CATALOG - DRY '!F599,"AAAAAGj2/wU=")</f>
        <v>#VALUE!</v>
      </c>
      <c r="G34" t="e">
        <f>AND('STERLING CATALOG - DRY '!G599,"AAAAAGj2/wY=")</f>
        <v>#VALUE!</v>
      </c>
      <c r="H34" t="e">
        <f>AND('STERLING CATALOG - DRY '!H599,"AAAAAGj2/wc=")</f>
        <v>#VALUE!</v>
      </c>
      <c r="I34" t="e">
        <f>AND('STERLING CATALOG - DRY '!I599,"AAAAAGj2/wg=")</f>
        <v>#VALUE!</v>
      </c>
      <c r="J34" t="e">
        <f>AND('STERLING CATALOG - DRY '!J599,"AAAAAGj2/wk=")</f>
        <v>#VALUE!</v>
      </c>
      <c r="K34">
        <f>IF('STERLING CATALOG - DRY '!600:600,"AAAAAGj2/wo=",0)</f>
        <v>0</v>
      </c>
      <c r="L34" t="e">
        <f>AND('STERLING CATALOG - DRY '!A600,"AAAAAGj2/ws=")</f>
        <v>#VALUE!</v>
      </c>
      <c r="M34" t="e">
        <f>AND('STERLING CATALOG - DRY '!B600,"AAAAAGj2/ww=")</f>
        <v>#VALUE!</v>
      </c>
      <c r="N34" t="e">
        <f>AND('STERLING CATALOG - DRY '!C600,"AAAAAGj2/w0=")</f>
        <v>#VALUE!</v>
      </c>
      <c r="O34" t="e">
        <f>AND('STERLING CATALOG - DRY '!D600,"AAAAAGj2/w4=")</f>
        <v>#VALUE!</v>
      </c>
      <c r="P34" t="e">
        <f>AND('STERLING CATALOG - DRY '!E600,"AAAAAGj2/w8=")</f>
        <v>#VALUE!</v>
      </c>
      <c r="Q34" t="e">
        <f>AND('STERLING CATALOG - DRY '!F600,"AAAAAGj2/xA=")</f>
        <v>#VALUE!</v>
      </c>
      <c r="R34" t="e">
        <f>AND('STERLING CATALOG - DRY '!G600,"AAAAAGj2/xE=")</f>
        <v>#VALUE!</v>
      </c>
      <c r="S34" t="e">
        <f>AND('STERLING CATALOG - DRY '!H600,"AAAAAGj2/xI=")</f>
        <v>#VALUE!</v>
      </c>
      <c r="T34" t="e">
        <f>AND('STERLING CATALOG - DRY '!I600,"AAAAAGj2/xM=")</f>
        <v>#VALUE!</v>
      </c>
      <c r="U34" t="e">
        <f>AND('STERLING CATALOG - DRY '!J600,"AAAAAGj2/xQ=")</f>
        <v>#VALUE!</v>
      </c>
      <c r="V34">
        <f>IF('STERLING CATALOG - DRY '!601:601,"AAAAAGj2/xU=",0)</f>
        <v>0</v>
      </c>
      <c r="W34" t="e">
        <f>AND('STERLING CATALOG - DRY '!A601,"AAAAAGj2/xY=")</f>
        <v>#VALUE!</v>
      </c>
      <c r="X34" t="e">
        <f>AND('STERLING CATALOG - DRY '!B601,"AAAAAGj2/xc=")</f>
        <v>#VALUE!</v>
      </c>
      <c r="Y34" t="e">
        <f>AND('STERLING CATALOG - DRY '!C601,"AAAAAGj2/xg=")</f>
        <v>#VALUE!</v>
      </c>
      <c r="Z34" t="e">
        <f>AND('STERLING CATALOG - DRY '!D601,"AAAAAGj2/xk=")</f>
        <v>#VALUE!</v>
      </c>
      <c r="AA34" t="e">
        <f>AND('STERLING CATALOG - DRY '!E601,"AAAAAGj2/xo=")</f>
        <v>#VALUE!</v>
      </c>
      <c r="AB34" t="e">
        <f>AND('STERLING CATALOG - DRY '!F601,"AAAAAGj2/xs=")</f>
        <v>#VALUE!</v>
      </c>
      <c r="AC34" t="e">
        <f>AND('STERLING CATALOG - DRY '!G601,"AAAAAGj2/xw=")</f>
        <v>#VALUE!</v>
      </c>
      <c r="AD34" t="e">
        <f>AND('STERLING CATALOG - DRY '!H601,"AAAAAGj2/x0=")</f>
        <v>#VALUE!</v>
      </c>
      <c r="AE34" t="e">
        <f>AND('STERLING CATALOG - DRY '!I601,"AAAAAGj2/x4=")</f>
        <v>#VALUE!</v>
      </c>
      <c r="AF34" t="e">
        <f>AND('STERLING CATALOG - DRY '!J601,"AAAAAGj2/x8=")</f>
        <v>#VALUE!</v>
      </c>
      <c r="AG34">
        <f>IF('STERLING CATALOG - DRY '!602:602,"AAAAAGj2/yA=",0)</f>
        <v>0</v>
      </c>
      <c r="AH34" t="e">
        <f>AND('STERLING CATALOG - DRY '!A602,"AAAAAGj2/yE=")</f>
        <v>#VALUE!</v>
      </c>
      <c r="AI34" t="e">
        <f>AND('STERLING CATALOG - DRY '!B602,"AAAAAGj2/yI=")</f>
        <v>#VALUE!</v>
      </c>
      <c r="AJ34" t="e">
        <f>AND('STERLING CATALOG - DRY '!C602,"AAAAAGj2/yM=")</f>
        <v>#VALUE!</v>
      </c>
      <c r="AK34" t="e">
        <f>AND('STERLING CATALOG - DRY '!D602,"AAAAAGj2/yQ=")</f>
        <v>#VALUE!</v>
      </c>
      <c r="AL34" t="e">
        <f>AND('STERLING CATALOG - DRY '!E602,"AAAAAGj2/yU=")</f>
        <v>#VALUE!</v>
      </c>
      <c r="AM34" t="e">
        <f>AND('STERLING CATALOG - DRY '!F602,"AAAAAGj2/yY=")</f>
        <v>#VALUE!</v>
      </c>
      <c r="AN34" t="e">
        <f>AND('STERLING CATALOG - DRY '!G602,"AAAAAGj2/yc=")</f>
        <v>#VALUE!</v>
      </c>
      <c r="AO34" t="e">
        <f>AND('STERLING CATALOG - DRY '!H602,"AAAAAGj2/yg=")</f>
        <v>#VALUE!</v>
      </c>
      <c r="AP34" t="e">
        <f>AND('STERLING CATALOG - DRY '!I602,"AAAAAGj2/yk=")</f>
        <v>#VALUE!</v>
      </c>
      <c r="AQ34" t="e">
        <f>AND('STERLING CATALOG - DRY '!J602,"AAAAAGj2/yo=")</f>
        <v>#VALUE!</v>
      </c>
      <c r="AR34">
        <f>IF('STERLING CATALOG - DRY '!603:603,"AAAAAGj2/ys=",0)</f>
        <v>0</v>
      </c>
      <c r="AS34" t="e">
        <f>AND('STERLING CATALOG - DRY '!A603,"AAAAAGj2/yw=")</f>
        <v>#VALUE!</v>
      </c>
      <c r="AT34" t="e">
        <f>AND('STERLING CATALOG - DRY '!B603,"AAAAAGj2/y0=")</f>
        <v>#VALUE!</v>
      </c>
      <c r="AU34" t="e">
        <f>AND('STERLING CATALOG - DRY '!C603,"AAAAAGj2/y4=")</f>
        <v>#VALUE!</v>
      </c>
      <c r="AV34" t="e">
        <f>AND('STERLING CATALOG - DRY '!D603,"AAAAAGj2/y8=")</f>
        <v>#VALUE!</v>
      </c>
      <c r="AW34" t="e">
        <f>AND('STERLING CATALOG - DRY '!E603,"AAAAAGj2/zA=")</f>
        <v>#VALUE!</v>
      </c>
      <c r="AX34" t="e">
        <f>AND('STERLING CATALOG - DRY '!F603,"AAAAAGj2/zE=")</f>
        <v>#VALUE!</v>
      </c>
      <c r="AY34" t="e">
        <f>AND('STERLING CATALOG - DRY '!G603,"AAAAAGj2/zI=")</f>
        <v>#VALUE!</v>
      </c>
      <c r="AZ34" t="e">
        <f>AND('STERLING CATALOG - DRY '!H603,"AAAAAGj2/zM=")</f>
        <v>#VALUE!</v>
      </c>
      <c r="BA34" t="e">
        <f>AND('STERLING CATALOG - DRY '!I603,"AAAAAGj2/zQ=")</f>
        <v>#VALUE!</v>
      </c>
      <c r="BB34" t="e">
        <f>AND('STERLING CATALOG - DRY '!J603,"AAAAAGj2/zU=")</f>
        <v>#VALUE!</v>
      </c>
      <c r="BC34">
        <f>IF('STERLING CATALOG - DRY '!604:604,"AAAAAGj2/zY=",0)</f>
        <v>0</v>
      </c>
      <c r="BD34" t="e">
        <f>AND('STERLING CATALOG - DRY '!A604,"AAAAAGj2/zc=")</f>
        <v>#VALUE!</v>
      </c>
      <c r="BE34" t="e">
        <f>AND('STERLING CATALOG - DRY '!B604,"AAAAAGj2/zg=")</f>
        <v>#VALUE!</v>
      </c>
      <c r="BF34" t="e">
        <f>AND('STERLING CATALOG - DRY '!C604,"AAAAAGj2/zk=")</f>
        <v>#VALUE!</v>
      </c>
      <c r="BG34" t="e">
        <f>AND('STERLING CATALOG - DRY '!D604,"AAAAAGj2/zo=")</f>
        <v>#VALUE!</v>
      </c>
      <c r="BH34" t="e">
        <f>AND('STERLING CATALOG - DRY '!E604,"AAAAAGj2/zs=")</f>
        <v>#VALUE!</v>
      </c>
      <c r="BI34" t="e">
        <f>AND('STERLING CATALOG - DRY '!F604,"AAAAAGj2/zw=")</f>
        <v>#VALUE!</v>
      </c>
      <c r="BJ34" t="e">
        <f>AND('STERLING CATALOG - DRY '!G604,"AAAAAGj2/z0=")</f>
        <v>#VALUE!</v>
      </c>
      <c r="BK34" t="e">
        <f>AND('STERLING CATALOG - DRY '!H604,"AAAAAGj2/z4=")</f>
        <v>#VALUE!</v>
      </c>
      <c r="BL34" t="e">
        <f>AND('STERLING CATALOG - DRY '!I604,"AAAAAGj2/z8=")</f>
        <v>#VALUE!</v>
      </c>
      <c r="BM34" t="e">
        <f>AND('STERLING CATALOG - DRY '!J604,"AAAAAGj2/0A=")</f>
        <v>#VALUE!</v>
      </c>
      <c r="BN34">
        <f>IF('STERLING CATALOG - DRY '!605:605,"AAAAAGj2/0E=",0)</f>
        <v>0</v>
      </c>
      <c r="BO34" t="e">
        <f>AND('STERLING CATALOG - DRY '!A605,"AAAAAGj2/0I=")</f>
        <v>#VALUE!</v>
      </c>
      <c r="BP34" t="e">
        <f>AND('STERLING CATALOG - DRY '!B605,"AAAAAGj2/0M=")</f>
        <v>#VALUE!</v>
      </c>
      <c r="BQ34" t="e">
        <f>AND('STERLING CATALOG - DRY '!C605,"AAAAAGj2/0Q=")</f>
        <v>#VALUE!</v>
      </c>
      <c r="BR34" t="e">
        <f>AND('STERLING CATALOG - DRY '!D605,"AAAAAGj2/0U=")</f>
        <v>#VALUE!</v>
      </c>
      <c r="BS34" t="e">
        <f>AND('STERLING CATALOG - DRY '!E605,"AAAAAGj2/0Y=")</f>
        <v>#VALUE!</v>
      </c>
      <c r="BT34" t="e">
        <f>AND('STERLING CATALOG - DRY '!F605,"AAAAAGj2/0c=")</f>
        <v>#VALUE!</v>
      </c>
      <c r="BU34" t="e">
        <f>AND('STERLING CATALOG - DRY '!G605,"AAAAAGj2/0g=")</f>
        <v>#VALUE!</v>
      </c>
      <c r="BV34" t="e">
        <f>AND('STERLING CATALOG - DRY '!H605,"AAAAAGj2/0k=")</f>
        <v>#VALUE!</v>
      </c>
      <c r="BW34" t="e">
        <f>AND('STERLING CATALOG - DRY '!I605,"AAAAAGj2/0o=")</f>
        <v>#VALUE!</v>
      </c>
      <c r="BX34" t="e">
        <f>AND('STERLING CATALOG - DRY '!J605,"AAAAAGj2/0s=")</f>
        <v>#VALUE!</v>
      </c>
      <c r="BY34">
        <f>IF('STERLING CATALOG - DRY '!606:606,"AAAAAGj2/0w=",0)</f>
        <v>0</v>
      </c>
      <c r="BZ34" t="e">
        <f>AND('STERLING CATALOG - DRY '!A606,"AAAAAGj2/00=")</f>
        <v>#VALUE!</v>
      </c>
      <c r="CA34" t="e">
        <f>AND('STERLING CATALOG - DRY '!B606,"AAAAAGj2/04=")</f>
        <v>#VALUE!</v>
      </c>
      <c r="CB34" t="e">
        <f>AND('STERLING CATALOG - DRY '!C606,"AAAAAGj2/08=")</f>
        <v>#VALUE!</v>
      </c>
      <c r="CC34" t="e">
        <f>AND('STERLING CATALOG - DRY '!D606,"AAAAAGj2/1A=")</f>
        <v>#VALUE!</v>
      </c>
      <c r="CD34" t="e">
        <f>AND('STERLING CATALOG - DRY '!E606,"AAAAAGj2/1E=")</f>
        <v>#VALUE!</v>
      </c>
      <c r="CE34" t="e">
        <f>AND('STERLING CATALOG - DRY '!F606,"AAAAAGj2/1I=")</f>
        <v>#VALUE!</v>
      </c>
      <c r="CF34" t="e">
        <f>AND('STERLING CATALOG - DRY '!G606,"AAAAAGj2/1M=")</f>
        <v>#VALUE!</v>
      </c>
      <c r="CG34" t="e">
        <f>AND('STERLING CATALOG - DRY '!H606,"AAAAAGj2/1Q=")</f>
        <v>#VALUE!</v>
      </c>
      <c r="CH34" t="e">
        <f>AND('STERLING CATALOG - DRY '!I606,"AAAAAGj2/1U=")</f>
        <v>#VALUE!</v>
      </c>
      <c r="CI34" t="e">
        <f>AND('STERLING CATALOG - DRY '!J606,"AAAAAGj2/1Y=")</f>
        <v>#VALUE!</v>
      </c>
      <c r="CJ34">
        <f>IF('STERLING CATALOG - DRY '!607:607,"AAAAAGj2/1c=",0)</f>
        <v>0</v>
      </c>
      <c r="CK34" t="e">
        <f>AND('STERLING CATALOG - DRY '!A607,"AAAAAGj2/1g=")</f>
        <v>#VALUE!</v>
      </c>
      <c r="CL34" t="e">
        <f>AND('STERLING CATALOG - DRY '!B607,"AAAAAGj2/1k=")</f>
        <v>#VALUE!</v>
      </c>
      <c r="CM34" t="e">
        <f>AND('STERLING CATALOG - DRY '!C607,"AAAAAGj2/1o=")</f>
        <v>#VALUE!</v>
      </c>
      <c r="CN34" t="e">
        <f>AND('STERLING CATALOG - DRY '!D607,"AAAAAGj2/1s=")</f>
        <v>#VALUE!</v>
      </c>
      <c r="CO34" t="e">
        <f>AND('STERLING CATALOG - DRY '!E607,"AAAAAGj2/1w=")</f>
        <v>#VALUE!</v>
      </c>
      <c r="CP34" t="e">
        <f>AND('STERLING CATALOG - DRY '!F607,"AAAAAGj2/10=")</f>
        <v>#VALUE!</v>
      </c>
      <c r="CQ34" t="e">
        <f>AND('STERLING CATALOG - DRY '!G607,"AAAAAGj2/14=")</f>
        <v>#VALUE!</v>
      </c>
      <c r="CR34" t="e">
        <f>AND('STERLING CATALOG - DRY '!H607,"AAAAAGj2/18=")</f>
        <v>#VALUE!</v>
      </c>
      <c r="CS34" t="e">
        <f>AND('STERLING CATALOG - DRY '!I607,"AAAAAGj2/2A=")</f>
        <v>#VALUE!</v>
      </c>
      <c r="CT34" t="e">
        <f>AND('STERLING CATALOG - DRY '!J607,"AAAAAGj2/2E=")</f>
        <v>#VALUE!</v>
      </c>
      <c r="CU34">
        <f>IF('STERLING CATALOG - DRY '!608:608,"AAAAAGj2/2I=",0)</f>
        <v>0</v>
      </c>
      <c r="CV34" t="e">
        <f>AND('STERLING CATALOG - DRY '!A608,"AAAAAGj2/2M=")</f>
        <v>#VALUE!</v>
      </c>
      <c r="CW34" t="e">
        <f>AND('STERLING CATALOG - DRY '!B608,"AAAAAGj2/2Q=")</f>
        <v>#VALUE!</v>
      </c>
      <c r="CX34" t="e">
        <f>AND('STERLING CATALOG - DRY '!C608,"AAAAAGj2/2U=")</f>
        <v>#VALUE!</v>
      </c>
      <c r="CY34" t="e">
        <f>AND('STERLING CATALOG - DRY '!D608,"AAAAAGj2/2Y=")</f>
        <v>#VALUE!</v>
      </c>
      <c r="CZ34" t="e">
        <f>AND('STERLING CATALOG - DRY '!E608,"AAAAAGj2/2c=")</f>
        <v>#VALUE!</v>
      </c>
      <c r="DA34" t="e">
        <f>AND('STERLING CATALOG - DRY '!F608,"AAAAAGj2/2g=")</f>
        <v>#VALUE!</v>
      </c>
      <c r="DB34" t="e">
        <f>AND('STERLING CATALOG - DRY '!G608,"AAAAAGj2/2k=")</f>
        <v>#VALUE!</v>
      </c>
      <c r="DC34" t="e">
        <f>AND('STERLING CATALOG - DRY '!H608,"AAAAAGj2/2o=")</f>
        <v>#VALUE!</v>
      </c>
      <c r="DD34" t="e">
        <f>AND('STERLING CATALOG - DRY '!I608,"AAAAAGj2/2s=")</f>
        <v>#VALUE!</v>
      </c>
      <c r="DE34" t="e">
        <f>AND('STERLING CATALOG - DRY '!J608,"AAAAAGj2/2w=")</f>
        <v>#VALUE!</v>
      </c>
      <c r="DF34">
        <f>IF('STERLING CATALOG - DRY '!609:609,"AAAAAGj2/20=",0)</f>
        <v>0</v>
      </c>
      <c r="DG34" t="e">
        <f>AND('STERLING CATALOG - DRY '!A609,"AAAAAGj2/24=")</f>
        <v>#VALUE!</v>
      </c>
      <c r="DH34" t="e">
        <f>AND('STERLING CATALOG - DRY '!B609,"AAAAAGj2/28=")</f>
        <v>#VALUE!</v>
      </c>
      <c r="DI34" t="e">
        <f>AND('STERLING CATALOG - DRY '!C609,"AAAAAGj2/3A=")</f>
        <v>#VALUE!</v>
      </c>
      <c r="DJ34" t="e">
        <f>AND('STERLING CATALOG - DRY '!D609,"AAAAAGj2/3E=")</f>
        <v>#VALUE!</v>
      </c>
      <c r="DK34" t="e">
        <f>AND('STERLING CATALOG - DRY '!E609,"AAAAAGj2/3I=")</f>
        <v>#VALUE!</v>
      </c>
      <c r="DL34" t="e">
        <f>AND('STERLING CATALOG - DRY '!F609,"AAAAAGj2/3M=")</f>
        <v>#VALUE!</v>
      </c>
      <c r="DM34" t="e">
        <f>AND('STERLING CATALOG - DRY '!G609,"AAAAAGj2/3Q=")</f>
        <v>#VALUE!</v>
      </c>
      <c r="DN34" t="e">
        <f>AND('STERLING CATALOG - DRY '!H609,"AAAAAGj2/3U=")</f>
        <v>#VALUE!</v>
      </c>
      <c r="DO34" t="e">
        <f>AND('STERLING CATALOG - DRY '!I609,"AAAAAGj2/3Y=")</f>
        <v>#VALUE!</v>
      </c>
      <c r="DP34" t="e">
        <f>AND('STERLING CATALOG - DRY '!J609,"AAAAAGj2/3c=")</f>
        <v>#VALUE!</v>
      </c>
      <c r="DQ34">
        <f>IF('STERLING CATALOG - DRY '!610:610,"AAAAAGj2/3g=",0)</f>
        <v>0</v>
      </c>
      <c r="DR34" t="e">
        <f>AND('STERLING CATALOG - DRY '!A610,"AAAAAGj2/3k=")</f>
        <v>#VALUE!</v>
      </c>
      <c r="DS34" t="e">
        <f>AND('STERLING CATALOG - DRY '!B610,"AAAAAGj2/3o=")</f>
        <v>#VALUE!</v>
      </c>
      <c r="DT34" t="e">
        <f>AND('STERLING CATALOG - DRY '!C610,"AAAAAGj2/3s=")</f>
        <v>#VALUE!</v>
      </c>
      <c r="DU34" t="e">
        <f>AND('STERLING CATALOG - DRY '!D610,"AAAAAGj2/3w=")</f>
        <v>#VALUE!</v>
      </c>
      <c r="DV34" t="e">
        <f>AND('STERLING CATALOG - DRY '!E610,"AAAAAGj2/30=")</f>
        <v>#VALUE!</v>
      </c>
      <c r="DW34" t="e">
        <f>AND('STERLING CATALOG - DRY '!F610,"AAAAAGj2/34=")</f>
        <v>#VALUE!</v>
      </c>
      <c r="DX34" t="e">
        <f>AND('STERLING CATALOG - DRY '!G610,"AAAAAGj2/38=")</f>
        <v>#VALUE!</v>
      </c>
      <c r="DY34" t="e">
        <f>AND('STERLING CATALOG - DRY '!H610,"AAAAAGj2/4A=")</f>
        <v>#VALUE!</v>
      </c>
      <c r="DZ34" t="e">
        <f>AND('STERLING CATALOG - DRY '!I610,"AAAAAGj2/4E=")</f>
        <v>#VALUE!</v>
      </c>
      <c r="EA34" t="e">
        <f>AND('STERLING CATALOG - DRY '!J610,"AAAAAGj2/4I=")</f>
        <v>#VALUE!</v>
      </c>
      <c r="EB34">
        <f>IF('STERLING CATALOG - DRY '!611:611,"AAAAAGj2/4M=",0)</f>
        <v>0</v>
      </c>
      <c r="EC34" t="e">
        <f>AND('STERLING CATALOG - DRY '!A611,"AAAAAGj2/4Q=")</f>
        <v>#VALUE!</v>
      </c>
      <c r="ED34" t="e">
        <f>AND('STERLING CATALOG - DRY '!B611,"AAAAAGj2/4U=")</f>
        <v>#VALUE!</v>
      </c>
      <c r="EE34" t="e">
        <f>AND('STERLING CATALOG - DRY '!C611,"AAAAAGj2/4Y=")</f>
        <v>#VALUE!</v>
      </c>
      <c r="EF34" t="e">
        <f>AND('STERLING CATALOG - DRY '!D611,"AAAAAGj2/4c=")</f>
        <v>#VALUE!</v>
      </c>
      <c r="EG34" t="e">
        <f>AND('STERLING CATALOG - DRY '!E611,"AAAAAGj2/4g=")</f>
        <v>#VALUE!</v>
      </c>
      <c r="EH34" t="e">
        <f>AND('STERLING CATALOG - DRY '!F611,"AAAAAGj2/4k=")</f>
        <v>#VALUE!</v>
      </c>
      <c r="EI34" t="e">
        <f>AND('STERLING CATALOG - DRY '!G611,"AAAAAGj2/4o=")</f>
        <v>#VALUE!</v>
      </c>
      <c r="EJ34" t="e">
        <f>AND('STERLING CATALOG - DRY '!H611,"AAAAAGj2/4s=")</f>
        <v>#VALUE!</v>
      </c>
      <c r="EK34" t="e">
        <f>AND('STERLING CATALOG - DRY '!I611,"AAAAAGj2/4w=")</f>
        <v>#VALUE!</v>
      </c>
      <c r="EL34" t="e">
        <f>AND('STERLING CATALOG - DRY '!J611,"AAAAAGj2/40=")</f>
        <v>#VALUE!</v>
      </c>
      <c r="EM34">
        <f>IF('STERLING CATALOG - DRY '!612:612,"AAAAAGj2/44=",0)</f>
        <v>0</v>
      </c>
      <c r="EN34" t="e">
        <f>AND('STERLING CATALOG - DRY '!A612,"AAAAAGj2/48=")</f>
        <v>#VALUE!</v>
      </c>
      <c r="EO34" t="e">
        <f>AND('STERLING CATALOG - DRY '!B612,"AAAAAGj2/5A=")</f>
        <v>#VALUE!</v>
      </c>
      <c r="EP34" t="e">
        <f>AND('STERLING CATALOG - DRY '!C612,"AAAAAGj2/5E=")</f>
        <v>#VALUE!</v>
      </c>
      <c r="EQ34" t="e">
        <f>AND('STERLING CATALOG - DRY '!D612,"AAAAAGj2/5I=")</f>
        <v>#VALUE!</v>
      </c>
      <c r="ER34" t="e">
        <f>AND('STERLING CATALOG - DRY '!E612,"AAAAAGj2/5M=")</f>
        <v>#VALUE!</v>
      </c>
      <c r="ES34" t="e">
        <f>AND('STERLING CATALOG - DRY '!F612,"AAAAAGj2/5Q=")</f>
        <v>#VALUE!</v>
      </c>
      <c r="ET34" t="e">
        <f>AND('STERLING CATALOG - DRY '!G612,"AAAAAGj2/5U=")</f>
        <v>#VALUE!</v>
      </c>
      <c r="EU34" t="e">
        <f>AND('STERLING CATALOG - DRY '!H612,"AAAAAGj2/5Y=")</f>
        <v>#VALUE!</v>
      </c>
      <c r="EV34" t="e">
        <f>AND('STERLING CATALOG - DRY '!I612,"AAAAAGj2/5c=")</f>
        <v>#VALUE!</v>
      </c>
      <c r="EW34" t="e">
        <f>AND('STERLING CATALOG - DRY '!J612,"AAAAAGj2/5g=")</f>
        <v>#VALUE!</v>
      </c>
      <c r="EX34">
        <f>IF('STERLING CATALOG - DRY '!613:613,"AAAAAGj2/5k=",0)</f>
        <v>0</v>
      </c>
      <c r="EY34" t="e">
        <f>AND('STERLING CATALOG - DRY '!A613,"AAAAAGj2/5o=")</f>
        <v>#VALUE!</v>
      </c>
      <c r="EZ34" t="e">
        <f>AND('STERLING CATALOG - DRY '!B613,"AAAAAGj2/5s=")</f>
        <v>#VALUE!</v>
      </c>
      <c r="FA34" t="e">
        <f>AND('STERLING CATALOG - DRY '!C613,"AAAAAGj2/5w=")</f>
        <v>#VALUE!</v>
      </c>
      <c r="FB34" t="e">
        <f>AND('STERLING CATALOG - DRY '!D613,"AAAAAGj2/50=")</f>
        <v>#VALUE!</v>
      </c>
      <c r="FC34" t="e">
        <f>AND('STERLING CATALOG - DRY '!E613,"AAAAAGj2/54=")</f>
        <v>#VALUE!</v>
      </c>
      <c r="FD34" t="e">
        <f>AND('STERLING CATALOG - DRY '!F613,"AAAAAGj2/58=")</f>
        <v>#VALUE!</v>
      </c>
      <c r="FE34" t="e">
        <f>AND('STERLING CATALOG - DRY '!G613,"AAAAAGj2/6A=")</f>
        <v>#VALUE!</v>
      </c>
      <c r="FF34" t="e">
        <f>AND('STERLING CATALOG - DRY '!H613,"AAAAAGj2/6E=")</f>
        <v>#VALUE!</v>
      </c>
      <c r="FG34" t="e">
        <f>AND('STERLING CATALOG - DRY '!I613,"AAAAAGj2/6I=")</f>
        <v>#VALUE!</v>
      </c>
      <c r="FH34" t="e">
        <f>AND('STERLING CATALOG - DRY '!J613,"AAAAAGj2/6M=")</f>
        <v>#VALUE!</v>
      </c>
      <c r="FI34">
        <f>IF('STERLING CATALOG - DRY '!614:614,"AAAAAGj2/6Q=",0)</f>
        <v>0</v>
      </c>
      <c r="FJ34" t="e">
        <f>AND('STERLING CATALOG - DRY '!A614,"AAAAAGj2/6U=")</f>
        <v>#VALUE!</v>
      </c>
      <c r="FK34" t="e">
        <f>AND('STERLING CATALOG - DRY '!B614,"AAAAAGj2/6Y=")</f>
        <v>#VALUE!</v>
      </c>
      <c r="FL34" t="e">
        <f>AND('STERLING CATALOG - DRY '!C614,"AAAAAGj2/6c=")</f>
        <v>#VALUE!</v>
      </c>
      <c r="FM34" t="e">
        <f>AND('STERLING CATALOG - DRY '!D614,"AAAAAGj2/6g=")</f>
        <v>#VALUE!</v>
      </c>
      <c r="FN34" t="e">
        <f>AND('STERLING CATALOG - DRY '!E614,"AAAAAGj2/6k=")</f>
        <v>#VALUE!</v>
      </c>
      <c r="FO34" t="e">
        <f>AND('STERLING CATALOG - DRY '!F614,"AAAAAGj2/6o=")</f>
        <v>#VALUE!</v>
      </c>
      <c r="FP34" t="e">
        <f>AND('STERLING CATALOG - DRY '!G614,"AAAAAGj2/6s=")</f>
        <v>#VALUE!</v>
      </c>
      <c r="FQ34" t="e">
        <f>AND('STERLING CATALOG - DRY '!H614,"AAAAAGj2/6w=")</f>
        <v>#VALUE!</v>
      </c>
      <c r="FR34" t="e">
        <f>AND('STERLING CATALOG - DRY '!I614,"AAAAAGj2/60=")</f>
        <v>#VALUE!</v>
      </c>
      <c r="FS34" t="e">
        <f>AND('STERLING CATALOG - DRY '!J614,"AAAAAGj2/64=")</f>
        <v>#VALUE!</v>
      </c>
      <c r="FT34">
        <f>IF('STERLING CATALOG - DRY '!615:615,"AAAAAGj2/68=",0)</f>
        <v>0</v>
      </c>
      <c r="FU34" t="e">
        <f>AND('STERLING CATALOG - DRY '!A615,"AAAAAGj2/7A=")</f>
        <v>#VALUE!</v>
      </c>
      <c r="FV34" t="e">
        <f>AND('STERLING CATALOG - DRY '!B615,"AAAAAGj2/7E=")</f>
        <v>#VALUE!</v>
      </c>
      <c r="FW34" t="e">
        <f>AND('STERLING CATALOG - DRY '!C615,"AAAAAGj2/7I=")</f>
        <v>#VALUE!</v>
      </c>
      <c r="FX34" t="e">
        <f>AND('STERLING CATALOG - DRY '!D615,"AAAAAGj2/7M=")</f>
        <v>#VALUE!</v>
      </c>
      <c r="FY34" t="e">
        <f>AND('STERLING CATALOG - DRY '!E615,"AAAAAGj2/7Q=")</f>
        <v>#VALUE!</v>
      </c>
      <c r="FZ34" t="e">
        <f>AND('STERLING CATALOG - DRY '!F615,"AAAAAGj2/7U=")</f>
        <v>#VALUE!</v>
      </c>
      <c r="GA34" t="e">
        <f>AND('STERLING CATALOG - DRY '!G615,"AAAAAGj2/7Y=")</f>
        <v>#VALUE!</v>
      </c>
      <c r="GB34" t="e">
        <f>AND('STERLING CATALOG - DRY '!H615,"AAAAAGj2/7c=")</f>
        <v>#VALUE!</v>
      </c>
      <c r="GC34" t="e">
        <f>AND('STERLING CATALOG - DRY '!I615,"AAAAAGj2/7g=")</f>
        <v>#VALUE!</v>
      </c>
      <c r="GD34" t="e">
        <f>AND('STERLING CATALOG - DRY '!J615,"AAAAAGj2/7k=")</f>
        <v>#VALUE!</v>
      </c>
      <c r="GE34">
        <f>IF('STERLING CATALOG - DRY '!616:616,"AAAAAGj2/7o=",0)</f>
        <v>0</v>
      </c>
      <c r="GF34" t="e">
        <f>AND('STERLING CATALOG - DRY '!A616,"AAAAAGj2/7s=")</f>
        <v>#VALUE!</v>
      </c>
      <c r="GG34" t="e">
        <f>AND('STERLING CATALOG - DRY '!B616,"AAAAAGj2/7w=")</f>
        <v>#VALUE!</v>
      </c>
      <c r="GH34" t="e">
        <f>AND('STERLING CATALOG - DRY '!C616,"AAAAAGj2/70=")</f>
        <v>#VALUE!</v>
      </c>
      <c r="GI34" t="e">
        <f>AND('STERLING CATALOG - DRY '!D616,"AAAAAGj2/74=")</f>
        <v>#VALUE!</v>
      </c>
      <c r="GJ34" t="e">
        <f>AND('STERLING CATALOG - DRY '!E616,"AAAAAGj2/78=")</f>
        <v>#VALUE!</v>
      </c>
      <c r="GK34" t="e">
        <f>AND('STERLING CATALOG - DRY '!F616,"AAAAAGj2/8A=")</f>
        <v>#VALUE!</v>
      </c>
      <c r="GL34" t="e">
        <f>AND('STERLING CATALOG - DRY '!G616,"AAAAAGj2/8E=")</f>
        <v>#VALUE!</v>
      </c>
      <c r="GM34" t="e">
        <f>AND('STERLING CATALOG - DRY '!H616,"AAAAAGj2/8I=")</f>
        <v>#VALUE!</v>
      </c>
      <c r="GN34" t="e">
        <f>AND('STERLING CATALOG - DRY '!I616,"AAAAAGj2/8M=")</f>
        <v>#VALUE!</v>
      </c>
      <c r="GO34" t="e">
        <f>AND('STERLING CATALOG - DRY '!J616,"AAAAAGj2/8Q=")</f>
        <v>#VALUE!</v>
      </c>
      <c r="GP34">
        <f>IF('STERLING CATALOG - DRY '!617:617,"AAAAAGj2/8U=",0)</f>
        <v>0</v>
      </c>
      <c r="GQ34" t="e">
        <f>AND('STERLING CATALOG - DRY '!A617,"AAAAAGj2/8Y=")</f>
        <v>#VALUE!</v>
      </c>
      <c r="GR34" t="e">
        <f>AND('STERLING CATALOG - DRY '!B617,"AAAAAGj2/8c=")</f>
        <v>#VALUE!</v>
      </c>
      <c r="GS34" t="e">
        <f>AND('STERLING CATALOG - DRY '!C617,"AAAAAGj2/8g=")</f>
        <v>#VALUE!</v>
      </c>
      <c r="GT34" t="e">
        <f>AND('STERLING CATALOG - DRY '!D617,"AAAAAGj2/8k=")</f>
        <v>#VALUE!</v>
      </c>
      <c r="GU34" t="e">
        <f>AND('STERLING CATALOG - DRY '!E617,"AAAAAGj2/8o=")</f>
        <v>#VALUE!</v>
      </c>
      <c r="GV34" t="e">
        <f>AND('STERLING CATALOG - DRY '!F617,"AAAAAGj2/8s=")</f>
        <v>#VALUE!</v>
      </c>
      <c r="GW34" t="e">
        <f>AND('STERLING CATALOG - DRY '!G617,"AAAAAGj2/8w=")</f>
        <v>#VALUE!</v>
      </c>
      <c r="GX34" t="e">
        <f>AND('STERLING CATALOG - DRY '!H617,"AAAAAGj2/80=")</f>
        <v>#VALUE!</v>
      </c>
      <c r="GY34" t="e">
        <f>AND('STERLING CATALOG - DRY '!I617,"AAAAAGj2/84=")</f>
        <v>#VALUE!</v>
      </c>
      <c r="GZ34" t="e">
        <f>AND('STERLING CATALOG - DRY '!J617,"AAAAAGj2/88=")</f>
        <v>#VALUE!</v>
      </c>
      <c r="HA34">
        <f>IF('STERLING CATALOG - DRY '!618:618,"AAAAAGj2/9A=",0)</f>
        <v>0</v>
      </c>
      <c r="HB34" t="e">
        <f>AND('STERLING CATALOG - DRY '!A618,"AAAAAGj2/9E=")</f>
        <v>#VALUE!</v>
      </c>
      <c r="HC34" t="e">
        <f>AND('STERLING CATALOG - DRY '!B618,"AAAAAGj2/9I=")</f>
        <v>#VALUE!</v>
      </c>
      <c r="HD34" t="e">
        <f>AND('STERLING CATALOG - DRY '!C618,"AAAAAGj2/9M=")</f>
        <v>#VALUE!</v>
      </c>
      <c r="HE34" t="e">
        <f>AND('STERLING CATALOG - DRY '!D618,"AAAAAGj2/9Q=")</f>
        <v>#VALUE!</v>
      </c>
      <c r="HF34" t="e">
        <f>AND('STERLING CATALOG - DRY '!E618,"AAAAAGj2/9U=")</f>
        <v>#VALUE!</v>
      </c>
      <c r="HG34" t="e">
        <f>AND('STERLING CATALOG - DRY '!F618,"AAAAAGj2/9Y=")</f>
        <v>#VALUE!</v>
      </c>
      <c r="HH34" t="e">
        <f>AND('STERLING CATALOG - DRY '!G618,"AAAAAGj2/9c=")</f>
        <v>#VALUE!</v>
      </c>
      <c r="HI34" t="e">
        <f>AND('STERLING CATALOG - DRY '!H618,"AAAAAGj2/9g=")</f>
        <v>#VALUE!</v>
      </c>
      <c r="HJ34" t="e">
        <f>AND('STERLING CATALOG - DRY '!I618,"AAAAAGj2/9k=")</f>
        <v>#VALUE!</v>
      </c>
      <c r="HK34" t="e">
        <f>AND('STERLING CATALOG - DRY '!J618,"AAAAAGj2/9o=")</f>
        <v>#VALUE!</v>
      </c>
      <c r="HL34">
        <f>IF('STERLING CATALOG - DRY '!619:619,"AAAAAGj2/9s=",0)</f>
        <v>0</v>
      </c>
      <c r="HM34" t="e">
        <f>AND('STERLING CATALOG - DRY '!A619,"AAAAAGj2/9w=")</f>
        <v>#VALUE!</v>
      </c>
      <c r="HN34" t="e">
        <f>AND('STERLING CATALOG - DRY '!B619,"AAAAAGj2/90=")</f>
        <v>#VALUE!</v>
      </c>
      <c r="HO34" t="e">
        <f>AND('STERLING CATALOG - DRY '!C619,"AAAAAGj2/94=")</f>
        <v>#VALUE!</v>
      </c>
      <c r="HP34" t="e">
        <f>AND('STERLING CATALOG - DRY '!D619,"AAAAAGj2/98=")</f>
        <v>#VALUE!</v>
      </c>
      <c r="HQ34" t="e">
        <f>AND('STERLING CATALOG - DRY '!E619,"AAAAAGj2/+A=")</f>
        <v>#VALUE!</v>
      </c>
      <c r="HR34" t="e">
        <f>AND('STERLING CATALOG - DRY '!F619,"AAAAAGj2/+E=")</f>
        <v>#VALUE!</v>
      </c>
      <c r="HS34" t="e">
        <f>AND('STERLING CATALOG - DRY '!G619,"AAAAAGj2/+I=")</f>
        <v>#VALUE!</v>
      </c>
      <c r="HT34" t="e">
        <f>AND('STERLING CATALOG - DRY '!H619,"AAAAAGj2/+M=")</f>
        <v>#VALUE!</v>
      </c>
      <c r="HU34" t="e">
        <f>AND('STERLING CATALOG - DRY '!I619,"AAAAAGj2/+Q=")</f>
        <v>#VALUE!</v>
      </c>
      <c r="HV34" t="e">
        <f>AND('STERLING CATALOG - DRY '!J619,"AAAAAGj2/+U=")</f>
        <v>#VALUE!</v>
      </c>
      <c r="HW34">
        <f>IF('STERLING CATALOG - DRY '!620:620,"AAAAAGj2/+Y=",0)</f>
        <v>0</v>
      </c>
      <c r="HX34" t="e">
        <f>AND('STERLING CATALOG - DRY '!A620,"AAAAAGj2/+c=")</f>
        <v>#VALUE!</v>
      </c>
      <c r="HY34" t="e">
        <f>AND('STERLING CATALOG - DRY '!B620,"AAAAAGj2/+g=")</f>
        <v>#VALUE!</v>
      </c>
      <c r="HZ34" t="e">
        <f>AND('STERLING CATALOG - DRY '!C620,"AAAAAGj2/+k=")</f>
        <v>#VALUE!</v>
      </c>
      <c r="IA34" t="e">
        <f>AND('STERLING CATALOG - DRY '!D620,"AAAAAGj2/+o=")</f>
        <v>#VALUE!</v>
      </c>
      <c r="IB34" t="e">
        <f>AND('STERLING CATALOG - DRY '!E620,"AAAAAGj2/+s=")</f>
        <v>#VALUE!</v>
      </c>
      <c r="IC34" t="e">
        <f>AND('STERLING CATALOG - DRY '!F620,"AAAAAGj2/+w=")</f>
        <v>#VALUE!</v>
      </c>
      <c r="ID34" t="e">
        <f>AND('STERLING CATALOG - DRY '!G620,"AAAAAGj2/+0=")</f>
        <v>#VALUE!</v>
      </c>
      <c r="IE34" t="e">
        <f>AND('STERLING CATALOG - DRY '!H620,"AAAAAGj2/+4=")</f>
        <v>#VALUE!</v>
      </c>
      <c r="IF34" t="e">
        <f>AND('STERLING CATALOG - DRY '!I620,"AAAAAGj2/+8=")</f>
        <v>#VALUE!</v>
      </c>
      <c r="IG34" t="e">
        <f>AND('STERLING CATALOG - DRY '!J620,"AAAAAGj2//A=")</f>
        <v>#VALUE!</v>
      </c>
      <c r="IH34">
        <f>IF('STERLING CATALOG - DRY '!621:621,"AAAAAGj2//E=",0)</f>
        <v>0</v>
      </c>
      <c r="II34" t="e">
        <f>AND('STERLING CATALOG - DRY '!A621,"AAAAAGj2//I=")</f>
        <v>#VALUE!</v>
      </c>
      <c r="IJ34" t="e">
        <f>AND('STERLING CATALOG - DRY '!B621,"AAAAAGj2//M=")</f>
        <v>#VALUE!</v>
      </c>
      <c r="IK34" t="e">
        <f>AND('STERLING CATALOG - DRY '!C621,"AAAAAGj2//Q=")</f>
        <v>#VALUE!</v>
      </c>
      <c r="IL34" t="e">
        <f>AND('STERLING CATALOG - DRY '!D621,"AAAAAGj2//U=")</f>
        <v>#VALUE!</v>
      </c>
      <c r="IM34" t="e">
        <f>AND('STERLING CATALOG - DRY '!E621,"AAAAAGj2//Y=")</f>
        <v>#VALUE!</v>
      </c>
      <c r="IN34" t="e">
        <f>AND('STERLING CATALOG - DRY '!F621,"AAAAAGj2//c=")</f>
        <v>#VALUE!</v>
      </c>
      <c r="IO34" t="e">
        <f>AND('STERLING CATALOG - DRY '!G621,"AAAAAGj2//g=")</f>
        <v>#VALUE!</v>
      </c>
      <c r="IP34" t="e">
        <f>AND('STERLING CATALOG - DRY '!H621,"AAAAAGj2//k=")</f>
        <v>#VALUE!</v>
      </c>
      <c r="IQ34" t="e">
        <f>AND('STERLING CATALOG - DRY '!I621,"AAAAAGj2//o=")</f>
        <v>#VALUE!</v>
      </c>
      <c r="IR34" t="e">
        <f>AND('STERLING CATALOG - DRY '!J621,"AAAAAGj2//s=")</f>
        <v>#VALUE!</v>
      </c>
      <c r="IS34">
        <f>IF('STERLING CATALOG - DRY '!622:622,"AAAAAGj2//w=",0)</f>
        <v>0</v>
      </c>
      <c r="IT34" t="e">
        <f>AND('STERLING CATALOG - DRY '!A622,"AAAAAGj2//0=")</f>
        <v>#VALUE!</v>
      </c>
      <c r="IU34" t="e">
        <f>AND('STERLING CATALOG - DRY '!B622,"AAAAAGj2//4=")</f>
        <v>#VALUE!</v>
      </c>
      <c r="IV34" t="e">
        <f>AND('STERLING CATALOG - DRY '!C622,"AAAAAGj2//8=")</f>
        <v>#VALUE!</v>
      </c>
    </row>
    <row r="35" spans="1:256">
      <c r="A35" t="e">
        <f>AND('STERLING CATALOG - DRY '!D622,"AAAAAHe/bwA=")</f>
        <v>#VALUE!</v>
      </c>
      <c r="B35" t="e">
        <f>AND('STERLING CATALOG - DRY '!E622,"AAAAAHe/bwE=")</f>
        <v>#VALUE!</v>
      </c>
      <c r="C35" t="e">
        <f>AND('STERLING CATALOG - DRY '!F622,"AAAAAHe/bwI=")</f>
        <v>#VALUE!</v>
      </c>
      <c r="D35" t="e">
        <f>AND('STERLING CATALOG - DRY '!G622,"AAAAAHe/bwM=")</f>
        <v>#VALUE!</v>
      </c>
      <c r="E35" t="e">
        <f>AND('STERLING CATALOG - DRY '!H622,"AAAAAHe/bwQ=")</f>
        <v>#VALUE!</v>
      </c>
      <c r="F35" t="e">
        <f>AND('STERLING CATALOG - DRY '!I622,"AAAAAHe/bwU=")</f>
        <v>#VALUE!</v>
      </c>
      <c r="G35" t="e">
        <f>AND('STERLING CATALOG - DRY '!J622,"AAAAAHe/bwY=")</f>
        <v>#VALUE!</v>
      </c>
      <c r="H35" t="str">
        <f>IF('STERLING CATALOG - DRY '!623:623,"AAAAAHe/bwc=",0)</f>
        <v>AAAAAHe/bwc=</v>
      </c>
      <c r="I35" t="e">
        <f>AND('STERLING CATALOG - DRY '!A623,"AAAAAHe/bwg=")</f>
        <v>#VALUE!</v>
      </c>
      <c r="J35" t="e">
        <f>AND('STERLING CATALOG - DRY '!B623,"AAAAAHe/bwk=")</f>
        <v>#VALUE!</v>
      </c>
      <c r="K35" t="e">
        <f>AND('STERLING CATALOG - DRY '!C623,"AAAAAHe/bwo=")</f>
        <v>#VALUE!</v>
      </c>
      <c r="L35" t="e">
        <f>AND('STERLING CATALOG - DRY '!D623,"AAAAAHe/bws=")</f>
        <v>#VALUE!</v>
      </c>
      <c r="M35" t="e">
        <f>AND('STERLING CATALOG - DRY '!E623,"AAAAAHe/bww=")</f>
        <v>#VALUE!</v>
      </c>
      <c r="N35" t="e">
        <f>AND('STERLING CATALOG - DRY '!F623,"AAAAAHe/bw0=")</f>
        <v>#VALUE!</v>
      </c>
      <c r="O35" t="e">
        <f>AND('STERLING CATALOG - DRY '!G623,"AAAAAHe/bw4=")</f>
        <v>#VALUE!</v>
      </c>
      <c r="P35" t="e">
        <f>AND('STERLING CATALOG - DRY '!H623,"AAAAAHe/bw8=")</f>
        <v>#VALUE!</v>
      </c>
      <c r="Q35" t="e">
        <f>AND('STERLING CATALOG - DRY '!I623,"AAAAAHe/bxA=")</f>
        <v>#VALUE!</v>
      </c>
      <c r="R35" t="e">
        <f>AND('STERLING CATALOG - DRY '!J623,"AAAAAHe/bxE=")</f>
        <v>#VALUE!</v>
      </c>
      <c r="S35">
        <f>IF('STERLING CATALOG - DRY '!624:624,"AAAAAHe/bxI=",0)</f>
        <v>0</v>
      </c>
      <c r="T35" t="e">
        <f>AND('STERLING CATALOG - DRY '!A624,"AAAAAHe/bxM=")</f>
        <v>#VALUE!</v>
      </c>
      <c r="U35" t="e">
        <f>AND('STERLING CATALOG - DRY '!B624,"AAAAAHe/bxQ=")</f>
        <v>#VALUE!</v>
      </c>
      <c r="V35" t="e">
        <f>AND('STERLING CATALOG - DRY '!C624,"AAAAAHe/bxU=")</f>
        <v>#VALUE!</v>
      </c>
      <c r="W35" t="e">
        <f>AND('STERLING CATALOG - DRY '!D624,"AAAAAHe/bxY=")</f>
        <v>#VALUE!</v>
      </c>
      <c r="X35" t="e">
        <f>AND('STERLING CATALOG - DRY '!E624,"AAAAAHe/bxc=")</f>
        <v>#VALUE!</v>
      </c>
      <c r="Y35" t="e">
        <f>AND('STERLING CATALOG - DRY '!F624,"AAAAAHe/bxg=")</f>
        <v>#VALUE!</v>
      </c>
      <c r="Z35" t="e">
        <f>AND('STERLING CATALOG - DRY '!G624,"AAAAAHe/bxk=")</f>
        <v>#VALUE!</v>
      </c>
      <c r="AA35" t="e">
        <f>AND('STERLING CATALOG - DRY '!H624,"AAAAAHe/bxo=")</f>
        <v>#VALUE!</v>
      </c>
      <c r="AB35" t="e">
        <f>AND('STERLING CATALOG - DRY '!I624,"AAAAAHe/bxs=")</f>
        <v>#VALUE!</v>
      </c>
      <c r="AC35" t="e">
        <f>AND('STERLING CATALOG - DRY '!J624,"AAAAAHe/bxw=")</f>
        <v>#VALUE!</v>
      </c>
      <c r="AD35">
        <f>IF('STERLING CATALOG - DRY '!625:625,"AAAAAHe/bx0=",0)</f>
        <v>0</v>
      </c>
      <c r="AE35" t="e">
        <f>AND('STERLING CATALOG - DRY '!A625,"AAAAAHe/bx4=")</f>
        <v>#VALUE!</v>
      </c>
      <c r="AF35" t="e">
        <f>AND('STERLING CATALOG - DRY '!B625,"AAAAAHe/bx8=")</f>
        <v>#VALUE!</v>
      </c>
      <c r="AG35" t="e">
        <f>AND('STERLING CATALOG - DRY '!C625,"AAAAAHe/byA=")</f>
        <v>#VALUE!</v>
      </c>
      <c r="AH35" t="e">
        <f>AND('STERLING CATALOG - DRY '!D625,"AAAAAHe/byE=")</f>
        <v>#VALUE!</v>
      </c>
      <c r="AI35" t="e">
        <f>AND('STERLING CATALOG - DRY '!E625,"AAAAAHe/byI=")</f>
        <v>#VALUE!</v>
      </c>
      <c r="AJ35" t="e">
        <f>AND('STERLING CATALOG - DRY '!F625,"AAAAAHe/byM=")</f>
        <v>#VALUE!</v>
      </c>
      <c r="AK35" t="e">
        <f>AND('STERLING CATALOG - DRY '!G625,"AAAAAHe/byQ=")</f>
        <v>#VALUE!</v>
      </c>
      <c r="AL35" t="e">
        <f>AND('STERLING CATALOG - DRY '!H625,"AAAAAHe/byU=")</f>
        <v>#VALUE!</v>
      </c>
      <c r="AM35" t="e">
        <f>AND('STERLING CATALOG - DRY '!I625,"AAAAAHe/byY=")</f>
        <v>#VALUE!</v>
      </c>
      <c r="AN35" t="e">
        <f>AND('STERLING CATALOG - DRY '!J625,"AAAAAHe/byc=")</f>
        <v>#VALUE!</v>
      </c>
      <c r="AO35">
        <f>IF('STERLING CATALOG - DRY '!626:626,"AAAAAHe/byg=",0)</f>
        <v>0</v>
      </c>
      <c r="AP35" t="e">
        <f>AND('STERLING CATALOG - DRY '!A626,"AAAAAHe/byk=")</f>
        <v>#VALUE!</v>
      </c>
      <c r="AQ35" t="e">
        <f>AND('STERLING CATALOG - DRY '!B626,"AAAAAHe/byo=")</f>
        <v>#VALUE!</v>
      </c>
      <c r="AR35" t="e">
        <f>AND('STERLING CATALOG - DRY '!C626,"AAAAAHe/bys=")</f>
        <v>#VALUE!</v>
      </c>
      <c r="AS35" t="e">
        <f>AND('STERLING CATALOG - DRY '!D626,"AAAAAHe/byw=")</f>
        <v>#VALUE!</v>
      </c>
      <c r="AT35" t="e">
        <f>AND('STERLING CATALOG - DRY '!E626,"AAAAAHe/by0=")</f>
        <v>#VALUE!</v>
      </c>
      <c r="AU35" t="e">
        <f>AND('STERLING CATALOG - DRY '!F626,"AAAAAHe/by4=")</f>
        <v>#VALUE!</v>
      </c>
      <c r="AV35" t="e">
        <f>AND('STERLING CATALOG - DRY '!G626,"AAAAAHe/by8=")</f>
        <v>#VALUE!</v>
      </c>
      <c r="AW35" t="e">
        <f>AND('STERLING CATALOG - DRY '!H626,"AAAAAHe/bzA=")</f>
        <v>#VALUE!</v>
      </c>
      <c r="AX35" t="e">
        <f>AND('STERLING CATALOG - DRY '!I626,"AAAAAHe/bzE=")</f>
        <v>#VALUE!</v>
      </c>
      <c r="AY35" t="e">
        <f>AND('STERLING CATALOG - DRY '!J626,"AAAAAHe/bzI=")</f>
        <v>#VALUE!</v>
      </c>
      <c r="AZ35">
        <f>IF('STERLING CATALOG - DRY '!627:627,"AAAAAHe/bzM=",0)</f>
        <v>0</v>
      </c>
      <c r="BA35" t="e">
        <f>AND('STERLING CATALOG - DRY '!A627,"AAAAAHe/bzQ=")</f>
        <v>#VALUE!</v>
      </c>
      <c r="BB35" t="e">
        <f>AND('STERLING CATALOG - DRY '!B627,"AAAAAHe/bzU=")</f>
        <v>#VALUE!</v>
      </c>
      <c r="BC35" t="e">
        <f>AND('STERLING CATALOG - DRY '!C627,"AAAAAHe/bzY=")</f>
        <v>#VALUE!</v>
      </c>
      <c r="BD35" t="e">
        <f>AND('STERLING CATALOG - DRY '!D627,"AAAAAHe/bzc=")</f>
        <v>#VALUE!</v>
      </c>
      <c r="BE35" t="e">
        <f>AND('STERLING CATALOG - DRY '!E627,"AAAAAHe/bzg=")</f>
        <v>#VALUE!</v>
      </c>
      <c r="BF35" t="e">
        <f>AND('STERLING CATALOG - DRY '!F627,"AAAAAHe/bzk=")</f>
        <v>#VALUE!</v>
      </c>
      <c r="BG35" t="e">
        <f>AND('STERLING CATALOG - DRY '!G627,"AAAAAHe/bzo=")</f>
        <v>#VALUE!</v>
      </c>
      <c r="BH35" t="e">
        <f>AND('STERLING CATALOG - DRY '!H627,"AAAAAHe/bzs=")</f>
        <v>#VALUE!</v>
      </c>
      <c r="BI35" t="e">
        <f>AND('STERLING CATALOG - DRY '!I627,"AAAAAHe/bzw=")</f>
        <v>#VALUE!</v>
      </c>
      <c r="BJ35" t="e">
        <f>AND('STERLING CATALOG - DRY '!J627,"AAAAAHe/bz0=")</f>
        <v>#VALUE!</v>
      </c>
      <c r="BK35">
        <f>IF('STERLING CATALOG - DRY '!628:628,"AAAAAHe/bz4=",0)</f>
        <v>0</v>
      </c>
      <c r="BL35" t="e">
        <f>AND('STERLING CATALOG - DRY '!A628,"AAAAAHe/bz8=")</f>
        <v>#VALUE!</v>
      </c>
      <c r="BM35" t="e">
        <f>AND('STERLING CATALOG - DRY '!B628,"AAAAAHe/b0A=")</f>
        <v>#VALUE!</v>
      </c>
      <c r="BN35" t="e">
        <f>AND('STERLING CATALOG - DRY '!C628,"AAAAAHe/b0E=")</f>
        <v>#VALUE!</v>
      </c>
      <c r="BO35" t="e">
        <f>AND('STERLING CATALOG - DRY '!D628,"AAAAAHe/b0I=")</f>
        <v>#VALUE!</v>
      </c>
      <c r="BP35" t="e">
        <f>AND('STERLING CATALOG - DRY '!E628,"AAAAAHe/b0M=")</f>
        <v>#VALUE!</v>
      </c>
      <c r="BQ35" t="e">
        <f>AND('STERLING CATALOG - DRY '!F628,"AAAAAHe/b0Q=")</f>
        <v>#VALUE!</v>
      </c>
      <c r="BR35" t="e">
        <f>AND('STERLING CATALOG - DRY '!G628,"AAAAAHe/b0U=")</f>
        <v>#VALUE!</v>
      </c>
      <c r="BS35" t="e">
        <f>AND('STERLING CATALOG - DRY '!H628,"AAAAAHe/b0Y=")</f>
        <v>#VALUE!</v>
      </c>
      <c r="BT35" t="e">
        <f>AND('STERLING CATALOG - DRY '!I628,"AAAAAHe/b0c=")</f>
        <v>#VALUE!</v>
      </c>
      <c r="BU35" t="e">
        <f>AND('STERLING CATALOG - DRY '!J628,"AAAAAHe/b0g=")</f>
        <v>#VALUE!</v>
      </c>
      <c r="BV35">
        <f>IF('STERLING CATALOG - DRY '!629:629,"AAAAAHe/b0k=",0)</f>
        <v>0</v>
      </c>
      <c r="BW35" t="e">
        <f>AND('STERLING CATALOG - DRY '!A629,"AAAAAHe/b0o=")</f>
        <v>#VALUE!</v>
      </c>
      <c r="BX35" t="e">
        <f>AND('STERLING CATALOG - DRY '!B629,"AAAAAHe/b0s=")</f>
        <v>#VALUE!</v>
      </c>
      <c r="BY35" t="e">
        <f>AND('STERLING CATALOG - DRY '!C629,"AAAAAHe/b0w=")</f>
        <v>#VALUE!</v>
      </c>
      <c r="BZ35" t="e">
        <f>AND('STERLING CATALOG - DRY '!D629,"AAAAAHe/b00=")</f>
        <v>#VALUE!</v>
      </c>
      <c r="CA35" t="e">
        <f>AND('STERLING CATALOG - DRY '!E629,"AAAAAHe/b04=")</f>
        <v>#VALUE!</v>
      </c>
      <c r="CB35" t="e">
        <f>AND('STERLING CATALOG - DRY '!F629,"AAAAAHe/b08=")</f>
        <v>#VALUE!</v>
      </c>
      <c r="CC35" t="e">
        <f>AND('STERLING CATALOG - DRY '!G629,"AAAAAHe/b1A=")</f>
        <v>#VALUE!</v>
      </c>
      <c r="CD35" t="e">
        <f>AND('STERLING CATALOG - DRY '!H629,"AAAAAHe/b1E=")</f>
        <v>#VALUE!</v>
      </c>
      <c r="CE35" t="e">
        <f>AND('STERLING CATALOG - DRY '!I629,"AAAAAHe/b1I=")</f>
        <v>#VALUE!</v>
      </c>
      <c r="CF35" t="e">
        <f>AND('STERLING CATALOG - DRY '!J629,"AAAAAHe/b1M=")</f>
        <v>#VALUE!</v>
      </c>
      <c r="CG35">
        <f>IF('STERLING CATALOG - DRY '!630:630,"AAAAAHe/b1Q=",0)</f>
        <v>0</v>
      </c>
      <c r="CH35" t="e">
        <f>AND('STERLING CATALOG - DRY '!A630,"AAAAAHe/b1U=")</f>
        <v>#VALUE!</v>
      </c>
      <c r="CI35" t="e">
        <f>AND('STERLING CATALOG - DRY '!B630,"AAAAAHe/b1Y=")</f>
        <v>#VALUE!</v>
      </c>
      <c r="CJ35" t="e">
        <f>AND('STERLING CATALOG - DRY '!C630,"AAAAAHe/b1c=")</f>
        <v>#VALUE!</v>
      </c>
      <c r="CK35" t="e">
        <f>AND('STERLING CATALOG - DRY '!D630,"AAAAAHe/b1g=")</f>
        <v>#VALUE!</v>
      </c>
      <c r="CL35" t="e">
        <f>AND('STERLING CATALOG - DRY '!E630,"AAAAAHe/b1k=")</f>
        <v>#VALUE!</v>
      </c>
      <c r="CM35" t="e">
        <f>AND('STERLING CATALOG - DRY '!F630,"AAAAAHe/b1o=")</f>
        <v>#VALUE!</v>
      </c>
      <c r="CN35" t="e">
        <f>AND('STERLING CATALOG - DRY '!G630,"AAAAAHe/b1s=")</f>
        <v>#VALUE!</v>
      </c>
      <c r="CO35" t="e">
        <f>AND('STERLING CATALOG - DRY '!H630,"AAAAAHe/b1w=")</f>
        <v>#VALUE!</v>
      </c>
      <c r="CP35" t="e">
        <f>AND('STERLING CATALOG - DRY '!I630,"AAAAAHe/b10=")</f>
        <v>#VALUE!</v>
      </c>
      <c r="CQ35" t="e">
        <f>AND('STERLING CATALOG - DRY '!J630,"AAAAAHe/b14=")</f>
        <v>#VALUE!</v>
      </c>
      <c r="CR35">
        <f>IF('STERLING CATALOG - DRY '!631:631,"AAAAAHe/b18=",0)</f>
        <v>0</v>
      </c>
      <c r="CS35" t="e">
        <f>AND('STERLING CATALOG - DRY '!A631,"AAAAAHe/b2A=")</f>
        <v>#VALUE!</v>
      </c>
      <c r="CT35" t="e">
        <f>AND('STERLING CATALOG - DRY '!B631,"AAAAAHe/b2E=")</f>
        <v>#VALUE!</v>
      </c>
      <c r="CU35" t="e">
        <f>AND('STERLING CATALOG - DRY '!C631,"AAAAAHe/b2I=")</f>
        <v>#VALUE!</v>
      </c>
      <c r="CV35" t="e">
        <f>AND('STERLING CATALOG - DRY '!D631,"AAAAAHe/b2M=")</f>
        <v>#VALUE!</v>
      </c>
      <c r="CW35" t="e">
        <f>AND('STERLING CATALOG - DRY '!E631,"AAAAAHe/b2Q=")</f>
        <v>#VALUE!</v>
      </c>
      <c r="CX35" t="e">
        <f>AND('STERLING CATALOG - DRY '!F631,"AAAAAHe/b2U=")</f>
        <v>#VALUE!</v>
      </c>
      <c r="CY35" t="e">
        <f>AND('STERLING CATALOG - DRY '!G631,"AAAAAHe/b2Y=")</f>
        <v>#VALUE!</v>
      </c>
      <c r="CZ35" t="e">
        <f>AND('STERLING CATALOG - DRY '!H631,"AAAAAHe/b2c=")</f>
        <v>#VALUE!</v>
      </c>
      <c r="DA35" t="e">
        <f>AND('STERLING CATALOG - DRY '!I631,"AAAAAHe/b2g=")</f>
        <v>#VALUE!</v>
      </c>
      <c r="DB35" t="e">
        <f>AND('STERLING CATALOG - DRY '!J631,"AAAAAHe/b2k=")</f>
        <v>#VALUE!</v>
      </c>
      <c r="DC35">
        <f>IF('STERLING CATALOG - DRY '!632:632,"AAAAAHe/b2o=",0)</f>
        <v>0</v>
      </c>
      <c r="DD35" t="e">
        <f>AND('STERLING CATALOG - DRY '!A632,"AAAAAHe/b2s=")</f>
        <v>#VALUE!</v>
      </c>
      <c r="DE35" t="e">
        <f>AND('STERLING CATALOG - DRY '!B632,"AAAAAHe/b2w=")</f>
        <v>#VALUE!</v>
      </c>
      <c r="DF35" t="e">
        <f>AND('STERLING CATALOG - DRY '!C632,"AAAAAHe/b20=")</f>
        <v>#VALUE!</v>
      </c>
      <c r="DG35" t="e">
        <f>AND('STERLING CATALOG - DRY '!D632,"AAAAAHe/b24=")</f>
        <v>#VALUE!</v>
      </c>
      <c r="DH35" t="e">
        <f>AND('STERLING CATALOG - DRY '!E632,"AAAAAHe/b28=")</f>
        <v>#VALUE!</v>
      </c>
      <c r="DI35" t="e">
        <f>AND('STERLING CATALOG - DRY '!F632,"AAAAAHe/b3A=")</f>
        <v>#VALUE!</v>
      </c>
      <c r="DJ35" t="e">
        <f>AND('STERLING CATALOG - DRY '!G632,"AAAAAHe/b3E=")</f>
        <v>#VALUE!</v>
      </c>
      <c r="DK35" t="e">
        <f>AND('STERLING CATALOG - DRY '!H632,"AAAAAHe/b3I=")</f>
        <v>#VALUE!</v>
      </c>
      <c r="DL35" t="e">
        <f>AND('STERLING CATALOG - DRY '!I632,"AAAAAHe/b3M=")</f>
        <v>#VALUE!</v>
      </c>
      <c r="DM35" t="e">
        <f>AND('STERLING CATALOG - DRY '!J632,"AAAAAHe/b3Q=")</f>
        <v>#VALUE!</v>
      </c>
      <c r="DN35">
        <f>IF('STERLING CATALOG - DRY '!633:633,"AAAAAHe/b3U=",0)</f>
        <v>0</v>
      </c>
      <c r="DO35" t="e">
        <f>AND('STERLING CATALOG - DRY '!A633,"AAAAAHe/b3Y=")</f>
        <v>#VALUE!</v>
      </c>
      <c r="DP35" t="e">
        <f>AND('STERLING CATALOG - DRY '!B633,"AAAAAHe/b3c=")</f>
        <v>#VALUE!</v>
      </c>
      <c r="DQ35" t="e">
        <f>AND('STERLING CATALOG - DRY '!C633,"AAAAAHe/b3g=")</f>
        <v>#VALUE!</v>
      </c>
      <c r="DR35" t="e">
        <f>AND('STERLING CATALOG - DRY '!D633,"AAAAAHe/b3k=")</f>
        <v>#VALUE!</v>
      </c>
      <c r="DS35" t="e">
        <f>AND('STERLING CATALOG - DRY '!E633,"AAAAAHe/b3o=")</f>
        <v>#VALUE!</v>
      </c>
      <c r="DT35" t="e">
        <f>AND('STERLING CATALOG - DRY '!F633,"AAAAAHe/b3s=")</f>
        <v>#VALUE!</v>
      </c>
      <c r="DU35" t="e">
        <f>AND('STERLING CATALOG - DRY '!G633,"AAAAAHe/b3w=")</f>
        <v>#VALUE!</v>
      </c>
      <c r="DV35" t="e">
        <f>AND('STERLING CATALOG - DRY '!H633,"AAAAAHe/b30=")</f>
        <v>#VALUE!</v>
      </c>
      <c r="DW35" t="e">
        <f>AND('STERLING CATALOG - DRY '!I633,"AAAAAHe/b34=")</f>
        <v>#VALUE!</v>
      </c>
      <c r="DX35" t="e">
        <f>AND('STERLING CATALOG - DRY '!J633,"AAAAAHe/b38=")</f>
        <v>#VALUE!</v>
      </c>
      <c r="DY35">
        <f>IF('STERLING CATALOG - DRY '!634:634,"AAAAAHe/b4A=",0)</f>
        <v>0</v>
      </c>
      <c r="DZ35" t="e">
        <f>AND('STERLING CATALOG - DRY '!A634,"AAAAAHe/b4E=")</f>
        <v>#VALUE!</v>
      </c>
      <c r="EA35" t="e">
        <f>AND('STERLING CATALOG - DRY '!B634,"AAAAAHe/b4I=")</f>
        <v>#VALUE!</v>
      </c>
      <c r="EB35" t="e">
        <f>AND('STERLING CATALOG - DRY '!C634,"AAAAAHe/b4M=")</f>
        <v>#VALUE!</v>
      </c>
      <c r="EC35" t="e">
        <f>AND('STERLING CATALOG - DRY '!D634,"AAAAAHe/b4Q=")</f>
        <v>#VALUE!</v>
      </c>
      <c r="ED35" t="e">
        <f>AND('STERLING CATALOG - DRY '!E634,"AAAAAHe/b4U=")</f>
        <v>#VALUE!</v>
      </c>
      <c r="EE35" t="e">
        <f>AND('STERLING CATALOG - DRY '!F634,"AAAAAHe/b4Y=")</f>
        <v>#VALUE!</v>
      </c>
      <c r="EF35" t="e">
        <f>AND('STERLING CATALOG - DRY '!G634,"AAAAAHe/b4c=")</f>
        <v>#VALUE!</v>
      </c>
      <c r="EG35" t="e">
        <f>AND('STERLING CATALOG - DRY '!H634,"AAAAAHe/b4g=")</f>
        <v>#VALUE!</v>
      </c>
      <c r="EH35" t="e">
        <f>AND('STERLING CATALOG - DRY '!I634,"AAAAAHe/b4k=")</f>
        <v>#VALUE!</v>
      </c>
      <c r="EI35" t="e">
        <f>AND('STERLING CATALOG - DRY '!J634,"AAAAAHe/b4o=")</f>
        <v>#VALUE!</v>
      </c>
      <c r="EJ35">
        <f>IF('STERLING CATALOG - DRY '!635:635,"AAAAAHe/b4s=",0)</f>
        <v>0</v>
      </c>
      <c r="EK35" t="e">
        <f>AND('STERLING CATALOG - DRY '!A635,"AAAAAHe/b4w=")</f>
        <v>#VALUE!</v>
      </c>
      <c r="EL35" t="e">
        <f>AND('STERLING CATALOG - DRY '!B635,"AAAAAHe/b40=")</f>
        <v>#VALUE!</v>
      </c>
      <c r="EM35" t="e">
        <f>AND('STERLING CATALOG - DRY '!C635,"AAAAAHe/b44=")</f>
        <v>#VALUE!</v>
      </c>
      <c r="EN35" t="e">
        <f>AND('STERLING CATALOG - DRY '!D635,"AAAAAHe/b48=")</f>
        <v>#VALUE!</v>
      </c>
      <c r="EO35" t="e">
        <f>AND('STERLING CATALOG - DRY '!E635,"AAAAAHe/b5A=")</f>
        <v>#VALUE!</v>
      </c>
      <c r="EP35" t="e">
        <f>AND('STERLING CATALOG - DRY '!F635,"AAAAAHe/b5E=")</f>
        <v>#VALUE!</v>
      </c>
      <c r="EQ35" t="e">
        <f>AND('STERLING CATALOG - DRY '!G635,"AAAAAHe/b5I=")</f>
        <v>#VALUE!</v>
      </c>
      <c r="ER35" t="e">
        <f>AND('STERLING CATALOG - DRY '!H635,"AAAAAHe/b5M=")</f>
        <v>#VALUE!</v>
      </c>
      <c r="ES35" t="e">
        <f>AND('STERLING CATALOG - DRY '!I635,"AAAAAHe/b5Q=")</f>
        <v>#VALUE!</v>
      </c>
      <c r="ET35" t="e">
        <f>AND('STERLING CATALOG - DRY '!J635,"AAAAAHe/b5U=")</f>
        <v>#VALUE!</v>
      </c>
      <c r="EU35">
        <f>IF('STERLING CATALOG - DRY '!636:636,"AAAAAHe/b5Y=",0)</f>
        <v>0</v>
      </c>
      <c r="EV35" t="e">
        <f>AND('STERLING CATALOG - DRY '!A636,"AAAAAHe/b5c=")</f>
        <v>#VALUE!</v>
      </c>
      <c r="EW35" t="e">
        <f>AND('STERLING CATALOG - DRY '!B636,"AAAAAHe/b5g=")</f>
        <v>#VALUE!</v>
      </c>
      <c r="EX35" t="e">
        <f>AND('STERLING CATALOG - DRY '!C636,"AAAAAHe/b5k=")</f>
        <v>#VALUE!</v>
      </c>
      <c r="EY35" t="e">
        <f>AND('STERLING CATALOG - DRY '!D636,"AAAAAHe/b5o=")</f>
        <v>#VALUE!</v>
      </c>
      <c r="EZ35" t="e">
        <f>AND('STERLING CATALOG - DRY '!E636,"AAAAAHe/b5s=")</f>
        <v>#VALUE!</v>
      </c>
      <c r="FA35" t="e">
        <f>AND('STERLING CATALOG - DRY '!F636,"AAAAAHe/b5w=")</f>
        <v>#VALUE!</v>
      </c>
      <c r="FB35" t="e">
        <f>AND('STERLING CATALOG - DRY '!G636,"AAAAAHe/b50=")</f>
        <v>#VALUE!</v>
      </c>
      <c r="FC35" t="e">
        <f>AND('STERLING CATALOG - DRY '!H636,"AAAAAHe/b54=")</f>
        <v>#VALUE!</v>
      </c>
      <c r="FD35" t="e">
        <f>AND('STERLING CATALOG - DRY '!I636,"AAAAAHe/b58=")</f>
        <v>#VALUE!</v>
      </c>
      <c r="FE35" t="e">
        <f>AND('STERLING CATALOG - DRY '!J636,"AAAAAHe/b6A=")</f>
        <v>#VALUE!</v>
      </c>
      <c r="FF35">
        <f>IF('STERLING CATALOG - DRY '!637:637,"AAAAAHe/b6E=",0)</f>
        <v>0</v>
      </c>
      <c r="FG35" t="e">
        <f>AND('STERLING CATALOG - DRY '!A637,"AAAAAHe/b6I=")</f>
        <v>#VALUE!</v>
      </c>
      <c r="FH35" t="e">
        <f>AND('STERLING CATALOG - DRY '!B637,"AAAAAHe/b6M=")</f>
        <v>#VALUE!</v>
      </c>
      <c r="FI35" t="e">
        <f>AND('STERLING CATALOG - DRY '!C637,"AAAAAHe/b6Q=")</f>
        <v>#VALUE!</v>
      </c>
      <c r="FJ35" t="e">
        <f>AND('STERLING CATALOG - DRY '!D637,"AAAAAHe/b6U=")</f>
        <v>#VALUE!</v>
      </c>
      <c r="FK35" t="e">
        <f>AND('STERLING CATALOG - DRY '!E637,"AAAAAHe/b6Y=")</f>
        <v>#VALUE!</v>
      </c>
      <c r="FL35" t="e">
        <f>AND('STERLING CATALOG - DRY '!F637,"AAAAAHe/b6c=")</f>
        <v>#VALUE!</v>
      </c>
      <c r="FM35" t="e">
        <f>AND('STERLING CATALOG - DRY '!G637,"AAAAAHe/b6g=")</f>
        <v>#VALUE!</v>
      </c>
      <c r="FN35" t="e">
        <f>AND('STERLING CATALOG - DRY '!H637,"AAAAAHe/b6k=")</f>
        <v>#VALUE!</v>
      </c>
      <c r="FO35" t="e">
        <f>AND('STERLING CATALOG - DRY '!I637,"AAAAAHe/b6o=")</f>
        <v>#VALUE!</v>
      </c>
      <c r="FP35" t="e">
        <f>AND('STERLING CATALOG - DRY '!J637,"AAAAAHe/b6s=")</f>
        <v>#VALUE!</v>
      </c>
      <c r="FQ35">
        <f>IF('STERLING CATALOG - DRY '!638:638,"AAAAAHe/b6w=",0)</f>
        <v>0</v>
      </c>
      <c r="FR35" t="e">
        <f>AND('STERLING CATALOG - DRY '!A638,"AAAAAHe/b60=")</f>
        <v>#VALUE!</v>
      </c>
      <c r="FS35" t="e">
        <f>AND('STERLING CATALOG - DRY '!B638,"AAAAAHe/b64=")</f>
        <v>#VALUE!</v>
      </c>
      <c r="FT35" t="e">
        <f>AND('STERLING CATALOG - DRY '!C638,"AAAAAHe/b68=")</f>
        <v>#VALUE!</v>
      </c>
      <c r="FU35" t="e">
        <f>AND('STERLING CATALOG - DRY '!D638,"AAAAAHe/b7A=")</f>
        <v>#VALUE!</v>
      </c>
      <c r="FV35" t="e">
        <f>AND('STERLING CATALOG - DRY '!E638,"AAAAAHe/b7E=")</f>
        <v>#VALUE!</v>
      </c>
      <c r="FW35" t="e">
        <f>AND('STERLING CATALOG - DRY '!F638,"AAAAAHe/b7I=")</f>
        <v>#VALUE!</v>
      </c>
      <c r="FX35" t="e">
        <f>AND('STERLING CATALOG - DRY '!G638,"AAAAAHe/b7M=")</f>
        <v>#VALUE!</v>
      </c>
      <c r="FY35" t="e">
        <f>AND('STERLING CATALOG - DRY '!H638,"AAAAAHe/b7Q=")</f>
        <v>#VALUE!</v>
      </c>
      <c r="FZ35" t="e">
        <f>AND('STERLING CATALOG - DRY '!I638,"AAAAAHe/b7U=")</f>
        <v>#VALUE!</v>
      </c>
      <c r="GA35" t="e">
        <f>AND('STERLING CATALOG - DRY '!J638,"AAAAAHe/b7Y=")</f>
        <v>#VALUE!</v>
      </c>
      <c r="GB35">
        <f>IF('STERLING CATALOG - DRY '!639:639,"AAAAAHe/b7c=",0)</f>
        <v>0</v>
      </c>
      <c r="GC35" t="e">
        <f>AND('STERLING CATALOG - DRY '!A639,"AAAAAHe/b7g=")</f>
        <v>#VALUE!</v>
      </c>
      <c r="GD35" t="e">
        <f>AND('STERLING CATALOG - DRY '!B639,"AAAAAHe/b7k=")</f>
        <v>#VALUE!</v>
      </c>
      <c r="GE35" t="e">
        <f>AND('STERLING CATALOG - DRY '!C639,"AAAAAHe/b7o=")</f>
        <v>#VALUE!</v>
      </c>
      <c r="GF35" t="e">
        <f>AND('STERLING CATALOG - DRY '!D639,"AAAAAHe/b7s=")</f>
        <v>#VALUE!</v>
      </c>
      <c r="GG35" t="e">
        <f>AND('STERLING CATALOG - DRY '!E639,"AAAAAHe/b7w=")</f>
        <v>#VALUE!</v>
      </c>
      <c r="GH35" t="e">
        <f>AND('STERLING CATALOG - DRY '!F639,"AAAAAHe/b70=")</f>
        <v>#VALUE!</v>
      </c>
      <c r="GI35" t="e">
        <f>AND('STERLING CATALOG - DRY '!G639,"AAAAAHe/b74=")</f>
        <v>#VALUE!</v>
      </c>
      <c r="GJ35" t="e">
        <f>AND('STERLING CATALOG - DRY '!H639,"AAAAAHe/b78=")</f>
        <v>#VALUE!</v>
      </c>
      <c r="GK35" t="e">
        <f>AND('STERLING CATALOG - DRY '!I639,"AAAAAHe/b8A=")</f>
        <v>#VALUE!</v>
      </c>
      <c r="GL35" t="e">
        <f>AND('STERLING CATALOG - DRY '!J639,"AAAAAHe/b8E=")</f>
        <v>#VALUE!</v>
      </c>
      <c r="GM35">
        <f>IF('STERLING CATALOG - DRY '!640:640,"AAAAAHe/b8I=",0)</f>
        <v>0</v>
      </c>
      <c r="GN35" t="e">
        <f>AND('STERLING CATALOG - DRY '!A640,"AAAAAHe/b8M=")</f>
        <v>#VALUE!</v>
      </c>
      <c r="GO35" t="e">
        <f>AND('STERLING CATALOG - DRY '!B640,"AAAAAHe/b8Q=")</f>
        <v>#VALUE!</v>
      </c>
      <c r="GP35" t="e">
        <f>AND('STERLING CATALOG - DRY '!C640,"AAAAAHe/b8U=")</f>
        <v>#VALUE!</v>
      </c>
      <c r="GQ35" t="e">
        <f>AND('STERLING CATALOG - DRY '!D640,"AAAAAHe/b8Y=")</f>
        <v>#VALUE!</v>
      </c>
      <c r="GR35" t="e">
        <f>AND('STERLING CATALOG - DRY '!E640,"AAAAAHe/b8c=")</f>
        <v>#VALUE!</v>
      </c>
      <c r="GS35" t="e">
        <f>AND('STERLING CATALOG - DRY '!F640,"AAAAAHe/b8g=")</f>
        <v>#VALUE!</v>
      </c>
      <c r="GT35" t="e">
        <f>AND('STERLING CATALOG - DRY '!G640,"AAAAAHe/b8k=")</f>
        <v>#VALUE!</v>
      </c>
      <c r="GU35" t="e">
        <f>AND('STERLING CATALOG - DRY '!H640,"AAAAAHe/b8o=")</f>
        <v>#VALUE!</v>
      </c>
      <c r="GV35" t="e">
        <f>AND('STERLING CATALOG - DRY '!I640,"AAAAAHe/b8s=")</f>
        <v>#VALUE!</v>
      </c>
      <c r="GW35" t="e">
        <f>AND('STERLING CATALOG - DRY '!J640,"AAAAAHe/b8w=")</f>
        <v>#VALUE!</v>
      </c>
      <c r="GX35">
        <f>IF('STERLING CATALOG - DRY '!641:641,"AAAAAHe/b80=",0)</f>
        <v>0</v>
      </c>
      <c r="GY35" t="e">
        <f>AND('STERLING CATALOG - DRY '!A641,"AAAAAHe/b84=")</f>
        <v>#VALUE!</v>
      </c>
      <c r="GZ35" t="e">
        <f>AND('STERLING CATALOG - DRY '!B641,"AAAAAHe/b88=")</f>
        <v>#VALUE!</v>
      </c>
      <c r="HA35" t="e">
        <f>AND('STERLING CATALOG - DRY '!C641,"AAAAAHe/b9A=")</f>
        <v>#VALUE!</v>
      </c>
      <c r="HB35" t="e">
        <f>AND('STERLING CATALOG - DRY '!D641,"AAAAAHe/b9E=")</f>
        <v>#VALUE!</v>
      </c>
      <c r="HC35" t="e">
        <f>AND('STERLING CATALOG - DRY '!E641,"AAAAAHe/b9I=")</f>
        <v>#VALUE!</v>
      </c>
      <c r="HD35" t="e">
        <f>AND('STERLING CATALOG - DRY '!F641,"AAAAAHe/b9M=")</f>
        <v>#VALUE!</v>
      </c>
      <c r="HE35" t="e">
        <f>AND('STERLING CATALOG - DRY '!G641,"AAAAAHe/b9Q=")</f>
        <v>#VALUE!</v>
      </c>
      <c r="HF35" t="e">
        <f>AND('STERLING CATALOG - DRY '!H641,"AAAAAHe/b9U=")</f>
        <v>#VALUE!</v>
      </c>
      <c r="HG35" t="e">
        <f>AND('STERLING CATALOG - DRY '!I641,"AAAAAHe/b9Y=")</f>
        <v>#VALUE!</v>
      </c>
      <c r="HH35" t="e">
        <f>AND('STERLING CATALOG - DRY '!J641,"AAAAAHe/b9c=")</f>
        <v>#VALUE!</v>
      </c>
      <c r="HI35">
        <f>IF('STERLING CATALOG - DRY '!642:642,"AAAAAHe/b9g=",0)</f>
        <v>0</v>
      </c>
      <c r="HJ35" t="e">
        <f>AND('STERLING CATALOG - DRY '!A642,"AAAAAHe/b9k=")</f>
        <v>#VALUE!</v>
      </c>
      <c r="HK35" t="e">
        <f>AND('STERLING CATALOG - DRY '!B642,"AAAAAHe/b9o=")</f>
        <v>#VALUE!</v>
      </c>
      <c r="HL35" t="e">
        <f>AND('STERLING CATALOG - DRY '!C642,"AAAAAHe/b9s=")</f>
        <v>#VALUE!</v>
      </c>
      <c r="HM35" t="e">
        <f>AND('STERLING CATALOG - DRY '!D642,"AAAAAHe/b9w=")</f>
        <v>#VALUE!</v>
      </c>
      <c r="HN35" t="e">
        <f>AND('STERLING CATALOG - DRY '!E642,"AAAAAHe/b90=")</f>
        <v>#VALUE!</v>
      </c>
      <c r="HO35" t="e">
        <f>AND('STERLING CATALOG - DRY '!F642,"AAAAAHe/b94=")</f>
        <v>#VALUE!</v>
      </c>
      <c r="HP35" t="e">
        <f>AND('STERLING CATALOG - DRY '!G642,"AAAAAHe/b98=")</f>
        <v>#VALUE!</v>
      </c>
      <c r="HQ35" t="e">
        <f>AND('STERLING CATALOG - DRY '!H642,"AAAAAHe/b+A=")</f>
        <v>#VALUE!</v>
      </c>
      <c r="HR35" t="e">
        <f>AND('STERLING CATALOG - DRY '!I642,"AAAAAHe/b+E=")</f>
        <v>#VALUE!</v>
      </c>
      <c r="HS35" t="e">
        <f>AND('STERLING CATALOG - DRY '!J642,"AAAAAHe/b+I=")</f>
        <v>#VALUE!</v>
      </c>
      <c r="HT35">
        <f>IF('STERLING CATALOG - DRY '!643:643,"AAAAAHe/b+M=",0)</f>
        <v>0</v>
      </c>
      <c r="HU35" t="e">
        <f>AND('STERLING CATALOG - DRY '!A643,"AAAAAHe/b+Q=")</f>
        <v>#VALUE!</v>
      </c>
      <c r="HV35" t="e">
        <f>AND('STERLING CATALOG - DRY '!B643,"AAAAAHe/b+U=")</f>
        <v>#VALUE!</v>
      </c>
      <c r="HW35" t="e">
        <f>AND('STERLING CATALOG - DRY '!C643,"AAAAAHe/b+Y=")</f>
        <v>#VALUE!</v>
      </c>
      <c r="HX35" t="e">
        <f>AND('STERLING CATALOG - DRY '!D643,"AAAAAHe/b+c=")</f>
        <v>#VALUE!</v>
      </c>
      <c r="HY35" t="e">
        <f>AND('STERLING CATALOG - DRY '!E643,"AAAAAHe/b+g=")</f>
        <v>#VALUE!</v>
      </c>
      <c r="HZ35" t="e">
        <f>AND('STERLING CATALOG - DRY '!F643,"AAAAAHe/b+k=")</f>
        <v>#VALUE!</v>
      </c>
      <c r="IA35" t="e">
        <f>AND('STERLING CATALOG - DRY '!G643,"AAAAAHe/b+o=")</f>
        <v>#VALUE!</v>
      </c>
      <c r="IB35" t="e">
        <f>AND('STERLING CATALOG - DRY '!H643,"AAAAAHe/b+s=")</f>
        <v>#VALUE!</v>
      </c>
      <c r="IC35" t="e">
        <f>AND('STERLING CATALOG - DRY '!I643,"AAAAAHe/b+w=")</f>
        <v>#VALUE!</v>
      </c>
      <c r="ID35" t="e">
        <f>AND('STERLING CATALOG - DRY '!J643,"AAAAAHe/b+0=")</f>
        <v>#VALUE!</v>
      </c>
      <c r="IE35">
        <f>IF('STERLING CATALOG - DRY '!644:644,"AAAAAHe/b+4=",0)</f>
        <v>0</v>
      </c>
      <c r="IF35" t="e">
        <f>AND('STERLING CATALOG - DRY '!A644,"AAAAAHe/b+8=")</f>
        <v>#VALUE!</v>
      </c>
      <c r="IG35" t="e">
        <f>AND('STERLING CATALOG - DRY '!B644,"AAAAAHe/b/A=")</f>
        <v>#VALUE!</v>
      </c>
      <c r="IH35" t="e">
        <f>AND('STERLING CATALOG - DRY '!C644,"AAAAAHe/b/E=")</f>
        <v>#VALUE!</v>
      </c>
      <c r="II35" t="e">
        <f>AND('STERLING CATALOG - DRY '!D644,"AAAAAHe/b/I=")</f>
        <v>#VALUE!</v>
      </c>
      <c r="IJ35" t="e">
        <f>AND('STERLING CATALOG - DRY '!E644,"AAAAAHe/b/M=")</f>
        <v>#VALUE!</v>
      </c>
      <c r="IK35" t="e">
        <f>AND('STERLING CATALOG - DRY '!F644,"AAAAAHe/b/Q=")</f>
        <v>#VALUE!</v>
      </c>
      <c r="IL35" t="e">
        <f>AND('STERLING CATALOG - DRY '!G644,"AAAAAHe/b/U=")</f>
        <v>#VALUE!</v>
      </c>
      <c r="IM35" t="e">
        <f>AND('STERLING CATALOG - DRY '!H644,"AAAAAHe/b/Y=")</f>
        <v>#VALUE!</v>
      </c>
      <c r="IN35" t="e">
        <f>AND('STERLING CATALOG - DRY '!I644,"AAAAAHe/b/c=")</f>
        <v>#VALUE!</v>
      </c>
      <c r="IO35" t="e">
        <f>AND('STERLING CATALOG - DRY '!J644,"AAAAAHe/b/g=")</f>
        <v>#VALUE!</v>
      </c>
      <c r="IP35">
        <f>IF('STERLING CATALOG - DRY '!645:645,"AAAAAHe/b/k=",0)</f>
        <v>0</v>
      </c>
      <c r="IQ35" t="e">
        <f>AND('STERLING CATALOG - DRY '!A645,"AAAAAHe/b/o=")</f>
        <v>#VALUE!</v>
      </c>
      <c r="IR35" t="e">
        <f>AND('STERLING CATALOG - DRY '!B645,"AAAAAHe/b/s=")</f>
        <v>#VALUE!</v>
      </c>
      <c r="IS35" t="e">
        <f>AND('STERLING CATALOG - DRY '!C645,"AAAAAHe/b/w=")</f>
        <v>#VALUE!</v>
      </c>
      <c r="IT35" t="e">
        <f>AND('STERLING CATALOG - DRY '!D645,"AAAAAHe/b/0=")</f>
        <v>#VALUE!</v>
      </c>
      <c r="IU35" t="e">
        <f>AND('STERLING CATALOG - DRY '!E645,"AAAAAHe/b/4=")</f>
        <v>#VALUE!</v>
      </c>
      <c r="IV35" t="e">
        <f>AND('STERLING CATALOG - DRY '!F645,"AAAAAHe/b/8=")</f>
        <v>#VALUE!</v>
      </c>
    </row>
    <row r="36" spans="1:256">
      <c r="A36" t="e">
        <f>AND('STERLING CATALOG - DRY '!G645,"AAAAAA22/wA=")</f>
        <v>#VALUE!</v>
      </c>
      <c r="B36" t="e">
        <f>AND('STERLING CATALOG - DRY '!H645,"AAAAAA22/wE=")</f>
        <v>#VALUE!</v>
      </c>
      <c r="C36" t="e">
        <f>AND('STERLING CATALOG - DRY '!I645,"AAAAAA22/wI=")</f>
        <v>#VALUE!</v>
      </c>
      <c r="D36" t="e">
        <f>AND('STERLING CATALOG - DRY '!J645,"AAAAAA22/wM=")</f>
        <v>#VALUE!</v>
      </c>
      <c r="E36" t="e">
        <f>IF('STERLING CATALOG - DRY '!646:646,"AAAAAA22/wQ=",0)</f>
        <v>#VALUE!</v>
      </c>
      <c r="F36" t="e">
        <f>AND('STERLING CATALOG - DRY '!A646,"AAAAAA22/wU=")</f>
        <v>#VALUE!</v>
      </c>
      <c r="G36" t="e">
        <f>AND('STERLING CATALOG - DRY '!B646,"AAAAAA22/wY=")</f>
        <v>#VALUE!</v>
      </c>
      <c r="H36" t="e">
        <f>AND('STERLING CATALOG - DRY '!C646,"AAAAAA22/wc=")</f>
        <v>#VALUE!</v>
      </c>
      <c r="I36" t="e">
        <f>AND('STERLING CATALOG - DRY '!D646,"AAAAAA22/wg=")</f>
        <v>#VALUE!</v>
      </c>
      <c r="J36" t="e">
        <f>AND('STERLING CATALOG - DRY '!E646,"AAAAAA22/wk=")</f>
        <v>#VALUE!</v>
      </c>
      <c r="K36" t="e">
        <f>AND('STERLING CATALOG - DRY '!F646,"AAAAAA22/wo=")</f>
        <v>#VALUE!</v>
      </c>
      <c r="L36" t="e">
        <f>AND('STERLING CATALOG - DRY '!G646,"AAAAAA22/ws=")</f>
        <v>#VALUE!</v>
      </c>
      <c r="M36" t="e">
        <f>AND('STERLING CATALOG - DRY '!H646,"AAAAAA22/ww=")</f>
        <v>#VALUE!</v>
      </c>
      <c r="N36" t="e">
        <f>AND('STERLING CATALOG - DRY '!I646,"AAAAAA22/w0=")</f>
        <v>#VALUE!</v>
      </c>
      <c r="O36" t="e">
        <f>AND('STERLING CATALOG - DRY '!J646,"AAAAAA22/w4=")</f>
        <v>#VALUE!</v>
      </c>
      <c r="P36">
        <f>IF('STERLING CATALOG - DRY '!647:647,"AAAAAA22/w8=",0)</f>
        <v>0</v>
      </c>
      <c r="Q36" t="e">
        <f>AND('STERLING CATALOG - DRY '!A647,"AAAAAA22/xA=")</f>
        <v>#VALUE!</v>
      </c>
      <c r="R36" t="e">
        <f>AND('STERLING CATALOG - DRY '!B647,"AAAAAA22/xE=")</f>
        <v>#VALUE!</v>
      </c>
      <c r="S36" t="e">
        <f>AND('STERLING CATALOG - DRY '!C647,"AAAAAA22/xI=")</f>
        <v>#VALUE!</v>
      </c>
      <c r="T36" t="e">
        <f>AND('STERLING CATALOG - DRY '!D647,"AAAAAA22/xM=")</f>
        <v>#VALUE!</v>
      </c>
      <c r="U36" t="e">
        <f>AND('STERLING CATALOG - DRY '!E647,"AAAAAA22/xQ=")</f>
        <v>#VALUE!</v>
      </c>
      <c r="V36" t="e">
        <f>AND('STERLING CATALOG - DRY '!F647,"AAAAAA22/xU=")</f>
        <v>#VALUE!</v>
      </c>
      <c r="W36" t="e">
        <f>AND('STERLING CATALOG - DRY '!G647,"AAAAAA22/xY=")</f>
        <v>#VALUE!</v>
      </c>
      <c r="X36" t="e">
        <f>AND('STERLING CATALOG - DRY '!H647,"AAAAAA22/xc=")</f>
        <v>#VALUE!</v>
      </c>
      <c r="Y36" t="e">
        <f>AND('STERLING CATALOG - DRY '!I647,"AAAAAA22/xg=")</f>
        <v>#VALUE!</v>
      </c>
      <c r="Z36" t="e">
        <f>AND('STERLING CATALOG - DRY '!J647,"AAAAAA22/xk=")</f>
        <v>#VALUE!</v>
      </c>
      <c r="AA36">
        <f>IF('STERLING CATALOG - DRY '!648:648,"AAAAAA22/xo=",0)</f>
        <v>0</v>
      </c>
      <c r="AB36" t="e">
        <f>AND('STERLING CATALOG - DRY '!A648,"AAAAAA22/xs=")</f>
        <v>#VALUE!</v>
      </c>
      <c r="AC36" t="e">
        <f>AND('STERLING CATALOG - DRY '!B648,"AAAAAA22/xw=")</f>
        <v>#VALUE!</v>
      </c>
      <c r="AD36" t="e">
        <f>AND('STERLING CATALOG - DRY '!C648,"AAAAAA22/x0=")</f>
        <v>#VALUE!</v>
      </c>
      <c r="AE36" t="e">
        <f>AND('STERLING CATALOG - DRY '!D648,"AAAAAA22/x4=")</f>
        <v>#VALUE!</v>
      </c>
      <c r="AF36" t="e">
        <f>AND('STERLING CATALOG - DRY '!E648,"AAAAAA22/x8=")</f>
        <v>#VALUE!</v>
      </c>
      <c r="AG36" t="e">
        <f>AND('STERLING CATALOG - DRY '!F648,"AAAAAA22/yA=")</f>
        <v>#VALUE!</v>
      </c>
      <c r="AH36" t="e">
        <f>AND('STERLING CATALOG - DRY '!G648,"AAAAAA22/yE=")</f>
        <v>#VALUE!</v>
      </c>
      <c r="AI36" t="e">
        <f>AND('STERLING CATALOG - DRY '!H648,"AAAAAA22/yI=")</f>
        <v>#VALUE!</v>
      </c>
      <c r="AJ36" t="e">
        <f>AND('STERLING CATALOG - DRY '!I648,"AAAAAA22/yM=")</f>
        <v>#VALUE!</v>
      </c>
      <c r="AK36" t="e">
        <f>AND('STERLING CATALOG - DRY '!J648,"AAAAAA22/yQ=")</f>
        <v>#VALUE!</v>
      </c>
      <c r="AL36">
        <f>IF('STERLING CATALOG - DRY '!649:649,"AAAAAA22/yU=",0)</f>
        <v>0</v>
      </c>
      <c r="AM36" t="e">
        <f>AND('STERLING CATALOG - DRY '!A649,"AAAAAA22/yY=")</f>
        <v>#VALUE!</v>
      </c>
      <c r="AN36" t="e">
        <f>AND('STERLING CATALOG - DRY '!B649,"AAAAAA22/yc=")</f>
        <v>#VALUE!</v>
      </c>
      <c r="AO36" t="e">
        <f>AND('STERLING CATALOG - DRY '!C649,"AAAAAA22/yg=")</f>
        <v>#VALUE!</v>
      </c>
      <c r="AP36" t="e">
        <f>AND('STERLING CATALOG - DRY '!D649,"AAAAAA22/yk=")</f>
        <v>#VALUE!</v>
      </c>
      <c r="AQ36" t="e">
        <f>AND('STERLING CATALOG - DRY '!E649,"AAAAAA22/yo=")</f>
        <v>#VALUE!</v>
      </c>
      <c r="AR36" t="e">
        <f>AND('STERLING CATALOG - DRY '!F649,"AAAAAA22/ys=")</f>
        <v>#VALUE!</v>
      </c>
      <c r="AS36" t="e">
        <f>AND('STERLING CATALOG - DRY '!G649,"AAAAAA22/yw=")</f>
        <v>#VALUE!</v>
      </c>
      <c r="AT36" t="e">
        <f>AND('STERLING CATALOG - DRY '!H649,"AAAAAA22/y0=")</f>
        <v>#VALUE!</v>
      </c>
      <c r="AU36" t="e">
        <f>AND('STERLING CATALOG - DRY '!I649,"AAAAAA22/y4=")</f>
        <v>#VALUE!</v>
      </c>
      <c r="AV36" t="e">
        <f>AND('STERLING CATALOG - DRY '!J649,"AAAAAA22/y8=")</f>
        <v>#VALUE!</v>
      </c>
      <c r="AW36">
        <f>IF('STERLING CATALOG - DRY '!650:650,"AAAAAA22/zA=",0)</f>
        <v>0</v>
      </c>
      <c r="AX36" t="e">
        <f>AND('STERLING CATALOG - DRY '!A650,"AAAAAA22/zE=")</f>
        <v>#VALUE!</v>
      </c>
      <c r="AY36" t="e">
        <f>AND('STERLING CATALOG - DRY '!B650,"AAAAAA22/zI=")</f>
        <v>#VALUE!</v>
      </c>
      <c r="AZ36" t="e">
        <f>AND('STERLING CATALOG - DRY '!C650,"AAAAAA22/zM=")</f>
        <v>#VALUE!</v>
      </c>
      <c r="BA36" t="e">
        <f>AND('STERLING CATALOG - DRY '!D650,"AAAAAA22/zQ=")</f>
        <v>#VALUE!</v>
      </c>
      <c r="BB36" t="e">
        <f>AND('STERLING CATALOG - DRY '!E650,"AAAAAA22/zU=")</f>
        <v>#VALUE!</v>
      </c>
      <c r="BC36" t="e">
        <f>AND('STERLING CATALOG - DRY '!F650,"AAAAAA22/zY=")</f>
        <v>#VALUE!</v>
      </c>
      <c r="BD36" t="e">
        <f>AND('STERLING CATALOG - DRY '!G650,"AAAAAA22/zc=")</f>
        <v>#VALUE!</v>
      </c>
      <c r="BE36" t="e">
        <f>AND('STERLING CATALOG - DRY '!H650,"AAAAAA22/zg=")</f>
        <v>#VALUE!</v>
      </c>
      <c r="BF36" t="e">
        <f>AND('STERLING CATALOG - DRY '!I650,"AAAAAA22/zk=")</f>
        <v>#VALUE!</v>
      </c>
      <c r="BG36" t="e">
        <f>AND('STERLING CATALOG - DRY '!J650,"AAAAAA22/zo=")</f>
        <v>#VALUE!</v>
      </c>
      <c r="BH36">
        <f>IF('STERLING CATALOG - DRY '!651:651,"AAAAAA22/zs=",0)</f>
        <v>0</v>
      </c>
      <c r="BI36" t="e">
        <f>AND('STERLING CATALOG - DRY '!A651,"AAAAAA22/zw=")</f>
        <v>#VALUE!</v>
      </c>
      <c r="BJ36" t="e">
        <f>AND('STERLING CATALOG - DRY '!B651,"AAAAAA22/z0=")</f>
        <v>#VALUE!</v>
      </c>
      <c r="BK36" t="e">
        <f>AND('STERLING CATALOG - DRY '!C651,"AAAAAA22/z4=")</f>
        <v>#VALUE!</v>
      </c>
      <c r="BL36" t="e">
        <f>AND('STERLING CATALOG - DRY '!D651,"AAAAAA22/z8=")</f>
        <v>#VALUE!</v>
      </c>
      <c r="BM36" t="e">
        <f>AND('STERLING CATALOG - DRY '!E651,"AAAAAA22/0A=")</f>
        <v>#VALUE!</v>
      </c>
      <c r="BN36" t="e">
        <f>AND('STERLING CATALOG - DRY '!F651,"AAAAAA22/0E=")</f>
        <v>#VALUE!</v>
      </c>
      <c r="BO36" t="e">
        <f>AND('STERLING CATALOG - DRY '!G651,"AAAAAA22/0I=")</f>
        <v>#VALUE!</v>
      </c>
      <c r="BP36" t="e">
        <f>AND('STERLING CATALOG - DRY '!H651,"AAAAAA22/0M=")</f>
        <v>#VALUE!</v>
      </c>
      <c r="BQ36" t="e">
        <f>AND('STERLING CATALOG - DRY '!I651,"AAAAAA22/0Q=")</f>
        <v>#VALUE!</v>
      </c>
      <c r="BR36" t="e">
        <f>AND('STERLING CATALOG - DRY '!J651,"AAAAAA22/0U=")</f>
        <v>#VALUE!</v>
      </c>
      <c r="BS36">
        <f>IF('STERLING CATALOG - DRY '!652:652,"AAAAAA22/0Y=",0)</f>
        <v>0</v>
      </c>
      <c r="BT36" t="e">
        <f>AND('STERLING CATALOG - DRY '!A652,"AAAAAA22/0c=")</f>
        <v>#VALUE!</v>
      </c>
      <c r="BU36" t="e">
        <f>AND('STERLING CATALOG - DRY '!B652,"AAAAAA22/0g=")</f>
        <v>#VALUE!</v>
      </c>
      <c r="BV36" t="e">
        <f>AND('STERLING CATALOG - DRY '!C652,"AAAAAA22/0k=")</f>
        <v>#VALUE!</v>
      </c>
      <c r="BW36" t="e">
        <f>AND('STERLING CATALOG - DRY '!D652,"AAAAAA22/0o=")</f>
        <v>#VALUE!</v>
      </c>
      <c r="BX36" t="e">
        <f>AND('STERLING CATALOG - DRY '!E652,"AAAAAA22/0s=")</f>
        <v>#VALUE!</v>
      </c>
      <c r="BY36" t="e">
        <f>AND('STERLING CATALOG - DRY '!F652,"AAAAAA22/0w=")</f>
        <v>#VALUE!</v>
      </c>
      <c r="BZ36" t="e">
        <f>AND('STERLING CATALOG - DRY '!G652,"AAAAAA22/00=")</f>
        <v>#VALUE!</v>
      </c>
      <c r="CA36" t="e">
        <f>AND('STERLING CATALOG - DRY '!H652,"AAAAAA22/04=")</f>
        <v>#VALUE!</v>
      </c>
      <c r="CB36" t="e">
        <f>AND('STERLING CATALOG - DRY '!I652,"AAAAAA22/08=")</f>
        <v>#VALUE!</v>
      </c>
      <c r="CC36" t="e">
        <f>AND('STERLING CATALOG - DRY '!J652,"AAAAAA22/1A=")</f>
        <v>#VALUE!</v>
      </c>
      <c r="CD36">
        <f>IF('STERLING CATALOG - DRY '!653:653,"AAAAAA22/1E=",0)</f>
        <v>0</v>
      </c>
      <c r="CE36" t="e">
        <f>AND('STERLING CATALOG - DRY '!A653,"AAAAAA22/1I=")</f>
        <v>#VALUE!</v>
      </c>
      <c r="CF36" t="e">
        <f>AND('STERLING CATALOG - DRY '!B653,"AAAAAA22/1M=")</f>
        <v>#VALUE!</v>
      </c>
      <c r="CG36" t="e">
        <f>AND('STERLING CATALOG - DRY '!C653,"AAAAAA22/1Q=")</f>
        <v>#VALUE!</v>
      </c>
      <c r="CH36" t="e">
        <f>AND('STERLING CATALOG - DRY '!D653,"AAAAAA22/1U=")</f>
        <v>#VALUE!</v>
      </c>
      <c r="CI36" t="e">
        <f>AND('STERLING CATALOG - DRY '!E653,"AAAAAA22/1Y=")</f>
        <v>#VALUE!</v>
      </c>
      <c r="CJ36" t="e">
        <f>AND('STERLING CATALOG - DRY '!F653,"AAAAAA22/1c=")</f>
        <v>#VALUE!</v>
      </c>
      <c r="CK36" t="e">
        <f>AND('STERLING CATALOG - DRY '!G653,"AAAAAA22/1g=")</f>
        <v>#VALUE!</v>
      </c>
      <c r="CL36" t="e">
        <f>AND('STERLING CATALOG - DRY '!H653,"AAAAAA22/1k=")</f>
        <v>#VALUE!</v>
      </c>
      <c r="CM36" t="e">
        <f>AND('STERLING CATALOG - DRY '!I653,"AAAAAA22/1o=")</f>
        <v>#VALUE!</v>
      </c>
      <c r="CN36" t="e">
        <f>AND('STERLING CATALOG - DRY '!J653,"AAAAAA22/1s=")</f>
        <v>#VALUE!</v>
      </c>
      <c r="CO36">
        <f>IF('STERLING CATALOG - DRY '!654:654,"AAAAAA22/1w=",0)</f>
        <v>0</v>
      </c>
      <c r="CP36" t="e">
        <f>AND('STERLING CATALOG - DRY '!A654,"AAAAAA22/10=")</f>
        <v>#VALUE!</v>
      </c>
      <c r="CQ36" t="e">
        <f>AND('STERLING CATALOG - DRY '!B654,"AAAAAA22/14=")</f>
        <v>#VALUE!</v>
      </c>
      <c r="CR36" t="e">
        <f>AND('STERLING CATALOG - DRY '!C654,"AAAAAA22/18=")</f>
        <v>#VALUE!</v>
      </c>
      <c r="CS36" t="e">
        <f>AND('STERLING CATALOG - DRY '!D654,"AAAAAA22/2A=")</f>
        <v>#VALUE!</v>
      </c>
      <c r="CT36" t="e">
        <f>AND('STERLING CATALOG - DRY '!E654,"AAAAAA22/2E=")</f>
        <v>#VALUE!</v>
      </c>
      <c r="CU36" t="e">
        <f>AND('STERLING CATALOG - DRY '!F654,"AAAAAA22/2I=")</f>
        <v>#VALUE!</v>
      </c>
      <c r="CV36" t="e">
        <f>AND('STERLING CATALOG - DRY '!G654,"AAAAAA22/2M=")</f>
        <v>#VALUE!</v>
      </c>
      <c r="CW36" t="e">
        <f>AND('STERLING CATALOG - DRY '!H654,"AAAAAA22/2Q=")</f>
        <v>#VALUE!</v>
      </c>
      <c r="CX36" t="e">
        <f>AND('STERLING CATALOG - DRY '!I654,"AAAAAA22/2U=")</f>
        <v>#VALUE!</v>
      </c>
      <c r="CY36" t="e">
        <f>AND('STERLING CATALOG - DRY '!J654,"AAAAAA22/2Y=")</f>
        <v>#VALUE!</v>
      </c>
      <c r="CZ36">
        <f>IF('STERLING CATALOG - DRY '!655:655,"AAAAAA22/2c=",0)</f>
        <v>0</v>
      </c>
      <c r="DA36" t="e">
        <f>AND('STERLING CATALOG - DRY '!A655,"AAAAAA22/2g=")</f>
        <v>#VALUE!</v>
      </c>
      <c r="DB36" t="e">
        <f>AND('STERLING CATALOG - DRY '!B655,"AAAAAA22/2k=")</f>
        <v>#VALUE!</v>
      </c>
      <c r="DC36" t="e">
        <f>AND('STERLING CATALOG - DRY '!C655,"AAAAAA22/2o=")</f>
        <v>#VALUE!</v>
      </c>
      <c r="DD36" t="e">
        <f>AND('STERLING CATALOG - DRY '!D655,"AAAAAA22/2s=")</f>
        <v>#VALUE!</v>
      </c>
      <c r="DE36" t="e">
        <f>AND('STERLING CATALOG - DRY '!E655,"AAAAAA22/2w=")</f>
        <v>#VALUE!</v>
      </c>
      <c r="DF36" t="e">
        <f>AND('STERLING CATALOG - DRY '!F655,"AAAAAA22/20=")</f>
        <v>#VALUE!</v>
      </c>
      <c r="DG36" t="e">
        <f>AND('STERLING CATALOG - DRY '!G655,"AAAAAA22/24=")</f>
        <v>#VALUE!</v>
      </c>
      <c r="DH36" t="e">
        <f>AND('STERLING CATALOG - DRY '!H655,"AAAAAA22/28=")</f>
        <v>#VALUE!</v>
      </c>
      <c r="DI36" t="e">
        <f>AND('STERLING CATALOG - DRY '!I655,"AAAAAA22/3A=")</f>
        <v>#VALUE!</v>
      </c>
      <c r="DJ36" t="e">
        <f>AND('STERLING CATALOG - DRY '!J655,"AAAAAA22/3E=")</f>
        <v>#VALUE!</v>
      </c>
      <c r="DK36">
        <f>IF('STERLING CATALOG - DRY '!656:656,"AAAAAA22/3I=",0)</f>
        <v>0</v>
      </c>
      <c r="DL36" t="e">
        <f>AND('STERLING CATALOG - DRY '!A656,"AAAAAA22/3M=")</f>
        <v>#VALUE!</v>
      </c>
      <c r="DM36" t="e">
        <f>AND('STERLING CATALOG - DRY '!B656,"AAAAAA22/3Q=")</f>
        <v>#VALUE!</v>
      </c>
      <c r="DN36" t="e">
        <f>AND('STERLING CATALOG - DRY '!C656,"AAAAAA22/3U=")</f>
        <v>#VALUE!</v>
      </c>
      <c r="DO36" t="e">
        <f>AND('STERLING CATALOG - DRY '!D656,"AAAAAA22/3Y=")</f>
        <v>#VALUE!</v>
      </c>
      <c r="DP36" t="e">
        <f>AND('STERLING CATALOG - DRY '!E656,"AAAAAA22/3c=")</f>
        <v>#VALUE!</v>
      </c>
      <c r="DQ36" t="e">
        <f>AND('STERLING CATALOG - DRY '!F656,"AAAAAA22/3g=")</f>
        <v>#VALUE!</v>
      </c>
      <c r="DR36" t="e">
        <f>AND('STERLING CATALOG - DRY '!G656,"AAAAAA22/3k=")</f>
        <v>#VALUE!</v>
      </c>
      <c r="DS36" t="e">
        <f>AND('STERLING CATALOG - DRY '!H656,"AAAAAA22/3o=")</f>
        <v>#VALUE!</v>
      </c>
      <c r="DT36" t="e">
        <f>AND('STERLING CATALOG - DRY '!I656,"AAAAAA22/3s=")</f>
        <v>#VALUE!</v>
      </c>
      <c r="DU36" t="e">
        <f>AND('STERLING CATALOG - DRY '!J656,"AAAAAA22/3w=")</f>
        <v>#VALUE!</v>
      </c>
      <c r="DV36">
        <f>IF('STERLING CATALOG - DRY '!657:657,"AAAAAA22/30=",0)</f>
        <v>0</v>
      </c>
      <c r="DW36" t="e">
        <f>AND('STERLING CATALOG - DRY '!A657,"AAAAAA22/34=")</f>
        <v>#VALUE!</v>
      </c>
      <c r="DX36" t="e">
        <f>AND('STERLING CATALOG - DRY '!B657,"AAAAAA22/38=")</f>
        <v>#VALUE!</v>
      </c>
      <c r="DY36" t="e">
        <f>AND('STERLING CATALOG - DRY '!C657,"AAAAAA22/4A=")</f>
        <v>#VALUE!</v>
      </c>
      <c r="DZ36" t="e">
        <f>AND('STERLING CATALOG - DRY '!D657,"AAAAAA22/4E=")</f>
        <v>#VALUE!</v>
      </c>
      <c r="EA36" t="e">
        <f>AND('STERLING CATALOG - DRY '!E657,"AAAAAA22/4I=")</f>
        <v>#VALUE!</v>
      </c>
      <c r="EB36" t="e">
        <f>AND('STERLING CATALOG - DRY '!F657,"AAAAAA22/4M=")</f>
        <v>#VALUE!</v>
      </c>
      <c r="EC36" t="e">
        <f>AND('STERLING CATALOG - DRY '!G657,"AAAAAA22/4Q=")</f>
        <v>#VALUE!</v>
      </c>
      <c r="ED36" t="e">
        <f>AND('STERLING CATALOG - DRY '!H657,"AAAAAA22/4U=")</f>
        <v>#VALUE!</v>
      </c>
      <c r="EE36" t="e">
        <f>AND('STERLING CATALOG - DRY '!I657,"AAAAAA22/4Y=")</f>
        <v>#VALUE!</v>
      </c>
      <c r="EF36" t="e">
        <f>AND('STERLING CATALOG - DRY '!J657,"AAAAAA22/4c=")</f>
        <v>#VALUE!</v>
      </c>
      <c r="EG36">
        <f>IF('STERLING CATALOG - DRY '!658:658,"AAAAAA22/4g=",0)</f>
        <v>0</v>
      </c>
      <c r="EH36" t="e">
        <f>AND('STERLING CATALOG - DRY '!A658,"AAAAAA22/4k=")</f>
        <v>#VALUE!</v>
      </c>
      <c r="EI36" t="e">
        <f>AND('STERLING CATALOG - DRY '!B658,"AAAAAA22/4o=")</f>
        <v>#VALUE!</v>
      </c>
      <c r="EJ36" t="e">
        <f>AND('STERLING CATALOG - DRY '!C658,"AAAAAA22/4s=")</f>
        <v>#VALUE!</v>
      </c>
      <c r="EK36" t="e">
        <f>AND('STERLING CATALOG - DRY '!D658,"AAAAAA22/4w=")</f>
        <v>#VALUE!</v>
      </c>
      <c r="EL36" t="e">
        <f>AND('STERLING CATALOG - DRY '!E658,"AAAAAA22/40=")</f>
        <v>#VALUE!</v>
      </c>
      <c r="EM36" t="e">
        <f>AND('STERLING CATALOG - DRY '!F658,"AAAAAA22/44=")</f>
        <v>#VALUE!</v>
      </c>
      <c r="EN36" t="e">
        <f>AND('STERLING CATALOG - DRY '!G658,"AAAAAA22/48=")</f>
        <v>#VALUE!</v>
      </c>
      <c r="EO36" t="e">
        <f>AND('STERLING CATALOG - DRY '!H658,"AAAAAA22/5A=")</f>
        <v>#VALUE!</v>
      </c>
      <c r="EP36" t="e">
        <f>AND('STERLING CATALOG - DRY '!I658,"AAAAAA22/5E=")</f>
        <v>#VALUE!</v>
      </c>
      <c r="EQ36" t="e">
        <f>AND('STERLING CATALOG - DRY '!J658,"AAAAAA22/5I=")</f>
        <v>#VALUE!</v>
      </c>
      <c r="ER36">
        <f>IF('STERLING CATALOG - DRY '!659:659,"AAAAAA22/5M=",0)</f>
        <v>0</v>
      </c>
      <c r="ES36" t="e">
        <f>AND('STERLING CATALOG - DRY '!A659,"AAAAAA22/5Q=")</f>
        <v>#VALUE!</v>
      </c>
      <c r="ET36" t="e">
        <f>AND('STERLING CATALOG - DRY '!B659,"AAAAAA22/5U=")</f>
        <v>#VALUE!</v>
      </c>
      <c r="EU36" t="e">
        <f>AND('STERLING CATALOG - DRY '!C659,"AAAAAA22/5Y=")</f>
        <v>#VALUE!</v>
      </c>
      <c r="EV36" t="e">
        <f>AND('STERLING CATALOG - DRY '!D659,"AAAAAA22/5c=")</f>
        <v>#VALUE!</v>
      </c>
      <c r="EW36" t="e">
        <f>AND('STERLING CATALOG - DRY '!E659,"AAAAAA22/5g=")</f>
        <v>#VALUE!</v>
      </c>
      <c r="EX36" t="e">
        <f>AND('STERLING CATALOG - DRY '!F659,"AAAAAA22/5k=")</f>
        <v>#VALUE!</v>
      </c>
      <c r="EY36" t="e">
        <f>AND('STERLING CATALOG - DRY '!G659,"AAAAAA22/5o=")</f>
        <v>#VALUE!</v>
      </c>
      <c r="EZ36" t="e">
        <f>AND('STERLING CATALOG - DRY '!H659,"AAAAAA22/5s=")</f>
        <v>#VALUE!</v>
      </c>
      <c r="FA36" t="e">
        <f>AND('STERLING CATALOG - DRY '!I659,"AAAAAA22/5w=")</f>
        <v>#VALUE!</v>
      </c>
      <c r="FB36" t="e">
        <f>AND('STERLING CATALOG - DRY '!J659,"AAAAAA22/50=")</f>
        <v>#VALUE!</v>
      </c>
      <c r="FC36">
        <f>IF('STERLING CATALOG - DRY '!660:660,"AAAAAA22/54=",0)</f>
        <v>0</v>
      </c>
      <c r="FD36" t="e">
        <f>AND('STERLING CATALOG - DRY '!A660,"AAAAAA22/58=")</f>
        <v>#VALUE!</v>
      </c>
      <c r="FE36" t="e">
        <f>AND('STERLING CATALOG - DRY '!B660,"AAAAAA22/6A=")</f>
        <v>#VALUE!</v>
      </c>
      <c r="FF36" t="e">
        <f>AND('STERLING CATALOG - DRY '!C660,"AAAAAA22/6E=")</f>
        <v>#VALUE!</v>
      </c>
      <c r="FG36" t="e">
        <f>AND('STERLING CATALOG - DRY '!D660,"AAAAAA22/6I=")</f>
        <v>#VALUE!</v>
      </c>
      <c r="FH36" t="e">
        <f>AND('STERLING CATALOG - DRY '!E660,"AAAAAA22/6M=")</f>
        <v>#VALUE!</v>
      </c>
      <c r="FI36" t="e">
        <f>AND('STERLING CATALOG - DRY '!F660,"AAAAAA22/6Q=")</f>
        <v>#VALUE!</v>
      </c>
      <c r="FJ36" t="e">
        <f>AND('STERLING CATALOG - DRY '!G660,"AAAAAA22/6U=")</f>
        <v>#VALUE!</v>
      </c>
      <c r="FK36" t="e">
        <f>AND('STERLING CATALOG - DRY '!H660,"AAAAAA22/6Y=")</f>
        <v>#VALUE!</v>
      </c>
      <c r="FL36" t="e">
        <f>AND('STERLING CATALOG - DRY '!I660,"AAAAAA22/6c=")</f>
        <v>#VALUE!</v>
      </c>
      <c r="FM36" t="e">
        <f>AND('STERLING CATALOG - DRY '!J660,"AAAAAA22/6g=")</f>
        <v>#VALUE!</v>
      </c>
      <c r="FN36">
        <f>IF('STERLING CATALOG - DRY '!661:661,"AAAAAA22/6k=",0)</f>
        <v>0</v>
      </c>
      <c r="FO36" t="e">
        <f>AND('STERLING CATALOG - DRY '!A661,"AAAAAA22/6o=")</f>
        <v>#VALUE!</v>
      </c>
      <c r="FP36" t="e">
        <f>AND('STERLING CATALOG - DRY '!B661,"AAAAAA22/6s=")</f>
        <v>#VALUE!</v>
      </c>
      <c r="FQ36" t="e">
        <f>AND('STERLING CATALOG - DRY '!C661,"AAAAAA22/6w=")</f>
        <v>#VALUE!</v>
      </c>
      <c r="FR36" t="e">
        <f>AND('STERLING CATALOG - DRY '!D661,"AAAAAA22/60=")</f>
        <v>#VALUE!</v>
      </c>
      <c r="FS36" t="e">
        <f>AND('STERLING CATALOG - DRY '!E661,"AAAAAA22/64=")</f>
        <v>#VALUE!</v>
      </c>
      <c r="FT36" t="e">
        <f>AND('STERLING CATALOG - DRY '!F661,"AAAAAA22/68=")</f>
        <v>#VALUE!</v>
      </c>
      <c r="FU36" t="e">
        <f>AND('STERLING CATALOG - DRY '!G661,"AAAAAA22/7A=")</f>
        <v>#VALUE!</v>
      </c>
      <c r="FV36" t="e">
        <f>AND('STERLING CATALOG - DRY '!H661,"AAAAAA22/7E=")</f>
        <v>#VALUE!</v>
      </c>
      <c r="FW36" t="e">
        <f>AND('STERLING CATALOG - DRY '!I661,"AAAAAA22/7I=")</f>
        <v>#VALUE!</v>
      </c>
      <c r="FX36" t="e">
        <f>AND('STERLING CATALOG - DRY '!J661,"AAAAAA22/7M=")</f>
        <v>#VALUE!</v>
      </c>
      <c r="FY36">
        <f>IF('STERLING CATALOG - DRY '!662:662,"AAAAAA22/7Q=",0)</f>
        <v>0</v>
      </c>
      <c r="FZ36" t="e">
        <f>AND('STERLING CATALOG - DRY '!A662,"AAAAAA22/7U=")</f>
        <v>#VALUE!</v>
      </c>
      <c r="GA36" t="e">
        <f>AND('STERLING CATALOG - DRY '!B662,"AAAAAA22/7Y=")</f>
        <v>#VALUE!</v>
      </c>
      <c r="GB36" t="e">
        <f>AND('STERLING CATALOG - DRY '!C662,"AAAAAA22/7c=")</f>
        <v>#VALUE!</v>
      </c>
      <c r="GC36" t="e">
        <f>AND('STERLING CATALOG - DRY '!D662,"AAAAAA22/7g=")</f>
        <v>#VALUE!</v>
      </c>
      <c r="GD36" t="e">
        <f>AND('STERLING CATALOG - DRY '!E662,"AAAAAA22/7k=")</f>
        <v>#VALUE!</v>
      </c>
      <c r="GE36" t="e">
        <f>AND('STERLING CATALOG - DRY '!F662,"AAAAAA22/7o=")</f>
        <v>#VALUE!</v>
      </c>
      <c r="GF36" t="e">
        <f>AND('STERLING CATALOG - DRY '!G662,"AAAAAA22/7s=")</f>
        <v>#VALUE!</v>
      </c>
      <c r="GG36" t="e">
        <f>AND('STERLING CATALOG - DRY '!H662,"AAAAAA22/7w=")</f>
        <v>#VALUE!</v>
      </c>
      <c r="GH36" t="e">
        <f>AND('STERLING CATALOG - DRY '!I662,"AAAAAA22/70=")</f>
        <v>#VALUE!</v>
      </c>
      <c r="GI36" t="e">
        <f>AND('STERLING CATALOG - DRY '!J662,"AAAAAA22/74=")</f>
        <v>#VALUE!</v>
      </c>
      <c r="GJ36">
        <f>IF('STERLING CATALOG - DRY '!663:663,"AAAAAA22/78=",0)</f>
        <v>0</v>
      </c>
      <c r="GK36" t="e">
        <f>AND('STERLING CATALOG - DRY '!A663,"AAAAAA22/8A=")</f>
        <v>#VALUE!</v>
      </c>
      <c r="GL36" t="e">
        <f>AND('STERLING CATALOG - DRY '!B663,"AAAAAA22/8E=")</f>
        <v>#VALUE!</v>
      </c>
      <c r="GM36" t="e">
        <f>AND('STERLING CATALOG - DRY '!C663,"AAAAAA22/8I=")</f>
        <v>#VALUE!</v>
      </c>
      <c r="GN36" t="e">
        <f>AND('STERLING CATALOG - DRY '!D663,"AAAAAA22/8M=")</f>
        <v>#VALUE!</v>
      </c>
      <c r="GO36" t="e">
        <f>AND('STERLING CATALOG - DRY '!E663,"AAAAAA22/8Q=")</f>
        <v>#VALUE!</v>
      </c>
      <c r="GP36" t="e">
        <f>AND('STERLING CATALOG - DRY '!F663,"AAAAAA22/8U=")</f>
        <v>#VALUE!</v>
      </c>
      <c r="GQ36" t="e">
        <f>AND('STERLING CATALOG - DRY '!G663,"AAAAAA22/8Y=")</f>
        <v>#VALUE!</v>
      </c>
      <c r="GR36" t="e">
        <f>AND('STERLING CATALOG - DRY '!H663,"AAAAAA22/8c=")</f>
        <v>#VALUE!</v>
      </c>
      <c r="GS36" t="e">
        <f>AND('STERLING CATALOG - DRY '!I663,"AAAAAA22/8g=")</f>
        <v>#VALUE!</v>
      </c>
      <c r="GT36" t="e">
        <f>AND('STERLING CATALOG - DRY '!J663,"AAAAAA22/8k=")</f>
        <v>#VALUE!</v>
      </c>
      <c r="GU36">
        <f>IF('STERLING CATALOG - DRY '!664:664,"AAAAAA22/8o=",0)</f>
        <v>0</v>
      </c>
      <c r="GV36" t="e">
        <f>AND('STERLING CATALOG - DRY '!A664,"AAAAAA22/8s=")</f>
        <v>#VALUE!</v>
      </c>
      <c r="GW36" t="e">
        <f>AND('STERLING CATALOG - DRY '!B664,"AAAAAA22/8w=")</f>
        <v>#VALUE!</v>
      </c>
      <c r="GX36" t="e">
        <f>AND('STERLING CATALOG - DRY '!C664,"AAAAAA22/80=")</f>
        <v>#VALUE!</v>
      </c>
      <c r="GY36" t="e">
        <f>AND('STERLING CATALOG - DRY '!D664,"AAAAAA22/84=")</f>
        <v>#VALUE!</v>
      </c>
      <c r="GZ36" t="e">
        <f>AND('STERLING CATALOG - DRY '!E664,"AAAAAA22/88=")</f>
        <v>#VALUE!</v>
      </c>
      <c r="HA36" t="e">
        <f>AND('STERLING CATALOG - DRY '!F664,"AAAAAA22/9A=")</f>
        <v>#VALUE!</v>
      </c>
      <c r="HB36" t="e">
        <f>AND('STERLING CATALOG - DRY '!G664,"AAAAAA22/9E=")</f>
        <v>#VALUE!</v>
      </c>
      <c r="HC36" t="e">
        <f>AND('STERLING CATALOG - DRY '!H664,"AAAAAA22/9I=")</f>
        <v>#VALUE!</v>
      </c>
      <c r="HD36" t="e">
        <f>AND('STERLING CATALOG - DRY '!I664,"AAAAAA22/9M=")</f>
        <v>#VALUE!</v>
      </c>
      <c r="HE36" t="e">
        <f>AND('STERLING CATALOG - DRY '!J664,"AAAAAA22/9Q=")</f>
        <v>#VALUE!</v>
      </c>
      <c r="HF36">
        <f>IF('STERLING CATALOG - DRY '!665:665,"AAAAAA22/9U=",0)</f>
        <v>0</v>
      </c>
      <c r="HG36" t="e">
        <f>AND('STERLING CATALOG - DRY '!A665,"AAAAAA22/9Y=")</f>
        <v>#VALUE!</v>
      </c>
      <c r="HH36" t="e">
        <f>AND('STERLING CATALOG - DRY '!B665,"AAAAAA22/9c=")</f>
        <v>#VALUE!</v>
      </c>
      <c r="HI36" t="e">
        <f>AND('STERLING CATALOG - DRY '!C665,"AAAAAA22/9g=")</f>
        <v>#VALUE!</v>
      </c>
      <c r="HJ36" t="e">
        <f>AND('STERLING CATALOG - DRY '!D665,"AAAAAA22/9k=")</f>
        <v>#VALUE!</v>
      </c>
      <c r="HK36" t="e">
        <f>AND('STERLING CATALOG - DRY '!E665,"AAAAAA22/9o=")</f>
        <v>#VALUE!</v>
      </c>
      <c r="HL36" t="e">
        <f>AND('STERLING CATALOG - DRY '!F665,"AAAAAA22/9s=")</f>
        <v>#VALUE!</v>
      </c>
      <c r="HM36" t="e">
        <f>AND('STERLING CATALOG - DRY '!G665,"AAAAAA22/9w=")</f>
        <v>#VALUE!</v>
      </c>
      <c r="HN36" t="e">
        <f>AND('STERLING CATALOG - DRY '!H665,"AAAAAA22/90=")</f>
        <v>#VALUE!</v>
      </c>
      <c r="HO36" t="e">
        <f>AND('STERLING CATALOG - DRY '!I665,"AAAAAA22/94=")</f>
        <v>#VALUE!</v>
      </c>
      <c r="HP36" t="e">
        <f>AND('STERLING CATALOG - DRY '!J665,"AAAAAA22/98=")</f>
        <v>#VALUE!</v>
      </c>
      <c r="HQ36">
        <f>IF('STERLING CATALOG - DRY '!666:666,"AAAAAA22/+A=",0)</f>
        <v>0</v>
      </c>
      <c r="HR36" t="e">
        <f>AND('STERLING CATALOG - DRY '!A666,"AAAAAA22/+E=")</f>
        <v>#VALUE!</v>
      </c>
      <c r="HS36" t="e">
        <f>AND('STERLING CATALOG - DRY '!B666,"AAAAAA22/+I=")</f>
        <v>#VALUE!</v>
      </c>
      <c r="HT36" t="e">
        <f>AND('STERLING CATALOG - DRY '!C666,"AAAAAA22/+M=")</f>
        <v>#VALUE!</v>
      </c>
      <c r="HU36" t="e">
        <f>AND('STERLING CATALOG - DRY '!D666,"AAAAAA22/+Q=")</f>
        <v>#VALUE!</v>
      </c>
      <c r="HV36" t="e">
        <f>AND('STERLING CATALOG - DRY '!E666,"AAAAAA22/+U=")</f>
        <v>#VALUE!</v>
      </c>
      <c r="HW36" t="e">
        <f>AND('STERLING CATALOG - DRY '!F666,"AAAAAA22/+Y=")</f>
        <v>#VALUE!</v>
      </c>
      <c r="HX36" t="e">
        <f>AND('STERLING CATALOG - DRY '!G666,"AAAAAA22/+c=")</f>
        <v>#VALUE!</v>
      </c>
      <c r="HY36" t="e">
        <f>AND('STERLING CATALOG - DRY '!H666,"AAAAAA22/+g=")</f>
        <v>#VALUE!</v>
      </c>
      <c r="HZ36" t="e">
        <f>AND('STERLING CATALOG - DRY '!I666,"AAAAAA22/+k=")</f>
        <v>#VALUE!</v>
      </c>
      <c r="IA36" t="e">
        <f>AND('STERLING CATALOG - DRY '!J666,"AAAAAA22/+o=")</f>
        <v>#VALUE!</v>
      </c>
      <c r="IB36">
        <f>IF('STERLING CATALOG - DRY '!667:667,"AAAAAA22/+s=",0)</f>
        <v>0</v>
      </c>
      <c r="IC36" t="e">
        <f>AND('STERLING CATALOG - DRY '!A667,"AAAAAA22/+w=")</f>
        <v>#VALUE!</v>
      </c>
      <c r="ID36" t="e">
        <f>AND('STERLING CATALOG - DRY '!B667,"AAAAAA22/+0=")</f>
        <v>#VALUE!</v>
      </c>
      <c r="IE36" t="e">
        <f>AND('STERLING CATALOG - DRY '!C667,"AAAAAA22/+4=")</f>
        <v>#VALUE!</v>
      </c>
      <c r="IF36" t="e">
        <f>AND('STERLING CATALOG - DRY '!D667,"AAAAAA22/+8=")</f>
        <v>#VALUE!</v>
      </c>
      <c r="IG36" t="e">
        <f>AND('STERLING CATALOG - DRY '!E667,"AAAAAA22//A=")</f>
        <v>#VALUE!</v>
      </c>
      <c r="IH36" t="e">
        <f>AND('STERLING CATALOG - DRY '!F667,"AAAAAA22//E=")</f>
        <v>#VALUE!</v>
      </c>
      <c r="II36" t="e">
        <f>AND('STERLING CATALOG - DRY '!G667,"AAAAAA22//I=")</f>
        <v>#VALUE!</v>
      </c>
      <c r="IJ36" t="e">
        <f>AND('STERLING CATALOG - DRY '!H667,"AAAAAA22//M=")</f>
        <v>#VALUE!</v>
      </c>
      <c r="IK36" t="e">
        <f>AND('STERLING CATALOG - DRY '!I667,"AAAAAA22//Q=")</f>
        <v>#VALUE!</v>
      </c>
      <c r="IL36" t="e">
        <f>AND('STERLING CATALOG - DRY '!J667,"AAAAAA22//U=")</f>
        <v>#VALUE!</v>
      </c>
      <c r="IM36">
        <f>IF('STERLING CATALOG - DRY '!668:668,"AAAAAA22//Y=",0)</f>
        <v>0</v>
      </c>
      <c r="IN36" t="e">
        <f>AND('STERLING CATALOG - DRY '!A668,"AAAAAA22//c=")</f>
        <v>#VALUE!</v>
      </c>
      <c r="IO36" t="e">
        <f>AND('STERLING CATALOG - DRY '!B668,"AAAAAA22//g=")</f>
        <v>#VALUE!</v>
      </c>
      <c r="IP36" t="e">
        <f>AND('STERLING CATALOG - DRY '!C668,"AAAAAA22//k=")</f>
        <v>#VALUE!</v>
      </c>
      <c r="IQ36" t="e">
        <f>AND('STERLING CATALOG - DRY '!D668,"AAAAAA22//o=")</f>
        <v>#VALUE!</v>
      </c>
      <c r="IR36" t="e">
        <f>AND('STERLING CATALOG - DRY '!E668,"AAAAAA22//s=")</f>
        <v>#VALUE!</v>
      </c>
      <c r="IS36" t="e">
        <f>AND('STERLING CATALOG - DRY '!F668,"AAAAAA22//w=")</f>
        <v>#VALUE!</v>
      </c>
      <c r="IT36" t="e">
        <f>AND('STERLING CATALOG - DRY '!G668,"AAAAAA22//0=")</f>
        <v>#VALUE!</v>
      </c>
      <c r="IU36" t="e">
        <f>AND('STERLING CATALOG - DRY '!H668,"AAAAAA22//4=")</f>
        <v>#VALUE!</v>
      </c>
      <c r="IV36" t="e">
        <f>AND('STERLING CATALOG - DRY '!I668,"AAAAAA22//8=")</f>
        <v>#VALUE!</v>
      </c>
    </row>
    <row r="37" spans="1:256">
      <c r="A37" t="e">
        <f>AND('STERLING CATALOG - DRY '!J668,"AAAAAHS0/wA=")</f>
        <v>#VALUE!</v>
      </c>
      <c r="B37" t="str">
        <f>IF('STERLING CATALOG - DRY '!669:669,"AAAAAHS0/wE=",0)</f>
        <v>AAAAAHS0/wE=</v>
      </c>
      <c r="C37" t="e">
        <f>AND('STERLING CATALOG - DRY '!A669,"AAAAAHS0/wI=")</f>
        <v>#VALUE!</v>
      </c>
      <c r="D37" t="e">
        <f>AND('STERLING CATALOG - DRY '!B669,"AAAAAHS0/wM=")</f>
        <v>#VALUE!</v>
      </c>
      <c r="E37" t="e">
        <f>AND('STERLING CATALOG - DRY '!C669,"AAAAAHS0/wQ=")</f>
        <v>#VALUE!</v>
      </c>
      <c r="F37" t="e">
        <f>AND('STERLING CATALOG - DRY '!D669,"AAAAAHS0/wU=")</f>
        <v>#VALUE!</v>
      </c>
      <c r="G37" t="e">
        <f>AND('STERLING CATALOG - DRY '!E669,"AAAAAHS0/wY=")</f>
        <v>#VALUE!</v>
      </c>
      <c r="H37" t="e">
        <f>AND('STERLING CATALOG - DRY '!F669,"AAAAAHS0/wc=")</f>
        <v>#VALUE!</v>
      </c>
      <c r="I37" t="e">
        <f>AND('STERLING CATALOG - DRY '!G669,"AAAAAHS0/wg=")</f>
        <v>#VALUE!</v>
      </c>
      <c r="J37" t="e">
        <f>AND('STERLING CATALOG - DRY '!H669,"AAAAAHS0/wk=")</f>
        <v>#VALUE!</v>
      </c>
      <c r="K37" t="e">
        <f>AND('STERLING CATALOG - DRY '!I669,"AAAAAHS0/wo=")</f>
        <v>#VALUE!</v>
      </c>
      <c r="L37" t="e">
        <f>AND('STERLING CATALOG - DRY '!J669,"AAAAAHS0/ws=")</f>
        <v>#VALUE!</v>
      </c>
      <c r="M37">
        <f>IF('STERLING CATALOG - DRY '!670:670,"AAAAAHS0/ww=",0)</f>
        <v>0</v>
      </c>
      <c r="N37" t="e">
        <f>AND('STERLING CATALOG - DRY '!A670,"AAAAAHS0/w0=")</f>
        <v>#VALUE!</v>
      </c>
      <c r="O37" t="e">
        <f>AND('STERLING CATALOG - DRY '!B670,"AAAAAHS0/w4=")</f>
        <v>#VALUE!</v>
      </c>
      <c r="P37" t="e">
        <f>AND('STERLING CATALOG - DRY '!C670,"AAAAAHS0/w8=")</f>
        <v>#VALUE!</v>
      </c>
      <c r="Q37" t="e">
        <f>AND('STERLING CATALOG - DRY '!D670,"AAAAAHS0/xA=")</f>
        <v>#VALUE!</v>
      </c>
      <c r="R37" t="e">
        <f>AND('STERLING CATALOG - DRY '!E670,"AAAAAHS0/xE=")</f>
        <v>#VALUE!</v>
      </c>
      <c r="S37" t="e">
        <f>AND('STERLING CATALOG - DRY '!F670,"AAAAAHS0/xI=")</f>
        <v>#VALUE!</v>
      </c>
      <c r="T37" t="e">
        <f>AND('STERLING CATALOG - DRY '!G670,"AAAAAHS0/xM=")</f>
        <v>#VALUE!</v>
      </c>
      <c r="U37" t="e">
        <f>AND('STERLING CATALOG - DRY '!H670,"AAAAAHS0/xQ=")</f>
        <v>#VALUE!</v>
      </c>
      <c r="V37" t="e">
        <f>AND('STERLING CATALOG - DRY '!I670,"AAAAAHS0/xU=")</f>
        <v>#VALUE!</v>
      </c>
      <c r="W37" t="e">
        <f>AND('STERLING CATALOG - DRY '!J670,"AAAAAHS0/xY=")</f>
        <v>#VALUE!</v>
      </c>
      <c r="X37">
        <f>IF('STERLING CATALOG - DRY '!671:671,"AAAAAHS0/xc=",0)</f>
        <v>0</v>
      </c>
      <c r="Y37" t="e">
        <f>AND('STERLING CATALOG - DRY '!A671,"AAAAAHS0/xg=")</f>
        <v>#VALUE!</v>
      </c>
      <c r="Z37" t="e">
        <f>AND('STERLING CATALOG - DRY '!B671,"AAAAAHS0/xk=")</f>
        <v>#VALUE!</v>
      </c>
      <c r="AA37" t="e">
        <f>AND('STERLING CATALOG - DRY '!C671,"AAAAAHS0/xo=")</f>
        <v>#VALUE!</v>
      </c>
      <c r="AB37" t="e">
        <f>AND('STERLING CATALOG - DRY '!D671,"AAAAAHS0/xs=")</f>
        <v>#VALUE!</v>
      </c>
      <c r="AC37" t="e">
        <f>AND('STERLING CATALOG - DRY '!E671,"AAAAAHS0/xw=")</f>
        <v>#VALUE!</v>
      </c>
      <c r="AD37" t="e">
        <f>AND('STERLING CATALOG - DRY '!F671,"AAAAAHS0/x0=")</f>
        <v>#VALUE!</v>
      </c>
      <c r="AE37" t="e">
        <f>AND('STERLING CATALOG - DRY '!G671,"AAAAAHS0/x4=")</f>
        <v>#VALUE!</v>
      </c>
      <c r="AF37" t="e">
        <f>AND('STERLING CATALOG - DRY '!H671,"AAAAAHS0/x8=")</f>
        <v>#VALUE!</v>
      </c>
      <c r="AG37" t="e">
        <f>AND('STERLING CATALOG - DRY '!I671,"AAAAAHS0/yA=")</f>
        <v>#VALUE!</v>
      </c>
      <c r="AH37" t="e">
        <f>AND('STERLING CATALOG - DRY '!J671,"AAAAAHS0/yE=")</f>
        <v>#VALUE!</v>
      </c>
      <c r="AI37">
        <f>IF('STERLING CATALOG - DRY '!672:672,"AAAAAHS0/yI=",0)</f>
        <v>0</v>
      </c>
      <c r="AJ37" t="e">
        <f>AND('STERLING CATALOG - DRY '!A672,"AAAAAHS0/yM=")</f>
        <v>#VALUE!</v>
      </c>
      <c r="AK37" t="e">
        <f>AND('STERLING CATALOG - DRY '!B672,"AAAAAHS0/yQ=")</f>
        <v>#VALUE!</v>
      </c>
      <c r="AL37" t="e">
        <f>AND('STERLING CATALOG - DRY '!C672,"AAAAAHS0/yU=")</f>
        <v>#VALUE!</v>
      </c>
      <c r="AM37" t="e">
        <f>AND('STERLING CATALOG - DRY '!D672,"AAAAAHS0/yY=")</f>
        <v>#VALUE!</v>
      </c>
      <c r="AN37" t="e">
        <f>AND('STERLING CATALOG - DRY '!E672,"AAAAAHS0/yc=")</f>
        <v>#VALUE!</v>
      </c>
      <c r="AO37" t="e">
        <f>AND('STERLING CATALOG - DRY '!F672,"AAAAAHS0/yg=")</f>
        <v>#VALUE!</v>
      </c>
      <c r="AP37" t="e">
        <f>AND('STERLING CATALOG - DRY '!G672,"AAAAAHS0/yk=")</f>
        <v>#VALUE!</v>
      </c>
      <c r="AQ37" t="e">
        <f>AND('STERLING CATALOG - DRY '!H672,"AAAAAHS0/yo=")</f>
        <v>#VALUE!</v>
      </c>
      <c r="AR37" t="e">
        <f>AND('STERLING CATALOG - DRY '!I672,"AAAAAHS0/ys=")</f>
        <v>#VALUE!</v>
      </c>
      <c r="AS37" t="e">
        <f>AND('STERLING CATALOG - DRY '!J672,"AAAAAHS0/yw=")</f>
        <v>#VALUE!</v>
      </c>
      <c r="AT37">
        <f>IF('STERLING CATALOG - DRY '!673:673,"AAAAAHS0/y0=",0)</f>
        <v>0</v>
      </c>
      <c r="AU37" t="e">
        <f>AND('STERLING CATALOG - DRY '!A673,"AAAAAHS0/y4=")</f>
        <v>#VALUE!</v>
      </c>
      <c r="AV37" t="e">
        <f>AND('STERLING CATALOG - DRY '!B673,"AAAAAHS0/y8=")</f>
        <v>#VALUE!</v>
      </c>
      <c r="AW37" t="e">
        <f>AND('STERLING CATALOG - DRY '!C673,"AAAAAHS0/zA=")</f>
        <v>#VALUE!</v>
      </c>
      <c r="AX37" t="e">
        <f>AND('STERLING CATALOG - DRY '!D673,"AAAAAHS0/zE=")</f>
        <v>#VALUE!</v>
      </c>
      <c r="AY37" t="e">
        <f>AND('STERLING CATALOG - DRY '!E673,"AAAAAHS0/zI=")</f>
        <v>#VALUE!</v>
      </c>
      <c r="AZ37" t="e">
        <f>AND('STERLING CATALOG - DRY '!F673,"AAAAAHS0/zM=")</f>
        <v>#VALUE!</v>
      </c>
      <c r="BA37" t="e">
        <f>AND('STERLING CATALOG - DRY '!G673,"AAAAAHS0/zQ=")</f>
        <v>#VALUE!</v>
      </c>
      <c r="BB37" t="e">
        <f>AND('STERLING CATALOG - DRY '!H673,"AAAAAHS0/zU=")</f>
        <v>#VALUE!</v>
      </c>
      <c r="BC37" t="e">
        <f>AND('STERLING CATALOG - DRY '!I673,"AAAAAHS0/zY=")</f>
        <v>#VALUE!</v>
      </c>
      <c r="BD37" t="e">
        <f>AND('STERLING CATALOG - DRY '!J673,"AAAAAHS0/zc=")</f>
        <v>#VALUE!</v>
      </c>
      <c r="BE37">
        <f>IF('STERLING CATALOG - DRY '!674:674,"AAAAAHS0/zg=",0)</f>
        <v>0</v>
      </c>
      <c r="BF37" t="e">
        <f>AND('STERLING CATALOG - DRY '!A674,"AAAAAHS0/zk=")</f>
        <v>#VALUE!</v>
      </c>
      <c r="BG37" t="e">
        <f>AND('STERLING CATALOG - DRY '!B674,"AAAAAHS0/zo=")</f>
        <v>#VALUE!</v>
      </c>
      <c r="BH37" t="e">
        <f>AND('STERLING CATALOG - DRY '!C674,"AAAAAHS0/zs=")</f>
        <v>#VALUE!</v>
      </c>
      <c r="BI37" t="e">
        <f>AND('STERLING CATALOG - DRY '!D674,"AAAAAHS0/zw=")</f>
        <v>#VALUE!</v>
      </c>
      <c r="BJ37" t="e">
        <f>AND('STERLING CATALOG - DRY '!E674,"AAAAAHS0/z0=")</f>
        <v>#VALUE!</v>
      </c>
      <c r="BK37" t="e">
        <f>AND('STERLING CATALOG - DRY '!F674,"AAAAAHS0/z4=")</f>
        <v>#VALUE!</v>
      </c>
      <c r="BL37" t="e">
        <f>AND('STERLING CATALOG - DRY '!G674,"AAAAAHS0/z8=")</f>
        <v>#VALUE!</v>
      </c>
      <c r="BM37" t="e">
        <f>AND('STERLING CATALOG - DRY '!H674,"AAAAAHS0/0A=")</f>
        <v>#VALUE!</v>
      </c>
      <c r="BN37" t="e">
        <f>AND('STERLING CATALOG - DRY '!I674,"AAAAAHS0/0E=")</f>
        <v>#VALUE!</v>
      </c>
      <c r="BO37" t="e">
        <f>AND('STERLING CATALOG - DRY '!J674,"AAAAAHS0/0I=")</f>
        <v>#VALUE!</v>
      </c>
      <c r="BP37">
        <f>IF('STERLING CATALOG - DRY '!675:675,"AAAAAHS0/0M=",0)</f>
        <v>0</v>
      </c>
      <c r="BQ37" t="e">
        <f>AND('STERLING CATALOG - DRY '!A675,"AAAAAHS0/0Q=")</f>
        <v>#VALUE!</v>
      </c>
      <c r="BR37" t="e">
        <f>AND('STERLING CATALOG - DRY '!B675,"AAAAAHS0/0U=")</f>
        <v>#VALUE!</v>
      </c>
      <c r="BS37" t="e">
        <f>AND('STERLING CATALOG - DRY '!C675,"AAAAAHS0/0Y=")</f>
        <v>#VALUE!</v>
      </c>
      <c r="BT37" t="e">
        <f>AND('STERLING CATALOG - DRY '!D675,"AAAAAHS0/0c=")</f>
        <v>#VALUE!</v>
      </c>
      <c r="BU37" t="e">
        <f>AND('STERLING CATALOG - DRY '!E675,"AAAAAHS0/0g=")</f>
        <v>#VALUE!</v>
      </c>
      <c r="BV37" t="e">
        <f>AND('STERLING CATALOG - DRY '!F675,"AAAAAHS0/0k=")</f>
        <v>#VALUE!</v>
      </c>
      <c r="BW37" t="e">
        <f>AND('STERLING CATALOG - DRY '!G675,"AAAAAHS0/0o=")</f>
        <v>#VALUE!</v>
      </c>
      <c r="BX37" t="e">
        <f>AND('STERLING CATALOG - DRY '!H675,"AAAAAHS0/0s=")</f>
        <v>#VALUE!</v>
      </c>
      <c r="BY37" t="e">
        <f>AND('STERLING CATALOG - DRY '!I675,"AAAAAHS0/0w=")</f>
        <v>#VALUE!</v>
      </c>
      <c r="BZ37" t="e">
        <f>AND('STERLING CATALOG - DRY '!J675,"AAAAAHS0/00=")</f>
        <v>#VALUE!</v>
      </c>
      <c r="CA37">
        <f>IF('STERLING CATALOG - DRY '!676:676,"AAAAAHS0/04=",0)</f>
        <v>0</v>
      </c>
      <c r="CB37" t="e">
        <f>AND('STERLING CATALOG - DRY '!A676,"AAAAAHS0/08=")</f>
        <v>#VALUE!</v>
      </c>
      <c r="CC37" t="e">
        <f>AND('STERLING CATALOG - DRY '!B676,"AAAAAHS0/1A=")</f>
        <v>#VALUE!</v>
      </c>
      <c r="CD37" t="e">
        <f>AND('STERLING CATALOG - DRY '!C676,"AAAAAHS0/1E=")</f>
        <v>#VALUE!</v>
      </c>
      <c r="CE37" t="e">
        <f>AND('STERLING CATALOG - DRY '!D676,"AAAAAHS0/1I=")</f>
        <v>#VALUE!</v>
      </c>
      <c r="CF37" t="e">
        <f>AND('STERLING CATALOG - DRY '!E676,"AAAAAHS0/1M=")</f>
        <v>#VALUE!</v>
      </c>
      <c r="CG37" t="e">
        <f>AND('STERLING CATALOG - DRY '!F676,"AAAAAHS0/1Q=")</f>
        <v>#VALUE!</v>
      </c>
      <c r="CH37" t="e">
        <f>AND('STERLING CATALOG - DRY '!G676,"AAAAAHS0/1U=")</f>
        <v>#VALUE!</v>
      </c>
      <c r="CI37" t="e">
        <f>AND('STERLING CATALOG - DRY '!H676,"AAAAAHS0/1Y=")</f>
        <v>#VALUE!</v>
      </c>
      <c r="CJ37" t="e">
        <f>AND('STERLING CATALOG - DRY '!I676,"AAAAAHS0/1c=")</f>
        <v>#VALUE!</v>
      </c>
      <c r="CK37" t="e">
        <f>AND('STERLING CATALOG - DRY '!J676,"AAAAAHS0/1g=")</f>
        <v>#VALUE!</v>
      </c>
      <c r="CL37">
        <f>IF('STERLING CATALOG - DRY '!677:677,"AAAAAHS0/1k=",0)</f>
        <v>0</v>
      </c>
      <c r="CM37" t="e">
        <f>AND('STERLING CATALOG - DRY '!A677,"AAAAAHS0/1o=")</f>
        <v>#VALUE!</v>
      </c>
      <c r="CN37" t="e">
        <f>AND('STERLING CATALOG - DRY '!B677,"AAAAAHS0/1s=")</f>
        <v>#VALUE!</v>
      </c>
      <c r="CO37" t="e">
        <f>AND('STERLING CATALOG - DRY '!C677,"AAAAAHS0/1w=")</f>
        <v>#VALUE!</v>
      </c>
      <c r="CP37" t="e">
        <f>AND('STERLING CATALOG - DRY '!D677,"AAAAAHS0/10=")</f>
        <v>#VALUE!</v>
      </c>
      <c r="CQ37" t="e">
        <f>AND('STERLING CATALOG - DRY '!E677,"AAAAAHS0/14=")</f>
        <v>#VALUE!</v>
      </c>
      <c r="CR37" t="e">
        <f>AND('STERLING CATALOG - DRY '!F677,"AAAAAHS0/18=")</f>
        <v>#VALUE!</v>
      </c>
      <c r="CS37" t="e">
        <f>AND('STERLING CATALOG - DRY '!G677,"AAAAAHS0/2A=")</f>
        <v>#VALUE!</v>
      </c>
      <c r="CT37" t="e">
        <f>AND('STERLING CATALOG - DRY '!H677,"AAAAAHS0/2E=")</f>
        <v>#VALUE!</v>
      </c>
      <c r="CU37" t="e">
        <f>AND('STERLING CATALOG - DRY '!I677,"AAAAAHS0/2I=")</f>
        <v>#VALUE!</v>
      </c>
      <c r="CV37" t="e">
        <f>AND('STERLING CATALOG - DRY '!J677,"AAAAAHS0/2M=")</f>
        <v>#VALUE!</v>
      </c>
      <c r="CW37">
        <f>IF('STERLING CATALOG - DRY '!678:678,"AAAAAHS0/2Q=",0)</f>
        <v>0</v>
      </c>
      <c r="CX37" t="e">
        <f>AND('STERLING CATALOG - DRY '!A678,"AAAAAHS0/2U=")</f>
        <v>#VALUE!</v>
      </c>
      <c r="CY37" t="e">
        <f>AND('STERLING CATALOG - DRY '!B678,"AAAAAHS0/2Y=")</f>
        <v>#VALUE!</v>
      </c>
      <c r="CZ37" t="e">
        <f>AND('STERLING CATALOG - DRY '!C678,"AAAAAHS0/2c=")</f>
        <v>#VALUE!</v>
      </c>
      <c r="DA37" t="e">
        <f>AND('STERLING CATALOG - DRY '!D678,"AAAAAHS0/2g=")</f>
        <v>#VALUE!</v>
      </c>
      <c r="DB37" t="e">
        <f>AND('STERLING CATALOG - DRY '!E678,"AAAAAHS0/2k=")</f>
        <v>#VALUE!</v>
      </c>
      <c r="DC37" t="e">
        <f>AND('STERLING CATALOG - DRY '!F678,"AAAAAHS0/2o=")</f>
        <v>#VALUE!</v>
      </c>
      <c r="DD37" t="e">
        <f>AND('STERLING CATALOG - DRY '!G678,"AAAAAHS0/2s=")</f>
        <v>#VALUE!</v>
      </c>
      <c r="DE37" t="e">
        <f>AND('STERLING CATALOG - DRY '!H678,"AAAAAHS0/2w=")</f>
        <v>#VALUE!</v>
      </c>
      <c r="DF37" t="e">
        <f>AND('STERLING CATALOG - DRY '!I678,"AAAAAHS0/20=")</f>
        <v>#VALUE!</v>
      </c>
      <c r="DG37" t="e">
        <f>AND('STERLING CATALOG - DRY '!J678,"AAAAAHS0/24=")</f>
        <v>#VALUE!</v>
      </c>
      <c r="DH37">
        <f>IF('STERLING CATALOG - DRY '!679:679,"AAAAAHS0/28=",0)</f>
        <v>0</v>
      </c>
      <c r="DI37" t="e">
        <f>AND('STERLING CATALOG - DRY '!A679,"AAAAAHS0/3A=")</f>
        <v>#VALUE!</v>
      </c>
      <c r="DJ37" t="e">
        <f>AND('STERLING CATALOG - DRY '!B679,"AAAAAHS0/3E=")</f>
        <v>#VALUE!</v>
      </c>
      <c r="DK37" t="e">
        <f>AND('STERLING CATALOG - DRY '!C679,"AAAAAHS0/3I=")</f>
        <v>#VALUE!</v>
      </c>
      <c r="DL37" t="e">
        <f>AND('STERLING CATALOG - DRY '!D679,"AAAAAHS0/3M=")</f>
        <v>#VALUE!</v>
      </c>
      <c r="DM37" t="e">
        <f>AND('STERLING CATALOG - DRY '!E679,"AAAAAHS0/3Q=")</f>
        <v>#VALUE!</v>
      </c>
      <c r="DN37" t="e">
        <f>AND('STERLING CATALOG - DRY '!F679,"AAAAAHS0/3U=")</f>
        <v>#VALUE!</v>
      </c>
      <c r="DO37" t="e">
        <f>AND('STERLING CATALOG - DRY '!G679,"AAAAAHS0/3Y=")</f>
        <v>#VALUE!</v>
      </c>
      <c r="DP37" t="e">
        <f>AND('STERLING CATALOG - DRY '!H679,"AAAAAHS0/3c=")</f>
        <v>#VALUE!</v>
      </c>
      <c r="DQ37" t="e">
        <f>AND('STERLING CATALOG - DRY '!I679,"AAAAAHS0/3g=")</f>
        <v>#VALUE!</v>
      </c>
      <c r="DR37" t="e">
        <f>AND('STERLING CATALOG - DRY '!J679,"AAAAAHS0/3k=")</f>
        <v>#VALUE!</v>
      </c>
      <c r="DS37">
        <f>IF('STERLING CATALOG - DRY '!680:680,"AAAAAHS0/3o=",0)</f>
        <v>0</v>
      </c>
      <c r="DT37" t="e">
        <f>AND('STERLING CATALOG - DRY '!A680,"AAAAAHS0/3s=")</f>
        <v>#VALUE!</v>
      </c>
      <c r="DU37" t="e">
        <f>AND('STERLING CATALOG - DRY '!B680,"AAAAAHS0/3w=")</f>
        <v>#VALUE!</v>
      </c>
      <c r="DV37" t="e">
        <f>AND('STERLING CATALOG - DRY '!C680,"AAAAAHS0/30=")</f>
        <v>#VALUE!</v>
      </c>
      <c r="DW37" t="e">
        <f>AND('STERLING CATALOG - DRY '!D680,"AAAAAHS0/34=")</f>
        <v>#VALUE!</v>
      </c>
      <c r="DX37" t="e">
        <f>AND('STERLING CATALOG - DRY '!E680,"AAAAAHS0/38=")</f>
        <v>#VALUE!</v>
      </c>
      <c r="DY37" t="e">
        <f>AND('STERLING CATALOG - DRY '!F680,"AAAAAHS0/4A=")</f>
        <v>#VALUE!</v>
      </c>
      <c r="DZ37" t="e">
        <f>AND('STERLING CATALOG - DRY '!G680,"AAAAAHS0/4E=")</f>
        <v>#VALUE!</v>
      </c>
      <c r="EA37" t="e">
        <f>AND('STERLING CATALOG - DRY '!H680,"AAAAAHS0/4I=")</f>
        <v>#VALUE!</v>
      </c>
      <c r="EB37" t="e">
        <f>AND('STERLING CATALOG - DRY '!I680,"AAAAAHS0/4M=")</f>
        <v>#VALUE!</v>
      </c>
      <c r="EC37" t="e">
        <f>AND('STERLING CATALOG - DRY '!J680,"AAAAAHS0/4Q=")</f>
        <v>#VALUE!</v>
      </c>
      <c r="ED37">
        <f>IF('STERLING CATALOG - DRY '!681:681,"AAAAAHS0/4U=",0)</f>
        <v>0</v>
      </c>
      <c r="EE37" t="e">
        <f>AND('STERLING CATALOG - DRY '!A681,"AAAAAHS0/4Y=")</f>
        <v>#VALUE!</v>
      </c>
      <c r="EF37" t="e">
        <f>AND('STERLING CATALOG - DRY '!B681,"AAAAAHS0/4c=")</f>
        <v>#VALUE!</v>
      </c>
      <c r="EG37" t="e">
        <f>AND('STERLING CATALOG - DRY '!C681,"AAAAAHS0/4g=")</f>
        <v>#VALUE!</v>
      </c>
      <c r="EH37" t="e">
        <f>AND('STERLING CATALOG - DRY '!D681,"AAAAAHS0/4k=")</f>
        <v>#VALUE!</v>
      </c>
      <c r="EI37" t="e">
        <f>AND('STERLING CATALOG - DRY '!E681,"AAAAAHS0/4o=")</f>
        <v>#VALUE!</v>
      </c>
      <c r="EJ37" t="e">
        <f>AND('STERLING CATALOG - DRY '!F681,"AAAAAHS0/4s=")</f>
        <v>#VALUE!</v>
      </c>
      <c r="EK37" t="e">
        <f>AND('STERLING CATALOG - DRY '!G681,"AAAAAHS0/4w=")</f>
        <v>#VALUE!</v>
      </c>
      <c r="EL37" t="e">
        <f>AND('STERLING CATALOG - DRY '!H681,"AAAAAHS0/40=")</f>
        <v>#VALUE!</v>
      </c>
      <c r="EM37" t="e">
        <f>AND('STERLING CATALOG - DRY '!I681,"AAAAAHS0/44=")</f>
        <v>#VALUE!</v>
      </c>
      <c r="EN37" t="e">
        <f>AND('STERLING CATALOG - DRY '!J681,"AAAAAHS0/48=")</f>
        <v>#VALUE!</v>
      </c>
      <c r="EO37">
        <f>IF('STERLING CATALOG - DRY '!682:682,"AAAAAHS0/5A=",0)</f>
        <v>0</v>
      </c>
      <c r="EP37" t="e">
        <f>AND('STERLING CATALOG - DRY '!A682,"AAAAAHS0/5E=")</f>
        <v>#VALUE!</v>
      </c>
      <c r="EQ37" t="e">
        <f>AND('STERLING CATALOG - DRY '!B682,"AAAAAHS0/5I=")</f>
        <v>#VALUE!</v>
      </c>
      <c r="ER37" t="e">
        <f>AND('STERLING CATALOG - DRY '!C682,"AAAAAHS0/5M=")</f>
        <v>#VALUE!</v>
      </c>
      <c r="ES37" t="e">
        <f>AND('STERLING CATALOG - DRY '!D682,"AAAAAHS0/5Q=")</f>
        <v>#VALUE!</v>
      </c>
      <c r="ET37" t="e">
        <f>AND('STERLING CATALOG - DRY '!E682,"AAAAAHS0/5U=")</f>
        <v>#VALUE!</v>
      </c>
      <c r="EU37" t="e">
        <f>AND('STERLING CATALOG - DRY '!F682,"AAAAAHS0/5Y=")</f>
        <v>#VALUE!</v>
      </c>
      <c r="EV37" t="e">
        <f>AND('STERLING CATALOG - DRY '!G682,"AAAAAHS0/5c=")</f>
        <v>#VALUE!</v>
      </c>
      <c r="EW37" t="e">
        <f>AND('STERLING CATALOG - DRY '!H682,"AAAAAHS0/5g=")</f>
        <v>#VALUE!</v>
      </c>
      <c r="EX37" t="e">
        <f>AND('STERLING CATALOG - DRY '!I682,"AAAAAHS0/5k=")</f>
        <v>#VALUE!</v>
      </c>
      <c r="EY37" t="e">
        <f>AND('STERLING CATALOG - DRY '!J682,"AAAAAHS0/5o=")</f>
        <v>#VALUE!</v>
      </c>
      <c r="EZ37">
        <f>IF('STERLING CATALOG - DRY '!683:683,"AAAAAHS0/5s=",0)</f>
        <v>0</v>
      </c>
      <c r="FA37" t="e">
        <f>AND('STERLING CATALOG - DRY '!A683,"AAAAAHS0/5w=")</f>
        <v>#VALUE!</v>
      </c>
      <c r="FB37" t="e">
        <f>AND('STERLING CATALOG - DRY '!B683,"AAAAAHS0/50=")</f>
        <v>#VALUE!</v>
      </c>
      <c r="FC37" t="e">
        <f>AND('STERLING CATALOG - DRY '!C683,"AAAAAHS0/54=")</f>
        <v>#VALUE!</v>
      </c>
      <c r="FD37" t="e">
        <f>AND('STERLING CATALOG - DRY '!D683,"AAAAAHS0/58=")</f>
        <v>#VALUE!</v>
      </c>
      <c r="FE37" t="e">
        <f>AND('STERLING CATALOG - DRY '!E683,"AAAAAHS0/6A=")</f>
        <v>#VALUE!</v>
      </c>
      <c r="FF37" t="e">
        <f>AND('STERLING CATALOG - DRY '!F683,"AAAAAHS0/6E=")</f>
        <v>#VALUE!</v>
      </c>
      <c r="FG37" t="e">
        <f>AND('STERLING CATALOG - DRY '!G683,"AAAAAHS0/6I=")</f>
        <v>#VALUE!</v>
      </c>
      <c r="FH37" t="e">
        <f>AND('STERLING CATALOG - DRY '!H683,"AAAAAHS0/6M=")</f>
        <v>#VALUE!</v>
      </c>
      <c r="FI37" t="e">
        <f>AND('STERLING CATALOG - DRY '!I683,"AAAAAHS0/6Q=")</f>
        <v>#VALUE!</v>
      </c>
      <c r="FJ37" t="e">
        <f>AND('STERLING CATALOG - DRY '!J683,"AAAAAHS0/6U=")</f>
        <v>#VALUE!</v>
      </c>
      <c r="FK37">
        <f>IF('STERLING CATALOG - DRY '!684:684,"AAAAAHS0/6Y=",0)</f>
        <v>0</v>
      </c>
      <c r="FL37" t="e">
        <f>AND('STERLING CATALOG - DRY '!A684,"AAAAAHS0/6c=")</f>
        <v>#VALUE!</v>
      </c>
      <c r="FM37" t="e">
        <f>AND('STERLING CATALOG - DRY '!B684,"AAAAAHS0/6g=")</f>
        <v>#VALUE!</v>
      </c>
      <c r="FN37" t="e">
        <f>AND('STERLING CATALOG - DRY '!C684,"AAAAAHS0/6k=")</f>
        <v>#VALUE!</v>
      </c>
      <c r="FO37" t="e">
        <f>AND('STERLING CATALOG - DRY '!D684,"AAAAAHS0/6o=")</f>
        <v>#VALUE!</v>
      </c>
      <c r="FP37" t="e">
        <f>AND('STERLING CATALOG - DRY '!E684,"AAAAAHS0/6s=")</f>
        <v>#VALUE!</v>
      </c>
      <c r="FQ37" t="e">
        <f>AND('STERLING CATALOG - DRY '!F684,"AAAAAHS0/6w=")</f>
        <v>#VALUE!</v>
      </c>
      <c r="FR37" t="e">
        <f>AND('STERLING CATALOG - DRY '!G684,"AAAAAHS0/60=")</f>
        <v>#VALUE!</v>
      </c>
      <c r="FS37" t="e">
        <f>AND('STERLING CATALOG - DRY '!H684,"AAAAAHS0/64=")</f>
        <v>#VALUE!</v>
      </c>
      <c r="FT37" t="e">
        <f>AND('STERLING CATALOG - DRY '!I684,"AAAAAHS0/68=")</f>
        <v>#VALUE!</v>
      </c>
      <c r="FU37" t="e">
        <f>AND('STERLING CATALOG - DRY '!J684,"AAAAAHS0/7A=")</f>
        <v>#VALUE!</v>
      </c>
      <c r="FV37">
        <f>IF('STERLING CATALOG - DRY '!685:685,"AAAAAHS0/7E=",0)</f>
        <v>0</v>
      </c>
      <c r="FW37" t="e">
        <f>AND('STERLING CATALOG - DRY '!A685,"AAAAAHS0/7I=")</f>
        <v>#VALUE!</v>
      </c>
      <c r="FX37" t="e">
        <f>AND('STERLING CATALOG - DRY '!B685,"AAAAAHS0/7M=")</f>
        <v>#VALUE!</v>
      </c>
      <c r="FY37" t="e">
        <f>AND('STERLING CATALOG - DRY '!C685,"AAAAAHS0/7Q=")</f>
        <v>#VALUE!</v>
      </c>
      <c r="FZ37" t="e">
        <f>AND('STERLING CATALOG - DRY '!D685,"AAAAAHS0/7U=")</f>
        <v>#VALUE!</v>
      </c>
      <c r="GA37" t="e">
        <f>AND('STERLING CATALOG - DRY '!E685,"AAAAAHS0/7Y=")</f>
        <v>#VALUE!</v>
      </c>
      <c r="GB37" t="e">
        <f>AND('STERLING CATALOG - DRY '!F685,"AAAAAHS0/7c=")</f>
        <v>#VALUE!</v>
      </c>
      <c r="GC37" t="e">
        <f>AND('STERLING CATALOG - DRY '!G685,"AAAAAHS0/7g=")</f>
        <v>#VALUE!</v>
      </c>
      <c r="GD37" t="e">
        <f>AND('STERLING CATALOG - DRY '!H685,"AAAAAHS0/7k=")</f>
        <v>#VALUE!</v>
      </c>
      <c r="GE37" t="e">
        <f>AND('STERLING CATALOG - DRY '!I685,"AAAAAHS0/7o=")</f>
        <v>#VALUE!</v>
      </c>
      <c r="GF37" t="e">
        <f>AND('STERLING CATALOG - DRY '!J685,"AAAAAHS0/7s=")</f>
        <v>#VALUE!</v>
      </c>
      <c r="GG37">
        <f>IF('STERLING CATALOG - DRY '!686:686,"AAAAAHS0/7w=",0)</f>
        <v>0</v>
      </c>
      <c r="GH37" t="e">
        <f>AND('STERLING CATALOG - DRY '!A686,"AAAAAHS0/70=")</f>
        <v>#VALUE!</v>
      </c>
      <c r="GI37" t="e">
        <f>AND('STERLING CATALOG - DRY '!B686,"AAAAAHS0/74=")</f>
        <v>#VALUE!</v>
      </c>
      <c r="GJ37" t="e">
        <f>AND('STERLING CATALOG - DRY '!C686,"AAAAAHS0/78=")</f>
        <v>#VALUE!</v>
      </c>
      <c r="GK37" t="e">
        <f>AND('STERLING CATALOG - DRY '!D686,"AAAAAHS0/8A=")</f>
        <v>#VALUE!</v>
      </c>
      <c r="GL37" t="e">
        <f>AND('STERLING CATALOG - DRY '!E686,"AAAAAHS0/8E=")</f>
        <v>#VALUE!</v>
      </c>
      <c r="GM37" t="e">
        <f>AND('STERLING CATALOG - DRY '!F686,"AAAAAHS0/8I=")</f>
        <v>#VALUE!</v>
      </c>
      <c r="GN37" t="e">
        <f>AND('STERLING CATALOG - DRY '!G686,"AAAAAHS0/8M=")</f>
        <v>#VALUE!</v>
      </c>
      <c r="GO37" t="e">
        <f>AND('STERLING CATALOG - DRY '!H686,"AAAAAHS0/8Q=")</f>
        <v>#VALUE!</v>
      </c>
      <c r="GP37" t="e">
        <f>AND('STERLING CATALOG - DRY '!I686,"AAAAAHS0/8U=")</f>
        <v>#VALUE!</v>
      </c>
      <c r="GQ37" t="e">
        <f>AND('STERLING CATALOG - DRY '!J686,"AAAAAHS0/8Y=")</f>
        <v>#VALUE!</v>
      </c>
      <c r="GR37">
        <f>IF('STERLING CATALOG - DRY '!687:687,"AAAAAHS0/8c=",0)</f>
        <v>0</v>
      </c>
      <c r="GS37" t="e">
        <f>AND('STERLING CATALOG - DRY '!A687,"AAAAAHS0/8g=")</f>
        <v>#VALUE!</v>
      </c>
      <c r="GT37" t="e">
        <f>AND('STERLING CATALOG - DRY '!B687,"AAAAAHS0/8k=")</f>
        <v>#VALUE!</v>
      </c>
      <c r="GU37" t="e">
        <f>AND('STERLING CATALOG - DRY '!C687,"AAAAAHS0/8o=")</f>
        <v>#VALUE!</v>
      </c>
      <c r="GV37" t="e">
        <f>AND('STERLING CATALOG - DRY '!D687,"AAAAAHS0/8s=")</f>
        <v>#VALUE!</v>
      </c>
      <c r="GW37" t="e">
        <f>AND('STERLING CATALOG - DRY '!E687,"AAAAAHS0/8w=")</f>
        <v>#VALUE!</v>
      </c>
      <c r="GX37" t="e">
        <f>AND('STERLING CATALOG - DRY '!F687,"AAAAAHS0/80=")</f>
        <v>#VALUE!</v>
      </c>
      <c r="GY37" t="e">
        <f>AND('STERLING CATALOG - DRY '!G687,"AAAAAHS0/84=")</f>
        <v>#VALUE!</v>
      </c>
      <c r="GZ37" t="e">
        <f>AND('STERLING CATALOG - DRY '!H687,"AAAAAHS0/88=")</f>
        <v>#VALUE!</v>
      </c>
      <c r="HA37" t="e">
        <f>AND('STERLING CATALOG - DRY '!I687,"AAAAAHS0/9A=")</f>
        <v>#VALUE!</v>
      </c>
      <c r="HB37" t="e">
        <f>AND('STERLING CATALOG - DRY '!J687,"AAAAAHS0/9E=")</f>
        <v>#VALUE!</v>
      </c>
      <c r="HC37">
        <f>IF('STERLING CATALOG - DRY '!688:688,"AAAAAHS0/9I=",0)</f>
        <v>0</v>
      </c>
      <c r="HD37" t="e">
        <f>AND('STERLING CATALOG - DRY '!A688,"AAAAAHS0/9M=")</f>
        <v>#VALUE!</v>
      </c>
      <c r="HE37" t="e">
        <f>AND('STERLING CATALOG - DRY '!B688,"AAAAAHS0/9Q=")</f>
        <v>#VALUE!</v>
      </c>
      <c r="HF37" t="e">
        <f>AND('STERLING CATALOG - DRY '!C688,"AAAAAHS0/9U=")</f>
        <v>#VALUE!</v>
      </c>
      <c r="HG37" t="e">
        <f>AND('STERLING CATALOG - DRY '!D688,"AAAAAHS0/9Y=")</f>
        <v>#VALUE!</v>
      </c>
      <c r="HH37" t="e">
        <f>AND('STERLING CATALOG - DRY '!E688,"AAAAAHS0/9c=")</f>
        <v>#VALUE!</v>
      </c>
      <c r="HI37" t="e">
        <f>AND('STERLING CATALOG - DRY '!F688,"AAAAAHS0/9g=")</f>
        <v>#VALUE!</v>
      </c>
      <c r="HJ37" t="e">
        <f>AND('STERLING CATALOG - DRY '!G688,"AAAAAHS0/9k=")</f>
        <v>#VALUE!</v>
      </c>
      <c r="HK37" t="e">
        <f>AND('STERLING CATALOG - DRY '!H688,"AAAAAHS0/9o=")</f>
        <v>#VALUE!</v>
      </c>
      <c r="HL37" t="e">
        <f>AND('STERLING CATALOG - DRY '!I688,"AAAAAHS0/9s=")</f>
        <v>#VALUE!</v>
      </c>
      <c r="HM37" t="e">
        <f>AND('STERLING CATALOG - DRY '!J688,"AAAAAHS0/9w=")</f>
        <v>#VALUE!</v>
      </c>
      <c r="HN37">
        <f>IF('STERLING CATALOG - DRY '!689:689,"AAAAAHS0/90=",0)</f>
        <v>0</v>
      </c>
      <c r="HO37" t="e">
        <f>AND('STERLING CATALOG - DRY '!A689,"AAAAAHS0/94=")</f>
        <v>#VALUE!</v>
      </c>
      <c r="HP37" t="e">
        <f>AND('STERLING CATALOG - DRY '!B689,"AAAAAHS0/98=")</f>
        <v>#VALUE!</v>
      </c>
      <c r="HQ37" t="e">
        <f>AND('STERLING CATALOG - DRY '!C689,"AAAAAHS0/+A=")</f>
        <v>#VALUE!</v>
      </c>
      <c r="HR37" t="e">
        <f>AND('STERLING CATALOG - DRY '!D689,"AAAAAHS0/+E=")</f>
        <v>#VALUE!</v>
      </c>
      <c r="HS37" t="e">
        <f>AND('STERLING CATALOG - DRY '!E689,"AAAAAHS0/+I=")</f>
        <v>#VALUE!</v>
      </c>
      <c r="HT37" t="e">
        <f>AND('STERLING CATALOG - DRY '!F689,"AAAAAHS0/+M=")</f>
        <v>#VALUE!</v>
      </c>
      <c r="HU37" t="e">
        <f>AND('STERLING CATALOG - DRY '!G689,"AAAAAHS0/+Q=")</f>
        <v>#VALUE!</v>
      </c>
      <c r="HV37" t="e">
        <f>AND('STERLING CATALOG - DRY '!H689,"AAAAAHS0/+U=")</f>
        <v>#VALUE!</v>
      </c>
      <c r="HW37" t="e">
        <f>AND('STERLING CATALOG - DRY '!I689,"AAAAAHS0/+Y=")</f>
        <v>#VALUE!</v>
      </c>
      <c r="HX37" t="e">
        <f>AND('STERLING CATALOG - DRY '!J689,"AAAAAHS0/+c=")</f>
        <v>#VALUE!</v>
      </c>
      <c r="HY37">
        <f>IF('STERLING CATALOG - DRY '!690:690,"AAAAAHS0/+g=",0)</f>
        <v>0</v>
      </c>
      <c r="HZ37" t="e">
        <f>AND('STERLING CATALOG - DRY '!A690,"AAAAAHS0/+k=")</f>
        <v>#VALUE!</v>
      </c>
      <c r="IA37" t="e">
        <f>AND('STERLING CATALOG - DRY '!B690,"AAAAAHS0/+o=")</f>
        <v>#VALUE!</v>
      </c>
      <c r="IB37" t="e">
        <f>AND('STERLING CATALOG - DRY '!C690,"AAAAAHS0/+s=")</f>
        <v>#VALUE!</v>
      </c>
      <c r="IC37" t="e">
        <f>AND('STERLING CATALOG - DRY '!D690,"AAAAAHS0/+w=")</f>
        <v>#VALUE!</v>
      </c>
      <c r="ID37" t="e">
        <f>AND('STERLING CATALOG - DRY '!E690,"AAAAAHS0/+0=")</f>
        <v>#VALUE!</v>
      </c>
      <c r="IE37" t="e">
        <f>AND('STERLING CATALOG - DRY '!F690,"AAAAAHS0/+4=")</f>
        <v>#VALUE!</v>
      </c>
      <c r="IF37" t="e">
        <f>AND('STERLING CATALOG - DRY '!G690,"AAAAAHS0/+8=")</f>
        <v>#VALUE!</v>
      </c>
      <c r="IG37" t="e">
        <f>AND('STERLING CATALOG - DRY '!H690,"AAAAAHS0//A=")</f>
        <v>#VALUE!</v>
      </c>
      <c r="IH37" t="e">
        <f>AND('STERLING CATALOG - DRY '!I690,"AAAAAHS0//E=")</f>
        <v>#VALUE!</v>
      </c>
      <c r="II37" t="e">
        <f>AND('STERLING CATALOG - DRY '!J690,"AAAAAHS0//I=")</f>
        <v>#VALUE!</v>
      </c>
      <c r="IJ37">
        <f>IF('STERLING CATALOG - DRY '!691:691,"AAAAAHS0//M=",0)</f>
        <v>0</v>
      </c>
      <c r="IK37" t="e">
        <f>AND('STERLING CATALOG - DRY '!A691,"AAAAAHS0//Q=")</f>
        <v>#VALUE!</v>
      </c>
      <c r="IL37" t="e">
        <f>AND('STERLING CATALOG - DRY '!B691,"AAAAAHS0//U=")</f>
        <v>#VALUE!</v>
      </c>
      <c r="IM37" t="e">
        <f>AND('STERLING CATALOG - DRY '!C691,"AAAAAHS0//Y=")</f>
        <v>#VALUE!</v>
      </c>
      <c r="IN37" t="e">
        <f>AND('STERLING CATALOG - DRY '!D691,"AAAAAHS0//c=")</f>
        <v>#VALUE!</v>
      </c>
      <c r="IO37" t="e">
        <f>AND('STERLING CATALOG - DRY '!E691,"AAAAAHS0//g=")</f>
        <v>#VALUE!</v>
      </c>
      <c r="IP37" t="e">
        <f>AND('STERLING CATALOG - DRY '!F691,"AAAAAHS0//k=")</f>
        <v>#VALUE!</v>
      </c>
      <c r="IQ37" t="e">
        <f>AND('STERLING CATALOG - DRY '!G691,"AAAAAHS0//o=")</f>
        <v>#VALUE!</v>
      </c>
      <c r="IR37" t="e">
        <f>AND('STERLING CATALOG - DRY '!H691,"AAAAAHS0//s=")</f>
        <v>#VALUE!</v>
      </c>
      <c r="IS37" t="e">
        <f>AND('STERLING CATALOG - DRY '!I691,"AAAAAHS0//w=")</f>
        <v>#VALUE!</v>
      </c>
      <c r="IT37" t="e">
        <f>AND('STERLING CATALOG - DRY '!J691,"AAAAAHS0//0=")</f>
        <v>#VALUE!</v>
      </c>
      <c r="IU37">
        <f>IF('STERLING CATALOG - DRY '!692:692,"AAAAAHS0//4=",0)</f>
        <v>0</v>
      </c>
      <c r="IV37" t="e">
        <f>AND('STERLING CATALOG - DRY '!A692,"AAAAAHS0//8=")</f>
        <v>#VALUE!</v>
      </c>
    </row>
    <row r="38" spans="1:256">
      <c r="A38" t="e">
        <f>AND('STERLING CATALOG - DRY '!B692,"AAAAADvf2wA=")</f>
        <v>#VALUE!</v>
      </c>
      <c r="B38" t="e">
        <f>AND('STERLING CATALOG - DRY '!C692,"AAAAADvf2wE=")</f>
        <v>#VALUE!</v>
      </c>
      <c r="C38" t="e">
        <f>AND('STERLING CATALOG - DRY '!D692,"AAAAADvf2wI=")</f>
        <v>#VALUE!</v>
      </c>
      <c r="D38" t="e">
        <f>AND('STERLING CATALOG - DRY '!E692,"AAAAADvf2wM=")</f>
        <v>#VALUE!</v>
      </c>
      <c r="E38" t="e">
        <f>AND('STERLING CATALOG - DRY '!F692,"AAAAADvf2wQ=")</f>
        <v>#VALUE!</v>
      </c>
      <c r="F38" t="e">
        <f>AND('STERLING CATALOG - DRY '!G692,"AAAAADvf2wU=")</f>
        <v>#VALUE!</v>
      </c>
      <c r="G38" t="e">
        <f>AND('STERLING CATALOG - DRY '!H692,"AAAAADvf2wY=")</f>
        <v>#VALUE!</v>
      </c>
      <c r="H38" t="e">
        <f>AND('STERLING CATALOG - DRY '!I692,"AAAAADvf2wc=")</f>
        <v>#VALUE!</v>
      </c>
      <c r="I38" t="e">
        <f>AND('STERLING CATALOG - DRY '!J692,"AAAAADvf2wg=")</f>
        <v>#VALUE!</v>
      </c>
      <c r="J38" t="e">
        <f>IF('STERLING CATALOG - DRY '!693:693,"AAAAADvf2wk=",0)</f>
        <v>#VALUE!</v>
      </c>
      <c r="K38" t="e">
        <f>AND('STERLING CATALOG - DRY '!A693,"AAAAADvf2wo=")</f>
        <v>#VALUE!</v>
      </c>
      <c r="L38" t="e">
        <f>AND('STERLING CATALOG - DRY '!B693,"AAAAADvf2ws=")</f>
        <v>#VALUE!</v>
      </c>
      <c r="M38" t="e">
        <f>AND('STERLING CATALOG - DRY '!C693,"AAAAADvf2ww=")</f>
        <v>#VALUE!</v>
      </c>
      <c r="N38" t="e">
        <f>AND('STERLING CATALOG - DRY '!D693,"AAAAADvf2w0=")</f>
        <v>#VALUE!</v>
      </c>
      <c r="O38" t="e">
        <f>AND('STERLING CATALOG - DRY '!E693,"AAAAADvf2w4=")</f>
        <v>#VALUE!</v>
      </c>
      <c r="P38" t="e">
        <f>AND('STERLING CATALOG - DRY '!F693,"AAAAADvf2w8=")</f>
        <v>#VALUE!</v>
      </c>
      <c r="Q38" t="e">
        <f>AND('STERLING CATALOG - DRY '!G693,"AAAAADvf2xA=")</f>
        <v>#VALUE!</v>
      </c>
      <c r="R38" t="e">
        <f>AND('STERLING CATALOG - DRY '!H693,"AAAAADvf2xE=")</f>
        <v>#VALUE!</v>
      </c>
      <c r="S38" t="e">
        <f>AND('STERLING CATALOG - DRY '!I693,"AAAAADvf2xI=")</f>
        <v>#VALUE!</v>
      </c>
      <c r="T38" t="e">
        <f>AND('STERLING CATALOG - DRY '!J693,"AAAAADvf2xM=")</f>
        <v>#VALUE!</v>
      </c>
      <c r="U38">
        <f>IF('STERLING CATALOG - DRY '!694:694,"AAAAADvf2xQ=",0)</f>
        <v>0</v>
      </c>
      <c r="V38" t="e">
        <f>AND('STERLING CATALOG - DRY '!A694,"AAAAADvf2xU=")</f>
        <v>#VALUE!</v>
      </c>
      <c r="W38" t="e">
        <f>AND('STERLING CATALOG - DRY '!B694,"AAAAADvf2xY=")</f>
        <v>#VALUE!</v>
      </c>
      <c r="X38" t="e">
        <f>AND('STERLING CATALOG - DRY '!C694,"AAAAADvf2xc=")</f>
        <v>#VALUE!</v>
      </c>
      <c r="Y38" t="e">
        <f>AND('STERLING CATALOG - DRY '!D694,"AAAAADvf2xg=")</f>
        <v>#VALUE!</v>
      </c>
      <c r="Z38" t="e">
        <f>AND('STERLING CATALOG - DRY '!E694,"AAAAADvf2xk=")</f>
        <v>#VALUE!</v>
      </c>
      <c r="AA38" t="e">
        <f>AND('STERLING CATALOG - DRY '!F694,"AAAAADvf2xo=")</f>
        <v>#VALUE!</v>
      </c>
      <c r="AB38" t="e">
        <f>AND('STERLING CATALOG - DRY '!G694,"AAAAADvf2xs=")</f>
        <v>#VALUE!</v>
      </c>
      <c r="AC38" t="e">
        <f>AND('STERLING CATALOG - DRY '!H694,"AAAAADvf2xw=")</f>
        <v>#VALUE!</v>
      </c>
      <c r="AD38" t="e">
        <f>AND('STERLING CATALOG - DRY '!I694,"AAAAADvf2x0=")</f>
        <v>#VALUE!</v>
      </c>
      <c r="AE38" t="e">
        <f>AND('STERLING CATALOG - DRY '!J694,"AAAAADvf2x4=")</f>
        <v>#VALUE!</v>
      </c>
      <c r="AF38">
        <f>IF('STERLING CATALOG - DRY '!695:695,"AAAAADvf2x8=",0)</f>
        <v>0</v>
      </c>
      <c r="AG38" t="e">
        <f>AND('STERLING CATALOG - DRY '!A695,"AAAAADvf2yA=")</f>
        <v>#VALUE!</v>
      </c>
      <c r="AH38" t="e">
        <f>AND('STERLING CATALOG - DRY '!B695,"AAAAADvf2yE=")</f>
        <v>#VALUE!</v>
      </c>
      <c r="AI38" t="e">
        <f>AND('STERLING CATALOG - DRY '!C695,"AAAAADvf2yI=")</f>
        <v>#VALUE!</v>
      </c>
      <c r="AJ38" t="e">
        <f>AND('STERLING CATALOG - DRY '!D695,"AAAAADvf2yM=")</f>
        <v>#VALUE!</v>
      </c>
      <c r="AK38" t="e">
        <f>AND('STERLING CATALOG - DRY '!E695,"AAAAADvf2yQ=")</f>
        <v>#VALUE!</v>
      </c>
      <c r="AL38" t="e">
        <f>AND('STERLING CATALOG - DRY '!F695,"AAAAADvf2yU=")</f>
        <v>#VALUE!</v>
      </c>
      <c r="AM38" t="e">
        <f>AND('STERLING CATALOG - DRY '!G695,"AAAAADvf2yY=")</f>
        <v>#VALUE!</v>
      </c>
      <c r="AN38" t="e">
        <f>AND('STERLING CATALOG - DRY '!H695,"AAAAADvf2yc=")</f>
        <v>#VALUE!</v>
      </c>
      <c r="AO38" t="e">
        <f>AND('STERLING CATALOG - DRY '!I695,"AAAAADvf2yg=")</f>
        <v>#VALUE!</v>
      </c>
      <c r="AP38" t="e">
        <f>AND('STERLING CATALOG - DRY '!J695,"AAAAADvf2yk=")</f>
        <v>#VALUE!</v>
      </c>
      <c r="AQ38">
        <f>IF('STERLING CATALOG - DRY '!696:696,"AAAAADvf2yo=",0)</f>
        <v>0</v>
      </c>
      <c r="AR38" t="e">
        <f>AND('STERLING CATALOG - DRY '!A696,"AAAAADvf2ys=")</f>
        <v>#VALUE!</v>
      </c>
      <c r="AS38" t="e">
        <f>AND('STERLING CATALOG - DRY '!B696,"AAAAADvf2yw=")</f>
        <v>#VALUE!</v>
      </c>
      <c r="AT38" t="e">
        <f>AND('STERLING CATALOG - DRY '!C696,"AAAAADvf2y0=")</f>
        <v>#VALUE!</v>
      </c>
      <c r="AU38" t="e">
        <f>AND('STERLING CATALOG - DRY '!D696,"AAAAADvf2y4=")</f>
        <v>#VALUE!</v>
      </c>
      <c r="AV38" t="e">
        <f>AND('STERLING CATALOG - DRY '!E696,"AAAAADvf2y8=")</f>
        <v>#VALUE!</v>
      </c>
      <c r="AW38" t="e">
        <f>AND('STERLING CATALOG - DRY '!F696,"AAAAADvf2zA=")</f>
        <v>#VALUE!</v>
      </c>
      <c r="AX38" t="e">
        <f>AND('STERLING CATALOG - DRY '!G696,"AAAAADvf2zE=")</f>
        <v>#VALUE!</v>
      </c>
      <c r="AY38" t="e">
        <f>AND('STERLING CATALOG - DRY '!H696,"AAAAADvf2zI=")</f>
        <v>#VALUE!</v>
      </c>
      <c r="AZ38" t="e">
        <f>AND('STERLING CATALOG - DRY '!I696,"AAAAADvf2zM=")</f>
        <v>#VALUE!</v>
      </c>
      <c r="BA38" t="e">
        <f>AND('STERLING CATALOG - DRY '!J696,"AAAAADvf2zQ=")</f>
        <v>#VALUE!</v>
      </c>
      <c r="BB38">
        <f>IF('STERLING CATALOG - DRY '!697:697,"AAAAADvf2zU=",0)</f>
        <v>0</v>
      </c>
      <c r="BC38" t="e">
        <f>AND('STERLING CATALOG - DRY '!A697,"AAAAADvf2zY=")</f>
        <v>#VALUE!</v>
      </c>
      <c r="BD38" t="e">
        <f>AND('STERLING CATALOG - DRY '!B697,"AAAAADvf2zc=")</f>
        <v>#VALUE!</v>
      </c>
      <c r="BE38" t="e">
        <f>AND('STERLING CATALOG - DRY '!C697,"AAAAADvf2zg=")</f>
        <v>#VALUE!</v>
      </c>
      <c r="BF38" t="e">
        <f>AND('STERLING CATALOG - DRY '!D697,"AAAAADvf2zk=")</f>
        <v>#VALUE!</v>
      </c>
      <c r="BG38" t="e">
        <f>AND('STERLING CATALOG - DRY '!E697,"AAAAADvf2zo=")</f>
        <v>#VALUE!</v>
      </c>
      <c r="BH38" t="e">
        <f>AND('STERLING CATALOG - DRY '!F697,"AAAAADvf2zs=")</f>
        <v>#VALUE!</v>
      </c>
      <c r="BI38" t="e">
        <f>AND('STERLING CATALOG - DRY '!G697,"AAAAADvf2zw=")</f>
        <v>#VALUE!</v>
      </c>
      <c r="BJ38" t="e">
        <f>AND('STERLING CATALOG - DRY '!H697,"AAAAADvf2z0=")</f>
        <v>#VALUE!</v>
      </c>
      <c r="BK38" t="e">
        <f>AND('STERLING CATALOG - DRY '!I697,"AAAAADvf2z4=")</f>
        <v>#VALUE!</v>
      </c>
      <c r="BL38" t="e">
        <f>AND('STERLING CATALOG - DRY '!J697,"AAAAADvf2z8=")</f>
        <v>#VALUE!</v>
      </c>
      <c r="BM38">
        <f>IF('STERLING CATALOG - DRY '!698:698,"AAAAADvf20A=",0)</f>
        <v>0</v>
      </c>
      <c r="BN38" t="e">
        <f>AND('STERLING CATALOG - DRY '!A698,"AAAAADvf20E=")</f>
        <v>#VALUE!</v>
      </c>
      <c r="BO38" t="e">
        <f>AND('STERLING CATALOG - DRY '!B698,"AAAAADvf20I=")</f>
        <v>#VALUE!</v>
      </c>
      <c r="BP38" t="e">
        <f>AND('STERLING CATALOG - DRY '!C698,"AAAAADvf20M=")</f>
        <v>#VALUE!</v>
      </c>
      <c r="BQ38" t="e">
        <f>AND('STERLING CATALOG - DRY '!D698,"AAAAADvf20Q=")</f>
        <v>#VALUE!</v>
      </c>
      <c r="BR38" t="e">
        <f>AND('STERLING CATALOG - DRY '!E698,"AAAAADvf20U=")</f>
        <v>#VALUE!</v>
      </c>
      <c r="BS38" t="e">
        <f>AND('STERLING CATALOG - DRY '!F698,"AAAAADvf20Y=")</f>
        <v>#VALUE!</v>
      </c>
      <c r="BT38" t="e">
        <f>AND('STERLING CATALOG - DRY '!G698,"AAAAADvf20c=")</f>
        <v>#VALUE!</v>
      </c>
      <c r="BU38" t="e">
        <f>AND('STERLING CATALOG - DRY '!H698,"AAAAADvf20g=")</f>
        <v>#VALUE!</v>
      </c>
      <c r="BV38" t="e">
        <f>AND('STERLING CATALOG - DRY '!I698,"AAAAADvf20k=")</f>
        <v>#VALUE!</v>
      </c>
      <c r="BW38" t="e">
        <f>AND('STERLING CATALOG - DRY '!J698,"AAAAADvf20o=")</f>
        <v>#VALUE!</v>
      </c>
      <c r="BX38">
        <f>IF('STERLING CATALOG - DRY '!699:699,"AAAAADvf20s=",0)</f>
        <v>0</v>
      </c>
      <c r="BY38" t="e">
        <f>AND('STERLING CATALOG - DRY '!A699,"AAAAADvf20w=")</f>
        <v>#VALUE!</v>
      </c>
      <c r="BZ38" t="e">
        <f>AND('STERLING CATALOG - DRY '!B699,"AAAAADvf200=")</f>
        <v>#VALUE!</v>
      </c>
      <c r="CA38" t="e">
        <f>AND('STERLING CATALOG - DRY '!C699,"AAAAADvf204=")</f>
        <v>#VALUE!</v>
      </c>
      <c r="CB38" t="e">
        <f>AND('STERLING CATALOG - DRY '!D699,"AAAAADvf208=")</f>
        <v>#VALUE!</v>
      </c>
      <c r="CC38" t="e">
        <f>AND('STERLING CATALOG - DRY '!E699,"AAAAADvf21A=")</f>
        <v>#VALUE!</v>
      </c>
      <c r="CD38" t="e">
        <f>AND('STERLING CATALOG - DRY '!F699,"AAAAADvf21E=")</f>
        <v>#VALUE!</v>
      </c>
      <c r="CE38" t="e">
        <f>AND('STERLING CATALOG - DRY '!G699,"AAAAADvf21I=")</f>
        <v>#VALUE!</v>
      </c>
      <c r="CF38" t="e">
        <f>AND('STERLING CATALOG - DRY '!H699,"AAAAADvf21M=")</f>
        <v>#VALUE!</v>
      </c>
      <c r="CG38" t="e">
        <f>AND('STERLING CATALOG - DRY '!I699,"AAAAADvf21Q=")</f>
        <v>#VALUE!</v>
      </c>
      <c r="CH38" t="e">
        <f>AND('STERLING CATALOG - DRY '!J699,"AAAAADvf21U=")</f>
        <v>#VALUE!</v>
      </c>
      <c r="CI38">
        <f>IF('STERLING CATALOG - DRY '!700:700,"AAAAADvf21Y=",0)</f>
        <v>0</v>
      </c>
      <c r="CJ38" t="e">
        <f>AND('STERLING CATALOG - DRY '!A700,"AAAAADvf21c=")</f>
        <v>#VALUE!</v>
      </c>
      <c r="CK38" t="e">
        <f>AND('STERLING CATALOG - DRY '!B700,"AAAAADvf21g=")</f>
        <v>#VALUE!</v>
      </c>
      <c r="CL38" t="e">
        <f>AND('STERLING CATALOG - DRY '!C700,"AAAAADvf21k=")</f>
        <v>#VALUE!</v>
      </c>
      <c r="CM38" t="e">
        <f>AND('STERLING CATALOG - DRY '!D700,"AAAAADvf21o=")</f>
        <v>#VALUE!</v>
      </c>
      <c r="CN38" t="e">
        <f>AND('STERLING CATALOG - DRY '!E700,"AAAAADvf21s=")</f>
        <v>#VALUE!</v>
      </c>
      <c r="CO38" t="e">
        <f>AND('STERLING CATALOG - DRY '!F700,"AAAAADvf21w=")</f>
        <v>#VALUE!</v>
      </c>
      <c r="CP38" t="e">
        <f>AND('STERLING CATALOG - DRY '!G700,"AAAAADvf210=")</f>
        <v>#VALUE!</v>
      </c>
      <c r="CQ38" t="e">
        <f>AND('STERLING CATALOG - DRY '!H700,"AAAAADvf214=")</f>
        <v>#VALUE!</v>
      </c>
      <c r="CR38" t="e">
        <f>AND('STERLING CATALOG - DRY '!I700,"AAAAADvf218=")</f>
        <v>#VALUE!</v>
      </c>
      <c r="CS38" t="e">
        <f>AND('STERLING CATALOG - DRY '!J700,"AAAAADvf22A=")</f>
        <v>#VALUE!</v>
      </c>
      <c r="CT38">
        <f>IF('STERLING CATALOG - DRY '!701:701,"AAAAADvf22E=",0)</f>
        <v>0</v>
      </c>
      <c r="CU38" t="e">
        <f>AND('STERLING CATALOG - DRY '!A701,"AAAAADvf22I=")</f>
        <v>#VALUE!</v>
      </c>
      <c r="CV38" t="e">
        <f>AND('STERLING CATALOG - DRY '!B701,"AAAAADvf22M=")</f>
        <v>#VALUE!</v>
      </c>
      <c r="CW38" t="e">
        <f>AND('STERLING CATALOG - DRY '!C701,"AAAAADvf22Q=")</f>
        <v>#VALUE!</v>
      </c>
      <c r="CX38" t="e">
        <f>AND('STERLING CATALOG - DRY '!D701,"AAAAADvf22U=")</f>
        <v>#VALUE!</v>
      </c>
      <c r="CY38" t="e">
        <f>AND('STERLING CATALOG - DRY '!E701,"AAAAADvf22Y=")</f>
        <v>#VALUE!</v>
      </c>
      <c r="CZ38" t="e">
        <f>AND('STERLING CATALOG - DRY '!F701,"AAAAADvf22c=")</f>
        <v>#VALUE!</v>
      </c>
      <c r="DA38" t="e">
        <f>AND('STERLING CATALOG - DRY '!G701,"AAAAADvf22g=")</f>
        <v>#VALUE!</v>
      </c>
      <c r="DB38" t="e">
        <f>AND('STERLING CATALOG - DRY '!H701,"AAAAADvf22k=")</f>
        <v>#VALUE!</v>
      </c>
      <c r="DC38" t="e">
        <f>AND('STERLING CATALOG - DRY '!I701,"AAAAADvf22o=")</f>
        <v>#VALUE!</v>
      </c>
      <c r="DD38" t="e">
        <f>AND('STERLING CATALOG - DRY '!J701,"AAAAADvf22s=")</f>
        <v>#VALUE!</v>
      </c>
      <c r="DE38">
        <f>IF('STERLING CATALOG - DRY '!702:702,"AAAAADvf22w=",0)</f>
        <v>0</v>
      </c>
      <c r="DF38" t="e">
        <f>AND('STERLING CATALOG - DRY '!A702,"AAAAADvf220=")</f>
        <v>#VALUE!</v>
      </c>
      <c r="DG38" t="e">
        <f>AND('STERLING CATALOG - DRY '!B702,"AAAAADvf224=")</f>
        <v>#VALUE!</v>
      </c>
      <c r="DH38" t="e">
        <f>AND('STERLING CATALOG - DRY '!C702,"AAAAADvf228=")</f>
        <v>#VALUE!</v>
      </c>
      <c r="DI38" t="e">
        <f>AND('STERLING CATALOG - DRY '!D702,"AAAAADvf23A=")</f>
        <v>#VALUE!</v>
      </c>
      <c r="DJ38" t="e">
        <f>AND('STERLING CATALOG - DRY '!E702,"AAAAADvf23E=")</f>
        <v>#VALUE!</v>
      </c>
      <c r="DK38" t="e">
        <f>AND('STERLING CATALOG - DRY '!F702,"AAAAADvf23I=")</f>
        <v>#VALUE!</v>
      </c>
      <c r="DL38" t="e">
        <f>AND('STERLING CATALOG - DRY '!G702,"AAAAADvf23M=")</f>
        <v>#VALUE!</v>
      </c>
      <c r="DM38" t="e">
        <f>AND('STERLING CATALOG - DRY '!H702,"AAAAADvf23Q=")</f>
        <v>#VALUE!</v>
      </c>
      <c r="DN38" t="e">
        <f>AND('STERLING CATALOG - DRY '!I702,"AAAAADvf23U=")</f>
        <v>#VALUE!</v>
      </c>
      <c r="DO38" t="e">
        <f>AND('STERLING CATALOG - DRY '!J702,"AAAAADvf23Y=")</f>
        <v>#VALUE!</v>
      </c>
      <c r="DP38">
        <f>IF('STERLING CATALOG - DRY '!703:703,"AAAAADvf23c=",0)</f>
        <v>0</v>
      </c>
      <c r="DQ38" t="e">
        <f>AND('STERLING CATALOG - DRY '!A703,"AAAAADvf23g=")</f>
        <v>#VALUE!</v>
      </c>
      <c r="DR38" t="e">
        <f>AND('STERLING CATALOG - DRY '!B703,"AAAAADvf23k=")</f>
        <v>#VALUE!</v>
      </c>
      <c r="DS38" t="e">
        <f>AND('STERLING CATALOG - DRY '!C703,"AAAAADvf23o=")</f>
        <v>#VALUE!</v>
      </c>
      <c r="DT38" t="e">
        <f>AND('STERLING CATALOG - DRY '!D703,"AAAAADvf23s=")</f>
        <v>#VALUE!</v>
      </c>
      <c r="DU38" t="e">
        <f>AND('STERLING CATALOG - DRY '!E703,"AAAAADvf23w=")</f>
        <v>#VALUE!</v>
      </c>
      <c r="DV38" t="e">
        <f>AND('STERLING CATALOG - DRY '!F703,"AAAAADvf230=")</f>
        <v>#VALUE!</v>
      </c>
      <c r="DW38" t="e">
        <f>AND('STERLING CATALOG - DRY '!G703,"AAAAADvf234=")</f>
        <v>#VALUE!</v>
      </c>
      <c r="DX38" t="e">
        <f>AND('STERLING CATALOG - DRY '!H703,"AAAAADvf238=")</f>
        <v>#VALUE!</v>
      </c>
      <c r="DY38" t="e">
        <f>AND('STERLING CATALOG - DRY '!I703,"AAAAADvf24A=")</f>
        <v>#VALUE!</v>
      </c>
      <c r="DZ38" t="e">
        <f>AND('STERLING CATALOG - DRY '!J703,"AAAAADvf24E=")</f>
        <v>#VALUE!</v>
      </c>
      <c r="EA38">
        <f>IF('STERLING CATALOG - DRY '!704:704,"AAAAADvf24I=",0)</f>
        <v>0</v>
      </c>
      <c r="EB38" t="e">
        <f>AND('STERLING CATALOG - DRY '!A704,"AAAAADvf24M=")</f>
        <v>#VALUE!</v>
      </c>
      <c r="EC38" t="e">
        <f>AND('STERLING CATALOG - DRY '!B704,"AAAAADvf24Q=")</f>
        <v>#VALUE!</v>
      </c>
      <c r="ED38" t="e">
        <f>AND('STERLING CATALOG - DRY '!C704,"AAAAADvf24U=")</f>
        <v>#VALUE!</v>
      </c>
      <c r="EE38" t="e">
        <f>AND('STERLING CATALOG - DRY '!D704,"AAAAADvf24Y=")</f>
        <v>#VALUE!</v>
      </c>
      <c r="EF38" t="e">
        <f>AND('STERLING CATALOG - DRY '!E704,"AAAAADvf24c=")</f>
        <v>#VALUE!</v>
      </c>
      <c r="EG38" t="e">
        <f>AND('STERLING CATALOG - DRY '!F704,"AAAAADvf24g=")</f>
        <v>#VALUE!</v>
      </c>
      <c r="EH38" t="e">
        <f>AND('STERLING CATALOG - DRY '!G704,"AAAAADvf24k=")</f>
        <v>#VALUE!</v>
      </c>
      <c r="EI38" t="e">
        <f>AND('STERLING CATALOG - DRY '!H704,"AAAAADvf24o=")</f>
        <v>#VALUE!</v>
      </c>
      <c r="EJ38" t="e">
        <f>AND('STERLING CATALOG - DRY '!I704,"AAAAADvf24s=")</f>
        <v>#VALUE!</v>
      </c>
      <c r="EK38" t="e">
        <f>AND('STERLING CATALOG - DRY '!J704,"AAAAADvf24w=")</f>
        <v>#VALUE!</v>
      </c>
      <c r="EL38">
        <f>IF('STERLING CATALOG - DRY '!705:705,"AAAAADvf240=",0)</f>
        <v>0</v>
      </c>
      <c r="EM38" t="e">
        <f>AND('STERLING CATALOG - DRY '!A705,"AAAAADvf244=")</f>
        <v>#VALUE!</v>
      </c>
      <c r="EN38" t="e">
        <f>AND('STERLING CATALOG - DRY '!B705,"AAAAADvf248=")</f>
        <v>#VALUE!</v>
      </c>
      <c r="EO38" t="e">
        <f>AND('STERLING CATALOG - DRY '!C705,"AAAAADvf25A=")</f>
        <v>#VALUE!</v>
      </c>
      <c r="EP38" t="e">
        <f>AND('STERLING CATALOG - DRY '!D705,"AAAAADvf25E=")</f>
        <v>#VALUE!</v>
      </c>
      <c r="EQ38" t="e">
        <f>AND('STERLING CATALOG - DRY '!E705,"AAAAADvf25I=")</f>
        <v>#VALUE!</v>
      </c>
      <c r="ER38" t="e">
        <f>AND('STERLING CATALOG - DRY '!F705,"AAAAADvf25M=")</f>
        <v>#VALUE!</v>
      </c>
      <c r="ES38" t="e">
        <f>AND('STERLING CATALOG - DRY '!G705,"AAAAADvf25Q=")</f>
        <v>#VALUE!</v>
      </c>
      <c r="ET38" t="e">
        <f>AND('STERLING CATALOG - DRY '!H705,"AAAAADvf25U=")</f>
        <v>#VALUE!</v>
      </c>
      <c r="EU38" t="e">
        <f>AND('STERLING CATALOG - DRY '!I705,"AAAAADvf25Y=")</f>
        <v>#VALUE!</v>
      </c>
      <c r="EV38" t="e">
        <f>AND('STERLING CATALOG - DRY '!J705,"AAAAADvf25c=")</f>
        <v>#VALUE!</v>
      </c>
      <c r="EW38">
        <f>IF('STERLING CATALOG - DRY '!706:706,"AAAAADvf25g=",0)</f>
        <v>0</v>
      </c>
      <c r="EX38" t="e">
        <f>AND('STERLING CATALOG - DRY '!A706,"AAAAADvf25k=")</f>
        <v>#VALUE!</v>
      </c>
      <c r="EY38" t="e">
        <f>AND('STERLING CATALOG - DRY '!B706,"AAAAADvf25o=")</f>
        <v>#VALUE!</v>
      </c>
      <c r="EZ38" t="e">
        <f>AND('STERLING CATALOG - DRY '!C706,"AAAAADvf25s=")</f>
        <v>#VALUE!</v>
      </c>
      <c r="FA38" t="e">
        <f>AND('STERLING CATALOG - DRY '!D706,"AAAAADvf25w=")</f>
        <v>#VALUE!</v>
      </c>
      <c r="FB38" t="e">
        <f>AND('STERLING CATALOG - DRY '!E706,"AAAAADvf250=")</f>
        <v>#VALUE!</v>
      </c>
      <c r="FC38" t="e">
        <f>AND('STERLING CATALOG - DRY '!F706,"AAAAADvf254=")</f>
        <v>#VALUE!</v>
      </c>
      <c r="FD38" t="e">
        <f>AND('STERLING CATALOG - DRY '!G706,"AAAAADvf258=")</f>
        <v>#VALUE!</v>
      </c>
      <c r="FE38" t="e">
        <f>AND('STERLING CATALOG - DRY '!H706,"AAAAADvf26A=")</f>
        <v>#VALUE!</v>
      </c>
      <c r="FF38" t="e">
        <f>AND('STERLING CATALOG - DRY '!I706,"AAAAADvf26E=")</f>
        <v>#VALUE!</v>
      </c>
      <c r="FG38" t="e">
        <f>AND('STERLING CATALOG - DRY '!J706,"AAAAADvf26I=")</f>
        <v>#VALUE!</v>
      </c>
      <c r="FH38">
        <f>IF('STERLING CATALOG - DRY '!707:707,"AAAAADvf26M=",0)</f>
        <v>0</v>
      </c>
      <c r="FI38" t="e">
        <f>AND('STERLING CATALOG - DRY '!A707,"AAAAADvf26Q=")</f>
        <v>#VALUE!</v>
      </c>
      <c r="FJ38" t="e">
        <f>AND('STERLING CATALOG - DRY '!B707,"AAAAADvf26U=")</f>
        <v>#VALUE!</v>
      </c>
      <c r="FK38" t="e">
        <f>AND('STERLING CATALOG - DRY '!C707,"AAAAADvf26Y=")</f>
        <v>#VALUE!</v>
      </c>
      <c r="FL38" t="e">
        <f>AND('STERLING CATALOG - DRY '!D707,"AAAAADvf26c=")</f>
        <v>#VALUE!</v>
      </c>
      <c r="FM38" t="e">
        <f>AND('STERLING CATALOG - DRY '!E707,"AAAAADvf26g=")</f>
        <v>#VALUE!</v>
      </c>
      <c r="FN38" t="e">
        <f>AND('STERLING CATALOG - DRY '!F707,"AAAAADvf26k=")</f>
        <v>#VALUE!</v>
      </c>
      <c r="FO38" t="e">
        <f>AND('STERLING CATALOG - DRY '!G707,"AAAAADvf26o=")</f>
        <v>#VALUE!</v>
      </c>
      <c r="FP38" t="e">
        <f>AND('STERLING CATALOG - DRY '!H707,"AAAAADvf26s=")</f>
        <v>#VALUE!</v>
      </c>
      <c r="FQ38" t="e">
        <f>AND('STERLING CATALOG - DRY '!I707,"AAAAADvf26w=")</f>
        <v>#VALUE!</v>
      </c>
      <c r="FR38" t="e">
        <f>AND('STERLING CATALOG - DRY '!J707,"AAAAADvf260=")</f>
        <v>#VALUE!</v>
      </c>
      <c r="FS38">
        <f>IF('STERLING CATALOG - DRY '!708:708,"AAAAADvf264=",0)</f>
        <v>0</v>
      </c>
      <c r="FT38" t="e">
        <f>AND('STERLING CATALOG - DRY '!A708,"AAAAADvf268=")</f>
        <v>#VALUE!</v>
      </c>
      <c r="FU38" t="e">
        <f>AND('STERLING CATALOG - DRY '!B708,"AAAAADvf27A=")</f>
        <v>#VALUE!</v>
      </c>
      <c r="FV38" t="e">
        <f>AND('STERLING CATALOG - DRY '!C708,"AAAAADvf27E=")</f>
        <v>#VALUE!</v>
      </c>
      <c r="FW38" t="e">
        <f>AND('STERLING CATALOG - DRY '!D708,"AAAAADvf27I=")</f>
        <v>#VALUE!</v>
      </c>
      <c r="FX38" t="e">
        <f>AND('STERLING CATALOG - DRY '!E708,"AAAAADvf27M=")</f>
        <v>#VALUE!</v>
      </c>
      <c r="FY38" t="e">
        <f>AND('STERLING CATALOG - DRY '!F708,"AAAAADvf27Q=")</f>
        <v>#VALUE!</v>
      </c>
      <c r="FZ38" t="e">
        <f>AND('STERLING CATALOG - DRY '!G708,"AAAAADvf27U=")</f>
        <v>#VALUE!</v>
      </c>
      <c r="GA38" t="e">
        <f>AND('STERLING CATALOG - DRY '!H708,"AAAAADvf27Y=")</f>
        <v>#VALUE!</v>
      </c>
      <c r="GB38" t="e">
        <f>AND('STERLING CATALOG - DRY '!I708,"AAAAADvf27c=")</f>
        <v>#VALUE!</v>
      </c>
      <c r="GC38" t="e">
        <f>AND('STERLING CATALOG - DRY '!J708,"AAAAADvf27g=")</f>
        <v>#VALUE!</v>
      </c>
      <c r="GD38">
        <f>IF('STERLING CATALOG - DRY '!709:709,"AAAAADvf27k=",0)</f>
        <v>0</v>
      </c>
      <c r="GE38" t="e">
        <f>AND('STERLING CATALOG - DRY '!A709,"AAAAADvf27o=")</f>
        <v>#VALUE!</v>
      </c>
      <c r="GF38" t="e">
        <f>AND('STERLING CATALOG - DRY '!B709,"AAAAADvf27s=")</f>
        <v>#VALUE!</v>
      </c>
      <c r="GG38" t="e">
        <f>AND('STERLING CATALOG - DRY '!C709,"AAAAADvf27w=")</f>
        <v>#VALUE!</v>
      </c>
      <c r="GH38" t="e">
        <f>AND('STERLING CATALOG - DRY '!D709,"AAAAADvf270=")</f>
        <v>#VALUE!</v>
      </c>
      <c r="GI38" t="e">
        <f>AND('STERLING CATALOG - DRY '!E709,"AAAAADvf274=")</f>
        <v>#VALUE!</v>
      </c>
      <c r="GJ38" t="e">
        <f>AND('STERLING CATALOG - DRY '!F709,"AAAAADvf278=")</f>
        <v>#VALUE!</v>
      </c>
      <c r="GK38" t="e">
        <f>AND('STERLING CATALOG - DRY '!G709,"AAAAADvf28A=")</f>
        <v>#VALUE!</v>
      </c>
      <c r="GL38" t="e">
        <f>AND('STERLING CATALOG - DRY '!H709,"AAAAADvf28E=")</f>
        <v>#VALUE!</v>
      </c>
      <c r="GM38" t="e">
        <f>AND('STERLING CATALOG - DRY '!I709,"AAAAADvf28I=")</f>
        <v>#VALUE!</v>
      </c>
      <c r="GN38" t="e">
        <f>AND('STERLING CATALOG - DRY '!J709,"AAAAADvf28M=")</f>
        <v>#VALUE!</v>
      </c>
      <c r="GO38">
        <f>IF('STERLING CATALOG - DRY '!710:710,"AAAAADvf28Q=",0)</f>
        <v>0</v>
      </c>
      <c r="GP38" t="e">
        <f>AND('STERLING CATALOG - DRY '!A710,"AAAAADvf28U=")</f>
        <v>#VALUE!</v>
      </c>
      <c r="GQ38" t="e">
        <f>AND('STERLING CATALOG - DRY '!B710,"AAAAADvf28Y=")</f>
        <v>#VALUE!</v>
      </c>
      <c r="GR38" t="e">
        <f>AND('STERLING CATALOG - DRY '!C710,"AAAAADvf28c=")</f>
        <v>#VALUE!</v>
      </c>
      <c r="GS38" t="e">
        <f>AND('STERLING CATALOG - DRY '!D710,"AAAAADvf28g=")</f>
        <v>#VALUE!</v>
      </c>
      <c r="GT38" t="e">
        <f>AND('STERLING CATALOG - DRY '!E710,"AAAAADvf28k=")</f>
        <v>#VALUE!</v>
      </c>
      <c r="GU38" t="e">
        <f>AND('STERLING CATALOG - DRY '!F710,"AAAAADvf28o=")</f>
        <v>#VALUE!</v>
      </c>
      <c r="GV38" t="e">
        <f>AND('STERLING CATALOG - DRY '!G710,"AAAAADvf28s=")</f>
        <v>#VALUE!</v>
      </c>
      <c r="GW38" t="e">
        <f>AND('STERLING CATALOG - DRY '!H710,"AAAAADvf28w=")</f>
        <v>#VALUE!</v>
      </c>
      <c r="GX38" t="e">
        <f>AND('STERLING CATALOG - DRY '!I710,"AAAAADvf280=")</f>
        <v>#VALUE!</v>
      </c>
      <c r="GY38" t="e">
        <f>AND('STERLING CATALOG - DRY '!J710,"AAAAADvf284=")</f>
        <v>#VALUE!</v>
      </c>
      <c r="GZ38">
        <f>IF('STERLING CATALOG - DRY '!711:711,"AAAAADvf288=",0)</f>
        <v>0</v>
      </c>
      <c r="HA38" t="e">
        <f>AND('STERLING CATALOG - DRY '!A711,"AAAAADvf29A=")</f>
        <v>#VALUE!</v>
      </c>
      <c r="HB38" t="e">
        <f>AND('STERLING CATALOG - DRY '!B711,"AAAAADvf29E=")</f>
        <v>#VALUE!</v>
      </c>
      <c r="HC38" t="e">
        <f>AND('STERLING CATALOG - DRY '!C711,"AAAAADvf29I=")</f>
        <v>#VALUE!</v>
      </c>
      <c r="HD38" t="e">
        <f>AND('STERLING CATALOG - DRY '!D711,"AAAAADvf29M=")</f>
        <v>#VALUE!</v>
      </c>
      <c r="HE38" t="e">
        <f>AND('STERLING CATALOG - DRY '!E711,"AAAAADvf29Q=")</f>
        <v>#VALUE!</v>
      </c>
      <c r="HF38" t="e">
        <f>AND('STERLING CATALOG - DRY '!F711,"AAAAADvf29U=")</f>
        <v>#VALUE!</v>
      </c>
      <c r="HG38" t="e">
        <f>AND('STERLING CATALOG - DRY '!G711,"AAAAADvf29Y=")</f>
        <v>#VALUE!</v>
      </c>
      <c r="HH38" t="e">
        <f>AND('STERLING CATALOG - DRY '!H711,"AAAAADvf29c=")</f>
        <v>#VALUE!</v>
      </c>
      <c r="HI38" t="e">
        <f>AND('STERLING CATALOG - DRY '!I711,"AAAAADvf29g=")</f>
        <v>#VALUE!</v>
      </c>
      <c r="HJ38" t="e">
        <f>AND('STERLING CATALOG - DRY '!J711,"AAAAADvf29k=")</f>
        <v>#VALUE!</v>
      </c>
      <c r="HK38">
        <f>IF('STERLING CATALOG - DRY '!712:712,"AAAAADvf29o=",0)</f>
        <v>0</v>
      </c>
      <c r="HL38" t="e">
        <f>AND('STERLING CATALOG - DRY '!A712,"AAAAADvf29s=")</f>
        <v>#VALUE!</v>
      </c>
      <c r="HM38" t="e">
        <f>AND('STERLING CATALOG - DRY '!B712,"AAAAADvf29w=")</f>
        <v>#VALUE!</v>
      </c>
      <c r="HN38" t="e">
        <f>AND('STERLING CATALOG - DRY '!C712,"AAAAADvf290=")</f>
        <v>#VALUE!</v>
      </c>
      <c r="HO38" t="e">
        <f>AND('STERLING CATALOG - DRY '!D712,"AAAAADvf294=")</f>
        <v>#VALUE!</v>
      </c>
      <c r="HP38" t="e">
        <f>AND('STERLING CATALOG - DRY '!E712,"AAAAADvf298=")</f>
        <v>#VALUE!</v>
      </c>
      <c r="HQ38" t="e">
        <f>AND('STERLING CATALOG - DRY '!F712,"AAAAADvf2+A=")</f>
        <v>#VALUE!</v>
      </c>
      <c r="HR38" t="e">
        <f>AND('STERLING CATALOG - DRY '!G712,"AAAAADvf2+E=")</f>
        <v>#VALUE!</v>
      </c>
      <c r="HS38" t="e">
        <f>AND('STERLING CATALOG - DRY '!H712,"AAAAADvf2+I=")</f>
        <v>#VALUE!</v>
      </c>
      <c r="HT38" t="e">
        <f>AND('STERLING CATALOG - DRY '!I712,"AAAAADvf2+M=")</f>
        <v>#VALUE!</v>
      </c>
      <c r="HU38" t="e">
        <f>AND('STERLING CATALOG - DRY '!J712,"AAAAADvf2+Q=")</f>
        <v>#VALUE!</v>
      </c>
      <c r="HV38">
        <f>IF('STERLING CATALOG - DRY '!713:713,"AAAAADvf2+U=",0)</f>
        <v>0</v>
      </c>
      <c r="HW38" t="e">
        <f>AND('STERLING CATALOG - DRY '!A713,"AAAAADvf2+Y=")</f>
        <v>#VALUE!</v>
      </c>
      <c r="HX38" t="e">
        <f>AND('STERLING CATALOG - DRY '!B713,"AAAAADvf2+c=")</f>
        <v>#VALUE!</v>
      </c>
      <c r="HY38" t="e">
        <f>AND('STERLING CATALOG - DRY '!C713,"AAAAADvf2+g=")</f>
        <v>#VALUE!</v>
      </c>
      <c r="HZ38" t="e">
        <f>AND('STERLING CATALOG - DRY '!D713,"AAAAADvf2+k=")</f>
        <v>#VALUE!</v>
      </c>
      <c r="IA38" t="e">
        <f>AND('STERLING CATALOG - DRY '!E713,"AAAAADvf2+o=")</f>
        <v>#VALUE!</v>
      </c>
      <c r="IB38" t="e">
        <f>AND('STERLING CATALOG - DRY '!F713,"AAAAADvf2+s=")</f>
        <v>#VALUE!</v>
      </c>
      <c r="IC38" t="e">
        <f>AND('STERLING CATALOG - DRY '!G713,"AAAAADvf2+w=")</f>
        <v>#VALUE!</v>
      </c>
      <c r="ID38" t="e">
        <f>AND('STERLING CATALOG - DRY '!H713,"AAAAADvf2+0=")</f>
        <v>#VALUE!</v>
      </c>
      <c r="IE38" t="e">
        <f>AND('STERLING CATALOG - DRY '!I713,"AAAAADvf2+4=")</f>
        <v>#VALUE!</v>
      </c>
      <c r="IF38" t="e">
        <f>AND('STERLING CATALOG - DRY '!J713,"AAAAADvf2+8=")</f>
        <v>#VALUE!</v>
      </c>
      <c r="IG38">
        <f>IF('STERLING CATALOG - DRY '!714:714,"AAAAADvf2/A=",0)</f>
        <v>0</v>
      </c>
      <c r="IH38" t="e">
        <f>AND('STERLING CATALOG - DRY '!A714,"AAAAADvf2/E=")</f>
        <v>#VALUE!</v>
      </c>
      <c r="II38" t="e">
        <f>AND('STERLING CATALOG - DRY '!B714,"AAAAADvf2/I=")</f>
        <v>#VALUE!</v>
      </c>
      <c r="IJ38" t="e">
        <f>AND('STERLING CATALOG - DRY '!C714,"AAAAADvf2/M=")</f>
        <v>#VALUE!</v>
      </c>
      <c r="IK38" t="e">
        <f>AND('STERLING CATALOG - DRY '!D714,"AAAAADvf2/Q=")</f>
        <v>#VALUE!</v>
      </c>
      <c r="IL38" t="e">
        <f>AND('STERLING CATALOG - DRY '!E714,"AAAAADvf2/U=")</f>
        <v>#VALUE!</v>
      </c>
      <c r="IM38" t="e">
        <f>AND('STERLING CATALOG - DRY '!F714,"AAAAADvf2/Y=")</f>
        <v>#VALUE!</v>
      </c>
      <c r="IN38" t="e">
        <f>AND('STERLING CATALOG - DRY '!G714,"AAAAADvf2/c=")</f>
        <v>#VALUE!</v>
      </c>
      <c r="IO38" t="e">
        <f>AND('STERLING CATALOG - DRY '!H714,"AAAAADvf2/g=")</f>
        <v>#VALUE!</v>
      </c>
      <c r="IP38" t="e">
        <f>AND('STERLING CATALOG - DRY '!I714,"AAAAADvf2/k=")</f>
        <v>#VALUE!</v>
      </c>
      <c r="IQ38" t="e">
        <f>AND('STERLING CATALOG - DRY '!J714,"AAAAADvf2/o=")</f>
        <v>#VALUE!</v>
      </c>
      <c r="IR38">
        <f>IF('STERLING CATALOG - DRY '!715:715,"AAAAADvf2/s=",0)</f>
        <v>0</v>
      </c>
      <c r="IS38" t="e">
        <f>AND('STERLING CATALOG - DRY '!A715,"AAAAADvf2/w=")</f>
        <v>#VALUE!</v>
      </c>
      <c r="IT38" t="e">
        <f>AND('STERLING CATALOG - DRY '!B715,"AAAAADvf2/0=")</f>
        <v>#VALUE!</v>
      </c>
      <c r="IU38" t="e">
        <f>AND('STERLING CATALOG - DRY '!C715,"AAAAADvf2/4=")</f>
        <v>#VALUE!</v>
      </c>
      <c r="IV38" t="e">
        <f>AND('STERLING CATALOG - DRY '!D715,"AAAAADvf2/8=")</f>
        <v>#VALUE!</v>
      </c>
    </row>
    <row r="39" spans="1:256">
      <c r="A39" t="e">
        <f>AND('STERLING CATALOG - DRY '!E715,"AAAAAH97/QA=")</f>
        <v>#VALUE!</v>
      </c>
      <c r="B39" t="e">
        <f>AND('STERLING CATALOG - DRY '!F715,"AAAAAH97/QE=")</f>
        <v>#VALUE!</v>
      </c>
      <c r="C39" t="e">
        <f>AND('STERLING CATALOG - DRY '!G715,"AAAAAH97/QI=")</f>
        <v>#VALUE!</v>
      </c>
      <c r="D39" t="e">
        <f>AND('STERLING CATALOG - DRY '!H715,"AAAAAH97/QM=")</f>
        <v>#VALUE!</v>
      </c>
      <c r="E39" t="e">
        <f>AND('STERLING CATALOG - DRY '!I715,"AAAAAH97/QQ=")</f>
        <v>#VALUE!</v>
      </c>
      <c r="F39" t="e">
        <f>AND('STERLING CATALOG - DRY '!J715,"AAAAAH97/QU=")</f>
        <v>#VALUE!</v>
      </c>
      <c r="G39" t="str">
        <f>IF('STERLING CATALOG - DRY '!716:716,"AAAAAH97/QY=",0)</f>
        <v>AAAAAH97/QY=</v>
      </c>
      <c r="H39" t="e">
        <f>AND('STERLING CATALOG - DRY '!A716,"AAAAAH97/Qc=")</f>
        <v>#VALUE!</v>
      </c>
      <c r="I39" t="e">
        <f>AND('STERLING CATALOG - DRY '!B716,"AAAAAH97/Qg=")</f>
        <v>#VALUE!</v>
      </c>
      <c r="J39" t="e">
        <f>AND('STERLING CATALOG - DRY '!C716,"AAAAAH97/Qk=")</f>
        <v>#VALUE!</v>
      </c>
      <c r="K39" t="e">
        <f>AND('STERLING CATALOG - DRY '!D716,"AAAAAH97/Qo=")</f>
        <v>#VALUE!</v>
      </c>
      <c r="L39" t="e">
        <f>AND('STERLING CATALOG - DRY '!E716,"AAAAAH97/Qs=")</f>
        <v>#VALUE!</v>
      </c>
      <c r="M39" t="e">
        <f>AND('STERLING CATALOG - DRY '!F716,"AAAAAH97/Qw=")</f>
        <v>#VALUE!</v>
      </c>
      <c r="N39" t="e">
        <f>AND('STERLING CATALOG - DRY '!G716,"AAAAAH97/Q0=")</f>
        <v>#VALUE!</v>
      </c>
      <c r="O39" t="e">
        <f>AND('STERLING CATALOG - DRY '!H716,"AAAAAH97/Q4=")</f>
        <v>#VALUE!</v>
      </c>
      <c r="P39" t="e">
        <f>AND('STERLING CATALOG - DRY '!I716,"AAAAAH97/Q8=")</f>
        <v>#VALUE!</v>
      </c>
      <c r="Q39" t="e">
        <f>AND('STERLING CATALOG - DRY '!J716,"AAAAAH97/RA=")</f>
        <v>#VALUE!</v>
      </c>
      <c r="R39">
        <f>IF('STERLING CATALOG - DRY '!717:717,"AAAAAH97/RE=",0)</f>
        <v>0</v>
      </c>
      <c r="S39" t="e">
        <f>AND('STERLING CATALOG - DRY '!A717,"AAAAAH97/RI=")</f>
        <v>#VALUE!</v>
      </c>
      <c r="T39" t="e">
        <f>AND('STERLING CATALOG - DRY '!B717,"AAAAAH97/RM=")</f>
        <v>#VALUE!</v>
      </c>
      <c r="U39" t="e">
        <f>AND('STERLING CATALOG - DRY '!C717,"AAAAAH97/RQ=")</f>
        <v>#VALUE!</v>
      </c>
      <c r="V39" t="e">
        <f>AND('STERLING CATALOG - DRY '!D717,"AAAAAH97/RU=")</f>
        <v>#VALUE!</v>
      </c>
      <c r="W39" t="e">
        <f>AND('STERLING CATALOG - DRY '!E717,"AAAAAH97/RY=")</f>
        <v>#VALUE!</v>
      </c>
      <c r="X39" t="e">
        <f>AND('STERLING CATALOG - DRY '!F717,"AAAAAH97/Rc=")</f>
        <v>#VALUE!</v>
      </c>
      <c r="Y39" t="e">
        <f>AND('STERLING CATALOG - DRY '!G717,"AAAAAH97/Rg=")</f>
        <v>#VALUE!</v>
      </c>
      <c r="Z39" t="e">
        <f>AND('STERLING CATALOG - DRY '!H717,"AAAAAH97/Rk=")</f>
        <v>#VALUE!</v>
      </c>
      <c r="AA39" t="e">
        <f>AND('STERLING CATALOG - DRY '!I717,"AAAAAH97/Ro=")</f>
        <v>#VALUE!</v>
      </c>
      <c r="AB39" t="e">
        <f>AND('STERLING CATALOG - DRY '!J717,"AAAAAH97/Rs=")</f>
        <v>#VALUE!</v>
      </c>
      <c r="AC39">
        <f>IF('STERLING CATALOG - DRY '!718:718,"AAAAAH97/Rw=",0)</f>
        <v>0</v>
      </c>
      <c r="AD39" t="e">
        <f>AND('STERLING CATALOG - DRY '!A718,"AAAAAH97/R0=")</f>
        <v>#VALUE!</v>
      </c>
      <c r="AE39" t="e">
        <f>AND('STERLING CATALOG - DRY '!B718,"AAAAAH97/R4=")</f>
        <v>#VALUE!</v>
      </c>
      <c r="AF39" t="e">
        <f>AND('STERLING CATALOG - DRY '!C718,"AAAAAH97/R8=")</f>
        <v>#VALUE!</v>
      </c>
      <c r="AG39" t="e">
        <f>AND('STERLING CATALOG - DRY '!D718,"AAAAAH97/SA=")</f>
        <v>#VALUE!</v>
      </c>
      <c r="AH39" t="e">
        <f>AND('STERLING CATALOG - DRY '!E718,"AAAAAH97/SE=")</f>
        <v>#VALUE!</v>
      </c>
      <c r="AI39" t="e">
        <f>AND('STERLING CATALOG - DRY '!F718,"AAAAAH97/SI=")</f>
        <v>#VALUE!</v>
      </c>
      <c r="AJ39" t="e">
        <f>AND('STERLING CATALOG - DRY '!G718,"AAAAAH97/SM=")</f>
        <v>#VALUE!</v>
      </c>
      <c r="AK39" t="e">
        <f>AND('STERLING CATALOG - DRY '!H718,"AAAAAH97/SQ=")</f>
        <v>#VALUE!</v>
      </c>
      <c r="AL39" t="e">
        <f>AND('STERLING CATALOG - DRY '!I718,"AAAAAH97/SU=")</f>
        <v>#VALUE!</v>
      </c>
      <c r="AM39" t="e">
        <f>AND('STERLING CATALOG - DRY '!J718,"AAAAAH97/SY=")</f>
        <v>#VALUE!</v>
      </c>
      <c r="AN39">
        <f>IF('STERLING CATALOG - DRY '!719:719,"AAAAAH97/Sc=",0)</f>
        <v>0</v>
      </c>
      <c r="AO39" t="e">
        <f>AND('STERLING CATALOG - DRY '!A719,"AAAAAH97/Sg=")</f>
        <v>#VALUE!</v>
      </c>
      <c r="AP39" t="e">
        <f>AND('STERLING CATALOG - DRY '!B719,"AAAAAH97/Sk=")</f>
        <v>#VALUE!</v>
      </c>
      <c r="AQ39" t="e">
        <f>AND('STERLING CATALOG - DRY '!C719,"AAAAAH97/So=")</f>
        <v>#VALUE!</v>
      </c>
      <c r="AR39" t="e">
        <f>AND('STERLING CATALOG - DRY '!D719,"AAAAAH97/Ss=")</f>
        <v>#VALUE!</v>
      </c>
      <c r="AS39" t="e">
        <f>AND('STERLING CATALOG - DRY '!E719,"AAAAAH97/Sw=")</f>
        <v>#VALUE!</v>
      </c>
      <c r="AT39" t="e">
        <f>AND('STERLING CATALOG - DRY '!F719,"AAAAAH97/S0=")</f>
        <v>#VALUE!</v>
      </c>
      <c r="AU39" t="e">
        <f>AND('STERLING CATALOG - DRY '!G719,"AAAAAH97/S4=")</f>
        <v>#VALUE!</v>
      </c>
      <c r="AV39" t="e">
        <f>AND('STERLING CATALOG - DRY '!H719,"AAAAAH97/S8=")</f>
        <v>#VALUE!</v>
      </c>
      <c r="AW39" t="e">
        <f>AND('STERLING CATALOG - DRY '!I719,"AAAAAH97/TA=")</f>
        <v>#VALUE!</v>
      </c>
      <c r="AX39" t="e">
        <f>AND('STERLING CATALOG - DRY '!J719,"AAAAAH97/TE=")</f>
        <v>#VALUE!</v>
      </c>
      <c r="AY39">
        <f>IF('STERLING CATALOG - DRY '!720:720,"AAAAAH97/TI=",0)</f>
        <v>0</v>
      </c>
      <c r="AZ39" t="e">
        <f>AND('STERLING CATALOG - DRY '!A720,"AAAAAH97/TM=")</f>
        <v>#VALUE!</v>
      </c>
      <c r="BA39" t="e">
        <f>AND('STERLING CATALOG - DRY '!B720,"AAAAAH97/TQ=")</f>
        <v>#VALUE!</v>
      </c>
      <c r="BB39" t="e">
        <f>AND('STERLING CATALOG - DRY '!C720,"AAAAAH97/TU=")</f>
        <v>#VALUE!</v>
      </c>
      <c r="BC39" t="e">
        <f>AND('STERLING CATALOG - DRY '!D720,"AAAAAH97/TY=")</f>
        <v>#VALUE!</v>
      </c>
      <c r="BD39" t="e">
        <f>AND('STERLING CATALOG - DRY '!E720,"AAAAAH97/Tc=")</f>
        <v>#VALUE!</v>
      </c>
      <c r="BE39" t="e">
        <f>AND('STERLING CATALOG - DRY '!F720,"AAAAAH97/Tg=")</f>
        <v>#VALUE!</v>
      </c>
      <c r="BF39" t="e">
        <f>AND('STERLING CATALOG - DRY '!G720,"AAAAAH97/Tk=")</f>
        <v>#VALUE!</v>
      </c>
      <c r="BG39" t="e">
        <f>AND('STERLING CATALOG - DRY '!H720,"AAAAAH97/To=")</f>
        <v>#VALUE!</v>
      </c>
      <c r="BH39" t="e">
        <f>AND('STERLING CATALOG - DRY '!I720,"AAAAAH97/Ts=")</f>
        <v>#VALUE!</v>
      </c>
      <c r="BI39" t="e">
        <f>AND('STERLING CATALOG - DRY '!J720,"AAAAAH97/Tw=")</f>
        <v>#VALUE!</v>
      </c>
      <c r="BJ39">
        <f>IF('STERLING CATALOG - DRY '!721:721,"AAAAAH97/T0=",0)</f>
        <v>0</v>
      </c>
      <c r="BK39" t="e">
        <f>AND('STERLING CATALOG - DRY '!A721,"AAAAAH97/T4=")</f>
        <v>#VALUE!</v>
      </c>
      <c r="BL39" t="e">
        <f>AND('STERLING CATALOG - DRY '!B721,"AAAAAH97/T8=")</f>
        <v>#VALUE!</v>
      </c>
      <c r="BM39" t="e">
        <f>AND('STERLING CATALOG - DRY '!C721,"AAAAAH97/UA=")</f>
        <v>#VALUE!</v>
      </c>
      <c r="BN39" t="e">
        <f>AND('STERLING CATALOG - DRY '!D721,"AAAAAH97/UE=")</f>
        <v>#VALUE!</v>
      </c>
      <c r="BO39" t="e">
        <f>AND('STERLING CATALOG - DRY '!E721,"AAAAAH97/UI=")</f>
        <v>#VALUE!</v>
      </c>
      <c r="BP39" t="e">
        <f>AND('STERLING CATALOG - DRY '!F721,"AAAAAH97/UM=")</f>
        <v>#VALUE!</v>
      </c>
      <c r="BQ39" t="e">
        <f>AND('STERLING CATALOG - DRY '!G721,"AAAAAH97/UQ=")</f>
        <v>#VALUE!</v>
      </c>
      <c r="BR39" t="e">
        <f>AND('STERLING CATALOG - DRY '!H721,"AAAAAH97/UU=")</f>
        <v>#VALUE!</v>
      </c>
      <c r="BS39" t="e">
        <f>AND('STERLING CATALOG - DRY '!I721,"AAAAAH97/UY=")</f>
        <v>#VALUE!</v>
      </c>
      <c r="BT39" t="e">
        <f>AND('STERLING CATALOG - DRY '!J721,"AAAAAH97/Uc=")</f>
        <v>#VALUE!</v>
      </c>
      <c r="BU39">
        <f>IF('STERLING CATALOG - DRY '!722:722,"AAAAAH97/Ug=",0)</f>
        <v>0</v>
      </c>
      <c r="BV39" t="e">
        <f>AND('STERLING CATALOG - DRY '!A722,"AAAAAH97/Uk=")</f>
        <v>#VALUE!</v>
      </c>
      <c r="BW39" t="e">
        <f>AND('STERLING CATALOG - DRY '!B722,"AAAAAH97/Uo=")</f>
        <v>#VALUE!</v>
      </c>
      <c r="BX39" t="e">
        <f>AND('STERLING CATALOG - DRY '!C722,"AAAAAH97/Us=")</f>
        <v>#VALUE!</v>
      </c>
      <c r="BY39" t="e">
        <f>AND('STERLING CATALOG - DRY '!D722,"AAAAAH97/Uw=")</f>
        <v>#VALUE!</v>
      </c>
      <c r="BZ39" t="e">
        <f>AND('STERLING CATALOG - DRY '!E722,"AAAAAH97/U0=")</f>
        <v>#VALUE!</v>
      </c>
      <c r="CA39" t="e">
        <f>AND('STERLING CATALOG - DRY '!F722,"AAAAAH97/U4=")</f>
        <v>#VALUE!</v>
      </c>
      <c r="CB39" t="e">
        <f>AND('STERLING CATALOG - DRY '!G722,"AAAAAH97/U8=")</f>
        <v>#VALUE!</v>
      </c>
      <c r="CC39" t="e">
        <f>AND('STERLING CATALOG - DRY '!H722,"AAAAAH97/VA=")</f>
        <v>#VALUE!</v>
      </c>
      <c r="CD39" t="e">
        <f>AND('STERLING CATALOG - DRY '!I722,"AAAAAH97/VE=")</f>
        <v>#VALUE!</v>
      </c>
      <c r="CE39" t="e">
        <f>AND('STERLING CATALOG - DRY '!J722,"AAAAAH97/VI=")</f>
        <v>#VALUE!</v>
      </c>
      <c r="CF39">
        <f>IF('STERLING CATALOG - DRY '!723:723,"AAAAAH97/VM=",0)</f>
        <v>0</v>
      </c>
      <c r="CG39" t="e">
        <f>AND('STERLING CATALOG - DRY '!A723,"AAAAAH97/VQ=")</f>
        <v>#VALUE!</v>
      </c>
      <c r="CH39" t="e">
        <f>AND('STERLING CATALOG - DRY '!B723,"AAAAAH97/VU=")</f>
        <v>#VALUE!</v>
      </c>
      <c r="CI39" t="e">
        <f>AND('STERLING CATALOG - DRY '!C723,"AAAAAH97/VY=")</f>
        <v>#VALUE!</v>
      </c>
      <c r="CJ39" t="e">
        <f>AND('STERLING CATALOG - DRY '!D723,"AAAAAH97/Vc=")</f>
        <v>#VALUE!</v>
      </c>
      <c r="CK39" t="e">
        <f>AND('STERLING CATALOG - DRY '!E723,"AAAAAH97/Vg=")</f>
        <v>#VALUE!</v>
      </c>
      <c r="CL39" t="e">
        <f>AND('STERLING CATALOG - DRY '!F723,"AAAAAH97/Vk=")</f>
        <v>#VALUE!</v>
      </c>
      <c r="CM39" t="e">
        <f>AND('STERLING CATALOG - DRY '!G723,"AAAAAH97/Vo=")</f>
        <v>#VALUE!</v>
      </c>
      <c r="CN39" t="e">
        <f>AND('STERLING CATALOG - DRY '!H723,"AAAAAH97/Vs=")</f>
        <v>#VALUE!</v>
      </c>
      <c r="CO39" t="e">
        <f>AND('STERLING CATALOG - DRY '!I723,"AAAAAH97/Vw=")</f>
        <v>#VALUE!</v>
      </c>
      <c r="CP39" t="e">
        <f>AND('STERLING CATALOG - DRY '!J723,"AAAAAH97/V0=")</f>
        <v>#VALUE!</v>
      </c>
      <c r="CQ39">
        <f>IF('STERLING CATALOG - DRY '!724:724,"AAAAAH97/V4=",0)</f>
        <v>0</v>
      </c>
      <c r="CR39" t="e">
        <f>AND('STERLING CATALOG - DRY '!A724,"AAAAAH97/V8=")</f>
        <v>#VALUE!</v>
      </c>
      <c r="CS39" t="e">
        <f>AND('STERLING CATALOG - DRY '!B724,"AAAAAH97/WA=")</f>
        <v>#VALUE!</v>
      </c>
      <c r="CT39" t="e">
        <f>AND('STERLING CATALOG - DRY '!C724,"AAAAAH97/WE=")</f>
        <v>#VALUE!</v>
      </c>
      <c r="CU39" t="e">
        <f>AND('STERLING CATALOG - DRY '!D724,"AAAAAH97/WI=")</f>
        <v>#VALUE!</v>
      </c>
      <c r="CV39" t="e">
        <f>AND('STERLING CATALOG - DRY '!E724,"AAAAAH97/WM=")</f>
        <v>#VALUE!</v>
      </c>
      <c r="CW39" t="e">
        <f>AND('STERLING CATALOG - DRY '!F724,"AAAAAH97/WQ=")</f>
        <v>#VALUE!</v>
      </c>
      <c r="CX39" t="e">
        <f>AND('STERLING CATALOG - DRY '!G724,"AAAAAH97/WU=")</f>
        <v>#VALUE!</v>
      </c>
      <c r="CY39" t="e">
        <f>AND('STERLING CATALOG - DRY '!H724,"AAAAAH97/WY=")</f>
        <v>#VALUE!</v>
      </c>
      <c r="CZ39" t="e">
        <f>AND('STERLING CATALOG - DRY '!I724,"AAAAAH97/Wc=")</f>
        <v>#VALUE!</v>
      </c>
      <c r="DA39" t="e">
        <f>AND('STERLING CATALOG - DRY '!J724,"AAAAAH97/Wg=")</f>
        <v>#VALUE!</v>
      </c>
      <c r="DB39">
        <f>IF('STERLING CATALOG - DRY '!725:725,"AAAAAH97/Wk=",0)</f>
        <v>0</v>
      </c>
      <c r="DC39" t="e">
        <f>AND('STERLING CATALOG - DRY '!A725,"AAAAAH97/Wo=")</f>
        <v>#VALUE!</v>
      </c>
      <c r="DD39" t="e">
        <f>AND('STERLING CATALOG - DRY '!B725,"AAAAAH97/Ws=")</f>
        <v>#VALUE!</v>
      </c>
      <c r="DE39" t="e">
        <f>AND('STERLING CATALOG - DRY '!C725,"AAAAAH97/Ww=")</f>
        <v>#VALUE!</v>
      </c>
      <c r="DF39" t="e">
        <f>AND('STERLING CATALOG - DRY '!D725,"AAAAAH97/W0=")</f>
        <v>#VALUE!</v>
      </c>
      <c r="DG39" t="e">
        <f>AND('STERLING CATALOG - DRY '!E725,"AAAAAH97/W4=")</f>
        <v>#VALUE!</v>
      </c>
      <c r="DH39" t="e">
        <f>AND('STERLING CATALOG - DRY '!F725,"AAAAAH97/W8=")</f>
        <v>#VALUE!</v>
      </c>
      <c r="DI39" t="e">
        <f>AND('STERLING CATALOG - DRY '!G725,"AAAAAH97/XA=")</f>
        <v>#VALUE!</v>
      </c>
      <c r="DJ39" t="e">
        <f>AND('STERLING CATALOG - DRY '!H725,"AAAAAH97/XE=")</f>
        <v>#VALUE!</v>
      </c>
      <c r="DK39" t="e">
        <f>AND('STERLING CATALOG - DRY '!I725,"AAAAAH97/XI=")</f>
        <v>#VALUE!</v>
      </c>
      <c r="DL39" t="e">
        <f>AND('STERLING CATALOG - DRY '!J725,"AAAAAH97/XM=")</f>
        <v>#VALUE!</v>
      </c>
      <c r="DM39">
        <f>IF('STERLING CATALOG - DRY '!726:726,"AAAAAH97/XQ=",0)</f>
        <v>0</v>
      </c>
      <c r="DN39" t="e">
        <f>AND('STERLING CATALOG - DRY '!A726,"AAAAAH97/XU=")</f>
        <v>#VALUE!</v>
      </c>
      <c r="DO39" t="e">
        <f>AND('STERLING CATALOG - DRY '!B726,"AAAAAH97/XY=")</f>
        <v>#VALUE!</v>
      </c>
      <c r="DP39" t="e">
        <f>AND('STERLING CATALOG - DRY '!C726,"AAAAAH97/Xc=")</f>
        <v>#VALUE!</v>
      </c>
      <c r="DQ39" t="e">
        <f>AND('STERLING CATALOG - DRY '!D726,"AAAAAH97/Xg=")</f>
        <v>#VALUE!</v>
      </c>
      <c r="DR39" t="e">
        <f>AND('STERLING CATALOG - DRY '!E726,"AAAAAH97/Xk=")</f>
        <v>#VALUE!</v>
      </c>
      <c r="DS39" t="e">
        <f>AND('STERLING CATALOG - DRY '!F726,"AAAAAH97/Xo=")</f>
        <v>#VALUE!</v>
      </c>
      <c r="DT39" t="e">
        <f>AND('STERLING CATALOG - DRY '!G726,"AAAAAH97/Xs=")</f>
        <v>#VALUE!</v>
      </c>
      <c r="DU39" t="e">
        <f>AND('STERLING CATALOG - DRY '!H726,"AAAAAH97/Xw=")</f>
        <v>#VALUE!</v>
      </c>
      <c r="DV39" t="e">
        <f>AND('STERLING CATALOG - DRY '!I726,"AAAAAH97/X0=")</f>
        <v>#VALUE!</v>
      </c>
      <c r="DW39" t="e">
        <f>AND('STERLING CATALOG - DRY '!J726,"AAAAAH97/X4=")</f>
        <v>#VALUE!</v>
      </c>
      <c r="DX39">
        <f>IF('STERLING CATALOG - DRY '!727:727,"AAAAAH97/X8=",0)</f>
        <v>0</v>
      </c>
      <c r="DY39" t="e">
        <f>AND('STERLING CATALOG - DRY '!A727,"AAAAAH97/YA=")</f>
        <v>#VALUE!</v>
      </c>
      <c r="DZ39" t="e">
        <f>AND('STERLING CATALOG - DRY '!B727,"AAAAAH97/YE=")</f>
        <v>#VALUE!</v>
      </c>
      <c r="EA39" t="e">
        <f>AND('STERLING CATALOG - DRY '!C727,"AAAAAH97/YI=")</f>
        <v>#VALUE!</v>
      </c>
      <c r="EB39" t="e">
        <f>AND('STERLING CATALOG - DRY '!D727,"AAAAAH97/YM=")</f>
        <v>#VALUE!</v>
      </c>
      <c r="EC39" t="e">
        <f>AND('STERLING CATALOG - DRY '!E727,"AAAAAH97/YQ=")</f>
        <v>#VALUE!</v>
      </c>
      <c r="ED39" t="e">
        <f>AND('STERLING CATALOG - DRY '!F727,"AAAAAH97/YU=")</f>
        <v>#VALUE!</v>
      </c>
      <c r="EE39" t="e">
        <f>AND('STERLING CATALOG - DRY '!G727,"AAAAAH97/YY=")</f>
        <v>#VALUE!</v>
      </c>
      <c r="EF39" t="e">
        <f>AND('STERLING CATALOG - DRY '!H727,"AAAAAH97/Yc=")</f>
        <v>#VALUE!</v>
      </c>
      <c r="EG39" t="e">
        <f>AND('STERLING CATALOG - DRY '!I727,"AAAAAH97/Yg=")</f>
        <v>#VALUE!</v>
      </c>
      <c r="EH39" t="e">
        <f>AND('STERLING CATALOG - DRY '!J727,"AAAAAH97/Yk=")</f>
        <v>#VALUE!</v>
      </c>
      <c r="EI39">
        <f>IF('STERLING CATALOG - DRY '!728:728,"AAAAAH97/Yo=",0)</f>
        <v>0</v>
      </c>
      <c r="EJ39" t="e">
        <f>AND('STERLING CATALOG - DRY '!A728,"AAAAAH97/Ys=")</f>
        <v>#VALUE!</v>
      </c>
      <c r="EK39" t="e">
        <f>AND('STERLING CATALOG - DRY '!B728,"AAAAAH97/Yw=")</f>
        <v>#VALUE!</v>
      </c>
      <c r="EL39" t="e">
        <f>AND('STERLING CATALOG - DRY '!C728,"AAAAAH97/Y0=")</f>
        <v>#VALUE!</v>
      </c>
      <c r="EM39" t="e">
        <f>AND('STERLING CATALOG - DRY '!D728,"AAAAAH97/Y4=")</f>
        <v>#VALUE!</v>
      </c>
      <c r="EN39" t="e">
        <f>AND('STERLING CATALOG - DRY '!E728,"AAAAAH97/Y8=")</f>
        <v>#VALUE!</v>
      </c>
      <c r="EO39" t="e">
        <f>AND('STERLING CATALOG - DRY '!F728,"AAAAAH97/ZA=")</f>
        <v>#VALUE!</v>
      </c>
      <c r="EP39" t="e">
        <f>AND('STERLING CATALOG - DRY '!G728,"AAAAAH97/ZE=")</f>
        <v>#VALUE!</v>
      </c>
      <c r="EQ39" t="e">
        <f>AND('STERLING CATALOG - DRY '!H728,"AAAAAH97/ZI=")</f>
        <v>#VALUE!</v>
      </c>
      <c r="ER39" t="e">
        <f>AND('STERLING CATALOG - DRY '!I728,"AAAAAH97/ZM=")</f>
        <v>#VALUE!</v>
      </c>
      <c r="ES39" t="e">
        <f>AND('STERLING CATALOG - DRY '!J728,"AAAAAH97/ZQ=")</f>
        <v>#VALUE!</v>
      </c>
      <c r="ET39">
        <f>IF('STERLING CATALOG - DRY '!729:729,"AAAAAH97/ZU=",0)</f>
        <v>0</v>
      </c>
      <c r="EU39" t="e">
        <f>AND('STERLING CATALOG - DRY '!A729,"AAAAAH97/ZY=")</f>
        <v>#VALUE!</v>
      </c>
      <c r="EV39" t="e">
        <f>AND('STERLING CATALOG - DRY '!B729,"AAAAAH97/Zc=")</f>
        <v>#VALUE!</v>
      </c>
      <c r="EW39" t="e">
        <f>AND('STERLING CATALOG - DRY '!C729,"AAAAAH97/Zg=")</f>
        <v>#VALUE!</v>
      </c>
      <c r="EX39" t="e">
        <f>AND('STERLING CATALOG - DRY '!D729,"AAAAAH97/Zk=")</f>
        <v>#VALUE!</v>
      </c>
      <c r="EY39" t="e">
        <f>AND('STERLING CATALOG - DRY '!E729,"AAAAAH97/Zo=")</f>
        <v>#VALUE!</v>
      </c>
      <c r="EZ39" t="e">
        <f>AND('STERLING CATALOG - DRY '!F729,"AAAAAH97/Zs=")</f>
        <v>#VALUE!</v>
      </c>
      <c r="FA39" t="e">
        <f>AND('STERLING CATALOG - DRY '!G729,"AAAAAH97/Zw=")</f>
        <v>#VALUE!</v>
      </c>
      <c r="FB39" t="e">
        <f>AND('STERLING CATALOG - DRY '!H729,"AAAAAH97/Z0=")</f>
        <v>#VALUE!</v>
      </c>
      <c r="FC39" t="e">
        <f>AND('STERLING CATALOG - DRY '!I729,"AAAAAH97/Z4=")</f>
        <v>#VALUE!</v>
      </c>
      <c r="FD39" t="e">
        <f>AND('STERLING CATALOG - DRY '!J729,"AAAAAH97/Z8=")</f>
        <v>#VALUE!</v>
      </c>
      <c r="FE39">
        <f>IF('STERLING CATALOG - DRY '!730:730,"AAAAAH97/aA=",0)</f>
        <v>0</v>
      </c>
      <c r="FF39" t="e">
        <f>AND('STERLING CATALOG - DRY '!A730,"AAAAAH97/aE=")</f>
        <v>#VALUE!</v>
      </c>
      <c r="FG39" t="e">
        <f>AND('STERLING CATALOG - DRY '!B730,"AAAAAH97/aI=")</f>
        <v>#VALUE!</v>
      </c>
      <c r="FH39" t="e">
        <f>AND('STERLING CATALOG - DRY '!C730,"AAAAAH97/aM=")</f>
        <v>#VALUE!</v>
      </c>
      <c r="FI39" t="e">
        <f>AND('STERLING CATALOG - DRY '!D730,"AAAAAH97/aQ=")</f>
        <v>#VALUE!</v>
      </c>
      <c r="FJ39" t="e">
        <f>AND('STERLING CATALOG - DRY '!E730,"AAAAAH97/aU=")</f>
        <v>#VALUE!</v>
      </c>
      <c r="FK39" t="e">
        <f>AND('STERLING CATALOG - DRY '!F730,"AAAAAH97/aY=")</f>
        <v>#VALUE!</v>
      </c>
      <c r="FL39" t="e">
        <f>AND('STERLING CATALOG - DRY '!G730,"AAAAAH97/ac=")</f>
        <v>#VALUE!</v>
      </c>
      <c r="FM39" t="e">
        <f>AND('STERLING CATALOG - DRY '!H730,"AAAAAH97/ag=")</f>
        <v>#VALUE!</v>
      </c>
      <c r="FN39" t="e">
        <f>AND('STERLING CATALOG - DRY '!I730,"AAAAAH97/ak=")</f>
        <v>#VALUE!</v>
      </c>
      <c r="FO39" t="e">
        <f>AND('STERLING CATALOG - DRY '!J730,"AAAAAH97/ao=")</f>
        <v>#VALUE!</v>
      </c>
      <c r="FP39">
        <f>IF('STERLING CATALOG - DRY '!731:731,"AAAAAH97/as=",0)</f>
        <v>0</v>
      </c>
      <c r="FQ39" t="e">
        <f>AND('STERLING CATALOG - DRY '!A731,"AAAAAH97/aw=")</f>
        <v>#VALUE!</v>
      </c>
      <c r="FR39" t="e">
        <f>AND('STERLING CATALOG - DRY '!B731,"AAAAAH97/a0=")</f>
        <v>#VALUE!</v>
      </c>
      <c r="FS39" t="e">
        <f>AND('STERLING CATALOG - DRY '!C731,"AAAAAH97/a4=")</f>
        <v>#VALUE!</v>
      </c>
      <c r="FT39" t="e">
        <f>AND('STERLING CATALOG - DRY '!D731,"AAAAAH97/a8=")</f>
        <v>#VALUE!</v>
      </c>
      <c r="FU39" t="e">
        <f>AND('STERLING CATALOG - DRY '!E731,"AAAAAH97/bA=")</f>
        <v>#VALUE!</v>
      </c>
      <c r="FV39" t="e">
        <f>AND('STERLING CATALOG - DRY '!F731,"AAAAAH97/bE=")</f>
        <v>#VALUE!</v>
      </c>
      <c r="FW39" t="e">
        <f>AND('STERLING CATALOG - DRY '!G731,"AAAAAH97/bI=")</f>
        <v>#VALUE!</v>
      </c>
      <c r="FX39" t="e">
        <f>AND('STERLING CATALOG - DRY '!H731,"AAAAAH97/bM=")</f>
        <v>#VALUE!</v>
      </c>
      <c r="FY39" t="e">
        <f>AND('STERLING CATALOG - DRY '!I731,"AAAAAH97/bQ=")</f>
        <v>#VALUE!</v>
      </c>
      <c r="FZ39" t="e">
        <f>AND('STERLING CATALOG - DRY '!J731,"AAAAAH97/bU=")</f>
        <v>#VALUE!</v>
      </c>
      <c r="GA39">
        <f>IF('STERLING CATALOG - DRY '!732:732,"AAAAAH97/bY=",0)</f>
        <v>0</v>
      </c>
      <c r="GB39" t="e">
        <f>AND('STERLING CATALOG - DRY '!A732,"AAAAAH97/bc=")</f>
        <v>#VALUE!</v>
      </c>
      <c r="GC39" t="e">
        <f>AND('STERLING CATALOG - DRY '!B732,"AAAAAH97/bg=")</f>
        <v>#VALUE!</v>
      </c>
      <c r="GD39" t="e">
        <f>AND('STERLING CATALOG - DRY '!C732,"AAAAAH97/bk=")</f>
        <v>#VALUE!</v>
      </c>
      <c r="GE39" t="e">
        <f>AND('STERLING CATALOG - DRY '!D732,"AAAAAH97/bo=")</f>
        <v>#VALUE!</v>
      </c>
      <c r="GF39" t="e">
        <f>AND('STERLING CATALOG - DRY '!E732,"AAAAAH97/bs=")</f>
        <v>#VALUE!</v>
      </c>
      <c r="GG39" t="e">
        <f>AND('STERLING CATALOG - DRY '!F732,"AAAAAH97/bw=")</f>
        <v>#VALUE!</v>
      </c>
      <c r="GH39" t="e">
        <f>AND('STERLING CATALOG - DRY '!G732,"AAAAAH97/b0=")</f>
        <v>#VALUE!</v>
      </c>
      <c r="GI39" t="e">
        <f>AND('STERLING CATALOG - DRY '!H732,"AAAAAH97/b4=")</f>
        <v>#VALUE!</v>
      </c>
      <c r="GJ39" t="e">
        <f>AND('STERLING CATALOG - DRY '!I732,"AAAAAH97/b8=")</f>
        <v>#VALUE!</v>
      </c>
      <c r="GK39" t="e">
        <f>AND('STERLING CATALOG - DRY '!J732,"AAAAAH97/cA=")</f>
        <v>#VALUE!</v>
      </c>
      <c r="GL39">
        <f>IF('STERLING CATALOG - DRY '!733:733,"AAAAAH97/cE=",0)</f>
        <v>0</v>
      </c>
      <c r="GM39" t="e">
        <f>AND('STERLING CATALOG - DRY '!A733,"AAAAAH97/cI=")</f>
        <v>#VALUE!</v>
      </c>
      <c r="GN39" t="e">
        <f>AND('STERLING CATALOG - DRY '!B733,"AAAAAH97/cM=")</f>
        <v>#VALUE!</v>
      </c>
      <c r="GO39" t="e">
        <f>AND('STERLING CATALOG - DRY '!C733,"AAAAAH97/cQ=")</f>
        <v>#VALUE!</v>
      </c>
      <c r="GP39" t="e">
        <f>AND('STERLING CATALOG - DRY '!D733,"AAAAAH97/cU=")</f>
        <v>#VALUE!</v>
      </c>
      <c r="GQ39" t="e">
        <f>AND('STERLING CATALOG - DRY '!E733,"AAAAAH97/cY=")</f>
        <v>#VALUE!</v>
      </c>
      <c r="GR39" t="e">
        <f>AND('STERLING CATALOG - DRY '!F733,"AAAAAH97/cc=")</f>
        <v>#VALUE!</v>
      </c>
      <c r="GS39" t="e">
        <f>AND('STERLING CATALOG - DRY '!G733,"AAAAAH97/cg=")</f>
        <v>#VALUE!</v>
      </c>
      <c r="GT39" t="e">
        <f>AND('STERLING CATALOG - DRY '!H733,"AAAAAH97/ck=")</f>
        <v>#VALUE!</v>
      </c>
      <c r="GU39" t="e">
        <f>AND('STERLING CATALOG - DRY '!I733,"AAAAAH97/co=")</f>
        <v>#VALUE!</v>
      </c>
      <c r="GV39" t="e">
        <f>AND('STERLING CATALOG - DRY '!J733,"AAAAAH97/cs=")</f>
        <v>#VALUE!</v>
      </c>
      <c r="GW39">
        <f>IF('STERLING CATALOG - DRY '!734:734,"AAAAAH97/cw=",0)</f>
        <v>0</v>
      </c>
      <c r="GX39" t="e">
        <f>AND('STERLING CATALOG - DRY '!A734,"AAAAAH97/c0=")</f>
        <v>#VALUE!</v>
      </c>
      <c r="GY39" t="e">
        <f>AND('STERLING CATALOG - DRY '!B734,"AAAAAH97/c4=")</f>
        <v>#VALUE!</v>
      </c>
      <c r="GZ39" t="e">
        <f>AND('STERLING CATALOG - DRY '!C734,"AAAAAH97/c8=")</f>
        <v>#VALUE!</v>
      </c>
      <c r="HA39" t="e">
        <f>AND('STERLING CATALOG - DRY '!D734,"AAAAAH97/dA=")</f>
        <v>#VALUE!</v>
      </c>
      <c r="HB39" t="e">
        <f>AND('STERLING CATALOG - DRY '!E734,"AAAAAH97/dE=")</f>
        <v>#VALUE!</v>
      </c>
      <c r="HC39" t="e">
        <f>AND('STERLING CATALOG - DRY '!F734,"AAAAAH97/dI=")</f>
        <v>#VALUE!</v>
      </c>
      <c r="HD39" t="e">
        <f>AND('STERLING CATALOG - DRY '!G734,"AAAAAH97/dM=")</f>
        <v>#VALUE!</v>
      </c>
      <c r="HE39" t="e">
        <f>AND('STERLING CATALOG - DRY '!H734,"AAAAAH97/dQ=")</f>
        <v>#VALUE!</v>
      </c>
      <c r="HF39" t="e">
        <f>AND('STERLING CATALOG - DRY '!I734,"AAAAAH97/dU=")</f>
        <v>#VALUE!</v>
      </c>
      <c r="HG39" t="e">
        <f>AND('STERLING CATALOG - DRY '!J734,"AAAAAH97/dY=")</f>
        <v>#VALUE!</v>
      </c>
      <c r="HH39">
        <f>IF('STERLING CATALOG - DRY '!735:735,"AAAAAH97/dc=",0)</f>
        <v>0</v>
      </c>
      <c r="HI39" t="e">
        <f>AND('STERLING CATALOG - DRY '!A735,"AAAAAH97/dg=")</f>
        <v>#VALUE!</v>
      </c>
      <c r="HJ39" t="e">
        <f>AND('STERLING CATALOG - DRY '!B735,"AAAAAH97/dk=")</f>
        <v>#VALUE!</v>
      </c>
      <c r="HK39" t="e">
        <f>AND('STERLING CATALOG - DRY '!C735,"AAAAAH97/do=")</f>
        <v>#VALUE!</v>
      </c>
      <c r="HL39" t="e">
        <f>AND('STERLING CATALOG - DRY '!D735,"AAAAAH97/ds=")</f>
        <v>#VALUE!</v>
      </c>
      <c r="HM39" t="e">
        <f>AND('STERLING CATALOG - DRY '!E735,"AAAAAH97/dw=")</f>
        <v>#VALUE!</v>
      </c>
      <c r="HN39" t="e">
        <f>AND('STERLING CATALOG - DRY '!F735,"AAAAAH97/d0=")</f>
        <v>#VALUE!</v>
      </c>
      <c r="HO39" t="e">
        <f>AND('STERLING CATALOG - DRY '!G735,"AAAAAH97/d4=")</f>
        <v>#VALUE!</v>
      </c>
      <c r="HP39" t="e">
        <f>AND('STERLING CATALOG - DRY '!H735,"AAAAAH97/d8=")</f>
        <v>#VALUE!</v>
      </c>
      <c r="HQ39" t="e">
        <f>AND('STERLING CATALOG - DRY '!I735,"AAAAAH97/eA=")</f>
        <v>#VALUE!</v>
      </c>
      <c r="HR39" t="e">
        <f>AND('STERLING CATALOG - DRY '!J735,"AAAAAH97/eE=")</f>
        <v>#VALUE!</v>
      </c>
      <c r="HS39">
        <f>IF('STERLING CATALOG - DRY '!736:736,"AAAAAH97/eI=",0)</f>
        <v>0</v>
      </c>
      <c r="HT39" t="e">
        <f>AND('STERLING CATALOG - DRY '!A736,"AAAAAH97/eM=")</f>
        <v>#VALUE!</v>
      </c>
      <c r="HU39" t="e">
        <f>AND('STERLING CATALOG - DRY '!B736,"AAAAAH97/eQ=")</f>
        <v>#VALUE!</v>
      </c>
      <c r="HV39" t="e">
        <f>AND('STERLING CATALOG - DRY '!C736,"AAAAAH97/eU=")</f>
        <v>#VALUE!</v>
      </c>
      <c r="HW39" t="e">
        <f>AND('STERLING CATALOG - DRY '!D736,"AAAAAH97/eY=")</f>
        <v>#VALUE!</v>
      </c>
      <c r="HX39" t="e">
        <f>AND('STERLING CATALOG - DRY '!E736,"AAAAAH97/ec=")</f>
        <v>#VALUE!</v>
      </c>
      <c r="HY39" t="e">
        <f>AND('STERLING CATALOG - DRY '!F736,"AAAAAH97/eg=")</f>
        <v>#VALUE!</v>
      </c>
      <c r="HZ39" t="e">
        <f>AND('STERLING CATALOG - DRY '!G736,"AAAAAH97/ek=")</f>
        <v>#VALUE!</v>
      </c>
      <c r="IA39" t="e">
        <f>AND('STERLING CATALOG - DRY '!H736,"AAAAAH97/eo=")</f>
        <v>#VALUE!</v>
      </c>
      <c r="IB39" t="e">
        <f>AND('STERLING CATALOG - DRY '!I736,"AAAAAH97/es=")</f>
        <v>#VALUE!</v>
      </c>
      <c r="IC39" t="e">
        <f>AND('STERLING CATALOG - DRY '!J736,"AAAAAH97/ew=")</f>
        <v>#VALUE!</v>
      </c>
      <c r="ID39">
        <f>IF('STERLING CATALOG - DRY '!737:737,"AAAAAH97/e0=",0)</f>
        <v>0</v>
      </c>
      <c r="IE39" t="e">
        <f>AND('STERLING CATALOG - DRY '!A737,"AAAAAH97/e4=")</f>
        <v>#VALUE!</v>
      </c>
      <c r="IF39" t="e">
        <f>AND('STERLING CATALOG - DRY '!B737,"AAAAAH97/e8=")</f>
        <v>#VALUE!</v>
      </c>
      <c r="IG39" t="e">
        <f>AND('STERLING CATALOG - DRY '!C737,"AAAAAH97/fA=")</f>
        <v>#VALUE!</v>
      </c>
      <c r="IH39" t="e">
        <f>AND('STERLING CATALOG - DRY '!D737,"AAAAAH97/fE=")</f>
        <v>#VALUE!</v>
      </c>
      <c r="II39" t="e">
        <f>AND('STERLING CATALOG - DRY '!E737,"AAAAAH97/fI=")</f>
        <v>#VALUE!</v>
      </c>
      <c r="IJ39" t="e">
        <f>AND('STERLING CATALOG - DRY '!F737,"AAAAAH97/fM=")</f>
        <v>#VALUE!</v>
      </c>
      <c r="IK39" t="e">
        <f>AND('STERLING CATALOG - DRY '!G737,"AAAAAH97/fQ=")</f>
        <v>#VALUE!</v>
      </c>
      <c r="IL39" t="e">
        <f>AND('STERLING CATALOG - DRY '!H737,"AAAAAH97/fU=")</f>
        <v>#VALUE!</v>
      </c>
      <c r="IM39" t="e">
        <f>AND('STERLING CATALOG - DRY '!I737,"AAAAAH97/fY=")</f>
        <v>#VALUE!</v>
      </c>
      <c r="IN39" t="e">
        <f>AND('STERLING CATALOG - DRY '!J737,"AAAAAH97/fc=")</f>
        <v>#VALUE!</v>
      </c>
      <c r="IO39">
        <f>IF('STERLING CATALOG - DRY '!738:738,"AAAAAH97/fg=",0)</f>
        <v>0</v>
      </c>
      <c r="IP39" t="e">
        <f>AND('STERLING CATALOG - DRY '!A738,"AAAAAH97/fk=")</f>
        <v>#VALUE!</v>
      </c>
      <c r="IQ39" t="e">
        <f>AND('STERLING CATALOG - DRY '!B738,"AAAAAH97/fo=")</f>
        <v>#VALUE!</v>
      </c>
      <c r="IR39" t="e">
        <f>AND('STERLING CATALOG - DRY '!C738,"AAAAAH97/fs=")</f>
        <v>#VALUE!</v>
      </c>
      <c r="IS39" t="e">
        <f>AND('STERLING CATALOG - DRY '!D738,"AAAAAH97/fw=")</f>
        <v>#VALUE!</v>
      </c>
      <c r="IT39" t="e">
        <f>AND('STERLING CATALOG - DRY '!E738,"AAAAAH97/f0=")</f>
        <v>#VALUE!</v>
      </c>
      <c r="IU39" t="e">
        <f>AND('STERLING CATALOG - DRY '!F738,"AAAAAH97/f4=")</f>
        <v>#VALUE!</v>
      </c>
      <c r="IV39" t="e">
        <f>AND('STERLING CATALOG - DRY '!G738,"AAAAAH97/f8=")</f>
        <v>#VALUE!</v>
      </c>
    </row>
    <row r="40" spans="1:256">
      <c r="A40" t="e">
        <f>AND('STERLING CATALOG - DRY '!H738,"AAAAAHf39wA=")</f>
        <v>#VALUE!</v>
      </c>
      <c r="B40" t="e">
        <f>AND('STERLING CATALOG - DRY '!I738,"AAAAAHf39wE=")</f>
        <v>#VALUE!</v>
      </c>
      <c r="C40" t="e">
        <f>AND('STERLING CATALOG - DRY '!J738,"AAAAAHf39wI=")</f>
        <v>#VALUE!</v>
      </c>
      <c r="D40">
        <f>IF('STERLING CATALOG - DRY '!739:739,"AAAAAHf39wM=",0)</f>
        <v>0</v>
      </c>
      <c r="E40" t="e">
        <f>AND('STERLING CATALOG - DRY '!A739,"AAAAAHf39wQ=")</f>
        <v>#VALUE!</v>
      </c>
      <c r="F40" t="e">
        <f>AND('STERLING CATALOG - DRY '!B739,"AAAAAHf39wU=")</f>
        <v>#VALUE!</v>
      </c>
      <c r="G40" t="e">
        <f>AND('STERLING CATALOG - DRY '!C739,"AAAAAHf39wY=")</f>
        <v>#VALUE!</v>
      </c>
      <c r="H40" t="e">
        <f>AND('STERLING CATALOG - DRY '!D739,"AAAAAHf39wc=")</f>
        <v>#VALUE!</v>
      </c>
      <c r="I40" t="e">
        <f>AND('STERLING CATALOG - DRY '!E739,"AAAAAHf39wg=")</f>
        <v>#VALUE!</v>
      </c>
      <c r="J40" t="e">
        <f>AND('STERLING CATALOG - DRY '!F739,"AAAAAHf39wk=")</f>
        <v>#VALUE!</v>
      </c>
      <c r="K40" t="e">
        <f>AND('STERLING CATALOG - DRY '!G739,"AAAAAHf39wo=")</f>
        <v>#VALUE!</v>
      </c>
      <c r="L40" t="e">
        <f>AND('STERLING CATALOG - DRY '!H739,"AAAAAHf39ws=")</f>
        <v>#VALUE!</v>
      </c>
      <c r="M40" t="e">
        <f>AND('STERLING CATALOG - DRY '!I739,"AAAAAHf39ww=")</f>
        <v>#VALUE!</v>
      </c>
      <c r="N40" t="e">
        <f>AND('STERLING CATALOG - DRY '!J739,"AAAAAHf39w0=")</f>
        <v>#VALUE!</v>
      </c>
      <c r="O40">
        <f>IF('STERLING CATALOG - DRY '!740:740,"AAAAAHf39w4=",0)</f>
        <v>0</v>
      </c>
      <c r="P40" t="e">
        <f>AND('STERLING CATALOG - DRY '!A740,"AAAAAHf39w8=")</f>
        <v>#VALUE!</v>
      </c>
      <c r="Q40" t="e">
        <f>AND('STERLING CATALOG - DRY '!B740,"AAAAAHf39xA=")</f>
        <v>#VALUE!</v>
      </c>
      <c r="R40" t="e">
        <f>AND('STERLING CATALOG - DRY '!C740,"AAAAAHf39xE=")</f>
        <v>#VALUE!</v>
      </c>
      <c r="S40" t="e">
        <f>AND('STERLING CATALOG - DRY '!D740,"AAAAAHf39xI=")</f>
        <v>#VALUE!</v>
      </c>
      <c r="T40" t="e">
        <f>AND('STERLING CATALOG - DRY '!E740,"AAAAAHf39xM=")</f>
        <v>#VALUE!</v>
      </c>
      <c r="U40" t="e">
        <f>AND('STERLING CATALOG - DRY '!F740,"AAAAAHf39xQ=")</f>
        <v>#VALUE!</v>
      </c>
      <c r="V40" t="e">
        <f>AND('STERLING CATALOG - DRY '!G740,"AAAAAHf39xU=")</f>
        <v>#VALUE!</v>
      </c>
      <c r="W40" t="e">
        <f>AND('STERLING CATALOG - DRY '!H740,"AAAAAHf39xY=")</f>
        <v>#VALUE!</v>
      </c>
      <c r="X40" t="e">
        <f>AND('STERLING CATALOG - DRY '!I740,"AAAAAHf39xc=")</f>
        <v>#VALUE!</v>
      </c>
      <c r="Y40" t="e">
        <f>AND('STERLING CATALOG - DRY '!J740,"AAAAAHf39xg=")</f>
        <v>#VALUE!</v>
      </c>
      <c r="Z40">
        <f>IF('STERLING CATALOG - DRY '!741:741,"AAAAAHf39xk=",0)</f>
        <v>0</v>
      </c>
      <c r="AA40" t="e">
        <f>AND('STERLING CATALOG - DRY '!A741,"AAAAAHf39xo=")</f>
        <v>#VALUE!</v>
      </c>
      <c r="AB40" t="e">
        <f>AND('STERLING CATALOG - DRY '!B741,"AAAAAHf39xs=")</f>
        <v>#VALUE!</v>
      </c>
      <c r="AC40" t="e">
        <f>AND('STERLING CATALOG - DRY '!C741,"AAAAAHf39xw=")</f>
        <v>#VALUE!</v>
      </c>
      <c r="AD40" t="e">
        <f>AND('STERLING CATALOG - DRY '!D741,"AAAAAHf39x0=")</f>
        <v>#VALUE!</v>
      </c>
      <c r="AE40" t="e">
        <f>AND('STERLING CATALOG - DRY '!E741,"AAAAAHf39x4=")</f>
        <v>#VALUE!</v>
      </c>
      <c r="AF40" t="e">
        <f>AND('STERLING CATALOG - DRY '!F741,"AAAAAHf39x8=")</f>
        <v>#VALUE!</v>
      </c>
      <c r="AG40" t="e">
        <f>AND('STERLING CATALOG - DRY '!G741,"AAAAAHf39yA=")</f>
        <v>#VALUE!</v>
      </c>
      <c r="AH40" t="e">
        <f>AND('STERLING CATALOG - DRY '!H741,"AAAAAHf39yE=")</f>
        <v>#VALUE!</v>
      </c>
      <c r="AI40" t="e">
        <f>AND('STERLING CATALOG - DRY '!I741,"AAAAAHf39yI=")</f>
        <v>#VALUE!</v>
      </c>
      <c r="AJ40" t="e">
        <f>AND('STERLING CATALOG - DRY '!J741,"AAAAAHf39yM=")</f>
        <v>#VALUE!</v>
      </c>
      <c r="AK40">
        <f>IF('STERLING CATALOG - DRY '!742:742,"AAAAAHf39yQ=",0)</f>
        <v>0</v>
      </c>
      <c r="AL40" t="e">
        <f>AND('STERLING CATALOG - DRY '!A742,"AAAAAHf39yU=")</f>
        <v>#VALUE!</v>
      </c>
      <c r="AM40" t="e">
        <f>AND('STERLING CATALOG - DRY '!B742,"AAAAAHf39yY=")</f>
        <v>#VALUE!</v>
      </c>
      <c r="AN40" t="e">
        <f>AND('STERLING CATALOG - DRY '!C742,"AAAAAHf39yc=")</f>
        <v>#VALUE!</v>
      </c>
      <c r="AO40" t="e">
        <f>AND('STERLING CATALOG - DRY '!D742,"AAAAAHf39yg=")</f>
        <v>#VALUE!</v>
      </c>
      <c r="AP40" t="e">
        <f>AND('STERLING CATALOG - DRY '!E742,"AAAAAHf39yk=")</f>
        <v>#VALUE!</v>
      </c>
      <c r="AQ40" t="e">
        <f>AND('STERLING CATALOG - DRY '!F742,"AAAAAHf39yo=")</f>
        <v>#VALUE!</v>
      </c>
      <c r="AR40" t="e">
        <f>AND('STERLING CATALOG - DRY '!G742,"AAAAAHf39ys=")</f>
        <v>#VALUE!</v>
      </c>
      <c r="AS40" t="e">
        <f>AND('STERLING CATALOG - DRY '!H742,"AAAAAHf39yw=")</f>
        <v>#VALUE!</v>
      </c>
      <c r="AT40" t="e">
        <f>AND('STERLING CATALOG - DRY '!I742,"AAAAAHf39y0=")</f>
        <v>#VALUE!</v>
      </c>
      <c r="AU40" t="e">
        <f>AND('STERLING CATALOG - DRY '!J742,"AAAAAHf39y4=")</f>
        <v>#VALUE!</v>
      </c>
      <c r="AV40">
        <f>IF('STERLING CATALOG - DRY '!743:743,"AAAAAHf39y8=",0)</f>
        <v>0</v>
      </c>
      <c r="AW40" t="e">
        <f>AND('STERLING CATALOG - DRY '!A743,"AAAAAHf39zA=")</f>
        <v>#VALUE!</v>
      </c>
      <c r="AX40" t="e">
        <f>AND('STERLING CATALOG - DRY '!B743,"AAAAAHf39zE=")</f>
        <v>#VALUE!</v>
      </c>
      <c r="AY40" t="e">
        <f>AND('STERLING CATALOG - DRY '!C743,"AAAAAHf39zI=")</f>
        <v>#VALUE!</v>
      </c>
      <c r="AZ40" t="e">
        <f>AND('STERLING CATALOG - DRY '!D743,"AAAAAHf39zM=")</f>
        <v>#VALUE!</v>
      </c>
      <c r="BA40" t="e">
        <f>AND('STERLING CATALOG - DRY '!E743,"AAAAAHf39zQ=")</f>
        <v>#VALUE!</v>
      </c>
      <c r="BB40" t="e">
        <f>AND('STERLING CATALOG - DRY '!F743,"AAAAAHf39zU=")</f>
        <v>#VALUE!</v>
      </c>
      <c r="BC40" t="e">
        <f>AND('STERLING CATALOG - DRY '!G743,"AAAAAHf39zY=")</f>
        <v>#VALUE!</v>
      </c>
      <c r="BD40" t="e">
        <f>AND('STERLING CATALOG - DRY '!H743,"AAAAAHf39zc=")</f>
        <v>#VALUE!</v>
      </c>
      <c r="BE40" t="e">
        <f>AND('STERLING CATALOG - DRY '!I743,"AAAAAHf39zg=")</f>
        <v>#VALUE!</v>
      </c>
      <c r="BF40" t="e">
        <f>AND('STERLING CATALOG - DRY '!J743,"AAAAAHf39zk=")</f>
        <v>#VALUE!</v>
      </c>
      <c r="BG40">
        <f>IF('STERLING CATALOG - DRY '!744:744,"AAAAAHf39zo=",0)</f>
        <v>0</v>
      </c>
      <c r="BH40" t="e">
        <f>AND('STERLING CATALOG - DRY '!A744,"AAAAAHf39zs=")</f>
        <v>#VALUE!</v>
      </c>
      <c r="BI40" t="e">
        <f>AND('STERLING CATALOG - DRY '!B744,"AAAAAHf39zw=")</f>
        <v>#VALUE!</v>
      </c>
      <c r="BJ40" t="e">
        <f>AND('STERLING CATALOG - DRY '!C744,"AAAAAHf39z0=")</f>
        <v>#VALUE!</v>
      </c>
      <c r="BK40" t="e">
        <f>AND('STERLING CATALOG - DRY '!D744,"AAAAAHf39z4=")</f>
        <v>#VALUE!</v>
      </c>
      <c r="BL40" t="e">
        <f>AND('STERLING CATALOG - DRY '!E744,"AAAAAHf39z8=")</f>
        <v>#VALUE!</v>
      </c>
      <c r="BM40" t="e">
        <f>AND('STERLING CATALOG - DRY '!F744,"AAAAAHf390A=")</f>
        <v>#VALUE!</v>
      </c>
      <c r="BN40" t="e">
        <f>AND('STERLING CATALOG - DRY '!G744,"AAAAAHf390E=")</f>
        <v>#VALUE!</v>
      </c>
      <c r="BO40" t="e">
        <f>AND('STERLING CATALOG - DRY '!H744,"AAAAAHf390I=")</f>
        <v>#VALUE!</v>
      </c>
      <c r="BP40" t="e">
        <f>AND('STERLING CATALOG - DRY '!I744,"AAAAAHf390M=")</f>
        <v>#VALUE!</v>
      </c>
      <c r="BQ40" t="e">
        <f>AND('STERLING CATALOG - DRY '!J744,"AAAAAHf390Q=")</f>
        <v>#VALUE!</v>
      </c>
      <c r="BR40">
        <f>IF('STERLING CATALOG - DRY '!745:745,"AAAAAHf390U=",0)</f>
        <v>0</v>
      </c>
      <c r="BS40" t="e">
        <f>AND('STERLING CATALOG - DRY '!A745,"AAAAAHf390Y=")</f>
        <v>#VALUE!</v>
      </c>
      <c r="BT40" t="e">
        <f>AND('STERLING CATALOG - DRY '!B745,"AAAAAHf390c=")</f>
        <v>#VALUE!</v>
      </c>
      <c r="BU40" t="e">
        <f>AND('STERLING CATALOG - DRY '!C745,"AAAAAHf390g=")</f>
        <v>#VALUE!</v>
      </c>
      <c r="BV40" t="e">
        <f>AND('STERLING CATALOG - DRY '!D745,"AAAAAHf390k=")</f>
        <v>#VALUE!</v>
      </c>
      <c r="BW40" t="e">
        <f>AND('STERLING CATALOG - DRY '!E745,"AAAAAHf390o=")</f>
        <v>#VALUE!</v>
      </c>
      <c r="BX40" t="e">
        <f>AND('STERLING CATALOG - DRY '!F745,"AAAAAHf390s=")</f>
        <v>#VALUE!</v>
      </c>
      <c r="BY40" t="e">
        <f>AND('STERLING CATALOG - DRY '!G745,"AAAAAHf390w=")</f>
        <v>#VALUE!</v>
      </c>
      <c r="BZ40" t="e">
        <f>AND('STERLING CATALOG - DRY '!H745,"AAAAAHf3900=")</f>
        <v>#VALUE!</v>
      </c>
      <c r="CA40" t="e">
        <f>AND('STERLING CATALOG - DRY '!I745,"AAAAAHf3904=")</f>
        <v>#VALUE!</v>
      </c>
      <c r="CB40" t="e">
        <f>AND('STERLING CATALOG - DRY '!J745,"AAAAAHf3908=")</f>
        <v>#VALUE!</v>
      </c>
      <c r="CC40">
        <f>IF('STERLING CATALOG - DRY '!746:746,"AAAAAHf391A=",0)</f>
        <v>0</v>
      </c>
      <c r="CD40" t="e">
        <f>AND('STERLING CATALOG - DRY '!A746,"AAAAAHf391E=")</f>
        <v>#VALUE!</v>
      </c>
      <c r="CE40" t="e">
        <f>AND('STERLING CATALOG - DRY '!B746,"AAAAAHf391I=")</f>
        <v>#VALUE!</v>
      </c>
      <c r="CF40" t="e">
        <f>AND('STERLING CATALOG - DRY '!C746,"AAAAAHf391M=")</f>
        <v>#VALUE!</v>
      </c>
      <c r="CG40" t="e">
        <f>AND('STERLING CATALOG - DRY '!D746,"AAAAAHf391Q=")</f>
        <v>#VALUE!</v>
      </c>
      <c r="CH40" t="e">
        <f>AND('STERLING CATALOG - DRY '!E746,"AAAAAHf391U=")</f>
        <v>#VALUE!</v>
      </c>
      <c r="CI40" t="e">
        <f>AND('STERLING CATALOG - DRY '!F746,"AAAAAHf391Y=")</f>
        <v>#VALUE!</v>
      </c>
      <c r="CJ40" t="e">
        <f>AND('STERLING CATALOG - DRY '!G746,"AAAAAHf391c=")</f>
        <v>#VALUE!</v>
      </c>
      <c r="CK40" t="e">
        <f>AND('STERLING CATALOG - DRY '!H746,"AAAAAHf391g=")</f>
        <v>#VALUE!</v>
      </c>
      <c r="CL40" t="e">
        <f>AND('STERLING CATALOG - DRY '!I746,"AAAAAHf391k=")</f>
        <v>#VALUE!</v>
      </c>
      <c r="CM40" t="e">
        <f>AND('STERLING CATALOG - DRY '!J746,"AAAAAHf391o=")</f>
        <v>#VALUE!</v>
      </c>
      <c r="CN40">
        <f>IF('STERLING CATALOG - DRY '!747:747,"AAAAAHf391s=",0)</f>
        <v>0</v>
      </c>
      <c r="CO40" t="e">
        <f>AND('STERLING CATALOG - DRY '!A747,"AAAAAHf391w=")</f>
        <v>#VALUE!</v>
      </c>
      <c r="CP40" t="e">
        <f>AND('STERLING CATALOG - DRY '!B747,"AAAAAHf3910=")</f>
        <v>#VALUE!</v>
      </c>
      <c r="CQ40" t="e">
        <f>AND('STERLING CATALOG - DRY '!C747,"AAAAAHf3914=")</f>
        <v>#VALUE!</v>
      </c>
      <c r="CR40" t="e">
        <f>AND('STERLING CATALOG - DRY '!D747,"AAAAAHf3918=")</f>
        <v>#VALUE!</v>
      </c>
      <c r="CS40" t="e">
        <f>AND('STERLING CATALOG - DRY '!E747,"AAAAAHf392A=")</f>
        <v>#VALUE!</v>
      </c>
      <c r="CT40" t="e">
        <f>AND('STERLING CATALOG - DRY '!F747,"AAAAAHf392E=")</f>
        <v>#VALUE!</v>
      </c>
      <c r="CU40" t="e">
        <f>AND('STERLING CATALOG - DRY '!G747,"AAAAAHf392I=")</f>
        <v>#VALUE!</v>
      </c>
      <c r="CV40" t="e">
        <f>AND('STERLING CATALOG - DRY '!H747,"AAAAAHf392M=")</f>
        <v>#VALUE!</v>
      </c>
      <c r="CW40" t="e">
        <f>AND('STERLING CATALOG - DRY '!I747,"AAAAAHf392Q=")</f>
        <v>#VALUE!</v>
      </c>
      <c r="CX40" t="e">
        <f>AND('STERLING CATALOG - DRY '!J747,"AAAAAHf392U=")</f>
        <v>#VALUE!</v>
      </c>
      <c r="CY40">
        <f>IF('STERLING CATALOG - DRY '!748:748,"AAAAAHf392Y=",0)</f>
        <v>0</v>
      </c>
      <c r="CZ40" t="e">
        <f>AND('STERLING CATALOG - DRY '!A748,"AAAAAHf392c=")</f>
        <v>#VALUE!</v>
      </c>
      <c r="DA40" t="e">
        <f>AND('STERLING CATALOG - DRY '!B748,"AAAAAHf392g=")</f>
        <v>#VALUE!</v>
      </c>
      <c r="DB40" t="e">
        <f>AND('STERLING CATALOG - DRY '!C748,"AAAAAHf392k=")</f>
        <v>#VALUE!</v>
      </c>
      <c r="DC40" t="e">
        <f>AND('STERLING CATALOG - DRY '!D748,"AAAAAHf392o=")</f>
        <v>#VALUE!</v>
      </c>
      <c r="DD40" t="e">
        <f>AND('STERLING CATALOG - DRY '!E748,"AAAAAHf392s=")</f>
        <v>#VALUE!</v>
      </c>
      <c r="DE40" t="e">
        <f>AND('STERLING CATALOG - DRY '!F748,"AAAAAHf392w=")</f>
        <v>#VALUE!</v>
      </c>
      <c r="DF40" t="e">
        <f>AND('STERLING CATALOG - DRY '!G748,"AAAAAHf3920=")</f>
        <v>#VALUE!</v>
      </c>
      <c r="DG40" t="e">
        <f>AND('STERLING CATALOG - DRY '!H748,"AAAAAHf3924=")</f>
        <v>#VALUE!</v>
      </c>
      <c r="DH40" t="e">
        <f>AND('STERLING CATALOG - DRY '!I748,"AAAAAHf3928=")</f>
        <v>#VALUE!</v>
      </c>
      <c r="DI40" t="e">
        <f>AND('STERLING CATALOG - DRY '!J748,"AAAAAHf393A=")</f>
        <v>#VALUE!</v>
      </c>
      <c r="DJ40">
        <f>IF('STERLING CATALOG - DRY '!749:749,"AAAAAHf393E=",0)</f>
        <v>0</v>
      </c>
      <c r="DK40" t="e">
        <f>AND('STERLING CATALOG - DRY '!A749,"AAAAAHf393I=")</f>
        <v>#VALUE!</v>
      </c>
      <c r="DL40" t="e">
        <f>AND('STERLING CATALOG - DRY '!B749,"AAAAAHf393M=")</f>
        <v>#VALUE!</v>
      </c>
      <c r="DM40" t="e">
        <f>AND('STERLING CATALOG - DRY '!C749,"AAAAAHf393Q=")</f>
        <v>#VALUE!</v>
      </c>
      <c r="DN40" t="e">
        <f>AND('STERLING CATALOG - DRY '!D749,"AAAAAHf393U=")</f>
        <v>#VALUE!</v>
      </c>
      <c r="DO40" t="e">
        <f>AND('STERLING CATALOG - DRY '!E749,"AAAAAHf393Y=")</f>
        <v>#VALUE!</v>
      </c>
      <c r="DP40" t="e">
        <f>AND('STERLING CATALOG - DRY '!F749,"AAAAAHf393c=")</f>
        <v>#VALUE!</v>
      </c>
      <c r="DQ40" t="e">
        <f>AND('STERLING CATALOG - DRY '!G749,"AAAAAHf393g=")</f>
        <v>#VALUE!</v>
      </c>
      <c r="DR40" t="e">
        <f>AND('STERLING CATALOG - DRY '!H749,"AAAAAHf393k=")</f>
        <v>#VALUE!</v>
      </c>
      <c r="DS40" t="e">
        <f>AND('STERLING CATALOG - DRY '!I749,"AAAAAHf393o=")</f>
        <v>#VALUE!</v>
      </c>
      <c r="DT40" t="e">
        <f>AND('STERLING CATALOG - DRY '!J749,"AAAAAHf393s=")</f>
        <v>#VALUE!</v>
      </c>
      <c r="DU40">
        <f>IF('STERLING CATALOG - DRY '!750:750,"AAAAAHf393w=",0)</f>
        <v>0</v>
      </c>
      <c r="DV40" t="e">
        <f>AND('STERLING CATALOG - DRY '!A750,"AAAAAHf3930=")</f>
        <v>#VALUE!</v>
      </c>
      <c r="DW40" t="e">
        <f>AND('STERLING CATALOG - DRY '!B750,"AAAAAHf3934=")</f>
        <v>#VALUE!</v>
      </c>
      <c r="DX40" t="e">
        <f>AND('STERLING CATALOG - DRY '!C750,"AAAAAHf3938=")</f>
        <v>#VALUE!</v>
      </c>
      <c r="DY40" t="e">
        <f>AND('STERLING CATALOG - DRY '!D750,"AAAAAHf394A=")</f>
        <v>#VALUE!</v>
      </c>
      <c r="DZ40" t="e">
        <f>AND('STERLING CATALOG - DRY '!E750,"AAAAAHf394E=")</f>
        <v>#VALUE!</v>
      </c>
      <c r="EA40" t="e">
        <f>AND('STERLING CATALOG - DRY '!F750,"AAAAAHf394I=")</f>
        <v>#VALUE!</v>
      </c>
      <c r="EB40" t="e">
        <f>AND('STERLING CATALOG - DRY '!G750,"AAAAAHf394M=")</f>
        <v>#VALUE!</v>
      </c>
      <c r="EC40" t="e">
        <f>AND('STERLING CATALOG - DRY '!H750,"AAAAAHf394Q=")</f>
        <v>#VALUE!</v>
      </c>
      <c r="ED40" t="e">
        <f>AND('STERLING CATALOG - DRY '!I750,"AAAAAHf394U=")</f>
        <v>#VALUE!</v>
      </c>
      <c r="EE40" t="e">
        <f>AND('STERLING CATALOG - DRY '!J750,"AAAAAHf394Y=")</f>
        <v>#VALUE!</v>
      </c>
      <c r="EF40">
        <f>IF('STERLING CATALOG - DRY '!751:751,"AAAAAHf394c=",0)</f>
        <v>0</v>
      </c>
      <c r="EG40" t="e">
        <f>AND('STERLING CATALOG - DRY '!A751,"AAAAAHf394g=")</f>
        <v>#VALUE!</v>
      </c>
      <c r="EH40" t="e">
        <f>AND('STERLING CATALOG - DRY '!B751,"AAAAAHf394k=")</f>
        <v>#VALUE!</v>
      </c>
      <c r="EI40" t="e">
        <f>AND('STERLING CATALOG - DRY '!C751,"AAAAAHf394o=")</f>
        <v>#VALUE!</v>
      </c>
      <c r="EJ40" t="e">
        <f>AND('STERLING CATALOG - DRY '!D751,"AAAAAHf394s=")</f>
        <v>#VALUE!</v>
      </c>
      <c r="EK40" t="e">
        <f>AND('STERLING CATALOG - DRY '!E751,"AAAAAHf394w=")</f>
        <v>#VALUE!</v>
      </c>
      <c r="EL40" t="e">
        <f>AND('STERLING CATALOG - DRY '!F751,"AAAAAHf3940=")</f>
        <v>#VALUE!</v>
      </c>
      <c r="EM40" t="e">
        <f>AND('STERLING CATALOG - DRY '!G751,"AAAAAHf3944=")</f>
        <v>#VALUE!</v>
      </c>
      <c r="EN40" t="e">
        <f>AND('STERLING CATALOG - DRY '!H751,"AAAAAHf3948=")</f>
        <v>#VALUE!</v>
      </c>
      <c r="EO40" t="e">
        <f>AND('STERLING CATALOG - DRY '!I751,"AAAAAHf395A=")</f>
        <v>#VALUE!</v>
      </c>
      <c r="EP40" t="e">
        <f>AND('STERLING CATALOG - DRY '!J751,"AAAAAHf395E=")</f>
        <v>#VALUE!</v>
      </c>
      <c r="EQ40">
        <f>IF('STERLING CATALOG - DRY '!752:752,"AAAAAHf395I=",0)</f>
        <v>0</v>
      </c>
      <c r="ER40" t="e">
        <f>AND('STERLING CATALOG - DRY '!A752,"AAAAAHf395M=")</f>
        <v>#VALUE!</v>
      </c>
      <c r="ES40" t="e">
        <f>AND('STERLING CATALOG - DRY '!B752,"AAAAAHf395Q=")</f>
        <v>#VALUE!</v>
      </c>
      <c r="ET40" t="e">
        <f>AND('STERLING CATALOG - DRY '!C752,"AAAAAHf395U=")</f>
        <v>#VALUE!</v>
      </c>
      <c r="EU40" t="e">
        <f>AND('STERLING CATALOG - DRY '!D752,"AAAAAHf395Y=")</f>
        <v>#VALUE!</v>
      </c>
      <c r="EV40" t="e">
        <f>AND('STERLING CATALOG - DRY '!E752,"AAAAAHf395c=")</f>
        <v>#VALUE!</v>
      </c>
      <c r="EW40" t="e">
        <f>AND('STERLING CATALOG - DRY '!F752,"AAAAAHf395g=")</f>
        <v>#VALUE!</v>
      </c>
      <c r="EX40" t="e">
        <f>AND('STERLING CATALOG - DRY '!G752,"AAAAAHf395k=")</f>
        <v>#VALUE!</v>
      </c>
      <c r="EY40" t="e">
        <f>AND('STERLING CATALOG - DRY '!H752,"AAAAAHf395o=")</f>
        <v>#VALUE!</v>
      </c>
      <c r="EZ40" t="e">
        <f>AND('STERLING CATALOG - DRY '!I752,"AAAAAHf395s=")</f>
        <v>#VALUE!</v>
      </c>
      <c r="FA40" t="e">
        <f>AND('STERLING CATALOG - DRY '!J752,"AAAAAHf395w=")</f>
        <v>#VALUE!</v>
      </c>
      <c r="FB40">
        <f>IF('STERLING CATALOG - DRY '!753:753,"AAAAAHf3950=",0)</f>
        <v>0</v>
      </c>
      <c r="FC40" t="e">
        <f>AND('STERLING CATALOG - DRY '!A753,"AAAAAHf3954=")</f>
        <v>#VALUE!</v>
      </c>
      <c r="FD40" t="e">
        <f>AND('STERLING CATALOG - DRY '!B753,"AAAAAHf3958=")</f>
        <v>#VALUE!</v>
      </c>
      <c r="FE40" t="e">
        <f>AND('STERLING CATALOG - DRY '!C753,"AAAAAHf396A=")</f>
        <v>#VALUE!</v>
      </c>
      <c r="FF40" t="e">
        <f>AND('STERLING CATALOG - DRY '!D753,"AAAAAHf396E=")</f>
        <v>#VALUE!</v>
      </c>
      <c r="FG40" t="e">
        <f>AND('STERLING CATALOG - DRY '!E753,"AAAAAHf396I=")</f>
        <v>#VALUE!</v>
      </c>
      <c r="FH40" t="e">
        <f>AND('STERLING CATALOG - DRY '!F753,"AAAAAHf396M=")</f>
        <v>#VALUE!</v>
      </c>
      <c r="FI40" t="e">
        <f>AND('STERLING CATALOG - DRY '!G753,"AAAAAHf396Q=")</f>
        <v>#VALUE!</v>
      </c>
      <c r="FJ40" t="e">
        <f>AND('STERLING CATALOG - DRY '!H753,"AAAAAHf396U=")</f>
        <v>#VALUE!</v>
      </c>
      <c r="FK40" t="e">
        <f>AND('STERLING CATALOG - DRY '!I753,"AAAAAHf396Y=")</f>
        <v>#VALUE!</v>
      </c>
      <c r="FL40" t="e">
        <f>AND('STERLING CATALOG - DRY '!J753,"AAAAAHf396c=")</f>
        <v>#VALUE!</v>
      </c>
      <c r="FM40">
        <f>IF('STERLING CATALOG - DRY '!754:754,"AAAAAHf396g=",0)</f>
        <v>0</v>
      </c>
      <c r="FN40" t="e">
        <f>AND('STERLING CATALOG - DRY '!A754,"AAAAAHf396k=")</f>
        <v>#VALUE!</v>
      </c>
      <c r="FO40" t="e">
        <f>AND('STERLING CATALOG - DRY '!B754,"AAAAAHf396o=")</f>
        <v>#VALUE!</v>
      </c>
      <c r="FP40" t="e">
        <f>AND('STERLING CATALOG - DRY '!C754,"AAAAAHf396s=")</f>
        <v>#VALUE!</v>
      </c>
      <c r="FQ40" t="e">
        <f>AND('STERLING CATALOG - DRY '!D754,"AAAAAHf396w=")</f>
        <v>#VALUE!</v>
      </c>
      <c r="FR40" t="e">
        <f>AND('STERLING CATALOG - DRY '!E754,"AAAAAHf3960=")</f>
        <v>#VALUE!</v>
      </c>
      <c r="FS40" t="e">
        <f>AND('STERLING CATALOG - DRY '!F754,"AAAAAHf3964=")</f>
        <v>#VALUE!</v>
      </c>
      <c r="FT40" t="e">
        <f>AND('STERLING CATALOG - DRY '!G754,"AAAAAHf3968=")</f>
        <v>#VALUE!</v>
      </c>
      <c r="FU40" t="e">
        <f>AND('STERLING CATALOG - DRY '!H754,"AAAAAHf397A=")</f>
        <v>#VALUE!</v>
      </c>
      <c r="FV40" t="e">
        <f>AND('STERLING CATALOG - DRY '!I754,"AAAAAHf397E=")</f>
        <v>#VALUE!</v>
      </c>
      <c r="FW40" t="e">
        <f>AND('STERLING CATALOG - DRY '!J754,"AAAAAHf397I=")</f>
        <v>#VALUE!</v>
      </c>
      <c r="FX40">
        <f>IF('STERLING CATALOG - DRY '!755:755,"AAAAAHf397M=",0)</f>
        <v>0</v>
      </c>
      <c r="FY40" t="e">
        <f>AND('STERLING CATALOG - DRY '!A755,"AAAAAHf397Q=")</f>
        <v>#VALUE!</v>
      </c>
      <c r="FZ40" t="e">
        <f>AND('STERLING CATALOG - DRY '!B755,"AAAAAHf397U=")</f>
        <v>#VALUE!</v>
      </c>
      <c r="GA40" t="e">
        <f>AND('STERLING CATALOG - DRY '!C755,"AAAAAHf397Y=")</f>
        <v>#VALUE!</v>
      </c>
      <c r="GB40" t="e">
        <f>AND('STERLING CATALOG - DRY '!D755,"AAAAAHf397c=")</f>
        <v>#VALUE!</v>
      </c>
      <c r="GC40" t="e">
        <f>AND('STERLING CATALOG - DRY '!E755,"AAAAAHf397g=")</f>
        <v>#VALUE!</v>
      </c>
      <c r="GD40" t="e">
        <f>AND('STERLING CATALOG - DRY '!F755,"AAAAAHf397k=")</f>
        <v>#VALUE!</v>
      </c>
      <c r="GE40" t="e">
        <f>AND('STERLING CATALOG - DRY '!G755,"AAAAAHf397o=")</f>
        <v>#VALUE!</v>
      </c>
      <c r="GF40" t="e">
        <f>AND('STERLING CATALOG - DRY '!H755,"AAAAAHf397s=")</f>
        <v>#VALUE!</v>
      </c>
      <c r="GG40" t="e">
        <f>AND('STERLING CATALOG - DRY '!I755,"AAAAAHf397w=")</f>
        <v>#VALUE!</v>
      </c>
      <c r="GH40" t="e">
        <f>AND('STERLING CATALOG - DRY '!J755,"AAAAAHf3970=")</f>
        <v>#VALUE!</v>
      </c>
      <c r="GI40">
        <f>IF('STERLING CATALOG - DRY '!756:756,"AAAAAHf3974=",0)</f>
        <v>0</v>
      </c>
      <c r="GJ40" t="e">
        <f>AND('STERLING CATALOG - DRY '!A756,"AAAAAHf3978=")</f>
        <v>#VALUE!</v>
      </c>
      <c r="GK40" t="e">
        <f>AND('STERLING CATALOG - DRY '!B756,"AAAAAHf398A=")</f>
        <v>#VALUE!</v>
      </c>
      <c r="GL40" t="e">
        <f>AND('STERLING CATALOG - DRY '!C756,"AAAAAHf398E=")</f>
        <v>#VALUE!</v>
      </c>
      <c r="GM40" t="e">
        <f>AND('STERLING CATALOG - DRY '!D756,"AAAAAHf398I=")</f>
        <v>#VALUE!</v>
      </c>
      <c r="GN40" t="e">
        <f>AND('STERLING CATALOG - DRY '!E756,"AAAAAHf398M=")</f>
        <v>#VALUE!</v>
      </c>
      <c r="GO40" t="e">
        <f>AND('STERLING CATALOG - DRY '!F756,"AAAAAHf398Q=")</f>
        <v>#VALUE!</v>
      </c>
      <c r="GP40" t="e">
        <f>AND('STERLING CATALOG - DRY '!G756,"AAAAAHf398U=")</f>
        <v>#VALUE!</v>
      </c>
      <c r="GQ40" t="e">
        <f>AND('STERLING CATALOG - DRY '!H756,"AAAAAHf398Y=")</f>
        <v>#VALUE!</v>
      </c>
      <c r="GR40" t="e">
        <f>AND('STERLING CATALOG - DRY '!I756,"AAAAAHf398c=")</f>
        <v>#VALUE!</v>
      </c>
      <c r="GS40" t="e">
        <f>AND('STERLING CATALOG - DRY '!J756,"AAAAAHf398g=")</f>
        <v>#VALUE!</v>
      </c>
      <c r="GT40">
        <f>IF('STERLING CATALOG - DRY '!757:757,"AAAAAHf398k=",0)</f>
        <v>0</v>
      </c>
      <c r="GU40" t="e">
        <f>AND('STERLING CATALOG - DRY '!A757,"AAAAAHf398o=")</f>
        <v>#VALUE!</v>
      </c>
      <c r="GV40" t="e">
        <f>AND('STERLING CATALOG - DRY '!B757,"AAAAAHf398s=")</f>
        <v>#VALUE!</v>
      </c>
      <c r="GW40" t="e">
        <f>AND('STERLING CATALOG - DRY '!C757,"AAAAAHf398w=")</f>
        <v>#VALUE!</v>
      </c>
      <c r="GX40" t="e">
        <f>AND('STERLING CATALOG - DRY '!D757,"AAAAAHf3980=")</f>
        <v>#VALUE!</v>
      </c>
      <c r="GY40" t="e">
        <f>AND('STERLING CATALOG - DRY '!E757,"AAAAAHf3984=")</f>
        <v>#VALUE!</v>
      </c>
      <c r="GZ40" t="e">
        <f>AND('STERLING CATALOG - DRY '!F757,"AAAAAHf3988=")</f>
        <v>#VALUE!</v>
      </c>
      <c r="HA40" t="e">
        <f>AND('STERLING CATALOG - DRY '!G757,"AAAAAHf399A=")</f>
        <v>#VALUE!</v>
      </c>
      <c r="HB40" t="e">
        <f>AND('STERLING CATALOG - DRY '!H757,"AAAAAHf399E=")</f>
        <v>#VALUE!</v>
      </c>
      <c r="HC40" t="e">
        <f>AND('STERLING CATALOG - DRY '!I757,"AAAAAHf399I=")</f>
        <v>#VALUE!</v>
      </c>
      <c r="HD40" t="e">
        <f>AND('STERLING CATALOG - DRY '!J757,"AAAAAHf399M=")</f>
        <v>#VALUE!</v>
      </c>
      <c r="HE40">
        <f>IF('STERLING CATALOG - DRY '!758:758,"AAAAAHf399Q=",0)</f>
        <v>0</v>
      </c>
      <c r="HF40" t="e">
        <f>AND('STERLING CATALOG - DRY '!A758,"AAAAAHf399U=")</f>
        <v>#VALUE!</v>
      </c>
      <c r="HG40" t="e">
        <f>AND('STERLING CATALOG - DRY '!B758,"AAAAAHf399Y=")</f>
        <v>#VALUE!</v>
      </c>
      <c r="HH40" t="e">
        <f>AND('STERLING CATALOG - DRY '!C758,"AAAAAHf399c=")</f>
        <v>#VALUE!</v>
      </c>
      <c r="HI40" t="e">
        <f>AND('STERLING CATALOG - DRY '!D758,"AAAAAHf399g=")</f>
        <v>#VALUE!</v>
      </c>
      <c r="HJ40" t="e">
        <f>AND('STERLING CATALOG - DRY '!E758,"AAAAAHf399k=")</f>
        <v>#VALUE!</v>
      </c>
      <c r="HK40" t="e">
        <f>AND('STERLING CATALOG - DRY '!F758,"AAAAAHf399o=")</f>
        <v>#VALUE!</v>
      </c>
      <c r="HL40" t="e">
        <f>AND('STERLING CATALOG - DRY '!G758,"AAAAAHf399s=")</f>
        <v>#VALUE!</v>
      </c>
      <c r="HM40" t="e">
        <f>AND('STERLING CATALOG - DRY '!H758,"AAAAAHf399w=")</f>
        <v>#VALUE!</v>
      </c>
      <c r="HN40" t="e">
        <f>AND('STERLING CATALOG - DRY '!I758,"AAAAAHf3990=")</f>
        <v>#VALUE!</v>
      </c>
      <c r="HO40" t="e">
        <f>AND('STERLING CATALOG - DRY '!J758,"AAAAAHf3994=")</f>
        <v>#VALUE!</v>
      </c>
      <c r="HP40">
        <f>IF('STERLING CATALOG - DRY '!759:759,"AAAAAHf3998=",0)</f>
        <v>0</v>
      </c>
      <c r="HQ40" t="e">
        <f>AND('STERLING CATALOG - DRY '!A759,"AAAAAHf39+A=")</f>
        <v>#VALUE!</v>
      </c>
      <c r="HR40" t="e">
        <f>AND('STERLING CATALOG - DRY '!B759,"AAAAAHf39+E=")</f>
        <v>#VALUE!</v>
      </c>
      <c r="HS40" t="e">
        <f>AND('STERLING CATALOG - DRY '!C759,"AAAAAHf39+I=")</f>
        <v>#VALUE!</v>
      </c>
      <c r="HT40" t="e">
        <f>AND('STERLING CATALOG - DRY '!D759,"AAAAAHf39+M=")</f>
        <v>#VALUE!</v>
      </c>
      <c r="HU40" t="e">
        <f>AND('STERLING CATALOG - DRY '!E759,"AAAAAHf39+Q=")</f>
        <v>#VALUE!</v>
      </c>
      <c r="HV40" t="e">
        <f>AND('STERLING CATALOG - DRY '!F759,"AAAAAHf39+U=")</f>
        <v>#VALUE!</v>
      </c>
      <c r="HW40" t="e">
        <f>AND('STERLING CATALOG - DRY '!G759,"AAAAAHf39+Y=")</f>
        <v>#VALUE!</v>
      </c>
      <c r="HX40" t="e">
        <f>AND('STERLING CATALOG - DRY '!H759,"AAAAAHf39+c=")</f>
        <v>#VALUE!</v>
      </c>
      <c r="HY40" t="e">
        <f>AND('STERLING CATALOG - DRY '!I759,"AAAAAHf39+g=")</f>
        <v>#VALUE!</v>
      </c>
      <c r="HZ40" t="e">
        <f>AND('STERLING CATALOG - DRY '!J759,"AAAAAHf39+k=")</f>
        <v>#VALUE!</v>
      </c>
      <c r="IA40">
        <f>IF('STERLING CATALOG - DRY '!760:760,"AAAAAHf39+o=",0)</f>
        <v>0</v>
      </c>
      <c r="IB40" t="e">
        <f>AND('STERLING CATALOG - DRY '!A760,"AAAAAHf39+s=")</f>
        <v>#VALUE!</v>
      </c>
      <c r="IC40" t="e">
        <f>AND('STERLING CATALOG - DRY '!B760,"AAAAAHf39+w=")</f>
        <v>#VALUE!</v>
      </c>
      <c r="ID40" t="e">
        <f>AND('STERLING CATALOG - DRY '!C760,"AAAAAHf39+0=")</f>
        <v>#VALUE!</v>
      </c>
      <c r="IE40" t="e">
        <f>AND('STERLING CATALOG - DRY '!D760,"AAAAAHf39+4=")</f>
        <v>#VALUE!</v>
      </c>
      <c r="IF40" t="e">
        <f>AND('STERLING CATALOG - DRY '!E760,"AAAAAHf39+8=")</f>
        <v>#VALUE!</v>
      </c>
      <c r="IG40" t="e">
        <f>AND('STERLING CATALOG - DRY '!F760,"AAAAAHf39/A=")</f>
        <v>#VALUE!</v>
      </c>
      <c r="IH40" t="e">
        <f>AND('STERLING CATALOG - DRY '!G760,"AAAAAHf39/E=")</f>
        <v>#VALUE!</v>
      </c>
      <c r="II40" t="e">
        <f>AND('STERLING CATALOG - DRY '!H760,"AAAAAHf39/I=")</f>
        <v>#VALUE!</v>
      </c>
      <c r="IJ40" t="e">
        <f>AND('STERLING CATALOG - DRY '!I760,"AAAAAHf39/M=")</f>
        <v>#VALUE!</v>
      </c>
      <c r="IK40" t="e">
        <f>AND('STERLING CATALOG - DRY '!J760,"AAAAAHf39/Q=")</f>
        <v>#VALUE!</v>
      </c>
      <c r="IL40">
        <f>IF('STERLING CATALOG - DRY '!761:761,"AAAAAHf39/U=",0)</f>
        <v>0</v>
      </c>
      <c r="IM40" t="e">
        <f>AND('STERLING CATALOG - DRY '!A761,"AAAAAHf39/Y=")</f>
        <v>#VALUE!</v>
      </c>
      <c r="IN40" t="e">
        <f>AND('STERLING CATALOG - DRY '!B761,"AAAAAHf39/c=")</f>
        <v>#VALUE!</v>
      </c>
      <c r="IO40" t="e">
        <f>AND('STERLING CATALOG - DRY '!C761,"AAAAAHf39/g=")</f>
        <v>#VALUE!</v>
      </c>
      <c r="IP40" t="e">
        <f>AND('STERLING CATALOG - DRY '!D761,"AAAAAHf39/k=")</f>
        <v>#VALUE!</v>
      </c>
      <c r="IQ40" t="e">
        <f>AND('STERLING CATALOG - DRY '!E761,"AAAAAHf39/o=")</f>
        <v>#VALUE!</v>
      </c>
      <c r="IR40" t="e">
        <f>AND('STERLING CATALOG - DRY '!F761,"AAAAAHf39/s=")</f>
        <v>#VALUE!</v>
      </c>
      <c r="IS40" t="e">
        <f>AND('STERLING CATALOG - DRY '!G761,"AAAAAHf39/w=")</f>
        <v>#VALUE!</v>
      </c>
      <c r="IT40" t="e">
        <f>AND('STERLING CATALOG - DRY '!H761,"AAAAAHf39/0=")</f>
        <v>#VALUE!</v>
      </c>
      <c r="IU40" t="e">
        <f>AND('STERLING CATALOG - DRY '!I761,"AAAAAHf39/4=")</f>
        <v>#VALUE!</v>
      </c>
      <c r="IV40" t="e">
        <f>AND('STERLING CATALOG - DRY '!J761,"AAAAAHf39/8=")</f>
        <v>#VALUE!</v>
      </c>
    </row>
    <row r="41" spans="1:256">
      <c r="A41" t="str">
        <f>IF('STERLING CATALOG - DRY '!762:762,"AAAAACnv7wA=",0)</f>
        <v>AAAAACnv7wA=</v>
      </c>
      <c r="B41" t="e">
        <f>AND('STERLING CATALOG - DRY '!A762,"AAAAACnv7wE=")</f>
        <v>#VALUE!</v>
      </c>
      <c r="C41" t="e">
        <f>AND('STERLING CATALOG - DRY '!B762,"AAAAACnv7wI=")</f>
        <v>#VALUE!</v>
      </c>
      <c r="D41" t="e">
        <f>AND('STERLING CATALOG - DRY '!C762,"AAAAACnv7wM=")</f>
        <v>#VALUE!</v>
      </c>
      <c r="E41" t="e">
        <f>AND('STERLING CATALOG - DRY '!D762,"AAAAACnv7wQ=")</f>
        <v>#VALUE!</v>
      </c>
      <c r="F41" t="e">
        <f>AND('STERLING CATALOG - DRY '!E762,"AAAAACnv7wU=")</f>
        <v>#VALUE!</v>
      </c>
      <c r="G41" t="e">
        <f>AND('STERLING CATALOG - DRY '!F762,"AAAAACnv7wY=")</f>
        <v>#VALUE!</v>
      </c>
      <c r="H41" t="e">
        <f>AND('STERLING CATALOG - DRY '!G762,"AAAAACnv7wc=")</f>
        <v>#VALUE!</v>
      </c>
      <c r="I41" t="e">
        <f>AND('STERLING CATALOG - DRY '!H762,"AAAAACnv7wg=")</f>
        <v>#VALUE!</v>
      </c>
      <c r="J41" t="e">
        <f>AND('STERLING CATALOG - DRY '!I762,"AAAAACnv7wk=")</f>
        <v>#VALUE!</v>
      </c>
      <c r="K41" t="e">
        <f>AND('STERLING CATALOG - DRY '!J762,"AAAAACnv7wo=")</f>
        <v>#VALUE!</v>
      </c>
      <c r="L41">
        <f>IF('STERLING CATALOG - DRY '!763:763,"AAAAACnv7ws=",0)</f>
        <v>0</v>
      </c>
      <c r="M41" t="e">
        <f>AND('STERLING CATALOG - DRY '!A763,"AAAAACnv7ww=")</f>
        <v>#VALUE!</v>
      </c>
      <c r="N41" t="e">
        <f>AND('STERLING CATALOG - DRY '!B763,"AAAAACnv7w0=")</f>
        <v>#VALUE!</v>
      </c>
      <c r="O41" t="e">
        <f>AND('STERLING CATALOG - DRY '!C763,"AAAAACnv7w4=")</f>
        <v>#VALUE!</v>
      </c>
      <c r="P41" t="e">
        <f>AND('STERLING CATALOG - DRY '!D763,"AAAAACnv7w8=")</f>
        <v>#VALUE!</v>
      </c>
      <c r="Q41" t="e">
        <f>AND('STERLING CATALOG - DRY '!E763,"AAAAACnv7xA=")</f>
        <v>#VALUE!</v>
      </c>
      <c r="R41" t="e">
        <f>AND('STERLING CATALOG - DRY '!F763,"AAAAACnv7xE=")</f>
        <v>#VALUE!</v>
      </c>
      <c r="S41" t="e">
        <f>AND('STERLING CATALOG - DRY '!G763,"AAAAACnv7xI=")</f>
        <v>#VALUE!</v>
      </c>
      <c r="T41" t="e">
        <f>AND('STERLING CATALOG - DRY '!H763,"AAAAACnv7xM=")</f>
        <v>#VALUE!</v>
      </c>
      <c r="U41" t="e">
        <f>AND('STERLING CATALOG - DRY '!I763,"AAAAACnv7xQ=")</f>
        <v>#VALUE!</v>
      </c>
      <c r="V41" t="e">
        <f>AND('STERLING CATALOG - DRY '!J763,"AAAAACnv7xU=")</f>
        <v>#VALUE!</v>
      </c>
      <c r="W41">
        <f>IF('STERLING CATALOG - DRY '!764:764,"AAAAACnv7xY=",0)</f>
        <v>0</v>
      </c>
      <c r="X41" t="e">
        <f>AND('STERLING CATALOG - DRY '!A764,"AAAAACnv7xc=")</f>
        <v>#VALUE!</v>
      </c>
      <c r="Y41" t="e">
        <f>AND('STERLING CATALOG - DRY '!B764,"AAAAACnv7xg=")</f>
        <v>#VALUE!</v>
      </c>
      <c r="Z41" t="e">
        <f>AND('STERLING CATALOG - DRY '!C764,"AAAAACnv7xk=")</f>
        <v>#VALUE!</v>
      </c>
      <c r="AA41" t="e">
        <f>AND('STERLING CATALOG - DRY '!D764,"AAAAACnv7xo=")</f>
        <v>#VALUE!</v>
      </c>
      <c r="AB41" t="e">
        <f>AND('STERLING CATALOG - DRY '!E764,"AAAAACnv7xs=")</f>
        <v>#VALUE!</v>
      </c>
      <c r="AC41" t="e">
        <f>AND('STERLING CATALOG - DRY '!F764,"AAAAACnv7xw=")</f>
        <v>#VALUE!</v>
      </c>
      <c r="AD41" t="e">
        <f>AND('STERLING CATALOG - DRY '!G764,"AAAAACnv7x0=")</f>
        <v>#VALUE!</v>
      </c>
      <c r="AE41" t="e">
        <f>AND('STERLING CATALOG - DRY '!H764,"AAAAACnv7x4=")</f>
        <v>#VALUE!</v>
      </c>
      <c r="AF41" t="e">
        <f>AND('STERLING CATALOG - DRY '!I764,"AAAAACnv7x8=")</f>
        <v>#VALUE!</v>
      </c>
      <c r="AG41" t="e">
        <f>AND('STERLING CATALOG - DRY '!J764,"AAAAACnv7yA=")</f>
        <v>#VALUE!</v>
      </c>
      <c r="AH41">
        <f>IF('STERLING CATALOG - DRY '!765:765,"AAAAACnv7yE=",0)</f>
        <v>0</v>
      </c>
      <c r="AI41" t="e">
        <f>AND('STERLING CATALOG - DRY '!A765,"AAAAACnv7yI=")</f>
        <v>#VALUE!</v>
      </c>
      <c r="AJ41" t="e">
        <f>AND('STERLING CATALOG - DRY '!B765,"AAAAACnv7yM=")</f>
        <v>#VALUE!</v>
      </c>
      <c r="AK41" t="e">
        <f>AND('STERLING CATALOG - DRY '!C765,"AAAAACnv7yQ=")</f>
        <v>#VALUE!</v>
      </c>
      <c r="AL41" t="e">
        <f>AND('STERLING CATALOG - DRY '!D765,"AAAAACnv7yU=")</f>
        <v>#VALUE!</v>
      </c>
      <c r="AM41" t="e">
        <f>AND('STERLING CATALOG - DRY '!E765,"AAAAACnv7yY=")</f>
        <v>#VALUE!</v>
      </c>
      <c r="AN41" t="e">
        <f>AND('STERLING CATALOG - DRY '!F765,"AAAAACnv7yc=")</f>
        <v>#VALUE!</v>
      </c>
      <c r="AO41" t="e">
        <f>AND('STERLING CATALOG - DRY '!G765,"AAAAACnv7yg=")</f>
        <v>#VALUE!</v>
      </c>
      <c r="AP41" t="e">
        <f>AND('STERLING CATALOG - DRY '!H765,"AAAAACnv7yk=")</f>
        <v>#VALUE!</v>
      </c>
      <c r="AQ41" t="e">
        <f>AND('STERLING CATALOG - DRY '!I765,"AAAAACnv7yo=")</f>
        <v>#VALUE!</v>
      </c>
      <c r="AR41" t="e">
        <f>AND('STERLING CATALOG - DRY '!J765,"AAAAACnv7ys=")</f>
        <v>#VALUE!</v>
      </c>
      <c r="AS41">
        <f>IF('STERLING CATALOG - DRY '!766:766,"AAAAACnv7yw=",0)</f>
        <v>0</v>
      </c>
      <c r="AT41" t="e">
        <f>AND('STERLING CATALOG - DRY '!A766,"AAAAACnv7y0=")</f>
        <v>#VALUE!</v>
      </c>
      <c r="AU41" t="e">
        <f>AND('STERLING CATALOG - DRY '!B766,"AAAAACnv7y4=")</f>
        <v>#VALUE!</v>
      </c>
      <c r="AV41" t="e">
        <f>AND('STERLING CATALOG - DRY '!C766,"AAAAACnv7y8=")</f>
        <v>#VALUE!</v>
      </c>
      <c r="AW41" t="e">
        <f>AND('STERLING CATALOG - DRY '!D766,"AAAAACnv7zA=")</f>
        <v>#VALUE!</v>
      </c>
      <c r="AX41" t="e">
        <f>AND('STERLING CATALOG - DRY '!E766,"AAAAACnv7zE=")</f>
        <v>#VALUE!</v>
      </c>
      <c r="AY41" t="e">
        <f>AND('STERLING CATALOG - DRY '!F766,"AAAAACnv7zI=")</f>
        <v>#VALUE!</v>
      </c>
      <c r="AZ41" t="e">
        <f>AND('STERLING CATALOG - DRY '!G766,"AAAAACnv7zM=")</f>
        <v>#VALUE!</v>
      </c>
      <c r="BA41" t="e">
        <f>AND('STERLING CATALOG - DRY '!H766,"AAAAACnv7zQ=")</f>
        <v>#VALUE!</v>
      </c>
      <c r="BB41" t="e">
        <f>AND('STERLING CATALOG - DRY '!I766,"AAAAACnv7zU=")</f>
        <v>#VALUE!</v>
      </c>
      <c r="BC41" t="e">
        <f>AND('STERLING CATALOG - DRY '!J766,"AAAAACnv7zY=")</f>
        <v>#VALUE!</v>
      </c>
      <c r="BD41">
        <f>IF('STERLING CATALOG - DRY '!767:767,"AAAAACnv7zc=",0)</f>
        <v>0</v>
      </c>
      <c r="BE41" t="e">
        <f>AND('STERLING CATALOG - DRY '!A767,"AAAAACnv7zg=")</f>
        <v>#VALUE!</v>
      </c>
      <c r="BF41" t="e">
        <f>AND('STERLING CATALOG - DRY '!B767,"AAAAACnv7zk=")</f>
        <v>#VALUE!</v>
      </c>
      <c r="BG41" t="e">
        <f>AND('STERLING CATALOG - DRY '!C767,"AAAAACnv7zo=")</f>
        <v>#VALUE!</v>
      </c>
      <c r="BH41" t="e">
        <f>AND('STERLING CATALOG - DRY '!D767,"AAAAACnv7zs=")</f>
        <v>#VALUE!</v>
      </c>
      <c r="BI41" t="e">
        <f>AND('STERLING CATALOG - DRY '!E767,"AAAAACnv7zw=")</f>
        <v>#VALUE!</v>
      </c>
      <c r="BJ41" t="e">
        <f>AND('STERLING CATALOG - DRY '!F767,"AAAAACnv7z0=")</f>
        <v>#VALUE!</v>
      </c>
      <c r="BK41" t="e">
        <f>AND('STERLING CATALOG - DRY '!G767,"AAAAACnv7z4=")</f>
        <v>#VALUE!</v>
      </c>
      <c r="BL41" t="e">
        <f>AND('STERLING CATALOG - DRY '!H767,"AAAAACnv7z8=")</f>
        <v>#VALUE!</v>
      </c>
      <c r="BM41" t="e">
        <f>AND('STERLING CATALOG - DRY '!I767,"AAAAACnv70A=")</f>
        <v>#VALUE!</v>
      </c>
      <c r="BN41" t="e">
        <f>AND('STERLING CATALOG - DRY '!J767,"AAAAACnv70E=")</f>
        <v>#VALUE!</v>
      </c>
      <c r="BO41">
        <f>IF('STERLING CATALOG - DRY '!768:768,"AAAAACnv70I=",0)</f>
        <v>0</v>
      </c>
      <c r="BP41" t="e">
        <f>AND('STERLING CATALOG - DRY '!A768,"AAAAACnv70M=")</f>
        <v>#VALUE!</v>
      </c>
      <c r="BQ41" t="e">
        <f>AND('STERLING CATALOG - DRY '!B768,"AAAAACnv70Q=")</f>
        <v>#VALUE!</v>
      </c>
      <c r="BR41" t="e">
        <f>AND('STERLING CATALOG - DRY '!C768,"AAAAACnv70U=")</f>
        <v>#VALUE!</v>
      </c>
      <c r="BS41" t="e">
        <f>AND('STERLING CATALOG - DRY '!D768,"AAAAACnv70Y=")</f>
        <v>#VALUE!</v>
      </c>
      <c r="BT41" t="e">
        <f>AND('STERLING CATALOG - DRY '!E768,"AAAAACnv70c=")</f>
        <v>#VALUE!</v>
      </c>
      <c r="BU41" t="e">
        <f>AND('STERLING CATALOG - DRY '!F768,"AAAAACnv70g=")</f>
        <v>#VALUE!</v>
      </c>
      <c r="BV41" t="e">
        <f>AND('STERLING CATALOG - DRY '!G768,"AAAAACnv70k=")</f>
        <v>#VALUE!</v>
      </c>
      <c r="BW41" t="e">
        <f>AND('STERLING CATALOG - DRY '!H768,"AAAAACnv70o=")</f>
        <v>#VALUE!</v>
      </c>
      <c r="BX41" t="e">
        <f>AND('STERLING CATALOG - DRY '!I768,"AAAAACnv70s=")</f>
        <v>#VALUE!</v>
      </c>
      <c r="BY41" t="e">
        <f>AND('STERLING CATALOG - DRY '!J768,"AAAAACnv70w=")</f>
        <v>#VALUE!</v>
      </c>
      <c r="BZ41">
        <f>IF('STERLING CATALOG - DRY '!769:769,"AAAAACnv700=",0)</f>
        <v>0</v>
      </c>
      <c r="CA41" t="e">
        <f>AND('STERLING CATALOG - DRY '!A769,"AAAAACnv704=")</f>
        <v>#VALUE!</v>
      </c>
      <c r="CB41" t="e">
        <f>AND('STERLING CATALOG - DRY '!B769,"AAAAACnv708=")</f>
        <v>#VALUE!</v>
      </c>
      <c r="CC41" t="e">
        <f>AND('STERLING CATALOG - DRY '!C769,"AAAAACnv71A=")</f>
        <v>#VALUE!</v>
      </c>
      <c r="CD41" t="e">
        <f>AND('STERLING CATALOG - DRY '!D769,"AAAAACnv71E=")</f>
        <v>#VALUE!</v>
      </c>
      <c r="CE41" t="e">
        <f>AND('STERLING CATALOG - DRY '!E769,"AAAAACnv71I=")</f>
        <v>#VALUE!</v>
      </c>
      <c r="CF41" t="e">
        <f>AND('STERLING CATALOG - DRY '!F769,"AAAAACnv71M=")</f>
        <v>#VALUE!</v>
      </c>
      <c r="CG41" t="e">
        <f>AND('STERLING CATALOG - DRY '!G769,"AAAAACnv71Q=")</f>
        <v>#VALUE!</v>
      </c>
      <c r="CH41" t="e">
        <f>AND('STERLING CATALOG - DRY '!H769,"AAAAACnv71U=")</f>
        <v>#VALUE!</v>
      </c>
      <c r="CI41" t="e">
        <f>AND('STERLING CATALOG - DRY '!I769,"AAAAACnv71Y=")</f>
        <v>#VALUE!</v>
      </c>
      <c r="CJ41" t="e">
        <f>AND('STERLING CATALOG - DRY '!J769,"AAAAACnv71c=")</f>
        <v>#VALUE!</v>
      </c>
      <c r="CK41">
        <f>IF('STERLING CATALOG - DRY '!770:770,"AAAAACnv71g=",0)</f>
        <v>0</v>
      </c>
      <c r="CL41" t="e">
        <f>AND('STERLING CATALOG - DRY '!A770,"AAAAACnv71k=")</f>
        <v>#VALUE!</v>
      </c>
      <c r="CM41" t="e">
        <f>AND('STERLING CATALOG - DRY '!B770,"AAAAACnv71o=")</f>
        <v>#VALUE!</v>
      </c>
      <c r="CN41" t="e">
        <f>AND('STERLING CATALOG - DRY '!C770,"AAAAACnv71s=")</f>
        <v>#VALUE!</v>
      </c>
      <c r="CO41" t="e">
        <f>AND('STERLING CATALOG - DRY '!D770,"AAAAACnv71w=")</f>
        <v>#VALUE!</v>
      </c>
      <c r="CP41" t="e">
        <f>AND('STERLING CATALOG - DRY '!E770,"AAAAACnv710=")</f>
        <v>#VALUE!</v>
      </c>
      <c r="CQ41" t="e">
        <f>AND('STERLING CATALOG - DRY '!F770,"AAAAACnv714=")</f>
        <v>#VALUE!</v>
      </c>
      <c r="CR41" t="e">
        <f>AND('STERLING CATALOG - DRY '!G770,"AAAAACnv718=")</f>
        <v>#VALUE!</v>
      </c>
      <c r="CS41" t="e">
        <f>AND('STERLING CATALOG - DRY '!H770,"AAAAACnv72A=")</f>
        <v>#VALUE!</v>
      </c>
      <c r="CT41" t="e">
        <f>AND('STERLING CATALOG - DRY '!I770,"AAAAACnv72E=")</f>
        <v>#VALUE!</v>
      </c>
      <c r="CU41" t="e">
        <f>AND('STERLING CATALOG - DRY '!J770,"AAAAACnv72I=")</f>
        <v>#VALUE!</v>
      </c>
      <c r="CV41">
        <f>IF('STERLING CATALOG - DRY '!771:771,"AAAAACnv72M=",0)</f>
        <v>0</v>
      </c>
      <c r="CW41" t="e">
        <f>AND('STERLING CATALOG - DRY '!A771,"AAAAACnv72Q=")</f>
        <v>#VALUE!</v>
      </c>
      <c r="CX41" t="e">
        <f>AND('STERLING CATALOG - DRY '!B771,"AAAAACnv72U=")</f>
        <v>#VALUE!</v>
      </c>
      <c r="CY41" t="e">
        <f>AND('STERLING CATALOG - DRY '!C771,"AAAAACnv72Y=")</f>
        <v>#VALUE!</v>
      </c>
      <c r="CZ41" t="e">
        <f>AND('STERLING CATALOG - DRY '!D771,"AAAAACnv72c=")</f>
        <v>#VALUE!</v>
      </c>
      <c r="DA41" t="e">
        <f>AND('STERLING CATALOG - DRY '!E771,"AAAAACnv72g=")</f>
        <v>#VALUE!</v>
      </c>
      <c r="DB41" t="e">
        <f>AND('STERLING CATALOG - DRY '!F771,"AAAAACnv72k=")</f>
        <v>#VALUE!</v>
      </c>
      <c r="DC41" t="e">
        <f>AND('STERLING CATALOG - DRY '!G771,"AAAAACnv72o=")</f>
        <v>#VALUE!</v>
      </c>
      <c r="DD41" t="e">
        <f>AND('STERLING CATALOG - DRY '!H771,"AAAAACnv72s=")</f>
        <v>#VALUE!</v>
      </c>
      <c r="DE41" t="e">
        <f>AND('STERLING CATALOG - DRY '!I771,"AAAAACnv72w=")</f>
        <v>#VALUE!</v>
      </c>
      <c r="DF41" t="e">
        <f>AND('STERLING CATALOG - DRY '!J771,"AAAAACnv720=")</f>
        <v>#VALUE!</v>
      </c>
      <c r="DG41">
        <f>IF('STERLING CATALOG - DRY '!772:772,"AAAAACnv724=",0)</f>
        <v>0</v>
      </c>
      <c r="DH41" t="e">
        <f>AND('STERLING CATALOG - DRY '!A772,"AAAAACnv728=")</f>
        <v>#VALUE!</v>
      </c>
      <c r="DI41" t="e">
        <f>AND('STERLING CATALOG - DRY '!B772,"AAAAACnv73A=")</f>
        <v>#VALUE!</v>
      </c>
      <c r="DJ41" t="e">
        <f>AND('STERLING CATALOG - DRY '!C772,"AAAAACnv73E=")</f>
        <v>#VALUE!</v>
      </c>
      <c r="DK41" t="e">
        <f>AND('STERLING CATALOG - DRY '!D772,"AAAAACnv73I=")</f>
        <v>#VALUE!</v>
      </c>
      <c r="DL41" t="e">
        <f>AND('STERLING CATALOG - DRY '!E772,"AAAAACnv73M=")</f>
        <v>#VALUE!</v>
      </c>
      <c r="DM41" t="e">
        <f>AND('STERLING CATALOG - DRY '!F772,"AAAAACnv73Q=")</f>
        <v>#VALUE!</v>
      </c>
      <c r="DN41" t="e">
        <f>AND('STERLING CATALOG - DRY '!G772,"AAAAACnv73U=")</f>
        <v>#VALUE!</v>
      </c>
      <c r="DO41" t="e">
        <f>AND('STERLING CATALOG - DRY '!H772,"AAAAACnv73Y=")</f>
        <v>#VALUE!</v>
      </c>
      <c r="DP41" t="e">
        <f>AND('STERLING CATALOG - DRY '!I772,"AAAAACnv73c=")</f>
        <v>#VALUE!</v>
      </c>
      <c r="DQ41" t="e">
        <f>AND('STERLING CATALOG - DRY '!J772,"AAAAACnv73g=")</f>
        <v>#VALUE!</v>
      </c>
      <c r="DR41">
        <f>IF('STERLING CATALOG - DRY '!773:773,"AAAAACnv73k=",0)</f>
        <v>0</v>
      </c>
      <c r="DS41" t="e">
        <f>AND('STERLING CATALOG - DRY '!A773,"AAAAACnv73o=")</f>
        <v>#VALUE!</v>
      </c>
      <c r="DT41" t="e">
        <f>AND('STERLING CATALOG - DRY '!B773,"AAAAACnv73s=")</f>
        <v>#VALUE!</v>
      </c>
      <c r="DU41" t="e">
        <f>AND('STERLING CATALOG - DRY '!C773,"AAAAACnv73w=")</f>
        <v>#VALUE!</v>
      </c>
      <c r="DV41" t="e">
        <f>AND('STERLING CATALOG - DRY '!D773,"AAAAACnv730=")</f>
        <v>#VALUE!</v>
      </c>
      <c r="DW41" t="e">
        <f>AND('STERLING CATALOG - DRY '!E773,"AAAAACnv734=")</f>
        <v>#VALUE!</v>
      </c>
      <c r="DX41" t="e">
        <f>AND('STERLING CATALOG - DRY '!F773,"AAAAACnv738=")</f>
        <v>#VALUE!</v>
      </c>
      <c r="DY41" t="e">
        <f>AND('STERLING CATALOG - DRY '!G773,"AAAAACnv74A=")</f>
        <v>#VALUE!</v>
      </c>
      <c r="DZ41" t="e">
        <f>AND('STERLING CATALOG - DRY '!H773,"AAAAACnv74E=")</f>
        <v>#VALUE!</v>
      </c>
      <c r="EA41" t="e">
        <f>AND('STERLING CATALOG - DRY '!I773,"AAAAACnv74I=")</f>
        <v>#VALUE!</v>
      </c>
      <c r="EB41" t="e">
        <f>AND('STERLING CATALOG - DRY '!J773,"AAAAACnv74M=")</f>
        <v>#VALUE!</v>
      </c>
      <c r="EC41">
        <f>IF('STERLING CATALOG - DRY '!774:774,"AAAAACnv74Q=",0)</f>
        <v>0</v>
      </c>
      <c r="ED41" t="e">
        <f>AND('STERLING CATALOG - DRY '!A774,"AAAAACnv74U=")</f>
        <v>#VALUE!</v>
      </c>
      <c r="EE41" t="e">
        <f>AND('STERLING CATALOG - DRY '!B774,"AAAAACnv74Y=")</f>
        <v>#VALUE!</v>
      </c>
      <c r="EF41" t="e">
        <f>AND('STERLING CATALOG - DRY '!C774,"AAAAACnv74c=")</f>
        <v>#VALUE!</v>
      </c>
      <c r="EG41" t="e">
        <f>AND('STERLING CATALOG - DRY '!D774,"AAAAACnv74g=")</f>
        <v>#VALUE!</v>
      </c>
      <c r="EH41" t="e">
        <f>AND('STERLING CATALOG - DRY '!E774,"AAAAACnv74k=")</f>
        <v>#VALUE!</v>
      </c>
      <c r="EI41" t="e">
        <f>AND('STERLING CATALOG - DRY '!F774,"AAAAACnv74o=")</f>
        <v>#VALUE!</v>
      </c>
      <c r="EJ41" t="e">
        <f>AND('STERLING CATALOG - DRY '!G774,"AAAAACnv74s=")</f>
        <v>#VALUE!</v>
      </c>
      <c r="EK41" t="e">
        <f>AND('STERLING CATALOG - DRY '!H774,"AAAAACnv74w=")</f>
        <v>#VALUE!</v>
      </c>
      <c r="EL41" t="e">
        <f>AND('STERLING CATALOG - DRY '!I774,"AAAAACnv740=")</f>
        <v>#VALUE!</v>
      </c>
      <c r="EM41" t="e">
        <f>AND('STERLING CATALOG - DRY '!J774,"AAAAACnv744=")</f>
        <v>#VALUE!</v>
      </c>
      <c r="EN41">
        <f>IF('STERLING CATALOG - DRY '!775:775,"AAAAACnv748=",0)</f>
        <v>0</v>
      </c>
      <c r="EO41" t="e">
        <f>AND('STERLING CATALOG - DRY '!A775,"AAAAACnv75A=")</f>
        <v>#VALUE!</v>
      </c>
      <c r="EP41" t="e">
        <f>AND('STERLING CATALOG - DRY '!B775,"AAAAACnv75E=")</f>
        <v>#VALUE!</v>
      </c>
      <c r="EQ41" t="e">
        <f>AND('STERLING CATALOG - DRY '!C775,"AAAAACnv75I=")</f>
        <v>#VALUE!</v>
      </c>
      <c r="ER41" t="e">
        <f>AND('STERLING CATALOG - DRY '!D775,"AAAAACnv75M=")</f>
        <v>#VALUE!</v>
      </c>
      <c r="ES41" t="e">
        <f>AND('STERLING CATALOG - DRY '!E775,"AAAAACnv75Q=")</f>
        <v>#VALUE!</v>
      </c>
      <c r="ET41" t="e">
        <f>AND('STERLING CATALOG - DRY '!F775,"AAAAACnv75U=")</f>
        <v>#VALUE!</v>
      </c>
      <c r="EU41" t="e">
        <f>AND('STERLING CATALOG - DRY '!G775,"AAAAACnv75Y=")</f>
        <v>#VALUE!</v>
      </c>
      <c r="EV41" t="e">
        <f>AND('STERLING CATALOG - DRY '!H775,"AAAAACnv75c=")</f>
        <v>#VALUE!</v>
      </c>
      <c r="EW41" t="e">
        <f>AND('STERLING CATALOG - DRY '!I775,"AAAAACnv75g=")</f>
        <v>#VALUE!</v>
      </c>
      <c r="EX41" t="e">
        <f>AND('STERLING CATALOG - DRY '!J775,"AAAAACnv75k=")</f>
        <v>#VALUE!</v>
      </c>
      <c r="EY41">
        <f>IF('STERLING CATALOG - DRY '!776:776,"AAAAACnv75o=",0)</f>
        <v>0</v>
      </c>
      <c r="EZ41" t="e">
        <f>AND('STERLING CATALOG - DRY '!A776,"AAAAACnv75s=")</f>
        <v>#VALUE!</v>
      </c>
      <c r="FA41" t="e">
        <f>AND('STERLING CATALOG - DRY '!B776,"AAAAACnv75w=")</f>
        <v>#VALUE!</v>
      </c>
      <c r="FB41" t="e">
        <f>AND('STERLING CATALOG - DRY '!C776,"AAAAACnv750=")</f>
        <v>#VALUE!</v>
      </c>
      <c r="FC41" t="e">
        <f>AND('STERLING CATALOG - DRY '!D776,"AAAAACnv754=")</f>
        <v>#VALUE!</v>
      </c>
      <c r="FD41" t="e">
        <f>AND('STERLING CATALOG - DRY '!E776,"AAAAACnv758=")</f>
        <v>#VALUE!</v>
      </c>
      <c r="FE41" t="e">
        <f>AND('STERLING CATALOG - DRY '!F776,"AAAAACnv76A=")</f>
        <v>#VALUE!</v>
      </c>
      <c r="FF41" t="e">
        <f>AND('STERLING CATALOG - DRY '!G776,"AAAAACnv76E=")</f>
        <v>#VALUE!</v>
      </c>
      <c r="FG41" t="e">
        <f>AND('STERLING CATALOG - DRY '!H776,"AAAAACnv76I=")</f>
        <v>#VALUE!</v>
      </c>
      <c r="FH41" t="e">
        <f>AND('STERLING CATALOG - DRY '!I776,"AAAAACnv76M=")</f>
        <v>#VALUE!</v>
      </c>
      <c r="FI41" t="e">
        <f>AND('STERLING CATALOG - DRY '!J776,"AAAAACnv76Q=")</f>
        <v>#VALUE!</v>
      </c>
      <c r="FJ41">
        <f>IF('STERLING CATALOG - DRY '!777:777,"AAAAACnv76U=",0)</f>
        <v>0</v>
      </c>
      <c r="FK41" t="e">
        <f>AND('STERLING CATALOG - DRY '!A777,"AAAAACnv76Y=")</f>
        <v>#VALUE!</v>
      </c>
      <c r="FL41" t="e">
        <f>AND('STERLING CATALOG - DRY '!B777,"AAAAACnv76c=")</f>
        <v>#VALUE!</v>
      </c>
      <c r="FM41" t="e">
        <f>AND('STERLING CATALOG - DRY '!C777,"AAAAACnv76g=")</f>
        <v>#VALUE!</v>
      </c>
      <c r="FN41" t="e">
        <f>AND('STERLING CATALOG - DRY '!D777,"AAAAACnv76k=")</f>
        <v>#VALUE!</v>
      </c>
      <c r="FO41" t="e">
        <f>AND('STERLING CATALOG - DRY '!E777,"AAAAACnv76o=")</f>
        <v>#VALUE!</v>
      </c>
      <c r="FP41" t="e">
        <f>AND('STERLING CATALOG - DRY '!F777,"AAAAACnv76s=")</f>
        <v>#VALUE!</v>
      </c>
      <c r="FQ41" t="e">
        <f>AND('STERLING CATALOG - DRY '!G777,"AAAAACnv76w=")</f>
        <v>#VALUE!</v>
      </c>
      <c r="FR41" t="e">
        <f>AND('STERLING CATALOG - DRY '!H777,"AAAAACnv760=")</f>
        <v>#VALUE!</v>
      </c>
      <c r="FS41" t="e">
        <f>AND('STERLING CATALOG - DRY '!I777,"AAAAACnv764=")</f>
        <v>#VALUE!</v>
      </c>
      <c r="FT41" t="e">
        <f>AND('STERLING CATALOG - DRY '!J777,"AAAAACnv768=")</f>
        <v>#VALUE!</v>
      </c>
      <c r="FU41">
        <f>IF('STERLING CATALOG - DRY '!778:778,"AAAAACnv77A=",0)</f>
        <v>0</v>
      </c>
      <c r="FV41" t="e">
        <f>AND('STERLING CATALOG - DRY '!A778,"AAAAACnv77E=")</f>
        <v>#VALUE!</v>
      </c>
      <c r="FW41" t="e">
        <f>AND('STERLING CATALOG - DRY '!B778,"AAAAACnv77I=")</f>
        <v>#VALUE!</v>
      </c>
      <c r="FX41" t="e">
        <f>AND('STERLING CATALOG - DRY '!C778,"AAAAACnv77M=")</f>
        <v>#VALUE!</v>
      </c>
      <c r="FY41" t="e">
        <f>AND('STERLING CATALOG - DRY '!D778,"AAAAACnv77Q=")</f>
        <v>#VALUE!</v>
      </c>
      <c r="FZ41" t="e">
        <f>AND('STERLING CATALOG - DRY '!E778,"AAAAACnv77U=")</f>
        <v>#VALUE!</v>
      </c>
      <c r="GA41" t="e">
        <f>AND('STERLING CATALOG - DRY '!F778,"AAAAACnv77Y=")</f>
        <v>#VALUE!</v>
      </c>
      <c r="GB41" t="e">
        <f>AND('STERLING CATALOG - DRY '!G778,"AAAAACnv77c=")</f>
        <v>#VALUE!</v>
      </c>
      <c r="GC41" t="e">
        <f>AND('STERLING CATALOG - DRY '!H778,"AAAAACnv77g=")</f>
        <v>#VALUE!</v>
      </c>
      <c r="GD41" t="e">
        <f>AND('STERLING CATALOG - DRY '!I778,"AAAAACnv77k=")</f>
        <v>#VALUE!</v>
      </c>
      <c r="GE41" t="e">
        <f>AND('STERLING CATALOG - DRY '!J778,"AAAAACnv77o=")</f>
        <v>#VALUE!</v>
      </c>
      <c r="GF41">
        <f>IF('STERLING CATALOG - DRY '!779:779,"AAAAACnv77s=",0)</f>
        <v>0</v>
      </c>
      <c r="GG41" t="e">
        <f>AND('STERLING CATALOG - DRY '!A779,"AAAAACnv77w=")</f>
        <v>#VALUE!</v>
      </c>
      <c r="GH41" t="e">
        <f>AND('STERLING CATALOG - DRY '!B779,"AAAAACnv770=")</f>
        <v>#VALUE!</v>
      </c>
      <c r="GI41" t="e">
        <f>AND('STERLING CATALOG - DRY '!C779,"AAAAACnv774=")</f>
        <v>#VALUE!</v>
      </c>
      <c r="GJ41" t="e">
        <f>AND('STERLING CATALOG - DRY '!D779,"AAAAACnv778=")</f>
        <v>#VALUE!</v>
      </c>
      <c r="GK41" t="e">
        <f>AND('STERLING CATALOG - DRY '!E779,"AAAAACnv78A=")</f>
        <v>#VALUE!</v>
      </c>
      <c r="GL41" t="e">
        <f>AND('STERLING CATALOG - DRY '!F779,"AAAAACnv78E=")</f>
        <v>#VALUE!</v>
      </c>
      <c r="GM41" t="e">
        <f>AND('STERLING CATALOG - DRY '!G779,"AAAAACnv78I=")</f>
        <v>#VALUE!</v>
      </c>
      <c r="GN41" t="e">
        <f>AND('STERLING CATALOG - DRY '!H779,"AAAAACnv78M=")</f>
        <v>#VALUE!</v>
      </c>
      <c r="GO41" t="e">
        <f>AND('STERLING CATALOG - DRY '!I779,"AAAAACnv78Q=")</f>
        <v>#VALUE!</v>
      </c>
      <c r="GP41" t="e">
        <f>AND('STERLING CATALOG - DRY '!J779,"AAAAACnv78U=")</f>
        <v>#VALUE!</v>
      </c>
      <c r="GQ41">
        <f>IF('STERLING CATALOG - DRY '!780:780,"AAAAACnv78Y=",0)</f>
        <v>0</v>
      </c>
      <c r="GR41" t="e">
        <f>AND('STERLING CATALOG - DRY '!A780,"AAAAACnv78c=")</f>
        <v>#VALUE!</v>
      </c>
      <c r="GS41" t="e">
        <f>AND('STERLING CATALOG - DRY '!B780,"AAAAACnv78g=")</f>
        <v>#VALUE!</v>
      </c>
      <c r="GT41" t="e">
        <f>AND('STERLING CATALOG - DRY '!C780,"AAAAACnv78k=")</f>
        <v>#VALUE!</v>
      </c>
      <c r="GU41" t="e">
        <f>AND('STERLING CATALOG - DRY '!D780,"AAAAACnv78o=")</f>
        <v>#VALUE!</v>
      </c>
      <c r="GV41" t="e">
        <f>AND('STERLING CATALOG - DRY '!E780,"AAAAACnv78s=")</f>
        <v>#VALUE!</v>
      </c>
      <c r="GW41" t="e">
        <f>AND('STERLING CATALOG - DRY '!F780,"AAAAACnv78w=")</f>
        <v>#VALUE!</v>
      </c>
      <c r="GX41" t="e">
        <f>AND('STERLING CATALOG - DRY '!G780,"AAAAACnv780=")</f>
        <v>#VALUE!</v>
      </c>
      <c r="GY41" t="e">
        <f>AND('STERLING CATALOG - DRY '!H780,"AAAAACnv784=")</f>
        <v>#VALUE!</v>
      </c>
      <c r="GZ41" t="e">
        <f>AND('STERLING CATALOG - DRY '!I780,"AAAAACnv788=")</f>
        <v>#VALUE!</v>
      </c>
      <c r="HA41" t="e">
        <f>AND('STERLING CATALOG - DRY '!J780,"AAAAACnv79A=")</f>
        <v>#VALUE!</v>
      </c>
      <c r="HB41">
        <f>IF('STERLING CATALOG - DRY '!781:781,"AAAAACnv79E=",0)</f>
        <v>0</v>
      </c>
      <c r="HC41" t="e">
        <f>AND('STERLING CATALOG - DRY '!A781,"AAAAACnv79I=")</f>
        <v>#VALUE!</v>
      </c>
      <c r="HD41" t="e">
        <f>AND('STERLING CATALOG - DRY '!B781,"AAAAACnv79M=")</f>
        <v>#VALUE!</v>
      </c>
      <c r="HE41" t="e">
        <f>AND('STERLING CATALOG - DRY '!C781,"AAAAACnv79Q=")</f>
        <v>#VALUE!</v>
      </c>
      <c r="HF41" t="e">
        <f>AND('STERLING CATALOG - DRY '!D781,"AAAAACnv79U=")</f>
        <v>#VALUE!</v>
      </c>
      <c r="HG41" t="e">
        <f>AND('STERLING CATALOG - DRY '!E781,"AAAAACnv79Y=")</f>
        <v>#VALUE!</v>
      </c>
      <c r="HH41" t="e">
        <f>AND('STERLING CATALOG - DRY '!F781,"AAAAACnv79c=")</f>
        <v>#VALUE!</v>
      </c>
      <c r="HI41" t="e">
        <f>AND('STERLING CATALOG - DRY '!G781,"AAAAACnv79g=")</f>
        <v>#VALUE!</v>
      </c>
      <c r="HJ41" t="e">
        <f>AND('STERLING CATALOG - DRY '!H781,"AAAAACnv79k=")</f>
        <v>#VALUE!</v>
      </c>
      <c r="HK41" t="e">
        <f>AND('STERLING CATALOG - DRY '!I781,"AAAAACnv79o=")</f>
        <v>#VALUE!</v>
      </c>
      <c r="HL41" t="e">
        <f>AND('STERLING CATALOG - DRY '!J781,"AAAAACnv79s=")</f>
        <v>#VALUE!</v>
      </c>
      <c r="HM41">
        <f>IF('STERLING CATALOG - DRY '!782:782,"AAAAACnv79w=",0)</f>
        <v>0</v>
      </c>
      <c r="HN41" t="e">
        <f>AND('STERLING CATALOG - DRY '!A782,"AAAAACnv790=")</f>
        <v>#VALUE!</v>
      </c>
      <c r="HO41" t="e">
        <f>AND('STERLING CATALOG - DRY '!B782,"AAAAACnv794=")</f>
        <v>#VALUE!</v>
      </c>
      <c r="HP41" t="e">
        <f>AND('STERLING CATALOG - DRY '!C782,"AAAAACnv798=")</f>
        <v>#VALUE!</v>
      </c>
      <c r="HQ41" t="e">
        <f>AND('STERLING CATALOG - DRY '!D782,"AAAAACnv7+A=")</f>
        <v>#VALUE!</v>
      </c>
      <c r="HR41" t="e">
        <f>AND('STERLING CATALOG - DRY '!E782,"AAAAACnv7+E=")</f>
        <v>#VALUE!</v>
      </c>
      <c r="HS41" t="e">
        <f>AND('STERLING CATALOG - DRY '!F782,"AAAAACnv7+I=")</f>
        <v>#VALUE!</v>
      </c>
      <c r="HT41" t="e">
        <f>AND('STERLING CATALOG - DRY '!G782,"AAAAACnv7+M=")</f>
        <v>#VALUE!</v>
      </c>
      <c r="HU41" t="e">
        <f>AND('STERLING CATALOG - DRY '!H782,"AAAAACnv7+Q=")</f>
        <v>#VALUE!</v>
      </c>
      <c r="HV41" t="e">
        <f>AND('STERLING CATALOG - DRY '!I782,"AAAAACnv7+U=")</f>
        <v>#VALUE!</v>
      </c>
      <c r="HW41" t="e">
        <f>AND('STERLING CATALOG - DRY '!J782,"AAAAACnv7+Y=")</f>
        <v>#VALUE!</v>
      </c>
      <c r="HX41">
        <f>IF('STERLING CATALOG - DRY '!783:783,"AAAAACnv7+c=",0)</f>
        <v>0</v>
      </c>
      <c r="HY41" t="e">
        <f>AND('STERLING CATALOG - DRY '!A783,"AAAAACnv7+g=")</f>
        <v>#VALUE!</v>
      </c>
      <c r="HZ41" t="e">
        <f>AND('STERLING CATALOG - DRY '!B783,"AAAAACnv7+k=")</f>
        <v>#VALUE!</v>
      </c>
      <c r="IA41" t="e">
        <f>AND('STERLING CATALOG - DRY '!C783,"AAAAACnv7+o=")</f>
        <v>#VALUE!</v>
      </c>
      <c r="IB41" t="e">
        <f>AND('STERLING CATALOG - DRY '!D783,"AAAAACnv7+s=")</f>
        <v>#VALUE!</v>
      </c>
      <c r="IC41" t="e">
        <f>AND('STERLING CATALOG - DRY '!E783,"AAAAACnv7+w=")</f>
        <v>#VALUE!</v>
      </c>
      <c r="ID41" t="e">
        <f>AND('STERLING CATALOG - DRY '!F783,"AAAAACnv7+0=")</f>
        <v>#VALUE!</v>
      </c>
      <c r="IE41" t="e">
        <f>AND('STERLING CATALOG - DRY '!G783,"AAAAACnv7+4=")</f>
        <v>#VALUE!</v>
      </c>
      <c r="IF41" t="e">
        <f>AND('STERLING CATALOG - DRY '!H783,"AAAAACnv7+8=")</f>
        <v>#VALUE!</v>
      </c>
      <c r="IG41" t="e">
        <f>AND('STERLING CATALOG - DRY '!I783,"AAAAACnv7/A=")</f>
        <v>#VALUE!</v>
      </c>
      <c r="IH41" t="e">
        <f>AND('STERLING CATALOG - DRY '!J783,"AAAAACnv7/E=")</f>
        <v>#VALUE!</v>
      </c>
      <c r="II41">
        <f>IF('STERLING CATALOG - DRY '!784:784,"AAAAACnv7/I=",0)</f>
        <v>0</v>
      </c>
      <c r="IJ41" t="e">
        <f>AND('STERLING CATALOG - DRY '!A784,"AAAAACnv7/M=")</f>
        <v>#VALUE!</v>
      </c>
      <c r="IK41" t="e">
        <f>AND('STERLING CATALOG - DRY '!B784,"AAAAACnv7/Q=")</f>
        <v>#VALUE!</v>
      </c>
      <c r="IL41" t="e">
        <f>AND('STERLING CATALOG - DRY '!C784,"AAAAACnv7/U=")</f>
        <v>#VALUE!</v>
      </c>
      <c r="IM41" t="e">
        <f>AND('STERLING CATALOG - DRY '!D784,"AAAAACnv7/Y=")</f>
        <v>#VALUE!</v>
      </c>
      <c r="IN41" t="e">
        <f>AND('STERLING CATALOG - DRY '!E784,"AAAAACnv7/c=")</f>
        <v>#VALUE!</v>
      </c>
      <c r="IO41" t="e">
        <f>AND('STERLING CATALOG - DRY '!F784,"AAAAACnv7/g=")</f>
        <v>#VALUE!</v>
      </c>
      <c r="IP41" t="e">
        <f>AND('STERLING CATALOG - DRY '!G784,"AAAAACnv7/k=")</f>
        <v>#VALUE!</v>
      </c>
      <c r="IQ41" t="e">
        <f>AND('STERLING CATALOG - DRY '!H784,"AAAAACnv7/o=")</f>
        <v>#VALUE!</v>
      </c>
      <c r="IR41" t="e">
        <f>AND('STERLING CATALOG - DRY '!I784,"AAAAACnv7/s=")</f>
        <v>#VALUE!</v>
      </c>
      <c r="IS41" t="e">
        <f>AND('STERLING CATALOG - DRY '!J784,"AAAAACnv7/w=")</f>
        <v>#VALUE!</v>
      </c>
      <c r="IT41">
        <f>IF('STERLING CATALOG - DRY '!785:785,"AAAAACnv7/0=",0)</f>
        <v>0</v>
      </c>
      <c r="IU41" t="e">
        <f>AND('STERLING CATALOG - DRY '!A785,"AAAAACnv7/4=")</f>
        <v>#VALUE!</v>
      </c>
      <c r="IV41" t="e">
        <f>AND('STERLING CATALOG - DRY '!B785,"AAAAACnv7/8=")</f>
        <v>#VALUE!</v>
      </c>
    </row>
    <row r="42" spans="1:256">
      <c r="A42" t="e">
        <f>AND('STERLING CATALOG - DRY '!C785,"AAAAAHp8ngA=")</f>
        <v>#VALUE!</v>
      </c>
      <c r="B42" t="e">
        <f>AND('STERLING CATALOG - DRY '!D785,"AAAAAHp8ngE=")</f>
        <v>#VALUE!</v>
      </c>
      <c r="C42" t="e">
        <f>AND('STERLING CATALOG - DRY '!E785,"AAAAAHp8ngI=")</f>
        <v>#VALUE!</v>
      </c>
      <c r="D42" t="e">
        <f>AND('STERLING CATALOG - DRY '!F785,"AAAAAHp8ngM=")</f>
        <v>#VALUE!</v>
      </c>
      <c r="E42" t="e">
        <f>AND('STERLING CATALOG - DRY '!G785,"AAAAAHp8ngQ=")</f>
        <v>#VALUE!</v>
      </c>
      <c r="F42" t="e">
        <f>AND('STERLING CATALOG - DRY '!H785,"AAAAAHp8ngU=")</f>
        <v>#VALUE!</v>
      </c>
      <c r="G42" t="e">
        <f>AND('STERLING CATALOG - DRY '!I785,"AAAAAHp8ngY=")</f>
        <v>#VALUE!</v>
      </c>
      <c r="H42" t="e">
        <f>AND('STERLING CATALOG - DRY '!J785,"AAAAAHp8ngc=")</f>
        <v>#VALUE!</v>
      </c>
      <c r="I42" t="e">
        <f>IF('STERLING CATALOG - DRY '!786:786,"AAAAAHp8ngg=",0)</f>
        <v>#VALUE!</v>
      </c>
      <c r="J42" t="e">
        <f>AND('STERLING CATALOG - DRY '!A786,"AAAAAHp8ngk=")</f>
        <v>#VALUE!</v>
      </c>
      <c r="K42" t="e">
        <f>AND('STERLING CATALOG - DRY '!B786,"AAAAAHp8ngo=")</f>
        <v>#VALUE!</v>
      </c>
      <c r="L42" t="e">
        <f>AND('STERLING CATALOG - DRY '!C786,"AAAAAHp8ngs=")</f>
        <v>#VALUE!</v>
      </c>
      <c r="M42" t="e">
        <f>AND('STERLING CATALOG - DRY '!D786,"AAAAAHp8ngw=")</f>
        <v>#VALUE!</v>
      </c>
      <c r="N42" t="e">
        <f>AND('STERLING CATALOG - DRY '!E786,"AAAAAHp8ng0=")</f>
        <v>#VALUE!</v>
      </c>
      <c r="O42" t="e">
        <f>AND('STERLING CATALOG - DRY '!F786,"AAAAAHp8ng4=")</f>
        <v>#VALUE!</v>
      </c>
      <c r="P42" t="e">
        <f>AND('STERLING CATALOG - DRY '!G786,"AAAAAHp8ng8=")</f>
        <v>#VALUE!</v>
      </c>
      <c r="Q42" t="e">
        <f>AND('STERLING CATALOG - DRY '!H786,"AAAAAHp8nhA=")</f>
        <v>#VALUE!</v>
      </c>
      <c r="R42" t="e">
        <f>AND('STERLING CATALOG - DRY '!I786,"AAAAAHp8nhE=")</f>
        <v>#VALUE!</v>
      </c>
      <c r="S42" t="e">
        <f>AND('STERLING CATALOG - DRY '!J786,"AAAAAHp8nhI=")</f>
        <v>#VALUE!</v>
      </c>
      <c r="T42">
        <f>IF('STERLING CATALOG - DRY '!787:787,"AAAAAHp8nhM=",0)</f>
        <v>0</v>
      </c>
      <c r="U42" t="e">
        <f>AND('STERLING CATALOG - DRY '!A787,"AAAAAHp8nhQ=")</f>
        <v>#VALUE!</v>
      </c>
      <c r="V42" t="e">
        <f>AND('STERLING CATALOG - DRY '!B787,"AAAAAHp8nhU=")</f>
        <v>#VALUE!</v>
      </c>
      <c r="W42" t="e">
        <f>AND('STERLING CATALOG - DRY '!C787,"AAAAAHp8nhY=")</f>
        <v>#VALUE!</v>
      </c>
      <c r="X42" t="e">
        <f>AND('STERLING CATALOG - DRY '!D787,"AAAAAHp8nhc=")</f>
        <v>#VALUE!</v>
      </c>
      <c r="Y42" t="e">
        <f>AND('STERLING CATALOG - DRY '!E787,"AAAAAHp8nhg=")</f>
        <v>#VALUE!</v>
      </c>
      <c r="Z42" t="e">
        <f>AND('STERLING CATALOG - DRY '!F787,"AAAAAHp8nhk=")</f>
        <v>#VALUE!</v>
      </c>
      <c r="AA42" t="e">
        <f>AND('STERLING CATALOG - DRY '!G787,"AAAAAHp8nho=")</f>
        <v>#VALUE!</v>
      </c>
      <c r="AB42" t="e">
        <f>AND('STERLING CATALOG - DRY '!H787,"AAAAAHp8nhs=")</f>
        <v>#VALUE!</v>
      </c>
      <c r="AC42" t="e">
        <f>AND('STERLING CATALOG - DRY '!I787,"AAAAAHp8nhw=")</f>
        <v>#VALUE!</v>
      </c>
      <c r="AD42" t="e">
        <f>AND('STERLING CATALOG - DRY '!J787,"AAAAAHp8nh0=")</f>
        <v>#VALUE!</v>
      </c>
      <c r="AE42">
        <f>IF('STERLING CATALOG - DRY '!788:788,"AAAAAHp8nh4=",0)</f>
        <v>0</v>
      </c>
      <c r="AF42" t="e">
        <f>AND('STERLING CATALOG - DRY '!A788,"AAAAAHp8nh8=")</f>
        <v>#VALUE!</v>
      </c>
      <c r="AG42" t="e">
        <f>AND('STERLING CATALOG - DRY '!B788,"AAAAAHp8niA=")</f>
        <v>#VALUE!</v>
      </c>
      <c r="AH42" t="e">
        <f>AND('STERLING CATALOG - DRY '!C788,"AAAAAHp8niE=")</f>
        <v>#VALUE!</v>
      </c>
      <c r="AI42" t="e">
        <f>AND('STERLING CATALOG - DRY '!D788,"AAAAAHp8niI=")</f>
        <v>#VALUE!</v>
      </c>
      <c r="AJ42" t="e">
        <f>AND('STERLING CATALOG - DRY '!E788,"AAAAAHp8niM=")</f>
        <v>#VALUE!</v>
      </c>
      <c r="AK42" t="e">
        <f>AND('STERLING CATALOG - DRY '!F788,"AAAAAHp8niQ=")</f>
        <v>#VALUE!</v>
      </c>
      <c r="AL42" t="e">
        <f>AND('STERLING CATALOG - DRY '!G788,"AAAAAHp8niU=")</f>
        <v>#VALUE!</v>
      </c>
      <c r="AM42" t="e">
        <f>AND('STERLING CATALOG - DRY '!H788,"AAAAAHp8niY=")</f>
        <v>#VALUE!</v>
      </c>
      <c r="AN42" t="e">
        <f>AND('STERLING CATALOG - DRY '!I788,"AAAAAHp8nic=")</f>
        <v>#VALUE!</v>
      </c>
      <c r="AO42" t="e">
        <f>AND('STERLING CATALOG - DRY '!J788,"AAAAAHp8nig=")</f>
        <v>#VALUE!</v>
      </c>
      <c r="AP42">
        <f>IF('STERLING CATALOG - DRY '!789:789,"AAAAAHp8nik=",0)</f>
        <v>0</v>
      </c>
      <c r="AQ42" t="e">
        <f>AND('STERLING CATALOG - DRY '!A789,"AAAAAHp8nio=")</f>
        <v>#VALUE!</v>
      </c>
      <c r="AR42" t="e">
        <f>AND('STERLING CATALOG - DRY '!B789,"AAAAAHp8nis=")</f>
        <v>#VALUE!</v>
      </c>
      <c r="AS42" t="e">
        <f>AND('STERLING CATALOG - DRY '!C789,"AAAAAHp8niw=")</f>
        <v>#VALUE!</v>
      </c>
      <c r="AT42" t="e">
        <f>AND('STERLING CATALOG - DRY '!D789,"AAAAAHp8ni0=")</f>
        <v>#VALUE!</v>
      </c>
      <c r="AU42" t="e">
        <f>AND('STERLING CATALOG - DRY '!E789,"AAAAAHp8ni4=")</f>
        <v>#VALUE!</v>
      </c>
      <c r="AV42" t="e">
        <f>AND('STERLING CATALOG - DRY '!F789,"AAAAAHp8ni8=")</f>
        <v>#VALUE!</v>
      </c>
      <c r="AW42" t="e">
        <f>AND('STERLING CATALOG - DRY '!G789,"AAAAAHp8njA=")</f>
        <v>#VALUE!</v>
      </c>
      <c r="AX42" t="e">
        <f>AND('STERLING CATALOG - DRY '!H789,"AAAAAHp8njE=")</f>
        <v>#VALUE!</v>
      </c>
      <c r="AY42" t="e">
        <f>AND('STERLING CATALOG - DRY '!I789,"AAAAAHp8njI=")</f>
        <v>#VALUE!</v>
      </c>
      <c r="AZ42" t="e">
        <f>AND('STERLING CATALOG - DRY '!J789,"AAAAAHp8njM=")</f>
        <v>#VALUE!</v>
      </c>
      <c r="BA42">
        <f>IF('STERLING CATALOG - DRY '!790:790,"AAAAAHp8njQ=",0)</f>
        <v>0</v>
      </c>
      <c r="BB42" t="e">
        <f>AND('STERLING CATALOG - DRY '!A790,"AAAAAHp8njU=")</f>
        <v>#VALUE!</v>
      </c>
      <c r="BC42" t="e">
        <f>AND('STERLING CATALOG - DRY '!B790,"AAAAAHp8njY=")</f>
        <v>#VALUE!</v>
      </c>
      <c r="BD42" t="e">
        <f>AND('STERLING CATALOG - DRY '!C790,"AAAAAHp8njc=")</f>
        <v>#VALUE!</v>
      </c>
      <c r="BE42" t="e">
        <f>AND('STERLING CATALOG - DRY '!D790,"AAAAAHp8njg=")</f>
        <v>#VALUE!</v>
      </c>
      <c r="BF42" t="e">
        <f>AND('STERLING CATALOG - DRY '!E790,"AAAAAHp8njk=")</f>
        <v>#VALUE!</v>
      </c>
      <c r="BG42" t="e">
        <f>AND('STERLING CATALOG - DRY '!F790,"AAAAAHp8njo=")</f>
        <v>#VALUE!</v>
      </c>
      <c r="BH42" t="e">
        <f>AND('STERLING CATALOG - DRY '!G790,"AAAAAHp8njs=")</f>
        <v>#VALUE!</v>
      </c>
      <c r="BI42" t="e">
        <f>AND('STERLING CATALOG - DRY '!H790,"AAAAAHp8njw=")</f>
        <v>#VALUE!</v>
      </c>
      <c r="BJ42" t="e">
        <f>AND('STERLING CATALOG - DRY '!I790,"AAAAAHp8nj0=")</f>
        <v>#VALUE!</v>
      </c>
      <c r="BK42" t="e">
        <f>AND('STERLING CATALOG - DRY '!J790,"AAAAAHp8nj4=")</f>
        <v>#VALUE!</v>
      </c>
      <c r="BL42">
        <f>IF('STERLING CATALOG - DRY '!791:791,"AAAAAHp8nj8=",0)</f>
        <v>0</v>
      </c>
      <c r="BM42" t="e">
        <f>AND('STERLING CATALOG - DRY '!A791,"AAAAAHp8nkA=")</f>
        <v>#VALUE!</v>
      </c>
      <c r="BN42" t="e">
        <f>AND('STERLING CATALOG - DRY '!B791,"AAAAAHp8nkE=")</f>
        <v>#VALUE!</v>
      </c>
      <c r="BO42" t="e">
        <f>AND('STERLING CATALOG - DRY '!C791,"AAAAAHp8nkI=")</f>
        <v>#VALUE!</v>
      </c>
      <c r="BP42" t="e">
        <f>AND('STERLING CATALOG - DRY '!D791,"AAAAAHp8nkM=")</f>
        <v>#VALUE!</v>
      </c>
      <c r="BQ42" t="e">
        <f>AND('STERLING CATALOG - DRY '!E791,"AAAAAHp8nkQ=")</f>
        <v>#VALUE!</v>
      </c>
      <c r="BR42" t="e">
        <f>AND('STERLING CATALOG - DRY '!F791,"AAAAAHp8nkU=")</f>
        <v>#VALUE!</v>
      </c>
      <c r="BS42" t="e">
        <f>AND('STERLING CATALOG - DRY '!G791,"AAAAAHp8nkY=")</f>
        <v>#VALUE!</v>
      </c>
      <c r="BT42" t="e">
        <f>AND('STERLING CATALOG - DRY '!H791,"AAAAAHp8nkc=")</f>
        <v>#VALUE!</v>
      </c>
      <c r="BU42" t="e">
        <f>AND('STERLING CATALOG - DRY '!I791,"AAAAAHp8nkg=")</f>
        <v>#VALUE!</v>
      </c>
      <c r="BV42" t="e">
        <f>AND('STERLING CATALOG - DRY '!J791,"AAAAAHp8nkk=")</f>
        <v>#VALUE!</v>
      </c>
      <c r="BW42">
        <f>IF('STERLING CATALOG - DRY '!792:792,"AAAAAHp8nko=",0)</f>
        <v>0</v>
      </c>
      <c r="BX42" t="e">
        <f>AND('STERLING CATALOG - DRY '!A792,"AAAAAHp8nks=")</f>
        <v>#VALUE!</v>
      </c>
      <c r="BY42" t="e">
        <f>AND('STERLING CATALOG - DRY '!B792,"AAAAAHp8nkw=")</f>
        <v>#VALUE!</v>
      </c>
      <c r="BZ42" t="e">
        <f>AND('STERLING CATALOG - DRY '!C792,"AAAAAHp8nk0=")</f>
        <v>#VALUE!</v>
      </c>
      <c r="CA42" t="e">
        <f>AND('STERLING CATALOG - DRY '!D792,"AAAAAHp8nk4=")</f>
        <v>#VALUE!</v>
      </c>
      <c r="CB42" t="e">
        <f>AND('STERLING CATALOG - DRY '!E792,"AAAAAHp8nk8=")</f>
        <v>#VALUE!</v>
      </c>
      <c r="CC42" t="e">
        <f>AND('STERLING CATALOG - DRY '!F792,"AAAAAHp8nlA=")</f>
        <v>#VALUE!</v>
      </c>
      <c r="CD42" t="e">
        <f>AND('STERLING CATALOG - DRY '!G792,"AAAAAHp8nlE=")</f>
        <v>#VALUE!</v>
      </c>
      <c r="CE42" t="e">
        <f>AND('STERLING CATALOG - DRY '!H792,"AAAAAHp8nlI=")</f>
        <v>#VALUE!</v>
      </c>
      <c r="CF42" t="e">
        <f>AND('STERLING CATALOG - DRY '!I792,"AAAAAHp8nlM=")</f>
        <v>#VALUE!</v>
      </c>
      <c r="CG42" t="e">
        <f>AND('STERLING CATALOG - DRY '!J792,"AAAAAHp8nlQ=")</f>
        <v>#VALUE!</v>
      </c>
      <c r="CH42">
        <f>IF('STERLING CATALOG - DRY '!793:793,"AAAAAHp8nlU=",0)</f>
        <v>0</v>
      </c>
      <c r="CI42" t="e">
        <f>AND('STERLING CATALOG - DRY '!A793,"AAAAAHp8nlY=")</f>
        <v>#VALUE!</v>
      </c>
      <c r="CJ42" t="e">
        <f>AND('STERLING CATALOG - DRY '!B793,"AAAAAHp8nlc=")</f>
        <v>#VALUE!</v>
      </c>
      <c r="CK42" t="e">
        <f>AND('STERLING CATALOG - DRY '!C793,"AAAAAHp8nlg=")</f>
        <v>#VALUE!</v>
      </c>
      <c r="CL42" t="e">
        <f>AND('STERLING CATALOG - DRY '!D793,"AAAAAHp8nlk=")</f>
        <v>#VALUE!</v>
      </c>
      <c r="CM42" t="e">
        <f>AND('STERLING CATALOG - DRY '!E793,"AAAAAHp8nlo=")</f>
        <v>#VALUE!</v>
      </c>
      <c r="CN42" t="e">
        <f>AND('STERLING CATALOG - DRY '!F793,"AAAAAHp8nls=")</f>
        <v>#VALUE!</v>
      </c>
      <c r="CO42" t="e">
        <f>AND('STERLING CATALOG - DRY '!G793,"AAAAAHp8nlw=")</f>
        <v>#VALUE!</v>
      </c>
      <c r="CP42" t="e">
        <f>AND('STERLING CATALOG - DRY '!H793,"AAAAAHp8nl0=")</f>
        <v>#VALUE!</v>
      </c>
      <c r="CQ42" t="e">
        <f>AND('STERLING CATALOG - DRY '!I793,"AAAAAHp8nl4=")</f>
        <v>#VALUE!</v>
      </c>
      <c r="CR42" t="e">
        <f>AND('STERLING CATALOG - DRY '!J793,"AAAAAHp8nl8=")</f>
        <v>#VALUE!</v>
      </c>
      <c r="CS42">
        <f>IF('STERLING CATALOG - DRY '!794:794,"AAAAAHp8nmA=",0)</f>
        <v>0</v>
      </c>
      <c r="CT42" t="e">
        <f>AND('STERLING CATALOG - DRY '!A794,"AAAAAHp8nmE=")</f>
        <v>#VALUE!</v>
      </c>
      <c r="CU42" t="e">
        <f>AND('STERLING CATALOG - DRY '!B794,"AAAAAHp8nmI=")</f>
        <v>#VALUE!</v>
      </c>
      <c r="CV42" t="e">
        <f>AND('STERLING CATALOG - DRY '!C794,"AAAAAHp8nmM=")</f>
        <v>#VALUE!</v>
      </c>
      <c r="CW42" t="e">
        <f>AND('STERLING CATALOG - DRY '!D794,"AAAAAHp8nmQ=")</f>
        <v>#VALUE!</v>
      </c>
      <c r="CX42" t="e">
        <f>AND('STERLING CATALOG - DRY '!E794,"AAAAAHp8nmU=")</f>
        <v>#VALUE!</v>
      </c>
      <c r="CY42" t="e">
        <f>AND('STERLING CATALOG - DRY '!F794,"AAAAAHp8nmY=")</f>
        <v>#VALUE!</v>
      </c>
      <c r="CZ42" t="e">
        <f>AND('STERLING CATALOG - DRY '!G794,"AAAAAHp8nmc=")</f>
        <v>#VALUE!</v>
      </c>
      <c r="DA42" t="e">
        <f>AND('STERLING CATALOG - DRY '!H794,"AAAAAHp8nmg=")</f>
        <v>#VALUE!</v>
      </c>
      <c r="DB42" t="e">
        <f>AND('STERLING CATALOG - DRY '!I794,"AAAAAHp8nmk=")</f>
        <v>#VALUE!</v>
      </c>
      <c r="DC42" t="e">
        <f>AND('STERLING CATALOG - DRY '!J794,"AAAAAHp8nmo=")</f>
        <v>#VALUE!</v>
      </c>
      <c r="DD42">
        <f>IF('STERLING CATALOG - DRY '!795:795,"AAAAAHp8nms=",0)</f>
        <v>0</v>
      </c>
      <c r="DE42" t="e">
        <f>AND('STERLING CATALOG - DRY '!A795,"AAAAAHp8nmw=")</f>
        <v>#VALUE!</v>
      </c>
      <c r="DF42" t="e">
        <f>AND('STERLING CATALOG - DRY '!B795,"AAAAAHp8nm0=")</f>
        <v>#VALUE!</v>
      </c>
      <c r="DG42" t="e">
        <f>AND('STERLING CATALOG - DRY '!C795,"AAAAAHp8nm4=")</f>
        <v>#VALUE!</v>
      </c>
      <c r="DH42" t="e">
        <f>AND('STERLING CATALOG - DRY '!D795,"AAAAAHp8nm8=")</f>
        <v>#VALUE!</v>
      </c>
      <c r="DI42" t="e">
        <f>AND('STERLING CATALOG - DRY '!E795,"AAAAAHp8nnA=")</f>
        <v>#VALUE!</v>
      </c>
      <c r="DJ42" t="e">
        <f>AND('STERLING CATALOG - DRY '!F795,"AAAAAHp8nnE=")</f>
        <v>#VALUE!</v>
      </c>
      <c r="DK42" t="e">
        <f>AND('STERLING CATALOG - DRY '!G795,"AAAAAHp8nnI=")</f>
        <v>#VALUE!</v>
      </c>
      <c r="DL42" t="e">
        <f>AND('STERLING CATALOG - DRY '!H795,"AAAAAHp8nnM=")</f>
        <v>#VALUE!</v>
      </c>
      <c r="DM42" t="e">
        <f>AND('STERLING CATALOG - DRY '!I795,"AAAAAHp8nnQ=")</f>
        <v>#VALUE!</v>
      </c>
      <c r="DN42" t="e">
        <f>AND('STERLING CATALOG - DRY '!J795,"AAAAAHp8nnU=")</f>
        <v>#VALUE!</v>
      </c>
      <c r="DO42">
        <f>IF('STERLING CATALOG - DRY '!796:796,"AAAAAHp8nnY=",0)</f>
        <v>0</v>
      </c>
      <c r="DP42" t="e">
        <f>AND('STERLING CATALOG - DRY '!A796,"AAAAAHp8nnc=")</f>
        <v>#VALUE!</v>
      </c>
      <c r="DQ42" t="e">
        <f>AND('STERLING CATALOG - DRY '!B796,"AAAAAHp8nng=")</f>
        <v>#VALUE!</v>
      </c>
      <c r="DR42" t="e">
        <f>AND('STERLING CATALOG - DRY '!C796,"AAAAAHp8nnk=")</f>
        <v>#VALUE!</v>
      </c>
      <c r="DS42" t="e">
        <f>AND('STERLING CATALOG - DRY '!D796,"AAAAAHp8nno=")</f>
        <v>#VALUE!</v>
      </c>
      <c r="DT42" t="e">
        <f>AND('STERLING CATALOG - DRY '!E796,"AAAAAHp8nns=")</f>
        <v>#VALUE!</v>
      </c>
      <c r="DU42" t="e">
        <f>AND('STERLING CATALOG - DRY '!F796,"AAAAAHp8nnw=")</f>
        <v>#VALUE!</v>
      </c>
      <c r="DV42" t="e">
        <f>AND('STERLING CATALOG - DRY '!G796,"AAAAAHp8nn0=")</f>
        <v>#VALUE!</v>
      </c>
      <c r="DW42" t="e">
        <f>AND('STERLING CATALOG - DRY '!H796,"AAAAAHp8nn4=")</f>
        <v>#VALUE!</v>
      </c>
      <c r="DX42" t="e">
        <f>AND('STERLING CATALOG - DRY '!I796,"AAAAAHp8nn8=")</f>
        <v>#VALUE!</v>
      </c>
      <c r="DY42" t="e">
        <f>AND('STERLING CATALOG - DRY '!J796,"AAAAAHp8noA=")</f>
        <v>#VALUE!</v>
      </c>
      <c r="DZ42">
        <f>IF('STERLING CATALOG - DRY '!797:797,"AAAAAHp8noE=",0)</f>
        <v>0</v>
      </c>
      <c r="EA42" t="e">
        <f>AND('STERLING CATALOG - DRY '!A797,"AAAAAHp8noI=")</f>
        <v>#VALUE!</v>
      </c>
      <c r="EB42" t="e">
        <f>AND('STERLING CATALOG - DRY '!B797,"AAAAAHp8noM=")</f>
        <v>#VALUE!</v>
      </c>
      <c r="EC42" t="e">
        <f>AND('STERLING CATALOG - DRY '!C797,"AAAAAHp8noQ=")</f>
        <v>#VALUE!</v>
      </c>
      <c r="ED42" t="e">
        <f>AND('STERLING CATALOG - DRY '!D797,"AAAAAHp8noU=")</f>
        <v>#VALUE!</v>
      </c>
      <c r="EE42" t="e">
        <f>AND('STERLING CATALOG - DRY '!E797,"AAAAAHp8noY=")</f>
        <v>#VALUE!</v>
      </c>
      <c r="EF42" t="e">
        <f>AND('STERLING CATALOG - DRY '!F797,"AAAAAHp8noc=")</f>
        <v>#VALUE!</v>
      </c>
      <c r="EG42" t="e">
        <f>AND('STERLING CATALOG - DRY '!G797,"AAAAAHp8nog=")</f>
        <v>#VALUE!</v>
      </c>
      <c r="EH42" t="e">
        <f>AND('STERLING CATALOG - DRY '!H797,"AAAAAHp8nok=")</f>
        <v>#VALUE!</v>
      </c>
      <c r="EI42" t="e">
        <f>AND('STERLING CATALOG - DRY '!I797,"AAAAAHp8noo=")</f>
        <v>#VALUE!</v>
      </c>
      <c r="EJ42" t="e">
        <f>AND('STERLING CATALOG - DRY '!J797,"AAAAAHp8nos=")</f>
        <v>#VALUE!</v>
      </c>
      <c r="EK42">
        <f>IF('STERLING CATALOG - DRY '!798:798,"AAAAAHp8now=",0)</f>
        <v>0</v>
      </c>
      <c r="EL42" t="e">
        <f>AND('STERLING CATALOG - DRY '!A798,"AAAAAHp8no0=")</f>
        <v>#VALUE!</v>
      </c>
      <c r="EM42" t="e">
        <f>AND('STERLING CATALOG - DRY '!B798,"AAAAAHp8no4=")</f>
        <v>#VALUE!</v>
      </c>
      <c r="EN42" t="e">
        <f>AND('STERLING CATALOG - DRY '!C798,"AAAAAHp8no8=")</f>
        <v>#VALUE!</v>
      </c>
      <c r="EO42" t="e">
        <f>AND('STERLING CATALOG - DRY '!D798,"AAAAAHp8npA=")</f>
        <v>#VALUE!</v>
      </c>
      <c r="EP42" t="e">
        <f>AND('STERLING CATALOG - DRY '!E798,"AAAAAHp8npE=")</f>
        <v>#VALUE!</v>
      </c>
      <c r="EQ42" t="e">
        <f>AND('STERLING CATALOG - DRY '!F798,"AAAAAHp8npI=")</f>
        <v>#VALUE!</v>
      </c>
      <c r="ER42" t="e">
        <f>AND('STERLING CATALOG - DRY '!G798,"AAAAAHp8npM=")</f>
        <v>#VALUE!</v>
      </c>
      <c r="ES42" t="e">
        <f>AND('STERLING CATALOG - DRY '!H798,"AAAAAHp8npQ=")</f>
        <v>#VALUE!</v>
      </c>
      <c r="ET42" t="e">
        <f>AND('STERLING CATALOG - DRY '!I798,"AAAAAHp8npU=")</f>
        <v>#VALUE!</v>
      </c>
      <c r="EU42" t="e">
        <f>AND('STERLING CATALOG - DRY '!J798,"AAAAAHp8npY=")</f>
        <v>#VALUE!</v>
      </c>
      <c r="EV42">
        <f>IF('STERLING CATALOG - DRY '!799:799,"AAAAAHp8npc=",0)</f>
        <v>0</v>
      </c>
      <c r="EW42" t="e">
        <f>AND('STERLING CATALOG - DRY '!A799,"AAAAAHp8npg=")</f>
        <v>#VALUE!</v>
      </c>
      <c r="EX42" t="e">
        <f>AND('STERLING CATALOG - DRY '!B799,"AAAAAHp8npk=")</f>
        <v>#VALUE!</v>
      </c>
      <c r="EY42" t="e">
        <f>AND('STERLING CATALOG - DRY '!C799,"AAAAAHp8npo=")</f>
        <v>#VALUE!</v>
      </c>
      <c r="EZ42" t="e">
        <f>AND('STERLING CATALOG - DRY '!D799,"AAAAAHp8nps=")</f>
        <v>#VALUE!</v>
      </c>
      <c r="FA42" t="e">
        <f>AND('STERLING CATALOG - DRY '!E799,"AAAAAHp8npw=")</f>
        <v>#VALUE!</v>
      </c>
      <c r="FB42" t="e">
        <f>AND('STERLING CATALOG - DRY '!F799,"AAAAAHp8np0=")</f>
        <v>#VALUE!</v>
      </c>
      <c r="FC42" t="e">
        <f>AND('STERLING CATALOG - DRY '!G799,"AAAAAHp8np4=")</f>
        <v>#VALUE!</v>
      </c>
      <c r="FD42" t="e">
        <f>AND('STERLING CATALOG - DRY '!H799,"AAAAAHp8np8=")</f>
        <v>#VALUE!</v>
      </c>
      <c r="FE42" t="e">
        <f>AND('STERLING CATALOG - DRY '!I799,"AAAAAHp8nqA=")</f>
        <v>#VALUE!</v>
      </c>
      <c r="FF42" t="e">
        <f>AND('STERLING CATALOG - DRY '!J799,"AAAAAHp8nqE=")</f>
        <v>#VALUE!</v>
      </c>
      <c r="FG42">
        <f>IF('STERLING CATALOG - DRY '!800:800,"AAAAAHp8nqI=",0)</f>
        <v>0</v>
      </c>
      <c r="FH42" t="e">
        <f>AND('STERLING CATALOG - DRY '!A800,"AAAAAHp8nqM=")</f>
        <v>#VALUE!</v>
      </c>
      <c r="FI42" t="e">
        <f>AND('STERLING CATALOG - DRY '!B800,"AAAAAHp8nqQ=")</f>
        <v>#VALUE!</v>
      </c>
      <c r="FJ42" t="e">
        <f>AND('STERLING CATALOG - DRY '!C800,"AAAAAHp8nqU=")</f>
        <v>#VALUE!</v>
      </c>
      <c r="FK42" t="e">
        <f>AND('STERLING CATALOG - DRY '!D800,"AAAAAHp8nqY=")</f>
        <v>#VALUE!</v>
      </c>
      <c r="FL42" t="e">
        <f>AND('STERLING CATALOG - DRY '!E800,"AAAAAHp8nqc=")</f>
        <v>#VALUE!</v>
      </c>
      <c r="FM42" t="e">
        <f>AND('STERLING CATALOG - DRY '!F800,"AAAAAHp8nqg=")</f>
        <v>#VALUE!</v>
      </c>
      <c r="FN42" t="e">
        <f>AND('STERLING CATALOG - DRY '!G800,"AAAAAHp8nqk=")</f>
        <v>#VALUE!</v>
      </c>
      <c r="FO42" t="e">
        <f>AND('STERLING CATALOG - DRY '!H800,"AAAAAHp8nqo=")</f>
        <v>#VALUE!</v>
      </c>
      <c r="FP42" t="e">
        <f>AND('STERLING CATALOG - DRY '!I800,"AAAAAHp8nqs=")</f>
        <v>#VALUE!</v>
      </c>
      <c r="FQ42" t="e">
        <f>AND('STERLING CATALOG - DRY '!J800,"AAAAAHp8nqw=")</f>
        <v>#VALUE!</v>
      </c>
      <c r="FR42">
        <f>IF('STERLING CATALOG - DRY '!801:801,"AAAAAHp8nq0=",0)</f>
        <v>0</v>
      </c>
      <c r="FS42" t="e">
        <f>AND('STERLING CATALOG - DRY '!A801,"AAAAAHp8nq4=")</f>
        <v>#VALUE!</v>
      </c>
      <c r="FT42" t="e">
        <f>AND('STERLING CATALOG - DRY '!B801,"AAAAAHp8nq8=")</f>
        <v>#VALUE!</v>
      </c>
      <c r="FU42" t="e">
        <f>AND('STERLING CATALOG - DRY '!C801,"AAAAAHp8nrA=")</f>
        <v>#VALUE!</v>
      </c>
      <c r="FV42" t="e">
        <f>AND('STERLING CATALOG - DRY '!D801,"AAAAAHp8nrE=")</f>
        <v>#VALUE!</v>
      </c>
      <c r="FW42" t="e">
        <f>AND('STERLING CATALOG - DRY '!E801,"AAAAAHp8nrI=")</f>
        <v>#VALUE!</v>
      </c>
      <c r="FX42" t="e">
        <f>AND('STERLING CATALOG - DRY '!F801,"AAAAAHp8nrM=")</f>
        <v>#VALUE!</v>
      </c>
      <c r="FY42" t="e">
        <f>AND('STERLING CATALOG - DRY '!G801,"AAAAAHp8nrQ=")</f>
        <v>#VALUE!</v>
      </c>
      <c r="FZ42" t="e">
        <f>AND('STERLING CATALOG - DRY '!H801,"AAAAAHp8nrU=")</f>
        <v>#VALUE!</v>
      </c>
      <c r="GA42" t="e">
        <f>AND('STERLING CATALOG - DRY '!I801,"AAAAAHp8nrY=")</f>
        <v>#VALUE!</v>
      </c>
      <c r="GB42" t="e">
        <f>AND('STERLING CATALOG - DRY '!J801,"AAAAAHp8nrc=")</f>
        <v>#VALUE!</v>
      </c>
      <c r="GC42">
        <f>IF('STERLING CATALOG - DRY '!802:802,"AAAAAHp8nrg=",0)</f>
        <v>0</v>
      </c>
      <c r="GD42" t="e">
        <f>AND('STERLING CATALOG - DRY '!A802,"AAAAAHp8nrk=")</f>
        <v>#VALUE!</v>
      </c>
      <c r="GE42" t="e">
        <f>AND('STERLING CATALOG - DRY '!B802,"AAAAAHp8nro=")</f>
        <v>#VALUE!</v>
      </c>
      <c r="GF42" t="e">
        <f>AND('STERLING CATALOG - DRY '!C802,"AAAAAHp8nrs=")</f>
        <v>#VALUE!</v>
      </c>
      <c r="GG42" t="e">
        <f>AND('STERLING CATALOG - DRY '!D802,"AAAAAHp8nrw=")</f>
        <v>#VALUE!</v>
      </c>
      <c r="GH42" t="e">
        <f>AND('STERLING CATALOG - DRY '!E802,"AAAAAHp8nr0=")</f>
        <v>#VALUE!</v>
      </c>
      <c r="GI42" t="e">
        <f>AND('STERLING CATALOG - DRY '!F802,"AAAAAHp8nr4=")</f>
        <v>#VALUE!</v>
      </c>
      <c r="GJ42" t="e">
        <f>AND('STERLING CATALOG - DRY '!G802,"AAAAAHp8nr8=")</f>
        <v>#VALUE!</v>
      </c>
      <c r="GK42" t="e">
        <f>AND('STERLING CATALOG - DRY '!H802,"AAAAAHp8nsA=")</f>
        <v>#VALUE!</v>
      </c>
      <c r="GL42" t="e">
        <f>AND('STERLING CATALOG - DRY '!I802,"AAAAAHp8nsE=")</f>
        <v>#VALUE!</v>
      </c>
      <c r="GM42" t="e">
        <f>AND('STERLING CATALOG - DRY '!J802,"AAAAAHp8nsI=")</f>
        <v>#VALUE!</v>
      </c>
      <c r="GN42">
        <f>IF('STERLING CATALOG - DRY '!803:803,"AAAAAHp8nsM=",0)</f>
        <v>0</v>
      </c>
      <c r="GO42" t="e">
        <f>AND('STERLING CATALOG - DRY '!A803,"AAAAAHp8nsQ=")</f>
        <v>#VALUE!</v>
      </c>
      <c r="GP42" t="e">
        <f>AND('STERLING CATALOG - DRY '!B803,"AAAAAHp8nsU=")</f>
        <v>#VALUE!</v>
      </c>
      <c r="GQ42" t="e">
        <f>AND('STERLING CATALOG - DRY '!C803,"AAAAAHp8nsY=")</f>
        <v>#VALUE!</v>
      </c>
      <c r="GR42" t="e">
        <f>AND('STERLING CATALOG - DRY '!D803,"AAAAAHp8nsc=")</f>
        <v>#VALUE!</v>
      </c>
      <c r="GS42" t="e">
        <f>AND('STERLING CATALOG - DRY '!E803,"AAAAAHp8nsg=")</f>
        <v>#VALUE!</v>
      </c>
      <c r="GT42" t="e">
        <f>AND('STERLING CATALOG - DRY '!F803,"AAAAAHp8nsk=")</f>
        <v>#VALUE!</v>
      </c>
      <c r="GU42" t="e">
        <f>AND('STERLING CATALOG - DRY '!G803,"AAAAAHp8nso=")</f>
        <v>#VALUE!</v>
      </c>
      <c r="GV42" t="e">
        <f>AND('STERLING CATALOG - DRY '!H803,"AAAAAHp8nss=")</f>
        <v>#VALUE!</v>
      </c>
      <c r="GW42" t="e">
        <f>AND('STERLING CATALOG - DRY '!I803,"AAAAAHp8nsw=")</f>
        <v>#VALUE!</v>
      </c>
      <c r="GX42" t="e">
        <f>AND('STERLING CATALOG - DRY '!J803,"AAAAAHp8ns0=")</f>
        <v>#VALUE!</v>
      </c>
      <c r="GY42">
        <f>IF('STERLING CATALOG - DRY '!804:804,"AAAAAHp8ns4=",0)</f>
        <v>0</v>
      </c>
      <c r="GZ42" t="e">
        <f>AND('STERLING CATALOG - DRY '!A804,"AAAAAHp8ns8=")</f>
        <v>#VALUE!</v>
      </c>
      <c r="HA42" t="e">
        <f>AND('STERLING CATALOG - DRY '!B804,"AAAAAHp8ntA=")</f>
        <v>#VALUE!</v>
      </c>
      <c r="HB42" t="e">
        <f>AND('STERLING CATALOG - DRY '!C804,"AAAAAHp8ntE=")</f>
        <v>#VALUE!</v>
      </c>
      <c r="HC42" t="e">
        <f>AND('STERLING CATALOG - DRY '!D804,"AAAAAHp8ntI=")</f>
        <v>#VALUE!</v>
      </c>
      <c r="HD42" t="e">
        <f>AND('STERLING CATALOG - DRY '!E804,"AAAAAHp8ntM=")</f>
        <v>#VALUE!</v>
      </c>
      <c r="HE42" t="e">
        <f>AND('STERLING CATALOG - DRY '!F804,"AAAAAHp8ntQ=")</f>
        <v>#VALUE!</v>
      </c>
      <c r="HF42" t="e">
        <f>AND('STERLING CATALOG - DRY '!G804,"AAAAAHp8ntU=")</f>
        <v>#VALUE!</v>
      </c>
      <c r="HG42" t="e">
        <f>AND('STERLING CATALOG - DRY '!H804,"AAAAAHp8ntY=")</f>
        <v>#VALUE!</v>
      </c>
      <c r="HH42" t="e">
        <f>AND('STERLING CATALOG - DRY '!I804,"AAAAAHp8ntc=")</f>
        <v>#VALUE!</v>
      </c>
      <c r="HI42" t="e">
        <f>AND('STERLING CATALOG - DRY '!J804,"AAAAAHp8ntg=")</f>
        <v>#VALUE!</v>
      </c>
      <c r="HJ42">
        <f>IF('STERLING CATALOG - DRY '!805:805,"AAAAAHp8ntk=",0)</f>
        <v>0</v>
      </c>
      <c r="HK42" t="e">
        <f>AND('STERLING CATALOG - DRY '!A805,"AAAAAHp8nto=")</f>
        <v>#VALUE!</v>
      </c>
      <c r="HL42" t="e">
        <f>AND('STERLING CATALOG - DRY '!B805,"AAAAAHp8nts=")</f>
        <v>#VALUE!</v>
      </c>
      <c r="HM42" t="e">
        <f>AND('STERLING CATALOG - DRY '!C805,"AAAAAHp8ntw=")</f>
        <v>#VALUE!</v>
      </c>
      <c r="HN42" t="e">
        <f>AND('STERLING CATALOG - DRY '!D805,"AAAAAHp8nt0=")</f>
        <v>#VALUE!</v>
      </c>
      <c r="HO42" t="e">
        <f>AND('STERLING CATALOG - DRY '!E805,"AAAAAHp8nt4=")</f>
        <v>#VALUE!</v>
      </c>
      <c r="HP42" t="e">
        <f>AND('STERLING CATALOG - DRY '!F805,"AAAAAHp8nt8=")</f>
        <v>#VALUE!</v>
      </c>
      <c r="HQ42" t="e">
        <f>AND('STERLING CATALOG - DRY '!G805,"AAAAAHp8nuA=")</f>
        <v>#VALUE!</v>
      </c>
      <c r="HR42" t="e">
        <f>AND('STERLING CATALOG - DRY '!H805,"AAAAAHp8nuE=")</f>
        <v>#VALUE!</v>
      </c>
      <c r="HS42" t="e">
        <f>AND('STERLING CATALOG - DRY '!I805,"AAAAAHp8nuI=")</f>
        <v>#VALUE!</v>
      </c>
      <c r="HT42" t="e">
        <f>AND('STERLING CATALOG - DRY '!J805,"AAAAAHp8nuM=")</f>
        <v>#VALUE!</v>
      </c>
      <c r="HU42">
        <f>IF('STERLING CATALOG - DRY '!806:806,"AAAAAHp8nuQ=",0)</f>
        <v>0</v>
      </c>
      <c r="HV42" t="e">
        <f>AND('STERLING CATALOG - DRY '!A806,"AAAAAHp8nuU=")</f>
        <v>#VALUE!</v>
      </c>
      <c r="HW42" t="e">
        <f>AND('STERLING CATALOG - DRY '!B806,"AAAAAHp8nuY=")</f>
        <v>#VALUE!</v>
      </c>
      <c r="HX42" t="e">
        <f>AND('STERLING CATALOG - DRY '!C806,"AAAAAHp8nuc=")</f>
        <v>#VALUE!</v>
      </c>
      <c r="HY42" t="e">
        <f>AND('STERLING CATALOG - DRY '!D806,"AAAAAHp8nug=")</f>
        <v>#VALUE!</v>
      </c>
      <c r="HZ42" t="e">
        <f>AND('STERLING CATALOG - DRY '!E806,"AAAAAHp8nuk=")</f>
        <v>#VALUE!</v>
      </c>
      <c r="IA42" t="e">
        <f>AND('STERLING CATALOG - DRY '!F806,"AAAAAHp8nuo=")</f>
        <v>#VALUE!</v>
      </c>
      <c r="IB42" t="e">
        <f>AND('STERLING CATALOG - DRY '!G806,"AAAAAHp8nus=")</f>
        <v>#VALUE!</v>
      </c>
      <c r="IC42" t="e">
        <f>AND('STERLING CATALOG - DRY '!H806,"AAAAAHp8nuw=")</f>
        <v>#VALUE!</v>
      </c>
      <c r="ID42" t="e">
        <f>AND('STERLING CATALOG - DRY '!I806,"AAAAAHp8nu0=")</f>
        <v>#VALUE!</v>
      </c>
      <c r="IE42" t="e">
        <f>AND('STERLING CATALOG - DRY '!J806,"AAAAAHp8nu4=")</f>
        <v>#VALUE!</v>
      </c>
      <c r="IF42">
        <f>IF('STERLING CATALOG - DRY '!807:807,"AAAAAHp8nu8=",0)</f>
        <v>0</v>
      </c>
      <c r="IG42" t="e">
        <f>AND('STERLING CATALOG - DRY '!A807,"AAAAAHp8nvA=")</f>
        <v>#VALUE!</v>
      </c>
      <c r="IH42" t="e">
        <f>AND('STERLING CATALOG - DRY '!B807,"AAAAAHp8nvE=")</f>
        <v>#VALUE!</v>
      </c>
      <c r="II42" t="e">
        <f>AND('STERLING CATALOG - DRY '!C807,"AAAAAHp8nvI=")</f>
        <v>#VALUE!</v>
      </c>
      <c r="IJ42" t="e">
        <f>AND('STERLING CATALOG - DRY '!D807,"AAAAAHp8nvM=")</f>
        <v>#VALUE!</v>
      </c>
      <c r="IK42" t="e">
        <f>AND('STERLING CATALOG - DRY '!E807,"AAAAAHp8nvQ=")</f>
        <v>#VALUE!</v>
      </c>
      <c r="IL42" t="e">
        <f>AND('STERLING CATALOG - DRY '!F807,"AAAAAHp8nvU=")</f>
        <v>#VALUE!</v>
      </c>
      <c r="IM42" t="e">
        <f>AND('STERLING CATALOG - DRY '!G807,"AAAAAHp8nvY=")</f>
        <v>#VALUE!</v>
      </c>
      <c r="IN42" t="e">
        <f>AND('STERLING CATALOG - DRY '!H807,"AAAAAHp8nvc=")</f>
        <v>#VALUE!</v>
      </c>
      <c r="IO42" t="e">
        <f>AND('STERLING CATALOG - DRY '!I807,"AAAAAHp8nvg=")</f>
        <v>#VALUE!</v>
      </c>
      <c r="IP42" t="e">
        <f>AND('STERLING CATALOG - DRY '!J807,"AAAAAHp8nvk=")</f>
        <v>#VALUE!</v>
      </c>
      <c r="IQ42">
        <f>IF('STERLING CATALOG - DRY '!808:808,"AAAAAHp8nvo=",0)</f>
        <v>0</v>
      </c>
      <c r="IR42" t="e">
        <f>AND('STERLING CATALOG - DRY '!A808,"AAAAAHp8nvs=")</f>
        <v>#VALUE!</v>
      </c>
      <c r="IS42" t="e">
        <f>AND('STERLING CATALOG - DRY '!B808,"AAAAAHp8nvw=")</f>
        <v>#VALUE!</v>
      </c>
      <c r="IT42" t="e">
        <f>AND('STERLING CATALOG - DRY '!C808,"AAAAAHp8nv0=")</f>
        <v>#VALUE!</v>
      </c>
      <c r="IU42" t="e">
        <f>AND('STERLING CATALOG - DRY '!D808,"AAAAAHp8nv4=")</f>
        <v>#VALUE!</v>
      </c>
      <c r="IV42" t="e">
        <f>AND('STERLING CATALOG - DRY '!E808,"AAAAAHp8nv8=")</f>
        <v>#VALUE!</v>
      </c>
    </row>
    <row r="43" spans="1:256">
      <c r="A43" t="e">
        <f>AND('STERLING CATALOG - DRY '!F808,"AAAAAHz//wA=")</f>
        <v>#VALUE!</v>
      </c>
      <c r="B43" t="e">
        <f>AND('STERLING CATALOG - DRY '!G808,"AAAAAHz//wE=")</f>
        <v>#VALUE!</v>
      </c>
      <c r="C43" t="e">
        <f>AND('STERLING CATALOG - DRY '!H808,"AAAAAHz//wI=")</f>
        <v>#VALUE!</v>
      </c>
      <c r="D43" t="e">
        <f>AND('STERLING CATALOG - DRY '!I808,"AAAAAHz//wM=")</f>
        <v>#VALUE!</v>
      </c>
      <c r="E43" t="e">
        <f>AND('STERLING CATALOG - DRY '!J808,"AAAAAHz//wQ=")</f>
        <v>#VALUE!</v>
      </c>
      <c r="F43" t="str">
        <f>IF('STERLING CATALOG - DRY '!809:809,"AAAAAHz//wU=",0)</f>
        <v>AAAAAHz//wU=</v>
      </c>
      <c r="G43" t="e">
        <f>AND('STERLING CATALOG - DRY '!A809,"AAAAAHz//wY=")</f>
        <v>#VALUE!</v>
      </c>
      <c r="H43" t="e">
        <f>AND('STERLING CATALOG - DRY '!B809,"AAAAAHz//wc=")</f>
        <v>#VALUE!</v>
      </c>
      <c r="I43" t="e">
        <f>AND('STERLING CATALOG - DRY '!C809,"AAAAAHz//wg=")</f>
        <v>#VALUE!</v>
      </c>
      <c r="J43" t="e">
        <f>AND('STERLING CATALOG - DRY '!D809,"AAAAAHz//wk=")</f>
        <v>#VALUE!</v>
      </c>
      <c r="K43" t="e">
        <f>AND('STERLING CATALOG - DRY '!E809,"AAAAAHz//wo=")</f>
        <v>#VALUE!</v>
      </c>
      <c r="L43" t="e">
        <f>AND('STERLING CATALOG - DRY '!F809,"AAAAAHz//ws=")</f>
        <v>#VALUE!</v>
      </c>
      <c r="M43" t="e">
        <f>AND('STERLING CATALOG - DRY '!G809,"AAAAAHz//ww=")</f>
        <v>#VALUE!</v>
      </c>
      <c r="N43" t="e">
        <f>AND('STERLING CATALOG - DRY '!H809,"AAAAAHz//w0=")</f>
        <v>#VALUE!</v>
      </c>
      <c r="O43" t="e">
        <f>AND('STERLING CATALOG - DRY '!I809,"AAAAAHz//w4=")</f>
        <v>#VALUE!</v>
      </c>
      <c r="P43" t="e">
        <f>AND('STERLING CATALOG - DRY '!J809,"AAAAAHz//w8=")</f>
        <v>#VALUE!</v>
      </c>
      <c r="Q43">
        <f>IF('STERLING CATALOG - DRY '!810:810,"AAAAAHz//xA=",0)</f>
        <v>0</v>
      </c>
      <c r="R43" t="e">
        <f>AND('STERLING CATALOG - DRY '!A810,"AAAAAHz//xE=")</f>
        <v>#VALUE!</v>
      </c>
      <c r="S43" t="e">
        <f>AND('STERLING CATALOG - DRY '!B810,"AAAAAHz//xI=")</f>
        <v>#VALUE!</v>
      </c>
      <c r="T43" t="e">
        <f>AND('STERLING CATALOG - DRY '!C810,"AAAAAHz//xM=")</f>
        <v>#VALUE!</v>
      </c>
      <c r="U43" t="e">
        <f>AND('STERLING CATALOG - DRY '!D810,"AAAAAHz//xQ=")</f>
        <v>#VALUE!</v>
      </c>
      <c r="V43" t="e">
        <f>AND('STERLING CATALOG - DRY '!E810,"AAAAAHz//xU=")</f>
        <v>#VALUE!</v>
      </c>
      <c r="W43" t="e">
        <f>AND('STERLING CATALOG - DRY '!F810,"AAAAAHz//xY=")</f>
        <v>#VALUE!</v>
      </c>
      <c r="X43" t="e">
        <f>AND('STERLING CATALOG - DRY '!G810,"AAAAAHz//xc=")</f>
        <v>#VALUE!</v>
      </c>
      <c r="Y43" t="e">
        <f>AND('STERLING CATALOG - DRY '!H810,"AAAAAHz//xg=")</f>
        <v>#VALUE!</v>
      </c>
      <c r="Z43" t="e">
        <f>AND('STERLING CATALOG - DRY '!I810,"AAAAAHz//xk=")</f>
        <v>#VALUE!</v>
      </c>
      <c r="AA43" t="e">
        <f>AND('STERLING CATALOG - DRY '!J810,"AAAAAHz//xo=")</f>
        <v>#VALUE!</v>
      </c>
      <c r="AB43">
        <f>IF('STERLING CATALOG - DRY '!811:811,"AAAAAHz//xs=",0)</f>
        <v>0</v>
      </c>
      <c r="AC43" t="e">
        <f>AND('STERLING CATALOG - DRY '!A811,"AAAAAHz//xw=")</f>
        <v>#VALUE!</v>
      </c>
      <c r="AD43" t="e">
        <f>AND('STERLING CATALOG - DRY '!B811,"AAAAAHz//x0=")</f>
        <v>#VALUE!</v>
      </c>
      <c r="AE43" t="e">
        <f>AND('STERLING CATALOG - DRY '!C811,"AAAAAHz//x4=")</f>
        <v>#VALUE!</v>
      </c>
      <c r="AF43" t="e">
        <f>AND('STERLING CATALOG - DRY '!D811,"AAAAAHz//x8=")</f>
        <v>#VALUE!</v>
      </c>
      <c r="AG43" t="e">
        <f>AND('STERLING CATALOG - DRY '!E811,"AAAAAHz//yA=")</f>
        <v>#VALUE!</v>
      </c>
      <c r="AH43" t="e">
        <f>AND('STERLING CATALOG - DRY '!F811,"AAAAAHz//yE=")</f>
        <v>#VALUE!</v>
      </c>
      <c r="AI43" t="e">
        <f>AND('STERLING CATALOG - DRY '!G811,"AAAAAHz//yI=")</f>
        <v>#VALUE!</v>
      </c>
      <c r="AJ43" t="e">
        <f>AND('STERLING CATALOG - DRY '!H811,"AAAAAHz//yM=")</f>
        <v>#VALUE!</v>
      </c>
      <c r="AK43" t="e">
        <f>AND('STERLING CATALOG - DRY '!I811,"AAAAAHz//yQ=")</f>
        <v>#VALUE!</v>
      </c>
      <c r="AL43" t="e">
        <f>AND('STERLING CATALOG - DRY '!J811,"AAAAAHz//yU=")</f>
        <v>#VALUE!</v>
      </c>
      <c r="AM43">
        <f>IF('STERLING CATALOG - DRY '!812:812,"AAAAAHz//yY=",0)</f>
        <v>0</v>
      </c>
      <c r="AN43" t="e">
        <f>AND('STERLING CATALOG - DRY '!A812,"AAAAAHz//yc=")</f>
        <v>#VALUE!</v>
      </c>
      <c r="AO43" t="e">
        <f>AND('STERLING CATALOG - DRY '!B812,"AAAAAHz//yg=")</f>
        <v>#VALUE!</v>
      </c>
      <c r="AP43" t="e">
        <f>AND('STERLING CATALOG - DRY '!C812,"AAAAAHz//yk=")</f>
        <v>#VALUE!</v>
      </c>
      <c r="AQ43" t="e">
        <f>AND('STERLING CATALOG - DRY '!D812,"AAAAAHz//yo=")</f>
        <v>#VALUE!</v>
      </c>
      <c r="AR43" t="e">
        <f>AND('STERLING CATALOG - DRY '!E812,"AAAAAHz//ys=")</f>
        <v>#VALUE!</v>
      </c>
      <c r="AS43" t="e">
        <f>AND('STERLING CATALOG - DRY '!F812,"AAAAAHz//yw=")</f>
        <v>#VALUE!</v>
      </c>
      <c r="AT43" t="e">
        <f>AND('STERLING CATALOG - DRY '!G812,"AAAAAHz//y0=")</f>
        <v>#VALUE!</v>
      </c>
      <c r="AU43" t="e">
        <f>AND('STERLING CATALOG - DRY '!H812,"AAAAAHz//y4=")</f>
        <v>#VALUE!</v>
      </c>
      <c r="AV43" t="e">
        <f>AND('STERLING CATALOG - DRY '!I812,"AAAAAHz//y8=")</f>
        <v>#VALUE!</v>
      </c>
      <c r="AW43" t="e">
        <f>AND('STERLING CATALOG - DRY '!J812,"AAAAAHz//zA=")</f>
        <v>#VALUE!</v>
      </c>
      <c r="AX43">
        <f>IF('STERLING CATALOG - DRY '!813:813,"AAAAAHz//zE=",0)</f>
        <v>0</v>
      </c>
      <c r="AY43" t="e">
        <f>AND('STERLING CATALOG - DRY '!A813,"AAAAAHz//zI=")</f>
        <v>#VALUE!</v>
      </c>
      <c r="AZ43" t="e">
        <f>AND('STERLING CATALOG - DRY '!B813,"AAAAAHz//zM=")</f>
        <v>#VALUE!</v>
      </c>
      <c r="BA43" t="e">
        <f>AND('STERLING CATALOG - DRY '!C813,"AAAAAHz//zQ=")</f>
        <v>#VALUE!</v>
      </c>
      <c r="BB43" t="e">
        <f>AND('STERLING CATALOG - DRY '!D813,"AAAAAHz//zU=")</f>
        <v>#VALUE!</v>
      </c>
      <c r="BC43" t="e">
        <f>AND('STERLING CATALOG - DRY '!E813,"AAAAAHz//zY=")</f>
        <v>#VALUE!</v>
      </c>
      <c r="BD43" t="e">
        <f>AND('STERLING CATALOG - DRY '!F813,"AAAAAHz//zc=")</f>
        <v>#VALUE!</v>
      </c>
      <c r="BE43" t="e">
        <f>AND('STERLING CATALOG - DRY '!G813,"AAAAAHz//zg=")</f>
        <v>#VALUE!</v>
      </c>
      <c r="BF43" t="e">
        <f>AND('STERLING CATALOG - DRY '!H813,"AAAAAHz//zk=")</f>
        <v>#VALUE!</v>
      </c>
      <c r="BG43" t="e">
        <f>AND('STERLING CATALOG - DRY '!I813,"AAAAAHz//zo=")</f>
        <v>#VALUE!</v>
      </c>
      <c r="BH43" t="e">
        <f>AND('STERLING CATALOG - DRY '!J813,"AAAAAHz//zs=")</f>
        <v>#VALUE!</v>
      </c>
      <c r="BI43">
        <f>IF('STERLING CATALOG - DRY '!814:814,"AAAAAHz//zw=",0)</f>
        <v>0</v>
      </c>
      <c r="BJ43" t="e">
        <f>AND('STERLING CATALOG - DRY '!A814,"AAAAAHz//z0=")</f>
        <v>#VALUE!</v>
      </c>
      <c r="BK43" t="e">
        <f>AND('STERLING CATALOG - DRY '!B814,"AAAAAHz//z4=")</f>
        <v>#VALUE!</v>
      </c>
      <c r="BL43" t="e">
        <f>AND('STERLING CATALOG - DRY '!C814,"AAAAAHz//z8=")</f>
        <v>#VALUE!</v>
      </c>
      <c r="BM43" t="e">
        <f>AND('STERLING CATALOG - DRY '!D814,"AAAAAHz//0A=")</f>
        <v>#VALUE!</v>
      </c>
      <c r="BN43" t="e">
        <f>AND('STERLING CATALOG - DRY '!E814,"AAAAAHz//0E=")</f>
        <v>#VALUE!</v>
      </c>
      <c r="BO43" t="e">
        <f>AND('STERLING CATALOG - DRY '!F814,"AAAAAHz//0I=")</f>
        <v>#VALUE!</v>
      </c>
      <c r="BP43" t="e">
        <f>AND('STERLING CATALOG - DRY '!G814,"AAAAAHz//0M=")</f>
        <v>#VALUE!</v>
      </c>
      <c r="BQ43" t="e">
        <f>AND('STERLING CATALOG - DRY '!H814,"AAAAAHz//0Q=")</f>
        <v>#VALUE!</v>
      </c>
      <c r="BR43" t="e">
        <f>AND('STERLING CATALOG - DRY '!I814,"AAAAAHz//0U=")</f>
        <v>#VALUE!</v>
      </c>
      <c r="BS43" t="e">
        <f>AND('STERLING CATALOG - DRY '!J814,"AAAAAHz//0Y=")</f>
        <v>#VALUE!</v>
      </c>
      <c r="BT43">
        <f>IF('STERLING CATALOG - DRY '!815:815,"AAAAAHz//0c=",0)</f>
        <v>0</v>
      </c>
      <c r="BU43" t="e">
        <f>AND('STERLING CATALOG - DRY '!A815,"AAAAAHz//0g=")</f>
        <v>#VALUE!</v>
      </c>
      <c r="BV43" t="e">
        <f>AND('STERLING CATALOG - DRY '!B815,"AAAAAHz//0k=")</f>
        <v>#VALUE!</v>
      </c>
      <c r="BW43" t="e">
        <f>AND('STERLING CATALOG - DRY '!C815,"AAAAAHz//0o=")</f>
        <v>#VALUE!</v>
      </c>
      <c r="BX43" t="e">
        <f>AND('STERLING CATALOG - DRY '!D815,"AAAAAHz//0s=")</f>
        <v>#VALUE!</v>
      </c>
      <c r="BY43" t="e">
        <f>AND('STERLING CATALOG - DRY '!E815,"AAAAAHz//0w=")</f>
        <v>#VALUE!</v>
      </c>
      <c r="BZ43" t="e">
        <f>AND('STERLING CATALOG - DRY '!F815,"AAAAAHz//00=")</f>
        <v>#VALUE!</v>
      </c>
      <c r="CA43" t="e">
        <f>AND('STERLING CATALOG - DRY '!G815,"AAAAAHz//04=")</f>
        <v>#VALUE!</v>
      </c>
      <c r="CB43" t="e">
        <f>AND('STERLING CATALOG - DRY '!H815,"AAAAAHz//08=")</f>
        <v>#VALUE!</v>
      </c>
      <c r="CC43" t="e">
        <f>AND('STERLING CATALOG - DRY '!I815,"AAAAAHz//1A=")</f>
        <v>#VALUE!</v>
      </c>
      <c r="CD43" t="e">
        <f>AND('STERLING CATALOG - DRY '!J815,"AAAAAHz//1E=")</f>
        <v>#VALUE!</v>
      </c>
      <c r="CE43">
        <f>IF('STERLING CATALOG - DRY '!816:816,"AAAAAHz//1I=",0)</f>
        <v>0</v>
      </c>
      <c r="CF43" t="e">
        <f>AND('STERLING CATALOG - DRY '!A816,"AAAAAHz//1M=")</f>
        <v>#VALUE!</v>
      </c>
      <c r="CG43" t="e">
        <f>AND('STERLING CATALOG - DRY '!B816,"AAAAAHz//1Q=")</f>
        <v>#VALUE!</v>
      </c>
      <c r="CH43" t="e">
        <f>AND('STERLING CATALOG - DRY '!C816,"AAAAAHz//1U=")</f>
        <v>#VALUE!</v>
      </c>
      <c r="CI43" t="e">
        <f>AND('STERLING CATALOG - DRY '!D816,"AAAAAHz//1Y=")</f>
        <v>#VALUE!</v>
      </c>
      <c r="CJ43" t="e">
        <f>AND('STERLING CATALOG - DRY '!E816,"AAAAAHz//1c=")</f>
        <v>#VALUE!</v>
      </c>
      <c r="CK43" t="e">
        <f>AND('STERLING CATALOG - DRY '!F816,"AAAAAHz//1g=")</f>
        <v>#VALUE!</v>
      </c>
      <c r="CL43" t="e">
        <f>AND('STERLING CATALOG - DRY '!G816,"AAAAAHz//1k=")</f>
        <v>#VALUE!</v>
      </c>
      <c r="CM43" t="e">
        <f>AND('STERLING CATALOG - DRY '!H816,"AAAAAHz//1o=")</f>
        <v>#VALUE!</v>
      </c>
      <c r="CN43" t="e">
        <f>AND('STERLING CATALOG - DRY '!I816,"AAAAAHz//1s=")</f>
        <v>#VALUE!</v>
      </c>
      <c r="CO43" t="e">
        <f>AND('STERLING CATALOG - DRY '!J816,"AAAAAHz//1w=")</f>
        <v>#VALUE!</v>
      </c>
      <c r="CP43">
        <f>IF('STERLING CATALOG - DRY '!817:817,"AAAAAHz//10=",0)</f>
        <v>0</v>
      </c>
      <c r="CQ43" t="e">
        <f>AND('STERLING CATALOG - DRY '!A817,"AAAAAHz//14=")</f>
        <v>#VALUE!</v>
      </c>
      <c r="CR43" t="e">
        <f>AND('STERLING CATALOG - DRY '!B817,"AAAAAHz//18=")</f>
        <v>#VALUE!</v>
      </c>
      <c r="CS43" t="e">
        <f>AND('STERLING CATALOG - DRY '!C817,"AAAAAHz//2A=")</f>
        <v>#VALUE!</v>
      </c>
      <c r="CT43" t="e">
        <f>AND('STERLING CATALOG - DRY '!D817,"AAAAAHz//2E=")</f>
        <v>#VALUE!</v>
      </c>
      <c r="CU43" t="e">
        <f>AND('STERLING CATALOG - DRY '!E817,"AAAAAHz//2I=")</f>
        <v>#VALUE!</v>
      </c>
      <c r="CV43" t="e">
        <f>AND('STERLING CATALOG - DRY '!F817,"AAAAAHz//2M=")</f>
        <v>#VALUE!</v>
      </c>
      <c r="CW43" t="e">
        <f>AND('STERLING CATALOG - DRY '!G817,"AAAAAHz//2Q=")</f>
        <v>#VALUE!</v>
      </c>
      <c r="CX43" t="e">
        <f>AND('STERLING CATALOG - DRY '!H817,"AAAAAHz//2U=")</f>
        <v>#VALUE!</v>
      </c>
      <c r="CY43" t="e">
        <f>AND('STERLING CATALOG - DRY '!I817,"AAAAAHz//2Y=")</f>
        <v>#VALUE!</v>
      </c>
      <c r="CZ43" t="e">
        <f>AND('STERLING CATALOG - DRY '!J817,"AAAAAHz//2c=")</f>
        <v>#VALUE!</v>
      </c>
      <c r="DA43">
        <f>IF('STERLING CATALOG - DRY '!818:818,"AAAAAHz//2g=",0)</f>
        <v>0</v>
      </c>
      <c r="DB43" t="e">
        <f>AND('STERLING CATALOG - DRY '!A818,"AAAAAHz//2k=")</f>
        <v>#VALUE!</v>
      </c>
      <c r="DC43" t="e">
        <f>AND('STERLING CATALOG - DRY '!B818,"AAAAAHz//2o=")</f>
        <v>#VALUE!</v>
      </c>
      <c r="DD43" t="e">
        <f>AND('STERLING CATALOG - DRY '!C818,"AAAAAHz//2s=")</f>
        <v>#VALUE!</v>
      </c>
      <c r="DE43" t="e">
        <f>AND('STERLING CATALOG - DRY '!D818,"AAAAAHz//2w=")</f>
        <v>#VALUE!</v>
      </c>
      <c r="DF43" t="e">
        <f>AND('STERLING CATALOG - DRY '!E818,"AAAAAHz//20=")</f>
        <v>#VALUE!</v>
      </c>
      <c r="DG43" t="e">
        <f>AND('STERLING CATALOG - DRY '!F818,"AAAAAHz//24=")</f>
        <v>#VALUE!</v>
      </c>
      <c r="DH43" t="e">
        <f>AND('STERLING CATALOG - DRY '!G818,"AAAAAHz//28=")</f>
        <v>#VALUE!</v>
      </c>
      <c r="DI43" t="e">
        <f>AND('STERLING CATALOG - DRY '!H818,"AAAAAHz//3A=")</f>
        <v>#VALUE!</v>
      </c>
      <c r="DJ43" t="e">
        <f>AND('STERLING CATALOG - DRY '!I818,"AAAAAHz//3E=")</f>
        <v>#VALUE!</v>
      </c>
      <c r="DK43" t="e">
        <f>AND('STERLING CATALOG - DRY '!J818,"AAAAAHz//3I=")</f>
        <v>#VALUE!</v>
      </c>
      <c r="DL43">
        <f>IF('STERLING CATALOG - DRY '!819:819,"AAAAAHz//3M=",0)</f>
        <v>0</v>
      </c>
      <c r="DM43" t="e">
        <f>AND('STERLING CATALOG - DRY '!A819,"AAAAAHz//3Q=")</f>
        <v>#VALUE!</v>
      </c>
      <c r="DN43" t="e">
        <f>AND('STERLING CATALOG - DRY '!B819,"AAAAAHz//3U=")</f>
        <v>#VALUE!</v>
      </c>
      <c r="DO43" t="e">
        <f>AND('STERLING CATALOG - DRY '!C819,"AAAAAHz//3Y=")</f>
        <v>#VALUE!</v>
      </c>
      <c r="DP43" t="e">
        <f>AND('STERLING CATALOG - DRY '!D819,"AAAAAHz//3c=")</f>
        <v>#VALUE!</v>
      </c>
      <c r="DQ43" t="e">
        <f>AND('STERLING CATALOG - DRY '!E819,"AAAAAHz//3g=")</f>
        <v>#VALUE!</v>
      </c>
      <c r="DR43" t="e">
        <f>AND('STERLING CATALOG - DRY '!F819,"AAAAAHz//3k=")</f>
        <v>#VALUE!</v>
      </c>
      <c r="DS43" t="e">
        <f>AND('STERLING CATALOG - DRY '!G819,"AAAAAHz//3o=")</f>
        <v>#VALUE!</v>
      </c>
      <c r="DT43" t="e">
        <f>AND('STERLING CATALOG - DRY '!H819,"AAAAAHz//3s=")</f>
        <v>#VALUE!</v>
      </c>
      <c r="DU43" t="e">
        <f>AND('STERLING CATALOG - DRY '!I819,"AAAAAHz//3w=")</f>
        <v>#VALUE!</v>
      </c>
      <c r="DV43" t="e">
        <f>AND('STERLING CATALOG - DRY '!J819,"AAAAAHz//30=")</f>
        <v>#VALUE!</v>
      </c>
      <c r="DW43">
        <f>IF('STERLING CATALOG - DRY '!820:820,"AAAAAHz//34=",0)</f>
        <v>0</v>
      </c>
      <c r="DX43" t="e">
        <f>AND('STERLING CATALOG - DRY '!A820,"AAAAAHz//38=")</f>
        <v>#VALUE!</v>
      </c>
      <c r="DY43" t="e">
        <f>AND('STERLING CATALOG - DRY '!B820,"AAAAAHz//4A=")</f>
        <v>#VALUE!</v>
      </c>
      <c r="DZ43" t="e">
        <f>AND('STERLING CATALOG - DRY '!C820,"AAAAAHz//4E=")</f>
        <v>#VALUE!</v>
      </c>
      <c r="EA43" t="e">
        <f>AND('STERLING CATALOG - DRY '!D820,"AAAAAHz//4I=")</f>
        <v>#VALUE!</v>
      </c>
      <c r="EB43" t="e">
        <f>AND('STERLING CATALOG - DRY '!E820,"AAAAAHz//4M=")</f>
        <v>#VALUE!</v>
      </c>
      <c r="EC43" t="e">
        <f>AND('STERLING CATALOG - DRY '!F820,"AAAAAHz//4Q=")</f>
        <v>#VALUE!</v>
      </c>
      <c r="ED43" t="e">
        <f>AND('STERLING CATALOG - DRY '!G820,"AAAAAHz//4U=")</f>
        <v>#VALUE!</v>
      </c>
      <c r="EE43" t="e">
        <f>AND('STERLING CATALOG - DRY '!H820,"AAAAAHz//4Y=")</f>
        <v>#VALUE!</v>
      </c>
      <c r="EF43" t="e">
        <f>AND('STERLING CATALOG - DRY '!I820,"AAAAAHz//4c=")</f>
        <v>#VALUE!</v>
      </c>
      <c r="EG43" t="e">
        <f>AND('STERLING CATALOG - DRY '!J820,"AAAAAHz//4g=")</f>
        <v>#VALUE!</v>
      </c>
      <c r="EH43">
        <f>IF('STERLING CATALOG - DRY '!821:821,"AAAAAHz//4k=",0)</f>
        <v>0</v>
      </c>
      <c r="EI43" t="e">
        <f>AND('STERLING CATALOG - DRY '!A821,"AAAAAHz//4o=")</f>
        <v>#VALUE!</v>
      </c>
      <c r="EJ43" t="e">
        <f>AND('STERLING CATALOG - DRY '!B821,"AAAAAHz//4s=")</f>
        <v>#VALUE!</v>
      </c>
      <c r="EK43" t="e">
        <f>AND('STERLING CATALOG - DRY '!C821,"AAAAAHz//4w=")</f>
        <v>#VALUE!</v>
      </c>
      <c r="EL43" t="e">
        <f>AND('STERLING CATALOG - DRY '!D821,"AAAAAHz//40=")</f>
        <v>#VALUE!</v>
      </c>
      <c r="EM43" t="e">
        <f>AND('STERLING CATALOG - DRY '!E821,"AAAAAHz//44=")</f>
        <v>#VALUE!</v>
      </c>
      <c r="EN43" t="e">
        <f>AND('STERLING CATALOG - DRY '!F821,"AAAAAHz//48=")</f>
        <v>#VALUE!</v>
      </c>
      <c r="EO43" t="e">
        <f>AND('STERLING CATALOG - DRY '!G821,"AAAAAHz//5A=")</f>
        <v>#VALUE!</v>
      </c>
      <c r="EP43" t="e">
        <f>AND('STERLING CATALOG - DRY '!H821,"AAAAAHz//5E=")</f>
        <v>#VALUE!</v>
      </c>
      <c r="EQ43" t="e">
        <f>AND('STERLING CATALOG - DRY '!I821,"AAAAAHz//5I=")</f>
        <v>#VALUE!</v>
      </c>
      <c r="ER43" t="e">
        <f>AND('STERLING CATALOG - DRY '!J821,"AAAAAHz//5M=")</f>
        <v>#VALUE!</v>
      </c>
      <c r="ES43">
        <f>IF('STERLING CATALOG - DRY '!822:822,"AAAAAHz//5Q=",0)</f>
        <v>0</v>
      </c>
      <c r="ET43" t="e">
        <f>AND('STERLING CATALOG - DRY '!A822,"AAAAAHz//5U=")</f>
        <v>#VALUE!</v>
      </c>
      <c r="EU43" t="e">
        <f>AND('STERLING CATALOG - DRY '!B822,"AAAAAHz//5Y=")</f>
        <v>#VALUE!</v>
      </c>
      <c r="EV43" t="e">
        <f>AND('STERLING CATALOG - DRY '!C822,"AAAAAHz//5c=")</f>
        <v>#VALUE!</v>
      </c>
      <c r="EW43" t="e">
        <f>AND('STERLING CATALOG - DRY '!D822,"AAAAAHz//5g=")</f>
        <v>#VALUE!</v>
      </c>
      <c r="EX43" t="e">
        <f>AND('STERLING CATALOG - DRY '!E822,"AAAAAHz//5k=")</f>
        <v>#VALUE!</v>
      </c>
      <c r="EY43" t="e">
        <f>AND('STERLING CATALOG - DRY '!F822,"AAAAAHz//5o=")</f>
        <v>#VALUE!</v>
      </c>
      <c r="EZ43" t="e">
        <f>AND('STERLING CATALOG - DRY '!G822,"AAAAAHz//5s=")</f>
        <v>#VALUE!</v>
      </c>
      <c r="FA43" t="e">
        <f>AND('STERLING CATALOG - DRY '!H822,"AAAAAHz//5w=")</f>
        <v>#VALUE!</v>
      </c>
      <c r="FB43" t="e">
        <f>AND('STERLING CATALOG - DRY '!I822,"AAAAAHz//50=")</f>
        <v>#VALUE!</v>
      </c>
      <c r="FC43" t="e">
        <f>AND('STERLING CATALOG - DRY '!J822,"AAAAAHz//54=")</f>
        <v>#VALUE!</v>
      </c>
      <c r="FD43">
        <f>IF('STERLING CATALOG - DRY '!823:823,"AAAAAHz//58=",0)</f>
        <v>0</v>
      </c>
      <c r="FE43" t="e">
        <f>AND('STERLING CATALOG - DRY '!A823,"AAAAAHz//6A=")</f>
        <v>#VALUE!</v>
      </c>
      <c r="FF43" t="e">
        <f>AND('STERLING CATALOG - DRY '!B823,"AAAAAHz//6E=")</f>
        <v>#VALUE!</v>
      </c>
      <c r="FG43" t="e">
        <f>AND('STERLING CATALOG - DRY '!C823,"AAAAAHz//6I=")</f>
        <v>#VALUE!</v>
      </c>
      <c r="FH43" t="e">
        <f>AND('STERLING CATALOG - DRY '!D823,"AAAAAHz//6M=")</f>
        <v>#VALUE!</v>
      </c>
      <c r="FI43" t="e">
        <f>AND('STERLING CATALOG - DRY '!E823,"AAAAAHz//6Q=")</f>
        <v>#VALUE!</v>
      </c>
      <c r="FJ43" t="e">
        <f>AND('STERLING CATALOG - DRY '!F823,"AAAAAHz//6U=")</f>
        <v>#VALUE!</v>
      </c>
      <c r="FK43" t="e">
        <f>AND('STERLING CATALOG - DRY '!G823,"AAAAAHz//6Y=")</f>
        <v>#VALUE!</v>
      </c>
      <c r="FL43" t="e">
        <f>AND('STERLING CATALOG - DRY '!H823,"AAAAAHz//6c=")</f>
        <v>#VALUE!</v>
      </c>
      <c r="FM43" t="e">
        <f>AND('STERLING CATALOG - DRY '!I823,"AAAAAHz//6g=")</f>
        <v>#VALUE!</v>
      </c>
      <c r="FN43" t="e">
        <f>AND('STERLING CATALOG - DRY '!J823,"AAAAAHz//6k=")</f>
        <v>#VALUE!</v>
      </c>
      <c r="FO43">
        <f>IF('STERLING CATALOG - DRY '!824:824,"AAAAAHz//6o=",0)</f>
        <v>0</v>
      </c>
      <c r="FP43" t="e">
        <f>AND('STERLING CATALOG - DRY '!A824,"AAAAAHz//6s=")</f>
        <v>#VALUE!</v>
      </c>
      <c r="FQ43" t="e">
        <f>AND('STERLING CATALOG - DRY '!B824,"AAAAAHz//6w=")</f>
        <v>#VALUE!</v>
      </c>
      <c r="FR43" t="e">
        <f>AND('STERLING CATALOG - DRY '!C824,"AAAAAHz//60=")</f>
        <v>#VALUE!</v>
      </c>
      <c r="FS43" t="e">
        <f>AND('STERLING CATALOG - DRY '!D824,"AAAAAHz//64=")</f>
        <v>#VALUE!</v>
      </c>
      <c r="FT43" t="e">
        <f>AND('STERLING CATALOG - DRY '!E824,"AAAAAHz//68=")</f>
        <v>#VALUE!</v>
      </c>
      <c r="FU43" t="e">
        <f>AND('STERLING CATALOG - DRY '!F824,"AAAAAHz//7A=")</f>
        <v>#VALUE!</v>
      </c>
      <c r="FV43" t="e">
        <f>AND('STERLING CATALOG - DRY '!G824,"AAAAAHz//7E=")</f>
        <v>#VALUE!</v>
      </c>
      <c r="FW43" t="e">
        <f>AND('STERLING CATALOG - DRY '!H824,"AAAAAHz//7I=")</f>
        <v>#VALUE!</v>
      </c>
      <c r="FX43" t="e">
        <f>AND('STERLING CATALOG - DRY '!I824,"AAAAAHz//7M=")</f>
        <v>#VALUE!</v>
      </c>
      <c r="FY43" t="e">
        <f>AND('STERLING CATALOG - DRY '!J824,"AAAAAHz//7Q=")</f>
        <v>#VALUE!</v>
      </c>
      <c r="FZ43">
        <f>IF('STERLING CATALOG - DRY '!825:825,"AAAAAHz//7U=",0)</f>
        <v>0</v>
      </c>
      <c r="GA43" t="e">
        <f>AND('STERLING CATALOG - DRY '!A825,"AAAAAHz//7Y=")</f>
        <v>#VALUE!</v>
      </c>
      <c r="GB43" t="e">
        <f>AND('STERLING CATALOG - DRY '!B825,"AAAAAHz//7c=")</f>
        <v>#VALUE!</v>
      </c>
      <c r="GC43" t="e">
        <f>AND('STERLING CATALOG - DRY '!C825,"AAAAAHz//7g=")</f>
        <v>#VALUE!</v>
      </c>
      <c r="GD43" t="e">
        <f>AND('STERLING CATALOG - DRY '!D825,"AAAAAHz//7k=")</f>
        <v>#VALUE!</v>
      </c>
      <c r="GE43" t="e">
        <f>AND('STERLING CATALOG - DRY '!E825,"AAAAAHz//7o=")</f>
        <v>#VALUE!</v>
      </c>
      <c r="GF43" t="e">
        <f>AND('STERLING CATALOG - DRY '!F825,"AAAAAHz//7s=")</f>
        <v>#VALUE!</v>
      </c>
      <c r="GG43" t="e">
        <f>AND('STERLING CATALOG - DRY '!G825,"AAAAAHz//7w=")</f>
        <v>#VALUE!</v>
      </c>
      <c r="GH43" t="e">
        <f>AND('STERLING CATALOG - DRY '!H825,"AAAAAHz//70=")</f>
        <v>#VALUE!</v>
      </c>
      <c r="GI43" t="e">
        <f>AND('STERLING CATALOG - DRY '!I825,"AAAAAHz//74=")</f>
        <v>#VALUE!</v>
      </c>
      <c r="GJ43" t="e">
        <f>AND('STERLING CATALOG - DRY '!J825,"AAAAAHz//78=")</f>
        <v>#VALUE!</v>
      </c>
      <c r="GK43">
        <f>IF('STERLING CATALOG - DRY '!826:826,"AAAAAHz//8A=",0)</f>
        <v>0</v>
      </c>
      <c r="GL43" t="e">
        <f>AND('STERLING CATALOG - DRY '!A826,"AAAAAHz//8E=")</f>
        <v>#VALUE!</v>
      </c>
      <c r="GM43" t="e">
        <f>AND('STERLING CATALOG - DRY '!B826,"AAAAAHz//8I=")</f>
        <v>#VALUE!</v>
      </c>
      <c r="GN43" t="e">
        <f>AND('STERLING CATALOG - DRY '!C826,"AAAAAHz//8M=")</f>
        <v>#VALUE!</v>
      </c>
      <c r="GO43" t="e">
        <f>AND('STERLING CATALOG - DRY '!D826,"AAAAAHz//8Q=")</f>
        <v>#VALUE!</v>
      </c>
      <c r="GP43" t="e">
        <f>AND('STERLING CATALOG - DRY '!E826,"AAAAAHz//8U=")</f>
        <v>#VALUE!</v>
      </c>
      <c r="GQ43" t="e">
        <f>AND('STERLING CATALOG - DRY '!F826,"AAAAAHz//8Y=")</f>
        <v>#VALUE!</v>
      </c>
      <c r="GR43" t="e">
        <f>AND('STERLING CATALOG - DRY '!G826,"AAAAAHz//8c=")</f>
        <v>#VALUE!</v>
      </c>
      <c r="GS43" t="e">
        <f>AND('STERLING CATALOG - DRY '!H826,"AAAAAHz//8g=")</f>
        <v>#VALUE!</v>
      </c>
      <c r="GT43" t="e">
        <f>AND('STERLING CATALOG - DRY '!I826,"AAAAAHz//8k=")</f>
        <v>#VALUE!</v>
      </c>
      <c r="GU43" t="e">
        <f>AND('STERLING CATALOG - DRY '!J826,"AAAAAHz//8o=")</f>
        <v>#VALUE!</v>
      </c>
      <c r="GV43">
        <f>IF('STERLING CATALOG - DRY '!827:827,"AAAAAHz//8s=",0)</f>
        <v>0</v>
      </c>
      <c r="GW43" t="e">
        <f>AND('STERLING CATALOG - DRY '!A827,"AAAAAHz//8w=")</f>
        <v>#VALUE!</v>
      </c>
      <c r="GX43" t="e">
        <f>AND('STERLING CATALOG - DRY '!B827,"AAAAAHz//80=")</f>
        <v>#VALUE!</v>
      </c>
      <c r="GY43" t="e">
        <f>AND('STERLING CATALOG - DRY '!C827,"AAAAAHz//84=")</f>
        <v>#VALUE!</v>
      </c>
      <c r="GZ43" t="e">
        <f>AND('STERLING CATALOG - DRY '!D827,"AAAAAHz//88=")</f>
        <v>#VALUE!</v>
      </c>
      <c r="HA43" t="e">
        <f>AND('STERLING CATALOG - DRY '!E827,"AAAAAHz//9A=")</f>
        <v>#VALUE!</v>
      </c>
      <c r="HB43" t="e">
        <f>AND('STERLING CATALOG - DRY '!F827,"AAAAAHz//9E=")</f>
        <v>#VALUE!</v>
      </c>
      <c r="HC43" t="e">
        <f>AND('STERLING CATALOG - DRY '!G827,"AAAAAHz//9I=")</f>
        <v>#VALUE!</v>
      </c>
      <c r="HD43" t="e">
        <f>AND('STERLING CATALOG - DRY '!H827,"AAAAAHz//9M=")</f>
        <v>#VALUE!</v>
      </c>
      <c r="HE43" t="e">
        <f>AND('STERLING CATALOG - DRY '!I827,"AAAAAHz//9Q=")</f>
        <v>#VALUE!</v>
      </c>
      <c r="HF43" t="e">
        <f>AND('STERLING CATALOG - DRY '!J827,"AAAAAHz//9U=")</f>
        <v>#VALUE!</v>
      </c>
      <c r="HG43">
        <f>IF('STERLING CATALOG - DRY '!828:828,"AAAAAHz//9Y=",0)</f>
        <v>0</v>
      </c>
      <c r="HH43" t="e">
        <f>AND('STERLING CATALOG - DRY '!A828,"AAAAAHz//9c=")</f>
        <v>#VALUE!</v>
      </c>
      <c r="HI43" t="e">
        <f>AND('STERLING CATALOG - DRY '!B828,"AAAAAHz//9g=")</f>
        <v>#VALUE!</v>
      </c>
      <c r="HJ43" t="e">
        <f>AND('STERLING CATALOG - DRY '!C828,"AAAAAHz//9k=")</f>
        <v>#VALUE!</v>
      </c>
      <c r="HK43" t="e">
        <f>AND('STERLING CATALOG - DRY '!D828,"AAAAAHz//9o=")</f>
        <v>#VALUE!</v>
      </c>
      <c r="HL43" t="e">
        <f>AND('STERLING CATALOG - DRY '!E828,"AAAAAHz//9s=")</f>
        <v>#VALUE!</v>
      </c>
      <c r="HM43" t="e">
        <f>AND('STERLING CATALOG - DRY '!F828,"AAAAAHz//9w=")</f>
        <v>#VALUE!</v>
      </c>
      <c r="HN43" t="e">
        <f>AND('STERLING CATALOG - DRY '!G828,"AAAAAHz//90=")</f>
        <v>#VALUE!</v>
      </c>
      <c r="HO43" t="e">
        <f>AND('STERLING CATALOG - DRY '!H828,"AAAAAHz//94=")</f>
        <v>#VALUE!</v>
      </c>
      <c r="HP43" t="e">
        <f>AND('STERLING CATALOG - DRY '!I828,"AAAAAHz//98=")</f>
        <v>#VALUE!</v>
      </c>
      <c r="HQ43" t="e">
        <f>AND('STERLING CATALOG - DRY '!J828,"AAAAAHz//+A=")</f>
        <v>#VALUE!</v>
      </c>
      <c r="HR43">
        <f>IF('STERLING CATALOG - DRY '!829:829,"AAAAAHz//+E=",0)</f>
        <v>0</v>
      </c>
      <c r="HS43" t="e">
        <f>AND('STERLING CATALOG - DRY '!A829,"AAAAAHz//+I=")</f>
        <v>#VALUE!</v>
      </c>
      <c r="HT43" t="e">
        <f>AND('STERLING CATALOG - DRY '!B829,"AAAAAHz//+M=")</f>
        <v>#VALUE!</v>
      </c>
      <c r="HU43" t="e">
        <f>AND('STERLING CATALOG - DRY '!C829,"AAAAAHz//+Q=")</f>
        <v>#VALUE!</v>
      </c>
      <c r="HV43" t="e">
        <f>AND('STERLING CATALOG - DRY '!D829,"AAAAAHz//+U=")</f>
        <v>#VALUE!</v>
      </c>
      <c r="HW43" t="e">
        <f>AND('STERLING CATALOG - DRY '!E829,"AAAAAHz//+Y=")</f>
        <v>#VALUE!</v>
      </c>
      <c r="HX43" t="e">
        <f>AND('STERLING CATALOG - DRY '!F829,"AAAAAHz//+c=")</f>
        <v>#VALUE!</v>
      </c>
      <c r="HY43" t="e">
        <f>AND('STERLING CATALOG - DRY '!G829,"AAAAAHz//+g=")</f>
        <v>#VALUE!</v>
      </c>
      <c r="HZ43" t="e">
        <f>AND('STERLING CATALOG - DRY '!H829,"AAAAAHz//+k=")</f>
        <v>#VALUE!</v>
      </c>
      <c r="IA43" t="e">
        <f>AND('STERLING CATALOG - DRY '!I829,"AAAAAHz//+o=")</f>
        <v>#VALUE!</v>
      </c>
      <c r="IB43" t="e">
        <f>AND('STERLING CATALOG - DRY '!J829,"AAAAAHz//+s=")</f>
        <v>#VALUE!</v>
      </c>
      <c r="IC43">
        <f>IF('STERLING CATALOG - DRY '!830:830,"AAAAAHz//+w=",0)</f>
        <v>0</v>
      </c>
      <c r="ID43" t="e">
        <f>AND('STERLING CATALOG - DRY '!A830,"AAAAAHz//+0=")</f>
        <v>#VALUE!</v>
      </c>
      <c r="IE43" t="e">
        <f>AND('STERLING CATALOG - DRY '!B830,"AAAAAHz//+4=")</f>
        <v>#VALUE!</v>
      </c>
      <c r="IF43" t="e">
        <f>AND('STERLING CATALOG - DRY '!C830,"AAAAAHz//+8=")</f>
        <v>#VALUE!</v>
      </c>
      <c r="IG43" t="e">
        <f>AND('STERLING CATALOG - DRY '!D830,"AAAAAHz///A=")</f>
        <v>#VALUE!</v>
      </c>
      <c r="IH43" t="e">
        <f>AND('STERLING CATALOG - DRY '!E830,"AAAAAHz///E=")</f>
        <v>#VALUE!</v>
      </c>
      <c r="II43" t="e">
        <f>AND('STERLING CATALOG - DRY '!F830,"AAAAAHz///I=")</f>
        <v>#VALUE!</v>
      </c>
      <c r="IJ43" t="e">
        <f>AND('STERLING CATALOG - DRY '!G830,"AAAAAHz///M=")</f>
        <v>#VALUE!</v>
      </c>
      <c r="IK43" t="e">
        <f>AND('STERLING CATALOG - DRY '!H830,"AAAAAHz///Q=")</f>
        <v>#VALUE!</v>
      </c>
      <c r="IL43" t="e">
        <f>AND('STERLING CATALOG - DRY '!I830,"AAAAAHz///U=")</f>
        <v>#VALUE!</v>
      </c>
      <c r="IM43" t="e">
        <f>AND('STERLING CATALOG - DRY '!J830,"AAAAAHz///Y=")</f>
        <v>#VALUE!</v>
      </c>
      <c r="IN43">
        <f>IF('STERLING CATALOG - DRY '!831:831,"AAAAAHz///c=",0)</f>
        <v>0</v>
      </c>
      <c r="IO43" t="e">
        <f>AND('STERLING CATALOG - DRY '!A831,"AAAAAHz///g=")</f>
        <v>#VALUE!</v>
      </c>
      <c r="IP43" t="e">
        <f>AND('STERLING CATALOG - DRY '!B831,"AAAAAHz///k=")</f>
        <v>#VALUE!</v>
      </c>
      <c r="IQ43" t="e">
        <f>AND('STERLING CATALOG - DRY '!C831,"AAAAAHz///o=")</f>
        <v>#VALUE!</v>
      </c>
      <c r="IR43" t="e">
        <f>AND('STERLING CATALOG - DRY '!D831,"AAAAAHz///s=")</f>
        <v>#VALUE!</v>
      </c>
      <c r="IS43" t="e">
        <f>AND('STERLING CATALOG - DRY '!E831,"AAAAAHz///w=")</f>
        <v>#VALUE!</v>
      </c>
      <c r="IT43" t="e">
        <f>AND('STERLING CATALOG - DRY '!F831,"AAAAAHz///0=")</f>
        <v>#VALUE!</v>
      </c>
      <c r="IU43" t="e">
        <f>AND('STERLING CATALOG - DRY '!G831,"AAAAAHz///4=")</f>
        <v>#VALUE!</v>
      </c>
      <c r="IV43" t="e">
        <f>AND('STERLING CATALOG - DRY '!H831,"AAAAAHz///8=")</f>
        <v>#VALUE!</v>
      </c>
    </row>
    <row r="44" spans="1:256">
      <c r="A44" t="e">
        <f>AND('STERLING CATALOG - DRY '!I831,"AAAAADdvqwA=")</f>
        <v>#VALUE!</v>
      </c>
      <c r="B44" t="e">
        <f>AND('STERLING CATALOG - DRY '!J831,"AAAAADdvqwE=")</f>
        <v>#VALUE!</v>
      </c>
      <c r="C44" t="str">
        <f>IF('STERLING CATALOG - DRY '!832:832,"AAAAADdvqwI=",0)</f>
        <v>AAAAADdvqwI=</v>
      </c>
      <c r="D44" t="e">
        <f>AND('STERLING CATALOG - DRY '!A832,"AAAAADdvqwM=")</f>
        <v>#VALUE!</v>
      </c>
      <c r="E44" t="e">
        <f>AND('STERLING CATALOG - DRY '!B832,"AAAAADdvqwQ=")</f>
        <v>#VALUE!</v>
      </c>
      <c r="F44" t="e">
        <f>AND('STERLING CATALOG - DRY '!C832,"AAAAADdvqwU=")</f>
        <v>#VALUE!</v>
      </c>
      <c r="G44" t="e">
        <f>AND('STERLING CATALOG - DRY '!D832,"AAAAADdvqwY=")</f>
        <v>#VALUE!</v>
      </c>
      <c r="H44" t="e">
        <f>AND('STERLING CATALOG - DRY '!E832,"AAAAADdvqwc=")</f>
        <v>#VALUE!</v>
      </c>
      <c r="I44" t="e">
        <f>AND('STERLING CATALOG - DRY '!F832,"AAAAADdvqwg=")</f>
        <v>#VALUE!</v>
      </c>
      <c r="J44" t="e">
        <f>AND('STERLING CATALOG - DRY '!G832,"AAAAADdvqwk=")</f>
        <v>#VALUE!</v>
      </c>
      <c r="K44" t="e">
        <f>AND('STERLING CATALOG - DRY '!H832,"AAAAADdvqwo=")</f>
        <v>#VALUE!</v>
      </c>
      <c r="L44" t="e">
        <f>AND('STERLING CATALOG - DRY '!I832,"AAAAADdvqws=")</f>
        <v>#VALUE!</v>
      </c>
      <c r="M44" t="e">
        <f>AND('STERLING CATALOG - DRY '!J832,"AAAAADdvqww=")</f>
        <v>#VALUE!</v>
      </c>
      <c r="N44">
        <f>IF('STERLING CATALOG - DRY '!833:833,"AAAAADdvqw0=",0)</f>
        <v>0</v>
      </c>
      <c r="O44" t="e">
        <f>AND('STERLING CATALOG - DRY '!A833,"AAAAADdvqw4=")</f>
        <v>#VALUE!</v>
      </c>
      <c r="P44" t="e">
        <f>AND('STERLING CATALOG - DRY '!B833,"AAAAADdvqw8=")</f>
        <v>#VALUE!</v>
      </c>
      <c r="Q44" t="e">
        <f>AND('STERLING CATALOG - DRY '!C833,"AAAAADdvqxA=")</f>
        <v>#VALUE!</v>
      </c>
      <c r="R44" t="e">
        <f>AND('STERLING CATALOG - DRY '!D833,"AAAAADdvqxE=")</f>
        <v>#VALUE!</v>
      </c>
      <c r="S44" t="e">
        <f>AND('STERLING CATALOG - DRY '!E833,"AAAAADdvqxI=")</f>
        <v>#VALUE!</v>
      </c>
      <c r="T44" t="e">
        <f>AND('STERLING CATALOG - DRY '!F833,"AAAAADdvqxM=")</f>
        <v>#VALUE!</v>
      </c>
      <c r="U44" t="e">
        <f>AND('STERLING CATALOG - DRY '!G833,"AAAAADdvqxQ=")</f>
        <v>#VALUE!</v>
      </c>
      <c r="V44" t="e">
        <f>AND('STERLING CATALOG - DRY '!H833,"AAAAADdvqxU=")</f>
        <v>#VALUE!</v>
      </c>
      <c r="W44" t="e">
        <f>AND('STERLING CATALOG - DRY '!I833,"AAAAADdvqxY=")</f>
        <v>#VALUE!</v>
      </c>
      <c r="X44" t="e">
        <f>AND('STERLING CATALOG - DRY '!J833,"AAAAADdvqxc=")</f>
        <v>#VALUE!</v>
      </c>
      <c r="Y44">
        <f>IF('STERLING CATALOG - DRY '!834:834,"AAAAADdvqxg=",0)</f>
        <v>0</v>
      </c>
      <c r="Z44" t="e">
        <f>AND('STERLING CATALOG - DRY '!A834,"AAAAADdvqxk=")</f>
        <v>#VALUE!</v>
      </c>
      <c r="AA44" t="e">
        <f>AND('STERLING CATALOG - DRY '!B834,"AAAAADdvqxo=")</f>
        <v>#VALUE!</v>
      </c>
      <c r="AB44" t="e">
        <f>AND('STERLING CATALOG - DRY '!C834,"AAAAADdvqxs=")</f>
        <v>#VALUE!</v>
      </c>
      <c r="AC44" t="e">
        <f>AND('STERLING CATALOG - DRY '!D834,"AAAAADdvqxw=")</f>
        <v>#VALUE!</v>
      </c>
      <c r="AD44" t="e">
        <f>AND('STERLING CATALOG - DRY '!E834,"AAAAADdvqx0=")</f>
        <v>#VALUE!</v>
      </c>
      <c r="AE44" t="e">
        <f>AND('STERLING CATALOG - DRY '!F834,"AAAAADdvqx4=")</f>
        <v>#VALUE!</v>
      </c>
      <c r="AF44" t="e">
        <f>AND('STERLING CATALOG - DRY '!G834,"AAAAADdvqx8=")</f>
        <v>#VALUE!</v>
      </c>
      <c r="AG44" t="e">
        <f>AND('STERLING CATALOG - DRY '!H834,"AAAAADdvqyA=")</f>
        <v>#VALUE!</v>
      </c>
      <c r="AH44" t="e">
        <f>AND('STERLING CATALOG - DRY '!I834,"AAAAADdvqyE=")</f>
        <v>#VALUE!</v>
      </c>
      <c r="AI44" t="e">
        <f>AND('STERLING CATALOG - DRY '!J834,"AAAAADdvqyI=")</f>
        <v>#VALUE!</v>
      </c>
      <c r="AJ44">
        <f>IF('STERLING CATALOG - DRY '!835:835,"AAAAADdvqyM=",0)</f>
        <v>0</v>
      </c>
      <c r="AK44" t="e">
        <f>AND('STERLING CATALOG - DRY '!A835,"AAAAADdvqyQ=")</f>
        <v>#VALUE!</v>
      </c>
      <c r="AL44" t="e">
        <f>AND('STERLING CATALOG - DRY '!B835,"AAAAADdvqyU=")</f>
        <v>#VALUE!</v>
      </c>
      <c r="AM44" t="e">
        <f>AND('STERLING CATALOG - DRY '!C835,"AAAAADdvqyY=")</f>
        <v>#VALUE!</v>
      </c>
      <c r="AN44" t="e">
        <f>AND('STERLING CATALOG - DRY '!D835,"AAAAADdvqyc=")</f>
        <v>#VALUE!</v>
      </c>
      <c r="AO44" t="e">
        <f>AND('STERLING CATALOG - DRY '!E835,"AAAAADdvqyg=")</f>
        <v>#VALUE!</v>
      </c>
      <c r="AP44" t="e">
        <f>AND('STERLING CATALOG - DRY '!F835,"AAAAADdvqyk=")</f>
        <v>#VALUE!</v>
      </c>
      <c r="AQ44" t="e">
        <f>AND('STERLING CATALOG - DRY '!G835,"AAAAADdvqyo=")</f>
        <v>#VALUE!</v>
      </c>
      <c r="AR44" t="e">
        <f>AND('STERLING CATALOG - DRY '!H835,"AAAAADdvqys=")</f>
        <v>#VALUE!</v>
      </c>
      <c r="AS44" t="e">
        <f>AND('STERLING CATALOG - DRY '!I835,"AAAAADdvqyw=")</f>
        <v>#VALUE!</v>
      </c>
      <c r="AT44" t="e">
        <f>AND('STERLING CATALOG - DRY '!J835,"AAAAADdvqy0=")</f>
        <v>#VALUE!</v>
      </c>
      <c r="AU44">
        <f>IF('STERLING CATALOG - DRY '!836:836,"AAAAADdvqy4=",0)</f>
        <v>0</v>
      </c>
      <c r="AV44" t="e">
        <f>AND('STERLING CATALOG - DRY '!A836,"AAAAADdvqy8=")</f>
        <v>#VALUE!</v>
      </c>
      <c r="AW44" t="e">
        <f>AND('STERLING CATALOG - DRY '!B836,"AAAAADdvqzA=")</f>
        <v>#VALUE!</v>
      </c>
      <c r="AX44" t="e">
        <f>AND('STERLING CATALOG - DRY '!C836,"AAAAADdvqzE=")</f>
        <v>#VALUE!</v>
      </c>
      <c r="AY44" t="e">
        <f>AND('STERLING CATALOG - DRY '!D836,"AAAAADdvqzI=")</f>
        <v>#VALUE!</v>
      </c>
      <c r="AZ44" t="e">
        <f>AND('STERLING CATALOG - DRY '!E836,"AAAAADdvqzM=")</f>
        <v>#VALUE!</v>
      </c>
      <c r="BA44" t="e">
        <f>AND('STERLING CATALOG - DRY '!F836,"AAAAADdvqzQ=")</f>
        <v>#VALUE!</v>
      </c>
      <c r="BB44" t="e">
        <f>AND('STERLING CATALOG - DRY '!G836,"AAAAADdvqzU=")</f>
        <v>#VALUE!</v>
      </c>
      <c r="BC44" t="e">
        <f>AND('STERLING CATALOG - DRY '!H836,"AAAAADdvqzY=")</f>
        <v>#VALUE!</v>
      </c>
      <c r="BD44" t="e">
        <f>AND('STERLING CATALOG - DRY '!I836,"AAAAADdvqzc=")</f>
        <v>#VALUE!</v>
      </c>
      <c r="BE44" t="e">
        <f>AND('STERLING CATALOG - DRY '!J836,"AAAAADdvqzg=")</f>
        <v>#VALUE!</v>
      </c>
      <c r="BF44">
        <f>IF('STERLING CATALOG - DRY '!837:837,"AAAAADdvqzk=",0)</f>
        <v>0</v>
      </c>
      <c r="BG44" t="e">
        <f>AND('STERLING CATALOG - DRY '!A837,"AAAAADdvqzo=")</f>
        <v>#VALUE!</v>
      </c>
      <c r="BH44" t="e">
        <f>AND('STERLING CATALOG - DRY '!B837,"AAAAADdvqzs=")</f>
        <v>#VALUE!</v>
      </c>
      <c r="BI44" t="e">
        <f>AND('STERLING CATALOG - DRY '!C837,"AAAAADdvqzw=")</f>
        <v>#VALUE!</v>
      </c>
      <c r="BJ44" t="e">
        <f>AND('STERLING CATALOG - DRY '!D837,"AAAAADdvqz0=")</f>
        <v>#VALUE!</v>
      </c>
      <c r="BK44" t="e">
        <f>AND('STERLING CATALOG - DRY '!E837,"AAAAADdvqz4=")</f>
        <v>#VALUE!</v>
      </c>
      <c r="BL44" t="e">
        <f>AND('STERLING CATALOG - DRY '!F837,"AAAAADdvqz8=")</f>
        <v>#VALUE!</v>
      </c>
      <c r="BM44" t="e">
        <f>AND('STERLING CATALOG - DRY '!G837,"AAAAADdvq0A=")</f>
        <v>#VALUE!</v>
      </c>
      <c r="BN44" t="e">
        <f>AND('STERLING CATALOG - DRY '!H837,"AAAAADdvq0E=")</f>
        <v>#VALUE!</v>
      </c>
      <c r="BO44" t="e">
        <f>AND('STERLING CATALOG - DRY '!I837,"AAAAADdvq0I=")</f>
        <v>#VALUE!</v>
      </c>
      <c r="BP44" t="e">
        <f>AND('STERLING CATALOG - DRY '!J837,"AAAAADdvq0M=")</f>
        <v>#VALUE!</v>
      </c>
      <c r="BQ44">
        <f>IF('STERLING CATALOG - DRY '!838:838,"AAAAADdvq0Q=",0)</f>
        <v>0</v>
      </c>
      <c r="BR44" t="e">
        <f>AND('STERLING CATALOG - DRY '!A838,"AAAAADdvq0U=")</f>
        <v>#VALUE!</v>
      </c>
      <c r="BS44" t="e">
        <f>AND('STERLING CATALOG - DRY '!B838,"AAAAADdvq0Y=")</f>
        <v>#VALUE!</v>
      </c>
      <c r="BT44" t="e">
        <f>AND('STERLING CATALOG - DRY '!C838,"AAAAADdvq0c=")</f>
        <v>#VALUE!</v>
      </c>
      <c r="BU44" t="e">
        <f>AND('STERLING CATALOG - DRY '!D838,"AAAAADdvq0g=")</f>
        <v>#VALUE!</v>
      </c>
      <c r="BV44" t="e">
        <f>AND('STERLING CATALOG - DRY '!E838,"AAAAADdvq0k=")</f>
        <v>#VALUE!</v>
      </c>
      <c r="BW44" t="e">
        <f>AND('STERLING CATALOG - DRY '!F838,"AAAAADdvq0o=")</f>
        <v>#VALUE!</v>
      </c>
      <c r="BX44" t="e">
        <f>AND('STERLING CATALOG - DRY '!G838,"AAAAADdvq0s=")</f>
        <v>#VALUE!</v>
      </c>
      <c r="BY44" t="e">
        <f>AND('STERLING CATALOG - DRY '!H838,"AAAAADdvq0w=")</f>
        <v>#VALUE!</v>
      </c>
      <c r="BZ44" t="e">
        <f>AND('STERLING CATALOG - DRY '!I838,"AAAAADdvq00=")</f>
        <v>#VALUE!</v>
      </c>
      <c r="CA44" t="e">
        <f>AND('STERLING CATALOG - DRY '!J838,"AAAAADdvq04=")</f>
        <v>#VALUE!</v>
      </c>
      <c r="CB44">
        <f>IF('STERLING CATALOG - DRY '!839:839,"AAAAADdvq08=",0)</f>
        <v>0</v>
      </c>
      <c r="CC44" t="e">
        <f>AND('STERLING CATALOG - DRY '!A839,"AAAAADdvq1A=")</f>
        <v>#VALUE!</v>
      </c>
      <c r="CD44" t="e">
        <f>AND('STERLING CATALOG - DRY '!B839,"AAAAADdvq1E=")</f>
        <v>#VALUE!</v>
      </c>
      <c r="CE44" t="e">
        <f>AND('STERLING CATALOG - DRY '!C839,"AAAAADdvq1I=")</f>
        <v>#VALUE!</v>
      </c>
      <c r="CF44" t="e">
        <f>AND('STERLING CATALOG - DRY '!D839,"AAAAADdvq1M=")</f>
        <v>#VALUE!</v>
      </c>
      <c r="CG44" t="e">
        <f>AND('STERLING CATALOG - DRY '!E839,"AAAAADdvq1Q=")</f>
        <v>#VALUE!</v>
      </c>
      <c r="CH44" t="e">
        <f>AND('STERLING CATALOG - DRY '!F839,"AAAAADdvq1U=")</f>
        <v>#VALUE!</v>
      </c>
      <c r="CI44" t="e">
        <f>AND('STERLING CATALOG - DRY '!G839,"AAAAADdvq1Y=")</f>
        <v>#VALUE!</v>
      </c>
      <c r="CJ44" t="e">
        <f>AND('STERLING CATALOG - DRY '!H839,"AAAAADdvq1c=")</f>
        <v>#VALUE!</v>
      </c>
      <c r="CK44" t="e">
        <f>AND('STERLING CATALOG - DRY '!I839,"AAAAADdvq1g=")</f>
        <v>#VALUE!</v>
      </c>
      <c r="CL44" t="e">
        <f>AND('STERLING CATALOG - DRY '!J839,"AAAAADdvq1k=")</f>
        <v>#VALUE!</v>
      </c>
      <c r="CM44">
        <f>IF('STERLING CATALOG - DRY '!840:840,"AAAAADdvq1o=",0)</f>
        <v>0</v>
      </c>
      <c r="CN44" t="e">
        <f>AND('STERLING CATALOG - DRY '!A840,"AAAAADdvq1s=")</f>
        <v>#VALUE!</v>
      </c>
      <c r="CO44" t="e">
        <f>AND('STERLING CATALOG - DRY '!B840,"AAAAADdvq1w=")</f>
        <v>#VALUE!</v>
      </c>
      <c r="CP44" t="e">
        <f>AND('STERLING CATALOG - DRY '!C840,"AAAAADdvq10=")</f>
        <v>#VALUE!</v>
      </c>
      <c r="CQ44" t="e">
        <f>AND('STERLING CATALOG - DRY '!D840,"AAAAADdvq14=")</f>
        <v>#VALUE!</v>
      </c>
      <c r="CR44" t="e">
        <f>AND('STERLING CATALOG - DRY '!E840,"AAAAADdvq18=")</f>
        <v>#VALUE!</v>
      </c>
      <c r="CS44" t="e">
        <f>AND('STERLING CATALOG - DRY '!F840,"AAAAADdvq2A=")</f>
        <v>#VALUE!</v>
      </c>
      <c r="CT44" t="e">
        <f>AND('STERLING CATALOG - DRY '!G840,"AAAAADdvq2E=")</f>
        <v>#VALUE!</v>
      </c>
      <c r="CU44" t="e">
        <f>AND('STERLING CATALOG - DRY '!H840,"AAAAADdvq2I=")</f>
        <v>#VALUE!</v>
      </c>
      <c r="CV44" t="e">
        <f>AND('STERLING CATALOG - DRY '!I840,"AAAAADdvq2M=")</f>
        <v>#VALUE!</v>
      </c>
      <c r="CW44" t="e">
        <f>AND('STERLING CATALOG - DRY '!J840,"AAAAADdvq2Q=")</f>
        <v>#VALUE!</v>
      </c>
      <c r="CX44">
        <f>IF('STERLING CATALOG - DRY '!841:841,"AAAAADdvq2U=",0)</f>
        <v>0</v>
      </c>
      <c r="CY44" t="e">
        <f>AND('STERLING CATALOG - DRY '!A841,"AAAAADdvq2Y=")</f>
        <v>#VALUE!</v>
      </c>
      <c r="CZ44" t="e">
        <f>AND('STERLING CATALOG - DRY '!B841,"AAAAADdvq2c=")</f>
        <v>#VALUE!</v>
      </c>
      <c r="DA44" t="e">
        <f>AND('STERLING CATALOG - DRY '!C841,"AAAAADdvq2g=")</f>
        <v>#VALUE!</v>
      </c>
      <c r="DB44" t="e">
        <f>AND('STERLING CATALOG - DRY '!D841,"AAAAADdvq2k=")</f>
        <v>#VALUE!</v>
      </c>
      <c r="DC44" t="e">
        <f>AND('STERLING CATALOG - DRY '!E841,"AAAAADdvq2o=")</f>
        <v>#VALUE!</v>
      </c>
      <c r="DD44" t="e">
        <f>AND('STERLING CATALOG - DRY '!F841,"AAAAADdvq2s=")</f>
        <v>#VALUE!</v>
      </c>
      <c r="DE44" t="e">
        <f>AND('STERLING CATALOG - DRY '!G841,"AAAAADdvq2w=")</f>
        <v>#VALUE!</v>
      </c>
      <c r="DF44" t="e">
        <f>AND('STERLING CATALOG - DRY '!H841,"AAAAADdvq20=")</f>
        <v>#VALUE!</v>
      </c>
      <c r="DG44" t="e">
        <f>AND('STERLING CATALOG - DRY '!I841,"AAAAADdvq24=")</f>
        <v>#VALUE!</v>
      </c>
      <c r="DH44" t="e">
        <f>AND('STERLING CATALOG - DRY '!J841,"AAAAADdvq28=")</f>
        <v>#VALUE!</v>
      </c>
      <c r="DI44">
        <f>IF('STERLING CATALOG - DRY '!842:842,"AAAAADdvq3A=",0)</f>
        <v>0</v>
      </c>
      <c r="DJ44" t="e">
        <f>AND('STERLING CATALOG - DRY '!A842,"AAAAADdvq3E=")</f>
        <v>#VALUE!</v>
      </c>
      <c r="DK44" t="e">
        <f>AND('STERLING CATALOG - DRY '!B842,"AAAAADdvq3I=")</f>
        <v>#VALUE!</v>
      </c>
      <c r="DL44" t="e">
        <f>AND('STERLING CATALOG - DRY '!C842,"AAAAADdvq3M=")</f>
        <v>#VALUE!</v>
      </c>
      <c r="DM44" t="e">
        <f>AND('STERLING CATALOG - DRY '!D842,"AAAAADdvq3Q=")</f>
        <v>#VALUE!</v>
      </c>
      <c r="DN44" t="e">
        <f>AND('STERLING CATALOG - DRY '!E842,"AAAAADdvq3U=")</f>
        <v>#VALUE!</v>
      </c>
      <c r="DO44" t="e">
        <f>AND('STERLING CATALOG - DRY '!F842,"AAAAADdvq3Y=")</f>
        <v>#VALUE!</v>
      </c>
      <c r="DP44" t="e">
        <f>AND('STERLING CATALOG - DRY '!G842,"AAAAADdvq3c=")</f>
        <v>#VALUE!</v>
      </c>
      <c r="DQ44" t="e">
        <f>AND('STERLING CATALOG - DRY '!H842,"AAAAADdvq3g=")</f>
        <v>#VALUE!</v>
      </c>
      <c r="DR44" t="e">
        <f>AND('STERLING CATALOG - DRY '!I842,"AAAAADdvq3k=")</f>
        <v>#VALUE!</v>
      </c>
      <c r="DS44" t="e">
        <f>AND('STERLING CATALOG - DRY '!J842,"AAAAADdvq3o=")</f>
        <v>#VALUE!</v>
      </c>
      <c r="DT44">
        <f>IF('STERLING CATALOG - DRY '!843:843,"AAAAADdvq3s=",0)</f>
        <v>0</v>
      </c>
      <c r="DU44" t="e">
        <f>AND('STERLING CATALOG - DRY '!A843,"AAAAADdvq3w=")</f>
        <v>#VALUE!</v>
      </c>
      <c r="DV44" t="e">
        <f>AND('STERLING CATALOG - DRY '!B843,"AAAAADdvq30=")</f>
        <v>#VALUE!</v>
      </c>
      <c r="DW44" t="e">
        <f>AND('STERLING CATALOG - DRY '!C843,"AAAAADdvq34=")</f>
        <v>#VALUE!</v>
      </c>
      <c r="DX44" t="e">
        <f>AND('STERLING CATALOG - DRY '!D843,"AAAAADdvq38=")</f>
        <v>#VALUE!</v>
      </c>
      <c r="DY44" t="e">
        <f>AND('STERLING CATALOG - DRY '!E843,"AAAAADdvq4A=")</f>
        <v>#VALUE!</v>
      </c>
      <c r="DZ44" t="e">
        <f>AND('STERLING CATALOG - DRY '!F843,"AAAAADdvq4E=")</f>
        <v>#VALUE!</v>
      </c>
      <c r="EA44" t="e">
        <f>AND('STERLING CATALOG - DRY '!G843,"AAAAADdvq4I=")</f>
        <v>#VALUE!</v>
      </c>
      <c r="EB44" t="e">
        <f>AND('STERLING CATALOG - DRY '!H843,"AAAAADdvq4M=")</f>
        <v>#VALUE!</v>
      </c>
      <c r="EC44" t="e">
        <f>AND('STERLING CATALOG - DRY '!I843,"AAAAADdvq4Q=")</f>
        <v>#VALUE!</v>
      </c>
      <c r="ED44" t="e">
        <f>AND('STERLING CATALOG - DRY '!J843,"AAAAADdvq4U=")</f>
        <v>#VALUE!</v>
      </c>
      <c r="EE44">
        <f>IF('STERLING CATALOG - DRY '!844:844,"AAAAADdvq4Y=",0)</f>
        <v>0</v>
      </c>
      <c r="EF44" t="e">
        <f>AND('STERLING CATALOG - DRY '!A844,"AAAAADdvq4c=")</f>
        <v>#VALUE!</v>
      </c>
      <c r="EG44" t="e">
        <f>AND('STERLING CATALOG - DRY '!B844,"AAAAADdvq4g=")</f>
        <v>#VALUE!</v>
      </c>
      <c r="EH44" t="e">
        <f>AND('STERLING CATALOG - DRY '!C844,"AAAAADdvq4k=")</f>
        <v>#VALUE!</v>
      </c>
      <c r="EI44" t="e">
        <f>AND('STERLING CATALOG - DRY '!D844,"AAAAADdvq4o=")</f>
        <v>#VALUE!</v>
      </c>
      <c r="EJ44" t="e">
        <f>AND('STERLING CATALOG - DRY '!E844,"AAAAADdvq4s=")</f>
        <v>#VALUE!</v>
      </c>
      <c r="EK44" t="e">
        <f>AND('STERLING CATALOG - DRY '!F844,"AAAAADdvq4w=")</f>
        <v>#VALUE!</v>
      </c>
      <c r="EL44" t="e">
        <f>AND('STERLING CATALOG - DRY '!G844,"AAAAADdvq40=")</f>
        <v>#VALUE!</v>
      </c>
      <c r="EM44" t="e">
        <f>AND('STERLING CATALOG - DRY '!H844,"AAAAADdvq44=")</f>
        <v>#VALUE!</v>
      </c>
      <c r="EN44" t="e">
        <f>AND('STERLING CATALOG - DRY '!I844,"AAAAADdvq48=")</f>
        <v>#VALUE!</v>
      </c>
      <c r="EO44" t="e">
        <f>AND('STERLING CATALOG - DRY '!J844,"AAAAADdvq5A=")</f>
        <v>#VALUE!</v>
      </c>
      <c r="EP44">
        <f>IF('STERLING CATALOG - DRY '!845:845,"AAAAADdvq5E=",0)</f>
        <v>0</v>
      </c>
      <c r="EQ44" t="e">
        <f>AND('STERLING CATALOG - DRY '!A845,"AAAAADdvq5I=")</f>
        <v>#VALUE!</v>
      </c>
      <c r="ER44" t="e">
        <f>AND('STERLING CATALOG - DRY '!B845,"AAAAADdvq5M=")</f>
        <v>#VALUE!</v>
      </c>
      <c r="ES44" t="e">
        <f>AND('STERLING CATALOG - DRY '!C845,"AAAAADdvq5Q=")</f>
        <v>#VALUE!</v>
      </c>
      <c r="ET44" t="e">
        <f>AND('STERLING CATALOG - DRY '!D845,"AAAAADdvq5U=")</f>
        <v>#VALUE!</v>
      </c>
      <c r="EU44" t="e">
        <f>AND('STERLING CATALOG - DRY '!E845,"AAAAADdvq5Y=")</f>
        <v>#VALUE!</v>
      </c>
      <c r="EV44" t="e">
        <f>AND('STERLING CATALOG - DRY '!F845,"AAAAADdvq5c=")</f>
        <v>#VALUE!</v>
      </c>
      <c r="EW44" t="e">
        <f>AND('STERLING CATALOG - DRY '!G845,"AAAAADdvq5g=")</f>
        <v>#VALUE!</v>
      </c>
      <c r="EX44" t="e">
        <f>AND('STERLING CATALOG - DRY '!H845,"AAAAADdvq5k=")</f>
        <v>#VALUE!</v>
      </c>
      <c r="EY44" t="e">
        <f>AND('STERLING CATALOG - DRY '!I845,"AAAAADdvq5o=")</f>
        <v>#VALUE!</v>
      </c>
      <c r="EZ44" t="e">
        <f>AND('STERLING CATALOG - DRY '!J845,"AAAAADdvq5s=")</f>
        <v>#VALUE!</v>
      </c>
      <c r="FA44">
        <f>IF('STERLING CATALOG - DRY '!846:846,"AAAAADdvq5w=",0)</f>
        <v>0</v>
      </c>
      <c r="FB44" t="e">
        <f>AND('STERLING CATALOG - DRY '!A846,"AAAAADdvq50=")</f>
        <v>#VALUE!</v>
      </c>
      <c r="FC44" t="e">
        <f>AND('STERLING CATALOG - DRY '!B846,"AAAAADdvq54=")</f>
        <v>#VALUE!</v>
      </c>
      <c r="FD44" t="e">
        <f>AND('STERLING CATALOG - DRY '!C846,"AAAAADdvq58=")</f>
        <v>#VALUE!</v>
      </c>
      <c r="FE44" t="e">
        <f>AND('STERLING CATALOG - DRY '!D846,"AAAAADdvq6A=")</f>
        <v>#VALUE!</v>
      </c>
      <c r="FF44" t="e">
        <f>AND('STERLING CATALOG - DRY '!E846,"AAAAADdvq6E=")</f>
        <v>#VALUE!</v>
      </c>
      <c r="FG44" t="e">
        <f>AND('STERLING CATALOG - DRY '!F846,"AAAAADdvq6I=")</f>
        <v>#VALUE!</v>
      </c>
      <c r="FH44" t="e">
        <f>AND('STERLING CATALOG - DRY '!G846,"AAAAADdvq6M=")</f>
        <v>#VALUE!</v>
      </c>
      <c r="FI44" t="e">
        <f>AND('STERLING CATALOG - DRY '!H846,"AAAAADdvq6Q=")</f>
        <v>#VALUE!</v>
      </c>
      <c r="FJ44" t="e">
        <f>AND('STERLING CATALOG - DRY '!I846,"AAAAADdvq6U=")</f>
        <v>#VALUE!</v>
      </c>
      <c r="FK44" t="e">
        <f>AND('STERLING CATALOG - DRY '!J846,"AAAAADdvq6Y=")</f>
        <v>#VALUE!</v>
      </c>
      <c r="FL44">
        <f>IF('STERLING CATALOG - DRY '!847:847,"AAAAADdvq6c=",0)</f>
        <v>0</v>
      </c>
      <c r="FM44" t="e">
        <f>AND('STERLING CATALOG - DRY '!A847,"AAAAADdvq6g=")</f>
        <v>#VALUE!</v>
      </c>
      <c r="FN44" t="e">
        <f>AND('STERLING CATALOG - DRY '!B847,"AAAAADdvq6k=")</f>
        <v>#VALUE!</v>
      </c>
      <c r="FO44" t="e">
        <f>AND('STERLING CATALOG - DRY '!C847,"AAAAADdvq6o=")</f>
        <v>#VALUE!</v>
      </c>
      <c r="FP44" t="e">
        <f>AND('STERLING CATALOG - DRY '!D847,"AAAAADdvq6s=")</f>
        <v>#VALUE!</v>
      </c>
      <c r="FQ44" t="e">
        <f>AND('STERLING CATALOG - DRY '!E847,"AAAAADdvq6w=")</f>
        <v>#VALUE!</v>
      </c>
      <c r="FR44" t="e">
        <f>AND('STERLING CATALOG - DRY '!F847,"AAAAADdvq60=")</f>
        <v>#VALUE!</v>
      </c>
      <c r="FS44" t="e">
        <f>AND('STERLING CATALOG - DRY '!G847,"AAAAADdvq64=")</f>
        <v>#VALUE!</v>
      </c>
      <c r="FT44" t="e">
        <f>AND('STERLING CATALOG - DRY '!H847,"AAAAADdvq68=")</f>
        <v>#VALUE!</v>
      </c>
      <c r="FU44" t="e">
        <f>AND('STERLING CATALOG - DRY '!I847,"AAAAADdvq7A=")</f>
        <v>#VALUE!</v>
      </c>
      <c r="FV44" t="e">
        <f>AND('STERLING CATALOG - DRY '!J847,"AAAAADdvq7E=")</f>
        <v>#VALUE!</v>
      </c>
      <c r="FW44">
        <f>IF('STERLING CATALOG - DRY '!848:848,"AAAAADdvq7I=",0)</f>
        <v>0</v>
      </c>
      <c r="FX44" t="e">
        <f>AND('STERLING CATALOG - DRY '!A848,"AAAAADdvq7M=")</f>
        <v>#VALUE!</v>
      </c>
      <c r="FY44" t="e">
        <f>AND('STERLING CATALOG - DRY '!B848,"AAAAADdvq7Q=")</f>
        <v>#VALUE!</v>
      </c>
      <c r="FZ44" t="e">
        <f>AND('STERLING CATALOG - DRY '!C848,"AAAAADdvq7U=")</f>
        <v>#VALUE!</v>
      </c>
      <c r="GA44" t="e">
        <f>AND('STERLING CATALOG - DRY '!D848,"AAAAADdvq7Y=")</f>
        <v>#VALUE!</v>
      </c>
      <c r="GB44" t="e">
        <f>AND('STERLING CATALOG - DRY '!E848,"AAAAADdvq7c=")</f>
        <v>#VALUE!</v>
      </c>
      <c r="GC44" t="e">
        <f>AND('STERLING CATALOG - DRY '!F848,"AAAAADdvq7g=")</f>
        <v>#VALUE!</v>
      </c>
      <c r="GD44" t="e">
        <f>AND('STERLING CATALOG - DRY '!G848,"AAAAADdvq7k=")</f>
        <v>#VALUE!</v>
      </c>
      <c r="GE44" t="e">
        <f>AND('STERLING CATALOG - DRY '!H848,"AAAAADdvq7o=")</f>
        <v>#VALUE!</v>
      </c>
      <c r="GF44" t="e">
        <f>AND('STERLING CATALOG - DRY '!I848,"AAAAADdvq7s=")</f>
        <v>#VALUE!</v>
      </c>
      <c r="GG44" t="e">
        <f>AND('STERLING CATALOG - DRY '!J848,"AAAAADdvq7w=")</f>
        <v>#VALUE!</v>
      </c>
      <c r="GH44">
        <f>IF('STERLING CATALOG - DRY '!849:849,"AAAAADdvq70=",0)</f>
        <v>0</v>
      </c>
      <c r="GI44" t="e">
        <f>AND('STERLING CATALOG - DRY '!A849,"AAAAADdvq74=")</f>
        <v>#VALUE!</v>
      </c>
      <c r="GJ44" t="e">
        <f>AND('STERLING CATALOG - DRY '!B849,"AAAAADdvq78=")</f>
        <v>#VALUE!</v>
      </c>
      <c r="GK44" t="e">
        <f>AND('STERLING CATALOG - DRY '!C849,"AAAAADdvq8A=")</f>
        <v>#VALUE!</v>
      </c>
      <c r="GL44" t="e">
        <f>AND('STERLING CATALOG - DRY '!D849,"AAAAADdvq8E=")</f>
        <v>#VALUE!</v>
      </c>
      <c r="GM44" t="e">
        <f>AND('STERLING CATALOG - DRY '!E849,"AAAAADdvq8I=")</f>
        <v>#VALUE!</v>
      </c>
      <c r="GN44" t="e">
        <f>AND('STERLING CATALOG - DRY '!F849,"AAAAADdvq8M=")</f>
        <v>#VALUE!</v>
      </c>
      <c r="GO44" t="e">
        <f>AND('STERLING CATALOG - DRY '!G849,"AAAAADdvq8Q=")</f>
        <v>#VALUE!</v>
      </c>
      <c r="GP44" t="e">
        <f>AND('STERLING CATALOG - DRY '!H849,"AAAAADdvq8U=")</f>
        <v>#VALUE!</v>
      </c>
      <c r="GQ44" t="e">
        <f>AND('STERLING CATALOG - DRY '!I849,"AAAAADdvq8Y=")</f>
        <v>#VALUE!</v>
      </c>
      <c r="GR44" t="e">
        <f>AND('STERLING CATALOG - DRY '!J849,"AAAAADdvq8c=")</f>
        <v>#VALUE!</v>
      </c>
      <c r="GS44">
        <f>IF('STERLING CATALOG - DRY '!850:850,"AAAAADdvq8g=",0)</f>
        <v>0</v>
      </c>
      <c r="GT44" t="e">
        <f>AND('STERLING CATALOG - DRY '!A850,"AAAAADdvq8k=")</f>
        <v>#VALUE!</v>
      </c>
      <c r="GU44" t="e">
        <f>AND('STERLING CATALOG - DRY '!B850,"AAAAADdvq8o=")</f>
        <v>#VALUE!</v>
      </c>
      <c r="GV44" t="e">
        <f>AND('STERLING CATALOG - DRY '!C850,"AAAAADdvq8s=")</f>
        <v>#VALUE!</v>
      </c>
      <c r="GW44" t="e">
        <f>AND('STERLING CATALOG - DRY '!D850,"AAAAADdvq8w=")</f>
        <v>#VALUE!</v>
      </c>
      <c r="GX44" t="e">
        <f>AND('STERLING CATALOG - DRY '!E850,"AAAAADdvq80=")</f>
        <v>#VALUE!</v>
      </c>
      <c r="GY44" t="e">
        <f>AND('STERLING CATALOG - DRY '!F850,"AAAAADdvq84=")</f>
        <v>#VALUE!</v>
      </c>
      <c r="GZ44" t="e">
        <f>AND('STERLING CATALOG - DRY '!G850,"AAAAADdvq88=")</f>
        <v>#VALUE!</v>
      </c>
      <c r="HA44" t="e">
        <f>AND('STERLING CATALOG - DRY '!H850,"AAAAADdvq9A=")</f>
        <v>#VALUE!</v>
      </c>
      <c r="HB44" t="e">
        <f>AND('STERLING CATALOG - DRY '!I850,"AAAAADdvq9E=")</f>
        <v>#VALUE!</v>
      </c>
      <c r="HC44" t="e">
        <f>AND('STERLING CATALOG - DRY '!J850,"AAAAADdvq9I=")</f>
        <v>#VALUE!</v>
      </c>
      <c r="HD44">
        <f>IF('STERLING CATALOG - DRY '!851:851,"AAAAADdvq9M=",0)</f>
        <v>0</v>
      </c>
      <c r="HE44" t="e">
        <f>AND('STERLING CATALOG - DRY '!A851,"AAAAADdvq9Q=")</f>
        <v>#VALUE!</v>
      </c>
      <c r="HF44" t="e">
        <f>AND('STERLING CATALOG - DRY '!B851,"AAAAADdvq9U=")</f>
        <v>#VALUE!</v>
      </c>
      <c r="HG44" t="e">
        <f>AND('STERLING CATALOG - DRY '!C851,"AAAAADdvq9Y=")</f>
        <v>#VALUE!</v>
      </c>
      <c r="HH44" t="e">
        <f>AND('STERLING CATALOG - DRY '!D851,"AAAAADdvq9c=")</f>
        <v>#VALUE!</v>
      </c>
      <c r="HI44" t="e">
        <f>AND('STERLING CATALOG - DRY '!E851,"AAAAADdvq9g=")</f>
        <v>#VALUE!</v>
      </c>
      <c r="HJ44" t="e">
        <f>AND('STERLING CATALOG - DRY '!F851,"AAAAADdvq9k=")</f>
        <v>#VALUE!</v>
      </c>
      <c r="HK44" t="e">
        <f>AND('STERLING CATALOG - DRY '!G851,"AAAAADdvq9o=")</f>
        <v>#VALUE!</v>
      </c>
      <c r="HL44" t="e">
        <f>AND('STERLING CATALOG - DRY '!H851,"AAAAADdvq9s=")</f>
        <v>#VALUE!</v>
      </c>
      <c r="HM44" t="e">
        <f>AND('STERLING CATALOG - DRY '!I851,"AAAAADdvq9w=")</f>
        <v>#VALUE!</v>
      </c>
      <c r="HN44" t="e">
        <f>AND('STERLING CATALOG - DRY '!J851,"AAAAADdvq90=")</f>
        <v>#VALUE!</v>
      </c>
      <c r="HO44">
        <f>IF('STERLING CATALOG - DRY '!852:852,"AAAAADdvq94=",0)</f>
        <v>0</v>
      </c>
      <c r="HP44" t="e">
        <f>AND('STERLING CATALOG - DRY '!A852,"AAAAADdvq98=")</f>
        <v>#VALUE!</v>
      </c>
      <c r="HQ44" t="e">
        <f>AND('STERLING CATALOG - DRY '!B852,"AAAAADdvq+A=")</f>
        <v>#VALUE!</v>
      </c>
      <c r="HR44" t="e">
        <f>AND('STERLING CATALOG - DRY '!C852,"AAAAADdvq+E=")</f>
        <v>#VALUE!</v>
      </c>
      <c r="HS44" t="e">
        <f>AND('STERLING CATALOG - DRY '!D852,"AAAAADdvq+I=")</f>
        <v>#VALUE!</v>
      </c>
      <c r="HT44" t="e">
        <f>AND('STERLING CATALOG - DRY '!E852,"AAAAADdvq+M=")</f>
        <v>#VALUE!</v>
      </c>
      <c r="HU44" t="e">
        <f>AND('STERLING CATALOG - DRY '!F852,"AAAAADdvq+Q=")</f>
        <v>#VALUE!</v>
      </c>
      <c r="HV44" t="e">
        <f>AND('STERLING CATALOG - DRY '!G852,"AAAAADdvq+U=")</f>
        <v>#VALUE!</v>
      </c>
      <c r="HW44" t="e">
        <f>AND('STERLING CATALOG - DRY '!H852,"AAAAADdvq+Y=")</f>
        <v>#VALUE!</v>
      </c>
      <c r="HX44" t="e">
        <f>AND('STERLING CATALOG - DRY '!I852,"AAAAADdvq+c=")</f>
        <v>#VALUE!</v>
      </c>
      <c r="HY44" t="e">
        <f>AND('STERLING CATALOG - DRY '!J852,"AAAAADdvq+g=")</f>
        <v>#VALUE!</v>
      </c>
      <c r="HZ44">
        <f>IF('STERLING CATALOG - DRY '!853:853,"AAAAADdvq+k=",0)</f>
        <v>0</v>
      </c>
      <c r="IA44" t="e">
        <f>AND('STERLING CATALOG - DRY '!A853,"AAAAADdvq+o=")</f>
        <v>#VALUE!</v>
      </c>
      <c r="IB44" t="e">
        <f>AND('STERLING CATALOG - DRY '!B853,"AAAAADdvq+s=")</f>
        <v>#VALUE!</v>
      </c>
      <c r="IC44" t="e">
        <f>AND('STERLING CATALOG - DRY '!C853,"AAAAADdvq+w=")</f>
        <v>#VALUE!</v>
      </c>
      <c r="ID44" t="e">
        <f>AND('STERLING CATALOG - DRY '!D853,"AAAAADdvq+0=")</f>
        <v>#VALUE!</v>
      </c>
      <c r="IE44" t="e">
        <f>AND('STERLING CATALOG - DRY '!E853,"AAAAADdvq+4=")</f>
        <v>#VALUE!</v>
      </c>
      <c r="IF44" t="e">
        <f>AND('STERLING CATALOG - DRY '!F853,"AAAAADdvq+8=")</f>
        <v>#VALUE!</v>
      </c>
      <c r="IG44" t="e">
        <f>AND('STERLING CATALOG - DRY '!G853,"AAAAADdvq/A=")</f>
        <v>#VALUE!</v>
      </c>
      <c r="IH44" t="e">
        <f>AND('STERLING CATALOG - DRY '!H853,"AAAAADdvq/E=")</f>
        <v>#VALUE!</v>
      </c>
      <c r="II44" t="e">
        <f>AND('STERLING CATALOG - DRY '!I853,"AAAAADdvq/I=")</f>
        <v>#VALUE!</v>
      </c>
      <c r="IJ44" t="e">
        <f>AND('STERLING CATALOG - DRY '!J853,"AAAAADdvq/M=")</f>
        <v>#VALUE!</v>
      </c>
      <c r="IK44">
        <f>IF('STERLING CATALOG - DRY '!854:854,"AAAAADdvq/Q=",0)</f>
        <v>0</v>
      </c>
      <c r="IL44" t="e">
        <f>AND('STERLING CATALOG - DRY '!A854,"AAAAADdvq/U=")</f>
        <v>#VALUE!</v>
      </c>
      <c r="IM44" t="e">
        <f>AND('STERLING CATALOG - DRY '!B854,"AAAAADdvq/Y=")</f>
        <v>#VALUE!</v>
      </c>
      <c r="IN44" t="e">
        <f>AND('STERLING CATALOG - DRY '!C854,"AAAAADdvq/c=")</f>
        <v>#VALUE!</v>
      </c>
      <c r="IO44" t="e">
        <f>AND('STERLING CATALOG - DRY '!D854,"AAAAADdvq/g=")</f>
        <v>#VALUE!</v>
      </c>
      <c r="IP44" t="e">
        <f>AND('STERLING CATALOG - DRY '!E854,"AAAAADdvq/k=")</f>
        <v>#VALUE!</v>
      </c>
      <c r="IQ44" t="e">
        <f>AND('STERLING CATALOG - DRY '!F854,"AAAAADdvq/o=")</f>
        <v>#VALUE!</v>
      </c>
      <c r="IR44" t="e">
        <f>AND('STERLING CATALOG - DRY '!G854,"AAAAADdvq/s=")</f>
        <v>#VALUE!</v>
      </c>
      <c r="IS44" t="e">
        <f>AND('STERLING CATALOG - DRY '!H854,"AAAAADdvq/w=")</f>
        <v>#VALUE!</v>
      </c>
      <c r="IT44" t="e">
        <f>AND('STERLING CATALOG - DRY '!I854,"AAAAADdvq/0=")</f>
        <v>#VALUE!</v>
      </c>
      <c r="IU44" t="e">
        <f>AND('STERLING CATALOG - DRY '!J854,"AAAAADdvq/4=")</f>
        <v>#VALUE!</v>
      </c>
      <c r="IV44">
        <f>IF('STERLING CATALOG - DRY '!855:855,"AAAAADdvq/8=",0)</f>
        <v>0</v>
      </c>
    </row>
    <row r="45" spans="1:256">
      <c r="A45" t="e">
        <f>AND('STERLING CATALOG - DRY '!A855,"AAAAAF/2HgA=")</f>
        <v>#VALUE!</v>
      </c>
      <c r="B45" t="e">
        <f>AND('STERLING CATALOG - DRY '!B855,"AAAAAF/2HgE=")</f>
        <v>#VALUE!</v>
      </c>
      <c r="C45" t="e">
        <f>AND('STERLING CATALOG - DRY '!C855,"AAAAAF/2HgI=")</f>
        <v>#VALUE!</v>
      </c>
      <c r="D45" t="e">
        <f>AND('STERLING CATALOG - DRY '!D855,"AAAAAF/2HgM=")</f>
        <v>#VALUE!</v>
      </c>
      <c r="E45" t="e">
        <f>AND('STERLING CATALOG - DRY '!E855,"AAAAAF/2HgQ=")</f>
        <v>#VALUE!</v>
      </c>
      <c r="F45" t="e">
        <f>AND('STERLING CATALOG - DRY '!F855,"AAAAAF/2HgU=")</f>
        <v>#VALUE!</v>
      </c>
      <c r="G45" t="e">
        <f>AND('STERLING CATALOG - DRY '!G855,"AAAAAF/2HgY=")</f>
        <v>#VALUE!</v>
      </c>
      <c r="H45" t="e">
        <f>AND('STERLING CATALOG - DRY '!H855,"AAAAAF/2Hgc=")</f>
        <v>#VALUE!</v>
      </c>
      <c r="I45" t="e">
        <f>AND('STERLING CATALOG - DRY '!I855,"AAAAAF/2Hgg=")</f>
        <v>#VALUE!</v>
      </c>
      <c r="J45" t="e">
        <f>AND('STERLING CATALOG - DRY '!J855,"AAAAAF/2Hgk=")</f>
        <v>#VALUE!</v>
      </c>
      <c r="K45">
        <f>IF('STERLING CATALOG - DRY '!856:856,"AAAAAF/2Hgo=",0)</f>
        <v>0</v>
      </c>
      <c r="L45" t="e">
        <f>AND('STERLING CATALOG - DRY '!A856,"AAAAAF/2Hgs=")</f>
        <v>#VALUE!</v>
      </c>
      <c r="M45" t="e">
        <f>AND('STERLING CATALOG - DRY '!B856,"AAAAAF/2Hgw=")</f>
        <v>#VALUE!</v>
      </c>
      <c r="N45" t="e">
        <f>AND('STERLING CATALOG - DRY '!C856,"AAAAAF/2Hg0=")</f>
        <v>#VALUE!</v>
      </c>
      <c r="O45" t="e">
        <f>AND('STERLING CATALOG - DRY '!D856,"AAAAAF/2Hg4=")</f>
        <v>#VALUE!</v>
      </c>
      <c r="P45" t="e">
        <f>AND('STERLING CATALOG - DRY '!E856,"AAAAAF/2Hg8=")</f>
        <v>#VALUE!</v>
      </c>
      <c r="Q45" t="e">
        <f>AND('STERLING CATALOG - DRY '!F856,"AAAAAF/2HhA=")</f>
        <v>#VALUE!</v>
      </c>
      <c r="R45" t="e">
        <f>AND('STERLING CATALOG - DRY '!G856,"AAAAAF/2HhE=")</f>
        <v>#VALUE!</v>
      </c>
      <c r="S45" t="e">
        <f>AND('STERLING CATALOG - DRY '!H856,"AAAAAF/2HhI=")</f>
        <v>#VALUE!</v>
      </c>
      <c r="T45" t="e">
        <f>AND('STERLING CATALOG - DRY '!I856,"AAAAAF/2HhM=")</f>
        <v>#VALUE!</v>
      </c>
      <c r="U45" t="e">
        <f>AND('STERLING CATALOG - DRY '!J856,"AAAAAF/2HhQ=")</f>
        <v>#VALUE!</v>
      </c>
      <c r="V45">
        <f>IF('STERLING CATALOG - DRY '!857:857,"AAAAAF/2HhU=",0)</f>
        <v>0</v>
      </c>
      <c r="W45" t="e">
        <f>AND('STERLING CATALOG - DRY '!A857,"AAAAAF/2HhY=")</f>
        <v>#VALUE!</v>
      </c>
      <c r="X45" t="e">
        <f>AND('STERLING CATALOG - DRY '!B857,"AAAAAF/2Hhc=")</f>
        <v>#VALUE!</v>
      </c>
      <c r="Y45" t="e">
        <f>AND('STERLING CATALOG - DRY '!C857,"AAAAAF/2Hhg=")</f>
        <v>#VALUE!</v>
      </c>
      <c r="Z45" t="e">
        <f>AND('STERLING CATALOG - DRY '!D857,"AAAAAF/2Hhk=")</f>
        <v>#VALUE!</v>
      </c>
      <c r="AA45" t="e">
        <f>AND('STERLING CATALOG - DRY '!E857,"AAAAAF/2Hho=")</f>
        <v>#VALUE!</v>
      </c>
      <c r="AB45" t="e">
        <f>AND('STERLING CATALOG - DRY '!F857,"AAAAAF/2Hhs=")</f>
        <v>#VALUE!</v>
      </c>
      <c r="AC45" t="e">
        <f>AND('STERLING CATALOG - DRY '!G857,"AAAAAF/2Hhw=")</f>
        <v>#VALUE!</v>
      </c>
      <c r="AD45" t="e">
        <f>AND('STERLING CATALOG - DRY '!H857,"AAAAAF/2Hh0=")</f>
        <v>#VALUE!</v>
      </c>
      <c r="AE45" t="e">
        <f>AND('STERLING CATALOG - DRY '!I857,"AAAAAF/2Hh4=")</f>
        <v>#VALUE!</v>
      </c>
      <c r="AF45" t="e">
        <f>AND('STERLING CATALOG - DRY '!J857,"AAAAAF/2Hh8=")</f>
        <v>#VALUE!</v>
      </c>
      <c r="AG45">
        <f>IF('STERLING CATALOG - DRY '!858:858,"AAAAAF/2HiA=",0)</f>
        <v>0</v>
      </c>
      <c r="AH45" t="e">
        <f>AND('STERLING CATALOG - DRY '!A858,"AAAAAF/2HiE=")</f>
        <v>#VALUE!</v>
      </c>
      <c r="AI45" t="e">
        <f>AND('STERLING CATALOG - DRY '!B858,"AAAAAF/2HiI=")</f>
        <v>#VALUE!</v>
      </c>
      <c r="AJ45" t="e">
        <f>AND('STERLING CATALOG - DRY '!C858,"AAAAAF/2HiM=")</f>
        <v>#VALUE!</v>
      </c>
      <c r="AK45" t="e">
        <f>AND('STERLING CATALOG - DRY '!D858,"AAAAAF/2HiQ=")</f>
        <v>#VALUE!</v>
      </c>
      <c r="AL45" t="e">
        <f>AND('STERLING CATALOG - DRY '!E858,"AAAAAF/2HiU=")</f>
        <v>#VALUE!</v>
      </c>
      <c r="AM45" t="e">
        <f>AND('STERLING CATALOG - DRY '!F858,"AAAAAF/2HiY=")</f>
        <v>#VALUE!</v>
      </c>
      <c r="AN45" t="e">
        <f>AND('STERLING CATALOG - DRY '!G858,"AAAAAF/2Hic=")</f>
        <v>#VALUE!</v>
      </c>
      <c r="AO45" t="e">
        <f>AND('STERLING CATALOG - DRY '!H858,"AAAAAF/2Hig=")</f>
        <v>#VALUE!</v>
      </c>
      <c r="AP45" t="e">
        <f>AND('STERLING CATALOG - DRY '!I858,"AAAAAF/2Hik=")</f>
        <v>#VALUE!</v>
      </c>
      <c r="AQ45" t="e">
        <f>AND('STERLING CATALOG - DRY '!J858,"AAAAAF/2Hio=")</f>
        <v>#VALUE!</v>
      </c>
      <c r="AR45">
        <f>IF('STERLING CATALOG - DRY '!859:859,"AAAAAF/2His=",0)</f>
        <v>0</v>
      </c>
      <c r="AS45" t="e">
        <f>AND('STERLING CATALOG - DRY '!A859,"AAAAAF/2Hiw=")</f>
        <v>#VALUE!</v>
      </c>
      <c r="AT45" t="e">
        <f>AND('STERLING CATALOG - DRY '!B859,"AAAAAF/2Hi0=")</f>
        <v>#VALUE!</v>
      </c>
      <c r="AU45" t="e">
        <f>AND('STERLING CATALOG - DRY '!C859,"AAAAAF/2Hi4=")</f>
        <v>#VALUE!</v>
      </c>
      <c r="AV45" t="e">
        <f>AND('STERLING CATALOG - DRY '!D859,"AAAAAF/2Hi8=")</f>
        <v>#VALUE!</v>
      </c>
      <c r="AW45" t="e">
        <f>AND('STERLING CATALOG - DRY '!E859,"AAAAAF/2HjA=")</f>
        <v>#VALUE!</v>
      </c>
      <c r="AX45" t="e">
        <f>AND('STERLING CATALOG - DRY '!F859,"AAAAAF/2HjE=")</f>
        <v>#VALUE!</v>
      </c>
      <c r="AY45" t="e">
        <f>AND('STERLING CATALOG - DRY '!G859,"AAAAAF/2HjI=")</f>
        <v>#VALUE!</v>
      </c>
      <c r="AZ45" t="e">
        <f>AND('STERLING CATALOG - DRY '!H859,"AAAAAF/2HjM=")</f>
        <v>#VALUE!</v>
      </c>
      <c r="BA45" t="e">
        <f>AND('STERLING CATALOG - DRY '!I859,"AAAAAF/2HjQ=")</f>
        <v>#VALUE!</v>
      </c>
      <c r="BB45" t="e">
        <f>AND('STERLING CATALOG - DRY '!J859,"AAAAAF/2HjU=")</f>
        <v>#VALUE!</v>
      </c>
      <c r="BC45">
        <f>IF('STERLING CATALOG - DRY '!860:860,"AAAAAF/2HjY=",0)</f>
        <v>0</v>
      </c>
      <c r="BD45" t="e">
        <f>AND('STERLING CATALOG - DRY '!A860,"AAAAAF/2Hjc=")</f>
        <v>#VALUE!</v>
      </c>
      <c r="BE45" t="e">
        <f>AND('STERLING CATALOG - DRY '!B860,"AAAAAF/2Hjg=")</f>
        <v>#VALUE!</v>
      </c>
      <c r="BF45" t="e">
        <f>AND('STERLING CATALOG - DRY '!C860,"AAAAAF/2Hjk=")</f>
        <v>#VALUE!</v>
      </c>
      <c r="BG45" t="e">
        <f>AND('STERLING CATALOG - DRY '!D860,"AAAAAF/2Hjo=")</f>
        <v>#VALUE!</v>
      </c>
      <c r="BH45" t="e">
        <f>AND('STERLING CATALOG - DRY '!E860,"AAAAAF/2Hjs=")</f>
        <v>#VALUE!</v>
      </c>
      <c r="BI45" t="e">
        <f>AND('STERLING CATALOG - DRY '!F860,"AAAAAF/2Hjw=")</f>
        <v>#VALUE!</v>
      </c>
      <c r="BJ45" t="e">
        <f>AND('STERLING CATALOG - DRY '!G860,"AAAAAF/2Hj0=")</f>
        <v>#VALUE!</v>
      </c>
      <c r="BK45" t="e">
        <f>AND('STERLING CATALOG - DRY '!H860,"AAAAAF/2Hj4=")</f>
        <v>#VALUE!</v>
      </c>
      <c r="BL45" t="e">
        <f>AND('STERLING CATALOG - DRY '!I860,"AAAAAF/2Hj8=")</f>
        <v>#VALUE!</v>
      </c>
      <c r="BM45" t="e">
        <f>AND('STERLING CATALOG - DRY '!J860,"AAAAAF/2HkA=")</f>
        <v>#VALUE!</v>
      </c>
      <c r="BN45">
        <f>IF('STERLING CATALOG - DRY '!861:861,"AAAAAF/2HkE=",0)</f>
        <v>0</v>
      </c>
      <c r="BO45" t="e">
        <f>AND('STERLING CATALOG - DRY '!A861,"AAAAAF/2HkI=")</f>
        <v>#VALUE!</v>
      </c>
      <c r="BP45" t="e">
        <f>AND('STERLING CATALOG - DRY '!B861,"AAAAAF/2HkM=")</f>
        <v>#VALUE!</v>
      </c>
      <c r="BQ45" t="e">
        <f>AND('STERLING CATALOG - DRY '!C861,"AAAAAF/2HkQ=")</f>
        <v>#VALUE!</v>
      </c>
      <c r="BR45" t="e">
        <f>AND('STERLING CATALOG - DRY '!D861,"AAAAAF/2HkU=")</f>
        <v>#VALUE!</v>
      </c>
      <c r="BS45" t="e">
        <f>AND('STERLING CATALOG - DRY '!E861,"AAAAAF/2HkY=")</f>
        <v>#VALUE!</v>
      </c>
      <c r="BT45" t="e">
        <f>AND('STERLING CATALOG - DRY '!F861,"AAAAAF/2Hkc=")</f>
        <v>#VALUE!</v>
      </c>
      <c r="BU45" t="e">
        <f>AND('STERLING CATALOG - DRY '!G861,"AAAAAF/2Hkg=")</f>
        <v>#VALUE!</v>
      </c>
      <c r="BV45" t="e">
        <f>AND('STERLING CATALOG - DRY '!H861,"AAAAAF/2Hkk=")</f>
        <v>#VALUE!</v>
      </c>
      <c r="BW45" t="e">
        <f>AND('STERLING CATALOG - DRY '!I861,"AAAAAF/2Hko=")</f>
        <v>#VALUE!</v>
      </c>
      <c r="BX45" t="e">
        <f>AND('STERLING CATALOG - DRY '!J861,"AAAAAF/2Hks=")</f>
        <v>#VALUE!</v>
      </c>
      <c r="BY45">
        <f>IF('STERLING CATALOG - DRY '!862:862,"AAAAAF/2Hkw=",0)</f>
        <v>0</v>
      </c>
      <c r="BZ45" t="e">
        <f>AND('STERLING CATALOG - DRY '!A862,"AAAAAF/2Hk0=")</f>
        <v>#VALUE!</v>
      </c>
      <c r="CA45" t="e">
        <f>AND('STERLING CATALOG - DRY '!B862,"AAAAAF/2Hk4=")</f>
        <v>#VALUE!</v>
      </c>
      <c r="CB45" t="e">
        <f>AND('STERLING CATALOG - DRY '!C862,"AAAAAF/2Hk8=")</f>
        <v>#VALUE!</v>
      </c>
      <c r="CC45" t="e">
        <f>AND('STERLING CATALOG - DRY '!D862,"AAAAAF/2HlA=")</f>
        <v>#VALUE!</v>
      </c>
      <c r="CD45" t="e">
        <f>AND('STERLING CATALOG - DRY '!E862,"AAAAAF/2HlE=")</f>
        <v>#VALUE!</v>
      </c>
      <c r="CE45" t="e">
        <f>AND('STERLING CATALOG - DRY '!F862,"AAAAAF/2HlI=")</f>
        <v>#VALUE!</v>
      </c>
      <c r="CF45" t="e">
        <f>AND('STERLING CATALOG - DRY '!G862,"AAAAAF/2HlM=")</f>
        <v>#VALUE!</v>
      </c>
      <c r="CG45" t="e">
        <f>AND('STERLING CATALOG - DRY '!H862,"AAAAAF/2HlQ=")</f>
        <v>#VALUE!</v>
      </c>
      <c r="CH45" t="e">
        <f>AND('STERLING CATALOG - DRY '!I862,"AAAAAF/2HlU=")</f>
        <v>#VALUE!</v>
      </c>
      <c r="CI45" t="e">
        <f>AND('STERLING CATALOG - DRY '!J862,"AAAAAF/2HlY=")</f>
        <v>#VALUE!</v>
      </c>
      <c r="CJ45">
        <f>IF('STERLING CATALOG - DRY '!863:863,"AAAAAF/2Hlc=",0)</f>
        <v>0</v>
      </c>
      <c r="CK45" t="e">
        <f>AND('STERLING CATALOG - DRY '!A863,"AAAAAF/2Hlg=")</f>
        <v>#VALUE!</v>
      </c>
      <c r="CL45" t="e">
        <f>AND('STERLING CATALOG - DRY '!B863,"AAAAAF/2Hlk=")</f>
        <v>#VALUE!</v>
      </c>
      <c r="CM45" t="e">
        <f>AND('STERLING CATALOG - DRY '!C863,"AAAAAF/2Hlo=")</f>
        <v>#VALUE!</v>
      </c>
      <c r="CN45" t="e">
        <f>AND('STERLING CATALOG - DRY '!D863,"AAAAAF/2Hls=")</f>
        <v>#VALUE!</v>
      </c>
      <c r="CO45" t="e">
        <f>AND('STERLING CATALOG - DRY '!E863,"AAAAAF/2Hlw=")</f>
        <v>#VALUE!</v>
      </c>
      <c r="CP45" t="e">
        <f>AND('STERLING CATALOG - DRY '!F863,"AAAAAF/2Hl0=")</f>
        <v>#VALUE!</v>
      </c>
      <c r="CQ45" t="e">
        <f>AND('STERLING CATALOG - DRY '!G863,"AAAAAF/2Hl4=")</f>
        <v>#VALUE!</v>
      </c>
      <c r="CR45" t="e">
        <f>AND('STERLING CATALOG - DRY '!H863,"AAAAAF/2Hl8=")</f>
        <v>#VALUE!</v>
      </c>
      <c r="CS45" t="e">
        <f>AND('STERLING CATALOG - DRY '!I863,"AAAAAF/2HmA=")</f>
        <v>#VALUE!</v>
      </c>
      <c r="CT45" t="e">
        <f>AND('STERLING CATALOG - DRY '!J863,"AAAAAF/2HmE=")</f>
        <v>#VALUE!</v>
      </c>
      <c r="CU45">
        <f>IF('STERLING CATALOG - DRY '!864:864,"AAAAAF/2HmI=",0)</f>
        <v>0</v>
      </c>
      <c r="CV45" t="e">
        <f>AND('STERLING CATALOG - DRY '!A864,"AAAAAF/2HmM=")</f>
        <v>#VALUE!</v>
      </c>
      <c r="CW45" t="e">
        <f>AND('STERLING CATALOG - DRY '!B864,"AAAAAF/2HmQ=")</f>
        <v>#VALUE!</v>
      </c>
      <c r="CX45" t="e">
        <f>AND('STERLING CATALOG - DRY '!C864,"AAAAAF/2HmU=")</f>
        <v>#VALUE!</v>
      </c>
      <c r="CY45" t="e">
        <f>AND('STERLING CATALOG - DRY '!D864,"AAAAAF/2HmY=")</f>
        <v>#VALUE!</v>
      </c>
      <c r="CZ45" t="e">
        <f>AND('STERLING CATALOG - DRY '!E864,"AAAAAF/2Hmc=")</f>
        <v>#VALUE!</v>
      </c>
      <c r="DA45" t="e">
        <f>AND('STERLING CATALOG - DRY '!F864,"AAAAAF/2Hmg=")</f>
        <v>#VALUE!</v>
      </c>
      <c r="DB45" t="e">
        <f>AND('STERLING CATALOG - DRY '!G864,"AAAAAF/2Hmk=")</f>
        <v>#VALUE!</v>
      </c>
      <c r="DC45" t="e">
        <f>AND('STERLING CATALOG - DRY '!H864,"AAAAAF/2Hmo=")</f>
        <v>#VALUE!</v>
      </c>
      <c r="DD45" t="e">
        <f>AND('STERLING CATALOG - DRY '!I864,"AAAAAF/2Hms=")</f>
        <v>#VALUE!</v>
      </c>
      <c r="DE45" t="e">
        <f>AND('STERLING CATALOG - DRY '!J864,"AAAAAF/2Hmw=")</f>
        <v>#VALUE!</v>
      </c>
      <c r="DF45">
        <f>IF('STERLING CATALOG - DRY '!865:865,"AAAAAF/2Hm0=",0)</f>
        <v>0</v>
      </c>
      <c r="DG45" t="e">
        <f>AND('STERLING CATALOG - DRY '!A865,"AAAAAF/2Hm4=")</f>
        <v>#VALUE!</v>
      </c>
      <c r="DH45" t="e">
        <f>AND('STERLING CATALOG - DRY '!B865,"AAAAAF/2Hm8=")</f>
        <v>#VALUE!</v>
      </c>
      <c r="DI45" t="e">
        <f>AND('STERLING CATALOG - DRY '!C865,"AAAAAF/2HnA=")</f>
        <v>#VALUE!</v>
      </c>
      <c r="DJ45" t="e">
        <f>AND('STERLING CATALOG - DRY '!D865,"AAAAAF/2HnE=")</f>
        <v>#VALUE!</v>
      </c>
      <c r="DK45" t="e">
        <f>AND('STERLING CATALOG - DRY '!E865,"AAAAAF/2HnI=")</f>
        <v>#VALUE!</v>
      </c>
      <c r="DL45" t="e">
        <f>AND('STERLING CATALOG - DRY '!F865,"AAAAAF/2HnM=")</f>
        <v>#VALUE!</v>
      </c>
      <c r="DM45" t="e">
        <f>AND('STERLING CATALOG - DRY '!G865,"AAAAAF/2HnQ=")</f>
        <v>#VALUE!</v>
      </c>
      <c r="DN45" t="e">
        <f>AND('STERLING CATALOG - DRY '!H865,"AAAAAF/2HnU=")</f>
        <v>#VALUE!</v>
      </c>
      <c r="DO45" t="e">
        <f>AND('STERLING CATALOG - DRY '!I865,"AAAAAF/2HnY=")</f>
        <v>#VALUE!</v>
      </c>
      <c r="DP45" t="e">
        <f>AND('STERLING CATALOG - DRY '!J865,"AAAAAF/2Hnc=")</f>
        <v>#VALUE!</v>
      </c>
      <c r="DQ45">
        <f>IF('STERLING CATALOG - DRY '!866:866,"AAAAAF/2Hng=",0)</f>
        <v>0</v>
      </c>
      <c r="DR45" t="e">
        <f>AND('STERLING CATALOG - DRY '!A866,"AAAAAF/2Hnk=")</f>
        <v>#VALUE!</v>
      </c>
      <c r="DS45" t="e">
        <f>AND('STERLING CATALOG - DRY '!B866,"AAAAAF/2Hno=")</f>
        <v>#VALUE!</v>
      </c>
      <c r="DT45" t="e">
        <f>AND('STERLING CATALOG - DRY '!C866,"AAAAAF/2Hns=")</f>
        <v>#VALUE!</v>
      </c>
      <c r="DU45" t="e">
        <f>AND('STERLING CATALOG - DRY '!D866,"AAAAAF/2Hnw=")</f>
        <v>#VALUE!</v>
      </c>
      <c r="DV45" t="e">
        <f>AND('STERLING CATALOG - DRY '!E866,"AAAAAF/2Hn0=")</f>
        <v>#VALUE!</v>
      </c>
      <c r="DW45" t="e">
        <f>AND('STERLING CATALOG - DRY '!F866,"AAAAAF/2Hn4=")</f>
        <v>#VALUE!</v>
      </c>
      <c r="DX45" t="e">
        <f>AND('STERLING CATALOG - DRY '!G866,"AAAAAF/2Hn8=")</f>
        <v>#VALUE!</v>
      </c>
      <c r="DY45" t="e">
        <f>AND('STERLING CATALOG - DRY '!H866,"AAAAAF/2HoA=")</f>
        <v>#VALUE!</v>
      </c>
      <c r="DZ45" t="e">
        <f>AND('STERLING CATALOG - DRY '!I866,"AAAAAF/2HoE=")</f>
        <v>#VALUE!</v>
      </c>
      <c r="EA45" t="e">
        <f>AND('STERLING CATALOG - DRY '!J866,"AAAAAF/2HoI=")</f>
        <v>#VALUE!</v>
      </c>
      <c r="EB45">
        <f>IF('STERLING CATALOG - DRY '!867:867,"AAAAAF/2HoM=",0)</f>
        <v>0</v>
      </c>
      <c r="EC45" t="e">
        <f>AND('STERLING CATALOG - DRY '!A867,"AAAAAF/2HoQ=")</f>
        <v>#VALUE!</v>
      </c>
      <c r="ED45" t="e">
        <f>AND('STERLING CATALOG - DRY '!B867,"AAAAAF/2HoU=")</f>
        <v>#VALUE!</v>
      </c>
      <c r="EE45" t="e">
        <f>AND('STERLING CATALOG - DRY '!C867,"AAAAAF/2HoY=")</f>
        <v>#VALUE!</v>
      </c>
      <c r="EF45" t="e">
        <f>AND('STERLING CATALOG - DRY '!D867,"AAAAAF/2Hoc=")</f>
        <v>#VALUE!</v>
      </c>
      <c r="EG45" t="e">
        <f>AND('STERLING CATALOG - DRY '!E867,"AAAAAF/2Hog=")</f>
        <v>#VALUE!</v>
      </c>
      <c r="EH45" t="e">
        <f>AND('STERLING CATALOG - DRY '!F867,"AAAAAF/2Hok=")</f>
        <v>#VALUE!</v>
      </c>
      <c r="EI45" t="e">
        <f>AND('STERLING CATALOG - DRY '!G867,"AAAAAF/2Hoo=")</f>
        <v>#VALUE!</v>
      </c>
      <c r="EJ45" t="e">
        <f>AND('STERLING CATALOG - DRY '!H867,"AAAAAF/2Hos=")</f>
        <v>#VALUE!</v>
      </c>
      <c r="EK45" t="e">
        <f>AND('STERLING CATALOG - DRY '!I867,"AAAAAF/2How=")</f>
        <v>#VALUE!</v>
      </c>
      <c r="EL45" t="e">
        <f>AND('STERLING CATALOG - DRY '!J867,"AAAAAF/2Ho0=")</f>
        <v>#VALUE!</v>
      </c>
      <c r="EM45">
        <f>IF('STERLING CATALOG - DRY '!868:868,"AAAAAF/2Ho4=",0)</f>
        <v>0</v>
      </c>
      <c r="EN45" t="e">
        <f>AND('STERLING CATALOG - DRY '!A868,"AAAAAF/2Ho8=")</f>
        <v>#VALUE!</v>
      </c>
      <c r="EO45" t="e">
        <f>AND('STERLING CATALOG - DRY '!B868,"AAAAAF/2HpA=")</f>
        <v>#VALUE!</v>
      </c>
      <c r="EP45" t="e">
        <f>AND('STERLING CATALOG - DRY '!C868,"AAAAAF/2HpE=")</f>
        <v>#VALUE!</v>
      </c>
      <c r="EQ45" t="e">
        <f>AND('STERLING CATALOG - DRY '!D868,"AAAAAF/2HpI=")</f>
        <v>#VALUE!</v>
      </c>
      <c r="ER45" t="e">
        <f>AND('STERLING CATALOG - DRY '!E868,"AAAAAF/2HpM=")</f>
        <v>#VALUE!</v>
      </c>
      <c r="ES45" t="e">
        <f>AND('STERLING CATALOG - DRY '!F868,"AAAAAF/2HpQ=")</f>
        <v>#VALUE!</v>
      </c>
      <c r="ET45" t="e">
        <f>AND('STERLING CATALOG - DRY '!G868,"AAAAAF/2HpU=")</f>
        <v>#VALUE!</v>
      </c>
      <c r="EU45" t="e">
        <f>AND('STERLING CATALOG - DRY '!H868,"AAAAAF/2HpY=")</f>
        <v>#VALUE!</v>
      </c>
      <c r="EV45" t="e">
        <f>AND('STERLING CATALOG - DRY '!I868,"AAAAAF/2Hpc=")</f>
        <v>#VALUE!</v>
      </c>
      <c r="EW45" t="e">
        <f>AND('STERLING CATALOG - DRY '!J868,"AAAAAF/2Hpg=")</f>
        <v>#VALUE!</v>
      </c>
      <c r="EX45">
        <f>IF('STERLING CATALOG - DRY '!869:869,"AAAAAF/2Hpk=",0)</f>
        <v>0</v>
      </c>
      <c r="EY45" t="e">
        <f>AND('STERLING CATALOG - DRY '!A869,"AAAAAF/2Hpo=")</f>
        <v>#VALUE!</v>
      </c>
      <c r="EZ45" t="e">
        <f>AND('STERLING CATALOG - DRY '!B869,"AAAAAF/2Hps=")</f>
        <v>#VALUE!</v>
      </c>
      <c r="FA45" t="e">
        <f>AND('STERLING CATALOG - DRY '!C869,"AAAAAF/2Hpw=")</f>
        <v>#VALUE!</v>
      </c>
      <c r="FB45" t="e">
        <f>AND('STERLING CATALOG - DRY '!D869,"AAAAAF/2Hp0=")</f>
        <v>#VALUE!</v>
      </c>
      <c r="FC45" t="e">
        <f>AND('STERLING CATALOG - DRY '!E869,"AAAAAF/2Hp4=")</f>
        <v>#VALUE!</v>
      </c>
      <c r="FD45" t="e">
        <f>AND('STERLING CATALOG - DRY '!F869,"AAAAAF/2Hp8=")</f>
        <v>#VALUE!</v>
      </c>
      <c r="FE45" t="e">
        <f>AND('STERLING CATALOG - DRY '!G869,"AAAAAF/2HqA=")</f>
        <v>#VALUE!</v>
      </c>
      <c r="FF45" t="e">
        <f>AND('STERLING CATALOG - DRY '!H869,"AAAAAF/2HqE=")</f>
        <v>#VALUE!</v>
      </c>
      <c r="FG45" t="e">
        <f>AND('STERLING CATALOG - DRY '!I869,"AAAAAF/2HqI=")</f>
        <v>#VALUE!</v>
      </c>
      <c r="FH45" t="e">
        <f>AND('STERLING CATALOG - DRY '!J869,"AAAAAF/2HqM=")</f>
        <v>#VALUE!</v>
      </c>
      <c r="FI45">
        <f>IF('STERLING CATALOG - DRY '!870:870,"AAAAAF/2HqQ=",0)</f>
        <v>0</v>
      </c>
      <c r="FJ45" t="e">
        <f>AND('STERLING CATALOG - DRY '!A870,"AAAAAF/2HqU=")</f>
        <v>#VALUE!</v>
      </c>
      <c r="FK45" t="e">
        <f>AND('STERLING CATALOG - DRY '!B870,"AAAAAF/2HqY=")</f>
        <v>#VALUE!</v>
      </c>
      <c r="FL45" t="e">
        <f>AND('STERLING CATALOG - DRY '!C870,"AAAAAF/2Hqc=")</f>
        <v>#VALUE!</v>
      </c>
      <c r="FM45" t="e">
        <f>AND('STERLING CATALOG - DRY '!D870,"AAAAAF/2Hqg=")</f>
        <v>#VALUE!</v>
      </c>
      <c r="FN45" t="e">
        <f>AND('STERLING CATALOG - DRY '!E870,"AAAAAF/2Hqk=")</f>
        <v>#VALUE!</v>
      </c>
      <c r="FO45" t="e">
        <f>AND('STERLING CATALOG - DRY '!F870,"AAAAAF/2Hqo=")</f>
        <v>#VALUE!</v>
      </c>
      <c r="FP45" t="e">
        <f>AND('STERLING CATALOG - DRY '!G870,"AAAAAF/2Hqs=")</f>
        <v>#VALUE!</v>
      </c>
      <c r="FQ45" t="e">
        <f>AND('STERLING CATALOG - DRY '!H870,"AAAAAF/2Hqw=")</f>
        <v>#VALUE!</v>
      </c>
      <c r="FR45" t="e">
        <f>AND('STERLING CATALOG - DRY '!I870,"AAAAAF/2Hq0=")</f>
        <v>#VALUE!</v>
      </c>
      <c r="FS45" t="e">
        <f>AND('STERLING CATALOG - DRY '!J870,"AAAAAF/2Hq4=")</f>
        <v>#VALUE!</v>
      </c>
      <c r="FT45">
        <f>IF('STERLING CATALOG - DRY '!871:871,"AAAAAF/2Hq8=",0)</f>
        <v>0</v>
      </c>
      <c r="FU45" t="e">
        <f>AND('STERLING CATALOG - DRY '!A871,"AAAAAF/2HrA=")</f>
        <v>#VALUE!</v>
      </c>
      <c r="FV45" t="e">
        <f>AND('STERLING CATALOG - DRY '!B871,"AAAAAF/2HrE=")</f>
        <v>#VALUE!</v>
      </c>
      <c r="FW45" t="e">
        <f>AND('STERLING CATALOG - DRY '!C871,"AAAAAF/2HrI=")</f>
        <v>#VALUE!</v>
      </c>
      <c r="FX45" t="e">
        <f>AND('STERLING CATALOG - DRY '!D871,"AAAAAF/2HrM=")</f>
        <v>#VALUE!</v>
      </c>
      <c r="FY45" t="e">
        <f>AND('STERLING CATALOG - DRY '!E871,"AAAAAF/2HrQ=")</f>
        <v>#VALUE!</v>
      </c>
      <c r="FZ45" t="e">
        <f>AND('STERLING CATALOG - DRY '!F871,"AAAAAF/2HrU=")</f>
        <v>#VALUE!</v>
      </c>
      <c r="GA45" t="e">
        <f>AND('STERLING CATALOG - DRY '!G871,"AAAAAF/2HrY=")</f>
        <v>#VALUE!</v>
      </c>
      <c r="GB45" t="e">
        <f>AND('STERLING CATALOG - DRY '!H871,"AAAAAF/2Hrc=")</f>
        <v>#VALUE!</v>
      </c>
      <c r="GC45" t="e">
        <f>AND('STERLING CATALOG - DRY '!I871,"AAAAAF/2Hrg=")</f>
        <v>#VALUE!</v>
      </c>
      <c r="GD45" t="e">
        <f>AND('STERLING CATALOG - DRY '!J871,"AAAAAF/2Hrk=")</f>
        <v>#VALUE!</v>
      </c>
      <c r="GE45">
        <f>IF('STERLING CATALOG - DRY '!872:872,"AAAAAF/2Hro=",0)</f>
        <v>0</v>
      </c>
      <c r="GF45" t="e">
        <f>AND('STERLING CATALOG - DRY '!A872,"AAAAAF/2Hrs=")</f>
        <v>#VALUE!</v>
      </c>
      <c r="GG45" t="e">
        <f>AND('STERLING CATALOG - DRY '!B872,"AAAAAF/2Hrw=")</f>
        <v>#VALUE!</v>
      </c>
      <c r="GH45" t="e">
        <f>AND('STERLING CATALOG - DRY '!C872,"AAAAAF/2Hr0=")</f>
        <v>#VALUE!</v>
      </c>
      <c r="GI45" t="e">
        <f>AND('STERLING CATALOG - DRY '!D872,"AAAAAF/2Hr4=")</f>
        <v>#VALUE!</v>
      </c>
      <c r="GJ45" t="e">
        <f>AND('STERLING CATALOG - DRY '!E872,"AAAAAF/2Hr8=")</f>
        <v>#VALUE!</v>
      </c>
      <c r="GK45" t="e">
        <f>AND('STERLING CATALOG - DRY '!F872,"AAAAAF/2HsA=")</f>
        <v>#VALUE!</v>
      </c>
      <c r="GL45" t="e">
        <f>AND('STERLING CATALOG - DRY '!G872,"AAAAAF/2HsE=")</f>
        <v>#VALUE!</v>
      </c>
      <c r="GM45" t="e">
        <f>AND('STERLING CATALOG - DRY '!H872,"AAAAAF/2HsI=")</f>
        <v>#VALUE!</v>
      </c>
      <c r="GN45" t="e">
        <f>AND('STERLING CATALOG - DRY '!I872,"AAAAAF/2HsM=")</f>
        <v>#VALUE!</v>
      </c>
      <c r="GO45" t="e">
        <f>AND('STERLING CATALOG - DRY '!J872,"AAAAAF/2HsQ=")</f>
        <v>#VALUE!</v>
      </c>
      <c r="GP45">
        <f>IF('STERLING CATALOG - DRY '!873:873,"AAAAAF/2HsU=",0)</f>
        <v>0</v>
      </c>
      <c r="GQ45" t="e">
        <f>AND('STERLING CATALOG - DRY '!A873,"AAAAAF/2HsY=")</f>
        <v>#VALUE!</v>
      </c>
      <c r="GR45" t="e">
        <f>AND('STERLING CATALOG - DRY '!B873,"AAAAAF/2Hsc=")</f>
        <v>#VALUE!</v>
      </c>
      <c r="GS45" t="e">
        <f>AND('STERLING CATALOG - DRY '!C873,"AAAAAF/2Hsg=")</f>
        <v>#VALUE!</v>
      </c>
      <c r="GT45" t="e">
        <f>AND('STERLING CATALOG - DRY '!D873,"AAAAAF/2Hsk=")</f>
        <v>#VALUE!</v>
      </c>
      <c r="GU45" t="e">
        <f>AND('STERLING CATALOG - DRY '!E873,"AAAAAF/2Hso=")</f>
        <v>#VALUE!</v>
      </c>
      <c r="GV45" t="e">
        <f>AND('STERLING CATALOG - DRY '!F873,"AAAAAF/2Hss=")</f>
        <v>#VALUE!</v>
      </c>
      <c r="GW45" t="e">
        <f>AND('STERLING CATALOG - DRY '!G873,"AAAAAF/2Hsw=")</f>
        <v>#VALUE!</v>
      </c>
      <c r="GX45" t="e">
        <f>AND('STERLING CATALOG - DRY '!H873,"AAAAAF/2Hs0=")</f>
        <v>#VALUE!</v>
      </c>
      <c r="GY45" t="e">
        <f>AND('STERLING CATALOG - DRY '!I873,"AAAAAF/2Hs4=")</f>
        <v>#VALUE!</v>
      </c>
      <c r="GZ45" t="e">
        <f>AND('STERLING CATALOG - DRY '!J873,"AAAAAF/2Hs8=")</f>
        <v>#VALUE!</v>
      </c>
      <c r="HA45">
        <f>IF('STERLING CATALOG - DRY '!874:874,"AAAAAF/2HtA=",0)</f>
        <v>0</v>
      </c>
      <c r="HB45" t="e">
        <f>AND('STERLING CATALOG - DRY '!A874,"AAAAAF/2HtE=")</f>
        <v>#VALUE!</v>
      </c>
      <c r="HC45" t="e">
        <f>AND('STERLING CATALOG - DRY '!B874,"AAAAAF/2HtI=")</f>
        <v>#VALUE!</v>
      </c>
      <c r="HD45" t="e">
        <f>AND('STERLING CATALOG - DRY '!C874,"AAAAAF/2HtM=")</f>
        <v>#VALUE!</v>
      </c>
      <c r="HE45" t="e">
        <f>AND('STERLING CATALOG - DRY '!D874,"AAAAAF/2HtQ=")</f>
        <v>#VALUE!</v>
      </c>
      <c r="HF45" t="e">
        <f>AND('STERLING CATALOG - DRY '!E874,"AAAAAF/2HtU=")</f>
        <v>#VALUE!</v>
      </c>
      <c r="HG45" t="e">
        <f>AND('STERLING CATALOG - DRY '!F874,"AAAAAF/2HtY=")</f>
        <v>#VALUE!</v>
      </c>
      <c r="HH45" t="e">
        <f>AND('STERLING CATALOG - DRY '!G874,"AAAAAF/2Htc=")</f>
        <v>#VALUE!</v>
      </c>
      <c r="HI45" t="e">
        <f>AND('STERLING CATALOG - DRY '!H874,"AAAAAF/2Htg=")</f>
        <v>#VALUE!</v>
      </c>
      <c r="HJ45" t="e">
        <f>AND('STERLING CATALOG - DRY '!I874,"AAAAAF/2Htk=")</f>
        <v>#VALUE!</v>
      </c>
      <c r="HK45" t="e">
        <f>AND('STERLING CATALOG - DRY '!J874,"AAAAAF/2Hto=")</f>
        <v>#VALUE!</v>
      </c>
      <c r="HL45">
        <f>IF('STERLING CATALOG - DRY '!875:875,"AAAAAF/2Hts=",0)</f>
        <v>0</v>
      </c>
      <c r="HM45" t="e">
        <f>AND('STERLING CATALOG - DRY '!A875,"AAAAAF/2Htw=")</f>
        <v>#VALUE!</v>
      </c>
      <c r="HN45" t="e">
        <f>AND('STERLING CATALOG - DRY '!B875,"AAAAAF/2Ht0=")</f>
        <v>#VALUE!</v>
      </c>
      <c r="HO45" t="e">
        <f>AND('STERLING CATALOG - DRY '!C875,"AAAAAF/2Ht4=")</f>
        <v>#VALUE!</v>
      </c>
      <c r="HP45" t="e">
        <f>AND('STERLING CATALOG - DRY '!D875,"AAAAAF/2Ht8=")</f>
        <v>#VALUE!</v>
      </c>
      <c r="HQ45" t="e">
        <f>AND('STERLING CATALOG - DRY '!E875,"AAAAAF/2HuA=")</f>
        <v>#VALUE!</v>
      </c>
      <c r="HR45" t="e">
        <f>AND('STERLING CATALOG - DRY '!F875,"AAAAAF/2HuE=")</f>
        <v>#VALUE!</v>
      </c>
      <c r="HS45" t="e">
        <f>AND('STERLING CATALOG - DRY '!G875,"AAAAAF/2HuI=")</f>
        <v>#VALUE!</v>
      </c>
      <c r="HT45" t="e">
        <f>AND('STERLING CATALOG - DRY '!H875,"AAAAAF/2HuM=")</f>
        <v>#VALUE!</v>
      </c>
      <c r="HU45" t="e">
        <f>AND('STERLING CATALOG - DRY '!I875,"AAAAAF/2HuQ=")</f>
        <v>#VALUE!</v>
      </c>
      <c r="HV45" t="e">
        <f>AND('STERLING CATALOG - DRY '!J875,"AAAAAF/2HuU=")</f>
        <v>#VALUE!</v>
      </c>
      <c r="HW45">
        <f>IF('STERLING CATALOG - DRY '!876:876,"AAAAAF/2HuY=",0)</f>
        <v>0</v>
      </c>
      <c r="HX45" t="e">
        <f>AND('STERLING CATALOG - DRY '!A876,"AAAAAF/2Huc=")</f>
        <v>#VALUE!</v>
      </c>
      <c r="HY45" t="e">
        <f>AND('STERLING CATALOG - DRY '!B876,"AAAAAF/2Hug=")</f>
        <v>#VALUE!</v>
      </c>
      <c r="HZ45" t="e">
        <f>AND('STERLING CATALOG - DRY '!C876,"AAAAAF/2Huk=")</f>
        <v>#VALUE!</v>
      </c>
      <c r="IA45" t="e">
        <f>AND('STERLING CATALOG - DRY '!D876,"AAAAAF/2Huo=")</f>
        <v>#VALUE!</v>
      </c>
      <c r="IB45" t="e">
        <f>AND('STERLING CATALOG - DRY '!E876,"AAAAAF/2Hus=")</f>
        <v>#VALUE!</v>
      </c>
      <c r="IC45" t="e">
        <f>AND('STERLING CATALOG - DRY '!F876,"AAAAAF/2Huw=")</f>
        <v>#VALUE!</v>
      </c>
      <c r="ID45" t="e">
        <f>AND('STERLING CATALOG - DRY '!G876,"AAAAAF/2Hu0=")</f>
        <v>#VALUE!</v>
      </c>
      <c r="IE45" t="e">
        <f>AND('STERLING CATALOG - DRY '!H876,"AAAAAF/2Hu4=")</f>
        <v>#VALUE!</v>
      </c>
      <c r="IF45" t="e">
        <f>AND('STERLING CATALOG - DRY '!I876,"AAAAAF/2Hu8=")</f>
        <v>#VALUE!</v>
      </c>
      <c r="IG45" t="e">
        <f>AND('STERLING CATALOG - DRY '!J876,"AAAAAF/2HvA=")</f>
        <v>#VALUE!</v>
      </c>
      <c r="IH45">
        <f>IF('STERLING CATALOG - DRY '!877:877,"AAAAAF/2HvE=",0)</f>
        <v>0</v>
      </c>
      <c r="II45" t="e">
        <f>AND('STERLING CATALOG - DRY '!A877,"AAAAAF/2HvI=")</f>
        <v>#VALUE!</v>
      </c>
      <c r="IJ45" t="e">
        <f>AND('STERLING CATALOG - DRY '!B877,"AAAAAF/2HvM=")</f>
        <v>#VALUE!</v>
      </c>
      <c r="IK45" t="e">
        <f>AND('STERLING CATALOG - DRY '!C877,"AAAAAF/2HvQ=")</f>
        <v>#VALUE!</v>
      </c>
      <c r="IL45" t="e">
        <f>AND('STERLING CATALOG - DRY '!D877,"AAAAAF/2HvU=")</f>
        <v>#VALUE!</v>
      </c>
      <c r="IM45" t="e">
        <f>AND('STERLING CATALOG - DRY '!E877,"AAAAAF/2HvY=")</f>
        <v>#VALUE!</v>
      </c>
      <c r="IN45" t="e">
        <f>AND('STERLING CATALOG - DRY '!F877,"AAAAAF/2Hvc=")</f>
        <v>#VALUE!</v>
      </c>
      <c r="IO45" t="e">
        <f>AND('STERLING CATALOG - DRY '!G877,"AAAAAF/2Hvg=")</f>
        <v>#VALUE!</v>
      </c>
      <c r="IP45" t="e">
        <f>AND('STERLING CATALOG - DRY '!H877,"AAAAAF/2Hvk=")</f>
        <v>#VALUE!</v>
      </c>
      <c r="IQ45" t="e">
        <f>AND('STERLING CATALOG - DRY '!I877,"AAAAAF/2Hvo=")</f>
        <v>#VALUE!</v>
      </c>
      <c r="IR45" t="e">
        <f>AND('STERLING CATALOG - DRY '!J877,"AAAAAF/2Hvs=")</f>
        <v>#VALUE!</v>
      </c>
      <c r="IS45">
        <f>IF('STERLING CATALOG - DRY '!878:878,"AAAAAF/2Hvw=",0)</f>
        <v>0</v>
      </c>
      <c r="IT45" t="e">
        <f>AND('STERLING CATALOG - DRY '!A878,"AAAAAF/2Hv0=")</f>
        <v>#VALUE!</v>
      </c>
      <c r="IU45" t="e">
        <f>AND('STERLING CATALOG - DRY '!B878,"AAAAAF/2Hv4=")</f>
        <v>#VALUE!</v>
      </c>
      <c r="IV45" t="e">
        <f>AND('STERLING CATALOG - DRY '!C878,"AAAAAF/2Hv8=")</f>
        <v>#VALUE!</v>
      </c>
    </row>
    <row r="46" spans="1:256">
      <c r="A46" t="e">
        <f>AND('STERLING CATALOG - DRY '!D878,"AAAAAH7+5wA=")</f>
        <v>#VALUE!</v>
      </c>
      <c r="B46" t="e">
        <f>AND('STERLING CATALOG - DRY '!E878,"AAAAAH7+5wE=")</f>
        <v>#VALUE!</v>
      </c>
      <c r="C46" t="e">
        <f>AND('STERLING CATALOG - DRY '!F878,"AAAAAH7+5wI=")</f>
        <v>#VALUE!</v>
      </c>
      <c r="D46" t="e">
        <f>AND('STERLING CATALOG - DRY '!G878,"AAAAAH7+5wM=")</f>
        <v>#VALUE!</v>
      </c>
      <c r="E46" t="e">
        <f>AND('STERLING CATALOG - DRY '!H878,"AAAAAH7+5wQ=")</f>
        <v>#VALUE!</v>
      </c>
      <c r="F46" t="e">
        <f>AND('STERLING CATALOG - DRY '!I878,"AAAAAH7+5wU=")</f>
        <v>#VALUE!</v>
      </c>
      <c r="G46" t="e">
        <f>AND('STERLING CATALOG - DRY '!J878,"AAAAAH7+5wY=")</f>
        <v>#VALUE!</v>
      </c>
      <c r="H46" t="str">
        <f>IF('STERLING CATALOG - DRY '!879:879,"AAAAAH7+5wc=",0)</f>
        <v>AAAAAH7+5wc=</v>
      </c>
      <c r="I46" t="e">
        <f>AND('STERLING CATALOG - DRY '!A879,"AAAAAH7+5wg=")</f>
        <v>#VALUE!</v>
      </c>
      <c r="J46" t="e">
        <f>AND('STERLING CATALOG - DRY '!B879,"AAAAAH7+5wk=")</f>
        <v>#VALUE!</v>
      </c>
      <c r="K46" t="e">
        <f>AND('STERLING CATALOG - DRY '!C879,"AAAAAH7+5wo=")</f>
        <v>#VALUE!</v>
      </c>
      <c r="L46" t="e">
        <f>AND('STERLING CATALOG - DRY '!D879,"AAAAAH7+5ws=")</f>
        <v>#VALUE!</v>
      </c>
      <c r="M46" t="e">
        <f>AND('STERLING CATALOG - DRY '!E879,"AAAAAH7+5ww=")</f>
        <v>#VALUE!</v>
      </c>
      <c r="N46" t="e">
        <f>AND('STERLING CATALOG - DRY '!F879,"AAAAAH7+5w0=")</f>
        <v>#VALUE!</v>
      </c>
      <c r="O46" t="e">
        <f>AND('STERLING CATALOG - DRY '!G879,"AAAAAH7+5w4=")</f>
        <v>#VALUE!</v>
      </c>
      <c r="P46" t="e">
        <f>AND('STERLING CATALOG - DRY '!H879,"AAAAAH7+5w8=")</f>
        <v>#VALUE!</v>
      </c>
      <c r="Q46" t="e">
        <f>AND('STERLING CATALOG - DRY '!I879,"AAAAAH7+5xA=")</f>
        <v>#VALUE!</v>
      </c>
      <c r="R46" t="e">
        <f>AND('STERLING CATALOG - DRY '!J879,"AAAAAH7+5xE=")</f>
        <v>#VALUE!</v>
      </c>
      <c r="S46">
        <f>IF('STERLING CATALOG - DRY '!880:880,"AAAAAH7+5xI=",0)</f>
        <v>0</v>
      </c>
      <c r="T46" t="e">
        <f>AND('STERLING CATALOG - DRY '!A880,"AAAAAH7+5xM=")</f>
        <v>#VALUE!</v>
      </c>
      <c r="U46" t="e">
        <f>AND('STERLING CATALOG - DRY '!B880,"AAAAAH7+5xQ=")</f>
        <v>#VALUE!</v>
      </c>
      <c r="V46" t="e">
        <f>AND('STERLING CATALOG - DRY '!C880,"AAAAAH7+5xU=")</f>
        <v>#VALUE!</v>
      </c>
      <c r="W46" t="e">
        <f>AND('STERLING CATALOG - DRY '!D880,"AAAAAH7+5xY=")</f>
        <v>#VALUE!</v>
      </c>
      <c r="X46" t="e">
        <f>AND('STERLING CATALOG - DRY '!E880,"AAAAAH7+5xc=")</f>
        <v>#VALUE!</v>
      </c>
      <c r="Y46" t="e">
        <f>AND('STERLING CATALOG - DRY '!F880,"AAAAAH7+5xg=")</f>
        <v>#VALUE!</v>
      </c>
      <c r="Z46" t="e">
        <f>AND('STERLING CATALOG - DRY '!G880,"AAAAAH7+5xk=")</f>
        <v>#VALUE!</v>
      </c>
      <c r="AA46" t="e">
        <f>AND('STERLING CATALOG - DRY '!H880,"AAAAAH7+5xo=")</f>
        <v>#VALUE!</v>
      </c>
      <c r="AB46" t="e">
        <f>AND('STERLING CATALOG - DRY '!I880,"AAAAAH7+5xs=")</f>
        <v>#VALUE!</v>
      </c>
      <c r="AC46" t="e">
        <f>AND('STERLING CATALOG - DRY '!J880,"AAAAAH7+5xw=")</f>
        <v>#VALUE!</v>
      </c>
      <c r="AD46">
        <f>IF('STERLING CATALOG - DRY '!881:881,"AAAAAH7+5x0=",0)</f>
        <v>0</v>
      </c>
      <c r="AE46" t="e">
        <f>AND('STERLING CATALOG - DRY '!A881,"AAAAAH7+5x4=")</f>
        <v>#VALUE!</v>
      </c>
      <c r="AF46" t="e">
        <f>AND('STERLING CATALOG - DRY '!B881,"AAAAAH7+5x8=")</f>
        <v>#VALUE!</v>
      </c>
      <c r="AG46" t="e">
        <f>AND('STERLING CATALOG - DRY '!C881,"AAAAAH7+5yA=")</f>
        <v>#VALUE!</v>
      </c>
      <c r="AH46" t="e">
        <f>AND('STERLING CATALOG - DRY '!D881,"AAAAAH7+5yE=")</f>
        <v>#VALUE!</v>
      </c>
      <c r="AI46" t="e">
        <f>AND('STERLING CATALOG - DRY '!E881,"AAAAAH7+5yI=")</f>
        <v>#VALUE!</v>
      </c>
      <c r="AJ46" t="e">
        <f>AND('STERLING CATALOG - DRY '!F881,"AAAAAH7+5yM=")</f>
        <v>#VALUE!</v>
      </c>
      <c r="AK46" t="e">
        <f>AND('STERLING CATALOG - DRY '!G881,"AAAAAH7+5yQ=")</f>
        <v>#VALUE!</v>
      </c>
      <c r="AL46" t="e">
        <f>AND('STERLING CATALOG - DRY '!H881,"AAAAAH7+5yU=")</f>
        <v>#VALUE!</v>
      </c>
      <c r="AM46" t="e">
        <f>AND('STERLING CATALOG - DRY '!I881,"AAAAAH7+5yY=")</f>
        <v>#VALUE!</v>
      </c>
      <c r="AN46" t="e">
        <f>AND('STERLING CATALOG - DRY '!J881,"AAAAAH7+5yc=")</f>
        <v>#VALUE!</v>
      </c>
      <c r="AO46">
        <f>IF('STERLING CATALOG - DRY '!882:882,"AAAAAH7+5yg=",0)</f>
        <v>0</v>
      </c>
      <c r="AP46" t="e">
        <f>AND('STERLING CATALOG - DRY '!A882,"AAAAAH7+5yk=")</f>
        <v>#VALUE!</v>
      </c>
      <c r="AQ46" t="e">
        <f>AND('STERLING CATALOG - DRY '!B882,"AAAAAH7+5yo=")</f>
        <v>#VALUE!</v>
      </c>
      <c r="AR46" t="e">
        <f>AND('STERLING CATALOG - DRY '!C882,"AAAAAH7+5ys=")</f>
        <v>#VALUE!</v>
      </c>
      <c r="AS46" t="e">
        <f>AND('STERLING CATALOG - DRY '!D882,"AAAAAH7+5yw=")</f>
        <v>#VALUE!</v>
      </c>
      <c r="AT46" t="e">
        <f>AND('STERLING CATALOG - DRY '!E882,"AAAAAH7+5y0=")</f>
        <v>#VALUE!</v>
      </c>
      <c r="AU46" t="e">
        <f>AND('STERLING CATALOG - DRY '!F882,"AAAAAH7+5y4=")</f>
        <v>#VALUE!</v>
      </c>
      <c r="AV46" t="e">
        <f>AND('STERLING CATALOG - DRY '!G882,"AAAAAH7+5y8=")</f>
        <v>#VALUE!</v>
      </c>
      <c r="AW46" t="e">
        <f>AND('STERLING CATALOG - DRY '!H882,"AAAAAH7+5zA=")</f>
        <v>#VALUE!</v>
      </c>
      <c r="AX46" t="e">
        <f>AND('STERLING CATALOG - DRY '!I882,"AAAAAH7+5zE=")</f>
        <v>#VALUE!</v>
      </c>
      <c r="AY46" t="e">
        <f>AND('STERLING CATALOG - DRY '!J882,"AAAAAH7+5zI=")</f>
        <v>#VALUE!</v>
      </c>
      <c r="AZ46">
        <f>IF('STERLING CATALOG - DRY '!883:883,"AAAAAH7+5zM=",0)</f>
        <v>0</v>
      </c>
      <c r="BA46" t="e">
        <f>AND('STERLING CATALOG - DRY '!A883,"AAAAAH7+5zQ=")</f>
        <v>#VALUE!</v>
      </c>
      <c r="BB46" t="e">
        <f>AND('STERLING CATALOG - DRY '!B883,"AAAAAH7+5zU=")</f>
        <v>#VALUE!</v>
      </c>
      <c r="BC46" t="e">
        <f>AND('STERLING CATALOG - DRY '!C883,"AAAAAH7+5zY=")</f>
        <v>#VALUE!</v>
      </c>
      <c r="BD46" t="e">
        <f>AND('STERLING CATALOG - DRY '!D883,"AAAAAH7+5zc=")</f>
        <v>#VALUE!</v>
      </c>
      <c r="BE46" t="e">
        <f>AND('STERLING CATALOG - DRY '!E883,"AAAAAH7+5zg=")</f>
        <v>#VALUE!</v>
      </c>
      <c r="BF46" t="e">
        <f>AND('STERLING CATALOG - DRY '!F883,"AAAAAH7+5zk=")</f>
        <v>#VALUE!</v>
      </c>
      <c r="BG46" t="e">
        <f>AND('STERLING CATALOG - DRY '!G883,"AAAAAH7+5zo=")</f>
        <v>#VALUE!</v>
      </c>
      <c r="BH46" t="e">
        <f>AND('STERLING CATALOG - DRY '!H883,"AAAAAH7+5zs=")</f>
        <v>#VALUE!</v>
      </c>
      <c r="BI46" t="e">
        <f>AND('STERLING CATALOG - DRY '!I883,"AAAAAH7+5zw=")</f>
        <v>#VALUE!</v>
      </c>
      <c r="BJ46" t="e">
        <f>AND('STERLING CATALOG - DRY '!J883,"AAAAAH7+5z0=")</f>
        <v>#VALUE!</v>
      </c>
      <c r="BK46">
        <f>IF('STERLING CATALOG - DRY '!884:884,"AAAAAH7+5z4=",0)</f>
        <v>0</v>
      </c>
      <c r="BL46" t="e">
        <f>AND('STERLING CATALOG - DRY '!A884,"AAAAAH7+5z8=")</f>
        <v>#VALUE!</v>
      </c>
      <c r="BM46" t="e">
        <f>AND('STERLING CATALOG - DRY '!B884,"AAAAAH7+50A=")</f>
        <v>#VALUE!</v>
      </c>
      <c r="BN46" t="e">
        <f>AND('STERLING CATALOG - DRY '!C884,"AAAAAH7+50E=")</f>
        <v>#VALUE!</v>
      </c>
      <c r="BO46" t="e">
        <f>AND('STERLING CATALOG - DRY '!D884,"AAAAAH7+50I=")</f>
        <v>#VALUE!</v>
      </c>
      <c r="BP46" t="e">
        <f>AND('STERLING CATALOG - DRY '!E884,"AAAAAH7+50M=")</f>
        <v>#VALUE!</v>
      </c>
      <c r="BQ46" t="e">
        <f>AND('STERLING CATALOG - DRY '!F884,"AAAAAH7+50Q=")</f>
        <v>#VALUE!</v>
      </c>
      <c r="BR46" t="e">
        <f>AND('STERLING CATALOG - DRY '!G884,"AAAAAH7+50U=")</f>
        <v>#VALUE!</v>
      </c>
      <c r="BS46" t="e">
        <f>AND('STERLING CATALOG - DRY '!H884,"AAAAAH7+50Y=")</f>
        <v>#VALUE!</v>
      </c>
      <c r="BT46" t="e">
        <f>AND('STERLING CATALOG - DRY '!I884,"AAAAAH7+50c=")</f>
        <v>#VALUE!</v>
      </c>
      <c r="BU46" t="e">
        <f>AND('STERLING CATALOG - DRY '!J884,"AAAAAH7+50g=")</f>
        <v>#VALUE!</v>
      </c>
      <c r="BV46">
        <f>IF('STERLING CATALOG - DRY '!885:885,"AAAAAH7+50k=",0)</f>
        <v>0</v>
      </c>
      <c r="BW46" t="e">
        <f>AND('STERLING CATALOG - DRY '!A885,"AAAAAH7+50o=")</f>
        <v>#VALUE!</v>
      </c>
      <c r="BX46" t="e">
        <f>AND('STERLING CATALOG - DRY '!B885,"AAAAAH7+50s=")</f>
        <v>#VALUE!</v>
      </c>
      <c r="BY46" t="e">
        <f>AND('STERLING CATALOG - DRY '!C885,"AAAAAH7+50w=")</f>
        <v>#VALUE!</v>
      </c>
      <c r="BZ46" t="e">
        <f>AND('STERLING CATALOG - DRY '!D885,"AAAAAH7+500=")</f>
        <v>#VALUE!</v>
      </c>
      <c r="CA46" t="e">
        <f>AND('STERLING CATALOG - DRY '!E885,"AAAAAH7+504=")</f>
        <v>#VALUE!</v>
      </c>
      <c r="CB46" t="e">
        <f>AND('STERLING CATALOG - DRY '!F885,"AAAAAH7+508=")</f>
        <v>#VALUE!</v>
      </c>
      <c r="CC46" t="e">
        <f>AND('STERLING CATALOG - DRY '!G885,"AAAAAH7+51A=")</f>
        <v>#VALUE!</v>
      </c>
      <c r="CD46" t="e">
        <f>AND('STERLING CATALOG - DRY '!H885,"AAAAAH7+51E=")</f>
        <v>#VALUE!</v>
      </c>
      <c r="CE46" t="e">
        <f>AND('STERLING CATALOG - DRY '!I885,"AAAAAH7+51I=")</f>
        <v>#VALUE!</v>
      </c>
      <c r="CF46" t="e">
        <f>AND('STERLING CATALOG - DRY '!J885,"AAAAAH7+51M=")</f>
        <v>#VALUE!</v>
      </c>
      <c r="CG46">
        <f>IF('STERLING CATALOG - DRY '!886:886,"AAAAAH7+51Q=",0)</f>
        <v>0</v>
      </c>
      <c r="CH46" t="e">
        <f>AND('STERLING CATALOG - DRY '!A886,"AAAAAH7+51U=")</f>
        <v>#VALUE!</v>
      </c>
      <c r="CI46" t="e">
        <f>AND('STERLING CATALOG - DRY '!B886,"AAAAAH7+51Y=")</f>
        <v>#VALUE!</v>
      </c>
      <c r="CJ46" t="e">
        <f>AND('STERLING CATALOG - DRY '!C886,"AAAAAH7+51c=")</f>
        <v>#VALUE!</v>
      </c>
      <c r="CK46" t="e">
        <f>AND('STERLING CATALOG - DRY '!D886,"AAAAAH7+51g=")</f>
        <v>#VALUE!</v>
      </c>
      <c r="CL46" t="e">
        <f>AND('STERLING CATALOG - DRY '!E886,"AAAAAH7+51k=")</f>
        <v>#VALUE!</v>
      </c>
      <c r="CM46" t="e">
        <f>AND('STERLING CATALOG - DRY '!F886,"AAAAAH7+51o=")</f>
        <v>#VALUE!</v>
      </c>
      <c r="CN46" t="e">
        <f>AND('STERLING CATALOG - DRY '!G886,"AAAAAH7+51s=")</f>
        <v>#VALUE!</v>
      </c>
      <c r="CO46" t="e">
        <f>AND('STERLING CATALOG - DRY '!H886,"AAAAAH7+51w=")</f>
        <v>#VALUE!</v>
      </c>
      <c r="CP46" t="e">
        <f>AND('STERLING CATALOG - DRY '!I886,"AAAAAH7+510=")</f>
        <v>#VALUE!</v>
      </c>
      <c r="CQ46" t="e">
        <f>AND('STERLING CATALOG - DRY '!J886,"AAAAAH7+514=")</f>
        <v>#VALUE!</v>
      </c>
      <c r="CR46">
        <f>IF('STERLING CATALOG - DRY '!887:887,"AAAAAH7+518=",0)</f>
        <v>0</v>
      </c>
      <c r="CS46" t="e">
        <f>AND('STERLING CATALOG - DRY '!A887,"AAAAAH7+52A=")</f>
        <v>#VALUE!</v>
      </c>
      <c r="CT46" t="e">
        <f>AND('STERLING CATALOG - DRY '!B887,"AAAAAH7+52E=")</f>
        <v>#VALUE!</v>
      </c>
      <c r="CU46" t="e">
        <f>AND('STERLING CATALOG - DRY '!C887,"AAAAAH7+52I=")</f>
        <v>#VALUE!</v>
      </c>
      <c r="CV46" t="e">
        <f>AND('STERLING CATALOG - DRY '!D887,"AAAAAH7+52M=")</f>
        <v>#VALUE!</v>
      </c>
      <c r="CW46" t="e">
        <f>AND('STERLING CATALOG - DRY '!E887,"AAAAAH7+52Q=")</f>
        <v>#VALUE!</v>
      </c>
      <c r="CX46" t="e">
        <f>AND('STERLING CATALOG - DRY '!F887,"AAAAAH7+52U=")</f>
        <v>#VALUE!</v>
      </c>
      <c r="CY46" t="e">
        <f>AND('STERLING CATALOG - DRY '!G887,"AAAAAH7+52Y=")</f>
        <v>#VALUE!</v>
      </c>
      <c r="CZ46" t="e">
        <f>AND('STERLING CATALOG - DRY '!H887,"AAAAAH7+52c=")</f>
        <v>#VALUE!</v>
      </c>
      <c r="DA46" t="e">
        <f>AND('STERLING CATALOG - DRY '!I887,"AAAAAH7+52g=")</f>
        <v>#VALUE!</v>
      </c>
      <c r="DB46" t="e">
        <f>AND('STERLING CATALOG - DRY '!J887,"AAAAAH7+52k=")</f>
        <v>#VALUE!</v>
      </c>
      <c r="DC46">
        <f>IF('STERLING CATALOG - DRY '!888:888,"AAAAAH7+52o=",0)</f>
        <v>0</v>
      </c>
      <c r="DD46" t="e">
        <f>AND('STERLING CATALOG - DRY '!A888,"AAAAAH7+52s=")</f>
        <v>#VALUE!</v>
      </c>
      <c r="DE46" t="e">
        <f>AND('STERLING CATALOG - DRY '!B888,"AAAAAH7+52w=")</f>
        <v>#VALUE!</v>
      </c>
      <c r="DF46" t="e">
        <f>AND('STERLING CATALOG - DRY '!C888,"AAAAAH7+520=")</f>
        <v>#VALUE!</v>
      </c>
      <c r="DG46" t="e">
        <f>AND('STERLING CATALOG - DRY '!D888,"AAAAAH7+524=")</f>
        <v>#VALUE!</v>
      </c>
      <c r="DH46" t="e">
        <f>AND('STERLING CATALOG - DRY '!E888,"AAAAAH7+528=")</f>
        <v>#VALUE!</v>
      </c>
      <c r="DI46" t="e">
        <f>AND('STERLING CATALOG - DRY '!F888,"AAAAAH7+53A=")</f>
        <v>#VALUE!</v>
      </c>
      <c r="DJ46" t="e">
        <f>AND('STERLING CATALOG - DRY '!G888,"AAAAAH7+53E=")</f>
        <v>#VALUE!</v>
      </c>
      <c r="DK46" t="e">
        <f>AND('STERLING CATALOG - DRY '!H888,"AAAAAH7+53I=")</f>
        <v>#VALUE!</v>
      </c>
      <c r="DL46" t="e">
        <f>AND('STERLING CATALOG - DRY '!I888,"AAAAAH7+53M=")</f>
        <v>#VALUE!</v>
      </c>
      <c r="DM46" t="e">
        <f>AND('STERLING CATALOG - DRY '!J888,"AAAAAH7+53Q=")</f>
        <v>#VALUE!</v>
      </c>
      <c r="DN46">
        <f>IF('STERLING CATALOG - DRY '!889:889,"AAAAAH7+53U=",0)</f>
        <v>0</v>
      </c>
      <c r="DO46" t="e">
        <f>AND('STERLING CATALOG - DRY '!A889,"AAAAAH7+53Y=")</f>
        <v>#VALUE!</v>
      </c>
      <c r="DP46" t="e">
        <f>AND('STERLING CATALOG - DRY '!B889,"AAAAAH7+53c=")</f>
        <v>#VALUE!</v>
      </c>
      <c r="DQ46" t="e">
        <f>AND('STERLING CATALOG - DRY '!C889,"AAAAAH7+53g=")</f>
        <v>#VALUE!</v>
      </c>
      <c r="DR46" t="e">
        <f>AND('STERLING CATALOG - DRY '!D889,"AAAAAH7+53k=")</f>
        <v>#VALUE!</v>
      </c>
      <c r="DS46" t="e">
        <f>AND('STERLING CATALOG - DRY '!E889,"AAAAAH7+53o=")</f>
        <v>#VALUE!</v>
      </c>
      <c r="DT46" t="e">
        <f>AND('STERLING CATALOG - DRY '!F889,"AAAAAH7+53s=")</f>
        <v>#VALUE!</v>
      </c>
      <c r="DU46" t="e">
        <f>AND('STERLING CATALOG - DRY '!G889,"AAAAAH7+53w=")</f>
        <v>#VALUE!</v>
      </c>
      <c r="DV46" t="e">
        <f>AND('STERLING CATALOG - DRY '!H889,"AAAAAH7+530=")</f>
        <v>#VALUE!</v>
      </c>
      <c r="DW46" t="e">
        <f>AND('STERLING CATALOG - DRY '!I889,"AAAAAH7+534=")</f>
        <v>#VALUE!</v>
      </c>
      <c r="DX46" t="e">
        <f>AND('STERLING CATALOG - DRY '!J889,"AAAAAH7+538=")</f>
        <v>#VALUE!</v>
      </c>
      <c r="DY46">
        <f>IF('STERLING CATALOG - DRY '!890:890,"AAAAAH7+54A=",0)</f>
        <v>0</v>
      </c>
      <c r="DZ46" t="e">
        <f>AND('STERLING CATALOG - DRY '!A890,"AAAAAH7+54E=")</f>
        <v>#VALUE!</v>
      </c>
      <c r="EA46" t="e">
        <f>AND('STERLING CATALOG - DRY '!B890,"AAAAAH7+54I=")</f>
        <v>#VALUE!</v>
      </c>
      <c r="EB46" t="e">
        <f>AND('STERLING CATALOG - DRY '!C890,"AAAAAH7+54M=")</f>
        <v>#VALUE!</v>
      </c>
      <c r="EC46" t="e">
        <f>AND('STERLING CATALOG - DRY '!D890,"AAAAAH7+54Q=")</f>
        <v>#VALUE!</v>
      </c>
      <c r="ED46" t="e">
        <f>AND('STERLING CATALOG - DRY '!E890,"AAAAAH7+54U=")</f>
        <v>#VALUE!</v>
      </c>
      <c r="EE46" t="e">
        <f>AND('STERLING CATALOG - DRY '!F890,"AAAAAH7+54Y=")</f>
        <v>#VALUE!</v>
      </c>
      <c r="EF46" t="e">
        <f>AND('STERLING CATALOG - DRY '!G890,"AAAAAH7+54c=")</f>
        <v>#VALUE!</v>
      </c>
      <c r="EG46" t="e">
        <f>AND('STERLING CATALOG - DRY '!H890,"AAAAAH7+54g=")</f>
        <v>#VALUE!</v>
      </c>
      <c r="EH46" t="e">
        <f>AND('STERLING CATALOG - DRY '!I890,"AAAAAH7+54k=")</f>
        <v>#VALUE!</v>
      </c>
      <c r="EI46" t="e">
        <f>AND('STERLING CATALOG - DRY '!J890,"AAAAAH7+54o=")</f>
        <v>#VALUE!</v>
      </c>
      <c r="EJ46">
        <f>IF('STERLING CATALOG - DRY '!891:891,"AAAAAH7+54s=",0)</f>
        <v>0</v>
      </c>
      <c r="EK46" t="e">
        <f>AND('STERLING CATALOG - DRY '!A891,"AAAAAH7+54w=")</f>
        <v>#VALUE!</v>
      </c>
      <c r="EL46" t="e">
        <f>AND('STERLING CATALOG - DRY '!B891,"AAAAAH7+540=")</f>
        <v>#VALUE!</v>
      </c>
      <c r="EM46" t="e">
        <f>AND('STERLING CATALOG - DRY '!C891,"AAAAAH7+544=")</f>
        <v>#VALUE!</v>
      </c>
      <c r="EN46" t="e">
        <f>AND('STERLING CATALOG - DRY '!D891,"AAAAAH7+548=")</f>
        <v>#VALUE!</v>
      </c>
      <c r="EO46" t="e">
        <f>AND('STERLING CATALOG - DRY '!E891,"AAAAAH7+55A=")</f>
        <v>#VALUE!</v>
      </c>
      <c r="EP46" t="e">
        <f>AND('STERLING CATALOG - DRY '!F891,"AAAAAH7+55E=")</f>
        <v>#VALUE!</v>
      </c>
      <c r="EQ46" t="e">
        <f>AND('STERLING CATALOG - DRY '!G891,"AAAAAH7+55I=")</f>
        <v>#VALUE!</v>
      </c>
      <c r="ER46" t="e">
        <f>AND('STERLING CATALOG - DRY '!H891,"AAAAAH7+55M=")</f>
        <v>#VALUE!</v>
      </c>
      <c r="ES46" t="e">
        <f>AND('STERLING CATALOG - DRY '!I891,"AAAAAH7+55Q=")</f>
        <v>#VALUE!</v>
      </c>
      <c r="ET46" t="e">
        <f>AND('STERLING CATALOG - DRY '!J891,"AAAAAH7+55U=")</f>
        <v>#VALUE!</v>
      </c>
      <c r="EU46">
        <f>IF('STERLING CATALOG - DRY '!892:892,"AAAAAH7+55Y=",0)</f>
        <v>0</v>
      </c>
      <c r="EV46" t="e">
        <f>AND('STERLING CATALOG - DRY '!A892,"AAAAAH7+55c=")</f>
        <v>#VALUE!</v>
      </c>
      <c r="EW46" t="e">
        <f>AND('STERLING CATALOG - DRY '!B892,"AAAAAH7+55g=")</f>
        <v>#VALUE!</v>
      </c>
      <c r="EX46" t="e">
        <f>AND('STERLING CATALOG - DRY '!C892,"AAAAAH7+55k=")</f>
        <v>#VALUE!</v>
      </c>
      <c r="EY46" t="e">
        <f>AND('STERLING CATALOG - DRY '!D892,"AAAAAH7+55o=")</f>
        <v>#VALUE!</v>
      </c>
      <c r="EZ46" t="e">
        <f>AND('STERLING CATALOG - DRY '!E892,"AAAAAH7+55s=")</f>
        <v>#VALUE!</v>
      </c>
      <c r="FA46" t="e">
        <f>AND('STERLING CATALOG - DRY '!F892,"AAAAAH7+55w=")</f>
        <v>#VALUE!</v>
      </c>
      <c r="FB46" t="e">
        <f>AND('STERLING CATALOG - DRY '!G892,"AAAAAH7+550=")</f>
        <v>#VALUE!</v>
      </c>
      <c r="FC46" t="e">
        <f>AND('STERLING CATALOG - DRY '!H892,"AAAAAH7+554=")</f>
        <v>#VALUE!</v>
      </c>
      <c r="FD46" t="e">
        <f>AND('STERLING CATALOG - DRY '!I892,"AAAAAH7+558=")</f>
        <v>#VALUE!</v>
      </c>
      <c r="FE46" t="e">
        <f>AND('STERLING CATALOG - DRY '!J892,"AAAAAH7+56A=")</f>
        <v>#VALUE!</v>
      </c>
      <c r="FF46">
        <f>IF('STERLING CATALOG - DRY '!893:893,"AAAAAH7+56E=",0)</f>
        <v>0</v>
      </c>
      <c r="FG46" t="e">
        <f>AND('STERLING CATALOG - DRY '!A893,"AAAAAH7+56I=")</f>
        <v>#VALUE!</v>
      </c>
      <c r="FH46" t="e">
        <f>AND('STERLING CATALOG - DRY '!B893,"AAAAAH7+56M=")</f>
        <v>#VALUE!</v>
      </c>
      <c r="FI46" t="e">
        <f>AND('STERLING CATALOG - DRY '!C893,"AAAAAH7+56Q=")</f>
        <v>#VALUE!</v>
      </c>
      <c r="FJ46" t="e">
        <f>AND('STERLING CATALOG - DRY '!D893,"AAAAAH7+56U=")</f>
        <v>#VALUE!</v>
      </c>
      <c r="FK46" t="e">
        <f>AND('STERLING CATALOG - DRY '!E893,"AAAAAH7+56Y=")</f>
        <v>#VALUE!</v>
      </c>
      <c r="FL46" t="e">
        <f>AND('STERLING CATALOG - DRY '!F893,"AAAAAH7+56c=")</f>
        <v>#VALUE!</v>
      </c>
      <c r="FM46" t="e">
        <f>AND('STERLING CATALOG - DRY '!G893,"AAAAAH7+56g=")</f>
        <v>#VALUE!</v>
      </c>
      <c r="FN46" t="e">
        <f>AND('STERLING CATALOG - DRY '!H893,"AAAAAH7+56k=")</f>
        <v>#VALUE!</v>
      </c>
      <c r="FO46" t="e">
        <f>AND('STERLING CATALOG - DRY '!I893,"AAAAAH7+56o=")</f>
        <v>#VALUE!</v>
      </c>
      <c r="FP46" t="e">
        <f>AND('STERLING CATALOG - DRY '!J893,"AAAAAH7+56s=")</f>
        <v>#VALUE!</v>
      </c>
      <c r="FQ46">
        <f>IF('STERLING CATALOG - DRY '!894:894,"AAAAAH7+56w=",0)</f>
        <v>0</v>
      </c>
      <c r="FR46" t="e">
        <f>AND('STERLING CATALOG - DRY '!A894,"AAAAAH7+560=")</f>
        <v>#VALUE!</v>
      </c>
      <c r="FS46" t="e">
        <f>AND('STERLING CATALOG - DRY '!B894,"AAAAAH7+564=")</f>
        <v>#VALUE!</v>
      </c>
      <c r="FT46" t="e">
        <f>AND('STERLING CATALOG - DRY '!C894,"AAAAAH7+568=")</f>
        <v>#VALUE!</v>
      </c>
      <c r="FU46" t="e">
        <f>AND('STERLING CATALOG - DRY '!D894,"AAAAAH7+57A=")</f>
        <v>#VALUE!</v>
      </c>
      <c r="FV46" t="e">
        <f>AND('STERLING CATALOG - DRY '!E894,"AAAAAH7+57E=")</f>
        <v>#VALUE!</v>
      </c>
      <c r="FW46" t="e">
        <f>AND('STERLING CATALOG - DRY '!F894,"AAAAAH7+57I=")</f>
        <v>#VALUE!</v>
      </c>
      <c r="FX46" t="e">
        <f>AND('STERLING CATALOG - DRY '!G894,"AAAAAH7+57M=")</f>
        <v>#VALUE!</v>
      </c>
      <c r="FY46" t="e">
        <f>AND('STERLING CATALOG - DRY '!H894,"AAAAAH7+57Q=")</f>
        <v>#VALUE!</v>
      </c>
      <c r="FZ46" t="e">
        <f>AND('STERLING CATALOG - DRY '!I894,"AAAAAH7+57U=")</f>
        <v>#VALUE!</v>
      </c>
      <c r="GA46" t="e">
        <f>AND('STERLING CATALOG - DRY '!J894,"AAAAAH7+57Y=")</f>
        <v>#VALUE!</v>
      </c>
      <c r="GB46">
        <f>IF('STERLING CATALOG - DRY '!895:895,"AAAAAH7+57c=",0)</f>
        <v>0</v>
      </c>
      <c r="GC46" t="e">
        <f>AND('STERLING CATALOG - DRY '!A895,"AAAAAH7+57g=")</f>
        <v>#VALUE!</v>
      </c>
      <c r="GD46" t="e">
        <f>AND('STERLING CATALOG - DRY '!B895,"AAAAAH7+57k=")</f>
        <v>#VALUE!</v>
      </c>
      <c r="GE46" t="e">
        <f>AND('STERLING CATALOG - DRY '!C895,"AAAAAH7+57o=")</f>
        <v>#VALUE!</v>
      </c>
      <c r="GF46" t="e">
        <f>AND('STERLING CATALOG - DRY '!D895,"AAAAAH7+57s=")</f>
        <v>#VALUE!</v>
      </c>
      <c r="GG46" t="e">
        <f>AND('STERLING CATALOG - DRY '!E895,"AAAAAH7+57w=")</f>
        <v>#VALUE!</v>
      </c>
      <c r="GH46" t="e">
        <f>AND('STERLING CATALOG - DRY '!F895,"AAAAAH7+570=")</f>
        <v>#VALUE!</v>
      </c>
      <c r="GI46" t="e">
        <f>AND('STERLING CATALOG - DRY '!G895,"AAAAAH7+574=")</f>
        <v>#VALUE!</v>
      </c>
      <c r="GJ46" t="e">
        <f>AND('STERLING CATALOG - DRY '!H895,"AAAAAH7+578=")</f>
        <v>#VALUE!</v>
      </c>
      <c r="GK46" t="e">
        <f>AND('STERLING CATALOG - DRY '!I895,"AAAAAH7+58A=")</f>
        <v>#VALUE!</v>
      </c>
      <c r="GL46" t="e">
        <f>AND('STERLING CATALOG - DRY '!J895,"AAAAAH7+58E=")</f>
        <v>#VALUE!</v>
      </c>
      <c r="GM46">
        <f>IF('STERLING CATALOG - DRY '!896:896,"AAAAAH7+58I=",0)</f>
        <v>0</v>
      </c>
      <c r="GN46" t="e">
        <f>AND('STERLING CATALOG - DRY '!A896,"AAAAAH7+58M=")</f>
        <v>#VALUE!</v>
      </c>
      <c r="GO46" t="e">
        <f>AND('STERLING CATALOG - DRY '!B896,"AAAAAH7+58Q=")</f>
        <v>#VALUE!</v>
      </c>
      <c r="GP46" t="e">
        <f>AND('STERLING CATALOG - DRY '!C896,"AAAAAH7+58U=")</f>
        <v>#VALUE!</v>
      </c>
      <c r="GQ46" t="e">
        <f>AND('STERLING CATALOG - DRY '!D896,"AAAAAH7+58Y=")</f>
        <v>#VALUE!</v>
      </c>
      <c r="GR46" t="e">
        <f>AND('STERLING CATALOG - DRY '!E896,"AAAAAH7+58c=")</f>
        <v>#VALUE!</v>
      </c>
      <c r="GS46" t="e">
        <f>AND('STERLING CATALOG - DRY '!F896,"AAAAAH7+58g=")</f>
        <v>#VALUE!</v>
      </c>
      <c r="GT46" t="e">
        <f>AND('STERLING CATALOG - DRY '!G896,"AAAAAH7+58k=")</f>
        <v>#VALUE!</v>
      </c>
      <c r="GU46" t="e">
        <f>AND('STERLING CATALOG - DRY '!H896,"AAAAAH7+58o=")</f>
        <v>#VALUE!</v>
      </c>
      <c r="GV46" t="e">
        <f>AND('STERLING CATALOG - DRY '!I896,"AAAAAH7+58s=")</f>
        <v>#VALUE!</v>
      </c>
      <c r="GW46" t="e">
        <f>AND('STERLING CATALOG - DRY '!J896,"AAAAAH7+58w=")</f>
        <v>#VALUE!</v>
      </c>
      <c r="GX46">
        <f>IF('STERLING CATALOG - DRY '!897:897,"AAAAAH7+580=",0)</f>
        <v>0</v>
      </c>
      <c r="GY46" t="e">
        <f>AND('STERLING CATALOG - DRY '!A897,"AAAAAH7+584=")</f>
        <v>#VALUE!</v>
      </c>
      <c r="GZ46" t="e">
        <f>AND('STERLING CATALOG - DRY '!B897,"AAAAAH7+588=")</f>
        <v>#VALUE!</v>
      </c>
      <c r="HA46" t="e">
        <f>AND('STERLING CATALOG - DRY '!C897,"AAAAAH7+59A=")</f>
        <v>#VALUE!</v>
      </c>
      <c r="HB46" t="e">
        <f>AND('STERLING CATALOG - DRY '!D897,"AAAAAH7+59E=")</f>
        <v>#VALUE!</v>
      </c>
      <c r="HC46" t="e">
        <f>AND('STERLING CATALOG - DRY '!E897,"AAAAAH7+59I=")</f>
        <v>#VALUE!</v>
      </c>
      <c r="HD46" t="e">
        <f>AND('STERLING CATALOG - DRY '!F897,"AAAAAH7+59M=")</f>
        <v>#VALUE!</v>
      </c>
      <c r="HE46" t="e">
        <f>AND('STERLING CATALOG - DRY '!G897,"AAAAAH7+59Q=")</f>
        <v>#VALUE!</v>
      </c>
      <c r="HF46" t="e">
        <f>AND('STERLING CATALOG - DRY '!H897,"AAAAAH7+59U=")</f>
        <v>#VALUE!</v>
      </c>
      <c r="HG46" t="e">
        <f>AND('STERLING CATALOG - DRY '!I897,"AAAAAH7+59Y=")</f>
        <v>#VALUE!</v>
      </c>
      <c r="HH46" t="e">
        <f>AND('STERLING CATALOG - DRY '!J897,"AAAAAH7+59c=")</f>
        <v>#VALUE!</v>
      </c>
      <c r="HI46">
        <f>IF('STERLING CATALOG - DRY '!898:898,"AAAAAH7+59g=",0)</f>
        <v>0</v>
      </c>
      <c r="HJ46" t="e">
        <f>AND('STERLING CATALOG - DRY '!A898,"AAAAAH7+59k=")</f>
        <v>#VALUE!</v>
      </c>
      <c r="HK46" t="e">
        <f>AND('STERLING CATALOG - DRY '!B898,"AAAAAH7+59o=")</f>
        <v>#VALUE!</v>
      </c>
      <c r="HL46" t="e">
        <f>AND('STERLING CATALOG - DRY '!C898,"AAAAAH7+59s=")</f>
        <v>#VALUE!</v>
      </c>
      <c r="HM46" t="e">
        <f>AND('STERLING CATALOG - DRY '!D898,"AAAAAH7+59w=")</f>
        <v>#VALUE!</v>
      </c>
      <c r="HN46" t="e">
        <f>AND('STERLING CATALOG - DRY '!E898,"AAAAAH7+590=")</f>
        <v>#VALUE!</v>
      </c>
      <c r="HO46" t="e">
        <f>AND('STERLING CATALOG - DRY '!F898,"AAAAAH7+594=")</f>
        <v>#VALUE!</v>
      </c>
      <c r="HP46" t="e">
        <f>AND('STERLING CATALOG - DRY '!G898,"AAAAAH7+598=")</f>
        <v>#VALUE!</v>
      </c>
      <c r="HQ46" t="e">
        <f>AND('STERLING CATALOG - DRY '!H898,"AAAAAH7+5+A=")</f>
        <v>#VALUE!</v>
      </c>
      <c r="HR46" t="e">
        <f>AND('STERLING CATALOG - DRY '!I898,"AAAAAH7+5+E=")</f>
        <v>#VALUE!</v>
      </c>
      <c r="HS46" t="e">
        <f>AND('STERLING CATALOG - DRY '!J898,"AAAAAH7+5+I=")</f>
        <v>#VALUE!</v>
      </c>
      <c r="HT46">
        <f>IF('STERLING CATALOG - DRY '!899:899,"AAAAAH7+5+M=",0)</f>
        <v>0</v>
      </c>
      <c r="HU46" t="e">
        <f>AND('STERLING CATALOG - DRY '!A899,"AAAAAH7+5+Q=")</f>
        <v>#VALUE!</v>
      </c>
      <c r="HV46" t="e">
        <f>AND('STERLING CATALOG - DRY '!B899,"AAAAAH7+5+U=")</f>
        <v>#VALUE!</v>
      </c>
      <c r="HW46" t="e">
        <f>AND('STERLING CATALOG - DRY '!C899,"AAAAAH7+5+Y=")</f>
        <v>#VALUE!</v>
      </c>
      <c r="HX46" t="e">
        <f>AND('STERLING CATALOG - DRY '!D899,"AAAAAH7+5+c=")</f>
        <v>#VALUE!</v>
      </c>
      <c r="HY46" t="e">
        <f>AND('STERLING CATALOG - DRY '!E899,"AAAAAH7+5+g=")</f>
        <v>#VALUE!</v>
      </c>
      <c r="HZ46" t="e">
        <f>AND('STERLING CATALOG - DRY '!F899,"AAAAAH7+5+k=")</f>
        <v>#VALUE!</v>
      </c>
      <c r="IA46" t="e">
        <f>AND('STERLING CATALOG - DRY '!G899,"AAAAAH7+5+o=")</f>
        <v>#VALUE!</v>
      </c>
      <c r="IB46" t="e">
        <f>AND('STERLING CATALOG - DRY '!H899,"AAAAAH7+5+s=")</f>
        <v>#VALUE!</v>
      </c>
      <c r="IC46" t="e">
        <f>AND('STERLING CATALOG - DRY '!I899,"AAAAAH7+5+w=")</f>
        <v>#VALUE!</v>
      </c>
      <c r="ID46" t="e">
        <f>AND('STERLING CATALOG - DRY '!J899,"AAAAAH7+5+0=")</f>
        <v>#VALUE!</v>
      </c>
      <c r="IE46">
        <f>IF('STERLING CATALOG - DRY '!900:900,"AAAAAH7+5+4=",0)</f>
        <v>0</v>
      </c>
      <c r="IF46" t="e">
        <f>AND('STERLING CATALOG - DRY '!A900,"AAAAAH7+5+8=")</f>
        <v>#VALUE!</v>
      </c>
      <c r="IG46" t="e">
        <f>AND('STERLING CATALOG - DRY '!B900,"AAAAAH7+5/A=")</f>
        <v>#VALUE!</v>
      </c>
      <c r="IH46" t="e">
        <f>AND('STERLING CATALOG - DRY '!C900,"AAAAAH7+5/E=")</f>
        <v>#VALUE!</v>
      </c>
      <c r="II46" t="e">
        <f>AND('STERLING CATALOG - DRY '!D900,"AAAAAH7+5/I=")</f>
        <v>#VALUE!</v>
      </c>
      <c r="IJ46" t="e">
        <f>AND('STERLING CATALOG - DRY '!E900,"AAAAAH7+5/M=")</f>
        <v>#VALUE!</v>
      </c>
      <c r="IK46" t="e">
        <f>AND('STERLING CATALOG - DRY '!F900,"AAAAAH7+5/Q=")</f>
        <v>#VALUE!</v>
      </c>
      <c r="IL46" t="e">
        <f>AND('STERLING CATALOG - DRY '!G900,"AAAAAH7+5/U=")</f>
        <v>#VALUE!</v>
      </c>
      <c r="IM46" t="e">
        <f>AND('STERLING CATALOG - DRY '!H900,"AAAAAH7+5/Y=")</f>
        <v>#VALUE!</v>
      </c>
      <c r="IN46" t="e">
        <f>AND('STERLING CATALOG - DRY '!I900,"AAAAAH7+5/c=")</f>
        <v>#VALUE!</v>
      </c>
      <c r="IO46" t="e">
        <f>AND('STERLING CATALOG - DRY '!J900,"AAAAAH7+5/g=")</f>
        <v>#VALUE!</v>
      </c>
      <c r="IP46">
        <f>IF('STERLING CATALOG - DRY '!901:901,"AAAAAH7+5/k=",0)</f>
        <v>0</v>
      </c>
      <c r="IQ46" t="e">
        <f>AND('STERLING CATALOG - DRY '!A901,"AAAAAH7+5/o=")</f>
        <v>#VALUE!</v>
      </c>
      <c r="IR46" t="e">
        <f>AND('STERLING CATALOG - DRY '!B901,"AAAAAH7+5/s=")</f>
        <v>#VALUE!</v>
      </c>
      <c r="IS46" t="e">
        <f>AND('STERLING CATALOG - DRY '!C901,"AAAAAH7+5/w=")</f>
        <v>#VALUE!</v>
      </c>
      <c r="IT46" t="e">
        <f>AND('STERLING CATALOG - DRY '!D901,"AAAAAH7+5/0=")</f>
        <v>#VALUE!</v>
      </c>
      <c r="IU46" t="e">
        <f>AND('STERLING CATALOG - DRY '!E901,"AAAAAH7+5/4=")</f>
        <v>#VALUE!</v>
      </c>
      <c r="IV46" t="e">
        <f>AND('STERLING CATALOG - DRY '!F901,"AAAAAH7+5/8=")</f>
        <v>#VALUE!</v>
      </c>
    </row>
    <row r="47" spans="1:256">
      <c r="A47" t="e">
        <f>AND('STERLING CATALOG - DRY '!G901,"AAAAAGf36gA=")</f>
        <v>#VALUE!</v>
      </c>
      <c r="B47" t="e">
        <f>AND('STERLING CATALOG - DRY '!H901,"AAAAAGf36gE=")</f>
        <v>#VALUE!</v>
      </c>
      <c r="C47" t="e">
        <f>AND('STERLING CATALOG - DRY '!I901,"AAAAAGf36gI=")</f>
        <v>#VALUE!</v>
      </c>
      <c r="D47" t="e">
        <f>AND('STERLING CATALOG - DRY '!J901,"AAAAAGf36gM=")</f>
        <v>#VALUE!</v>
      </c>
      <c r="E47" t="e">
        <f>IF('STERLING CATALOG - DRY '!902:902,"AAAAAGf36gQ=",0)</f>
        <v>#VALUE!</v>
      </c>
      <c r="F47" t="e">
        <f>AND('STERLING CATALOG - DRY '!A902,"AAAAAGf36gU=")</f>
        <v>#VALUE!</v>
      </c>
      <c r="G47" t="e">
        <f>AND('STERLING CATALOG - DRY '!B902,"AAAAAGf36gY=")</f>
        <v>#VALUE!</v>
      </c>
      <c r="H47" t="e">
        <f>AND('STERLING CATALOG - DRY '!C902,"AAAAAGf36gc=")</f>
        <v>#VALUE!</v>
      </c>
      <c r="I47" t="e">
        <f>AND('STERLING CATALOG - DRY '!D902,"AAAAAGf36gg=")</f>
        <v>#VALUE!</v>
      </c>
      <c r="J47" t="e">
        <f>AND('STERLING CATALOG - DRY '!E902,"AAAAAGf36gk=")</f>
        <v>#VALUE!</v>
      </c>
      <c r="K47" t="e">
        <f>AND('STERLING CATALOG - DRY '!F902,"AAAAAGf36go=")</f>
        <v>#VALUE!</v>
      </c>
      <c r="L47" t="e">
        <f>AND('STERLING CATALOG - DRY '!G902,"AAAAAGf36gs=")</f>
        <v>#VALUE!</v>
      </c>
      <c r="M47" t="e">
        <f>AND('STERLING CATALOG - DRY '!H902,"AAAAAGf36gw=")</f>
        <v>#VALUE!</v>
      </c>
      <c r="N47" t="e">
        <f>AND('STERLING CATALOG - DRY '!I902,"AAAAAGf36g0=")</f>
        <v>#VALUE!</v>
      </c>
      <c r="O47" t="e">
        <f>AND('STERLING CATALOG - DRY '!J902,"AAAAAGf36g4=")</f>
        <v>#VALUE!</v>
      </c>
      <c r="P47">
        <f>IF('STERLING CATALOG - DRY '!903:903,"AAAAAGf36g8=",0)</f>
        <v>0</v>
      </c>
      <c r="Q47" t="e">
        <f>AND('STERLING CATALOG - DRY '!A903,"AAAAAGf36hA=")</f>
        <v>#VALUE!</v>
      </c>
      <c r="R47" t="e">
        <f>AND('STERLING CATALOG - DRY '!B903,"AAAAAGf36hE=")</f>
        <v>#VALUE!</v>
      </c>
      <c r="S47" t="e">
        <f>AND('STERLING CATALOG - DRY '!C903,"AAAAAGf36hI=")</f>
        <v>#VALUE!</v>
      </c>
      <c r="T47" t="e">
        <f>AND('STERLING CATALOG - DRY '!D903,"AAAAAGf36hM=")</f>
        <v>#VALUE!</v>
      </c>
      <c r="U47" t="e">
        <f>AND('STERLING CATALOG - DRY '!E903,"AAAAAGf36hQ=")</f>
        <v>#VALUE!</v>
      </c>
      <c r="V47" t="e">
        <f>AND('STERLING CATALOG - DRY '!F903,"AAAAAGf36hU=")</f>
        <v>#VALUE!</v>
      </c>
      <c r="W47" t="e">
        <f>AND('STERLING CATALOG - DRY '!G903,"AAAAAGf36hY=")</f>
        <v>#VALUE!</v>
      </c>
      <c r="X47" t="e">
        <f>AND('STERLING CATALOG - DRY '!H903,"AAAAAGf36hc=")</f>
        <v>#VALUE!</v>
      </c>
      <c r="Y47" t="e">
        <f>AND('STERLING CATALOG - DRY '!I903,"AAAAAGf36hg=")</f>
        <v>#VALUE!</v>
      </c>
      <c r="Z47" t="e">
        <f>AND('STERLING CATALOG - DRY '!J903,"AAAAAGf36hk=")</f>
        <v>#VALUE!</v>
      </c>
      <c r="AA47">
        <f>IF('STERLING CATALOG - DRY '!904:904,"AAAAAGf36ho=",0)</f>
        <v>0</v>
      </c>
      <c r="AB47" t="e">
        <f>AND('STERLING CATALOG - DRY '!A904,"AAAAAGf36hs=")</f>
        <v>#VALUE!</v>
      </c>
      <c r="AC47" t="e">
        <f>AND('STERLING CATALOG - DRY '!B904,"AAAAAGf36hw=")</f>
        <v>#VALUE!</v>
      </c>
      <c r="AD47" t="e">
        <f>AND('STERLING CATALOG - DRY '!C904,"AAAAAGf36h0=")</f>
        <v>#VALUE!</v>
      </c>
      <c r="AE47" t="e">
        <f>AND('STERLING CATALOG - DRY '!D904,"AAAAAGf36h4=")</f>
        <v>#VALUE!</v>
      </c>
      <c r="AF47" t="e">
        <f>AND('STERLING CATALOG - DRY '!E904,"AAAAAGf36h8=")</f>
        <v>#VALUE!</v>
      </c>
      <c r="AG47" t="e">
        <f>AND('STERLING CATALOG - DRY '!F904,"AAAAAGf36iA=")</f>
        <v>#VALUE!</v>
      </c>
      <c r="AH47" t="e">
        <f>AND('STERLING CATALOG - DRY '!G904,"AAAAAGf36iE=")</f>
        <v>#VALUE!</v>
      </c>
      <c r="AI47" t="e">
        <f>AND('STERLING CATALOG - DRY '!H904,"AAAAAGf36iI=")</f>
        <v>#VALUE!</v>
      </c>
      <c r="AJ47" t="e">
        <f>AND('STERLING CATALOG - DRY '!I904,"AAAAAGf36iM=")</f>
        <v>#VALUE!</v>
      </c>
      <c r="AK47" t="e">
        <f>AND('STERLING CATALOG - DRY '!J904,"AAAAAGf36iQ=")</f>
        <v>#VALUE!</v>
      </c>
      <c r="AL47">
        <f>IF('STERLING CATALOG - DRY '!905:905,"AAAAAGf36iU=",0)</f>
        <v>0</v>
      </c>
      <c r="AM47" t="e">
        <f>AND('STERLING CATALOG - DRY '!A905,"AAAAAGf36iY=")</f>
        <v>#VALUE!</v>
      </c>
      <c r="AN47" t="e">
        <f>AND('STERLING CATALOG - DRY '!B905,"AAAAAGf36ic=")</f>
        <v>#VALUE!</v>
      </c>
      <c r="AO47" t="e">
        <f>AND('STERLING CATALOG - DRY '!C905,"AAAAAGf36ig=")</f>
        <v>#VALUE!</v>
      </c>
      <c r="AP47" t="e">
        <f>AND('STERLING CATALOG - DRY '!D905,"AAAAAGf36ik=")</f>
        <v>#VALUE!</v>
      </c>
      <c r="AQ47" t="e">
        <f>AND('STERLING CATALOG - DRY '!E905,"AAAAAGf36io=")</f>
        <v>#VALUE!</v>
      </c>
      <c r="AR47" t="e">
        <f>AND('STERLING CATALOG - DRY '!F905,"AAAAAGf36is=")</f>
        <v>#VALUE!</v>
      </c>
      <c r="AS47" t="e">
        <f>AND('STERLING CATALOG - DRY '!G905,"AAAAAGf36iw=")</f>
        <v>#VALUE!</v>
      </c>
      <c r="AT47" t="e">
        <f>AND('STERLING CATALOG - DRY '!H905,"AAAAAGf36i0=")</f>
        <v>#VALUE!</v>
      </c>
      <c r="AU47" t="e">
        <f>AND('STERLING CATALOG - DRY '!I905,"AAAAAGf36i4=")</f>
        <v>#VALUE!</v>
      </c>
      <c r="AV47" t="e">
        <f>AND('STERLING CATALOG - DRY '!J905,"AAAAAGf36i8=")</f>
        <v>#VALUE!</v>
      </c>
      <c r="AW47">
        <f>IF('STERLING CATALOG - DRY '!906:906,"AAAAAGf36jA=",0)</f>
        <v>0</v>
      </c>
      <c r="AX47" t="e">
        <f>AND('STERLING CATALOG - DRY '!A906,"AAAAAGf36jE=")</f>
        <v>#VALUE!</v>
      </c>
      <c r="AY47" t="e">
        <f>AND('STERLING CATALOG - DRY '!B906,"AAAAAGf36jI=")</f>
        <v>#VALUE!</v>
      </c>
      <c r="AZ47" t="e">
        <f>AND('STERLING CATALOG - DRY '!C906,"AAAAAGf36jM=")</f>
        <v>#VALUE!</v>
      </c>
      <c r="BA47" t="e">
        <f>AND('STERLING CATALOG - DRY '!D906,"AAAAAGf36jQ=")</f>
        <v>#VALUE!</v>
      </c>
      <c r="BB47" t="e">
        <f>AND('STERLING CATALOG - DRY '!E906,"AAAAAGf36jU=")</f>
        <v>#VALUE!</v>
      </c>
      <c r="BC47" t="e">
        <f>AND('STERLING CATALOG - DRY '!F906,"AAAAAGf36jY=")</f>
        <v>#VALUE!</v>
      </c>
      <c r="BD47" t="e">
        <f>AND('STERLING CATALOG - DRY '!G906,"AAAAAGf36jc=")</f>
        <v>#VALUE!</v>
      </c>
      <c r="BE47" t="e">
        <f>AND('STERLING CATALOG - DRY '!H906,"AAAAAGf36jg=")</f>
        <v>#VALUE!</v>
      </c>
      <c r="BF47" t="e">
        <f>AND('STERLING CATALOG - DRY '!I906,"AAAAAGf36jk=")</f>
        <v>#VALUE!</v>
      </c>
      <c r="BG47" t="e">
        <f>AND('STERLING CATALOG - DRY '!J906,"AAAAAGf36jo=")</f>
        <v>#VALUE!</v>
      </c>
      <c r="BH47">
        <f>IF('STERLING CATALOG - DRY '!907:907,"AAAAAGf36js=",0)</f>
        <v>0</v>
      </c>
      <c r="BI47" t="e">
        <f>AND('STERLING CATALOG - DRY '!A907,"AAAAAGf36jw=")</f>
        <v>#VALUE!</v>
      </c>
      <c r="BJ47" t="e">
        <f>AND('STERLING CATALOG - DRY '!B907,"AAAAAGf36j0=")</f>
        <v>#VALUE!</v>
      </c>
      <c r="BK47" t="e">
        <f>AND('STERLING CATALOG - DRY '!C907,"AAAAAGf36j4=")</f>
        <v>#VALUE!</v>
      </c>
      <c r="BL47" t="e">
        <f>AND('STERLING CATALOG - DRY '!D907,"AAAAAGf36j8=")</f>
        <v>#VALUE!</v>
      </c>
      <c r="BM47" t="e">
        <f>AND('STERLING CATALOG - DRY '!E907,"AAAAAGf36kA=")</f>
        <v>#VALUE!</v>
      </c>
      <c r="BN47" t="e">
        <f>AND('STERLING CATALOG - DRY '!F907,"AAAAAGf36kE=")</f>
        <v>#VALUE!</v>
      </c>
      <c r="BO47" t="e">
        <f>AND('STERLING CATALOG - DRY '!G907,"AAAAAGf36kI=")</f>
        <v>#VALUE!</v>
      </c>
      <c r="BP47" t="e">
        <f>AND('STERLING CATALOG - DRY '!H907,"AAAAAGf36kM=")</f>
        <v>#VALUE!</v>
      </c>
      <c r="BQ47" t="e">
        <f>AND('STERLING CATALOG - DRY '!I907,"AAAAAGf36kQ=")</f>
        <v>#VALUE!</v>
      </c>
      <c r="BR47" t="e">
        <f>AND('STERLING CATALOG - DRY '!J907,"AAAAAGf36kU=")</f>
        <v>#VALUE!</v>
      </c>
      <c r="BS47">
        <f>IF('STERLING CATALOG - DRY '!908:908,"AAAAAGf36kY=",0)</f>
        <v>0</v>
      </c>
      <c r="BT47" t="e">
        <f>AND('STERLING CATALOG - DRY '!A908,"AAAAAGf36kc=")</f>
        <v>#VALUE!</v>
      </c>
      <c r="BU47" t="e">
        <f>AND('STERLING CATALOG - DRY '!B908,"AAAAAGf36kg=")</f>
        <v>#VALUE!</v>
      </c>
      <c r="BV47" t="e">
        <f>AND('STERLING CATALOG - DRY '!C908,"AAAAAGf36kk=")</f>
        <v>#VALUE!</v>
      </c>
      <c r="BW47" t="e">
        <f>AND('STERLING CATALOG - DRY '!D908,"AAAAAGf36ko=")</f>
        <v>#VALUE!</v>
      </c>
      <c r="BX47" t="e">
        <f>AND('STERLING CATALOG - DRY '!E908,"AAAAAGf36ks=")</f>
        <v>#VALUE!</v>
      </c>
      <c r="BY47" t="e">
        <f>AND('STERLING CATALOG - DRY '!F908,"AAAAAGf36kw=")</f>
        <v>#VALUE!</v>
      </c>
      <c r="BZ47" t="e">
        <f>AND('STERLING CATALOG - DRY '!G908,"AAAAAGf36k0=")</f>
        <v>#VALUE!</v>
      </c>
      <c r="CA47" t="e">
        <f>AND('STERLING CATALOG - DRY '!H908,"AAAAAGf36k4=")</f>
        <v>#VALUE!</v>
      </c>
      <c r="CB47" t="e">
        <f>AND('STERLING CATALOG - DRY '!I908,"AAAAAGf36k8=")</f>
        <v>#VALUE!</v>
      </c>
      <c r="CC47" t="e">
        <f>AND('STERLING CATALOG - DRY '!J908,"AAAAAGf36lA=")</f>
        <v>#VALUE!</v>
      </c>
      <c r="CD47">
        <f>IF('STERLING CATALOG - DRY '!909:909,"AAAAAGf36lE=",0)</f>
        <v>0</v>
      </c>
      <c r="CE47" t="e">
        <f>AND('STERLING CATALOG - DRY '!A909,"AAAAAGf36lI=")</f>
        <v>#VALUE!</v>
      </c>
      <c r="CF47" t="e">
        <f>AND('STERLING CATALOG - DRY '!B909,"AAAAAGf36lM=")</f>
        <v>#VALUE!</v>
      </c>
      <c r="CG47" t="e">
        <f>AND('STERLING CATALOG - DRY '!C909,"AAAAAGf36lQ=")</f>
        <v>#VALUE!</v>
      </c>
      <c r="CH47" t="e">
        <f>AND('STERLING CATALOG - DRY '!D909,"AAAAAGf36lU=")</f>
        <v>#VALUE!</v>
      </c>
      <c r="CI47" t="e">
        <f>AND('STERLING CATALOG - DRY '!E909,"AAAAAGf36lY=")</f>
        <v>#VALUE!</v>
      </c>
      <c r="CJ47" t="e">
        <f>AND('STERLING CATALOG - DRY '!F909,"AAAAAGf36lc=")</f>
        <v>#VALUE!</v>
      </c>
      <c r="CK47" t="e">
        <f>AND('STERLING CATALOG - DRY '!G909,"AAAAAGf36lg=")</f>
        <v>#VALUE!</v>
      </c>
      <c r="CL47" t="e">
        <f>AND('STERLING CATALOG - DRY '!H909,"AAAAAGf36lk=")</f>
        <v>#VALUE!</v>
      </c>
      <c r="CM47" t="e">
        <f>AND('STERLING CATALOG - DRY '!I909,"AAAAAGf36lo=")</f>
        <v>#VALUE!</v>
      </c>
      <c r="CN47" t="e">
        <f>AND('STERLING CATALOG - DRY '!J909,"AAAAAGf36ls=")</f>
        <v>#VALUE!</v>
      </c>
      <c r="CO47">
        <f>IF('STERLING CATALOG - DRY '!910:910,"AAAAAGf36lw=",0)</f>
        <v>0</v>
      </c>
      <c r="CP47" t="e">
        <f>AND('STERLING CATALOG - DRY '!A910,"AAAAAGf36l0=")</f>
        <v>#VALUE!</v>
      </c>
      <c r="CQ47" t="e">
        <f>AND('STERLING CATALOG - DRY '!B910,"AAAAAGf36l4=")</f>
        <v>#VALUE!</v>
      </c>
      <c r="CR47" t="e">
        <f>AND('STERLING CATALOG - DRY '!C910,"AAAAAGf36l8=")</f>
        <v>#VALUE!</v>
      </c>
      <c r="CS47" t="e">
        <f>AND('STERLING CATALOG - DRY '!D910,"AAAAAGf36mA=")</f>
        <v>#VALUE!</v>
      </c>
      <c r="CT47" t="e">
        <f>AND('STERLING CATALOG - DRY '!E910,"AAAAAGf36mE=")</f>
        <v>#VALUE!</v>
      </c>
      <c r="CU47" t="e">
        <f>AND('STERLING CATALOG - DRY '!F910,"AAAAAGf36mI=")</f>
        <v>#VALUE!</v>
      </c>
      <c r="CV47" t="e">
        <f>AND('STERLING CATALOG - DRY '!G910,"AAAAAGf36mM=")</f>
        <v>#VALUE!</v>
      </c>
      <c r="CW47" t="e">
        <f>AND('STERLING CATALOG - DRY '!H910,"AAAAAGf36mQ=")</f>
        <v>#VALUE!</v>
      </c>
      <c r="CX47" t="e">
        <f>AND('STERLING CATALOG - DRY '!I910,"AAAAAGf36mU=")</f>
        <v>#VALUE!</v>
      </c>
      <c r="CY47" t="e">
        <f>AND('STERLING CATALOG - DRY '!J910,"AAAAAGf36mY=")</f>
        <v>#VALUE!</v>
      </c>
      <c r="CZ47">
        <f>IF('STERLING CATALOG - DRY '!911:911,"AAAAAGf36mc=",0)</f>
        <v>0</v>
      </c>
      <c r="DA47" t="e">
        <f>AND('STERLING CATALOG - DRY '!A911,"AAAAAGf36mg=")</f>
        <v>#VALUE!</v>
      </c>
      <c r="DB47" t="e">
        <f>AND('STERLING CATALOG - DRY '!B911,"AAAAAGf36mk=")</f>
        <v>#VALUE!</v>
      </c>
      <c r="DC47" t="e">
        <f>AND('STERLING CATALOG - DRY '!C911,"AAAAAGf36mo=")</f>
        <v>#VALUE!</v>
      </c>
      <c r="DD47" t="e">
        <f>AND('STERLING CATALOG - DRY '!D911,"AAAAAGf36ms=")</f>
        <v>#VALUE!</v>
      </c>
      <c r="DE47" t="e">
        <f>AND('STERLING CATALOG - DRY '!E911,"AAAAAGf36mw=")</f>
        <v>#VALUE!</v>
      </c>
      <c r="DF47" t="e">
        <f>AND('STERLING CATALOG - DRY '!F911,"AAAAAGf36m0=")</f>
        <v>#VALUE!</v>
      </c>
      <c r="DG47" t="e">
        <f>AND('STERLING CATALOG - DRY '!G911,"AAAAAGf36m4=")</f>
        <v>#VALUE!</v>
      </c>
      <c r="DH47" t="e">
        <f>AND('STERLING CATALOG - DRY '!H911,"AAAAAGf36m8=")</f>
        <v>#VALUE!</v>
      </c>
      <c r="DI47" t="e">
        <f>AND('STERLING CATALOG - DRY '!I911,"AAAAAGf36nA=")</f>
        <v>#VALUE!</v>
      </c>
      <c r="DJ47" t="e">
        <f>AND('STERLING CATALOG - DRY '!J911,"AAAAAGf36nE=")</f>
        <v>#VALUE!</v>
      </c>
      <c r="DK47">
        <f>IF('STERLING CATALOG - DRY '!912:912,"AAAAAGf36nI=",0)</f>
        <v>0</v>
      </c>
      <c r="DL47" t="e">
        <f>AND('STERLING CATALOG - DRY '!A912,"AAAAAGf36nM=")</f>
        <v>#VALUE!</v>
      </c>
      <c r="DM47" t="e">
        <f>AND('STERLING CATALOG - DRY '!B912,"AAAAAGf36nQ=")</f>
        <v>#VALUE!</v>
      </c>
      <c r="DN47" t="e">
        <f>AND('STERLING CATALOG - DRY '!C912,"AAAAAGf36nU=")</f>
        <v>#VALUE!</v>
      </c>
      <c r="DO47" t="e">
        <f>AND('STERLING CATALOG - DRY '!D912,"AAAAAGf36nY=")</f>
        <v>#VALUE!</v>
      </c>
      <c r="DP47" t="e">
        <f>AND('STERLING CATALOG - DRY '!E912,"AAAAAGf36nc=")</f>
        <v>#VALUE!</v>
      </c>
      <c r="DQ47" t="e">
        <f>AND('STERLING CATALOG - DRY '!F912,"AAAAAGf36ng=")</f>
        <v>#VALUE!</v>
      </c>
      <c r="DR47" t="e">
        <f>AND('STERLING CATALOG - DRY '!G912,"AAAAAGf36nk=")</f>
        <v>#VALUE!</v>
      </c>
      <c r="DS47" t="e">
        <f>AND('STERLING CATALOG - DRY '!H912,"AAAAAGf36no=")</f>
        <v>#VALUE!</v>
      </c>
      <c r="DT47" t="e">
        <f>AND('STERLING CATALOG - DRY '!I912,"AAAAAGf36ns=")</f>
        <v>#VALUE!</v>
      </c>
      <c r="DU47" t="e">
        <f>AND('STERLING CATALOG - DRY '!J912,"AAAAAGf36nw=")</f>
        <v>#VALUE!</v>
      </c>
      <c r="DV47">
        <f>IF('STERLING CATALOG - DRY '!913:913,"AAAAAGf36n0=",0)</f>
        <v>0</v>
      </c>
      <c r="DW47" t="e">
        <f>AND('STERLING CATALOG - DRY '!A913,"AAAAAGf36n4=")</f>
        <v>#VALUE!</v>
      </c>
      <c r="DX47" t="e">
        <f>AND('STERLING CATALOG - DRY '!B913,"AAAAAGf36n8=")</f>
        <v>#VALUE!</v>
      </c>
      <c r="DY47" t="e">
        <f>AND('STERLING CATALOG - DRY '!C913,"AAAAAGf36oA=")</f>
        <v>#VALUE!</v>
      </c>
      <c r="DZ47" t="e">
        <f>AND('STERLING CATALOG - DRY '!D913,"AAAAAGf36oE=")</f>
        <v>#VALUE!</v>
      </c>
      <c r="EA47" t="e">
        <f>AND('STERLING CATALOG - DRY '!E913,"AAAAAGf36oI=")</f>
        <v>#VALUE!</v>
      </c>
      <c r="EB47" t="e">
        <f>AND('STERLING CATALOG - DRY '!F913,"AAAAAGf36oM=")</f>
        <v>#VALUE!</v>
      </c>
      <c r="EC47" t="e">
        <f>AND('STERLING CATALOG - DRY '!G913,"AAAAAGf36oQ=")</f>
        <v>#VALUE!</v>
      </c>
      <c r="ED47" t="e">
        <f>AND('STERLING CATALOG - DRY '!H913,"AAAAAGf36oU=")</f>
        <v>#VALUE!</v>
      </c>
      <c r="EE47" t="e">
        <f>AND('STERLING CATALOG - DRY '!I913,"AAAAAGf36oY=")</f>
        <v>#VALUE!</v>
      </c>
      <c r="EF47" t="e">
        <f>AND('STERLING CATALOG - DRY '!J913,"AAAAAGf36oc=")</f>
        <v>#VALUE!</v>
      </c>
      <c r="EG47">
        <f>IF('STERLING CATALOG - DRY '!914:914,"AAAAAGf36og=",0)</f>
        <v>0</v>
      </c>
      <c r="EH47" t="e">
        <f>AND('STERLING CATALOG - DRY '!A914,"AAAAAGf36ok=")</f>
        <v>#VALUE!</v>
      </c>
      <c r="EI47" t="e">
        <f>AND('STERLING CATALOG - DRY '!B914,"AAAAAGf36oo=")</f>
        <v>#VALUE!</v>
      </c>
      <c r="EJ47" t="e">
        <f>AND('STERLING CATALOG - DRY '!C914,"AAAAAGf36os=")</f>
        <v>#VALUE!</v>
      </c>
      <c r="EK47" t="e">
        <f>AND('STERLING CATALOG - DRY '!D914,"AAAAAGf36ow=")</f>
        <v>#VALUE!</v>
      </c>
      <c r="EL47" t="e">
        <f>AND('STERLING CATALOG - DRY '!E914,"AAAAAGf36o0=")</f>
        <v>#VALUE!</v>
      </c>
      <c r="EM47" t="e">
        <f>AND('STERLING CATALOG - DRY '!F914,"AAAAAGf36o4=")</f>
        <v>#VALUE!</v>
      </c>
      <c r="EN47" t="e">
        <f>AND('STERLING CATALOG - DRY '!G914,"AAAAAGf36o8=")</f>
        <v>#VALUE!</v>
      </c>
      <c r="EO47" t="e">
        <f>AND('STERLING CATALOG - DRY '!H914,"AAAAAGf36pA=")</f>
        <v>#VALUE!</v>
      </c>
      <c r="EP47" t="e">
        <f>AND('STERLING CATALOG - DRY '!I914,"AAAAAGf36pE=")</f>
        <v>#VALUE!</v>
      </c>
      <c r="EQ47" t="e">
        <f>AND('STERLING CATALOG - DRY '!J914,"AAAAAGf36pI=")</f>
        <v>#VALUE!</v>
      </c>
      <c r="ER47">
        <f>IF('STERLING CATALOG - DRY '!915:915,"AAAAAGf36pM=",0)</f>
        <v>0</v>
      </c>
      <c r="ES47" t="e">
        <f>AND('STERLING CATALOG - DRY '!A915,"AAAAAGf36pQ=")</f>
        <v>#VALUE!</v>
      </c>
      <c r="ET47" t="e">
        <f>AND('STERLING CATALOG - DRY '!B915,"AAAAAGf36pU=")</f>
        <v>#VALUE!</v>
      </c>
      <c r="EU47" t="e">
        <f>AND('STERLING CATALOG - DRY '!C915,"AAAAAGf36pY=")</f>
        <v>#VALUE!</v>
      </c>
      <c r="EV47" t="e">
        <f>AND('STERLING CATALOG - DRY '!D915,"AAAAAGf36pc=")</f>
        <v>#VALUE!</v>
      </c>
      <c r="EW47" t="e">
        <f>AND('STERLING CATALOG - DRY '!E915,"AAAAAGf36pg=")</f>
        <v>#VALUE!</v>
      </c>
      <c r="EX47" t="e">
        <f>AND('STERLING CATALOG - DRY '!F915,"AAAAAGf36pk=")</f>
        <v>#VALUE!</v>
      </c>
      <c r="EY47" t="e">
        <f>AND('STERLING CATALOG - DRY '!G915,"AAAAAGf36po=")</f>
        <v>#VALUE!</v>
      </c>
      <c r="EZ47" t="e">
        <f>AND('STERLING CATALOG - DRY '!H915,"AAAAAGf36ps=")</f>
        <v>#VALUE!</v>
      </c>
      <c r="FA47" t="e">
        <f>AND('STERLING CATALOG - DRY '!I915,"AAAAAGf36pw=")</f>
        <v>#VALUE!</v>
      </c>
      <c r="FB47" t="e">
        <f>AND('STERLING CATALOG - DRY '!J915,"AAAAAGf36p0=")</f>
        <v>#VALUE!</v>
      </c>
      <c r="FC47">
        <f>IF('STERLING CATALOG - DRY '!916:916,"AAAAAGf36p4=",0)</f>
        <v>0</v>
      </c>
      <c r="FD47" t="e">
        <f>AND('STERLING CATALOG - DRY '!A916,"AAAAAGf36p8=")</f>
        <v>#VALUE!</v>
      </c>
      <c r="FE47" t="e">
        <f>AND('STERLING CATALOG - DRY '!B916,"AAAAAGf36qA=")</f>
        <v>#VALUE!</v>
      </c>
      <c r="FF47" t="e">
        <f>AND('STERLING CATALOG - DRY '!C916,"AAAAAGf36qE=")</f>
        <v>#VALUE!</v>
      </c>
      <c r="FG47" t="e">
        <f>AND('STERLING CATALOG - DRY '!D916,"AAAAAGf36qI=")</f>
        <v>#VALUE!</v>
      </c>
      <c r="FH47" t="e">
        <f>AND('STERLING CATALOG - DRY '!E916,"AAAAAGf36qM=")</f>
        <v>#VALUE!</v>
      </c>
      <c r="FI47" t="e">
        <f>AND('STERLING CATALOG - DRY '!F916,"AAAAAGf36qQ=")</f>
        <v>#VALUE!</v>
      </c>
      <c r="FJ47" t="e">
        <f>AND('STERLING CATALOG - DRY '!G916,"AAAAAGf36qU=")</f>
        <v>#VALUE!</v>
      </c>
      <c r="FK47" t="e">
        <f>AND('STERLING CATALOG - DRY '!H916,"AAAAAGf36qY=")</f>
        <v>#VALUE!</v>
      </c>
      <c r="FL47" t="e">
        <f>AND('STERLING CATALOG - DRY '!I916,"AAAAAGf36qc=")</f>
        <v>#VALUE!</v>
      </c>
      <c r="FM47" t="e">
        <f>AND('STERLING CATALOG - DRY '!J916,"AAAAAGf36qg=")</f>
        <v>#VALUE!</v>
      </c>
      <c r="FN47">
        <f>IF('STERLING CATALOG - DRY '!917:917,"AAAAAGf36qk=",0)</f>
        <v>0</v>
      </c>
      <c r="FO47" t="e">
        <f>AND('STERLING CATALOG - DRY '!A917,"AAAAAGf36qo=")</f>
        <v>#VALUE!</v>
      </c>
      <c r="FP47" t="e">
        <f>AND('STERLING CATALOG - DRY '!B917,"AAAAAGf36qs=")</f>
        <v>#VALUE!</v>
      </c>
      <c r="FQ47" t="e">
        <f>AND('STERLING CATALOG - DRY '!C917,"AAAAAGf36qw=")</f>
        <v>#VALUE!</v>
      </c>
      <c r="FR47" t="e">
        <f>AND('STERLING CATALOG - DRY '!D917,"AAAAAGf36q0=")</f>
        <v>#VALUE!</v>
      </c>
      <c r="FS47" t="e">
        <f>AND('STERLING CATALOG - DRY '!E917,"AAAAAGf36q4=")</f>
        <v>#VALUE!</v>
      </c>
      <c r="FT47" t="e">
        <f>AND('STERLING CATALOG - DRY '!F917,"AAAAAGf36q8=")</f>
        <v>#VALUE!</v>
      </c>
      <c r="FU47" t="e">
        <f>AND('STERLING CATALOG - DRY '!G917,"AAAAAGf36rA=")</f>
        <v>#VALUE!</v>
      </c>
      <c r="FV47" t="e">
        <f>AND('STERLING CATALOG - DRY '!H917,"AAAAAGf36rE=")</f>
        <v>#VALUE!</v>
      </c>
      <c r="FW47" t="e">
        <f>AND('STERLING CATALOG - DRY '!I917,"AAAAAGf36rI=")</f>
        <v>#VALUE!</v>
      </c>
      <c r="FX47" t="e">
        <f>AND('STERLING CATALOG - DRY '!J917,"AAAAAGf36rM=")</f>
        <v>#VALUE!</v>
      </c>
      <c r="FY47">
        <f>IF('STERLING CATALOG - DRY '!918:918,"AAAAAGf36rQ=",0)</f>
        <v>0</v>
      </c>
      <c r="FZ47" t="e">
        <f>AND('STERLING CATALOG - DRY '!A918,"AAAAAGf36rU=")</f>
        <v>#VALUE!</v>
      </c>
      <c r="GA47" t="e">
        <f>AND('STERLING CATALOG - DRY '!B918,"AAAAAGf36rY=")</f>
        <v>#VALUE!</v>
      </c>
      <c r="GB47" t="e">
        <f>AND('STERLING CATALOG - DRY '!C918,"AAAAAGf36rc=")</f>
        <v>#VALUE!</v>
      </c>
      <c r="GC47" t="e">
        <f>AND('STERLING CATALOG - DRY '!D918,"AAAAAGf36rg=")</f>
        <v>#VALUE!</v>
      </c>
      <c r="GD47" t="e">
        <f>AND('STERLING CATALOG - DRY '!E918,"AAAAAGf36rk=")</f>
        <v>#VALUE!</v>
      </c>
      <c r="GE47" t="e">
        <f>AND('STERLING CATALOG - DRY '!F918,"AAAAAGf36ro=")</f>
        <v>#VALUE!</v>
      </c>
      <c r="GF47" t="e">
        <f>AND('STERLING CATALOG - DRY '!G918,"AAAAAGf36rs=")</f>
        <v>#VALUE!</v>
      </c>
      <c r="GG47" t="e">
        <f>AND('STERLING CATALOG - DRY '!H918,"AAAAAGf36rw=")</f>
        <v>#VALUE!</v>
      </c>
      <c r="GH47" t="e">
        <f>AND('STERLING CATALOG - DRY '!I918,"AAAAAGf36r0=")</f>
        <v>#VALUE!</v>
      </c>
      <c r="GI47" t="e">
        <f>AND('STERLING CATALOG - DRY '!J918,"AAAAAGf36r4=")</f>
        <v>#VALUE!</v>
      </c>
      <c r="GJ47">
        <f>IF('STERLING CATALOG - DRY '!919:919,"AAAAAGf36r8=",0)</f>
        <v>0</v>
      </c>
      <c r="GK47" t="e">
        <f>AND('STERLING CATALOG - DRY '!A919,"AAAAAGf36sA=")</f>
        <v>#VALUE!</v>
      </c>
      <c r="GL47" t="e">
        <f>AND('STERLING CATALOG - DRY '!B919,"AAAAAGf36sE=")</f>
        <v>#VALUE!</v>
      </c>
      <c r="GM47" t="e">
        <f>AND('STERLING CATALOG - DRY '!C919,"AAAAAGf36sI=")</f>
        <v>#VALUE!</v>
      </c>
      <c r="GN47" t="e">
        <f>AND('STERLING CATALOG - DRY '!D919,"AAAAAGf36sM=")</f>
        <v>#VALUE!</v>
      </c>
      <c r="GO47" t="e">
        <f>AND('STERLING CATALOG - DRY '!E919,"AAAAAGf36sQ=")</f>
        <v>#VALUE!</v>
      </c>
      <c r="GP47" t="e">
        <f>AND('STERLING CATALOG - DRY '!F919,"AAAAAGf36sU=")</f>
        <v>#VALUE!</v>
      </c>
      <c r="GQ47" t="e">
        <f>AND('STERLING CATALOG - DRY '!G919,"AAAAAGf36sY=")</f>
        <v>#VALUE!</v>
      </c>
      <c r="GR47" t="e">
        <f>AND('STERLING CATALOG - DRY '!H919,"AAAAAGf36sc=")</f>
        <v>#VALUE!</v>
      </c>
      <c r="GS47" t="e">
        <f>AND('STERLING CATALOG - DRY '!I919,"AAAAAGf36sg=")</f>
        <v>#VALUE!</v>
      </c>
      <c r="GT47" t="e">
        <f>AND('STERLING CATALOG - DRY '!J919,"AAAAAGf36sk=")</f>
        <v>#VALUE!</v>
      </c>
      <c r="GU47">
        <f>IF('STERLING CATALOG - DRY '!920:920,"AAAAAGf36so=",0)</f>
        <v>0</v>
      </c>
      <c r="GV47" t="e">
        <f>AND('STERLING CATALOG - DRY '!A920,"AAAAAGf36ss=")</f>
        <v>#VALUE!</v>
      </c>
      <c r="GW47" t="e">
        <f>AND('STERLING CATALOG - DRY '!B920,"AAAAAGf36sw=")</f>
        <v>#VALUE!</v>
      </c>
      <c r="GX47" t="e">
        <f>AND('STERLING CATALOG - DRY '!C920,"AAAAAGf36s0=")</f>
        <v>#VALUE!</v>
      </c>
      <c r="GY47" t="e">
        <f>AND('STERLING CATALOG - DRY '!D920,"AAAAAGf36s4=")</f>
        <v>#VALUE!</v>
      </c>
      <c r="GZ47" t="e">
        <f>AND('STERLING CATALOG - DRY '!E920,"AAAAAGf36s8=")</f>
        <v>#VALUE!</v>
      </c>
      <c r="HA47" t="e">
        <f>AND('STERLING CATALOG - DRY '!F920,"AAAAAGf36tA=")</f>
        <v>#VALUE!</v>
      </c>
      <c r="HB47" t="e">
        <f>AND('STERLING CATALOG - DRY '!G920,"AAAAAGf36tE=")</f>
        <v>#VALUE!</v>
      </c>
      <c r="HC47" t="e">
        <f>AND('STERLING CATALOG - DRY '!H920,"AAAAAGf36tI=")</f>
        <v>#VALUE!</v>
      </c>
      <c r="HD47" t="e">
        <f>AND('STERLING CATALOG - DRY '!I920,"AAAAAGf36tM=")</f>
        <v>#VALUE!</v>
      </c>
      <c r="HE47" t="e">
        <f>AND('STERLING CATALOG - DRY '!J920,"AAAAAGf36tQ=")</f>
        <v>#VALUE!</v>
      </c>
      <c r="HF47">
        <f>IF('STERLING CATALOG - DRY '!921:921,"AAAAAGf36tU=",0)</f>
        <v>0</v>
      </c>
      <c r="HG47" t="e">
        <f>AND('STERLING CATALOG - DRY '!A921,"AAAAAGf36tY=")</f>
        <v>#VALUE!</v>
      </c>
      <c r="HH47" t="e">
        <f>AND('STERLING CATALOG - DRY '!B921,"AAAAAGf36tc=")</f>
        <v>#VALUE!</v>
      </c>
      <c r="HI47" t="e">
        <f>AND('STERLING CATALOG - DRY '!C921,"AAAAAGf36tg=")</f>
        <v>#VALUE!</v>
      </c>
      <c r="HJ47" t="e">
        <f>AND('STERLING CATALOG - DRY '!D921,"AAAAAGf36tk=")</f>
        <v>#VALUE!</v>
      </c>
      <c r="HK47" t="e">
        <f>AND('STERLING CATALOG - DRY '!E921,"AAAAAGf36to=")</f>
        <v>#VALUE!</v>
      </c>
      <c r="HL47" t="e">
        <f>AND('STERLING CATALOG - DRY '!F921,"AAAAAGf36ts=")</f>
        <v>#VALUE!</v>
      </c>
      <c r="HM47" t="e">
        <f>AND('STERLING CATALOG - DRY '!G921,"AAAAAGf36tw=")</f>
        <v>#VALUE!</v>
      </c>
      <c r="HN47" t="e">
        <f>AND('STERLING CATALOG - DRY '!H921,"AAAAAGf36t0=")</f>
        <v>#VALUE!</v>
      </c>
      <c r="HO47" t="e">
        <f>AND('STERLING CATALOG - DRY '!I921,"AAAAAGf36t4=")</f>
        <v>#VALUE!</v>
      </c>
      <c r="HP47" t="e">
        <f>AND('STERLING CATALOG - DRY '!J921,"AAAAAGf36t8=")</f>
        <v>#VALUE!</v>
      </c>
      <c r="HQ47">
        <f>IF('STERLING CATALOG - DRY '!922:922,"AAAAAGf36uA=",0)</f>
        <v>0</v>
      </c>
      <c r="HR47" t="e">
        <f>AND('STERLING CATALOG - DRY '!A922,"AAAAAGf36uE=")</f>
        <v>#VALUE!</v>
      </c>
      <c r="HS47" t="e">
        <f>AND('STERLING CATALOG - DRY '!B922,"AAAAAGf36uI=")</f>
        <v>#VALUE!</v>
      </c>
      <c r="HT47" t="e">
        <f>AND('STERLING CATALOG - DRY '!C922,"AAAAAGf36uM=")</f>
        <v>#VALUE!</v>
      </c>
      <c r="HU47" t="e">
        <f>AND('STERLING CATALOG - DRY '!D922,"AAAAAGf36uQ=")</f>
        <v>#VALUE!</v>
      </c>
      <c r="HV47" t="e">
        <f>AND('STERLING CATALOG - DRY '!E922,"AAAAAGf36uU=")</f>
        <v>#VALUE!</v>
      </c>
      <c r="HW47" t="e">
        <f>AND('STERLING CATALOG - DRY '!F922,"AAAAAGf36uY=")</f>
        <v>#VALUE!</v>
      </c>
      <c r="HX47" t="e">
        <f>AND('STERLING CATALOG - DRY '!G922,"AAAAAGf36uc=")</f>
        <v>#VALUE!</v>
      </c>
      <c r="HY47" t="e">
        <f>AND('STERLING CATALOG - DRY '!H922,"AAAAAGf36ug=")</f>
        <v>#VALUE!</v>
      </c>
      <c r="HZ47" t="e">
        <f>AND('STERLING CATALOG - DRY '!I922,"AAAAAGf36uk=")</f>
        <v>#VALUE!</v>
      </c>
      <c r="IA47" t="e">
        <f>AND('STERLING CATALOG - DRY '!J922,"AAAAAGf36uo=")</f>
        <v>#VALUE!</v>
      </c>
      <c r="IB47">
        <f>IF('STERLING CATALOG - DRY '!923:923,"AAAAAGf36us=",0)</f>
        <v>0</v>
      </c>
      <c r="IC47" t="e">
        <f>AND('STERLING CATALOG - DRY '!A923,"AAAAAGf36uw=")</f>
        <v>#VALUE!</v>
      </c>
      <c r="ID47" t="e">
        <f>AND('STERLING CATALOG - DRY '!B923,"AAAAAGf36u0=")</f>
        <v>#VALUE!</v>
      </c>
      <c r="IE47" t="e">
        <f>AND('STERLING CATALOG - DRY '!C923,"AAAAAGf36u4=")</f>
        <v>#VALUE!</v>
      </c>
      <c r="IF47" t="e">
        <f>AND('STERLING CATALOG - DRY '!D923,"AAAAAGf36u8=")</f>
        <v>#VALUE!</v>
      </c>
      <c r="IG47" t="e">
        <f>AND('STERLING CATALOG - DRY '!E923,"AAAAAGf36vA=")</f>
        <v>#VALUE!</v>
      </c>
      <c r="IH47" t="e">
        <f>AND('STERLING CATALOG - DRY '!F923,"AAAAAGf36vE=")</f>
        <v>#VALUE!</v>
      </c>
      <c r="II47" t="e">
        <f>AND('STERLING CATALOG - DRY '!G923,"AAAAAGf36vI=")</f>
        <v>#VALUE!</v>
      </c>
      <c r="IJ47" t="e">
        <f>AND('STERLING CATALOG - DRY '!H923,"AAAAAGf36vM=")</f>
        <v>#VALUE!</v>
      </c>
      <c r="IK47" t="e">
        <f>AND('STERLING CATALOG - DRY '!I923,"AAAAAGf36vQ=")</f>
        <v>#VALUE!</v>
      </c>
      <c r="IL47" t="e">
        <f>AND('STERLING CATALOG - DRY '!J923,"AAAAAGf36vU=")</f>
        <v>#VALUE!</v>
      </c>
      <c r="IM47">
        <f>IF('STERLING CATALOG - DRY '!924:924,"AAAAAGf36vY=",0)</f>
        <v>0</v>
      </c>
      <c r="IN47" t="e">
        <f>AND('STERLING CATALOG - DRY '!A924,"AAAAAGf36vc=")</f>
        <v>#VALUE!</v>
      </c>
      <c r="IO47" t="e">
        <f>AND('STERLING CATALOG - DRY '!B924,"AAAAAGf36vg=")</f>
        <v>#VALUE!</v>
      </c>
      <c r="IP47" t="e">
        <f>AND('STERLING CATALOG - DRY '!C924,"AAAAAGf36vk=")</f>
        <v>#VALUE!</v>
      </c>
      <c r="IQ47" t="e">
        <f>AND('STERLING CATALOG - DRY '!D924,"AAAAAGf36vo=")</f>
        <v>#VALUE!</v>
      </c>
      <c r="IR47" t="e">
        <f>AND('STERLING CATALOG - DRY '!E924,"AAAAAGf36vs=")</f>
        <v>#VALUE!</v>
      </c>
      <c r="IS47" t="e">
        <f>AND('STERLING CATALOG - DRY '!F924,"AAAAAGf36vw=")</f>
        <v>#VALUE!</v>
      </c>
      <c r="IT47" t="e">
        <f>AND('STERLING CATALOG - DRY '!G924,"AAAAAGf36v0=")</f>
        <v>#VALUE!</v>
      </c>
      <c r="IU47" t="e">
        <f>AND('STERLING CATALOG - DRY '!H924,"AAAAAGf36v4=")</f>
        <v>#VALUE!</v>
      </c>
      <c r="IV47" t="e">
        <f>AND('STERLING CATALOG - DRY '!I924,"AAAAAGf36v8=")</f>
        <v>#VALUE!</v>
      </c>
    </row>
    <row r="48" spans="1:256">
      <c r="A48" t="e">
        <f>AND('STERLING CATALOG - DRY '!J924,"AAAAAH3/3wA=")</f>
        <v>#VALUE!</v>
      </c>
      <c r="B48" t="str">
        <f>IF('STERLING CATALOG - DRY '!925:925,"AAAAAH3/3wE=",0)</f>
        <v>AAAAAH3/3wE=</v>
      </c>
      <c r="C48" t="e">
        <f>AND('STERLING CATALOG - DRY '!A925,"AAAAAH3/3wI=")</f>
        <v>#VALUE!</v>
      </c>
      <c r="D48" t="e">
        <f>AND('STERLING CATALOG - DRY '!B925,"AAAAAH3/3wM=")</f>
        <v>#VALUE!</v>
      </c>
      <c r="E48" t="e">
        <f>AND('STERLING CATALOG - DRY '!C925,"AAAAAH3/3wQ=")</f>
        <v>#VALUE!</v>
      </c>
      <c r="F48" t="e">
        <f>AND('STERLING CATALOG - DRY '!D925,"AAAAAH3/3wU=")</f>
        <v>#VALUE!</v>
      </c>
      <c r="G48" t="e">
        <f>AND('STERLING CATALOG - DRY '!E925,"AAAAAH3/3wY=")</f>
        <v>#VALUE!</v>
      </c>
      <c r="H48" t="e">
        <f>AND('STERLING CATALOG - DRY '!F925,"AAAAAH3/3wc=")</f>
        <v>#VALUE!</v>
      </c>
      <c r="I48" t="e">
        <f>AND('STERLING CATALOG - DRY '!G925,"AAAAAH3/3wg=")</f>
        <v>#VALUE!</v>
      </c>
      <c r="J48" t="e">
        <f>AND('STERLING CATALOG - DRY '!H925,"AAAAAH3/3wk=")</f>
        <v>#VALUE!</v>
      </c>
      <c r="K48" t="e">
        <f>AND('STERLING CATALOG - DRY '!I925,"AAAAAH3/3wo=")</f>
        <v>#VALUE!</v>
      </c>
      <c r="L48" t="e">
        <f>AND('STERLING CATALOG - DRY '!J925,"AAAAAH3/3ws=")</f>
        <v>#VALUE!</v>
      </c>
      <c r="M48">
        <f>IF('STERLING CATALOG - DRY '!926:926,"AAAAAH3/3ww=",0)</f>
        <v>0</v>
      </c>
      <c r="N48" t="e">
        <f>AND('STERLING CATALOG - DRY '!A926,"AAAAAH3/3w0=")</f>
        <v>#VALUE!</v>
      </c>
      <c r="O48" t="e">
        <f>AND('STERLING CATALOG - DRY '!B926,"AAAAAH3/3w4=")</f>
        <v>#VALUE!</v>
      </c>
      <c r="P48" t="e">
        <f>AND('STERLING CATALOG - DRY '!C926,"AAAAAH3/3w8=")</f>
        <v>#VALUE!</v>
      </c>
      <c r="Q48" t="e">
        <f>AND('STERLING CATALOG - DRY '!D926,"AAAAAH3/3xA=")</f>
        <v>#VALUE!</v>
      </c>
      <c r="R48" t="e">
        <f>AND('STERLING CATALOG - DRY '!E926,"AAAAAH3/3xE=")</f>
        <v>#VALUE!</v>
      </c>
      <c r="S48" t="e">
        <f>AND('STERLING CATALOG - DRY '!F926,"AAAAAH3/3xI=")</f>
        <v>#VALUE!</v>
      </c>
      <c r="T48" t="e">
        <f>AND('STERLING CATALOG - DRY '!G926,"AAAAAH3/3xM=")</f>
        <v>#VALUE!</v>
      </c>
      <c r="U48" t="e">
        <f>AND('STERLING CATALOG - DRY '!H926,"AAAAAH3/3xQ=")</f>
        <v>#VALUE!</v>
      </c>
      <c r="V48" t="e">
        <f>AND('STERLING CATALOG - DRY '!I926,"AAAAAH3/3xU=")</f>
        <v>#VALUE!</v>
      </c>
      <c r="W48" t="e">
        <f>AND('STERLING CATALOG - DRY '!J926,"AAAAAH3/3xY=")</f>
        <v>#VALUE!</v>
      </c>
      <c r="X48">
        <f>IF('STERLING CATALOG - DRY '!927:927,"AAAAAH3/3xc=",0)</f>
        <v>0</v>
      </c>
      <c r="Y48" t="e">
        <f>AND('STERLING CATALOG - DRY '!A927,"AAAAAH3/3xg=")</f>
        <v>#VALUE!</v>
      </c>
      <c r="Z48" t="e">
        <f>AND('STERLING CATALOG - DRY '!B927,"AAAAAH3/3xk=")</f>
        <v>#VALUE!</v>
      </c>
      <c r="AA48" t="e">
        <f>AND('STERLING CATALOG - DRY '!C927,"AAAAAH3/3xo=")</f>
        <v>#VALUE!</v>
      </c>
      <c r="AB48" t="e">
        <f>AND('STERLING CATALOG - DRY '!D927,"AAAAAH3/3xs=")</f>
        <v>#VALUE!</v>
      </c>
      <c r="AC48" t="e">
        <f>AND('STERLING CATALOG - DRY '!E927,"AAAAAH3/3xw=")</f>
        <v>#VALUE!</v>
      </c>
      <c r="AD48" t="e">
        <f>AND('STERLING CATALOG - DRY '!F927,"AAAAAH3/3x0=")</f>
        <v>#VALUE!</v>
      </c>
      <c r="AE48" t="e">
        <f>AND('STERLING CATALOG - DRY '!G927,"AAAAAH3/3x4=")</f>
        <v>#VALUE!</v>
      </c>
      <c r="AF48" t="e">
        <f>AND('STERLING CATALOG - DRY '!H927,"AAAAAH3/3x8=")</f>
        <v>#VALUE!</v>
      </c>
      <c r="AG48" t="e">
        <f>AND('STERLING CATALOG - DRY '!I927,"AAAAAH3/3yA=")</f>
        <v>#VALUE!</v>
      </c>
      <c r="AH48" t="e">
        <f>AND('STERLING CATALOG - DRY '!J927,"AAAAAH3/3yE=")</f>
        <v>#VALUE!</v>
      </c>
      <c r="AI48">
        <f>IF('STERLING CATALOG - DRY '!928:928,"AAAAAH3/3yI=",0)</f>
        <v>0</v>
      </c>
      <c r="AJ48" t="e">
        <f>AND('STERLING CATALOG - DRY '!A928,"AAAAAH3/3yM=")</f>
        <v>#VALUE!</v>
      </c>
      <c r="AK48" t="e">
        <f>AND('STERLING CATALOG - DRY '!B928,"AAAAAH3/3yQ=")</f>
        <v>#VALUE!</v>
      </c>
      <c r="AL48" t="e">
        <f>AND('STERLING CATALOG - DRY '!C928,"AAAAAH3/3yU=")</f>
        <v>#VALUE!</v>
      </c>
      <c r="AM48" t="e">
        <f>AND('STERLING CATALOG - DRY '!D928,"AAAAAH3/3yY=")</f>
        <v>#VALUE!</v>
      </c>
      <c r="AN48" t="e">
        <f>AND('STERLING CATALOG - DRY '!E928,"AAAAAH3/3yc=")</f>
        <v>#VALUE!</v>
      </c>
      <c r="AO48" t="e">
        <f>AND('STERLING CATALOG - DRY '!F928,"AAAAAH3/3yg=")</f>
        <v>#VALUE!</v>
      </c>
      <c r="AP48" t="e">
        <f>AND('STERLING CATALOG - DRY '!G928,"AAAAAH3/3yk=")</f>
        <v>#VALUE!</v>
      </c>
      <c r="AQ48" t="e">
        <f>AND('STERLING CATALOG - DRY '!H928,"AAAAAH3/3yo=")</f>
        <v>#VALUE!</v>
      </c>
      <c r="AR48" t="e">
        <f>AND('STERLING CATALOG - DRY '!I928,"AAAAAH3/3ys=")</f>
        <v>#VALUE!</v>
      </c>
      <c r="AS48" t="e">
        <f>AND('STERLING CATALOG - DRY '!J928,"AAAAAH3/3yw=")</f>
        <v>#VALUE!</v>
      </c>
      <c r="AT48">
        <f>IF('STERLING CATALOG - DRY '!929:929,"AAAAAH3/3y0=",0)</f>
        <v>0</v>
      </c>
      <c r="AU48" t="e">
        <f>AND('STERLING CATALOG - DRY '!A929,"AAAAAH3/3y4=")</f>
        <v>#VALUE!</v>
      </c>
      <c r="AV48" t="e">
        <f>AND('STERLING CATALOG - DRY '!B929,"AAAAAH3/3y8=")</f>
        <v>#VALUE!</v>
      </c>
      <c r="AW48" t="e">
        <f>AND('STERLING CATALOG - DRY '!C929,"AAAAAH3/3zA=")</f>
        <v>#VALUE!</v>
      </c>
      <c r="AX48" t="e">
        <f>AND('STERLING CATALOG - DRY '!D929,"AAAAAH3/3zE=")</f>
        <v>#VALUE!</v>
      </c>
      <c r="AY48" t="e">
        <f>AND('STERLING CATALOG - DRY '!E929,"AAAAAH3/3zI=")</f>
        <v>#VALUE!</v>
      </c>
      <c r="AZ48" t="e">
        <f>AND('STERLING CATALOG - DRY '!F929,"AAAAAH3/3zM=")</f>
        <v>#VALUE!</v>
      </c>
      <c r="BA48" t="e">
        <f>AND('STERLING CATALOG - DRY '!G929,"AAAAAH3/3zQ=")</f>
        <v>#VALUE!</v>
      </c>
      <c r="BB48" t="e">
        <f>AND('STERLING CATALOG - DRY '!H929,"AAAAAH3/3zU=")</f>
        <v>#VALUE!</v>
      </c>
      <c r="BC48" t="e">
        <f>AND('STERLING CATALOG - DRY '!I929,"AAAAAH3/3zY=")</f>
        <v>#VALUE!</v>
      </c>
      <c r="BD48" t="e">
        <f>AND('STERLING CATALOG - DRY '!J929,"AAAAAH3/3zc=")</f>
        <v>#VALUE!</v>
      </c>
      <c r="BE48">
        <f>IF('STERLING CATALOG - DRY '!930:930,"AAAAAH3/3zg=",0)</f>
        <v>0</v>
      </c>
      <c r="BF48" t="e">
        <f>AND('STERLING CATALOG - DRY '!A930,"AAAAAH3/3zk=")</f>
        <v>#VALUE!</v>
      </c>
      <c r="BG48" t="e">
        <f>AND('STERLING CATALOG - DRY '!B930,"AAAAAH3/3zo=")</f>
        <v>#VALUE!</v>
      </c>
      <c r="BH48" t="e">
        <f>AND('STERLING CATALOG - DRY '!C930,"AAAAAH3/3zs=")</f>
        <v>#VALUE!</v>
      </c>
      <c r="BI48" t="e">
        <f>AND('STERLING CATALOG - DRY '!D930,"AAAAAH3/3zw=")</f>
        <v>#VALUE!</v>
      </c>
      <c r="BJ48" t="e">
        <f>AND('STERLING CATALOG - DRY '!E930,"AAAAAH3/3z0=")</f>
        <v>#VALUE!</v>
      </c>
      <c r="BK48" t="e">
        <f>AND('STERLING CATALOG - DRY '!F930,"AAAAAH3/3z4=")</f>
        <v>#VALUE!</v>
      </c>
      <c r="BL48" t="e">
        <f>AND('STERLING CATALOG - DRY '!G930,"AAAAAH3/3z8=")</f>
        <v>#VALUE!</v>
      </c>
      <c r="BM48" t="e">
        <f>AND('STERLING CATALOG - DRY '!H930,"AAAAAH3/30A=")</f>
        <v>#VALUE!</v>
      </c>
      <c r="BN48" t="e">
        <f>AND('STERLING CATALOG - DRY '!I930,"AAAAAH3/30E=")</f>
        <v>#VALUE!</v>
      </c>
      <c r="BO48" t="e">
        <f>AND('STERLING CATALOG - DRY '!J930,"AAAAAH3/30I=")</f>
        <v>#VALUE!</v>
      </c>
      <c r="BP48">
        <f>IF('STERLING CATALOG - DRY '!931:931,"AAAAAH3/30M=",0)</f>
        <v>0</v>
      </c>
      <c r="BQ48" t="e">
        <f>AND('STERLING CATALOG - DRY '!A931,"AAAAAH3/30Q=")</f>
        <v>#VALUE!</v>
      </c>
      <c r="BR48" t="e">
        <f>AND('STERLING CATALOG - DRY '!B931,"AAAAAH3/30U=")</f>
        <v>#VALUE!</v>
      </c>
      <c r="BS48" t="e">
        <f>AND('STERLING CATALOG - DRY '!C931,"AAAAAH3/30Y=")</f>
        <v>#VALUE!</v>
      </c>
      <c r="BT48" t="e">
        <f>AND('STERLING CATALOG - DRY '!D931,"AAAAAH3/30c=")</f>
        <v>#VALUE!</v>
      </c>
      <c r="BU48" t="e">
        <f>AND('STERLING CATALOG - DRY '!E931,"AAAAAH3/30g=")</f>
        <v>#VALUE!</v>
      </c>
      <c r="BV48" t="e">
        <f>AND('STERLING CATALOG - DRY '!F931,"AAAAAH3/30k=")</f>
        <v>#VALUE!</v>
      </c>
      <c r="BW48" t="e">
        <f>AND('STERLING CATALOG - DRY '!G931,"AAAAAH3/30o=")</f>
        <v>#VALUE!</v>
      </c>
      <c r="BX48" t="e">
        <f>AND('STERLING CATALOG - DRY '!H931,"AAAAAH3/30s=")</f>
        <v>#VALUE!</v>
      </c>
      <c r="BY48" t="e">
        <f>AND('STERLING CATALOG - DRY '!I931,"AAAAAH3/30w=")</f>
        <v>#VALUE!</v>
      </c>
      <c r="BZ48" t="e">
        <f>AND('STERLING CATALOG - DRY '!J931,"AAAAAH3/300=")</f>
        <v>#VALUE!</v>
      </c>
      <c r="CA48">
        <f>IF('STERLING CATALOG - DRY '!932:932,"AAAAAH3/304=",0)</f>
        <v>0</v>
      </c>
      <c r="CB48" t="e">
        <f>AND('STERLING CATALOG - DRY '!A932,"AAAAAH3/308=")</f>
        <v>#VALUE!</v>
      </c>
      <c r="CC48" t="e">
        <f>AND('STERLING CATALOG - DRY '!B932,"AAAAAH3/31A=")</f>
        <v>#VALUE!</v>
      </c>
      <c r="CD48" t="e">
        <f>AND('STERLING CATALOG - DRY '!C932,"AAAAAH3/31E=")</f>
        <v>#VALUE!</v>
      </c>
      <c r="CE48" t="e">
        <f>AND('STERLING CATALOG - DRY '!D932,"AAAAAH3/31I=")</f>
        <v>#VALUE!</v>
      </c>
      <c r="CF48" t="e">
        <f>AND('STERLING CATALOG - DRY '!E932,"AAAAAH3/31M=")</f>
        <v>#VALUE!</v>
      </c>
      <c r="CG48" t="e">
        <f>AND('STERLING CATALOG - DRY '!F932,"AAAAAH3/31Q=")</f>
        <v>#VALUE!</v>
      </c>
      <c r="CH48" t="e">
        <f>AND('STERLING CATALOG - DRY '!G932,"AAAAAH3/31U=")</f>
        <v>#VALUE!</v>
      </c>
      <c r="CI48" t="e">
        <f>AND('STERLING CATALOG - DRY '!H932,"AAAAAH3/31Y=")</f>
        <v>#VALUE!</v>
      </c>
      <c r="CJ48" t="e">
        <f>AND('STERLING CATALOG - DRY '!I932,"AAAAAH3/31c=")</f>
        <v>#VALUE!</v>
      </c>
      <c r="CK48" t="e">
        <f>AND('STERLING CATALOG - DRY '!J932,"AAAAAH3/31g=")</f>
        <v>#VALUE!</v>
      </c>
      <c r="CL48">
        <f>IF('STERLING CATALOG - DRY '!933:933,"AAAAAH3/31k=",0)</f>
        <v>0</v>
      </c>
      <c r="CM48" t="e">
        <f>AND('STERLING CATALOG - DRY '!A933,"AAAAAH3/31o=")</f>
        <v>#VALUE!</v>
      </c>
      <c r="CN48" t="e">
        <f>AND('STERLING CATALOG - DRY '!B933,"AAAAAH3/31s=")</f>
        <v>#VALUE!</v>
      </c>
      <c r="CO48" t="e">
        <f>AND('STERLING CATALOG - DRY '!C933,"AAAAAH3/31w=")</f>
        <v>#VALUE!</v>
      </c>
      <c r="CP48" t="e">
        <f>AND('STERLING CATALOG - DRY '!D933,"AAAAAH3/310=")</f>
        <v>#VALUE!</v>
      </c>
      <c r="CQ48" t="e">
        <f>AND('STERLING CATALOG - DRY '!E933,"AAAAAH3/314=")</f>
        <v>#VALUE!</v>
      </c>
      <c r="CR48" t="e">
        <f>AND('STERLING CATALOG - DRY '!F933,"AAAAAH3/318=")</f>
        <v>#VALUE!</v>
      </c>
      <c r="CS48" t="e">
        <f>AND('STERLING CATALOG - DRY '!G933,"AAAAAH3/32A=")</f>
        <v>#VALUE!</v>
      </c>
      <c r="CT48" t="e">
        <f>AND('STERLING CATALOG - DRY '!H933,"AAAAAH3/32E=")</f>
        <v>#VALUE!</v>
      </c>
      <c r="CU48" t="e">
        <f>AND('STERLING CATALOG - DRY '!I933,"AAAAAH3/32I=")</f>
        <v>#VALUE!</v>
      </c>
      <c r="CV48" t="e">
        <f>AND('STERLING CATALOG - DRY '!J933,"AAAAAH3/32M=")</f>
        <v>#VALUE!</v>
      </c>
      <c r="CW48">
        <f>IF('STERLING CATALOG - DRY '!934:934,"AAAAAH3/32Q=",0)</f>
        <v>0</v>
      </c>
      <c r="CX48" t="e">
        <f>AND('STERLING CATALOG - DRY '!A934,"AAAAAH3/32U=")</f>
        <v>#VALUE!</v>
      </c>
      <c r="CY48" t="e">
        <f>AND('STERLING CATALOG - DRY '!B934,"AAAAAH3/32Y=")</f>
        <v>#VALUE!</v>
      </c>
      <c r="CZ48" t="e">
        <f>AND('STERLING CATALOG - DRY '!C934,"AAAAAH3/32c=")</f>
        <v>#VALUE!</v>
      </c>
      <c r="DA48" t="e">
        <f>AND('STERLING CATALOG - DRY '!D934,"AAAAAH3/32g=")</f>
        <v>#VALUE!</v>
      </c>
      <c r="DB48" t="e">
        <f>AND('STERLING CATALOG - DRY '!E934,"AAAAAH3/32k=")</f>
        <v>#VALUE!</v>
      </c>
      <c r="DC48" t="e">
        <f>AND('STERLING CATALOG - DRY '!F934,"AAAAAH3/32o=")</f>
        <v>#VALUE!</v>
      </c>
      <c r="DD48" t="e">
        <f>AND('STERLING CATALOG - DRY '!G934,"AAAAAH3/32s=")</f>
        <v>#VALUE!</v>
      </c>
      <c r="DE48" t="e">
        <f>AND('STERLING CATALOG - DRY '!H934,"AAAAAH3/32w=")</f>
        <v>#VALUE!</v>
      </c>
      <c r="DF48" t="e">
        <f>AND('STERLING CATALOG - DRY '!I934,"AAAAAH3/320=")</f>
        <v>#VALUE!</v>
      </c>
      <c r="DG48" t="e">
        <f>AND('STERLING CATALOG - DRY '!J934,"AAAAAH3/324=")</f>
        <v>#VALUE!</v>
      </c>
      <c r="DH48">
        <f>IF('STERLING CATALOG - DRY '!935:935,"AAAAAH3/328=",0)</f>
        <v>0</v>
      </c>
      <c r="DI48" t="e">
        <f>AND('STERLING CATALOG - DRY '!A935,"AAAAAH3/33A=")</f>
        <v>#VALUE!</v>
      </c>
      <c r="DJ48" t="e">
        <f>AND('STERLING CATALOG - DRY '!B935,"AAAAAH3/33E=")</f>
        <v>#VALUE!</v>
      </c>
      <c r="DK48" t="e">
        <f>AND('STERLING CATALOG - DRY '!C935,"AAAAAH3/33I=")</f>
        <v>#VALUE!</v>
      </c>
      <c r="DL48" t="e">
        <f>AND('STERLING CATALOG - DRY '!D935,"AAAAAH3/33M=")</f>
        <v>#VALUE!</v>
      </c>
      <c r="DM48" t="e">
        <f>AND('STERLING CATALOG - DRY '!E935,"AAAAAH3/33Q=")</f>
        <v>#VALUE!</v>
      </c>
      <c r="DN48" t="e">
        <f>AND('STERLING CATALOG - DRY '!F935,"AAAAAH3/33U=")</f>
        <v>#VALUE!</v>
      </c>
      <c r="DO48" t="e">
        <f>AND('STERLING CATALOG - DRY '!G935,"AAAAAH3/33Y=")</f>
        <v>#VALUE!</v>
      </c>
      <c r="DP48" t="e">
        <f>AND('STERLING CATALOG - DRY '!H935,"AAAAAH3/33c=")</f>
        <v>#VALUE!</v>
      </c>
      <c r="DQ48" t="e">
        <f>AND('STERLING CATALOG - DRY '!I935,"AAAAAH3/33g=")</f>
        <v>#VALUE!</v>
      </c>
      <c r="DR48" t="e">
        <f>AND('STERLING CATALOG - DRY '!J935,"AAAAAH3/33k=")</f>
        <v>#VALUE!</v>
      </c>
      <c r="DS48">
        <f>IF('STERLING CATALOG - DRY '!936:936,"AAAAAH3/33o=",0)</f>
        <v>0</v>
      </c>
      <c r="DT48" t="e">
        <f>AND('STERLING CATALOG - DRY '!A936,"AAAAAH3/33s=")</f>
        <v>#VALUE!</v>
      </c>
      <c r="DU48" t="e">
        <f>AND('STERLING CATALOG - DRY '!B936,"AAAAAH3/33w=")</f>
        <v>#VALUE!</v>
      </c>
      <c r="DV48" t="e">
        <f>AND('STERLING CATALOG - DRY '!C936,"AAAAAH3/330=")</f>
        <v>#VALUE!</v>
      </c>
      <c r="DW48" t="e">
        <f>AND('STERLING CATALOG - DRY '!D936,"AAAAAH3/334=")</f>
        <v>#VALUE!</v>
      </c>
      <c r="DX48" t="e">
        <f>AND('STERLING CATALOG - DRY '!E936,"AAAAAH3/338=")</f>
        <v>#VALUE!</v>
      </c>
      <c r="DY48" t="e">
        <f>AND('STERLING CATALOG - DRY '!F936,"AAAAAH3/34A=")</f>
        <v>#VALUE!</v>
      </c>
      <c r="DZ48" t="e">
        <f>AND('STERLING CATALOG - DRY '!G936,"AAAAAH3/34E=")</f>
        <v>#VALUE!</v>
      </c>
      <c r="EA48" t="e">
        <f>AND('STERLING CATALOG - DRY '!H936,"AAAAAH3/34I=")</f>
        <v>#VALUE!</v>
      </c>
      <c r="EB48" t="e">
        <f>AND('STERLING CATALOG - DRY '!I936,"AAAAAH3/34M=")</f>
        <v>#VALUE!</v>
      </c>
      <c r="EC48" t="e">
        <f>AND('STERLING CATALOG - DRY '!J936,"AAAAAH3/34Q=")</f>
        <v>#VALUE!</v>
      </c>
      <c r="ED48">
        <f>IF('STERLING CATALOG - DRY '!937:937,"AAAAAH3/34U=",0)</f>
        <v>0</v>
      </c>
      <c r="EE48" t="e">
        <f>AND('STERLING CATALOG - DRY '!A937,"AAAAAH3/34Y=")</f>
        <v>#VALUE!</v>
      </c>
      <c r="EF48" t="e">
        <f>AND('STERLING CATALOG - DRY '!B937,"AAAAAH3/34c=")</f>
        <v>#VALUE!</v>
      </c>
      <c r="EG48" t="e">
        <f>AND('STERLING CATALOG - DRY '!C937,"AAAAAH3/34g=")</f>
        <v>#VALUE!</v>
      </c>
      <c r="EH48" t="e">
        <f>AND('STERLING CATALOG - DRY '!D937,"AAAAAH3/34k=")</f>
        <v>#VALUE!</v>
      </c>
      <c r="EI48" t="e">
        <f>AND('STERLING CATALOG - DRY '!E937,"AAAAAH3/34o=")</f>
        <v>#VALUE!</v>
      </c>
      <c r="EJ48" t="e">
        <f>AND('STERLING CATALOG - DRY '!F937,"AAAAAH3/34s=")</f>
        <v>#VALUE!</v>
      </c>
      <c r="EK48" t="e">
        <f>AND('STERLING CATALOG - DRY '!G937,"AAAAAH3/34w=")</f>
        <v>#VALUE!</v>
      </c>
      <c r="EL48" t="e">
        <f>AND('STERLING CATALOG - DRY '!H937,"AAAAAH3/340=")</f>
        <v>#VALUE!</v>
      </c>
      <c r="EM48" t="e">
        <f>AND('STERLING CATALOG - DRY '!I937,"AAAAAH3/344=")</f>
        <v>#VALUE!</v>
      </c>
      <c r="EN48" t="e">
        <f>AND('STERLING CATALOG - DRY '!J937,"AAAAAH3/348=")</f>
        <v>#VALUE!</v>
      </c>
      <c r="EO48">
        <f>IF('STERLING CATALOG - DRY '!938:938,"AAAAAH3/35A=",0)</f>
        <v>0</v>
      </c>
      <c r="EP48" t="e">
        <f>AND('STERLING CATALOG - DRY '!A938,"AAAAAH3/35E=")</f>
        <v>#VALUE!</v>
      </c>
      <c r="EQ48" t="e">
        <f>AND('STERLING CATALOG - DRY '!B938,"AAAAAH3/35I=")</f>
        <v>#VALUE!</v>
      </c>
      <c r="ER48" t="e">
        <f>AND('STERLING CATALOG - DRY '!C938,"AAAAAH3/35M=")</f>
        <v>#VALUE!</v>
      </c>
      <c r="ES48" t="e">
        <f>AND('STERLING CATALOG - DRY '!D938,"AAAAAH3/35Q=")</f>
        <v>#VALUE!</v>
      </c>
      <c r="ET48" t="e">
        <f>AND('STERLING CATALOG - DRY '!E938,"AAAAAH3/35U=")</f>
        <v>#VALUE!</v>
      </c>
      <c r="EU48" t="e">
        <f>AND('STERLING CATALOG - DRY '!F938,"AAAAAH3/35Y=")</f>
        <v>#VALUE!</v>
      </c>
      <c r="EV48" t="e">
        <f>AND('STERLING CATALOG - DRY '!G938,"AAAAAH3/35c=")</f>
        <v>#VALUE!</v>
      </c>
      <c r="EW48" t="e">
        <f>AND('STERLING CATALOG - DRY '!H938,"AAAAAH3/35g=")</f>
        <v>#VALUE!</v>
      </c>
      <c r="EX48" t="e">
        <f>AND('STERLING CATALOG - DRY '!I938,"AAAAAH3/35k=")</f>
        <v>#VALUE!</v>
      </c>
      <c r="EY48" t="e">
        <f>AND('STERLING CATALOG - DRY '!J938,"AAAAAH3/35o=")</f>
        <v>#VALUE!</v>
      </c>
      <c r="EZ48">
        <f>IF('STERLING CATALOG - DRY '!939:939,"AAAAAH3/35s=",0)</f>
        <v>0</v>
      </c>
      <c r="FA48" t="e">
        <f>AND('STERLING CATALOG - DRY '!A939,"AAAAAH3/35w=")</f>
        <v>#VALUE!</v>
      </c>
      <c r="FB48" t="e">
        <f>AND('STERLING CATALOG - DRY '!B939,"AAAAAH3/350=")</f>
        <v>#VALUE!</v>
      </c>
      <c r="FC48" t="e">
        <f>AND('STERLING CATALOG - DRY '!C939,"AAAAAH3/354=")</f>
        <v>#VALUE!</v>
      </c>
      <c r="FD48" t="e">
        <f>AND('STERLING CATALOG - DRY '!D939,"AAAAAH3/358=")</f>
        <v>#VALUE!</v>
      </c>
      <c r="FE48" t="e">
        <f>AND('STERLING CATALOG - DRY '!E939,"AAAAAH3/36A=")</f>
        <v>#VALUE!</v>
      </c>
      <c r="FF48" t="e">
        <f>AND('STERLING CATALOG - DRY '!F939,"AAAAAH3/36E=")</f>
        <v>#VALUE!</v>
      </c>
      <c r="FG48" t="e">
        <f>AND('STERLING CATALOG - DRY '!G939,"AAAAAH3/36I=")</f>
        <v>#VALUE!</v>
      </c>
      <c r="FH48" t="e">
        <f>AND('STERLING CATALOG - DRY '!H939,"AAAAAH3/36M=")</f>
        <v>#VALUE!</v>
      </c>
      <c r="FI48" t="e">
        <f>AND('STERLING CATALOG - DRY '!I939,"AAAAAH3/36Q=")</f>
        <v>#VALUE!</v>
      </c>
      <c r="FJ48" t="e">
        <f>AND('STERLING CATALOG - DRY '!J939,"AAAAAH3/36U=")</f>
        <v>#VALUE!</v>
      </c>
      <c r="FK48">
        <f>IF('STERLING CATALOG - DRY '!940:940,"AAAAAH3/36Y=",0)</f>
        <v>0</v>
      </c>
      <c r="FL48" t="e">
        <f>AND('STERLING CATALOG - DRY '!A940,"AAAAAH3/36c=")</f>
        <v>#VALUE!</v>
      </c>
      <c r="FM48" t="e">
        <f>AND('STERLING CATALOG - DRY '!B940,"AAAAAH3/36g=")</f>
        <v>#VALUE!</v>
      </c>
      <c r="FN48" t="e">
        <f>AND('STERLING CATALOG - DRY '!C940,"AAAAAH3/36k=")</f>
        <v>#VALUE!</v>
      </c>
      <c r="FO48" t="e">
        <f>AND('STERLING CATALOG - DRY '!D940,"AAAAAH3/36o=")</f>
        <v>#VALUE!</v>
      </c>
      <c r="FP48" t="e">
        <f>AND('STERLING CATALOG - DRY '!E940,"AAAAAH3/36s=")</f>
        <v>#VALUE!</v>
      </c>
      <c r="FQ48" t="e">
        <f>AND('STERLING CATALOG - DRY '!F940,"AAAAAH3/36w=")</f>
        <v>#VALUE!</v>
      </c>
      <c r="FR48" t="e">
        <f>AND('STERLING CATALOG - DRY '!G940,"AAAAAH3/360=")</f>
        <v>#VALUE!</v>
      </c>
      <c r="FS48" t="e">
        <f>AND('STERLING CATALOG - DRY '!H940,"AAAAAH3/364=")</f>
        <v>#VALUE!</v>
      </c>
      <c r="FT48" t="e">
        <f>AND('STERLING CATALOG - DRY '!I940,"AAAAAH3/368=")</f>
        <v>#VALUE!</v>
      </c>
      <c r="FU48" t="e">
        <f>AND('STERLING CATALOG - DRY '!J940,"AAAAAH3/37A=")</f>
        <v>#VALUE!</v>
      </c>
      <c r="FV48">
        <f>IF('STERLING CATALOG - DRY '!941:941,"AAAAAH3/37E=",0)</f>
        <v>0</v>
      </c>
      <c r="FW48" t="e">
        <f>AND('STERLING CATALOG - DRY '!A941,"AAAAAH3/37I=")</f>
        <v>#VALUE!</v>
      </c>
      <c r="FX48" t="e">
        <f>AND('STERLING CATALOG - DRY '!B941,"AAAAAH3/37M=")</f>
        <v>#VALUE!</v>
      </c>
      <c r="FY48" t="e">
        <f>AND('STERLING CATALOG - DRY '!C941,"AAAAAH3/37Q=")</f>
        <v>#VALUE!</v>
      </c>
      <c r="FZ48" t="e">
        <f>AND('STERLING CATALOG - DRY '!D941,"AAAAAH3/37U=")</f>
        <v>#VALUE!</v>
      </c>
      <c r="GA48" t="e">
        <f>AND('STERLING CATALOG - DRY '!E941,"AAAAAH3/37Y=")</f>
        <v>#VALUE!</v>
      </c>
      <c r="GB48" t="e">
        <f>AND('STERLING CATALOG - DRY '!F941,"AAAAAH3/37c=")</f>
        <v>#VALUE!</v>
      </c>
      <c r="GC48" t="e">
        <f>AND('STERLING CATALOG - DRY '!G941,"AAAAAH3/37g=")</f>
        <v>#VALUE!</v>
      </c>
      <c r="GD48" t="e">
        <f>AND('STERLING CATALOG - DRY '!H941,"AAAAAH3/37k=")</f>
        <v>#VALUE!</v>
      </c>
      <c r="GE48" t="e">
        <f>AND('STERLING CATALOG - DRY '!I941,"AAAAAH3/37o=")</f>
        <v>#VALUE!</v>
      </c>
      <c r="GF48" t="e">
        <f>AND('STERLING CATALOG - DRY '!J941,"AAAAAH3/37s=")</f>
        <v>#VALUE!</v>
      </c>
      <c r="GG48">
        <f>IF('STERLING CATALOG - DRY '!942:942,"AAAAAH3/37w=",0)</f>
        <v>0</v>
      </c>
      <c r="GH48" t="e">
        <f>AND('STERLING CATALOG - DRY '!A942,"AAAAAH3/370=")</f>
        <v>#VALUE!</v>
      </c>
      <c r="GI48" t="e">
        <f>AND('STERLING CATALOG - DRY '!B942,"AAAAAH3/374=")</f>
        <v>#VALUE!</v>
      </c>
      <c r="GJ48" t="e">
        <f>AND('STERLING CATALOG - DRY '!C942,"AAAAAH3/378=")</f>
        <v>#VALUE!</v>
      </c>
      <c r="GK48" t="e">
        <f>AND('STERLING CATALOG - DRY '!D942,"AAAAAH3/38A=")</f>
        <v>#VALUE!</v>
      </c>
      <c r="GL48" t="e">
        <f>AND('STERLING CATALOG - DRY '!E942,"AAAAAH3/38E=")</f>
        <v>#VALUE!</v>
      </c>
      <c r="GM48" t="e">
        <f>AND('STERLING CATALOG - DRY '!F942,"AAAAAH3/38I=")</f>
        <v>#VALUE!</v>
      </c>
      <c r="GN48" t="e">
        <f>AND('STERLING CATALOG - DRY '!G942,"AAAAAH3/38M=")</f>
        <v>#VALUE!</v>
      </c>
      <c r="GO48" t="e">
        <f>AND('STERLING CATALOG - DRY '!H942,"AAAAAH3/38Q=")</f>
        <v>#VALUE!</v>
      </c>
      <c r="GP48" t="e">
        <f>AND('STERLING CATALOG - DRY '!I942,"AAAAAH3/38U=")</f>
        <v>#VALUE!</v>
      </c>
      <c r="GQ48" t="e">
        <f>AND('STERLING CATALOG - DRY '!J942,"AAAAAH3/38Y=")</f>
        <v>#VALUE!</v>
      </c>
      <c r="GR48">
        <f>IF('STERLING CATALOG - DRY '!943:943,"AAAAAH3/38c=",0)</f>
        <v>0</v>
      </c>
      <c r="GS48" t="e">
        <f>AND('STERLING CATALOG - DRY '!A943,"AAAAAH3/38g=")</f>
        <v>#VALUE!</v>
      </c>
      <c r="GT48" t="e">
        <f>AND('STERLING CATALOG - DRY '!B943,"AAAAAH3/38k=")</f>
        <v>#VALUE!</v>
      </c>
      <c r="GU48" t="e">
        <f>AND('STERLING CATALOG - DRY '!C943,"AAAAAH3/38o=")</f>
        <v>#VALUE!</v>
      </c>
      <c r="GV48" t="e">
        <f>AND('STERLING CATALOG - DRY '!D943,"AAAAAH3/38s=")</f>
        <v>#VALUE!</v>
      </c>
      <c r="GW48" t="e">
        <f>AND('STERLING CATALOG - DRY '!E943,"AAAAAH3/38w=")</f>
        <v>#VALUE!</v>
      </c>
      <c r="GX48" t="e">
        <f>AND('STERLING CATALOG - DRY '!F943,"AAAAAH3/380=")</f>
        <v>#VALUE!</v>
      </c>
      <c r="GY48" t="e">
        <f>AND('STERLING CATALOG - DRY '!G943,"AAAAAH3/384=")</f>
        <v>#VALUE!</v>
      </c>
      <c r="GZ48" t="e">
        <f>AND('STERLING CATALOG - DRY '!H943,"AAAAAH3/388=")</f>
        <v>#VALUE!</v>
      </c>
      <c r="HA48" t="e">
        <f>AND('STERLING CATALOG - DRY '!I943,"AAAAAH3/39A=")</f>
        <v>#VALUE!</v>
      </c>
      <c r="HB48" t="e">
        <f>AND('STERLING CATALOG - DRY '!J943,"AAAAAH3/39E=")</f>
        <v>#VALUE!</v>
      </c>
      <c r="HC48">
        <f>IF('STERLING CATALOG - DRY '!944:944,"AAAAAH3/39I=",0)</f>
        <v>0</v>
      </c>
      <c r="HD48" t="e">
        <f>AND('STERLING CATALOG - DRY '!A944,"AAAAAH3/39M=")</f>
        <v>#VALUE!</v>
      </c>
      <c r="HE48" t="e">
        <f>AND('STERLING CATALOG - DRY '!B944,"AAAAAH3/39Q=")</f>
        <v>#VALUE!</v>
      </c>
      <c r="HF48" t="e">
        <f>AND('STERLING CATALOG - DRY '!C944,"AAAAAH3/39U=")</f>
        <v>#VALUE!</v>
      </c>
      <c r="HG48" t="e">
        <f>AND('STERLING CATALOG - DRY '!D944,"AAAAAH3/39Y=")</f>
        <v>#VALUE!</v>
      </c>
      <c r="HH48" t="e">
        <f>AND('STERLING CATALOG - DRY '!E944,"AAAAAH3/39c=")</f>
        <v>#VALUE!</v>
      </c>
      <c r="HI48" t="e">
        <f>AND('STERLING CATALOG - DRY '!F944,"AAAAAH3/39g=")</f>
        <v>#VALUE!</v>
      </c>
      <c r="HJ48" t="e">
        <f>AND('STERLING CATALOG - DRY '!G944,"AAAAAH3/39k=")</f>
        <v>#VALUE!</v>
      </c>
      <c r="HK48" t="e">
        <f>AND('STERLING CATALOG - DRY '!H944,"AAAAAH3/39o=")</f>
        <v>#VALUE!</v>
      </c>
      <c r="HL48" t="e">
        <f>AND('STERLING CATALOG - DRY '!I944,"AAAAAH3/39s=")</f>
        <v>#VALUE!</v>
      </c>
      <c r="HM48" t="e">
        <f>AND('STERLING CATALOG - DRY '!J944,"AAAAAH3/39w=")</f>
        <v>#VALUE!</v>
      </c>
      <c r="HN48">
        <f>IF('STERLING CATALOG - DRY '!945:945,"AAAAAH3/390=",0)</f>
        <v>0</v>
      </c>
      <c r="HO48" t="e">
        <f>AND('STERLING CATALOG - DRY '!A945,"AAAAAH3/394=")</f>
        <v>#VALUE!</v>
      </c>
      <c r="HP48" t="e">
        <f>AND('STERLING CATALOG - DRY '!B945,"AAAAAH3/398=")</f>
        <v>#VALUE!</v>
      </c>
      <c r="HQ48" t="e">
        <f>AND('STERLING CATALOG - DRY '!C945,"AAAAAH3/3+A=")</f>
        <v>#VALUE!</v>
      </c>
      <c r="HR48" t="e">
        <f>AND('STERLING CATALOG - DRY '!D945,"AAAAAH3/3+E=")</f>
        <v>#VALUE!</v>
      </c>
      <c r="HS48" t="e">
        <f>AND('STERLING CATALOG - DRY '!E945,"AAAAAH3/3+I=")</f>
        <v>#VALUE!</v>
      </c>
      <c r="HT48" t="e">
        <f>AND('STERLING CATALOG - DRY '!F945,"AAAAAH3/3+M=")</f>
        <v>#VALUE!</v>
      </c>
      <c r="HU48" t="e">
        <f>AND('STERLING CATALOG - DRY '!G945,"AAAAAH3/3+Q=")</f>
        <v>#VALUE!</v>
      </c>
      <c r="HV48" t="e">
        <f>AND('STERLING CATALOG - DRY '!H945,"AAAAAH3/3+U=")</f>
        <v>#VALUE!</v>
      </c>
      <c r="HW48" t="e">
        <f>AND('STERLING CATALOG - DRY '!I945,"AAAAAH3/3+Y=")</f>
        <v>#VALUE!</v>
      </c>
      <c r="HX48" t="e">
        <f>AND('STERLING CATALOG - DRY '!J945,"AAAAAH3/3+c=")</f>
        <v>#VALUE!</v>
      </c>
      <c r="HY48">
        <f>IF('STERLING CATALOG - DRY '!946:946,"AAAAAH3/3+g=",0)</f>
        <v>0</v>
      </c>
      <c r="HZ48" t="e">
        <f>AND('STERLING CATALOG - DRY '!A946,"AAAAAH3/3+k=")</f>
        <v>#VALUE!</v>
      </c>
      <c r="IA48" t="e">
        <f>AND('STERLING CATALOG - DRY '!B946,"AAAAAH3/3+o=")</f>
        <v>#VALUE!</v>
      </c>
      <c r="IB48" t="e">
        <f>AND('STERLING CATALOG - DRY '!C946,"AAAAAH3/3+s=")</f>
        <v>#VALUE!</v>
      </c>
      <c r="IC48" t="e">
        <f>AND('STERLING CATALOG - DRY '!D946,"AAAAAH3/3+w=")</f>
        <v>#VALUE!</v>
      </c>
      <c r="ID48" t="e">
        <f>AND('STERLING CATALOG - DRY '!E946,"AAAAAH3/3+0=")</f>
        <v>#VALUE!</v>
      </c>
      <c r="IE48" t="e">
        <f>AND('STERLING CATALOG - DRY '!F946,"AAAAAH3/3+4=")</f>
        <v>#VALUE!</v>
      </c>
      <c r="IF48" t="e">
        <f>AND('STERLING CATALOG - DRY '!G946,"AAAAAH3/3+8=")</f>
        <v>#VALUE!</v>
      </c>
      <c r="IG48" t="e">
        <f>AND('STERLING CATALOG - DRY '!H946,"AAAAAH3/3/A=")</f>
        <v>#VALUE!</v>
      </c>
      <c r="IH48" t="e">
        <f>AND('STERLING CATALOG - DRY '!I946,"AAAAAH3/3/E=")</f>
        <v>#VALUE!</v>
      </c>
      <c r="II48" t="e">
        <f>AND('STERLING CATALOG - DRY '!J946,"AAAAAH3/3/I=")</f>
        <v>#VALUE!</v>
      </c>
      <c r="IJ48">
        <f>IF('STERLING CATALOG - DRY '!947:947,"AAAAAH3/3/M=",0)</f>
        <v>0</v>
      </c>
      <c r="IK48" t="e">
        <f>AND('STERLING CATALOG - DRY '!A947,"AAAAAH3/3/Q=")</f>
        <v>#VALUE!</v>
      </c>
      <c r="IL48" t="e">
        <f>AND('STERLING CATALOG - DRY '!B947,"AAAAAH3/3/U=")</f>
        <v>#VALUE!</v>
      </c>
      <c r="IM48" t="e">
        <f>AND('STERLING CATALOG - DRY '!C947,"AAAAAH3/3/Y=")</f>
        <v>#VALUE!</v>
      </c>
      <c r="IN48" t="e">
        <f>AND('STERLING CATALOG - DRY '!D947,"AAAAAH3/3/c=")</f>
        <v>#VALUE!</v>
      </c>
      <c r="IO48" t="e">
        <f>AND('STERLING CATALOG - DRY '!E947,"AAAAAH3/3/g=")</f>
        <v>#VALUE!</v>
      </c>
      <c r="IP48" t="e">
        <f>AND('STERLING CATALOG - DRY '!F947,"AAAAAH3/3/k=")</f>
        <v>#VALUE!</v>
      </c>
      <c r="IQ48" t="e">
        <f>AND('STERLING CATALOG - DRY '!G947,"AAAAAH3/3/o=")</f>
        <v>#VALUE!</v>
      </c>
      <c r="IR48" t="e">
        <f>AND('STERLING CATALOG - DRY '!H947,"AAAAAH3/3/s=")</f>
        <v>#VALUE!</v>
      </c>
      <c r="IS48" t="e">
        <f>AND('STERLING CATALOG - DRY '!I947,"AAAAAH3/3/w=")</f>
        <v>#VALUE!</v>
      </c>
      <c r="IT48" t="e">
        <f>AND('STERLING CATALOG - DRY '!J947,"AAAAAH3/3/0=")</f>
        <v>#VALUE!</v>
      </c>
      <c r="IU48">
        <f>IF('STERLING CATALOG - DRY '!948:948,"AAAAAH3/3/4=",0)</f>
        <v>0</v>
      </c>
      <c r="IV48" t="e">
        <f>AND('STERLING CATALOG - DRY '!A948,"AAAAAH3/3/8=")</f>
        <v>#VALUE!</v>
      </c>
    </row>
    <row r="49" spans="1:256">
      <c r="A49" t="e">
        <f>AND('STERLING CATALOG - DRY '!B948,"AAAAAGv93wA=")</f>
        <v>#VALUE!</v>
      </c>
      <c r="B49" t="e">
        <f>AND('STERLING CATALOG - DRY '!C948,"AAAAAGv93wE=")</f>
        <v>#VALUE!</v>
      </c>
      <c r="C49" t="e">
        <f>AND('STERLING CATALOG - DRY '!D948,"AAAAAGv93wI=")</f>
        <v>#VALUE!</v>
      </c>
      <c r="D49" t="e">
        <f>AND('STERLING CATALOG - DRY '!E948,"AAAAAGv93wM=")</f>
        <v>#VALUE!</v>
      </c>
      <c r="E49" t="e">
        <f>AND('STERLING CATALOG - DRY '!F948,"AAAAAGv93wQ=")</f>
        <v>#VALUE!</v>
      </c>
      <c r="F49" t="e">
        <f>AND('STERLING CATALOG - DRY '!G948,"AAAAAGv93wU=")</f>
        <v>#VALUE!</v>
      </c>
      <c r="G49" t="e">
        <f>AND('STERLING CATALOG - DRY '!H948,"AAAAAGv93wY=")</f>
        <v>#VALUE!</v>
      </c>
      <c r="H49" t="e">
        <f>AND('STERLING CATALOG - DRY '!I948,"AAAAAGv93wc=")</f>
        <v>#VALUE!</v>
      </c>
      <c r="I49" t="e">
        <f>AND('STERLING CATALOG - DRY '!J948,"AAAAAGv93wg=")</f>
        <v>#VALUE!</v>
      </c>
      <c r="J49" t="e">
        <f>IF('STERLING CATALOG - DRY '!949:949,"AAAAAGv93wk=",0)</f>
        <v>#VALUE!</v>
      </c>
      <c r="K49" t="e">
        <f>AND('STERLING CATALOG - DRY '!A949,"AAAAAGv93wo=")</f>
        <v>#VALUE!</v>
      </c>
      <c r="L49" t="e">
        <f>AND('STERLING CATALOG - DRY '!B949,"AAAAAGv93ws=")</f>
        <v>#VALUE!</v>
      </c>
      <c r="M49" t="e">
        <f>AND('STERLING CATALOG - DRY '!C949,"AAAAAGv93ww=")</f>
        <v>#VALUE!</v>
      </c>
      <c r="N49" t="e">
        <f>AND('STERLING CATALOG - DRY '!D949,"AAAAAGv93w0=")</f>
        <v>#VALUE!</v>
      </c>
      <c r="O49" t="e">
        <f>AND('STERLING CATALOG - DRY '!E949,"AAAAAGv93w4=")</f>
        <v>#VALUE!</v>
      </c>
      <c r="P49" t="e">
        <f>AND('STERLING CATALOG - DRY '!F949,"AAAAAGv93w8=")</f>
        <v>#VALUE!</v>
      </c>
      <c r="Q49" t="e">
        <f>AND('STERLING CATALOG - DRY '!G949,"AAAAAGv93xA=")</f>
        <v>#VALUE!</v>
      </c>
      <c r="R49" t="e">
        <f>AND('STERLING CATALOG - DRY '!H949,"AAAAAGv93xE=")</f>
        <v>#VALUE!</v>
      </c>
      <c r="S49" t="e">
        <f>AND('STERLING CATALOG - DRY '!I949,"AAAAAGv93xI=")</f>
        <v>#VALUE!</v>
      </c>
      <c r="T49" t="e">
        <f>AND('STERLING CATALOG - DRY '!J949,"AAAAAGv93xM=")</f>
        <v>#VALUE!</v>
      </c>
      <c r="U49">
        <f>IF('STERLING CATALOG - DRY '!950:950,"AAAAAGv93xQ=",0)</f>
        <v>0</v>
      </c>
      <c r="V49" t="e">
        <f>AND('STERLING CATALOG - DRY '!A950,"AAAAAGv93xU=")</f>
        <v>#VALUE!</v>
      </c>
      <c r="W49" t="e">
        <f>AND('STERLING CATALOG - DRY '!B950,"AAAAAGv93xY=")</f>
        <v>#VALUE!</v>
      </c>
      <c r="X49" t="e">
        <f>AND('STERLING CATALOG - DRY '!C950,"AAAAAGv93xc=")</f>
        <v>#VALUE!</v>
      </c>
      <c r="Y49" t="e">
        <f>AND('STERLING CATALOG - DRY '!D950,"AAAAAGv93xg=")</f>
        <v>#VALUE!</v>
      </c>
      <c r="Z49" t="e">
        <f>AND('STERLING CATALOG - DRY '!E950,"AAAAAGv93xk=")</f>
        <v>#VALUE!</v>
      </c>
      <c r="AA49" t="e">
        <f>AND('STERLING CATALOG - DRY '!F950,"AAAAAGv93xo=")</f>
        <v>#VALUE!</v>
      </c>
      <c r="AB49" t="e">
        <f>AND('STERLING CATALOG - DRY '!G950,"AAAAAGv93xs=")</f>
        <v>#VALUE!</v>
      </c>
      <c r="AC49" t="e">
        <f>AND('STERLING CATALOG - DRY '!H950,"AAAAAGv93xw=")</f>
        <v>#VALUE!</v>
      </c>
      <c r="AD49" t="e">
        <f>AND('STERLING CATALOG - DRY '!I950,"AAAAAGv93x0=")</f>
        <v>#VALUE!</v>
      </c>
      <c r="AE49" t="e">
        <f>AND('STERLING CATALOG - DRY '!J950,"AAAAAGv93x4=")</f>
        <v>#VALUE!</v>
      </c>
      <c r="AF49">
        <f>IF('STERLING CATALOG - DRY '!951:951,"AAAAAGv93x8=",0)</f>
        <v>0</v>
      </c>
      <c r="AG49" t="e">
        <f>AND('STERLING CATALOG - DRY '!A951,"AAAAAGv93yA=")</f>
        <v>#VALUE!</v>
      </c>
      <c r="AH49" t="e">
        <f>AND('STERLING CATALOG - DRY '!B951,"AAAAAGv93yE=")</f>
        <v>#VALUE!</v>
      </c>
      <c r="AI49" t="e">
        <f>AND('STERLING CATALOG - DRY '!C951,"AAAAAGv93yI=")</f>
        <v>#VALUE!</v>
      </c>
      <c r="AJ49" t="e">
        <f>AND('STERLING CATALOG - DRY '!D951,"AAAAAGv93yM=")</f>
        <v>#VALUE!</v>
      </c>
      <c r="AK49" t="e">
        <f>AND('STERLING CATALOG - DRY '!E951,"AAAAAGv93yQ=")</f>
        <v>#VALUE!</v>
      </c>
      <c r="AL49" t="e">
        <f>AND('STERLING CATALOG - DRY '!F951,"AAAAAGv93yU=")</f>
        <v>#VALUE!</v>
      </c>
      <c r="AM49" t="e">
        <f>AND('STERLING CATALOG - DRY '!G951,"AAAAAGv93yY=")</f>
        <v>#VALUE!</v>
      </c>
      <c r="AN49" t="e">
        <f>AND('STERLING CATALOG - DRY '!H951,"AAAAAGv93yc=")</f>
        <v>#VALUE!</v>
      </c>
      <c r="AO49" t="e">
        <f>AND('STERLING CATALOG - DRY '!I951,"AAAAAGv93yg=")</f>
        <v>#VALUE!</v>
      </c>
      <c r="AP49" t="e">
        <f>AND('STERLING CATALOG - DRY '!J951,"AAAAAGv93yk=")</f>
        <v>#VALUE!</v>
      </c>
      <c r="AQ49">
        <f>IF('STERLING CATALOG - DRY '!952:952,"AAAAAGv93yo=",0)</f>
        <v>0</v>
      </c>
      <c r="AR49" t="e">
        <f>AND('STERLING CATALOG - DRY '!A952,"AAAAAGv93ys=")</f>
        <v>#VALUE!</v>
      </c>
      <c r="AS49" t="e">
        <f>AND('STERLING CATALOG - DRY '!B952,"AAAAAGv93yw=")</f>
        <v>#VALUE!</v>
      </c>
      <c r="AT49" t="e">
        <f>AND('STERLING CATALOG - DRY '!C952,"AAAAAGv93y0=")</f>
        <v>#VALUE!</v>
      </c>
      <c r="AU49" t="e">
        <f>AND('STERLING CATALOG - DRY '!D952,"AAAAAGv93y4=")</f>
        <v>#VALUE!</v>
      </c>
      <c r="AV49" t="e">
        <f>AND('STERLING CATALOG - DRY '!E952,"AAAAAGv93y8=")</f>
        <v>#VALUE!</v>
      </c>
      <c r="AW49" t="e">
        <f>AND('STERLING CATALOG - DRY '!F952,"AAAAAGv93zA=")</f>
        <v>#VALUE!</v>
      </c>
      <c r="AX49" t="e">
        <f>AND('STERLING CATALOG - DRY '!G952,"AAAAAGv93zE=")</f>
        <v>#VALUE!</v>
      </c>
      <c r="AY49" t="e">
        <f>AND('STERLING CATALOG - DRY '!H952,"AAAAAGv93zI=")</f>
        <v>#VALUE!</v>
      </c>
      <c r="AZ49" t="e">
        <f>AND('STERLING CATALOG - DRY '!I952,"AAAAAGv93zM=")</f>
        <v>#VALUE!</v>
      </c>
      <c r="BA49" t="e">
        <f>AND('STERLING CATALOG - DRY '!J952,"AAAAAGv93zQ=")</f>
        <v>#VALUE!</v>
      </c>
      <c r="BB49">
        <f>IF('STERLING CATALOG - DRY '!953:953,"AAAAAGv93zU=",0)</f>
        <v>0</v>
      </c>
      <c r="BC49" t="e">
        <f>AND('STERLING CATALOG - DRY '!A953,"AAAAAGv93zY=")</f>
        <v>#VALUE!</v>
      </c>
      <c r="BD49" t="e">
        <f>AND('STERLING CATALOG - DRY '!B953,"AAAAAGv93zc=")</f>
        <v>#VALUE!</v>
      </c>
      <c r="BE49" t="e">
        <f>AND('STERLING CATALOG - DRY '!C953,"AAAAAGv93zg=")</f>
        <v>#VALUE!</v>
      </c>
      <c r="BF49" t="e">
        <f>AND('STERLING CATALOG - DRY '!D953,"AAAAAGv93zk=")</f>
        <v>#VALUE!</v>
      </c>
      <c r="BG49" t="e">
        <f>AND('STERLING CATALOG - DRY '!E953,"AAAAAGv93zo=")</f>
        <v>#VALUE!</v>
      </c>
      <c r="BH49" t="e">
        <f>AND('STERLING CATALOG - DRY '!F953,"AAAAAGv93zs=")</f>
        <v>#VALUE!</v>
      </c>
      <c r="BI49" t="e">
        <f>AND('STERLING CATALOG - DRY '!G953,"AAAAAGv93zw=")</f>
        <v>#VALUE!</v>
      </c>
      <c r="BJ49" t="e">
        <f>AND('STERLING CATALOG - DRY '!H953,"AAAAAGv93z0=")</f>
        <v>#VALUE!</v>
      </c>
      <c r="BK49" t="e">
        <f>AND('STERLING CATALOG - DRY '!I953,"AAAAAGv93z4=")</f>
        <v>#VALUE!</v>
      </c>
      <c r="BL49" t="e">
        <f>AND('STERLING CATALOG - DRY '!J953,"AAAAAGv93z8=")</f>
        <v>#VALUE!</v>
      </c>
      <c r="BM49">
        <f>IF('STERLING CATALOG - DRY '!954:954,"AAAAAGv930A=",0)</f>
        <v>0</v>
      </c>
      <c r="BN49" t="e">
        <f>AND('STERLING CATALOG - DRY '!A954,"AAAAAGv930E=")</f>
        <v>#VALUE!</v>
      </c>
      <c r="BO49" t="e">
        <f>AND('STERLING CATALOG - DRY '!B954,"AAAAAGv930I=")</f>
        <v>#VALUE!</v>
      </c>
      <c r="BP49" t="e">
        <f>AND('STERLING CATALOG - DRY '!C954,"AAAAAGv930M=")</f>
        <v>#VALUE!</v>
      </c>
      <c r="BQ49" t="e">
        <f>AND('STERLING CATALOG - DRY '!D954,"AAAAAGv930Q=")</f>
        <v>#VALUE!</v>
      </c>
      <c r="BR49" t="e">
        <f>AND('STERLING CATALOG - DRY '!E954,"AAAAAGv930U=")</f>
        <v>#VALUE!</v>
      </c>
      <c r="BS49" t="e">
        <f>AND('STERLING CATALOG - DRY '!F954,"AAAAAGv930Y=")</f>
        <v>#VALUE!</v>
      </c>
      <c r="BT49" t="e">
        <f>AND('STERLING CATALOG - DRY '!G954,"AAAAAGv930c=")</f>
        <v>#VALUE!</v>
      </c>
      <c r="BU49" t="e">
        <f>AND('STERLING CATALOG - DRY '!H954,"AAAAAGv930g=")</f>
        <v>#VALUE!</v>
      </c>
      <c r="BV49" t="e">
        <f>AND('STERLING CATALOG - DRY '!I954,"AAAAAGv930k=")</f>
        <v>#VALUE!</v>
      </c>
      <c r="BW49" t="e">
        <f>AND('STERLING CATALOG - DRY '!J954,"AAAAAGv930o=")</f>
        <v>#VALUE!</v>
      </c>
      <c r="BX49">
        <f>IF('STERLING CATALOG - DRY '!955:955,"AAAAAGv930s=",0)</f>
        <v>0</v>
      </c>
      <c r="BY49" t="e">
        <f>AND('STERLING CATALOG - DRY '!A955,"AAAAAGv930w=")</f>
        <v>#VALUE!</v>
      </c>
      <c r="BZ49" t="e">
        <f>AND('STERLING CATALOG - DRY '!B955,"AAAAAGv9300=")</f>
        <v>#VALUE!</v>
      </c>
      <c r="CA49" t="e">
        <f>AND('STERLING CATALOG - DRY '!C955,"AAAAAGv9304=")</f>
        <v>#VALUE!</v>
      </c>
      <c r="CB49" t="e">
        <f>AND('STERLING CATALOG - DRY '!D955,"AAAAAGv9308=")</f>
        <v>#VALUE!</v>
      </c>
      <c r="CC49" t="e">
        <f>AND('STERLING CATALOG - DRY '!E955,"AAAAAGv931A=")</f>
        <v>#VALUE!</v>
      </c>
      <c r="CD49" t="e">
        <f>AND('STERLING CATALOG - DRY '!F955,"AAAAAGv931E=")</f>
        <v>#VALUE!</v>
      </c>
      <c r="CE49" t="e">
        <f>AND('STERLING CATALOG - DRY '!G955,"AAAAAGv931I=")</f>
        <v>#VALUE!</v>
      </c>
      <c r="CF49" t="e">
        <f>AND('STERLING CATALOG - DRY '!H955,"AAAAAGv931M=")</f>
        <v>#VALUE!</v>
      </c>
      <c r="CG49" t="e">
        <f>AND('STERLING CATALOG - DRY '!I955,"AAAAAGv931Q=")</f>
        <v>#VALUE!</v>
      </c>
      <c r="CH49" t="e">
        <f>AND('STERLING CATALOG - DRY '!J955,"AAAAAGv931U=")</f>
        <v>#VALUE!</v>
      </c>
      <c r="CI49">
        <f>IF('STERLING CATALOG - DRY '!956:956,"AAAAAGv931Y=",0)</f>
        <v>0</v>
      </c>
      <c r="CJ49" t="e">
        <f>AND('STERLING CATALOG - DRY '!A956,"AAAAAGv931c=")</f>
        <v>#VALUE!</v>
      </c>
      <c r="CK49" t="e">
        <f>AND('STERLING CATALOG - DRY '!B956,"AAAAAGv931g=")</f>
        <v>#VALUE!</v>
      </c>
      <c r="CL49" t="e">
        <f>AND('STERLING CATALOG - DRY '!C956,"AAAAAGv931k=")</f>
        <v>#VALUE!</v>
      </c>
      <c r="CM49" t="e">
        <f>AND('STERLING CATALOG - DRY '!D956,"AAAAAGv931o=")</f>
        <v>#VALUE!</v>
      </c>
      <c r="CN49" t="e">
        <f>AND('STERLING CATALOG - DRY '!E956,"AAAAAGv931s=")</f>
        <v>#VALUE!</v>
      </c>
      <c r="CO49" t="e">
        <f>AND('STERLING CATALOG - DRY '!F956,"AAAAAGv931w=")</f>
        <v>#VALUE!</v>
      </c>
      <c r="CP49" t="e">
        <f>AND('STERLING CATALOG - DRY '!G956,"AAAAAGv9310=")</f>
        <v>#VALUE!</v>
      </c>
      <c r="CQ49" t="e">
        <f>AND('STERLING CATALOG - DRY '!H956,"AAAAAGv9314=")</f>
        <v>#VALUE!</v>
      </c>
      <c r="CR49" t="e">
        <f>AND('STERLING CATALOG - DRY '!I956,"AAAAAGv9318=")</f>
        <v>#VALUE!</v>
      </c>
      <c r="CS49" t="e">
        <f>AND('STERLING CATALOG - DRY '!J956,"AAAAAGv932A=")</f>
        <v>#VALUE!</v>
      </c>
      <c r="CT49">
        <f>IF('STERLING CATALOG - DRY '!957:957,"AAAAAGv932E=",0)</f>
        <v>0</v>
      </c>
      <c r="CU49" t="e">
        <f>AND('STERLING CATALOG - DRY '!A957,"AAAAAGv932I=")</f>
        <v>#VALUE!</v>
      </c>
      <c r="CV49" t="e">
        <f>AND('STERLING CATALOG - DRY '!B957,"AAAAAGv932M=")</f>
        <v>#VALUE!</v>
      </c>
      <c r="CW49" t="e">
        <f>AND('STERLING CATALOG - DRY '!C957,"AAAAAGv932Q=")</f>
        <v>#VALUE!</v>
      </c>
      <c r="CX49" t="e">
        <f>AND('STERLING CATALOG - DRY '!D957,"AAAAAGv932U=")</f>
        <v>#VALUE!</v>
      </c>
      <c r="CY49" t="e">
        <f>AND('STERLING CATALOG - DRY '!E957,"AAAAAGv932Y=")</f>
        <v>#VALUE!</v>
      </c>
      <c r="CZ49" t="e">
        <f>AND('STERLING CATALOG - DRY '!F957,"AAAAAGv932c=")</f>
        <v>#VALUE!</v>
      </c>
      <c r="DA49" t="e">
        <f>AND('STERLING CATALOG - DRY '!G957,"AAAAAGv932g=")</f>
        <v>#VALUE!</v>
      </c>
      <c r="DB49" t="e">
        <f>AND('STERLING CATALOG - DRY '!H957,"AAAAAGv932k=")</f>
        <v>#VALUE!</v>
      </c>
      <c r="DC49" t="e">
        <f>AND('STERLING CATALOG - DRY '!I957,"AAAAAGv932o=")</f>
        <v>#VALUE!</v>
      </c>
      <c r="DD49" t="e">
        <f>AND('STERLING CATALOG - DRY '!J957,"AAAAAGv932s=")</f>
        <v>#VALUE!</v>
      </c>
      <c r="DE49">
        <f>IF('STERLING CATALOG - DRY '!958:958,"AAAAAGv932w=",0)</f>
        <v>0</v>
      </c>
      <c r="DF49" t="e">
        <f>AND('STERLING CATALOG - DRY '!A958,"AAAAAGv9320=")</f>
        <v>#VALUE!</v>
      </c>
      <c r="DG49" t="e">
        <f>AND('STERLING CATALOG - DRY '!B958,"AAAAAGv9324=")</f>
        <v>#VALUE!</v>
      </c>
      <c r="DH49" t="e">
        <f>AND('STERLING CATALOG - DRY '!C958,"AAAAAGv9328=")</f>
        <v>#VALUE!</v>
      </c>
      <c r="DI49" t="e">
        <f>AND('STERLING CATALOG - DRY '!D958,"AAAAAGv933A=")</f>
        <v>#VALUE!</v>
      </c>
      <c r="DJ49" t="e">
        <f>AND('STERLING CATALOG - DRY '!E958,"AAAAAGv933E=")</f>
        <v>#VALUE!</v>
      </c>
      <c r="DK49" t="e">
        <f>AND('STERLING CATALOG - DRY '!F958,"AAAAAGv933I=")</f>
        <v>#VALUE!</v>
      </c>
      <c r="DL49" t="e">
        <f>AND('STERLING CATALOG - DRY '!G958,"AAAAAGv933M=")</f>
        <v>#VALUE!</v>
      </c>
      <c r="DM49" t="e">
        <f>AND('STERLING CATALOG - DRY '!H958,"AAAAAGv933Q=")</f>
        <v>#VALUE!</v>
      </c>
      <c r="DN49" t="e">
        <f>AND('STERLING CATALOG - DRY '!I958,"AAAAAGv933U=")</f>
        <v>#VALUE!</v>
      </c>
      <c r="DO49" t="e">
        <f>AND('STERLING CATALOG - DRY '!J958,"AAAAAGv933Y=")</f>
        <v>#VALUE!</v>
      </c>
      <c r="DP49">
        <f>IF('STERLING CATALOG - DRY '!959:959,"AAAAAGv933c=",0)</f>
        <v>0</v>
      </c>
      <c r="DQ49" t="e">
        <f>AND('STERLING CATALOG - DRY '!A959,"AAAAAGv933g=")</f>
        <v>#VALUE!</v>
      </c>
      <c r="DR49" t="e">
        <f>AND('STERLING CATALOG - DRY '!B959,"AAAAAGv933k=")</f>
        <v>#VALUE!</v>
      </c>
      <c r="DS49" t="e">
        <f>AND('STERLING CATALOG - DRY '!C959,"AAAAAGv933o=")</f>
        <v>#VALUE!</v>
      </c>
      <c r="DT49" t="e">
        <f>AND('STERLING CATALOG - DRY '!D959,"AAAAAGv933s=")</f>
        <v>#VALUE!</v>
      </c>
      <c r="DU49" t="e">
        <f>AND('STERLING CATALOG - DRY '!E959,"AAAAAGv933w=")</f>
        <v>#VALUE!</v>
      </c>
      <c r="DV49" t="e">
        <f>AND('STERLING CATALOG - DRY '!F959,"AAAAAGv9330=")</f>
        <v>#VALUE!</v>
      </c>
      <c r="DW49" t="e">
        <f>AND('STERLING CATALOG - DRY '!G959,"AAAAAGv9334=")</f>
        <v>#VALUE!</v>
      </c>
      <c r="DX49" t="e">
        <f>AND('STERLING CATALOG - DRY '!H959,"AAAAAGv9338=")</f>
        <v>#VALUE!</v>
      </c>
      <c r="DY49" t="e">
        <f>AND('STERLING CATALOG - DRY '!I959,"AAAAAGv934A=")</f>
        <v>#VALUE!</v>
      </c>
      <c r="DZ49" t="e">
        <f>AND('STERLING CATALOG - DRY '!J959,"AAAAAGv934E=")</f>
        <v>#VALUE!</v>
      </c>
      <c r="EA49">
        <f>IF('STERLING CATALOG - DRY '!960:960,"AAAAAGv934I=",0)</f>
        <v>0</v>
      </c>
      <c r="EB49" t="e">
        <f>AND('STERLING CATALOG - DRY '!A960,"AAAAAGv934M=")</f>
        <v>#VALUE!</v>
      </c>
      <c r="EC49" t="e">
        <f>AND('STERLING CATALOG - DRY '!B960,"AAAAAGv934Q=")</f>
        <v>#VALUE!</v>
      </c>
      <c r="ED49" t="e">
        <f>AND('STERLING CATALOG - DRY '!C960,"AAAAAGv934U=")</f>
        <v>#VALUE!</v>
      </c>
      <c r="EE49" t="e">
        <f>AND('STERLING CATALOG - DRY '!D960,"AAAAAGv934Y=")</f>
        <v>#VALUE!</v>
      </c>
      <c r="EF49" t="e">
        <f>AND('STERLING CATALOG - DRY '!E960,"AAAAAGv934c=")</f>
        <v>#VALUE!</v>
      </c>
      <c r="EG49" t="e">
        <f>AND('STERLING CATALOG - DRY '!F960,"AAAAAGv934g=")</f>
        <v>#VALUE!</v>
      </c>
      <c r="EH49" t="e">
        <f>AND('STERLING CATALOG - DRY '!G960,"AAAAAGv934k=")</f>
        <v>#VALUE!</v>
      </c>
      <c r="EI49" t="e">
        <f>AND('STERLING CATALOG - DRY '!H960,"AAAAAGv934o=")</f>
        <v>#VALUE!</v>
      </c>
      <c r="EJ49" t="e">
        <f>AND('STERLING CATALOG - DRY '!I960,"AAAAAGv934s=")</f>
        <v>#VALUE!</v>
      </c>
      <c r="EK49" t="e">
        <f>AND('STERLING CATALOG - DRY '!J960,"AAAAAGv934w=")</f>
        <v>#VALUE!</v>
      </c>
      <c r="EL49">
        <f>IF('STERLING CATALOG - DRY '!961:961,"AAAAAGv9340=",0)</f>
        <v>0</v>
      </c>
      <c r="EM49" t="e">
        <f>AND('STERLING CATALOG - DRY '!A961,"AAAAAGv9344=")</f>
        <v>#VALUE!</v>
      </c>
      <c r="EN49" t="e">
        <f>AND('STERLING CATALOG - DRY '!B961,"AAAAAGv9348=")</f>
        <v>#VALUE!</v>
      </c>
      <c r="EO49" t="e">
        <f>AND('STERLING CATALOG - DRY '!C961,"AAAAAGv935A=")</f>
        <v>#VALUE!</v>
      </c>
      <c r="EP49" t="e">
        <f>AND('STERLING CATALOG - DRY '!D961,"AAAAAGv935E=")</f>
        <v>#VALUE!</v>
      </c>
      <c r="EQ49" t="e">
        <f>AND('STERLING CATALOG - DRY '!E961,"AAAAAGv935I=")</f>
        <v>#VALUE!</v>
      </c>
      <c r="ER49" t="e">
        <f>AND('STERLING CATALOG - DRY '!F961,"AAAAAGv935M=")</f>
        <v>#VALUE!</v>
      </c>
      <c r="ES49" t="e">
        <f>AND('STERLING CATALOG - DRY '!G961,"AAAAAGv935Q=")</f>
        <v>#VALUE!</v>
      </c>
      <c r="ET49" t="e">
        <f>AND('STERLING CATALOG - DRY '!H961,"AAAAAGv935U=")</f>
        <v>#VALUE!</v>
      </c>
      <c r="EU49" t="e">
        <f>AND('STERLING CATALOG - DRY '!I961,"AAAAAGv935Y=")</f>
        <v>#VALUE!</v>
      </c>
      <c r="EV49" t="e">
        <f>AND('STERLING CATALOG - DRY '!J961,"AAAAAGv935c=")</f>
        <v>#VALUE!</v>
      </c>
      <c r="EW49">
        <f>IF('STERLING CATALOG - DRY '!962:962,"AAAAAGv935g=",0)</f>
        <v>0</v>
      </c>
      <c r="EX49" t="e">
        <f>AND('STERLING CATALOG - DRY '!A962,"AAAAAGv935k=")</f>
        <v>#VALUE!</v>
      </c>
      <c r="EY49" t="e">
        <f>AND('STERLING CATALOG - DRY '!B962,"AAAAAGv935o=")</f>
        <v>#VALUE!</v>
      </c>
      <c r="EZ49" t="e">
        <f>AND('STERLING CATALOG - DRY '!C962,"AAAAAGv935s=")</f>
        <v>#VALUE!</v>
      </c>
      <c r="FA49" t="e">
        <f>AND('STERLING CATALOG - DRY '!D962,"AAAAAGv935w=")</f>
        <v>#VALUE!</v>
      </c>
      <c r="FB49" t="e">
        <f>AND('STERLING CATALOG - DRY '!E962,"AAAAAGv9350=")</f>
        <v>#VALUE!</v>
      </c>
      <c r="FC49" t="e">
        <f>AND('STERLING CATALOG - DRY '!F962,"AAAAAGv9354=")</f>
        <v>#VALUE!</v>
      </c>
      <c r="FD49" t="e">
        <f>AND('STERLING CATALOG - DRY '!G962,"AAAAAGv9358=")</f>
        <v>#VALUE!</v>
      </c>
      <c r="FE49" t="e">
        <f>AND('STERLING CATALOG - DRY '!H962,"AAAAAGv936A=")</f>
        <v>#VALUE!</v>
      </c>
      <c r="FF49" t="e">
        <f>AND('STERLING CATALOG - DRY '!I962,"AAAAAGv936E=")</f>
        <v>#VALUE!</v>
      </c>
      <c r="FG49" t="e">
        <f>AND('STERLING CATALOG - DRY '!J962,"AAAAAGv936I=")</f>
        <v>#VALUE!</v>
      </c>
      <c r="FH49">
        <f>IF('STERLING CATALOG - DRY '!963:963,"AAAAAGv936M=",0)</f>
        <v>0</v>
      </c>
      <c r="FI49" t="e">
        <f>AND('STERLING CATALOG - DRY '!A963,"AAAAAGv936Q=")</f>
        <v>#VALUE!</v>
      </c>
      <c r="FJ49" t="e">
        <f>AND('STERLING CATALOG - DRY '!B963,"AAAAAGv936U=")</f>
        <v>#VALUE!</v>
      </c>
      <c r="FK49" t="e">
        <f>AND('STERLING CATALOG - DRY '!C963,"AAAAAGv936Y=")</f>
        <v>#VALUE!</v>
      </c>
      <c r="FL49" t="e">
        <f>AND('STERLING CATALOG - DRY '!D963,"AAAAAGv936c=")</f>
        <v>#VALUE!</v>
      </c>
      <c r="FM49" t="e">
        <f>AND('STERLING CATALOG - DRY '!E963,"AAAAAGv936g=")</f>
        <v>#VALUE!</v>
      </c>
      <c r="FN49" t="e">
        <f>AND('STERLING CATALOG - DRY '!F963,"AAAAAGv936k=")</f>
        <v>#VALUE!</v>
      </c>
      <c r="FO49" t="e">
        <f>AND('STERLING CATALOG - DRY '!G963,"AAAAAGv936o=")</f>
        <v>#VALUE!</v>
      </c>
      <c r="FP49" t="e">
        <f>AND('STERLING CATALOG - DRY '!H963,"AAAAAGv936s=")</f>
        <v>#VALUE!</v>
      </c>
      <c r="FQ49" t="e">
        <f>AND('STERLING CATALOG - DRY '!I963,"AAAAAGv936w=")</f>
        <v>#VALUE!</v>
      </c>
      <c r="FR49" t="e">
        <f>AND('STERLING CATALOG - DRY '!J963,"AAAAAGv9360=")</f>
        <v>#VALUE!</v>
      </c>
      <c r="FS49">
        <f>IF('STERLING CATALOG - DRY '!964:964,"AAAAAGv9364=",0)</f>
        <v>0</v>
      </c>
      <c r="FT49" t="e">
        <f>AND('STERLING CATALOG - DRY '!A964,"AAAAAGv9368=")</f>
        <v>#VALUE!</v>
      </c>
      <c r="FU49" t="e">
        <f>AND('STERLING CATALOG - DRY '!B964,"AAAAAGv937A=")</f>
        <v>#VALUE!</v>
      </c>
      <c r="FV49" t="e">
        <f>AND('STERLING CATALOG - DRY '!C964,"AAAAAGv937E=")</f>
        <v>#VALUE!</v>
      </c>
      <c r="FW49" t="e">
        <f>AND('STERLING CATALOG - DRY '!D964,"AAAAAGv937I=")</f>
        <v>#VALUE!</v>
      </c>
      <c r="FX49" t="e">
        <f>AND('STERLING CATALOG - DRY '!E964,"AAAAAGv937M=")</f>
        <v>#VALUE!</v>
      </c>
      <c r="FY49" t="e">
        <f>AND('STERLING CATALOG - DRY '!F964,"AAAAAGv937Q=")</f>
        <v>#VALUE!</v>
      </c>
      <c r="FZ49" t="e">
        <f>AND('STERLING CATALOG - DRY '!G964,"AAAAAGv937U=")</f>
        <v>#VALUE!</v>
      </c>
      <c r="GA49" t="e">
        <f>AND('STERLING CATALOG - DRY '!H964,"AAAAAGv937Y=")</f>
        <v>#VALUE!</v>
      </c>
      <c r="GB49" t="e">
        <f>AND('STERLING CATALOG - DRY '!I964,"AAAAAGv937c=")</f>
        <v>#VALUE!</v>
      </c>
      <c r="GC49" t="e">
        <f>AND('STERLING CATALOG - DRY '!J964,"AAAAAGv937g=")</f>
        <v>#VALUE!</v>
      </c>
      <c r="GD49">
        <f>IF('STERLING CATALOG - DRY '!965:965,"AAAAAGv937k=",0)</f>
        <v>0</v>
      </c>
      <c r="GE49" t="e">
        <f>AND('STERLING CATALOG - DRY '!A965,"AAAAAGv937o=")</f>
        <v>#VALUE!</v>
      </c>
      <c r="GF49" t="e">
        <f>AND('STERLING CATALOG - DRY '!B965,"AAAAAGv937s=")</f>
        <v>#VALUE!</v>
      </c>
      <c r="GG49" t="e">
        <f>AND('STERLING CATALOG - DRY '!C965,"AAAAAGv937w=")</f>
        <v>#VALUE!</v>
      </c>
      <c r="GH49" t="e">
        <f>AND('STERLING CATALOG - DRY '!D965,"AAAAAGv9370=")</f>
        <v>#VALUE!</v>
      </c>
      <c r="GI49" t="e">
        <f>AND('STERLING CATALOG - DRY '!E965,"AAAAAGv9374=")</f>
        <v>#VALUE!</v>
      </c>
      <c r="GJ49" t="e">
        <f>AND('STERLING CATALOG - DRY '!F965,"AAAAAGv9378=")</f>
        <v>#VALUE!</v>
      </c>
      <c r="GK49" t="e">
        <f>AND('STERLING CATALOG - DRY '!G965,"AAAAAGv938A=")</f>
        <v>#VALUE!</v>
      </c>
      <c r="GL49" t="e">
        <f>AND('STERLING CATALOG - DRY '!H965,"AAAAAGv938E=")</f>
        <v>#VALUE!</v>
      </c>
      <c r="GM49" t="e">
        <f>AND('STERLING CATALOG - DRY '!I965,"AAAAAGv938I=")</f>
        <v>#VALUE!</v>
      </c>
      <c r="GN49" t="e">
        <f>AND('STERLING CATALOG - DRY '!J965,"AAAAAGv938M=")</f>
        <v>#VALUE!</v>
      </c>
      <c r="GO49">
        <f>IF('STERLING CATALOG - DRY '!966:966,"AAAAAGv938Q=",0)</f>
        <v>0</v>
      </c>
      <c r="GP49" t="e">
        <f>AND('STERLING CATALOG - DRY '!A966,"AAAAAGv938U=")</f>
        <v>#VALUE!</v>
      </c>
      <c r="GQ49" t="e">
        <f>AND('STERLING CATALOG - DRY '!B966,"AAAAAGv938Y=")</f>
        <v>#VALUE!</v>
      </c>
      <c r="GR49" t="e">
        <f>AND('STERLING CATALOG - DRY '!C966,"AAAAAGv938c=")</f>
        <v>#VALUE!</v>
      </c>
      <c r="GS49" t="e">
        <f>AND('STERLING CATALOG - DRY '!D966,"AAAAAGv938g=")</f>
        <v>#VALUE!</v>
      </c>
      <c r="GT49" t="e">
        <f>AND('STERLING CATALOG - DRY '!E966,"AAAAAGv938k=")</f>
        <v>#VALUE!</v>
      </c>
      <c r="GU49" t="e">
        <f>AND('STERLING CATALOG - DRY '!F966,"AAAAAGv938o=")</f>
        <v>#VALUE!</v>
      </c>
      <c r="GV49" t="e">
        <f>AND('STERLING CATALOG - DRY '!G966,"AAAAAGv938s=")</f>
        <v>#VALUE!</v>
      </c>
      <c r="GW49" t="e">
        <f>AND('STERLING CATALOG - DRY '!H966,"AAAAAGv938w=")</f>
        <v>#VALUE!</v>
      </c>
      <c r="GX49" t="e">
        <f>AND('STERLING CATALOG - DRY '!I966,"AAAAAGv9380=")</f>
        <v>#VALUE!</v>
      </c>
      <c r="GY49" t="e">
        <f>AND('STERLING CATALOG - DRY '!J966,"AAAAAGv9384=")</f>
        <v>#VALUE!</v>
      </c>
      <c r="GZ49">
        <f>IF('STERLING CATALOG - DRY '!967:967,"AAAAAGv9388=",0)</f>
        <v>0</v>
      </c>
      <c r="HA49" t="e">
        <f>AND('STERLING CATALOG - DRY '!A967,"AAAAAGv939A=")</f>
        <v>#VALUE!</v>
      </c>
      <c r="HB49" t="e">
        <f>AND('STERLING CATALOG - DRY '!B967,"AAAAAGv939E=")</f>
        <v>#VALUE!</v>
      </c>
      <c r="HC49" t="e">
        <f>AND('STERLING CATALOG - DRY '!C967,"AAAAAGv939I=")</f>
        <v>#VALUE!</v>
      </c>
      <c r="HD49" t="e">
        <f>AND('STERLING CATALOG - DRY '!D967,"AAAAAGv939M=")</f>
        <v>#VALUE!</v>
      </c>
      <c r="HE49" t="e">
        <f>AND('STERLING CATALOG - DRY '!E967,"AAAAAGv939Q=")</f>
        <v>#VALUE!</v>
      </c>
      <c r="HF49" t="e">
        <f>AND('STERLING CATALOG - DRY '!F967,"AAAAAGv939U=")</f>
        <v>#VALUE!</v>
      </c>
      <c r="HG49" t="e">
        <f>AND('STERLING CATALOG - DRY '!G967,"AAAAAGv939Y=")</f>
        <v>#VALUE!</v>
      </c>
      <c r="HH49" t="e">
        <f>AND('STERLING CATALOG - DRY '!H967,"AAAAAGv939c=")</f>
        <v>#VALUE!</v>
      </c>
      <c r="HI49" t="e">
        <f>AND('STERLING CATALOG - DRY '!I967,"AAAAAGv939g=")</f>
        <v>#VALUE!</v>
      </c>
      <c r="HJ49" t="e">
        <f>AND('STERLING CATALOG - DRY '!J967,"AAAAAGv939k=")</f>
        <v>#VALUE!</v>
      </c>
      <c r="HK49">
        <f>IF('STERLING CATALOG - DRY '!968:968,"AAAAAGv939o=",0)</f>
        <v>0</v>
      </c>
      <c r="HL49" t="e">
        <f>AND('STERLING CATALOG - DRY '!A968,"AAAAAGv939s=")</f>
        <v>#VALUE!</v>
      </c>
      <c r="HM49" t="e">
        <f>AND('STERLING CATALOG - DRY '!B968,"AAAAAGv939w=")</f>
        <v>#VALUE!</v>
      </c>
      <c r="HN49" t="e">
        <f>AND('STERLING CATALOG - DRY '!C968,"AAAAAGv9390=")</f>
        <v>#VALUE!</v>
      </c>
      <c r="HO49" t="e">
        <f>AND('STERLING CATALOG - DRY '!D968,"AAAAAGv9394=")</f>
        <v>#VALUE!</v>
      </c>
      <c r="HP49" t="e">
        <f>AND('STERLING CATALOG - DRY '!E968,"AAAAAGv9398=")</f>
        <v>#VALUE!</v>
      </c>
      <c r="HQ49" t="e">
        <f>AND('STERLING CATALOG - DRY '!F968,"AAAAAGv93+A=")</f>
        <v>#VALUE!</v>
      </c>
      <c r="HR49" t="e">
        <f>AND('STERLING CATALOG - DRY '!G968,"AAAAAGv93+E=")</f>
        <v>#VALUE!</v>
      </c>
      <c r="HS49" t="e">
        <f>AND('STERLING CATALOG - DRY '!H968,"AAAAAGv93+I=")</f>
        <v>#VALUE!</v>
      </c>
      <c r="HT49" t="e">
        <f>AND('STERLING CATALOG - DRY '!I968,"AAAAAGv93+M=")</f>
        <v>#VALUE!</v>
      </c>
      <c r="HU49" t="e">
        <f>AND('STERLING CATALOG - DRY '!J968,"AAAAAGv93+Q=")</f>
        <v>#VALUE!</v>
      </c>
      <c r="HV49">
        <f>IF('STERLING CATALOG - DRY '!969:969,"AAAAAGv93+U=",0)</f>
        <v>0</v>
      </c>
      <c r="HW49" t="e">
        <f>AND('STERLING CATALOG - DRY '!A969,"AAAAAGv93+Y=")</f>
        <v>#VALUE!</v>
      </c>
      <c r="HX49" t="e">
        <f>AND('STERLING CATALOG - DRY '!B969,"AAAAAGv93+c=")</f>
        <v>#VALUE!</v>
      </c>
      <c r="HY49" t="e">
        <f>AND('STERLING CATALOG - DRY '!C969,"AAAAAGv93+g=")</f>
        <v>#VALUE!</v>
      </c>
      <c r="HZ49" t="e">
        <f>AND('STERLING CATALOG - DRY '!D969,"AAAAAGv93+k=")</f>
        <v>#VALUE!</v>
      </c>
      <c r="IA49" t="e">
        <f>AND('STERLING CATALOG - DRY '!E969,"AAAAAGv93+o=")</f>
        <v>#VALUE!</v>
      </c>
      <c r="IB49" t="e">
        <f>AND('STERLING CATALOG - DRY '!F969,"AAAAAGv93+s=")</f>
        <v>#VALUE!</v>
      </c>
      <c r="IC49" t="e">
        <f>AND('STERLING CATALOG - DRY '!G969,"AAAAAGv93+w=")</f>
        <v>#VALUE!</v>
      </c>
      <c r="ID49" t="e">
        <f>AND('STERLING CATALOG - DRY '!H969,"AAAAAGv93+0=")</f>
        <v>#VALUE!</v>
      </c>
      <c r="IE49" t="e">
        <f>AND('STERLING CATALOG - DRY '!I969,"AAAAAGv93+4=")</f>
        <v>#VALUE!</v>
      </c>
      <c r="IF49" t="e">
        <f>AND('STERLING CATALOG - DRY '!J969,"AAAAAGv93+8=")</f>
        <v>#VALUE!</v>
      </c>
      <c r="IG49">
        <f>IF('STERLING CATALOG - DRY '!970:970,"AAAAAGv93/A=",0)</f>
        <v>0</v>
      </c>
      <c r="IH49" t="e">
        <f>AND('STERLING CATALOG - DRY '!A970,"AAAAAGv93/E=")</f>
        <v>#VALUE!</v>
      </c>
      <c r="II49" t="e">
        <f>AND('STERLING CATALOG - DRY '!B970,"AAAAAGv93/I=")</f>
        <v>#VALUE!</v>
      </c>
      <c r="IJ49" t="e">
        <f>AND('STERLING CATALOG - DRY '!C970,"AAAAAGv93/M=")</f>
        <v>#VALUE!</v>
      </c>
      <c r="IK49" t="e">
        <f>AND('STERLING CATALOG - DRY '!D970,"AAAAAGv93/Q=")</f>
        <v>#VALUE!</v>
      </c>
      <c r="IL49" t="e">
        <f>AND('STERLING CATALOG - DRY '!E970,"AAAAAGv93/U=")</f>
        <v>#VALUE!</v>
      </c>
      <c r="IM49" t="e">
        <f>AND('STERLING CATALOG - DRY '!F970,"AAAAAGv93/Y=")</f>
        <v>#VALUE!</v>
      </c>
      <c r="IN49" t="e">
        <f>AND('STERLING CATALOG - DRY '!G970,"AAAAAGv93/c=")</f>
        <v>#VALUE!</v>
      </c>
      <c r="IO49" t="e">
        <f>AND('STERLING CATALOG - DRY '!H970,"AAAAAGv93/g=")</f>
        <v>#VALUE!</v>
      </c>
      <c r="IP49" t="e">
        <f>AND('STERLING CATALOG - DRY '!I970,"AAAAAGv93/k=")</f>
        <v>#VALUE!</v>
      </c>
      <c r="IQ49" t="e">
        <f>AND('STERLING CATALOG - DRY '!J970,"AAAAAGv93/o=")</f>
        <v>#VALUE!</v>
      </c>
      <c r="IR49">
        <f>IF('STERLING CATALOG - DRY '!971:971,"AAAAAGv93/s=",0)</f>
        <v>0</v>
      </c>
      <c r="IS49" t="e">
        <f>AND('STERLING CATALOG - DRY '!A971,"AAAAAGv93/w=")</f>
        <v>#VALUE!</v>
      </c>
      <c r="IT49" t="e">
        <f>AND('STERLING CATALOG - DRY '!B971,"AAAAAGv93/0=")</f>
        <v>#VALUE!</v>
      </c>
      <c r="IU49" t="e">
        <f>AND('STERLING CATALOG - DRY '!C971,"AAAAAGv93/4=")</f>
        <v>#VALUE!</v>
      </c>
      <c r="IV49" t="e">
        <f>AND('STERLING CATALOG - DRY '!D971,"AAAAAGv93/8=")</f>
        <v>#VALUE!</v>
      </c>
    </row>
    <row r="50" spans="1:256">
      <c r="A50" t="e">
        <f>AND('STERLING CATALOG - DRY '!E971,"AAAAAD2/9QA=")</f>
        <v>#VALUE!</v>
      </c>
      <c r="B50" t="e">
        <f>AND('STERLING CATALOG - DRY '!F971,"AAAAAD2/9QE=")</f>
        <v>#VALUE!</v>
      </c>
      <c r="C50" t="e">
        <f>AND('STERLING CATALOG - DRY '!G971,"AAAAAD2/9QI=")</f>
        <v>#VALUE!</v>
      </c>
      <c r="D50" t="e">
        <f>AND('STERLING CATALOG - DRY '!H971,"AAAAAD2/9QM=")</f>
        <v>#VALUE!</v>
      </c>
      <c r="E50" t="e">
        <f>AND('STERLING CATALOG - DRY '!I971,"AAAAAD2/9QQ=")</f>
        <v>#VALUE!</v>
      </c>
      <c r="F50" t="e">
        <f>AND('STERLING CATALOG - DRY '!J971,"AAAAAD2/9QU=")</f>
        <v>#VALUE!</v>
      </c>
      <c r="G50" t="str">
        <f>IF('STERLING CATALOG - DRY '!972:972,"AAAAAD2/9QY=",0)</f>
        <v>AAAAAD2/9QY=</v>
      </c>
      <c r="H50" t="e">
        <f>AND('STERLING CATALOG - DRY '!A972,"AAAAAD2/9Qc=")</f>
        <v>#VALUE!</v>
      </c>
      <c r="I50" t="e">
        <f>AND('STERLING CATALOG - DRY '!B972,"AAAAAD2/9Qg=")</f>
        <v>#VALUE!</v>
      </c>
      <c r="J50" t="e">
        <f>AND('STERLING CATALOG - DRY '!C972,"AAAAAD2/9Qk=")</f>
        <v>#VALUE!</v>
      </c>
      <c r="K50" t="e">
        <f>AND('STERLING CATALOG - DRY '!D972,"AAAAAD2/9Qo=")</f>
        <v>#VALUE!</v>
      </c>
      <c r="L50" t="e">
        <f>AND('STERLING CATALOG - DRY '!E972,"AAAAAD2/9Qs=")</f>
        <v>#VALUE!</v>
      </c>
      <c r="M50" t="e">
        <f>AND('STERLING CATALOG - DRY '!F972,"AAAAAD2/9Qw=")</f>
        <v>#VALUE!</v>
      </c>
      <c r="N50" t="e">
        <f>AND('STERLING CATALOG - DRY '!G972,"AAAAAD2/9Q0=")</f>
        <v>#VALUE!</v>
      </c>
      <c r="O50" t="e">
        <f>AND('STERLING CATALOG - DRY '!H972,"AAAAAD2/9Q4=")</f>
        <v>#VALUE!</v>
      </c>
      <c r="P50" t="e">
        <f>AND('STERLING CATALOG - DRY '!I972,"AAAAAD2/9Q8=")</f>
        <v>#VALUE!</v>
      </c>
      <c r="Q50" t="e">
        <f>AND('STERLING CATALOG - DRY '!J972,"AAAAAD2/9RA=")</f>
        <v>#VALUE!</v>
      </c>
      <c r="R50">
        <f>IF('STERLING CATALOG - DRY '!973:973,"AAAAAD2/9RE=",0)</f>
        <v>0</v>
      </c>
      <c r="S50" t="e">
        <f>AND('STERLING CATALOG - DRY '!A973,"AAAAAD2/9RI=")</f>
        <v>#VALUE!</v>
      </c>
      <c r="T50" t="e">
        <f>AND('STERLING CATALOG - DRY '!B973,"AAAAAD2/9RM=")</f>
        <v>#VALUE!</v>
      </c>
      <c r="U50" t="e">
        <f>AND('STERLING CATALOG - DRY '!C973,"AAAAAD2/9RQ=")</f>
        <v>#VALUE!</v>
      </c>
      <c r="V50" t="e">
        <f>AND('STERLING CATALOG - DRY '!D973,"AAAAAD2/9RU=")</f>
        <v>#VALUE!</v>
      </c>
      <c r="W50" t="e">
        <f>AND('STERLING CATALOG - DRY '!E973,"AAAAAD2/9RY=")</f>
        <v>#VALUE!</v>
      </c>
      <c r="X50" t="e">
        <f>AND('STERLING CATALOG - DRY '!F973,"AAAAAD2/9Rc=")</f>
        <v>#VALUE!</v>
      </c>
      <c r="Y50" t="e">
        <f>AND('STERLING CATALOG - DRY '!G973,"AAAAAD2/9Rg=")</f>
        <v>#VALUE!</v>
      </c>
      <c r="Z50" t="e">
        <f>AND('STERLING CATALOG - DRY '!H973,"AAAAAD2/9Rk=")</f>
        <v>#VALUE!</v>
      </c>
      <c r="AA50" t="e">
        <f>AND('STERLING CATALOG - DRY '!I973,"AAAAAD2/9Ro=")</f>
        <v>#VALUE!</v>
      </c>
      <c r="AB50" t="e">
        <f>AND('STERLING CATALOG - DRY '!J973,"AAAAAD2/9Rs=")</f>
        <v>#VALUE!</v>
      </c>
      <c r="AC50">
        <f>IF('STERLING CATALOG - DRY '!974:974,"AAAAAD2/9Rw=",0)</f>
        <v>0</v>
      </c>
      <c r="AD50" t="e">
        <f>AND('STERLING CATALOG - DRY '!A974,"AAAAAD2/9R0=")</f>
        <v>#VALUE!</v>
      </c>
      <c r="AE50" t="e">
        <f>AND('STERLING CATALOG - DRY '!B974,"AAAAAD2/9R4=")</f>
        <v>#VALUE!</v>
      </c>
      <c r="AF50" t="e">
        <f>AND('STERLING CATALOG - DRY '!C974,"AAAAAD2/9R8=")</f>
        <v>#VALUE!</v>
      </c>
      <c r="AG50" t="e">
        <f>AND('STERLING CATALOG - DRY '!D974,"AAAAAD2/9SA=")</f>
        <v>#VALUE!</v>
      </c>
      <c r="AH50" t="e">
        <f>AND('STERLING CATALOG - DRY '!E974,"AAAAAD2/9SE=")</f>
        <v>#VALUE!</v>
      </c>
      <c r="AI50" t="e">
        <f>AND('STERLING CATALOG - DRY '!F974,"AAAAAD2/9SI=")</f>
        <v>#VALUE!</v>
      </c>
      <c r="AJ50" t="e">
        <f>AND('STERLING CATALOG - DRY '!G974,"AAAAAD2/9SM=")</f>
        <v>#VALUE!</v>
      </c>
      <c r="AK50" t="e">
        <f>AND('STERLING CATALOG - DRY '!H974,"AAAAAD2/9SQ=")</f>
        <v>#VALUE!</v>
      </c>
      <c r="AL50" t="e">
        <f>AND('STERLING CATALOG - DRY '!I974,"AAAAAD2/9SU=")</f>
        <v>#VALUE!</v>
      </c>
      <c r="AM50" t="e">
        <f>AND('STERLING CATALOG - DRY '!J974,"AAAAAD2/9SY=")</f>
        <v>#VALUE!</v>
      </c>
      <c r="AN50">
        <f>IF('STERLING CATALOG - DRY '!975:975,"AAAAAD2/9Sc=",0)</f>
        <v>0</v>
      </c>
      <c r="AO50" t="e">
        <f>AND('STERLING CATALOG - DRY '!A975,"AAAAAD2/9Sg=")</f>
        <v>#VALUE!</v>
      </c>
      <c r="AP50" t="e">
        <f>AND('STERLING CATALOG - DRY '!B975,"AAAAAD2/9Sk=")</f>
        <v>#VALUE!</v>
      </c>
      <c r="AQ50" t="e">
        <f>AND('STERLING CATALOG - DRY '!C975,"AAAAAD2/9So=")</f>
        <v>#VALUE!</v>
      </c>
      <c r="AR50" t="e">
        <f>AND('STERLING CATALOG - DRY '!D975,"AAAAAD2/9Ss=")</f>
        <v>#VALUE!</v>
      </c>
      <c r="AS50" t="e">
        <f>AND('STERLING CATALOG - DRY '!E975,"AAAAAD2/9Sw=")</f>
        <v>#VALUE!</v>
      </c>
      <c r="AT50" t="e">
        <f>AND('STERLING CATALOG - DRY '!F975,"AAAAAD2/9S0=")</f>
        <v>#VALUE!</v>
      </c>
      <c r="AU50" t="e">
        <f>AND('STERLING CATALOG - DRY '!G975,"AAAAAD2/9S4=")</f>
        <v>#VALUE!</v>
      </c>
      <c r="AV50" t="e">
        <f>AND('STERLING CATALOG - DRY '!H975,"AAAAAD2/9S8=")</f>
        <v>#VALUE!</v>
      </c>
      <c r="AW50" t="e">
        <f>AND('STERLING CATALOG - DRY '!I975,"AAAAAD2/9TA=")</f>
        <v>#VALUE!</v>
      </c>
      <c r="AX50" t="e">
        <f>AND('STERLING CATALOG - DRY '!J975,"AAAAAD2/9TE=")</f>
        <v>#VALUE!</v>
      </c>
      <c r="AY50">
        <f>IF('STERLING CATALOG - DRY '!976:976,"AAAAAD2/9TI=",0)</f>
        <v>0</v>
      </c>
      <c r="AZ50" t="e">
        <f>AND('STERLING CATALOG - DRY '!A976,"AAAAAD2/9TM=")</f>
        <v>#VALUE!</v>
      </c>
      <c r="BA50" t="e">
        <f>AND('STERLING CATALOG - DRY '!B976,"AAAAAD2/9TQ=")</f>
        <v>#VALUE!</v>
      </c>
      <c r="BB50" t="e">
        <f>AND('STERLING CATALOG - DRY '!C976,"AAAAAD2/9TU=")</f>
        <v>#VALUE!</v>
      </c>
      <c r="BC50" t="e">
        <f>AND('STERLING CATALOG - DRY '!D976,"AAAAAD2/9TY=")</f>
        <v>#VALUE!</v>
      </c>
      <c r="BD50" t="e">
        <f>AND('STERLING CATALOG - DRY '!E976,"AAAAAD2/9Tc=")</f>
        <v>#VALUE!</v>
      </c>
      <c r="BE50" t="e">
        <f>AND('STERLING CATALOG - DRY '!F976,"AAAAAD2/9Tg=")</f>
        <v>#VALUE!</v>
      </c>
      <c r="BF50" t="e">
        <f>AND('STERLING CATALOG - DRY '!G976,"AAAAAD2/9Tk=")</f>
        <v>#VALUE!</v>
      </c>
      <c r="BG50" t="e">
        <f>AND('STERLING CATALOG - DRY '!H976,"AAAAAD2/9To=")</f>
        <v>#VALUE!</v>
      </c>
      <c r="BH50" t="e">
        <f>AND('STERLING CATALOG - DRY '!I976,"AAAAAD2/9Ts=")</f>
        <v>#VALUE!</v>
      </c>
      <c r="BI50" t="e">
        <f>AND('STERLING CATALOG - DRY '!J976,"AAAAAD2/9Tw=")</f>
        <v>#VALUE!</v>
      </c>
      <c r="BJ50">
        <f>IF('STERLING CATALOG - DRY '!977:977,"AAAAAD2/9T0=",0)</f>
        <v>0</v>
      </c>
      <c r="BK50" t="e">
        <f>AND('STERLING CATALOG - DRY '!A977,"AAAAAD2/9T4=")</f>
        <v>#VALUE!</v>
      </c>
      <c r="BL50" t="e">
        <f>AND('STERLING CATALOG - DRY '!B977,"AAAAAD2/9T8=")</f>
        <v>#VALUE!</v>
      </c>
      <c r="BM50" t="e">
        <f>AND('STERLING CATALOG - DRY '!C977,"AAAAAD2/9UA=")</f>
        <v>#VALUE!</v>
      </c>
      <c r="BN50" t="e">
        <f>AND('STERLING CATALOG - DRY '!D977,"AAAAAD2/9UE=")</f>
        <v>#VALUE!</v>
      </c>
      <c r="BO50" t="e">
        <f>AND('STERLING CATALOG - DRY '!E977,"AAAAAD2/9UI=")</f>
        <v>#VALUE!</v>
      </c>
      <c r="BP50" t="e">
        <f>AND('STERLING CATALOG - DRY '!F977,"AAAAAD2/9UM=")</f>
        <v>#VALUE!</v>
      </c>
      <c r="BQ50" t="e">
        <f>AND('STERLING CATALOG - DRY '!G977,"AAAAAD2/9UQ=")</f>
        <v>#VALUE!</v>
      </c>
      <c r="BR50" t="e">
        <f>AND('STERLING CATALOG - DRY '!H977,"AAAAAD2/9UU=")</f>
        <v>#VALUE!</v>
      </c>
      <c r="BS50" t="e">
        <f>AND('STERLING CATALOG - DRY '!I977,"AAAAAD2/9UY=")</f>
        <v>#VALUE!</v>
      </c>
      <c r="BT50" t="e">
        <f>AND('STERLING CATALOG - DRY '!J977,"AAAAAD2/9Uc=")</f>
        <v>#VALUE!</v>
      </c>
      <c r="BU50">
        <f>IF('STERLING CATALOG - DRY '!978:978,"AAAAAD2/9Ug=",0)</f>
        <v>0</v>
      </c>
      <c r="BV50" t="e">
        <f>AND('STERLING CATALOG - DRY '!A978,"AAAAAD2/9Uk=")</f>
        <v>#VALUE!</v>
      </c>
      <c r="BW50" t="e">
        <f>AND('STERLING CATALOG - DRY '!B978,"AAAAAD2/9Uo=")</f>
        <v>#VALUE!</v>
      </c>
      <c r="BX50" t="e">
        <f>AND('STERLING CATALOG - DRY '!C978,"AAAAAD2/9Us=")</f>
        <v>#VALUE!</v>
      </c>
      <c r="BY50" t="e">
        <f>AND('STERLING CATALOG - DRY '!D978,"AAAAAD2/9Uw=")</f>
        <v>#VALUE!</v>
      </c>
      <c r="BZ50" t="e">
        <f>AND('STERLING CATALOG - DRY '!E978,"AAAAAD2/9U0=")</f>
        <v>#VALUE!</v>
      </c>
      <c r="CA50" t="e">
        <f>AND('STERLING CATALOG - DRY '!F978,"AAAAAD2/9U4=")</f>
        <v>#VALUE!</v>
      </c>
      <c r="CB50" t="e">
        <f>AND('STERLING CATALOG - DRY '!G978,"AAAAAD2/9U8=")</f>
        <v>#VALUE!</v>
      </c>
      <c r="CC50" t="e">
        <f>AND('STERLING CATALOG - DRY '!H978,"AAAAAD2/9VA=")</f>
        <v>#VALUE!</v>
      </c>
      <c r="CD50" t="e">
        <f>AND('STERLING CATALOG - DRY '!I978,"AAAAAD2/9VE=")</f>
        <v>#VALUE!</v>
      </c>
      <c r="CE50" t="e">
        <f>AND('STERLING CATALOG - DRY '!J978,"AAAAAD2/9VI=")</f>
        <v>#VALUE!</v>
      </c>
      <c r="CF50">
        <f>IF('STERLING CATALOG - DRY '!979:979,"AAAAAD2/9VM=",0)</f>
        <v>0</v>
      </c>
      <c r="CG50" t="e">
        <f>AND('STERLING CATALOG - DRY '!A979,"AAAAAD2/9VQ=")</f>
        <v>#VALUE!</v>
      </c>
      <c r="CH50" t="e">
        <f>AND('STERLING CATALOG - DRY '!B979,"AAAAAD2/9VU=")</f>
        <v>#VALUE!</v>
      </c>
      <c r="CI50" t="e">
        <f>AND('STERLING CATALOG - DRY '!C979,"AAAAAD2/9VY=")</f>
        <v>#VALUE!</v>
      </c>
      <c r="CJ50" t="e">
        <f>AND('STERLING CATALOG - DRY '!D979,"AAAAAD2/9Vc=")</f>
        <v>#VALUE!</v>
      </c>
      <c r="CK50" t="e">
        <f>AND('STERLING CATALOG - DRY '!E979,"AAAAAD2/9Vg=")</f>
        <v>#VALUE!</v>
      </c>
      <c r="CL50" t="e">
        <f>AND('STERLING CATALOG - DRY '!F979,"AAAAAD2/9Vk=")</f>
        <v>#VALUE!</v>
      </c>
      <c r="CM50" t="e">
        <f>AND('STERLING CATALOG - DRY '!G979,"AAAAAD2/9Vo=")</f>
        <v>#VALUE!</v>
      </c>
      <c r="CN50" t="e">
        <f>AND('STERLING CATALOG - DRY '!H979,"AAAAAD2/9Vs=")</f>
        <v>#VALUE!</v>
      </c>
      <c r="CO50" t="e">
        <f>AND('STERLING CATALOG - DRY '!I979,"AAAAAD2/9Vw=")</f>
        <v>#VALUE!</v>
      </c>
      <c r="CP50" t="e">
        <f>AND('STERLING CATALOG - DRY '!J979,"AAAAAD2/9V0=")</f>
        <v>#VALUE!</v>
      </c>
      <c r="CQ50">
        <f>IF('STERLING CATALOG - DRY '!980:980,"AAAAAD2/9V4=",0)</f>
        <v>0</v>
      </c>
      <c r="CR50" t="e">
        <f>AND('STERLING CATALOG - DRY '!A980,"AAAAAD2/9V8=")</f>
        <v>#VALUE!</v>
      </c>
      <c r="CS50" t="e">
        <f>AND('STERLING CATALOG - DRY '!B980,"AAAAAD2/9WA=")</f>
        <v>#VALUE!</v>
      </c>
      <c r="CT50" t="e">
        <f>AND('STERLING CATALOG - DRY '!C980,"AAAAAD2/9WE=")</f>
        <v>#VALUE!</v>
      </c>
      <c r="CU50" t="e">
        <f>AND('STERLING CATALOG - DRY '!D980,"AAAAAD2/9WI=")</f>
        <v>#VALUE!</v>
      </c>
      <c r="CV50" t="e">
        <f>AND('STERLING CATALOG - DRY '!E980,"AAAAAD2/9WM=")</f>
        <v>#VALUE!</v>
      </c>
      <c r="CW50" t="e">
        <f>AND('STERLING CATALOG - DRY '!F980,"AAAAAD2/9WQ=")</f>
        <v>#VALUE!</v>
      </c>
      <c r="CX50" t="e">
        <f>AND('STERLING CATALOG - DRY '!G980,"AAAAAD2/9WU=")</f>
        <v>#VALUE!</v>
      </c>
      <c r="CY50" t="e">
        <f>AND('STERLING CATALOG - DRY '!H980,"AAAAAD2/9WY=")</f>
        <v>#VALUE!</v>
      </c>
      <c r="CZ50" t="e">
        <f>AND('STERLING CATALOG - DRY '!I980,"AAAAAD2/9Wc=")</f>
        <v>#VALUE!</v>
      </c>
      <c r="DA50" t="e">
        <f>AND('STERLING CATALOG - DRY '!J980,"AAAAAD2/9Wg=")</f>
        <v>#VALUE!</v>
      </c>
      <c r="DB50">
        <f>IF('STERLING CATALOG - DRY '!981:981,"AAAAAD2/9Wk=",0)</f>
        <v>0</v>
      </c>
      <c r="DC50" t="e">
        <f>AND('STERLING CATALOG - DRY '!A981,"AAAAAD2/9Wo=")</f>
        <v>#VALUE!</v>
      </c>
      <c r="DD50" t="e">
        <f>AND('STERLING CATALOG - DRY '!B981,"AAAAAD2/9Ws=")</f>
        <v>#VALUE!</v>
      </c>
      <c r="DE50" t="e">
        <f>AND('STERLING CATALOG - DRY '!C981,"AAAAAD2/9Ww=")</f>
        <v>#VALUE!</v>
      </c>
      <c r="DF50" t="e">
        <f>AND('STERLING CATALOG - DRY '!D981,"AAAAAD2/9W0=")</f>
        <v>#VALUE!</v>
      </c>
      <c r="DG50" t="e">
        <f>AND('STERLING CATALOG - DRY '!E981,"AAAAAD2/9W4=")</f>
        <v>#VALUE!</v>
      </c>
      <c r="DH50" t="e">
        <f>AND('STERLING CATALOG - DRY '!F981,"AAAAAD2/9W8=")</f>
        <v>#VALUE!</v>
      </c>
      <c r="DI50" t="e">
        <f>AND('STERLING CATALOG - DRY '!G981,"AAAAAD2/9XA=")</f>
        <v>#VALUE!</v>
      </c>
      <c r="DJ50" t="e">
        <f>AND('STERLING CATALOG - DRY '!H981,"AAAAAD2/9XE=")</f>
        <v>#VALUE!</v>
      </c>
      <c r="DK50" t="e">
        <f>AND('STERLING CATALOG - DRY '!I981,"AAAAAD2/9XI=")</f>
        <v>#VALUE!</v>
      </c>
      <c r="DL50" t="e">
        <f>AND('STERLING CATALOG - DRY '!J981,"AAAAAD2/9XM=")</f>
        <v>#VALUE!</v>
      </c>
      <c r="DM50">
        <f>IF('STERLING CATALOG - DRY '!982:982,"AAAAAD2/9XQ=",0)</f>
        <v>0</v>
      </c>
      <c r="DN50" t="e">
        <f>AND('STERLING CATALOG - DRY '!A982,"AAAAAD2/9XU=")</f>
        <v>#VALUE!</v>
      </c>
      <c r="DO50" t="e">
        <f>AND('STERLING CATALOG - DRY '!B982,"AAAAAD2/9XY=")</f>
        <v>#VALUE!</v>
      </c>
      <c r="DP50" t="e">
        <f>AND('STERLING CATALOG - DRY '!C982,"AAAAAD2/9Xc=")</f>
        <v>#VALUE!</v>
      </c>
      <c r="DQ50" t="e">
        <f>AND('STERLING CATALOG - DRY '!D982,"AAAAAD2/9Xg=")</f>
        <v>#VALUE!</v>
      </c>
      <c r="DR50" t="e">
        <f>AND('STERLING CATALOG - DRY '!E982,"AAAAAD2/9Xk=")</f>
        <v>#VALUE!</v>
      </c>
      <c r="DS50" t="e">
        <f>AND('STERLING CATALOG - DRY '!F982,"AAAAAD2/9Xo=")</f>
        <v>#VALUE!</v>
      </c>
      <c r="DT50" t="e">
        <f>AND('STERLING CATALOG - DRY '!G982,"AAAAAD2/9Xs=")</f>
        <v>#VALUE!</v>
      </c>
      <c r="DU50" t="e">
        <f>AND('STERLING CATALOG - DRY '!H982,"AAAAAD2/9Xw=")</f>
        <v>#VALUE!</v>
      </c>
      <c r="DV50" t="e">
        <f>AND('STERLING CATALOG - DRY '!I982,"AAAAAD2/9X0=")</f>
        <v>#VALUE!</v>
      </c>
      <c r="DW50" t="e">
        <f>AND('STERLING CATALOG - DRY '!J982,"AAAAAD2/9X4=")</f>
        <v>#VALUE!</v>
      </c>
      <c r="DX50">
        <f>IF('STERLING CATALOG - DRY '!983:983,"AAAAAD2/9X8=",0)</f>
        <v>0</v>
      </c>
      <c r="DY50" t="e">
        <f>AND('STERLING CATALOG - DRY '!A983,"AAAAAD2/9YA=")</f>
        <v>#VALUE!</v>
      </c>
      <c r="DZ50" t="e">
        <f>AND('STERLING CATALOG - DRY '!B983,"AAAAAD2/9YE=")</f>
        <v>#VALUE!</v>
      </c>
      <c r="EA50" t="e">
        <f>AND('STERLING CATALOG - DRY '!C983,"AAAAAD2/9YI=")</f>
        <v>#VALUE!</v>
      </c>
      <c r="EB50" t="e">
        <f>AND('STERLING CATALOG - DRY '!D983,"AAAAAD2/9YM=")</f>
        <v>#VALUE!</v>
      </c>
      <c r="EC50" t="e">
        <f>AND('STERLING CATALOG - DRY '!E983,"AAAAAD2/9YQ=")</f>
        <v>#VALUE!</v>
      </c>
      <c r="ED50" t="e">
        <f>AND('STERLING CATALOG - DRY '!F983,"AAAAAD2/9YU=")</f>
        <v>#VALUE!</v>
      </c>
      <c r="EE50" t="e">
        <f>AND('STERLING CATALOG - DRY '!G983,"AAAAAD2/9YY=")</f>
        <v>#VALUE!</v>
      </c>
      <c r="EF50" t="e">
        <f>AND('STERLING CATALOG - DRY '!H983,"AAAAAD2/9Yc=")</f>
        <v>#VALUE!</v>
      </c>
      <c r="EG50" t="e">
        <f>AND('STERLING CATALOG - DRY '!I983,"AAAAAD2/9Yg=")</f>
        <v>#VALUE!</v>
      </c>
      <c r="EH50" t="e">
        <f>AND('STERLING CATALOG - DRY '!J983,"AAAAAD2/9Yk=")</f>
        <v>#VALUE!</v>
      </c>
      <c r="EI50">
        <f>IF('STERLING CATALOG - DRY '!984:984,"AAAAAD2/9Yo=",0)</f>
        <v>0</v>
      </c>
      <c r="EJ50" t="e">
        <f>AND('STERLING CATALOG - DRY '!A984,"AAAAAD2/9Ys=")</f>
        <v>#VALUE!</v>
      </c>
      <c r="EK50" t="e">
        <f>AND('STERLING CATALOG - DRY '!B984,"AAAAAD2/9Yw=")</f>
        <v>#VALUE!</v>
      </c>
      <c r="EL50" t="e">
        <f>AND('STERLING CATALOG - DRY '!C984,"AAAAAD2/9Y0=")</f>
        <v>#VALUE!</v>
      </c>
      <c r="EM50" t="e">
        <f>AND('STERLING CATALOG - DRY '!D984,"AAAAAD2/9Y4=")</f>
        <v>#VALUE!</v>
      </c>
      <c r="EN50" t="e">
        <f>AND('STERLING CATALOG - DRY '!E984,"AAAAAD2/9Y8=")</f>
        <v>#VALUE!</v>
      </c>
      <c r="EO50" t="e">
        <f>AND('STERLING CATALOG - DRY '!F984,"AAAAAD2/9ZA=")</f>
        <v>#VALUE!</v>
      </c>
      <c r="EP50" t="e">
        <f>AND('STERLING CATALOG - DRY '!G984,"AAAAAD2/9ZE=")</f>
        <v>#VALUE!</v>
      </c>
      <c r="EQ50" t="e">
        <f>AND('STERLING CATALOG - DRY '!H984,"AAAAAD2/9ZI=")</f>
        <v>#VALUE!</v>
      </c>
      <c r="ER50" t="e">
        <f>AND('STERLING CATALOG - DRY '!I984,"AAAAAD2/9ZM=")</f>
        <v>#VALUE!</v>
      </c>
      <c r="ES50" t="e">
        <f>AND('STERLING CATALOG - DRY '!J984,"AAAAAD2/9ZQ=")</f>
        <v>#VALUE!</v>
      </c>
      <c r="ET50">
        <f>IF('STERLING CATALOG - DRY '!985:985,"AAAAAD2/9ZU=",0)</f>
        <v>0</v>
      </c>
      <c r="EU50" t="e">
        <f>AND('STERLING CATALOG - DRY '!A985,"AAAAAD2/9ZY=")</f>
        <v>#VALUE!</v>
      </c>
      <c r="EV50" t="e">
        <f>AND('STERLING CATALOG - DRY '!B985,"AAAAAD2/9Zc=")</f>
        <v>#VALUE!</v>
      </c>
      <c r="EW50" t="e">
        <f>AND('STERLING CATALOG - DRY '!C985,"AAAAAD2/9Zg=")</f>
        <v>#VALUE!</v>
      </c>
      <c r="EX50" t="e">
        <f>AND('STERLING CATALOG - DRY '!D985,"AAAAAD2/9Zk=")</f>
        <v>#VALUE!</v>
      </c>
      <c r="EY50" t="e">
        <f>AND('STERLING CATALOG - DRY '!E985,"AAAAAD2/9Zo=")</f>
        <v>#VALUE!</v>
      </c>
      <c r="EZ50" t="e">
        <f>AND('STERLING CATALOG - DRY '!F985,"AAAAAD2/9Zs=")</f>
        <v>#VALUE!</v>
      </c>
      <c r="FA50" t="e">
        <f>AND('STERLING CATALOG - DRY '!G985,"AAAAAD2/9Zw=")</f>
        <v>#VALUE!</v>
      </c>
      <c r="FB50" t="e">
        <f>AND('STERLING CATALOG - DRY '!H985,"AAAAAD2/9Z0=")</f>
        <v>#VALUE!</v>
      </c>
      <c r="FC50" t="e">
        <f>AND('STERLING CATALOG - DRY '!I985,"AAAAAD2/9Z4=")</f>
        <v>#VALUE!</v>
      </c>
      <c r="FD50" t="e">
        <f>AND('STERLING CATALOG - DRY '!J985,"AAAAAD2/9Z8=")</f>
        <v>#VALUE!</v>
      </c>
      <c r="FE50">
        <f>IF('STERLING CATALOG - DRY '!986:986,"AAAAAD2/9aA=",0)</f>
        <v>0</v>
      </c>
      <c r="FF50" t="e">
        <f>AND('STERLING CATALOG - DRY '!A986,"AAAAAD2/9aE=")</f>
        <v>#VALUE!</v>
      </c>
      <c r="FG50" t="e">
        <f>AND('STERLING CATALOG - DRY '!B986,"AAAAAD2/9aI=")</f>
        <v>#VALUE!</v>
      </c>
      <c r="FH50" t="e">
        <f>AND('STERLING CATALOG - DRY '!C986,"AAAAAD2/9aM=")</f>
        <v>#VALUE!</v>
      </c>
      <c r="FI50" t="e">
        <f>AND('STERLING CATALOG - DRY '!D986,"AAAAAD2/9aQ=")</f>
        <v>#VALUE!</v>
      </c>
      <c r="FJ50" t="e">
        <f>AND('STERLING CATALOG - DRY '!E986,"AAAAAD2/9aU=")</f>
        <v>#VALUE!</v>
      </c>
      <c r="FK50" t="e">
        <f>AND('STERLING CATALOG - DRY '!F986,"AAAAAD2/9aY=")</f>
        <v>#VALUE!</v>
      </c>
      <c r="FL50" t="e">
        <f>AND('STERLING CATALOG - DRY '!G986,"AAAAAD2/9ac=")</f>
        <v>#VALUE!</v>
      </c>
      <c r="FM50" t="e">
        <f>AND('STERLING CATALOG - DRY '!H986,"AAAAAD2/9ag=")</f>
        <v>#VALUE!</v>
      </c>
      <c r="FN50" t="e">
        <f>AND('STERLING CATALOG - DRY '!I986,"AAAAAD2/9ak=")</f>
        <v>#VALUE!</v>
      </c>
      <c r="FO50" t="e">
        <f>AND('STERLING CATALOG - DRY '!J986,"AAAAAD2/9ao=")</f>
        <v>#VALUE!</v>
      </c>
      <c r="FP50">
        <f>IF('STERLING CATALOG - DRY '!987:987,"AAAAAD2/9as=",0)</f>
        <v>0</v>
      </c>
      <c r="FQ50" t="e">
        <f>AND('STERLING CATALOG - DRY '!A987,"AAAAAD2/9aw=")</f>
        <v>#VALUE!</v>
      </c>
      <c r="FR50" t="e">
        <f>AND('STERLING CATALOG - DRY '!B987,"AAAAAD2/9a0=")</f>
        <v>#VALUE!</v>
      </c>
      <c r="FS50" t="e">
        <f>AND('STERLING CATALOG - DRY '!C987,"AAAAAD2/9a4=")</f>
        <v>#VALUE!</v>
      </c>
      <c r="FT50" t="e">
        <f>AND('STERLING CATALOG - DRY '!D987,"AAAAAD2/9a8=")</f>
        <v>#VALUE!</v>
      </c>
      <c r="FU50" t="e">
        <f>AND('STERLING CATALOG - DRY '!E987,"AAAAAD2/9bA=")</f>
        <v>#VALUE!</v>
      </c>
      <c r="FV50" t="e">
        <f>AND('STERLING CATALOG - DRY '!F987,"AAAAAD2/9bE=")</f>
        <v>#VALUE!</v>
      </c>
      <c r="FW50" t="e">
        <f>AND('STERLING CATALOG - DRY '!G987,"AAAAAD2/9bI=")</f>
        <v>#VALUE!</v>
      </c>
      <c r="FX50" t="e">
        <f>AND('STERLING CATALOG - DRY '!H987,"AAAAAD2/9bM=")</f>
        <v>#VALUE!</v>
      </c>
      <c r="FY50" t="e">
        <f>AND('STERLING CATALOG - DRY '!I987,"AAAAAD2/9bQ=")</f>
        <v>#VALUE!</v>
      </c>
      <c r="FZ50" t="e">
        <f>AND('STERLING CATALOG - DRY '!J987,"AAAAAD2/9bU=")</f>
        <v>#VALUE!</v>
      </c>
      <c r="GA50">
        <f>IF('STERLING CATALOG - DRY '!988:988,"AAAAAD2/9bY=",0)</f>
        <v>0</v>
      </c>
      <c r="GB50" t="e">
        <f>AND('STERLING CATALOG - DRY '!A988,"AAAAAD2/9bc=")</f>
        <v>#VALUE!</v>
      </c>
      <c r="GC50" t="e">
        <f>AND('STERLING CATALOG - DRY '!B988,"AAAAAD2/9bg=")</f>
        <v>#VALUE!</v>
      </c>
      <c r="GD50" t="e">
        <f>AND('STERLING CATALOG - DRY '!C988,"AAAAAD2/9bk=")</f>
        <v>#VALUE!</v>
      </c>
      <c r="GE50" t="e">
        <f>AND('STERLING CATALOG - DRY '!D988,"AAAAAD2/9bo=")</f>
        <v>#VALUE!</v>
      </c>
      <c r="GF50" t="e">
        <f>AND('STERLING CATALOG - DRY '!E988,"AAAAAD2/9bs=")</f>
        <v>#VALUE!</v>
      </c>
      <c r="GG50" t="e">
        <f>AND('STERLING CATALOG - DRY '!F988,"AAAAAD2/9bw=")</f>
        <v>#VALUE!</v>
      </c>
      <c r="GH50" t="e">
        <f>AND('STERLING CATALOG - DRY '!G988,"AAAAAD2/9b0=")</f>
        <v>#VALUE!</v>
      </c>
      <c r="GI50" t="e">
        <f>AND('STERLING CATALOG - DRY '!H988,"AAAAAD2/9b4=")</f>
        <v>#VALUE!</v>
      </c>
      <c r="GJ50" t="e">
        <f>AND('STERLING CATALOG - DRY '!I988,"AAAAAD2/9b8=")</f>
        <v>#VALUE!</v>
      </c>
      <c r="GK50" t="e">
        <f>AND('STERLING CATALOG - DRY '!J988,"AAAAAD2/9cA=")</f>
        <v>#VALUE!</v>
      </c>
      <c r="GL50">
        <f>IF('STERLING CATALOG - DRY '!989:989,"AAAAAD2/9cE=",0)</f>
        <v>0</v>
      </c>
      <c r="GM50" t="e">
        <f>AND('STERLING CATALOG - DRY '!A989,"AAAAAD2/9cI=")</f>
        <v>#VALUE!</v>
      </c>
      <c r="GN50" t="e">
        <f>AND('STERLING CATALOG - DRY '!B989,"AAAAAD2/9cM=")</f>
        <v>#VALUE!</v>
      </c>
      <c r="GO50" t="e">
        <f>AND('STERLING CATALOG - DRY '!C989,"AAAAAD2/9cQ=")</f>
        <v>#VALUE!</v>
      </c>
      <c r="GP50" t="e">
        <f>AND('STERLING CATALOG - DRY '!D989,"AAAAAD2/9cU=")</f>
        <v>#VALUE!</v>
      </c>
      <c r="GQ50" t="e">
        <f>AND('STERLING CATALOG - DRY '!E989,"AAAAAD2/9cY=")</f>
        <v>#VALUE!</v>
      </c>
      <c r="GR50" t="e">
        <f>AND('STERLING CATALOG - DRY '!F989,"AAAAAD2/9cc=")</f>
        <v>#VALUE!</v>
      </c>
      <c r="GS50" t="e">
        <f>AND('STERLING CATALOG - DRY '!G989,"AAAAAD2/9cg=")</f>
        <v>#VALUE!</v>
      </c>
      <c r="GT50" t="e">
        <f>AND('STERLING CATALOG - DRY '!H989,"AAAAAD2/9ck=")</f>
        <v>#VALUE!</v>
      </c>
      <c r="GU50" t="e">
        <f>AND('STERLING CATALOG - DRY '!I989,"AAAAAD2/9co=")</f>
        <v>#VALUE!</v>
      </c>
      <c r="GV50" t="e">
        <f>AND('STERLING CATALOG - DRY '!J989,"AAAAAD2/9cs=")</f>
        <v>#VALUE!</v>
      </c>
      <c r="GW50">
        <f>IF('STERLING CATALOG - DRY '!990:990,"AAAAAD2/9cw=",0)</f>
        <v>0</v>
      </c>
      <c r="GX50" t="e">
        <f>AND('STERLING CATALOG - DRY '!A990,"AAAAAD2/9c0=")</f>
        <v>#VALUE!</v>
      </c>
      <c r="GY50" t="e">
        <f>AND('STERLING CATALOG - DRY '!B990,"AAAAAD2/9c4=")</f>
        <v>#VALUE!</v>
      </c>
      <c r="GZ50" t="e">
        <f>AND('STERLING CATALOG - DRY '!C990,"AAAAAD2/9c8=")</f>
        <v>#VALUE!</v>
      </c>
      <c r="HA50" t="e">
        <f>AND('STERLING CATALOG - DRY '!D990,"AAAAAD2/9dA=")</f>
        <v>#VALUE!</v>
      </c>
      <c r="HB50" t="e">
        <f>AND('STERLING CATALOG - DRY '!E990,"AAAAAD2/9dE=")</f>
        <v>#VALUE!</v>
      </c>
      <c r="HC50" t="e">
        <f>AND('STERLING CATALOG - DRY '!F990,"AAAAAD2/9dI=")</f>
        <v>#VALUE!</v>
      </c>
      <c r="HD50" t="e">
        <f>AND('STERLING CATALOG - DRY '!G990,"AAAAAD2/9dM=")</f>
        <v>#VALUE!</v>
      </c>
      <c r="HE50" t="e">
        <f>AND('STERLING CATALOG - DRY '!H990,"AAAAAD2/9dQ=")</f>
        <v>#VALUE!</v>
      </c>
      <c r="HF50" t="e">
        <f>AND('STERLING CATALOG - DRY '!I990,"AAAAAD2/9dU=")</f>
        <v>#VALUE!</v>
      </c>
      <c r="HG50" t="e">
        <f>AND('STERLING CATALOG - DRY '!J990,"AAAAAD2/9dY=")</f>
        <v>#VALUE!</v>
      </c>
      <c r="HH50">
        <f>IF('STERLING CATALOG - DRY '!991:991,"AAAAAD2/9dc=",0)</f>
        <v>0</v>
      </c>
      <c r="HI50" t="e">
        <f>AND('STERLING CATALOG - DRY '!A991,"AAAAAD2/9dg=")</f>
        <v>#VALUE!</v>
      </c>
      <c r="HJ50" t="e">
        <f>AND('STERLING CATALOG - DRY '!B991,"AAAAAD2/9dk=")</f>
        <v>#VALUE!</v>
      </c>
      <c r="HK50" t="e">
        <f>AND('STERLING CATALOG - DRY '!C991,"AAAAAD2/9do=")</f>
        <v>#VALUE!</v>
      </c>
      <c r="HL50" t="e">
        <f>AND('STERLING CATALOG - DRY '!D991,"AAAAAD2/9ds=")</f>
        <v>#VALUE!</v>
      </c>
      <c r="HM50" t="e">
        <f>AND('STERLING CATALOG - DRY '!E991,"AAAAAD2/9dw=")</f>
        <v>#VALUE!</v>
      </c>
      <c r="HN50" t="e">
        <f>AND('STERLING CATALOG - DRY '!F991,"AAAAAD2/9d0=")</f>
        <v>#VALUE!</v>
      </c>
      <c r="HO50" t="e">
        <f>AND('STERLING CATALOG - DRY '!G991,"AAAAAD2/9d4=")</f>
        <v>#VALUE!</v>
      </c>
      <c r="HP50" t="e">
        <f>AND('STERLING CATALOG - DRY '!H991,"AAAAAD2/9d8=")</f>
        <v>#VALUE!</v>
      </c>
      <c r="HQ50" t="e">
        <f>AND('STERLING CATALOG - DRY '!I991,"AAAAAD2/9eA=")</f>
        <v>#VALUE!</v>
      </c>
      <c r="HR50" t="e">
        <f>AND('STERLING CATALOG - DRY '!J991,"AAAAAD2/9eE=")</f>
        <v>#VALUE!</v>
      </c>
      <c r="HS50">
        <f>IF('STERLING CATALOG - DRY '!992:992,"AAAAAD2/9eI=",0)</f>
        <v>0</v>
      </c>
      <c r="HT50" t="e">
        <f>AND('STERLING CATALOG - DRY '!A992,"AAAAAD2/9eM=")</f>
        <v>#VALUE!</v>
      </c>
      <c r="HU50" t="e">
        <f>AND('STERLING CATALOG - DRY '!B992,"AAAAAD2/9eQ=")</f>
        <v>#VALUE!</v>
      </c>
      <c r="HV50" t="e">
        <f>AND('STERLING CATALOG - DRY '!C992,"AAAAAD2/9eU=")</f>
        <v>#VALUE!</v>
      </c>
      <c r="HW50" t="e">
        <f>AND('STERLING CATALOG - DRY '!D992,"AAAAAD2/9eY=")</f>
        <v>#VALUE!</v>
      </c>
      <c r="HX50" t="e">
        <f>AND('STERLING CATALOG - DRY '!E992,"AAAAAD2/9ec=")</f>
        <v>#VALUE!</v>
      </c>
      <c r="HY50" t="e">
        <f>AND('STERLING CATALOG - DRY '!F992,"AAAAAD2/9eg=")</f>
        <v>#VALUE!</v>
      </c>
      <c r="HZ50" t="e">
        <f>AND('STERLING CATALOG - DRY '!G992,"AAAAAD2/9ek=")</f>
        <v>#VALUE!</v>
      </c>
      <c r="IA50" t="e">
        <f>AND('STERLING CATALOG - DRY '!H992,"AAAAAD2/9eo=")</f>
        <v>#VALUE!</v>
      </c>
      <c r="IB50" t="e">
        <f>AND('STERLING CATALOG - DRY '!I992,"AAAAAD2/9es=")</f>
        <v>#VALUE!</v>
      </c>
      <c r="IC50" t="e">
        <f>AND('STERLING CATALOG - DRY '!J992,"AAAAAD2/9ew=")</f>
        <v>#VALUE!</v>
      </c>
      <c r="ID50">
        <f>IF('STERLING CATALOG - DRY '!993:993,"AAAAAD2/9e0=",0)</f>
        <v>0</v>
      </c>
      <c r="IE50" t="e">
        <f>AND('STERLING CATALOG - DRY '!A993,"AAAAAD2/9e4=")</f>
        <v>#VALUE!</v>
      </c>
      <c r="IF50" t="e">
        <f>AND('STERLING CATALOG - DRY '!B993,"AAAAAD2/9e8=")</f>
        <v>#VALUE!</v>
      </c>
      <c r="IG50" t="e">
        <f>AND('STERLING CATALOG - DRY '!C993,"AAAAAD2/9fA=")</f>
        <v>#VALUE!</v>
      </c>
      <c r="IH50" t="e">
        <f>AND('STERLING CATALOG - DRY '!D993,"AAAAAD2/9fE=")</f>
        <v>#VALUE!</v>
      </c>
      <c r="II50" t="e">
        <f>AND('STERLING CATALOG - DRY '!E993,"AAAAAD2/9fI=")</f>
        <v>#VALUE!</v>
      </c>
      <c r="IJ50" t="e">
        <f>AND('STERLING CATALOG - DRY '!F993,"AAAAAD2/9fM=")</f>
        <v>#VALUE!</v>
      </c>
      <c r="IK50" t="e">
        <f>AND('STERLING CATALOG - DRY '!G993,"AAAAAD2/9fQ=")</f>
        <v>#VALUE!</v>
      </c>
      <c r="IL50" t="e">
        <f>AND('STERLING CATALOG - DRY '!H993,"AAAAAD2/9fU=")</f>
        <v>#VALUE!</v>
      </c>
      <c r="IM50" t="e">
        <f>AND('STERLING CATALOG - DRY '!I993,"AAAAAD2/9fY=")</f>
        <v>#VALUE!</v>
      </c>
      <c r="IN50" t="e">
        <f>AND('STERLING CATALOG - DRY '!J993,"AAAAAD2/9fc=")</f>
        <v>#VALUE!</v>
      </c>
      <c r="IO50">
        <f>IF('STERLING CATALOG - DRY '!994:994,"AAAAAD2/9fg=",0)</f>
        <v>0</v>
      </c>
      <c r="IP50" t="e">
        <f>AND('STERLING CATALOG - DRY '!A994,"AAAAAD2/9fk=")</f>
        <v>#VALUE!</v>
      </c>
      <c r="IQ50" t="e">
        <f>AND('STERLING CATALOG - DRY '!B994,"AAAAAD2/9fo=")</f>
        <v>#VALUE!</v>
      </c>
      <c r="IR50" t="e">
        <f>AND('STERLING CATALOG - DRY '!C994,"AAAAAD2/9fs=")</f>
        <v>#VALUE!</v>
      </c>
      <c r="IS50" t="e">
        <f>AND('STERLING CATALOG - DRY '!D994,"AAAAAD2/9fw=")</f>
        <v>#VALUE!</v>
      </c>
      <c r="IT50" t="e">
        <f>AND('STERLING CATALOG - DRY '!E994,"AAAAAD2/9f0=")</f>
        <v>#VALUE!</v>
      </c>
      <c r="IU50" t="e">
        <f>AND('STERLING CATALOG - DRY '!F994,"AAAAAD2/9f4=")</f>
        <v>#VALUE!</v>
      </c>
      <c r="IV50" t="e">
        <f>AND('STERLING CATALOG - DRY '!G994,"AAAAAD2/9f8=")</f>
        <v>#VALUE!</v>
      </c>
    </row>
    <row r="51" spans="1:256">
      <c r="A51" t="e">
        <f>AND('STERLING CATALOG - DRY '!H994,"AAAAAH2eNwA=")</f>
        <v>#VALUE!</v>
      </c>
      <c r="B51" t="e">
        <f>AND('STERLING CATALOG - DRY '!I994,"AAAAAH2eNwE=")</f>
        <v>#VALUE!</v>
      </c>
      <c r="C51" t="e">
        <f>AND('STERLING CATALOG - DRY '!J994,"AAAAAH2eNwI=")</f>
        <v>#VALUE!</v>
      </c>
      <c r="D51" t="e">
        <f>IF('STERLING CATALOG - DRY '!995:995,"AAAAAH2eNwM=",0)</f>
        <v>#VALUE!</v>
      </c>
      <c r="E51" t="e">
        <f>AND('STERLING CATALOG - DRY '!A995,"AAAAAH2eNwQ=")</f>
        <v>#VALUE!</v>
      </c>
      <c r="F51" t="e">
        <f>AND('STERLING CATALOG - DRY '!B995,"AAAAAH2eNwU=")</f>
        <v>#VALUE!</v>
      </c>
      <c r="G51" t="e">
        <f>AND('STERLING CATALOG - DRY '!C995,"AAAAAH2eNwY=")</f>
        <v>#VALUE!</v>
      </c>
      <c r="H51" t="e">
        <f>AND('STERLING CATALOG - DRY '!D995,"AAAAAH2eNwc=")</f>
        <v>#VALUE!</v>
      </c>
      <c r="I51" t="e">
        <f>AND('STERLING CATALOG - DRY '!E995,"AAAAAH2eNwg=")</f>
        <v>#VALUE!</v>
      </c>
      <c r="J51" t="e">
        <f>AND('STERLING CATALOG - DRY '!F995,"AAAAAH2eNwk=")</f>
        <v>#VALUE!</v>
      </c>
      <c r="K51" t="e">
        <f>AND('STERLING CATALOG - DRY '!G995,"AAAAAH2eNwo=")</f>
        <v>#VALUE!</v>
      </c>
      <c r="L51" t="e">
        <f>AND('STERLING CATALOG - DRY '!H995,"AAAAAH2eNws=")</f>
        <v>#VALUE!</v>
      </c>
      <c r="M51" t="e">
        <f>AND('STERLING CATALOG - DRY '!I995,"AAAAAH2eNww=")</f>
        <v>#VALUE!</v>
      </c>
      <c r="N51" t="e">
        <f>AND('STERLING CATALOG - DRY '!J995,"AAAAAH2eNw0=")</f>
        <v>#VALUE!</v>
      </c>
      <c r="O51">
        <f>IF('STERLING CATALOG - DRY '!996:996,"AAAAAH2eNw4=",0)</f>
        <v>0</v>
      </c>
      <c r="P51" t="e">
        <f>AND('STERLING CATALOG - DRY '!A996,"AAAAAH2eNw8=")</f>
        <v>#VALUE!</v>
      </c>
      <c r="Q51" t="e">
        <f>AND('STERLING CATALOG - DRY '!B996,"AAAAAH2eNxA=")</f>
        <v>#VALUE!</v>
      </c>
      <c r="R51" t="e">
        <f>AND('STERLING CATALOG - DRY '!C996,"AAAAAH2eNxE=")</f>
        <v>#VALUE!</v>
      </c>
      <c r="S51" t="e">
        <f>AND('STERLING CATALOG - DRY '!D996,"AAAAAH2eNxI=")</f>
        <v>#VALUE!</v>
      </c>
      <c r="T51" t="e">
        <f>AND('STERLING CATALOG - DRY '!E996,"AAAAAH2eNxM=")</f>
        <v>#VALUE!</v>
      </c>
      <c r="U51" t="e">
        <f>AND('STERLING CATALOG - DRY '!F996,"AAAAAH2eNxQ=")</f>
        <v>#VALUE!</v>
      </c>
      <c r="V51" t="e">
        <f>AND('STERLING CATALOG - DRY '!G996,"AAAAAH2eNxU=")</f>
        <v>#VALUE!</v>
      </c>
      <c r="W51" t="e">
        <f>AND('STERLING CATALOG - DRY '!H996,"AAAAAH2eNxY=")</f>
        <v>#VALUE!</v>
      </c>
      <c r="X51" t="e">
        <f>AND('STERLING CATALOG - DRY '!I996,"AAAAAH2eNxc=")</f>
        <v>#VALUE!</v>
      </c>
      <c r="Y51" t="e">
        <f>AND('STERLING CATALOG - DRY '!J996,"AAAAAH2eNxg=")</f>
        <v>#VALUE!</v>
      </c>
      <c r="Z51">
        <f>IF('STERLING CATALOG - DRY '!997:997,"AAAAAH2eNxk=",0)</f>
        <v>0</v>
      </c>
      <c r="AA51" t="e">
        <f>AND('STERLING CATALOG - DRY '!A997,"AAAAAH2eNxo=")</f>
        <v>#VALUE!</v>
      </c>
      <c r="AB51" t="e">
        <f>AND('STERLING CATALOG - DRY '!B997,"AAAAAH2eNxs=")</f>
        <v>#VALUE!</v>
      </c>
      <c r="AC51" t="e">
        <f>AND('STERLING CATALOG - DRY '!C997,"AAAAAH2eNxw=")</f>
        <v>#VALUE!</v>
      </c>
      <c r="AD51" t="e">
        <f>AND('STERLING CATALOG - DRY '!D997,"AAAAAH2eNx0=")</f>
        <v>#VALUE!</v>
      </c>
      <c r="AE51" t="e">
        <f>AND('STERLING CATALOG - DRY '!E997,"AAAAAH2eNx4=")</f>
        <v>#VALUE!</v>
      </c>
      <c r="AF51" t="e">
        <f>AND('STERLING CATALOG - DRY '!F997,"AAAAAH2eNx8=")</f>
        <v>#VALUE!</v>
      </c>
      <c r="AG51" t="e">
        <f>AND('STERLING CATALOG - DRY '!G997,"AAAAAH2eNyA=")</f>
        <v>#VALUE!</v>
      </c>
      <c r="AH51" t="e">
        <f>AND('STERLING CATALOG - DRY '!H997,"AAAAAH2eNyE=")</f>
        <v>#VALUE!</v>
      </c>
      <c r="AI51" t="e">
        <f>AND('STERLING CATALOG - DRY '!I997,"AAAAAH2eNyI=")</f>
        <v>#VALUE!</v>
      </c>
      <c r="AJ51" t="e">
        <f>AND('STERLING CATALOG - DRY '!J997,"AAAAAH2eNyM=")</f>
        <v>#VALUE!</v>
      </c>
      <c r="AK51">
        <f>IF('STERLING CATALOG - DRY '!998:998,"AAAAAH2eNyQ=",0)</f>
        <v>0</v>
      </c>
      <c r="AL51" t="e">
        <f>AND('STERLING CATALOG - DRY '!A998,"AAAAAH2eNyU=")</f>
        <v>#VALUE!</v>
      </c>
      <c r="AM51" t="e">
        <f>AND('STERLING CATALOG - DRY '!B998,"AAAAAH2eNyY=")</f>
        <v>#VALUE!</v>
      </c>
      <c r="AN51" t="e">
        <f>AND('STERLING CATALOG - DRY '!C998,"AAAAAH2eNyc=")</f>
        <v>#VALUE!</v>
      </c>
      <c r="AO51" t="e">
        <f>AND('STERLING CATALOG - DRY '!D998,"AAAAAH2eNyg=")</f>
        <v>#VALUE!</v>
      </c>
      <c r="AP51" t="e">
        <f>AND('STERLING CATALOG - DRY '!E998,"AAAAAH2eNyk=")</f>
        <v>#VALUE!</v>
      </c>
      <c r="AQ51" t="e">
        <f>AND('STERLING CATALOG - DRY '!F998,"AAAAAH2eNyo=")</f>
        <v>#VALUE!</v>
      </c>
      <c r="AR51" t="e">
        <f>AND('STERLING CATALOG - DRY '!G998,"AAAAAH2eNys=")</f>
        <v>#VALUE!</v>
      </c>
      <c r="AS51" t="e">
        <f>AND('STERLING CATALOG - DRY '!H998,"AAAAAH2eNyw=")</f>
        <v>#VALUE!</v>
      </c>
      <c r="AT51" t="e">
        <f>AND('STERLING CATALOG - DRY '!I998,"AAAAAH2eNy0=")</f>
        <v>#VALUE!</v>
      </c>
      <c r="AU51" t="e">
        <f>AND('STERLING CATALOG - DRY '!J998,"AAAAAH2eNy4=")</f>
        <v>#VALUE!</v>
      </c>
      <c r="AV51">
        <f>IF('STERLING CATALOG - DRY '!999:999,"AAAAAH2eNy8=",0)</f>
        <v>0</v>
      </c>
      <c r="AW51" t="e">
        <f>AND('STERLING CATALOG - DRY '!A999,"AAAAAH2eNzA=")</f>
        <v>#VALUE!</v>
      </c>
      <c r="AX51" t="e">
        <f>AND('STERLING CATALOG - DRY '!B999,"AAAAAH2eNzE=")</f>
        <v>#VALUE!</v>
      </c>
      <c r="AY51" t="e">
        <f>AND('STERLING CATALOG - DRY '!C999,"AAAAAH2eNzI=")</f>
        <v>#VALUE!</v>
      </c>
      <c r="AZ51" t="e">
        <f>AND('STERLING CATALOG - DRY '!D999,"AAAAAH2eNzM=")</f>
        <v>#VALUE!</v>
      </c>
      <c r="BA51" t="e">
        <f>AND('STERLING CATALOG - DRY '!E999,"AAAAAH2eNzQ=")</f>
        <v>#VALUE!</v>
      </c>
      <c r="BB51" t="e">
        <f>AND('STERLING CATALOG - DRY '!F999,"AAAAAH2eNzU=")</f>
        <v>#VALUE!</v>
      </c>
      <c r="BC51" t="e">
        <f>AND('STERLING CATALOG - DRY '!G999,"AAAAAH2eNzY=")</f>
        <v>#VALUE!</v>
      </c>
      <c r="BD51" t="e">
        <f>AND('STERLING CATALOG - DRY '!H999,"AAAAAH2eNzc=")</f>
        <v>#VALUE!</v>
      </c>
      <c r="BE51" t="e">
        <f>AND('STERLING CATALOG - DRY '!I999,"AAAAAH2eNzg=")</f>
        <v>#VALUE!</v>
      </c>
      <c r="BF51" t="e">
        <f>AND('STERLING CATALOG - DRY '!J999,"AAAAAH2eNzk=")</f>
        <v>#VALUE!</v>
      </c>
      <c r="BG51">
        <f>IF('STERLING CATALOG - DRY '!1000:1000,"AAAAAH2eNzo=",0)</f>
        <v>0</v>
      </c>
      <c r="BH51" t="e">
        <f>AND('STERLING CATALOG - DRY '!A1000,"AAAAAH2eNzs=")</f>
        <v>#VALUE!</v>
      </c>
      <c r="BI51" t="e">
        <f>AND('STERLING CATALOG - DRY '!B1000,"AAAAAH2eNzw=")</f>
        <v>#VALUE!</v>
      </c>
      <c r="BJ51" t="e">
        <f>AND('STERLING CATALOG - DRY '!C1000,"AAAAAH2eNz0=")</f>
        <v>#VALUE!</v>
      </c>
      <c r="BK51" t="e">
        <f>AND('STERLING CATALOG - DRY '!D1000,"AAAAAH2eNz4=")</f>
        <v>#VALUE!</v>
      </c>
      <c r="BL51" t="e">
        <f>AND('STERLING CATALOG - DRY '!E1000,"AAAAAH2eNz8=")</f>
        <v>#VALUE!</v>
      </c>
      <c r="BM51" t="e">
        <f>AND('STERLING CATALOG - DRY '!F1000,"AAAAAH2eN0A=")</f>
        <v>#VALUE!</v>
      </c>
      <c r="BN51" t="e">
        <f>AND('STERLING CATALOG - DRY '!G1000,"AAAAAH2eN0E=")</f>
        <v>#VALUE!</v>
      </c>
      <c r="BO51" t="e">
        <f>AND('STERLING CATALOG - DRY '!H1000,"AAAAAH2eN0I=")</f>
        <v>#VALUE!</v>
      </c>
      <c r="BP51" t="e">
        <f>AND('STERLING CATALOG - DRY '!I1000,"AAAAAH2eN0M=")</f>
        <v>#VALUE!</v>
      </c>
      <c r="BQ51" t="e">
        <f>AND('STERLING CATALOG - DRY '!J1000,"AAAAAH2eN0Q=")</f>
        <v>#VALUE!</v>
      </c>
      <c r="BR51">
        <f>IF('STERLING CATALOG - DRY '!1001:1001,"AAAAAH2eN0U=",0)</f>
        <v>0</v>
      </c>
      <c r="BS51" t="e">
        <f>AND('STERLING CATALOG - DRY '!A1001,"AAAAAH2eN0Y=")</f>
        <v>#VALUE!</v>
      </c>
      <c r="BT51" t="e">
        <f>AND('STERLING CATALOG - DRY '!B1001,"AAAAAH2eN0c=")</f>
        <v>#VALUE!</v>
      </c>
      <c r="BU51" t="e">
        <f>AND('STERLING CATALOG - DRY '!C1001,"AAAAAH2eN0g=")</f>
        <v>#VALUE!</v>
      </c>
      <c r="BV51" t="e">
        <f>AND('STERLING CATALOG - DRY '!D1001,"AAAAAH2eN0k=")</f>
        <v>#VALUE!</v>
      </c>
      <c r="BW51" t="e">
        <f>AND('STERLING CATALOG - DRY '!E1001,"AAAAAH2eN0o=")</f>
        <v>#VALUE!</v>
      </c>
      <c r="BX51" t="e">
        <f>AND('STERLING CATALOG - DRY '!F1001,"AAAAAH2eN0s=")</f>
        <v>#VALUE!</v>
      </c>
      <c r="BY51" t="e">
        <f>AND('STERLING CATALOG - DRY '!G1001,"AAAAAH2eN0w=")</f>
        <v>#VALUE!</v>
      </c>
      <c r="BZ51" t="e">
        <f>AND('STERLING CATALOG - DRY '!H1001,"AAAAAH2eN00=")</f>
        <v>#VALUE!</v>
      </c>
      <c r="CA51" t="e">
        <f>AND('STERLING CATALOG - DRY '!I1001,"AAAAAH2eN04=")</f>
        <v>#VALUE!</v>
      </c>
      <c r="CB51" t="e">
        <f>AND('STERLING CATALOG - DRY '!J1001,"AAAAAH2eN08=")</f>
        <v>#VALUE!</v>
      </c>
      <c r="CC51">
        <f>IF('STERLING CATALOG - DRY '!1002:1002,"AAAAAH2eN1A=",0)</f>
        <v>0</v>
      </c>
      <c r="CD51" t="e">
        <f>AND('STERLING CATALOG - DRY '!A1002,"AAAAAH2eN1E=")</f>
        <v>#VALUE!</v>
      </c>
      <c r="CE51" t="e">
        <f>AND('STERLING CATALOG - DRY '!B1002,"AAAAAH2eN1I=")</f>
        <v>#VALUE!</v>
      </c>
      <c r="CF51" t="e">
        <f>AND('STERLING CATALOG - DRY '!C1002,"AAAAAH2eN1M=")</f>
        <v>#VALUE!</v>
      </c>
      <c r="CG51" t="e">
        <f>AND('STERLING CATALOG - DRY '!D1002,"AAAAAH2eN1Q=")</f>
        <v>#VALUE!</v>
      </c>
      <c r="CH51" t="e">
        <f>AND('STERLING CATALOG - DRY '!E1002,"AAAAAH2eN1U=")</f>
        <v>#VALUE!</v>
      </c>
      <c r="CI51" t="e">
        <f>AND('STERLING CATALOG - DRY '!F1002,"AAAAAH2eN1Y=")</f>
        <v>#VALUE!</v>
      </c>
      <c r="CJ51" t="e">
        <f>AND('STERLING CATALOG - DRY '!G1002,"AAAAAH2eN1c=")</f>
        <v>#VALUE!</v>
      </c>
      <c r="CK51" t="e">
        <f>AND('STERLING CATALOG - DRY '!H1002,"AAAAAH2eN1g=")</f>
        <v>#VALUE!</v>
      </c>
      <c r="CL51" t="e">
        <f>AND('STERLING CATALOG - DRY '!I1002,"AAAAAH2eN1k=")</f>
        <v>#VALUE!</v>
      </c>
      <c r="CM51" t="e">
        <f>AND('STERLING CATALOG - DRY '!J1002,"AAAAAH2eN1o=")</f>
        <v>#VALUE!</v>
      </c>
      <c r="CN51">
        <f>IF('STERLING CATALOG - DRY '!1003:1003,"AAAAAH2eN1s=",0)</f>
        <v>0</v>
      </c>
      <c r="CO51" t="e">
        <f>AND('STERLING CATALOG - DRY '!A1003,"AAAAAH2eN1w=")</f>
        <v>#VALUE!</v>
      </c>
      <c r="CP51" t="e">
        <f>AND('STERLING CATALOG - DRY '!B1003,"AAAAAH2eN10=")</f>
        <v>#VALUE!</v>
      </c>
      <c r="CQ51" t="e">
        <f>AND('STERLING CATALOG - DRY '!C1003,"AAAAAH2eN14=")</f>
        <v>#VALUE!</v>
      </c>
      <c r="CR51" t="e">
        <f>AND('STERLING CATALOG - DRY '!D1003,"AAAAAH2eN18=")</f>
        <v>#VALUE!</v>
      </c>
      <c r="CS51" t="e">
        <f>AND('STERLING CATALOG - DRY '!E1003,"AAAAAH2eN2A=")</f>
        <v>#VALUE!</v>
      </c>
      <c r="CT51" t="e">
        <f>AND('STERLING CATALOG - DRY '!F1003,"AAAAAH2eN2E=")</f>
        <v>#VALUE!</v>
      </c>
      <c r="CU51" t="e">
        <f>AND('STERLING CATALOG - DRY '!G1003,"AAAAAH2eN2I=")</f>
        <v>#VALUE!</v>
      </c>
      <c r="CV51" t="e">
        <f>AND('STERLING CATALOG - DRY '!H1003,"AAAAAH2eN2M=")</f>
        <v>#VALUE!</v>
      </c>
      <c r="CW51" t="e">
        <f>AND('STERLING CATALOG - DRY '!I1003,"AAAAAH2eN2Q=")</f>
        <v>#VALUE!</v>
      </c>
      <c r="CX51" t="e">
        <f>AND('STERLING CATALOG - DRY '!J1003,"AAAAAH2eN2U=")</f>
        <v>#VALUE!</v>
      </c>
      <c r="CY51">
        <f>IF('STERLING CATALOG - DRY '!1004:1004,"AAAAAH2eN2Y=",0)</f>
        <v>0</v>
      </c>
      <c r="CZ51" t="e">
        <f>AND('STERLING CATALOG - DRY '!A1004,"AAAAAH2eN2c=")</f>
        <v>#VALUE!</v>
      </c>
      <c r="DA51" t="e">
        <f>AND('STERLING CATALOG - DRY '!B1004,"AAAAAH2eN2g=")</f>
        <v>#VALUE!</v>
      </c>
      <c r="DB51" t="e">
        <f>AND('STERLING CATALOG - DRY '!C1004,"AAAAAH2eN2k=")</f>
        <v>#VALUE!</v>
      </c>
      <c r="DC51" t="e">
        <f>AND('STERLING CATALOG - DRY '!D1004,"AAAAAH2eN2o=")</f>
        <v>#VALUE!</v>
      </c>
      <c r="DD51" t="e">
        <f>AND('STERLING CATALOG - DRY '!E1004,"AAAAAH2eN2s=")</f>
        <v>#VALUE!</v>
      </c>
      <c r="DE51" t="e">
        <f>AND('STERLING CATALOG - DRY '!F1004,"AAAAAH2eN2w=")</f>
        <v>#VALUE!</v>
      </c>
      <c r="DF51" t="e">
        <f>AND('STERLING CATALOG - DRY '!G1004,"AAAAAH2eN20=")</f>
        <v>#VALUE!</v>
      </c>
      <c r="DG51" t="e">
        <f>AND('STERLING CATALOG - DRY '!H1004,"AAAAAH2eN24=")</f>
        <v>#VALUE!</v>
      </c>
      <c r="DH51" t="e">
        <f>AND('STERLING CATALOG - DRY '!I1004,"AAAAAH2eN28=")</f>
        <v>#VALUE!</v>
      </c>
      <c r="DI51" t="e">
        <f>AND('STERLING CATALOG - DRY '!J1004,"AAAAAH2eN3A=")</f>
        <v>#VALUE!</v>
      </c>
      <c r="DJ51">
        <f>IF('STERLING CATALOG - DRY '!1005:1005,"AAAAAH2eN3E=",0)</f>
        <v>0</v>
      </c>
      <c r="DK51" t="e">
        <f>AND('STERLING CATALOG - DRY '!A1005,"AAAAAH2eN3I=")</f>
        <v>#VALUE!</v>
      </c>
      <c r="DL51" t="e">
        <f>AND('STERLING CATALOG - DRY '!B1005,"AAAAAH2eN3M=")</f>
        <v>#VALUE!</v>
      </c>
      <c r="DM51" t="e">
        <f>AND('STERLING CATALOG - DRY '!C1005,"AAAAAH2eN3Q=")</f>
        <v>#VALUE!</v>
      </c>
      <c r="DN51" t="e">
        <f>AND('STERLING CATALOG - DRY '!D1005,"AAAAAH2eN3U=")</f>
        <v>#VALUE!</v>
      </c>
      <c r="DO51" t="e">
        <f>AND('STERLING CATALOG - DRY '!E1005,"AAAAAH2eN3Y=")</f>
        <v>#VALUE!</v>
      </c>
      <c r="DP51" t="e">
        <f>AND('STERLING CATALOG - DRY '!F1005,"AAAAAH2eN3c=")</f>
        <v>#VALUE!</v>
      </c>
      <c r="DQ51" t="e">
        <f>AND('STERLING CATALOG - DRY '!G1005,"AAAAAH2eN3g=")</f>
        <v>#VALUE!</v>
      </c>
      <c r="DR51" t="e">
        <f>AND('STERLING CATALOG - DRY '!H1005,"AAAAAH2eN3k=")</f>
        <v>#VALUE!</v>
      </c>
      <c r="DS51" t="e">
        <f>AND('STERLING CATALOG - DRY '!I1005,"AAAAAH2eN3o=")</f>
        <v>#VALUE!</v>
      </c>
      <c r="DT51" t="e">
        <f>AND('STERLING CATALOG - DRY '!J1005,"AAAAAH2eN3s=")</f>
        <v>#VALUE!</v>
      </c>
      <c r="DU51">
        <f>IF('STERLING CATALOG - DRY '!1006:1006,"AAAAAH2eN3w=",0)</f>
        <v>0</v>
      </c>
      <c r="DV51" t="e">
        <f>AND('STERLING CATALOG - DRY '!A1006,"AAAAAH2eN30=")</f>
        <v>#VALUE!</v>
      </c>
      <c r="DW51" t="e">
        <f>AND('STERLING CATALOG - DRY '!B1006,"AAAAAH2eN34=")</f>
        <v>#VALUE!</v>
      </c>
      <c r="DX51" t="e">
        <f>AND('STERLING CATALOG - DRY '!C1006,"AAAAAH2eN38=")</f>
        <v>#VALUE!</v>
      </c>
      <c r="DY51" t="e">
        <f>AND('STERLING CATALOG - DRY '!D1006,"AAAAAH2eN4A=")</f>
        <v>#VALUE!</v>
      </c>
      <c r="DZ51" t="e">
        <f>AND('STERLING CATALOG - DRY '!E1006,"AAAAAH2eN4E=")</f>
        <v>#VALUE!</v>
      </c>
      <c r="EA51" t="e">
        <f>AND('STERLING CATALOG - DRY '!F1006,"AAAAAH2eN4I=")</f>
        <v>#VALUE!</v>
      </c>
      <c r="EB51" t="e">
        <f>AND('STERLING CATALOG - DRY '!G1006,"AAAAAH2eN4M=")</f>
        <v>#VALUE!</v>
      </c>
      <c r="EC51" t="e">
        <f>AND('STERLING CATALOG - DRY '!H1006,"AAAAAH2eN4Q=")</f>
        <v>#VALUE!</v>
      </c>
      <c r="ED51" t="e">
        <f>AND('STERLING CATALOG - DRY '!I1006,"AAAAAH2eN4U=")</f>
        <v>#VALUE!</v>
      </c>
      <c r="EE51" t="e">
        <f>AND('STERLING CATALOG - DRY '!J1006,"AAAAAH2eN4Y=")</f>
        <v>#VALUE!</v>
      </c>
      <c r="EF51">
        <f>IF('STERLING CATALOG - DRY '!1007:1007,"AAAAAH2eN4c=",0)</f>
        <v>0</v>
      </c>
      <c r="EG51" t="e">
        <f>AND('STERLING CATALOG - DRY '!A1007,"AAAAAH2eN4g=")</f>
        <v>#VALUE!</v>
      </c>
      <c r="EH51" t="e">
        <f>AND('STERLING CATALOG - DRY '!B1007,"AAAAAH2eN4k=")</f>
        <v>#VALUE!</v>
      </c>
      <c r="EI51" t="e">
        <f>AND('STERLING CATALOG - DRY '!C1007,"AAAAAH2eN4o=")</f>
        <v>#VALUE!</v>
      </c>
      <c r="EJ51" t="e">
        <f>AND('STERLING CATALOG - DRY '!D1007,"AAAAAH2eN4s=")</f>
        <v>#VALUE!</v>
      </c>
      <c r="EK51" t="e">
        <f>AND('STERLING CATALOG - DRY '!E1007,"AAAAAH2eN4w=")</f>
        <v>#VALUE!</v>
      </c>
      <c r="EL51" t="e">
        <f>AND('STERLING CATALOG - DRY '!F1007,"AAAAAH2eN40=")</f>
        <v>#VALUE!</v>
      </c>
      <c r="EM51" t="e">
        <f>AND('STERLING CATALOG - DRY '!G1007,"AAAAAH2eN44=")</f>
        <v>#VALUE!</v>
      </c>
      <c r="EN51" t="e">
        <f>AND('STERLING CATALOG - DRY '!H1007,"AAAAAH2eN48=")</f>
        <v>#VALUE!</v>
      </c>
      <c r="EO51" t="e">
        <f>AND('STERLING CATALOG - DRY '!I1007,"AAAAAH2eN5A=")</f>
        <v>#VALUE!</v>
      </c>
      <c r="EP51" t="e">
        <f>AND('STERLING CATALOG - DRY '!J1007,"AAAAAH2eN5E=")</f>
        <v>#VALUE!</v>
      </c>
      <c r="EQ51">
        <f>IF('STERLING CATALOG - DRY '!1008:1008,"AAAAAH2eN5I=",0)</f>
        <v>0</v>
      </c>
      <c r="ER51" t="e">
        <f>AND('STERLING CATALOG - DRY '!A1008,"AAAAAH2eN5M=")</f>
        <v>#VALUE!</v>
      </c>
      <c r="ES51" t="e">
        <f>AND('STERLING CATALOG - DRY '!B1008,"AAAAAH2eN5Q=")</f>
        <v>#VALUE!</v>
      </c>
      <c r="ET51" t="e">
        <f>AND('STERLING CATALOG - DRY '!C1008,"AAAAAH2eN5U=")</f>
        <v>#VALUE!</v>
      </c>
      <c r="EU51" t="e">
        <f>AND('STERLING CATALOG - DRY '!D1008,"AAAAAH2eN5Y=")</f>
        <v>#VALUE!</v>
      </c>
      <c r="EV51" t="e">
        <f>AND('STERLING CATALOG - DRY '!E1008,"AAAAAH2eN5c=")</f>
        <v>#VALUE!</v>
      </c>
      <c r="EW51" t="e">
        <f>AND('STERLING CATALOG - DRY '!F1008,"AAAAAH2eN5g=")</f>
        <v>#VALUE!</v>
      </c>
      <c r="EX51" t="e">
        <f>AND('STERLING CATALOG - DRY '!G1008,"AAAAAH2eN5k=")</f>
        <v>#VALUE!</v>
      </c>
      <c r="EY51" t="e">
        <f>AND('STERLING CATALOG - DRY '!H1008,"AAAAAH2eN5o=")</f>
        <v>#VALUE!</v>
      </c>
      <c r="EZ51" t="e">
        <f>AND('STERLING CATALOG - DRY '!I1008,"AAAAAH2eN5s=")</f>
        <v>#VALUE!</v>
      </c>
      <c r="FA51" t="e">
        <f>AND('STERLING CATALOG - DRY '!J1008,"AAAAAH2eN5w=")</f>
        <v>#VALUE!</v>
      </c>
      <c r="FB51">
        <f>IF('STERLING CATALOG - DRY '!1009:1009,"AAAAAH2eN50=",0)</f>
        <v>0</v>
      </c>
      <c r="FC51" t="e">
        <f>AND('STERLING CATALOG - DRY '!A1009,"AAAAAH2eN54=")</f>
        <v>#VALUE!</v>
      </c>
      <c r="FD51" t="e">
        <f>AND('STERLING CATALOG - DRY '!B1009,"AAAAAH2eN58=")</f>
        <v>#VALUE!</v>
      </c>
      <c r="FE51" t="e">
        <f>AND('STERLING CATALOG - DRY '!C1009,"AAAAAH2eN6A=")</f>
        <v>#VALUE!</v>
      </c>
      <c r="FF51" t="e">
        <f>AND('STERLING CATALOG - DRY '!D1009,"AAAAAH2eN6E=")</f>
        <v>#VALUE!</v>
      </c>
      <c r="FG51" t="e">
        <f>AND('STERLING CATALOG - DRY '!E1009,"AAAAAH2eN6I=")</f>
        <v>#VALUE!</v>
      </c>
      <c r="FH51" t="e">
        <f>AND('STERLING CATALOG - DRY '!F1009,"AAAAAH2eN6M=")</f>
        <v>#VALUE!</v>
      </c>
      <c r="FI51" t="e">
        <f>AND('STERLING CATALOG - DRY '!G1009,"AAAAAH2eN6Q=")</f>
        <v>#VALUE!</v>
      </c>
      <c r="FJ51" t="e">
        <f>AND('STERLING CATALOG - DRY '!H1009,"AAAAAH2eN6U=")</f>
        <v>#VALUE!</v>
      </c>
      <c r="FK51" t="e">
        <f>AND('STERLING CATALOG - DRY '!I1009,"AAAAAH2eN6Y=")</f>
        <v>#VALUE!</v>
      </c>
      <c r="FL51" t="e">
        <f>AND('STERLING CATALOG - DRY '!J1009,"AAAAAH2eN6c=")</f>
        <v>#VALUE!</v>
      </c>
      <c r="FM51">
        <f>IF('STERLING CATALOG - DRY '!1010:1010,"AAAAAH2eN6g=",0)</f>
        <v>0</v>
      </c>
      <c r="FN51" t="e">
        <f>AND('STERLING CATALOG - DRY '!A1010,"AAAAAH2eN6k=")</f>
        <v>#VALUE!</v>
      </c>
      <c r="FO51" t="e">
        <f>AND('STERLING CATALOG - DRY '!B1010,"AAAAAH2eN6o=")</f>
        <v>#VALUE!</v>
      </c>
      <c r="FP51" t="e">
        <f>AND('STERLING CATALOG - DRY '!C1010,"AAAAAH2eN6s=")</f>
        <v>#VALUE!</v>
      </c>
      <c r="FQ51" t="e">
        <f>AND('STERLING CATALOG - DRY '!D1010,"AAAAAH2eN6w=")</f>
        <v>#VALUE!</v>
      </c>
      <c r="FR51" t="e">
        <f>AND('STERLING CATALOG - DRY '!E1010,"AAAAAH2eN60=")</f>
        <v>#VALUE!</v>
      </c>
      <c r="FS51" t="e">
        <f>AND('STERLING CATALOG - DRY '!F1010,"AAAAAH2eN64=")</f>
        <v>#VALUE!</v>
      </c>
      <c r="FT51" t="e">
        <f>AND('STERLING CATALOG - DRY '!G1010,"AAAAAH2eN68=")</f>
        <v>#VALUE!</v>
      </c>
      <c r="FU51" t="e">
        <f>AND('STERLING CATALOG - DRY '!H1010,"AAAAAH2eN7A=")</f>
        <v>#VALUE!</v>
      </c>
      <c r="FV51" t="e">
        <f>AND('STERLING CATALOG - DRY '!I1010,"AAAAAH2eN7E=")</f>
        <v>#VALUE!</v>
      </c>
      <c r="FW51" t="e">
        <f>AND('STERLING CATALOG - DRY '!J1010,"AAAAAH2eN7I=")</f>
        <v>#VALUE!</v>
      </c>
      <c r="FX51">
        <f>IF('STERLING CATALOG - DRY '!1011:1011,"AAAAAH2eN7M=",0)</f>
        <v>0</v>
      </c>
      <c r="FY51" t="e">
        <f>AND('STERLING CATALOG - DRY '!A1011,"AAAAAH2eN7Q=")</f>
        <v>#VALUE!</v>
      </c>
      <c r="FZ51" t="e">
        <f>AND('STERLING CATALOG - DRY '!B1011,"AAAAAH2eN7U=")</f>
        <v>#VALUE!</v>
      </c>
      <c r="GA51" t="e">
        <f>AND('STERLING CATALOG - DRY '!C1011,"AAAAAH2eN7Y=")</f>
        <v>#VALUE!</v>
      </c>
      <c r="GB51" t="e">
        <f>AND('STERLING CATALOG - DRY '!D1011,"AAAAAH2eN7c=")</f>
        <v>#VALUE!</v>
      </c>
      <c r="GC51" t="e">
        <f>AND('STERLING CATALOG - DRY '!E1011,"AAAAAH2eN7g=")</f>
        <v>#VALUE!</v>
      </c>
      <c r="GD51" t="e">
        <f>AND('STERLING CATALOG - DRY '!F1011,"AAAAAH2eN7k=")</f>
        <v>#VALUE!</v>
      </c>
      <c r="GE51" t="e">
        <f>AND('STERLING CATALOG - DRY '!G1011,"AAAAAH2eN7o=")</f>
        <v>#VALUE!</v>
      </c>
      <c r="GF51" t="e">
        <f>AND('STERLING CATALOG - DRY '!H1011,"AAAAAH2eN7s=")</f>
        <v>#VALUE!</v>
      </c>
      <c r="GG51" t="e">
        <f>AND('STERLING CATALOG - DRY '!I1011,"AAAAAH2eN7w=")</f>
        <v>#VALUE!</v>
      </c>
      <c r="GH51" t="e">
        <f>AND('STERLING CATALOG - DRY '!J1011,"AAAAAH2eN70=")</f>
        <v>#VALUE!</v>
      </c>
      <c r="GI51">
        <f>IF('STERLING CATALOG - DRY '!1012:1012,"AAAAAH2eN74=",0)</f>
        <v>0</v>
      </c>
      <c r="GJ51" t="e">
        <f>AND('STERLING CATALOG - DRY '!A1012,"AAAAAH2eN78=")</f>
        <v>#VALUE!</v>
      </c>
      <c r="GK51" t="e">
        <f>AND('STERLING CATALOG - DRY '!B1012,"AAAAAH2eN8A=")</f>
        <v>#VALUE!</v>
      </c>
      <c r="GL51" t="e">
        <f>AND('STERLING CATALOG - DRY '!C1012,"AAAAAH2eN8E=")</f>
        <v>#VALUE!</v>
      </c>
      <c r="GM51" t="e">
        <f>AND('STERLING CATALOG - DRY '!D1012,"AAAAAH2eN8I=")</f>
        <v>#VALUE!</v>
      </c>
      <c r="GN51" t="e">
        <f>AND('STERLING CATALOG - DRY '!E1012,"AAAAAH2eN8M=")</f>
        <v>#VALUE!</v>
      </c>
      <c r="GO51" t="e">
        <f>AND('STERLING CATALOG - DRY '!F1012,"AAAAAH2eN8Q=")</f>
        <v>#VALUE!</v>
      </c>
      <c r="GP51" t="e">
        <f>AND('STERLING CATALOG - DRY '!G1012,"AAAAAH2eN8U=")</f>
        <v>#VALUE!</v>
      </c>
      <c r="GQ51" t="e">
        <f>AND('STERLING CATALOG - DRY '!H1012,"AAAAAH2eN8Y=")</f>
        <v>#VALUE!</v>
      </c>
      <c r="GR51" t="e">
        <f>AND('STERLING CATALOG - DRY '!I1012,"AAAAAH2eN8c=")</f>
        <v>#VALUE!</v>
      </c>
      <c r="GS51" t="e">
        <f>AND('STERLING CATALOG - DRY '!J1012,"AAAAAH2eN8g=")</f>
        <v>#VALUE!</v>
      </c>
      <c r="GT51">
        <f>IF('STERLING CATALOG - DRY '!1013:1013,"AAAAAH2eN8k=",0)</f>
        <v>0</v>
      </c>
      <c r="GU51" t="e">
        <f>AND('STERLING CATALOG - DRY '!A1013,"AAAAAH2eN8o=")</f>
        <v>#VALUE!</v>
      </c>
      <c r="GV51" t="e">
        <f>AND('STERLING CATALOG - DRY '!B1013,"AAAAAH2eN8s=")</f>
        <v>#VALUE!</v>
      </c>
      <c r="GW51" t="e">
        <f>AND('STERLING CATALOG - DRY '!C1013,"AAAAAH2eN8w=")</f>
        <v>#VALUE!</v>
      </c>
      <c r="GX51" t="e">
        <f>AND('STERLING CATALOG - DRY '!D1013,"AAAAAH2eN80=")</f>
        <v>#VALUE!</v>
      </c>
      <c r="GY51" t="e">
        <f>AND('STERLING CATALOG - DRY '!E1013,"AAAAAH2eN84=")</f>
        <v>#VALUE!</v>
      </c>
      <c r="GZ51" t="e">
        <f>AND('STERLING CATALOG - DRY '!F1013,"AAAAAH2eN88=")</f>
        <v>#VALUE!</v>
      </c>
      <c r="HA51" t="e">
        <f>AND('STERLING CATALOG - DRY '!G1013,"AAAAAH2eN9A=")</f>
        <v>#VALUE!</v>
      </c>
      <c r="HB51" t="e">
        <f>AND('STERLING CATALOG - DRY '!H1013,"AAAAAH2eN9E=")</f>
        <v>#VALUE!</v>
      </c>
      <c r="HC51" t="e">
        <f>AND('STERLING CATALOG - DRY '!I1013,"AAAAAH2eN9I=")</f>
        <v>#VALUE!</v>
      </c>
      <c r="HD51" t="e">
        <f>AND('STERLING CATALOG - DRY '!J1013,"AAAAAH2eN9M=")</f>
        <v>#VALUE!</v>
      </c>
      <c r="HE51">
        <f>IF('STERLING CATALOG - DRY '!1014:1014,"AAAAAH2eN9Q=",0)</f>
        <v>0</v>
      </c>
      <c r="HF51" t="e">
        <f>AND('STERLING CATALOG - DRY '!A1014,"AAAAAH2eN9U=")</f>
        <v>#VALUE!</v>
      </c>
      <c r="HG51" t="e">
        <f>AND('STERLING CATALOG - DRY '!B1014,"AAAAAH2eN9Y=")</f>
        <v>#VALUE!</v>
      </c>
      <c r="HH51" t="e">
        <f>AND('STERLING CATALOG - DRY '!C1014,"AAAAAH2eN9c=")</f>
        <v>#VALUE!</v>
      </c>
      <c r="HI51" t="e">
        <f>AND('STERLING CATALOG - DRY '!D1014,"AAAAAH2eN9g=")</f>
        <v>#VALUE!</v>
      </c>
      <c r="HJ51" t="e">
        <f>AND('STERLING CATALOG - DRY '!E1014,"AAAAAH2eN9k=")</f>
        <v>#VALUE!</v>
      </c>
      <c r="HK51" t="e">
        <f>AND('STERLING CATALOG - DRY '!F1014,"AAAAAH2eN9o=")</f>
        <v>#VALUE!</v>
      </c>
      <c r="HL51" t="e">
        <f>AND('STERLING CATALOG - DRY '!G1014,"AAAAAH2eN9s=")</f>
        <v>#VALUE!</v>
      </c>
      <c r="HM51" t="e">
        <f>AND('STERLING CATALOG - DRY '!H1014,"AAAAAH2eN9w=")</f>
        <v>#VALUE!</v>
      </c>
      <c r="HN51" t="e">
        <f>AND('STERLING CATALOG - DRY '!I1014,"AAAAAH2eN90=")</f>
        <v>#VALUE!</v>
      </c>
      <c r="HO51" t="e">
        <f>AND('STERLING CATALOG - DRY '!J1014,"AAAAAH2eN94=")</f>
        <v>#VALUE!</v>
      </c>
      <c r="HP51">
        <f>IF('STERLING CATALOG - DRY '!1015:1015,"AAAAAH2eN98=",0)</f>
        <v>0</v>
      </c>
      <c r="HQ51" t="e">
        <f>AND('STERLING CATALOG - DRY '!A1015,"AAAAAH2eN+A=")</f>
        <v>#VALUE!</v>
      </c>
      <c r="HR51" t="e">
        <f>AND('STERLING CATALOG - DRY '!B1015,"AAAAAH2eN+E=")</f>
        <v>#VALUE!</v>
      </c>
      <c r="HS51" t="e">
        <f>AND('STERLING CATALOG - DRY '!C1015,"AAAAAH2eN+I=")</f>
        <v>#VALUE!</v>
      </c>
      <c r="HT51" t="e">
        <f>AND('STERLING CATALOG - DRY '!D1015,"AAAAAH2eN+M=")</f>
        <v>#VALUE!</v>
      </c>
      <c r="HU51" t="e">
        <f>AND('STERLING CATALOG - DRY '!E1015,"AAAAAH2eN+Q=")</f>
        <v>#VALUE!</v>
      </c>
      <c r="HV51" t="e">
        <f>AND('STERLING CATALOG - DRY '!F1015,"AAAAAH2eN+U=")</f>
        <v>#VALUE!</v>
      </c>
      <c r="HW51" t="e">
        <f>AND('STERLING CATALOG - DRY '!G1015,"AAAAAH2eN+Y=")</f>
        <v>#VALUE!</v>
      </c>
      <c r="HX51" t="e">
        <f>AND('STERLING CATALOG - DRY '!H1015,"AAAAAH2eN+c=")</f>
        <v>#VALUE!</v>
      </c>
      <c r="HY51" t="e">
        <f>AND('STERLING CATALOG - DRY '!I1015,"AAAAAH2eN+g=")</f>
        <v>#VALUE!</v>
      </c>
      <c r="HZ51" t="e">
        <f>AND('STERLING CATALOG - DRY '!J1015,"AAAAAH2eN+k=")</f>
        <v>#VALUE!</v>
      </c>
      <c r="IA51">
        <f>IF('STERLING CATALOG - DRY '!1016:1016,"AAAAAH2eN+o=",0)</f>
        <v>0</v>
      </c>
      <c r="IB51" t="e">
        <f>AND('STERLING CATALOG - DRY '!A1016,"AAAAAH2eN+s=")</f>
        <v>#VALUE!</v>
      </c>
      <c r="IC51" t="e">
        <f>AND('STERLING CATALOG - DRY '!B1016,"AAAAAH2eN+w=")</f>
        <v>#VALUE!</v>
      </c>
      <c r="ID51" t="e">
        <f>AND('STERLING CATALOG - DRY '!C1016,"AAAAAH2eN+0=")</f>
        <v>#VALUE!</v>
      </c>
      <c r="IE51" t="e">
        <f>AND('STERLING CATALOG - DRY '!D1016,"AAAAAH2eN+4=")</f>
        <v>#VALUE!</v>
      </c>
      <c r="IF51" t="e">
        <f>AND('STERLING CATALOG - DRY '!E1016,"AAAAAH2eN+8=")</f>
        <v>#VALUE!</v>
      </c>
      <c r="IG51" t="e">
        <f>AND('STERLING CATALOG - DRY '!F1016,"AAAAAH2eN/A=")</f>
        <v>#VALUE!</v>
      </c>
      <c r="IH51" t="e">
        <f>AND('STERLING CATALOG - DRY '!G1016,"AAAAAH2eN/E=")</f>
        <v>#VALUE!</v>
      </c>
      <c r="II51" t="e">
        <f>AND('STERLING CATALOG - DRY '!H1016,"AAAAAH2eN/I=")</f>
        <v>#VALUE!</v>
      </c>
      <c r="IJ51" t="e">
        <f>AND('STERLING CATALOG - DRY '!I1016,"AAAAAH2eN/M=")</f>
        <v>#VALUE!</v>
      </c>
      <c r="IK51" t="e">
        <f>AND('STERLING CATALOG - DRY '!J1016,"AAAAAH2eN/Q=")</f>
        <v>#VALUE!</v>
      </c>
      <c r="IL51">
        <f>IF('STERLING CATALOG - DRY '!1017:1017,"AAAAAH2eN/U=",0)</f>
        <v>0</v>
      </c>
      <c r="IM51" t="e">
        <f>AND('STERLING CATALOG - DRY '!A1017,"AAAAAH2eN/Y=")</f>
        <v>#VALUE!</v>
      </c>
      <c r="IN51" t="e">
        <f>AND('STERLING CATALOG - DRY '!B1017,"AAAAAH2eN/c=")</f>
        <v>#VALUE!</v>
      </c>
      <c r="IO51" t="e">
        <f>AND('STERLING CATALOG - DRY '!C1017,"AAAAAH2eN/g=")</f>
        <v>#VALUE!</v>
      </c>
      <c r="IP51" t="e">
        <f>AND('STERLING CATALOG - DRY '!D1017,"AAAAAH2eN/k=")</f>
        <v>#VALUE!</v>
      </c>
      <c r="IQ51" t="e">
        <f>AND('STERLING CATALOG - DRY '!E1017,"AAAAAH2eN/o=")</f>
        <v>#VALUE!</v>
      </c>
      <c r="IR51" t="e">
        <f>AND('STERLING CATALOG - DRY '!F1017,"AAAAAH2eN/s=")</f>
        <v>#VALUE!</v>
      </c>
      <c r="IS51" t="e">
        <f>AND('STERLING CATALOG - DRY '!G1017,"AAAAAH2eN/w=")</f>
        <v>#VALUE!</v>
      </c>
      <c r="IT51" t="e">
        <f>AND('STERLING CATALOG - DRY '!H1017,"AAAAAH2eN/0=")</f>
        <v>#VALUE!</v>
      </c>
      <c r="IU51" t="e">
        <f>AND('STERLING CATALOG - DRY '!I1017,"AAAAAH2eN/4=")</f>
        <v>#VALUE!</v>
      </c>
      <c r="IV51" t="e">
        <f>AND('STERLING CATALOG - DRY '!J1017,"AAAAAH2eN/8=")</f>
        <v>#VALUE!</v>
      </c>
    </row>
    <row r="52" spans="1:256">
      <c r="A52" t="str">
        <f>IF('STERLING CATALOG - DRY '!1018:1018,"AAAAAHf6WwA=",0)</f>
        <v>AAAAAHf6WwA=</v>
      </c>
      <c r="B52" t="e">
        <f>AND('STERLING CATALOG - DRY '!A1018,"AAAAAHf6WwE=")</f>
        <v>#VALUE!</v>
      </c>
      <c r="C52" t="e">
        <f>AND('STERLING CATALOG - DRY '!B1018,"AAAAAHf6WwI=")</f>
        <v>#VALUE!</v>
      </c>
      <c r="D52" t="e">
        <f>AND('STERLING CATALOG - DRY '!C1018,"AAAAAHf6WwM=")</f>
        <v>#VALUE!</v>
      </c>
      <c r="E52" t="e">
        <f>AND('STERLING CATALOG - DRY '!D1018,"AAAAAHf6WwQ=")</f>
        <v>#VALUE!</v>
      </c>
      <c r="F52" t="e">
        <f>AND('STERLING CATALOG - DRY '!E1018,"AAAAAHf6WwU=")</f>
        <v>#VALUE!</v>
      </c>
      <c r="G52" t="e">
        <f>AND('STERLING CATALOG - DRY '!F1018,"AAAAAHf6WwY=")</f>
        <v>#VALUE!</v>
      </c>
      <c r="H52" t="e">
        <f>AND('STERLING CATALOG - DRY '!G1018,"AAAAAHf6Wwc=")</f>
        <v>#VALUE!</v>
      </c>
      <c r="I52" t="e">
        <f>AND('STERLING CATALOG - DRY '!H1018,"AAAAAHf6Wwg=")</f>
        <v>#VALUE!</v>
      </c>
      <c r="J52" t="e">
        <f>AND('STERLING CATALOG - DRY '!I1018,"AAAAAHf6Wwk=")</f>
        <v>#VALUE!</v>
      </c>
      <c r="K52" t="e">
        <f>AND('STERLING CATALOG - DRY '!J1018,"AAAAAHf6Wwo=")</f>
        <v>#VALUE!</v>
      </c>
      <c r="L52">
        <f>IF('STERLING CATALOG - DRY '!1019:1019,"AAAAAHf6Wws=",0)</f>
        <v>0</v>
      </c>
      <c r="M52" t="e">
        <f>AND('STERLING CATALOG - DRY '!A1019,"AAAAAHf6Www=")</f>
        <v>#VALUE!</v>
      </c>
      <c r="N52" t="e">
        <f>AND('STERLING CATALOG - DRY '!B1019,"AAAAAHf6Ww0=")</f>
        <v>#VALUE!</v>
      </c>
      <c r="O52" t="e">
        <f>AND('STERLING CATALOG - DRY '!C1019,"AAAAAHf6Ww4=")</f>
        <v>#VALUE!</v>
      </c>
      <c r="P52" t="e">
        <f>AND('STERLING CATALOG - DRY '!D1019,"AAAAAHf6Ww8=")</f>
        <v>#VALUE!</v>
      </c>
      <c r="Q52" t="e">
        <f>AND('STERLING CATALOG - DRY '!E1019,"AAAAAHf6WxA=")</f>
        <v>#VALUE!</v>
      </c>
      <c r="R52" t="e">
        <f>AND('STERLING CATALOG - DRY '!F1019,"AAAAAHf6WxE=")</f>
        <v>#VALUE!</v>
      </c>
      <c r="S52" t="e">
        <f>AND('STERLING CATALOG - DRY '!G1019,"AAAAAHf6WxI=")</f>
        <v>#VALUE!</v>
      </c>
      <c r="T52" t="e">
        <f>AND('STERLING CATALOG - DRY '!H1019,"AAAAAHf6WxM=")</f>
        <v>#VALUE!</v>
      </c>
      <c r="U52" t="e">
        <f>AND('STERLING CATALOG - DRY '!I1019,"AAAAAHf6WxQ=")</f>
        <v>#VALUE!</v>
      </c>
      <c r="V52" t="e">
        <f>AND('STERLING CATALOG - DRY '!J1019,"AAAAAHf6WxU=")</f>
        <v>#VALUE!</v>
      </c>
      <c r="W52">
        <f>IF('STERLING CATALOG - DRY '!1020:1020,"AAAAAHf6WxY=",0)</f>
        <v>0</v>
      </c>
      <c r="X52" t="e">
        <f>AND('STERLING CATALOG - DRY '!A1020,"AAAAAHf6Wxc=")</f>
        <v>#VALUE!</v>
      </c>
      <c r="Y52" t="e">
        <f>AND('STERLING CATALOG - DRY '!B1020,"AAAAAHf6Wxg=")</f>
        <v>#VALUE!</v>
      </c>
      <c r="Z52" t="e">
        <f>AND('STERLING CATALOG - DRY '!C1020,"AAAAAHf6Wxk=")</f>
        <v>#VALUE!</v>
      </c>
      <c r="AA52" t="e">
        <f>AND('STERLING CATALOG - DRY '!D1020,"AAAAAHf6Wxo=")</f>
        <v>#VALUE!</v>
      </c>
      <c r="AB52" t="e">
        <f>AND('STERLING CATALOG - DRY '!E1020,"AAAAAHf6Wxs=")</f>
        <v>#VALUE!</v>
      </c>
      <c r="AC52" t="e">
        <f>AND('STERLING CATALOG - DRY '!F1020,"AAAAAHf6Wxw=")</f>
        <v>#VALUE!</v>
      </c>
      <c r="AD52" t="e">
        <f>AND('STERLING CATALOG - DRY '!G1020,"AAAAAHf6Wx0=")</f>
        <v>#VALUE!</v>
      </c>
      <c r="AE52" t="e">
        <f>AND('STERLING CATALOG - DRY '!H1020,"AAAAAHf6Wx4=")</f>
        <v>#VALUE!</v>
      </c>
      <c r="AF52" t="e">
        <f>AND('STERLING CATALOG - DRY '!I1020,"AAAAAHf6Wx8=")</f>
        <v>#VALUE!</v>
      </c>
      <c r="AG52" t="e">
        <f>AND('STERLING CATALOG - DRY '!J1020,"AAAAAHf6WyA=")</f>
        <v>#VALUE!</v>
      </c>
      <c r="AH52">
        <f>IF('STERLING CATALOG - DRY '!1021:1021,"AAAAAHf6WyE=",0)</f>
        <v>0</v>
      </c>
      <c r="AI52" t="e">
        <f>AND('STERLING CATALOG - DRY '!A1021,"AAAAAHf6WyI=")</f>
        <v>#VALUE!</v>
      </c>
      <c r="AJ52" t="e">
        <f>AND('STERLING CATALOG - DRY '!B1021,"AAAAAHf6WyM=")</f>
        <v>#VALUE!</v>
      </c>
      <c r="AK52" t="e">
        <f>AND('STERLING CATALOG - DRY '!C1021,"AAAAAHf6WyQ=")</f>
        <v>#VALUE!</v>
      </c>
      <c r="AL52" t="e">
        <f>AND('STERLING CATALOG - DRY '!D1021,"AAAAAHf6WyU=")</f>
        <v>#VALUE!</v>
      </c>
      <c r="AM52" t="e">
        <f>AND('STERLING CATALOG - DRY '!E1021,"AAAAAHf6WyY=")</f>
        <v>#VALUE!</v>
      </c>
      <c r="AN52" t="e">
        <f>AND('STERLING CATALOG - DRY '!F1021,"AAAAAHf6Wyc=")</f>
        <v>#VALUE!</v>
      </c>
      <c r="AO52" t="e">
        <f>AND('STERLING CATALOG - DRY '!G1021,"AAAAAHf6Wyg=")</f>
        <v>#VALUE!</v>
      </c>
      <c r="AP52" t="e">
        <f>AND('STERLING CATALOG - DRY '!H1021,"AAAAAHf6Wyk=")</f>
        <v>#VALUE!</v>
      </c>
      <c r="AQ52" t="e">
        <f>AND('STERLING CATALOG - DRY '!I1021,"AAAAAHf6Wyo=")</f>
        <v>#VALUE!</v>
      </c>
      <c r="AR52" t="e">
        <f>AND('STERLING CATALOG - DRY '!J1021,"AAAAAHf6Wys=")</f>
        <v>#VALUE!</v>
      </c>
      <c r="AS52">
        <f>IF('STERLING CATALOG - DRY '!1022:1022,"AAAAAHf6Wyw=",0)</f>
        <v>0</v>
      </c>
      <c r="AT52" t="e">
        <f>AND('STERLING CATALOG - DRY '!A1022,"AAAAAHf6Wy0=")</f>
        <v>#VALUE!</v>
      </c>
      <c r="AU52" t="e">
        <f>AND('STERLING CATALOG - DRY '!B1022,"AAAAAHf6Wy4=")</f>
        <v>#VALUE!</v>
      </c>
      <c r="AV52" t="e">
        <f>AND('STERLING CATALOG - DRY '!C1022,"AAAAAHf6Wy8=")</f>
        <v>#VALUE!</v>
      </c>
      <c r="AW52" t="e">
        <f>AND('STERLING CATALOG - DRY '!D1022,"AAAAAHf6WzA=")</f>
        <v>#VALUE!</v>
      </c>
      <c r="AX52" t="e">
        <f>AND('STERLING CATALOG - DRY '!E1022,"AAAAAHf6WzE=")</f>
        <v>#VALUE!</v>
      </c>
      <c r="AY52" t="e">
        <f>AND('STERLING CATALOG - DRY '!F1022,"AAAAAHf6WzI=")</f>
        <v>#VALUE!</v>
      </c>
      <c r="AZ52" t="e">
        <f>AND('STERLING CATALOG - DRY '!G1022,"AAAAAHf6WzM=")</f>
        <v>#VALUE!</v>
      </c>
      <c r="BA52" t="e">
        <f>AND('STERLING CATALOG - DRY '!H1022,"AAAAAHf6WzQ=")</f>
        <v>#VALUE!</v>
      </c>
      <c r="BB52" t="e">
        <f>AND('STERLING CATALOG - DRY '!I1022,"AAAAAHf6WzU=")</f>
        <v>#VALUE!</v>
      </c>
      <c r="BC52" t="e">
        <f>AND('STERLING CATALOG - DRY '!J1022,"AAAAAHf6WzY=")</f>
        <v>#VALUE!</v>
      </c>
      <c r="BD52">
        <f>IF('STERLING CATALOG - DRY '!1023:1023,"AAAAAHf6Wzc=",0)</f>
        <v>0</v>
      </c>
      <c r="BE52" t="e">
        <f>AND('STERLING CATALOG - DRY '!A1023,"AAAAAHf6Wzg=")</f>
        <v>#VALUE!</v>
      </c>
      <c r="BF52" t="e">
        <f>AND('STERLING CATALOG - DRY '!B1023,"AAAAAHf6Wzk=")</f>
        <v>#VALUE!</v>
      </c>
      <c r="BG52" t="e">
        <f>AND('STERLING CATALOG - DRY '!C1023,"AAAAAHf6Wzo=")</f>
        <v>#VALUE!</v>
      </c>
      <c r="BH52" t="e">
        <f>AND('STERLING CATALOG - DRY '!D1023,"AAAAAHf6Wzs=")</f>
        <v>#VALUE!</v>
      </c>
      <c r="BI52" t="e">
        <f>AND('STERLING CATALOG - DRY '!E1023,"AAAAAHf6Wzw=")</f>
        <v>#VALUE!</v>
      </c>
      <c r="BJ52" t="e">
        <f>AND('STERLING CATALOG - DRY '!F1023,"AAAAAHf6Wz0=")</f>
        <v>#VALUE!</v>
      </c>
      <c r="BK52" t="e">
        <f>AND('STERLING CATALOG - DRY '!G1023,"AAAAAHf6Wz4=")</f>
        <v>#VALUE!</v>
      </c>
      <c r="BL52" t="e">
        <f>AND('STERLING CATALOG - DRY '!H1023,"AAAAAHf6Wz8=")</f>
        <v>#VALUE!</v>
      </c>
      <c r="BM52" t="e">
        <f>AND('STERLING CATALOG - DRY '!I1023,"AAAAAHf6W0A=")</f>
        <v>#VALUE!</v>
      </c>
      <c r="BN52" t="e">
        <f>AND('STERLING CATALOG - DRY '!J1023,"AAAAAHf6W0E=")</f>
        <v>#VALUE!</v>
      </c>
      <c r="BO52">
        <f>IF('STERLING CATALOG - DRY '!1024:1024,"AAAAAHf6W0I=",0)</f>
        <v>0</v>
      </c>
      <c r="BP52" t="e">
        <f>AND('STERLING CATALOG - DRY '!A1024,"AAAAAHf6W0M=")</f>
        <v>#VALUE!</v>
      </c>
      <c r="BQ52" t="e">
        <f>AND('STERLING CATALOG - DRY '!B1024,"AAAAAHf6W0Q=")</f>
        <v>#VALUE!</v>
      </c>
      <c r="BR52" t="e">
        <f>AND('STERLING CATALOG - DRY '!C1024,"AAAAAHf6W0U=")</f>
        <v>#VALUE!</v>
      </c>
      <c r="BS52" t="e">
        <f>AND('STERLING CATALOG - DRY '!D1024,"AAAAAHf6W0Y=")</f>
        <v>#VALUE!</v>
      </c>
      <c r="BT52" t="e">
        <f>AND('STERLING CATALOG - DRY '!E1024,"AAAAAHf6W0c=")</f>
        <v>#VALUE!</v>
      </c>
      <c r="BU52" t="e">
        <f>AND('STERLING CATALOG - DRY '!F1024,"AAAAAHf6W0g=")</f>
        <v>#VALUE!</v>
      </c>
      <c r="BV52" t="e">
        <f>AND('STERLING CATALOG - DRY '!G1024,"AAAAAHf6W0k=")</f>
        <v>#VALUE!</v>
      </c>
      <c r="BW52" t="e">
        <f>AND('STERLING CATALOG - DRY '!H1024,"AAAAAHf6W0o=")</f>
        <v>#VALUE!</v>
      </c>
      <c r="BX52" t="e">
        <f>AND('STERLING CATALOG - DRY '!I1024,"AAAAAHf6W0s=")</f>
        <v>#VALUE!</v>
      </c>
      <c r="BY52" t="e">
        <f>AND('STERLING CATALOG - DRY '!J1024,"AAAAAHf6W0w=")</f>
        <v>#VALUE!</v>
      </c>
      <c r="BZ52">
        <f>IF('STERLING CATALOG - DRY '!1025:1025,"AAAAAHf6W00=",0)</f>
        <v>0</v>
      </c>
      <c r="CA52" t="e">
        <f>AND('STERLING CATALOG - DRY '!A1025,"AAAAAHf6W04=")</f>
        <v>#VALUE!</v>
      </c>
      <c r="CB52" t="e">
        <f>AND('STERLING CATALOG - DRY '!B1025,"AAAAAHf6W08=")</f>
        <v>#VALUE!</v>
      </c>
      <c r="CC52" t="e">
        <f>AND('STERLING CATALOG - DRY '!C1025,"AAAAAHf6W1A=")</f>
        <v>#VALUE!</v>
      </c>
      <c r="CD52" t="e">
        <f>AND('STERLING CATALOG - DRY '!D1025,"AAAAAHf6W1E=")</f>
        <v>#VALUE!</v>
      </c>
      <c r="CE52" t="e">
        <f>AND('STERLING CATALOG - DRY '!E1025,"AAAAAHf6W1I=")</f>
        <v>#VALUE!</v>
      </c>
      <c r="CF52" t="e">
        <f>AND('STERLING CATALOG - DRY '!F1025,"AAAAAHf6W1M=")</f>
        <v>#VALUE!</v>
      </c>
      <c r="CG52" t="e">
        <f>AND('STERLING CATALOG - DRY '!G1025,"AAAAAHf6W1Q=")</f>
        <v>#VALUE!</v>
      </c>
      <c r="CH52" t="e">
        <f>AND('STERLING CATALOG - DRY '!H1025,"AAAAAHf6W1U=")</f>
        <v>#VALUE!</v>
      </c>
      <c r="CI52" t="e">
        <f>AND('STERLING CATALOG - DRY '!I1025,"AAAAAHf6W1Y=")</f>
        <v>#VALUE!</v>
      </c>
      <c r="CJ52" t="e">
        <f>AND('STERLING CATALOG - DRY '!J1025,"AAAAAHf6W1c=")</f>
        <v>#VALUE!</v>
      </c>
      <c r="CK52">
        <f>IF('STERLING CATALOG - DRY '!1026:1026,"AAAAAHf6W1g=",0)</f>
        <v>0</v>
      </c>
      <c r="CL52" t="e">
        <f>AND('STERLING CATALOG - DRY '!A1026,"AAAAAHf6W1k=")</f>
        <v>#VALUE!</v>
      </c>
      <c r="CM52" t="e">
        <f>AND('STERLING CATALOG - DRY '!B1026,"AAAAAHf6W1o=")</f>
        <v>#VALUE!</v>
      </c>
      <c r="CN52" t="e">
        <f>AND('STERLING CATALOG - DRY '!C1026,"AAAAAHf6W1s=")</f>
        <v>#VALUE!</v>
      </c>
      <c r="CO52" t="e">
        <f>AND('STERLING CATALOG - DRY '!D1026,"AAAAAHf6W1w=")</f>
        <v>#VALUE!</v>
      </c>
      <c r="CP52" t="e">
        <f>AND('STERLING CATALOG - DRY '!E1026,"AAAAAHf6W10=")</f>
        <v>#VALUE!</v>
      </c>
      <c r="CQ52" t="e">
        <f>AND('STERLING CATALOG - DRY '!F1026,"AAAAAHf6W14=")</f>
        <v>#VALUE!</v>
      </c>
      <c r="CR52" t="e">
        <f>AND('STERLING CATALOG - DRY '!G1026,"AAAAAHf6W18=")</f>
        <v>#VALUE!</v>
      </c>
      <c r="CS52" t="e">
        <f>AND('STERLING CATALOG - DRY '!H1026,"AAAAAHf6W2A=")</f>
        <v>#VALUE!</v>
      </c>
      <c r="CT52" t="e">
        <f>AND('STERLING CATALOG - DRY '!I1026,"AAAAAHf6W2E=")</f>
        <v>#VALUE!</v>
      </c>
      <c r="CU52" t="e">
        <f>AND('STERLING CATALOG - DRY '!J1026,"AAAAAHf6W2I=")</f>
        <v>#VALUE!</v>
      </c>
      <c r="CV52">
        <f>IF('STERLING CATALOG - DRY '!1027:1027,"AAAAAHf6W2M=",0)</f>
        <v>0</v>
      </c>
      <c r="CW52" t="e">
        <f>AND('STERLING CATALOG - DRY '!A1027,"AAAAAHf6W2Q=")</f>
        <v>#VALUE!</v>
      </c>
      <c r="CX52" t="e">
        <f>AND('STERLING CATALOG - DRY '!B1027,"AAAAAHf6W2U=")</f>
        <v>#VALUE!</v>
      </c>
      <c r="CY52" t="e">
        <f>AND('STERLING CATALOG - DRY '!C1027,"AAAAAHf6W2Y=")</f>
        <v>#VALUE!</v>
      </c>
      <c r="CZ52" t="e">
        <f>AND('STERLING CATALOG - DRY '!D1027,"AAAAAHf6W2c=")</f>
        <v>#VALUE!</v>
      </c>
      <c r="DA52" t="e">
        <f>AND('STERLING CATALOG - DRY '!E1027,"AAAAAHf6W2g=")</f>
        <v>#VALUE!</v>
      </c>
      <c r="DB52" t="e">
        <f>AND('STERLING CATALOG - DRY '!F1027,"AAAAAHf6W2k=")</f>
        <v>#VALUE!</v>
      </c>
      <c r="DC52" t="e">
        <f>AND('STERLING CATALOG - DRY '!G1027,"AAAAAHf6W2o=")</f>
        <v>#VALUE!</v>
      </c>
      <c r="DD52" t="e">
        <f>AND('STERLING CATALOG - DRY '!H1027,"AAAAAHf6W2s=")</f>
        <v>#VALUE!</v>
      </c>
      <c r="DE52" t="e">
        <f>AND('STERLING CATALOG - DRY '!I1027,"AAAAAHf6W2w=")</f>
        <v>#VALUE!</v>
      </c>
      <c r="DF52" t="e">
        <f>AND('STERLING CATALOG - DRY '!J1027,"AAAAAHf6W20=")</f>
        <v>#VALUE!</v>
      </c>
      <c r="DG52">
        <f>IF('STERLING CATALOG - DRY '!1028:1028,"AAAAAHf6W24=",0)</f>
        <v>0</v>
      </c>
      <c r="DH52" t="e">
        <f>AND('STERLING CATALOG - DRY '!A1028,"AAAAAHf6W28=")</f>
        <v>#VALUE!</v>
      </c>
      <c r="DI52" t="e">
        <f>AND('STERLING CATALOG - DRY '!B1028,"AAAAAHf6W3A=")</f>
        <v>#VALUE!</v>
      </c>
      <c r="DJ52" t="e">
        <f>AND('STERLING CATALOG - DRY '!C1028,"AAAAAHf6W3E=")</f>
        <v>#VALUE!</v>
      </c>
      <c r="DK52" t="e">
        <f>AND('STERLING CATALOG - DRY '!D1028,"AAAAAHf6W3I=")</f>
        <v>#VALUE!</v>
      </c>
      <c r="DL52" t="e">
        <f>AND('STERLING CATALOG - DRY '!E1028,"AAAAAHf6W3M=")</f>
        <v>#VALUE!</v>
      </c>
      <c r="DM52" t="e">
        <f>AND('STERLING CATALOG - DRY '!F1028,"AAAAAHf6W3Q=")</f>
        <v>#VALUE!</v>
      </c>
      <c r="DN52" t="e">
        <f>AND('STERLING CATALOG - DRY '!G1028,"AAAAAHf6W3U=")</f>
        <v>#VALUE!</v>
      </c>
      <c r="DO52" t="e">
        <f>AND('STERLING CATALOG - DRY '!H1028,"AAAAAHf6W3Y=")</f>
        <v>#VALUE!</v>
      </c>
      <c r="DP52" t="e">
        <f>AND('STERLING CATALOG - DRY '!I1028,"AAAAAHf6W3c=")</f>
        <v>#VALUE!</v>
      </c>
      <c r="DQ52" t="e">
        <f>AND('STERLING CATALOG - DRY '!J1028,"AAAAAHf6W3g=")</f>
        <v>#VALUE!</v>
      </c>
      <c r="DR52">
        <f>IF('STERLING CATALOG - DRY '!1029:1029,"AAAAAHf6W3k=",0)</f>
        <v>0</v>
      </c>
      <c r="DS52" t="e">
        <f>AND('STERLING CATALOG - DRY '!A1029,"AAAAAHf6W3o=")</f>
        <v>#VALUE!</v>
      </c>
      <c r="DT52" t="e">
        <f>AND('STERLING CATALOG - DRY '!B1029,"AAAAAHf6W3s=")</f>
        <v>#VALUE!</v>
      </c>
      <c r="DU52" t="e">
        <f>AND('STERLING CATALOG - DRY '!C1029,"AAAAAHf6W3w=")</f>
        <v>#VALUE!</v>
      </c>
      <c r="DV52" t="e">
        <f>AND('STERLING CATALOG - DRY '!D1029,"AAAAAHf6W30=")</f>
        <v>#VALUE!</v>
      </c>
      <c r="DW52" t="e">
        <f>AND('STERLING CATALOG - DRY '!E1029,"AAAAAHf6W34=")</f>
        <v>#VALUE!</v>
      </c>
      <c r="DX52" t="e">
        <f>AND('STERLING CATALOG - DRY '!F1029,"AAAAAHf6W38=")</f>
        <v>#VALUE!</v>
      </c>
      <c r="DY52" t="e">
        <f>AND('STERLING CATALOG - DRY '!G1029,"AAAAAHf6W4A=")</f>
        <v>#VALUE!</v>
      </c>
      <c r="DZ52" t="e">
        <f>AND('STERLING CATALOG - DRY '!H1029,"AAAAAHf6W4E=")</f>
        <v>#VALUE!</v>
      </c>
      <c r="EA52" t="e">
        <f>AND('STERLING CATALOG - DRY '!I1029,"AAAAAHf6W4I=")</f>
        <v>#VALUE!</v>
      </c>
      <c r="EB52" t="e">
        <f>AND('STERLING CATALOG - DRY '!J1029,"AAAAAHf6W4M=")</f>
        <v>#VALUE!</v>
      </c>
      <c r="EC52">
        <f>IF('STERLING CATALOG - DRY '!1030:1030,"AAAAAHf6W4Q=",0)</f>
        <v>0</v>
      </c>
      <c r="ED52" t="e">
        <f>AND('STERLING CATALOG - DRY '!A1030,"AAAAAHf6W4U=")</f>
        <v>#VALUE!</v>
      </c>
      <c r="EE52" t="e">
        <f>AND('STERLING CATALOG - DRY '!B1030,"AAAAAHf6W4Y=")</f>
        <v>#VALUE!</v>
      </c>
      <c r="EF52" t="e">
        <f>AND('STERLING CATALOG - DRY '!C1030,"AAAAAHf6W4c=")</f>
        <v>#VALUE!</v>
      </c>
      <c r="EG52" t="e">
        <f>AND('STERLING CATALOG - DRY '!D1030,"AAAAAHf6W4g=")</f>
        <v>#VALUE!</v>
      </c>
      <c r="EH52" t="e">
        <f>AND('STERLING CATALOG - DRY '!E1030,"AAAAAHf6W4k=")</f>
        <v>#VALUE!</v>
      </c>
      <c r="EI52" t="e">
        <f>AND('STERLING CATALOG - DRY '!F1030,"AAAAAHf6W4o=")</f>
        <v>#VALUE!</v>
      </c>
      <c r="EJ52" t="e">
        <f>AND('STERLING CATALOG - DRY '!G1030,"AAAAAHf6W4s=")</f>
        <v>#VALUE!</v>
      </c>
      <c r="EK52" t="e">
        <f>AND('STERLING CATALOG - DRY '!H1030,"AAAAAHf6W4w=")</f>
        <v>#VALUE!</v>
      </c>
      <c r="EL52" t="e">
        <f>AND('STERLING CATALOG - DRY '!I1030,"AAAAAHf6W40=")</f>
        <v>#VALUE!</v>
      </c>
      <c r="EM52" t="e">
        <f>AND('STERLING CATALOG - DRY '!J1030,"AAAAAHf6W44=")</f>
        <v>#VALUE!</v>
      </c>
      <c r="EN52">
        <f>IF('STERLING CATALOG - DRY '!1031:1031,"AAAAAHf6W48=",0)</f>
        <v>0</v>
      </c>
      <c r="EO52" t="e">
        <f>AND('STERLING CATALOG - DRY '!A1031,"AAAAAHf6W5A=")</f>
        <v>#VALUE!</v>
      </c>
      <c r="EP52" t="e">
        <f>AND('STERLING CATALOG - DRY '!B1031,"AAAAAHf6W5E=")</f>
        <v>#VALUE!</v>
      </c>
      <c r="EQ52" t="e">
        <f>AND('STERLING CATALOG - DRY '!C1031,"AAAAAHf6W5I=")</f>
        <v>#VALUE!</v>
      </c>
      <c r="ER52" t="e">
        <f>AND('STERLING CATALOG - DRY '!D1031,"AAAAAHf6W5M=")</f>
        <v>#VALUE!</v>
      </c>
      <c r="ES52" t="e">
        <f>AND('STERLING CATALOG - DRY '!E1031,"AAAAAHf6W5Q=")</f>
        <v>#VALUE!</v>
      </c>
      <c r="ET52" t="e">
        <f>AND('STERLING CATALOG - DRY '!F1031,"AAAAAHf6W5U=")</f>
        <v>#VALUE!</v>
      </c>
      <c r="EU52" t="e">
        <f>AND('STERLING CATALOG - DRY '!G1031,"AAAAAHf6W5Y=")</f>
        <v>#VALUE!</v>
      </c>
      <c r="EV52" t="e">
        <f>AND('STERLING CATALOG - DRY '!H1031,"AAAAAHf6W5c=")</f>
        <v>#VALUE!</v>
      </c>
      <c r="EW52" t="e">
        <f>AND('STERLING CATALOG - DRY '!I1031,"AAAAAHf6W5g=")</f>
        <v>#VALUE!</v>
      </c>
      <c r="EX52" t="e">
        <f>AND('STERLING CATALOG - DRY '!J1031,"AAAAAHf6W5k=")</f>
        <v>#VALUE!</v>
      </c>
      <c r="EY52">
        <f>IF('STERLING CATALOG - DRY '!1032:1032,"AAAAAHf6W5o=",0)</f>
        <v>0</v>
      </c>
      <c r="EZ52" t="e">
        <f>AND('STERLING CATALOG - DRY '!A1032,"AAAAAHf6W5s=")</f>
        <v>#VALUE!</v>
      </c>
      <c r="FA52" t="e">
        <f>AND('STERLING CATALOG - DRY '!B1032,"AAAAAHf6W5w=")</f>
        <v>#VALUE!</v>
      </c>
      <c r="FB52" t="e">
        <f>AND('STERLING CATALOG - DRY '!C1032,"AAAAAHf6W50=")</f>
        <v>#VALUE!</v>
      </c>
      <c r="FC52" t="e">
        <f>AND('STERLING CATALOG - DRY '!D1032,"AAAAAHf6W54=")</f>
        <v>#VALUE!</v>
      </c>
      <c r="FD52" t="e">
        <f>AND('STERLING CATALOG - DRY '!E1032,"AAAAAHf6W58=")</f>
        <v>#VALUE!</v>
      </c>
      <c r="FE52" t="e">
        <f>AND('STERLING CATALOG - DRY '!F1032,"AAAAAHf6W6A=")</f>
        <v>#VALUE!</v>
      </c>
      <c r="FF52" t="e">
        <f>AND('STERLING CATALOG - DRY '!G1032,"AAAAAHf6W6E=")</f>
        <v>#VALUE!</v>
      </c>
      <c r="FG52" t="e">
        <f>AND('STERLING CATALOG - DRY '!H1032,"AAAAAHf6W6I=")</f>
        <v>#VALUE!</v>
      </c>
      <c r="FH52" t="e">
        <f>AND('STERLING CATALOG - DRY '!I1032,"AAAAAHf6W6M=")</f>
        <v>#VALUE!</v>
      </c>
      <c r="FI52" t="e">
        <f>AND('STERLING CATALOG - DRY '!J1032,"AAAAAHf6W6Q=")</f>
        <v>#VALUE!</v>
      </c>
      <c r="FJ52">
        <f>IF('STERLING CATALOG - DRY '!1033:1033,"AAAAAHf6W6U=",0)</f>
        <v>0</v>
      </c>
      <c r="FK52" t="e">
        <f>AND('STERLING CATALOG - DRY '!A1033,"AAAAAHf6W6Y=")</f>
        <v>#VALUE!</v>
      </c>
      <c r="FL52" t="e">
        <f>AND('STERLING CATALOG - DRY '!B1033,"AAAAAHf6W6c=")</f>
        <v>#VALUE!</v>
      </c>
      <c r="FM52" t="e">
        <f>AND('STERLING CATALOG - DRY '!C1033,"AAAAAHf6W6g=")</f>
        <v>#VALUE!</v>
      </c>
      <c r="FN52" t="e">
        <f>AND('STERLING CATALOG - DRY '!D1033,"AAAAAHf6W6k=")</f>
        <v>#VALUE!</v>
      </c>
      <c r="FO52" t="e">
        <f>AND('STERLING CATALOG - DRY '!E1033,"AAAAAHf6W6o=")</f>
        <v>#VALUE!</v>
      </c>
      <c r="FP52" t="e">
        <f>AND('STERLING CATALOG - DRY '!F1033,"AAAAAHf6W6s=")</f>
        <v>#VALUE!</v>
      </c>
      <c r="FQ52" t="e">
        <f>AND('STERLING CATALOG - DRY '!G1033,"AAAAAHf6W6w=")</f>
        <v>#VALUE!</v>
      </c>
      <c r="FR52" t="e">
        <f>AND('STERLING CATALOG - DRY '!H1033,"AAAAAHf6W60=")</f>
        <v>#VALUE!</v>
      </c>
      <c r="FS52" t="e">
        <f>AND('STERLING CATALOG - DRY '!I1033,"AAAAAHf6W64=")</f>
        <v>#VALUE!</v>
      </c>
      <c r="FT52" t="e">
        <f>AND('STERLING CATALOG - DRY '!J1033,"AAAAAHf6W68=")</f>
        <v>#VALUE!</v>
      </c>
      <c r="FU52">
        <f>IF('STERLING CATALOG - DRY '!1034:1034,"AAAAAHf6W7A=",0)</f>
        <v>0</v>
      </c>
      <c r="FV52" t="e">
        <f>AND('STERLING CATALOG - DRY '!A1034,"AAAAAHf6W7E=")</f>
        <v>#VALUE!</v>
      </c>
      <c r="FW52" t="e">
        <f>AND('STERLING CATALOG - DRY '!B1034,"AAAAAHf6W7I=")</f>
        <v>#VALUE!</v>
      </c>
      <c r="FX52" t="e">
        <f>AND('STERLING CATALOG - DRY '!C1034,"AAAAAHf6W7M=")</f>
        <v>#VALUE!</v>
      </c>
      <c r="FY52" t="e">
        <f>AND('STERLING CATALOG - DRY '!D1034,"AAAAAHf6W7Q=")</f>
        <v>#VALUE!</v>
      </c>
      <c r="FZ52" t="e">
        <f>AND('STERLING CATALOG - DRY '!E1034,"AAAAAHf6W7U=")</f>
        <v>#VALUE!</v>
      </c>
      <c r="GA52" t="e">
        <f>AND('STERLING CATALOG - DRY '!F1034,"AAAAAHf6W7Y=")</f>
        <v>#VALUE!</v>
      </c>
      <c r="GB52" t="e">
        <f>AND('STERLING CATALOG - DRY '!G1034,"AAAAAHf6W7c=")</f>
        <v>#VALUE!</v>
      </c>
      <c r="GC52" t="e">
        <f>AND('STERLING CATALOG - DRY '!H1034,"AAAAAHf6W7g=")</f>
        <v>#VALUE!</v>
      </c>
      <c r="GD52" t="e">
        <f>AND('STERLING CATALOG - DRY '!I1034,"AAAAAHf6W7k=")</f>
        <v>#VALUE!</v>
      </c>
      <c r="GE52" t="e">
        <f>AND('STERLING CATALOG - DRY '!J1034,"AAAAAHf6W7o=")</f>
        <v>#VALUE!</v>
      </c>
      <c r="GF52">
        <f>IF('STERLING CATALOG - DRY '!1035:1035,"AAAAAHf6W7s=",0)</f>
        <v>0</v>
      </c>
      <c r="GG52" t="e">
        <f>AND('STERLING CATALOG - DRY '!A1035,"AAAAAHf6W7w=")</f>
        <v>#VALUE!</v>
      </c>
      <c r="GH52" t="e">
        <f>AND('STERLING CATALOG - DRY '!B1035,"AAAAAHf6W70=")</f>
        <v>#VALUE!</v>
      </c>
      <c r="GI52" t="e">
        <f>AND('STERLING CATALOG - DRY '!C1035,"AAAAAHf6W74=")</f>
        <v>#VALUE!</v>
      </c>
      <c r="GJ52" t="e">
        <f>AND('STERLING CATALOG - DRY '!D1035,"AAAAAHf6W78=")</f>
        <v>#VALUE!</v>
      </c>
      <c r="GK52" t="e">
        <f>AND('STERLING CATALOG - DRY '!E1035,"AAAAAHf6W8A=")</f>
        <v>#VALUE!</v>
      </c>
      <c r="GL52" t="e">
        <f>AND('STERLING CATALOG - DRY '!F1035,"AAAAAHf6W8E=")</f>
        <v>#VALUE!</v>
      </c>
      <c r="GM52" t="e">
        <f>AND('STERLING CATALOG - DRY '!G1035,"AAAAAHf6W8I=")</f>
        <v>#VALUE!</v>
      </c>
      <c r="GN52" t="e">
        <f>AND('STERLING CATALOG - DRY '!H1035,"AAAAAHf6W8M=")</f>
        <v>#VALUE!</v>
      </c>
      <c r="GO52" t="e">
        <f>AND('STERLING CATALOG - DRY '!I1035,"AAAAAHf6W8Q=")</f>
        <v>#VALUE!</v>
      </c>
      <c r="GP52" t="e">
        <f>AND('STERLING CATALOG - DRY '!J1035,"AAAAAHf6W8U=")</f>
        <v>#VALUE!</v>
      </c>
      <c r="GQ52">
        <f>IF('STERLING CATALOG - DRY '!1036:1036,"AAAAAHf6W8Y=",0)</f>
        <v>0</v>
      </c>
      <c r="GR52" t="e">
        <f>AND('STERLING CATALOG - DRY '!A1036,"AAAAAHf6W8c=")</f>
        <v>#VALUE!</v>
      </c>
      <c r="GS52" t="e">
        <f>AND('STERLING CATALOG - DRY '!B1036,"AAAAAHf6W8g=")</f>
        <v>#VALUE!</v>
      </c>
      <c r="GT52" t="e">
        <f>AND('STERLING CATALOG - DRY '!C1036,"AAAAAHf6W8k=")</f>
        <v>#VALUE!</v>
      </c>
      <c r="GU52" t="e">
        <f>AND('STERLING CATALOG - DRY '!D1036,"AAAAAHf6W8o=")</f>
        <v>#VALUE!</v>
      </c>
      <c r="GV52" t="e">
        <f>AND('STERLING CATALOG - DRY '!E1036,"AAAAAHf6W8s=")</f>
        <v>#VALUE!</v>
      </c>
      <c r="GW52" t="e">
        <f>AND('STERLING CATALOG - DRY '!F1036,"AAAAAHf6W8w=")</f>
        <v>#VALUE!</v>
      </c>
      <c r="GX52" t="e">
        <f>AND('STERLING CATALOG - DRY '!G1036,"AAAAAHf6W80=")</f>
        <v>#VALUE!</v>
      </c>
      <c r="GY52" t="e">
        <f>AND('STERLING CATALOG - DRY '!H1036,"AAAAAHf6W84=")</f>
        <v>#VALUE!</v>
      </c>
      <c r="GZ52" t="e">
        <f>AND('STERLING CATALOG - DRY '!I1036,"AAAAAHf6W88=")</f>
        <v>#VALUE!</v>
      </c>
      <c r="HA52" t="e">
        <f>AND('STERLING CATALOG - DRY '!J1036,"AAAAAHf6W9A=")</f>
        <v>#VALUE!</v>
      </c>
      <c r="HB52">
        <f>IF('STERLING CATALOG - DRY '!1037:1037,"AAAAAHf6W9E=",0)</f>
        <v>0</v>
      </c>
      <c r="HC52" t="e">
        <f>AND('STERLING CATALOG - DRY '!A1037,"AAAAAHf6W9I=")</f>
        <v>#VALUE!</v>
      </c>
      <c r="HD52" t="e">
        <f>AND('STERLING CATALOG - DRY '!B1037,"AAAAAHf6W9M=")</f>
        <v>#VALUE!</v>
      </c>
      <c r="HE52" t="e">
        <f>AND('STERLING CATALOG - DRY '!C1037,"AAAAAHf6W9Q=")</f>
        <v>#VALUE!</v>
      </c>
      <c r="HF52" t="e">
        <f>AND('STERLING CATALOG - DRY '!D1037,"AAAAAHf6W9U=")</f>
        <v>#VALUE!</v>
      </c>
      <c r="HG52" t="e">
        <f>AND('STERLING CATALOG - DRY '!E1037,"AAAAAHf6W9Y=")</f>
        <v>#VALUE!</v>
      </c>
      <c r="HH52" t="e">
        <f>AND('STERLING CATALOG - DRY '!F1037,"AAAAAHf6W9c=")</f>
        <v>#VALUE!</v>
      </c>
      <c r="HI52" t="e">
        <f>AND('STERLING CATALOG - DRY '!G1037,"AAAAAHf6W9g=")</f>
        <v>#VALUE!</v>
      </c>
      <c r="HJ52" t="e">
        <f>AND('STERLING CATALOG - DRY '!H1037,"AAAAAHf6W9k=")</f>
        <v>#VALUE!</v>
      </c>
      <c r="HK52" t="e">
        <f>AND('STERLING CATALOG - DRY '!I1037,"AAAAAHf6W9o=")</f>
        <v>#VALUE!</v>
      </c>
      <c r="HL52" t="e">
        <f>AND('STERLING CATALOG - DRY '!J1037,"AAAAAHf6W9s=")</f>
        <v>#VALUE!</v>
      </c>
      <c r="HM52">
        <f>IF('STERLING CATALOG - DRY '!1038:1038,"AAAAAHf6W9w=",0)</f>
        <v>0</v>
      </c>
      <c r="HN52" t="e">
        <f>AND('STERLING CATALOG - DRY '!A1038,"AAAAAHf6W90=")</f>
        <v>#VALUE!</v>
      </c>
      <c r="HO52" t="e">
        <f>AND('STERLING CATALOG - DRY '!B1038,"AAAAAHf6W94=")</f>
        <v>#VALUE!</v>
      </c>
      <c r="HP52" t="e">
        <f>AND('STERLING CATALOG - DRY '!C1038,"AAAAAHf6W98=")</f>
        <v>#VALUE!</v>
      </c>
      <c r="HQ52" t="e">
        <f>AND('STERLING CATALOG - DRY '!D1038,"AAAAAHf6W+A=")</f>
        <v>#VALUE!</v>
      </c>
      <c r="HR52" t="e">
        <f>AND('STERLING CATALOG - DRY '!E1038,"AAAAAHf6W+E=")</f>
        <v>#VALUE!</v>
      </c>
      <c r="HS52" t="e">
        <f>AND('STERLING CATALOG - DRY '!F1038,"AAAAAHf6W+I=")</f>
        <v>#VALUE!</v>
      </c>
      <c r="HT52" t="e">
        <f>AND('STERLING CATALOG - DRY '!G1038,"AAAAAHf6W+M=")</f>
        <v>#VALUE!</v>
      </c>
      <c r="HU52" t="e">
        <f>AND('STERLING CATALOG - DRY '!H1038,"AAAAAHf6W+Q=")</f>
        <v>#VALUE!</v>
      </c>
      <c r="HV52" t="e">
        <f>AND('STERLING CATALOG - DRY '!I1038,"AAAAAHf6W+U=")</f>
        <v>#VALUE!</v>
      </c>
      <c r="HW52" t="e">
        <f>AND('STERLING CATALOG - DRY '!J1038,"AAAAAHf6W+Y=")</f>
        <v>#VALUE!</v>
      </c>
      <c r="HX52">
        <f>IF('STERLING CATALOG - DRY '!1039:1039,"AAAAAHf6W+c=",0)</f>
        <v>0</v>
      </c>
      <c r="HY52" t="e">
        <f>AND('STERLING CATALOG - DRY '!A1039,"AAAAAHf6W+g=")</f>
        <v>#VALUE!</v>
      </c>
      <c r="HZ52" t="e">
        <f>AND('STERLING CATALOG - DRY '!B1039,"AAAAAHf6W+k=")</f>
        <v>#VALUE!</v>
      </c>
      <c r="IA52" t="e">
        <f>AND('STERLING CATALOG - DRY '!C1039,"AAAAAHf6W+o=")</f>
        <v>#VALUE!</v>
      </c>
      <c r="IB52" t="e">
        <f>AND('STERLING CATALOG - DRY '!D1039,"AAAAAHf6W+s=")</f>
        <v>#VALUE!</v>
      </c>
      <c r="IC52" t="e">
        <f>AND('STERLING CATALOG - DRY '!E1039,"AAAAAHf6W+w=")</f>
        <v>#VALUE!</v>
      </c>
      <c r="ID52" t="e">
        <f>AND('STERLING CATALOG - DRY '!F1039,"AAAAAHf6W+0=")</f>
        <v>#VALUE!</v>
      </c>
      <c r="IE52" t="e">
        <f>AND('STERLING CATALOG - DRY '!G1039,"AAAAAHf6W+4=")</f>
        <v>#VALUE!</v>
      </c>
      <c r="IF52" t="e">
        <f>AND('STERLING CATALOG - DRY '!H1039,"AAAAAHf6W+8=")</f>
        <v>#VALUE!</v>
      </c>
      <c r="IG52" t="e">
        <f>AND('STERLING CATALOG - DRY '!I1039,"AAAAAHf6W/A=")</f>
        <v>#VALUE!</v>
      </c>
      <c r="IH52" t="e">
        <f>AND('STERLING CATALOG - DRY '!J1039,"AAAAAHf6W/E=")</f>
        <v>#VALUE!</v>
      </c>
      <c r="II52">
        <f>IF('STERLING CATALOG - DRY '!1040:1040,"AAAAAHf6W/I=",0)</f>
        <v>0</v>
      </c>
      <c r="IJ52" t="e">
        <f>AND('STERLING CATALOG - DRY '!A1040,"AAAAAHf6W/M=")</f>
        <v>#VALUE!</v>
      </c>
      <c r="IK52" t="e">
        <f>AND('STERLING CATALOG - DRY '!B1040,"AAAAAHf6W/Q=")</f>
        <v>#VALUE!</v>
      </c>
      <c r="IL52" t="e">
        <f>AND('STERLING CATALOG - DRY '!C1040,"AAAAAHf6W/U=")</f>
        <v>#VALUE!</v>
      </c>
      <c r="IM52" t="e">
        <f>AND('STERLING CATALOG - DRY '!D1040,"AAAAAHf6W/Y=")</f>
        <v>#VALUE!</v>
      </c>
      <c r="IN52" t="e">
        <f>AND('STERLING CATALOG - DRY '!E1040,"AAAAAHf6W/c=")</f>
        <v>#VALUE!</v>
      </c>
      <c r="IO52" t="e">
        <f>AND('STERLING CATALOG - DRY '!F1040,"AAAAAHf6W/g=")</f>
        <v>#VALUE!</v>
      </c>
      <c r="IP52" t="e">
        <f>AND('STERLING CATALOG - DRY '!G1040,"AAAAAHf6W/k=")</f>
        <v>#VALUE!</v>
      </c>
      <c r="IQ52" t="e">
        <f>AND('STERLING CATALOG - DRY '!H1040,"AAAAAHf6W/o=")</f>
        <v>#VALUE!</v>
      </c>
      <c r="IR52" t="e">
        <f>AND('STERLING CATALOG - DRY '!I1040,"AAAAAHf6W/s=")</f>
        <v>#VALUE!</v>
      </c>
      <c r="IS52" t="e">
        <f>AND('STERLING CATALOG - DRY '!J1040,"AAAAAHf6W/w=")</f>
        <v>#VALUE!</v>
      </c>
      <c r="IT52">
        <f>IF('STERLING CATALOG - DRY '!1041:1041,"AAAAAHf6W/0=",0)</f>
        <v>0</v>
      </c>
      <c r="IU52" t="e">
        <f>AND('STERLING CATALOG - DRY '!A1041,"AAAAAHf6W/4=")</f>
        <v>#VALUE!</v>
      </c>
      <c r="IV52" t="e">
        <f>AND('STERLING CATALOG - DRY '!B1041,"AAAAAHf6W/8=")</f>
        <v>#VALUE!</v>
      </c>
    </row>
    <row r="53" spans="1:256">
      <c r="A53" t="e">
        <f>AND('STERLING CATALOG - DRY '!C1041,"AAAAAHv/7QA=")</f>
        <v>#VALUE!</v>
      </c>
      <c r="B53" t="e">
        <f>AND('STERLING CATALOG - DRY '!D1041,"AAAAAHv/7QE=")</f>
        <v>#VALUE!</v>
      </c>
      <c r="C53" t="e">
        <f>AND('STERLING CATALOG - DRY '!E1041,"AAAAAHv/7QI=")</f>
        <v>#VALUE!</v>
      </c>
      <c r="D53" t="e">
        <f>AND('STERLING CATALOG - DRY '!F1041,"AAAAAHv/7QM=")</f>
        <v>#VALUE!</v>
      </c>
      <c r="E53" t="e">
        <f>AND('STERLING CATALOG - DRY '!G1041,"AAAAAHv/7QQ=")</f>
        <v>#VALUE!</v>
      </c>
      <c r="F53" t="e">
        <f>AND('STERLING CATALOG - DRY '!H1041,"AAAAAHv/7QU=")</f>
        <v>#VALUE!</v>
      </c>
      <c r="G53" t="e">
        <f>AND('STERLING CATALOG - DRY '!I1041,"AAAAAHv/7QY=")</f>
        <v>#VALUE!</v>
      </c>
      <c r="H53" t="e">
        <f>AND('STERLING CATALOG - DRY '!J1041,"AAAAAHv/7Qc=")</f>
        <v>#VALUE!</v>
      </c>
      <c r="I53">
        <f>IF('STERLING CATALOG - DRY '!1042:1042,"AAAAAHv/7Qg=",0)</f>
        <v>0</v>
      </c>
      <c r="J53" t="e">
        <f>AND('STERLING CATALOG - DRY '!A1042,"AAAAAHv/7Qk=")</f>
        <v>#VALUE!</v>
      </c>
      <c r="K53" t="e">
        <f>AND('STERLING CATALOG - DRY '!B1042,"AAAAAHv/7Qo=")</f>
        <v>#VALUE!</v>
      </c>
      <c r="L53" t="e">
        <f>AND('STERLING CATALOG - DRY '!C1042,"AAAAAHv/7Qs=")</f>
        <v>#VALUE!</v>
      </c>
      <c r="M53" t="e">
        <f>AND('STERLING CATALOG - DRY '!D1042,"AAAAAHv/7Qw=")</f>
        <v>#VALUE!</v>
      </c>
      <c r="N53" t="e">
        <f>AND('STERLING CATALOG - DRY '!E1042,"AAAAAHv/7Q0=")</f>
        <v>#VALUE!</v>
      </c>
      <c r="O53" t="e">
        <f>AND('STERLING CATALOG - DRY '!F1042,"AAAAAHv/7Q4=")</f>
        <v>#VALUE!</v>
      </c>
      <c r="P53" t="e">
        <f>AND('STERLING CATALOG - DRY '!G1042,"AAAAAHv/7Q8=")</f>
        <v>#VALUE!</v>
      </c>
      <c r="Q53" t="e">
        <f>AND('STERLING CATALOG - DRY '!H1042,"AAAAAHv/7RA=")</f>
        <v>#VALUE!</v>
      </c>
      <c r="R53" t="e">
        <f>AND('STERLING CATALOG - DRY '!I1042,"AAAAAHv/7RE=")</f>
        <v>#VALUE!</v>
      </c>
      <c r="S53" t="e">
        <f>AND('STERLING CATALOG - DRY '!J1042,"AAAAAHv/7RI=")</f>
        <v>#VALUE!</v>
      </c>
      <c r="T53">
        <f>IF('STERLING CATALOG - DRY '!1043:1043,"AAAAAHv/7RM=",0)</f>
        <v>0</v>
      </c>
      <c r="U53" t="e">
        <f>AND('STERLING CATALOG - DRY '!A1043,"AAAAAHv/7RQ=")</f>
        <v>#VALUE!</v>
      </c>
      <c r="V53" t="e">
        <f>AND('STERLING CATALOG - DRY '!B1043,"AAAAAHv/7RU=")</f>
        <v>#VALUE!</v>
      </c>
      <c r="W53" t="e">
        <f>AND('STERLING CATALOG - DRY '!C1043,"AAAAAHv/7RY=")</f>
        <v>#VALUE!</v>
      </c>
      <c r="X53" t="e">
        <f>AND('STERLING CATALOG - DRY '!D1043,"AAAAAHv/7Rc=")</f>
        <v>#VALUE!</v>
      </c>
      <c r="Y53" t="e">
        <f>AND('STERLING CATALOG - DRY '!E1043,"AAAAAHv/7Rg=")</f>
        <v>#VALUE!</v>
      </c>
      <c r="Z53" t="e">
        <f>AND('STERLING CATALOG - DRY '!F1043,"AAAAAHv/7Rk=")</f>
        <v>#VALUE!</v>
      </c>
      <c r="AA53" t="e">
        <f>AND('STERLING CATALOG - DRY '!G1043,"AAAAAHv/7Ro=")</f>
        <v>#VALUE!</v>
      </c>
      <c r="AB53" t="e">
        <f>AND('STERLING CATALOG - DRY '!H1043,"AAAAAHv/7Rs=")</f>
        <v>#VALUE!</v>
      </c>
      <c r="AC53" t="e">
        <f>AND('STERLING CATALOG - DRY '!I1043,"AAAAAHv/7Rw=")</f>
        <v>#VALUE!</v>
      </c>
      <c r="AD53" t="e">
        <f>AND('STERLING CATALOG - DRY '!J1043,"AAAAAHv/7R0=")</f>
        <v>#VALUE!</v>
      </c>
      <c r="AE53">
        <f>IF('STERLING CATALOG - DRY '!1044:1044,"AAAAAHv/7R4=",0)</f>
        <v>0</v>
      </c>
      <c r="AF53" t="e">
        <f>AND('STERLING CATALOG - DRY '!A1044,"AAAAAHv/7R8=")</f>
        <v>#VALUE!</v>
      </c>
      <c r="AG53" t="e">
        <f>AND('STERLING CATALOG - DRY '!B1044,"AAAAAHv/7SA=")</f>
        <v>#VALUE!</v>
      </c>
      <c r="AH53" t="e">
        <f>AND('STERLING CATALOG - DRY '!C1044,"AAAAAHv/7SE=")</f>
        <v>#VALUE!</v>
      </c>
      <c r="AI53" t="e">
        <f>AND('STERLING CATALOG - DRY '!D1044,"AAAAAHv/7SI=")</f>
        <v>#VALUE!</v>
      </c>
      <c r="AJ53" t="e">
        <f>AND('STERLING CATALOG - DRY '!E1044,"AAAAAHv/7SM=")</f>
        <v>#VALUE!</v>
      </c>
      <c r="AK53" t="e">
        <f>AND('STERLING CATALOG - DRY '!F1044,"AAAAAHv/7SQ=")</f>
        <v>#VALUE!</v>
      </c>
      <c r="AL53" t="e">
        <f>AND('STERLING CATALOG - DRY '!G1044,"AAAAAHv/7SU=")</f>
        <v>#VALUE!</v>
      </c>
      <c r="AM53" t="e">
        <f>AND('STERLING CATALOG - DRY '!H1044,"AAAAAHv/7SY=")</f>
        <v>#VALUE!</v>
      </c>
      <c r="AN53" t="e">
        <f>AND('STERLING CATALOG - DRY '!I1044,"AAAAAHv/7Sc=")</f>
        <v>#VALUE!</v>
      </c>
      <c r="AO53" t="e">
        <f>AND('STERLING CATALOG - DRY '!J1044,"AAAAAHv/7Sg=")</f>
        <v>#VALUE!</v>
      </c>
      <c r="AP53">
        <f>IF('STERLING CATALOG - DRY '!1045:1045,"AAAAAHv/7Sk=",0)</f>
        <v>0</v>
      </c>
      <c r="AQ53" t="e">
        <f>AND('STERLING CATALOG - DRY '!A1045,"AAAAAHv/7So=")</f>
        <v>#VALUE!</v>
      </c>
      <c r="AR53" t="e">
        <f>AND('STERLING CATALOG - DRY '!B1045,"AAAAAHv/7Ss=")</f>
        <v>#VALUE!</v>
      </c>
      <c r="AS53" t="e">
        <f>AND('STERLING CATALOG - DRY '!C1045,"AAAAAHv/7Sw=")</f>
        <v>#VALUE!</v>
      </c>
      <c r="AT53" t="e">
        <f>AND('STERLING CATALOG - DRY '!D1045,"AAAAAHv/7S0=")</f>
        <v>#VALUE!</v>
      </c>
      <c r="AU53" t="e">
        <f>AND('STERLING CATALOG - DRY '!E1045,"AAAAAHv/7S4=")</f>
        <v>#VALUE!</v>
      </c>
      <c r="AV53" t="e">
        <f>AND('STERLING CATALOG - DRY '!F1045,"AAAAAHv/7S8=")</f>
        <v>#VALUE!</v>
      </c>
      <c r="AW53" t="e">
        <f>AND('STERLING CATALOG - DRY '!G1045,"AAAAAHv/7TA=")</f>
        <v>#VALUE!</v>
      </c>
      <c r="AX53" t="e">
        <f>AND('STERLING CATALOG - DRY '!H1045,"AAAAAHv/7TE=")</f>
        <v>#VALUE!</v>
      </c>
      <c r="AY53" t="e">
        <f>AND('STERLING CATALOG - DRY '!I1045,"AAAAAHv/7TI=")</f>
        <v>#VALUE!</v>
      </c>
      <c r="AZ53" t="e">
        <f>AND('STERLING CATALOG - DRY '!J1045,"AAAAAHv/7TM=")</f>
        <v>#VALUE!</v>
      </c>
      <c r="BA53">
        <f>IF('STERLING CATALOG - DRY '!1046:1046,"AAAAAHv/7TQ=",0)</f>
        <v>0</v>
      </c>
      <c r="BB53" t="e">
        <f>AND('STERLING CATALOG - DRY '!A1046,"AAAAAHv/7TU=")</f>
        <v>#VALUE!</v>
      </c>
      <c r="BC53" t="e">
        <f>AND('STERLING CATALOG - DRY '!B1046,"AAAAAHv/7TY=")</f>
        <v>#VALUE!</v>
      </c>
      <c r="BD53" t="e">
        <f>AND('STERLING CATALOG - DRY '!C1046,"AAAAAHv/7Tc=")</f>
        <v>#VALUE!</v>
      </c>
      <c r="BE53" t="e">
        <f>AND('STERLING CATALOG - DRY '!D1046,"AAAAAHv/7Tg=")</f>
        <v>#VALUE!</v>
      </c>
      <c r="BF53" t="e">
        <f>AND('STERLING CATALOG - DRY '!E1046,"AAAAAHv/7Tk=")</f>
        <v>#VALUE!</v>
      </c>
      <c r="BG53" t="e">
        <f>AND('STERLING CATALOG - DRY '!F1046,"AAAAAHv/7To=")</f>
        <v>#VALUE!</v>
      </c>
      <c r="BH53" t="e">
        <f>AND('STERLING CATALOG - DRY '!G1046,"AAAAAHv/7Ts=")</f>
        <v>#VALUE!</v>
      </c>
      <c r="BI53" t="e">
        <f>AND('STERLING CATALOG - DRY '!H1046,"AAAAAHv/7Tw=")</f>
        <v>#VALUE!</v>
      </c>
      <c r="BJ53" t="e">
        <f>AND('STERLING CATALOG - DRY '!I1046,"AAAAAHv/7T0=")</f>
        <v>#VALUE!</v>
      </c>
      <c r="BK53" t="e">
        <f>AND('STERLING CATALOG - DRY '!J1046,"AAAAAHv/7T4=")</f>
        <v>#VALUE!</v>
      </c>
      <c r="BL53">
        <f>IF('STERLING CATALOG - DRY '!1047:1047,"AAAAAHv/7T8=",0)</f>
        <v>0</v>
      </c>
      <c r="BM53" t="e">
        <f>AND('STERLING CATALOG - DRY '!A1047,"AAAAAHv/7UA=")</f>
        <v>#VALUE!</v>
      </c>
      <c r="BN53" t="e">
        <f>AND('STERLING CATALOG - DRY '!B1047,"AAAAAHv/7UE=")</f>
        <v>#VALUE!</v>
      </c>
      <c r="BO53" t="e">
        <f>AND('STERLING CATALOG - DRY '!C1047,"AAAAAHv/7UI=")</f>
        <v>#VALUE!</v>
      </c>
      <c r="BP53" t="e">
        <f>AND('STERLING CATALOG - DRY '!D1047,"AAAAAHv/7UM=")</f>
        <v>#VALUE!</v>
      </c>
      <c r="BQ53" t="e">
        <f>AND('STERLING CATALOG - DRY '!E1047,"AAAAAHv/7UQ=")</f>
        <v>#VALUE!</v>
      </c>
      <c r="BR53" t="e">
        <f>AND('STERLING CATALOG - DRY '!F1047,"AAAAAHv/7UU=")</f>
        <v>#VALUE!</v>
      </c>
      <c r="BS53" t="e">
        <f>AND('STERLING CATALOG - DRY '!G1047,"AAAAAHv/7UY=")</f>
        <v>#VALUE!</v>
      </c>
      <c r="BT53" t="e">
        <f>AND('STERLING CATALOG - DRY '!H1047,"AAAAAHv/7Uc=")</f>
        <v>#VALUE!</v>
      </c>
      <c r="BU53" t="e">
        <f>AND('STERLING CATALOG - DRY '!I1047,"AAAAAHv/7Ug=")</f>
        <v>#VALUE!</v>
      </c>
      <c r="BV53" t="e">
        <f>AND('STERLING CATALOG - DRY '!J1047,"AAAAAHv/7Uk=")</f>
        <v>#VALUE!</v>
      </c>
      <c r="BW53">
        <f>IF('STERLING CATALOG - DRY '!1048:1048,"AAAAAHv/7Uo=",0)</f>
        <v>0</v>
      </c>
      <c r="BX53" t="e">
        <f>AND('STERLING CATALOG - DRY '!A1048,"AAAAAHv/7Us=")</f>
        <v>#VALUE!</v>
      </c>
      <c r="BY53" t="e">
        <f>AND('STERLING CATALOG - DRY '!B1048,"AAAAAHv/7Uw=")</f>
        <v>#VALUE!</v>
      </c>
      <c r="BZ53" t="e">
        <f>AND('STERLING CATALOG - DRY '!C1048,"AAAAAHv/7U0=")</f>
        <v>#VALUE!</v>
      </c>
      <c r="CA53" t="e">
        <f>AND('STERLING CATALOG - DRY '!D1048,"AAAAAHv/7U4=")</f>
        <v>#VALUE!</v>
      </c>
      <c r="CB53" t="e">
        <f>AND('STERLING CATALOG - DRY '!E1048,"AAAAAHv/7U8=")</f>
        <v>#VALUE!</v>
      </c>
      <c r="CC53" t="e">
        <f>AND('STERLING CATALOG - DRY '!F1048,"AAAAAHv/7VA=")</f>
        <v>#VALUE!</v>
      </c>
      <c r="CD53" t="e">
        <f>AND('STERLING CATALOG - DRY '!G1048,"AAAAAHv/7VE=")</f>
        <v>#VALUE!</v>
      </c>
      <c r="CE53" t="e">
        <f>AND('STERLING CATALOG - DRY '!H1048,"AAAAAHv/7VI=")</f>
        <v>#VALUE!</v>
      </c>
      <c r="CF53" t="e">
        <f>AND('STERLING CATALOG - DRY '!I1048,"AAAAAHv/7VM=")</f>
        <v>#VALUE!</v>
      </c>
      <c r="CG53" t="e">
        <f>AND('STERLING CATALOG - DRY '!J1048,"AAAAAHv/7VQ=")</f>
        <v>#VALUE!</v>
      </c>
      <c r="CH53">
        <f>IF('STERLING CATALOG - DRY '!1049:1049,"AAAAAHv/7VU=",0)</f>
        <v>0</v>
      </c>
      <c r="CI53" t="e">
        <f>AND('STERLING CATALOG - DRY '!A1049,"AAAAAHv/7VY=")</f>
        <v>#VALUE!</v>
      </c>
      <c r="CJ53" t="e">
        <f>AND('STERLING CATALOG - DRY '!B1049,"AAAAAHv/7Vc=")</f>
        <v>#VALUE!</v>
      </c>
      <c r="CK53" t="e">
        <f>AND('STERLING CATALOG - DRY '!C1049,"AAAAAHv/7Vg=")</f>
        <v>#VALUE!</v>
      </c>
      <c r="CL53" t="e">
        <f>AND('STERLING CATALOG - DRY '!D1049,"AAAAAHv/7Vk=")</f>
        <v>#VALUE!</v>
      </c>
      <c r="CM53" t="e">
        <f>AND('STERLING CATALOG - DRY '!E1049,"AAAAAHv/7Vo=")</f>
        <v>#VALUE!</v>
      </c>
      <c r="CN53" t="e">
        <f>AND('STERLING CATALOG - DRY '!F1049,"AAAAAHv/7Vs=")</f>
        <v>#VALUE!</v>
      </c>
      <c r="CO53" t="e">
        <f>AND('STERLING CATALOG - DRY '!G1049,"AAAAAHv/7Vw=")</f>
        <v>#VALUE!</v>
      </c>
      <c r="CP53" t="e">
        <f>AND('STERLING CATALOG - DRY '!H1049,"AAAAAHv/7V0=")</f>
        <v>#VALUE!</v>
      </c>
      <c r="CQ53" t="e">
        <f>AND('STERLING CATALOG - DRY '!I1049,"AAAAAHv/7V4=")</f>
        <v>#VALUE!</v>
      </c>
      <c r="CR53" t="e">
        <f>AND('STERLING CATALOG - DRY '!J1049,"AAAAAHv/7V8=")</f>
        <v>#VALUE!</v>
      </c>
      <c r="CS53">
        <f>IF('STERLING CATALOG - DRY '!1050:1050,"AAAAAHv/7WA=",0)</f>
        <v>0</v>
      </c>
      <c r="CT53" t="e">
        <f>AND('STERLING CATALOG - DRY '!A1050,"AAAAAHv/7WE=")</f>
        <v>#VALUE!</v>
      </c>
      <c r="CU53" t="e">
        <f>AND('STERLING CATALOG - DRY '!B1050,"AAAAAHv/7WI=")</f>
        <v>#VALUE!</v>
      </c>
      <c r="CV53" t="e">
        <f>AND('STERLING CATALOG - DRY '!C1050,"AAAAAHv/7WM=")</f>
        <v>#VALUE!</v>
      </c>
      <c r="CW53" t="e">
        <f>AND('STERLING CATALOG - DRY '!D1050,"AAAAAHv/7WQ=")</f>
        <v>#VALUE!</v>
      </c>
      <c r="CX53" t="e">
        <f>AND('STERLING CATALOG - DRY '!E1050,"AAAAAHv/7WU=")</f>
        <v>#VALUE!</v>
      </c>
      <c r="CY53" t="e">
        <f>AND('STERLING CATALOG - DRY '!F1050,"AAAAAHv/7WY=")</f>
        <v>#VALUE!</v>
      </c>
      <c r="CZ53" t="e">
        <f>AND('STERLING CATALOG - DRY '!G1050,"AAAAAHv/7Wc=")</f>
        <v>#VALUE!</v>
      </c>
      <c r="DA53" t="e">
        <f>AND('STERLING CATALOG - DRY '!H1050,"AAAAAHv/7Wg=")</f>
        <v>#VALUE!</v>
      </c>
      <c r="DB53" t="e">
        <f>AND('STERLING CATALOG - DRY '!I1050,"AAAAAHv/7Wk=")</f>
        <v>#VALUE!</v>
      </c>
      <c r="DC53" t="e">
        <f>AND('STERLING CATALOG - DRY '!J1050,"AAAAAHv/7Wo=")</f>
        <v>#VALUE!</v>
      </c>
      <c r="DD53">
        <f>IF('STERLING CATALOG - DRY '!1051:1051,"AAAAAHv/7Ws=",0)</f>
        <v>0</v>
      </c>
      <c r="DE53" t="e">
        <f>AND('STERLING CATALOG - DRY '!A1051,"AAAAAHv/7Ww=")</f>
        <v>#VALUE!</v>
      </c>
      <c r="DF53" t="e">
        <f>AND('STERLING CATALOG - DRY '!B1051,"AAAAAHv/7W0=")</f>
        <v>#VALUE!</v>
      </c>
      <c r="DG53" t="e">
        <f>AND('STERLING CATALOG - DRY '!C1051,"AAAAAHv/7W4=")</f>
        <v>#VALUE!</v>
      </c>
      <c r="DH53" t="e">
        <f>AND('STERLING CATALOG - DRY '!D1051,"AAAAAHv/7W8=")</f>
        <v>#VALUE!</v>
      </c>
      <c r="DI53" t="e">
        <f>AND('STERLING CATALOG - DRY '!E1051,"AAAAAHv/7XA=")</f>
        <v>#VALUE!</v>
      </c>
      <c r="DJ53" t="e">
        <f>AND('STERLING CATALOG - DRY '!F1051,"AAAAAHv/7XE=")</f>
        <v>#VALUE!</v>
      </c>
      <c r="DK53" t="e">
        <f>AND('STERLING CATALOG - DRY '!G1051,"AAAAAHv/7XI=")</f>
        <v>#VALUE!</v>
      </c>
      <c r="DL53" t="e">
        <f>AND('STERLING CATALOG - DRY '!H1051,"AAAAAHv/7XM=")</f>
        <v>#VALUE!</v>
      </c>
      <c r="DM53" t="e">
        <f>AND('STERLING CATALOG - DRY '!I1051,"AAAAAHv/7XQ=")</f>
        <v>#VALUE!</v>
      </c>
      <c r="DN53" t="e">
        <f>AND('STERLING CATALOG - DRY '!J1051,"AAAAAHv/7XU=")</f>
        <v>#VALUE!</v>
      </c>
      <c r="DO53">
        <f>IF('STERLING CATALOG - DRY '!1052:1052,"AAAAAHv/7XY=",0)</f>
        <v>0</v>
      </c>
      <c r="DP53" t="e">
        <f>AND('STERLING CATALOG - DRY '!A1052,"AAAAAHv/7Xc=")</f>
        <v>#VALUE!</v>
      </c>
      <c r="DQ53" t="e">
        <f>AND('STERLING CATALOG - DRY '!B1052,"AAAAAHv/7Xg=")</f>
        <v>#VALUE!</v>
      </c>
      <c r="DR53" t="e">
        <f>AND('STERLING CATALOG - DRY '!C1052,"AAAAAHv/7Xk=")</f>
        <v>#VALUE!</v>
      </c>
      <c r="DS53" t="e">
        <f>AND('STERLING CATALOG - DRY '!D1052,"AAAAAHv/7Xo=")</f>
        <v>#VALUE!</v>
      </c>
      <c r="DT53" t="e">
        <f>AND('STERLING CATALOG - DRY '!E1052,"AAAAAHv/7Xs=")</f>
        <v>#VALUE!</v>
      </c>
      <c r="DU53" t="e">
        <f>AND('STERLING CATALOG - DRY '!F1052,"AAAAAHv/7Xw=")</f>
        <v>#VALUE!</v>
      </c>
      <c r="DV53" t="e">
        <f>AND('STERLING CATALOG - DRY '!G1052,"AAAAAHv/7X0=")</f>
        <v>#VALUE!</v>
      </c>
      <c r="DW53" t="e">
        <f>AND('STERLING CATALOG - DRY '!H1052,"AAAAAHv/7X4=")</f>
        <v>#VALUE!</v>
      </c>
      <c r="DX53" t="e">
        <f>AND('STERLING CATALOG - DRY '!I1052,"AAAAAHv/7X8=")</f>
        <v>#VALUE!</v>
      </c>
      <c r="DY53" t="e">
        <f>AND('STERLING CATALOG - DRY '!J1052,"AAAAAHv/7YA=")</f>
        <v>#VALUE!</v>
      </c>
      <c r="DZ53">
        <f>IF('STERLING CATALOG - DRY '!1053:1053,"AAAAAHv/7YE=",0)</f>
        <v>0</v>
      </c>
      <c r="EA53" t="e">
        <f>AND('STERLING CATALOG - DRY '!A1053,"AAAAAHv/7YI=")</f>
        <v>#VALUE!</v>
      </c>
      <c r="EB53" t="e">
        <f>AND('STERLING CATALOG - DRY '!B1053,"AAAAAHv/7YM=")</f>
        <v>#VALUE!</v>
      </c>
      <c r="EC53" t="e">
        <f>AND('STERLING CATALOG - DRY '!C1053,"AAAAAHv/7YQ=")</f>
        <v>#VALUE!</v>
      </c>
      <c r="ED53" t="e">
        <f>AND('STERLING CATALOG - DRY '!D1053,"AAAAAHv/7YU=")</f>
        <v>#VALUE!</v>
      </c>
      <c r="EE53" t="e">
        <f>AND('STERLING CATALOG - DRY '!E1053,"AAAAAHv/7YY=")</f>
        <v>#VALUE!</v>
      </c>
      <c r="EF53" t="e">
        <f>AND('STERLING CATALOG - DRY '!F1053,"AAAAAHv/7Yc=")</f>
        <v>#VALUE!</v>
      </c>
      <c r="EG53" t="e">
        <f>AND('STERLING CATALOG - DRY '!G1053,"AAAAAHv/7Yg=")</f>
        <v>#VALUE!</v>
      </c>
      <c r="EH53" t="e">
        <f>AND('STERLING CATALOG - DRY '!H1053,"AAAAAHv/7Yk=")</f>
        <v>#VALUE!</v>
      </c>
      <c r="EI53" t="e">
        <f>AND('STERLING CATALOG - DRY '!I1053,"AAAAAHv/7Yo=")</f>
        <v>#VALUE!</v>
      </c>
      <c r="EJ53" t="e">
        <f>AND('STERLING CATALOG - DRY '!J1053,"AAAAAHv/7Ys=")</f>
        <v>#VALUE!</v>
      </c>
      <c r="EK53">
        <f>IF('STERLING CATALOG - DRY '!1054:1054,"AAAAAHv/7Yw=",0)</f>
        <v>0</v>
      </c>
      <c r="EL53" t="e">
        <f>AND('STERLING CATALOG - DRY '!A1054,"AAAAAHv/7Y0=")</f>
        <v>#VALUE!</v>
      </c>
      <c r="EM53" t="e">
        <f>AND('STERLING CATALOG - DRY '!B1054,"AAAAAHv/7Y4=")</f>
        <v>#VALUE!</v>
      </c>
      <c r="EN53" t="e">
        <f>AND('STERLING CATALOG - DRY '!C1054,"AAAAAHv/7Y8=")</f>
        <v>#VALUE!</v>
      </c>
      <c r="EO53" t="e">
        <f>AND('STERLING CATALOG - DRY '!D1054,"AAAAAHv/7ZA=")</f>
        <v>#VALUE!</v>
      </c>
      <c r="EP53" t="e">
        <f>AND('STERLING CATALOG - DRY '!E1054,"AAAAAHv/7ZE=")</f>
        <v>#VALUE!</v>
      </c>
      <c r="EQ53" t="e">
        <f>AND('STERLING CATALOG - DRY '!F1054,"AAAAAHv/7ZI=")</f>
        <v>#VALUE!</v>
      </c>
      <c r="ER53" t="e">
        <f>AND('STERLING CATALOG - DRY '!G1054,"AAAAAHv/7ZM=")</f>
        <v>#VALUE!</v>
      </c>
      <c r="ES53" t="e">
        <f>AND('STERLING CATALOG - DRY '!H1054,"AAAAAHv/7ZQ=")</f>
        <v>#VALUE!</v>
      </c>
      <c r="ET53" t="e">
        <f>AND('STERLING CATALOG - DRY '!I1054,"AAAAAHv/7ZU=")</f>
        <v>#VALUE!</v>
      </c>
      <c r="EU53" t="e">
        <f>AND('STERLING CATALOG - DRY '!J1054,"AAAAAHv/7ZY=")</f>
        <v>#VALUE!</v>
      </c>
      <c r="EV53">
        <f>IF('STERLING CATALOG - DRY '!1055:1055,"AAAAAHv/7Zc=",0)</f>
        <v>0</v>
      </c>
      <c r="EW53" t="e">
        <f>AND('STERLING CATALOG - DRY '!A1055,"AAAAAHv/7Zg=")</f>
        <v>#VALUE!</v>
      </c>
      <c r="EX53" t="e">
        <f>AND('STERLING CATALOG - DRY '!B1055,"AAAAAHv/7Zk=")</f>
        <v>#VALUE!</v>
      </c>
      <c r="EY53" t="e">
        <f>AND('STERLING CATALOG - DRY '!C1055,"AAAAAHv/7Zo=")</f>
        <v>#VALUE!</v>
      </c>
      <c r="EZ53" t="e">
        <f>AND('STERLING CATALOG - DRY '!D1055,"AAAAAHv/7Zs=")</f>
        <v>#VALUE!</v>
      </c>
      <c r="FA53" t="e">
        <f>AND('STERLING CATALOG - DRY '!E1055,"AAAAAHv/7Zw=")</f>
        <v>#VALUE!</v>
      </c>
      <c r="FB53" t="e">
        <f>AND('STERLING CATALOG - DRY '!F1055,"AAAAAHv/7Z0=")</f>
        <v>#VALUE!</v>
      </c>
      <c r="FC53" t="e">
        <f>AND('STERLING CATALOG - DRY '!G1055,"AAAAAHv/7Z4=")</f>
        <v>#VALUE!</v>
      </c>
      <c r="FD53" t="e">
        <f>AND('STERLING CATALOG - DRY '!H1055,"AAAAAHv/7Z8=")</f>
        <v>#VALUE!</v>
      </c>
      <c r="FE53" t="e">
        <f>AND('STERLING CATALOG - DRY '!I1055,"AAAAAHv/7aA=")</f>
        <v>#VALUE!</v>
      </c>
      <c r="FF53" t="e">
        <f>AND('STERLING CATALOG - DRY '!J1055,"AAAAAHv/7aE=")</f>
        <v>#VALUE!</v>
      </c>
      <c r="FG53">
        <f>IF('STERLING CATALOG - DRY '!1056:1056,"AAAAAHv/7aI=",0)</f>
        <v>0</v>
      </c>
      <c r="FH53" t="e">
        <f>AND('STERLING CATALOG - DRY '!A1056,"AAAAAHv/7aM=")</f>
        <v>#VALUE!</v>
      </c>
      <c r="FI53" t="e">
        <f>AND('STERLING CATALOG - DRY '!B1056,"AAAAAHv/7aQ=")</f>
        <v>#VALUE!</v>
      </c>
      <c r="FJ53" t="e">
        <f>AND('STERLING CATALOG - DRY '!C1056,"AAAAAHv/7aU=")</f>
        <v>#VALUE!</v>
      </c>
      <c r="FK53" t="e">
        <f>AND('STERLING CATALOG - DRY '!D1056,"AAAAAHv/7aY=")</f>
        <v>#VALUE!</v>
      </c>
      <c r="FL53" t="e">
        <f>AND('STERLING CATALOG - DRY '!E1056,"AAAAAHv/7ac=")</f>
        <v>#VALUE!</v>
      </c>
      <c r="FM53" t="e">
        <f>AND('STERLING CATALOG - DRY '!F1056,"AAAAAHv/7ag=")</f>
        <v>#VALUE!</v>
      </c>
      <c r="FN53" t="e">
        <f>AND('STERLING CATALOG - DRY '!G1056,"AAAAAHv/7ak=")</f>
        <v>#VALUE!</v>
      </c>
      <c r="FO53" t="e">
        <f>AND('STERLING CATALOG - DRY '!H1056,"AAAAAHv/7ao=")</f>
        <v>#VALUE!</v>
      </c>
      <c r="FP53" t="e">
        <f>AND('STERLING CATALOG - DRY '!I1056,"AAAAAHv/7as=")</f>
        <v>#VALUE!</v>
      </c>
      <c r="FQ53" t="e">
        <f>AND('STERLING CATALOG - DRY '!J1056,"AAAAAHv/7aw=")</f>
        <v>#VALUE!</v>
      </c>
      <c r="FR53">
        <f>IF('STERLING CATALOG - DRY '!1057:1057,"AAAAAHv/7a0=",0)</f>
        <v>0</v>
      </c>
      <c r="FS53" t="e">
        <f>AND('STERLING CATALOG - DRY '!A1057,"AAAAAHv/7a4=")</f>
        <v>#VALUE!</v>
      </c>
      <c r="FT53" t="e">
        <f>AND('STERLING CATALOG - DRY '!B1057,"AAAAAHv/7a8=")</f>
        <v>#VALUE!</v>
      </c>
      <c r="FU53" t="e">
        <f>AND('STERLING CATALOG - DRY '!C1057,"AAAAAHv/7bA=")</f>
        <v>#VALUE!</v>
      </c>
      <c r="FV53" t="e">
        <f>AND('STERLING CATALOG - DRY '!D1057,"AAAAAHv/7bE=")</f>
        <v>#VALUE!</v>
      </c>
      <c r="FW53" t="e">
        <f>AND('STERLING CATALOG - DRY '!E1057,"AAAAAHv/7bI=")</f>
        <v>#VALUE!</v>
      </c>
      <c r="FX53" t="e">
        <f>AND('STERLING CATALOG - DRY '!F1057,"AAAAAHv/7bM=")</f>
        <v>#VALUE!</v>
      </c>
      <c r="FY53" t="e">
        <f>AND('STERLING CATALOG - DRY '!G1057,"AAAAAHv/7bQ=")</f>
        <v>#VALUE!</v>
      </c>
      <c r="FZ53" t="e">
        <f>AND('STERLING CATALOG - DRY '!H1057,"AAAAAHv/7bU=")</f>
        <v>#VALUE!</v>
      </c>
      <c r="GA53" t="e">
        <f>AND('STERLING CATALOG - DRY '!I1057,"AAAAAHv/7bY=")</f>
        <v>#VALUE!</v>
      </c>
      <c r="GB53" t="e">
        <f>AND('STERLING CATALOG - DRY '!J1057,"AAAAAHv/7bc=")</f>
        <v>#VALUE!</v>
      </c>
      <c r="GC53">
        <f>IF('STERLING CATALOG - DRY '!1058:1058,"AAAAAHv/7bg=",0)</f>
        <v>0</v>
      </c>
      <c r="GD53" t="e">
        <f>AND('STERLING CATALOG - DRY '!A1058,"AAAAAHv/7bk=")</f>
        <v>#VALUE!</v>
      </c>
      <c r="GE53" t="e">
        <f>AND('STERLING CATALOG - DRY '!B1058,"AAAAAHv/7bo=")</f>
        <v>#VALUE!</v>
      </c>
      <c r="GF53" t="e">
        <f>AND('STERLING CATALOG - DRY '!C1058,"AAAAAHv/7bs=")</f>
        <v>#VALUE!</v>
      </c>
      <c r="GG53" t="e">
        <f>AND('STERLING CATALOG - DRY '!D1058,"AAAAAHv/7bw=")</f>
        <v>#VALUE!</v>
      </c>
      <c r="GH53" t="e">
        <f>AND('STERLING CATALOG - DRY '!E1058,"AAAAAHv/7b0=")</f>
        <v>#VALUE!</v>
      </c>
      <c r="GI53" t="e">
        <f>AND('STERLING CATALOG - DRY '!F1058,"AAAAAHv/7b4=")</f>
        <v>#VALUE!</v>
      </c>
      <c r="GJ53" t="e">
        <f>AND('STERLING CATALOG - DRY '!G1058,"AAAAAHv/7b8=")</f>
        <v>#VALUE!</v>
      </c>
      <c r="GK53" t="e">
        <f>AND('STERLING CATALOG - DRY '!H1058,"AAAAAHv/7cA=")</f>
        <v>#VALUE!</v>
      </c>
      <c r="GL53" t="e">
        <f>AND('STERLING CATALOG - DRY '!I1058,"AAAAAHv/7cE=")</f>
        <v>#VALUE!</v>
      </c>
      <c r="GM53" t="e">
        <f>AND('STERLING CATALOG - DRY '!J1058,"AAAAAHv/7cI=")</f>
        <v>#VALUE!</v>
      </c>
      <c r="GN53">
        <f>IF('STERLING CATALOG - DRY '!1059:1059,"AAAAAHv/7cM=",0)</f>
        <v>0</v>
      </c>
      <c r="GO53" t="e">
        <f>AND('STERLING CATALOG - DRY '!A1059,"AAAAAHv/7cQ=")</f>
        <v>#VALUE!</v>
      </c>
      <c r="GP53" t="e">
        <f>AND('STERLING CATALOG - DRY '!B1059,"AAAAAHv/7cU=")</f>
        <v>#VALUE!</v>
      </c>
      <c r="GQ53" t="e">
        <f>AND('STERLING CATALOG - DRY '!C1059,"AAAAAHv/7cY=")</f>
        <v>#VALUE!</v>
      </c>
      <c r="GR53" t="e">
        <f>AND('STERLING CATALOG - DRY '!D1059,"AAAAAHv/7cc=")</f>
        <v>#VALUE!</v>
      </c>
      <c r="GS53" t="e">
        <f>AND('STERLING CATALOG - DRY '!E1059,"AAAAAHv/7cg=")</f>
        <v>#VALUE!</v>
      </c>
      <c r="GT53" t="e">
        <f>AND('STERLING CATALOG - DRY '!F1059,"AAAAAHv/7ck=")</f>
        <v>#VALUE!</v>
      </c>
      <c r="GU53" t="e">
        <f>AND('STERLING CATALOG - DRY '!G1059,"AAAAAHv/7co=")</f>
        <v>#VALUE!</v>
      </c>
      <c r="GV53" t="e">
        <f>AND('STERLING CATALOG - DRY '!H1059,"AAAAAHv/7cs=")</f>
        <v>#VALUE!</v>
      </c>
      <c r="GW53" t="e">
        <f>AND('STERLING CATALOG - DRY '!I1059,"AAAAAHv/7cw=")</f>
        <v>#VALUE!</v>
      </c>
      <c r="GX53" t="e">
        <f>AND('STERLING CATALOG - DRY '!J1059,"AAAAAHv/7c0=")</f>
        <v>#VALUE!</v>
      </c>
      <c r="GY53">
        <f>IF('STERLING CATALOG - DRY '!1060:1060,"AAAAAHv/7c4=",0)</f>
        <v>0</v>
      </c>
      <c r="GZ53" t="e">
        <f>AND('STERLING CATALOG - DRY '!A1060,"AAAAAHv/7c8=")</f>
        <v>#VALUE!</v>
      </c>
      <c r="HA53" t="e">
        <f>AND('STERLING CATALOG - DRY '!B1060,"AAAAAHv/7dA=")</f>
        <v>#VALUE!</v>
      </c>
      <c r="HB53" t="e">
        <f>AND('STERLING CATALOG - DRY '!C1060,"AAAAAHv/7dE=")</f>
        <v>#VALUE!</v>
      </c>
      <c r="HC53" t="e">
        <f>AND('STERLING CATALOG - DRY '!D1060,"AAAAAHv/7dI=")</f>
        <v>#VALUE!</v>
      </c>
      <c r="HD53" t="e">
        <f>AND('STERLING CATALOG - DRY '!E1060,"AAAAAHv/7dM=")</f>
        <v>#VALUE!</v>
      </c>
      <c r="HE53" t="e">
        <f>AND('STERLING CATALOG - DRY '!F1060,"AAAAAHv/7dQ=")</f>
        <v>#VALUE!</v>
      </c>
      <c r="HF53" t="e">
        <f>AND('STERLING CATALOG - DRY '!G1060,"AAAAAHv/7dU=")</f>
        <v>#VALUE!</v>
      </c>
      <c r="HG53" t="e">
        <f>AND('STERLING CATALOG - DRY '!H1060,"AAAAAHv/7dY=")</f>
        <v>#VALUE!</v>
      </c>
      <c r="HH53" t="e">
        <f>AND('STERLING CATALOG - DRY '!I1060,"AAAAAHv/7dc=")</f>
        <v>#VALUE!</v>
      </c>
      <c r="HI53" t="e">
        <f>AND('STERLING CATALOG - DRY '!J1060,"AAAAAHv/7dg=")</f>
        <v>#VALUE!</v>
      </c>
      <c r="HJ53">
        <f>IF('STERLING CATALOG - DRY '!1061:1061,"AAAAAHv/7dk=",0)</f>
        <v>0</v>
      </c>
      <c r="HK53" t="e">
        <f>AND('STERLING CATALOG - DRY '!A1061,"AAAAAHv/7do=")</f>
        <v>#VALUE!</v>
      </c>
      <c r="HL53" t="e">
        <f>AND('STERLING CATALOG - DRY '!B1061,"AAAAAHv/7ds=")</f>
        <v>#VALUE!</v>
      </c>
      <c r="HM53" t="e">
        <f>AND('STERLING CATALOG - DRY '!C1061,"AAAAAHv/7dw=")</f>
        <v>#VALUE!</v>
      </c>
      <c r="HN53" t="e">
        <f>AND('STERLING CATALOG - DRY '!D1061,"AAAAAHv/7d0=")</f>
        <v>#VALUE!</v>
      </c>
      <c r="HO53" t="e">
        <f>AND('STERLING CATALOG - DRY '!E1061,"AAAAAHv/7d4=")</f>
        <v>#VALUE!</v>
      </c>
      <c r="HP53" t="e">
        <f>AND('STERLING CATALOG - DRY '!F1061,"AAAAAHv/7d8=")</f>
        <v>#VALUE!</v>
      </c>
      <c r="HQ53" t="e">
        <f>AND('STERLING CATALOG - DRY '!G1061,"AAAAAHv/7eA=")</f>
        <v>#VALUE!</v>
      </c>
      <c r="HR53" t="e">
        <f>AND('STERLING CATALOG - DRY '!H1061,"AAAAAHv/7eE=")</f>
        <v>#VALUE!</v>
      </c>
      <c r="HS53" t="e">
        <f>AND('STERLING CATALOG - DRY '!I1061,"AAAAAHv/7eI=")</f>
        <v>#VALUE!</v>
      </c>
      <c r="HT53" t="e">
        <f>AND('STERLING CATALOG - DRY '!J1061,"AAAAAHv/7eM=")</f>
        <v>#VALUE!</v>
      </c>
      <c r="HU53">
        <f>IF('STERLING CATALOG - DRY '!1062:1062,"AAAAAHv/7eQ=",0)</f>
        <v>0</v>
      </c>
      <c r="HV53" t="e">
        <f>AND('STERLING CATALOG - DRY '!A1062,"AAAAAHv/7eU=")</f>
        <v>#VALUE!</v>
      </c>
      <c r="HW53" t="e">
        <f>AND('STERLING CATALOG - DRY '!B1062,"AAAAAHv/7eY=")</f>
        <v>#VALUE!</v>
      </c>
      <c r="HX53" t="e">
        <f>AND('STERLING CATALOG - DRY '!C1062,"AAAAAHv/7ec=")</f>
        <v>#VALUE!</v>
      </c>
      <c r="HY53" t="e">
        <f>AND('STERLING CATALOG - DRY '!D1062,"AAAAAHv/7eg=")</f>
        <v>#VALUE!</v>
      </c>
      <c r="HZ53" t="e">
        <f>AND('STERLING CATALOG - DRY '!E1062,"AAAAAHv/7ek=")</f>
        <v>#VALUE!</v>
      </c>
      <c r="IA53" t="e">
        <f>AND('STERLING CATALOG - DRY '!F1062,"AAAAAHv/7eo=")</f>
        <v>#VALUE!</v>
      </c>
      <c r="IB53" t="e">
        <f>AND('STERLING CATALOG - DRY '!G1062,"AAAAAHv/7es=")</f>
        <v>#VALUE!</v>
      </c>
      <c r="IC53" t="e">
        <f>AND('STERLING CATALOG - DRY '!H1062,"AAAAAHv/7ew=")</f>
        <v>#VALUE!</v>
      </c>
      <c r="ID53" t="e">
        <f>AND('STERLING CATALOG - DRY '!I1062,"AAAAAHv/7e0=")</f>
        <v>#VALUE!</v>
      </c>
      <c r="IE53" t="e">
        <f>AND('STERLING CATALOG - DRY '!J1062,"AAAAAHv/7e4=")</f>
        <v>#VALUE!</v>
      </c>
      <c r="IF53">
        <f>IF('STERLING CATALOG - DRY '!1063:1063,"AAAAAHv/7e8=",0)</f>
        <v>0</v>
      </c>
      <c r="IG53" t="e">
        <f>AND('STERLING CATALOG - DRY '!A1063,"AAAAAHv/7fA=")</f>
        <v>#VALUE!</v>
      </c>
      <c r="IH53" t="e">
        <f>AND('STERLING CATALOG - DRY '!B1063,"AAAAAHv/7fE=")</f>
        <v>#VALUE!</v>
      </c>
      <c r="II53" t="e">
        <f>AND('STERLING CATALOG - DRY '!C1063,"AAAAAHv/7fI=")</f>
        <v>#VALUE!</v>
      </c>
      <c r="IJ53" t="e">
        <f>AND('STERLING CATALOG - DRY '!D1063,"AAAAAHv/7fM=")</f>
        <v>#VALUE!</v>
      </c>
      <c r="IK53" t="e">
        <f>AND('STERLING CATALOG - DRY '!E1063,"AAAAAHv/7fQ=")</f>
        <v>#VALUE!</v>
      </c>
      <c r="IL53" t="e">
        <f>AND('STERLING CATALOG - DRY '!F1063,"AAAAAHv/7fU=")</f>
        <v>#VALUE!</v>
      </c>
      <c r="IM53" t="e">
        <f>AND('STERLING CATALOG - DRY '!G1063,"AAAAAHv/7fY=")</f>
        <v>#VALUE!</v>
      </c>
      <c r="IN53" t="e">
        <f>AND('STERLING CATALOG - DRY '!H1063,"AAAAAHv/7fc=")</f>
        <v>#VALUE!</v>
      </c>
      <c r="IO53" t="e">
        <f>AND('STERLING CATALOG - DRY '!I1063,"AAAAAHv/7fg=")</f>
        <v>#VALUE!</v>
      </c>
      <c r="IP53" t="e">
        <f>AND('STERLING CATALOG - DRY '!J1063,"AAAAAHv/7fk=")</f>
        <v>#VALUE!</v>
      </c>
      <c r="IQ53">
        <f>IF('STERLING CATALOG - DRY '!1064:1064,"AAAAAHv/7fo=",0)</f>
        <v>0</v>
      </c>
      <c r="IR53" t="e">
        <f>AND('STERLING CATALOG - DRY '!A1064,"AAAAAHv/7fs=")</f>
        <v>#VALUE!</v>
      </c>
      <c r="IS53" t="e">
        <f>AND('STERLING CATALOG - DRY '!B1064,"AAAAAHv/7fw=")</f>
        <v>#VALUE!</v>
      </c>
      <c r="IT53" t="e">
        <f>AND('STERLING CATALOG - DRY '!C1064,"AAAAAHv/7f0=")</f>
        <v>#VALUE!</v>
      </c>
      <c r="IU53" t="e">
        <f>AND('STERLING CATALOG - DRY '!D1064,"AAAAAHv/7f4=")</f>
        <v>#VALUE!</v>
      </c>
      <c r="IV53" t="e">
        <f>AND('STERLING CATALOG - DRY '!E1064,"AAAAAHv/7f8=")</f>
        <v>#VALUE!</v>
      </c>
    </row>
    <row r="54" spans="1:256">
      <c r="A54" t="e">
        <f>AND('STERLING CATALOG - DRY '!F1064,"AAAAAGj/zwA=")</f>
        <v>#VALUE!</v>
      </c>
      <c r="B54" t="e">
        <f>AND('STERLING CATALOG - DRY '!G1064,"AAAAAGj/zwE=")</f>
        <v>#VALUE!</v>
      </c>
      <c r="C54" t="e">
        <f>AND('STERLING CATALOG - DRY '!H1064,"AAAAAGj/zwI=")</f>
        <v>#VALUE!</v>
      </c>
      <c r="D54" t="e">
        <f>AND('STERLING CATALOG - DRY '!I1064,"AAAAAGj/zwM=")</f>
        <v>#VALUE!</v>
      </c>
      <c r="E54" t="e">
        <f>AND('STERLING CATALOG - DRY '!J1064,"AAAAAGj/zwQ=")</f>
        <v>#VALUE!</v>
      </c>
      <c r="F54" t="str">
        <f>IF('STERLING CATALOG - DRY '!1065:1065,"AAAAAGj/zwU=",0)</f>
        <v>AAAAAGj/zwU=</v>
      </c>
      <c r="G54" t="e">
        <f>AND('STERLING CATALOG - DRY '!A1065,"AAAAAGj/zwY=")</f>
        <v>#VALUE!</v>
      </c>
      <c r="H54" t="e">
        <f>AND('STERLING CATALOG - DRY '!B1065,"AAAAAGj/zwc=")</f>
        <v>#VALUE!</v>
      </c>
      <c r="I54" t="e">
        <f>AND('STERLING CATALOG - DRY '!C1065,"AAAAAGj/zwg=")</f>
        <v>#VALUE!</v>
      </c>
      <c r="J54" t="e">
        <f>AND('STERLING CATALOG - DRY '!D1065,"AAAAAGj/zwk=")</f>
        <v>#VALUE!</v>
      </c>
      <c r="K54" t="e">
        <f>AND('STERLING CATALOG - DRY '!E1065,"AAAAAGj/zwo=")</f>
        <v>#VALUE!</v>
      </c>
      <c r="L54" t="e">
        <f>AND('STERLING CATALOG - DRY '!F1065,"AAAAAGj/zws=")</f>
        <v>#VALUE!</v>
      </c>
      <c r="M54" t="e">
        <f>AND('STERLING CATALOG - DRY '!G1065,"AAAAAGj/zww=")</f>
        <v>#VALUE!</v>
      </c>
      <c r="N54" t="e">
        <f>AND('STERLING CATALOG - DRY '!H1065,"AAAAAGj/zw0=")</f>
        <v>#VALUE!</v>
      </c>
      <c r="O54" t="e">
        <f>AND('STERLING CATALOG - DRY '!I1065,"AAAAAGj/zw4=")</f>
        <v>#VALUE!</v>
      </c>
      <c r="P54" t="e">
        <f>AND('STERLING CATALOG - DRY '!J1065,"AAAAAGj/zw8=")</f>
        <v>#VALUE!</v>
      </c>
      <c r="Q54">
        <f>IF('STERLING CATALOG - DRY '!1066:1066,"AAAAAGj/zxA=",0)</f>
        <v>0</v>
      </c>
      <c r="R54" t="e">
        <f>AND('STERLING CATALOG - DRY '!A1066,"AAAAAGj/zxE=")</f>
        <v>#VALUE!</v>
      </c>
      <c r="S54" t="e">
        <f>AND('STERLING CATALOG - DRY '!B1066,"AAAAAGj/zxI=")</f>
        <v>#VALUE!</v>
      </c>
      <c r="T54" t="e">
        <f>AND('STERLING CATALOG - DRY '!C1066,"AAAAAGj/zxM=")</f>
        <v>#VALUE!</v>
      </c>
      <c r="U54" t="e">
        <f>AND('STERLING CATALOG - DRY '!D1066,"AAAAAGj/zxQ=")</f>
        <v>#VALUE!</v>
      </c>
      <c r="V54" t="e">
        <f>AND('STERLING CATALOG - DRY '!E1066,"AAAAAGj/zxU=")</f>
        <v>#VALUE!</v>
      </c>
      <c r="W54" t="e">
        <f>AND('STERLING CATALOG - DRY '!F1066,"AAAAAGj/zxY=")</f>
        <v>#VALUE!</v>
      </c>
      <c r="X54" t="e">
        <f>AND('STERLING CATALOG - DRY '!G1066,"AAAAAGj/zxc=")</f>
        <v>#VALUE!</v>
      </c>
      <c r="Y54" t="e">
        <f>AND('STERLING CATALOG - DRY '!H1066,"AAAAAGj/zxg=")</f>
        <v>#VALUE!</v>
      </c>
      <c r="Z54" t="e">
        <f>AND('STERLING CATALOG - DRY '!I1066,"AAAAAGj/zxk=")</f>
        <v>#VALUE!</v>
      </c>
      <c r="AA54" t="e">
        <f>AND('STERLING CATALOG - DRY '!J1066,"AAAAAGj/zxo=")</f>
        <v>#VALUE!</v>
      </c>
      <c r="AB54">
        <f>IF('STERLING CATALOG - DRY '!1067:1067,"AAAAAGj/zxs=",0)</f>
        <v>0</v>
      </c>
      <c r="AC54" t="e">
        <f>AND('STERLING CATALOG - DRY '!A1067,"AAAAAGj/zxw=")</f>
        <v>#VALUE!</v>
      </c>
      <c r="AD54" t="e">
        <f>AND('STERLING CATALOG - DRY '!B1067,"AAAAAGj/zx0=")</f>
        <v>#VALUE!</v>
      </c>
      <c r="AE54" t="e">
        <f>AND('STERLING CATALOG - DRY '!C1067,"AAAAAGj/zx4=")</f>
        <v>#VALUE!</v>
      </c>
      <c r="AF54" t="e">
        <f>AND('STERLING CATALOG - DRY '!D1067,"AAAAAGj/zx8=")</f>
        <v>#VALUE!</v>
      </c>
      <c r="AG54" t="e">
        <f>AND('STERLING CATALOG - DRY '!E1067,"AAAAAGj/zyA=")</f>
        <v>#VALUE!</v>
      </c>
      <c r="AH54" t="e">
        <f>AND('STERLING CATALOG - DRY '!F1067,"AAAAAGj/zyE=")</f>
        <v>#VALUE!</v>
      </c>
      <c r="AI54" t="e">
        <f>AND('STERLING CATALOG - DRY '!G1067,"AAAAAGj/zyI=")</f>
        <v>#VALUE!</v>
      </c>
      <c r="AJ54" t="e">
        <f>AND('STERLING CATALOG - DRY '!H1067,"AAAAAGj/zyM=")</f>
        <v>#VALUE!</v>
      </c>
      <c r="AK54" t="e">
        <f>AND('STERLING CATALOG - DRY '!I1067,"AAAAAGj/zyQ=")</f>
        <v>#VALUE!</v>
      </c>
      <c r="AL54" t="e">
        <f>AND('STERLING CATALOG - DRY '!J1067,"AAAAAGj/zyU=")</f>
        <v>#VALUE!</v>
      </c>
      <c r="AM54">
        <f>IF('STERLING CATALOG - DRY '!1068:1068,"AAAAAGj/zyY=",0)</f>
        <v>0</v>
      </c>
      <c r="AN54" t="e">
        <f>AND('STERLING CATALOG - DRY '!A1068,"AAAAAGj/zyc=")</f>
        <v>#VALUE!</v>
      </c>
      <c r="AO54" t="e">
        <f>AND('STERLING CATALOG - DRY '!B1068,"AAAAAGj/zyg=")</f>
        <v>#VALUE!</v>
      </c>
      <c r="AP54" t="e">
        <f>AND('STERLING CATALOG - DRY '!C1068,"AAAAAGj/zyk=")</f>
        <v>#VALUE!</v>
      </c>
      <c r="AQ54" t="e">
        <f>AND('STERLING CATALOG - DRY '!D1068,"AAAAAGj/zyo=")</f>
        <v>#VALUE!</v>
      </c>
      <c r="AR54" t="e">
        <f>AND('STERLING CATALOG - DRY '!E1068,"AAAAAGj/zys=")</f>
        <v>#VALUE!</v>
      </c>
      <c r="AS54" t="e">
        <f>AND('STERLING CATALOG - DRY '!F1068,"AAAAAGj/zyw=")</f>
        <v>#VALUE!</v>
      </c>
      <c r="AT54" t="e">
        <f>AND('STERLING CATALOG - DRY '!G1068,"AAAAAGj/zy0=")</f>
        <v>#VALUE!</v>
      </c>
      <c r="AU54" t="e">
        <f>AND('STERLING CATALOG - DRY '!H1068,"AAAAAGj/zy4=")</f>
        <v>#VALUE!</v>
      </c>
      <c r="AV54" t="e">
        <f>AND('STERLING CATALOG - DRY '!I1068,"AAAAAGj/zy8=")</f>
        <v>#VALUE!</v>
      </c>
      <c r="AW54" t="e">
        <f>AND('STERLING CATALOG - DRY '!J1068,"AAAAAGj/zzA=")</f>
        <v>#VALUE!</v>
      </c>
      <c r="AX54">
        <f>IF('STERLING CATALOG - DRY '!1069:1069,"AAAAAGj/zzE=",0)</f>
        <v>0</v>
      </c>
      <c r="AY54" t="e">
        <f>AND('STERLING CATALOG - DRY '!A1069,"AAAAAGj/zzI=")</f>
        <v>#VALUE!</v>
      </c>
      <c r="AZ54" t="e">
        <f>AND('STERLING CATALOG - DRY '!B1069,"AAAAAGj/zzM=")</f>
        <v>#VALUE!</v>
      </c>
      <c r="BA54" t="e">
        <f>AND('STERLING CATALOG - DRY '!C1069,"AAAAAGj/zzQ=")</f>
        <v>#VALUE!</v>
      </c>
      <c r="BB54" t="e">
        <f>AND('STERLING CATALOG - DRY '!D1069,"AAAAAGj/zzU=")</f>
        <v>#VALUE!</v>
      </c>
      <c r="BC54" t="e">
        <f>AND('STERLING CATALOG - DRY '!E1069,"AAAAAGj/zzY=")</f>
        <v>#VALUE!</v>
      </c>
      <c r="BD54" t="e">
        <f>AND('STERLING CATALOG - DRY '!F1069,"AAAAAGj/zzc=")</f>
        <v>#VALUE!</v>
      </c>
      <c r="BE54" t="e">
        <f>AND('STERLING CATALOG - DRY '!G1069,"AAAAAGj/zzg=")</f>
        <v>#VALUE!</v>
      </c>
      <c r="BF54" t="e">
        <f>AND('STERLING CATALOG - DRY '!H1069,"AAAAAGj/zzk=")</f>
        <v>#VALUE!</v>
      </c>
      <c r="BG54" t="e">
        <f>AND('STERLING CATALOG - DRY '!I1069,"AAAAAGj/zzo=")</f>
        <v>#VALUE!</v>
      </c>
      <c r="BH54" t="e">
        <f>AND('STERLING CATALOG - DRY '!J1069,"AAAAAGj/zzs=")</f>
        <v>#VALUE!</v>
      </c>
      <c r="BI54">
        <f>IF('STERLING CATALOG - DRY '!1070:1070,"AAAAAGj/zzw=",0)</f>
        <v>0</v>
      </c>
      <c r="BJ54" t="e">
        <f>AND('STERLING CATALOG - DRY '!A1070,"AAAAAGj/zz0=")</f>
        <v>#VALUE!</v>
      </c>
      <c r="BK54" t="e">
        <f>AND('STERLING CATALOG - DRY '!B1070,"AAAAAGj/zz4=")</f>
        <v>#VALUE!</v>
      </c>
      <c r="BL54" t="e">
        <f>AND('STERLING CATALOG - DRY '!C1070,"AAAAAGj/zz8=")</f>
        <v>#VALUE!</v>
      </c>
      <c r="BM54" t="e">
        <f>AND('STERLING CATALOG - DRY '!D1070,"AAAAAGj/z0A=")</f>
        <v>#VALUE!</v>
      </c>
      <c r="BN54" t="e">
        <f>AND('STERLING CATALOG - DRY '!E1070,"AAAAAGj/z0E=")</f>
        <v>#VALUE!</v>
      </c>
      <c r="BO54" t="e">
        <f>AND('STERLING CATALOG - DRY '!F1070,"AAAAAGj/z0I=")</f>
        <v>#VALUE!</v>
      </c>
      <c r="BP54" t="e">
        <f>AND('STERLING CATALOG - DRY '!G1070,"AAAAAGj/z0M=")</f>
        <v>#VALUE!</v>
      </c>
      <c r="BQ54" t="e">
        <f>AND('STERLING CATALOG - DRY '!H1070,"AAAAAGj/z0Q=")</f>
        <v>#VALUE!</v>
      </c>
      <c r="BR54" t="e">
        <f>AND('STERLING CATALOG - DRY '!I1070,"AAAAAGj/z0U=")</f>
        <v>#VALUE!</v>
      </c>
      <c r="BS54" t="e">
        <f>AND('STERLING CATALOG - DRY '!J1070,"AAAAAGj/z0Y=")</f>
        <v>#VALUE!</v>
      </c>
      <c r="BT54">
        <f>IF('STERLING CATALOG - DRY '!1071:1071,"AAAAAGj/z0c=",0)</f>
        <v>0</v>
      </c>
      <c r="BU54" t="e">
        <f>AND('STERLING CATALOG - DRY '!A1071,"AAAAAGj/z0g=")</f>
        <v>#VALUE!</v>
      </c>
      <c r="BV54" t="e">
        <f>AND('STERLING CATALOG - DRY '!B1071,"AAAAAGj/z0k=")</f>
        <v>#VALUE!</v>
      </c>
      <c r="BW54" t="e">
        <f>AND('STERLING CATALOG - DRY '!C1071,"AAAAAGj/z0o=")</f>
        <v>#VALUE!</v>
      </c>
      <c r="BX54" t="e">
        <f>AND('STERLING CATALOG - DRY '!D1071,"AAAAAGj/z0s=")</f>
        <v>#VALUE!</v>
      </c>
      <c r="BY54" t="e">
        <f>AND('STERLING CATALOG - DRY '!E1071,"AAAAAGj/z0w=")</f>
        <v>#VALUE!</v>
      </c>
      <c r="BZ54" t="e">
        <f>AND('STERLING CATALOG - DRY '!F1071,"AAAAAGj/z00=")</f>
        <v>#VALUE!</v>
      </c>
      <c r="CA54" t="e">
        <f>AND('STERLING CATALOG - DRY '!G1071,"AAAAAGj/z04=")</f>
        <v>#VALUE!</v>
      </c>
      <c r="CB54" t="e">
        <f>AND('STERLING CATALOG - DRY '!H1071,"AAAAAGj/z08=")</f>
        <v>#VALUE!</v>
      </c>
      <c r="CC54" t="e">
        <f>AND('STERLING CATALOG - DRY '!I1071,"AAAAAGj/z1A=")</f>
        <v>#VALUE!</v>
      </c>
      <c r="CD54" t="e">
        <f>AND('STERLING CATALOG - DRY '!J1071,"AAAAAGj/z1E=")</f>
        <v>#VALUE!</v>
      </c>
      <c r="CE54">
        <f>IF('STERLING CATALOG - DRY '!1072:1072,"AAAAAGj/z1I=",0)</f>
        <v>0</v>
      </c>
      <c r="CF54" t="e">
        <f>AND('STERLING CATALOG - DRY '!A1072,"AAAAAGj/z1M=")</f>
        <v>#VALUE!</v>
      </c>
      <c r="CG54" t="e">
        <f>AND('STERLING CATALOG - DRY '!B1072,"AAAAAGj/z1Q=")</f>
        <v>#VALUE!</v>
      </c>
      <c r="CH54" t="e">
        <f>AND('STERLING CATALOG - DRY '!C1072,"AAAAAGj/z1U=")</f>
        <v>#VALUE!</v>
      </c>
      <c r="CI54" t="e">
        <f>AND('STERLING CATALOG - DRY '!D1072,"AAAAAGj/z1Y=")</f>
        <v>#VALUE!</v>
      </c>
      <c r="CJ54" t="e">
        <f>AND('STERLING CATALOG - DRY '!E1072,"AAAAAGj/z1c=")</f>
        <v>#VALUE!</v>
      </c>
      <c r="CK54" t="e">
        <f>AND('STERLING CATALOG - DRY '!F1072,"AAAAAGj/z1g=")</f>
        <v>#VALUE!</v>
      </c>
      <c r="CL54" t="e">
        <f>AND('STERLING CATALOG - DRY '!G1072,"AAAAAGj/z1k=")</f>
        <v>#VALUE!</v>
      </c>
      <c r="CM54" t="e">
        <f>AND('STERLING CATALOG - DRY '!H1072,"AAAAAGj/z1o=")</f>
        <v>#VALUE!</v>
      </c>
      <c r="CN54" t="e">
        <f>AND('STERLING CATALOG - DRY '!I1072,"AAAAAGj/z1s=")</f>
        <v>#VALUE!</v>
      </c>
      <c r="CO54" t="e">
        <f>AND('STERLING CATALOG - DRY '!J1072,"AAAAAGj/z1w=")</f>
        <v>#VALUE!</v>
      </c>
      <c r="CP54">
        <f>IF('STERLING CATALOG - DRY '!1073:1073,"AAAAAGj/z10=",0)</f>
        <v>0</v>
      </c>
      <c r="CQ54" t="e">
        <f>AND('STERLING CATALOG - DRY '!A1073,"AAAAAGj/z14=")</f>
        <v>#VALUE!</v>
      </c>
      <c r="CR54" t="e">
        <f>AND('STERLING CATALOG - DRY '!B1073,"AAAAAGj/z18=")</f>
        <v>#VALUE!</v>
      </c>
      <c r="CS54" t="e">
        <f>AND('STERLING CATALOG - DRY '!C1073,"AAAAAGj/z2A=")</f>
        <v>#VALUE!</v>
      </c>
      <c r="CT54" t="e">
        <f>AND('STERLING CATALOG - DRY '!D1073,"AAAAAGj/z2E=")</f>
        <v>#VALUE!</v>
      </c>
      <c r="CU54" t="e">
        <f>AND('STERLING CATALOG - DRY '!E1073,"AAAAAGj/z2I=")</f>
        <v>#VALUE!</v>
      </c>
      <c r="CV54" t="e">
        <f>AND('STERLING CATALOG - DRY '!F1073,"AAAAAGj/z2M=")</f>
        <v>#VALUE!</v>
      </c>
      <c r="CW54" t="e">
        <f>AND('STERLING CATALOG - DRY '!G1073,"AAAAAGj/z2Q=")</f>
        <v>#VALUE!</v>
      </c>
      <c r="CX54" t="e">
        <f>AND('STERLING CATALOG - DRY '!H1073,"AAAAAGj/z2U=")</f>
        <v>#VALUE!</v>
      </c>
      <c r="CY54" t="e">
        <f>AND('STERLING CATALOG - DRY '!I1073,"AAAAAGj/z2Y=")</f>
        <v>#VALUE!</v>
      </c>
      <c r="CZ54" t="e">
        <f>AND('STERLING CATALOG - DRY '!J1073,"AAAAAGj/z2c=")</f>
        <v>#VALUE!</v>
      </c>
      <c r="DA54">
        <f>IF('STERLING CATALOG - DRY '!1074:1074,"AAAAAGj/z2g=",0)</f>
        <v>0</v>
      </c>
      <c r="DB54" t="e">
        <f>AND('STERLING CATALOG - DRY '!A1074,"AAAAAGj/z2k=")</f>
        <v>#VALUE!</v>
      </c>
      <c r="DC54" t="e">
        <f>AND('STERLING CATALOG - DRY '!B1074,"AAAAAGj/z2o=")</f>
        <v>#VALUE!</v>
      </c>
      <c r="DD54" t="e">
        <f>AND('STERLING CATALOG - DRY '!C1074,"AAAAAGj/z2s=")</f>
        <v>#VALUE!</v>
      </c>
      <c r="DE54" t="e">
        <f>AND('STERLING CATALOG - DRY '!D1074,"AAAAAGj/z2w=")</f>
        <v>#VALUE!</v>
      </c>
      <c r="DF54" t="e">
        <f>AND('STERLING CATALOG - DRY '!E1074,"AAAAAGj/z20=")</f>
        <v>#VALUE!</v>
      </c>
      <c r="DG54" t="e">
        <f>AND('STERLING CATALOG - DRY '!F1074,"AAAAAGj/z24=")</f>
        <v>#VALUE!</v>
      </c>
      <c r="DH54" t="e">
        <f>AND('STERLING CATALOG - DRY '!G1074,"AAAAAGj/z28=")</f>
        <v>#VALUE!</v>
      </c>
      <c r="DI54" t="e">
        <f>AND('STERLING CATALOG - DRY '!H1074,"AAAAAGj/z3A=")</f>
        <v>#VALUE!</v>
      </c>
      <c r="DJ54" t="e">
        <f>AND('STERLING CATALOG - DRY '!I1074,"AAAAAGj/z3E=")</f>
        <v>#VALUE!</v>
      </c>
      <c r="DK54" t="e">
        <f>AND('STERLING CATALOG - DRY '!J1074,"AAAAAGj/z3I=")</f>
        <v>#VALUE!</v>
      </c>
      <c r="DL54">
        <f>IF('STERLING CATALOG - DRY '!1075:1075,"AAAAAGj/z3M=",0)</f>
        <v>0</v>
      </c>
      <c r="DM54" t="e">
        <f>AND('STERLING CATALOG - DRY '!A1075,"AAAAAGj/z3Q=")</f>
        <v>#VALUE!</v>
      </c>
      <c r="DN54" t="e">
        <f>AND('STERLING CATALOG - DRY '!B1075,"AAAAAGj/z3U=")</f>
        <v>#VALUE!</v>
      </c>
      <c r="DO54" t="e">
        <f>AND('STERLING CATALOG - DRY '!C1075,"AAAAAGj/z3Y=")</f>
        <v>#VALUE!</v>
      </c>
      <c r="DP54" t="e">
        <f>AND('STERLING CATALOG - DRY '!D1075,"AAAAAGj/z3c=")</f>
        <v>#VALUE!</v>
      </c>
      <c r="DQ54" t="e">
        <f>AND('STERLING CATALOG - DRY '!E1075,"AAAAAGj/z3g=")</f>
        <v>#VALUE!</v>
      </c>
      <c r="DR54" t="e">
        <f>AND('STERLING CATALOG - DRY '!F1075,"AAAAAGj/z3k=")</f>
        <v>#VALUE!</v>
      </c>
      <c r="DS54" t="e">
        <f>AND('STERLING CATALOG - DRY '!G1075,"AAAAAGj/z3o=")</f>
        <v>#VALUE!</v>
      </c>
      <c r="DT54" t="e">
        <f>AND('STERLING CATALOG - DRY '!H1075,"AAAAAGj/z3s=")</f>
        <v>#VALUE!</v>
      </c>
      <c r="DU54" t="e">
        <f>AND('STERLING CATALOG - DRY '!I1075,"AAAAAGj/z3w=")</f>
        <v>#VALUE!</v>
      </c>
      <c r="DV54" t="e">
        <f>AND('STERLING CATALOG - DRY '!J1075,"AAAAAGj/z30=")</f>
        <v>#VALUE!</v>
      </c>
      <c r="DW54">
        <f>IF('STERLING CATALOG - DRY '!1076:1076,"AAAAAGj/z34=",0)</f>
        <v>0</v>
      </c>
      <c r="DX54" t="e">
        <f>AND('STERLING CATALOG - DRY '!A1076,"AAAAAGj/z38=")</f>
        <v>#VALUE!</v>
      </c>
      <c r="DY54" t="e">
        <f>AND('STERLING CATALOG - DRY '!B1076,"AAAAAGj/z4A=")</f>
        <v>#VALUE!</v>
      </c>
      <c r="DZ54" t="e">
        <f>AND('STERLING CATALOG - DRY '!C1076,"AAAAAGj/z4E=")</f>
        <v>#VALUE!</v>
      </c>
      <c r="EA54" t="e">
        <f>AND('STERLING CATALOG - DRY '!D1076,"AAAAAGj/z4I=")</f>
        <v>#VALUE!</v>
      </c>
      <c r="EB54" t="e">
        <f>AND('STERLING CATALOG - DRY '!E1076,"AAAAAGj/z4M=")</f>
        <v>#VALUE!</v>
      </c>
      <c r="EC54" t="e">
        <f>AND('STERLING CATALOG - DRY '!F1076,"AAAAAGj/z4Q=")</f>
        <v>#VALUE!</v>
      </c>
      <c r="ED54" t="e">
        <f>AND('STERLING CATALOG - DRY '!G1076,"AAAAAGj/z4U=")</f>
        <v>#VALUE!</v>
      </c>
      <c r="EE54" t="e">
        <f>AND('STERLING CATALOG - DRY '!H1076,"AAAAAGj/z4Y=")</f>
        <v>#VALUE!</v>
      </c>
      <c r="EF54" t="e">
        <f>AND('STERLING CATALOG - DRY '!I1076,"AAAAAGj/z4c=")</f>
        <v>#VALUE!</v>
      </c>
      <c r="EG54" t="e">
        <f>AND('STERLING CATALOG - DRY '!J1076,"AAAAAGj/z4g=")</f>
        <v>#VALUE!</v>
      </c>
      <c r="EH54">
        <f>IF('STERLING CATALOG - DRY '!1077:1077,"AAAAAGj/z4k=",0)</f>
        <v>0</v>
      </c>
      <c r="EI54" t="e">
        <f>AND('STERLING CATALOG - DRY '!A1077,"AAAAAGj/z4o=")</f>
        <v>#VALUE!</v>
      </c>
      <c r="EJ54" t="e">
        <f>AND('STERLING CATALOG - DRY '!B1077,"AAAAAGj/z4s=")</f>
        <v>#VALUE!</v>
      </c>
      <c r="EK54" t="e">
        <f>AND('STERLING CATALOG - DRY '!C1077,"AAAAAGj/z4w=")</f>
        <v>#VALUE!</v>
      </c>
      <c r="EL54" t="e">
        <f>AND('STERLING CATALOG - DRY '!D1077,"AAAAAGj/z40=")</f>
        <v>#VALUE!</v>
      </c>
      <c r="EM54" t="e">
        <f>AND('STERLING CATALOG - DRY '!E1077,"AAAAAGj/z44=")</f>
        <v>#VALUE!</v>
      </c>
      <c r="EN54" t="e">
        <f>AND('STERLING CATALOG - DRY '!F1077,"AAAAAGj/z48=")</f>
        <v>#VALUE!</v>
      </c>
      <c r="EO54" t="e">
        <f>AND('STERLING CATALOG - DRY '!G1077,"AAAAAGj/z5A=")</f>
        <v>#VALUE!</v>
      </c>
      <c r="EP54" t="e">
        <f>AND('STERLING CATALOG - DRY '!H1077,"AAAAAGj/z5E=")</f>
        <v>#VALUE!</v>
      </c>
      <c r="EQ54" t="e">
        <f>AND('STERLING CATALOG - DRY '!I1077,"AAAAAGj/z5I=")</f>
        <v>#VALUE!</v>
      </c>
      <c r="ER54" t="e">
        <f>AND('STERLING CATALOG - DRY '!J1077,"AAAAAGj/z5M=")</f>
        <v>#VALUE!</v>
      </c>
      <c r="ES54">
        <f>IF('STERLING CATALOG - DRY '!1078:1078,"AAAAAGj/z5Q=",0)</f>
        <v>0</v>
      </c>
      <c r="ET54" t="e">
        <f>AND('STERLING CATALOG - DRY '!A1078,"AAAAAGj/z5U=")</f>
        <v>#VALUE!</v>
      </c>
      <c r="EU54" t="e">
        <f>AND('STERLING CATALOG - DRY '!B1078,"AAAAAGj/z5Y=")</f>
        <v>#VALUE!</v>
      </c>
      <c r="EV54" t="e">
        <f>AND('STERLING CATALOG - DRY '!C1078,"AAAAAGj/z5c=")</f>
        <v>#VALUE!</v>
      </c>
      <c r="EW54" t="e">
        <f>AND('STERLING CATALOG - DRY '!D1078,"AAAAAGj/z5g=")</f>
        <v>#VALUE!</v>
      </c>
      <c r="EX54" t="e">
        <f>AND('STERLING CATALOG - DRY '!E1078,"AAAAAGj/z5k=")</f>
        <v>#VALUE!</v>
      </c>
      <c r="EY54" t="e">
        <f>AND('STERLING CATALOG - DRY '!F1078,"AAAAAGj/z5o=")</f>
        <v>#VALUE!</v>
      </c>
      <c r="EZ54" t="e">
        <f>AND('STERLING CATALOG - DRY '!G1078,"AAAAAGj/z5s=")</f>
        <v>#VALUE!</v>
      </c>
      <c r="FA54" t="e">
        <f>AND('STERLING CATALOG - DRY '!H1078,"AAAAAGj/z5w=")</f>
        <v>#VALUE!</v>
      </c>
      <c r="FB54" t="e">
        <f>AND('STERLING CATALOG - DRY '!I1078,"AAAAAGj/z50=")</f>
        <v>#VALUE!</v>
      </c>
      <c r="FC54" t="e">
        <f>AND('STERLING CATALOG - DRY '!J1078,"AAAAAGj/z54=")</f>
        <v>#VALUE!</v>
      </c>
      <c r="FD54">
        <f>IF('STERLING CATALOG - DRY '!1079:1079,"AAAAAGj/z58=",0)</f>
        <v>0</v>
      </c>
      <c r="FE54" t="e">
        <f>AND('STERLING CATALOG - DRY '!A1079,"AAAAAGj/z6A=")</f>
        <v>#VALUE!</v>
      </c>
      <c r="FF54" t="e">
        <f>AND('STERLING CATALOG - DRY '!B1079,"AAAAAGj/z6E=")</f>
        <v>#VALUE!</v>
      </c>
      <c r="FG54" t="e">
        <f>AND('STERLING CATALOG - DRY '!C1079,"AAAAAGj/z6I=")</f>
        <v>#VALUE!</v>
      </c>
      <c r="FH54" t="e">
        <f>AND('STERLING CATALOG - DRY '!D1079,"AAAAAGj/z6M=")</f>
        <v>#VALUE!</v>
      </c>
      <c r="FI54" t="e">
        <f>AND('STERLING CATALOG - DRY '!E1079,"AAAAAGj/z6Q=")</f>
        <v>#VALUE!</v>
      </c>
      <c r="FJ54" t="e">
        <f>AND('STERLING CATALOG - DRY '!F1079,"AAAAAGj/z6U=")</f>
        <v>#VALUE!</v>
      </c>
      <c r="FK54" t="e">
        <f>AND('STERLING CATALOG - DRY '!G1079,"AAAAAGj/z6Y=")</f>
        <v>#VALUE!</v>
      </c>
      <c r="FL54" t="e">
        <f>AND('STERLING CATALOG - DRY '!H1079,"AAAAAGj/z6c=")</f>
        <v>#VALUE!</v>
      </c>
      <c r="FM54" t="e">
        <f>AND('STERLING CATALOG - DRY '!I1079,"AAAAAGj/z6g=")</f>
        <v>#VALUE!</v>
      </c>
      <c r="FN54" t="e">
        <f>AND('STERLING CATALOG - DRY '!J1079,"AAAAAGj/z6k=")</f>
        <v>#VALUE!</v>
      </c>
      <c r="FO54">
        <f>IF('STERLING CATALOG - DRY '!1080:1080,"AAAAAGj/z6o=",0)</f>
        <v>0</v>
      </c>
      <c r="FP54" t="e">
        <f>AND('STERLING CATALOG - DRY '!A1080,"AAAAAGj/z6s=")</f>
        <v>#VALUE!</v>
      </c>
      <c r="FQ54" t="e">
        <f>AND('STERLING CATALOG - DRY '!B1080,"AAAAAGj/z6w=")</f>
        <v>#VALUE!</v>
      </c>
      <c r="FR54" t="e">
        <f>AND('STERLING CATALOG - DRY '!C1080,"AAAAAGj/z60=")</f>
        <v>#VALUE!</v>
      </c>
      <c r="FS54" t="e">
        <f>AND('STERLING CATALOG - DRY '!D1080,"AAAAAGj/z64=")</f>
        <v>#VALUE!</v>
      </c>
      <c r="FT54" t="e">
        <f>AND('STERLING CATALOG - DRY '!E1080,"AAAAAGj/z68=")</f>
        <v>#VALUE!</v>
      </c>
      <c r="FU54" t="e">
        <f>AND('STERLING CATALOG - DRY '!F1080,"AAAAAGj/z7A=")</f>
        <v>#VALUE!</v>
      </c>
      <c r="FV54" t="e">
        <f>AND('STERLING CATALOG - DRY '!G1080,"AAAAAGj/z7E=")</f>
        <v>#VALUE!</v>
      </c>
      <c r="FW54" t="e">
        <f>AND('STERLING CATALOG - DRY '!H1080,"AAAAAGj/z7I=")</f>
        <v>#VALUE!</v>
      </c>
      <c r="FX54" t="e">
        <f>AND('STERLING CATALOG - DRY '!I1080,"AAAAAGj/z7M=")</f>
        <v>#VALUE!</v>
      </c>
      <c r="FY54" t="e">
        <f>AND('STERLING CATALOG - DRY '!J1080,"AAAAAGj/z7Q=")</f>
        <v>#VALUE!</v>
      </c>
      <c r="FZ54">
        <f>IF('STERLING CATALOG - DRY '!1081:1081,"AAAAAGj/z7U=",0)</f>
        <v>0</v>
      </c>
      <c r="GA54" t="e">
        <f>AND('STERLING CATALOG - DRY '!A1081,"AAAAAGj/z7Y=")</f>
        <v>#VALUE!</v>
      </c>
      <c r="GB54" t="e">
        <f>AND('STERLING CATALOG - DRY '!B1081,"AAAAAGj/z7c=")</f>
        <v>#VALUE!</v>
      </c>
      <c r="GC54" t="e">
        <f>AND('STERLING CATALOG - DRY '!C1081,"AAAAAGj/z7g=")</f>
        <v>#VALUE!</v>
      </c>
      <c r="GD54" t="e">
        <f>AND('STERLING CATALOG - DRY '!D1081,"AAAAAGj/z7k=")</f>
        <v>#VALUE!</v>
      </c>
      <c r="GE54" t="e">
        <f>AND('STERLING CATALOG - DRY '!E1081,"AAAAAGj/z7o=")</f>
        <v>#VALUE!</v>
      </c>
      <c r="GF54" t="e">
        <f>AND('STERLING CATALOG - DRY '!F1081,"AAAAAGj/z7s=")</f>
        <v>#VALUE!</v>
      </c>
      <c r="GG54" t="e">
        <f>AND('STERLING CATALOG - DRY '!G1081,"AAAAAGj/z7w=")</f>
        <v>#VALUE!</v>
      </c>
      <c r="GH54" t="e">
        <f>AND('STERLING CATALOG - DRY '!H1081,"AAAAAGj/z70=")</f>
        <v>#VALUE!</v>
      </c>
      <c r="GI54" t="e">
        <f>AND('STERLING CATALOG - DRY '!I1081,"AAAAAGj/z74=")</f>
        <v>#VALUE!</v>
      </c>
      <c r="GJ54" t="e">
        <f>AND('STERLING CATALOG - DRY '!J1081,"AAAAAGj/z78=")</f>
        <v>#VALUE!</v>
      </c>
      <c r="GK54">
        <f>IF('STERLING CATALOG - DRY '!1082:1082,"AAAAAGj/z8A=",0)</f>
        <v>0</v>
      </c>
      <c r="GL54" t="e">
        <f>AND('STERLING CATALOG - DRY '!A1082,"AAAAAGj/z8E=")</f>
        <v>#VALUE!</v>
      </c>
      <c r="GM54" t="e">
        <f>AND('STERLING CATALOG - DRY '!B1082,"AAAAAGj/z8I=")</f>
        <v>#VALUE!</v>
      </c>
      <c r="GN54" t="e">
        <f>AND('STERLING CATALOG - DRY '!C1082,"AAAAAGj/z8M=")</f>
        <v>#VALUE!</v>
      </c>
      <c r="GO54" t="e">
        <f>AND('STERLING CATALOG - DRY '!D1082,"AAAAAGj/z8Q=")</f>
        <v>#VALUE!</v>
      </c>
      <c r="GP54" t="e">
        <f>AND('STERLING CATALOG - DRY '!E1082,"AAAAAGj/z8U=")</f>
        <v>#VALUE!</v>
      </c>
      <c r="GQ54" t="e">
        <f>AND('STERLING CATALOG - DRY '!F1082,"AAAAAGj/z8Y=")</f>
        <v>#VALUE!</v>
      </c>
      <c r="GR54" t="e">
        <f>AND('STERLING CATALOG - DRY '!G1082,"AAAAAGj/z8c=")</f>
        <v>#VALUE!</v>
      </c>
      <c r="GS54" t="e">
        <f>AND('STERLING CATALOG - DRY '!H1082,"AAAAAGj/z8g=")</f>
        <v>#VALUE!</v>
      </c>
      <c r="GT54" t="e">
        <f>AND('STERLING CATALOG - DRY '!I1082,"AAAAAGj/z8k=")</f>
        <v>#VALUE!</v>
      </c>
      <c r="GU54" t="e">
        <f>AND('STERLING CATALOG - DRY '!J1082,"AAAAAGj/z8o=")</f>
        <v>#VALUE!</v>
      </c>
      <c r="GV54">
        <f>IF('STERLING CATALOG - DRY '!1083:1083,"AAAAAGj/z8s=",0)</f>
        <v>0</v>
      </c>
      <c r="GW54" t="e">
        <f>AND('STERLING CATALOG - DRY '!A1083,"AAAAAGj/z8w=")</f>
        <v>#VALUE!</v>
      </c>
      <c r="GX54" t="e">
        <f>AND('STERLING CATALOG - DRY '!B1083,"AAAAAGj/z80=")</f>
        <v>#VALUE!</v>
      </c>
      <c r="GY54" t="e">
        <f>AND('STERLING CATALOG - DRY '!C1083,"AAAAAGj/z84=")</f>
        <v>#VALUE!</v>
      </c>
      <c r="GZ54" t="e">
        <f>AND('STERLING CATALOG - DRY '!D1083,"AAAAAGj/z88=")</f>
        <v>#VALUE!</v>
      </c>
      <c r="HA54" t="e">
        <f>AND('STERLING CATALOG - DRY '!E1083,"AAAAAGj/z9A=")</f>
        <v>#VALUE!</v>
      </c>
      <c r="HB54" t="e">
        <f>AND('STERLING CATALOG - DRY '!F1083,"AAAAAGj/z9E=")</f>
        <v>#VALUE!</v>
      </c>
      <c r="HC54" t="e">
        <f>AND('STERLING CATALOG - DRY '!G1083,"AAAAAGj/z9I=")</f>
        <v>#VALUE!</v>
      </c>
      <c r="HD54" t="e">
        <f>AND('STERLING CATALOG - DRY '!H1083,"AAAAAGj/z9M=")</f>
        <v>#VALUE!</v>
      </c>
      <c r="HE54" t="e">
        <f>AND('STERLING CATALOG - DRY '!I1083,"AAAAAGj/z9Q=")</f>
        <v>#VALUE!</v>
      </c>
      <c r="HF54" t="e">
        <f>AND('STERLING CATALOG - DRY '!J1083,"AAAAAGj/z9U=")</f>
        <v>#VALUE!</v>
      </c>
      <c r="HG54">
        <f>IF('STERLING CATALOG - DRY '!1084:1084,"AAAAAGj/z9Y=",0)</f>
        <v>0</v>
      </c>
      <c r="HH54" t="e">
        <f>AND('STERLING CATALOG - DRY '!A1084,"AAAAAGj/z9c=")</f>
        <v>#VALUE!</v>
      </c>
      <c r="HI54" t="e">
        <f>AND('STERLING CATALOG - DRY '!B1084,"AAAAAGj/z9g=")</f>
        <v>#VALUE!</v>
      </c>
      <c r="HJ54" t="e">
        <f>AND('STERLING CATALOG - DRY '!C1084,"AAAAAGj/z9k=")</f>
        <v>#VALUE!</v>
      </c>
      <c r="HK54" t="e">
        <f>AND('STERLING CATALOG - DRY '!D1084,"AAAAAGj/z9o=")</f>
        <v>#VALUE!</v>
      </c>
      <c r="HL54" t="e">
        <f>AND('STERLING CATALOG - DRY '!E1084,"AAAAAGj/z9s=")</f>
        <v>#VALUE!</v>
      </c>
      <c r="HM54" t="e">
        <f>AND('STERLING CATALOG - DRY '!F1084,"AAAAAGj/z9w=")</f>
        <v>#VALUE!</v>
      </c>
      <c r="HN54" t="e">
        <f>AND('STERLING CATALOG - DRY '!G1084,"AAAAAGj/z90=")</f>
        <v>#VALUE!</v>
      </c>
      <c r="HO54" t="e">
        <f>AND('STERLING CATALOG - DRY '!H1084,"AAAAAGj/z94=")</f>
        <v>#VALUE!</v>
      </c>
      <c r="HP54" t="e">
        <f>AND('STERLING CATALOG - DRY '!I1084,"AAAAAGj/z98=")</f>
        <v>#VALUE!</v>
      </c>
      <c r="HQ54" t="e">
        <f>AND('STERLING CATALOG - DRY '!J1084,"AAAAAGj/z+A=")</f>
        <v>#VALUE!</v>
      </c>
      <c r="HR54">
        <f>IF('STERLING CATALOG - DRY '!1085:1085,"AAAAAGj/z+E=",0)</f>
        <v>0</v>
      </c>
      <c r="HS54" t="e">
        <f>AND('STERLING CATALOG - DRY '!A1085,"AAAAAGj/z+I=")</f>
        <v>#VALUE!</v>
      </c>
      <c r="HT54" t="e">
        <f>AND('STERLING CATALOG - DRY '!B1085,"AAAAAGj/z+M=")</f>
        <v>#VALUE!</v>
      </c>
      <c r="HU54" t="e">
        <f>AND('STERLING CATALOG - DRY '!C1085,"AAAAAGj/z+Q=")</f>
        <v>#VALUE!</v>
      </c>
      <c r="HV54" t="e">
        <f>AND('STERLING CATALOG - DRY '!D1085,"AAAAAGj/z+U=")</f>
        <v>#VALUE!</v>
      </c>
      <c r="HW54" t="e">
        <f>AND('STERLING CATALOG - DRY '!E1085,"AAAAAGj/z+Y=")</f>
        <v>#VALUE!</v>
      </c>
      <c r="HX54" t="e">
        <f>AND('STERLING CATALOG - DRY '!F1085,"AAAAAGj/z+c=")</f>
        <v>#VALUE!</v>
      </c>
      <c r="HY54" t="e">
        <f>AND('STERLING CATALOG - DRY '!G1085,"AAAAAGj/z+g=")</f>
        <v>#VALUE!</v>
      </c>
      <c r="HZ54" t="e">
        <f>AND('STERLING CATALOG - DRY '!H1085,"AAAAAGj/z+k=")</f>
        <v>#VALUE!</v>
      </c>
      <c r="IA54" t="e">
        <f>AND('STERLING CATALOG - DRY '!I1085,"AAAAAGj/z+o=")</f>
        <v>#VALUE!</v>
      </c>
      <c r="IB54" t="e">
        <f>AND('STERLING CATALOG - DRY '!J1085,"AAAAAGj/z+s=")</f>
        <v>#VALUE!</v>
      </c>
      <c r="IC54">
        <f>IF('STERLING CATALOG - DRY '!1086:1086,"AAAAAGj/z+w=",0)</f>
        <v>0</v>
      </c>
      <c r="ID54" t="e">
        <f>AND('STERLING CATALOG - DRY '!A1086,"AAAAAGj/z+0=")</f>
        <v>#VALUE!</v>
      </c>
      <c r="IE54" t="e">
        <f>AND('STERLING CATALOG - DRY '!B1086,"AAAAAGj/z+4=")</f>
        <v>#VALUE!</v>
      </c>
      <c r="IF54" t="e">
        <f>AND('STERLING CATALOG - DRY '!C1086,"AAAAAGj/z+8=")</f>
        <v>#VALUE!</v>
      </c>
      <c r="IG54" t="e">
        <f>AND('STERLING CATALOG - DRY '!D1086,"AAAAAGj/z/A=")</f>
        <v>#VALUE!</v>
      </c>
      <c r="IH54" t="e">
        <f>AND('STERLING CATALOG - DRY '!E1086,"AAAAAGj/z/E=")</f>
        <v>#VALUE!</v>
      </c>
      <c r="II54" t="e">
        <f>AND('STERLING CATALOG - DRY '!F1086,"AAAAAGj/z/I=")</f>
        <v>#VALUE!</v>
      </c>
      <c r="IJ54" t="e">
        <f>AND('STERLING CATALOG - DRY '!G1086,"AAAAAGj/z/M=")</f>
        <v>#VALUE!</v>
      </c>
      <c r="IK54" t="e">
        <f>AND('STERLING CATALOG - DRY '!H1086,"AAAAAGj/z/Q=")</f>
        <v>#VALUE!</v>
      </c>
      <c r="IL54" t="e">
        <f>AND('STERLING CATALOG - DRY '!I1086,"AAAAAGj/z/U=")</f>
        <v>#VALUE!</v>
      </c>
      <c r="IM54" t="e">
        <f>AND('STERLING CATALOG - DRY '!J1086,"AAAAAGj/z/Y=")</f>
        <v>#VALUE!</v>
      </c>
      <c r="IN54">
        <f>IF('STERLING CATALOG - DRY '!1087:1087,"AAAAAGj/z/c=",0)</f>
        <v>0</v>
      </c>
      <c r="IO54" t="e">
        <f>AND('STERLING CATALOG - DRY '!A1087,"AAAAAGj/z/g=")</f>
        <v>#VALUE!</v>
      </c>
      <c r="IP54" t="e">
        <f>AND('STERLING CATALOG - DRY '!B1087,"AAAAAGj/z/k=")</f>
        <v>#VALUE!</v>
      </c>
      <c r="IQ54" t="e">
        <f>AND('STERLING CATALOG - DRY '!C1087,"AAAAAGj/z/o=")</f>
        <v>#VALUE!</v>
      </c>
      <c r="IR54" t="e">
        <f>AND('STERLING CATALOG - DRY '!D1087,"AAAAAGj/z/s=")</f>
        <v>#VALUE!</v>
      </c>
      <c r="IS54" t="e">
        <f>AND('STERLING CATALOG - DRY '!E1087,"AAAAAGj/z/w=")</f>
        <v>#VALUE!</v>
      </c>
      <c r="IT54" t="e">
        <f>AND('STERLING CATALOG - DRY '!F1087,"AAAAAGj/z/0=")</f>
        <v>#VALUE!</v>
      </c>
      <c r="IU54" t="e">
        <f>AND('STERLING CATALOG - DRY '!G1087,"AAAAAGj/z/4=")</f>
        <v>#VALUE!</v>
      </c>
      <c r="IV54" t="e">
        <f>AND('STERLING CATALOG - DRY '!H1087,"AAAAAGj/z/8=")</f>
        <v>#VALUE!</v>
      </c>
    </row>
    <row r="55" spans="1:256">
      <c r="A55" t="e">
        <f>AND('STERLING CATALOG - DRY '!I1087,"AAAAADvP0wA=")</f>
        <v>#VALUE!</v>
      </c>
      <c r="B55" t="e">
        <f>AND('STERLING CATALOG - DRY '!J1087,"AAAAADvP0wE=")</f>
        <v>#VALUE!</v>
      </c>
      <c r="C55" t="str">
        <f>IF('STERLING CATALOG - DRY '!1088:1088,"AAAAADvP0wI=",0)</f>
        <v>AAAAADvP0wI=</v>
      </c>
      <c r="D55" t="e">
        <f>AND('STERLING CATALOG - DRY '!A1088,"AAAAADvP0wM=")</f>
        <v>#VALUE!</v>
      </c>
      <c r="E55" t="e">
        <f>AND('STERLING CATALOG - DRY '!B1088,"AAAAADvP0wQ=")</f>
        <v>#VALUE!</v>
      </c>
      <c r="F55" t="e">
        <f>AND('STERLING CATALOG - DRY '!C1088,"AAAAADvP0wU=")</f>
        <v>#VALUE!</v>
      </c>
      <c r="G55" t="e">
        <f>AND('STERLING CATALOG - DRY '!D1088,"AAAAADvP0wY=")</f>
        <v>#VALUE!</v>
      </c>
      <c r="H55" t="e">
        <f>AND('STERLING CATALOG - DRY '!E1088,"AAAAADvP0wc=")</f>
        <v>#VALUE!</v>
      </c>
      <c r="I55" t="e">
        <f>AND('STERLING CATALOG - DRY '!F1088,"AAAAADvP0wg=")</f>
        <v>#VALUE!</v>
      </c>
      <c r="J55" t="e">
        <f>AND('STERLING CATALOG - DRY '!G1088,"AAAAADvP0wk=")</f>
        <v>#VALUE!</v>
      </c>
      <c r="K55" t="e">
        <f>AND('STERLING CATALOG - DRY '!H1088,"AAAAADvP0wo=")</f>
        <v>#VALUE!</v>
      </c>
      <c r="L55" t="e">
        <f>AND('STERLING CATALOG - DRY '!I1088,"AAAAADvP0ws=")</f>
        <v>#VALUE!</v>
      </c>
      <c r="M55" t="e">
        <f>AND('STERLING CATALOG - DRY '!J1088,"AAAAADvP0ww=")</f>
        <v>#VALUE!</v>
      </c>
      <c r="N55">
        <f>IF('STERLING CATALOG - DRY '!1089:1089,"AAAAADvP0w0=",0)</f>
        <v>0</v>
      </c>
      <c r="O55" t="e">
        <f>AND('STERLING CATALOG - DRY '!A1089,"AAAAADvP0w4=")</f>
        <v>#VALUE!</v>
      </c>
      <c r="P55" t="e">
        <f>AND('STERLING CATALOG - DRY '!B1089,"AAAAADvP0w8=")</f>
        <v>#VALUE!</v>
      </c>
      <c r="Q55" t="e">
        <f>AND('STERLING CATALOG - DRY '!C1089,"AAAAADvP0xA=")</f>
        <v>#VALUE!</v>
      </c>
      <c r="R55" t="e">
        <f>AND('STERLING CATALOG - DRY '!D1089,"AAAAADvP0xE=")</f>
        <v>#VALUE!</v>
      </c>
      <c r="S55" t="e">
        <f>AND('STERLING CATALOG - DRY '!E1089,"AAAAADvP0xI=")</f>
        <v>#VALUE!</v>
      </c>
      <c r="T55" t="e">
        <f>AND('STERLING CATALOG - DRY '!F1089,"AAAAADvP0xM=")</f>
        <v>#VALUE!</v>
      </c>
      <c r="U55" t="e">
        <f>AND('STERLING CATALOG - DRY '!G1089,"AAAAADvP0xQ=")</f>
        <v>#VALUE!</v>
      </c>
      <c r="V55" t="e">
        <f>AND('STERLING CATALOG - DRY '!H1089,"AAAAADvP0xU=")</f>
        <v>#VALUE!</v>
      </c>
      <c r="W55" t="e">
        <f>AND('STERLING CATALOG - DRY '!I1089,"AAAAADvP0xY=")</f>
        <v>#VALUE!</v>
      </c>
      <c r="X55" t="e">
        <f>AND('STERLING CATALOG - DRY '!J1089,"AAAAADvP0xc=")</f>
        <v>#VALUE!</v>
      </c>
      <c r="Y55">
        <f>IF('STERLING CATALOG - DRY '!1090:1090,"AAAAADvP0xg=",0)</f>
        <v>0</v>
      </c>
      <c r="Z55" t="e">
        <f>AND('STERLING CATALOG - DRY '!A1090,"AAAAADvP0xk=")</f>
        <v>#VALUE!</v>
      </c>
      <c r="AA55" t="e">
        <f>AND('STERLING CATALOG - DRY '!B1090,"AAAAADvP0xo=")</f>
        <v>#VALUE!</v>
      </c>
      <c r="AB55" t="e">
        <f>AND('STERLING CATALOG - DRY '!C1090,"AAAAADvP0xs=")</f>
        <v>#VALUE!</v>
      </c>
      <c r="AC55" t="e">
        <f>AND('STERLING CATALOG - DRY '!D1090,"AAAAADvP0xw=")</f>
        <v>#VALUE!</v>
      </c>
      <c r="AD55" t="e">
        <f>AND('STERLING CATALOG - DRY '!E1090,"AAAAADvP0x0=")</f>
        <v>#VALUE!</v>
      </c>
      <c r="AE55" t="e">
        <f>AND('STERLING CATALOG - DRY '!F1090,"AAAAADvP0x4=")</f>
        <v>#VALUE!</v>
      </c>
      <c r="AF55" t="e">
        <f>AND('STERLING CATALOG - DRY '!G1090,"AAAAADvP0x8=")</f>
        <v>#VALUE!</v>
      </c>
      <c r="AG55" t="e">
        <f>AND('STERLING CATALOG - DRY '!H1090,"AAAAADvP0yA=")</f>
        <v>#VALUE!</v>
      </c>
      <c r="AH55" t="e">
        <f>AND('STERLING CATALOG - DRY '!I1090,"AAAAADvP0yE=")</f>
        <v>#VALUE!</v>
      </c>
      <c r="AI55" t="e">
        <f>AND('STERLING CATALOG - DRY '!J1090,"AAAAADvP0yI=")</f>
        <v>#VALUE!</v>
      </c>
      <c r="AJ55">
        <f>IF('STERLING CATALOG - DRY '!1091:1091,"AAAAADvP0yM=",0)</f>
        <v>0</v>
      </c>
      <c r="AK55" t="e">
        <f>AND('STERLING CATALOG - DRY '!A1091,"AAAAADvP0yQ=")</f>
        <v>#VALUE!</v>
      </c>
      <c r="AL55" t="e">
        <f>AND('STERLING CATALOG - DRY '!B1091,"AAAAADvP0yU=")</f>
        <v>#VALUE!</v>
      </c>
      <c r="AM55" t="e">
        <f>AND('STERLING CATALOG - DRY '!C1091,"AAAAADvP0yY=")</f>
        <v>#VALUE!</v>
      </c>
      <c r="AN55" t="e">
        <f>AND('STERLING CATALOG - DRY '!D1091,"AAAAADvP0yc=")</f>
        <v>#VALUE!</v>
      </c>
      <c r="AO55" t="e">
        <f>AND('STERLING CATALOG - DRY '!E1091,"AAAAADvP0yg=")</f>
        <v>#VALUE!</v>
      </c>
      <c r="AP55" t="e">
        <f>AND('STERLING CATALOG - DRY '!F1091,"AAAAADvP0yk=")</f>
        <v>#VALUE!</v>
      </c>
      <c r="AQ55" t="e">
        <f>AND('STERLING CATALOG - DRY '!G1091,"AAAAADvP0yo=")</f>
        <v>#VALUE!</v>
      </c>
      <c r="AR55" t="e">
        <f>AND('STERLING CATALOG - DRY '!H1091,"AAAAADvP0ys=")</f>
        <v>#VALUE!</v>
      </c>
      <c r="AS55" t="e">
        <f>AND('STERLING CATALOG - DRY '!I1091,"AAAAADvP0yw=")</f>
        <v>#VALUE!</v>
      </c>
      <c r="AT55" t="e">
        <f>AND('STERLING CATALOG - DRY '!J1091,"AAAAADvP0y0=")</f>
        <v>#VALUE!</v>
      </c>
      <c r="AU55">
        <f>IF('STERLING CATALOG - DRY '!1092:1092,"AAAAADvP0y4=",0)</f>
        <v>0</v>
      </c>
      <c r="AV55" t="e">
        <f>AND('STERLING CATALOG - DRY '!A1092,"AAAAADvP0y8=")</f>
        <v>#VALUE!</v>
      </c>
      <c r="AW55" t="e">
        <f>AND('STERLING CATALOG - DRY '!B1092,"AAAAADvP0zA=")</f>
        <v>#VALUE!</v>
      </c>
      <c r="AX55" t="e">
        <f>AND('STERLING CATALOG - DRY '!C1092,"AAAAADvP0zE=")</f>
        <v>#VALUE!</v>
      </c>
      <c r="AY55" t="e">
        <f>AND('STERLING CATALOG - DRY '!D1092,"AAAAADvP0zI=")</f>
        <v>#VALUE!</v>
      </c>
      <c r="AZ55" t="e">
        <f>AND('STERLING CATALOG - DRY '!E1092,"AAAAADvP0zM=")</f>
        <v>#VALUE!</v>
      </c>
      <c r="BA55" t="e">
        <f>AND('STERLING CATALOG - DRY '!F1092,"AAAAADvP0zQ=")</f>
        <v>#VALUE!</v>
      </c>
      <c r="BB55" t="e">
        <f>AND('STERLING CATALOG - DRY '!G1092,"AAAAADvP0zU=")</f>
        <v>#VALUE!</v>
      </c>
      <c r="BC55" t="e">
        <f>AND('STERLING CATALOG - DRY '!H1092,"AAAAADvP0zY=")</f>
        <v>#VALUE!</v>
      </c>
      <c r="BD55" t="e">
        <f>AND('STERLING CATALOG - DRY '!I1092,"AAAAADvP0zc=")</f>
        <v>#VALUE!</v>
      </c>
      <c r="BE55" t="e">
        <f>AND('STERLING CATALOG - DRY '!J1092,"AAAAADvP0zg=")</f>
        <v>#VALUE!</v>
      </c>
      <c r="BF55">
        <f>IF('STERLING CATALOG - DRY '!1093:1093,"AAAAADvP0zk=",0)</f>
        <v>0</v>
      </c>
      <c r="BG55" t="e">
        <f>AND('STERLING CATALOG - DRY '!A1093,"AAAAADvP0zo=")</f>
        <v>#VALUE!</v>
      </c>
      <c r="BH55" t="e">
        <f>AND('STERLING CATALOG - DRY '!B1093,"AAAAADvP0zs=")</f>
        <v>#VALUE!</v>
      </c>
      <c r="BI55" t="e">
        <f>AND('STERLING CATALOG - DRY '!C1093,"AAAAADvP0zw=")</f>
        <v>#VALUE!</v>
      </c>
      <c r="BJ55" t="e">
        <f>AND('STERLING CATALOG - DRY '!D1093,"AAAAADvP0z0=")</f>
        <v>#VALUE!</v>
      </c>
      <c r="BK55" t="e">
        <f>AND('STERLING CATALOG - DRY '!E1093,"AAAAADvP0z4=")</f>
        <v>#VALUE!</v>
      </c>
      <c r="BL55" t="e">
        <f>AND('STERLING CATALOG - DRY '!F1093,"AAAAADvP0z8=")</f>
        <v>#VALUE!</v>
      </c>
      <c r="BM55" t="e">
        <f>AND('STERLING CATALOG - DRY '!G1093,"AAAAADvP00A=")</f>
        <v>#VALUE!</v>
      </c>
      <c r="BN55" t="e">
        <f>AND('STERLING CATALOG - DRY '!H1093,"AAAAADvP00E=")</f>
        <v>#VALUE!</v>
      </c>
      <c r="BO55" t="e">
        <f>AND('STERLING CATALOG - DRY '!I1093,"AAAAADvP00I=")</f>
        <v>#VALUE!</v>
      </c>
      <c r="BP55" t="e">
        <f>AND('STERLING CATALOG - DRY '!J1093,"AAAAADvP00M=")</f>
        <v>#VALUE!</v>
      </c>
      <c r="BQ55">
        <f>IF('STERLING CATALOG - DRY '!1094:1094,"AAAAADvP00Q=",0)</f>
        <v>0</v>
      </c>
      <c r="BR55" t="e">
        <f>AND('STERLING CATALOG - DRY '!A1094,"AAAAADvP00U=")</f>
        <v>#VALUE!</v>
      </c>
      <c r="BS55" t="e">
        <f>AND('STERLING CATALOG - DRY '!B1094,"AAAAADvP00Y=")</f>
        <v>#VALUE!</v>
      </c>
      <c r="BT55" t="e">
        <f>AND('STERLING CATALOG - DRY '!C1094,"AAAAADvP00c=")</f>
        <v>#VALUE!</v>
      </c>
      <c r="BU55" t="e">
        <f>AND('STERLING CATALOG - DRY '!D1094,"AAAAADvP00g=")</f>
        <v>#VALUE!</v>
      </c>
      <c r="BV55" t="e">
        <f>AND('STERLING CATALOG - DRY '!E1094,"AAAAADvP00k=")</f>
        <v>#VALUE!</v>
      </c>
      <c r="BW55" t="e">
        <f>AND('STERLING CATALOG - DRY '!F1094,"AAAAADvP00o=")</f>
        <v>#VALUE!</v>
      </c>
      <c r="BX55" t="e">
        <f>AND('STERLING CATALOG - DRY '!G1094,"AAAAADvP00s=")</f>
        <v>#VALUE!</v>
      </c>
      <c r="BY55" t="e">
        <f>AND('STERLING CATALOG - DRY '!H1094,"AAAAADvP00w=")</f>
        <v>#VALUE!</v>
      </c>
      <c r="BZ55" t="e">
        <f>AND('STERLING CATALOG - DRY '!I1094,"AAAAADvP000=")</f>
        <v>#VALUE!</v>
      </c>
      <c r="CA55" t="e">
        <f>AND('STERLING CATALOG - DRY '!J1094,"AAAAADvP004=")</f>
        <v>#VALUE!</v>
      </c>
      <c r="CB55">
        <f>IF('STERLING CATALOG - DRY '!1095:1095,"AAAAADvP008=",0)</f>
        <v>0</v>
      </c>
      <c r="CC55" t="e">
        <f>AND('STERLING CATALOG - DRY '!A1095,"AAAAADvP01A=")</f>
        <v>#VALUE!</v>
      </c>
      <c r="CD55" t="e">
        <f>AND('STERLING CATALOG - DRY '!B1095,"AAAAADvP01E=")</f>
        <v>#VALUE!</v>
      </c>
      <c r="CE55" t="e">
        <f>AND('STERLING CATALOG - DRY '!C1095,"AAAAADvP01I=")</f>
        <v>#VALUE!</v>
      </c>
      <c r="CF55" t="e">
        <f>AND('STERLING CATALOG - DRY '!D1095,"AAAAADvP01M=")</f>
        <v>#VALUE!</v>
      </c>
      <c r="CG55" t="e">
        <f>AND('STERLING CATALOG - DRY '!E1095,"AAAAADvP01Q=")</f>
        <v>#VALUE!</v>
      </c>
      <c r="CH55" t="e">
        <f>AND('STERLING CATALOG - DRY '!F1095,"AAAAADvP01U=")</f>
        <v>#VALUE!</v>
      </c>
      <c r="CI55" t="e">
        <f>AND('STERLING CATALOG - DRY '!G1095,"AAAAADvP01Y=")</f>
        <v>#VALUE!</v>
      </c>
      <c r="CJ55" t="e">
        <f>AND('STERLING CATALOG - DRY '!H1095,"AAAAADvP01c=")</f>
        <v>#VALUE!</v>
      </c>
      <c r="CK55" t="e">
        <f>AND('STERLING CATALOG - DRY '!I1095,"AAAAADvP01g=")</f>
        <v>#VALUE!</v>
      </c>
      <c r="CL55" t="e">
        <f>AND('STERLING CATALOG - DRY '!J1095,"AAAAADvP01k=")</f>
        <v>#VALUE!</v>
      </c>
      <c r="CM55">
        <f>IF('STERLING CATALOG - DRY '!1096:1096,"AAAAADvP01o=",0)</f>
        <v>0</v>
      </c>
      <c r="CN55" t="e">
        <f>AND('STERLING CATALOG - DRY '!A1096,"AAAAADvP01s=")</f>
        <v>#VALUE!</v>
      </c>
      <c r="CO55" t="e">
        <f>AND('STERLING CATALOG - DRY '!B1096,"AAAAADvP01w=")</f>
        <v>#VALUE!</v>
      </c>
      <c r="CP55" t="e">
        <f>AND('STERLING CATALOG - DRY '!C1096,"AAAAADvP010=")</f>
        <v>#VALUE!</v>
      </c>
      <c r="CQ55" t="e">
        <f>AND('STERLING CATALOG - DRY '!D1096,"AAAAADvP014=")</f>
        <v>#VALUE!</v>
      </c>
      <c r="CR55" t="e">
        <f>AND('STERLING CATALOG - DRY '!E1096,"AAAAADvP018=")</f>
        <v>#VALUE!</v>
      </c>
      <c r="CS55" t="e">
        <f>AND('STERLING CATALOG - DRY '!F1096,"AAAAADvP02A=")</f>
        <v>#VALUE!</v>
      </c>
      <c r="CT55" t="e">
        <f>AND('STERLING CATALOG - DRY '!G1096,"AAAAADvP02E=")</f>
        <v>#VALUE!</v>
      </c>
      <c r="CU55" t="e">
        <f>AND('STERLING CATALOG - DRY '!H1096,"AAAAADvP02I=")</f>
        <v>#VALUE!</v>
      </c>
      <c r="CV55" t="e">
        <f>AND('STERLING CATALOG - DRY '!I1096,"AAAAADvP02M=")</f>
        <v>#VALUE!</v>
      </c>
      <c r="CW55" t="e">
        <f>AND('STERLING CATALOG - DRY '!J1096,"AAAAADvP02Q=")</f>
        <v>#VALUE!</v>
      </c>
      <c r="CX55">
        <f>IF('STERLING CATALOG - DRY '!1097:1097,"AAAAADvP02U=",0)</f>
        <v>0</v>
      </c>
      <c r="CY55" t="e">
        <f>AND('STERLING CATALOG - DRY '!A1097,"AAAAADvP02Y=")</f>
        <v>#VALUE!</v>
      </c>
      <c r="CZ55" t="e">
        <f>AND('STERLING CATALOG - DRY '!B1097,"AAAAADvP02c=")</f>
        <v>#VALUE!</v>
      </c>
      <c r="DA55" t="e">
        <f>AND('STERLING CATALOG - DRY '!C1097,"AAAAADvP02g=")</f>
        <v>#VALUE!</v>
      </c>
      <c r="DB55" t="e">
        <f>AND('STERLING CATALOG - DRY '!D1097,"AAAAADvP02k=")</f>
        <v>#VALUE!</v>
      </c>
      <c r="DC55" t="e">
        <f>AND('STERLING CATALOG - DRY '!E1097,"AAAAADvP02o=")</f>
        <v>#VALUE!</v>
      </c>
      <c r="DD55" t="e">
        <f>AND('STERLING CATALOG - DRY '!F1097,"AAAAADvP02s=")</f>
        <v>#VALUE!</v>
      </c>
      <c r="DE55" t="e">
        <f>AND('STERLING CATALOG - DRY '!G1097,"AAAAADvP02w=")</f>
        <v>#VALUE!</v>
      </c>
      <c r="DF55" t="e">
        <f>AND('STERLING CATALOG - DRY '!H1097,"AAAAADvP020=")</f>
        <v>#VALUE!</v>
      </c>
      <c r="DG55" t="e">
        <f>AND('STERLING CATALOG - DRY '!I1097,"AAAAADvP024=")</f>
        <v>#VALUE!</v>
      </c>
      <c r="DH55" t="e">
        <f>AND('STERLING CATALOG - DRY '!J1097,"AAAAADvP028=")</f>
        <v>#VALUE!</v>
      </c>
      <c r="DI55">
        <f>IF('STERLING CATALOG - DRY '!1098:1098,"AAAAADvP03A=",0)</f>
        <v>0</v>
      </c>
      <c r="DJ55" t="e">
        <f>AND('STERLING CATALOG - DRY '!A1098,"AAAAADvP03E=")</f>
        <v>#VALUE!</v>
      </c>
      <c r="DK55" t="e">
        <f>AND('STERLING CATALOG - DRY '!B1098,"AAAAADvP03I=")</f>
        <v>#VALUE!</v>
      </c>
      <c r="DL55" t="e">
        <f>AND('STERLING CATALOG - DRY '!C1098,"AAAAADvP03M=")</f>
        <v>#VALUE!</v>
      </c>
      <c r="DM55" t="e">
        <f>AND('STERLING CATALOG - DRY '!D1098,"AAAAADvP03Q=")</f>
        <v>#VALUE!</v>
      </c>
      <c r="DN55" t="e">
        <f>AND('STERLING CATALOG - DRY '!E1098,"AAAAADvP03U=")</f>
        <v>#VALUE!</v>
      </c>
      <c r="DO55" t="e">
        <f>AND('STERLING CATALOG - DRY '!F1098,"AAAAADvP03Y=")</f>
        <v>#VALUE!</v>
      </c>
      <c r="DP55" t="e">
        <f>AND('STERLING CATALOG - DRY '!G1098,"AAAAADvP03c=")</f>
        <v>#VALUE!</v>
      </c>
      <c r="DQ55" t="e">
        <f>AND('STERLING CATALOG - DRY '!H1098,"AAAAADvP03g=")</f>
        <v>#VALUE!</v>
      </c>
      <c r="DR55" t="e">
        <f>AND('STERLING CATALOG - DRY '!I1098,"AAAAADvP03k=")</f>
        <v>#VALUE!</v>
      </c>
      <c r="DS55" t="e">
        <f>AND('STERLING CATALOG - DRY '!J1098,"AAAAADvP03o=")</f>
        <v>#VALUE!</v>
      </c>
      <c r="DT55">
        <f>IF('STERLING CATALOG - DRY '!1099:1099,"AAAAADvP03s=",0)</f>
        <v>0</v>
      </c>
      <c r="DU55" t="e">
        <f>AND('STERLING CATALOG - DRY '!A1099,"AAAAADvP03w=")</f>
        <v>#VALUE!</v>
      </c>
      <c r="DV55" t="e">
        <f>AND('STERLING CATALOG - DRY '!B1099,"AAAAADvP030=")</f>
        <v>#VALUE!</v>
      </c>
      <c r="DW55" t="e">
        <f>AND('STERLING CATALOG - DRY '!C1099,"AAAAADvP034=")</f>
        <v>#VALUE!</v>
      </c>
      <c r="DX55" t="e">
        <f>AND('STERLING CATALOG - DRY '!D1099,"AAAAADvP038=")</f>
        <v>#VALUE!</v>
      </c>
      <c r="DY55" t="e">
        <f>AND('STERLING CATALOG - DRY '!E1099,"AAAAADvP04A=")</f>
        <v>#VALUE!</v>
      </c>
      <c r="DZ55" t="e">
        <f>AND('STERLING CATALOG - DRY '!F1099,"AAAAADvP04E=")</f>
        <v>#VALUE!</v>
      </c>
      <c r="EA55" t="e">
        <f>AND('STERLING CATALOG - DRY '!G1099,"AAAAADvP04I=")</f>
        <v>#VALUE!</v>
      </c>
      <c r="EB55" t="e">
        <f>AND('STERLING CATALOG - DRY '!H1099,"AAAAADvP04M=")</f>
        <v>#VALUE!</v>
      </c>
      <c r="EC55" t="e">
        <f>AND('STERLING CATALOG - DRY '!I1099,"AAAAADvP04Q=")</f>
        <v>#VALUE!</v>
      </c>
      <c r="ED55" t="e">
        <f>AND('STERLING CATALOG - DRY '!J1099,"AAAAADvP04U=")</f>
        <v>#VALUE!</v>
      </c>
      <c r="EE55">
        <f>IF('STERLING CATALOG - DRY '!1100:1100,"AAAAADvP04Y=",0)</f>
        <v>0</v>
      </c>
      <c r="EF55" t="e">
        <f>AND('STERLING CATALOG - DRY '!A1100,"AAAAADvP04c=")</f>
        <v>#VALUE!</v>
      </c>
      <c r="EG55" t="e">
        <f>AND('STERLING CATALOG - DRY '!B1100,"AAAAADvP04g=")</f>
        <v>#VALUE!</v>
      </c>
      <c r="EH55" t="e">
        <f>AND('STERLING CATALOG - DRY '!C1100,"AAAAADvP04k=")</f>
        <v>#VALUE!</v>
      </c>
      <c r="EI55" t="e">
        <f>AND('STERLING CATALOG - DRY '!D1100,"AAAAADvP04o=")</f>
        <v>#VALUE!</v>
      </c>
      <c r="EJ55" t="e">
        <f>AND('STERLING CATALOG - DRY '!E1100,"AAAAADvP04s=")</f>
        <v>#VALUE!</v>
      </c>
      <c r="EK55" t="e">
        <f>AND('STERLING CATALOG - DRY '!F1100,"AAAAADvP04w=")</f>
        <v>#VALUE!</v>
      </c>
      <c r="EL55" t="e">
        <f>AND('STERLING CATALOG - DRY '!G1100,"AAAAADvP040=")</f>
        <v>#VALUE!</v>
      </c>
      <c r="EM55" t="e">
        <f>AND('STERLING CATALOG - DRY '!H1100,"AAAAADvP044=")</f>
        <v>#VALUE!</v>
      </c>
      <c r="EN55" t="e">
        <f>AND('STERLING CATALOG - DRY '!I1100,"AAAAADvP048=")</f>
        <v>#VALUE!</v>
      </c>
      <c r="EO55" t="e">
        <f>AND('STERLING CATALOG - DRY '!J1100,"AAAAADvP05A=")</f>
        <v>#VALUE!</v>
      </c>
      <c r="EP55">
        <f>IF('STERLING CATALOG - DRY '!1101:1101,"AAAAADvP05E=",0)</f>
        <v>0</v>
      </c>
      <c r="EQ55" t="e">
        <f>AND('STERLING CATALOG - DRY '!A1101,"AAAAADvP05I=")</f>
        <v>#VALUE!</v>
      </c>
      <c r="ER55" t="e">
        <f>AND('STERLING CATALOG - DRY '!B1101,"AAAAADvP05M=")</f>
        <v>#VALUE!</v>
      </c>
      <c r="ES55" t="e">
        <f>AND('STERLING CATALOG - DRY '!C1101,"AAAAADvP05Q=")</f>
        <v>#VALUE!</v>
      </c>
      <c r="ET55" t="e">
        <f>AND('STERLING CATALOG - DRY '!D1101,"AAAAADvP05U=")</f>
        <v>#VALUE!</v>
      </c>
      <c r="EU55" t="e">
        <f>AND('STERLING CATALOG - DRY '!E1101,"AAAAADvP05Y=")</f>
        <v>#VALUE!</v>
      </c>
      <c r="EV55" t="e">
        <f>AND('STERLING CATALOG - DRY '!F1101,"AAAAADvP05c=")</f>
        <v>#VALUE!</v>
      </c>
      <c r="EW55" t="e">
        <f>AND('STERLING CATALOG - DRY '!G1101,"AAAAADvP05g=")</f>
        <v>#VALUE!</v>
      </c>
      <c r="EX55" t="e">
        <f>AND('STERLING CATALOG - DRY '!H1101,"AAAAADvP05k=")</f>
        <v>#VALUE!</v>
      </c>
      <c r="EY55" t="e">
        <f>AND('STERLING CATALOG - DRY '!I1101,"AAAAADvP05o=")</f>
        <v>#VALUE!</v>
      </c>
      <c r="EZ55" t="e">
        <f>AND('STERLING CATALOG - DRY '!J1101,"AAAAADvP05s=")</f>
        <v>#VALUE!</v>
      </c>
      <c r="FA55">
        <f>IF('STERLING CATALOG - DRY '!1102:1102,"AAAAADvP05w=",0)</f>
        <v>0</v>
      </c>
      <c r="FB55" t="e">
        <f>AND('STERLING CATALOG - DRY '!A1102,"AAAAADvP050=")</f>
        <v>#VALUE!</v>
      </c>
      <c r="FC55" t="e">
        <f>AND('STERLING CATALOG - DRY '!B1102,"AAAAADvP054=")</f>
        <v>#VALUE!</v>
      </c>
      <c r="FD55" t="e">
        <f>AND('STERLING CATALOG - DRY '!C1102,"AAAAADvP058=")</f>
        <v>#VALUE!</v>
      </c>
      <c r="FE55" t="e">
        <f>AND('STERLING CATALOG - DRY '!D1102,"AAAAADvP06A=")</f>
        <v>#VALUE!</v>
      </c>
      <c r="FF55" t="e">
        <f>AND('STERLING CATALOG - DRY '!E1102,"AAAAADvP06E=")</f>
        <v>#VALUE!</v>
      </c>
      <c r="FG55" t="e">
        <f>AND('STERLING CATALOG - DRY '!F1102,"AAAAADvP06I=")</f>
        <v>#VALUE!</v>
      </c>
      <c r="FH55" t="e">
        <f>AND('STERLING CATALOG - DRY '!G1102,"AAAAADvP06M=")</f>
        <v>#VALUE!</v>
      </c>
      <c r="FI55" t="e">
        <f>AND('STERLING CATALOG - DRY '!H1102,"AAAAADvP06Q=")</f>
        <v>#VALUE!</v>
      </c>
      <c r="FJ55" t="e">
        <f>AND('STERLING CATALOG - DRY '!I1102,"AAAAADvP06U=")</f>
        <v>#VALUE!</v>
      </c>
      <c r="FK55" t="e">
        <f>AND('STERLING CATALOG - DRY '!J1102,"AAAAADvP06Y=")</f>
        <v>#VALUE!</v>
      </c>
      <c r="FL55">
        <f>IF('STERLING CATALOG - DRY '!1103:1103,"AAAAADvP06c=",0)</f>
        <v>0</v>
      </c>
      <c r="FM55" t="e">
        <f>AND('STERLING CATALOG - DRY '!A1103,"AAAAADvP06g=")</f>
        <v>#VALUE!</v>
      </c>
      <c r="FN55" t="e">
        <f>AND('STERLING CATALOG - DRY '!B1103,"AAAAADvP06k=")</f>
        <v>#VALUE!</v>
      </c>
      <c r="FO55" t="e">
        <f>AND('STERLING CATALOG - DRY '!C1103,"AAAAADvP06o=")</f>
        <v>#VALUE!</v>
      </c>
      <c r="FP55" t="e">
        <f>AND('STERLING CATALOG - DRY '!D1103,"AAAAADvP06s=")</f>
        <v>#VALUE!</v>
      </c>
      <c r="FQ55" t="e">
        <f>AND('STERLING CATALOG - DRY '!E1103,"AAAAADvP06w=")</f>
        <v>#VALUE!</v>
      </c>
      <c r="FR55" t="e">
        <f>AND('STERLING CATALOG - DRY '!F1103,"AAAAADvP060=")</f>
        <v>#VALUE!</v>
      </c>
      <c r="FS55" t="e">
        <f>AND('STERLING CATALOG - DRY '!G1103,"AAAAADvP064=")</f>
        <v>#VALUE!</v>
      </c>
      <c r="FT55" t="e">
        <f>AND('STERLING CATALOG - DRY '!H1103,"AAAAADvP068=")</f>
        <v>#VALUE!</v>
      </c>
      <c r="FU55" t="e">
        <f>AND('STERLING CATALOG - DRY '!I1103,"AAAAADvP07A=")</f>
        <v>#VALUE!</v>
      </c>
      <c r="FV55" t="e">
        <f>AND('STERLING CATALOG - DRY '!J1103,"AAAAADvP07E=")</f>
        <v>#VALUE!</v>
      </c>
      <c r="FW55">
        <f>IF('STERLING CATALOG - DRY '!1104:1104,"AAAAADvP07I=",0)</f>
        <v>0</v>
      </c>
      <c r="FX55" t="e">
        <f>AND('STERLING CATALOG - DRY '!A1104,"AAAAADvP07M=")</f>
        <v>#VALUE!</v>
      </c>
      <c r="FY55" t="e">
        <f>AND('STERLING CATALOG - DRY '!B1104,"AAAAADvP07Q=")</f>
        <v>#VALUE!</v>
      </c>
      <c r="FZ55" t="e">
        <f>AND('STERLING CATALOG - DRY '!C1104,"AAAAADvP07U=")</f>
        <v>#VALUE!</v>
      </c>
      <c r="GA55" t="e">
        <f>AND('STERLING CATALOG - DRY '!D1104,"AAAAADvP07Y=")</f>
        <v>#VALUE!</v>
      </c>
      <c r="GB55" t="e">
        <f>AND('STERLING CATALOG - DRY '!E1104,"AAAAADvP07c=")</f>
        <v>#VALUE!</v>
      </c>
      <c r="GC55" t="e">
        <f>AND('STERLING CATALOG - DRY '!F1104,"AAAAADvP07g=")</f>
        <v>#VALUE!</v>
      </c>
      <c r="GD55" t="e">
        <f>AND('STERLING CATALOG - DRY '!G1104,"AAAAADvP07k=")</f>
        <v>#VALUE!</v>
      </c>
      <c r="GE55" t="e">
        <f>AND('STERLING CATALOG - DRY '!H1104,"AAAAADvP07o=")</f>
        <v>#VALUE!</v>
      </c>
      <c r="GF55" t="e">
        <f>AND('STERLING CATALOG - DRY '!I1104,"AAAAADvP07s=")</f>
        <v>#VALUE!</v>
      </c>
      <c r="GG55" t="e">
        <f>AND('STERLING CATALOG - DRY '!J1104,"AAAAADvP07w=")</f>
        <v>#VALUE!</v>
      </c>
      <c r="GH55">
        <f>IF('STERLING CATALOG - DRY '!1105:1105,"AAAAADvP070=",0)</f>
        <v>0</v>
      </c>
      <c r="GI55" t="e">
        <f>AND('STERLING CATALOG - DRY '!A1105,"AAAAADvP074=")</f>
        <v>#VALUE!</v>
      </c>
      <c r="GJ55" t="e">
        <f>AND('STERLING CATALOG - DRY '!B1105,"AAAAADvP078=")</f>
        <v>#VALUE!</v>
      </c>
      <c r="GK55" t="e">
        <f>AND('STERLING CATALOG - DRY '!C1105,"AAAAADvP08A=")</f>
        <v>#VALUE!</v>
      </c>
      <c r="GL55" t="e">
        <f>AND('STERLING CATALOG - DRY '!D1105,"AAAAADvP08E=")</f>
        <v>#VALUE!</v>
      </c>
      <c r="GM55" t="e">
        <f>AND('STERLING CATALOG - DRY '!E1105,"AAAAADvP08I=")</f>
        <v>#VALUE!</v>
      </c>
      <c r="GN55" t="e">
        <f>AND('STERLING CATALOG - DRY '!F1105,"AAAAADvP08M=")</f>
        <v>#VALUE!</v>
      </c>
      <c r="GO55" t="e">
        <f>AND('STERLING CATALOG - DRY '!G1105,"AAAAADvP08Q=")</f>
        <v>#VALUE!</v>
      </c>
      <c r="GP55" t="e">
        <f>AND('STERLING CATALOG - DRY '!H1105,"AAAAADvP08U=")</f>
        <v>#VALUE!</v>
      </c>
      <c r="GQ55" t="e">
        <f>AND('STERLING CATALOG - DRY '!I1105,"AAAAADvP08Y=")</f>
        <v>#VALUE!</v>
      </c>
      <c r="GR55" t="e">
        <f>AND('STERLING CATALOG - DRY '!J1105,"AAAAADvP08c=")</f>
        <v>#VALUE!</v>
      </c>
      <c r="GS55">
        <f>IF('STERLING CATALOG - DRY '!1106:1106,"AAAAADvP08g=",0)</f>
        <v>0</v>
      </c>
      <c r="GT55" t="e">
        <f>AND('STERLING CATALOG - DRY '!A1106,"AAAAADvP08k=")</f>
        <v>#VALUE!</v>
      </c>
      <c r="GU55" t="e">
        <f>AND('STERLING CATALOG - DRY '!B1106,"AAAAADvP08o=")</f>
        <v>#VALUE!</v>
      </c>
      <c r="GV55" t="e">
        <f>AND('STERLING CATALOG - DRY '!C1106,"AAAAADvP08s=")</f>
        <v>#VALUE!</v>
      </c>
      <c r="GW55" t="e">
        <f>AND('STERLING CATALOG - DRY '!D1106,"AAAAADvP08w=")</f>
        <v>#VALUE!</v>
      </c>
      <c r="GX55" t="e">
        <f>AND('STERLING CATALOG - DRY '!E1106,"AAAAADvP080=")</f>
        <v>#VALUE!</v>
      </c>
      <c r="GY55" t="e">
        <f>AND('STERLING CATALOG - DRY '!F1106,"AAAAADvP084=")</f>
        <v>#VALUE!</v>
      </c>
      <c r="GZ55" t="e">
        <f>AND('STERLING CATALOG - DRY '!G1106,"AAAAADvP088=")</f>
        <v>#VALUE!</v>
      </c>
      <c r="HA55" t="e">
        <f>AND('STERLING CATALOG - DRY '!H1106,"AAAAADvP09A=")</f>
        <v>#VALUE!</v>
      </c>
      <c r="HB55" t="e">
        <f>AND('STERLING CATALOG - DRY '!I1106,"AAAAADvP09E=")</f>
        <v>#VALUE!</v>
      </c>
      <c r="HC55" t="e">
        <f>AND('STERLING CATALOG - DRY '!J1106,"AAAAADvP09I=")</f>
        <v>#VALUE!</v>
      </c>
      <c r="HD55">
        <f>IF('STERLING CATALOG - DRY '!1107:1107,"AAAAADvP09M=",0)</f>
        <v>0</v>
      </c>
      <c r="HE55" t="e">
        <f>AND('STERLING CATALOG - DRY '!A1107,"AAAAADvP09Q=")</f>
        <v>#VALUE!</v>
      </c>
      <c r="HF55" t="e">
        <f>AND('STERLING CATALOG - DRY '!B1107,"AAAAADvP09U=")</f>
        <v>#VALUE!</v>
      </c>
      <c r="HG55" t="e">
        <f>AND('STERLING CATALOG - DRY '!C1107,"AAAAADvP09Y=")</f>
        <v>#VALUE!</v>
      </c>
      <c r="HH55" t="e">
        <f>AND('STERLING CATALOG - DRY '!D1107,"AAAAADvP09c=")</f>
        <v>#VALUE!</v>
      </c>
      <c r="HI55" t="e">
        <f>AND('STERLING CATALOG - DRY '!E1107,"AAAAADvP09g=")</f>
        <v>#VALUE!</v>
      </c>
      <c r="HJ55" t="e">
        <f>AND('STERLING CATALOG - DRY '!F1107,"AAAAADvP09k=")</f>
        <v>#VALUE!</v>
      </c>
      <c r="HK55" t="e">
        <f>AND('STERLING CATALOG - DRY '!G1107,"AAAAADvP09o=")</f>
        <v>#VALUE!</v>
      </c>
      <c r="HL55" t="e">
        <f>AND('STERLING CATALOG - DRY '!H1107,"AAAAADvP09s=")</f>
        <v>#VALUE!</v>
      </c>
      <c r="HM55" t="e">
        <f>AND('STERLING CATALOG - DRY '!I1107,"AAAAADvP09w=")</f>
        <v>#VALUE!</v>
      </c>
      <c r="HN55" t="e">
        <f>AND('STERLING CATALOG - DRY '!J1107,"AAAAADvP090=")</f>
        <v>#VALUE!</v>
      </c>
      <c r="HO55">
        <f>IF('STERLING CATALOG - DRY '!1108:1108,"AAAAADvP094=",0)</f>
        <v>0</v>
      </c>
      <c r="HP55" t="e">
        <f>AND('STERLING CATALOG - DRY '!A1108,"AAAAADvP098=")</f>
        <v>#VALUE!</v>
      </c>
      <c r="HQ55" t="e">
        <f>AND('STERLING CATALOG - DRY '!B1108,"AAAAADvP0+A=")</f>
        <v>#VALUE!</v>
      </c>
      <c r="HR55" t="e">
        <f>AND('STERLING CATALOG - DRY '!C1108,"AAAAADvP0+E=")</f>
        <v>#VALUE!</v>
      </c>
      <c r="HS55" t="e">
        <f>AND('STERLING CATALOG - DRY '!D1108,"AAAAADvP0+I=")</f>
        <v>#VALUE!</v>
      </c>
      <c r="HT55" t="e">
        <f>AND('STERLING CATALOG - DRY '!E1108,"AAAAADvP0+M=")</f>
        <v>#VALUE!</v>
      </c>
      <c r="HU55" t="e">
        <f>AND('STERLING CATALOG - DRY '!F1108,"AAAAADvP0+Q=")</f>
        <v>#VALUE!</v>
      </c>
      <c r="HV55" t="e">
        <f>AND('STERLING CATALOG - DRY '!G1108,"AAAAADvP0+U=")</f>
        <v>#VALUE!</v>
      </c>
      <c r="HW55" t="e">
        <f>AND('STERLING CATALOG - DRY '!H1108,"AAAAADvP0+Y=")</f>
        <v>#VALUE!</v>
      </c>
      <c r="HX55" t="e">
        <f>AND('STERLING CATALOG - DRY '!I1108,"AAAAADvP0+c=")</f>
        <v>#VALUE!</v>
      </c>
      <c r="HY55" t="e">
        <f>AND('STERLING CATALOG - DRY '!J1108,"AAAAADvP0+g=")</f>
        <v>#VALUE!</v>
      </c>
      <c r="HZ55">
        <f>IF('STERLING CATALOG - DRY '!1109:1109,"AAAAADvP0+k=",0)</f>
        <v>0</v>
      </c>
      <c r="IA55" t="e">
        <f>AND('STERLING CATALOG - DRY '!A1109,"AAAAADvP0+o=")</f>
        <v>#VALUE!</v>
      </c>
      <c r="IB55" t="e">
        <f>AND('STERLING CATALOG - DRY '!B1109,"AAAAADvP0+s=")</f>
        <v>#VALUE!</v>
      </c>
      <c r="IC55" t="e">
        <f>AND('STERLING CATALOG - DRY '!C1109,"AAAAADvP0+w=")</f>
        <v>#VALUE!</v>
      </c>
      <c r="ID55" t="e">
        <f>AND('STERLING CATALOG - DRY '!D1109,"AAAAADvP0+0=")</f>
        <v>#VALUE!</v>
      </c>
      <c r="IE55" t="e">
        <f>AND('STERLING CATALOG - DRY '!E1109,"AAAAADvP0+4=")</f>
        <v>#VALUE!</v>
      </c>
      <c r="IF55" t="e">
        <f>AND('STERLING CATALOG - DRY '!F1109,"AAAAADvP0+8=")</f>
        <v>#VALUE!</v>
      </c>
      <c r="IG55" t="e">
        <f>AND('STERLING CATALOG - DRY '!G1109,"AAAAADvP0/A=")</f>
        <v>#VALUE!</v>
      </c>
      <c r="IH55" t="e">
        <f>AND('STERLING CATALOG - DRY '!H1109,"AAAAADvP0/E=")</f>
        <v>#VALUE!</v>
      </c>
      <c r="II55" t="e">
        <f>AND('STERLING CATALOG - DRY '!I1109,"AAAAADvP0/I=")</f>
        <v>#VALUE!</v>
      </c>
      <c r="IJ55" t="e">
        <f>AND('STERLING CATALOG - DRY '!J1109,"AAAAADvP0/M=")</f>
        <v>#VALUE!</v>
      </c>
      <c r="IK55">
        <f>IF('STERLING CATALOG - DRY '!1110:1110,"AAAAADvP0/Q=",0)</f>
        <v>0</v>
      </c>
      <c r="IL55" t="e">
        <f>AND('STERLING CATALOG - DRY '!A1110,"AAAAADvP0/U=")</f>
        <v>#VALUE!</v>
      </c>
      <c r="IM55" t="e">
        <f>AND('STERLING CATALOG - DRY '!B1110,"AAAAADvP0/Y=")</f>
        <v>#VALUE!</v>
      </c>
      <c r="IN55" t="e">
        <f>AND('STERLING CATALOG - DRY '!C1110,"AAAAADvP0/c=")</f>
        <v>#VALUE!</v>
      </c>
      <c r="IO55" t="e">
        <f>AND('STERLING CATALOG - DRY '!D1110,"AAAAADvP0/g=")</f>
        <v>#VALUE!</v>
      </c>
      <c r="IP55" t="e">
        <f>AND('STERLING CATALOG - DRY '!E1110,"AAAAADvP0/k=")</f>
        <v>#VALUE!</v>
      </c>
      <c r="IQ55" t="e">
        <f>AND('STERLING CATALOG - DRY '!F1110,"AAAAADvP0/o=")</f>
        <v>#VALUE!</v>
      </c>
      <c r="IR55" t="e">
        <f>AND('STERLING CATALOG - DRY '!G1110,"AAAAADvP0/s=")</f>
        <v>#VALUE!</v>
      </c>
      <c r="IS55" t="e">
        <f>AND('STERLING CATALOG - DRY '!H1110,"AAAAADvP0/w=")</f>
        <v>#VALUE!</v>
      </c>
      <c r="IT55" t="e">
        <f>AND('STERLING CATALOG - DRY '!I1110,"AAAAADvP0/0=")</f>
        <v>#VALUE!</v>
      </c>
      <c r="IU55" t="e">
        <f>AND('STERLING CATALOG - DRY '!J1110,"AAAAADvP0/4=")</f>
        <v>#VALUE!</v>
      </c>
      <c r="IV55">
        <f>IF('STERLING CATALOG - DRY '!1111:1111,"AAAAADvP0/8=",0)</f>
        <v>0</v>
      </c>
    </row>
    <row r="56" spans="1:256">
      <c r="A56" t="e">
        <f>AND('STERLING CATALOG - DRY '!A1111,"AAAAAD/27QA=")</f>
        <v>#VALUE!</v>
      </c>
      <c r="B56" t="e">
        <f>AND('STERLING CATALOG - DRY '!B1111,"AAAAAD/27QE=")</f>
        <v>#VALUE!</v>
      </c>
      <c r="C56" t="e">
        <f>AND('STERLING CATALOG - DRY '!C1111,"AAAAAD/27QI=")</f>
        <v>#VALUE!</v>
      </c>
      <c r="D56" t="e">
        <f>AND('STERLING CATALOG - DRY '!D1111,"AAAAAD/27QM=")</f>
        <v>#VALUE!</v>
      </c>
      <c r="E56" t="e">
        <f>AND('STERLING CATALOG - DRY '!E1111,"AAAAAD/27QQ=")</f>
        <v>#VALUE!</v>
      </c>
      <c r="F56" t="e">
        <f>AND('STERLING CATALOG - DRY '!F1111,"AAAAAD/27QU=")</f>
        <v>#VALUE!</v>
      </c>
      <c r="G56" t="e">
        <f>AND('STERLING CATALOG - DRY '!G1111,"AAAAAD/27QY=")</f>
        <v>#VALUE!</v>
      </c>
      <c r="H56" t="e">
        <f>AND('STERLING CATALOG - DRY '!H1111,"AAAAAD/27Qc=")</f>
        <v>#VALUE!</v>
      </c>
      <c r="I56" t="e">
        <f>AND('STERLING CATALOG - DRY '!I1111,"AAAAAD/27Qg=")</f>
        <v>#VALUE!</v>
      </c>
      <c r="J56" t="e">
        <f>AND('STERLING CATALOG - DRY '!J1111,"AAAAAD/27Qk=")</f>
        <v>#VALUE!</v>
      </c>
      <c r="K56">
        <f>IF('STERLING CATALOG - DRY '!1112:1112,"AAAAAD/27Qo=",0)</f>
        <v>0</v>
      </c>
      <c r="L56" t="e">
        <f>AND('STERLING CATALOG - DRY '!A1112,"AAAAAD/27Qs=")</f>
        <v>#VALUE!</v>
      </c>
      <c r="M56" t="e">
        <f>AND('STERLING CATALOG - DRY '!B1112,"AAAAAD/27Qw=")</f>
        <v>#VALUE!</v>
      </c>
      <c r="N56" t="e">
        <f>AND('STERLING CATALOG - DRY '!C1112,"AAAAAD/27Q0=")</f>
        <v>#VALUE!</v>
      </c>
      <c r="O56" t="e">
        <f>AND('STERLING CATALOG - DRY '!D1112,"AAAAAD/27Q4=")</f>
        <v>#VALUE!</v>
      </c>
      <c r="P56" t="e">
        <f>AND('STERLING CATALOG - DRY '!E1112,"AAAAAD/27Q8=")</f>
        <v>#VALUE!</v>
      </c>
      <c r="Q56" t="e">
        <f>AND('STERLING CATALOG - DRY '!F1112,"AAAAAD/27RA=")</f>
        <v>#VALUE!</v>
      </c>
      <c r="R56" t="e">
        <f>AND('STERLING CATALOG - DRY '!G1112,"AAAAAD/27RE=")</f>
        <v>#VALUE!</v>
      </c>
      <c r="S56" t="e">
        <f>AND('STERLING CATALOG - DRY '!H1112,"AAAAAD/27RI=")</f>
        <v>#VALUE!</v>
      </c>
      <c r="T56" t="e">
        <f>AND('STERLING CATALOG - DRY '!I1112,"AAAAAD/27RM=")</f>
        <v>#VALUE!</v>
      </c>
      <c r="U56" t="e">
        <f>AND('STERLING CATALOG - DRY '!J1112,"AAAAAD/27RQ=")</f>
        <v>#VALUE!</v>
      </c>
      <c r="V56">
        <f>IF('STERLING CATALOG - DRY '!1113:1113,"AAAAAD/27RU=",0)</f>
        <v>0</v>
      </c>
      <c r="W56" t="e">
        <f>AND('STERLING CATALOG - DRY '!A1113,"AAAAAD/27RY=")</f>
        <v>#VALUE!</v>
      </c>
      <c r="X56" t="e">
        <f>AND('STERLING CATALOG - DRY '!B1113,"AAAAAD/27Rc=")</f>
        <v>#VALUE!</v>
      </c>
      <c r="Y56" t="e">
        <f>AND('STERLING CATALOG - DRY '!C1113,"AAAAAD/27Rg=")</f>
        <v>#VALUE!</v>
      </c>
      <c r="Z56" t="e">
        <f>AND('STERLING CATALOG - DRY '!D1113,"AAAAAD/27Rk=")</f>
        <v>#VALUE!</v>
      </c>
      <c r="AA56" t="e">
        <f>AND('STERLING CATALOG - DRY '!E1113,"AAAAAD/27Ro=")</f>
        <v>#VALUE!</v>
      </c>
      <c r="AB56" t="e">
        <f>AND('STERLING CATALOG - DRY '!F1113,"AAAAAD/27Rs=")</f>
        <v>#VALUE!</v>
      </c>
      <c r="AC56" t="e">
        <f>AND('STERLING CATALOG - DRY '!G1113,"AAAAAD/27Rw=")</f>
        <v>#VALUE!</v>
      </c>
      <c r="AD56" t="e">
        <f>AND('STERLING CATALOG - DRY '!H1113,"AAAAAD/27R0=")</f>
        <v>#VALUE!</v>
      </c>
      <c r="AE56" t="e">
        <f>AND('STERLING CATALOG - DRY '!I1113,"AAAAAD/27R4=")</f>
        <v>#VALUE!</v>
      </c>
      <c r="AF56" t="e">
        <f>AND('STERLING CATALOG - DRY '!J1113,"AAAAAD/27R8=")</f>
        <v>#VALUE!</v>
      </c>
      <c r="AG56">
        <f>IF('STERLING CATALOG - DRY '!1114:1114,"AAAAAD/27SA=",0)</f>
        <v>0</v>
      </c>
      <c r="AH56" t="e">
        <f>AND('STERLING CATALOG - DRY '!A1114,"AAAAAD/27SE=")</f>
        <v>#VALUE!</v>
      </c>
      <c r="AI56" t="e">
        <f>AND('STERLING CATALOG - DRY '!B1114,"AAAAAD/27SI=")</f>
        <v>#VALUE!</v>
      </c>
      <c r="AJ56" t="e">
        <f>AND('STERLING CATALOG - DRY '!C1114,"AAAAAD/27SM=")</f>
        <v>#VALUE!</v>
      </c>
      <c r="AK56" t="e">
        <f>AND('STERLING CATALOG - DRY '!D1114,"AAAAAD/27SQ=")</f>
        <v>#VALUE!</v>
      </c>
      <c r="AL56" t="e">
        <f>AND('STERLING CATALOG - DRY '!E1114,"AAAAAD/27SU=")</f>
        <v>#VALUE!</v>
      </c>
      <c r="AM56" t="e">
        <f>AND('STERLING CATALOG - DRY '!F1114,"AAAAAD/27SY=")</f>
        <v>#VALUE!</v>
      </c>
      <c r="AN56" t="e">
        <f>AND('STERLING CATALOG - DRY '!G1114,"AAAAAD/27Sc=")</f>
        <v>#VALUE!</v>
      </c>
      <c r="AO56" t="e">
        <f>AND('STERLING CATALOG - DRY '!H1114,"AAAAAD/27Sg=")</f>
        <v>#VALUE!</v>
      </c>
      <c r="AP56" t="e">
        <f>AND('STERLING CATALOG - DRY '!I1114,"AAAAAD/27Sk=")</f>
        <v>#VALUE!</v>
      </c>
      <c r="AQ56" t="e">
        <f>AND('STERLING CATALOG - DRY '!J1114,"AAAAAD/27So=")</f>
        <v>#VALUE!</v>
      </c>
      <c r="AR56">
        <f>IF('STERLING CATALOG - DRY '!1115:1115,"AAAAAD/27Ss=",0)</f>
        <v>0</v>
      </c>
      <c r="AS56" t="e">
        <f>AND('STERLING CATALOG - DRY '!A1115,"AAAAAD/27Sw=")</f>
        <v>#VALUE!</v>
      </c>
      <c r="AT56" t="e">
        <f>AND('STERLING CATALOG - DRY '!B1115,"AAAAAD/27S0=")</f>
        <v>#VALUE!</v>
      </c>
      <c r="AU56" t="e">
        <f>AND('STERLING CATALOG - DRY '!C1115,"AAAAAD/27S4=")</f>
        <v>#VALUE!</v>
      </c>
      <c r="AV56" t="e">
        <f>AND('STERLING CATALOG - DRY '!D1115,"AAAAAD/27S8=")</f>
        <v>#VALUE!</v>
      </c>
      <c r="AW56" t="e">
        <f>AND('STERLING CATALOG - DRY '!E1115,"AAAAAD/27TA=")</f>
        <v>#VALUE!</v>
      </c>
      <c r="AX56" t="e">
        <f>AND('STERLING CATALOG - DRY '!F1115,"AAAAAD/27TE=")</f>
        <v>#VALUE!</v>
      </c>
      <c r="AY56" t="e">
        <f>AND('STERLING CATALOG - DRY '!G1115,"AAAAAD/27TI=")</f>
        <v>#VALUE!</v>
      </c>
      <c r="AZ56" t="e">
        <f>AND('STERLING CATALOG - DRY '!H1115,"AAAAAD/27TM=")</f>
        <v>#VALUE!</v>
      </c>
      <c r="BA56" t="e">
        <f>AND('STERLING CATALOG - DRY '!I1115,"AAAAAD/27TQ=")</f>
        <v>#VALUE!</v>
      </c>
      <c r="BB56" t="e">
        <f>AND('STERLING CATALOG - DRY '!J1115,"AAAAAD/27TU=")</f>
        <v>#VALUE!</v>
      </c>
      <c r="BC56">
        <f>IF('STERLING CATALOG - DRY '!1116:1116,"AAAAAD/27TY=",0)</f>
        <v>0</v>
      </c>
      <c r="BD56" t="e">
        <f>AND('STERLING CATALOG - DRY '!A1116,"AAAAAD/27Tc=")</f>
        <v>#VALUE!</v>
      </c>
      <c r="BE56" t="e">
        <f>AND('STERLING CATALOG - DRY '!B1116,"AAAAAD/27Tg=")</f>
        <v>#VALUE!</v>
      </c>
      <c r="BF56" t="e">
        <f>AND('STERLING CATALOG - DRY '!C1116,"AAAAAD/27Tk=")</f>
        <v>#VALUE!</v>
      </c>
      <c r="BG56" t="e">
        <f>AND('STERLING CATALOG - DRY '!D1116,"AAAAAD/27To=")</f>
        <v>#VALUE!</v>
      </c>
      <c r="BH56" t="e">
        <f>AND('STERLING CATALOG - DRY '!E1116,"AAAAAD/27Ts=")</f>
        <v>#VALUE!</v>
      </c>
      <c r="BI56" t="e">
        <f>AND('STERLING CATALOG - DRY '!F1116,"AAAAAD/27Tw=")</f>
        <v>#VALUE!</v>
      </c>
      <c r="BJ56" t="e">
        <f>AND('STERLING CATALOG - DRY '!G1116,"AAAAAD/27T0=")</f>
        <v>#VALUE!</v>
      </c>
      <c r="BK56" t="e">
        <f>AND('STERLING CATALOG - DRY '!H1116,"AAAAAD/27T4=")</f>
        <v>#VALUE!</v>
      </c>
      <c r="BL56" t="e">
        <f>AND('STERLING CATALOG - DRY '!I1116,"AAAAAD/27T8=")</f>
        <v>#VALUE!</v>
      </c>
      <c r="BM56" t="e">
        <f>AND('STERLING CATALOG - DRY '!J1116,"AAAAAD/27UA=")</f>
        <v>#VALUE!</v>
      </c>
      <c r="BN56">
        <f>IF('STERLING CATALOG - DRY '!1117:1117,"AAAAAD/27UE=",0)</f>
        <v>0</v>
      </c>
      <c r="BO56" t="e">
        <f>AND('STERLING CATALOG - DRY '!A1117,"AAAAAD/27UI=")</f>
        <v>#VALUE!</v>
      </c>
      <c r="BP56" t="e">
        <f>AND('STERLING CATALOG - DRY '!B1117,"AAAAAD/27UM=")</f>
        <v>#VALUE!</v>
      </c>
      <c r="BQ56" t="e">
        <f>AND('STERLING CATALOG - DRY '!C1117,"AAAAAD/27UQ=")</f>
        <v>#VALUE!</v>
      </c>
      <c r="BR56" t="e">
        <f>AND('STERLING CATALOG - DRY '!D1117,"AAAAAD/27UU=")</f>
        <v>#VALUE!</v>
      </c>
      <c r="BS56" t="e">
        <f>AND('STERLING CATALOG - DRY '!E1117,"AAAAAD/27UY=")</f>
        <v>#VALUE!</v>
      </c>
      <c r="BT56" t="e">
        <f>AND('STERLING CATALOG - DRY '!F1117,"AAAAAD/27Uc=")</f>
        <v>#VALUE!</v>
      </c>
      <c r="BU56" t="e">
        <f>AND('STERLING CATALOG - DRY '!G1117,"AAAAAD/27Ug=")</f>
        <v>#VALUE!</v>
      </c>
      <c r="BV56" t="e">
        <f>AND('STERLING CATALOG - DRY '!H1117,"AAAAAD/27Uk=")</f>
        <v>#VALUE!</v>
      </c>
      <c r="BW56" t="e">
        <f>AND('STERLING CATALOG - DRY '!I1117,"AAAAAD/27Uo=")</f>
        <v>#VALUE!</v>
      </c>
      <c r="BX56" t="e">
        <f>AND('STERLING CATALOG - DRY '!J1117,"AAAAAD/27Us=")</f>
        <v>#VALUE!</v>
      </c>
      <c r="BY56">
        <f>IF('STERLING CATALOG - DRY '!1118:1118,"AAAAAD/27Uw=",0)</f>
        <v>0</v>
      </c>
      <c r="BZ56" t="e">
        <f>AND('STERLING CATALOG - DRY '!A1118,"AAAAAD/27U0=")</f>
        <v>#VALUE!</v>
      </c>
      <c r="CA56" t="e">
        <f>AND('STERLING CATALOG - DRY '!B1118,"AAAAAD/27U4=")</f>
        <v>#VALUE!</v>
      </c>
      <c r="CB56" t="e">
        <f>AND('STERLING CATALOG - DRY '!C1118,"AAAAAD/27U8=")</f>
        <v>#VALUE!</v>
      </c>
      <c r="CC56" t="e">
        <f>AND('STERLING CATALOG - DRY '!D1118,"AAAAAD/27VA=")</f>
        <v>#VALUE!</v>
      </c>
      <c r="CD56" t="e">
        <f>AND('STERLING CATALOG - DRY '!E1118,"AAAAAD/27VE=")</f>
        <v>#VALUE!</v>
      </c>
      <c r="CE56" t="e">
        <f>AND('STERLING CATALOG - DRY '!F1118,"AAAAAD/27VI=")</f>
        <v>#VALUE!</v>
      </c>
      <c r="CF56" t="e">
        <f>AND('STERLING CATALOG - DRY '!G1118,"AAAAAD/27VM=")</f>
        <v>#VALUE!</v>
      </c>
      <c r="CG56" t="e">
        <f>AND('STERLING CATALOG - DRY '!H1118,"AAAAAD/27VQ=")</f>
        <v>#VALUE!</v>
      </c>
      <c r="CH56" t="e">
        <f>AND('STERLING CATALOG - DRY '!I1118,"AAAAAD/27VU=")</f>
        <v>#VALUE!</v>
      </c>
      <c r="CI56" t="e">
        <f>AND('STERLING CATALOG - DRY '!J1118,"AAAAAD/27VY=")</f>
        <v>#VALUE!</v>
      </c>
      <c r="CJ56">
        <f>IF('STERLING CATALOG - DRY '!1119:1119,"AAAAAD/27Vc=",0)</f>
        <v>0</v>
      </c>
      <c r="CK56" t="e">
        <f>AND('STERLING CATALOG - DRY '!A1119,"AAAAAD/27Vg=")</f>
        <v>#VALUE!</v>
      </c>
      <c r="CL56" t="e">
        <f>AND('STERLING CATALOG - DRY '!B1119,"AAAAAD/27Vk=")</f>
        <v>#VALUE!</v>
      </c>
      <c r="CM56" t="e">
        <f>AND('STERLING CATALOG - DRY '!C1119,"AAAAAD/27Vo=")</f>
        <v>#VALUE!</v>
      </c>
      <c r="CN56" t="e">
        <f>AND('STERLING CATALOG - DRY '!D1119,"AAAAAD/27Vs=")</f>
        <v>#VALUE!</v>
      </c>
      <c r="CO56" t="e">
        <f>AND('STERLING CATALOG - DRY '!E1119,"AAAAAD/27Vw=")</f>
        <v>#VALUE!</v>
      </c>
      <c r="CP56" t="e">
        <f>AND('STERLING CATALOG - DRY '!F1119,"AAAAAD/27V0=")</f>
        <v>#VALUE!</v>
      </c>
      <c r="CQ56" t="e">
        <f>AND('STERLING CATALOG - DRY '!G1119,"AAAAAD/27V4=")</f>
        <v>#VALUE!</v>
      </c>
      <c r="CR56" t="e">
        <f>AND('STERLING CATALOG - DRY '!H1119,"AAAAAD/27V8=")</f>
        <v>#VALUE!</v>
      </c>
      <c r="CS56" t="e">
        <f>AND('STERLING CATALOG - DRY '!I1119,"AAAAAD/27WA=")</f>
        <v>#VALUE!</v>
      </c>
      <c r="CT56" t="e">
        <f>AND('STERLING CATALOG - DRY '!J1119,"AAAAAD/27WE=")</f>
        <v>#VALUE!</v>
      </c>
      <c r="CU56">
        <f>IF('STERLING CATALOG - DRY '!1120:1120,"AAAAAD/27WI=",0)</f>
        <v>0</v>
      </c>
      <c r="CV56" t="e">
        <f>AND('STERLING CATALOG - DRY '!A1120,"AAAAAD/27WM=")</f>
        <v>#VALUE!</v>
      </c>
      <c r="CW56" t="e">
        <f>AND('STERLING CATALOG - DRY '!B1120,"AAAAAD/27WQ=")</f>
        <v>#VALUE!</v>
      </c>
      <c r="CX56" t="e">
        <f>AND('STERLING CATALOG - DRY '!C1120,"AAAAAD/27WU=")</f>
        <v>#VALUE!</v>
      </c>
      <c r="CY56" t="e">
        <f>AND('STERLING CATALOG - DRY '!D1120,"AAAAAD/27WY=")</f>
        <v>#VALUE!</v>
      </c>
      <c r="CZ56" t="e">
        <f>AND('STERLING CATALOG - DRY '!E1120,"AAAAAD/27Wc=")</f>
        <v>#VALUE!</v>
      </c>
      <c r="DA56" t="e">
        <f>AND('STERLING CATALOG - DRY '!F1120,"AAAAAD/27Wg=")</f>
        <v>#VALUE!</v>
      </c>
      <c r="DB56" t="e">
        <f>AND('STERLING CATALOG - DRY '!G1120,"AAAAAD/27Wk=")</f>
        <v>#VALUE!</v>
      </c>
      <c r="DC56" t="e">
        <f>AND('STERLING CATALOG - DRY '!H1120,"AAAAAD/27Wo=")</f>
        <v>#VALUE!</v>
      </c>
      <c r="DD56" t="e">
        <f>AND('STERLING CATALOG - DRY '!I1120,"AAAAAD/27Ws=")</f>
        <v>#VALUE!</v>
      </c>
      <c r="DE56" t="e">
        <f>AND('STERLING CATALOG - DRY '!J1120,"AAAAAD/27Ww=")</f>
        <v>#VALUE!</v>
      </c>
      <c r="DF56">
        <f>IF('STERLING CATALOG - DRY '!1121:1121,"AAAAAD/27W0=",0)</f>
        <v>0</v>
      </c>
      <c r="DG56" t="e">
        <f>AND('STERLING CATALOG - DRY '!A1121,"AAAAAD/27W4=")</f>
        <v>#VALUE!</v>
      </c>
      <c r="DH56" t="e">
        <f>AND('STERLING CATALOG - DRY '!B1121,"AAAAAD/27W8=")</f>
        <v>#VALUE!</v>
      </c>
      <c r="DI56" t="e">
        <f>AND('STERLING CATALOG - DRY '!C1121,"AAAAAD/27XA=")</f>
        <v>#VALUE!</v>
      </c>
      <c r="DJ56" t="e">
        <f>AND('STERLING CATALOG - DRY '!D1121,"AAAAAD/27XE=")</f>
        <v>#VALUE!</v>
      </c>
      <c r="DK56" t="e">
        <f>AND('STERLING CATALOG - DRY '!E1121,"AAAAAD/27XI=")</f>
        <v>#VALUE!</v>
      </c>
      <c r="DL56" t="e">
        <f>AND('STERLING CATALOG - DRY '!F1121,"AAAAAD/27XM=")</f>
        <v>#VALUE!</v>
      </c>
      <c r="DM56" t="e">
        <f>AND('STERLING CATALOG - DRY '!G1121,"AAAAAD/27XQ=")</f>
        <v>#VALUE!</v>
      </c>
      <c r="DN56" t="e">
        <f>AND('STERLING CATALOG - DRY '!H1121,"AAAAAD/27XU=")</f>
        <v>#VALUE!</v>
      </c>
      <c r="DO56" t="e">
        <f>AND('STERLING CATALOG - DRY '!I1121,"AAAAAD/27XY=")</f>
        <v>#VALUE!</v>
      </c>
      <c r="DP56" t="e">
        <f>AND('STERLING CATALOG - DRY '!J1121,"AAAAAD/27Xc=")</f>
        <v>#VALUE!</v>
      </c>
      <c r="DQ56">
        <f>IF('STERLING CATALOG - DRY '!1122:1122,"AAAAAD/27Xg=",0)</f>
        <v>0</v>
      </c>
      <c r="DR56" t="e">
        <f>AND('STERLING CATALOG - DRY '!A1122,"AAAAAD/27Xk=")</f>
        <v>#VALUE!</v>
      </c>
      <c r="DS56" t="e">
        <f>AND('STERLING CATALOG - DRY '!B1122,"AAAAAD/27Xo=")</f>
        <v>#VALUE!</v>
      </c>
      <c r="DT56" t="e">
        <f>AND('STERLING CATALOG - DRY '!C1122,"AAAAAD/27Xs=")</f>
        <v>#VALUE!</v>
      </c>
      <c r="DU56" t="e">
        <f>AND('STERLING CATALOG - DRY '!D1122,"AAAAAD/27Xw=")</f>
        <v>#VALUE!</v>
      </c>
      <c r="DV56" t="e">
        <f>AND('STERLING CATALOG - DRY '!E1122,"AAAAAD/27X0=")</f>
        <v>#VALUE!</v>
      </c>
      <c r="DW56" t="e">
        <f>AND('STERLING CATALOG - DRY '!F1122,"AAAAAD/27X4=")</f>
        <v>#VALUE!</v>
      </c>
      <c r="DX56" t="e">
        <f>AND('STERLING CATALOG - DRY '!G1122,"AAAAAD/27X8=")</f>
        <v>#VALUE!</v>
      </c>
      <c r="DY56" t="e">
        <f>AND('STERLING CATALOG - DRY '!H1122,"AAAAAD/27YA=")</f>
        <v>#VALUE!</v>
      </c>
      <c r="DZ56" t="e">
        <f>AND('STERLING CATALOG - DRY '!I1122,"AAAAAD/27YE=")</f>
        <v>#VALUE!</v>
      </c>
      <c r="EA56" t="e">
        <f>AND('STERLING CATALOG - DRY '!J1122,"AAAAAD/27YI=")</f>
        <v>#VALUE!</v>
      </c>
      <c r="EB56">
        <f>IF('STERLING CATALOG - DRY '!1123:1123,"AAAAAD/27YM=",0)</f>
        <v>0</v>
      </c>
      <c r="EC56" t="e">
        <f>AND('STERLING CATALOG - DRY '!A1123,"AAAAAD/27YQ=")</f>
        <v>#VALUE!</v>
      </c>
      <c r="ED56" t="e">
        <f>AND('STERLING CATALOG - DRY '!B1123,"AAAAAD/27YU=")</f>
        <v>#VALUE!</v>
      </c>
      <c r="EE56" t="e">
        <f>AND('STERLING CATALOG - DRY '!C1123,"AAAAAD/27YY=")</f>
        <v>#VALUE!</v>
      </c>
      <c r="EF56" t="e">
        <f>AND('STERLING CATALOG - DRY '!D1123,"AAAAAD/27Yc=")</f>
        <v>#VALUE!</v>
      </c>
      <c r="EG56" t="e">
        <f>AND('STERLING CATALOG - DRY '!E1123,"AAAAAD/27Yg=")</f>
        <v>#VALUE!</v>
      </c>
      <c r="EH56" t="e">
        <f>AND('STERLING CATALOG - DRY '!F1123,"AAAAAD/27Yk=")</f>
        <v>#VALUE!</v>
      </c>
      <c r="EI56" t="e">
        <f>AND('STERLING CATALOG - DRY '!G1123,"AAAAAD/27Yo=")</f>
        <v>#VALUE!</v>
      </c>
      <c r="EJ56" t="e">
        <f>AND('STERLING CATALOG - DRY '!H1123,"AAAAAD/27Ys=")</f>
        <v>#VALUE!</v>
      </c>
      <c r="EK56" t="e">
        <f>AND('STERLING CATALOG - DRY '!I1123,"AAAAAD/27Yw=")</f>
        <v>#VALUE!</v>
      </c>
      <c r="EL56" t="e">
        <f>AND('STERLING CATALOG - DRY '!J1123,"AAAAAD/27Y0=")</f>
        <v>#VALUE!</v>
      </c>
      <c r="EM56">
        <f>IF('STERLING CATALOG - DRY '!1124:1124,"AAAAAD/27Y4=",0)</f>
        <v>0</v>
      </c>
      <c r="EN56" t="e">
        <f>AND('STERLING CATALOG - DRY '!A1124,"AAAAAD/27Y8=")</f>
        <v>#VALUE!</v>
      </c>
      <c r="EO56" t="e">
        <f>AND('STERLING CATALOG - DRY '!B1124,"AAAAAD/27ZA=")</f>
        <v>#VALUE!</v>
      </c>
      <c r="EP56" t="e">
        <f>AND('STERLING CATALOG - DRY '!C1124,"AAAAAD/27ZE=")</f>
        <v>#VALUE!</v>
      </c>
      <c r="EQ56" t="e">
        <f>AND('STERLING CATALOG - DRY '!D1124,"AAAAAD/27ZI=")</f>
        <v>#VALUE!</v>
      </c>
      <c r="ER56" t="e">
        <f>AND('STERLING CATALOG - DRY '!E1124,"AAAAAD/27ZM=")</f>
        <v>#VALUE!</v>
      </c>
      <c r="ES56" t="e">
        <f>AND('STERLING CATALOG - DRY '!F1124,"AAAAAD/27ZQ=")</f>
        <v>#VALUE!</v>
      </c>
      <c r="ET56" t="e">
        <f>AND('STERLING CATALOG - DRY '!G1124,"AAAAAD/27ZU=")</f>
        <v>#VALUE!</v>
      </c>
      <c r="EU56" t="e">
        <f>AND('STERLING CATALOG - DRY '!H1124,"AAAAAD/27ZY=")</f>
        <v>#VALUE!</v>
      </c>
      <c r="EV56" t="e">
        <f>AND('STERLING CATALOG - DRY '!I1124,"AAAAAD/27Zc=")</f>
        <v>#VALUE!</v>
      </c>
      <c r="EW56" t="e">
        <f>AND('STERLING CATALOG - DRY '!J1124,"AAAAAD/27Zg=")</f>
        <v>#VALUE!</v>
      </c>
      <c r="EX56">
        <f>IF('STERLING CATALOG - DRY '!1125:1125,"AAAAAD/27Zk=",0)</f>
        <v>0</v>
      </c>
      <c r="EY56" t="e">
        <f>AND('STERLING CATALOG - DRY '!A1125,"AAAAAD/27Zo=")</f>
        <v>#VALUE!</v>
      </c>
      <c r="EZ56" t="e">
        <f>AND('STERLING CATALOG - DRY '!B1125,"AAAAAD/27Zs=")</f>
        <v>#VALUE!</v>
      </c>
      <c r="FA56" t="e">
        <f>AND('STERLING CATALOG - DRY '!C1125,"AAAAAD/27Zw=")</f>
        <v>#VALUE!</v>
      </c>
      <c r="FB56" t="e">
        <f>AND('STERLING CATALOG - DRY '!D1125,"AAAAAD/27Z0=")</f>
        <v>#VALUE!</v>
      </c>
      <c r="FC56" t="e">
        <f>AND('STERLING CATALOG - DRY '!E1125,"AAAAAD/27Z4=")</f>
        <v>#VALUE!</v>
      </c>
      <c r="FD56" t="e">
        <f>AND('STERLING CATALOG - DRY '!F1125,"AAAAAD/27Z8=")</f>
        <v>#VALUE!</v>
      </c>
      <c r="FE56" t="e">
        <f>AND('STERLING CATALOG - DRY '!G1125,"AAAAAD/27aA=")</f>
        <v>#VALUE!</v>
      </c>
      <c r="FF56" t="e">
        <f>AND('STERLING CATALOG - DRY '!H1125,"AAAAAD/27aE=")</f>
        <v>#VALUE!</v>
      </c>
      <c r="FG56" t="e">
        <f>AND('STERLING CATALOG - DRY '!I1125,"AAAAAD/27aI=")</f>
        <v>#VALUE!</v>
      </c>
      <c r="FH56" t="e">
        <f>AND('STERLING CATALOG - DRY '!J1125,"AAAAAD/27aM=")</f>
        <v>#VALUE!</v>
      </c>
      <c r="FI56">
        <f>IF('STERLING CATALOG - DRY '!1126:1126,"AAAAAD/27aQ=",0)</f>
        <v>0</v>
      </c>
      <c r="FJ56" t="e">
        <f>AND('STERLING CATALOG - DRY '!A1126,"AAAAAD/27aU=")</f>
        <v>#VALUE!</v>
      </c>
      <c r="FK56" t="e">
        <f>AND('STERLING CATALOG - DRY '!B1126,"AAAAAD/27aY=")</f>
        <v>#VALUE!</v>
      </c>
      <c r="FL56" t="e">
        <f>AND('STERLING CATALOG - DRY '!C1126,"AAAAAD/27ac=")</f>
        <v>#VALUE!</v>
      </c>
      <c r="FM56" t="e">
        <f>AND('STERLING CATALOG - DRY '!D1126,"AAAAAD/27ag=")</f>
        <v>#VALUE!</v>
      </c>
      <c r="FN56" t="e">
        <f>AND('STERLING CATALOG - DRY '!E1126,"AAAAAD/27ak=")</f>
        <v>#VALUE!</v>
      </c>
      <c r="FO56" t="e">
        <f>AND('STERLING CATALOG - DRY '!F1126,"AAAAAD/27ao=")</f>
        <v>#VALUE!</v>
      </c>
      <c r="FP56" t="e">
        <f>AND('STERLING CATALOG - DRY '!G1126,"AAAAAD/27as=")</f>
        <v>#VALUE!</v>
      </c>
      <c r="FQ56" t="e">
        <f>AND('STERLING CATALOG - DRY '!H1126,"AAAAAD/27aw=")</f>
        <v>#VALUE!</v>
      </c>
      <c r="FR56" t="e">
        <f>AND('STERLING CATALOG - DRY '!I1126,"AAAAAD/27a0=")</f>
        <v>#VALUE!</v>
      </c>
      <c r="FS56" t="e">
        <f>AND('STERLING CATALOG - DRY '!J1126,"AAAAAD/27a4=")</f>
        <v>#VALUE!</v>
      </c>
      <c r="FT56">
        <f>IF('STERLING CATALOG - DRY '!1127:1127,"AAAAAD/27a8=",0)</f>
        <v>0</v>
      </c>
      <c r="FU56" t="e">
        <f>AND('STERLING CATALOG - DRY '!A1127,"AAAAAD/27bA=")</f>
        <v>#VALUE!</v>
      </c>
      <c r="FV56" t="e">
        <f>AND('STERLING CATALOG - DRY '!B1127,"AAAAAD/27bE=")</f>
        <v>#VALUE!</v>
      </c>
      <c r="FW56" t="e">
        <f>AND('STERLING CATALOG - DRY '!C1127,"AAAAAD/27bI=")</f>
        <v>#VALUE!</v>
      </c>
      <c r="FX56" t="e">
        <f>AND('STERLING CATALOG - DRY '!D1127,"AAAAAD/27bM=")</f>
        <v>#VALUE!</v>
      </c>
      <c r="FY56" t="e">
        <f>AND('STERLING CATALOG - DRY '!E1127,"AAAAAD/27bQ=")</f>
        <v>#VALUE!</v>
      </c>
      <c r="FZ56" t="e">
        <f>AND('STERLING CATALOG - DRY '!F1127,"AAAAAD/27bU=")</f>
        <v>#VALUE!</v>
      </c>
      <c r="GA56" t="e">
        <f>AND('STERLING CATALOG - DRY '!G1127,"AAAAAD/27bY=")</f>
        <v>#VALUE!</v>
      </c>
      <c r="GB56" t="e">
        <f>AND('STERLING CATALOG - DRY '!H1127,"AAAAAD/27bc=")</f>
        <v>#VALUE!</v>
      </c>
      <c r="GC56" t="e">
        <f>AND('STERLING CATALOG - DRY '!I1127,"AAAAAD/27bg=")</f>
        <v>#VALUE!</v>
      </c>
      <c r="GD56" t="e">
        <f>AND('STERLING CATALOG - DRY '!J1127,"AAAAAD/27bk=")</f>
        <v>#VALUE!</v>
      </c>
      <c r="GE56">
        <f>IF('STERLING CATALOG - DRY '!1128:1128,"AAAAAD/27bo=",0)</f>
        <v>0</v>
      </c>
      <c r="GF56" t="e">
        <f>AND('STERLING CATALOG - DRY '!A1128,"AAAAAD/27bs=")</f>
        <v>#VALUE!</v>
      </c>
      <c r="GG56" t="e">
        <f>AND('STERLING CATALOG - DRY '!B1128,"AAAAAD/27bw=")</f>
        <v>#VALUE!</v>
      </c>
      <c r="GH56" t="e">
        <f>AND('STERLING CATALOG - DRY '!C1128,"AAAAAD/27b0=")</f>
        <v>#VALUE!</v>
      </c>
      <c r="GI56" t="e">
        <f>AND('STERLING CATALOG - DRY '!D1128,"AAAAAD/27b4=")</f>
        <v>#VALUE!</v>
      </c>
      <c r="GJ56" t="e">
        <f>AND('STERLING CATALOG - DRY '!E1128,"AAAAAD/27b8=")</f>
        <v>#VALUE!</v>
      </c>
      <c r="GK56" t="e">
        <f>AND('STERLING CATALOG - DRY '!F1128,"AAAAAD/27cA=")</f>
        <v>#VALUE!</v>
      </c>
      <c r="GL56" t="e">
        <f>AND('STERLING CATALOG - DRY '!G1128,"AAAAAD/27cE=")</f>
        <v>#VALUE!</v>
      </c>
      <c r="GM56" t="e">
        <f>AND('STERLING CATALOG - DRY '!H1128,"AAAAAD/27cI=")</f>
        <v>#VALUE!</v>
      </c>
      <c r="GN56" t="e">
        <f>AND('STERLING CATALOG - DRY '!I1128,"AAAAAD/27cM=")</f>
        <v>#VALUE!</v>
      </c>
      <c r="GO56" t="e">
        <f>AND('STERLING CATALOG - DRY '!J1128,"AAAAAD/27cQ=")</f>
        <v>#VALUE!</v>
      </c>
      <c r="GP56">
        <f>IF('STERLING CATALOG - DRY '!1129:1129,"AAAAAD/27cU=",0)</f>
        <v>0</v>
      </c>
      <c r="GQ56" t="e">
        <f>AND('STERLING CATALOG - DRY '!A1129,"AAAAAD/27cY=")</f>
        <v>#VALUE!</v>
      </c>
      <c r="GR56" t="e">
        <f>AND('STERLING CATALOG - DRY '!B1129,"AAAAAD/27cc=")</f>
        <v>#VALUE!</v>
      </c>
      <c r="GS56" t="e">
        <f>AND('STERLING CATALOG - DRY '!C1129,"AAAAAD/27cg=")</f>
        <v>#VALUE!</v>
      </c>
      <c r="GT56" t="e">
        <f>AND('STERLING CATALOG - DRY '!D1129,"AAAAAD/27ck=")</f>
        <v>#VALUE!</v>
      </c>
      <c r="GU56" t="e">
        <f>AND('STERLING CATALOG - DRY '!E1129,"AAAAAD/27co=")</f>
        <v>#VALUE!</v>
      </c>
      <c r="GV56" t="e">
        <f>AND('STERLING CATALOG - DRY '!F1129,"AAAAAD/27cs=")</f>
        <v>#VALUE!</v>
      </c>
      <c r="GW56" t="e">
        <f>AND('STERLING CATALOG - DRY '!G1129,"AAAAAD/27cw=")</f>
        <v>#VALUE!</v>
      </c>
      <c r="GX56" t="e">
        <f>AND('STERLING CATALOG - DRY '!H1129,"AAAAAD/27c0=")</f>
        <v>#VALUE!</v>
      </c>
      <c r="GY56" t="e">
        <f>AND('STERLING CATALOG - DRY '!I1129,"AAAAAD/27c4=")</f>
        <v>#VALUE!</v>
      </c>
      <c r="GZ56" t="e">
        <f>AND('STERLING CATALOG - DRY '!J1129,"AAAAAD/27c8=")</f>
        <v>#VALUE!</v>
      </c>
      <c r="HA56">
        <f>IF('STERLING CATALOG - DRY '!1130:1130,"AAAAAD/27dA=",0)</f>
        <v>0</v>
      </c>
      <c r="HB56" t="e">
        <f>AND('STERLING CATALOG - DRY '!A1130,"AAAAAD/27dE=")</f>
        <v>#VALUE!</v>
      </c>
      <c r="HC56" t="e">
        <f>AND('STERLING CATALOG - DRY '!B1130,"AAAAAD/27dI=")</f>
        <v>#VALUE!</v>
      </c>
      <c r="HD56" t="e">
        <f>AND('STERLING CATALOG - DRY '!C1130,"AAAAAD/27dM=")</f>
        <v>#VALUE!</v>
      </c>
      <c r="HE56" t="e">
        <f>AND('STERLING CATALOG - DRY '!D1130,"AAAAAD/27dQ=")</f>
        <v>#VALUE!</v>
      </c>
      <c r="HF56" t="e">
        <f>AND('STERLING CATALOG - DRY '!E1130,"AAAAAD/27dU=")</f>
        <v>#VALUE!</v>
      </c>
      <c r="HG56" t="e">
        <f>AND('STERLING CATALOG - DRY '!F1130,"AAAAAD/27dY=")</f>
        <v>#VALUE!</v>
      </c>
      <c r="HH56" t="e">
        <f>AND('STERLING CATALOG - DRY '!G1130,"AAAAAD/27dc=")</f>
        <v>#VALUE!</v>
      </c>
      <c r="HI56" t="e">
        <f>AND('STERLING CATALOG - DRY '!H1130,"AAAAAD/27dg=")</f>
        <v>#VALUE!</v>
      </c>
      <c r="HJ56" t="e">
        <f>AND('STERLING CATALOG - DRY '!I1130,"AAAAAD/27dk=")</f>
        <v>#VALUE!</v>
      </c>
      <c r="HK56" t="e">
        <f>AND('STERLING CATALOG - DRY '!J1130,"AAAAAD/27do=")</f>
        <v>#VALUE!</v>
      </c>
      <c r="HL56">
        <f>IF('STERLING CATALOG - DRY '!1131:1131,"AAAAAD/27ds=",0)</f>
        <v>0</v>
      </c>
      <c r="HM56" t="e">
        <f>AND('STERLING CATALOG - DRY '!A1131,"AAAAAD/27dw=")</f>
        <v>#VALUE!</v>
      </c>
      <c r="HN56" t="e">
        <f>AND('STERLING CATALOG - DRY '!B1131,"AAAAAD/27d0=")</f>
        <v>#VALUE!</v>
      </c>
      <c r="HO56" t="e">
        <f>AND('STERLING CATALOG - DRY '!C1131,"AAAAAD/27d4=")</f>
        <v>#VALUE!</v>
      </c>
      <c r="HP56" t="e">
        <f>AND('STERLING CATALOG - DRY '!D1131,"AAAAAD/27d8=")</f>
        <v>#VALUE!</v>
      </c>
      <c r="HQ56" t="e">
        <f>AND('STERLING CATALOG - DRY '!E1131,"AAAAAD/27eA=")</f>
        <v>#VALUE!</v>
      </c>
      <c r="HR56" t="e">
        <f>AND('STERLING CATALOG - DRY '!F1131,"AAAAAD/27eE=")</f>
        <v>#VALUE!</v>
      </c>
      <c r="HS56" t="e">
        <f>AND('STERLING CATALOG - DRY '!G1131,"AAAAAD/27eI=")</f>
        <v>#VALUE!</v>
      </c>
      <c r="HT56" t="e">
        <f>AND('STERLING CATALOG - DRY '!H1131,"AAAAAD/27eM=")</f>
        <v>#VALUE!</v>
      </c>
      <c r="HU56" t="e">
        <f>AND('STERLING CATALOG - DRY '!I1131,"AAAAAD/27eQ=")</f>
        <v>#VALUE!</v>
      </c>
      <c r="HV56" t="e">
        <f>AND('STERLING CATALOG - DRY '!J1131,"AAAAAD/27eU=")</f>
        <v>#VALUE!</v>
      </c>
      <c r="HW56">
        <f>IF('STERLING CATALOG - DRY '!1132:1132,"AAAAAD/27eY=",0)</f>
        <v>0</v>
      </c>
      <c r="HX56" t="e">
        <f>AND('STERLING CATALOG - DRY '!A1132,"AAAAAD/27ec=")</f>
        <v>#VALUE!</v>
      </c>
      <c r="HY56" t="e">
        <f>AND('STERLING CATALOG - DRY '!B1132,"AAAAAD/27eg=")</f>
        <v>#VALUE!</v>
      </c>
      <c r="HZ56" t="e">
        <f>AND('STERLING CATALOG - DRY '!C1132,"AAAAAD/27ek=")</f>
        <v>#VALUE!</v>
      </c>
      <c r="IA56" t="e">
        <f>AND('STERLING CATALOG - DRY '!D1132,"AAAAAD/27eo=")</f>
        <v>#VALUE!</v>
      </c>
      <c r="IB56" t="e">
        <f>AND('STERLING CATALOG - DRY '!E1132,"AAAAAD/27es=")</f>
        <v>#VALUE!</v>
      </c>
      <c r="IC56" t="e">
        <f>AND('STERLING CATALOG - DRY '!F1132,"AAAAAD/27ew=")</f>
        <v>#VALUE!</v>
      </c>
      <c r="ID56" t="e">
        <f>AND('STERLING CATALOG - DRY '!G1132,"AAAAAD/27e0=")</f>
        <v>#VALUE!</v>
      </c>
      <c r="IE56" t="e">
        <f>AND('STERLING CATALOG - DRY '!H1132,"AAAAAD/27e4=")</f>
        <v>#VALUE!</v>
      </c>
      <c r="IF56" t="e">
        <f>AND('STERLING CATALOG - DRY '!I1132,"AAAAAD/27e8=")</f>
        <v>#VALUE!</v>
      </c>
      <c r="IG56" t="e">
        <f>AND('STERLING CATALOG - DRY '!J1132,"AAAAAD/27fA=")</f>
        <v>#VALUE!</v>
      </c>
      <c r="IH56">
        <f>IF('STERLING CATALOG - DRY '!1133:1133,"AAAAAD/27fE=",0)</f>
        <v>0</v>
      </c>
      <c r="II56" t="e">
        <f>AND('STERLING CATALOG - DRY '!A1133,"AAAAAD/27fI=")</f>
        <v>#VALUE!</v>
      </c>
      <c r="IJ56" t="e">
        <f>AND('STERLING CATALOG - DRY '!B1133,"AAAAAD/27fM=")</f>
        <v>#VALUE!</v>
      </c>
      <c r="IK56" t="e">
        <f>AND('STERLING CATALOG - DRY '!C1133,"AAAAAD/27fQ=")</f>
        <v>#VALUE!</v>
      </c>
      <c r="IL56" t="e">
        <f>AND('STERLING CATALOG - DRY '!D1133,"AAAAAD/27fU=")</f>
        <v>#VALUE!</v>
      </c>
      <c r="IM56" t="e">
        <f>AND('STERLING CATALOG - DRY '!E1133,"AAAAAD/27fY=")</f>
        <v>#VALUE!</v>
      </c>
      <c r="IN56" t="e">
        <f>AND('STERLING CATALOG - DRY '!F1133,"AAAAAD/27fc=")</f>
        <v>#VALUE!</v>
      </c>
      <c r="IO56" t="e">
        <f>AND('STERLING CATALOG - DRY '!G1133,"AAAAAD/27fg=")</f>
        <v>#VALUE!</v>
      </c>
      <c r="IP56" t="e">
        <f>AND('STERLING CATALOG - DRY '!H1133,"AAAAAD/27fk=")</f>
        <v>#VALUE!</v>
      </c>
      <c r="IQ56" t="e">
        <f>AND('STERLING CATALOG - DRY '!I1133,"AAAAAD/27fo=")</f>
        <v>#VALUE!</v>
      </c>
      <c r="IR56" t="e">
        <f>AND('STERLING CATALOG - DRY '!J1133,"AAAAAD/27fs=")</f>
        <v>#VALUE!</v>
      </c>
      <c r="IS56">
        <f>IF('STERLING CATALOG - DRY '!1134:1134,"AAAAAD/27fw=",0)</f>
        <v>0</v>
      </c>
      <c r="IT56" t="e">
        <f>AND('STERLING CATALOG - DRY '!A1134,"AAAAAD/27f0=")</f>
        <v>#VALUE!</v>
      </c>
      <c r="IU56" t="e">
        <f>AND('STERLING CATALOG - DRY '!B1134,"AAAAAD/27f4=")</f>
        <v>#VALUE!</v>
      </c>
      <c r="IV56" t="e">
        <f>AND('STERLING CATALOG - DRY '!C1134,"AAAAAD/27f8=")</f>
        <v>#VALUE!</v>
      </c>
    </row>
    <row r="57" spans="1:256">
      <c r="A57" t="e">
        <f>AND('STERLING CATALOG - DRY '!D1134,"AAAAAA+76wA=")</f>
        <v>#VALUE!</v>
      </c>
      <c r="B57" t="e">
        <f>AND('STERLING CATALOG - DRY '!E1134,"AAAAAA+76wE=")</f>
        <v>#VALUE!</v>
      </c>
      <c r="C57" t="e">
        <f>AND('STERLING CATALOG - DRY '!F1134,"AAAAAA+76wI=")</f>
        <v>#VALUE!</v>
      </c>
      <c r="D57" t="e">
        <f>AND('STERLING CATALOG - DRY '!G1134,"AAAAAA+76wM=")</f>
        <v>#VALUE!</v>
      </c>
      <c r="E57" t="e">
        <f>AND('STERLING CATALOG - DRY '!H1134,"AAAAAA+76wQ=")</f>
        <v>#VALUE!</v>
      </c>
      <c r="F57" t="e">
        <f>AND('STERLING CATALOG - DRY '!I1134,"AAAAAA+76wU=")</f>
        <v>#VALUE!</v>
      </c>
      <c r="G57" t="e">
        <f>AND('STERLING CATALOG - DRY '!J1134,"AAAAAA+76wY=")</f>
        <v>#VALUE!</v>
      </c>
      <c r="H57" t="str">
        <f>IF('STERLING CATALOG - DRY '!1135:1135,"AAAAAA+76wc=",0)</f>
        <v>AAAAAA+76wc=</v>
      </c>
      <c r="I57" t="e">
        <f>AND('STERLING CATALOG - DRY '!A1135,"AAAAAA+76wg=")</f>
        <v>#VALUE!</v>
      </c>
      <c r="J57" t="e">
        <f>AND('STERLING CATALOG - DRY '!B1135,"AAAAAA+76wk=")</f>
        <v>#VALUE!</v>
      </c>
      <c r="K57" t="e">
        <f>AND('STERLING CATALOG - DRY '!C1135,"AAAAAA+76wo=")</f>
        <v>#VALUE!</v>
      </c>
      <c r="L57" t="e">
        <f>AND('STERLING CATALOG - DRY '!D1135,"AAAAAA+76ws=")</f>
        <v>#VALUE!</v>
      </c>
      <c r="M57" t="e">
        <f>AND('STERLING CATALOG - DRY '!E1135,"AAAAAA+76ww=")</f>
        <v>#VALUE!</v>
      </c>
      <c r="N57" t="e">
        <f>AND('STERLING CATALOG - DRY '!F1135,"AAAAAA+76w0=")</f>
        <v>#VALUE!</v>
      </c>
      <c r="O57" t="e">
        <f>AND('STERLING CATALOG - DRY '!G1135,"AAAAAA+76w4=")</f>
        <v>#VALUE!</v>
      </c>
      <c r="P57" t="e">
        <f>AND('STERLING CATALOG - DRY '!H1135,"AAAAAA+76w8=")</f>
        <v>#VALUE!</v>
      </c>
      <c r="Q57" t="e">
        <f>AND('STERLING CATALOG - DRY '!I1135,"AAAAAA+76xA=")</f>
        <v>#VALUE!</v>
      </c>
      <c r="R57" t="e">
        <f>AND('STERLING CATALOG - DRY '!J1135,"AAAAAA+76xE=")</f>
        <v>#VALUE!</v>
      </c>
      <c r="S57">
        <f>IF('STERLING CATALOG - DRY '!1136:1136,"AAAAAA+76xI=",0)</f>
        <v>0</v>
      </c>
      <c r="T57" t="e">
        <f>AND('STERLING CATALOG - DRY '!A1136,"AAAAAA+76xM=")</f>
        <v>#VALUE!</v>
      </c>
      <c r="U57" t="e">
        <f>AND('STERLING CATALOG - DRY '!B1136,"AAAAAA+76xQ=")</f>
        <v>#VALUE!</v>
      </c>
      <c r="V57" t="e">
        <f>AND('STERLING CATALOG - DRY '!C1136,"AAAAAA+76xU=")</f>
        <v>#VALUE!</v>
      </c>
      <c r="W57" t="e">
        <f>AND('STERLING CATALOG - DRY '!D1136,"AAAAAA+76xY=")</f>
        <v>#VALUE!</v>
      </c>
      <c r="X57" t="e">
        <f>AND('STERLING CATALOG - DRY '!E1136,"AAAAAA+76xc=")</f>
        <v>#VALUE!</v>
      </c>
      <c r="Y57" t="e">
        <f>AND('STERLING CATALOG - DRY '!F1136,"AAAAAA+76xg=")</f>
        <v>#VALUE!</v>
      </c>
      <c r="Z57" t="e">
        <f>AND('STERLING CATALOG - DRY '!G1136,"AAAAAA+76xk=")</f>
        <v>#VALUE!</v>
      </c>
      <c r="AA57" t="e">
        <f>AND('STERLING CATALOG - DRY '!H1136,"AAAAAA+76xo=")</f>
        <v>#VALUE!</v>
      </c>
      <c r="AB57" t="e">
        <f>AND('STERLING CATALOG - DRY '!I1136,"AAAAAA+76xs=")</f>
        <v>#VALUE!</v>
      </c>
      <c r="AC57" t="e">
        <f>AND('STERLING CATALOG - DRY '!J1136,"AAAAAA+76xw=")</f>
        <v>#VALUE!</v>
      </c>
      <c r="AD57">
        <f>IF('STERLING CATALOG - DRY '!1137:1137,"AAAAAA+76x0=",0)</f>
        <v>0</v>
      </c>
      <c r="AE57" t="e">
        <f>AND('STERLING CATALOG - DRY '!A1137,"AAAAAA+76x4=")</f>
        <v>#VALUE!</v>
      </c>
      <c r="AF57" t="e">
        <f>AND('STERLING CATALOG - DRY '!B1137,"AAAAAA+76x8=")</f>
        <v>#VALUE!</v>
      </c>
      <c r="AG57" t="e">
        <f>AND('STERLING CATALOG - DRY '!C1137,"AAAAAA+76yA=")</f>
        <v>#VALUE!</v>
      </c>
      <c r="AH57" t="e">
        <f>AND('STERLING CATALOG - DRY '!D1137,"AAAAAA+76yE=")</f>
        <v>#VALUE!</v>
      </c>
      <c r="AI57" t="e">
        <f>AND('STERLING CATALOG - DRY '!E1137,"AAAAAA+76yI=")</f>
        <v>#VALUE!</v>
      </c>
      <c r="AJ57" t="e">
        <f>AND('STERLING CATALOG - DRY '!F1137,"AAAAAA+76yM=")</f>
        <v>#VALUE!</v>
      </c>
      <c r="AK57" t="e">
        <f>AND('STERLING CATALOG - DRY '!G1137,"AAAAAA+76yQ=")</f>
        <v>#VALUE!</v>
      </c>
      <c r="AL57" t="e">
        <f>AND('STERLING CATALOG - DRY '!H1137,"AAAAAA+76yU=")</f>
        <v>#VALUE!</v>
      </c>
      <c r="AM57" t="e">
        <f>AND('STERLING CATALOG - DRY '!I1137,"AAAAAA+76yY=")</f>
        <v>#VALUE!</v>
      </c>
      <c r="AN57" t="e">
        <f>AND('STERLING CATALOG - DRY '!J1137,"AAAAAA+76yc=")</f>
        <v>#VALUE!</v>
      </c>
      <c r="AO57">
        <f>IF('STERLING CATALOG - DRY '!1138:1138,"AAAAAA+76yg=",0)</f>
        <v>0</v>
      </c>
      <c r="AP57" t="e">
        <f>AND('STERLING CATALOG - DRY '!A1138,"AAAAAA+76yk=")</f>
        <v>#VALUE!</v>
      </c>
      <c r="AQ57" t="e">
        <f>AND('STERLING CATALOG - DRY '!B1138,"AAAAAA+76yo=")</f>
        <v>#VALUE!</v>
      </c>
      <c r="AR57" t="e">
        <f>AND('STERLING CATALOG - DRY '!C1138,"AAAAAA+76ys=")</f>
        <v>#VALUE!</v>
      </c>
      <c r="AS57" t="e">
        <f>AND('STERLING CATALOG - DRY '!D1138,"AAAAAA+76yw=")</f>
        <v>#VALUE!</v>
      </c>
      <c r="AT57" t="e">
        <f>AND('STERLING CATALOG - DRY '!E1138,"AAAAAA+76y0=")</f>
        <v>#VALUE!</v>
      </c>
      <c r="AU57" t="e">
        <f>AND('STERLING CATALOG - DRY '!F1138,"AAAAAA+76y4=")</f>
        <v>#VALUE!</v>
      </c>
      <c r="AV57" t="e">
        <f>AND('STERLING CATALOG - DRY '!G1138,"AAAAAA+76y8=")</f>
        <v>#VALUE!</v>
      </c>
      <c r="AW57" t="e">
        <f>AND('STERLING CATALOG - DRY '!H1138,"AAAAAA+76zA=")</f>
        <v>#VALUE!</v>
      </c>
      <c r="AX57" t="e">
        <f>AND('STERLING CATALOG - DRY '!I1138,"AAAAAA+76zE=")</f>
        <v>#VALUE!</v>
      </c>
      <c r="AY57" t="e">
        <f>AND('STERLING CATALOG - DRY '!J1138,"AAAAAA+76zI=")</f>
        <v>#VALUE!</v>
      </c>
      <c r="AZ57">
        <f>IF('STERLING CATALOG - DRY '!1139:1139,"AAAAAA+76zM=",0)</f>
        <v>0</v>
      </c>
      <c r="BA57" t="e">
        <f>AND('STERLING CATALOG - DRY '!A1139,"AAAAAA+76zQ=")</f>
        <v>#VALUE!</v>
      </c>
      <c r="BB57" t="e">
        <f>AND('STERLING CATALOG - DRY '!B1139,"AAAAAA+76zU=")</f>
        <v>#VALUE!</v>
      </c>
      <c r="BC57" t="e">
        <f>AND('STERLING CATALOG - DRY '!C1139,"AAAAAA+76zY=")</f>
        <v>#VALUE!</v>
      </c>
      <c r="BD57" t="e">
        <f>AND('STERLING CATALOG - DRY '!D1139,"AAAAAA+76zc=")</f>
        <v>#VALUE!</v>
      </c>
      <c r="BE57" t="e">
        <f>AND('STERLING CATALOG - DRY '!E1139,"AAAAAA+76zg=")</f>
        <v>#VALUE!</v>
      </c>
      <c r="BF57" t="e">
        <f>AND('STERLING CATALOG - DRY '!F1139,"AAAAAA+76zk=")</f>
        <v>#VALUE!</v>
      </c>
      <c r="BG57" t="e">
        <f>AND('STERLING CATALOG - DRY '!G1139,"AAAAAA+76zo=")</f>
        <v>#VALUE!</v>
      </c>
      <c r="BH57" t="e">
        <f>AND('STERLING CATALOG - DRY '!H1139,"AAAAAA+76zs=")</f>
        <v>#VALUE!</v>
      </c>
      <c r="BI57" t="e">
        <f>AND('STERLING CATALOG - DRY '!I1139,"AAAAAA+76zw=")</f>
        <v>#VALUE!</v>
      </c>
      <c r="BJ57" t="e">
        <f>AND('STERLING CATALOG - DRY '!J1139,"AAAAAA+76z0=")</f>
        <v>#VALUE!</v>
      </c>
      <c r="BK57">
        <f>IF('STERLING CATALOG - DRY '!1140:1140,"AAAAAA+76z4=",0)</f>
        <v>0</v>
      </c>
      <c r="BL57" t="e">
        <f>AND('STERLING CATALOG - DRY '!A1140,"AAAAAA+76z8=")</f>
        <v>#VALUE!</v>
      </c>
      <c r="BM57" t="e">
        <f>AND('STERLING CATALOG - DRY '!B1140,"AAAAAA+760A=")</f>
        <v>#VALUE!</v>
      </c>
      <c r="BN57" t="e">
        <f>AND('STERLING CATALOG - DRY '!C1140,"AAAAAA+760E=")</f>
        <v>#VALUE!</v>
      </c>
      <c r="BO57" t="e">
        <f>AND('STERLING CATALOG - DRY '!D1140,"AAAAAA+760I=")</f>
        <v>#VALUE!</v>
      </c>
      <c r="BP57" t="e">
        <f>AND('STERLING CATALOG - DRY '!E1140,"AAAAAA+760M=")</f>
        <v>#VALUE!</v>
      </c>
      <c r="BQ57" t="e">
        <f>AND('STERLING CATALOG - DRY '!F1140,"AAAAAA+760Q=")</f>
        <v>#VALUE!</v>
      </c>
      <c r="BR57" t="e">
        <f>AND('STERLING CATALOG - DRY '!G1140,"AAAAAA+760U=")</f>
        <v>#VALUE!</v>
      </c>
      <c r="BS57" t="e">
        <f>AND('STERLING CATALOG - DRY '!H1140,"AAAAAA+760Y=")</f>
        <v>#VALUE!</v>
      </c>
      <c r="BT57" t="e">
        <f>AND('STERLING CATALOG - DRY '!I1140,"AAAAAA+760c=")</f>
        <v>#VALUE!</v>
      </c>
      <c r="BU57" t="e">
        <f>AND('STERLING CATALOG - DRY '!J1140,"AAAAAA+760g=")</f>
        <v>#VALUE!</v>
      </c>
      <c r="BV57">
        <f>IF('STERLING CATALOG - DRY '!1141:1141,"AAAAAA+760k=",0)</f>
        <v>0</v>
      </c>
      <c r="BW57" t="e">
        <f>AND('STERLING CATALOG - DRY '!A1141,"AAAAAA+760o=")</f>
        <v>#VALUE!</v>
      </c>
      <c r="BX57" t="e">
        <f>AND('STERLING CATALOG - DRY '!B1141,"AAAAAA+760s=")</f>
        <v>#VALUE!</v>
      </c>
      <c r="BY57" t="e">
        <f>AND('STERLING CATALOG - DRY '!C1141,"AAAAAA+760w=")</f>
        <v>#VALUE!</v>
      </c>
      <c r="BZ57" t="e">
        <f>AND('STERLING CATALOG - DRY '!D1141,"AAAAAA+7600=")</f>
        <v>#VALUE!</v>
      </c>
      <c r="CA57" t="e">
        <f>AND('STERLING CATALOG - DRY '!E1141,"AAAAAA+7604=")</f>
        <v>#VALUE!</v>
      </c>
      <c r="CB57" t="e">
        <f>AND('STERLING CATALOG - DRY '!F1141,"AAAAAA+7608=")</f>
        <v>#VALUE!</v>
      </c>
      <c r="CC57" t="e">
        <f>AND('STERLING CATALOG - DRY '!G1141,"AAAAAA+761A=")</f>
        <v>#VALUE!</v>
      </c>
      <c r="CD57" t="e">
        <f>AND('STERLING CATALOG - DRY '!H1141,"AAAAAA+761E=")</f>
        <v>#VALUE!</v>
      </c>
      <c r="CE57" t="e">
        <f>AND('STERLING CATALOG - DRY '!I1141,"AAAAAA+761I=")</f>
        <v>#VALUE!</v>
      </c>
      <c r="CF57" t="e">
        <f>AND('STERLING CATALOG - DRY '!J1141,"AAAAAA+761M=")</f>
        <v>#VALUE!</v>
      </c>
      <c r="CG57">
        <f>IF('STERLING CATALOG - DRY '!1142:1142,"AAAAAA+761Q=",0)</f>
        <v>0</v>
      </c>
      <c r="CH57" t="e">
        <f>AND('STERLING CATALOG - DRY '!A1142,"AAAAAA+761U=")</f>
        <v>#VALUE!</v>
      </c>
      <c r="CI57" t="e">
        <f>AND('STERLING CATALOG - DRY '!B1142,"AAAAAA+761Y=")</f>
        <v>#VALUE!</v>
      </c>
      <c r="CJ57" t="e">
        <f>AND('STERLING CATALOG - DRY '!C1142,"AAAAAA+761c=")</f>
        <v>#VALUE!</v>
      </c>
      <c r="CK57" t="e">
        <f>AND('STERLING CATALOG - DRY '!D1142,"AAAAAA+761g=")</f>
        <v>#VALUE!</v>
      </c>
      <c r="CL57" t="e">
        <f>AND('STERLING CATALOG - DRY '!E1142,"AAAAAA+761k=")</f>
        <v>#VALUE!</v>
      </c>
      <c r="CM57" t="e">
        <f>AND('STERLING CATALOG - DRY '!F1142,"AAAAAA+761o=")</f>
        <v>#VALUE!</v>
      </c>
      <c r="CN57" t="e">
        <f>AND('STERLING CATALOG - DRY '!G1142,"AAAAAA+761s=")</f>
        <v>#VALUE!</v>
      </c>
      <c r="CO57" t="e">
        <f>AND('STERLING CATALOG - DRY '!H1142,"AAAAAA+761w=")</f>
        <v>#VALUE!</v>
      </c>
      <c r="CP57" t="e">
        <f>AND('STERLING CATALOG - DRY '!I1142,"AAAAAA+7610=")</f>
        <v>#VALUE!</v>
      </c>
      <c r="CQ57" t="e">
        <f>AND('STERLING CATALOG - DRY '!J1142,"AAAAAA+7614=")</f>
        <v>#VALUE!</v>
      </c>
      <c r="CR57">
        <f>IF('STERLING CATALOG - DRY '!1143:1143,"AAAAAA+7618=",0)</f>
        <v>0</v>
      </c>
      <c r="CS57" t="e">
        <f>AND('STERLING CATALOG - DRY '!A1143,"AAAAAA+762A=")</f>
        <v>#VALUE!</v>
      </c>
      <c r="CT57" t="e">
        <f>AND('STERLING CATALOG - DRY '!B1143,"AAAAAA+762E=")</f>
        <v>#VALUE!</v>
      </c>
      <c r="CU57" t="e">
        <f>AND('STERLING CATALOG - DRY '!C1143,"AAAAAA+762I=")</f>
        <v>#VALUE!</v>
      </c>
      <c r="CV57" t="e">
        <f>AND('STERLING CATALOG - DRY '!D1143,"AAAAAA+762M=")</f>
        <v>#VALUE!</v>
      </c>
      <c r="CW57" t="e">
        <f>AND('STERLING CATALOG - DRY '!E1143,"AAAAAA+762Q=")</f>
        <v>#VALUE!</v>
      </c>
      <c r="CX57" t="e">
        <f>AND('STERLING CATALOG - DRY '!F1143,"AAAAAA+762U=")</f>
        <v>#VALUE!</v>
      </c>
      <c r="CY57" t="e">
        <f>AND('STERLING CATALOG - DRY '!G1143,"AAAAAA+762Y=")</f>
        <v>#VALUE!</v>
      </c>
      <c r="CZ57" t="e">
        <f>AND('STERLING CATALOG - DRY '!H1143,"AAAAAA+762c=")</f>
        <v>#VALUE!</v>
      </c>
      <c r="DA57" t="e">
        <f>AND('STERLING CATALOG - DRY '!I1143,"AAAAAA+762g=")</f>
        <v>#VALUE!</v>
      </c>
      <c r="DB57" t="e">
        <f>AND('STERLING CATALOG - DRY '!J1143,"AAAAAA+762k=")</f>
        <v>#VALUE!</v>
      </c>
      <c r="DC57">
        <f>IF('STERLING CATALOG - DRY '!1144:1144,"AAAAAA+762o=",0)</f>
        <v>0</v>
      </c>
      <c r="DD57" t="e">
        <f>AND('STERLING CATALOG - DRY '!A1144,"AAAAAA+762s=")</f>
        <v>#VALUE!</v>
      </c>
      <c r="DE57" t="e">
        <f>AND('STERLING CATALOG - DRY '!B1144,"AAAAAA+762w=")</f>
        <v>#VALUE!</v>
      </c>
      <c r="DF57" t="e">
        <f>AND('STERLING CATALOG - DRY '!C1144,"AAAAAA+7620=")</f>
        <v>#VALUE!</v>
      </c>
      <c r="DG57" t="e">
        <f>AND('STERLING CATALOG - DRY '!D1144,"AAAAAA+7624=")</f>
        <v>#VALUE!</v>
      </c>
      <c r="DH57" t="e">
        <f>AND('STERLING CATALOG - DRY '!E1144,"AAAAAA+7628=")</f>
        <v>#VALUE!</v>
      </c>
      <c r="DI57" t="e">
        <f>AND('STERLING CATALOG - DRY '!F1144,"AAAAAA+763A=")</f>
        <v>#VALUE!</v>
      </c>
      <c r="DJ57" t="e">
        <f>AND('STERLING CATALOG - DRY '!G1144,"AAAAAA+763E=")</f>
        <v>#VALUE!</v>
      </c>
      <c r="DK57" t="e">
        <f>AND('STERLING CATALOG - DRY '!H1144,"AAAAAA+763I=")</f>
        <v>#VALUE!</v>
      </c>
      <c r="DL57" t="e">
        <f>AND('STERLING CATALOG - DRY '!I1144,"AAAAAA+763M=")</f>
        <v>#VALUE!</v>
      </c>
      <c r="DM57" t="e">
        <f>AND('STERLING CATALOG - DRY '!J1144,"AAAAAA+763Q=")</f>
        <v>#VALUE!</v>
      </c>
      <c r="DN57">
        <f>IF('STERLING CATALOG - DRY '!1145:1145,"AAAAAA+763U=",0)</f>
        <v>0</v>
      </c>
      <c r="DO57" t="e">
        <f>AND('STERLING CATALOG - DRY '!A1145,"AAAAAA+763Y=")</f>
        <v>#VALUE!</v>
      </c>
      <c r="DP57" t="e">
        <f>AND('STERLING CATALOG - DRY '!B1145,"AAAAAA+763c=")</f>
        <v>#VALUE!</v>
      </c>
      <c r="DQ57" t="e">
        <f>AND('STERLING CATALOG - DRY '!C1145,"AAAAAA+763g=")</f>
        <v>#VALUE!</v>
      </c>
      <c r="DR57" t="e">
        <f>AND('STERLING CATALOG - DRY '!D1145,"AAAAAA+763k=")</f>
        <v>#VALUE!</v>
      </c>
      <c r="DS57" t="e">
        <f>AND('STERLING CATALOG - DRY '!E1145,"AAAAAA+763o=")</f>
        <v>#VALUE!</v>
      </c>
      <c r="DT57" t="e">
        <f>AND('STERLING CATALOG - DRY '!F1145,"AAAAAA+763s=")</f>
        <v>#VALUE!</v>
      </c>
      <c r="DU57" t="e">
        <f>AND('STERLING CATALOG - DRY '!G1145,"AAAAAA+763w=")</f>
        <v>#VALUE!</v>
      </c>
      <c r="DV57" t="e">
        <f>AND('STERLING CATALOG - DRY '!H1145,"AAAAAA+7630=")</f>
        <v>#VALUE!</v>
      </c>
      <c r="DW57" t="e">
        <f>AND('STERLING CATALOG - DRY '!I1145,"AAAAAA+7634=")</f>
        <v>#VALUE!</v>
      </c>
      <c r="DX57" t="e">
        <f>AND('STERLING CATALOG - DRY '!J1145,"AAAAAA+7638=")</f>
        <v>#VALUE!</v>
      </c>
      <c r="DY57">
        <f>IF('STERLING CATALOG - DRY '!1146:1146,"AAAAAA+764A=",0)</f>
        <v>0</v>
      </c>
      <c r="DZ57" t="e">
        <f>AND('STERLING CATALOG - DRY '!A1146,"AAAAAA+764E=")</f>
        <v>#VALUE!</v>
      </c>
      <c r="EA57" t="e">
        <f>AND('STERLING CATALOG - DRY '!B1146,"AAAAAA+764I=")</f>
        <v>#VALUE!</v>
      </c>
      <c r="EB57" t="e">
        <f>AND('STERLING CATALOG - DRY '!C1146,"AAAAAA+764M=")</f>
        <v>#VALUE!</v>
      </c>
      <c r="EC57" t="e">
        <f>AND('STERLING CATALOG - DRY '!D1146,"AAAAAA+764Q=")</f>
        <v>#VALUE!</v>
      </c>
      <c r="ED57" t="e">
        <f>AND('STERLING CATALOG - DRY '!E1146,"AAAAAA+764U=")</f>
        <v>#VALUE!</v>
      </c>
      <c r="EE57" t="e">
        <f>AND('STERLING CATALOG - DRY '!F1146,"AAAAAA+764Y=")</f>
        <v>#VALUE!</v>
      </c>
      <c r="EF57" t="e">
        <f>AND('STERLING CATALOG - DRY '!G1146,"AAAAAA+764c=")</f>
        <v>#VALUE!</v>
      </c>
      <c r="EG57" t="e">
        <f>AND('STERLING CATALOG - DRY '!H1146,"AAAAAA+764g=")</f>
        <v>#VALUE!</v>
      </c>
      <c r="EH57" t="e">
        <f>AND('STERLING CATALOG - DRY '!I1146,"AAAAAA+764k=")</f>
        <v>#VALUE!</v>
      </c>
      <c r="EI57" t="e">
        <f>AND('STERLING CATALOG - DRY '!J1146,"AAAAAA+764o=")</f>
        <v>#VALUE!</v>
      </c>
      <c r="EJ57">
        <f>IF('STERLING CATALOG - DRY '!1147:1147,"AAAAAA+764s=",0)</f>
        <v>0</v>
      </c>
      <c r="EK57" t="e">
        <f>AND('STERLING CATALOG - DRY '!A1147,"AAAAAA+764w=")</f>
        <v>#VALUE!</v>
      </c>
      <c r="EL57" t="e">
        <f>AND('STERLING CATALOG - DRY '!B1147,"AAAAAA+7640=")</f>
        <v>#VALUE!</v>
      </c>
      <c r="EM57" t="e">
        <f>AND('STERLING CATALOG - DRY '!C1147,"AAAAAA+7644=")</f>
        <v>#VALUE!</v>
      </c>
      <c r="EN57" t="e">
        <f>AND('STERLING CATALOG - DRY '!D1147,"AAAAAA+7648=")</f>
        <v>#VALUE!</v>
      </c>
      <c r="EO57" t="e">
        <f>AND('STERLING CATALOG - DRY '!E1147,"AAAAAA+765A=")</f>
        <v>#VALUE!</v>
      </c>
      <c r="EP57" t="e">
        <f>AND('STERLING CATALOG - DRY '!F1147,"AAAAAA+765E=")</f>
        <v>#VALUE!</v>
      </c>
      <c r="EQ57" t="e">
        <f>AND('STERLING CATALOG - DRY '!G1147,"AAAAAA+765I=")</f>
        <v>#VALUE!</v>
      </c>
      <c r="ER57" t="e">
        <f>AND('STERLING CATALOG - DRY '!H1147,"AAAAAA+765M=")</f>
        <v>#VALUE!</v>
      </c>
      <c r="ES57" t="e">
        <f>AND('STERLING CATALOG - DRY '!I1147,"AAAAAA+765Q=")</f>
        <v>#VALUE!</v>
      </c>
      <c r="ET57" t="e">
        <f>AND('STERLING CATALOG - DRY '!J1147,"AAAAAA+765U=")</f>
        <v>#VALUE!</v>
      </c>
      <c r="EU57">
        <f>IF('STERLING CATALOG - DRY '!1148:1148,"AAAAAA+765Y=",0)</f>
        <v>0</v>
      </c>
      <c r="EV57" t="e">
        <f>AND('STERLING CATALOG - DRY '!A1148,"AAAAAA+765c=")</f>
        <v>#VALUE!</v>
      </c>
      <c r="EW57" t="e">
        <f>AND('STERLING CATALOG - DRY '!B1148,"AAAAAA+765g=")</f>
        <v>#VALUE!</v>
      </c>
      <c r="EX57" t="e">
        <f>AND('STERLING CATALOG - DRY '!C1148,"AAAAAA+765k=")</f>
        <v>#VALUE!</v>
      </c>
      <c r="EY57" t="e">
        <f>AND('STERLING CATALOG - DRY '!D1148,"AAAAAA+765o=")</f>
        <v>#VALUE!</v>
      </c>
      <c r="EZ57" t="e">
        <f>AND('STERLING CATALOG - DRY '!E1148,"AAAAAA+765s=")</f>
        <v>#VALUE!</v>
      </c>
      <c r="FA57" t="e">
        <f>AND('STERLING CATALOG - DRY '!F1148,"AAAAAA+765w=")</f>
        <v>#VALUE!</v>
      </c>
      <c r="FB57" t="e">
        <f>AND('STERLING CATALOG - DRY '!G1148,"AAAAAA+7650=")</f>
        <v>#VALUE!</v>
      </c>
      <c r="FC57" t="e">
        <f>AND('STERLING CATALOG - DRY '!H1148,"AAAAAA+7654=")</f>
        <v>#VALUE!</v>
      </c>
      <c r="FD57" t="e">
        <f>AND('STERLING CATALOG - DRY '!I1148,"AAAAAA+7658=")</f>
        <v>#VALUE!</v>
      </c>
      <c r="FE57" t="e">
        <f>AND('STERLING CATALOG - DRY '!J1148,"AAAAAA+766A=")</f>
        <v>#VALUE!</v>
      </c>
      <c r="FF57">
        <f>IF('STERLING CATALOG - DRY '!1149:1149,"AAAAAA+766E=",0)</f>
        <v>0</v>
      </c>
      <c r="FG57" t="e">
        <f>AND('STERLING CATALOG - DRY '!A1149,"AAAAAA+766I=")</f>
        <v>#VALUE!</v>
      </c>
      <c r="FH57" t="e">
        <f>AND('STERLING CATALOG - DRY '!B1149,"AAAAAA+766M=")</f>
        <v>#VALUE!</v>
      </c>
      <c r="FI57" t="e">
        <f>AND('STERLING CATALOG - DRY '!C1149,"AAAAAA+766Q=")</f>
        <v>#VALUE!</v>
      </c>
      <c r="FJ57" t="e">
        <f>AND('STERLING CATALOG - DRY '!D1149,"AAAAAA+766U=")</f>
        <v>#VALUE!</v>
      </c>
      <c r="FK57" t="e">
        <f>AND('STERLING CATALOG - DRY '!E1149,"AAAAAA+766Y=")</f>
        <v>#VALUE!</v>
      </c>
      <c r="FL57" t="e">
        <f>AND('STERLING CATALOG - DRY '!F1149,"AAAAAA+766c=")</f>
        <v>#VALUE!</v>
      </c>
      <c r="FM57" t="e">
        <f>AND('STERLING CATALOG - DRY '!G1149,"AAAAAA+766g=")</f>
        <v>#VALUE!</v>
      </c>
      <c r="FN57" t="e">
        <f>AND('STERLING CATALOG - DRY '!H1149,"AAAAAA+766k=")</f>
        <v>#VALUE!</v>
      </c>
      <c r="FO57" t="e">
        <f>AND('STERLING CATALOG - DRY '!I1149,"AAAAAA+766o=")</f>
        <v>#VALUE!</v>
      </c>
      <c r="FP57" t="e">
        <f>AND('STERLING CATALOG - DRY '!J1149,"AAAAAA+766s=")</f>
        <v>#VALUE!</v>
      </c>
      <c r="FQ57">
        <f>IF('STERLING CATALOG - DRY '!1150:1150,"AAAAAA+766w=",0)</f>
        <v>0</v>
      </c>
      <c r="FR57" t="e">
        <f>AND('STERLING CATALOG - DRY '!A1150,"AAAAAA+7660=")</f>
        <v>#VALUE!</v>
      </c>
      <c r="FS57" t="e">
        <f>AND('STERLING CATALOG - DRY '!B1150,"AAAAAA+7664=")</f>
        <v>#VALUE!</v>
      </c>
      <c r="FT57" t="e">
        <f>AND('STERLING CATALOG - DRY '!C1150,"AAAAAA+7668=")</f>
        <v>#VALUE!</v>
      </c>
      <c r="FU57" t="e">
        <f>AND('STERLING CATALOG - DRY '!D1150,"AAAAAA+767A=")</f>
        <v>#VALUE!</v>
      </c>
      <c r="FV57" t="e">
        <f>AND('STERLING CATALOG - DRY '!E1150,"AAAAAA+767E=")</f>
        <v>#VALUE!</v>
      </c>
      <c r="FW57" t="e">
        <f>AND('STERLING CATALOG - DRY '!F1150,"AAAAAA+767I=")</f>
        <v>#VALUE!</v>
      </c>
      <c r="FX57" t="e">
        <f>AND('STERLING CATALOG - DRY '!G1150,"AAAAAA+767M=")</f>
        <v>#VALUE!</v>
      </c>
      <c r="FY57" t="e">
        <f>AND('STERLING CATALOG - DRY '!H1150,"AAAAAA+767Q=")</f>
        <v>#VALUE!</v>
      </c>
      <c r="FZ57" t="e">
        <f>AND('STERLING CATALOG - DRY '!I1150,"AAAAAA+767U=")</f>
        <v>#VALUE!</v>
      </c>
      <c r="GA57" t="e">
        <f>AND('STERLING CATALOG - DRY '!J1150,"AAAAAA+767Y=")</f>
        <v>#VALUE!</v>
      </c>
      <c r="GB57">
        <f>IF('STERLING CATALOG - DRY '!1151:1151,"AAAAAA+767c=",0)</f>
        <v>0</v>
      </c>
      <c r="GC57" t="e">
        <f>AND('STERLING CATALOG - DRY '!A1151,"AAAAAA+767g=")</f>
        <v>#VALUE!</v>
      </c>
      <c r="GD57" t="e">
        <f>AND('STERLING CATALOG - DRY '!B1151,"AAAAAA+767k=")</f>
        <v>#VALUE!</v>
      </c>
      <c r="GE57" t="e">
        <f>AND('STERLING CATALOG - DRY '!C1151,"AAAAAA+767o=")</f>
        <v>#VALUE!</v>
      </c>
      <c r="GF57" t="e">
        <f>AND('STERLING CATALOG - DRY '!D1151,"AAAAAA+767s=")</f>
        <v>#VALUE!</v>
      </c>
      <c r="GG57" t="e">
        <f>AND('STERLING CATALOG - DRY '!E1151,"AAAAAA+767w=")</f>
        <v>#VALUE!</v>
      </c>
      <c r="GH57" t="e">
        <f>AND('STERLING CATALOG - DRY '!F1151,"AAAAAA+7670=")</f>
        <v>#VALUE!</v>
      </c>
      <c r="GI57" t="e">
        <f>AND('STERLING CATALOG - DRY '!G1151,"AAAAAA+7674=")</f>
        <v>#VALUE!</v>
      </c>
      <c r="GJ57" t="e">
        <f>AND('STERLING CATALOG - DRY '!H1151,"AAAAAA+7678=")</f>
        <v>#VALUE!</v>
      </c>
      <c r="GK57" t="e">
        <f>AND('STERLING CATALOG - DRY '!I1151,"AAAAAA+768A=")</f>
        <v>#VALUE!</v>
      </c>
      <c r="GL57" t="e">
        <f>AND('STERLING CATALOG - DRY '!J1151,"AAAAAA+768E=")</f>
        <v>#VALUE!</v>
      </c>
      <c r="GM57">
        <f>IF('STERLING CATALOG - DRY '!1152:1152,"AAAAAA+768I=",0)</f>
        <v>0</v>
      </c>
      <c r="GN57" t="e">
        <f>AND('STERLING CATALOG - DRY '!A1152,"AAAAAA+768M=")</f>
        <v>#VALUE!</v>
      </c>
      <c r="GO57" t="e">
        <f>AND('STERLING CATALOG - DRY '!B1152,"AAAAAA+768Q=")</f>
        <v>#VALUE!</v>
      </c>
      <c r="GP57" t="e">
        <f>AND('STERLING CATALOG - DRY '!C1152,"AAAAAA+768U=")</f>
        <v>#VALUE!</v>
      </c>
      <c r="GQ57" t="e">
        <f>AND('STERLING CATALOG - DRY '!D1152,"AAAAAA+768Y=")</f>
        <v>#VALUE!</v>
      </c>
      <c r="GR57" t="e">
        <f>AND('STERLING CATALOG - DRY '!E1152,"AAAAAA+768c=")</f>
        <v>#VALUE!</v>
      </c>
      <c r="GS57" t="e">
        <f>AND('STERLING CATALOG - DRY '!F1152,"AAAAAA+768g=")</f>
        <v>#VALUE!</v>
      </c>
      <c r="GT57" t="e">
        <f>AND('STERLING CATALOG - DRY '!G1152,"AAAAAA+768k=")</f>
        <v>#VALUE!</v>
      </c>
      <c r="GU57" t="e">
        <f>AND('STERLING CATALOG - DRY '!H1152,"AAAAAA+768o=")</f>
        <v>#VALUE!</v>
      </c>
      <c r="GV57" t="e">
        <f>AND('STERLING CATALOG - DRY '!I1152,"AAAAAA+768s=")</f>
        <v>#VALUE!</v>
      </c>
      <c r="GW57" t="e">
        <f>AND('STERLING CATALOG - DRY '!J1152,"AAAAAA+768w=")</f>
        <v>#VALUE!</v>
      </c>
      <c r="GX57">
        <f>IF('STERLING CATALOG - DRY '!1153:1153,"AAAAAA+7680=",0)</f>
        <v>0</v>
      </c>
      <c r="GY57" t="e">
        <f>AND('STERLING CATALOG - DRY '!A1153,"AAAAAA+7684=")</f>
        <v>#VALUE!</v>
      </c>
      <c r="GZ57" t="e">
        <f>AND('STERLING CATALOG - DRY '!B1153,"AAAAAA+7688=")</f>
        <v>#VALUE!</v>
      </c>
      <c r="HA57" t="e">
        <f>AND('STERLING CATALOG - DRY '!C1153,"AAAAAA+769A=")</f>
        <v>#VALUE!</v>
      </c>
      <c r="HB57" t="e">
        <f>AND('STERLING CATALOG - DRY '!D1153,"AAAAAA+769E=")</f>
        <v>#VALUE!</v>
      </c>
      <c r="HC57" t="e">
        <f>AND('STERLING CATALOG - DRY '!E1153,"AAAAAA+769I=")</f>
        <v>#VALUE!</v>
      </c>
      <c r="HD57" t="e">
        <f>AND('STERLING CATALOG - DRY '!F1153,"AAAAAA+769M=")</f>
        <v>#VALUE!</v>
      </c>
      <c r="HE57" t="e">
        <f>AND('STERLING CATALOG - DRY '!G1153,"AAAAAA+769Q=")</f>
        <v>#VALUE!</v>
      </c>
      <c r="HF57" t="e">
        <f>AND('STERLING CATALOG - DRY '!H1153,"AAAAAA+769U=")</f>
        <v>#VALUE!</v>
      </c>
      <c r="HG57" t="e">
        <f>AND('STERLING CATALOG - DRY '!I1153,"AAAAAA+769Y=")</f>
        <v>#VALUE!</v>
      </c>
      <c r="HH57" t="e">
        <f>AND('STERLING CATALOG - DRY '!J1153,"AAAAAA+769c=")</f>
        <v>#VALUE!</v>
      </c>
      <c r="HI57">
        <f>IF('STERLING CATALOG - DRY '!1154:1154,"AAAAAA+769g=",0)</f>
        <v>0</v>
      </c>
      <c r="HJ57" t="e">
        <f>AND('STERLING CATALOG - DRY '!A1154,"AAAAAA+769k=")</f>
        <v>#VALUE!</v>
      </c>
      <c r="HK57" t="e">
        <f>AND('STERLING CATALOG - DRY '!B1154,"AAAAAA+769o=")</f>
        <v>#VALUE!</v>
      </c>
      <c r="HL57" t="e">
        <f>AND('STERLING CATALOG - DRY '!C1154,"AAAAAA+769s=")</f>
        <v>#VALUE!</v>
      </c>
      <c r="HM57" t="e">
        <f>AND('STERLING CATALOG - DRY '!D1154,"AAAAAA+769w=")</f>
        <v>#VALUE!</v>
      </c>
      <c r="HN57" t="e">
        <f>AND('STERLING CATALOG - DRY '!E1154,"AAAAAA+7690=")</f>
        <v>#VALUE!</v>
      </c>
      <c r="HO57" t="e">
        <f>AND('STERLING CATALOG - DRY '!F1154,"AAAAAA+7694=")</f>
        <v>#VALUE!</v>
      </c>
      <c r="HP57" t="e">
        <f>AND('STERLING CATALOG - DRY '!G1154,"AAAAAA+7698=")</f>
        <v>#VALUE!</v>
      </c>
      <c r="HQ57" t="e">
        <f>AND('STERLING CATALOG - DRY '!H1154,"AAAAAA+76+A=")</f>
        <v>#VALUE!</v>
      </c>
      <c r="HR57" t="e">
        <f>AND('STERLING CATALOG - DRY '!I1154,"AAAAAA+76+E=")</f>
        <v>#VALUE!</v>
      </c>
      <c r="HS57" t="e">
        <f>AND('STERLING CATALOG - DRY '!J1154,"AAAAAA+76+I=")</f>
        <v>#VALUE!</v>
      </c>
      <c r="HT57">
        <f>IF('STERLING CATALOG - DRY '!1155:1155,"AAAAAA+76+M=",0)</f>
        <v>0</v>
      </c>
      <c r="HU57" t="e">
        <f>AND('STERLING CATALOG - DRY '!A1155,"AAAAAA+76+Q=")</f>
        <v>#VALUE!</v>
      </c>
      <c r="HV57" t="e">
        <f>AND('STERLING CATALOG - DRY '!B1155,"AAAAAA+76+U=")</f>
        <v>#VALUE!</v>
      </c>
      <c r="HW57" t="e">
        <f>AND('STERLING CATALOG - DRY '!C1155,"AAAAAA+76+Y=")</f>
        <v>#VALUE!</v>
      </c>
      <c r="HX57" t="e">
        <f>AND('STERLING CATALOG - DRY '!D1155,"AAAAAA+76+c=")</f>
        <v>#VALUE!</v>
      </c>
      <c r="HY57" t="e">
        <f>AND('STERLING CATALOG - DRY '!E1155,"AAAAAA+76+g=")</f>
        <v>#VALUE!</v>
      </c>
      <c r="HZ57" t="e">
        <f>AND('STERLING CATALOG - DRY '!F1155,"AAAAAA+76+k=")</f>
        <v>#VALUE!</v>
      </c>
      <c r="IA57" t="e">
        <f>AND('STERLING CATALOG - DRY '!G1155,"AAAAAA+76+o=")</f>
        <v>#VALUE!</v>
      </c>
      <c r="IB57" t="e">
        <f>AND('STERLING CATALOG - DRY '!H1155,"AAAAAA+76+s=")</f>
        <v>#VALUE!</v>
      </c>
      <c r="IC57" t="e">
        <f>AND('STERLING CATALOG - DRY '!I1155,"AAAAAA+76+w=")</f>
        <v>#VALUE!</v>
      </c>
      <c r="ID57" t="e">
        <f>AND('STERLING CATALOG - DRY '!J1155,"AAAAAA+76+0=")</f>
        <v>#VALUE!</v>
      </c>
      <c r="IE57">
        <f>IF('STERLING CATALOG - DRY '!1156:1156,"AAAAAA+76+4=",0)</f>
        <v>0</v>
      </c>
      <c r="IF57" t="e">
        <f>AND('STERLING CATALOG - DRY '!A1156,"AAAAAA+76+8=")</f>
        <v>#VALUE!</v>
      </c>
      <c r="IG57" t="e">
        <f>AND('STERLING CATALOG - DRY '!B1156,"AAAAAA+76/A=")</f>
        <v>#VALUE!</v>
      </c>
      <c r="IH57" t="e">
        <f>AND('STERLING CATALOG - DRY '!C1156,"AAAAAA+76/E=")</f>
        <v>#VALUE!</v>
      </c>
      <c r="II57" t="e">
        <f>AND('STERLING CATALOG - DRY '!D1156,"AAAAAA+76/I=")</f>
        <v>#VALUE!</v>
      </c>
      <c r="IJ57" t="e">
        <f>AND('STERLING CATALOG - DRY '!E1156,"AAAAAA+76/M=")</f>
        <v>#VALUE!</v>
      </c>
      <c r="IK57" t="e">
        <f>AND('STERLING CATALOG - DRY '!F1156,"AAAAAA+76/Q=")</f>
        <v>#VALUE!</v>
      </c>
      <c r="IL57" t="e">
        <f>AND('STERLING CATALOG - DRY '!G1156,"AAAAAA+76/U=")</f>
        <v>#VALUE!</v>
      </c>
      <c r="IM57" t="e">
        <f>AND('STERLING CATALOG - DRY '!H1156,"AAAAAA+76/Y=")</f>
        <v>#VALUE!</v>
      </c>
      <c r="IN57" t="e">
        <f>AND('STERLING CATALOG - DRY '!I1156,"AAAAAA+76/c=")</f>
        <v>#VALUE!</v>
      </c>
      <c r="IO57" t="e">
        <f>AND('STERLING CATALOG - DRY '!J1156,"AAAAAA+76/g=")</f>
        <v>#VALUE!</v>
      </c>
      <c r="IP57">
        <f>IF('STERLING CATALOG - DRY '!1157:1157,"AAAAAA+76/k=",0)</f>
        <v>0</v>
      </c>
      <c r="IQ57" t="e">
        <f>AND('STERLING CATALOG - DRY '!A1157,"AAAAAA+76/o=")</f>
        <v>#VALUE!</v>
      </c>
      <c r="IR57" t="e">
        <f>AND('STERLING CATALOG - DRY '!B1157,"AAAAAA+76/s=")</f>
        <v>#VALUE!</v>
      </c>
      <c r="IS57" t="e">
        <f>AND('STERLING CATALOG - DRY '!C1157,"AAAAAA+76/w=")</f>
        <v>#VALUE!</v>
      </c>
      <c r="IT57" t="e">
        <f>AND('STERLING CATALOG - DRY '!D1157,"AAAAAA+76/0=")</f>
        <v>#VALUE!</v>
      </c>
      <c r="IU57" t="e">
        <f>AND('STERLING CATALOG - DRY '!E1157,"AAAAAA+76/4=")</f>
        <v>#VALUE!</v>
      </c>
      <c r="IV57" t="e">
        <f>AND('STERLING CATALOG - DRY '!F1157,"AAAAAA+76/8=")</f>
        <v>#VALUE!</v>
      </c>
    </row>
    <row r="58" spans="1:256">
      <c r="A58" t="e">
        <f>AND('STERLING CATALOG - DRY '!G1157,"AAAAAHvd7wA=")</f>
        <v>#VALUE!</v>
      </c>
      <c r="B58" t="e">
        <f>AND('STERLING CATALOG - DRY '!H1157,"AAAAAHvd7wE=")</f>
        <v>#VALUE!</v>
      </c>
      <c r="C58" t="e">
        <f>AND('STERLING CATALOG - DRY '!I1157,"AAAAAHvd7wI=")</f>
        <v>#VALUE!</v>
      </c>
      <c r="D58" t="e">
        <f>AND('STERLING CATALOG - DRY '!J1157,"AAAAAHvd7wM=")</f>
        <v>#VALUE!</v>
      </c>
      <c r="E58" t="e">
        <f>IF('STERLING CATALOG - DRY '!1158:1158,"AAAAAHvd7wQ=",0)</f>
        <v>#VALUE!</v>
      </c>
      <c r="F58" t="e">
        <f>AND('STERLING CATALOG - DRY '!A1158,"AAAAAHvd7wU=")</f>
        <v>#VALUE!</v>
      </c>
      <c r="G58" t="e">
        <f>AND('STERLING CATALOG - DRY '!B1158,"AAAAAHvd7wY=")</f>
        <v>#VALUE!</v>
      </c>
      <c r="H58" t="e">
        <f>AND('STERLING CATALOG - DRY '!C1158,"AAAAAHvd7wc=")</f>
        <v>#VALUE!</v>
      </c>
      <c r="I58" t="e">
        <f>AND('STERLING CATALOG - DRY '!D1158,"AAAAAHvd7wg=")</f>
        <v>#VALUE!</v>
      </c>
      <c r="J58" t="e">
        <f>AND('STERLING CATALOG - DRY '!E1158,"AAAAAHvd7wk=")</f>
        <v>#VALUE!</v>
      </c>
      <c r="K58" t="e">
        <f>AND('STERLING CATALOG - DRY '!F1158,"AAAAAHvd7wo=")</f>
        <v>#VALUE!</v>
      </c>
      <c r="L58" t="e">
        <f>AND('STERLING CATALOG - DRY '!G1158,"AAAAAHvd7ws=")</f>
        <v>#VALUE!</v>
      </c>
      <c r="M58" t="e">
        <f>AND('STERLING CATALOG - DRY '!H1158,"AAAAAHvd7ww=")</f>
        <v>#VALUE!</v>
      </c>
      <c r="N58" t="e">
        <f>AND('STERLING CATALOG - DRY '!I1158,"AAAAAHvd7w0=")</f>
        <v>#VALUE!</v>
      </c>
      <c r="O58" t="e">
        <f>AND('STERLING CATALOG - DRY '!J1158,"AAAAAHvd7w4=")</f>
        <v>#VALUE!</v>
      </c>
      <c r="P58">
        <f>IF('STERLING CATALOG - DRY '!1159:1159,"AAAAAHvd7w8=",0)</f>
        <v>0</v>
      </c>
      <c r="Q58" t="e">
        <f>AND('STERLING CATALOG - DRY '!A1159,"AAAAAHvd7xA=")</f>
        <v>#VALUE!</v>
      </c>
      <c r="R58" t="e">
        <f>AND('STERLING CATALOG - DRY '!B1159,"AAAAAHvd7xE=")</f>
        <v>#VALUE!</v>
      </c>
      <c r="S58" t="e">
        <f>AND('STERLING CATALOG - DRY '!C1159,"AAAAAHvd7xI=")</f>
        <v>#VALUE!</v>
      </c>
      <c r="T58" t="e">
        <f>AND('STERLING CATALOG - DRY '!D1159,"AAAAAHvd7xM=")</f>
        <v>#VALUE!</v>
      </c>
      <c r="U58" t="e">
        <f>AND('STERLING CATALOG - DRY '!E1159,"AAAAAHvd7xQ=")</f>
        <v>#VALUE!</v>
      </c>
      <c r="V58" t="e">
        <f>AND('STERLING CATALOG - DRY '!F1159,"AAAAAHvd7xU=")</f>
        <v>#VALUE!</v>
      </c>
      <c r="W58" t="e">
        <f>AND('STERLING CATALOG - DRY '!G1159,"AAAAAHvd7xY=")</f>
        <v>#VALUE!</v>
      </c>
      <c r="X58" t="e">
        <f>AND('STERLING CATALOG - DRY '!H1159,"AAAAAHvd7xc=")</f>
        <v>#VALUE!</v>
      </c>
      <c r="Y58" t="e">
        <f>AND('STERLING CATALOG - DRY '!I1159,"AAAAAHvd7xg=")</f>
        <v>#VALUE!</v>
      </c>
      <c r="Z58" t="e">
        <f>AND('STERLING CATALOG - DRY '!J1159,"AAAAAHvd7xk=")</f>
        <v>#VALUE!</v>
      </c>
      <c r="AA58">
        <f>IF('STERLING CATALOG - DRY '!1160:1160,"AAAAAHvd7xo=",0)</f>
        <v>0</v>
      </c>
      <c r="AB58" t="e">
        <f>AND('STERLING CATALOG - DRY '!A1160,"AAAAAHvd7xs=")</f>
        <v>#VALUE!</v>
      </c>
      <c r="AC58" t="e">
        <f>AND('STERLING CATALOG - DRY '!B1160,"AAAAAHvd7xw=")</f>
        <v>#VALUE!</v>
      </c>
      <c r="AD58" t="e">
        <f>AND('STERLING CATALOG - DRY '!C1160,"AAAAAHvd7x0=")</f>
        <v>#VALUE!</v>
      </c>
      <c r="AE58" t="e">
        <f>AND('STERLING CATALOG - DRY '!D1160,"AAAAAHvd7x4=")</f>
        <v>#VALUE!</v>
      </c>
      <c r="AF58" t="e">
        <f>AND('STERLING CATALOG - DRY '!E1160,"AAAAAHvd7x8=")</f>
        <v>#VALUE!</v>
      </c>
      <c r="AG58" t="e">
        <f>AND('STERLING CATALOG - DRY '!F1160,"AAAAAHvd7yA=")</f>
        <v>#VALUE!</v>
      </c>
      <c r="AH58" t="e">
        <f>AND('STERLING CATALOG - DRY '!G1160,"AAAAAHvd7yE=")</f>
        <v>#VALUE!</v>
      </c>
      <c r="AI58" t="e">
        <f>AND('STERLING CATALOG - DRY '!H1160,"AAAAAHvd7yI=")</f>
        <v>#VALUE!</v>
      </c>
      <c r="AJ58" t="e">
        <f>AND('STERLING CATALOG - DRY '!I1160,"AAAAAHvd7yM=")</f>
        <v>#VALUE!</v>
      </c>
      <c r="AK58" t="e">
        <f>AND('STERLING CATALOG - DRY '!J1160,"AAAAAHvd7yQ=")</f>
        <v>#VALUE!</v>
      </c>
      <c r="AL58">
        <f>IF('STERLING CATALOG - DRY '!1161:1161,"AAAAAHvd7yU=",0)</f>
        <v>0</v>
      </c>
      <c r="AM58" t="e">
        <f>AND('STERLING CATALOG - DRY '!A1161,"AAAAAHvd7yY=")</f>
        <v>#VALUE!</v>
      </c>
      <c r="AN58" t="e">
        <f>AND('STERLING CATALOG - DRY '!B1161,"AAAAAHvd7yc=")</f>
        <v>#VALUE!</v>
      </c>
      <c r="AO58" t="e">
        <f>AND('STERLING CATALOG - DRY '!C1161,"AAAAAHvd7yg=")</f>
        <v>#VALUE!</v>
      </c>
      <c r="AP58" t="e">
        <f>AND('STERLING CATALOG - DRY '!D1161,"AAAAAHvd7yk=")</f>
        <v>#VALUE!</v>
      </c>
      <c r="AQ58" t="e">
        <f>AND('STERLING CATALOG - DRY '!E1161,"AAAAAHvd7yo=")</f>
        <v>#VALUE!</v>
      </c>
      <c r="AR58" t="e">
        <f>AND('STERLING CATALOG - DRY '!F1161,"AAAAAHvd7ys=")</f>
        <v>#VALUE!</v>
      </c>
      <c r="AS58" t="e">
        <f>AND('STERLING CATALOG - DRY '!G1161,"AAAAAHvd7yw=")</f>
        <v>#VALUE!</v>
      </c>
      <c r="AT58" t="e">
        <f>AND('STERLING CATALOG - DRY '!H1161,"AAAAAHvd7y0=")</f>
        <v>#VALUE!</v>
      </c>
      <c r="AU58" t="e">
        <f>AND('STERLING CATALOG - DRY '!I1161,"AAAAAHvd7y4=")</f>
        <v>#VALUE!</v>
      </c>
      <c r="AV58" t="e">
        <f>AND('STERLING CATALOG - DRY '!J1161,"AAAAAHvd7y8=")</f>
        <v>#VALUE!</v>
      </c>
      <c r="AW58">
        <f>IF('STERLING CATALOG - DRY '!1162:1162,"AAAAAHvd7zA=",0)</f>
        <v>0</v>
      </c>
      <c r="AX58" t="e">
        <f>AND('STERLING CATALOG - DRY '!A1162,"AAAAAHvd7zE=")</f>
        <v>#VALUE!</v>
      </c>
      <c r="AY58" t="e">
        <f>AND('STERLING CATALOG - DRY '!B1162,"AAAAAHvd7zI=")</f>
        <v>#VALUE!</v>
      </c>
      <c r="AZ58" t="e">
        <f>AND('STERLING CATALOG - DRY '!C1162,"AAAAAHvd7zM=")</f>
        <v>#VALUE!</v>
      </c>
      <c r="BA58" t="e">
        <f>AND('STERLING CATALOG - DRY '!D1162,"AAAAAHvd7zQ=")</f>
        <v>#VALUE!</v>
      </c>
      <c r="BB58" t="e">
        <f>AND('STERLING CATALOG - DRY '!E1162,"AAAAAHvd7zU=")</f>
        <v>#VALUE!</v>
      </c>
      <c r="BC58" t="e">
        <f>AND('STERLING CATALOG - DRY '!F1162,"AAAAAHvd7zY=")</f>
        <v>#VALUE!</v>
      </c>
      <c r="BD58" t="e">
        <f>AND('STERLING CATALOG - DRY '!G1162,"AAAAAHvd7zc=")</f>
        <v>#VALUE!</v>
      </c>
      <c r="BE58" t="e">
        <f>AND('STERLING CATALOG - DRY '!H1162,"AAAAAHvd7zg=")</f>
        <v>#VALUE!</v>
      </c>
      <c r="BF58" t="e">
        <f>AND('STERLING CATALOG - DRY '!I1162,"AAAAAHvd7zk=")</f>
        <v>#VALUE!</v>
      </c>
      <c r="BG58" t="e">
        <f>AND('STERLING CATALOG - DRY '!J1162,"AAAAAHvd7zo=")</f>
        <v>#VALUE!</v>
      </c>
      <c r="BH58">
        <f>IF('STERLING CATALOG - DRY '!1163:1163,"AAAAAHvd7zs=",0)</f>
        <v>0</v>
      </c>
      <c r="BI58" t="e">
        <f>AND('STERLING CATALOG - DRY '!A1163,"AAAAAHvd7zw=")</f>
        <v>#VALUE!</v>
      </c>
      <c r="BJ58" t="e">
        <f>AND('STERLING CATALOG - DRY '!B1163,"AAAAAHvd7z0=")</f>
        <v>#VALUE!</v>
      </c>
      <c r="BK58" t="e">
        <f>AND('STERLING CATALOG - DRY '!C1163,"AAAAAHvd7z4=")</f>
        <v>#VALUE!</v>
      </c>
      <c r="BL58" t="e">
        <f>AND('STERLING CATALOG - DRY '!D1163,"AAAAAHvd7z8=")</f>
        <v>#VALUE!</v>
      </c>
      <c r="BM58" t="e">
        <f>AND('STERLING CATALOG - DRY '!E1163,"AAAAAHvd70A=")</f>
        <v>#VALUE!</v>
      </c>
      <c r="BN58" t="e">
        <f>AND('STERLING CATALOG - DRY '!F1163,"AAAAAHvd70E=")</f>
        <v>#VALUE!</v>
      </c>
      <c r="BO58" t="e">
        <f>AND('STERLING CATALOG - DRY '!G1163,"AAAAAHvd70I=")</f>
        <v>#VALUE!</v>
      </c>
      <c r="BP58" t="e">
        <f>AND('STERLING CATALOG - DRY '!H1163,"AAAAAHvd70M=")</f>
        <v>#VALUE!</v>
      </c>
      <c r="BQ58" t="e">
        <f>AND('STERLING CATALOG - DRY '!I1163,"AAAAAHvd70Q=")</f>
        <v>#VALUE!</v>
      </c>
      <c r="BR58" t="e">
        <f>AND('STERLING CATALOG - DRY '!J1163,"AAAAAHvd70U=")</f>
        <v>#VALUE!</v>
      </c>
      <c r="BS58">
        <f>IF('STERLING CATALOG - DRY '!1164:1164,"AAAAAHvd70Y=",0)</f>
        <v>0</v>
      </c>
      <c r="BT58" t="e">
        <f>AND('STERLING CATALOG - DRY '!A1164,"AAAAAHvd70c=")</f>
        <v>#VALUE!</v>
      </c>
      <c r="BU58" t="e">
        <f>AND('STERLING CATALOG - DRY '!B1164,"AAAAAHvd70g=")</f>
        <v>#VALUE!</v>
      </c>
      <c r="BV58" t="e">
        <f>AND('STERLING CATALOG - DRY '!C1164,"AAAAAHvd70k=")</f>
        <v>#VALUE!</v>
      </c>
      <c r="BW58" t="e">
        <f>AND('STERLING CATALOG - DRY '!D1164,"AAAAAHvd70o=")</f>
        <v>#VALUE!</v>
      </c>
      <c r="BX58" t="e">
        <f>AND('STERLING CATALOG - DRY '!E1164,"AAAAAHvd70s=")</f>
        <v>#VALUE!</v>
      </c>
      <c r="BY58" t="e">
        <f>AND('STERLING CATALOG - DRY '!F1164,"AAAAAHvd70w=")</f>
        <v>#VALUE!</v>
      </c>
      <c r="BZ58" t="e">
        <f>AND('STERLING CATALOG - DRY '!G1164,"AAAAAHvd700=")</f>
        <v>#VALUE!</v>
      </c>
      <c r="CA58" t="e">
        <f>AND('STERLING CATALOG - DRY '!H1164,"AAAAAHvd704=")</f>
        <v>#VALUE!</v>
      </c>
      <c r="CB58" t="e">
        <f>AND('STERLING CATALOG - DRY '!I1164,"AAAAAHvd708=")</f>
        <v>#VALUE!</v>
      </c>
      <c r="CC58" t="e">
        <f>AND('STERLING CATALOG - DRY '!J1164,"AAAAAHvd71A=")</f>
        <v>#VALUE!</v>
      </c>
      <c r="CD58">
        <f>IF('STERLING CATALOG - DRY '!1165:1165,"AAAAAHvd71E=",0)</f>
        <v>0</v>
      </c>
      <c r="CE58" t="e">
        <f>AND('STERLING CATALOG - DRY '!A1165,"AAAAAHvd71I=")</f>
        <v>#VALUE!</v>
      </c>
      <c r="CF58" t="e">
        <f>AND('STERLING CATALOG - DRY '!B1165,"AAAAAHvd71M=")</f>
        <v>#VALUE!</v>
      </c>
      <c r="CG58" t="e">
        <f>AND('STERLING CATALOG - DRY '!C1165,"AAAAAHvd71Q=")</f>
        <v>#VALUE!</v>
      </c>
      <c r="CH58" t="e">
        <f>AND('STERLING CATALOG - DRY '!D1165,"AAAAAHvd71U=")</f>
        <v>#VALUE!</v>
      </c>
      <c r="CI58" t="e">
        <f>AND('STERLING CATALOG - DRY '!E1165,"AAAAAHvd71Y=")</f>
        <v>#VALUE!</v>
      </c>
      <c r="CJ58" t="e">
        <f>AND('STERLING CATALOG - DRY '!F1165,"AAAAAHvd71c=")</f>
        <v>#VALUE!</v>
      </c>
      <c r="CK58" t="e">
        <f>AND('STERLING CATALOG - DRY '!G1165,"AAAAAHvd71g=")</f>
        <v>#VALUE!</v>
      </c>
      <c r="CL58" t="e">
        <f>AND('STERLING CATALOG - DRY '!H1165,"AAAAAHvd71k=")</f>
        <v>#VALUE!</v>
      </c>
      <c r="CM58" t="e">
        <f>AND('STERLING CATALOG - DRY '!I1165,"AAAAAHvd71o=")</f>
        <v>#VALUE!</v>
      </c>
      <c r="CN58" t="e">
        <f>AND('STERLING CATALOG - DRY '!J1165,"AAAAAHvd71s=")</f>
        <v>#VALUE!</v>
      </c>
      <c r="CO58">
        <f>IF('STERLING CATALOG - DRY '!1166:1166,"AAAAAHvd71w=",0)</f>
        <v>0</v>
      </c>
      <c r="CP58" t="e">
        <f>AND('STERLING CATALOG - DRY '!A1166,"AAAAAHvd710=")</f>
        <v>#VALUE!</v>
      </c>
      <c r="CQ58" t="e">
        <f>AND('STERLING CATALOG - DRY '!B1166,"AAAAAHvd714=")</f>
        <v>#VALUE!</v>
      </c>
      <c r="CR58" t="e">
        <f>AND('STERLING CATALOG - DRY '!C1166,"AAAAAHvd718=")</f>
        <v>#VALUE!</v>
      </c>
      <c r="CS58" t="e">
        <f>AND('STERLING CATALOG - DRY '!D1166,"AAAAAHvd72A=")</f>
        <v>#VALUE!</v>
      </c>
      <c r="CT58" t="e">
        <f>AND('STERLING CATALOG - DRY '!E1166,"AAAAAHvd72E=")</f>
        <v>#VALUE!</v>
      </c>
      <c r="CU58" t="e">
        <f>AND('STERLING CATALOG - DRY '!F1166,"AAAAAHvd72I=")</f>
        <v>#VALUE!</v>
      </c>
      <c r="CV58" t="e">
        <f>AND('STERLING CATALOG - DRY '!G1166,"AAAAAHvd72M=")</f>
        <v>#VALUE!</v>
      </c>
      <c r="CW58" t="e">
        <f>AND('STERLING CATALOG - DRY '!H1166,"AAAAAHvd72Q=")</f>
        <v>#VALUE!</v>
      </c>
      <c r="CX58" t="e">
        <f>AND('STERLING CATALOG - DRY '!I1166,"AAAAAHvd72U=")</f>
        <v>#VALUE!</v>
      </c>
      <c r="CY58" t="e">
        <f>AND('STERLING CATALOG - DRY '!J1166,"AAAAAHvd72Y=")</f>
        <v>#VALUE!</v>
      </c>
      <c r="CZ58">
        <f>IF('STERLING CATALOG - DRY '!1167:1167,"AAAAAHvd72c=",0)</f>
        <v>0</v>
      </c>
      <c r="DA58" t="e">
        <f>AND('STERLING CATALOG - DRY '!A1167,"AAAAAHvd72g=")</f>
        <v>#VALUE!</v>
      </c>
      <c r="DB58" t="e">
        <f>AND('STERLING CATALOG - DRY '!B1167,"AAAAAHvd72k=")</f>
        <v>#VALUE!</v>
      </c>
      <c r="DC58" t="e">
        <f>AND('STERLING CATALOG - DRY '!C1167,"AAAAAHvd72o=")</f>
        <v>#VALUE!</v>
      </c>
      <c r="DD58" t="e">
        <f>AND('STERLING CATALOG - DRY '!D1167,"AAAAAHvd72s=")</f>
        <v>#VALUE!</v>
      </c>
      <c r="DE58" t="e">
        <f>AND('STERLING CATALOG - DRY '!E1167,"AAAAAHvd72w=")</f>
        <v>#VALUE!</v>
      </c>
      <c r="DF58" t="e">
        <f>AND('STERLING CATALOG - DRY '!F1167,"AAAAAHvd720=")</f>
        <v>#VALUE!</v>
      </c>
      <c r="DG58" t="e">
        <f>AND('STERLING CATALOG - DRY '!G1167,"AAAAAHvd724=")</f>
        <v>#VALUE!</v>
      </c>
      <c r="DH58" t="e">
        <f>AND('STERLING CATALOG - DRY '!H1167,"AAAAAHvd728=")</f>
        <v>#VALUE!</v>
      </c>
      <c r="DI58" t="e">
        <f>AND('STERLING CATALOG - DRY '!I1167,"AAAAAHvd73A=")</f>
        <v>#VALUE!</v>
      </c>
      <c r="DJ58" t="e">
        <f>AND('STERLING CATALOG - DRY '!J1167,"AAAAAHvd73E=")</f>
        <v>#VALUE!</v>
      </c>
      <c r="DK58">
        <f>IF('STERLING CATALOG - DRY '!1168:1168,"AAAAAHvd73I=",0)</f>
        <v>0</v>
      </c>
      <c r="DL58" t="e">
        <f>AND('STERLING CATALOG - DRY '!A1168,"AAAAAHvd73M=")</f>
        <v>#VALUE!</v>
      </c>
      <c r="DM58" t="e">
        <f>AND('STERLING CATALOG - DRY '!B1168,"AAAAAHvd73Q=")</f>
        <v>#VALUE!</v>
      </c>
      <c r="DN58" t="e">
        <f>AND('STERLING CATALOG - DRY '!C1168,"AAAAAHvd73U=")</f>
        <v>#VALUE!</v>
      </c>
      <c r="DO58" t="e">
        <f>AND('STERLING CATALOG - DRY '!D1168,"AAAAAHvd73Y=")</f>
        <v>#VALUE!</v>
      </c>
      <c r="DP58" t="e">
        <f>AND('STERLING CATALOG - DRY '!E1168,"AAAAAHvd73c=")</f>
        <v>#VALUE!</v>
      </c>
      <c r="DQ58" t="e">
        <f>AND('STERLING CATALOG - DRY '!F1168,"AAAAAHvd73g=")</f>
        <v>#VALUE!</v>
      </c>
      <c r="DR58" t="e">
        <f>AND('STERLING CATALOG - DRY '!G1168,"AAAAAHvd73k=")</f>
        <v>#VALUE!</v>
      </c>
      <c r="DS58" t="e">
        <f>AND('STERLING CATALOG - DRY '!H1168,"AAAAAHvd73o=")</f>
        <v>#VALUE!</v>
      </c>
      <c r="DT58" t="e">
        <f>AND('STERLING CATALOG - DRY '!I1168,"AAAAAHvd73s=")</f>
        <v>#VALUE!</v>
      </c>
      <c r="DU58" t="e">
        <f>AND('STERLING CATALOG - DRY '!J1168,"AAAAAHvd73w=")</f>
        <v>#VALUE!</v>
      </c>
      <c r="DV58">
        <f>IF('STERLING CATALOG - DRY '!1169:1169,"AAAAAHvd730=",0)</f>
        <v>0</v>
      </c>
      <c r="DW58" t="e">
        <f>AND('STERLING CATALOG - DRY '!A1169,"AAAAAHvd734=")</f>
        <v>#VALUE!</v>
      </c>
      <c r="DX58" t="e">
        <f>AND('STERLING CATALOG - DRY '!B1169,"AAAAAHvd738=")</f>
        <v>#VALUE!</v>
      </c>
      <c r="DY58" t="e">
        <f>AND('STERLING CATALOG - DRY '!C1169,"AAAAAHvd74A=")</f>
        <v>#VALUE!</v>
      </c>
      <c r="DZ58" t="e">
        <f>AND('STERLING CATALOG - DRY '!D1169,"AAAAAHvd74E=")</f>
        <v>#VALUE!</v>
      </c>
      <c r="EA58" t="e">
        <f>AND('STERLING CATALOG - DRY '!E1169,"AAAAAHvd74I=")</f>
        <v>#VALUE!</v>
      </c>
      <c r="EB58" t="e">
        <f>AND('STERLING CATALOG - DRY '!F1169,"AAAAAHvd74M=")</f>
        <v>#VALUE!</v>
      </c>
      <c r="EC58" t="e">
        <f>AND('STERLING CATALOG - DRY '!G1169,"AAAAAHvd74Q=")</f>
        <v>#VALUE!</v>
      </c>
      <c r="ED58" t="e">
        <f>AND('STERLING CATALOG - DRY '!H1169,"AAAAAHvd74U=")</f>
        <v>#VALUE!</v>
      </c>
      <c r="EE58" t="e">
        <f>AND('STERLING CATALOG - DRY '!I1169,"AAAAAHvd74Y=")</f>
        <v>#VALUE!</v>
      </c>
      <c r="EF58" t="e">
        <f>AND('STERLING CATALOG - DRY '!J1169,"AAAAAHvd74c=")</f>
        <v>#VALUE!</v>
      </c>
      <c r="EG58">
        <f>IF('STERLING CATALOG - DRY '!1170:1170,"AAAAAHvd74g=",0)</f>
        <v>0</v>
      </c>
      <c r="EH58" t="e">
        <f>AND('STERLING CATALOG - DRY '!A1170,"AAAAAHvd74k=")</f>
        <v>#VALUE!</v>
      </c>
      <c r="EI58" t="e">
        <f>AND('STERLING CATALOG - DRY '!B1170,"AAAAAHvd74o=")</f>
        <v>#VALUE!</v>
      </c>
      <c r="EJ58" t="e">
        <f>AND('STERLING CATALOG - DRY '!C1170,"AAAAAHvd74s=")</f>
        <v>#VALUE!</v>
      </c>
      <c r="EK58" t="e">
        <f>AND('STERLING CATALOG - DRY '!D1170,"AAAAAHvd74w=")</f>
        <v>#VALUE!</v>
      </c>
      <c r="EL58" t="e">
        <f>AND('STERLING CATALOG - DRY '!E1170,"AAAAAHvd740=")</f>
        <v>#VALUE!</v>
      </c>
      <c r="EM58" t="e">
        <f>AND('STERLING CATALOG - DRY '!F1170,"AAAAAHvd744=")</f>
        <v>#VALUE!</v>
      </c>
      <c r="EN58" t="e">
        <f>AND('STERLING CATALOG - DRY '!G1170,"AAAAAHvd748=")</f>
        <v>#VALUE!</v>
      </c>
      <c r="EO58" t="e">
        <f>AND('STERLING CATALOG - DRY '!H1170,"AAAAAHvd75A=")</f>
        <v>#VALUE!</v>
      </c>
      <c r="EP58" t="e">
        <f>AND('STERLING CATALOG - DRY '!I1170,"AAAAAHvd75E=")</f>
        <v>#VALUE!</v>
      </c>
      <c r="EQ58" t="e">
        <f>AND('STERLING CATALOG - DRY '!J1170,"AAAAAHvd75I=")</f>
        <v>#VALUE!</v>
      </c>
      <c r="ER58">
        <f>IF('STERLING CATALOG - DRY '!1171:1171,"AAAAAHvd75M=",0)</f>
        <v>0</v>
      </c>
      <c r="ES58" t="e">
        <f>AND('STERLING CATALOG - DRY '!A1171,"AAAAAHvd75Q=")</f>
        <v>#VALUE!</v>
      </c>
      <c r="ET58" t="e">
        <f>AND('STERLING CATALOG - DRY '!B1171,"AAAAAHvd75U=")</f>
        <v>#VALUE!</v>
      </c>
      <c r="EU58" t="e">
        <f>AND('STERLING CATALOG - DRY '!C1171,"AAAAAHvd75Y=")</f>
        <v>#VALUE!</v>
      </c>
      <c r="EV58" t="e">
        <f>AND('STERLING CATALOG - DRY '!D1171,"AAAAAHvd75c=")</f>
        <v>#VALUE!</v>
      </c>
      <c r="EW58" t="e">
        <f>AND('STERLING CATALOG - DRY '!E1171,"AAAAAHvd75g=")</f>
        <v>#VALUE!</v>
      </c>
      <c r="EX58" t="e">
        <f>AND('STERLING CATALOG - DRY '!F1171,"AAAAAHvd75k=")</f>
        <v>#VALUE!</v>
      </c>
      <c r="EY58" t="e">
        <f>AND('STERLING CATALOG - DRY '!G1171,"AAAAAHvd75o=")</f>
        <v>#VALUE!</v>
      </c>
      <c r="EZ58" t="e">
        <f>AND('STERLING CATALOG - DRY '!H1171,"AAAAAHvd75s=")</f>
        <v>#VALUE!</v>
      </c>
      <c r="FA58" t="e">
        <f>AND('STERLING CATALOG - DRY '!I1171,"AAAAAHvd75w=")</f>
        <v>#VALUE!</v>
      </c>
      <c r="FB58" t="e">
        <f>AND('STERLING CATALOG - DRY '!J1171,"AAAAAHvd750=")</f>
        <v>#VALUE!</v>
      </c>
      <c r="FC58">
        <f>IF('STERLING CATALOG - DRY '!1172:1172,"AAAAAHvd754=",0)</f>
        <v>0</v>
      </c>
      <c r="FD58" t="e">
        <f>AND('STERLING CATALOG - DRY '!A1172,"AAAAAHvd758=")</f>
        <v>#VALUE!</v>
      </c>
      <c r="FE58" t="e">
        <f>AND('STERLING CATALOG - DRY '!B1172,"AAAAAHvd76A=")</f>
        <v>#VALUE!</v>
      </c>
      <c r="FF58" t="e">
        <f>AND('STERLING CATALOG - DRY '!C1172,"AAAAAHvd76E=")</f>
        <v>#VALUE!</v>
      </c>
      <c r="FG58" t="e">
        <f>AND('STERLING CATALOG - DRY '!D1172,"AAAAAHvd76I=")</f>
        <v>#VALUE!</v>
      </c>
      <c r="FH58" t="e">
        <f>AND('STERLING CATALOG - DRY '!E1172,"AAAAAHvd76M=")</f>
        <v>#VALUE!</v>
      </c>
      <c r="FI58" t="e">
        <f>AND('STERLING CATALOG - DRY '!F1172,"AAAAAHvd76Q=")</f>
        <v>#VALUE!</v>
      </c>
      <c r="FJ58" t="e">
        <f>AND('STERLING CATALOG - DRY '!G1172,"AAAAAHvd76U=")</f>
        <v>#VALUE!</v>
      </c>
      <c r="FK58" t="e">
        <f>AND('STERLING CATALOG - DRY '!H1172,"AAAAAHvd76Y=")</f>
        <v>#VALUE!</v>
      </c>
      <c r="FL58" t="e">
        <f>AND('STERLING CATALOG - DRY '!I1172,"AAAAAHvd76c=")</f>
        <v>#VALUE!</v>
      </c>
      <c r="FM58" t="e">
        <f>AND('STERLING CATALOG - DRY '!J1172,"AAAAAHvd76g=")</f>
        <v>#VALUE!</v>
      </c>
      <c r="FN58">
        <f>IF('STERLING CATALOG - DRY '!1173:1173,"AAAAAHvd76k=",0)</f>
        <v>0</v>
      </c>
      <c r="FO58" t="e">
        <f>AND('STERLING CATALOG - DRY '!A1173,"AAAAAHvd76o=")</f>
        <v>#VALUE!</v>
      </c>
      <c r="FP58" t="e">
        <f>AND('STERLING CATALOG - DRY '!B1173,"AAAAAHvd76s=")</f>
        <v>#VALUE!</v>
      </c>
      <c r="FQ58" t="e">
        <f>AND('STERLING CATALOG - DRY '!C1173,"AAAAAHvd76w=")</f>
        <v>#VALUE!</v>
      </c>
      <c r="FR58" t="e">
        <f>AND('STERLING CATALOG - DRY '!D1173,"AAAAAHvd760=")</f>
        <v>#VALUE!</v>
      </c>
      <c r="FS58" t="e">
        <f>AND('STERLING CATALOG - DRY '!E1173,"AAAAAHvd764=")</f>
        <v>#VALUE!</v>
      </c>
      <c r="FT58" t="e">
        <f>AND('STERLING CATALOG - DRY '!F1173,"AAAAAHvd768=")</f>
        <v>#VALUE!</v>
      </c>
      <c r="FU58" t="e">
        <f>AND('STERLING CATALOG - DRY '!G1173,"AAAAAHvd77A=")</f>
        <v>#VALUE!</v>
      </c>
      <c r="FV58" t="e">
        <f>AND('STERLING CATALOG - DRY '!H1173,"AAAAAHvd77E=")</f>
        <v>#VALUE!</v>
      </c>
      <c r="FW58" t="e">
        <f>AND('STERLING CATALOG - DRY '!I1173,"AAAAAHvd77I=")</f>
        <v>#VALUE!</v>
      </c>
      <c r="FX58" t="e">
        <f>AND('STERLING CATALOG - DRY '!J1173,"AAAAAHvd77M=")</f>
        <v>#VALUE!</v>
      </c>
      <c r="FY58">
        <f>IF('STERLING CATALOG - DRY '!1174:1174,"AAAAAHvd77Q=",0)</f>
        <v>0</v>
      </c>
      <c r="FZ58" t="e">
        <f>AND('STERLING CATALOG - DRY '!A1174,"AAAAAHvd77U=")</f>
        <v>#VALUE!</v>
      </c>
      <c r="GA58" t="e">
        <f>AND('STERLING CATALOG - DRY '!B1174,"AAAAAHvd77Y=")</f>
        <v>#VALUE!</v>
      </c>
      <c r="GB58" t="e">
        <f>AND('STERLING CATALOG - DRY '!C1174,"AAAAAHvd77c=")</f>
        <v>#VALUE!</v>
      </c>
      <c r="GC58" t="e">
        <f>AND('STERLING CATALOG - DRY '!D1174,"AAAAAHvd77g=")</f>
        <v>#VALUE!</v>
      </c>
      <c r="GD58" t="e">
        <f>AND('STERLING CATALOG - DRY '!E1174,"AAAAAHvd77k=")</f>
        <v>#VALUE!</v>
      </c>
      <c r="GE58" t="e">
        <f>AND('STERLING CATALOG - DRY '!F1174,"AAAAAHvd77o=")</f>
        <v>#VALUE!</v>
      </c>
      <c r="GF58" t="e">
        <f>AND('STERLING CATALOG - DRY '!G1174,"AAAAAHvd77s=")</f>
        <v>#VALUE!</v>
      </c>
      <c r="GG58" t="e">
        <f>AND('STERLING CATALOG - DRY '!H1174,"AAAAAHvd77w=")</f>
        <v>#VALUE!</v>
      </c>
      <c r="GH58" t="e">
        <f>AND('STERLING CATALOG - DRY '!I1174,"AAAAAHvd770=")</f>
        <v>#VALUE!</v>
      </c>
      <c r="GI58" t="e">
        <f>AND('STERLING CATALOG - DRY '!J1174,"AAAAAHvd774=")</f>
        <v>#VALUE!</v>
      </c>
      <c r="GJ58">
        <f>IF('STERLING CATALOG - DRY '!1175:1175,"AAAAAHvd778=",0)</f>
        <v>0</v>
      </c>
      <c r="GK58" t="e">
        <f>AND('STERLING CATALOG - DRY '!A1175,"AAAAAHvd78A=")</f>
        <v>#VALUE!</v>
      </c>
      <c r="GL58" t="e">
        <f>AND('STERLING CATALOG - DRY '!B1175,"AAAAAHvd78E=")</f>
        <v>#VALUE!</v>
      </c>
      <c r="GM58" t="e">
        <f>AND('STERLING CATALOG - DRY '!C1175,"AAAAAHvd78I=")</f>
        <v>#VALUE!</v>
      </c>
      <c r="GN58" t="e">
        <f>AND('STERLING CATALOG - DRY '!D1175,"AAAAAHvd78M=")</f>
        <v>#VALUE!</v>
      </c>
      <c r="GO58" t="e">
        <f>AND('STERLING CATALOG - DRY '!E1175,"AAAAAHvd78Q=")</f>
        <v>#VALUE!</v>
      </c>
      <c r="GP58" t="e">
        <f>AND('STERLING CATALOG - DRY '!F1175,"AAAAAHvd78U=")</f>
        <v>#VALUE!</v>
      </c>
      <c r="GQ58" t="e">
        <f>AND('STERLING CATALOG - DRY '!G1175,"AAAAAHvd78Y=")</f>
        <v>#VALUE!</v>
      </c>
      <c r="GR58" t="e">
        <f>AND('STERLING CATALOG - DRY '!H1175,"AAAAAHvd78c=")</f>
        <v>#VALUE!</v>
      </c>
      <c r="GS58" t="e">
        <f>AND('STERLING CATALOG - DRY '!I1175,"AAAAAHvd78g=")</f>
        <v>#VALUE!</v>
      </c>
      <c r="GT58" t="e">
        <f>AND('STERLING CATALOG - DRY '!J1175,"AAAAAHvd78k=")</f>
        <v>#VALUE!</v>
      </c>
      <c r="GU58">
        <f>IF('STERLING CATALOG - DRY '!1176:1176,"AAAAAHvd78o=",0)</f>
        <v>0</v>
      </c>
      <c r="GV58" t="e">
        <f>AND('STERLING CATALOG - DRY '!A1176,"AAAAAHvd78s=")</f>
        <v>#VALUE!</v>
      </c>
      <c r="GW58" t="e">
        <f>AND('STERLING CATALOG - DRY '!B1176,"AAAAAHvd78w=")</f>
        <v>#VALUE!</v>
      </c>
      <c r="GX58" t="e">
        <f>AND('STERLING CATALOG - DRY '!C1176,"AAAAAHvd780=")</f>
        <v>#VALUE!</v>
      </c>
      <c r="GY58" t="e">
        <f>AND('STERLING CATALOG - DRY '!D1176,"AAAAAHvd784=")</f>
        <v>#VALUE!</v>
      </c>
      <c r="GZ58" t="e">
        <f>AND('STERLING CATALOG - DRY '!E1176,"AAAAAHvd788=")</f>
        <v>#VALUE!</v>
      </c>
      <c r="HA58" t="e">
        <f>AND('STERLING CATALOG - DRY '!F1176,"AAAAAHvd79A=")</f>
        <v>#VALUE!</v>
      </c>
      <c r="HB58" t="e">
        <f>AND('STERLING CATALOG - DRY '!G1176,"AAAAAHvd79E=")</f>
        <v>#VALUE!</v>
      </c>
      <c r="HC58" t="e">
        <f>AND('STERLING CATALOG - DRY '!H1176,"AAAAAHvd79I=")</f>
        <v>#VALUE!</v>
      </c>
      <c r="HD58" t="e">
        <f>AND('STERLING CATALOG - DRY '!I1176,"AAAAAHvd79M=")</f>
        <v>#VALUE!</v>
      </c>
      <c r="HE58" t="e">
        <f>AND('STERLING CATALOG - DRY '!J1176,"AAAAAHvd79Q=")</f>
        <v>#VALUE!</v>
      </c>
      <c r="HF58">
        <f>IF('STERLING CATALOG - DRY '!1177:1177,"AAAAAHvd79U=",0)</f>
        <v>0</v>
      </c>
      <c r="HG58" t="e">
        <f>AND('STERLING CATALOG - DRY '!A1177,"AAAAAHvd79Y=")</f>
        <v>#VALUE!</v>
      </c>
      <c r="HH58" t="e">
        <f>AND('STERLING CATALOG - DRY '!B1177,"AAAAAHvd79c=")</f>
        <v>#VALUE!</v>
      </c>
      <c r="HI58" t="e">
        <f>AND('STERLING CATALOG - DRY '!C1177,"AAAAAHvd79g=")</f>
        <v>#VALUE!</v>
      </c>
      <c r="HJ58" t="e">
        <f>AND('STERLING CATALOG - DRY '!D1177,"AAAAAHvd79k=")</f>
        <v>#VALUE!</v>
      </c>
      <c r="HK58" t="e">
        <f>AND('STERLING CATALOG - DRY '!E1177,"AAAAAHvd79o=")</f>
        <v>#VALUE!</v>
      </c>
      <c r="HL58" t="e">
        <f>AND('STERLING CATALOG - DRY '!F1177,"AAAAAHvd79s=")</f>
        <v>#VALUE!</v>
      </c>
      <c r="HM58" t="e">
        <f>AND('STERLING CATALOG - DRY '!G1177,"AAAAAHvd79w=")</f>
        <v>#VALUE!</v>
      </c>
      <c r="HN58" t="e">
        <f>AND('STERLING CATALOG - DRY '!H1177,"AAAAAHvd790=")</f>
        <v>#VALUE!</v>
      </c>
      <c r="HO58" t="e">
        <f>AND('STERLING CATALOG - DRY '!I1177,"AAAAAHvd794=")</f>
        <v>#VALUE!</v>
      </c>
      <c r="HP58" t="e">
        <f>AND('STERLING CATALOG - DRY '!J1177,"AAAAAHvd798=")</f>
        <v>#VALUE!</v>
      </c>
      <c r="HQ58">
        <f>IF('STERLING CATALOG - DRY '!1178:1178,"AAAAAHvd7+A=",0)</f>
        <v>0</v>
      </c>
      <c r="HR58" t="e">
        <f>AND('STERLING CATALOG - DRY '!A1178,"AAAAAHvd7+E=")</f>
        <v>#VALUE!</v>
      </c>
      <c r="HS58" t="e">
        <f>AND('STERLING CATALOG - DRY '!B1178,"AAAAAHvd7+I=")</f>
        <v>#VALUE!</v>
      </c>
      <c r="HT58" t="e">
        <f>AND('STERLING CATALOG - DRY '!C1178,"AAAAAHvd7+M=")</f>
        <v>#VALUE!</v>
      </c>
      <c r="HU58" t="e">
        <f>AND('STERLING CATALOG - DRY '!D1178,"AAAAAHvd7+Q=")</f>
        <v>#VALUE!</v>
      </c>
      <c r="HV58" t="e">
        <f>AND('STERLING CATALOG - DRY '!E1178,"AAAAAHvd7+U=")</f>
        <v>#VALUE!</v>
      </c>
      <c r="HW58" t="e">
        <f>AND('STERLING CATALOG - DRY '!F1178,"AAAAAHvd7+Y=")</f>
        <v>#VALUE!</v>
      </c>
      <c r="HX58" t="e">
        <f>AND('STERLING CATALOG - DRY '!G1178,"AAAAAHvd7+c=")</f>
        <v>#VALUE!</v>
      </c>
      <c r="HY58" t="e">
        <f>AND('STERLING CATALOG - DRY '!H1178,"AAAAAHvd7+g=")</f>
        <v>#VALUE!</v>
      </c>
      <c r="HZ58" t="e">
        <f>AND('STERLING CATALOG - DRY '!I1178,"AAAAAHvd7+k=")</f>
        <v>#VALUE!</v>
      </c>
      <c r="IA58" t="e">
        <f>AND('STERLING CATALOG - DRY '!J1178,"AAAAAHvd7+o=")</f>
        <v>#VALUE!</v>
      </c>
      <c r="IB58">
        <f>IF('STERLING CATALOG - DRY '!1179:1179,"AAAAAHvd7+s=",0)</f>
        <v>0</v>
      </c>
      <c r="IC58" t="e">
        <f>AND('STERLING CATALOG - DRY '!A1179,"AAAAAHvd7+w=")</f>
        <v>#VALUE!</v>
      </c>
      <c r="ID58" t="e">
        <f>AND('STERLING CATALOG - DRY '!B1179,"AAAAAHvd7+0=")</f>
        <v>#VALUE!</v>
      </c>
      <c r="IE58" t="e">
        <f>AND('STERLING CATALOG - DRY '!C1179,"AAAAAHvd7+4=")</f>
        <v>#VALUE!</v>
      </c>
      <c r="IF58" t="e">
        <f>AND('STERLING CATALOG - DRY '!D1179,"AAAAAHvd7+8=")</f>
        <v>#VALUE!</v>
      </c>
      <c r="IG58" t="e">
        <f>AND('STERLING CATALOG - DRY '!E1179,"AAAAAHvd7/A=")</f>
        <v>#VALUE!</v>
      </c>
      <c r="IH58" t="e">
        <f>AND('STERLING CATALOG - DRY '!F1179,"AAAAAHvd7/E=")</f>
        <v>#VALUE!</v>
      </c>
      <c r="II58" t="e">
        <f>AND('STERLING CATALOG - DRY '!G1179,"AAAAAHvd7/I=")</f>
        <v>#VALUE!</v>
      </c>
      <c r="IJ58" t="e">
        <f>AND('STERLING CATALOG - DRY '!H1179,"AAAAAHvd7/M=")</f>
        <v>#VALUE!</v>
      </c>
      <c r="IK58" t="e">
        <f>AND('STERLING CATALOG - DRY '!I1179,"AAAAAHvd7/Q=")</f>
        <v>#VALUE!</v>
      </c>
      <c r="IL58" t="e">
        <f>AND('STERLING CATALOG - DRY '!J1179,"AAAAAHvd7/U=")</f>
        <v>#VALUE!</v>
      </c>
      <c r="IM58">
        <f>IF('STERLING CATALOG - DRY '!1180:1180,"AAAAAHvd7/Y=",0)</f>
        <v>0</v>
      </c>
      <c r="IN58" t="e">
        <f>AND('STERLING CATALOG - DRY '!A1180,"AAAAAHvd7/c=")</f>
        <v>#VALUE!</v>
      </c>
      <c r="IO58" t="e">
        <f>AND('STERLING CATALOG - DRY '!B1180,"AAAAAHvd7/g=")</f>
        <v>#VALUE!</v>
      </c>
      <c r="IP58" t="e">
        <f>AND('STERLING CATALOG - DRY '!C1180,"AAAAAHvd7/k=")</f>
        <v>#VALUE!</v>
      </c>
      <c r="IQ58" t="e">
        <f>AND('STERLING CATALOG - DRY '!D1180,"AAAAAHvd7/o=")</f>
        <v>#VALUE!</v>
      </c>
      <c r="IR58" t="e">
        <f>AND('STERLING CATALOG - DRY '!E1180,"AAAAAHvd7/s=")</f>
        <v>#VALUE!</v>
      </c>
      <c r="IS58" t="e">
        <f>AND('STERLING CATALOG - DRY '!F1180,"AAAAAHvd7/w=")</f>
        <v>#VALUE!</v>
      </c>
      <c r="IT58" t="e">
        <f>AND('STERLING CATALOG - DRY '!G1180,"AAAAAHvd7/0=")</f>
        <v>#VALUE!</v>
      </c>
      <c r="IU58" t="e">
        <f>AND('STERLING CATALOG - DRY '!H1180,"AAAAAHvd7/4=")</f>
        <v>#VALUE!</v>
      </c>
      <c r="IV58" t="e">
        <f>AND('STERLING CATALOG - DRY '!I1180,"AAAAAHvd7/8=")</f>
        <v>#VALUE!</v>
      </c>
    </row>
    <row r="59" spans="1:256">
      <c r="A59" t="e">
        <f>AND('STERLING CATALOG - DRY '!J1180,"AAAAAHb3YwA=")</f>
        <v>#VALUE!</v>
      </c>
      <c r="B59" t="str">
        <f>IF('STERLING CATALOG - DRY '!1181:1181,"AAAAAHb3YwE=",0)</f>
        <v>AAAAAHb3YwE=</v>
      </c>
      <c r="C59" t="e">
        <f>AND('STERLING CATALOG - DRY '!A1181,"AAAAAHb3YwI=")</f>
        <v>#VALUE!</v>
      </c>
      <c r="D59" t="e">
        <f>AND('STERLING CATALOG - DRY '!B1181,"AAAAAHb3YwM=")</f>
        <v>#VALUE!</v>
      </c>
      <c r="E59" t="e">
        <f>AND('STERLING CATALOG - DRY '!C1181,"AAAAAHb3YwQ=")</f>
        <v>#VALUE!</v>
      </c>
      <c r="F59" t="e">
        <f>AND('STERLING CATALOG - DRY '!D1181,"AAAAAHb3YwU=")</f>
        <v>#VALUE!</v>
      </c>
      <c r="G59" t="e">
        <f>AND('STERLING CATALOG - DRY '!E1181,"AAAAAHb3YwY=")</f>
        <v>#VALUE!</v>
      </c>
      <c r="H59" t="e">
        <f>AND('STERLING CATALOG - DRY '!F1181,"AAAAAHb3Ywc=")</f>
        <v>#VALUE!</v>
      </c>
      <c r="I59" t="e">
        <f>AND('STERLING CATALOG - DRY '!G1181,"AAAAAHb3Ywg=")</f>
        <v>#VALUE!</v>
      </c>
      <c r="J59" t="e">
        <f>AND('STERLING CATALOG - DRY '!H1181,"AAAAAHb3Ywk=")</f>
        <v>#VALUE!</v>
      </c>
      <c r="K59" t="e">
        <f>AND('STERLING CATALOG - DRY '!I1181,"AAAAAHb3Ywo=")</f>
        <v>#VALUE!</v>
      </c>
      <c r="L59" t="e">
        <f>AND('STERLING CATALOG - DRY '!J1181,"AAAAAHb3Yws=")</f>
        <v>#VALUE!</v>
      </c>
      <c r="M59">
        <f>IF('STERLING CATALOG - DRY '!1182:1182,"AAAAAHb3Yww=",0)</f>
        <v>0</v>
      </c>
      <c r="N59" t="e">
        <f>AND('STERLING CATALOG - DRY '!A1182,"AAAAAHb3Yw0=")</f>
        <v>#VALUE!</v>
      </c>
      <c r="O59" t="e">
        <f>AND('STERLING CATALOG - DRY '!B1182,"AAAAAHb3Yw4=")</f>
        <v>#VALUE!</v>
      </c>
      <c r="P59" t="e">
        <f>AND('STERLING CATALOG - DRY '!C1182,"AAAAAHb3Yw8=")</f>
        <v>#VALUE!</v>
      </c>
      <c r="Q59" t="e">
        <f>AND('STERLING CATALOG - DRY '!D1182,"AAAAAHb3YxA=")</f>
        <v>#VALUE!</v>
      </c>
      <c r="R59" t="e">
        <f>AND('STERLING CATALOG - DRY '!E1182,"AAAAAHb3YxE=")</f>
        <v>#VALUE!</v>
      </c>
      <c r="S59" t="e">
        <f>AND('STERLING CATALOG - DRY '!F1182,"AAAAAHb3YxI=")</f>
        <v>#VALUE!</v>
      </c>
      <c r="T59" t="e">
        <f>AND('STERLING CATALOG - DRY '!G1182,"AAAAAHb3YxM=")</f>
        <v>#VALUE!</v>
      </c>
      <c r="U59" t="e">
        <f>AND('STERLING CATALOG - DRY '!H1182,"AAAAAHb3YxQ=")</f>
        <v>#VALUE!</v>
      </c>
      <c r="V59" t="e">
        <f>AND('STERLING CATALOG - DRY '!I1182,"AAAAAHb3YxU=")</f>
        <v>#VALUE!</v>
      </c>
      <c r="W59" t="e">
        <f>AND('STERLING CATALOG - DRY '!J1182,"AAAAAHb3YxY=")</f>
        <v>#VALUE!</v>
      </c>
      <c r="X59">
        <f>IF('STERLING CATALOG - DRY '!1183:1183,"AAAAAHb3Yxc=",0)</f>
        <v>0</v>
      </c>
      <c r="Y59" t="e">
        <f>AND('STERLING CATALOG - DRY '!A1183,"AAAAAHb3Yxg=")</f>
        <v>#VALUE!</v>
      </c>
      <c r="Z59" t="e">
        <f>AND('STERLING CATALOG - DRY '!B1183,"AAAAAHb3Yxk=")</f>
        <v>#VALUE!</v>
      </c>
      <c r="AA59" t="e">
        <f>AND('STERLING CATALOG - DRY '!C1183,"AAAAAHb3Yxo=")</f>
        <v>#VALUE!</v>
      </c>
      <c r="AB59" t="e">
        <f>AND('STERLING CATALOG - DRY '!D1183,"AAAAAHb3Yxs=")</f>
        <v>#VALUE!</v>
      </c>
      <c r="AC59" t="e">
        <f>AND('STERLING CATALOG - DRY '!E1183,"AAAAAHb3Yxw=")</f>
        <v>#VALUE!</v>
      </c>
      <c r="AD59" t="e">
        <f>AND('STERLING CATALOG - DRY '!F1183,"AAAAAHb3Yx0=")</f>
        <v>#VALUE!</v>
      </c>
      <c r="AE59" t="e">
        <f>AND('STERLING CATALOG - DRY '!G1183,"AAAAAHb3Yx4=")</f>
        <v>#VALUE!</v>
      </c>
      <c r="AF59" t="e">
        <f>AND('STERLING CATALOG - DRY '!H1183,"AAAAAHb3Yx8=")</f>
        <v>#VALUE!</v>
      </c>
      <c r="AG59" t="e">
        <f>AND('STERLING CATALOG - DRY '!I1183,"AAAAAHb3YyA=")</f>
        <v>#VALUE!</v>
      </c>
      <c r="AH59" t="e">
        <f>AND('STERLING CATALOG - DRY '!J1183,"AAAAAHb3YyE=")</f>
        <v>#VALUE!</v>
      </c>
      <c r="AI59">
        <f>IF('STERLING CATALOG - DRY '!1184:1184,"AAAAAHb3YyI=",0)</f>
        <v>0</v>
      </c>
      <c r="AJ59" t="e">
        <f>AND('STERLING CATALOG - DRY '!A1184,"AAAAAHb3YyM=")</f>
        <v>#VALUE!</v>
      </c>
      <c r="AK59" t="e">
        <f>AND('STERLING CATALOG - DRY '!B1184,"AAAAAHb3YyQ=")</f>
        <v>#VALUE!</v>
      </c>
      <c r="AL59" t="e">
        <f>AND('STERLING CATALOG - DRY '!C1184,"AAAAAHb3YyU=")</f>
        <v>#VALUE!</v>
      </c>
      <c r="AM59" t="e">
        <f>AND('STERLING CATALOG - DRY '!D1184,"AAAAAHb3YyY=")</f>
        <v>#VALUE!</v>
      </c>
      <c r="AN59" t="e">
        <f>AND('STERLING CATALOG - DRY '!E1184,"AAAAAHb3Yyc=")</f>
        <v>#VALUE!</v>
      </c>
      <c r="AO59" t="e">
        <f>AND('STERLING CATALOG - DRY '!F1184,"AAAAAHb3Yyg=")</f>
        <v>#VALUE!</v>
      </c>
      <c r="AP59" t="e">
        <f>AND('STERLING CATALOG - DRY '!G1184,"AAAAAHb3Yyk=")</f>
        <v>#VALUE!</v>
      </c>
      <c r="AQ59" t="e">
        <f>AND('STERLING CATALOG - DRY '!H1184,"AAAAAHb3Yyo=")</f>
        <v>#VALUE!</v>
      </c>
      <c r="AR59" t="e">
        <f>AND('STERLING CATALOG - DRY '!I1184,"AAAAAHb3Yys=")</f>
        <v>#VALUE!</v>
      </c>
      <c r="AS59" t="e">
        <f>AND('STERLING CATALOG - DRY '!J1184,"AAAAAHb3Yyw=")</f>
        <v>#VALUE!</v>
      </c>
      <c r="AT59">
        <f>IF('STERLING CATALOG - DRY '!1185:1185,"AAAAAHb3Yy0=",0)</f>
        <v>0</v>
      </c>
      <c r="AU59" t="e">
        <f>AND('STERLING CATALOG - DRY '!A1185,"AAAAAHb3Yy4=")</f>
        <v>#VALUE!</v>
      </c>
      <c r="AV59" t="e">
        <f>AND('STERLING CATALOG - DRY '!B1185,"AAAAAHb3Yy8=")</f>
        <v>#VALUE!</v>
      </c>
      <c r="AW59" t="e">
        <f>AND('STERLING CATALOG - DRY '!C1185,"AAAAAHb3YzA=")</f>
        <v>#VALUE!</v>
      </c>
      <c r="AX59" t="e">
        <f>AND('STERLING CATALOG - DRY '!D1185,"AAAAAHb3YzE=")</f>
        <v>#VALUE!</v>
      </c>
      <c r="AY59" t="e">
        <f>AND('STERLING CATALOG - DRY '!E1185,"AAAAAHb3YzI=")</f>
        <v>#VALUE!</v>
      </c>
      <c r="AZ59" t="e">
        <f>AND('STERLING CATALOG - DRY '!F1185,"AAAAAHb3YzM=")</f>
        <v>#VALUE!</v>
      </c>
      <c r="BA59" t="e">
        <f>AND('STERLING CATALOG - DRY '!G1185,"AAAAAHb3YzQ=")</f>
        <v>#VALUE!</v>
      </c>
      <c r="BB59" t="e">
        <f>AND('STERLING CATALOG - DRY '!H1185,"AAAAAHb3YzU=")</f>
        <v>#VALUE!</v>
      </c>
      <c r="BC59" t="e">
        <f>AND('STERLING CATALOG - DRY '!I1185,"AAAAAHb3YzY=")</f>
        <v>#VALUE!</v>
      </c>
      <c r="BD59" t="e">
        <f>AND('STERLING CATALOG - DRY '!J1185,"AAAAAHb3Yzc=")</f>
        <v>#VALUE!</v>
      </c>
      <c r="BE59">
        <f>IF('STERLING CATALOG - DRY '!1186:1186,"AAAAAHb3Yzg=",0)</f>
        <v>0</v>
      </c>
      <c r="BF59" t="e">
        <f>AND('STERLING CATALOG - DRY '!A1186,"AAAAAHb3Yzk=")</f>
        <v>#VALUE!</v>
      </c>
      <c r="BG59" t="e">
        <f>AND('STERLING CATALOG - DRY '!B1186,"AAAAAHb3Yzo=")</f>
        <v>#VALUE!</v>
      </c>
      <c r="BH59" t="e">
        <f>AND('STERLING CATALOG - DRY '!C1186,"AAAAAHb3Yzs=")</f>
        <v>#VALUE!</v>
      </c>
      <c r="BI59" t="e">
        <f>AND('STERLING CATALOG - DRY '!D1186,"AAAAAHb3Yzw=")</f>
        <v>#VALUE!</v>
      </c>
      <c r="BJ59" t="e">
        <f>AND('STERLING CATALOG - DRY '!E1186,"AAAAAHb3Yz0=")</f>
        <v>#VALUE!</v>
      </c>
      <c r="BK59" t="e">
        <f>AND('STERLING CATALOG - DRY '!F1186,"AAAAAHb3Yz4=")</f>
        <v>#VALUE!</v>
      </c>
      <c r="BL59" t="e">
        <f>AND('STERLING CATALOG - DRY '!G1186,"AAAAAHb3Yz8=")</f>
        <v>#VALUE!</v>
      </c>
      <c r="BM59" t="e">
        <f>AND('STERLING CATALOG - DRY '!H1186,"AAAAAHb3Y0A=")</f>
        <v>#VALUE!</v>
      </c>
      <c r="BN59" t="e">
        <f>AND('STERLING CATALOG - DRY '!I1186,"AAAAAHb3Y0E=")</f>
        <v>#VALUE!</v>
      </c>
      <c r="BO59" t="e">
        <f>AND('STERLING CATALOG - DRY '!J1186,"AAAAAHb3Y0I=")</f>
        <v>#VALUE!</v>
      </c>
      <c r="BP59">
        <f>IF('STERLING CATALOG - DRY '!1187:1187,"AAAAAHb3Y0M=",0)</f>
        <v>0</v>
      </c>
      <c r="BQ59" t="e">
        <f>AND('STERLING CATALOG - DRY '!A1187,"AAAAAHb3Y0Q=")</f>
        <v>#VALUE!</v>
      </c>
      <c r="BR59" t="e">
        <f>AND('STERLING CATALOG - DRY '!B1187,"AAAAAHb3Y0U=")</f>
        <v>#VALUE!</v>
      </c>
      <c r="BS59" t="e">
        <f>AND('STERLING CATALOG - DRY '!C1187,"AAAAAHb3Y0Y=")</f>
        <v>#VALUE!</v>
      </c>
      <c r="BT59" t="e">
        <f>AND('STERLING CATALOG - DRY '!D1187,"AAAAAHb3Y0c=")</f>
        <v>#VALUE!</v>
      </c>
      <c r="BU59" t="e">
        <f>AND('STERLING CATALOG - DRY '!E1187,"AAAAAHb3Y0g=")</f>
        <v>#VALUE!</v>
      </c>
      <c r="BV59" t="e">
        <f>AND('STERLING CATALOG - DRY '!F1187,"AAAAAHb3Y0k=")</f>
        <v>#VALUE!</v>
      </c>
      <c r="BW59" t="e">
        <f>AND('STERLING CATALOG - DRY '!G1187,"AAAAAHb3Y0o=")</f>
        <v>#VALUE!</v>
      </c>
      <c r="BX59" t="e">
        <f>AND('STERLING CATALOG - DRY '!H1187,"AAAAAHb3Y0s=")</f>
        <v>#VALUE!</v>
      </c>
      <c r="BY59" t="e">
        <f>AND('STERLING CATALOG - DRY '!I1187,"AAAAAHb3Y0w=")</f>
        <v>#VALUE!</v>
      </c>
      <c r="BZ59" t="e">
        <f>AND('STERLING CATALOG - DRY '!J1187,"AAAAAHb3Y00=")</f>
        <v>#VALUE!</v>
      </c>
      <c r="CA59">
        <f>IF('STERLING CATALOG - DRY '!1188:1188,"AAAAAHb3Y04=",0)</f>
        <v>0</v>
      </c>
      <c r="CB59" t="e">
        <f>AND('STERLING CATALOG - DRY '!A1188,"AAAAAHb3Y08=")</f>
        <v>#VALUE!</v>
      </c>
      <c r="CC59" t="e">
        <f>AND('STERLING CATALOG - DRY '!B1188,"AAAAAHb3Y1A=")</f>
        <v>#VALUE!</v>
      </c>
      <c r="CD59" t="e">
        <f>AND('STERLING CATALOG - DRY '!C1188,"AAAAAHb3Y1E=")</f>
        <v>#VALUE!</v>
      </c>
      <c r="CE59" t="e">
        <f>AND('STERLING CATALOG - DRY '!D1188,"AAAAAHb3Y1I=")</f>
        <v>#VALUE!</v>
      </c>
      <c r="CF59" t="e">
        <f>AND('STERLING CATALOG - DRY '!E1188,"AAAAAHb3Y1M=")</f>
        <v>#VALUE!</v>
      </c>
      <c r="CG59" t="e">
        <f>AND('STERLING CATALOG - DRY '!F1188,"AAAAAHb3Y1Q=")</f>
        <v>#VALUE!</v>
      </c>
      <c r="CH59" t="e">
        <f>AND('STERLING CATALOG - DRY '!G1188,"AAAAAHb3Y1U=")</f>
        <v>#VALUE!</v>
      </c>
      <c r="CI59" t="e">
        <f>AND('STERLING CATALOG - DRY '!H1188,"AAAAAHb3Y1Y=")</f>
        <v>#VALUE!</v>
      </c>
      <c r="CJ59" t="e">
        <f>AND('STERLING CATALOG - DRY '!I1188,"AAAAAHb3Y1c=")</f>
        <v>#VALUE!</v>
      </c>
      <c r="CK59" t="e">
        <f>AND('STERLING CATALOG - DRY '!J1188,"AAAAAHb3Y1g=")</f>
        <v>#VALUE!</v>
      </c>
      <c r="CL59">
        <f>IF('STERLING CATALOG - DRY '!1189:1189,"AAAAAHb3Y1k=",0)</f>
        <v>0</v>
      </c>
      <c r="CM59" t="e">
        <f>AND('STERLING CATALOG - DRY '!A1189,"AAAAAHb3Y1o=")</f>
        <v>#VALUE!</v>
      </c>
      <c r="CN59" t="e">
        <f>AND('STERLING CATALOG - DRY '!B1189,"AAAAAHb3Y1s=")</f>
        <v>#VALUE!</v>
      </c>
      <c r="CO59" t="e">
        <f>AND('STERLING CATALOG - DRY '!C1189,"AAAAAHb3Y1w=")</f>
        <v>#VALUE!</v>
      </c>
      <c r="CP59" t="e">
        <f>AND('STERLING CATALOG - DRY '!D1189,"AAAAAHb3Y10=")</f>
        <v>#VALUE!</v>
      </c>
      <c r="CQ59" t="e">
        <f>AND('STERLING CATALOG - DRY '!E1189,"AAAAAHb3Y14=")</f>
        <v>#VALUE!</v>
      </c>
      <c r="CR59" t="e">
        <f>AND('STERLING CATALOG - DRY '!F1189,"AAAAAHb3Y18=")</f>
        <v>#VALUE!</v>
      </c>
      <c r="CS59" t="e">
        <f>AND('STERLING CATALOG - DRY '!G1189,"AAAAAHb3Y2A=")</f>
        <v>#VALUE!</v>
      </c>
      <c r="CT59" t="e">
        <f>AND('STERLING CATALOG - DRY '!H1189,"AAAAAHb3Y2E=")</f>
        <v>#VALUE!</v>
      </c>
      <c r="CU59" t="e">
        <f>AND('STERLING CATALOG - DRY '!I1189,"AAAAAHb3Y2I=")</f>
        <v>#VALUE!</v>
      </c>
      <c r="CV59" t="e">
        <f>AND('STERLING CATALOG - DRY '!J1189,"AAAAAHb3Y2M=")</f>
        <v>#VALUE!</v>
      </c>
      <c r="CW59">
        <f>IF('STERLING CATALOG - DRY '!1190:1190,"AAAAAHb3Y2Q=",0)</f>
        <v>0</v>
      </c>
      <c r="CX59" t="e">
        <f>AND('STERLING CATALOG - DRY '!A1190,"AAAAAHb3Y2U=")</f>
        <v>#VALUE!</v>
      </c>
      <c r="CY59" t="e">
        <f>AND('STERLING CATALOG - DRY '!B1190,"AAAAAHb3Y2Y=")</f>
        <v>#VALUE!</v>
      </c>
      <c r="CZ59" t="e">
        <f>AND('STERLING CATALOG - DRY '!C1190,"AAAAAHb3Y2c=")</f>
        <v>#VALUE!</v>
      </c>
      <c r="DA59" t="e">
        <f>AND('STERLING CATALOG - DRY '!D1190,"AAAAAHb3Y2g=")</f>
        <v>#VALUE!</v>
      </c>
      <c r="DB59" t="e">
        <f>AND('STERLING CATALOG - DRY '!E1190,"AAAAAHb3Y2k=")</f>
        <v>#VALUE!</v>
      </c>
      <c r="DC59" t="e">
        <f>AND('STERLING CATALOG - DRY '!F1190,"AAAAAHb3Y2o=")</f>
        <v>#VALUE!</v>
      </c>
      <c r="DD59" t="e">
        <f>AND('STERLING CATALOG - DRY '!G1190,"AAAAAHb3Y2s=")</f>
        <v>#VALUE!</v>
      </c>
      <c r="DE59" t="e">
        <f>AND('STERLING CATALOG - DRY '!H1190,"AAAAAHb3Y2w=")</f>
        <v>#VALUE!</v>
      </c>
      <c r="DF59" t="e">
        <f>AND('STERLING CATALOG - DRY '!I1190,"AAAAAHb3Y20=")</f>
        <v>#VALUE!</v>
      </c>
      <c r="DG59" t="e">
        <f>AND('STERLING CATALOG - DRY '!J1190,"AAAAAHb3Y24=")</f>
        <v>#VALUE!</v>
      </c>
      <c r="DH59">
        <f>IF('STERLING CATALOG - DRY '!1191:1191,"AAAAAHb3Y28=",0)</f>
        <v>0</v>
      </c>
      <c r="DI59" t="e">
        <f>AND('STERLING CATALOG - DRY '!A1191,"AAAAAHb3Y3A=")</f>
        <v>#VALUE!</v>
      </c>
      <c r="DJ59" t="e">
        <f>AND('STERLING CATALOG - DRY '!B1191,"AAAAAHb3Y3E=")</f>
        <v>#VALUE!</v>
      </c>
      <c r="DK59" t="e">
        <f>AND('STERLING CATALOG - DRY '!C1191,"AAAAAHb3Y3I=")</f>
        <v>#VALUE!</v>
      </c>
      <c r="DL59" t="e">
        <f>AND('STERLING CATALOG - DRY '!D1191,"AAAAAHb3Y3M=")</f>
        <v>#VALUE!</v>
      </c>
      <c r="DM59" t="e">
        <f>AND('STERLING CATALOG - DRY '!E1191,"AAAAAHb3Y3Q=")</f>
        <v>#VALUE!</v>
      </c>
      <c r="DN59" t="e">
        <f>AND('STERLING CATALOG - DRY '!F1191,"AAAAAHb3Y3U=")</f>
        <v>#VALUE!</v>
      </c>
      <c r="DO59" t="e">
        <f>AND('STERLING CATALOG - DRY '!G1191,"AAAAAHb3Y3Y=")</f>
        <v>#VALUE!</v>
      </c>
      <c r="DP59" t="e">
        <f>AND('STERLING CATALOG - DRY '!H1191,"AAAAAHb3Y3c=")</f>
        <v>#VALUE!</v>
      </c>
      <c r="DQ59" t="e">
        <f>AND('STERLING CATALOG - DRY '!I1191,"AAAAAHb3Y3g=")</f>
        <v>#VALUE!</v>
      </c>
      <c r="DR59" t="e">
        <f>AND('STERLING CATALOG - DRY '!J1191,"AAAAAHb3Y3k=")</f>
        <v>#VALUE!</v>
      </c>
      <c r="DS59">
        <f>IF('STERLING CATALOG - DRY '!1192:1192,"AAAAAHb3Y3o=",0)</f>
        <v>0</v>
      </c>
      <c r="DT59" t="e">
        <f>AND('STERLING CATALOG - DRY '!A1192,"AAAAAHb3Y3s=")</f>
        <v>#VALUE!</v>
      </c>
      <c r="DU59" t="e">
        <f>AND('STERLING CATALOG - DRY '!B1192,"AAAAAHb3Y3w=")</f>
        <v>#VALUE!</v>
      </c>
      <c r="DV59" t="e">
        <f>AND('STERLING CATALOG - DRY '!C1192,"AAAAAHb3Y30=")</f>
        <v>#VALUE!</v>
      </c>
      <c r="DW59" t="e">
        <f>AND('STERLING CATALOG - DRY '!D1192,"AAAAAHb3Y34=")</f>
        <v>#VALUE!</v>
      </c>
      <c r="DX59" t="e">
        <f>AND('STERLING CATALOG - DRY '!E1192,"AAAAAHb3Y38=")</f>
        <v>#VALUE!</v>
      </c>
      <c r="DY59" t="e">
        <f>AND('STERLING CATALOG - DRY '!F1192,"AAAAAHb3Y4A=")</f>
        <v>#VALUE!</v>
      </c>
      <c r="DZ59" t="e">
        <f>AND('STERLING CATALOG - DRY '!G1192,"AAAAAHb3Y4E=")</f>
        <v>#VALUE!</v>
      </c>
      <c r="EA59" t="e">
        <f>AND('STERLING CATALOG - DRY '!H1192,"AAAAAHb3Y4I=")</f>
        <v>#VALUE!</v>
      </c>
      <c r="EB59" t="e">
        <f>AND('STERLING CATALOG - DRY '!I1192,"AAAAAHb3Y4M=")</f>
        <v>#VALUE!</v>
      </c>
      <c r="EC59" t="e">
        <f>AND('STERLING CATALOG - DRY '!J1192,"AAAAAHb3Y4Q=")</f>
        <v>#VALUE!</v>
      </c>
      <c r="ED59">
        <f>IF('STERLING CATALOG - DRY '!1193:1193,"AAAAAHb3Y4U=",0)</f>
        <v>0</v>
      </c>
      <c r="EE59" t="e">
        <f>AND('STERLING CATALOG - DRY '!A1193,"AAAAAHb3Y4Y=")</f>
        <v>#VALUE!</v>
      </c>
      <c r="EF59" t="e">
        <f>AND('STERLING CATALOG - DRY '!B1193,"AAAAAHb3Y4c=")</f>
        <v>#VALUE!</v>
      </c>
      <c r="EG59" t="e">
        <f>AND('STERLING CATALOG - DRY '!C1193,"AAAAAHb3Y4g=")</f>
        <v>#VALUE!</v>
      </c>
      <c r="EH59" t="e">
        <f>AND('STERLING CATALOG - DRY '!D1193,"AAAAAHb3Y4k=")</f>
        <v>#VALUE!</v>
      </c>
      <c r="EI59" t="e">
        <f>AND('STERLING CATALOG - DRY '!E1193,"AAAAAHb3Y4o=")</f>
        <v>#VALUE!</v>
      </c>
      <c r="EJ59" t="e">
        <f>AND('STERLING CATALOG - DRY '!F1193,"AAAAAHb3Y4s=")</f>
        <v>#VALUE!</v>
      </c>
      <c r="EK59" t="e">
        <f>AND('STERLING CATALOG - DRY '!G1193,"AAAAAHb3Y4w=")</f>
        <v>#VALUE!</v>
      </c>
      <c r="EL59" t="e">
        <f>AND('STERLING CATALOG - DRY '!H1193,"AAAAAHb3Y40=")</f>
        <v>#VALUE!</v>
      </c>
      <c r="EM59" t="e">
        <f>AND('STERLING CATALOG - DRY '!I1193,"AAAAAHb3Y44=")</f>
        <v>#VALUE!</v>
      </c>
      <c r="EN59" t="e">
        <f>AND('STERLING CATALOG - DRY '!J1193,"AAAAAHb3Y48=")</f>
        <v>#VALUE!</v>
      </c>
      <c r="EO59">
        <f>IF('STERLING CATALOG - DRY '!1194:1194,"AAAAAHb3Y5A=",0)</f>
        <v>0</v>
      </c>
      <c r="EP59" t="e">
        <f>AND('STERLING CATALOG - DRY '!A1194,"AAAAAHb3Y5E=")</f>
        <v>#VALUE!</v>
      </c>
      <c r="EQ59" t="e">
        <f>AND('STERLING CATALOG - DRY '!B1194,"AAAAAHb3Y5I=")</f>
        <v>#VALUE!</v>
      </c>
      <c r="ER59" t="e">
        <f>AND('STERLING CATALOG - DRY '!C1194,"AAAAAHb3Y5M=")</f>
        <v>#VALUE!</v>
      </c>
      <c r="ES59" t="e">
        <f>AND('STERLING CATALOG - DRY '!D1194,"AAAAAHb3Y5Q=")</f>
        <v>#VALUE!</v>
      </c>
      <c r="ET59" t="e">
        <f>AND('STERLING CATALOG - DRY '!E1194,"AAAAAHb3Y5U=")</f>
        <v>#VALUE!</v>
      </c>
      <c r="EU59" t="e">
        <f>AND('STERLING CATALOG - DRY '!F1194,"AAAAAHb3Y5Y=")</f>
        <v>#VALUE!</v>
      </c>
      <c r="EV59" t="e">
        <f>AND('STERLING CATALOG - DRY '!G1194,"AAAAAHb3Y5c=")</f>
        <v>#VALUE!</v>
      </c>
      <c r="EW59" t="e">
        <f>AND('STERLING CATALOG - DRY '!H1194,"AAAAAHb3Y5g=")</f>
        <v>#VALUE!</v>
      </c>
      <c r="EX59" t="e">
        <f>AND('STERLING CATALOG - DRY '!I1194,"AAAAAHb3Y5k=")</f>
        <v>#VALUE!</v>
      </c>
      <c r="EY59" t="e">
        <f>AND('STERLING CATALOG - DRY '!J1194,"AAAAAHb3Y5o=")</f>
        <v>#VALUE!</v>
      </c>
      <c r="EZ59">
        <f>IF('STERLING CATALOG - DRY '!1195:1195,"AAAAAHb3Y5s=",0)</f>
        <v>0</v>
      </c>
      <c r="FA59" t="e">
        <f>AND('STERLING CATALOG - DRY '!A1195,"AAAAAHb3Y5w=")</f>
        <v>#VALUE!</v>
      </c>
      <c r="FB59" t="e">
        <f>AND('STERLING CATALOG - DRY '!B1195,"AAAAAHb3Y50=")</f>
        <v>#VALUE!</v>
      </c>
      <c r="FC59" t="e">
        <f>AND('STERLING CATALOG - DRY '!C1195,"AAAAAHb3Y54=")</f>
        <v>#VALUE!</v>
      </c>
      <c r="FD59" t="e">
        <f>AND('STERLING CATALOG - DRY '!D1195,"AAAAAHb3Y58=")</f>
        <v>#VALUE!</v>
      </c>
      <c r="FE59" t="e">
        <f>AND('STERLING CATALOG - DRY '!E1195,"AAAAAHb3Y6A=")</f>
        <v>#VALUE!</v>
      </c>
      <c r="FF59" t="e">
        <f>AND('STERLING CATALOG - DRY '!F1195,"AAAAAHb3Y6E=")</f>
        <v>#VALUE!</v>
      </c>
      <c r="FG59" t="e">
        <f>AND('STERLING CATALOG - DRY '!G1195,"AAAAAHb3Y6I=")</f>
        <v>#VALUE!</v>
      </c>
      <c r="FH59" t="e">
        <f>AND('STERLING CATALOG - DRY '!H1195,"AAAAAHb3Y6M=")</f>
        <v>#VALUE!</v>
      </c>
      <c r="FI59" t="e">
        <f>AND('STERLING CATALOG - DRY '!I1195,"AAAAAHb3Y6Q=")</f>
        <v>#VALUE!</v>
      </c>
      <c r="FJ59" t="e">
        <f>AND('STERLING CATALOG - DRY '!J1195,"AAAAAHb3Y6U=")</f>
        <v>#VALUE!</v>
      </c>
      <c r="FK59">
        <f>IF('STERLING CATALOG - DRY '!1196:1196,"AAAAAHb3Y6Y=",0)</f>
        <v>0</v>
      </c>
      <c r="FL59" t="e">
        <f>AND('STERLING CATALOG - DRY '!A1196,"AAAAAHb3Y6c=")</f>
        <v>#VALUE!</v>
      </c>
      <c r="FM59" t="e">
        <f>AND('STERLING CATALOG - DRY '!B1196,"AAAAAHb3Y6g=")</f>
        <v>#VALUE!</v>
      </c>
      <c r="FN59" t="e">
        <f>AND('STERLING CATALOG - DRY '!C1196,"AAAAAHb3Y6k=")</f>
        <v>#VALUE!</v>
      </c>
      <c r="FO59" t="e">
        <f>AND('STERLING CATALOG - DRY '!D1196,"AAAAAHb3Y6o=")</f>
        <v>#VALUE!</v>
      </c>
      <c r="FP59" t="e">
        <f>AND('STERLING CATALOG - DRY '!E1196,"AAAAAHb3Y6s=")</f>
        <v>#VALUE!</v>
      </c>
      <c r="FQ59" t="e">
        <f>AND('STERLING CATALOG - DRY '!F1196,"AAAAAHb3Y6w=")</f>
        <v>#VALUE!</v>
      </c>
      <c r="FR59" t="e">
        <f>AND('STERLING CATALOG - DRY '!G1196,"AAAAAHb3Y60=")</f>
        <v>#VALUE!</v>
      </c>
      <c r="FS59" t="e">
        <f>AND('STERLING CATALOG - DRY '!H1196,"AAAAAHb3Y64=")</f>
        <v>#VALUE!</v>
      </c>
      <c r="FT59" t="e">
        <f>AND('STERLING CATALOG - DRY '!I1196,"AAAAAHb3Y68=")</f>
        <v>#VALUE!</v>
      </c>
      <c r="FU59" t="e">
        <f>AND('STERLING CATALOG - DRY '!J1196,"AAAAAHb3Y7A=")</f>
        <v>#VALUE!</v>
      </c>
      <c r="FV59">
        <f>IF('STERLING CATALOG - DRY '!1197:1197,"AAAAAHb3Y7E=",0)</f>
        <v>0</v>
      </c>
      <c r="FW59" t="e">
        <f>AND('STERLING CATALOG - DRY '!A1197,"AAAAAHb3Y7I=")</f>
        <v>#VALUE!</v>
      </c>
      <c r="FX59" t="e">
        <f>AND('STERLING CATALOG - DRY '!B1197,"AAAAAHb3Y7M=")</f>
        <v>#VALUE!</v>
      </c>
      <c r="FY59" t="e">
        <f>AND('STERLING CATALOG - DRY '!C1197,"AAAAAHb3Y7Q=")</f>
        <v>#VALUE!</v>
      </c>
      <c r="FZ59" t="e">
        <f>AND('STERLING CATALOG - DRY '!D1197,"AAAAAHb3Y7U=")</f>
        <v>#VALUE!</v>
      </c>
      <c r="GA59" t="e">
        <f>AND('STERLING CATALOG - DRY '!E1197,"AAAAAHb3Y7Y=")</f>
        <v>#VALUE!</v>
      </c>
      <c r="GB59" t="e">
        <f>AND('STERLING CATALOG - DRY '!F1197,"AAAAAHb3Y7c=")</f>
        <v>#VALUE!</v>
      </c>
      <c r="GC59" t="e">
        <f>AND('STERLING CATALOG - DRY '!G1197,"AAAAAHb3Y7g=")</f>
        <v>#VALUE!</v>
      </c>
      <c r="GD59" t="e">
        <f>AND('STERLING CATALOG - DRY '!H1197,"AAAAAHb3Y7k=")</f>
        <v>#VALUE!</v>
      </c>
      <c r="GE59" t="e">
        <f>AND('STERLING CATALOG - DRY '!I1197,"AAAAAHb3Y7o=")</f>
        <v>#VALUE!</v>
      </c>
      <c r="GF59" t="e">
        <f>AND('STERLING CATALOG - DRY '!J1197,"AAAAAHb3Y7s=")</f>
        <v>#VALUE!</v>
      </c>
      <c r="GG59">
        <f>IF('STERLING CATALOG - DRY '!1198:1198,"AAAAAHb3Y7w=",0)</f>
        <v>0</v>
      </c>
      <c r="GH59" t="e">
        <f>AND('STERLING CATALOG - DRY '!A1198,"AAAAAHb3Y70=")</f>
        <v>#VALUE!</v>
      </c>
      <c r="GI59" t="e">
        <f>AND('STERLING CATALOG - DRY '!B1198,"AAAAAHb3Y74=")</f>
        <v>#VALUE!</v>
      </c>
      <c r="GJ59" t="e">
        <f>AND('STERLING CATALOG - DRY '!C1198,"AAAAAHb3Y78=")</f>
        <v>#VALUE!</v>
      </c>
      <c r="GK59" t="e">
        <f>AND('STERLING CATALOG - DRY '!D1198,"AAAAAHb3Y8A=")</f>
        <v>#VALUE!</v>
      </c>
      <c r="GL59" t="e">
        <f>AND('STERLING CATALOG - DRY '!E1198,"AAAAAHb3Y8E=")</f>
        <v>#VALUE!</v>
      </c>
      <c r="GM59" t="e">
        <f>AND('STERLING CATALOG - DRY '!F1198,"AAAAAHb3Y8I=")</f>
        <v>#VALUE!</v>
      </c>
      <c r="GN59" t="e">
        <f>AND('STERLING CATALOG - DRY '!G1198,"AAAAAHb3Y8M=")</f>
        <v>#VALUE!</v>
      </c>
      <c r="GO59" t="e">
        <f>AND('STERLING CATALOG - DRY '!H1198,"AAAAAHb3Y8Q=")</f>
        <v>#VALUE!</v>
      </c>
      <c r="GP59" t="e">
        <f>AND('STERLING CATALOG - DRY '!I1198,"AAAAAHb3Y8U=")</f>
        <v>#VALUE!</v>
      </c>
      <c r="GQ59" t="e">
        <f>AND('STERLING CATALOG - DRY '!J1198,"AAAAAHb3Y8Y=")</f>
        <v>#VALUE!</v>
      </c>
      <c r="GR59">
        <f>IF('STERLING CATALOG - DRY '!1199:1199,"AAAAAHb3Y8c=",0)</f>
        <v>0</v>
      </c>
      <c r="GS59" t="e">
        <f>AND('STERLING CATALOG - DRY '!A1199,"AAAAAHb3Y8g=")</f>
        <v>#VALUE!</v>
      </c>
      <c r="GT59" t="e">
        <f>AND('STERLING CATALOG - DRY '!B1199,"AAAAAHb3Y8k=")</f>
        <v>#VALUE!</v>
      </c>
      <c r="GU59" t="e">
        <f>AND('STERLING CATALOG - DRY '!C1199,"AAAAAHb3Y8o=")</f>
        <v>#VALUE!</v>
      </c>
      <c r="GV59" t="e">
        <f>AND('STERLING CATALOG - DRY '!D1199,"AAAAAHb3Y8s=")</f>
        <v>#VALUE!</v>
      </c>
      <c r="GW59" t="e">
        <f>AND('STERLING CATALOG - DRY '!E1199,"AAAAAHb3Y8w=")</f>
        <v>#VALUE!</v>
      </c>
      <c r="GX59" t="e">
        <f>AND('STERLING CATALOG - DRY '!F1199,"AAAAAHb3Y80=")</f>
        <v>#VALUE!</v>
      </c>
      <c r="GY59" t="e">
        <f>AND('STERLING CATALOG - DRY '!G1199,"AAAAAHb3Y84=")</f>
        <v>#VALUE!</v>
      </c>
      <c r="GZ59" t="e">
        <f>AND('STERLING CATALOG - DRY '!H1199,"AAAAAHb3Y88=")</f>
        <v>#VALUE!</v>
      </c>
      <c r="HA59" t="e">
        <f>AND('STERLING CATALOG - DRY '!I1199,"AAAAAHb3Y9A=")</f>
        <v>#VALUE!</v>
      </c>
      <c r="HB59" t="e">
        <f>AND('STERLING CATALOG - DRY '!J1199,"AAAAAHb3Y9E=")</f>
        <v>#VALUE!</v>
      </c>
      <c r="HC59">
        <f>IF('STERLING CATALOG - DRY '!1200:1200,"AAAAAHb3Y9I=",0)</f>
        <v>0</v>
      </c>
      <c r="HD59" t="e">
        <f>AND('STERLING CATALOG - DRY '!A1200,"AAAAAHb3Y9M=")</f>
        <v>#VALUE!</v>
      </c>
      <c r="HE59" t="e">
        <f>AND('STERLING CATALOG - DRY '!B1200,"AAAAAHb3Y9Q=")</f>
        <v>#VALUE!</v>
      </c>
      <c r="HF59" t="e">
        <f>AND('STERLING CATALOG - DRY '!C1200,"AAAAAHb3Y9U=")</f>
        <v>#VALUE!</v>
      </c>
      <c r="HG59" t="e">
        <f>AND('STERLING CATALOG - DRY '!D1200,"AAAAAHb3Y9Y=")</f>
        <v>#VALUE!</v>
      </c>
      <c r="HH59" t="e">
        <f>AND('STERLING CATALOG - DRY '!E1200,"AAAAAHb3Y9c=")</f>
        <v>#VALUE!</v>
      </c>
      <c r="HI59" t="e">
        <f>AND('STERLING CATALOG - DRY '!F1200,"AAAAAHb3Y9g=")</f>
        <v>#VALUE!</v>
      </c>
      <c r="HJ59" t="e">
        <f>AND('STERLING CATALOG - DRY '!G1200,"AAAAAHb3Y9k=")</f>
        <v>#VALUE!</v>
      </c>
      <c r="HK59" t="e">
        <f>AND('STERLING CATALOG - DRY '!H1200,"AAAAAHb3Y9o=")</f>
        <v>#VALUE!</v>
      </c>
      <c r="HL59" t="e">
        <f>AND('STERLING CATALOG - DRY '!I1200,"AAAAAHb3Y9s=")</f>
        <v>#VALUE!</v>
      </c>
      <c r="HM59" t="e">
        <f>AND('STERLING CATALOG - DRY '!J1200,"AAAAAHb3Y9w=")</f>
        <v>#VALUE!</v>
      </c>
      <c r="HN59">
        <f>IF('STERLING CATALOG - DRY '!1201:1201,"AAAAAHb3Y90=",0)</f>
        <v>0</v>
      </c>
      <c r="HO59" t="e">
        <f>AND('STERLING CATALOG - DRY '!A1201,"AAAAAHb3Y94=")</f>
        <v>#VALUE!</v>
      </c>
      <c r="HP59" t="e">
        <f>AND('STERLING CATALOG - DRY '!B1201,"AAAAAHb3Y98=")</f>
        <v>#VALUE!</v>
      </c>
      <c r="HQ59" t="e">
        <f>AND('STERLING CATALOG - DRY '!C1201,"AAAAAHb3Y+A=")</f>
        <v>#VALUE!</v>
      </c>
      <c r="HR59" t="e">
        <f>AND('STERLING CATALOG - DRY '!D1201,"AAAAAHb3Y+E=")</f>
        <v>#VALUE!</v>
      </c>
      <c r="HS59" t="e">
        <f>AND('STERLING CATALOG - DRY '!E1201,"AAAAAHb3Y+I=")</f>
        <v>#VALUE!</v>
      </c>
      <c r="HT59" t="e">
        <f>AND('STERLING CATALOG - DRY '!F1201,"AAAAAHb3Y+M=")</f>
        <v>#VALUE!</v>
      </c>
      <c r="HU59" t="e">
        <f>AND('STERLING CATALOG - DRY '!G1201,"AAAAAHb3Y+Q=")</f>
        <v>#VALUE!</v>
      </c>
      <c r="HV59" t="e">
        <f>AND('STERLING CATALOG - DRY '!H1201,"AAAAAHb3Y+U=")</f>
        <v>#VALUE!</v>
      </c>
      <c r="HW59" t="e">
        <f>AND('STERLING CATALOG - DRY '!I1201,"AAAAAHb3Y+Y=")</f>
        <v>#VALUE!</v>
      </c>
      <c r="HX59" t="e">
        <f>AND('STERLING CATALOG - DRY '!J1201,"AAAAAHb3Y+c=")</f>
        <v>#VALUE!</v>
      </c>
      <c r="HY59">
        <f>IF('STERLING CATALOG - DRY '!1202:1202,"AAAAAHb3Y+g=",0)</f>
        <v>0</v>
      </c>
      <c r="HZ59" t="e">
        <f>AND('STERLING CATALOG - DRY '!A1202,"AAAAAHb3Y+k=")</f>
        <v>#VALUE!</v>
      </c>
      <c r="IA59" t="e">
        <f>AND('STERLING CATALOG - DRY '!B1202,"AAAAAHb3Y+o=")</f>
        <v>#VALUE!</v>
      </c>
      <c r="IB59" t="e">
        <f>AND('STERLING CATALOG - DRY '!C1202,"AAAAAHb3Y+s=")</f>
        <v>#VALUE!</v>
      </c>
      <c r="IC59" t="e">
        <f>AND('STERLING CATALOG - DRY '!D1202,"AAAAAHb3Y+w=")</f>
        <v>#VALUE!</v>
      </c>
      <c r="ID59" t="e">
        <f>AND('STERLING CATALOG - DRY '!E1202,"AAAAAHb3Y+0=")</f>
        <v>#VALUE!</v>
      </c>
      <c r="IE59" t="e">
        <f>AND('STERLING CATALOG - DRY '!F1202,"AAAAAHb3Y+4=")</f>
        <v>#VALUE!</v>
      </c>
      <c r="IF59" t="e">
        <f>AND('STERLING CATALOG - DRY '!G1202,"AAAAAHb3Y+8=")</f>
        <v>#VALUE!</v>
      </c>
      <c r="IG59" t="e">
        <f>AND('STERLING CATALOG - DRY '!H1202,"AAAAAHb3Y/A=")</f>
        <v>#VALUE!</v>
      </c>
      <c r="IH59" t="e">
        <f>AND('STERLING CATALOG - DRY '!I1202,"AAAAAHb3Y/E=")</f>
        <v>#VALUE!</v>
      </c>
      <c r="II59" t="e">
        <f>AND('STERLING CATALOG - DRY '!J1202,"AAAAAHb3Y/I=")</f>
        <v>#VALUE!</v>
      </c>
      <c r="IJ59">
        <f>IF('STERLING CATALOG - DRY '!1203:1203,"AAAAAHb3Y/M=",0)</f>
        <v>0</v>
      </c>
      <c r="IK59" t="e">
        <f>AND('STERLING CATALOG - DRY '!A1203,"AAAAAHb3Y/Q=")</f>
        <v>#VALUE!</v>
      </c>
      <c r="IL59" t="e">
        <f>AND('STERLING CATALOG - DRY '!B1203,"AAAAAHb3Y/U=")</f>
        <v>#VALUE!</v>
      </c>
      <c r="IM59" t="e">
        <f>AND('STERLING CATALOG - DRY '!C1203,"AAAAAHb3Y/Y=")</f>
        <v>#VALUE!</v>
      </c>
      <c r="IN59" t="e">
        <f>AND('STERLING CATALOG - DRY '!D1203,"AAAAAHb3Y/c=")</f>
        <v>#VALUE!</v>
      </c>
      <c r="IO59" t="e">
        <f>AND('STERLING CATALOG - DRY '!E1203,"AAAAAHb3Y/g=")</f>
        <v>#VALUE!</v>
      </c>
      <c r="IP59" t="e">
        <f>AND('STERLING CATALOG - DRY '!F1203,"AAAAAHb3Y/k=")</f>
        <v>#VALUE!</v>
      </c>
      <c r="IQ59" t="e">
        <f>AND('STERLING CATALOG - DRY '!G1203,"AAAAAHb3Y/o=")</f>
        <v>#VALUE!</v>
      </c>
      <c r="IR59" t="e">
        <f>AND('STERLING CATALOG - DRY '!H1203,"AAAAAHb3Y/s=")</f>
        <v>#VALUE!</v>
      </c>
      <c r="IS59" t="e">
        <f>AND('STERLING CATALOG - DRY '!I1203,"AAAAAHb3Y/w=")</f>
        <v>#VALUE!</v>
      </c>
      <c r="IT59" t="e">
        <f>AND('STERLING CATALOG - DRY '!J1203,"AAAAAHb3Y/0=")</f>
        <v>#VALUE!</v>
      </c>
      <c r="IU59">
        <f>IF('STERLING CATALOG - DRY '!1204:1204,"AAAAAHb3Y/4=",0)</f>
        <v>0</v>
      </c>
      <c r="IV59" t="e">
        <f>AND('STERLING CATALOG - DRY '!A1204,"AAAAAHb3Y/8=")</f>
        <v>#VALUE!</v>
      </c>
    </row>
    <row r="60" spans="1:256">
      <c r="A60" t="e">
        <f>AND('STERLING CATALOG - DRY '!B1204,"AAAAAHvsiwA=")</f>
        <v>#VALUE!</v>
      </c>
      <c r="B60" t="e">
        <f>AND('STERLING CATALOG - DRY '!C1204,"AAAAAHvsiwE=")</f>
        <v>#VALUE!</v>
      </c>
      <c r="C60" t="e">
        <f>AND('STERLING CATALOG - DRY '!D1204,"AAAAAHvsiwI=")</f>
        <v>#VALUE!</v>
      </c>
      <c r="D60" t="e">
        <f>AND('STERLING CATALOG - DRY '!E1204,"AAAAAHvsiwM=")</f>
        <v>#VALUE!</v>
      </c>
      <c r="E60" t="e">
        <f>AND('STERLING CATALOG - DRY '!F1204,"AAAAAHvsiwQ=")</f>
        <v>#VALUE!</v>
      </c>
      <c r="F60" t="e">
        <f>AND('STERLING CATALOG - DRY '!G1204,"AAAAAHvsiwU=")</f>
        <v>#VALUE!</v>
      </c>
      <c r="G60" t="e">
        <f>AND('STERLING CATALOG - DRY '!H1204,"AAAAAHvsiwY=")</f>
        <v>#VALUE!</v>
      </c>
      <c r="H60" t="e">
        <f>AND('STERLING CATALOG - DRY '!I1204,"AAAAAHvsiwc=")</f>
        <v>#VALUE!</v>
      </c>
      <c r="I60" t="e">
        <f>AND('STERLING CATALOG - DRY '!J1204,"AAAAAHvsiwg=")</f>
        <v>#VALUE!</v>
      </c>
      <c r="J60" t="e">
        <f>IF('STERLING CATALOG - DRY '!1205:1205,"AAAAAHvsiwk=",0)</f>
        <v>#VALUE!</v>
      </c>
      <c r="K60" t="e">
        <f>AND('STERLING CATALOG - DRY '!A1205,"AAAAAHvsiwo=")</f>
        <v>#VALUE!</v>
      </c>
      <c r="L60" t="e">
        <f>AND('STERLING CATALOG - DRY '!B1205,"AAAAAHvsiws=")</f>
        <v>#VALUE!</v>
      </c>
      <c r="M60" t="e">
        <f>AND('STERLING CATALOG - DRY '!C1205,"AAAAAHvsiww=")</f>
        <v>#VALUE!</v>
      </c>
      <c r="N60" t="e">
        <f>AND('STERLING CATALOG - DRY '!D1205,"AAAAAHvsiw0=")</f>
        <v>#VALUE!</v>
      </c>
      <c r="O60" t="e">
        <f>AND('STERLING CATALOG - DRY '!E1205,"AAAAAHvsiw4=")</f>
        <v>#VALUE!</v>
      </c>
      <c r="P60" t="e">
        <f>AND('STERLING CATALOG - DRY '!F1205,"AAAAAHvsiw8=")</f>
        <v>#VALUE!</v>
      </c>
      <c r="Q60" t="e">
        <f>AND('STERLING CATALOG - DRY '!G1205,"AAAAAHvsixA=")</f>
        <v>#VALUE!</v>
      </c>
      <c r="R60" t="e">
        <f>AND('STERLING CATALOG - DRY '!H1205,"AAAAAHvsixE=")</f>
        <v>#VALUE!</v>
      </c>
      <c r="S60" t="e">
        <f>AND('STERLING CATALOG - DRY '!I1205,"AAAAAHvsixI=")</f>
        <v>#VALUE!</v>
      </c>
      <c r="T60" t="e">
        <f>AND('STERLING CATALOG - DRY '!J1205,"AAAAAHvsixM=")</f>
        <v>#VALUE!</v>
      </c>
      <c r="U60">
        <f>IF('STERLING CATALOG - DRY '!1206:1206,"AAAAAHvsixQ=",0)</f>
        <v>0</v>
      </c>
      <c r="V60" t="e">
        <f>AND('STERLING CATALOG - DRY '!A1206,"AAAAAHvsixU=")</f>
        <v>#VALUE!</v>
      </c>
      <c r="W60" t="e">
        <f>AND('STERLING CATALOG - DRY '!B1206,"AAAAAHvsixY=")</f>
        <v>#VALUE!</v>
      </c>
      <c r="X60" t="e">
        <f>AND('STERLING CATALOG - DRY '!C1206,"AAAAAHvsixc=")</f>
        <v>#VALUE!</v>
      </c>
      <c r="Y60" t="e">
        <f>AND('STERLING CATALOG - DRY '!D1206,"AAAAAHvsixg=")</f>
        <v>#VALUE!</v>
      </c>
      <c r="Z60" t="e">
        <f>AND('STERLING CATALOG - DRY '!E1206,"AAAAAHvsixk=")</f>
        <v>#VALUE!</v>
      </c>
      <c r="AA60" t="e">
        <f>AND('STERLING CATALOG - DRY '!F1206,"AAAAAHvsixo=")</f>
        <v>#VALUE!</v>
      </c>
      <c r="AB60" t="e">
        <f>AND('STERLING CATALOG - DRY '!G1206,"AAAAAHvsixs=")</f>
        <v>#VALUE!</v>
      </c>
      <c r="AC60" t="e">
        <f>AND('STERLING CATALOG - DRY '!H1206,"AAAAAHvsixw=")</f>
        <v>#VALUE!</v>
      </c>
      <c r="AD60" t="e">
        <f>AND('STERLING CATALOG - DRY '!I1206,"AAAAAHvsix0=")</f>
        <v>#VALUE!</v>
      </c>
      <c r="AE60" t="e">
        <f>AND('STERLING CATALOG - DRY '!J1206,"AAAAAHvsix4=")</f>
        <v>#VALUE!</v>
      </c>
      <c r="AF60">
        <f>IF('STERLING CATALOG - DRY '!1207:1207,"AAAAAHvsix8=",0)</f>
        <v>0</v>
      </c>
      <c r="AG60" t="e">
        <f>AND('STERLING CATALOG - DRY '!A1207,"AAAAAHvsiyA=")</f>
        <v>#VALUE!</v>
      </c>
      <c r="AH60" t="e">
        <f>AND('STERLING CATALOG - DRY '!B1207,"AAAAAHvsiyE=")</f>
        <v>#VALUE!</v>
      </c>
      <c r="AI60" t="e">
        <f>AND('STERLING CATALOG - DRY '!C1207,"AAAAAHvsiyI=")</f>
        <v>#VALUE!</v>
      </c>
      <c r="AJ60" t="e">
        <f>AND('STERLING CATALOG - DRY '!D1207,"AAAAAHvsiyM=")</f>
        <v>#VALUE!</v>
      </c>
      <c r="AK60" t="e">
        <f>AND('STERLING CATALOG - DRY '!E1207,"AAAAAHvsiyQ=")</f>
        <v>#VALUE!</v>
      </c>
      <c r="AL60" t="e">
        <f>AND('STERLING CATALOG - DRY '!F1207,"AAAAAHvsiyU=")</f>
        <v>#VALUE!</v>
      </c>
      <c r="AM60" t="e">
        <f>AND('STERLING CATALOG - DRY '!G1207,"AAAAAHvsiyY=")</f>
        <v>#VALUE!</v>
      </c>
      <c r="AN60" t="e">
        <f>AND('STERLING CATALOG - DRY '!H1207,"AAAAAHvsiyc=")</f>
        <v>#VALUE!</v>
      </c>
      <c r="AO60" t="e">
        <f>AND('STERLING CATALOG - DRY '!I1207,"AAAAAHvsiyg=")</f>
        <v>#VALUE!</v>
      </c>
      <c r="AP60" t="e">
        <f>AND('STERLING CATALOG - DRY '!J1207,"AAAAAHvsiyk=")</f>
        <v>#VALUE!</v>
      </c>
      <c r="AQ60">
        <f>IF('STERLING CATALOG - DRY '!1208:1208,"AAAAAHvsiyo=",0)</f>
        <v>0</v>
      </c>
      <c r="AR60" t="e">
        <f>AND('STERLING CATALOG - DRY '!A1208,"AAAAAHvsiys=")</f>
        <v>#VALUE!</v>
      </c>
      <c r="AS60" t="e">
        <f>AND('STERLING CATALOG - DRY '!B1208,"AAAAAHvsiyw=")</f>
        <v>#VALUE!</v>
      </c>
      <c r="AT60" t="e">
        <f>AND('STERLING CATALOG - DRY '!C1208,"AAAAAHvsiy0=")</f>
        <v>#VALUE!</v>
      </c>
      <c r="AU60" t="e">
        <f>AND('STERLING CATALOG - DRY '!D1208,"AAAAAHvsiy4=")</f>
        <v>#VALUE!</v>
      </c>
      <c r="AV60" t="e">
        <f>AND('STERLING CATALOG - DRY '!E1208,"AAAAAHvsiy8=")</f>
        <v>#VALUE!</v>
      </c>
      <c r="AW60" t="e">
        <f>AND('STERLING CATALOG - DRY '!F1208,"AAAAAHvsizA=")</f>
        <v>#VALUE!</v>
      </c>
      <c r="AX60" t="e">
        <f>AND('STERLING CATALOG - DRY '!G1208,"AAAAAHvsizE=")</f>
        <v>#VALUE!</v>
      </c>
      <c r="AY60" t="e">
        <f>AND('STERLING CATALOG - DRY '!H1208,"AAAAAHvsizI=")</f>
        <v>#VALUE!</v>
      </c>
      <c r="AZ60" t="e">
        <f>AND('STERLING CATALOG - DRY '!I1208,"AAAAAHvsizM=")</f>
        <v>#VALUE!</v>
      </c>
      <c r="BA60" t="e">
        <f>AND('STERLING CATALOG - DRY '!J1208,"AAAAAHvsizQ=")</f>
        <v>#VALUE!</v>
      </c>
      <c r="BB60">
        <f>IF('STERLING CATALOG - DRY '!1209:1209,"AAAAAHvsizU=",0)</f>
        <v>0</v>
      </c>
      <c r="BC60" t="e">
        <f>AND('STERLING CATALOG - DRY '!A1209,"AAAAAHvsizY=")</f>
        <v>#VALUE!</v>
      </c>
      <c r="BD60" t="e">
        <f>AND('STERLING CATALOG - DRY '!B1209,"AAAAAHvsizc=")</f>
        <v>#VALUE!</v>
      </c>
      <c r="BE60" t="e">
        <f>AND('STERLING CATALOG - DRY '!C1209,"AAAAAHvsizg=")</f>
        <v>#VALUE!</v>
      </c>
      <c r="BF60" t="e">
        <f>AND('STERLING CATALOG - DRY '!D1209,"AAAAAHvsizk=")</f>
        <v>#VALUE!</v>
      </c>
      <c r="BG60" t="e">
        <f>AND('STERLING CATALOG - DRY '!E1209,"AAAAAHvsizo=")</f>
        <v>#VALUE!</v>
      </c>
      <c r="BH60" t="e">
        <f>AND('STERLING CATALOG - DRY '!F1209,"AAAAAHvsizs=")</f>
        <v>#VALUE!</v>
      </c>
      <c r="BI60" t="e">
        <f>AND('STERLING CATALOG - DRY '!G1209,"AAAAAHvsizw=")</f>
        <v>#VALUE!</v>
      </c>
      <c r="BJ60" t="e">
        <f>AND('STERLING CATALOG - DRY '!H1209,"AAAAAHvsiz0=")</f>
        <v>#VALUE!</v>
      </c>
      <c r="BK60" t="e">
        <f>AND('STERLING CATALOG - DRY '!I1209,"AAAAAHvsiz4=")</f>
        <v>#VALUE!</v>
      </c>
      <c r="BL60" t="e">
        <f>AND('STERLING CATALOG - DRY '!J1209,"AAAAAHvsiz8=")</f>
        <v>#VALUE!</v>
      </c>
      <c r="BM60">
        <f>IF('STERLING CATALOG - DRY '!1210:1210,"AAAAAHvsi0A=",0)</f>
        <v>0</v>
      </c>
      <c r="BN60" t="e">
        <f>AND('STERLING CATALOG - DRY '!A1210,"AAAAAHvsi0E=")</f>
        <v>#VALUE!</v>
      </c>
      <c r="BO60" t="e">
        <f>AND('STERLING CATALOG - DRY '!B1210,"AAAAAHvsi0I=")</f>
        <v>#VALUE!</v>
      </c>
      <c r="BP60" t="e">
        <f>AND('STERLING CATALOG - DRY '!C1210,"AAAAAHvsi0M=")</f>
        <v>#VALUE!</v>
      </c>
      <c r="BQ60" t="e">
        <f>AND('STERLING CATALOG - DRY '!D1210,"AAAAAHvsi0Q=")</f>
        <v>#VALUE!</v>
      </c>
      <c r="BR60" t="e">
        <f>AND('STERLING CATALOG - DRY '!E1210,"AAAAAHvsi0U=")</f>
        <v>#VALUE!</v>
      </c>
      <c r="BS60" t="e">
        <f>AND('STERLING CATALOG - DRY '!F1210,"AAAAAHvsi0Y=")</f>
        <v>#VALUE!</v>
      </c>
      <c r="BT60" t="e">
        <f>AND('STERLING CATALOG - DRY '!G1210,"AAAAAHvsi0c=")</f>
        <v>#VALUE!</v>
      </c>
      <c r="BU60" t="e">
        <f>AND('STERLING CATALOG - DRY '!H1210,"AAAAAHvsi0g=")</f>
        <v>#VALUE!</v>
      </c>
      <c r="BV60" t="e">
        <f>AND('STERLING CATALOG - DRY '!I1210,"AAAAAHvsi0k=")</f>
        <v>#VALUE!</v>
      </c>
      <c r="BW60" t="e">
        <f>AND('STERLING CATALOG - DRY '!J1210,"AAAAAHvsi0o=")</f>
        <v>#VALUE!</v>
      </c>
      <c r="BX60">
        <f>IF('STERLING CATALOG - DRY '!1211:1211,"AAAAAHvsi0s=",0)</f>
        <v>0</v>
      </c>
      <c r="BY60" t="e">
        <f>AND('STERLING CATALOG - DRY '!A1211,"AAAAAHvsi0w=")</f>
        <v>#VALUE!</v>
      </c>
      <c r="BZ60" t="e">
        <f>AND('STERLING CATALOG - DRY '!B1211,"AAAAAHvsi00=")</f>
        <v>#VALUE!</v>
      </c>
      <c r="CA60" t="e">
        <f>AND('STERLING CATALOG - DRY '!C1211,"AAAAAHvsi04=")</f>
        <v>#VALUE!</v>
      </c>
      <c r="CB60" t="e">
        <f>AND('STERLING CATALOG - DRY '!D1211,"AAAAAHvsi08=")</f>
        <v>#VALUE!</v>
      </c>
      <c r="CC60" t="e">
        <f>AND('STERLING CATALOG - DRY '!E1211,"AAAAAHvsi1A=")</f>
        <v>#VALUE!</v>
      </c>
      <c r="CD60" t="e">
        <f>AND('STERLING CATALOG - DRY '!F1211,"AAAAAHvsi1E=")</f>
        <v>#VALUE!</v>
      </c>
      <c r="CE60" t="e">
        <f>AND('STERLING CATALOG - DRY '!G1211,"AAAAAHvsi1I=")</f>
        <v>#VALUE!</v>
      </c>
      <c r="CF60" t="e">
        <f>AND('STERLING CATALOG - DRY '!H1211,"AAAAAHvsi1M=")</f>
        <v>#VALUE!</v>
      </c>
      <c r="CG60" t="e">
        <f>AND('STERLING CATALOG - DRY '!I1211,"AAAAAHvsi1Q=")</f>
        <v>#VALUE!</v>
      </c>
      <c r="CH60" t="e">
        <f>AND('STERLING CATALOG - DRY '!J1211,"AAAAAHvsi1U=")</f>
        <v>#VALUE!</v>
      </c>
      <c r="CI60">
        <f>IF('STERLING CATALOG - DRY '!1212:1212,"AAAAAHvsi1Y=",0)</f>
        <v>0</v>
      </c>
      <c r="CJ60" t="e">
        <f>AND('STERLING CATALOG - DRY '!A1212,"AAAAAHvsi1c=")</f>
        <v>#VALUE!</v>
      </c>
      <c r="CK60" t="e">
        <f>AND('STERLING CATALOG - DRY '!B1212,"AAAAAHvsi1g=")</f>
        <v>#VALUE!</v>
      </c>
      <c r="CL60" t="e">
        <f>AND('STERLING CATALOG - DRY '!C1212,"AAAAAHvsi1k=")</f>
        <v>#VALUE!</v>
      </c>
      <c r="CM60" t="e">
        <f>AND('STERLING CATALOG - DRY '!D1212,"AAAAAHvsi1o=")</f>
        <v>#VALUE!</v>
      </c>
      <c r="CN60" t="e">
        <f>AND('STERLING CATALOG - DRY '!E1212,"AAAAAHvsi1s=")</f>
        <v>#VALUE!</v>
      </c>
      <c r="CO60" t="e">
        <f>AND('STERLING CATALOG - DRY '!F1212,"AAAAAHvsi1w=")</f>
        <v>#VALUE!</v>
      </c>
      <c r="CP60" t="e">
        <f>AND('STERLING CATALOG - DRY '!G1212,"AAAAAHvsi10=")</f>
        <v>#VALUE!</v>
      </c>
      <c r="CQ60" t="e">
        <f>AND('STERLING CATALOG - DRY '!H1212,"AAAAAHvsi14=")</f>
        <v>#VALUE!</v>
      </c>
      <c r="CR60" t="e">
        <f>AND('STERLING CATALOG - DRY '!I1212,"AAAAAHvsi18=")</f>
        <v>#VALUE!</v>
      </c>
      <c r="CS60" t="e">
        <f>AND('STERLING CATALOG - DRY '!J1212,"AAAAAHvsi2A=")</f>
        <v>#VALUE!</v>
      </c>
      <c r="CT60">
        <f>IF('STERLING CATALOG - DRY '!1213:1213,"AAAAAHvsi2E=",0)</f>
        <v>0</v>
      </c>
      <c r="CU60" t="e">
        <f>AND('STERLING CATALOG - DRY '!A1213,"AAAAAHvsi2I=")</f>
        <v>#VALUE!</v>
      </c>
      <c r="CV60" t="e">
        <f>AND('STERLING CATALOG - DRY '!B1213,"AAAAAHvsi2M=")</f>
        <v>#VALUE!</v>
      </c>
      <c r="CW60" t="e">
        <f>AND('STERLING CATALOG - DRY '!C1213,"AAAAAHvsi2Q=")</f>
        <v>#VALUE!</v>
      </c>
      <c r="CX60" t="e">
        <f>AND('STERLING CATALOG - DRY '!D1213,"AAAAAHvsi2U=")</f>
        <v>#VALUE!</v>
      </c>
      <c r="CY60" t="e">
        <f>AND('STERLING CATALOG - DRY '!E1213,"AAAAAHvsi2Y=")</f>
        <v>#VALUE!</v>
      </c>
      <c r="CZ60" t="e">
        <f>AND('STERLING CATALOG - DRY '!F1213,"AAAAAHvsi2c=")</f>
        <v>#VALUE!</v>
      </c>
      <c r="DA60" t="e">
        <f>AND('STERLING CATALOG - DRY '!G1213,"AAAAAHvsi2g=")</f>
        <v>#VALUE!</v>
      </c>
      <c r="DB60" t="e">
        <f>AND('STERLING CATALOG - DRY '!H1213,"AAAAAHvsi2k=")</f>
        <v>#VALUE!</v>
      </c>
      <c r="DC60" t="e">
        <f>AND('STERLING CATALOG - DRY '!I1213,"AAAAAHvsi2o=")</f>
        <v>#VALUE!</v>
      </c>
      <c r="DD60" t="e">
        <f>AND('STERLING CATALOG - DRY '!J1213,"AAAAAHvsi2s=")</f>
        <v>#VALUE!</v>
      </c>
      <c r="DE60">
        <f>IF('STERLING CATALOG - DRY '!1214:1214,"AAAAAHvsi2w=",0)</f>
        <v>0</v>
      </c>
      <c r="DF60" t="e">
        <f>AND('STERLING CATALOG - DRY '!A1214,"AAAAAHvsi20=")</f>
        <v>#VALUE!</v>
      </c>
      <c r="DG60" t="e">
        <f>AND('STERLING CATALOG - DRY '!B1214,"AAAAAHvsi24=")</f>
        <v>#VALUE!</v>
      </c>
      <c r="DH60" t="e">
        <f>AND('STERLING CATALOG - DRY '!C1214,"AAAAAHvsi28=")</f>
        <v>#VALUE!</v>
      </c>
      <c r="DI60" t="e">
        <f>AND('STERLING CATALOG - DRY '!D1214,"AAAAAHvsi3A=")</f>
        <v>#VALUE!</v>
      </c>
      <c r="DJ60" t="e">
        <f>AND('STERLING CATALOG - DRY '!E1214,"AAAAAHvsi3E=")</f>
        <v>#VALUE!</v>
      </c>
      <c r="DK60" t="e">
        <f>AND('STERLING CATALOG - DRY '!F1214,"AAAAAHvsi3I=")</f>
        <v>#VALUE!</v>
      </c>
      <c r="DL60" t="e">
        <f>AND('STERLING CATALOG - DRY '!G1214,"AAAAAHvsi3M=")</f>
        <v>#VALUE!</v>
      </c>
      <c r="DM60" t="e">
        <f>AND('STERLING CATALOG - DRY '!H1214,"AAAAAHvsi3Q=")</f>
        <v>#VALUE!</v>
      </c>
      <c r="DN60" t="e">
        <f>AND('STERLING CATALOG - DRY '!I1214,"AAAAAHvsi3U=")</f>
        <v>#VALUE!</v>
      </c>
      <c r="DO60" t="e">
        <f>AND('STERLING CATALOG - DRY '!J1214,"AAAAAHvsi3Y=")</f>
        <v>#VALUE!</v>
      </c>
      <c r="DP60">
        <f>IF('STERLING CATALOG - DRY '!1215:1215,"AAAAAHvsi3c=",0)</f>
        <v>0</v>
      </c>
      <c r="DQ60" t="e">
        <f>AND('STERLING CATALOG - DRY '!A1215,"AAAAAHvsi3g=")</f>
        <v>#VALUE!</v>
      </c>
      <c r="DR60" t="e">
        <f>AND('STERLING CATALOG - DRY '!B1215,"AAAAAHvsi3k=")</f>
        <v>#VALUE!</v>
      </c>
      <c r="DS60" t="e">
        <f>AND('STERLING CATALOG - DRY '!C1215,"AAAAAHvsi3o=")</f>
        <v>#VALUE!</v>
      </c>
      <c r="DT60" t="e">
        <f>AND('STERLING CATALOG - DRY '!D1215,"AAAAAHvsi3s=")</f>
        <v>#VALUE!</v>
      </c>
      <c r="DU60" t="e">
        <f>AND('STERLING CATALOG - DRY '!E1215,"AAAAAHvsi3w=")</f>
        <v>#VALUE!</v>
      </c>
      <c r="DV60" t="e">
        <f>AND('STERLING CATALOG - DRY '!F1215,"AAAAAHvsi30=")</f>
        <v>#VALUE!</v>
      </c>
      <c r="DW60" t="e">
        <f>AND('STERLING CATALOG - DRY '!G1215,"AAAAAHvsi34=")</f>
        <v>#VALUE!</v>
      </c>
      <c r="DX60" t="e">
        <f>AND('STERLING CATALOG - DRY '!H1215,"AAAAAHvsi38=")</f>
        <v>#VALUE!</v>
      </c>
      <c r="DY60" t="e">
        <f>AND('STERLING CATALOG - DRY '!I1215,"AAAAAHvsi4A=")</f>
        <v>#VALUE!</v>
      </c>
      <c r="DZ60" t="e">
        <f>AND('STERLING CATALOG - DRY '!J1215,"AAAAAHvsi4E=")</f>
        <v>#VALUE!</v>
      </c>
      <c r="EA60">
        <f>IF('STERLING CATALOG - DRY '!1216:1216,"AAAAAHvsi4I=",0)</f>
        <v>0</v>
      </c>
      <c r="EB60" t="e">
        <f>AND('STERLING CATALOG - DRY '!A1216,"AAAAAHvsi4M=")</f>
        <v>#VALUE!</v>
      </c>
      <c r="EC60" t="e">
        <f>AND('STERLING CATALOG - DRY '!B1216,"AAAAAHvsi4Q=")</f>
        <v>#VALUE!</v>
      </c>
      <c r="ED60" t="e">
        <f>AND('STERLING CATALOG - DRY '!C1216,"AAAAAHvsi4U=")</f>
        <v>#VALUE!</v>
      </c>
      <c r="EE60" t="e">
        <f>AND('STERLING CATALOG - DRY '!D1216,"AAAAAHvsi4Y=")</f>
        <v>#VALUE!</v>
      </c>
      <c r="EF60" t="e">
        <f>AND('STERLING CATALOG - DRY '!E1216,"AAAAAHvsi4c=")</f>
        <v>#VALUE!</v>
      </c>
      <c r="EG60" t="e">
        <f>AND('STERLING CATALOG - DRY '!F1216,"AAAAAHvsi4g=")</f>
        <v>#VALUE!</v>
      </c>
      <c r="EH60" t="e">
        <f>AND('STERLING CATALOG - DRY '!G1216,"AAAAAHvsi4k=")</f>
        <v>#VALUE!</v>
      </c>
      <c r="EI60" t="e">
        <f>AND('STERLING CATALOG - DRY '!H1216,"AAAAAHvsi4o=")</f>
        <v>#VALUE!</v>
      </c>
      <c r="EJ60" t="e">
        <f>AND('STERLING CATALOG - DRY '!I1216,"AAAAAHvsi4s=")</f>
        <v>#VALUE!</v>
      </c>
      <c r="EK60" t="e">
        <f>AND('STERLING CATALOG - DRY '!J1216,"AAAAAHvsi4w=")</f>
        <v>#VALUE!</v>
      </c>
      <c r="EL60">
        <f>IF('STERLING CATALOG - DRY '!1217:1217,"AAAAAHvsi40=",0)</f>
        <v>0</v>
      </c>
      <c r="EM60" t="e">
        <f>AND('STERLING CATALOG - DRY '!A1217,"AAAAAHvsi44=")</f>
        <v>#VALUE!</v>
      </c>
      <c r="EN60" t="e">
        <f>AND('STERLING CATALOG - DRY '!B1217,"AAAAAHvsi48=")</f>
        <v>#VALUE!</v>
      </c>
      <c r="EO60" t="e">
        <f>AND('STERLING CATALOG - DRY '!C1217,"AAAAAHvsi5A=")</f>
        <v>#VALUE!</v>
      </c>
      <c r="EP60" t="e">
        <f>AND('STERLING CATALOG - DRY '!D1217,"AAAAAHvsi5E=")</f>
        <v>#VALUE!</v>
      </c>
      <c r="EQ60" t="e">
        <f>AND('STERLING CATALOG - DRY '!E1217,"AAAAAHvsi5I=")</f>
        <v>#VALUE!</v>
      </c>
      <c r="ER60" t="e">
        <f>AND('STERLING CATALOG - DRY '!F1217,"AAAAAHvsi5M=")</f>
        <v>#VALUE!</v>
      </c>
      <c r="ES60" t="e">
        <f>AND('STERLING CATALOG - DRY '!G1217,"AAAAAHvsi5Q=")</f>
        <v>#VALUE!</v>
      </c>
      <c r="ET60" t="e">
        <f>AND('STERLING CATALOG - DRY '!H1217,"AAAAAHvsi5U=")</f>
        <v>#VALUE!</v>
      </c>
      <c r="EU60" t="e">
        <f>AND('STERLING CATALOG - DRY '!I1217,"AAAAAHvsi5Y=")</f>
        <v>#VALUE!</v>
      </c>
      <c r="EV60" t="e">
        <f>AND('STERLING CATALOG - DRY '!J1217,"AAAAAHvsi5c=")</f>
        <v>#VALUE!</v>
      </c>
      <c r="EW60">
        <f>IF('STERLING CATALOG - DRY '!1218:1218,"AAAAAHvsi5g=",0)</f>
        <v>0</v>
      </c>
      <c r="EX60" t="e">
        <f>AND('STERLING CATALOG - DRY '!A1218,"AAAAAHvsi5k=")</f>
        <v>#VALUE!</v>
      </c>
      <c r="EY60" t="e">
        <f>AND('STERLING CATALOG - DRY '!B1218,"AAAAAHvsi5o=")</f>
        <v>#VALUE!</v>
      </c>
      <c r="EZ60" t="e">
        <f>AND('STERLING CATALOG - DRY '!C1218,"AAAAAHvsi5s=")</f>
        <v>#VALUE!</v>
      </c>
      <c r="FA60" t="e">
        <f>AND('STERLING CATALOG - DRY '!D1218,"AAAAAHvsi5w=")</f>
        <v>#VALUE!</v>
      </c>
      <c r="FB60" t="e">
        <f>AND('STERLING CATALOG - DRY '!E1218,"AAAAAHvsi50=")</f>
        <v>#VALUE!</v>
      </c>
      <c r="FC60" t="e">
        <f>AND('STERLING CATALOG - DRY '!F1218,"AAAAAHvsi54=")</f>
        <v>#VALUE!</v>
      </c>
      <c r="FD60" t="e">
        <f>AND('STERLING CATALOG - DRY '!G1218,"AAAAAHvsi58=")</f>
        <v>#VALUE!</v>
      </c>
      <c r="FE60" t="e">
        <f>AND('STERLING CATALOG - DRY '!H1218,"AAAAAHvsi6A=")</f>
        <v>#VALUE!</v>
      </c>
      <c r="FF60" t="e">
        <f>AND('STERLING CATALOG - DRY '!I1218,"AAAAAHvsi6E=")</f>
        <v>#VALUE!</v>
      </c>
      <c r="FG60" t="e">
        <f>AND('STERLING CATALOG - DRY '!J1218,"AAAAAHvsi6I=")</f>
        <v>#VALUE!</v>
      </c>
      <c r="FH60">
        <f>IF('STERLING CATALOG - DRY '!1219:1219,"AAAAAHvsi6M=",0)</f>
        <v>0</v>
      </c>
      <c r="FI60" t="e">
        <f>AND('STERLING CATALOG - DRY '!A1219,"AAAAAHvsi6Q=")</f>
        <v>#VALUE!</v>
      </c>
      <c r="FJ60" t="e">
        <f>AND('STERLING CATALOG - DRY '!B1219,"AAAAAHvsi6U=")</f>
        <v>#VALUE!</v>
      </c>
      <c r="FK60" t="e">
        <f>AND('STERLING CATALOG - DRY '!C1219,"AAAAAHvsi6Y=")</f>
        <v>#VALUE!</v>
      </c>
      <c r="FL60" t="e">
        <f>AND('STERLING CATALOG - DRY '!D1219,"AAAAAHvsi6c=")</f>
        <v>#VALUE!</v>
      </c>
      <c r="FM60" t="e">
        <f>AND('STERLING CATALOG - DRY '!E1219,"AAAAAHvsi6g=")</f>
        <v>#VALUE!</v>
      </c>
      <c r="FN60" t="e">
        <f>AND('STERLING CATALOG - DRY '!F1219,"AAAAAHvsi6k=")</f>
        <v>#VALUE!</v>
      </c>
      <c r="FO60" t="e">
        <f>AND('STERLING CATALOG - DRY '!G1219,"AAAAAHvsi6o=")</f>
        <v>#VALUE!</v>
      </c>
      <c r="FP60" t="e">
        <f>AND('STERLING CATALOG - DRY '!H1219,"AAAAAHvsi6s=")</f>
        <v>#VALUE!</v>
      </c>
      <c r="FQ60" t="e">
        <f>AND('STERLING CATALOG - DRY '!I1219,"AAAAAHvsi6w=")</f>
        <v>#VALUE!</v>
      </c>
      <c r="FR60" t="e">
        <f>AND('STERLING CATALOG - DRY '!J1219,"AAAAAHvsi60=")</f>
        <v>#VALUE!</v>
      </c>
      <c r="FS60">
        <f>IF('STERLING CATALOG - DRY '!1220:1220,"AAAAAHvsi64=",0)</f>
        <v>0</v>
      </c>
      <c r="FT60" t="e">
        <f>AND('STERLING CATALOG - DRY '!A1220,"AAAAAHvsi68=")</f>
        <v>#VALUE!</v>
      </c>
      <c r="FU60" t="e">
        <f>AND('STERLING CATALOG - DRY '!B1220,"AAAAAHvsi7A=")</f>
        <v>#VALUE!</v>
      </c>
      <c r="FV60" t="e">
        <f>AND('STERLING CATALOG - DRY '!C1220,"AAAAAHvsi7E=")</f>
        <v>#VALUE!</v>
      </c>
      <c r="FW60" t="e">
        <f>AND('STERLING CATALOG - DRY '!D1220,"AAAAAHvsi7I=")</f>
        <v>#VALUE!</v>
      </c>
      <c r="FX60" t="e">
        <f>AND('STERLING CATALOG - DRY '!E1220,"AAAAAHvsi7M=")</f>
        <v>#VALUE!</v>
      </c>
      <c r="FY60" t="e">
        <f>AND('STERLING CATALOG - DRY '!F1220,"AAAAAHvsi7Q=")</f>
        <v>#VALUE!</v>
      </c>
      <c r="FZ60" t="e">
        <f>AND('STERLING CATALOG - DRY '!G1220,"AAAAAHvsi7U=")</f>
        <v>#VALUE!</v>
      </c>
      <c r="GA60" t="e">
        <f>AND('STERLING CATALOG - DRY '!H1220,"AAAAAHvsi7Y=")</f>
        <v>#VALUE!</v>
      </c>
      <c r="GB60" t="e">
        <f>AND('STERLING CATALOG - DRY '!I1220,"AAAAAHvsi7c=")</f>
        <v>#VALUE!</v>
      </c>
      <c r="GC60" t="e">
        <f>AND('STERLING CATALOG - DRY '!J1220,"AAAAAHvsi7g=")</f>
        <v>#VALUE!</v>
      </c>
      <c r="GD60">
        <f>IF('STERLING CATALOG - DRY '!1221:1221,"AAAAAHvsi7k=",0)</f>
        <v>0</v>
      </c>
      <c r="GE60" t="e">
        <f>AND('STERLING CATALOG - DRY '!A1221,"AAAAAHvsi7o=")</f>
        <v>#VALUE!</v>
      </c>
      <c r="GF60" t="e">
        <f>AND('STERLING CATALOG - DRY '!B1221,"AAAAAHvsi7s=")</f>
        <v>#VALUE!</v>
      </c>
      <c r="GG60" t="e">
        <f>AND('STERLING CATALOG - DRY '!C1221,"AAAAAHvsi7w=")</f>
        <v>#VALUE!</v>
      </c>
      <c r="GH60" t="e">
        <f>AND('STERLING CATALOG - DRY '!D1221,"AAAAAHvsi70=")</f>
        <v>#VALUE!</v>
      </c>
      <c r="GI60" t="e">
        <f>AND('STERLING CATALOG - DRY '!E1221,"AAAAAHvsi74=")</f>
        <v>#VALUE!</v>
      </c>
      <c r="GJ60" t="e">
        <f>AND('STERLING CATALOG - DRY '!F1221,"AAAAAHvsi78=")</f>
        <v>#VALUE!</v>
      </c>
      <c r="GK60" t="e">
        <f>AND('STERLING CATALOG - DRY '!G1221,"AAAAAHvsi8A=")</f>
        <v>#VALUE!</v>
      </c>
      <c r="GL60" t="e">
        <f>AND('STERLING CATALOG - DRY '!H1221,"AAAAAHvsi8E=")</f>
        <v>#VALUE!</v>
      </c>
      <c r="GM60" t="e">
        <f>AND('STERLING CATALOG - DRY '!I1221,"AAAAAHvsi8I=")</f>
        <v>#VALUE!</v>
      </c>
      <c r="GN60" t="e">
        <f>AND('STERLING CATALOG - DRY '!J1221,"AAAAAHvsi8M=")</f>
        <v>#VALUE!</v>
      </c>
      <c r="GO60">
        <f>IF('STERLING CATALOG - DRY '!1222:1222,"AAAAAHvsi8Q=",0)</f>
        <v>0</v>
      </c>
      <c r="GP60" t="e">
        <f>AND('STERLING CATALOG - DRY '!A1222,"AAAAAHvsi8U=")</f>
        <v>#VALUE!</v>
      </c>
      <c r="GQ60" t="e">
        <f>AND('STERLING CATALOG - DRY '!B1222,"AAAAAHvsi8Y=")</f>
        <v>#VALUE!</v>
      </c>
      <c r="GR60" t="e">
        <f>AND('STERLING CATALOG - DRY '!C1222,"AAAAAHvsi8c=")</f>
        <v>#VALUE!</v>
      </c>
      <c r="GS60" t="e">
        <f>AND('STERLING CATALOG - DRY '!D1222,"AAAAAHvsi8g=")</f>
        <v>#VALUE!</v>
      </c>
      <c r="GT60" t="e">
        <f>AND('STERLING CATALOG - DRY '!E1222,"AAAAAHvsi8k=")</f>
        <v>#VALUE!</v>
      </c>
      <c r="GU60" t="e">
        <f>AND('STERLING CATALOG - DRY '!F1222,"AAAAAHvsi8o=")</f>
        <v>#VALUE!</v>
      </c>
      <c r="GV60" t="e">
        <f>AND('STERLING CATALOG - DRY '!G1222,"AAAAAHvsi8s=")</f>
        <v>#VALUE!</v>
      </c>
      <c r="GW60" t="e">
        <f>AND('STERLING CATALOG - DRY '!H1222,"AAAAAHvsi8w=")</f>
        <v>#VALUE!</v>
      </c>
      <c r="GX60" t="e">
        <f>AND('STERLING CATALOG - DRY '!I1222,"AAAAAHvsi80=")</f>
        <v>#VALUE!</v>
      </c>
      <c r="GY60" t="e">
        <f>AND('STERLING CATALOG - DRY '!J1222,"AAAAAHvsi84=")</f>
        <v>#VALUE!</v>
      </c>
      <c r="GZ60">
        <f>IF('STERLING CATALOG - DRY '!1223:1223,"AAAAAHvsi88=",0)</f>
        <v>0</v>
      </c>
      <c r="HA60" t="e">
        <f>AND('STERLING CATALOG - DRY '!A1223,"AAAAAHvsi9A=")</f>
        <v>#VALUE!</v>
      </c>
      <c r="HB60" t="e">
        <f>AND('STERLING CATALOG - DRY '!B1223,"AAAAAHvsi9E=")</f>
        <v>#VALUE!</v>
      </c>
      <c r="HC60" t="e">
        <f>AND('STERLING CATALOG - DRY '!C1223,"AAAAAHvsi9I=")</f>
        <v>#VALUE!</v>
      </c>
      <c r="HD60" t="e">
        <f>AND('STERLING CATALOG - DRY '!D1223,"AAAAAHvsi9M=")</f>
        <v>#VALUE!</v>
      </c>
      <c r="HE60" t="e">
        <f>AND('STERLING CATALOG - DRY '!E1223,"AAAAAHvsi9Q=")</f>
        <v>#VALUE!</v>
      </c>
      <c r="HF60" t="e">
        <f>AND('STERLING CATALOG - DRY '!F1223,"AAAAAHvsi9U=")</f>
        <v>#VALUE!</v>
      </c>
      <c r="HG60" t="e">
        <f>AND('STERLING CATALOG - DRY '!G1223,"AAAAAHvsi9Y=")</f>
        <v>#VALUE!</v>
      </c>
      <c r="HH60" t="e">
        <f>AND('STERLING CATALOG - DRY '!H1223,"AAAAAHvsi9c=")</f>
        <v>#VALUE!</v>
      </c>
      <c r="HI60" t="e">
        <f>AND('STERLING CATALOG - DRY '!I1223,"AAAAAHvsi9g=")</f>
        <v>#VALUE!</v>
      </c>
      <c r="HJ60" t="e">
        <f>AND('STERLING CATALOG - DRY '!J1223,"AAAAAHvsi9k=")</f>
        <v>#VALUE!</v>
      </c>
      <c r="HK60">
        <f>IF('STERLING CATALOG - DRY '!1224:1224,"AAAAAHvsi9o=",0)</f>
        <v>0</v>
      </c>
      <c r="HL60" t="e">
        <f>AND('STERLING CATALOG - DRY '!A1224,"AAAAAHvsi9s=")</f>
        <v>#VALUE!</v>
      </c>
      <c r="HM60" t="e">
        <f>AND('STERLING CATALOG - DRY '!B1224,"AAAAAHvsi9w=")</f>
        <v>#VALUE!</v>
      </c>
      <c r="HN60" t="e">
        <f>AND('STERLING CATALOG - DRY '!C1224,"AAAAAHvsi90=")</f>
        <v>#VALUE!</v>
      </c>
      <c r="HO60" t="e">
        <f>AND('STERLING CATALOG - DRY '!D1224,"AAAAAHvsi94=")</f>
        <v>#VALUE!</v>
      </c>
      <c r="HP60" t="e">
        <f>AND('STERLING CATALOG - DRY '!E1224,"AAAAAHvsi98=")</f>
        <v>#VALUE!</v>
      </c>
      <c r="HQ60" t="e">
        <f>AND('STERLING CATALOG - DRY '!F1224,"AAAAAHvsi+A=")</f>
        <v>#VALUE!</v>
      </c>
      <c r="HR60" t="e">
        <f>AND('STERLING CATALOG - DRY '!G1224,"AAAAAHvsi+E=")</f>
        <v>#VALUE!</v>
      </c>
      <c r="HS60" t="e">
        <f>AND('STERLING CATALOG - DRY '!H1224,"AAAAAHvsi+I=")</f>
        <v>#VALUE!</v>
      </c>
      <c r="HT60" t="e">
        <f>AND('STERLING CATALOG - DRY '!I1224,"AAAAAHvsi+M=")</f>
        <v>#VALUE!</v>
      </c>
      <c r="HU60" t="e">
        <f>AND('STERLING CATALOG - DRY '!J1224,"AAAAAHvsi+Q=")</f>
        <v>#VALUE!</v>
      </c>
      <c r="HV60">
        <f>IF('STERLING CATALOG - DRY '!1225:1225,"AAAAAHvsi+U=",0)</f>
        <v>0</v>
      </c>
      <c r="HW60" t="e">
        <f>AND('STERLING CATALOG - DRY '!A1225,"AAAAAHvsi+Y=")</f>
        <v>#VALUE!</v>
      </c>
      <c r="HX60" t="e">
        <f>AND('STERLING CATALOG - DRY '!B1225,"AAAAAHvsi+c=")</f>
        <v>#VALUE!</v>
      </c>
      <c r="HY60" t="e">
        <f>AND('STERLING CATALOG - DRY '!C1225,"AAAAAHvsi+g=")</f>
        <v>#VALUE!</v>
      </c>
      <c r="HZ60" t="e">
        <f>AND('STERLING CATALOG - DRY '!D1225,"AAAAAHvsi+k=")</f>
        <v>#VALUE!</v>
      </c>
      <c r="IA60" t="e">
        <f>AND('STERLING CATALOG - DRY '!E1225,"AAAAAHvsi+o=")</f>
        <v>#VALUE!</v>
      </c>
      <c r="IB60" t="e">
        <f>AND('STERLING CATALOG - DRY '!F1225,"AAAAAHvsi+s=")</f>
        <v>#VALUE!</v>
      </c>
      <c r="IC60" t="e">
        <f>AND('STERLING CATALOG - DRY '!G1225,"AAAAAHvsi+w=")</f>
        <v>#VALUE!</v>
      </c>
      <c r="ID60" t="e">
        <f>AND('STERLING CATALOG - DRY '!H1225,"AAAAAHvsi+0=")</f>
        <v>#VALUE!</v>
      </c>
      <c r="IE60" t="e">
        <f>AND('STERLING CATALOG - DRY '!I1225,"AAAAAHvsi+4=")</f>
        <v>#VALUE!</v>
      </c>
      <c r="IF60" t="e">
        <f>AND('STERLING CATALOG - DRY '!J1225,"AAAAAHvsi+8=")</f>
        <v>#VALUE!</v>
      </c>
      <c r="IG60">
        <f>IF('STERLING CATALOG - DRY '!1226:1226,"AAAAAHvsi/A=",0)</f>
        <v>0</v>
      </c>
      <c r="IH60" t="e">
        <f>AND('STERLING CATALOG - DRY '!A1226,"AAAAAHvsi/E=")</f>
        <v>#VALUE!</v>
      </c>
      <c r="II60" t="e">
        <f>AND('STERLING CATALOG - DRY '!B1226,"AAAAAHvsi/I=")</f>
        <v>#VALUE!</v>
      </c>
      <c r="IJ60" t="e">
        <f>AND('STERLING CATALOG - DRY '!C1226,"AAAAAHvsi/M=")</f>
        <v>#VALUE!</v>
      </c>
      <c r="IK60" t="e">
        <f>AND('STERLING CATALOG - DRY '!D1226,"AAAAAHvsi/Q=")</f>
        <v>#VALUE!</v>
      </c>
      <c r="IL60" t="e">
        <f>AND('STERLING CATALOG - DRY '!E1226,"AAAAAHvsi/U=")</f>
        <v>#VALUE!</v>
      </c>
      <c r="IM60" t="e">
        <f>AND('STERLING CATALOG - DRY '!F1226,"AAAAAHvsi/Y=")</f>
        <v>#VALUE!</v>
      </c>
      <c r="IN60" t="e">
        <f>AND('STERLING CATALOG - DRY '!G1226,"AAAAAHvsi/c=")</f>
        <v>#VALUE!</v>
      </c>
      <c r="IO60" t="e">
        <f>AND('STERLING CATALOG - DRY '!H1226,"AAAAAHvsi/g=")</f>
        <v>#VALUE!</v>
      </c>
      <c r="IP60" t="e">
        <f>AND('STERLING CATALOG - DRY '!I1226,"AAAAAHvsi/k=")</f>
        <v>#VALUE!</v>
      </c>
      <c r="IQ60" t="e">
        <f>AND('STERLING CATALOG - DRY '!J1226,"AAAAAHvsi/o=")</f>
        <v>#VALUE!</v>
      </c>
      <c r="IR60">
        <f>IF('STERLING CATALOG - DRY '!1227:1227,"AAAAAHvsi/s=",0)</f>
        <v>0</v>
      </c>
      <c r="IS60" t="e">
        <f>AND('STERLING CATALOG - DRY '!A1227,"AAAAAHvsi/w=")</f>
        <v>#VALUE!</v>
      </c>
      <c r="IT60" t="e">
        <f>AND('STERLING CATALOG - DRY '!B1227,"AAAAAHvsi/0=")</f>
        <v>#VALUE!</v>
      </c>
      <c r="IU60" t="e">
        <f>AND('STERLING CATALOG - DRY '!C1227,"AAAAAHvsi/4=")</f>
        <v>#VALUE!</v>
      </c>
      <c r="IV60" t="e">
        <f>AND('STERLING CATALOG - DRY '!D1227,"AAAAAHvsi/8=")</f>
        <v>#VALUE!</v>
      </c>
    </row>
    <row r="61" spans="1:256">
      <c r="A61" t="e">
        <f>AND('STERLING CATALOG - DRY '!E1227,"AAAAAH7/sAA=")</f>
        <v>#VALUE!</v>
      </c>
      <c r="B61" t="e">
        <f>AND('STERLING CATALOG - DRY '!F1227,"AAAAAH7/sAE=")</f>
        <v>#VALUE!</v>
      </c>
      <c r="C61" t="e">
        <f>AND('STERLING CATALOG - DRY '!G1227,"AAAAAH7/sAI=")</f>
        <v>#VALUE!</v>
      </c>
      <c r="D61" t="e">
        <f>AND('STERLING CATALOG - DRY '!H1227,"AAAAAH7/sAM=")</f>
        <v>#VALUE!</v>
      </c>
      <c r="E61" t="e">
        <f>AND('STERLING CATALOG - DRY '!I1227,"AAAAAH7/sAQ=")</f>
        <v>#VALUE!</v>
      </c>
      <c r="F61" t="e">
        <f>AND('STERLING CATALOG - DRY '!J1227,"AAAAAH7/sAU=")</f>
        <v>#VALUE!</v>
      </c>
      <c r="G61" t="str">
        <f>IF('STERLING CATALOG - DRY '!1228:1228,"AAAAAH7/sAY=",0)</f>
        <v>AAAAAH7/sAY=</v>
      </c>
      <c r="H61" t="e">
        <f>AND('STERLING CATALOG - DRY '!A1228,"AAAAAH7/sAc=")</f>
        <v>#VALUE!</v>
      </c>
      <c r="I61" t="e">
        <f>AND('STERLING CATALOG - DRY '!B1228,"AAAAAH7/sAg=")</f>
        <v>#VALUE!</v>
      </c>
      <c r="J61" t="e">
        <f>AND('STERLING CATALOG - DRY '!C1228,"AAAAAH7/sAk=")</f>
        <v>#VALUE!</v>
      </c>
      <c r="K61" t="e">
        <f>AND('STERLING CATALOG - DRY '!D1228,"AAAAAH7/sAo=")</f>
        <v>#VALUE!</v>
      </c>
      <c r="L61" t="e">
        <f>AND('STERLING CATALOG - DRY '!E1228,"AAAAAH7/sAs=")</f>
        <v>#VALUE!</v>
      </c>
      <c r="M61" t="e">
        <f>AND('STERLING CATALOG - DRY '!F1228,"AAAAAH7/sAw=")</f>
        <v>#VALUE!</v>
      </c>
      <c r="N61" t="e">
        <f>AND('STERLING CATALOG - DRY '!G1228,"AAAAAH7/sA0=")</f>
        <v>#VALUE!</v>
      </c>
      <c r="O61" t="e">
        <f>AND('STERLING CATALOG - DRY '!H1228,"AAAAAH7/sA4=")</f>
        <v>#VALUE!</v>
      </c>
      <c r="P61" t="e">
        <f>AND('STERLING CATALOG - DRY '!I1228,"AAAAAH7/sA8=")</f>
        <v>#VALUE!</v>
      </c>
      <c r="Q61" t="e">
        <f>AND('STERLING CATALOG - DRY '!J1228,"AAAAAH7/sBA=")</f>
        <v>#VALUE!</v>
      </c>
      <c r="R61">
        <f>IF('STERLING CATALOG - DRY '!1229:1229,"AAAAAH7/sBE=",0)</f>
        <v>0</v>
      </c>
      <c r="S61" t="e">
        <f>AND('STERLING CATALOG - DRY '!A1229,"AAAAAH7/sBI=")</f>
        <v>#VALUE!</v>
      </c>
      <c r="T61" t="e">
        <f>AND('STERLING CATALOG - DRY '!B1229,"AAAAAH7/sBM=")</f>
        <v>#VALUE!</v>
      </c>
      <c r="U61" t="e">
        <f>AND('STERLING CATALOG - DRY '!C1229,"AAAAAH7/sBQ=")</f>
        <v>#VALUE!</v>
      </c>
      <c r="V61" t="e">
        <f>AND('STERLING CATALOG - DRY '!D1229,"AAAAAH7/sBU=")</f>
        <v>#VALUE!</v>
      </c>
      <c r="W61" t="e">
        <f>AND('STERLING CATALOG - DRY '!E1229,"AAAAAH7/sBY=")</f>
        <v>#VALUE!</v>
      </c>
      <c r="X61" t="e">
        <f>AND('STERLING CATALOG - DRY '!F1229,"AAAAAH7/sBc=")</f>
        <v>#VALUE!</v>
      </c>
      <c r="Y61" t="e">
        <f>AND('STERLING CATALOG - DRY '!G1229,"AAAAAH7/sBg=")</f>
        <v>#VALUE!</v>
      </c>
      <c r="Z61" t="e">
        <f>AND('STERLING CATALOG - DRY '!H1229,"AAAAAH7/sBk=")</f>
        <v>#VALUE!</v>
      </c>
      <c r="AA61" t="e">
        <f>AND('STERLING CATALOG - DRY '!I1229,"AAAAAH7/sBo=")</f>
        <v>#VALUE!</v>
      </c>
      <c r="AB61" t="e">
        <f>AND('STERLING CATALOG - DRY '!J1229,"AAAAAH7/sBs=")</f>
        <v>#VALUE!</v>
      </c>
      <c r="AC61">
        <f>IF('STERLING CATALOG - DRY '!1230:1230,"AAAAAH7/sBw=",0)</f>
        <v>0</v>
      </c>
      <c r="AD61" t="e">
        <f>AND('STERLING CATALOG - DRY '!A1230,"AAAAAH7/sB0=")</f>
        <v>#VALUE!</v>
      </c>
      <c r="AE61" t="e">
        <f>AND('STERLING CATALOG - DRY '!B1230,"AAAAAH7/sB4=")</f>
        <v>#VALUE!</v>
      </c>
      <c r="AF61" t="e">
        <f>AND('STERLING CATALOG - DRY '!C1230,"AAAAAH7/sB8=")</f>
        <v>#VALUE!</v>
      </c>
      <c r="AG61" t="e">
        <f>AND('STERLING CATALOG - DRY '!D1230,"AAAAAH7/sCA=")</f>
        <v>#VALUE!</v>
      </c>
      <c r="AH61" t="e">
        <f>AND('STERLING CATALOG - DRY '!E1230,"AAAAAH7/sCE=")</f>
        <v>#VALUE!</v>
      </c>
      <c r="AI61" t="e">
        <f>AND('STERLING CATALOG - DRY '!F1230,"AAAAAH7/sCI=")</f>
        <v>#VALUE!</v>
      </c>
      <c r="AJ61" t="e">
        <f>AND('STERLING CATALOG - DRY '!G1230,"AAAAAH7/sCM=")</f>
        <v>#VALUE!</v>
      </c>
      <c r="AK61" t="e">
        <f>AND('STERLING CATALOG - DRY '!H1230,"AAAAAH7/sCQ=")</f>
        <v>#VALUE!</v>
      </c>
      <c r="AL61" t="e">
        <f>AND('STERLING CATALOG - DRY '!I1230,"AAAAAH7/sCU=")</f>
        <v>#VALUE!</v>
      </c>
      <c r="AM61" t="e">
        <f>AND('STERLING CATALOG - DRY '!J1230,"AAAAAH7/sCY=")</f>
        <v>#VALUE!</v>
      </c>
      <c r="AN61">
        <f>IF('STERLING CATALOG - DRY '!1231:1231,"AAAAAH7/sCc=",0)</f>
        <v>0</v>
      </c>
      <c r="AO61" t="e">
        <f>AND('STERLING CATALOG - DRY '!A1231,"AAAAAH7/sCg=")</f>
        <v>#VALUE!</v>
      </c>
      <c r="AP61" t="e">
        <f>AND('STERLING CATALOG - DRY '!B1231,"AAAAAH7/sCk=")</f>
        <v>#VALUE!</v>
      </c>
      <c r="AQ61" t="e">
        <f>AND('STERLING CATALOG - DRY '!C1231,"AAAAAH7/sCo=")</f>
        <v>#VALUE!</v>
      </c>
      <c r="AR61" t="e">
        <f>AND('STERLING CATALOG - DRY '!D1231,"AAAAAH7/sCs=")</f>
        <v>#VALUE!</v>
      </c>
      <c r="AS61" t="e">
        <f>AND('STERLING CATALOG - DRY '!E1231,"AAAAAH7/sCw=")</f>
        <v>#VALUE!</v>
      </c>
      <c r="AT61" t="e">
        <f>AND('STERLING CATALOG - DRY '!F1231,"AAAAAH7/sC0=")</f>
        <v>#VALUE!</v>
      </c>
      <c r="AU61" t="e">
        <f>AND('STERLING CATALOG - DRY '!G1231,"AAAAAH7/sC4=")</f>
        <v>#VALUE!</v>
      </c>
      <c r="AV61" t="e">
        <f>AND('STERLING CATALOG - DRY '!H1231,"AAAAAH7/sC8=")</f>
        <v>#VALUE!</v>
      </c>
      <c r="AW61" t="e">
        <f>AND('STERLING CATALOG - DRY '!I1231,"AAAAAH7/sDA=")</f>
        <v>#VALUE!</v>
      </c>
      <c r="AX61" t="e">
        <f>AND('STERLING CATALOG - DRY '!J1231,"AAAAAH7/sDE=")</f>
        <v>#VALUE!</v>
      </c>
      <c r="AY61">
        <f>IF('STERLING CATALOG - DRY '!1232:1232,"AAAAAH7/sDI=",0)</f>
        <v>0</v>
      </c>
      <c r="AZ61" t="e">
        <f>AND('STERLING CATALOG - DRY '!A1232,"AAAAAH7/sDM=")</f>
        <v>#VALUE!</v>
      </c>
      <c r="BA61" t="e">
        <f>AND('STERLING CATALOG - DRY '!B1232,"AAAAAH7/sDQ=")</f>
        <v>#VALUE!</v>
      </c>
      <c r="BB61" t="e">
        <f>AND('STERLING CATALOG - DRY '!C1232,"AAAAAH7/sDU=")</f>
        <v>#VALUE!</v>
      </c>
      <c r="BC61" t="e">
        <f>AND('STERLING CATALOG - DRY '!D1232,"AAAAAH7/sDY=")</f>
        <v>#VALUE!</v>
      </c>
      <c r="BD61" t="e">
        <f>AND('STERLING CATALOG - DRY '!E1232,"AAAAAH7/sDc=")</f>
        <v>#VALUE!</v>
      </c>
      <c r="BE61" t="e">
        <f>AND('STERLING CATALOG - DRY '!F1232,"AAAAAH7/sDg=")</f>
        <v>#VALUE!</v>
      </c>
      <c r="BF61" t="e">
        <f>AND('STERLING CATALOG - DRY '!G1232,"AAAAAH7/sDk=")</f>
        <v>#VALUE!</v>
      </c>
      <c r="BG61" t="e">
        <f>AND('STERLING CATALOG - DRY '!H1232,"AAAAAH7/sDo=")</f>
        <v>#VALUE!</v>
      </c>
      <c r="BH61" t="e">
        <f>AND('STERLING CATALOG - DRY '!I1232,"AAAAAH7/sDs=")</f>
        <v>#VALUE!</v>
      </c>
      <c r="BI61" t="e">
        <f>AND('STERLING CATALOG - DRY '!J1232,"AAAAAH7/sDw=")</f>
        <v>#VALUE!</v>
      </c>
      <c r="BJ61">
        <f>IF('STERLING CATALOG - DRY '!1233:1233,"AAAAAH7/sD0=",0)</f>
        <v>0</v>
      </c>
      <c r="BK61" t="e">
        <f>AND('STERLING CATALOG - DRY '!A1233,"AAAAAH7/sD4=")</f>
        <v>#VALUE!</v>
      </c>
      <c r="BL61" t="e">
        <f>AND('STERLING CATALOG - DRY '!B1233,"AAAAAH7/sD8=")</f>
        <v>#VALUE!</v>
      </c>
      <c r="BM61" t="e">
        <f>AND('STERLING CATALOG - DRY '!C1233,"AAAAAH7/sEA=")</f>
        <v>#VALUE!</v>
      </c>
      <c r="BN61" t="e">
        <f>AND('STERLING CATALOG - DRY '!D1233,"AAAAAH7/sEE=")</f>
        <v>#VALUE!</v>
      </c>
      <c r="BO61" t="e">
        <f>AND('STERLING CATALOG - DRY '!E1233,"AAAAAH7/sEI=")</f>
        <v>#VALUE!</v>
      </c>
      <c r="BP61" t="e">
        <f>AND('STERLING CATALOG - DRY '!F1233,"AAAAAH7/sEM=")</f>
        <v>#VALUE!</v>
      </c>
      <c r="BQ61" t="e">
        <f>AND('STERLING CATALOG - DRY '!G1233,"AAAAAH7/sEQ=")</f>
        <v>#VALUE!</v>
      </c>
      <c r="BR61" t="e">
        <f>AND('STERLING CATALOG - DRY '!H1233,"AAAAAH7/sEU=")</f>
        <v>#VALUE!</v>
      </c>
      <c r="BS61" t="e">
        <f>AND('STERLING CATALOG - DRY '!I1233,"AAAAAH7/sEY=")</f>
        <v>#VALUE!</v>
      </c>
      <c r="BT61" t="e">
        <f>AND('STERLING CATALOG - DRY '!J1233,"AAAAAH7/sEc=")</f>
        <v>#VALUE!</v>
      </c>
      <c r="BU61">
        <f>IF('STERLING CATALOG - DRY '!1234:1234,"AAAAAH7/sEg=",0)</f>
        <v>0</v>
      </c>
      <c r="BV61" t="e">
        <f>AND('STERLING CATALOG - DRY '!A1234,"AAAAAH7/sEk=")</f>
        <v>#VALUE!</v>
      </c>
      <c r="BW61" t="e">
        <f>AND('STERLING CATALOG - DRY '!B1234,"AAAAAH7/sEo=")</f>
        <v>#VALUE!</v>
      </c>
      <c r="BX61" t="e">
        <f>AND('STERLING CATALOG - DRY '!C1234,"AAAAAH7/sEs=")</f>
        <v>#VALUE!</v>
      </c>
      <c r="BY61" t="e">
        <f>AND('STERLING CATALOG - DRY '!D1234,"AAAAAH7/sEw=")</f>
        <v>#VALUE!</v>
      </c>
      <c r="BZ61" t="e">
        <f>AND('STERLING CATALOG - DRY '!E1234,"AAAAAH7/sE0=")</f>
        <v>#VALUE!</v>
      </c>
      <c r="CA61" t="e">
        <f>AND('STERLING CATALOG - DRY '!F1234,"AAAAAH7/sE4=")</f>
        <v>#VALUE!</v>
      </c>
      <c r="CB61" t="e">
        <f>AND('STERLING CATALOG - DRY '!G1234,"AAAAAH7/sE8=")</f>
        <v>#VALUE!</v>
      </c>
      <c r="CC61" t="e">
        <f>AND('STERLING CATALOG - DRY '!H1234,"AAAAAH7/sFA=")</f>
        <v>#VALUE!</v>
      </c>
      <c r="CD61" t="e">
        <f>AND('STERLING CATALOG - DRY '!I1234,"AAAAAH7/sFE=")</f>
        <v>#VALUE!</v>
      </c>
      <c r="CE61" t="e">
        <f>AND('STERLING CATALOG - DRY '!J1234,"AAAAAH7/sFI=")</f>
        <v>#VALUE!</v>
      </c>
      <c r="CF61">
        <f>IF('STERLING CATALOG - DRY '!1235:1235,"AAAAAH7/sFM=",0)</f>
        <v>0</v>
      </c>
      <c r="CG61" t="e">
        <f>AND('STERLING CATALOG - DRY '!A1235,"AAAAAH7/sFQ=")</f>
        <v>#VALUE!</v>
      </c>
      <c r="CH61" t="e">
        <f>AND('STERLING CATALOG - DRY '!B1235,"AAAAAH7/sFU=")</f>
        <v>#VALUE!</v>
      </c>
      <c r="CI61" t="e">
        <f>AND('STERLING CATALOG - DRY '!C1235,"AAAAAH7/sFY=")</f>
        <v>#VALUE!</v>
      </c>
      <c r="CJ61" t="e">
        <f>AND('STERLING CATALOG - DRY '!D1235,"AAAAAH7/sFc=")</f>
        <v>#VALUE!</v>
      </c>
      <c r="CK61" t="e">
        <f>AND('STERLING CATALOG - DRY '!E1235,"AAAAAH7/sFg=")</f>
        <v>#VALUE!</v>
      </c>
      <c r="CL61" t="e">
        <f>AND('STERLING CATALOG - DRY '!F1235,"AAAAAH7/sFk=")</f>
        <v>#VALUE!</v>
      </c>
      <c r="CM61" t="e">
        <f>AND('STERLING CATALOG - DRY '!G1235,"AAAAAH7/sFo=")</f>
        <v>#VALUE!</v>
      </c>
      <c r="CN61" t="e">
        <f>AND('STERLING CATALOG - DRY '!H1235,"AAAAAH7/sFs=")</f>
        <v>#VALUE!</v>
      </c>
      <c r="CO61" t="e">
        <f>AND('STERLING CATALOG - DRY '!I1235,"AAAAAH7/sFw=")</f>
        <v>#VALUE!</v>
      </c>
      <c r="CP61" t="e">
        <f>AND('STERLING CATALOG - DRY '!J1235,"AAAAAH7/sF0=")</f>
        <v>#VALUE!</v>
      </c>
      <c r="CQ61">
        <f>IF('STERLING CATALOG - DRY '!1236:1236,"AAAAAH7/sF4=",0)</f>
        <v>0</v>
      </c>
      <c r="CR61" t="e">
        <f>AND('STERLING CATALOG - DRY '!A1236,"AAAAAH7/sF8=")</f>
        <v>#VALUE!</v>
      </c>
      <c r="CS61" t="e">
        <f>AND('STERLING CATALOG - DRY '!B1236,"AAAAAH7/sGA=")</f>
        <v>#VALUE!</v>
      </c>
      <c r="CT61" t="e">
        <f>AND('STERLING CATALOG - DRY '!C1236,"AAAAAH7/sGE=")</f>
        <v>#VALUE!</v>
      </c>
      <c r="CU61" t="e">
        <f>AND('STERLING CATALOG - DRY '!D1236,"AAAAAH7/sGI=")</f>
        <v>#VALUE!</v>
      </c>
      <c r="CV61" t="e">
        <f>AND('STERLING CATALOG - DRY '!E1236,"AAAAAH7/sGM=")</f>
        <v>#VALUE!</v>
      </c>
      <c r="CW61" t="e">
        <f>AND('STERLING CATALOG - DRY '!F1236,"AAAAAH7/sGQ=")</f>
        <v>#VALUE!</v>
      </c>
      <c r="CX61" t="e">
        <f>AND('STERLING CATALOG - DRY '!G1236,"AAAAAH7/sGU=")</f>
        <v>#VALUE!</v>
      </c>
      <c r="CY61" t="e">
        <f>AND('STERLING CATALOG - DRY '!H1236,"AAAAAH7/sGY=")</f>
        <v>#VALUE!</v>
      </c>
      <c r="CZ61" t="e">
        <f>AND('STERLING CATALOG - DRY '!I1236,"AAAAAH7/sGc=")</f>
        <v>#VALUE!</v>
      </c>
      <c r="DA61" t="e">
        <f>AND('STERLING CATALOG - DRY '!J1236,"AAAAAH7/sGg=")</f>
        <v>#VALUE!</v>
      </c>
      <c r="DB61">
        <f>IF('STERLING CATALOG - DRY '!1237:1237,"AAAAAH7/sGk=",0)</f>
        <v>0</v>
      </c>
      <c r="DC61" t="e">
        <f>AND('STERLING CATALOG - DRY '!A1237,"AAAAAH7/sGo=")</f>
        <v>#VALUE!</v>
      </c>
      <c r="DD61" t="e">
        <f>AND('STERLING CATALOG - DRY '!B1237,"AAAAAH7/sGs=")</f>
        <v>#VALUE!</v>
      </c>
      <c r="DE61" t="e">
        <f>AND('STERLING CATALOG - DRY '!C1237,"AAAAAH7/sGw=")</f>
        <v>#VALUE!</v>
      </c>
      <c r="DF61" t="e">
        <f>AND('STERLING CATALOG - DRY '!D1237,"AAAAAH7/sG0=")</f>
        <v>#VALUE!</v>
      </c>
      <c r="DG61" t="e">
        <f>AND('STERLING CATALOG - DRY '!E1237,"AAAAAH7/sG4=")</f>
        <v>#VALUE!</v>
      </c>
      <c r="DH61" t="e">
        <f>AND('STERLING CATALOG - DRY '!F1237,"AAAAAH7/sG8=")</f>
        <v>#VALUE!</v>
      </c>
      <c r="DI61" t="e">
        <f>AND('STERLING CATALOG - DRY '!G1237,"AAAAAH7/sHA=")</f>
        <v>#VALUE!</v>
      </c>
      <c r="DJ61" t="e">
        <f>AND('STERLING CATALOG - DRY '!H1237,"AAAAAH7/sHE=")</f>
        <v>#VALUE!</v>
      </c>
      <c r="DK61" t="e">
        <f>AND('STERLING CATALOG - DRY '!I1237,"AAAAAH7/sHI=")</f>
        <v>#VALUE!</v>
      </c>
      <c r="DL61" t="e">
        <f>AND('STERLING CATALOG - DRY '!J1237,"AAAAAH7/sHM=")</f>
        <v>#VALUE!</v>
      </c>
      <c r="DM61">
        <f>IF('STERLING CATALOG - DRY '!1238:1238,"AAAAAH7/sHQ=",0)</f>
        <v>0</v>
      </c>
      <c r="DN61" t="e">
        <f>AND('STERLING CATALOG - DRY '!A1238,"AAAAAH7/sHU=")</f>
        <v>#VALUE!</v>
      </c>
      <c r="DO61" t="e">
        <f>AND('STERLING CATALOG - DRY '!B1238,"AAAAAH7/sHY=")</f>
        <v>#VALUE!</v>
      </c>
      <c r="DP61" t="e">
        <f>AND('STERLING CATALOG - DRY '!C1238,"AAAAAH7/sHc=")</f>
        <v>#VALUE!</v>
      </c>
      <c r="DQ61" t="e">
        <f>AND('STERLING CATALOG - DRY '!D1238,"AAAAAH7/sHg=")</f>
        <v>#VALUE!</v>
      </c>
      <c r="DR61" t="e">
        <f>AND('STERLING CATALOG - DRY '!E1238,"AAAAAH7/sHk=")</f>
        <v>#VALUE!</v>
      </c>
      <c r="DS61" t="e">
        <f>AND('STERLING CATALOG - DRY '!F1238,"AAAAAH7/sHo=")</f>
        <v>#VALUE!</v>
      </c>
      <c r="DT61" t="e">
        <f>AND('STERLING CATALOG - DRY '!G1238,"AAAAAH7/sHs=")</f>
        <v>#VALUE!</v>
      </c>
      <c r="DU61" t="e">
        <f>AND('STERLING CATALOG - DRY '!H1238,"AAAAAH7/sHw=")</f>
        <v>#VALUE!</v>
      </c>
      <c r="DV61" t="e">
        <f>AND('STERLING CATALOG - DRY '!I1238,"AAAAAH7/sH0=")</f>
        <v>#VALUE!</v>
      </c>
      <c r="DW61" t="e">
        <f>AND('STERLING CATALOG - DRY '!J1238,"AAAAAH7/sH4=")</f>
        <v>#VALUE!</v>
      </c>
      <c r="DX61">
        <f>IF('STERLING CATALOG - DRY '!1239:1239,"AAAAAH7/sH8=",0)</f>
        <v>0</v>
      </c>
      <c r="DY61" t="e">
        <f>AND('STERLING CATALOG - DRY '!A1239,"AAAAAH7/sIA=")</f>
        <v>#VALUE!</v>
      </c>
      <c r="DZ61" t="e">
        <f>AND('STERLING CATALOG - DRY '!B1239,"AAAAAH7/sIE=")</f>
        <v>#VALUE!</v>
      </c>
      <c r="EA61" t="e">
        <f>AND('STERLING CATALOG - DRY '!C1239,"AAAAAH7/sII=")</f>
        <v>#VALUE!</v>
      </c>
      <c r="EB61" t="e">
        <f>AND('STERLING CATALOG - DRY '!D1239,"AAAAAH7/sIM=")</f>
        <v>#VALUE!</v>
      </c>
      <c r="EC61" t="e">
        <f>AND('STERLING CATALOG - DRY '!E1239,"AAAAAH7/sIQ=")</f>
        <v>#VALUE!</v>
      </c>
      <c r="ED61" t="e">
        <f>AND('STERLING CATALOG - DRY '!F1239,"AAAAAH7/sIU=")</f>
        <v>#VALUE!</v>
      </c>
      <c r="EE61" t="e">
        <f>AND('STERLING CATALOG - DRY '!G1239,"AAAAAH7/sIY=")</f>
        <v>#VALUE!</v>
      </c>
      <c r="EF61" t="e">
        <f>AND('STERLING CATALOG - DRY '!H1239,"AAAAAH7/sIc=")</f>
        <v>#VALUE!</v>
      </c>
      <c r="EG61" t="e">
        <f>AND('STERLING CATALOG - DRY '!I1239,"AAAAAH7/sIg=")</f>
        <v>#VALUE!</v>
      </c>
      <c r="EH61" t="e">
        <f>AND('STERLING CATALOG - DRY '!J1239,"AAAAAH7/sIk=")</f>
        <v>#VALUE!</v>
      </c>
      <c r="EI61">
        <f>IF('STERLING CATALOG - DRY '!1240:1240,"AAAAAH7/sIo=",0)</f>
        <v>0</v>
      </c>
      <c r="EJ61" t="e">
        <f>AND('STERLING CATALOG - DRY '!A1240,"AAAAAH7/sIs=")</f>
        <v>#VALUE!</v>
      </c>
      <c r="EK61" t="e">
        <f>AND('STERLING CATALOG - DRY '!B1240,"AAAAAH7/sIw=")</f>
        <v>#VALUE!</v>
      </c>
      <c r="EL61" t="e">
        <f>AND('STERLING CATALOG - DRY '!C1240,"AAAAAH7/sI0=")</f>
        <v>#VALUE!</v>
      </c>
      <c r="EM61" t="e">
        <f>AND('STERLING CATALOG - DRY '!D1240,"AAAAAH7/sI4=")</f>
        <v>#VALUE!</v>
      </c>
      <c r="EN61" t="e">
        <f>AND('STERLING CATALOG - DRY '!E1240,"AAAAAH7/sI8=")</f>
        <v>#VALUE!</v>
      </c>
      <c r="EO61" t="e">
        <f>AND('STERLING CATALOG - DRY '!F1240,"AAAAAH7/sJA=")</f>
        <v>#VALUE!</v>
      </c>
      <c r="EP61" t="e">
        <f>AND('STERLING CATALOG - DRY '!G1240,"AAAAAH7/sJE=")</f>
        <v>#VALUE!</v>
      </c>
      <c r="EQ61" t="e">
        <f>AND('STERLING CATALOG - DRY '!H1240,"AAAAAH7/sJI=")</f>
        <v>#VALUE!</v>
      </c>
      <c r="ER61" t="e">
        <f>AND('STERLING CATALOG - DRY '!I1240,"AAAAAH7/sJM=")</f>
        <v>#VALUE!</v>
      </c>
      <c r="ES61" t="e">
        <f>AND('STERLING CATALOG - DRY '!J1240,"AAAAAH7/sJQ=")</f>
        <v>#VALUE!</v>
      </c>
      <c r="ET61">
        <f>IF('STERLING CATALOG - DRY '!1241:1241,"AAAAAH7/sJU=",0)</f>
        <v>0</v>
      </c>
      <c r="EU61" t="e">
        <f>AND('STERLING CATALOG - DRY '!A1241,"AAAAAH7/sJY=")</f>
        <v>#VALUE!</v>
      </c>
      <c r="EV61" t="e">
        <f>AND('STERLING CATALOG - DRY '!B1241,"AAAAAH7/sJc=")</f>
        <v>#VALUE!</v>
      </c>
      <c r="EW61" t="e">
        <f>AND('STERLING CATALOG - DRY '!C1241,"AAAAAH7/sJg=")</f>
        <v>#VALUE!</v>
      </c>
      <c r="EX61" t="e">
        <f>AND('STERLING CATALOG - DRY '!D1241,"AAAAAH7/sJk=")</f>
        <v>#VALUE!</v>
      </c>
      <c r="EY61" t="e">
        <f>AND('STERLING CATALOG - DRY '!E1241,"AAAAAH7/sJo=")</f>
        <v>#VALUE!</v>
      </c>
      <c r="EZ61" t="e">
        <f>AND('STERLING CATALOG - DRY '!F1241,"AAAAAH7/sJs=")</f>
        <v>#VALUE!</v>
      </c>
      <c r="FA61" t="e">
        <f>AND('STERLING CATALOG - DRY '!G1241,"AAAAAH7/sJw=")</f>
        <v>#VALUE!</v>
      </c>
      <c r="FB61" t="e">
        <f>AND('STERLING CATALOG - DRY '!H1241,"AAAAAH7/sJ0=")</f>
        <v>#VALUE!</v>
      </c>
      <c r="FC61" t="e">
        <f>AND('STERLING CATALOG - DRY '!I1241,"AAAAAH7/sJ4=")</f>
        <v>#VALUE!</v>
      </c>
      <c r="FD61" t="e">
        <f>AND('STERLING CATALOG - DRY '!J1241,"AAAAAH7/sJ8=")</f>
        <v>#VALUE!</v>
      </c>
      <c r="FE61">
        <f>IF('STERLING CATALOG - DRY '!1242:1242,"AAAAAH7/sKA=",0)</f>
        <v>0</v>
      </c>
      <c r="FF61" t="e">
        <f>AND('STERLING CATALOG - DRY '!A1242,"AAAAAH7/sKE=")</f>
        <v>#VALUE!</v>
      </c>
      <c r="FG61" t="e">
        <f>AND('STERLING CATALOG - DRY '!B1242,"AAAAAH7/sKI=")</f>
        <v>#VALUE!</v>
      </c>
      <c r="FH61" t="e">
        <f>AND('STERLING CATALOG - DRY '!C1242,"AAAAAH7/sKM=")</f>
        <v>#VALUE!</v>
      </c>
      <c r="FI61" t="e">
        <f>AND('STERLING CATALOG - DRY '!D1242,"AAAAAH7/sKQ=")</f>
        <v>#VALUE!</v>
      </c>
      <c r="FJ61" t="e">
        <f>AND('STERLING CATALOG - DRY '!E1242,"AAAAAH7/sKU=")</f>
        <v>#VALUE!</v>
      </c>
      <c r="FK61" t="e">
        <f>AND('STERLING CATALOG - DRY '!F1242,"AAAAAH7/sKY=")</f>
        <v>#VALUE!</v>
      </c>
      <c r="FL61" t="e">
        <f>AND('STERLING CATALOG - DRY '!G1242,"AAAAAH7/sKc=")</f>
        <v>#VALUE!</v>
      </c>
      <c r="FM61" t="e">
        <f>AND('STERLING CATALOG - DRY '!H1242,"AAAAAH7/sKg=")</f>
        <v>#VALUE!</v>
      </c>
      <c r="FN61" t="e">
        <f>AND('STERLING CATALOG - DRY '!I1242,"AAAAAH7/sKk=")</f>
        <v>#VALUE!</v>
      </c>
      <c r="FO61" t="e">
        <f>AND('STERLING CATALOG - DRY '!J1242,"AAAAAH7/sKo=")</f>
        <v>#VALUE!</v>
      </c>
      <c r="FP61">
        <f>IF('STERLING CATALOG - DRY '!1243:1243,"AAAAAH7/sKs=",0)</f>
        <v>0</v>
      </c>
      <c r="FQ61" t="e">
        <f>AND('STERLING CATALOG - DRY '!A1243,"AAAAAH7/sKw=")</f>
        <v>#VALUE!</v>
      </c>
      <c r="FR61" t="e">
        <f>AND('STERLING CATALOG - DRY '!B1243,"AAAAAH7/sK0=")</f>
        <v>#VALUE!</v>
      </c>
      <c r="FS61" t="e">
        <f>AND('STERLING CATALOG - DRY '!C1243,"AAAAAH7/sK4=")</f>
        <v>#VALUE!</v>
      </c>
      <c r="FT61" t="e">
        <f>AND('STERLING CATALOG - DRY '!D1243,"AAAAAH7/sK8=")</f>
        <v>#VALUE!</v>
      </c>
      <c r="FU61" t="e">
        <f>AND('STERLING CATALOG - DRY '!E1243,"AAAAAH7/sLA=")</f>
        <v>#VALUE!</v>
      </c>
      <c r="FV61" t="e">
        <f>AND('STERLING CATALOG - DRY '!F1243,"AAAAAH7/sLE=")</f>
        <v>#VALUE!</v>
      </c>
      <c r="FW61" t="e">
        <f>AND('STERLING CATALOG - DRY '!G1243,"AAAAAH7/sLI=")</f>
        <v>#VALUE!</v>
      </c>
      <c r="FX61" t="e">
        <f>AND('STERLING CATALOG - DRY '!H1243,"AAAAAH7/sLM=")</f>
        <v>#VALUE!</v>
      </c>
      <c r="FY61" t="e">
        <f>AND('STERLING CATALOG - DRY '!I1243,"AAAAAH7/sLQ=")</f>
        <v>#VALUE!</v>
      </c>
      <c r="FZ61" t="e">
        <f>AND('STERLING CATALOG - DRY '!J1243,"AAAAAH7/sLU=")</f>
        <v>#VALUE!</v>
      </c>
      <c r="GA61">
        <f>IF('STERLING CATALOG - DRY '!1244:1244,"AAAAAH7/sLY=",0)</f>
        <v>0</v>
      </c>
      <c r="GB61" t="e">
        <f>AND('STERLING CATALOG - DRY '!A1244,"AAAAAH7/sLc=")</f>
        <v>#VALUE!</v>
      </c>
      <c r="GC61" t="e">
        <f>AND('STERLING CATALOG - DRY '!B1244,"AAAAAH7/sLg=")</f>
        <v>#VALUE!</v>
      </c>
      <c r="GD61" t="e">
        <f>AND('STERLING CATALOG - DRY '!C1244,"AAAAAH7/sLk=")</f>
        <v>#VALUE!</v>
      </c>
      <c r="GE61" t="e">
        <f>AND('STERLING CATALOG - DRY '!D1244,"AAAAAH7/sLo=")</f>
        <v>#VALUE!</v>
      </c>
      <c r="GF61" t="e">
        <f>AND('STERLING CATALOG - DRY '!E1244,"AAAAAH7/sLs=")</f>
        <v>#VALUE!</v>
      </c>
      <c r="GG61" t="e">
        <f>AND('STERLING CATALOG - DRY '!F1244,"AAAAAH7/sLw=")</f>
        <v>#VALUE!</v>
      </c>
      <c r="GH61" t="e">
        <f>AND('STERLING CATALOG - DRY '!G1244,"AAAAAH7/sL0=")</f>
        <v>#VALUE!</v>
      </c>
      <c r="GI61" t="e">
        <f>AND('STERLING CATALOG - DRY '!H1244,"AAAAAH7/sL4=")</f>
        <v>#VALUE!</v>
      </c>
      <c r="GJ61" t="e">
        <f>AND('STERLING CATALOG - DRY '!I1244,"AAAAAH7/sL8=")</f>
        <v>#VALUE!</v>
      </c>
      <c r="GK61" t="e">
        <f>AND('STERLING CATALOG - DRY '!J1244,"AAAAAH7/sMA=")</f>
        <v>#VALUE!</v>
      </c>
      <c r="GL61">
        <f>IF('STERLING CATALOG - DRY '!1245:1245,"AAAAAH7/sME=",0)</f>
        <v>0</v>
      </c>
      <c r="GM61" t="e">
        <f>AND('STERLING CATALOG - DRY '!A1245,"AAAAAH7/sMI=")</f>
        <v>#VALUE!</v>
      </c>
      <c r="GN61" t="e">
        <f>AND('STERLING CATALOG - DRY '!B1245,"AAAAAH7/sMM=")</f>
        <v>#VALUE!</v>
      </c>
      <c r="GO61" t="e">
        <f>AND('STERLING CATALOG - DRY '!C1245,"AAAAAH7/sMQ=")</f>
        <v>#VALUE!</v>
      </c>
      <c r="GP61" t="e">
        <f>AND('STERLING CATALOG - DRY '!D1245,"AAAAAH7/sMU=")</f>
        <v>#VALUE!</v>
      </c>
      <c r="GQ61" t="e">
        <f>AND('STERLING CATALOG - DRY '!E1245,"AAAAAH7/sMY=")</f>
        <v>#VALUE!</v>
      </c>
      <c r="GR61" t="e">
        <f>AND('STERLING CATALOG - DRY '!F1245,"AAAAAH7/sMc=")</f>
        <v>#VALUE!</v>
      </c>
      <c r="GS61" t="e">
        <f>AND('STERLING CATALOG - DRY '!G1245,"AAAAAH7/sMg=")</f>
        <v>#VALUE!</v>
      </c>
      <c r="GT61" t="e">
        <f>AND('STERLING CATALOG - DRY '!H1245,"AAAAAH7/sMk=")</f>
        <v>#VALUE!</v>
      </c>
      <c r="GU61" t="e">
        <f>AND('STERLING CATALOG - DRY '!I1245,"AAAAAH7/sMo=")</f>
        <v>#VALUE!</v>
      </c>
      <c r="GV61" t="e">
        <f>AND('STERLING CATALOG - DRY '!J1245,"AAAAAH7/sMs=")</f>
        <v>#VALUE!</v>
      </c>
      <c r="GW61">
        <f>IF('STERLING CATALOG - DRY '!1246:1246,"AAAAAH7/sMw=",0)</f>
        <v>0</v>
      </c>
      <c r="GX61" t="e">
        <f>AND('STERLING CATALOG - DRY '!A1246,"AAAAAH7/sM0=")</f>
        <v>#VALUE!</v>
      </c>
      <c r="GY61" t="e">
        <f>AND('STERLING CATALOG - DRY '!B1246,"AAAAAH7/sM4=")</f>
        <v>#VALUE!</v>
      </c>
      <c r="GZ61" t="e">
        <f>AND('STERLING CATALOG - DRY '!C1246,"AAAAAH7/sM8=")</f>
        <v>#VALUE!</v>
      </c>
      <c r="HA61" t="e">
        <f>AND('STERLING CATALOG - DRY '!D1246,"AAAAAH7/sNA=")</f>
        <v>#VALUE!</v>
      </c>
      <c r="HB61" t="e">
        <f>AND('STERLING CATALOG - DRY '!E1246,"AAAAAH7/sNE=")</f>
        <v>#VALUE!</v>
      </c>
      <c r="HC61" t="e">
        <f>AND('STERLING CATALOG - DRY '!F1246,"AAAAAH7/sNI=")</f>
        <v>#VALUE!</v>
      </c>
      <c r="HD61" t="e">
        <f>AND('STERLING CATALOG - DRY '!G1246,"AAAAAH7/sNM=")</f>
        <v>#VALUE!</v>
      </c>
      <c r="HE61" t="e">
        <f>AND('STERLING CATALOG - DRY '!H1246,"AAAAAH7/sNQ=")</f>
        <v>#VALUE!</v>
      </c>
      <c r="HF61" t="e">
        <f>AND('STERLING CATALOG - DRY '!I1246,"AAAAAH7/sNU=")</f>
        <v>#VALUE!</v>
      </c>
      <c r="HG61" t="e">
        <f>AND('STERLING CATALOG - DRY '!J1246,"AAAAAH7/sNY=")</f>
        <v>#VALUE!</v>
      </c>
      <c r="HH61">
        <f>IF('STERLING CATALOG - DRY '!1247:1247,"AAAAAH7/sNc=",0)</f>
        <v>0</v>
      </c>
      <c r="HI61" t="e">
        <f>AND('STERLING CATALOG - DRY '!A1247,"AAAAAH7/sNg=")</f>
        <v>#VALUE!</v>
      </c>
      <c r="HJ61" t="e">
        <f>AND('STERLING CATALOG - DRY '!B1247,"AAAAAH7/sNk=")</f>
        <v>#VALUE!</v>
      </c>
      <c r="HK61" t="e">
        <f>AND('STERLING CATALOG - DRY '!C1247,"AAAAAH7/sNo=")</f>
        <v>#VALUE!</v>
      </c>
      <c r="HL61" t="e">
        <f>AND('STERLING CATALOG - DRY '!D1247,"AAAAAH7/sNs=")</f>
        <v>#VALUE!</v>
      </c>
      <c r="HM61" t="e">
        <f>AND('STERLING CATALOG - DRY '!E1247,"AAAAAH7/sNw=")</f>
        <v>#VALUE!</v>
      </c>
      <c r="HN61" t="e">
        <f>AND('STERLING CATALOG - DRY '!F1247,"AAAAAH7/sN0=")</f>
        <v>#VALUE!</v>
      </c>
      <c r="HO61" t="e">
        <f>AND('STERLING CATALOG - DRY '!G1247,"AAAAAH7/sN4=")</f>
        <v>#VALUE!</v>
      </c>
      <c r="HP61" t="e">
        <f>AND('STERLING CATALOG - DRY '!H1247,"AAAAAH7/sN8=")</f>
        <v>#VALUE!</v>
      </c>
      <c r="HQ61" t="e">
        <f>AND('STERLING CATALOG - DRY '!I1247,"AAAAAH7/sOA=")</f>
        <v>#VALUE!</v>
      </c>
      <c r="HR61" t="e">
        <f>AND('STERLING CATALOG - DRY '!J1247,"AAAAAH7/sOE=")</f>
        <v>#VALUE!</v>
      </c>
      <c r="HS61">
        <f>IF('STERLING CATALOG - DRY '!1248:1248,"AAAAAH7/sOI=",0)</f>
        <v>0</v>
      </c>
      <c r="HT61" t="e">
        <f>AND('STERLING CATALOG - DRY '!A1248,"AAAAAH7/sOM=")</f>
        <v>#VALUE!</v>
      </c>
      <c r="HU61" t="e">
        <f>AND('STERLING CATALOG - DRY '!B1248,"AAAAAH7/sOQ=")</f>
        <v>#VALUE!</v>
      </c>
      <c r="HV61" t="e">
        <f>AND('STERLING CATALOG - DRY '!C1248,"AAAAAH7/sOU=")</f>
        <v>#VALUE!</v>
      </c>
      <c r="HW61" t="e">
        <f>AND('STERLING CATALOG - DRY '!D1248,"AAAAAH7/sOY=")</f>
        <v>#VALUE!</v>
      </c>
      <c r="HX61" t="e">
        <f>AND('STERLING CATALOG - DRY '!E1248,"AAAAAH7/sOc=")</f>
        <v>#VALUE!</v>
      </c>
      <c r="HY61" t="e">
        <f>AND('STERLING CATALOG - DRY '!F1248,"AAAAAH7/sOg=")</f>
        <v>#VALUE!</v>
      </c>
      <c r="HZ61" t="e">
        <f>AND('STERLING CATALOG - DRY '!G1248,"AAAAAH7/sOk=")</f>
        <v>#VALUE!</v>
      </c>
      <c r="IA61" t="e">
        <f>AND('STERLING CATALOG - DRY '!H1248,"AAAAAH7/sOo=")</f>
        <v>#VALUE!</v>
      </c>
      <c r="IB61" t="e">
        <f>AND('STERLING CATALOG - DRY '!I1248,"AAAAAH7/sOs=")</f>
        <v>#VALUE!</v>
      </c>
      <c r="IC61" t="e">
        <f>AND('STERLING CATALOG - DRY '!J1248,"AAAAAH7/sOw=")</f>
        <v>#VALUE!</v>
      </c>
      <c r="ID61">
        <f>IF('STERLING CATALOG - DRY '!1249:1249,"AAAAAH7/sO0=",0)</f>
        <v>0</v>
      </c>
      <c r="IE61" t="e">
        <f>AND('STERLING CATALOG - DRY '!A1249,"AAAAAH7/sO4=")</f>
        <v>#VALUE!</v>
      </c>
      <c r="IF61" t="e">
        <f>AND('STERLING CATALOG - DRY '!B1249,"AAAAAH7/sO8=")</f>
        <v>#VALUE!</v>
      </c>
      <c r="IG61" t="e">
        <f>AND('STERLING CATALOG - DRY '!C1249,"AAAAAH7/sPA=")</f>
        <v>#VALUE!</v>
      </c>
      <c r="IH61" t="e">
        <f>AND('STERLING CATALOG - DRY '!D1249,"AAAAAH7/sPE=")</f>
        <v>#VALUE!</v>
      </c>
      <c r="II61" t="e">
        <f>AND('STERLING CATALOG - DRY '!E1249,"AAAAAH7/sPI=")</f>
        <v>#VALUE!</v>
      </c>
      <c r="IJ61" t="e">
        <f>AND('STERLING CATALOG - DRY '!F1249,"AAAAAH7/sPM=")</f>
        <v>#VALUE!</v>
      </c>
      <c r="IK61" t="e">
        <f>AND('STERLING CATALOG - DRY '!G1249,"AAAAAH7/sPQ=")</f>
        <v>#VALUE!</v>
      </c>
      <c r="IL61" t="e">
        <f>AND('STERLING CATALOG - DRY '!H1249,"AAAAAH7/sPU=")</f>
        <v>#VALUE!</v>
      </c>
      <c r="IM61" t="e">
        <f>AND('STERLING CATALOG - DRY '!I1249,"AAAAAH7/sPY=")</f>
        <v>#VALUE!</v>
      </c>
      <c r="IN61" t="e">
        <f>AND('STERLING CATALOG - DRY '!J1249,"AAAAAH7/sPc=")</f>
        <v>#VALUE!</v>
      </c>
      <c r="IO61">
        <f>IF('STERLING CATALOG - DRY '!1250:1250,"AAAAAH7/sPg=",0)</f>
        <v>0</v>
      </c>
      <c r="IP61" t="e">
        <f>AND('STERLING CATALOG - DRY '!A1250,"AAAAAH7/sPk=")</f>
        <v>#VALUE!</v>
      </c>
      <c r="IQ61" t="e">
        <f>AND('STERLING CATALOG - DRY '!B1250,"AAAAAH7/sPo=")</f>
        <v>#VALUE!</v>
      </c>
      <c r="IR61" t="e">
        <f>AND('STERLING CATALOG - DRY '!C1250,"AAAAAH7/sPs=")</f>
        <v>#VALUE!</v>
      </c>
      <c r="IS61" t="e">
        <f>AND('STERLING CATALOG - DRY '!D1250,"AAAAAH7/sPw=")</f>
        <v>#VALUE!</v>
      </c>
      <c r="IT61" t="e">
        <f>AND('STERLING CATALOG - DRY '!E1250,"AAAAAH7/sP0=")</f>
        <v>#VALUE!</v>
      </c>
      <c r="IU61" t="e">
        <f>AND('STERLING CATALOG - DRY '!F1250,"AAAAAH7/sP4=")</f>
        <v>#VALUE!</v>
      </c>
      <c r="IV61" t="e">
        <f>AND('STERLING CATALOG - DRY '!G1250,"AAAAAH7/sP8=")</f>
        <v>#VALUE!</v>
      </c>
    </row>
    <row r="62" spans="1:256">
      <c r="A62" t="e">
        <f>AND('STERLING CATALOG - DRY '!H1250,"AAAAAD2PdwA=")</f>
        <v>#VALUE!</v>
      </c>
      <c r="B62" t="e">
        <f>AND('STERLING CATALOG - DRY '!I1250,"AAAAAD2PdwE=")</f>
        <v>#VALUE!</v>
      </c>
      <c r="C62" t="e">
        <f>AND('STERLING CATALOG - DRY '!J1250,"AAAAAD2PdwI=")</f>
        <v>#VALUE!</v>
      </c>
      <c r="D62" t="e">
        <f>IF('STERLING CATALOG - DRY '!1251:1251,"AAAAAD2PdwM=",0)</f>
        <v>#VALUE!</v>
      </c>
      <c r="E62" t="e">
        <f>AND('STERLING CATALOG - DRY '!A1251,"AAAAAD2PdwQ=")</f>
        <v>#VALUE!</v>
      </c>
      <c r="F62" t="e">
        <f>AND('STERLING CATALOG - DRY '!B1251,"AAAAAD2PdwU=")</f>
        <v>#VALUE!</v>
      </c>
      <c r="G62" t="e">
        <f>AND('STERLING CATALOG - DRY '!C1251,"AAAAAD2PdwY=")</f>
        <v>#VALUE!</v>
      </c>
      <c r="H62" t="e">
        <f>AND('STERLING CATALOG - DRY '!D1251,"AAAAAD2Pdwc=")</f>
        <v>#VALUE!</v>
      </c>
      <c r="I62" t="e">
        <f>AND('STERLING CATALOG - DRY '!E1251,"AAAAAD2Pdwg=")</f>
        <v>#VALUE!</v>
      </c>
      <c r="J62" t="e">
        <f>AND('STERLING CATALOG - DRY '!F1251,"AAAAAD2Pdwk=")</f>
        <v>#VALUE!</v>
      </c>
      <c r="K62" t="e">
        <f>AND('STERLING CATALOG - DRY '!G1251,"AAAAAD2Pdwo=")</f>
        <v>#VALUE!</v>
      </c>
      <c r="L62" t="e">
        <f>AND('STERLING CATALOG - DRY '!H1251,"AAAAAD2Pdws=")</f>
        <v>#VALUE!</v>
      </c>
      <c r="M62" t="e">
        <f>AND('STERLING CATALOG - DRY '!I1251,"AAAAAD2Pdww=")</f>
        <v>#VALUE!</v>
      </c>
      <c r="N62" t="e">
        <f>AND('STERLING CATALOG - DRY '!J1251,"AAAAAD2Pdw0=")</f>
        <v>#VALUE!</v>
      </c>
      <c r="O62">
        <f>IF('STERLING CATALOG - DRY '!1252:1252,"AAAAAD2Pdw4=",0)</f>
        <v>0</v>
      </c>
      <c r="P62" t="e">
        <f>AND('STERLING CATALOG - DRY '!A1252,"AAAAAD2Pdw8=")</f>
        <v>#VALUE!</v>
      </c>
      <c r="Q62" t="e">
        <f>AND('STERLING CATALOG - DRY '!B1252,"AAAAAD2PdxA=")</f>
        <v>#VALUE!</v>
      </c>
      <c r="R62" t="e">
        <f>AND('STERLING CATALOG - DRY '!C1252,"AAAAAD2PdxE=")</f>
        <v>#VALUE!</v>
      </c>
      <c r="S62" t="e">
        <f>AND('STERLING CATALOG - DRY '!D1252,"AAAAAD2PdxI=")</f>
        <v>#VALUE!</v>
      </c>
      <c r="T62" t="e">
        <f>AND('STERLING CATALOG - DRY '!E1252,"AAAAAD2PdxM=")</f>
        <v>#VALUE!</v>
      </c>
      <c r="U62" t="e">
        <f>AND('STERLING CATALOG - DRY '!F1252,"AAAAAD2PdxQ=")</f>
        <v>#VALUE!</v>
      </c>
      <c r="V62" t="e">
        <f>AND('STERLING CATALOG - DRY '!G1252,"AAAAAD2PdxU=")</f>
        <v>#VALUE!</v>
      </c>
      <c r="W62" t="e">
        <f>AND('STERLING CATALOG - DRY '!H1252,"AAAAAD2PdxY=")</f>
        <v>#VALUE!</v>
      </c>
      <c r="X62" t="e">
        <f>AND('STERLING CATALOG - DRY '!I1252,"AAAAAD2Pdxc=")</f>
        <v>#VALUE!</v>
      </c>
      <c r="Y62" t="e">
        <f>AND('STERLING CATALOG - DRY '!J1252,"AAAAAD2Pdxg=")</f>
        <v>#VALUE!</v>
      </c>
      <c r="Z62">
        <f>IF('STERLING CATALOG - DRY '!1253:1253,"AAAAAD2Pdxk=",0)</f>
        <v>0</v>
      </c>
      <c r="AA62" t="e">
        <f>AND('STERLING CATALOG - DRY '!A1253,"AAAAAD2Pdxo=")</f>
        <v>#VALUE!</v>
      </c>
      <c r="AB62" t="e">
        <f>AND('STERLING CATALOG - DRY '!B1253,"AAAAAD2Pdxs=")</f>
        <v>#VALUE!</v>
      </c>
      <c r="AC62" t="e">
        <f>AND('STERLING CATALOG - DRY '!C1253,"AAAAAD2Pdxw=")</f>
        <v>#VALUE!</v>
      </c>
      <c r="AD62" t="e">
        <f>AND('STERLING CATALOG - DRY '!D1253,"AAAAAD2Pdx0=")</f>
        <v>#VALUE!</v>
      </c>
      <c r="AE62" t="e">
        <f>AND('STERLING CATALOG - DRY '!E1253,"AAAAAD2Pdx4=")</f>
        <v>#VALUE!</v>
      </c>
      <c r="AF62" t="e">
        <f>AND('STERLING CATALOG - DRY '!F1253,"AAAAAD2Pdx8=")</f>
        <v>#VALUE!</v>
      </c>
      <c r="AG62" t="e">
        <f>AND('STERLING CATALOG - DRY '!G1253,"AAAAAD2PdyA=")</f>
        <v>#VALUE!</v>
      </c>
      <c r="AH62" t="e">
        <f>AND('STERLING CATALOG - DRY '!H1253,"AAAAAD2PdyE=")</f>
        <v>#VALUE!</v>
      </c>
      <c r="AI62" t="e">
        <f>AND('STERLING CATALOG - DRY '!I1253,"AAAAAD2PdyI=")</f>
        <v>#VALUE!</v>
      </c>
      <c r="AJ62" t="e">
        <f>AND('STERLING CATALOG - DRY '!J1253,"AAAAAD2PdyM=")</f>
        <v>#VALUE!</v>
      </c>
      <c r="AK62">
        <f>IF('STERLING CATALOG - DRY '!1254:1254,"AAAAAD2PdyQ=",0)</f>
        <v>0</v>
      </c>
      <c r="AL62" t="e">
        <f>AND('STERLING CATALOG - DRY '!A1254,"AAAAAD2PdyU=")</f>
        <v>#VALUE!</v>
      </c>
      <c r="AM62" t="e">
        <f>AND('STERLING CATALOG - DRY '!B1254,"AAAAAD2PdyY=")</f>
        <v>#VALUE!</v>
      </c>
      <c r="AN62" t="e">
        <f>AND('STERLING CATALOG - DRY '!C1254,"AAAAAD2Pdyc=")</f>
        <v>#VALUE!</v>
      </c>
      <c r="AO62" t="e">
        <f>AND('STERLING CATALOG - DRY '!D1254,"AAAAAD2Pdyg=")</f>
        <v>#VALUE!</v>
      </c>
      <c r="AP62" t="e">
        <f>AND('STERLING CATALOG - DRY '!E1254,"AAAAAD2Pdyk=")</f>
        <v>#VALUE!</v>
      </c>
      <c r="AQ62" t="e">
        <f>AND('STERLING CATALOG - DRY '!F1254,"AAAAAD2Pdyo=")</f>
        <v>#VALUE!</v>
      </c>
      <c r="AR62" t="e">
        <f>AND('STERLING CATALOG - DRY '!G1254,"AAAAAD2Pdys=")</f>
        <v>#VALUE!</v>
      </c>
      <c r="AS62" t="e">
        <f>AND('STERLING CATALOG - DRY '!H1254,"AAAAAD2Pdyw=")</f>
        <v>#VALUE!</v>
      </c>
      <c r="AT62" t="e">
        <f>AND('STERLING CATALOG - DRY '!I1254,"AAAAAD2Pdy0=")</f>
        <v>#VALUE!</v>
      </c>
      <c r="AU62" t="e">
        <f>AND('STERLING CATALOG - DRY '!J1254,"AAAAAD2Pdy4=")</f>
        <v>#VALUE!</v>
      </c>
      <c r="AV62">
        <f>IF('STERLING CATALOG - DRY '!1255:1255,"AAAAAD2Pdy8=",0)</f>
        <v>0</v>
      </c>
      <c r="AW62" t="e">
        <f>AND('STERLING CATALOG - DRY '!A1255,"AAAAAD2PdzA=")</f>
        <v>#VALUE!</v>
      </c>
      <c r="AX62" t="e">
        <f>AND('STERLING CATALOG - DRY '!B1255,"AAAAAD2PdzE=")</f>
        <v>#VALUE!</v>
      </c>
      <c r="AY62" t="e">
        <f>AND('STERLING CATALOG - DRY '!C1255,"AAAAAD2PdzI=")</f>
        <v>#VALUE!</v>
      </c>
      <c r="AZ62" t="e">
        <f>AND('STERLING CATALOG - DRY '!D1255,"AAAAAD2PdzM=")</f>
        <v>#VALUE!</v>
      </c>
      <c r="BA62" t="e">
        <f>AND('STERLING CATALOG - DRY '!E1255,"AAAAAD2PdzQ=")</f>
        <v>#VALUE!</v>
      </c>
      <c r="BB62" t="e">
        <f>AND('STERLING CATALOG - DRY '!F1255,"AAAAAD2PdzU=")</f>
        <v>#VALUE!</v>
      </c>
      <c r="BC62" t="e">
        <f>AND('STERLING CATALOG - DRY '!G1255,"AAAAAD2PdzY=")</f>
        <v>#VALUE!</v>
      </c>
      <c r="BD62" t="e">
        <f>AND('STERLING CATALOG - DRY '!H1255,"AAAAAD2Pdzc=")</f>
        <v>#VALUE!</v>
      </c>
      <c r="BE62" t="e">
        <f>AND('STERLING CATALOG - DRY '!I1255,"AAAAAD2Pdzg=")</f>
        <v>#VALUE!</v>
      </c>
      <c r="BF62" t="e">
        <f>AND('STERLING CATALOG - DRY '!J1255,"AAAAAD2Pdzk=")</f>
        <v>#VALUE!</v>
      </c>
      <c r="BG62">
        <f>IF('STERLING CATALOG - DRY '!1256:1256,"AAAAAD2Pdzo=",0)</f>
        <v>0</v>
      </c>
      <c r="BH62" t="e">
        <f>AND('STERLING CATALOG - DRY '!A1256,"AAAAAD2Pdzs=")</f>
        <v>#VALUE!</v>
      </c>
      <c r="BI62" t="e">
        <f>AND('STERLING CATALOG - DRY '!B1256,"AAAAAD2Pdzw=")</f>
        <v>#VALUE!</v>
      </c>
      <c r="BJ62" t="e">
        <f>AND('STERLING CATALOG - DRY '!C1256,"AAAAAD2Pdz0=")</f>
        <v>#VALUE!</v>
      </c>
      <c r="BK62" t="e">
        <f>AND('STERLING CATALOG - DRY '!D1256,"AAAAAD2Pdz4=")</f>
        <v>#VALUE!</v>
      </c>
      <c r="BL62" t="e">
        <f>AND('STERLING CATALOG - DRY '!E1256,"AAAAAD2Pdz8=")</f>
        <v>#VALUE!</v>
      </c>
      <c r="BM62" t="e">
        <f>AND('STERLING CATALOG - DRY '!F1256,"AAAAAD2Pd0A=")</f>
        <v>#VALUE!</v>
      </c>
      <c r="BN62" t="e">
        <f>AND('STERLING CATALOG - DRY '!G1256,"AAAAAD2Pd0E=")</f>
        <v>#VALUE!</v>
      </c>
      <c r="BO62" t="e">
        <f>AND('STERLING CATALOG - DRY '!H1256,"AAAAAD2Pd0I=")</f>
        <v>#VALUE!</v>
      </c>
      <c r="BP62" t="e">
        <f>AND('STERLING CATALOG - DRY '!I1256,"AAAAAD2Pd0M=")</f>
        <v>#VALUE!</v>
      </c>
      <c r="BQ62" t="e">
        <f>AND('STERLING CATALOG - DRY '!J1256,"AAAAAD2Pd0Q=")</f>
        <v>#VALUE!</v>
      </c>
      <c r="BR62">
        <f>IF('STERLING CATALOG - DRY '!1257:1257,"AAAAAD2Pd0U=",0)</f>
        <v>0</v>
      </c>
      <c r="BS62" t="e">
        <f>AND('STERLING CATALOG - DRY '!A1257,"AAAAAD2Pd0Y=")</f>
        <v>#VALUE!</v>
      </c>
      <c r="BT62" t="e">
        <f>AND('STERLING CATALOG - DRY '!B1257,"AAAAAD2Pd0c=")</f>
        <v>#VALUE!</v>
      </c>
      <c r="BU62" t="e">
        <f>AND('STERLING CATALOG - DRY '!C1257,"AAAAAD2Pd0g=")</f>
        <v>#VALUE!</v>
      </c>
      <c r="BV62" t="e">
        <f>AND('STERLING CATALOG - DRY '!D1257,"AAAAAD2Pd0k=")</f>
        <v>#VALUE!</v>
      </c>
      <c r="BW62" t="e">
        <f>AND('STERLING CATALOG - DRY '!E1257,"AAAAAD2Pd0o=")</f>
        <v>#VALUE!</v>
      </c>
      <c r="BX62" t="e">
        <f>AND('STERLING CATALOG - DRY '!F1257,"AAAAAD2Pd0s=")</f>
        <v>#VALUE!</v>
      </c>
      <c r="BY62" t="e">
        <f>AND('STERLING CATALOG - DRY '!G1257,"AAAAAD2Pd0w=")</f>
        <v>#VALUE!</v>
      </c>
      <c r="BZ62" t="e">
        <f>AND('STERLING CATALOG - DRY '!H1257,"AAAAAD2Pd00=")</f>
        <v>#VALUE!</v>
      </c>
      <c r="CA62" t="e">
        <f>AND('STERLING CATALOG - DRY '!I1257,"AAAAAD2Pd04=")</f>
        <v>#VALUE!</v>
      </c>
      <c r="CB62" t="e">
        <f>AND('STERLING CATALOG - DRY '!J1257,"AAAAAD2Pd08=")</f>
        <v>#VALUE!</v>
      </c>
      <c r="CC62">
        <f>IF('STERLING CATALOG - DRY '!1258:1258,"AAAAAD2Pd1A=",0)</f>
        <v>0</v>
      </c>
      <c r="CD62" t="e">
        <f>AND('STERLING CATALOG - DRY '!A1258,"AAAAAD2Pd1E=")</f>
        <v>#VALUE!</v>
      </c>
      <c r="CE62" t="e">
        <f>AND('STERLING CATALOG - DRY '!B1258,"AAAAAD2Pd1I=")</f>
        <v>#VALUE!</v>
      </c>
      <c r="CF62" t="e">
        <f>AND('STERLING CATALOG - DRY '!C1258,"AAAAAD2Pd1M=")</f>
        <v>#VALUE!</v>
      </c>
      <c r="CG62" t="e">
        <f>AND('STERLING CATALOG - DRY '!D1258,"AAAAAD2Pd1Q=")</f>
        <v>#VALUE!</v>
      </c>
      <c r="CH62" t="e">
        <f>AND('STERLING CATALOG - DRY '!E1258,"AAAAAD2Pd1U=")</f>
        <v>#VALUE!</v>
      </c>
      <c r="CI62" t="e">
        <f>AND('STERLING CATALOG - DRY '!F1258,"AAAAAD2Pd1Y=")</f>
        <v>#VALUE!</v>
      </c>
      <c r="CJ62" t="e">
        <f>AND('STERLING CATALOG - DRY '!G1258,"AAAAAD2Pd1c=")</f>
        <v>#VALUE!</v>
      </c>
      <c r="CK62" t="e">
        <f>AND('STERLING CATALOG - DRY '!H1258,"AAAAAD2Pd1g=")</f>
        <v>#VALUE!</v>
      </c>
      <c r="CL62" t="e">
        <f>AND('STERLING CATALOG - DRY '!I1258,"AAAAAD2Pd1k=")</f>
        <v>#VALUE!</v>
      </c>
      <c r="CM62" t="e">
        <f>AND('STERLING CATALOG - DRY '!J1258,"AAAAAD2Pd1o=")</f>
        <v>#VALUE!</v>
      </c>
      <c r="CN62">
        <f>IF('STERLING CATALOG - DRY '!1259:1259,"AAAAAD2Pd1s=",0)</f>
        <v>0</v>
      </c>
      <c r="CO62" t="e">
        <f>AND('STERLING CATALOG - DRY '!A1259,"AAAAAD2Pd1w=")</f>
        <v>#VALUE!</v>
      </c>
      <c r="CP62" t="e">
        <f>AND('STERLING CATALOG - DRY '!B1259,"AAAAAD2Pd10=")</f>
        <v>#VALUE!</v>
      </c>
      <c r="CQ62" t="e">
        <f>AND('STERLING CATALOG - DRY '!C1259,"AAAAAD2Pd14=")</f>
        <v>#VALUE!</v>
      </c>
      <c r="CR62" t="e">
        <f>AND('STERLING CATALOG - DRY '!D1259,"AAAAAD2Pd18=")</f>
        <v>#VALUE!</v>
      </c>
      <c r="CS62" t="e">
        <f>AND('STERLING CATALOG - DRY '!E1259,"AAAAAD2Pd2A=")</f>
        <v>#VALUE!</v>
      </c>
      <c r="CT62" t="e">
        <f>AND('STERLING CATALOG - DRY '!F1259,"AAAAAD2Pd2E=")</f>
        <v>#VALUE!</v>
      </c>
      <c r="CU62" t="e">
        <f>AND('STERLING CATALOG - DRY '!G1259,"AAAAAD2Pd2I=")</f>
        <v>#VALUE!</v>
      </c>
      <c r="CV62" t="e">
        <f>AND('STERLING CATALOG - DRY '!H1259,"AAAAAD2Pd2M=")</f>
        <v>#VALUE!</v>
      </c>
      <c r="CW62" t="e">
        <f>AND('STERLING CATALOG - DRY '!I1259,"AAAAAD2Pd2Q=")</f>
        <v>#VALUE!</v>
      </c>
      <c r="CX62" t="e">
        <f>AND('STERLING CATALOG - DRY '!J1259,"AAAAAD2Pd2U=")</f>
        <v>#VALUE!</v>
      </c>
      <c r="CY62">
        <f>IF('STERLING CATALOG - DRY '!1260:1260,"AAAAAD2Pd2Y=",0)</f>
        <v>0</v>
      </c>
      <c r="CZ62" t="e">
        <f>AND('STERLING CATALOG - DRY '!A1260,"AAAAAD2Pd2c=")</f>
        <v>#VALUE!</v>
      </c>
      <c r="DA62" t="e">
        <f>AND('STERLING CATALOG - DRY '!B1260,"AAAAAD2Pd2g=")</f>
        <v>#VALUE!</v>
      </c>
      <c r="DB62" t="e">
        <f>AND('STERLING CATALOG - DRY '!C1260,"AAAAAD2Pd2k=")</f>
        <v>#VALUE!</v>
      </c>
      <c r="DC62" t="e">
        <f>AND('STERLING CATALOG - DRY '!D1260,"AAAAAD2Pd2o=")</f>
        <v>#VALUE!</v>
      </c>
      <c r="DD62" t="e">
        <f>AND('STERLING CATALOG - DRY '!E1260,"AAAAAD2Pd2s=")</f>
        <v>#VALUE!</v>
      </c>
      <c r="DE62" t="e">
        <f>AND('STERLING CATALOG - DRY '!F1260,"AAAAAD2Pd2w=")</f>
        <v>#VALUE!</v>
      </c>
      <c r="DF62" t="e">
        <f>AND('STERLING CATALOG - DRY '!G1260,"AAAAAD2Pd20=")</f>
        <v>#VALUE!</v>
      </c>
      <c r="DG62" t="e">
        <f>AND('STERLING CATALOG - DRY '!H1260,"AAAAAD2Pd24=")</f>
        <v>#VALUE!</v>
      </c>
      <c r="DH62" t="e">
        <f>AND('STERLING CATALOG - DRY '!I1260,"AAAAAD2Pd28=")</f>
        <v>#VALUE!</v>
      </c>
      <c r="DI62" t="e">
        <f>AND('STERLING CATALOG - DRY '!J1260,"AAAAAD2Pd3A=")</f>
        <v>#VALUE!</v>
      </c>
      <c r="DJ62">
        <f>IF('STERLING CATALOG - DRY '!1261:1261,"AAAAAD2Pd3E=",0)</f>
        <v>0</v>
      </c>
      <c r="DK62" t="e">
        <f>AND('STERLING CATALOG - DRY '!A1261,"AAAAAD2Pd3I=")</f>
        <v>#VALUE!</v>
      </c>
      <c r="DL62" t="e">
        <f>AND('STERLING CATALOG - DRY '!B1261,"AAAAAD2Pd3M=")</f>
        <v>#VALUE!</v>
      </c>
      <c r="DM62" t="e">
        <f>AND('STERLING CATALOG - DRY '!C1261,"AAAAAD2Pd3Q=")</f>
        <v>#VALUE!</v>
      </c>
      <c r="DN62" t="e">
        <f>AND('STERLING CATALOG - DRY '!D1261,"AAAAAD2Pd3U=")</f>
        <v>#VALUE!</v>
      </c>
      <c r="DO62" t="e">
        <f>AND('STERLING CATALOG - DRY '!E1261,"AAAAAD2Pd3Y=")</f>
        <v>#VALUE!</v>
      </c>
      <c r="DP62" t="e">
        <f>AND('STERLING CATALOG - DRY '!F1261,"AAAAAD2Pd3c=")</f>
        <v>#VALUE!</v>
      </c>
      <c r="DQ62" t="e">
        <f>AND('STERLING CATALOG - DRY '!G1261,"AAAAAD2Pd3g=")</f>
        <v>#VALUE!</v>
      </c>
      <c r="DR62" t="e">
        <f>AND('STERLING CATALOG - DRY '!H1261,"AAAAAD2Pd3k=")</f>
        <v>#VALUE!</v>
      </c>
      <c r="DS62" t="e">
        <f>AND('STERLING CATALOG - DRY '!I1261,"AAAAAD2Pd3o=")</f>
        <v>#VALUE!</v>
      </c>
      <c r="DT62" t="e">
        <f>AND('STERLING CATALOG - DRY '!J1261,"AAAAAD2Pd3s=")</f>
        <v>#VALUE!</v>
      </c>
      <c r="DU62">
        <f>IF('STERLING CATALOG - DRY '!1262:1262,"AAAAAD2Pd3w=",0)</f>
        <v>0</v>
      </c>
      <c r="DV62" t="e">
        <f>AND('STERLING CATALOG - DRY '!A1262,"AAAAAD2Pd30=")</f>
        <v>#VALUE!</v>
      </c>
      <c r="DW62" t="e">
        <f>AND('STERLING CATALOG - DRY '!B1262,"AAAAAD2Pd34=")</f>
        <v>#VALUE!</v>
      </c>
      <c r="DX62" t="e">
        <f>AND('STERLING CATALOG - DRY '!C1262,"AAAAAD2Pd38=")</f>
        <v>#VALUE!</v>
      </c>
      <c r="DY62" t="e">
        <f>AND('STERLING CATALOG - DRY '!D1262,"AAAAAD2Pd4A=")</f>
        <v>#VALUE!</v>
      </c>
      <c r="DZ62" t="e">
        <f>AND('STERLING CATALOG - DRY '!E1262,"AAAAAD2Pd4E=")</f>
        <v>#VALUE!</v>
      </c>
      <c r="EA62" t="e">
        <f>AND('STERLING CATALOG - DRY '!F1262,"AAAAAD2Pd4I=")</f>
        <v>#VALUE!</v>
      </c>
      <c r="EB62" t="e">
        <f>AND('STERLING CATALOG - DRY '!G1262,"AAAAAD2Pd4M=")</f>
        <v>#VALUE!</v>
      </c>
      <c r="EC62" t="e">
        <f>AND('STERLING CATALOG - DRY '!H1262,"AAAAAD2Pd4Q=")</f>
        <v>#VALUE!</v>
      </c>
      <c r="ED62" t="e">
        <f>AND('STERLING CATALOG - DRY '!I1262,"AAAAAD2Pd4U=")</f>
        <v>#VALUE!</v>
      </c>
      <c r="EE62" t="e">
        <f>AND('STERLING CATALOG - DRY '!J1262,"AAAAAD2Pd4Y=")</f>
        <v>#VALUE!</v>
      </c>
      <c r="EF62">
        <f>IF('STERLING CATALOG - DRY '!1263:1263,"AAAAAD2Pd4c=",0)</f>
        <v>0</v>
      </c>
      <c r="EG62" t="e">
        <f>AND('STERLING CATALOG - DRY '!A1263,"AAAAAD2Pd4g=")</f>
        <v>#VALUE!</v>
      </c>
      <c r="EH62" t="e">
        <f>AND('STERLING CATALOG - DRY '!B1263,"AAAAAD2Pd4k=")</f>
        <v>#VALUE!</v>
      </c>
      <c r="EI62" t="e">
        <f>AND('STERLING CATALOG - DRY '!C1263,"AAAAAD2Pd4o=")</f>
        <v>#VALUE!</v>
      </c>
      <c r="EJ62" t="e">
        <f>AND('STERLING CATALOG - DRY '!D1263,"AAAAAD2Pd4s=")</f>
        <v>#VALUE!</v>
      </c>
      <c r="EK62" t="e">
        <f>AND('STERLING CATALOG - DRY '!E1263,"AAAAAD2Pd4w=")</f>
        <v>#VALUE!</v>
      </c>
      <c r="EL62" t="e">
        <f>AND('STERLING CATALOG - DRY '!F1263,"AAAAAD2Pd40=")</f>
        <v>#VALUE!</v>
      </c>
      <c r="EM62" t="e">
        <f>AND('STERLING CATALOG - DRY '!G1263,"AAAAAD2Pd44=")</f>
        <v>#VALUE!</v>
      </c>
      <c r="EN62" t="e">
        <f>AND('STERLING CATALOG - DRY '!H1263,"AAAAAD2Pd48=")</f>
        <v>#VALUE!</v>
      </c>
      <c r="EO62" t="e">
        <f>AND('STERLING CATALOG - DRY '!I1263,"AAAAAD2Pd5A=")</f>
        <v>#VALUE!</v>
      </c>
      <c r="EP62" t="e">
        <f>AND('STERLING CATALOG - DRY '!J1263,"AAAAAD2Pd5E=")</f>
        <v>#VALUE!</v>
      </c>
      <c r="EQ62">
        <f>IF('STERLING CATALOG - DRY '!1264:1264,"AAAAAD2Pd5I=",0)</f>
        <v>0</v>
      </c>
      <c r="ER62" t="e">
        <f>AND('STERLING CATALOG - DRY '!A1264,"AAAAAD2Pd5M=")</f>
        <v>#VALUE!</v>
      </c>
      <c r="ES62" t="e">
        <f>AND('STERLING CATALOG - DRY '!B1264,"AAAAAD2Pd5Q=")</f>
        <v>#VALUE!</v>
      </c>
      <c r="ET62" t="e">
        <f>AND('STERLING CATALOG - DRY '!C1264,"AAAAAD2Pd5U=")</f>
        <v>#VALUE!</v>
      </c>
      <c r="EU62" t="e">
        <f>AND('STERLING CATALOG - DRY '!D1264,"AAAAAD2Pd5Y=")</f>
        <v>#VALUE!</v>
      </c>
      <c r="EV62" t="e">
        <f>AND('STERLING CATALOG - DRY '!E1264,"AAAAAD2Pd5c=")</f>
        <v>#VALUE!</v>
      </c>
      <c r="EW62" t="e">
        <f>AND('STERLING CATALOG - DRY '!F1264,"AAAAAD2Pd5g=")</f>
        <v>#VALUE!</v>
      </c>
      <c r="EX62" t="e">
        <f>AND('STERLING CATALOG - DRY '!G1264,"AAAAAD2Pd5k=")</f>
        <v>#VALUE!</v>
      </c>
      <c r="EY62" t="e">
        <f>AND('STERLING CATALOG - DRY '!H1264,"AAAAAD2Pd5o=")</f>
        <v>#VALUE!</v>
      </c>
      <c r="EZ62" t="e">
        <f>AND('STERLING CATALOG - DRY '!I1264,"AAAAAD2Pd5s=")</f>
        <v>#VALUE!</v>
      </c>
      <c r="FA62" t="e">
        <f>AND('STERLING CATALOG - DRY '!J1264,"AAAAAD2Pd5w=")</f>
        <v>#VALUE!</v>
      </c>
      <c r="FB62">
        <f>IF('STERLING CATALOG - DRY '!1265:1265,"AAAAAD2Pd50=",0)</f>
        <v>0</v>
      </c>
      <c r="FC62" t="e">
        <f>AND('STERLING CATALOG - DRY '!A1265,"AAAAAD2Pd54=")</f>
        <v>#VALUE!</v>
      </c>
      <c r="FD62" t="e">
        <f>AND('STERLING CATALOG - DRY '!B1265,"AAAAAD2Pd58=")</f>
        <v>#VALUE!</v>
      </c>
      <c r="FE62" t="e">
        <f>AND('STERLING CATALOG - DRY '!C1265,"AAAAAD2Pd6A=")</f>
        <v>#VALUE!</v>
      </c>
      <c r="FF62" t="e">
        <f>AND('STERLING CATALOG - DRY '!D1265,"AAAAAD2Pd6E=")</f>
        <v>#VALUE!</v>
      </c>
      <c r="FG62" t="e">
        <f>AND('STERLING CATALOG - DRY '!E1265,"AAAAAD2Pd6I=")</f>
        <v>#VALUE!</v>
      </c>
      <c r="FH62" t="e">
        <f>AND('STERLING CATALOG - DRY '!F1265,"AAAAAD2Pd6M=")</f>
        <v>#VALUE!</v>
      </c>
      <c r="FI62" t="e">
        <f>AND('STERLING CATALOG - DRY '!G1265,"AAAAAD2Pd6Q=")</f>
        <v>#VALUE!</v>
      </c>
      <c r="FJ62" t="e">
        <f>AND('STERLING CATALOG - DRY '!H1265,"AAAAAD2Pd6U=")</f>
        <v>#VALUE!</v>
      </c>
      <c r="FK62" t="e">
        <f>AND('STERLING CATALOG - DRY '!I1265,"AAAAAD2Pd6Y=")</f>
        <v>#VALUE!</v>
      </c>
      <c r="FL62" t="e">
        <f>AND('STERLING CATALOG - DRY '!J1265,"AAAAAD2Pd6c=")</f>
        <v>#VALUE!</v>
      </c>
      <c r="FM62">
        <f>IF('STERLING CATALOG - DRY '!1266:1266,"AAAAAD2Pd6g=",0)</f>
        <v>0</v>
      </c>
      <c r="FN62" t="e">
        <f>AND('STERLING CATALOG - DRY '!A1266,"AAAAAD2Pd6k=")</f>
        <v>#VALUE!</v>
      </c>
      <c r="FO62" t="e">
        <f>AND('STERLING CATALOG - DRY '!B1266,"AAAAAD2Pd6o=")</f>
        <v>#VALUE!</v>
      </c>
      <c r="FP62" t="e">
        <f>AND('STERLING CATALOG - DRY '!C1266,"AAAAAD2Pd6s=")</f>
        <v>#VALUE!</v>
      </c>
      <c r="FQ62" t="e">
        <f>AND('STERLING CATALOG - DRY '!D1266,"AAAAAD2Pd6w=")</f>
        <v>#VALUE!</v>
      </c>
      <c r="FR62" t="e">
        <f>AND('STERLING CATALOG - DRY '!E1266,"AAAAAD2Pd60=")</f>
        <v>#VALUE!</v>
      </c>
      <c r="FS62" t="e">
        <f>AND('STERLING CATALOG - DRY '!F1266,"AAAAAD2Pd64=")</f>
        <v>#VALUE!</v>
      </c>
      <c r="FT62" t="e">
        <f>AND('STERLING CATALOG - DRY '!G1266,"AAAAAD2Pd68=")</f>
        <v>#VALUE!</v>
      </c>
      <c r="FU62" t="e">
        <f>AND('STERLING CATALOG - DRY '!H1266,"AAAAAD2Pd7A=")</f>
        <v>#VALUE!</v>
      </c>
      <c r="FV62" t="e">
        <f>AND('STERLING CATALOG - DRY '!I1266,"AAAAAD2Pd7E=")</f>
        <v>#VALUE!</v>
      </c>
      <c r="FW62" t="e">
        <f>AND('STERLING CATALOG - DRY '!J1266,"AAAAAD2Pd7I=")</f>
        <v>#VALUE!</v>
      </c>
      <c r="FX62">
        <f>IF('STERLING CATALOG - DRY '!1267:1267,"AAAAAD2Pd7M=",0)</f>
        <v>0</v>
      </c>
      <c r="FY62" t="e">
        <f>AND('STERLING CATALOG - DRY '!A1267,"AAAAAD2Pd7Q=")</f>
        <v>#VALUE!</v>
      </c>
      <c r="FZ62" t="e">
        <f>AND('STERLING CATALOG - DRY '!B1267,"AAAAAD2Pd7U=")</f>
        <v>#VALUE!</v>
      </c>
      <c r="GA62" t="e">
        <f>AND('STERLING CATALOG - DRY '!C1267,"AAAAAD2Pd7Y=")</f>
        <v>#VALUE!</v>
      </c>
      <c r="GB62" t="e">
        <f>AND('STERLING CATALOG - DRY '!D1267,"AAAAAD2Pd7c=")</f>
        <v>#VALUE!</v>
      </c>
      <c r="GC62" t="e">
        <f>AND('STERLING CATALOG - DRY '!E1267,"AAAAAD2Pd7g=")</f>
        <v>#VALUE!</v>
      </c>
      <c r="GD62" t="e">
        <f>AND('STERLING CATALOG - DRY '!F1267,"AAAAAD2Pd7k=")</f>
        <v>#VALUE!</v>
      </c>
      <c r="GE62" t="e">
        <f>AND('STERLING CATALOG - DRY '!G1267,"AAAAAD2Pd7o=")</f>
        <v>#VALUE!</v>
      </c>
      <c r="GF62" t="e">
        <f>AND('STERLING CATALOG - DRY '!H1267,"AAAAAD2Pd7s=")</f>
        <v>#VALUE!</v>
      </c>
      <c r="GG62" t="e">
        <f>AND('STERLING CATALOG - DRY '!I1267,"AAAAAD2Pd7w=")</f>
        <v>#VALUE!</v>
      </c>
      <c r="GH62" t="e">
        <f>AND('STERLING CATALOG - DRY '!J1267,"AAAAAD2Pd70=")</f>
        <v>#VALUE!</v>
      </c>
      <c r="GI62">
        <f>IF('STERLING CATALOG - DRY '!1268:1268,"AAAAAD2Pd74=",0)</f>
        <v>0</v>
      </c>
      <c r="GJ62" t="e">
        <f>AND('STERLING CATALOG - DRY '!A1268,"AAAAAD2Pd78=")</f>
        <v>#VALUE!</v>
      </c>
      <c r="GK62" t="e">
        <f>AND('STERLING CATALOG - DRY '!B1268,"AAAAAD2Pd8A=")</f>
        <v>#VALUE!</v>
      </c>
      <c r="GL62" t="e">
        <f>AND('STERLING CATALOG - DRY '!C1268,"AAAAAD2Pd8E=")</f>
        <v>#VALUE!</v>
      </c>
      <c r="GM62" t="e">
        <f>AND('STERLING CATALOG - DRY '!D1268,"AAAAAD2Pd8I=")</f>
        <v>#VALUE!</v>
      </c>
      <c r="GN62" t="e">
        <f>AND('STERLING CATALOG - DRY '!E1268,"AAAAAD2Pd8M=")</f>
        <v>#VALUE!</v>
      </c>
      <c r="GO62" t="e">
        <f>AND('STERLING CATALOG - DRY '!F1268,"AAAAAD2Pd8Q=")</f>
        <v>#VALUE!</v>
      </c>
      <c r="GP62" t="e">
        <f>AND('STERLING CATALOG - DRY '!G1268,"AAAAAD2Pd8U=")</f>
        <v>#VALUE!</v>
      </c>
      <c r="GQ62" t="e">
        <f>AND('STERLING CATALOG - DRY '!H1268,"AAAAAD2Pd8Y=")</f>
        <v>#VALUE!</v>
      </c>
      <c r="GR62" t="e">
        <f>AND('STERLING CATALOG - DRY '!I1268,"AAAAAD2Pd8c=")</f>
        <v>#VALUE!</v>
      </c>
      <c r="GS62" t="e">
        <f>AND('STERLING CATALOG - DRY '!J1268,"AAAAAD2Pd8g=")</f>
        <v>#VALUE!</v>
      </c>
      <c r="GT62">
        <f>IF('STERLING CATALOG - DRY '!1269:1269,"AAAAAD2Pd8k=",0)</f>
        <v>0</v>
      </c>
      <c r="GU62" t="e">
        <f>AND('STERLING CATALOG - DRY '!A1269,"AAAAAD2Pd8o=")</f>
        <v>#VALUE!</v>
      </c>
      <c r="GV62" t="e">
        <f>AND('STERLING CATALOG - DRY '!B1269,"AAAAAD2Pd8s=")</f>
        <v>#VALUE!</v>
      </c>
      <c r="GW62" t="e">
        <f>AND('STERLING CATALOG - DRY '!C1269,"AAAAAD2Pd8w=")</f>
        <v>#VALUE!</v>
      </c>
      <c r="GX62" t="e">
        <f>AND('STERLING CATALOG - DRY '!D1269,"AAAAAD2Pd80=")</f>
        <v>#VALUE!</v>
      </c>
      <c r="GY62" t="e">
        <f>AND('STERLING CATALOG - DRY '!E1269,"AAAAAD2Pd84=")</f>
        <v>#VALUE!</v>
      </c>
      <c r="GZ62" t="e">
        <f>AND('STERLING CATALOG - DRY '!F1269,"AAAAAD2Pd88=")</f>
        <v>#VALUE!</v>
      </c>
      <c r="HA62" t="e">
        <f>AND('STERLING CATALOG - DRY '!G1269,"AAAAAD2Pd9A=")</f>
        <v>#VALUE!</v>
      </c>
      <c r="HB62" t="e">
        <f>AND('STERLING CATALOG - DRY '!H1269,"AAAAAD2Pd9E=")</f>
        <v>#VALUE!</v>
      </c>
      <c r="HC62" t="e">
        <f>AND('STERLING CATALOG - DRY '!I1269,"AAAAAD2Pd9I=")</f>
        <v>#VALUE!</v>
      </c>
      <c r="HD62" t="e">
        <f>AND('STERLING CATALOG - DRY '!J1269,"AAAAAD2Pd9M=")</f>
        <v>#VALUE!</v>
      </c>
      <c r="HE62">
        <f>IF('STERLING CATALOG - DRY '!1270:1270,"AAAAAD2Pd9Q=",0)</f>
        <v>0</v>
      </c>
      <c r="HF62" t="e">
        <f>AND('STERLING CATALOG - DRY '!A1270,"AAAAAD2Pd9U=")</f>
        <v>#VALUE!</v>
      </c>
      <c r="HG62" t="e">
        <f>AND('STERLING CATALOG - DRY '!B1270,"AAAAAD2Pd9Y=")</f>
        <v>#VALUE!</v>
      </c>
      <c r="HH62" t="e">
        <f>AND('STERLING CATALOG - DRY '!C1270,"AAAAAD2Pd9c=")</f>
        <v>#VALUE!</v>
      </c>
      <c r="HI62" t="e">
        <f>AND('STERLING CATALOG - DRY '!D1270,"AAAAAD2Pd9g=")</f>
        <v>#VALUE!</v>
      </c>
      <c r="HJ62" t="e">
        <f>AND('STERLING CATALOG - DRY '!E1270,"AAAAAD2Pd9k=")</f>
        <v>#VALUE!</v>
      </c>
      <c r="HK62" t="e">
        <f>AND('STERLING CATALOG - DRY '!F1270,"AAAAAD2Pd9o=")</f>
        <v>#VALUE!</v>
      </c>
      <c r="HL62" t="e">
        <f>AND('STERLING CATALOG - DRY '!G1270,"AAAAAD2Pd9s=")</f>
        <v>#VALUE!</v>
      </c>
      <c r="HM62" t="e">
        <f>AND('STERLING CATALOG - DRY '!H1270,"AAAAAD2Pd9w=")</f>
        <v>#VALUE!</v>
      </c>
      <c r="HN62" t="e">
        <f>AND('STERLING CATALOG - DRY '!I1270,"AAAAAD2Pd90=")</f>
        <v>#VALUE!</v>
      </c>
      <c r="HO62" t="e">
        <f>AND('STERLING CATALOG - DRY '!J1270,"AAAAAD2Pd94=")</f>
        <v>#VALUE!</v>
      </c>
      <c r="HP62">
        <f>IF('STERLING CATALOG - DRY '!1271:1271,"AAAAAD2Pd98=",0)</f>
        <v>0</v>
      </c>
      <c r="HQ62" t="e">
        <f>AND('STERLING CATALOG - DRY '!A1271,"AAAAAD2Pd+A=")</f>
        <v>#VALUE!</v>
      </c>
      <c r="HR62" t="e">
        <f>AND('STERLING CATALOG - DRY '!B1271,"AAAAAD2Pd+E=")</f>
        <v>#VALUE!</v>
      </c>
      <c r="HS62" t="e">
        <f>AND('STERLING CATALOG - DRY '!C1271,"AAAAAD2Pd+I=")</f>
        <v>#VALUE!</v>
      </c>
      <c r="HT62" t="e">
        <f>AND('STERLING CATALOG - DRY '!D1271,"AAAAAD2Pd+M=")</f>
        <v>#VALUE!</v>
      </c>
      <c r="HU62" t="e">
        <f>AND('STERLING CATALOG - DRY '!E1271,"AAAAAD2Pd+Q=")</f>
        <v>#VALUE!</v>
      </c>
      <c r="HV62" t="e">
        <f>AND('STERLING CATALOG - DRY '!F1271,"AAAAAD2Pd+U=")</f>
        <v>#VALUE!</v>
      </c>
      <c r="HW62" t="e">
        <f>AND('STERLING CATALOG - DRY '!G1271,"AAAAAD2Pd+Y=")</f>
        <v>#VALUE!</v>
      </c>
      <c r="HX62" t="e">
        <f>AND('STERLING CATALOG - DRY '!H1271,"AAAAAD2Pd+c=")</f>
        <v>#VALUE!</v>
      </c>
      <c r="HY62" t="e">
        <f>AND('STERLING CATALOG - DRY '!I1271,"AAAAAD2Pd+g=")</f>
        <v>#VALUE!</v>
      </c>
      <c r="HZ62" t="e">
        <f>AND('STERLING CATALOG - DRY '!J1271,"AAAAAD2Pd+k=")</f>
        <v>#VALUE!</v>
      </c>
      <c r="IA62">
        <f>IF('STERLING CATALOG - DRY '!1272:1272,"AAAAAD2Pd+o=",0)</f>
        <v>0</v>
      </c>
      <c r="IB62" t="e">
        <f>AND('STERLING CATALOG - DRY '!A1272,"AAAAAD2Pd+s=")</f>
        <v>#VALUE!</v>
      </c>
      <c r="IC62" t="e">
        <f>AND('STERLING CATALOG - DRY '!B1272,"AAAAAD2Pd+w=")</f>
        <v>#VALUE!</v>
      </c>
      <c r="ID62" t="e">
        <f>AND('STERLING CATALOG - DRY '!C1272,"AAAAAD2Pd+0=")</f>
        <v>#VALUE!</v>
      </c>
      <c r="IE62" t="e">
        <f>AND('STERLING CATALOG - DRY '!D1272,"AAAAAD2Pd+4=")</f>
        <v>#VALUE!</v>
      </c>
      <c r="IF62" t="e">
        <f>AND('STERLING CATALOG - DRY '!E1272,"AAAAAD2Pd+8=")</f>
        <v>#VALUE!</v>
      </c>
      <c r="IG62" t="e">
        <f>AND('STERLING CATALOG - DRY '!F1272,"AAAAAD2Pd/A=")</f>
        <v>#VALUE!</v>
      </c>
      <c r="IH62" t="e">
        <f>AND('STERLING CATALOG - DRY '!G1272,"AAAAAD2Pd/E=")</f>
        <v>#VALUE!</v>
      </c>
      <c r="II62" t="e">
        <f>AND('STERLING CATALOG - DRY '!H1272,"AAAAAD2Pd/I=")</f>
        <v>#VALUE!</v>
      </c>
      <c r="IJ62" t="e">
        <f>AND('STERLING CATALOG - DRY '!I1272,"AAAAAD2Pd/M=")</f>
        <v>#VALUE!</v>
      </c>
      <c r="IK62" t="e">
        <f>AND('STERLING CATALOG - DRY '!J1272,"AAAAAD2Pd/Q=")</f>
        <v>#VALUE!</v>
      </c>
      <c r="IL62">
        <f>IF('STERLING CATALOG - DRY '!1273:1273,"AAAAAD2Pd/U=",0)</f>
        <v>0</v>
      </c>
      <c r="IM62" t="e">
        <f>AND('STERLING CATALOG - DRY '!A1273,"AAAAAD2Pd/Y=")</f>
        <v>#VALUE!</v>
      </c>
      <c r="IN62" t="e">
        <f>AND('STERLING CATALOG - DRY '!B1273,"AAAAAD2Pd/c=")</f>
        <v>#VALUE!</v>
      </c>
      <c r="IO62" t="e">
        <f>AND('STERLING CATALOG - DRY '!C1273,"AAAAAD2Pd/g=")</f>
        <v>#VALUE!</v>
      </c>
      <c r="IP62" t="e">
        <f>AND('STERLING CATALOG - DRY '!D1273,"AAAAAD2Pd/k=")</f>
        <v>#VALUE!</v>
      </c>
      <c r="IQ62" t="e">
        <f>AND('STERLING CATALOG - DRY '!E1273,"AAAAAD2Pd/o=")</f>
        <v>#VALUE!</v>
      </c>
      <c r="IR62" t="e">
        <f>AND('STERLING CATALOG - DRY '!F1273,"AAAAAD2Pd/s=")</f>
        <v>#VALUE!</v>
      </c>
      <c r="IS62" t="e">
        <f>AND('STERLING CATALOG - DRY '!G1273,"AAAAAD2Pd/w=")</f>
        <v>#VALUE!</v>
      </c>
      <c r="IT62" t="e">
        <f>AND('STERLING CATALOG - DRY '!H1273,"AAAAAD2Pd/0=")</f>
        <v>#VALUE!</v>
      </c>
      <c r="IU62" t="e">
        <f>AND('STERLING CATALOG - DRY '!I1273,"AAAAAD2Pd/4=")</f>
        <v>#VALUE!</v>
      </c>
      <c r="IV62" t="e">
        <f>AND('STERLING CATALOG - DRY '!J1273,"AAAAAD2Pd/8=")</f>
        <v>#VALUE!</v>
      </c>
    </row>
    <row r="63" spans="1:256">
      <c r="A63" t="str">
        <f>IF('STERLING CATALOG - DRY '!1274:1274,"AAAAADm/9wA=",0)</f>
        <v>AAAAADm/9wA=</v>
      </c>
      <c r="B63" t="e">
        <f>AND('STERLING CATALOG - DRY '!A1274,"AAAAADm/9wE=")</f>
        <v>#VALUE!</v>
      </c>
      <c r="C63" t="e">
        <f>AND('STERLING CATALOG - DRY '!B1274,"AAAAADm/9wI=")</f>
        <v>#VALUE!</v>
      </c>
      <c r="D63" t="e">
        <f>AND('STERLING CATALOG - DRY '!C1274,"AAAAADm/9wM=")</f>
        <v>#VALUE!</v>
      </c>
      <c r="E63" t="e">
        <f>AND('STERLING CATALOG - DRY '!D1274,"AAAAADm/9wQ=")</f>
        <v>#VALUE!</v>
      </c>
      <c r="F63" t="e">
        <f>AND('STERLING CATALOG - DRY '!E1274,"AAAAADm/9wU=")</f>
        <v>#VALUE!</v>
      </c>
      <c r="G63" t="e">
        <f>AND('STERLING CATALOG - DRY '!F1274,"AAAAADm/9wY=")</f>
        <v>#VALUE!</v>
      </c>
      <c r="H63" t="e">
        <f>AND('STERLING CATALOG - DRY '!G1274,"AAAAADm/9wc=")</f>
        <v>#VALUE!</v>
      </c>
      <c r="I63" t="e">
        <f>AND('STERLING CATALOG - DRY '!H1274,"AAAAADm/9wg=")</f>
        <v>#VALUE!</v>
      </c>
      <c r="J63" t="e">
        <f>AND('STERLING CATALOG - DRY '!I1274,"AAAAADm/9wk=")</f>
        <v>#VALUE!</v>
      </c>
      <c r="K63" t="e">
        <f>AND('STERLING CATALOG - DRY '!J1274,"AAAAADm/9wo=")</f>
        <v>#VALUE!</v>
      </c>
      <c r="L63">
        <f>IF('STERLING CATALOG - DRY '!1275:1275,"AAAAADm/9ws=",0)</f>
        <v>0</v>
      </c>
      <c r="M63" t="e">
        <f>AND('STERLING CATALOG - DRY '!A1275,"AAAAADm/9ww=")</f>
        <v>#VALUE!</v>
      </c>
      <c r="N63" t="e">
        <f>AND('STERLING CATALOG - DRY '!B1275,"AAAAADm/9w0=")</f>
        <v>#VALUE!</v>
      </c>
      <c r="O63" t="e">
        <f>AND('STERLING CATALOG - DRY '!C1275,"AAAAADm/9w4=")</f>
        <v>#VALUE!</v>
      </c>
      <c r="P63" t="e">
        <f>AND('STERLING CATALOG - DRY '!D1275,"AAAAADm/9w8=")</f>
        <v>#VALUE!</v>
      </c>
      <c r="Q63" t="e">
        <f>AND('STERLING CATALOG - DRY '!E1275,"AAAAADm/9xA=")</f>
        <v>#VALUE!</v>
      </c>
      <c r="R63" t="e">
        <f>AND('STERLING CATALOG - DRY '!F1275,"AAAAADm/9xE=")</f>
        <v>#VALUE!</v>
      </c>
      <c r="S63" t="e">
        <f>AND('STERLING CATALOG - DRY '!G1275,"AAAAADm/9xI=")</f>
        <v>#VALUE!</v>
      </c>
      <c r="T63" t="e">
        <f>AND('STERLING CATALOG - DRY '!H1275,"AAAAADm/9xM=")</f>
        <v>#VALUE!</v>
      </c>
      <c r="U63" t="e">
        <f>AND('STERLING CATALOG - DRY '!I1275,"AAAAADm/9xQ=")</f>
        <v>#VALUE!</v>
      </c>
      <c r="V63" t="e">
        <f>AND('STERLING CATALOG - DRY '!J1275,"AAAAADm/9xU=")</f>
        <v>#VALUE!</v>
      </c>
      <c r="W63">
        <f>IF('STERLING CATALOG - DRY '!1276:1276,"AAAAADm/9xY=",0)</f>
        <v>0</v>
      </c>
      <c r="X63" t="e">
        <f>AND('STERLING CATALOG - DRY '!A1276,"AAAAADm/9xc=")</f>
        <v>#VALUE!</v>
      </c>
      <c r="Y63" t="e">
        <f>AND('STERLING CATALOG - DRY '!B1276,"AAAAADm/9xg=")</f>
        <v>#VALUE!</v>
      </c>
      <c r="Z63" t="e">
        <f>AND('STERLING CATALOG - DRY '!C1276,"AAAAADm/9xk=")</f>
        <v>#VALUE!</v>
      </c>
      <c r="AA63" t="e">
        <f>AND('STERLING CATALOG - DRY '!D1276,"AAAAADm/9xo=")</f>
        <v>#VALUE!</v>
      </c>
      <c r="AB63" t="e">
        <f>AND('STERLING CATALOG - DRY '!E1276,"AAAAADm/9xs=")</f>
        <v>#VALUE!</v>
      </c>
      <c r="AC63" t="e">
        <f>AND('STERLING CATALOG - DRY '!F1276,"AAAAADm/9xw=")</f>
        <v>#VALUE!</v>
      </c>
      <c r="AD63" t="e">
        <f>AND('STERLING CATALOG - DRY '!G1276,"AAAAADm/9x0=")</f>
        <v>#VALUE!</v>
      </c>
      <c r="AE63" t="e">
        <f>AND('STERLING CATALOG - DRY '!H1276,"AAAAADm/9x4=")</f>
        <v>#VALUE!</v>
      </c>
      <c r="AF63" t="e">
        <f>AND('STERLING CATALOG - DRY '!I1276,"AAAAADm/9x8=")</f>
        <v>#VALUE!</v>
      </c>
      <c r="AG63" t="e">
        <f>AND('STERLING CATALOG - DRY '!J1276,"AAAAADm/9yA=")</f>
        <v>#VALUE!</v>
      </c>
      <c r="AH63">
        <f>IF('STERLING CATALOG - DRY '!1277:1277,"AAAAADm/9yE=",0)</f>
        <v>0</v>
      </c>
      <c r="AI63" t="e">
        <f>AND('STERLING CATALOG - DRY '!A1277,"AAAAADm/9yI=")</f>
        <v>#VALUE!</v>
      </c>
      <c r="AJ63" t="e">
        <f>AND('STERLING CATALOG - DRY '!B1277,"AAAAADm/9yM=")</f>
        <v>#VALUE!</v>
      </c>
      <c r="AK63" t="e">
        <f>AND('STERLING CATALOG - DRY '!C1277,"AAAAADm/9yQ=")</f>
        <v>#VALUE!</v>
      </c>
      <c r="AL63" t="e">
        <f>AND('STERLING CATALOG - DRY '!D1277,"AAAAADm/9yU=")</f>
        <v>#VALUE!</v>
      </c>
      <c r="AM63" t="e">
        <f>AND('STERLING CATALOG - DRY '!E1277,"AAAAADm/9yY=")</f>
        <v>#VALUE!</v>
      </c>
      <c r="AN63" t="e">
        <f>AND('STERLING CATALOG - DRY '!F1277,"AAAAADm/9yc=")</f>
        <v>#VALUE!</v>
      </c>
      <c r="AO63" t="e">
        <f>AND('STERLING CATALOG - DRY '!G1277,"AAAAADm/9yg=")</f>
        <v>#VALUE!</v>
      </c>
      <c r="AP63" t="e">
        <f>AND('STERLING CATALOG - DRY '!H1277,"AAAAADm/9yk=")</f>
        <v>#VALUE!</v>
      </c>
      <c r="AQ63" t="e">
        <f>AND('STERLING CATALOG - DRY '!I1277,"AAAAADm/9yo=")</f>
        <v>#VALUE!</v>
      </c>
      <c r="AR63" t="e">
        <f>AND('STERLING CATALOG - DRY '!J1277,"AAAAADm/9ys=")</f>
        <v>#VALUE!</v>
      </c>
      <c r="AS63">
        <f>IF('STERLING CATALOG - DRY '!1278:1278,"AAAAADm/9yw=",0)</f>
        <v>0</v>
      </c>
      <c r="AT63" t="e">
        <f>AND('STERLING CATALOG - DRY '!A1278,"AAAAADm/9y0=")</f>
        <v>#VALUE!</v>
      </c>
      <c r="AU63" t="e">
        <f>AND('STERLING CATALOG - DRY '!B1278,"AAAAADm/9y4=")</f>
        <v>#VALUE!</v>
      </c>
      <c r="AV63" t="e">
        <f>AND('STERLING CATALOG - DRY '!C1278,"AAAAADm/9y8=")</f>
        <v>#VALUE!</v>
      </c>
      <c r="AW63" t="e">
        <f>AND('STERLING CATALOG - DRY '!D1278,"AAAAADm/9zA=")</f>
        <v>#VALUE!</v>
      </c>
      <c r="AX63" t="e">
        <f>AND('STERLING CATALOG - DRY '!E1278,"AAAAADm/9zE=")</f>
        <v>#VALUE!</v>
      </c>
      <c r="AY63" t="e">
        <f>AND('STERLING CATALOG - DRY '!F1278,"AAAAADm/9zI=")</f>
        <v>#VALUE!</v>
      </c>
      <c r="AZ63" t="e">
        <f>AND('STERLING CATALOG - DRY '!G1278,"AAAAADm/9zM=")</f>
        <v>#VALUE!</v>
      </c>
      <c r="BA63" t="e">
        <f>AND('STERLING CATALOG - DRY '!H1278,"AAAAADm/9zQ=")</f>
        <v>#VALUE!</v>
      </c>
      <c r="BB63" t="e">
        <f>AND('STERLING CATALOG - DRY '!I1278,"AAAAADm/9zU=")</f>
        <v>#VALUE!</v>
      </c>
      <c r="BC63" t="e">
        <f>AND('STERLING CATALOG - DRY '!J1278,"AAAAADm/9zY=")</f>
        <v>#VALUE!</v>
      </c>
      <c r="BD63">
        <f>IF('STERLING CATALOG - DRY '!1279:1279,"AAAAADm/9zc=",0)</f>
        <v>0</v>
      </c>
      <c r="BE63" t="e">
        <f>AND('STERLING CATALOG - DRY '!A1279,"AAAAADm/9zg=")</f>
        <v>#VALUE!</v>
      </c>
      <c r="BF63" t="e">
        <f>AND('STERLING CATALOG - DRY '!B1279,"AAAAADm/9zk=")</f>
        <v>#VALUE!</v>
      </c>
      <c r="BG63" t="e">
        <f>AND('STERLING CATALOG - DRY '!C1279,"AAAAADm/9zo=")</f>
        <v>#VALUE!</v>
      </c>
      <c r="BH63" t="e">
        <f>AND('STERLING CATALOG - DRY '!D1279,"AAAAADm/9zs=")</f>
        <v>#VALUE!</v>
      </c>
      <c r="BI63" t="e">
        <f>AND('STERLING CATALOG - DRY '!E1279,"AAAAADm/9zw=")</f>
        <v>#VALUE!</v>
      </c>
      <c r="BJ63" t="e">
        <f>AND('STERLING CATALOG - DRY '!F1279,"AAAAADm/9z0=")</f>
        <v>#VALUE!</v>
      </c>
      <c r="BK63" t="e">
        <f>AND('STERLING CATALOG - DRY '!G1279,"AAAAADm/9z4=")</f>
        <v>#VALUE!</v>
      </c>
      <c r="BL63" t="e">
        <f>AND('STERLING CATALOG - DRY '!H1279,"AAAAADm/9z8=")</f>
        <v>#VALUE!</v>
      </c>
      <c r="BM63" t="e">
        <f>AND('STERLING CATALOG - DRY '!I1279,"AAAAADm/90A=")</f>
        <v>#VALUE!</v>
      </c>
      <c r="BN63" t="e">
        <f>AND('STERLING CATALOG - DRY '!J1279,"AAAAADm/90E=")</f>
        <v>#VALUE!</v>
      </c>
      <c r="BO63">
        <f>IF('STERLING CATALOG - DRY '!1280:1280,"AAAAADm/90I=",0)</f>
        <v>0</v>
      </c>
      <c r="BP63" t="e">
        <f>AND('STERLING CATALOG - DRY '!A1280,"AAAAADm/90M=")</f>
        <v>#VALUE!</v>
      </c>
      <c r="BQ63" t="e">
        <f>AND('STERLING CATALOG - DRY '!B1280,"AAAAADm/90Q=")</f>
        <v>#VALUE!</v>
      </c>
      <c r="BR63" t="e">
        <f>AND('STERLING CATALOG - DRY '!C1280,"AAAAADm/90U=")</f>
        <v>#VALUE!</v>
      </c>
      <c r="BS63" t="e">
        <f>AND('STERLING CATALOG - DRY '!D1280,"AAAAADm/90Y=")</f>
        <v>#VALUE!</v>
      </c>
      <c r="BT63" t="e">
        <f>AND('STERLING CATALOG - DRY '!E1280,"AAAAADm/90c=")</f>
        <v>#VALUE!</v>
      </c>
      <c r="BU63" t="e">
        <f>AND('STERLING CATALOG - DRY '!F1280,"AAAAADm/90g=")</f>
        <v>#VALUE!</v>
      </c>
      <c r="BV63" t="e">
        <f>AND('STERLING CATALOG - DRY '!G1280,"AAAAADm/90k=")</f>
        <v>#VALUE!</v>
      </c>
      <c r="BW63" t="e">
        <f>AND('STERLING CATALOG - DRY '!H1280,"AAAAADm/90o=")</f>
        <v>#VALUE!</v>
      </c>
      <c r="BX63" t="e">
        <f>AND('STERLING CATALOG - DRY '!I1280,"AAAAADm/90s=")</f>
        <v>#VALUE!</v>
      </c>
      <c r="BY63" t="e">
        <f>AND('STERLING CATALOG - DRY '!J1280,"AAAAADm/90w=")</f>
        <v>#VALUE!</v>
      </c>
      <c r="BZ63">
        <f>IF('STERLING CATALOG - DRY '!1281:1281,"AAAAADm/900=",0)</f>
        <v>0</v>
      </c>
      <c r="CA63" t="e">
        <f>AND('STERLING CATALOG - DRY '!A1281,"AAAAADm/904=")</f>
        <v>#VALUE!</v>
      </c>
      <c r="CB63" t="e">
        <f>AND('STERLING CATALOG - DRY '!B1281,"AAAAADm/908=")</f>
        <v>#VALUE!</v>
      </c>
      <c r="CC63" t="e">
        <f>AND('STERLING CATALOG - DRY '!C1281,"AAAAADm/91A=")</f>
        <v>#VALUE!</v>
      </c>
      <c r="CD63" t="e">
        <f>AND('STERLING CATALOG - DRY '!D1281,"AAAAADm/91E=")</f>
        <v>#VALUE!</v>
      </c>
      <c r="CE63" t="e">
        <f>AND('STERLING CATALOG - DRY '!E1281,"AAAAADm/91I=")</f>
        <v>#VALUE!</v>
      </c>
      <c r="CF63" t="e">
        <f>AND('STERLING CATALOG - DRY '!F1281,"AAAAADm/91M=")</f>
        <v>#VALUE!</v>
      </c>
      <c r="CG63" t="e">
        <f>AND('STERLING CATALOG - DRY '!G1281,"AAAAADm/91Q=")</f>
        <v>#VALUE!</v>
      </c>
      <c r="CH63" t="e">
        <f>AND('STERLING CATALOG - DRY '!H1281,"AAAAADm/91U=")</f>
        <v>#VALUE!</v>
      </c>
      <c r="CI63" t="e">
        <f>AND('STERLING CATALOG - DRY '!I1281,"AAAAADm/91Y=")</f>
        <v>#VALUE!</v>
      </c>
      <c r="CJ63" t="e">
        <f>AND('STERLING CATALOG - DRY '!J1281,"AAAAADm/91c=")</f>
        <v>#VALUE!</v>
      </c>
      <c r="CK63">
        <f>IF('STERLING CATALOG - DRY '!1282:1282,"AAAAADm/91g=",0)</f>
        <v>0</v>
      </c>
      <c r="CL63" t="e">
        <f>AND('STERLING CATALOG - DRY '!A1282,"AAAAADm/91k=")</f>
        <v>#VALUE!</v>
      </c>
      <c r="CM63" t="e">
        <f>AND('STERLING CATALOG - DRY '!B1282,"AAAAADm/91o=")</f>
        <v>#VALUE!</v>
      </c>
      <c r="CN63" t="e">
        <f>AND('STERLING CATALOG - DRY '!C1282,"AAAAADm/91s=")</f>
        <v>#VALUE!</v>
      </c>
      <c r="CO63" t="e">
        <f>AND('STERLING CATALOG - DRY '!D1282,"AAAAADm/91w=")</f>
        <v>#VALUE!</v>
      </c>
      <c r="CP63" t="e">
        <f>AND('STERLING CATALOG - DRY '!E1282,"AAAAADm/910=")</f>
        <v>#VALUE!</v>
      </c>
      <c r="CQ63" t="e">
        <f>AND('STERLING CATALOG - DRY '!F1282,"AAAAADm/914=")</f>
        <v>#VALUE!</v>
      </c>
      <c r="CR63" t="e">
        <f>AND('STERLING CATALOG - DRY '!G1282,"AAAAADm/918=")</f>
        <v>#VALUE!</v>
      </c>
      <c r="CS63" t="e">
        <f>AND('STERLING CATALOG - DRY '!H1282,"AAAAADm/92A=")</f>
        <v>#VALUE!</v>
      </c>
      <c r="CT63" t="e">
        <f>AND('STERLING CATALOG - DRY '!I1282,"AAAAADm/92E=")</f>
        <v>#VALUE!</v>
      </c>
      <c r="CU63" t="e">
        <f>AND('STERLING CATALOG - DRY '!J1282,"AAAAADm/92I=")</f>
        <v>#VALUE!</v>
      </c>
      <c r="CV63">
        <f>IF('STERLING CATALOG - DRY '!1283:1283,"AAAAADm/92M=",0)</f>
        <v>0</v>
      </c>
      <c r="CW63" t="e">
        <f>AND('STERLING CATALOG - DRY '!A1283,"AAAAADm/92Q=")</f>
        <v>#VALUE!</v>
      </c>
      <c r="CX63" t="e">
        <f>AND('STERLING CATALOG - DRY '!B1283,"AAAAADm/92U=")</f>
        <v>#VALUE!</v>
      </c>
      <c r="CY63" t="e">
        <f>AND('STERLING CATALOG - DRY '!C1283,"AAAAADm/92Y=")</f>
        <v>#VALUE!</v>
      </c>
      <c r="CZ63" t="e">
        <f>AND('STERLING CATALOG - DRY '!D1283,"AAAAADm/92c=")</f>
        <v>#VALUE!</v>
      </c>
      <c r="DA63" t="e">
        <f>AND('STERLING CATALOG - DRY '!E1283,"AAAAADm/92g=")</f>
        <v>#VALUE!</v>
      </c>
      <c r="DB63" t="e">
        <f>AND('STERLING CATALOG - DRY '!F1283,"AAAAADm/92k=")</f>
        <v>#VALUE!</v>
      </c>
      <c r="DC63" t="e">
        <f>AND('STERLING CATALOG - DRY '!G1283,"AAAAADm/92o=")</f>
        <v>#VALUE!</v>
      </c>
      <c r="DD63" t="e">
        <f>AND('STERLING CATALOG - DRY '!H1283,"AAAAADm/92s=")</f>
        <v>#VALUE!</v>
      </c>
      <c r="DE63" t="e">
        <f>AND('STERLING CATALOG - DRY '!I1283,"AAAAADm/92w=")</f>
        <v>#VALUE!</v>
      </c>
      <c r="DF63" t="e">
        <f>AND('STERLING CATALOG - DRY '!J1283,"AAAAADm/920=")</f>
        <v>#VALUE!</v>
      </c>
      <c r="DG63">
        <f>IF('STERLING CATALOG - DRY '!1284:1284,"AAAAADm/924=",0)</f>
        <v>0</v>
      </c>
      <c r="DH63" t="e">
        <f>AND('STERLING CATALOG - DRY '!A1284,"AAAAADm/928=")</f>
        <v>#VALUE!</v>
      </c>
      <c r="DI63" t="e">
        <f>AND('STERLING CATALOG - DRY '!B1284,"AAAAADm/93A=")</f>
        <v>#VALUE!</v>
      </c>
      <c r="DJ63" t="e">
        <f>AND('STERLING CATALOG - DRY '!C1284,"AAAAADm/93E=")</f>
        <v>#VALUE!</v>
      </c>
      <c r="DK63" t="e">
        <f>AND('STERLING CATALOG - DRY '!D1284,"AAAAADm/93I=")</f>
        <v>#VALUE!</v>
      </c>
      <c r="DL63" t="e">
        <f>AND('STERLING CATALOG - DRY '!E1284,"AAAAADm/93M=")</f>
        <v>#VALUE!</v>
      </c>
      <c r="DM63" t="e">
        <f>AND('STERLING CATALOG - DRY '!F1284,"AAAAADm/93Q=")</f>
        <v>#VALUE!</v>
      </c>
      <c r="DN63" t="e">
        <f>AND('STERLING CATALOG - DRY '!G1284,"AAAAADm/93U=")</f>
        <v>#VALUE!</v>
      </c>
      <c r="DO63" t="e">
        <f>AND('STERLING CATALOG - DRY '!H1284,"AAAAADm/93Y=")</f>
        <v>#VALUE!</v>
      </c>
      <c r="DP63" t="e">
        <f>AND('STERLING CATALOG - DRY '!I1284,"AAAAADm/93c=")</f>
        <v>#VALUE!</v>
      </c>
      <c r="DQ63" t="e">
        <f>AND('STERLING CATALOG - DRY '!J1284,"AAAAADm/93g=")</f>
        <v>#VALUE!</v>
      </c>
      <c r="DR63">
        <f>IF('STERLING CATALOG - DRY '!1285:1285,"AAAAADm/93k=",0)</f>
        <v>0</v>
      </c>
      <c r="DS63" t="e">
        <f>AND('STERLING CATALOG - DRY '!A1285,"AAAAADm/93o=")</f>
        <v>#VALUE!</v>
      </c>
      <c r="DT63" t="e">
        <f>AND('STERLING CATALOG - DRY '!B1285,"AAAAADm/93s=")</f>
        <v>#VALUE!</v>
      </c>
      <c r="DU63" t="e">
        <f>AND('STERLING CATALOG - DRY '!C1285,"AAAAADm/93w=")</f>
        <v>#VALUE!</v>
      </c>
      <c r="DV63" t="e">
        <f>AND('STERLING CATALOG - DRY '!D1285,"AAAAADm/930=")</f>
        <v>#VALUE!</v>
      </c>
      <c r="DW63" t="e">
        <f>AND('STERLING CATALOG - DRY '!E1285,"AAAAADm/934=")</f>
        <v>#VALUE!</v>
      </c>
      <c r="DX63" t="e">
        <f>AND('STERLING CATALOG - DRY '!F1285,"AAAAADm/938=")</f>
        <v>#VALUE!</v>
      </c>
      <c r="DY63" t="e">
        <f>AND('STERLING CATALOG - DRY '!G1285,"AAAAADm/94A=")</f>
        <v>#VALUE!</v>
      </c>
      <c r="DZ63" t="e">
        <f>AND('STERLING CATALOG - DRY '!H1285,"AAAAADm/94E=")</f>
        <v>#VALUE!</v>
      </c>
      <c r="EA63" t="e">
        <f>AND('STERLING CATALOG - DRY '!I1285,"AAAAADm/94I=")</f>
        <v>#VALUE!</v>
      </c>
      <c r="EB63" t="e">
        <f>AND('STERLING CATALOG - DRY '!J1285,"AAAAADm/94M=")</f>
        <v>#VALUE!</v>
      </c>
      <c r="EC63">
        <f>IF('STERLING CATALOG - DRY '!1286:1286,"AAAAADm/94Q=",0)</f>
        <v>0</v>
      </c>
      <c r="ED63" t="e">
        <f>AND('STERLING CATALOG - DRY '!A1286,"AAAAADm/94U=")</f>
        <v>#VALUE!</v>
      </c>
      <c r="EE63" t="e">
        <f>AND('STERLING CATALOG - DRY '!B1286,"AAAAADm/94Y=")</f>
        <v>#VALUE!</v>
      </c>
      <c r="EF63" t="e">
        <f>AND('STERLING CATALOG - DRY '!C1286,"AAAAADm/94c=")</f>
        <v>#VALUE!</v>
      </c>
      <c r="EG63" t="e">
        <f>AND('STERLING CATALOG - DRY '!D1286,"AAAAADm/94g=")</f>
        <v>#VALUE!</v>
      </c>
      <c r="EH63" t="e">
        <f>AND('STERLING CATALOG - DRY '!E1286,"AAAAADm/94k=")</f>
        <v>#VALUE!</v>
      </c>
      <c r="EI63" t="e">
        <f>AND('STERLING CATALOG - DRY '!F1286,"AAAAADm/94o=")</f>
        <v>#VALUE!</v>
      </c>
      <c r="EJ63" t="e">
        <f>AND('STERLING CATALOG - DRY '!G1286,"AAAAADm/94s=")</f>
        <v>#VALUE!</v>
      </c>
      <c r="EK63" t="e">
        <f>AND('STERLING CATALOG - DRY '!H1286,"AAAAADm/94w=")</f>
        <v>#VALUE!</v>
      </c>
      <c r="EL63" t="e">
        <f>AND('STERLING CATALOG - DRY '!I1286,"AAAAADm/940=")</f>
        <v>#VALUE!</v>
      </c>
      <c r="EM63" t="e">
        <f>AND('STERLING CATALOG - DRY '!J1286,"AAAAADm/944=")</f>
        <v>#VALUE!</v>
      </c>
      <c r="EN63">
        <f>IF('STERLING CATALOG - DRY '!1287:1287,"AAAAADm/948=",0)</f>
        <v>0</v>
      </c>
      <c r="EO63" t="e">
        <f>AND('STERLING CATALOG - DRY '!A1287,"AAAAADm/95A=")</f>
        <v>#VALUE!</v>
      </c>
      <c r="EP63" t="e">
        <f>AND('STERLING CATALOG - DRY '!B1287,"AAAAADm/95E=")</f>
        <v>#VALUE!</v>
      </c>
      <c r="EQ63" t="e">
        <f>AND('STERLING CATALOG - DRY '!C1287,"AAAAADm/95I=")</f>
        <v>#VALUE!</v>
      </c>
      <c r="ER63" t="e">
        <f>AND('STERLING CATALOG - DRY '!D1287,"AAAAADm/95M=")</f>
        <v>#VALUE!</v>
      </c>
      <c r="ES63" t="e">
        <f>AND('STERLING CATALOG - DRY '!E1287,"AAAAADm/95Q=")</f>
        <v>#VALUE!</v>
      </c>
      <c r="ET63" t="e">
        <f>AND('STERLING CATALOG - DRY '!F1287,"AAAAADm/95U=")</f>
        <v>#VALUE!</v>
      </c>
      <c r="EU63" t="e">
        <f>AND('STERLING CATALOG - DRY '!G1287,"AAAAADm/95Y=")</f>
        <v>#VALUE!</v>
      </c>
      <c r="EV63" t="e">
        <f>AND('STERLING CATALOG - DRY '!H1287,"AAAAADm/95c=")</f>
        <v>#VALUE!</v>
      </c>
      <c r="EW63" t="e">
        <f>AND('STERLING CATALOG - DRY '!I1287,"AAAAADm/95g=")</f>
        <v>#VALUE!</v>
      </c>
      <c r="EX63" t="e">
        <f>AND('STERLING CATALOG - DRY '!J1287,"AAAAADm/95k=")</f>
        <v>#VALUE!</v>
      </c>
      <c r="EY63">
        <f>IF('STERLING CATALOG - DRY '!1288:1288,"AAAAADm/95o=",0)</f>
        <v>0</v>
      </c>
      <c r="EZ63" t="e">
        <f>AND('STERLING CATALOG - DRY '!A1288,"AAAAADm/95s=")</f>
        <v>#VALUE!</v>
      </c>
      <c r="FA63" t="e">
        <f>AND('STERLING CATALOG - DRY '!B1288,"AAAAADm/95w=")</f>
        <v>#VALUE!</v>
      </c>
      <c r="FB63" t="e">
        <f>AND('STERLING CATALOG - DRY '!C1288,"AAAAADm/950=")</f>
        <v>#VALUE!</v>
      </c>
      <c r="FC63" t="e">
        <f>AND('STERLING CATALOG - DRY '!D1288,"AAAAADm/954=")</f>
        <v>#VALUE!</v>
      </c>
      <c r="FD63" t="e">
        <f>AND('STERLING CATALOG - DRY '!E1288,"AAAAADm/958=")</f>
        <v>#VALUE!</v>
      </c>
      <c r="FE63" t="e">
        <f>AND('STERLING CATALOG - DRY '!F1288,"AAAAADm/96A=")</f>
        <v>#VALUE!</v>
      </c>
      <c r="FF63" t="e">
        <f>AND('STERLING CATALOG - DRY '!G1288,"AAAAADm/96E=")</f>
        <v>#VALUE!</v>
      </c>
      <c r="FG63" t="e">
        <f>AND('STERLING CATALOG - DRY '!H1288,"AAAAADm/96I=")</f>
        <v>#VALUE!</v>
      </c>
      <c r="FH63" t="e">
        <f>AND('STERLING CATALOG - DRY '!I1288,"AAAAADm/96M=")</f>
        <v>#VALUE!</v>
      </c>
      <c r="FI63" t="e">
        <f>AND('STERLING CATALOG - DRY '!J1288,"AAAAADm/96Q=")</f>
        <v>#VALUE!</v>
      </c>
      <c r="FJ63">
        <f>IF('STERLING CATALOG - DRY '!1289:1289,"AAAAADm/96U=",0)</f>
        <v>0</v>
      </c>
      <c r="FK63" t="e">
        <f>AND('STERLING CATALOG - DRY '!A1289,"AAAAADm/96Y=")</f>
        <v>#VALUE!</v>
      </c>
      <c r="FL63" t="e">
        <f>AND('STERLING CATALOG - DRY '!B1289,"AAAAADm/96c=")</f>
        <v>#VALUE!</v>
      </c>
      <c r="FM63" t="e">
        <f>AND('STERLING CATALOG - DRY '!C1289,"AAAAADm/96g=")</f>
        <v>#VALUE!</v>
      </c>
      <c r="FN63" t="e">
        <f>AND('STERLING CATALOG - DRY '!D1289,"AAAAADm/96k=")</f>
        <v>#VALUE!</v>
      </c>
      <c r="FO63" t="e">
        <f>AND('STERLING CATALOG - DRY '!E1289,"AAAAADm/96o=")</f>
        <v>#VALUE!</v>
      </c>
      <c r="FP63" t="e">
        <f>AND('STERLING CATALOG - DRY '!F1289,"AAAAADm/96s=")</f>
        <v>#VALUE!</v>
      </c>
      <c r="FQ63" t="e">
        <f>AND('STERLING CATALOG - DRY '!G1289,"AAAAADm/96w=")</f>
        <v>#VALUE!</v>
      </c>
      <c r="FR63" t="e">
        <f>AND('STERLING CATALOG - DRY '!H1289,"AAAAADm/960=")</f>
        <v>#VALUE!</v>
      </c>
      <c r="FS63" t="e">
        <f>AND('STERLING CATALOG - DRY '!I1289,"AAAAADm/964=")</f>
        <v>#VALUE!</v>
      </c>
      <c r="FT63" t="e">
        <f>AND('STERLING CATALOG - DRY '!J1289,"AAAAADm/968=")</f>
        <v>#VALUE!</v>
      </c>
      <c r="FU63">
        <f>IF('STERLING CATALOG - DRY '!1290:1290,"AAAAADm/97A=",0)</f>
        <v>0</v>
      </c>
      <c r="FV63" t="e">
        <f>AND('STERLING CATALOG - DRY '!A1290,"AAAAADm/97E=")</f>
        <v>#VALUE!</v>
      </c>
      <c r="FW63" t="e">
        <f>AND('STERLING CATALOG - DRY '!B1290,"AAAAADm/97I=")</f>
        <v>#VALUE!</v>
      </c>
      <c r="FX63" t="e">
        <f>AND('STERLING CATALOG - DRY '!C1290,"AAAAADm/97M=")</f>
        <v>#VALUE!</v>
      </c>
      <c r="FY63" t="e">
        <f>AND('STERLING CATALOG - DRY '!D1290,"AAAAADm/97Q=")</f>
        <v>#VALUE!</v>
      </c>
      <c r="FZ63" t="e">
        <f>AND('STERLING CATALOG - DRY '!E1290,"AAAAADm/97U=")</f>
        <v>#VALUE!</v>
      </c>
      <c r="GA63" t="e">
        <f>AND('STERLING CATALOG - DRY '!F1290,"AAAAADm/97Y=")</f>
        <v>#VALUE!</v>
      </c>
      <c r="GB63" t="e">
        <f>AND('STERLING CATALOG - DRY '!G1290,"AAAAADm/97c=")</f>
        <v>#VALUE!</v>
      </c>
      <c r="GC63" t="e">
        <f>AND('STERLING CATALOG - DRY '!H1290,"AAAAADm/97g=")</f>
        <v>#VALUE!</v>
      </c>
      <c r="GD63" t="e">
        <f>AND('STERLING CATALOG - DRY '!I1290,"AAAAADm/97k=")</f>
        <v>#VALUE!</v>
      </c>
      <c r="GE63" t="e">
        <f>AND('STERLING CATALOG - DRY '!J1290,"AAAAADm/97o=")</f>
        <v>#VALUE!</v>
      </c>
      <c r="GF63">
        <f>IF('STERLING CATALOG - DRY '!1291:1291,"AAAAADm/97s=",0)</f>
        <v>0</v>
      </c>
      <c r="GG63" t="e">
        <f>AND('STERLING CATALOG - DRY '!A1291,"AAAAADm/97w=")</f>
        <v>#VALUE!</v>
      </c>
      <c r="GH63" t="e">
        <f>AND('STERLING CATALOG - DRY '!B1291,"AAAAADm/970=")</f>
        <v>#VALUE!</v>
      </c>
      <c r="GI63" t="e">
        <f>AND('STERLING CATALOG - DRY '!C1291,"AAAAADm/974=")</f>
        <v>#VALUE!</v>
      </c>
      <c r="GJ63" t="e">
        <f>AND('STERLING CATALOG - DRY '!D1291,"AAAAADm/978=")</f>
        <v>#VALUE!</v>
      </c>
      <c r="GK63" t="e">
        <f>AND('STERLING CATALOG - DRY '!E1291,"AAAAADm/98A=")</f>
        <v>#VALUE!</v>
      </c>
      <c r="GL63" t="e">
        <f>AND('STERLING CATALOG - DRY '!F1291,"AAAAADm/98E=")</f>
        <v>#VALUE!</v>
      </c>
      <c r="GM63" t="e">
        <f>AND('STERLING CATALOG - DRY '!G1291,"AAAAADm/98I=")</f>
        <v>#VALUE!</v>
      </c>
      <c r="GN63" t="e">
        <f>AND('STERLING CATALOG - DRY '!H1291,"AAAAADm/98M=")</f>
        <v>#VALUE!</v>
      </c>
      <c r="GO63" t="e">
        <f>AND('STERLING CATALOG - DRY '!I1291,"AAAAADm/98Q=")</f>
        <v>#VALUE!</v>
      </c>
      <c r="GP63" t="e">
        <f>AND('STERLING CATALOG - DRY '!J1291,"AAAAADm/98U=")</f>
        <v>#VALUE!</v>
      </c>
      <c r="GQ63">
        <f>IF('STERLING CATALOG - DRY '!1292:1292,"AAAAADm/98Y=",0)</f>
        <v>0</v>
      </c>
      <c r="GR63" t="e">
        <f>AND('STERLING CATALOG - DRY '!A1292,"AAAAADm/98c=")</f>
        <v>#VALUE!</v>
      </c>
      <c r="GS63" t="e">
        <f>AND('STERLING CATALOG - DRY '!B1292,"AAAAADm/98g=")</f>
        <v>#VALUE!</v>
      </c>
      <c r="GT63" t="e">
        <f>AND('STERLING CATALOG - DRY '!C1292,"AAAAADm/98k=")</f>
        <v>#VALUE!</v>
      </c>
      <c r="GU63" t="e">
        <f>AND('STERLING CATALOG - DRY '!D1292,"AAAAADm/98o=")</f>
        <v>#VALUE!</v>
      </c>
      <c r="GV63" t="e">
        <f>AND('STERLING CATALOG - DRY '!E1292,"AAAAADm/98s=")</f>
        <v>#VALUE!</v>
      </c>
      <c r="GW63" t="e">
        <f>AND('STERLING CATALOG - DRY '!F1292,"AAAAADm/98w=")</f>
        <v>#VALUE!</v>
      </c>
      <c r="GX63" t="e">
        <f>AND('STERLING CATALOG - DRY '!G1292,"AAAAADm/980=")</f>
        <v>#VALUE!</v>
      </c>
      <c r="GY63" t="e">
        <f>AND('STERLING CATALOG - DRY '!H1292,"AAAAADm/984=")</f>
        <v>#VALUE!</v>
      </c>
      <c r="GZ63" t="e">
        <f>AND('STERLING CATALOG - DRY '!I1292,"AAAAADm/988=")</f>
        <v>#VALUE!</v>
      </c>
      <c r="HA63" t="e">
        <f>AND('STERLING CATALOG - DRY '!J1292,"AAAAADm/99A=")</f>
        <v>#VALUE!</v>
      </c>
      <c r="HB63">
        <f>IF('STERLING CATALOG - DRY '!1293:1293,"AAAAADm/99E=",0)</f>
        <v>0</v>
      </c>
      <c r="HC63" t="e">
        <f>AND('STERLING CATALOG - DRY '!A1293,"AAAAADm/99I=")</f>
        <v>#VALUE!</v>
      </c>
      <c r="HD63" t="e">
        <f>AND('STERLING CATALOG - DRY '!B1293,"AAAAADm/99M=")</f>
        <v>#VALUE!</v>
      </c>
      <c r="HE63" t="e">
        <f>AND('STERLING CATALOG - DRY '!C1293,"AAAAADm/99Q=")</f>
        <v>#VALUE!</v>
      </c>
      <c r="HF63" t="e">
        <f>AND('STERLING CATALOG - DRY '!D1293,"AAAAADm/99U=")</f>
        <v>#VALUE!</v>
      </c>
      <c r="HG63" t="e">
        <f>AND('STERLING CATALOG - DRY '!E1293,"AAAAADm/99Y=")</f>
        <v>#VALUE!</v>
      </c>
      <c r="HH63" t="e">
        <f>AND('STERLING CATALOG - DRY '!F1293,"AAAAADm/99c=")</f>
        <v>#VALUE!</v>
      </c>
      <c r="HI63" t="e">
        <f>AND('STERLING CATALOG - DRY '!G1293,"AAAAADm/99g=")</f>
        <v>#VALUE!</v>
      </c>
      <c r="HJ63" t="e">
        <f>AND('STERLING CATALOG - DRY '!H1293,"AAAAADm/99k=")</f>
        <v>#VALUE!</v>
      </c>
      <c r="HK63" t="e">
        <f>AND('STERLING CATALOG - DRY '!I1293,"AAAAADm/99o=")</f>
        <v>#VALUE!</v>
      </c>
      <c r="HL63" t="e">
        <f>AND('STERLING CATALOG - DRY '!J1293,"AAAAADm/99s=")</f>
        <v>#VALUE!</v>
      </c>
      <c r="HM63">
        <f>IF('STERLING CATALOG - DRY '!1294:1294,"AAAAADm/99w=",0)</f>
        <v>0</v>
      </c>
      <c r="HN63" t="e">
        <f>AND('STERLING CATALOG - DRY '!A1294,"AAAAADm/990=")</f>
        <v>#VALUE!</v>
      </c>
      <c r="HO63" t="e">
        <f>AND('STERLING CATALOG - DRY '!B1294,"AAAAADm/994=")</f>
        <v>#VALUE!</v>
      </c>
      <c r="HP63" t="e">
        <f>AND('STERLING CATALOG - DRY '!C1294,"AAAAADm/998=")</f>
        <v>#VALUE!</v>
      </c>
      <c r="HQ63" t="e">
        <f>AND('STERLING CATALOG - DRY '!D1294,"AAAAADm/9+A=")</f>
        <v>#VALUE!</v>
      </c>
      <c r="HR63" t="e">
        <f>AND('STERLING CATALOG - DRY '!E1294,"AAAAADm/9+E=")</f>
        <v>#VALUE!</v>
      </c>
      <c r="HS63" t="e">
        <f>AND('STERLING CATALOG - DRY '!F1294,"AAAAADm/9+I=")</f>
        <v>#VALUE!</v>
      </c>
      <c r="HT63" t="e">
        <f>AND('STERLING CATALOG - DRY '!G1294,"AAAAADm/9+M=")</f>
        <v>#VALUE!</v>
      </c>
      <c r="HU63" t="e">
        <f>AND('STERLING CATALOG - DRY '!H1294,"AAAAADm/9+Q=")</f>
        <v>#VALUE!</v>
      </c>
      <c r="HV63" t="e">
        <f>AND('STERLING CATALOG - DRY '!I1294,"AAAAADm/9+U=")</f>
        <v>#VALUE!</v>
      </c>
      <c r="HW63" t="e">
        <f>AND('STERLING CATALOG - DRY '!J1294,"AAAAADm/9+Y=")</f>
        <v>#VALUE!</v>
      </c>
      <c r="HX63">
        <f>IF('STERLING CATALOG - DRY '!1295:1295,"AAAAADm/9+c=",0)</f>
        <v>0</v>
      </c>
      <c r="HY63" t="e">
        <f>AND('STERLING CATALOG - DRY '!A1295,"AAAAADm/9+g=")</f>
        <v>#VALUE!</v>
      </c>
      <c r="HZ63" t="e">
        <f>AND('STERLING CATALOG - DRY '!B1295,"AAAAADm/9+k=")</f>
        <v>#VALUE!</v>
      </c>
      <c r="IA63" t="e">
        <f>AND('STERLING CATALOG - DRY '!C1295,"AAAAADm/9+o=")</f>
        <v>#VALUE!</v>
      </c>
      <c r="IB63" t="e">
        <f>AND('STERLING CATALOG - DRY '!D1295,"AAAAADm/9+s=")</f>
        <v>#VALUE!</v>
      </c>
      <c r="IC63" t="e">
        <f>AND('STERLING CATALOG - DRY '!E1295,"AAAAADm/9+w=")</f>
        <v>#VALUE!</v>
      </c>
      <c r="ID63" t="e">
        <f>AND('STERLING CATALOG - DRY '!F1295,"AAAAADm/9+0=")</f>
        <v>#VALUE!</v>
      </c>
      <c r="IE63" t="e">
        <f>AND('STERLING CATALOG - DRY '!G1295,"AAAAADm/9+4=")</f>
        <v>#VALUE!</v>
      </c>
      <c r="IF63" t="e">
        <f>AND('STERLING CATALOG - DRY '!H1295,"AAAAADm/9+8=")</f>
        <v>#VALUE!</v>
      </c>
      <c r="IG63" t="e">
        <f>AND('STERLING CATALOG - DRY '!I1295,"AAAAADm/9/A=")</f>
        <v>#VALUE!</v>
      </c>
      <c r="IH63" t="e">
        <f>AND('STERLING CATALOG - DRY '!J1295,"AAAAADm/9/E=")</f>
        <v>#VALUE!</v>
      </c>
      <c r="II63">
        <f>IF('STERLING CATALOG - DRY '!1296:1296,"AAAAADm/9/I=",0)</f>
        <v>0</v>
      </c>
      <c r="IJ63" t="e">
        <f>AND('STERLING CATALOG - DRY '!A1296,"AAAAADm/9/M=")</f>
        <v>#VALUE!</v>
      </c>
      <c r="IK63" t="e">
        <f>AND('STERLING CATALOG - DRY '!B1296,"AAAAADm/9/Q=")</f>
        <v>#VALUE!</v>
      </c>
      <c r="IL63" t="e">
        <f>AND('STERLING CATALOG - DRY '!C1296,"AAAAADm/9/U=")</f>
        <v>#VALUE!</v>
      </c>
      <c r="IM63" t="e">
        <f>AND('STERLING CATALOG - DRY '!D1296,"AAAAADm/9/Y=")</f>
        <v>#VALUE!</v>
      </c>
      <c r="IN63" t="e">
        <f>AND('STERLING CATALOG - DRY '!E1296,"AAAAADm/9/c=")</f>
        <v>#VALUE!</v>
      </c>
      <c r="IO63" t="e">
        <f>AND('STERLING CATALOG - DRY '!F1296,"AAAAADm/9/g=")</f>
        <v>#VALUE!</v>
      </c>
      <c r="IP63" t="e">
        <f>AND('STERLING CATALOG - DRY '!G1296,"AAAAADm/9/k=")</f>
        <v>#VALUE!</v>
      </c>
      <c r="IQ63" t="e">
        <f>AND('STERLING CATALOG - DRY '!H1296,"AAAAADm/9/o=")</f>
        <v>#VALUE!</v>
      </c>
      <c r="IR63" t="e">
        <f>AND('STERLING CATALOG - DRY '!I1296,"AAAAADm/9/s=")</f>
        <v>#VALUE!</v>
      </c>
      <c r="IS63" t="e">
        <f>AND('STERLING CATALOG - DRY '!J1296,"AAAAADm/9/w=")</f>
        <v>#VALUE!</v>
      </c>
      <c r="IT63">
        <f>IF('STERLING CATALOG - DRY '!1297:1297,"AAAAADm/9/0=",0)</f>
        <v>0</v>
      </c>
      <c r="IU63" t="e">
        <f>AND('STERLING CATALOG - DRY '!A1297,"AAAAADm/9/4=")</f>
        <v>#VALUE!</v>
      </c>
      <c r="IV63" t="e">
        <f>AND('STERLING CATALOG - DRY '!B1297,"AAAAADm/9/8=")</f>
        <v>#VALUE!</v>
      </c>
    </row>
    <row r="64" spans="1:256">
      <c r="A64" t="e">
        <f>AND('STERLING CATALOG - DRY '!C1297,"AAAAAG3v/wA=")</f>
        <v>#VALUE!</v>
      </c>
      <c r="B64" t="e">
        <f>AND('STERLING CATALOG - DRY '!D1297,"AAAAAG3v/wE=")</f>
        <v>#VALUE!</v>
      </c>
      <c r="C64" t="e">
        <f>AND('STERLING CATALOG - DRY '!E1297,"AAAAAG3v/wI=")</f>
        <v>#VALUE!</v>
      </c>
      <c r="D64" t="e">
        <f>AND('STERLING CATALOG - DRY '!F1297,"AAAAAG3v/wM=")</f>
        <v>#VALUE!</v>
      </c>
      <c r="E64" t="e">
        <f>AND('STERLING CATALOG - DRY '!G1297,"AAAAAG3v/wQ=")</f>
        <v>#VALUE!</v>
      </c>
      <c r="F64" t="e">
        <f>AND('STERLING CATALOG - DRY '!H1297,"AAAAAG3v/wU=")</f>
        <v>#VALUE!</v>
      </c>
      <c r="G64" t="e">
        <f>AND('STERLING CATALOG - DRY '!I1297,"AAAAAG3v/wY=")</f>
        <v>#VALUE!</v>
      </c>
      <c r="H64" t="e">
        <f>AND('STERLING CATALOG - DRY '!J1297,"AAAAAG3v/wc=")</f>
        <v>#VALUE!</v>
      </c>
      <c r="I64" t="e">
        <f>IF('STERLING CATALOG - DRY '!1298:1298,"AAAAAG3v/wg=",0)</f>
        <v>#VALUE!</v>
      </c>
      <c r="J64" t="e">
        <f>AND('STERLING CATALOG - DRY '!A1298,"AAAAAG3v/wk=")</f>
        <v>#VALUE!</v>
      </c>
      <c r="K64" t="e">
        <f>AND('STERLING CATALOG - DRY '!B1298,"AAAAAG3v/wo=")</f>
        <v>#VALUE!</v>
      </c>
      <c r="L64" t="e">
        <f>AND('STERLING CATALOG - DRY '!C1298,"AAAAAG3v/ws=")</f>
        <v>#VALUE!</v>
      </c>
      <c r="M64" t="e">
        <f>AND('STERLING CATALOG - DRY '!D1298,"AAAAAG3v/ww=")</f>
        <v>#VALUE!</v>
      </c>
      <c r="N64" t="e">
        <f>AND('STERLING CATALOG - DRY '!E1298,"AAAAAG3v/w0=")</f>
        <v>#VALUE!</v>
      </c>
      <c r="O64" t="e">
        <f>AND('STERLING CATALOG - DRY '!F1298,"AAAAAG3v/w4=")</f>
        <v>#VALUE!</v>
      </c>
      <c r="P64" t="e">
        <f>AND('STERLING CATALOG - DRY '!G1298,"AAAAAG3v/w8=")</f>
        <v>#VALUE!</v>
      </c>
      <c r="Q64" t="e">
        <f>AND('STERLING CATALOG - DRY '!H1298,"AAAAAG3v/xA=")</f>
        <v>#VALUE!</v>
      </c>
      <c r="R64" t="e">
        <f>AND('STERLING CATALOG - DRY '!I1298,"AAAAAG3v/xE=")</f>
        <v>#VALUE!</v>
      </c>
      <c r="S64" t="e">
        <f>AND('STERLING CATALOG - DRY '!J1298,"AAAAAG3v/xI=")</f>
        <v>#VALUE!</v>
      </c>
      <c r="T64">
        <f>IF('STERLING CATALOG - DRY '!1299:1299,"AAAAAG3v/xM=",0)</f>
        <v>0</v>
      </c>
      <c r="U64" t="e">
        <f>AND('STERLING CATALOG - DRY '!A1299,"AAAAAG3v/xQ=")</f>
        <v>#VALUE!</v>
      </c>
      <c r="V64" t="e">
        <f>AND('STERLING CATALOG - DRY '!B1299,"AAAAAG3v/xU=")</f>
        <v>#VALUE!</v>
      </c>
      <c r="W64" t="e">
        <f>AND('STERLING CATALOG - DRY '!C1299,"AAAAAG3v/xY=")</f>
        <v>#VALUE!</v>
      </c>
      <c r="X64" t="e">
        <f>AND('STERLING CATALOG - DRY '!D1299,"AAAAAG3v/xc=")</f>
        <v>#VALUE!</v>
      </c>
      <c r="Y64" t="e">
        <f>AND('STERLING CATALOG - DRY '!E1299,"AAAAAG3v/xg=")</f>
        <v>#VALUE!</v>
      </c>
      <c r="Z64" t="e">
        <f>AND('STERLING CATALOG - DRY '!F1299,"AAAAAG3v/xk=")</f>
        <v>#VALUE!</v>
      </c>
      <c r="AA64" t="e">
        <f>AND('STERLING CATALOG - DRY '!G1299,"AAAAAG3v/xo=")</f>
        <v>#VALUE!</v>
      </c>
      <c r="AB64" t="e">
        <f>AND('STERLING CATALOG - DRY '!H1299,"AAAAAG3v/xs=")</f>
        <v>#VALUE!</v>
      </c>
      <c r="AC64" t="e">
        <f>AND('STERLING CATALOG - DRY '!I1299,"AAAAAG3v/xw=")</f>
        <v>#VALUE!</v>
      </c>
      <c r="AD64" t="e">
        <f>AND('STERLING CATALOG - DRY '!J1299,"AAAAAG3v/x0=")</f>
        <v>#VALUE!</v>
      </c>
      <c r="AE64">
        <f>IF('STERLING CATALOG - DRY '!1300:1300,"AAAAAG3v/x4=",0)</f>
        <v>0</v>
      </c>
      <c r="AF64" t="e">
        <f>AND('STERLING CATALOG - DRY '!A1300,"AAAAAG3v/x8=")</f>
        <v>#VALUE!</v>
      </c>
      <c r="AG64" t="e">
        <f>AND('STERLING CATALOG - DRY '!B1300,"AAAAAG3v/yA=")</f>
        <v>#VALUE!</v>
      </c>
      <c r="AH64" t="e">
        <f>AND('STERLING CATALOG - DRY '!C1300,"AAAAAG3v/yE=")</f>
        <v>#VALUE!</v>
      </c>
      <c r="AI64" t="e">
        <f>AND('STERLING CATALOG - DRY '!D1300,"AAAAAG3v/yI=")</f>
        <v>#VALUE!</v>
      </c>
      <c r="AJ64" t="e">
        <f>AND('STERLING CATALOG - DRY '!E1300,"AAAAAG3v/yM=")</f>
        <v>#VALUE!</v>
      </c>
      <c r="AK64" t="e">
        <f>AND('STERLING CATALOG - DRY '!F1300,"AAAAAG3v/yQ=")</f>
        <v>#VALUE!</v>
      </c>
      <c r="AL64" t="e">
        <f>AND('STERLING CATALOG - DRY '!G1300,"AAAAAG3v/yU=")</f>
        <v>#VALUE!</v>
      </c>
      <c r="AM64" t="e">
        <f>AND('STERLING CATALOG - DRY '!H1300,"AAAAAG3v/yY=")</f>
        <v>#VALUE!</v>
      </c>
      <c r="AN64" t="e">
        <f>AND('STERLING CATALOG - DRY '!I1300,"AAAAAG3v/yc=")</f>
        <v>#VALUE!</v>
      </c>
      <c r="AO64" t="e">
        <f>AND('STERLING CATALOG - DRY '!J1300,"AAAAAG3v/yg=")</f>
        <v>#VALUE!</v>
      </c>
      <c r="AP64">
        <f>IF('STERLING CATALOG - DRY '!1301:1301,"AAAAAG3v/yk=",0)</f>
        <v>0</v>
      </c>
      <c r="AQ64" t="e">
        <f>AND('STERLING CATALOG - DRY '!A1301,"AAAAAG3v/yo=")</f>
        <v>#VALUE!</v>
      </c>
      <c r="AR64" t="e">
        <f>AND('STERLING CATALOG - DRY '!B1301,"AAAAAG3v/ys=")</f>
        <v>#VALUE!</v>
      </c>
      <c r="AS64" t="e">
        <f>AND('STERLING CATALOG - DRY '!C1301,"AAAAAG3v/yw=")</f>
        <v>#VALUE!</v>
      </c>
      <c r="AT64" t="e">
        <f>AND('STERLING CATALOG - DRY '!D1301,"AAAAAG3v/y0=")</f>
        <v>#VALUE!</v>
      </c>
      <c r="AU64" t="e">
        <f>AND('STERLING CATALOG - DRY '!E1301,"AAAAAG3v/y4=")</f>
        <v>#VALUE!</v>
      </c>
      <c r="AV64" t="e">
        <f>AND('STERLING CATALOG - DRY '!F1301,"AAAAAG3v/y8=")</f>
        <v>#VALUE!</v>
      </c>
      <c r="AW64" t="e">
        <f>AND('STERLING CATALOG - DRY '!G1301,"AAAAAG3v/zA=")</f>
        <v>#VALUE!</v>
      </c>
      <c r="AX64" t="e">
        <f>AND('STERLING CATALOG - DRY '!H1301,"AAAAAG3v/zE=")</f>
        <v>#VALUE!</v>
      </c>
      <c r="AY64" t="e">
        <f>AND('STERLING CATALOG - DRY '!I1301,"AAAAAG3v/zI=")</f>
        <v>#VALUE!</v>
      </c>
      <c r="AZ64" t="e">
        <f>AND('STERLING CATALOG - DRY '!J1301,"AAAAAG3v/zM=")</f>
        <v>#VALUE!</v>
      </c>
      <c r="BA64">
        <f>IF('STERLING CATALOG - DRY '!1302:1302,"AAAAAG3v/zQ=",0)</f>
        <v>0</v>
      </c>
      <c r="BB64" t="e">
        <f>AND('STERLING CATALOG - DRY '!A1302,"AAAAAG3v/zU=")</f>
        <v>#VALUE!</v>
      </c>
      <c r="BC64" t="e">
        <f>AND('STERLING CATALOG - DRY '!B1302,"AAAAAG3v/zY=")</f>
        <v>#VALUE!</v>
      </c>
      <c r="BD64" t="e">
        <f>AND('STERLING CATALOG - DRY '!C1302,"AAAAAG3v/zc=")</f>
        <v>#VALUE!</v>
      </c>
      <c r="BE64" t="e">
        <f>AND('STERLING CATALOG - DRY '!D1302,"AAAAAG3v/zg=")</f>
        <v>#VALUE!</v>
      </c>
      <c r="BF64" t="e">
        <f>AND('STERLING CATALOG - DRY '!E1302,"AAAAAG3v/zk=")</f>
        <v>#VALUE!</v>
      </c>
      <c r="BG64" t="e">
        <f>AND('STERLING CATALOG - DRY '!F1302,"AAAAAG3v/zo=")</f>
        <v>#VALUE!</v>
      </c>
      <c r="BH64" t="e">
        <f>AND('STERLING CATALOG - DRY '!G1302,"AAAAAG3v/zs=")</f>
        <v>#VALUE!</v>
      </c>
      <c r="BI64" t="e">
        <f>AND('STERLING CATALOG - DRY '!H1302,"AAAAAG3v/zw=")</f>
        <v>#VALUE!</v>
      </c>
      <c r="BJ64" t="e">
        <f>AND('STERLING CATALOG - DRY '!I1302,"AAAAAG3v/z0=")</f>
        <v>#VALUE!</v>
      </c>
      <c r="BK64" t="e">
        <f>AND('STERLING CATALOG - DRY '!J1302,"AAAAAG3v/z4=")</f>
        <v>#VALUE!</v>
      </c>
      <c r="BL64">
        <f>IF('STERLING CATALOG - DRY '!1303:1303,"AAAAAG3v/z8=",0)</f>
        <v>0</v>
      </c>
      <c r="BM64" t="e">
        <f>AND('STERLING CATALOG - DRY '!A1303,"AAAAAG3v/0A=")</f>
        <v>#VALUE!</v>
      </c>
      <c r="BN64" t="e">
        <f>AND('STERLING CATALOG - DRY '!B1303,"AAAAAG3v/0E=")</f>
        <v>#VALUE!</v>
      </c>
      <c r="BO64" t="e">
        <f>AND('STERLING CATALOG - DRY '!C1303,"AAAAAG3v/0I=")</f>
        <v>#VALUE!</v>
      </c>
      <c r="BP64" t="e">
        <f>AND('STERLING CATALOG - DRY '!D1303,"AAAAAG3v/0M=")</f>
        <v>#VALUE!</v>
      </c>
      <c r="BQ64" t="e">
        <f>AND('STERLING CATALOG - DRY '!E1303,"AAAAAG3v/0Q=")</f>
        <v>#VALUE!</v>
      </c>
      <c r="BR64" t="e">
        <f>AND('STERLING CATALOG - DRY '!F1303,"AAAAAG3v/0U=")</f>
        <v>#VALUE!</v>
      </c>
      <c r="BS64" t="e">
        <f>AND('STERLING CATALOG - DRY '!G1303,"AAAAAG3v/0Y=")</f>
        <v>#VALUE!</v>
      </c>
      <c r="BT64" t="e">
        <f>AND('STERLING CATALOG - DRY '!H1303,"AAAAAG3v/0c=")</f>
        <v>#VALUE!</v>
      </c>
      <c r="BU64" t="e">
        <f>AND('STERLING CATALOG - DRY '!I1303,"AAAAAG3v/0g=")</f>
        <v>#VALUE!</v>
      </c>
      <c r="BV64" t="e">
        <f>AND('STERLING CATALOG - DRY '!J1303,"AAAAAG3v/0k=")</f>
        <v>#VALUE!</v>
      </c>
      <c r="BW64">
        <f>IF('STERLING CATALOG - DRY '!1304:1304,"AAAAAG3v/0o=",0)</f>
        <v>0</v>
      </c>
      <c r="BX64" t="e">
        <f>AND('STERLING CATALOG - DRY '!A1304,"AAAAAG3v/0s=")</f>
        <v>#VALUE!</v>
      </c>
      <c r="BY64" t="e">
        <f>AND('STERLING CATALOG - DRY '!B1304,"AAAAAG3v/0w=")</f>
        <v>#VALUE!</v>
      </c>
      <c r="BZ64" t="e">
        <f>AND('STERLING CATALOG - DRY '!C1304,"AAAAAG3v/00=")</f>
        <v>#VALUE!</v>
      </c>
      <c r="CA64" t="e">
        <f>AND('STERLING CATALOG - DRY '!D1304,"AAAAAG3v/04=")</f>
        <v>#VALUE!</v>
      </c>
      <c r="CB64" t="e">
        <f>AND('STERLING CATALOG - DRY '!E1304,"AAAAAG3v/08=")</f>
        <v>#VALUE!</v>
      </c>
      <c r="CC64" t="e">
        <f>AND('STERLING CATALOG - DRY '!F1304,"AAAAAG3v/1A=")</f>
        <v>#VALUE!</v>
      </c>
      <c r="CD64" t="e">
        <f>AND('STERLING CATALOG - DRY '!G1304,"AAAAAG3v/1E=")</f>
        <v>#VALUE!</v>
      </c>
      <c r="CE64" t="e">
        <f>AND('STERLING CATALOG - DRY '!H1304,"AAAAAG3v/1I=")</f>
        <v>#VALUE!</v>
      </c>
      <c r="CF64" t="e">
        <f>AND('STERLING CATALOG - DRY '!I1304,"AAAAAG3v/1M=")</f>
        <v>#VALUE!</v>
      </c>
      <c r="CG64" t="e">
        <f>AND('STERLING CATALOG - DRY '!J1304,"AAAAAG3v/1Q=")</f>
        <v>#VALUE!</v>
      </c>
      <c r="CH64">
        <f>IF('STERLING CATALOG - DRY '!1305:1305,"AAAAAG3v/1U=",0)</f>
        <v>0</v>
      </c>
      <c r="CI64" t="e">
        <f>AND('STERLING CATALOG - DRY '!A1305,"AAAAAG3v/1Y=")</f>
        <v>#VALUE!</v>
      </c>
      <c r="CJ64" t="e">
        <f>AND('STERLING CATALOG - DRY '!B1305,"AAAAAG3v/1c=")</f>
        <v>#VALUE!</v>
      </c>
      <c r="CK64" t="e">
        <f>AND('STERLING CATALOG - DRY '!C1305,"AAAAAG3v/1g=")</f>
        <v>#VALUE!</v>
      </c>
      <c r="CL64" t="e">
        <f>AND('STERLING CATALOG - DRY '!D1305,"AAAAAG3v/1k=")</f>
        <v>#VALUE!</v>
      </c>
      <c r="CM64" t="e">
        <f>AND('STERLING CATALOG - DRY '!E1305,"AAAAAG3v/1o=")</f>
        <v>#VALUE!</v>
      </c>
      <c r="CN64" t="e">
        <f>AND('STERLING CATALOG - DRY '!F1305,"AAAAAG3v/1s=")</f>
        <v>#VALUE!</v>
      </c>
      <c r="CO64" t="e">
        <f>AND('STERLING CATALOG - DRY '!G1305,"AAAAAG3v/1w=")</f>
        <v>#VALUE!</v>
      </c>
      <c r="CP64" t="e">
        <f>AND('STERLING CATALOG - DRY '!H1305,"AAAAAG3v/10=")</f>
        <v>#VALUE!</v>
      </c>
      <c r="CQ64" t="e">
        <f>AND('STERLING CATALOG - DRY '!I1305,"AAAAAG3v/14=")</f>
        <v>#VALUE!</v>
      </c>
      <c r="CR64" t="e">
        <f>AND('STERLING CATALOG - DRY '!J1305,"AAAAAG3v/18=")</f>
        <v>#VALUE!</v>
      </c>
      <c r="CS64">
        <f>IF('STERLING CATALOG - DRY '!1306:1306,"AAAAAG3v/2A=",0)</f>
        <v>0</v>
      </c>
      <c r="CT64" t="e">
        <f>AND('STERLING CATALOG - DRY '!A1306,"AAAAAG3v/2E=")</f>
        <v>#VALUE!</v>
      </c>
      <c r="CU64" t="e">
        <f>AND('STERLING CATALOG - DRY '!B1306,"AAAAAG3v/2I=")</f>
        <v>#VALUE!</v>
      </c>
      <c r="CV64" t="e">
        <f>AND('STERLING CATALOG - DRY '!C1306,"AAAAAG3v/2M=")</f>
        <v>#VALUE!</v>
      </c>
      <c r="CW64" t="e">
        <f>AND('STERLING CATALOG - DRY '!D1306,"AAAAAG3v/2Q=")</f>
        <v>#VALUE!</v>
      </c>
      <c r="CX64" t="e">
        <f>AND('STERLING CATALOG - DRY '!E1306,"AAAAAG3v/2U=")</f>
        <v>#VALUE!</v>
      </c>
      <c r="CY64" t="e">
        <f>AND('STERLING CATALOG - DRY '!F1306,"AAAAAG3v/2Y=")</f>
        <v>#VALUE!</v>
      </c>
      <c r="CZ64" t="e">
        <f>AND('STERLING CATALOG - DRY '!G1306,"AAAAAG3v/2c=")</f>
        <v>#VALUE!</v>
      </c>
      <c r="DA64" t="e">
        <f>AND('STERLING CATALOG - DRY '!H1306,"AAAAAG3v/2g=")</f>
        <v>#VALUE!</v>
      </c>
      <c r="DB64" t="e">
        <f>AND('STERLING CATALOG - DRY '!I1306,"AAAAAG3v/2k=")</f>
        <v>#VALUE!</v>
      </c>
      <c r="DC64" t="e">
        <f>AND('STERLING CATALOG - DRY '!J1306,"AAAAAG3v/2o=")</f>
        <v>#VALUE!</v>
      </c>
      <c r="DD64">
        <f>IF('STERLING CATALOG - DRY '!1307:1307,"AAAAAG3v/2s=",0)</f>
        <v>0</v>
      </c>
      <c r="DE64" t="e">
        <f>AND('STERLING CATALOG - DRY '!A1307,"AAAAAG3v/2w=")</f>
        <v>#VALUE!</v>
      </c>
      <c r="DF64" t="e">
        <f>AND('STERLING CATALOG - DRY '!B1307,"AAAAAG3v/20=")</f>
        <v>#VALUE!</v>
      </c>
      <c r="DG64" t="e">
        <f>AND('STERLING CATALOG - DRY '!C1307,"AAAAAG3v/24=")</f>
        <v>#VALUE!</v>
      </c>
      <c r="DH64" t="e">
        <f>AND('STERLING CATALOG - DRY '!D1307,"AAAAAG3v/28=")</f>
        <v>#VALUE!</v>
      </c>
      <c r="DI64" t="e">
        <f>AND('STERLING CATALOG - DRY '!E1307,"AAAAAG3v/3A=")</f>
        <v>#VALUE!</v>
      </c>
      <c r="DJ64" t="e">
        <f>AND('STERLING CATALOG - DRY '!F1307,"AAAAAG3v/3E=")</f>
        <v>#VALUE!</v>
      </c>
      <c r="DK64" t="e">
        <f>AND('STERLING CATALOG - DRY '!G1307,"AAAAAG3v/3I=")</f>
        <v>#VALUE!</v>
      </c>
      <c r="DL64" t="e">
        <f>AND('STERLING CATALOG - DRY '!H1307,"AAAAAG3v/3M=")</f>
        <v>#VALUE!</v>
      </c>
      <c r="DM64" t="e">
        <f>AND('STERLING CATALOG - DRY '!I1307,"AAAAAG3v/3Q=")</f>
        <v>#VALUE!</v>
      </c>
      <c r="DN64" t="e">
        <f>AND('STERLING CATALOG - DRY '!J1307,"AAAAAG3v/3U=")</f>
        <v>#VALUE!</v>
      </c>
      <c r="DO64">
        <f>IF('STERLING CATALOG - DRY '!1308:1308,"AAAAAG3v/3Y=",0)</f>
        <v>0</v>
      </c>
      <c r="DP64" t="e">
        <f>AND('STERLING CATALOG - DRY '!A1308,"AAAAAG3v/3c=")</f>
        <v>#VALUE!</v>
      </c>
      <c r="DQ64" t="e">
        <f>AND('STERLING CATALOG - DRY '!B1308,"AAAAAG3v/3g=")</f>
        <v>#VALUE!</v>
      </c>
      <c r="DR64" t="e">
        <f>AND('STERLING CATALOG - DRY '!C1308,"AAAAAG3v/3k=")</f>
        <v>#VALUE!</v>
      </c>
      <c r="DS64" t="e">
        <f>AND('STERLING CATALOG - DRY '!D1308,"AAAAAG3v/3o=")</f>
        <v>#VALUE!</v>
      </c>
      <c r="DT64" t="e">
        <f>AND('STERLING CATALOG - DRY '!E1308,"AAAAAG3v/3s=")</f>
        <v>#VALUE!</v>
      </c>
      <c r="DU64" t="e">
        <f>AND('STERLING CATALOG - DRY '!F1308,"AAAAAG3v/3w=")</f>
        <v>#VALUE!</v>
      </c>
      <c r="DV64" t="e">
        <f>AND('STERLING CATALOG - DRY '!G1308,"AAAAAG3v/30=")</f>
        <v>#VALUE!</v>
      </c>
      <c r="DW64" t="e">
        <f>AND('STERLING CATALOG - DRY '!H1308,"AAAAAG3v/34=")</f>
        <v>#VALUE!</v>
      </c>
      <c r="DX64" t="e">
        <f>AND('STERLING CATALOG - DRY '!I1308,"AAAAAG3v/38=")</f>
        <v>#VALUE!</v>
      </c>
      <c r="DY64" t="e">
        <f>AND('STERLING CATALOG - DRY '!J1308,"AAAAAG3v/4A=")</f>
        <v>#VALUE!</v>
      </c>
      <c r="DZ64">
        <f>IF('STERLING CATALOG - DRY '!1309:1309,"AAAAAG3v/4E=",0)</f>
        <v>0</v>
      </c>
      <c r="EA64" t="e">
        <f>AND('STERLING CATALOG - DRY '!A1309,"AAAAAG3v/4I=")</f>
        <v>#VALUE!</v>
      </c>
      <c r="EB64" t="e">
        <f>AND('STERLING CATALOG - DRY '!B1309,"AAAAAG3v/4M=")</f>
        <v>#VALUE!</v>
      </c>
      <c r="EC64" t="e">
        <f>AND('STERLING CATALOG - DRY '!C1309,"AAAAAG3v/4Q=")</f>
        <v>#VALUE!</v>
      </c>
      <c r="ED64" t="e">
        <f>AND('STERLING CATALOG - DRY '!D1309,"AAAAAG3v/4U=")</f>
        <v>#VALUE!</v>
      </c>
      <c r="EE64" t="e">
        <f>AND('STERLING CATALOG - DRY '!E1309,"AAAAAG3v/4Y=")</f>
        <v>#VALUE!</v>
      </c>
      <c r="EF64" t="e">
        <f>AND('STERLING CATALOG - DRY '!F1309,"AAAAAG3v/4c=")</f>
        <v>#VALUE!</v>
      </c>
      <c r="EG64" t="e">
        <f>AND('STERLING CATALOG - DRY '!G1309,"AAAAAG3v/4g=")</f>
        <v>#VALUE!</v>
      </c>
      <c r="EH64" t="e">
        <f>AND('STERLING CATALOG - DRY '!H1309,"AAAAAG3v/4k=")</f>
        <v>#VALUE!</v>
      </c>
      <c r="EI64" t="e">
        <f>AND('STERLING CATALOG - DRY '!I1309,"AAAAAG3v/4o=")</f>
        <v>#VALUE!</v>
      </c>
      <c r="EJ64" t="e">
        <f>AND('STERLING CATALOG - DRY '!J1309,"AAAAAG3v/4s=")</f>
        <v>#VALUE!</v>
      </c>
      <c r="EK64">
        <f>IF('STERLING CATALOG - DRY '!1310:1310,"AAAAAG3v/4w=",0)</f>
        <v>0</v>
      </c>
      <c r="EL64" t="e">
        <f>AND('STERLING CATALOG - DRY '!A1310,"AAAAAG3v/40=")</f>
        <v>#VALUE!</v>
      </c>
      <c r="EM64" t="e">
        <f>AND('STERLING CATALOG - DRY '!B1310,"AAAAAG3v/44=")</f>
        <v>#VALUE!</v>
      </c>
      <c r="EN64" t="e">
        <f>AND('STERLING CATALOG - DRY '!C1310,"AAAAAG3v/48=")</f>
        <v>#VALUE!</v>
      </c>
      <c r="EO64" t="e">
        <f>AND('STERLING CATALOG - DRY '!D1310,"AAAAAG3v/5A=")</f>
        <v>#VALUE!</v>
      </c>
      <c r="EP64" t="e">
        <f>AND('STERLING CATALOG - DRY '!E1310,"AAAAAG3v/5E=")</f>
        <v>#VALUE!</v>
      </c>
      <c r="EQ64" t="e">
        <f>AND('STERLING CATALOG - DRY '!F1310,"AAAAAG3v/5I=")</f>
        <v>#VALUE!</v>
      </c>
      <c r="ER64" t="e">
        <f>AND('STERLING CATALOG - DRY '!G1310,"AAAAAG3v/5M=")</f>
        <v>#VALUE!</v>
      </c>
      <c r="ES64" t="e">
        <f>AND('STERLING CATALOG - DRY '!H1310,"AAAAAG3v/5Q=")</f>
        <v>#VALUE!</v>
      </c>
      <c r="ET64" t="e">
        <f>AND('STERLING CATALOG - DRY '!I1310,"AAAAAG3v/5U=")</f>
        <v>#VALUE!</v>
      </c>
      <c r="EU64" t="e">
        <f>AND('STERLING CATALOG - DRY '!J1310,"AAAAAG3v/5Y=")</f>
        <v>#VALUE!</v>
      </c>
      <c r="EV64">
        <f>IF('STERLING CATALOG - DRY '!1311:1311,"AAAAAG3v/5c=",0)</f>
        <v>0</v>
      </c>
      <c r="EW64" t="e">
        <f>AND('STERLING CATALOG - DRY '!A1311,"AAAAAG3v/5g=")</f>
        <v>#VALUE!</v>
      </c>
      <c r="EX64" t="e">
        <f>AND('STERLING CATALOG - DRY '!B1311,"AAAAAG3v/5k=")</f>
        <v>#VALUE!</v>
      </c>
      <c r="EY64" t="e">
        <f>AND('STERLING CATALOG - DRY '!C1311,"AAAAAG3v/5o=")</f>
        <v>#VALUE!</v>
      </c>
      <c r="EZ64" t="e">
        <f>AND('STERLING CATALOG - DRY '!D1311,"AAAAAG3v/5s=")</f>
        <v>#VALUE!</v>
      </c>
      <c r="FA64" t="e">
        <f>AND('STERLING CATALOG - DRY '!E1311,"AAAAAG3v/5w=")</f>
        <v>#VALUE!</v>
      </c>
      <c r="FB64" t="e">
        <f>AND('STERLING CATALOG - DRY '!F1311,"AAAAAG3v/50=")</f>
        <v>#VALUE!</v>
      </c>
      <c r="FC64" t="e">
        <f>AND('STERLING CATALOG - DRY '!G1311,"AAAAAG3v/54=")</f>
        <v>#VALUE!</v>
      </c>
      <c r="FD64" t="e">
        <f>AND('STERLING CATALOG - DRY '!H1311,"AAAAAG3v/58=")</f>
        <v>#VALUE!</v>
      </c>
      <c r="FE64" t="e">
        <f>AND('STERLING CATALOG - DRY '!I1311,"AAAAAG3v/6A=")</f>
        <v>#VALUE!</v>
      </c>
      <c r="FF64" t="e">
        <f>AND('STERLING CATALOG - DRY '!J1311,"AAAAAG3v/6E=")</f>
        <v>#VALUE!</v>
      </c>
      <c r="FG64">
        <f>IF('STERLING CATALOG - DRY '!1312:1312,"AAAAAG3v/6I=",0)</f>
        <v>0</v>
      </c>
      <c r="FH64" t="e">
        <f>AND('STERLING CATALOG - DRY '!A1312,"AAAAAG3v/6M=")</f>
        <v>#VALUE!</v>
      </c>
      <c r="FI64" t="e">
        <f>AND('STERLING CATALOG - DRY '!B1312,"AAAAAG3v/6Q=")</f>
        <v>#VALUE!</v>
      </c>
      <c r="FJ64" t="e">
        <f>AND('STERLING CATALOG - DRY '!C1312,"AAAAAG3v/6U=")</f>
        <v>#VALUE!</v>
      </c>
      <c r="FK64" t="e">
        <f>AND('STERLING CATALOG - DRY '!D1312,"AAAAAG3v/6Y=")</f>
        <v>#VALUE!</v>
      </c>
      <c r="FL64" t="e">
        <f>AND('STERLING CATALOG - DRY '!E1312,"AAAAAG3v/6c=")</f>
        <v>#VALUE!</v>
      </c>
      <c r="FM64" t="e">
        <f>AND('STERLING CATALOG - DRY '!F1312,"AAAAAG3v/6g=")</f>
        <v>#VALUE!</v>
      </c>
      <c r="FN64" t="e">
        <f>AND('STERLING CATALOG - DRY '!G1312,"AAAAAG3v/6k=")</f>
        <v>#VALUE!</v>
      </c>
      <c r="FO64" t="e">
        <f>AND('STERLING CATALOG - DRY '!H1312,"AAAAAG3v/6o=")</f>
        <v>#VALUE!</v>
      </c>
      <c r="FP64" t="e">
        <f>AND('STERLING CATALOG - DRY '!I1312,"AAAAAG3v/6s=")</f>
        <v>#VALUE!</v>
      </c>
      <c r="FQ64" t="e">
        <f>AND('STERLING CATALOG - DRY '!J1312,"AAAAAG3v/6w=")</f>
        <v>#VALUE!</v>
      </c>
      <c r="FR64">
        <f>IF('STERLING CATALOG - DRY '!1313:1313,"AAAAAG3v/60=",0)</f>
        <v>0</v>
      </c>
      <c r="FS64" t="e">
        <f>AND('STERLING CATALOG - DRY '!A1313,"AAAAAG3v/64=")</f>
        <v>#VALUE!</v>
      </c>
      <c r="FT64" t="e">
        <f>AND('STERLING CATALOG - DRY '!B1313,"AAAAAG3v/68=")</f>
        <v>#VALUE!</v>
      </c>
      <c r="FU64" t="e">
        <f>AND('STERLING CATALOG - DRY '!C1313,"AAAAAG3v/7A=")</f>
        <v>#VALUE!</v>
      </c>
      <c r="FV64" t="e">
        <f>AND('STERLING CATALOG - DRY '!D1313,"AAAAAG3v/7E=")</f>
        <v>#VALUE!</v>
      </c>
      <c r="FW64" t="e">
        <f>AND('STERLING CATALOG - DRY '!E1313,"AAAAAG3v/7I=")</f>
        <v>#VALUE!</v>
      </c>
      <c r="FX64" t="e">
        <f>AND('STERLING CATALOG - DRY '!F1313,"AAAAAG3v/7M=")</f>
        <v>#VALUE!</v>
      </c>
      <c r="FY64" t="e">
        <f>AND('STERLING CATALOG - DRY '!G1313,"AAAAAG3v/7Q=")</f>
        <v>#VALUE!</v>
      </c>
      <c r="FZ64" t="e">
        <f>AND('STERLING CATALOG - DRY '!H1313,"AAAAAG3v/7U=")</f>
        <v>#VALUE!</v>
      </c>
      <c r="GA64" t="e">
        <f>AND('STERLING CATALOG - DRY '!I1313,"AAAAAG3v/7Y=")</f>
        <v>#VALUE!</v>
      </c>
      <c r="GB64" t="e">
        <f>AND('STERLING CATALOG - DRY '!J1313,"AAAAAG3v/7c=")</f>
        <v>#VALUE!</v>
      </c>
      <c r="GC64">
        <f>IF('STERLING CATALOG - DRY '!1314:1314,"AAAAAG3v/7g=",0)</f>
        <v>0</v>
      </c>
      <c r="GD64" t="e">
        <f>AND('STERLING CATALOG - DRY '!A1314,"AAAAAG3v/7k=")</f>
        <v>#VALUE!</v>
      </c>
      <c r="GE64" t="e">
        <f>AND('STERLING CATALOG - DRY '!B1314,"AAAAAG3v/7o=")</f>
        <v>#VALUE!</v>
      </c>
      <c r="GF64" t="e">
        <f>AND('STERLING CATALOG - DRY '!C1314,"AAAAAG3v/7s=")</f>
        <v>#VALUE!</v>
      </c>
      <c r="GG64" t="e">
        <f>AND('STERLING CATALOG - DRY '!D1314,"AAAAAG3v/7w=")</f>
        <v>#VALUE!</v>
      </c>
      <c r="GH64" t="e">
        <f>AND('STERLING CATALOG - DRY '!E1314,"AAAAAG3v/70=")</f>
        <v>#VALUE!</v>
      </c>
      <c r="GI64" t="e">
        <f>AND('STERLING CATALOG - DRY '!F1314,"AAAAAG3v/74=")</f>
        <v>#VALUE!</v>
      </c>
      <c r="GJ64" t="e">
        <f>AND('STERLING CATALOG - DRY '!G1314,"AAAAAG3v/78=")</f>
        <v>#VALUE!</v>
      </c>
      <c r="GK64" t="e">
        <f>AND('STERLING CATALOG - DRY '!H1314,"AAAAAG3v/8A=")</f>
        <v>#VALUE!</v>
      </c>
      <c r="GL64" t="e">
        <f>AND('STERLING CATALOG - DRY '!I1314,"AAAAAG3v/8E=")</f>
        <v>#VALUE!</v>
      </c>
      <c r="GM64" t="e">
        <f>AND('STERLING CATALOG - DRY '!J1314,"AAAAAG3v/8I=")</f>
        <v>#VALUE!</v>
      </c>
      <c r="GN64">
        <f>IF('STERLING CATALOG - DRY '!1315:1315,"AAAAAG3v/8M=",0)</f>
        <v>0</v>
      </c>
      <c r="GO64" t="e">
        <f>AND('STERLING CATALOG - DRY '!A1315,"AAAAAG3v/8Q=")</f>
        <v>#VALUE!</v>
      </c>
      <c r="GP64" t="e">
        <f>AND('STERLING CATALOG - DRY '!B1315,"AAAAAG3v/8U=")</f>
        <v>#VALUE!</v>
      </c>
      <c r="GQ64" t="e">
        <f>AND('STERLING CATALOG - DRY '!C1315,"AAAAAG3v/8Y=")</f>
        <v>#VALUE!</v>
      </c>
      <c r="GR64" t="e">
        <f>AND('STERLING CATALOG - DRY '!D1315,"AAAAAG3v/8c=")</f>
        <v>#VALUE!</v>
      </c>
      <c r="GS64" t="e">
        <f>AND('STERLING CATALOG - DRY '!E1315,"AAAAAG3v/8g=")</f>
        <v>#VALUE!</v>
      </c>
      <c r="GT64" t="e">
        <f>AND('STERLING CATALOG - DRY '!F1315,"AAAAAG3v/8k=")</f>
        <v>#VALUE!</v>
      </c>
      <c r="GU64" t="e">
        <f>AND('STERLING CATALOG - DRY '!G1315,"AAAAAG3v/8o=")</f>
        <v>#VALUE!</v>
      </c>
      <c r="GV64" t="e">
        <f>AND('STERLING CATALOG - DRY '!H1315,"AAAAAG3v/8s=")</f>
        <v>#VALUE!</v>
      </c>
      <c r="GW64" t="e">
        <f>AND('STERLING CATALOG - DRY '!I1315,"AAAAAG3v/8w=")</f>
        <v>#VALUE!</v>
      </c>
      <c r="GX64" t="e">
        <f>AND('STERLING CATALOG - DRY '!J1315,"AAAAAG3v/80=")</f>
        <v>#VALUE!</v>
      </c>
      <c r="GY64">
        <f>IF('STERLING CATALOG - DRY '!1316:1316,"AAAAAG3v/84=",0)</f>
        <v>0</v>
      </c>
      <c r="GZ64" t="e">
        <f>AND('STERLING CATALOG - DRY '!A1316,"AAAAAG3v/88=")</f>
        <v>#VALUE!</v>
      </c>
      <c r="HA64" t="e">
        <f>AND('STERLING CATALOG - DRY '!B1316,"AAAAAG3v/9A=")</f>
        <v>#VALUE!</v>
      </c>
      <c r="HB64" t="e">
        <f>AND('STERLING CATALOG - DRY '!C1316,"AAAAAG3v/9E=")</f>
        <v>#VALUE!</v>
      </c>
      <c r="HC64" t="e">
        <f>AND('STERLING CATALOG - DRY '!D1316,"AAAAAG3v/9I=")</f>
        <v>#VALUE!</v>
      </c>
      <c r="HD64" t="e">
        <f>AND('STERLING CATALOG - DRY '!E1316,"AAAAAG3v/9M=")</f>
        <v>#VALUE!</v>
      </c>
      <c r="HE64" t="e">
        <f>AND('STERLING CATALOG - DRY '!F1316,"AAAAAG3v/9Q=")</f>
        <v>#VALUE!</v>
      </c>
      <c r="HF64" t="e">
        <f>AND('STERLING CATALOG - DRY '!G1316,"AAAAAG3v/9U=")</f>
        <v>#VALUE!</v>
      </c>
      <c r="HG64" t="e">
        <f>AND('STERLING CATALOG - DRY '!H1316,"AAAAAG3v/9Y=")</f>
        <v>#VALUE!</v>
      </c>
      <c r="HH64" t="e">
        <f>AND('STERLING CATALOG - DRY '!I1316,"AAAAAG3v/9c=")</f>
        <v>#VALUE!</v>
      </c>
      <c r="HI64" t="e">
        <f>AND('STERLING CATALOG - DRY '!J1316,"AAAAAG3v/9g=")</f>
        <v>#VALUE!</v>
      </c>
      <c r="HJ64">
        <f>IF('STERLING CATALOG - DRY '!1317:1317,"AAAAAG3v/9k=",0)</f>
        <v>0</v>
      </c>
      <c r="HK64" t="e">
        <f>AND('STERLING CATALOG - DRY '!A1317,"AAAAAG3v/9o=")</f>
        <v>#VALUE!</v>
      </c>
      <c r="HL64" t="e">
        <f>AND('STERLING CATALOG - DRY '!B1317,"AAAAAG3v/9s=")</f>
        <v>#VALUE!</v>
      </c>
      <c r="HM64" t="e">
        <f>AND('STERLING CATALOG - DRY '!C1317,"AAAAAG3v/9w=")</f>
        <v>#VALUE!</v>
      </c>
      <c r="HN64" t="e">
        <f>AND('STERLING CATALOG - DRY '!D1317,"AAAAAG3v/90=")</f>
        <v>#VALUE!</v>
      </c>
      <c r="HO64" t="e">
        <f>AND('STERLING CATALOG - DRY '!E1317,"AAAAAG3v/94=")</f>
        <v>#VALUE!</v>
      </c>
      <c r="HP64" t="e">
        <f>AND('STERLING CATALOG - DRY '!F1317,"AAAAAG3v/98=")</f>
        <v>#VALUE!</v>
      </c>
      <c r="HQ64" t="e">
        <f>AND('STERLING CATALOG - DRY '!G1317,"AAAAAG3v/+A=")</f>
        <v>#VALUE!</v>
      </c>
      <c r="HR64" t="e">
        <f>AND('STERLING CATALOG - DRY '!H1317,"AAAAAG3v/+E=")</f>
        <v>#VALUE!</v>
      </c>
      <c r="HS64" t="e">
        <f>AND('STERLING CATALOG - DRY '!I1317,"AAAAAG3v/+I=")</f>
        <v>#VALUE!</v>
      </c>
      <c r="HT64" t="e">
        <f>AND('STERLING CATALOG - DRY '!J1317,"AAAAAG3v/+M=")</f>
        <v>#VALUE!</v>
      </c>
      <c r="HU64">
        <f>IF('STERLING CATALOG - DRY '!1318:1318,"AAAAAG3v/+Q=",0)</f>
        <v>0</v>
      </c>
      <c r="HV64" t="e">
        <f>AND('STERLING CATALOG - DRY '!A1318,"AAAAAG3v/+U=")</f>
        <v>#VALUE!</v>
      </c>
      <c r="HW64" t="e">
        <f>AND('STERLING CATALOG - DRY '!B1318,"AAAAAG3v/+Y=")</f>
        <v>#VALUE!</v>
      </c>
      <c r="HX64" t="e">
        <f>AND('STERLING CATALOG - DRY '!C1318,"AAAAAG3v/+c=")</f>
        <v>#VALUE!</v>
      </c>
      <c r="HY64" t="e">
        <f>AND('STERLING CATALOG - DRY '!D1318,"AAAAAG3v/+g=")</f>
        <v>#VALUE!</v>
      </c>
      <c r="HZ64" t="e">
        <f>AND('STERLING CATALOG - DRY '!E1318,"AAAAAG3v/+k=")</f>
        <v>#VALUE!</v>
      </c>
      <c r="IA64" t="e">
        <f>AND('STERLING CATALOG - DRY '!F1318,"AAAAAG3v/+o=")</f>
        <v>#VALUE!</v>
      </c>
      <c r="IB64" t="e">
        <f>AND('STERLING CATALOG - DRY '!G1318,"AAAAAG3v/+s=")</f>
        <v>#VALUE!</v>
      </c>
      <c r="IC64" t="e">
        <f>AND('STERLING CATALOG - DRY '!H1318,"AAAAAG3v/+w=")</f>
        <v>#VALUE!</v>
      </c>
      <c r="ID64" t="e">
        <f>AND('STERLING CATALOG - DRY '!I1318,"AAAAAG3v/+0=")</f>
        <v>#VALUE!</v>
      </c>
      <c r="IE64" t="e">
        <f>AND('STERLING CATALOG - DRY '!J1318,"AAAAAG3v/+4=")</f>
        <v>#VALUE!</v>
      </c>
      <c r="IF64">
        <f>IF('STERLING CATALOG - DRY '!1319:1319,"AAAAAG3v/+8=",0)</f>
        <v>0</v>
      </c>
      <c r="IG64" t="e">
        <f>AND('STERLING CATALOG - DRY '!A1319,"AAAAAG3v//A=")</f>
        <v>#VALUE!</v>
      </c>
      <c r="IH64" t="e">
        <f>AND('STERLING CATALOG - DRY '!B1319,"AAAAAG3v//E=")</f>
        <v>#VALUE!</v>
      </c>
      <c r="II64" t="e">
        <f>AND('STERLING CATALOG - DRY '!C1319,"AAAAAG3v//I=")</f>
        <v>#VALUE!</v>
      </c>
      <c r="IJ64" t="e">
        <f>AND('STERLING CATALOG - DRY '!D1319,"AAAAAG3v//M=")</f>
        <v>#VALUE!</v>
      </c>
      <c r="IK64" t="e">
        <f>AND('STERLING CATALOG - DRY '!E1319,"AAAAAG3v//Q=")</f>
        <v>#VALUE!</v>
      </c>
      <c r="IL64" t="e">
        <f>AND('STERLING CATALOG - DRY '!F1319,"AAAAAG3v//U=")</f>
        <v>#VALUE!</v>
      </c>
      <c r="IM64" t="e">
        <f>AND('STERLING CATALOG - DRY '!G1319,"AAAAAG3v//Y=")</f>
        <v>#VALUE!</v>
      </c>
      <c r="IN64" t="e">
        <f>AND('STERLING CATALOG - DRY '!H1319,"AAAAAG3v//c=")</f>
        <v>#VALUE!</v>
      </c>
      <c r="IO64" t="e">
        <f>AND('STERLING CATALOG - DRY '!I1319,"AAAAAG3v//g=")</f>
        <v>#VALUE!</v>
      </c>
      <c r="IP64" t="e">
        <f>AND('STERLING CATALOG - DRY '!J1319,"AAAAAG3v//k=")</f>
        <v>#VALUE!</v>
      </c>
      <c r="IQ64">
        <f>IF('STERLING CATALOG - DRY '!1320:1320,"AAAAAG3v//o=",0)</f>
        <v>0</v>
      </c>
      <c r="IR64" t="e">
        <f>AND('STERLING CATALOG - DRY '!A1320,"AAAAAG3v//s=")</f>
        <v>#VALUE!</v>
      </c>
      <c r="IS64" t="e">
        <f>AND('STERLING CATALOG - DRY '!B1320,"AAAAAG3v//w=")</f>
        <v>#VALUE!</v>
      </c>
      <c r="IT64" t="e">
        <f>AND('STERLING CATALOG - DRY '!C1320,"AAAAAG3v//0=")</f>
        <v>#VALUE!</v>
      </c>
      <c r="IU64" t="e">
        <f>AND('STERLING CATALOG - DRY '!D1320,"AAAAAG3v//4=")</f>
        <v>#VALUE!</v>
      </c>
      <c r="IV64" t="e">
        <f>AND('STERLING CATALOG - DRY '!E1320,"AAAAAG3v//8=")</f>
        <v>#VALUE!</v>
      </c>
    </row>
    <row r="65" spans="1:256">
      <c r="A65" t="e">
        <f>AND('STERLING CATALOG - DRY '!F1320,"AAAAAHk/7AA=")</f>
        <v>#VALUE!</v>
      </c>
      <c r="B65" t="e">
        <f>AND('STERLING CATALOG - DRY '!G1320,"AAAAAHk/7AE=")</f>
        <v>#VALUE!</v>
      </c>
      <c r="C65" t="e">
        <f>AND('STERLING CATALOG - DRY '!H1320,"AAAAAHk/7AI=")</f>
        <v>#VALUE!</v>
      </c>
      <c r="D65" t="e">
        <f>AND('STERLING CATALOG - DRY '!I1320,"AAAAAHk/7AM=")</f>
        <v>#VALUE!</v>
      </c>
      <c r="E65" t="e">
        <f>AND('STERLING CATALOG - DRY '!J1320,"AAAAAHk/7AQ=")</f>
        <v>#VALUE!</v>
      </c>
      <c r="F65" t="str">
        <f>IF('STERLING CATALOG - DRY '!1321:1321,"AAAAAHk/7AU=",0)</f>
        <v>AAAAAHk/7AU=</v>
      </c>
      <c r="G65" t="e">
        <f>AND('STERLING CATALOG - DRY '!A1321,"AAAAAHk/7AY=")</f>
        <v>#VALUE!</v>
      </c>
      <c r="H65" t="e">
        <f>AND('STERLING CATALOG - DRY '!B1321,"AAAAAHk/7Ac=")</f>
        <v>#VALUE!</v>
      </c>
      <c r="I65" t="e">
        <f>AND('STERLING CATALOG - DRY '!C1321,"AAAAAHk/7Ag=")</f>
        <v>#VALUE!</v>
      </c>
      <c r="J65" t="e">
        <f>AND('STERLING CATALOG - DRY '!D1321,"AAAAAHk/7Ak=")</f>
        <v>#VALUE!</v>
      </c>
      <c r="K65" t="e">
        <f>AND('STERLING CATALOG - DRY '!E1321,"AAAAAHk/7Ao=")</f>
        <v>#VALUE!</v>
      </c>
      <c r="L65" t="e">
        <f>AND('STERLING CATALOG - DRY '!F1321,"AAAAAHk/7As=")</f>
        <v>#VALUE!</v>
      </c>
      <c r="M65" t="e">
        <f>AND('STERLING CATALOG - DRY '!G1321,"AAAAAHk/7Aw=")</f>
        <v>#VALUE!</v>
      </c>
      <c r="N65" t="e">
        <f>AND('STERLING CATALOG - DRY '!H1321,"AAAAAHk/7A0=")</f>
        <v>#VALUE!</v>
      </c>
      <c r="O65" t="e">
        <f>AND('STERLING CATALOG - DRY '!I1321,"AAAAAHk/7A4=")</f>
        <v>#VALUE!</v>
      </c>
      <c r="P65" t="e">
        <f>AND('STERLING CATALOG - DRY '!J1321,"AAAAAHk/7A8=")</f>
        <v>#VALUE!</v>
      </c>
      <c r="Q65">
        <f>IF('STERLING CATALOG - DRY '!1322:1322,"AAAAAHk/7BA=",0)</f>
        <v>0</v>
      </c>
      <c r="R65" t="e">
        <f>AND('STERLING CATALOG - DRY '!A1322,"AAAAAHk/7BE=")</f>
        <v>#VALUE!</v>
      </c>
      <c r="S65" t="e">
        <f>AND('STERLING CATALOG - DRY '!B1322,"AAAAAHk/7BI=")</f>
        <v>#VALUE!</v>
      </c>
      <c r="T65" t="e">
        <f>AND('STERLING CATALOG - DRY '!C1322,"AAAAAHk/7BM=")</f>
        <v>#VALUE!</v>
      </c>
      <c r="U65" t="e">
        <f>AND('STERLING CATALOG - DRY '!D1322,"AAAAAHk/7BQ=")</f>
        <v>#VALUE!</v>
      </c>
      <c r="V65" t="e">
        <f>AND('STERLING CATALOG - DRY '!E1322,"AAAAAHk/7BU=")</f>
        <v>#VALUE!</v>
      </c>
      <c r="W65" t="e">
        <f>AND('STERLING CATALOG - DRY '!F1322,"AAAAAHk/7BY=")</f>
        <v>#VALUE!</v>
      </c>
      <c r="X65" t="e">
        <f>AND('STERLING CATALOG - DRY '!G1322,"AAAAAHk/7Bc=")</f>
        <v>#VALUE!</v>
      </c>
      <c r="Y65" t="e">
        <f>AND('STERLING CATALOG - DRY '!H1322,"AAAAAHk/7Bg=")</f>
        <v>#VALUE!</v>
      </c>
      <c r="Z65" t="e">
        <f>AND('STERLING CATALOG - DRY '!I1322,"AAAAAHk/7Bk=")</f>
        <v>#VALUE!</v>
      </c>
      <c r="AA65" t="e">
        <f>AND('STERLING CATALOG - DRY '!J1322,"AAAAAHk/7Bo=")</f>
        <v>#VALUE!</v>
      </c>
      <c r="AB65">
        <f>IF('STERLING CATALOG - DRY '!1323:1323,"AAAAAHk/7Bs=",0)</f>
        <v>0</v>
      </c>
      <c r="AC65" t="e">
        <f>AND('STERLING CATALOG - DRY '!A1323,"AAAAAHk/7Bw=")</f>
        <v>#VALUE!</v>
      </c>
      <c r="AD65" t="e">
        <f>AND('STERLING CATALOG - DRY '!B1323,"AAAAAHk/7B0=")</f>
        <v>#VALUE!</v>
      </c>
      <c r="AE65" t="e">
        <f>AND('STERLING CATALOG - DRY '!C1323,"AAAAAHk/7B4=")</f>
        <v>#VALUE!</v>
      </c>
      <c r="AF65" t="e">
        <f>AND('STERLING CATALOG - DRY '!D1323,"AAAAAHk/7B8=")</f>
        <v>#VALUE!</v>
      </c>
      <c r="AG65" t="e">
        <f>AND('STERLING CATALOG - DRY '!E1323,"AAAAAHk/7CA=")</f>
        <v>#VALUE!</v>
      </c>
      <c r="AH65" t="e">
        <f>AND('STERLING CATALOG - DRY '!F1323,"AAAAAHk/7CE=")</f>
        <v>#VALUE!</v>
      </c>
      <c r="AI65" t="e">
        <f>AND('STERLING CATALOG - DRY '!G1323,"AAAAAHk/7CI=")</f>
        <v>#VALUE!</v>
      </c>
      <c r="AJ65" t="e">
        <f>AND('STERLING CATALOG - DRY '!H1323,"AAAAAHk/7CM=")</f>
        <v>#VALUE!</v>
      </c>
      <c r="AK65" t="e">
        <f>AND('STERLING CATALOG - DRY '!I1323,"AAAAAHk/7CQ=")</f>
        <v>#VALUE!</v>
      </c>
      <c r="AL65" t="e">
        <f>AND('STERLING CATALOG - DRY '!J1323,"AAAAAHk/7CU=")</f>
        <v>#VALUE!</v>
      </c>
      <c r="AM65">
        <f>IF('STERLING CATALOG - DRY '!1324:1324,"AAAAAHk/7CY=",0)</f>
        <v>0</v>
      </c>
      <c r="AN65" t="e">
        <f>AND('STERLING CATALOG - DRY '!A1324,"AAAAAHk/7Cc=")</f>
        <v>#VALUE!</v>
      </c>
      <c r="AO65" t="e">
        <f>AND('STERLING CATALOG - DRY '!B1324,"AAAAAHk/7Cg=")</f>
        <v>#VALUE!</v>
      </c>
      <c r="AP65" t="e">
        <f>AND('STERLING CATALOG - DRY '!C1324,"AAAAAHk/7Ck=")</f>
        <v>#VALUE!</v>
      </c>
      <c r="AQ65" t="e">
        <f>AND('STERLING CATALOG - DRY '!D1324,"AAAAAHk/7Co=")</f>
        <v>#VALUE!</v>
      </c>
      <c r="AR65" t="e">
        <f>AND('STERLING CATALOG - DRY '!E1324,"AAAAAHk/7Cs=")</f>
        <v>#VALUE!</v>
      </c>
      <c r="AS65" t="e">
        <f>AND('STERLING CATALOG - DRY '!F1324,"AAAAAHk/7Cw=")</f>
        <v>#VALUE!</v>
      </c>
      <c r="AT65" t="e">
        <f>AND('STERLING CATALOG - DRY '!G1324,"AAAAAHk/7C0=")</f>
        <v>#VALUE!</v>
      </c>
      <c r="AU65" t="e">
        <f>AND('STERLING CATALOG - DRY '!H1324,"AAAAAHk/7C4=")</f>
        <v>#VALUE!</v>
      </c>
      <c r="AV65" t="e">
        <f>AND('STERLING CATALOG - DRY '!I1324,"AAAAAHk/7C8=")</f>
        <v>#VALUE!</v>
      </c>
      <c r="AW65" t="e">
        <f>AND('STERLING CATALOG - DRY '!J1324,"AAAAAHk/7DA=")</f>
        <v>#VALUE!</v>
      </c>
      <c r="AX65">
        <f>IF('STERLING CATALOG - DRY '!1325:1325,"AAAAAHk/7DE=",0)</f>
        <v>0</v>
      </c>
      <c r="AY65" t="e">
        <f>AND('STERLING CATALOG - DRY '!A1325,"AAAAAHk/7DI=")</f>
        <v>#VALUE!</v>
      </c>
      <c r="AZ65" t="e">
        <f>AND('STERLING CATALOG - DRY '!B1325,"AAAAAHk/7DM=")</f>
        <v>#VALUE!</v>
      </c>
      <c r="BA65" t="e">
        <f>AND('STERLING CATALOG - DRY '!C1325,"AAAAAHk/7DQ=")</f>
        <v>#VALUE!</v>
      </c>
      <c r="BB65" t="e">
        <f>AND('STERLING CATALOG - DRY '!D1325,"AAAAAHk/7DU=")</f>
        <v>#VALUE!</v>
      </c>
      <c r="BC65" t="e">
        <f>AND('STERLING CATALOG - DRY '!E1325,"AAAAAHk/7DY=")</f>
        <v>#VALUE!</v>
      </c>
      <c r="BD65" t="e">
        <f>AND('STERLING CATALOG - DRY '!F1325,"AAAAAHk/7Dc=")</f>
        <v>#VALUE!</v>
      </c>
      <c r="BE65" t="e">
        <f>AND('STERLING CATALOG - DRY '!G1325,"AAAAAHk/7Dg=")</f>
        <v>#VALUE!</v>
      </c>
      <c r="BF65" t="e">
        <f>AND('STERLING CATALOG - DRY '!H1325,"AAAAAHk/7Dk=")</f>
        <v>#VALUE!</v>
      </c>
      <c r="BG65" t="e">
        <f>AND('STERLING CATALOG - DRY '!I1325,"AAAAAHk/7Do=")</f>
        <v>#VALUE!</v>
      </c>
      <c r="BH65" t="e">
        <f>AND('STERLING CATALOG - DRY '!J1325,"AAAAAHk/7Ds=")</f>
        <v>#VALUE!</v>
      </c>
      <c r="BI65">
        <f>IF('STERLING CATALOG - DRY '!1326:1326,"AAAAAHk/7Dw=",0)</f>
        <v>0</v>
      </c>
      <c r="BJ65" t="e">
        <f>AND('STERLING CATALOG - DRY '!A1326,"AAAAAHk/7D0=")</f>
        <v>#VALUE!</v>
      </c>
      <c r="BK65" t="e">
        <f>AND('STERLING CATALOG - DRY '!B1326,"AAAAAHk/7D4=")</f>
        <v>#VALUE!</v>
      </c>
      <c r="BL65" t="e">
        <f>AND('STERLING CATALOG - DRY '!C1326,"AAAAAHk/7D8=")</f>
        <v>#VALUE!</v>
      </c>
      <c r="BM65" t="e">
        <f>AND('STERLING CATALOG - DRY '!D1326,"AAAAAHk/7EA=")</f>
        <v>#VALUE!</v>
      </c>
      <c r="BN65" t="e">
        <f>AND('STERLING CATALOG - DRY '!E1326,"AAAAAHk/7EE=")</f>
        <v>#VALUE!</v>
      </c>
      <c r="BO65" t="e">
        <f>AND('STERLING CATALOG - DRY '!F1326,"AAAAAHk/7EI=")</f>
        <v>#VALUE!</v>
      </c>
      <c r="BP65" t="e">
        <f>AND('STERLING CATALOG - DRY '!G1326,"AAAAAHk/7EM=")</f>
        <v>#VALUE!</v>
      </c>
      <c r="BQ65" t="e">
        <f>AND('STERLING CATALOG - DRY '!H1326,"AAAAAHk/7EQ=")</f>
        <v>#VALUE!</v>
      </c>
      <c r="BR65" t="e">
        <f>AND('STERLING CATALOG - DRY '!I1326,"AAAAAHk/7EU=")</f>
        <v>#VALUE!</v>
      </c>
      <c r="BS65" t="e">
        <f>AND('STERLING CATALOG - DRY '!J1326,"AAAAAHk/7EY=")</f>
        <v>#VALUE!</v>
      </c>
      <c r="BT65">
        <f>IF('STERLING CATALOG - DRY '!1327:1327,"AAAAAHk/7Ec=",0)</f>
        <v>0</v>
      </c>
      <c r="BU65" t="e">
        <f>AND('STERLING CATALOG - DRY '!A1327,"AAAAAHk/7Eg=")</f>
        <v>#VALUE!</v>
      </c>
      <c r="BV65" t="e">
        <f>AND('STERLING CATALOG - DRY '!B1327,"AAAAAHk/7Ek=")</f>
        <v>#VALUE!</v>
      </c>
      <c r="BW65" t="e">
        <f>AND('STERLING CATALOG - DRY '!C1327,"AAAAAHk/7Eo=")</f>
        <v>#VALUE!</v>
      </c>
      <c r="BX65" t="e">
        <f>AND('STERLING CATALOG - DRY '!D1327,"AAAAAHk/7Es=")</f>
        <v>#VALUE!</v>
      </c>
      <c r="BY65" t="e">
        <f>AND('STERLING CATALOG - DRY '!E1327,"AAAAAHk/7Ew=")</f>
        <v>#VALUE!</v>
      </c>
      <c r="BZ65" t="e">
        <f>AND('STERLING CATALOG - DRY '!F1327,"AAAAAHk/7E0=")</f>
        <v>#VALUE!</v>
      </c>
      <c r="CA65" t="e">
        <f>AND('STERLING CATALOG - DRY '!G1327,"AAAAAHk/7E4=")</f>
        <v>#VALUE!</v>
      </c>
      <c r="CB65" t="e">
        <f>AND('STERLING CATALOG - DRY '!H1327,"AAAAAHk/7E8=")</f>
        <v>#VALUE!</v>
      </c>
      <c r="CC65" t="e">
        <f>AND('STERLING CATALOG - DRY '!I1327,"AAAAAHk/7FA=")</f>
        <v>#VALUE!</v>
      </c>
      <c r="CD65" t="e">
        <f>AND('STERLING CATALOG - DRY '!J1327,"AAAAAHk/7FE=")</f>
        <v>#VALUE!</v>
      </c>
      <c r="CE65">
        <f>IF('STERLING CATALOG - DRY '!1328:1328,"AAAAAHk/7FI=",0)</f>
        <v>0</v>
      </c>
      <c r="CF65" t="e">
        <f>AND('STERLING CATALOG - DRY '!A1328,"AAAAAHk/7FM=")</f>
        <v>#VALUE!</v>
      </c>
      <c r="CG65" t="e">
        <f>AND('STERLING CATALOG - DRY '!B1328,"AAAAAHk/7FQ=")</f>
        <v>#VALUE!</v>
      </c>
      <c r="CH65" t="e">
        <f>AND('STERLING CATALOG - DRY '!C1328,"AAAAAHk/7FU=")</f>
        <v>#VALUE!</v>
      </c>
      <c r="CI65" t="e">
        <f>AND('STERLING CATALOG - DRY '!D1328,"AAAAAHk/7FY=")</f>
        <v>#VALUE!</v>
      </c>
      <c r="CJ65" t="e">
        <f>AND('STERLING CATALOG - DRY '!E1328,"AAAAAHk/7Fc=")</f>
        <v>#VALUE!</v>
      </c>
      <c r="CK65" t="e">
        <f>AND('STERLING CATALOG - DRY '!F1328,"AAAAAHk/7Fg=")</f>
        <v>#VALUE!</v>
      </c>
      <c r="CL65" t="e">
        <f>AND('STERLING CATALOG - DRY '!G1328,"AAAAAHk/7Fk=")</f>
        <v>#VALUE!</v>
      </c>
      <c r="CM65" t="e">
        <f>AND('STERLING CATALOG - DRY '!H1328,"AAAAAHk/7Fo=")</f>
        <v>#VALUE!</v>
      </c>
      <c r="CN65" t="e">
        <f>AND('STERLING CATALOG - DRY '!I1328,"AAAAAHk/7Fs=")</f>
        <v>#VALUE!</v>
      </c>
      <c r="CO65" t="e">
        <f>AND('STERLING CATALOG - DRY '!J1328,"AAAAAHk/7Fw=")</f>
        <v>#VALUE!</v>
      </c>
      <c r="CP65">
        <f>IF('STERLING CATALOG - DRY '!1329:1329,"AAAAAHk/7F0=",0)</f>
        <v>0</v>
      </c>
      <c r="CQ65" t="e">
        <f>AND('STERLING CATALOG - DRY '!A1329,"AAAAAHk/7F4=")</f>
        <v>#VALUE!</v>
      </c>
      <c r="CR65" t="e">
        <f>AND('STERLING CATALOG - DRY '!B1329,"AAAAAHk/7F8=")</f>
        <v>#VALUE!</v>
      </c>
      <c r="CS65" t="e">
        <f>AND('STERLING CATALOG - DRY '!C1329,"AAAAAHk/7GA=")</f>
        <v>#VALUE!</v>
      </c>
      <c r="CT65" t="e">
        <f>AND('STERLING CATALOG - DRY '!D1329,"AAAAAHk/7GE=")</f>
        <v>#VALUE!</v>
      </c>
      <c r="CU65" t="e">
        <f>AND('STERLING CATALOG - DRY '!E1329,"AAAAAHk/7GI=")</f>
        <v>#VALUE!</v>
      </c>
      <c r="CV65" t="e">
        <f>AND('STERLING CATALOG - DRY '!F1329,"AAAAAHk/7GM=")</f>
        <v>#VALUE!</v>
      </c>
      <c r="CW65" t="e">
        <f>AND('STERLING CATALOG - DRY '!G1329,"AAAAAHk/7GQ=")</f>
        <v>#VALUE!</v>
      </c>
      <c r="CX65" t="e">
        <f>AND('STERLING CATALOG - DRY '!H1329,"AAAAAHk/7GU=")</f>
        <v>#VALUE!</v>
      </c>
      <c r="CY65" t="e">
        <f>AND('STERLING CATALOG - DRY '!I1329,"AAAAAHk/7GY=")</f>
        <v>#VALUE!</v>
      </c>
      <c r="CZ65" t="e">
        <f>AND('STERLING CATALOG - DRY '!J1329,"AAAAAHk/7Gc=")</f>
        <v>#VALUE!</v>
      </c>
      <c r="DA65">
        <f>IF('STERLING CATALOG - DRY '!1330:1330,"AAAAAHk/7Gg=",0)</f>
        <v>0</v>
      </c>
      <c r="DB65" t="e">
        <f>AND('STERLING CATALOG - DRY '!A1330,"AAAAAHk/7Gk=")</f>
        <v>#VALUE!</v>
      </c>
      <c r="DC65" t="e">
        <f>AND('STERLING CATALOG - DRY '!B1330,"AAAAAHk/7Go=")</f>
        <v>#VALUE!</v>
      </c>
      <c r="DD65" t="e">
        <f>AND('STERLING CATALOG - DRY '!C1330,"AAAAAHk/7Gs=")</f>
        <v>#VALUE!</v>
      </c>
      <c r="DE65" t="e">
        <f>AND('STERLING CATALOG - DRY '!D1330,"AAAAAHk/7Gw=")</f>
        <v>#VALUE!</v>
      </c>
      <c r="DF65" t="e">
        <f>AND('STERLING CATALOG - DRY '!E1330,"AAAAAHk/7G0=")</f>
        <v>#VALUE!</v>
      </c>
      <c r="DG65" t="e">
        <f>AND('STERLING CATALOG - DRY '!F1330,"AAAAAHk/7G4=")</f>
        <v>#VALUE!</v>
      </c>
      <c r="DH65" t="e">
        <f>AND('STERLING CATALOG - DRY '!G1330,"AAAAAHk/7G8=")</f>
        <v>#VALUE!</v>
      </c>
      <c r="DI65" t="e">
        <f>AND('STERLING CATALOG - DRY '!H1330,"AAAAAHk/7HA=")</f>
        <v>#VALUE!</v>
      </c>
      <c r="DJ65" t="e">
        <f>AND('STERLING CATALOG - DRY '!I1330,"AAAAAHk/7HE=")</f>
        <v>#VALUE!</v>
      </c>
      <c r="DK65" t="e">
        <f>AND('STERLING CATALOG - DRY '!J1330,"AAAAAHk/7HI=")</f>
        <v>#VALUE!</v>
      </c>
      <c r="DL65">
        <f>IF('STERLING CATALOG - DRY '!1331:1331,"AAAAAHk/7HM=",0)</f>
        <v>0</v>
      </c>
      <c r="DM65" t="e">
        <f>AND('STERLING CATALOG - DRY '!A1331,"AAAAAHk/7HQ=")</f>
        <v>#VALUE!</v>
      </c>
      <c r="DN65" t="e">
        <f>AND('STERLING CATALOG - DRY '!B1331,"AAAAAHk/7HU=")</f>
        <v>#VALUE!</v>
      </c>
      <c r="DO65" t="e">
        <f>AND('STERLING CATALOG - DRY '!C1331,"AAAAAHk/7HY=")</f>
        <v>#VALUE!</v>
      </c>
      <c r="DP65" t="e">
        <f>AND('STERLING CATALOG - DRY '!D1331,"AAAAAHk/7Hc=")</f>
        <v>#VALUE!</v>
      </c>
      <c r="DQ65" t="e">
        <f>AND('STERLING CATALOG - DRY '!E1331,"AAAAAHk/7Hg=")</f>
        <v>#VALUE!</v>
      </c>
      <c r="DR65" t="e">
        <f>AND('STERLING CATALOG - DRY '!F1331,"AAAAAHk/7Hk=")</f>
        <v>#VALUE!</v>
      </c>
      <c r="DS65" t="e">
        <f>AND('STERLING CATALOG - DRY '!G1331,"AAAAAHk/7Ho=")</f>
        <v>#VALUE!</v>
      </c>
      <c r="DT65" t="e">
        <f>AND('STERLING CATALOG - DRY '!H1331,"AAAAAHk/7Hs=")</f>
        <v>#VALUE!</v>
      </c>
      <c r="DU65" t="e">
        <f>AND('STERLING CATALOG - DRY '!I1331,"AAAAAHk/7Hw=")</f>
        <v>#VALUE!</v>
      </c>
      <c r="DV65" t="e">
        <f>AND('STERLING CATALOG - DRY '!J1331,"AAAAAHk/7H0=")</f>
        <v>#VALUE!</v>
      </c>
      <c r="DW65">
        <f>IF('STERLING CATALOG - DRY '!1332:1332,"AAAAAHk/7H4=",0)</f>
        <v>0</v>
      </c>
      <c r="DX65" t="e">
        <f>AND('STERLING CATALOG - DRY '!A1332,"AAAAAHk/7H8=")</f>
        <v>#VALUE!</v>
      </c>
      <c r="DY65" t="e">
        <f>AND('STERLING CATALOG - DRY '!B1332,"AAAAAHk/7IA=")</f>
        <v>#VALUE!</v>
      </c>
      <c r="DZ65" t="e">
        <f>AND('STERLING CATALOG - DRY '!C1332,"AAAAAHk/7IE=")</f>
        <v>#VALUE!</v>
      </c>
      <c r="EA65" t="e">
        <f>AND('STERLING CATALOG - DRY '!D1332,"AAAAAHk/7II=")</f>
        <v>#VALUE!</v>
      </c>
      <c r="EB65" t="e">
        <f>AND('STERLING CATALOG - DRY '!E1332,"AAAAAHk/7IM=")</f>
        <v>#VALUE!</v>
      </c>
      <c r="EC65" t="e">
        <f>AND('STERLING CATALOG - DRY '!F1332,"AAAAAHk/7IQ=")</f>
        <v>#VALUE!</v>
      </c>
      <c r="ED65" t="e">
        <f>AND('STERLING CATALOG - DRY '!G1332,"AAAAAHk/7IU=")</f>
        <v>#VALUE!</v>
      </c>
      <c r="EE65" t="e">
        <f>AND('STERLING CATALOG - DRY '!H1332,"AAAAAHk/7IY=")</f>
        <v>#VALUE!</v>
      </c>
      <c r="EF65" t="e">
        <f>AND('STERLING CATALOG - DRY '!I1332,"AAAAAHk/7Ic=")</f>
        <v>#VALUE!</v>
      </c>
      <c r="EG65" t="e">
        <f>AND('STERLING CATALOG - DRY '!J1332,"AAAAAHk/7Ig=")</f>
        <v>#VALUE!</v>
      </c>
      <c r="EH65">
        <f>IF('STERLING CATALOG - DRY '!1333:1333,"AAAAAHk/7Ik=",0)</f>
        <v>0</v>
      </c>
      <c r="EI65" t="e">
        <f>AND('STERLING CATALOG - DRY '!A1333,"AAAAAHk/7Io=")</f>
        <v>#VALUE!</v>
      </c>
      <c r="EJ65" t="e">
        <f>AND('STERLING CATALOG - DRY '!B1333,"AAAAAHk/7Is=")</f>
        <v>#VALUE!</v>
      </c>
      <c r="EK65" t="e">
        <f>AND('STERLING CATALOG - DRY '!C1333,"AAAAAHk/7Iw=")</f>
        <v>#VALUE!</v>
      </c>
      <c r="EL65" t="e">
        <f>AND('STERLING CATALOG - DRY '!D1333,"AAAAAHk/7I0=")</f>
        <v>#VALUE!</v>
      </c>
      <c r="EM65" t="e">
        <f>AND('STERLING CATALOG - DRY '!E1333,"AAAAAHk/7I4=")</f>
        <v>#VALUE!</v>
      </c>
      <c r="EN65" t="e">
        <f>AND('STERLING CATALOG - DRY '!F1333,"AAAAAHk/7I8=")</f>
        <v>#VALUE!</v>
      </c>
      <c r="EO65" t="e">
        <f>AND('STERLING CATALOG - DRY '!G1333,"AAAAAHk/7JA=")</f>
        <v>#VALUE!</v>
      </c>
      <c r="EP65" t="e">
        <f>AND('STERLING CATALOG - DRY '!H1333,"AAAAAHk/7JE=")</f>
        <v>#VALUE!</v>
      </c>
      <c r="EQ65" t="e">
        <f>AND('STERLING CATALOG - DRY '!I1333,"AAAAAHk/7JI=")</f>
        <v>#VALUE!</v>
      </c>
      <c r="ER65" t="e">
        <f>AND('STERLING CATALOG - DRY '!J1333,"AAAAAHk/7JM=")</f>
        <v>#VALUE!</v>
      </c>
      <c r="ES65">
        <f>IF('STERLING CATALOG - DRY '!1334:1334,"AAAAAHk/7JQ=",0)</f>
        <v>0</v>
      </c>
      <c r="ET65" t="e">
        <f>AND('STERLING CATALOG - DRY '!A1334,"AAAAAHk/7JU=")</f>
        <v>#VALUE!</v>
      </c>
      <c r="EU65" t="e">
        <f>AND('STERLING CATALOG - DRY '!B1334,"AAAAAHk/7JY=")</f>
        <v>#VALUE!</v>
      </c>
      <c r="EV65" t="e">
        <f>AND('STERLING CATALOG - DRY '!C1334,"AAAAAHk/7Jc=")</f>
        <v>#VALUE!</v>
      </c>
      <c r="EW65" t="e">
        <f>AND('STERLING CATALOG - DRY '!D1334,"AAAAAHk/7Jg=")</f>
        <v>#VALUE!</v>
      </c>
      <c r="EX65" t="e">
        <f>AND('STERLING CATALOG - DRY '!E1334,"AAAAAHk/7Jk=")</f>
        <v>#VALUE!</v>
      </c>
      <c r="EY65" t="e">
        <f>AND('STERLING CATALOG - DRY '!F1334,"AAAAAHk/7Jo=")</f>
        <v>#VALUE!</v>
      </c>
      <c r="EZ65" t="e">
        <f>AND('STERLING CATALOG - DRY '!G1334,"AAAAAHk/7Js=")</f>
        <v>#VALUE!</v>
      </c>
      <c r="FA65" t="e">
        <f>AND('STERLING CATALOG - DRY '!H1334,"AAAAAHk/7Jw=")</f>
        <v>#VALUE!</v>
      </c>
      <c r="FB65" t="e">
        <f>AND('STERLING CATALOG - DRY '!I1334,"AAAAAHk/7J0=")</f>
        <v>#VALUE!</v>
      </c>
      <c r="FC65" t="e">
        <f>AND('STERLING CATALOG - DRY '!J1334,"AAAAAHk/7J4=")</f>
        <v>#VALUE!</v>
      </c>
      <c r="FD65">
        <f>IF('STERLING CATALOG - DRY '!1335:1335,"AAAAAHk/7J8=",0)</f>
        <v>0</v>
      </c>
      <c r="FE65" t="e">
        <f>AND('STERLING CATALOG - DRY '!A1335,"AAAAAHk/7KA=")</f>
        <v>#VALUE!</v>
      </c>
      <c r="FF65" t="e">
        <f>AND('STERLING CATALOG - DRY '!B1335,"AAAAAHk/7KE=")</f>
        <v>#VALUE!</v>
      </c>
      <c r="FG65" t="e">
        <f>AND('STERLING CATALOG - DRY '!C1335,"AAAAAHk/7KI=")</f>
        <v>#VALUE!</v>
      </c>
      <c r="FH65" t="e">
        <f>AND('STERLING CATALOG - DRY '!D1335,"AAAAAHk/7KM=")</f>
        <v>#VALUE!</v>
      </c>
      <c r="FI65" t="e">
        <f>AND('STERLING CATALOG - DRY '!E1335,"AAAAAHk/7KQ=")</f>
        <v>#VALUE!</v>
      </c>
      <c r="FJ65" t="e">
        <f>AND('STERLING CATALOG - DRY '!F1335,"AAAAAHk/7KU=")</f>
        <v>#VALUE!</v>
      </c>
      <c r="FK65" t="e">
        <f>AND('STERLING CATALOG - DRY '!G1335,"AAAAAHk/7KY=")</f>
        <v>#VALUE!</v>
      </c>
      <c r="FL65" t="e">
        <f>AND('STERLING CATALOG - DRY '!H1335,"AAAAAHk/7Kc=")</f>
        <v>#VALUE!</v>
      </c>
      <c r="FM65" t="e">
        <f>AND('STERLING CATALOG - DRY '!I1335,"AAAAAHk/7Kg=")</f>
        <v>#VALUE!</v>
      </c>
      <c r="FN65" t="e">
        <f>AND('STERLING CATALOG - DRY '!J1335,"AAAAAHk/7Kk=")</f>
        <v>#VALUE!</v>
      </c>
      <c r="FO65">
        <f>IF('STERLING CATALOG - DRY '!1336:1336,"AAAAAHk/7Ko=",0)</f>
        <v>0</v>
      </c>
      <c r="FP65" t="e">
        <f>AND('STERLING CATALOG - DRY '!A1336,"AAAAAHk/7Ks=")</f>
        <v>#VALUE!</v>
      </c>
      <c r="FQ65" t="e">
        <f>AND('STERLING CATALOG - DRY '!B1336,"AAAAAHk/7Kw=")</f>
        <v>#VALUE!</v>
      </c>
      <c r="FR65" t="e">
        <f>AND('STERLING CATALOG - DRY '!C1336,"AAAAAHk/7K0=")</f>
        <v>#VALUE!</v>
      </c>
      <c r="FS65" t="e">
        <f>AND('STERLING CATALOG - DRY '!D1336,"AAAAAHk/7K4=")</f>
        <v>#VALUE!</v>
      </c>
      <c r="FT65" t="e">
        <f>AND('STERLING CATALOG - DRY '!E1336,"AAAAAHk/7K8=")</f>
        <v>#VALUE!</v>
      </c>
      <c r="FU65" t="e">
        <f>AND('STERLING CATALOG - DRY '!F1336,"AAAAAHk/7LA=")</f>
        <v>#VALUE!</v>
      </c>
      <c r="FV65" t="e">
        <f>AND('STERLING CATALOG - DRY '!G1336,"AAAAAHk/7LE=")</f>
        <v>#VALUE!</v>
      </c>
      <c r="FW65" t="e">
        <f>AND('STERLING CATALOG - DRY '!H1336,"AAAAAHk/7LI=")</f>
        <v>#VALUE!</v>
      </c>
      <c r="FX65" t="e">
        <f>AND('STERLING CATALOG - DRY '!I1336,"AAAAAHk/7LM=")</f>
        <v>#VALUE!</v>
      </c>
      <c r="FY65" t="e">
        <f>AND('STERLING CATALOG - DRY '!J1336,"AAAAAHk/7LQ=")</f>
        <v>#VALUE!</v>
      </c>
      <c r="FZ65">
        <f>IF('STERLING CATALOG - DRY '!1337:1337,"AAAAAHk/7LU=",0)</f>
        <v>0</v>
      </c>
      <c r="GA65" t="e">
        <f>AND('STERLING CATALOG - DRY '!A1337,"AAAAAHk/7LY=")</f>
        <v>#VALUE!</v>
      </c>
      <c r="GB65" t="e">
        <f>AND('STERLING CATALOG - DRY '!B1337,"AAAAAHk/7Lc=")</f>
        <v>#VALUE!</v>
      </c>
      <c r="GC65" t="e">
        <f>AND('STERLING CATALOG - DRY '!C1337,"AAAAAHk/7Lg=")</f>
        <v>#VALUE!</v>
      </c>
      <c r="GD65" t="e">
        <f>AND('STERLING CATALOG - DRY '!D1337,"AAAAAHk/7Lk=")</f>
        <v>#VALUE!</v>
      </c>
      <c r="GE65" t="e">
        <f>AND('STERLING CATALOG - DRY '!E1337,"AAAAAHk/7Lo=")</f>
        <v>#VALUE!</v>
      </c>
      <c r="GF65" t="e">
        <f>AND('STERLING CATALOG - DRY '!F1337,"AAAAAHk/7Ls=")</f>
        <v>#VALUE!</v>
      </c>
      <c r="GG65" t="e">
        <f>AND('STERLING CATALOG - DRY '!G1337,"AAAAAHk/7Lw=")</f>
        <v>#VALUE!</v>
      </c>
      <c r="GH65" t="e">
        <f>AND('STERLING CATALOG - DRY '!H1337,"AAAAAHk/7L0=")</f>
        <v>#VALUE!</v>
      </c>
      <c r="GI65" t="e">
        <f>AND('STERLING CATALOG - DRY '!I1337,"AAAAAHk/7L4=")</f>
        <v>#VALUE!</v>
      </c>
      <c r="GJ65" t="e">
        <f>AND('STERLING CATALOG - DRY '!J1337,"AAAAAHk/7L8=")</f>
        <v>#VALUE!</v>
      </c>
      <c r="GK65">
        <f>IF('STERLING CATALOG - DRY '!1338:1338,"AAAAAHk/7MA=",0)</f>
        <v>0</v>
      </c>
      <c r="GL65" t="e">
        <f>AND('STERLING CATALOG - DRY '!A1338,"AAAAAHk/7ME=")</f>
        <v>#VALUE!</v>
      </c>
      <c r="GM65" t="e">
        <f>AND('STERLING CATALOG - DRY '!B1338,"AAAAAHk/7MI=")</f>
        <v>#VALUE!</v>
      </c>
      <c r="GN65" t="e">
        <f>AND('STERLING CATALOG - DRY '!C1338,"AAAAAHk/7MM=")</f>
        <v>#VALUE!</v>
      </c>
      <c r="GO65" t="e">
        <f>AND('STERLING CATALOG - DRY '!D1338,"AAAAAHk/7MQ=")</f>
        <v>#VALUE!</v>
      </c>
      <c r="GP65" t="e">
        <f>AND('STERLING CATALOG - DRY '!E1338,"AAAAAHk/7MU=")</f>
        <v>#VALUE!</v>
      </c>
      <c r="GQ65" t="e">
        <f>AND('STERLING CATALOG - DRY '!F1338,"AAAAAHk/7MY=")</f>
        <v>#VALUE!</v>
      </c>
      <c r="GR65" t="e">
        <f>AND('STERLING CATALOG - DRY '!G1338,"AAAAAHk/7Mc=")</f>
        <v>#VALUE!</v>
      </c>
      <c r="GS65" t="e">
        <f>AND('STERLING CATALOG - DRY '!H1338,"AAAAAHk/7Mg=")</f>
        <v>#VALUE!</v>
      </c>
      <c r="GT65" t="e">
        <f>AND('STERLING CATALOG - DRY '!I1338,"AAAAAHk/7Mk=")</f>
        <v>#VALUE!</v>
      </c>
      <c r="GU65" t="e">
        <f>AND('STERLING CATALOG - DRY '!J1338,"AAAAAHk/7Mo=")</f>
        <v>#VALUE!</v>
      </c>
      <c r="GV65">
        <f>IF('STERLING CATALOG - DRY '!1339:1339,"AAAAAHk/7Ms=",0)</f>
        <v>0</v>
      </c>
      <c r="GW65" t="e">
        <f>AND('STERLING CATALOG - DRY '!A1339,"AAAAAHk/7Mw=")</f>
        <v>#VALUE!</v>
      </c>
      <c r="GX65" t="e">
        <f>AND('STERLING CATALOG - DRY '!B1339,"AAAAAHk/7M0=")</f>
        <v>#VALUE!</v>
      </c>
      <c r="GY65" t="e">
        <f>AND('STERLING CATALOG - DRY '!C1339,"AAAAAHk/7M4=")</f>
        <v>#VALUE!</v>
      </c>
      <c r="GZ65" t="e">
        <f>AND('STERLING CATALOG - DRY '!D1339,"AAAAAHk/7M8=")</f>
        <v>#VALUE!</v>
      </c>
      <c r="HA65" t="e">
        <f>AND('STERLING CATALOG - DRY '!E1339,"AAAAAHk/7NA=")</f>
        <v>#VALUE!</v>
      </c>
      <c r="HB65" t="e">
        <f>AND('STERLING CATALOG - DRY '!F1339,"AAAAAHk/7NE=")</f>
        <v>#VALUE!</v>
      </c>
      <c r="HC65" t="e">
        <f>AND('STERLING CATALOG - DRY '!G1339,"AAAAAHk/7NI=")</f>
        <v>#VALUE!</v>
      </c>
      <c r="HD65" t="e">
        <f>AND('STERLING CATALOG - DRY '!H1339,"AAAAAHk/7NM=")</f>
        <v>#VALUE!</v>
      </c>
      <c r="HE65" t="e">
        <f>AND('STERLING CATALOG - DRY '!I1339,"AAAAAHk/7NQ=")</f>
        <v>#VALUE!</v>
      </c>
      <c r="HF65" t="e">
        <f>AND('STERLING CATALOG - DRY '!J1339,"AAAAAHk/7NU=")</f>
        <v>#VALUE!</v>
      </c>
      <c r="HG65">
        <f>IF('STERLING CATALOG - DRY '!1340:1340,"AAAAAHk/7NY=",0)</f>
        <v>0</v>
      </c>
      <c r="HH65" t="e">
        <f>AND('STERLING CATALOG - DRY '!A1340,"AAAAAHk/7Nc=")</f>
        <v>#VALUE!</v>
      </c>
      <c r="HI65" t="e">
        <f>AND('STERLING CATALOG - DRY '!B1340,"AAAAAHk/7Ng=")</f>
        <v>#VALUE!</v>
      </c>
      <c r="HJ65" t="e">
        <f>AND('STERLING CATALOG - DRY '!C1340,"AAAAAHk/7Nk=")</f>
        <v>#VALUE!</v>
      </c>
      <c r="HK65" t="e">
        <f>AND('STERLING CATALOG - DRY '!D1340,"AAAAAHk/7No=")</f>
        <v>#VALUE!</v>
      </c>
      <c r="HL65" t="e">
        <f>AND('STERLING CATALOG - DRY '!E1340,"AAAAAHk/7Ns=")</f>
        <v>#VALUE!</v>
      </c>
      <c r="HM65" t="e">
        <f>AND('STERLING CATALOG - DRY '!F1340,"AAAAAHk/7Nw=")</f>
        <v>#VALUE!</v>
      </c>
      <c r="HN65" t="e">
        <f>AND('STERLING CATALOG - DRY '!G1340,"AAAAAHk/7N0=")</f>
        <v>#VALUE!</v>
      </c>
      <c r="HO65" t="e">
        <f>AND('STERLING CATALOG - DRY '!H1340,"AAAAAHk/7N4=")</f>
        <v>#VALUE!</v>
      </c>
      <c r="HP65" t="e">
        <f>AND('STERLING CATALOG - DRY '!I1340,"AAAAAHk/7N8=")</f>
        <v>#VALUE!</v>
      </c>
      <c r="HQ65" t="e">
        <f>AND('STERLING CATALOG - DRY '!J1340,"AAAAAHk/7OA=")</f>
        <v>#VALUE!</v>
      </c>
      <c r="HR65">
        <f>IF('STERLING CATALOG - DRY '!1341:1341,"AAAAAHk/7OE=",0)</f>
        <v>0</v>
      </c>
      <c r="HS65" t="e">
        <f>AND('STERLING CATALOG - DRY '!A1341,"AAAAAHk/7OI=")</f>
        <v>#VALUE!</v>
      </c>
      <c r="HT65" t="e">
        <f>AND('STERLING CATALOG - DRY '!B1341,"AAAAAHk/7OM=")</f>
        <v>#VALUE!</v>
      </c>
      <c r="HU65" t="e">
        <f>AND('STERLING CATALOG - DRY '!C1341,"AAAAAHk/7OQ=")</f>
        <v>#VALUE!</v>
      </c>
      <c r="HV65" t="e">
        <f>AND('STERLING CATALOG - DRY '!D1341,"AAAAAHk/7OU=")</f>
        <v>#VALUE!</v>
      </c>
      <c r="HW65" t="e">
        <f>AND('STERLING CATALOG - DRY '!E1341,"AAAAAHk/7OY=")</f>
        <v>#VALUE!</v>
      </c>
      <c r="HX65" t="e">
        <f>AND('STERLING CATALOG - DRY '!F1341,"AAAAAHk/7Oc=")</f>
        <v>#VALUE!</v>
      </c>
      <c r="HY65" t="e">
        <f>AND('STERLING CATALOG - DRY '!G1341,"AAAAAHk/7Og=")</f>
        <v>#VALUE!</v>
      </c>
      <c r="HZ65" t="e">
        <f>AND('STERLING CATALOG - DRY '!H1341,"AAAAAHk/7Ok=")</f>
        <v>#VALUE!</v>
      </c>
      <c r="IA65" t="e">
        <f>AND('STERLING CATALOG - DRY '!I1341,"AAAAAHk/7Oo=")</f>
        <v>#VALUE!</v>
      </c>
      <c r="IB65" t="e">
        <f>AND('STERLING CATALOG - DRY '!J1341,"AAAAAHk/7Os=")</f>
        <v>#VALUE!</v>
      </c>
      <c r="IC65">
        <f>IF('STERLING CATALOG - DRY '!1342:1342,"AAAAAHk/7Ow=",0)</f>
        <v>0</v>
      </c>
      <c r="ID65" t="e">
        <f>AND('STERLING CATALOG - DRY '!A1342,"AAAAAHk/7O0=")</f>
        <v>#VALUE!</v>
      </c>
      <c r="IE65" t="e">
        <f>AND('STERLING CATALOG - DRY '!B1342,"AAAAAHk/7O4=")</f>
        <v>#VALUE!</v>
      </c>
      <c r="IF65" t="e">
        <f>AND('STERLING CATALOG - DRY '!C1342,"AAAAAHk/7O8=")</f>
        <v>#VALUE!</v>
      </c>
      <c r="IG65" t="e">
        <f>AND('STERLING CATALOG - DRY '!D1342,"AAAAAHk/7PA=")</f>
        <v>#VALUE!</v>
      </c>
      <c r="IH65" t="e">
        <f>AND('STERLING CATALOG - DRY '!E1342,"AAAAAHk/7PE=")</f>
        <v>#VALUE!</v>
      </c>
      <c r="II65" t="e">
        <f>AND('STERLING CATALOG - DRY '!F1342,"AAAAAHk/7PI=")</f>
        <v>#VALUE!</v>
      </c>
      <c r="IJ65" t="e">
        <f>AND('STERLING CATALOG - DRY '!G1342,"AAAAAHk/7PM=")</f>
        <v>#VALUE!</v>
      </c>
      <c r="IK65" t="e">
        <f>AND('STERLING CATALOG - DRY '!H1342,"AAAAAHk/7PQ=")</f>
        <v>#VALUE!</v>
      </c>
      <c r="IL65" t="e">
        <f>AND('STERLING CATALOG - DRY '!I1342,"AAAAAHk/7PU=")</f>
        <v>#VALUE!</v>
      </c>
      <c r="IM65" t="e">
        <f>AND('STERLING CATALOG - DRY '!J1342,"AAAAAHk/7PY=")</f>
        <v>#VALUE!</v>
      </c>
      <c r="IN65">
        <f>IF('STERLING CATALOG - DRY '!1343:1343,"AAAAAHk/7Pc=",0)</f>
        <v>0</v>
      </c>
      <c r="IO65" t="e">
        <f>AND('STERLING CATALOG - DRY '!A1343,"AAAAAHk/7Pg=")</f>
        <v>#VALUE!</v>
      </c>
      <c r="IP65" t="e">
        <f>AND('STERLING CATALOG - DRY '!B1343,"AAAAAHk/7Pk=")</f>
        <v>#VALUE!</v>
      </c>
      <c r="IQ65" t="e">
        <f>AND('STERLING CATALOG - DRY '!C1343,"AAAAAHk/7Po=")</f>
        <v>#VALUE!</v>
      </c>
      <c r="IR65" t="e">
        <f>AND('STERLING CATALOG - DRY '!D1343,"AAAAAHk/7Ps=")</f>
        <v>#VALUE!</v>
      </c>
      <c r="IS65" t="e">
        <f>AND('STERLING CATALOG - DRY '!E1343,"AAAAAHk/7Pw=")</f>
        <v>#VALUE!</v>
      </c>
      <c r="IT65" t="e">
        <f>AND('STERLING CATALOG - DRY '!F1343,"AAAAAHk/7P0=")</f>
        <v>#VALUE!</v>
      </c>
      <c r="IU65" t="e">
        <f>AND('STERLING CATALOG - DRY '!G1343,"AAAAAHk/7P4=")</f>
        <v>#VALUE!</v>
      </c>
      <c r="IV65" t="e">
        <f>AND('STERLING CATALOG - DRY '!H1343,"AAAAAHk/7P8=")</f>
        <v>#VALUE!</v>
      </c>
    </row>
    <row r="66" spans="1:256">
      <c r="A66" t="e">
        <f>AND('STERLING CATALOG - DRY '!I1343,"AAAAAH+/bwA=")</f>
        <v>#VALUE!</v>
      </c>
      <c r="B66" t="e">
        <f>AND('STERLING CATALOG - DRY '!J1343,"AAAAAH+/bwE=")</f>
        <v>#VALUE!</v>
      </c>
      <c r="C66" t="str">
        <f>IF('STERLING CATALOG - DRY '!1344:1344,"AAAAAH+/bwI=",0)</f>
        <v>AAAAAH+/bwI=</v>
      </c>
      <c r="D66" t="e">
        <f>AND('STERLING CATALOG - DRY '!A1344,"AAAAAH+/bwM=")</f>
        <v>#VALUE!</v>
      </c>
      <c r="E66" t="e">
        <f>AND('STERLING CATALOG - DRY '!B1344,"AAAAAH+/bwQ=")</f>
        <v>#VALUE!</v>
      </c>
      <c r="F66" t="e">
        <f>AND('STERLING CATALOG - DRY '!C1344,"AAAAAH+/bwU=")</f>
        <v>#VALUE!</v>
      </c>
      <c r="G66" t="e">
        <f>AND('STERLING CATALOG - DRY '!D1344,"AAAAAH+/bwY=")</f>
        <v>#VALUE!</v>
      </c>
      <c r="H66" t="e">
        <f>AND('STERLING CATALOG - DRY '!E1344,"AAAAAH+/bwc=")</f>
        <v>#VALUE!</v>
      </c>
      <c r="I66" t="e">
        <f>AND('STERLING CATALOG - DRY '!F1344,"AAAAAH+/bwg=")</f>
        <v>#VALUE!</v>
      </c>
      <c r="J66" t="e">
        <f>AND('STERLING CATALOG - DRY '!G1344,"AAAAAH+/bwk=")</f>
        <v>#VALUE!</v>
      </c>
      <c r="K66" t="e">
        <f>AND('STERLING CATALOG - DRY '!H1344,"AAAAAH+/bwo=")</f>
        <v>#VALUE!</v>
      </c>
      <c r="L66" t="e">
        <f>AND('STERLING CATALOG - DRY '!I1344,"AAAAAH+/bws=")</f>
        <v>#VALUE!</v>
      </c>
      <c r="M66" t="e">
        <f>AND('STERLING CATALOG - DRY '!J1344,"AAAAAH+/bww=")</f>
        <v>#VALUE!</v>
      </c>
      <c r="N66">
        <f>IF('STERLING CATALOG - DRY '!1345:1345,"AAAAAH+/bw0=",0)</f>
        <v>0</v>
      </c>
      <c r="O66" t="e">
        <f>AND('STERLING CATALOG - DRY '!A1345,"AAAAAH+/bw4=")</f>
        <v>#VALUE!</v>
      </c>
      <c r="P66" t="e">
        <f>AND('STERLING CATALOG - DRY '!B1345,"AAAAAH+/bw8=")</f>
        <v>#VALUE!</v>
      </c>
      <c r="Q66" t="e">
        <f>AND('STERLING CATALOG - DRY '!C1345,"AAAAAH+/bxA=")</f>
        <v>#VALUE!</v>
      </c>
      <c r="R66" t="e">
        <f>AND('STERLING CATALOG - DRY '!D1345,"AAAAAH+/bxE=")</f>
        <v>#VALUE!</v>
      </c>
      <c r="S66" t="e">
        <f>AND('STERLING CATALOG - DRY '!E1345,"AAAAAH+/bxI=")</f>
        <v>#VALUE!</v>
      </c>
      <c r="T66" t="e">
        <f>AND('STERLING CATALOG - DRY '!F1345,"AAAAAH+/bxM=")</f>
        <v>#VALUE!</v>
      </c>
      <c r="U66" t="e">
        <f>AND('STERLING CATALOG - DRY '!G1345,"AAAAAH+/bxQ=")</f>
        <v>#VALUE!</v>
      </c>
      <c r="V66" t="e">
        <f>AND('STERLING CATALOG - DRY '!H1345,"AAAAAH+/bxU=")</f>
        <v>#VALUE!</v>
      </c>
      <c r="W66" t="e">
        <f>AND('STERLING CATALOG - DRY '!I1345,"AAAAAH+/bxY=")</f>
        <v>#VALUE!</v>
      </c>
      <c r="X66" t="e">
        <f>AND('STERLING CATALOG - DRY '!J1345,"AAAAAH+/bxc=")</f>
        <v>#VALUE!</v>
      </c>
      <c r="Y66">
        <f>IF('STERLING CATALOG - DRY '!1346:1346,"AAAAAH+/bxg=",0)</f>
        <v>0</v>
      </c>
      <c r="Z66" t="e">
        <f>AND('STERLING CATALOG - DRY '!A1346,"AAAAAH+/bxk=")</f>
        <v>#VALUE!</v>
      </c>
      <c r="AA66" t="e">
        <f>AND('STERLING CATALOG - DRY '!B1346,"AAAAAH+/bxo=")</f>
        <v>#VALUE!</v>
      </c>
      <c r="AB66" t="e">
        <f>AND('STERLING CATALOG - DRY '!C1346,"AAAAAH+/bxs=")</f>
        <v>#VALUE!</v>
      </c>
      <c r="AC66" t="e">
        <f>AND('STERLING CATALOG - DRY '!D1346,"AAAAAH+/bxw=")</f>
        <v>#VALUE!</v>
      </c>
      <c r="AD66" t="e">
        <f>AND('STERLING CATALOG - DRY '!E1346,"AAAAAH+/bx0=")</f>
        <v>#VALUE!</v>
      </c>
      <c r="AE66" t="e">
        <f>AND('STERLING CATALOG - DRY '!F1346,"AAAAAH+/bx4=")</f>
        <v>#VALUE!</v>
      </c>
      <c r="AF66" t="e">
        <f>AND('STERLING CATALOG - DRY '!G1346,"AAAAAH+/bx8=")</f>
        <v>#VALUE!</v>
      </c>
      <c r="AG66" t="e">
        <f>AND('STERLING CATALOG - DRY '!H1346,"AAAAAH+/byA=")</f>
        <v>#VALUE!</v>
      </c>
      <c r="AH66" t="e">
        <f>AND('STERLING CATALOG - DRY '!I1346,"AAAAAH+/byE=")</f>
        <v>#VALUE!</v>
      </c>
      <c r="AI66" t="e">
        <f>AND('STERLING CATALOG - DRY '!J1346,"AAAAAH+/byI=")</f>
        <v>#VALUE!</v>
      </c>
      <c r="AJ66">
        <f>IF('STERLING CATALOG - DRY '!1347:1347,"AAAAAH+/byM=",0)</f>
        <v>0</v>
      </c>
      <c r="AK66" t="e">
        <f>AND('STERLING CATALOG - DRY '!A1347,"AAAAAH+/byQ=")</f>
        <v>#VALUE!</v>
      </c>
      <c r="AL66" t="e">
        <f>AND('STERLING CATALOG - DRY '!B1347,"AAAAAH+/byU=")</f>
        <v>#VALUE!</v>
      </c>
      <c r="AM66" t="e">
        <f>AND('STERLING CATALOG - DRY '!C1347,"AAAAAH+/byY=")</f>
        <v>#VALUE!</v>
      </c>
      <c r="AN66" t="e">
        <f>AND('STERLING CATALOG - DRY '!D1347,"AAAAAH+/byc=")</f>
        <v>#VALUE!</v>
      </c>
      <c r="AO66" t="e">
        <f>AND('STERLING CATALOG - DRY '!E1347,"AAAAAH+/byg=")</f>
        <v>#VALUE!</v>
      </c>
      <c r="AP66" t="e">
        <f>AND('STERLING CATALOG - DRY '!F1347,"AAAAAH+/byk=")</f>
        <v>#VALUE!</v>
      </c>
      <c r="AQ66" t="e">
        <f>AND('STERLING CATALOG - DRY '!G1347,"AAAAAH+/byo=")</f>
        <v>#VALUE!</v>
      </c>
      <c r="AR66" t="e">
        <f>AND('STERLING CATALOG - DRY '!H1347,"AAAAAH+/bys=")</f>
        <v>#VALUE!</v>
      </c>
      <c r="AS66" t="e">
        <f>AND('STERLING CATALOG - DRY '!I1347,"AAAAAH+/byw=")</f>
        <v>#VALUE!</v>
      </c>
      <c r="AT66" t="e">
        <f>AND('STERLING CATALOG - DRY '!J1347,"AAAAAH+/by0=")</f>
        <v>#VALUE!</v>
      </c>
      <c r="AU66">
        <f>IF('STERLING CATALOG - DRY '!1348:1348,"AAAAAH+/by4=",0)</f>
        <v>0</v>
      </c>
      <c r="AV66" t="e">
        <f>AND('STERLING CATALOG - DRY '!A1348,"AAAAAH+/by8=")</f>
        <v>#VALUE!</v>
      </c>
      <c r="AW66" t="e">
        <f>AND('STERLING CATALOG - DRY '!B1348,"AAAAAH+/bzA=")</f>
        <v>#VALUE!</v>
      </c>
      <c r="AX66" t="e">
        <f>AND('STERLING CATALOG - DRY '!C1348,"AAAAAH+/bzE=")</f>
        <v>#VALUE!</v>
      </c>
      <c r="AY66" t="e">
        <f>AND('STERLING CATALOG - DRY '!D1348,"AAAAAH+/bzI=")</f>
        <v>#VALUE!</v>
      </c>
      <c r="AZ66" t="e">
        <f>AND('STERLING CATALOG - DRY '!E1348,"AAAAAH+/bzM=")</f>
        <v>#VALUE!</v>
      </c>
      <c r="BA66" t="e">
        <f>AND('STERLING CATALOG - DRY '!F1348,"AAAAAH+/bzQ=")</f>
        <v>#VALUE!</v>
      </c>
      <c r="BB66" t="e">
        <f>AND('STERLING CATALOG - DRY '!G1348,"AAAAAH+/bzU=")</f>
        <v>#VALUE!</v>
      </c>
      <c r="BC66" t="e">
        <f>AND('STERLING CATALOG - DRY '!H1348,"AAAAAH+/bzY=")</f>
        <v>#VALUE!</v>
      </c>
      <c r="BD66" t="e">
        <f>AND('STERLING CATALOG - DRY '!I1348,"AAAAAH+/bzc=")</f>
        <v>#VALUE!</v>
      </c>
      <c r="BE66" t="e">
        <f>AND('STERLING CATALOG - DRY '!J1348,"AAAAAH+/bzg=")</f>
        <v>#VALUE!</v>
      </c>
      <c r="BF66">
        <f>IF('STERLING CATALOG - DRY '!1349:1349,"AAAAAH+/bzk=",0)</f>
        <v>0</v>
      </c>
      <c r="BG66" t="e">
        <f>AND('STERLING CATALOG - DRY '!A1349,"AAAAAH+/bzo=")</f>
        <v>#VALUE!</v>
      </c>
      <c r="BH66" t="e">
        <f>AND('STERLING CATALOG - DRY '!B1349,"AAAAAH+/bzs=")</f>
        <v>#VALUE!</v>
      </c>
      <c r="BI66" t="e">
        <f>AND('STERLING CATALOG - DRY '!C1349,"AAAAAH+/bzw=")</f>
        <v>#VALUE!</v>
      </c>
      <c r="BJ66" t="e">
        <f>AND('STERLING CATALOG - DRY '!D1349,"AAAAAH+/bz0=")</f>
        <v>#VALUE!</v>
      </c>
      <c r="BK66" t="e">
        <f>AND('STERLING CATALOG - DRY '!E1349,"AAAAAH+/bz4=")</f>
        <v>#VALUE!</v>
      </c>
      <c r="BL66" t="e">
        <f>AND('STERLING CATALOG - DRY '!F1349,"AAAAAH+/bz8=")</f>
        <v>#VALUE!</v>
      </c>
      <c r="BM66" t="e">
        <f>AND('STERLING CATALOG - DRY '!G1349,"AAAAAH+/b0A=")</f>
        <v>#VALUE!</v>
      </c>
      <c r="BN66" t="e">
        <f>AND('STERLING CATALOG - DRY '!H1349,"AAAAAH+/b0E=")</f>
        <v>#VALUE!</v>
      </c>
      <c r="BO66" t="e">
        <f>AND('STERLING CATALOG - DRY '!I1349,"AAAAAH+/b0I=")</f>
        <v>#VALUE!</v>
      </c>
      <c r="BP66" t="e">
        <f>AND('STERLING CATALOG - DRY '!J1349,"AAAAAH+/b0M=")</f>
        <v>#VALUE!</v>
      </c>
      <c r="BQ66">
        <f>IF('STERLING CATALOG - DRY '!1350:1350,"AAAAAH+/b0Q=",0)</f>
        <v>0</v>
      </c>
      <c r="BR66" t="e">
        <f>AND('STERLING CATALOG - DRY '!A1350,"AAAAAH+/b0U=")</f>
        <v>#VALUE!</v>
      </c>
      <c r="BS66" t="e">
        <f>AND('STERLING CATALOG - DRY '!B1350,"AAAAAH+/b0Y=")</f>
        <v>#VALUE!</v>
      </c>
      <c r="BT66" t="e">
        <f>AND('STERLING CATALOG - DRY '!C1350,"AAAAAH+/b0c=")</f>
        <v>#VALUE!</v>
      </c>
      <c r="BU66" t="e">
        <f>AND('STERLING CATALOG - DRY '!D1350,"AAAAAH+/b0g=")</f>
        <v>#VALUE!</v>
      </c>
      <c r="BV66" t="e">
        <f>AND('STERLING CATALOG - DRY '!E1350,"AAAAAH+/b0k=")</f>
        <v>#VALUE!</v>
      </c>
      <c r="BW66" t="e">
        <f>AND('STERLING CATALOG - DRY '!F1350,"AAAAAH+/b0o=")</f>
        <v>#VALUE!</v>
      </c>
      <c r="BX66" t="e">
        <f>AND('STERLING CATALOG - DRY '!G1350,"AAAAAH+/b0s=")</f>
        <v>#VALUE!</v>
      </c>
      <c r="BY66" t="e">
        <f>AND('STERLING CATALOG - DRY '!H1350,"AAAAAH+/b0w=")</f>
        <v>#VALUE!</v>
      </c>
      <c r="BZ66" t="e">
        <f>AND('STERLING CATALOG - DRY '!I1350,"AAAAAH+/b00=")</f>
        <v>#VALUE!</v>
      </c>
      <c r="CA66" t="e">
        <f>AND('STERLING CATALOG - DRY '!J1350,"AAAAAH+/b04=")</f>
        <v>#VALUE!</v>
      </c>
      <c r="CB66">
        <f>IF('STERLING CATALOG - DRY '!1351:1351,"AAAAAH+/b08=",0)</f>
        <v>0</v>
      </c>
      <c r="CC66" t="e">
        <f>AND('STERLING CATALOG - DRY '!A1351,"AAAAAH+/b1A=")</f>
        <v>#VALUE!</v>
      </c>
      <c r="CD66" t="e">
        <f>AND('STERLING CATALOG - DRY '!B1351,"AAAAAH+/b1E=")</f>
        <v>#VALUE!</v>
      </c>
      <c r="CE66" t="e">
        <f>AND('STERLING CATALOG - DRY '!C1351,"AAAAAH+/b1I=")</f>
        <v>#VALUE!</v>
      </c>
      <c r="CF66" t="e">
        <f>AND('STERLING CATALOG - DRY '!D1351,"AAAAAH+/b1M=")</f>
        <v>#VALUE!</v>
      </c>
      <c r="CG66" t="e">
        <f>AND('STERLING CATALOG - DRY '!E1351,"AAAAAH+/b1Q=")</f>
        <v>#VALUE!</v>
      </c>
      <c r="CH66" t="e">
        <f>AND('STERLING CATALOG - DRY '!F1351,"AAAAAH+/b1U=")</f>
        <v>#VALUE!</v>
      </c>
      <c r="CI66" t="e">
        <f>AND('STERLING CATALOG - DRY '!G1351,"AAAAAH+/b1Y=")</f>
        <v>#VALUE!</v>
      </c>
      <c r="CJ66" t="e">
        <f>AND('STERLING CATALOG - DRY '!H1351,"AAAAAH+/b1c=")</f>
        <v>#VALUE!</v>
      </c>
      <c r="CK66" t="e">
        <f>AND('STERLING CATALOG - DRY '!I1351,"AAAAAH+/b1g=")</f>
        <v>#VALUE!</v>
      </c>
      <c r="CL66" t="e">
        <f>AND('STERLING CATALOG - DRY '!J1351,"AAAAAH+/b1k=")</f>
        <v>#VALUE!</v>
      </c>
      <c r="CM66">
        <f>IF('STERLING CATALOG - DRY '!1352:1352,"AAAAAH+/b1o=",0)</f>
        <v>0</v>
      </c>
      <c r="CN66" t="e">
        <f>AND('STERLING CATALOG - DRY '!A1352,"AAAAAH+/b1s=")</f>
        <v>#VALUE!</v>
      </c>
      <c r="CO66" t="e">
        <f>AND('STERLING CATALOG - DRY '!B1352,"AAAAAH+/b1w=")</f>
        <v>#VALUE!</v>
      </c>
      <c r="CP66" t="e">
        <f>AND('STERLING CATALOG - DRY '!C1352,"AAAAAH+/b10=")</f>
        <v>#VALUE!</v>
      </c>
      <c r="CQ66" t="e">
        <f>AND('STERLING CATALOG - DRY '!D1352,"AAAAAH+/b14=")</f>
        <v>#VALUE!</v>
      </c>
      <c r="CR66" t="e">
        <f>AND('STERLING CATALOG - DRY '!E1352,"AAAAAH+/b18=")</f>
        <v>#VALUE!</v>
      </c>
      <c r="CS66" t="e">
        <f>AND('STERLING CATALOG - DRY '!F1352,"AAAAAH+/b2A=")</f>
        <v>#VALUE!</v>
      </c>
      <c r="CT66" t="e">
        <f>AND('STERLING CATALOG - DRY '!G1352,"AAAAAH+/b2E=")</f>
        <v>#VALUE!</v>
      </c>
      <c r="CU66" t="e">
        <f>AND('STERLING CATALOG - DRY '!H1352,"AAAAAH+/b2I=")</f>
        <v>#VALUE!</v>
      </c>
      <c r="CV66" t="e">
        <f>AND('STERLING CATALOG - DRY '!I1352,"AAAAAH+/b2M=")</f>
        <v>#VALUE!</v>
      </c>
      <c r="CW66" t="e">
        <f>AND('STERLING CATALOG - DRY '!J1352,"AAAAAH+/b2Q=")</f>
        <v>#VALUE!</v>
      </c>
      <c r="CX66">
        <f>IF('STERLING CATALOG - DRY '!1353:1353,"AAAAAH+/b2U=",0)</f>
        <v>0</v>
      </c>
      <c r="CY66" t="e">
        <f>AND('STERLING CATALOG - DRY '!A1353,"AAAAAH+/b2Y=")</f>
        <v>#VALUE!</v>
      </c>
      <c r="CZ66" t="e">
        <f>AND('STERLING CATALOG - DRY '!B1353,"AAAAAH+/b2c=")</f>
        <v>#VALUE!</v>
      </c>
      <c r="DA66" t="e">
        <f>AND('STERLING CATALOG - DRY '!C1353,"AAAAAH+/b2g=")</f>
        <v>#VALUE!</v>
      </c>
      <c r="DB66" t="e">
        <f>AND('STERLING CATALOG - DRY '!D1353,"AAAAAH+/b2k=")</f>
        <v>#VALUE!</v>
      </c>
      <c r="DC66" t="e">
        <f>AND('STERLING CATALOG - DRY '!E1353,"AAAAAH+/b2o=")</f>
        <v>#VALUE!</v>
      </c>
      <c r="DD66" t="e">
        <f>AND('STERLING CATALOG - DRY '!F1353,"AAAAAH+/b2s=")</f>
        <v>#VALUE!</v>
      </c>
      <c r="DE66" t="e">
        <f>AND('STERLING CATALOG - DRY '!G1353,"AAAAAH+/b2w=")</f>
        <v>#VALUE!</v>
      </c>
      <c r="DF66" t="e">
        <f>AND('STERLING CATALOG - DRY '!H1353,"AAAAAH+/b20=")</f>
        <v>#VALUE!</v>
      </c>
      <c r="DG66" t="e">
        <f>AND('STERLING CATALOG - DRY '!I1353,"AAAAAH+/b24=")</f>
        <v>#VALUE!</v>
      </c>
      <c r="DH66" t="e">
        <f>AND('STERLING CATALOG - DRY '!J1353,"AAAAAH+/b28=")</f>
        <v>#VALUE!</v>
      </c>
      <c r="DI66">
        <f>IF('STERLING CATALOG - DRY '!1354:1354,"AAAAAH+/b3A=",0)</f>
        <v>0</v>
      </c>
      <c r="DJ66" t="e">
        <f>AND('STERLING CATALOG - DRY '!A1354,"AAAAAH+/b3E=")</f>
        <v>#VALUE!</v>
      </c>
      <c r="DK66" t="e">
        <f>AND('STERLING CATALOG - DRY '!B1354,"AAAAAH+/b3I=")</f>
        <v>#VALUE!</v>
      </c>
      <c r="DL66" t="e">
        <f>AND('STERLING CATALOG - DRY '!C1354,"AAAAAH+/b3M=")</f>
        <v>#VALUE!</v>
      </c>
      <c r="DM66" t="e">
        <f>AND('STERLING CATALOG - DRY '!D1354,"AAAAAH+/b3Q=")</f>
        <v>#VALUE!</v>
      </c>
      <c r="DN66" t="e">
        <f>AND('STERLING CATALOG - DRY '!E1354,"AAAAAH+/b3U=")</f>
        <v>#VALUE!</v>
      </c>
      <c r="DO66" t="e">
        <f>AND('STERLING CATALOG - DRY '!F1354,"AAAAAH+/b3Y=")</f>
        <v>#VALUE!</v>
      </c>
      <c r="DP66" t="e">
        <f>AND('STERLING CATALOG - DRY '!G1354,"AAAAAH+/b3c=")</f>
        <v>#VALUE!</v>
      </c>
      <c r="DQ66" t="e">
        <f>AND('STERLING CATALOG - DRY '!H1354,"AAAAAH+/b3g=")</f>
        <v>#VALUE!</v>
      </c>
      <c r="DR66" t="e">
        <f>AND('STERLING CATALOG - DRY '!I1354,"AAAAAH+/b3k=")</f>
        <v>#VALUE!</v>
      </c>
      <c r="DS66" t="e">
        <f>AND('STERLING CATALOG - DRY '!J1354,"AAAAAH+/b3o=")</f>
        <v>#VALUE!</v>
      </c>
      <c r="DT66">
        <f>IF('STERLING CATALOG - DRY '!1355:1355,"AAAAAH+/b3s=",0)</f>
        <v>0</v>
      </c>
      <c r="DU66" t="e">
        <f>AND('STERLING CATALOG - DRY '!A1355,"AAAAAH+/b3w=")</f>
        <v>#VALUE!</v>
      </c>
      <c r="DV66" t="e">
        <f>AND('STERLING CATALOG - DRY '!B1355,"AAAAAH+/b30=")</f>
        <v>#VALUE!</v>
      </c>
      <c r="DW66" t="e">
        <f>AND('STERLING CATALOG - DRY '!C1355,"AAAAAH+/b34=")</f>
        <v>#VALUE!</v>
      </c>
      <c r="DX66" t="e">
        <f>AND('STERLING CATALOG - DRY '!D1355,"AAAAAH+/b38=")</f>
        <v>#VALUE!</v>
      </c>
      <c r="DY66" t="e">
        <f>AND('STERLING CATALOG - DRY '!E1355,"AAAAAH+/b4A=")</f>
        <v>#VALUE!</v>
      </c>
      <c r="DZ66" t="e">
        <f>AND('STERLING CATALOG - DRY '!F1355,"AAAAAH+/b4E=")</f>
        <v>#VALUE!</v>
      </c>
      <c r="EA66" t="e">
        <f>AND('STERLING CATALOG - DRY '!G1355,"AAAAAH+/b4I=")</f>
        <v>#VALUE!</v>
      </c>
      <c r="EB66" t="e">
        <f>AND('STERLING CATALOG - DRY '!H1355,"AAAAAH+/b4M=")</f>
        <v>#VALUE!</v>
      </c>
      <c r="EC66" t="e">
        <f>AND('STERLING CATALOG - DRY '!I1355,"AAAAAH+/b4Q=")</f>
        <v>#VALUE!</v>
      </c>
      <c r="ED66" t="e">
        <f>AND('STERLING CATALOG - DRY '!J1355,"AAAAAH+/b4U=")</f>
        <v>#VALUE!</v>
      </c>
      <c r="EE66">
        <f>IF('STERLING CATALOG - DRY '!1356:1356,"AAAAAH+/b4Y=",0)</f>
        <v>0</v>
      </c>
      <c r="EF66" t="e">
        <f>AND('STERLING CATALOG - DRY '!A1356,"AAAAAH+/b4c=")</f>
        <v>#VALUE!</v>
      </c>
      <c r="EG66" t="e">
        <f>AND('STERLING CATALOG - DRY '!B1356,"AAAAAH+/b4g=")</f>
        <v>#VALUE!</v>
      </c>
      <c r="EH66" t="e">
        <f>AND('STERLING CATALOG - DRY '!C1356,"AAAAAH+/b4k=")</f>
        <v>#VALUE!</v>
      </c>
      <c r="EI66" t="e">
        <f>AND('STERLING CATALOG - DRY '!D1356,"AAAAAH+/b4o=")</f>
        <v>#VALUE!</v>
      </c>
      <c r="EJ66" t="e">
        <f>AND('STERLING CATALOG - DRY '!E1356,"AAAAAH+/b4s=")</f>
        <v>#VALUE!</v>
      </c>
      <c r="EK66" t="e">
        <f>AND('STERLING CATALOG - DRY '!F1356,"AAAAAH+/b4w=")</f>
        <v>#VALUE!</v>
      </c>
      <c r="EL66" t="e">
        <f>AND('STERLING CATALOG - DRY '!G1356,"AAAAAH+/b40=")</f>
        <v>#VALUE!</v>
      </c>
      <c r="EM66" t="e">
        <f>AND('STERLING CATALOG - DRY '!H1356,"AAAAAH+/b44=")</f>
        <v>#VALUE!</v>
      </c>
      <c r="EN66" t="e">
        <f>AND('STERLING CATALOG - DRY '!I1356,"AAAAAH+/b48=")</f>
        <v>#VALUE!</v>
      </c>
      <c r="EO66" t="e">
        <f>AND('STERLING CATALOG - DRY '!J1356,"AAAAAH+/b5A=")</f>
        <v>#VALUE!</v>
      </c>
      <c r="EP66">
        <f>IF('STERLING CATALOG - DRY '!1357:1357,"AAAAAH+/b5E=",0)</f>
        <v>0</v>
      </c>
      <c r="EQ66" t="e">
        <f>AND('STERLING CATALOG - DRY '!A1357,"AAAAAH+/b5I=")</f>
        <v>#VALUE!</v>
      </c>
      <c r="ER66" t="e">
        <f>AND('STERLING CATALOG - DRY '!B1357,"AAAAAH+/b5M=")</f>
        <v>#VALUE!</v>
      </c>
      <c r="ES66" t="e">
        <f>AND('STERLING CATALOG - DRY '!C1357,"AAAAAH+/b5Q=")</f>
        <v>#VALUE!</v>
      </c>
      <c r="ET66" t="e">
        <f>AND('STERLING CATALOG - DRY '!D1357,"AAAAAH+/b5U=")</f>
        <v>#VALUE!</v>
      </c>
      <c r="EU66" t="e">
        <f>AND('STERLING CATALOG - DRY '!E1357,"AAAAAH+/b5Y=")</f>
        <v>#VALUE!</v>
      </c>
      <c r="EV66" t="e">
        <f>AND('STERLING CATALOG - DRY '!F1357,"AAAAAH+/b5c=")</f>
        <v>#VALUE!</v>
      </c>
      <c r="EW66" t="e">
        <f>AND('STERLING CATALOG - DRY '!G1357,"AAAAAH+/b5g=")</f>
        <v>#VALUE!</v>
      </c>
      <c r="EX66" t="e">
        <f>AND('STERLING CATALOG - DRY '!H1357,"AAAAAH+/b5k=")</f>
        <v>#VALUE!</v>
      </c>
      <c r="EY66" t="e">
        <f>AND('STERLING CATALOG - DRY '!I1357,"AAAAAH+/b5o=")</f>
        <v>#VALUE!</v>
      </c>
      <c r="EZ66" t="e">
        <f>AND('STERLING CATALOG - DRY '!J1357,"AAAAAH+/b5s=")</f>
        <v>#VALUE!</v>
      </c>
      <c r="FA66">
        <f>IF('STERLING CATALOG - DRY '!1358:1358,"AAAAAH+/b5w=",0)</f>
        <v>0</v>
      </c>
      <c r="FB66" t="e">
        <f>AND('STERLING CATALOG - DRY '!A1358,"AAAAAH+/b50=")</f>
        <v>#VALUE!</v>
      </c>
      <c r="FC66" t="e">
        <f>AND('STERLING CATALOG - DRY '!B1358,"AAAAAH+/b54=")</f>
        <v>#VALUE!</v>
      </c>
      <c r="FD66" t="e">
        <f>AND('STERLING CATALOG - DRY '!C1358,"AAAAAH+/b58=")</f>
        <v>#VALUE!</v>
      </c>
      <c r="FE66" t="e">
        <f>AND('STERLING CATALOG - DRY '!D1358,"AAAAAH+/b6A=")</f>
        <v>#VALUE!</v>
      </c>
      <c r="FF66" t="e">
        <f>AND('STERLING CATALOG - DRY '!E1358,"AAAAAH+/b6E=")</f>
        <v>#VALUE!</v>
      </c>
      <c r="FG66" t="e">
        <f>AND('STERLING CATALOG - DRY '!F1358,"AAAAAH+/b6I=")</f>
        <v>#VALUE!</v>
      </c>
      <c r="FH66" t="e">
        <f>AND('STERLING CATALOG - DRY '!G1358,"AAAAAH+/b6M=")</f>
        <v>#VALUE!</v>
      </c>
      <c r="FI66" t="e">
        <f>AND('STERLING CATALOG - DRY '!H1358,"AAAAAH+/b6Q=")</f>
        <v>#VALUE!</v>
      </c>
      <c r="FJ66" t="e">
        <f>AND('STERLING CATALOG - DRY '!I1358,"AAAAAH+/b6U=")</f>
        <v>#VALUE!</v>
      </c>
      <c r="FK66" t="e">
        <f>AND('STERLING CATALOG - DRY '!J1358,"AAAAAH+/b6Y=")</f>
        <v>#VALUE!</v>
      </c>
      <c r="FL66">
        <f>IF('STERLING CATALOG - DRY '!1359:1359,"AAAAAH+/b6c=",0)</f>
        <v>0</v>
      </c>
      <c r="FM66" t="e">
        <f>AND('STERLING CATALOG - DRY '!A1359,"AAAAAH+/b6g=")</f>
        <v>#VALUE!</v>
      </c>
      <c r="FN66" t="e">
        <f>AND('STERLING CATALOG - DRY '!B1359,"AAAAAH+/b6k=")</f>
        <v>#VALUE!</v>
      </c>
      <c r="FO66" t="e">
        <f>AND('STERLING CATALOG - DRY '!C1359,"AAAAAH+/b6o=")</f>
        <v>#VALUE!</v>
      </c>
      <c r="FP66" t="e">
        <f>AND('STERLING CATALOG - DRY '!D1359,"AAAAAH+/b6s=")</f>
        <v>#VALUE!</v>
      </c>
      <c r="FQ66" t="e">
        <f>AND('STERLING CATALOG - DRY '!E1359,"AAAAAH+/b6w=")</f>
        <v>#VALUE!</v>
      </c>
      <c r="FR66" t="e">
        <f>AND('STERLING CATALOG - DRY '!F1359,"AAAAAH+/b60=")</f>
        <v>#VALUE!</v>
      </c>
      <c r="FS66" t="e">
        <f>AND('STERLING CATALOG - DRY '!G1359,"AAAAAH+/b64=")</f>
        <v>#VALUE!</v>
      </c>
      <c r="FT66" t="e">
        <f>AND('STERLING CATALOG - DRY '!H1359,"AAAAAH+/b68=")</f>
        <v>#VALUE!</v>
      </c>
      <c r="FU66" t="e">
        <f>AND('STERLING CATALOG - DRY '!I1359,"AAAAAH+/b7A=")</f>
        <v>#VALUE!</v>
      </c>
      <c r="FV66" t="e">
        <f>AND('STERLING CATALOG - DRY '!J1359,"AAAAAH+/b7E=")</f>
        <v>#VALUE!</v>
      </c>
      <c r="FW66">
        <f>IF('STERLING CATALOG - DRY '!1360:1360,"AAAAAH+/b7I=",0)</f>
        <v>0</v>
      </c>
      <c r="FX66" t="e">
        <f>AND('STERLING CATALOG - DRY '!A1360,"AAAAAH+/b7M=")</f>
        <v>#VALUE!</v>
      </c>
      <c r="FY66" t="e">
        <f>AND('STERLING CATALOG - DRY '!B1360,"AAAAAH+/b7Q=")</f>
        <v>#VALUE!</v>
      </c>
      <c r="FZ66" t="e">
        <f>AND('STERLING CATALOG - DRY '!C1360,"AAAAAH+/b7U=")</f>
        <v>#VALUE!</v>
      </c>
      <c r="GA66" t="e">
        <f>AND('STERLING CATALOG - DRY '!D1360,"AAAAAH+/b7Y=")</f>
        <v>#VALUE!</v>
      </c>
      <c r="GB66" t="e">
        <f>AND('STERLING CATALOG - DRY '!E1360,"AAAAAH+/b7c=")</f>
        <v>#VALUE!</v>
      </c>
      <c r="GC66" t="e">
        <f>AND('STERLING CATALOG - DRY '!F1360,"AAAAAH+/b7g=")</f>
        <v>#VALUE!</v>
      </c>
      <c r="GD66" t="e">
        <f>AND('STERLING CATALOG - DRY '!G1360,"AAAAAH+/b7k=")</f>
        <v>#VALUE!</v>
      </c>
      <c r="GE66" t="e">
        <f>AND('STERLING CATALOG - DRY '!H1360,"AAAAAH+/b7o=")</f>
        <v>#VALUE!</v>
      </c>
      <c r="GF66" t="e">
        <f>AND('STERLING CATALOG - DRY '!I1360,"AAAAAH+/b7s=")</f>
        <v>#VALUE!</v>
      </c>
      <c r="GG66" t="e">
        <f>AND('STERLING CATALOG - DRY '!J1360,"AAAAAH+/b7w=")</f>
        <v>#VALUE!</v>
      </c>
      <c r="GH66">
        <f>IF('STERLING CATALOG - DRY '!1361:1361,"AAAAAH+/b70=",0)</f>
        <v>0</v>
      </c>
      <c r="GI66" t="e">
        <f>AND('STERLING CATALOG - DRY '!A1361,"AAAAAH+/b74=")</f>
        <v>#VALUE!</v>
      </c>
      <c r="GJ66" t="e">
        <f>AND('STERLING CATALOG - DRY '!B1361,"AAAAAH+/b78=")</f>
        <v>#VALUE!</v>
      </c>
      <c r="GK66" t="e">
        <f>AND('STERLING CATALOG - DRY '!C1361,"AAAAAH+/b8A=")</f>
        <v>#VALUE!</v>
      </c>
      <c r="GL66" t="e">
        <f>AND('STERLING CATALOG - DRY '!D1361,"AAAAAH+/b8E=")</f>
        <v>#VALUE!</v>
      </c>
      <c r="GM66" t="e">
        <f>AND('STERLING CATALOG - DRY '!E1361,"AAAAAH+/b8I=")</f>
        <v>#VALUE!</v>
      </c>
      <c r="GN66" t="e">
        <f>AND('STERLING CATALOG - DRY '!F1361,"AAAAAH+/b8M=")</f>
        <v>#VALUE!</v>
      </c>
      <c r="GO66" t="e">
        <f>AND('STERLING CATALOG - DRY '!G1361,"AAAAAH+/b8Q=")</f>
        <v>#VALUE!</v>
      </c>
      <c r="GP66" t="e">
        <f>AND('STERLING CATALOG - DRY '!H1361,"AAAAAH+/b8U=")</f>
        <v>#VALUE!</v>
      </c>
      <c r="GQ66" t="e">
        <f>AND('STERLING CATALOG - DRY '!I1361,"AAAAAH+/b8Y=")</f>
        <v>#VALUE!</v>
      </c>
      <c r="GR66" t="e">
        <f>AND('STERLING CATALOG - DRY '!J1361,"AAAAAH+/b8c=")</f>
        <v>#VALUE!</v>
      </c>
      <c r="GS66">
        <f>IF('STERLING CATALOG - DRY '!1362:1362,"AAAAAH+/b8g=",0)</f>
        <v>0</v>
      </c>
      <c r="GT66" t="e">
        <f>AND('STERLING CATALOG - DRY '!A1362,"AAAAAH+/b8k=")</f>
        <v>#VALUE!</v>
      </c>
      <c r="GU66" t="e">
        <f>AND('STERLING CATALOG - DRY '!B1362,"AAAAAH+/b8o=")</f>
        <v>#VALUE!</v>
      </c>
      <c r="GV66" t="e">
        <f>AND('STERLING CATALOG - DRY '!C1362,"AAAAAH+/b8s=")</f>
        <v>#VALUE!</v>
      </c>
      <c r="GW66" t="e">
        <f>AND('STERLING CATALOG - DRY '!D1362,"AAAAAH+/b8w=")</f>
        <v>#VALUE!</v>
      </c>
      <c r="GX66" t="e">
        <f>AND('STERLING CATALOG - DRY '!E1362,"AAAAAH+/b80=")</f>
        <v>#VALUE!</v>
      </c>
      <c r="GY66" t="e">
        <f>AND('STERLING CATALOG - DRY '!F1362,"AAAAAH+/b84=")</f>
        <v>#VALUE!</v>
      </c>
      <c r="GZ66" t="e">
        <f>AND('STERLING CATALOG - DRY '!G1362,"AAAAAH+/b88=")</f>
        <v>#VALUE!</v>
      </c>
      <c r="HA66" t="e">
        <f>AND('STERLING CATALOG - DRY '!H1362,"AAAAAH+/b9A=")</f>
        <v>#VALUE!</v>
      </c>
      <c r="HB66" t="e">
        <f>AND('STERLING CATALOG - DRY '!I1362,"AAAAAH+/b9E=")</f>
        <v>#VALUE!</v>
      </c>
      <c r="HC66" t="e">
        <f>AND('STERLING CATALOG - DRY '!J1362,"AAAAAH+/b9I=")</f>
        <v>#VALUE!</v>
      </c>
      <c r="HD66">
        <f>IF('STERLING CATALOG - DRY '!1363:1363,"AAAAAH+/b9M=",0)</f>
        <v>0</v>
      </c>
      <c r="HE66" t="e">
        <f>AND('STERLING CATALOG - DRY '!A1363,"AAAAAH+/b9Q=")</f>
        <v>#VALUE!</v>
      </c>
      <c r="HF66" t="e">
        <f>AND('STERLING CATALOG - DRY '!B1363,"AAAAAH+/b9U=")</f>
        <v>#VALUE!</v>
      </c>
      <c r="HG66" t="e">
        <f>AND('STERLING CATALOG - DRY '!C1363,"AAAAAH+/b9Y=")</f>
        <v>#VALUE!</v>
      </c>
      <c r="HH66" t="e">
        <f>AND('STERLING CATALOG - DRY '!D1363,"AAAAAH+/b9c=")</f>
        <v>#VALUE!</v>
      </c>
      <c r="HI66" t="e">
        <f>AND('STERLING CATALOG - DRY '!E1363,"AAAAAH+/b9g=")</f>
        <v>#VALUE!</v>
      </c>
      <c r="HJ66" t="e">
        <f>AND('STERLING CATALOG - DRY '!F1363,"AAAAAH+/b9k=")</f>
        <v>#VALUE!</v>
      </c>
      <c r="HK66" t="e">
        <f>AND('STERLING CATALOG - DRY '!G1363,"AAAAAH+/b9o=")</f>
        <v>#VALUE!</v>
      </c>
      <c r="HL66" t="e">
        <f>AND('STERLING CATALOG - DRY '!H1363,"AAAAAH+/b9s=")</f>
        <v>#VALUE!</v>
      </c>
      <c r="HM66" t="e">
        <f>AND('STERLING CATALOG - DRY '!I1363,"AAAAAH+/b9w=")</f>
        <v>#VALUE!</v>
      </c>
      <c r="HN66" t="e">
        <f>AND('STERLING CATALOG - DRY '!J1363,"AAAAAH+/b90=")</f>
        <v>#VALUE!</v>
      </c>
      <c r="HO66">
        <f>IF('STERLING CATALOG - DRY '!1364:1364,"AAAAAH+/b94=",0)</f>
        <v>0</v>
      </c>
      <c r="HP66" t="e">
        <f>AND('STERLING CATALOG - DRY '!A1364,"AAAAAH+/b98=")</f>
        <v>#VALUE!</v>
      </c>
      <c r="HQ66" t="e">
        <f>AND('STERLING CATALOG - DRY '!B1364,"AAAAAH+/b+A=")</f>
        <v>#VALUE!</v>
      </c>
      <c r="HR66" t="e">
        <f>AND('STERLING CATALOG - DRY '!C1364,"AAAAAH+/b+E=")</f>
        <v>#VALUE!</v>
      </c>
      <c r="HS66" t="e">
        <f>AND('STERLING CATALOG - DRY '!D1364,"AAAAAH+/b+I=")</f>
        <v>#VALUE!</v>
      </c>
      <c r="HT66" t="e">
        <f>AND('STERLING CATALOG - DRY '!E1364,"AAAAAH+/b+M=")</f>
        <v>#VALUE!</v>
      </c>
      <c r="HU66" t="e">
        <f>AND('STERLING CATALOG - DRY '!F1364,"AAAAAH+/b+Q=")</f>
        <v>#VALUE!</v>
      </c>
      <c r="HV66" t="e">
        <f>AND('STERLING CATALOG - DRY '!G1364,"AAAAAH+/b+U=")</f>
        <v>#VALUE!</v>
      </c>
      <c r="HW66" t="e">
        <f>AND('STERLING CATALOG - DRY '!H1364,"AAAAAH+/b+Y=")</f>
        <v>#VALUE!</v>
      </c>
      <c r="HX66" t="e">
        <f>AND('STERLING CATALOG - DRY '!I1364,"AAAAAH+/b+c=")</f>
        <v>#VALUE!</v>
      </c>
      <c r="HY66" t="e">
        <f>AND('STERLING CATALOG - DRY '!J1364,"AAAAAH+/b+g=")</f>
        <v>#VALUE!</v>
      </c>
      <c r="HZ66">
        <f>IF('STERLING CATALOG - DRY '!1365:1365,"AAAAAH+/b+k=",0)</f>
        <v>0</v>
      </c>
      <c r="IA66" t="e">
        <f>AND('STERLING CATALOG - DRY '!A1365,"AAAAAH+/b+o=")</f>
        <v>#VALUE!</v>
      </c>
      <c r="IB66" t="e">
        <f>AND('STERLING CATALOG - DRY '!B1365,"AAAAAH+/b+s=")</f>
        <v>#VALUE!</v>
      </c>
      <c r="IC66" t="e">
        <f>AND('STERLING CATALOG - DRY '!C1365,"AAAAAH+/b+w=")</f>
        <v>#VALUE!</v>
      </c>
      <c r="ID66" t="e">
        <f>AND('STERLING CATALOG - DRY '!D1365,"AAAAAH+/b+0=")</f>
        <v>#VALUE!</v>
      </c>
      <c r="IE66" t="e">
        <f>AND('STERLING CATALOG - DRY '!E1365,"AAAAAH+/b+4=")</f>
        <v>#VALUE!</v>
      </c>
      <c r="IF66" t="e">
        <f>AND('STERLING CATALOG - DRY '!F1365,"AAAAAH+/b+8=")</f>
        <v>#VALUE!</v>
      </c>
      <c r="IG66" t="e">
        <f>AND('STERLING CATALOG - DRY '!G1365,"AAAAAH+/b/A=")</f>
        <v>#VALUE!</v>
      </c>
      <c r="IH66" t="e">
        <f>AND('STERLING CATALOG - DRY '!H1365,"AAAAAH+/b/E=")</f>
        <v>#VALUE!</v>
      </c>
      <c r="II66" t="e">
        <f>AND('STERLING CATALOG - DRY '!I1365,"AAAAAH+/b/I=")</f>
        <v>#VALUE!</v>
      </c>
      <c r="IJ66" t="e">
        <f>AND('STERLING CATALOG - DRY '!J1365,"AAAAAH+/b/M=")</f>
        <v>#VALUE!</v>
      </c>
      <c r="IK66">
        <f>IF('STERLING CATALOG - DRY '!1366:1366,"AAAAAH+/b/Q=",0)</f>
        <v>0</v>
      </c>
      <c r="IL66" t="e">
        <f>AND('STERLING CATALOG - DRY '!A1366,"AAAAAH+/b/U=")</f>
        <v>#VALUE!</v>
      </c>
      <c r="IM66" t="e">
        <f>AND('STERLING CATALOG - DRY '!B1366,"AAAAAH+/b/Y=")</f>
        <v>#VALUE!</v>
      </c>
      <c r="IN66" t="e">
        <f>AND('STERLING CATALOG - DRY '!C1366,"AAAAAH+/b/c=")</f>
        <v>#VALUE!</v>
      </c>
      <c r="IO66" t="e">
        <f>AND('STERLING CATALOG - DRY '!D1366,"AAAAAH+/b/g=")</f>
        <v>#VALUE!</v>
      </c>
      <c r="IP66" t="e">
        <f>AND('STERLING CATALOG - DRY '!E1366,"AAAAAH+/b/k=")</f>
        <v>#VALUE!</v>
      </c>
      <c r="IQ66" t="e">
        <f>AND('STERLING CATALOG - DRY '!F1366,"AAAAAH+/b/o=")</f>
        <v>#VALUE!</v>
      </c>
      <c r="IR66" t="e">
        <f>AND('STERLING CATALOG - DRY '!G1366,"AAAAAH+/b/s=")</f>
        <v>#VALUE!</v>
      </c>
      <c r="IS66" t="e">
        <f>AND('STERLING CATALOG - DRY '!H1366,"AAAAAH+/b/w=")</f>
        <v>#VALUE!</v>
      </c>
      <c r="IT66" t="e">
        <f>AND('STERLING CATALOG - DRY '!I1366,"AAAAAH+/b/0=")</f>
        <v>#VALUE!</v>
      </c>
      <c r="IU66" t="e">
        <f>AND('STERLING CATALOG - DRY '!J1366,"AAAAAH+/b/4=")</f>
        <v>#VALUE!</v>
      </c>
      <c r="IV66">
        <f>IF('STERLING CATALOG - DRY '!1367:1367,"AAAAAH+/b/8=",0)</f>
        <v>0</v>
      </c>
    </row>
    <row r="67" spans="1:256">
      <c r="A67" t="e">
        <f>AND('STERLING CATALOG - DRY '!A1367,"AAAAAHPO9gA=")</f>
        <v>#VALUE!</v>
      </c>
      <c r="B67" t="e">
        <f>AND('STERLING CATALOG - DRY '!B1367,"AAAAAHPO9gE=")</f>
        <v>#VALUE!</v>
      </c>
      <c r="C67" t="e">
        <f>AND('STERLING CATALOG - DRY '!C1367,"AAAAAHPO9gI=")</f>
        <v>#VALUE!</v>
      </c>
      <c r="D67" t="e">
        <f>AND('STERLING CATALOG - DRY '!D1367,"AAAAAHPO9gM=")</f>
        <v>#VALUE!</v>
      </c>
      <c r="E67" t="e">
        <f>AND('STERLING CATALOG - DRY '!E1367,"AAAAAHPO9gQ=")</f>
        <v>#VALUE!</v>
      </c>
      <c r="F67" t="e">
        <f>AND('STERLING CATALOG - DRY '!F1367,"AAAAAHPO9gU=")</f>
        <v>#VALUE!</v>
      </c>
      <c r="G67" t="e">
        <f>AND('STERLING CATALOG - DRY '!G1367,"AAAAAHPO9gY=")</f>
        <v>#VALUE!</v>
      </c>
      <c r="H67" t="e">
        <f>AND('STERLING CATALOG - DRY '!H1367,"AAAAAHPO9gc=")</f>
        <v>#VALUE!</v>
      </c>
      <c r="I67" t="e">
        <f>AND('STERLING CATALOG - DRY '!I1367,"AAAAAHPO9gg=")</f>
        <v>#VALUE!</v>
      </c>
      <c r="J67" t="e">
        <f>AND('STERLING CATALOG - DRY '!J1367,"AAAAAHPO9gk=")</f>
        <v>#VALUE!</v>
      </c>
      <c r="K67">
        <f>IF('STERLING CATALOG - DRY '!1368:1368,"AAAAAHPO9go=",0)</f>
        <v>0</v>
      </c>
      <c r="L67" t="e">
        <f>AND('STERLING CATALOG - DRY '!A1368,"AAAAAHPO9gs=")</f>
        <v>#VALUE!</v>
      </c>
      <c r="M67" t="e">
        <f>AND('STERLING CATALOG - DRY '!B1368,"AAAAAHPO9gw=")</f>
        <v>#VALUE!</v>
      </c>
      <c r="N67" t="e">
        <f>AND('STERLING CATALOG - DRY '!C1368,"AAAAAHPO9g0=")</f>
        <v>#VALUE!</v>
      </c>
      <c r="O67" t="e">
        <f>AND('STERLING CATALOG - DRY '!D1368,"AAAAAHPO9g4=")</f>
        <v>#VALUE!</v>
      </c>
      <c r="P67" t="e">
        <f>AND('STERLING CATALOG - DRY '!E1368,"AAAAAHPO9g8=")</f>
        <v>#VALUE!</v>
      </c>
      <c r="Q67" t="e">
        <f>AND('STERLING CATALOG - DRY '!F1368,"AAAAAHPO9hA=")</f>
        <v>#VALUE!</v>
      </c>
      <c r="R67" t="e">
        <f>AND('STERLING CATALOG - DRY '!G1368,"AAAAAHPO9hE=")</f>
        <v>#VALUE!</v>
      </c>
      <c r="S67" t="e">
        <f>AND('STERLING CATALOG - DRY '!H1368,"AAAAAHPO9hI=")</f>
        <v>#VALUE!</v>
      </c>
      <c r="T67" t="e">
        <f>AND('STERLING CATALOG - DRY '!I1368,"AAAAAHPO9hM=")</f>
        <v>#VALUE!</v>
      </c>
      <c r="U67" t="e">
        <f>AND('STERLING CATALOG - DRY '!J1368,"AAAAAHPO9hQ=")</f>
        <v>#VALUE!</v>
      </c>
      <c r="V67">
        <f>IF('STERLING CATALOG - DRY '!1369:1369,"AAAAAHPO9hU=",0)</f>
        <v>0</v>
      </c>
      <c r="W67" t="e">
        <f>AND('STERLING CATALOG - DRY '!A1369,"AAAAAHPO9hY=")</f>
        <v>#VALUE!</v>
      </c>
      <c r="X67" t="e">
        <f>AND('STERLING CATALOG - DRY '!B1369,"AAAAAHPO9hc=")</f>
        <v>#VALUE!</v>
      </c>
      <c r="Y67" t="e">
        <f>AND('STERLING CATALOG - DRY '!C1369,"AAAAAHPO9hg=")</f>
        <v>#VALUE!</v>
      </c>
      <c r="Z67" t="e">
        <f>AND('STERLING CATALOG - DRY '!D1369,"AAAAAHPO9hk=")</f>
        <v>#VALUE!</v>
      </c>
      <c r="AA67" t="e">
        <f>AND('STERLING CATALOG - DRY '!E1369,"AAAAAHPO9ho=")</f>
        <v>#VALUE!</v>
      </c>
      <c r="AB67" t="e">
        <f>AND('STERLING CATALOG - DRY '!F1369,"AAAAAHPO9hs=")</f>
        <v>#VALUE!</v>
      </c>
      <c r="AC67" t="e">
        <f>AND('STERLING CATALOG - DRY '!G1369,"AAAAAHPO9hw=")</f>
        <v>#VALUE!</v>
      </c>
      <c r="AD67" t="e">
        <f>AND('STERLING CATALOG - DRY '!H1369,"AAAAAHPO9h0=")</f>
        <v>#VALUE!</v>
      </c>
      <c r="AE67" t="e">
        <f>AND('STERLING CATALOG - DRY '!I1369,"AAAAAHPO9h4=")</f>
        <v>#VALUE!</v>
      </c>
      <c r="AF67" t="e">
        <f>AND('STERLING CATALOG - DRY '!J1369,"AAAAAHPO9h8=")</f>
        <v>#VALUE!</v>
      </c>
      <c r="AG67">
        <f>IF('STERLING CATALOG - DRY '!1370:1370,"AAAAAHPO9iA=",0)</f>
        <v>0</v>
      </c>
      <c r="AH67" t="e">
        <f>AND('STERLING CATALOG - DRY '!A1370,"AAAAAHPO9iE=")</f>
        <v>#VALUE!</v>
      </c>
      <c r="AI67" t="e">
        <f>AND('STERLING CATALOG - DRY '!B1370,"AAAAAHPO9iI=")</f>
        <v>#VALUE!</v>
      </c>
      <c r="AJ67" t="e">
        <f>AND('STERLING CATALOG - DRY '!C1370,"AAAAAHPO9iM=")</f>
        <v>#VALUE!</v>
      </c>
      <c r="AK67" t="e">
        <f>AND('STERLING CATALOG - DRY '!D1370,"AAAAAHPO9iQ=")</f>
        <v>#VALUE!</v>
      </c>
      <c r="AL67" t="e">
        <f>AND('STERLING CATALOG - DRY '!E1370,"AAAAAHPO9iU=")</f>
        <v>#VALUE!</v>
      </c>
      <c r="AM67" t="e">
        <f>AND('STERLING CATALOG - DRY '!F1370,"AAAAAHPO9iY=")</f>
        <v>#VALUE!</v>
      </c>
      <c r="AN67" t="e">
        <f>AND('STERLING CATALOG - DRY '!G1370,"AAAAAHPO9ic=")</f>
        <v>#VALUE!</v>
      </c>
      <c r="AO67" t="e">
        <f>AND('STERLING CATALOG - DRY '!H1370,"AAAAAHPO9ig=")</f>
        <v>#VALUE!</v>
      </c>
      <c r="AP67" t="e">
        <f>AND('STERLING CATALOG - DRY '!I1370,"AAAAAHPO9ik=")</f>
        <v>#VALUE!</v>
      </c>
      <c r="AQ67" t="e">
        <f>AND('STERLING CATALOG - DRY '!J1370,"AAAAAHPO9io=")</f>
        <v>#VALUE!</v>
      </c>
      <c r="AR67">
        <f>IF('STERLING CATALOG - DRY '!1371:1371,"AAAAAHPO9is=",0)</f>
        <v>0</v>
      </c>
      <c r="AS67" t="e">
        <f>AND('STERLING CATALOG - DRY '!A1371,"AAAAAHPO9iw=")</f>
        <v>#VALUE!</v>
      </c>
      <c r="AT67" t="e">
        <f>AND('STERLING CATALOG - DRY '!B1371,"AAAAAHPO9i0=")</f>
        <v>#VALUE!</v>
      </c>
      <c r="AU67" t="e">
        <f>AND('STERLING CATALOG - DRY '!C1371,"AAAAAHPO9i4=")</f>
        <v>#VALUE!</v>
      </c>
      <c r="AV67" t="e">
        <f>AND('STERLING CATALOG - DRY '!D1371,"AAAAAHPO9i8=")</f>
        <v>#VALUE!</v>
      </c>
      <c r="AW67" t="e">
        <f>AND('STERLING CATALOG - DRY '!E1371,"AAAAAHPO9jA=")</f>
        <v>#VALUE!</v>
      </c>
      <c r="AX67" t="e">
        <f>AND('STERLING CATALOG - DRY '!F1371,"AAAAAHPO9jE=")</f>
        <v>#VALUE!</v>
      </c>
      <c r="AY67" t="e">
        <f>AND('STERLING CATALOG - DRY '!G1371,"AAAAAHPO9jI=")</f>
        <v>#VALUE!</v>
      </c>
      <c r="AZ67" t="e">
        <f>AND('STERLING CATALOG - DRY '!H1371,"AAAAAHPO9jM=")</f>
        <v>#VALUE!</v>
      </c>
      <c r="BA67" t="e">
        <f>AND('STERLING CATALOG - DRY '!I1371,"AAAAAHPO9jQ=")</f>
        <v>#VALUE!</v>
      </c>
      <c r="BB67" t="e">
        <f>AND('STERLING CATALOG - DRY '!J1371,"AAAAAHPO9jU=")</f>
        <v>#VALUE!</v>
      </c>
      <c r="BC67">
        <f>IF('STERLING CATALOG - DRY '!1372:1372,"AAAAAHPO9jY=",0)</f>
        <v>0</v>
      </c>
      <c r="BD67" t="e">
        <f>AND('STERLING CATALOG - DRY '!A1372,"AAAAAHPO9jc=")</f>
        <v>#VALUE!</v>
      </c>
      <c r="BE67" t="e">
        <f>AND('STERLING CATALOG - DRY '!B1372,"AAAAAHPO9jg=")</f>
        <v>#VALUE!</v>
      </c>
      <c r="BF67" t="e">
        <f>AND('STERLING CATALOG - DRY '!C1372,"AAAAAHPO9jk=")</f>
        <v>#VALUE!</v>
      </c>
      <c r="BG67" t="e">
        <f>AND('STERLING CATALOG - DRY '!D1372,"AAAAAHPO9jo=")</f>
        <v>#VALUE!</v>
      </c>
      <c r="BH67" t="e">
        <f>AND('STERLING CATALOG - DRY '!E1372,"AAAAAHPO9js=")</f>
        <v>#VALUE!</v>
      </c>
      <c r="BI67" t="e">
        <f>AND('STERLING CATALOG - DRY '!F1372,"AAAAAHPO9jw=")</f>
        <v>#VALUE!</v>
      </c>
      <c r="BJ67" t="e">
        <f>AND('STERLING CATALOG - DRY '!G1372,"AAAAAHPO9j0=")</f>
        <v>#VALUE!</v>
      </c>
      <c r="BK67" t="e">
        <f>AND('STERLING CATALOG - DRY '!H1372,"AAAAAHPO9j4=")</f>
        <v>#VALUE!</v>
      </c>
      <c r="BL67" t="e">
        <f>AND('STERLING CATALOG - DRY '!I1372,"AAAAAHPO9j8=")</f>
        <v>#VALUE!</v>
      </c>
      <c r="BM67" t="e">
        <f>AND('STERLING CATALOG - DRY '!J1372,"AAAAAHPO9kA=")</f>
        <v>#VALUE!</v>
      </c>
      <c r="BN67">
        <f>IF('STERLING CATALOG - DRY '!1373:1373,"AAAAAHPO9kE=",0)</f>
        <v>0</v>
      </c>
      <c r="BO67" t="e">
        <f>AND('STERLING CATALOG - DRY '!A1373,"AAAAAHPO9kI=")</f>
        <v>#VALUE!</v>
      </c>
      <c r="BP67" t="e">
        <f>AND('STERLING CATALOG - DRY '!B1373,"AAAAAHPO9kM=")</f>
        <v>#VALUE!</v>
      </c>
      <c r="BQ67" t="e">
        <f>AND('STERLING CATALOG - DRY '!C1373,"AAAAAHPO9kQ=")</f>
        <v>#VALUE!</v>
      </c>
      <c r="BR67" t="e">
        <f>AND('STERLING CATALOG - DRY '!D1373,"AAAAAHPO9kU=")</f>
        <v>#VALUE!</v>
      </c>
      <c r="BS67" t="e">
        <f>AND('STERLING CATALOG - DRY '!E1373,"AAAAAHPO9kY=")</f>
        <v>#VALUE!</v>
      </c>
      <c r="BT67" t="e">
        <f>AND('STERLING CATALOG - DRY '!F1373,"AAAAAHPO9kc=")</f>
        <v>#VALUE!</v>
      </c>
      <c r="BU67" t="e">
        <f>AND('STERLING CATALOG - DRY '!G1373,"AAAAAHPO9kg=")</f>
        <v>#VALUE!</v>
      </c>
      <c r="BV67" t="e">
        <f>AND('STERLING CATALOG - DRY '!H1373,"AAAAAHPO9kk=")</f>
        <v>#VALUE!</v>
      </c>
      <c r="BW67" t="e">
        <f>AND('STERLING CATALOG - DRY '!I1373,"AAAAAHPO9ko=")</f>
        <v>#VALUE!</v>
      </c>
      <c r="BX67" t="e">
        <f>AND('STERLING CATALOG - DRY '!J1373,"AAAAAHPO9ks=")</f>
        <v>#VALUE!</v>
      </c>
      <c r="BY67">
        <f>IF('STERLING CATALOG - DRY '!1374:1374,"AAAAAHPO9kw=",0)</f>
        <v>0</v>
      </c>
      <c r="BZ67" t="e">
        <f>AND('STERLING CATALOG - DRY '!A1374,"AAAAAHPO9k0=")</f>
        <v>#VALUE!</v>
      </c>
      <c r="CA67" t="e">
        <f>AND('STERLING CATALOG - DRY '!B1374,"AAAAAHPO9k4=")</f>
        <v>#VALUE!</v>
      </c>
      <c r="CB67" t="e">
        <f>AND('STERLING CATALOG - DRY '!C1374,"AAAAAHPO9k8=")</f>
        <v>#VALUE!</v>
      </c>
      <c r="CC67" t="e">
        <f>AND('STERLING CATALOG - DRY '!D1374,"AAAAAHPO9lA=")</f>
        <v>#VALUE!</v>
      </c>
      <c r="CD67" t="e">
        <f>AND('STERLING CATALOG - DRY '!E1374,"AAAAAHPO9lE=")</f>
        <v>#VALUE!</v>
      </c>
      <c r="CE67" t="e">
        <f>AND('STERLING CATALOG - DRY '!F1374,"AAAAAHPO9lI=")</f>
        <v>#VALUE!</v>
      </c>
      <c r="CF67" t="e">
        <f>AND('STERLING CATALOG - DRY '!G1374,"AAAAAHPO9lM=")</f>
        <v>#VALUE!</v>
      </c>
      <c r="CG67" t="e">
        <f>AND('STERLING CATALOG - DRY '!H1374,"AAAAAHPO9lQ=")</f>
        <v>#VALUE!</v>
      </c>
      <c r="CH67" t="e">
        <f>AND('STERLING CATALOG - DRY '!I1374,"AAAAAHPO9lU=")</f>
        <v>#VALUE!</v>
      </c>
      <c r="CI67" t="e">
        <f>AND('STERLING CATALOG - DRY '!J1374,"AAAAAHPO9lY=")</f>
        <v>#VALUE!</v>
      </c>
      <c r="CJ67">
        <f>IF('STERLING CATALOG - DRY '!1375:1375,"AAAAAHPO9lc=",0)</f>
        <v>0</v>
      </c>
      <c r="CK67" t="e">
        <f>AND('STERLING CATALOG - DRY '!A1375,"AAAAAHPO9lg=")</f>
        <v>#VALUE!</v>
      </c>
      <c r="CL67" t="e">
        <f>AND('STERLING CATALOG - DRY '!B1375,"AAAAAHPO9lk=")</f>
        <v>#VALUE!</v>
      </c>
      <c r="CM67" t="e">
        <f>AND('STERLING CATALOG - DRY '!C1375,"AAAAAHPO9lo=")</f>
        <v>#VALUE!</v>
      </c>
      <c r="CN67" t="e">
        <f>AND('STERLING CATALOG - DRY '!D1375,"AAAAAHPO9ls=")</f>
        <v>#VALUE!</v>
      </c>
      <c r="CO67" t="e">
        <f>AND('STERLING CATALOG - DRY '!E1375,"AAAAAHPO9lw=")</f>
        <v>#VALUE!</v>
      </c>
      <c r="CP67" t="e">
        <f>AND('STERLING CATALOG - DRY '!F1375,"AAAAAHPO9l0=")</f>
        <v>#VALUE!</v>
      </c>
      <c r="CQ67" t="e">
        <f>AND('STERLING CATALOG - DRY '!G1375,"AAAAAHPO9l4=")</f>
        <v>#VALUE!</v>
      </c>
      <c r="CR67" t="e">
        <f>AND('STERLING CATALOG - DRY '!H1375,"AAAAAHPO9l8=")</f>
        <v>#VALUE!</v>
      </c>
      <c r="CS67" t="e">
        <f>AND('STERLING CATALOG - DRY '!I1375,"AAAAAHPO9mA=")</f>
        <v>#VALUE!</v>
      </c>
      <c r="CT67" t="e">
        <f>AND('STERLING CATALOG - DRY '!J1375,"AAAAAHPO9mE=")</f>
        <v>#VALUE!</v>
      </c>
      <c r="CU67">
        <f>IF('STERLING CATALOG - DRY '!1376:1376,"AAAAAHPO9mI=",0)</f>
        <v>0</v>
      </c>
      <c r="CV67" t="e">
        <f>AND('STERLING CATALOG - DRY '!A1376,"AAAAAHPO9mM=")</f>
        <v>#VALUE!</v>
      </c>
      <c r="CW67" t="e">
        <f>AND('STERLING CATALOG - DRY '!B1376,"AAAAAHPO9mQ=")</f>
        <v>#VALUE!</v>
      </c>
      <c r="CX67" t="e">
        <f>AND('STERLING CATALOG - DRY '!C1376,"AAAAAHPO9mU=")</f>
        <v>#VALUE!</v>
      </c>
      <c r="CY67" t="e">
        <f>AND('STERLING CATALOG - DRY '!D1376,"AAAAAHPO9mY=")</f>
        <v>#VALUE!</v>
      </c>
      <c r="CZ67" t="e">
        <f>AND('STERLING CATALOG - DRY '!E1376,"AAAAAHPO9mc=")</f>
        <v>#VALUE!</v>
      </c>
      <c r="DA67" t="e">
        <f>AND('STERLING CATALOG - DRY '!F1376,"AAAAAHPO9mg=")</f>
        <v>#VALUE!</v>
      </c>
      <c r="DB67" t="e">
        <f>AND('STERLING CATALOG - DRY '!G1376,"AAAAAHPO9mk=")</f>
        <v>#VALUE!</v>
      </c>
      <c r="DC67" t="e">
        <f>AND('STERLING CATALOG - DRY '!H1376,"AAAAAHPO9mo=")</f>
        <v>#VALUE!</v>
      </c>
      <c r="DD67" t="e">
        <f>AND('STERLING CATALOG - DRY '!I1376,"AAAAAHPO9ms=")</f>
        <v>#VALUE!</v>
      </c>
      <c r="DE67" t="e">
        <f>AND('STERLING CATALOG - DRY '!J1376,"AAAAAHPO9mw=")</f>
        <v>#VALUE!</v>
      </c>
      <c r="DF67">
        <f>IF('STERLING CATALOG - DRY '!1377:1377,"AAAAAHPO9m0=",0)</f>
        <v>0</v>
      </c>
      <c r="DG67" t="e">
        <f>AND('STERLING CATALOG - DRY '!A1377,"AAAAAHPO9m4=")</f>
        <v>#VALUE!</v>
      </c>
      <c r="DH67" t="e">
        <f>AND('STERLING CATALOG - DRY '!B1377,"AAAAAHPO9m8=")</f>
        <v>#VALUE!</v>
      </c>
      <c r="DI67" t="e">
        <f>AND('STERLING CATALOG - DRY '!C1377,"AAAAAHPO9nA=")</f>
        <v>#VALUE!</v>
      </c>
      <c r="DJ67" t="e">
        <f>AND('STERLING CATALOG - DRY '!D1377,"AAAAAHPO9nE=")</f>
        <v>#VALUE!</v>
      </c>
      <c r="DK67" t="e">
        <f>AND('STERLING CATALOG - DRY '!E1377,"AAAAAHPO9nI=")</f>
        <v>#VALUE!</v>
      </c>
      <c r="DL67" t="e">
        <f>AND('STERLING CATALOG - DRY '!F1377,"AAAAAHPO9nM=")</f>
        <v>#VALUE!</v>
      </c>
      <c r="DM67" t="e">
        <f>AND('STERLING CATALOG - DRY '!G1377,"AAAAAHPO9nQ=")</f>
        <v>#VALUE!</v>
      </c>
      <c r="DN67" t="e">
        <f>AND('STERLING CATALOG - DRY '!H1377,"AAAAAHPO9nU=")</f>
        <v>#VALUE!</v>
      </c>
      <c r="DO67" t="e">
        <f>AND('STERLING CATALOG - DRY '!I1377,"AAAAAHPO9nY=")</f>
        <v>#VALUE!</v>
      </c>
      <c r="DP67" t="e">
        <f>AND('STERLING CATALOG - DRY '!J1377,"AAAAAHPO9nc=")</f>
        <v>#VALUE!</v>
      </c>
      <c r="DQ67">
        <f>IF('STERLING CATALOG - DRY '!1378:1378,"AAAAAHPO9ng=",0)</f>
        <v>0</v>
      </c>
      <c r="DR67" t="e">
        <f>AND('STERLING CATALOG - DRY '!A1378,"AAAAAHPO9nk=")</f>
        <v>#VALUE!</v>
      </c>
      <c r="DS67" t="e">
        <f>AND('STERLING CATALOG - DRY '!B1378,"AAAAAHPO9no=")</f>
        <v>#VALUE!</v>
      </c>
      <c r="DT67" t="e">
        <f>AND('STERLING CATALOG - DRY '!C1378,"AAAAAHPO9ns=")</f>
        <v>#VALUE!</v>
      </c>
      <c r="DU67" t="e">
        <f>AND('STERLING CATALOG - DRY '!D1378,"AAAAAHPO9nw=")</f>
        <v>#VALUE!</v>
      </c>
      <c r="DV67" t="e">
        <f>AND('STERLING CATALOG - DRY '!E1378,"AAAAAHPO9n0=")</f>
        <v>#VALUE!</v>
      </c>
      <c r="DW67" t="e">
        <f>AND('STERLING CATALOG - DRY '!F1378,"AAAAAHPO9n4=")</f>
        <v>#VALUE!</v>
      </c>
      <c r="DX67" t="e">
        <f>AND('STERLING CATALOG - DRY '!G1378,"AAAAAHPO9n8=")</f>
        <v>#VALUE!</v>
      </c>
      <c r="DY67" t="e">
        <f>AND('STERLING CATALOG - DRY '!H1378,"AAAAAHPO9oA=")</f>
        <v>#VALUE!</v>
      </c>
      <c r="DZ67" t="e">
        <f>AND('STERLING CATALOG - DRY '!I1378,"AAAAAHPO9oE=")</f>
        <v>#VALUE!</v>
      </c>
      <c r="EA67" t="e">
        <f>AND('STERLING CATALOG - DRY '!J1378,"AAAAAHPO9oI=")</f>
        <v>#VALUE!</v>
      </c>
      <c r="EB67">
        <f>IF('STERLING CATALOG - DRY '!1379:1379,"AAAAAHPO9oM=",0)</f>
        <v>0</v>
      </c>
      <c r="EC67" t="e">
        <f>AND('STERLING CATALOG - DRY '!A1379,"AAAAAHPO9oQ=")</f>
        <v>#VALUE!</v>
      </c>
      <c r="ED67" t="e">
        <f>AND('STERLING CATALOG - DRY '!B1379,"AAAAAHPO9oU=")</f>
        <v>#VALUE!</v>
      </c>
      <c r="EE67" t="e">
        <f>AND('STERLING CATALOG - DRY '!C1379,"AAAAAHPO9oY=")</f>
        <v>#VALUE!</v>
      </c>
      <c r="EF67" t="e">
        <f>AND('STERLING CATALOG - DRY '!D1379,"AAAAAHPO9oc=")</f>
        <v>#VALUE!</v>
      </c>
      <c r="EG67" t="e">
        <f>AND('STERLING CATALOG - DRY '!E1379,"AAAAAHPO9og=")</f>
        <v>#VALUE!</v>
      </c>
      <c r="EH67" t="e">
        <f>AND('STERLING CATALOG - DRY '!F1379,"AAAAAHPO9ok=")</f>
        <v>#VALUE!</v>
      </c>
      <c r="EI67" t="e">
        <f>AND('STERLING CATALOG - DRY '!G1379,"AAAAAHPO9oo=")</f>
        <v>#VALUE!</v>
      </c>
      <c r="EJ67" t="e">
        <f>AND('STERLING CATALOG - DRY '!H1379,"AAAAAHPO9os=")</f>
        <v>#VALUE!</v>
      </c>
      <c r="EK67" t="e">
        <f>AND('STERLING CATALOG - DRY '!I1379,"AAAAAHPO9ow=")</f>
        <v>#VALUE!</v>
      </c>
      <c r="EL67" t="e">
        <f>AND('STERLING CATALOG - DRY '!J1379,"AAAAAHPO9o0=")</f>
        <v>#VALUE!</v>
      </c>
      <c r="EM67">
        <f>IF('STERLING CATALOG - DRY '!1380:1380,"AAAAAHPO9o4=",0)</f>
        <v>0</v>
      </c>
      <c r="EN67" t="e">
        <f>AND('STERLING CATALOG - DRY '!A1380,"AAAAAHPO9o8=")</f>
        <v>#VALUE!</v>
      </c>
      <c r="EO67" t="e">
        <f>AND('STERLING CATALOG - DRY '!B1380,"AAAAAHPO9pA=")</f>
        <v>#VALUE!</v>
      </c>
      <c r="EP67" t="e">
        <f>AND('STERLING CATALOG - DRY '!C1380,"AAAAAHPO9pE=")</f>
        <v>#VALUE!</v>
      </c>
      <c r="EQ67" t="e">
        <f>AND('STERLING CATALOG - DRY '!D1380,"AAAAAHPO9pI=")</f>
        <v>#VALUE!</v>
      </c>
      <c r="ER67" t="e">
        <f>AND('STERLING CATALOG - DRY '!E1380,"AAAAAHPO9pM=")</f>
        <v>#VALUE!</v>
      </c>
      <c r="ES67" t="e">
        <f>AND('STERLING CATALOG - DRY '!F1380,"AAAAAHPO9pQ=")</f>
        <v>#VALUE!</v>
      </c>
      <c r="ET67" t="e">
        <f>AND('STERLING CATALOG - DRY '!G1380,"AAAAAHPO9pU=")</f>
        <v>#VALUE!</v>
      </c>
      <c r="EU67" t="e">
        <f>AND('STERLING CATALOG - DRY '!H1380,"AAAAAHPO9pY=")</f>
        <v>#VALUE!</v>
      </c>
      <c r="EV67" t="e">
        <f>AND('STERLING CATALOG - DRY '!I1380,"AAAAAHPO9pc=")</f>
        <v>#VALUE!</v>
      </c>
      <c r="EW67" t="e">
        <f>AND('STERLING CATALOG - DRY '!J1380,"AAAAAHPO9pg=")</f>
        <v>#VALUE!</v>
      </c>
      <c r="EX67">
        <f>IF('STERLING CATALOG - DRY '!1381:1381,"AAAAAHPO9pk=",0)</f>
        <v>0</v>
      </c>
      <c r="EY67" t="e">
        <f>AND('STERLING CATALOG - DRY '!A1381,"AAAAAHPO9po=")</f>
        <v>#VALUE!</v>
      </c>
      <c r="EZ67" t="e">
        <f>AND('STERLING CATALOG - DRY '!B1381,"AAAAAHPO9ps=")</f>
        <v>#VALUE!</v>
      </c>
      <c r="FA67" t="e">
        <f>AND('STERLING CATALOG - DRY '!C1381,"AAAAAHPO9pw=")</f>
        <v>#VALUE!</v>
      </c>
      <c r="FB67" t="e">
        <f>AND('STERLING CATALOG - DRY '!D1381,"AAAAAHPO9p0=")</f>
        <v>#VALUE!</v>
      </c>
      <c r="FC67" t="e">
        <f>AND('STERLING CATALOG - DRY '!E1381,"AAAAAHPO9p4=")</f>
        <v>#VALUE!</v>
      </c>
      <c r="FD67" t="e">
        <f>AND('STERLING CATALOG - DRY '!F1381,"AAAAAHPO9p8=")</f>
        <v>#VALUE!</v>
      </c>
      <c r="FE67" t="e">
        <f>AND('STERLING CATALOG - DRY '!G1381,"AAAAAHPO9qA=")</f>
        <v>#VALUE!</v>
      </c>
      <c r="FF67" t="e">
        <f>AND('STERLING CATALOG - DRY '!H1381,"AAAAAHPO9qE=")</f>
        <v>#VALUE!</v>
      </c>
      <c r="FG67" t="e">
        <f>AND('STERLING CATALOG - DRY '!I1381,"AAAAAHPO9qI=")</f>
        <v>#VALUE!</v>
      </c>
      <c r="FH67" t="e">
        <f>AND('STERLING CATALOG - DRY '!J1381,"AAAAAHPO9qM=")</f>
        <v>#VALUE!</v>
      </c>
      <c r="FI67">
        <f>IF('STERLING CATALOG - DRY '!1382:1382,"AAAAAHPO9qQ=",0)</f>
        <v>0</v>
      </c>
      <c r="FJ67" t="e">
        <f>AND('STERLING CATALOG - DRY '!A1382,"AAAAAHPO9qU=")</f>
        <v>#VALUE!</v>
      </c>
      <c r="FK67" t="e">
        <f>AND('STERLING CATALOG - DRY '!B1382,"AAAAAHPO9qY=")</f>
        <v>#VALUE!</v>
      </c>
      <c r="FL67" t="e">
        <f>AND('STERLING CATALOG - DRY '!C1382,"AAAAAHPO9qc=")</f>
        <v>#VALUE!</v>
      </c>
      <c r="FM67" t="e">
        <f>AND('STERLING CATALOG - DRY '!D1382,"AAAAAHPO9qg=")</f>
        <v>#VALUE!</v>
      </c>
      <c r="FN67" t="e">
        <f>AND('STERLING CATALOG - DRY '!E1382,"AAAAAHPO9qk=")</f>
        <v>#VALUE!</v>
      </c>
      <c r="FO67" t="e">
        <f>AND('STERLING CATALOG - DRY '!F1382,"AAAAAHPO9qo=")</f>
        <v>#VALUE!</v>
      </c>
      <c r="FP67" t="e">
        <f>AND('STERLING CATALOG - DRY '!G1382,"AAAAAHPO9qs=")</f>
        <v>#VALUE!</v>
      </c>
      <c r="FQ67" t="e">
        <f>AND('STERLING CATALOG - DRY '!H1382,"AAAAAHPO9qw=")</f>
        <v>#VALUE!</v>
      </c>
      <c r="FR67" t="e">
        <f>AND('STERLING CATALOG - DRY '!I1382,"AAAAAHPO9q0=")</f>
        <v>#VALUE!</v>
      </c>
      <c r="FS67" t="e">
        <f>AND('STERLING CATALOG - DRY '!J1382,"AAAAAHPO9q4=")</f>
        <v>#VALUE!</v>
      </c>
      <c r="FT67">
        <f>IF('STERLING CATALOG - DRY '!1383:1383,"AAAAAHPO9q8=",0)</f>
        <v>0</v>
      </c>
      <c r="FU67" t="e">
        <f>AND('STERLING CATALOG - DRY '!A1383,"AAAAAHPO9rA=")</f>
        <v>#VALUE!</v>
      </c>
      <c r="FV67" t="e">
        <f>AND('STERLING CATALOG - DRY '!B1383,"AAAAAHPO9rE=")</f>
        <v>#VALUE!</v>
      </c>
      <c r="FW67" t="e">
        <f>AND('STERLING CATALOG - DRY '!C1383,"AAAAAHPO9rI=")</f>
        <v>#VALUE!</v>
      </c>
      <c r="FX67" t="e">
        <f>AND('STERLING CATALOG - DRY '!D1383,"AAAAAHPO9rM=")</f>
        <v>#VALUE!</v>
      </c>
      <c r="FY67" t="e">
        <f>AND('STERLING CATALOG - DRY '!E1383,"AAAAAHPO9rQ=")</f>
        <v>#VALUE!</v>
      </c>
      <c r="FZ67" t="e">
        <f>AND('STERLING CATALOG - DRY '!F1383,"AAAAAHPO9rU=")</f>
        <v>#VALUE!</v>
      </c>
      <c r="GA67" t="e">
        <f>AND('STERLING CATALOG - DRY '!G1383,"AAAAAHPO9rY=")</f>
        <v>#VALUE!</v>
      </c>
      <c r="GB67" t="e">
        <f>AND('STERLING CATALOG - DRY '!H1383,"AAAAAHPO9rc=")</f>
        <v>#VALUE!</v>
      </c>
      <c r="GC67" t="e">
        <f>AND('STERLING CATALOG - DRY '!I1383,"AAAAAHPO9rg=")</f>
        <v>#VALUE!</v>
      </c>
      <c r="GD67" t="e">
        <f>AND('STERLING CATALOG - DRY '!J1383,"AAAAAHPO9rk=")</f>
        <v>#VALUE!</v>
      </c>
      <c r="GE67">
        <f>IF('STERLING CATALOG - DRY '!1384:1384,"AAAAAHPO9ro=",0)</f>
        <v>0</v>
      </c>
      <c r="GF67" t="e">
        <f>AND('STERLING CATALOG - DRY '!A1384,"AAAAAHPO9rs=")</f>
        <v>#VALUE!</v>
      </c>
      <c r="GG67" t="e">
        <f>AND('STERLING CATALOG - DRY '!B1384,"AAAAAHPO9rw=")</f>
        <v>#VALUE!</v>
      </c>
      <c r="GH67" t="e">
        <f>AND('STERLING CATALOG - DRY '!C1384,"AAAAAHPO9r0=")</f>
        <v>#VALUE!</v>
      </c>
      <c r="GI67" t="e">
        <f>AND('STERLING CATALOG - DRY '!D1384,"AAAAAHPO9r4=")</f>
        <v>#VALUE!</v>
      </c>
      <c r="GJ67" t="e">
        <f>AND('STERLING CATALOG - DRY '!E1384,"AAAAAHPO9r8=")</f>
        <v>#VALUE!</v>
      </c>
      <c r="GK67" t="e">
        <f>AND('STERLING CATALOG - DRY '!F1384,"AAAAAHPO9sA=")</f>
        <v>#VALUE!</v>
      </c>
      <c r="GL67" t="e">
        <f>AND('STERLING CATALOG - DRY '!G1384,"AAAAAHPO9sE=")</f>
        <v>#VALUE!</v>
      </c>
      <c r="GM67" t="e">
        <f>AND('STERLING CATALOG - DRY '!H1384,"AAAAAHPO9sI=")</f>
        <v>#VALUE!</v>
      </c>
      <c r="GN67" t="e">
        <f>AND('STERLING CATALOG - DRY '!I1384,"AAAAAHPO9sM=")</f>
        <v>#VALUE!</v>
      </c>
      <c r="GO67" t="e">
        <f>AND('STERLING CATALOG - DRY '!J1384,"AAAAAHPO9sQ=")</f>
        <v>#VALUE!</v>
      </c>
      <c r="GP67">
        <f>IF('STERLING CATALOG - DRY '!1385:1385,"AAAAAHPO9sU=",0)</f>
        <v>0</v>
      </c>
      <c r="GQ67" t="e">
        <f>AND('STERLING CATALOG - DRY '!A1385,"AAAAAHPO9sY=")</f>
        <v>#VALUE!</v>
      </c>
      <c r="GR67" t="e">
        <f>AND('STERLING CATALOG - DRY '!B1385,"AAAAAHPO9sc=")</f>
        <v>#VALUE!</v>
      </c>
      <c r="GS67" t="e">
        <f>AND('STERLING CATALOG - DRY '!C1385,"AAAAAHPO9sg=")</f>
        <v>#VALUE!</v>
      </c>
      <c r="GT67" t="e">
        <f>AND('STERLING CATALOG - DRY '!D1385,"AAAAAHPO9sk=")</f>
        <v>#VALUE!</v>
      </c>
      <c r="GU67" t="e">
        <f>AND('STERLING CATALOG - DRY '!E1385,"AAAAAHPO9so=")</f>
        <v>#VALUE!</v>
      </c>
      <c r="GV67" t="e">
        <f>AND('STERLING CATALOG - DRY '!F1385,"AAAAAHPO9ss=")</f>
        <v>#VALUE!</v>
      </c>
      <c r="GW67" t="e">
        <f>AND('STERLING CATALOG - DRY '!G1385,"AAAAAHPO9sw=")</f>
        <v>#VALUE!</v>
      </c>
      <c r="GX67" t="e">
        <f>AND('STERLING CATALOG - DRY '!H1385,"AAAAAHPO9s0=")</f>
        <v>#VALUE!</v>
      </c>
      <c r="GY67" t="e">
        <f>AND('STERLING CATALOG - DRY '!I1385,"AAAAAHPO9s4=")</f>
        <v>#VALUE!</v>
      </c>
      <c r="GZ67" t="e">
        <f>AND('STERLING CATALOG - DRY '!J1385,"AAAAAHPO9s8=")</f>
        <v>#VALUE!</v>
      </c>
      <c r="HA67">
        <f>IF('STERLING CATALOG - DRY '!1386:1386,"AAAAAHPO9tA=",0)</f>
        <v>0</v>
      </c>
      <c r="HB67" t="e">
        <f>AND('STERLING CATALOG - DRY '!A1386,"AAAAAHPO9tE=")</f>
        <v>#VALUE!</v>
      </c>
      <c r="HC67" t="e">
        <f>AND('STERLING CATALOG - DRY '!B1386,"AAAAAHPO9tI=")</f>
        <v>#VALUE!</v>
      </c>
      <c r="HD67" t="e">
        <f>AND('STERLING CATALOG - DRY '!C1386,"AAAAAHPO9tM=")</f>
        <v>#VALUE!</v>
      </c>
      <c r="HE67" t="e">
        <f>AND('STERLING CATALOG - DRY '!D1386,"AAAAAHPO9tQ=")</f>
        <v>#VALUE!</v>
      </c>
      <c r="HF67" t="e">
        <f>AND('STERLING CATALOG - DRY '!E1386,"AAAAAHPO9tU=")</f>
        <v>#VALUE!</v>
      </c>
      <c r="HG67" t="e">
        <f>AND('STERLING CATALOG - DRY '!F1386,"AAAAAHPO9tY=")</f>
        <v>#VALUE!</v>
      </c>
      <c r="HH67" t="e">
        <f>AND('STERLING CATALOG - DRY '!G1386,"AAAAAHPO9tc=")</f>
        <v>#VALUE!</v>
      </c>
      <c r="HI67" t="e">
        <f>AND('STERLING CATALOG - DRY '!H1386,"AAAAAHPO9tg=")</f>
        <v>#VALUE!</v>
      </c>
      <c r="HJ67" t="e">
        <f>AND('STERLING CATALOG - DRY '!I1386,"AAAAAHPO9tk=")</f>
        <v>#VALUE!</v>
      </c>
      <c r="HK67" t="e">
        <f>AND('STERLING CATALOG - DRY '!J1386,"AAAAAHPO9to=")</f>
        <v>#VALUE!</v>
      </c>
      <c r="HL67">
        <f>IF('STERLING CATALOG - DRY '!1387:1387,"AAAAAHPO9ts=",0)</f>
        <v>0</v>
      </c>
      <c r="HM67" t="e">
        <f>AND('STERLING CATALOG - DRY '!A1387,"AAAAAHPO9tw=")</f>
        <v>#VALUE!</v>
      </c>
      <c r="HN67" t="e">
        <f>AND('STERLING CATALOG - DRY '!B1387,"AAAAAHPO9t0=")</f>
        <v>#VALUE!</v>
      </c>
      <c r="HO67" t="e">
        <f>AND('STERLING CATALOG - DRY '!C1387,"AAAAAHPO9t4=")</f>
        <v>#VALUE!</v>
      </c>
      <c r="HP67" t="e">
        <f>AND('STERLING CATALOG - DRY '!D1387,"AAAAAHPO9t8=")</f>
        <v>#VALUE!</v>
      </c>
      <c r="HQ67" t="e">
        <f>AND('STERLING CATALOG - DRY '!E1387,"AAAAAHPO9uA=")</f>
        <v>#VALUE!</v>
      </c>
      <c r="HR67" t="e">
        <f>AND('STERLING CATALOG - DRY '!F1387,"AAAAAHPO9uE=")</f>
        <v>#VALUE!</v>
      </c>
      <c r="HS67" t="e">
        <f>AND('STERLING CATALOG - DRY '!G1387,"AAAAAHPO9uI=")</f>
        <v>#VALUE!</v>
      </c>
      <c r="HT67" t="e">
        <f>AND('STERLING CATALOG - DRY '!H1387,"AAAAAHPO9uM=")</f>
        <v>#VALUE!</v>
      </c>
      <c r="HU67" t="e">
        <f>AND('STERLING CATALOG - DRY '!I1387,"AAAAAHPO9uQ=")</f>
        <v>#VALUE!</v>
      </c>
      <c r="HV67" t="e">
        <f>AND('STERLING CATALOG - DRY '!J1387,"AAAAAHPO9uU=")</f>
        <v>#VALUE!</v>
      </c>
      <c r="HW67">
        <f>IF('STERLING CATALOG - DRY '!1388:1388,"AAAAAHPO9uY=",0)</f>
        <v>0</v>
      </c>
      <c r="HX67" t="e">
        <f>AND('STERLING CATALOG - DRY '!A1388,"AAAAAHPO9uc=")</f>
        <v>#VALUE!</v>
      </c>
      <c r="HY67" t="e">
        <f>AND('STERLING CATALOG - DRY '!B1388,"AAAAAHPO9ug=")</f>
        <v>#VALUE!</v>
      </c>
      <c r="HZ67" t="e">
        <f>AND('STERLING CATALOG - DRY '!C1388,"AAAAAHPO9uk=")</f>
        <v>#VALUE!</v>
      </c>
      <c r="IA67" t="e">
        <f>AND('STERLING CATALOG - DRY '!D1388,"AAAAAHPO9uo=")</f>
        <v>#VALUE!</v>
      </c>
      <c r="IB67" t="e">
        <f>AND('STERLING CATALOG - DRY '!E1388,"AAAAAHPO9us=")</f>
        <v>#VALUE!</v>
      </c>
      <c r="IC67" t="e">
        <f>AND('STERLING CATALOG - DRY '!F1388,"AAAAAHPO9uw=")</f>
        <v>#VALUE!</v>
      </c>
      <c r="ID67" t="e">
        <f>AND('STERLING CATALOG - DRY '!G1388,"AAAAAHPO9u0=")</f>
        <v>#VALUE!</v>
      </c>
      <c r="IE67" t="e">
        <f>AND('STERLING CATALOG - DRY '!H1388,"AAAAAHPO9u4=")</f>
        <v>#VALUE!</v>
      </c>
      <c r="IF67" t="e">
        <f>AND('STERLING CATALOG - DRY '!I1388,"AAAAAHPO9u8=")</f>
        <v>#VALUE!</v>
      </c>
      <c r="IG67" t="e">
        <f>AND('STERLING CATALOG - DRY '!J1388,"AAAAAHPO9vA=")</f>
        <v>#VALUE!</v>
      </c>
      <c r="IH67">
        <f>IF('STERLING CATALOG - DRY '!1389:1389,"AAAAAHPO9vE=",0)</f>
        <v>0</v>
      </c>
      <c r="II67" t="e">
        <f>AND('STERLING CATALOG - DRY '!A1389,"AAAAAHPO9vI=")</f>
        <v>#VALUE!</v>
      </c>
      <c r="IJ67" t="e">
        <f>AND('STERLING CATALOG - DRY '!B1389,"AAAAAHPO9vM=")</f>
        <v>#VALUE!</v>
      </c>
      <c r="IK67" t="e">
        <f>AND('STERLING CATALOG - DRY '!C1389,"AAAAAHPO9vQ=")</f>
        <v>#VALUE!</v>
      </c>
      <c r="IL67" t="e">
        <f>AND('STERLING CATALOG - DRY '!D1389,"AAAAAHPO9vU=")</f>
        <v>#VALUE!</v>
      </c>
      <c r="IM67" t="e">
        <f>AND('STERLING CATALOG - DRY '!E1389,"AAAAAHPO9vY=")</f>
        <v>#VALUE!</v>
      </c>
      <c r="IN67" t="e">
        <f>AND('STERLING CATALOG - DRY '!F1389,"AAAAAHPO9vc=")</f>
        <v>#VALUE!</v>
      </c>
      <c r="IO67" t="e">
        <f>AND('STERLING CATALOG - DRY '!G1389,"AAAAAHPO9vg=")</f>
        <v>#VALUE!</v>
      </c>
      <c r="IP67" t="e">
        <f>AND('STERLING CATALOG - DRY '!H1389,"AAAAAHPO9vk=")</f>
        <v>#VALUE!</v>
      </c>
      <c r="IQ67" t="e">
        <f>AND('STERLING CATALOG - DRY '!I1389,"AAAAAHPO9vo=")</f>
        <v>#VALUE!</v>
      </c>
      <c r="IR67" t="e">
        <f>AND('STERLING CATALOG - DRY '!J1389,"AAAAAHPO9vs=")</f>
        <v>#VALUE!</v>
      </c>
      <c r="IS67">
        <f>IF('STERLING CATALOG - DRY '!1390:1390,"AAAAAHPO9vw=",0)</f>
        <v>0</v>
      </c>
      <c r="IT67" t="e">
        <f>AND('STERLING CATALOG - DRY '!A1390,"AAAAAHPO9v0=")</f>
        <v>#VALUE!</v>
      </c>
      <c r="IU67" t="e">
        <f>AND('STERLING CATALOG - DRY '!B1390,"AAAAAHPO9v4=")</f>
        <v>#VALUE!</v>
      </c>
      <c r="IV67" t="e">
        <f>AND('STERLING CATALOG - DRY '!C1390,"AAAAAHPO9v8=")</f>
        <v>#VALUE!</v>
      </c>
    </row>
    <row r="68" spans="1:256">
      <c r="A68" t="e">
        <f>AND('STERLING CATALOG - DRY '!D1390,"AAAAAH//1gA=")</f>
        <v>#VALUE!</v>
      </c>
      <c r="B68" t="e">
        <f>AND('STERLING CATALOG - DRY '!E1390,"AAAAAH//1gE=")</f>
        <v>#VALUE!</v>
      </c>
      <c r="C68" t="e">
        <f>AND('STERLING CATALOG - DRY '!F1390,"AAAAAH//1gI=")</f>
        <v>#VALUE!</v>
      </c>
      <c r="D68" t="e">
        <f>AND('STERLING CATALOG - DRY '!G1390,"AAAAAH//1gM=")</f>
        <v>#VALUE!</v>
      </c>
      <c r="E68" t="e">
        <f>AND('STERLING CATALOG - DRY '!H1390,"AAAAAH//1gQ=")</f>
        <v>#VALUE!</v>
      </c>
      <c r="F68" t="e">
        <f>AND('STERLING CATALOG - DRY '!I1390,"AAAAAH//1gU=")</f>
        <v>#VALUE!</v>
      </c>
      <c r="G68" t="e">
        <f>AND('STERLING CATALOG - DRY '!J1390,"AAAAAH//1gY=")</f>
        <v>#VALUE!</v>
      </c>
      <c r="H68" t="str">
        <f>IF('STERLING CATALOG - DRY '!1391:1391,"AAAAAH//1gc=",0)</f>
        <v>AAAAAH//1gc=</v>
      </c>
      <c r="I68" t="e">
        <f>AND('STERLING CATALOG - DRY '!A1391,"AAAAAH//1gg=")</f>
        <v>#VALUE!</v>
      </c>
      <c r="J68" t="e">
        <f>AND('STERLING CATALOG - DRY '!B1391,"AAAAAH//1gk=")</f>
        <v>#VALUE!</v>
      </c>
      <c r="K68" t="e">
        <f>AND('STERLING CATALOG - DRY '!C1391,"AAAAAH//1go=")</f>
        <v>#VALUE!</v>
      </c>
      <c r="L68" t="e">
        <f>AND('STERLING CATALOG - DRY '!D1391,"AAAAAH//1gs=")</f>
        <v>#VALUE!</v>
      </c>
      <c r="M68" t="e">
        <f>AND('STERLING CATALOG - DRY '!E1391,"AAAAAH//1gw=")</f>
        <v>#VALUE!</v>
      </c>
      <c r="N68" t="e">
        <f>AND('STERLING CATALOG - DRY '!F1391,"AAAAAH//1g0=")</f>
        <v>#VALUE!</v>
      </c>
      <c r="O68" t="e">
        <f>AND('STERLING CATALOG - DRY '!G1391,"AAAAAH//1g4=")</f>
        <v>#VALUE!</v>
      </c>
      <c r="P68" t="e">
        <f>AND('STERLING CATALOG - DRY '!H1391,"AAAAAH//1g8=")</f>
        <v>#VALUE!</v>
      </c>
      <c r="Q68" t="e">
        <f>AND('STERLING CATALOG - DRY '!I1391,"AAAAAH//1hA=")</f>
        <v>#VALUE!</v>
      </c>
      <c r="R68" t="e">
        <f>AND('STERLING CATALOG - DRY '!J1391,"AAAAAH//1hE=")</f>
        <v>#VALUE!</v>
      </c>
      <c r="S68">
        <f>IF('STERLING CATALOG - DRY '!1392:1392,"AAAAAH//1hI=",0)</f>
        <v>0</v>
      </c>
      <c r="T68" t="e">
        <f>AND('STERLING CATALOG - DRY '!A1392,"AAAAAH//1hM=")</f>
        <v>#VALUE!</v>
      </c>
      <c r="U68" t="e">
        <f>AND('STERLING CATALOG - DRY '!B1392,"AAAAAH//1hQ=")</f>
        <v>#VALUE!</v>
      </c>
      <c r="V68" t="e">
        <f>AND('STERLING CATALOG - DRY '!C1392,"AAAAAH//1hU=")</f>
        <v>#VALUE!</v>
      </c>
      <c r="W68" t="e">
        <f>AND('STERLING CATALOG - DRY '!D1392,"AAAAAH//1hY=")</f>
        <v>#VALUE!</v>
      </c>
      <c r="X68" t="e">
        <f>AND('STERLING CATALOG - DRY '!E1392,"AAAAAH//1hc=")</f>
        <v>#VALUE!</v>
      </c>
      <c r="Y68" t="e">
        <f>AND('STERLING CATALOG - DRY '!F1392,"AAAAAH//1hg=")</f>
        <v>#VALUE!</v>
      </c>
      <c r="Z68" t="e">
        <f>AND('STERLING CATALOG - DRY '!G1392,"AAAAAH//1hk=")</f>
        <v>#VALUE!</v>
      </c>
      <c r="AA68" t="e">
        <f>AND('STERLING CATALOG - DRY '!H1392,"AAAAAH//1ho=")</f>
        <v>#VALUE!</v>
      </c>
      <c r="AB68" t="e">
        <f>AND('STERLING CATALOG - DRY '!I1392,"AAAAAH//1hs=")</f>
        <v>#VALUE!</v>
      </c>
      <c r="AC68" t="e">
        <f>AND('STERLING CATALOG - DRY '!J1392,"AAAAAH//1hw=")</f>
        <v>#VALUE!</v>
      </c>
      <c r="AD68">
        <f>IF('STERLING CATALOG - DRY '!1393:1393,"AAAAAH//1h0=",0)</f>
        <v>0</v>
      </c>
      <c r="AE68" t="e">
        <f>AND('STERLING CATALOG - DRY '!A1393,"AAAAAH//1h4=")</f>
        <v>#VALUE!</v>
      </c>
      <c r="AF68" t="e">
        <f>AND('STERLING CATALOG - DRY '!B1393,"AAAAAH//1h8=")</f>
        <v>#VALUE!</v>
      </c>
      <c r="AG68" t="e">
        <f>AND('STERLING CATALOG - DRY '!C1393,"AAAAAH//1iA=")</f>
        <v>#VALUE!</v>
      </c>
      <c r="AH68" t="e">
        <f>AND('STERLING CATALOG - DRY '!D1393,"AAAAAH//1iE=")</f>
        <v>#VALUE!</v>
      </c>
      <c r="AI68" t="e">
        <f>AND('STERLING CATALOG - DRY '!E1393,"AAAAAH//1iI=")</f>
        <v>#VALUE!</v>
      </c>
      <c r="AJ68" t="e">
        <f>AND('STERLING CATALOG - DRY '!F1393,"AAAAAH//1iM=")</f>
        <v>#VALUE!</v>
      </c>
      <c r="AK68" t="e">
        <f>AND('STERLING CATALOG - DRY '!G1393,"AAAAAH//1iQ=")</f>
        <v>#VALUE!</v>
      </c>
      <c r="AL68" t="e">
        <f>AND('STERLING CATALOG - DRY '!H1393,"AAAAAH//1iU=")</f>
        <v>#VALUE!</v>
      </c>
      <c r="AM68" t="e">
        <f>AND('STERLING CATALOG - DRY '!I1393,"AAAAAH//1iY=")</f>
        <v>#VALUE!</v>
      </c>
      <c r="AN68" t="e">
        <f>AND('STERLING CATALOG - DRY '!J1393,"AAAAAH//1ic=")</f>
        <v>#VALUE!</v>
      </c>
      <c r="AO68">
        <f>IF('STERLING CATALOG - DRY '!1394:1394,"AAAAAH//1ig=",0)</f>
        <v>0</v>
      </c>
      <c r="AP68" t="e">
        <f>AND('STERLING CATALOG - DRY '!A1394,"AAAAAH//1ik=")</f>
        <v>#VALUE!</v>
      </c>
      <c r="AQ68" t="e">
        <f>AND('STERLING CATALOG - DRY '!B1394,"AAAAAH//1io=")</f>
        <v>#VALUE!</v>
      </c>
      <c r="AR68" t="e">
        <f>AND('STERLING CATALOG - DRY '!C1394,"AAAAAH//1is=")</f>
        <v>#VALUE!</v>
      </c>
      <c r="AS68" t="e">
        <f>AND('STERLING CATALOG - DRY '!D1394,"AAAAAH//1iw=")</f>
        <v>#VALUE!</v>
      </c>
      <c r="AT68" t="e">
        <f>AND('STERLING CATALOG - DRY '!E1394,"AAAAAH//1i0=")</f>
        <v>#VALUE!</v>
      </c>
      <c r="AU68" t="e">
        <f>AND('STERLING CATALOG - DRY '!F1394,"AAAAAH//1i4=")</f>
        <v>#VALUE!</v>
      </c>
      <c r="AV68" t="e">
        <f>AND('STERLING CATALOG - DRY '!G1394,"AAAAAH//1i8=")</f>
        <v>#VALUE!</v>
      </c>
      <c r="AW68" t="e">
        <f>AND('STERLING CATALOG - DRY '!H1394,"AAAAAH//1jA=")</f>
        <v>#VALUE!</v>
      </c>
      <c r="AX68" t="e">
        <f>AND('STERLING CATALOG - DRY '!I1394,"AAAAAH//1jE=")</f>
        <v>#VALUE!</v>
      </c>
      <c r="AY68" t="e">
        <f>AND('STERLING CATALOG - DRY '!J1394,"AAAAAH//1jI=")</f>
        <v>#VALUE!</v>
      </c>
      <c r="AZ68">
        <f>IF('STERLING CATALOG - DRY '!1395:1395,"AAAAAH//1jM=",0)</f>
        <v>0</v>
      </c>
      <c r="BA68" t="e">
        <f>AND('STERLING CATALOG - DRY '!A1395,"AAAAAH//1jQ=")</f>
        <v>#VALUE!</v>
      </c>
      <c r="BB68" t="e">
        <f>AND('STERLING CATALOG - DRY '!B1395,"AAAAAH//1jU=")</f>
        <v>#VALUE!</v>
      </c>
      <c r="BC68" t="e">
        <f>AND('STERLING CATALOG - DRY '!C1395,"AAAAAH//1jY=")</f>
        <v>#VALUE!</v>
      </c>
      <c r="BD68" t="e">
        <f>AND('STERLING CATALOG - DRY '!D1395,"AAAAAH//1jc=")</f>
        <v>#VALUE!</v>
      </c>
      <c r="BE68" t="e">
        <f>AND('STERLING CATALOG - DRY '!E1395,"AAAAAH//1jg=")</f>
        <v>#VALUE!</v>
      </c>
      <c r="BF68" t="e">
        <f>AND('STERLING CATALOG - DRY '!F1395,"AAAAAH//1jk=")</f>
        <v>#VALUE!</v>
      </c>
      <c r="BG68" t="e">
        <f>AND('STERLING CATALOG - DRY '!G1395,"AAAAAH//1jo=")</f>
        <v>#VALUE!</v>
      </c>
      <c r="BH68" t="e">
        <f>AND('STERLING CATALOG - DRY '!H1395,"AAAAAH//1js=")</f>
        <v>#VALUE!</v>
      </c>
      <c r="BI68" t="e">
        <f>AND('STERLING CATALOG - DRY '!I1395,"AAAAAH//1jw=")</f>
        <v>#VALUE!</v>
      </c>
      <c r="BJ68" t="e">
        <f>AND('STERLING CATALOG - DRY '!J1395,"AAAAAH//1j0=")</f>
        <v>#VALUE!</v>
      </c>
      <c r="BK68">
        <f>IF('STERLING CATALOG - DRY '!1396:1396,"AAAAAH//1j4=",0)</f>
        <v>0</v>
      </c>
      <c r="BL68" t="e">
        <f>AND('STERLING CATALOG - DRY '!A1396,"AAAAAH//1j8=")</f>
        <v>#VALUE!</v>
      </c>
      <c r="BM68" t="e">
        <f>AND('STERLING CATALOG - DRY '!B1396,"AAAAAH//1kA=")</f>
        <v>#VALUE!</v>
      </c>
      <c r="BN68" t="e">
        <f>AND('STERLING CATALOG - DRY '!C1396,"AAAAAH//1kE=")</f>
        <v>#VALUE!</v>
      </c>
      <c r="BO68" t="e">
        <f>AND('STERLING CATALOG - DRY '!D1396,"AAAAAH//1kI=")</f>
        <v>#VALUE!</v>
      </c>
      <c r="BP68" t="e">
        <f>AND('STERLING CATALOG - DRY '!E1396,"AAAAAH//1kM=")</f>
        <v>#VALUE!</v>
      </c>
      <c r="BQ68" t="e">
        <f>AND('STERLING CATALOG - DRY '!F1396,"AAAAAH//1kQ=")</f>
        <v>#VALUE!</v>
      </c>
      <c r="BR68" t="e">
        <f>AND('STERLING CATALOG - DRY '!G1396,"AAAAAH//1kU=")</f>
        <v>#VALUE!</v>
      </c>
      <c r="BS68" t="e">
        <f>AND('STERLING CATALOG - DRY '!H1396,"AAAAAH//1kY=")</f>
        <v>#VALUE!</v>
      </c>
      <c r="BT68" t="e">
        <f>AND('STERLING CATALOG - DRY '!I1396,"AAAAAH//1kc=")</f>
        <v>#VALUE!</v>
      </c>
      <c r="BU68" t="e">
        <f>AND('STERLING CATALOG - DRY '!J1396,"AAAAAH//1kg=")</f>
        <v>#VALUE!</v>
      </c>
      <c r="BV68">
        <f>IF('STERLING CATALOG - DRY '!1397:1397,"AAAAAH//1kk=",0)</f>
        <v>0</v>
      </c>
      <c r="BW68" t="e">
        <f>AND('STERLING CATALOG - DRY '!A1397,"AAAAAH//1ko=")</f>
        <v>#VALUE!</v>
      </c>
      <c r="BX68" t="e">
        <f>AND('STERLING CATALOG - DRY '!B1397,"AAAAAH//1ks=")</f>
        <v>#VALUE!</v>
      </c>
      <c r="BY68" t="e">
        <f>AND('STERLING CATALOG - DRY '!C1397,"AAAAAH//1kw=")</f>
        <v>#VALUE!</v>
      </c>
      <c r="BZ68" t="e">
        <f>AND('STERLING CATALOG - DRY '!D1397,"AAAAAH//1k0=")</f>
        <v>#VALUE!</v>
      </c>
      <c r="CA68" t="e">
        <f>AND('STERLING CATALOG - DRY '!E1397,"AAAAAH//1k4=")</f>
        <v>#VALUE!</v>
      </c>
      <c r="CB68" t="e">
        <f>AND('STERLING CATALOG - DRY '!F1397,"AAAAAH//1k8=")</f>
        <v>#VALUE!</v>
      </c>
      <c r="CC68" t="e">
        <f>AND('STERLING CATALOG - DRY '!G1397,"AAAAAH//1lA=")</f>
        <v>#VALUE!</v>
      </c>
      <c r="CD68" t="e">
        <f>AND('STERLING CATALOG - DRY '!H1397,"AAAAAH//1lE=")</f>
        <v>#VALUE!</v>
      </c>
      <c r="CE68" t="e">
        <f>AND('STERLING CATALOG - DRY '!I1397,"AAAAAH//1lI=")</f>
        <v>#VALUE!</v>
      </c>
      <c r="CF68" t="e">
        <f>AND('STERLING CATALOG - DRY '!J1397,"AAAAAH//1lM=")</f>
        <v>#VALUE!</v>
      </c>
      <c r="CG68">
        <f>IF('STERLING CATALOG - DRY '!1398:1398,"AAAAAH//1lQ=",0)</f>
        <v>0</v>
      </c>
      <c r="CH68" t="e">
        <f>AND('STERLING CATALOG - DRY '!A1398,"AAAAAH//1lU=")</f>
        <v>#VALUE!</v>
      </c>
      <c r="CI68" t="e">
        <f>AND('STERLING CATALOG - DRY '!B1398,"AAAAAH//1lY=")</f>
        <v>#VALUE!</v>
      </c>
      <c r="CJ68" t="e">
        <f>AND('STERLING CATALOG - DRY '!C1398,"AAAAAH//1lc=")</f>
        <v>#VALUE!</v>
      </c>
      <c r="CK68" t="e">
        <f>AND('STERLING CATALOG - DRY '!D1398,"AAAAAH//1lg=")</f>
        <v>#VALUE!</v>
      </c>
      <c r="CL68" t="e">
        <f>AND('STERLING CATALOG - DRY '!E1398,"AAAAAH//1lk=")</f>
        <v>#VALUE!</v>
      </c>
      <c r="CM68" t="e">
        <f>AND('STERLING CATALOG - DRY '!F1398,"AAAAAH//1lo=")</f>
        <v>#VALUE!</v>
      </c>
      <c r="CN68" t="e">
        <f>AND('STERLING CATALOG - DRY '!G1398,"AAAAAH//1ls=")</f>
        <v>#VALUE!</v>
      </c>
      <c r="CO68" t="e">
        <f>AND('STERLING CATALOG - DRY '!H1398,"AAAAAH//1lw=")</f>
        <v>#VALUE!</v>
      </c>
      <c r="CP68" t="e">
        <f>AND('STERLING CATALOG - DRY '!I1398,"AAAAAH//1l0=")</f>
        <v>#VALUE!</v>
      </c>
      <c r="CQ68" t="e">
        <f>AND('STERLING CATALOG - DRY '!J1398,"AAAAAH//1l4=")</f>
        <v>#VALUE!</v>
      </c>
      <c r="CR68">
        <f>IF('STERLING CATALOG - DRY '!1399:1399,"AAAAAH//1l8=",0)</f>
        <v>0</v>
      </c>
      <c r="CS68" t="e">
        <f>AND('STERLING CATALOG - DRY '!A1399,"AAAAAH//1mA=")</f>
        <v>#VALUE!</v>
      </c>
      <c r="CT68" t="e">
        <f>AND('STERLING CATALOG - DRY '!B1399,"AAAAAH//1mE=")</f>
        <v>#VALUE!</v>
      </c>
      <c r="CU68" t="e">
        <f>AND('STERLING CATALOG - DRY '!C1399,"AAAAAH//1mI=")</f>
        <v>#VALUE!</v>
      </c>
      <c r="CV68" t="e">
        <f>AND('STERLING CATALOG - DRY '!D1399,"AAAAAH//1mM=")</f>
        <v>#VALUE!</v>
      </c>
      <c r="CW68" t="e">
        <f>AND('STERLING CATALOG - DRY '!E1399,"AAAAAH//1mQ=")</f>
        <v>#VALUE!</v>
      </c>
      <c r="CX68" t="e">
        <f>AND('STERLING CATALOG - DRY '!F1399,"AAAAAH//1mU=")</f>
        <v>#VALUE!</v>
      </c>
      <c r="CY68" t="e">
        <f>AND('STERLING CATALOG - DRY '!G1399,"AAAAAH//1mY=")</f>
        <v>#VALUE!</v>
      </c>
      <c r="CZ68" t="e">
        <f>AND('STERLING CATALOG - DRY '!H1399,"AAAAAH//1mc=")</f>
        <v>#VALUE!</v>
      </c>
      <c r="DA68" t="e">
        <f>AND('STERLING CATALOG - DRY '!I1399,"AAAAAH//1mg=")</f>
        <v>#VALUE!</v>
      </c>
      <c r="DB68" t="e">
        <f>AND('STERLING CATALOG - DRY '!J1399,"AAAAAH//1mk=")</f>
        <v>#VALUE!</v>
      </c>
      <c r="DC68">
        <f>IF('STERLING CATALOG - DRY '!1400:1400,"AAAAAH//1mo=",0)</f>
        <v>0</v>
      </c>
      <c r="DD68" t="e">
        <f>AND('STERLING CATALOG - DRY '!A1400,"AAAAAH//1ms=")</f>
        <v>#VALUE!</v>
      </c>
      <c r="DE68" t="e">
        <f>AND('STERLING CATALOG - DRY '!B1400,"AAAAAH//1mw=")</f>
        <v>#VALUE!</v>
      </c>
      <c r="DF68" t="e">
        <f>AND('STERLING CATALOG - DRY '!C1400,"AAAAAH//1m0=")</f>
        <v>#VALUE!</v>
      </c>
      <c r="DG68" t="e">
        <f>AND('STERLING CATALOG - DRY '!D1400,"AAAAAH//1m4=")</f>
        <v>#VALUE!</v>
      </c>
      <c r="DH68" t="e">
        <f>AND('STERLING CATALOG - DRY '!E1400,"AAAAAH//1m8=")</f>
        <v>#VALUE!</v>
      </c>
      <c r="DI68" t="e">
        <f>AND('STERLING CATALOG - DRY '!F1400,"AAAAAH//1nA=")</f>
        <v>#VALUE!</v>
      </c>
      <c r="DJ68" t="e">
        <f>AND('STERLING CATALOG - DRY '!G1400,"AAAAAH//1nE=")</f>
        <v>#VALUE!</v>
      </c>
      <c r="DK68" t="e">
        <f>AND('STERLING CATALOG - DRY '!H1400,"AAAAAH//1nI=")</f>
        <v>#VALUE!</v>
      </c>
      <c r="DL68" t="e">
        <f>AND('STERLING CATALOG - DRY '!I1400,"AAAAAH//1nM=")</f>
        <v>#VALUE!</v>
      </c>
      <c r="DM68" t="e">
        <f>AND('STERLING CATALOG - DRY '!J1400,"AAAAAH//1nQ=")</f>
        <v>#VALUE!</v>
      </c>
      <c r="DN68">
        <f>IF('STERLING CATALOG - DRY '!1401:1401,"AAAAAH//1nU=",0)</f>
        <v>0</v>
      </c>
      <c r="DO68" t="e">
        <f>AND('STERLING CATALOG - DRY '!A1401,"AAAAAH//1nY=")</f>
        <v>#VALUE!</v>
      </c>
      <c r="DP68" t="e">
        <f>AND('STERLING CATALOG - DRY '!B1401,"AAAAAH//1nc=")</f>
        <v>#VALUE!</v>
      </c>
      <c r="DQ68" t="e">
        <f>AND('STERLING CATALOG - DRY '!C1401,"AAAAAH//1ng=")</f>
        <v>#VALUE!</v>
      </c>
      <c r="DR68" t="e">
        <f>AND('STERLING CATALOG - DRY '!D1401,"AAAAAH//1nk=")</f>
        <v>#VALUE!</v>
      </c>
      <c r="DS68" t="e">
        <f>AND('STERLING CATALOG - DRY '!E1401,"AAAAAH//1no=")</f>
        <v>#VALUE!</v>
      </c>
      <c r="DT68" t="e">
        <f>AND('STERLING CATALOG - DRY '!F1401,"AAAAAH//1ns=")</f>
        <v>#VALUE!</v>
      </c>
      <c r="DU68" t="e">
        <f>AND('STERLING CATALOG - DRY '!G1401,"AAAAAH//1nw=")</f>
        <v>#VALUE!</v>
      </c>
      <c r="DV68" t="e">
        <f>AND('STERLING CATALOG - DRY '!H1401,"AAAAAH//1n0=")</f>
        <v>#VALUE!</v>
      </c>
      <c r="DW68" t="e">
        <f>AND('STERLING CATALOG - DRY '!I1401,"AAAAAH//1n4=")</f>
        <v>#VALUE!</v>
      </c>
      <c r="DX68" t="e">
        <f>AND('STERLING CATALOG - DRY '!J1401,"AAAAAH//1n8=")</f>
        <v>#VALUE!</v>
      </c>
      <c r="DY68">
        <f>IF('STERLING CATALOG - DRY '!1402:1402,"AAAAAH//1oA=",0)</f>
        <v>0</v>
      </c>
      <c r="DZ68" t="e">
        <f>AND('STERLING CATALOG - DRY '!A1402,"AAAAAH//1oE=")</f>
        <v>#VALUE!</v>
      </c>
      <c r="EA68" t="e">
        <f>AND('STERLING CATALOG - DRY '!B1402,"AAAAAH//1oI=")</f>
        <v>#VALUE!</v>
      </c>
      <c r="EB68" t="e">
        <f>AND('STERLING CATALOG - DRY '!C1402,"AAAAAH//1oM=")</f>
        <v>#VALUE!</v>
      </c>
      <c r="EC68" t="e">
        <f>AND('STERLING CATALOG - DRY '!D1402,"AAAAAH//1oQ=")</f>
        <v>#VALUE!</v>
      </c>
      <c r="ED68" t="e">
        <f>AND('STERLING CATALOG - DRY '!E1402,"AAAAAH//1oU=")</f>
        <v>#VALUE!</v>
      </c>
      <c r="EE68" t="e">
        <f>AND('STERLING CATALOG - DRY '!F1402,"AAAAAH//1oY=")</f>
        <v>#VALUE!</v>
      </c>
      <c r="EF68" t="e">
        <f>AND('STERLING CATALOG - DRY '!G1402,"AAAAAH//1oc=")</f>
        <v>#VALUE!</v>
      </c>
      <c r="EG68" t="e">
        <f>AND('STERLING CATALOG - DRY '!H1402,"AAAAAH//1og=")</f>
        <v>#VALUE!</v>
      </c>
      <c r="EH68" t="e">
        <f>AND('STERLING CATALOG - DRY '!I1402,"AAAAAH//1ok=")</f>
        <v>#VALUE!</v>
      </c>
      <c r="EI68" t="e">
        <f>AND('STERLING CATALOG - DRY '!J1402,"AAAAAH//1oo=")</f>
        <v>#VALUE!</v>
      </c>
      <c r="EJ68">
        <f>IF('STERLING CATALOG - DRY '!1403:1403,"AAAAAH//1os=",0)</f>
        <v>0</v>
      </c>
      <c r="EK68" t="e">
        <f>AND('STERLING CATALOG - DRY '!A1403,"AAAAAH//1ow=")</f>
        <v>#VALUE!</v>
      </c>
      <c r="EL68" t="e">
        <f>AND('STERLING CATALOG - DRY '!B1403,"AAAAAH//1o0=")</f>
        <v>#VALUE!</v>
      </c>
      <c r="EM68" t="e">
        <f>AND('STERLING CATALOG - DRY '!C1403,"AAAAAH//1o4=")</f>
        <v>#VALUE!</v>
      </c>
      <c r="EN68" t="e">
        <f>AND('STERLING CATALOG - DRY '!D1403,"AAAAAH//1o8=")</f>
        <v>#VALUE!</v>
      </c>
      <c r="EO68" t="e">
        <f>AND('STERLING CATALOG - DRY '!E1403,"AAAAAH//1pA=")</f>
        <v>#VALUE!</v>
      </c>
      <c r="EP68" t="e">
        <f>AND('STERLING CATALOG - DRY '!F1403,"AAAAAH//1pE=")</f>
        <v>#VALUE!</v>
      </c>
      <c r="EQ68" t="e">
        <f>AND('STERLING CATALOG - DRY '!G1403,"AAAAAH//1pI=")</f>
        <v>#VALUE!</v>
      </c>
      <c r="ER68" t="e">
        <f>AND('STERLING CATALOG - DRY '!H1403,"AAAAAH//1pM=")</f>
        <v>#VALUE!</v>
      </c>
      <c r="ES68" t="e">
        <f>AND('STERLING CATALOG - DRY '!I1403,"AAAAAH//1pQ=")</f>
        <v>#VALUE!</v>
      </c>
      <c r="ET68" t="e">
        <f>AND('STERLING CATALOG - DRY '!J1403,"AAAAAH//1pU=")</f>
        <v>#VALUE!</v>
      </c>
      <c r="EU68">
        <f>IF('STERLING CATALOG - DRY '!1404:1404,"AAAAAH//1pY=",0)</f>
        <v>0</v>
      </c>
      <c r="EV68" t="e">
        <f>AND('STERLING CATALOG - DRY '!A1404,"AAAAAH//1pc=")</f>
        <v>#VALUE!</v>
      </c>
      <c r="EW68" t="e">
        <f>AND('STERLING CATALOG - DRY '!B1404,"AAAAAH//1pg=")</f>
        <v>#VALUE!</v>
      </c>
      <c r="EX68" t="e">
        <f>AND('STERLING CATALOG - DRY '!C1404,"AAAAAH//1pk=")</f>
        <v>#VALUE!</v>
      </c>
      <c r="EY68" t="e">
        <f>AND('STERLING CATALOG - DRY '!D1404,"AAAAAH//1po=")</f>
        <v>#VALUE!</v>
      </c>
      <c r="EZ68" t="e">
        <f>AND('STERLING CATALOG - DRY '!E1404,"AAAAAH//1ps=")</f>
        <v>#VALUE!</v>
      </c>
      <c r="FA68" t="e">
        <f>AND('STERLING CATALOG - DRY '!F1404,"AAAAAH//1pw=")</f>
        <v>#VALUE!</v>
      </c>
      <c r="FB68" t="e">
        <f>AND('STERLING CATALOG - DRY '!G1404,"AAAAAH//1p0=")</f>
        <v>#VALUE!</v>
      </c>
      <c r="FC68" t="e">
        <f>AND('STERLING CATALOG - DRY '!H1404,"AAAAAH//1p4=")</f>
        <v>#VALUE!</v>
      </c>
      <c r="FD68" t="e">
        <f>AND('STERLING CATALOG - DRY '!I1404,"AAAAAH//1p8=")</f>
        <v>#VALUE!</v>
      </c>
      <c r="FE68" t="e">
        <f>AND('STERLING CATALOG - DRY '!J1404,"AAAAAH//1qA=")</f>
        <v>#VALUE!</v>
      </c>
      <c r="FF68">
        <f>IF('STERLING CATALOG - DRY '!1405:1405,"AAAAAH//1qE=",0)</f>
        <v>0</v>
      </c>
      <c r="FG68" t="e">
        <f>AND('STERLING CATALOG - DRY '!A1405,"AAAAAH//1qI=")</f>
        <v>#VALUE!</v>
      </c>
      <c r="FH68" t="e">
        <f>AND('STERLING CATALOG - DRY '!B1405,"AAAAAH//1qM=")</f>
        <v>#VALUE!</v>
      </c>
      <c r="FI68" t="e">
        <f>AND('STERLING CATALOG - DRY '!C1405,"AAAAAH//1qQ=")</f>
        <v>#VALUE!</v>
      </c>
      <c r="FJ68" t="e">
        <f>AND('STERLING CATALOG - DRY '!D1405,"AAAAAH//1qU=")</f>
        <v>#VALUE!</v>
      </c>
      <c r="FK68" t="e">
        <f>AND('STERLING CATALOG - DRY '!E1405,"AAAAAH//1qY=")</f>
        <v>#VALUE!</v>
      </c>
      <c r="FL68" t="e">
        <f>AND('STERLING CATALOG - DRY '!F1405,"AAAAAH//1qc=")</f>
        <v>#VALUE!</v>
      </c>
      <c r="FM68" t="e">
        <f>AND('STERLING CATALOG - DRY '!G1405,"AAAAAH//1qg=")</f>
        <v>#VALUE!</v>
      </c>
      <c r="FN68" t="e">
        <f>AND('STERLING CATALOG - DRY '!H1405,"AAAAAH//1qk=")</f>
        <v>#VALUE!</v>
      </c>
      <c r="FO68" t="e">
        <f>AND('STERLING CATALOG - DRY '!I1405,"AAAAAH//1qo=")</f>
        <v>#VALUE!</v>
      </c>
      <c r="FP68" t="e">
        <f>AND('STERLING CATALOG - DRY '!J1405,"AAAAAH//1qs=")</f>
        <v>#VALUE!</v>
      </c>
      <c r="FQ68">
        <f>IF('STERLING CATALOG - DRY '!1406:1406,"AAAAAH//1qw=",0)</f>
        <v>0</v>
      </c>
      <c r="FR68" t="e">
        <f>AND('STERLING CATALOG - DRY '!A1406,"AAAAAH//1q0=")</f>
        <v>#VALUE!</v>
      </c>
      <c r="FS68" t="e">
        <f>AND('STERLING CATALOG - DRY '!B1406,"AAAAAH//1q4=")</f>
        <v>#VALUE!</v>
      </c>
      <c r="FT68" t="e">
        <f>AND('STERLING CATALOG - DRY '!C1406,"AAAAAH//1q8=")</f>
        <v>#VALUE!</v>
      </c>
      <c r="FU68" t="e">
        <f>AND('STERLING CATALOG - DRY '!D1406,"AAAAAH//1rA=")</f>
        <v>#VALUE!</v>
      </c>
      <c r="FV68" t="e">
        <f>AND('STERLING CATALOG - DRY '!E1406,"AAAAAH//1rE=")</f>
        <v>#VALUE!</v>
      </c>
      <c r="FW68" t="e">
        <f>AND('STERLING CATALOG - DRY '!F1406,"AAAAAH//1rI=")</f>
        <v>#VALUE!</v>
      </c>
      <c r="FX68" t="e">
        <f>AND('STERLING CATALOG - DRY '!G1406,"AAAAAH//1rM=")</f>
        <v>#VALUE!</v>
      </c>
      <c r="FY68" t="e">
        <f>AND('STERLING CATALOG - DRY '!H1406,"AAAAAH//1rQ=")</f>
        <v>#VALUE!</v>
      </c>
      <c r="FZ68" t="e">
        <f>AND('STERLING CATALOG - DRY '!I1406,"AAAAAH//1rU=")</f>
        <v>#VALUE!</v>
      </c>
      <c r="GA68" t="e">
        <f>AND('STERLING CATALOG - DRY '!J1406,"AAAAAH//1rY=")</f>
        <v>#VALUE!</v>
      </c>
      <c r="GB68">
        <f>IF('STERLING CATALOG - DRY '!1407:1407,"AAAAAH//1rc=",0)</f>
        <v>0</v>
      </c>
      <c r="GC68" t="e">
        <f>AND('STERLING CATALOG - DRY '!A1407,"AAAAAH//1rg=")</f>
        <v>#VALUE!</v>
      </c>
      <c r="GD68" t="e">
        <f>AND('STERLING CATALOG - DRY '!B1407,"AAAAAH//1rk=")</f>
        <v>#VALUE!</v>
      </c>
      <c r="GE68" t="e">
        <f>AND('STERLING CATALOG - DRY '!C1407,"AAAAAH//1ro=")</f>
        <v>#VALUE!</v>
      </c>
      <c r="GF68" t="e">
        <f>AND('STERLING CATALOG - DRY '!D1407,"AAAAAH//1rs=")</f>
        <v>#VALUE!</v>
      </c>
      <c r="GG68" t="e">
        <f>AND('STERLING CATALOG - DRY '!E1407,"AAAAAH//1rw=")</f>
        <v>#VALUE!</v>
      </c>
      <c r="GH68" t="e">
        <f>AND('STERLING CATALOG - DRY '!F1407,"AAAAAH//1r0=")</f>
        <v>#VALUE!</v>
      </c>
      <c r="GI68" t="e">
        <f>AND('STERLING CATALOG - DRY '!G1407,"AAAAAH//1r4=")</f>
        <v>#VALUE!</v>
      </c>
      <c r="GJ68" t="e">
        <f>AND('STERLING CATALOG - DRY '!H1407,"AAAAAH//1r8=")</f>
        <v>#VALUE!</v>
      </c>
      <c r="GK68" t="e">
        <f>AND('STERLING CATALOG - DRY '!I1407,"AAAAAH//1sA=")</f>
        <v>#VALUE!</v>
      </c>
      <c r="GL68" t="e">
        <f>AND('STERLING CATALOG - DRY '!J1407,"AAAAAH//1sE=")</f>
        <v>#VALUE!</v>
      </c>
      <c r="GM68">
        <f>IF('STERLING CATALOG - DRY '!1408:1408,"AAAAAH//1sI=",0)</f>
        <v>0</v>
      </c>
      <c r="GN68" t="e">
        <f>AND('STERLING CATALOG - DRY '!A1408,"AAAAAH//1sM=")</f>
        <v>#VALUE!</v>
      </c>
      <c r="GO68" t="e">
        <f>AND('STERLING CATALOG - DRY '!B1408,"AAAAAH//1sQ=")</f>
        <v>#VALUE!</v>
      </c>
      <c r="GP68" t="e">
        <f>AND('STERLING CATALOG - DRY '!C1408,"AAAAAH//1sU=")</f>
        <v>#VALUE!</v>
      </c>
      <c r="GQ68" t="e">
        <f>AND('STERLING CATALOG - DRY '!D1408,"AAAAAH//1sY=")</f>
        <v>#VALUE!</v>
      </c>
      <c r="GR68" t="e">
        <f>AND('STERLING CATALOG - DRY '!E1408,"AAAAAH//1sc=")</f>
        <v>#VALUE!</v>
      </c>
      <c r="GS68" t="e">
        <f>AND('STERLING CATALOG - DRY '!F1408,"AAAAAH//1sg=")</f>
        <v>#VALUE!</v>
      </c>
      <c r="GT68" t="e">
        <f>AND('STERLING CATALOG - DRY '!G1408,"AAAAAH//1sk=")</f>
        <v>#VALUE!</v>
      </c>
      <c r="GU68" t="e">
        <f>AND('STERLING CATALOG - DRY '!H1408,"AAAAAH//1so=")</f>
        <v>#VALUE!</v>
      </c>
      <c r="GV68" t="e">
        <f>AND('STERLING CATALOG - DRY '!I1408,"AAAAAH//1ss=")</f>
        <v>#VALUE!</v>
      </c>
      <c r="GW68" t="e">
        <f>AND('STERLING CATALOG - DRY '!J1408,"AAAAAH//1sw=")</f>
        <v>#VALUE!</v>
      </c>
      <c r="GX68">
        <f>IF('STERLING CATALOG - DRY '!1409:1409,"AAAAAH//1s0=",0)</f>
        <v>0</v>
      </c>
      <c r="GY68" t="e">
        <f>AND('STERLING CATALOG - DRY '!A1409,"AAAAAH//1s4=")</f>
        <v>#VALUE!</v>
      </c>
      <c r="GZ68" t="e">
        <f>AND('STERLING CATALOG - DRY '!B1409,"AAAAAH//1s8=")</f>
        <v>#VALUE!</v>
      </c>
      <c r="HA68" t="e">
        <f>AND('STERLING CATALOG - DRY '!C1409,"AAAAAH//1tA=")</f>
        <v>#VALUE!</v>
      </c>
      <c r="HB68" t="e">
        <f>AND('STERLING CATALOG - DRY '!D1409,"AAAAAH//1tE=")</f>
        <v>#VALUE!</v>
      </c>
      <c r="HC68" t="e">
        <f>AND('STERLING CATALOG - DRY '!E1409,"AAAAAH//1tI=")</f>
        <v>#VALUE!</v>
      </c>
      <c r="HD68" t="e">
        <f>AND('STERLING CATALOG - DRY '!F1409,"AAAAAH//1tM=")</f>
        <v>#VALUE!</v>
      </c>
      <c r="HE68" t="e">
        <f>AND('STERLING CATALOG - DRY '!G1409,"AAAAAH//1tQ=")</f>
        <v>#VALUE!</v>
      </c>
      <c r="HF68" t="e">
        <f>AND('STERLING CATALOG - DRY '!H1409,"AAAAAH//1tU=")</f>
        <v>#VALUE!</v>
      </c>
      <c r="HG68" t="e">
        <f>AND('STERLING CATALOG - DRY '!I1409,"AAAAAH//1tY=")</f>
        <v>#VALUE!</v>
      </c>
      <c r="HH68" t="e">
        <f>AND('STERLING CATALOG - DRY '!J1409,"AAAAAH//1tc=")</f>
        <v>#VALUE!</v>
      </c>
      <c r="HI68">
        <f>IF('STERLING CATALOG - DRY '!1410:1410,"AAAAAH//1tg=",0)</f>
        <v>0</v>
      </c>
      <c r="HJ68" t="e">
        <f>AND('STERLING CATALOG - DRY '!A1410,"AAAAAH//1tk=")</f>
        <v>#VALUE!</v>
      </c>
      <c r="HK68" t="e">
        <f>AND('STERLING CATALOG - DRY '!B1410,"AAAAAH//1to=")</f>
        <v>#VALUE!</v>
      </c>
      <c r="HL68" t="e">
        <f>AND('STERLING CATALOG - DRY '!C1410,"AAAAAH//1ts=")</f>
        <v>#VALUE!</v>
      </c>
      <c r="HM68" t="e">
        <f>AND('STERLING CATALOG - DRY '!D1410,"AAAAAH//1tw=")</f>
        <v>#VALUE!</v>
      </c>
      <c r="HN68" t="e">
        <f>AND('STERLING CATALOG - DRY '!E1410,"AAAAAH//1t0=")</f>
        <v>#VALUE!</v>
      </c>
      <c r="HO68" t="e">
        <f>AND('STERLING CATALOG - DRY '!F1410,"AAAAAH//1t4=")</f>
        <v>#VALUE!</v>
      </c>
      <c r="HP68" t="e">
        <f>AND('STERLING CATALOG - DRY '!G1410,"AAAAAH//1t8=")</f>
        <v>#VALUE!</v>
      </c>
      <c r="HQ68" t="e">
        <f>AND('STERLING CATALOG - DRY '!H1410,"AAAAAH//1uA=")</f>
        <v>#VALUE!</v>
      </c>
      <c r="HR68" t="e">
        <f>AND('STERLING CATALOG - DRY '!I1410,"AAAAAH//1uE=")</f>
        <v>#VALUE!</v>
      </c>
      <c r="HS68" t="e">
        <f>AND('STERLING CATALOG - DRY '!J1410,"AAAAAH//1uI=")</f>
        <v>#VALUE!</v>
      </c>
      <c r="HT68">
        <f>IF('STERLING CATALOG - DRY '!1411:1411,"AAAAAH//1uM=",0)</f>
        <v>0</v>
      </c>
      <c r="HU68" t="e">
        <f>AND('STERLING CATALOG - DRY '!A1411,"AAAAAH//1uQ=")</f>
        <v>#VALUE!</v>
      </c>
      <c r="HV68" t="e">
        <f>AND('STERLING CATALOG - DRY '!B1411,"AAAAAH//1uU=")</f>
        <v>#VALUE!</v>
      </c>
      <c r="HW68" t="e">
        <f>AND('STERLING CATALOG - DRY '!C1411,"AAAAAH//1uY=")</f>
        <v>#VALUE!</v>
      </c>
      <c r="HX68" t="e">
        <f>AND('STERLING CATALOG - DRY '!D1411,"AAAAAH//1uc=")</f>
        <v>#VALUE!</v>
      </c>
      <c r="HY68" t="e">
        <f>AND('STERLING CATALOG - DRY '!E1411,"AAAAAH//1ug=")</f>
        <v>#VALUE!</v>
      </c>
      <c r="HZ68" t="e">
        <f>AND('STERLING CATALOG - DRY '!F1411,"AAAAAH//1uk=")</f>
        <v>#VALUE!</v>
      </c>
      <c r="IA68" t="e">
        <f>AND('STERLING CATALOG - DRY '!G1411,"AAAAAH//1uo=")</f>
        <v>#VALUE!</v>
      </c>
      <c r="IB68" t="e">
        <f>AND('STERLING CATALOG - DRY '!H1411,"AAAAAH//1us=")</f>
        <v>#VALUE!</v>
      </c>
      <c r="IC68" t="e">
        <f>AND('STERLING CATALOG - DRY '!I1411,"AAAAAH//1uw=")</f>
        <v>#VALUE!</v>
      </c>
      <c r="ID68" t="e">
        <f>AND('STERLING CATALOG - DRY '!J1411,"AAAAAH//1u0=")</f>
        <v>#VALUE!</v>
      </c>
      <c r="IE68">
        <f>IF('STERLING CATALOG - DRY '!1412:1412,"AAAAAH//1u4=",0)</f>
        <v>0</v>
      </c>
      <c r="IF68" t="e">
        <f>AND('STERLING CATALOG - DRY '!A1412,"AAAAAH//1u8=")</f>
        <v>#VALUE!</v>
      </c>
      <c r="IG68" t="e">
        <f>AND('STERLING CATALOG - DRY '!B1412,"AAAAAH//1vA=")</f>
        <v>#VALUE!</v>
      </c>
      <c r="IH68" t="e">
        <f>AND('STERLING CATALOG - DRY '!C1412,"AAAAAH//1vE=")</f>
        <v>#VALUE!</v>
      </c>
      <c r="II68" t="e">
        <f>AND('STERLING CATALOG - DRY '!D1412,"AAAAAH//1vI=")</f>
        <v>#VALUE!</v>
      </c>
      <c r="IJ68" t="e">
        <f>AND('STERLING CATALOG - DRY '!E1412,"AAAAAH//1vM=")</f>
        <v>#VALUE!</v>
      </c>
      <c r="IK68" t="e">
        <f>AND('STERLING CATALOG - DRY '!F1412,"AAAAAH//1vQ=")</f>
        <v>#VALUE!</v>
      </c>
      <c r="IL68" t="e">
        <f>AND('STERLING CATALOG - DRY '!G1412,"AAAAAH//1vU=")</f>
        <v>#VALUE!</v>
      </c>
      <c r="IM68" t="e">
        <f>AND('STERLING CATALOG - DRY '!H1412,"AAAAAH//1vY=")</f>
        <v>#VALUE!</v>
      </c>
      <c r="IN68" t="e">
        <f>AND('STERLING CATALOG - DRY '!I1412,"AAAAAH//1vc=")</f>
        <v>#VALUE!</v>
      </c>
      <c r="IO68" t="e">
        <f>AND('STERLING CATALOG - DRY '!J1412,"AAAAAH//1vg=")</f>
        <v>#VALUE!</v>
      </c>
      <c r="IP68">
        <f>IF('STERLING CATALOG - DRY '!1413:1413,"AAAAAH//1vk=",0)</f>
        <v>0</v>
      </c>
      <c r="IQ68" t="e">
        <f>AND('STERLING CATALOG - DRY '!A1413,"AAAAAH//1vo=")</f>
        <v>#VALUE!</v>
      </c>
      <c r="IR68" t="e">
        <f>AND('STERLING CATALOG - DRY '!B1413,"AAAAAH//1vs=")</f>
        <v>#VALUE!</v>
      </c>
      <c r="IS68" t="e">
        <f>AND('STERLING CATALOG - DRY '!C1413,"AAAAAH//1vw=")</f>
        <v>#VALUE!</v>
      </c>
      <c r="IT68" t="e">
        <f>AND('STERLING CATALOG - DRY '!D1413,"AAAAAH//1v0=")</f>
        <v>#VALUE!</v>
      </c>
      <c r="IU68" t="e">
        <f>AND('STERLING CATALOG - DRY '!E1413,"AAAAAH//1v4=")</f>
        <v>#VALUE!</v>
      </c>
      <c r="IV68" t="e">
        <f>AND('STERLING CATALOG - DRY '!F1413,"AAAAAH//1v8=")</f>
        <v>#VALUE!</v>
      </c>
    </row>
    <row r="69" spans="1:256">
      <c r="A69" t="e">
        <f>AND('STERLING CATALOG - DRY '!G1413,"AAAAAEX//wA=")</f>
        <v>#VALUE!</v>
      </c>
      <c r="B69" t="e">
        <f>AND('STERLING CATALOG - DRY '!H1413,"AAAAAEX//wE=")</f>
        <v>#VALUE!</v>
      </c>
      <c r="C69" t="e">
        <f>AND('STERLING CATALOG - DRY '!I1413,"AAAAAEX//wI=")</f>
        <v>#VALUE!</v>
      </c>
      <c r="D69" t="e">
        <f>AND('STERLING CATALOG - DRY '!J1413,"AAAAAEX//wM=")</f>
        <v>#VALUE!</v>
      </c>
      <c r="E69" t="e">
        <f>IF('STERLING CATALOG - DRY '!1414:1414,"AAAAAEX//wQ=",0)</f>
        <v>#VALUE!</v>
      </c>
      <c r="F69" t="e">
        <f>AND('STERLING CATALOG - DRY '!A1414,"AAAAAEX//wU=")</f>
        <v>#VALUE!</v>
      </c>
      <c r="G69" t="e">
        <f>AND('STERLING CATALOG - DRY '!B1414,"AAAAAEX//wY=")</f>
        <v>#VALUE!</v>
      </c>
      <c r="H69" t="e">
        <f>AND('STERLING CATALOG - DRY '!C1414,"AAAAAEX//wc=")</f>
        <v>#VALUE!</v>
      </c>
      <c r="I69" t="e">
        <f>AND('STERLING CATALOG - DRY '!D1414,"AAAAAEX//wg=")</f>
        <v>#VALUE!</v>
      </c>
      <c r="J69" t="e">
        <f>AND('STERLING CATALOG - DRY '!E1414,"AAAAAEX//wk=")</f>
        <v>#VALUE!</v>
      </c>
      <c r="K69" t="e">
        <f>AND('STERLING CATALOG - DRY '!F1414,"AAAAAEX//wo=")</f>
        <v>#VALUE!</v>
      </c>
      <c r="L69" t="e">
        <f>AND('STERLING CATALOG - DRY '!G1414,"AAAAAEX//ws=")</f>
        <v>#VALUE!</v>
      </c>
      <c r="M69" t="e">
        <f>AND('STERLING CATALOG - DRY '!H1414,"AAAAAEX//ww=")</f>
        <v>#VALUE!</v>
      </c>
      <c r="N69" t="e">
        <f>AND('STERLING CATALOG - DRY '!I1414,"AAAAAEX//w0=")</f>
        <v>#VALUE!</v>
      </c>
      <c r="O69" t="e">
        <f>AND('STERLING CATALOG - DRY '!J1414,"AAAAAEX//w4=")</f>
        <v>#VALUE!</v>
      </c>
      <c r="P69">
        <f>IF('STERLING CATALOG - DRY '!1415:1415,"AAAAAEX//w8=",0)</f>
        <v>0</v>
      </c>
      <c r="Q69" t="e">
        <f>AND('STERLING CATALOG - DRY '!A1415,"AAAAAEX//xA=")</f>
        <v>#VALUE!</v>
      </c>
      <c r="R69" t="e">
        <f>AND('STERLING CATALOG - DRY '!B1415,"AAAAAEX//xE=")</f>
        <v>#VALUE!</v>
      </c>
      <c r="S69" t="e">
        <f>AND('STERLING CATALOG - DRY '!C1415,"AAAAAEX//xI=")</f>
        <v>#VALUE!</v>
      </c>
      <c r="T69" t="e">
        <f>AND('STERLING CATALOG - DRY '!D1415,"AAAAAEX//xM=")</f>
        <v>#VALUE!</v>
      </c>
      <c r="U69" t="e">
        <f>AND('STERLING CATALOG - DRY '!E1415,"AAAAAEX//xQ=")</f>
        <v>#VALUE!</v>
      </c>
      <c r="V69" t="e">
        <f>AND('STERLING CATALOG - DRY '!F1415,"AAAAAEX//xU=")</f>
        <v>#VALUE!</v>
      </c>
      <c r="W69" t="e">
        <f>AND('STERLING CATALOG - DRY '!G1415,"AAAAAEX//xY=")</f>
        <v>#VALUE!</v>
      </c>
      <c r="X69" t="e">
        <f>AND('STERLING CATALOG - DRY '!H1415,"AAAAAEX//xc=")</f>
        <v>#VALUE!</v>
      </c>
      <c r="Y69" t="e">
        <f>AND('STERLING CATALOG - DRY '!I1415,"AAAAAEX//xg=")</f>
        <v>#VALUE!</v>
      </c>
      <c r="Z69" t="e">
        <f>AND('STERLING CATALOG - DRY '!J1415,"AAAAAEX//xk=")</f>
        <v>#VALUE!</v>
      </c>
      <c r="AA69">
        <f>IF('STERLING CATALOG - DRY '!1416:1416,"AAAAAEX//xo=",0)</f>
        <v>0</v>
      </c>
      <c r="AB69" t="e">
        <f>AND('STERLING CATALOG - DRY '!A1416,"AAAAAEX//xs=")</f>
        <v>#VALUE!</v>
      </c>
      <c r="AC69" t="e">
        <f>AND('STERLING CATALOG - DRY '!B1416,"AAAAAEX//xw=")</f>
        <v>#VALUE!</v>
      </c>
      <c r="AD69" t="e">
        <f>AND('STERLING CATALOG - DRY '!C1416,"AAAAAEX//x0=")</f>
        <v>#VALUE!</v>
      </c>
      <c r="AE69" t="e">
        <f>AND('STERLING CATALOG - DRY '!D1416,"AAAAAEX//x4=")</f>
        <v>#VALUE!</v>
      </c>
      <c r="AF69" t="e">
        <f>AND('STERLING CATALOG - DRY '!E1416,"AAAAAEX//x8=")</f>
        <v>#VALUE!</v>
      </c>
      <c r="AG69" t="e">
        <f>AND('STERLING CATALOG - DRY '!F1416,"AAAAAEX//yA=")</f>
        <v>#VALUE!</v>
      </c>
      <c r="AH69" t="e">
        <f>AND('STERLING CATALOG - DRY '!G1416,"AAAAAEX//yE=")</f>
        <v>#VALUE!</v>
      </c>
      <c r="AI69" t="e">
        <f>AND('STERLING CATALOG - DRY '!H1416,"AAAAAEX//yI=")</f>
        <v>#VALUE!</v>
      </c>
      <c r="AJ69" t="e">
        <f>AND('STERLING CATALOG - DRY '!I1416,"AAAAAEX//yM=")</f>
        <v>#VALUE!</v>
      </c>
      <c r="AK69" t="e">
        <f>AND('STERLING CATALOG - DRY '!J1416,"AAAAAEX//yQ=")</f>
        <v>#VALUE!</v>
      </c>
      <c r="AL69">
        <f>IF('STERLING CATALOG - DRY '!1417:1417,"AAAAAEX//yU=",0)</f>
        <v>0</v>
      </c>
      <c r="AM69" t="e">
        <f>AND('STERLING CATALOG - DRY '!A1417,"AAAAAEX//yY=")</f>
        <v>#VALUE!</v>
      </c>
      <c r="AN69" t="e">
        <f>AND('STERLING CATALOG - DRY '!B1417,"AAAAAEX//yc=")</f>
        <v>#VALUE!</v>
      </c>
      <c r="AO69" t="e">
        <f>AND('STERLING CATALOG - DRY '!C1417,"AAAAAEX//yg=")</f>
        <v>#VALUE!</v>
      </c>
      <c r="AP69" t="e">
        <f>AND('STERLING CATALOG - DRY '!D1417,"AAAAAEX//yk=")</f>
        <v>#VALUE!</v>
      </c>
      <c r="AQ69" t="e">
        <f>AND('STERLING CATALOG - DRY '!E1417,"AAAAAEX//yo=")</f>
        <v>#VALUE!</v>
      </c>
      <c r="AR69" t="e">
        <f>AND('STERLING CATALOG - DRY '!F1417,"AAAAAEX//ys=")</f>
        <v>#VALUE!</v>
      </c>
      <c r="AS69" t="e">
        <f>AND('STERLING CATALOG - DRY '!G1417,"AAAAAEX//yw=")</f>
        <v>#VALUE!</v>
      </c>
      <c r="AT69" t="e">
        <f>AND('STERLING CATALOG - DRY '!H1417,"AAAAAEX//y0=")</f>
        <v>#VALUE!</v>
      </c>
      <c r="AU69" t="e">
        <f>AND('STERLING CATALOG - DRY '!I1417,"AAAAAEX//y4=")</f>
        <v>#VALUE!</v>
      </c>
      <c r="AV69" t="e">
        <f>AND('STERLING CATALOG - DRY '!J1417,"AAAAAEX//y8=")</f>
        <v>#VALUE!</v>
      </c>
      <c r="AW69">
        <f>IF('STERLING CATALOG - DRY '!1418:1418,"AAAAAEX//zA=",0)</f>
        <v>0</v>
      </c>
      <c r="AX69" t="e">
        <f>AND('STERLING CATALOG - DRY '!A1418,"AAAAAEX//zE=")</f>
        <v>#VALUE!</v>
      </c>
      <c r="AY69" t="e">
        <f>AND('STERLING CATALOG - DRY '!B1418,"AAAAAEX//zI=")</f>
        <v>#VALUE!</v>
      </c>
      <c r="AZ69" t="e">
        <f>AND('STERLING CATALOG - DRY '!C1418,"AAAAAEX//zM=")</f>
        <v>#VALUE!</v>
      </c>
      <c r="BA69" t="e">
        <f>AND('STERLING CATALOG - DRY '!D1418,"AAAAAEX//zQ=")</f>
        <v>#VALUE!</v>
      </c>
      <c r="BB69" t="e">
        <f>AND('STERLING CATALOG - DRY '!E1418,"AAAAAEX//zU=")</f>
        <v>#VALUE!</v>
      </c>
      <c r="BC69" t="e">
        <f>AND('STERLING CATALOG - DRY '!F1418,"AAAAAEX//zY=")</f>
        <v>#VALUE!</v>
      </c>
      <c r="BD69" t="e">
        <f>AND('STERLING CATALOG - DRY '!G1418,"AAAAAEX//zc=")</f>
        <v>#VALUE!</v>
      </c>
      <c r="BE69" t="e">
        <f>AND('STERLING CATALOG - DRY '!H1418,"AAAAAEX//zg=")</f>
        <v>#VALUE!</v>
      </c>
      <c r="BF69" t="e">
        <f>AND('STERLING CATALOG - DRY '!I1418,"AAAAAEX//zk=")</f>
        <v>#VALUE!</v>
      </c>
      <c r="BG69" t="e">
        <f>AND('STERLING CATALOG - DRY '!J1418,"AAAAAEX//zo=")</f>
        <v>#VALUE!</v>
      </c>
      <c r="BH69">
        <f>IF('STERLING CATALOG - DRY '!1419:1419,"AAAAAEX//zs=",0)</f>
        <v>0</v>
      </c>
      <c r="BI69" t="e">
        <f>AND('STERLING CATALOG - DRY '!A1419,"AAAAAEX//zw=")</f>
        <v>#VALUE!</v>
      </c>
      <c r="BJ69" t="e">
        <f>AND('STERLING CATALOG - DRY '!B1419,"AAAAAEX//z0=")</f>
        <v>#VALUE!</v>
      </c>
      <c r="BK69" t="e">
        <f>AND('STERLING CATALOG - DRY '!C1419,"AAAAAEX//z4=")</f>
        <v>#VALUE!</v>
      </c>
      <c r="BL69" t="e">
        <f>AND('STERLING CATALOG - DRY '!D1419,"AAAAAEX//z8=")</f>
        <v>#VALUE!</v>
      </c>
      <c r="BM69" t="e">
        <f>AND('STERLING CATALOG - DRY '!E1419,"AAAAAEX//0A=")</f>
        <v>#VALUE!</v>
      </c>
      <c r="BN69" t="e">
        <f>AND('STERLING CATALOG - DRY '!F1419,"AAAAAEX//0E=")</f>
        <v>#VALUE!</v>
      </c>
      <c r="BO69" t="e">
        <f>AND('STERLING CATALOG - DRY '!G1419,"AAAAAEX//0I=")</f>
        <v>#VALUE!</v>
      </c>
      <c r="BP69" t="e">
        <f>AND('STERLING CATALOG - DRY '!H1419,"AAAAAEX//0M=")</f>
        <v>#VALUE!</v>
      </c>
      <c r="BQ69" t="e">
        <f>AND('STERLING CATALOG - DRY '!I1419,"AAAAAEX//0Q=")</f>
        <v>#VALUE!</v>
      </c>
      <c r="BR69" t="e">
        <f>AND('STERLING CATALOG - DRY '!J1419,"AAAAAEX//0U=")</f>
        <v>#VALUE!</v>
      </c>
      <c r="BS69">
        <f>IF('STERLING CATALOG - DRY '!1420:1420,"AAAAAEX//0Y=",0)</f>
        <v>0</v>
      </c>
      <c r="BT69" t="e">
        <f>AND('STERLING CATALOG - DRY '!A1420,"AAAAAEX//0c=")</f>
        <v>#VALUE!</v>
      </c>
      <c r="BU69" t="e">
        <f>AND('STERLING CATALOG - DRY '!B1420,"AAAAAEX//0g=")</f>
        <v>#VALUE!</v>
      </c>
      <c r="BV69" t="e">
        <f>AND('STERLING CATALOG - DRY '!C1420,"AAAAAEX//0k=")</f>
        <v>#VALUE!</v>
      </c>
      <c r="BW69" t="e">
        <f>AND('STERLING CATALOG - DRY '!D1420,"AAAAAEX//0o=")</f>
        <v>#VALUE!</v>
      </c>
      <c r="BX69" t="e">
        <f>AND('STERLING CATALOG - DRY '!E1420,"AAAAAEX//0s=")</f>
        <v>#VALUE!</v>
      </c>
      <c r="BY69" t="e">
        <f>AND('STERLING CATALOG - DRY '!F1420,"AAAAAEX//0w=")</f>
        <v>#VALUE!</v>
      </c>
      <c r="BZ69" t="e">
        <f>AND('STERLING CATALOG - DRY '!G1420,"AAAAAEX//00=")</f>
        <v>#VALUE!</v>
      </c>
      <c r="CA69" t="e">
        <f>AND('STERLING CATALOG - DRY '!H1420,"AAAAAEX//04=")</f>
        <v>#VALUE!</v>
      </c>
      <c r="CB69" t="e">
        <f>AND('STERLING CATALOG - DRY '!I1420,"AAAAAEX//08=")</f>
        <v>#VALUE!</v>
      </c>
      <c r="CC69" t="e">
        <f>AND('STERLING CATALOG - DRY '!J1420,"AAAAAEX//1A=")</f>
        <v>#VALUE!</v>
      </c>
      <c r="CD69">
        <f>IF('STERLING CATALOG - DRY '!1421:1421,"AAAAAEX//1E=",0)</f>
        <v>0</v>
      </c>
      <c r="CE69" t="e">
        <f>AND('STERLING CATALOG - DRY '!A1421,"AAAAAEX//1I=")</f>
        <v>#VALUE!</v>
      </c>
      <c r="CF69" t="e">
        <f>AND('STERLING CATALOG - DRY '!B1421,"AAAAAEX//1M=")</f>
        <v>#VALUE!</v>
      </c>
      <c r="CG69" t="e">
        <f>AND('STERLING CATALOG - DRY '!C1421,"AAAAAEX//1Q=")</f>
        <v>#VALUE!</v>
      </c>
      <c r="CH69" t="e">
        <f>AND('STERLING CATALOG - DRY '!D1421,"AAAAAEX//1U=")</f>
        <v>#VALUE!</v>
      </c>
      <c r="CI69" t="e">
        <f>AND('STERLING CATALOG - DRY '!E1421,"AAAAAEX//1Y=")</f>
        <v>#VALUE!</v>
      </c>
      <c r="CJ69" t="e">
        <f>AND('STERLING CATALOG - DRY '!F1421,"AAAAAEX//1c=")</f>
        <v>#VALUE!</v>
      </c>
      <c r="CK69" t="e">
        <f>AND('STERLING CATALOG - DRY '!G1421,"AAAAAEX//1g=")</f>
        <v>#VALUE!</v>
      </c>
      <c r="CL69" t="e">
        <f>AND('STERLING CATALOG - DRY '!H1421,"AAAAAEX//1k=")</f>
        <v>#VALUE!</v>
      </c>
      <c r="CM69" t="e">
        <f>AND('STERLING CATALOG - DRY '!I1421,"AAAAAEX//1o=")</f>
        <v>#VALUE!</v>
      </c>
      <c r="CN69" t="e">
        <f>AND('STERLING CATALOG - DRY '!J1421,"AAAAAEX//1s=")</f>
        <v>#VALUE!</v>
      </c>
      <c r="CO69">
        <f>IF('STERLING CATALOG - DRY '!1422:1422,"AAAAAEX//1w=",0)</f>
        <v>0</v>
      </c>
      <c r="CP69" t="e">
        <f>AND('STERLING CATALOG - DRY '!A1422,"AAAAAEX//10=")</f>
        <v>#VALUE!</v>
      </c>
      <c r="CQ69" t="e">
        <f>AND('STERLING CATALOG - DRY '!B1422,"AAAAAEX//14=")</f>
        <v>#VALUE!</v>
      </c>
      <c r="CR69" t="e">
        <f>AND('STERLING CATALOG - DRY '!C1422,"AAAAAEX//18=")</f>
        <v>#VALUE!</v>
      </c>
      <c r="CS69" t="e">
        <f>AND('STERLING CATALOG - DRY '!D1422,"AAAAAEX//2A=")</f>
        <v>#VALUE!</v>
      </c>
      <c r="CT69" t="e">
        <f>AND('STERLING CATALOG - DRY '!E1422,"AAAAAEX//2E=")</f>
        <v>#VALUE!</v>
      </c>
      <c r="CU69" t="e">
        <f>AND('STERLING CATALOG - DRY '!F1422,"AAAAAEX//2I=")</f>
        <v>#VALUE!</v>
      </c>
      <c r="CV69" t="e">
        <f>AND('STERLING CATALOG - DRY '!G1422,"AAAAAEX//2M=")</f>
        <v>#VALUE!</v>
      </c>
      <c r="CW69" t="e">
        <f>AND('STERLING CATALOG - DRY '!H1422,"AAAAAEX//2Q=")</f>
        <v>#VALUE!</v>
      </c>
      <c r="CX69" t="e">
        <f>AND('STERLING CATALOG - DRY '!I1422,"AAAAAEX//2U=")</f>
        <v>#VALUE!</v>
      </c>
      <c r="CY69" t="e">
        <f>AND('STERLING CATALOG - DRY '!J1422,"AAAAAEX//2Y=")</f>
        <v>#VALUE!</v>
      </c>
      <c r="CZ69">
        <f>IF('STERLING CATALOG - DRY '!1423:1423,"AAAAAEX//2c=",0)</f>
        <v>0</v>
      </c>
      <c r="DA69" t="e">
        <f>AND('STERLING CATALOG - DRY '!A1423,"AAAAAEX//2g=")</f>
        <v>#VALUE!</v>
      </c>
      <c r="DB69" t="e">
        <f>AND('STERLING CATALOG - DRY '!B1423,"AAAAAEX//2k=")</f>
        <v>#VALUE!</v>
      </c>
      <c r="DC69" t="e">
        <f>AND('STERLING CATALOG - DRY '!C1423,"AAAAAEX//2o=")</f>
        <v>#VALUE!</v>
      </c>
      <c r="DD69" t="e">
        <f>AND('STERLING CATALOG - DRY '!D1423,"AAAAAEX//2s=")</f>
        <v>#VALUE!</v>
      </c>
      <c r="DE69" t="e">
        <f>AND('STERLING CATALOG - DRY '!E1423,"AAAAAEX//2w=")</f>
        <v>#VALUE!</v>
      </c>
      <c r="DF69" t="e">
        <f>AND('STERLING CATALOG - DRY '!F1423,"AAAAAEX//20=")</f>
        <v>#VALUE!</v>
      </c>
      <c r="DG69" t="e">
        <f>AND('STERLING CATALOG - DRY '!G1423,"AAAAAEX//24=")</f>
        <v>#VALUE!</v>
      </c>
      <c r="DH69" t="e">
        <f>AND('STERLING CATALOG - DRY '!H1423,"AAAAAEX//28=")</f>
        <v>#VALUE!</v>
      </c>
      <c r="DI69" t="e">
        <f>AND('STERLING CATALOG - DRY '!I1423,"AAAAAEX//3A=")</f>
        <v>#VALUE!</v>
      </c>
      <c r="DJ69" t="e">
        <f>AND('STERLING CATALOG - DRY '!J1423,"AAAAAEX//3E=")</f>
        <v>#VALUE!</v>
      </c>
      <c r="DK69">
        <f>IF('STERLING CATALOG - DRY '!1424:1424,"AAAAAEX//3I=",0)</f>
        <v>0</v>
      </c>
      <c r="DL69" t="e">
        <f>AND('STERLING CATALOG - DRY '!A1424,"AAAAAEX//3M=")</f>
        <v>#VALUE!</v>
      </c>
      <c r="DM69" t="e">
        <f>AND('STERLING CATALOG - DRY '!B1424,"AAAAAEX//3Q=")</f>
        <v>#VALUE!</v>
      </c>
      <c r="DN69" t="e">
        <f>AND('STERLING CATALOG - DRY '!C1424,"AAAAAEX//3U=")</f>
        <v>#VALUE!</v>
      </c>
      <c r="DO69" t="e">
        <f>AND('STERLING CATALOG - DRY '!D1424,"AAAAAEX//3Y=")</f>
        <v>#VALUE!</v>
      </c>
      <c r="DP69" t="e">
        <f>AND('STERLING CATALOG - DRY '!E1424,"AAAAAEX//3c=")</f>
        <v>#VALUE!</v>
      </c>
      <c r="DQ69" t="e">
        <f>AND('STERLING CATALOG - DRY '!F1424,"AAAAAEX//3g=")</f>
        <v>#VALUE!</v>
      </c>
      <c r="DR69" t="e">
        <f>AND('STERLING CATALOG - DRY '!G1424,"AAAAAEX//3k=")</f>
        <v>#VALUE!</v>
      </c>
      <c r="DS69" t="e">
        <f>AND('STERLING CATALOG - DRY '!H1424,"AAAAAEX//3o=")</f>
        <v>#VALUE!</v>
      </c>
      <c r="DT69" t="e">
        <f>AND('STERLING CATALOG - DRY '!I1424,"AAAAAEX//3s=")</f>
        <v>#VALUE!</v>
      </c>
      <c r="DU69" t="e">
        <f>AND('STERLING CATALOG - DRY '!J1424,"AAAAAEX//3w=")</f>
        <v>#VALUE!</v>
      </c>
      <c r="DV69">
        <f>IF('STERLING CATALOG - DRY '!1425:1425,"AAAAAEX//30=",0)</f>
        <v>0</v>
      </c>
      <c r="DW69" t="e">
        <f>AND('STERLING CATALOG - DRY '!A1425,"AAAAAEX//34=")</f>
        <v>#VALUE!</v>
      </c>
      <c r="DX69" t="e">
        <f>AND('STERLING CATALOG - DRY '!B1425,"AAAAAEX//38=")</f>
        <v>#VALUE!</v>
      </c>
      <c r="DY69" t="e">
        <f>AND('STERLING CATALOG - DRY '!C1425,"AAAAAEX//4A=")</f>
        <v>#VALUE!</v>
      </c>
      <c r="DZ69" t="e">
        <f>AND('STERLING CATALOG - DRY '!D1425,"AAAAAEX//4E=")</f>
        <v>#VALUE!</v>
      </c>
      <c r="EA69" t="e">
        <f>AND('STERLING CATALOG - DRY '!E1425,"AAAAAEX//4I=")</f>
        <v>#VALUE!</v>
      </c>
      <c r="EB69" t="e">
        <f>AND('STERLING CATALOG - DRY '!F1425,"AAAAAEX//4M=")</f>
        <v>#VALUE!</v>
      </c>
      <c r="EC69" t="e">
        <f>AND('STERLING CATALOG - DRY '!G1425,"AAAAAEX//4Q=")</f>
        <v>#VALUE!</v>
      </c>
      <c r="ED69" t="e">
        <f>AND('STERLING CATALOG - DRY '!H1425,"AAAAAEX//4U=")</f>
        <v>#VALUE!</v>
      </c>
      <c r="EE69" t="e">
        <f>AND('STERLING CATALOG - DRY '!I1425,"AAAAAEX//4Y=")</f>
        <v>#VALUE!</v>
      </c>
      <c r="EF69" t="e">
        <f>AND('STERLING CATALOG - DRY '!J1425,"AAAAAEX//4c=")</f>
        <v>#VALUE!</v>
      </c>
      <c r="EG69">
        <f>IF('STERLING CATALOG - DRY '!1426:1426,"AAAAAEX//4g=",0)</f>
        <v>0</v>
      </c>
      <c r="EH69" t="e">
        <f>AND('STERLING CATALOG - DRY '!A1426,"AAAAAEX//4k=")</f>
        <v>#VALUE!</v>
      </c>
      <c r="EI69" t="e">
        <f>AND('STERLING CATALOG - DRY '!B1426,"AAAAAEX//4o=")</f>
        <v>#VALUE!</v>
      </c>
      <c r="EJ69" t="e">
        <f>AND('STERLING CATALOG - DRY '!C1426,"AAAAAEX//4s=")</f>
        <v>#VALUE!</v>
      </c>
      <c r="EK69" t="e">
        <f>AND('STERLING CATALOG - DRY '!D1426,"AAAAAEX//4w=")</f>
        <v>#VALUE!</v>
      </c>
      <c r="EL69" t="e">
        <f>AND('STERLING CATALOG - DRY '!E1426,"AAAAAEX//40=")</f>
        <v>#VALUE!</v>
      </c>
      <c r="EM69" t="e">
        <f>AND('STERLING CATALOG - DRY '!F1426,"AAAAAEX//44=")</f>
        <v>#VALUE!</v>
      </c>
      <c r="EN69" t="e">
        <f>AND('STERLING CATALOG - DRY '!G1426,"AAAAAEX//48=")</f>
        <v>#VALUE!</v>
      </c>
      <c r="EO69" t="e">
        <f>AND('STERLING CATALOG - DRY '!H1426,"AAAAAEX//5A=")</f>
        <v>#VALUE!</v>
      </c>
      <c r="EP69" t="e">
        <f>AND('STERLING CATALOG - DRY '!I1426,"AAAAAEX//5E=")</f>
        <v>#VALUE!</v>
      </c>
      <c r="EQ69" t="e">
        <f>AND('STERLING CATALOG - DRY '!J1426,"AAAAAEX//5I=")</f>
        <v>#VALUE!</v>
      </c>
      <c r="ER69">
        <f>IF('STERLING CATALOG - DRY '!1427:1427,"AAAAAEX//5M=",0)</f>
        <v>0</v>
      </c>
      <c r="ES69" t="e">
        <f>AND('STERLING CATALOG - DRY '!A1427,"AAAAAEX//5Q=")</f>
        <v>#VALUE!</v>
      </c>
      <c r="ET69" t="e">
        <f>AND('STERLING CATALOG - DRY '!B1427,"AAAAAEX//5U=")</f>
        <v>#VALUE!</v>
      </c>
      <c r="EU69" t="e">
        <f>AND('STERLING CATALOG - DRY '!C1427,"AAAAAEX//5Y=")</f>
        <v>#VALUE!</v>
      </c>
      <c r="EV69" t="e">
        <f>AND('STERLING CATALOG - DRY '!D1427,"AAAAAEX//5c=")</f>
        <v>#VALUE!</v>
      </c>
      <c r="EW69" t="e">
        <f>AND('STERLING CATALOG - DRY '!E1427,"AAAAAEX//5g=")</f>
        <v>#VALUE!</v>
      </c>
      <c r="EX69" t="e">
        <f>AND('STERLING CATALOG - DRY '!F1427,"AAAAAEX//5k=")</f>
        <v>#VALUE!</v>
      </c>
      <c r="EY69" t="e">
        <f>AND('STERLING CATALOG - DRY '!G1427,"AAAAAEX//5o=")</f>
        <v>#VALUE!</v>
      </c>
      <c r="EZ69" t="e">
        <f>AND('STERLING CATALOG - DRY '!H1427,"AAAAAEX//5s=")</f>
        <v>#VALUE!</v>
      </c>
      <c r="FA69" t="e">
        <f>AND('STERLING CATALOG - DRY '!I1427,"AAAAAEX//5w=")</f>
        <v>#VALUE!</v>
      </c>
      <c r="FB69" t="e">
        <f>AND('STERLING CATALOG - DRY '!J1427,"AAAAAEX//50=")</f>
        <v>#VALUE!</v>
      </c>
      <c r="FC69">
        <f>IF('STERLING CATALOG - DRY '!1428:1428,"AAAAAEX//54=",0)</f>
        <v>0</v>
      </c>
      <c r="FD69" t="e">
        <f>AND('STERLING CATALOG - DRY '!A1428,"AAAAAEX//58=")</f>
        <v>#VALUE!</v>
      </c>
      <c r="FE69" t="e">
        <f>AND('STERLING CATALOG - DRY '!B1428,"AAAAAEX//6A=")</f>
        <v>#VALUE!</v>
      </c>
      <c r="FF69" t="e">
        <f>AND('STERLING CATALOG - DRY '!C1428,"AAAAAEX//6E=")</f>
        <v>#VALUE!</v>
      </c>
      <c r="FG69" t="e">
        <f>AND('STERLING CATALOG - DRY '!D1428,"AAAAAEX//6I=")</f>
        <v>#VALUE!</v>
      </c>
      <c r="FH69" t="e">
        <f>AND('STERLING CATALOG - DRY '!E1428,"AAAAAEX//6M=")</f>
        <v>#VALUE!</v>
      </c>
      <c r="FI69" t="e">
        <f>AND('STERLING CATALOG - DRY '!F1428,"AAAAAEX//6Q=")</f>
        <v>#VALUE!</v>
      </c>
      <c r="FJ69" t="e">
        <f>AND('STERLING CATALOG - DRY '!G1428,"AAAAAEX//6U=")</f>
        <v>#VALUE!</v>
      </c>
      <c r="FK69" t="e">
        <f>AND('STERLING CATALOG - DRY '!H1428,"AAAAAEX//6Y=")</f>
        <v>#VALUE!</v>
      </c>
      <c r="FL69" t="e">
        <f>AND('STERLING CATALOG - DRY '!I1428,"AAAAAEX//6c=")</f>
        <v>#VALUE!</v>
      </c>
      <c r="FM69" t="e">
        <f>AND('STERLING CATALOG - DRY '!J1428,"AAAAAEX//6g=")</f>
        <v>#VALUE!</v>
      </c>
      <c r="FN69">
        <f>IF('STERLING CATALOG - DRY '!1429:1429,"AAAAAEX//6k=",0)</f>
        <v>0</v>
      </c>
      <c r="FO69" t="e">
        <f>AND('STERLING CATALOG - DRY '!A1429,"AAAAAEX//6o=")</f>
        <v>#VALUE!</v>
      </c>
      <c r="FP69" t="e">
        <f>AND('STERLING CATALOG - DRY '!B1429,"AAAAAEX//6s=")</f>
        <v>#VALUE!</v>
      </c>
      <c r="FQ69" t="e">
        <f>AND('STERLING CATALOG - DRY '!C1429,"AAAAAEX//6w=")</f>
        <v>#VALUE!</v>
      </c>
      <c r="FR69" t="e">
        <f>AND('STERLING CATALOG - DRY '!D1429,"AAAAAEX//60=")</f>
        <v>#VALUE!</v>
      </c>
      <c r="FS69" t="e">
        <f>AND('STERLING CATALOG - DRY '!E1429,"AAAAAEX//64=")</f>
        <v>#VALUE!</v>
      </c>
      <c r="FT69" t="e">
        <f>AND('STERLING CATALOG - DRY '!F1429,"AAAAAEX//68=")</f>
        <v>#VALUE!</v>
      </c>
      <c r="FU69" t="e">
        <f>AND('STERLING CATALOG - DRY '!G1429,"AAAAAEX//7A=")</f>
        <v>#VALUE!</v>
      </c>
      <c r="FV69" t="e">
        <f>AND('STERLING CATALOG - DRY '!H1429,"AAAAAEX//7E=")</f>
        <v>#VALUE!</v>
      </c>
      <c r="FW69" t="e">
        <f>AND('STERLING CATALOG - DRY '!I1429,"AAAAAEX//7I=")</f>
        <v>#VALUE!</v>
      </c>
      <c r="FX69" t="e">
        <f>AND('STERLING CATALOG - DRY '!J1429,"AAAAAEX//7M=")</f>
        <v>#VALUE!</v>
      </c>
      <c r="FY69">
        <f>IF('STERLING CATALOG - DRY '!1430:1430,"AAAAAEX//7Q=",0)</f>
        <v>0</v>
      </c>
      <c r="FZ69" t="e">
        <f>AND('STERLING CATALOG - DRY '!A1430,"AAAAAEX//7U=")</f>
        <v>#VALUE!</v>
      </c>
      <c r="GA69" t="e">
        <f>AND('STERLING CATALOG - DRY '!B1430,"AAAAAEX//7Y=")</f>
        <v>#VALUE!</v>
      </c>
      <c r="GB69" t="e">
        <f>AND('STERLING CATALOG - DRY '!C1430,"AAAAAEX//7c=")</f>
        <v>#VALUE!</v>
      </c>
      <c r="GC69" t="e">
        <f>AND('STERLING CATALOG - DRY '!D1430,"AAAAAEX//7g=")</f>
        <v>#VALUE!</v>
      </c>
      <c r="GD69" t="e">
        <f>AND('STERLING CATALOG - DRY '!E1430,"AAAAAEX//7k=")</f>
        <v>#VALUE!</v>
      </c>
      <c r="GE69" t="e">
        <f>AND('STERLING CATALOG - DRY '!F1430,"AAAAAEX//7o=")</f>
        <v>#VALUE!</v>
      </c>
      <c r="GF69" t="e">
        <f>AND('STERLING CATALOG - DRY '!G1430,"AAAAAEX//7s=")</f>
        <v>#VALUE!</v>
      </c>
      <c r="GG69" t="e">
        <f>AND('STERLING CATALOG - DRY '!H1430,"AAAAAEX//7w=")</f>
        <v>#VALUE!</v>
      </c>
      <c r="GH69" t="e">
        <f>AND('STERLING CATALOG - DRY '!I1430,"AAAAAEX//70=")</f>
        <v>#VALUE!</v>
      </c>
      <c r="GI69" t="e">
        <f>AND('STERLING CATALOG - DRY '!J1430,"AAAAAEX//74=")</f>
        <v>#VALUE!</v>
      </c>
      <c r="GJ69">
        <f>IF('STERLING CATALOG - DRY '!1431:1431,"AAAAAEX//78=",0)</f>
        <v>0</v>
      </c>
      <c r="GK69" t="e">
        <f>AND('STERLING CATALOG - DRY '!A1431,"AAAAAEX//8A=")</f>
        <v>#VALUE!</v>
      </c>
      <c r="GL69" t="e">
        <f>AND('STERLING CATALOG - DRY '!B1431,"AAAAAEX//8E=")</f>
        <v>#VALUE!</v>
      </c>
      <c r="GM69" t="e">
        <f>AND('STERLING CATALOG - DRY '!C1431,"AAAAAEX//8I=")</f>
        <v>#VALUE!</v>
      </c>
      <c r="GN69" t="e">
        <f>AND('STERLING CATALOG - DRY '!D1431,"AAAAAEX//8M=")</f>
        <v>#VALUE!</v>
      </c>
      <c r="GO69" t="e">
        <f>AND('STERLING CATALOG - DRY '!E1431,"AAAAAEX//8Q=")</f>
        <v>#VALUE!</v>
      </c>
      <c r="GP69" t="e">
        <f>AND('STERLING CATALOG - DRY '!F1431,"AAAAAEX//8U=")</f>
        <v>#VALUE!</v>
      </c>
      <c r="GQ69" t="e">
        <f>AND('STERLING CATALOG - DRY '!G1431,"AAAAAEX//8Y=")</f>
        <v>#VALUE!</v>
      </c>
      <c r="GR69" t="e">
        <f>AND('STERLING CATALOG - DRY '!H1431,"AAAAAEX//8c=")</f>
        <v>#VALUE!</v>
      </c>
      <c r="GS69" t="e">
        <f>AND('STERLING CATALOG - DRY '!I1431,"AAAAAEX//8g=")</f>
        <v>#VALUE!</v>
      </c>
      <c r="GT69" t="e">
        <f>AND('STERLING CATALOG - DRY '!J1431,"AAAAAEX//8k=")</f>
        <v>#VALUE!</v>
      </c>
      <c r="GU69">
        <f>IF('STERLING CATALOG - DRY '!1432:1432,"AAAAAEX//8o=",0)</f>
        <v>0</v>
      </c>
      <c r="GV69" t="e">
        <f>AND('STERLING CATALOG - DRY '!A1432,"AAAAAEX//8s=")</f>
        <v>#VALUE!</v>
      </c>
      <c r="GW69" t="e">
        <f>AND('STERLING CATALOG - DRY '!B1432,"AAAAAEX//8w=")</f>
        <v>#VALUE!</v>
      </c>
      <c r="GX69" t="e">
        <f>AND('STERLING CATALOG - DRY '!C1432,"AAAAAEX//80=")</f>
        <v>#VALUE!</v>
      </c>
      <c r="GY69" t="e">
        <f>AND('STERLING CATALOG - DRY '!D1432,"AAAAAEX//84=")</f>
        <v>#VALUE!</v>
      </c>
      <c r="GZ69" t="e">
        <f>AND('STERLING CATALOG - DRY '!E1432,"AAAAAEX//88=")</f>
        <v>#VALUE!</v>
      </c>
      <c r="HA69" t="e">
        <f>AND('STERLING CATALOG - DRY '!F1432,"AAAAAEX//9A=")</f>
        <v>#VALUE!</v>
      </c>
      <c r="HB69" t="e">
        <f>AND('STERLING CATALOG - DRY '!G1432,"AAAAAEX//9E=")</f>
        <v>#VALUE!</v>
      </c>
      <c r="HC69" t="e">
        <f>AND('STERLING CATALOG - DRY '!H1432,"AAAAAEX//9I=")</f>
        <v>#VALUE!</v>
      </c>
      <c r="HD69" t="e">
        <f>AND('STERLING CATALOG - DRY '!I1432,"AAAAAEX//9M=")</f>
        <v>#VALUE!</v>
      </c>
      <c r="HE69" t="e">
        <f>AND('STERLING CATALOG - DRY '!J1432,"AAAAAEX//9Q=")</f>
        <v>#VALUE!</v>
      </c>
      <c r="HF69">
        <f>IF('STERLING CATALOG - DRY '!1433:1433,"AAAAAEX//9U=",0)</f>
        <v>0</v>
      </c>
      <c r="HG69" t="e">
        <f>AND('STERLING CATALOG - DRY '!A1433,"AAAAAEX//9Y=")</f>
        <v>#VALUE!</v>
      </c>
      <c r="HH69" t="e">
        <f>AND('STERLING CATALOG - DRY '!B1433,"AAAAAEX//9c=")</f>
        <v>#VALUE!</v>
      </c>
      <c r="HI69" t="e">
        <f>AND('STERLING CATALOG - DRY '!C1433,"AAAAAEX//9g=")</f>
        <v>#VALUE!</v>
      </c>
      <c r="HJ69" t="e">
        <f>AND('STERLING CATALOG - DRY '!D1433,"AAAAAEX//9k=")</f>
        <v>#VALUE!</v>
      </c>
      <c r="HK69" t="e">
        <f>AND('STERLING CATALOG - DRY '!E1433,"AAAAAEX//9o=")</f>
        <v>#VALUE!</v>
      </c>
      <c r="HL69" t="e">
        <f>AND('STERLING CATALOG - DRY '!F1433,"AAAAAEX//9s=")</f>
        <v>#VALUE!</v>
      </c>
      <c r="HM69" t="e">
        <f>AND('STERLING CATALOG - DRY '!G1433,"AAAAAEX//9w=")</f>
        <v>#VALUE!</v>
      </c>
      <c r="HN69" t="e">
        <f>AND('STERLING CATALOG - DRY '!H1433,"AAAAAEX//90=")</f>
        <v>#VALUE!</v>
      </c>
      <c r="HO69" t="e">
        <f>AND('STERLING CATALOG - DRY '!I1433,"AAAAAEX//94=")</f>
        <v>#VALUE!</v>
      </c>
      <c r="HP69" t="e">
        <f>AND('STERLING CATALOG - DRY '!J1433,"AAAAAEX//98=")</f>
        <v>#VALUE!</v>
      </c>
      <c r="HQ69">
        <f>IF('STERLING CATALOG - DRY '!1434:1434,"AAAAAEX//+A=",0)</f>
        <v>0</v>
      </c>
      <c r="HR69" t="e">
        <f>AND('STERLING CATALOG - DRY '!A1434,"AAAAAEX//+E=")</f>
        <v>#VALUE!</v>
      </c>
      <c r="HS69" t="e">
        <f>AND('STERLING CATALOG - DRY '!B1434,"AAAAAEX//+I=")</f>
        <v>#VALUE!</v>
      </c>
      <c r="HT69" t="e">
        <f>AND('STERLING CATALOG - DRY '!C1434,"AAAAAEX//+M=")</f>
        <v>#VALUE!</v>
      </c>
      <c r="HU69" t="e">
        <f>AND('STERLING CATALOG - DRY '!D1434,"AAAAAEX//+Q=")</f>
        <v>#VALUE!</v>
      </c>
      <c r="HV69" t="e">
        <f>AND('STERLING CATALOG - DRY '!E1434,"AAAAAEX//+U=")</f>
        <v>#VALUE!</v>
      </c>
      <c r="HW69" t="e">
        <f>AND('STERLING CATALOG - DRY '!F1434,"AAAAAEX//+Y=")</f>
        <v>#VALUE!</v>
      </c>
      <c r="HX69" t="e">
        <f>AND('STERLING CATALOG - DRY '!G1434,"AAAAAEX//+c=")</f>
        <v>#VALUE!</v>
      </c>
      <c r="HY69" t="e">
        <f>AND('STERLING CATALOG - DRY '!H1434,"AAAAAEX//+g=")</f>
        <v>#VALUE!</v>
      </c>
      <c r="HZ69" t="e">
        <f>AND('STERLING CATALOG - DRY '!I1434,"AAAAAEX//+k=")</f>
        <v>#VALUE!</v>
      </c>
      <c r="IA69" t="e">
        <f>AND('STERLING CATALOG - DRY '!J1434,"AAAAAEX//+o=")</f>
        <v>#VALUE!</v>
      </c>
      <c r="IB69">
        <f>IF('STERLING CATALOG - DRY '!1435:1435,"AAAAAEX//+s=",0)</f>
        <v>0</v>
      </c>
      <c r="IC69" t="e">
        <f>AND('STERLING CATALOG - DRY '!A1435,"AAAAAEX//+w=")</f>
        <v>#VALUE!</v>
      </c>
      <c r="ID69" t="e">
        <f>AND('STERLING CATALOG - DRY '!B1435,"AAAAAEX//+0=")</f>
        <v>#VALUE!</v>
      </c>
      <c r="IE69" t="e">
        <f>AND('STERLING CATALOG - DRY '!C1435,"AAAAAEX//+4=")</f>
        <v>#VALUE!</v>
      </c>
      <c r="IF69" t="e">
        <f>AND('STERLING CATALOG - DRY '!D1435,"AAAAAEX//+8=")</f>
        <v>#VALUE!</v>
      </c>
      <c r="IG69" t="e">
        <f>AND('STERLING CATALOG - DRY '!E1435,"AAAAAEX///A=")</f>
        <v>#VALUE!</v>
      </c>
      <c r="IH69" t="e">
        <f>AND('STERLING CATALOG - DRY '!F1435,"AAAAAEX///E=")</f>
        <v>#VALUE!</v>
      </c>
      <c r="II69" t="e">
        <f>AND('STERLING CATALOG - DRY '!G1435,"AAAAAEX///I=")</f>
        <v>#VALUE!</v>
      </c>
      <c r="IJ69" t="e">
        <f>AND('STERLING CATALOG - DRY '!H1435,"AAAAAEX///M=")</f>
        <v>#VALUE!</v>
      </c>
      <c r="IK69" t="e">
        <f>AND('STERLING CATALOG - DRY '!I1435,"AAAAAEX///Q=")</f>
        <v>#VALUE!</v>
      </c>
      <c r="IL69" t="e">
        <f>AND('STERLING CATALOG - DRY '!J1435,"AAAAAEX///U=")</f>
        <v>#VALUE!</v>
      </c>
      <c r="IM69">
        <f>IF('STERLING CATALOG - DRY '!1436:1436,"AAAAAEX///Y=",0)</f>
        <v>0</v>
      </c>
      <c r="IN69" t="e">
        <f>AND('STERLING CATALOG - DRY '!A1436,"AAAAAEX///c=")</f>
        <v>#VALUE!</v>
      </c>
      <c r="IO69" t="e">
        <f>AND('STERLING CATALOG - DRY '!B1436,"AAAAAEX///g=")</f>
        <v>#VALUE!</v>
      </c>
      <c r="IP69" t="e">
        <f>AND('STERLING CATALOG - DRY '!C1436,"AAAAAEX///k=")</f>
        <v>#VALUE!</v>
      </c>
      <c r="IQ69" t="e">
        <f>AND('STERLING CATALOG - DRY '!D1436,"AAAAAEX///o=")</f>
        <v>#VALUE!</v>
      </c>
      <c r="IR69" t="e">
        <f>AND('STERLING CATALOG - DRY '!E1436,"AAAAAEX///s=")</f>
        <v>#VALUE!</v>
      </c>
      <c r="IS69" t="e">
        <f>AND('STERLING CATALOG - DRY '!F1436,"AAAAAEX///w=")</f>
        <v>#VALUE!</v>
      </c>
      <c r="IT69" t="e">
        <f>AND('STERLING CATALOG - DRY '!G1436,"AAAAAEX///0=")</f>
        <v>#VALUE!</v>
      </c>
      <c r="IU69" t="e">
        <f>AND('STERLING CATALOG - DRY '!H1436,"AAAAAEX///4=")</f>
        <v>#VALUE!</v>
      </c>
      <c r="IV69" t="e">
        <f>AND('STERLING CATALOG - DRY '!I1436,"AAAAAEX///8=")</f>
        <v>#VALUE!</v>
      </c>
    </row>
    <row r="70" spans="1:256">
      <c r="A70" t="e">
        <f>AND('STERLING CATALOG - DRY '!J1436,"AAAAAF/3/wA=")</f>
        <v>#VALUE!</v>
      </c>
      <c r="B70" t="e">
        <f>IF('STERLING CATALOG - DRY '!1437:1437,"AAAAAF/3/wE=",0)</f>
        <v>#VALUE!</v>
      </c>
      <c r="C70" t="e">
        <f>AND('STERLING CATALOG - DRY '!A1437,"AAAAAF/3/wI=")</f>
        <v>#VALUE!</v>
      </c>
      <c r="D70" t="e">
        <f>AND('STERLING CATALOG - DRY '!B1437,"AAAAAF/3/wM=")</f>
        <v>#VALUE!</v>
      </c>
      <c r="E70" t="e">
        <f>AND('STERLING CATALOG - DRY '!C1437,"AAAAAF/3/wQ=")</f>
        <v>#VALUE!</v>
      </c>
      <c r="F70" t="e">
        <f>AND('STERLING CATALOG - DRY '!D1437,"AAAAAF/3/wU=")</f>
        <v>#VALUE!</v>
      </c>
      <c r="G70" t="e">
        <f>AND('STERLING CATALOG - DRY '!E1437,"AAAAAF/3/wY=")</f>
        <v>#VALUE!</v>
      </c>
      <c r="H70" t="e">
        <f>AND('STERLING CATALOG - DRY '!F1437,"AAAAAF/3/wc=")</f>
        <v>#VALUE!</v>
      </c>
      <c r="I70" t="e">
        <f>AND('STERLING CATALOG - DRY '!G1437,"AAAAAF/3/wg=")</f>
        <v>#VALUE!</v>
      </c>
      <c r="J70" t="e">
        <f>AND('STERLING CATALOG - DRY '!H1437,"AAAAAF/3/wk=")</f>
        <v>#VALUE!</v>
      </c>
      <c r="K70" t="e">
        <f>AND('STERLING CATALOG - DRY '!I1437,"AAAAAF/3/wo=")</f>
        <v>#VALUE!</v>
      </c>
      <c r="L70" t="e">
        <f>AND('STERLING CATALOG - DRY '!J1437,"AAAAAF/3/ws=")</f>
        <v>#VALUE!</v>
      </c>
      <c r="M70">
        <f>IF('STERLING CATALOG - DRY '!1438:1438,"AAAAAF/3/ww=",0)</f>
        <v>0</v>
      </c>
      <c r="N70" t="e">
        <f>AND('STERLING CATALOG - DRY '!A1438,"AAAAAF/3/w0=")</f>
        <v>#VALUE!</v>
      </c>
      <c r="O70" t="e">
        <f>AND('STERLING CATALOG - DRY '!B1438,"AAAAAF/3/w4=")</f>
        <v>#VALUE!</v>
      </c>
      <c r="P70" t="e">
        <f>AND('STERLING CATALOG - DRY '!C1438,"AAAAAF/3/w8=")</f>
        <v>#VALUE!</v>
      </c>
      <c r="Q70" t="e">
        <f>AND('STERLING CATALOG - DRY '!D1438,"AAAAAF/3/xA=")</f>
        <v>#VALUE!</v>
      </c>
      <c r="R70" t="e">
        <f>AND('STERLING CATALOG - DRY '!E1438,"AAAAAF/3/xE=")</f>
        <v>#VALUE!</v>
      </c>
      <c r="S70" t="e">
        <f>AND('STERLING CATALOG - DRY '!F1438,"AAAAAF/3/xI=")</f>
        <v>#VALUE!</v>
      </c>
      <c r="T70" t="e">
        <f>AND('STERLING CATALOG - DRY '!G1438,"AAAAAF/3/xM=")</f>
        <v>#VALUE!</v>
      </c>
      <c r="U70" t="e">
        <f>AND('STERLING CATALOG - DRY '!H1438,"AAAAAF/3/xQ=")</f>
        <v>#VALUE!</v>
      </c>
      <c r="V70" t="e">
        <f>AND('STERLING CATALOG - DRY '!I1438,"AAAAAF/3/xU=")</f>
        <v>#VALUE!</v>
      </c>
      <c r="W70" t="e">
        <f>AND('STERLING CATALOG - DRY '!J1438,"AAAAAF/3/xY=")</f>
        <v>#VALUE!</v>
      </c>
      <c r="X70">
        <f>IF('STERLING CATALOG - DRY '!1439:1439,"AAAAAF/3/xc=",0)</f>
        <v>0</v>
      </c>
      <c r="Y70" t="e">
        <f>AND('STERLING CATALOG - DRY '!A1439,"AAAAAF/3/xg=")</f>
        <v>#VALUE!</v>
      </c>
      <c r="Z70" t="e">
        <f>AND('STERLING CATALOG - DRY '!B1439,"AAAAAF/3/xk=")</f>
        <v>#VALUE!</v>
      </c>
      <c r="AA70" t="e">
        <f>AND('STERLING CATALOG - DRY '!C1439,"AAAAAF/3/xo=")</f>
        <v>#VALUE!</v>
      </c>
      <c r="AB70" t="e">
        <f>AND('STERLING CATALOG - DRY '!D1439,"AAAAAF/3/xs=")</f>
        <v>#VALUE!</v>
      </c>
      <c r="AC70" t="e">
        <f>AND('STERLING CATALOG - DRY '!E1439,"AAAAAF/3/xw=")</f>
        <v>#VALUE!</v>
      </c>
      <c r="AD70" t="e">
        <f>AND('STERLING CATALOG - DRY '!F1439,"AAAAAF/3/x0=")</f>
        <v>#VALUE!</v>
      </c>
      <c r="AE70" t="e">
        <f>AND('STERLING CATALOG - DRY '!G1439,"AAAAAF/3/x4=")</f>
        <v>#VALUE!</v>
      </c>
      <c r="AF70" t="e">
        <f>AND('STERLING CATALOG - DRY '!H1439,"AAAAAF/3/x8=")</f>
        <v>#VALUE!</v>
      </c>
      <c r="AG70" t="e">
        <f>AND('STERLING CATALOG - DRY '!I1439,"AAAAAF/3/yA=")</f>
        <v>#VALUE!</v>
      </c>
      <c r="AH70" t="e">
        <f>AND('STERLING CATALOG - DRY '!J1439,"AAAAAF/3/yE=")</f>
        <v>#VALUE!</v>
      </c>
      <c r="AI70">
        <f>IF('STERLING CATALOG - DRY '!1440:1440,"AAAAAF/3/yI=",0)</f>
        <v>0</v>
      </c>
      <c r="AJ70" t="e">
        <f>AND('STERLING CATALOG - DRY '!A1440,"AAAAAF/3/yM=")</f>
        <v>#VALUE!</v>
      </c>
      <c r="AK70" t="e">
        <f>AND('STERLING CATALOG - DRY '!B1440,"AAAAAF/3/yQ=")</f>
        <v>#VALUE!</v>
      </c>
      <c r="AL70" t="e">
        <f>AND('STERLING CATALOG - DRY '!C1440,"AAAAAF/3/yU=")</f>
        <v>#VALUE!</v>
      </c>
      <c r="AM70" t="e">
        <f>AND('STERLING CATALOG - DRY '!D1440,"AAAAAF/3/yY=")</f>
        <v>#VALUE!</v>
      </c>
      <c r="AN70" t="e">
        <f>AND('STERLING CATALOG - DRY '!E1440,"AAAAAF/3/yc=")</f>
        <v>#VALUE!</v>
      </c>
      <c r="AO70" t="e">
        <f>AND('STERLING CATALOG - DRY '!F1440,"AAAAAF/3/yg=")</f>
        <v>#VALUE!</v>
      </c>
      <c r="AP70" t="e">
        <f>AND('STERLING CATALOG - DRY '!G1440,"AAAAAF/3/yk=")</f>
        <v>#VALUE!</v>
      </c>
      <c r="AQ70" t="e">
        <f>AND('STERLING CATALOG - DRY '!H1440,"AAAAAF/3/yo=")</f>
        <v>#VALUE!</v>
      </c>
      <c r="AR70" t="e">
        <f>AND('STERLING CATALOG - DRY '!I1440,"AAAAAF/3/ys=")</f>
        <v>#VALUE!</v>
      </c>
      <c r="AS70" t="e">
        <f>AND('STERLING CATALOG - DRY '!J1440,"AAAAAF/3/yw=")</f>
        <v>#VALUE!</v>
      </c>
      <c r="AT70">
        <f>IF('STERLING CATALOG - DRY '!1441:1441,"AAAAAF/3/y0=",0)</f>
        <v>0</v>
      </c>
      <c r="AU70" t="e">
        <f>AND('STERLING CATALOG - DRY '!A1441,"AAAAAF/3/y4=")</f>
        <v>#VALUE!</v>
      </c>
      <c r="AV70" t="e">
        <f>AND('STERLING CATALOG - DRY '!B1441,"AAAAAF/3/y8=")</f>
        <v>#VALUE!</v>
      </c>
      <c r="AW70" t="e">
        <f>AND('STERLING CATALOG - DRY '!C1441,"AAAAAF/3/zA=")</f>
        <v>#VALUE!</v>
      </c>
      <c r="AX70" t="e">
        <f>AND('STERLING CATALOG - DRY '!D1441,"AAAAAF/3/zE=")</f>
        <v>#VALUE!</v>
      </c>
      <c r="AY70" t="e">
        <f>AND('STERLING CATALOG - DRY '!E1441,"AAAAAF/3/zI=")</f>
        <v>#VALUE!</v>
      </c>
      <c r="AZ70" t="e">
        <f>AND('STERLING CATALOG - DRY '!F1441,"AAAAAF/3/zM=")</f>
        <v>#VALUE!</v>
      </c>
      <c r="BA70" t="e">
        <f>AND('STERLING CATALOG - DRY '!G1441,"AAAAAF/3/zQ=")</f>
        <v>#VALUE!</v>
      </c>
      <c r="BB70" t="e">
        <f>AND('STERLING CATALOG - DRY '!H1441,"AAAAAF/3/zU=")</f>
        <v>#VALUE!</v>
      </c>
      <c r="BC70" t="e">
        <f>AND('STERLING CATALOG - DRY '!I1441,"AAAAAF/3/zY=")</f>
        <v>#VALUE!</v>
      </c>
      <c r="BD70" t="e">
        <f>AND('STERLING CATALOG - DRY '!J1441,"AAAAAF/3/zc=")</f>
        <v>#VALUE!</v>
      </c>
      <c r="BE70">
        <f>IF('STERLING CATALOG - DRY '!1442:1442,"AAAAAF/3/zg=",0)</f>
        <v>0</v>
      </c>
      <c r="BF70" t="e">
        <f>AND('STERLING CATALOG - DRY '!A1442,"AAAAAF/3/zk=")</f>
        <v>#VALUE!</v>
      </c>
      <c r="BG70" t="e">
        <f>AND('STERLING CATALOG - DRY '!B1442,"AAAAAF/3/zo=")</f>
        <v>#VALUE!</v>
      </c>
      <c r="BH70" t="e">
        <f>AND('STERLING CATALOG - DRY '!C1442,"AAAAAF/3/zs=")</f>
        <v>#VALUE!</v>
      </c>
      <c r="BI70" t="e">
        <f>AND('STERLING CATALOG - DRY '!D1442,"AAAAAF/3/zw=")</f>
        <v>#VALUE!</v>
      </c>
      <c r="BJ70" t="e">
        <f>AND('STERLING CATALOG - DRY '!E1442,"AAAAAF/3/z0=")</f>
        <v>#VALUE!</v>
      </c>
      <c r="BK70" t="e">
        <f>AND('STERLING CATALOG - DRY '!F1442,"AAAAAF/3/z4=")</f>
        <v>#VALUE!</v>
      </c>
      <c r="BL70" t="e">
        <f>AND('STERLING CATALOG - DRY '!G1442,"AAAAAF/3/z8=")</f>
        <v>#VALUE!</v>
      </c>
      <c r="BM70" t="e">
        <f>AND('STERLING CATALOG - DRY '!H1442,"AAAAAF/3/0A=")</f>
        <v>#VALUE!</v>
      </c>
      <c r="BN70" t="e">
        <f>AND('STERLING CATALOG - DRY '!I1442,"AAAAAF/3/0E=")</f>
        <v>#VALUE!</v>
      </c>
      <c r="BO70" t="e">
        <f>AND('STERLING CATALOG - DRY '!J1442,"AAAAAF/3/0I=")</f>
        <v>#VALUE!</v>
      </c>
      <c r="BP70">
        <f>IF('STERLING CATALOG - DRY '!1443:1443,"AAAAAF/3/0M=",0)</f>
        <v>0</v>
      </c>
      <c r="BQ70" t="e">
        <f>AND('STERLING CATALOG - DRY '!A1443,"AAAAAF/3/0Q=")</f>
        <v>#VALUE!</v>
      </c>
      <c r="BR70" t="e">
        <f>AND('STERLING CATALOG - DRY '!B1443,"AAAAAF/3/0U=")</f>
        <v>#VALUE!</v>
      </c>
      <c r="BS70" t="e">
        <f>AND('STERLING CATALOG - DRY '!C1443,"AAAAAF/3/0Y=")</f>
        <v>#VALUE!</v>
      </c>
      <c r="BT70" t="e">
        <f>AND('STERLING CATALOG - DRY '!D1443,"AAAAAF/3/0c=")</f>
        <v>#VALUE!</v>
      </c>
      <c r="BU70" t="e">
        <f>AND('STERLING CATALOG - DRY '!E1443,"AAAAAF/3/0g=")</f>
        <v>#VALUE!</v>
      </c>
      <c r="BV70" t="e">
        <f>AND('STERLING CATALOG - DRY '!F1443,"AAAAAF/3/0k=")</f>
        <v>#VALUE!</v>
      </c>
      <c r="BW70" t="e">
        <f>AND('STERLING CATALOG - DRY '!G1443,"AAAAAF/3/0o=")</f>
        <v>#VALUE!</v>
      </c>
      <c r="BX70" t="e">
        <f>AND('STERLING CATALOG - DRY '!H1443,"AAAAAF/3/0s=")</f>
        <v>#VALUE!</v>
      </c>
      <c r="BY70" t="e">
        <f>AND('STERLING CATALOG - DRY '!I1443,"AAAAAF/3/0w=")</f>
        <v>#VALUE!</v>
      </c>
      <c r="BZ70" t="e">
        <f>AND('STERLING CATALOG - DRY '!J1443,"AAAAAF/3/00=")</f>
        <v>#VALUE!</v>
      </c>
      <c r="CA70">
        <f>IF('STERLING CATALOG - DRY '!1444:1444,"AAAAAF/3/04=",0)</f>
        <v>0</v>
      </c>
      <c r="CB70" t="e">
        <f>AND('STERLING CATALOG - DRY '!A1444,"AAAAAF/3/08=")</f>
        <v>#VALUE!</v>
      </c>
      <c r="CC70" t="e">
        <f>AND('STERLING CATALOG - DRY '!B1444,"AAAAAF/3/1A=")</f>
        <v>#VALUE!</v>
      </c>
      <c r="CD70" t="e">
        <f>AND('STERLING CATALOG - DRY '!C1444,"AAAAAF/3/1E=")</f>
        <v>#VALUE!</v>
      </c>
      <c r="CE70" t="e">
        <f>AND('STERLING CATALOG - DRY '!D1444,"AAAAAF/3/1I=")</f>
        <v>#VALUE!</v>
      </c>
      <c r="CF70" t="e">
        <f>AND('STERLING CATALOG - DRY '!E1444,"AAAAAF/3/1M=")</f>
        <v>#VALUE!</v>
      </c>
      <c r="CG70" t="e">
        <f>AND('STERLING CATALOG - DRY '!F1444,"AAAAAF/3/1Q=")</f>
        <v>#VALUE!</v>
      </c>
      <c r="CH70" t="e">
        <f>AND('STERLING CATALOG - DRY '!G1444,"AAAAAF/3/1U=")</f>
        <v>#VALUE!</v>
      </c>
      <c r="CI70" t="e">
        <f>AND('STERLING CATALOG - DRY '!H1444,"AAAAAF/3/1Y=")</f>
        <v>#VALUE!</v>
      </c>
      <c r="CJ70" t="e">
        <f>AND('STERLING CATALOG - DRY '!I1444,"AAAAAF/3/1c=")</f>
        <v>#VALUE!</v>
      </c>
      <c r="CK70" t="e">
        <f>AND('STERLING CATALOG - DRY '!J1444,"AAAAAF/3/1g=")</f>
        <v>#VALUE!</v>
      </c>
      <c r="CL70">
        <f>IF('STERLING CATALOG - DRY '!1445:1445,"AAAAAF/3/1k=",0)</f>
        <v>0</v>
      </c>
      <c r="CM70" t="e">
        <f>AND('STERLING CATALOG - DRY '!A1445,"AAAAAF/3/1o=")</f>
        <v>#VALUE!</v>
      </c>
      <c r="CN70" t="e">
        <f>AND('STERLING CATALOG - DRY '!B1445,"AAAAAF/3/1s=")</f>
        <v>#VALUE!</v>
      </c>
      <c r="CO70" t="e">
        <f>AND('STERLING CATALOG - DRY '!C1445,"AAAAAF/3/1w=")</f>
        <v>#VALUE!</v>
      </c>
      <c r="CP70" t="e">
        <f>AND('STERLING CATALOG - DRY '!D1445,"AAAAAF/3/10=")</f>
        <v>#VALUE!</v>
      </c>
      <c r="CQ70" t="e">
        <f>AND('STERLING CATALOG - DRY '!E1445,"AAAAAF/3/14=")</f>
        <v>#VALUE!</v>
      </c>
      <c r="CR70" t="e">
        <f>AND('STERLING CATALOG - DRY '!F1445,"AAAAAF/3/18=")</f>
        <v>#VALUE!</v>
      </c>
      <c r="CS70" t="e">
        <f>AND('STERLING CATALOG - DRY '!G1445,"AAAAAF/3/2A=")</f>
        <v>#VALUE!</v>
      </c>
      <c r="CT70" t="e">
        <f>AND('STERLING CATALOG - DRY '!H1445,"AAAAAF/3/2E=")</f>
        <v>#VALUE!</v>
      </c>
      <c r="CU70" t="e">
        <f>AND('STERLING CATALOG - DRY '!I1445,"AAAAAF/3/2I=")</f>
        <v>#VALUE!</v>
      </c>
      <c r="CV70" t="e">
        <f>AND('STERLING CATALOG - DRY '!J1445,"AAAAAF/3/2M=")</f>
        <v>#VALUE!</v>
      </c>
      <c r="CW70">
        <f>IF('STERLING CATALOG - DRY '!1446:1446,"AAAAAF/3/2Q=",0)</f>
        <v>0</v>
      </c>
      <c r="CX70" t="e">
        <f>AND('STERLING CATALOG - DRY '!A1446,"AAAAAF/3/2U=")</f>
        <v>#VALUE!</v>
      </c>
      <c r="CY70" t="e">
        <f>AND('STERLING CATALOG - DRY '!B1446,"AAAAAF/3/2Y=")</f>
        <v>#VALUE!</v>
      </c>
      <c r="CZ70" t="e">
        <f>AND('STERLING CATALOG - DRY '!C1446,"AAAAAF/3/2c=")</f>
        <v>#VALUE!</v>
      </c>
      <c r="DA70" t="e">
        <f>AND('STERLING CATALOG - DRY '!D1446,"AAAAAF/3/2g=")</f>
        <v>#VALUE!</v>
      </c>
      <c r="DB70" t="e">
        <f>AND('STERLING CATALOG - DRY '!E1446,"AAAAAF/3/2k=")</f>
        <v>#VALUE!</v>
      </c>
      <c r="DC70" t="e">
        <f>AND('STERLING CATALOG - DRY '!F1446,"AAAAAF/3/2o=")</f>
        <v>#VALUE!</v>
      </c>
      <c r="DD70" t="e">
        <f>AND('STERLING CATALOG - DRY '!G1446,"AAAAAF/3/2s=")</f>
        <v>#VALUE!</v>
      </c>
      <c r="DE70" t="e">
        <f>AND('STERLING CATALOG - DRY '!H1446,"AAAAAF/3/2w=")</f>
        <v>#VALUE!</v>
      </c>
      <c r="DF70" t="e">
        <f>AND('STERLING CATALOG - DRY '!I1446,"AAAAAF/3/20=")</f>
        <v>#VALUE!</v>
      </c>
      <c r="DG70" t="e">
        <f>AND('STERLING CATALOG - DRY '!J1446,"AAAAAF/3/24=")</f>
        <v>#VALUE!</v>
      </c>
      <c r="DH70">
        <f>IF('STERLING CATALOG - DRY '!1447:1447,"AAAAAF/3/28=",0)</f>
        <v>0</v>
      </c>
      <c r="DI70" t="e">
        <f>AND('STERLING CATALOG - DRY '!A1447,"AAAAAF/3/3A=")</f>
        <v>#VALUE!</v>
      </c>
      <c r="DJ70" t="e">
        <f>AND('STERLING CATALOG - DRY '!B1447,"AAAAAF/3/3E=")</f>
        <v>#VALUE!</v>
      </c>
      <c r="DK70" t="e">
        <f>AND('STERLING CATALOG - DRY '!C1447,"AAAAAF/3/3I=")</f>
        <v>#VALUE!</v>
      </c>
      <c r="DL70" t="e">
        <f>AND('STERLING CATALOG - DRY '!D1447,"AAAAAF/3/3M=")</f>
        <v>#VALUE!</v>
      </c>
      <c r="DM70" t="e">
        <f>AND('STERLING CATALOG - DRY '!E1447,"AAAAAF/3/3Q=")</f>
        <v>#VALUE!</v>
      </c>
      <c r="DN70" t="e">
        <f>AND('STERLING CATALOG - DRY '!F1447,"AAAAAF/3/3U=")</f>
        <v>#VALUE!</v>
      </c>
      <c r="DO70" t="e">
        <f>AND('STERLING CATALOG - DRY '!G1447,"AAAAAF/3/3Y=")</f>
        <v>#VALUE!</v>
      </c>
      <c r="DP70" t="e">
        <f>AND('STERLING CATALOG - DRY '!H1447,"AAAAAF/3/3c=")</f>
        <v>#VALUE!</v>
      </c>
      <c r="DQ70" t="e">
        <f>AND('STERLING CATALOG - DRY '!I1447,"AAAAAF/3/3g=")</f>
        <v>#VALUE!</v>
      </c>
      <c r="DR70" t="e">
        <f>AND('STERLING CATALOG - DRY '!J1447,"AAAAAF/3/3k=")</f>
        <v>#VALUE!</v>
      </c>
      <c r="DS70">
        <f>IF('STERLING CATALOG - DRY '!1448:1448,"AAAAAF/3/3o=",0)</f>
        <v>0</v>
      </c>
      <c r="DT70" t="e">
        <f>AND('STERLING CATALOG - DRY '!A1448,"AAAAAF/3/3s=")</f>
        <v>#VALUE!</v>
      </c>
      <c r="DU70" t="e">
        <f>AND('STERLING CATALOG - DRY '!B1448,"AAAAAF/3/3w=")</f>
        <v>#VALUE!</v>
      </c>
      <c r="DV70" t="e">
        <f>AND('STERLING CATALOG - DRY '!C1448,"AAAAAF/3/30=")</f>
        <v>#VALUE!</v>
      </c>
      <c r="DW70" t="e">
        <f>AND('STERLING CATALOG - DRY '!D1448,"AAAAAF/3/34=")</f>
        <v>#VALUE!</v>
      </c>
      <c r="DX70" t="e">
        <f>AND('STERLING CATALOG - DRY '!E1448,"AAAAAF/3/38=")</f>
        <v>#VALUE!</v>
      </c>
      <c r="DY70" t="e">
        <f>AND('STERLING CATALOG - DRY '!F1448,"AAAAAF/3/4A=")</f>
        <v>#VALUE!</v>
      </c>
      <c r="DZ70" t="e">
        <f>AND('STERLING CATALOG - DRY '!G1448,"AAAAAF/3/4E=")</f>
        <v>#VALUE!</v>
      </c>
      <c r="EA70" t="e">
        <f>AND('STERLING CATALOG - DRY '!H1448,"AAAAAF/3/4I=")</f>
        <v>#VALUE!</v>
      </c>
      <c r="EB70" t="e">
        <f>AND('STERLING CATALOG - DRY '!I1448,"AAAAAF/3/4M=")</f>
        <v>#VALUE!</v>
      </c>
      <c r="EC70" t="e">
        <f>AND('STERLING CATALOG - DRY '!J1448,"AAAAAF/3/4Q=")</f>
        <v>#VALUE!</v>
      </c>
      <c r="ED70">
        <f>IF('STERLING CATALOG - DRY '!1449:1449,"AAAAAF/3/4U=",0)</f>
        <v>0</v>
      </c>
      <c r="EE70" t="e">
        <f>AND('STERLING CATALOG - DRY '!A1449,"AAAAAF/3/4Y=")</f>
        <v>#VALUE!</v>
      </c>
      <c r="EF70" t="e">
        <f>AND('STERLING CATALOG - DRY '!B1449,"AAAAAF/3/4c=")</f>
        <v>#VALUE!</v>
      </c>
      <c r="EG70" t="e">
        <f>AND('STERLING CATALOG - DRY '!C1449,"AAAAAF/3/4g=")</f>
        <v>#VALUE!</v>
      </c>
      <c r="EH70" t="e">
        <f>AND('STERLING CATALOG - DRY '!D1449,"AAAAAF/3/4k=")</f>
        <v>#VALUE!</v>
      </c>
      <c r="EI70" t="e">
        <f>AND('STERLING CATALOG - DRY '!E1449,"AAAAAF/3/4o=")</f>
        <v>#VALUE!</v>
      </c>
      <c r="EJ70" t="e">
        <f>AND('STERLING CATALOG - DRY '!F1449,"AAAAAF/3/4s=")</f>
        <v>#VALUE!</v>
      </c>
      <c r="EK70" t="e">
        <f>AND('STERLING CATALOG - DRY '!G1449,"AAAAAF/3/4w=")</f>
        <v>#VALUE!</v>
      </c>
      <c r="EL70" t="e">
        <f>AND('STERLING CATALOG - DRY '!H1449,"AAAAAF/3/40=")</f>
        <v>#VALUE!</v>
      </c>
      <c r="EM70" t="e">
        <f>AND('STERLING CATALOG - DRY '!I1449,"AAAAAF/3/44=")</f>
        <v>#VALUE!</v>
      </c>
      <c r="EN70" t="e">
        <f>AND('STERLING CATALOG - DRY '!J1449,"AAAAAF/3/48=")</f>
        <v>#VALUE!</v>
      </c>
      <c r="EO70">
        <f>IF('STERLING CATALOG - DRY '!1450:1450,"AAAAAF/3/5A=",0)</f>
        <v>0</v>
      </c>
      <c r="EP70" t="e">
        <f>AND('STERLING CATALOG - DRY '!A1450,"AAAAAF/3/5E=")</f>
        <v>#VALUE!</v>
      </c>
      <c r="EQ70" t="e">
        <f>AND('STERLING CATALOG - DRY '!B1450,"AAAAAF/3/5I=")</f>
        <v>#VALUE!</v>
      </c>
      <c r="ER70" t="e">
        <f>AND('STERLING CATALOG - DRY '!C1450,"AAAAAF/3/5M=")</f>
        <v>#VALUE!</v>
      </c>
      <c r="ES70" t="e">
        <f>AND('STERLING CATALOG - DRY '!D1450,"AAAAAF/3/5Q=")</f>
        <v>#VALUE!</v>
      </c>
      <c r="ET70" t="e">
        <f>AND('STERLING CATALOG - DRY '!E1450,"AAAAAF/3/5U=")</f>
        <v>#VALUE!</v>
      </c>
      <c r="EU70" t="e">
        <f>AND('STERLING CATALOG - DRY '!F1450,"AAAAAF/3/5Y=")</f>
        <v>#VALUE!</v>
      </c>
      <c r="EV70" t="e">
        <f>AND('STERLING CATALOG - DRY '!G1450,"AAAAAF/3/5c=")</f>
        <v>#VALUE!</v>
      </c>
      <c r="EW70" t="e">
        <f>AND('STERLING CATALOG - DRY '!H1450,"AAAAAF/3/5g=")</f>
        <v>#VALUE!</v>
      </c>
      <c r="EX70" t="e">
        <f>AND('STERLING CATALOG - DRY '!I1450,"AAAAAF/3/5k=")</f>
        <v>#VALUE!</v>
      </c>
      <c r="EY70" t="e">
        <f>AND('STERLING CATALOG - DRY '!J1450,"AAAAAF/3/5o=")</f>
        <v>#VALUE!</v>
      </c>
      <c r="EZ70">
        <f>IF('STERLING CATALOG - DRY '!1451:1451,"AAAAAF/3/5s=",0)</f>
        <v>0</v>
      </c>
      <c r="FA70" t="e">
        <f>AND('STERLING CATALOG - DRY '!A1451,"AAAAAF/3/5w=")</f>
        <v>#VALUE!</v>
      </c>
      <c r="FB70" t="e">
        <f>AND('STERLING CATALOG - DRY '!B1451,"AAAAAF/3/50=")</f>
        <v>#VALUE!</v>
      </c>
      <c r="FC70" t="e">
        <f>AND('STERLING CATALOG - DRY '!C1451,"AAAAAF/3/54=")</f>
        <v>#VALUE!</v>
      </c>
      <c r="FD70" t="e">
        <f>AND('STERLING CATALOG - DRY '!D1451,"AAAAAF/3/58=")</f>
        <v>#VALUE!</v>
      </c>
      <c r="FE70" t="e">
        <f>AND('STERLING CATALOG - DRY '!E1451,"AAAAAF/3/6A=")</f>
        <v>#VALUE!</v>
      </c>
      <c r="FF70" t="e">
        <f>AND('STERLING CATALOG - DRY '!F1451,"AAAAAF/3/6E=")</f>
        <v>#VALUE!</v>
      </c>
      <c r="FG70" t="e">
        <f>AND('STERLING CATALOG - DRY '!G1451,"AAAAAF/3/6I=")</f>
        <v>#VALUE!</v>
      </c>
      <c r="FH70" t="e">
        <f>AND('STERLING CATALOG - DRY '!H1451,"AAAAAF/3/6M=")</f>
        <v>#VALUE!</v>
      </c>
      <c r="FI70" t="e">
        <f>AND('STERLING CATALOG - DRY '!I1451,"AAAAAF/3/6Q=")</f>
        <v>#VALUE!</v>
      </c>
      <c r="FJ70" t="e">
        <f>AND('STERLING CATALOG - DRY '!J1451,"AAAAAF/3/6U=")</f>
        <v>#VALUE!</v>
      </c>
      <c r="FK70">
        <f>IF('STERLING CATALOG - DRY '!1452:1452,"AAAAAF/3/6Y=",0)</f>
        <v>0</v>
      </c>
      <c r="FL70" t="e">
        <f>AND('STERLING CATALOG - DRY '!A1452,"AAAAAF/3/6c=")</f>
        <v>#VALUE!</v>
      </c>
      <c r="FM70" t="e">
        <f>AND('STERLING CATALOG - DRY '!B1452,"AAAAAF/3/6g=")</f>
        <v>#VALUE!</v>
      </c>
      <c r="FN70" t="e">
        <f>AND('STERLING CATALOG - DRY '!C1452,"AAAAAF/3/6k=")</f>
        <v>#VALUE!</v>
      </c>
      <c r="FO70" t="e">
        <f>AND('STERLING CATALOG - DRY '!D1452,"AAAAAF/3/6o=")</f>
        <v>#VALUE!</v>
      </c>
      <c r="FP70" t="e">
        <f>AND('STERLING CATALOG - DRY '!E1452,"AAAAAF/3/6s=")</f>
        <v>#VALUE!</v>
      </c>
      <c r="FQ70" t="e">
        <f>AND('STERLING CATALOG - DRY '!F1452,"AAAAAF/3/6w=")</f>
        <v>#VALUE!</v>
      </c>
      <c r="FR70" t="e">
        <f>AND('STERLING CATALOG - DRY '!G1452,"AAAAAF/3/60=")</f>
        <v>#VALUE!</v>
      </c>
      <c r="FS70" t="e">
        <f>AND('STERLING CATALOG - DRY '!H1452,"AAAAAF/3/64=")</f>
        <v>#VALUE!</v>
      </c>
      <c r="FT70" t="e">
        <f>AND('STERLING CATALOG - DRY '!I1452,"AAAAAF/3/68=")</f>
        <v>#VALUE!</v>
      </c>
      <c r="FU70" t="e">
        <f>AND('STERLING CATALOG - DRY '!J1452,"AAAAAF/3/7A=")</f>
        <v>#VALUE!</v>
      </c>
      <c r="FV70">
        <f>IF('STERLING CATALOG - DRY '!1453:1453,"AAAAAF/3/7E=",0)</f>
        <v>0</v>
      </c>
      <c r="FW70" t="e">
        <f>AND('STERLING CATALOG - DRY '!A1453,"AAAAAF/3/7I=")</f>
        <v>#VALUE!</v>
      </c>
      <c r="FX70" t="e">
        <f>AND('STERLING CATALOG - DRY '!B1453,"AAAAAF/3/7M=")</f>
        <v>#VALUE!</v>
      </c>
      <c r="FY70" t="e">
        <f>AND('STERLING CATALOG - DRY '!C1453,"AAAAAF/3/7Q=")</f>
        <v>#VALUE!</v>
      </c>
      <c r="FZ70" t="e">
        <f>AND('STERLING CATALOG - DRY '!D1453,"AAAAAF/3/7U=")</f>
        <v>#VALUE!</v>
      </c>
      <c r="GA70" t="e">
        <f>AND('STERLING CATALOG - DRY '!E1453,"AAAAAF/3/7Y=")</f>
        <v>#VALUE!</v>
      </c>
      <c r="GB70" t="e">
        <f>AND('STERLING CATALOG - DRY '!F1453,"AAAAAF/3/7c=")</f>
        <v>#VALUE!</v>
      </c>
      <c r="GC70" t="e">
        <f>AND('STERLING CATALOG - DRY '!G1453,"AAAAAF/3/7g=")</f>
        <v>#VALUE!</v>
      </c>
      <c r="GD70" t="e">
        <f>AND('STERLING CATALOG - DRY '!H1453,"AAAAAF/3/7k=")</f>
        <v>#VALUE!</v>
      </c>
      <c r="GE70" t="e">
        <f>AND('STERLING CATALOG - DRY '!I1453,"AAAAAF/3/7o=")</f>
        <v>#VALUE!</v>
      </c>
      <c r="GF70" t="e">
        <f>AND('STERLING CATALOG - DRY '!J1453,"AAAAAF/3/7s=")</f>
        <v>#VALUE!</v>
      </c>
      <c r="GG70">
        <f>IF('STERLING CATALOG - DRY '!1454:1454,"AAAAAF/3/7w=",0)</f>
        <v>0</v>
      </c>
      <c r="GH70" t="e">
        <f>AND('STERLING CATALOG - DRY '!A1454,"AAAAAF/3/70=")</f>
        <v>#VALUE!</v>
      </c>
      <c r="GI70" t="e">
        <f>AND('STERLING CATALOG - DRY '!B1454,"AAAAAF/3/74=")</f>
        <v>#VALUE!</v>
      </c>
      <c r="GJ70" t="e">
        <f>AND('STERLING CATALOG - DRY '!C1454,"AAAAAF/3/78=")</f>
        <v>#VALUE!</v>
      </c>
      <c r="GK70" t="e">
        <f>AND('STERLING CATALOG - DRY '!D1454,"AAAAAF/3/8A=")</f>
        <v>#VALUE!</v>
      </c>
      <c r="GL70" t="e">
        <f>AND('STERLING CATALOG - DRY '!E1454,"AAAAAF/3/8E=")</f>
        <v>#VALUE!</v>
      </c>
      <c r="GM70" t="e">
        <f>AND('STERLING CATALOG - DRY '!F1454,"AAAAAF/3/8I=")</f>
        <v>#VALUE!</v>
      </c>
      <c r="GN70" t="e">
        <f>AND('STERLING CATALOG - DRY '!G1454,"AAAAAF/3/8M=")</f>
        <v>#VALUE!</v>
      </c>
      <c r="GO70" t="e">
        <f>AND('STERLING CATALOG - DRY '!H1454,"AAAAAF/3/8Q=")</f>
        <v>#VALUE!</v>
      </c>
      <c r="GP70" t="e">
        <f>AND('STERLING CATALOG - DRY '!I1454,"AAAAAF/3/8U=")</f>
        <v>#VALUE!</v>
      </c>
      <c r="GQ70" t="e">
        <f>AND('STERLING CATALOG - DRY '!J1454,"AAAAAF/3/8Y=")</f>
        <v>#VALUE!</v>
      </c>
      <c r="GR70">
        <f>IF('STERLING CATALOG - DRY '!1455:1455,"AAAAAF/3/8c=",0)</f>
        <v>0</v>
      </c>
      <c r="GS70" t="e">
        <f>AND('STERLING CATALOG - DRY '!A1455,"AAAAAF/3/8g=")</f>
        <v>#VALUE!</v>
      </c>
      <c r="GT70" t="e">
        <f>AND('STERLING CATALOG - DRY '!B1455,"AAAAAF/3/8k=")</f>
        <v>#VALUE!</v>
      </c>
      <c r="GU70" t="e">
        <f>AND('STERLING CATALOG - DRY '!C1455,"AAAAAF/3/8o=")</f>
        <v>#VALUE!</v>
      </c>
      <c r="GV70" t="e">
        <f>AND('STERLING CATALOG - DRY '!D1455,"AAAAAF/3/8s=")</f>
        <v>#VALUE!</v>
      </c>
      <c r="GW70" t="e">
        <f>AND('STERLING CATALOG - DRY '!E1455,"AAAAAF/3/8w=")</f>
        <v>#VALUE!</v>
      </c>
      <c r="GX70" t="e">
        <f>AND('STERLING CATALOG - DRY '!F1455,"AAAAAF/3/80=")</f>
        <v>#VALUE!</v>
      </c>
      <c r="GY70" t="e">
        <f>AND('STERLING CATALOG - DRY '!G1455,"AAAAAF/3/84=")</f>
        <v>#VALUE!</v>
      </c>
      <c r="GZ70" t="e">
        <f>AND('STERLING CATALOG - DRY '!H1455,"AAAAAF/3/88=")</f>
        <v>#VALUE!</v>
      </c>
      <c r="HA70" t="e">
        <f>AND('STERLING CATALOG - DRY '!I1455,"AAAAAF/3/9A=")</f>
        <v>#VALUE!</v>
      </c>
      <c r="HB70" t="e">
        <f>AND('STERLING CATALOG - DRY '!J1455,"AAAAAF/3/9E=")</f>
        <v>#VALUE!</v>
      </c>
      <c r="HC70">
        <f>IF('STERLING CATALOG - DRY '!1456:1456,"AAAAAF/3/9I=",0)</f>
        <v>0</v>
      </c>
      <c r="HD70" t="e">
        <f>AND('STERLING CATALOG - DRY '!A1456,"AAAAAF/3/9M=")</f>
        <v>#VALUE!</v>
      </c>
      <c r="HE70" t="e">
        <f>AND('STERLING CATALOG - DRY '!B1456,"AAAAAF/3/9Q=")</f>
        <v>#VALUE!</v>
      </c>
      <c r="HF70" t="e">
        <f>AND('STERLING CATALOG - DRY '!C1456,"AAAAAF/3/9U=")</f>
        <v>#VALUE!</v>
      </c>
      <c r="HG70" t="e">
        <f>AND('STERLING CATALOG - DRY '!D1456,"AAAAAF/3/9Y=")</f>
        <v>#VALUE!</v>
      </c>
      <c r="HH70" t="e">
        <f>AND('STERLING CATALOG - DRY '!E1456,"AAAAAF/3/9c=")</f>
        <v>#VALUE!</v>
      </c>
      <c r="HI70" t="e">
        <f>AND('STERLING CATALOG - DRY '!F1456,"AAAAAF/3/9g=")</f>
        <v>#VALUE!</v>
      </c>
      <c r="HJ70" t="e">
        <f>AND('STERLING CATALOG - DRY '!G1456,"AAAAAF/3/9k=")</f>
        <v>#VALUE!</v>
      </c>
      <c r="HK70" t="e">
        <f>AND('STERLING CATALOG - DRY '!H1456,"AAAAAF/3/9o=")</f>
        <v>#VALUE!</v>
      </c>
      <c r="HL70" t="e">
        <f>AND('STERLING CATALOG - DRY '!I1456,"AAAAAF/3/9s=")</f>
        <v>#VALUE!</v>
      </c>
      <c r="HM70" t="e">
        <f>AND('STERLING CATALOG - DRY '!J1456,"AAAAAF/3/9w=")</f>
        <v>#VALUE!</v>
      </c>
      <c r="HN70">
        <f>IF('STERLING CATALOG - DRY '!1457:1457,"AAAAAF/3/90=",0)</f>
        <v>0</v>
      </c>
      <c r="HO70" t="e">
        <f>AND('STERLING CATALOG - DRY '!A1457,"AAAAAF/3/94=")</f>
        <v>#VALUE!</v>
      </c>
      <c r="HP70" t="e">
        <f>AND('STERLING CATALOG - DRY '!B1457,"AAAAAF/3/98=")</f>
        <v>#VALUE!</v>
      </c>
      <c r="HQ70" t="e">
        <f>AND('STERLING CATALOG - DRY '!C1457,"AAAAAF/3/+A=")</f>
        <v>#VALUE!</v>
      </c>
      <c r="HR70" t="e">
        <f>AND('STERLING CATALOG - DRY '!D1457,"AAAAAF/3/+E=")</f>
        <v>#VALUE!</v>
      </c>
      <c r="HS70" t="e">
        <f>AND('STERLING CATALOG - DRY '!E1457,"AAAAAF/3/+I=")</f>
        <v>#VALUE!</v>
      </c>
      <c r="HT70" t="e">
        <f>AND('STERLING CATALOG - DRY '!F1457,"AAAAAF/3/+M=")</f>
        <v>#VALUE!</v>
      </c>
      <c r="HU70" t="e">
        <f>AND('STERLING CATALOG - DRY '!G1457,"AAAAAF/3/+Q=")</f>
        <v>#VALUE!</v>
      </c>
      <c r="HV70" t="e">
        <f>AND('STERLING CATALOG - DRY '!H1457,"AAAAAF/3/+U=")</f>
        <v>#VALUE!</v>
      </c>
      <c r="HW70" t="e">
        <f>AND('STERLING CATALOG - DRY '!I1457,"AAAAAF/3/+Y=")</f>
        <v>#VALUE!</v>
      </c>
      <c r="HX70" t="e">
        <f>AND('STERLING CATALOG - DRY '!J1457,"AAAAAF/3/+c=")</f>
        <v>#VALUE!</v>
      </c>
      <c r="HY70">
        <f>IF('STERLING CATALOG - DRY '!1458:1458,"AAAAAF/3/+g=",0)</f>
        <v>0</v>
      </c>
      <c r="HZ70" t="e">
        <f>AND('STERLING CATALOG - DRY '!A1458,"AAAAAF/3/+k=")</f>
        <v>#VALUE!</v>
      </c>
      <c r="IA70" t="e">
        <f>AND('STERLING CATALOG - DRY '!B1458,"AAAAAF/3/+o=")</f>
        <v>#VALUE!</v>
      </c>
      <c r="IB70" t="e">
        <f>AND('STERLING CATALOG - DRY '!C1458,"AAAAAF/3/+s=")</f>
        <v>#VALUE!</v>
      </c>
      <c r="IC70" t="e">
        <f>AND('STERLING CATALOG - DRY '!D1458,"AAAAAF/3/+w=")</f>
        <v>#VALUE!</v>
      </c>
      <c r="ID70" t="e">
        <f>AND('STERLING CATALOG - DRY '!E1458,"AAAAAF/3/+0=")</f>
        <v>#VALUE!</v>
      </c>
      <c r="IE70" t="e">
        <f>AND('STERLING CATALOG - DRY '!F1458,"AAAAAF/3/+4=")</f>
        <v>#VALUE!</v>
      </c>
      <c r="IF70" t="e">
        <f>AND('STERLING CATALOG - DRY '!G1458,"AAAAAF/3/+8=")</f>
        <v>#VALUE!</v>
      </c>
      <c r="IG70" t="e">
        <f>AND('STERLING CATALOG - DRY '!H1458,"AAAAAF/3//A=")</f>
        <v>#VALUE!</v>
      </c>
      <c r="IH70" t="e">
        <f>AND('STERLING CATALOG - DRY '!I1458,"AAAAAF/3//E=")</f>
        <v>#VALUE!</v>
      </c>
      <c r="II70" t="e">
        <f>AND('STERLING CATALOG - DRY '!J1458,"AAAAAF/3//I=")</f>
        <v>#VALUE!</v>
      </c>
      <c r="IJ70">
        <f>IF('STERLING CATALOG - DRY '!1459:1459,"AAAAAF/3//M=",0)</f>
        <v>0</v>
      </c>
      <c r="IK70" t="e">
        <f>AND('STERLING CATALOG - DRY '!A1459,"AAAAAF/3//Q=")</f>
        <v>#VALUE!</v>
      </c>
      <c r="IL70" t="e">
        <f>AND('STERLING CATALOG - DRY '!B1459,"AAAAAF/3//U=")</f>
        <v>#VALUE!</v>
      </c>
      <c r="IM70" t="e">
        <f>AND('STERLING CATALOG - DRY '!C1459,"AAAAAF/3//Y=")</f>
        <v>#VALUE!</v>
      </c>
      <c r="IN70" t="e">
        <f>AND('STERLING CATALOG - DRY '!D1459,"AAAAAF/3//c=")</f>
        <v>#VALUE!</v>
      </c>
      <c r="IO70" t="e">
        <f>AND('STERLING CATALOG - DRY '!E1459,"AAAAAF/3//g=")</f>
        <v>#VALUE!</v>
      </c>
      <c r="IP70" t="e">
        <f>AND('STERLING CATALOG - DRY '!F1459,"AAAAAF/3//k=")</f>
        <v>#VALUE!</v>
      </c>
      <c r="IQ70" t="e">
        <f>AND('STERLING CATALOG - DRY '!G1459,"AAAAAF/3//o=")</f>
        <v>#VALUE!</v>
      </c>
      <c r="IR70" t="e">
        <f>AND('STERLING CATALOG - DRY '!H1459,"AAAAAF/3//s=")</f>
        <v>#VALUE!</v>
      </c>
      <c r="IS70" t="e">
        <f>AND('STERLING CATALOG - DRY '!I1459,"AAAAAF/3//w=")</f>
        <v>#VALUE!</v>
      </c>
      <c r="IT70" t="e">
        <f>AND('STERLING CATALOG - DRY '!J1459,"AAAAAF/3//0=")</f>
        <v>#VALUE!</v>
      </c>
      <c r="IU70">
        <f>IF('STERLING CATALOG - DRY '!1460:1460,"AAAAAF/3//4=",0)</f>
        <v>0</v>
      </c>
      <c r="IV70" t="e">
        <f>AND('STERLING CATALOG - DRY '!A1460,"AAAAAF/3//8=")</f>
        <v>#VALUE!</v>
      </c>
    </row>
    <row r="71" spans="1:256">
      <c r="A71" t="e">
        <f>AND('STERLING CATALOG - DRY '!B1460,"AAAAAH//OQA=")</f>
        <v>#VALUE!</v>
      </c>
      <c r="B71" t="e">
        <f>AND('STERLING CATALOG - DRY '!C1460,"AAAAAH//OQE=")</f>
        <v>#VALUE!</v>
      </c>
      <c r="C71" t="e">
        <f>AND('STERLING CATALOG - DRY '!D1460,"AAAAAH//OQI=")</f>
        <v>#VALUE!</v>
      </c>
      <c r="D71" t="e">
        <f>AND('STERLING CATALOG - DRY '!E1460,"AAAAAH//OQM=")</f>
        <v>#VALUE!</v>
      </c>
      <c r="E71" t="e">
        <f>AND('STERLING CATALOG - DRY '!F1460,"AAAAAH//OQQ=")</f>
        <v>#VALUE!</v>
      </c>
      <c r="F71" t="e">
        <f>AND('STERLING CATALOG - DRY '!G1460,"AAAAAH//OQU=")</f>
        <v>#VALUE!</v>
      </c>
      <c r="G71" t="e">
        <f>AND('STERLING CATALOG - DRY '!H1460,"AAAAAH//OQY=")</f>
        <v>#VALUE!</v>
      </c>
      <c r="H71" t="e">
        <f>AND('STERLING CATALOG - DRY '!I1460,"AAAAAH//OQc=")</f>
        <v>#VALUE!</v>
      </c>
      <c r="I71" t="e">
        <f>AND('STERLING CATALOG - DRY '!J1460,"AAAAAH//OQg=")</f>
        <v>#VALUE!</v>
      </c>
      <c r="J71" t="e">
        <f>IF('STERLING CATALOG - DRY '!1461:1461,"AAAAAH//OQk=",0)</f>
        <v>#VALUE!</v>
      </c>
      <c r="K71" t="e">
        <f>AND('STERLING CATALOG - DRY '!A1461,"AAAAAH//OQo=")</f>
        <v>#VALUE!</v>
      </c>
      <c r="L71" t="e">
        <f>AND('STERLING CATALOG - DRY '!B1461,"AAAAAH//OQs=")</f>
        <v>#VALUE!</v>
      </c>
      <c r="M71" t="e">
        <f>AND('STERLING CATALOG - DRY '!C1461,"AAAAAH//OQw=")</f>
        <v>#VALUE!</v>
      </c>
      <c r="N71" t="e">
        <f>AND('STERLING CATALOG - DRY '!D1461,"AAAAAH//OQ0=")</f>
        <v>#VALUE!</v>
      </c>
      <c r="O71" t="e">
        <f>AND('STERLING CATALOG - DRY '!E1461,"AAAAAH//OQ4=")</f>
        <v>#VALUE!</v>
      </c>
      <c r="P71" t="e">
        <f>AND('STERLING CATALOG - DRY '!F1461,"AAAAAH//OQ8=")</f>
        <v>#VALUE!</v>
      </c>
      <c r="Q71" t="e">
        <f>AND('STERLING CATALOG - DRY '!G1461,"AAAAAH//ORA=")</f>
        <v>#VALUE!</v>
      </c>
      <c r="R71" t="e">
        <f>AND('STERLING CATALOG - DRY '!H1461,"AAAAAH//ORE=")</f>
        <v>#VALUE!</v>
      </c>
      <c r="S71" t="e">
        <f>AND('STERLING CATALOG - DRY '!I1461,"AAAAAH//ORI=")</f>
        <v>#VALUE!</v>
      </c>
      <c r="T71" t="e">
        <f>AND('STERLING CATALOG - DRY '!J1461,"AAAAAH//ORM=")</f>
        <v>#VALUE!</v>
      </c>
      <c r="U71">
        <f>IF('STERLING CATALOG - DRY '!1462:1462,"AAAAAH//ORQ=",0)</f>
        <v>0</v>
      </c>
      <c r="V71" t="e">
        <f>AND('STERLING CATALOG - DRY '!A1462,"AAAAAH//ORU=")</f>
        <v>#VALUE!</v>
      </c>
      <c r="W71" t="e">
        <f>AND('STERLING CATALOG - DRY '!B1462,"AAAAAH//ORY=")</f>
        <v>#VALUE!</v>
      </c>
      <c r="X71" t="e">
        <f>AND('STERLING CATALOG - DRY '!C1462,"AAAAAH//ORc=")</f>
        <v>#VALUE!</v>
      </c>
      <c r="Y71" t="e">
        <f>AND('STERLING CATALOG - DRY '!D1462,"AAAAAH//ORg=")</f>
        <v>#VALUE!</v>
      </c>
      <c r="Z71" t="e">
        <f>AND('STERLING CATALOG - DRY '!E1462,"AAAAAH//ORk=")</f>
        <v>#VALUE!</v>
      </c>
      <c r="AA71" t="e">
        <f>AND('STERLING CATALOG - DRY '!F1462,"AAAAAH//ORo=")</f>
        <v>#VALUE!</v>
      </c>
      <c r="AB71" t="e">
        <f>AND('STERLING CATALOG - DRY '!G1462,"AAAAAH//ORs=")</f>
        <v>#VALUE!</v>
      </c>
      <c r="AC71" t="e">
        <f>AND('STERLING CATALOG - DRY '!H1462,"AAAAAH//ORw=")</f>
        <v>#VALUE!</v>
      </c>
      <c r="AD71" t="e">
        <f>AND('STERLING CATALOG - DRY '!I1462,"AAAAAH//OR0=")</f>
        <v>#VALUE!</v>
      </c>
      <c r="AE71" t="e">
        <f>AND('STERLING CATALOG - DRY '!J1462,"AAAAAH//OR4=")</f>
        <v>#VALUE!</v>
      </c>
      <c r="AF71">
        <f>IF('STERLING CATALOG - DRY '!1463:1463,"AAAAAH//OR8=",0)</f>
        <v>0</v>
      </c>
      <c r="AG71" t="e">
        <f>AND('STERLING CATALOG - DRY '!A1463,"AAAAAH//OSA=")</f>
        <v>#VALUE!</v>
      </c>
      <c r="AH71" t="e">
        <f>AND('STERLING CATALOG - DRY '!B1463,"AAAAAH//OSE=")</f>
        <v>#VALUE!</v>
      </c>
      <c r="AI71" t="e">
        <f>AND('STERLING CATALOG - DRY '!C1463,"AAAAAH//OSI=")</f>
        <v>#VALUE!</v>
      </c>
      <c r="AJ71" t="e">
        <f>AND('STERLING CATALOG - DRY '!D1463,"AAAAAH//OSM=")</f>
        <v>#VALUE!</v>
      </c>
      <c r="AK71" t="e">
        <f>AND('STERLING CATALOG - DRY '!E1463,"AAAAAH//OSQ=")</f>
        <v>#VALUE!</v>
      </c>
      <c r="AL71" t="e">
        <f>AND('STERLING CATALOG - DRY '!F1463,"AAAAAH//OSU=")</f>
        <v>#VALUE!</v>
      </c>
      <c r="AM71" t="e">
        <f>AND('STERLING CATALOG - DRY '!G1463,"AAAAAH//OSY=")</f>
        <v>#VALUE!</v>
      </c>
      <c r="AN71" t="e">
        <f>AND('STERLING CATALOG - DRY '!H1463,"AAAAAH//OSc=")</f>
        <v>#VALUE!</v>
      </c>
      <c r="AO71" t="e">
        <f>AND('STERLING CATALOG - DRY '!I1463,"AAAAAH//OSg=")</f>
        <v>#VALUE!</v>
      </c>
      <c r="AP71" t="e">
        <f>AND('STERLING CATALOG - DRY '!J1463,"AAAAAH//OSk=")</f>
        <v>#VALUE!</v>
      </c>
      <c r="AQ71">
        <f>IF('STERLING CATALOG - DRY '!1464:1464,"AAAAAH//OSo=",0)</f>
        <v>0</v>
      </c>
      <c r="AR71" t="e">
        <f>AND('STERLING CATALOG - DRY '!A1464,"AAAAAH//OSs=")</f>
        <v>#VALUE!</v>
      </c>
      <c r="AS71" t="e">
        <f>AND('STERLING CATALOG - DRY '!B1464,"AAAAAH//OSw=")</f>
        <v>#VALUE!</v>
      </c>
      <c r="AT71" t="e">
        <f>AND('STERLING CATALOG - DRY '!C1464,"AAAAAH//OS0=")</f>
        <v>#VALUE!</v>
      </c>
      <c r="AU71" t="e">
        <f>AND('STERLING CATALOG - DRY '!D1464,"AAAAAH//OS4=")</f>
        <v>#VALUE!</v>
      </c>
      <c r="AV71" t="e">
        <f>AND('STERLING CATALOG - DRY '!E1464,"AAAAAH//OS8=")</f>
        <v>#VALUE!</v>
      </c>
      <c r="AW71" t="e">
        <f>AND('STERLING CATALOG - DRY '!F1464,"AAAAAH//OTA=")</f>
        <v>#VALUE!</v>
      </c>
      <c r="AX71" t="e">
        <f>AND('STERLING CATALOG - DRY '!G1464,"AAAAAH//OTE=")</f>
        <v>#VALUE!</v>
      </c>
      <c r="AY71" t="e">
        <f>AND('STERLING CATALOG - DRY '!H1464,"AAAAAH//OTI=")</f>
        <v>#VALUE!</v>
      </c>
      <c r="AZ71" t="e">
        <f>AND('STERLING CATALOG - DRY '!I1464,"AAAAAH//OTM=")</f>
        <v>#VALUE!</v>
      </c>
      <c r="BA71" t="e">
        <f>AND('STERLING CATALOG - DRY '!J1464,"AAAAAH//OTQ=")</f>
        <v>#VALUE!</v>
      </c>
      <c r="BB71">
        <f>IF('STERLING CATALOG - DRY '!1465:1465,"AAAAAH//OTU=",0)</f>
        <v>0</v>
      </c>
      <c r="BC71" t="e">
        <f>AND('STERLING CATALOG - DRY '!A1465,"AAAAAH//OTY=")</f>
        <v>#VALUE!</v>
      </c>
      <c r="BD71" t="e">
        <f>AND('STERLING CATALOG - DRY '!B1465,"AAAAAH//OTc=")</f>
        <v>#VALUE!</v>
      </c>
      <c r="BE71" t="e">
        <f>AND('STERLING CATALOG - DRY '!C1465,"AAAAAH//OTg=")</f>
        <v>#VALUE!</v>
      </c>
      <c r="BF71" t="e">
        <f>AND('STERLING CATALOG - DRY '!D1465,"AAAAAH//OTk=")</f>
        <v>#VALUE!</v>
      </c>
      <c r="BG71" t="e">
        <f>AND('STERLING CATALOG - DRY '!E1465,"AAAAAH//OTo=")</f>
        <v>#VALUE!</v>
      </c>
      <c r="BH71" t="e">
        <f>AND('STERLING CATALOG - DRY '!F1465,"AAAAAH//OTs=")</f>
        <v>#VALUE!</v>
      </c>
      <c r="BI71" t="e">
        <f>AND('STERLING CATALOG - DRY '!G1465,"AAAAAH//OTw=")</f>
        <v>#VALUE!</v>
      </c>
      <c r="BJ71" t="e">
        <f>AND('STERLING CATALOG - DRY '!H1465,"AAAAAH//OT0=")</f>
        <v>#VALUE!</v>
      </c>
      <c r="BK71" t="e">
        <f>AND('STERLING CATALOG - DRY '!I1465,"AAAAAH//OT4=")</f>
        <v>#VALUE!</v>
      </c>
      <c r="BL71" t="e">
        <f>AND('STERLING CATALOG - DRY '!J1465,"AAAAAH//OT8=")</f>
        <v>#VALUE!</v>
      </c>
      <c r="BM71">
        <f>IF('STERLING CATALOG - DRY '!1466:1466,"AAAAAH//OUA=",0)</f>
        <v>0</v>
      </c>
      <c r="BN71" t="e">
        <f>AND('STERLING CATALOG - DRY '!A1466,"AAAAAH//OUE=")</f>
        <v>#VALUE!</v>
      </c>
      <c r="BO71" t="e">
        <f>AND('STERLING CATALOG - DRY '!B1466,"AAAAAH//OUI=")</f>
        <v>#VALUE!</v>
      </c>
      <c r="BP71" t="e">
        <f>AND('STERLING CATALOG - DRY '!C1466,"AAAAAH//OUM=")</f>
        <v>#VALUE!</v>
      </c>
      <c r="BQ71" t="e">
        <f>AND('STERLING CATALOG - DRY '!D1466,"AAAAAH//OUQ=")</f>
        <v>#VALUE!</v>
      </c>
      <c r="BR71" t="e">
        <f>AND('STERLING CATALOG - DRY '!E1466,"AAAAAH//OUU=")</f>
        <v>#VALUE!</v>
      </c>
      <c r="BS71" t="e">
        <f>AND('STERLING CATALOG - DRY '!F1466,"AAAAAH//OUY=")</f>
        <v>#VALUE!</v>
      </c>
      <c r="BT71" t="e">
        <f>AND('STERLING CATALOG - DRY '!G1466,"AAAAAH//OUc=")</f>
        <v>#VALUE!</v>
      </c>
      <c r="BU71" t="e">
        <f>AND('STERLING CATALOG - DRY '!H1466,"AAAAAH//OUg=")</f>
        <v>#VALUE!</v>
      </c>
      <c r="BV71" t="e">
        <f>AND('STERLING CATALOG - DRY '!I1466,"AAAAAH//OUk=")</f>
        <v>#VALUE!</v>
      </c>
      <c r="BW71" t="e">
        <f>AND('STERLING CATALOG - DRY '!J1466,"AAAAAH//OUo=")</f>
        <v>#VALUE!</v>
      </c>
      <c r="BX71">
        <f>IF('STERLING CATALOG - DRY '!1467:1467,"AAAAAH//OUs=",0)</f>
        <v>0</v>
      </c>
      <c r="BY71" t="e">
        <f>AND('STERLING CATALOG - DRY '!A1467,"AAAAAH//OUw=")</f>
        <v>#VALUE!</v>
      </c>
      <c r="BZ71" t="e">
        <f>AND('STERLING CATALOG - DRY '!B1467,"AAAAAH//OU0=")</f>
        <v>#VALUE!</v>
      </c>
      <c r="CA71" t="e">
        <f>AND('STERLING CATALOG - DRY '!C1467,"AAAAAH//OU4=")</f>
        <v>#VALUE!</v>
      </c>
      <c r="CB71" t="e">
        <f>AND('STERLING CATALOG - DRY '!D1467,"AAAAAH//OU8=")</f>
        <v>#VALUE!</v>
      </c>
      <c r="CC71" t="e">
        <f>AND('STERLING CATALOG - DRY '!E1467,"AAAAAH//OVA=")</f>
        <v>#VALUE!</v>
      </c>
      <c r="CD71" t="e">
        <f>AND('STERLING CATALOG - DRY '!F1467,"AAAAAH//OVE=")</f>
        <v>#VALUE!</v>
      </c>
      <c r="CE71" t="e">
        <f>AND('STERLING CATALOG - DRY '!G1467,"AAAAAH//OVI=")</f>
        <v>#VALUE!</v>
      </c>
      <c r="CF71" t="e">
        <f>AND('STERLING CATALOG - DRY '!H1467,"AAAAAH//OVM=")</f>
        <v>#VALUE!</v>
      </c>
      <c r="CG71" t="e">
        <f>AND('STERLING CATALOG - DRY '!I1467,"AAAAAH//OVQ=")</f>
        <v>#VALUE!</v>
      </c>
      <c r="CH71" t="e">
        <f>AND('STERLING CATALOG - DRY '!J1467,"AAAAAH//OVU=")</f>
        <v>#VALUE!</v>
      </c>
      <c r="CI71">
        <f>IF('STERLING CATALOG - DRY '!1468:1468,"AAAAAH//OVY=",0)</f>
        <v>0</v>
      </c>
      <c r="CJ71" t="e">
        <f>AND('STERLING CATALOG - DRY '!A1468,"AAAAAH//OVc=")</f>
        <v>#VALUE!</v>
      </c>
      <c r="CK71" t="e">
        <f>AND('STERLING CATALOG - DRY '!B1468,"AAAAAH//OVg=")</f>
        <v>#VALUE!</v>
      </c>
      <c r="CL71" t="e">
        <f>AND('STERLING CATALOG - DRY '!C1468,"AAAAAH//OVk=")</f>
        <v>#VALUE!</v>
      </c>
      <c r="CM71" t="e">
        <f>AND('STERLING CATALOG - DRY '!D1468,"AAAAAH//OVo=")</f>
        <v>#VALUE!</v>
      </c>
      <c r="CN71" t="e">
        <f>AND('STERLING CATALOG - DRY '!E1468,"AAAAAH//OVs=")</f>
        <v>#VALUE!</v>
      </c>
      <c r="CO71" t="e">
        <f>AND('STERLING CATALOG - DRY '!F1468,"AAAAAH//OVw=")</f>
        <v>#VALUE!</v>
      </c>
      <c r="CP71" t="e">
        <f>AND('STERLING CATALOG - DRY '!G1468,"AAAAAH//OV0=")</f>
        <v>#VALUE!</v>
      </c>
      <c r="CQ71" t="e">
        <f>AND('STERLING CATALOG - DRY '!H1468,"AAAAAH//OV4=")</f>
        <v>#VALUE!</v>
      </c>
      <c r="CR71" t="e">
        <f>AND('STERLING CATALOG - DRY '!I1468,"AAAAAH//OV8=")</f>
        <v>#VALUE!</v>
      </c>
      <c r="CS71" t="e">
        <f>AND('STERLING CATALOG - DRY '!J1468,"AAAAAH//OWA=")</f>
        <v>#VALUE!</v>
      </c>
      <c r="CT71">
        <f>IF('STERLING CATALOG - DRY '!1469:1469,"AAAAAH//OWE=",0)</f>
        <v>0</v>
      </c>
      <c r="CU71" t="e">
        <f>AND('STERLING CATALOG - DRY '!A1469,"AAAAAH//OWI=")</f>
        <v>#VALUE!</v>
      </c>
      <c r="CV71" t="e">
        <f>AND('STERLING CATALOG - DRY '!B1469,"AAAAAH//OWM=")</f>
        <v>#VALUE!</v>
      </c>
      <c r="CW71" t="e">
        <f>AND('STERLING CATALOG - DRY '!C1469,"AAAAAH//OWQ=")</f>
        <v>#VALUE!</v>
      </c>
      <c r="CX71" t="e">
        <f>AND('STERLING CATALOG - DRY '!D1469,"AAAAAH//OWU=")</f>
        <v>#VALUE!</v>
      </c>
      <c r="CY71" t="e">
        <f>AND('STERLING CATALOG - DRY '!E1469,"AAAAAH//OWY=")</f>
        <v>#VALUE!</v>
      </c>
      <c r="CZ71" t="e">
        <f>AND('STERLING CATALOG - DRY '!F1469,"AAAAAH//OWc=")</f>
        <v>#VALUE!</v>
      </c>
      <c r="DA71" t="e">
        <f>AND('STERLING CATALOG - DRY '!G1469,"AAAAAH//OWg=")</f>
        <v>#VALUE!</v>
      </c>
      <c r="DB71" t="e">
        <f>AND('STERLING CATALOG - DRY '!H1469,"AAAAAH//OWk=")</f>
        <v>#VALUE!</v>
      </c>
      <c r="DC71" t="e">
        <f>AND('STERLING CATALOG - DRY '!I1469,"AAAAAH//OWo=")</f>
        <v>#VALUE!</v>
      </c>
      <c r="DD71" t="e">
        <f>AND('STERLING CATALOG - DRY '!J1469,"AAAAAH//OWs=")</f>
        <v>#VALUE!</v>
      </c>
      <c r="DE71">
        <f>IF('STERLING CATALOG - DRY '!1470:1470,"AAAAAH//OWw=",0)</f>
        <v>0</v>
      </c>
      <c r="DF71" t="e">
        <f>AND('STERLING CATALOG - DRY '!A1470,"AAAAAH//OW0=")</f>
        <v>#VALUE!</v>
      </c>
      <c r="DG71" t="e">
        <f>AND('STERLING CATALOG - DRY '!B1470,"AAAAAH//OW4=")</f>
        <v>#VALUE!</v>
      </c>
      <c r="DH71" t="e">
        <f>AND('STERLING CATALOG - DRY '!C1470,"AAAAAH//OW8=")</f>
        <v>#VALUE!</v>
      </c>
      <c r="DI71" t="e">
        <f>AND('STERLING CATALOG - DRY '!D1470,"AAAAAH//OXA=")</f>
        <v>#VALUE!</v>
      </c>
      <c r="DJ71" t="e">
        <f>AND('STERLING CATALOG - DRY '!E1470,"AAAAAH//OXE=")</f>
        <v>#VALUE!</v>
      </c>
      <c r="DK71" t="e">
        <f>AND('STERLING CATALOG - DRY '!F1470,"AAAAAH//OXI=")</f>
        <v>#VALUE!</v>
      </c>
      <c r="DL71" t="e">
        <f>AND('STERLING CATALOG - DRY '!G1470,"AAAAAH//OXM=")</f>
        <v>#VALUE!</v>
      </c>
      <c r="DM71" t="e">
        <f>AND('STERLING CATALOG - DRY '!H1470,"AAAAAH//OXQ=")</f>
        <v>#VALUE!</v>
      </c>
      <c r="DN71" t="e">
        <f>AND('STERLING CATALOG - DRY '!I1470,"AAAAAH//OXU=")</f>
        <v>#VALUE!</v>
      </c>
      <c r="DO71" t="e">
        <f>AND('STERLING CATALOG - DRY '!J1470,"AAAAAH//OXY=")</f>
        <v>#VALUE!</v>
      </c>
      <c r="DP71">
        <f>IF('STERLING CATALOG - DRY '!1471:1471,"AAAAAH//OXc=",0)</f>
        <v>0</v>
      </c>
      <c r="DQ71" t="e">
        <f>AND('STERLING CATALOG - DRY '!A1471,"AAAAAH//OXg=")</f>
        <v>#VALUE!</v>
      </c>
      <c r="DR71" t="e">
        <f>AND('STERLING CATALOG - DRY '!B1471,"AAAAAH//OXk=")</f>
        <v>#VALUE!</v>
      </c>
      <c r="DS71" t="e">
        <f>AND('STERLING CATALOG - DRY '!C1471,"AAAAAH//OXo=")</f>
        <v>#VALUE!</v>
      </c>
      <c r="DT71" t="e">
        <f>AND('STERLING CATALOG - DRY '!D1471,"AAAAAH//OXs=")</f>
        <v>#VALUE!</v>
      </c>
      <c r="DU71" t="e">
        <f>AND('STERLING CATALOG - DRY '!E1471,"AAAAAH//OXw=")</f>
        <v>#VALUE!</v>
      </c>
      <c r="DV71" t="e">
        <f>AND('STERLING CATALOG - DRY '!F1471,"AAAAAH//OX0=")</f>
        <v>#VALUE!</v>
      </c>
      <c r="DW71" t="e">
        <f>AND('STERLING CATALOG - DRY '!G1471,"AAAAAH//OX4=")</f>
        <v>#VALUE!</v>
      </c>
      <c r="DX71" t="e">
        <f>AND('STERLING CATALOG - DRY '!H1471,"AAAAAH//OX8=")</f>
        <v>#VALUE!</v>
      </c>
      <c r="DY71" t="e">
        <f>AND('STERLING CATALOG - DRY '!I1471,"AAAAAH//OYA=")</f>
        <v>#VALUE!</v>
      </c>
      <c r="DZ71" t="e">
        <f>AND('STERLING CATALOG - DRY '!J1471,"AAAAAH//OYE=")</f>
        <v>#VALUE!</v>
      </c>
      <c r="EA71">
        <f>IF('STERLING CATALOG - DRY '!1472:1472,"AAAAAH//OYI=",0)</f>
        <v>0</v>
      </c>
      <c r="EB71" t="e">
        <f>AND('STERLING CATALOG - DRY '!A1472,"AAAAAH//OYM=")</f>
        <v>#VALUE!</v>
      </c>
      <c r="EC71" t="e">
        <f>AND('STERLING CATALOG - DRY '!B1472,"AAAAAH//OYQ=")</f>
        <v>#VALUE!</v>
      </c>
      <c r="ED71" t="e">
        <f>AND('STERLING CATALOG - DRY '!C1472,"AAAAAH//OYU=")</f>
        <v>#VALUE!</v>
      </c>
      <c r="EE71" t="e">
        <f>AND('STERLING CATALOG - DRY '!D1472,"AAAAAH//OYY=")</f>
        <v>#VALUE!</v>
      </c>
      <c r="EF71" t="e">
        <f>AND('STERLING CATALOG - DRY '!E1472,"AAAAAH//OYc=")</f>
        <v>#VALUE!</v>
      </c>
      <c r="EG71" t="e">
        <f>AND('STERLING CATALOG - DRY '!F1472,"AAAAAH//OYg=")</f>
        <v>#VALUE!</v>
      </c>
      <c r="EH71" t="e">
        <f>AND('STERLING CATALOG - DRY '!G1472,"AAAAAH//OYk=")</f>
        <v>#VALUE!</v>
      </c>
      <c r="EI71" t="e">
        <f>AND('STERLING CATALOG - DRY '!H1472,"AAAAAH//OYo=")</f>
        <v>#VALUE!</v>
      </c>
      <c r="EJ71" t="e">
        <f>AND('STERLING CATALOG - DRY '!I1472,"AAAAAH//OYs=")</f>
        <v>#VALUE!</v>
      </c>
      <c r="EK71" t="e">
        <f>AND('STERLING CATALOG - DRY '!J1472,"AAAAAH//OYw=")</f>
        <v>#VALUE!</v>
      </c>
      <c r="EL71">
        <f>IF('STERLING CATALOG - DRY '!1473:1473,"AAAAAH//OY0=",0)</f>
        <v>0</v>
      </c>
      <c r="EM71" t="e">
        <f>AND('STERLING CATALOG - DRY '!A1473,"AAAAAH//OY4=")</f>
        <v>#VALUE!</v>
      </c>
      <c r="EN71" t="e">
        <f>AND('STERLING CATALOG - DRY '!B1473,"AAAAAH//OY8=")</f>
        <v>#VALUE!</v>
      </c>
      <c r="EO71" t="e">
        <f>AND('STERLING CATALOG - DRY '!C1473,"AAAAAH//OZA=")</f>
        <v>#VALUE!</v>
      </c>
      <c r="EP71" t="e">
        <f>AND('STERLING CATALOG - DRY '!D1473,"AAAAAH//OZE=")</f>
        <v>#VALUE!</v>
      </c>
      <c r="EQ71" t="e">
        <f>AND('STERLING CATALOG - DRY '!E1473,"AAAAAH//OZI=")</f>
        <v>#VALUE!</v>
      </c>
      <c r="ER71" t="e">
        <f>AND('STERLING CATALOG - DRY '!F1473,"AAAAAH//OZM=")</f>
        <v>#VALUE!</v>
      </c>
      <c r="ES71" t="e">
        <f>AND('STERLING CATALOG - DRY '!G1473,"AAAAAH//OZQ=")</f>
        <v>#VALUE!</v>
      </c>
      <c r="ET71" t="e">
        <f>AND('STERLING CATALOG - DRY '!H1473,"AAAAAH//OZU=")</f>
        <v>#VALUE!</v>
      </c>
      <c r="EU71" t="e">
        <f>AND('STERLING CATALOG - DRY '!I1473,"AAAAAH//OZY=")</f>
        <v>#VALUE!</v>
      </c>
      <c r="EV71" t="e">
        <f>AND('STERLING CATALOG - DRY '!J1473,"AAAAAH//OZc=")</f>
        <v>#VALUE!</v>
      </c>
      <c r="EW71">
        <f>IF('STERLING CATALOG - DRY '!1474:1474,"AAAAAH//OZg=",0)</f>
        <v>0</v>
      </c>
      <c r="EX71" t="e">
        <f>AND('STERLING CATALOG - DRY '!A1474,"AAAAAH//OZk=")</f>
        <v>#VALUE!</v>
      </c>
      <c r="EY71" t="e">
        <f>AND('STERLING CATALOG - DRY '!B1474,"AAAAAH//OZo=")</f>
        <v>#VALUE!</v>
      </c>
      <c r="EZ71" t="e">
        <f>AND('STERLING CATALOG - DRY '!C1474,"AAAAAH//OZs=")</f>
        <v>#VALUE!</v>
      </c>
      <c r="FA71" t="e">
        <f>AND('STERLING CATALOG - DRY '!D1474,"AAAAAH//OZw=")</f>
        <v>#VALUE!</v>
      </c>
      <c r="FB71" t="e">
        <f>AND('STERLING CATALOG - DRY '!E1474,"AAAAAH//OZ0=")</f>
        <v>#VALUE!</v>
      </c>
      <c r="FC71" t="e">
        <f>AND('STERLING CATALOG - DRY '!F1474,"AAAAAH//OZ4=")</f>
        <v>#VALUE!</v>
      </c>
      <c r="FD71" t="e">
        <f>AND('STERLING CATALOG - DRY '!G1474,"AAAAAH//OZ8=")</f>
        <v>#VALUE!</v>
      </c>
      <c r="FE71" t="e">
        <f>AND('STERLING CATALOG - DRY '!H1474,"AAAAAH//OaA=")</f>
        <v>#VALUE!</v>
      </c>
      <c r="FF71" t="e">
        <f>AND('STERLING CATALOG - DRY '!I1474,"AAAAAH//OaE=")</f>
        <v>#VALUE!</v>
      </c>
      <c r="FG71" t="e">
        <f>AND('STERLING CATALOG - DRY '!J1474,"AAAAAH//OaI=")</f>
        <v>#VALUE!</v>
      </c>
      <c r="FH71">
        <f>IF('STERLING CATALOG - DRY '!1475:1475,"AAAAAH//OaM=",0)</f>
        <v>0</v>
      </c>
      <c r="FI71" t="e">
        <f>AND('STERLING CATALOG - DRY '!A1475,"AAAAAH//OaQ=")</f>
        <v>#VALUE!</v>
      </c>
      <c r="FJ71" t="e">
        <f>AND('STERLING CATALOG - DRY '!B1475,"AAAAAH//OaU=")</f>
        <v>#VALUE!</v>
      </c>
      <c r="FK71" t="e">
        <f>AND('STERLING CATALOG - DRY '!C1475,"AAAAAH//OaY=")</f>
        <v>#VALUE!</v>
      </c>
      <c r="FL71" t="e">
        <f>AND('STERLING CATALOG - DRY '!D1475,"AAAAAH//Oac=")</f>
        <v>#VALUE!</v>
      </c>
      <c r="FM71" t="e">
        <f>AND('STERLING CATALOG - DRY '!E1475,"AAAAAH//Oag=")</f>
        <v>#VALUE!</v>
      </c>
      <c r="FN71" t="e">
        <f>AND('STERLING CATALOG - DRY '!F1475,"AAAAAH//Oak=")</f>
        <v>#VALUE!</v>
      </c>
      <c r="FO71" t="e">
        <f>AND('STERLING CATALOG - DRY '!G1475,"AAAAAH//Oao=")</f>
        <v>#VALUE!</v>
      </c>
      <c r="FP71" t="e">
        <f>AND('STERLING CATALOG - DRY '!H1475,"AAAAAH//Oas=")</f>
        <v>#VALUE!</v>
      </c>
      <c r="FQ71" t="e">
        <f>AND('STERLING CATALOG - DRY '!I1475,"AAAAAH//Oaw=")</f>
        <v>#VALUE!</v>
      </c>
      <c r="FR71" t="e">
        <f>AND('STERLING CATALOG - DRY '!J1475,"AAAAAH//Oa0=")</f>
        <v>#VALUE!</v>
      </c>
      <c r="FS71">
        <f>IF('STERLING CATALOG - DRY '!1476:1476,"AAAAAH//Oa4=",0)</f>
        <v>0</v>
      </c>
      <c r="FT71" t="e">
        <f>AND('STERLING CATALOG - DRY '!A1476,"AAAAAH//Oa8=")</f>
        <v>#VALUE!</v>
      </c>
      <c r="FU71" t="e">
        <f>AND('STERLING CATALOG - DRY '!B1476,"AAAAAH//ObA=")</f>
        <v>#VALUE!</v>
      </c>
      <c r="FV71" t="e">
        <f>AND('STERLING CATALOG - DRY '!C1476,"AAAAAH//ObE=")</f>
        <v>#VALUE!</v>
      </c>
      <c r="FW71" t="e">
        <f>AND('STERLING CATALOG - DRY '!D1476,"AAAAAH//ObI=")</f>
        <v>#VALUE!</v>
      </c>
      <c r="FX71" t="e">
        <f>AND('STERLING CATALOG - DRY '!E1476,"AAAAAH//ObM=")</f>
        <v>#VALUE!</v>
      </c>
      <c r="FY71" t="e">
        <f>AND('STERLING CATALOG - DRY '!F1476,"AAAAAH//ObQ=")</f>
        <v>#VALUE!</v>
      </c>
      <c r="FZ71" t="e">
        <f>AND('STERLING CATALOG - DRY '!G1476,"AAAAAH//ObU=")</f>
        <v>#VALUE!</v>
      </c>
      <c r="GA71" t="e">
        <f>AND('STERLING CATALOG - DRY '!H1476,"AAAAAH//ObY=")</f>
        <v>#VALUE!</v>
      </c>
      <c r="GB71" t="e">
        <f>AND('STERLING CATALOG - DRY '!I1476,"AAAAAH//Obc=")</f>
        <v>#VALUE!</v>
      </c>
      <c r="GC71" t="e">
        <f>AND('STERLING CATALOG - DRY '!J1476,"AAAAAH//Obg=")</f>
        <v>#VALUE!</v>
      </c>
      <c r="GD71">
        <f>IF('STERLING CATALOG - DRY '!1477:1477,"AAAAAH//Obk=",0)</f>
        <v>0</v>
      </c>
      <c r="GE71" t="e">
        <f>AND('STERLING CATALOG - DRY '!A1477,"AAAAAH//Obo=")</f>
        <v>#VALUE!</v>
      </c>
      <c r="GF71" t="e">
        <f>AND('STERLING CATALOG - DRY '!B1477,"AAAAAH//Obs=")</f>
        <v>#VALUE!</v>
      </c>
      <c r="GG71" t="e">
        <f>AND('STERLING CATALOG - DRY '!C1477,"AAAAAH//Obw=")</f>
        <v>#VALUE!</v>
      </c>
      <c r="GH71" t="e">
        <f>AND('STERLING CATALOG - DRY '!D1477,"AAAAAH//Ob0=")</f>
        <v>#VALUE!</v>
      </c>
      <c r="GI71" t="e">
        <f>AND('STERLING CATALOG - DRY '!E1477,"AAAAAH//Ob4=")</f>
        <v>#VALUE!</v>
      </c>
      <c r="GJ71" t="e">
        <f>AND('STERLING CATALOG - DRY '!F1477,"AAAAAH//Ob8=")</f>
        <v>#VALUE!</v>
      </c>
      <c r="GK71" t="e">
        <f>AND('STERLING CATALOG - DRY '!G1477,"AAAAAH//OcA=")</f>
        <v>#VALUE!</v>
      </c>
      <c r="GL71" t="e">
        <f>AND('STERLING CATALOG - DRY '!H1477,"AAAAAH//OcE=")</f>
        <v>#VALUE!</v>
      </c>
      <c r="GM71" t="e">
        <f>AND('STERLING CATALOG - DRY '!I1477,"AAAAAH//OcI=")</f>
        <v>#VALUE!</v>
      </c>
      <c r="GN71" t="e">
        <f>AND('STERLING CATALOG - DRY '!J1477,"AAAAAH//OcM=")</f>
        <v>#VALUE!</v>
      </c>
      <c r="GO71">
        <f>IF('STERLING CATALOG - DRY '!1478:1478,"AAAAAH//OcQ=",0)</f>
        <v>0</v>
      </c>
      <c r="GP71" t="e">
        <f>AND('STERLING CATALOG - DRY '!A1478,"AAAAAH//OcU=")</f>
        <v>#VALUE!</v>
      </c>
      <c r="GQ71" t="e">
        <f>AND('STERLING CATALOG - DRY '!B1478,"AAAAAH//OcY=")</f>
        <v>#VALUE!</v>
      </c>
      <c r="GR71" t="e">
        <f>AND('STERLING CATALOG - DRY '!C1478,"AAAAAH//Occ=")</f>
        <v>#VALUE!</v>
      </c>
      <c r="GS71" t="e">
        <f>AND('STERLING CATALOG - DRY '!D1478,"AAAAAH//Ocg=")</f>
        <v>#VALUE!</v>
      </c>
      <c r="GT71" t="e">
        <f>AND('STERLING CATALOG - DRY '!E1478,"AAAAAH//Ock=")</f>
        <v>#VALUE!</v>
      </c>
      <c r="GU71" t="e">
        <f>AND('STERLING CATALOG - DRY '!F1478,"AAAAAH//Oco=")</f>
        <v>#VALUE!</v>
      </c>
      <c r="GV71" t="e">
        <f>AND('STERLING CATALOG - DRY '!G1478,"AAAAAH//Ocs=")</f>
        <v>#VALUE!</v>
      </c>
      <c r="GW71" t="e">
        <f>AND('STERLING CATALOG - DRY '!H1478,"AAAAAH//Ocw=")</f>
        <v>#VALUE!</v>
      </c>
      <c r="GX71" t="e">
        <f>AND('STERLING CATALOG - DRY '!I1478,"AAAAAH//Oc0=")</f>
        <v>#VALUE!</v>
      </c>
      <c r="GY71" t="e">
        <f>AND('STERLING CATALOG - DRY '!J1478,"AAAAAH//Oc4=")</f>
        <v>#VALUE!</v>
      </c>
      <c r="GZ71">
        <f>IF('STERLING CATALOG - DRY '!1479:1479,"AAAAAH//Oc8=",0)</f>
        <v>0</v>
      </c>
      <c r="HA71" t="e">
        <f>AND('STERLING CATALOG - DRY '!A1479,"AAAAAH//OdA=")</f>
        <v>#VALUE!</v>
      </c>
      <c r="HB71" t="e">
        <f>AND('STERLING CATALOG - DRY '!B1479,"AAAAAH//OdE=")</f>
        <v>#VALUE!</v>
      </c>
      <c r="HC71" t="e">
        <f>AND('STERLING CATALOG - DRY '!C1479,"AAAAAH//OdI=")</f>
        <v>#VALUE!</v>
      </c>
      <c r="HD71" t="e">
        <f>AND('STERLING CATALOG - DRY '!D1479,"AAAAAH//OdM=")</f>
        <v>#VALUE!</v>
      </c>
      <c r="HE71" t="e">
        <f>AND('STERLING CATALOG - DRY '!E1479,"AAAAAH//OdQ=")</f>
        <v>#VALUE!</v>
      </c>
      <c r="HF71" t="e">
        <f>AND('STERLING CATALOG - DRY '!F1479,"AAAAAH//OdU=")</f>
        <v>#VALUE!</v>
      </c>
      <c r="HG71" t="e">
        <f>AND('STERLING CATALOG - DRY '!G1479,"AAAAAH//OdY=")</f>
        <v>#VALUE!</v>
      </c>
      <c r="HH71" t="e">
        <f>AND('STERLING CATALOG - DRY '!H1479,"AAAAAH//Odc=")</f>
        <v>#VALUE!</v>
      </c>
      <c r="HI71" t="e">
        <f>AND('STERLING CATALOG - DRY '!I1479,"AAAAAH//Odg=")</f>
        <v>#VALUE!</v>
      </c>
      <c r="HJ71" t="e">
        <f>AND('STERLING CATALOG - DRY '!J1479,"AAAAAH//Odk=")</f>
        <v>#VALUE!</v>
      </c>
      <c r="HK71">
        <f>IF('STERLING CATALOG - DRY '!1480:1480,"AAAAAH//Odo=",0)</f>
        <v>0</v>
      </c>
      <c r="HL71" t="e">
        <f>AND('STERLING CATALOG - DRY '!A1480,"AAAAAH//Ods=")</f>
        <v>#VALUE!</v>
      </c>
      <c r="HM71" t="e">
        <f>AND('STERLING CATALOG - DRY '!B1480,"AAAAAH//Odw=")</f>
        <v>#VALUE!</v>
      </c>
      <c r="HN71" t="e">
        <f>AND('STERLING CATALOG - DRY '!C1480,"AAAAAH//Od0=")</f>
        <v>#VALUE!</v>
      </c>
      <c r="HO71" t="e">
        <f>AND('STERLING CATALOG - DRY '!D1480,"AAAAAH//Od4=")</f>
        <v>#VALUE!</v>
      </c>
      <c r="HP71" t="e">
        <f>AND('STERLING CATALOG - DRY '!E1480,"AAAAAH//Od8=")</f>
        <v>#VALUE!</v>
      </c>
      <c r="HQ71" t="e">
        <f>AND('STERLING CATALOG - DRY '!F1480,"AAAAAH//OeA=")</f>
        <v>#VALUE!</v>
      </c>
      <c r="HR71" t="e">
        <f>AND('STERLING CATALOG - DRY '!G1480,"AAAAAH//OeE=")</f>
        <v>#VALUE!</v>
      </c>
      <c r="HS71" t="e">
        <f>AND('STERLING CATALOG - DRY '!H1480,"AAAAAH//OeI=")</f>
        <v>#VALUE!</v>
      </c>
      <c r="HT71" t="e">
        <f>AND('STERLING CATALOG - DRY '!I1480,"AAAAAH//OeM=")</f>
        <v>#VALUE!</v>
      </c>
      <c r="HU71" t="e">
        <f>AND('STERLING CATALOG - DRY '!J1480,"AAAAAH//OeQ=")</f>
        <v>#VALUE!</v>
      </c>
      <c r="HV71">
        <f>IF('STERLING CATALOG - DRY '!1481:1481,"AAAAAH//OeU=",0)</f>
        <v>0</v>
      </c>
      <c r="HW71" t="e">
        <f>AND('STERLING CATALOG - DRY '!A1481,"AAAAAH//OeY=")</f>
        <v>#VALUE!</v>
      </c>
      <c r="HX71" t="e">
        <f>AND('STERLING CATALOG - DRY '!B1481,"AAAAAH//Oec=")</f>
        <v>#VALUE!</v>
      </c>
      <c r="HY71" t="e">
        <f>AND('STERLING CATALOG - DRY '!C1481,"AAAAAH//Oeg=")</f>
        <v>#VALUE!</v>
      </c>
      <c r="HZ71" t="e">
        <f>AND('STERLING CATALOG - DRY '!D1481,"AAAAAH//Oek=")</f>
        <v>#VALUE!</v>
      </c>
      <c r="IA71" t="e">
        <f>AND('STERLING CATALOG - DRY '!E1481,"AAAAAH//Oeo=")</f>
        <v>#VALUE!</v>
      </c>
      <c r="IB71" t="e">
        <f>AND('STERLING CATALOG - DRY '!F1481,"AAAAAH//Oes=")</f>
        <v>#VALUE!</v>
      </c>
      <c r="IC71" t="e">
        <f>AND('STERLING CATALOG - DRY '!G1481,"AAAAAH//Oew=")</f>
        <v>#VALUE!</v>
      </c>
      <c r="ID71" t="e">
        <f>AND('STERLING CATALOG - DRY '!H1481,"AAAAAH//Oe0=")</f>
        <v>#VALUE!</v>
      </c>
      <c r="IE71" t="e">
        <f>AND('STERLING CATALOG - DRY '!I1481,"AAAAAH//Oe4=")</f>
        <v>#VALUE!</v>
      </c>
      <c r="IF71" t="e">
        <f>AND('STERLING CATALOG - DRY '!J1481,"AAAAAH//Oe8=")</f>
        <v>#VALUE!</v>
      </c>
      <c r="IG71">
        <f>IF('STERLING CATALOG - DRY '!1482:1482,"AAAAAH//OfA=",0)</f>
        <v>0</v>
      </c>
      <c r="IH71" t="e">
        <f>AND('STERLING CATALOG - DRY '!A1482,"AAAAAH//OfE=")</f>
        <v>#VALUE!</v>
      </c>
      <c r="II71" t="e">
        <f>AND('STERLING CATALOG - DRY '!B1482,"AAAAAH//OfI=")</f>
        <v>#VALUE!</v>
      </c>
      <c r="IJ71" t="e">
        <f>AND('STERLING CATALOG - DRY '!C1482,"AAAAAH//OfM=")</f>
        <v>#VALUE!</v>
      </c>
      <c r="IK71" t="e">
        <f>AND('STERLING CATALOG - DRY '!D1482,"AAAAAH//OfQ=")</f>
        <v>#VALUE!</v>
      </c>
      <c r="IL71" t="e">
        <f>AND('STERLING CATALOG - DRY '!E1482,"AAAAAH//OfU=")</f>
        <v>#VALUE!</v>
      </c>
      <c r="IM71" t="e">
        <f>AND('STERLING CATALOG - DRY '!F1482,"AAAAAH//OfY=")</f>
        <v>#VALUE!</v>
      </c>
      <c r="IN71" t="e">
        <f>AND('STERLING CATALOG - DRY '!G1482,"AAAAAH//Ofc=")</f>
        <v>#VALUE!</v>
      </c>
      <c r="IO71" t="e">
        <f>AND('STERLING CATALOG - DRY '!H1482,"AAAAAH//Ofg=")</f>
        <v>#VALUE!</v>
      </c>
      <c r="IP71" t="e">
        <f>AND('STERLING CATALOG - DRY '!I1482,"AAAAAH//Ofk=")</f>
        <v>#VALUE!</v>
      </c>
      <c r="IQ71" t="e">
        <f>AND('STERLING CATALOG - DRY '!J1482,"AAAAAH//Ofo=")</f>
        <v>#VALUE!</v>
      </c>
      <c r="IR71">
        <f>IF('STERLING CATALOG - DRY '!1483:1483,"AAAAAH//Ofs=",0)</f>
        <v>0</v>
      </c>
      <c r="IS71" t="e">
        <f>AND('STERLING CATALOG - DRY '!A1483,"AAAAAH//Ofw=")</f>
        <v>#VALUE!</v>
      </c>
      <c r="IT71" t="e">
        <f>AND('STERLING CATALOG - DRY '!B1483,"AAAAAH//Of0=")</f>
        <v>#VALUE!</v>
      </c>
      <c r="IU71" t="e">
        <f>AND('STERLING CATALOG - DRY '!C1483,"AAAAAH//Of4=")</f>
        <v>#VALUE!</v>
      </c>
      <c r="IV71" t="e">
        <f>AND('STERLING CATALOG - DRY '!D1483,"AAAAAH//Of8=")</f>
        <v>#VALUE!</v>
      </c>
    </row>
    <row r="72" spans="1:256">
      <c r="A72" t="e">
        <f>AND('STERLING CATALOG - DRY '!E1483,"AAAAAH537wA=")</f>
        <v>#VALUE!</v>
      </c>
      <c r="B72" t="e">
        <f>AND('STERLING CATALOG - DRY '!F1483,"AAAAAH537wE=")</f>
        <v>#VALUE!</v>
      </c>
      <c r="C72" t="e">
        <f>AND('STERLING CATALOG - DRY '!G1483,"AAAAAH537wI=")</f>
        <v>#VALUE!</v>
      </c>
      <c r="D72" t="e">
        <f>AND('STERLING CATALOG - DRY '!H1483,"AAAAAH537wM=")</f>
        <v>#VALUE!</v>
      </c>
      <c r="E72" t="e">
        <f>AND('STERLING CATALOG - DRY '!I1483,"AAAAAH537wQ=")</f>
        <v>#VALUE!</v>
      </c>
      <c r="F72" t="e">
        <f>AND('STERLING CATALOG - DRY '!J1483,"AAAAAH537wU=")</f>
        <v>#VALUE!</v>
      </c>
      <c r="G72" t="str">
        <f>IF('STERLING CATALOG - DRY '!1484:1484,"AAAAAH537wY=",0)</f>
        <v>AAAAAH537wY=</v>
      </c>
      <c r="H72" t="e">
        <f>AND('STERLING CATALOG - DRY '!A1484,"AAAAAH537wc=")</f>
        <v>#VALUE!</v>
      </c>
      <c r="I72" t="e">
        <f>AND('STERLING CATALOG - DRY '!B1484,"AAAAAH537wg=")</f>
        <v>#VALUE!</v>
      </c>
      <c r="J72" t="e">
        <f>AND('STERLING CATALOG - DRY '!C1484,"AAAAAH537wk=")</f>
        <v>#VALUE!</v>
      </c>
      <c r="K72" t="e">
        <f>AND('STERLING CATALOG - DRY '!D1484,"AAAAAH537wo=")</f>
        <v>#VALUE!</v>
      </c>
      <c r="L72" t="e">
        <f>AND('STERLING CATALOG - DRY '!E1484,"AAAAAH537ws=")</f>
        <v>#VALUE!</v>
      </c>
      <c r="M72" t="e">
        <f>AND('STERLING CATALOG - DRY '!F1484,"AAAAAH537ww=")</f>
        <v>#VALUE!</v>
      </c>
      <c r="N72" t="e">
        <f>AND('STERLING CATALOG - DRY '!G1484,"AAAAAH537w0=")</f>
        <v>#VALUE!</v>
      </c>
      <c r="O72" t="e">
        <f>AND('STERLING CATALOG - DRY '!H1484,"AAAAAH537w4=")</f>
        <v>#VALUE!</v>
      </c>
      <c r="P72" t="e">
        <f>AND('STERLING CATALOG - DRY '!I1484,"AAAAAH537w8=")</f>
        <v>#VALUE!</v>
      </c>
      <c r="Q72" t="e">
        <f>AND('STERLING CATALOG - DRY '!J1484,"AAAAAH537xA=")</f>
        <v>#VALUE!</v>
      </c>
      <c r="R72">
        <f>IF('STERLING CATALOG - DRY '!1485:1485,"AAAAAH537xE=",0)</f>
        <v>0</v>
      </c>
      <c r="S72" t="e">
        <f>AND('STERLING CATALOG - DRY '!A1485,"AAAAAH537xI=")</f>
        <v>#VALUE!</v>
      </c>
      <c r="T72" t="e">
        <f>AND('STERLING CATALOG - DRY '!B1485,"AAAAAH537xM=")</f>
        <v>#VALUE!</v>
      </c>
      <c r="U72" t="e">
        <f>AND('STERLING CATALOG - DRY '!C1485,"AAAAAH537xQ=")</f>
        <v>#VALUE!</v>
      </c>
      <c r="V72" t="e">
        <f>AND('STERLING CATALOG - DRY '!D1485,"AAAAAH537xU=")</f>
        <v>#VALUE!</v>
      </c>
      <c r="W72" t="e">
        <f>AND('STERLING CATALOG - DRY '!E1485,"AAAAAH537xY=")</f>
        <v>#VALUE!</v>
      </c>
      <c r="X72" t="e">
        <f>AND('STERLING CATALOG - DRY '!F1485,"AAAAAH537xc=")</f>
        <v>#VALUE!</v>
      </c>
      <c r="Y72" t="e">
        <f>AND('STERLING CATALOG - DRY '!G1485,"AAAAAH537xg=")</f>
        <v>#VALUE!</v>
      </c>
      <c r="Z72" t="e">
        <f>AND('STERLING CATALOG - DRY '!H1485,"AAAAAH537xk=")</f>
        <v>#VALUE!</v>
      </c>
      <c r="AA72" t="e">
        <f>AND('STERLING CATALOG - DRY '!I1485,"AAAAAH537xo=")</f>
        <v>#VALUE!</v>
      </c>
      <c r="AB72" t="e">
        <f>AND('STERLING CATALOG - DRY '!J1485,"AAAAAH537xs=")</f>
        <v>#VALUE!</v>
      </c>
      <c r="AC72">
        <f>IF('STERLING CATALOG - DRY '!1486:1486,"AAAAAH537xw=",0)</f>
        <v>0</v>
      </c>
      <c r="AD72" t="e">
        <f>AND('STERLING CATALOG - DRY '!A1486,"AAAAAH537x0=")</f>
        <v>#VALUE!</v>
      </c>
      <c r="AE72" t="e">
        <f>AND('STERLING CATALOG - DRY '!B1486,"AAAAAH537x4=")</f>
        <v>#VALUE!</v>
      </c>
      <c r="AF72" t="e">
        <f>AND('STERLING CATALOG - DRY '!C1486,"AAAAAH537x8=")</f>
        <v>#VALUE!</v>
      </c>
      <c r="AG72" t="e">
        <f>AND('STERLING CATALOG - DRY '!D1486,"AAAAAH537yA=")</f>
        <v>#VALUE!</v>
      </c>
      <c r="AH72" t="e">
        <f>AND('STERLING CATALOG - DRY '!E1486,"AAAAAH537yE=")</f>
        <v>#VALUE!</v>
      </c>
      <c r="AI72" t="e">
        <f>AND('STERLING CATALOG - DRY '!F1486,"AAAAAH537yI=")</f>
        <v>#VALUE!</v>
      </c>
      <c r="AJ72" t="e">
        <f>AND('STERLING CATALOG - DRY '!G1486,"AAAAAH537yM=")</f>
        <v>#VALUE!</v>
      </c>
      <c r="AK72" t="e">
        <f>AND('STERLING CATALOG - DRY '!H1486,"AAAAAH537yQ=")</f>
        <v>#VALUE!</v>
      </c>
      <c r="AL72" t="e">
        <f>AND('STERLING CATALOG - DRY '!I1486,"AAAAAH537yU=")</f>
        <v>#VALUE!</v>
      </c>
      <c r="AM72" t="e">
        <f>AND('STERLING CATALOG - DRY '!J1486,"AAAAAH537yY=")</f>
        <v>#VALUE!</v>
      </c>
      <c r="AN72">
        <f>IF('STERLING CATALOG - DRY '!1487:1487,"AAAAAH537yc=",0)</f>
        <v>0</v>
      </c>
      <c r="AO72" t="e">
        <f>AND('STERLING CATALOG - DRY '!A1487,"AAAAAH537yg=")</f>
        <v>#VALUE!</v>
      </c>
      <c r="AP72" t="e">
        <f>AND('STERLING CATALOG - DRY '!B1487,"AAAAAH537yk=")</f>
        <v>#VALUE!</v>
      </c>
      <c r="AQ72" t="e">
        <f>AND('STERLING CATALOG - DRY '!C1487,"AAAAAH537yo=")</f>
        <v>#VALUE!</v>
      </c>
      <c r="AR72" t="e">
        <f>AND('STERLING CATALOG - DRY '!D1487,"AAAAAH537ys=")</f>
        <v>#VALUE!</v>
      </c>
      <c r="AS72" t="e">
        <f>AND('STERLING CATALOG - DRY '!E1487,"AAAAAH537yw=")</f>
        <v>#VALUE!</v>
      </c>
      <c r="AT72" t="e">
        <f>AND('STERLING CATALOG - DRY '!F1487,"AAAAAH537y0=")</f>
        <v>#VALUE!</v>
      </c>
      <c r="AU72" t="e">
        <f>AND('STERLING CATALOG - DRY '!G1487,"AAAAAH537y4=")</f>
        <v>#VALUE!</v>
      </c>
      <c r="AV72" t="e">
        <f>AND('STERLING CATALOG - DRY '!H1487,"AAAAAH537y8=")</f>
        <v>#VALUE!</v>
      </c>
      <c r="AW72" t="e">
        <f>AND('STERLING CATALOG - DRY '!I1487,"AAAAAH537zA=")</f>
        <v>#VALUE!</v>
      </c>
      <c r="AX72" t="e">
        <f>AND('STERLING CATALOG - DRY '!J1487,"AAAAAH537zE=")</f>
        <v>#VALUE!</v>
      </c>
      <c r="AY72">
        <f>IF('STERLING CATALOG - DRY '!1488:1488,"AAAAAH537zI=",0)</f>
        <v>0</v>
      </c>
      <c r="AZ72" t="e">
        <f>AND('STERLING CATALOG - DRY '!A1488,"AAAAAH537zM=")</f>
        <v>#VALUE!</v>
      </c>
      <c r="BA72" t="e">
        <f>AND('STERLING CATALOG - DRY '!B1488,"AAAAAH537zQ=")</f>
        <v>#VALUE!</v>
      </c>
      <c r="BB72" t="e">
        <f>AND('STERLING CATALOG - DRY '!C1488,"AAAAAH537zU=")</f>
        <v>#VALUE!</v>
      </c>
      <c r="BC72" t="e">
        <f>AND('STERLING CATALOG - DRY '!D1488,"AAAAAH537zY=")</f>
        <v>#VALUE!</v>
      </c>
      <c r="BD72" t="e">
        <f>AND('STERLING CATALOG - DRY '!E1488,"AAAAAH537zc=")</f>
        <v>#VALUE!</v>
      </c>
      <c r="BE72" t="e">
        <f>AND('STERLING CATALOG - DRY '!F1488,"AAAAAH537zg=")</f>
        <v>#VALUE!</v>
      </c>
      <c r="BF72" t="e">
        <f>AND('STERLING CATALOG - DRY '!G1488,"AAAAAH537zk=")</f>
        <v>#VALUE!</v>
      </c>
      <c r="BG72" t="e">
        <f>AND('STERLING CATALOG - DRY '!H1488,"AAAAAH537zo=")</f>
        <v>#VALUE!</v>
      </c>
      <c r="BH72" t="e">
        <f>AND('STERLING CATALOG - DRY '!I1488,"AAAAAH537zs=")</f>
        <v>#VALUE!</v>
      </c>
      <c r="BI72" t="e">
        <f>AND('STERLING CATALOG - DRY '!J1488,"AAAAAH537zw=")</f>
        <v>#VALUE!</v>
      </c>
      <c r="BJ72">
        <f>IF('STERLING CATALOG - DRY '!1489:1489,"AAAAAH537z0=",0)</f>
        <v>0</v>
      </c>
      <c r="BK72" t="e">
        <f>AND('STERLING CATALOG - DRY '!A1489,"AAAAAH537z4=")</f>
        <v>#VALUE!</v>
      </c>
      <c r="BL72" t="e">
        <f>AND('STERLING CATALOG - DRY '!B1489,"AAAAAH537z8=")</f>
        <v>#VALUE!</v>
      </c>
      <c r="BM72" t="e">
        <f>AND('STERLING CATALOG - DRY '!C1489,"AAAAAH5370A=")</f>
        <v>#VALUE!</v>
      </c>
      <c r="BN72" t="e">
        <f>AND('STERLING CATALOG - DRY '!D1489,"AAAAAH5370E=")</f>
        <v>#VALUE!</v>
      </c>
      <c r="BO72" t="e">
        <f>AND('STERLING CATALOG - DRY '!E1489,"AAAAAH5370I=")</f>
        <v>#VALUE!</v>
      </c>
      <c r="BP72" t="e">
        <f>AND('STERLING CATALOG - DRY '!F1489,"AAAAAH5370M=")</f>
        <v>#VALUE!</v>
      </c>
      <c r="BQ72" t="e">
        <f>AND('STERLING CATALOG - DRY '!G1489,"AAAAAH5370Q=")</f>
        <v>#VALUE!</v>
      </c>
      <c r="BR72" t="e">
        <f>AND('STERLING CATALOG - DRY '!H1489,"AAAAAH5370U=")</f>
        <v>#VALUE!</v>
      </c>
      <c r="BS72" t="e">
        <f>AND('STERLING CATALOG - DRY '!I1489,"AAAAAH5370Y=")</f>
        <v>#VALUE!</v>
      </c>
      <c r="BT72" t="e">
        <f>AND('STERLING CATALOG - DRY '!J1489,"AAAAAH5370c=")</f>
        <v>#VALUE!</v>
      </c>
      <c r="BU72">
        <f>IF('STERLING CATALOG - DRY '!1490:1490,"AAAAAH5370g=",0)</f>
        <v>0</v>
      </c>
      <c r="BV72" t="e">
        <f>AND('STERLING CATALOG - DRY '!A1490,"AAAAAH5370k=")</f>
        <v>#VALUE!</v>
      </c>
      <c r="BW72" t="e">
        <f>AND('STERLING CATALOG - DRY '!B1490,"AAAAAH5370o=")</f>
        <v>#VALUE!</v>
      </c>
      <c r="BX72" t="e">
        <f>AND('STERLING CATALOG - DRY '!C1490,"AAAAAH5370s=")</f>
        <v>#VALUE!</v>
      </c>
      <c r="BY72" t="e">
        <f>AND('STERLING CATALOG - DRY '!D1490,"AAAAAH5370w=")</f>
        <v>#VALUE!</v>
      </c>
      <c r="BZ72" t="e">
        <f>AND('STERLING CATALOG - DRY '!E1490,"AAAAAH53700=")</f>
        <v>#VALUE!</v>
      </c>
      <c r="CA72" t="e">
        <f>AND('STERLING CATALOG - DRY '!F1490,"AAAAAH53704=")</f>
        <v>#VALUE!</v>
      </c>
      <c r="CB72" t="e">
        <f>AND('STERLING CATALOG - DRY '!G1490,"AAAAAH53708=")</f>
        <v>#VALUE!</v>
      </c>
      <c r="CC72" t="e">
        <f>AND('STERLING CATALOG - DRY '!H1490,"AAAAAH5371A=")</f>
        <v>#VALUE!</v>
      </c>
      <c r="CD72" t="e">
        <f>AND('STERLING CATALOG - DRY '!I1490,"AAAAAH5371E=")</f>
        <v>#VALUE!</v>
      </c>
      <c r="CE72" t="e">
        <f>AND('STERLING CATALOG - DRY '!J1490,"AAAAAH5371I=")</f>
        <v>#VALUE!</v>
      </c>
      <c r="CF72">
        <f>IF('STERLING CATALOG - DRY '!1491:1491,"AAAAAH5371M=",0)</f>
        <v>0</v>
      </c>
      <c r="CG72" t="e">
        <f>AND('STERLING CATALOG - DRY '!A1491,"AAAAAH5371Q=")</f>
        <v>#VALUE!</v>
      </c>
      <c r="CH72" t="e">
        <f>AND('STERLING CATALOG - DRY '!B1491,"AAAAAH5371U=")</f>
        <v>#VALUE!</v>
      </c>
      <c r="CI72" t="e">
        <f>AND('STERLING CATALOG - DRY '!C1491,"AAAAAH5371Y=")</f>
        <v>#VALUE!</v>
      </c>
      <c r="CJ72" t="e">
        <f>AND('STERLING CATALOG - DRY '!D1491,"AAAAAH5371c=")</f>
        <v>#VALUE!</v>
      </c>
      <c r="CK72" t="e">
        <f>AND('STERLING CATALOG - DRY '!E1491,"AAAAAH5371g=")</f>
        <v>#VALUE!</v>
      </c>
      <c r="CL72" t="e">
        <f>AND('STERLING CATALOG - DRY '!F1491,"AAAAAH5371k=")</f>
        <v>#VALUE!</v>
      </c>
      <c r="CM72" t="e">
        <f>AND('STERLING CATALOG - DRY '!G1491,"AAAAAH5371o=")</f>
        <v>#VALUE!</v>
      </c>
      <c r="CN72" t="e">
        <f>AND('STERLING CATALOG - DRY '!H1491,"AAAAAH5371s=")</f>
        <v>#VALUE!</v>
      </c>
      <c r="CO72" t="e">
        <f>AND('STERLING CATALOG - DRY '!I1491,"AAAAAH5371w=")</f>
        <v>#VALUE!</v>
      </c>
      <c r="CP72" t="e">
        <f>AND('STERLING CATALOG - DRY '!J1491,"AAAAAH53710=")</f>
        <v>#VALUE!</v>
      </c>
      <c r="CQ72">
        <f>IF('STERLING CATALOG - DRY '!1492:1492,"AAAAAH53714=",0)</f>
        <v>0</v>
      </c>
      <c r="CR72" t="e">
        <f>AND('STERLING CATALOG - DRY '!A1492,"AAAAAH53718=")</f>
        <v>#VALUE!</v>
      </c>
      <c r="CS72" t="e">
        <f>AND('STERLING CATALOG - DRY '!B1492,"AAAAAH5372A=")</f>
        <v>#VALUE!</v>
      </c>
      <c r="CT72" t="e">
        <f>AND('STERLING CATALOG - DRY '!C1492,"AAAAAH5372E=")</f>
        <v>#VALUE!</v>
      </c>
      <c r="CU72" t="e">
        <f>AND('STERLING CATALOG - DRY '!D1492,"AAAAAH5372I=")</f>
        <v>#VALUE!</v>
      </c>
      <c r="CV72" t="e">
        <f>AND('STERLING CATALOG - DRY '!E1492,"AAAAAH5372M=")</f>
        <v>#VALUE!</v>
      </c>
      <c r="CW72" t="e">
        <f>AND('STERLING CATALOG - DRY '!F1492,"AAAAAH5372Q=")</f>
        <v>#VALUE!</v>
      </c>
      <c r="CX72" t="e">
        <f>AND('STERLING CATALOG - DRY '!G1492,"AAAAAH5372U=")</f>
        <v>#VALUE!</v>
      </c>
      <c r="CY72" t="e">
        <f>AND('STERLING CATALOG - DRY '!H1492,"AAAAAH5372Y=")</f>
        <v>#VALUE!</v>
      </c>
      <c r="CZ72" t="e">
        <f>AND('STERLING CATALOG - DRY '!I1492,"AAAAAH5372c=")</f>
        <v>#VALUE!</v>
      </c>
      <c r="DA72" t="e">
        <f>AND('STERLING CATALOG - DRY '!J1492,"AAAAAH5372g=")</f>
        <v>#VALUE!</v>
      </c>
      <c r="DB72">
        <f>IF('STERLING CATALOG - DRY '!1493:1493,"AAAAAH5372k=",0)</f>
        <v>0</v>
      </c>
      <c r="DC72" t="e">
        <f>AND('STERLING CATALOG - DRY '!A1493,"AAAAAH5372o=")</f>
        <v>#VALUE!</v>
      </c>
      <c r="DD72" t="e">
        <f>AND('STERLING CATALOG - DRY '!B1493,"AAAAAH5372s=")</f>
        <v>#VALUE!</v>
      </c>
      <c r="DE72" t="e">
        <f>AND('STERLING CATALOG - DRY '!C1493,"AAAAAH5372w=")</f>
        <v>#VALUE!</v>
      </c>
      <c r="DF72" t="e">
        <f>AND('STERLING CATALOG - DRY '!D1493,"AAAAAH53720=")</f>
        <v>#VALUE!</v>
      </c>
      <c r="DG72" t="e">
        <f>AND('STERLING CATALOG - DRY '!E1493,"AAAAAH53724=")</f>
        <v>#VALUE!</v>
      </c>
      <c r="DH72" t="e">
        <f>AND('STERLING CATALOG - DRY '!F1493,"AAAAAH53728=")</f>
        <v>#VALUE!</v>
      </c>
      <c r="DI72" t="e">
        <f>AND('STERLING CATALOG - DRY '!G1493,"AAAAAH5373A=")</f>
        <v>#VALUE!</v>
      </c>
      <c r="DJ72" t="e">
        <f>AND('STERLING CATALOG - DRY '!H1493,"AAAAAH5373E=")</f>
        <v>#VALUE!</v>
      </c>
      <c r="DK72" t="e">
        <f>AND('STERLING CATALOG - DRY '!I1493,"AAAAAH5373I=")</f>
        <v>#VALUE!</v>
      </c>
      <c r="DL72" t="e">
        <f>AND('STERLING CATALOG - DRY '!J1493,"AAAAAH5373M=")</f>
        <v>#VALUE!</v>
      </c>
      <c r="DM72">
        <f>IF('STERLING CATALOG - DRY '!1494:1494,"AAAAAH5373Q=",0)</f>
        <v>0</v>
      </c>
      <c r="DN72" t="e">
        <f>AND('STERLING CATALOG - DRY '!A1494,"AAAAAH5373U=")</f>
        <v>#VALUE!</v>
      </c>
      <c r="DO72" t="e">
        <f>AND('STERLING CATALOG - DRY '!B1494,"AAAAAH5373Y=")</f>
        <v>#VALUE!</v>
      </c>
      <c r="DP72" t="e">
        <f>AND('STERLING CATALOG - DRY '!C1494,"AAAAAH5373c=")</f>
        <v>#VALUE!</v>
      </c>
      <c r="DQ72" t="e">
        <f>AND('STERLING CATALOG - DRY '!D1494,"AAAAAH5373g=")</f>
        <v>#VALUE!</v>
      </c>
      <c r="DR72" t="e">
        <f>AND('STERLING CATALOG - DRY '!E1494,"AAAAAH5373k=")</f>
        <v>#VALUE!</v>
      </c>
      <c r="DS72" t="e">
        <f>AND('STERLING CATALOG - DRY '!F1494,"AAAAAH5373o=")</f>
        <v>#VALUE!</v>
      </c>
      <c r="DT72" t="e">
        <f>AND('STERLING CATALOG - DRY '!G1494,"AAAAAH5373s=")</f>
        <v>#VALUE!</v>
      </c>
      <c r="DU72" t="e">
        <f>AND('STERLING CATALOG - DRY '!H1494,"AAAAAH5373w=")</f>
        <v>#VALUE!</v>
      </c>
      <c r="DV72" t="e">
        <f>AND('STERLING CATALOG - DRY '!I1494,"AAAAAH53730=")</f>
        <v>#VALUE!</v>
      </c>
      <c r="DW72" t="e">
        <f>AND('STERLING CATALOG - DRY '!J1494,"AAAAAH53734=")</f>
        <v>#VALUE!</v>
      </c>
      <c r="DX72">
        <f>IF('STERLING CATALOG - DRY '!1495:1495,"AAAAAH53738=",0)</f>
        <v>0</v>
      </c>
      <c r="DY72" t="e">
        <f>AND('STERLING CATALOG - DRY '!A1495,"AAAAAH5374A=")</f>
        <v>#VALUE!</v>
      </c>
      <c r="DZ72" t="e">
        <f>AND('STERLING CATALOG - DRY '!B1495,"AAAAAH5374E=")</f>
        <v>#VALUE!</v>
      </c>
      <c r="EA72" t="e">
        <f>AND('STERLING CATALOG - DRY '!C1495,"AAAAAH5374I=")</f>
        <v>#VALUE!</v>
      </c>
      <c r="EB72" t="e">
        <f>AND('STERLING CATALOG - DRY '!D1495,"AAAAAH5374M=")</f>
        <v>#VALUE!</v>
      </c>
      <c r="EC72" t="e">
        <f>AND('STERLING CATALOG - DRY '!E1495,"AAAAAH5374Q=")</f>
        <v>#VALUE!</v>
      </c>
      <c r="ED72" t="e">
        <f>AND('STERLING CATALOG - DRY '!F1495,"AAAAAH5374U=")</f>
        <v>#VALUE!</v>
      </c>
      <c r="EE72" t="e">
        <f>AND('STERLING CATALOG - DRY '!G1495,"AAAAAH5374Y=")</f>
        <v>#VALUE!</v>
      </c>
      <c r="EF72" t="e">
        <f>AND('STERLING CATALOG - DRY '!H1495,"AAAAAH5374c=")</f>
        <v>#VALUE!</v>
      </c>
      <c r="EG72" t="e">
        <f>AND('STERLING CATALOG - DRY '!I1495,"AAAAAH5374g=")</f>
        <v>#VALUE!</v>
      </c>
      <c r="EH72" t="e">
        <f>AND('STERLING CATALOG - DRY '!J1495,"AAAAAH5374k=")</f>
        <v>#VALUE!</v>
      </c>
      <c r="EI72">
        <f>IF('STERLING CATALOG - DRY '!1496:1496,"AAAAAH5374o=",0)</f>
        <v>0</v>
      </c>
      <c r="EJ72" t="e">
        <f>AND('STERLING CATALOG - DRY '!A1496,"AAAAAH5374s=")</f>
        <v>#VALUE!</v>
      </c>
      <c r="EK72" t="e">
        <f>AND('STERLING CATALOG - DRY '!B1496,"AAAAAH5374w=")</f>
        <v>#VALUE!</v>
      </c>
      <c r="EL72" t="e">
        <f>AND('STERLING CATALOG - DRY '!C1496,"AAAAAH53740=")</f>
        <v>#VALUE!</v>
      </c>
      <c r="EM72" t="e">
        <f>AND('STERLING CATALOG - DRY '!D1496,"AAAAAH53744=")</f>
        <v>#VALUE!</v>
      </c>
      <c r="EN72" t="e">
        <f>AND('STERLING CATALOG - DRY '!E1496,"AAAAAH53748=")</f>
        <v>#VALUE!</v>
      </c>
      <c r="EO72" t="e">
        <f>AND('STERLING CATALOG - DRY '!F1496,"AAAAAH5375A=")</f>
        <v>#VALUE!</v>
      </c>
      <c r="EP72" t="e">
        <f>AND('STERLING CATALOG - DRY '!G1496,"AAAAAH5375E=")</f>
        <v>#VALUE!</v>
      </c>
      <c r="EQ72" t="e">
        <f>AND('STERLING CATALOG - DRY '!H1496,"AAAAAH5375I=")</f>
        <v>#VALUE!</v>
      </c>
      <c r="ER72" t="e">
        <f>AND('STERLING CATALOG - DRY '!I1496,"AAAAAH5375M=")</f>
        <v>#VALUE!</v>
      </c>
      <c r="ES72" t="e">
        <f>AND('STERLING CATALOG - DRY '!J1496,"AAAAAH5375Q=")</f>
        <v>#VALUE!</v>
      </c>
      <c r="ET72">
        <f>IF('STERLING CATALOG - DRY '!1497:1497,"AAAAAH5375U=",0)</f>
        <v>0</v>
      </c>
      <c r="EU72" t="e">
        <f>AND('STERLING CATALOG - DRY '!A1497,"AAAAAH5375Y=")</f>
        <v>#VALUE!</v>
      </c>
      <c r="EV72" t="e">
        <f>AND('STERLING CATALOG - DRY '!B1497,"AAAAAH5375c=")</f>
        <v>#VALUE!</v>
      </c>
      <c r="EW72" t="e">
        <f>AND('STERLING CATALOG - DRY '!C1497,"AAAAAH5375g=")</f>
        <v>#VALUE!</v>
      </c>
      <c r="EX72" t="e">
        <f>AND('STERLING CATALOG - DRY '!D1497,"AAAAAH5375k=")</f>
        <v>#VALUE!</v>
      </c>
      <c r="EY72" t="e">
        <f>AND('STERLING CATALOG - DRY '!E1497,"AAAAAH5375o=")</f>
        <v>#VALUE!</v>
      </c>
      <c r="EZ72" t="e">
        <f>AND('STERLING CATALOG - DRY '!F1497,"AAAAAH5375s=")</f>
        <v>#VALUE!</v>
      </c>
      <c r="FA72" t="e">
        <f>AND('STERLING CATALOG - DRY '!G1497,"AAAAAH5375w=")</f>
        <v>#VALUE!</v>
      </c>
      <c r="FB72" t="e">
        <f>AND('STERLING CATALOG - DRY '!H1497,"AAAAAH53750=")</f>
        <v>#VALUE!</v>
      </c>
      <c r="FC72" t="e">
        <f>AND('STERLING CATALOG - DRY '!I1497,"AAAAAH53754=")</f>
        <v>#VALUE!</v>
      </c>
      <c r="FD72" t="e">
        <f>AND('STERLING CATALOG - DRY '!J1497,"AAAAAH53758=")</f>
        <v>#VALUE!</v>
      </c>
      <c r="FE72">
        <f>IF('STERLING CATALOG - DRY '!1498:1498,"AAAAAH5376A=",0)</f>
        <v>0</v>
      </c>
      <c r="FF72" t="e">
        <f>AND('STERLING CATALOG - DRY '!A1498,"AAAAAH5376E=")</f>
        <v>#VALUE!</v>
      </c>
      <c r="FG72" t="e">
        <f>AND('STERLING CATALOG - DRY '!B1498,"AAAAAH5376I=")</f>
        <v>#VALUE!</v>
      </c>
      <c r="FH72" t="e">
        <f>AND('STERLING CATALOG - DRY '!C1498,"AAAAAH5376M=")</f>
        <v>#VALUE!</v>
      </c>
      <c r="FI72" t="e">
        <f>AND('STERLING CATALOG - DRY '!D1498,"AAAAAH5376Q=")</f>
        <v>#VALUE!</v>
      </c>
      <c r="FJ72" t="e">
        <f>AND('STERLING CATALOG - DRY '!E1498,"AAAAAH5376U=")</f>
        <v>#VALUE!</v>
      </c>
      <c r="FK72" t="e">
        <f>AND('STERLING CATALOG - DRY '!F1498,"AAAAAH5376Y=")</f>
        <v>#VALUE!</v>
      </c>
      <c r="FL72" t="e">
        <f>AND('STERLING CATALOG - DRY '!G1498,"AAAAAH5376c=")</f>
        <v>#VALUE!</v>
      </c>
      <c r="FM72" t="e">
        <f>AND('STERLING CATALOG - DRY '!H1498,"AAAAAH5376g=")</f>
        <v>#VALUE!</v>
      </c>
      <c r="FN72" t="e">
        <f>AND('STERLING CATALOG - DRY '!I1498,"AAAAAH5376k=")</f>
        <v>#VALUE!</v>
      </c>
      <c r="FO72" t="e">
        <f>AND('STERLING CATALOG - DRY '!J1498,"AAAAAH5376o=")</f>
        <v>#VALUE!</v>
      </c>
      <c r="FP72">
        <f>IF('STERLING CATALOG - DRY '!1499:1499,"AAAAAH5376s=",0)</f>
        <v>0</v>
      </c>
      <c r="FQ72" t="e">
        <f>AND('STERLING CATALOG - DRY '!A1499,"AAAAAH5376w=")</f>
        <v>#VALUE!</v>
      </c>
      <c r="FR72" t="e">
        <f>AND('STERLING CATALOG - DRY '!B1499,"AAAAAH53760=")</f>
        <v>#VALUE!</v>
      </c>
      <c r="FS72" t="e">
        <f>AND('STERLING CATALOG - DRY '!C1499,"AAAAAH53764=")</f>
        <v>#VALUE!</v>
      </c>
      <c r="FT72" t="e">
        <f>AND('STERLING CATALOG - DRY '!D1499,"AAAAAH53768=")</f>
        <v>#VALUE!</v>
      </c>
      <c r="FU72" t="e">
        <f>AND('STERLING CATALOG - DRY '!E1499,"AAAAAH5377A=")</f>
        <v>#VALUE!</v>
      </c>
      <c r="FV72" t="e">
        <f>AND('STERLING CATALOG - DRY '!F1499,"AAAAAH5377E=")</f>
        <v>#VALUE!</v>
      </c>
      <c r="FW72" t="e">
        <f>AND('STERLING CATALOG - DRY '!G1499,"AAAAAH5377I=")</f>
        <v>#VALUE!</v>
      </c>
      <c r="FX72" t="e">
        <f>AND('STERLING CATALOG - DRY '!H1499,"AAAAAH5377M=")</f>
        <v>#VALUE!</v>
      </c>
      <c r="FY72" t="e">
        <f>AND('STERLING CATALOG - DRY '!I1499,"AAAAAH5377Q=")</f>
        <v>#VALUE!</v>
      </c>
      <c r="FZ72" t="e">
        <f>AND('STERLING CATALOG - DRY '!J1499,"AAAAAH5377U=")</f>
        <v>#VALUE!</v>
      </c>
      <c r="GA72">
        <f>IF('STERLING CATALOG - DRY '!1500:1500,"AAAAAH5377Y=",0)</f>
        <v>0</v>
      </c>
      <c r="GB72" t="e">
        <f>AND('STERLING CATALOG - DRY '!A1500,"AAAAAH5377c=")</f>
        <v>#VALUE!</v>
      </c>
      <c r="GC72" t="e">
        <f>AND('STERLING CATALOG - DRY '!B1500,"AAAAAH5377g=")</f>
        <v>#VALUE!</v>
      </c>
      <c r="GD72" t="e">
        <f>AND('STERLING CATALOG - DRY '!C1500,"AAAAAH5377k=")</f>
        <v>#VALUE!</v>
      </c>
      <c r="GE72" t="e">
        <f>AND('STERLING CATALOG - DRY '!D1500,"AAAAAH5377o=")</f>
        <v>#VALUE!</v>
      </c>
      <c r="GF72" t="e">
        <f>AND('STERLING CATALOG - DRY '!E1500,"AAAAAH5377s=")</f>
        <v>#VALUE!</v>
      </c>
      <c r="GG72" t="e">
        <f>AND('STERLING CATALOG - DRY '!F1500,"AAAAAH5377w=")</f>
        <v>#VALUE!</v>
      </c>
      <c r="GH72" t="e">
        <f>AND('STERLING CATALOG - DRY '!G1500,"AAAAAH53770=")</f>
        <v>#VALUE!</v>
      </c>
      <c r="GI72" t="e">
        <f>AND('STERLING CATALOG - DRY '!H1500,"AAAAAH53774=")</f>
        <v>#VALUE!</v>
      </c>
      <c r="GJ72" t="e">
        <f>AND('STERLING CATALOG - DRY '!I1500,"AAAAAH53778=")</f>
        <v>#VALUE!</v>
      </c>
      <c r="GK72" t="e">
        <f>AND('STERLING CATALOG - DRY '!J1500,"AAAAAH5378A=")</f>
        <v>#VALUE!</v>
      </c>
      <c r="GL72">
        <f>IF('STERLING CATALOG - DRY '!1501:1501,"AAAAAH5378E=",0)</f>
        <v>0</v>
      </c>
      <c r="GM72" t="e">
        <f>AND('STERLING CATALOG - DRY '!A1501,"AAAAAH5378I=")</f>
        <v>#VALUE!</v>
      </c>
      <c r="GN72" t="e">
        <f>AND('STERLING CATALOG - DRY '!B1501,"AAAAAH5378M=")</f>
        <v>#VALUE!</v>
      </c>
      <c r="GO72" t="e">
        <f>AND('STERLING CATALOG - DRY '!C1501,"AAAAAH5378Q=")</f>
        <v>#VALUE!</v>
      </c>
      <c r="GP72" t="e">
        <f>AND('STERLING CATALOG - DRY '!D1501,"AAAAAH5378U=")</f>
        <v>#VALUE!</v>
      </c>
      <c r="GQ72" t="e">
        <f>AND('STERLING CATALOG - DRY '!E1501,"AAAAAH5378Y=")</f>
        <v>#VALUE!</v>
      </c>
      <c r="GR72" t="e">
        <f>AND('STERLING CATALOG - DRY '!F1501,"AAAAAH5378c=")</f>
        <v>#VALUE!</v>
      </c>
      <c r="GS72" t="e">
        <f>AND('STERLING CATALOG - DRY '!G1501,"AAAAAH5378g=")</f>
        <v>#VALUE!</v>
      </c>
      <c r="GT72" t="e">
        <f>AND('STERLING CATALOG - DRY '!H1501,"AAAAAH5378k=")</f>
        <v>#VALUE!</v>
      </c>
      <c r="GU72" t="e">
        <f>AND('STERLING CATALOG - DRY '!I1501,"AAAAAH5378o=")</f>
        <v>#VALUE!</v>
      </c>
      <c r="GV72" t="e">
        <f>AND('STERLING CATALOG - DRY '!J1501,"AAAAAH5378s=")</f>
        <v>#VALUE!</v>
      </c>
      <c r="GW72">
        <f>IF('STERLING CATALOG - DRY '!1502:1502,"AAAAAH5378w=",0)</f>
        <v>0</v>
      </c>
      <c r="GX72" t="e">
        <f>AND('STERLING CATALOG - DRY '!A1502,"AAAAAH53780=")</f>
        <v>#VALUE!</v>
      </c>
      <c r="GY72" t="e">
        <f>AND('STERLING CATALOG - DRY '!B1502,"AAAAAH53784=")</f>
        <v>#VALUE!</v>
      </c>
      <c r="GZ72" t="e">
        <f>AND('STERLING CATALOG - DRY '!C1502,"AAAAAH53788=")</f>
        <v>#VALUE!</v>
      </c>
      <c r="HA72" t="e">
        <f>AND('STERLING CATALOG - DRY '!D1502,"AAAAAH5379A=")</f>
        <v>#VALUE!</v>
      </c>
      <c r="HB72" t="e">
        <f>AND('STERLING CATALOG - DRY '!E1502,"AAAAAH5379E=")</f>
        <v>#VALUE!</v>
      </c>
      <c r="HC72" t="e">
        <f>AND('STERLING CATALOG - DRY '!F1502,"AAAAAH5379I=")</f>
        <v>#VALUE!</v>
      </c>
      <c r="HD72" t="e">
        <f>AND('STERLING CATALOG - DRY '!G1502,"AAAAAH5379M=")</f>
        <v>#VALUE!</v>
      </c>
      <c r="HE72" t="e">
        <f>AND('STERLING CATALOG - DRY '!H1502,"AAAAAH5379Q=")</f>
        <v>#VALUE!</v>
      </c>
      <c r="HF72" t="e">
        <f>AND('STERLING CATALOG - DRY '!I1502,"AAAAAH5379U=")</f>
        <v>#VALUE!</v>
      </c>
      <c r="HG72" t="e">
        <f>AND('STERLING CATALOG - DRY '!J1502,"AAAAAH5379Y=")</f>
        <v>#VALUE!</v>
      </c>
      <c r="HH72">
        <f>IF('STERLING CATALOG - DRY '!1503:1503,"AAAAAH5379c=",0)</f>
        <v>0</v>
      </c>
      <c r="HI72" t="e">
        <f>AND('STERLING CATALOG - DRY '!A1503,"AAAAAH5379g=")</f>
        <v>#VALUE!</v>
      </c>
      <c r="HJ72" t="e">
        <f>AND('STERLING CATALOG - DRY '!B1503,"AAAAAH5379k=")</f>
        <v>#VALUE!</v>
      </c>
      <c r="HK72" t="e">
        <f>AND('STERLING CATALOG - DRY '!C1503,"AAAAAH5379o=")</f>
        <v>#VALUE!</v>
      </c>
      <c r="HL72" t="e">
        <f>AND('STERLING CATALOG - DRY '!D1503,"AAAAAH5379s=")</f>
        <v>#VALUE!</v>
      </c>
      <c r="HM72" t="e">
        <f>AND('STERLING CATALOG - DRY '!E1503,"AAAAAH5379w=")</f>
        <v>#VALUE!</v>
      </c>
      <c r="HN72" t="e">
        <f>AND('STERLING CATALOG - DRY '!F1503,"AAAAAH53790=")</f>
        <v>#VALUE!</v>
      </c>
      <c r="HO72" t="e">
        <f>AND('STERLING CATALOG - DRY '!G1503,"AAAAAH53794=")</f>
        <v>#VALUE!</v>
      </c>
      <c r="HP72" t="e">
        <f>AND('STERLING CATALOG - DRY '!H1503,"AAAAAH53798=")</f>
        <v>#VALUE!</v>
      </c>
      <c r="HQ72" t="e">
        <f>AND('STERLING CATALOG - DRY '!I1503,"AAAAAH537+A=")</f>
        <v>#VALUE!</v>
      </c>
      <c r="HR72" t="e">
        <f>AND('STERLING CATALOG - DRY '!J1503,"AAAAAH537+E=")</f>
        <v>#VALUE!</v>
      </c>
      <c r="HS72">
        <f>IF('STERLING CATALOG - DRY '!1504:1504,"AAAAAH537+I=",0)</f>
        <v>0</v>
      </c>
      <c r="HT72" t="e">
        <f>AND('STERLING CATALOG - DRY '!A1504,"AAAAAH537+M=")</f>
        <v>#VALUE!</v>
      </c>
      <c r="HU72" t="e">
        <f>AND('STERLING CATALOG - DRY '!B1504,"AAAAAH537+Q=")</f>
        <v>#VALUE!</v>
      </c>
      <c r="HV72" t="e">
        <f>AND('STERLING CATALOG - DRY '!C1504,"AAAAAH537+U=")</f>
        <v>#VALUE!</v>
      </c>
      <c r="HW72" t="e">
        <f>AND('STERLING CATALOG - DRY '!D1504,"AAAAAH537+Y=")</f>
        <v>#VALUE!</v>
      </c>
      <c r="HX72" t="e">
        <f>AND('STERLING CATALOG - DRY '!E1504,"AAAAAH537+c=")</f>
        <v>#VALUE!</v>
      </c>
      <c r="HY72" t="e">
        <f>AND('STERLING CATALOG - DRY '!F1504,"AAAAAH537+g=")</f>
        <v>#VALUE!</v>
      </c>
      <c r="HZ72" t="e">
        <f>AND('STERLING CATALOG - DRY '!G1504,"AAAAAH537+k=")</f>
        <v>#VALUE!</v>
      </c>
      <c r="IA72" t="e">
        <f>AND('STERLING CATALOG - DRY '!H1504,"AAAAAH537+o=")</f>
        <v>#VALUE!</v>
      </c>
      <c r="IB72" t="e">
        <f>AND('STERLING CATALOG - DRY '!I1504,"AAAAAH537+s=")</f>
        <v>#VALUE!</v>
      </c>
      <c r="IC72" t="e">
        <f>AND('STERLING CATALOG - DRY '!J1504,"AAAAAH537+w=")</f>
        <v>#VALUE!</v>
      </c>
      <c r="ID72">
        <f>IF('STERLING CATALOG - DRY '!1505:1505,"AAAAAH537+0=",0)</f>
        <v>0</v>
      </c>
      <c r="IE72" t="e">
        <f>AND('STERLING CATALOG - DRY '!A1505,"AAAAAH537+4=")</f>
        <v>#VALUE!</v>
      </c>
      <c r="IF72" t="e">
        <f>AND('STERLING CATALOG - DRY '!B1505,"AAAAAH537+8=")</f>
        <v>#VALUE!</v>
      </c>
      <c r="IG72" t="e">
        <f>AND('STERLING CATALOG - DRY '!C1505,"AAAAAH537/A=")</f>
        <v>#VALUE!</v>
      </c>
      <c r="IH72" t="e">
        <f>AND('STERLING CATALOG - DRY '!D1505,"AAAAAH537/E=")</f>
        <v>#VALUE!</v>
      </c>
      <c r="II72" t="e">
        <f>AND('STERLING CATALOG - DRY '!E1505,"AAAAAH537/I=")</f>
        <v>#VALUE!</v>
      </c>
      <c r="IJ72" t="e">
        <f>AND('STERLING CATALOG - DRY '!F1505,"AAAAAH537/M=")</f>
        <v>#VALUE!</v>
      </c>
      <c r="IK72" t="e">
        <f>AND('STERLING CATALOG - DRY '!G1505,"AAAAAH537/Q=")</f>
        <v>#VALUE!</v>
      </c>
      <c r="IL72" t="e">
        <f>AND('STERLING CATALOG - DRY '!H1505,"AAAAAH537/U=")</f>
        <v>#VALUE!</v>
      </c>
      <c r="IM72" t="e">
        <f>AND('STERLING CATALOG - DRY '!I1505,"AAAAAH537/Y=")</f>
        <v>#VALUE!</v>
      </c>
      <c r="IN72" t="e">
        <f>AND('STERLING CATALOG - DRY '!J1505,"AAAAAH537/c=")</f>
        <v>#VALUE!</v>
      </c>
      <c r="IO72">
        <f>IF('STERLING CATALOG - DRY '!1506:1506,"AAAAAH537/g=",0)</f>
        <v>0</v>
      </c>
      <c r="IP72" t="e">
        <f>AND('STERLING CATALOG - DRY '!A1506,"AAAAAH537/k=")</f>
        <v>#VALUE!</v>
      </c>
      <c r="IQ72" t="e">
        <f>AND('STERLING CATALOG - DRY '!B1506,"AAAAAH537/o=")</f>
        <v>#VALUE!</v>
      </c>
      <c r="IR72" t="e">
        <f>AND('STERLING CATALOG - DRY '!C1506,"AAAAAH537/s=")</f>
        <v>#VALUE!</v>
      </c>
      <c r="IS72" t="e">
        <f>AND('STERLING CATALOG - DRY '!D1506,"AAAAAH537/w=")</f>
        <v>#VALUE!</v>
      </c>
      <c r="IT72" t="e">
        <f>AND('STERLING CATALOG - DRY '!E1506,"AAAAAH537/0=")</f>
        <v>#VALUE!</v>
      </c>
      <c r="IU72" t="e">
        <f>AND('STERLING CATALOG - DRY '!F1506,"AAAAAH537/4=")</f>
        <v>#VALUE!</v>
      </c>
      <c r="IV72" t="e">
        <f>AND('STERLING CATALOG - DRY '!G1506,"AAAAAH537/8=")</f>
        <v>#VALUE!</v>
      </c>
    </row>
    <row r="73" spans="1:256">
      <c r="A73" t="e">
        <f>AND('STERLING CATALOG - DRY '!H1506,"AAAAAHb/9QA=")</f>
        <v>#VALUE!</v>
      </c>
      <c r="B73" t="e">
        <f>AND('STERLING CATALOG - DRY '!I1506,"AAAAAHb/9QE=")</f>
        <v>#VALUE!</v>
      </c>
      <c r="C73" t="e">
        <f>AND('STERLING CATALOG - DRY '!J1506,"AAAAAHb/9QI=")</f>
        <v>#VALUE!</v>
      </c>
      <c r="D73" t="e">
        <f>IF('STERLING CATALOG - DRY '!1507:1507,"AAAAAHb/9QM=",0)</f>
        <v>#VALUE!</v>
      </c>
      <c r="E73" t="e">
        <f>AND('STERLING CATALOG - DRY '!A1507,"AAAAAHb/9QQ=")</f>
        <v>#VALUE!</v>
      </c>
      <c r="F73" t="e">
        <f>AND('STERLING CATALOG - DRY '!B1507,"AAAAAHb/9QU=")</f>
        <v>#VALUE!</v>
      </c>
      <c r="G73" t="e">
        <f>AND('STERLING CATALOG - DRY '!C1507,"AAAAAHb/9QY=")</f>
        <v>#VALUE!</v>
      </c>
      <c r="H73" t="e">
        <f>AND('STERLING CATALOG - DRY '!D1507,"AAAAAHb/9Qc=")</f>
        <v>#VALUE!</v>
      </c>
      <c r="I73" t="e">
        <f>AND('STERLING CATALOG - DRY '!E1507,"AAAAAHb/9Qg=")</f>
        <v>#VALUE!</v>
      </c>
      <c r="J73" t="e">
        <f>AND('STERLING CATALOG - DRY '!F1507,"AAAAAHb/9Qk=")</f>
        <v>#VALUE!</v>
      </c>
      <c r="K73" t="e">
        <f>AND('STERLING CATALOG - DRY '!G1507,"AAAAAHb/9Qo=")</f>
        <v>#VALUE!</v>
      </c>
      <c r="L73" t="e">
        <f>AND('STERLING CATALOG - DRY '!H1507,"AAAAAHb/9Qs=")</f>
        <v>#VALUE!</v>
      </c>
      <c r="M73" t="e">
        <f>AND('STERLING CATALOG - DRY '!I1507,"AAAAAHb/9Qw=")</f>
        <v>#VALUE!</v>
      </c>
      <c r="N73" t="e">
        <f>AND('STERLING CATALOG - DRY '!J1507,"AAAAAHb/9Q0=")</f>
        <v>#VALUE!</v>
      </c>
      <c r="O73">
        <f>IF('STERLING CATALOG - DRY '!1508:1508,"AAAAAHb/9Q4=",0)</f>
        <v>0</v>
      </c>
      <c r="P73" t="e">
        <f>AND('STERLING CATALOG - DRY '!A1508,"AAAAAHb/9Q8=")</f>
        <v>#VALUE!</v>
      </c>
      <c r="Q73" t="e">
        <f>AND('STERLING CATALOG - DRY '!B1508,"AAAAAHb/9RA=")</f>
        <v>#VALUE!</v>
      </c>
      <c r="R73" t="e">
        <f>AND('STERLING CATALOG - DRY '!C1508,"AAAAAHb/9RE=")</f>
        <v>#VALUE!</v>
      </c>
      <c r="S73" t="e">
        <f>AND('STERLING CATALOG - DRY '!D1508,"AAAAAHb/9RI=")</f>
        <v>#VALUE!</v>
      </c>
      <c r="T73" t="e">
        <f>AND('STERLING CATALOG - DRY '!E1508,"AAAAAHb/9RM=")</f>
        <v>#VALUE!</v>
      </c>
      <c r="U73" t="e">
        <f>AND('STERLING CATALOG - DRY '!F1508,"AAAAAHb/9RQ=")</f>
        <v>#VALUE!</v>
      </c>
      <c r="V73" t="e">
        <f>AND('STERLING CATALOG - DRY '!G1508,"AAAAAHb/9RU=")</f>
        <v>#VALUE!</v>
      </c>
      <c r="W73" t="e">
        <f>AND('STERLING CATALOG - DRY '!H1508,"AAAAAHb/9RY=")</f>
        <v>#VALUE!</v>
      </c>
      <c r="X73" t="e">
        <f>AND('STERLING CATALOG - DRY '!I1508,"AAAAAHb/9Rc=")</f>
        <v>#VALUE!</v>
      </c>
      <c r="Y73" t="e">
        <f>AND('STERLING CATALOG - DRY '!J1508,"AAAAAHb/9Rg=")</f>
        <v>#VALUE!</v>
      </c>
      <c r="Z73">
        <f>IF('STERLING CATALOG - DRY '!1509:1509,"AAAAAHb/9Rk=",0)</f>
        <v>0</v>
      </c>
      <c r="AA73" t="e">
        <f>AND('STERLING CATALOG - DRY '!A1509,"AAAAAHb/9Ro=")</f>
        <v>#VALUE!</v>
      </c>
      <c r="AB73" t="e">
        <f>AND('STERLING CATALOG - DRY '!B1509,"AAAAAHb/9Rs=")</f>
        <v>#VALUE!</v>
      </c>
      <c r="AC73" t="e">
        <f>AND('STERLING CATALOG - DRY '!C1509,"AAAAAHb/9Rw=")</f>
        <v>#VALUE!</v>
      </c>
      <c r="AD73" t="e">
        <f>AND('STERLING CATALOG - DRY '!D1509,"AAAAAHb/9R0=")</f>
        <v>#VALUE!</v>
      </c>
      <c r="AE73" t="e">
        <f>AND('STERLING CATALOG - DRY '!E1509,"AAAAAHb/9R4=")</f>
        <v>#VALUE!</v>
      </c>
      <c r="AF73" t="e">
        <f>AND('STERLING CATALOG - DRY '!F1509,"AAAAAHb/9R8=")</f>
        <v>#VALUE!</v>
      </c>
      <c r="AG73" t="e">
        <f>AND('STERLING CATALOG - DRY '!G1509,"AAAAAHb/9SA=")</f>
        <v>#VALUE!</v>
      </c>
      <c r="AH73" t="e">
        <f>AND('STERLING CATALOG - DRY '!H1509,"AAAAAHb/9SE=")</f>
        <v>#VALUE!</v>
      </c>
      <c r="AI73" t="e">
        <f>AND('STERLING CATALOG - DRY '!I1509,"AAAAAHb/9SI=")</f>
        <v>#VALUE!</v>
      </c>
      <c r="AJ73" t="e">
        <f>AND('STERLING CATALOG - DRY '!J1509,"AAAAAHb/9SM=")</f>
        <v>#VALUE!</v>
      </c>
      <c r="AK73">
        <f>IF('STERLING CATALOG - DRY '!1510:1510,"AAAAAHb/9SQ=",0)</f>
        <v>0</v>
      </c>
      <c r="AL73" t="e">
        <f>AND('STERLING CATALOG - DRY '!A1510,"AAAAAHb/9SU=")</f>
        <v>#VALUE!</v>
      </c>
      <c r="AM73" t="e">
        <f>AND('STERLING CATALOG - DRY '!B1510,"AAAAAHb/9SY=")</f>
        <v>#VALUE!</v>
      </c>
      <c r="AN73" t="e">
        <f>AND('STERLING CATALOG - DRY '!C1510,"AAAAAHb/9Sc=")</f>
        <v>#VALUE!</v>
      </c>
      <c r="AO73" t="e">
        <f>AND('STERLING CATALOG - DRY '!D1510,"AAAAAHb/9Sg=")</f>
        <v>#VALUE!</v>
      </c>
      <c r="AP73" t="e">
        <f>AND('STERLING CATALOG - DRY '!E1510,"AAAAAHb/9Sk=")</f>
        <v>#VALUE!</v>
      </c>
      <c r="AQ73" t="e">
        <f>AND('STERLING CATALOG - DRY '!F1510,"AAAAAHb/9So=")</f>
        <v>#VALUE!</v>
      </c>
      <c r="AR73" t="e">
        <f>AND('STERLING CATALOG - DRY '!G1510,"AAAAAHb/9Ss=")</f>
        <v>#VALUE!</v>
      </c>
      <c r="AS73" t="e">
        <f>AND('STERLING CATALOG - DRY '!H1510,"AAAAAHb/9Sw=")</f>
        <v>#VALUE!</v>
      </c>
      <c r="AT73" t="e">
        <f>AND('STERLING CATALOG - DRY '!I1510,"AAAAAHb/9S0=")</f>
        <v>#VALUE!</v>
      </c>
      <c r="AU73" t="e">
        <f>AND('STERLING CATALOG - DRY '!J1510,"AAAAAHb/9S4=")</f>
        <v>#VALUE!</v>
      </c>
      <c r="AV73">
        <f>IF('STERLING CATALOG - DRY '!1511:1511,"AAAAAHb/9S8=",0)</f>
        <v>0</v>
      </c>
      <c r="AW73" t="e">
        <f>AND('STERLING CATALOG - DRY '!A1511,"AAAAAHb/9TA=")</f>
        <v>#VALUE!</v>
      </c>
      <c r="AX73" t="e">
        <f>AND('STERLING CATALOG - DRY '!B1511,"AAAAAHb/9TE=")</f>
        <v>#VALUE!</v>
      </c>
      <c r="AY73" t="e">
        <f>AND('STERLING CATALOG - DRY '!C1511,"AAAAAHb/9TI=")</f>
        <v>#VALUE!</v>
      </c>
      <c r="AZ73" t="e">
        <f>AND('STERLING CATALOG - DRY '!D1511,"AAAAAHb/9TM=")</f>
        <v>#VALUE!</v>
      </c>
      <c r="BA73" t="e">
        <f>AND('STERLING CATALOG - DRY '!E1511,"AAAAAHb/9TQ=")</f>
        <v>#VALUE!</v>
      </c>
      <c r="BB73" t="e">
        <f>AND('STERLING CATALOG - DRY '!F1511,"AAAAAHb/9TU=")</f>
        <v>#VALUE!</v>
      </c>
      <c r="BC73" t="e">
        <f>AND('STERLING CATALOG - DRY '!G1511,"AAAAAHb/9TY=")</f>
        <v>#VALUE!</v>
      </c>
      <c r="BD73" t="e">
        <f>AND('STERLING CATALOG - DRY '!H1511,"AAAAAHb/9Tc=")</f>
        <v>#VALUE!</v>
      </c>
      <c r="BE73" t="e">
        <f>AND('STERLING CATALOG - DRY '!I1511,"AAAAAHb/9Tg=")</f>
        <v>#VALUE!</v>
      </c>
      <c r="BF73" t="e">
        <f>AND('STERLING CATALOG - DRY '!J1511,"AAAAAHb/9Tk=")</f>
        <v>#VALUE!</v>
      </c>
      <c r="BG73">
        <f>IF('STERLING CATALOG - DRY '!1512:1512,"AAAAAHb/9To=",0)</f>
        <v>0</v>
      </c>
      <c r="BH73" t="e">
        <f>AND('STERLING CATALOG - DRY '!A1512,"AAAAAHb/9Ts=")</f>
        <v>#VALUE!</v>
      </c>
      <c r="BI73" t="e">
        <f>AND('STERLING CATALOG - DRY '!B1512,"AAAAAHb/9Tw=")</f>
        <v>#VALUE!</v>
      </c>
      <c r="BJ73" t="e">
        <f>AND('STERLING CATALOG - DRY '!C1512,"AAAAAHb/9T0=")</f>
        <v>#VALUE!</v>
      </c>
      <c r="BK73" t="e">
        <f>AND('STERLING CATALOG - DRY '!D1512,"AAAAAHb/9T4=")</f>
        <v>#VALUE!</v>
      </c>
      <c r="BL73" t="e">
        <f>AND('STERLING CATALOG - DRY '!E1512,"AAAAAHb/9T8=")</f>
        <v>#VALUE!</v>
      </c>
      <c r="BM73" t="e">
        <f>AND('STERLING CATALOG - DRY '!F1512,"AAAAAHb/9UA=")</f>
        <v>#VALUE!</v>
      </c>
      <c r="BN73" t="e">
        <f>AND('STERLING CATALOG - DRY '!G1512,"AAAAAHb/9UE=")</f>
        <v>#VALUE!</v>
      </c>
      <c r="BO73" t="e">
        <f>AND('STERLING CATALOG - DRY '!H1512,"AAAAAHb/9UI=")</f>
        <v>#VALUE!</v>
      </c>
      <c r="BP73" t="e">
        <f>AND('STERLING CATALOG - DRY '!I1512,"AAAAAHb/9UM=")</f>
        <v>#VALUE!</v>
      </c>
      <c r="BQ73" t="e">
        <f>AND('STERLING CATALOG - DRY '!J1512,"AAAAAHb/9UQ=")</f>
        <v>#VALUE!</v>
      </c>
      <c r="BR73">
        <f>IF('STERLING CATALOG - DRY '!1513:1513,"AAAAAHb/9UU=",0)</f>
        <v>0</v>
      </c>
      <c r="BS73" t="e">
        <f>AND('STERLING CATALOG - DRY '!A1513,"AAAAAHb/9UY=")</f>
        <v>#VALUE!</v>
      </c>
      <c r="BT73" t="e">
        <f>AND('STERLING CATALOG - DRY '!B1513,"AAAAAHb/9Uc=")</f>
        <v>#VALUE!</v>
      </c>
      <c r="BU73" t="e">
        <f>AND('STERLING CATALOG - DRY '!C1513,"AAAAAHb/9Ug=")</f>
        <v>#VALUE!</v>
      </c>
      <c r="BV73" t="e">
        <f>AND('STERLING CATALOG - DRY '!D1513,"AAAAAHb/9Uk=")</f>
        <v>#VALUE!</v>
      </c>
      <c r="BW73" t="e">
        <f>AND('STERLING CATALOG - DRY '!E1513,"AAAAAHb/9Uo=")</f>
        <v>#VALUE!</v>
      </c>
      <c r="BX73" t="e">
        <f>AND('STERLING CATALOG - DRY '!F1513,"AAAAAHb/9Us=")</f>
        <v>#VALUE!</v>
      </c>
      <c r="BY73" t="e">
        <f>AND('STERLING CATALOG - DRY '!G1513,"AAAAAHb/9Uw=")</f>
        <v>#VALUE!</v>
      </c>
      <c r="BZ73" t="e">
        <f>AND('STERLING CATALOG - DRY '!H1513,"AAAAAHb/9U0=")</f>
        <v>#VALUE!</v>
      </c>
      <c r="CA73" t="e">
        <f>AND('STERLING CATALOG - DRY '!I1513,"AAAAAHb/9U4=")</f>
        <v>#VALUE!</v>
      </c>
      <c r="CB73" t="e">
        <f>AND('STERLING CATALOG - DRY '!J1513,"AAAAAHb/9U8=")</f>
        <v>#VALUE!</v>
      </c>
      <c r="CC73">
        <f>IF('STERLING CATALOG - DRY '!1514:1514,"AAAAAHb/9VA=",0)</f>
        <v>0</v>
      </c>
      <c r="CD73" t="e">
        <f>AND('STERLING CATALOG - DRY '!A1514,"AAAAAHb/9VE=")</f>
        <v>#VALUE!</v>
      </c>
      <c r="CE73" t="e">
        <f>AND('STERLING CATALOG - DRY '!B1514,"AAAAAHb/9VI=")</f>
        <v>#VALUE!</v>
      </c>
      <c r="CF73" t="e">
        <f>AND('STERLING CATALOG - DRY '!C1514,"AAAAAHb/9VM=")</f>
        <v>#VALUE!</v>
      </c>
      <c r="CG73" t="e">
        <f>AND('STERLING CATALOG - DRY '!D1514,"AAAAAHb/9VQ=")</f>
        <v>#VALUE!</v>
      </c>
      <c r="CH73" t="e">
        <f>AND('STERLING CATALOG - DRY '!E1514,"AAAAAHb/9VU=")</f>
        <v>#VALUE!</v>
      </c>
      <c r="CI73" t="e">
        <f>AND('STERLING CATALOG - DRY '!F1514,"AAAAAHb/9VY=")</f>
        <v>#VALUE!</v>
      </c>
      <c r="CJ73" t="e">
        <f>AND('STERLING CATALOG - DRY '!G1514,"AAAAAHb/9Vc=")</f>
        <v>#VALUE!</v>
      </c>
      <c r="CK73" t="e">
        <f>AND('STERLING CATALOG - DRY '!H1514,"AAAAAHb/9Vg=")</f>
        <v>#VALUE!</v>
      </c>
      <c r="CL73" t="e">
        <f>AND('STERLING CATALOG - DRY '!I1514,"AAAAAHb/9Vk=")</f>
        <v>#VALUE!</v>
      </c>
      <c r="CM73" t="e">
        <f>AND('STERLING CATALOG - DRY '!J1514,"AAAAAHb/9Vo=")</f>
        <v>#VALUE!</v>
      </c>
      <c r="CN73">
        <f>IF('STERLING CATALOG - DRY '!1515:1515,"AAAAAHb/9Vs=",0)</f>
        <v>0</v>
      </c>
      <c r="CO73" t="e">
        <f>AND('STERLING CATALOG - DRY '!A1515,"AAAAAHb/9Vw=")</f>
        <v>#VALUE!</v>
      </c>
      <c r="CP73" t="e">
        <f>AND('STERLING CATALOG - DRY '!B1515,"AAAAAHb/9V0=")</f>
        <v>#VALUE!</v>
      </c>
      <c r="CQ73" t="e">
        <f>AND('STERLING CATALOG - DRY '!C1515,"AAAAAHb/9V4=")</f>
        <v>#VALUE!</v>
      </c>
      <c r="CR73" t="e">
        <f>AND('STERLING CATALOG - DRY '!D1515,"AAAAAHb/9V8=")</f>
        <v>#VALUE!</v>
      </c>
      <c r="CS73" t="e">
        <f>AND('STERLING CATALOG - DRY '!E1515,"AAAAAHb/9WA=")</f>
        <v>#VALUE!</v>
      </c>
      <c r="CT73" t="e">
        <f>AND('STERLING CATALOG - DRY '!F1515,"AAAAAHb/9WE=")</f>
        <v>#VALUE!</v>
      </c>
      <c r="CU73" t="e">
        <f>AND('STERLING CATALOG - DRY '!G1515,"AAAAAHb/9WI=")</f>
        <v>#VALUE!</v>
      </c>
      <c r="CV73" t="e">
        <f>AND('STERLING CATALOG - DRY '!H1515,"AAAAAHb/9WM=")</f>
        <v>#VALUE!</v>
      </c>
      <c r="CW73" t="e">
        <f>AND('STERLING CATALOG - DRY '!I1515,"AAAAAHb/9WQ=")</f>
        <v>#VALUE!</v>
      </c>
      <c r="CX73" t="e">
        <f>AND('STERLING CATALOG - DRY '!J1515,"AAAAAHb/9WU=")</f>
        <v>#VALUE!</v>
      </c>
      <c r="CY73">
        <f>IF('STERLING CATALOG - DRY '!1516:1516,"AAAAAHb/9WY=",0)</f>
        <v>0</v>
      </c>
      <c r="CZ73" t="e">
        <f>AND('STERLING CATALOG - DRY '!A1516,"AAAAAHb/9Wc=")</f>
        <v>#VALUE!</v>
      </c>
      <c r="DA73" t="e">
        <f>AND('STERLING CATALOG - DRY '!B1516,"AAAAAHb/9Wg=")</f>
        <v>#VALUE!</v>
      </c>
      <c r="DB73" t="e">
        <f>AND('STERLING CATALOG - DRY '!C1516,"AAAAAHb/9Wk=")</f>
        <v>#VALUE!</v>
      </c>
      <c r="DC73" t="e">
        <f>AND('STERLING CATALOG - DRY '!D1516,"AAAAAHb/9Wo=")</f>
        <v>#VALUE!</v>
      </c>
      <c r="DD73" t="e">
        <f>AND('STERLING CATALOG - DRY '!E1516,"AAAAAHb/9Ws=")</f>
        <v>#VALUE!</v>
      </c>
      <c r="DE73" t="e">
        <f>AND('STERLING CATALOG - DRY '!F1516,"AAAAAHb/9Ww=")</f>
        <v>#VALUE!</v>
      </c>
      <c r="DF73" t="e">
        <f>AND('STERLING CATALOG - DRY '!G1516,"AAAAAHb/9W0=")</f>
        <v>#VALUE!</v>
      </c>
      <c r="DG73" t="e">
        <f>AND('STERLING CATALOG - DRY '!H1516,"AAAAAHb/9W4=")</f>
        <v>#VALUE!</v>
      </c>
      <c r="DH73" t="e">
        <f>AND('STERLING CATALOG - DRY '!I1516,"AAAAAHb/9W8=")</f>
        <v>#VALUE!</v>
      </c>
      <c r="DI73" t="e">
        <f>AND('STERLING CATALOG - DRY '!J1516,"AAAAAHb/9XA=")</f>
        <v>#VALUE!</v>
      </c>
      <c r="DJ73">
        <f>IF('STERLING CATALOG - DRY '!1517:1517,"AAAAAHb/9XE=",0)</f>
        <v>0</v>
      </c>
      <c r="DK73" t="e">
        <f>AND('STERLING CATALOG - DRY '!A1517,"AAAAAHb/9XI=")</f>
        <v>#VALUE!</v>
      </c>
      <c r="DL73" t="e">
        <f>AND('STERLING CATALOG - DRY '!B1517,"AAAAAHb/9XM=")</f>
        <v>#VALUE!</v>
      </c>
      <c r="DM73" t="e">
        <f>AND('STERLING CATALOG - DRY '!C1517,"AAAAAHb/9XQ=")</f>
        <v>#VALUE!</v>
      </c>
      <c r="DN73" t="e">
        <f>AND('STERLING CATALOG - DRY '!D1517,"AAAAAHb/9XU=")</f>
        <v>#VALUE!</v>
      </c>
      <c r="DO73" t="e">
        <f>AND('STERLING CATALOG - DRY '!E1517,"AAAAAHb/9XY=")</f>
        <v>#VALUE!</v>
      </c>
      <c r="DP73" t="e">
        <f>AND('STERLING CATALOG - DRY '!F1517,"AAAAAHb/9Xc=")</f>
        <v>#VALUE!</v>
      </c>
      <c r="DQ73" t="e">
        <f>AND('STERLING CATALOG - DRY '!G1517,"AAAAAHb/9Xg=")</f>
        <v>#VALUE!</v>
      </c>
      <c r="DR73" t="e">
        <f>AND('STERLING CATALOG - DRY '!H1517,"AAAAAHb/9Xk=")</f>
        <v>#VALUE!</v>
      </c>
      <c r="DS73" t="e">
        <f>AND('STERLING CATALOG - DRY '!I1517,"AAAAAHb/9Xo=")</f>
        <v>#VALUE!</v>
      </c>
      <c r="DT73" t="e">
        <f>AND('STERLING CATALOG - DRY '!J1517,"AAAAAHb/9Xs=")</f>
        <v>#VALUE!</v>
      </c>
      <c r="DU73">
        <f>IF('STERLING CATALOG - DRY '!1518:1518,"AAAAAHb/9Xw=",0)</f>
        <v>0</v>
      </c>
      <c r="DV73" t="e">
        <f>AND('STERLING CATALOG - DRY '!A1518,"AAAAAHb/9X0=")</f>
        <v>#VALUE!</v>
      </c>
      <c r="DW73" t="e">
        <f>AND('STERLING CATALOG - DRY '!B1518,"AAAAAHb/9X4=")</f>
        <v>#VALUE!</v>
      </c>
      <c r="DX73" t="e">
        <f>AND('STERLING CATALOG - DRY '!C1518,"AAAAAHb/9X8=")</f>
        <v>#VALUE!</v>
      </c>
      <c r="DY73" t="e">
        <f>AND('STERLING CATALOG - DRY '!D1518,"AAAAAHb/9YA=")</f>
        <v>#VALUE!</v>
      </c>
      <c r="DZ73" t="e">
        <f>AND('STERLING CATALOG - DRY '!E1518,"AAAAAHb/9YE=")</f>
        <v>#VALUE!</v>
      </c>
      <c r="EA73" t="e">
        <f>AND('STERLING CATALOG - DRY '!F1518,"AAAAAHb/9YI=")</f>
        <v>#VALUE!</v>
      </c>
      <c r="EB73" t="e">
        <f>AND('STERLING CATALOG - DRY '!G1518,"AAAAAHb/9YM=")</f>
        <v>#VALUE!</v>
      </c>
      <c r="EC73" t="e">
        <f>AND('STERLING CATALOG - DRY '!H1518,"AAAAAHb/9YQ=")</f>
        <v>#VALUE!</v>
      </c>
      <c r="ED73" t="e">
        <f>AND('STERLING CATALOG - DRY '!I1518,"AAAAAHb/9YU=")</f>
        <v>#VALUE!</v>
      </c>
      <c r="EE73" t="e">
        <f>AND('STERLING CATALOG - DRY '!J1518,"AAAAAHb/9YY=")</f>
        <v>#VALUE!</v>
      </c>
      <c r="EF73">
        <f>IF('STERLING CATALOG - DRY '!1519:1519,"AAAAAHb/9Yc=",0)</f>
        <v>0</v>
      </c>
      <c r="EG73" t="e">
        <f>AND('STERLING CATALOG - DRY '!A1519,"AAAAAHb/9Yg=")</f>
        <v>#VALUE!</v>
      </c>
      <c r="EH73" t="e">
        <f>AND('STERLING CATALOG - DRY '!B1519,"AAAAAHb/9Yk=")</f>
        <v>#VALUE!</v>
      </c>
      <c r="EI73" t="e">
        <f>AND('STERLING CATALOG - DRY '!C1519,"AAAAAHb/9Yo=")</f>
        <v>#VALUE!</v>
      </c>
      <c r="EJ73" t="e">
        <f>AND('STERLING CATALOG - DRY '!D1519,"AAAAAHb/9Ys=")</f>
        <v>#VALUE!</v>
      </c>
      <c r="EK73" t="e">
        <f>AND('STERLING CATALOG - DRY '!E1519,"AAAAAHb/9Yw=")</f>
        <v>#VALUE!</v>
      </c>
      <c r="EL73" t="e">
        <f>AND('STERLING CATALOG - DRY '!F1519,"AAAAAHb/9Y0=")</f>
        <v>#VALUE!</v>
      </c>
      <c r="EM73" t="e">
        <f>AND('STERLING CATALOG - DRY '!G1519,"AAAAAHb/9Y4=")</f>
        <v>#VALUE!</v>
      </c>
      <c r="EN73" t="e">
        <f>AND('STERLING CATALOG - DRY '!H1519,"AAAAAHb/9Y8=")</f>
        <v>#VALUE!</v>
      </c>
      <c r="EO73" t="e">
        <f>AND('STERLING CATALOG - DRY '!I1519,"AAAAAHb/9ZA=")</f>
        <v>#VALUE!</v>
      </c>
      <c r="EP73" t="e">
        <f>AND('STERLING CATALOG - DRY '!J1519,"AAAAAHb/9ZE=")</f>
        <v>#VALUE!</v>
      </c>
      <c r="EQ73">
        <f>IF('STERLING CATALOG - DRY '!1520:1520,"AAAAAHb/9ZI=",0)</f>
        <v>0</v>
      </c>
      <c r="ER73" t="e">
        <f>AND('STERLING CATALOG - DRY '!A1520,"AAAAAHb/9ZM=")</f>
        <v>#VALUE!</v>
      </c>
      <c r="ES73" t="e">
        <f>AND('STERLING CATALOG - DRY '!B1520,"AAAAAHb/9ZQ=")</f>
        <v>#VALUE!</v>
      </c>
      <c r="ET73" t="e">
        <f>AND('STERLING CATALOG - DRY '!C1520,"AAAAAHb/9ZU=")</f>
        <v>#VALUE!</v>
      </c>
      <c r="EU73" t="e">
        <f>AND('STERLING CATALOG - DRY '!D1520,"AAAAAHb/9ZY=")</f>
        <v>#VALUE!</v>
      </c>
      <c r="EV73" t="e">
        <f>AND('STERLING CATALOG - DRY '!E1520,"AAAAAHb/9Zc=")</f>
        <v>#VALUE!</v>
      </c>
      <c r="EW73" t="e">
        <f>AND('STERLING CATALOG - DRY '!F1520,"AAAAAHb/9Zg=")</f>
        <v>#VALUE!</v>
      </c>
      <c r="EX73" t="e">
        <f>AND('STERLING CATALOG - DRY '!G1520,"AAAAAHb/9Zk=")</f>
        <v>#VALUE!</v>
      </c>
      <c r="EY73" t="e">
        <f>AND('STERLING CATALOG - DRY '!H1520,"AAAAAHb/9Zo=")</f>
        <v>#VALUE!</v>
      </c>
      <c r="EZ73" t="e">
        <f>AND('STERLING CATALOG - DRY '!I1520,"AAAAAHb/9Zs=")</f>
        <v>#VALUE!</v>
      </c>
      <c r="FA73" t="e">
        <f>AND('STERLING CATALOG - DRY '!J1520,"AAAAAHb/9Zw=")</f>
        <v>#VALUE!</v>
      </c>
      <c r="FB73">
        <f>IF('STERLING CATALOG - DRY '!1521:1521,"AAAAAHb/9Z0=",0)</f>
        <v>0</v>
      </c>
      <c r="FC73" t="e">
        <f>AND('STERLING CATALOG - DRY '!A1521,"AAAAAHb/9Z4=")</f>
        <v>#VALUE!</v>
      </c>
      <c r="FD73" t="e">
        <f>AND('STERLING CATALOG - DRY '!B1521,"AAAAAHb/9Z8=")</f>
        <v>#VALUE!</v>
      </c>
      <c r="FE73" t="e">
        <f>AND('STERLING CATALOG - DRY '!C1521,"AAAAAHb/9aA=")</f>
        <v>#VALUE!</v>
      </c>
      <c r="FF73" t="e">
        <f>AND('STERLING CATALOG - DRY '!D1521,"AAAAAHb/9aE=")</f>
        <v>#VALUE!</v>
      </c>
      <c r="FG73" t="e">
        <f>AND('STERLING CATALOG - DRY '!E1521,"AAAAAHb/9aI=")</f>
        <v>#VALUE!</v>
      </c>
      <c r="FH73" t="e">
        <f>AND('STERLING CATALOG - DRY '!F1521,"AAAAAHb/9aM=")</f>
        <v>#VALUE!</v>
      </c>
      <c r="FI73" t="e">
        <f>AND('STERLING CATALOG - DRY '!G1521,"AAAAAHb/9aQ=")</f>
        <v>#VALUE!</v>
      </c>
      <c r="FJ73" t="e">
        <f>AND('STERLING CATALOG - DRY '!H1521,"AAAAAHb/9aU=")</f>
        <v>#VALUE!</v>
      </c>
      <c r="FK73" t="e">
        <f>AND('STERLING CATALOG - DRY '!I1521,"AAAAAHb/9aY=")</f>
        <v>#VALUE!</v>
      </c>
      <c r="FL73" t="e">
        <f>AND('STERLING CATALOG - DRY '!J1521,"AAAAAHb/9ac=")</f>
        <v>#VALUE!</v>
      </c>
      <c r="FM73">
        <f>IF('STERLING CATALOG - DRY '!1522:1522,"AAAAAHb/9ag=",0)</f>
        <v>0</v>
      </c>
      <c r="FN73" t="e">
        <f>AND('STERLING CATALOG - DRY '!A1522,"AAAAAHb/9ak=")</f>
        <v>#VALUE!</v>
      </c>
      <c r="FO73" t="e">
        <f>AND('STERLING CATALOG - DRY '!B1522,"AAAAAHb/9ao=")</f>
        <v>#VALUE!</v>
      </c>
      <c r="FP73" t="e">
        <f>AND('STERLING CATALOG - DRY '!C1522,"AAAAAHb/9as=")</f>
        <v>#VALUE!</v>
      </c>
      <c r="FQ73" t="e">
        <f>AND('STERLING CATALOG - DRY '!D1522,"AAAAAHb/9aw=")</f>
        <v>#VALUE!</v>
      </c>
      <c r="FR73" t="e">
        <f>AND('STERLING CATALOG - DRY '!E1522,"AAAAAHb/9a0=")</f>
        <v>#VALUE!</v>
      </c>
      <c r="FS73" t="e">
        <f>AND('STERLING CATALOG - DRY '!F1522,"AAAAAHb/9a4=")</f>
        <v>#VALUE!</v>
      </c>
      <c r="FT73" t="e">
        <f>AND('STERLING CATALOG - DRY '!G1522,"AAAAAHb/9a8=")</f>
        <v>#VALUE!</v>
      </c>
      <c r="FU73" t="e">
        <f>AND('STERLING CATALOG - DRY '!H1522,"AAAAAHb/9bA=")</f>
        <v>#VALUE!</v>
      </c>
      <c r="FV73" t="e">
        <f>AND('STERLING CATALOG - DRY '!I1522,"AAAAAHb/9bE=")</f>
        <v>#VALUE!</v>
      </c>
      <c r="FW73" t="e">
        <f>AND('STERLING CATALOG - DRY '!J1522,"AAAAAHb/9bI=")</f>
        <v>#VALUE!</v>
      </c>
      <c r="FX73">
        <f>IF('STERLING CATALOG - DRY '!1523:1523,"AAAAAHb/9bM=",0)</f>
        <v>0</v>
      </c>
      <c r="FY73" t="e">
        <f>AND('STERLING CATALOG - DRY '!A1523,"AAAAAHb/9bQ=")</f>
        <v>#VALUE!</v>
      </c>
      <c r="FZ73" t="e">
        <f>AND('STERLING CATALOG - DRY '!B1523,"AAAAAHb/9bU=")</f>
        <v>#VALUE!</v>
      </c>
      <c r="GA73" t="e">
        <f>AND('STERLING CATALOG - DRY '!C1523,"AAAAAHb/9bY=")</f>
        <v>#VALUE!</v>
      </c>
      <c r="GB73" t="e">
        <f>AND('STERLING CATALOG - DRY '!D1523,"AAAAAHb/9bc=")</f>
        <v>#VALUE!</v>
      </c>
      <c r="GC73" t="e">
        <f>AND('STERLING CATALOG - DRY '!E1523,"AAAAAHb/9bg=")</f>
        <v>#VALUE!</v>
      </c>
      <c r="GD73" t="e">
        <f>AND('STERLING CATALOG - DRY '!F1523,"AAAAAHb/9bk=")</f>
        <v>#VALUE!</v>
      </c>
      <c r="GE73" t="e">
        <f>AND('STERLING CATALOG - DRY '!G1523,"AAAAAHb/9bo=")</f>
        <v>#VALUE!</v>
      </c>
      <c r="GF73" t="e">
        <f>AND('STERLING CATALOG - DRY '!H1523,"AAAAAHb/9bs=")</f>
        <v>#VALUE!</v>
      </c>
      <c r="GG73" t="e">
        <f>AND('STERLING CATALOG - DRY '!I1523,"AAAAAHb/9bw=")</f>
        <v>#VALUE!</v>
      </c>
      <c r="GH73" t="e">
        <f>AND('STERLING CATALOG - DRY '!J1523,"AAAAAHb/9b0=")</f>
        <v>#VALUE!</v>
      </c>
      <c r="GI73">
        <f>IF('STERLING CATALOG - DRY '!1524:1524,"AAAAAHb/9b4=",0)</f>
        <v>0</v>
      </c>
      <c r="GJ73" t="e">
        <f>AND('STERLING CATALOG - DRY '!A1524,"AAAAAHb/9b8=")</f>
        <v>#VALUE!</v>
      </c>
      <c r="GK73" t="e">
        <f>AND('STERLING CATALOG - DRY '!B1524,"AAAAAHb/9cA=")</f>
        <v>#VALUE!</v>
      </c>
      <c r="GL73" t="e">
        <f>AND('STERLING CATALOG - DRY '!C1524,"AAAAAHb/9cE=")</f>
        <v>#VALUE!</v>
      </c>
      <c r="GM73" t="e">
        <f>AND('STERLING CATALOG - DRY '!D1524,"AAAAAHb/9cI=")</f>
        <v>#VALUE!</v>
      </c>
      <c r="GN73" t="e">
        <f>AND('STERLING CATALOG - DRY '!E1524,"AAAAAHb/9cM=")</f>
        <v>#VALUE!</v>
      </c>
      <c r="GO73" t="e">
        <f>AND('STERLING CATALOG - DRY '!F1524,"AAAAAHb/9cQ=")</f>
        <v>#VALUE!</v>
      </c>
      <c r="GP73" t="e">
        <f>AND('STERLING CATALOG - DRY '!G1524,"AAAAAHb/9cU=")</f>
        <v>#VALUE!</v>
      </c>
      <c r="GQ73" t="e">
        <f>AND('STERLING CATALOG - DRY '!H1524,"AAAAAHb/9cY=")</f>
        <v>#VALUE!</v>
      </c>
      <c r="GR73" t="e">
        <f>AND('STERLING CATALOG - DRY '!I1524,"AAAAAHb/9cc=")</f>
        <v>#VALUE!</v>
      </c>
      <c r="GS73" t="e">
        <f>AND('STERLING CATALOG - DRY '!J1524,"AAAAAHb/9cg=")</f>
        <v>#VALUE!</v>
      </c>
      <c r="GT73">
        <f>IF('STERLING CATALOG - DRY '!1525:1525,"AAAAAHb/9ck=",0)</f>
        <v>0</v>
      </c>
      <c r="GU73" t="e">
        <f>AND('STERLING CATALOG - DRY '!A1525,"AAAAAHb/9co=")</f>
        <v>#VALUE!</v>
      </c>
      <c r="GV73" t="e">
        <f>AND('STERLING CATALOG - DRY '!B1525,"AAAAAHb/9cs=")</f>
        <v>#VALUE!</v>
      </c>
      <c r="GW73" t="e">
        <f>AND('STERLING CATALOG - DRY '!C1525,"AAAAAHb/9cw=")</f>
        <v>#VALUE!</v>
      </c>
      <c r="GX73" t="e">
        <f>AND('STERLING CATALOG - DRY '!D1525,"AAAAAHb/9c0=")</f>
        <v>#VALUE!</v>
      </c>
      <c r="GY73" t="e">
        <f>AND('STERLING CATALOG - DRY '!E1525,"AAAAAHb/9c4=")</f>
        <v>#VALUE!</v>
      </c>
      <c r="GZ73" t="e">
        <f>AND('STERLING CATALOG - DRY '!F1525,"AAAAAHb/9c8=")</f>
        <v>#VALUE!</v>
      </c>
      <c r="HA73" t="e">
        <f>AND('STERLING CATALOG - DRY '!G1525,"AAAAAHb/9dA=")</f>
        <v>#VALUE!</v>
      </c>
      <c r="HB73" t="e">
        <f>AND('STERLING CATALOG - DRY '!H1525,"AAAAAHb/9dE=")</f>
        <v>#VALUE!</v>
      </c>
      <c r="HC73" t="e">
        <f>AND('STERLING CATALOG - DRY '!I1525,"AAAAAHb/9dI=")</f>
        <v>#VALUE!</v>
      </c>
      <c r="HD73" t="e">
        <f>AND('STERLING CATALOG - DRY '!J1525,"AAAAAHb/9dM=")</f>
        <v>#VALUE!</v>
      </c>
      <c r="HE73">
        <f>IF('STERLING CATALOG - DRY '!1526:1526,"AAAAAHb/9dQ=",0)</f>
        <v>0</v>
      </c>
      <c r="HF73" t="e">
        <f>AND('STERLING CATALOG - DRY '!A1526,"AAAAAHb/9dU=")</f>
        <v>#VALUE!</v>
      </c>
      <c r="HG73" t="e">
        <f>AND('STERLING CATALOG - DRY '!B1526,"AAAAAHb/9dY=")</f>
        <v>#VALUE!</v>
      </c>
      <c r="HH73" t="e">
        <f>AND('STERLING CATALOG - DRY '!C1526,"AAAAAHb/9dc=")</f>
        <v>#VALUE!</v>
      </c>
      <c r="HI73" t="e">
        <f>AND('STERLING CATALOG - DRY '!D1526,"AAAAAHb/9dg=")</f>
        <v>#VALUE!</v>
      </c>
      <c r="HJ73" t="e">
        <f>AND('STERLING CATALOG - DRY '!E1526,"AAAAAHb/9dk=")</f>
        <v>#VALUE!</v>
      </c>
      <c r="HK73" t="e">
        <f>AND('STERLING CATALOG - DRY '!F1526,"AAAAAHb/9do=")</f>
        <v>#VALUE!</v>
      </c>
      <c r="HL73" t="e">
        <f>AND('STERLING CATALOG - DRY '!G1526,"AAAAAHb/9ds=")</f>
        <v>#VALUE!</v>
      </c>
      <c r="HM73" t="e">
        <f>AND('STERLING CATALOG - DRY '!H1526,"AAAAAHb/9dw=")</f>
        <v>#VALUE!</v>
      </c>
      <c r="HN73" t="e">
        <f>AND('STERLING CATALOG - DRY '!I1526,"AAAAAHb/9d0=")</f>
        <v>#VALUE!</v>
      </c>
      <c r="HO73" t="e">
        <f>AND('STERLING CATALOG - DRY '!J1526,"AAAAAHb/9d4=")</f>
        <v>#VALUE!</v>
      </c>
      <c r="HP73">
        <f>IF('STERLING CATALOG - DRY '!1527:1527,"AAAAAHb/9d8=",0)</f>
        <v>0</v>
      </c>
      <c r="HQ73" t="e">
        <f>AND('STERLING CATALOG - DRY '!A1527,"AAAAAHb/9eA=")</f>
        <v>#VALUE!</v>
      </c>
      <c r="HR73" t="e">
        <f>AND('STERLING CATALOG - DRY '!B1527,"AAAAAHb/9eE=")</f>
        <v>#VALUE!</v>
      </c>
      <c r="HS73" t="e">
        <f>AND('STERLING CATALOG - DRY '!C1527,"AAAAAHb/9eI=")</f>
        <v>#VALUE!</v>
      </c>
      <c r="HT73" t="e">
        <f>AND('STERLING CATALOG - DRY '!D1527,"AAAAAHb/9eM=")</f>
        <v>#VALUE!</v>
      </c>
      <c r="HU73" t="e">
        <f>AND('STERLING CATALOG - DRY '!E1527,"AAAAAHb/9eQ=")</f>
        <v>#VALUE!</v>
      </c>
      <c r="HV73" t="e">
        <f>AND('STERLING CATALOG - DRY '!F1527,"AAAAAHb/9eU=")</f>
        <v>#VALUE!</v>
      </c>
      <c r="HW73" t="e">
        <f>AND('STERLING CATALOG - DRY '!G1527,"AAAAAHb/9eY=")</f>
        <v>#VALUE!</v>
      </c>
      <c r="HX73" t="e">
        <f>AND('STERLING CATALOG - DRY '!H1527,"AAAAAHb/9ec=")</f>
        <v>#VALUE!</v>
      </c>
      <c r="HY73" t="e">
        <f>AND('STERLING CATALOG - DRY '!I1527,"AAAAAHb/9eg=")</f>
        <v>#VALUE!</v>
      </c>
      <c r="HZ73" t="e">
        <f>AND('STERLING CATALOG - DRY '!J1527,"AAAAAHb/9ek=")</f>
        <v>#VALUE!</v>
      </c>
      <c r="IA73">
        <f>IF('STERLING CATALOG - DRY '!1528:1528,"AAAAAHb/9eo=",0)</f>
        <v>0</v>
      </c>
      <c r="IB73" t="e">
        <f>AND('STERLING CATALOG - DRY '!A1528,"AAAAAHb/9es=")</f>
        <v>#VALUE!</v>
      </c>
      <c r="IC73" t="e">
        <f>AND('STERLING CATALOG - DRY '!B1528,"AAAAAHb/9ew=")</f>
        <v>#VALUE!</v>
      </c>
      <c r="ID73" t="e">
        <f>AND('STERLING CATALOG - DRY '!C1528,"AAAAAHb/9e0=")</f>
        <v>#VALUE!</v>
      </c>
      <c r="IE73" t="e">
        <f>AND('STERLING CATALOG - DRY '!D1528,"AAAAAHb/9e4=")</f>
        <v>#VALUE!</v>
      </c>
      <c r="IF73" t="e">
        <f>AND('STERLING CATALOG - DRY '!E1528,"AAAAAHb/9e8=")</f>
        <v>#VALUE!</v>
      </c>
      <c r="IG73" t="e">
        <f>AND('STERLING CATALOG - DRY '!F1528,"AAAAAHb/9fA=")</f>
        <v>#VALUE!</v>
      </c>
      <c r="IH73" t="e">
        <f>AND('STERLING CATALOG - DRY '!G1528,"AAAAAHb/9fE=")</f>
        <v>#VALUE!</v>
      </c>
      <c r="II73" t="e">
        <f>AND('STERLING CATALOG - DRY '!H1528,"AAAAAHb/9fI=")</f>
        <v>#VALUE!</v>
      </c>
      <c r="IJ73" t="e">
        <f>AND('STERLING CATALOG - DRY '!I1528,"AAAAAHb/9fM=")</f>
        <v>#VALUE!</v>
      </c>
      <c r="IK73" t="e">
        <f>AND('STERLING CATALOG - DRY '!J1528,"AAAAAHb/9fQ=")</f>
        <v>#VALUE!</v>
      </c>
      <c r="IL73">
        <f>IF('STERLING CATALOG - DRY '!1529:1529,"AAAAAHb/9fU=",0)</f>
        <v>0</v>
      </c>
      <c r="IM73" t="e">
        <f>AND('STERLING CATALOG - DRY '!A1529,"AAAAAHb/9fY=")</f>
        <v>#VALUE!</v>
      </c>
      <c r="IN73" t="e">
        <f>AND('STERLING CATALOG - DRY '!B1529,"AAAAAHb/9fc=")</f>
        <v>#VALUE!</v>
      </c>
      <c r="IO73" t="e">
        <f>AND('STERLING CATALOG - DRY '!C1529,"AAAAAHb/9fg=")</f>
        <v>#VALUE!</v>
      </c>
      <c r="IP73" t="e">
        <f>AND('STERLING CATALOG - DRY '!D1529,"AAAAAHb/9fk=")</f>
        <v>#VALUE!</v>
      </c>
      <c r="IQ73" t="e">
        <f>AND('STERLING CATALOG - DRY '!E1529,"AAAAAHb/9fo=")</f>
        <v>#VALUE!</v>
      </c>
      <c r="IR73" t="e">
        <f>AND('STERLING CATALOG - DRY '!F1529,"AAAAAHb/9fs=")</f>
        <v>#VALUE!</v>
      </c>
      <c r="IS73" t="e">
        <f>AND('STERLING CATALOG - DRY '!G1529,"AAAAAHb/9fw=")</f>
        <v>#VALUE!</v>
      </c>
      <c r="IT73" t="e">
        <f>AND('STERLING CATALOG - DRY '!H1529,"AAAAAHb/9f0=")</f>
        <v>#VALUE!</v>
      </c>
      <c r="IU73" t="e">
        <f>AND('STERLING CATALOG - DRY '!I1529,"AAAAAHb/9f4=")</f>
        <v>#VALUE!</v>
      </c>
      <c r="IV73" t="e">
        <f>AND('STERLING CATALOG - DRY '!J1529,"AAAAAHb/9f8=")</f>
        <v>#VALUE!</v>
      </c>
    </row>
    <row r="74" spans="1:256">
      <c r="A74" t="str">
        <f>IF('STERLING CATALOG - DRY '!1530:1530,"AAAAAFR//wA=",0)</f>
        <v>AAAAAFR//wA=</v>
      </c>
      <c r="B74" t="e">
        <f>AND('STERLING CATALOG - DRY '!A1530,"AAAAAFR//wE=")</f>
        <v>#VALUE!</v>
      </c>
      <c r="C74" t="e">
        <f>AND('STERLING CATALOG - DRY '!B1530,"AAAAAFR//wI=")</f>
        <v>#VALUE!</v>
      </c>
      <c r="D74" t="e">
        <f>AND('STERLING CATALOG - DRY '!C1530,"AAAAAFR//wM=")</f>
        <v>#VALUE!</v>
      </c>
      <c r="E74" t="e">
        <f>AND('STERLING CATALOG - DRY '!D1530,"AAAAAFR//wQ=")</f>
        <v>#VALUE!</v>
      </c>
      <c r="F74" t="e">
        <f>AND('STERLING CATALOG - DRY '!E1530,"AAAAAFR//wU=")</f>
        <v>#VALUE!</v>
      </c>
      <c r="G74" t="e">
        <f>AND('STERLING CATALOG - DRY '!F1530,"AAAAAFR//wY=")</f>
        <v>#VALUE!</v>
      </c>
      <c r="H74" t="e">
        <f>AND('STERLING CATALOG - DRY '!G1530,"AAAAAFR//wc=")</f>
        <v>#VALUE!</v>
      </c>
      <c r="I74" t="e">
        <f>AND('STERLING CATALOG - DRY '!H1530,"AAAAAFR//wg=")</f>
        <v>#VALUE!</v>
      </c>
      <c r="J74" t="e">
        <f>AND('STERLING CATALOG - DRY '!I1530,"AAAAAFR//wk=")</f>
        <v>#VALUE!</v>
      </c>
      <c r="K74" t="e">
        <f>AND('STERLING CATALOG - DRY '!J1530,"AAAAAFR//wo=")</f>
        <v>#VALUE!</v>
      </c>
      <c r="L74">
        <f>IF('STERLING CATALOG - DRY '!1531:1531,"AAAAAFR//ws=",0)</f>
        <v>0</v>
      </c>
      <c r="M74" t="e">
        <f>AND('STERLING CATALOG - DRY '!A1531,"AAAAAFR//ww=")</f>
        <v>#VALUE!</v>
      </c>
      <c r="N74" t="e">
        <f>AND('STERLING CATALOG - DRY '!B1531,"AAAAAFR//w0=")</f>
        <v>#VALUE!</v>
      </c>
      <c r="O74" t="e">
        <f>AND('STERLING CATALOG - DRY '!C1531,"AAAAAFR//w4=")</f>
        <v>#VALUE!</v>
      </c>
      <c r="P74" t="e">
        <f>AND('STERLING CATALOG - DRY '!D1531,"AAAAAFR//w8=")</f>
        <v>#VALUE!</v>
      </c>
      <c r="Q74" t="e">
        <f>AND('STERLING CATALOG - DRY '!E1531,"AAAAAFR//xA=")</f>
        <v>#VALUE!</v>
      </c>
      <c r="R74" t="e">
        <f>AND('STERLING CATALOG - DRY '!F1531,"AAAAAFR//xE=")</f>
        <v>#VALUE!</v>
      </c>
      <c r="S74" t="e">
        <f>AND('STERLING CATALOG - DRY '!G1531,"AAAAAFR//xI=")</f>
        <v>#VALUE!</v>
      </c>
      <c r="T74" t="e">
        <f>AND('STERLING CATALOG - DRY '!H1531,"AAAAAFR//xM=")</f>
        <v>#VALUE!</v>
      </c>
      <c r="U74" t="e">
        <f>AND('STERLING CATALOG - DRY '!I1531,"AAAAAFR//xQ=")</f>
        <v>#VALUE!</v>
      </c>
      <c r="V74" t="e">
        <f>AND('STERLING CATALOG - DRY '!J1531,"AAAAAFR//xU=")</f>
        <v>#VALUE!</v>
      </c>
      <c r="W74">
        <f>IF('STERLING CATALOG - DRY '!1532:1532,"AAAAAFR//xY=",0)</f>
        <v>0</v>
      </c>
      <c r="X74" t="e">
        <f>AND('STERLING CATALOG - DRY '!A1532,"AAAAAFR//xc=")</f>
        <v>#VALUE!</v>
      </c>
      <c r="Y74" t="e">
        <f>AND('STERLING CATALOG - DRY '!B1532,"AAAAAFR//xg=")</f>
        <v>#VALUE!</v>
      </c>
      <c r="Z74" t="e">
        <f>AND('STERLING CATALOG - DRY '!C1532,"AAAAAFR//xk=")</f>
        <v>#VALUE!</v>
      </c>
      <c r="AA74" t="e">
        <f>AND('STERLING CATALOG - DRY '!D1532,"AAAAAFR//xo=")</f>
        <v>#VALUE!</v>
      </c>
      <c r="AB74" t="e">
        <f>AND('STERLING CATALOG - DRY '!E1532,"AAAAAFR//xs=")</f>
        <v>#VALUE!</v>
      </c>
      <c r="AC74" t="e">
        <f>AND('STERLING CATALOG - DRY '!F1532,"AAAAAFR//xw=")</f>
        <v>#VALUE!</v>
      </c>
      <c r="AD74" t="e">
        <f>AND('STERLING CATALOG - DRY '!G1532,"AAAAAFR//x0=")</f>
        <v>#VALUE!</v>
      </c>
      <c r="AE74" t="e">
        <f>AND('STERLING CATALOG - DRY '!H1532,"AAAAAFR//x4=")</f>
        <v>#VALUE!</v>
      </c>
      <c r="AF74" t="e">
        <f>AND('STERLING CATALOG - DRY '!I1532,"AAAAAFR//x8=")</f>
        <v>#VALUE!</v>
      </c>
      <c r="AG74" t="e">
        <f>AND('STERLING CATALOG - DRY '!J1532,"AAAAAFR//yA=")</f>
        <v>#VALUE!</v>
      </c>
      <c r="AH74">
        <f>IF('STERLING CATALOG - DRY '!1533:1533,"AAAAAFR//yE=",0)</f>
        <v>0</v>
      </c>
      <c r="AI74" t="e">
        <f>AND('STERLING CATALOG - DRY '!A1533,"AAAAAFR//yI=")</f>
        <v>#VALUE!</v>
      </c>
      <c r="AJ74" t="e">
        <f>AND('STERLING CATALOG - DRY '!B1533,"AAAAAFR//yM=")</f>
        <v>#VALUE!</v>
      </c>
      <c r="AK74" t="e">
        <f>AND('STERLING CATALOG - DRY '!C1533,"AAAAAFR//yQ=")</f>
        <v>#VALUE!</v>
      </c>
      <c r="AL74" t="e">
        <f>AND('STERLING CATALOG - DRY '!D1533,"AAAAAFR//yU=")</f>
        <v>#VALUE!</v>
      </c>
      <c r="AM74" t="e">
        <f>AND('STERLING CATALOG - DRY '!E1533,"AAAAAFR//yY=")</f>
        <v>#VALUE!</v>
      </c>
      <c r="AN74" t="e">
        <f>AND('STERLING CATALOG - DRY '!F1533,"AAAAAFR//yc=")</f>
        <v>#VALUE!</v>
      </c>
      <c r="AO74" t="e">
        <f>AND('STERLING CATALOG - DRY '!G1533,"AAAAAFR//yg=")</f>
        <v>#VALUE!</v>
      </c>
      <c r="AP74" t="e">
        <f>AND('STERLING CATALOG - DRY '!H1533,"AAAAAFR//yk=")</f>
        <v>#VALUE!</v>
      </c>
      <c r="AQ74" t="e">
        <f>AND('STERLING CATALOG - DRY '!I1533,"AAAAAFR//yo=")</f>
        <v>#VALUE!</v>
      </c>
      <c r="AR74" t="e">
        <f>AND('STERLING CATALOG - DRY '!J1533,"AAAAAFR//ys=")</f>
        <v>#VALUE!</v>
      </c>
      <c r="AS74">
        <f>IF('STERLING CATALOG - DRY '!1534:1534,"AAAAAFR//yw=",0)</f>
        <v>0</v>
      </c>
      <c r="AT74" t="e">
        <f>AND('STERLING CATALOG - DRY '!A1534,"AAAAAFR//y0=")</f>
        <v>#VALUE!</v>
      </c>
      <c r="AU74" t="e">
        <f>AND('STERLING CATALOG - DRY '!B1534,"AAAAAFR//y4=")</f>
        <v>#VALUE!</v>
      </c>
      <c r="AV74" t="e">
        <f>AND('STERLING CATALOG - DRY '!C1534,"AAAAAFR//y8=")</f>
        <v>#VALUE!</v>
      </c>
      <c r="AW74" t="e">
        <f>AND('STERLING CATALOG - DRY '!D1534,"AAAAAFR//zA=")</f>
        <v>#VALUE!</v>
      </c>
      <c r="AX74" t="e">
        <f>AND('STERLING CATALOG - DRY '!E1534,"AAAAAFR//zE=")</f>
        <v>#VALUE!</v>
      </c>
      <c r="AY74" t="e">
        <f>AND('STERLING CATALOG - DRY '!F1534,"AAAAAFR//zI=")</f>
        <v>#VALUE!</v>
      </c>
      <c r="AZ74" t="e">
        <f>AND('STERLING CATALOG - DRY '!G1534,"AAAAAFR//zM=")</f>
        <v>#VALUE!</v>
      </c>
      <c r="BA74" t="e">
        <f>AND('STERLING CATALOG - DRY '!H1534,"AAAAAFR//zQ=")</f>
        <v>#VALUE!</v>
      </c>
      <c r="BB74" t="e">
        <f>AND('STERLING CATALOG - DRY '!I1534,"AAAAAFR//zU=")</f>
        <v>#VALUE!</v>
      </c>
      <c r="BC74" t="e">
        <f>AND('STERLING CATALOG - DRY '!J1534,"AAAAAFR//zY=")</f>
        <v>#VALUE!</v>
      </c>
      <c r="BD74">
        <f>IF('STERLING CATALOG - DRY '!1535:1535,"AAAAAFR//zc=",0)</f>
        <v>0</v>
      </c>
      <c r="BE74" t="e">
        <f>AND('STERLING CATALOG - DRY '!A1535,"AAAAAFR//zg=")</f>
        <v>#VALUE!</v>
      </c>
      <c r="BF74" t="e">
        <f>AND('STERLING CATALOG - DRY '!B1535,"AAAAAFR//zk=")</f>
        <v>#VALUE!</v>
      </c>
      <c r="BG74" t="e">
        <f>AND('STERLING CATALOG - DRY '!C1535,"AAAAAFR//zo=")</f>
        <v>#VALUE!</v>
      </c>
      <c r="BH74" t="e">
        <f>AND('STERLING CATALOG - DRY '!D1535,"AAAAAFR//zs=")</f>
        <v>#VALUE!</v>
      </c>
      <c r="BI74" t="e">
        <f>AND('STERLING CATALOG - DRY '!E1535,"AAAAAFR//zw=")</f>
        <v>#VALUE!</v>
      </c>
      <c r="BJ74" t="e">
        <f>AND('STERLING CATALOG - DRY '!F1535,"AAAAAFR//z0=")</f>
        <v>#VALUE!</v>
      </c>
      <c r="BK74" t="e">
        <f>AND('STERLING CATALOG - DRY '!G1535,"AAAAAFR//z4=")</f>
        <v>#VALUE!</v>
      </c>
      <c r="BL74" t="e">
        <f>AND('STERLING CATALOG - DRY '!H1535,"AAAAAFR//z8=")</f>
        <v>#VALUE!</v>
      </c>
      <c r="BM74" t="e">
        <f>AND('STERLING CATALOG - DRY '!I1535,"AAAAAFR//0A=")</f>
        <v>#VALUE!</v>
      </c>
      <c r="BN74" t="e">
        <f>AND('STERLING CATALOG - DRY '!J1535,"AAAAAFR//0E=")</f>
        <v>#VALUE!</v>
      </c>
      <c r="BO74">
        <f>IF('STERLING CATALOG - DRY '!1536:1536,"AAAAAFR//0I=",0)</f>
        <v>0</v>
      </c>
      <c r="BP74" t="e">
        <f>AND('STERLING CATALOG - DRY '!A1536,"AAAAAFR//0M=")</f>
        <v>#VALUE!</v>
      </c>
      <c r="BQ74" t="e">
        <f>AND('STERLING CATALOG - DRY '!B1536,"AAAAAFR//0Q=")</f>
        <v>#VALUE!</v>
      </c>
      <c r="BR74" t="e">
        <f>AND('STERLING CATALOG - DRY '!C1536,"AAAAAFR//0U=")</f>
        <v>#VALUE!</v>
      </c>
      <c r="BS74" t="e">
        <f>AND('STERLING CATALOG - DRY '!D1536,"AAAAAFR//0Y=")</f>
        <v>#VALUE!</v>
      </c>
      <c r="BT74" t="e">
        <f>AND('STERLING CATALOG - DRY '!E1536,"AAAAAFR//0c=")</f>
        <v>#VALUE!</v>
      </c>
      <c r="BU74" t="e">
        <f>AND('STERLING CATALOG - DRY '!F1536,"AAAAAFR//0g=")</f>
        <v>#VALUE!</v>
      </c>
      <c r="BV74" t="e">
        <f>AND('STERLING CATALOG - DRY '!G1536,"AAAAAFR//0k=")</f>
        <v>#VALUE!</v>
      </c>
      <c r="BW74" t="e">
        <f>AND('STERLING CATALOG - DRY '!H1536,"AAAAAFR//0o=")</f>
        <v>#VALUE!</v>
      </c>
      <c r="BX74" t="e">
        <f>AND('STERLING CATALOG - DRY '!I1536,"AAAAAFR//0s=")</f>
        <v>#VALUE!</v>
      </c>
      <c r="BY74" t="e">
        <f>AND('STERLING CATALOG - DRY '!J1536,"AAAAAFR//0w=")</f>
        <v>#VALUE!</v>
      </c>
      <c r="BZ74">
        <f>IF('STERLING CATALOG - DRY '!1537:1537,"AAAAAFR//00=",0)</f>
        <v>0</v>
      </c>
      <c r="CA74" t="e">
        <f>AND('STERLING CATALOG - DRY '!A1537,"AAAAAFR//04=")</f>
        <v>#VALUE!</v>
      </c>
      <c r="CB74" t="e">
        <f>AND('STERLING CATALOG - DRY '!B1537,"AAAAAFR//08=")</f>
        <v>#VALUE!</v>
      </c>
      <c r="CC74" t="e">
        <f>AND('STERLING CATALOG - DRY '!C1537,"AAAAAFR//1A=")</f>
        <v>#VALUE!</v>
      </c>
      <c r="CD74" t="e">
        <f>AND('STERLING CATALOG - DRY '!D1537,"AAAAAFR//1E=")</f>
        <v>#VALUE!</v>
      </c>
      <c r="CE74" t="e">
        <f>AND('STERLING CATALOG - DRY '!E1537,"AAAAAFR//1I=")</f>
        <v>#VALUE!</v>
      </c>
      <c r="CF74" t="e">
        <f>AND('STERLING CATALOG - DRY '!F1537,"AAAAAFR//1M=")</f>
        <v>#VALUE!</v>
      </c>
      <c r="CG74" t="e">
        <f>AND('STERLING CATALOG - DRY '!G1537,"AAAAAFR//1Q=")</f>
        <v>#VALUE!</v>
      </c>
      <c r="CH74" t="e">
        <f>AND('STERLING CATALOG - DRY '!H1537,"AAAAAFR//1U=")</f>
        <v>#VALUE!</v>
      </c>
      <c r="CI74" t="e">
        <f>AND('STERLING CATALOG - DRY '!I1537,"AAAAAFR//1Y=")</f>
        <v>#VALUE!</v>
      </c>
      <c r="CJ74" t="e">
        <f>AND('STERLING CATALOG - DRY '!J1537,"AAAAAFR//1c=")</f>
        <v>#VALUE!</v>
      </c>
      <c r="CK74">
        <f>IF('STERLING CATALOG - DRY '!1538:1538,"AAAAAFR//1g=",0)</f>
        <v>0</v>
      </c>
      <c r="CL74" t="e">
        <f>AND('STERLING CATALOG - DRY '!A1538,"AAAAAFR//1k=")</f>
        <v>#VALUE!</v>
      </c>
      <c r="CM74" t="e">
        <f>AND('STERLING CATALOG - DRY '!B1538,"AAAAAFR//1o=")</f>
        <v>#VALUE!</v>
      </c>
      <c r="CN74" t="e">
        <f>AND('STERLING CATALOG - DRY '!C1538,"AAAAAFR//1s=")</f>
        <v>#VALUE!</v>
      </c>
      <c r="CO74" t="e">
        <f>AND('STERLING CATALOG - DRY '!D1538,"AAAAAFR//1w=")</f>
        <v>#VALUE!</v>
      </c>
      <c r="CP74" t="e">
        <f>AND('STERLING CATALOG - DRY '!E1538,"AAAAAFR//10=")</f>
        <v>#VALUE!</v>
      </c>
      <c r="CQ74" t="e">
        <f>AND('STERLING CATALOG - DRY '!F1538,"AAAAAFR//14=")</f>
        <v>#VALUE!</v>
      </c>
      <c r="CR74" t="e">
        <f>AND('STERLING CATALOG - DRY '!G1538,"AAAAAFR//18=")</f>
        <v>#VALUE!</v>
      </c>
      <c r="CS74" t="e">
        <f>AND('STERLING CATALOG - DRY '!H1538,"AAAAAFR//2A=")</f>
        <v>#VALUE!</v>
      </c>
      <c r="CT74" t="e">
        <f>AND('STERLING CATALOG - DRY '!I1538,"AAAAAFR//2E=")</f>
        <v>#VALUE!</v>
      </c>
      <c r="CU74" t="e">
        <f>AND('STERLING CATALOG - DRY '!J1538,"AAAAAFR//2I=")</f>
        <v>#VALUE!</v>
      </c>
      <c r="CV74">
        <f>IF('STERLING CATALOG - DRY '!1539:1539,"AAAAAFR//2M=",0)</f>
        <v>0</v>
      </c>
      <c r="CW74" t="e">
        <f>AND('STERLING CATALOG - DRY '!A1539,"AAAAAFR//2Q=")</f>
        <v>#VALUE!</v>
      </c>
      <c r="CX74" t="e">
        <f>AND('STERLING CATALOG - DRY '!B1539,"AAAAAFR//2U=")</f>
        <v>#VALUE!</v>
      </c>
      <c r="CY74" t="e">
        <f>AND('STERLING CATALOG - DRY '!C1539,"AAAAAFR//2Y=")</f>
        <v>#VALUE!</v>
      </c>
      <c r="CZ74" t="e">
        <f>AND('STERLING CATALOG - DRY '!D1539,"AAAAAFR//2c=")</f>
        <v>#VALUE!</v>
      </c>
      <c r="DA74" t="e">
        <f>AND('STERLING CATALOG - DRY '!E1539,"AAAAAFR//2g=")</f>
        <v>#VALUE!</v>
      </c>
      <c r="DB74" t="e">
        <f>AND('STERLING CATALOG - DRY '!F1539,"AAAAAFR//2k=")</f>
        <v>#VALUE!</v>
      </c>
      <c r="DC74" t="e">
        <f>AND('STERLING CATALOG - DRY '!G1539,"AAAAAFR//2o=")</f>
        <v>#VALUE!</v>
      </c>
      <c r="DD74" t="e">
        <f>AND('STERLING CATALOG - DRY '!H1539,"AAAAAFR//2s=")</f>
        <v>#VALUE!</v>
      </c>
      <c r="DE74" t="e">
        <f>AND('STERLING CATALOG - DRY '!I1539,"AAAAAFR//2w=")</f>
        <v>#VALUE!</v>
      </c>
      <c r="DF74" t="e">
        <f>AND('STERLING CATALOG - DRY '!J1539,"AAAAAFR//20=")</f>
        <v>#VALUE!</v>
      </c>
      <c r="DG74">
        <f>IF('STERLING CATALOG - DRY '!1540:1540,"AAAAAFR//24=",0)</f>
        <v>0</v>
      </c>
      <c r="DH74" t="e">
        <f>AND('STERLING CATALOG - DRY '!A1540,"AAAAAFR//28=")</f>
        <v>#VALUE!</v>
      </c>
      <c r="DI74" t="e">
        <f>AND('STERLING CATALOG - DRY '!B1540,"AAAAAFR//3A=")</f>
        <v>#VALUE!</v>
      </c>
      <c r="DJ74" t="e">
        <f>AND('STERLING CATALOG - DRY '!C1540,"AAAAAFR//3E=")</f>
        <v>#VALUE!</v>
      </c>
      <c r="DK74" t="e">
        <f>AND('STERLING CATALOG - DRY '!D1540,"AAAAAFR//3I=")</f>
        <v>#VALUE!</v>
      </c>
      <c r="DL74" t="e">
        <f>AND('STERLING CATALOG - DRY '!E1540,"AAAAAFR//3M=")</f>
        <v>#VALUE!</v>
      </c>
      <c r="DM74" t="e">
        <f>AND('STERLING CATALOG - DRY '!F1540,"AAAAAFR//3Q=")</f>
        <v>#VALUE!</v>
      </c>
      <c r="DN74" t="e">
        <f>AND('STERLING CATALOG - DRY '!G1540,"AAAAAFR//3U=")</f>
        <v>#VALUE!</v>
      </c>
      <c r="DO74" t="e">
        <f>AND('STERLING CATALOG - DRY '!H1540,"AAAAAFR//3Y=")</f>
        <v>#VALUE!</v>
      </c>
      <c r="DP74" t="e">
        <f>AND('STERLING CATALOG - DRY '!I1540,"AAAAAFR//3c=")</f>
        <v>#VALUE!</v>
      </c>
      <c r="DQ74" t="e">
        <f>AND('STERLING CATALOG - DRY '!J1540,"AAAAAFR//3g=")</f>
        <v>#VALUE!</v>
      </c>
      <c r="DR74">
        <f>IF('STERLING CATALOG - DRY '!1541:1541,"AAAAAFR//3k=",0)</f>
        <v>0</v>
      </c>
      <c r="DS74" t="e">
        <f>AND('STERLING CATALOG - DRY '!A1541,"AAAAAFR//3o=")</f>
        <v>#VALUE!</v>
      </c>
      <c r="DT74" t="e">
        <f>AND('STERLING CATALOG - DRY '!B1541,"AAAAAFR//3s=")</f>
        <v>#VALUE!</v>
      </c>
      <c r="DU74" t="e">
        <f>AND('STERLING CATALOG - DRY '!C1541,"AAAAAFR//3w=")</f>
        <v>#VALUE!</v>
      </c>
      <c r="DV74" t="e">
        <f>AND('STERLING CATALOG - DRY '!D1541,"AAAAAFR//30=")</f>
        <v>#VALUE!</v>
      </c>
      <c r="DW74" t="e">
        <f>AND('STERLING CATALOG - DRY '!E1541,"AAAAAFR//34=")</f>
        <v>#VALUE!</v>
      </c>
      <c r="DX74" t="e">
        <f>AND('STERLING CATALOG - DRY '!F1541,"AAAAAFR//38=")</f>
        <v>#VALUE!</v>
      </c>
      <c r="DY74" t="e">
        <f>AND('STERLING CATALOG - DRY '!G1541,"AAAAAFR//4A=")</f>
        <v>#VALUE!</v>
      </c>
      <c r="DZ74" t="e">
        <f>AND('STERLING CATALOG - DRY '!H1541,"AAAAAFR//4E=")</f>
        <v>#VALUE!</v>
      </c>
      <c r="EA74" t="e">
        <f>AND('STERLING CATALOG - DRY '!I1541,"AAAAAFR//4I=")</f>
        <v>#VALUE!</v>
      </c>
      <c r="EB74" t="e">
        <f>AND('STERLING CATALOG - DRY '!J1541,"AAAAAFR//4M=")</f>
        <v>#VALUE!</v>
      </c>
      <c r="EC74">
        <f>IF('STERLING CATALOG - DRY '!1542:1542,"AAAAAFR//4Q=",0)</f>
        <v>0</v>
      </c>
      <c r="ED74" t="e">
        <f>AND('STERLING CATALOG - DRY '!A1542,"AAAAAFR//4U=")</f>
        <v>#VALUE!</v>
      </c>
      <c r="EE74" t="e">
        <f>AND('STERLING CATALOG - DRY '!B1542,"AAAAAFR//4Y=")</f>
        <v>#VALUE!</v>
      </c>
      <c r="EF74" t="e">
        <f>AND('STERLING CATALOG - DRY '!C1542,"AAAAAFR//4c=")</f>
        <v>#VALUE!</v>
      </c>
      <c r="EG74" t="e">
        <f>AND('STERLING CATALOG - DRY '!D1542,"AAAAAFR//4g=")</f>
        <v>#VALUE!</v>
      </c>
      <c r="EH74" t="e">
        <f>AND('STERLING CATALOG - DRY '!E1542,"AAAAAFR//4k=")</f>
        <v>#VALUE!</v>
      </c>
      <c r="EI74" t="e">
        <f>AND('STERLING CATALOG - DRY '!F1542,"AAAAAFR//4o=")</f>
        <v>#VALUE!</v>
      </c>
      <c r="EJ74" t="e">
        <f>AND('STERLING CATALOG - DRY '!G1542,"AAAAAFR//4s=")</f>
        <v>#VALUE!</v>
      </c>
      <c r="EK74" t="e">
        <f>AND('STERLING CATALOG - DRY '!H1542,"AAAAAFR//4w=")</f>
        <v>#VALUE!</v>
      </c>
      <c r="EL74" t="e">
        <f>AND('STERLING CATALOG - DRY '!I1542,"AAAAAFR//40=")</f>
        <v>#VALUE!</v>
      </c>
      <c r="EM74" t="e">
        <f>AND('STERLING CATALOG - DRY '!J1542,"AAAAAFR//44=")</f>
        <v>#VALUE!</v>
      </c>
      <c r="EN74">
        <f>IF('STERLING CATALOG - DRY '!1543:1543,"AAAAAFR//48=",0)</f>
        <v>0</v>
      </c>
      <c r="EO74" t="e">
        <f>AND('STERLING CATALOG - DRY '!A1543,"AAAAAFR//5A=")</f>
        <v>#VALUE!</v>
      </c>
      <c r="EP74" t="e">
        <f>AND('STERLING CATALOG - DRY '!B1543,"AAAAAFR//5E=")</f>
        <v>#VALUE!</v>
      </c>
      <c r="EQ74" t="e">
        <f>AND('STERLING CATALOG - DRY '!C1543,"AAAAAFR//5I=")</f>
        <v>#VALUE!</v>
      </c>
      <c r="ER74" t="e">
        <f>AND('STERLING CATALOG - DRY '!D1543,"AAAAAFR//5M=")</f>
        <v>#VALUE!</v>
      </c>
      <c r="ES74" t="e">
        <f>AND('STERLING CATALOG - DRY '!E1543,"AAAAAFR//5Q=")</f>
        <v>#VALUE!</v>
      </c>
      <c r="ET74" t="e">
        <f>AND('STERLING CATALOG - DRY '!F1543,"AAAAAFR//5U=")</f>
        <v>#VALUE!</v>
      </c>
      <c r="EU74" t="e">
        <f>AND('STERLING CATALOG - DRY '!G1543,"AAAAAFR//5Y=")</f>
        <v>#VALUE!</v>
      </c>
      <c r="EV74" t="e">
        <f>AND('STERLING CATALOG - DRY '!H1543,"AAAAAFR//5c=")</f>
        <v>#VALUE!</v>
      </c>
      <c r="EW74" t="e">
        <f>AND('STERLING CATALOG - DRY '!I1543,"AAAAAFR//5g=")</f>
        <v>#VALUE!</v>
      </c>
      <c r="EX74" t="e">
        <f>AND('STERLING CATALOG - DRY '!J1543,"AAAAAFR//5k=")</f>
        <v>#VALUE!</v>
      </c>
      <c r="EY74">
        <f>IF('STERLING CATALOG - DRY '!1544:1544,"AAAAAFR//5o=",0)</f>
        <v>0</v>
      </c>
      <c r="EZ74" t="e">
        <f>AND('STERLING CATALOG - DRY '!A1544,"AAAAAFR//5s=")</f>
        <v>#VALUE!</v>
      </c>
      <c r="FA74" t="e">
        <f>AND('STERLING CATALOG - DRY '!B1544,"AAAAAFR//5w=")</f>
        <v>#VALUE!</v>
      </c>
      <c r="FB74" t="e">
        <f>AND('STERLING CATALOG - DRY '!C1544,"AAAAAFR//50=")</f>
        <v>#VALUE!</v>
      </c>
      <c r="FC74" t="e">
        <f>AND('STERLING CATALOG - DRY '!D1544,"AAAAAFR//54=")</f>
        <v>#VALUE!</v>
      </c>
      <c r="FD74" t="e">
        <f>AND('STERLING CATALOG - DRY '!E1544,"AAAAAFR//58=")</f>
        <v>#VALUE!</v>
      </c>
      <c r="FE74" t="e">
        <f>AND('STERLING CATALOG - DRY '!F1544,"AAAAAFR//6A=")</f>
        <v>#VALUE!</v>
      </c>
      <c r="FF74" t="e">
        <f>AND('STERLING CATALOG - DRY '!G1544,"AAAAAFR//6E=")</f>
        <v>#VALUE!</v>
      </c>
      <c r="FG74" t="e">
        <f>AND('STERLING CATALOG - DRY '!H1544,"AAAAAFR//6I=")</f>
        <v>#VALUE!</v>
      </c>
      <c r="FH74" t="e">
        <f>AND('STERLING CATALOG - DRY '!I1544,"AAAAAFR//6M=")</f>
        <v>#VALUE!</v>
      </c>
      <c r="FI74" t="e">
        <f>AND('STERLING CATALOG - DRY '!J1544,"AAAAAFR//6Q=")</f>
        <v>#VALUE!</v>
      </c>
      <c r="FJ74">
        <f>IF('STERLING CATALOG - DRY '!1545:1545,"AAAAAFR//6U=",0)</f>
        <v>0</v>
      </c>
      <c r="FK74" t="e">
        <f>AND('STERLING CATALOG - DRY '!A1545,"AAAAAFR//6Y=")</f>
        <v>#VALUE!</v>
      </c>
      <c r="FL74" t="e">
        <f>AND('STERLING CATALOG - DRY '!B1545,"AAAAAFR//6c=")</f>
        <v>#VALUE!</v>
      </c>
      <c r="FM74" t="e">
        <f>AND('STERLING CATALOG - DRY '!C1545,"AAAAAFR//6g=")</f>
        <v>#VALUE!</v>
      </c>
      <c r="FN74" t="e">
        <f>AND('STERLING CATALOG - DRY '!D1545,"AAAAAFR//6k=")</f>
        <v>#VALUE!</v>
      </c>
      <c r="FO74" t="e">
        <f>AND('STERLING CATALOG - DRY '!E1545,"AAAAAFR//6o=")</f>
        <v>#VALUE!</v>
      </c>
      <c r="FP74" t="e">
        <f>AND('STERLING CATALOG - DRY '!F1545,"AAAAAFR//6s=")</f>
        <v>#VALUE!</v>
      </c>
      <c r="FQ74" t="e">
        <f>AND('STERLING CATALOG - DRY '!G1545,"AAAAAFR//6w=")</f>
        <v>#VALUE!</v>
      </c>
      <c r="FR74" t="e">
        <f>AND('STERLING CATALOG - DRY '!H1545,"AAAAAFR//60=")</f>
        <v>#VALUE!</v>
      </c>
      <c r="FS74" t="e">
        <f>AND('STERLING CATALOG - DRY '!I1545,"AAAAAFR//64=")</f>
        <v>#VALUE!</v>
      </c>
      <c r="FT74" t="e">
        <f>AND('STERLING CATALOG - DRY '!J1545,"AAAAAFR//68=")</f>
        <v>#VALUE!</v>
      </c>
      <c r="FU74">
        <f>IF('STERLING CATALOG - DRY '!1546:1546,"AAAAAFR//7A=",0)</f>
        <v>0</v>
      </c>
      <c r="FV74" t="e">
        <f>AND('STERLING CATALOG - DRY '!A1546,"AAAAAFR//7E=")</f>
        <v>#VALUE!</v>
      </c>
      <c r="FW74" t="e">
        <f>AND('STERLING CATALOG - DRY '!B1546,"AAAAAFR//7I=")</f>
        <v>#VALUE!</v>
      </c>
      <c r="FX74" t="e">
        <f>AND('STERLING CATALOG - DRY '!C1546,"AAAAAFR//7M=")</f>
        <v>#VALUE!</v>
      </c>
      <c r="FY74" t="e">
        <f>AND('STERLING CATALOG - DRY '!D1546,"AAAAAFR//7Q=")</f>
        <v>#VALUE!</v>
      </c>
      <c r="FZ74" t="e">
        <f>AND('STERLING CATALOG - DRY '!E1546,"AAAAAFR//7U=")</f>
        <v>#VALUE!</v>
      </c>
      <c r="GA74" t="e">
        <f>AND('STERLING CATALOG - DRY '!F1546,"AAAAAFR//7Y=")</f>
        <v>#VALUE!</v>
      </c>
      <c r="GB74" t="e">
        <f>AND('STERLING CATALOG - DRY '!G1546,"AAAAAFR//7c=")</f>
        <v>#VALUE!</v>
      </c>
      <c r="GC74" t="e">
        <f>AND('STERLING CATALOG - DRY '!H1546,"AAAAAFR//7g=")</f>
        <v>#VALUE!</v>
      </c>
      <c r="GD74" t="e">
        <f>AND('STERLING CATALOG - DRY '!I1546,"AAAAAFR//7k=")</f>
        <v>#VALUE!</v>
      </c>
      <c r="GE74" t="e">
        <f>AND('STERLING CATALOG - DRY '!J1546,"AAAAAFR//7o=")</f>
        <v>#VALUE!</v>
      </c>
      <c r="GF74">
        <f>IF('STERLING CATALOG - DRY '!1547:1547,"AAAAAFR//7s=",0)</f>
        <v>0</v>
      </c>
      <c r="GG74" t="e">
        <f>AND('STERLING CATALOG - DRY '!A1547,"AAAAAFR//7w=")</f>
        <v>#VALUE!</v>
      </c>
      <c r="GH74" t="e">
        <f>AND('STERLING CATALOG - DRY '!B1547,"AAAAAFR//70=")</f>
        <v>#VALUE!</v>
      </c>
      <c r="GI74" t="e">
        <f>AND('STERLING CATALOG - DRY '!C1547,"AAAAAFR//74=")</f>
        <v>#VALUE!</v>
      </c>
      <c r="GJ74" t="e">
        <f>AND('STERLING CATALOG - DRY '!D1547,"AAAAAFR//78=")</f>
        <v>#VALUE!</v>
      </c>
      <c r="GK74" t="e">
        <f>AND('STERLING CATALOG - DRY '!E1547,"AAAAAFR//8A=")</f>
        <v>#VALUE!</v>
      </c>
      <c r="GL74" t="e">
        <f>AND('STERLING CATALOG - DRY '!F1547,"AAAAAFR//8E=")</f>
        <v>#VALUE!</v>
      </c>
      <c r="GM74" t="e">
        <f>AND('STERLING CATALOG - DRY '!G1547,"AAAAAFR//8I=")</f>
        <v>#VALUE!</v>
      </c>
      <c r="GN74" t="e">
        <f>AND('STERLING CATALOG - DRY '!H1547,"AAAAAFR//8M=")</f>
        <v>#VALUE!</v>
      </c>
      <c r="GO74" t="e">
        <f>AND('STERLING CATALOG - DRY '!I1547,"AAAAAFR//8Q=")</f>
        <v>#VALUE!</v>
      </c>
      <c r="GP74" t="e">
        <f>AND('STERLING CATALOG - DRY '!J1547,"AAAAAFR//8U=")</f>
        <v>#VALUE!</v>
      </c>
      <c r="GQ74">
        <f>IF('STERLING CATALOG - DRY '!1548:1548,"AAAAAFR//8Y=",0)</f>
        <v>0</v>
      </c>
      <c r="GR74" t="e">
        <f>AND('STERLING CATALOG - DRY '!A1548,"AAAAAFR//8c=")</f>
        <v>#VALUE!</v>
      </c>
      <c r="GS74" t="e">
        <f>AND('STERLING CATALOG - DRY '!B1548,"AAAAAFR//8g=")</f>
        <v>#VALUE!</v>
      </c>
      <c r="GT74" t="e">
        <f>AND('STERLING CATALOG - DRY '!C1548,"AAAAAFR//8k=")</f>
        <v>#VALUE!</v>
      </c>
      <c r="GU74" t="e">
        <f>AND('STERLING CATALOG - DRY '!D1548,"AAAAAFR//8o=")</f>
        <v>#VALUE!</v>
      </c>
      <c r="GV74" t="e">
        <f>AND('STERLING CATALOG - DRY '!E1548,"AAAAAFR//8s=")</f>
        <v>#VALUE!</v>
      </c>
      <c r="GW74" t="e">
        <f>AND('STERLING CATALOG - DRY '!F1548,"AAAAAFR//8w=")</f>
        <v>#VALUE!</v>
      </c>
      <c r="GX74" t="e">
        <f>AND('STERLING CATALOG - DRY '!G1548,"AAAAAFR//80=")</f>
        <v>#VALUE!</v>
      </c>
      <c r="GY74" t="e">
        <f>AND('STERLING CATALOG - DRY '!H1548,"AAAAAFR//84=")</f>
        <v>#VALUE!</v>
      </c>
      <c r="GZ74" t="e">
        <f>AND('STERLING CATALOG - DRY '!I1548,"AAAAAFR//88=")</f>
        <v>#VALUE!</v>
      </c>
      <c r="HA74" t="e">
        <f>AND('STERLING CATALOG - DRY '!J1548,"AAAAAFR//9A=")</f>
        <v>#VALUE!</v>
      </c>
      <c r="HB74">
        <f>IF('STERLING CATALOG - DRY '!1549:1549,"AAAAAFR//9E=",0)</f>
        <v>0</v>
      </c>
      <c r="HC74" t="e">
        <f>AND('STERLING CATALOG - DRY '!A1549,"AAAAAFR//9I=")</f>
        <v>#VALUE!</v>
      </c>
      <c r="HD74" t="e">
        <f>AND('STERLING CATALOG - DRY '!B1549,"AAAAAFR//9M=")</f>
        <v>#VALUE!</v>
      </c>
      <c r="HE74" t="e">
        <f>AND('STERLING CATALOG - DRY '!C1549,"AAAAAFR//9Q=")</f>
        <v>#VALUE!</v>
      </c>
      <c r="HF74" t="e">
        <f>AND('STERLING CATALOG - DRY '!D1549,"AAAAAFR//9U=")</f>
        <v>#VALUE!</v>
      </c>
      <c r="HG74" t="e">
        <f>AND('STERLING CATALOG - DRY '!E1549,"AAAAAFR//9Y=")</f>
        <v>#VALUE!</v>
      </c>
      <c r="HH74" t="e">
        <f>AND('STERLING CATALOG - DRY '!F1549,"AAAAAFR//9c=")</f>
        <v>#VALUE!</v>
      </c>
      <c r="HI74" t="e">
        <f>AND('STERLING CATALOG - DRY '!G1549,"AAAAAFR//9g=")</f>
        <v>#VALUE!</v>
      </c>
      <c r="HJ74" t="e">
        <f>AND('STERLING CATALOG - DRY '!H1549,"AAAAAFR//9k=")</f>
        <v>#VALUE!</v>
      </c>
      <c r="HK74" t="e">
        <f>AND('STERLING CATALOG - DRY '!I1549,"AAAAAFR//9o=")</f>
        <v>#VALUE!</v>
      </c>
      <c r="HL74" t="e">
        <f>AND('STERLING CATALOG - DRY '!J1549,"AAAAAFR//9s=")</f>
        <v>#VALUE!</v>
      </c>
      <c r="HM74">
        <f>IF('STERLING CATALOG - DRY '!1550:1550,"AAAAAFR//9w=",0)</f>
        <v>0</v>
      </c>
      <c r="HN74" t="e">
        <f>AND('STERLING CATALOG - DRY '!A1550,"AAAAAFR//90=")</f>
        <v>#VALUE!</v>
      </c>
      <c r="HO74" t="e">
        <f>AND('STERLING CATALOG - DRY '!B1550,"AAAAAFR//94=")</f>
        <v>#VALUE!</v>
      </c>
      <c r="HP74" t="e">
        <f>AND('STERLING CATALOG - DRY '!C1550,"AAAAAFR//98=")</f>
        <v>#VALUE!</v>
      </c>
      <c r="HQ74" t="e">
        <f>AND('STERLING CATALOG - DRY '!D1550,"AAAAAFR//+A=")</f>
        <v>#VALUE!</v>
      </c>
      <c r="HR74" t="e">
        <f>AND('STERLING CATALOG - DRY '!E1550,"AAAAAFR//+E=")</f>
        <v>#VALUE!</v>
      </c>
      <c r="HS74" t="e">
        <f>AND('STERLING CATALOG - DRY '!F1550,"AAAAAFR//+I=")</f>
        <v>#VALUE!</v>
      </c>
      <c r="HT74" t="e">
        <f>AND('STERLING CATALOG - DRY '!G1550,"AAAAAFR//+M=")</f>
        <v>#VALUE!</v>
      </c>
      <c r="HU74" t="e">
        <f>AND('STERLING CATALOG - DRY '!H1550,"AAAAAFR//+Q=")</f>
        <v>#VALUE!</v>
      </c>
      <c r="HV74" t="e">
        <f>AND('STERLING CATALOG - DRY '!I1550,"AAAAAFR//+U=")</f>
        <v>#VALUE!</v>
      </c>
      <c r="HW74" t="e">
        <f>AND('STERLING CATALOG - DRY '!J1550,"AAAAAFR//+Y=")</f>
        <v>#VALUE!</v>
      </c>
      <c r="HX74">
        <f>IF('STERLING CATALOG - DRY '!1551:1551,"AAAAAFR//+c=",0)</f>
        <v>0</v>
      </c>
      <c r="HY74" t="e">
        <f>AND('STERLING CATALOG - DRY '!A1551,"AAAAAFR//+g=")</f>
        <v>#VALUE!</v>
      </c>
      <c r="HZ74" t="e">
        <f>AND('STERLING CATALOG - DRY '!B1551,"AAAAAFR//+k=")</f>
        <v>#VALUE!</v>
      </c>
      <c r="IA74" t="e">
        <f>AND('STERLING CATALOG - DRY '!C1551,"AAAAAFR//+o=")</f>
        <v>#VALUE!</v>
      </c>
      <c r="IB74" t="e">
        <f>AND('STERLING CATALOG - DRY '!D1551,"AAAAAFR//+s=")</f>
        <v>#VALUE!</v>
      </c>
      <c r="IC74" t="e">
        <f>AND('STERLING CATALOG - DRY '!E1551,"AAAAAFR//+w=")</f>
        <v>#VALUE!</v>
      </c>
      <c r="ID74" t="e">
        <f>AND('STERLING CATALOG - DRY '!F1551,"AAAAAFR//+0=")</f>
        <v>#VALUE!</v>
      </c>
      <c r="IE74" t="e">
        <f>AND('STERLING CATALOG - DRY '!G1551,"AAAAAFR//+4=")</f>
        <v>#VALUE!</v>
      </c>
      <c r="IF74" t="e">
        <f>AND('STERLING CATALOG - DRY '!H1551,"AAAAAFR//+8=")</f>
        <v>#VALUE!</v>
      </c>
      <c r="IG74" t="e">
        <f>AND('STERLING CATALOG - DRY '!I1551,"AAAAAFR///A=")</f>
        <v>#VALUE!</v>
      </c>
      <c r="IH74" t="e">
        <f>AND('STERLING CATALOG - DRY '!J1551,"AAAAAFR///E=")</f>
        <v>#VALUE!</v>
      </c>
      <c r="II74">
        <f>IF('STERLING CATALOG - DRY '!1552:1552,"AAAAAFR///I=",0)</f>
        <v>0</v>
      </c>
      <c r="IJ74" t="e">
        <f>AND('STERLING CATALOG - DRY '!A1552,"AAAAAFR///M=")</f>
        <v>#VALUE!</v>
      </c>
      <c r="IK74" t="e">
        <f>AND('STERLING CATALOG - DRY '!B1552,"AAAAAFR///Q=")</f>
        <v>#VALUE!</v>
      </c>
      <c r="IL74" t="e">
        <f>AND('STERLING CATALOG - DRY '!C1552,"AAAAAFR///U=")</f>
        <v>#VALUE!</v>
      </c>
      <c r="IM74" t="e">
        <f>AND('STERLING CATALOG - DRY '!D1552,"AAAAAFR///Y=")</f>
        <v>#VALUE!</v>
      </c>
      <c r="IN74" t="e">
        <f>AND('STERLING CATALOG - DRY '!E1552,"AAAAAFR///c=")</f>
        <v>#VALUE!</v>
      </c>
      <c r="IO74" t="e">
        <f>AND('STERLING CATALOG - DRY '!F1552,"AAAAAFR///g=")</f>
        <v>#VALUE!</v>
      </c>
      <c r="IP74" t="e">
        <f>AND('STERLING CATALOG - DRY '!G1552,"AAAAAFR///k=")</f>
        <v>#VALUE!</v>
      </c>
      <c r="IQ74" t="e">
        <f>AND('STERLING CATALOG - DRY '!H1552,"AAAAAFR///o=")</f>
        <v>#VALUE!</v>
      </c>
      <c r="IR74" t="e">
        <f>AND('STERLING CATALOG - DRY '!I1552,"AAAAAFR///s=")</f>
        <v>#VALUE!</v>
      </c>
      <c r="IS74" t="e">
        <f>AND('STERLING CATALOG - DRY '!J1552,"AAAAAFR///w=")</f>
        <v>#VALUE!</v>
      </c>
      <c r="IT74">
        <f>IF('STERLING CATALOG - DRY '!1553:1553,"AAAAAFR///0=",0)</f>
        <v>0</v>
      </c>
      <c r="IU74" t="e">
        <f>AND('STERLING CATALOG - DRY '!A1553,"AAAAAFR///4=")</f>
        <v>#VALUE!</v>
      </c>
      <c r="IV74" t="e">
        <f>AND('STERLING CATALOG - DRY '!B1553,"AAAAAFR///8=")</f>
        <v>#VALUE!</v>
      </c>
    </row>
    <row r="75" spans="1:256">
      <c r="A75" t="e">
        <f>AND('STERLING CATALOG - DRY '!C1553,"AAAAADvXPwA=")</f>
        <v>#VALUE!</v>
      </c>
      <c r="B75" t="e">
        <f>AND('STERLING CATALOG - DRY '!D1553,"AAAAADvXPwE=")</f>
        <v>#VALUE!</v>
      </c>
      <c r="C75" t="e">
        <f>AND('STERLING CATALOG - DRY '!E1553,"AAAAADvXPwI=")</f>
        <v>#VALUE!</v>
      </c>
      <c r="D75" t="e">
        <f>AND('STERLING CATALOG - DRY '!F1553,"AAAAADvXPwM=")</f>
        <v>#VALUE!</v>
      </c>
      <c r="E75" t="e">
        <f>AND('STERLING CATALOG - DRY '!G1553,"AAAAADvXPwQ=")</f>
        <v>#VALUE!</v>
      </c>
      <c r="F75" t="e">
        <f>AND('STERLING CATALOG - DRY '!H1553,"AAAAADvXPwU=")</f>
        <v>#VALUE!</v>
      </c>
      <c r="G75" t="e">
        <f>AND('STERLING CATALOG - DRY '!I1553,"AAAAADvXPwY=")</f>
        <v>#VALUE!</v>
      </c>
      <c r="H75" t="e">
        <f>AND('STERLING CATALOG - DRY '!J1553,"AAAAADvXPwc=")</f>
        <v>#VALUE!</v>
      </c>
      <c r="I75" t="e">
        <f>IF('STERLING CATALOG - DRY '!1554:1554,"AAAAADvXPwg=",0)</f>
        <v>#VALUE!</v>
      </c>
      <c r="J75" t="e">
        <f>AND('STERLING CATALOG - DRY '!A1554,"AAAAADvXPwk=")</f>
        <v>#VALUE!</v>
      </c>
      <c r="K75" t="e">
        <f>AND('STERLING CATALOG - DRY '!B1554,"AAAAADvXPwo=")</f>
        <v>#VALUE!</v>
      </c>
      <c r="L75" t="e">
        <f>AND('STERLING CATALOG - DRY '!C1554,"AAAAADvXPws=")</f>
        <v>#VALUE!</v>
      </c>
      <c r="M75" t="e">
        <f>AND('STERLING CATALOG - DRY '!D1554,"AAAAADvXPww=")</f>
        <v>#VALUE!</v>
      </c>
      <c r="N75" t="e">
        <f>AND('STERLING CATALOG - DRY '!E1554,"AAAAADvXPw0=")</f>
        <v>#VALUE!</v>
      </c>
      <c r="O75" t="e">
        <f>AND('STERLING CATALOG - DRY '!F1554,"AAAAADvXPw4=")</f>
        <v>#VALUE!</v>
      </c>
      <c r="P75" t="e">
        <f>AND('STERLING CATALOG - DRY '!G1554,"AAAAADvXPw8=")</f>
        <v>#VALUE!</v>
      </c>
      <c r="Q75" t="e">
        <f>AND('STERLING CATALOG - DRY '!H1554,"AAAAADvXPxA=")</f>
        <v>#VALUE!</v>
      </c>
      <c r="R75" t="e">
        <f>AND('STERLING CATALOG - DRY '!I1554,"AAAAADvXPxE=")</f>
        <v>#VALUE!</v>
      </c>
      <c r="S75" t="e">
        <f>AND('STERLING CATALOG - DRY '!J1554,"AAAAADvXPxI=")</f>
        <v>#VALUE!</v>
      </c>
      <c r="T75">
        <f>IF('STERLING CATALOG - DRY '!1555:1555,"AAAAADvXPxM=",0)</f>
        <v>0</v>
      </c>
      <c r="U75" t="e">
        <f>AND('STERLING CATALOG - DRY '!A1555,"AAAAADvXPxQ=")</f>
        <v>#VALUE!</v>
      </c>
      <c r="V75" t="e">
        <f>AND('STERLING CATALOG - DRY '!B1555,"AAAAADvXPxU=")</f>
        <v>#VALUE!</v>
      </c>
      <c r="W75" t="e">
        <f>AND('STERLING CATALOG - DRY '!C1555,"AAAAADvXPxY=")</f>
        <v>#VALUE!</v>
      </c>
      <c r="X75" t="e">
        <f>AND('STERLING CATALOG - DRY '!D1555,"AAAAADvXPxc=")</f>
        <v>#VALUE!</v>
      </c>
      <c r="Y75" t="e">
        <f>AND('STERLING CATALOG - DRY '!E1555,"AAAAADvXPxg=")</f>
        <v>#VALUE!</v>
      </c>
      <c r="Z75" t="e">
        <f>AND('STERLING CATALOG - DRY '!F1555,"AAAAADvXPxk=")</f>
        <v>#VALUE!</v>
      </c>
      <c r="AA75" t="e">
        <f>AND('STERLING CATALOG - DRY '!G1555,"AAAAADvXPxo=")</f>
        <v>#VALUE!</v>
      </c>
      <c r="AB75" t="e">
        <f>AND('STERLING CATALOG - DRY '!H1555,"AAAAADvXPxs=")</f>
        <v>#VALUE!</v>
      </c>
      <c r="AC75" t="e">
        <f>AND('STERLING CATALOG - DRY '!I1555,"AAAAADvXPxw=")</f>
        <v>#VALUE!</v>
      </c>
      <c r="AD75" t="e">
        <f>AND('STERLING CATALOG - DRY '!J1555,"AAAAADvXPx0=")</f>
        <v>#VALUE!</v>
      </c>
      <c r="AE75">
        <f>IF('STERLING CATALOG - DRY '!1556:1556,"AAAAADvXPx4=",0)</f>
        <v>0</v>
      </c>
      <c r="AF75" t="e">
        <f>AND('STERLING CATALOG - DRY '!A1556,"AAAAADvXPx8=")</f>
        <v>#VALUE!</v>
      </c>
      <c r="AG75" t="e">
        <f>AND('STERLING CATALOG - DRY '!B1556,"AAAAADvXPyA=")</f>
        <v>#VALUE!</v>
      </c>
      <c r="AH75" t="e">
        <f>AND('STERLING CATALOG - DRY '!C1556,"AAAAADvXPyE=")</f>
        <v>#VALUE!</v>
      </c>
      <c r="AI75" t="e">
        <f>AND('STERLING CATALOG - DRY '!D1556,"AAAAADvXPyI=")</f>
        <v>#VALUE!</v>
      </c>
      <c r="AJ75" t="e">
        <f>AND('STERLING CATALOG - DRY '!E1556,"AAAAADvXPyM=")</f>
        <v>#VALUE!</v>
      </c>
      <c r="AK75" t="e">
        <f>AND('STERLING CATALOG - DRY '!F1556,"AAAAADvXPyQ=")</f>
        <v>#VALUE!</v>
      </c>
      <c r="AL75" t="e">
        <f>AND('STERLING CATALOG - DRY '!G1556,"AAAAADvXPyU=")</f>
        <v>#VALUE!</v>
      </c>
      <c r="AM75" t="e">
        <f>AND('STERLING CATALOG - DRY '!H1556,"AAAAADvXPyY=")</f>
        <v>#VALUE!</v>
      </c>
      <c r="AN75" t="e">
        <f>AND('STERLING CATALOG - DRY '!I1556,"AAAAADvXPyc=")</f>
        <v>#VALUE!</v>
      </c>
      <c r="AO75" t="e">
        <f>AND('STERLING CATALOG - DRY '!J1556,"AAAAADvXPyg=")</f>
        <v>#VALUE!</v>
      </c>
      <c r="AP75">
        <f>IF('STERLING CATALOG - DRY '!1557:1557,"AAAAADvXPyk=",0)</f>
        <v>0</v>
      </c>
      <c r="AQ75" t="e">
        <f>AND('STERLING CATALOG - DRY '!A1557,"AAAAADvXPyo=")</f>
        <v>#VALUE!</v>
      </c>
      <c r="AR75" t="e">
        <f>AND('STERLING CATALOG - DRY '!B1557,"AAAAADvXPys=")</f>
        <v>#VALUE!</v>
      </c>
      <c r="AS75" t="e">
        <f>AND('STERLING CATALOG - DRY '!C1557,"AAAAADvXPyw=")</f>
        <v>#VALUE!</v>
      </c>
      <c r="AT75" t="e">
        <f>AND('STERLING CATALOG - DRY '!D1557,"AAAAADvXPy0=")</f>
        <v>#VALUE!</v>
      </c>
      <c r="AU75" t="e">
        <f>AND('STERLING CATALOG - DRY '!E1557,"AAAAADvXPy4=")</f>
        <v>#VALUE!</v>
      </c>
      <c r="AV75" t="e">
        <f>AND('STERLING CATALOG - DRY '!F1557,"AAAAADvXPy8=")</f>
        <v>#VALUE!</v>
      </c>
      <c r="AW75" t="e">
        <f>AND('STERLING CATALOG - DRY '!G1557,"AAAAADvXPzA=")</f>
        <v>#VALUE!</v>
      </c>
      <c r="AX75" t="e">
        <f>AND('STERLING CATALOG - DRY '!H1557,"AAAAADvXPzE=")</f>
        <v>#VALUE!</v>
      </c>
      <c r="AY75" t="e">
        <f>AND('STERLING CATALOG - DRY '!I1557,"AAAAADvXPzI=")</f>
        <v>#VALUE!</v>
      </c>
      <c r="AZ75" t="e">
        <f>AND('STERLING CATALOG - DRY '!J1557,"AAAAADvXPzM=")</f>
        <v>#VALUE!</v>
      </c>
      <c r="BA75">
        <f>IF('STERLING CATALOG - DRY '!1558:1558,"AAAAADvXPzQ=",0)</f>
        <v>0</v>
      </c>
      <c r="BB75" t="e">
        <f>AND('STERLING CATALOG - DRY '!A1558,"AAAAADvXPzU=")</f>
        <v>#VALUE!</v>
      </c>
      <c r="BC75" t="e">
        <f>AND('STERLING CATALOG - DRY '!B1558,"AAAAADvXPzY=")</f>
        <v>#VALUE!</v>
      </c>
      <c r="BD75" t="e">
        <f>AND('STERLING CATALOG - DRY '!C1558,"AAAAADvXPzc=")</f>
        <v>#VALUE!</v>
      </c>
      <c r="BE75" t="e">
        <f>AND('STERLING CATALOG - DRY '!D1558,"AAAAADvXPzg=")</f>
        <v>#VALUE!</v>
      </c>
      <c r="BF75" t="e">
        <f>AND('STERLING CATALOG - DRY '!E1558,"AAAAADvXPzk=")</f>
        <v>#VALUE!</v>
      </c>
      <c r="BG75" t="e">
        <f>AND('STERLING CATALOG - DRY '!F1558,"AAAAADvXPzo=")</f>
        <v>#VALUE!</v>
      </c>
      <c r="BH75" t="e">
        <f>AND('STERLING CATALOG - DRY '!G1558,"AAAAADvXPzs=")</f>
        <v>#VALUE!</v>
      </c>
      <c r="BI75" t="e">
        <f>AND('STERLING CATALOG - DRY '!H1558,"AAAAADvXPzw=")</f>
        <v>#VALUE!</v>
      </c>
      <c r="BJ75" t="e">
        <f>AND('STERLING CATALOG - DRY '!I1558,"AAAAADvXPz0=")</f>
        <v>#VALUE!</v>
      </c>
      <c r="BK75" t="e">
        <f>AND('STERLING CATALOG - DRY '!J1558,"AAAAADvXPz4=")</f>
        <v>#VALUE!</v>
      </c>
      <c r="BL75">
        <f>IF('STERLING CATALOG - DRY '!1559:1559,"AAAAADvXPz8=",0)</f>
        <v>0</v>
      </c>
      <c r="BM75" t="e">
        <f>AND('STERLING CATALOG - DRY '!A1559,"AAAAADvXP0A=")</f>
        <v>#VALUE!</v>
      </c>
      <c r="BN75" t="e">
        <f>AND('STERLING CATALOG - DRY '!B1559,"AAAAADvXP0E=")</f>
        <v>#VALUE!</v>
      </c>
      <c r="BO75" t="e">
        <f>AND('STERLING CATALOG - DRY '!C1559,"AAAAADvXP0I=")</f>
        <v>#VALUE!</v>
      </c>
      <c r="BP75" t="e">
        <f>AND('STERLING CATALOG - DRY '!D1559,"AAAAADvXP0M=")</f>
        <v>#VALUE!</v>
      </c>
      <c r="BQ75" t="e">
        <f>AND('STERLING CATALOG - DRY '!E1559,"AAAAADvXP0Q=")</f>
        <v>#VALUE!</v>
      </c>
      <c r="BR75" t="e">
        <f>AND('STERLING CATALOG - DRY '!F1559,"AAAAADvXP0U=")</f>
        <v>#VALUE!</v>
      </c>
      <c r="BS75" t="e">
        <f>AND('STERLING CATALOG - DRY '!G1559,"AAAAADvXP0Y=")</f>
        <v>#VALUE!</v>
      </c>
      <c r="BT75" t="e">
        <f>AND('STERLING CATALOG - DRY '!H1559,"AAAAADvXP0c=")</f>
        <v>#VALUE!</v>
      </c>
      <c r="BU75" t="e">
        <f>AND('STERLING CATALOG - DRY '!I1559,"AAAAADvXP0g=")</f>
        <v>#VALUE!</v>
      </c>
      <c r="BV75" t="e">
        <f>AND('STERLING CATALOG - DRY '!J1559,"AAAAADvXP0k=")</f>
        <v>#VALUE!</v>
      </c>
      <c r="BW75">
        <f>IF('STERLING CATALOG - DRY '!1560:1560,"AAAAADvXP0o=",0)</f>
        <v>0</v>
      </c>
      <c r="BX75" t="e">
        <f>AND('STERLING CATALOG - DRY '!A1560,"AAAAADvXP0s=")</f>
        <v>#VALUE!</v>
      </c>
      <c r="BY75" t="e">
        <f>AND('STERLING CATALOG - DRY '!B1560,"AAAAADvXP0w=")</f>
        <v>#VALUE!</v>
      </c>
      <c r="BZ75" t="e">
        <f>AND('STERLING CATALOG - DRY '!C1560,"AAAAADvXP00=")</f>
        <v>#VALUE!</v>
      </c>
      <c r="CA75" t="e">
        <f>AND('STERLING CATALOG - DRY '!D1560,"AAAAADvXP04=")</f>
        <v>#VALUE!</v>
      </c>
      <c r="CB75" t="e">
        <f>AND('STERLING CATALOG - DRY '!E1560,"AAAAADvXP08=")</f>
        <v>#VALUE!</v>
      </c>
      <c r="CC75" t="e">
        <f>AND('STERLING CATALOG - DRY '!F1560,"AAAAADvXP1A=")</f>
        <v>#VALUE!</v>
      </c>
      <c r="CD75" t="e">
        <f>AND('STERLING CATALOG - DRY '!G1560,"AAAAADvXP1E=")</f>
        <v>#VALUE!</v>
      </c>
      <c r="CE75" t="e">
        <f>AND('STERLING CATALOG - DRY '!H1560,"AAAAADvXP1I=")</f>
        <v>#VALUE!</v>
      </c>
      <c r="CF75" t="e">
        <f>AND('STERLING CATALOG - DRY '!I1560,"AAAAADvXP1M=")</f>
        <v>#VALUE!</v>
      </c>
      <c r="CG75" t="e">
        <f>AND('STERLING CATALOG - DRY '!J1560,"AAAAADvXP1Q=")</f>
        <v>#VALUE!</v>
      </c>
      <c r="CH75">
        <f>IF('STERLING CATALOG - DRY '!1561:1561,"AAAAADvXP1U=",0)</f>
        <v>0</v>
      </c>
      <c r="CI75" t="e">
        <f>AND('STERLING CATALOG - DRY '!A1561,"AAAAADvXP1Y=")</f>
        <v>#VALUE!</v>
      </c>
      <c r="CJ75" t="e">
        <f>AND('STERLING CATALOG - DRY '!B1561,"AAAAADvXP1c=")</f>
        <v>#VALUE!</v>
      </c>
      <c r="CK75" t="e">
        <f>AND('STERLING CATALOG - DRY '!C1561,"AAAAADvXP1g=")</f>
        <v>#VALUE!</v>
      </c>
      <c r="CL75" t="e">
        <f>AND('STERLING CATALOG - DRY '!D1561,"AAAAADvXP1k=")</f>
        <v>#VALUE!</v>
      </c>
      <c r="CM75" t="e">
        <f>AND('STERLING CATALOG - DRY '!E1561,"AAAAADvXP1o=")</f>
        <v>#VALUE!</v>
      </c>
      <c r="CN75" t="e">
        <f>AND('STERLING CATALOG - DRY '!F1561,"AAAAADvXP1s=")</f>
        <v>#VALUE!</v>
      </c>
      <c r="CO75" t="e">
        <f>AND('STERLING CATALOG - DRY '!G1561,"AAAAADvXP1w=")</f>
        <v>#VALUE!</v>
      </c>
      <c r="CP75" t="e">
        <f>AND('STERLING CATALOG - DRY '!H1561,"AAAAADvXP10=")</f>
        <v>#VALUE!</v>
      </c>
      <c r="CQ75" t="e">
        <f>AND('STERLING CATALOG - DRY '!I1561,"AAAAADvXP14=")</f>
        <v>#VALUE!</v>
      </c>
      <c r="CR75" t="e">
        <f>AND('STERLING CATALOG - DRY '!J1561,"AAAAADvXP18=")</f>
        <v>#VALUE!</v>
      </c>
      <c r="CS75">
        <f>IF('STERLING CATALOG - DRY '!1562:1562,"AAAAADvXP2A=",0)</f>
        <v>0</v>
      </c>
      <c r="CT75" t="e">
        <f>AND('STERLING CATALOG - DRY '!A1562,"AAAAADvXP2E=")</f>
        <v>#VALUE!</v>
      </c>
      <c r="CU75" t="e">
        <f>AND('STERLING CATALOG - DRY '!B1562,"AAAAADvXP2I=")</f>
        <v>#VALUE!</v>
      </c>
      <c r="CV75" t="e">
        <f>AND('STERLING CATALOG - DRY '!C1562,"AAAAADvXP2M=")</f>
        <v>#VALUE!</v>
      </c>
      <c r="CW75" t="e">
        <f>AND('STERLING CATALOG - DRY '!D1562,"AAAAADvXP2Q=")</f>
        <v>#VALUE!</v>
      </c>
      <c r="CX75" t="e">
        <f>AND('STERLING CATALOG - DRY '!E1562,"AAAAADvXP2U=")</f>
        <v>#VALUE!</v>
      </c>
      <c r="CY75" t="e">
        <f>AND('STERLING CATALOG - DRY '!F1562,"AAAAADvXP2Y=")</f>
        <v>#VALUE!</v>
      </c>
      <c r="CZ75" t="e">
        <f>AND('STERLING CATALOG - DRY '!G1562,"AAAAADvXP2c=")</f>
        <v>#VALUE!</v>
      </c>
      <c r="DA75" t="e">
        <f>AND('STERLING CATALOG - DRY '!H1562,"AAAAADvXP2g=")</f>
        <v>#VALUE!</v>
      </c>
      <c r="DB75" t="e">
        <f>AND('STERLING CATALOG - DRY '!I1562,"AAAAADvXP2k=")</f>
        <v>#VALUE!</v>
      </c>
      <c r="DC75" t="e">
        <f>AND('STERLING CATALOG - DRY '!J1562,"AAAAADvXP2o=")</f>
        <v>#VALUE!</v>
      </c>
      <c r="DD75">
        <f>IF('STERLING CATALOG - DRY '!1563:1563,"AAAAADvXP2s=",0)</f>
        <v>0</v>
      </c>
      <c r="DE75" t="e">
        <f>AND('STERLING CATALOG - DRY '!A1563,"AAAAADvXP2w=")</f>
        <v>#VALUE!</v>
      </c>
      <c r="DF75" t="e">
        <f>AND('STERLING CATALOG - DRY '!B1563,"AAAAADvXP20=")</f>
        <v>#VALUE!</v>
      </c>
      <c r="DG75" t="e">
        <f>AND('STERLING CATALOG - DRY '!C1563,"AAAAADvXP24=")</f>
        <v>#VALUE!</v>
      </c>
      <c r="DH75" t="e">
        <f>AND('STERLING CATALOG - DRY '!D1563,"AAAAADvXP28=")</f>
        <v>#VALUE!</v>
      </c>
      <c r="DI75" t="e">
        <f>AND('STERLING CATALOG - DRY '!E1563,"AAAAADvXP3A=")</f>
        <v>#VALUE!</v>
      </c>
      <c r="DJ75" t="e">
        <f>AND('STERLING CATALOG - DRY '!F1563,"AAAAADvXP3E=")</f>
        <v>#VALUE!</v>
      </c>
      <c r="DK75" t="e">
        <f>AND('STERLING CATALOG - DRY '!G1563,"AAAAADvXP3I=")</f>
        <v>#VALUE!</v>
      </c>
      <c r="DL75" t="e">
        <f>AND('STERLING CATALOG - DRY '!H1563,"AAAAADvXP3M=")</f>
        <v>#VALUE!</v>
      </c>
      <c r="DM75" t="e">
        <f>AND('STERLING CATALOG - DRY '!I1563,"AAAAADvXP3Q=")</f>
        <v>#VALUE!</v>
      </c>
      <c r="DN75" t="e">
        <f>AND('STERLING CATALOG - DRY '!J1563,"AAAAADvXP3U=")</f>
        <v>#VALUE!</v>
      </c>
      <c r="DO75">
        <f>IF('STERLING CATALOG - DRY '!1564:1564,"AAAAADvXP3Y=",0)</f>
        <v>0</v>
      </c>
      <c r="DP75" t="e">
        <f>AND('STERLING CATALOG - DRY '!A1564,"AAAAADvXP3c=")</f>
        <v>#VALUE!</v>
      </c>
      <c r="DQ75" t="e">
        <f>AND('STERLING CATALOG - DRY '!B1564,"AAAAADvXP3g=")</f>
        <v>#VALUE!</v>
      </c>
      <c r="DR75" t="e">
        <f>AND('STERLING CATALOG - DRY '!C1564,"AAAAADvXP3k=")</f>
        <v>#VALUE!</v>
      </c>
      <c r="DS75" t="e">
        <f>AND('STERLING CATALOG - DRY '!D1564,"AAAAADvXP3o=")</f>
        <v>#VALUE!</v>
      </c>
      <c r="DT75" t="e">
        <f>AND('STERLING CATALOG - DRY '!E1564,"AAAAADvXP3s=")</f>
        <v>#VALUE!</v>
      </c>
      <c r="DU75" t="e">
        <f>AND('STERLING CATALOG - DRY '!F1564,"AAAAADvXP3w=")</f>
        <v>#VALUE!</v>
      </c>
      <c r="DV75" t="e">
        <f>AND('STERLING CATALOG - DRY '!G1564,"AAAAADvXP30=")</f>
        <v>#VALUE!</v>
      </c>
      <c r="DW75" t="e">
        <f>AND('STERLING CATALOG - DRY '!H1564,"AAAAADvXP34=")</f>
        <v>#VALUE!</v>
      </c>
      <c r="DX75" t="e">
        <f>AND('STERLING CATALOG - DRY '!I1564,"AAAAADvXP38=")</f>
        <v>#VALUE!</v>
      </c>
      <c r="DY75" t="e">
        <f>AND('STERLING CATALOG - DRY '!J1564,"AAAAADvXP4A=")</f>
        <v>#VALUE!</v>
      </c>
      <c r="DZ75">
        <f>IF('STERLING CATALOG - DRY '!1565:1565,"AAAAADvXP4E=",0)</f>
        <v>0</v>
      </c>
      <c r="EA75" t="e">
        <f>AND('STERLING CATALOG - DRY '!A1565,"AAAAADvXP4I=")</f>
        <v>#VALUE!</v>
      </c>
      <c r="EB75" t="e">
        <f>AND('STERLING CATALOG - DRY '!B1565,"AAAAADvXP4M=")</f>
        <v>#VALUE!</v>
      </c>
      <c r="EC75" t="e">
        <f>AND('STERLING CATALOG - DRY '!C1565,"AAAAADvXP4Q=")</f>
        <v>#VALUE!</v>
      </c>
      <c r="ED75" t="e">
        <f>AND('STERLING CATALOG - DRY '!D1565,"AAAAADvXP4U=")</f>
        <v>#VALUE!</v>
      </c>
      <c r="EE75" t="e">
        <f>AND('STERLING CATALOG - DRY '!E1565,"AAAAADvXP4Y=")</f>
        <v>#VALUE!</v>
      </c>
      <c r="EF75" t="e">
        <f>AND('STERLING CATALOG - DRY '!F1565,"AAAAADvXP4c=")</f>
        <v>#VALUE!</v>
      </c>
      <c r="EG75" t="e">
        <f>AND('STERLING CATALOG - DRY '!G1565,"AAAAADvXP4g=")</f>
        <v>#VALUE!</v>
      </c>
      <c r="EH75" t="e">
        <f>AND('STERLING CATALOG - DRY '!H1565,"AAAAADvXP4k=")</f>
        <v>#VALUE!</v>
      </c>
      <c r="EI75" t="e">
        <f>AND('STERLING CATALOG - DRY '!I1565,"AAAAADvXP4o=")</f>
        <v>#VALUE!</v>
      </c>
      <c r="EJ75" t="e">
        <f>AND('STERLING CATALOG - DRY '!J1565,"AAAAADvXP4s=")</f>
        <v>#VALUE!</v>
      </c>
      <c r="EK75">
        <f>IF('STERLING CATALOG - DRY '!1566:1566,"AAAAADvXP4w=",0)</f>
        <v>0</v>
      </c>
      <c r="EL75" t="e">
        <f>AND('STERLING CATALOG - DRY '!A1566,"AAAAADvXP40=")</f>
        <v>#VALUE!</v>
      </c>
      <c r="EM75" t="e">
        <f>AND('STERLING CATALOG - DRY '!B1566,"AAAAADvXP44=")</f>
        <v>#VALUE!</v>
      </c>
      <c r="EN75" t="e">
        <f>AND('STERLING CATALOG - DRY '!C1566,"AAAAADvXP48=")</f>
        <v>#VALUE!</v>
      </c>
      <c r="EO75" t="e">
        <f>AND('STERLING CATALOG - DRY '!D1566,"AAAAADvXP5A=")</f>
        <v>#VALUE!</v>
      </c>
      <c r="EP75" t="e">
        <f>AND('STERLING CATALOG - DRY '!E1566,"AAAAADvXP5E=")</f>
        <v>#VALUE!</v>
      </c>
      <c r="EQ75" t="e">
        <f>AND('STERLING CATALOG - DRY '!F1566,"AAAAADvXP5I=")</f>
        <v>#VALUE!</v>
      </c>
      <c r="ER75" t="e">
        <f>AND('STERLING CATALOG - DRY '!G1566,"AAAAADvXP5M=")</f>
        <v>#VALUE!</v>
      </c>
      <c r="ES75" t="e">
        <f>AND('STERLING CATALOG - DRY '!H1566,"AAAAADvXP5Q=")</f>
        <v>#VALUE!</v>
      </c>
      <c r="ET75" t="e">
        <f>AND('STERLING CATALOG - DRY '!I1566,"AAAAADvXP5U=")</f>
        <v>#VALUE!</v>
      </c>
      <c r="EU75" t="e">
        <f>AND('STERLING CATALOG - DRY '!J1566,"AAAAADvXP5Y=")</f>
        <v>#VALUE!</v>
      </c>
      <c r="EV75">
        <f>IF('STERLING CATALOG - DRY '!1567:1567,"AAAAADvXP5c=",0)</f>
        <v>0</v>
      </c>
      <c r="EW75" t="e">
        <f>AND('STERLING CATALOG - DRY '!A1567,"AAAAADvXP5g=")</f>
        <v>#VALUE!</v>
      </c>
      <c r="EX75" t="e">
        <f>AND('STERLING CATALOG - DRY '!B1567,"AAAAADvXP5k=")</f>
        <v>#VALUE!</v>
      </c>
      <c r="EY75" t="e">
        <f>AND('STERLING CATALOG - DRY '!C1567,"AAAAADvXP5o=")</f>
        <v>#VALUE!</v>
      </c>
      <c r="EZ75" t="e">
        <f>AND('STERLING CATALOG - DRY '!D1567,"AAAAADvXP5s=")</f>
        <v>#VALUE!</v>
      </c>
      <c r="FA75" t="e">
        <f>AND('STERLING CATALOG - DRY '!E1567,"AAAAADvXP5w=")</f>
        <v>#VALUE!</v>
      </c>
      <c r="FB75" t="e">
        <f>AND('STERLING CATALOG - DRY '!F1567,"AAAAADvXP50=")</f>
        <v>#VALUE!</v>
      </c>
      <c r="FC75" t="e">
        <f>AND('STERLING CATALOG - DRY '!G1567,"AAAAADvXP54=")</f>
        <v>#VALUE!</v>
      </c>
      <c r="FD75" t="e">
        <f>AND('STERLING CATALOG - DRY '!H1567,"AAAAADvXP58=")</f>
        <v>#VALUE!</v>
      </c>
      <c r="FE75" t="e">
        <f>AND('STERLING CATALOG - DRY '!I1567,"AAAAADvXP6A=")</f>
        <v>#VALUE!</v>
      </c>
      <c r="FF75" t="e">
        <f>AND('STERLING CATALOG - DRY '!J1567,"AAAAADvXP6E=")</f>
        <v>#VALUE!</v>
      </c>
      <c r="FG75">
        <f>IF('STERLING CATALOG - DRY '!1568:1568,"AAAAADvXP6I=",0)</f>
        <v>0</v>
      </c>
      <c r="FH75" t="e">
        <f>AND('STERLING CATALOG - DRY '!A1568,"AAAAADvXP6M=")</f>
        <v>#VALUE!</v>
      </c>
      <c r="FI75" t="e">
        <f>AND('STERLING CATALOG - DRY '!B1568,"AAAAADvXP6Q=")</f>
        <v>#VALUE!</v>
      </c>
      <c r="FJ75" t="e">
        <f>AND('STERLING CATALOG - DRY '!C1568,"AAAAADvXP6U=")</f>
        <v>#VALUE!</v>
      </c>
      <c r="FK75" t="e">
        <f>AND('STERLING CATALOG - DRY '!D1568,"AAAAADvXP6Y=")</f>
        <v>#VALUE!</v>
      </c>
      <c r="FL75" t="e">
        <f>AND('STERLING CATALOG - DRY '!E1568,"AAAAADvXP6c=")</f>
        <v>#VALUE!</v>
      </c>
      <c r="FM75" t="e">
        <f>AND('STERLING CATALOG - DRY '!F1568,"AAAAADvXP6g=")</f>
        <v>#VALUE!</v>
      </c>
      <c r="FN75" t="e">
        <f>AND('STERLING CATALOG - DRY '!G1568,"AAAAADvXP6k=")</f>
        <v>#VALUE!</v>
      </c>
      <c r="FO75" t="e">
        <f>AND('STERLING CATALOG - DRY '!H1568,"AAAAADvXP6o=")</f>
        <v>#VALUE!</v>
      </c>
      <c r="FP75" t="e">
        <f>AND('STERLING CATALOG - DRY '!I1568,"AAAAADvXP6s=")</f>
        <v>#VALUE!</v>
      </c>
      <c r="FQ75" t="e">
        <f>AND('STERLING CATALOG - DRY '!J1568,"AAAAADvXP6w=")</f>
        <v>#VALUE!</v>
      </c>
      <c r="FR75">
        <f>IF('STERLING CATALOG - DRY '!1569:1569,"AAAAADvXP60=",0)</f>
        <v>0</v>
      </c>
      <c r="FS75" t="e">
        <f>AND('STERLING CATALOG - DRY '!A1569,"AAAAADvXP64=")</f>
        <v>#VALUE!</v>
      </c>
      <c r="FT75" t="e">
        <f>AND('STERLING CATALOG - DRY '!B1569,"AAAAADvXP68=")</f>
        <v>#VALUE!</v>
      </c>
      <c r="FU75" t="e">
        <f>AND('STERLING CATALOG - DRY '!C1569,"AAAAADvXP7A=")</f>
        <v>#VALUE!</v>
      </c>
      <c r="FV75" t="e">
        <f>AND('STERLING CATALOG - DRY '!D1569,"AAAAADvXP7E=")</f>
        <v>#VALUE!</v>
      </c>
      <c r="FW75" t="e">
        <f>AND('STERLING CATALOG - DRY '!E1569,"AAAAADvXP7I=")</f>
        <v>#VALUE!</v>
      </c>
      <c r="FX75" t="e">
        <f>AND('STERLING CATALOG - DRY '!F1569,"AAAAADvXP7M=")</f>
        <v>#VALUE!</v>
      </c>
      <c r="FY75" t="e">
        <f>AND('STERLING CATALOG - DRY '!G1569,"AAAAADvXP7Q=")</f>
        <v>#VALUE!</v>
      </c>
      <c r="FZ75" t="e">
        <f>AND('STERLING CATALOG - DRY '!H1569,"AAAAADvXP7U=")</f>
        <v>#VALUE!</v>
      </c>
      <c r="GA75" t="e">
        <f>AND('STERLING CATALOG - DRY '!I1569,"AAAAADvXP7Y=")</f>
        <v>#VALUE!</v>
      </c>
      <c r="GB75" t="e">
        <f>AND('STERLING CATALOG - DRY '!J1569,"AAAAADvXP7c=")</f>
        <v>#VALUE!</v>
      </c>
      <c r="GC75">
        <f>IF('STERLING CATALOG - DRY '!1570:1570,"AAAAADvXP7g=",0)</f>
        <v>0</v>
      </c>
      <c r="GD75" t="e">
        <f>AND('STERLING CATALOG - DRY '!A1570,"AAAAADvXP7k=")</f>
        <v>#VALUE!</v>
      </c>
      <c r="GE75" t="e">
        <f>AND('STERLING CATALOG - DRY '!B1570,"AAAAADvXP7o=")</f>
        <v>#VALUE!</v>
      </c>
      <c r="GF75" t="e">
        <f>AND('STERLING CATALOG - DRY '!C1570,"AAAAADvXP7s=")</f>
        <v>#VALUE!</v>
      </c>
      <c r="GG75" t="e">
        <f>AND('STERLING CATALOG - DRY '!D1570,"AAAAADvXP7w=")</f>
        <v>#VALUE!</v>
      </c>
      <c r="GH75" t="e">
        <f>AND('STERLING CATALOG - DRY '!E1570,"AAAAADvXP70=")</f>
        <v>#VALUE!</v>
      </c>
      <c r="GI75" t="e">
        <f>AND('STERLING CATALOG - DRY '!F1570,"AAAAADvXP74=")</f>
        <v>#VALUE!</v>
      </c>
      <c r="GJ75" t="e">
        <f>AND('STERLING CATALOG - DRY '!G1570,"AAAAADvXP78=")</f>
        <v>#VALUE!</v>
      </c>
      <c r="GK75" t="e">
        <f>AND('STERLING CATALOG - DRY '!H1570,"AAAAADvXP8A=")</f>
        <v>#VALUE!</v>
      </c>
      <c r="GL75" t="e">
        <f>AND('STERLING CATALOG - DRY '!I1570,"AAAAADvXP8E=")</f>
        <v>#VALUE!</v>
      </c>
      <c r="GM75" t="e">
        <f>AND('STERLING CATALOG - DRY '!J1570,"AAAAADvXP8I=")</f>
        <v>#VALUE!</v>
      </c>
      <c r="GN75">
        <f>IF('STERLING CATALOG - DRY '!1571:1571,"AAAAADvXP8M=",0)</f>
        <v>0</v>
      </c>
      <c r="GO75" t="e">
        <f>AND('STERLING CATALOG - DRY '!A1571,"AAAAADvXP8Q=")</f>
        <v>#VALUE!</v>
      </c>
      <c r="GP75" t="e">
        <f>AND('STERLING CATALOG - DRY '!B1571,"AAAAADvXP8U=")</f>
        <v>#VALUE!</v>
      </c>
      <c r="GQ75" t="e">
        <f>AND('STERLING CATALOG - DRY '!C1571,"AAAAADvXP8Y=")</f>
        <v>#VALUE!</v>
      </c>
      <c r="GR75" t="e">
        <f>AND('STERLING CATALOG - DRY '!D1571,"AAAAADvXP8c=")</f>
        <v>#VALUE!</v>
      </c>
      <c r="GS75" t="e">
        <f>AND('STERLING CATALOG - DRY '!E1571,"AAAAADvXP8g=")</f>
        <v>#VALUE!</v>
      </c>
      <c r="GT75" t="e">
        <f>AND('STERLING CATALOG - DRY '!F1571,"AAAAADvXP8k=")</f>
        <v>#VALUE!</v>
      </c>
      <c r="GU75" t="e">
        <f>AND('STERLING CATALOG - DRY '!G1571,"AAAAADvXP8o=")</f>
        <v>#VALUE!</v>
      </c>
      <c r="GV75" t="e">
        <f>AND('STERLING CATALOG - DRY '!H1571,"AAAAADvXP8s=")</f>
        <v>#VALUE!</v>
      </c>
      <c r="GW75" t="e">
        <f>AND('STERLING CATALOG - DRY '!I1571,"AAAAADvXP8w=")</f>
        <v>#VALUE!</v>
      </c>
      <c r="GX75" t="e">
        <f>AND('STERLING CATALOG - DRY '!J1571,"AAAAADvXP80=")</f>
        <v>#VALUE!</v>
      </c>
      <c r="GY75">
        <f>IF('STERLING CATALOG - DRY '!1572:1572,"AAAAADvXP84=",0)</f>
        <v>0</v>
      </c>
      <c r="GZ75" t="e">
        <f>AND('STERLING CATALOG - DRY '!A1572,"AAAAADvXP88=")</f>
        <v>#VALUE!</v>
      </c>
      <c r="HA75" t="e">
        <f>AND('STERLING CATALOG - DRY '!B1572,"AAAAADvXP9A=")</f>
        <v>#VALUE!</v>
      </c>
      <c r="HB75" t="e">
        <f>AND('STERLING CATALOG - DRY '!C1572,"AAAAADvXP9E=")</f>
        <v>#VALUE!</v>
      </c>
      <c r="HC75" t="e">
        <f>AND('STERLING CATALOG - DRY '!D1572,"AAAAADvXP9I=")</f>
        <v>#VALUE!</v>
      </c>
      <c r="HD75" t="e">
        <f>AND('STERLING CATALOG - DRY '!E1572,"AAAAADvXP9M=")</f>
        <v>#VALUE!</v>
      </c>
      <c r="HE75" t="e">
        <f>AND('STERLING CATALOG - DRY '!F1572,"AAAAADvXP9Q=")</f>
        <v>#VALUE!</v>
      </c>
      <c r="HF75" t="e">
        <f>AND('STERLING CATALOG - DRY '!G1572,"AAAAADvXP9U=")</f>
        <v>#VALUE!</v>
      </c>
      <c r="HG75" t="e">
        <f>AND('STERLING CATALOG - DRY '!H1572,"AAAAADvXP9Y=")</f>
        <v>#VALUE!</v>
      </c>
      <c r="HH75" t="e">
        <f>AND('STERLING CATALOG - DRY '!I1572,"AAAAADvXP9c=")</f>
        <v>#VALUE!</v>
      </c>
      <c r="HI75" t="e">
        <f>AND('STERLING CATALOG - DRY '!J1572,"AAAAADvXP9g=")</f>
        <v>#VALUE!</v>
      </c>
      <c r="HJ75">
        <f>IF('STERLING CATALOG - DRY '!1573:1573,"AAAAADvXP9k=",0)</f>
        <v>0</v>
      </c>
      <c r="HK75" t="e">
        <f>AND('STERLING CATALOG - DRY '!A1573,"AAAAADvXP9o=")</f>
        <v>#VALUE!</v>
      </c>
      <c r="HL75" t="e">
        <f>AND('STERLING CATALOG - DRY '!B1573,"AAAAADvXP9s=")</f>
        <v>#VALUE!</v>
      </c>
      <c r="HM75" t="e">
        <f>AND('STERLING CATALOG - DRY '!C1573,"AAAAADvXP9w=")</f>
        <v>#VALUE!</v>
      </c>
      <c r="HN75" t="e">
        <f>AND('STERLING CATALOG - DRY '!D1573,"AAAAADvXP90=")</f>
        <v>#VALUE!</v>
      </c>
      <c r="HO75" t="e">
        <f>AND('STERLING CATALOG - DRY '!E1573,"AAAAADvXP94=")</f>
        <v>#VALUE!</v>
      </c>
      <c r="HP75" t="e">
        <f>AND('STERLING CATALOG - DRY '!F1573,"AAAAADvXP98=")</f>
        <v>#VALUE!</v>
      </c>
      <c r="HQ75" t="e">
        <f>AND('STERLING CATALOG - DRY '!G1573,"AAAAADvXP+A=")</f>
        <v>#VALUE!</v>
      </c>
      <c r="HR75" t="e">
        <f>AND('STERLING CATALOG - DRY '!H1573,"AAAAADvXP+E=")</f>
        <v>#VALUE!</v>
      </c>
      <c r="HS75" t="e">
        <f>AND('STERLING CATALOG - DRY '!I1573,"AAAAADvXP+I=")</f>
        <v>#VALUE!</v>
      </c>
      <c r="HT75" t="e">
        <f>AND('STERLING CATALOG - DRY '!J1573,"AAAAADvXP+M=")</f>
        <v>#VALUE!</v>
      </c>
      <c r="HU75">
        <f>IF('STERLING CATALOG - DRY '!1574:1574,"AAAAADvXP+Q=",0)</f>
        <v>0</v>
      </c>
      <c r="HV75" t="e">
        <f>AND('STERLING CATALOG - DRY '!A1574,"AAAAADvXP+U=")</f>
        <v>#VALUE!</v>
      </c>
      <c r="HW75" t="e">
        <f>AND('STERLING CATALOG - DRY '!B1574,"AAAAADvXP+Y=")</f>
        <v>#VALUE!</v>
      </c>
      <c r="HX75" t="e">
        <f>AND('STERLING CATALOG - DRY '!C1574,"AAAAADvXP+c=")</f>
        <v>#VALUE!</v>
      </c>
      <c r="HY75" t="e">
        <f>AND('STERLING CATALOG - DRY '!D1574,"AAAAADvXP+g=")</f>
        <v>#VALUE!</v>
      </c>
      <c r="HZ75" t="e">
        <f>AND('STERLING CATALOG - DRY '!E1574,"AAAAADvXP+k=")</f>
        <v>#VALUE!</v>
      </c>
      <c r="IA75" t="e">
        <f>AND('STERLING CATALOG - DRY '!F1574,"AAAAADvXP+o=")</f>
        <v>#VALUE!</v>
      </c>
      <c r="IB75" t="e">
        <f>AND('STERLING CATALOG - DRY '!G1574,"AAAAADvXP+s=")</f>
        <v>#VALUE!</v>
      </c>
      <c r="IC75" t="e">
        <f>AND('STERLING CATALOG - DRY '!H1574,"AAAAADvXP+w=")</f>
        <v>#VALUE!</v>
      </c>
      <c r="ID75" t="e">
        <f>AND('STERLING CATALOG - DRY '!I1574,"AAAAADvXP+0=")</f>
        <v>#VALUE!</v>
      </c>
      <c r="IE75" t="e">
        <f>AND('STERLING CATALOG - DRY '!J1574,"AAAAADvXP+4=")</f>
        <v>#VALUE!</v>
      </c>
      <c r="IF75">
        <f>IF('STERLING CATALOG - DRY '!1575:1575,"AAAAADvXP+8=",0)</f>
        <v>0</v>
      </c>
      <c r="IG75" t="e">
        <f>AND('STERLING CATALOG - DRY '!A1575,"AAAAADvXP/A=")</f>
        <v>#VALUE!</v>
      </c>
      <c r="IH75" t="e">
        <f>AND('STERLING CATALOG - DRY '!B1575,"AAAAADvXP/E=")</f>
        <v>#VALUE!</v>
      </c>
      <c r="II75" t="e">
        <f>AND('STERLING CATALOG - DRY '!C1575,"AAAAADvXP/I=")</f>
        <v>#VALUE!</v>
      </c>
      <c r="IJ75" t="e">
        <f>AND('STERLING CATALOG - DRY '!D1575,"AAAAADvXP/M=")</f>
        <v>#VALUE!</v>
      </c>
      <c r="IK75" t="e">
        <f>AND('STERLING CATALOG - DRY '!E1575,"AAAAADvXP/Q=")</f>
        <v>#VALUE!</v>
      </c>
      <c r="IL75" t="e">
        <f>AND('STERLING CATALOG - DRY '!F1575,"AAAAADvXP/U=")</f>
        <v>#VALUE!</v>
      </c>
      <c r="IM75" t="e">
        <f>AND('STERLING CATALOG - DRY '!G1575,"AAAAADvXP/Y=")</f>
        <v>#VALUE!</v>
      </c>
      <c r="IN75" t="e">
        <f>AND('STERLING CATALOG - DRY '!H1575,"AAAAADvXP/c=")</f>
        <v>#VALUE!</v>
      </c>
      <c r="IO75" t="e">
        <f>AND('STERLING CATALOG - DRY '!I1575,"AAAAADvXP/g=")</f>
        <v>#VALUE!</v>
      </c>
      <c r="IP75" t="e">
        <f>AND('STERLING CATALOG - DRY '!J1575,"AAAAADvXP/k=")</f>
        <v>#VALUE!</v>
      </c>
      <c r="IQ75">
        <f>IF('STERLING CATALOG - DRY '!1576:1576,"AAAAADvXP/o=",0)</f>
        <v>0</v>
      </c>
      <c r="IR75" t="e">
        <f>AND('STERLING CATALOG - DRY '!A1576,"AAAAADvXP/s=")</f>
        <v>#VALUE!</v>
      </c>
      <c r="IS75" t="e">
        <f>AND('STERLING CATALOG - DRY '!B1576,"AAAAADvXP/w=")</f>
        <v>#VALUE!</v>
      </c>
      <c r="IT75" t="e">
        <f>AND('STERLING CATALOG - DRY '!C1576,"AAAAADvXP/0=")</f>
        <v>#VALUE!</v>
      </c>
      <c r="IU75" t="e">
        <f>AND('STERLING CATALOG - DRY '!D1576,"AAAAADvXP/4=")</f>
        <v>#VALUE!</v>
      </c>
      <c r="IV75" t="e">
        <f>AND('STERLING CATALOG - DRY '!E1576,"AAAAADvXP/8=")</f>
        <v>#VALUE!</v>
      </c>
    </row>
    <row r="76" spans="1:256">
      <c r="A76" t="e">
        <f>AND('STERLING CATALOG - DRY '!F1576,"AAAAADWv+wA=")</f>
        <v>#VALUE!</v>
      </c>
      <c r="B76" t="e">
        <f>AND('STERLING CATALOG - DRY '!G1576,"AAAAADWv+wE=")</f>
        <v>#VALUE!</v>
      </c>
      <c r="C76" t="e">
        <f>AND('STERLING CATALOG - DRY '!H1576,"AAAAADWv+wI=")</f>
        <v>#VALUE!</v>
      </c>
      <c r="D76" t="e">
        <f>AND('STERLING CATALOG - DRY '!I1576,"AAAAADWv+wM=")</f>
        <v>#VALUE!</v>
      </c>
      <c r="E76" t="e">
        <f>AND('STERLING CATALOG - DRY '!J1576,"AAAAADWv+wQ=")</f>
        <v>#VALUE!</v>
      </c>
      <c r="F76" t="str">
        <f>IF('STERLING CATALOG - DRY '!1577:1577,"AAAAADWv+wU=",0)</f>
        <v>AAAAADWv+wU=</v>
      </c>
      <c r="G76" t="e">
        <f>AND('STERLING CATALOG - DRY '!A1577,"AAAAADWv+wY=")</f>
        <v>#VALUE!</v>
      </c>
      <c r="H76" t="e">
        <f>AND('STERLING CATALOG - DRY '!B1577,"AAAAADWv+wc=")</f>
        <v>#VALUE!</v>
      </c>
      <c r="I76" t="e">
        <f>AND('STERLING CATALOG - DRY '!C1577,"AAAAADWv+wg=")</f>
        <v>#VALUE!</v>
      </c>
      <c r="J76" t="e">
        <f>AND('STERLING CATALOG - DRY '!D1577,"AAAAADWv+wk=")</f>
        <v>#VALUE!</v>
      </c>
      <c r="K76" t="e">
        <f>AND('STERLING CATALOG - DRY '!E1577,"AAAAADWv+wo=")</f>
        <v>#VALUE!</v>
      </c>
      <c r="L76" t="e">
        <f>AND('STERLING CATALOG - DRY '!F1577,"AAAAADWv+ws=")</f>
        <v>#VALUE!</v>
      </c>
      <c r="M76" t="e">
        <f>AND('STERLING CATALOG - DRY '!G1577,"AAAAADWv+ww=")</f>
        <v>#VALUE!</v>
      </c>
      <c r="N76" t="e">
        <f>AND('STERLING CATALOG - DRY '!H1577,"AAAAADWv+w0=")</f>
        <v>#VALUE!</v>
      </c>
      <c r="O76" t="e">
        <f>AND('STERLING CATALOG - DRY '!I1577,"AAAAADWv+w4=")</f>
        <v>#VALUE!</v>
      </c>
      <c r="P76" t="e">
        <f>AND('STERLING CATALOG - DRY '!J1577,"AAAAADWv+w8=")</f>
        <v>#VALUE!</v>
      </c>
      <c r="Q76">
        <f>IF('STERLING CATALOG - DRY '!1578:1578,"AAAAADWv+xA=",0)</f>
        <v>0</v>
      </c>
      <c r="R76" t="e">
        <f>AND('STERLING CATALOG - DRY '!A1578,"AAAAADWv+xE=")</f>
        <v>#VALUE!</v>
      </c>
      <c r="S76" t="e">
        <f>AND('STERLING CATALOG - DRY '!B1578,"AAAAADWv+xI=")</f>
        <v>#VALUE!</v>
      </c>
      <c r="T76" t="e">
        <f>AND('STERLING CATALOG - DRY '!C1578,"AAAAADWv+xM=")</f>
        <v>#VALUE!</v>
      </c>
      <c r="U76" t="e">
        <f>AND('STERLING CATALOG - DRY '!D1578,"AAAAADWv+xQ=")</f>
        <v>#VALUE!</v>
      </c>
      <c r="V76" t="e">
        <f>AND('STERLING CATALOG - DRY '!E1578,"AAAAADWv+xU=")</f>
        <v>#VALUE!</v>
      </c>
      <c r="W76" t="e">
        <f>AND('STERLING CATALOG - DRY '!F1578,"AAAAADWv+xY=")</f>
        <v>#VALUE!</v>
      </c>
      <c r="X76" t="e">
        <f>AND('STERLING CATALOG - DRY '!G1578,"AAAAADWv+xc=")</f>
        <v>#VALUE!</v>
      </c>
      <c r="Y76" t="e">
        <f>AND('STERLING CATALOG - DRY '!H1578,"AAAAADWv+xg=")</f>
        <v>#VALUE!</v>
      </c>
      <c r="Z76" t="e">
        <f>AND('STERLING CATALOG - DRY '!I1578,"AAAAADWv+xk=")</f>
        <v>#VALUE!</v>
      </c>
      <c r="AA76" t="e">
        <f>AND('STERLING CATALOG - DRY '!J1578,"AAAAADWv+xo=")</f>
        <v>#VALUE!</v>
      </c>
      <c r="AB76">
        <f>IF('STERLING CATALOG - DRY '!1579:1579,"AAAAADWv+xs=",0)</f>
        <v>0</v>
      </c>
      <c r="AC76" t="e">
        <f>AND('STERLING CATALOG - DRY '!A1579,"AAAAADWv+xw=")</f>
        <v>#VALUE!</v>
      </c>
      <c r="AD76" t="e">
        <f>AND('STERLING CATALOG - DRY '!B1579,"AAAAADWv+x0=")</f>
        <v>#VALUE!</v>
      </c>
      <c r="AE76" t="e">
        <f>AND('STERLING CATALOG - DRY '!C1579,"AAAAADWv+x4=")</f>
        <v>#VALUE!</v>
      </c>
      <c r="AF76" t="e">
        <f>AND('STERLING CATALOG - DRY '!D1579,"AAAAADWv+x8=")</f>
        <v>#VALUE!</v>
      </c>
      <c r="AG76" t="e">
        <f>AND('STERLING CATALOG - DRY '!E1579,"AAAAADWv+yA=")</f>
        <v>#VALUE!</v>
      </c>
      <c r="AH76" t="e">
        <f>AND('STERLING CATALOG - DRY '!F1579,"AAAAADWv+yE=")</f>
        <v>#VALUE!</v>
      </c>
      <c r="AI76" t="e">
        <f>AND('STERLING CATALOG - DRY '!G1579,"AAAAADWv+yI=")</f>
        <v>#VALUE!</v>
      </c>
      <c r="AJ76" t="e">
        <f>AND('STERLING CATALOG - DRY '!H1579,"AAAAADWv+yM=")</f>
        <v>#VALUE!</v>
      </c>
      <c r="AK76" t="e">
        <f>AND('STERLING CATALOG - DRY '!I1579,"AAAAADWv+yQ=")</f>
        <v>#VALUE!</v>
      </c>
      <c r="AL76" t="e">
        <f>AND('STERLING CATALOG - DRY '!J1579,"AAAAADWv+yU=")</f>
        <v>#VALUE!</v>
      </c>
      <c r="AM76">
        <f>IF('STERLING CATALOG - DRY '!1580:1580,"AAAAADWv+yY=",0)</f>
        <v>0</v>
      </c>
      <c r="AN76" t="e">
        <f>AND('STERLING CATALOG - DRY '!A1580,"AAAAADWv+yc=")</f>
        <v>#VALUE!</v>
      </c>
      <c r="AO76" t="e">
        <f>AND('STERLING CATALOG - DRY '!B1580,"AAAAADWv+yg=")</f>
        <v>#VALUE!</v>
      </c>
      <c r="AP76" t="e">
        <f>AND('STERLING CATALOG - DRY '!C1580,"AAAAADWv+yk=")</f>
        <v>#VALUE!</v>
      </c>
      <c r="AQ76" t="e">
        <f>AND('STERLING CATALOG - DRY '!D1580,"AAAAADWv+yo=")</f>
        <v>#VALUE!</v>
      </c>
      <c r="AR76" t="e">
        <f>AND('STERLING CATALOG - DRY '!E1580,"AAAAADWv+ys=")</f>
        <v>#VALUE!</v>
      </c>
      <c r="AS76" t="e">
        <f>AND('STERLING CATALOG - DRY '!F1580,"AAAAADWv+yw=")</f>
        <v>#VALUE!</v>
      </c>
      <c r="AT76" t="e">
        <f>AND('STERLING CATALOG - DRY '!G1580,"AAAAADWv+y0=")</f>
        <v>#VALUE!</v>
      </c>
      <c r="AU76" t="e">
        <f>AND('STERLING CATALOG - DRY '!H1580,"AAAAADWv+y4=")</f>
        <v>#VALUE!</v>
      </c>
      <c r="AV76" t="e">
        <f>AND('STERLING CATALOG - DRY '!I1580,"AAAAADWv+y8=")</f>
        <v>#VALUE!</v>
      </c>
      <c r="AW76" t="e">
        <f>AND('STERLING CATALOG - DRY '!J1580,"AAAAADWv+zA=")</f>
        <v>#VALUE!</v>
      </c>
      <c r="AX76">
        <f>IF('STERLING CATALOG - DRY '!1581:1581,"AAAAADWv+zE=",0)</f>
        <v>0</v>
      </c>
      <c r="AY76" t="e">
        <f>AND('STERLING CATALOG - DRY '!A1581,"AAAAADWv+zI=")</f>
        <v>#VALUE!</v>
      </c>
      <c r="AZ76" t="e">
        <f>AND('STERLING CATALOG - DRY '!B1581,"AAAAADWv+zM=")</f>
        <v>#VALUE!</v>
      </c>
      <c r="BA76" t="e">
        <f>AND('STERLING CATALOG - DRY '!C1581,"AAAAADWv+zQ=")</f>
        <v>#VALUE!</v>
      </c>
      <c r="BB76" t="e">
        <f>AND('STERLING CATALOG - DRY '!D1581,"AAAAADWv+zU=")</f>
        <v>#VALUE!</v>
      </c>
      <c r="BC76" t="e">
        <f>AND('STERLING CATALOG - DRY '!E1581,"AAAAADWv+zY=")</f>
        <v>#VALUE!</v>
      </c>
      <c r="BD76" t="e">
        <f>AND('STERLING CATALOG - DRY '!F1581,"AAAAADWv+zc=")</f>
        <v>#VALUE!</v>
      </c>
      <c r="BE76" t="e">
        <f>AND('STERLING CATALOG - DRY '!G1581,"AAAAADWv+zg=")</f>
        <v>#VALUE!</v>
      </c>
      <c r="BF76" t="e">
        <f>AND('STERLING CATALOG - DRY '!H1581,"AAAAADWv+zk=")</f>
        <v>#VALUE!</v>
      </c>
      <c r="BG76" t="e">
        <f>AND('STERLING CATALOG - DRY '!I1581,"AAAAADWv+zo=")</f>
        <v>#VALUE!</v>
      </c>
      <c r="BH76" t="e">
        <f>AND('STERLING CATALOG - DRY '!J1581,"AAAAADWv+zs=")</f>
        <v>#VALUE!</v>
      </c>
      <c r="BI76">
        <f>IF('STERLING CATALOG - DRY '!1582:1582,"AAAAADWv+zw=",0)</f>
        <v>0</v>
      </c>
      <c r="BJ76" t="e">
        <f>AND('STERLING CATALOG - DRY '!A1582,"AAAAADWv+z0=")</f>
        <v>#VALUE!</v>
      </c>
      <c r="BK76" t="e">
        <f>AND('STERLING CATALOG - DRY '!B1582,"AAAAADWv+z4=")</f>
        <v>#VALUE!</v>
      </c>
      <c r="BL76" t="e">
        <f>AND('STERLING CATALOG - DRY '!C1582,"AAAAADWv+z8=")</f>
        <v>#VALUE!</v>
      </c>
      <c r="BM76" t="e">
        <f>AND('STERLING CATALOG - DRY '!D1582,"AAAAADWv+0A=")</f>
        <v>#VALUE!</v>
      </c>
      <c r="BN76" t="e">
        <f>AND('STERLING CATALOG - DRY '!E1582,"AAAAADWv+0E=")</f>
        <v>#VALUE!</v>
      </c>
      <c r="BO76" t="e">
        <f>AND('STERLING CATALOG - DRY '!F1582,"AAAAADWv+0I=")</f>
        <v>#VALUE!</v>
      </c>
      <c r="BP76" t="e">
        <f>AND('STERLING CATALOG - DRY '!G1582,"AAAAADWv+0M=")</f>
        <v>#VALUE!</v>
      </c>
      <c r="BQ76" t="e">
        <f>AND('STERLING CATALOG - DRY '!H1582,"AAAAADWv+0Q=")</f>
        <v>#VALUE!</v>
      </c>
      <c r="BR76" t="e">
        <f>AND('STERLING CATALOG - DRY '!I1582,"AAAAADWv+0U=")</f>
        <v>#VALUE!</v>
      </c>
      <c r="BS76" t="e">
        <f>AND('STERLING CATALOG - DRY '!J1582,"AAAAADWv+0Y=")</f>
        <v>#VALUE!</v>
      </c>
      <c r="BT76">
        <f>IF('STERLING CATALOG - DRY '!1583:1583,"AAAAADWv+0c=",0)</f>
        <v>0</v>
      </c>
      <c r="BU76" t="e">
        <f>AND('STERLING CATALOG - DRY '!A1583,"AAAAADWv+0g=")</f>
        <v>#VALUE!</v>
      </c>
      <c r="BV76" t="e">
        <f>AND('STERLING CATALOG - DRY '!B1583,"AAAAADWv+0k=")</f>
        <v>#VALUE!</v>
      </c>
      <c r="BW76" t="e">
        <f>AND('STERLING CATALOG - DRY '!C1583,"AAAAADWv+0o=")</f>
        <v>#VALUE!</v>
      </c>
      <c r="BX76" t="e">
        <f>AND('STERLING CATALOG - DRY '!D1583,"AAAAADWv+0s=")</f>
        <v>#VALUE!</v>
      </c>
      <c r="BY76" t="e">
        <f>AND('STERLING CATALOG - DRY '!E1583,"AAAAADWv+0w=")</f>
        <v>#VALUE!</v>
      </c>
      <c r="BZ76" t="e">
        <f>AND('STERLING CATALOG - DRY '!F1583,"AAAAADWv+00=")</f>
        <v>#VALUE!</v>
      </c>
      <c r="CA76" t="e">
        <f>AND('STERLING CATALOG - DRY '!G1583,"AAAAADWv+04=")</f>
        <v>#VALUE!</v>
      </c>
      <c r="CB76" t="e">
        <f>AND('STERLING CATALOG - DRY '!H1583,"AAAAADWv+08=")</f>
        <v>#VALUE!</v>
      </c>
      <c r="CC76" t="e">
        <f>AND('STERLING CATALOG - DRY '!I1583,"AAAAADWv+1A=")</f>
        <v>#VALUE!</v>
      </c>
      <c r="CD76" t="e">
        <f>AND('STERLING CATALOG - DRY '!J1583,"AAAAADWv+1E=")</f>
        <v>#VALUE!</v>
      </c>
      <c r="CE76">
        <f>IF('STERLING CATALOG - DRY '!1584:1584,"AAAAADWv+1I=",0)</f>
        <v>0</v>
      </c>
      <c r="CF76" t="e">
        <f>AND('STERLING CATALOG - DRY '!A1584,"AAAAADWv+1M=")</f>
        <v>#VALUE!</v>
      </c>
      <c r="CG76" t="e">
        <f>AND('STERLING CATALOG - DRY '!B1584,"AAAAADWv+1Q=")</f>
        <v>#VALUE!</v>
      </c>
      <c r="CH76" t="e">
        <f>AND('STERLING CATALOG - DRY '!C1584,"AAAAADWv+1U=")</f>
        <v>#VALUE!</v>
      </c>
      <c r="CI76" t="e">
        <f>AND('STERLING CATALOG - DRY '!D1584,"AAAAADWv+1Y=")</f>
        <v>#VALUE!</v>
      </c>
      <c r="CJ76" t="e">
        <f>AND('STERLING CATALOG - DRY '!E1584,"AAAAADWv+1c=")</f>
        <v>#VALUE!</v>
      </c>
      <c r="CK76" t="e">
        <f>AND('STERLING CATALOG - DRY '!F1584,"AAAAADWv+1g=")</f>
        <v>#VALUE!</v>
      </c>
      <c r="CL76" t="e">
        <f>AND('STERLING CATALOG - DRY '!G1584,"AAAAADWv+1k=")</f>
        <v>#VALUE!</v>
      </c>
      <c r="CM76" t="e">
        <f>AND('STERLING CATALOG - DRY '!H1584,"AAAAADWv+1o=")</f>
        <v>#VALUE!</v>
      </c>
      <c r="CN76" t="e">
        <f>AND('STERLING CATALOG - DRY '!I1584,"AAAAADWv+1s=")</f>
        <v>#VALUE!</v>
      </c>
      <c r="CO76" t="e">
        <f>AND('STERLING CATALOG - DRY '!J1584,"AAAAADWv+1w=")</f>
        <v>#VALUE!</v>
      </c>
      <c r="CP76">
        <f>IF('STERLING CATALOG - DRY '!1585:1585,"AAAAADWv+10=",0)</f>
        <v>0</v>
      </c>
      <c r="CQ76" t="e">
        <f>AND('STERLING CATALOG - DRY '!A1585,"AAAAADWv+14=")</f>
        <v>#VALUE!</v>
      </c>
      <c r="CR76" t="e">
        <f>AND('STERLING CATALOG - DRY '!B1585,"AAAAADWv+18=")</f>
        <v>#VALUE!</v>
      </c>
      <c r="CS76" t="e">
        <f>AND('STERLING CATALOG - DRY '!C1585,"AAAAADWv+2A=")</f>
        <v>#VALUE!</v>
      </c>
      <c r="CT76" t="e">
        <f>AND('STERLING CATALOG - DRY '!D1585,"AAAAADWv+2E=")</f>
        <v>#VALUE!</v>
      </c>
      <c r="CU76" t="e">
        <f>AND('STERLING CATALOG - DRY '!E1585,"AAAAADWv+2I=")</f>
        <v>#VALUE!</v>
      </c>
      <c r="CV76" t="e">
        <f>AND('STERLING CATALOG - DRY '!F1585,"AAAAADWv+2M=")</f>
        <v>#VALUE!</v>
      </c>
      <c r="CW76" t="e">
        <f>AND('STERLING CATALOG - DRY '!G1585,"AAAAADWv+2Q=")</f>
        <v>#VALUE!</v>
      </c>
      <c r="CX76" t="e">
        <f>AND('STERLING CATALOG - DRY '!H1585,"AAAAADWv+2U=")</f>
        <v>#VALUE!</v>
      </c>
      <c r="CY76" t="e">
        <f>AND('STERLING CATALOG - DRY '!I1585,"AAAAADWv+2Y=")</f>
        <v>#VALUE!</v>
      </c>
      <c r="CZ76" t="e">
        <f>AND('STERLING CATALOG - DRY '!J1585,"AAAAADWv+2c=")</f>
        <v>#VALUE!</v>
      </c>
      <c r="DA76">
        <f>IF('STERLING CATALOG - DRY '!1586:1586,"AAAAADWv+2g=",0)</f>
        <v>0</v>
      </c>
      <c r="DB76" t="e">
        <f>AND('STERLING CATALOG - DRY '!A1586,"AAAAADWv+2k=")</f>
        <v>#VALUE!</v>
      </c>
      <c r="DC76" t="e">
        <f>AND('STERLING CATALOG - DRY '!B1586,"AAAAADWv+2o=")</f>
        <v>#VALUE!</v>
      </c>
      <c r="DD76" t="e">
        <f>AND('STERLING CATALOG - DRY '!C1586,"AAAAADWv+2s=")</f>
        <v>#VALUE!</v>
      </c>
      <c r="DE76" t="e">
        <f>AND('STERLING CATALOG - DRY '!D1586,"AAAAADWv+2w=")</f>
        <v>#VALUE!</v>
      </c>
      <c r="DF76" t="e">
        <f>AND('STERLING CATALOG - DRY '!E1586,"AAAAADWv+20=")</f>
        <v>#VALUE!</v>
      </c>
      <c r="DG76" t="e">
        <f>AND('STERLING CATALOG - DRY '!F1586,"AAAAADWv+24=")</f>
        <v>#VALUE!</v>
      </c>
      <c r="DH76" t="e">
        <f>AND('STERLING CATALOG - DRY '!G1586,"AAAAADWv+28=")</f>
        <v>#VALUE!</v>
      </c>
      <c r="DI76" t="e">
        <f>AND('STERLING CATALOG - DRY '!H1586,"AAAAADWv+3A=")</f>
        <v>#VALUE!</v>
      </c>
      <c r="DJ76" t="e">
        <f>AND('STERLING CATALOG - DRY '!I1586,"AAAAADWv+3E=")</f>
        <v>#VALUE!</v>
      </c>
      <c r="DK76" t="e">
        <f>AND('STERLING CATALOG - DRY '!J1586,"AAAAADWv+3I=")</f>
        <v>#VALUE!</v>
      </c>
      <c r="DL76">
        <f>IF('STERLING CATALOG - DRY '!1587:1587,"AAAAADWv+3M=",0)</f>
        <v>0</v>
      </c>
      <c r="DM76" t="e">
        <f>AND('STERLING CATALOG - DRY '!A1587,"AAAAADWv+3Q=")</f>
        <v>#VALUE!</v>
      </c>
      <c r="DN76" t="e">
        <f>AND('STERLING CATALOG - DRY '!B1587,"AAAAADWv+3U=")</f>
        <v>#VALUE!</v>
      </c>
      <c r="DO76" t="e">
        <f>AND('STERLING CATALOG - DRY '!C1587,"AAAAADWv+3Y=")</f>
        <v>#VALUE!</v>
      </c>
      <c r="DP76" t="e">
        <f>AND('STERLING CATALOG - DRY '!D1587,"AAAAADWv+3c=")</f>
        <v>#VALUE!</v>
      </c>
      <c r="DQ76" t="e">
        <f>AND('STERLING CATALOG - DRY '!E1587,"AAAAADWv+3g=")</f>
        <v>#VALUE!</v>
      </c>
      <c r="DR76" t="e">
        <f>AND('STERLING CATALOG - DRY '!F1587,"AAAAADWv+3k=")</f>
        <v>#VALUE!</v>
      </c>
      <c r="DS76" t="e">
        <f>AND('STERLING CATALOG - DRY '!G1587,"AAAAADWv+3o=")</f>
        <v>#VALUE!</v>
      </c>
      <c r="DT76" t="e">
        <f>AND('STERLING CATALOG - DRY '!H1587,"AAAAADWv+3s=")</f>
        <v>#VALUE!</v>
      </c>
      <c r="DU76" t="e">
        <f>AND('STERLING CATALOG - DRY '!I1587,"AAAAADWv+3w=")</f>
        <v>#VALUE!</v>
      </c>
      <c r="DV76" t="e">
        <f>AND('STERLING CATALOG - DRY '!J1587,"AAAAADWv+30=")</f>
        <v>#VALUE!</v>
      </c>
      <c r="DW76">
        <f>IF('STERLING CATALOG - DRY '!1588:1588,"AAAAADWv+34=",0)</f>
        <v>0</v>
      </c>
      <c r="DX76" t="e">
        <f>AND('STERLING CATALOG - DRY '!A1588,"AAAAADWv+38=")</f>
        <v>#VALUE!</v>
      </c>
      <c r="DY76" t="e">
        <f>AND('STERLING CATALOG - DRY '!B1588,"AAAAADWv+4A=")</f>
        <v>#VALUE!</v>
      </c>
      <c r="DZ76" t="e">
        <f>AND('STERLING CATALOG - DRY '!C1588,"AAAAADWv+4E=")</f>
        <v>#VALUE!</v>
      </c>
      <c r="EA76" t="e">
        <f>AND('STERLING CATALOG - DRY '!D1588,"AAAAADWv+4I=")</f>
        <v>#VALUE!</v>
      </c>
      <c r="EB76" t="e">
        <f>AND('STERLING CATALOG - DRY '!E1588,"AAAAADWv+4M=")</f>
        <v>#VALUE!</v>
      </c>
      <c r="EC76" t="e">
        <f>AND('STERLING CATALOG - DRY '!F1588,"AAAAADWv+4Q=")</f>
        <v>#VALUE!</v>
      </c>
      <c r="ED76" t="e">
        <f>AND('STERLING CATALOG - DRY '!G1588,"AAAAADWv+4U=")</f>
        <v>#VALUE!</v>
      </c>
      <c r="EE76" t="e">
        <f>AND('STERLING CATALOG - DRY '!H1588,"AAAAADWv+4Y=")</f>
        <v>#VALUE!</v>
      </c>
      <c r="EF76" t="e">
        <f>AND('STERLING CATALOG - DRY '!I1588,"AAAAADWv+4c=")</f>
        <v>#VALUE!</v>
      </c>
      <c r="EG76" t="e">
        <f>AND('STERLING CATALOG - DRY '!J1588,"AAAAADWv+4g=")</f>
        <v>#VALUE!</v>
      </c>
      <c r="EH76">
        <f>IF('STERLING CATALOG - DRY '!1589:1589,"AAAAADWv+4k=",0)</f>
        <v>0</v>
      </c>
      <c r="EI76" t="e">
        <f>AND('STERLING CATALOG - DRY '!A1589,"AAAAADWv+4o=")</f>
        <v>#VALUE!</v>
      </c>
      <c r="EJ76" t="e">
        <f>AND('STERLING CATALOG - DRY '!B1589,"AAAAADWv+4s=")</f>
        <v>#VALUE!</v>
      </c>
      <c r="EK76" t="e">
        <f>AND('STERLING CATALOG - DRY '!C1589,"AAAAADWv+4w=")</f>
        <v>#VALUE!</v>
      </c>
      <c r="EL76" t="e">
        <f>AND('STERLING CATALOG - DRY '!D1589,"AAAAADWv+40=")</f>
        <v>#VALUE!</v>
      </c>
      <c r="EM76" t="e">
        <f>AND('STERLING CATALOG - DRY '!E1589,"AAAAADWv+44=")</f>
        <v>#VALUE!</v>
      </c>
      <c r="EN76" t="e">
        <f>AND('STERLING CATALOG - DRY '!F1589,"AAAAADWv+48=")</f>
        <v>#VALUE!</v>
      </c>
      <c r="EO76" t="e">
        <f>AND('STERLING CATALOG - DRY '!G1589,"AAAAADWv+5A=")</f>
        <v>#VALUE!</v>
      </c>
      <c r="EP76" t="e">
        <f>AND('STERLING CATALOG - DRY '!H1589,"AAAAADWv+5E=")</f>
        <v>#VALUE!</v>
      </c>
      <c r="EQ76" t="e">
        <f>AND('STERLING CATALOG - DRY '!I1589,"AAAAADWv+5I=")</f>
        <v>#VALUE!</v>
      </c>
      <c r="ER76" t="e">
        <f>AND('STERLING CATALOG - DRY '!J1589,"AAAAADWv+5M=")</f>
        <v>#VALUE!</v>
      </c>
      <c r="ES76">
        <f>IF('STERLING CATALOG - DRY '!1590:1590,"AAAAADWv+5Q=",0)</f>
        <v>0</v>
      </c>
      <c r="ET76" t="e">
        <f>AND('STERLING CATALOG - DRY '!A1590,"AAAAADWv+5U=")</f>
        <v>#VALUE!</v>
      </c>
      <c r="EU76" t="e">
        <f>AND('STERLING CATALOG - DRY '!B1590,"AAAAADWv+5Y=")</f>
        <v>#VALUE!</v>
      </c>
      <c r="EV76" t="e">
        <f>AND('STERLING CATALOG - DRY '!C1590,"AAAAADWv+5c=")</f>
        <v>#VALUE!</v>
      </c>
      <c r="EW76" t="e">
        <f>AND('STERLING CATALOG - DRY '!D1590,"AAAAADWv+5g=")</f>
        <v>#VALUE!</v>
      </c>
      <c r="EX76" t="e">
        <f>AND('STERLING CATALOG - DRY '!E1590,"AAAAADWv+5k=")</f>
        <v>#VALUE!</v>
      </c>
      <c r="EY76" t="e">
        <f>AND('STERLING CATALOG - DRY '!F1590,"AAAAADWv+5o=")</f>
        <v>#VALUE!</v>
      </c>
      <c r="EZ76" t="e">
        <f>AND('STERLING CATALOG - DRY '!G1590,"AAAAADWv+5s=")</f>
        <v>#VALUE!</v>
      </c>
      <c r="FA76" t="e">
        <f>AND('STERLING CATALOG - DRY '!H1590,"AAAAADWv+5w=")</f>
        <v>#VALUE!</v>
      </c>
      <c r="FB76" t="e">
        <f>AND('STERLING CATALOG - DRY '!I1590,"AAAAADWv+50=")</f>
        <v>#VALUE!</v>
      </c>
      <c r="FC76" t="e">
        <f>AND('STERLING CATALOG - DRY '!J1590,"AAAAADWv+54=")</f>
        <v>#VALUE!</v>
      </c>
      <c r="FD76">
        <f>IF('STERLING CATALOG - DRY '!1591:1591,"AAAAADWv+58=",0)</f>
        <v>0</v>
      </c>
      <c r="FE76" t="e">
        <f>AND('STERLING CATALOG - DRY '!A1591,"AAAAADWv+6A=")</f>
        <v>#VALUE!</v>
      </c>
      <c r="FF76" t="e">
        <f>AND('STERLING CATALOG - DRY '!B1591,"AAAAADWv+6E=")</f>
        <v>#VALUE!</v>
      </c>
      <c r="FG76" t="e">
        <f>AND('STERLING CATALOG - DRY '!C1591,"AAAAADWv+6I=")</f>
        <v>#VALUE!</v>
      </c>
      <c r="FH76" t="e">
        <f>AND('STERLING CATALOG - DRY '!D1591,"AAAAADWv+6M=")</f>
        <v>#VALUE!</v>
      </c>
      <c r="FI76" t="e">
        <f>AND('STERLING CATALOG - DRY '!E1591,"AAAAADWv+6Q=")</f>
        <v>#VALUE!</v>
      </c>
      <c r="FJ76" t="e">
        <f>AND('STERLING CATALOG - DRY '!F1591,"AAAAADWv+6U=")</f>
        <v>#VALUE!</v>
      </c>
      <c r="FK76" t="e">
        <f>AND('STERLING CATALOG - DRY '!G1591,"AAAAADWv+6Y=")</f>
        <v>#VALUE!</v>
      </c>
      <c r="FL76" t="e">
        <f>AND('STERLING CATALOG - DRY '!H1591,"AAAAADWv+6c=")</f>
        <v>#VALUE!</v>
      </c>
      <c r="FM76" t="e">
        <f>AND('STERLING CATALOG - DRY '!I1591,"AAAAADWv+6g=")</f>
        <v>#VALUE!</v>
      </c>
      <c r="FN76" t="e">
        <f>AND('STERLING CATALOG - DRY '!J1591,"AAAAADWv+6k=")</f>
        <v>#VALUE!</v>
      </c>
      <c r="FO76">
        <f>IF('STERLING CATALOG - DRY '!1592:1592,"AAAAADWv+6o=",0)</f>
        <v>0</v>
      </c>
      <c r="FP76" t="e">
        <f>AND('STERLING CATALOG - DRY '!A1592,"AAAAADWv+6s=")</f>
        <v>#VALUE!</v>
      </c>
      <c r="FQ76" t="e">
        <f>AND('STERLING CATALOG - DRY '!B1592,"AAAAADWv+6w=")</f>
        <v>#VALUE!</v>
      </c>
      <c r="FR76" t="e">
        <f>AND('STERLING CATALOG - DRY '!C1592,"AAAAADWv+60=")</f>
        <v>#VALUE!</v>
      </c>
      <c r="FS76" t="e">
        <f>AND('STERLING CATALOG - DRY '!D1592,"AAAAADWv+64=")</f>
        <v>#VALUE!</v>
      </c>
      <c r="FT76" t="e">
        <f>AND('STERLING CATALOG - DRY '!E1592,"AAAAADWv+68=")</f>
        <v>#VALUE!</v>
      </c>
      <c r="FU76" t="e">
        <f>AND('STERLING CATALOG - DRY '!F1592,"AAAAADWv+7A=")</f>
        <v>#VALUE!</v>
      </c>
      <c r="FV76" t="e">
        <f>AND('STERLING CATALOG - DRY '!G1592,"AAAAADWv+7E=")</f>
        <v>#VALUE!</v>
      </c>
      <c r="FW76" t="e">
        <f>AND('STERLING CATALOG - DRY '!H1592,"AAAAADWv+7I=")</f>
        <v>#VALUE!</v>
      </c>
      <c r="FX76" t="e">
        <f>AND('STERLING CATALOG - DRY '!I1592,"AAAAADWv+7M=")</f>
        <v>#VALUE!</v>
      </c>
      <c r="FY76" t="e">
        <f>AND('STERLING CATALOG - DRY '!J1592,"AAAAADWv+7Q=")</f>
        <v>#VALUE!</v>
      </c>
      <c r="FZ76">
        <f>IF('STERLING CATALOG - DRY '!1593:1593,"AAAAADWv+7U=",0)</f>
        <v>0</v>
      </c>
      <c r="GA76" t="e">
        <f>AND('STERLING CATALOG - DRY '!A1593,"AAAAADWv+7Y=")</f>
        <v>#VALUE!</v>
      </c>
      <c r="GB76" t="e">
        <f>AND('STERLING CATALOG - DRY '!B1593,"AAAAADWv+7c=")</f>
        <v>#VALUE!</v>
      </c>
      <c r="GC76" t="e">
        <f>AND('STERLING CATALOG - DRY '!C1593,"AAAAADWv+7g=")</f>
        <v>#VALUE!</v>
      </c>
      <c r="GD76" t="e">
        <f>AND('STERLING CATALOG - DRY '!D1593,"AAAAADWv+7k=")</f>
        <v>#VALUE!</v>
      </c>
      <c r="GE76" t="e">
        <f>AND('STERLING CATALOG - DRY '!E1593,"AAAAADWv+7o=")</f>
        <v>#VALUE!</v>
      </c>
      <c r="GF76" t="e">
        <f>AND('STERLING CATALOG - DRY '!F1593,"AAAAADWv+7s=")</f>
        <v>#VALUE!</v>
      </c>
      <c r="GG76" t="e">
        <f>AND('STERLING CATALOG - DRY '!G1593,"AAAAADWv+7w=")</f>
        <v>#VALUE!</v>
      </c>
      <c r="GH76" t="e">
        <f>AND('STERLING CATALOG - DRY '!H1593,"AAAAADWv+70=")</f>
        <v>#VALUE!</v>
      </c>
      <c r="GI76" t="e">
        <f>AND('STERLING CATALOG - DRY '!I1593,"AAAAADWv+74=")</f>
        <v>#VALUE!</v>
      </c>
      <c r="GJ76" t="e">
        <f>AND('STERLING CATALOG - DRY '!J1593,"AAAAADWv+78=")</f>
        <v>#VALUE!</v>
      </c>
      <c r="GK76">
        <f>IF('STERLING CATALOG - DRY '!1594:1594,"AAAAADWv+8A=",0)</f>
        <v>0</v>
      </c>
      <c r="GL76" t="e">
        <f>AND('STERLING CATALOG - DRY '!A1594,"AAAAADWv+8E=")</f>
        <v>#VALUE!</v>
      </c>
      <c r="GM76" t="e">
        <f>AND('STERLING CATALOG - DRY '!B1594,"AAAAADWv+8I=")</f>
        <v>#VALUE!</v>
      </c>
      <c r="GN76" t="e">
        <f>AND('STERLING CATALOG - DRY '!C1594,"AAAAADWv+8M=")</f>
        <v>#VALUE!</v>
      </c>
      <c r="GO76" t="e">
        <f>AND('STERLING CATALOG - DRY '!D1594,"AAAAADWv+8Q=")</f>
        <v>#VALUE!</v>
      </c>
      <c r="GP76" t="e">
        <f>AND('STERLING CATALOG - DRY '!E1594,"AAAAADWv+8U=")</f>
        <v>#VALUE!</v>
      </c>
      <c r="GQ76" t="e">
        <f>AND('STERLING CATALOG - DRY '!F1594,"AAAAADWv+8Y=")</f>
        <v>#VALUE!</v>
      </c>
      <c r="GR76" t="e">
        <f>AND('STERLING CATALOG - DRY '!G1594,"AAAAADWv+8c=")</f>
        <v>#VALUE!</v>
      </c>
      <c r="GS76" t="e">
        <f>AND('STERLING CATALOG - DRY '!H1594,"AAAAADWv+8g=")</f>
        <v>#VALUE!</v>
      </c>
      <c r="GT76" t="e">
        <f>AND('STERLING CATALOG - DRY '!I1594,"AAAAADWv+8k=")</f>
        <v>#VALUE!</v>
      </c>
      <c r="GU76" t="e">
        <f>AND('STERLING CATALOG - DRY '!J1594,"AAAAADWv+8o=")</f>
        <v>#VALUE!</v>
      </c>
      <c r="GV76">
        <f>IF('STERLING CATALOG - DRY '!1595:1595,"AAAAADWv+8s=",0)</f>
        <v>0</v>
      </c>
      <c r="GW76" t="e">
        <f>AND('STERLING CATALOG - DRY '!A1595,"AAAAADWv+8w=")</f>
        <v>#VALUE!</v>
      </c>
      <c r="GX76" t="e">
        <f>AND('STERLING CATALOG - DRY '!B1595,"AAAAADWv+80=")</f>
        <v>#VALUE!</v>
      </c>
      <c r="GY76" t="e">
        <f>AND('STERLING CATALOG - DRY '!C1595,"AAAAADWv+84=")</f>
        <v>#VALUE!</v>
      </c>
      <c r="GZ76" t="e">
        <f>AND('STERLING CATALOG - DRY '!D1595,"AAAAADWv+88=")</f>
        <v>#VALUE!</v>
      </c>
      <c r="HA76" t="e">
        <f>AND('STERLING CATALOG - DRY '!E1595,"AAAAADWv+9A=")</f>
        <v>#VALUE!</v>
      </c>
      <c r="HB76" t="e">
        <f>AND('STERLING CATALOG - DRY '!F1595,"AAAAADWv+9E=")</f>
        <v>#VALUE!</v>
      </c>
      <c r="HC76" t="e">
        <f>AND('STERLING CATALOG - DRY '!G1595,"AAAAADWv+9I=")</f>
        <v>#VALUE!</v>
      </c>
      <c r="HD76" t="e">
        <f>AND('STERLING CATALOG - DRY '!H1595,"AAAAADWv+9M=")</f>
        <v>#VALUE!</v>
      </c>
      <c r="HE76" t="e">
        <f>AND('STERLING CATALOG - DRY '!I1595,"AAAAADWv+9Q=")</f>
        <v>#VALUE!</v>
      </c>
      <c r="HF76" t="e">
        <f>AND('STERLING CATALOG - DRY '!J1595,"AAAAADWv+9U=")</f>
        <v>#VALUE!</v>
      </c>
      <c r="HG76">
        <f>IF('STERLING CATALOG - DRY '!1596:1596,"AAAAADWv+9Y=",0)</f>
        <v>0</v>
      </c>
      <c r="HH76" t="e">
        <f>AND('STERLING CATALOG - DRY '!A1596,"AAAAADWv+9c=")</f>
        <v>#VALUE!</v>
      </c>
      <c r="HI76" t="e">
        <f>AND('STERLING CATALOG - DRY '!B1596,"AAAAADWv+9g=")</f>
        <v>#VALUE!</v>
      </c>
      <c r="HJ76" t="e">
        <f>AND('STERLING CATALOG - DRY '!C1596,"AAAAADWv+9k=")</f>
        <v>#VALUE!</v>
      </c>
      <c r="HK76" t="e">
        <f>AND('STERLING CATALOG - DRY '!D1596,"AAAAADWv+9o=")</f>
        <v>#VALUE!</v>
      </c>
      <c r="HL76" t="e">
        <f>AND('STERLING CATALOG - DRY '!E1596,"AAAAADWv+9s=")</f>
        <v>#VALUE!</v>
      </c>
      <c r="HM76" t="e">
        <f>AND('STERLING CATALOG - DRY '!F1596,"AAAAADWv+9w=")</f>
        <v>#VALUE!</v>
      </c>
      <c r="HN76" t="e">
        <f>AND('STERLING CATALOG - DRY '!G1596,"AAAAADWv+90=")</f>
        <v>#VALUE!</v>
      </c>
      <c r="HO76" t="e">
        <f>AND('STERLING CATALOG - DRY '!H1596,"AAAAADWv+94=")</f>
        <v>#VALUE!</v>
      </c>
      <c r="HP76" t="e">
        <f>AND('STERLING CATALOG - DRY '!I1596,"AAAAADWv+98=")</f>
        <v>#VALUE!</v>
      </c>
      <c r="HQ76" t="e">
        <f>AND('STERLING CATALOG - DRY '!J1596,"AAAAADWv++A=")</f>
        <v>#VALUE!</v>
      </c>
      <c r="HR76">
        <f>IF('STERLING CATALOG - DRY '!1597:1597,"AAAAADWv++E=",0)</f>
        <v>0</v>
      </c>
      <c r="HS76" t="e">
        <f>AND('STERLING CATALOG - DRY '!A1597,"AAAAADWv++I=")</f>
        <v>#VALUE!</v>
      </c>
      <c r="HT76" t="e">
        <f>AND('STERLING CATALOG - DRY '!B1597,"AAAAADWv++M=")</f>
        <v>#VALUE!</v>
      </c>
      <c r="HU76" t="e">
        <f>AND('STERLING CATALOG - DRY '!C1597,"AAAAADWv++Q=")</f>
        <v>#VALUE!</v>
      </c>
      <c r="HV76" t="e">
        <f>AND('STERLING CATALOG - DRY '!D1597,"AAAAADWv++U=")</f>
        <v>#VALUE!</v>
      </c>
      <c r="HW76" t="e">
        <f>AND('STERLING CATALOG - DRY '!E1597,"AAAAADWv++Y=")</f>
        <v>#VALUE!</v>
      </c>
      <c r="HX76" t="e">
        <f>AND('STERLING CATALOG - DRY '!F1597,"AAAAADWv++c=")</f>
        <v>#VALUE!</v>
      </c>
      <c r="HY76" t="e">
        <f>AND('STERLING CATALOG - DRY '!G1597,"AAAAADWv++g=")</f>
        <v>#VALUE!</v>
      </c>
      <c r="HZ76" t="e">
        <f>AND('STERLING CATALOG - DRY '!H1597,"AAAAADWv++k=")</f>
        <v>#VALUE!</v>
      </c>
      <c r="IA76" t="e">
        <f>AND('STERLING CATALOG - DRY '!I1597,"AAAAADWv++o=")</f>
        <v>#VALUE!</v>
      </c>
      <c r="IB76" t="e">
        <f>AND('STERLING CATALOG - DRY '!J1597,"AAAAADWv++s=")</f>
        <v>#VALUE!</v>
      </c>
      <c r="IC76">
        <f>IF('STERLING CATALOG - DRY '!1598:1598,"AAAAADWv++w=",0)</f>
        <v>0</v>
      </c>
      <c r="ID76" t="e">
        <f>AND('STERLING CATALOG - DRY '!A1598,"AAAAADWv++0=")</f>
        <v>#VALUE!</v>
      </c>
      <c r="IE76" t="e">
        <f>AND('STERLING CATALOG - DRY '!B1598,"AAAAADWv++4=")</f>
        <v>#VALUE!</v>
      </c>
      <c r="IF76" t="e">
        <f>AND('STERLING CATALOG - DRY '!C1598,"AAAAADWv++8=")</f>
        <v>#VALUE!</v>
      </c>
      <c r="IG76" t="e">
        <f>AND('STERLING CATALOG - DRY '!D1598,"AAAAADWv+/A=")</f>
        <v>#VALUE!</v>
      </c>
      <c r="IH76" t="e">
        <f>AND('STERLING CATALOG - DRY '!E1598,"AAAAADWv+/E=")</f>
        <v>#VALUE!</v>
      </c>
      <c r="II76" t="e">
        <f>AND('STERLING CATALOG - DRY '!F1598,"AAAAADWv+/I=")</f>
        <v>#VALUE!</v>
      </c>
      <c r="IJ76" t="e">
        <f>AND('STERLING CATALOG - DRY '!G1598,"AAAAADWv+/M=")</f>
        <v>#VALUE!</v>
      </c>
      <c r="IK76" t="e">
        <f>AND('STERLING CATALOG - DRY '!H1598,"AAAAADWv+/Q=")</f>
        <v>#VALUE!</v>
      </c>
      <c r="IL76" t="e">
        <f>AND('STERLING CATALOG - DRY '!I1598,"AAAAADWv+/U=")</f>
        <v>#VALUE!</v>
      </c>
      <c r="IM76" t="e">
        <f>AND('STERLING CATALOG - DRY '!J1598,"AAAAADWv+/Y=")</f>
        <v>#VALUE!</v>
      </c>
      <c r="IN76">
        <f>IF('STERLING CATALOG - DRY '!1599:1599,"AAAAADWv+/c=",0)</f>
        <v>0</v>
      </c>
      <c r="IO76" t="e">
        <f>AND('STERLING CATALOG - DRY '!A1599,"AAAAADWv+/g=")</f>
        <v>#VALUE!</v>
      </c>
      <c r="IP76" t="e">
        <f>AND('STERLING CATALOG - DRY '!B1599,"AAAAADWv+/k=")</f>
        <v>#VALUE!</v>
      </c>
      <c r="IQ76" t="e">
        <f>AND('STERLING CATALOG - DRY '!C1599,"AAAAADWv+/o=")</f>
        <v>#VALUE!</v>
      </c>
      <c r="IR76" t="e">
        <f>AND('STERLING CATALOG - DRY '!D1599,"AAAAADWv+/s=")</f>
        <v>#VALUE!</v>
      </c>
      <c r="IS76" t="e">
        <f>AND('STERLING CATALOG - DRY '!E1599,"AAAAADWv+/w=")</f>
        <v>#VALUE!</v>
      </c>
      <c r="IT76" t="e">
        <f>AND('STERLING CATALOG - DRY '!F1599,"AAAAADWv+/0=")</f>
        <v>#VALUE!</v>
      </c>
      <c r="IU76" t="e">
        <f>AND('STERLING CATALOG - DRY '!G1599,"AAAAADWv+/4=")</f>
        <v>#VALUE!</v>
      </c>
      <c r="IV76" t="e">
        <f>AND('STERLING CATALOG - DRY '!H1599,"AAAAADWv+/8=")</f>
        <v>#VALUE!</v>
      </c>
    </row>
    <row r="77" spans="1:256">
      <c r="A77" t="e">
        <f>AND('STERLING CATALOG - DRY '!I1599,"AAAAAHfP/QA=")</f>
        <v>#VALUE!</v>
      </c>
      <c r="B77" t="e">
        <f>AND('STERLING CATALOG - DRY '!J1599,"AAAAAHfP/QE=")</f>
        <v>#VALUE!</v>
      </c>
      <c r="C77">
        <f>IF('STERLING CATALOG - DRY '!1600:1600,"AAAAAHfP/QI=",0)</f>
        <v>0</v>
      </c>
      <c r="D77" t="e">
        <f>AND('STERLING CATALOG - DRY '!A1600,"AAAAAHfP/QM=")</f>
        <v>#VALUE!</v>
      </c>
      <c r="E77" t="e">
        <f>AND('STERLING CATALOG - DRY '!B1600,"AAAAAHfP/QQ=")</f>
        <v>#VALUE!</v>
      </c>
      <c r="F77" t="e">
        <f>AND('STERLING CATALOG - DRY '!C1600,"AAAAAHfP/QU=")</f>
        <v>#VALUE!</v>
      </c>
      <c r="G77" t="e">
        <f>AND('STERLING CATALOG - DRY '!D1600,"AAAAAHfP/QY=")</f>
        <v>#VALUE!</v>
      </c>
      <c r="H77" t="e">
        <f>AND('STERLING CATALOG - DRY '!E1600,"AAAAAHfP/Qc=")</f>
        <v>#VALUE!</v>
      </c>
      <c r="I77" t="e">
        <f>AND('STERLING CATALOG - DRY '!F1600,"AAAAAHfP/Qg=")</f>
        <v>#VALUE!</v>
      </c>
      <c r="J77" t="e">
        <f>AND('STERLING CATALOG - DRY '!G1600,"AAAAAHfP/Qk=")</f>
        <v>#VALUE!</v>
      </c>
      <c r="K77" t="e">
        <f>AND('STERLING CATALOG - DRY '!H1600,"AAAAAHfP/Qo=")</f>
        <v>#VALUE!</v>
      </c>
      <c r="L77" t="e">
        <f>AND('STERLING CATALOG - DRY '!I1600,"AAAAAHfP/Qs=")</f>
        <v>#VALUE!</v>
      </c>
      <c r="M77" t="e">
        <f>AND('STERLING CATALOG - DRY '!J1600,"AAAAAHfP/Qw=")</f>
        <v>#VALUE!</v>
      </c>
      <c r="N77">
        <f>IF('STERLING CATALOG - DRY '!1601:1601,"AAAAAHfP/Q0=",0)</f>
        <v>0</v>
      </c>
      <c r="O77" t="e">
        <f>AND('STERLING CATALOG - DRY '!A1601,"AAAAAHfP/Q4=")</f>
        <v>#VALUE!</v>
      </c>
      <c r="P77" t="e">
        <f>AND('STERLING CATALOG - DRY '!B1601,"AAAAAHfP/Q8=")</f>
        <v>#VALUE!</v>
      </c>
      <c r="Q77" t="e">
        <f>AND('STERLING CATALOG - DRY '!C1601,"AAAAAHfP/RA=")</f>
        <v>#VALUE!</v>
      </c>
      <c r="R77" t="e">
        <f>AND('STERLING CATALOG - DRY '!D1601,"AAAAAHfP/RE=")</f>
        <v>#VALUE!</v>
      </c>
      <c r="S77" t="e">
        <f>AND('STERLING CATALOG - DRY '!E1601,"AAAAAHfP/RI=")</f>
        <v>#VALUE!</v>
      </c>
      <c r="T77" t="e">
        <f>AND('STERLING CATALOG - DRY '!F1601,"AAAAAHfP/RM=")</f>
        <v>#VALUE!</v>
      </c>
      <c r="U77" t="e">
        <f>AND('STERLING CATALOG - DRY '!G1601,"AAAAAHfP/RQ=")</f>
        <v>#VALUE!</v>
      </c>
      <c r="V77" t="e">
        <f>AND('STERLING CATALOG - DRY '!H1601,"AAAAAHfP/RU=")</f>
        <v>#VALUE!</v>
      </c>
      <c r="W77" t="e">
        <f>AND('STERLING CATALOG - DRY '!I1601,"AAAAAHfP/RY=")</f>
        <v>#VALUE!</v>
      </c>
      <c r="X77" t="e">
        <f>AND('STERLING CATALOG - DRY '!J1601,"AAAAAHfP/Rc=")</f>
        <v>#VALUE!</v>
      </c>
      <c r="Y77">
        <f>IF('STERLING CATALOG - DRY '!1602:1602,"AAAAAHfP/Rg=",0)</f>
        <v>0</v>
      </c>
      <c r="Z77" t="e">
        <f>AND('STERLING CATALOG - DRY '!A1602,"AAAAAHfP/Rk=")</f>
        <v>#VALUE!</v>
      </c>
      <c r="AA77" t="e">
        <f>AND('STERLING CATALOG - DRY '!B1602,"AAAAAHfP/Ro=")</f>
        <v>#VALUE!</v>
      </c>
      <c r="AB77" t="e">
        <f>AND('STERLING CATALOG - DRY '!C1602,"AAAAAHfP/Rs=")</f>
        <v>#VALUE!</v>
      </c>
      <c r="AC77" t="e">
        <f>AND('STERLING CATALOG - DRY '!D1602,"AAAAAHfP/Rw=")</f>
        <v>#VALUE!</v>
      </c>
      <c r="AD77" t="e">
        <f>AND('STERLING CATALOG - DRY '!E1602,"AAAAAHfP/R0=")</f>
        <v>#VALUE!</v>
      </c>
      <c r="AE77" t="e">
        <f>AND('STERLING CATALOG - DRY '!F1602,"AAAAAHfP/R4=")</f>
        <v>#VALUE!</v>
      </c>
      <c r="AF77" t="e">
        <f>AND('STERLING CATALOG - DRY '!G1602,"AAAAAHfP/R8=")</f>
        <v>#VALUE!</v>
      </c>
      <c r="AG77" t="e">
        <f>AND('STERLING CATALOG - DRY '!H1602,"AAAAAHfP/SA=")</f>
        <v>#VALUE!</v>
      </c>
      <c r="AH77" t="e">
        <f>AND('STERLING CATALOG - DRY '!I1602,"AAAAAHfP/SE=")</f>
        <v>#VALUE!</v>
      </c>
      <c r="AI77" t="e">
        <f>AND('STERLING CATALOG - DRY '!J1602,"AAAAAHfP/SI=")</f>
        <v>#VALUE!</v>
      </c>
      <c r="AJ77">
        <f>IF('STERLING CATALOG - DRY '!1603:1603,"AAAAAHfP/SM=",0)</f>
        <v>0</v>
      </c>
      <c r="AK77" t="e">
        <f>AND('STERLING CATALOG - DRY '!A1603,"AAAAAHfP/SQ=")</f>
        <v>#VALUE!</v>
      </c>
      <c r="AL77" t="e">
        <f>AND('STERLING CATALOG - DRY '!B1603,"AAAAAHfP/SU=")</f>
        <v>#VALUE!</v>
      </c>
      <c r="AM77" t="e">
        <f>AND('STERLING CATALOG - DRY '!C1603,"AAAAAHfP/SY=")</f>
        <v>#VALUE!</v>
      </c>
      <c r="AN77" t="e">
        <f>AND('STERLING CATALOG - DRY '!D1603,"AAAAAHfP/Sc=")</f>
        <v>#VALUE!</v>
      </c>
      <c r="AO77" t="e">
        <f>AND('STERLING CATALOG - DRY '!E1603,"AAAAAHfP/Sg=")</f>
        <v>#VALUE!</v>
      </c>
      <c r="AP77" t="e">
        <f>AND('STERLING CATALOG - DRY '!F1603,"AAAAAHfP/Sk=")</f>
        <v>#VALUE!</v>
      </c>
      <c r="AQ77" t="e">
        <f>AND('STERLING CATALOG - DRY '!G1603,"AAAAAHfP/So=")</f>
        <v>#VALUE!</v>
      </c>
      <c r="AR77" t="e">
        <f>AND('STERLING CATALOG - DRY '!H1603,"AAAAAHfP/Ss=")</f>
        <v>#VALUE!</v>
      </c>
      <c r="AS77" t="e">
        <f>AND('STERLING CATALOG - DRY '!I1603,"AAAAAHfP/Sw=")</f>
        <v>#VALUE!</v>
      </c>
      <c r="AT77" t="e">
        <f>AND('STERLING CATALOG - DRY '!J1603,"AAAAAHfP/S0=")</f>
        <v>#VALUE!</v>
      </c>
      <c r="AU77">
        <f>IF('STERLING CATALOG - DRY '!1604:1604,"AAAAAHfP/S4=",0)</f>
        <v>0</v>
      </c>
      <c r="AV77" t="e">
        <f>AND('STERLING CATALOG - DRY '!A1604,"AAAAAHfP/S8=")</f>
        <v>#VALUE!</v>
      </c>
      <c r="AW77" t="e">
        <f>AND('STERLING CATALOG - DRY '!B1604,"AAAAAHfP/TA=")</f>
        <v>#VALUE!</v>
      </c>
      <c r="AX77" t="e">
        <f>AND('STERLING CATALOG - DRY '!C1604,"AAAAAHfP/TE=")</f>
        <v>#VALUE!</v>
      </c>
      <c r="AY77" t="e">
        <f>AND('STERLING CATALOG - DRY '!D1604,"AAAAAHfP/TI=")</f>
        <v>#VALUE!</v>
      </c>
      <c r="AZ77" t="e">
        <f>AND('STERLING CATALOG - DRY '!E1604,"AAAAAHfP/TM=")</f>
        <v>#VALUE!</v>
      </c>
      <c r="BA77" t="e">
        <f>AND('STERLING CATALOG - DRY '!F1604,"AAAAAHfP/TQ=")</f>
        <v>#VALUE!</v>
      </c>
      <c r="BB77" t="e">
        <f>AND('STERLING CATALOG - DRY '!G1604,"AAAAAHfP/TU=")</f>
        <v>#VALUE!</v>
      </c>
      <c r="BC77" t="e">
        <f>AND('STERLING CATALOG - DRY '!H1604,"AAAAAHfP/TY=")</f>
        <v>#VALUE!</v>
      </c>
      <c r="BD77" t="e">
        <f>AND('STERLING CATALOG - DRY '!I1604,"AAAAAHfP/Tc=")</f>
        <v>#VALUE!</v>
      </c>
      <c r="BE77" t="e">
        <f>AND('STERLING CATALOG - DRY '!J1604,"AAAAAHfP/Tg=")</f>
        <v>#VALUE!</v>
      </c>
      <c r="BF77">
        <f>IF('STERLING CATALOG - DRY '!1605:1605,"AAAAAHfP/Tk=",0)</f>
        <v>0</v>
      </c>
      <c r="BG77" t="e">
        <f>AND('STERLING CATALOG - DRY '!A1605,"AAAAAHfP/To=")</f>
        <v>#VALUE!</v>
      </c>
      <c r="BH77" t="e">
        <f>AND('STERLING CATALOG - DRY '!B1605,"AAAAAHfP/Ts=")</f>
        <v>#VALUE!</v>
      </c>
      <c r="BI77" t="e">
        <f>AND('STERLING CATALOG - DRY '!C1605,"AAAAAHfP/Tw=")</f>
        <v>#VALUE!</v>
      </c>
      <c r="BJ77" t="e">
        <f>AND('STERLING CATALOG - DRY '!D1605,"AAAAAHfP/T0=")</f>
        <v>#VALUE!</v>
      </c>
      <c r="BK77" t="e">
        <f>AND('STERLING CATALOG - DRY '!E1605,"AAAAAHfP/T4=")</f>
        <v>#VALUE!</v>
      </c>
      <c r="BL77" t="e">
        <f>AND('STERLING CATALOG - DRY '!F1605,"AAAAAHfP/T8=")</f>
        <v>#VALUE!</v>
      </c>
      <c r="BM77" t="e">
        <f>AND('STERLING CATALOG - DRY '!G1605,"AAAAAHfP/UA=")</f>
        <v>#VALUE!</v>
      </c>
      <c r="BN77" t="e">
        <f>AND('STERLING CATALOG - DRY '!H1605,"AAAAAHfP/UE=")</f>
        <v>#VALUE!</v>
      </c>
      <c r="BO77" t="e">
        <f>AND('STERLING CATALOG - DRY '!I1605,"AAAAAHfP/UI=")</f>
        <v>#VALUE!</v>
      </c>
      <c r="BP77" t="e">
        <f>AND('STERLING CATALOG - DRY '!J1605,"AAAAAHfP/UM=")</f>
        <v>#VALUE!</v>
      </c>
      <c r="BQ77">
        <f>IF('STERLING CATALOG - DRY '!1606:1606,"AAAAAHfP/UQ=",0)</f>
        <v>0</v>
      </c>
      <c r="BR77" t="e">
        <f>AND('STERLING CATALOG - DRY '!A1606,"AAAAAHfP/UU=")</f>
        <v>#VALUE!</v>
      </c>
      <c r="BS77" t="e">
        <f>AND('STERLING CATALOG - DRY '!B1606,"AAAAAHfP/UY=")</f>
        <v>#VALUE!</v>
      </c>
      <c r="BT77" t="e">
        <f>AND('STERLING CATALOG - DRY '!C1606,"AAAAAHfP/Uc=")</f>
        <v>#VALUE!</v>
      </c>
      <c r="BU77" t="e">
        <f>AND('STERLING CATALOG - DRY '!D1606,"AAAAAHfP/Ug=")</f>
        <v>#VALUE!</v>
      </c>
      <c r="BV77" t="e">
        <f>AND('STERLING CATALOG - DRY '!E1606,"AAAAAHfP/Uk=")</f>
        <v>#VALUE!</v>
      </c>
      <c r="BW77" t="e">
        <f>AND('STERLING CATALOG - DRY '!F1606,"AAAAAHfP/Uo=")</f>
        <v>#VALUE!</v>
      </c>
      <c r="BX77" t="e">
        <f>AND('STERLING CATALOG - DRY '!G1606,"AAAAAHfP/Us=")</f>
        <v>#VALUE!</v>
      </c>
      <c r="BY77" t="e">
        <f>AND('STERLING CATALOG - DRY '!H1606,"AAAAAHfP/Uw=")</f>
        <v>#VALUE!</v>
      </c>
      <c r="BZ77" t="e">
        <f>AND('STERLING CATALOG - DRY '!I1606,"AAAAAHfP/U0=")</f>
        <v>#VALUE!</v>
      </c>
      <c r="CA77" t="e">
        <f>AND('STERLING CATALOG - DRY '!J1606,"AAAAAHfP/U4=")</f>
        <v>#VALUE!</v>
      </c>
      <c r="CB77">
        <f>IF('STERLING CATALOG - DRY '!1607:1607,"AAAAAHfP/U8=",0)</f>
        <v>0</v>
      </c>
      <c r="CC77" t="e">
        <f>AND('STERLING CATALOG - DRY '!A1607,"AAAAAHfP/VA=")</f>
        <v>#VALUE!</v>
      </c>
      <c r="CD77" t="e">
        <f>AND('STERLING CATALOG - DRY '!B1607,"AAAAAHfP/VE=")</f>
        <v>#VALUE!</v>
      </c>
      <c r="CE77" t="e">
        <f>AND('STERLING CATALOG - DRY '!C1607,"AAAAAHfP/VI=")</f>
        <v>#VALUE!</v>
      </c>
      <c r="CF77" t="e">
        <f>AND('STERLING CATALOG - DRY '!D1607,"AAAAAHfP/VM=")</f>
        <v>#VALUE!</v>
      </c>
      <c r="CG77" t="e">
        <f>AND('STERLING CATALOG - DRY '!E1607,"AAAAAHfP/VQ=")</f>
        <v>#VALUE!</v>
      </c>
      <c r="CH77" t="e">
        <f>AND('STERLING CATALOG - DRY '!F1607,"AAAAAHfP/VU=")</f>
        <v>#VALUE!</v>
      </c>
      <c r="CI77" t="e">
        <f>AND('STERLING CATALOG - DRY '!G1607,"AAAAAHfP/VY=")</f>
        <v>#VALUE!</v>
      </c>
      <c r="CJ77" t="e">
        <f>AND('STERLING CATALOG - DRY '!H1607,"AAAAAHfP/Vc=")</f>
        <v>#VALUE!</v>
      </c>
      <c r="CK77" t="e">
        <f>AND('STERLING CATALOG - DRY '!I1607,"AAAAAHfP/Vg=")</f>
        <v>#VALUE!</v>
      </c>
      <c r="CL77" t="e">
        <f>AND('STERLING CATALOG - DRY '!J1607,"AAAAAHfP/Vk=")</f>
        <v>#VALUE!</v>
      </c>
      <c r="CM77">
        <f>IF('STERLING CATALOG - DRY '!1608:1608,"AAAAAHfP/Vo=",0)</f>
        <v>0</v>
      </c>
      <c r="CN77" t="e">
        <f>AND('STERLING CATALOG - DRY '!A1608,"AAAAAHfP/Vs=")</f>
        <v>#VALUE!</v>
      </c>
      <c r="CO77" t="e">
        <f>AND('STERLING CATALOG - DRY '!B1608,"AAAAAHfP/Vw=")</f>
        <v>#VALUE!</v>
      </c>
      <c r="CP77" t="e">
        <f>AND('STERLING CATALOG - DRY '!C1608,"AAAAAHfP/V0=")</f>
        <v>#VALUE!</v>
      </c>
      <c r="CQ77" t="e">
        <f>AND('STERLING CATALOG - DRY '!D1608,"AAAAAHfP/V4=")</f>
        <v>#VALUE!</v>
      </c>
      <c r="CR77" t="e">
        <f>AND('STERLING CATALOG - DRY '!E1608,"AAAAAHfP/V8=")</f>
        <v>#VALUE!</v>
      </c>
      <c r="CS77" t="e">
        <f>AND('STERLING CATALOG - DRY '!F1608,"AAAAAHfP/WA=")</f>
        <v>#VALUE!</v>
      </c>
      <c r="CT77" t="e">
        <f>AND('STERLING CATALOG - DRY '!G1608,"AAAAAHfP/WE=")</f>
        <v>#VALUE!</v>
      </c>
      <c r="CU77" t="e">
        <f>AND('STERLING CATALOG - DRY '!H1608,"AAAAAHfP/WI=")</f>
        <v>#VALUE!</v>
      </c>
      <c r="CV77" t="e">
        <f>AND('STERLING CATALOG - DRY '!I1608,"AAAAAHfP/WM=")</f>
        <v>#VALUE!</v>
      </c>
      <c r="CW77" t="e">
        <f>AND('STERLING CATALOG - DRY '!J1608,"AAAAAHfP/WQ=")</f>
        <v>#VALUE!</v>
      </c>
      <c r="CX77">
        <f>IF('STERLING CATALOG - DRY '!1609:1609,"AAAAAHfP/WU=",0)</f>
        <v>0</v>
      </c>
      <c r="CY77" t="e">
        <f>AND('STERLING CATALOG - DRY '!A1609,"AAAAAHfP/WY=")</f>
        <v>#VALUE!</v>
      </c>
      <c r="CZ77" t="e">
        <f>AND('STERLING CATALOG - DRY '!B1609,"AAAAAHfP/Wc=")</f>
        <v>#VALUE!</v>
      </c>
      <c r="DA77" t="e">
        <f>AND('STERLING CATALOG - DRY '!C1609,"AAAAAHfP/Wg=")</f>
        <v>#VALUE!</v>
      </c>
      <c r="DB77" t="e">
        <f>AND('STERLING CATALOG - DRY '!D1609,"AAAAAHfP/Wk=")</f>
        <v>#VALUE!</v>
      </c>
      <c r="DC77" t="e">
        <f>AND('STERLING CATALOG - DRY '!E1609,"AAAAAHfP/Wo=")</f>
        <v>#VALUE!</v>
      </c>
      <c r="DD77" t="e">
        <f>AND('STERLING CATALOG - DRY '!F1609,"AAAAAHfP/Ws=")</f>
        <v>#VALUE!</v>
      </c>
      <c r="DE77" t="e">
        <f>AND('STERLING CATALOG - DRY '!G1609,"AAAAAHfP/Ww=")</f>
        <v>#VALUE!</v>
      </c>
      <c r="DF77" t="e">
        <f>AND('STERLING CATALOG - DRY '!H1609,"AAAAAHfP/W0=")</f>
        <v>#VALUE!</v>
      </c>
      <c r="DG77" t="e">
        <f>AND('STERLING CATALOG - DRY '!I1609,"AAAAAHfP/W4=")</f>
        <v>#VALUE!</v>
      </c>
      <c r="DH77" t="e">
        <f>AND('STERLING CATALOG - DRY '!J1609,"AAAAAHfP/W8=")</f>
        <v>#VALUE!</v>
      </c>
      <c r="DI77">
        <f>IF('STERLING CATALOG - DRY '!1610:1610,"AAAAAHfP/XA=",0)</f>
        <v>0</v>
      </c>
      <c r="DJ77" t="e">
        <f>AND('STERLING CATALOG - DRY '!A1610,"AAAAAHfP/XE=")</f>
        <v>#VALUE!</v>
      </c>
      <c r="DK77" t="e">
        <f>AND('STERLING CATALOG - DRY '!B1610,"AAAAAHfP/XI=")</f>
        <v>#VALUE!</v>
      </c>
      <c r="DL77" t="e">
        <f>AND('STERLING CATALOG - DRY '!C1610,"AAAAAHfP/XM=")</f>
        <v>#VALUE!</v>
      </c>
      <c r="DM77" t="e">
        <f>AND('STERLING CATALOG - DRY '!D1610,"AAAAAHfP/XQ=")</f>
        <v>#VALUE!</v>
      </c>
      <c r="DN77" t="e">
        <f>AND('STERLING CATALOG - DRY '!E1610,"AAAAAHfP/XU=")</f>
        <v>#VALUE!</v>
      </c>
      <c r="DO77" t="e">
        <f>AND('STERLING CATALOG - DRY '!F1610,"AAAAAHfP/XY=")</f>
        <v>#VALUE!</v>
      </c>
      <c r="DP77" t="e">
        <f>AND('STERLING CATALOG - DRY '!G1610,"AAAAAHfP/Xc=")</f>
        <v>#VALUE!</v>
      </c>
      <c r="DQ77" t="e">
        <f>AND('STERLING CATALOG - DRY '!H1610,"AAAAAHfP/Xg=")</f>
        <v>#VALUE!</v>
      </c>
      <c r="DR77" t="e">
        <f>AND('STERLING CATALOG - DRY '!I1610,"AAAAAHfP/Xk=")</f>
        <v>#VALUE!</v>
      </c>
      <c r="DS77" t="e">
        <f>AND('STERLING CATALOG - DRY '!J1610,"AAAAAHfP/Xo=")</f>
        <v>#VALUE!</v>
      </c>
      <c r="DT77">
        <f>IF('STERLING CATALOG - DRY '!1611:1611,"AAAAAHfP/Xs=",0)</f>
        <v>0</v>
      </c>
      <c r="DU77" t="e">
        <f>AND('STERLING CATALOG - DRY '!A1611,"AAAAAHfP/Xw=")</f>
        <v>#VALUE!</v>
      </c>
      <c r="DV77" t="e">
        <f>AND('STERLING CATALOG - DRY '!B1611,"AAAAAHfP/X0=")</f>
        <v>#VALUE!</v>
      </c>
      <c r="DW77" t="e">
        <f>AND('STERLING CATALOG - DRY '!C1611,"AAAAAHfP/X4=")</f>
        <v>#VALUE!</v>
      </c>
      <c r="DX77" t="e">
        <f>AND('STERLING CATALOG - DRY '!D1611,"AAAAAHfP/X8=")</f>
        <v>#VALUE!</v>
      </c>
      <c r="DY77" t="e">
        <f>AND('STERLING CATALOG - DRY '!E1611,"AAAAAHfP/YA=")</f>
        <v>#VALUE!</v>
      </c>
      <c r="DZ77" t="e">
        <f>AND('STERLING CATALOG - DRY '!F1611,"AAAAAHfP/YE=")</f>
        <v>#VALUE!</v>
      </c>
      <c r="EA77" t="e">
        <f>AND('STERLING CATALOG - DRY '!G1611,"AAAAAHfP/YI=")</f>
        <v>#VALUE!</v>
      </c>
      <c r="EB77" t="e">
        <f>AND('STERLING CATALOG - DRY '!H1611,"AAAAAHfP/YM=")</f>
        <v>#VALUE!</v>
      </c>
      <c r="EC77" t="e">
        <f>AND('STERLING CATALOG - DRY '!I1611,"AAAAAHfP/YQ=")</f>
        <v>#VALUE!</v>
      </c>
      <c r="ED77" t="e">
        <f>AND('STERLING CATALOG - DRY '!J1611,"AAAAAHfP/YU=")</f>
        <v>#VALUE!</v>
      </c>
      <c r="EE77">
        <f>IF('STERLING CATALOG - DRY '!1612:1612,"AAAAAHfP/YY=",0)</f>
        <v>0</v>
      </c>
      <c r="EF77" t="e">
        <f>AND('STERLING CATALOG - DRY '!A1612,"AAAAAHfP/Yc=")</f>
        <v>#VALUE!</v>
      </c>
      <c r="EG77" t="e">
        <f>AND('STERLING CATALOG - DRY '!B1612,"AAAAAHfP/Yg=")</f>
        <v>#VALUE!</v>
      </c>
      <c r="EH77" t="e">
        <f>AND('STERLING CATALOG - DRY '!C1612,"AAAAAHfP/Yk=")</f>
        <v>#VALUE!</v>
      </c>
      <c r="EI77" t="e">
        <f>AND('STERLING CATALOG - DRY '!D1612,"AAAAAHfP/Yo=")</f>
        <v>#VALUE!</v>
      </c>
      <c r="EJ77" t="e">
        <f>AND('STERLING CATALOG - DRY '!E1612,"AAAAAHfP/Ys=")</f>
        <v>#VALUE!</v>
      </c>
      <c r="EK77" t="e">
        <f>AND('STERLING CATALOG - DRY '!F1612,"AAAAAHfP/Yw=")</f>
        <v>#VALUE!</v>
      </c>
      <c r="EL77" t="e">
        <f>AND('STERLING CATALOG - DRY '!G1612,"AAAAAHfP/Y0=")</f>
        <v>#VALUE!</v>
      </c>
      <c r="EM77" t="e">
        <f>AND('STERLING CATALOG - DRY '!H1612,"AAAAAHfP/Y4=")</f>
        <v>#VALUE!</v>
      </c>
      <c r="EN77" t="e">
        <f>AND('STERLING CATALOG - DRY '!I1612,"AAAAAHfP/Y8=")</f>
        <v>#VALUE!</v>
      </c>
      <c r="EO77" t="e">
        <f>AND('STERLING CATALOG - DRY '!J1612,"AAAAAHfP/ZA=")</f>
        <v>#VALUE!</v>
      </c>
      <c r="EP77">
        <f>IF('STERLING CATALOG - DRY '!1613:1613,"AAAAAHfP/ZE=",0)</f>
        <v>0</v>
      </c>
      <c r="EQ77" t="e">
        <f>AND('STERLING CATALOG - DRY '!A1613,"AAAAAHfP/ZI=")</f>
        <v>#VALUE!</v>
      </c>
      <c r="ER77" t="e">
        <f>AND('STERLING CATALOG - DRY '!B1613,"AAAAAHfP/ZM=")</f>
        <v>#VALUE!</v>
      </c>
      <c r="ES77" t="e">
        <f>AND('STERLING CATALOG - DRY '!C1613,"AAAAAHfP/ZQ=")</f>
        <v>#VALUE!</v>
      </c>
      <c r="ET77" t="e">
        <f>AND('STERLING CATALOG - DRY '!D1613,"AAAAAHfP/ZU=")</f>
        <v>#VALUE!</v>
      </c>
      <c r="EU77" t="e">
        <f>AND('STERLING CATALOG - DRY '!E1613,"AAAAAHfP/ZY=")</f>
        <v>#VALUE!</v>
      </c>
      <c r="EV77" t="e">
        <f>AND('STERLING CATALOG - DRY '!F1613,"AAAAAHfP/Zc=")</f>
        <v>#VALUE!</v>
      </c>
      <c r="EW77" t="e">
        <f>AND('STERLING CATALOG - DRY '!G1613,"AAAAAHfP/Zg=")</f>
        <v>#VALUE!</v>
      </c>
      <c r="EX77" t="e">
        <f>AND('STERLING CATALOG - DRY '!H1613,"AAAAAHfP/Zk=")</f>
        <v>#VALUE!</v>
      </c>
      <c r="EY77" t="e">
        <f>AND('STERLING CATALOG - DRY '!I1613,"AAAAAHfP/Zo=")</f>
        <v>#VALUE!</v>
      </c>
      <c r="EZ77" t="e">
        <f>AND('STERLING CATALOG - DRY '!J1613,"AAAAAHfP/Zs=")</f>
        <v>#VALUE!</v>
      </c>
      <c r="FA77">
        <f>IF('STERLING CATALOG - DRY '!1614:1614,"AAAAAHfP/Zw=",0)</f>
        <v>0</v>
      </c>
      <c r="FB77" t="e">
        <f>AND('STERLING CATALOG - DRY '!A1614,"AAAAAHfP/Z0=")</f>
        <v>#VALUE!</v>
      </c>
      <c r="FC77" t="e">
        <f>AND('STERLING CATALOG - DRY '!B1614,"AAAAAHfP/Z4=")</f>
        <v>#VALUE!</v>
      </c>
      <c r="FD77" t="e">
        <f>AND('STERLING CATALOG - DRY '!C1614,"AAAAAHfP/Z8=")</f>
        <v>#VALUE!</v>
      </c>
      <c r="FE77" t="e">
        <f>AND('STERLING CATALOG - DRY '!D1614,"AAAAAHfP/aA=")</f>
        <v>#VALUE!</v>
      </c>
      <c r="FF77" t="e">
        <f>AND('STERLING CATALOG - DRY '!E1614,"AAAAAHfP/aE=")</f>
        <v>#VALUE!</v>
      </c>
      <c r="FG77" t="e">
        <f>AND('STERLING CATALOG - DRY '!F1614,"AAAAAHfP/aI=")</f>
        <v>#VALUE!</v>
      </c>
      <c r="FH77" t="e">
        <f>AND('STERLING CATALOG - DRY '!G1614,"AAAAAHfP/aM=")</f>
        <v>#VALUE!</v>
      </c>
      <c r="FI77" t="e">
        <f>AND('STERLING CATALOG - DRY '!H1614,"AAAAAHfP/aQ=")</f>
        <v>#VALUE!</v>
      </c>
      <c r="FJ77" t="e">
        <f>AND('STERLING CATALOG - DRY '!I1614,"AAAAAHfP/aU=")</f>
        <v>#VALUE!</v>
      </c>
      <c r="FK77" t="e">
        <f>AND('STERLING CATALOG - DRY '!J1614,"AAAAAHfP/aY=")</f>
        <v>#VALUE!</v>
      </c>
      <c r="FL77">
        <f>IF('STERLING CATALOG - DRY '!1615:1615,"AAAAAHfP/ac=",0)</f>
        <v>0</v>
      </c>
      <c r="FM77" t="e">
        <f>AND('STERLING CATALOG - DRY '!A1615,"AAAAAHfP/ag=")</f>
        <v>#VALUE!</v>
      </c>
      <c r="FN77" t="e">
        <f>AND('STERLING CATALOG - DRY '!B1615,"AAAAAHfP/ak=")</f>
        <v>#VALUE!</v>
      </c>
      <c r="FO77" t="e">
        <f>AND('STERLING CATALOG - DRY '!C1615,"AAAAAHfP/ao=")</f>
        <v>#VALUE!</v>
      </c>
      <c r="FP77" t="e">
        <f>AND('STERLING CATALOG - DRY '!D1615,"AAAAAHfP/as=")</f>
        <v>#VALUE!</v>
      </c>
      <c r="FQ77" t="e">
        <f>AND('STERLING CATALOG - DRY '!E1615,"AAAAAHfP/aw=")</f>
        <v>#VALUE!</v>
      </c>
      <c r="FR77" t="e">
        <f>AND('STERLING CATALOG - DRY '!F1615,"AAAAAHfP/a0=")</f>
        <v>#VALUE!</v>
      </c>
      <c r="FS77" t="e">
        <f>AND('STERLING CATALOG - DRY '!G1615,"AAAAAHfP/a4=")</f>
        <v>#VALUE!</v>
      </c>
      <c r="FT77" t="e">
        <f>AND('STERLING CATALOG - DRY '!H1615,"AAAAAHfP/a8=")</f>
        <v>#VALUE!</v>
      </c>
      <c r="FU77" t="e">
        <f>AND('STERLING CATALOG - DRY '!I1615,"AAAAAHfP/bA=")</f>
        <v>#VALUE!</v>
      </c>
      <c r="FV77" t="e">
        <f>AND('STERLING CATALOG - DRY '!J1615,"AAAAAHfP/bE=")</f>
        <v>#VALUE!</v>
      </c>
      <c r="FW77">
        <f>IF('STERLING CATALOG - DRY '!1616:1616,"AAAAAHfP/bI=",0)</f>
        <v>0</v>
      </c>
      <c r="FX77" t="e">
        <f>AND('STERLING CATALOG - DRY '!A1616,"AAAAAHfP/bM=")</f>
        <v>#VALUE!</v>
      </c>
      <c r="FY77" t="e">
        <f>AND('STERLING CATALOG - DRY '!B1616,"AAAAAHfP/bQ=")</f>
        <v>#VALUE!</v>
      </c>
      <c r="FZ77" t="e">
        <f>AND('STERLING CATALOG - DRY '!C1616,"AAAAAHfP/bU=")</f>
        <v>#VALUE!</v>
      </c>
      <c r="GA77" t="e">
        <f>AND('STERLING CATALOG - DRY '!D1616,"AAAAAHfP/bY=")</f>
        <v>#VALUE!</v>
      </c>
      <c r="GB77" t="e">
        <f>AND('STERLING CATALOG - DRY '!E1616,"AAAAAHfP/bc=")</f>
        <v>#VALUE!</v>
      </c>
      <c r="GC77" t="e">
        <f>AND('STERLING CATALOG - DRY '!F1616,"AAAAAHfP/bg=")</f>
        <v>#VALUE!</v>
      </c>
      <c r="GD77" t="e">
        <f>AND('STERLING CATALOG - DRY '!G1616,"AAAAAHfP/bk=")</f>
        <v>#VALUE!</v>
      </c>
      <c r="GE77" t="e">
        <f>AND('STERLING CATALOG - DRY '!H1616,"AAAAAHfP/bo=")</f>
        <v>#VALUE!</v>
      </c>
      <c r="GF77" t="e">
        <f>AND('STERLING CATALOG - DRY '!I1616,"AAAAAHfP/bs=")</f>
        <v>#VALUE!</v>
      </c>
      <c r="GG77" t="e">
        <f>AND('STERLING CATALOG - DRY '!J1616,"AAAAAHfP/bw=")</f>
        <v>#VALUE!</v>
      </c>
      <c r="GH77">
        <f>IF('STERLING CATALOG - DRY '!1617:1617,"AAAAAHfP/b0=",0)</f>
        <v>0</v>
      </c>
      <c r="GI77" t="e">
        <f>AND('STERLING CATALOG - DRY '!A1617,"AAAAAHfP/b4=")</f>
        <v>#VALUE!</v>
      </c>
      <c r="GJ77" t="e">
        <f>AND('STERLING CATALOG - DRY '!B1617,"AAAAAHfP/b8=")</f>
        <v>#VALUE!</v>
      </c>
      <c r="GK77" t="e">
        <f>AND('STERLING CATALOG - DRY '!C1617,"AAAAAHfP/cA=")</f>
        <v>#VALUE!</v>
      </c>
      <c r="GL77" t="e">
        <f>AND('STERLING CATALOG - DRY '!D1617,"AAAAAHfP/cE=")</f>
        <v>#VALUE!</v>
      </c>
      <c r="GM77" t="e">
        <f>AND('STERLING CATALOG - DRY '!E1617,"AAAAAHfP/cI=")</f>
        <v>#VALUE!</v>
      </c>
      <c r="GN77" t="e">
        <f>AND('STERLING CATALOG - DRY '!F1617,"AAAAAHfP/cM=")</f>
        <v>#VALUE!</v>
      </c>
      <c r="GO77" t="e">
        <f>AND('STERLING CATALOG - DRY '!G1617,"AAAAAHfP/cQ=")</f>
        <v>#VALUE!</v>
      </c>
      <c r="GP77" t="e">
        <f>AND('STERLING CATALOG - DRY '!H1617,"AAAAAHfP/cU=")</f>
        <v>#VALUE!</v>
      </c>
      <c r="GQ77" t="e">
        <f>AND('STERLING CATALOG - DRY '!I1617,"AAAAAHfP/cY=")</f>
        <v>#VALUE!</v>
      </c>
      <c r="GR77" t="e">
        <f>AND('STERLING CATALOG - DRY '!J1617,"AAAAAHfP/cc=")</f>
        <v>#VALUE!</v>
      </c>
      <c r="GS77">
        <f>IF('STERLING CATALOG - DRY '!1618:1618,"AAAAAHfP/cg=",0)</f>
        <v>0</v>
      </c>
      <c r="GT77" t="e">
        <f>AND('STERLING CATALOG - DRY '!A1618,"AAAAAHfP/ck=")</f>
        <v>#VALUE!</v>
      </c>
      <c r="GU77" t="e">
        <f>AND('STERLING CATALOG - DRY '!B1618,"AAAAAHfP/co=")</f>
        <v>#VALUE!</v>
      </c>
      <c r="GV77" t="e">
        <f>AND('STERLING CATALOG - DRY '!C1618,"AAAAAHfP/cs=")</f>
        <v>#VALUE!</v>
      </c>
      <c r="GW77" t="e">
        <f>AND('STERLING CATALOG - DRY '!D1618,"AAAAAHfP/cw=")</f>
        <v>#VALUE!</v>
      </c>
      <c r="GX77" t="e">
        <f>AND('STERLING CATALOG - DRY '!E1618,"AAAAAHfP/c0=")</f>
        <v>#VALUE!</v>
      </c>
      <c r="GY77" t="e">
        <f>AND('STERLING CATALOG - DRY '!F1618,"AAAAAHfP/c4=")</f>
        <v>#VALUE!</v>
      </c>
      <c r="GZ77" t="e">
        <f>AND('STERLING CATALOG - DRY '!G1618,"AAAAAHfP/c8=")</f>
        <v>#VALUE!</v>
      </c>
      <c r="HA77" t="e">
        <f>AND('STERLING CATALOG - DRY '!H1618,"AAAAAHfP/dA=")</f>
        <v>#VALUE!</v>
      </c>
      <c r="HB77" t="e">
        <f>AND('STERLING CATALOG - DRY '!I1618,"AAAAAHfP/dE=")</f>
        <v>#VALUE!</v>
      </c>
      <c r="HC77" t="e">
        <f>AND('STERLING CATALOG - DRY '!J1618,"AAAAAHfP/dI=")</f>
        <v>#VALUE!</v>
      </c>
      <c r="HD77">
        <f>IF('STERLING CATALOG - DRY '!1619:1619,"AAAAAHfP/dM=",0)</f>
        <v>0</v>
      </c>
      <c r="HE77" t="e">
        <f>AND('STERLING CATALOG - DRY '!A1619,"AAAAAHfP/dQ=")</f>
        <v>#VALUE!</v>
      </c>
      <c r="HF77" t="e">
        <f>AND('STERLING CATALOG - DRY '!B1619,"AAAAAHfP/dU=")</f>
        <v>#VALUE!</v>
      </c>
      <c r="HG77" t="e">
        <f>AND('STERLING CATALOG - DRY '!C1619,"AAAAAHfP/dY=")</f>
        <v>#VALUE!</v>
      </c>
      <c r="HH77" t="e">
        <f>AND('STERLING CATALOG - DRY '!D1619,"AAAAAHfP/dc=")</f>
        <v>#VALUE!</v>
      </c>
      <c r="HI77" t="e">
        <f>AND('STERLING CATALOG - DRY '!E1619,"AAAAAHfP/dg=")</f>
        <v>#VALUE!</v>
      </c>
      <c r="HJ77" t="e">
        <f>AND('STERLING CATALOG - DRY '!F1619,"AAAAAHfP/dk=")</f>
        <v>#VALUE!</v>
      </c>
      <c r="HK77" t="e">
        <f>AND('STERLING CATALOG - DRY '!G1619,"AAAAAHfP/do=")</f>
        <v>#VALUE!</v>
      </c>
      <c r="HL77" t="e">
        <f>AND('STERLING CATALOG - DRY '!H1619,"AAAAAHfP/ds=")</f>
        <v>#VALUE!</v>
      </c>
      <c r="HM77" t="e">
        <f>AND('STERLING CATALOG - DRY '!I1619,"AAAAAHfP/dw=")</f>
        <v>#VALUE!</v>
      </c>
      <c r="HN77" t="e">
        <f>AND('STERLING CATALOG - DRY '!J1619,"AAAAAHfP/d0=")</f>
        <v>#VALUE!</v>
      </c>
      <c r="HO77">
        <f>IF('STERLING CATALOG - DRY '!1620:1620,"AAAAAHfP/d4=",0)</f>
        <v>0</v>
      </c>
      <c r="HP77" t="e">
        <f>AND('STERLING CATALOG - DRY '!A1620,"AAAAAHfP/d8=")</f>
        <v>#VALUE!</v>
      </c>
      <c r="HQ77" t="e">
        <f>AND('STERLING CATALOG - DRY '!B1620,"AAAAAHfP/eA=")</f>
        <v>#VALUE!</v>
      </c>
      <c r="HR77" t="e">
        <f>AND('STERLING CATALOG - DRY '!C1620,"AAAAAHfP/eE=")</f>
        <v>#VALUE!</v>
      </c>
      <c r="HS77" t="e">
        <f>AND('STERLING CATALOG - DRY '!D1620,"AAAAAHfP/eI=")</f>
        <v>#VALUE!</v>
      </c>
      <c r="HT77" t="e">
        <f>AND('STERLING CATALOG - DRY '!E1620,"AAAAAHfP/eM=")</f>
        <v>#VALUE!</v>
      </c>
      <c r="HU77" t="e">
        <f>AND('STERLING CATALOG - DRY '!F1620,"AAAAAHfP/eQ=")</f>
        <v>#VALUE!</v>
      </c>
      <c r="HV77" t="e">
        <f>AND('STERLING CATALOG - DRY '!G1620,"AAAAAHfP/eU=")</f>
        <v>#VALUE!</v>
      </c>
      <c r="HW77" t="e">
        <f>AND('STERLING CATALOG - DRY '!H1620,"AAAAAHfP/eY=")</f>
        <v>#VALUE!</v>
      </c>
      <c r="HX77" t="e">
        <f>AND('STERLING CATALOG - DRY '!I1620,"AAAAAHfP/ec=")</f>
        <v>#VALUE!</v>
      </c>
      <c r="HY77" t="e">
        <f>AND('STERLING CATALOG - DRY '!J1620,"AAAAAHfP/eg=")</f>
        <v>#VALUE!</v>
      </c>
      <c r="HZ77">
        <f>IF('STERLING CATALOG - DRY '!1621:1621,"AAAAAHfP/ek=",0)</f>
        <v>0</v>
      </c>
      <c r="IA77" t="e">
        <f>AND('STERLING CATALOG - DRY '!A1621,"AAAAAHfP/eo=")</f>
        <v>#VALUE!</v>
      </c>
      <c r="IB77" t="e">
        <f>AND('STERLING CATALOG - DRY '!B1621,"AAAAAHfP/es=")</f>
        <v>#VALUE!</v>
      </c>
      <c r="IC77" t="e">
        <f>AND('STERLING CATALOG - DRY '!C1621,"AAAAAHfP/ew=")</f>
        <v>#VALUE!</v>
      </c>
      <c r="ID77" t="e">
        <f>AND('STERLING CATALOG - DRY '!D1621,"AAAAAHfP/e0=")</f>
        <v>#VALUE!</v>
      </c>
      <c r="IE77" t="e">
        <f>AND('STERLING CATALOG - DRY '!E1621,"AAAAAHfP/e4=")</f>
        <v>#VALUE!</v>
      </c>
      <c r="IF77" t="e">
        <f>AND('STERLING CATALOG - DRY '!F1621,"AAAAAHfP/e8=")</f>
        <v>#VALUE!</v>
      </c>
      <c r="IG77" t="e">
        <f>AND('STERLING CATALOG - DRY '!G1621,"AAAAAHfP/fA=")</f>
        <v>#VALUE!</v>
      </c>
      <c r="IH77" t="e">
        <f>AND('STERLING CATALOG - DRY '!H1621,"AAAAAHfP/fE=")</f>
        <v>#VALUE!</v>
      </c>
      <c r="II77" t="e">
        <f>AND('STERLING CATALOG - DRY '!I1621,"AAAAAHfP/fI=")</f>
        <v>#VALUE!</v>
      </c>
      <c r="IJ77" t="e">
        <f>AND('STERLING CATALOG - DRY '!J1621,"AAAAAHfP/fM=")</f>
        <v>#VALUE!</v>
      </c>
      <c r="IK77">
        <f>IF('STERLING CATALOG - DRY '!1622:1622,"AAAAAHfP/fQ=",0)</f>
        <v>0</v>
      </c>
      <c r="IL77" t="e">
        <f>AND('STERLING CATALOG - DRY '!A1622,"AAAAAHfP/fU=")</f>
        <v>#VALUE!</v>
      </c>
      <c r="IM77" t="e">
        <f>AND('STERLING CATALOG - DRY '!B1622,"AAAAAHfP/fY=")</f>
        <v>#VALUE!</v>
      </c>
      <c r="IN77" t="e">
        <f>AND('STERLING CATALOG - DRY '!C1622,"AAAAAHfP/fc=")</f>
        <v>#VALUE!</v>
      </c>
      <c r="IO77" t="e">
        <f>AND('STERLING CATALOG - DRY '!D1622,"AAAAAHfP/fg=")</f>
        <v>#VALUE!</v>
      </c>
      <c r="IP77" t="e">
        <f>AND('STERLING CATALOG - DRY '!E1622,"AAAAAHfP/fk=")</f>
        <v>#VALUE!</v>
      </c>
      <c r="IQ77" t="e">
        <f>AND('STERLING CATALOG - DRY '!F1622,"AAAAAHfP/fo=")</f>
        <v>#VALUE!</v>
      </c>
      <c r="IR77" t="e">
        <f>AND('STERLING CATALOG - DRY '!G1622,"AAAAAHfP/fs=")</f>
        <v>#VALUE!</v>
      </c>
      <c r="IS77" t="e">
        <f>AND('STERLING CATALOG - DRY '!H1622,"AAAAAHfP/fw=")</f>
        <v>#VALUE!</v>
      </c>
      <c r="IT77" t="e">
        <f>AND('STERLING CATALOG - DRY '!I1622,"AAAAAHfP/f0=")</f>
        <v>#VALUE!</v>
      </c>
      <c r="IU77" t="e">
        <f>AND('STERLING CATALOG - DRY '!J1622,"AAAAAHfP/f4=")</f>
        <v>#VALUE!</v>
      </c>
      <c r="IV77">
        <f>IF('STERLING CATALOG - DRY '!1623:1623,"AAAAAHfP/f8=",0)</f>
        <v>0</v>
      </c>
    </row>
    <row r="78" spans="1:256">
      <c r="A78" t="e">
        <f>AND('STERLING CATALOG - DRY '!A1623,"AAAAAE+e8gA=")</f>
        <v>#VALUE!</v>
      </c>
      <c r="B78" t="e">
        <f>AND('STERLING CATALOG - DRY '!B1623,"AAAAAE+e8gE=")</f>
        <v>#VALUE!</v>
      </c>
      <c r="C78" t="e">
        <f>AND('STERLING CATALOG - DRY '!C1623,"AAAAAE+e8gI=")</f>
        <v>#VALUE!</v>
      </c>
      <c r="D78" t="e">
        <f>AND('STERLING CATALOG - DRY '!D1623,"AAAAAE+e8gM=")</f>
        <v>#VALUE!</v>
      </c>
      <c r="E78" t="e">
        <f>AND('STERLING CATALOG - DRY '!E1623,"AAAAAE+e8gQ=")</f>
        <v>#VALUE!</v>
      </c>
      <c r="F78" t="e">
        <f>AND('STERLING CATALOG - DRY '!F1623,"AAAAAE+e8gU=")</f>
        <v>#VALUE!</v>
      </c>
      <c r="G78" t="e">
        <f>AND('STERLING CATALOG - DRY '!G1623,"AAAAAE+e8gY=")</f>
        <v>#VALUE!</v>
      </c>
      <c r="H78" t="e">
        <f>AND('STERLING CATALOG - DRY '!H1623,"AAAAAE+e8gc=")</f>
        <v>#VALUE!</v>
      </c>
      <c r="I78" t="e">
        <f>AND('STERLING CATALOG - DRY '!I1623,"AAAAAE+e8gg=")</f>
        <v>#VALUE!</v>
      </c>
      <c r="J78" t="e">
        <f>AND('STERLING CATALOG - DRY '!J1623,"AAAAAE+e8gk=")</f>
        <v>#VALUE!</v>
      </c>
      <c r="K78">
        <f>IF('STERLING CATALOG - DRY '!1624:1624,"AAAAAE+e8go=",0)</f>
        <v>0</v>
      </c>
      <c r="L78" t="e">
        <f>AND('STERLING CATALOG - DRY '!A1624,"AAAAAE+e8gs=")</f>
        <v>#VALUE!</v>
      </c>
      <c r="M78" t="e">
        <f>AND('STERLING CATALOG - DRY '!B1624,"AAAAAE+e8gw=")</f>
        <v>#VALUE!</v>
      </c>
      <c r="N78" t="e">
        <f>AND('STERLING CATALOG - DRY '!C1624,"AAAAAE+e8g0=")</f>
        <v>#VALUE!</v>
      </c>
      <c r="O78" t="e">
        <f>AND('STERLING CATALOG - DRY '!D1624,"AAAAAE+e8g4=")</f>
        <v>#VALUE!</v>
      </c>
      <c r="P78" t="e">
        <f>AND('STERLING CATALOG - DRY '!E1624,"AAAAAE+e8g8=")</f>
        <v>#VALUE!</v>
      </c>
      <c r="Q78" t="e">
        <f>AND('STERLING CATALOG - DRY '!F1624,"AAAAAE+e8hA=")</f>
        <v>#VALUE!</v>
      </c>
      <c r="R78" t="e">
        <f>AND('STERLING CATALOG - DRY '!G1624,"AAAAAE+e8hE=")</f>
        <v>#VALUE!</v>
      </c>
      <c r="S78" t="e">
        <f>AND('STERLING CATALOG - DRY '!H1624,"AAAAAE+e8hI=")</f>
        <v>#VALUE!</v>
      </c>
      <c r="T78" t="e">
        <f>AND('STERLING CATALOG - DRY '!I1624,"AAAAAE+e8hM=")</f>
        <v>#VALUE!</v>
      </c>
      <c r="U78" t="e">
        <f>AND('STERLING CATALOG - DRY '!J1624,"AAAAAE+e8hQ=")</f>
        <v>#VALUE!</v>
      </c>
      <c r="V78">
        <f>IF('STERLING CATALOG - DRY '!1625:1625,"AAAAAE+e8hU=",0)</f>
        <v>0</v>
      </c>
      <c r="W78" t="e">
        <f>AND('STERLING CATALOG - DRY '!A1625,"AAAAAE+e8hY=")</f>
        <v>#VALUE!</v>
      </c>
      <c r="X78" t="e">
        <f>AND('STERLING CATALOG - DRY '!B1625,"AAAAAE+e8hc=")</f>
        <v>#VALUE!</v>
      </c>
      <c r="Y78" t="e">
        <f>AND('STERLING CATALOG - DRY '!C1625,"AAAAAE+e8hg=")</f>
        <v>#VALUE!</v>
      </c>
      <c r="Z78" t="e">
        <f>AND('STERLING CATALOG - DRY '!D1625,"AAAAAE+e8hk=")</f>
        <v>#VALUE!</v>
      </c>
      <c r="AA78" t="e">
        <f>AND('STERLING CATALOG - DRY '!E1625,"AAAAAE+e8ho=")</f>
        <v>#VALUE!</v>
      </c>
      <c r="AB78" t="e">
        <f>AND('STERLING CATALOG - DRY '!F1625,"AAAAAE+e8hs=")</f>
        <v>#VALUE!</v>
      </c>
      <c r="AC78" t="e">
        <f>AND('STERLING CATALOG - DRY '!G1625,"AAAAAE+e8hw=")</f>
        <v>#VALUE!</v>
      </c>
      <c r="AD78" t="e">
        <f>AND('STERLING CATALOG - DRY '!H1625,"AAAAAE+e8h0=")</f>
        <v>#VALUE!</v>
      </c>
      <c r="AE78" t="e">
        <f>AND('STERLING CATALOG - DRY '!I1625,"AAAAAE+e8h4=")</f>
        <v>#VALUE!</v>
      </c>
      <c r="AF78" t="e">
        <f>AND('STERLING CATALOG - DRY '!J1625,"AAAAAE+e8h8=")</f>
        <v>#VALUE!</v>
      </c>
      <c r="AG78">
        <f>IF('STERLING CATALOG - DRY '!1626:1626,"AAAAAE+e8iA=",0)</f>
        <v>0</v>
      </c>
      <c r="AH78" t="e">
        <f>AND('STERLING CATALOG - DRY '!A1626,"AAAAAE+e8iE=")</f>
        <v>#VALUE!</v>
      </c>
      <c r="AI78" t="e">
        <f>AND('STERLING CATALOG - DRY '!B1626,"AAAAAE+e8iI=")</f>
        <v>#VALUE!</v>
      </c>
      <c r="AJ78" t="e">
        <f>AND('STERLING CATALOG - DRY '!C1626,"AAAAAE+e8iM=")</f>
        <v>#VALUE!</v>
      </c>
      <c r="AK78" t="e">
        <f>AND('STERLING CATALOG - DRY '!D1626,"AAAAAE+e8iQ=")</f>
        <v>#VALUE!</v>
      </c>
      <c r="AL78" t="e">
        <f>AND('STERLING CATALOG - DRY '!E1626,"AAAAAE+e8iU=")</f>
        <v>#VALUE!</v>
      </c>
      <c r="AM78" t="e">
        <f>AND('STERLING CATALOG - DRY '!F1626,"AAAAAE+e8iY=")</f>
        <v>#VALUE!</v>
      </c>
      <c r="AN78" t="e">
        <f>AND('STERLING CATALOG - DRY '!G1626,"AAAAAE+e8ic=")</f>
        <v>#VALUE!</v>
      </c>
      <c r="AO78" t="e">
        <f>AND('STERLING CATALOG - DRY '!H1626,"AAAAAE+e8ig=")</f>
        <v>#VALUE!</v>
      </c>
      <c r="AP78" t="e">
        <f>AND('STERLING CATALOG - DRY '!I1626,"AAAAAE+e8ik=")</f>
        <v>#VALUE!</v>
      </c>
      <c r="AQ78" t="e">
        <f>AND('STERLING CATALOG - DRY '!J1626,"AAAAAE+e8io=")</f>
        <v>#VALUE!</v>
      </c>
      <c r="AR78">
        <f>IF('STERLING CATALOG - DRY '!1627:1627,"AAAAAE+e8is=",0)</f>
        <v>0</v>
      </c>
      <c r="AS78" t="e">
        <f>AND('STERLING CATALOG - DRY '!A1627,"AAAAAE+e8iw=")</f>
        <v>#VALUE!</v>
      </c>
      <c r="AT78" t="e">
        <f>AND('STERLING CATALOG - DRY '!B1627,"AAAAAE+e8i0=")</f>
        <v>#VALUE!</v>
      </c>
      <c r="AU78" t="e">
        <f>AND('STERLING CATALOG - DRY '!C1627,"AAAAAE+e8i4=")</f>
        <v>#VALUE!</v>
      </c>
      <c r="AV78" t="e">
        <f>AND('STERLING CATALOG - DRY '!D1627,"AAAAAE+e8i8=")</f>
        <v>#VALUE!</v>
      </c>
      <c r="AW78" t="e">
        <f>AND('STERLING CATALOG - DRY '!E1627,"AAAAAE+e8jA=")</f>
        <v>#VALUE!</v>
      </c>
      <c r="AX78" t="e">
        <f>AND('STERLING CATALOG - DRY '!F1627,"AAAAAE+e8jE=")</f>
        <v>#VALUE!</v>
      </c>
      <c r="AY78" t="e">
        <f>AND('STERLING CATALOG - DRY '!G1627,"AAAAAE+e8jI=")</f>
        <v>#VALUE!</v>
      </c>
      <c r="AZ78" t="e">
        <f>AND('STERLING CATALOG - DRY '!H1627,"AAAAAE+e8jM=")</f>
        <v>#VALUE!</v>
      </c>
      <c r="BA78" t="e">
        <f>AND('STERLING CATALOG - DRY '!I1627,"AAAAAE+e8jQ=")</f>
        <v>#VALUE!</v>
      </c>
      <c r="BB78" t="e">
        <f>AND('STERLING CATALOG - DRY '!J1627,"AAAAAE+e8jU=")</f>
        <v>#VALUE!</v>
      </c>
      <c r="BC78">
        <f>IF('STERLING CATALOG - DRY '!1628:1628,"AAAAAE+e8jY=",0)</f>
        <v>0</v>
      </c>
      <c r="BD78" t="e">
        <f>AND('STERLING CATALOG - DRY '!A1628,"AAAAAE+e8jc=")</f>
        <v>#VALUE!</v>
      </c>
      <c r="BE78" t="e">
        <f>AND('STERLING CATALOG - DRY '!B1628,"AAAAAE+e8jg=")</f>
        <v>#VALUE!</v>
      </c>
      <c r="BF78" t="e">
        <f>AND('STERLING CATALOG - DRY '!C1628,"AAAAAE+e8jk=")</f>
        <v>#VALUE!</v>
      </c>
      <c r="BG78" t="e">
        <f>AND('STERLING CATALOG - DRY '!D1628,"AAAAAE+e8jo=")</f>
        <v>#VALUE!</v>
      </c>
      <c r="BH78" t="e">
        <f>AND('STERLING CATALOG - DRY '!E1628,"AAAAAE+e8js=")</f>
        <v>#VALUE!</v>
      </c>
      <c r="BI78" t="e">
        <f>AND('STERLING CATALOG - DRY '!F1628,"AAAAAE+e8jw=")</f>
        <v>#VALUE!</v>
      </c>
      <c r="BJ78" t="e">
        <f>AND('STERLING CATALOG - DRY '!G1628,"AAAAAE+e8j0=")</f>
        <v>#VALUE!</v>
      </c>
      <c r="BK78" t="e">
        <f>AND('STERLING CATALOG - DRY '!H1628,"AAAAAE+e8j4=")</f>
        <v>#VALUE!</v>
      </c>
      <c r="BL78" t="e">
        <f>AND('STERLING CATALOG - DRY '!I1628,"AAAAAE+e8j8=")</f>
        <v>#VALUE!</v>
      </c>
      <c r="BM78" t="e">
        <f>AND('STERLING CATALOG - DRY '!J1628,"AAAAAE+e8kA=")</f>
        <v>#VALUE!</v>
      </c>
      <c r="BN78">
        <f>IF('STERLING CATALOG - DRY '!1629:1629,"AAAAAE+e8kE=",0)</f>
        <v>0</v>
      </c>
      <c r="BO78" t="e">
        <f>AND('STERLING CATALOG - DRY '!A1629,"AAAAAE+e8kI=")</f>
        <v>#VALUE!</v>
      </c>
      <c r="BP78" t="e">
        <f>AND('STERLING CATALOG - DRY '!B1629,"AAAAAE+e8kM=")</f>
        <v>#VALUE!</v>
      </c>
      <c r="BQ78" t="e">
        <f>AND('STERLING CATALOG - DRY '!C1629,"AAAAAE+e8kQ=")</f>
        <v>#VALUE!</v>
      </c>
      <c r="BR78" t="e">
        <f>AND('STERLING CATALOG - DRY '!D1629,"AAAAAE+e8kU=")</f>
        <v>#VALUE!</v>
      </c>
      <c r="BS78" t="e">
        <f>AND('STERLING CATALOG - DRY '!E1629,"AAAAAE+e8kY=")</f>
        <v>#VALUE!</v>
      </c>
      <c r="BT78" t="e">
        <f>AND('STERLING CATALOG - DRY '!F1629,"AAAAAE+e8kc=")</f>
        <v>#VALUE!</v>
      </c>
      <c r="BU78" t="e">
        <f>AND('STERLING CATALOG - DRY '!G1629,"AAAAAE+e8kg=")</f>
        <v>#VALUE!</v>
      </c>
      <c r="BV78" t="e">
        <f>AND('STERLING CATALOG - DRY '!H1629,"AAAAAE+e8kk=")</f>
        <v>#VALUE!</v>
      </c>
      <c r="BW78" t="e">
        <f>AND('STERLING CATALOG - DRY '!I1629,"AAAAAE+e8ko=")</f>
        <v>#VALUE!</v>
      </c>
      <c r="BX78" t="e">
        <f>AND('STERLING CATALOG - DRY '!J1629,"AAAAAE+e8ks=")</f>
        <v>#VALUE!</v>
      </c>
      <c r="BY78">
        <f>IF('STERLING CATALOG - DRY '!1630:1630,"AAAAAE+e8kw=",0)</f>
        <v>0</v>
      </c>
      <c r="BZ78" t="e">
        <f>AND('STERLING CATALOG - DRY '!A1630,"AAAAAE+e8k0=")</f>
        <v>#VALUE!</v>
      </c>
      <c r="CA78" t="e">
        <f>AND('STERLING CATALOG - DRY '!B1630,"AAAAAE+e8k4=")</f>
        <v>#VALUE!</v>
      </c>
      <c r="CB78" t="e">
        <f>AND('STERLING CATALOG - DRY '!C1630,"AAAAAE+e8k8=")</f>
        <v>#VALUE!</v>
      </c>
      <c r="CC78" t="e">
        <f>AND('STERLING CATALOG - DRY '!D1630,"AAAAAE+e8lA=")</f>
        <v>#VALUE!</v>
      </c>
      <c r="CD78" t="e">
        <f>AND('STERLING CATALOG - DRY '!E1630,"AAAAAE+e8lE=")</f>
        <v>#VALUE!</v>
      </c>
      <c r="CE78" t="e">
        <f>AND('STERLING CATALOG - DRY '!F1630,"AAAAAE+e8lI=")</f>
        <v>#VALUE!</v>
      </c>
      <c r="CF78" t="e">
        <f>AND('STERLING CATALOG - DRY '!G1630,"AAAAAE+e8lM=")</f>
        <v>#VALUE!</v>
      </c>
      <c r="CG78" t="e">
        <f>AND('STERLING CATALOG - DRY '!H1630,"AAAAAE+e8lQ=")</f>
        <v>#VALUE!</v>
      </c>
      <c r="CH78" t="e">
        <f>AND('STERLING CATALOG - DRY '!I1630,"AAAAAE+e8lU=")</f>
        <v>#VALUE!</v>
      </c>
      <c r="CI78" t="e">
        <f>AND('STERLING CATALOG - DRY '!J1630,"AAAAAE+e8lY=")</f>
        <v>#VALUE!</v>
      </c>
      <c r="CJ78">
        <f>IF('STERLING CATALOG - DRY '!1631:1631,"AAAAAE+e8lc=",0)</f>
        <v>0</v>
      </c>
      <c r="CK78" t="e">
        <f>AND('STERLING CATALOG - DRY '!A1631,"AAAAAE+e8lg=")</f>
        <v>#VALUE!</v>
      </c>
      <c r="CL78" t="e">
        <f>AND('STERLING CATALOG - DRY '!B1631,"AAAAAE+e8lk=")</f>
        <v>#VALUE!</v>
      </c>
      <c r="CM78" t="e">
        <f>AND('STERLING CATALOG - DRY '!C1631,"AAAAAE+e8lo=")</f>
        <v>#VALUE!</v>
      </c>
      <c r="CN78" t="e">
        <f>AND('STERLING CATALOG - DRY '!D1631,"AAAAAE+e8ls=")</f>
        <v>#VALUE!</v>
      </c>
      <c r="CO78" t="e">
        <f>AND('STERLING CATALOG - DRY '!E1631,"AAAAAE+e8lw=")</f>
        <v>#VALUE!</v>
      </c>
      <c r="CP78" t="e">
        <f>AND('STERLING CATALOG - DRY '!F1631,"AAAAAE+e8l0=")</f>
        <v>#VALUE!</v>
      </c>
      <c r="CQ78" t="e">
        <f>AND('STERLING CATALOG - DRY '!G1631,"AAAAAE+e8l4=")</f>
        <v>#VALUE!</v>
      </c>
      <c r="CR78" t="e">
        <f>AND('STERLING CATALOG - DRY '!H1631,"AAAAAE+e8l8=")</f>
        <v>#VALUE!</v>
      </c>
      <c r="CS78" t="e">
        <f>AND('STERLING CATALOG - DRY '!I1631,"AAAAAE+e8mA=")</f>
        <v>#VALUE!</v>
      </c>
      <c r="CT78" t="e">
        <f>AND('STERLING CATALOG - DRY '!J1631,"AAAAAE+e8mE=")</f>
        <v>#VALUE!</v>
      </c>
      <c r="CU78">
        <f>IF('STERLING CATALOG - DRY '!1632:1632,"AAAAAE+e8mI=",0)</f>
        <v>0</v>
      </c>
      <c r="CV78" t="e">
        <f>AND('STERLING CATALOG - DRY '!A1632,"AAAAAE+e8mM=")</f>
        <v>#VALUE!</v>
      </c>
      <c r="CW78" t="e">
        <f>AND('STERLING CATALOG - DRY '!B1632,"AAAAAE+e8mQ=")</f>
        <v>#VALUE!</v>
      </c>
      <c r="CX78" t="e">
        <f>AND('STERLING CATALOG - DRY '!C1632,"AAAAAE+e8mU=")</f>
        <v>#VALUE!</v>
      </c>
      <c r="CY78" t="e">
        <f>AND('STERLING CATALOG - DRY '!D1632,"AAAAAE+e8mY=")</f>
        <v>#VALUE!</v>
      </c>
      <c r="CZ78" t="e">
        <f>AND('STERLING CATALOG - DRY '!E1632,"AAAAAE+e8mc=")</f>
        <v>#VALUE!</v>
      </c>
      <c r="DA78" t="e">
        <f>AND('STERLING CATALOG - DRY '!F1632,"AAAAAE+e8mg=")</f>
        <v>#VALUE!</v>
      </c>
      <c r="DB78" t="e">
        <f>AND('STERLING CATALOG - DRY '!G1632,"AAAAAE+e8mk=")</f>
        <v>#VALUE!</v>
      </c>
      <c r="DC78" t="e">
        <f>AND('STERLING CATALOG - DRY '!H1632,"AAAAAE+e8mo=")</f>
        <v>#VALUE!</v>
      </c>
      <c r="DD78" t="e">
        <f>AND('STERLING CATALOG - DRY '!I1632,"AAAAAE+e8ms=")</f>
        <v>#VALUE!</v>
      </c>
      <c r="DE78" t="e">
        <f>AND('STERLING CATALOG - DRY '!J1632,"AAAAAE+e8mw=")</f>
        <v>#VALUE!</v>
      </c>
      <c r="DF78">
        <f>IF('STERLING CATALOG - DRY '!1633:1633,"AAAAAE+e8m0=",0)</f>
        <v>0</v>
      </c>
      <c r="DG78" t="e">
        <f>AND('STERLING CATALOG - DRY '!A1633,"AAAAAE+e8m4=")</f>
        <v>#VALUE!</v>
      </c>
      <c r="DH78" t="e">
        <f>AND('STERLING CATALOG - DRY '!B1633,"AAAAAE+e8m8=")</f>
        <v>#VALUE!</v>
      </c>
      <c r="DI78" t="e">
        <f>AND('STERLING CATALOG - DRY '!C1633,"AAAAAE+e8nA=")</f>
        <v>#VALUE!</v>
      </c>
      <c r="DJ78" t="e">
        <f>AND('STERLING CATALOG - DRY '!D1633,"AAAAAE+e8nE=")</f>
        <v>#VALUE!</v>
      </c>
      <c r="DK78" t="e">
        <f>AND('STERLING CATALOG - DRY '!E1633,"AAAAAE+e8nI=")</f>
        <v>#VALUE!</v>
      </c>
      <c r="DL78" t="e">
        <f>AND('STERLING CATALOG - DRY '!F1633,"AAAAAE+e8nM=")</f>
        <v>#VALUE!</v>
      </c>
      <c r="DM78" t="e">
        <f>AND('STERLING CATALOG - DRY '!G1633,"AAAAAE+e8nQ=")</f>
        <v>#VALUE!</v>
      </c>
      <c r="DN78" t="e">
        <f>AND('STERLING CATALOG - DRY '!H1633,"AAAAAE+e8nU=")</f>
        <v>#VALUE!</v>
      </c>
      <c r="DO78" t="e">
        <f>AND('STERLING CATALOG - DRY '!I1633,"AAAAAE+e8nY=")</f>
        <v>#VALUE!</v>
      </c>
      <c r="DP78" t="e">
        <f>AND('STERLING CATALOG - DRY '!J1633,"AAAAAE+e8nc=")</f>
        <v>#VALUE!</v>
      </c>
      <c r="DQ78">
        <f>IF('STERLING CATALOG - DRY '!1634:1634,"AAAAAE+e8ng=",0)</f>
        <v>0</v>
      </c>
      <c r="DR78" t="e">
        <f>AND('STERLING CATALOG - DRY '!A1634,"AAAAAE+e8nk=")</f>
        <v>#VALUE!</v>
      </c>
      <c r="DS78" t="e">
        <f>AND('STERLING CATALOG - DRY '!B1634,"AAAAAE+e8no=")</f>
        <v>#VALUE!</v>
      </c>
      <c r="DT78" t="e">
        <f>AND('STERLING CATALOG - DRY '!C1634,"AAAAAE+e8ns=")</f>
        <v>#VALUE!</v>
      </c>
      <c r="DU78" t="e">
        <f>AND('STERLING CATALOG - DRY '!D1634,"AAAAAE+e8nw=")</f>
        <v>#VALUE!</v>
      </c>
      <c r="DV78" t="e">
        <f>AND('STERLING CATALOG - DRY '!E1634,"AAAAAE+e8n0=")</f>
        <v>#VALUE!</v>
      </c>
      <c r="DW78" t="e">
        <f>AND('STERLING CATALOG - DRY '!F1634,"AAAAAE+e8n4=")</f>
        <v>#VALUE!</v>
      </c>
      <c r="DX78" t="e">
        <f>AND('STERLING CATALOG - DRY '!G1634,"AAAAAE+e8n8=")</f>
        <v>#VALUE!</v>
      </c>
      <c r="DY78" t="e">
        <f>AND('STERLING CATALOG - DRY '!H1634,"AAAAAE+e8oA=")</f>
        <v>#VALUE!</v>
      </c>
      <c r="DZ78" t="e">
        <f>AND('STERLING CATALOG - DRY '!I1634,"AAAAAE+e8oE=")</f>
        <v>#VALUE!</v>
      </c>
      <c r="EA78" t="e">
        <f>AND('STERLING CATALOG - DRY '!J1634,"AAAAAE+e8oI=")</f>
        <v>#VALUE!</v>
      </c>
      <c r="EB78">
        <f>IF('STERLING CATALOG - DRY '!1635:1635,"AAAAAE+e8oM=",0)</f>
        <v>0</v>
      </c>
      <c r="EC78" t="e">
        <f>AND('STERLING CATALOG - DRY '!A1635,"AAAAAE+e8oQ=")</f>
        <v>#VALUE!</v>
      </c>
      <c r="ED78" t="e">
        <f>AND('STERLING CATALOG - DRY '!B1635,"AAAAAE+e8oU=")</f>
        <v>#VALUE!</v>
      </c>
      <c r="EE78" t="e">
        <f>AND('STERLING CATALOG - DRY '!C1635,"AAAAAE+e8oY=")</f>
        <v>#VALUE!</v>
      </c>
      <c r="EF78" t="e">
        <f>AND('STERLING CATALOG - DRY '!D1635,"AAAAAE+e8oc=")</f>
        <v>#VALUE!</v>
      </c>
      <c r="EG78" t="e">
        <f>AND('STERLING CATALOG - DRY '!E1635,"AAAAAE+e8og=")</f>
        <v>#VALUE!</v>
      </c>
      <c r="EH78" t="e">
        <f>AND('STERLING CATALOG - DRY '!F1635,"AAAAAE+e8ok=")</f>
        <v>#VALUE!</v>
      </c>
      <c r="EI78" t="e">
        <f>AND('STERLING CATALOG - DRY '!G1635,"AAAAAE+e8oo=")</f>
        <v>#VALUE!</v>
      </c>
      <c r="EJ78" t="e">
        <f>AND('STERLING CATALOG - DRY '!H1635,"AAAAAE+e8os=")</f>
        <v>#VALUE!</v>
      </c>
      <c r="EK78" t="e">
        <f>AND('STERLING CATALOG - DRY '!I1635,"AAAAAE+e8ow=")</f>
        <v>#VALUE!</v>
      </c>
      <c r="EL78" t="e">
        <f>AND('STERLING CATALOG - DRY '!J1635,"AAAAAE+e8o0=")</f>
        <v>#VALUE!</v>
      </c>
      <c r="EM78">
        <f>IF('STERLING CATALOG - DRY '!1636:1636,"AAAAAE+e8o4=",0)</f>
        <v>0</v>
      </c>
      <c r="EN78" t="e">
        <f>AND('STERLING CATALOG - DRY '!A1636,"AAAAAE+e8o8=")</f>
        <v>#VALUE!</v>
      </c>
      <c r="EO78" t="e">
        <f>AND('STERLING CATALOG - DRY '!B1636,"AAAAAE+e8pA=")</f>
        <v>#VALUE!</v>
      </c>
      <c r="EP78" t="e">
        <f>AND('STERLING CATALOG - DRY '!C1636,"AAAAAE+e8pE=")</f>
        <v>#VALUE!</v>
      </c>
      <c r="EQ78" t="e">
        <f>AND('STERLING CATALOG - DRY '!D1636,"AAAAAE+e8pI=")</f>
        <v>#VALUE!</v>
      </c>
      <c r="ER78" t="e">
        <f>AND('STERLING CATALOG - DRY '!E1636,"AAAAAE+e8pM=")</f>
        <v>#VALUE!</v>
      </c>
      <c r="ES78" t="e">
        <f>AND('STERLING CATALOG - DRY '!F1636,"AAAAAE+e8pQ=")</f>
        <v>#VALUE!</v>
      </c>
      <c r="ET78" t="e">
        <f>AND('STERLING CATALOG - DRY '!G1636,"AAAAAE+e8pU=")</f>
        <v>#VALUE!</v>
      </c>
      <c r="EU78" t="e">
        <f>AND('STERLING CATALOG - DRY '!H1636,"AAAAAE+e8pY=")</f>
        <v>#VALUE!</v>
      </c>
      <c r="EV78" t="e">
        <f>AND('STERLING CATALOG - DRY '!I1636,"AAAAAE+e8pc=")</f>
        <v>#VALUE!</v>
      </c>
      <c r="EW78" t="e">
        <f>AND('STERLING CATALOG - DRY '!J1636,"AAAAAE+e8pg=")</f>
        <v>#VALUE!</v>
      </c>
      <c r="EX78">
        <f>IF('STERLING CATALOG - DRY '!1637:1637,"AAAAAE+e8pk=",0)</f>
        <v>0</v>
      </c>
      <c r="EY78" t="e">
        <f>AND('STERLING CATALOG - DRY '!A1637,"AAAAAE+e8po=")</f>
        <v>#VALUE!</v>
      </c>
      <c r="EZ78" t="e">
        <f>AND('STERLING CATALOG - DRY '!B1637,"AAAAAE+e8ps=")</f>
        <v>#VALUE!</v>
      </c>
      <c r="FA78" t="e">
        <f>AND('STERLING CATALOG - DRY '!C1637,"AAAAAE+e8pw=")</f>
        <v>#VALUE!</v>
      </c>
      <c r="FB78" t="e">
        <f>AND('STERLING CATALOG - DRY '!D1637,"AAAAAE+e8p0=")</f>
        <v>#VALUE!</v>
      </c>
      <c r="FC78" t="e">
        <f>AND('STERLING CATALOG - DRY '!E1637,"AAAAAE+e8p4=")</f>
        <v>#VALUE!</v>
      </c>
      <c r="FD78" t="e">
        <f>AND('STERLING CATALOG - DRY '!F1637,"AAAAAE+e8p8=")</f>
        <v>#VALUE!</v>
      </c>
      <c r="FE78" t="e">
        <f>AND('STERLING CATALOG - DRY '!G1637,"AAAAAE+e8qA=")</f>
        <v>#VALUE!</v>
      </c>
      <c r="FF78" t="e">
        <f>AND('STERLING CATALOG - DRY '!H1637,"AAAAAE+e8qE=")</f>
        <v>#VALUE!</v>
      </c>
      <c r="FG78" t="e">
        <f>AND('STERLING CATALOG - DRY '!I1637,"AAAAAE+e8qI=")</f>
        <v>#VALUE!</v>
      </c>
      <c r="FH78" t="e">
        <f>AND('STERLING CATALOG - DRY '!J1637,"AAAAAE+e8qM=")</f>
        <v>#VALUE!</v>
      </c>
      <c r="FI78">
        <f>IF('STERLING CATALOG - DRY '!1638:1638,"AAAAAE+e8qQ=",0)</f>
        <v>0</v>
      </c>
      <c r="FJ78" t="e">
        <f>AND('STERLING CATALOG - DRY '!A1638,"AAAAAE+e8qU=")</f>
        <v>#VALUE!</v>
      </c>
      <c r="FK78" t="e">
        <f>AND('STERLING CATALOG - DRY '!B1638,"AAAAAE+e8qY=")</f>
        <v>#VALUE!</v>
      </c>
      <c r="FL78" t="e">
        <f>AND('STERLING CATALOG - DRY '!C1638,"AAAAAE+e8qc=")</f>
        <v>#VALUE!</v>
      </c>
      <c r="FM78" t="e">
        <f>AND('STERLING CATALOG - DRY '!D1638,"AAAAAE+e8qg=")</f>
        <v>#VALUE!</v>
      </c>
      <c r="FN78" t="e">
        <f>AND('STERLING CATALOG - DRY '!E1638,"AAAAAE+e8qk=")</f>
        <v>#VALUE!</v>
      </c>
      <c r="FO78" t="e">
        <f>AND('STERLING CATALOG - DRY '!F1638,"AAAAAE+e8qo=")</f>
        <v>#VALUE!</v>
      </c>
      <c r="FP78" t="e">
        <f>AND('STERLING CATALOG - DRY '!G1638,"AAAAAE+e8qs=")</f>
        <v>#VALUE!</v>
      </c>
      <c r="FQ78" t="e">
        <f>AND('STERLING CATALOG - DRY '!H1638,"AAAAAE+e8qw=")</f>
        <v>#VALUE!</v>
      </c>
      <c r="FR78" t="e">
        <f>AND('STERLING CATALOG - DRY '!I1638,"AAAAAE+e8q0=")</f>
        <v>#VALUE!</v>
      </c>
      <c r="FS78" t="e">
        <f>AND('STERLING CATALOG - DRY '!J1638,"AAAAAE+e8q4=")</f>
        <v>#VALUE!</v>
      </c>
      <c r="FT78">
        <f>IF('STERLING CATALOG - DRY '!1639:1639,"AAAAAE+e8q8=",0)</f>
        <v>0</v>
      </c>
      <c r="FU78" t="e">
        <f>AND('STERLING CATALOG - DRY '!A1639,"AAAAAE+e8rA=")</f>
        <v>#VALUE!</v>
      </c>
      <c r="FV78" t="e">
        <f>AND('STERLING CATALOG - DRY '!B1639,"AAAAAE+e8rE=")</f>
        <v>#VALUE!</v>
      </c>
      <c r="FW78" t="e">
        <f>AND('STERLING CATALOG - DRY '!C1639,"AAAAAE+e8rI=")</f>
        <v>#VALUE!</v>
      </c>
      <c r="FX78" t="e">
        <f>AND('STERLING CATALOG - DRY '!D1639,"AAAAAE+e8rM=")</f>
        <v>#VALUE!</v>
      </c>
      <c r="FY78" t="e">
        <f>AND('STERLING CATALOG - DRY '!E1639,"AAAAAE+e8rQ=")</f>
        <v>#VALUE!</v>
      </c>
      <c r="FZ78" t="e">
        <f>AND('STERLING CATALOG - DRY '!F1639,"AAAAAE+e8rU=")</f>
        <v>#VALUE!</v>
      </c>
      <c r="GA78" t="e">
        <f>AND('STERLING CATALOG - DRY '!G1639,"AAAAAE+e8rY=")</f>
        <v>#VALUE!</v>
      </c>
      <c r="GB78" t="e">
        <f>AND('STERLING CATALOG - DRY '!H1639,"AAAAAE+e8rc=")</f>
        <v>#VALUE!</v>
      </c>
      <c r="GC78" t="e">
        <f>AND('STERLING CATALOG - DRY '!I1639,"AAAAAE+e8rg=")</f>
        <v>#VALUE!</v>
      </c>
      <c r="GD78" t="e">
        <f>AND('STERLING CATALOG - DRY '!J1639,"AAAAAE+e8rk=")</f>
        <v>#VALUE!</v>
      </c>
      <c r="GE78">
        <f>IF('STERLING CATALOG - DRY '!1640:1640,"AAAAAE+e8ro=",0)</f>
        <v>0</v>
      </c>
      <c r="GF78" t="e">
        <f>AND('STERLING CATALOG - DRY '!A1640,"AAAAAE+e8rs=")</f>
        <v>#VALUE!</v>
      </c>
      <c r="GG78" t="e">
        <f>AND('STERLING CATALOG - DRY '!B1640,"AAAAAE+e8rw=")</f>
        <v>#VALUE!</v>
      </c>
      <c r="GH78" t="e">
        <f>AND('STERLING CATALOG - DRY '!C1640,"AAAAAE+e8r0=")</f>
        <v>#VALUE!</v>
      </c>
      <c r="GI78" t="e">
        <f>AND('STERLING CATALOG - DRY '!D1640,"AAAAAE+e8r4=")</f>
        <v>#VALUE!</v>
      </c>
      <c r="GJ78" t="e">
        <f>AND('STERLING CATALOG - DRY '!E1640,"AAAAAE+e8r8=")</f>
        <v>#VALUE!</v>
      </c>
      <c r="GK78" t="e">
        <f>AND('STERLING CATALOG - DRY '!F1640,"AAAAAE+e8sA=")</f>
        <v>#VALUE!</v>
      </c>
      <c r="GL78" t="e">
        <f>AND('STERLING CATALOG - DRY '!G1640,"AAAAAE+e8sE=")</f>
        <v>#VALUE!</v>
      </c>
      <c r="GM78" t="e">
        <f>AND('STERLING CATALOG - DRY '!H1640,"AAAAAE+e8sI=")</f>
        <v>#VALUE!</v>
      </c>
      <c r="GN78" t="e">
        <f>AND('STERLING CATALOG - DRY '!I1640,"AAAAAE+e8sM=")</f>
        <v>#VALUE!</v>
      </c>
      <c r="GO78" t="e">
        <f>AND('STERLING CATALOG - DRY '!J1640,"AAAAAE+e8sQ=")</f>
        <v>#VALUE!</v>
      </c>
      <c r="GP78">
        <f>IF('STERLING CATALOG - DRY '!1641:1641,"AAAAAE+e8sU=",0)</f>
        <v>0</v>
      </c>
      <c r="GQ78" t="e">
        <f>AND('STERLING CATALOG - DRY '!A1641,"AAAAAE+e8sY=")</f>
        <v>#VALUE!</v>
      </c>
      <c r="GR78" t="e">
        <f>AND('STERLING CATALOG - DRY '!B1641,"AAAAAE+e8sc=")</f>
        <v>#VALUE!</v>
      </c>
      <c r="GS78" t="e">
        <f>AND('STERLING CATALOG - DRY '!C1641,"AAAAAE+e8sg=")</f>
        <v>#VALUE!</v>
      </c>
      <c r="GT78" t="e">
        <f>AND('STERLING CATALOG - DRY '!D1641,"AAAAAE+e8sk=")</f>
        <v>#VALUE!</v>
      </c>
      <c r="GU78" t="e">
        <f>AND('STERLING CATALOG - DRY '!E1641,"AAAAAE+e8so=")</f>
        <v>#VALUE!</v>
      </c>
      <c r="GV78" t="e">
        <f>AND('STERLING CATALOG - DRY '!F1641,"AAAAAE+e8ss=")</f>
        <v>#VALUE!</v>
      </c>
      <c r="GW78" t="e">
        <f>AND('STERLING CATALOG - DRY '!G1641,"AAAAAE+e8sw=")</f>
        <v>#VALUE!</v>
      </c>
      <c r="GX78" t="e">
        <f>AND('STERLING CATALOG - DRY '!H1641,"AAAAAE+e8s0=")</f>
        <v>#VALUE!</v>
      </c>
      <c r="GY78" t="e">
        <f>AND('STERLING CATALOG - DRY '!I1641,"AAAAAE+e8s4=")</f>
        <v>#VALUE!</v>
      </c>
      <c r="GZ78" t="e">
        <f>AND('STERLING CATALOG - DRY '!J1641,"AAAAAE+e8s8=")</f>
        <v>#VALUE!</v>
      </c>
      <c r="HA78">
        <f>IF('STERLING CATALOG - DRY '!1642:1642,"AAAAAE+e8tA=",0)</f>
        <v>0</v>
      </c>
      <c r="HB78" t="e">
        <f>AND('STERLING CATALOG - DRY '!A1642,"AAAAAE+e8tE=")</f>
        <v>#VALUE!</v>
      </c>
      <c r="HC78" t="e">
        <f>AND('STERLING CATALOG - DRY '!B1642,"AAAAAE+e8tI=")</f>
        <v>#VALUE!</v>
      </c>
      <c r="HD78" t="e">
        <f>AND('STERLING CATALOG - DRY '!C1642,"AAAAAE+e8tM=")</f>
        <v>#VALUE!</v>
      </c>
      <c r="HE78" t="e">
        <f>AND('STERLING CATALOG - DRY '!D1642,"AAAAAE+e8tQ=")</f>
        <v>#VALUE!</v>
      </c>
      <c r="HF78" t="e">
        <f>AND('STERLING CATALOG - DRY '!E1642,"AAAAAE+e8tU=")</f>
        <v>#VALUE!</v>
      </c>
      <c r="HG78" t="e">
        <f>AND('STERLING CATALOG - DRY '!F1642,"AAAAAE+e8tY=")</f>
        <v>#VALUE!</v>
      </c>
      <c r="HH78" t="e">
        <f>AND('STERLING CATALOG - DRY '!G1642,"AAAAAE+e8tc=")</f>
        <v>#VALUE!</v>
      </c>
      <c r="HI78" t="e">
        <f>AND('STERLING CATALOG - DRY '!H1642,"AAAAAE+e8tg=")</f>
        <v>#VALUE!</v>
      </c>
      <c r="HJ78" t="e">
        <f>AND('STERLING CATALOG - DRY '!I1642,"AAAAAE+e8tk=")</f>
        <v>#VALUE!</v>
      </c>
      <c r="HK78" t="e">
        <f>AND('STERLING CATALOG - DRY '!J1642,"AAAAAE+e8to=")</f>
        <v>#VALUE!</v>
      </c>
      <c r="HL78">
        <f>IF('STERLING CATALOG - DRY '!1643:1643,"AAAAAE+e8ts=",0)</f>
        <v>0</v>
      </c>
      <c r="HM78" t="e">
        <f>AND('STERLING CATALOG - DRY '!A1643,"AAAAAE+e8tw=")</f>
        <v>#VALUE!</v>
      </c>
      <c r="HN78" t="e">
        <f>AND('STERLING CATALOG - DRY '!B1643,"AAAAAE+e8t0=")</f>
        <v>#VALUE!</v>
      </c>
      <c r="HO78" t="e">
        <f>AND('STERLING CATALOG - DRY '!C1643,"AAAAAE+e8t4=")</f>
        <v>#VALUE!</v>
      </c>
      <c r="HP78" t="e">
        <f>AND('STERLING CATALOG - DRY '!D1643,"AAAAAE+e8t8=")</f>
        <v>#VALUE!</v>
      </c>
      <c r="HQ78" t="e">
        <f>AND('STERLING CATALOG - DRY '!E1643,"AAAAAE+e8uA=")</f>
        <v>#VALUE!</v>
      </c>
      <c r="HR78" t="e">
        <f>AND('STERLING CATALOG - DRY '!F1643,"AAAAAE+e8uE=")</f>
        <v>#VALUE!</v>
      </c>
      <c r="HS78" t="e">
        <f>AND('STERLING CATALOG - DRY '!G1643,"AAAAAE+e8uI=")</f>
        <v>#VALUE!</v>
      </c>
      <c r="HT78" t="e">
        <f>AND('STERLING CATALOG - DRY '!H1643,"AAAAAE+e8uM=")</f>
        <v>#VALUE!</v>
      </c>
      <c r="HU78" t="e">
        <f>AND('STERLING CATALOG - DRY '!I1643,"AAAAAE+e8uQ=")</f>
        <v>#VALUE!</v>
      </c>
      <c r="HV78" t="e">
        <f>AND('STERLING CATALOG - DRY '!J1643,"AAAAAE+e8uU=")</f>
        <v>#VALUE!</v>
      </c>
      <c r="HW78">
        <f>IF('STERLING CATALOG - DRY '!1644:1644,"AAAAAE+e8uY=",0)</f>
        <v>0</v>
      </c>
      <c r="HX78" t="e">
        <f>AND('STERLING CATALOG - DRY '!A1644,"AAAAAE+e8uc=")</f>
        <v>#VALUE!</v>
      </c>
      <c r="HY78" t="e">
        <f>AND('STERLING CATALOG - DRY '!B1644,"AAAAAE+e8ug=")</f>
        <v>#VALUE!</v>
      </c>
      <c r="HZ78" t="e">
        <f>AND('STERLING CATALOG - DRY '!C1644,"AAAAAE+e8uk=")</f>
        <v>#VALUE!</v>
      </c>
      <c r="IA78" t="e">
        <f>AND('STERLING CATALOG - DRY '!D1644,"AAAAAE+e8uo=")</f>
        <v>#VALUE!</v>
      </c>
      <c r="IB78" t="e">
        <f>AND('STERLING CATALOG - DRY '!E1644,"AAAAAE+e8us=")</f>
        <v>#VALUE!</v>
      </c>
      <c r="IC78" t="e">
        <f>AND('STERLING CATALOG - DRY '!F1644,"AAAAAE+e8uw=")</f>
        <v>#VALUE!</v>
      </c>
      <c r="ID78" t="e">
        <f>AND('STERLING CATALOG - DRY '!G1644,"AAAAAE+e8u0=")</f>
        <v>#VALUE!</v>
      </c>
      <c r="IE78" t="e">
        <f>AND('STERLING CATALOG - DRY '!H1644,"AAAAAE+e8u4=")</f>
        <v>#VALUE!</v>
      </c>
      <c r="IF78" t="e">
        <f>AND('STERLING CATALOG - DRY '!I1644,"AAAAAE+e8u8=")</f>
        <v>#VALUE!</v>
      </c>
      <c r="IG78" t="e">
        <f>AND('STERLING CATALOG - DRY '!J1644,"AAAAAE+e8vA=")</f>
        <v>#VALUE!</v>
      </c>
      <c r="IH78">
        <f>IF('STERLING CATALOG - DRY '!1645:1645,"AAAAAE+e8vE=",0)</f>
        <v>0</v>
      </c>
      <c r="II78" t="e">
        <f>AND('STERLING CATALOG - DRY '!A1645,"AAAAAE+e8vI=")</f>
        <v>#VALUE!</v>
      </c>
      <c r="IJ78" t="e">
        <f>AND('STERLING CATALOG - DRY '!B1645,"AAAAAE+e8vM=")</f>
        <v>#VALUE!</v>
      </c>
      <c r="IK78" t="e">
        <f>AND('STERLING CATALOG - DRY '!C1645,"AAAAAE+e8vQ=")</f>
        <v>#VALUE!</v>
      </c>
      <c r="IL78" t="e">
        <f>AND('STERLING CATALOG - DRY '!D1645,"AAAAAE+e8vU=")</f>
        <v>#VALUE!</v>
      </c>
      <c r="IM78" t="e">
        <f>AND('STERLING CATALOG - DRY '!E1645,"AAAAAE+e8vY=")</f>
        <v>#VALUE!</v>
      </c>
      <c r="IN78" t="e">
        <f>AND('STERLING CATALOG - DRY '!F1645,"AAAAAE+e8vc=")</f>
        <v>#VALUE!</v>
      </c>
      <c r="IO78" t="e">
        <f>AND('STERLING CATALOG - DRY '!G1645,"AAAAAE+e8vg=")</f>
        <v>#VALUE!</v>
      </c>
      <c r="IP78" t="e">
        <f>AND('STERLING CATALOG - DRY '!H1645,"AAAAAE+e8vk=")</f>
        <v>#VALUE!</v>
      </c>
      <c r="IQ78" t="e">
        <f>AND('STERLING CATALOG - DRY '!I1645,"AAAAAE+e8vo=")</f>
        <v>#VALUE!</v>
      </c>
      <c r="IR78" t="e">
        <f>AND('STERLING CATALOG - DRY '!J1645,"AAAAAE+e8vs=")</f>
        <v>#VALUE!</v>
      </c>
      <c r="IS78">
        <f>IF('STERLING CATALOG - DRY '!1646:1646,"AAAAAE+e8vw=",0)</f>
        <v>0</v>
      </c>
      <c r="IT78" t="e">
        <f>AND('STERLING CATALOG - DRY '!A1646,"AAAAAE+e8v0=")</f>
        <v>#VALUE!</v>
      </c>
      <c r="IU78" t="e">
        <f>AND('STERLING CATALOG - DRY '!B1646,"AAAAAE+e8v4=")</f>
        <v>#VALUE!</v>
      </c>
      <c r="IV78" t="e">
        <f>AND('STERLING CATALOG - DRY '!C1646,"AAAAAE+e8v8=")</f>
        <v>#VALUE!</v>
      </c>
    </row>
    <row r="79" spans="1:256">
      <c r="A79" t="e">
        <f>AND('STERLING CATALOG - DRY '!D1646,"AAAAACn7+wA=")</f>
        <v>#VALUE!</v>
      </c>
      <c r="B79" t="e">
        <f>AND('STERLING CATALOG - DRY '!E1646,"AAAAACn7+wE=")</f>
        <v>#VALUE!</v>
      </c>
      <c r="C79" t="e">
        <f>AND('STERLING CATALOG - DRY '!F1646,"AAAAACn7+wI=")</f>
        <v>#VALUE!</v>
      </c>
      <c r="D79" t="e">
        <f>AND('STERLING CATALOG - DRY '!G1646,"AAAAACn7+wM=")</f>
        <v>#VALUE!</v>
      </c>
      <c r="E79" t="e">
        <f>AND('STERLING CATALOG - DRY '!H1646,"AAAAACn7+wQ=")</f>
        <v>#VALUE!</v>
      </c>
      <c r="F79" t="e">
        <f>AND('STERLING CATALOG - DRY '!I1646,"AAAAACn7+wU=")</f>
        <v>#VALUE!</v>
      </c>
      <c r="G79" t="e">
        <f>AND('STERLING CATALOG - DRY '!J1646,"AAAAACn7+wY=")</f>
        <v>#VALUE!</v>
      </c>
      <c r="H79" t="str">
        <f>IF('STERLING CATALOG - DRY '!1647:1647,"AAAAACn7+wc=",0)</f>
        <v>AAAAACn7+wc=</v>
      </c>
      <c r="I79" t="e">
        <f>AND('STERLING CATALOG - DRY '!A1647,"AAAAACn7+wg=")</f>
        <v>#VALUE!</v>
      </c>
      <c r="J79" t="e">
        <f>AND('STERLING CATALOG - DRY '!B1647,"AAAAACn7+wk=")</f>
        <v>#VALUE!</v>
      </c>
      <c r="K79" t="e">
        <f>AND('STERLING CATALOG - DRY '!C1647,"AAAAACn7+wo=")</f>
        <v>#VALUE!</v>
      </c>
      <c r="L79" t="e">
        <f>AND('STERLING CATALOG - DRY '!D1647,"AAAAACn7+ws=")</f>
        <v>#VALUE!</v>
      </c>
      <c r="M79" t="e">
        <f>AND('STERLING CATALOG - DRY '!E1647,"AAAAACn7+ww=")</f>
        <v>#VALUE!</v>
      </c>
      <c r="N79" t="e">
        <f>AND('STERLING CATALOG - DRY '!F1647,"AAAAACn7+w0=")</f>
        <v>#VALUE!</v>
      </c>
      <c r="O79" t="e">
        <f>AND('STERLING CATALOG - DRY '!G1647,"AAAAACn7+w4=")</f>
        <v>#VALUE!</v>
      </c>
      <c r="P79" t="e">
        <f>AND('STERLING CATALOG - DRY '!H1647,"AAAAACn7+w8=")</f>
        <v>#VALUE!</v>
      </c>
      <c r="Q79" t="e">
        <f>AND('STERLING CATALOG - DRY '!I1647,"AAAAACn7+xA=")</f>
        <v>#VALUE!</v>
      </c>
      <c r="R79" t="e">
        <f>AND('STERLING CATALOG - DRY '!J1647,"AAAAACn7+xE=")</f>
        <v>#VALUE!</v>
      </c>
      <c r="S79">
        <f>IF('STERLING CATALOG - DRY '!1648:1648,"AAAAACn7+xI=",0)</f>
        <v>0</v>
      </c>
      <c r="T79" t="e">
        <f>AND('STERLING CATALOG - DRY '!A1648,"AAAAACn7+xM=")</f>
        <v>#VALUE!</v>
      </c>
      <c r="U79" t="e">
        <f>AND('STERLING CATALOG - DRY '!B1648,"AAAAACn7+xQ=")</f>
        <v>#VALUE!</v>
      </c>
      <c r="V79" t="e">
        <f>AND('STERLING CATALOG - DRY '!C1648,"AAAAACn7+xU=")</f>
        <v>#VALUE!</v>
      </c>
      <c r="W79" t="e">
        <f>AND('STERLING CATALOG - DRY '!D1648,"AAAAACn7+xY=")</f>
        <v>#VALUE!</v>
      </c>
      <c r="X79" t="e">
        <f>AND('STERLING CATALOG - DRY '!E1648,"AAAAACn7+xc=")</f>
        <v>#VALUE!</v>
      </c>
      <c r="Y79" t="e">
        <f>AND('STERLING CATALOG - DRY '!F1648,"AAAAACn7+xg=")</f>
        <v>#VALUE!</v>
      </c>
      <c r="Z79" t="e">
        <f>AND('STERLING CATALOG - DRY '!G1648,"AAAAACn7+xk=")</f>
        <v>#VALUE!</v>
      </c>
      <c r="AA79" t="e">
        <f>AND('STERLING CATALOG - DRY '!H1648,"AAAAACn7+xo=")</f>
        <v>#VALUE!</v>
      </c>
      <c r="AB79" t="e">
        <f>AND('STERLING CATALOG - DRY '!I1648,"AAAAACn7+xs=")</f>
        <v>#VALUE!</v>
      </c>
      <c r="AC79" t="e">
        <f>AND('STERLING CATALOG - DRY '!J1648,"AAAAACn7+xw=")</f>
        <v>#VALUE!</v>
      </c>
      <c r="AD79">
        <f>IF('STERLING CATALOG - DRY '!1649:1649,"AAAAACn7+x0=",0)</f>
        <v>0</v>
      </c>
      <c r="AE79" t="e">
        <f>AND('STERLING CATALOG - DRY '!A1649,"AAAAACn7+x4=")</f>
        <v>#VALUE!</v>
      </c>
      <c r="AF79" t="e">
        <f>AND('STERLING CATALOG - DRY '!B1649,"AAAAACn7+x8=")</f>
        <v>#VALUE!</v>
      </c>
      <c r="AG79" t="e">
        <f>AND('STERLING CATALOG - DRY '!C1649,"AAAAACn7+yA=")</f>
        <v>#VALUE!</v>
      </c>
      <c r="AH79" t="e">
        <f>AND('STERLING CATALOG - DRY '!D1649,"AAAAACn7+yE=")</f>
        <v>#VALUE!</v>
      </c>
      <c r="AI79" t="e">
        <f>AND('STERLING CATALOG - DRY '!E1649,"AAAAACn7+yI=")</f>
        <v>#VALUE!</v>
      </c>
      <c r="AJ79" t="e">
        <f>AND('STERLING CATALOG - DRY '!F1649,"AAAAACn7+yM=")</f>
        <v>#VALUE!</v>
      </c>
      <c r="AK79" t="e">
        <f>AND('STERLING CATALOG - DRY '!G1649,"AAAAACn7+yQ=")</f>
        <v>#VALUE!</v>
      </c>
      <c r="AL79" t="e">
        <f>AND('STERLING CATALOG - DRY '!H1649,"AAAAACn7+yU=")</f>
        <v>#VALUE!</v>
      </c>
      <c r="AM79" t="e">
        <f>AND('STERLING CATALOG - DRY '!I1649,"AAAAACn7+yY=")</f>
        <v>#VALUE!</v>
      </c>
      <c r="AN79" t="e">
        <f>AND('STERLING CATALOG - DRY '!J1649,"AAAAACn7+yc=")</f>
        <v>#VALUE!</v>
      </c>
      <c r="AO79">
        <f>IF('STERLING CATALOG - DRY '!1650:1650,"AAAAACn7+yg=",0)</f>
        <v>0</v>
      </c>
      <c r="AP79" t="e">
        <f>AND('STERLING CATALOG - DRY '!A1650,"AAAAACn7+yk=")</f>
        <v>#VALUE!</v>
      </c>
      <c r="AQ79" t="e">
        <f>AND('STERLING CATALOG - DRY '!B1650,"AAAAACn7+yo=")</f>
        <v>#VALUE!</v>
      </c>
      <c r="AR79" t="e">
        <f>AND('STERLING CATALOG - DRY '!C1650,"AAAAACn7+ys=")</f>
        <v>#VALUE!</v>
      </c>
      <c r="AS79" t="e">
        <f>AND('STERLING CATALOG - DRY '!D1650,"AAAAACn7+yw=")</f>
        <v>#VALUE!</v>
      </c>
      <c r="AT79" t="e">
        <f>AND('STERLING CATALOG - DRY '!E1650,"AAAAACn7+y0=")</f>
        <v>#VALUE!</v>
      </c>
      <c r="AU79" t="e">
        <f>AND('STERLING CATALOG - DRY '!F1650,"AAAAACn7+y4=")</f>
        <v>#VALUE!</v>
      </c>
      <c r="AV79" t="e">
        <f>AND('STERLING CATALOG - DRY '!G1650,"AAAAACn7+y8=")</f>
        <v>#VALUE!</v>
      </c>
      <c r="AW79" t="e">
        <f>AND('STERLING CATALOG - DRY '!H1650,"AAAAACn7+zA=")</f>
        <v>#VALUE!</v>
      </c>
      <c r="AX79" t="e">
        <f>AND('STERLING CATALOG - DRY '!I1650,"AAAAACn7+zE=")</f>
        <v>#VALUE!</v>
      </c>
      <c r="AY79" t="e">
        <f>AND('STERLING CATALOG - DRY '!J1650,"AAAAACn7+zI=")</f>
        <v>#VALUE!</v>
      </c>
      <c r="AZ79">
        <f>IF('STERLING CATALOG - DRY '!1651:1651,"AAAAACn7+zM=",0)</f>
        <v>0</v>
      </c>
      <c r="BA79" t="e">
        <f>AND('STERLING CATALOG - DRY '!A1651,"AAAAACn7+zQ=")</f>
        <v>#VALUE!</v>
      </c>
      <c r="BB79" t="e">
        <f>AND('STERLING CATALOG - DRY '!B1651,"AAAAACn7+zU=")</f>
        <v>#VALUE!</v>
      </c>
      <c r="BC79" t="e">
        <f>AND('STERLING CATALOG - DRY '!C1651,"AAAAACn7+zY=")</f>
        <v>#VALUE!</v>
      </c>
      <c r="BD79" t="e">
        <f>AND('STERLING CATALOG - DRY '!D1651,"AAAAACn7+zc=")</f>
        <v>#VALUE!</v>
      </c>
      <c r="BE79" t="e">
        <f>AND('STERLING CATALOG - DRY '!E1651,"AAAAACn7+zg=")</f>
        <v>#VALUE!</v>
      </c>
      <c r="BF79" t="e">
        <f>AND('STERLING CATALOG - DRY '!F1651,"AAAAACn7+zk=")</f>
        <v>#VALUE!</v>
      </c>
      <c r="BG79" t="e">
        <f>AND('STERLING CATALOG - DRY '!G1651,"AAAAACn7+zo=")</f>
        <v>#VALUE!</v>
      </c>
      <c r="BH79" t="e">
        <f>AND('STERLING CATALOG - DRY '!H1651,"AAAAACn7+zs=")</f>
        <v>#VALUE!</v>
      </c>
      <c r="BI79" t="e">
        <f>AND('STERLING CATALOG - DRY '!I1651,"AAAAACn7+zw=")</f>
        <v>#VALUE!</v>
      </c>
      <c r="BJ79" t="e">
        <f>AND('STERLING CATALOG - DRY '!J1651,"AAAAACn7+z0=")</f>
        <v>#VALUE!</v>
      </c>
      <c r="BK79">
        <f>IF('STERLING CATALOG - DRY '!1652:1652,"AAAAACn7+z4=",0)</f>
        <v>0</v>
      </c>
      <c r="BL79" t="e">
        <f>AND('STERLING CATALOG - DRY '!A1652,"AAAAACn7+z8=")</f>
        <v>#VALUE!</v>
      </c>
      <c r="BM79" t="e">
        <f>AND('STERLING CATALOG - DRY '!B1652,"AAAAACn7+0A=")</f>
        <v>#VALUE!</v>
      </c>
      <c r="BN79" t="e">
        <f>AND('STERLING CATALOG - DRY '!C1652,"AAAAACn7+0E=")</f>
        <v>#VALUE!</v>
      </c>
      <c r="BO79" t="e">
        <f>AND('STERLING CATALOG - DRY '!D1652,"AAAAACn7+0I=")</f>
        <v>#VALUE!</v>
      </c>
      <c r="BP79" t="e">
        <f>AND('STERLING CATALOG - DRY '!E1652,"AAAAACn7+0M=")</f>
        <v>#VALUE!</v>
      </c>
      <c r="BQ79" t="e">
        <f>AND('STERLING CATALOG - DRY '!F1652,"AAAAACn7+0Q=")</f>
        <v>#VALUE!</v>
      </c>
      <c r="BR79" t="e">
        <f>AND('STERLING CATALOG - DRY '!G1652,"AAAAACn7+0U=")</f>
        <v>#VALUE!</v>
      </c>
      <c r="BS79" t="e">
        <f>AND('STERLING CATALOG - DRY '!H1652,"AAAAACn7+0Y=")</f>
        <v>#VALUE!</v>
      </c>
      <c r="BT79" t="e">
        <f>AND('STERLING CATALOG - DRY '!I1652,"AAAAACn7+0c=")</f>
        <v>#VALUE!</v>
      </c>
      <c r="BU79" t="e">
        <f>AND('STERLING CATALOG - DRY '!J1652,"AAAAACn7+0g=")</f>
        <v>#VALUE!</v>
      </c>
      <c r="BV79">
        <f>IF('STERLING CATALOG - DRY '!1653:1653,"AAAAACn7+0k=",0)</f>
        <v>0</v>
      </c>
      <c r="BW79" t="e">
        <f>AND('STERLING CATALOG - DRY '!A1653,"AAAAACn7+0o=")</f>
        <v>#VALUE!</v>
      </c>
      <c r="BX79" t="e">
        <f>AND('STERLING CATALOG - DRY '!B1653,"AAAAACn7+0s=")</f>
        <v>#VALUE!</v>
      </c>
      <c r="BY79" t="e">
        <f>AND('STERLING CATALOG - DRY '!C1653,"AAAAACn7+0w=")</f>
        <v>#VALUE!</v>
      </c>
      <c r="BZ79" t="e">
        <f>AND('STERLING CATALOG - DRY '!D1653,"AAAAACn7+00=")</f>
        <v>#VALUE!</v>
      </c>
      <c r="CA79" t="e">
        <f>AND('STERLING CATALOG - DRY '!E1653,"AAAAACn7+04=")</f>
        <v>#VALUE!</v>
      </c>
      <c r="CB79" t="e">
        <f>AND('STERLING CATALOG - DRY '!F1653,"AAAAACn7+08=")</f>
        <v>#VALUE!</v>
      </c>
      <c r="CC79" t="e">
        <f>AND('STERLING CATALOG - DRY '!G1653,"AAAAACn7+1A=")</f>
        <v>#VALUE!</v>
      </c>
      <c r="CD79" t="e">
        <f>AND('STERLING CATALOG - DRY '!H1653,"AAAAACn7+1E=")</f>
        <v>#VALUE!</v>
      </c>
      <c r="CE79" t="e">
        <f>AND('STERLING CATALOG - DRY '!I1653,"AAAAACn7+1I=")</f>
        <v>#VALUE!</v>
      </c>
      <c r="CF79" t="e">
        <f>AND('STERLING CATALOG - DRY '!J1653,"AAAAACn7+1M=")</f>
        <v>#VALUE!</v>
      </c>
      <c r="CG79">
        <f>IF('STERLING CATALOG - DRY '!1654:1654,"AAAAACn7+1Q=",0)</f>
        <v>0</v>
      </c>
      <c r="CH79" t="e">
        <f>AND('STERLING CATALOG - DRY '!A1654,"AAAAACn7+1U=")</f>
        <v>#VALUE!</v>
      </c>
      <c r="CI79" t="e">
        <f>AND('STERLING CATALOG - DRY '!B1654,"AAAAACn7+1Y=")</f>
        <v>#VALUE!</v>
      </c>
      <c r="CJ79" t="e">
        <f>AND('STERLING CATALOG - DRY '!C1654,"AAAAACn7+1c=")</f>
        <v>#VALUE!</v>
      </c>
      <c r="CK79" t="e">
        <f>AND('STERLING CATALOG - DRY '!D1654,"AAAAACn7+1g=")</f>
        <v>#VALUE!</v>
      </c>
      <c r="CL79" t="e">
        <f>AND('STERLING CATALOG - DRY '!E1654,"AAAAACn7+1k=")</f>
        <v>#VALUE!</v>
      </c>
      <c r="CM79" t="e">
        <f>AND('STERLING CATALOG - DRY '!F1654,"AAAAACn7+1o=")</f>
        <v>#VALUE!</v>
      </c>
      <c r="CN79" t="e">
        <f>AND('STERLING CATALOG - DRY '!G1654,"AAAAACn7+1s=")</f>
        <v>#VALUE!</v>
      </c>
      <c r="CO79" t="e">
        <f>AND('STERLING CATALOG - DRY '!H1654,"AAAAACn7+1w=")</f>
        <v>#VALUE!</v>
      </c>
      <c r="CP79" t="e">
        <f>AND('STERLING CATALOG - DRY '!I1654,"AAAAACn7+10=")</f>
        <v>#VALUE!</v>
      </c>
      <c r="CQ79" t="e">
        <f>AND('STERLING CATALOG - DRY '!J1654,"AAAAACn7+14=")</f>
        <v>#VALUE!</v>
      </c>
      <c r="CR79">
        <f>IF('STERLING CATALOG - DRY '!1655:1655,"AAAAACn7+18=",0)</f>
        <v>0</v>
      </c>
      <c r="CS79" t="e">
        <f>AND('STERLING CATALOG - DRY '!A1655,"AAAAACn7+2A=")</f>
        <v>#VALUE!</v>
      </c>
      <c r="CT79" t="e">
        <f>AND('STERLING CATALOG - DRY '!B1655,"AAAAACn7+2E=")</f>
        <v>#VALUE!</v>
      </c>
      <c r="CU79" t="e">
        <f>AND('STERLING CATALOG - DRY '!C1655,"AAAAACn7+2I=")</f>
        <v>#VALUE!</v>
      </c>
      <c r="CV79" t="e">
        <f>AND('STERLING CATALOG - DRY '!D1655,"AAAAACn7+2M=")</f>
        <v>#VALUE!</v>
      </c>
      <c r="CW79" t="e">
        <f>AND('STERLING CATALOG - DRY '!E1655,"AAAAACn7+2Q=")</f>
        <v>#VALUE!</v>
      </c>
      <c r="CX79" t="e">
        <f>AND('STERLING CATALOG - DRY '!F1655,"AAAAACn7+2U=")</f>
        <v>#VALUE!</v>
      </c>
      <c r="CY79" t="e">
        <f>AND('STERLING CATALOG - DRY '!G1655,"AAAAACn7+2Y=")</f>
        <v>#VALUE!</v>
      </c>
      <c r="CZ79" t="e">
        <f>AND('STERLING CATALOG - DRY '!H1655,"AAAAACn7+2c=")</f>
        <v>#VALUE!</v>
      </c>
      <c r="DA79" t="e">
        <f>AND('STERLING CATALOG - DRY '!I1655,"AAAAACn7+2g=")</f>
        <v>#VALUE!</v>
      </c>
      <c r="DB79" t="e">
        <f>AND('STERLING CATALOG - DRY '!J1655,"AAAAACn7+2k=")</f>
        <v>#VALUE!</v>
      </c>
      <c r="DC79">
        <f>IF('STERLING CATALOG - DRY '!1656:1656,"AAAAACn7+2o=",0)</f>
        <v>0</v>
      </c>
      <c r="DD79" t="e">
        <f>AND('STERLING CATALOG - DRY '!A1656,"AAAAACn7+2s=")</f>
        <v>#VALUE!</v>
      </c>
      <c r="DE79" t="e">
        <f>AND('STERLING CATALOG - DRY '!B1656,"AAAAACn7+2w=")</f>
        <v>#VALUE!</v>
      </c>
      <c r="DF79" t="e">
        <f>AND('STERLING CATALOG - DRY '!C1656,"AAAAACn7+20=")</f>
        <v>#VALUE!</v>
      </c>
      <c r="DG79" t="e">
        <f>AND('STERLING CATALOG - DRY '!D1656,"AAAAACn7+24=")</f>
        <v>#VALUE!</v>
      </c>
      <c r="DH79" t="e">
        <f>AND('STERLING CATALOG - DRY '!E1656,"AAAAACn7+28=")</f>
        <v>#VALUE!</v>
      </c>
      <c r="DI79" t="e">
        <f>AND('STERLING CATALOG - DRY '!F1656,"AAAAACn7+3A=")</f>
        <v>#VALUE!</v>
      </c>
      <c r="DJ79" t="e">
        <f>AND('STERLING CATALOG - DRY '!G1656,"AAAAACn7+3E=")</f>
        <v>#VALUE!</v>
      </c>
      <c r="DK79" t="e">
        <f>AND('STERLING CATALOG - DRY '!H1656,"AAAAACn7+3I=")</f>
        <v>#VALUE!</v>
      </c>
      <c r="DL79" t="e">
        <f>AND('STERLING CATALOG - DRY '!I1656,"AAAAACn7+3M=")</f>
        <v>#VALUE!</v>
      </c>
      <c r="DM79" t="e">
        <f>AND('STERLING CATALOG - DRY '!J1656,"AAAAACn7+3Q=")</f>
        <v>#VALUE!</v>
      </c>
      <c r="DN79">
        <f>IF('STERLING CATALOG - DRY '!1657:1657,"AAAAACn7+3U=",0)</f>
        <v>0</v>
      </c>
      <c r="DO79" t="e">
        <f>AND('STERLING CATALOG - DRY '!A1657,"AAAAACn7+3Y=")</f>
        <v>#VALUE!</v>
      </c>
      <c r="DP79" t="e">
        <f>AND('STERLING CATALOG - DRY '!B1657,"AAAAACn7+3c=")</f>
        <v>#VALUE!</v>
      </c>
      <c r="DQ79" t="e">
        <f>AND('STERLING CATALOG - DRY '!C1657,"AAAAACn7+3g=")</f>
        <v>#VALUE!</v>
      </c>
      <c r="DR79" t="e">
        <f>AND('STERLING CATALOG - DRY '!D1657,"AAAAACn7+3k=")</f>
        <v>#VALUE!</v>
      </c>
      <c r="DS79" t="e">
        <f>AND('STERLING CATALOG - DRY '!E1657,"AAAAACn7+3o=")</f>
        <v>#VALUE!</v>
      </c>
      <c r="DT79" t="e">
        <f>AND('STERLING CATALOG - DRY '!F1657,"AAAAACn7+3s=")</f>
        <v>#VALUE!</v>
      </c>
      <c r="DU79" t="e">
        <f>AND('STERLING CATALOG - DRY '!G1657,"AAAAACn7+3w=")</f>
        <v>#VALUE!</v>
      </c>
      <c r="DV79" t="e">
        <f>AND('STERLING CATALOG - DRY '!H1657,"AAAAACn7+30=")</f>
        <v>#VALUE!</v>
      </c>
      <c r="DW79" t="e">
        <f>AND('STERLING CATALOG - DRY '!I1657,"AAAAACn7+34=")</f>
        <v>#VALUE!</v>
      </c>
      <c r="DX79" t="e">
        <f>AND('STERLING CATALOG - DRY '!J1657,"AAAAACn7+38=")</f>
        <v>#VALUE!</v>
      </c>
      <c r="DY79">
        <f>IF('STERLING CATALOG - DRY '!1658:1658,"AAAAACn7+4A=",0)</f>
        <v>0</v>
      </c>
      <c r="DZ79" t="e">
        <f>AND('STERLING CATALOG - DRY '!A1658,"AAAAACn7+4E=")</f>
        <v>#VALUE!</v>
      </c>
      <c r="EA79" t="e">
        <f>AND('STERLING CATALOG - DRY '!B1658,"AAAAACn7+4I=")</f>
        <v>#VALUE!</v>
      </c>
      <c r="EB79" t="e">
        <f>AND('STERLING CATALOG - DRY '!C1658,"AAAAACn7+4M=")</f>
        <v>#VALUE!</v>
      </c>
      <c r="EC79" t="e">
        <f>AND('STERLING CATALOG - DRY '!D1658,"AAAAACn7+4Q=")</f>
        <v>#VALUE!</v>
      </c>
      <c r="ED79" t="e">
        <f>AND('STERLING CATALOG - DRY '!E1658,"AAAAACn7+4U=")</f>
        <v>#VALUE!</v>
      </c>
      <c r="EE79" t="e">
        <f>AND('STERLING CATALOG - DRY '!F1658,"AAAAACn7+4Y=")</f>
        <v>#VALUE!</v>
      </c>
      <c r="EF79" t="e">
        <f>AND('STERLING CATALOG - DRY '!G1658,"AAAAACn7+4c=")</f>
        <v>#VALUE!</v>
      </c>
      <c r="EG79" t="e">
        <f>AND('STERLING CATALOG - DRY '!H1658,"AAAAACn7+4g=")</f>
        <v>#VALUE!</v>
      </c>
      <c r="EH79" t="e">
        <f>AND('STERLING CATALOG - DRY '!I1658,"AAAAACn7+4k=")</f>
        <v>#VALUE!</v>
      </c>
      <c r="EI79" t="e">
        <f>AND('STERLING CATALOG - DRY '!J1658,"AAAAACn7+4o=")</f>
        <v>#VALUE!</v>
      </c>
      <c r="EJ79">
        <f>IF('STERLING CATALOG - DRY '!1659:1659,"AAAAACn7+4s=",0)</f>
        <v>0</v>
      </c>
      <c r="EK79" t="e">
        <f>AND('STERLING CATALOG - DRY '!A1659,"AAAAACn7+4w=")</f>
        <v>#VALUE!</v>
      </c>
      <c r="EL79" t="e">
        <f>AND('STERLING CATALOG - DRY '!B1659,"AAAAACn7+40=")</f>
        <v>#VALUE!</v>
      </c>
      <c r="EM79" t="e">
        <f>AND('STERLING CATALOG - DRY '!C1659,"AAAAACn7+44=")</f>
        <v>#VALUE!</v>
      </c>
      <c r="EN79" t="e">
        <f>AND('STERLING CATALOG - DRY '!D1659,"AAAAACn7+48=")</f>
        <v>#VALUE!</v>
      </c>
      <c r="EO79" t="e">
        <f>AND('STERLING CATALOG - DRY '!E1659,"AAAAACn7+5A=")</f>
        <v>#VALUE!</v>
      </c>
      <c r="EP79" t="e">
        <f>AND('STERLING CATALOG - DRY '!F1659,"AAAAACn7+5E=")</f>
        <v>#VALUE!</v>
      </c>
      <c r="EQ79" t="e">
        <f>AND('STERLING CATALOG - DRY '!G1659,"AAAAACn7+5I=")</f>
        <v>#VALUE!</v>
      </c>
      <c r="ER79" t="e">
        <f>AND('STERLING CATALOG - DRY '!H1659,"AAAAACn7+5M=")</f>
        <v>#VALUE!</v>
      </c>
      <c r="ES79" t="e">
        <f>AND('STERLING CATALOG - DRY '!I1659,"AAAAACn7+5Q=")</f>
        <v>#VALUE!</v>
      </c>
      <c r="ET79" t="e">
        <f>AND('STERLING CATALOG - DRY '!J1659,"AAAAACn7+5U=")</f>
        <v>#VALUE!</v>
      </c>
      <c r="EU79">
        <f>IF('STERLING CATALOG - DRY '!1660:1660,"AAAAACn7+5Y=",0)</f>
        <v>0</v>
      </c>
      <c r="EV79" t="e">
        <f>AND('STERLING CATALOG - DRY '!A1660,"AAAAACn7+5c=")</f>
        <v>#VALUE!</v>
      </c>
      <c r="EW79" t="e">
        <f>AND('STERLING CATALOG - DRY '!B1660,"AAAAACn7+5g=")</f>
        <v>#VALUE!</v>
      </c>
      <c r="EX79" t="e">
        <f>AND('STERLING CATALOG - DRY '!C1660,"AAAAACn7+5k=")</f>
        <v>#VALUE!</v>
      </c>
      <c r="EY79" t="e">
        <f>AND('STERLING CATALOG - DRY '!D1660,"AAAAACn7+5o=")</f>
        <v>#VALUE!</v>
      </c>
      <c r="EZ79" t="e">
        <f>AND('STERLING CATALOG - DRY '!E1660,"AAAAACn7+5s=")</f>
        <v>#VALUE!</v>
      </c>
      <c r="FA79" t="e">
        <f>AND('STERLING CATALOG - DRY '!F1660,"AAAAACn7+5w=")</f>
        <v>#VALUE!</v>
      </c>
      <c r="FB79" t="e">
        <f>AND('STERLING CATALOG - DRY '!G1660,"AAAAACn7+50=")</f>
        <v>#VALUE!</v>
      </c>
      <c r="FC79" t="e">
        <f>AND('STERLING CATALOG - DRY '!H1660,"AAAAACn7+54=")</f>
        <v>#VALUE!</v>
      </c>
      <c r="FD79" t="e">
        <f>AND('STERLING CATALOG - DRY '!I1660,"AAAAACn7+58=")</f>
        <v>#VALUE!</v>
      </c>
      <c r="FE79" t="e">
        <f>AND('STERLING CATALOG - DRY '!J1660,"AAAAACn7+6A=")</f>
        <v>#VALUE!</v>
      </c>
      <c r="FF79">
        <f>IF('STERLING CATALOG - DRY '!1661:1661,"AAAAACn7+6E=",0)</f>
        <v>0</v>
      </c>
      <c r="FG79" t="e">
        <f>AND('STERLING CATALOG - DRY '!A1661,"AAAAACn7+6I=")</f>
        <v>#VALUE!</v>
      </c>
      <c r="FH79" t="e">
        <f>AND('STERLING CATALOG - DRY '!B1661,"AAAAACn7+6M=")</f>
        <v>#VALUE!</v>
      </c>
      <c r="FI79" t="e">
        <f>AND('STERLING CATALOG - DRY '!C1661,"AAAAACn7+6Q=")</f>
        <v>#VALUE!</v>
      </c>
      <c r="FJ79" t="e">
        <f>AND('STERLING CATALOG - DRY '!D1661,"AAAAACn7+6U=")</f>
        <v>#VALUE!</v>
      </c>
      <c r="FK79" t="e">
        <f>AND('STERLING CATALOG - DRY '!E1661,"AAAAACn7+6Y=")</f>
        <v>#VALUE!</v>
      </c>
      <c r="FL79" t="e">
        <f>AND('STERLING CATALOG - DRY '!F1661,"AAAAACn7+6c=")</f>
        <v>#VALUE!</v>
      </c>
      <c r="FM79" t="e">
        <f>AND('STERLING CATALOG - DRY '!G1661,"AAAAACn7+6g=")</f>
        <v>#VALUE!</v>
      </c>
      <c r="FN79" t="e">
        <f>AND('STERLING CATALOG - DRY '!H1661,"AAAAACn7+6k=")</f>
        <v>#VALUE!</v>
      </c>
      <c r="FO79" t="e">
        <f>AND('STERLING CATALOG - DRY '!I1661,"AAAAACn7+6o=")</f>
        <v>#VALUE!</v>
      </c>
      <c r="FP79" t="e">
        <f>AND('STERLING CATALOG - DRY '!J1661,"AAAAACn7+6s=")</f>
        <v>#VALUE!</v>
      </c>
      <c r="FQ79">
        <f>IF('STERLING CATALOG - DRY '!1662:1662,"AAAAACn7+6w=",0)</f>
        <v>0</v>
      </c>
      <c r="FR79" t="e">
        <f>AND('STERLING CATALOG - DRY '!A1662,"AAAAACn7+60=")</f>
        <v>#VALUE!</v>
      </c>
      <c r="FS79" t="e">
        <f>AND('STERLING CATALOG - DRY '!B1662,"AAAAACn7+64=")</f>
        <v>#VALUE!</v>
      </c>
      <c r="FT79" t="e">
        <f>AND('STERLING CATALOG - DRY '!C1662,"AAAAACn7+68=")</f>
        <v>#VALUE!</v>
      </c>
      <c r="FU79" t="e">
        <f>AND('STERLING CATALOG - DRY '!D1662,"AAAAACn7+7A=")</f>
        <v>#VALUE!</v>
      </c>
      <c r="FV79" t="e">
        <f>AND('STERLING CATALOG - DRY '!E1662,"AAAAACn7+7E=")</f>
        <v>#VALUE!</v>
      </c>
      <c r="FW79" t="e">
        <f>AND('STERLING CATALOG - DRY '!F1662,"AAAAACn7+7I=")</f>
        <v>#VALUE!</v>
      </c>
      <c r="FX79" t="e">
        <f>AND('STERLING CATALOG - DRY '!G1662,"AAAAACn7+7M=")</f>
        <v>#VALUE!</v>
      </c>
      <c r="FY79" t="e">
        <f>AND('STERLING CATALOG - DRY '!H1662,"AAAAACn7+7Q=")</f>
        <v>#VALUE!</v>
      </c>
      <c r="FZ79" t="e">
        <f>AND('STERLING CATALOG - DRY '!I1662,"AAAAACn7+7U=")</f>
        <v>#VALUE!</v>
      </c>
      <c r="GA79" t="e">
        <f>AND('STERLING CATALOG - DRY '!J1662,"AAAAACn7+7Y=")</f>
        <v>#VALUE!</v>
      </c>
      <c r="GB79">
        <f>IF('STERLING CATALOG - DRY '!1663:1663,"AAAAACn7+7c=",0)</f>
        <v>0</v>
      </c>
      <c r="GC79" t="e">
        <f>AND('STERLING CATALOG - DRY '!A1663,"AAAAACn7+7g=")</f>
        <v>#VALUE!</v>
      </c>
      <c r="GD79" t="e">
        <f>AND('STERLING CATALOG - DRY '!B1663,"AAAAACn7+7k=")</f>
        <v>#VALUE!</v>
      </c>
      <c r="GE79" t="e">
        <f>AND('STERLING CATALOG - DRY '!C1663,"AAAAACn7+7o=")</f>
        <v>#VALUE!</v>
      </c>
      <c r="GF79" t="e">
        <f>AND('STERLING CATALOG - DRY '!D1663,"AAAAACn7+7s=")</f>
        <v>#VALUE!</v>
      </c>
      <c r="GG79" t="e">
        <f>AND('STERLING CATALOG - DRY '!E1663,"AAAAACn7+7w=")</f>
        <v>#VALUE!</v>
      </c>
      <c r="GH79" t="e">
        <f>AND('STERLING CATALOG - DRY '!F1663,"AAAAACn7+70=")</f>
        <v>#VALUE!</v>
      </c>
      <c r="GI79" t="e">
        <f>AND('STERLING CATALOG - DRY '!G1663,"AAAAACn7+74=")</f>
        <v>#VALUE!</v>
      </c>
      <c r="GJ79" t="e">
        <f>AND('STERLING CATALOG - DRY '!H1663,"AAAAACn7+78=")</f>
        <v>#VALUE!</v>
      </c>
      <c r="GK79" t="e">
        <f>AND('STERLING CATALOG - DRY '!I1663,"AAAAACn7+8A=")</f>
        <v>#VALUE!</v>
      </c>
      <c r="GL79" t="e">
        <f>AND('STERLING CATALOG - DRY '!J1663,"AAAAACn7+8E=")</f>
        <v>#VALUE!</v>
      </c>
      <c r="GM79">
        <f>IF('STERLING CATALOG - DRY '!1664:1664,"AAAAACn7+8I=",0)</f>
        <v>0</v>
      </c>
      <c r="GN79" t="e">
        <f>AND('STERLING CATALOG - DRY '!A1664,"AAAAACn7+8M=")</f>
        <v>#VALUE!</v>
      </c>
      <c r="GO79" t="e">
        <f>AND('STERLING CATALOG - DRY '!B1664,"AAAAACn7+8Q=")</f>
        <v>#VALUE!</v>
      </c>
      <c r="GP79" t="e">
        <f>AND('STERLING CATALOG - DRY '!C1664,"AAAAACn7+8U=")</f>
        <v>#VALUE!</v>
      </c>
      <c r="GQ79" t="e">
        <f>AND('STERLING CATALOG - DRY '!D1664,"AAAAACn7+8Y=")</f>
        <v>#VALUE!</v>
      </c>
      <c r="GR79" t="e">
        <f>AND('STERLING CATALOG - DRY '!E1664,"AAAAACn7+8c=")</f>
        <v>#VALUE!</v>
      </c>
      <c r="GS79" t="e">
        <f>AND('STERLING CATALOG - DRY '!F1664,"AAAAACn7+8g=")</f>
        <v>#VALUE!</v>
      </c>
      <c r="GT79" t="e">
        <f>AND('STERLING CATALOG - DRY '!G1664,"AAAAACn7+8k=")</f>
        <v>#VALUE!</v>
      </c>
      <c r="GU79" t="e">
        <f>AND('STERLING CATALOG - DRY '!H1664,"AAAAACn7+8o=")</f>
        <v>#VALUE!</v>
      </c>
      <c r="GV79" t="e">
        <f>AND('STERLING CATALOG - DRY '!I1664,"AAAAACn7+8s=")</f>
        <v>#VALUE!</v>
      </c>
      <c r="GW79" t="e">
        <f>AND('STERLING CATALOG - DRY '!J1664,"AAAAACn7+8w=")</f>
        <v>#VALUE!</v>
      </c>
      <c r="GX79">
        <f>IF('STERLING CATALOG - DRY '!1665:1665,"AAAAACn7+80=",0)</f>
        <v>0</v>
      </c>
      <c r="GY79" t="e">
        <f>AND('STERLING CATALOG - DRY '!A1665,"AAAAACn7+84=")</f>
        <v>#VALUE!</v>
      </c>
      <c r="GZ79" t="e">
        <f>AND('STERLING CATALOG - DRY '!B1665,"AAAAACn7+88=")</f>
        <v>#VALUE!</v>
      </c>
      <c r="HA79" t="e">
        <f>AND('STERLING CATALOG - DRY '!C1665,"AAAAACn7+9A=")</f>
        <v>#VALUE!</v>
      </c>
      <c r="HB79" t="e">
        <f>AND('STERLING CATALOG - DRY '!D1665,"AAAAACn7+9E=")</f>
        <v>#VALUE!</v>
      </c>
      <c r="HC79" t="e">
        <f>AND('STERLING CATALOG - DRY '!E1665,"AAAAACn7+9I=")</f>
        <v>#VALUE!</v>
      </c>
      <c r="HD79" t="e">
        <f>AND('STERLING CATALOG - DRY '!F1665,"AAAAACn7+9M=")</f>
        <v>#VALUE!</v>
      </c>
      <c r="HE79" t="e">
        <f>AND('STERLING CATALOG - DRY '!G1665,"AAAAACn7+9Q=")</f>
        <v>#VALUE!</v>
      </c>
      <c r="HF79" t="e">
        <f>AND('STERLING CATALOG - DRY '!H1665,"AAAAACn7+9U=")</f>
        <v>#VALUE!</v>
      </c>
      <c r="HG79" t="e">
        <f>AND('STERLING CATALOG - DRY '!I1665,"AAAAACn7+9Y=")</f>
        <v>#VALUE!</v>
      </c>
      <c r="HH79" t="e">
        <f>AND('STERLING CATALOG - DRY '!J1665,"AAAAACn7+9c=")</f>
        <v>#VALUE!</v>
      </c>
      <c r="HI79">
        <f>IF('STERLING CATALOG - DRY '!1666:1666,"AAAAACn7+9g=",0)</f>
        <v>0</v>
      </c>
      <c r="HJ79" t="e">
        <f>AND('STERLING CATALOG - DRY '!A1666,"AAAAACn7+9k=")</f>
        <v>#VALUE!</v>
      </c>
      <c r="HK79" t="e">
        <f>AND('STERLING CATALOG - DRY '!B1666,"AAAAACn7+9o=")</f>
        <v>#VALUE!</v>
      </c>
      <c r="HL79" t="e">
        <f>AND('STERLING CATALOG - DRY '!C1666,"AAAAACn7+9s=")</f>
        <v>#VALUE!</v>
      </c>
      <c r="HM79" t="e">
        <f>AND('STERLING CATALOG - DRY '!D1666,"AAAAACn7+9w=")</f>
        <v>#VALUE!</v>
      </c>
      <c r="HN79" t="e">
        <f>AND('STERLING CATALOG - DRY '!E1666,"AAAAACn7+90=")</f>
        <v>#VALUE!</v>
      </c>
      <c r="HO79" t="e">
        <f>AND('STERLING CATALOG - DRY '!F1666,"AAAAACn7+94=")</f>
        <v>#VALUE!</v>
      </c>
      <c r="HP79" t="e">
        <f>AND('STERLING CATALOG - DRY '!G1666,"AAAAACn7+98=")</f>
        <v>#VALUE!</v>
      </c>
      <c r="HQ79" t="e">
        <f>AND('STERLING CATALOG - DRY '!H1666,"AAAAACn7++A=")</f>
        <v>#VALUE!</v>
      </c>
      <c r="HR79" t="e">
        <f>AND('STERLING CATALOG - DRY '!I1666,"AAAAACn7++E=")</f>
        <v>#VALUE!</v>
      </c>
      <c r="HS79" t="e">
        <f>AND('STERLING CATALOG - DRY '!J1666,"AAAAACn7++I=")</f>
        <v>#VALUE!</v>
      </c>
      <c r="HT79">
        <f>IF('STERLING CATALOG - DRY '!1667:1667,"AAAAACn7++M=",0)</f>
        <v>0</v>
      </c>
      <c r="HU79" t="e">
        <f>AND('STERLING CATALOG - DRY '!A1667,"AAAAACn7++Q=")</f>
        <v>#VALUE!</v>
      </c>
      <c r="HV79" t="e">
        <f>AND('STERLING CATALOG - DRY '!B1667,"AAAAACn7++U=")</f>
        <v>#VALUE!</v>
      </c>
      <c r="HW79" t="e">
        <f>AND('STERLING CATALOG - DRY '!C1667,"AAAAACn7++Y=")</f>
        <v>#VALUE!</v>
      </c>
      <c r="HX79" t="e">
        <f>AND('STERLING CATALOG - DRY '!D1667,"AAAAACn7++c=")</f>
        <v>#VALUE!</v>
      </c>
      <c r="HY79" t="e">
        <f>AND('STERLING CATALOG - DRY '!E1667,"AAAAACn7++g=")</f>
        <v>#VALUE!</v>
      </c>
      <c r="HZ79" t="e">
        <f>AND('STERLING CATALOG - DRY '!F1667,"AAAAACn7++k=")</f>
        <v>#VALUE!</v>
      </c>
      <c r="IA79" t="e">
        <f>AND('STERLING CATALOG - DRY '!G1667,"AAAAACn7++o=")</f>
        <v>#VALUE!</v>
      </c>
      <c r="IB79" t="e">
        <f>AND('STERLING CATALOG - DRY '!H1667,"AAAAACn7++s=")</f>
        <v>#VALUE!</v>
      </c>
      <c r="IC79" t="e">
        <f>AND('STERLING CATALOG - DRY '!I1667,"AAAAACn7++w=")</f>
        <v>#VALUE!</v>
      </c>
      <c r="ID79" t="e">
        <f>AND('STERLING CATALOG - DRY '!J1667,"AAAAACn7++0=")</f>
        <v>#VALUE!</v>
      </c>
      <c r="IE79">
        <f>IF('STERLING CATALOG - DRY '!1668:1668,"AAAAACn7++4=",0)</f>
        <v>0</v>
      </c>
      <c r="IF79" t="e">
        <f>AND('STERLING CATALOG - DRY '!A1668,"AAAAACn7++8=")</f>
        <v>#VALUE!</v>
      </c>
      <c r="IG79" t="e">
        <f>AND('STERLING CATALOG - DRY '!B1668,"AAAAACn7+/A=")</f>
        <v>#VALUE!</v>
      </c>
      <c r="IH79" t="e">
        <f>AND('STERLING CATALOG - DRY '!C1668,"AAAAACn7+/E=")</f>
        <v>#VALUE!</v>
      </c>
      <c r="II79" t="e">
        <f>AND('STERLING CATALOG - DRY '!D1668,"AAAAACn7+/I=")</f>
        <v>#VALUE!</v>
      </c>
      <c r="IJ79" t="e">
        <f>AND('STERLING CATALOG - DRY '!E1668,"AAAAACn7+/M=")</f>
        <v>#VALUE!</v>
      </c>
      <c r="IK79" t="e">
        <f>AND('STERLING CATALOG - DRY '!F1668,"AAAAACn7+/Q=")</f>
        <v>#VALUE!</v>
      </c>
      <c r="IL79" t="e">
        <f>AND('STERLING CATALOG - DRY '!G1668,"AAAAACn7+/U=")</f>
        <v>#VALUE!</v>
      </c>
      <c r="IM79" t="e">
        <f>AND('STERLING CATALOG - DRY '!H1668,"AAAAACn7+/Y=")</f>
        <v>#VALUE!</v>
      </c>
      <c r="IN79" t="e">
        <f>AND('STERLING CATALOG - DRY '!I1668,"AAAAACn7+/c=")</f>
        <v>#VALUE!</v>
      </c>
      <c r="IO79" t="e">
        <f>AND('STERLING CATALOG - DRY '!J1668,"AAAAACn7+/g=")</f>
        <v>#VALUE!</v>
      </c>
      <c r="IP79">
        <f>IF('STERLING CATALOG - DRY '!1669:1669,"AAAAACn7+/k=",0)</f>
        <v>0</v>
      </c>
      <c r="IQ79" t="e">
        <f>AND('STERLING CATALOG - DRY '!A1669,"AAAAACn7+/o=")</f>
        <v>#VALUE!</v>
      </c>
      <c r="IR79" t="e">
        <f>AND('STERLING CATALOG - DRY '!B1669,"AAAAACn7+/s=")</f>
        <v>#VALUE!</v>
      </c>
      <c r="IS79" t="e">
        <f>AND('STERLING CATALOG - DRY '!C1669,"AAAAACn7+/w=")</f>
        <v>#VALUE!</v>
      </c>
      <c r="IT79" t="e">
        <f>AND('STERLING CATALOG - DRY '!D1669,"AAAAACn7+/0=")</f>
        <v>#VALUE!</v>
      </c>
      <c r="IU79" t="e">
        <f>AND('STERLING CATALOG - DRY '!E1669,"AAAAACn7+/4=")</f>
        <v>#VALUE!</v>
      </c>
      <c r="IV79" t="e">
        <f>AND('STERLING CATALOG - DRY '!F1669,"AAAAACn7+/8=")</f>
        <v>#VALUE!</v>
      </c>
    </row>
    <row r="80" spans="1:256">
      <c r="A80" t="e">
        <f>AND('STERLING CATALOG - DRY '!G1669,"AAAAAF1cewA=")</f>
        <v>#VALUE!</v>
      </c>
      <c r="B80" t="e">
        <f>AND('STERLING CATALOG - DRY '!H1669,"AAAAAF1cewE=")</f>
        <v>#VALUE!</v>
      </c>
      <c r="C80" t="e">
        <f>AND('STERLING CATALOG - DRY '!I1669,"AAAAAF1cewI=")</f>
        <v>#VALUE!</v>
      </c>
      <c r="D80" t="e">
        <f>AND('STERLING CATALOG - DRY '!J1669,"AAAAAF1cewM=")</f>
        <v>#VALUE!</v>
      </c>
      <c r="E80" t="e">
        <f>IF('STERLING CATALOG - DRY '!1670:1670,"AAAAAF1cewQ=",0)</f>
        <v>#VALUE!</v>
      </c>
      <c r="F80" t="e">
        <f>AND('STERLING CATALOG - DRY '!A1670,"AAAAAF1cewU=")</f>
        <v>#VALUE!</v>
      </c>
      <c r="G80" t="e">
        <f>AND('STERLING CATALOG - DRY '!B1670,"AAAAAF1cewY=")</f>
        <v>#VALUE!</v>
      </c>
      <c r="H80" t="e">
        <f>AND('STERLING CATALOG - DRY '!C1670,"AAAAAF1cewc=")</f>
        <v>#VALUE!</v>
      </c>
      <c r="I80" t="e">
        <f>AND('STERLING CATALOG - DRY '!D1670,"AAAAAF1cewg=")</f>
        <v>#VALUE!</v>
      </c>
      <c r="J80" t="e">
        <f>AND('STERLING CATALOG - DRY '!E1670,"AAAAAF1cewk=")</f>
        <v>#VALUE!</v>
      </c>
      <c r="K80" t="e">
        <f>AND('STERLING CATALOG - DRY '!F1670,"AAAAAF1cewo=")</f>
        <v>#VALUE!</v>
      </c>
      <c r="L80" t="e">
        <f>AND('STERLING CATALOG - DRY '!G1670,"AAAAAF1cews=")</f>
        <v>#VALUE!</v>
      </c>
      <c r="M80" t="e">
        <f>AND('STERLING CATALOG - DRY '!H1670,"AAAAAF1ceww=")</f>
        <v>#VALUE!</v>
      </c>
      <c r="N80" t="e">
        <f>AND('STERLING CATALOG - DRY '!I1670,"AAAAAF1cew0=")</f>
        <v>#VALUE!</v>
      </c>
      <c r="O80" t="e">
        <f>AND('STERLING CATALOG - DRY '!J1670,"AAAAAF1cew4=")</f>
        <v>#VALUE!</v>
      </c>
      <c r="P80">
        <f>IF('STERLING CATALOG - DRY '!1671:1671,"AAAAAF1cew8=",0)</f>
        <v>0</v>
      </c>
      <c r="Q80" t="e">
        <f>AND('STERLING CATALOG - DRY '!A1671,"AAAAAF1cexA=")</f>
        <v>#VALUE!</v>
      </c>
      <c r="R80" t="e">
        <f>AND('STERLING CATALOG - DRY '!B1671,"AAAAAF1cexE=")</f>
        <v>#VALUE!</v>
      </c>
      <c r="S80" t="e">
        <f>AND('STERLING CATALOG - DRY '!C1671,"AAAAAF1cexI=")</f>
        <v>#VALUE!</v>
      </c>
      <c r="T80" t="e">
        <f>AND('STERLING CATALOG - DRY '!D1671,"AAAAAF1cexM=")</f>
        <v>#VALUE!</v>
      </c>
      <c r="U80" t="e">
        <f>AND('STERLING CATALOG - DRY '!E1671,"AAAAAF1cexQ=")</f>
        <v>#VALUE!</v>
      </c>
      <c r="V80" t="e">
        <f>AND('STERLING CATALOG - DRY '!F1671,"AAAAAF1cexU=")</f>
        <v>#VALUE!</v>
      </c>
      <c r="W80" t="e">
        <f>AND('STERLING CATALOG - DRY '!G1671,"AAAAAF1cexY=")</f>
        <v>#VALUE!</v>
      </c>
      <c r="X80" t="e">
        <f>AND('STERLING CATALOG - DRY '!H1671,"AAAAAF1cexc=")</f>
        <v>#VALUE!</v>
      </c>
      <c r="Y80" t="e">
        <f>AND('STERLING CATALOG - DRY '!I1671,"AAAAAF1cexg=")</f>
        <v>#VALUE!</v>
      </c>
      <c r="Z80" t="e">
        <f>AND('STERLING CATALOG - DRY '!J1671,"AAAAAF1cexk=")</f>
        <v>#VALUE!</v>
      </c>
      <c r="AA80">
        <f>IF('STERLING CATALOG - DRY '!1672:1672,"AAAAAF1cexo=",0)</f>
        <v>0</v>
      </c>
      <c r="AB80" t="e">
        <f>AND('STERLING CATALOG - DRY '!A1672,"AAAAAF1cexs=")</f>
        <v>#VALUE!</v>
      </c>
      <c r="AC80" t="e">
        <f>AND('STERLING CATALOG - DRY '!B1672,"AAAAAF1cexw=")</f>
        <v>#VALUE!</v>
      </c>
      <c r="AD80" t="e">
        <f>AND('STERLING CATALOG - DRY '!C1672,"AAAAAF1cex0=")</f>
        <v>#VALUE!</v>
      </c>
      <c r="AE80" t="e">
        <f>AND('STERLING CATALOG - DRY '!D1672,"AAAAAF1cex4=")</f>
        <v>#VALUE!</v>
      </c>
      <c r="AF80" t="e">
        <f>AND('STERLING CATALOG - DRY '!E1672,"AAAAAF1cex8=")</f>
        <v>#VALUE!</v>
      </c>
      <c r="AG80" t="e">
        <f>AND('STERLING CATALOG - DRY '!F1672,"AAAAAF1ceyA=")</f>
        <v>#VALUE!</v>
      </c>
      <c r="AH80" t="e">
        <f>AND('STERLING CATALOG - DRY '!G1672,"AAAAAF1ceyE=")</f>
        <v>#VALUE!</v>
      </c>
      <c r="AI80" t="e">
        <f>AND('STERLING CATALOG - DRY '!H1672,"AAAAAF1ceyI=")</f>
        <v>#VALUE!</v>
      </c>
      <c r="AJ80" t="e">
        <f>AND('STERLING CATALOG - DRY '!I1672,"AAAAAF1ceyM=")</f>
        <v>#VALUE!</v>
      </c>
      <c r="AK80" t="e">
        <f>AND('STERLING CATALOG - DRY '!J1672,"AAAAAF1ceyQ=")</f>
        <v>#VALUE!</v>
      </c>
      <c r="AL80">
        <f>IF('STERLING CATALOG - DRY '!1673:1673,"AAAAAF1ceyU=",0)</f>
        <v>0</v>
      </c>
      <c r="AM80" t="e">
        <f>AND('STERLING CATALOG - DRY '!A1673,"AAAAAF1ceyY=")</f>
        <v>#VALUE!</v>
      </c>
      <c r="AN80" t="e">
        <f>AND('STERLING CATALOG - DRY '!B1673,"AAAAAF1ceyc=")</f>
        <v>#VALUE!</v>
      </c>
      <c r="AO80" t="e">
        <f>AND('STERLING CATALOG - DRY '!C1673,"AAAAAF1ceyg=")</f>
        <v>#VALUE!</v>
      </c>
      <c r="AP80" t="e">
        <f>AND('STERLING CATALOG - DRY '!D1673,"AAAAAF1ceyk=")</f>
        <v>#VALUE!</v>
      </c>
      <c r="AQ80" t="e">
        <f>AND('STERLING CATALOG - DRY '!E1673,"AAAAAF1ceyo=")</f>
        <v>#VALUE!</v>
      </c>
      <c r="AR80" t="e">
        <f>AND('STERLING CATALOG - DRY '!F1673,"AAAAAF1ceys=")</f>
        <v>#VALUE!</v>
      </c>
      <c r="AS80" t="e">
        <f>AND('STERLING CATALOG - DRY '!G1673,"AAAAAF1ceyw=")</f>
        <v>#VALUE!</v>
      </c>
      <c r="AT80" t="e">
        <f>AND('STERLING CATALOG - DRY '!H1673,"AAAAAF1cey0=")</f>
        <v>#VALUE!</v>
      </c>
      <c r="AU80" t="e">
        <f>AND('STERLING CATALOG - DRY '!I1673,"AAAAAF1cey4=")</f>
        <v>#VALUE!</v>
      </c>
      <c r="AV80" t="e">
        <f>AND('STERLING CATALOG - DRY '!J1673,"AAAAAF1cey8=")</f>
        <v>#VALUE!</v>
      </c>
      <c r="AW80">
        <f>IF('STERLING CATALOG - DRY '!1674:1674,"AAAAAF1cezA=",0)</f>
        <v>0</v>
      </c>
      <c r="AX80" t="e">
        <f>AND('STERLING CATALOG - DRY '!A1674,"AAAAAF1cezE=")</f>
        <v>#VALUE!</v>
      </c>
      <c r="AY80" t="e">
        <f>AND('STERLING CATALOG - DRY '!B1674,"AAAAAF1cezI=")</f>
        <v>#VALUE!</v>
      </c>
      <c r="AZ80" t="e">
        <f>AND('STERLING CATALOG - DRY '!C1674,"AAAAAF1cezM=")</f>
        <v>#VALUE!</v>
      </c>
      <c r="BA80" t="e">
        <f>AND('STERLING CATALOG - DRY '!D1674,"AAAAAF1cezQ=")</f>
        <v>#VALUE!</v>
      </c>
      <c r="BB80" t="e">
        <f>AND('STERLING CATALOG - DRY '!E1674,"AAAAAF1cezU=")</f>
        <v>#VALUE!</v>
      </c>
      <c r="BC80" t="e">
        <f>AND('STERLING CATALOG - DRY '!F1674,"AAAAAF1cezY=")</f>
        <v>#VALUE!</v>
      </c>
      <c r="BD80" t="e">
        <f>AND('STERLING CATALOG - DRY '!G1674,"AAAAAF1cezc=")</f>
        <v>#VALUE!</v>
      </c>
      <c r="BE80" t="e">
        <f>AND('STERLING CATALOG - DRY '!H1674,"AAAAAF1cezg=")</f>
        <v>#VALUE!</v>
      </c>
      <c r="BF80" t="e">
        <f>AND('STERLING CATALOG - DRY '!I1674,"AAAAAF1cezk=")</f>
        <v>#VALUE!</v>
      </c>
      <c r="BG80" t="e">
        <f>AND('STERLING CATALOG - DRY '!J1674,"AAAAAF1cezo=")</f>
        <v>#VALUE!</v>
      </c>
      <c r="BH80">
        <f>IF('STERLING CATALOG - DRY '!1675:1675,"AAAAAF1cezs=",0)</f>
        <v>0</v>
      </c>
      <c r="BI80" t="e">
        <f>AND('STERLING CATALOG - DRY '!A1675,"AAAAAF1cezw=")</f>
        <v>#VALUE!</v>
      </c>
      <c r="BJ80" t="e">
        <f>AND('STERLING CATALOG - DRY '!B1675,"AAAAAF1cez0=")</f>
        <v>#VALUE!</v>
      </c>
      <c r="BK80" t="e">
        <f>AND('STERLING CATALOG - DRY '!C1675,"AAAAAF1cez4=")</f>
        <v>#VALUE!</v>
      </c>
      <c r="BL80" t="e">
        <f>AND('STERLING CATALOG - DRY '!D1675,"AAAAAF1cez8=")</f>
        <v>#VALUE!</v>
      </c>
      <c r="BM80" t="e">
        <f>AND('STERLING CATALOG - DRY '!E1675,"AAAAAF1ce0A=")</f>
        <v>#VALUE!</v>
      </c>
      <c r="BN80" t="e">
        <f>AND('STERLING CATALOG - DRY '!F1675,"AAAAAF1ce0E=")</f>
        <v>#VALUE!</v>
      </c>
      <c r="BO80" t="e">
        <f>AND('STERLING CATALOG - DRY '!G1675,"AAAAAF1ce0I=")</f>
        <v>#VALUE!</v>
      </c>
      <c r="BP80" t="e">
        <f>AND('STERLING CATALOG - DRY '!H1675,"AAAAAF1ce0M=")</f>
        <v>#VALUE!</v>
      </c>
      <c r="BQ80" t="e">
        <f>AND('STERLING CATALOG - DRY '!I1675,"AAAAAF1ce0Q=")</f>
        <v>#VALUE!</v>
      </c>
      <c r="BR80" t="e">
        <f>AND('STERLING CATALOG - DRY '!J1675,"AAAAAF1ce0U=")</f>
        <v>#VALUE!</v>
      </c>
      <c r="BS80">
        <f>IF('STERLING CATALOG - DRY '!1676:1676,"AAAAAF1ce0Y=",0)</f>
        <v>0</v>
      </c>
      <c r="BT80" t="e">
        <f>AND('STERLING CATALOG - DRY '!A1676,"AAAAAF1ce0c=")</f>
        <v>#VALUE!</v>
      </c>
      <c r="BU80" t="e">
        <f>AND('STERLING CATALOG - DRY '!B1676,"AAAAAF1ce0g=")</f>
        <v>#VALUE!</v>
      </c>
      <c r="BV80" t="e">
        <f>AND('STERLING CATALOG - DRY '!C1676,"AAAAAF1ce0k=")</f>
        <v>#VALUE!</v>
      </c>
      <c r="BW80" t="e">
        <f>AND('STERLING CATALOG - DRY '!D1676,"AAAAAF1ce0o=")</f>
        <v>#VALUE!</v>
      </c>
      <c r="BX80" t="e">
        <f>AND('STERLING CATALOG - DRY '!E1676,"AAAAAF1ce0s=")</f>
        <v>#VALUE!</v>
      </c>
      <c r="BY80" t="e">
        <f>AND('STERLING CATALOG - DRY '!F1676,"AAAAAF1ce0w=")</f>
        <v>#VALUE!</v>
      </c>
      <c r="BZ80" t="e">
        <f>AND('STERLING CATALOG - DRY '!G1676,"AAAAAF1ce00=")</f>
        <v>#VALUE!</v>
      </c>
      <c r="CA80" t="e">
        <f>AND('STERLING CATALOG - DRY '!H1676,"AAAAAF1ce04=")</f>
        <v>#VALUE!</v>
      </c>
      <c r="CB80" t="e">
        <f>AND('STERLING CATALOG - DRY '!I1676,"AAAAAF1ce08=")</f>
        <v>#VALUE!</v>
      </c>
      <c r="CC80" t="e">
        <f>AND('STERLING CATALOG - DRY '!J1676,"AAAAAF1ce1A=")</f>
        <v>#VALUE!</v>
      </c>
      <c r="CD80">
        <f>IF('STERLING CATALOG - DRY '!1677:1677,"AAAAAF1ce1E=",0)</f>
        <v>0</v>
      </c>
      <c r="CE80" t="e">
        <f>AND('STERLING CATALOG - DRY '!A1677,"AAAAAF1ce1I=")</f>
        <v>#VALUE!</v>
      </c>
      <c r="CF80" t="e">
        <f>AND('STERLING CATALOG - DRY '!B1677,"AAAAAF1ce1M=")</f>
        <v>#VALUE!</v>
      </c>
      <c r="CG80" t="e">
        <f>AND('STERLING CATALOG - DRY '!C1677,"AAAAAF1ce1Q=")</f>
        <v>#VALUE!</v>
      </c>
      <c r="CH80" t="e">
        <f>AND('STERLING CATALOG - DRY '!D1677,"AAAAAF1ce1U=")</f>
        <v>#VALUE!</v>
      </c>
      <c r="CI80" t="e">
        <f>AND('STERLING CATALOG - DRY '!E1677,"AAAAAF1ce1Y=")</f>
        <v>#VALUE!</v>
      </c>
      <c r="CJ80" t="e">
        <f>AND('STERLING CATALOG - DRY '!F1677,"AAAAAF1ce1c=")</f>
        <v>#VALUE!</v>
      </c>
      <c r="CK80" t="e">
        <f>AND('STERLING CATALOG - DRY '!G1677,"AAAAAF1ce1g=")</f>
        <v>#VALUE!</v>
      </c>
      <c r="CL80" t="e">
        <f>AND('STERLING CATALOG - DRY '!H1677,"AAAAAF1ce1k=")</f>
        <v>#VALUE!</v>
      </c>
      <c r="CM80" t="e">
        <f>AND('STERLING CATALOG - DRY '!I1677,"AAAAAF1ce1o=")</f>
        <v>#VALUE!</v>
      </c>
      <c r="CN80" t="e">
        <f>AND('STERLING CATALOG - DRY '!J1677,"AAAAAF1ce1s=")</f>
        <v>#VALUE!</v>
      </c>
      <c r="CO80">
        <f>IF('STERLING CATALOG - DRY '!1678:1678,"AAAAAF1ce1w=",0)</f>
        <v>0</v>
      </c>
      <c r="CP80" t="e">
        <f>AND('STERLING CATALOG - DRY '!A1678,"AAAAAF1ce10=")</f>
        <v>#VALUE!</v>
      </c>
      <c r="CQ80" t="e">
        <f>AND('STERLING CATALOG - DRY '!B1678,"AAAAAF1ce14=")</f>
        <v>#VALUE!</v>
      </c>
      <c r="CR80" t="e">
        <f>AND('STERLING CATALOG - DRY '!C1678,"AAAAAF1ce18=")</f>
        <v>#VALUE!</v>
      </c>
      <c r="CS80" t="e">
        <f>AND('STERLING CATALOG - DRY '!D1678,"AAAAAF1ce2A=")</f>
        <v>#VALUE!</v>
      </c>
      <c r="CT80" t="e">
        <f>AND('STERLING CATALOG - DRY '!E1678,"AAAAAF1ce2E=")</f>
        <v>#VALUE!</v>
      </c>
      <c r="CU80" t="e">
        <f>AND('STERLING CATALOG - DRY '!F1678,"AAAAAF1ce2I=")</f>
        <v>#VALUE!</v>
      </c>
      <c r="CV80" t="e">
        <f>AND('STERLING CATALOG - DRY '!G1678,"AAAAAF1ce2M=")</f>
        <v>#VALUE!</v>
      </c>
      <c r="CW80" t="e">
        <f>AND('STERLING CATALOG - DRY '!H1678,"AAAAAF1ce2Q=")</f>
        <v>#VALUE!</v>
      </c>
      <c r="CX80" t="e">
        <f>AND('STERLING CATALOG - DRY '!I1678,"AAAAAF1ce2U=")</f>
        <v>#VALUE!</v>
      </c>
      <c r="CY80" t="e">
        <f>AND('STERLING CATALOG - DRY '!J1678,"AAAAAF1ce2Y=")</f>
        <v>#VALUE!</v>
      </c>
      <c r="CZ80">
        <f>IF('STERLING CATALOG - DRY '!1679:1679,"AAAAAF1ce2c=",0)</f>
        <v>0</v>
      </c>
      <c r="DA80" t="e">
        <f>AND('STERLING CATALOG - DRY '!A1679,"AAAAAF1ce2g=")</f>
        <v>#VALUE!</v>
      </c>
      <c r="DB80" t="e">
        <f>AND('STERLING CATALOG - DRY '!B1679,"AAAAAF1ce2k=")</f>
        <v>#VALUE!</v>
      </c>
      <c r="DC80" t="e">
        <f>AND('STERLING CATALOG - DRY '!C1679,"AAAAAF1ce2o=")</f>
        <v>#VALUE!</v>
      </c>
      <c r="DD80" t="e">
        <f>AND('STERLING CATALOG - DRY '!D1679,"AAAAAF1ce2s=")</f>
        <v>#VALUE!</v>
      </c>
      <c r="DE80" t="e">
        <f>AND('STERLING CATALOG - DRY '!E1679,"AAAAAF1ce2w=")</f>
        <v>#VALUE!</v>
      </c>
      <c r="DF80" t="e">
        <f>AND('STERLING CATALOG - DRY '!F1679,"AAAAAF1ce20=")</f>
        <v>#VALUE!</v>
      </c>
      <c r="DG80" t="e">
        <f>AND('STERLING CATALOG - DRY '!G1679,"AAAAAF1ce24=")</f>
        <v>#VALUE!</v>
      </c>
      <c r="DH80" t="e">
        <f>AND('STERLING CATALOG - DRY '!H1679,"AAAAAF1ce28=")</f>
        <v>#VALUE!</v>
      </c>
      <c r="DI80" t="e">
        <f>AND('STERLING CATALOG - DRY '!I1679,"AAAAAF1ce3A=")</f>
        <v>#VALUE!</v>
      </c>
      <c r="DJ80" t="e">
        <f>AND('STERLING CATALOG - DRY '!J1679,"AAAAAF1ce3E=")</f>
        <v>#VALUE!</v>
      </c>
      <c r="DK80">
        <f>IF('STERLING CATALOG - DRY '!1680:1680,"AAAAAF1ce3I=",0)</f>
        <v>0</v>
      </c>
      <c r="DL80" t="e">
        <f>AND('STERLING CATALOG - DRY '!A1680,"AAAAAF1ce3M=")</f>
        <v>#VALUE!</v>
      </c>
      <c r="DM80" t="e">
        <f>AND('STERLING CATALOG - DRY '!B1680,"AAAAAF1ce3Q=")</f>
        <v>#VALUE!</v>
      </c>
      <c r="DN80" t="e">
        <f>AND('STERLING CATALOG - DRY '!C1680,"AAAAAF1ce3U=")</f>
        <v>#VALUE!</v>
      </c>
      <c r="DO80" t="e">
        <f>AND('STERLING CATALOG - DRY '!D1680,"AAAAAF1ce3Y=")</f>
        <v>#VALUE!</v>
      </c>
      <c r="DP80" t="e">
        <f>AND('STERLING CATALOG - DRY '!E1680,"AAAAAF1ce3c=")</f>
        <v>#VALUE!</v>
      </c>
      <c r="DQ80" t="e">
        <f>AND('STERLING CATALOG - DRY '!F1680,"AAAAAF1ce3g=")</f>
        <v>#VALUE!</v>
      </c>
      <c r="DR80" t="e">
        <f>AND('STERLING CATALOG - DRY '!G1680,"AAAAAF1ce3k=")</f>
        <v>#VALUE!</v>
      </c>
      <c r="DS80" t="e">
        <f>AND('STERLING CATALOG - DRY '!H1680,"AAAAAF1ce3o=")</f>
        <v>#VALUE!</v>
      </c>
      <c r="DT80" t="e">
        <f>AND('STERLING CATALOG - DRY '!I1680,"AAAAAF1ce3s=")</f>
        <v>#VALUE!</v>
      </c>
      <c r="DU80" t="e">
        <f>AND('STERLING CATALOG - DRY '!J1680,"AAAAAF1ce3w=")</f>
        <v>#VALUE!</v>
      </c>
      <c r="DV80">
        <f>IF('STERLING CATALOG - DRY '!1681:1681,"AAAAAF1ce30=",0)</f>
        <v>0</v>
      </c>
      <c r="DW80" t="e">
        <f>AND('STERLING CATALOG - DRY '!A1681,"AAAAAF1ce34=")</f>
        <v>#VALUE!</v>
      </c>
      <c r="DX80" t="e">
        <f>AND('STERLING CATALOG - DRY '!B1681,"AAAAAF1ce38=")</f>
        <v>#VALUE!</v>
      </c>
      <c r="DY80" t="e">
        <f>AND('STERLING CATALOG - DRY '!C1681,"AAAAAF1ce4A=")</f>
        <v>#VALUE!</v>
      </c>
      <c r="DZ80" t="e">
        <f>AND('STERLING CATALOG - DRY '!D1681,"AAAAAF1ce4E=")</f>
        <v>#VALUE!</v>
      </c>
      <c r="EA80" t="e">
        <f>AND('STERLING CATALOG - DRY '!E1681,"AAAAAF1ce4I=")</f>
        <v>#VALUE!</v>
      </c>
      <c r="EB80" t="e">
        <f>AND('STERLING CATALOG - DRY '!F1681,"AAAAAF1ce4M=")</f>
        <v>#VALUE!</v>
      </c>
      <c r="EC80" t="e">
        <f>AND('STERLING CATALOG - DRY '!G1681,"AAAAAF1ce4Q=")</f>
        <v>#VALUE!</v>
      </c>
      <c r="ED80" t="e">
        <f>AND('STERLING CATALOG - DRY '!H1681,"AAAAAF1ce4U=")</f>
        <v>#VALUE!</v>
      </c>
      <c r="EE80" t="e">
        <f>AND('STERLING CATALOG - DRY '!I1681,"AAAAAF1ce4Y=")</f>
        <v>#VALUE!</v>
      </c>
      <c r="EF80" t="e">
        <f>AND('STERLING CATALOG - DRY '!J1681,"AAAAAF1ce4c=")</f>
        <v>#VALUE!</v>
      </c>
      <c r="EG80">
        <f>IF('STERLING CATALOG - DRY '!1682:1682,"AAAAAF1ce4g=",0)</f>
        <v>0</v>
      </c>
      <c r="EH80" t="e">
        <f>AND('STERLING CATALOG - DRY '!A1682,"AAAAAF1ce4k=")</f>
        <v>#VALUE!</v>
      </c>
      <c r="EI80" t="e">
        <f>AND('STERLING CATALOG - DRY '!B1682,"AAAAAF1ce4o=")</f>
        <v>#VALUE!</v>
      </c>
      <c r="EJ80" t="e">
        <f>AND('STERLING CATALOG - DRY '!C1682,"AAAAAF1ce4s=")</f>
        <v>#VALUE!</v>
      </c>
      <c r="EK80" t="e">
        <f>AND('STERLING CATALOG - DRY '!D1682,"AAAAAF1ce4w=")</f>
        <v>#VALUE!</v>
      </c>
      <c r="EL80" t="e">
        <f>AND('STERLING CATALOG - DRY '!E1682,"AAAAAF1ce40=")</f>
        <v>#VALUE!</v>
      </c>
      <c r="EM80" t="e">
        <f>AND('STERLING CATALOG - DRY '!F1682,"AAAAAF1ce44=")</f>
        <v>#VALUE!</v>
      </c>
      <c r="EN80" t="e">
        <f>AND('STERLING CATALOG - DRY '!G1682,"AAAAAF1ce48=")</f>
        <v>#VALUE!</v>
      </c>
      <c r="EO80" t="e">
        <f>AND('STERLING CATALOG - DRY '!H1682,"AAAAAF1ce5A=")</f>
        <v>#VALUE!</v>
      </c>
      <c r="EP80" t="e">
        <f>AND('STERLING CATALOG - DRY '!I1682,"AAAAAF1ce5E=")</f>
        <v>#VALUE!</v>
      </c>
      <c r="EQ80" t="e">
        <f>AND('STERLING CATALOG - DRY '!J1682,"AAAAAF1ce5I=")</f>
        <v>#VALUE!</v>
      </c>
      <c r="ER80">
        <f>IF('STERLING CATALOG - DRY '!1683:1683,"AAAAAF1ce5M=",0)</f>
        <v>0</v>
      </c>
      <c r="ES80" t="e">
        <f>AND('STERLING CATALOG - DRY '!A1683,"AAAAAF1ce5Q=")</f>
        <v>#VALUE!</v>
      </c>
      <c r="ET80" t="e">
        <f>AND('STERLING CATALOG - DRY '!B1683,"AAAAAF1ce5U=")</f>
        <v>#VALUE!</v>
      </c>
      <c r="EU80" t="e">
        <f>AND('STERLING CATALOG - DRY '!C1683,"AAAAAF1ce5Y=")</f>
        <v>#VALUE!</v>
      </c>
      <c r="EV80" t="e">
        <f>AND('STERLING CATALOG - DRY '!D1683,"AAAAAF1ce5c=")</f>
        <v>#VALUE!</v>
      </c>
      <c r="EW80" t="e">
        <f>AND('STERLING CATALOG - DRY '!E1683,"AAAAAF1ce5g=")</f>
        <v>#VALUE!</v>
      </c>
      <c r="EX80" t="e">
        <f>AND('STERLING CATALOG - DRY '!F1683,"AAAAAF1ce5k=")</f>
        <v>#VALUE!</v>
      </c>
      <c r="EY80" t="e">
        <f>AND('STERLING CATALOG - DRY '!G1683,"AAAAAF1ce5o=")</f>
        <v>#VALUE!</v>
      </c>
      <c r="EZ80" t="e">
        <f>AND('STERLING CATALOG - DRY '!H1683,"AAAAAF1ce5s=")</f>
        <v>#VALUE!</v>
      </c>
      <c r="FA80" t="e">
        <f>AND('STERLING CATALOG - DRY '!I1683,"AAAAAF1ce5w=")</f>
        <v>#VALUE!</v>
      </c>
      <c r="FB80" t="e">
        <f>AND('STERLING CATALOG - DRY '!J1683,"AAAAAF1ce50=")</f>
        <v>#VALUE!</v>
      </c>
      <c r="FC80">
        <f>IF('STERLING CATALOG - DRY '!1684:1684,"AAAAAF1ce54=",0)</f>
        <v>0</v>
      </c>
      <c r="FD80" t="e">
        <f>AND('STERLING CATALOG - DRY '!A1684,"AAAAAF1ce58=")</f>
        <v>#VALUE!</v>
      </c>
      <c r="FE80" t="e">
        <f>AND('STERLING CATALOG - DRY '!B1684,"AAAAAF1ce6A=")</f>
        <v>#VALUE!</v>
      </c>
      <c r="FF80" t="e">
        <f>AND('STERLING CATALOG - DRY '!C1684,"AAAAAF1ce6E=")</f>
        <v>#VALUE!</v>
      </c>
      <c r="FG80" t="e">
        <f>AND('STERLING CATALOG - DRY '!D1684,"AAAAAF1ce6I=")</f>
        <v>#VALUE!</v>
      </c>
      <c r="FH80" t="e">
        <f>AND('STERLING CATALOG - DRY '!E1684,"AAAAAF1ce6M=")</f>
        <v>#VALUE!</v>
      </c>
      <c r="FI80" t="e">
        <f>AND('STERLING CATALOG - DRY '!F1684,"AAAAAF1ce6Q=")</f>
        <v>#VALUE!</v>
      </c>
      <c r="FJ80" t="e">
        <f>AND('STERLING CATALOG - DRY '!G1684,"AAAAAF1ce6U=")</f>
        <v>#VALUE!</v>
      </c>
      <c r="FK80" t="e">
        <f>AND('STERLING CATALOG - DRY '!H1684,"AAAAAF1ce6Y=")</f>
        <v>#VALUE!</v>
      </c>
      <c r="FL80" t="e">
        <f>AND('STERLING CATALOG - DRY '!I1684,"AAAAAF1ce6c=")</f>
        <v>#VALUE!</v>
      </c>
      <c r="FM80" t="e">
        <f>AND('STERLING CATALOG - DRY '!J1684,"AAAAAF1ce6g=")</f>
        <v>#VALUE!</v>
      </c>
      <c r="FN80">
        <f>IF('STERLING CATALOG - DRY '!1685:1685,"AAAAAF1ce6k=",0)</f>
        <v>0</v>
      </c>
      <c r="FO80" t="e">
        <f>AND('STERLING CATALOG - DRY '!A1685,"AAAAAF1ce6o=")</f>
        <v>#VALUE!</v>
      </c>
      <c r="FP80" t="e">
        <f>AND('STERLING CATALOG - DRY '!B1685,"AAAAAF1ce6s=")</f>
        <v>#VALUE!</v>
      </c>
      <c r="FQ80" t="e">
        <f>AND('STERLING CATALOG - DRY '!C1685,"AAAAAF1ce6w=")</f>
        <v>#VALUE!</v>
      </c>
      <c r="FR80" t="e">
        <f>AND('STERLING CATALOG - DRY '!D1685,"AAAAAF1ce60=")</f>
        <v>#VALUE!</v>
      </c>
      <c r="FS80" t="e">
        <f>AND('STERLING CATALOG - DRY '!E1685,"AAAAAF1ce64=")</f>
        <v>#VALUE!</v>
      </c>
      <c r="FT80" t="e">
        <f>AND('STERLING CATALOG - DRY '!F1685,"AAAAAF1ce68=")</f>
        <v>#VALUE!</v>
      </c>
      <c r="FU80" t="e">
        <f>AND('STERLING CATALOG - DRY '!G1685,"AAAAAF1ce7A=")</f>
        <v>#VALUE!</v>
      </c>
      <c r="FV80" t="e">
        <f>AND('STERLING CATALOG - DRY '!H1685,"AAAAAF1ce7E=")</f>
        <v>#VALUE!</v>
      </c>
      <c r="FW80" t="e">
        <f>AND('STERLING CATALOG - DRY '!I1685,"AAAAAF1ce7I=")</f>
        <v>#VALUE!</v>
      </c>
      <c r="FX80" t="e">
        <f>AND('STERLING CATALOG - DRY '!J1685,"AAAAAF1ce7M=")</f>
        <v>#VALUE!</v>
      </c>
      <c r="FY80">
        <f>IF('STERLING CATALOG - DRY '!1686:1686,"AAAAAF1ce7Q=",0)</f>
        <v>0</v>
      </c>
      <c r="FZ80" t="e">
        <f>AND('STERLING CATALOG - DRY '!A1686,"AAAAAF1ce7U=")</f>
        <v>#VALUE!</v>
      </c>
      <c r="GA80" t="e">
        <f>AND('STERLING CATALOG - DRY '!B1686,"AAAAAF1ce7Y=")</f>
        <v>#VALUE!</v>
      </c>
      <c r="GB80" t="e">
        <f>AND('STERLING CATALOG - DRY '!C1686,"AAAAAF1ce7c=")</f>
        <v>#VALUE!</v>
      </c>
      <c r="GC80" t="e">
        <f>AND('STERLING CATALOG - DRY '!D1686,"AAAAAF1ce7g=")</f>
        <v>#VALUE!</v>
      </c>
      <c r="GD80" t="e">
        <f>AND('STERLING CATALOG - DRY '!E1686,"AAAAAF1ce7k=")</f>
        <v>#VALUE!</v>
      </c>
      <c r="GE80" t="e">
        <f>AND('STERLING CATALOG - DRY '!F1686,"AAAAAF1ce7o=")</f>
        <v>#VALUE!</v>
      </c>
      <c r="GF80" t="e">
        <f>AND('STERLING CATALOG - DRY '!G1686,"AAAAAF1ce7s=")</f>
        <v>#VALUE!</v>
      </c>
      <c r="GG80" t="e">
        <f>AND('STERLING CATALOG - DRY '!H1686,"AAAAAF1ce7w=")</f>
        <v>#VALUE!</v>
      </c>
      <c r="GH80" t="e">
        <f>AND('STERLING CATALOG - DRY '!I1686,"AAAAAF1ce70=")</f>
        <v>#VALUE!</v>
      </c>
      <c r="GI80" t="e">
        <f>AND('STERLING CATALOG - DRY '!J1686,"AAAAAF1ce74=")</f>
        <v>#VALUE!</v>
      </c>
      <c r="GJ80">
        <f>IF('STERLING CATALOG - DRY '!1687:1687,"AAAAAF1ce78=",0)</f>
        <v>0</v>
      </c>
      <c r="GK80" t="e">
        <f>AND('STERLING CATALOG - DRY '!A1687,"AAAAAF1ce8A=")</f>
        <v>#VALUE!</v>
      </c>
      <c r="GL80" t="e">
        <f>AND('STERLING CATALOG - DRY '!B1687,"AAAAAF1ce8E=")</f>
        <v>#VALUE!</v>
      </c>
      <c r="GM80" t="e">
        <f>AND('STERLING CATALOG - DRY '!C1687,"AAAAAF1ce8I=")</f>
        <v>#VALUE!</v>
      </c>
      <c r="GN80" t="e">
        <f>AND('STERLING CATALOG - DRY '!D1687,"AAAAAF1ce8M=")</f>
        <v>#VALUE!</v>
      </c>
      <c r="GO80" t="e">
        <f>AND('STERLING CATALOG - DRY '!E1687,"AAAAAF1ce8Q=")</f>
        <v>#VALUE!</v>
      </c>
      <c r="GP80" t="e">
        <f>AND('STERLING CATALOG - DRY '!F1687,"AAAAAF1ce8U=")</f>
        <v>#VALUE!</v>
      </c>
      <c r="GQ80" t="e">
        <f>AND('STERLING CATALOG - DRY '!G1687,"AAAAAF1ce8Y=")</f>
        <v>#VALUE!</v>
      </c>
      <c r="GR80" t="e">
        <f>AND('STERLING CATALOG - DRY '!H1687,"AAAAAF1ce8c=")</f>
        <v>#VALUE!</v>
      </c>
      <c r="GS80" t="e">
        <f>AND('STERLING CATALOG - DRY '!I1687,"AAAAAF1ce8g=")</f>
        <v>#VALUE!</v>
      </c>
      <c r="GT80" t="e">
        <f>AND('STERLING CATALOG - DRY '!J1687,"AAAAAF1ce8k=")</f>
        <v>#VALUE!</v>
      </c>
      <c r="GU80">
        <f>IF('STERLING CATALOG - DRY '!1688:1688,"AAAAAF1ce8o=",0)</f>
        <v>0</v>
      </c>
      <c r="GV80" t="e">
        <f>AND('STERLING CATALOG - DRY '!A1688,"AAAAAF1ce8s=")</f>
        <v>#VALUE!</v>
      </c>
      <c r="GW80" t="e">
        <f>AND('STERLING CATALOG - DRY '!B1688,"AAAAAF1ce8w=")</f>
        <v>#VALUE!</v>
      </c>
      <c r="GX80" t="e">
        <f>AND('STERLING CATALOG - DRY '!C1688,"AAAAAF1ce80=")</f>
        <v>#VALUE!</v>
      </c>
      <c r="GY80" t="e">
        <f>AND('STERLING CATALOG - DRY '!D1688,"AAAAAF1ce84=")</f>
        <v>#VALUE!</v>
      </c>
      <c r="GZ80" t="e">
        <f>AND('STERLING CATALOG - DRY '!E1688,"AAAAAF1ce88=")</f>
        <v>#VALUE!</v>
      </c>
      <c r="HA80" t="e">
        <f>AND('STERLING CATALOG - DRY '!F1688,"AAAAAF1ce9A=")</f>
        <v>#VALUE!</v>
      </c>
      <c r="HB80" t="e">
        <f>AND('STERLING CATALOG - DRY '!G1688,"AAAAAF1ce9E=")</f>
        <v>#VALUE!</v>
      </c>
      <c r="HC80" t="e">
        <f>AND('STERLING CATALOG - DRY '!H1688,"AAAAAF1ce9I=")</f>
        <v>#VALUE!</v>
      </c>
      <c r="HD80" t="e">
        <f>AND('STERLING CATALOG - DRY '!I1688,"AAAAAF1ce9M=")</f>
        <v>#VALUE!</v>
      </c>
      <c r="HE80" t="e">
        <f>AND('STERLING CATALOG - DRY '!J1688,"AAAAAF1ce9Q=")</f>
        <v>#VALUE!</v>
      </c>
      <c r="HF80">
        <f>IF('STERLING CATALOG - DRY '!1689:1689,"AAAAAF1ce9U=",0)</f>
        <v>0</v>
      </c>
      <c r="HG80" t="e">
        <f>AND('STERLING CATALOG - DRY '!A1689,"AAAAAF1ce9Y=")</f>
        <v>#VALUE!</v>
      </c>
      <c r="HH80" t="e">
        <f>AND('STERLING CATALOG - DRY '!B1689,"AAAAAF1ce9c=")</f>
        <v>#VALUE!</v>
      </c>
      <c r="HI80" t="e">
        <f>AND('STERLING CATALOG - DRY '!C1689,"AAAAAF1ce9g=")</f>
        <v>#VALUE!</v>
      </c>
      <c r="HJ80" t="e">
        <f>AND('STERLING CATALOG - DRY '!D1689,"AAAAAF1ce9k=")</f>
        <v>#VALUE!</v>
      </c>
      <c r="HK80" t="e">
        <f>AND('STERLING CATALOG - DRY '!E1689,"AAAAAF1ce9o=")</f>
        <v>#VALUE!</v>
      </c>
      <c r="HL80" t="e">
        <f>AND('STERLING CATALOG - DRY '!F1689,"AAAAAF1ce9s=")</f>
        <v>#VALUE!</v>
      </c>
      <c r="HM80" t="e">
        <f>AND('STERLING CATALOG - DRY '!G1689,"AAAAAF1ce9w=")</f>
        <v>#VALUE!</v>
      </c>
      <c r="HN80" t="e">
        <f>AND('STERLING CATALOG - DRY '!H1689,"AAAAAF1ce90=")</f>
        <v>#VALUE!</v>
      </c>
      <c r="HO80" t="e">
        <f>AND('STERLING CATALOG - DRY '!I1689,"AAAAAF1ce94=")</f>
        <v>#VALUE!</v>
      </c>
      <c r="HP80" t="e">
        <f>AND('STERLING CATALOG - DRY '!J1689,"AAAAAF1ce98=")</f>
        <v>#VALUE!</v>
      </c>
      <c r="HQ80">
        <f>IF('STERLING CATALOG - DRY '!1690:1690,"AAAAAF1ce+A=",0)</f>
        <v>0</v>
      </c>
      <c r="HR80" t="e">
        <f>AND('STERLING CATALOG - DRY '!A1690,"AAAAAF1ce+E=")</f>
        <v>#VALUE!</v>
      </c>
      <c r="HS80" t="e">
        <f>AND('STERLING CATALOG - DRY '!B1690,"AAAAAF1ce+I=")</f>
        <v>#VALUE!</v>
      </c>
      <c r="HT80" t="e">
        <f>AND('STERLING CATALOG - DRY '!C1690,"AAAAAF1ce+M=")</f>
        <v>#VALUE!</v>
      </c>
      <c r="HU80" t="e">
        <f>AND('STERLING CATALOG - DRY '!D1690,"AAAAAF1ce+Q=")</f>
        <v>#VALUE!</v>
      </c>
      <c r="HV80" t="e">
        <f>AND('STERLING CATALOG - DRY '!E1690,"AAAAAF1ce+U=")</f>
        <v>#VALUE!</v>
      </c>
      <c r="HW80" t="e">
        <f>AND('STERLING CATALOG - DRY '!F1690,"AAAAAF1ce+Y=")</f>
        <v>#VALUE!</v>
      </c>
      <c r="HX80" t="e">
        <f>AND('STERLING CATALOG - DRY '!G1690,"AAAAAF1ce+c=")</f>
        <v>#VALUE!</v>
      </c>
      <c r="HY80" t="e">
        <f>AND('STERLING CATALOG - DRY '!H1690,"AAAAAF1ce+g=")</f>
        <v>#VALUE!</v>
      </c>
      <c r="HZ80" t="e">
        <f>AND('STERLING CATALOG - DRY '!I1690,"AAAAAF1ce+k=")</f>
        <v>#VALUE!</v>
      </c>
      <c r="IA80" t="e">
        <f>AND('STERLING CATALOG - DRY '!J1690,"AAAAAF1ce+o=")</f>
        <v>#VALUE!</v>
      </c>
      <c r="IB80">
        <f>IF('STERLING CATALOG - DRY '!1691:1691,"AAAAAF1ce+s=",0)</f>
        <v>0</v>
      </c>
      <c r="IC80" t="e">
        <f>AND('STERLING CATALOG - DRY '!A1691,"AAAAAF1ce+w=")</f>
        <v>#VALUE!</v>
      </c>
      <c r="ID80" t="e">
        <f>AND('STERLING CATALOG - DRY '!B1691,"AAAAAF1ce+0=")</f>
        <v>#VALUE!</v>
      </c>
      <c r="IE80" t="e">
        <f>AND('STERLING CATALOG - DRY '!C1691,"AAAAAF1ce+4=")</f>
        <v>#VALUE!</v>
      </c>
      <c r="IF80" t="e">
        <f>AND('STERLING CATALOG - DRY '!D1691,"AAAAAF1ce+8=")</f>
        <v>#VALUE!</v>
      </c>
      <c r="IG80" t="e">
        <f>AND('STERLING CATALOG - DRY '!E1691,"AAAAAF1ce/A=")</f>
        <v>#VALUE!</v>
      </c>
      <c r="IH80" t="e">
        <f>AND('STERLING CATALOG - DRY '!F1691,"AAAAAF1ce/E=")</f>
        <v>#VALUE!</v>
      </c>
      <c r="II80" t="e">
        <f>AND('STERLING CATALOG - DRY '!G1691,"AAAAAF1ce/I=")</f>
        <v>#VALUE!</v>
      </c>
      <c r="IJ80" t="e">
        <f>AND('STERLING CATALOG - DRY '!H1691,"AAAAAF1ce/M=")</f>
        <v>#VALUE!</v>
      </c>
      <c r="IK80" t="e">
        <f>AND('STERLING CATALOG - DRY '!I1691,"AAAAAF1ce/Q=")</f>
        <v>#VALUE!</v>
      </c>
      <c r="IL80" t="e">
        <f>AND('STERLING CATALOG - DRY '!J1691,"AAAAAF1ce/U=")</f>
        <v>#VALUE!</v>
      </c>
      <c r="IM80">
        <f>IF('STERLING CATALOG - DRY '!1692:1692,"AAAAAF1ce/Y=",0)</f>
        <v>0</v>
      </c>
      <c r="IN80" t="e">
        <f>AND('STERLING CATALOG - DRY '!A1692,"AAAAAF1ce/c=")</f>
        <v>#VALUE!</v>
      </c>
      <c r="IO80" t="e">
        <f>AND('STERLING CATALOG - DRY '!B1692,"AAAAAF1ce/g=")</f>
        <v>#VALUE!</v>
      </c>
      <c r="IP80" t="e">
        <f>AND('STERLING CATALOG - DRY '!C1692,"AAAAAF1ce/k=")</f>
        <v>#VALUE!</v>
      </c>
      <c r="IQ80" t="e">
        <f>AND('STERLING CATALOG - DRY '!D1692,"AAAAAF1ce/o=")</f>
        <v>#VALUE!</v>
      </c>
      <c r="IR80" t="e">
        <f>AND('STERLING CATALOG - DRY '!E1692,"AAAAAF1ce/s=")</f>
        <v>#VALUE!</v>
      </c>
      <c r="IS80" t="e">
        <f>AND('STERLING CATALOG - DRY '!F1692,"AAAAAF1ce/w=")</f>
        <v>#VALUE!</v>
      </c>
      <c r="IT80" t="e">
        <f>AND('STERLING CATALOG - DRY '!G1692,"AAAAAF1ce/0=")</f>
        <v>#VALUE!</v>
      </c>
      <c r="IU80" t="e">
        <f>AND('STERLING CATALOG - DRY '!H1692,"AAAAAF1ce/4=")</f>
        <v>#VALUE!</v>
      </c>
      <c r="IV80" t="e">
        <f>AND('STERLING CATALOG - DRY '!I1692,"AAAAAF1ce/8=")</f>
        <v>#VALUE!</v>
      </c>
    </row>
    <row r="81" spans="1:256">
      <c r="A81" t="e">
        <f>AND('STERLING CATALOG - DRY '!J1692,"AAAAAG30bwA=")</f>
        <v>#VALUE!</v>
      </c>
      <c r="B81" t="str">
        <f>IF('STERLING CATALOG - DRY '!1693:1693,"AAAAAG30bwE=",0)</f>
        <v>AAAAAG30bwE=</v>
      </c>
      <c r="C81" t="e">
        <f>AND('STERLING CATALOG - DRY '!A1693,"AAAAAG30bwI=")</f>
        <v>#VALUE!</v>
      </c>
      <c r="D81" t="e">
        <f>AND('STERLING CATALOG - DRY '!B1693,"AAAAAG30bwM=")</f>
        <v>#VALUE!</v>
      </c>
      <c r="E81" t="e">
        <f>AND('STERLING CATALOG - DRY '!C1693,"AAAAAG30bwQ=")</f>
        <v>#VALUE!</v>
      </c>
      <c r="F81" t="e">
        <f>AND('STERLING CATALOG - DRY '!D1693,"AAAAAG30bwU=")</f>
        <v>#VALUE!</v>
      </c>
      <c r="G81" t="e">
        <f>AND('STERLING CATALOG - DRY '!E1693,"AAAAAG30bwY=")</f>
        <v>#VALUE!</v>
      </c>
      <c r="H81" t="e">
        <f>AND('STERLING CATALOG - DRY '!F1693,"AAAAAG30bwc=")</f>
        <v>#VALUE!</v>
      </c>
      <c r="I81" t="e">
        <f>AND('STERLING CATALOG - DRY '!G1693,"AAAAAG30bwg=")</f>
        <v>#VALUE!</v>
      </c>
      <c r="J81" t="e">
        <f>AND('STERLING CATALOG - DRY '!H1693,"AAAAAG30bwk=")</f>
        <v>#VALUE!</v>
      </c>
      <c r="K81" t="e">
        <f>AND('STERLING CATALOG - DRY '!I1693,"AAAAAG30bwo=")</f>
        <v>#VALUE!</v>
      </c>
      <c r="L81" t="e">
        <f>AND('STERLING CATALOG - DRY '!J1693,"AAAAAG30bws=")</f>
        <v>#VALUE!</v>
      </c>
      <c r="M81">
        <f>IF('STERLING CATALOG - DRY '!1694:1694,"AAAAAG30bww=",0)</f>
        <v>0</v>
      </c>
      <c r="N81" t="e">
        <f>AND('STERLING CATALOG - DRY '!A1694,"AAAAAG30bw0=")</f>
        <v>#VALUE!</v>
      </c>
      <c r="O81" t="e">
        <f>AND('STERLING CATALOG - DRY '!B1694,"AAAAAG30bw4=")</f>
        <v>#VALUE!</v>
      </c>
      <c r="P81" t="e">
        <f>AND('STERLING CATALOG - DRY '!C1694,"AAAAAG30bw8=")</f>
        <v>#VALUE!</v>
      </c>
      <c r="Q81" t="e">
        <f>AND('STERLING CATALOG - DRY '!D1694,"AAAAAG30bxA=")</f>
        <v>#VALUE!</v>
      </c>
      <c r="R81" t="e">
        <f>AND('STERLING CATALOG - DRY '!E1694,"AAAAAG30bxE=")</f>
        <v>#VALUE!</v>
      </c>
      <c r="S81" t="e">
        <f>AND('STERLING CATALOG - DRY '!F1694,"AAAAAG30bxI=")</f>
        <v>#VALUE!</v>
      </c>
      <c r="T81" t="e">
        <f>AND('STERLING CATALOG - DRY '!G1694,"AAAAAG30bxM=")</f>
        <v>#VALUE!</v>
      </c>
      <c r="U81" t="e">
        <f>AND('STERLING CATALOG - DRY '!H1694,"AAAAAG30bxQ=")</f>
        <v>#VALUE!</v>
      </c>
      <c r="V81" t="e">
        <f>AND('STERLING CATALOG - DRY '!I1694,"AAAAAG30bxU=")</f>
        <v>#VALUE!</v>
      </c>
      <c r="W81" t="e">
        <f>AND('STERLING CATALOG - DRY '!J1694,"AAAAAG30bxY=")</f>
        <v>#VALUE!</v>
      </c>
      <c r="X81">
        <f>IF('STERLING CATALOG - DRY '!1695:1695,"AAAAAG30bxc=",0)</f>
        <v>0</v>
      </c>
      <c r="Y81" t="e">
        <f>AND('STERLING CATALOG - DRY '!A1695,"AAAAAG30bxg=")</f>
        <v>#VALUE!</v>
      </c>
      <c r="Z81" t="e">
        <f>AND('STERLING CATALOG - DRY '!B1695,"AAAAAG30bxk=")</f>
        <v>#VALUE!</v>
      </c>
      <c r="AA81" t="e">
        <f>AND('STERLING CATALOG - DRY '!C1695,"AAAAAG30bxo=")</f>
        <v>#VALUE!</v>
      </c>
      <c r="AB81" t="e">
        <f>AND('STERLING CATALOG - DRY '!D1695,"AAAAAG30bxs=")</f>
        <v>#VALUE!</v>
      </c>
      <c r="AC81" t="e">
        <f>AND('STERLING CATALOG - DRY '!E1695,"AAAAAG30bxw=")</f>
        <v>#VALUE!</v>
      </c>
      <c r="AD81" t="e">
        <f>AND('STERLING CATALOG - DRY '!F1695,"AAAAAG30bx0=")</f>
        <v>#VALUE!</v>
      </c>
      <c r="AE81" t="e">
        <f>AND('STERLING CATALOG - DRY '!G1695,"AAAAAG30bx4=")</f>
        <v>#VALUE!</v>
      </c>
      <c r="AF81" t="e">
        <f>AND('STERLING CATALOG - DRY '!H1695,"AAAAAG30bx8=")</f>
        <v>#VALUE!</v>
      </c>
      <c r="AG81" t="e">
        <f>AND('STERLING CATALOG - DRY '!I1695,"AAAAAG30byA=")</f>
        <v>#VALUE!</v>
      </c>
      <c r="AH81" t="e">
        <f>AND('STERLING CATALOG - DRY '!J1695,"AAAAAG30byE=")</f>
        <v>#VALUE!</v>
      </c>
      <c r="AI81">
        <f>IF('STERLING CATALOG - DRY '!1696:1696,"AAAAAG30byI=",0)</f>
        <v>0</v>
      </c>
      <c r="AJ81" t="e">
        <f>AND('STERLING CATALOG - DRY '!A1696,"AAAAAG30byM=")</f>
        <v>#VALUE!</v>
      </c>
      <c r="AK81" t="e">
        <f>AND('STERLING CATALOG - DRY '!B1696,"AAAAAG30byQ=")</f>
        <v>#VALUE!</v>
      </c>
      <c r="AL81" t="e">
        <f>AND('STERLING CATALOG - DRY '!C1696,"AAAAAG30byU=")</f>
        <v>#VALUE!</v>
      </c>
      <c r="AM81" t="e">
        <f>AND('STERLING CATALOG - DRY '!D1696,"AAAAAG30byY=")</f>
        <v>#VALUE!</v>
      </c>
      <c r="AN81" t="e">
        <f>AND('STERLING CATALOG - DRY '!E1696,"AAAAAG30byc=")</f>
        <v>#VALUE!</v>
      </c>
      <c r="AO81" t="e">
        <f>AND('STERLING CATALOG - DRY '!F1696,"AAAAAG30byg=")</f>
        <v>#VALUE!</v>
      </c>
      <c r="AP81" t="e">
        <f>AND('STERLING CATALOG - DRY '!G1696,"AAAAAG30byk=")</f>
        <v>#VALUE!</v>
      </c>
      <c r="AQ81" t="e">
        <f>AND('STERLING CATALOG - DRY '!H1696,"AAAAAG30byo=")</f>
        <v>#VALUE!</v>
      </c>
      <c r="AR81" t="e">
        <f>AND('STERLING CATALOG - DRY '!I1696,"AAAAAG30bys=")</f>
        <v>#VALUE!</v>
      </c>
      <c r="AS81" t="e">
        <f>AND('STERLING CATALOG - DRY '!J1696,"AAAAAG30byw=")</f>
        <v>#VALUE!</v>
      </c>
      <c r="AT81">
        <f>IF('STERLING CATALOG - DRY '!1697:1697,"AAAAAG30by0=",0)</f>
        <v>0</v>
      </c>
      <c r="AU81" t="e">
        <f>AND('STERLING CATALOG - DRY '!A1697,"AAAAAG30by4=")</f>
        <v>#VALUE!</v>
      </c>
      <c r="AV81" t="e">
        <f>AND('STERLING CATALOG - DRY '!B1697,"AAAAAG30by8=")</f>
        <v>#VALUE!</v>
      </c>
      <c r="AW81" t="e">
        <f>AND('STERLING CATALOG - DRY '!C1697,"AAAAAG30bzA=")</f>
        <v>#VALUE!</v>
      </c>
      <c r="AX81" t="e">
        <f>AND('STERLING CATALOG - DRY '!D1697,"AAAAAG30bzE=")</f>
        <v>#VALUE!</v>
      </c>
      <c r="AY81" t="e">
        <f>AND('STERLING CATALOG - DRY '!E1697,"AAAAAG30bzI=")</f>
        <v>#VALUE!</v>
      </c>
      <c r="AZ81" t="e">
        <f>AND('STERLING CATALOG - DRY '!F1697,"AAAAAG30bzM=")</f>
        <v>#VALUE!</v>
      </c>
      <c r="BA81" t="e">
        <f>AND('STERLING CATALOG - DRY '!G1697,"AAAAAG30bzQ=")</f>
        <v>#VALUE!</v>
      </c>
      <c r="BB81" t="e">
        <f>AND('STERLING CATALOG - DRY '!H1697,"AAAAAG30bzU=")</f>
        <v>#VALUE!</v>
      </c>
      <c r="BC81" t="e">
        <f>AND('STERLING CATALOG - DRY '!I1697,"AAAAAG30bzY=")</f>
        <v>#VALUE!</v>
      </c>
      <c r="BD81" t="e">
        <f>AND('STERLING CATALOG - DRY '!J1697,"AAAAAG30bzc=")</f>
        <v>#VALUE!</v>
      </c>
      <c r="BE81">
        <f>IF('STERLING CATALOG - DRY '!1698:1698,"AAAAAG30bzg=",0)</f>
        <v>0</v>
      </c>
      <c r="BF81" t="e">
        <f>AND('STERLING CATALOG - DRY '!A1698,"AAAAAG30bzk=")</f>
        <v>#VALUE!</v>
      </c>
      <c r="BG81" t="e">
        <f>AND('STERLING CATALOG - DRY '!B1698,"AAAAAG30bzo=")</f>
        <v>#VALUE!</v>
      </c>
      <c r="BH81" t="e">
        <f>AND('STERLING CATALOG - DRY '!C1698,"AAAAAG30bzs=")</f>
        <v>#VALUE!</v>
      </c>
      <c r="BI81" t="e">
        <f>AND('STERLING CATALOG - DRY '!D1698,"AAAAAG30bzw=")</f>
        <v>#VALUE!</v>
      </c>
      <c r="BJ81" t="e">
        <f>AND('STERLING CATALOG - DRY '!E1698,"AAAAAG30bz0=")</f>
        <v>#VALUE!</v>
      </c>
      <c r="BK81" t="e">
        <f>AND('STERLING CATALOG - DRY '!F1698,"AAAAAG30bz4=")</f>
        <v>#VALUE!</v>
      </c>
      <c r="BL81" t="e">
        <f>AND('STERLING CATALOG - DRY '!G1698,"AAAAAG30bz8=")</f>
        <v>#VALUE!</v>
      </c>
      <c r="BM81" t="e">
        <f>AND('STERLING CATALOG - DRY '!H1698,"AAAAAG30b0A=")</f>
        <v>#VALUE!</v>
      </c>
      <c r="BN81" t="e">
        <f>AND('STERLING CATALOG - DRY '!I1698,"AAAAAG30b0E=")</f>
        <v>#VALUE!</v>
      </c>
      <c r="BO81" t="e">
        <f>AND('STERLING CATALOG - DRY '!J1698,"AAAAAG30b0I=")</f>
        <v>#VALUE!</v>
      </c>
      <c r="BP81">
        <f>IF('STERLING CATALOG - DRY '!1699:1699,"AAAAAG30b0M=",0)</f>
        <v>0</v>
      </c>
      <c r="BQ81" t="e">
        <f>AND('STERLING CATALOG - DRY '!A1699,"AAAAAG30b0Q=")</f>
        <v>#VALUE!</v>
      </c>
      <c r="BR81" t="e">
        <f>AND('STERLING CATALOG - DRY '!B1699,"AAAAAG30b0U=")</f>
        <v>#VALUE!</v>
      </c>
      <c r="BS81" t="e">
        <f>AND('STERLING CATALOG - DRY '!C1699,"AAAAAG30b0Y=")</f>
        <v>#VALUE!</v>
      </c>
      <c r="BT81" t="e">
        <f>AND('STERLING CATALOG - DRY '!D1699,"AAAAAG30b0c=")</f>
        <v>#VALUE!</v>
      </c>
      <c r="BU81" t="e">
        <f>AND('STERLING CATALOG - DRY '!E1699,"AAAAAG30b0g=")</f>
        <v>#VALUE!</v>
      </c>
      <c r="BV81" t="e">
        <f>AND('STERLING CATALOG - DRY '!F1699,"AAAAAG30b0k=")</f>
        <v>#VALUE!</v>
      </c>
      <c r="BW81" t="e">
        <f>AND('STERLING CATALOG - DRY '!G1699,"AAAAAG30b0o=")</f>
        <v>#VALUE!</v>
      </c>
      <c r="BX81" t="e">
        <f>AND('STERLING CATALOG - DRY '!H1699,"AAAAAG30b0s=")</f>
        <v>#VALUE!</v>
      </c>
      <c r="BY81" t="e">
        <f>AND('STERLING CATALOG - DRY '!I1699,"AAAAAG30b0w=")</f>
        <v>#VALUE!</v>
      </c>
      <c r="BZ81" t="e">
        <f>AND('STERLING CATALOG - DRY '!J1699,"AAAAAG30b00=")</f>
        <v>#VALUE!</v>
      </c>
      <c r="CA81">
        <f>IF('STERLING CATALOG - DRY '!1700:1700,"AAAAAG30b04=",0)</f>
        <v>0</v>
      </c>
      <c r="CB81" t="e">
        <f>AND('STERLING CATALOG - DRY '!A1700,"AAAAAG30b08=")</f>
        <v>#VALUE!</v>
      </c>
      <c r="CC81" t="e">
        <f>AND('STERLING CATALOG - DRY '!B1700,"AAAAAG30b1A=")</f>
        <v>#VALUE!</v>
      </c>
      <c r="CD81" t="e">
        <f>AND('STERLING CATALOG - DRY '!C1700,"AAAAAG30b1E=")</f>
        <v>#VALUE!</v>
      </c>
      <c r="CE81" t="e">
        <f>AND('STERLING CATALOG - DRY '!D1700,"AAAAAG30b1I=")</f>
        <v>#VALUE!</v>
      </c>
      <c r="CF81" t="e">
        <f>AND('STERLING CATALOG - DRY '!E1700,"AAAAAG30b1M=")</f>
        <v>#VALUE!</v>
      </c>
      <c r="CG81" t="e">
        <f>AND('STERLING CATALOG - DRY '!F1700,"AAAAAG30b1Q=")</f>
        <v>#VALUE!</v>
      </c>
      <c r="CH81" t="e">
        <f>AND('STERLING CATALOG - DRY '!G1700,"AAAAAG30b1U=")</f>
        <v>#VALUE!</v>
      </c>
      <c r="CI81" t="e">
        <f>AND('STERLING CATALOG - DRY '!H1700,"AAAAAG30b1Y=")</f>
        <v>#VALUE!</v>
      </c>
      <c r="CJ81" t="e">
        <f>AND('STERLING CATALOG - DRY '!I1700,"AAAAAG30b1c=")</f>
        <v>#VALUE!</v>
      </c>
      <c r="CK81" t="e">
        <f>AND('STERLING CATALOG - DRY '!J1700,"AAAAAG30b1g=")</f>
        <v>#VALUE!</v>
      </c>
      <c r="CL81">
        <f>IF('STERLING CATALOG - DRY '!1701:1701,"AAAAAG30b1k=",0)</f>
        <v>0</v>
      </c>
      <c r="CM81" t="e">
        <f>AND('STERLING CATALOG - DRY '!A1701,"AAAAAG30b1o=")</f>
        <v>#VALUE!</v>
      </c>
      <c r="CN81" t="e">
        <f>AND('STERLING CATALOG - DRY '!B1701,"AAAAAG30b1s=")</f>
        <v>#VALUE!</v>
      </c>
      <c r="CO81" t="e">
        <f>AND('STERLING CATALOG - DRY '!C1701,"AAAAAG30b1w=")</f>
        <v>#VALUE!</v>
      </c>
      <c r="CP81" t="e">
        <f>AND('STERLING CATALOG - DRY '!D1701,"AAAAAG30b10=")</f>
        <v>#VALUE!</v>
      </c>
      <c r="CQ81" t="e">
        <f>AND('STERLING CATALOG - DRY '!E1701,"AAAAAG30b14=")</f>
        <v>#VALUE!</v>
      </c>
      <c r="CR81" t="e">
        <f>AND('STERLING CATALOG - DRY '!F1701,"AAAAAG30b18=")</f>
        <v>#VALUE!</v>
      </c>
      <c r="CS81" t="e">
        <f>AND('STERLING CATALOG - DRY '!G1701,"AAAAAG30b2A=")</f>
        <v>#VALUE!</v>
      </c>
      <c r="CT81" t="e">
        <f>AND('STERLING CATALOG - DRY '!H1701,"AAAAAG30b2E=")</f>
        <v>#VALUE!</v>
      </c>
      <c r="CU81" t="e">
        <f>AND('STERLING CATALOG - DRY '!I1701,"AAAAAG30b2I=")</f>
        <v>#VALUE!</v>
      </c>
      <c r="CV81" t="e">
        <f>AND('STERLING CATALOG - DRY '!J1701,"AAAAAG30b2M=")</f>
        <v>#VALUE!</v>
      </c>
      <c r="CW81">
        <f>IF('STERLING CATALOG - DRY '!1702:1702,"AAAAAG30b2Q=",0)</f>
        <v>0</v>
      </c>
      <c r="CX81" t="e">
        <f>AND('STERLING CATALOG - DRY '!A1702,"AAAAAG30b2U=")</f>
        <v>#VALUE!</v>
      </c>
      <c r="CY81" t="e">
        <f>AND('STERLING CATALOG - DRY '!B1702,"AAAAAG30b2Y=")</f>
        <v>#VALUE!</v>
      </c>
      <c r="CZ81" t="e">
        <f>AND('STERLING CATALOG - DRY '!C1702,"AAAAAG30b2c=")</f>
        <v>#VALUE!</v>
      </c>
      <c r="DA81" t="e">
        <f>AND('STERLING CATALOG - DRY '!D1702,"AAAAAG30b2g=")</f>
        <v>#VALUE!</v>
      </c>
      <c r="DB81" t="e">
        <f>AND('STERLING CATALOG - DRY '!E1702,"AAAAAG30b2k=")</f>
        <v>#VALUE!</v>
      </c>
      <c r="DC81" t="e">
        <f>AND('STERLING CATALOG - DRY '!F1702,"AAAAAG30b2o=")</f>
        <v>#VALUE!</v>
      </c>
      <c r="DD81" t="e">
        <f>AND('STERLING CATALOG - DRY '!G1702,"AAAAAG30b2s=")</f>
        <v>#VALUE!</v>
      </c>
      <c r="DE81" t="e">
        <f>AND('STERLING CATALOG - DRY '!H1702,"AAAAAG30b2w=")</f>
        <v>#VALUE!</v>
      </c>
      <c r="DF81" t="e">
        <f>AND('STERLING CATALOG - DRY '!I1702,"AAAAAG30b20=")</f>
        <v>#VALUE!</v>
      </c>
      <c r="DG81" t="e">
        <f>AND('STERLING CATALOG - DRY '!J1702,"AAAAAG30b24=")</f>
        <v>#VALUE!</v>
      </c>
      <c r="DH81">
        <f>IF('STERLING CATALOG - DRY '!1703:1703,"AAAAAG30b28=",0)</f>
        <v>0</v>
      </c>
      <c r="DI81" t="e">
        <f>AND('STERLING CATALOG - DRY '!A1703,"AAAAAG30b3A=")</f>
        <v>#VALUE!</v>
      </c>
      <c r="DJ81" t="e">
        <f>AND('STERLING CATALOG - DRY '!B1703,"AAAAAG30b3E=")</f>
        <v>#VALUE!</v>
      </c>
      <c r="DK81" t="e">
        <f>AND('STERLING CATALOG - DRY '!C1703,"AAAAAG30b3I=")</f>
        <v>#VALUE!</v>
      </c>
      <c r="DL81" t="e">
        <f>AND('STERLING CATALOG - DRY '!D1703,"AAAAAG30b3M=")</f>
        <v>#VALUE!</v>
      </c>
      <c r="DM81" t="e">
        <f>AND('STERLING CATALOG - DRY '!E1703,"AAAAAG30b3Q=")</f>
        <v>#VALUE!</v>
      </c>
      <c r="DN81" t="e">
        <f>AND('STERLING CATALOG - DRY '!F1703,"AAAAAG30b3U=")</f>
        <v>#VALUE!</v>
      </c>
      <c r="DO81" t="e">
        <f>AND('STERLING CATALOG - DRY '!G1703,"AAAAAG30b3Y=")</f>
        <v>#VALUE!</v>
      </c>
      <c r="DP81" t="e">
        <f>AND('STERLING CATALOG - DRY '!H1703,"AAAAAG30b3c=")</f>
        <v>#VALUE!</v>
      </c>
      <c r="DQ81" t="e">
        <f>AND('STERLING CATALOG - DRY '!I1703,"AAAAAG30b3g=")</f>
        <v>#VALUE!</v>
      </c>
      <c r="DR81" t="e">
        <f>AND('STERLING CATALOG - DRY '!J1703,"AAAAAG30b3k=")</f>
        <v>#VALUE!</v>
      </c>
      <c r="DS81">
        <f>IF('STERLING CATALOG - DRY '!1704:1704,"AAAAAG30b3o=",0)</f>
        <v>0</v>
      </c>
      <c r="DT81" t="e">
        <f>AND('STERLING CATALOG - DRY '!A1704,"AAAAAG30b3s=")</f>
        <v>#VALUE!</v>
      </c>
      <c r="DU81" t="e">
        <f>AND('STERLING CATALOG - DRY '!B1704,"AAAAAG30b3w=")</f>
        <v>#VALUE!</v>
      </c>
      <c r="DV81" t="e">
        <f>AND('STERLING CATALOG - DRY '!C1704,"AAAAAG30b30=")</f>
        <v>#VALUE!</v>
      </c>
      <c r="DW81" t="e">
        <f>AND('STERLING CATALOG - DRY '!D1704,"AAAAAG30b34=")</f>
        <v>#VALUE!</v>
      </c>
      <c r="DX81" t="e">
        <f>AND('STERLING CATALOG - DRY '!E1704,"AAAAAG30b38=")</f>
        <v>#VALUE!</v>
      </c>
      <c r="DY81" t="e">
        <f>AND('STERLING CATALOG - DRY '!F1704,"AAAAAG30b4A=")</f>
        <v>#VALUE!</v>
      </c>
      <c r="DZ81" t="e">
        <f>AND('STERLING CATALOG - DRY '!G1704,"AAAAAG30b4E=")</f>
        <v>#VALUE!</v>
      </c>
      <c r="EA81" t="e">
        <f>AND('STERLING CATALOG - DRY '!H1704,"AAAAAG30b4I=")</f>
        <v>#VALUE!</v>
      </c>
      <c r="EB81" t="e">
        <f>AND('STERLING CATALOG - DRY '!I1704,"AAAAAG30b4M=")</f>
        <v>#VALUE!</v>
      </c>
      <c r="EC81" t="e">
        <f>AND('STERLING CATALOG - DRY '!J1704,"AAAAAG30b4Q=")</f>
        <v>#VALUE!</v>
      </c>
      <c r="ED81">
        <f>IF('STERLING CATALOG - DRY '!1705:1705,"AAAAAG30b4U=",0)</f>
        <v>0</v>
      </c>
      <c r="EE81" t="e">
        <f>AND('STERLING CATALOG - DRY '!A1705,"AAAAAG30b4Y=")</f>
        <v>#VALUE!</v>
      </c>
      <c r="EF81" t="e">
        <f>AND('STERLING CATALOG - DRY '!B1705,"AAAAAG30b4c=")</f>
        <v>#VALUE!</v>
      </c>
      <c r="EG81" t="e">
        <f>AND('STERLING CATALOG - DRY '!C1705,"AAAAAG30b4g=")</f>
        <v>#VALUE!</v>
      </c>
      <c r="EH81" t="e">
        <f>AND('STERLING CATALOG - DRY '!D1705,"AAAAAG30b4k=")</f>
        <v>#VALUE!</v>
      </c>
      <c r="EI81" t="e">
        <f>AND('STERLING CATALOG - DRY '!E1705,"AAAAAG30b4o=")</f>
        <v>#VALUE!</v>
      </c>
      <c r="EJ81" t="e">
        <f>AND('STERLING CATALOG - DRY '!F1705,"AAAAAG30b4s=")</f>
        <v>#VALUE!</v>
      </c>
      <c r="EK81" t="e">
        <f>AND('STERLING CATALOG - DRY '!G1705,"AAAAAG30b4w=")</f>
        <v>#VALUE!</v>
      </c>
      <c r="EL81" t="e">
        <f>AND('STERLING CATALOG - DRY '!H1705,"AAAAAG30b40=")</f>
        <v>#VALUE!</v>
      </c>
      <c r="EM81" t="e">
        <f>AND('STERLING CATALOG - DRY '!I1705,"AAAAAG30b44=")</f>
        <v>#VALUE!</v>
      </c>
      <c r="EN81" t="e">
        <f>AND('STERLING CATALOG - DRY '!J1705,"AAAAAG30b48=")</f>
        <v>#VALUE!</v>
      </c>
      <c r="EO81">
        <f>IF('STERLING CATALOG - DRY '!1706:1706,"AAAAAG30b5A=",0)</f>
        <v>0</v>
      </c>
      <c r="EP81" t="e">
        <f>AND('STERLING CATALOG - DRY '!A1706,"AAAAAG30b5E=")</f>
        <v>#VALUE!</v>
      </c>
      <c r="EQ81" t="e">
        <f>AND('STERLING CATALOG - DRY '!B1706,"AAAAAG30b5I=")</f>
        <v>#VALUE!</v>
      </c>
      <c r="ER81" t="e">
        <f>AND('STERLING CATALOG - DRY '!C1706,"AAAAAG30b5M=")</f>
        <v>#VALUE!</v>
      </c>
      <c r="ES81" t="e">
        <f>AND('STERLING CATALOG - DRY '!D1706,"AAAAAG30b5Q=")</f>
        <v>#VALUE!</v>
      </c>
      <c r="ET81" t="e">
        <f>AND('STERLING CATALOG - DRY '!E1706,"AAAAAG30b5U=")</f>
        <v>#VALUE!</v>
      </c>
      <c r="EU81" t="e">
        <f>AND('STERLING CATALOG - DRY '!F1706,"AAAAAG30b5Y=")</f>
        <v>#VALUE!</v>
      </c>
      <c r="EV81" t="e">
        <f>AND('STERLING CATALOG - DRY '!G1706,"AAAAAG30b5c=")</f>
        <v>#VALUE!</v>
      </c>
      <c r="EW81" t="e">
        <f>AND('STERLING CATALOG - DRY '!H1706,"AAAAAG30b5g=")</f>
        <v>#VALUE!</v>
      </c>
      <c r="EX81" t="e">
        <f>AND('STERLING CATALOG - DRY '!I1706,"AAAAAG30b5k=")</f>
        <v>#VALUE!</v>
      </c>
      <c r="EY81" t="e">
        <f>AND('STERLING CATALOG - DRY '!J1706,"AAAAAG30b5o=")</f>
        <v>#VALUE!</v>
      </c>
      <c r="EZ81">
        <f>IF('STERLING CATALOG - DRY '!1707:1707,"AAAAAG30b5s=",0)</f>
        <v>0</v>
      </c>
      <c r="FA81" t="e">
        <f>AND('STERLING CATALOG - DRY '!A1707,"AAAAAG30b5w=")</f>
        <v>#VALUE!</v>
      </c>
      <c r="FB81" t="e">
        <f>AND('STERLING CATALOG - DRY '!B1707,"AAAAAG30b50=")</f>
        <v>#VALUE!</v>
      </c>
      <c r="FC81" t="e">
        <f>AND('STERLING CATALOG - DRY '!C1707,"AAAAAG30b54=")</f>
        <v>#VALUE!</v>
      </c>
      <c r="FD81" t="e">
        <f>AND('STERLING CATALOG - DRY '!D1707,"AAAAAG30b58=")</f>
        <v>#VALUE!</v>
      </c>
      <c r="FE81" t="e">
        <f>AND('STERLING CATALOG - DRY '!E1707,"AAAAAG30b6A=")</f>
        <v>#VALUE!</v>
      </c>
      <c r="FF81" t="e">
        <f>AND('STERLING CATALOG - DRY '!F1707,"AAAAAG30b6E=")</f>
        <v>#VALUE!</v>
      </c>
      <c r="FG81" t="e">
        <f>AND('STERLING CATALOG - DRY '!G1707,"AAAAAG30b6I=")</f>
        <v>#VALUE!</v>
      </c>
      <c r="FH81" t="e">
        <f>AND('STERLING CATALOG - DRY '!H1707,"AAAAAG30b6M=")</f>
        <v>#VALUE!</v>
      </c>
      <c r="FI81" t="e">
        <f>AND('STERLING CATALOG - DRY '!I1707,"AAAAAG30b6Q=")</f>
        <v>#VALUE!</v>
      </c>
      <c r="FJ81" t="e">
        <f>AND('STERLING CATALOG - DRY '!J1707,"AAAAAG30b6U=")</f>
        <v>#VALUE!</v>
      </c>
      <c r="FK81">
        <f>IF('STERLING CATALOG - DRY '!1708:1708,"AAAAAG30b6Y=",0)</f>
        <v>0</v>
      </c>
      <c r="FL81" t="e">
        <f>AND('STERLING CATALOG - DRY '!A1708,"AAAAAG30b6c=")</f>
        <v>#VALUE!</v>
      </c>
      <c r="FM81" t="e">
        <f>AND('STERLING CATALOG - DRY '!B1708,"AAAAAG30b6g=")</f>
        <v>#VALUE!</v>
      </c>
      <c r="FN81" t="e">
        <f>AND('STERLING CATALOG - DRY '!C1708,"AAAAAG30b6k=")</f>
        <v>#VALUE!</v>
      </c>
      <c r="FO81" t="e">
        <f>AND('STERLING CATALOG - DRY '!D1708,"AAAAAG30b6o=")</f>
        <v>#VALUE!</v>
      </c>
      <c r="FP81" t="e">
        <f>AND('STERLING CATALOG - DRY '!E1708,"AAAAAG30b6s=")</f>
        <v>#VALUE!</v>
      </c>
      <c r="FQ81" t="e">
        <f>AND('STERLING CATALOG - DRY '!F1708,"AAAAAG30b6w=")</f>
        <v>#VALUE!</v>
      </c>
      <c r="FR81" t="e">
        <f>AND('STERLING CATALOG - DRY '!G1708,"AAAAAG30b60=")</f>
        <v>#VALUE!</v>
      </c>
      <c r="FS81" t="e">
        <f>AND('STERLING CATALOG - DRY '!H1708,"AAAAAG30b64=")</f>
        <v>#VALUE!</v>
      </c>
      <c r="FT81" t="e">
        <f>AND('STERLING CATALOG - DRY '!I1708,"AAAAAG30b68=")</f>
        <v>#VALUE!</v>
      </c>
      <c r="FU81" t="e">
        <f>AND('STERLING CATALOG - DRY '!J1708,"AAAAAG30b7A=")</f>
        <v>#VALUE!</v>
      </c>
      <c r="FV81">
        <f>IF('STERLING CATALOG - DRY '!1709:1709,"AAAAAG30b7E=",0)</f>
        <v>0</v>
      </c>
      <c r="FW81" t="e">
        <f>AND('STERLING CATALOG - DRY '!A1709,"AAAAAG30b7I=")</f>
        <v>#VALUE!</v>
      </c>
      <c r="FX81" t="e">
        <f>AND('STERLING CATALOG - DRY '!B1709,"AAAAAG30b7M=")</f>
        <v>#VALUE!</v>
      </c>
      <c r="FY81" t="e">
        <f>AND('STERLING CATALOG - DRY '!C1709,"AAAAAG30b7Q=")</f>
        <v>#VALUE!</v>
      </c>
      <c r="FZ81" t="e">
        <f>AND('STERLING CATALOG - DRY '!D1709,"AAAAAG30b7U=")</f>
        <v>#VALUE!</v>
      </c>
      <c r="GA81" t="e">
        <f>AND('STERLING CATALOG - DRY '!E1709,"AAAAAG30b7Y=")</f>
        <v>#VALUE!</v>
      </c>
      <c r="GB81" t="e">
        <f>AND('STERLING CATALOG - DRY '!F1709,"AAAAAG30b7c=")</f>
        <v>#VALUE!</v>
      </c>
      <c r="GC81" t="e">
        <f>AND('STERLING CATALOG - DRY '!G1709,"AAAAAG30b7g=")</f>
        <v>#VALUE!</v>
      </c>
      <c r="GD81" t="e">
        <f>AND('STERLING CATALOG - DRY '!H1709,"AAAAAG30b7k=")</f>
        <v>#VALUE!</v>
      </c>
      <c r="GE81" t="e">
        <f>AND('STERLING CATALOG - DRY '!I1709,"AAAAAG30b7o=")</f>
        <v>#VALUE!</v>
      </c>
      <c r="GF81" t="e">
        <f>AND('STERLING CATALOG - DRY '!J1709,"AAAAAG30b7s=")</f>
        <v>#VALUE!</v>
      </c>
      <c r="GG81">
        <f>IF('STERLING CATALOG - DRY '!1710:1710,"AAAAAG30b7w=",0)</f>
        <v>0</v>
      </c>
      <c r="GH81" t="e">
        <f>AND('STERLING CATALOG - DRY '!A1710,"AAAAAG30b70=")</f>
        <v>#VALUE!</v>
      </c>
      <c r="GI81" t="e">
        <f>AND('STERLING CATALOG - DRY '!B1710,"AAAAAG30b74=")</f>
        <v>#VALUE!</v>
      </c>
      <c r="GJ81" t="e">
        <f>AND('STERLING CATALOG - DRY '!C1710,"AAAAAG30b78=")</f>
        <v>#VALUE!</v>
      </c>
      <c r="GK81" t="e">
        <f>AND('STERLING CATALOG - DRY '!D1710,"AAAAAG30b8A=")</f>
        <v>#VALUE!</v>
      </c>
      <c r="GL81" t="e">
        <f>AND('STERLING CATALOG - DRY '!E1710,"AAAAAG30b8E=")</f>
        <v>#VALUE!</v>
      </c>
      <c r="GM81" t="e">
        <f>AND('STERLING CATALOG - DRY '!F1710,"AAAAAG30b8I=")</f>
        <v>#VALUE!</v>
      </c>
      <c r="GN81" t="e">
        <f>AND('STERLING CATALOG - DRY '!G1710,"AAAAAG30b8M=")</f>
        <v>#VALUE!</v>
      </c>
      <c r="GO81" t="e">
        <f>AND('STERLING CATALOG - DRY '!H1710,"AAAAAG30b8Q=")</f>
        <v>#VALUE!</v>
      </c>
      <c r="GP81" t="e">
        <f>AND('STERLING CATALOG - DRY '!I1710,"AAAAAG30b8U=")</f>
        <v>#VALUE!</v>
      </c>
      <c r="GQ81" t="e">
        <f>AND('STERLING CATALOG - DRY '!J1710,"AAAAAG30b8Y=")</f>
        <v>#VALUE!</v>
      </c>
      <c r="GR81">
        <f>IF('STERLING CATALOG - DRY '!1711:1711,"AAAAAG30b8c=",0)</f>
        <v>0</v>
      </c>
      <c r="GS81" t="e">
        <f>AND('STERLING CATALOG - DRY '!A1711,"AAAAAG30b8g=")</f>
        <v>#VALUE!</v>
      </c>
      <c r="GT81" t="e">
        <f>AND('STERLING CATALOG - DRY '!B1711,"AAAAAG30b8k=")</f>
        <v>#VALUE!</v>
      </c>
      <c r="GU81" t="e">
        <f>AND('STERLING CATALOG - DRY '!C1711,"AAAAAG30b8o=")</f>
        <v>#VALUE!</v>
      </c>
      <c r="GV81" t="e">
        <f>AND('STERLING CATALOG - DRY '!D1711,"AAAAAG30b8s=")</f>
        <v>#VALUE!</v>
      </c>
      <c r="GW81" t="e">
        <f>AND('STERLING CATALOG - DRY '!E1711,"AAAAAG30b8w=")</f>
        <v>#VALUE!</v>
      </c>
      <c r="GX81" t="e">
        <f>AND('STERLING CATALOG - DRY '!F1711,"AAAAAG30b80=")</f>
        <v>#VALUE!</v>
      </c>
      <c r="GY81" t="e">
        <f>AND('STERLING CATALOG - DRY '!G1711,"AAAAAG30b84=")</f>
        <v>#VALUE!</v>
      </c>
      <c r="GZ81" t="e">
        <f>AND('STERLING CATALOG - DRY '!H1711,"AAAAAG30b88=")</f>
        <v>#VALUE!</v>
      </c>
      <c r="HA81" t="e">
        <f>AND('STERLING CATALOG - DRY '!I1711,"AAAAAG30b9A=")</f>
        <v>#VALUE!</v>
      </c>
      <c r="HB81" t="e">
        <f>AND('STERLING CATALOG - DRY '!J1711,"AAAAAG30b9E=")</f>
        <v>#VALUE!</v>
      </c>
      <c r="HC81">
        <f>IF('STERLING CATALOG - DRY '!1712:1712,"AAAAAG30b9I=",0)</f>
        <v>0</v>
      </c>
      <c r="HD81" t="e">
        <f>AND('STERLING CATALOG - DRY '!A1712,"AAAAAG30b9M=")</f>
        <v>#VALUE!</v>
      </c>
      <c r="HE81" t="e">
        <f>AND('STERLING CATALOG - DRY '!B1712,"AAAAAG30b9Q=")</f>
        <v>#VALUE!</v>
      </c>
      <c r="HF81" t="e">
        <f>AND('STERLING CATALOG - DRY '!C1712,"AAAAAG30b9U=")</f>
        <v>#VALUE!</v>
      </c>
      <c r="HG81" t="e">
        <f>AND('STERLING CATALOG - DRY '!D1712,"AAAAAG30b9Y=")</f>
        <v>#VALUE!</v>
      </c>
      <c r="HH81" t="e">
        <f>AND('STERLING CATALOG - DRY '!E1712,"AAAAAG30b9c=")</f>
        <v>#VALUE!</v>
      </c>
      <c r="HI81" t="e">
        <f>AND('STERLING CATALOG - DRY '!F1712,"AAAAAG30b9g=")</f>
        <v>#VALUE!</v>
      </c>
      <c r="HJ81" t="e">
        <f>AND('STERLING CATALOG - DRY '!G1712,"AAAAAG30b9k=")</f>
        <v>#VALUE!</v>
      </c>
      <c r="HK81" t="e">
        <f>AND('STERLING CATALOG - DRY '!H1712,"AAAAAG30b9o=")</f>
        <v>#VALUE!</v>
      </c>
      <c r="HL81" t="e">
        <f>AND('STERLING CATALOG - DRY '!I1712,"AAAAAG30b9s=")</f>
        <v>#VALUE!</v>
      </c>
      <c r="HM81" t="e">
        <f>AND('STERLING CATALOG - DRY '!J1712,"AAAAAG30b9w=")</f>
        <v>#VALUE!</v>
      </c>
      <c r="HN81">
        <f>IF('STERLING CATALOG - DRY '!1713:1713,"AAAAAG30b90=",0)</f>
        <v>0</v>
      </c>
      <c r="HO81" t="e">
        <f>AND('STERLING CATALOG - DRY '!A1713,"AAAAAG30b94=")</f>
        <v>#VALUE!</v>
      </c>
      <c r="HP81" t="e">
        <f>AND('STERLING CATALOG - DRY '!B1713,"AAAAAG30b98=")</f>
        <v>#VALUE!</v>
      </c>
      <c r="HQ81" t="e">
        <f>AND('STERLING CATALOG - DRY '!C1713,"AAAAAG30b+A=")</f>
        <v>#VALUE!</v>
      </c>
      <c r="HR81" t="e">
        <f>AND('STERLING CATALOG - DRY '!D1713,"AAAAAG30b+E=")</f>
        <v>#VALUE!</v>
      </c>
      <c r="HS81" t="e">
        <f>AND('STERLING CATALOG - DRY '!E1713,"AAAAAG30b+I=")</f>
        <v>#VALUE!</v>
      </c>
      <c r="HT81" t="e">
        <f>AND('STERLING CATALOG - DRY '!F1713,"AAAAAG30b+M=")</f>
        <v>#VALUE!</v>
      </c>
      <c r="HU81" t="e">
        <f>AND('STERLING CATALOG - DRY '!G1713,"AAAAAG30b+Q=")</f>
        <v>#VALUE!</v>
      </c>
      <c r="HV81" t="e">
        <f>AND('STERLING CATALOG - DRY '!H1713,"AAAAAG30b+U=")</f>
        <v>#VALUE!</v>
      </c>
      <c r="HW81" t="e">
        <f>AND('STERLING CATALOG - DRY '!I1713,"AAAAAG30b+Y=")</f>
        <v>#VALUE!</v>
      </c>
      <c r="HX81" t="e">
        <f>AND('STERLING CATALOG - DRY '!J1713,"AAAAAG30b+c=")</f>
        <v>#VALUE!</v>
      </c>
      <c r="HY81">
        <f>IF('STERLING CATALOG - DRY '!1714:1714,"AAAAAG30b+g=",0)</f>
        <v>0</v>
      </c>
      <c r="HZ81" t="e">
        <f>AND('STERLING CATALOG - DRY '!A1714,"AAAAAG30b+k=")</f>
        <v>#VALUE!</v>
      </c>
      <c r="IA81" t="e">
        <f>AND('STERLING CATALOG - DRY '!B1714,"AAAAAG30b+o=")</f>
        <v>#VALUE!</v>
      </c>
      <c r="IB81" t="e">
        <f>AND('STERLING CATALOG - DRY '!C1714,"AAAAAG30b+s=")</f>
        <v>#VALUE!</v>
      </c>
      <c r="IC81" t="e">
        <f>AND('STERLING CATALOG - DRY '!D1714,"AAAAAG30b+w=")</f>
        <v>#VALUE!</v>
      </c>
      <c r="ID81" t="e">
        <f>AND('STERLING CATALOG - DRY '!E1714,"AAAAAG30b+0=")</f>
        <v>#VALUE!</v>
      </c>
      <c r="IE81" t="e">
        <f>AND('STERLING CATALOG - DRY '!F1714,"AAAAAG30b+4=")</f>
        <v>#VALUE!</v>
      </c>
      <c r="IF81" t="e">
        <f>AND('STERLING CATALOG - DRY '!G1714,"AAAAAG30b+8=")</f>
        <v>#VALUE!</v>
      </c>
      <c r="IG81" t="e">
        <f>AND('STERLING CATALOG - DRY '!H1714,"AAAAAG30b/A=")</f>
        <v>#VALUE!</v>
      </c>
      <c r="IH81" t="e">
        <f>AND('STERLING CATALOG - DRY '!I1714,"AAAAAG30b/E=")</f>
        <v>#VALUE!</v>
      </c>
      <c r="II81" t="e">
        <f>AND('STERLING CATALOG - DRY '!J1714,"AAAAAG30b/I=")</f>
        <v>#VALUE!</v>
      </c>
      <c r="IJ81">
        <f>IF('STERLING CATALOG - DRY '!1715:1715,"AAAAAG30b/M=",0)</f>
        <v>0</v>
      </c>
      <c r="IK81" t="e">
        <f>AND('STERLING CATALOG - DRY '!A1715,"AAAAAG30b/Q=")</f>
        <v>#VALUE!</v>
      </c>
      <c r="IL81" t="e">
        <f>AND('STERLING CATALOG - DRY '!B1715,"AAAAAG30b/U=")</f>
        <v>#VALUE!</v>
      </c>
      <c r="IM81" t="e">
        <f>AND('STERLING CATALOG - DRY '!C1715,"AAAAAG30b/Y=")</f>
        <v>#VALUE!</v>
      </c>
      <c r="IN81" t="e">
        <f>AND('STERLING CATALOG - DRY '!D1715,"AAAAAG30b/c=")</f>
        <v>#VALUE!</v>
      </c>
      <c r="IO81" t="e">
        <f>AND('STERLING CATALOG - DRY '!E1715,"AAAAAG30b/g=")</f>
        <v>#VALUE!</v>
      </c>
      <c r="IP81" t="e">
        <f>AND('STERLING CATALOG - DRY '!F1715,"AAAAAG30b/k=")</f>
        <v>#VALUE!</v>
      </c>
      <c r="IQ81" t="e">
        <f>AND('STERLING CATALOG - DRY '!G1715,"AAAAAG30b/o=")</f>
        <v>#VALUE!</v>
      </c>
      <c r="IR81" t="e">
        <f>AND('STERLING CATALOG - DRY '!H1715,"AAAAAG30b/s=")</f>
        <v>#VALUE!</v>
      </c>
      <c r="IS81" t="e">
        <f>AND('STERLING CATALOG - DRY '!I1715,"AAAAAG30b/w=")</f>
        <v>#VALUE!</v>
      </c>
      <c r="IT81" t="e">
        <f>AND('STERLING CATALOG - DRY '!J1715,"AAAAAG30b/0=")</f>
        <v>#VALUE!</v>
      </c>
      <c r="IU81">
        <f>IF('STERLING CATALOG - DRY '!1716:1716,"AAAAAG30b/4=",0)</f>
        <v>0</v>
      </c>
      <c r="IV81" t="e">
        <f>AND('STERLING CATALOG - DRY '!A1716,"AAAAAG30b/8=")</f>
        <v>#VALUE!</v>
      </c>
    </row>
    <row r="82" spans="1:256">
      <c r="A82" t="e">
        <f>AND('STERLING CATALOG - DRY '!B1716,"AAAAAGlf/gA=")</f>
        <v>#VALUE!</v>
      </c>
      <c r="B82" t="e">
        <f>AND('STERLING CATALOG - DRY '!C1716,"AAAAAGlf/gE=")</f>
        <v>#VALUE!</v>
      </c>
      <c r="C82" t="e">
        <f>AND('STERLING CATALOG - DRY '!D1716,"AAAAAGlf/gI=")</f>
        <v>#VALUE!</v>
      </c>
      <c r="D82" t="e">
        <f>AND('STERLING CATALOG - DRY '!E1716,"AAAAAGlf/gM=")</f>
        <v>#VALUE!</v>
      </c>
      <c r="E82" t="e">
        <f>AND('STERLING CATALOG - DRY '!F1716,"AAAAAGlf/gQ=")</f>
        <v>#VALUE!</v>
      </c>
      <c r="F82" t="e">
        <f>AND('STERLING CATALOG - DRY '!G1716,"AAAAAGlf/gU=")</f>
        <v>#VALUE!</v>
      </c>
      <c r="G82" t="e">
        <f>AND('STERLING CATALOG - DRY '!H1716,"AAAAAGlf/gY=")</f>
        <v>#VALUE!</v>
      </c>
      <c r="H82" t="e">
        <f>AND('STERLING CATALOG - DRY '!I1716,"AAAAAGlf/gc=")</f>
        <v>#VALUE!</v>
      </c>
      <c r="I82" t="e">
        <f>AND('STERLING CATALOG - DRY '!J1716,"AAAAAGlf/gg=")</f>
        <v>#VALUE!</v>
      </c>
      <c r="J82" t="e">
        <f>IF('STERLING CATALOG - DRY '!1717:1717,"AAAAAGlf/gk=",0)</f>
        <v>#VALUE!</v>
      </c>
      <c r="K82" t="e">
        <f>AND('STERLING CATALOG - DRY '!A1717,"AAAAAGlf/go=")</f>
        <v>#VALUE!</v>
      </c>
      <c r="L82" t="e">
        <f>AND('STERLING CATALOG - DRY '!B1717,"AAAAAGlf/gs=")</f>
        <v>#VALUE!</v>
      </c>
      <c r="M82" t="e">
        <f>AND('STERLING CATALOG - DRY '!C1717,"AAAAAGlf/gw=")</f>
        <v>#VALUE!</v>
      </c>
      <c r="N82" t="e">
        <f>AND('STERLING CATALOG - DRY '!D1717,"AAAAAGlf/g0=")</f>
        <v>#VALUE!</v>
      </c>
      <c r="O82" t="e">
        <f>AND('STERLING CATALOG - DRY '!E1717,"AAAAAGlf/g4=")</f>
        <v>#VALUE!</v>
      </c>
      <c r="P82" t="e">
        <f>AND('STERLING CATALOG - DRY '!F1717,"AAAAAGlf/g8=")</f>
        <v>#VALUE!</v>
      </c>
      <c r="Q82" t="e">
        <f>AND('STERLING CATALOG - DRY '!G1717,"AAAAAGlf/hA=")</f>
        <v>#VALUE!</v>
      </c>
      <c r="R82" t="e">
        <f>AND('STERLING CATALOG - DRY '!H1717,"AAAAAGlf/hE=")</f>
        <v>#VALUE!</v>
      </c>
      <c r="S82" t="e">
        <f>AND('STERLING CATALOG - DRY '!I1717,"AAAAAGlf/hI=")</f>
        <v>#VALUE!</v>
      </c>
      <c r="T82" t="e">
        <f>AND('STERLING CATALOG - DRY '!J1717,"AAAAAGlf/hM=")</f>
        <v>#VALUE!</v>
      </c>
      <c r="U82">
        <f>IF('STERLING CATALOG - DRY '!1718:1718,"AAAAAGlf/hQ=",0)</f>
        <v>0</v>
      </c>
      <c r="V82" t="e">
        <f>AND('STERLING CATALOG - DRY '!A1718,"AAAAAGlf/hU=")</f>
        <v>#VALUE!</v>
      </c>
      <c r="W82" t="e">
        <f>AND('STERLING CATALOG - DRY '!B1718,"AAAAAGlf/hY=")</f>
        <v>#VALUE!</v>
      </c>
      <c r="X82" t="e">
        <f>AND('STERLING CATALOG - DRY '!C1718,"AAAAAGlf/hc=")</f>
        <v>#VALUE!</v>
      </c>
      <c r="Y82" t="e">
        <f>AND('STERLING CATALOG - DRY '!D1718,"AAAAAGlf/hg=")</f>
        <v>#VALUE!</v>
      </c>
      <c r="Z82" t="e">
        <f>AND('STERLING CATALOG - DRY '!E1718,"AAAAAGlf/hk=")</f>
        <v>#VALUE!</v>
      </c>
      <c r="AA82" t="e">
        <f>AND('STERLING CATALOG - DRY '!F1718,"AAAAAGlf/ho=")</f>
        <v>#VALUE!</v>
      </c>
      <c r="AB82" t="e">
        <f>AND('STERLING CATALOG - DRY '!G1718,"AAAAAGlf/hs=")</f>
        <v>#VALUE!</v>
      </c>
      <c r="AC82" t="e">
        <f>AND('STERLING CATALOG - DRY '!H1718,"AAAAAGlf/hw=")</f>
        <v>#VALUE!</v>
      </c>
      <c r="AD82" t="e">
        <f>AND('STERLING CATALOG - DRY '!I1718,"AAAAAGlf/h0=")</f>
        <v>#VALUE!</v>
      </c>
      <c r="AE82" t="e">
        <f>AND('STERLING CATALOG - DRY '!J1718,"AAAAAGlf/h4=")</f>
        <v>#VALUE!</v>
      </c>
      <c r="AF82">
        <f>IF('STERLING CATALOG - DRY '!1719:1719,"AAAAAGlf/h8=",0)</f>
        <v>0</v>
      </c>
      <c r="AG82" t="e">
        <f>AND('STERLING CATALOG - DRY '!A1719,"AAAAAGlf/iA=")</f>
        <v>#VALUE!</v>
      </c>
      <c r="AH82" t="e">
        <f>AND('STERLING CATALOG - DRY '!B1719,"AAAAAGlf/iE=")</f>
        <v>#VALUE!</v>
      </c>
      <c r="AI82" t="e">
        <f>AND('STERLING CATALOG - DRY '!C1719,"AAAAAGlf/iI=")</f>
        <v>#VALUE!</v>
      </c>
      <c r="AJ82" t="e">
        <f>AND('STERLING CATALOG - DRY '!D1719,"AAAAAGlf/iM=")</f>
        <v>#VALUE!</v>
      </c>
      <c r="AK82" t="e">
        <f>AND('STERLING CATALOG - DRY '!E1719,"AAAAAGlf/iQ=")</f>
        <v>#VALUE!</v>
      </c>
      <c r="AL82" t="e">
        <f>AND('STERLING CATALOG - DRY '!F1719,"AAAAAGlf/iU=")</f>
        <v>#VALUE!</v>
      </c>
      <c r="AM82" t="e">
        <f>AND('STERLING CATALOG - DRY '!G1719,"AAAAAGlf/iY=")</f>
        <v>#VALUE!</v>
      </c>
      <c r="AN82" t="e">
        <f>AND('STERLING CATALOG - DRY '!H1719,"AAAAAGlf/ic=")</f>
        <v>#VALUE!</v>
      </c>
      <c r="AO82" t="e">
        <f>AND('STERLING CATALOG - DRY '!I1719,"AAAAAGlf/ig=")</f>
        <v>#VALUE!</v>
      </c>
      <c r="AP82" t="e">
        <f>AND('STERLING CATALOG - DRY '!J1719,"AAAAAGlf/ik=")</f>
        <v>#VALUE!</v>
      </c>
      <c r="AQ82">
        <f>IF('STERLING CATALOG - DRY '!1720:1720,"AAAAAGlf/io=",0)</f>
        <v>0</v>
      </c>
      <c r="AR82" t="e">
        <f>AND('STERLING CATALOG - DRY '!A1720,"AAAAAGlf/is=")</f>
        <v>#VALUE!</v>
      </c>
      <c r="AS82" t="e">
        <f>AND('STERLING CATALOG - DRY '!B1720,"AAAAAGlf/iw=")</f>
        <v>#VALUE!</v>
      </c>
      <c r="AT82" t="e">
        <f>AND('STERLING CATALOG - DRY '!C1720,"AAAAAGlf/i0=")</f>
        <v>#VALUE!</v>
      </c>
      <c r="AU82" t="e">
        <f>AND('STERLING CATALOG - DRY '!D1720,"AAAAAGlf/i4=")</f>
        <v>#VALUE!</v>
      </c>
      <c r="AV82" t="e">
        <f>AND('STERLING CATALOG - DRY '!E1720,"AAAAAGlf/i8=")</f>
        <v>#VALUE!</v>
      </c>
      <c r="AW82" t="e">
        <f>AND('STERLING CATALOG - DRY '!F1720,"AAAAAGlf/jA=")</f>
        <v>#VALUE!</v>
      </c>
      <c r="AX82" t="e">
        <f>AND('STERLING CATALOG - DRY '!G1720,"AAAAAGlf/jE=")</f>
        <v>#VALUE!</v>
      </c>
      <c r="AY82" t="e">
        <f>AND('STERLING CATALOG - DRY '!H1720,"AAAAAGlf/jI=")</f>
        <v>#VALUE!</v>
      </c>
      <c r="AZ82" t="e">
        <f>AND('STERLING CATALOG - DRY '!I1720,"AAAAAGlf/jM=")</f>
        <v>#VALUE!</v>
      </c>
      <c r="BA82" t="e">
        <f>AND('STERLING CATALOG - DRY '!J1720,"AAAAAGlf/jQ=")</f>
        <v>#VALUE!</v>
      </c>
      <c r="BB82">
        <f>IF('STERLING CATALOG - DRY '!1721:1721,"AAAAAGlf/jU=",0)</f>
        <v>0</v>
      </c>
      <c r="BC82" t="e">
        <f>AND('STERLING CATALOG - DRY '!A1721,"AAAAAGlf/jY=")</f>
        <v>#VALUE!</v>
      </c>
      <c r="BD82" t="e">
        <f>AND('STERLING CATALOG - DRY '!B1721,"AAAAAGlf/jc=")</f>
        <v>#VALUE!</v>
      </c>
      <c r="BE82" t="e">
        <f>AND('STERLING CATALOG - DRY '!C1721,"AAAAAGlf/jg=")</f>
        <v>#VALUE!</v>
      </c>
      <c r="BF82" t="e">
        <f>AND('STERLING CATALOG - DRY '!D1721,"AAAAAGlf/jk=")</f>
        <v>#VALUE!</v>
      </c>
      <c r="BG82" t="e">
        <f>AND('STERLING CATALOG - DRY '!E1721,"AAAAAGlf/jo=")</f>
        <v>#VALUE!</v>
      </c>
      <c r="BH82" t="e">
        <f>AND('STERLING CATALOG - DRY '!F1721,"AAAAAGlf/js=")</f>
        <v>#VALUE!</v>
      </c>
      <c r="BI82" t="e">
        <f>AND('STERLING CATALOG - DRY '!G1721,"AAAAAGlf/jw=")</f>
        <v>#VALUE!</v>
      </c>
      <c r="BJ82" t="e">
        <f>AND('STERLING CATALOG - DRY '!H1721,"AAAAAGlf/j0=")</f>
        <v>#VALUE!</v>
      </c>
      <c r="BK82" t="e">
        <f>AND('STERLING CATALOG - DRY '!I1721,"AAAAAGlf/j4=")</f>
        <v>#VALUE!</v>
      </c>
      <c r="BL82" t="e">
        <f>AND('STERLING CATALOG - DRY '!J1721,"AAAAAGlf/j8=")</f>
        <v>#VALUE!</v>
      </c>
      <c r="BM82">
        <f>IF('STERLING CATALOG - DRY '!1722:1722,"AAAAAGlf/kA=",0)</f>
        <v>0</v>
      </c>
      <c r="BN82" t="e">
        <f>AND('STERLING CATALOG - DRY '!A1722,"AAAAAGlf/kE=")</f>
        <v>#VALUE!</v>
      </c>
      <c r="BO82" t="e">
        <f>AND('STERLING CATALOG - DRY '!B1722,"AAAAAGlf/kI=")</f>
        <v>#VALUE!</v>
      </c>
      <c r="BP82" t="e">
        <f>AND('STERLING CATALOG - DRY '!C1722,"AAAAAGlf/kM=")</f>
        <v>#VALUE!</v>
      </c>
      <c r="BQ82" t="e">
        <f>AND('STERLING CATALOG - DRY '!D1722,"AAAAAGlf/kQ=")</f>
        <v>#VALUE!</v>
      </c>
      <c r="BR82" t="e">
        <f>AND('STERLING CATALOG - DRY '!E1722,"AAAAAGlf/kU=")</f>
        <v>#VALUE!</v>
      </c>
      <c r="BS82" t="e">
        <f>AND('STERLING CATALOG - DRY '!F1722,"AAAAAGlf/kY=")</f>
        <v>#VALUE!</v>
      </c>
      <c r="BT82" t="e">
        <f>AND('STERLING CATALOG - DRY '!G1722,"AAAAAGlf/kc=")</f>
        <v>#VALUE!</v>
      </c>
      <c r="BU82" t="e">
        <f>AND('STERLING CATALOG - DRY '!H1722,"AAAAAGlf/kg=")</f>
        <v>#VALUE!</v>
      </c>
      <c r="BV82" t="e">
        <f>AND('STERLING CATALOG - DRY '!I1722,"AAAAAGlf/kk=")</f>
        <v>#VALUE!</v>
      </c>
      <c r="BW82" t="e">
        <f>AND('STERLING CATALOG - DRY '!J1722,"AAAAAGlf/ko=")</f>
        <v>#VALUE!</v>
      </c>
      <c r="BX82">
        <f>IF('STERLING CATALOG - DRY '!1723:1723,"AAAAAGlf/ks=",0)</f>
        <v>0</v>
      </c>
      <c r="BY82" t="e">
        <f>AND('STERLING CATALOG - DRY '!A1723,"AAAAAGlf/kw=")</f>
        <v>#VALUE!</v>
      </c>
      <c r="BZ82" t="e">
        <f>AND('STERLING CATALOG - DRY '!B1723,"AAAAAGlf/k0=")</f>
        <v>#VALUE!</v>
      </c>
      <c r="CA82" t="e">
        <f>AND('STERLING CATALOG - DRY '!C1723,"AAAAAGlf/k4=")</f>
        <v>#VALUE!</v>
      </c>
      <c r="CB82" t="e">
        <f>AND('STERLING CATALOG - DRY '!D1723,"AAAAAGlf/k8=")</f>
        <v>#VALUE!</v>
      </c>
      <c r="CC82" t="e">
        <f>AND('STERLING CATALOG - DRY '!E1723,"AAAAAGlf/lA=")</f>
        <v>#VALUE!</v>
      </c>
      <c r="CD82" t="e">
        <f>AND('STERLING CATALOG - DRY '!F1723,"AAAAAGlf/lE=")</f>
        <v>#VALUE!</v>
      </c>
      <c r="CE82" t="e">
        <f>AND('STERLING CATALOG - DRY '!G1723,"AAAAAGlf/lI=")</f>
        <v>#VALUE!</v>
      </c>
      <c r="CF82" t="e">
        <f>AND('STERLING CATALOG - DRY '!H1723,"AAAAAGlf/lM=")</f>
        <v>#VALUE!</v>
      </c>
      <c r="CG82" t="e">
        <f>AND('STERLING CATALOG - DRY '!I1723,"AAAAAGlf/lQ=")</f>
        <v>#VALUE!</v>
      </c>
      <c r="CH82" t="e">
        <f>AND('STERLING CATALOG - DRY '!J1723,"AAAAAGlf/lU=")</f>
        <v>#VALUE!</v>
      </c>
      <c r="CI82">
        <f>IF('STERLING CATALOG - DRY '!1724:1724,"AAAAAGlf/lY=",0)</f>
        <v>0</v>
      </c>
      <c r="CJ82" t="e">
        <f>AND('STERLING CATALOG - DRY '!A1724,"AAAAAGlf/lc=")</f>
        <v>#VALUE!</v>
      </c>
      <c r="CK82" t="e">
        <f>AND('STERLING CATALOG - DRY '!B1724,"AAAAAGlf/lg=")</f>
        <v>#VALUE!</v>
      </c>
      <c r="CL82" t="e">
        <f>AND('STERLING CATALOG - DRY '!C1724,"AAAAAGlf/lk=")</f>
        <v>#VALUE!</v>
      </c>
      <c r="CM82" t="e">
        <f>AND('STERLING CATALOG - DRY '!D1724,"AAAAAGlf/lo=")</f>
        <v>#VALUE!</v>
      </c>
      <c r="CN82" t="e">
        <f>AND('STERLING CATALOG - DRY '!E1724,"AAAAAGlf/ls=")</f>
        <v>#VALUE!</v>
      </c>
      <c r="CO82" t="e">
        <f>AND('STERLING CATALOG - DRY '!F1724,"AAAAAGlf/lw=")</f>
        <v>#VALUE!</v>
      </c>
      <c r="CP82" t="e">
        <f>AND('STERLING CATALOG - DRY '!G1724,"AAAAAGlf/l0=")</f>
        <v>#VALUE!</v>
      </c>
      <c r="CQ82" t="e">
        <f>AND('STERLING CATALOG - DRY '!H1724,"AAAAAGlf/l4=")</f>
        <v>#VALUE!</v>
      </c>
      <c r="CR82" t="e">
        <f>AND('STERLING CATALOG - DRY '!I1724,"AAAAAGlf/l8=")</f>
        <v>#VALUE!</v>
      </c>
      <c r="CS82" t="e">
        <f>AND('STERLING CATALOG - DRY '!J1724,"AAAAAGlf/mA=")</f>
        <v>#VALUE!</v>
      </c>
      <c r="CT82">
        <f>IF('STERLING CATALOG - DRY '!1725:1725,"AAAAAGlf/mE=",0)</f>
        <v>0</v>
      </c>
      <c r="CU82" t="e">
        <f>AND('STERLING CATALOG - DRY '!A1725,"AAAAAGlf/mI=")</f>
        <v>#VALUE!</v>
      </c>
      <c r="CV82" t="e">
        <f>AND('STERLING CATALOG - DRY '!B1725,"AAAAAGlf/mM=")</f>
        <v>#VALUE!</v>
      </c>
      <c r="CW82" t="e">
        <f>AND('STERLING CATALOG - DRY '!C1725,"AAAAAGlf/mQ=")</f>
        <v>#VALUE!</v>
      </c>
      <c r="CX82" t="e">
        <f>AND('STERLING CATALOG - DRY '!D1725,"AAAAAGlf/mU=")</f>
        <v>#VALUE!</v>
      </c>
      <c r="CY82" t="e">
        <f>AND('STERLING CATALOG - DRY '!E1725,"AAAAAGlf/mY=")</f>
        <v>#VALUE!</v>
      </c>
      <c r="CZ82" t="e">
        <f>AND('STERLING CATALOG - DRY '!F1725,"AAAAAGlf/mc=")</f>
        <v>#VALUE!</v>
      </c>
      <c r="DA82" t="e">
        <f>AND('STERLING CATALOG - DRY '!G1725,"AAAAAGlf/mg=")</f>
        <v>#VALUE!</v>
      </c>
      <c r="DB82" t="e">
        <f>AND('STERLING CATALOG - DRY '!H1725,"AAAAAGlf/mk=")</f>
        <v>#VALUE!</v>
      </c>
      <c r="DC82" t="e">
        <f>AND('STERLING CATALOG - DRY '!I1725,"AAAAAGlf/mo=")</f>
        <v>#VALUE!</v>
      </c>
      <c r="DD82" t="e">
        <f>AND('STERLING CATALOG - DRY '!J1725,"AAAAAGlf/ms=")</f>
        <v>#VALUE!</v>
      </c>
      <c r="DE82">
        <f>IF('STERLING CATALOG - DRY '!1726:1726,"AAAAAGlf/mw=",0)</f>
        <v>0</v>
      </c>
      <c r="DF82" t="e">
        <f>AND('STERLING CATALOG - DRY '!A1726,"AAAAAGlf/m0=")</f>
        <v>#VALUE!</v>
      </c>
      <c r="DG82" t="e">
        <f>AND('STERLING CATALOG - DRY '!B1726,"AAAAAGlf/m4=")</f>
        <v>#VALUE!</v>
      </c>
      <c r="DH82" t="e">
        <f>AND('STERLING CATALOG - DRY '!C1726,"AAAAAGlf/m8=")</f>
        <v>#VALUE!</v>
      </c>
      <c r="DI82" t="e">
        <f>AND('STERLING CATALOG - DRY '!D1726,"AAAAAGlf/nA=")</f>
        <v>#VALUE!</v>
      </c>
      <c r="DJ82" t="e">
        <f>AND('STERLING CATALOG - DRY '!E1726,"AAAAAGlf/nE=")</f>
        <v>#VALUE!</v>
      </c>
      <c r="DK82" t="e">
        <f>AND('STERLING CATALOG - DRY '!F1726,"AAAAAGlf/nI=")</f>
        <v>#VALUE!</v>
      </c>
      <c r="DL82" t="e">
        <f>AND('STERLING CATALOG - DRY '!G1726,"AAAAAGlf/nM=")</f>
        <v>#VALUE!</v>
      </c>
      <c r="DM82" t="e">
        <f>AND('STERLING CATALOG - DRY '!H1726,"AAAAAGlf/nQ=")</f>
        <v>#VALUE!</v>
      </c>
      <c r="DN82" t="e">
        <f>AND('STERLING CATALOG - DRY '!I1726,"AAAAAGlf/nU=")</f>
        <v>#VALUE!</v>
      </c>
      <c r="DO82" t="e">
        <f>AND('STERLING CATALOG - DRY '!J1726,"AAAAAGlf/nY=")</f>
        <v>#VALUE!</v>
      </c>
      <c r="DP82">
        <f>IF('STERLING CATALOG - DRY '!1727:1727,"AAAAAGlf/nc=",0)</f>
        <v>0</v>
      </c>
      <c r="DQ82" t="e">
        <f>AND('STERLING CATALOG - DRY '!A1727,"AAAAAGlf/ng=")</f>
        <v>#VALUE!</v>
      </c>
      <c r="DR82" t="e">
        <f>AND('STERLING CATALOG - DRY '!B1727,"AAAAAGlf/nk=")</f>
        <v>#VALUE!</v>
      </c>
      <c r="DS82" t="e">
        <f>AND('STERLING CATALOG - DRY '!C1727,"AAAAAGlf/no=")</f>
        <v>#VALUE!</v>
      </c>
      <c r="DT82" t="e">
        <f>AND('STERLING CATALOG - DRY '!D1727,"AAAAAGlf/ns=")</f>
        <v>#VALUE!</v>
      </c>
      <c r="DU82" t="e">
        <f>AND('STERLING CATALOG - DRY '!E1727,"AAAAAGlf/nw=")</f>
        <v>#VALUE!</v>
      </c>
      <c r="DV82" t="e">
        <f>AND('STERLING CATALOG - DRY '!F1727,"AAAAAGlf/n0=")</f>
        <v>#VALUE!</v>
      </c>
      <c r="DW82" t="e">
        <f>AND('STERLING CATALOG - DRY '!G1727,"AAAAAGlf/n4=")</f>
        <v>#VALUE!</v>
      </c>
      <c r="DX82" t="e">
        <f>AND('STERLING CATALOG - DRY '!H1727,"AAAAAGlf/n8=")</f>
        <v>#VALUE!</v>
      </c>
      <c r="DY82" t="e">
        <f>AND('STERLING CATALOG - DRY '!I1727,"AAAAAGlf/oA=")</f>
        <v>#VALUE!</v>
      </c>
      <c r="DZ82" t="e">
        <f>AND('STERLING CATALOG - DRY '!J1727,"AAAAAGlf/oE=")</f>
        <v>#VALUE!</v>
      </c>
      <c r="EA82">
        <f>IF('STERLING CATALOG - DRY '!1728:1728,"AAAAAGlf/oI=",0)</f>
        <v>0</v>
      </c>
      <c r="EB82" t="e">
        <f>AND('STERLING CATALOG - DRY '!A1728,"AAAAAGlf/oM=")</f>
        <v>#VALUE!</v>
      </c>
      <c r="EC82" t="e">
        <f>AND('STERLING CATALOG - DRY '!B1728,"AAAAAGlf/oQ=")</f>
        <v>#VALUE!</v>
      </c>
      <c r="ED82" t="e">
        <f>AND('STERLING CATALOG - DRY '!C1728,"AAAAAGlf/oU=")</f>
        <v>#VALUE!</v>
      </c>
      <c r="EE82" t="e">
        <f>AND('STERLING CATALOG - DRY '!D1728,"AAAAAGlf/oY=")</f>
        <v>#VALUE!</v>
      </c>
      <c r="EF82" t="e">
        <f>AND('STERLING CATALOG - DRY '!E1728,"AAAAAGlf/oc=")</f>
        <v>#VALUE!</v>
      </c>
      <c r="EG82" t="e">
        <f>AND('STERLING CATALOG - DRY '!F1728,"AAAAAGlf/og=")</f>
        <v>#VALUE!</v>
      </c>
      <c r="EH82" t="e">
        <f>AND('STERLING CATALOG - DRY '!G1728,"AAAAAGlf/ok=")</f>
        <v>#VALUE!</v>
      </c>
      <c r="EI82" t="e">
        <f>AND('STERLING CATALOG - DRY '!H1728,"AAAAAGlf/oo=")</f>
        <v>#VALUE!</v>
      </c>
      <c r="EJ82" t="e">
        <f>AND('STERLING CATALOG - DRY '!I1728,"AAAAAGlf/os=")</f>
        <v>#VALUE!</v>
      </c>
      <c r="EK82" t="e">
        <f>AND('STERLING CATALOG - DRY '!J1728,"AAAAAGlf/ow=")</f>
        <v>#VALUE!</v>
      </c>
      <c r="EL82">
        <f>IF('STERLING CATALOG - DRY '!1729:1729,"AAAAAGlf/o0=",0)</f>
        <v>0</v>
      </c>
      <c r="EM82" t="e">
        <f>AND('STERLING CATALOG - DRY '!A1729,"AAAAAGlf/o4=")</f>
        <v>#VALUE!</v>
      </c>
      <c r="EN82" t="e">
        <f>AND('STERLING CATALOG - DRY '!B1729,"AAAAAGlf/o8=")</f>
        <v>#VALUE!</v>
      </c>
      <c r="EO82" t="e">
        <f>AND('STERLING CATALOG - DRY '!C1729,"AAAAAGlf/pA=")</f>
        <v>#VALUE!</v>
      </c>
      <c r="EP82" t="e">
        <f>AND('STERLING CATALOG - DRY '!D1729,"AAAAAGlf/pE=")</f>
        <v>#VALUE!</v>
      </c>
      <c r="EQ82" t="e">
        <f>AND('STERLING CATALOG - DRY '!E1729,"AAAAAGlf/pI=")</f>
        <v>#VALUE!</v>
      </c>
      <c r="ER82" t="e">
        <f>AND('STERLING CATALOG - DRY '!F1729,"AAAAAGlf/pM=")</f>
        <v>#VALUE!</v>
      </c>
      <c r="ES82" t="e">
        <f>AND('STERLING CATALOG - DRY '!G1729,"AAAAAGlf/pQ=")</f>
        <v>#VALUE!</v>
      </c>
      <c r="ET82" t="e">
        <f>AND('STERLING CATALOG - DRY '!H1729,"AAAAAGlf/pU=")</f>
        <v>#VALUE!</v>
      </c>
      <c r="EU82" t="e">
        <f>AND('STERLING CATALOG - DRY '!I1729,"AAAAAGlf/pY=")</f>
        <v>#VALUE!</v>
      </c>
      <c r="EV82" t="e">
        <f>AND('STERLING CATALOG - DRY '!J1729,"AAAAAGlf/pc=")</f>
        <v>#VALUE!</v>
      </c>
      <c r="EW82">
        <f>IF('STERLING CATALOG - DRY '!1730:1730,"AAAAAGlf/pg=",0)</f>
        <v>0</v>
      </c>
      <c r="EX82" t="e">
        <f>AND('STERLING CATALOG - DRY '!A1730,"AAAAAGlf/pk=")</f>
        <v>#VALUE!</v>
      </c>
      <c r="EY82" t="e">
        <f>AND('STERLING CATALOG - DRY '!B1730,"AAAAAGlf/po=")</f>
        <v>#VALUE!</v>
      </c>
      <c r="EZ82" t="e">
        <f>AND('STERLING CATALOG - DRY '!C1730,"AAAAAGlf/ps=")</f>
        <v>#VALUE!</v>
      </c>
      <c r="FA82" t="e">
        <f>AND('STERLING CATALOG - DRY '!D1730,"AAAAAGlf/pw=")</f>
        <v>#VALUE!</v>
      </c>
      <c r="FB82" t="e">
        <f>AND('STERLING CATALOG - DRY '!E1730,"AAAAAGlf/p0=")</f>
        <v>#VALUE!</v>
      </c>
      <c r="FC82" t="e">
        <f>AND('STERLING CATALOG - DRY '!F1730,"AAAAAGlf/p4=")</f>
        <v>#VALUE!</v>
      </c>
      <c r="FD82" t="e">
        <f>AND('STERLING CATALOG - DRY '!G1730,"AAAAAGlf/p8=")</f>
        <v>#VALUE!</v>
      </c>
      <c r="FE82" t="e">
        <f>AND('STERLING CATALOG - DRY '!H1730,"AAAAAGlf/qA=")</f>
        <v>#VALUE!</v>
      </c>
      <c r="FF82" t="e">
        <f>AND('STERLING CATALOG - DRY '!I1730,"AAAAAGlf/qE=")</f>
        <v>#VALUE!</v>
      </c>
      <c r="FG82" t="e">
        <f>AND('STERLING CATALOG - DRY '!J1730,"AAAAAGlf/qI=")</f>
        <v>#VALUE!</v>
      </c>
      <c r="FH82">
        <f>IF('STERLING CATALOG - DRY '!1731:1731,"AAAAAGlf/qM=",0)</f>
        <v>0</v>
      </c>
      <c r="FI82" t="e">
        <f>AND('STERLING CATALOG - DRY '!A1731,"AAAAAGlf/qQ=")</f>
        <v>#VALUE!</v>
      </c>
      <c r="FJ82" t="e">
        <f>AND('STERLING CATALOG - DRY '!B1731,"AAAAAGlf/qU=")</f>
        <v>#VALUE!</v>
      </c>
      <c r="FK82" t="e">
        <f>AND('STERLING CATALOG - DRY '!C1731,"AAAAAGlf/qY=")</f>
        <v>#VALUE!</v>
      </c>
      <c r="FL82" t="e">
        <f>AND('STERLING CATALOG - DRY '!D1731,"AAAAAGlf/qc=")</f>
        <v>#VALUE!</v>
      </c>
      <c r="FM82" t="e">
        <f>AND('STERLING CATALOG - DRY '!E1731,"AAAAAGlf/qg=")</f>
        <v>#VALUE!</v>
      </c>
      <c r="FN82" t="e">
        <f>AND('STERLING CATALOG - DRY '!F1731,"AAAAAGlf/qk=")</f>
        <v>#VALUE!</v>
      </c>
      <c r="FO82" t="e">
        <f>AND('STERLING CATALOG - DRY '!G1731,"AAAAAGlf/qo=")</f>
        <v>#VALUE!</v>
      </c>
      <c r="FP82" t="e">
        <f>AND('STERLING CATALOG - DRY '!H1731,"AAAAAGlf/qs=")</f>
        <v>#VALUE!</v>
      </c>
      <c r="FQ82" t="e">
        <f>AND('STERLING CATALOG - DRY '!I1731,"AAAAAGlf/qw=")</f>
        <v>#VALUE!</v>
      </c>
      <c r="FR82" t="e">
        <f>AND('STERLING CATALOG - DRY '!J1731,"AAAAAGlf/q0=")</f>
        <v>#VALUE!</v>
      </c>
      <c r="FS82">
        <f>IF('STERLING CATALOG - DRY '!1732:1732,"AAAAAGlf/q4=",0)</f>
        <v>0</v>
      </c>
      <c r="FT82" t="e">
        <f>AND('STERLING CATALOG - DRY '!A1732,"AAAAAGlf/q8=")</f>
        <v>#VALUE!</v>
      </c>
      <c r="FU82" t="e">
        <f>AND('STERLING CATALOG - DRY '!B1732,"AAAAAGlf/rA=")</f>
        <v>#VALUE!</v>
      </c>
      <c r="FV82" t="e">
        <f>AND('STERLING CATALOG - DRY '!C1732,"AAAAAGlf/rE=")</f>
        <v>#VALUE!</v>
      </c>
      <c r="FW82" t="e">
        <f>AND('STERLING CATALOG - DRY '!D1732,"AAAAAGlf/rI=")</f>
        <v>#VALUE!</v>
      </c>
      <c r="FX82" t="e">
        <f>AND('STERLING CATALOG - DRY '!E1732,"AAAAAGlf/rM=")</f>
        <v>#VALUE!</v>
      </c>
      <c r="FY82" t="e">
        <f>AND('STERLING CATALOG - DRY '!F1732,"AAAAAGlf/rQ=")</f>
        <v>#VALUE!</v>
      </c>
      <c r="FZ82" t="e">
        <f>AND('STERLING CATALOG - DRY '!G1732,"AAAAAGlf/rU=")</f>
        <v>#VALUE!</v>
      </c>
      <c r="GA82" t="e">
        <f>AND('STERLING CATALOG - DRY '!H1732,"AAAAAGlf/rY=")</f>
        <v>#VALUE!</v>
      </c>
      <c r="GB82" t="e">
        <f>AND('STERLING CATALOG - DRY '!I1732,"AAAAAGlf/rc=")</f>
        <v>#VALUE!</v>
      </c>
      <c r="GC82" t="e">
        <f>AND('STERLING CATALOG - DRY '!J1732,"AAAAAGlf/rg=")</f>
        <v>#VALUE!</v>
      </c>
      <c r="GD82">
        <f>IF('STERLING CATALOG - DRY '!1733:1733,"AAAAAGlf/rk=",0)</f>
        <v>0</v>
      </c>
      <c r="GE82" t="e">
        <f>AND('STERLING CATALOG - DRY '!A1733,"AAAAAGlf/ro=")</f>
        <v>#VALUE!</v>
      </c>
      <c r="GF82" t="e">
        <f>AND('STERLING CATALOG - DRY '!B1733,"AAAAAGlf/rs=")</f>
        <v>#VALUE!</v>
      </c>
      <c r="GG82" t="e">
        <f>AND('STERLING CATALOG - DRY '!C1733,"AAAAAGlf/rw=")</f>
        <v>#VALUE!</v>
      </c>
      <c r="GH82" t="e">
        <f>AND('STERLING CATALOG - DRY '!D1733,"AAAAAGlf/r0=")</f>
        <v>#VALUE!</v>
      </c>
      <c r="GI82" t="e">
        <f>AND('STERLING CATALOG - DRY '!E1733,"AAAAAGlf/r4=")</f>
        <v>#VALUE!</v>
      </c>
      <c r="GJ82" t="e">
        <f>AND('STERLING CATALOG - DRY '!F1733,"AAAAAGlf/r8=")</f>
        <v>#VALUE!</v>
      </c>
      <c r="GK82" t="e">
        <f>AND('STERLING CATALOG - DRY '!G1733,"AAAAAGlf/sA=")</f>
        <v>#VALUE!</v>
      </c>
      <c r="GL82" t="e">
        <f>AND('STERLING CATALOG - DRY '!H1733,"AAAAAGlf/sE=")</f>
        <v>#VALUE!</v>
      </c>
      <c r="GM82" t="e">
        <f>AND('STERLING CATALOG - DRY '!I1733,"AAAAAGlf/sI=")</f>
        <v>#VALUE!</v>
      </c>
      <c r="GN82" t="e">
        <f>AND('STERLING CATALOG - DRY '!J1733,"AAAAAGlf/sM=")</f>
        <v>#VALUE!</v>
      </c>
      <c r="GO82">
        <f>IF('STERLING CATALOG - DRY '!1734:1734,"AAAAAGlf/sQ=",0)</f>
        <v>0</v>
      </c>
      <c r="GP82" t="e">
        <f>AND('STERLING CATALOG - DRY '!A1734,"AAAAAGlf/sU=")</f>
        <v>#VALUE!</v>
      </c>
      <c r="GQ82" t="e">
        <f>AND('STERLING CATALOG - DRY '!B1734,"AAAAAGlf/sY=")</f>
        <v>#VALUE!</v>
      </c>
      <c r="GR82" t="e">
        <f>AND('STERLING CATALOG - DRY '!C1734,"AAAAAGlf/sc=")</f>
        <v>#VALUE!</v>
      </c>
      <c r="GS82" t="e">
        <f>AND('STERLING CATALOG - DRY '!D1734,"AAAAAGlf/sg=")</f>
        <v>#VALUE!</v>
      </c>
      <c r="GT82" t="e">
        <f>AND('STERLING CATALOG - DRY '!E1734,"AAAAAGlf/sk=")</f>
        <v>#VALUE!</v>
      </c>
      <c r="GU82" t="e">
        <f>AND('STERLING CATALOG - DRY '!F1734,"AAAAAGlf/so=")</f>
        <v>#VALUE!</v>
      </c>
      <c r="GV82" t="e">
        <f>AND('STERLING CATALOG - DRY '!G1734,"AAAAAGlf/ss=")</f>
        <v>#VALUE!</v>
      </c>
      <c r="GW82" t="e">
        <f>AND('STERLING CATALOG - DRY '!H1734,"AAAAAGlf/sw=")</f>
        <v>#VALUE!</v>
      </c>
      <c r="GX82" t="e">
        <f>AND('STERLING CATALOG - DRY '!I1734,"AAAAAGlf/s0=")</f>
        <v>#VALUE!</v>
      </c>
      <c r="GY82" t="e">
        <f>AND('STERLING CATALOG - DRY '!J1734,"AAAAAGlf/s4=")</f>
        <v>#VALUE!</v>
      </c>
      <c r="GZ82">
        <f>IF('STERLING CATALOG - DRY '!1735:1735,"AAAAAGlf/s8=",0)</f>
        <v>0</v>
      </c>
      <c r="HA82" t="e">
        <f>AND('STERLING CATALOG - DRY '!A1735,"AAAAAGlf/tA=")</f>
        <v>#VALUE!</v>
      </c>
      <c r="HB82" t="e">
        <f>AND('STERLING CATALOG - DRY '!B1735,"AAAAAGlf/tE=")</f>
        <v>#VALUE!</v>
      </c>
      <c r="HC82" t="e">
        <f>AND('STERLING CATALOG - DRY '!C1735,"AAAAAGlf/tI=")</f>
        <v>#VALUE!</v>
      </c>
      <c r="HD82" t="e">
        <f>AND('STERLING CATALOG - DRY '!D1735,"AAAAAGlf/tM=")</f>
        <v>#VALUE!</v>
      </c>
      <c r="HE82" t="e">
        <f>AND('STERLING CATALOG - DRY '!E1735,"AAAAAGlf/tQ=")</f>
        <v>#VALUE!</v>
      </c>
      <c r="HF82" t="e">
        <f>AND('STERLING CATALOG - DRY '!F1735,"AAAAAGlf/tU=")</f>
        <v>#VALUE!</v>
      </c>
      <c r="HG82" t="e">
        <f>AND('STERLING CATALOG - DRY '!G1735,"AAAAAGlf/tY=")</f>
        <v>#VALUE!</v>
      </c>
      <c r="HH82" t="e">
        <f>AND('STERLING CATALOG - DRY '!H1735,"AAAAAGlf/tc=")</f>
        <v>#VALUE!</v>
      </c>
      <c r="HI82" t="e">
        <f>AND('STERLING CATALOG - DRY '!I1735,"AAAAAGlf/tg=")</f>
        <v>#VALUE!</v>
      </c>
      <c r="HJ82" t="e">
        <f>AND('STERLING CATALOG - DRY '!J1735,"AAAAAGlf/tk=")</f>
        <v>#VALUE!</v>
      </c>
      <c r="HK82">
        <f>IF('STERLING CATALOG - DRY '!1736:1736,"AAAAAGlf/to=",0)</f>
        <v>0</v>
      </c>
      <c r="HL82" t="e">
        <f>AND('STERLING CATALOG - DRY '!A1736,"AAAAAGlf/ts=")</f>
        <v>#VALUE!</v>
      </c>
      <c r="HM82" t="e">
        <f>AND('STERLING CATALOG - DRY '!B1736,"AAAAAGlf/tw=")</f>
        <v>#VALUE!</v>
      </c>
      <c r="HN82" t="e">
        <f>AND('STERLING CATALOG - DRY '!C1736,"AAAAAGlf/t0=")</f>
        <v>#VALUE!</v>
      </c>
      <c r="HO82" t="e">
        <f>AND('STERLING CATALOG - DRY '!D1736,"AAAAAGlf/t4=")</f>
        <v>#VALUE!</v>
      </c>
      <c r="HP82" t="e">
        <f>AND('STERLING CATALOG - DRY '!E1736,"AAAAAGlf/t8=")</f>
        <v>#VALUE!</v>
      </c>
      <c r="HQ82" t="e">
        <f>AND('STERLING CATALOG - DRY '!F1736,"AAAAAGlf/uA=")</f>
        <v>#VALUE!</v>
      </c>
      <c r="HR82" t="e">
        <f>AND('STERLING CATALOG - DRY '!G1736,"AAAAAGlf/uE=")</f>
        <v>#VALUE!</v>
      </c>
      <c r="HS82" t="e">
        <f>AND('STERLING CATALOG - DRY '!H1736,"AAAAAGlf/uI=")</f>
        <v>#VALUE!</v>
      </c>
      <c r="HT82" t="e">
        <f>AND('STERLING CATALOG - DRY '!I1736,"AAAAAGlf/uM=")</f>
        <v>#VALUE!</v>
      </c>
      <c r="HU82" t="e">
        <f>AND('STERLING CATALOG - DRY '!J1736,"AAAAAGlf/uQ=")</f>
        <v>#VALUE!</v>
      </c>
      <c r="HV82">
        <f>IF('STERLING CATALOG - DRY '!1737:1737,"AAAAAGlf/uU=",0)</f>
        <v>0</v>
      </c>
      <c r="HW82" t="e">
        <f>AND('STERLING CATALOG - DRY '!A1737,"AAAAAGlf/uY=")</f>
        <v>#VALUE!</v>
      </c>
      <c r="HX82" t="e">
        <f>AND('STERLING CATALOG - DRY '!B1737,"AAAAAGlf/uc=")</f>
        <v>#VALUE!</v>
      </c>
      <c r="HY82" t="e">
        <f>AND('STERLING CATALOG - DRY '!C1737,"AAAAAGlf/ug=")</f>
        <v>#VALUE!</v>
      </c>
      <c r="HZ82" t="e">
        <f>AND('STERLING CATALOG - DRY '!D1737,"AAAAAGlf/uk=")</f>
        <v>#VALUE!</v>
      </c>
      <c r="IA82" t="e">
        <f>AND('STERLING CATALOG - DRY '!E1737,"AAAAAGlf/uo=")</f>
        <v>#VALUE!</v>
      </c>
      <c r="IB82" t="e">
        <f>AND('STERLING CATALOG - DRY '!F1737,"AAAAAGlf/us=")</f>
        <v>#VALUE!</v>
      </c>
      <c r="IC82" t="e">
        <f>AND('STERLING CATALOG - DRY '!G1737,"AAAAAGlf/uw=")</f>
        <v>#VALUE!</v>
      </c>
      <c r="ID82" t="e">
        <f>AND('STERLING CATALOG - DRY '!H1737,"AAAAAGlf/u0=")</f>
        <v>#VALUE!</v>
      </c>
      <c r="IE82" t="e">
        <f>AND('STERLING CATALOG - DRY '!I1737,"AAAAAGlf/u4=")</f>
        <v>#VALUE!</v>
      </c>
      <c r="IF82" t="e">
        <f>AND('STERLING CATALOG - DRY '!J1737,"AAAAAGlf/u8=")</f>
        <v>#VALUE!</v>
      </c>
      <c r="IG82">
        <f>IF('STERLING CATALOG - DRY '!1738:1738,"AAAAAGlf/vA=",0)</f>
        <v>0</v>
      </c>
      <c r="IH82" t="e">
        <f>AND('STERLING CATALOG - DRY '!A1738,"AAAAAGlf/vE=")</f>
        <v>#VALUE!</v>
      </c>
      <c r="II82" t="e">
        <f>AND('STERLING CATALOG - DRY '!B1738,"AAAAAGlf/vI=")</f>
        <v>#VALUE!</v>
      </c>
      <c r="IJ82" t="e">
        <f>AND('STERLING CATALOG - DRY '!C1738,"AAAAAGlf/vM=")</f>
        <v>#VALUE!</v>
      </c>
      <c r="IK82" t="e">
        <f>AND('STERLING CATALOG - DRY '!D1738,"AAAAAGlf/vQ=")</f>
        <v>#VALUE!</v>
      </c>
      <c r="IL82" t="e">
        <f>AND('STERLING CATALOG - DRY '!E1738,"AAAAAGlf/vU=")</f>
        <v>#VALUE!</v>
      </c>
      <c r="IM82" t="e">
        <f>AND('STERLING CATALOG - DRY '!F1738,"AAAAAGlf/vY=")</f>
        <v>#VALUE!</v>
      </c>
      <c r="IN82" t="e">
        <f>AND('STERLING CATALOG - DRY '!G1738,"AAAAAGlf/vc=")</f>
        <v>#VALUE!</v>
      </c>
      <c r="IO82" t="e">
        <f>AND('STERLING CATALOG - DRY '!H1738,"AAAAAGlf/vg=")</f>
        <v>#VALUE!</v>
      </c>
      <c r="IP82" t="e">
        <f>AND('STERLING CATALOG - DRY '!I1738,"AAAAAGlf/vk=")</f>
        <v>#VALUE!</v>
      </c>
      <c r="IQ82" t="e">
        <f>AND('STERLING CATALOG - DRY '!J1738,"AAAAAGlf/vo=")</f>
        <v>#VALUE!</v>
      </c>
      <c r="IR82">
        <f>IF('STERLING CATALOG - DRY '!1739:1739,"AAAAAGlf/vs=",0)</f>
        <v>0</v>
      </c>
      <c r="IS82" t="e">
        <f>AND('STERLING CATALOG - DRY '!A1739,"AAAAAGlf/vw=")</f>
        <v>#VALUE!</v>
      </c>
      <c r="IT82" t="e">
        <f>AND('STERLING CATALOG - DRY '!B1739,"AAAAAGlf/v0=")</f>
        <v>#VALUE!</v>
      </c>
      <c r="IU82" t="e">
        <f>AND('STERLING CATALOG - DRY '!C1739,"AAAAAGlf/v4=")</f>
        <v>#VALUE!</v>
      </c>
      <c r="IV82" t="e">
        <f>AND('STERLING CATALOG - DRY '!D1739,"AAAAAGlf/v8=")</f>
        <v>#VALUE!</v>
      </c>
    </row>
    <row r="83" spans="1:256">
      <c r="A83" t="e">
        <f>AND('STERLING CATALOG - DRY '!E1739,"AAAAAHI7wQA=")</f>
        <v>#VALUE!</v>
      </c>
      <c r="B83" t="e">
        <f>AND('STERLING CATALOG - DRY '!F1739,"AAAAAHI7wQE=")</f>
        <v>#VALUE!</v>
      </c>
      <c r="C83" t="e">
        <f>AND('STERLING CATALOG - DRY '!G1739,"AAAAAHI7wQI=")</f>
        <v>#VALUE!</v>
      </c>
      <c r="D83" t="e">
        <f>AND('STERLING CATALOG - DRY '!H1739,"AAAAAHI7wQM=")</f>
        <v>#VALUE!</v>
      </c>
      <c r="E83" t="e">
        <f>AND('STERLING CATALOG - DRY '!I1739,"AAAAAHI7wQQ=")</f>
        <v>#VALUE!</v>
      </c>
      <c r="F83" t="e">
        <f>AND('STERLING CATALOG - DRY '!J1739,"AAAAAHI7wQU=")</f>
        <v>#VALUE!</v>
      </c>
      <c r="G83" t="str">
        <f>IF('STERLING CATALOG - DRY '!1740:1740,"AAAAAHI7wQY=",0)</f>
        <v>AAAAAHI7wQY=</v>
      </c>
      <c r="H83" t="e">
        <f>AND('STERLING CATALOG - DRY '!A1740,"AAAAAHI7wQc=")</f>
        <v>#VALUE!</v>
      </c>
      <c r="I83" t="e">
        <f>AND('STERLING CATALOG - DRY '!B1740,"AAAAAHI7wQg=")</f>
        <v>#VALUE!</v>
      </c>
      <c r="J83" t="e">
        <f>AND('STERLING CATALOG - DRY '!C1740,"AAAAAHI7wQk=")</f>
        <v>#VALUE!</v>
      </c>
      <c r="K83" t="e">
        <f>AND('STERLING CATALOG - DRY '!D1740,"AAAAAHI7wQo=")</f>
        <v>#VALUE!</v>
      </c>
      <c r="L83" t="e">
        <f>AND('STERLING CATALOG - DRY '!E1740,"AAAAAHI7wQs=")</f>
        <v>#VALUE!</v>
      </c>
      <c r="M83" t="e">
        <f>AND('STERLING CATALOG - DRY '!F1740,"AAAAAHI7wQw=")</f>
        <v>#VALUE!</v>
      </c>
      <c r="N83" t="e">
        <f>AND('STERLING CATALOG - DRY '!G1740,"AAAAAHI7wQ0=")</f>
        <v>#VALUE!</v>
      </c>
      <c r="O83" t="e">
        <f>AND('STERLING CATALOG - DRY '!H1740,"AAAAAHI7wQ4=")</f>
        <v>#VALUE!</v>
      </c>
      <c r="P83" t="e">
        <f>AND('STERLING CATALOG - DRY '!I1740,"AAAAAHI7wQ8=")</f>
        <v>#VALUE!</v>
      </c>
      <c r="Q83" t="e">
        <f>AND('STERLING CATALOG - DRY '!J1740,"AAAAAHI7wRA=")</f>
        <v>#VALUE!</v>
      </c>
      <c r="R83">
        <f>IF('STERLING CATALOG - DRY '!1741:1741,"AAAAAHI7wRE=",0)</f>
        <v>0</v>
      </c>
      <c r="S83" t="e">
        <f>AND('STERLING CATALOG - DRY '!A1741,"AAAAAHI7wRI=")</f>
        <v>#VALUE!</v>
      </c>
      <c r="T83" t="e">
        <f>AND('STERLING CATALOG - DRY '!B1741,"AAAAAHI7wRM=")</f>
        <v>#VALUE!</v>
      </c>
      <c r="U83" t="e">
        <f>AND('STERLING CATALOG - DRY '!C1741,"AAAAAHI7wRQ=")</f>
        <v>#VALUE!</v>
      </c>
      <c r="V83" t="e">
        <f>AND('STERLING CATALOG - DRY '!D1741,"AAAAAHI7wRU=")</f>
        <v>#VALUE!</v>
      </c>
      <c r="W83" t="e">
        <f>AND('STERLING CATALOG - DRY '!E1741,"AAAAAHI7wRY=")</f>
        <v>#VALUE!</v>
      </c>
      <c r="X83" t="e">
        <f>AND('STERLING CATALOG - DRY '!F1741,"AAAAAHI7wRc=")</f>
        <v>#VALUE!</v>
      </c>
      <c r="Y83" t="e">
        <f>AND('STERLING CATALOG - DRY '!G1741,"AAAAAHI7wRg=")</f>
        <v>#VALUE!</v>
      </c>
      <c r="Z83" t="e">
        <f>AND('STERLING CATALOG - DRY '!H1741,"AAAAAHI7wRk=")</f>
        <v>#VALUE!</v>
      </c>
      <c r="AA83" t="e">
        <f>AND('STERLING CATALOG - DRY '!I1741,"AAAAAHI7wRo=")</f>
        <v>#VALUE!</v>
      </c>
      <c r="AB83" t="e">
        <f>AND('STERLING CATALOG - DRY '!J1741,"AAAAAHI7wRs=")</f>
        <v>#VALUE!</v>
      </c>
      <c r="AC83">
        <f>IF('STERLING CATALOG - DRY '!1742:1742,"AAAAAHI7wRw=",0)</f>
        <v>0</v>
      </c>
      <c r="AD83" t="e">
        <f>AND('STERLING CATALOG - DRY '!A1742,"AAAAAHI7wR0=")</f>
        <v>#VALUE!</v>
      </c>
      <c r="AE83" t="e">
        <f>AND('STERLING CATALOG - DRY '!B1742,"AAAAAHI7wR4=")</f>
        <v>#VALUE!</v>
      </c>
      <c r="AF83" t="e">
        <f>AND('STERLING CATALOG - DRY '!C1742,"AAAAAHI7wR8=")</f>
        <v>#VALUE!</v>
      </c>
      <c r="AG83" t="e">
        <f>AND('STERLING CATALOG - DRY '!D1742,"AAAAAHI7wSA=")</f>
        <v>#VALUE!</v>
      </c>
      <c r="AH83" t="e">
        <f>AND('STERLING CATALOG - DRY '!E1742,"AAAAAHI7wSE=")</f>
        <v>#VALUE!</v>
      </c>
      <c r="AI83" t="e">
        <f>AND('STERLING CATALOG - DRY '!F1742,"AAAAAHI7wSI=")</f>
        <v>#VALUE!</v>
      </c>
      <c r="AJ83" t="e">
        <f>AND('STERLING CATALOG - DRY '!G1742,"AAAAAHI7wSM=")</f>
        <v>#VALUE!</v>
      </c>
      <c r="AK83" t="e">
        <f>AND('STERLING CATALOG - DRY '!H1742,"AAAAAHI7wSQ=")</f>
        <v>#VALUE!</v>
      </c>
      <c r="AL83" t="e">
        <f>AND('STERLING CATALOG - DRY '!I1742,"AAAAAHI7wSU=")</f>
        <v>#VALUE!</v>
      </c>
      <c r="AM83" t="e">
        <f>AND('STERLING CATALOG - DRY '!J1742,"AAAAAHI7wSY=")</f>
        <v>#VALUE!</v>
      </c>
      <c r="AN83">
        <f>IF('STERLING CATALOG - DRY '!1743:1743,"AAAAAHI7wSc=",0)</f>
        <v>0</v>
      </c>
      <c r="AO83" t="e">
        <f>AND('STERLING CATALOG - DRY '!A1743,"AAAAAHI7wSg=")</f>
        <v>#VALUE!</v>
      </c>
      <c r="AP83" t="e">
        <f>AND('STERLING CATALOG - DRY '!B1743,"AAAAAHI7wSk=")</f>
        <v>#VALUE!</v>
      </c>
      <c r="AQ83" t="e">
        <f>AND('STERLING CATALOG - DRY '!C1743,"AAAAAHI7wSo=")</f>
        <v>#VALUE!</v>
      </c>
      <c r="AR83" t="e">
        <f>AND('STERLING CATALOG - DRY '!D1743,"AAAAAHI7wSs=")</f>
        <v>#VALUE!</v>
      </c>
      <c r="AS83" t="e">
        <f>AND('STERLING CATALOG - DRY '!E1743,"AAAAAHI7wSw=")</f>
        <v>#VALUE!</v>
      </c>
      <c r="AT83" t="e">
        <f>AND('STERLING CATALOG - DRY '!F1743,"AAAAAHI7wS0=")</f>
        <v>#VALUE!</v>
      </c>
      <c r="AU83" t="e">
        <f>AND('STERLING CATALOG - DRY '!G1743,"AAAAAHI7wS4=")</f>
        <v>#VALUE!</v>
      </c>
      <c r="AV83" t="e">
        <f>AND('STERLING CATALOG - DRY '!H1743,"AAAAAHI7wS8=")</f>
        <v>#VALUE!</v>
      </c>
      <c r="AW83" t="e">
        <f>AND('STERLING CATALOG - DRY '!I1743,"AAAAAHI7wTA=")</f>
        <v>#VALUE!</v>
      </c>
      <c r="AX83" t="e">
        <f>AND('STERLING CATALOG - DRY '!J1743,"AAAAAHI7wTE=")</f>
        <v>#VALUE!</v>
      </c>
      <c r="AY83">
        <f>IF('STERLING CATALOG - DRY '!1744:1744,"AAAAAHI7wTI=",0)</f>
        <v>0</v>
      </c>
      <c r="AZ83" t="e">
        <f>AND('STERLING CATALOG - DRY '!A1744,"AAAAAHI7wTM=")</f>
        <v>#VALUE!</v>
      </c>
      <c r="BA83" t="e">
        <f>AND('STERLING CATALOG - DRY '!B1744,"AAAAAHI7wTQ=")</f>
        <v>#VALUE!</v>
      </c>
      <c r="BB83" t="e">
        <f>AND('STERLING CATALOG - DRY '!C1744,"AAAAAHI7wTU=")</f>
        <v>#VALUE!</v>
      </c>
      <c r="BC83" t="e">
        <f>AND('STERLING CATALOG - DRY '!D1744,"AAAAAHI7wTY=")</f>
        <v>#VALUE!</v>
      </c>
      <c r="BD83" t="e">
        <f>AND('STERLING CATALOG - DRY '!E1744,"AAAAAHI7wTc=")</f>
        <v>#VALUE!</v>
      </c>
      <c r="BE83" t="e">
        <f>AND('STERLING CATALOG - DRY '!F1744,"AAAAAHI7wTg=")</f>
        <v>#VALUE!</v>
      </c>
      <c r="BF83" t="e">
        <f>AND('STERLING CATALOG - DRY '!G1744,"AAAAAHI7wTk=")</f>
        <v>#VALUE!</v>
      </c>
      <c r="BG83" t="e">
        <f>AND('STERLING CATALOG - DRY '!H1744,"AAAAAHI7wTo=")</f>
        <v>#VALUE!</v>
      </c>
      <c r="BH83" t="e">
        <f>AND('STERLING CATALOG - DRY '!I1744,"AAAAAHI7wTs=")</f>
        <v>#VALUE!</v>
      </c>
      <c r="BI83" t="e">
        <f>AND('STERLING CATALOG - DRY '!J1744,"AAAAAHI7wTw=")</f>
        <v>#VALUE!</v>
      </c>
      <c r="BJ83">
        <f>IF('STERLING CATALOG - DRY '!1745:1745,"AAAAAHI7wT0=",0)</f>
        <v>0</v>
      </c>
      <c r="BK83" t="e">
        <f>AND('STERLING CATALOG - DRY '!A1745,"AAAAAHI7wT4=")</f>
        <v>#VALUE!</v>
      </c>
      <c r="BL83" t="e">
        <f>AND('STERLING CATALOG - DRY '!B1745,"AAAAAHI7wT8=")</f>
        <v>#VALUE!</v>
      </c>
      <c r="BM83" t="e">
        <f>AND('STERLING CATALOG - DRY '!C1745,"AAAAAHI7wUA=")</f>
        <v>#VALUE!</v>
      </c>
      <c r="BN83" t="e">
        <f>AND('STERLING CATALOG - DRY '!D1745,"AAAAAHI7wUE=")</f>
        <v>#VALUE!</v>
      </c>
      <c r="BO83" t="e">
        <f>AND('STERLING CATALOG - DRY '!E1745,"AAAAAHI7wUI=")</f>
        <v>#VALUE!</v>
      </c>
      <c r="BP83" t="e">
        <f>AND('STERLING CATALOG - DRY '!F1745,"AAAAAHI7wUM=")</f>
        <v>#VALUE!</v>
      </c>
      <c r="BQ83" t="e">
        <f>AND('STERLING CATALOG - DRY '!G1745,"AAAAAHI7wUQ=")</f>
        <v>#VALUE!</v>
      </c>
      <c r="BR83" t="e">
        <f>AND('STERLING CATALOG - DRY '!H1745,"AAAAAHI7wUU=")</f>
        <v>#VALUE!</v>
      </c>
      <c r="BS83" t="e">
        <f>AND('STERLING CATALOG - DRY '!I1745,"AAAAAHI7wUY=")</f>
        <v>#VALUE!</v>
      </c>
      <c r="BT83" t="e">
        <f>AND('STERLING CATALOG - DRY '!J1745,"AAAAAHI7wUc=")</f>
        <v>#VALUE!</v>
      </c>
      <c r="BU83">
        <f>IF('STERLING CATALOG - DRY '!1746:1746,"AAAAAHI7wUg=",0)</f>
        <v>0</v>
      </c>
      <c r="BV83" t="e">
        <f>AND('STERLING CATALOG - DRY '!A1746,"AAAAAHI7wUk=")</f>
        <v>#VALUE!</v>
      </c>
      <c r="BW83" t="e">
        <f>AND('STERLING CATALOG - DRY '!B1746,"AAAAAHI7wUo=")</f>
        <v>#VALUE!</v>
      </c>
      <c r="BX83" t="e">
        <f>AND('STERLING CATALOG - DRY '!C1746,"AAAAAHI7wUs=")</f>
        <v>#VALUE!</v>
      </c>
      <c r="BY83" t="e">
        <f>AND('STERLING CATALOG - DRY '!D1746,"AAAAAHI7wUw=")</f>
        <v>#VALUE!</v>
      </c>
      <c r="BZ83" t="e">
        <f>AND('STERLING CATALOG - DRY '!E1746,"AAAAAHI7wU0=")</f>
        <v>#VALUE!</v>
      </c>
      <c r="CA83" t="e">
        <f>AND('STERLING CATALOG - DRY '!F1746,"AAAAAHI7wU4=")</f>
        <v>#VALUE!</v>
      </c>
      <c r="CB83" t="e">
        <f>AND('STERLING CATALOG - DRY '!G1746,"AAAAAHI7wU8=")</f>
        <v>#VALUE!</v>
      </c>
      <c r="CC83" t="e">
        <f>AND('STERLING CATALOG - DRY '!H1746,"AAAAAHI7wVA=")</f>
        <v>#VALUE!</v>
      </c>
      <c r="CD83" t="e">
        <f>AND('STERLING CATALOG - DRY '!I1746,"AAAAAHI7wVE=")</f>
        <v>#VALUE!</v>
      </c>
      <c r="CE83" t="e">
        <f>AND('STERLING CATALOG - DRY '!J1746,"AAAAAHI7wVI=")</f>
        <v>#VALUE!</v>
      </c>
      <c r="CF83">
        <f>IF('STERLING CATALOG - DRY '!1747:1747,"AAAAAHI7wVM=",0)</f>
        <v>0</v>
      </c>
      <c r="CG83" t="e">
        <f>AND('STERLING CATALOG - DRY '!A1747,"AAAAAHI7wVQ=")</f>
        <v>#VALUE!</v>
      </c>
      <c r="CH83" t="e">
        <f>AND('STERLING CATALOG - DRY '!B1747,"AAAAAHI7wVU=")</f>
        <v>#VALUE!</v>
      </c>
      <c r="CI83" t="e">
        <f>AND('STERLING CATALOG - DRY '!C1747,"AAAAAHI7wVY=")</f>
        <v>#VALUE!</v>
      </c>
      <c r="CJ83" t="e">
        <f>AND('STERLING CATALOG - DRY '!D1747,"AAAAAHI7wVc=")</f>
        <v>#VALUE!</v>
      </c>
      <c r="CK83" t="e">
        <f>AND('STERLING CATALOG - DRY '!E1747,"AAAAAHI7wVg=")</f>
        <v>#VALUE!</v>
      </c>
      <c r="CL83" t="e">
        <f>AND('STERLING CATALOG - DRY '!F1747,"AAAAAHI7wVk=")</f>
        <v>#VALUE!</v>
      </c>
      <c r="CM83" t="e">
        <f>AND('STERLING CATALOG - DRY '!G1747,"AAAAAHI7wVo=")</f>
        <v>#VALUE!</v>
      </c>
      <c r="CN83" t="e">
        <f>AND('STERLING CATALOG - DRY '!H1747,"AAAAAHI7wVs=")</f>
        <v>#VALUE!</v>
      </c>
      <c r="CO83" t="e">
        <f>AND('STERLING CATALOG - DRY '!I1747,"AAAAAHI7wVw=")</f>
        <v>#VALUE!</v>
      </c>
      <c r="CP83" t="e">
        <f>AND('STERLING CATALOG - DRY '!J1747,"AAAAAHI7wV0=")</f>
        <v>#VALUE!</v>
      </c>
      <c r="CQ83">
        <f>IF('STERLING CATALOG - DRY '!1748:1748,"AAAAAHI7wV4=",0)</f>
        <v>0</v>
      </c>
      <c r="CR83" t="e">
        <f>AND('STERLING CATALOG - DRY '!A1748,"AAAAAHI7wV8=")</f>
        <v>#VALUE!</v>
      </c>
      <c r="CS83" t="e">
        <f>AND('STERLING CATALOG - DRY '!B1748,"AAAAAHI7wWA=")</f>
        <v>#VALUE!</v>
      </c>
      <c r="CT83" t="e">
        <f>AND('STERLING CATALOG - DRY '!C1748,"AAAAAHI7wWE=")</f>
        <v>#VALUE!</v>
      </c>
      <c r="CU83" t="e">
        <f>AND('STERLING CATALOG - DRY '!D1748,"AAAAAHI7wWI=")</f>
        <v>#VALUE!</v>
      </c>
      <c r="CV83" t="e">
        <f>AND('STERLING CATALOG - DRY '!E1748,"AAAAAHI7wWM=")</f>
        <v>#VALUE!</v>
      </c>
      <c r="CW83" t="e">
        <f>AND('STERLING CATALOG - DRY '!F1748,"AAAAAHI7wWQ=")</f>
        <v>#VALUE!</v>
      </c>
      <c r="CX83" t="e">
        <f>AND('STERLING CATALOG - DRY '!G1748,"AAAAAHI7wWU=")</f>
        <v>#VALUE!</v>
      </c>
      <c r="CY83" t="e">
        <f>AND('STERLING CATALOG - DRY '!H1748,"AAAAAHI7wWY=")</f>
        <v>#VALUE!</v>
      </c>
      <c r="CZ83" t="e">
        <f>AND('STERLING CATALOG - DRY '!I1748,"AAAAAHI7wWc=")</f>
        <v>#VALUE!</v>
      </c>
      <c r="DA83" t="e">
        <f>AND('STERLING CATALOG - DRY '!J1748,"AAAAAHI7wWg=")</f>
        <v>#VALUE!</v>
      </c>
      <c r="DB83">
        <f>IF('STERLING CATALOG - DRY '!1749:1749,"AAAAAHI7wWk=",0)</f>
        <v>0</v>
      </c>
      <c r="DC83" t="e">
        <f>AND('STERLING CATALOG - DRY '!A1749,"AAAAAHI7wWo=")</f>
        <v>#VALUE!</v>
      </c>
      <c r="DD83" t="e">
        <f>AND('STERLING CATALOG - DRY '!B1749,"AAAAAHI7wWs=")</f>
        <v>#VALUE!</v>
      </c>
      <c r="DE83" t="e">
        <f>AND('STERLING CATALOG - DRY '!C1749,"AAAAAHI7wWw=")</f>
        <v>#VALUE!</v>
      </c>
      <c r="DF83" t="e">
        <f>AND('STERLING CATALOG - DRY '!D1749,"AAAAAHI7wW0=")</f>
        <v>#VALUE!</v>
      </c>
      <c r="DG83" t="e">
        <f>AND('STERLING CATALOG - DRY '!E1749,"AAAAAHI7wW4=")</f>
        <v>#VALUE!</v>
      </c>
      <c r="DH83" t="e">
        <f>AND('STERLING CATALOG - DRY '!F1749,"AAAAAHI7wW8=")</f>
        <v>#VALUE!</v>
      </c>
      <c r="DI83" t="e">
        <f>AND('STERLING CATALOG - DRY '!G1749,"AAAAAHI7wXA=")</f>
        <v>#VALUE!</v>
      </c>
      <c r="DJ83" t="e">
        <f>AND('STERLING CATALOG - DRY '!H1749,"AAAAAHI7wXE=")</f>
        <v>#VALUE!</v>
      </c>
      <c r="DK83" t="e">
        <f>AND('STERLING CATALOG - DRY '!I1749,"AAAAAHI7wXI=")</f>
        <v>#VALUE!</v>
      </c>
      <c r="DL83" t="e">
        <f>AND('STERLING CATALOG - DRY '!J1749,"AAAAAHI7wXM=")</f>
        <v>#VALUE!</v>
      </c>
      <c r="DM83">
        <f>IF('STERLING CATALOG - DRY '!1750:1750,"AAAAAHI7wXQ=",0)</f>
        <v>0</v>
      </c>
      <c r="DN83" t="e">
        <f>AND('STERLING CATALOG - DRY '!A1750,"AAAAAHI7wXU=")</f>
        <v>#VALUE!</v>
      </c>
      <c r="DO83" t="e">
        <f>AND('STERLING CATALOG - DRY '!B1750,"AAAAAHI7wXY=")</f>
        <v>#VALUE!</v>
      </c>
      <c r="DP83" t="e">
        <f>AND('STERLING CATALOG - DRY '!C1750,"AAAAAHI7wXc=")</f>
        <v>#VALUE!</v>
      </c>
      <c r="DQ83" t="e">
        <f>AND('STERLING CATALOG - DRY '!D1750,"AAAAAHI7wXg=")</f>
        <v>#VALUE!</v>
      </c>
      <c r="DR83" t="e">
        <f>AND('STERLING CATALOG - DRY '!E1750,"AAAAAHI7wXk=")</f>
        <v>#VALUE!</v>
      </c>
      <c r="DS83" t="e">
        <f>AND('STERLING CATALOG - DRY '!F1750,"AAAAAHI7wXo=")</f>
        <v>#VALUE!</v>
      </c>
      <c r="DT83" t="e">
        <f>AND('STERLING CATALOG - DRY '!G1750,"AAAAAHI7wXs=")</f>
        <v>#VALUE!</v>
      </c>
      <c r="DU83" t="e">
        <f>AND('STERLING CATALOG - DRY '!H1750,"AAAAAHI7wXw=")</f>
        <v>#VALUE!</v>
      </c>
      <c r="DV83" t="e">
        <f>AND('STERLING CATALOG - DRY '!I1750,"AAAAAHI7wX0=")</f>
        <v>#VALUE!</v>
      </c>
      <c r="DW83" t="e">
        <f>AND('STERLING CATALOG - DRY '!J1750,"AAAAAHI7wX4=")</f>
        <v>#VALUE!</v>
      </c>
      <c r="DX83">
        <f>IF('STERLING CATALOG - DRY '!1751:1751,"AAAAAHI7wX8=",0)</f>
        <v>0</v>
      </c>
      <c r="DY83" t="e">
        <f>AND('STERLING CATALOG - DRY '!A1751,"AAAAAHI7wYA=")</f>
        <v>#VALUE!</v>
      </c>
      <c r="DZ83" t="e">
        <f>AND('STERLING CATALOG - DRY '!B1751,"AAAAAHI7wYE=")</f>
        <v>#VALUE!</v>
      </c>
      <c r="EA83" t="e">
        <f>AND('STERLING CATALOG - DRY '!C1751,"AAAAAHI7wYI=")</f>
        <v>#VALUE!</v>
      </c>
      <c r="EB83" t="e">
        <f>AND('STERLING CATALOG - DRY '!D1751,"AAAAAHI7wYM=")</f>
        <v>#VALUE!</v>
      </c>
      <c r="EC83" t="e">
        <f>AND('STERLING CATALOG - DRY '!E1751,"AAAAAHI7wYQ=")</f>
        <v>#VALUE!</v>
      </c>
      <c r="ED83" t="e">
        <f>AND('STERLING CATALOG - DRY '!F1751,"AAAAAHI7wYU=")</f>
        <v>#VALUE!</v>
      </c>
      <c r="EE83" t="e">
        <f>AND('STERLING CATALOG - DRY '!G1751,"AAAAAHI7wYY=")</f>
        <v>#VALUE!</v>
      </c>
      <c r="EF83" t="e">
        <f>AND('STERLING CATALOG - DRY '!H1751,"AAAAAHI7wYc=")</f>
        <v>#VALUE!</v>
      </c>
      <c r="EG83" t="e">
        <f>AND('STERLING CATALOG - DRY '!I1751,"AAAAAHI7wYg=")</f>
        <v>#VALUE!</v>
      </c>
      <c r="EH83" t="e">
        <f>AND('STERLING CATALOG - DRY '!J1751,"AAAAAHI7wYk=")</f>
        <v>#VALUE!</v>
      </c>
      <c r="EI83">
        <f>IF('STERLING CATALOG - DRY '!1752:1752,"AAAAAHI7wYo=",0)</f>
        <v>0</v>
      </c>
      <c r="EJ83" t="e">
        <f>AND('STERLING CATALOG - DRY '!A1752,"AAAAAHI7wYs=")</f>
        <v>#VALUE!</v>
      </c>
      <c r="EK83" t="e">
        <f>AND('STERLING CATALOG - DRY '!B1752,"AAAAAHI7wYw=")</f>
        <v>#VALUE!</v>
      </c>
      <c r="EL83" t="e">
        <f>AND('STERLING CATALOG - DRY '!C1752,"AAAAAHI7wY0=")</f>
        <v>#VALUE!</v>
      </c>
      <c r="EM83" t="e">
        <f>AND('STERLING CATALOG - DRY '!D1752,"AAAAAHI7wY4=")</f>
        <v>#VALUE!</v>
      </c>
      <c r="EN83" t="e">
        <f>AND('STERLING CATALOG - DRY '!E1752,"AAAAAHI7wY8=")</f>
        <v>#VALUE!</v>
      </c>
      <c r="EO83" t="e">
        <f>AND('STERLING CATALOG - DRY '!F1752,"AAAAAHI7wZA=")</f>
        <v>#VALUE!</v>
      </c>
      <c r="EP83" t="e">
        <f>AND('STERLING CATALOG - DRY '!G1752,"AAAAAHI7wZE=")</f>
        <v>#VALUE!</v>
      </c>
      <c r="EQ83" t="e">
        <f>AND('STERLING CATALOG - DRY '!H1752,"AAAAAHI7wZI=")</f>
        <v>#VALUE!</v>
      </c>
      <c r="ER83" t="e">
        <f>AND('STERLING CATALOG - DRY '!I1752,"AAAAAHI7wZM=")</f>
        <v>#VALUE!</v>
      </c>
      <c r="ES83" t="e">
        <f>AND('STERLING CATALOG - DRY '!J1752,"AAAAAHI7wZQ=")</f>
        <v>#VALUE!</v>
      </c>
      <c r="ET83">
        <f>IF('STERLING CATALOG - DRY '!1753:1753,"AAAAAHI7wZU=",0)</f>
        <v>0</v>
      </c>
      <c r="EU83" t="e">
        <f>AND('STERLING CATALOG - DRY '!A1753,"AAAAAHI7wZY=")</f>
        <v>#VALUE!</v>
      </c>
      <c r="EV83" t="e">
        <f>AND('STERLING CATALOG - DRY '!B1753,"AAAAAHI7wZc=")</f>
        <v>#VALUE!</v>
      </c>
      <c r="EW83" t="e">
        <f>AND('STERLING CATALOG - DRY '!C1753,"AAAAAHI7wZg=")</f>
        <v>#VALUE!</v>
      </c>
      <c r="EX83" t="e">
        <f>AND('STERLING CATALOG - DRY '!D1753,"AAAAAHI7wZk=")</f>
        <v>#VALUE!</v>
      </c>
      <c r="EY83" t="e">
        <f>AND('STERLING CATALOG - DRY '!E1753,"AAAAAHI7wZo=")</f>
        <v>#VALUE!</v>
      </c>
      <c r="EZ83" t="e">
        <f>AND('STERLING CATALOG - DRY '!F1753,"AAAAAHI7wZs=")</f>
        <v>#VALUE!</v>
      </c>
      <c r="FA83" t="e">
        <f>AND('STERLING CATALOG - DRY '!G1753,"AAAAAHI7wZw=")</f>
        <v>#VALUE!</v>
      </c>
      <c r="FB83" t="e">
        <f>AND('STERLING CATALOG - DRY '!H1753,"AAAAAHI7wZ0=")</f>
        <v>#VALUE!</v>
      </c>
      <c r="FC83" t="e">
        <f>AND('STERLING CATALOG - DRY '!I1753,"AAAAAHI7wZ4=")</f>
        <v>#VALUE!</v>
      </c>
      <c r="FD83" t="e">
        <f>AND('STERLING CATALOG - DRY '!J1753,"AAAAAHI7wZ8=")</f>
        <v>#VALUE!</v>
      </c>
      <c r="FE83">
        <f>IF('STERLING CATALOG - DRY '!1754:1754,"AAAAAHI7waA=",0)</f>
        <v>0</v>
      </c>
      <c r="FF83" t="e">
        <f>AND('STERLING CATALOG - DRY '!A1754,"AAAAAHI7waE=")</f>
        <v>#VALUE!</v>
      </c>
      <c r="FG83" t="e">
        <f>AND('STERLING CATALOG - DRY '!B1754,"AAAAAHI7waI=")</f>
        <v>#VALUE!</v>
      </c>
      <c r="FH83" t="e">
        <f>AND('STERLING CATALOG - DRY '!C1754,"AAAAAHI7waM=")</f>
        <v>#VALUE!</v>
      </c>
      <c r="FI83" t="e">
        <f>AND('STERLING CATALOG - DRY '!D1754,"AAAAAHI7waQ=")</f>
        <v>#VALUE!</v>
      </c>
      <c r="FJ83" t="e">
        <f>AND('STERLING CATALOG - DRY '!E1754,"AAAAAHI7waU=")</f>
        <v>#VALUE!</v>
      </c>
      <c r="FK83" t="e">
        <f>AND('STERLING CATALOG - DRY '!F1754,"AAAAAHI7waY=")</f>
        <v>#VALUE!</v>
      </c>
      <c r="FL83" t="e">
        <f>AND('STERLING CATALOG - DRY '!G1754,"AAAAAHI7wac=")</f>
        <v>#VALUE!</v>
      </c>
      <c r="FM83" t="e">
        <f>AND('STERLING CATALOG - DRY '!H1754,"AAAAAHI7wag=")</f>
        <v>#VALUE!</v>
      </c>
      <c r="FN83" t="e">
        <f>AND('STERLING CATALOG - DRY '!I1754,"AAAAAHI7wak=")</f>
        <v>#VALUE!</v>
      </c>
      <c r="FO83" t="e">
        <f>AND('STERLING CATALOG - DRY '!J1754,"AAAAAHI7wao=")</f>
        <v>#VALUE!</v>
      </c>
      <c r="FP83">
        <f>IF('STERLING CATALOG - DRY '!1755:1755,"AAAAAHI7was=",0)</f>
        <v>0</v>
      </c>
      <c r="FQ83" t="e">
        <f>AND('STERLING CATALOG - DRY '!A1755,"AAAAAHI7waw=")</f>
        <v>#VALUE!</v>
      </c>
      <c r="FR83" t="e">
        <f>AND('STERLING CATALOG - DRY '!B1755,"AAAAAHI7wa0=")</f>
        <v>#VALUE!</v>
      </c>
      <c r="FS83" t="e">
        <f>AND('STERLING CATALOG - DRY '!C1755,"AAAAAHI7wa4=")</f>
        <v>#VALUE!</v>
      </c>
      <c r="FT83" t="e">
        <f>AND('STERLING CATALOG - DRY '!D1755,"AAAAAHI7wa8=")</f>
        <v>#VALUE!</v>
      </c>
      <c r="FU83" t="e">
        <f>AND('STERLING CATALOG - DRY '!E1755,"AAAAAHI7wbA=")</f>
        <v>#VALUE!</v>
      </c>
      <c r="FV83" t="e">
        <f>AND('STERLING CATALOG - DRY '!F1755,"AAAAAHI7wbE=")</f>
        <v>#VALUE!</v>
      </c>
      <c r="FW83" t="e">
        <f>AND('STERLING CATALOG - DRY '!G1755,"AAAAAHI7wbI=")</f>
        <v>#VALUE!</v>
      </c>
      <c r="FX83" t="e">
        <f>AND('STERLING CATALOG - DRY '!H1755,"AAAAAHI7wbM=")</f>
        <v>#VALUE!</v>
      </c>
      <c r="FY83" t="e">
        <f>AND('STERLING CATALOG - DRY '!I1755,"AAAAAHI7wbQ=")</f>
        <v>#VALUE!</v>
      </c>
      <c r="FZ83" t="e">
        <f>AND('STERLING CATALOG - DRY '!J1755,"AAAAAHI7wbU=")</f>
        <v>#VALUE!</v>
      </c>
      <c r="GA83">
        <f>IF('STERLING CATALOG - DRY '!1756:1756,"AAAAAHI7wbY=",0)</f>
        <v>0</v>
      </c>
      <c r="GB83" t="e">
        <f>AND('STERLING CATALOG - DRY '!A1756,"AAAAAHI7wbc=")</f>
        <v>#VALUE!</v>
      </c>
      <c r="GC83" t="e">
        <f>AND('STERLING CATALOG - DRY '!B1756,"AAAAAHI7wbg=")</f>
        <v>#VALUE!</v>
      </c>
      <c r="GD83" t="e">
        <f>AND('STERLING CATALOG - DRY '!C1756,"AAAAAHI7wbk=")</f>
        <v>#VALUE!</v>
      </c>
      <c r="GE83" t="e">
        <f>AND('STERLING CATALOG - DRY '!D1756,"AAAAAHI7wbo=")</f>
        <v>#VALUE!</v>
      </c>
      <c r="GF83" t="e">
        <f>AND('STERLING CATALOG - DRY '!E1756,"AAAAAHI7wbs=")</f>
        <v>#VALUE!</v>
      </c>
      <c r="GG83" t="e">
        <f>AND('STERLING CATALOG - DRY '!F1756,"AAAAAHI7wbw=")</f>
        <v>#VALUE!</v>
      </c>
      <c r="GH83" t="e">
        <f>AND('STERLING CATALOG - DRY '!G1756,"AAAAAHI7wb0=")</f>
        <v>#VALUE!</v>
      </c>
      <c r="GI83" t="e">
        <f>AND('STERLING CATALOG - DRY '!H1756,"AAAAAHI7wb4=")</f>
        <v>#VALUE!</v>
      </c>
      <c r="GJ83" t="e">
        <f>AND('STERLING CATALOG - DRY '!I1756,"AAAAAHI7wb8=")</f>
        <v>#VALUE!</v>
      </c>
      <c r="GK83" t="e">
        <f>AND('STERLING CATALOG - DRY '!J1756,"AAAAAHI7wcA=")</f>
        <v>#VALUE!</v>
      </c>
      <c r="GL83">
        <f>IF('STERLING CATALOG - DRY '!1757:1757,"AAAAAHI7wcE=",0)</f>
        <v>0</v>
      </c>
      <c r="GM83" t="e">
        <f>AND('STERLING CATALOG - DRY '!A1757,"AAAAAHI7wcI=")</f>
        <v>#VALUE!</v>
      </c>
      <c r="GN83" t="e">
        <f>AND('STERLING CATALOG - DRY '!B1757,"AAAAAHI7wcM=")</f>
        <v>#VALUE!</v>
      </c>
      <c r="GO83" t="e">
        <f>AND('STERLING CATALOG - DRY '!C1757,"AAAAAHI7wcQ=")</f>
        <v>#VALUE!</v>
      </c>
      <c r="GP83" t="e">
        <f>AND('STERLING CATALOG - DRY '!D1757,"AAAAAHI7wcU=")</f>
        <v>#VALUE!</v>
      </c>
      <c r="GQ83" t="e">
        <f>AND('STERLING CATALOG - DRY '!E1757,"AAAAAHI7wcY=")</f>
        <v>#VALUE!</v>
      </c>
      <c r="GR83" t="e">
        <f>AND('STERLING CATALOG - DRY '!F1757,"AAAAAHI7wcc=")</f>
        <v>#VALUE!</v>
      </c>
      <c r="GS83" t="e">
        <f>AND('STERLING CATALOG - DRY '!G1757,"AAAAAHI7wcg=")</f>
        <v>#VALUE!</v>
      </c>
      <c r="GT83" t="e">
        <f>AND('STERLING CATALOG - DRY '!H1757,"AAAAAHI7wck=")</f>
        <v>#VALUE!</v>
      </c>
      <c r="GU83" t="e">
        <f>AND('STERLING CATALOG - DRY '!I1757,"AAAAAHI7wco=")</f>
        <v>#VALUE!</v>
      </c>
      <c r="GV83" t="e">
        <f>AND('STERLING CATALOG - DRY '!J1757,"AAAAAHI7wcs=")</f>
        <v>#VALUE!</v>
      </c>
      <c r="GW83">
        <f>IF('STERLING CATALOG - DRY '!1758:1758,"AAAAAHI7wcw=",0)</f>
        <v>0</v>
      </c>
      <c r="GX83" t="e">
        <f>AND('STERLING CATALOG - DRY '!A1758,"AAAAAHI7wc0=")</f>
        <v>#VALUE!</v>
      </c>
      <c r="GY83" t="e">
        <f>AND('STERLING CATALOG - DRY '!B1758,"AAAAAHI7wc4=")</f>
        <v>#VALUE!</v>
      </c>
      <c r="GZ83" t="e">
        <f>AND('STERLING CATALOG - DRY '!C1758,"AAAAAHI7wc8=")</f>
        <v>#VALUE!</v>
      </c>
      <c r="HA83" t="e">
        <f>AND('STERLING CATALOG - DRY '!D1758,"AAAAAHI7wdA=")</f>
        <v>#VALUE!</v>
      </c>
      <c r="HB83" t="e">
        <f>AND('STERLING CATALOG - DRY '!E1758,"AAAAAHI7wdE=")</f>
        <v>#VALUE!</v>
      </c>
      <c r="HC83" t="e">
        <f>AND('STERLING CATALOG - DRY '!F1758,"AAAAAHI7wdI=")</f>
        <v>#VALUE!</v>
      </c>
      <c r="HD83" t="e">
        <f>AND('STERLING CATALOG - DRY '!G1758,"AAAAAHI7wdM=")</f>
        <v>#VALUE!</v>
      </c>
      <c r="HE83" t="e">
        <f>AND('STERLING CATALOG - DRY '!H1758,"AAAAAHI7wdQ=")</f>
        <v>#VALUE!</v>
      </c>
      <c r="HF83" t="e">
        <f>AND('STERLING CATALOG - DRY '!I1758,"AAAAAHI7wdU=")</f>
        <v>#VALUE!</v>
      </c>
      <c r="HG83" t="e">
        <f>AND('STERLING CATALOG - DRY '!J1758,"AAAAAHI7wdY=")</f>
        <v>#VALUE!</v>
      </c>
      <c r="HH83">
        <f>IF('STERLING CATALOG - DRY '!1759:1759,"AAAAAHI7wdc=",0)</f>
        <v>0</v>
      </c>
      <c r="HI83" t="e">
        <f>AND('STERLING CATALOG - DRY '!A1759,"AAAAAHI7wdg=")</f>
        <v>#VALUE!</v>
      </c>
      <c r="HJ83" t="e">
        <f>AND('STERLING CATALOG - DRY '!B1759,"AAAAAHI7wdk=")</f>
        <v>#VALUE!</v>
      </c>
      <c r="HK83" t="e">
        <f>AND('STERLING CATALOG - DRY '!C1759,"AAAAAHI7wdo=")</f>
        <v>#VALUE!</v>
      </c>
      <c r="HL83" t="e">
        <f>AND('STERLING CATALOG - DRY '!D1759,"AAAAAHI7wds=")</f>
        <v>#VALUE!</v>
      </c>
      <c r="HM83" t="e">
        <f>AND('STERLING CATALOG - DRY '!E1759,"AAAAAHI7wdw=")</f>
        <v>#VALUE!</v>
      </c>
      <c r="HN83" t="e">
        <f>AND('STERLING CATALOG - DRY '!F1759,"AAAAAHI7wd0=")</f>
        <v>#VALUE!</v>
      </c>
      <c r="HO83" t="e">
        <f>AND('STERLING CATALOG - DRY '!G1759,"AAAAAHI7wd4=")</f>
        <v>#VALUE!</v>
      </c>
      <c r="HP83" t="e">
        <f>AND('STERLING CATALOG - DRY '!H1759,"AAAAAHI7wd8=")</f>
        <v>#VALUE!</v>
      </c>
      <c r="HQ83" t="e">
        <f>AND('STERLING CATALOG - DRY '!I1759,"AAAAAHI7weA=")</f>
        <v>#VALUE!</v>
      </c>
      <c r="HR83" t="e">
        <f>AND('STERLING CATALOG - DRY '!J1759,"AAAAAHI7weE=")</f>
        <v>#VALUE!</v>
      </c>
      <c r="HS83">
        <f>IF('STERLING CATALOG - DRY '!1760:1760,"AAAAAHI7weI=",0)</f>
        <v>0</v>
      </c>
      <c r="HT83" t="e">
        <f>AND('STERLING CATALOG - DRY '!A1760,"AAAAAHI7weM=")</f>
        <v>#VALUE!</v>
      </c>
      <c r="HU83" t="e">
        <f>AND('STERLING CATALOG - DRY '!B1760,"AAAAAHI7weQ=")</f>
        <v>#VALUE!</v>
      </c>
      <c r="HV83" t="e">
        <f>AND('STERLING CATALOG - DRY '!C1760,"AAAAAHI7weU=")</f>
        <v>#VALUE!</v>
      </c>
      <c r="HW83" t="e">
        <f>AND('STERLING CATALOG - DRY '!D1760,"AAAAAHI7weY=")</f>
        <v>#VALUE!</v>
      </c>
      <c r="HX83" t="e">
        <f>AND('STERLING CATALOG - DRY '!E1760,"AAAAAHI7wec=")</f>
        <v>#VALUE!</v>
      </c>
      <c r="HY83" t="e">
        <f>AND('STERLING CATALOG - DRY '!F1760,"AAAAAHI7weg=")</f>
        <v>#VALUE!</v>
      </c>
      <c r="HZ83" t="e">
        <f>AND('STERLING CATALOG - DRY '!G1760,"AAAAAHI7wek=")</f>
        <v>#VALUE!</v>
      </c>
      <c r="IA83" t="e">
        <f>AND('STERLING CATALOG - DRY '!H1760,"AAAAAHI7weo=")</f>
        <v>#VALUE!</v>
      </c>
      <c r="IB83" t="e">
        <f>AND('STERLING CATALOG - DRY '!I1760,"AAAAAHI7wes=")</f>
        <v>#VALUE!</v>
      </c>
      <c r="IC83" t="e">
        <f>AND('STERLING CATALOG - DRY '!J1760,"AAAAAHI7wew=")</f>
        <v>#VALUE!</v>
      </c>
      <c r="ID83">
        <f>IF('STERLING CATALOG - DRY '!1761:1761,"AAAAAHI7we0=",0)</f>
        <v>0</v>
      </c>
      <c r="IE83" t="e">
        <f>AND('STERLING CATALOG - DRY '!A1761,"AAAAAHI7we4=")</f>
        <v>#VALUE!</v>
      </c>
      <c r="IF83" t="e">
        <f>AND('STERLING CATALOG - DRY '!B1761,"AAAAAHI7we8=")</f>
        <v>#VALUE!</v>
      </c>
      <c r="IG83" t="e">
        <f>AND('STERLING CATALOG - DRY '!C1761,"AAAAAHI7wfA=")</f>
        <v>#VALUE!</v>
      </c>
      <c r="IH83" t="e">
        <f>AND('STERLING CATALOG - DRY '!D1761,"AAAAAHI7wfE=")</f>
        <v>#VALUE!</v>
      </c>
      <c r="II83" t="e">
        <f>AND('STERLING CATALOG - DRY '!E1761,"AAAAAHI7wfI=")</f>
        <v>#VALUE!</v>
      </c>
      <c r="IJ83" t="e">
        <f>AND('STERLING CATALOG - DRY '!F1761,"AAAAAHI7wfM=")</f>
        <v>#VALUE!</v>
      </c>
      <c r="IK83" t="e">
        <f>AND('STERLING CATALOG - DRY '!G1761,"AAAAAHI7wfQ=")</f>
        <v>#VALUE!</v>
      </c>
      <c r="IL83" t="e">
        <f>AND('STERLING CATALOG - DRY '!H1761,"AAAAAHI7wfU=")</f>
        <v>#VALUE!</v>
      </c>
      <c r="IM83" t="e">
        <f>AND('STERLING CATALOG - DRY '!I1761,"AAAAAHI7wfY=")</f>
        <v>#VALUE!</v>
      </c>
      <c r="IN83" t="e">
        <f>AND('STERLING CATALOG - DRY '!J1761,"AAAAAHI7wfc=")</f>
        <v>#VALUE!</v>
      </c>
      <c r="IO83">
        <f>IF('STERLING CATALOG - DRY '!1762:1762,"AAAAAHI7wfg=",0)</f>
        <v>0</v>
      </c>
      <c r="IP83" t="e">
        <f>AND('STERLING CATALOG - DRY '!A1762,"AAAAAHI7wfk=")</f>
        <v>#VALUE!</v>
      </c>
      <c r="IQ83" t="e">
        <f>AND('STERLING CATALOG - DRY '!B1762,"AAAAAHI7wfo=")</f>
        <v>#VALUE!</v>
      </c>
      <c r="IR83" t="e">
        <f>AND('STERLING CATALOG - DRY '!C1762,"AAAAAHI7wfs=")</f>
        <v>#VALUE!</v>
      </c>
      <c r="IS83" t="e">
        <f>AND('STERLING CATALOG - DRY '!D1762,"AAAAAHI7wfw=")</f>
        <v>#VALUE!</v>
      </c>
      <c r="IT83" t="e">
        <f>AND('STERLING CATALOG - DRY '!E1762,"AAAAAHI7wf0=")</f>
        <v>#VALUE!</v>
      </c>
      <c r="IU83" t="e">
        <f>AND('STERLING CATALOG - DRY '!F1762,"AAAAAHI7wf4=")</f>
        <v>#VALUE!</v>
      </c>
      <c r="IV83" t="e">
        <f>AND('STERLING CATALOG - DRY '!G1762,"AAAAAHI7wf8=")</f>
        <v>#VALUE!</v>
      </c>
    </row>
    <row r="84" spans="1:256">
      <c r="A84" t="e">
        <f>AND('STERLING CATALOG - DRY '!H1762,"AAAAACt4nwA=")</f>
        <v>#VALUE!</v>
      </c>
      <c r="B84" t="e">
        <f>AND('STERLING CATALOG - DRY '!I1762,"AAAAACt4nwE=")</f>
        <v>#VALUE!</v>
      </c>
      <c r="C84" t="e">
        <f>AND('STERLING CATALOG - DRY '!J1762,"AAAAACt4nwI=")</f>
        <v>#VALUE!</v>
      </c>
      <c r="D84" t="e">
        <f>IF('STERLING CATALOG - DRY '!1763:1763,"AAAAACt4nwM=",0)</f>
        <v>#VALUE!</v>
      </c>
      <c r="E84" t="e">
        <f>AND('STERLING CATALOG - DRY '!A1763,"AAAAACt4nwQ=")</f>
        <v>#VALUE!</v>
      </c>
      <c r="F84" t="e">
        <f>AND('STERLING CATALOG - DRY '!B1763,"AAAAACt4nwU=")</f>
        <v>#VALUE!</v>
      </c>
      <c r="G84" t="e">
        <f>AND('STERLING CATALOG - DRY '!C1763,"AAAAACt4nwY=")</f>
        <v>#VALUE!</v>
      </c>
      <c r="H84" t="e">
        <f>AND('STERLING CATALOG - DRY '!D1763,"AAAAACt4nwc=")</f>
        <v>#VALUE!</v>
      </c>
      <c r="I84" t="e">
        <f>AND('STERLING CATALOG - DRY '!E1763,"AAAAACt4nwg=")</f>
        <v>#VALUE!</v>
      </c>
      <c r="J84" t="e">
        <f>AND('STERLING CATALOG - DRY '!F1763,"AAAAACt4nwk=")</f>
        <v>#VALUE!</v>
      </c>
      <c r="K84" t="e">
        <f>AND('STERLING CATALOG - DRY '!G1763,"AAAAACt4nwo=")</f>
        <v>#VALUE!</v>
      </c>
      <c r="L84" t="e">
        <f>AND('STERLING CATALOG - DRY '!H1763,"AAAAACt4nws=")</f>
        <v>#VALUE!</v>
      </c>
      <c r="M84" t="e">
        <f>AND('STERLING CATALOG - DRY '!I1763,"AAAAACt4nww=")</f>
        <v>#VALUE!</v>
      </c>
      <c r="N84" t="e">
        <f>AND('STERLING CATALOG - DRY '!J1763,"AAAAACt4nw0=")</f>
        <v>#VALUE!</v>
      </c>
      <c r="O84">
        <f>IF('STERLING CATALOG - DRY '!1764:1764,"AAAAACt4nw4=",0)</f>
        <v>0</v>
      </c>
      <c r="P84" t="e">
        <f>AND('STERLING CATALOG - DRY '!A1764,"AAAAACt4nw8=")</f>
        <v>#VALUE!</v>
      </c>
      <c r="Q84" t="e">
        <f>AND('STERLING CATALOG - DRY '!B1764,"AAAAACt4nxA=")</f>
        <v>#VALUE!</v>
      </c>
      <c r="R84" t="e">
        <f>AND('STERLING CATALOG - DRY '!C1764,"AAAAACt4nxE=")</f>
        <v>#VALUE!</v>
      </c>
      <c r="S84" t="e">
        <f>AND('STERLING CATALOG - DRY '!D1764,"AAAAACt4nxI=")</f>
        <v>#VALUE!</v>
      </c>
      <c r="T84" t="e">
        <f>AND('STERLING CATALOG - DRY '!E1764,"AAAAACt4nxM=")</f>
        <v>#VALUE!</v>
      </c>
      <c r="U84" t="e">
        <f>AND('STERLING CATALOG - DRY '!F1764,"AAAAACt4nxQ=")</f>
        <v>#VALUE!</v>
      </c>
      <c r="V84" t="e">
        <f>AND('STERLING CATALOG - DRY '!G1764,"AAAAACt4nxU=")</f>
        <v>#VALUE!</v>
      </c>
      <c r="W84" t="e">
        <f>AND('STERLING CATALOG - DRY '!H1764,"AAAAACt4nxY=")</f>
        <v>#VALUE!</v>
      </c>
      <c r="X84" t="e">
        <f>AND('STERLING CATALOG - DRY '!I1764,"AAAAACt4nxc=")</f>
        <v>#VALUE!</v>
      </c>
      <c r="Y84" t="e">
        <f>AND('STERLING CATALOG - DRY '!J1764,"AAAAACt4nxg=")</f>
        <v>#VALUE!</v>
      </c>
      <c r="Z84">
        <f>IF('STERLING CATALOG - DRY '!1765:1765,"AAAAACt4nxk=",0)</f>
        <v>0</v>
      </c>
      <c r="AA84" t="e">
        <f>AND('STERLING CATALOG - DRY '!A1765,"AAAAACt4nxo=")</f>
        <v>#VALUE!</v>
      </c>
      <c r="AB84" t="e">
        <f>AND('STERLING CATALOG - DRY '!B1765,"AAAAACt4nxs=")</f>
        <v>#VALUE!</v>
      </c>
      <c r="AC84" t="e">
        <f>AND('STERLING CATALOG - DRY '!C1765,"AAAAACt4nxw=")</f>
        <v>#VALUE!</v>
      </c>
      <c r="AD84" t="e">
        <f>AND('STERLING CATALOG - DRY '!D1765,"AAAAACt4nx0=")</f>
        <v>#VALUE!</v>
      </c>
      <c r="AE84" t="e">
        <f>AND('STERLING CATALOG - DRY '!E1765,"AAAAACt4nx4=")</f>
        <v>#VALUE!</v>
      </c>
      <c r="AF84" t="e">
        <f>AND('STERLING CATALOG - DRY '!F1765,"AAAAACt4nx8=")</f>
        <v>#VALUE!</v>
      </c>
      <c r="AG84" t="e">
        <f>AND('STERLING CATALOG - DRY '!G1765,"AAAAACt4nyA=")</f>
        <v>#VALUE!</v>
      </c>
      <c r="AH84" t="e">
        <f>AND('STERLING CATALOG - DRY '!H1765,"AAAAACt4nyE=")</f>
        <v>#VALUE!</v>
      </c>
      <c r="AI84" t="e">
        <f>AND('STERLING CATALOG - DRY '!I1765,"AAAAACt4nyI=")</f>
        <v>#VALUE!</v>
      </c>
      <c r="AJ84" t="e">
        <f>AND('STERLING CATALOG - DRY '!J1765,"AAAAACt4nyM=")</f>
        <v>#VALUE!</v>
      </c>
      <c r="AK84">
        <f>IF('STERLING CATALOG - DRY '!1766:1766,"AAAAACt4nyQ=",0)</f>
        <v>0</v>
      </c>
      <c r="AL84" t="e">
        <f>AND('STERLING CATALOG - DRY '!A1766,"AAAAACt4nyU=")</f>
        <v>#VALUE!</v>
      </c>
      <c r="AM84" t="e">
        <f>AND('STERLING CATALOG - DRY '!B1766,"AAAAACt4nyY=")</f>
        <v>#VALUE!</v>
      </c>
      <c r="AN84" t="e">
        <f>AND('STERLING CATALOG - DRY '!C1766,"AAAAACt4nyc=")</f>
        <v>#VALUE!</v>
      </c>
      <c r="AO84" t="e">
        <f>AND('STERLING CATALOG - DRY '!D1766,"AAAAACt4nyg=")</f>
        <v>#VALUE!</v>
      </c>
      <c r="AP84" t="e">
        <f>AND('STERLING CATALOG - DRY '!E1766,"AAAAACt4nyk=")</f>
        <v>#VALUE!</v>
      </c>
      <c r="AQ84" t="e">
        <f>AND('STERLING CATALOG - DRY '!F1766,"AAAAACt4nyo=")</f>
        <v>#VALUE!</v>
      </c>
      <c r="AR84" t="e">
        <f>AND('STERLING CATALOG - DRY '!G1766,"AAAAACt4nys=")</f>
        <v>#VALUE!</v>
      </c>
      <c r="AS84" t="e">
        <f>AND('STERLING CATALOG - DRY '!H1766,"AAAAACt4nyw=")</f>
        <v>#VALUE!</v>
      </c>
      <c r="AT84" t="e">
        <f>AND('STERLING CATALOG - DRY '!I1766,"AAAAACt4ny0=")</f>
        <v>#VALUE!</v>
      </c>
      <c r="AU84" t="e">
        <f>AND('STERLING CATALOG - DRY '!J1766,"AAAAACt4ny4=")</f>
        <v>#VALUE!</v>
      </c>
      <c r="AV84">
        <f>IF('STERLING CATALOG - DRY '!1767:1767,"AAAAACt4ny8=",0)</f>
        <v>0</v>
      </c>
      <c r="AW84" t="e">
        <f>AND('STERLING CATALOG - DRY '!A1767,"AAAAACt4nzA=")</f>
        <v>#VALUE!</v>
      </c>
      <c r="AX84" t="e">
        <f>AND('STERLING CATALOG - DRY '!B1767,"AAAAACt4nzE=")</f>
        <v>#VALUE!</v>
      </c>
      <c r="AY84" t="e">
        <f>AND('STERLING CATALOG - DRY '!C1767,"AAAAACt4nzI=")</f>
        <v>#VALUE!</v>
      </c>
      <c r="AZ84" t="e">
        <f>AND('STERLING CATALOG - DRY '!D1767,"AAAAACt4nzM=")</f>
        <v>#VALUE!</v>
      </c>
      <c r="BA84" t="e">
        <f>AND('STERLING CATALOG - DRY '!E1767,"AAAAACt4nzQ=")</f>
        <v>#VALUE!</v>
      </c>
      <c r="BB84" t="e">
        <f>AND('STERLING CATALOG - DRY '!F1767,"AAAAACt4nzU=")</f>
        <v>#VALUE!</v>
      </c>
      <c r="BC84" t="e">
        <f>AND('STERLING CATALOG - DRY '!G1767,"AAAAACt4nzY=")</f>
        <v>#VALUE!</v>
      </c>
      <c r="BD84" t="e">
        <f>AND('STERLING CATALOG - DRY '!H1767,"AAAAACt4nzc=")</f>
        <v>#VALUE!</v>
      </c>
      <c r="BE84" t="e">
        <f>AND('STERLING CATALOG - DRY '!I1767,"AAAAACt4nzg=")</f>
        <v>#VALUE!</v>
      </c>
      <c r="BF84" t="e">
        <f>AND('STERLING CATALOG - DRY '!J1767,"AAAAACt4nzk=")</f>
        <v>#VALUE!</v>
      </c>
      <c r="BG84">
        <f>IF('STERLING CATALOG - DRY '!1768:1768,"AAAAACt4nzo=",0)</f>
        <v>0</v>
      </c>
      <c r="BH84" t="e">
        <f>AND('STERLING CATALOG - DRY '!A1768,"AAAAACt4nzs=")</f>
        <v>#VALUE!</v>
      </c>
      <c r="BI84" t="e">
        <f>AND('STERLING CATALOG - DRY '!B1768,"AAAAACt4nzw=")</f>
        <v>#VALUE!</v>
      </c>
      <c r="BJ84" t="e">
        <f>AND('STERLING CATALOG - DRY '!C1768,"AAAAACt4nz0=")</f>
        <v>#VALUE!</v>
      </c>
      <c r="BK84" t="e">
        <f>AND('STERLING CATALOG - DRY '!D1768,"AAAAACt4nz4=")</f>
        <v>#VALUE!</v>
      </c>
      <c r="BL84" t="e">
        <f>AND('STERLING CATALOG - DRY '!E1768,"AAAAACt4nz8=")</f>
        <v>#VALUE!</v>
      </c>
      <c r="BM84" t="e">
        <f>AND('STERLING CATALOG - DRY '!F1768,"AAAAACt4n0A=")</f>
        <v>#VALUE!</v>
      </c>
      <c r="BN84" t="e">
        <f>AND('STERLING CATALOG - DRY '!G1768,"AAAAACt4n0E=")</f>
        <v>#VALUE!</v>
      </c>
      <c r="BO84" t="e">
        <f>AND('STERLING CATALOG - DRY '!H1768,"AAAAACt4n0I=")</f>
        <v>#VALUE!</v>
      </c>
      <c r="BP84" t="e">
        <f>AND('STERLING CATALOG - DRY '!I1768,"AAAAACt4n0M=")</f>
        <v>#VALUE!</v>
      </c>
      <c r="BQ84" t="e">
        <f>AND('STERLING CATALOG - DRY '!J1768,"AAAAACt4n0Q=")</f>
        <v>#VALUE!</v>
      </c>
      <c r="BR84">
        <f>IF('STERLING CATALOG - DRY '!1769:1769,"AAAAACt4n0U=",0)</f>
        <v>0</v>
      </c>
      <c r="BS84" t="e">
        <f>AND('STERLING CATALOG - DRY '!A1769,"AAAAACt4n0Y=")</f>
        <v>#VALUE!</v>
      </c>
      <c r="BT84" t="e">
        <f>AND('STERLING CATALOG - DRY '!B1769,"AAAAACt4n0c=")</f>
        <v>#VALUE!</v>
      </c>
      <c r="BU84" t="e">
        <f>AND('STERLING CATALOG - DRY '!C1769,"AAAAACt4n0g=")</f>
        <v>#VALUE!</v>
      </c>
      <c r="BV84" t="e">
        <f>AND('STERLING CATALOG - DRY '!D1769,"AAAAACt4n0k=")</f>
        <v>#VALUE!</v>
      </c>
      <c r="BW84" t="e">
        <f>AND('STERLING CATALOG - DRY '!E1769,"AAAAACt4n0o=")</f>
        <v>#VALUE!</v>
      </c>
      <c r="BX84" t="e">
        <f>AND('STERLING CATALOG - DRY '!F1769,"AAAAACt4n0s=")</f>
        <v>#VALUE!</v>
      </c>
      <c r="BY84" t="e">
        <f>AND('STERLING CATALOG - DRY '!G1769,"AAAAACt4n0w=")</f>
        <v>#VALUE!</v>
      </c>
      <c r="BZ84" t="e">
        <f>AND('STERLING CATALOG - DRY '!H1769,"AAAAACt4n00=")</f>
        <v>#VALUE!</v>
      </c>
      <c r="CA84" t="e">
        <f>AND('STERLING CATALOG - DRY '!I1769,"AAAAACt4n04=")</f>
        <v>#VALUE!</v>
      </c>
      <c r="CB84" t="e">
        <f>AND('STERLING CATALOG - DRY '!J1769,"AAAAACt4n08=")</f>
        <v>#VALUE!</v>
      </c>
      <c r="CC84">
        <f>IF('STERLING CATALOG - DRY '!1770:1770,"AAAAACt4n1A=",0)</f>
        <v>0</v>
      </c>
      <c r="CD84" t="e">
        <f>AND('STERLING CATALOG - DRY '!A1770,"AAAAACt4n1E=")</f>
        <v>#VALUE!</v>
      </c>
      <c r="CE84" t="e">
        <f>AND('STERLING CATALOG - DRY '!B1770,"AAAAACt4n1I=")</f>
        <v>#VALUE!</v>
      </c>
      <c r="CF84" t="e">
        <f>AND('STERLING CATALOG - DRY '!C1770,"AAAAACt4n1M=")</f>
        <v>#VALUE!</v>
      </c>
      <c r="CG84" t="e">
        <f>AND('STERLING CATALOG - DRY '!D1770,"AAAAACt4n1Q=")</f>
        <v>#VALUE!</v>
      </c>
      <c r="CH84" t="e">
        <f>AND('STERLING CATALOG - DRY '!E1770,"AAAAACt4n1U=")</f>
        <v>#VALUE!</v>
      </c>
      <c r="CI84" t="e">
        <f>AND('STERLING CATALOG - DRY '!F1770,"AAAAACt4n1Y=")</f>
        <v>#VALUE!</v>
      </c>
      <c r="CJ84" t="e">
        <f>AND('STERLING CATALOG - DRY '!G1770,"AAAAACt4n1c=")</f>
        <v>#VALUE!</v>
      </c>
      <c r="CK84" t="e">
        <f>AND('STERLING CATALOG - DRY '!H1770,"AAAAACt4n1g=")</f>
        <v>#VALUE!</v>
      </c>
      <c r="CL84" t="e">
        <f>AND('STERLING CATALOG - DRY '!I1770,"AAAAACt4n1k=")</f>
        <v>#VALUE!</v>
      </c>
      <c r="CM84" t="e">
        <f>AND('STERLING CATALOG - DRY '!J1770,"AAAAACt4n1o=")</f>
        <v>#VALUE!</v>
      </c>
      <c r="CN84">
        <f>IF('STERLING CATALOG - DRY '!1771:1771,"AAAAACt4n1s=",0)</f>
        <v>0</v>
      </c>
      <c r="CO84" t="e">
        <f>AND('STERLING CATALOG - DRY '!A1771,"AAAAACt4n1w=")</f>
        <v>#VALUE!</v>
      </c>
      <c r="CP84" t="e">
        <f>AND('STERLING CATALOG - DRY '!B1771,"AAAAACt4n10=")</f>
        <v>#VALUE!</v>
      </c>
      <c r="CQ84" t="e">
        <f>AND('STERLING CATALOG - DRY '!C1771,"AAAAACt4n14=")</f>
        <v>#VALUE!</v>
      </c>
      <c r="CR84" t="e">
        <f>AND('STERLING CATALOG - DRY '!D1771,"AAAAACt4n18=")</f>
        <v>#VALUE!</v>
      </c>
      <c r="CS84" t="e">
        <f>AND('STERLING CATALOG - DRY '!E1771,"AAAAACt4n2A=")</f>
        <v>#VALUE!</v>
      </c>
      <c r="CT84" t="e">
        <f>AND('STERLING CATALOG - DRY '!F1771,"AAAAACt4n2E=")</f>
        <v>#VALUE!</v>
      </c>
      <c r="CU84" t="e">
        <f>AND('STERLING CATALOG - DRY '!G1771,"AAAAACt4n2I=")</f>
        <v>#VALUE!</v>
      </c>
      <c r="CV84" t="e">
        <f>AND('STERLING CATALOG - DRY '!H1771,"AAAAACt4n2M=")</f>
        <v>#VALUE!</v>
      </c>
      <c r="CW84" t="e">
        <f>AND('STERLING CATALOG - DRY '!I1771,"AAAAACt4n2Q=")</f>
        <v>#VALUE!</v>
      </c>
      <c r="CX84" t="e">
        <f>AND('STERLING CATALOG - DRY '!J1771,"AAAAACt4n2U=")</f>
        <v>#VALUE!</v>
      </c>
      <c r="CY84">
        <f>IF('STERLING CATALOG - DRY '!1772:1772,"AAAAACt4n2Y=",0)</f>
        <v>0</v>
      </c>
      <c r="CZ84" t="e">
        <f>AND('STERLING CATALOG - DRY '!A1772,"AAAAACt4n2c=")</f>
        <v>#VALUE!</v>
      </c>
      <c r="DA84" t="e">
        <f>AND('STERLING CATALOG - DRY '!B1772,"AAAAACt4n2g=")</f>
        <v>#VALUE!</v>
      </c>
      <c r="DB84" t="e">
        <f>AND('STERLING CATALOG - DRY '!C1772,"AAAAACt4n2k=")</f>
        <v>#VALUE!</v>
      </c>
      <c r="DC84" t="e">
        <f>AND('STERLING CATALOG - DRY '!D1772,"AAAAACt4n2o=")</f>
        <v>#VALUE!</v>
      </c>
      <c r="DD84" t="e">
        <f>AND('STERLING CATALOG - DRY '!E1772,"AAAAACt4n2s=")</f>
        <v>#VALUE!</v>
      </c>
      <c r="DE84" t="e">
        <f>AND('STERLING CATALOG - DRY '!F1772,"AAAAACt4n2w=")</f>
        <v>#VALUE!</v>
      </c>
      <c r="DF84" t="e">
        <f>AND('STERLING CATALOG - DRY '!G1772,"AAAAACt4n20=")</f>
        <v>#VALUE!</v>
      </c>
      <c r="DG84" t="e">
        <f>AND('STERLING CATALOG - DRY '!H1772,"AAAAACt4n24=")</f>
        <v>#VALUE!</v>
      </c>
      <c r="DH84" t="e">
        <f>AND('STERLING CATALOG - DRY '!I1772,"AAAAACt4n28=")</f>
        <v>#VALUE!</v>
      </c>
      <c r="DI84" t="e">
        <f>AND('STERLING CATALOG - DRY '!J1772,"AAAAACt4n3A=")</f>
        <v>#VALUE!</v>
      </c>
      <c r="DJ84">
        <f>IF('STERLING CATALOG - DRY '!1773:1773,"AAAAACt4n3E=",0)</f>
        <v>0</v>
      </c>
      <c r="DK84" t="e">
        <f>AND('STERLING CATALOG - DRY '!A1773,"AAAAACt4n3I=")</f>
        <v>#VALUE!</v>
      </c>
      <c r="DL84" t="e">
        <f>AND('STERLING CATALOG - DRY '!B1773,"AAAAACt4n3M=")</f>
        <v>#VALUE!</v>
      </c>
      <c r="DM84" t="e">
        <f>AND('STERLING CATALOG - DRY '!C1773,"AAAAACt4n3Q=")</f>
        <v>#VALUE!</v>
      </c>
      <c r="DN84" t="e">
        <f>AND('STERLING CATALOG - DRY '!D1773,"AAAAACt4n3U=")</f>
        <v>#VALUE!</v>
      </c>
      <c r="DO84" t="e">
        <f>AND('STERLING CATALOG - DRY '!E1773,"AAAAACt4n3Y=")</f>
        <v>#VALUE!</v>
      </c>
      <c r="DP84" t="e">
        <f>AND('STERLING CATALOG - DRY '!F1773,"AAAAACt4n3c=")</f>
        <v>#VALUE!</v>
      </c>
      <c r="DQ84" t="e">
        <f>AND('STERLING CATALOG - DRY '!G1773,"AAAAACt4n3g=")</f>
        <v>#VALUE!</v>
      </c>
      <c r="DR84" t="e">
        <f>AND('STERLING CATALOG - DRY '!H1773,"AAAAACt4n3k=")</f>
        <v>#VALUE!</v>
      </c>
      <c r="DS84" t="e">
        <f>AND('STERLING CATALOG - DRY '!I1773,"AAAAACt4n3o=")</f>
        <v>#VALUE!</v>
      </c>
      <c r="DT84" t="e">
        <f>AND('STERLING CATALOG - DRY '!J1773,"AAAAACt4n3s=")</f>
        <v>#VALUE!</v>
      </c>
      <c r="DU84">
        <f>IF('STERLING CATALOG - DRY '!1774:1774,"AAAAACt4n3w=",0)</f>
        <v>0</v>
      </c>
      <c r="DV84" t="e">
        <f>AND('STERLING CATALOG - DRY '!A1774,"AAAAACt4n30=")</f>
        <v>#VALUE!</v>
      </c>
      <c r="DW84" t="e">
        <f>AND('STERLING CATALOG - DRY '!B1774,"AAAAACt4n34=")</f>
        <v>#VALUE!</v>
      </c>
      <c r="DX84" t="e">
        <f>AND('STERLING CATALOG - DRY '!C1774,"AAAAACt4n38=")</f>
        <v>#VALUE!</v>
      </c>
      <c r="DY84" t="e">
        <f>AND('STERLING CATALOG - DRY '!D1774,"AAAAACt4n4A=")</f>
        <v>#VALUE!</v>
      </c>
      <c r="DZ84" t="e">
        <f>AND('STERLING CATALOG - DRY '!E1774,"AAAAACt4n4E=")</f>
        <v>#VALUE!</v>
      </c>
      <c r="EA84" t="e">
        <f>AND('STERLING CATALOG - DRY '!F1774,"AAAAACt4n4I=")</f>
        <v>#VALUE!</v>
      </c>
      <c r="EB84" t="e">
        <f>AND('STERLING CATALOG - DRY '!G1774,"AAAAACt4n4M=")</f>
        <v>#VALUE!</v>
      </c>
      <c r="EC84" t="e">
        <f>AND('STERLING CATALOG - DRY '!H1774,"AAAAACt4n4Q=")</f>
        <v>#VALUE!</v>
      </c>
      <c r="ED84" t="e">
        <f>AND('STERLING CATALOG - DRY '!I1774,"AAAAACt4n4U=")</f>
        <v>#VALUE!</v>
      </c>
      <c r="EE84" t="e">
        <f>AND('STERLING CATALOG - DRY '!J1774,"AAAAACt4n4Y=")</f>
        <v>#VALUE!</v>
      </c>
      <c r="EF84">
        <f>IF('STERLING CATALOG - DRY '!1775:1775,"AAAAACt4n4c=",0)</f>
        <v>0</v>
      </c>
      <c r="EG84" t="e">
        <f>AND('STERLING CATALOG - DRY '!A1775,"AAAAACt4n4g=")</f>
        <v>#VALUE!</v>
      </c>
      <c r="EH84" t="e">
        <f>AND('STERLING CATALOG - DRY '!B1775,"AAAAACt4n4k=")</f>
        <v>#VALUE!</v>
      </c>
      <c r="EI84" t="e">
        <f>AND('STERLING CATALOG - DRY '!C1775,"AAAAACt4n4o=")</f>
        <v>#VALUE!</v>
      </c>
      <c r="EJ84" t="e">
        <f>AND('STERLING CATALOG - DRY '!D1775,"AAAAACt4n4s=")</f>
        <v>#VALUE!</v>
      </c>
      <c r="EK84" t="e">
        <f>AND('STERLING CATALOG - DRY '!E1775,"AAAAACt4n4w=")</f>
        <v>#VALUE!</v>
      </c>
      <c r="EL84" t="e">
        <f>AND('STERLING CATALOG - DRY '!F1775,"AAAAACt4n40=")</f>
        <v>#VALUE!</v>
      </c>
      <c r="EM84" t="e">
        <f>AND('STERLING CATALOG - DRY '!G1775,"AAAAACt4n44=")</f>
        <v>#VALUE!</v>
      </c>
      <c r="EN84" t="e">
        <f>AND('STERLING CATALOG - DRY '!H1775,"AAAAACt4n48=")</f>
        <v>#VALUE!</v>
      </c>
      <c r="EO84" t="e">
        <f>AND('STERLING CATALOG - DRY '!I1775,"AAAAACt4n5A=")</f>
        <v>#VALUE!</v>
      </c>
      <c r="EP84" t="e">
        <f>AND('STERLING CATALOG - DRY '!J1775,"AAAAACt4n5E=")</f>
        <v>#VALUE!</v>
      </c>
      <c r="EQ84">
        <f>IF('STERLING CATALOG - DRY '!1776:1776,"AAAAACt4n5I=",0)</f>
        <v>0</v>
      </c>
      <c r="ER84" t="e">
        <f>AND('STERLING CATALOG - DRY '!A1776,"AAAAACt4n5M=")</f>
        <v>#VALUE!</v>
      </c>
      <c r="ES84" t="e">
        <f>AND('STERLING CATALOG - DRY '!B1776,"AAAAACt4n5Q=")</f>
        <v>#VALUE!</v>
      </c>
      <c r="ET84" t="e">
        <f>AND('STERLING CATALOG - DRY '!C1776,"AAAAACt4n5U=")</f>
        <v>#VALUE!</v>
      </c>
      <c r="EU84" t="e">
        <f>AND('STERLING CATALOG - DRY '!D1776,"AAAAACt4n5Y=")</f>
        <v>#VALUE!</v>
      </c>
      <c r="EV84" t="e">
        <f>AND('STERLING CATALOG - DRY '!E1776,"AAAAACt4n5c=")</f>
        <v>#VALUE!</v>
      </c>
      <c r="EW84" t="e">
        <f>AND('STERLING CATALOG - DRY '!F1776,"AAAAACt4n5g=")</f>
        <v>#VALUE!</v>
      </c>
      <c r="EX84" t="e">
        <f>AND('STERLING CATALOG - DRY '!G1776,"AAAAACt4n5k=")</f>
        <v>#VALUE!</v>
      </c>
      <c r="EY84" t="e">
        <f>AND('STERLING CATALOG - DRY '!H1776,"AAAAACt4n5o=")</f>
        <v>#VALUE!</v>
      </c>
      <c r="EZ84" t="e">
        <f>AND('STERLING CATALOG - DRY '!I1776,"AAAAACt4n5s=")</f>
        <v>#VALUE!</v>
      </c>
      <c r="FA84" t="e">
        <f>AND('STERLING CATALOG - DRY '!J1776,"AAAAACt4n5w=")</f>
        <v>#VALUE!</v>
      </c>
      <c r="FB84">
        <f>IF('STERLING CATALOG - DRY '!1777:1777,"AAAAACt4n50=",0)</f>
        <v>0</v>
      </c>
      <c r="FC84" t="e">
        <f>AND('STERLING CATALOG - DRY '!A1777,"AAAAACt4n54=")</f>
        <v>#VALUE!</v>
      </c>
      <c r="FD84" t="e">
        <f>AND('STERLING CATALOG - DRY '!B1777,"AAAAACt4n58=")</f>
        <v>#VALUE!</v>
      </c>
      <c r="FE84" t="e">
        <f>AND('STERLING CATALOG - DRY '!C1777,"AAAAACt4n6A=")</f>
        <v>#VALUE!</v>
      </c>
      <c r="FF84" t="e">
        <f>AND('STERLING CATALOG - DRY '!D1777,"AAAAACt4n6E=")</f>
        <v>#VALUE!</v>
      </c>
      <c r="FG84" t="e">
        <f>AND('STERLING CATALOG - DRY '!E1777,"AAAAACt4n6I=")</f>
        <v>#VALUE!</v>
      </c>
      <c r="FH84" t="e">
        <f>AND('STERLING CATALOG - DRY '!F1777,"AAAAACt4n6M=")</f>
        <v>#VALUE!</v>
      </c>
      <c r="FI84" t="e">
        <f>AND('STERLING CATALOG - DRY '!G1777,"AAAAACt4n6Q=")</f>
        <v>#VALUE!</v>
      </c>
      <c r="FJ84" t="e">
        <f>AND('STERLING CATALOG - DRY '!H1777,"AAAAACt4n6U=")</f>
        <v>#VALUE!</v>
      </c>
      <c r="FK84" t="e">
        <f>AND('STERLING CATALOG - DRY '!I1777,"AAAAACt4n6Y=")</f>
        <v>#VALUE!</v>
      </c>
      <c r="FL84" t="e">
        <f>AND('STERLING CATALOG - DRY '!J1777,"AAAAACt4n6c=")</f>
        <v>#VALUE!</v>
      </c>
      <c r="FM84">
        <f>IF('STERLING CATALOG - DRY '!1778:1778,"AAAAACt4n6g=",0)</f>
        <v>0</v>
      </c>
      <c r="FN84" t="e">
        <f>AND('STERLING CATALOG - DRY '!A1778,"AAAAACt4n6k=")</f>
        <v>#VALUE!</v>
      </c>
      <c r="FO84" t="e">
        <f>AND('STERLING CATALOG - DRY '!B1778,"AAAAACt4n6o=")</f>
        <v>#VALUE!</v>
      </c>
      <c r="FP84" t="e">
        <f>AND('STERLING CATALOG - DRY '!C1778,"AAAAACt4n6s=")</f>
        <v>#VALUE!</v>
      </c>
      <c r="FQ84" t="e">
        <f>AND('STERLING CATALOG - DRY '!D1778,"AAAAACt4n6w=")</f>
        <v>#VALUE!</v>
      </c>
      <c r="FR84" t="e">
        <f>AND('STERLING CATALOG - DRY '!E1778,"AAAAACt4n60=")</f>
        <v>#VALUE!</v>
      </c>
      <c r="FS84" t="e">
        <f>AND('STERLING CATALOG - DRY '!F1778,"AAAAACt4n64=")</f>
        <v>#VALUE!</v>
      </c>
      <c r="FT84" t="e">
        <f>AND('STERLING CATALOG - DRY '!G1778,"AAAAACt4n68=")</f>
        <v>#VALUE!</v>
      </c>
      <c r="FU84" t="e">
        <f>AND('STERLING CATALOG - DRY '!H1778,"AAAAACt4n7A=")</f>
        <v>#VALUE!</v>
      </c>
      <c r="FV84" t="e">
        <f>AND('STERLING CATALOG - DRY '!I1778,"AAAAACt4n7E=")</f>
        <v>#VALUE!</v>
      </c>
      <c r="FW84" t="e">
        <f>AND('STERLING CATALOG - DRY '!J1778,"AAAAACt4n7I=")</f>
        <v>#VALUE!</v>
      </c>
      <c r="FX84">
        <f>IF('STERLING CATALOG - DRY '!1779:1779,"AAAAACt4n7M=",0)</f>
        <v>0</v>
      </c>
      <c r="FY84" t="e">
        <f>AND('STERLING CATALOG - DRY '!A1779,"AAAAACt4n7Q=")</f>
        <v>#VALUE!</v>
      </c>
      <c r="FZ84" t="e">
        <f>AND('STERLING CATALOG - DRY '!B1779,"AAAAACt4n7U=")</f>
        <v>#VALUE!</v>
      </c>
      <c r="GA84" t="e">
        <f>AND('STERLING CATALOG - DRY '!C1779,"AAAAACt4n7Y=")</f>
        <v>#VALUE!</v>
      </c>
      <c r="GB84" t="e">
        <f>AND('STERLING CATALOG - DRY '!D1779,"AAAAACt4n7c=")</f>
        <v>#VALUE!</v>
      </c>
      <c r="GC84" t="e">
        <f>AND('STERLING CATALOG - DRY '!E1779,"AAAAACt4n7g=")</f>
        <v>#VALUE!</v>
      </c>
      <c r="GD84" t="e">
        <f>AND('STERLING CATALOG - DRY '!F1779,"AAAAACt4n7k=")</f>
        <v>#VALUE!</v>
      </c>
      <c r="GE84" t="e">
        <f>AND('STERLING CATALOG - DRY '!G1779,"AAAAACt4n7o=")</f>
        <v>#VALUE!</v>
      </c>
      <c r="GF84" t="e">
        <f>AND('STERLING CATALOG - DRY '!H1779,"AAAAACt4n7s=")</f>
        <v>#VALUE!</v>
      </c>
      <c r="GG84" t="e">
        <f>AND('STERLING CATALOG - DRY '!I1779,"AAAAACt4n7w=")</f>
        <v>#VALUE!</v>
      </c>
      <c r="GH84" t="e">
        <f>AND('STERLING CATALOG - DRY '!J1779,"AAAAACt4n70=")</f>
        <v>#VALUE!</v>
      </c>
      <c r="GI84">
        <f>IF('STERLING CATALOG - DRY '!1780:1780,"AAAAACt4n74=",0)</f>
        <v>0</v>
      </c>
      <c r="GJ84" t="e">
        <f>AND('STERLING CATALOG - DRY '!A1780,"AAAAACt4n78=")</f>
        <v>#VALUE!</v>
      </c>
      <c r="GK84" t="e">
        <f>AND('STERLING CATALOG - DRY '!B1780,"AAAAACt4n8A=")</f>
        <v>#VALUE!</v>
      </c>
      <c r="GL84" t="e">
        <f>AND('STERLING CATALOG - DRY '!C1780,"AAAAACt4n8E=")</f>
        <v>#VALUE!</v>
      </c>
      <c r="GM84" t="e">
        <f>AND('STERLING CATALOG - DRY '!D1780,"AAAAACt4n8I=")</f>
        <v>#VALUE!</v>
      </c>
      <c r="GN84" t="e">
        <f>AND('STERLING CATALOG - DRY '!E1780,"AAAAACt4n8M=")</f>
        <v>#VALUE!</v>
      </c>
      <c r="GO84" t="e">
        <f>AND('STERLING CATALOG - DRY '!F1780,"AAAAACt4n8Q=")</f>
        <v>#VALUE!</v>
      </c>
      <c r="GP84" t="e">
        <f>AND('STERLING CATALOG - DRY '!G1780,"AAAAACt4n8U=")</f>
        <v>#VALUE!</v>
      </c>
      <c r="GQ84" t="e">
        <f>AND('STERLING CATALOG - DRY '!H1780,"AAAAACt4n8Y=")</f>
        <v>#VALUE!</v>
      </c>
      <c r="GR84" t="e">
        <f>AND('STERLING CATALOG - DRY '!I1780,"AAAAACt4n8c=")</f>
        <v>#VALUE!</v>
      </c>
      <c r="GS84" t="e">
        <f>AND('STERLING CATALOG - DRY '!J1780,"AAAAACt4n8g=")</f>
        <v>#VALUE!</v>
      </c>
      <c r="GT84">
        <f>IF('STERLING CATALOG - DRY '!1781:1781,"AAAAACt4n8k=",0)</f>
        <v>0</v>
      </c>
      <c r="GU84" t="e">
        <f>AND('STERLING CATALOG - DRY '!A1781,"AAAAACt4n8o=")</f>
        <v>#VALUE!</v>
      </c>
      <c r="GV84" t="e">
        <f>AND('STERLING CATALOG - DRY '!B1781,"AAAAACt4n8s=")</f>
        <v>#VALUE!</v>
      </c>
      <c r="GW84" t="e">
        <f>AND('STERLING CATALOG - DRY '!C1781,"AAAAACt4n8w=")</f>
        <v>#VALUE!</v>
      </c>
      <c r="GX84" t="e">
        <f>AND('STERLING CATALOG - DRY '!D1781,"AAAAACt4n80=")</f>
        <v>#VALUE!</v>
      </c>
      <c r="GY84" t="e">
        <f>AND('STERLING CATALOG - DRY '!E1781,"AAAAACt4n84=")</f>
        <v>#VALUE!</v>
      </c>
      <c r="GZ84" t="e">
        <f>AND('STERLING CATALOG - DRY '!F1781,"AAAAACt4n88=")</f>
        <v>#VALUE!</v>
      </c>
      <c r="HA84" t="e">
        <f>AND('STERLING CATALOG - DRY '!G1781,"AAAAACt4n9A=")</f>
        <v>#VALUE!</v>
      </c>
      <c r="HB84" t="e">
        <f>AND('STERLING CATALOG - DRY '!H1781,"AAAAACt4n9E=")</f>
        <v>#VALUE!</v>
      </c>
      <c r="HC84" t="e">
        <f>AND('STERLING CATALOG - DRY '!I1781,"AAAAACt4n9I=")</f>
        <v>#VALUE!</v>
      </c>
      <c r="HD84" t="e">
        <f>AND('STERLING CATALOG - DRY '!J1781,"AAAAACt4n9M=")</f>
        <v>#VALUE!</v>
      </c>
      <c r="HE84">
        <f>IF('STERLING CATALOG - DRY '!1782:1782,"AAAAACt4n9Q=",0)</f>
        <v>0</v>
      </c>
      <c r="HF84" t="e">
        <f>AND('STERLING CATALOG - DRY '!A1782,"AAAAACt4n9U=")</f>
        <v>#VALUE!</v>
      </c>
      <c r="HG84" t="e">
        <f>AND('STERLING CATALOG - DRY '!B1782,"AAAAACt4n9Y=")</f>
        <v>#VALUE!</v>
      </c>
      <c r="HH84" t="e">
        <f>AND('STERLING CATALOG - DRY '!C1782,"AAAAACt4n9c=")</f>
        <v>#VALUE!</v>
      </c>
      <c r="HI84" t="e">
        <f>AND('STERLING CATALOG - DRY '!D1782,"AAAAACt4n9g=")</f>
        <v>#VALUE!</v>
      </c>
      <c r="HJ84" t="e">
        <f>AND('STERLING CATALOG - DRY '!E1782,"AAAAACt4n9k=")</f>
        <v>#VALUE!</v>
      </c>
      <c r="HK84" t="e">
        <f>AND('STERLING CATALOG - DRY '!F1782,"AAAAACt4n9o=")</f>
        <v>#VALUE!</v>
      </c>
      <c r="HL84" t="e">
        <f>AND('STERLING CATALOG - DRY '!G1782,"AAAAACt4n9s=")</f>
        <v>#VALUE!</v>
      </c>
      <c r="HM84" t="e">
        <f>AND('STERLING CATALOG - DRY '!H1782,"AAAAACt4n9w=")</f>
        <v>#VALUE!</v>
      </c>
      <c r="HN84" t="e">
        <f>AND('STERLING CATALOG - DRY '!I1782,"AAAAACt4n90=")</f>
        <v>#VALUE!</v>
      </c>
      <c r="HO84" t="e">
        <f>AND('STERLING CATALOG - DRY '!J1782,"AAAAACt4n94=")</f>
        <v>#VALUE!</v>
      </c>
      <c r="HP84">
        <f>IF('STERLING CATALOG - DRY '!1783:1783,"AAAAACt4n98=",0)</f>
        <v>0</v>
      </c>
      <c r="HQ84" t="e">
        <f>AND('STERLING CATALOG - DRY '!A1783,"AAAAACt4n+A=")</f>
        <v>#VALUE!</v>
      </c>
      <c r="HR84" t="e">
        <f>AND('STERLING CATALOG - DRY '!B1783,"AAAAACt4n+E=")</f>
        <v>#VALUE!</v>
      </c>
      <c r="HS84" t="e">
        <f>AND('STERLING CATALOG - DRY '!C1783,"AAAAACt4n+I=")</f>
        <v>#VALUE!</v>
      </c>
      <c r="HT84" t="e">
        <f>AND('STERLING CATALOG - DRY '!D1783,"AAAAACt4n+M=")</f>
        <v>#VALUE!</v>
      </c>
      <c r="HU84" t="e">
        <f>AND('STERLING CATALOG - DRY '!E1783,"AAAAACt4n+Q=")</f>
        <v>#VALUE!</v>
      </c>
      <c r="HV84" t="e">
        <f>AND('STERLING CATALOG - DRY '!F1783,"AAAAACt4n+U=")</f>
        <v>#VALUE!</v>
      </c>
      <c r="HW84" t="e">
        <f>AND('STERLING CATALOG - DRY '!G1783,"AAAAACt4n+Y=")</f>
        <v>#VALUE!</v>
      </c>
      <c r="HX84" t="e">
        <f>AND('STERLING CATALOG - DRY '!H1783,"AAAAACt4n+c=")</f>
        <v>#VALUE!</v>
      </c>
      <c r="HY84" t="e">
        <f>AND('STERLING CATALOG - DRY '!I1783,"AAAAACt4n+g=")</f>
        <v>#VALUE!</v>
      </c>
      <c r="HZ84" t="e">
        <f>AND('STERLING CATALOG - DRY '!J1783,"AAAAACt4n+k=")</f>
        <v>#VALUE!</v>
      </c>
      <c r="IA84">
        <f>IF('STERLING CATALOG - DRY '!1784:1784,"AAAAACt4n+o=",0)</f>
        <v>0</v>
      </c>
      <c r="IB84" t="e">
        <f>AND('STERLING CATALOG - DRY '!A1784,"AAAAACt4n+s=")</f>
        <v>#VALUE!</v>
      </c>
      <c r="IC84" t="e">
        <f>AND('STERLING CATALOG - DRY '!B1784,"AAAAACt4n+w=")</f>
        <v>#VALUE!</v>
      </c>
      <c r="ID84" t="e">
        <f>AND('STERLING CATALOG - DRY '!C1784,"AAAAACt4n+0=")</f>
        <v>#VALUE!</v>
      </c>
      <c r="IE84" t="e">
        <f>AND('STERLING CATALOG - DRY '!D1784,"AAAAACt4n+4=")</f>
        <v>#VALUE!</v>
      </c>
      <c r="IF84" t="e">
        <f>AND('STERLING CATALOG - DRY '!E1784,"AAAAACt4n+8=")</f>
        <v>#VALUE!</v>
      </c>
      <c r="IG84" t="e">
        <f>AND('STERLING CATALOG - DRY '!F1784,"AAAAACt4n/A=")</f>
        <v>#VALUE!</v>
      </c>
      <c r="IH84" t="e">
        <f>AND('STERLING CATALOG - DRY '!G1784,"AAAAACt4n/E=")</f>
        <v>#VALUE!</v>
      </c>
      <c r="II84" t="e">
        <f>AND('STERLING CATALOG - DRY '!H1784,"AAAAACt4n/I=")</f>
        <v>#VALUE!</v>
      </c>
      <c r="IJ84" t="e">
        <f>AND('STERLING CATALOG - DRY '!I1784,"AAAAACt4n/M=")</f>
        <v>#VALUE!</v>
      </c>
      <c r="IK84" t="e">
        <f>AND('STERLING CATALOG - DRY '!J1784,"AAAAACt4n/Q=")</f>
        <v>#VALUE!</v>
      </c>
      <c r="IL84">
        <f>IF('STERLING CATALOG - DRY '!1785:1785,"AAAAACt4n/U=",0)</f>
        <v>0</v>
      </c>
      <c r="IM84" t="e">
        <f>AND('STERLING CATALOG - DRY '!A1785,"AAAAACt4n/Y=")</f>
        <v>#VALUE!</v>
      </c>
      <c r="IN84" t="e">
        <f>AND('STERLING CATALOG - DRY '!B1785,"AAAAACt4n/c=")</f>
        <v>#VALUE!</v>
      </c>
      <c r="IO84" t="e">
        <f>AND('STERLING CATALOG - DRY '!C1785,"AAAAACt4n/g=")</f>
        <v>#VALUE!</v>
      </c>
      <c r="IP84" t="e">
        <f>AND('STERLING CATALOG - DRY '!D1785,"AAAAACt4n/k=")</f>
        <v>#VALUE!</v>
      </c>
      <c r="IQ84" t="e">
        <f>AND('STERLING CATALOG - DRY '!E1785,"AAAAACt4n/o=")</f>
        <v>#VALUE!</v>
      </c>
      <c r="IR84" t="e">
        <f>AND('STERLING CATALOG - DRY '!F1785,"AAAAACt4n/s=")</f>
        <v>#VALUE!</v>
      </c>
      <c r="IS84" t="e">
        <f>AND('STERLING CATALOG - DRY '!G1785,"AAAAACt4n/w=")</f>
        <v>#VALUE!</v>
      </c>
      <c r="IT84" t="e">
        <f>AND('STERLING CATALOG - DRY '!H1785,"AAAAACt4n/0=")</f>
        <v>#VALUE!</v>
      </c>
      <c r="IU84" t="e">
        <f>AND('STERLING CATALOG - DRY '!I1785,"AAAAACt4n/4=")</f>
        <v>#VALUE!</v>
      </c>
      <c r="IV84" t="e">
        <f>AND('STERLING CATALOG - DRY '!J1785,"AAAAACt4n/8=")</f>
        <v>#VALUE!</v>
      </c>
    </row>
    <row r="85" spans="1:256">
      <c r="A85" t="str">
        <f>IF('STERLING CATALOG - DRY '!1786:1786,"AAAAAB7/9wA=",0)</f>
        <v>AAAAAB7/9wA=</v>
      </c>
      <c r="B85" t="e">
        <f>AND('STERLING CATALOG - DRY '!A1786,"AAAAAB7/9wE=")</f>
        <v>#VALUE!</v>
      </c>
      <c r="C85" t="e">
        <f>AND('STERLING CATALOG - DRY '!B1786,"AAAAAB7/9wI=")</f>
        <v>#VALUE!</v>
      </c>
      <c r="D85" t="e">
        <f>AND('STERLING CATALOG - DRY '!C1786,"AAAAAB7/9wM=")</f>
        <v>#VALUE!</v>
      </c>
      <c r="E85" t="e">
        <f>AND('STERLING CATALOG - DRY '!D1786,"AAAAAB7/9wQ=")</f>
        <v>#VALUE!</v>
      </c>
      <c r="F85" t="e">
        <f>AND('STERLING CATALOG - DRY '!E1786,"AAAAAB7/9wU=")</f>
        <v>#VALUE!</v>
      </c>
      <c r="G85" t="e">
        <f>AND('STERLING CATALOG - DRY '!F1786,"AAAAAB7/9wY=")</f>
        <v>#VALUE!</v>
      </c>
      <c r="H85" t="e">
        <f>AND('STERLING CATALOG - DRY '!G1786,"AAAAAB7/9wc=")</f>
        <v>#VALUE!</v>
      </c>
      <c r="I85" t="e">
        <f>AND('STERLING CATALOG - DRY '!H1786,"AAAAAB7/9wg=")</f>
        <v>#VALUE!</v>
      </c>
      <c r="J85" t="e">
        <f>AND('STERLING CATALOG - DRY '!I1786,"AAAAAB7/9wk=")</f>
        <v>#VALUE!</v>
      </c>
      <c r="K85" t="e">
        <f>AND('STERLING CATALOG - DRY '!J1786,"AAAAAB7/9wo=")</f>
        <v>#VALUE!</v>
      </c>
      <c r="L85">
        <f>IF('STERLING CATALOG - DRY '!1787:1787,"AAAAAB7/9ws=",0)</f>
        <v>0</v>
      </c>
      <c r="M85" t="e">
        <f>AND('STERLING CATALOG - DRY '!A1787,"AAAAAB7/9ww=")</f>
        <v>#VALUE!</v>
      </c>
      <c r="N85" t="e">
        <f>AND('STERLING CATALOG - DRY '!B1787,"AAAAAB7/9w0=")</f>
        <v>#VALUE!</v>
      </c>
      <c r="O85" t="e">
        <f>AND('STERLING CATALOG - DRY '!C1787,"AAAAAB7/9w4=")</f>
        <v>#VALUE!</v>
      </c>
      <c r="P85" t="e">
        <f>AND('STERLING CATALOG - DRY '!D1787,"AAAAAB7/9w8=")</f>
        <v>#VALUE!</v>
      </c>
      <c r="Q85" t="e">
        <f>AND('STERLING CATALOG - DRY '!E1787,"AAAAAB7/9xA=")</f>
        <v>#VALUE!</v>
      </c>
      <c r="R85" t="e">
        <f>AND('STERLING CATALOG - DRY '!F1787,"AAAAAB7/9xE=")</f>
        <v>#VALUE!</v>
      </c>
      <c r="S85" t="e">
        <f>AND('STERLING CATALOG - DRY '!G1787,"AAAAAB7/9xI=")</f>
        <v>#VALUE!</v>
      </c>
      <c r="T85" t="e">
        <f>AND('STERLING CATALOG - DRY '!H1787,"AAAAAB7/9xM=")</f>
        <v>#VALUE!</v>
      </c>
      <c r="U85" t="e">
        <f>AND('STERLING CATALOG - DRY '!I1787,"AAAAAB7/9xQ=")</f>
        <v>#VALUE!</v>
      </c>
      <c r="V85" t="e">
        <f>AND('STERLING CATALOG - DRY '!J1787,"AAAAAB7/9xU=")</f>
        <v>#VALUE!</v>
      </c>
      <c r="W85">
        <f>IF('STERLING CATALOG - DRY '!1788:1788,"AAAAAB7/9xY=",0)</f>
        <v>0</v>
      </c>
      <c r="X85" t="e">
        <f>AND('STERLING CATALOG - DRY '!A1788,"AAAAAB7/9xc=")</f>
        <v>#VALUE!</v>
      </c>
      <c r="Y85" t="e">
        <f>AND('STERLING CATALOG - DRY '!B1788,"AAAAAB7/9xg=")</f>
        <v>#VALUE!</v>
      </c>
      <c r="Z85" t="e">
        <f>AND('STERLING CATALOG - DRY '!C1788,"AAAAAB7/9xk=")</f>
        <v>#VALUE!</v>
      </c>
      <c r="AA85" t="e">
        <f>AND('STERLING CATALOG - DRY '!D1788,"AAAAAB7/9xo=")</f>
        <v>#VALUE!</v>
      </c>
      <c r="AB85" t="e">
        <f>AND('STERLING CATALOG - DRY '!E1788,"AAAAAB7/9xs=")</f>
        <v>#VALUE!</v>
      </c>
      <c r="AC85" t="e">
        <f>AND('STERLING CATALOG - DRY '!F1788,"AAAAAB7/9xw=")</f>
        <v>#VALUE!</v>
      </c>
      <c r="AD85" t="e">
        <f>AND('STERLING CATALOG - DRY '!G1788,"AAAAAB7/9x0=")</f>
        <v>#VALUE!</v>
      </c>
      <c r="AE85" t="e">
        <f>AND('STERLING CATALOG - DRY '!H1788,"AAAAAB7/9x4=")</f>
        <v>#VALUE!</v>
      </c>
      <c r="AF85" t="e">
        <f>AND('STERLING CATALOG - DRY '!I1788,"AAAAAB7/9x8=")</f>
        <v>#VALUE!</v>
      </c>
      <c r="AG85" t="e">
        <f>AND('STERLING CATALOG - DRY '!J1788,"AAAAAB7/9yA=")</f>
        <v>#VALUE!</v>
      </c>
      <c r="AH85">
        <f>IF('STERLING CATALOG - DRY '!1789:1789,"AAAAAB7/9yE=",0)</f>
        <v>0</v>
      </c>
      <c r="AI85" t="e">
        <f>AND('STERLING CATALOG - DRY '!A1789,"AAAAAB7/9yI=")</f>
        <v>#VALUE!</v>
      </c>
      <c r="AJ85" t="e">
        <f>AND('STERLING CATALOG - DRY '!B1789,"AAAAAB7/9yM=")</f>
        <v>#VALUE!</v>
      </c>
      <c r="AK85" t="e">
        <f>AND('STERLING CATALOG - DRY '!C1789,"AAAAAB7/9yQ=")</f>
        <v>#VALUE!</v>
      </c>
      <c r="AL85" t="e">
        <f>AND('STERLING CATALOG - DRY '!D1789,"AAAAAB7/9yU=")</f>
        <v>#VALUE!</v>
      </c>
      <c r="AM85" t="e">
        <f>AND('STERLING CATALOG - DRY '!E1789,"AAAAAB7/9yY=")</f>
        <v>#VALUE!</v>
      </c>
      <c r="AN85" t="e">
        <f>AND('STERLING CATALOG - DRY '!F1789,"AAAAAB7/9yc=")</f>
        <v>#VALUE!</v>
      </c>
      <c r="AO85" t="e">
        <f>AND('STERLING CATALOG - DRY '!G1789,"AAAAAB7/9yg=")</f>
        <v>#VALUE!</v>
      </c>
      <c r="AP85" t="e">
        <f>AND('STERLING CATALOG - DRY '!H1789,"AAAAAB7/9yk=")</f>
        <v>#VALUE!</v>
      </c>
      <c r="AQ85" t="e">
        <f>AND('STERLING CATALOG - DRY '!I1789,"AAAAAB7/9yo=")</f>
        <v>#VALUE!</v>
      </c>
      <c r="AR85" t="e">
        <f>AND('STERLING CATALOG - DRY '!J1789,"AAAAAB7/9ys=")</f>
        <v>#VALUE!</v>
      </c>
      <c r="AS85">
        <f>IF('STERLING CATALOG - DRY '!1790:1790,"AAAAAB7/9yw=",0)</f>
        <v>0</v>
      </c>
      <c r="AT85" t="e">
        <f>AND('STERLING CATALOG - DRY '!A1790,"AAAAAB7/9y0=")</f>
        <v>#VALUE!</v>
      </c>
      <c r="AU85" t="e">
        <f>AND('STERLING CATALOG - DRY '!B1790,"AAAAAB7/9y4=")</f>
        <v>#VALUE!</v>
      </c>
      <c r="AV85" t="e">
        <f>AND('STERLING CATALOG - DRY '!C1790,"AAAAAB7/9y8=")</f>
        <v>#VALUE!</v>
      </c>
      <c r="AW85" t="e">
        <f>AND('STERLING CATALOG - DRY '!D1790,"AAAAAB7/9zA=")</f>
        <v>#VALUE!</v>
      </c>
      <c r="AX85" t="e">
        <f>AND('STERLING CATALOG - DRY '!E1790,"AAAAAB7/9zE=")</f>
        <v>#VALUE!</v>
      </c>
      <c r="AY85" t="e">
        <f>AND('STERLING CATALOG - DRY '!F1790,"AAAAAB7/9zI=")</f>
        <v>#VALUE!</v>
      </c>
      <c r="AZ85" t="e">
        <f>AND('STERLING CATALOG - DRY '!G1790,"AAAAAB7/9zM=")</f>
        <v>#VALUE!</v>
      </c>
      <c r="BA85" t="e">
        <f>AND('STERLING CATALOG - DRY '!H1790,"AAAAAB7/9zQ=")</f>
        <v>#VALUE!</v>
      </c>
      <c r="BB85" t="e">
        <f>AND('STERLING CATALOG - DRY '!I1790,"AAAAAB7/9zU=")</f>
        <v>#VALUE!</v>
      </c>
      <c r="BC85" t="e">
        <f>AND('STERLING CATALOG - DRY '!J1790,"AAAAAB7/9zY=")</f>
        <v>#VALUE!</v>
      </c>
      <c r="BD85">
        <f>IF('STERLING CATALOG - DRY '!1791:1791,"AAAAAB7/9zc=",0)</f>
        <v>0</v>
      </c>
      <c r="BE85" t="e">
        <f>AND('STERLING CATALOG - DRY '!A1791,"AAAAAB7/9zg=")</f>
        <v>#VALUE!</v>
      </c>
      <c r="BF85" t="e">
        <f>AND('STERLING CATALOG - DRY '!B1791,"AAAAAB7/9zk=")</f>
        <v>#VALUE!</v>
      </c>
      <c r="BG85" t="e">
        <f>AND('STERLING CATALOG - DRY '!C1791,"AAAAAB7/9zo=")</f>
        <v>#VALUE!</v>
      </c>
      <c r="BH85" t="e">
        <f>AND('STERLING CATALOG - DRY '!D1791,"AAAAAB7/9zs=")</f>
        <v>#VALUE!</v>
      </c>
      <c r="BI85" t="e">
        <f>AND('STERLING CATALOG - DRY '!E1791,"AAAAAB7/9zw=")</f>
        <v>#VALUE!</v>
      </c>
      <c r="BJ85" t="e">
        <f>AND('STERLING CATALOG - DRY '!F1791,"AAAAAB7/9z0=")</f>
        <v>#VALUE!</v>
      </c>
      <c r="BK85" t="e">
        <f>AND('STERLING CATALOG - DRY '!G1791,"AAAAAB7/9z4=")</f>
        <v>#VALUE!</v>
      </c>
      <c r="BL85" t="e">
        <f>AND('STERLING CATALOG - DRY '!H1791,"AAAAAB7/9z8=")</f>
        <v>#VALUE!</v>
      </c>
      <c r="BM85" t="e">
        <f>AND('STERLING CATALOG - DRY '!I1791,"AAAAAB7/90A=")</f>
        <v>#VALUE!</v>
      </c>
      <c r="BN85" t="e">
        <f>AND('STERLING CATALOG - DRY '!J1791,"AAAAAB7/90E=")</f>
        <v>#VALUE!</v>
      </c>
      <c r="BO85">
        <f>IF('STERLING CATALOG - DRY '!1792:1792,"AAAAAB7/90I=",0)</f>
        <v>0</v>
      </c>
      <c r="BP85" t="e">
        <f>AND('STERLING CATALOG - DRY '!A1792,"AAAAAB7/90M=")</f>
        <v>#VALUE!</v>
      </c>
      <c r="BQ85" t="e">
        <f>AND('STERLING CATALOG - DRY '!B1792,"AAAAAB7/90Q=")</f>
        <v>#VALUE!</v>
      </c>
      <c r="BR85" t="e">
        <f>AND('STERLING CATALOG - DRY '!C1792,"AAAAAB7/90U=")</f>
        <v>#VALUE!</v>
      </c>
      <c r="BS85" t="e">
        <f>AND('STERLING CATALOG - DRY '!D1792,"AAAAAB7/90Y=")</f>
        <v>#VALUE!</v>
      </c>
      <c r="BT85" t="e">
        <f>AND('STERLING CATALOG - DRY '!E1792,"AAAAAB7/90c=")</f>
        <v>#VALUE!</v>
      </c>
      <c r="BU85" t="e">
        <f>AND('STERLING CATALOG - DRY '!F1792,"AAAAAB7/90g=")</f>
        <v>#VALUE!</v>
      </c>
      <c r="BV85" t="e">
        <f>AND('STERLING CATALOG - DRY '!G1792,"AAAAAB7/90k=")</f>
        <v>#VALUE!</v>
      </c>
      <c r="BW85" t="e">
        <f>AND('STERLING CATALOG - DRY '!H1792,"AAAAAB7/90o=")</f>
        <v>#VALUE!</v>
      </c>
      <c r="BX85" t="e">
        <f>AND('STERLING CATALOG - DRY '!I1792,"AAAAAB7/90s=")</f>
        <v>#VALUE!</v>
      </c>
      <c r="BY85" t="e">
        <f>AND('STERLING CATALOG - DRY '!J1792,"AAAAAB7/90w=")</f>
        <v>#VALUE!</v>
      </c>
      <c r="BZ85">
        <f>IF('STERLING CATALOG - DRY '!1793:1793,"AAAAAB7/900=",0)</f>
        <v>0</v>
      </c>
      <c r="CA85" t="e">
        <f>AND('STERLING CATALOG - DRY '!A1793,"AAAAAB7/904=")</f>
        <v>#VALUE!</v>
      </c>
      <c r="CB85" t="e">
        <f>AND('STERLING CATALOG - DRY '!B1793,"AAAAAB7/908=")</f>
        <v>#VALUE!</v>
      </c>
      <c r="CC85" t="e">
        <f>AND('STERLING CATALOG - DRY '!C1793,"AAAAAB7/91A=")</f>
        <v>#VALUE!</v>
      </c>
      <c r="CD85" t="e">
        <f>AND('STERLING CATALOG - DRY '!D1793,"AAAAAB7/91E=")</f>
        <v>#VALUE!</v>
      </c>
      <c r="CE85" t="e">
        <f>AND('STERLING CATALOG - DRY '!E1793,"AAAAAB7/91I=")</f>
        <v>#VALUE!</v>
      </c>
      <c r="CF85" t="e">
        <f>AND('STERLING CATALOG - DRY '!F1793,"AAAAAB7/91M=")</f>
        <v>#VALUE!</v>
      </c>
      <c r="CG85" t="e">
        <f>AND('STERLING CATALOG - DRY '!G1793,"AAAAAB7/91Q=")</f>
        <v>#VALUE!</v>
      </c>
      <c r="CH85" t="e">
        <f>AND('STERLING CATALOG - DRY '!H1793,"AAAAAB7/91U=")</f>
        <v>#VALUE!</v>
      </c>
      <c r="CI85" t="e">
        <f>AND('STERLING CATALOG - DRY '!I1793,"AAAAAB7/91Y=")</f>
        <v>#VALUE!</v>
      </c>
      <c r="CJ85" t="e">
        <f>AND('STERLING CATALOG - DRY '!J1793,"AAAAAB7/91c=")</f>
        <v>#VALUE!</v>
      </c>
      <c r="CK85">
        <f>IF('STERLING CATALOG - DRY '!1794:1794,"AAAAAB7/91g=",0)</f>
        <v>0</v>
      </c>
      <c r="CL85" t="e">
        <f>AND('STERLING CATALOG - DRY '!A1794,"AAAAAB7/91k=")</f>
        <v>#VALUE!</v>
      </c>
      <c r="CM85" t="e">
        <f>AND('STERLING CATALOG - DRY '!B1794,"AAAAAB7/91o=")</f>
        <v>#VALUE!</v>
      </c>
      <c r="CN85" t="e">
        <f>AND('STERLING CATALOG - DRY '!C1794,"AAAAAB7/91s=")</f>
        <v>#VALUE!</v>
      </c>
      <c r="CO85" t="e">
        <f>AND('STERLING CATALOG - DRY '!D1794,"AAAAAB7/91w=")</f>
        <v>#VALUE!</v>
      </c>
      <c r="CP85" t="e">
        <f>AND('STERLING CATALOG - DRY '!E1794,"AAAAAB7/910=")</f>
        <v>#VALUE!</v>
      </c>
      <c r="CQ85" t="e">
        <f>AND('STERLING CATALOG - DRY '!F1794,"AAAAAB7/914=")</f>
        <v>#VALUE!</v>
      </c>
      <c r="CR85" t="e">
        <f>AND('STERLING CATALOG - DRY '!G1794,"AAAAAB7/918=")</f>
        <v>#VALUE!</v>
      </c>
      <c r="CS85" t="e">
        <f>AND('STERLING CATALOG - DRY '!H1794,"AAAAAB7/92A=")</f>
        <v>#VALUE!</v>
      </c>
      <c r="CT85" t="e">
        <f>AND('STERLING CATALOG - DRY '!I1794,"AAAAAB7/92E=")</f>
        <v>#VALUE!</v>
      </c>
      <c r="CU85" t="e">
        <f>AND('STERLING CATALOG - DRY '!J1794,"AAAAAB7/92I=")</f>
        <v>#VALUE!</v>
      </c>
      <c r="CV85">
        <f>IF('STERLING CATALOG - DRY '!1795:1795,"AAAAAB7/92M=",0)</f>
        <v>0</v>
      </c>
      <c r="CW85" t="e">
        <f>AND('STERLING CATALOG - DRY '!A1795,"AAAAAB7/92Q=")</f>
        <v>#VALUE!</v>
      </c>
      <c r="CX85" t="e">
        <f>AND('STERLING CATALOG - DRY '!B1795,"AAAAAB7/92U=")</f>
        <v>#VALUE!</v>
      </c>
      <c r="CY85" t="e">
        <f>AND('STERLING CATALOG - DRY '!C1795,"AAAAAB7/92Y=")</f>
        <v>#VALUE!</v>
      </c>
      <c r="CZ85" t="e">
        <f>AND('STERLING CATALOG - DRY '!D1795,"AAAAAB7/92c=")</f>
        <v>#VALUE!</v>
      </c>
      <c r="DA85" t="e">
        <f>AND('STERLING CATALOG - DRY '!E1795,"AAAAAB7/92g=")</f>
        <v>#VALUE!</v>
      </c>
      <c r="DB85" t="e">
        <f>AND('STERLING CATALOG - DRY '!F1795,"AAAAAB7/92k=")</f>
        <v>#VALUE!</v>
      </c>
      <c r="DC85" t="e">
        <f>AND('STERLING CATALOG - DRY '!G1795,"AAAAAB7/92o=")</f>
        <v>#VALUE!</v>
      </c>
      <c r="DD85" t="e">
        <f>AND('STERLING CATALOG - DRY '!H1795,"AAAAAB7/92s=")</f>
        <v>#VALUE!</v>
      </c>
      <c r="DE85" t="e">
        <f>AND('STERLING CATALOG - DRY '!I1795,"AAAAAB7/92w=")</f>
        <v>#VALUE!</v>
      </c>
      <c r="DF85" t="e">
        <f>AND('STERLING CATALOG - DRY '!J1795,"AAAAAB7/920=")</f>
        <v>#VALUE!</v>
      </c>
      <c r="DG85">
        <f>IF('STERLING CATALOG - DRY '!1796:1796,"AAAAAB7/924=",0)</f>
        <v>0</v>
      </c>
      <c r="DH85" t="e">
        <f>AND('STERLING CATALOG - DRY '!A1796,"AAAAAB7/928=")</f>
        <v>#VALUE!</v>
      </c>
      <c r="DI85" t="e">
        <f>AND('STERLING CATALOG - DRY '!B1796,"AAAAAB7/93A=")</f>
        <v>#VALUE!</v>
      </c>
      <c r="DJ85" t="e">
        <f>AND('STERLING CATALOG - DRY '!C1796,"AAAAAB7/93E=")</f>
        <v>#VALUE!</v>
      </c>
      <c r="DK85" t="e">
        <f>AND('STERLING CATALOG - DRY '!D1796,"AAAAAB7/93I=")</f>
        <v>#VALUE!</v>
      </c>
      <c r="DL85" t="e">
        <f>AND('STERLING CATALOG - DRY '!E1796,"AAAAAB7/93M=")</f>
        <v>#VALUE!</v>
      </c>
      <c r="DM85" t="e">
        <f>AND('STERLING CATALOG - DRY '!F1796,"AAAAAB7/93Q=")</f>
        <v>#VALUE!</v>
      </c>
      <c r="DN85" t="e">
        <f>AND('STERLING CATALOG - DRY '!G1796,"AAAAAB7/93U=")</f>
        <v>#VALUE!</v>
      </c>
      <c r="DO85" t="e">
        <f>AND('STERLING CATALOG - DRY '!H1796,"AAAAAB7/93Y=")</f>
        <v>#VALUE!</v>
      </c>
      <c r="DP85" t="e">
        <f>AND('STERLING CATALOG - DRY '!I1796,"AAAAAB7/93c=")</f>
        <v>#VALUE!</v>
      </c>
      <c r="DQ85" t="e">
        <f>AND('STERLING CATALOG - DRY '!J1796,"AAAAAB7/93g=")</f>
        <v>#VALUE!</v>
      </c>
      <c r="DR85">
        <f>IF('STERLING CATALOG - DRY '!1797:1797,"AAAAAB7/93k=",0)</f>
        <v>0</v>
      </c>
      <c r="DS85" t="e">
        <f>AND('STERLING CATALOG - DRY '!A1797,"AAAAAB7/93o=")</f>
        <v>#VALUE!</v>
      </c>
      <c r="DT85" t="e">
        <f>AND('STERLING CATALOG - DRY '!B1797,"AAAAAB7/93s=")</f>
        <v>#VALUE!</v>
      </c>
      <c r="DU85" t="e">
        <f>AND('STERLING CATALOG - DRY '!C1797,"AAAAAB7/93w=")</f>
        <v>#VALUE!</v>
      </c>
      <c r="DV85" t="e">
        <f>AND('STERLING CATALOG - DRY '!D1797,"AAAAAB7/930=")</f>
        <v>#VALUE!</v>
      </c>
      <c r="DW85" t="e">
        <f>AND('STERLING CATALOG - DRY '!E1797,"AAAAAB7/934=")</f>
        <v>#VALUE!</v>
      </c>
      <c r="DX85" t="e">
        <f>AND('STERLING CATALOG - DRY '!F1797,"AAAAAB7/938=")</f>
        <v>#VALUE!</v>
      </c>
      <c r="DY85" t="e">
        <f>AND('STERLING CATALOG - DRY '!G1797,"AAAAAB7/94A=")</f>
        <v>#VALUE!</v>
      </c>
      <c r="DZ85" t="e">
        <f>AND('STERLING CATALOG - DRY '!H1797,"AAAAAB7/94E=")</f>
        <v>#VALUE!</v>
      </c>
      <c r="EA85" t="e">
        <f>AND('STERLING CATALOG - DRY '!I1797,"AAAAAB7/94I=")</f>
        <v>#VALUE!</v>
      </c>
      <c r="EB85" t="e">
        <f>AND('STERLING CATALOG - DRY '!J1797,"AAAAAB7/94M=")</f>
        <v>#VALUE!</v>
      </c>
      <c r="EC85">
        <f>IF('STERLING CATALOG - DRY '!1798:1798,"AAAAAB7/94Q=",0)</f>
        <v>0</v>
      </c>
      <c r="ED85" t="e">
        <f>AND('STERLING CATALOG - DRY '!A1798,"AAAAAB7/94U=")</f>
        <v>#VALUE!</v>
      </c>
      <c r="EE85" t="e">
        <f>AND('STERLING CATALOG - DRY '!B1798,"AAAAAB7/94Y=")</f>
        <v>#VALUE!</v>
      </c>
      <c r="EF85" t="e">
        <f>AND('STERLING CATALOG - DRY '!C1798,"AAAAAB7/94c=")</f>
        <v>#VALUE!</v>
      </c>
      <c r="EG85" t="e">
        <f>AND('STERLING CATALOG - DRY '!D1798,"AAAAAB7/94g=")</f>
        <v>#VALUE!</v>
      </c>
      <c r="EH85" t="e">
        <f>AND('STERLING CATALOG - DRY '!E1798,"AAAAAB7/94k=")</f>
        <v>#VALUE!</v>
      </c>
      <c r="EI85" t="e">
        <f>AND('STERLING CATALOG - DRY '!F1798,"AAAAAB7/94o=")</f>
        <v>#VALUE!</v>
      </c>
      <c r="EJ85" t="e">
        <f>AND('STERLING CATALOG - DRY '!G1798,"AAAAAB7/94s=")</f>
        <v>#VALUE!</v>
      </c>
      <c r="EK85" t="e">
        <f>AND('STERLING CATALOG - DRY '!H1798,"AAAAAB7/94w=")</f>
        <v>#VALUE!</v>
      </c>
      <c r="EL85" t="e">
        <f>AND('STERLING CATALOG - DRY '!I1798,"AAAAAB7/940=")</f>
        <v>#VALUE!</v>
      </c>
      <c r="EM85" t="e">
        <f>AND('STERLING CATALOG - DRY '!J1798,"AAAAAB7/944=")</f>
        <v>#VALUE!</v>
      </c>
      <c r="EN85">
        <f>IF('STERLING CATALOG - DRY '!1799:1799,"AAAAAB7/948=",0)</f>
        <v>0</v>
      </c>
      <c r="EO85" t="e">
        <f>AND('STERLING CATALOG - DRY '!A1799,"AAAAAB7/95A=")</f>
        <v>#VALUE!</v>
      </c>
      <c r="EP85" t="e">
        <f>AND('STERLING CATALOG - DRY '!B1799,"AAAAAB7/95E=")</f>
        <v>#VALUE!</v>
      </c>
      <c r="EQ85" t="e">
        <f>AND('STERLING CATALOG - DRY '!C1799,"AAAAAB7/95I=")</f>
        <v>#VALUE!</v>
      </c>
      <c r="ER85" t="e">
        <f>AND('STERLING CATALOG - DRY '!D1799,"AAAAAB7/95M=")</f>
        <v>#VALUE!</v>
      </c>
      <c r="ES85" t="e">
        <f>AND('STERLING CATALOG - DRY '!E1799,"AAAAAB7/95Q=")</f>
        <v>#VALUE!</v>
      </c>
      <c r="ET85" t="e">
        <f>AND('STERLING CATALOG - DRY '!F1799,"AAAAAB7/95U=")</f>
        <v>#VALUE!</v>
      </c>
      <c r="EU85" t="e">
        <f>AND('STERLING CATALOG - DRY '!G1799,"AAAAAB7/95Y=")</f>
        <v>#VALUE!</v>
      </c>
      <c r="EV85" t="e">
        <f>AND('STERLING CATALOG - DRY '!H1799,"AAAAAB7/95c=")</f>
        <v>#VALUE!</v>
      </c>
      <c r="EW85" t="e">
        <f>AND('STERLING CATALOG - DRY '!I1799,"AAAAAB7/95g=")</f>
        <v>#VALUE!</v>
      </c>
      <c r="EX85" t="e">
        <f>AND('STERLING CATALOG - DRY '!J1799,"AAAAAB7/95k=")</f>
        <v>#VALUE!</v>
      </c>
      <c r="EY85">
        <f>IF('STERLING CATALOG - DRY '!1800:1800,"AAAAAB7/95o=",0)</f>
        <v>0</v>
      </c>
      <c r="EZ85" t="e">
        <f>AND('STERLING CATALOG - DRY '!A1800,"AAAAAB7/95s=")</f>
        <v>#VALUE!</v>
      </c>
      <c r="FA85" t="e">
        <f>AND('STERLING CATALOG - DRY '!B1800,"AAAAAB7/95w=")</f>
        <v>#VALUE!</v>
      </c>
      <c r="FB85" t="e">
        <f>AND('STERLING CATALOG - DRY '!C1800,"AAAAAB7/950=")</f>
        <v>#VALUE!</v>
      </c>
      <c r="FC85" t="e">
        <f>AND('STERLING CATALOG - DRY '!D1800,"AAAAAB7/954=")</f>
        <v>#VALUE!</v>
      </c>
      <c r="FD85" t="e">
        <f>AND('STERLING CATALOG - DRY '!E1800,"AAAAAB7/958=")</f>
        <v>#VALUE!</v>
      </c>
      <c r="FE85" t="e">
        <f>AND('STERLING CATALOG - DRY '!F1800,"AAAAAB7/96A=")</f>
        <v>#VALUE!</v>
      </c>
      <c r="FF85" t="e">
        <f>AND('STERLING CATALOG - DRY '!G1800,"AAAAAB7/96E=")</f>
        <v>#VALUE!</v>
      </c>
      <c r="FG85" t="e">
        <f>AND('STERLING CATALOG - DRY '!H1800,"AAAAAB7/96I=")</f>
        <v>#VALUE!</v>
      </c>
      <c r="FH85" t="e">
        <f>AND('STERLING CATALOG - DRY '!I1800,"AAAAAB7/96M=")</f>
        <v>#VALUE!</v>
      </c>
      <c r="FI85" t="e">
        <f>AND('STERLING CATALOG - DRY '!J1800,"AAAAAB7/96Q=")</f>
        <v>#VALUE!</v>
      </c>
      <c r="FJ85">
        <f>IF('STERLING CATALOG - DRY '!1801:1801,"AAAAAB7/96U=",0)</f>
        <v>0</v>
      </c>
      <c r="FK85" t="e">
        <f>AND('STERLING CATALOG - DRY '!A1801,"AAAAAB7/96Y=")</f>
        <v>#VALUE!</v>
      </c>
      <c r="FL85" t="e">
        <f>AND('STERLING CATALOG - DRY '!B1801,"AAAAAB7/96c=")</f>
        <v>#VALUE!</v>
      </c>
      <c r="FM85" t="e">
        <f>AND('STERLING CATALOG - DRY '!C1801,"AAAAAB7/96g=")</f>
        <v>#VALUE!</v>
      </c>
      <c r="FN85" t="e">
        <f>AND('STERLING CATALOG - DRY '!D1801,"AAAAAB7/96k=")</f>
        <v>#VALUE!</v>
      </c>
      <c r="FO85" t="e">
        <f>AND('STERLING CATALOG - DRY '!E1801,"AAAAAB7/96o=")</f>
        <v>#VALUE!</v>
      </c>
      <c r="FP85" t="e">
        <f>AND('STERLING CATALOG - DRY '!F1801,"AAAAAB7/96s=")</f>
        <v>#VALUE!</v>
      </c>
      <c r="FQ85" t="e">
        <f>AND('STERLING CATALOG - DRY '!G1801,"AAAAAB7/96w=")</f>
        <v>#VALUE!</v>
      </c>
      <c r="FR85" t="e">
        <f>AND('STERLING CATALOG - DRY '!H1801,"AAAAAB7/960=")</f>
        <v>#VALUE!</v>
      </c>
      <c r="FS85" t="e">
        <f>AND('STERLING CATALOG - DRY '!I1801,"AAAAAB7/964=")</f>
        <v>#VALUE!</v>
      </c>
      <c r="FT85" t="e">
        <f>AND('STERLING CATALOG - DRY '!J1801,"AAAAAB7/968=")</f>
        <v>#VALUE!</v>
      </c>
      <c r="FU85">
        <f>IF('STERLING CATALOG - DRY '!1802:1802,"AAAAAB7/97A=",0)</f>
        <v>0</v>
      </c>
      <c r="FV85" t="e">
        <f>AND('STERLING CATALOG - DRY '!A1802,"AAAAAB7/97E=")</f>
        <v>#VALUE!</v>
      </c>
      <c r="FW85" t="e">
        <f>AND('STERLING CATALOG - DRY '!B1802,"AAAAAB7/97I=")</f>
        <v>#VALUE!</v>
      </c>
      <c r="FX85" t="e">
        <f>AND('STERLING CATALOG - DRY '!C1802,"AAAAAB7/97M=")</f>
        <v>#VALUE!</v>
      </c>
      <c r="FY85" t="e">
        <f>AND('STERLING CATALOG - DRY '!D1802,"AAAAAB7/97Q=")</f>
        <v>#VALUE!</v>
      </c>
      <c r="FZ85" t="e">
        <f>AND('STERLING CATALOG - DRY '!E1802,"AAAAAB7/97U=")</f>
        <v>#VALUE!</v>
      </c>
      <c r="GA85" t="e">
        <f>AND('STERLING CATALOG - DRY '!F1802,"AAAAAB7/97Y=")</f>
        <v>#VALUE!</v>
      </c>
      <c r="GB85" t="e">
        <f>AND('STERLING CATALOG - DRY '!G1802,"AAAAAB7/97c=")</f>
        <v>#VALUE!</v>
      </c>
      <c r="GC85" t="e">
        <f>AND('STERLING CATALOG - DRY '!H1802,"AAAAAB7/97g=")</f>
        <v>#VALUE!</v>
      </c>
      <c r="GD85" t="e">
        <f>AND('STERLING CATALOG - DRY '!I1802,"AAAAAB7/97k=")</f>
        <v>#VALUE!</v>
      </c>
      <c r="GE85" t="e">
        <f>AND('STERLING CATALOG - DRY '!J1802,"AAAAAB7/97o=")</f>
        <v>#VALUE!</v>
      </c>
      <c r="GF85">
        <f>IF('STERLING CATALOG - DRY '!1803:1803,"AAAAAB7/97s=",0)</f>
        <v>0</v>
      </c>
      <c r="GG85" t="e">
        <f>AND('STERLING CATALOG - DRY '!A1803,"AAAAAB7/97w=")</f>
        <v>#VALUE!</v>
      </c>
      <c r="GH85" t="e">
        <f>AND('STERLING CATALOG - DRY '!B1803,"AAAAAB7/970=")</f>
        <v>#VALUE!</v>
      </c>
      <c r="GI85" t="e">
        <f>AND('STERLING CATALOG - DRY '!C1803,"AAAAAB7/974=")</f>
        <v>#VALUE!</v>
      </c>
      <c r="GJ85" t="e">
        <f>AND('STERLING CATALOG - DRY '!D1803,"AAAAAB7/978=")</f>
        <v>#VALUE!</v>
      </c>
      <c r="GK85" t="e">
        <f>AND('STERLING CATALOG - DRY '!E1803,"AAAAAB7/98A=")</f>
        <v>#VALUE!</v>
      </c>
      <c r="GL85" t="e">
        <f>AND('STERLING CATALOG - DRY '!F1803,"AAAAAB7/98E=")</f>
        <v>#VALUE!</v>
      </c>
      <c r="GM85" t="e">
        <f>AND('STERLING CATALOG - DRY '!G1803,"AAAAAB7/98I=")</f>
        <v>#VALUE!</v>
      </c>
      <c r="GN85" t="e">
        <f>AND('STERLING CATALOG - DRY '!H1803,"AAAAAB7/98M=")</f>
        <v>#VALUE!</v>
      </c>
      <c r="GO85" t="e">
        <f>AND('STERLING CATALOG - DRY '!I1803,"AAAAAB7/98Q=")</f>
        <v>#VALUE!</v>
      </c>
      <c r="GP85" t="e">
        <f>AND('STERLING CATALOG - DRY '!J1803,"AAAAAB7/98U=")</f>
        <v>#VALUE!</v>
      </c>
      <c r="GQ85">
        <f>IF('STERLING CATALOG - DRY '!1804:1804,"AAAAAB7/98Y=",0)</f>
        <v>0</v>
      </c>
      <c r="GR85" t="e">
        <f>AND('STERLING CATALOG - DRY '!A1804,"AAAAAB7/98c=")</f>
        <v>#VALUE!</v>
      </c>
      <c r="GS85" t="e">
        <f>AND('STERLING CATALOG - DRY '!B1804,"AAAAAB7/98g=")</f>
        <v>#VALUE!</v>
      </c>
      <c r="GT85" t="e">
        <f>AND('STERLING CATALOG - DRY '!C1804,"AAAAAB7/98k=")</f>
        <v>#VALUE!</v>
      </c>
      <c r="GU85" t="e">
        <f>AND('STERLING CATALOG - DRY '!D1804,"AAAAAB7/98o=")</f>
        <v>#VALUE!</v>
      </c>
      <c r="GV85" t="e">
        <f>AND('STERLING CATALOG - DRY '!E1804,"AAAAAB7/98s=")</f>
        <v>#VALUE!</v>
      </c>
      <c r="GW85" t="e">
        <f>AND('STERLING CATALOG - DRY '!F1804,"AAAAAB7/98w=")</f>
        <v>#VALUE!</v>
      </c>
      <c r="GX85" t="e">
        <f>AND('STERLING CATALOG - DRY '!G1804,"AAAAAB7/980=")</f>
        <v>#VALUE!</v>
      </c>
      <c r="GY85" t="e">
        <f>AND('STERLING CATALOG - DRY '!H1804,"AAAAAB7/984=")</f>
        <v>#VALUE!</v>
      </c>
      <c r="GZ85" t="e">
        <f>AND('STERLING CATALOG - DRY '!I1804,"AAAAAB7/988=")</f>
        <v>#VALUE!</v>
      </c>
      <c r="HA85" t="e">
        <f>AND('STERLING CATALOG - DRY '!J1804,"AAAAAB7/99A=")</f>
        <v>#VALUE!</v>
      </c>
      <c r="HB85">
        <f>IF('STERLING CATALOG - DRY '!1805:1805,"AAAAAB7/99E=",0)</f>
        <v>0</v>
      </c>
      <c r="HC85" t="e">
        <f>AND('STERLING CATALOG - DRY '!A1805,"AAAAAB7/99I=")</f>
        <v>#VALUE!</v>
      </c>
      <c r="HD85" t="e">
        <f>AND('STERLING CATALOG - DRY '!B1805,"AAAAAB7/99M=")</f>
        <v>#VALUE!</v>
      </c>
      <c r="HE85" t="e">
        <f>AND('STERLING CATALOG - DRY '!C1805,"AAAAAB7/99Q=")</f>
        <v>#VALUE!</v>
      </c>
      <c r="HF85" t="e">
        <f>AND('STERLING CATALOG - DRY '!D1805,"AAAAAB7/99U=")</f>
        <v>#VALUE!</v>
      </c>
      <c r="HG85" t="e">
        <f>AND('STERLING CATALOG - DRY '!E1805,"AAAAAB7/99Y=")</f>
        <v>#VALUE!</v>
      </c>
      <c r="HH85" t="e">
        <f>AND('STERLING CATALOG - DRY '!F1805,"AAAAAB7/99c=")</f>
        <v>#VALUE!</v>
      </c>
      <c r="HI85" t="e">
        <f>AND('STERLING CATALOG - DRY '!G1805,"AAAAAB7/99g=")</f>
        <v>#VALUE!</v>
      </c>
      <c r="HJ85" t="e">
        <f>AND('STERLING CATALOG - DRY '!H1805,"AAAAAB7/99k=")</f>
        <v>#VALUE!</v>
      </c>
      <c r="HK85" t="e">
        <f>AND('STERLING CATALOG - DRY '!I1805,"AAAAAB7/99o=")</f>
        <v>#VALUE!</v>
      </c>
      <c r="HL85" t="e">
        <f>AND('STERLING CATALOG - DRY '!J1805,"AAAAAB7/99s=")</f>
        <v>#VALUE!</v>
      </c>
      <c r="HM85">
        <f>IF('STERLING CATALOG - DRY '!1806:1806,"AAAAAB7/99w=",0)</f>
        <v>0</v>
      </c>
      <c r="HN85" t="e">
        <f>AND('STERLING CATALOG - DRY '!A1806,"AAAAAB7/990=")</f>
        <v>#VALUE!</v>
      </c>
      <c r="HO85" t="e">
        <f>AND('STERLING CATALOG - DRY '!B1806,"AAAAAB7/994=")</f>
        <v>#VALUE!</v>
      </c>
      <c r="HP85" t="e">
        <f>AND('STERLING CATALOG - DRY '!C1806,"AAAAAB7/998=")</f>
        <v>#VALUE!</v>
      </c>
      <c r="HQ85" t="e">
        <f>AND('STERLING CATALOG - DRY '!D1806,"AAAAAB7/9+A=")</f>
        <v>#VALUE!</v>
      </c>
      <c r="HR85" t="e">
        <f>AND('STERLING CATALOG - DRY '!E1806,"AAAAAB7/9+E=")</f>
        <v>#VALUE!</v>
      </c>
      <c r="HS85" t="e">
        <f>AND('STERLING CATALOG - DRY '!F1806,"AAAAAB7/9+I=")</f>
        <v>#VALUE!</v>
      </c>
      <c r="HT85" t="e">
        <f>AND('STERLING CATALOG - DRY '!G1806,"AAAAAB7/9+M=")</f>
        <v>#VALUE!</v>
      </c>
      <c r="HU85" t="e">
        <f>AND('STERLING CATALOG - DRY '!H1806,"AAAAAB7/9+Q=")</f>
        <v>#VALUE!</v>
      </c>
      <c r="HV85" t="e">
        <f>AND('STERLING CATALOG - DRY '!I1806,"AAAAAB7/9+U=")</f>
        <v>#VALUE!</v>
      </c>
      <c r="HW85" t="e">
        <f>AND('STERLING CATALOG - DRY '!J1806,"AAAAAB7/9+Y=")</f>
        <v>#VALUE!</v>
      </c>
      <c r="HX85">
        <f>IF('STERLING CATALOG - DRY '!1807:1807,"AAAAAB7/9+c=",0)</f>
        <v>0</v>
      </c>
      <c r="HY85" t="e">
        <f>AND('STERLING CATALOG - DRY '!A1807,"AAAAAB7/9+g=")</f>
        <v>#VALUE!</v>
      </c>
      <c r="HZ85" t="e">
        <f>AND('STERLING CATALOG - DRY '!B1807,"AAAAAB7/9+k=")</f>
        <v>#VALUE!</v>
      </c>
      <c r="IA85" t="e">
        <f>AND('STERLING CATALOG - DRY '!C1807,"AAAAAB7/9+o=")</f>
        <v>#VALUE!</v>
      </c>
      <c r="IB85" t="e">
        <f>AND('STERLING CATALOG - DRY '!D1807,"AAAAAB7/9+s=")</f>
        <v>#VALUE!</v>
      </c>
      <c r="IC85" t="e">
        <f>AND('STERLING CATALOG - DRY '!E1807,"AAAAAB7/9+w=")</f>
        <v>#VALUE!</v>
      </c>
      <c r="ID85" t="e">
        <f>AND('STERLING CATALOG - DRY '!F1807,"AAAAAB7/9+0=")</f>
        <v>#VALUE!</v>
      </c>
      <c r="IE85" t="e">
        <f>AND('STERLING CATALOG - DRY '!G1807,"AAAAAB7/9+4=")</f>
        <v>#VALUE!</v>
      </c>
      <c r="IF85" t="e">
        <f>AND('STERLING CATALOG - DRY '!H1807,"AAAAAB7/9+8=")</f>
        <v>#VALUE!</v>
      </c>
      <c r="IG85" t="e">
        <f>AND('STERLING CATALOG - DRY '!I1807,"AAAAAB7/9/A=")</f>
        <v>#VALUE!</v>
      </c>
      <c r="IH85" t="e">
        <f>AND('STERLING CATALOG - DRY '!J1807,"AAAAAB7/9/E=")</f>
        <v>#VALUE!</v>
      </c>
      <c r="II85">
        <f>IF('STERLING CATALOG - DRY '!1808:1808,"AAAAAB7/9/I=",0)</f>
        <v>0</v>
      </c>
      <c r="IJ85" t="e">
        <f>AND('STERLING CATALOG - DRY '!A1808,"AAAAAB7/9/M=")</f>
        <v>#VALUE!</v>
      </c>
      <c r="IK85" t="e">
        <f>AND('STERLING CATALOG - DRY '!B1808,"AAAAAB7/9/Q=")</f>
        <v>#VALUE!</v>
      </c>
      <c r="IL85" t="e">
        <f>AND('STERLING CATALOG - DRY '!C1808,"AAAAAB7/9/U=")</f>
        <v>#VALUE!</v>
      </c>
      <c r="IM85" t="e">
        <f>AND('STERLING CATALOG - DRY '!D1808,"AAAAAB7/9/Y=")</f>
        <v>#VALUE!</v>
      </c>
      <c r="IN85" t="e">
        <f>AND('STERLING CATALOG - DRY '!E1808,"AAAAAB7/9/c=")</f>
        <v>#VALUE!</v>
      </c>
      <c r="IO85" t="e">
        <f>AND('STERLING CATALOG - DRY '!F1808,"AAAAAB7/9/g=")</f>
        <v>#VALUE!</v>
      </c>
      <c r="IP85" t="e">
        <f>AND('STERLING CATALOG - DRY '!G1808,"AAAAAB7/9/k=")</f>
        <v>#VALUE!</v>
      </c>
      <c r="IQ85" t="e">
        <f>AND('STERLING CATALOG - DRY '!H1808,"AAAAAB7/9/o=")</f>
        <v>#VALUE!</v>
      </c>
      <c r="IR85" t="e">
        <f>AND('STERLING CATALOG - DRY '!I1808,"AAAAAB7/9/s=")</f>
        <v>#VALUE!</v>
      </c>
      <c r="IS85" t="e">
        <f>AND('STERLING CATALOG - DRY '!J1808,"AAAAAB7/9/w=")</f>
        <v>#VALUE!</v>
      </c>
      <c r="IT85">
        <f>IF('STERLING CATALOG - DRY '!1809:1809,"AAAAAB7/9/0=",0)</f>
        <v>0</v>
      </c>
      <c r="IU85" t="e">
        <f>AND('STERLING CATALOG - DRY '!A1809,"AAAAAB7/9/4=")</f>
        <v>#VALUE!</v>
      </c>
      <c r="IV85" t="e">
        <f>AND('STERLING CATALOG - DRY '!B1809,"AAAAAB7/9/8=")</f>
        <v>#VALUE!</v>
      </c>
    </row>
    <row r="86" spans="1:256">
      <c r="A86" t="e">
        <f>AND('STERLING CATALOG - DRY '!C1809,"AAAAAH4/uwA=")</f>
        <v>#VALUE!</v>
      </c>
      <c r="B86" t="e">
        <f>AND('STERLING CATALOG - DRY '!D1809,"AAAAAH4/uwE=")</f>
        <v>#VALUE!</v>
      </c>
      <c r="C86" t="e">
        <f>AND('STERLING CATALOG - DRY '!E1809,"AAAAAH4/uwI=")</f>
        <v>#VALUE!</v>
      </c>
      <c r="D86" t="e">
        <f>AND('STERLING CATALOG - DRY '!F1809,"AAAAAH4/uwM=")</f>
        <v>#VALUE!</v>
      </c>
      <c r="E86" t="e">
        <f>AND('STERLING CATALOG - DRY '!G1809,"AAAAAH4/uwQ=")</f>
        <v>#VALUE!</v>
      </c>
      <c r="F86" t="e">
        <f>AND('STERLING CATALOG - DRY '!H1809,"AAAAAH4/uwU=")</f>
        <v>#VALUE!</v>
      </c>
      <c r="G86" t="e">
        <f>AND('STERLING CATALOG - DRY '!I1809,"AAAAAH4/uwY=")</f>
        <v>#VALUE!</v>
      </c>
      <c r="H86" t="e">
        <f>AND('STERLING CATALOG - DRY '!J1809,"AAAAAH4/uwc=")</f>
        <v>#VALUE!</v>
      </c>
      <c r="I86" t="e">
        <f>IF('STERLING CATALOG - DRY '!1810:1810,"AAAAAH4/uwg=",0)</f>
        <v>#VALUE!</v>
      </c>
      <c r="J86" t="e">
        <f>AND('STERLING CATALOG - DRY '!A1810,"AAAAAH4/uwk=")</f>
        <v>#VALUE!</v>
      </c>
      <c r="K86" t="e">
        <f>AND('STERLING CATALOG - DRY '!B1810,"AAAAAH4/uwo=")</f>
        <v>#VALUE!</v>
      </c>
      <c r="L86" t="e">
        <f>AND('STERLING CATALOG - DRY '!C1810,"AAAAAH4/uws=")</f>
        <v>#VALUE!</v>
      </c>
      <c r="M86" t="e">
        <f>AND('STERLING CATALOG - DRY '!D1810,"AAAAAH4/uww=")</f>
        <v>#VALUE!</v>
      </c>
      <c r="N86" t="e">
        <f>AND('STERLING CATALOG - DRY '!E1810,"AAAAAH4/uw0=")</f>
        <v>#VALUE!</v>
      </c>
      <c r="O86" t="e">
        <f>AND('STERLING CATALOG - DRY '!F1810,"AAAAAH4/uw4=")</f>
        <v>#VALUE!</v>
      </c>
      <c r="P86" t="e">
        <f>AND('STERLING CATALOG - DRY '!G1810,"AAAAAH4/uw8=")</f>
        <v>#VALUE!</v>
      </c>
      <c r="Q86" t="e">
        <f>AND('STERLING CATALOG - DRY '!H1810,"AAAAAH4/uxA=")</f>
        <v>#VALUE!</v>
      </c>
      <c r="R86" t="e">
        <f>AND('STERLING CATALOG - DRY '!I1810,"AAAAAH4/uxE=")</f>
        <v>#VALUE!</v>
      </c>
      <c r="S86" t="e">
        <f>AND('STERLING CATALOG - DRY '!J1810,"AAAAAH4/uxI=")</f>
        <v>#VALUE!</v>
      </c>
      <c r="T86">
        <f>IF('STERLING CATALOG - DRY '!1811:1811,"AAAAAH4/uxM=",0)</f>
        <v>0</v>
      </c>
      <c r="U86" t="e">
        <f>AND('STERLING CATALOG - DRY '!A1811,"AAAAAH4/uxQ=")</f>
        <v>#VALUE!</v>
      </c>
      <c r="V86" t="e">
        <f>AND('STERLING CATALOG - DRY '!B1811,"AAAAAH4/uxU=")</f>
        <v>#VALUE!</v>
      </c>
      <c r="W86" t="e">
        <f>AND('STERLING CATALOG - DRY '!C1811,"AAAAAH4/uxY=")</f>
        <v>#VALUE!</v>
      </c>
      <c r="X86" t="e">
        <f>AND('STERLING CATALOG - DRY '!D1811,"AAAAAH4/uxc=")</f>
        <v>#VALUE!</v>
      </c>
      <c r="Y86" t="e">
        <f>AND('STERLING CATALOG - DRY '!E1811,"AAAAAH4/uxg=")</f>
        <v>#VALUE!</v>
      </c>
      <c r="Z86" t="e">
        <f>AND('STERLING CATALOG - DRY '!F1811,"AAAAAH4/uxk=")</f>
        <v>#VALUE!</v>
      </c>
      <c r="AA86" t="e">
        <f>AND('STERLING CATALOG - DRY '!G1811,"AAAAAH4/uxo=")</f>
        <v>#VALUE!</v>
      </c>
      <c r="AB86" t="e">
        <f>AND('STERLING CATALOG - DRY '!H1811,"AAAAAH4/uxs=")</f>
        <v>#VALUE!</v>
      </c>
      <c r="AC86" t="e">
        <f>AND('STERLING CATALOG - DRY '!I1811,"AAAAAH4/uxw=")</f>
        <v>#VALUE!</v>
      </c>
      <c r="AD86" t="e">
        <f>AND('STERLING CATALOG - DRY '!J1811,"AAAAAH4/ux0=")</f>
        <v>#VALUE!</v>
      </c>
      <c r="AE86">
        <f>IF('STERLING CATALOG - DRY '!1812:1812,"AAAAAH4/ux4=",0)</f>
        <v>0</v>
      </c>
      <c r="AF86" t="e">
        <f>AND('STERLING CATALOG - DRY '!A1812,"AAAAAH4/ux8=")</f>
        <v>#VALUE!</v>
      </c>
      <c r="AG86" t="e">
        <f>AND('STERLING CATALOG - DRY '!B1812,"AAAAAH4/uyA=")</f>
        <v>#VALUE!</v>
      </c>
      <c r="AH86" t="e">
        <f>AND('STERLING CATALOG - DRY '!C1812,"AAAAAH4/uyE=")</f>
        <v>#VALUE!</v>
      </c>
      <c r="AI86" t="e">
        <f>AND('STERLING CATALOG - DRY '!D1812,"AAAAAH4/uyI=")</f>
        <v>#VALUE!</v>
      </c>
      <c r="AJ86" t="e">
        <f>AND('STERLING CATALOG - DRY '!E1812,"AAAAAH4/uyM=")</f>
        <v>#VALUE!</v>
      </c>
      <c r="AK86" t="e">
        <f>AND('STERLING CATALOG - DRY '!F1812,"AAAAAH4/uyQ=")</f>
        <v>#VALUE!</v>
      </c>
      <c r="AL86" t="e">
        <f>AND('STERLING CATALOG - DRY '!G1812,"AAAAAH4/uyU=")</f>
        <v>#VALUE!</v>
      </c>
      <c r="AM86" t="e">
        <f>AND('STERLING CATALOG - DRY '!H1812,"AAAAAH4/uyY=")</f>
        <v>#VALUE!</v>
      </c>
      <c r="AN86" t="e">
        <f>AND('STERLING CATALOG - DRY '!I1812,"AAAAAH4/uyc=")</f>
        <v>#VALUE!</v>
      </c>
      <c r="AO86" t="e">
        <f>AND('STERLING CATALOG - DRY '!J1812,"AAAAAH4/uyg=")</f>
        <v>#VALUE!</v>
      </c>
      <c r="AP86">
        <f>IF('STERLING CATALOG - DRY '!1813:1813,"AAAAAH4/uyk=",0)</f>
        <v>0</v>
      </c>
      <c r="AQ86" t="e">
        <f>AND('STERLING CATALOG - DRY '!A1813,"AAAAAH4/uyo=")</f>
        <v>#VALUE!</v>
      </c>
      <c r="AR86" t="e">
        <f>AND('STERLING CATALOG - DRY '!B1813,"AAAAAH4/uys=")</f>
        <v>#VALUE!</v>
      </c>
      <c r="AS86" t="e">
        <f>AND('STERLING CATALOG - DRY '!C1813,"AAAAAH4/uyw=")</f>
        <v>#VALUE!</v>
      </c>
      <c r="AT86" t="e">
        <f>AND('STERLING CATALOG - DRY '!D1813,"AAAAAH4/uy0=")</f>
        <v>#VALUE!</v>
      </c>
      <c r="AU86" t="e">
        <f>AND('STERLING CATALOG - DRY '!E1813,"AAAAAH4/uy4=")</f>
        <v>#VALUE!</v>
      </c>
      <c r="AV86" t="e">
        <f>AND('STERLING CATALOG - DRY '!F1813,"AAAAAH4/uy8=")</f>
        <v>#VALUE!</v>
      </c>
      <c r="AW86" t="e">
        <f>AND('STERLING CATALOG - DRY '!G1813,"AAAAAH4/uzA=")</f>
        <v>#VALUE!</v>
      </c>
      <c r="AX86" t="e">
        <f>AND('STERLING CATALOG - DRY '!H1813,"AAAAAH4/uzE=")</f>
        <v>#VALUE!</v>
      </c>
      <c r="AY86" t="e">
        <f>AND('STERLING CATALOG - DRY '!I1813,"AAAAAH4/uzI=")</f>
        <v>#VALUE!</v>
      </c>
      <c r="AZ86" t="e">
        <f>AND('STERLING CATALOG - DRY '!J1813,"AAAAAH4/uzM=")</f>
        <v>#VALUE!</v>
      </c>
      <c r="BA86">
        <f>IF('STERLING CATALOG - DRY '!1814:1814,"AAAAAH4/uzQ=",0)</f>
        <v>0</v>
      </c>
      <c r="BB86" t="e">
        <f>AND('STERLING CATALOG - DRY '!A1814,"AAAAAH4/uzU=")</f>
        <v>#VALUE!</v>
      </c>
      <c r="BC86" t="e">
        <f>AND('STERLING CATALOG - DRY '!B1814,"AAAAAH4/uzY=")</f>
        <v>#VALUE!</v>
      </c>
      <c r="BD86" t="e">
        <f>AND('STERLING CATALOG - DRY '!C1814,"AAAAAH4/uzc=")</f>
        <v>#VALUE!</v>
      </c>
      <c r="BE86" t="e">
        <f>AND('STERLING CATALOG - DRY '!D1814,"AAAAAH4/uzg=")</f>
        <v>#VALUE!</v>
      </c>
      <c r="BF86" t="e">
        <f>AND('STERLING CATALOG - DRY '!E1814,"AAAAAH4/uzk=")</f>
        <v>#VALUE!</v>
      </c>
      <c r="BG86" t="e">
        <f>AND('STERLING CATALOG - DRY '!F1814,"AAAAAH4/uzo=")</f>
        <v>#VALUE!</v>
      </c>
      <c r="BH86" t="e">
        <f>AND('STERLING CATALOG - DRY '!G1814,"AAAAAH4/uzs=")</f>
        <v>#VALUE!</v>
      </c>
      <c r="BI86" t="e">
        <f>AND('STERLING CATALOG - DRY '!H1814,"AAAAAH4/uzw=")</f>
        <v>#VALUE!</v>
      </c>
      <c r="BJ86" t="e">
        <f>AND('STERLING CATALOG - DRY '!I1814,"AAAAAH4/uz0=")</f>
        <v>#VALUE!</v>
      </c>
      <c r="BK86" t="e">
        <f>AND('STERLING CATALOG - DRY '!J1814,"AAAAAH4/uz4=")</f>
        <v>#VALUE!</v>
      </c>
      <c r="BL86">
        <f>IF('STERLING CATALOG - DRY '!1815:1815,"AAAAAH4/uz8=",0)</f>
        <v>0</v>
      </c>
      <c r="BM86" t="e">
        <f>AND('STERLING CATALOG - DRY '!A1815,"AAAAAH4/u0A=")</f>
        <v>#VALUE!</v>
      </c>
      <c r="BN86" t="e">
        <f>AND('STERLING CATALOG - DRY '!B1815,"AAAAAH4/u0E=")</f>
        <v>#VALUE!</v>
      </c>
      <c r="BO86" t="e">
        <f>AND('STERLING CATALOG - DRY '!C1815,"AAAAAH4/u0I=")</f>
        <v>#VALUE!</v>
      </c>
      <c r="BP86" t="e">
        <f>AND('STERLING CATALOG - DRY '!D1815,"AAAAAH4/u0M=")</f>
        <v>#VALUE!</v>
      </c>
      <c r="BQ86" t="e">
        <f>AND('STERLING CATALOG - DRY '!E1815,"AAAAAH4/u0Q=")</f>
        <v>#VALUE!</v>
      </c>
      <c r="BR86" t="e">
        <f>AND('STERLING CATALOG - DRY '!F1815,"AAAAAH4/u0U=")</f>
        <v>#VALUE!</v>
      </c>
      <c r="BS86" t="e">
        <f>AND('STERLING CATALOG - DRY '!G1815,"AAAAAH4/u0Y=")</f>
        <v>#VALUE!</v>
      </c>
      <c r="BT86" t="e">
        <f>AND('STERLING CATALOG - DRY '!H1815,"AAAAAH4/u0c=")</f>
        <v>#VALUE!</v>
      </c>
      <c r="BU86" t="e">
        <f>AND('STERLING CATALOG - DRY '!I1815,"AAAAAH4/u0g=")</f>
        <v>#VALUE!</v>
      </c>
      <c r="BV86" t="e">
        <f>AND('STERLING CATALOG - DRY '!J1815,"AAAAAH4/u0k=")</f>
        <v>#VALUE!</v>
      </c>
      <c r="BW86">
        <f>IF('STERLING CATALOG - DRY '!1816:1816,"AAAAAH4/u0o=",0)</f>
        <v>0</v>
      </c>
      <c r="BX86" t="e">
        <f>AND('STERLING CATALOG - DRY '!A1816,"AAAAAH4/u0s=")</f>
        <v>#VALUE!</v>
      </c>
      <c r="BY86" t="e">
        <f>AND('STERLING CATALOG - DRY '!B1816,"AAAAAH4/u0w=")</f>
        <v>#VALUE!</v>
      </c>
      <c r="BZ86" t="e">
        <f>AND('STERLING CATALOG - DRY '!C1816,"AAAAAH4/u00=")</f>
        <v>#VALUE!</v>
      </c>
      <c r="CA86" t="e">
        <f>AND('STERLING CATALOG - DRY '!D1816,"AAAAAH4/u04=")</f>
        <v>#VALUE!</v>
      </c>
      <c r="CB86" t="e">
        <f>AND('STERLING CATALOG - DRY '!E1816,"AAAAAH4/u08=")</f>
        <v>#VALUE!</v>
      </c>
      <c r="CC86" t="e">
        <f>AND('STERLING CATALOG - DRY '!F1816,"AAAAAH4/u1A=")</f>
        <v>#VALUE!</v>
      </c>
      <c r="CD86" t="e">
        <f>AND('STERLING CATALOG - DRY '!G1816,"AAAAAH4/u1E=")</f>
        <v>#VALUE!</v>
      </c>
      <c r="CE86" t="e">
        <f>AND('STERLING CATALOG - DRY '!H1816,"AAAAAH4/u1I=")</f>
        <v>#VALUE!</v>
      </c>
      <c r="CF86" t="e">
        <f>AND('STERLING CATALOG - DRY '!I1816,"AAAAAH4/u1M=")</f>
        <v>#VALUE!</v>
      </c>
      <c r="CG86" t="e">
        <f>AND('STERLING CATALOG - DRY '!J1816,"AAAAAH4/u1Q=")</f>
        <v>#VALUE!</v>
      </c>
      <c r="CH86">
        <f>IF('STERLING CATALOG - DRY '!1817:1817,"AAAAAH4/u1U=",0)</f>
        <v>0</v>
      </c>
      <c r="CI86" t="e">
        <f>AND('STERLING CATALOG - DRY '!A1817,"AAAAAH4/u1Y=")</f>
        <v>#VALUE!</v>
      </c>
      <c r="CJ86" t="e">
        <f>AND('STERLING CATALOG - DRY '!B1817,"AAAAAH4/u1c=")</f>
        <v>#VALUE!</v>
      </c>
      <c r="CK86" t="e">
        <f>AND('STERLING CATALOG - DRY '!C1817,"AAAAAH4/u1g=")</f>
        <v>#VALUE!</v>
      </c>
      <c r="CL86" t="e">
        <f>AND('STERLING CATALOG - DRY '!D1817,"AAAAAH4/u1k=")</f>
        <v>#VALUE!</v>
      </c>
      <c r="CM86" t="e">
        <f>AND('STERLING CATALOG - DRY '!E1817,"AAAAAH4/u1o=")</f>
        <v>#VALUE!</v>
      </c>
      <c r="CN86" t="e">
        <f>AND('STERLING CATALOG - DRY '!F1817,"AAAAAH4/u1s=")</f>
        <v>#VALUE!</v>
      </c>
      <c r="CO86" t="e">
        <f>AND('STERLING CATALOG - DRY '!G1817,"AAAAAH4/u1w=")</f>
        <v>#VALUE!</v>
      </c>
      <c r="CP86" t="e">
        <f>AND('STERLING CATALOG - DRY '!H1817,"AAAAAH4/u10=")</f>
        <v>#VALUE!</v>
      </c>
      <c r="CQ86" t="e">
        <f>AND('STERLING CATALOG - DRY '!I1817,"AAAAAH4/u14=")</f>
        <v>#VALUE!</v>
      </c>
      <c r="CR86" t="e">
        <f>AND('STERLING CATALOG - DRY '!J1817,"AAAAAH4/u18=")</f>
        <v>#VALUE!</v>
      </c>
      <c r="CS86">
        <f>IF('STERLING CATALOG - DRY '!1818:1818,"AAAAAH4/u2A=",0)</f>
        <v>0</v>
      </c>
      <c r="CT86" t="e">
        <f>AND('STERLING CATALOG - DRY '!A1818,"AAAAAH4/u2E=")</f>
        <v>#VALUE!</v>
      </c>
      <c r="CU86" t="e">
        <f>AND('STERLING CATALOG - DRY '!B1818,"AAAAAH4/u2I=")</f>
        <v>#VALUE!</v>
      </c>
      <c r="CV86" t="e">
        <f>AND('STERLING CATALOG - DRY '!C1818,"AAAAAH4/u2M=")</f>
        <v>#VALUE!</v>
      </c>
      <c r="CW86" t="e">
        <f>AND('STERLING CATALOG - DRY '!D1818,"AAAAAH4/u2Q=")</f>
        <v>#VALUE!</v>
      </c>
      <c r="CX86" t="e">
        <f>AND('STERLING CATALOG - DRY '!E1818,"AAAAAH4/u2U=")</f>
        <v>#VALUE!</v>
      </c>
      <c r="CY86" t="e">
        <f>AND('STERLING CATALOG - DRY '!F1818,"AAAAAH4/u2Y=")</f>
        <v>#VALUE!</v>
      </c>
      <c r="CZ86" t="e">
        <f>AND('STERLING CATALOG - DRY '!G1818,"AAAAAH4/u2c=")</f>
        <v>#VALUE!</v>
      </c>
      <c r="DA86" t="e">
        <f>AND('STERLING CATALOG - DRY '!H1818,"AAAAAH4/u2g=")</f>
        <v>#VALUE!</v>
      </c>
      <c r="DB86" t="e">
        <f>AND('STERLING CATALOG - DRY '!I1818,"AAAAAH4/u2k=")</f>
        <v>#VALUE!</v>
      </c>
      <c r="DC86" t="e">
        <f>AND('STERLING CATALOG - DRY '!J1818,"AAAAAH4/u2o=")</f>
        <v>#VALUE!</v>
      </c>
      <c r="DD86">
        <f>IF('STERLING CATALOG - DRY '!1819:1819,"AAAAAH4/u2s=",0)</f>
        <v>0</v>
      </c>
      <c r="DE86" t="e">
        <f>AND('STERLING CATALOG - DRY '!A1819,"AAAAAH4/u2w=")</f>
        <v>#VALUE!</v>
      </c>
      <c r="DF86" t="e">
        <f>AND('STERLING CATALOG - DRY '!B1819,"AAAAAH4/u20=")</f>
        <v>#VALUE!</v>
      </c>
      <c r="DG86" t="e">
        <f>AND('STERLING CATALOG - DRY '!C1819,"AAAAAH4/u24=")</f>
        <v>#VALUE!</v>
      </c>
      <c r="DH86" t="e">
        <f>AND('STERLING CATALOG - DRY '!D1819,"AAAAAH4/u28=")</f>
        <v>#VALUE!</v>
      </c>
      <c r="DI86" t="e">
        <f>AND('STERLING CATALOG - DRY '!E1819,"AAAAAH4/u3A=")</f>
        <v>#VALUE!</v>
      </c>
      <c r="DJ86" t="e">
        <f>AND('STERLING CATALOG - DRY '!F1819,"AAAAAH4/u3E=")</f>
        <v>#VALUE!</v>
      </c>
      <c r="DK86" t="e">
        <f>AND('STERLING CATALOG - DRY '!G1819,"AAAAAH4/u3I=")</f>
        <v>#VALUE!</v>
      </c>
      <c r="DL86" t="e">
        <f>AND('STERLING CATALOG - DRY '!H1819,"AAAAAH4/u3M=")</f>
        <v>#VALUE!</v>
      </c>
      <c r="DM86" t="e">
        <f>AND('STERLING CATALOG - DRY '!I1819,"AAAAAH4/u3Q=")</f>
        <v>#VALUE!</v>
      </c>
      <c r="DN86" t="e">
        <f>AND('STERLING CATALOG - DRY '!J1819,"AAAAAH4/u3U=")</f>
        <v>#VALUE!</v>
      </c>
      <c r="DO86">
        <f>IF('STERLING CATALOG - DRY '!1820:1820,"AAAAAH4/u3Y=",0)</f>
        <v>0</v>
      </c>
      <c r="DP86" t="e">
        <f>AND('STERLING CATALOG - DRY '!A1820,"AAAAAH4/u3c=")</f>
        <v>#VALUE!</v>
      </c>
      <c r="DQ86" t="e">
        <f>AND('STERLING CATALOG - DRY '!B1820,"AAAAAH4/u3g=")</f>
        <v>#VALUE!</v>
      </c>
      <c r="DR86" t="e">
        <f>AND('STERLING CATALOG - DRY '!C1820,"AAAAAH4/u3k=")</f>
        <v>#VALUE!</v>
      </c>
      <c r="DS86" t="e">
        <f>AND('STERLING CATALOG - DRY '!D1820,"AAAAAH4/u3o=")</f>
        <v>#VALUE!</v>
      </c>
      <c r="DT86" t="e">
        <f>AND('STERLING CATALOG - DRY '!E1820,"AAAAAH4/u3s=")</f>
        <v>#VALUE!</v>
      </c>
      <c r="DU86" t="e">
        <f>AND('STERLING CATALOG - DRY '!F1820,"AAAAAH4/u3w=")</f>
        <v>#VALUE!</v>
      </c>
      <c r="DV86" t="e">
        <f>AND('STERLING CATALOG - DRY '!G1820,"AAAAAH4/u30=")</f>
        <v>#VALUE!</v>
      </c>
      <c r="DW86" t="e">
        <f>AND('STERLING CATALOG - DRY '!H1820,"AAAAAH4/u34=")</f>
        <v>#VALUE!</v>
      </c>
      <c r="DX86" t="e">
        <f>AND('STERLING CATALOG - DRY '!I1820,"AAAAAH4/u38=")</f>
        <v>#VALUE!</v>
      </c>
      <c r="DY86" t="e">
        <f>AND('STERLING CATALOG - DRY '!J1820,"AAAAAH4/u4A=")</f>
        <v>#VALUE!</v>
      </c>
      <c r="DZ86">
        <f>IF('STERLING CATALOG - DRY '!1821:1821,"AAAAAH4/u4E=",0)</f>
        <v>0</v>
      </c>
      <c r="EA86" t="e">
        <f>AND('STERLING CATALOG - DRY '!A1821,"AAAAAH4/u4I=")</f>
        <v>#VALUE!</v>
      </c>
      <c r="EB86" t="e">
        <f>AND('STERLING CATALOG - DRY '!B1821,"AAAAAH4/u4M=")</f>
        <v>#VALUE!</v>
      </c>
      <c r="EC86" t="e">
        <f>AND('STERLING CATALOG - DRY '!C1821,"AAAAAH4/u4Q=")</f>
        <v>#VALUE!</v>
      </c>
      <c r="ED86" t="e">
        <f>AND('STERLING CATALOG - DRY '!D1821,"AAAAAH4/u4U=")</f>
        <v>#VALUE!</v>
      </c>
      <c r="EE86" t="e">
        <f>AND('STERLING CATALOG - DRY '!E1821,"AAAAAH4/u4Y=")</f>
        <v>#VALUE!</v>
      </c>
      <c r="EF86" t="e">
        <f>AND('STERLING CATALOG - DRY '!F1821,"AAAAAH4/u4c=")</f>
        <v>#VALUE!</v>
      </c>
      <c r="EG86" t="e">
        <f>AND('STERLING CATALOG - DRY '!G1821,"AAAAAH4/u4g=")</f>
        <v>#VALUE!</v>
      </c>
      <c r="EH86" t="e">
        <f>AND('STERLING CATALOG - DRY '!H1821,"AAAAAH4/u4k=")</f>
        <v>#VALUE!</v>
      </c>
      <c r="EI86" t="e">
        <f>AND('STERLING CATALOG - DRY '!I1821,"AAAAAH4/u4o=")</f>
        <v>#VALUE!</v>
      </c>
      <c r="EJ86" t="e">
        <f>AND('STERLING CATALOG - DRY '!J1821,"AAAAAH4/u4s=")</f>
        <v>#VALUE!</v>
      </c>
      <c r="EK86">
        <f>IF('STERLING CATALOG - DRY '!1822:1822,"AAAAAH4/u4w=",0)</f>
        <v>0</v>
      </c>
      <c r="EL86" t="e">
        <f>AND('STERLING CATALOG - DRY '!A1822,"AAAAAH4/u40=")</f>
        <v>#VALUE!</v>
      </c>
      <c r="EM86" t="e">
        <f>AND('STERLING CATALOG - DRY '!B1822,"AAAAAH4/u44=")</f>
        <v>#VALUE!</v>
      </c>
      <c r="EN86" t="e">
        <f>AND('STERLING CATALOG - DRY '!C1822,"AAAAAH4/u48=")</f>
        <v>#VALUE!</v>
      </c>
      <c r="EO86" t="e">
        <f>AND('STERLING CATALOG - DRY '!D1822,"AAAAAH4/u5A=")</f>
        <v>#VALUE!</v>
      </c>
      <c r="EP86" t="e">
        <f>AND('STERLING CATALOG - DRY '!E1822,"AAAAAH4/u5E=")</f>
        <v>#VALUE!</v>
      </c>
      <c r="EQ86" t="e">
        <f>AND('STERLING CATALOG - DRY '!F1822,"AAAAAH4/u5I=")</f>
        <v>#VALUE!</v>
      </c>
      <c r="ER86" t="e">
        <f>AND('STERLING CATALOG - DRY '!G1822,"AAAAAH4/u5M=")</f>
        <v>#VALUE!</v>
      </c>
      <c r="ES86" t="e">
        <f>AND('STERLING CATALOG - DRY '!H1822,"AAAAAH4/u5Q=")</f>
        <v>#VALUE!</v>
      </c>
      <c r="ET86" t="e">
        <f>AND('STERLING CATALOG - DRY '!I1822,"AAAAAH4/u5U=")</f>
        <v>#VALUE!</v>
      </c>
      <c r="EU86" t="e">
        <f>AND('STERLING CATALOG - DRY '!J1822,"AAAAAH4/u5Y=")</f>
        <v>#VALUE!</v>
      </c>
      <c r="EV86">
        <f>IF('STERLING CATALOG - DRY '!1823:1823,"AAAAAH4/u5c=",0)</f>
        <v>0</v>
      </c>
      <c r="EW86" t="e">
        <f>AND('STERLING CATALOG - DRY '!A1823,"AAAAAH4/u5g=")</f>
        <v>#VALUE!</v>
      </c>
      <c r="EX86" t="e">
        <f>AND('STERLING CATALOG - DRY '!B1823,"AAAAAH4/u5k=")</f>
        <v>#VALUE!</v>
      </c>
      <c r="EY86" t="e">
        <f>AND('STERLING CATALOG - DRY '!C1823,"AAAAAH4/u5o=")</f>
        <v>#VALUE!</v>
      </c>
      <c r="EZ86" t="e">
        <f>AND('STERLING CATALOG - DRY '!D1823,"AAAAAH4/u5s=")</f>
        <v>#VALUE!</v>
      </c>
      <c r="FA86" t="e">
        <f>AND('STERLING CATALOG - DRY '!E1823,"AAAAAH4/u5w=")</f>
        <v>#VALUE!</v>
      </c>
      <c r="FB86" t="e">
        <f>AND('STERLING CATALOG - DRY '!F1823,"AAAAAH4/u50=")</f>
        <v>#VALUE!</v>
      </c>
      <c r="FC86" t="e">
        <f>AND('STERLING CATALOG - DRY '!G1823,"AAAAAH4/u54=")</f>
        <v>#VALUE!</v>
      </c>
      <c r="FD86" t="e">
        <f>AND('STERLING CATALOG - DRY '!H1823,"AAAAAH4/u58=")</f>
        <v>#VALUE!</v>
      </c>
      <c r="FE86" t="e">
        <f>AND('STERLING CATALOG - DRY '!I1823,"AAAAAH4/u6A=")</f>
        <v>#VALUE!</v>
      </c>
      <c r="FF86" t="e">
        <f>AND('STERLING CATALOG - DRY '!J1823,"AAAAAH4/u6E=")</f>
        <v>#VALUE!</v>
      </c>
      <c r="FG86">
        <f>IF('STERLING CATALOG - DRY '!1824:1824,"AAAAAH4/u6I=",0)</f>
        <v>0</v>
      </c>
      <c r="FH86" t="e">
        <f>AND('STERLING CATALOG - DRY '!A1824,"AAAAAH4/u6M=")</f>
        <v>#VALUE!</v>
      </c>
      <c r="FI86" t="e">
        <f>AND('STERLING CATALOG - DRY '!B1824,"AAAAAH4/u6Q=")</f>
        <v>#VALUE!</v>
      </c>
      <c r="FJ86" t="e">
        <f>AND('STERLING CATALOG - DRY '!C1824,"AAAAAH4/u6U=")</f>
        <v>#VALUE!</v>
      </c>
      <c r="FK86" t="e">
        <f>AND('STERLING CATALOG - DRY '!D1824,"AAAAAH4/u6Y=")</f>
        <v>#VALUE!</v>
      </c>
      <c r="FL86" t="e">
        <f>AND('STERLING CATALOG - DRY '!E1824,"AAAAAH4/u6c=")</f>
        <v>#VALUE!</v>
      </c>
      <c r="FM86" t="e">
        <f>AND('STERLING CATALOG - DRY '!F1824,"AAAAAH4/u6g=")</f>
        <v>#VALUE!</v>
      </c>
      <c r="FN86" t="e">
        <f>AND('STERLING CATALOG - DRY '!G1824,"AAAAAH4/u6k=")</f>
        <v>#VALUE!</v>
      </c>
      <c r="FO86" t="e">
        <f>AND('STERLING CATALOG - DRY '!H1824,"AAAAAH4/u6o=")</f>
        <v>#VALUE!</v>
      </c>
      <c r="FP86" t="e">
        <f>AND('STERLING CATALOG - DRY '!I1824,"AAAAAH4/u6s=")</f>
        <v>#VALUE!</v>
      </c>
      <c r="FQ86" t="e">
        <f>AND('STERLING CATALOG - DRY '!J1824,"AAAAAH4/u6w=")</f>
        <v>#VALUE!</v>
      </c>
      <c r="FR86">
        <f>IF('STERLING CATALOG - DRY '!1825:1825,"AAAAAH4/u60=",0)</f>
        <v>0</v>
      </c>
      <c r="FS86" t="e">
        <f>AND('STERLING CATALOG - DRY '!A1825,"AAAAAH4/u64=")</f>
        <v>#VALUE!</v>
      </c>
      <c r="FT86" t="e">
        <f>AND('STERLING CATALOG - DRY '!B1825,"AAAAAH4/u68=")</f>
        <v>#VALUE!</v>
      </c>
      <c r="FU86" t="e">
        <f>AND('STERLING CATALOG - DRY '!C1825,"AAAAAH4/u7A=")</f>
        <v>#VALUE!</v>
      </c>
      <c r="FV86" t="e">
        <f>AND('STERLING CATALOG - DRY '!D1825,"AAAAAH4/u7E=")</f>
        <v>#VALUE!</v>
      </c>
      <c r="FW86" t="e">
        <f>AND('STERLING CATALOG - DRY '!E1825,"AAAAAH4/u7I=")</f>
        <v>#VALUE!</v>
      </c>
      <c r="FX86" t="e">
        <f>AND('STERLING CATALOG - DRY '!F1825,"AAAAAH4/u7M=")</f>
        <v>#VALUE!</v>
      </c>
      <c r="FY86" t="e">
        <f>AND('STERLING CATALOG - DRY '!G1825,"AAAAAH4/u7Q=")</f>
        <v>#VALUE!</v>
      </c>
      <c r="FZ86" t="e">
        <f>AND('STERLING CATALOG - DRY '!H1825,"AAAAAH4/u7U=")</f>
        <v>#VALUE!</v>
      </c>
      <c r="GA86" t="e">
        <f>AND('STERLING CATALOG - DRY '!I1825,"AAAAAH4/u7Y=")</f>
        <v>#VALUE!</v>
      </c>
      <c r="GB86" t="e">
        <f>AND('STERLING CATALOG - DRY '!J1825,"AAAAAH4/u7c=")</f>
        <v>#VALUE!</v>
      </c>
      <c r="GC86">
        <f>IF('STERLING CATALOG - DRY '!1826:1826,"AAAAAH4/u7g=",0)</f>
        <v>0</v>
      </c>
      <c r="GD86" t="e">
        <f>AND('STERLING CATALOG - DRY '!A1826,"AAAAAH4/u7k=")</f>
        <v>#VALUE!</v>
      </c>
      <c r="GE86" t="e">
        <f>AND('STERLING CATALOG - DRY '!B1826,"AAAAAH4/u7o=")</f>
        <v>#VALUE!</v>
      </c>
      <c r="GF86" t="e">
        <f>AND('STERLING CATALOG - DRY '!C1826,"AAAAAH4/u7s=")</f>
        <v>#VALUE!</v>
      </c>
      <c r="GG86" t="e">
        <f>AND('STERLING CATALOG - DRY '!D1826,"AAAAAH4/u7w=")</f>
        <v>#VALUE!</v>
      </c>
      <c r="GH86" t="e">
        <f>AND('STERLING CATALOG - DRY '!E1826,"AAAAAH4/u70=")</f>
        <v>#VALUE!</v>
      </c>
      <c r="GI86" t="e">
        <f>AND('STERLING CATALOG - DRY '!F1826,"AAAAAH4/u74=")</f>
        <v>#VALUE!</v>
      </c>
      <c r="GJ86" t="e">
        <f>AND('STERLING CATALOG - DRY '!G1826,"AAAAAH4/u78=")</f>
        <v>#VALUE!</v>
      </c>
      <c r="GK86" t="e">
        <f>AND('STERLING CATALOG - DRY '!H1826,"AAAAAH4/u8A=")</f>
        <v>#VALUE!</v>
      </c>
      <c r="GL86" t="e">
        <f>AND('STERLING CATALOG - DRY '!I1826,"AAAAAH4/u8E=")</f>
        <v>#VALUE!</v>
      </c>
      <c r="GM86" t="e">
        <f>AND('STERLING CATALOG - DRY '!J1826,"AAAAAH4/u8I=")</f>
        <v>#VALUE!</v>
      </c>
      <c r="GN86">
        <f>IF('STERLING CATALOG - DRY '!1827:1827,"AAAAAH4/u8M=",0)</f>
        <v>0</v>
      </c>
      <c r="GO86" t="e">
        <f>AND('STERLING CATALOG - DRY '!A1827,"AAAAAH4/u8Q=")</f>
        <v>#VALUE!</v>
      </c>
      <c r="GP86" t="e">
        <f>AND('STERLING CATALOG - DRY '!B1827,"AAAAAH4/u8U=")</f>
        <v>#VALUE!</v>
      </c>
      <c r="GQ86" t="e">
        <f>AND('STERLING CATALOG - DRY '!C1827,"AAAAAH4/u8Y=")</f>
        <v>#VALUE!</v>
      </c>
      <c r="GR86" t="e">
        <f>AND('STERLING CATALOG - DRY '!D1827,"AAAAAH4/u8c=")</f>
        <v>#VALUE!</v>
      </c>
      <c r="GS86" t="e">
        <f>AND('STERLING CATALOG - DRY '!E1827,"AAAAAH4/u8g=")</f>
        <v>#VALUE!</v>
      </c>
      <c r="GT86" t="e">
        <f>AND('STERLING CATALOG - DRY '!F1827,"AAAAAH4/u8k=")</f>
        <v>#VALUE!</v>
      </c>
      <c r="GU86" t="e">
        <f>AND('STERLING CATALOG - DRY '!G1827,"AAAAAH4/u8o=")</f>
        <v>#VALUE!</v>
      </c>
      <c r="GV86" t="e">
        <f>AND('STERLING CATALOG - DRY '!H1827,"AAAAAH4/u8s=")</f>
        <v>#VALUE!</v>
      </c>
      <c r="GW86" t="e">
        <f>AND('STERLING CATALOG - DRY '!I1827,"AAAAAH4/u8w=")</f>
        <v>#VALUE!</v>
      </c>
      <c r="GX86" t="e">
        <f>AND('STERLING CATALOG - DRY '!J1827,"AAAAAH4/u80=")</f>
        <v>#VALUE!</v>
      </c>
      <c r="GY86">
        <f>IF('STERLING CATALOG - DRY '!1828:1828,"AAAAAH4/u84=",0)</f>
        <v>0</v>
      </c>
      <c r="GZ86" t="e">
        <f>AND('STERLING CATALOG - DRY '!A1828,"AAAAAH4/u88=")</f>
        <v>#VALUE!</v>
      </c>
      <c r="HA86" t="e">
        <f>AND('STERLING CATALOG - DRY '!B1828,"AAAAAH4/u9A=")</f>
        <v>#VALUE!</v>
      </c>
      <c r="HB86" t="e">
        <f>AND('STERLING CATALOG - DRY '!C1828,"AAAAAH4/u9E=")</f>
        <v>#VALUE!</v>
      </c>
      <c r="HC86" t="e">
        <f>AND('STERLING CATALOG - DRY '!D1828,"AAAAAH4/u9I=")</f>
        <v>#VALUE!</v>
      </c>
      <c r="HD86" t="e">
        <f>AND('STERLING CATALOG - DRY '!E1828,"AAAAAH4/u9M=")</f>
        <v>#VALUE!</v>
      </c>
      <c r="HE86" t="e">
        <f>AND('STERLING CATALOG - DRY '!F1828,"AAAAAH4/u9Q=")</f>
        <v>#VALUE!</v>
      </c>
      <c r="HF86" t="e">
        <f>AND('STERLING CATALOG - DRY '!G1828,"AAAAAH4/u9U=")</f>
        <v>#VALUE!</v>
      </c>
      <c r="HG86" t="e">
        <f>AND('STERLING CATALOG - DRY '!H1828,"AAAAAH4/u9Y=")</f>
        <v>#VALUE!</v>
      </c>
      <c r="HH86" t="e">
        <f>AND('STERLING CATALOG - DRY '!I1828,"AAAAAH4/u9c=")</f>
        <v>#VALUE!</v>
      </c>
      <c r="HI86" t="e">
        <f>AND('STERLING CATALOG - DRY '!J1828,"AAAAAH4/u9g=")</f>
        <v>#VALUE!</v>
      </c>
      <c r="HJ86">
        <f>IF('STERLING CATALOG - DRY '!1829:1829,"AAAAAH4/u9k=",0)</f>
        <v>0</v>
      </c>
      <c r="HK86" t="e">
        <f>AND('STERLING CATALOG - DRY '!A1829,"AAAAAH4/u9o=")</f>
        <v>#VALUE!</v>
      </c>
      <c r="HL86" t="e">
        <f>AND('STERLING CATALOG - DRY '!B1829,"AAAAAH4/u9s=")</f>
        <v>#VALUE!</v>
      </c>
      <c r="HM86" t="e">
        <f>AND('STERLING CATALOG - DRY '!C1829,"AAAAAH4/u9w=")</f>
        <v>#VALUE!</v>
      </c>
      <c r="HN86" t="e">
        <f>AND('STERLING CATALOG - DRY '!D1829,"AAAAAH4/u90=")</f>
        <v>#VALUE!</v>
      </c>
      <c r="HO86" t="e">
        <f>AND('STERLING CATALOG - DRY '!E1829,"AAAAAH4/u94=")</f>
        <v>#VALUE!</v>
      </c>
      <c r="HP86" t="e">
        <f>AND('STERLING CATALOG - DRY '!F1829,"AAAAAH4/u98=")</f>
        <v>#VALUE!</v>
      </c>
      <c r="HQ86" t="e">
        <f>AND('STERLING CATALOG - DRY '!G1829,"AAAAAH4/u+A=")</f>
        <v>#VALUE!</v>
      </c>
      <c r="HR86" t="e">
        <f>AND('STERLING CATALOG - DRY '!H1829,"AAAAAH4/u+E=")</f>
        <v>#VALUE!</v>
      </c>
      <c r="HS86" t="e">
        <f>AND('STERLING CATALOG - DRY '!I1829,"AAAAAH4/u+I=")</f>
        <v>#VALUE!</v>
      </c>
      <c r="HT86" t="e">
        <f>AND('STERLING CATALOG - DRY '!J1829,"AAAAAH4/u+M=")</f>
        <v>#VALUE!</v>
      </c>
      <c r="HU86">
        <f>IF('STERLING CATALOG - DRY '!1830:1830,"AAAAAH4/u+Q=",0)</f>
        <v>0</v>
      </c>
      <c r="HV86" t="e">
        <f>AND('STERLING CATALOG - DRY '!A1830,"AAAAAH4/u+U=")</f>
        <v>#VALUE!</v>
      </c>
      <c r="HW86" t="e">
        <f>AND('STERLING CATALOG - DRY '!B1830,"AAAAAH4/u+Y=")</f>
        <v>#VALUE!</v>
      </c>
      <c r="HX86" t="e">
        <f>AND('STERLING CATALOG - DRY '!C1830,"AAAAAH4/u+c=")</f>
        <v>#VALUE!</v>
      </c>
      <c r="HY86" t="e">
        <f>AND('STERLING CATALOG - DRY '!D1830,"AAAAAH4/u+g=")</f>
        <v>#VALUE!</v>
      </c>
      <c r="HZ86" t="e">
        <f>AND('STERLING CATALOG - DRY '!E1830,"AAAAAH4/u+k=")</f>
        <v>#VALUE!</v>
      </c>
      <c r="IA86" t="e">
        <f>AND('STERLING CATALOG - DRY '!F1830,"AAAAAH4/u+o=")</f>
        <v>#VALUE!</v>
      </c>
      <c r="IB86" t="e">
        <f>AND('STERLING CATALOG - DRY '!G1830,"AAAAAH4/u+s=")</f>
        <v>#VALUE!</v>
      </c>
      <c r="IC86" t="e">
        <f>AND('STERLING CATALOG - DRY '!H1830,"AAAAAH4/u+w=")</f>
        <v>#VALUE!</v>
      </c>
      <c r="ID86" t="e">
        <f>AND('STERLING CATALOG - DRY '!I1830,"AAAAAH4/u+0=")</f>
        <v>#VALUE!</v>
      </c>
      <c r="IE86" t="e">
        <f>AND('STERLING CATALOG - DRY '!J1830,"AAAAAH4/u+4=")</f>
        <v>#VALUE!</v>
      </c>
      <c r="IF86">
        <f>IF('STERLING CATALOG - DRY '!1831:1831,"AAAAAH4/u+8=",0)</f>
        <v>0</v>
      </c>
      <c r="IG86" t="e">
        <f>AND('STERLING CATALOG - DRY '!A1831,"AAAAAH4/u/A=")</f>
        <v>#VALUE!</v>
      </c>
      <c r="IH86" t="e">
        <f>AND('STERLING CATALOG - DRY '!B1831,"AAAAAH4/u/E=")</f>
        <v>#VALUE!</v>
      </c>
      <c r="II86" t="e">
        <f>AND('STERLING CATALOG - DRY '!C1831,"AAAAAH4/u/I=")</f>
        <v>#VALUE!</v>
      </c>
      <c r="IJ86" t="e">
        <f>AND('STERLING CATALOG - DRY '!D1831,"AAAAAH4/u/M=")</f>
        <v>#VALUE!</v>
      </c>
      <c r="IK86" t="e">
        <f>AND('STERLING CATALOG - DRY '!E1831,"AAAAAH4/u/Q=")</f>
        <v>#VALUE!</v>
      </c>
      <c r="IL86" t="e">
        <f>AND('STERLING CATALOG - DRY '!F1831,"AAAAAH4/u/U=")</f>
        <v>#VALUE!</v>
      </c>
      <c r="IM86" t="e">
        <f>AND('STERLING CATALOG - DRY '!G1831,"AAAAAH4/u/Y=")</f>
        <v>#VALUE!</v>
      </c>
      <c r="IN86" t="e">
        <f>AND('STERLING CATALOG - DRY '!H1831,"AAAAAH4/u/c=")</f>
        <v>#VALUE!</v>
      </c>
      <c r="IO86" t="e">
        <f>AND('STERLING CATALOG - DRY '!I1831,"AAAAAH4/u/g=")</f>
        <v>#VALUE!</v>
      </c>
      <c r="IP86" t="e">
        <f>AND('STERLING CATALOG - DRY '!J1831,"AAAAAH4/u/k=")</f>
        <v>#VALUE!</v>
      </c>
      <c r="IQ86">
        <f>IF('STERLING CATALOG - DRY '!1832:1832,"AAAAAH4/u/o=",0)</f>
        <v>0</v>
      </c>
      <c r="IR86" t="e">
        <f>AND('STERLING CATALOG - DRY '!A1832,"AAAAAH4/u/s=")</f>
        <v>#VALUE!</v>
      </c>
      <c r="IS86" t="e">
        <f>AND('STERLING CATALOG - DRY '!B1832,"AAAAAH4/u/w=")</f>
        <v>#VALUE!</v>
      </c>
      <c r="IT86" t="e">
        <f>AND('STERLING CATALOG - DRY '!C1832,"AAAAAH4/u/0=")</f>
        <v>#VALUE!</v>
      </c>
      <c r="IU86" t="e">
        <f>AND('STERLING CATALOG - DRY '!D1832,"AAAAAH4/u/4=")</f>
        <v>#VALUE!</v>
      </c>
      <c r="IV86" t="e">
        <f>AND('STERLING CATALOG - DRY '!E1832,"AAAAAH4/u/8=")</f>
        <v>#VALUE!</v>
      </c>
    </row>
    <row r="87" spans="1:256">
      <c r="A87" t="e">
        <f>AND('STERLING CATALOG - DRY '!F1832,"AAAAAH//dwA=")</f>
        <v>#VALUE!</v>
      </c>
      <c r="B87" t="e">
        <f>AND('STERLING CATALOG - DRY '!G1832,"AAAAAH//dwE=")</f>
        <v>#VALUE!</v>
      </c>
      <c r="C87" t="e">
        <f>AND('STERLING CATALOG - DRY '!H1832,"AAAAAH//dwI=")</f>
        <v>#VALUE!</v>
      </c>
      <c r="D87" t="e">
        <f>AND('STERLING CATALOG - DRY '!I1832,"AAAAAH//dwM=")</f>
        <v>#VALUE!</v>
      </c>
      <c r="E87" t="e">
        <f>AND('STERLING CATALOG - DRY '!J1832,"AAAAAH//dwQ=")</f>
        <v>#VALUE!</v>
      </c>
      <c r="F87" t="e">
        <f>IF('STERLING CATALOG - DRY '!1833:1833,"AAAAAH//dwU=",0)</f>
        <v>#VALUE!</v>
      </c>
      <c r="G87" t="e">
        <f>AND('STERLING CATALOG - DRY '!A1833,"AAAAAH//dwY=")</f>
        <v>#VALUE!</v>
      </c>
      <c r="H87" t="e">
        <f>AND('STERLING CATALOG - DRY '!B1833,"AAAAAH//dwc=")</f>
        <v>#VALUE!</v>
      </c>
      <c r="I87" t="e">
        <f>AND('STERLING CATALOG - DRY '!C1833,"AAAAAH//dwg=")</f>
        <v>#VALUE!</v>
      </c>
      <c r="J87" t="e">
        <f>AND('STERLING CATALOG - DRY '!D1833,"AAAAAH//dwk=")</f>
        <v>#VALUE!</v>
      </c>
      <c r="K87" t="e">
        <f>AND('STERLING CATALOG - DRY '!E1833,"AAAAAH//dwo=")</f>
        <v>#VALUE!</v>
      </c>
      <c r="L87" t="e">
        <f>AND('STERLING CATALOG - DRY '!F1833,"AAAAAH//dws=")</f>
        <v>#VALUE!</v>
      </c>
      <c r="M87" t="e">
        <f>AND('STERLING CATALOG - DRY '!G1833,"AAAAAH//dww=")</f>
        <v>#VALUE!</v>
      </c>
      <c r="N87" t="e">
        <f>AND('STERLING CATALOG - DRY '!H1833,"AAAAAH//dw0=")</f>
        <v>#VALUE!</v>
      </c>
      <c r="O87" t="e">
        <f>AND('STERLING CATALOG - DRY '!I1833,"AAAAAH//dw4=")</f>
        <v>#VALUE!</v>
      </c>
      <c r="P87" t="e">
        <f>AND('STERLING CATALOG - DRY '!J1833,"AAAAAH//dw8=")</f>
        <v>#VALUE!</v>
      </c>
      <c r="Q87">
        <f>IF('STERLING CATALOG - DRY '!1834:1834,"AAAAAH//dxA=",0)</f>
        <v>0</v>
      </c>
      <c r="R87" t="e">
        <f>AND('STERLING CATALOG - DRY '!A1834,"AAAAAH//dxE=")</f>
        <v>#VALUE!</v>
      </c>
      <c r="S87" t="e">
        <f>AND('STERLING CATALOG - DRY '!B1834,"AAAAAH//dxI=")</f>
        <v>#VALUE!</v>
      </c>
      <c r="T87" t="e">
        <f>AND('STERLING CATALOG - DRY '!C1834,"AAAAAH//dxM=")</f>
        <v>#VALUE!</v>
      </c>
      <c r="U87" t="e">
        <f>AND('STERLING CATALOG - DRY '!D1834,"AAAAAH//dxQ=")</f>
        <v>#VALUE!</v>
      </c>
      <c r="V87" t="e">
        <f>AND('STERLING CATALOG - DRY '!E1834,"AAAAAH//dxU=")</f>
        <v>#VALUE!</v>
      </c>
      <c r="W87" t="e">
        <f>AND('STERLING CATALOG - DRY '!F1834,"AAAAAH//dxY=")</f>
        <v>#VALUE!</v>
      </c>
      <c r="X87" t="e">
        <f>AND('STERLING CATALOG - DRY '!G1834,"AAAAAH//dxc=")</f>
        <v>#VALUE!</v>
      </c>
      <c r="Y87" t="e">
        <f>AND('STERLING CATALOG - DRY '!H1834,"AAAAAH//dxg=")</f>
        <v>#VALUE!</v>
      </c>
      <c r="Z87" t="e">
        <f>AND('STERLING CATALOG - DRY '!I1834,"AAAAAH//dxk=")</f>
        <v>#VALUE!</v>
      </c>
      <c r="AA87" t="e">
        <f>AND('STERLING CATALOG - DRY '!J1834,"AAAAAH//dxo=")</f>
        <v>#VALUE!</v>
      </c>
      <c r="AB87">
        <f>IF('STERLING CATALOG - DRY '!1835:1835,"AAAAAH//dxs=",0)</f>
        <v>0</v>
      </c>
      <c r="AC87" t="e">
        <f>AND('STERLING CATALOG - DRY '!A1835,"AAAAAH//dxw=")</f>
        <v>#VALUE!</v>
      </c>
      <c r="AD87" t="e">
        <f>AND('STERLING CATALOG - DRY '!B1835,"AAAAAH//dx0=")</f>
        <v>#VALUE!</v>
      </c>
      <c r="AE87" t="e">
        <f>AND('STERLING CATALOG - DRY '!C1835,"AAAAAH//dx4=")</f>
        <v>#VALUE!</v>
      </c>
      <c r="AF87" t="e">
        <f>AND('STERLING CATALOG - DRY '!D1835,"AAAAAH//dx8=")</f>
        <v>#VALUE!</v>
      </c>
      <c r="AG87" t="e">
        <f>AND('STERLING CATALOG - DRY '!E1835,"AAAAAH//dyA=")</f>
        <v>#VALUE!</v>
      </c>
      <c r="AH87" t="e">
        <f>AND('STERLING CATALOG - DRY '!F1835,"AAAAAH//dyE=")</f>
        <v>#VALUE!</v>
      </c>
      <c r="AI87" t="e">
        <f>AND('STERLING CATALOG - DRY '!G1835,"AAAAAH//dyI=")</f>
        <v>#VALUE!</v>
      </c>
      <c r="AJ87" t="e">
        <f>AND('STERLING CATALOG - DRY '!H1835,"AAAAAH//dyM=")</f>
        <v>#VALUE!</v>
      </c>
      <c r="AK87" t="e">
        <f>AND('STERLING CATALOG - DRY '!I1835,"AAAAAH//dyQ=")</f>
        <v>#VALUE!</v>
      </c>
      <c r="AL87" t="e">
        <f>AND('STERLING CATALOG - DRY '!J1835,"AAAAAH//dyU=")</f>
        <v>#VALUE!</v>
      </c>
      <c r="AM87">
        <f>IF('STERLING CATALOG - DRY '!1836:1836,"AAAAAH//dyY=",0)</f>
        <v>0</v>
      </c>
      <c r="AN87" t="e">
        <f>AND('STERLING CATALOG - DRY '!A1836,"AAAAAH//dyc=")</f>
        <v>#VALUE!</v>
      </c>
      <c r="AO87" t="e">
        <f>AND('STERLING CATALOG - DRY '!B1836,"AAAAAH//dyg=")</f>
        <v>#VALUE!</v>
      </c>
      <c r="AP87" t="e">
        <f>AND('STERLING CATALOG - DRY '!C1836,"AAAAAH//dyk=")</f>
        <v>#VALUE!</v>
      </c>
      <c r="AQ87" t="e">
        <f>AND('STERLING CATALOG - DRY '!D1836,"AAAAAH//dyo=")</f>
        <v>#VALUE!</v>
      </c>
      <c r="AR87" t="e">
        <f>AND('STERLING CATALOG - DRY '!E1836,"AAAAAH//dys=")</f>
        <v>#VALUE!</v>
      </c>
      <c r="AS87" t="e">
        <f>AND('STERLING CATALOG - DRY '!F1836,"AAAAAH//dyw=")</f>
        <v>#VALUE!</v>
      </c>
      <c r="AT87" t="e">
        <f>AND('STERLING CATALOG - DRY '!G1836,"AAAAAH//dy0=")</f>
        <v>#VALUE!</v>
      </c>
      <c r="AU87" t="e">
        <f>AND('STERLING CATALOG - DRY '!H1836,"AAAAAH//dy4=")</f>
        <v>#VALUE!</v>
      </c>
      <c r="AV87" t="e">
        <f>AND('STERLING CATALOG - DRY '!I1836,"AAAAAH//dy8=")</f>
        <v>#VALUE!</v>
      </c>
      <c r="AW87" t="e">
        <f>AND('STERLING CATALOG - DRY '!J1836,"AAAAAH//dzA=")</f>
        <v>#VALUE!</v>
      </c>
      <c r="AX87">
        <f>IF('STERLING CATALOG - DRY '!1837:1837,"AAAAAH//dzE=",0)</f>
        <v>0</v>
      </c>
      <c r="AY87" t="e">
        <f>AND('STERLING CATALOG - DRY '!A1837,"AAAAAH//dzI=")</f>
        <v>#VALUE!</v>
      </c>
      <c r="AZ87" t="e">
        <f>AND('STERLING CATALOG - DRY '!B1837,"AAAAAH//dzM=")</f>
        <v>#VALUE!</v>
      </c>
      <c r="BA87" t="e">
        <f>AND('STERLING CATALOG - DRY '!C1837,"AAAAAH//dzQ=")</f>
        <v>#VALUE!</v>
      </c>
      <c r="BB87" t="e">
        <f>AND('STERLING CATALOG - DRY '!D1837,"AAAAAH//dzU=")</f>
        <v>#VALUE!</v>
      </c>
      <c r="BC87" t="e">
        <f>AND('STERLING CATALOG - DRY '!E1837,"AAAAAH//dzY=")</f>
        <v>#VALUE!</v>
      </c>
      <c r="BD87" t="e">
        <f>AND('STERLING CATALOG - DRY '!F1837,"AAAAAH//dzc=")</f>
        <v>#VALUE!</v>
      </c>
      <c r="BE87" t="e">
        <f>AND('STERLING CATALOG - DRY '!G1837,"AAAAAH//dzg=")</f>
        <v>#VALUE!</v>
      </c>
      <c r="BF87" t="e">
        <f>AND('STERLING CATALOG - DRY '!H1837,"AAAAAH//dzk=")</f>
        <v>#VALUE!</v>
      </c>
      <c r="BG87" t="e">
        <f>AND('STERLING CATALOG - DRY '!I1837,"AAAAAH//dzo=")</f>
        <v>#VALUE!</v>
      </c>
      <c r="BH87" t="e">
        <f>AND('STERLING CATALOG - DRY '!J1837,"AAAAAH//dzs=")</f>
        <v>#VALUE!</v>
      </c>
      <c r="BI87">
        <f>IF('STERLING CATALOG - DRY '!1838:1838,"AAAAAH//dzw=",0)</f>
        <v>0</v>
      </c>
      <c r="BJ87" t="e">
        <f>AND('STERLING CATALOG - DRY '!A1838,"AAAAAH//dz0=")</f>
        <v>#VALUE!</v>
      </c>
      <c r="BK87" t="e">
        <f>AND('STERLING CATALOG - DRY '!B1838,"AAAAAH//dz4=")</f>
        <v>#VALUE!</v>
      </c>
      <c r="BL87" t="e">
        <f>AND('STERLING CATALOG - DRY '!C1838,"AAAAAH//dz8=")</f>
        <v>#VALUE!</v>
      </c>
      <c r="BM87" t="e">
        <f>AND('STERLING CATALOG - DRY '!D1838,"AAAAAH//d0A=")</f>
        <v>#VALUE!</v>
      </c>
      <c r="BN87" t="e">
        <f>AND('STERLING CATALOG - DRY '!E1838,"AAAAAH//d0E=")</f>
        <v>#VALUE!</v>
      </c>
      <c r="BO87" t="e">
        <f>AND('STERLING CATALOG - DRY '!F1838,"AAAAAH//d0I=")</f>
        <v>#VALUE!</v>
      </c>
      <c r="BP87" t="e">
        <f>AND('STERLING CATALOG - DRY '!G1838,"AAAAAH//d0M=")</f>
        <v>#VALUE!</v>
      </c>
      <c r="BQ87" t="e">
        <f>AND('STERLING CATALOG - DRY '!H1838,"AAAAAH//d0Q=")</f>
        <v>#VALUE!</v>
      </c>
      <c r="BR87" t="e">
        <f>AND('STERLING CATALOG - DRY '!I1838,"AAAAAH//d0U=")</f>
        <v>#VALUE!</v>
      </c>
      <c r="BS87" t="e">
        <f>AND('STERLING CATALOG - DRY '!J1838,"AAAAAH//d0Y=")</f>
        <v>#VALUE!</v>
      </c>
      <c r="BT87">
        <f>IF('STERLING CATALOG - DRY '!1839:1839,"AAAAAH//d0c=",0)</f>
        <v>0</v>
      </c>
      <c r="BU87" t="e">
        <f>AND('STERLING CATALOG - DRY '!A1839,"AAAAAH//d0g=")</f>
        <v>#VALUE!</v>
      </c>
      <c r="BV87" t="e">
        <f>AND('STERLING CATALOG - DRY '!B1839,"AAAAAH//d0k=")</f>
        <v>#VALUE!</v>
      </c>
      <c r="BW87" t="e">
        <f>AND('STERLING CATALOG - DRY '!C1839,"AAAAAH//d0o=")</f>
        <v>#VALUE!</v>
      </c>
      <c r="BX87" t="e">
        <f>AND('STERLING CATALOG - DRY '!D1839,"AAAAAH//d0s=")</f>
        <v>#VALUE!</v>
      </c>
      <c r="BY87" t="e">
        <f>AND('STERLING CATALOG - DRY '!E1839,"AAAAAH//d0w=")</f>
        <v>#VALUE!</v>
      </c>
      <c r="BZ87" t="e">
        <f>AND('STERLING CATALOG - DRY '!F1839,"AAAAAH//d00=")</f>
        <v>#VALUE!</v>
      </c>
      <c r="CA87" t="e">
        <f>AND('STERLING CATALOG - DRY '!G1839,"AAAAAH//d04=")</f>
        <v>#VALUE!</v>
      </c>
      <c r="CB87" t="e">
        <f>AND('STERLING CATALOG - DRY '!H1839,"AAAAAH//d08=")</f>
        <v>#VALUE!</v>
      </c>
      <c r="CC87" t="e">
        <f>AND('STERLING CATALOG - DRY '!I1839,"AAAAAH//d1A=")</f>
        <v>#VALUE!</v>
      </c>
      <c r="CD87" t="e">
        <f>AND('STERLING CATALOG - DRY '!J1839,"AAAAAH//d1E=")</f>
        <v>#VALUE!</v>
      </c>
      <c r="CE87">
        <f>IF('STERLING CATALOG - DRY '!1840:1840,"AAAAAH//d1I=",0)</f>
        <v>0</v>
      </c>
      <c r="CF87" t="e">
        <f>AND('STERLING CATALOG - DRY '!A1840,"AAAAAH//d1M=")</f>
        <v>#VALUE!</v>
      </c>
      <c r="CG87" t="e">
        <f>AND('STERLING CATALOG - DRY '!B1840,"AAAAAH//d1Q=")</f>
        <v>#VALUE!</v>
      </c>
      <c r="CH87" t="e">
        <f>AND('STERLING CATALOG - DRY '!C1840,"AAAAAH//d1U=")</f>
        <v>#VALUE!</v>
      </c>
      <c r="CI87" t="e">
        <f>AND('STERLING CATALOG - DRY '!D1840,"AAAAAH//d1Y=")</f>
        <v>#VALUE!</v>
      </c>
      <c r="CJ87" t="e">
        <f>AND('STERLING CATALOG - DRY '!E1840,"AAAAAH//d1c=")</f>
        <v>#VALUE!</v>
      </c>
      <c r="CK87" t="e">
        <f>AND('STERLING CATALOG - DRY '!F1840,"AAAAAH//d1g=")</f>
        <v>#VALUE!</v>
      </c>
      <c r="CL87" t="e">
        <f>AND('STERLING CATALOG - DRY '!G1840,"AAAAAH//d1k=")</f>
        <v>#VALUE!</v>
      </c>
      <c r="CM87" t="e">
        <f>AND('STERLING CATALOG - DRY '!H1840,"AAAAAH//d1o=")</f>
        <v>#VALUE!</v>
      </c>
      <c r="CN87" t="e">
        <f>AND('STERLING CATALOG - DRY '!I1840,"AAAAAH//d1s=")</f>
        <v>#VALUE!</v>
      </c>
      <c r="CO87" t="e">
        <f>AND('STERLING CATALOG - DRY '!J1840,"AAAAAH//d1w=")</f>
        <v>#VALUE!</v>
      </c>
      <c r="CP87">
        <f>IF('STERLING CATALOG - DRY '!1841:1841,"AAAAAH//d10=",0)</f>
        <v>0</v>
      </c>
      <c r="CQ87" t="e">
        <f>AND('STERLING CATALOG - DRY '!A1841,"AAAAAH//d14=")</f>
        <v>#VALUE!</v>
      </c>
      <c r="CR87" t="e">
        <f>AND('STERLING CATALOG - DRY '!B1841,"AAAAAH//d18=")</f>
        <v>#VALUE!</v>
      </c>
      <c r="CS87" t="e">
        <f>AND('STERLING CATALOG - DRY '!C1841,"AAAAAH//d2A=")</f>
        <v>#VALUE!</v>
      </c>
      <c r="CT87" t="e">
        <f>AND('STERLING CATALOG - DRY '!D1841,"AAAAAH//d2E=")</f>
        <v>#VALUE!</v>
      </c>
      <c r="CU87" t="e">
        <f>AND('STERLING CATALOG - DRY '!E1841,"AAAAAH//d2I=")</f>
        <v>#VALUE!</v>
      </c>
      <c r="CV87" t="e">
        <f>AND('STERLING CATALOG - DRY '!F1841,"AAAAAH//d2M=")</f>
        <v>#VALUE!</v>
      </c>
      <c r="CW87" t="e">
        <f>AND('STERLING CATALOG - DRY '!G1841,"AAAAAH//d2Q=")</f>
        <v>#VALUE!</v>
      </c>
      <c r="CX87" t="e">
        <f>AND('STERLING CATALOG - DRY '!H1841,"AAAAAH//d2U=")</f>
        <v>#VALUE!</v>
      </c>
      <c r="CY87" t="e">
        <f>AND('STERLING CATALOG - DRY '!I1841,"AAAAAH//d2Y=")</f>
        <v>#VALUE!</v>
      </c>
      <c r="CZ87" t="e">
        <f>AND('STERLING CATALOG - DRY '!J1841,"AAAAAH//d2c=")</f>
        <v>#VALUE!</v>
      </c>
      <c r="DA87">
        <f>IF('STERLING CATALOG - DRY '!1842:1842,"AAAAAH//d2g=",0)</f>
        <v>0</v>
      </c>
      <c r="DB87" t="e">
        <f>AND('STERLING CATALOG - DRY '!A1842,"AAAAAH//d2k=")</f>
        <v>#VALUE!</v>
      </c>
      <c r="DC87" t="e">
        <f>AND('STERLING CATALOG - DRY '!B1842,"AAAAAH//d2o=")</f>
        <v>#VALUE!</v>
      </c>
      <c r="DD87" t="e">
        <f>AND('STERLING CATALOG - DRY '!C1842,"AAAAAH//d2s=")</f>
        <v>#VALUE!</v>
      </c>
      <c r="DE87" t="e">
        <f>AND('STERLING CATALOG - DRY '!D1842,"AAAAAH//d2w=")</f>
        <v>#VALUE!</v>
      </c>
      <c r="DF87" t="e">
        <f>AND('STERLING CATALOG - DRY '!E1842,"AAAAAH//d20=")</f>
        <v>#VALUE!</v>
      </c>
      <c r="DG87" t="e">
        <f>AND('STERLING CATALOG - DRY '!F1842,"AAAAAH//d24=")</f>
        <v>#VALUE!</v>
      </c>
      <c r="DH87" t="e">
        <f>AND('STERLING CATALOG - DRY '!G1842,"AAAAAH//d28=")</f>
        <v>#VALUE!</v>
      </c>
      <c r="DI87" t="e">
        <f>AND('STERLING CATALOG - DRY '!H1842,"AAAAAH//d3A=")</f>
        <v>#VALUE!</v>
      </c>
      <c r="DJ87" t="e">
        <f>AND('STERLING CATALOG - DRY '!I1842,"AAAAAH//d3E=")</f>
        <v>#VALUE!</v>
      </c>
      <c r="DK87" t="e">
        <f>AND('STERLING CATALOG - DRY '!J1842,"AAAAAH//d3I=")</f>
        <v>#VALUE!</v>
      </c>
      <c r="DL87">
        <f>IF('STERLING CATALOG - DRY '!1843:1843,"AAAAAH//d3M=",0)</f>
        <v>0</v>
      </c>
      <c r="DM87" t="e">
        <f>AND('STERLING CATALOG - DRY '!A1843,"AAAAAH//d3Q=")</f>
        <v>#VALUE!</v>
      </c>
      <c r="DN87" t="e">
        <f>AND('STERLING CATALOG - DRY '!B1843,"AAAAAH//d3U=")</f>
        <v>#VALUE!</v>
      </c>
      <c r="DO87" t="e">
        <f>AND('STERLING CATALOG - DRY '!C1843,"AAAAAH//d3Y=")</f>
        <v>#VALUE!</v>
      </c>
      <c r="DP87" t="e">
        <f>AND('STERLING CATALOG - DRY '!D1843,"AAAAAH//d3c=")</f>
        <v>#VALUE!</v>
      </c>
      <c r="DQ87" t="e">
        <f>AND('STERLING CATALOG - DRY '!E1843,"AAAAAH//d3g=")</f>
        <v>#VALUE!</v>
      </c>
      <c r="DR87" t="e">
        <f>AND('STERLING CATALOG - DRY '!F1843,"AAAAAH//d3k=")</f>
        <v>#VALUE!</v>
      </c>
      <c r="DS87" t="e">
        <f>AND('STERLING CATALOG - DRY '!G1843,"AAAAAH//d3o=")</f>
        <v>#VALUE!</v>
      </c>
      <c r="DT87" t="e">
        <f>AND('STERLING CATALOG - DRY '!H1843,"AAAAAH//d3s=")</f>
        <v>#VALUE!</v>
      </c>
      <c r="DU87" t="e">
        <f>AND('STERLING CATALOG - DRY '!I1843,"AAAAAH//d3w=")</f>
        <v>#VALUE!</v>
      </c>
      <c r="DV87" t="e">
        <f>AND('STERLING CATALOG - DRY '!J1843,"AAAAAH//d30=")</f>
        <v>#VALUE!</v>
      </c>
      <c r="DW87">
        <f>IF('STERLING CATALOG - DRY '!1844:1844,"AAAAAH//d34=",0)</f>
        <v>0</v>
      </c>
      <c r="DX87" t="e">
        <f>AND('STERLING CATALOG - DRY '!A1844,"AAAAAH//d38=")</f>
        <v>#VALUE!</v>
      </c>
      <c r="DY87" t="e">
        <f>AND('STERLING CATALOG - DRY '!B1844,"AAAAAH//d4A=")</f>
        <v>#VALUE!</v>
      </c>
      <c r="DZ87" t="e">
        <f>AND('STERLING CATALOG - DRY '!C1844,"AAAAAH//d4E=")</f>
        <v>#VALUE!</v>
      </c>
      <c r="EA87" t="e">
        <f>AND('STERLING CATALOG - DRY '!D1844,"AAAAAH//d4I=")</f>
        <v>#VALUE!</v>
      </c>
      <c r="EB87" t="e">
        <f>AND('STERLING CATALOG - DRY '!E1844,"AAAAAH//d4M=")</f>
        <v>#VALUE!</v>
      </c>
      <c r="EC87" t="e">
        <f>AND('STERLING CATALOG - DRY '!F1844,"AAAAAH//d4Q=")</f>
        <v>#VALUE!</v>
      </c>
      <c r="ED87" t="e">
        <f>AND('STERLING CATALOG - DRY '!G1844,"AAAAAH//d4U=")</f>
        <v>#VALUE!</v>
      </c>
      <c r="EE87" t="e">
        <f>AND('STERLING CATALOG - DRY '!H1844,"AAAAAH//d4Y=")</f>
        <v>#VALUE!</v>
      </c>
      <c r="EF87" t="e">
        <f>AND('STERLING CATALOG - DRY '!I1844,"AAAAAH//d4c=")</f>
        <v>#VALUE!</v>
      </c>
      <c r="EG87" t="e">
        <f>AND('STERLING CATALOG - DRY '!J1844,"AAAAAH//d4g=")</f>
        <v>#VALUE!</v>
      </c>
      <c r="EH87">
        <f>IF('STERLING CATALOG - DRY '!1845:1845,"AAAAAH//d4k=",0)</f>
        <v>0</v>
      </c>
      <c r="EI87" t="e">
        <f>AND('STERLING CATALOG - DRY '!A1845,"AAAAAH//d4o=")</f>
        <v>#VALUE!</v>
      </c>
      <c r="EJ87" t="e">
        <f>AND('STERLING CATALOG - DRY '!B1845,"AAAAAH//d4s=")</f>
        <v>#VALUE!</v>
      </c>
      <c r="EK87" t="e">
        <f>AND('STERLING CATALOG - DRY '!C1845,"AAAAAH//d4w=")</f>
        <v>#VALUE!</v>
      </c>
      <c r="EL87" t="e">
        <f>AND('STERLING CATALOG - DRY '!D1845,"AAAAAH//d40=")</f>
        <v>#VALUE!</v>
      </c>
      <c r="EM87" t="e">
        <f>AND('STERLING CATALOG - DRY '!E1845,"AAAAAH//d44=")</f>
        <v>#VALUE!</v>
      </c>
      <c r="EN87" t="e">
        <f>AND('STERLING CATALOG - DRY '!F1845,"AAAAAH//d48=")</f>
        <v>#VALUE!</v>
      </c>
      <c r="EO87" t="e">
        <f>AND('STERLING CATALOG - DRY '!G1845,"AAAAAH//d5A=")</f>
        <v>#VALUE!</v>
      </c>
      <c r="EP87" t="e">
        <f>AND('STERLING CATALOG - DRY '!H1845,"AAAAAH//d5E=")</f>
        <v>#VALUE!</v>
      </c>
      <c r="EQ87" t="e">
        <f>AND('STERLING CATALOG - DRY '!I1845,"AAAAAH//d5I=")</f>
        <v>#VALUE!</v>
      </c>
      <c r="ER87" t="e">
        <f>AND('STERLING CATALOG - DRY '!J1845,"AAAAAH//d5M=")</f>
        <v>#VALUE!</v>
      </c>
      <c r="ES87">
        <f>IF('STERLING CATALOG - DRY '!1846:1846,"AAAAAH//d5Q=",0)</f>
        <v>0</v>
      </c>
      <c r="ET87" t="e">
        <f>AND('STERLING CATALOG - DRY '!A1846,"AAAAAH//d5U=")</f>
        <v>#VALUE!</v>
      </c>
      <c r="EU87" t="e">
        <f>AND('STERLING CATALOG - DRY '!B1846,"AAAAAH//d5Y=")</f>
        <v>#VALUE!</v>
      </c>
      <c r="EV87" t="e">
        <f>AND('STERLING CATALOG - DRY '!C1846,"AAAAAH//d5c=")</f>
        <v>#VALUE!</v>
      </c>
      <c r="EW87" t="e">
        <f>AND('STERLING CATALOG - DRY '!D1846,"AAAAAH//d5g=")</f>
        <v>#VALUE!</v>
      </c>
      <c r="EX87" t="e">
        <f>AND('STERLING CATALOG - DRY '!E1846,"AAAAAH//d5k=")</f>
        <v>#VALUE!</v>
      </c>
      <c r="EY87" t="e">
        <f>AND('STERLING CATALOG - DRY '!F1846,"AAAAAH//d5o=")</f>
        <v>#VALUE!</v>
      </c>
      <c r="EZ87" t="e">
        <f>AND('STERLING CATALOG - DRY '!G1846,"AAAAAH//d5s=")</f>
        <v>#VALUE!</v>
      </c>
      <c r="FA87" t="e">
        <f>AND('STERLING CATALOG - DRY '!H1846,"AAAAAH//d5w=")</f>
        <v>#VALUE!</v>
      </c>
      <c r="FB87" t="e">
        <f>AND('STERLING CATALOG - DRY '!I1846,"AAAAAH//d50=")</f>
        <v>#VALUE!</v>
      </c>
      <c r="FC87" t="e">
        <f>AND('STERLING CATALOG - DRY '!J1846,"AAAAAH//d54=")</f>
        <v>#VALUE!</v>
      </c>
      <c r="FD87">
        <f>IF('STERLING CATALOG - DRY '!1847:1847,"AAAAAH//d58=",0)</f>
        <v>0</v>
      </c>
      <c r="FE87" t="e">
        <f>AND('STERLING CATALOG - DRY '!A1847,"AAAAAH//d6A=")</f>
        <v>#VALUE!</v>
      </c>
      <c r="FF87" t="e">
        <f>AND('STERLING CATALOG - DRY '!B1847,"AAAAAH//d6E=")</f>
        <v>#VALUE!</v>
      </c>
      <c r="FG87" t="e">
        <f>AND('STERLING CATALOG - DRY '!C1847,"AAAAAH//d6I=")</f>
        <v>#VALUE!</v>
      </c>
      <c r="FH87" t="e">
        <f>AND('STERLING CATALOG - DRY '!D1847,"AAAAAH//d6M=")</f>
        <v>#VALUE!</v>
      </c>
      <c r="FI87" t="e">
        <f>AND('STERLING CATALOG - DRY '!E1847,"AAAAAH//d6Q=")</f>
        <v>#VALUE!</v>
      </c>
      <c r="FJ87" t="e">
        <f>AND('STERLING CATALOG - DRY '!F1847,"AAAAAH//d6U=")</f>
        <v>#VALUE!</v>
      </c>
      <c r="FK87" t="e">
        <f>AND('STERLING CATALOG - DRY '!G1847,"AAAAAH//d6Y=")</f>
        <v>#VALUE!</v>
      </c>
      <c r="FL87" t="e">
        <f>AND('STERLING CATALOG - DRY '!H1847,"AAAAAH//d6c=")</f>
        <v>#VALUE!</v>
      </c>
      <c r="FM87" t="e">
        <f>AND('STERLING CATALOG - DRY '!I1847,"AAAAAH//d6g=")</f>
        <v>#VALUE!</v>
      </c>
      <c r="FN87" t="e">
        <f>AND('STERLING CATALOG - DRY '!J1847,"AAAAAH//d6k=")</f>
        <v>#VALUE!</v>
      </c>
      <c r="FO87">
        <f>IF('STERLING CATALOG - DRY '!1848:1848,"AAAAAH//d6o=",0)</f>
        <v>0</v>
      </c>
      <c r="FP87" t="e">
        <f>AND('STERLING CATALOG - DRY '!A1848,"AAAAAH//d6s=")</f>
        <v>#VALUE!</v>
      </c>
      <c r="FQ87" t="e">
        <f>AND('STERLING CATALOG - DRY '!B1848,"AAAAAH//d6w=")</f>
        <v>#VALUE!</v>
      </c>
      <c r="FR87" t="e">
        <f>AND('STERLING CATALOG - DRY '!C1848,"AAAAAH//d60=")</f>
        <v>#VALUE!</v>
      </c>
      <c r="FS87" t="e">
        <f>AND('STERLING CATALOG - DRY '!D1848,"AAAAAH//d64=")</f>
        <v>#VALUE!</v>
      </c>
      <c r="FT87" t="e">
        <f>AND('STERLING CATALOG - DRY '!E1848,"AAAAAH//d68=")</f>
        <v>#VALUE!</v>
      </c>
      <c r="FU87" t="e">
        <f>AND('STERLING CATALOG - DRY '!F1848,"AAAAAH//d7A=")</f>
        <v>#VALUE!</v>
      </c>
      <c r="FV87" t="e">
        <f>AND('STERLING CATALOG - DRY '!G1848,"AAAAAH//d7E=")</f>
        <v>#VALUE!</v>
      </c>
      <c r="FW87" t="e">
        <f>AND('STERLING CATALOG - DRY '!H1848,"AAAAAH//d7I=")</f>
        <v>#VALUE!</v>
      </c>
      <c r="FX87" t="e">
        <f>AND('STERLING CATALOG - DRY '!I1848,"AAAAAH//d7M=")</f>
        <v>#VALUE!</v>
      </c>
      <c r="FY87" t="e">
        <f>AND('STERLING CATALOG - DRY '!J1848,"AAAAAH//d7Q=")</f>
        <v>#VALUE!</v>
      </c>
      <c r="FZ87">
        <f>IF('STERLING CATALOG - DRY '!1849:1849,"AAAAAH//d7U=",0)</f>
        <v>0</v>
      </c>
      <c r="GA87" t="e">
        <f>AND('STERLING CATALOG - DRY '!A1849,"AAAAAH//d7Y=")</f>
        <v>#VALUE!</v>
      </c>
      <c r="GB87" t="e">
        <f>AND('STERLING CATALOG - DRY '!B1849,"AAAAAH//d7c=")</f>
        <v>#VALUE!</v>
      </c>
      <c r="GC87" t="e">
        <f>AND('STERLING CATALOG - DRY '!C1849,"AAAAAH//d7g=")</f>
        <v>#VALUE!</v>
      </c>
      <c r="GD87" t="e">
        <f>AND('STERLING CATALOG - DRY '!D1849,"AAAAAH//d7k=")</f>
        <v>#VALUE!</v>
      </c>
      <c r="GE87" t="e">
        <f>AND('STERLING CATALOG - DRY '!E1849,"AAAAAH//d7o=")</f>
        <v>#VALUE!</v>
      </c>
      <c r="GF87" t="e">
        <f>AND('STERLING CATALOG - DRY '!F1849,"AAAAAH//d7s=")</f>
        <v>#VALUE!</v>
      </c>
      <c r="GG87" t="e">
        <f>AND('STERLING CATALOG - DRY '!G1849,"AAAAAH//d7w=")</f>
        <v>#VALUE!</v>
      </c>
      <c r="GH87" t="e">
        <f>AND('STERLING CATALOG - DRY '!H1849,"AAAAAH//d70=")</f>
        <v>#VALUE!</v>
      </c>
      <c r="GI87" t="e">
        <f>AND('STERLING CATALOG - DRY '!I1849,"AAAAAH//d74=")</f>
        <v>#VALUE!</v>
      </c>
      <c r="GJ87" t="e">
        <f>AND('STERLING CATALOG - DRY '!J1849,"AAAAAH//d78=")</f>
        <v>#VALUE!</v>
      </c>
      <c r="GK87">
        <f>IF('STERLING CATALOG - DRY '!1850:1850,"AAAAAH//d8A=",0)</f>
        <v>0</v>
      </c>
      <c r="GL87" t="e">
        <f>AND('STERLING CATALOG - DRY '!A1850,"AAAAAH//d8E=")</f>
        <v>#VALUE!</v>
      </c>
      <c r="GM87" t="e">
        <f>AND('STERLING CATALOG - DRY '!B1850,"AAAAAH//d8I=")</f>
        <v>#VALUE!</v>
      </c>
      <c r="GN87" t="e">
        <f>AND('STERLING CATALOG - DRY '!C1850,"AAAAAH//d8M=")</f>
        <v>#VALUE!</v>
      </c>
      <c r="GO87" t="e">
        <f>AND('STERLING CATALOG - DRY '!D1850,"AAAAAH//d8Q=")</f>
        <v>#VALUE!</v>
      </c>
      <c r="GP87" t="e">
        <f>AND('STERLING CATALOG - DRY '!E1850,"AAAAAH//d8U=")</f>
        <v>#VALUE!</v>
      </c>
      <c r="GQ87" t="e">
        <f>AND('STERLING CATALOG - DRY '!F1850,"AAAAAH//d8Y=")</f>
        <v>#VALUE!</v>
      </c>
      <c r="GR87" t="e">
        <f>AND('STERLING CATALOG - DRY '!G1850,"AAAAAH//d8c=")</f>
        <v>#VALUE!</v>
      </c>
      <c r="GS87" t="e">
        <f>AND('STERLING CATALOG - DRY '!H1850,"AAAAAH//d8g=")</f>
        <v>#VALUE!</v>
      </c>
      <c r="GT87" t="e">
        <f>AND('STERLING CATALOG - DRY '!I1850,"AAAAAH//d8k=")</f>
        <v>#VALUE!</v>
      </c>
      <c r="GU87" t="e">
        <f>AND('STERLING CATALOG - DRY '!J1850,"AAAAAH//d8o=")</f>
        <v>#VALUE!</v>
      </c>
      <c r="GV87">
        <f>IF('STERLING CATALOG - DRY '!1851:1851,"AAAAAH//d8s=",0)</f>
        <v>0</v>
      </c>
      <c r="GW87" t="e">
        <f>AND('STERLING CATALOG - DRY '!A1851,"AAAAAH//d8w=")</f>
        <v>#VALUE!</v>
      </c>
      <c r="GX87" t="e">
        <f>AND('STERLING CATALOG - DRY '!B1851,"AAAAAH//d80=")</f>
        <v>#VALUE!</v>
      </c>
      <c r="GY87" t="e">
        <f>AND('STERLING CATALOG - DRY '!C1851,"AAAAAH//d84=")</f>
        <v>#VALUE!</v>
      </c>
      <c r="GZ87" t="e">
        <f>AND('STERLING CATALOG - DRY '!D1851,"AAAAAH//d88=")</f>
        <v>#VALUE!</v>
      </c>
      <c r="HA87" t="e">
        <f>AND('STERLING CATALOG - DRY '!E1851,"AAAAAH//d9A=")</f>
        <v>#VALUE!</v>
      </c>
      <c r="HB87" t="e">
        <f>AND('STERLING CATALOG - DRY '!F1851,"AAAAAH//d9E=")</f>
        <v>#VALUE!</v>
      </c>
      <c r="HC87" t="e">
        <f>AND('STERLING CATALOG - DRY '!G1851,"AAAAAH//d9I=")</f>
        <v>#VALUE!</v>
      </c>
      <c r="HD87" t="e">
        <f>AND('STERLING CATALOG - DRY '!H1851,"AAAAAH//d9M=")</f>
        <v>#VALUE!</v>
      </c>
      <c r="HE87" t="e">
        <f>AND('STERLING CATALOG - DRY '!I1851,"AAAAAH//d9Q=")</f>
        <v>#VALUE!</v>
      </c>
      <c r="HF87" t="e">
        <f>AND('STERLING CATALOG - DRY '!J1851,"AAAAAH//d9U=")</f>
        <v>#VALUE!</v>
      </c>
      <c r="HG87">
        <f>IF('STERLING CATALOG - DRY '!1852:1852,"AAAAAH//d9Y=",0)</f>
        <v>0</v>
      </c>
      <c r="HH87" t="e">
        <f>AND('STERLING CATALOG - DRY '!A1852,"AAAAAH//d9c=")</f>
        <v>#VALUE!</v>
      </c>
      <c r="HI87" t="e">
        <f>AND('STERLING CATALOG - DRY '!B1852,"AAAAAH//d9g=")</f>
        <v>#VALUE!</v>
      </c>
      <c r="HJ87" t="e">
        <f>AND('STERLING CATALOG - DRY '!C1852,"AAAAAH//d9k=")</f>
        <v>#VALUE!</v>
      </c>
      <c r="HK87" t="e">
        <f>AND('STERLING CATALOG - DRY '!D1852,"AAAAAH//d9o=")</f>
        <v>#VALUE!</v>
      </c>
      <c r="HL87" t="e">
        <f>AND('STERLING CATALOG - DRY '!E1852,"AAAAAH//d9s=")</f>
        <v>#VALUE!</v>
      </c>
      <c r="HM87" t="e">
        <f>AND('STERLING CATALOG - DRY '!F1852,"AAAAAH//d9w=")</f>
        <v>#VALUE!</v>
      </c>
      <c r="HN87" t="e">
        <f>AND('STERLING CATALOG - DRY '!G1852,"AAAAAH//d90=")</f>
        <v>#VALUE!</v>
      </c>
      <c r="HO87" t="e">
        <f>AND('STERLING CATALOG - DRY '!H1852,"AAAAAH//d94=")</f>
        <v>#VALUE!</v>
      </c>
      <c r="HP87" t="e">
        <f>AND('STERLING CATALOG - DRY '!I1852,"AAAAAH//d98=")</f>
        <v>#VALUE!</v>
      </c>
      <c r="HQ87" t="e">
        <f>AND('STERLING CATALOG - DRY '!J1852,"AAAAAH//d+A=")</f>
        <v>#VALUE!</v>
      </c>
      <c r="HR87">
        <f>IF('STERLING CATALOG - DRY '!1853:1853,"AAAAAH//d+E=",0)</f>
        <v>0</v>
      </c>
      <c r="HS87" t="e">
        <f>AND('STERLING CATALOG - DRY '!A1853,"AAAAAH//d+I=")</f>
        <v>#VALUE!</v>
      </c>
      <c r="HT87" t="e">
        <f>AND('STERLING CATALOG - DRY '!B1853,"AAAAAH//d+M=")</f>
        <v>#VALUE!</v>
      </c>
      <c r="HU87" t="e">
        <f>AND('STERLING CATALOG - DRY '!C1853,"AAAAAH//d+Q=")</f>
        <v>#VALUE!</v>
      </c>
      <c r="HV87" t="e">
        <f>AND('STERLING CATALOG - DRY '!D1853,"AAAAAH//d+U=")</f>
        <v>#VALUE!</v>
      </c>
      <c r="HW87" t="e">
        <f>AND('STERLING CATALOG - DRY '!E1853,"AAAAAH//d+Y=")</f>
        <v>#VALUE!</v>
      </c>
      <c r="HX87" t="e">
        <f>AND('STERLING CATALOG - DRY '!F1853,"AAAAAH//d+c=")</f>
        <v>#VALUE!</v>
      </c>
      <c r="HY87" t="e">
        <f>AND('STERLING CATALOG - DRY '!G1853,"AAAAAH//d+g=")</f>
        <v>#VALUE!</v>
      </c>
      <c r="HZ87" t="e">
        <f>AND('STERLING CATALOG - DRY '!H1853,"AAAAAH//d+k=")</f>
        <v>#VALUE!</v>
      </c>
      <c r="IA87" t="e">
        <f>AND('STERLING CATALOG - DRY '!I1853,"AAAAAH//d+o=")</f>
        <v>#VALUE!</v>
      </c>
      <c r="IB87" t="e">
        <f>AND('STERLING CATALOG - DRY '!J1853,"AAAAAH//d+s=")</f>
        <v>#VALUE!</v>
      </c>
      <c r="IC87">
        <f>IF('STERLING CATALOG - DRY '!1854:1854,"AAAAAH//d+w=",0)</f>
        <v>0</v>
      </c>
      <c r="ID87" t="e">
        <f>AND('STERLING CATALOG - DRY '!A1854,"AAAAAH//d+0=")</f>
        <v>#VALUE!</v>
      </c>
      <c r="IE87" t="e">
        <f>AND('STERLING CATALOG - DRY '!B1854,"AAAAAH//d+4=")</f>
        <v>#VALUE!</v>
      </c>
      <c r="IF87" t="e">
        <f>AND('STERLING CATALOG - DRY '!C1854,"AAAAAH//d+8=")</f>
        <v>#VALUE!</v>
      </c>
      <c r="IG87" t="e">
        <f>AND('STERLING CATALOG - DRY '!D1854,"AAAAAH//d/A=")</f>
        <v>#VALUE!</v>
      </c>
      <c r="IH87" t="e">
        <f>AND('STERLING CATALOG - DRY '!E1854,"AAAAAH//d/E=")</f>
        <v>#VALUE!</v>
      </c>
      <c r="II87" t="e">
        <f>AND('STERLING CATALOG - DRY '!F1854,"AAAAAH//d/I=")</f>
        <v>#VALUE!</v>
      </c>
      <c r="IJ87" t="e">
        <f>AND('STERLING CATALOG - DRY '!G1854,"AAAAAH//d/M=")</f>
        <v>#VALUE!</v>
      </c>
      <c r="IK87" t="e">
        <f>AND('STERLING CATALOG - DRY '!H1854,"AAAAAH//d/Q=")</f>
        <v>#VALUE!</v>
      </c>
      <c r="IL87" t="e">
        <f>AND('STERLING CATALOG - DRY '!I1854,"AAAAAH//d/U=")</f>
        <v>#VALUE!</v>
      </c>
      <c r="IM87" t="e">
        <f>AND('STERLING CATALOG - DRY '!J1854,"AAAAAH//d/Y=")</f>
        <v>#VALUE!</v>
      </c>
      <c r="IN87">
        <f>IF('STERLING CATALOG - DRY '!1855:1855,"AAAAAH//d/c=",0)</f>
        <v>0</v>
      </c>
      <c r="IO87" t="e">
        <f>AND('STERLING CATALOG - DRY '!A1855,"AAAAAH//d/g=")</f>
        <v>#VALUE!</v>
      </c>
      <c r="IP87" t="e">
        <f>AND('STERLING CATALOG - DRY '!B1855,"AAAAAH//d/k=")</f>
        <v>#VALUE!</v>
      </c>
      <c r="IQ87" t="e">
        <f>AND('STERLING CATALOG - DRY '!C1855,"AAAAAH//d/o=")</f>
        <v>#VALUE!</v>
      </c>
      <c r="IR87" t="e">
        <f>AND('STERLING CATALOG - DRY '!D1855,"AAAAAH//d/s=")</f>
        <v>#VALUE!</v>
      </c>
      <c r="IS87" t="e">
        <f>AND('STERLING CATALOG - DRY '!E1855,"AAAAAH//d/w=")</f>
        <v>#VALUE!</v>
      </c>
      <c r="IT87" t="e">
        <f>AND('STERLING CATALOG - DRY '!F1855,"AAAAAH//d/0=")</f>
        <v>#VALUE!</v>
      </c>
      <c r="IU87" t="e">
        <f>AND('STERLING CATALOG - DRY '!G1855,"AAAAAH//d/4=")</f>
        <v>#VALUE!</v>
      </c>
      <c r="IV87" t="e">
        <f>AND('STERLING CATALOG - DRY '!H1855,"AAAAAH//d/8=")</f>
        <v>#VALUE!</v>
      </c>
    </row>
    <row r="88" spans="1:256">
      <c r="A88" t="e">
        <f>AND('STERLING CATALOG - DRY '!I1855,"AAAAAH5f3gA=")</f>
        <v>#VALUE!</v>
      </c>
      <c r="B88" t="e">
        <f>AND('STERLING CATALOG - DRY '!J1855,"AAAAAH5f3gE=")</f>
        <v>#VALUE!</v>
      </c>
      <c r="C88" t="str">
        <f>IF('STERLING CATALOG - DRY '!1856:1856,"AAAAAH5f3gI=",0)</f>
        <v>AAAAAH5f3gI=</v>
      </c>
      <c r="D88" t="e">
        <f>AND('STERLING CATALOG - DRY '!A1856,"AAAAAH5f3gM=")</f>
        <v>#VALUE!</v>
      </c>
      <c r="E88" t="e">
        <f>AND('STERLING CATALOG - DRY '!B1856,"AAAAAH5f3gQ=")</f>
        <v>#VALUE!</v>
      </c>
      <c r="F88" t="e">
        <f>AND('STERLING CATALOG - DRY '!C1856,"AAAAAH5f3gU=")</f>
        <v>#VALUE!</v>
      </c>
      <c r="G88" t="e">
        <f>AND('STERLING CATALOG - DRY '!D1856,"AAAAAH5f3gY=")</f>
        <v>#VALUE!</v>
      </c>
      <c r="H88" t="e">
        <f>AND('STERLING CATALOG - DRY '!E1856,"AAAAAH5f3gc=")</f>
        <v>#VALUE!</v>
      </c>
      <c r="I88" t="e">
        <f>AND('STERLING CATALOG - DRY '!F1856,"AAAAAH5f3gg=")</f>
        <v>#VALUE!</v>
      </c>
      <c r="J88" t="e">
        <f>AND('STERLING CATALOG - DRY '!G1856,"AAAAAH5f3gk=")</f>
        <v>#VALUE!</v>
      </c>
      <c r="K88" t="e">
        <f>AND('STERLING CATALOG - DRY '!H1856,"AAAAAH5f3go=")</f>
        <v>#VALUE!</v>
      </c>
      <c r="L88" t="e">
        <f>AND('STERLING CATALOG - DRY '!I1856,"AAAAAH5f3gs=")</f>
        <v>#VALUE!</v>
      </c>
      <c r="M88" t="e">
        <f>AND('STERLING CATALOG - DRY '!J1856,"AAAAAH5f3gw=")</f>
        <v>#VALUE!</v>
      </c>
      <c r="N88">
        <f>IF('STERLING CATALOG - DRY '!1857:1857,"AAAAAH5f3g0=",0)</f>
        <v>0</v>
      </c>
      <c r="O88" t="e">
        <f>AND('STERLING CATALOG - DRY '!A1857,"AAAAAH5f3g4=")</f>
        <v>#VALUE!</v>
      </c>
      <c r="P88" t="e">
        <f>AND('STERLING CATALOG - DRY '!B1857,"AAAAAH5f3g8=")</f>
        <v>#VALUE!</v>
      </c>
      <c r="Q88" t="e">
        <f>AND('STERLING CATALOG - DRY '!C1857,"AAAAAH5f3hA=")</f>
        <v>#VALUE!</v>
      </c>
      <c r="R88" t="e">
        <f>AND('STERLING CATALOG - DRY '!D1857,"AAAAAH5f3hE=")</f>
        <v>#VALUE!</v>
      </c>
      <c r="S88" t="e">
        <f>AND('STERLING CATALOG - DRY '!E1857,"AAAAAH5f3hI=")</f>
        <v>#VALUE!</v>
      </c>
      <c r="T88" t="e">
        <f>AND('STERLING CATALOG - DRY '!F1857,"AAAAAH5f3hM=")</f>
        <v>#VALUE!</v>
      </c>
      <c r="U88" t="e">
        <f>AND('STERLING CATALOG - DRY '!G1857,"AAAAAH5f3hQ=")</f>
        <v>#VALUE!</v>
      </c>
      <c r="V88" t="e">
        <f>AND('STERLING CATALOG - DRY '!H1857,"AAAAAH5f3hU=")</f>
        <v>#VALUE!</v>
      </c>
      <c r="W88" t="e">
        <f>AND('STERLING CATALOG - DRY '!I1857,"AAAAAH5f3hY=")</f>
        <v>#VALUE!</v>
      </c>
      <c r="X88" t="e">
        <f>AND('STERLING CATALOG - DRY '!J1857,"AAAAAH5f3hc=")</f>
        <v>#VALUE!</v>
      </c>
      <c r="Y88">
        <f>IF('STERLING CATALOG - DRY '!1858:1858,"AAAAAH5f3hg=",0)</f>
        <v>0</v>
      </c>
      <c r="Z88" t="e">
        <f>AND('STERLING CATALOG - DRY '!A1858,"AAAAAH5f3hk=")</f>
        <v>#VALUE!</v>
      </c>
      <c r="AA88" t="e">
        <f>AND('STERLING CATALOG - DRY '!B1858,"AAAAAH5f3ho=")</f>
        <v>#VALUE!</v>
      </c>
      <c r="AB88" t="e">
        <f>AND('STERLING CATALOG - DRY '!C1858,"AAAAAH5f3hs=")</f>
        <v>#VALUE!</v>
      </c>
      <c r="AC88" t="e">
        <f>AND('STERLING CATALOG - DRY '!D1858,"AAAAAH5f3hw=")</f>
        <v>#VALUE!</v>
      </c>
      <c r="AD88" t="e">
        <f>AND('STERLING CATALOG - DRY '!E1858,"AAAAAH5f3h0=")</f>
        <v>#VALUE!</v>
      </c>
      <c r="AE88" t="e">
        <f>AND('STERLING CATALOG - DRY '!F1858,"AAAAAH5f3h4=")</f>
        <v>#VALUE!</v>
      </c>
      <c r="AF88" t="e">
        <f>AND('STERLING CATALOG - DRY '!G1858,"AAAAAH5f3h8=")</f>
        <v>#VALUE!</v>
      </c>
      <c r="AG88" t="e">
        <f>AND('STERLING CATALOG - DRY '!H1858,"AAAAAH5f3iA=")</f>
        <v>#VALUE!</v>
      </c>
      <c r="AH88" t="e">
        <f>AND('STERLING CATALOG - DRY '!I1858,"AAAAAH5f3iE=")</f>
        <v>#VALUE!</v>
      </c>
      <c r="AI88" t="e">
        <f>AND('STERLING CATALOG - DRY '!J1858,"AAAAAH5f3iI=")</f>
        <v>#VALUE!</v>
      </c>
      <c r="AJ88">
        <f>IF('STERLING CATALOG - DRY '!1859:1859,"AAAAAH5f3iM=",0)</f>
        <v>0</v>
      </c>
      <c r="AK88" t="e">
        <f>AND('STERLING CATALOG - DRY '!A1859,"AAAAAH5f3iQ=")</f>
        <v>#VALUE!</v>
      </c>
      <c r="AL88" t="e">
        <f>AND('STERLING CATALOG - DRY '!B1859,"AAAAAH5f3iU=")</f>
        <v>#VALUE!</v>
      </c>
      <c r="AM88" t="e">
        <f>AND('STERLING CATALOG - DRY '!C1859,"AAAAAH5f3iY=")</f>
        <v>#VALUE!</v>
      </c>
      <c r="AN88" t="e">
        <f>AND('STERLING CATALOG - DRY '!D1859,"AAAAAH5f3ic=")</f>
        <v>#VALUE!</v>
      </c>
      <c r="AO88" t="e">
        <f>AND('STERLING CATALOG - DRY '!E1859,"AAAAAH5f3ig=")</f>
        <v>#VALUE!</v>
      </c>
      <c r="AP88" t="e">
        <f>AND('STERLING CATALOG - DRY '!F1859,"AAAAAH5f3ik=")</f>
        <v>#VALUE!</v>
      </c>
      <c r="AQ88" t="e">
        <f>AND('STERLING CATALOG - DRY '!G1859,"AAAAAH5f3io=")</f>
        <v>#VALUE!</v>
      </c>
      <c r="AR88" t="e">
        <f>AND('STERLING CATALOG - DRY '!H1859,"AAAAAH5f3is=")</f>
        <v>#VALUE!</v>
      </c>
      <c r="AS88" t="e">
        <f>AND('STERLING CATALOG - DRY '!I1859,"AAAAAH5f3iw=")</f>
        <v>#VALUE!</v>
      </c>
      <c r="AT88" t="e">
        <f>AND('STERLING CATALOG - DRY '!J1859,"AAAAAH5f3i0=")</f>
        <v>#VALUE!</v>
      </c>
      <c r="AU88">
        <f>IF('STERLING CATALOG - DRY '!1860:1860,"AAAAAH5f3i4=",0)</f>
        <v>0</v>
      </c>
      <c r="AV88" t="e">
        <f>AND('STERLING CATALOG - DRY '!A1860,"AAAAAH5f3i8=")</f>
        <v>#VALUE!</v>
      </c>
      <c r="AW88" t="e">
        <f>AND('STERLING CATALOG - DRY '!B1860,"AAAAAH5f3jA=")</f>
        <v>#VALUE!</v>
      </c>
      <c r="AX88" t="e">
        <f>AND('STERLING CATALOG - DRY '!C1860,"AAAAAH5f3jE=")</f>
        <v>#VALUE!</v>
      </c>
      <c r="AY88" t="e">
        <f>AND('STERLING CATALOG - DRY '!D1860,"AAAAAH5f3jI=")</f>
        <v>#VALUE!</v>
      </c>
      <c r="AZ88" t="e">
        <f>AND('STERLING CATALOG - DRY '!E1860,"AAAAAH5f3jM=")</f>
        <v>#VALUE!</v>
      </c>
      <c r="BA88" t="e">
        <f>AND('STERLING CATALOG - DRY '!F1860,"AAAAAH5f3jQ=")</f>
        <v>#VALUE!</v>
      </c>
      <c r="BB88" t="e">
        <f>AND('STERLING CATALOG - DRY '!G1860,"AAAAAH5f3jU=")</f>
        <v>#VALUE!</v>
      </c>
      <c r="BC88" t="e">
        <f>AND('STERLING CATALOG - DRY '!H1860,"AAAAAH5f3jY=")</f>
        <v>#VALUE!</v>
      </c>
      <c r="BD88" t="e">
        <f>AND('STERLING CATALOG - DRY '!I1860,"AAAAAH5f3jc=")</f>
        <v>#VALUE!</v>
      </c>
      <c r="BE88" t="e">
        <f>AND('STERLING CATALOG - DRY '!J1860,"AAAAAH5f3jg=")</f>
        <v>#VALUE!</v>
      </c>
      <c r="BF88">
        <f>IF('STERLING CATALOG - DRY '!1861:1861,"AAAAAH5f3jk=",0)</f>
        <v>0</v>
      </c>
      <c r="BG88" t="e">
        <f>AND('STERLING CATALOG - DRY '!A1861,"AAAAAH5f3jo=")</f>
        <v>#VALUE!</v>
      </c>
      <c r="BH88" t="e">
        <f>AND('STERLING CATALOG - DRY '!B1861,"AAAAAH5f3js=")</f>
        <v>#VALUE!</v>
      </c>
      <c r="BI88" t="e">
        <f>AND('STERLING CATALOG - DRY '!C1861,"AAAAAH5f3jw=")</f>
        <v>#VALUE!</v>
      </c>
      <c r="BJ88" t="e">
        <f>AND('STERLING CATALOG - DRY '!D1861,"AAAAAH5f3j0=")</f>
        <v>#VALUE!</v>
      </c>
      <c r="BK88" t="e">
        <f>AND('STERLING CATALOG - DRY '!E1861,"AAAAAH5f3j4=")</f>
        <v>#VALUE!</v>
      </c>
      <c r="BL88" t="e">
        <f>AND('STERLING CATALOG - DRY '!F1861,"AAAAAH5f3j8=")</f>
        <v>#VALUE!</v>
      </c>
      <c r="BM88" t="e">
        <f>AND('STERLING CATALOG - DRY '!G1861,"AAAAAH5f3kA=")</f>
        <v>#VALUE!</v>
      </c>
      <c r="BN88" t="e">
        <f>AND('STERLING CATALOG - DRY '!H1861,"AAAAAH5f3kE=")</f>
        <v>#VALUE!</v>
      </c>
      <c r="BO88" t="e">
        <f>AND('STERLING CATALOG - DRY '!I1861,"AAAAAH5f3kI=")</f>
        <v>#VALUE!</v>
      </c>
      <c r="BP88" t="e">
        <f>AND('STERLING CATALOG - DRY '!J1861,"AAAAAH5f3kM=")</f>
        <v>#VALUE!</v>
      </c>
      <c r="BQ88">
        <f>IF('STERLING CATALOG - DRY '!1862:1862,"AAAAAH5f3kQ=",0)</f>
        <v>0</v>
      </c>
      <c r="BR88" t="e">
        <f>AND('STERLING CATALOG - DRY '!A1862,"AAAAAH5f3kU=")</f>
        <v>#VALUE!</v>
      </c>
      <c r="BS88" t="e">
        <f>AND('STERLING CATALOG - DRY '!B1862,"AAAAAH5f3kY=")</f>
        <v>#VALUE!</v>
      </c>
      <c r="BT88" t="e">
        <f>AND('STERLING CATALOG - DRY '!C1862,"AAAAAH5f3kc=")</f>
        <v>#VALUE!</v>
      </c>
      <c r="BU88" t="e">
        <f>AND('STERLING CATALOG - DRY '!D1862,"AAAAAH5f3kg=")</f>
        <v>#VALUE!</v>
      </c>
      <c r="BV88" t="e">
        <f>AND('STERLING CATALOG - DRY '!E1862,"AAAAAH5f3kk=")</f>
        <v>#VALUE!</v>
      </c>
      <c r="BW88" t="e">
        <f>AND('STERLING CATALOG - DRY '!F1862,"AAAAAH5f3ko=")</f>
        <v>#VALUE!</v>
      </c>
      <c r="BX88" t="e">
        <f>AND('STERLING CATALOG - DRY '!G1862,"AAAAAH5f3ks=")</f>
        <v>#VALUE!</v>
      </c>
      <c r="BY88" t="e">
        <f>AND('STERLING CATALOG - DRY '!H1862,"AAAAAH5f3kw=")</f>
        <v>#VALUE!</v>
      </c>
      <c r="BZ88" t="e">
        <f>AND('STERLING CATALOG - DRY '!I1862,"AAAAAH5f3k0=")</f>
        <v>#VALUE!</v>
      </c>
      <c r="CA88" t="e">
        <f>AND('STERLING CATALOG - DRY '!J1862,"AAAAAH5f3k4=")</f>
        <v>#VALUE!</v>
      </c>
      <c r="CB88">
        <f>IF('STERLING CATALOG - DRY '!1863:1863,"AAAAAH5f3k8=",0)</f>
        <v>0</v>
      </c>
      <c r="CC88" t="e">
        <f>AND('STERLING CATALOG - DRY '!A1863,"AAAAAH5f3lA=")</f>
        <v>#VALUE!</v>
      </c>
      <c r="CD88" t="e">
        <f>AND('STERLING CATALOG - DRY '!B1863,"AAAAAH5f3lE=")</f>
        <v>#VALUE!</v>
      </c>
      <c r="CE88" t="e">
        <f>AND('STERLING CATALOG - DRY '!C1863,"AAAAAH5f3lI=")</f>
        <v>#VALUE!</v>
      </c>
      <c r="CF88" t="e">
        <f>AND('STERLING CATALOG - DRY '!D1863,"AAAAAH5f3lM=")</f>
        <v>#VALUE!</v>
      </c>
      <c r="CG88" t="e">
        <f>AND('STERLING CATALOG - DRY '!E1863,"AAAAAH5f3lQ=")</f>
        <v>#VALUE!</v>
      </c>
      <c r="CH88" t="e">
        <f>AND('STERLING CATALOG - DRY '!F1863,"AAAAAH5f3lU=")</f>
        <v>#VALUE!</v>
      </c>
      <c r="CI88" t="e">
        <f>AND('STERLING CATALOG - DRY '!G1863,"AAAAAH5f3lY=")</f>
        <v>#VALUE!</v>
      </c>
      <c r="CJ88" t="e">
        <f>AND('STERLING CATALOG - DRY '!H1863,"AAAAAH5f3lc=")</f>
        <v>#VALUE!</v>
      </c>
      <c r="CK88" t="e">
        <f>AND('STERLING CATALOG - DRY '!I1863,"AAAAAH5f3lg=")</f>
        <v>#VALUE!</v>
      </c>
      <c r="CL88" t="e">
        <f>AND('STERLING CATALOG - DRY '!J1863,"AAAAAH5f3lk=")</f>
        <v>#VALUE!</v>
      </c>
      <c r="CM88">
        <f>IF('STERLING CATALOG - DRY '!1864:1864,"AAAAAH5f3lo=",0)</f>
        <v>0</v>
      </c>
      <c r="CN88" t="e">
        <f>AND('STERLING CATALOG - DRY '!A1864,"AAAAAH5f3ls=")</f>
        <v>#VALUE!</v>
      </c>
      <c r="CO88" t="e">
        <f>AND('STERLING CATALOG - DRY '!B1864,"AAAAAH5f3lw=")</f>
        <v>#VALUE!</v>
      </c>
      <c r="CP88" t="e">
        <f>AND('STERLING CATALOG - DRY '!C1864,"AAAAAH5f3l0=")</f>
        <v>#VALUE!</v>
      </c>
      <c r="CQ88" t="e">
        <f>AND('STERLING CATALOG - DRY '!D1864,"AAAAAH5f3l4=")</f>
        <v>#VALUE!</v>
      </c>
      <c r="CR88" t="e">
        <f>AND('STERLING CATALOG - DRY '!E1864,"AAAAAH5f3l8=")</f>
        <v>#VALUE!</v>
      </c>
      <c r="CS88" t="e">
        <f>AND('STERLING CATALOG - DRY '!F1864,"AAAAAH5f3mA=")</f>
        <v>#VALUE!</v>
      </c>
      <c r="CT88" t="e">
        <f>AND('STERLING CATALOG - DRY '!G1864,"AAAAAH5f3mE=")</f>
        <v>#VALUE!</v>
      </c>
      <c r="CU88" t="e">
        <f>AND('STERLING CATALOG - DRY '!H1864,"AAAAAH5f3mI=")</f>
        <v>#VALUE!</v>
      </c>
      <c r="CV88" t="e">
        <f>AND('STERLING CATALOG - DRY '!I1864,"AAAAAH5f3mM=")</f>
        <v>#VALUE!</v>
      </c>
      <c r="CW88" t="e">
        <f>AND('STERLING CATALOG - DRY '!J1864,"AAAAAH5f3mQ=")</f>
        <v>#VALUE!</v>
      </c>
      <c r="CX88">
        <f>IF('STERLING CATALOG - DRY '!1865:1865,"AAAAAH5f3mU=",0)</f>
        <v>0</v>
      </c>
      <c r="CY88" t="e">
        <f>AND('STERLING CATALOG - DRY '!A1865,"AAAAAH5f3mY=")</f>
        <v>#VALUE!</v>
      </c>
      <c r="CZ88" t="e">
        <f>AND('STERLING CATALOG - DRY '!B1865,"AAAAAH5f3mc=")</f>
        <v>#VALUE!</v>
      </c>
      <c r="DA88" t="e">
        <f>AND('STERLING CATALOG - DRY '!C1865,"AAAAAH5f3mg=")</f>
        <v>#VALUE!</v>
      </c>
      <c r="DB88" t="e">
        <f>AND('STERLING CATALOG - DRY '!D1865,"AAAAAH5f3mk=")</f>
        <v>#VALUE!</v>
      </c>
      <c r="DC88" t="e">
        <f>AND('STERLING CATALOG - DRY '!E1865,"AAAAAH5f3mo=")</f>
        <v>#VALUE!</v>
      </c>
      <c r="DD88" t="e">
        <f>AND('STERLING CATALOG - DRY '!F1865,"AAAAAH5f3ms=")</f>
        <v>#VALUE!</v>
      </c>
      <c r="DE88" t="e">
        <f>AND('STERLING CATALOG - DRY '!G1865,"AAAAAH5f3mw=")</f>
        <v>#VALUE!</v>
      </c>
      <c r="DF88" t="e">
        <f>AND('STERLING CATALOG - DRY '!H1865,"AAAAAH5f3m0=")</f>
        <v>#VALUE!</v>
      </c>
      <c r="DG88" t="e">
        <f>AND('STERLING CATALOG - DRY '!I1865,"AAAAAH5f3m4=")</f>
        <v>#VALUE!</v>
      </c>
      <c r="DH88" t="e">
        <f>AND('STERLING CATALOG - DRY '!J1865,"AAAAAH5f3m8=")</f>
        <v>#VALUE!</v>
      </c>
      <c r="DI88">
        <f>IF('STERLING CATALOG - DRY '!1866:1866,"AAAAAH5f3nA=",0)</f>
        <v>0</v>
      </c>
      <c r="DJ88" t="e">
        <f>AND('STERLING CATALOG - DRY '!A1866,"AAAAAH5f3nE=")</f>
        <v>#VALUE!</v>
      </c>
      <c r="DK88" t="e">
        <f>AND('STERLING CATALOG - DRY '!B1866,"AAAAAH5f3nI=")</f>
        <v>#VALUE!</v>
      </c>
      <c r="DL88" t="e">
        <f>AND('STERLING CATALOG - DRY '!C1866,"AAAAAH5f3nM=")</f>
        <v>#VALUE!</v>
      </c>
      <c r="DM88" t="e">
        <f>AND('STERLING CATALOG - DRY '!D1866,"AAAAAH5f3nQ=")</f>
        <v>#VALUE!</v>
      </c>
      <c r="DN88" t="e">
        <f>AND('STERLING CATALOG - DRY '!E1866,"AAAAAH5f3nU=")</f>
        <v>#VALUE!</v>
      </c>
      <c r="DO88" t="e">
        <f>AND('STERLING CATALOG - DRY '!F1866,"AAAAAH5f3nY=")</f>
        <v>#VALUE!</v>
      </c>
      <c r="DP88" t="e">
        <f>AND('STERLING CATALOG - DRY '!G1866,"AAAAAH5f3nc=")</f>
        <v>#VALUE!</v>
      </c>
      <c r="DQ88" t="e">
        <f>AND('STERLING CATALOG - DRY '!H1866,"AAAAAH5f3ng=")</f>
        <v>#VALUE!</v>
      </c>
      <c r="DR88" t="e">
        <f>AND('STERLING CATALOG - DRY '!I1866,"AAAAAH5f3nk=")</f>
        <v>#VALUE!</v>
      </c>
      <c r="DS88" t="e">
        <f>AND('STERLING CATALOG - DRY '!J1866,"AAAAAH5f3no=")</f>
        <v>#VALUE!</v>
      </c>
      <c r="DT88">
        <f>IF('STERLING CATALOG - DRY '!1867:1867,"AAAAAH5f3ns=",0)</f>
        <v>0</v>
      </c>
      <c r="DU88" t="e">
        <f>AND('STERLING CATALOG - DRY '!A1867,"AAAAAH5f3nw=")</f>
        <v>#VALUE!</v>
      </c>
      <c r="DV88" t="e">
        <f>AND('STERLING CATALOG - DRY '!B1867,"AAAAAH5f3n0=")</f>
        <v>#VALUE!</v>
      </c>
      <c r="DW88" t="e">
        <f>AND('STERLING CATALOG - DRY '!C1867,"AAAAAH5f3n4=")</f>
        <v>#VALUE!</v>
      </c>
      <c r="DX88" t="e">
        <f>AND('STERLING CATALOG - DRY '!D1867,"AAAAAH5f3n8=")</f>
        <v>#VALUE!</v>
      </c>
      <c r="DY88" t="e">
        <f>AND('STERLING CATALOG - DRY '!E1867,"AAAAAH5f3oA=")</f>
        <v>#VALUE!</v>
      </c>
      <c r="DZ88" t="e">
        <f>AND('STERLING CATALOG - DRY '!F1867,"AAAAAH5f3oE=")</f>
        <v>#VALUE!</v>
      </c>
      <c r="EA88" t="e">
        <f>AND('STERLING CATALOG - DRY '!G1867,"AAAAAH5f3oI=")</f>
        <v>#VALUE!</v>
      </c>
      <c r="EB88" t="e">
        <f>AND('STERLING CATALOG - DRY '!H1867,"AAAAAH5f3oM=")</f>
        <v>#VALUE!</v>
      </c>
      <c r="EC88" t="e">
        <f>AND('STERLING CATALOG - DRY '!I1867,"AAAAAH5f3oQ=")</f>
        <v>#VALUE!</v>
      </c>
      <c r="ED88" t="e">
        <f>AND('STERLING CATALOG - DRY '!J1867,"AAAAAH5f3oU=")</f>
        <v>#VALUE!</v>
      </c>
      <c r="EE88">
        <f>IF('STERLING CATALOG - DRY '!1868:1868,"AAAAAH5f3oY=",0)</f>
        <v>0</v>
      </c>
      <c r="EF88" t="e">
        <f>AND('STERLING CATALOG - DRY '!A1868,"AAAAAH5f3oc=")</f>
        <v>#VALUE!</v>
      </c>
      <c r="EG88" t="e">
        <f>AND('STERLING CATALOG - DRY '!B1868,"AAAAAH5f3og=")</f>
        <v>#VALUE!</v>
      </c>
      <c r="EH88" t="e">
        <f>AND('STERLING CATALOG - DRY '!C1868,"AAAAAH5f3ok=")</f>
        <v>#VALUE!</v>
      </c>
      <c r="EI88" t="e">
        <f>AND('STERLING CATALOG - DRY '!D1868,"AAAAAH5f3oo=")</f>
        <v>#VALUE!</v>
      </c>
      <c r="EJ88" t="e">
        <f>AND('STERLING CATALOG - DRY '!E1868,"AAAAAH5f3os=")</f>
        <v>#VALUE!</v>
      </c>
      <c r="EK88" t="e">
        <f>AND('STERLING CATALOG - DRY '!F1868,"AAAAAH5f3ow=")</f>
        <v>#VALUE!</v>
      </c>
      <c r="EL88" t="e">
        <f>AND('STERLING CATALOG - DRY '!G1868,"AAAAAH5f3o0=")</f>
        <v>#VALUE!</v>
      </c>
      <c r="EM88" t="e">
        <f>AND('STERLING CATALOG - DRY '!H1868,"AAAAAH5f3o4=")</f>
        <v>#VALUE!</v>
      </c>
      <c r="EN88" t="e">
        <f>AND('STERLING CATALOG - DRY '!I1868,"AAAAAH5f3o8=")</f>
        <v>#VALUE!</v>
      </c>
      <c r="EO88" t="e">
        <f>AND('STERLING CATALOG - DRY '!J1868,"AAAAAH5f3pA=")</f>
        <v>#VALUE!</v>
      </c>
      <c r="EP88">
        <f>IF('STERLING CATALOG - DRY '!1869:1869,"AAAAAH5f3pE=",0)</f>
        <v>0</v>
      </c>
      <c r="EQ88" t="e">
        <f>AND('STERLING CATALOG - DRY '!A1869,"AAAAAH5f3pI=")</f>
        <v>#VALUE!</v>
      </c>
      <c r="ER88" t="e">
        <f>AND('STERLING CATALOG - DRY '!B1869,"AAAAAH5f3pM=")</f>
        <v>#VALUE!</v>
      </c>
      <c r="ES88" t="e">
        <f>AND('STERLING CATALOG - DRY '!C1869,"AAAAAH5f3pQ=")</f>
        <v>#VALUE!</v>
      </c>
      <c r="ET88" t="e">
        <f>AND('STERLING CATALOG - DRY '!D1869,"AAAAAH5f3pU=")</f>
        <v>#VALUE!</v>
      </c>
      <c r="EU88" t="e">
        <f>AND('STERLING CATALOG - DRY '!E1869,"AAAAAH5f3pY=")</f>
        <v>#VALUE!</v>
      </c>
      <c r="EV88" t="e">
        <f>AND('STERLING CATALOG - DRY '!F1869,"AAAAAH5f3pc=")</f>
        <v>#VALUE!</v>
      </c>
      <c r="EW88" t="e">
        <f>AND('STERLING CATALOG - DRY '!G1869,"AAAAAH5f3pg=")</f>
        <v>#VALUE!</v>
      </c>
      <c r="EX88" t="e">
        <f>AND('STERLING CATALOG - DRY '!H1869,"AAAAAH5f3pk=")</f>
        <v>#VALUE!</v>
      </c>
      <c r="EY88" t="e">
        <f>AND('STERLING CATALOG - DRY '!I1869,"AAAAAH5f3po=")</f>
        <v>#VALUE!</v>
      </c>
      <c r="EZ88" t="e">
        <f>AND('STERLING CATALOG - DRY '!J1869,"AAAAAH5f3ps=")</f>
        <v>#VALUE!</v>
      </c>
      <c r="FA88">
        <f>IF('STERLING CATALOG - DRY '!1870:1870,"AAAAAH5f3pw=",0)</f>
        <v>0</v>
      </c>
      <c r="FB88" t="e">
        <f>AND('STERLING CATALOG - DRY '!A1870,"AAAAAH5f3p0=")</f>
        <v>#VALUE!</v>
      </c>
      <c r="FC88" t="e">
        <f>AND('STERLING CATALOG - DRY '!B1870,"AAAAAH5f3p4=")</f>
        <v>#VALUE!</v>
      </c>
      <c r="FD88" t="e">
        <f>AND('STERLING CATALOG - DRY '!C1870,"AAAAAH5f3p8=")</f>
        <v>#VALUE!</v>
      </c>
      <c r="FE88" t="e">
        <f>AND('STERLING CATALOG - DRY '!D1870,"AAAAAH5f3qA=")</f>
        <v>#VALUE!</v>
      </c>
      <c r="FF88" t="e">
        <f>AND('STERLING CATALOG - DRY '!E1870,"AAAAAH5f3qE=")</f>
        <v>#VALUE!</v>
      </c>
      <c r="FG88" t="e">
        <f>AND('STERLING CATALOG - DRY '!F1870,"AAAAAH5f3qI=")</f>
        <v>#VALUE!</v>
      </c>
      <c r="FH88" t="e">
        <f>AND('STERLING CATALOG - DRY '!G1870,"AAAAAH5f3qM=")</f>
        <v>#VALUE!</v>
      </c>
      <c r="FI88" t="e">
        <f>AND('STERLING CATALOG - DRY '!H1870,"AAAAAH5f3qQ=")</f>
        <v>#VALUE!</v>
      </c>
      <c r="FJ88" t="e">
        <f>AND('STERLING CATALOG - DRY '!I1870,"AAAAAH5f3qU=")</f>
        <v>#VALUE!</v>
      </c>
      <c r="FK88" t="e">
        <f>AND('STERLING CATALOG - DRY '!J1870,"AAAAAH5f3qY=")</f>
        <v>#VALUE!</v>
      </c>
      <c r="FL88">
        <f>IF('STERLING CATALOG - DRY '!1871:1871,"AAAAAH5f3qc=",0)</f>
        <v>0</v>
      </c>
      <c r="FM88" t="e">
        <f>AND('STERLING CATALOG - DRY '!A1871,"AAAAAH5f3qg=")</f>
        <v>#VALUE!</v>
      </c>
      <c r="FN88" t="e">
        <f>AND('STERLING CATALOG - DRY '!B1871,"AAAAAH5f3qk=")</f>
        <v>#VALUE!</v>
      </c>
      <c r="FO88" t="e">
        <f>AND('STERLING CATALOG - DRY '!C1871,"AAAAAH5f3qo=")</f>
        <v>#VALUE!</v>
      </c>
      <c r="FP88" t="e">
        <f>AND('STERLING CATALOG - DRY '!D1871,"AAAAAH5f3qs=")</f>
        <v>#VALUE!</v>
      </c>
      <c r="FQ88" t="e">
        <f>AND('STERLING CATALOG - DRY '!E1871,"AAAAAH5f3qw=")</f>
        <v>#VALUE!</v>
      </c>
      <c r="FR88" t="e">
        <f>AND('STERLING CATALOG - DRY '!F1871,"AAAAAH5f3q0=")</f>
        <v>#VALUE!</v>
      </c>
      <c r="FS88" t="e">
        <f>AND('STERLING CATALOG - DRY '!G1871,"AAAAAH5f3q4=")</f>
        <v>#VALUE!</v>
      </c>
      <c r="FT88" t="e">
        <f>AND('STERLING CATALOG - DRY '!H1871,"AAAAAH5f3q8=")</f>
        <v>#VALUE!</v>
      </c>
      <c r="FU88" t="e">
        <f>AND('STERLING CATALOG - DRY '!I1871,"AAAAAH5f3rA=")</f>
        <v>#VALUE!</v>
      </c>
      <c r="FV88" t="e">
        <f>AND('STERLING CATALOG - DRY '!J1871,"AAAAAH5f3rE=")</f>
        <v>#VALUE!</v>
      </c>
      <c r="FW88">
        <f>IF('STERLING CATALOG - DRY '!1872:1872,"AAAAAH5f3rI=",0)</f>
        <v>0</v>
      </c>
      <c r="FX88" t="e">
        <f>AND('STERLING CATALOG - DRY '!A1872,"AAAAAH5f3rM=")</f>
        <v>#VALUE!</v>
      </c>
      <c r="FY88" t="e">
        <f>AND('STERLING CATALOG - DRY '!B1872,"AAAAAH5f3rQ=")</f>
        <v>#VALUE!</v>
      </c>
      <c r="FZ88" t="e">
        <f>AND('STERLING CATALOG - DRY '!C1872,"AAAAAH5f3rU=")</f>
        <v>#VALUE!</v>
      </c>
      <c r="GA88" t="e">
        <f>AND('STERLING CATALOG - DRY '!D1872,"AAAAAH5f3rY=")</f>
        <v>#VALUE!</v>
      </c>
      <c r="GB88" t="e">
        <f>AND('STERLING CATALOG - DRY '!E1872,"AAAAAH5f3rc=")</f>
        <v>#VALUE!</v>
      </c>
      <c r="GC88" t="e">
        <f>AND('STERLING CATALOG - DRY '!F1872,"AAAAAH5f3rg=")</f>
        <v>#VALUE!</v>
      </c>
      <c r="GD88" t="e">
        <f>AND('STERLING CATALOG - DRY '!G1872,"AAAAAH5f3rk=")</f>
        <v>#VALUE!</v>
      </c>
      <c r="GE88" t="e">
        <f>AND('STERLING CATALOG - DRY '!H1872,"AAAAAH5f3ro=")</f>
        <v>#VALUE!</v>
      </c>
      <c r="GF88" t="e">
        <f>AND('STERLING CATALOG - DRY '!I1872,"AAAAAH5f3rs=")</f>
        <v>#VALUE!</v>
      </c>
      <c r="GG88" t="e">
        <f>AND('STERLING CATALOG - DRY '!J1872,"AAAAAH5f3rw=")</f>
        <v>#VALUE!</v>
      </c>
      <c r="GH88">
        <f>IF('STERLING CATALOG - DRY '!1873:1873,"AAAAAH5f3r0=",0)</f>
        <v>0</v>
      </c>
      <c r="GI88" t="e">
        <f>AND('STERLING CATALOG - DRY '!A1873,"AAAAAH5f3r4=")</f>
        <v>#VALUE!</v>
      </c>
      <c r="GJ88" t="e">
        <f>AND('STERLING CATALOG - DRY '!B1873,"AAAAAH5f3r8=")</f>
        <v>#VALUE!</v>
      </c>
      <c r="GK88" t="e">
        <f>AND('STERLING CATALOG - DRY '!C1873,"AAAAAH5f3sA=")</f>
        <v>#VALUE!</v>
      </c>
      <c r="GL88" t="e">
        <f>AND('STERLING CATALOG - DRY '!D1873,"AAAAAH5f3sE=")</f>
        <v>#VALUE!</v>
      </c>
      <c r="GM88" t="e">
        <f>AND('STERLING CATALOG - DRY '!E1873,"AAAAAH5f3sI=")</f>
        <v>#VALUE!</v>
      </c>
      <c r="GN88" t="e">
        <f>AND('STERLING CATALOG - DRY '!F1873,"AAAAAH5f3sM=")</f>
        <v>#VALUE!</v>
      </c>
      <c r="GO88" t="e">
        <f>AND('STERLING CATALOG - DRY '!G1873,"AAAAAH5f3sQ=")</f>
        <v>#VALUE!</v>
      </c>
      <c r="GP88" t="e">
        <f>AND('STERLING CATALOG - DRY '!H1873,"AAAAAH5f3sU=")</f>
        <v>#VALUE!</v>
      </c>
      <c r="GQ88" t="e">
        <f>AND('STERLING CATALOG - DRY '!I1873,"AAAAAH5f3sY=")</f>
        <v>#VALUE!</v>
      </c>
      <c r="GR88" t="e">
        <f>AND('STERLING CATALOG - DRY '!J1873,"AAAAAH5f3sc=")</f>
        <v>#VALUE!</v>
      </c>
      <c r="GS88">
        <f>IF('STERLING CATALOG - DRY '!1874:1874,"AAAAAH5f3sg=",0)</f>
        <v>0</v>
      </c>
      <c r="GT88" t="e">
        <f>AND('STERLING CATALOG - DRY '!A1874,"AAAAAH5f3sk=")</f>
        <v>#VALUE!</v>
      </c>
      <c r="GU88" t="e">
        <f>AND('STERLING CATALOG - DRY '!B1874,"AAAAAH5f3so=")</f>
        <v>#VALUE!</v>
      </c>
      <c r="GV88" t="e">
        <f>AND('STERLING CATALOG - DRY '!C1874,"AAAAAH5f3ss=")</f>
        <v>#VALUE!</v>
      </c>
      <c r="GW88" t="e">
        <f>AND('STERLING CATALOG - DRY '!D1874,"AAAAAH5f3sw=")</f>
        <v>#VALUE!</v>
      </c>
      <c r="GX88" t="e">
        <f>AND('STERLING CATALOG - DRY '!E1874,"AAAAAH5f3s0=")</f>
        <v>#VALUE!</v>
      </c>
      <c r="GY88" t="e">
        <f>AND('STERLING CATALOG - DRY '!F1874,"AAAAAH5f3s4=")</f>
        <v>#VALUE!</v>
      </c>
      <c r="GZ88" t="e">
        <f>AND('STERLING CATALOG - DRY '!G1874,"AAAAAH5f3s8=")</f>
        <v>#VALUE!</v>
      </c>
      <c r="HA88" t="e">
        <f>AND('STERLING CATALOG - DRY '!H1874,"AAAAAH5f3tA=")</f>
        <v>#VALUE!</v>
      </c>
      <c r="HB88" t="e">
        <f>AND('STERLING CATALOG - DRY '!I1874,"AAAAAH5f3tE=")</f>
        <v>#VALUE!</v>
      </c>
      <c r="HC88" t="e">
        <f>AND('STERLING CATALOG - DRY '!J1874,"AAAAAH5f3tI=")</f>
        <v>#VALUE!</v>
      </c>
      <c r="HD88">
        <f>IF('STERLING CATALOG - DRY '!1875:1875,"AAAAAH5f3tM=",0)</f>
        <v>0</v>
      </c>
      <c r="HE88" t="e">
        <f>AND('STERLING CATALOG - DRY '!A1875,"AAAAAH5f3tQ=")</f>
        <v>#VALUE!</v>
      </c>
      <c r="HF88" t="e">
        <f>AND('STERLING CATALOG - DRY '!B1875,"AAAAAH5f3tU=")</f>
        <v>#VALUE!</v>
      </c>
      <c r="HG88" t="e">
        <f>AND('STERLING CATALOG - DRY '!C1875,"AAAAAH5f3tY=")</f>
        <v>#VALUE!</v>
      </c>
      <c r="HH88" t="e">
        <f>AND('STERLING CATALOG - DRY '!D1875,"AAAAAH5f3tc=")</f>
        <v>#VALUE!</v>
      </c>
      <c r="HI88" t="e">
        <f>AND('STERLING CATALOG - DRY '!E1875,"AAAAAH5f3tg=")</f>
        <v>#VALUE!</v>
      </c>
      <c r="HJ88" t="e">
        <f>AND('STERLING CATALOG - DRY '!F1875,"AAAAAH5f3tk=")</f>
        <v>#VALUE!</v>
      </c>
      <c r="HK88" t="e">
        <f>AND('STERLING CATALOG - DRY '!G1875,"AAAAAH5f3to=")</f>
        <v>#VALUE!</v>
      </c>
      <c r="HL88" t="e">
        <f>AND('STERLING CATALOG - DRY '!H1875,"AAAAAH5f3ts=")</f>
        <v>#VALUE!</v>
      </c>
      <c r="HM88" t="e">
        <f>AND('STERLING CATALOG - DRY '!I1875,"AAAAAH5f3tw=")</f>
        <v>#VALUE!</v>
      </c>
      <c r="HN88" t="e">
        <f>AND('STERLING CATALOG - DRY '!J1875,"AAAAAH5f3t0=")</f>
        <v>#VALUE!</v>
      </c>
      <c r="HO88">
        <f>IF('STERLING CATALOG - DRY '!1876:1876,"AAAAAH5f3t4=",0)</f>
        <v>0</v>
      </c>
      <c r="HP88" t="e">
        <f>AND('STERLING CATALOG - DRY '!A1876,"AAAAAH5f3t8=")</f>
        <v>#VALUE!</v>
      </c>
      <c r="HQ88" t="e">
        <f>AND('STERLING CATALOG - DRY '!B1876,"AAAAAH5f3uA=")</f>
        <v>#VALUE!</v>
      </c>
      <c r="HR88" t="e">
        <f>AND('STERLING CATALOG - DRY '!C1876,"AAAAAH5f3uE=")</f>
        <v>#VALUE!</v>
      </c>
      <c r="HS88" t="e">
        <f>AND('STERLING CATALOG - DRY '!D1876,"AAAAAH5f3uI=")</f>
        <v>#VALUE!</v>
      </c>
      <c r="HT88" t="e">
        <f>AND('STERLING CATALOG - DRY '!E1876,"AAAAAH5f3uM=")</f>
        <v>#VALUE!</v>
      </c>
      <c r="HU88" t="e">
        <f>AND('STERLING CATALOG - DRY '!F1876,"AAAAAH5f3uQ=")</f>
        <v>#VALUE!</v>
      </c>
      <c r="HV88" t="e">
        <f>AND('STERLING CATALOG - DRY '!G1876,"AAAAAH5f3uU=")</f>
        <v>#VALUE!</v>
      </c>
      <c r="HW88" t="e">
        <f>AND('STERLING CATALOG - DRY '!H1876,"AAAAAH5f3uY=")</f>
        <v>#VALUE!</v>
      </c>
      <c r="HX88" t="e">
        <f>AND('STERLING CATALOG - DRY '!I1876,"AAAAAH5f3uc=")</f>
        <v>#VALUE!</v>
      </c>
      <c r="HY88" t="e">
        <f>AND('STERLING CATALOG - DRY '!J1876,"AAAAAH5f3ug=")</f>
        <v>#VALUE!</v>
      </c>
      <c r="HZ88">
        <f>IF('STERLING CATALOG - DRY '!1877:1877,"AAAAAH5f3uk=",0)</f>
        <v>0</v>
      </c>
      <c r="IA88" t="e">
        <f>AND('STERLING CATALOG - DRY '!A1877,"AAAAAH5f3uo=")</f>
        <v>#VALUE!</v>
      </c>
      <c r="IB88" t="e">
        <f>AND('STERLING CATALOG - DRY '!B1877,"AAAAAH5f3us=")</f>
        <v>#VALUE!</v>
      </c>
      <c r="IC88" t="e">
        <f>AND('STERLING CATALOG - DRY '!C1877,"AAAAAH5f3uw=")</f>
        <v>#VALUE!</v>
      </c>
      <c r="ID88" t="e">
        <f>AND('STERLING CATALOG - DRY '!D1877,"AAAAAH5f3u0=")</f>
        <v>#VALUE!</v>
      </c>
      <c r="IE88" t="e">
        <f>AND('STERLING CATALOG - DRY '!E1877,"AAAAAH5f3u4=")</f>
        <v>#VALUE!</v>
      </c>
      <c r="IF88" t="e">
        <f>AND('STERLING CATALOG - DRY '!F1877,"AAAAAH5f3u8=")</f>
        <v>#VALUE!</v>
      </c>
      <c r="IG88" t="e">
        <f>AND('STERLING CATALOG - DRY '!G1877,"AAAAAH5f3vA=")</f>
        <v>#VALUE!</v>
      </c>
      <c r="IH88" t="e">
        <f>AND('STERLING CATALOG - DRY '!H1877,"AAAAAH5f3vE=")</f>
        <v>#VALUE!</v>
      </c>
      <c r="II88" t="e">
        <f>AND('STERLING CATALOG - DRY '!I1877,"AAAAAH5f3vI=")</f>
        <v>#VALUE!</v>
      </c>
      <c r="IJ88" t="e">
        <f>AND('STERLING CATALOG - DRY '!J1877,"AAAAAH5f3vM=")</f>
        <v>#VALUE!</v>
      </c>
      <c r="IK88">
        <f>IF('STERLING CATALOG - DRY '!1878:1878,"AAAAAH5f3vQ=",0)</f>
        <v>0</v>
      </c>
      <c r="IL88" t="e">
        <f>AND('STERLING CATALOG - DRY '!A1878,"AAAAAH5f3vU=")</f>
        <v>#VALUE!</v>
      </c>
      <c r="IM88" t="e">
        <f>AND('STERLING CATALOG - DRY '!B1878,"AAAAAH5f3vY=")</f>
        <v>#VALUE!</v>
      </c>
      <c r="IN88" t="e">
        <f>AND('STERLING CATALOG - DRY '!C1878,"AAAAAH5f3vc=")</f>
        <v>#VALUE!</v>
      </c>
      <c r="IO88" t="e">
        <f>AND('STERLING CATALOG - DRY '!D1878,"AAAAAH5f3vg=")</f>
        <v>#VALUE!</v>
      </c>
      <c r="IP88" t="e">
        <f>AND('STERLING CATALOG - DRY '!E1878,"AAAAAH5f3vk=")</f>
        <v>#VALUE!</v>
      </c>
      <c r="IQ88" t="e">
        <f>AND('STERLING CATALOG - DRY '!F1878,"AAAAAH5f3vo=")</f>
        <v>#VALUE!</v>
      </c>
      <c r="IR88" t="e">
        <f>AND('STERLING CATALOG - DRY '!G1878,"AAAAAH5f3vs=")</f>
        <v>#VALUE!</v>
      </c>
      <c r="IS88" t="e">
        <f>AND('STERLING CATALOG - DRY '!H1878,"AAAAAH5f3vw=")</f>
        <v>#VALUE!</v>
      </c>
      <c r="IT88" t="e">
        <f>AND('STERLING CATALOG - DRY '!I1878,"AAAAAH5f3v0=")</f>
        <v>#VALUE!</v>
      </c>
      <c r="IU88" t="e">
        <f>AND('STERLING CATALOG - DRY '!J1878,"AAAAAH5f3v4=")</f>
        <v>#VALUE!</v>
      </c>
      <c r="IV88">
        <f>IF('STERLING CATALOG - DRY '!1879:1879,"AAAAAH5f3v8=",0)</f>
        <v>0</v>
      </c>
    </row>
    <row r="89" spans="1:256">
      <c r="A89" t="e">
        <f>AND('STERLING CATALOG - DRY '!A1879,"AAAAAHfJ8gA=")</f>
        <v>#VALUE!</v>
      </c>
      <c r="B89" t="e">
        <f>AND('STERLING CATALOG - DRY '!B1879,"AAAAAHfJ8gE=")</f>
        <v>#VALUE!</v>
      </c>
      <c r="C89" t="e">
        <f>AND('STERLING CATALOG - DRY '!C1879,"AAAAAHfJ8gI=")</f>
        <v>#VALUE!</v>
      </c>
      <c r="D89" t="e">
        <f>AND('STERLING CATALOG - DRY '!D1879,"AAAAAHfJ8gM=")</f>
        <v>#VALUE!</v>
      </c>
      <c r="E89" t="e">
        <f>AND('STERLING CATALOG - DRY '!E1879,"AAAAAHfJ8gQ=")</f>
        <v>#VALUE!</v>
      </c>
      <c r="F89" t="e">
        <f>AND('STERLING CATALOG - DRY '!F1879,"AAAAAHfJ8gU=")</f>
        <v>#VALUE!</v>
      </c>
      <c r="G89" t="e">
        <f>AND('STERLING CATALOG - DRY '!G1879,"AAAAAHfJ8gY=")</f>
        <v>#VALUE!</v>
      </c>
      <c r="H89" t="e">
        <f>AND('STERLING CATALOG - DRY '!H1879,"AAAAAHfJ8gc=")</f>
        <v>#VALUE!</v>
      </c>
      <c r="I89" t="e">
        <f>AND('STERLING CATALOG - DRY '!I1879,"AAAAAHfJ8gg=")</f>
        <v>#VALUE!</v>
      </c>
      <c r="J89" t="e">
        <f>AND('STERLING CATALOG - DRY '!J1879,"AAAAAHfJ8gk=")</f>
        <v>#VALUE!</v>
      </c>
      <c r="K89">
        <f>IF('STERLING CATALOG - DRY '!1880:1880,"AAAAAHfJ8go=",0)</f>
        <v>0</v>
      </c>
      <c r="L89" t="e">
        <f>AND('STERLING CATALOG - DRY '!A1880,"AAAAAHfJ8gs=")</f>
        <v>#VALUE!</v>
      </c>
      <c r="M89" t="e">
        <f>AND('STERLING CATALOG - DRY '!B1880,"AAAAAHfJ8gw=")</f>
        <v>#VALUE!</v>
      </c>
      <c r="N89" t="e">
        <f>AND('STERLING CATALOG - DRY '!C1880,"AAAAAHfJ8g0=")</f>
        <v>#VALUE!</v>
      </c>
      <c r="O89" t="e">
        <f>AND('STERLING CATALOG - DRY '!D1880,"AAAAAHfJ8g4=")</f>
        <v>#VALUE!</v>
      </c>
      <c r="P89" t="e">
        <f>AND('STERLING CATALOG - DRY '!E1880,"AAAAAHfJ8g8=")</f>
        <v>#VALUE!</v>
      </c>
      <c r="Q89" t="e">
        <f>AND('STERLING CATALOG - DRY '!F1880,"AAAAAHfJ8hA=")</f>
        <v>#VALUE!</v>
      </c>
      <c r="R89" t="e">
        <f>AND('STERLING CATALOG - DRY '!G1880,"AAAAAHfJ8hE=")</f>
        <v>#VALUE!</v>
      </c>
      <c r="S89" t="e">
        <f>AND('STERLING CATALOG - DRY '!H1880,"AAAAAHfJ8hI=")</f>
        <v>#VALUE!</v>
      </c>
      <c r="T89" t="e">
        <f>AND('STERLING CATALOG - DRY '!I1880,"AAAAAHfJ8hM=")</f>
        <v>#VALUE!</v>
      </c>
      <c r="U89" t="e">
        <f>AND('STERLING CATALOG - DRY '!J1880,"AAAAAHfJ8hQ=")</f>
        <v>#VALUE!</v>
      </c>
      <c r="V89">
        <f>IF('STERLING CATALOG - DRY '!1881:1881,"AAAAAHfJ8hU=",0)</f>
        <v>0</v>
      </c>
      <c r="W89" t="e">
        <f>AND('STERLING CATALOG - DRY '!A1881,"AAAAAHfJ8hY=")</f>
        <v>#VALUE!</v>
      </c>
      <c r="X89" t="e">
        <f>AND('STERLING CATALOG - DRY '!B1881,"AAAAAHfJ8hc=")</f>
        <v>#VALUE!</v>
      </c>
      <c r="Y89" t="e">
        <f>AND('STERLING CATALOG - DRY '!C1881,"AAAAAHfJ8hg=")</f>
        <v>#VALUE!</v>
      </c>
      <c r="Z89" t="e">
        <f>AND('STERLING CATALOG - DRY '!D1881,"AAAAAHfJ8hk=")</f>
        <v>#VALUE!</v>
      </c>
      <c r="AA89" t="e">
        <f>AND('STERLING CATALOG - DRY '!E1881,"AAAAAHfJ8ho=")</f>
        <v>#VALUE!</v>
      </c>
      <c r="AB89" t="e">
        <f>AND('STERLING CATALOG - DRY '!F1881,"AAAAAHfJ8hs=")</f>
        <v>#VALUE!</v>
      </c>
      <c r="AC89" t="e">
        <f>AND('STERLING CATALOG - DRY '!G1881,"AAAAAHfJ8hw=")</f>
        <v>#VALUE!</v>
      </c>
      <c r="AD89" t="e">
        <f>AND('STERLING CATALOG - DRY '!H1881,"AAAAAHfJ8h0=")</f>
        <v>#VALUE!</v>
      </c>
      <c r="AE89" t="e">
        <f>AND('STERLING CATALOG - DRY '!I1881,"AAAAAHfJ8h4=")</f>
        <v>#VALUE!</v>
      </c>
      <c r="AF89" t="e">
        <f>AND('STERLING CATALOG - DRY '!J1881,"AAAAAHfJ8h8=")</f>
        <v>#VALUE!</v>
      </c>
      <c r="AG89">
        <f>IF('STERLING CATALOG - DRY '!1882:1882,"AAAAAHfJ8iA=",0)</f>
        <v>0</v>
      </c>
      <c r="AH89" t="e">
        <f>AND('STERLING CATALOG - DRY '!A1882,"AAAAAHfJ8iE=")</f>
        <v>#VALUE!</v>
      </c>
      <c r="AI89" t="e">
        <f>AND('STERLING CATALOG - DRY '!B1882,"AAAAAHfJ8iI=")</f>
        <v>#VALUE!</v>
      </c>
      <c r="AJ89" t="e">
        <f>AND('STERLING CATALOG - DRY '!C1882,"AAAAAHfJ8iM=")</f>
        <v>#VALUE!</v>
      </c>
      <c r="AK89" t="e">
        <f>AND('STERLING CATALOG - DRY '!D1882,"AAAAAHfJ8iQ=")</f>
        <v>#VALUE!</v>
      </c>
      <c r="AL89" t="e">
        <f>AND('STERLING CATALOG - DRY '!E1882,"AAAAAHfJ8iU=")</f>
        <v>#VALUE!</v>
      </c>
      <c r="AM89" t="e">
        <f>AND('STERLING CATALOG - DRY '!F1882,"AAAAAHfJ8iY=")</f>
        <v>#VALUE!</v>
      </c>
      <c r="AN89" t="e">
        <f>AND('STERLING CATALOG - DRY '!G1882,"AAAAAHfJ8ic=")</f>
        <v>#VALUE!</v>
      </c>
      <c r="AO89" t="e">
        <f>AND('STERLING CATALOG - DRY '!H1882,"AAAAAHfJ8ig=")</f>
        <v>#VALUE!</v>
      </c>
      <c r="AP89" t="e">
        <f>AND('STERLING CATALOG - DRY '!I1882,"AAAAAHfJ8ik=")</f>
        <v>#VALUE!</v>
      </c>
      <c r="AQ89" t="e">
        <f>AND('STERLING CATALOG - DRY '!J1882,"AAAAAHfJ8io=")</f>
        <v>#VALUE!</v>
      </c>
      <c r="AR89">
        <f>IF('STERLING CATALOG - DRY '!1883:1883,"AAAAAHfJ8is=",0)</f>
        <v>0</v>
      </c>
      <c r="AS89" t="e">
        <f>AND('STERLING CATALOG - DRY '!A1883,"AAAAAHfJ8iw=")</f>
        <v>#VALUE!</v>
      </c>
      <c r="AT89" t="e">
        <f>AND('STERLING CATALOG - DRY '!B1883,"AAAAAHfJ8i0=")</f>
        <v>#VALUE!</v>
      </c>
      <c r="AU89" t="e">
        <f>AND('STERLING CATALOG - DRY '!C1883,"AAAAAHfJ8i4=")</f>
        <v>#VALUE!</v>
      </c>
      <c r="AV89" t="e">
        <f>AND('STERLING CATALOG - DRY '!D1883,"AAAAAHfJ8i8=")</f>
        <v>#VALUE!</v>
      </c>
      <c r="AW89" t="e">
        <f>AND('STERLING CATALOG - DRY '!E1883,"AAAAAHfJ8jA=")</f>
        <v>#VALUE!</v>
      </c>
      <c r="AX89" t="e">
        <f>AND('STERLING CATALOG - DRY '!F1883,"AAAAAHfJ8jE=")</f>
        <v>#VALUE!</v>
      </c>
      <c r="AY89" t="e">
        <f>AND('STERLING CATALOG - DRY '!G1883,"AAAAAHfJ8jI=")</f>
        <v>#VALUE!</v>
      </c>
      <c r="AZ89" t="e">
        <f>AND('STERLING CATALOG - DRY '!H1883,"AAAAAHfJ8jM=")</f>
        <v>#VALUE!</v>
      </c>
      <c r="BA89" t="e">
        <f>AND('STERLING CATALOG - DRY '!I1883,"AAAAAHfJ8jQ=")</f>
        <v>#VALUE!</v>
      </c>
      <c r="BB89" t="e">
        <f>AND('STERLING CATALOG - DRY '!J1883,"AAAAAHfJ8jU=")</f>
        <v>#VALUE!</v>
      </c>
      <c r="BC89">
        <f>IF('STERLING CATALOG - DRY '!1884:1884,"AAAAAHfJ8jY=",0)</f>
        <v>0</v>
      </c>
      <c r="BD89" t="e">
        <f>AND('STERLING CATALOG - DRY '!A1884,"AAAAAHfJ8jc=")</f>
        <v>#VALUE!</v>
      </c>
      <c r="BE89" t="e">
        <f>AND('STERLING CATALOG - DRY '!B1884,"AAAAAHfJ8jg=")</f>
        <v>#VALUE!</v>
      </c>
      <c r="BF89" t="e">
        <f>AND('STERLING CATALOG - DRY '!C1884,"AAAAAHfJ8jk=")</f>
        <v>#VALUE!</v>
      </c>
      <c r="BG89" t="e">
        <f>AND('STERLING CATALOG - DRY '!D1884,"AAAAAHfJ8jo=")</f>
        <v>#VALUE!</v>
      </c>
      <c r="BH89" t="e">
        <f>AND('STERLING CATALOG - DRY '!E1884,"AAAAAHfJ8js=")</f>
        <v>#VALUE!</v>
      </c>
      <c r="BI89" t="e">
        <f>AND('STERLING CATALOG - DRY '!F1884,"AAAAAHfJ8jw=")</f>
        <v>#VALUE!</v>
      </c>
      <c r="BJ89" t="e">
        <f>AND('STERLING CATALOG - DRY '!G1884,"AAAAAHfJ8j0=")</f>
        <v>#VALUE!</v>
      </c>
      <c r="BK89" t="e">
        <f>AND('STERLING CATALOG - DRY '!H1884,"AAAAAHfJ8j4=")</f>
        <v>#VALUE!</v>
      </c>
      <c r="BL89" t="e">
        <f>AND('STERLING CATALOG - DRY '!I1884,"AAAAAHfJ8j8=")</f>
        <v>#VALUE!</v>
      </c>
      <c r="BM89" t="e">
        <f>AND('STERLING CATALOG - DRY '!J1884,"AAAAAHfJ8kA=")</f>
        <v>#VALUE!</v>
      </c>
      <c r="BN89">
        <f>IF('STERLING CATALOG - DRY '!1885:1885,"AAAAAHfJ8kE=",0)</f>
        <v>0</v>
      </c>
      <c r="BO89" t="e">
        <f>AND('STERLING CATALOG - DRY '!A1885,"AAAAAHfJ8kI=")</f>
        <v>#VALUE!</v>
      </c>
      <c r="BP89" t="e">
        <f>AND('STERLING CATALOG - DRY '!B1885,"AAAAAHfJ8kM=")</f>
        <v>#VALUE!</v>
      </c>
      <c r="BQ89" t="e">
        <f>AND('STERLING CATALOG - DRY '!C1885,"AAAAAHfJ8kQ=")</f>
        <v>#VALUE!</v>
      </c>
      <c r="BR89" t="e">
        <f>AND('STERLING CATALOG - DRY '!D1885,"AAAAAHfJ8kU=")</f>
        <v>#VALUE!</v>
      </c>
      <c r="BS89" t="e">
        <f>AND('STERLING CATALOG - DRY '!E1885,"AAAAAHfJ8kY=")</f>
        <v>#VALUE!</v>
      </c>
      <c r="BT89" t="e">
        <f>AND('STERLING CATALOG - DRY '!F1885,"AAAAAHfJ8kc=")</f>
        <v>#VALUE!</v>
      </c>
      <c r="BU89" t="e">
        <f>AND('STERLING CATALOG - DRY '!G1885,"AAAAAHfJ8kg=")</f>
        <v>#VALUE!</v>
      </c>
      <c r="BV89" t="e">
        <f>AND('STERLING CATALOG - DRY '!H1885,"AAAAAHfJ8kk=")</f>
        <v>#VALUE!</v>
      </c>
      <c r="BW89" t="e">
        <f>AND('STERLING CATALOG - DRY '!I1885,"AAAAAHfJ8ko=")</f>
        <v>#VALUE!</v>
      </c>
      <c r="BX89" t="e">
        <f>AND('STERLING CATALOG - DRY '!J1885,"AAAAAHfJ8ks=")</f>
        <v>#VALUE!</v>
      </c>
      <c r="BY89">
        <f>IF('STERLING CATALOG - DRY '!1886:1886,"AAAAAHfJ8kw=",0)</f>
        <v>0</v>
      </c>
      <c r="BZ89" t="e">
        <f>AND('STERLING CATALOG - DRY '!A1886,"AAAAAHfJ8k0=")</f>
        <v>#VALUE!</v>
      </c>
      <c r="CA89" t="e">
        <f>AND('STERLING CATALOG - DRY '!B1886,"AAAAAHfJ8k4=")</f>
        <v>#VALUE!</v>
      </c>
      <c r="CB89" t="e">
        <f>AND('STERLING CATALOG - DRY '!C1886,"AAAAAHfJ8k8=")</f>
        <v>#VALUE!</v>
      </c>
      <c r="CC89" t="e">
        <f>AND('STERLING CATALOG - DRY '!D1886,"AAAAAHfJ8lA=")</f>
        <v>#VALUE!</v>
      </c>
      <c r="CD89" t="e">
        <f>AND('STERLING CATALOG - DRY '!E1886,"AAAAAHfJ8lE=")</f>
        <v>#VALUE!</v>
      </c>
      <c r="CE89" t="e">
        <f>AND('STERLING CATALOG - DRY '!F1886,"AAAAAHfJ8lI=")</f>
        <v>#VALUE!</v>
      </c>
      <c r="CF89" t="e">
        <f>AND('STERLING CATALOG - DRY '!G1886,"AAAAAHfJ8lM=")</f>
        <v>#VALUE!</v>
      </c>
      <c r="CG89" t="e">
        <f>AND('STERLING CATALOG - DRY '!H1886,"AAAAAHfJ8lQ=")</f>
        <v>#VALUE!</v>
      </c>
      <c r="CH89" t="e">
        <f>AND('STERLING CATALOG - DRY '!I1886,"AAAAAHfJ8lU=")</f>
        <v>#VALUE!</v>
      </c>
      <c r="CI89" t="e">
        <f>AND('STERLING CATALOG - DRY '!J1886,"AAAAAHfJ8lY=")</f>
        <v>#VALUE!</v>
      </c>
      <c r="CJ89">
        <f>IF('STERLING CATALOG - DRY '!1887:1887,"AAAAAHfJ8lc=",0)</f>
        <v>0</v>
      </c>
      <c r="CK89" t="e">
        <f>AND('STERLING CATALOG - DRY '!A1887,"AAAAAHfJ8lg=")</f>
        <v>#VALUE!</v>
      </c>
      <c r="CL89" t="e">
        <f>AND('STERLING CATALOG - DRY '!B1887,"AAAAAHfJ8lk=")</f>
        <v>#VALUE!</v>
      </c>
      <c r="CM89" t="e">
        <f>AND('STERLING CATALOG - DRY '!C1887,"AAAAAHfJ8lo=")</f>
        <v>#VALUE!</v>
      </c>
      <c r="CN89" t="e">
        <f>AND('STERLING CATALOG - DRY '!D1887,"AAAAAHfJ8ls=")</f>
        <v>#VALUE!</v>
      </c>
      <c r="CO89" t="e">
        <f>AND('STERLING CATALOG - DRY '!E1887,"AAAAAHfJ8lw=")</f>
        <v>#VALUE!</v>
      </c>
      <c r="CP89" t="e">
        <f>AND('STERLING CATALOG - DRY '!F1887,"AAAAAHfJ8l0=")</f>
        <v>#VALUE!</v>
      </c>
      <c r="CQ89" t="e">
        <f>AND('STERLING CATALOG - DRY '!G1887,"AAAAAHfJ8l4=")</f>
        <v>#VALUE!</v>
      </c>
      <c r="CR89" t="e">
        <f>AND('STERLING CATALOG - DRY '!H1887,"AAAAAHfJ8l8=")</f>
        <v>#VALUE!</v>
      </c>
      <c r="CS89" t="e">
        <f>AND('STERLING CATALOG - DRY '!I1887,"AAAAAHfJ8mA=")</f>
        <v>#VALUE!</v>
      </c>
      <c r="CT89" t="e">
        <f>AND('STERLING CATALOG - DRY '!J1887,"AAAAAHfJ8mE=")</f>
        <v>#VALUE!</v>
      </c>
      <c r="CU89">
        <f>IF('STERLING CATALOG - DRY '!1888:1888,"AAAAAHfJ8mI=",0)</f>
        <v>0</v>
      </c>
      <c r="CV89" t="e">
        <f>AND('STERLING CATALOG - DRY '!A1888,"AAAAAHfJ8mM=")</f>
        <v>#VALUE!</v>
      </c>
      <c r="CW89" t="e">
        <f>AND('STERLING CATALOG - DRY '!B1888,"AAAAAHfJ8mQ=")</f>
        <v>#VALUE!</v>
      </c>
      <c r="CX89" t="e">
        <f>AND('STERLING CATALOG - DRY '!C1888,"AAAAAHfJ8mU=")</f>
        <v>#VALUE!</v>
      </c>
      <c r="CY89" t="e">
        <f>AND('STERLING CATALOG - DRY '!D1888,"AAAAAHfJ8mY=")</f>
        <v>#VALUE!</v>
      </c>
      <c r="CZ89" t="e">
        <f>AND('STERLING CATALOG - DRY '!E1888,"AAAAAHfJ8mc=")</f>
        <v>#VALUE!</v>
      </c>
      <c r="DA89" t="e">
        <f>AND('STERLING CATALOG - DRY '!F1888,"AAAAAHfJ8mg=")</f>
        <v>#VALUE!</v>
      </c>
      <c r="DB89" t="e">
        <f>AND('STERLING CATALOG - DRY '!G1888,"AAAAAHfJ8mk=")</f>
        <v>#VALUE!</v>
      </c>
      <c r="DC89" t="e">
        <f>AND('STERLING CATALOG - DRY '!H1888,"AAAAAHfJ8mo=")</f>
        <v>#VALUE!</v>
      </c>
      <c r="DD89" t="e">
        <f>AND('STERLING CATALOG - DRY '!I1888,"AAAAAHfJ8ms=")</f>
        <v>#VALUE!</v>
      </c>
      <c r="DE89" t="e">
        <f>AND('STERLING CATALOG - DRY '!J1888,"AAAAAHfJ8mw=")</f>
        <v>#VALUE!</v>
      </c>
      <c r="DF89">
        <f>IF('STERLING CATALOG - DRY '!1889:1889,"AAAAAHfJ8m0=",0)</f>
        <v>0</v>
      </c>
      <c r="DG89" t="e">
        <f>AND('STERLING CATALOG - DRY '!A1889,"AAAAAHfJ8m4=")</f>
        <v>#VALUE!</v>
      </c>
      <c r="DH89" t="e">
        <f>AND('STERLING CATALOG - DRY '!B1889,"AAAAAHfJ8m8=")</f>
        <v>#VALUE!</v>
      </c>
      <c r="DI89" t="e">
        <f>AND('STERLING CATALOG - DRY '!C1889,"AAAAAHfJ8nA=")</f>
        <v>#VALUE!</v>
      </c>
      <c r="DJ89" t="e">
        <f>AND('STERLING CATALOG - DRY '!D1889,"AAAAAHfJ8nE=")</f>
        <v>#VALUE!</v>
      </c>
      <c r="DK89" t="e">
        <f>AND('STERLING CATALOG - DRY '!E1889,"AAAAAHfJ8nI=")</f>
        <v>#VALUE!</v>
      </c>
      <c r="DL89" t="e">
        <f>AND('STERLING CATALOG - DRY '!F1889,"AAAAAHfJ8nM=")</f>
        <v>#VALUE!</v>
      </c>
      <c r="DM89" t="e">
        <f>AND('STERLING CATALOG - DRY '!G1889,"AAAAAHfJ8nQ=")</f>
        <v>#VALUE!</v>
      </c>
      <c r="DN89" t="e">
        <f>AND('STERLING CATALOG - DRY '!H1889,"AAAAAHfJ8nU=")</f>
        <v>#VALUE!</v>
      </c>
      <c r="DO89" t="e">
        <f>AND('STERLING CATALOG - DRY '!I1889,"AAAAAHfJ8nY=")</f>
        <v>#VALUE!</v>
      </c>
      <c r="DP89" t="e">
        <f>AND('STERLING CATALOG - DRY '!J1889,"AAAAAHfJ8nc=")</f>
        <v>#VALUE!</v>
      </c>
      <c r="DQ89">
        <f>IF('STERLING CATALOG - DRY '!1890:1890,"AAAAAHfJ8ng=",0)</f>
        <v>0</v>
      </c>
      <c r="DR89" t="e">
        <f>AND('STERLING CATALOG - DRY '!A1890,"AAAAAHfJ8nk=")</f>
        <v>#VALUE!</v>
      </c>
      <c r="DS89" t="e">
        <f>AND('STERLING CATALOG - DRY '!B1890,"AAAAAHfJ8no=")</f>
        <v>#VALUE!</v>
      </c>
      <c r="DT89" t="e">
        <f>AND('STERLING CATALOG - DRY '!C1890,"AAAAAHfJ8ns=")</f>
        <v>#VALUE!</v>
      </c>
      <c r="DU89" t="e">
        <f>AND('STERLING CATALOG - DRY '!D1890,"AAAAAHfJ8nw=")</f>
        <v>#VALUE!</v>
      </c>
      <c r="DV89" t="e">
        <f>AND('STERLING CATALOG - DRY '!E1890,"AAAAAHfJ8n0=")</f>
        <v>#VALUE!</v>
      </c>
      <c r="DW89" t="e">
        <f>AND('STERLING CATALOG - DRY '!F1890,"AAAAAHfJ8n4=")</f>
        <v>#VALUE!</v>
      </c>
      <c r="DX89" t="e">
        <f>AND('STERLING CATALOG - DRY '!G1890,"AAAAAHfJ8n8=")</f>
        <v>#VALUE!</v>
      </c>
      <c r="DY89" t="e">
        <f>AND('STERLING CATALOG - DRY '!H1890,"AAAAAHfJ8oA=")</f>
        <v>#VALUE!</v>
      </c>
      <c r="DZ89" t="e">
        <f>AND('STERLING CATALOG - DRY '!I1890,"AAAAAHfJ8oE=")</f>
        <v>#VALUE!</v>
      </c>
      <c r="EA89" t="e">
        <f>AND('STERLING CATALOG - DRY '!J1890,"AAAAAHfJ8oI=")</f>
        <v>#VALUE!</v>
      </c>
      <c r="EB89">
        <f>IF('STERLING CATALOG - DRY '!1891:1891,"AAAAAHfJ8oM=",0)</f>
        <v>0</v>
      </c>
      <c r="EC89" t="e">
        <f>AND('STERLING CATALOG - DRY '!A1891,"AAAAAHfJ8oQ=")</f>
        <v>#VALUE!</v>
      </c>
      <c r="ED89" t="e">
        <f>AND('STERLING CATALOG - DRY '!B1891,"AAAAAHfJ8oU=")</f>
        <v>#VALUE!</v>
      </c>
      <c r="EE89" t="e">
        <f>AND('STERLING CATALOG - DRY '!C1891,"AAAAAHfJ8oY=")</f>
        <v>#VALUE!</v>
      </c>
      <c r="EF89" t="e">
        <f>AND('STERLING CATALOG - DRY '!D1891,"AAAAAHfJ8oc=")</f>
        <v>#VALUE!</v>
      </c>
      <c r="EG89" t="e">
        <f>AND('STERLING CATALOG - DRY '!E1891,"AAAAAHfJ8og=")</f>
        <v>#VALUE!</v>
      </c>
      <c r="EH89" t="e">
        <f>AND('STERLING CATALOG - DRY '!F1891,"AAAAAHfJ8ok=")</f>
        <v>#VALUE!</v>
      </c>
      <c r="EI89" t="e">
        <f>AND('STERLING CATALOG - DRY '!G1891,"AAAAAHfJ8oo=")</f>
        <v>#VALUE!</v>
      </c>
      <c r="EJ89" t="e">
        <f>AND('STERLING CATALOG - DRY '!H1891,"AAAAAHfJ8os=")</f>
        <v>#VALUE!</v>
      </c>
      <c r="EK89" t="e">
        <f>AND('STERLING CATALOG - DRY '!I1891,"AAAAAHfJ8ow=")</f>
        <v>#VALUE!</v>
      </c>
      <c r="EL89" t="e">
        <f>AND('STERLING CATALOG - DRY '!J1891,"AAAAAHfJ8o0=")</f>
        <v>#VALUE!</v>
      </c>
      <c r="EM89">
        <f>IF('STERLING CATALOG - DRY '!1892:1892,"AAAAAHfJ8o4=",0)</f>
        <v>0</v>
      </c>
      <c r="EN89" t="e">
        <f>AND('STERLING CATALOG - DRY '!A1892,"AAAAAHfJ8o8=")</f>
        <v>#VALUE!</v>
      </c>
      <c r="EO89" t="e">
        <f>AND('STERLING CATALOG - DRY '!B1892,"AAAAAHfJ8pA=")</f>
        <v>#VALUE!</v>
      </c>
      <c r="EP89" t="e">
        <f>AND('STERLING CATALOG - DRY '!C1892,"AAAAAHfJ8pE=")</f>
        <v>#VALUE!</v>
      </c>
      <c r="EQ89" t="e">
        <f>AND('STERLING CATALOG - DRY '!D1892,"AAAAAHfJ8pI=")</f>
        <v>#VALUE!</v>
      </c>
      <c r="ER89" t="e">
        <f>AND('STERLING CATALOG - DRY '!E1892,"AAAAAHfJ8pM=")</f>
        <v>#VALUE!</v>
      </c>
      <c r="ES89" t="e">
        <f>AND('STERLING CATALOG - DRY '!F1892,"AAAAAHfJ8pQ=")</f>
        <v>#VALUE!</v>
      </c>
      <c r="ET89" t="e">
        <f>AND('STERLING CATALOG - DRY '!G1892,"AAAAAHfJ8pU=")</f>
        <v>#VALUE!</v>
      </c>
      <c r="EU89" t="e">
        <f>AND('STERLING CATALOG - DRY '!H1892,"AAAAAHfJ8pY=")</f>
        <v>#VALUE!</v>
      </c>
      <c r="EV89" t="e">
        <f>AND('STERLING CATALOG - DRY '!I1892,"AAAAAHfJ8pc=")</f>
        <v>#VALUE!</v>
      </c>
      <c r="EW89" t="e">
        <f>AND('STERLING CATALOG - DRY '!J1892,"AAAAAHfJ8pg=")</f>
        <v>#VALUE!</v>
      </c>
      <c r="EX89">
        <f>IF('STERLING CATALOG - DRY '!1893:1893,"AAAAAHfJ8pk=",0)</f>
        <v>0</v>
      </c>
      <c r="EY89" t="e">
        <f>AND('STERLING CATALOG - DRY '!A1893,"AAAAAHfJ8po=")</f>
        <v>#VALUE!</v>
      </c>
      <c r="EZ89" t="e">
        <f>AND('STERLING CATALOG - DRY '!B1893,"AAAAAHfJ8ps=")</f>
        <v>#VALUE!</v>
      </c>
      <c r="FA89" t="e">
        <f>AND('STERLING CATALOG - DRY '!C1893,"AAAAAHfJ8pw=")</f>
        <v>#VALUE!</v>
      </c>
      <c r="FB89" t="e">
        <f>AND('STERLING CATALOG - DRY '!D1893,"AAAAAHfJ8p0=")</f>
        <v>#VALUE!</v>
      </c>
      <c r="FC89" t="e">
        <f>AND('STERLING CATALOG - DRY '!E1893,"AAAAAHfJ8p4=")</f>
        <v>#VALUE!</v>
      </c>
      <c r="FD89" t="e">
        <f>AND('STERLING CATALOG - DRY '!F1893,"AAAAAHfJ8p8=")</f>
        <v>#VALUE!</v>
      </c>
      <c r="FE89" t="e">
        <f>AND('STERLING CATALOG - DRY '!G1893,"AAAAAHfJ8qA=")</f>
        <v>#VALUE!</v>
      </c>
      <c r="FF89" t="e">
        <f>AND('STERLING CATALOG - DRY '!H1893,"AAAAAHfJ8qE=")</f>
        <v>#VALUE!</v>
      </c>
      <c r="FG89" t="e">
        <f>AND('STERLING CATALOG - DRY '!I1893,"AAAAAHfJ8qI=")</f>
        <v>#VALUE!</v>
      </c>
      <c r="FH89" t="e">
        <f>AND('STERLING CATALOG - DRY '!J1893,"AAAAAHfJ8qM=")</f>
        <v>#VALUE!</v>
      </c>
      <c r="FI89">
        <f>IF('STERLING CATALOG - DRY '!1894:1894,"AAAAAHfJ8qQ=",0)</f>
        <v>0</v>
      </c>
      <c r="FJ89" t="e">
        <f>AND('STERLING CATALOG - DRY '!A1894,"AAAAAHfJ8qU=")</f>
        <v>#VALUE!</v>
      </c>
      <c r="FK89" t="e">
        <f>AND('STERLING CATALOG - DRY '!B1894,"AAAAAHfJ8qY=")</f>
        <v>#VALUE!</v>
      </c>
      <c r="FL89" t="e">
        <f>AND('STERLING CATALOG - DRY '!C1894,"AAAAAHfJ8qc=")</f>
        <v>#VALUE!</v>
      </c>
      <c r="FM89" t="e">
        <f>AND('STERLING CATALOG - DRY '!D1894,"AAAAAHfJ8qg=")</f>
        <v>#VALUE!</v>
      </c>
      <c r="FN89" t="e">
        <f>AND('STERLING CATALOG - DRY '!E1894,"AAAAAHfJ8qk=")</f>
        <v>#VALUE!</v>
      </c>
      <c r="FO89" t="e">
        <f>AND('STERLING CATALOG - DRY '!F1894,"AAAAAHfJ8qo=")</f>
        <v>#VALUE!</v>
      </c>
      <c r="FP89" t="e">
        <f>AND('STERLING CATALOG - DRY '!G1894,"AAAAAHfJ8qs=")</f>
        <v>#VALUE!</v>
      </c>
      <c r="FQ89" t="e">
        <f>AND('STERLING CATALOG - DRY '!H1894,"AAAAAHfJ8qw=")</f>
        <v>#VALUE!</v>
      </c>
      <c r="FR89" t="e">
        <f>AND('STERLING CATALOG - DRY '!I1894,"AAAAAHfJ8q0=")</f>
        <v>#VALUE!</v>
      </c>
      <c r="FS89" t="e">
        <f>AND('STERLING CATALOG - DRY '!J1894,"AAAAAHfJ8q4=")</f>
        <v>#VALUE!</v>
      </c>
      <c r="FT89">
        <f>IF('STERLING CATALOG - DRY '!1895:1895,"AAAAAHfJ8q8=",0)</f>
        <v>0</v>
      </c>
      <c r="FU89" t="e">
        <f>AND('STERLING CATALOG - DRY '!A1895,"AAAAAHfJ8rA=")</f>
        <v>#VALUE!</v>
      </c>
      <c r="FV89" t="e">
        <f>AND('STERLING CATALOG - DRY '!B1895,"AAAAAHfJ8rE=")</f>
        <v>#VALUE!</v>
      </c>
      <c r="FW89" t="e">
        <f>AND('STERLING CATALOG - DRY '!C1895,"AAAAAHfJ8rI=")</f>
        <v>#VALUE!</v>
      </c>
      <c r="FX89" t="e">
        <f>AND('STERLING CATALOG - DRY '!D1895,"AAAAAHfJ8rM=")</f>
        <v>#VALUE!</v>
      </c>
      <c r="FY89" t="e">
        <f>AND('STERLING CATALOG - DRY '!E1895,"AAAAAHfJ8rQ=")</f>
        <v>#VALUE!</v>
      </c>
      <c r="FZ89" t="e">
        <f>AND('STERLING CATALOG - DRY '!F1895,"AAAAAHfJ8rU=")</f>
        <v>#VALUE!</v>
      </c>
      <c r="GA89" t="e">
        <f>AND('STERLING CATALOG - DRY '!G1895,"AAAAAHfJ8rY=")</f>
        <v>#VALUE!</v>
      </c>
      <c r="GB89" t="e">
        <f>AND('STERLING CATALOG - DRY '!H1895,"AAAAAHfJ8rc=")</f>
        <v>#VALUE!</v>
      </c>
      <c r="GC89" t="e">
        <f>AND('STERLING CATALOG - DRY '!I1895,"AAAAAHfJ8rg=")</f>
        <v>#VALUE!</v>
      </c>
      <c r="GD89" t="e">
        <f>AND('STERLING CATALOG - DRY '!J1895,"AAAAAHfJ8rk=")</f>
        <v>#VALUE!</v>
      </c>
      <c r="GE89">
        <f>IF('STERLING CATALOG - DRY '!1896:1896,"AAAAAHfJ8ro=",0)</f>
        <v>0</v>
      </c>
      <c r="GF89" t="e">
        <f>AND('STERLING CATALOG - DRY '!A1896,"AAAAAHfJ8rs=")</f>
        <v>#VALUE!</v>
      </c>
      <c r="GG89" t="e">
        <f>AND('STERLING CATALOG - DRY '!B1896,"AAAAAHfJ8rw=")</f>
        <v>#VALUE!</v>
      </c>
      <c r="GH89" t="e">
        <f>AND('STERLING CATALOG - DRY '!C1896,"AAAAAHfJ8r0=")</f>
        <v>#VALUE!</v>
      </c>
      <c r="GI89" t="e">
        <f>AND('STERLING CATALOG - DRY '!D1896,"AAAAAHfJ8r4=")</f>
        <v>#VALUE!</v>
      </c>
      <c r="GJ89" t="e">
        <f>AND('STERLING CATALOG - DRY '!E1896,"AAAAAHfJ8r8=")</f>
        <v>#VALUE!</v>
      </c>
      <c r="GK89" t="e">
        <f>AND('STERLING CATALOG - DRY '!F1896,"AAAAAHfJ8sA=")</f>
        <v>#VALUE!</v>
      </c>
      <c r="GL89" t="e">
        <f>AND('STERLING CATALOG - DRY '!G1896,"AAAAAHfJ8sE=")</f>
        <v>#VALUE!</v>
      </c>
      <c r="GM89" t="e">
        <f>AND('STERLING CATALOG - DRY '!H1896,"AAAAAHfJ8sI=")</f>
        <v>#VALUE!</v>
      </c>
      <c r="GN89" t="e">
        <f>AND('STERLING CATALOG - DRY '!I1896,"AAAAAHfJ8sM=")</f>
        <v>#VALUE!</v>
      </c>
      <c r="GO89" t="e">
        <f>AND('STERLING CATALOG - DRY '!J1896,"AAAAAHfJ8sQ=")</f>
        <v>#VALUE!</v>
      </c>
      <c r="GP89">
        <f>IF('STERLING CATALOG - DRY '!1897:1897,"AAAAAHfJ8sU=",0)</f>
        <v>0</v>
      </c>
      <c r="GQ89" t="e">
        <f>AND('STERLING CATALOG - DRY '!A1897,"AAAAAHfJ8sY=")</f>
        <v>#VALUE!</v>
      </c>
      <c r="GR89" t="e">
        <f>AND('STERLING CATALOG - DRY '!B1897,"AAAAAHfJ8sc=")</f>
        <v>#VALUE!</v>
      </c>
      <c r="GS89" t="e">
        <f>AND('STERLING CATALOG - DRY '!C1897,"AAAAAHfJ8sg=")</f>
        <v>#VALUE!</v>
      </c>
      <c r="GT89" t="e">
        <f>AND('STERLING CATALOG - DRY '!D1897,"AAAAAHfJ8sk=")</f>
        <v>#VALUE!</v>
      </c>
      <c r="GU89" t="e">
        <f>AND('STERLING CATALOG - DRY '!E1897,"AAAAAHfJ8so=")</f>
        <v>#VALUE!</v>
      </c>
      <c r="GV89" t="e">
        <f>AND('STERLING CATALOG - DRY '!F1897,"AAAAAHfJ8ss=")</f>
        <v>#VALUE!</v>
      </c>
      <c r="GW89" t="e">
        <f>AND('STERLING CATALOG - DRY '!G1897,"AAAAAHfJ8sw=")</f>
        <v>#VALUE!</v>
      </c>
      <c r="GX89" t="e">
        <f>AND('STERLING CATALOG - DRY '!H1897,"AAAAAHfJ8s0=")</f>
        <v>#VALUE!</v>
      </c>
      <c r="GY89" t="e">
        <f>AND('STERLING CATALOG - DRY '!I1897,"AAAAAHfJ8s4=")</f>
        <v>#VALUE!</v>
      </c>
      <c r="GZ89" t="e">
        <f>AND('STERLING CATALOG - DRY '!J1897,"AAAAAHfJ8s8=")</f>
        <v>#VALUE!</v>
      </c>
      <c r="HA89">
        <f>IF('STERLING CATALOG - DRY '!1898:1898,"AAAAAHfJ8tA=",0)</f>
        <v>0</v>
      </c>
      <c r="HB89" t="e">
        <f>AND('STERLING CATALOG - DRY '!A1898,"AAAAAHfJ8tE=")</f>
        <v>#VALUE!</v>
      </c>
      <c r="HC89" t="e">
        <f>AND('STERLING CATALOG - DRY '!B1898,"AAAAAHfJ8tI=")</f>
        <v>#VALUE!</v>
      </c>
      <c r="HD89" t="e">
        <f>AND('STERLING CATALOG - DRY '!C1898,"AAAAAHfJ8tM=")</f>
        <v>#VALUE!</v>
      </c>
      <c r="HE89" t="e">
        <f>AND('STERLING CATALOG - DRY '!D1898,"AAAAAHfJ8tQ=")</f>
        <v>#VALUE!</v>
      </c>
      <c r="HF89" t="e">
        <f>AND('STERLING CATALOG - DRY '!E1898,"AAAAAHfJ8tU=")</f>
        <v>#VALUE!</v>
      </c>
      <c r="HG89" t="e">
        <f>AND('STERLING CATALOG - DRY '!F1898,"AAAAAHfJ8tY=")</f>
        <v>#VALUE!</v>
      </c>
      <c r="HH89" t="e">
        <f>AND('STERLING CATALOG - DRY '!G1898,"AAAAAHfJ8tc=")</f>
        <v>#VALUE!</v>
      </c>
      <c r="HI89" t="e">
        <f>AND('STERLING CATALOG - DRY '!H1898,"AAAAAHfJ8tg=")</f>
        <v>#VALUE!</v>
      </c>
      <c r="HJ89" t="e">
        <f>AND('STERLING CATALOG - DRY '!I1898,"AAAAAHfJ8tk=")</f>
        <v>#VALUE!</v>
      </c>
      <c r="HK89" t="e">
        <f>AND('STERLING CATALOG - DRY '!J1898,"AAAAAHfJ8to=")</f>
        <v>#VALUE!</v>
      </c>
      <c r="HL89">
        <f>IF('STERLING CATALOG - DRY '!1899:1899,"AAAAAHfJ8ts=",0)</f>
        <v>0</v>
      </c>
      <c r="HM89" t="e">
        <f>AND('STERLING CATALOG - DRY '!A1899,"AAAAAHfJ8tw=")</f>
        <v>#VALUE!</v>
      </c>
      <c r="HN89" t="e">
        <f>AND('STERLING CATALOG - DRY '!B1899,"AAAAAHfJ8t0=")</f>
        <v>#VALUE!</v>
      </c>
      <c r="HO89" t="e">
        <f>AND('STERLING CATALOG - DRY '!C1899,"AAAAAHfJ8t4=")</f>
        <v>#VALUE!</v>
      </c>
      <c r="HP89" t="e">
        <f>AND('STERLING CATALOG - DRY '!D1899,"AAAAAHfJ8t8=")</f>
        <v>#VALUE!</v>
      </c>
      <c r="HQ89" t="e">
        <f>AND('STERLING CATALOG - DRY '!E1899,"AAAAAHfJ8uA=")</f>
        <v>#VALUE!</v>
      </c>
      <c r="HR89" t="e">
        <f>AND('STERLING CATALOG - DRY '!F1899,"AAAAAHfJ8uE=")</f>
        <v>#VALUE!</v>
      </c>
      <c r="HS89" t="e">
        <f>AND('STERLING CATALOG - DRY '!G1899,"AAAAAHfJ8uI=")</f>
        <v>#VALUE!</v>
      </c>
      <c r="HT89" t="e">
        <f>AND('STERLING CATALOG - DRY '!H1899,"AAAAAHfJ8uM=")</f>
        <v>#VALUE!</v>
      </c>
      <c r="HU89" t="e">
        <f>AND('STERLING CATALOG - DRY '!I1899,"AAAAAHfJ8uQ=")</f>
        <v>#VALUE!</v>
      </c>
      <c r="HV89" t="e">
        <f>AND('STERLING CATALOG - DRY '!J1899,"AAAAAHfJ8uU=")</f>
        <v>#VALUE!</v>
      </c>
      <c r="HW89">
        <f>IF('STERLING CATALOG - DRY '!1900:1900,"AAAAAHfJ8uY=",0)</f>
        <v>0</v>
      </c>
      <c r="HX89" t="e">
        <f>AND('STERLING CATALOG - DRY '!A1900,"AAAAAHfJ8uc=")</f>
        <v>#VALUE!</v>
      </c>
      <c r="HY89" t="e">
        <f>AND('STERLING CATALOG - DRY '!B1900,"AAAAAHfJ8ug=")</f>
        <v>#VALUE!</v>
      </c>
      <c r="HZ89" t="e">
        <f>AND('STERLING CATALOG - DRY '!C1900,"AAAAAHfJ8uk=")</f>
        <v>#VALUE!</v>
      </c>
      <c r="IA89" t="e">
        <f>AND('STERLING CATALOG - DRY '!D1900,"AAAAAHfJ8uo=")</f>
        <v>#VALUE!</v>
      </c>
      <c r="IB89" t="e">
        <f>AND('STERLING CATALOG - DRY '!E1900,"AAAAAHfJ8us=")</f>
        <v>#VALUE!</v>
      </c>
      <c r="IC89" t="e">
        <f>AND('STERLING CATALOG - DRY '!F1900,"AAAAAHfJ8uw=")</f>
        <v>#VALUE!</v>
      </c>
      <c r="ID89" t="e">
        <f>AND('STERLING CATALOG - DRY '!G1900,"AAAAAHfJ8u0=")</f>
        <v>#VALUE!</v>
      </c>
      <c r="IE89" t="e">
        <f>AND('STERLING CATALOG - DRY '!H1900,"AAAAAHfJ8u4=")</f>
        <v>#VALUE!</v>
      </c>
      <c r="IF89" t="e">
        <f>AND('STERLING CATALOG - DRY '!I1900,"AAAAAHfJ8u8=")</f>
        <v>#VALUE!</v>
      </c>
      <c r="IG89" t="e">
        <f>AND('STERLING CATALOG - DRY '!J1900,"AAAAAHfJ8vA=")</f>
        <v>#VALUE!</v>
      </c>
      <c r="IH89">
        <f>IF('STERLING CATALOG - DRY '!1901:1901,"AAAAAHfJ8vE=",0)</f>
        <v>0</v>
      </c>
      <c r="II89" t="e">
        <f>AND('STERLING CATALOG - DRY '!A1901,"AAAAAHfJ8vI=")</f>
        <v>#VALUE!</v>
      </c>
      <c r="IJ89" t="e">
        <f>AND('STERLING CATALOG - DRY '!B1901,"AAAAAHfJ8vM=")</f>
        <v>#VALUE!</v>
      </c>
      <c r="IK89" t="e">
        <f>AND('STERLING CATALOG - DRY '!C1901,"AAAAAHfJ8vQ=")</f>
        <v>#VALUE!</v>
      </c>
      <c r="IL89" t="e">
        <f>AND('STERLING CATALOG - DRY '!D1901,"AAAAAHfJ8vU=")</f>
        <v>#VALUE!</v>
      </c>
      <c r="IM89" t="e">
        <f>AND('STERLING CATALOG - DRY '!E1901,"AAAAAHfJ8vY=")</f>
        <v>#VALUE!</v>
      </c>
      <c r="IN89" t="e">
        <f>AND('STERLING CATALOG - DRY '!F1901,"AAAAAHfJ8vc=")</f>
        <v>#VALUE!</v>
      </c>
      <c r="IO89" t="e">
        <f>AND('STERLING CATALOG - DRY '!G1901,"AAAAAHfJ8vg=")</f>
        <v>#VALUE!</v>
      </c>
      <c r="IP89" t="e">
        <f>AND('STERLING CATALOG - DRY '!H1901,"AAAAAHfJ8vk=")</f>
        <v>#VALUE!</v>
      </c>
      <c r="IQ89" t="e">
        <f>AND('STERLING CATALOG - DRY '!I1901,"AAAAAHfJ8vo=")</f>
        <v>#VALUE!</v>
      </c>
      <c r="IR89" t="e">
        <f>AND('STERLING CATALOG - DRY '!J1901,"AAAAAHfJ8vs=")</f>
        <v>#VALUE!</v>
      </c>
      <c r="IS89">
        <f>IF('STERLING CATALOG - DRY '!1902:1902,"AAAAAHfJ8vw=",0)</f>
        <v>0</v>
      </c>
      <c r="IT89" t="e">
        <f>AND('STERLING CATALOG - DRY '!A1902,"AAAAAHfJ8v0=")</f>
        <v>#VALUE!</v>
      </c>
      <c r="IU89" t="e">
        <f>AND('STERLING CATALOG - DRY '!B1902,"AAAAAHfJ8v4=")</f>
        <v>#VALUE!</v>
      </c>
      <c r="IV89" t="e">
        <f>AND('STERLING CATALOG - DRY '!C1902,"AAAAAHfJ8v8=")</f>
        <v>#VALUE!</v>
      </c>
    </row>
    <row r="90" spans="1:256">
      <c r="A90" t="e">
        <f>AND('STERLING CATALOG - DRY '!D1902,"AAAAAFVpvwA=")</f>
        <v>#VALUE!</v>
      </c>
      <c r="B90" t="e">
        <f>AND('STERLING CATALOG - DRY '!E1902,"AAAAAFVpvwE=")</f>
        <v>#VALUE!</v>
      </c>
      <c r="C90" t="e">
        <f>AND('STERLING CATALOG - DRY '!F1902,"AAAAAFVpvwI=")</f>
        <v>#VALUE!</v>
      </c>
      <c r="D90" t="e">
        <f>AND('STERLING CATALOG - DRY '!G1902,"AAAAAFVpvwM=")</f>
        <v>#VALUE!</v>
      </c>
      <c r="E90" t="e">
        <f>AND('STERLING CATALOG - DRY '!H1902,"AAAAAFVpvwQ=")</f>
        <v>#VALUE!</v>
      </c>
      <c r="F90" t="e">
        <f>AND('STERLING CATALOG - DRY '!I1902,"AAAAAFVpvwU=")</f>
        <v>#VALUE!</v>
      </c>
      <c r="G90" t="e">
        <f>AND('STERLING CATALOG - DRY '!J1902,"AAAAAFVpvwY=")</f>
        <v>#VALUE!</v>
      </c>
      <c r="H90" t="str">
        <f>IF('STERLING CATALOG - DRY '!1903:1903,"AAAAAFVpvwc=",0)</f>
        <v>AAAAAFVpvwc=</v>
      </c>
      <c r="I90" t="e">
        <f>AND('STERLING CATALOG - DRY '!A1903,"AAAAAFVpvwg=")</f>
        <v>#VALUE!</v>
      </c>
      <c r="J90" t="e">
        <f>AND('STERLING CATALOG - DRY '!B1903,"AAAAAFVpvwk=")</f>
        <v>#VALUE!</v>
      </c>
      <c r="K90" t="e">
        <f>AND('STERLING CATALOG - DRY '!C1903,"AAAAAFVpvwo=")</f>
        <v>#VALUE!</v>
      </c>
      <c r="L90" t="e">
        <f>AND('STERLING CATALOG - DRY '!D1903,"AAAAAFVpvws=")</f>
        <v>#VALUE!</v>
      </c>
      <c r="M90" t="e">
        <f>AND('STERLING CATALOG - DRY '!E1903,"AAAAAFVpvww=")</f>
        <v>#VALUE!</v>
      </c>
      <c r="N90" t="e">
        <f>AND('STERLING CATALOG - DRY '!F1903,"AAAAAFVpvw0=")</f>
        <v>#VALUE!</v>
      </c>
      <c r="O90" t="e">
        <f>AND('STERLING CATALOG - DRY '!G1903,"AAAAAFVpvw4=")</f>
        <v>#VALUE!</v>
      </c>
      <c r="P90" t="e">
        <f>AND('STERLING CATALOG - DRY '!H1903,"AAAAAFVpvw8=")</f>
        <v>#VALUE!</v>
      </c>
      <c r="Q90" t="e">
        <f>AND('STERLING CATALOG - DRY '!I1903,"AAAAAFVpvxA=")</f>
        <v>#VALUE!</v>
      </c>
      <c r="R90" t="e">
        <f>AND('STERLING CATALOG - DRY '!J1903,"AAAAAFVpvxE=")</f>
        <v>#VALUE!</v>
      </c>
      <c r="S90">
        <f>IF('STERLING CATALOG - DRY '!1904:1904,"AAAAAFVpvxI=",0)</f>
        <v>0</v>
      </c>
      <c r="T90" t="e">
        <f>AND('STERLING CATALOG - DRY '!A1904,"AAAAAFVpvxM=")</f>
        <v>#VALUE!</v>
      </c>
      <c r="U90" t="e">
        <f>AND('STERLING CATALOG - DRY '!B1904,"AAAAAFVpvxQ=")</f>
        <v>#VALUE!</v>
      </c>
      <c r="V90" t="e">
        <f>AND('STERLING CATALOG - DRY '!C1904,"AAAAAFVpvxU=")</f>
        <v>#VALUE!</v>
      </c>
      <c r="W90" t="e">
        <f>AND('STERLING CATALOG - DRY '!D1904,"AAAAAFVpvxY=")</f>
        <v>#VALUE!</v>
      </c>
      <c r="X90" t="e">
        <f>AND('STERLING CATALOG - DRY '!E1904,"AAAAAFVpvxc=")</f>
        <v>#VALUE!</v>
      </c>
      <c r="Y90" t="e">
        <f>AND('STERLING CATALOG - DRY '!F1904,"AAAAAFVpvxg=")</f>
        <v>#VALUE!</v>
      </c>
      <c r="Z90" t="e">
        <f>AND('STERLING CATALOG - DRY '!G1904,"AAAAAFVpvxk=")</f>
        <v>#VALUE!</v>
      </c>
      <c r="AA90" t="e">
        <f>AND('STERLING CATALOG - DRY '!H1904,"AAAAAFVpvxo=")</f>
        <v>#VALUE!</v>
      </c>
      <c r="AB90" t="e">
        <f>AND('STERLING CATALOG - DRY '!I1904,"AAAAAFVpvxs=")</f>
        <v>#VALUE!</v>
      </c>
      <c r="AC90" t="e">
        <f>AND('STERLING CATALOG - DRY '!J1904,"AAAAAFVpvxw=")</f>
        <v>#VALUE!</v>
      </c>
      <c r="AD90">
        <f>IF('STERLING CATALOG - DRY '!1905:1905,"AAAAAFVpvx0=",0)</f>
        <v>0</v>
      </c>
      <c r="AE90" t="e">
        <f>AND('STERLING CATALOG - DRY '!A1905,"AAAAAFVpvx4=")</f>
        <v>#VALUE!</v>
      </c>
      <c r="AF90" t="e">
        <f>AND('STERLING CATALOG - DRY '!B1905,"AAAAAFVpvx8=")</f>
        <v>#VALUE!</v>
      </c>
      <c r="AG90" t="e">
        <f>AND('STERLING CATALOG - DRY '!C1905,"AAAAAFVpvyA=")</f>
        <v>#VALUE!</v>
      </c>
      <c r="AH90" t="e">
        <f>AND('STERLING CATALOG - DRY '!D1905,"AAAAAFVpvyE=")</f>
        <v>#VALUE!</v>
      </c>
      <c r="AI90" t="e">
        <f>AND('STERLING CATALOG - DRY '!E1905,"AAAAAFVpvyI=")</f>
        <v>#VALUE!</v>
      </c>
      <c r="AJ90" t="e">
        <f>AND('STERLING CATALOG - DRY '!F1905,"AAAAAFVpvyM=")</f>
        <v>#VALUE!</v>
      </c>
      <c r="AK90" t="e">
        <f>AND('STERLING CATALOG - DRY '!G1905,"AAAAAFVpvyQ=")</f>
        <v>#VALUE!</v>
      </c>
      <c r="AL90" t="e">
        <f>AND('STERLING CATALOG - DRY '!H1905,"AAAAAFVpvyU=")</f>
        <v>#VALUE!</v>
      </c>
      <c r="AM90" t="e">
        <f>AND('STERLING CATALOG - DRY '!I1905,"AAAAAFVpvyY=")</f>
        <v>#VALUE!</v>
      </c>
      <c r="AN90" t="e">
        <f>AND('STERLING CATALOG - DRY '!J1905,"AAAAAFVpvyc=")</f>
        <v>#VALUE!</v>
      </c>
      <c r="AO90">
        <f>IF('STERLING CATALOG - DRY '!1906:1906,"AAAAAFVpvyg=",0)</f>
        <v>0</v>
      </c>
      <c r="AP90" t="e">
        <f>AND('STERLING CATALOG - DRY '!A1906,"AAAAAFVpvyk=")</f>
        <v>#VALUE!</v>
      </c>
      <c r="AQ90" t="e">
        <f>AND('STERLING CATALOG - DRY '!B1906,"AAAAAFVpvyo=")</f>
        <v>#VALUE!</v>
      </c>
      <c r="AR90" t="e">
        <f>AND('STERLING CATALOG - DRY '!C1906,"AAAAAFVpvys=")</f>
        <v>#VALUE!</v>
      </c>
      <c r="AS90" t="e">
        <f>AND('STERLING CATALOG - DRY '!D1906,"AAAAAFVpvyw=")</f>
        <v>#VALUE!</v>
      </c>
      <c r="AT90" t="e">
        <f>AND('STERLING CATALOG - DRY '!E1906,"AAAAAFVpvy0=")</f>
        <v>#VALUE!</v>
      </c>
      <c r="AU90" t="e">
        <f>AND('STERLING CATALOG - DRY '!F1906,"AAAAAFVpvy4=")</f>
        <v>#VALUE!</v>
      </c>
      <c r="AV90" t="e">
        <f>AND('STERLING CATALOG - DRY '!G1906,"AAAAAFVpvy8=")</f>
        <v>#VALUE!</v>
      </c>
      <c r="AW90" t="e">
        <f>AND('STERLING CATALOG - DRY '!H1906,"AAAAAFVpvzA=")</f>
        <v>#VALUE!</v>
      </c>
      <c r="AX90" t="e">
        <f>AND('STERLING CATALOG - DRY '!I1906,"AAAAAFVpvzE=")</f>
        <v>#VALUE!</v>
      </c>
      <c r="AY90" t="e">
        <f>AND('STERLING CATALOG - DRY '!J1906,"AAAAAFVpvzI=")</f>
        <v>#VALUE!</v>
      </c>
      <c r="AZ90">
        <f>IF('STERLING CATALOG - DRY '!1907:1907,"AAAAAFVpvzM=",0)</f>
        <v>0</v>
      </c>
      <c r="BA90" t="e">
        <f>AND('STERLING CATALOG - DRY '!A1907,"AAAAAFVpvzQ=")</f>
        <v>#VALUE!</v>
      </c>
      <c r="BB90" t="e">
        <f>AND('STERLING CATALOG - DRY '!B1907,"AAAAAFVpvzU=")</f>
        <v>#VALUE!</v>
      </c>
      <c r="BC90" t="e">
        <f>AND('STERLING CATALOG - DRY '!C1907,"AAAAAFVpvzY=")</f>
        <v>#VALUE!</v>
      </c>
      <c r="BD90" t="e">
        <f>AND('STERLING CATALOG - DRY '!D1907,"AAAAAFVpvzc=")</f>
        <v>#VALUE!</v>
      </c>
      <c r="BE90" t="e">
        <f>AND('STERLING CATALOG - DRY '!E1907,"AAAAAFVpvzg=")</f>
        <v>#VALUE!</v>
      </c>
      <c r="BF90" t="e">
        <f>AND('STERLING CATALOG - DRY '!F1907,"AAAAAFVpvzk=")</f>
        <v>#VALUE!</v>
      </c>
      <c r="BG90" t="e">
        <f>AND('STERLING CATALOG - DRY '!G1907,"AAAAAFVpvzo=")</f>
        <v>#VALUE!</v>
      </c>
      <c r="BH90" t="e">
        <f>AND('STERLING CATALOG - DRY '!H1907,"AAAAAFVpvzs=")</f>
        <v>#VALUE!</v>
      </c>
      <c r="BI90" t="e">
        <f>AND('STERLING CATALOG - DRY '!I1907,"AAAAAFVpvzw=")</f>
        <v>#VALUE!</v>
      </c>
      <c r="BJ90" t="e">
        <f>AND('STERLING CATALOG - DRY '!J1907,"AAAAAFVpvz0=")</f>
        <v>#VALUE!</v>
      </c>
      <c r="BK90">
        <f>IF('STERLING CATALOG - DRY '!1908:1908,"AAAAAFVpvz4=",0)</f>
        <v>0</v>
      </c>
      <c r="BL90" t="e">
        <f>AND('STERLING CATALOG - DRY '!A1908,"AAAAAFVpvz8=")</f>
        <v>#VALUE!</v>
      </c>
      <c r="BM90" t="e">
        <f>AND('STERLING CATALOG - DRY '!B1908,"AAAAAFVpv0A=")</f>
        <v>#VALUE!</v>
      </c>
      <c r="BN90" t="e">
        <f>AND('STERLING CATALOG - DRY '!C1908,"AAAAAFVpv0E=")</f>
        <v>#VALUE!</v>
      </c>
      <c r="BO90" t="e">
        <f>AND('STERLING CATALOG - DRY '!D1908,"AAAAAFVpv0I=")</f>
        <v>#VALUE!</v>
      </c>
      <c r="BP90" t="e">
        <f>AND('STERLING CATALOG - DRY '!E1908,"AAAAAFVpv0M=")</f>
        <v>#VALUE!</v>
      </c>
      <c r="BQ90" t="e">
        <f>AND('STERLING CATALOG - DRY '!F1908,"AAAAAFVpv0Q=")</f>
        <v>#VALUE!</v>
      </c>
      <c r="BR90" t="e">
        <f>AND('STERLING CATALOG - DRY '!G1908,"AAAAAFVpv0U=")</f>
        <v>#VALUE!</v>
      </c>
      <c r="BS90" t="e">
        <f>AND('STERLING CATALOG - DRY '!H1908,"AAAAAFVpv0Y=")</f>
        <v>#VALUE!</v>
      </c>
      <c r="BT90" t="e">
        <f>AND('STERLING CATALOG - DRY '!I1908,"AAAAAFVpv0c=")</f>
        <v>#VALUE!</v>
      </c>
      <c r="BU90" t="e">
        <f>AND('STERLING CATALOG - DRY '!J1908,"AAAAAFVpv0g=")</f>
        <v>#VALUE!</v>
      </c>
      <c r="BV90">
        <f>IF('STERLING CATALOG - DRY '!1909:1909,"AAAAAFVpv0k=",0)</f>
        <v>0</v>
      </c>
      <c r="BW90" t="e">
        <f>AND('STERLING CATALOG - DRY '!A1909,"AAAAAFVpv0o=")</f>
        <v>#VALUE!</v>
      </c>
      <c r="BX90" t="e">
        <f>AND('STERLING CATALOG - DRY '!B1909,"AAAAAFVpv0s=")</f>
        <v>#VALUE!</v>
      </c>
      <c r="BY90" t="e">
        <f>AND('STERLING CATALOG - DRY '!C1909,"AAAAAFVpv0w=")</f>
        <v>#VALUE!</v>
      </c>
      <c r="BZ90" t="e">
        <f>AND('STERLING CATALOG - DRY '!D1909,"AAAAAFVpv00=")</f>
        <v>#VALUE!</v>
      </c>
      <c r="CA90" t="e">
        <f>AND('STERLING CATALOG - DRY '!E1909,"AAAAAFVpv04=")</f>
        <v>#VALUE!</v>
      </c>
      <c r="CB90" t="e">
        <f>AND('STERLING CATALOG - DRY '!F1909,"AAAAAFVpv08=")</f>
        <v>#VALUE!</v>
      </c>
      <c r="CC90" t="e">
        <f>AND('STERLING CATALOG - DRY '!G1909,"AAAAAFVpv1A=")</f>
        <v>#VALUE!</v>
      </c>
      <c r="CD90" t="e">
        <f>AND('STERLING CATALOG - DRY '!H1909,"AAAAAFVpv1E=")</f>
        <v>#VALUE!</v>
      </c>
      <c r="CE90" t="e">
        <f>AND('STERLING CATALOG - DRY '!I1909,"AAAAAFVpv1I=")</f>
        <v>#VALUE!</v>
      </c>
      <c r="CF90" t="e">
        <f>AND('STERLING CATALOG - DRY '!J1909,"AAAAAFVpv1M=")</f>
        <v>#VALUE!</v>
      </c>
      <c r="CG90">
        <f>IF('STERLING CATALOG - DRY '!1910:1910,"AAAAAFVpv1Q=",0)</f>
        <v>0</v>
      </c>
      <c r="CH90" t="e">
        <f>AND('STERLING CATALOG - DRY '!A1910,"AAAAAFVpv1U=")</f>
        <v>#VALUE!</v>
      </c>
      <c r="CI90" t="e">
        <f>AND('STERLING CATALOG - DRY '!B1910,"AAAAAFVpv1Y=")</f>
        <v>#VALUE!</v>
      </c>
      <c r="CJ90" t="e">
        <f>AND('STERLING CATALOG - DRY '!C1910,"AAAAAFVpv1c=")</f>
        <v>#VALUE!</v>
      </c>
      <c r="CK90" t="e">
        <f>AND('STERLING CATALOG - DRY '!D1910,"AAAAAFVpv1g=")</f>
        <v>#VALUE!</v>
      </c>
      <c r="CL90" t="e">
        <f>AND('STERLING CATALOG - DRY '!E1910,"AAAAAFVpv1k=")</f>
        <v>#VALUE!</v>
      </c>
      <c r="CM90" t="e">
        <f>AND('STERLING CATALOG - DRY '!F1910,"AAAAAFVpv1o=")</f>
        <v>#VALUE!</v>
      </c>
      <c r="CN90" t="e">
        <f>AND('STERLING CATALOG - DRY '!G1910,"AAAAAFVpv1s=")</f>
        <v>#VALUE!</v>
      </c>
      <c r="CO90" t="e">
        <f>AND('STERLING CATALOG - DRY '!H1910,"AAAAAFVpv1w=")</f>
        <v>#VALUE!</v>
      </c>
      <c r="CP90" t="e">
        <f>AND('STERLING CATALOG - DRY '!I1910,"AAAAAFVpv10=")</f>
        <v>#VALUE!</v>
      </c>
      <c r="CQ90" t="e">
        <f>AND('STERLING CATALOG - DRY '!J1910,"AAAAAFVpv14=")</f>
        <v>#VALUE!</v>
      </c>
      <c r="CR90">
        <f>IF('STERLING CATALOG - DRY '!1911:1911,"AAAAAFVpv18=",0)</f>
        <v>0</v>
      </c>
      <c r="CS90" t="e">
        <f>AND('STERLING CATALOG - DRY '!A1911,"AAAAAFVpv2A=")</f>
        <v>#VALUE!</v>
      </c>
      <c r="CT90" t="e">
        <f>AND('STERLING CATALOG - DRY '!B1911,"AAAAAFVpv2E=")</f>
        <v>#VALUE!</v>
      </c>
      <c r="CU90" t="e">
        <f>AND('STERLING CATALOG - DRY '!C1911,"AAAAAFVpv2I=")</f>
        <v>#VALUE!</v>
      </c>
      <c r="CV90" t="e">
        <f>AND('STERLING CATALOG - DRY '!D1911,"AAAAAFVpv2M=")</f>
        <v>#VALUE!</v>
      </c>
      <c r="CW90" t="e">
        <f>AND('STERLING CATALOG - DRY '!E1911,"AAAAAFVpv2Q=")</f>
        <v>#VALUE!</v>
      </c>
      <c r="CX90" t="e">
        <f>AND('STERLING CATALOG - DRY '!F1911,"AAAAAFVpv2U=")</f>
        <v>#VALUE!</v>
      </c>
      <c r="CY90" t="e">
        <f>AND('STERLING CATALOG - DRY '!G1911,"AAAAAFVpv2Y=")</f>
        <v>#VALUE!</v>
      </c>
      <c r="CZ90" t="e">
        <f>AND('STERLING CATALOG - DRY '!H1911,"AAAAAFVpv2c=")</f>
        <v>#VALUE!</v>
      </c>
      <c r="DA90" t="e">
        <f>AND('STERLING CATALOG - DRY '!I1911,"AAAAAFVpv2g=")</f>
        <v>#VALUE!</v>
      </c>
      <c r="DB90" t="e">
        <f>AND('STERLING CATALOG - DRY '!J1911,"AAAAAFVpv2k=")</f>
        <v>#VALUE!</v>
      </c>
      <c r="DC90">
        <f>IF('STERLING CATALOG - DRY '!1912:1912,"AAAAAFVpv2o=",0)</f>
        <v>0</v>
      </c>
      <c r="DD90" t="e">
        <f>AND('STERLING CATALOG - DRY '!A1912,"AAAAAFVpv2s=")</f>
        <v>#VALUE!</v>
      </c>
      <c r="DE90" t="e">
        <f>AND('STERLING CATALOG - DRY '!B1912,"AAAAAFVpv2w=")</f>
        <v>#VALUE!</v>
      </c>
      <c r="DF90" t="e">
        <f>AND('STERLING CATALOG - DRY '!C1912,"AAAAAFVpv20=")</f>
        <v>#VALUE!</v>
      </c>
      <c r="DG90" t="e">
        <f>AND('STERLING CATALOG - DRY '!D1912,"AAAAAFVpv24=")</f>
        <v>#VALUE!</v>
      </c>
      <c r="DH90" t="e">
        <f>AND('STERLING CATALOG - DRY '!E1912,"AAAAAFVpv28=")</f>
        <v>#VALUE!</v>
      </c>
      <c r="DI90" t="e">
        <f>AND('STERLING CATALOG - DRY '!F1912,"AAAAAFVpv3A=")</f>
        <v>#VALUE!</v>
      </c>
      <c r="DJ90" t="e">
        <f>AND('STERLING CATALOG - DRY '!G1912,"AAAAAFVpv3E=")</f>
        <v>#VALUE!</v>
      </c>
      <c r="DK90" t="e">
        <f>AND('STERLING CATALOG - DRY '!H1912,"AAAAAFVpv3I=")</f>
        <v>#VALUE!</v>
      </c>
      <c r="DL90" t="e">
        <f>AND('STERLING CATALOG - DRY '!I1912,"AAAAAFVpv3M=")</f>
        <v>#VALUE!</v>
      </c>
      <c r="DM90" t="e">
        <f>AND('STERLING CATALOG - DRY '!J1912,"AAAAAFVpv3Q=")</f>
        <v>#VALUE!</v>
      </c>
      <c r="DN90">
        <f>IF('STERLING CATALOG - DRY '!1913:1913,"AAAAAFVpv3U=",0)</f>
        <v>0</v>
      </c>
      <c r="DO90" t="e">
        <f>AND('STERLING CATALOG - DRY '!A1913,"AAAAAFVpv3Y=")</f>
        <v>#VALUE!</v>
      </c>
      <c r="DP90" t="e">
        <f>AND('STERLING CATALOG - DRY '!B1913,"AAAAAFVpv3c=")</f>
        <v>#VALUE!</v>
      </c>
      <c r="DQ90" t="e">
        <f>AND('STERLING CATALOG - DRY '!C1913,"AAAAAFVpv3g=")</f>
        <v>#VALUE!</v>
      </c>
      <c r="DR90" t="e">
        <f>AND('STERLING CATALOG - DRY '!D1913,"AAAAAFVpv3k=")</f>
        <v>#VALUE!</v>
      </c>
      <c r="DS90" t="e">
        <f>AND('STERLING CATALOG - DRY '!E1913,"AAAAAFVpv3o=")</f>
        <v>#VALUE!</v>
      </c>
      <c r="DT90" t="e">
        <f>AND('STERLING CATALOG - DRY '!F1913,"AAAAAFVpv3s=")</f>
        <v>#VALUE!</v>
      </c>
      <c r="DU90" t="e">
        <f>AND('STERLING CATALOG - DRY '!G1913,"AAAAAFVpv3w=")</f>
        <v>#VALUE!</v>
      </c>
      <c r="DV90" t="e">
        <f>AND('STERLING CATALOG - DRY '!H1913,"AAAAAFVpv30=")</f>
        <v>#VALUE!</v>
      </c>
      <c r="DW90" t="e">
        <f>AND('STERLING CATALOG - DRY '!I1913,"AAAAAFVpv34=")</f>
        <v>#VALUE!</v>
      </c>
      <c r="DX90" t="e">
        <f>AND('STERLING CATALOG - DRY '!J1913,"AAAAAFVpv38=")</f>
        <v>#VALUE!</v>
      </c>
      <c r="DY90">
        <f>IF('STERLING CATALOG - DRY '!1914:1914,"AAAAAFVpv4A=",0)</f>
        <v>0</v>
      </c>
      <c r="DZ90" t="e">
        <f>AND('STERLING CATALOG - DRY '!A1914,"AAAAAFVpv4E=")</f>
        <v>#VALUE!</v>
      </c>
      <c r="EA90" t="e">
        <f>AND('STERLING CATALOG - DRY '!B1914,"AAAAAFVpv4I=")</f>
        <v>#VALUE!</v>
      </c>
      <c r="EB90" t="e">
        <f>AND('STERLING CATALOG - DRY '!C1914,"AAAAAFVpv4M=")</f>
        <v>#VALUE!</v>
      </c>
      <c r="EC90" t="e">
        <f>AND('STERLING CATALOG - DRY '!D1914,"AAAAAFVpv4Q=")</f>
        <v>#VALUE!</v>
      </c>
      <c r="ED90" t="e">
        <f>AND('STERLING CATALOG - DRY '!E1914,"AAAAAFVpv4U=")</f>
        <v>#VALUE!</v>
      </c>
      <c r="EE90" t="e">
        <f>AND('STERLING CATALOG - DRY '!F1914,"AAAAAFVpv4Y=")</f>
        <v>#VALUE!</v>
      </c>
      <c r="EF90" t="e">
        <f>AND('STERLING CATALOG - DRY '!G1914,"AAAAAFVpv4c=")</f>
        <v>#VALUE!</v>
      </c>
      <c r="EG90" t="e">
        <f>AND('STERLING CATALOG - DRY '!H1914,"AAAAAFVpv4g=")</f>
        <v>#VALUE!</v>
      </c>
      <c r="EH90" t="e">
        <f>AND('STERLING CATALOG - DRY '!I1914,"AAAAAFVpv4k=")</f>
        <v>#VALUE!</v>
      </c>
      <c r="EI90" t="e">
        <f>AND('STERLING CATALOG - DRY '!J1914,"AAAAAFVpv4o=")</f>
        <v>#VALUE!</v>
      </c>
      <c r="EJ90">
        <f>IF('STERLING CATALOG - DRY '!1915:1915,"AAAAAFVpv4s=",0)</f>
        <v>0</v>
      </c>
      <c r="EK90" t="e">
        <f>AND('STERLING CATALOG - DRY '!A1915,"AAAAAFVpv4w=")</f>
        <v>#VALUE!</v>
      </c>
      <c r="EL90" t="e">
        <f>AND('STERLING CATALOG - DRY '!B1915,"AAAAAFVpv40=")</f>
        <v>#VALUE!</v>
      </c>
      <c r="EM90" t="e">
        <f>AND('STERLING CATALOG - DRY '!C1915,"AAAAAFVpv44=")</f>
        <v>#VALUE!</v>
      </c>
      <c r="EN90" t="e">
        <f>AND('STERLING CATALOG - DRY '!D1915,"AAAAAFVpv48=")</f>
        <v>#VALUE!</v>
      </c>
      <c r="EO90" t="e">
        <f>AND('STERLING CATALOG - DRY '!E1915,"AAAAAFVpv5A=")</f>
        <v>#VALUE!</v>
      </c>
      <c r="EP90" t="e">
        <f>AND('STERLING CATALOG - DRY '!F1915,"AAAAAFVpv5E=")</f>
        <v>#VALUE!</v>
      </c>
      <c r="EQ90" t="e">
        <f>AND('STERLING CATALOG - DRY '!G1915,"AAAAAFVpv5I=")</f>
        <v>#VALUE!</v>
      </c>
      <c r="ER90" t="e">
        <f>AND('STERLING CATALOG - DRY '!H1915,"AAAAAFVpv5M=")</f>
        <v>#VALUE!</v>
      </c>
      <c r="ES90" t="e">
        <f>AND('STERLING CATALOG - DRY '!I1915,"AAAAAFVpv5Q=")</f>
        <v>#VALUE!</v>
      </c>
      <c r="ET90" t="e">
        <f>AND('STERLING CATALOG - DRY '!J1915,"AAAAAFVpv5U=")</f>
        <v>#VALUE!</v>
      </c>
      <c r="EU90">
        <f>IF('STERLING CATALOG - DRY '!1916:1916,"AAAAAFVpv5Y=",0)</f>
        <v>0</v>
      </c>
      <c r="EV90" t="e">
        <f>AND('STERLING CATALOG - DRY '!A1916,"AAAAAFVpv5c=")</f>
        <v>#VALUE!</v>
      </c>
      <c r="EW90" t="e">
        <f>AND('STERLING CATALOG - DRY '!B1916,"AAAAAFVpv5g=")</f>
        <v>#VALUE!</v>
      </c>
      <c r="EX90" t="e">
        <f>AND('STERLING CATALOG - DRY '!C1916,"AAAAAFVpv5k=")</f>
        <v>#VALUE!</v>
      </c>
      <c r="EY90" t="e">
        <f>AND('STERLING CATALOG - DRY '!D1916,"AAAAAFVpv5o=")</f>
        <v>#VALUE!</v>
      </c>
      <c r="EZ90" t="e">
        <f>AND('STERLING CATALOG - DRY '!E1916,"AAAAAFVpv5s=")</f>
        <v>#VALUE!</v>
      </c>
      <c r="FA90" t="e">
        <f>AND('STERLING CATALOG - DRY '!F1916,"AAAAAFVpv5w=")</f>
        <v>#VALUE!</v>
      </c>
      <c r="FB90" t="e">
        <f>AND('STERLING CATALOG - DRY '!G1916,"AAAAAFVpv50=")</f>
        <v>#VALUE!</v>
      </c>
      <c r="FC90" t="e">
        <f>AND('STERLING CATALOG - DRY '!H1916,"AAAAAFVpv54=")</f>
        <v>#VALUE!</v>
      </c>
      <c r="FD90" t="e">
        <f>AND('STERLING CATALOG - DRY '!I1916,"AAAAAFVpv58=")</f>
        <v>#VALUE!</v>
      </c>
      <c r="FE90" t="e">
        <f>AND('STERLING CATALOG - DRY '!J1916,"AAAAAFVpv6A=")</f>
        <v>#VALUE!</v>
      </c>
      <c r="FF90">
        <f>IF('STERLING CATALOG - DRY '!1917:1917,"AAAAAFVpv6E=",0)</f>
        <v>0</v>
      </c>
      <c r="FG90" t="e">
        <f>AND('STERLING CATALOG - DRY '!A1917,"AAAAAFVpv6I=")</f>
        <v>#VALUE!</v>
      </c>
      <c r="FH90" t="e">
        <f>AND('STERLING CATALOG - DRY '!B1917,"AAAAAFVpv6M=")</f>
        <v>#VALUE!</v>
      </c>
      <c r="FI90" t="e">
        <f>AND('STERLING CATALOG - DRY '!C1917,"AAAAAFVpv6Q=")</f>
        <v>#VALUE!</v>
      </c>
      <c r="FJ90" t="e">
        <f>AND('STERLING CATALOG - DRY '!D1917,"AAAAAFVpv6U=")</f>
        <v>#VALUE!</v>
      </c>
      <c r="FK90" t="e">
        <f>AND('STERLING CATALOG - DRY '!E1917,"AAAAAFVpv6Y=")</f>
        <v>#VALUE!</v>
      </c>
      <c r="FL90" t="e">
        <f>AND('STERLING CATALOG - DRY '!F1917,"AAAAAFVpv6c=")</f>
        <v>#VALUE!</v>
      </c>
      <c r="FM90" t="e">
        <f>AND('STERLING CATALOG - DRY '!G1917,"AAAAAFVpv6g=")</f>
        <v>#VALUE!</v>
      </c>
      <c r="FN90" t="e">
        <f>AND('STERLING CATALOG - DRY '!H1917,"AAAAAFVpv6k=")</f>
        <v>#VALUE!</v>
      </c>
      <c r="FO90" t="e">
        <f>AND('STERLING CATALOG - DRY '!I1917,"AAAAAFVpv6o=")</f>
        <v>#VALUE!</v>
      </c>
      <c r="FP90" t="e">
        <f>AND('STERLING CATALOG - DRY '!J1917,"AAAAAFVpv6s=")</f>
        <v>#VALUE!</v>
      </c>
      <c r="FQ90">
        <f>IF('STERLING CATALOG - DRY '!1918:1918,"AAAAAFVpv6w=",0)</f>
        <v>0</v>
      </c>
      <c r="FR90" t="e">
        <f>AND('STERLING CATALOG - DRY '!A1918,"AAAAAFVpv60=")</f>
        <v>#VALUE!</v>
      </c>
      <c r="FS90" t="e">
        <f>AND('STERLING CATALOG - DRY '!B1918,"AAAAAFVpv64=")</f>
        <v>#VALUE!</v>
      </c>
      <c r="FT90" t="e">
        <f>AND('STERLING CATALOG - DRY '!C1918,"AAAAAFVpv68=")</f>
        <v>#VALUE!</v>
      </c>
      <c r="FU90" t="e">
        <f>AND('STERLING CATALOG - DRY '!D1918,"AAAAAFVpv7A=")</f>
        <v>#VALUE!</v>
      </c>
      <c r="FV90" t="e">
        <f>AND('STERLING CATALOG - DRY '!E1918,"AAAAAFVpv7E=")</f>
        <v>#VALUE!</v>
      </c>
      <c r="FW90" t="e">
        <f>AND('STERLING CATALOG - DRY '!F1918,"AAAAAFVpv7I=")</f>
        <v>#VALUE!</v>
      </c>
      <c r="FX90" t="e">
        <f>AND('STERLING CATALOG - DRY '!G1918,"AAAAAFVpv7M=")</f>
        <v>#VALUE!</v>
      </c>
      <c r="FY90" t="e">
        <f>AND('STERLING CATALOG - DRY '!H1918,"AAAAAFVpv7Q=")</f>
        <v>#VALUE!</v>
      </c>
      <c r="FZ90" t="e">
        <f>AND('STERLING CATALOG - DRY '!I1918,"AAAAAFVpv7U=")</f>
        <v>#VALUE!</v>
      </c>
      <c r="GA90" t="e">
        <f>AND('STERLING CATALOG - DRY '!J1918,"AAAAAFVpv7Y=")</f>
        <v>#VALUE!</v>
      </c>
      <c r="GB90">
        <f>IF('STERLING CATALOG - DRY '!1919:1919,"AAAAAFVpv7c=",0)</f>
        <v>0</v>
      </c>
      <c r="GC90" t="e">
        <f>AND('STERLING CATALOG - DRY '!A1919,"AAAAAFVpv7g=")</f>
        <v>#VALUE!</v>
      </c>
      <c r="GD90" t="e">
        <f>AND('STERLING CATALOG - DRY '!B1919,"AAAAAFVpv7k=")</f>
        <v>#VALUE!</v>
      </c>
      <c r="GE90" t="e">
        <f>AND('STERLING CATALOG - DRY '!C1919,"AAAAAFVpv7o=")</f>
        <v>#VALUE!</v>
      </c>
      <c r="GF90" t="e">
        <f>AND('STERLING CATALOG - DRY '!D1919,"AAAAAFVpv7s=")</f>
        <v>#VALUE!</v>
      </c>
      <c r="GG90" t="e">
        <f>AND('STERLING CATALOG - DRY '!E1919,"AAAAAFVpv7w=")</f>
        <v>#VALUE!</v>
      </c>
      <c r="GH90" t="e">
        <f>AND('STERLING CATALOG - DRY '!F1919,"AAAAAFVpv70=")</f>
        <v>#VALUE!</v>
      </c>
      <c r="GI90" t="e">
        <f>AND('STERLING CATALOG - DRY '!G1919,"AAAAAFVpv74=")</f>
        <v>#VALUE!</v>
      </c>
      <c r="GJ90" t="e">
        <f>AND('STERLING CATALOG - DRY '!H1919,"AAAAAFVpv78=")</f>
        <v>#VALUE!</v>
      </c>
      <c r="GK90" t="e">
        <f>AND('STERLING CATALOG - DRY '!I1919,"AAAAAFVpv8A=")</f>
        <v>#VALUE!</v>
      </c>
      <c r="GL90" t="e">
        <f>AND('STERLING CATALOG - DRY '!J1919,"AAAAAFVpv8E=")</f>
        <v>#VALUE!</v>
      </c>
      <c r="GM90">
        <f>IF('STERLING CATALOG - DRY '!1920:1920,"AAAAAFVpv8I=",0)</f>
        <v>0</v>
      </c>
      <c r="GN90" t="e">
        <f>AND('STERLING CATALOG - DRY '!A1920,"AAAAAFVpv8M=")</f>
        <v>#VALUE!</v>
      </c>
      <c r="GO90" t="e">
        <f>AND('STERLING CATALOG - DRY '!B1920,"AAAAAFVpv8Q=")</f>
        <v>#VALUE!</v>
      </c>
      <c r="GP90" t="e">
        <f>AND('STERLING CATALOG - DRY '!C1920,"AAAAAFVpv8U=")</f>
        <v>#VALUE!</v>
      </c>
      <c r="GQ90" t="e">
        <f>AND('STERLING CATALOG - DRY '!D1920,"AAAAAFVpv8Y=")</f>
        <v>#VALUE!</v>
      </c>
      <c r="GR90" t="e">
        <f>AND('STERLING CATALOG - DRY '!E1920,"AAAAAFVpv8c=")</f>
        <v>#VALUE!</v>
      </c>
      <c r="GS90" t="e">
        <f>AND('STERLING CATALOG - DRY '!F1920,"AAAAAFVpv8g=")</f>
        <v>#VALUE!</v>
      </c>
      <c r="GT90" t="e">
        <f>AND('STERLING CATALOG - DRY '!G1920,"AAAAAFVpv8k=")</f>
        <v>#VALUE!</v>
      </c>
      <c r="GU90" t="e">
        <f>AND('STERLING CATALOG - DRY '!H1920,"AAAAAFVpv8o=")</f>
        <v>#VALUE!</v>
      </c>
      <c r="GV90" t="e">
        <f>AND('STERLING CATALOG - DRY '!I1920,"AAAAAFVpv8s=")</f>
        <v>#VALUE!</v>
      </c>
      <c r="GW90" t="e">
        <f>AND('STERLING CATALOG - DRY '!J1920,"AAAAAFVpv8w=")</f>
        <v>#VALUE!</v>
      </c>
      <c r="GX90">
        <f>IF('STERLING CATALOG - DRY '!1921:1921,"AAAAAFVpv80=",0)</f>
        <v>0</v>
      </c>
      <c r="GY90" t="e">
        <f>AND('STERLING CATALOG - DRY '!A1921,"AAAAAFVpv84=")</f>
        <v>#VALUE!</v>
      </c>
      <c r="GZ90" t="e">
        <f>AND('STERLING CATALOG - DRY '!B1921,"AAAAAFVpv88=")</f>
        <v>#VALUE!</v>
      </c>
      <c r="HA90" t="e">
        <f>AND('STERLING CATALOG - DRY '!C1921,"AAAAAFVpv9A=")</f>
        <v>#VALUE!</v>
      </c>
      <c r="HB90" t="e">
        <f>AND('STERLING CATALOG - DRY '!D1921,"AAAAAFVpv9E=")</f>
        <v>#VALUE!</v>
      </c>
      <c r="HC90" t="e">
        <f>AND('STERLING CATALOG - DRY '!E1921,"AAAAAFVpv9I=")</f>
        <v>#VALUE!</v>
      </c>
      <c r="HD90" t="e">
        <f>AND('STERLING CATALOG - DRY '!F1921,"AAAAAFVpv9M=")</f>
        <v>#VALUE!</v>
      </c>
      <c r="HE90" t="e">
        <f>AND('STERLING CATALOG - DRY '!G1921,"AAAAAFVpv9Q=")</f>
        <v>#VALUE!</v>
      </c>
      <c r="HF90" t="e">
        <f>AND('STERLING CATALOG - DRY '!H1921,"AAAAAFVpv9U=")</f>
        <v>#VALUE!</v>
      </c>
      <c r="HG90" t="e">
        <f>AND('STERLING CATALOG - DRY '!I1921,"AAAAAFVpv9Y=")</f>
        <v>#VALUE!</v>
      </c>
      <c r="HH90" t="e">
        <f>AND('STERLING CATALOG - DRY '!J1921,"AAAAAFVpv9c=")</f>
        <v>#VALUE!</v>
      </c>
      <c r="HI90">
        <f>IF('STERLING CATALOG - DRY '!1922:1922,"AAAAAFVpv9g=",0)</f>
        <v>0</v>
      </c>
      <c r="HJ90" t="e">
        <f>AND('STERLING CATALOG - DRY '!A1922,"AAAAAFVpv9k=")</f>
        <v>#VALUE!</v>
      </c>
      <c r="HK90" t="e">
        <f>AND('STERLING CATALOG - DRY '!B1922,"AAAAAFVpv9o=")</f>
        <v>#VALUE!</v>
      </c>
      <c r="HL90" t="e">
        <f>AND('STERLING CATALOG - DRY '!C1922,"AAAAAFVpv9s=")</f>
        <v>#VALUE!</v>
      </c>
      <c r="HM90" t="e">
        <f>AND('STERLING CATALOG - DRY '!D1922,"AAAAAFVpv9w=")</f>
        <v>#VALUE!</v>
      </c>
      <c r="HN90" t="e">
        <f>AND('STERLING CATALOG - DRY '!E1922,"AAAAAFVpv90=")</f>
        <v>#VALUE!</v>
      </c>
      <c r="HO90" t="e">
        <f>AND('STERLING CATALOG - DRY '!F1922,"AAAAAFVpv94=")</f>
        <v>#VALUE!</v>
      </c>
      <c r="HP90" t="e">
        <f>AND('STERLING CATALOG - DRY '!G1922,"AAAAAFVpv98=")</f>
        <v>#VALUE!</v>
      </c>
      <c r="HQ90" t="e">
        <f>AND('STERLING CATALOG - DRY '!H1922,"AAAAAFVpv+A=")</f>
        <v>#VALUE!</v>
      </c>
      <c r="HR90" t="e">
        <f>AND('STERLING CATALOG - DRY '!I1922,"AAAAAFVpv+E=")</f>
        <v>#VALUE!</v>
      </c>
      <c r="HS90" t="e">
        <f>AND('STERLING CATALOG - DRY '!J1922,"AAAAAFVpv+I=")</f>
        <v>#VALUE!</v>
      </c>
      <c r="HT90">
        <f>IF('STERLING CATALOG - DRY '!1923:1923,"AAAAAFVpv+M=",0)</f>
        <v>0</v>
      </c>
      <c r="HU90" t="e">
        <f>AND('STERLING CATALOG - DRY '!A1923,"AAAAAFVpv+Q=")</f>
        <v>#VALUE!</v>
      </c>
      <c r="HV90" t="e">
        <f>AND('STERLING CATALOG - DRY '!B1923,"AAAAAFVpv+U=")</f>
        <v>#VALUE!</v>
      </c>
      <c r="HW90" t="e">
        <f>AND('STERLING CATALOG - DRY '!C1923,"AAAAAFVpv+Y=")</f>
        <v>#VALUE!</v>
      </c>
      <c r="HX90" t="e">
        <f>AND('STERLING CATALOG - DRY '!D1923,"AAAAAFVpv+c=")</f>
        <v>#VALUE!</v>
      </c>
      <c r="HY90" t="e">
        <f>AND('STERLING CATALOG - DRY '!E1923,"AAAAAFVpv+g=")</f>
        <v>#VALUE!</v>
      </c>
      <c r="HZ90" t="e">
        <f>AND('STERLING CATALOG - DRY '!F1923,"AAAAAFVpv+k=")</f>
        <v>#VALUE!</v>
      </c>
      <c r="IA90" t="e">
        <f>AND('STERLING CATALOG - DRY '!G1923,"AAAAAFVpv+o=")</f>
        <v>#VALUE!</v>
      </c>
      <c r="IB90" t="e">
        <f>AND('STERLING CATALOG - DRY '!H1923,"AAAAAFVpv+s=")</f>
        <v>#VALUE!</v>
      </c>
      <c r="IC90" t="e">
        <f>AND('STERLING CATALOG - DRY '!I1923,"AAAAAFVpv+w=")</f>
        <v>#VALUE!</v>
      </c>
      <c r="ID90" t="e">
        <f>AND('STERLING CATALOG - DRY '!J1923,"AAAAAFVpv+0=")</f>
        <v>#VALUE!</v>
      </c>
      <c r="IE90">
        <f>IF('STERLING CATALOG - DRY '!1924:1924,"AAAAAFVpv+4=",0)</f>
        <v>0</v>
      </c>
      <c r="IF90" t="e">
        <f>AND('STERLING CATALOG - DRY '!A1924,"AAAAAFVpv+8=")</f>
        <v>#VALUE!</v>
      </c>
      <c r="IG90" t="e">
        <f>AND('STERLING CATALOG - DRY '!B1924,"AAAAAFVpv/A=")</f>
        <v>#VALUE!</v>
      </c>
      <c r="IH90" t="e">
        <f>AND('STERLING CATALOG - DRY '!C1924,"AAAAAFVpv/E=")</f>
        <v>#VALUE!</v>
      </c>
      <c r="II90" t="e">
        <f>AND('STERLING CATALOG - DRY '!D1924,"AAAAAFVpv/I=")</f>
        <v>#VALUE!</v>
      </c>
      <c r="IJ90" t="e">
        <f>AND('STERLING CATALOG - DRY '!E1924,"AAAAAFVpv/M=")</f>
        <v>#VALUE!</v>
      </c>
      <c r="IK90" t="e">
        <f>AND('STERLING CATALOG - DRY '!F1924,"AAAAAFVpv/Q=")</f>
        <v>#VALUE!</v>
      </c>
      <c r="IL90" t="e">
        <f>AND('STERLING CATALOG - DRY '!G1924,"AAAAAFVpv/U=")</f>
        <v>#VALUE!</v>
      </c>
      <c r="IM90" t="e">
        <f>AND('STERLING CATALOG - DRY '!H1924,"AAAAAFVpv/Y=")</f>
        <v>#VALUE!</v>
      </c>
      <c r="IN90" t="e">
        <f>AND('STERLING CATALOG - DRY '!I1924,"AAAAAFVpv/c=")</f>
        <v>#VALUE!</v>
      </c>
      <c r="IO90" t="e">
        <f>AND('STERLING CATALOG - DRY '!J1924,"AAAAAFVpv/g=")</f>
        <v>#VALUE!</v>
      </c>
      <c r="IP90">
        <f>IF('STERLING CATALOG - DRY '!1925:1925,"AAAAAFVpv/k=",0)</f>
        <v>0</v>
      </c>
      <c r="IQ90" t="e">
        <f>AND('STERLING CATALOG - DRY '!A1925,"AAAAAFVpv/o=")</f>
        <v>#VALUE!</v>
      </c>
      <c r="IR90" t="e">
        <f>AND('STERLING CATALOG - DRY '!B1925,"AAAAAFVpv/s=")</f>
        <v>#VALUE!</v>
      </c>
      <c r="IS90" t="e">
        <f>AND('STERLING CATALOG - DRY '!C1925,"AAAAAFVpv/w=")</f>
        <v>#VALUE!</v>
      </c>
      <c r="IT90" t="e">
        <f>AND('STERLING CATALOG - DRY '!D1925,"AAAAAFVpv/0=")</f>
        <v>#VALUE!</v>
      </c>
      <c r="IU90" t="e">
        <f>AND('STERLING CATALOG - DRY '!E1925,"AAAAAFVpv/4=")</f>
        <v>#VALUE!</v>
      </c>
      <c r="IV90" t="e">
        <f>AND('STERLING CATALOG - DRY '!F1925,"AAAAAFVpv/8=")</f>
        <v>#VALUE!</v>
      </c>
    </row>
    <row r="91" spans="1:256">
      <c r="A91" t="e">
        <f>AND('STERLING CATALOG - DRY '!G1925,"AAAAAB+9ZwA=")</f>
        <v>#VALUE!</v>
      </c>
      <c r="B91" t="e">
        <f>AND('STERLING CATALOG - DRY '!H1925,"AAAAAB+9ZwE=")</f>
        <v>#VALUE!</v>
      </c>
      <c r="C91" t="e">
        <f>AND('STERLING CATALOG - DRY '!I1925,"AAAAAB+9ZwI=")</f>
        <v>#VALUE!</v>
      </c>
      <c r="D91" t="e">
        <f>AND('STERLING CATALOG - DRY '!J1925,"AAAAAB+9ZwM=")</f>
        <v>#VALUE!</v>
      </c>
      <c r="E91" t="e">
        <f>IF('STERLING CATALOG - DRY '!1926:1926,"AAAAAB+9ZwQ=",0)</f>
        <v>#VALUE!</v>
      </c>
      <c r="F91" t="e">
        <f>AND('STERLING CATALOG - DRY '!A1926,"AAAAAB+9ZwU=")</f>
        <v>#VALUE!</v>
      </c>
      <c r="G91" t="e">
        <f>AND('STERLING CATALOG - DRY '!B1926,"AAAAAB+9ZwY=")</f>
        <v>#VALUE!</v>
      </c>
      <c r="H91" t="e">
        <f>AND('STERLING CATALOG - DRY '!C1926,"AAAAAB+9Zwc=")</f>
        <v>#VALUE!</v>
      </c>
      <c r="I91" t="e">
        <f>AND('STERLING CATALOG - DRY '!D1926,"AAAAAB+9Zwg=")</f>
        <v>#VALUE!</v>
      </c>
      <c r="J91" t="e">
        <f>AND('STERLING CATALOG - DRY '!E1926,"AAAAAB+9Zwk=")</f>
        <v>#VALUE!</v>
      </c>
      <c r="K91" t="e">
        <f>AND('STERLING CATALOG - DRY '!F1926,"AAAAAB+9Zwo=")</f>
        <v>#VALUE!</v>
      </c>
      <c r="L91" t="e">
        <f>AND('STERLING CATALOG - DRY '!G1926,"AAAAAB+9Zws=")</f>
        <v>#VALUE!</v>
      </c>
      <c r="M91" t="e">
        <f>AND('STERLING CATALOG - DRY '!H1926,"AAAAAB+9Zww=")</f>
        <v>#VALUE!</v>
      </c>
      <c r="N91" t="e">
        <f>AND('STERLING CATALOG - DRY '!I1926,"AAAAAB+9Zw0=")</f>
        <v>#VALUE!</v>
      </c>
      <c r="O91" t="e">
        <f>AND('STERLING CATALOG - DRY '!J1926,"AAAAAB+9Zw4=")</f>
        <v>#VALUE!</v>
      </c>
      <c r="P91">
        <f>IF('STERLING CATALOG - DRY '!1927:1927,"AAAAAB+9Zw8=",0)</f>
        <v>0</v>
      </c>
      <c r="Q91" t="e">
        <f>AND('STERLING CATALOG - DRY '!A1927,"AAAAAB+9ZxA=")</f>
        <v>#VALUE!</v>
      </c>
      <c r="R91" t="e">
        <f>AND('STERLING CATALOG - DRY '!B1927,"AAAAAB+9ZxE=")</f>
        <v>#VALUE!</v>
      </c>
      <c r="S91" t="e">
        <f>AND('STERLING CATALOG - DRY '!C1927,"AAAAAB+9ZxI=")</f>
        <v>#VALUE!</v>
      </c>
      <c r="T91" t="e">
        <f>AND('STERLING CATALOG - DRY '!D1927,"AAAAAB+9ZxM=")</f>
        <v>#VALUE!</v>
      </c>
      <c r="U91" t="e">
        <f>AND('STERLING CATALOG - DRY '!E1927,"AAAAAB+9ZxQ=")</f>
        <v>#VALUE!</v>
      </c>
      <c r="V91" t="e">
        <f>AND('STERLING CATALOG - DRY '!F1927,"AAAAAB+9ZxU=")</f>
        <v>#VALUE!</v>
      </c>
      <c r="W91" t="e">
        <f>AND('STERLING CATALOG - DRY '!G1927,"AAAAAB+9ZxY=")</f>
        <v>#VALUE!</v>
      </c>
      <c r="X91" t="e">
        <f>AND('STERLING CATALOG - DRY '!H1927,"AAAAAB+9Zxc=")</f>
        <v>#VALUE!</v>
      </c>
      <c r="Y91" t="e">
        <f>AND('STERLING CATALOG - DRY '!I1927,"AAAAAB+9Zxg=")</f>
        <v>#VALUE!</v>
      </c>
      <c r="Z91" t="e">
        <f>AND('STERLING CATALOG - DRY '!J1927,"AAAAAB+9Zxk=")</f>
        <v>#VALUE!</v>
      </c>
      <c r="AA91">
        <f>IF('STERLING CATALOG - DRY '!1928:1928,"AAAAAB+9Zxo=",0)</f>
        <v>0</v>
      </c>
      <c r="AB91" t="e">
        <f>AND('STERLING CATALOG - DRY '!A1928,"AAAAAB+9Zxs=")</f>
        <v>#VALUE!</v>
      </c>
      <c r="AC91" t="e">
        <f>AND('STERLING CATALOG - DRY '!B1928,"AAAAAB+9Zxw=")</f>
        <v>#VALUE!</v>
      </c>
      <c r="AD91" t="e">
        <f>AND('STERLING CATALOG - DRY '!C1928,"AAAAAB+9Zx0=")</f>
        <v>#VALUE!</v>
      </c>
      <c r="AE91" t="e">
        <f>AND('STERLING CATALOG - DRY '!D1928,"AAAAAB+9Zx4=")</f>
        <v>#VALUE!</v>
      </c>
      <c r="AF91" t="e">
        <f>AND('STERLING CATALOG - DRY '!E1928,"AAAAAB+9Zx8=")</f>
        <v>#VALUE!</v>
      </c>
      <c r="AG91" t="e">
        <f>AND('STERLING CATALOG - DRY '!F1928,"AAAAAB+9ZyA=")</f>
        <v>#VALUE!</v>
      </c>
      <c r="AH91" t="e">
        <f>AND('STERLING CATALOG - DRY '!G1928,"AAAAAB+9ZyE=")</f>
        <v>#VALUE!</v>
      </c>
      <c r="AI91" t="e">
        <f>AND('STERLING CATALOG - DRY '!H1928,"AAAAAB+9ZyI=")</f>
        <v>#VALUE!</v>
      </c>
      <c r="AJ91" t="e">
        <f>AND('STERLING CATALOG - DRY '!I1928,"AAAAAB+9ZyM=")</f>
        <v>#VALUE!</v>
      </c>
      <c r="AK91" t="e">
        <f>AND('STERLING CATALOG - DRY '!J1928,"AAAAAB+9ZyQ=")</f>
        <v>#VALUE!</v>
      </c>
      <c r="AL91">
        <f>IF('STERLING CATALOG - DRY '!1929:1929,"AAAAAB+9ZyU=",0)</f>
        <v>0</v>
      </c>
      <c r="AM91" t="e">
        <f>AND('STERLING CATALOG - DRY '!A1929,"AAAAAB+9ZyY=")</f>
        <v>#VALUE!</v>
      </c>
      <c r="AN91" t="e">
        <f>AND('STERLING CATALOG - DRY '!B1929,"AAAAAB+9Zyc=")</f>
        <v>#VALUE!</v>
      </c>
      <c r="AO91" t="e">
        <f>AND('STERLING CATALOG - DRY '!C1929,"AAAAAB+9Zyg=")</f>
        <v>#VALUE!</v>
      </c>
      <c r="AP91" t="e">
        <f>AND('STERLING CATALOG - DRY '!D1929,"AAAAAB+9Zyk=")</f>
        <v>#VALUE!</v>
      </c>
      <c r="AQ91" t="e">
        <f>AND('STERLING CATALOG - DRY '!E1929,"AAAAAB+9Zyo=")</f>
        <v>#VALUE!</v>
      </c>
      <c r="AR91" t="e">
        <f>AND('STERLING CATALOG - DRY '!F1929,"AAAAAB+9Zys=")</f>
        <v>#VALUE!</v>
      </c>
      <c r="AS91" t="e">
        <f>AND('STERLING CATALOG - DRY '!G1929,"AAAAAB+9Zyw=")</f>
        <v>#VALUE!</v>
      </c>
      <c r="AT91" t="e">
        <f>AND('STERLING CATALOG - DRY '!H1929,"AAAAAB+9Zy0=")</f>
        <v>#VALUE!</v>
      </c>
      <c r="AU91" t="e">
        <f>AND('STERLING CATALOG - DRY '!I1929,"AAAAAB+9Zy4=")</f>
        <v>#VALUE!</v>
      </c>
      <c r="AV91" t="e">
        <f>AND('STERLING CATALOG - DRY '!J1929,"AAAAAB+9Zy8=")</f>
        <v>#VALUE!</v>
      </c>
      <c r="AW91">
        <f>IF('STERLING CATALOG - DRY '!1930:1930,"AAAAAB+9ZzA=",0)</f>
        <v>0</v>
      </c>
      <c r="AX91" t="e">
        <f>AND('STERLING CATALOG - DRY '!A1930,"AAAAAB+9ZzE=")</f>
        <v>#VALUE!</v>
      </c>
      <c r="AY91" t="e">
        <f>AND('STERLING CATALOG - DRY '!B1930,"AAAAAB+9ZzI=")</f>
        <v>#VALUE!</v>
      </c>
      <c r="AZ91" t="e">
        <f>AND('STERLING CATALOG - DRY '!C1930,"AAAAAB+9ZzM=")</f>
        <v>#VALUE!</v>
      </c>
      <c r="BA91" t="e">
        <f>AND('STERLING CATALOG - DRY '!D1930,"AAAAAB+9ZzQ=")</f>
        <v>#VALUE!</v>
      </c>
      <c r="BB91" t="e">
        <f>AND('STERLING CATALOG - DRY '!E1930,"AAAAAB+9ZzU=")</f>
        <v>#VALUE!</v>
      </c>
      <c r="BC91" t="e">
        <f>AND('STERLING CATALOG - DRY '!F1930,"AAAAAB+9ZzY=")</f>
        <v>#VALUE!</v>
      </c>
      <c r="BD91" t="e">
        <f>AND('STERLING CATALOG - DRY '!G1930,"AAAAAB+9Zzc=")</f>
        <v>#VALUE!</v>
      </c>
      <c r="BE91" t="e">
        <f>AND('STERLING CATALOG - DRY '!H1930,"AAAAAB+9Zzg=")</f>
        <v>#VALUE!</v>
      </c>
      <c r="BF91" t="e">
        <f>AND('STERLING CATALOG - DRY '!I1930,"AAAAAB+9Zzk=")</f>
        <v>#VALUE!</v>
      </c>
      <c r="BG91" t="e">
        <f>AND('STERLING CATALOG - DRY '!J1930,"AAAAAB+9Zzo=")</f>
        <v>#VALUE!</v>
      </c>
      <c r="BH91">
        <f>IF('STERLING CATALOG - DRY '!1931:1931,"AAAAAB+9Zzs=",0)</f>
        <v>0</v>
      </c>
      <c r="BI91" t="e">
        <f>AND('STERLING CATALOG - DRY '!A1931,"AAAAAB+9Zzw=")</f>
        <v>#VALUE!</v>
      </c>
      <c r="BJ91" t="e">
        <f>AND('STERLING CATALOG - DRY '!B1931,"AAAAAB+9Zz0=")</f>
        <v>#VALUE!</v>
      </c>
      <c r="BK91" t="e">
        <f>AND('STERLING CATALOG - DRY '!C1931,"AAAAAB+9Zz4=")</f>
        <v>#VALUE!</v>
      </c>
      <c r="BL91" t="e">
        <f>AND('STERLING CATALOG - DRY '!D1931,"AAAAAB+9Zz8=")</f>
        <v>#VALUE!</v>
      </c>
      <c r="BM91" t="e">
        <f>AND('STERLING CATALOG - DRY '!E1931,"AAAAAB+9Z0A=")</f>
        <v>#VALUE!</v>
      </c>
      <c r="BN91" t="e">
        <f>AND('STERLING CATALOG - DRY '!F1931,"AAAAAB+9Z0E=")</f>
        <v>#VALUE!</v>
      </c>
      <c r="BO91" t="e">
        <f>AND('STERLING CATALOG - DRY '!G1931,"AAAAAB+9Z0I=")</f>
        <v>#VALUE!</v>
      </c>
      <c r="BP91" t="e">
        <f>AND('STERLING CATALOG - DRY '!H1931,"AAAAAB+9Z0M=")</f>
        <v>#VALUE!</v>
      </c>
      <c r="BQ91" t="e">
        <f>AND('STERLING CATALOG - DRY '!I1931,"AAAAAB+9Z0Q=")</f>
        <v>#VALUE!</v>
      </c>
      <c r="BR91" t="e">
        <f>AND('STERLING CATALOG - DRY '!J1931,"AAAAAB+9Z0U=")</f>
        <v>#VALUE!</v>
      </c>
      <c r="BS91">
        <f>IF('STERLING CATALOG - DRY '!1932:1932,"AAAAAB+9Z0Y=",0)</f>
        <v>0</v>
      </c>
      <c r="BT91" t="e">
        <f>AND('STERLING CATALOG - DRY '!A1932,"AAAAAB+9Z0c=")</f>
        <v>#VALUE!</v>
      </c>
      <c r="BU91" t="e">
        <f>AND('STERLING CATALOG - DRY '!B1932,"AAAAAB+9Z0g=")</f>
        <v>#VALUE!</v>
      </c>
      <c r="BV91" t="e">
        <f>AND('STERLING CATALOG - DRY '!C1932,"AAAAAB+9Z0k=")</f>
        <v>#VALUE!</v>
      </c>
      <c r="BW91" t="e">
        <f>AND('STERLING CATALOG - DRY '!D1932,"AAAAAB+9Z0o=")</f>
        <v>#VALUE!</v>
      </c>
      <c r="BX91" t="e">
        <f>AND('STERLING CATALOG - DRY '!E1932,"AAAAAB+9Z0s=")</f>
        <v>#VALUE!</v>
      </c>
      <c r="BY91" t="e">
        <f>AND('STERLING CATALOG - DRY '!F1932,"AAAAAB+9Z0w=")</f>
        <v>#VALUE!</v>
      </c>
      <c r="BZ91" t="e">
        <f>AND('STERLING CATALOG - DRY '!G1932,"AAAAAB+9Z00=")</f>
        <v>#VALUE!</v>
      </c>
      <c r="CA91" t="e">
        <f>AND('STERLING CATALOG - DRY '!H1932,"AAAAAB+9Z04=")</f>
        <v>#VALUE!</v>
      </c>
      <c r="CB91" t="e">
        <f>AND('STERLING CATALOG - DRY '!I1932,"AAAAAB+9Z08=")</f>
        <v>#VALUE!</v>
      </c>
      <c r="CC91" t="e">
        <f>AND('STERLING CATALOG - DRY '!J1932,"AAAAAB+9Z1A=")</f>
        <v>#VALUE!</v>
      </c>
      <c r="CD91">
        <f>IF('STERLING CATALOG - DRY '!1933:1933,"AAAAAB+9Z1E=",0)</f>
        <v>0</v>
      </c>
      <c r="CE91" t="e">
        <f>AND('STERLING CATALOG - DRY '!A1933,"AAAAAB+9Z1I=")</f>
        <v>#VALUE!</v>
      </c>
      <c r="CF91" t="e">
        <f>AND('STERLING CATALOG - DRY '!B1933,"AAAAAB+9Z1M=")</f>
        <v>#VALUE!</v>
      </c>
      <c r="CG91" t="e">
        <f>AND('STERLING CATALOG - DRY '!C1933,"AAAAAB+9Z1Q=")</f>
        <v>#VALUE!</v>
      </c>
      <c r="CH91" t="e">
        <f>AND('STERLING CATALOG - DRY '!D1933,"AAAAAB+9Z1U=")</f>
        <v>#VALUE!</v>
      </c>
      <c r="CI91" t="e">
        <f>AND('STERLING CATALOG - DRY '!E1933,"AAAAAB+9Z1Y=")</f>
        <v>#VALUE!</v>
      </c>
      <c r="CJ91" t="e">
        <f>AND('STERLING CATALOG - DRY '!F1933,"AAAAAB+9Z1c=")</f>
        <v>#VALUE!</v>
      </c>
      <c r="CK91" t="e">
        <f>AND('STERLING CATALOG - DRY '!G1933,"AAAAAB+9Z1g=")</f>
        <v>#VALUE!</v>
      </c>
      <c r="CL91" t="e">
        <f>AND('STERLING CATALOG - DRY '!H1933,"AAAAAB+9Z1k=")</f>
        <v>#VALUE!</v>
      </c>
      <c r="CM91" t="e">
        <f>AND('STERLING CATALOG - DRY '!I1933,"AAAAAB+9Z1o=")</f>
        <v>#VALUE!</v>
      </c>
      <c r="CN91" t="e">
        <f>AND('STERLING CATALOG - DRY '!J1933,"AAAAAB+9Z1s=")</f>
        <v>#VALUE!</v>
      </c>
      <c r="CO91">
        <f>IF('STERLING CATALOG - DRY '!1934:1934,"AAAAAB+9Z1w=",0)</f>
        <v>0</v>
      </c>
      <c r="CP91" t="e">
        <f>AND('STERLING CATALOG - DRY '!A1934,"AAAAAB+9Z10=")</f>
        <v>#VALUE!</v>
      </c>
      <c r="CQ91" t="e">
        <f>AND('STERLING CATALOG - DRY '!B1934,"AAAAAB+9Z14=")</f>
        <v>#VALUE!</v>
      </c>
      <c r="CR91" t="e">
        <f>AND('STERLING CATALOG - DRY '!C1934,"AAAAAB+9Z18=")</f>
        <v>#VALUE!</v>
      </c>
      <c r="CS91" t="e">
        <f>AND('STERLING CATALOG - DRY '!D1934,"AAAAAB+9Z2A=")</f>
        <v>#VALUE!</v>
      </c>
      <c r="CT91" t="e">
        <f>AND('STERLING CATALOG - DRY '!E1934,"AAAAAB+9Z2E=")</f>
        <v>#VALUE!</v>
      </c>
      <c r="CU91" t="e">
        <f>AND('STERLING CATALOG - DRY '!F1934,"AAAAAB+9Z2I=")</f>
        <v>#VALUE!</v>
      </c>
      <c r="CV91" t="e">
        <f>AND('STERLING CATALOG - DRY '!G1934,"AAAAAB+9Z2M=")</f>
        <v>#VALUE!</v>
      </c>
      <c r="CW91" t="e">
        <f>AND('STERLING CATALOG - DRY '!H1934,"AAAAAB+9Z2Q=")</f>
        <v>#VALUE!</v>
      </c>
      <c r="CX91" t="e">
        <f>AND('STERLING CATALOG - DRY '!I1934,"AAAAAB+9Z2U=")</f>
        <v>#VALUE!</v>
      </c>
      <c r="CY91" t="e">
        <f>AND('STERLING CATALOG - DRY '!J1934,"AAAAAB+9Z2Y=")</f>
        <v>#VALUE!</v>
      </c>
      <c r="CZ91">
        <f>IF('STERLING CATALOG - DRY '!1935:1935,"AAAAAB+9Z2c=",0)</f>
        <v>0</v>
      </c>
      <c r="DA91" t="e">
        <f>AND('STERLING CATALOG - DRY '!A1935,"AAAAAB+9Z2g=")</f>
        <v>#VALUE!</v>
      </c>
      <c r="DB91" t="e">
        <f>AND('STERLING CATALOG - DRY '!B1935,"AAAAAB+9Z2k=")</f>
        <v>#VALUE!</v>
      </c>
      <c r="DC91" t="e">
        <f>AND('STERLING CATALOG - DRY '!C1935,"AAAAAB+9Z2o=")</f>
        <v>#VALUE!</v>
      </c>
      <c r="DD91" t="e">
        <f>AND('STERLING CATALOG - DRY '!D1935,"AAAAAB+9Z2s=")</f>
        <v>#VALUE!</v>
      </c>
      <c r="DE91" t="e">
        <f>AND('STERLING CATALOG - DRY '!E1935,"AAAAAB+9Z2w=")</f>
        <v>#VALUE!</v>
      </c>
      <c r="DF91" t="e">
        <f>AND('STERLING CATALOG - DRY '!F1935,"AAAAAB+9Z20=")</f>
        <v>#VALUE!</v>
      </c>
      <c r="DG91" t="e">
        <f>AND('STERLING CATALOG - DRY '!G1935,"AAAAAB+9Z24=")</f>
        <v>#VALUE!</v>
      </c>
      <c r="DH91" t="e">
        <f>AND('STERLING CATALOG - DRY '!H1935,"AAAAAB+9Z28=")</f>
        <v>#VALUE!</v>
      </c>
      <c r="DI91" t="e">
        <f>AND('STERLING CATALOG - DRY '!I1935,"AAAAAB+9Z3A=")</f>
        <v>#VALUE!</v>
      </c>
      <c r="DJ91" t="e">
        <f>AND('STERLING CATALOG - DRY '!J1935,"AAAAAB+9Z3E=")</f>
        <v>#VALUE!</v>
      </c>
      <c r="DK91">
        <f>IF('STERLING CATALOG - DRY '!1936:1936,"AAAAAB+9Z3I=",0)</f>
        <v>0</v>
      </c>
      <c r="DL91" t="e">
        <f>AND('STERLING CATALOG - DRY '!A1936,"AAAAAB+9Z3M=")</f>
        <v>#VALUE!</v>
      </c>
      <c r="DM91" t="e">
        <f>AND('STERLING CATALOG - DRY '!B1936,"AAAAAB+9Z3Q=")</f>
        <v>#VALUE!</v>
      </c>
      <c r="DN91" t="e">
        <f>AND('STERLING CATALOG - DRY '!C1936,"AAAAAB+9Z3U=")</f>
        <v>#VALUE!</v>
      </c>
      <c r="DO91" t="e">
        <f>AND('STERLING CATALOG - DRY '!D1936,"AAAAAB+9Z3Y=")</f>
        <v>#VALUE!</v>
      </c>
      <c r="DP91" t="e">
        <f>AND('STERLING CATALOG - DRY '!E1936,"AAAAAB+9Z3c=")</f>
        <v>#VALUE!</v>
      </c>
      <c r="DQ91" t="e">
        <f>AND('STERLING CATALOG - DRY '!F1936,"AAAAAB+9Z3g=")</f>
        <v>#VALUE!</v>
      </c>
      <c r="DR91" t="e">
        <f>AND('STERLING CATALOG - DRY '!G1936,"AAAAAB+9Z3k=")</f>
        <v>#VALUE!</v>
      </c>
      <c r="DS91" t="e">
        <f>AND('STERLING CATALOG - DRY '!H1936,"AAAAAB+9Z3o=")</f>
        <v>#VALUE!</v>
      </c>
      <c r="DT91" t="e">
        <f>AND('STERLING CATALOG - DRY '!I1936,"AAAAAB+9Z3s=")</f>
        <v>#VALUE!</v>
      </c>
      <c r="DU91" t="e">
        <f>AND('STERLING CATALOG - DRY '!J1936,"AAAAAB+9Z3w=")</f>
        <v>#VALUE!</v>
      </c>
      <c r="DV91">
        <f>IF('STERLING CATALOG - DRY '!1937:1937,"AAAAAB+9Z30=",0)</f>
        <v>0</v>
      </c>
      <c r="DW91" t="e">
        <f>AND('STERLING CATALOG - DRY '!A1937,"AAAAAB+9Z34=")</f>
        <v>#VALUE!</v>
      </c>
      <c r="DX91" t="e">
        <f>AND('STERLING CATALOG - DRY '!B1937,"AAAAAB+9Z38=")</f>
        <v>#VALUE!</v>
      </c>
      <c r="DY91" t="e">
        <f>AND('STERLING CATALOG - DRY '!C1937,"AAAAAB+9Z4A=")</f>
        <v>#VALUE!</v>
      </c>
      <c r="DZ91" t="e">
        <f>AND('STERLING CATALOG - DRY '!D1937,"AAAAAB+9Z4E=")</f>
        <v>#VALUE!</v>
      </c>
      <c r="EA91" t="e">
        <f>AND('STERLING CATALOG - DRY '!E1937,"AAAAAB+9Z4I=")</f>
        <v>#VALUE!</v>
      </c>
      <c r="EB91" t="e">
        <f>AND('STERLING CATALOG - DRY '!F1937,"AAAAAB+9Z4M=")</f>
        <v>#VALUE!</v>
      </c>
      <c r="EC91" t="e">
        <f>AND('STERLING CATALOG - DRY '!G1937,"AAAAAB+9Z4Q=")</f>
        <v>#VALUE!</v>
      </c>
      <c r="ED91" t="e">
        <f>AND('STERLING CATALOG - DRY '!H1937,"AAAAAB+9Z4U=")</f>
        <v>#VALUE!</v>
      </c>
      <c r="EE91" t="e">
        <f>AND('STERLING CATALOG - DRY '!I1937,"AAAAAB+9Z4Y=")</f>
        <v>#VALUE!</v>
      </c>
      <c r="EF91" t="e">
        <f>AND('STERLING CATALOG - DRY '!J1937,"AAAAAB+9Z4c=")</f>
        <v>#VALUE!</v>
      </c>
      <c r="EG91">
        <f>IF('STERLING CATALOG - DRY '!1938:1938,"AAAAAB+9Z4g=",0)</f>
        <v>0</v>
      </c>
      <c r="EH91" t="e">
        <f>AND('STERLING CATALOG - DRY '!A1938,"AAAAAB+9Z4k=")</f>
        <v>#VALUE!</v>
      </c>
      <c r="EI91" t="e">
        <f>AND('STERLING CATALOG - DRY '!B1938,"AAAAAB+9Z4o=")</f>
        <v>#VALUE!</v>
      </c>
      <c r="EJ91" t="e">
        <f>AND('STERLING CATALOG - DRY '!C1938,"AAAAAB+9Z4s=")</f>
        <v>#VALUE!</v>
      </c>
      <c r="EK91" t="e">
        <f>AND('STERLING CATALOG - DRY '!D1938,"AAAAAB+9Z4w=")</f>
        <v>#VALUE!</v>
      </c>
      <c r="EL91" t="e">
        <f>AND('STERLING CATALOG - DRY '!E1938,"AAAAAB+9Z40=")</f>
        <v>#VALUE!</v>
      </c>
      <c r="EM91" t="e">
        <f>AND('STERLING CATALOG - DRY '!F1938,"AAAAAB+9Z44=")</f>
        <v>#VALUE!</v>
      </c>
      <c r="EN91" t="e">
        <f>AND('STERLING CATALOG - DRY '!G1938,"AAAAAB+9Z48=")</f>
        <v>#VALUE!</v>
      </c>
      <c r="EO91" t="e">
        <f>AND('STERLING CATALOG - DRY '!H1938,"AAAAAB+9Z5A=")</f>
        <v>#VALUE!</v>
      </c>
      <c r="EP91" t="e">
        <f>AND('STERLING CATALOG - DRY '!I1938,"AAAAAB+9Z5E=")</f>
        <v>#VALUE!</v>
      </c>
      <c r="EQ91" t="e">
        <f>AND('STERLING CATALOG - DRY '!J1938,"AAAAAB+9Z5I=")</f>
        <v>#VALUE!</v>
      </c>
      <c r="ER91">
        <f>IF('STERLING CATALOG - DRY '!1939:1939,"AAAAAB+9Z5M=",0)</f>
        <v>0</v>
      </c>
      <c r="ES91" t="e">
        <f>AND('STERLING CATALOG - DRY '!A1939,"AAAAAB+9Z5Q=")</f>
        <v>#VALUE!</v>
      </c>
      <c r="ET91" t="e">
        <f>AND('STERLING CATALOG - DRY '!B1939,"AAAAAB+9Z5U=")</f>
        <v>#VALUE!</v>
      </c>
      <c r="EU91" t="e">
        <f>AND('STERLING CATALOG - DRY '!C1939,"AAAAAB+9Z5Y=")</f>
        <v>#VALUE!</v>
      </c>
      <c r="EV91" t="e">
        <f>AND('STERLING CATALOG - DRY '!D1939,"AAAAAB+9Z5c=")</f>
        <v>#VALUE!</v>
      </c>
      <c r="EW91" t="e">
        <f>AND('STERLING CATALOG - DRY '!E1939,"AAAAAB+9Z5g=")</f>
        <v>#VALUE!</v>
      </c>
      <c r="EX91" t="e">
        <f>AND('STERLING CATALOG - DRY '!F1939,"AAAAAB+9Z5k=")</f>
        <v>#VALUE!</v>
      </c>
      <c r="EY91" t="e">
        <f>AND('STERLING CATALOG - DRY '!G1939,"AAAAAB+9Z5o=")</f>
        <v>#VALUE!</v>
      </c>
      <c r="EZ91" t="e">
        <f>AND('STERLING CATALOG - DRY '!H1939,"AAAAAB+9Z5s=")</f>
        <v>#VALUE!</v>
      </c>
      <c r="FA91" t="e">
        <f>AND('STERLING CATALOG - DRY '!I1939,"AAAAAB+9Z5w=")</f>
        <v>#VALUE!</v>
      </c>
      <c r="FB91" t="e">
        <f>AND('STERLING CATALOG - DRY '!J1939,"AAAAAB+9Z50=")</f>
        <v>#VALUE!</v>
      </c>
      <c r="FC91">
        <f>IF('STERLING CATALOG - DRY '!1940:1940,"AAAAAB+9Z54=",0)</f>
        <v>0</v>
      </c>
      <c r="FD91" t="e">
        <f>AND('STERLING CATALOG - DRY '!A1940,"AAAAAB+9Z58=")</f>
        <v>#VALUE!</v>
      </c>
      <c r="FE91" t="e">
        <f>AND('STERLING CATALOG - DRY '!B1940,"AAAAAB+9Z6A=")</f>
        <v>#VALUE!</v>
      </c>
      <c r="FF91" t="e">
        <f>AND('STERLING CATALOG - DRY '!C1940,"AAAAAB+9Z6E=")</f>
        <v>#VALUE!</v>
      </c>
      <c r="FG91" t="e">
        <f>AND('STERLING CATALOG - DRY '!D1940,"AAAAAB+9Z6I=")</f>
        <v>#VALUE!</v>
      </c>
      <c r="FH91" t="e">
        <f>AND('STERLING CATALOG - DRY '!E1940,"AAAAAB+9Z6M=")</f>
        <v>#VALUE!</v>
      </c>
      <c r="FI91" t="e">
        <f>AND('STERLING CATALOG - DRY '!F1940,"AAAAAB+9Z6Q=")</f>
        <v>#VALUE!</v>
      </c>
      <c r="FJ91" t="e">
        <f>AND('STERLING CATALOG - DRY '!G1940,"AAAAAB+9Z6U=")</f>
        <v>#VALUE!</v>
      </c>
      <c r="FK91" t="e">
        <f>AND('STERLING CATALOG - DRY '!H1940,"AAAAAB+9Z6Y=")</f>
        <v>#VALUE!</v>
      </c>
      <c r="FL91" t="e">
        <f>AND('STERLING CATALOG - DRY '!I1940,"AAAAAB+9Z6c=")</f>
        <v>#VALUE!</v>
      </c>
      <c r="FM91" t="e">
        <f>AND('STERLING CATALOG - DRY '!J1940,"AAAAAB+9Z6g=")</f>
        <v>#VALUE!</v>
      </c>
      <c r="FN91">
        <f>IF('STERLING CATALOG - DRY '!1941:1941,"AAAAAB+9Z6k=",0)</f>
        <v>0</v>
      </c>
      <c r="FO91" t="e">
        <f>AND('STERLING CATALOG - DRY '!A1941,"AAAAAB+9Z6o=")</f>
        <v>#VALUE!</v>
      </c>
      <c r="FP91" t="e">
        <f>AND('STERLING CATALOG - DRY '!B1941,"AAAAAB+9Z6s=")</f>
        <v>#VALUE!</v>
      </c>
      <c r="FQ91" t="e">
        <f>AND('STERLING CATALOG - DRY '!C1941,"AAAAAB+9Z6w=")</f>
        <v>#VALUE!</v>
      </c>
      <c r="FR91" t="e">
        <f>AND('STERLING CATALOG - DRY '!D1941,"AAAAAB+9Z60=")</f>
        <v>#VALUE!</v>
      </c>
      <c r="FS91" t="e">
        <f>AND('STERLING CATALOG - DRY '!E1941,"AAAAAB+9Z64=")</f>
        <v>#VALUE!</v>
      </c>
      <c r="FT91" t="e">
        <f>AND('STERLING CATALOG - DRY '!F1941,"AAAAAB+9Z68=")</f>
        <v>#VALUE!</v>
      </c>
      <c r="FU91" t="e">
        <f>AND('STERLING CATALOG - DRY '!G1941,"AAAAAB+9Z7A=")</f>
        <v>#VALUE!</v>
      </c>
      <c r="FV91" t="e">
        <f>AND('STERLING CATALOG - DRY '!H1941,"AAAAAB+9Z7E=")</f>
        <v>#VALUE!</v>
      </c>
      <c r="FW91" t="e">
        <f>AND('STERLING CATALOG - DRY '!I1941,"AAAAAB+9Z7I=")</f>
        <v>#VALUE!</v>
      </c>
      <c r="FX91" t="e">
        <f>AND('STERLING CATALOG - DRY '!J1941,"AAAAAB+9Z7M=")</f>
        <v>#VALUE!</v>
      </c>
      <c r="FY91">
        <f>IF('STERLING CATALOG - DRY '!1942:1942,"AAAAAB+9Z7Q=",0)</f>
        <v>0</v>
      </c>
      <c r="FZ91" t="e">
        <f>AND('STERLING CATALOG - DRY '!A1942,"AAAAAB+9Z7U=")</f>
        <v>#VALUE!</v>
      </c>
      <c r="GA91" t="e">
        <f>AND('STERLING CATALOG - DRY '!B1942,"AAAAAB+9Z7Y=")</f>
        <v>#VALUE!</v>
      </c>
      <c r="GB91" t="e">
        <f>AND('STERLING CATALOG - DRY '!C1942,"AAAAAB+9Z7c=")</f>
        <v>#VALUE!</v>
      </c>
      <c r="GC91" t="e">
        <f>AND('STERLING CATALOG - DRY '!D1942,"AAAAAB+9Z7g=")</f>
        <v>#VALUE!</v>
      </c>
      <c r="GD91" t="e">
        <f>AND('STERLING CATALOG - DRY '!E1942,"AAAAAB+9Z7k=")</f>
        <v>#VALUE!</v>
      </c>
      <c r="GE91" t="e">
        <f>AND('STERLING CATALOG - DRY '!F1942,"AAAAAB+9Z7o=")</f>
        <v>#VALUE!</v>
      </c>
      <c r="GF91" t="e">
        <f>AND('STERLING CATALOG - DRY '!G1942,"AAAAAB+9Z7s=")</f>
        <v>#VALUE!</v>
      </c>
      <c r="GG91" t="e">
        <f>AND('STERLING CATALOG - DRY '!H1942,"AAAAAB+9Z7w=")</f>
        <v>#VALUE!</v>
      </c>
      <c r="GH91" t="e">
        <f>AND('STERLING CATALOG - DRY '!I1942,"AAAAAB+9Z70=")</f>
        <v>#VALUE!</v>
      </c>
      <c r="GI91" t="e">
        <f>AND('STERLING CATALOG - DRY '!J1942,"AAAAAB+9Z74=")</f>
        <v>#VALUE!</v>
      </c>
      <c r="GJ91">
        <f>IF('STERLING CATALOG - DRY '!1943:1943,"AAAAAB+9Z78=",0)</f>
        <v>0</v>
      </c>
      <c r="GK91" t="e">
        <f>AND('STERLING CATALOG - DRY '!A1943,"AAAAAB+9Z8A=")</f>
        <v>#VALUE!</v>
      </c>
      <c r="GL91" t="e">
        <f>AND('STERLING CATALOG - DRY '!B1943,"AAAAAB+9Z8E=")</f>
        <v>#VALUE!</v>
      </c>
      <c r="GM91" t="e">
        <f>AND('STERLING CATALOG - DRY '!C1943,"AAAAAB+9Z8I=")</f>
        <v>#VALUE!</v>
      </c>
      <c r="GN91" t="e">
        <f>AND('STERLING CATALOG - DRY '!D1943,"AAAAAB+9Z8M=")</f>
        <v>#VALUE!</v>
      </c>
      <c r="GO91" t="e">
        <f>AND('STERLING CATALOG - DRY '!E1943,"AAAAAB+9Z8Q=")</f>
        <v>#VALUE!</v>
      </c>
      <c r="GP91" t="e">
        <f>AND('STERLING CATALOG - DRY '!F1943,"AAAAAB+9Z8U=")</f>
        <v>#VALUE!</v>
      </c>
      <c r="GQ91" t="e">
        <f>AND('STERLING CATALOG - DRY '!G1943,"AAAAAB+9Z8Y=")</f>
        <v>#VALUE!</v>
      </c>
      <c r="GR91" t="e">
        <f>AND('STERLING CATALOG - DRY '!H1943,"AAAAAB+9Z8c=")</f>
        <v>#VALUE!</v>
      </c>
      <c r="GS91" t="e">
        <f>AND('STERLING CATALOG - DRY '!I1943,"AAAAAB+9Z8g=")</f>
        <v>#VALUE!</v>
      </c>
      <c r="GT91" t="e">
        <f>AND('STERLING CATALOG - DRY '!J1943,"AAAAAB+9Z8k=")</f>
        <v>#VALUE!</v>
      </c>
      <c r="GU91">
        <f>IF('STERLING CATALOG - DRY '!1944:1944,"AAAAAB+9Z8o=",0)</f>
        <v>0</v>
      </c>
      <c r="GV91" t="e">
        <f>AND('STERLING CATALOG - DRY '!A1944,"AAAAAB+9Z8s=")</f>
        <v>#VALUE!</v>
      </c>
      <c r="GW91" t="e">
        <f>AND('STERLING CATALOG - DRY '!B1944,"AAAAAB+9Z8w=")</f>
        <v>#VALUE!</v>
      </c>
      <c r="GX91" t="e">
        <f>AND('STERLING CATALOG - DRY '!C1944,"AAAAAB+9Z80=")</f>
        <v>#VALUE!</v>
      </c>
      <c r="GY91" t="e">
        <f>AND('STERLING CATALOG - DRY '!D1944,"AAAAAB+9Z84=")</f>
        <v>#VALUE!</v>
      </c>
      <c r="GZ91" t="e">
        <f>AND('STERLING CATALOG - DRY '!E1944,"AAAAAB+9Z88=")</f>
        <v>#VALUE!</v>
      </c>
      <c r="HA91" t="e">
        <f>AND('STERLING CATALOG - DRY '!F1944,"AAAAAB+9Z9A=")</f>
        <v>#VALUE!</v>
      </c>
      <c r="HB91" t="e">
        <f>AND('STERLING CATALOG - DRY '!G1944,"AAAAAB+9Z9E=")</f>
        <v>#VALUE!</v>
      </c>
      <c r="HC91" t="e">
        <f>AND('STERLING CATALOG - DRY '!H1944,"AAAAAB+9Z9I=")</f>
        <v>#VALUE!</v>
      </c>
      <c r="HD91" t="e">
        <f>AND('STERLING CATALOG - DRY '!I1944,"AAAAAB+9Z9M=")</f>
        <v>#VALUE!</v>
      </c>
      <c r="HE91" t="e">
        <f>AND('STERLING CATALOG - DRY '!J1944,"AAAAAB+9Z9Q=")</f>
        <v>#VALUE!</v>
      </c>
      <c r="HF91">
        <f>IF('STERLING CATALOG - DRY '!1945:1945,"AAAAAB+9Z9U=",0)</f>
        <v>0</v>
      </c>
      <c r="HG91" t="e">
        <f>AND('STERLING CATALOG - DRY '!A1945,"AAAAAB+9Z9Y=")</f>
        <v>#VALUE!</v>
      </c>
      <c r="HH91" t="e">
        <f>AND('STERLING CATALOG - DRY '!B1945,"AAAAAB+9Z9c=")</f>
        <v>#VALUE!</v>
      </c>
      <c r="HI91" t="e">
        <f>AND('STERLING CATALOG - DRY '!C1945,"AAAAAB+9Z9g=")</f>
        <v>#VALUE!</v>
      </c>
      <c r="HJ91" t="e">
        <f>AND('STERLING CATALOG - DRY '!D1945,"AAAAAB+9Z9k=")</f>
        <v>#VALUE!</v>
      </c>
      <c r="HK91" t="e">
        <f>AND('STERLING CATALOG - DRY '!E1945,"AAAAAB+9Z9o=")</f>
        <v>#VALUE!</v>
      </c>
      <c r="HL91" t="e">
        <f>AND('STERLING CATALOG - DRY '!F1945,"AAAAAB+9Z9s=")</f>
        <v>#VALUE!</v>
      </c>
      <c r="HM91" t="e">
        <f>AND('STERLING CATALOG - DRY '!G1945,"AAAAAB+9Z9w=")</f>
        <v>#VALUE!</v>
      </c>
      <c r="HN91" t="e">
        <f>AND('STERLING CATALOG - DRY '!H1945,"AAAAAB+9Z90=")</f>
        <v>#VALUE!</v>
      </c>
      <c r="HO91" t="e">
        <f>AND('STERLING CATALOG - DRY '!I1945,"AAAAAB+9Z94=")</f>
        <v>#VALUE!</v>
      </c>
      <c r="HP91" t="e">
        <f>AND('STERLING CATALOG - DRY '!J1945,"AAAAAB+9Z98=")</f>
        <v>#VALUE!</v>
      </c>
      <c r="HQ91">
        <f>IF('STERLING CATALOG - DRY '!1946:1946,"AAAAAB+9Z+A=",0)</f>
        <v>0</v>
      </c>
      <c r="HR91" t="e">
        <f>AND('STERLING CATALOG - DRY '!A1946,"AAAAAB+9Z+E=")</f>
        <v>#VALUE!</v>
      </c>
      <c r="HS91" t="e">
        <f>AND('STERLING CATALOG - DRY '!B1946,"AAAAAB+9Z+I=")</f>
        <v>#VALUE!</v>
      </c>
      <c r="HT91" t="e">
        <f>AND('STERLING CATALOG - DRY '!C1946,"AAAAAB+9Z+M=")</f>
        <v>#VALUE!</v>
      </c>
      <c r="HU91" t="e">
        <f>AND('STERLING CATALOG - DRY '!D1946,"AAAAAB+9Z+Q=")</f>
        <v>#VALUE!</v>
      </c>
      <c r="HV91" t="e">
        <f>AND('STERLING CATALOG - DRY '!E1946,"AAAAAB+9Z+U=")</f>
        <v>#VALUE!</v>
      </c>
      <c r="HW91" t="e">
        <f>AND('STERLING CATALOG - DRY '!F1946,"AAAAAB+9Z+Y=")</f>
        <v>#VALUE!</v>
      </c>
      <c r="HX91" t="e">
        <f>AND('STERLING CATALOG - DRY '!G1946,"AAAAAB+9Z+c=")</f>
        <v>#VALUE!</v>
      </c>
      <c r="HY91" t="e">
        <f>AND('STERLING CATALOG - DRY '!H1946,"AAAAAB+9Z+g=")</f>
        <v>#VALUE!</v>
      </c>
      <c r="HZ91" t="e">
        <f>AND('STERLING CATALOG - DRY '!I1946,"AAAAAB+9Z+k=")</f>
        <v>#VALUE!</v>
      </c>
      <c r="IA91" t="e">
        <f>AND('STERLING CATALOG - DRY '!J1946,"AAAAAB+9Z+o=")</f>
        <v>#VALUE!</v>
      </c>
      <c r="IB91">
        <f>IF('STERLING CATALOG - DRY '!1947:1947,"AAAAAB+9Z+s=",0)</f>
        <v>0</v>
      </c>
      <c r="IC91" t="e">
        <f>AND('STERLING CATALOG - DRY '!A1947,"AAAAAB+9Z+w=")</f>
        <v>#VALUE!</v>
      </c>
      <c r="ID91" t="e">
        <f>AND('STERLING CATALOG - DRY '!B1947,"AAAAAB+9Z+0=")</f>
        <v>#VALUE!</v>
      </c>
      <c r="IE91" t="e">
        <f>AND('STERLING CATALOG - DRY '!C1947,"AAAAAB+9Z+4=")</f>
        <v>#VALUE!</v>
      </c>
      <c r="IF91" t="e">
        <f>AND('STERLING CATALOG - DRY '!D1947,"AAAAAB+9Z+8=")</f>
        <v>#VALUE!</v>
      </c>
      <c r="IG91" t="e">
        <f>AND('STERLING CATALOG - DRY '!E1947,"AAAAAB+9Z/A=")</f>
        <v>#VALUE!</v>
      </c>
      <c r="IH91" t="e">
        <f>AND('STERLING CATALOG - DRY '!F1947,"AAAAAB+9Z/E=")</f>
        <v>#VALUE!</v>
      </c>
      <c r="II91" t="e">
        <f>AND('STERLING CATALOG - DRY '!G1947,"AAAAAB+9Z/I=")</f>
        <v>#VALUE!</v>
      </c>
      <c r="IJ91" t="e">
        <f>AND('STERLING CATALOG - DRY '!H1947,"AAAAAB+9Z/M=")</f>
        <v>#VALUE!</v>
      </c>
      <c r="IK91" t="e">
        <f>AND('STERLING CATALOG - DRY '!I1947,"AAAAAB+9Z/Q=")</f>
        <v>#VALUE!</v>
      </c>
      <c r="IL91" t="e">
        <f>AND('STERLING CATALOG - DRY '!J1947,"AAAAAB+9Z/U=")</f>
        <v>#VALUE!</v>
      </c>
      <c r="IM91">
        <f>IF('STERLING CATALOG - DRY '!1948:1948,"AAAAAB+9Z/Y=",0)</f>
        <v>0</v>
      </c>
      <c r="IN91" t="e">
        <f>AND('STERLING CATALOG - DRY '!A1948,"AAAAAB+9Z/c=")</f>
        <v>#VALUE!</v>
      </c>
      <c r="IO91" t="e">
        <f>AND('STERLING CATALOG - DRY '!B1948,"AAAAAB+9Z/g=")</f>
        <v>#VALUE!</v>
      </c>
      <c r="IP91" t="e">
        <f>AND('STERLING CATALOG - DRY '!C1948,"AAAAAB+9Z/k=")</f>
        <v>#VALUE!</v>
      </c>
      <c r="IQ91" t="e">
        <f>AND('STERLING CATALOG - DRY '!D1948,"AAAAAB+9Z/o=")</f>
        <v>#VALUE!</v>
      </c>
      <c r="IR91" t="e">
        <f>AND('STERLING CATALOG - DRY '!E1948,"AAAAAB+9Z/s=")</f>
        <v>#VALUE!</v>
      </c>
      <c r="IS91" t="e">
        <f>AND('STERLING CATALOG - DRY '!F1948,"AAAAAB+9Z/w=")</f>
        <v>#VALUE!</v>
      </c>
      <c r="IT91" t="e">
        <f>AND('STERLING CATALOG - DRY '!G1948,"AAAAAB+9Z/0=")</f>
        <v>#VALUE!</v>
      </c>
      <c r="IU91" t="e">
        <f>AND('STERLING CATALOG - DRY '!H1948,"AAAAAB+9Z/4=")</f>
        <v>#VALUE!</v>
      </c>
      <c r="IV91" t="e">
        <f>AND('STERLING CATALOG - DRY '!I1948,"AAAAAB+9Z/8=")</f>
        <v>#VALUE!</v>
      </c>
    </row>
    <row r="92" spans="1:256">
      <c r="A92" t="e">
        <f>AND('STERLING CATALOG - DRY '!J1948,"AAAAAHrv9QA=")</f>
        <v>#VALUE!</v>
      </c>
      <c r="B92" t="str">
        <f>IF('STERLING CATALOG - DRY '!1949:1949,"AAAAAHrv9QE=",0)</f>
        <v>AAAAAHrv9QE=</v>
      </c>
      <c r="C92" t="e">
        <f>AND('STERLING CATALOG - DRY '!A1949,"AAAAAHrv9QI=")</f>
        <v>#VALUE!</v>
      </c>
      <c r="D92" t="e">
        <f>AND('STERLING CATALOG - DRY '!B1949,"AAAAAHrv9QM=")</f>
        <v>#VALUE!</v>
      </c>
      <c r="E92" t="e">
        <f>AND('STERLING CATALOG - DRY '!C1949,"AAAAAHrv9QQ=")</f>
        <v>#VALUE!</v>
      </c>
      <c r="F92" t="e">
        <f>AND('STERLING CATALOG - DRY '!D1949,"AAAAAHrv9QU=")</f>
        <v>#VALUE!</v>
      </c>
      <c r="G92" t="e">
        <f>AND('STERLING CATALOG - DRY '!E1949,"AAAAAHrv9QY=")</f>
        <v>#VALUE!</v>
      </c>
      <c r="H92" t="e">
        <f>AND('STERLING CATALOG - DRY '!F1949,"AAAAAHrv9Qc=")</f>
        <v>#VALUE!</v>
      </c>
      <c r="I92" t="e">
        <f>AND('STERLING CATALOG - DRY '!G1949,"AAAAAHrv9Qg=")</f>
        <v>#VALUE!</v>
      </c>
      <c r="J92" t="e">
        <f>AND('STERLING CATALOG - DRY '!H1949,"AAAAAHrv9Qk=")</f>
        <v>#VALUE!</v>
      </c>
      <c r="K92" t="e">
        <f>AND('STERLING CATALOG - DRY '!I1949,"AAAAAHrv9Qo=")</f>
        <v>#VALUE!</v>
      </c>
      <c r="L92" t="e">
        <f>AND('STERLING CATALOG - DRY '!J1949,"AAAAAHrv9Qs=")</f>
        <v>#VALUE!</v>
      </c>
      <c r="M92">
        <f>IF('STERLING CATALOG - DRY '!1950:1950,"AAAAAHrv9Qw=",0)</f>
        <v>0</v>
      </c>
      <c r="N92" t="e">
        <f>AND('STERLING CATALOG - DRY '!A1950,"AAAAAHrv9Q0=")</f>
        <v>#VALUE!</v>
      </c>
      <c r="O92" t="e">
        <f>AND('STERLING CATALOG - DRY '!B1950,"AAAAAHrv9Q4=")</f>
        <v>#VALUE!</v>
      </c>
      <c r="P92" t="e">
        <f>AND('STERLING CATALOG - DRY '!C1950,"AAAAAHrv9Q8=")</f>
        <v>#VALUE!</v>
      </c>
      <c r="Q92" t="e">
        <f>AND('STERLING CATALOG - DRY '!D1950,"AAAAAHrv9RA=")</f>
        <v>#VALUE!</v>
      </c>
      <c r="R92" t="e">
        <f>AND('STERLING CATALOG - DRY '!E1950,"AAAAAHrv9RE=")</f>
        <v>#VALUE!</v>
      </c>
      <c r="S92" t="e">
        <f>AND('STERLING CATALOG - DRY '!F1950,"AAAAAHrv9RI=")</f>
        <v>#VALUE!</v>
      </c>
      <c r="T92" t="e">
        <f>AND('STERLING CATALOG - DRY '!G1950,"AAAAAHrv9RM=")</f>
        <v>#VALUE!</v>
      </c>
      <c r="U92" t="e">
        <f>AND('STERLING CATALOG - DRY '!H1950,"AAAAAHrv9RQ=")</f>
        <v>#VALUE!</v>
      </c>
      <c r="V92" t="e">
        <f>AND('STERLING CATALOG - DRY '!I1950,"AAAAAHrv9RU=")</f>
        <v>#VALUE!</v>
      </c>
      <c r="W92" t="e">
        <f>AND('STERLING CATALOG - DRY '!J1950,"AAAAAHrv9RY=")</f>
        <v>#VALUE!</v>
      </c>
      <c r="X92">
        <f>IF('STERLING CATALOG - DRY '!1951:1951,"AAAAAHrv9Rc=",0)</f>
        <v>0</v>
      </c>
      <c r="Y92" t="e">
        <f>AND('STERLING CATALOG - DRY '!A1951,"AAAAAHrv9Rg=")</f>
        <v>#VALUE!</v>
      </c>
      <c r="Z92" t="e">
        <f>AND('STERLING CATALOG - DRY '!B1951,"AAAAAHrv9Rk=")</f>
        <v>#VALUE!</v>
      </c>
      <c r="AA92" t="e">
        <f>AND('STERLING CATALOG - DRY '!C1951,"AAAAAHrv9Ro=")</f>
        <v>#VALUE!</v>
      </c>
      <c r="AB92" t="e">
        <f>AND('STERLING CATALOG - DRY '!D1951,"AAAAAHrv9Rs=")</f>
        <v>#VALUE!</v>
      </c>
      <c r="AC92" t="e">
        <f>AND('STERLING CATALOG - DRY '!E1951,"AAAAAHrv9Rw=")</f>
        <v>#VALUE!</v>
      </c>
      <c r="AD92" t="e">
        <f>AND('STERLING CATALOG - DRY '!F1951,"AAAAAHrv9R0=")</f>
        <v>#VALUE!</v>
      </c>
      <c r="AE92" t="e">
        <f>AND('STERLING CATALOG - DRY '!G1951,"AAAAAHrv9R4=")</f>
        <v>#VALUE!</v>
      </c>
      <c r="AF92" t="e">
        <f>AND('STERLING CATALOG - DRY '!H1951,"AAAAAHrv9R8=")</f>
        <v>#VALUE!</v>
      </c>
      <c r="AG92" t="e">
        <f>AND('STERLING CATALOG - DRY '!I1951,"AAAAAHrv9SA=")</f>
        <v>#VALUE!</v>
      </c>
      <c r="AH92" t="e">
        <f>AND('STERLING CATALOG - DRY '!J1951,"AAAAAHrv9SE=")</f>
        <v>#VALUE!</v>
      </c>
      <c r="AI92">
        <f>IF('STERLING CATALOG - DRY '!1952:1952,"AAAAAHrv9SI=",0)</f>
        <v>0</v>
      </c>
      <c r="AJ92" t="e">
        <f>AND('STERLING CATALOG - DRY '!A1952,"AAAAAHrv9SM=")</f>
        <v>#VALUE!</v>
      </c>
      <c r="AK92" t="e">
        <f>AND('STERLING CATALOG - DRY '!B1952,"AAAAAHrv9SQ=")</f>
        <v>#VALUE!</v>
      </c>
      <c r="AL92" t="e">
        <f>AND('STERLING CATALOG - DRY '!C1952,"AAAAAHrv9SU=")</f>
        <v>#VALUE!</v>
      </c>
      <c r="AM92" t="e">
        <f>AND('STERLING CATALOG - DRY '!D1952,"AAAAAHrv9SY=")</f>
        <v>#VALUE!</v>
      </c>
      <c r="AN92" t="e">
        <f>AND('STERLING CATALOG - DRY '!E1952,"AAAAAHrv9Sc=")</f>
        <v>#VALUE!</v>
      </c>
      <c r="AO92" t="e">
        <f>AND('STERLING CATALOG - DRY '!F1952,"AAAAAHrv9Sg=")</f>
        <v>#VALUE!</v>
      </c>
      <c r="AP92" t="e">
        <f>AND('STERLING CATALOG - DRY '!G1952,"AAAAAHrv9Sk=")</f>
        <v>#VALUE!</v>
      </c>
      <c r="AQ92" t="e">
        <f>AND('STERLING CATALOG - DRY '!H1952,"AAAAAHrv9So=")</f>
        <v>#VALUE!</v>
      </c>
      <c r="AR92" t="e">
        <f>AND('STERLING CATALOG - DRY '!I1952,"AAAAAHrv9Ss=")</f>
        <v>#VALUE!</v>
      </c>
      <c r="AS92" t="e">
        <f>AND('STERLING CATALOG - DRY '!J1952,"AAAAAHrv9Sw=")</f>
        <v>#VALUE!</v>
      </c>
      <c r="AT92">
        <f>IF('STERLING CATALOG - DRY '!1953:1953,"AAAAAHrv9S0=",0)</f>
        <v>0</v>
      </c>
      <c r="AU92" t="e">
        <f>AND('STERLING CATALOG - DRY '!A1953,"AAAAAHrv9S4=")</f>
        <v>#VALUE!</v>
      </c>
      <c r="AV92" t="e">
        <f>AND('STERLING CATALOG - DRY '!B1953,"AAAAAHrv9S8=")</f>
        <v>#VALUE!</v>
      </c>
      <c r="AW92" t="e">
        <f>AND('STERLING CATALOG - DRY '!C1953,"AAAAAHrv9TA=")</f>
        <v>#VALUE!</v>
      </c>
      <c r="AX92" t="e">
        <f>AND('STERLING CATALOG - DRY '!D1953,"AAAAAHrv9TE=")</f>
        <v>#VALUE!</v>
      </c>
      <c r="AY92" t="e">
        <f>AND('STERLING CATALOG - DRY '!E1953,"AAAAAHrv9TI=")</f>
        <v>#VALUE!</v>
      </c>
      <c r="AZ92" t="e">
        <f>AND('STERLING CATALOG - DRY '!F1953,"AAAAAHrv9TM=")</f>
        <v>#VALUE!</v>
      </c>
      <c r="BA92" t="e">
        <f>AND('STERLING CATALOG - DRY '!G1953,"AAAAAHrv9TQ=")</f>
        <v>#VALUE!</v>
      </c>
      <c r="BB92" t="e">
        <f>AND('STERLING CATALOG - DRY '!H1953,"AAAAAHrv9TU=")</f>
        <v>#VALUE!</v>
      </c>
      <c r="BC92" t="e">
        <f>AND('STERLING CATALOG - DRY '!I1953,"AAAAAHrv9TY=")</f>
        <v>#VALUE!</v>
      </c>
      <c r="BD92" t="e">
        <f>AND('STERLING CATALOG - DRY '!J1953,"AAAAAHrv9Tc=")</f>
        <v>#VALUE!</v>
      </c>
      <c r="BE92">
        <f>IF('STERLING CATALOG - DRY '!1954:1954,"AAAAAHrv9Tg=",0)</f>
        <v>0</v>
      </c>
      <c r="BF92" t="e">
        <f>AND('STERLING CATALOG - DRY '!A1954,"AAAAAHrv9Tk=")</f>
        <v>#VALUE!</v>
      </c>
      <c r="BG92" t="e">
        <f>AND('STERLING CATALOG - DRY '!B1954,"AAAAAHrv9To=")</f>
        <v>#VALUE!</v>
      </c>
      <c r="BH92" t="e">
        <f>AND('STERLING CATALOG - DRY '!C1954,"AAAAAHrv9Ts=")</f>
        <v>#VALUE!</v>
      </c>
      <c r="BI92" t="e">
        <f>AND('STERLING CATALOG - DRY '!D1954,"AAAAAHrv9Tw=")</f>
        <v>#VALUE!</v>
      </c>
      <c r="BJ92" t="e">
        <f>AND('STERLING CATALOG - DRY '!E1954,"AAAAAHrv9T0=")</f>
        <v>#VALUE!</v>
      </c>
      <c r="BK92" t="e">
        <f>AND('STERLING CATALOG - DRY '!F1954,"AAAAAHrv9T4=")</f>
        <v>#VALUE!</v>
      </c>
      <c r="BL92" t="e">
        <f>AND('STERLING CATALOG - DRY '!G1954,"AAAAAHrv9T8=")</f>
        <v>#VALUE!</v>
      </c>
      <c r="BM92" t="e">
        <f>AND('STERLING CATALOG - DRY '!H1954,"AAAAAHrv9UA=")</f>
        <v>#VALUE!</v>
      </c>
      <c r="BN92" t="e">
        <f>AND('STERLING CATALOG - DRY '!I1954,"AAAAAHrv9UE=")</f>
        <v>#VALUE!</v>
      </c>
      <c r="BO92" t="e">
        <f>AND('STERLING CATALOG - DRY '!J1954,"AAAAAHrv9UI=")</f>
        <v>#VALUE!</v>
      </c>
      <c r="BP92">
        <f>IF('STERLING CATALOG - DRY '!1955:1955,"AAAAAHrv9UM=",0)</f>
        <v>0</v>
      </c>
      <c r="BQ92" t="e">
        <f>AND('STERLING CATALOG - DRY '!A1955,"AAAAAHrv9UQ=")</f>
        <v>#VALUE!</v>
      </c>
      <c r="BR92" t="e">
        <f>AND('STERLING CATALOG - DRY '!B1955,"AAAAAHrv9UU=")</f>
        <v>#VALUE!</v>
      </c>
      <c r="BS92" t="e">
        <f>AND('STERLING CATALOG - DRY '!C1955,"AAAAAHrv9UY=")</f>
        <v>#VALUE!</v>
      </c>
      <c r="BT92" t="e">
        <f>AND('STERLING CATALOG - DRY '!D1955,"AAAAAHrv9Uc=")</f>
        <v>#VALUE!</v>
      </c>
      <c r="BU92" t="e">
        <f>AND('STERLING CATALOG - DRY '!E1955,"AAAAAHrv9Ug=")</f>
        <v>#VALUE!</v>
      </c>
      <c r="BV92" t="e">
        <f>AND('STERLING CATALOG - DRY '!F1955,"AAAAAHrv9Uk=")</f>
        <v>#VALUE!</v>
      </c>
      <c r="BW92" t="e">
        <f>AND('STERLING CATALOG - DRY '!G1955,"AAAAAHrv9Uo=")</f>
        <v>#VALUE!</v>
      </c>
      <c r="BX92" t="e">
        <f>AND('STERLING CATALOG - DRY '!H1955,"AAAAAHrv9Us=")</f>
        <v>#VALUE!</v>
      </c>
      <c r="BY92" t="e">
        <f>AND('STERLING CATALOG - DRY '!I1955,"AAAAAHrv9Uw=")</f>
        <v>#VALUE!</v>
      </c>
      <c r="BZ92" t="e">
        <f>AND('STERLING CATALOG - DRY '!J1955,"AAAAAHrv9U0=")</f>
        <v>#VALUE!</v>
      </c>
      <c r="CA92">
        <f>IF('STERLING CATALOG - DRY '!1956:1956,"AAAAAHrv9U4=",0)</f>
        <v>0</v>
      </c>
      <c r="CB92" t="e">
        <f>AND('STERLING CATALOG - DRY '!A1956,"AAAAAHrv9U8=")</f>
        <v>#VALUE!</v>
      </c>
      <c r="CC92" t="e">
        <f>AND('STERLING CATALOG - DRY '!B1956,"AAAAAHrv9VA=")</f>
        <v>#VALUE!</v>
      </c>
      <c r="CD92" t="e">
        <f>AND('STERLING CATALOG - DRY '!C1956,"AAAAAHrv9VE=")</f>
        <v>#VALUE!</v>
      </c>
      <c r="CE92" t="e">
        <f>AND('STERLING CATALOG - DRY '!D1956,"AAAAAHrv9VI=")</f>
        <v>#VALUE!</v>
      </c>
      <c r="CF92" t="e">
        <f>AND('STERLING CATALOG - DRY '!E1956,"AAAAAHrv9VM=")</f>
        <v>#VALUE!</v>
      </c>
      <c r="CG92" t="e">
        <f>AND('STERLING CATALOG - DRY '!F1956,"AAAAAHrv9VQ=")</f>
        <v>#VALUE!</v>
      </c>
      <c r="CH92" t="e">
        <f>AND('STERLING CATALOG - DRY '!G1956,"AAAAAHrv9VU=")</f>
        <v>#VALUE!</v>
      </c>
      <c r="CI92" t="e">
        <f>AND('STERLING CATALOG - DRY '!H1956,"AAAAAHrv9VY=")</f>
        <v>#VALUE!</v>
      </c>
      <c r="CJ92" t="e">
        <f>AND('STERLING CATALOG - DRY '!I1956,"AAAAAHrv9Vc=")</f>
        <v>#VALUE!</v>
      </c>
      <c r="CK92" t="e">
        <f>AND('STERLING CATALOG - DRY '!J1956,"AAAAAHrv9Vg=")</f>
        <v>#VALUE!</v>
      </c>
      <c r="CL92">
        <f>IF('STERLING CATALOG - DRY '!1957:1957,"AAAAAHrv9Vk=",0)</f>
        <v>0</v>
      </c>
      <c r="CM92" t="e">
        <f>AND('STERLING CATALOG - DRY '!A1957,"AAAAAHrv9Vo=")</f>
        <v>#VALUE!</v>
      </c>
      <c r="CN92" t="e">
        <f>AND('STERLING CATALOG - DRY '!B1957,"AAAAAHrv9Vs=")</f>
        <v>#VALUE!</v>
      </c>
      <c r="CO92" t="e">
        <f>AND('STERLING CATALOG - DRY '!C1957,"AAAAAHrv9Vw=")</f>
        <v>#VALUE!</v>
      </c>
      <c r="CP92" t="e">
        <f>AND('STERLING CATALOG - DRY '!D1957,"AAAAAHrv9V0=")</f>
        <v>#VALUE!</v>
      </c>
      <c r="CQ92" t="e">
        <f>AND('STERLING CATALOG - DRY '!E1957,"AAAAAHrv9V4=")</f>
        <v>#VALUE!</v>
      </c>
      <c r="CR92" t="e">
        <f>AND('STERLING CATALOG - DRY '!F1957,"AAAAAHrv9V8=")</f>
        <v>#VALUE!</v>
      </c>
      <c r="CS92" t="e">
        <f>AND('STERLING CATALOG - DRY '!G1957,"AAAAAHrv9WA=")</f>
        <v>#VALUE!</v>
      </c>
      <c r="CT92" t="e">
        <f>AND('STERLING CATALOG - DRY '!H1957,"AAAAAHrv9WE=")</f>
        <v>#VALUE!</v>
      </c>
      <c r="CU92" t="e">
        <f>AND('STERLING CATALOG - DRY '!I1957,"AAAAAHrv9WI=")</f>
        <v>#VALUE!</v>
      </c>
      <c r="CV92" t="e">
        <f>AND('STERLING CATALOG - DRY '!J1957,"AAAAAHrv9WM=")</f>
        <v>#VALUE!</v>
      </c>
      <c r="CW92">
        <f>IF('STERLING CATALOG - DRY '!1958:1958,"AAAAAHrv9WQ=",0)</f>
        <v>0</v>
      </c>
      <c r="CX92" t="e">
        <f>AND('STERLING CATALOG - DRY '!A1958,"AAAAAHrv9WU=")</f>
        <v>#VALUE!</v>
      </c>
      <c r="CY92" t="e">
        <f>AND('STERLING CATALOG - DRY '!B1958,"AAAAAHrv9WY=")</f>
        <v>#VALUE!</v>
      </c>
      <c r="CZ92" t="e">
        <f>AND('STERLING CATALOG - DRY '!C1958,"AAAAAHrv9Wc=")</f>
        <v>#VALUE!</v>
      </c>
      <c r="DA92" t="e">
        <f>AND('STERLING CATALOG - DRY '!D1958,"AAAAAHrv9Wg=")</f>
        <v>#VALUE!</v>
      </c>
      <c r="DB92" t="e">
        <f>AND('STERLING CATALOG - DRY '!E1958,"AAAAAHrv9Wk=")</f>
        <v>#VALUE!</v>
      </c>
      <c r="DC92" t="e">
        <f>AND('STERLING CATALOG - DRY '!F1958,"AAAAAHrv9Wo=")</f>
        <v>#VALUE!</v>
      </c>
      <c r="DD92" t="e">
        <f>AND('STERLING CATALOG - DRY '!G1958,"AAAAAHrv9Ws=")</f>
        <v>#VALUE!</v>
      </c>
      <c r="DE92" t="e">
        <f>AND('STERLING CATALOG - DRY '!H1958,"AAAAAHrv9Ww=")</f>
        <v>#VALUE!</v>
      </c>
      <c r="DF92" t="e">
        <f>AND('STERLING CATALOG - DRY '!I1958,"AAAAAHrv9W0=")</f>
        <v>#VALUE!</v>
      </c>
      <c r="DG92" t="e">
        <f>AND('STERLING CATALOG - DRY '!J1958,"AAAAAHrv9W4=")</f>
        <v>#VALUE!</v>
      </c>
      <c r="DH92">
        <f>IF('STERLING CATALOG - DRY '!1959:1959,"AAAAAHrv9W8=",0)</f>
        <v>0</v>
      </c>
      <c r="DI92" t="e">
        <f>AND('STERLING CATALOG - DRY '!A1959,"AAAAAHrv9XA=")</f>
        <v>#VALUE!</v>
      </c>
      <c r="DJ92" t="e">
        <f>AND('STERLING CATALOG - DRY '!B1959,"AAAAAHrv9XE=")</f>
        <v>#VALUE!</v>
      </c>
      <c r="DK92" t="e">
        <f>AND('STERLING CATALOG - DRY '!C1959,"AAAAAHrv9XI=")</f>
        <v>#VALUE!</v>
      </c>
      <c r="DL92" t="e">
        <f>AND('STERLING CATALOG - DRY '!D1959,"AAAAAHrv9XM=")</f>
        <v>#VALUE!</v>
      </c>
      <c r="DM92" t="e">
        <f>AND('STERLING CATALOG - DRY '!E1959,"AAAAAHrv9XQ=")</f>
        <v>#VALUE!</v>
      </c>
      <c r="DN92" t="e">
        <f>AND('STERLING CATALOG - DRY '!F1959,"AAAAAHrv9XU=")</f>
        <v>#VALUE!</v>
      </c>
      <c r="DO92" t="e">
        <f>AND('STERLING CATALOG - DRY '!G1959,"AAAAAHrv9XY=")</f>
        <v>#VALUE!</v>
      </c>
      <c r="DP92" t="e">
        <f>AND('STERLING CATALOG - DRY '!H1959,"AAAAAHrv9Xc=")</f>
        <v>#VALUE!</v>
      </c>
      <c r="DQ92" t="e">
        <f>AND('STERLING CATALOG - DRY '!I1959,"AAAAAHrv9Xg=")</f>
        <v>#VALUE!</v>
      </c>
      <c r="DR92" t="e">
        <f>AND('STERLING CATALOG - DRY '!J1959,"AAAAAHrv9Xk=")</f>
        <v>#VALUE!</v>
      </c>
      <c r="DS92">
        <f>IF('STERLING CATALOG - DRY '!1960:1960,"AAAAAHrv9Xo=",0)</f>
        <v>0</v>
      </c>
      <c r="DT92" t="e">
        <f>AND('STERLING CATALOG - DRY '!A1960,"AAAAAHrv9Xs=")</f>
        <v>#VALUE!</v>
      </c>
      <c r="DU92" t="e">
        <f>AND('STERLING CATALOG - DRY '!B1960,"AAAAAHrv9Xw=")</f>
        <v>#VALUE!</v>
      </c>
      <c r="DV92" t="e">
        <f>AND('STERLING CATALOG - DRY '!C1960,"AAAAAHrv9X0=")</f>
        <v>#VALUE!</v>
      </c>
      <c r="DW92" t="e">
        <f>AND('STERLING CATALOG - DRY '!D1960,"AAAAAHrv9X4=")</f>
        <v>#VALUE!</v>
      </c>
      <c r="DX92" t="e">
        <f>AND('STERLING CATALOG - DRY '!E1960,"AAAAAHrv9X8=")</f>
        <v>#VALUE!</v>
      </c>
      <c r="DY92" t="e">
        <f>AND('STERLING CATALOG - DRY '!F1960,"AAAAAHrv9YA=")</f>
        <v>#VALUE!</v>
      </c>
      <c r="DZ92" t="e">
        <f>AND('STERLING CATALOG - DRY '!G1960,"AAAAAHrv9YE=")</f>
        <v>#VALUE!</v>
      </c>
      <c r="EA92" t="e">
        <f>AND('STERLING CATALOG - DRY '!H1960,"AAAAAHrv9YI=")</f>
        <v>#VALUE!</v>
      </c>
      <c r="EB92" t="e">
        <f>AND('STERLING CATALOG - DRY '!I1960,"AAAAAHrv9YM=")</f>
        <v>#VALUE!</v>
      </c>
      <c r="EC92" t="e">
        <f>AND('STERLING CATALOG - DRY '!J1960,"AAAAAHrv9YQ=")</f>
        <v>#VALUE!</v>
      </c>
      <c r="ED92">
        <f>IF('STERLING CATALOG - DRY '!1961:1961,"AAAAAHrv9YU=",0)</f>
        <v>0</v>
      </c>
      <c r="EE92" t="e">
        <f>AND('STERLING CATALOG - DRY '!A1961,"AAAAAHrv9YY=")</f>
        <v>#VALUE!</v>
      </c>
      <c r="EF92" t="e">
        <f>AND('STERLING CATALOG - DRY '!B1961,"AAAAAHrv9Yc=")</f>
        <v>#VALUE!</v>
      </c>
      <c r="EG92" t="e">
        <f>AND('STERLING CATALOG - DRY '!C1961,"AAAAAHrv9Yg=")</f>
        <v>#VALUE!</v>
      </c>
      <c r="EH92" t="e">
        <f>AND('STERLING CATALOG - DRY '!D1961,"AAAAAHrv9Yk=")</f>
        <v>#VALUE!</v>
      </c>
      <c r="EI92" t="e">
        <f>AND('STERLING CATALOG - DRY '!E1961,"AAAAAHrv9Yo=")</f>
        <v>#VALUE!</v>
      </c>
      <c r="EJ92" t="e">
        <f>AND('STERLING CATALOG - DRY '!F1961,"AAAAAHrv9Ys=")</f>
        <v>#VALUE!</v>
      </c>
      <c r="EK92" t="e">
        <f>AND('STERLING CATALOG - DRY '!G1961,"AAAAAHrv9Yw=")</f>
        <v>#VALUE!</v>
      </c>
      <c r="EL92" t="e">
        <f>AND('STERLING CATALOG - DRY '!H1961,"AAAAAHrv9Y0=")</f>
        <v>#VALUE!</v>
      </c>
      <c r="EM92" t="e">
        <f>AND('STERLING CATALOG - DRY '!I1961,"AAAAAHrv9Y4=")</f>
        <v>#VALUE!</v>
      </c>
      <c r="EN92" t="e">
        <f>AND('STERLING CATALOG - DRY '!J1961,"AAAAAHrv9Y8=")</f>
        <v>#VALUE!</v>
      </c>
      <c r="EO92">
        <f>IF('STERLING CATALOG - DRY '!1962:1962,"AAAAAHrv9ZA=",0)</f>
        <v>0</v>
      </c>
      <c r="EP92" t="e">
        <f>AND('STERLING CATALOG - DRY '!A1962,"AAAAAHrv9ZE=")</f>
        <v>#VALUE!</v>
      </c>
      <c r="EQ92" t="e">
        <f>AND('STERLING CATALOG - DRY '!B1962,"AAAAAHrv9ZI=")</f>
        <v>#VALUE!</v>
      </c>
      <c r="ER92" t="e">
        <f>AND('STERLING CATALOG - DRY '!C1962,"AAAAAHrv9ZM=")</f>
        <v>#VALUE!</v>
      </c>
      <c r="ES92" t="e">
        <f>AND('STERLING CATALOG - DRY '!D1962,"AAAAAHrv9ZQ=")</f>
        <v>#VALUE!</v>
      </c>
      <c r="ET92" t="e">
        <f>AND('STERLING CATALOG - DRY '!E1962,"AAAAAHrv9ZU=")</f>
        <v>#VALUE!</v>
      </c>
      <c r="EU92" t="e">
        <f>AND('STERLING CATALOG - DRY '!F1962,"AAAAAHrv9ZY=")</f>
        <v>#VALUE!</v>
      </c>
      <c r="EV92" t="e">
        <f>AND('STERLING CATALOG - DRY '!G1962,"AAAAAHrv9Zc=")</f>
        <v>#VALUE!</v>
      </c>
      <c r="EW92" t="e">
        <f>AND('STERLING CATALOG - DRY '!H1962,"AAAAAHrv9Zg=")</f>
        <v>#VALUE!</v>
      </c>
      <c r="EX92" t="e">
        <f>AND('STERLING CATALOG - DRY '!I1962,"AAAAAHrv9Zk=")</f>
        <v>#VALUE!</v>
      </c>
      <c r="EY92" t="e">
        <f>AND('STERLING CATALOG - DRY '!J1962,"AAAAAHrv9Zo=")</f>
        <v>#VALUE!</v>
      </c>
      <c r="EZ92">
        <f>IF('STERLING CATALOG - DRY '!1963:1963,"AAAAAHrv9Zs=",0)</f>
        <v>0</v>
      </c>
      <c r="FA92" t="e">
        <f>AND('STERLING CATALOG - DRY '!A1963,"AAAAAHrv9Zw=")</f>
        <v>#VALUE!</v>
      </c>
      <c r="FB92" t="e">
        <f>AND('STERLING CATALOG - DRY '!B1963,"AAAAAHrv9Z0=")</f>
        <v>#VALUE!</v>
      </c>
      <c r="FC92" t="e">
        <f>AND('STERLING CATALOG - DRY '!C1963,"AAAAAHrv9Z4=")</f>
        <v>#VALUE!</v>
      </c>
      <c r="FD92" t="e">
        <f>AND('STERLING CATALOG - DRY '!D1963,"AAAAAHrv9Z8=")</f>
        <v>#VALUE!</v>
      </c>
      <c r="FE92" t="e">
        <f>AND('STERLING CATALOG - DRY '!E1963,"AAAAAHrv9aA=")</f>
        <v>#VALUE!</v>
      </c>
      <c r="FF92" t="e">
        <f>AND('STERLING CATALOG - DRY '!F1963,"AAAAAHrv9aE=")</f>
        <v>#VALUE!</v>
      </c>
      <c r="FG92" t="e">
        <f>AND('STERLING CATALOG - DRY '!G1963,"AAAAAHrv9aI=")</f>
        <v>#VALUE!</v>
      </c>
      <c r="FH92" t="e">
        <f>AND('STERLING CATALOG - DRY '!H1963,"AAAAAHrv9aM=")</f>
        <v>#VALUE!</v>
      </c>
      <c r="FI92" t="e">
        <f>AND('STERLING CATALOG - DRY '!I1963,"AAAAAHrv9aQ=")</f>
        <v>#VALUE!</v>
      </c>
      <c r="FJ92" t="e">
        <f>AND('STERLING CATALOG - DRY '!J1963,"AAAAAHrv9aU=")</f>
        <v>#VALUE!</v>
      </c>
      <c r="FK92">
        <f>IF('STERLING CATALOG - DRY '!1964:1964,"AAAAAHrv9aY=",0)</f>
        <v>0</v>
      </c>
      <c r="FL92" t="e">
        <f>AND('STERLING CATALOG - DRY '!A1964,"AAAAAHrv9ac=")</f>
        <v>#VALUE!</v>
      </c>
      <c r="FM92" t="e">
        <f>AND('STERLING CATALOG - DRY '!B1964,"AAAAAHrv9ag=")</f>
        <v>#VALUE!</v>
      </c>
      <c r="FN92" t="e">
        <f>AND('STERLING CATALOG - DRY '!C1964,"AAAAAHrv9ak=")</f>
        <v>#VALUE!</v>
      </c>
      <c r="FO92" t="e">
        <f>AND('STERLING CATALOG - DRY '!D1964,"AAAAAHrv9ao=")</f>
        <v>#VALUE!</v>
      </c>
      <c r="FP92" t="e">
        <f>AND('STERLING CATALOG - DRY '!E1964,"AAAAAHrv9as=")</f>
        <v>#VALUE!</v>
      </c>
      <c r="FQ92" t="e">
        <f>AND('STERLING CATALOG - DRY '!F1964,"AAAAAHrv9aw=")</f>
        <v>#VALUE!</v>
      </c>
      <c r="FR92" t="e">
        <f>AND('STERLING CATALOG - DRY '!G1964,"AAAAAHrv9a0=")</f>
        <v>#VALUE!</v>
      </c>
      <c r="FS92" t="e">
        <f>AND('STERLING CATALOG - DRY '!H1964,"AAAAAHrv9a4=")</f>
        <v>#VALUE!</v>
      </c>
      <c r="FT92" t="e">
        <f>AND('STERLING CATALOG - DRY '!I1964,"AAAAAHrv9a8=")</f>
        <v>#VALUE!</v>
      </c>
      <c r="FU92" t="e">
        <f>AND('STERLING CATALOG - DRY '!J1964,"AAAAAHrv9bA=")</f>
        <v>#VALUE!</v>
      </c>
      <c r="FV92">
        <f>IF('STERLING CATALOG - DRY '!1965:1965,"AAAAAHrv9bE=",0)</f>
        <v>0</v>
      </c>
      <c r="FW92" t="e">
        <f>AND('STERLING CATALOG - DRY '!A1965,"AAAAAHrv9bI=")</f>
        <v>#VALUE!</v>
      </c>
      <c r="FX92" t="e">
        <f>AND('STERLING CATALOG - DRY '!B1965,"AAAAAHrv9bM=")</f>
        <v>#VALUE!</v>
      </c>
      <c r="FY92" t="e">
        <f>AND('STERLING CATALOG - DRY '!C1965,"AAAAAHrv9bQ=")</f>
        <v>#VALUE!</v>
      </c>
      <c r="FZ92" t="e">
        <f>AND('STERLING CATALOG - DRY '!D1965,"AAAAAHrv9bU=")</f>
        <v>#VALUE!</v>
      </c>
      <c r="GA92" t="e">
        <f>AND('STERLING CATALOG - DRY '!E1965,"AAAAAHrv9bY=")</f>
        <v>#VALUE!</v>
      </c>
      <c r="GB92" t="e">
        <f>AND('STERLING CATALOG - DRY '!F1965,"AAAAAHrv9bc=")</f>
        <v>#VALUE!</v>
      </c>
      <c r="GC92" t="e">
        <f>AND('STERLING CATALOG - DRY '!G1965,"AAAAAHrv9bg=")</f>
        <v>#VALUE!</v>
      </c>
      <c r="GD92" t="e">
        <f>AND('STERLING CATALOG - DRY '!H1965,"AAAAAHrv9bk=")</f>
        <v>#VALUE!</v>
      </c>
      <c r="GE92" t="e">
        <f>AND('STERLING CATALOG - DRY '!I1965,"AAAAAHrv9bo=")</f>
        <v>#VALUE!</v>
      </c>
      <c r="GF92" t="e">
        <f>AND('STERLING CATALOG - DRY '!J1965,"AAAAAHrv9bs=")</f>
        <v>#VALUE!</v>
      </c>
      <c r="GG92">
        <f>IF('STERLING CATALOG - DRY '!1966:1966,"AAAAAHrv9bw=",0)</f>
        <v>0</v>
      </c>
      <c r="GH92" t="e">
        <f>AND('STERLING CATALOG - DRY '!A1966,"AAAAAHrv9b0=")</f>
        <v>#VALUE!</v>
      </c>
      <c r="GI92" t="e">
        <f>AND('STERLING CATALOG - DRY '!B1966,"AAAAAHrv9b4=")</f>
        <v>#VALUE!</v>
      </c>
      <c r="GJ92" t="e">
        <f>AND('STERLING CATALOG - DRY '!C1966,"AAAAAHrv9b8=")</f>
        <v>#VALUE!</v>
      </c>
      <c r="GK92" t="e">
        <f>AND('STERLING CATALOG - DRY '!D1966,"AAAAAHrv9cA=")</f>
        <v>#VALUE!</v>
      </c>
      <c r="GL92" t="e">
        <f>AND('STERLING CATALOG - DRY '!E1966,"AAAAAHrv9cE=")</f>
        <v>#VALUE!</v>
      </c>
      <c r="GM92" t="e">
        <f>AND('STERLING CATALOG - DRY '!F1966,"AAAAAHrv9cI=")</f>
        <v>#VALUE!</v>
      </c>
      <c r="GN92" t="e">
        <f>AND('STERLING CATALOG - DRY '!G1966,"AAAAAHrv9cM=")</f>
        <v>#VALUE!</v>
      </c>
      <c r="GO92" t="e">
        <f>AND('STERLING CATALOG - DRY '!H1966,"AAAAAHrv9cQ=")</f>
        <v>#VALUE!</v>
      </c>
      <c r="GP92" t="e">
        <f>AND('STERLING CATALOG - DRY '!I1966,"AAAAAHrv9cU=")</f>
        <v>#VALUE!</v>
      </c>
      <c r="GQ92" t="e">
        <f>AND('STERLING CATALOG - DRY '!J1966,"AAAAAHrv9cY=")</f>
        <v>#VALUE!</v>
      </c>
      <c r="GR92">
        <f>IF('STERLING CATALOG - DRY '!1967:1967,"AAAAAHrv9cc=",0)</f>
        <v>0</v>
      </c>
      <c r="GS92" t="e">
        <f>AND('STERLING CATALOG - DRY '!A1967,"AAAAAHrv9cg=")</f>
        <v>#VALUE!</v>
      </c>
      <c r="GT92" t="e">
        <f>AND('STERLING CATALOG - DRY '!B1967,"AAAAAHrv9ck=")</f>
        <v>#VALUE!</v>
      </c>
      <c r="GU92" t="e">
        <f>AND('STERLING CATALOG - DRY '!C1967,"AAAAAHrv9co=")</f>
        <v>#VALUE!</v>
      </c>
      <c r="GV92" t="e">
        <f>AND('STERLING CATALOG - DRY '!D1967,"AAAAAHrv9cs=")</f>
        <v>#VALUE!</v>
      </c>
      <c r="GW92" t="e">
        <f>AND('STERLING CATALOG - DRY '!E1967,"AAAAAHrv9cw=")</f>
        <v>#VALUE!</v>
      </c>
      <c r="GX92" t="e">
        <f>AND('STERLING CATALOG - DRY '!F1967,"AAAAAHrv9c0=")</f>
        <v>#VALUE!</v>
      </c>
      <c r="GY92" t="e">
        <f>AND('STERLING CATALOG - DRY '!G1967,"AAAAAHrv9c4=")</f>
        <v>#VALUE!</v>
      </c>
      <c r="GZ92" t="e">
        <f>AND('STERLING CATALOG - DRY '!H1967,"AAAAAHrv9c8=")</f>
        <v>#VALUE!</v>
      </c>
      <c r="HA92" t="e">
        <f>AND('STERLING CATALOG - DRY '!I1967,"AAAAAHrv9dA=")</f>
        <v>#VALUE!</v>
      </c>
      <c r="HB92" t="e">
        <f>AND('STERLING CATALOG - DRY '!J1967,"AAAAAHrv9dE=")</f>
        <v>#VALUE!</v>
      </c>
      <c r="HC92">
        <f>IF('STERLING CATALOG - DRY '!1968:1968,"AAAAAHrv9dI=",0)</f>
        <v>0</v>
      </c>
      <c r="HD92" t="e">
        <f>AND('STERLING CATALOG - DRY '!A1968,"AAAAAHrv9dM=")</f>
        <v>#VALUE!</v>
      </c>
      <c r="HE92" t="e">
        <f>AND('STERLING CATALOG - DRY '!B1968,"AAAAAHrv9dQ=")</f>
        <v>#VALUE!</v>
      </c>
      <c r="HF92" t="e">
        <f>AND('STERLING CATALOG - DRY '!C1968,"AAAAAHrv9dU=")</f>
        <v>#VALUE!</v>
      </c>
      <c r="HG92" t="e">
        <f>AND('STERLING CATALOG - DRY '!D1968,"AAAAAHrv9dY=")</f>
        <v>#VALUE!</v>
      </c>
      <c r="HH92" t="e">
        <f>AND('STERLING CATALOG - DRY '!E1968,"AAAAAHrv9dc=")</f>
        <v>#VALUE!</v>
      </c>
      <c r="HI92" t="e">
        <f>AND('STERLING CATALOG - DRY '!F1968,"AAAAAHrv9dg=")</f>
        <v>#VALUE!</v>
      </c>
      <c r="HJ92" t="e">
        <f>AND('STERLING CATALOG - DRY '!G1968,"AAAAAHrv9dk=")</f>
        <v>#VALUE!</v>
      </c>
      <c r="HK92" t="e">
        <f>AND('STERLING CATALOG - DRY '!H1968,"AAAAAHrv9do=")</f>
        <v>#VALUE!</v>
      </c>
      <c r="HL92" t="e">
        <f>AND('STERLING CATALOG - DRY '!I1968,"AAAAAHrv9ds=")</f>
        <v>#VALUE!</v>
      </c>
      <c r="HM92" t="e">
        <f>AND('STERLING CATALOG - DRY '!J1968,"AAAAAHrv9dw=")</f>
        <v>#VALUE!</v>
      </c>
      <c r="HN92">
        <f>IF('STERLING CATALOG - DRY '!1969:1969,"AAAAAHrv9d0=",0)</f>
        <v>0</v>
      </c>
      <c r="HO92" t="e">
        <f>AND('STERLING CATALOG - DRY '!A1969,"AAAAAHrv9d4=")</f>
        <v>#VALUE!</v>
      </c>
      <c r="HP92" t="e">
        <f>AND('STERLING CATALOG - DRY '!B1969,"AAAAAHrv9d8=")</f>
        <v>#VALUE!</v>
      </c>
      <c r="HQ92" t="e">
        <f>AND('STERLING CATALOG - DRY '!C1969,"AAAAAHrv9eA=")</f>
        <v>#VALUE!</v>
      </c>
      <c r="HR92" t="e">
        <f>AND('STERLING CATALOG - DRY '!D1969,"AAAAAHrv9eE=")</f>
        <v>#VALUE!</v>
      </c>
      <c r="HS92" t="e">
        <f>AND('STERLING CATALOG - DRY '!E1969,"AAAAAHrv9eI=")</f>
        <v>#VALUE!</v>
      </c>
      <c r="HT92" t="e">
        <f>AND('STERLING CATALOG - DRY '!F1969,"AAAAAHrv9eM=")</f>
        <v>#VALUE!</v>
      </c>
      <c r="HU92" t="e">
        <f>AND('STERLING CATALOG - DRY '!G1969,"AAAAAHrv9eQ=")</f>
        <v>#VALUE!</v>
      </c>
      <c r="HV92" t="e">
        <f>AND('STERLING CATALOG - DRY '!H1969,"AAAAAHrv9eU=")</f>
        <v>#VALUE!</v>
      </c>
      <c r="HW92" t="e">
        <f>AND('STERLING CATALOG - DRY '!I1969,"AAAAAHrv9eY=")</f>
        <v>#VALUE!</v>
      </c>
      <c r="HX92" t="e">
        <f>AND('STERLING CATALOG - DRY '!J1969,"AAAAAHrv9ec=")</f>
        <v>#VALUE!</v>
      </c>
      <c r="HY92">
        <f>IF('STERLING CATALOG - DRY '!1970:1970,"AAAAAHrv9eg=",0)</f>
        <v>0</v>
      </c>
      <c r="HZ92" t="e">
        <f>AND('STERLING CATALOG - DRY '!A1970,"AAAAAHrv9ek=")</f>
        <v>#VALUE!</v>
      </c>
      <c r="IA92" t="e">
        <f>AND('STERLING CATALOG - DRY '!B1970,"AAAAAHrv9eo=")</f>
        <v>#VALUE!</v>
      </c>
      <c r="IB92" t="e">
        <f>AND('STERLING CATALOG - DRY '!C1970,"AAAAAHrv9es=")</f>
        <v>#VALUE!</v>
      </c>
      <c r="IC92" t="e">
        <f>AND('STERLING CATALOG - DRY '!D1970,"AAAAAHrv9ew=")</f>
        <v>#VALUE!</v>
      </c>
      <c r="ID92" t="e">
        <f>AND('STERLING CATALOG - DRY '!E1970,"AAAAAHrv9e0=")</f>
        <v>#VALUE!</v>
      </c>
      <c r="IE92" t="e">
        <f>AND('STERLING CATALOG - DRY '!F1970,"AAAAAHrv9e4=")</f>
        <v>#VALUE!</v>
      </c>
      <c r="IF92" t="e">
        <f>AND('STERLING CATALOG - DRY '!G1970,"AAAAAHrv9e8=")</f>
        <v>#VALUE!</v>
      </c>
      <c r="IG92" t="e">
        <f>AND('STERLING CATALOG - DRY '!H1970,"AAAAAHrv9fA=")</f>
        <v>#VALUE!</v>
      </c>
      <c r="IH92" t="e">
        <f>AND('STERLING CATALOG - DRY '!I1970,"AAAAAHrv9fE=")</f>
        <v>#VALUE!</v>
      </c>
      <c r="II92" t="e">
        <f>AND('STERLING CATALOG - DRY '!J1970,"AAAAAHrv9fI=")</f>
        <v>#VALUE!</v>
      </c>
      <c r="IJ92">
        <f>IF('STERLING CATALOG - DRY '!1971:1971,"AAAAAHrv9fM=",0)</f>
        <v>0</v>
      </c>
      <c r="IK92" t="e">
        <f>AND('STERLING CATALOG - DRY '!A1971,"AAAAAHrv9fQ=")</f>
        <v>#VALUE!</v>
      </c>
      <c r="IL92" t="e">
        <f>AND('STERLING CATALOG - DRY '!B1971,"AAAAAHrv9fU=")</f>
        <v>#VALUE!</v>
      </c>
      <c r="IM92" t="e">
        <f>AND('STERLING CATALOG - DRY '!C1971,"AAAAAHrv9fY=")</f>
        <v>#VALUE!</v>
      </c>
      <c r="IN92" t="e">
        <f>AND('STERLING CATALOG - DRY '!D1971,"AAAAAHrv9fc=")</f>
        <v>#VALUE!</v>
      </c>
      <c r="IO92" t="e">
        <f>AND('STERLING CATALOG - DRY '!E1971,"AAAAAHrv9fg=")</f>
        <v>#VALUE!</v>
      </c>
      <c r="IP92" t="e">
        <f>AND('STERLING CATALOG - DRY '!F1971,"AAAAAHrv9fk=")</f>
        <v>#VALUE!</v>
      </c>
      <c r="IQ92" t="e">
        <f>AND('STERLING CATALOG - DRY '!G1971,"AAAAAHrv9fo=")</f>
        <v>#VALUE!</v>
      </c>
      <c r="IR92" t="e">
        <f>AND('STERLING CATALOG - DRY '!H1971,"AAAAAHrv9fs=")</f>
        <v>#VALUE!</v>
      </c>
      <c r="IS92" t="e">
        <f>AND('STERLING CATALOG - DRY '!I1971,"AAAAAHrv9fw=")</f>
        <v>#VALUE!</v>
      </c>
      <c r="IT92" t="e">
        <f>AND('STERLING CATALOG - DRY '!J1971,"AAAAAHrv9f0=")</f>
        <v>#VALUE!</v>
      </c>
      <c r="IU92">
        <f>IF('STERLING CATALOG - DRY '!1972:1972,"AAAAAHrv9f4=",0)</f>
        <v>0</v>
      </c>
      <c r="IV92" t="e">
        <f>AND('STERLING CATALOG - DRY '!A1972,"AAAAAHrv9f8=")</f>
        <v>#VALUE!</v>
      </c>
    </row>
    <row r="93" spans="1:256">
      <c r="A93" t="e">
        <f>AND('STERLING CATALOG - DRY '!B1972,"AAAAADvu+wA=")</f>
        <v>#VALUE!</v>
      </c>
      <c r="B93" t="e">
        <f>AND('STERLING CATALOG - DRY '!C1972,"AAAAADvu+wE=")</f>
        <v>#VALUE!</v>
      </c>
      <c r="C93" t="e">
        <f>AND('STERLING CATALOG - DRY '!D1972,"AAAAADvu+wI=")</f>
        <v>#VALUE!</v>
      </c>
      <c r="D93" t="e">
        <f>AND('STERLING CATALOG - DRY '!E1972,"AAAAADvu+wM=")</f>
        <v>#VALUE!</v>
      </c>
      <c r="E93" t="e">
        <f>AND('STERLING CATALOG - DRY '!F1972,"AAAAADvu+wQ=")</f>
        <v>#VALUE!</v>
      </c>
      <c r="F93" t="e">
        <f>AND('STERLING CATALOG - DRY '!G1972,"AAAAADvu+wU=")</f>
        <v>#VALUE!</v>
      </c>
      <c r="G93" t="e">
        <f>AND('STERLING CATALOG - DRY '!H1972,"AAAAADvu+wY=")</f>
        <v>#VALUE!</v>
      </c>
      <c r="H93" t="e">
        <f>AND('STERLING CATALOG - DRY '!I1972,"AAAAADvu+wc=")</f>
        <v>#VALUE!</v>
      </c>
      <c r="I93" t="e">
        <f>AND('STERLING CATALOG - DRY '!J1972,"AAAAADvu+wg=")</f>
        <v>#VALUE!</v>
      </c>
      <c r="J93" t="e">
        <f>IF('STERLING CATALOG - DRY '!1973:1973,"AAAAADvu+wk=",0)</f>
        <v>#VALUE!</v>
      </c>
      <c r="K93" t="e">
        <f>AND('STERLING CATALOG - DRY '!A1973,"AAAAADvu+wo=")</f>
        <v>#VALUE!</v>
      </c>
      <c r="L93" t="e">
        <f>AND('STERLING CATALOG - DRY '!B1973,"AAAAADvu+ws=")</f>
        <v>#VALUE!</v>
      </c>
      <c r="M93" t="e">
        <f>AND('STERLING CATALOG - DRY '!C1973,"AAAAADvu+ww=")</f>
        <v>#VALUE!</v>
      </c>
      <c r="N93" t="e">
        <f>AND('STERLING CATALOG - DRY '!D1973,"AAAAADvu+w0=")</f>
        <v>#VALUE!</v>
      </c>
      <c r="O93" t="e">
        <f>AND('STERLING CATALOG - DRY '!E1973,"AAAAADvu+w4=")</f>
        <v>#VALUE!</v>
      </c>
      <c r="P93" t="e">
        <f>AND('STERLING CATALOG - DRY '!F1973,"AAAAADvu+w8=")</f>
        <v>#VALUE!</v>
      </c>
      <c r="Q93" t="e">
        <f>AND('STERLING CATALOG - DRY '!G1973,"AAAAADvu+xA=")</f>
        <v>#VALUE!</v>
      </c>
      <c r="R93" t="e">
        <f>AND('STERLING CATALOG - DRY '!H1973,"AAAAADvu+xE=")</f>
        <v>#VALUE!</v>
      </c>
      <c r="S93" t="e">
        <f>AND('STERLING CATALOG - DRY '!I1973,"AAAAADvu+xI=")</f>
        <v>#VALUE!</v>
      </c>
      <c r="T93" t="e">
        <f>AND('STERLING CATALOG - DRY '!J1973,"AAAAADvu+xM=")</f>
        <v>#VALUE!</v>
      </c>
      <c r="U93">
        <f>IF('STERLING CATALOG - DRY '!1974:1974,"AAAAADvu+xQ=",0)</f>
        <v>0</v>
      </c>
      <c r="V93" t="e">
        <f>AND('STERLING CATALOG - DRY '!A1974,"AAAAADvu+xU=")</f>
        <v>#VALUE!</v>
      </c>
      <c r="W93" t="e">
        <f>AND('STERLING CATALOG - DRY '!B1974,"AAAAADvu+xY=")</f>
        <v>#VALUE!</v>
      </c>
      <c r="X93" t="e">
        <f>AND('STERLING CATALOG - DRY '!C1974,"AAAAADvu+xc=")</f>
        <v>#VALUE!</v>
      </c>
      <c r="Y93" t="e">
        <f>AND('STERLING CATALOG - DRY '!D1974,"AAAAADvu+xg=")</f>
        <v>#VALUE!</v>
      </c>
      <c r="Z93" t="e">
        <f>AND('STERLING CATALOG - DRY '!E1974,"AAAAADvu+xk=")</f>
        <v>#VALUE!</v>
      </c>
      <c r="AA93" t="e">
        <f>AND('STERLING CATALOG - DRY '!F1974,"AAAAADvu+xo=")</f>
        <v>#VALUE!</v>
      </c>
      <c r="AB93" t="e">
        <f>AND('STERLING CATALOG - DRY '!G1974,"AAAAADvu+xs=")</f>
        <v>#VALUE!</v>
      </c>
      <c r="AC93" t="e">
        <f>AND('STERLING CATALOG - DRY '!H1974,"AAAAADvu+xw=")</f>
        <v>#VALUE!</v>
      </c>
      <c r="AD93" t="e">
        <f>AND('STERLING CATALOG - DRY '!I1974,"AAAAADvu+x0=")</f>
        <v>#VALUE!</v>
      </c>
      <c r="AE93" t="e">
        <f>AND('STERLING CATALOG - DRY '!J1974,"AAAAADvu+x4=")</f>
        <v>#VALUE!</v>
      </c>
      <c r="AF93">
        <f>IF('STERLING CATALOG - DRY '!1975:1975,"AAAAADvu+x8=",0)</f>
        <v>0</v>
      </c>
      <c r="AG93" t="e">
        <f>AND('STERLING CATALOG - DRY '!A1975,"AAAAADvu+yA=")</f>
        <v>#VALUE!</v>
      </c>
      <c r="AH93" t="e">
        <f>AND('STERLING CATALOG - DRY '!B1975,"AAAAADvu+yE=")</f>
        <v>#VALUE!</v>
      </c>
      <c r="AI93" t="e">
        <f>AND('STERLING CATALOG - DRY '!C1975,"AAAAADvu+yI=")</f>
        <v>#VALUE!</v>
      </c>
      <c r="AJ93" t="e">
        <f>AND('STERLING CATALOG - DRY '!D1975,"AAAAADvu+yM=")</f>
        <v>#VALUE!</v>
      </c>
      <c r="AK93" t="e">
        <f>AND('STERLING CATALOG - DRY '!E1975,"AAAAADvu+yQ=")</f>
        <v>#VALUE!</v>
      </c>
      <c r="AL93" t="e">
        <f>AND('STERLING CATALOG - DRY '!F1975,"AAAAADvu+yU=")</f>
        <v>#VALUE!</v>
      </c>
      <c r="AM93" t="e">
        <f>AND('STERLING CATALOG - DRY '!G1975,"AAAAADvu+yY=")</f>
        <v>#VALUE!</v>
      </c>
      <c r="AN93" t="e">
        <f>AND('STERLING CATALOG - DRY '!H1975,"AAAAADvu+yc=")</f>
        <v>#VALUE!</v>
      </c>
      <c r="AO93" t="e">
        <f>AND('STERLING CATALOG - DRY '!I1975,"AAAAADvu+yg=")</f>
        <v>#VALUE!</v>
      </c>
      <c r="AP93" t="e">
        <f>AND('STERLING CATALOG - DRY '!J1975,"AAAAADvu+yk=")</f>
        <v>#VALUE!</v>
      </c>
      <c r="AQ93">
        <f>IF('STERLING CATALOG - DRY '!1976:1976,"AAAAADvu+yo=",0)</f>
        <v>0</v>
      </c>
      <c r="AR93" t="e">
        <f>AND('STERLING CATALOG - DRY '!A1976,"AAAAADvu+ys=")</f>
        <v>#VALUE!</v>
      </c>
      <c r="AS93" t="e">
        <f>AND('STERLING CATALOG - DRY '!B1976,"AAAAADvu+yw=")</f>
        <v>#VALUE!</v>
      </c>
      <c r="AT93" t="e">
        <f>AND('STERLING CATALOG - DRY '!C1976,"AAAAADvu+y0=")</f>
        <v>#VALUE!</v>
      </c>
      <c r="AU93" t="e">
        <f>AND('STERLING CATALOG - DRY '!D1976,"AAAAADvu+y4=")</f>
        <v>#VALUE!</v>
      </c>
      <c r="AV93" t="e">
        <f>AND('STERLING CATALOG - DRY '!E1976,"AAAAADvu+y8=")</f>
        <v>#VALUE!</v>
      </c>
      <c r="AW93" t="e">
        <f>AND('STERLING CATALOG - DRY '!F1976,"AAAAADvu+zA=")</f>
        <v>#VALUE!</v>
      </c>
      <c r="AX93" t="e">
        <f>AND('STERLING CATALOG - DRY '!G1976,"AAAAADvu+zE=")</f>
        <v>#VALUE!</v>
      </c>
      <c r="AY93" t="e">
        <f>AND('STERLING CATALOG - DRY '!H1976,"AAAAADvu+zI=")</f>
        <v>#VALUE!</v>
      </c>
      <c r="AZ93" t="e">
        <f>AND('STERLING CATALOG - DRY '!I1976,"AAAAADvu+zM=")</f>
        <v>#VALUE!</v>
      </c>
      <c r="BA93" t="e">
        <f>AND('STERLING CATALOG - DRY '!J1976,"AAAAADvu+zQ=")</f>
        <v>#VALUE!</v>
      </c>
      <c r="BB93">
        <f>IF('STERLING CATALOG - DRY '!1977:1977,"AAAAADvu+zU=",0)</f>
        <v>0</v>
      </c>
      <c r="BC93" t="e">
        <f>AND('STERLING CATALOG - DRY '!A1977,"AAAAADvu+zY=")</f>
        <v>#VALUE!</v>
      </c>
      <c r="BD93" t="e">
        <f>AND('STERLING CATALOG - DRY '!B1977,"AAAAADvu+zc=")</f>
        <v>#VALUE!</v>
      </c>
      <c r="BE93" t="e">
        <f>AND('STERLING CATALOG - DRY '!C1977,"AAAAADvu+zg=")</f>
        <v>#VALUE!</v>
      </c>
      <c r="BF93" t="e">
        <f>AND('STERLING CATALOG - DRY '!D1977,"AAAAADvu+zk=")</f>
        <v>#VALUE!</v>
      </c>
      <c r="BG93" t="e">
        <f>AND('STERLING CATALOG - DRY '!E1977,"AAAAADvu+zo=")</f>
        <v>#VALUE!</v>
      </c>
      <c r="BH93" t="e">
        <f>AND('STERLING CATALOG - DRY '!F1977,"AAAAADvu+zs=")</f>
        <v>#VALUE!</v>
      </c>
      <c r="BI93" t="e">
        <f>AND('STERLING CATALOG - DRY '!G1977,"AAAAADvu+zw=")</f>
        <v>#VALUE!</v>
      </c>
      <c r="BJ93" t="e">
        <f>AND('STERLING CATALOG - DRY '!H1977,"AAAAADvu+z0=")</f>
        <v>#VALUE!</v>
      </c>
      <c r="BK93" t="e">
        <f>AND('STERLING CATALOG - DRY '!I1977,"AAAAADvu+z4=")</f>
        <v>#VALUE!</v>
      </c>
      <c r="BL93" t="e">
        <f>AND('STERLING CATALOG - DRY '!J1977,"AAAAADvu+z8=")</f>
        <v>#VALUE!</v>
      </c>
      <c r="BM93">
        <f>IF('STERLING CATALOG - DRY '!1978:1978,"AAAAADvu+0A=",0)</f>
        <v>0</v>
      </c>
      <c r="BN93" t="e">
        <f>AND('STERLING CATALOG - DRY '!A1978,"AAAAADvu+0E=")</f>
        <v>#VALUE!</v>
      </c>
      <c r="BO93" t="e">
        <f>AND('STERLING CATALOG - DRY '!B1978,"AAAAADvu+0I=")</f>
        <v>#VALUE!</v>
      </c>
      <c r="BP93" t="e">
        <f>AND('STERLING CATALOG - DRY '!C1978,"AAAAADvu+0M=")</f>
        <v>#VALUE!</v>
      </c>
      <c r="BQ93" t="e">
        <f>AND('STERLING CATALOG - DRY '!D1978,"AAAAADvu+0Q=")</f>
        <v>#VALUE!</v>
      </c>
      <c r="BR93" t="e">
        <f>AND('STERLING CATALOG - DRY '!E1978,"AAAAADvu+0U=")</f>
        <v>#VALUE!</v>
      </c>
      <c r="BS93" t="e">
        <f>AND('STERLING CATALOG - DRY '!F1978,"AAAAADvu+0Y=")</f>
        <v>#VALUE!</v>
      </c>
      <c r="BT93" t="e">
        <f>AND('STERLING CATALOG - DRY '!G1978,"AAAAADvu+0c=")</f>
        <v>#VALUE!</v>
      </c>
      <c r="BU93" t="e">
        <f>AND('STERLING CATALOG - DRY '!H1978,"AAAAADvu+0g=")</f>
        <v>#VALUE!</v>
      </c>
      <c r="BV93" t="e">
        <f>AND('STERLING CATALOG - DRY '!I1978,"AAAAADvu+0k=")</f>
        <v>#VALUE!</v>
      </c>
      <c r="BW93" t="e">
        <f>AND('STERLING CATALOG - DRY '!J1978,"AAAAADvu+0o=")</f>
        <v>#VALUE!</v>
      </c>
      <c r="BX93">
        <f>IF('STERLING CATALOG - DRY '!1979:1979,"AAAAADvu+0s=",0)</f>
        <v>0</v>
      </c>
      <c r="BY93" t="e">
        <f>AND('STERLING CATALOG - DRY '!A1979,"AAAAADvu+0w=")</f>
        <v>#VALUE!</v>
      </c>
      <c r="BZ93" t="e">
        <f>AND('STERLING CATALOG - DRY '!B1979,"AAAAADvu+00=")</f>
        <v>#VALUE!</v>
      </c>
      <c r="CA93" t="e">
        <f>AND('STERLING CATALOG - DRY '!C1979,"AAAAADvu+04=")</f>
        <v>#VALUE!</v>
      </c>
      <c r="CB93" t="e">
        <f>AND('STERLING CATALOG - DRY '!D1979,"AAAAADvu+08=")</f>
        <v>#VALUE!</v>
      </c>
      <c r="CC93" t="e">
        <f>AND('STERLING CATALOG - DRY '!E1979,"AAAAADvu+1A=")</f>
        <v>#VALUE!</v>
      </c>
      <c r="CD93" t="e">
        <f>AND('STERLING CATALOG - DRY '!F1979,"AAAAADvu+1E=")</f>
        <v>#VALUE!</v>
      </c>
      <c r="CE93" t="e">
        <f>AND('STERLING CATALOG - DRY '!G1979,"AAAAADvu+1I=")</f>
        <v>#VALUE!</v>
      </c>
      <c r="CF93" t="e">
        <f>AND('STERLING CATALOG - DRY '!H1979,"AAAAADvu+1M=")</f>
        <v>#VALUE!</v>
      </c>
      <c r="CG93" t="e">
        <f>AND('STERLING CATALOG - DRY '!I1979,"AAAAADvu+1Q=")</f>
        <v>#VALUE!</v>
      </c>
      <c r="CH93" t="e">
        <f>AND('STERLING CATALOG - DRY '!J1979,"AAAAADvu+1U=")</f>
        <v>#VALUE!</v>
      </c>
      <c r="CI93">
        <f>IF('STERLING CATALOG - DRY '!1980:1980,"AAAAADvu+1Y=",0)</f>
        <v>0</v>
      </c>
      <c r="CJ93" t="e">
        <f>AND('STERLING CATALOG - DRY '!A1980,"AAAAADvu+1c=")</f>
        <v>#VALUE!</v>
      </c>
      <c r="CK93" t="e">
        <f>AND('STERLING CATALOG - DRY '!B1980,"AAAAADvu+1g=")</f>
        <v>#VALUE!</v>
      </c>
      <c r="CL93" t="e">
        <f>AND('STERLING CATALOG - DRY '!C1980,"AAAAADvu+1k=")</f>
        <v>#VALUE!</v>
      </c>
      <c r="CM93" t="e">
        <f>AND('STERLING CATALOG - DRY '!D1980,"AAAAADvu+1o=")</f>
        <v>#VALUE!</v>
      </c>
      <c r="CN93" t="e">
        <f>AND('STERLING CATALOG - DRY '!E1980,"AAAAADvu+1s=")</f>
        <v>#VALUE!</v>
      </c>
      <c r="CO93" t="e">
        <f>AND('STERLING CATALOG - DRY '!F1980,"AAAAADvu+1w=")</f>
        <v>#VALUE!</v>
      </c>
      <c r="CP93" t="e">
        <f>AND('STERLING CATALOG - DRY '!G1980,"AAAAADvu+10=")</f>
        <v>#VALUE!</v>
      </c>
      <c r="CQ93" t="e">
        <f>AND('STERLING CATALOG - DRY '!H1980,"AAAAADvu+14=")</f>
        <v>#VALUE!</v>
      </c>
      <c r="CR93" t="e">
        <f>AND('STERLING CATALOG - DRY '!I1980,"AAAAADvu+18=")</f>
        <v>#VALUE!</v>
      </c>
      <c r="CS93" t="e">
        <f>AND('STERLING CATALOG - DRY '!J1980,"AAAAADvu+2A=")</f>
        <v>#VALUE!</v>
      </c>
      <c r="CT93">
        <f>IF('STERLING CATALOG - DRY '!1981:1981,"AAAAADvu+2E=",0)</f>
        <v>0</v>
      </c>
      <c r="CU93" t="e">
        <f>AND('STERLING CATALOG - DRY '!A1981,"AAAAADvu+2I=")</f>
        <v>#VALUE!</v>
      </c>
      <c r="CV93" t="e">
        <f>AND('STERLING CATALOG - DRY '!B1981,"AAAAADvu+2M=")</f>
        <v>#VALUE!</v>
      </c>
      <c r="CW93" t="e">
        <f>AND('STERLING CATALOG - DRY '!C1981,"AAAAADvu+2Q=")</f>
        <v>#VALUE!</v>
      </c>
      <c r="CX93" t="e">
        <f>AND('STERLING CATALOG - DRY '!D1981,"AAAAADvu+2U=")</f>
        <v>#VALUE!</v>
      </c>
      <c r="CY93" t="e">
        <f>AND('STERLING CATALOG - DRY '!E1981,"AAAAADvu+2Y=")</f>
        <v>#VALUE!</v>
      </c>
      <c r="CZ93" t="e">
        <f>AND('STERLING CATALOG - DRY '!F1981,"AAAAADvu+2c=")</f>
        <v>#VALUE!</v>
      </c>
      <c r="DA93" t="e">
        <f>AND('STERLING CATALOG - DRY '!G1981,"AAAAADvu+2g=")</f>
        <v>#VALUE!</v>
      </c>
      <c r="DB93" t="e">
        <f>AND('STERLING CATALOG - DRY '!H1981,"AAAAADvu+2k=")</f>
        <v>#VALUE!</v>
      </c>
      <c r="DC93" t="e">
        <f>AND('STERLING CATALOG - DRY '!I1981,"AAAAADvu+2o=")</f>
        <v>#VALUE!</v>
      </c>
      <c r="DD93" t="e">
        <f>AND('STERLING CATALOG - DRY '!J1981,"AAAAADvu+2s=")</f>
        <v>#VALUE!</v>
      </c>
      <c r="DE93">
        <f>IF('STERLING CATALOG - DRY '!1982:1982,"AAAAADvu+2w=",0)</f>
        <v>0</v>
      </c>
      <c r="DF93" t="e">
        <f>AND('STERLING CATALOG - DRY '!A1982,"AAAAADvu+20=")</f>
        <v>#VALUE!</v>
      </c>
      <c r="DG93" t="e">
        <f>AND('STERLING CATALOG - DRY '!B1982,"AAAAADvu+24=")</f>
        <v>#VALUE!</v>
      </c>
      <c r="DH93" t="e">
        <f>AND('STERLING CATALOG - DRY '!C1982,"AAAAADvu+28=")</f>
        <v>#VALUE!</v>
      </c>
      <c r="DI93" t="e">
        <f>AND('STERLING CATALOG - DRY '!D1982,"AAAAADvu+3A=")</f>
        <v>#VALUE!</v>
      </c>
      <c r="DJ93" t="e">
        <f>AND('STERLING CATALOG - DRY '!E1982,"AAAAADvu+3E=")</f>
        <v>#VALUE!</v>
      </c>
      <c r="DK93" t="e">
        <f>AND('STERLING CATALOG - DRY '!F1982,"AAAAADvu+3I=")</f>
        <v>#VALUE!</v>
      </c>
      <c r="DL93" t="e">
        <f>AND('STERLING CATALOG - DRY '!G1982,"AAAAADvu+3M=")</f>
        <v>#VALUE!</v>
      </c>
      <c r="DM93" t="e">
        <f>AND('STERLING CATALOG - DRY '!H1982,"AAAAADvu+3Q=")</f>
        <v>#VALUE!</v>
      </c>
      <c r="DN93" t="e">
        <f>AND('STERLING CATALOG - DRY '!I1982,"AAAAADvu+3U=")</f>
        <v>#VALUE!</v>
      </c>
      <c r="DO93" t="e">
        <f>AND('STERLING CATALOG - DRY '!J1982,"AAAAADvu+3Y=")</f>
        <v>#VALUE!</v>
      </c>
      <c r="DP93">
        <f>IF('STERLING CATALOG - DRY '!1983:1983,"AAAAADvu+3c=",0)</f>
        <v>0</v>
      </c>
      <c r="DQ93" t="e">
        <f>AND('STERLING CATALOG - DRY '!A1983,"AAAAADvu+3g=")</f>
        <v>#VALUE!</v>
      </c>
      <c r="DR93" t="e">
        <f>AND('STERLING CATALOG - DRY '!B1983,"AAAAADvu+3k=")</f>
        <v>#VALUE!</v>
      </c>
      <c r="DS93" t="e">
        <f>AND('STERLING CATALOG - DRY '!C1983,"AAAAADvu+3o=")</f>
        <v>#VALUE!</v>
      </c>
      <c r="DT93" t="e">
        <f>AND('STERLING CATALOG - DRY '!D1983,"AAAAADvu+3s=")</f>
        <v>#VALUE!</v>
      </c>
      <c r="DU93" t="e">
        <f>AND('STERLING CATALOG - DRY '!E1983,"AAAAADvu+3w=")</f>
        <v>#VALUE!</v>
      </c>
      <c r="DV93" t="e">
        <f>AND('STERLING CATALOG - DRY '!F1983,"AAAAADvu+30=")</f>
        <v>#VALUE!</v>
      </c>
      <c r="DW93" t="e">
        <f>AND('STERLING CATALOG - DRY '!G1983,"AAAAADvu+34=")</f>
        <v>#VALUE!</v>
      </c>
      <c r="DX93" t="e">
        <f>AND('STERLING CATALOG - DRY '!H1983,"AAAAADvu+38=")</f>
        <v>#VALUE!</v>
      </c>
      <c r="DY93" t="e">
        <f>AND('STERLING CATALOG - DRY '!I1983,"AAAAADvu+4A=")</f>
        <v>#VALUE!</v>
      </c>
      <c r="DZ93" t="e">
        <f>AND('STERLING CATALOG - DRY '!J1983,"AAAAADvu+4E=")</f>
        <v>#VALUE!</v>
      </c>
      <c r="EA93">
        <f>IF('STERLING CATALOG - DRY '!1984:1984,"AAAAADvu+4I=",0)</f>
        <v>0</v>
      </c>
      <c r="EB93" t="e">
        <f>AND('STERLING CATALOG - DRY '!A1984,"AAAAADvu+4M=")</f>
        <v>#VALUE!</v>
      </c>
      <c r="EC93" t="e">
        <f>AND('STERLING CATALOG - DRY '!B1984,"AAAAADvu+4Q=")</f>
        <v>#VALUE!</v>
      </c>
      <c r="ED93" t="e">
        <f>AND('STERLING CATALOG - DRY '!C1984,"AAAAADvu+4U=")</f>
        <v>#VALUE!</v>
      </c>
      <c r="EE93" t="e">
        <f>AND('STERLING CATALOG - DRY '!D1984,"AAAAADvu+4Y=")</f>
        <v>#VALUE!</v>
      </c>
      <c r="EF93" t="e">
        <f>AND('STERLING CATALOG - DRY '!E1984,"AAAAADvu+4c=")</f>
        <v>#VALUE!</v>
      </c>
      <c r="EG93" t="e">
        <f>AND('STERLING CATALOG - DRY '!F1984,"AAAAADvu+4g=")</f>
        <v>#VALUE!</v>
      </c>
      <c r="EH93" t="e">
        <f>AND('STERLING CATALOG - DRY '!G1984,"AAAAADvu+4k=")</f>
        <v>#VALUE!</v>
      </c>
      <c r="EI93" t="e">
        <f>AND('STERLING CATALOG - DRY '!H1984,"AAAAADvu+4o=")</f>
        <v>#VALUE!</v>
      </c>
      <c r="EJ93" t="e">
        <f>AND('STERLING CATALOG - DRY '!I1984,"AAAAADvu+4s=")</f>
        <v>#VALUE!</v>
      </c>
      <c r="EK93" t="e">
        <f>AND('STERLING CATALOG - DRY '!J1984,"AAAAADvu+4w=")</f>
        <v>#VALUE!</v>
      </c>
      <c r="EL93">
        <f>IF('STERLING CATALOG - DRY '!1985:1985,"AAAAADvu+40=",0)</f>
        <v>0</v>
      </c>
      <c r="EM93" t="e">
        <f>AND('STERLING CATALOG - DRY '!A1985,"AAAAADvu+44=")</f>
        <v>#VALUE!</v>
      </c>
      <c r="EN93" t="e">
        <f>AND('STERLING CATALOG - DRY '!B1985,"AAAAADvu+48=")</f>
        <v>#VALUE!</v>
      </c>
      <c r="EO93" t="e">
        <f>AND('STERLING CATALOG - DRY '!C1985,"AAAAADvu+5A=")</f>
        <v>#VALUE!</v>
      </c>
      <c r="EP93" t="e">
        <f>AND('STERLING CATALOG - DRY '!D1985,"AAAAADvu+5E=")</f>
        <v>#VALUE!</v>
      </c>
      <c r="EQ93" t="e">
        <f>AND('STERLING CATALOG - DRY '!E1985,"AAAAADvu+5I=")</f>
        <v>#VALUE!</v>
      </c>
      <c r="ER93" t="e">
        <f>AND('STERLING CATALOG - DRY '!F1985,"AAAAADvu+5M=")</f>
        <v>#VALUE!</v>
      </c>
      <c r="ES93" t="e">
        <f>AND('STERLING CATALOG - DRY '!G1985,"AAAAADvu+5Q=")</f>
        <v>#VALUE!</v>
      </c>
      <c r="ET93" t="e">
        <f>AND('STERLING CATALOG - DRY '!H1985,"AAAAADvu+5U=")</f>
        <v>#VALUE!</v>
      </c>
      <c r="EU93" t="e">
        <f>AND('STERLING CATALOG - DRY '!I1985,"AAAAADvu+5Y=")</f>
        <v>#VALUE!</v>
      </c>
      <c r="EV93" t="e">
        <f>AND('STERLING CATALOG - DRY '!J1985,"AAAAADvu+5c=")</f>
        <v>#VALUE!</v>
      </c>
      <c r="EW93">
        <f>IF('STERLING CATALOG - DRY '!1986:1986,"AAAAADvu+5g=",0)</f>
        <v>0</v>
      </c>
      <c r="EX93" t="e">
        <f>AND('STERLING CATALOG - DRY '!A1986,"AAAAADvu+5k=")</f>
        <v>#VALUE!</v>
      </c>
      <c r="EY93" t="e">
        <f>AND('STERLING CATALOG - DRY '!B1986,"AAAAADvu+5o=")</f>
        <v>#VALUE!</v>
      </c>
      <c r="EZ93" t="e">
        <f>AND('STERLING CATALOG - DRY '!C1986,"AAAAADvu+5s=")</f>
        <v>#VALUE!</v>
      </c>
      <c r="FA93" t="e">
        <f>AND('STERLING CATALOG - DRY '!D1986,"AAAAADvu+5w=")</f>
        <v>#VALUE!</v>
      </c>
      <c r="FB93" t="e">
        <f>AND('STERLING CATALOG - DRY '!E1986,"AAAAADvu+50=")</f>
        <v>#VALUE!</v>
      </c>
      <c r="FC93" t="e">
        <f>AND('STERLING CATALOG - DRY '!F1986,"AAAAADvu+54=")</f>
        <v>#VALUE!</v>
      </c>
      <c r="FD93" t="e">
        <f>AND('STERLING CATALOG - DRY '!G1986,"AAAAADvu+58=")</f>
        <v>#VALUE!</v>
      </c>
      <c r="FE93" t="e">
        <f>AND('STERLING CATALOG - DRY '!H1986,"AAAAADvu+6A=")</f>
        <v>#VALUE!</v>
      </c>
      <c r="FF93" t="e">
        <f>AND('STERLING CATALOG - DRY '!I1986,"AAAAADvu+6E=")</f>
        <v>#VALUE!</v>
      </c>
      <c r="FG93" t="e">
        <f>AND('STERLING CATALOG - DRY '!J1986,"AAAAADvu+6I=")</f>
        <v>#VALUE!</v>
      </c>
      <c r="FH93">
        <f>IF('STERLING CATALOG - DRY '!1987:1987,"AAAAADvu+6M=",0)</f>
        <v>0</v>
      </c>
      <c r="FI93" t="e">
        <f>AND('STERLING CATALOG - DRY '!A1987,"AAAAADvu+6Q=")</f>
        <v>#VALUE!</v>
      </c>
      <c r="FJ93" t="e">
        <f>AND('STERLING CATALOG - DRY '!B1987,"AAAAADvu+6U=")</f>
        <v>#VALUE!</v>
      </c>
      <c r="FK93" t="e">
        <f>AND('STERLING CATALOG - DRY '!C1987,"AAAAADvu+6Y=")</f>
        <v>#VALUE!</v>
      </c>
      <c r="FL93" t="e">
        <f>AND('STERLING CATALOG - DRY '!D1987,"AAAAADvu+6c=")</f>
        <v>#VALUE!</v>
      </c>
      <c r="FM93" t="e">
        <f>AND('STERLING CATALOG - DRY '!E1987,"AAAAADvu+6g=")</f>
        <v>#VALUE!</v>
      </c>
      <c r="FN93" t="e">
        <f>AND('STERLING CATALOG - DRY '!F1987,"AAAAADvu+6k=")</f>
        <v>#VALUE!</v>
      </c>
      <c r="FO93" t="e">
        <f>AND('STERLING CATALOG - DRY '!G1987,"AAAAADvu+6o=")</f>
        <v>#VALUE!</v>
      </c>
      <c r="FP93" t="e">
        <f>AND('STERLING CATALOG - DRY '!H1987,"AAAAADvu+6s=")</f>
        <v>#VALUE!</v>
      </c>
      <c r="FQ93" t="e">
        <f>AND('STERLING CATALOG - DRY '!I1987,"AAAAADvu+6w=")</f>
        <v>#VALUE!</v>
      </c>
      <c r="FR93" t="e">
        <f>AND('STERLING CATALOG - DRY '!J1987,"AAAAADvu+60=")</f>
        <v>#VALUE!</v>
      </c>
      <c r="FS93">
        <f>IF('STERLING CATALOG - DRY '!1988:1988,"AAAAADvu+64=",0)</f>
        <v>0</v>
      </c>
      <c r="FT93" t="e">
        <f>AND('STERLING CATALOG - DRY '!A1988,"AAAAADvu+68=")</f>
        <v>#VALUE!</v>
      </c>
      <c r="FU93" t="e">
        <f>AND('STERLING CATALOG - DRY '!B1988,"AAAAADvu+7A=")</f>
        <v>#VALUE!</v>
      </c>
      <c r="FV93" t="e">
        <f>AND('STERLING CATALOG - DRY '!C1988,"AAAAADvu+7E=")</f>
        <v>#VALUE!</v>
      </c>
      <c r="FW93" t="e">
        <f>AND('STERLING CATALOG - DRY '!D1988,"AAAAADvu+7I=")</f>
        <v>#VALUE!</v>
      </c>
      <c r="FX93" t="e">
        <f>AND('STERLING CATALOG - DRY '!E1988,"AAAAADvu+7M=")</f>
        <v>#VALUE!</v>
      </c>
      <c r="FY93" t="e">
        <f>AND('STERLING CATALOG - DRY '!F1988,"AAAAADvu+7Q=")</f>
        <v>#VALUE!</v>
      </c>
      <c r="FZ93" t="e">
        <f>AND('STERLING CATALOG - DRY '!G1988,"AAAAADvu+7U=")</f>
        <v>#VALUE!</v>
      </c>
      <c r="GA93" t="e">
        <f>AND('STERLING CATALOG - DRY '!H1988,"AAAAADvu+7Y=")</f>
        <v>#VALUE!</v>
      </c>
      <c r="GB93" t="e">
        <f>AND('STERLING CATALOG - DRY '!I1988,"AAAAADvu+7c=")</f>
        <v>#VALUE!</v>
      </c>
      <c r="GC93" t="e">
        <f>AND('STERLING CATALOG - DRY '!J1988,"AAAAADvu+7g=")</f>
        <v>#VALUE!</v>
      </c>
      <c r="GD93">
        <f>IF('STERLING CATALOG - DRY '!1989:1989,"AAAAADvu+7k=",0)</f>
        <v>0</v>
      </c>
      <c r="GE93" t="e">
        <f>AND('STERLING CATALOG - DRY '!A1989,"AAAAADvu+7o=")</f>
        <v>#VALUE!</v>
      </c>
      <c r="GF93" t="e">
        <f>AND('STERLING CATALOG - DRY '!B1989,"AAAAADvu+7s=")</f>
        <v>#VALUE!</v>
      </c>
      <c r="GG93" t="e">
        <f>AND('STERLING CATALOG - DRY '!C1989,"AAAAADvu+7w=")</f>
        <v>#VALUE!</v>
      </c>
      <c r="GH93" t="e">
        <f>AND('STERLING CATALOG - DRY '!D1989,"AAAAADvu+70=")</f>
        <v>#VALUE!</v>
      </c>
      <c r="GI93" t="e">
        <f>AND('STERLING CATALOG - DRY '!E1989,"AAAAADvu+74=")</f>
        <v>#VALUE!</v>
      </c>
      <c r="GJ93" t="e">
        <f>AND('STERLING CATALOG - DRY '!F1989,"AAAAADvu+78=")</f>
        <v>#VALUE!</v>
      </c>
      <c r="GK93" t="e">
        <f>AND('STERLING CATALOG - DRY '!G1989,"AAAAADvu+8A=")</f>
        <v>#VALUE!</v>
      </c>
      <c r="GL93" t="e">
        <f>AND('STERLING CATALOG - DRY '!H1989,"AAAAADvu+8E=")</f>
        <v>#VALUE!</v>
      </c>
      <c r="GM93" t="e">
        <f>AND('STERLING CATALOG - DRY '!I1989,"AAAAADvu+8I=")</f>
        <v>#VALUE!</v>
      </c>
      <c r="GN93" t="e">
        <f>AND('STERLING CATALOG - DRY '!J1989,"AAAAADvu+8M=")</f>
        <v>#VALUE!</v>
      </c>
      <c r="GO93">
        <f>IF('STERLING CATALOG - DRY '!1990:1990,"AAAAADvu+8Q=",0)</f>
        <v>0</v>
      </c>
      <c r="GP93" t="e">
        <f>AND('STERLING CATALOG - DRY '!A1990,"AAAAADvu+8U=")</f>
        <v>#VALUE!</v>
      </c>
      <c r="GQ93" t="e">
        <f>AND('STERLING CATALOG - DRY '!B1990,"AAAAADvu+8Y=")</f>
        <v>#VALUE!</v>
      </c>
      <c r="GR93" t="e">
        <f>AND('STERLING CATALOG - DRY '!C1990,"AAAAADvu+8c=")</f>
        <v>#VALUE!</v>
      </c>
      <c r="GS93" t="e">
        <f>AND('STERLING CATALOG - DRY '!D1990,"AAAAADvu+8g=")</f>
        <v>#VALUE!</v>
      </c>
      <c r="GT93" t="e">
        <f>AND('STERLING CATALOG - DRY '!E1990,"AAAAADvu+8k=")</f>
        <v>#VALUE!</v>
      </c>
      <c r="GU93" t="e">
        <f>AND('STERLING CATALOG - DRY '!F1990,"AAAAADvu+8o=")</f>
        <v>#VALUE!</v>
      </c>
      <c r="GV93" t="e">
        <f>AND('STERLING CATALOG - DRY '!G1990,"AAAAADvu+8s=")</f>
        <v>#VALUE!</v>
      </c>
      <c r="GW93" t="e">
        <f>AND('STERLING CATALOG - DRY '!H1990,"AAAAADvu+8w=")</f>
        <v>#VALUE!</v>
      </c>
      <c r="GX93" t="e">
        <f>AND('STERLING CATALOG - DRY '!I1990,"AAAAADvu+80=")</f>
        <v>#VALUE!</v>
      </c>
      <c r="GY93" t="e">
        <f>AND('STERLING CATALOG - DRY '!J1990,"AAAAADvu+84=")</f>
        <v>#VALUE!</v>
      </c>
      <c r="GZ93">
        <f>IF('STERLING CATALOG - DRY '!1991:1991,"AAAAADvu+88=",0)</f>
        <v>0</v>
      </c>
      <c r="HA93" t="e">
        <f>AND('STERLING CATALOG - DRY '!A1991,"AAAAADvu+9A=")</f>
        <v>#VALUE!</v>
      </c>
      <c r="HB93" t="e">
        <f>AND('STERLING CATALOG - DRY '!B1991,"AAAAADvu+9E=")</f>
        <v>#VALUE!</v>
      </c>
      <c r="HC93" t="e">
        <f>AND('STERLING CATALOG - DRY '!C1991,"AAAAADvu+9I=")</f>
        <v>#VALUE!</v>
      </c>
      <c r="HD93" t="e">
        <f>AND('STERLING CATALOG - DRY '!D1991,"AAAAADvu+9M=")</f>
        <v>#VALUE!</v>
      </c>
      <c r="HE93" t="e">
        <f>AND('STERLING CATALOG - DRY '!E1991,"AAAAADvu+9Q=")</f>
        <v>#VALUE!</v>
      </c>
      <c r="HF93" t="e">
        <f>AND('STERLING CATALOG - DRY '!F1991,"AAAAADvu+9U=")</f>
        <v>#VALUE!</v>
      </c>
      <c r="HG93" t="e">
        <f>AND('STERLING CATALOG - DRY '!G1991,"AAAAADvu+9Y=")</f>
        <v>#VALUE!</v>
      </c>
      <c r="HH93" t="e">
        <f>AND('STERLING CATALOG - DRY '!H1991,"AAAAADvu+9c=")</f>
        <v>#VALUE!</v>
      </c>
      <c r="HI93" t="e">
        <f>AND('STERLING CATALOG - DRY '!I1991,"AAAAADvu+9g=")</f>
        <v>#VALUE!</v>
      </c>
      <c r="HJ93" t="e">
        <f>AND('STERLING CATALOG - DRY '!J1991,"AAAAADvu+9k=")</f>
        <v>#VALUE!</v>
      </c>
      <c r="HK93">
        <f>IF('STERLING CATALOG - DRY '!1992:1992,"AAAAADvu+9o=",0)</f>
        <v>0</v>
      </c>
      <c r="HL93" t="e">
        <f>AND('STERLING CATALOG - DRY '!A1992,"AAAAADvu+9s=")</f>
        <v>#VALUE!</v>
      </c>
      <c r="HM93" t="e">
        <f>AND('STERLING CATALOG - DRY '!B1992,"AAAAADvu+9w=")</f>
        <v>#VALUE!</v>
      </c>
      <c r="HN93" t="e">
        <f>AND('STERLING CATALOG - DRY '!C1992,"AAAAADvu+90=")</f>
        <v>#VALUE!</v>
      </c>
      <c r="HO93" t="e">
        <f>AND('STERLING CATALOG - DRY '!D1992,"AAAAADvu+94=")</f>
        <v>#VALUE!</v>
      </c>
      <c r="HP93" t="e">
        <f>AND('STERLING CATALOG - DRY '!E1992,"AAAAADvu+98=")</f>
        <v>#VALUE!</v>
      </c>
      <c r="HQ93" t="e">
        <f>AND('STERLING CATALOG - DRY '!F1992,"AAAAADvu++A=")</f>
        <v>#VALUE!</v>
      </c>
      <c r="HR93" t="e">
        <f>AND('STERLING CATALOG - DRY '!G1992,"AAAAADvu++E=")</f>
        <v>#VALUE!</v>
      </c>
      <c r="HS93" t="e">
        <f>AND('STERLING CATALOG - DRY '!H1992,"AAAAADvu++I=")</f>
        <v>#VALUE!</v>
      </c>
      <c r="HT93" t="e">
        <f>AND('STERLING CATALOG - DRY '!I1992,"AAAAADvu++M=")</f>
        <v>#VALUE!</v>
      </c>
      <c r="HU93" t="e">
        <f>AND('STERLING CATALOG - DRY '!J1992,"AAAAADvu++Q=")</f>
        <v>#VALUE!</v>
      </c>
      <c r="HV93">
        <f>IF('STERLING CATALOG - DRY '!1993:1993,"AAAAADvu++U=",0)</f>
        <v>0</v>
      </c>
      <c r="HW93" t="e">
        <f>AND('STERLING CATALOG - DRY '!A1993,"AAAAADvu++Y=")</f>
        <v>#VALUE!</v>
      </c>
      <c r="HX93" t="e">
        <f>AND('STERLING CATALOG - DRY '!B1993,"AAAAADvu++c=")</f>
        <v>#VALUE!</v>
      </c>
      <c r="HY93" t="e">
        <f>AND('STERLING CATALOG - DRY '!C1993,"AAAAADvu++g=")</f>
        <v>#VALUE!</v>
      </c>
      <c r="HZ93" t="e">
        <f>AND('STERLING CATALOG - DRY '!D1993,"AAAAADvu++k=")</f>
        <v>#VALUE!</v>
      </c>
      <c r="IA93" t="e">
        <f>AND('STERLING CATALOG - DRY '!E1993,"AAAAADvu++o=")</f>
        <v>#VALUE!</v>
      </c>
      <c r="IB93" t="e">
        <f>AND('STERLING CATALOG - DRY '!F1993,"AAAAADvu++s=")</f>
        <v>#VALUE!</v>
      </c>
      <c r="IC93" t="e">
        <f>AND('STERLING CATALOG - DRY '!G1993,"AAAAADvu++w=")</f>
        <v>#VALUE!</v>
      </c>
      <c r="ID93" t="e">
        <f>AND('STERLING CATALOG - DRY '!H1993,"AAAAADvu++0=")</f>
        <v>#VALUE!</v>
      </c>
      <c r="IE93" t="e">
        <f>AND('STERLING CATALOG - DRY '!I1993,"AAAAADvu++4=")</f>
        <v>#VALUE!</v>
      </c>
      <c r="IF93" t="e">
        <f>AND('STERLING CATALOG - DRY '!J1993,"AAAAADvu++8=")</f>
        <v>#VALUE!</v>
      </c>
      <c r="IG93">
        <f>IF('STERLING CATALOG - DRY '!1994:1994,"AAAAADvu+/A=",0)</f>
        <v>0</v>
      </c>
      <c r="IH93" t="e">
        <f>AND('STERLING CATALOG - DRY '!A1994,"AAAAADvu+/E=")</f>
        <v>#VALUE!</v>
      </c>
      <c r="II93" t="e">
        <f>AND('STERLING CATALOG - DRY '!B1994,"AAAAADvu+/I=")</f>
        <v>#VALUE!</v>
      </c>
      <c r="IJ93" t="e">
        <f>AND('STERLING CATALOG - DRY '!C1994,"AAAAADvu+/M=")</f>
        <v>#VALUE!</v>
      </c>
      <c r="IK93" t="e">
        <f>AND('STERLING CATALOG - DRY '!D1994,"AAAAADvu+/Q=")</f>
        <v>#VALUE!</v>
      </c>
      <c r="IL93" t="e">
        <f>AND('STERLING CATALOG - DRY '!E1994,"AAAAADvu+/U=")</f>
        <v>#VALUE!</v>
      </c>
      <c r="IM93" t="e">
        <f>AND('STERLING CATALOG - DRY '!F1994,"AAAAADvu+/Y=")</f>
        <v>#VALUE!</v>
      </c>
      <c r="IN93" t="e">
        <f>AND('STERLING CATALOG - DRY '!G1994,"AAAAADvu+/c=")</f>
        <v>#VALUE!</v>
      </c>
      <c r="IO93" t="e">
        <f>AND('STERLING CATALOG - DRY '!H1994,"AAAAADvu+/g=")</f>
        <v>#VALUE!</v>
      </c>
      <c r="IP93" t="e">
        <f>AND('STERLING CATALOG - DRY '!I1994,"AAAAADvu+/k=")</f>
        <v>#VALUE!</v>
      </c>
      <c r="IQ93" t="e">
        <f>AND('STERLING CATALOG - DRY '!J1994,"AAAAADvu+/o=")</f>
        <v>#VALUE!</v>
      </c>
      <c r="IR93">
        <f>IF('STERLING CATALOG - DRY '!1995:1995,"AAAAADvu+/s=",0)</f>
        <v>0</v>
      </c>
      <c r="IS93" t="e">
        <f>AND('STERLING CATALOG - DRY '!A1995,"AAAAADvu+/w=")</f>
        <v>#VALUE!</v>
      </c>
      <c r="IT93" t="e">
        <f>AND('STERLING CATALOG - DRY '!B1995,"AAAAADvu+/0=")</f>
        <v>#VALUE!</v>
      </c>
      <c r="IU93" t="e">
        <f>AND('STERLING CATALOG - DRY '!C1995,"AAAAADvu+/4=")</f>
        <v>#VALUE!</v>
      </c>
      <c r="IV93" t="e">
        <f>AND('STERLING CATALOG - DRY '!D1995,"AAAAADvu+/8=")</f>
        <v>#VALUE!</v>
      </c>
    </row>
    <row r="94" spans="1:256">
      <c r="A94" t="e">
        <f>AND('STERLING CATALOG - DRY '!E1995,"AAAAADs/7QA=")</f>
        <v>#VALUE!</v>
      </c>
      <c r="B94" t="e">
        <f>AND('STERLING CATALOG - DRY '!F1995,"AAAAADs/7QE=")</f>
        <v>#VALUE!</v>
      </c>
      <c r="C94" t="e">
        <f>AND('STERLING CATALOG - DRY '!G1995,"AAAAADs/7QI=")</f>
        <v>#VALUE!</v>
      </c>
      <c r="D94" t="e">
        <f>AND('STERLING CATALOG - DRY '!H1995,"AAAAADs/7QM=")</f>
        <v>#VALUE!</v>
      </c>
      <c r="E94" t="e">
        <f>AND('STERLING CATALOG - DRY '!I1995,"AAAAADs/7QQ=")</f>
        <v>#VALUE!</v>
      </c>
      <c r="F94" t="e">
        <f>AND('STERLING CATALOG - DRY '!J1995,"AAAAADs/7QU=")</f>
        <v>#VALUE!</v>
      </c>
      <c r="G94" t="str">
        <f>IF('STERLING CATALOG - DRY '!1996:1996,"AAAAADs/7QY=",0)</f>
        <v>AAAAADs/7QY=</v>
      </c>
      <c r="H94" t="e">
        <f>AND('STERLING CATALOG - DRY '!A1996,"AAAAADs/7Qc=")</f>
        <v>#VALUE!</v>
      </c>
      <c r="I94" t="e">
        <f>AND('STERLING CATALOG - DRY '!B1996,"AAAAADs/7Qg=")</f>
        <v>#VALUE!</v>
      </c>
      <c r="J94" t="e">
        <f>AND('STERLING CATALOG - DRY '!C1996,"AAAAADs/7Qk=")</f>
        <v>#VALUE!</v>
      </c>
      <c r="K94" t="e">
        <f>AND('STERLING CATALOG - DRY '!D1996,"AAAAADs/7Qo=")</f>
        <v>#VALUE!</v>
      </c>
      <c r="L94" t="e">
        <f>AND('STERLING CATALOG - DRY '!E1996,"AAAAADs/7Qs=")</f>
        <v>#VALUE!</v>
      </c>
      <c r="M94" t="e">
        <f>AND('STERLING CATALOG - DRY '!F1996,"AAAAADs/7Qw=")</f>
        <v>#VALUE!</v>
      </c>
      <c r="N94" t="e">
        <f>AND('STERLING CATALOG - DRY '!G1996,"AAAAADs/7Q0=")</f>
        <v>#VALUE!</v>
      </c>
      <c r="O94" t="e">
        <f>AND('STERLING CATALOG - DRY '!H1996,"AAAAADs/7Q4=")</f>
        <v>#VALUE!</v>
      </c>
      <c r="P94" t="e">
        <f>AND('STERLING CATALOG - DRY '!I1996,"AAAAADs/7Q8=")</f>
        <v>#VALUE!</v>
      </c>
      <c r="Q94" t="e">
        <f>AND('STERLING CATALOG - DRY '!J1996,"AAAAADs/7RA=")</f>
        <v>#VALUE!</v>
      </c>
      <c r="R94">
        <f>IF('STERLING CATALOG - DRY '!1997:1997,"AAAAADs/7RE=",0)</f>
        <v>0</v>
      </c>
      <c r="S94" t="e">
        <f>AND('STERLING CATALOG - DRY '!A1997,"AAAAADs/7RI=")</f>
        <v>#VALUE!</v>
      </c>
      <c r="T94" t="e">
        <f>AND('STERLING CATALOG - DRY '!B1997,"AAAAADs/7RM=")</f>
        <v>#VALUE!</v>
      </c>
      <c r="U94" t="e">
        <f>AND('STERLING CATALOG - DRY '!C1997,"AAAAADs/7RQ=")</f>
        <v>#VALUE!</v>
      </c>
      <c r="V94" t="e">
        <f>AND('STERLING CATALOG - DRY '!D1997,"AAAAADs/7RU=")</f>
        <v>#VALUE!</v>
      </c>
      <c r="W94" t="e">
        <f>AND('STERLING CATALOG - DRY '!E1997,"AAAAADs/7RY=")</f>
        <v>#VALUE!</v>
      </c>
      <c r="X94" t="e">
        <f>AND('STERLING CATALOG - DRY '!F1997,"AAAAADs/7Rc=")</f>
        <v>#VALUE!</v>
      </c>
      <c r="Y94" t="e">
        <f>AND('STERLING CATALOG - DRY '!G1997,"AAAAADs/7Rg=")</f>
        <v>#VALUE!</v>
      </c>
      <c r="Z94" t="e">
        <f>AND('STERLING CATALOG - DRY '!H1997,"AAAAADs/7Rk=")</f>
        <v>#VALUE!</v>
      </c>
      <c r="AA94" t="e">
        <f>AND('STERLING CATALOG - DRY '!I1997,"AAAAADs/7Ro=")</f>
        <v>#VALUE!</v>
      </c>
      <c r="AB94" t="e">
        <f>AND('STERLING CATALOG - DRY '!J1997,"AAAAADs/7Rs=")</f>
        <v>#VALUE!</v>
      </c>
      <c r="AC94">
        <f>IF('STERLING CATALOG - DRY '!1998:1998,"AAAAADs/7Rw=",0)</f>
        <v>0</v>
      </c>
      <c r="AD94" t="e">
        <f>AND('STERLING CATALOG - DRY '!A1998,"AAAAADs/7R0=")</f>
        <v>#VALUE!</v>
      </c>
      <c r="AE94" t="e">
        <f>AND('STERLING CATALOG - DRY '!B1998,"AAAAADs/7R4=")</f>
        <v>#VALUE!</v>
      </c>
      <c r="AF94" t="e">
        <f>AND('STERLING CATALOG - DRY '!C1998,"AAAAADs/7R8=")</f>
        <v>#VALUE!</v>
      </c>
      <c r="AG94" t="e">
        <f>AND('STERLING CATALOG - DRY '!D1998,"AAAAADs/7SA=")</f>
        <v>#VALUE!</v>
      </c>
      <c r="AH94" t="e">
        <f>AND('STERLING CATALOG - DRY '!E1998,"AAAAADs/7SE=")</f>
        <v>#VALUE!</v>
      </c>
      <c r="AI94" t="e">
        <f>AND('STERLING CATALOG - DRY '!F1998,"AAAAADs/7SI=")</f>
        <v>#VALUE!</v>
      </c>
      <c r="AJ94" t="e">
        <f>AND('STERLING CATALOG - DRY '!G1998,"AAAAADs/7SM=")</f>
        <v>#VALUE!</v>
      </c>
      <c r="AK94" t="e">
        <f>AND('STERLING CATALOG - DRY '!H1998,"AAAAADs/7SQ=")</f>
        <v>#VALUE!</v>
      </c>
      <c r="AL94" t="e">
        <f>AND('STERLING CATALOG - DRY '!I1998,"AAAAADs/7SU=")</f>
        <v>#VALUE!</v>
      </c>
      <c r="AM94" t="e">
        <f>AND('STERLING CATALOG - DRY '!J1998,"AAAAADs/7SY=")</f>
        <v>#VALUE!</v>
      </c>
      <c r="AN94">
        <f>IF('STERLING CATALOG - DRY '!1999:1999,"AAAAADs/7Sc=",0)</f>
        <v>0</v>
      </c>
      <c r="AO94" t="e">
        <f>AND('STERLING CATALOG - DRY '!A1999,"AAAAADs/7Sg=")</f>
        <v>#VALUE!</v>
      </c>
      <c r="AP94" t="e">
        <f>AND('STERLING CATALOG - DRY '!B1999,"AAAAADs/7Sk=")</f>
        <v>#VALUE!</v>
      </c>
      <c r="AQ94" t="e">
        <f>AND('STERLING CATALOG - DRY '!C1999,"AAAAADs/7So=")</f>
        <v>#VALUE!</v>
      </c>
      <c r="AR94" t="e">
        <f>AND('STERLING CATALOG - DRY '!D1999,"AAAAADs/7Ss=")</f>
        <v>#VALUE!</v>
      </c>
      <c r="AS94" t="e">
        <f>AND('STERLING CATALOG - DRY '!E1999,"AAAAADs/7Sw=")</f>
        <v>#VALUE!</v>
      </c>
      <c r="AT94" t="e">
        <f>AND('STERLING CATALOG - DRY '!F1999,"AAAAADs/7S0=")</f>
        <v>#VALUE!</v>
      </c>
      <c r="AU94" t="e">
        <f>AND('STERLING CATALOG - DRY '!G1999,"AAAAADs/7S4=")</f>
        <v>#VALUE!</v>
      </c>
      <c r="AV94" t="e">
        <f>AND('STERLING CATALOG - DRY '!H1999,"AAAAADs/7S8=")</f>
        <v>#VALUE!</v>
      </c>
      <c r="AW94" t="e">
        <f>AND('STERLING CATALOG - DRY '!I1999,"AAAAADs/7TA=")</f>
        <v>#VALUE!</v>
      </c>
      <c r="AX94" t="e">
        <f>AND('STERLING CATALOG - DRY '!J1999,"AAAAADs/7TE=")</f>
        <v>#VALUE!</v>
      </c>
      <c r="AY94">
        <f>IF('STERLING CATALOG - DRY '!2000:2000,"AAAAADs/7TI=",0)</f>
        <v>0</v>
      </c>
      <c r="AZ94" t="e">
        <f>AND('STERLING CATALOG - DRY '!A2000,"AAAAADs/7TM=")</f>
        <v>#VALUE!</v>
      </c>
      <c r="BA94" t="e">
        <f>AND('STERLING CATALOG - DRY '!B2000,"AAAAADs/7TQ=")</f>
        <v>#VALUE!</v>
      </c>
      <c r="BB94" t="e">
        <f>AND('STERLING CATALOG - DRY '!C2000,"AAAAADs/7TU=")</f>
        <v>#VALUE!</v>
      </c>
      <c r="BC94" t="e">
        <f>AND('STERLING CATALOG - DRY '!D2000,"AAAAADs/7TY=")</f>
        <v>#VALUE!</v>
      </c>
      <c r="BD94" t="e">
        <f>AND('STERLING CATALOG - DRY '!E2000,"AAAAADs/7Tc=")</f>
        <v>#VALUE!</v>
      </c>
      <c r="BE94" t="e">
        <f>AND('STERLING CATALOG - DRY '!F2000,"AAAAADs/7Tg=")</f>
        <v>#VALUE!</v>
      </c>
      <c r="BF94" t="e">
        <f>AND('STERLING CATALOG - DRY '!G2000,"AAAAADs/7Tk=")</f>
        <v>#VALUE!</v>
      </c>
      <c r="BG94" t="e">
        <f>AND('STERLING CATALOG - DRY '!H2000,"AAAAADs/7To=")</f>
        <v>#VALUE!</v>
      </c>
      <c r="BH94" t="e">
        <f>AND('STERLING CATALOG - DRY '!I2000,"AAAAADs/7Ts=")</f>
        <v>#VALUE!</v>
      </c>
      <c r="BI94" t="e">
        <f>AND('STERLING CATALOG - DRY '!J2000,"AAAAADs/7Tw=")</f>
        <v>#VALUE!</v>
      </c>
      <c r="BJ94">
        <f>IF('STERLING CATALOG - DRY '!2001:2001,"AAAAADs/7T0=",0)</f>
        <v>0</v>
      </c>
      <c r="BK94" t="e">
        <f>AND('STERLING CATALOG - DRY '!A2001,"AAAAADs/7T4=")</f>
        <v>#VALUE!</v>
      </c>
      <c r="BL94" t="e">
        <f>AND('STERLING CATALOG - DRY '!B2001,"AAAAADs/7T8=")</f>
        <v>#VALUE!</v>
      </c>
      <c r="BM94" t="e">
        <f>AND('STERLING CATALOG - DRY '!C2001,"AAAAADs/7UA=")</f>
        <v>#VALUE!</v>
      </c>
      <c r="BN94" t="e">
        <f>AND('STERLING CATALOG - DRY '!D2001,"AAAAADs/7UE=")</f>
        <v>#VALUE!</v>
      </c>
      <c r="BO94" t="e">
        <f>AND('STERLING CATALOG - DRY '!E2001,"AAAAADs/7UI=")</f>
        <v>#VALUE!</v>
      </c>
      <c r="BP94" t="e">
        <f>AND('STERLING CATALOG - DRY '!F2001,"AAAAADs/7UM=")</f>
        <v>#VALUE!</v>
      </c>
      <c r="BQ94" t="e">
        <f>AND('STERLING CATALOG - DRY '!G2001,"AAAAADs/7UQ=")</f>
        <v>#VALUE!</v>
      </c>
      <c r="BR94" t="e">
        <f>AND('STERLING CATALOG - DRY '!H2001,"AAAAADs/7UU=")</f>
        <v>#VALUE!</v>
      </c>
      <c r="BS94" t="e">
        <f>AND('STERLING CATALOG - DRY '!I2001,"AAAAADs/7UY=")</f>
        <v>#VALUE!</v>
      </c>
      <c r="BT94" t="e">
        <f>AND('STERLING CATALOG - DRY '!J2001,"AAAAADs/7Uc=")</f>
        <v>#VALUE!</v>
      </c>
      <c r="BU94">
        <f>IF('STERLING CATALOG - DRY '!2002:2002,"AAAAADs/7Ug=",0)</f>
        <v>0</v>
      </c>
      <c r="BV94" t="e">
        <f>AND('STERLING CATALOG - DRY '!A2002,"AAAAADs/7Uk=")</f>
        <v>#VALUE!</v>
      </c>
      <c r="BW94" t="e">
        <f>AND('STERLING CATALOG - DRY '!B2002,"AAAAADs/7Uo=")</f>
        <v>#VALUE!</v>
      </c>
      <c r="BX94" t="e">
        <f>AND('STERLING CATALOG - DRY '!C2002,"AAAAADs/7Us=")</f>
        <v>#VALUE!</v>
      </c>
      <c r="BY94" t="e">
        <f>AND('STERLING CATALOG - DRY '!D2002,"AAAAADs/7Uw=")</f>
        <v>#VALUE!</v>
      </c>
      <c r="BZ94" t="e">
        <f>AND('STERLING CATALOG - DRY '!E2002,"AAAAADs/7U0=")</f>
        <v>#VALUE!</v>
      </c>
      <c r="CA94" t="e">
        <f>AND('STERLING CATALOG - DRY '!F2002,"AAAAADs/7U4=")</f>
        <v>#VALUE!</v>
      </c>
      <c r="CB94" t="e">
        <f>AND('STERLING CATALOG - DRY '!G2002,"AAAAADs/7U8=")</f>
        <v>#VALUE!</v>
      </c>
      <c r="CC94" t="e">
        <f>AND('STERLING CATALOG - DRY '!H2002,"AAAAADs/7VA=")</f>
        <v>#VALUE!</v>
      </c>
      <c r="CD94" t="e">
        <f>AND('STERLING CATALOG - DRY '!I2002,"AAAAADs/7VE=")</f>
        <v>#VALUE!</v>
      </c>
      <c r="CE94" t="e">
        <f>AND('STERLING CATALOG - DRY '!J2002,"AAAAADs/7VI=")</f>
        <v>#VALUE!</v>
      </c>
      <c r="CF94">
        <f>IF('STERLING CATALOG - DRY '!2003:2003,"AAAAADs/7VM=",0)</f>
        <v>0</v>
      </c>
      <c r="CG94" t="e">
        <f>AND('STERLING CATALOG - DRY '!A2003,"AAAAADs/7VQ=")</f>
        <v>#VALUE!</v>
      </c>
      <c r="CH94" t="e">
        <f>AND('STERLING CATALOG - DRY '!B2003,"AAAAADs/7VU=")</f>
        <v>#VALUE!</v>
      </c>
      <c r="CI94" t="e">
        <f>AND('STERLING CATALOG - DRY '!C2003,"AAAAADs/7VY=")</f>
        <v>#VALUE!</v>
      </c>
      <c r="CJ94" t="e">
        <f>AND('STERLING CATALOG - DRY '!D2003,"AAAAADs/7Vc=")</f>
        <v>#VALUE!</v>
      </c>
      <c r="CK94" t="e">
        <f>AND('STERLING CATALOG - DRY '!E2003,"AAAAADs/7Vg=")</f>
        <v>#VALUE!</v>
      </c>
      <c r="CL94" t="e">
        <f>AND('STERLING CATALOG - DRY '!F2003,"AAAAADs/7Vk=")</f>
        <v>#VALUE!</v>
      </c>
      <c r="CM94" t="e">
        <f>AND('STERLING CATALOG - DRY '!G2003,"AAAAADs/7Vo=")</f>
        <v>#VALUE!</v>
      </c>
      <c r="CN94" t="e">
        <f>AND('STERLING CATALOG - DRY '!H2003,"AAAAADs/7Vs=")</f>
        <v>#VALUE!</v>
      </c>
      <c r="CO94" t="e">
        <f>AND('STERLING CATALOG - DRY '!I2003,"AAAAADs/7Vw=")</f>
        <v>#VALUE!</v>
      </c>
      <c r="CP94" t="e">
        <f>AND('STERLING CATALOG - DRY '!J2003,"AAAAADs/7V0=")</f>
        <v>#VALUE!</v>
      </c>
      <c r="CQ94">
        <f>IF('STERLING CATALOG - DRY '!2004:2004,"AAAAADs/7V4=",0)</f>
        <v>0</v>
      </c>
      <c r="CR94" t="e">
        <f>AND('STERLING CATALOG - DRY '!A2004,"AAAAADs/7V8=")</f>
        <v>#VALUE!</v>
      </c>
      <c r="CS94" t="e">
        <f>AND('STERLING CATALOG - DRY '!B2004,"AAAAADs/7WA=")</f>
        <v>#VALUE!</v>
      </c>
      <c r="CT94" t="e">
        <f>AND('STERLING CATALOG - DRY '!C2004,"AAAAADs/7WE=")</f>
        <v>#VALUE!</v>
      </c>
      <c r="CU94" t="e">
        <f>AND('STERLING CATALOG - DRY '!D2004,"AAAAADs/7WI=")</f>
        <v>#VALUE!</v>
      </c>
      <c r="CV94" t="e">
        <f>AND('STERLING CATALOG - DRY '!E2004,"AAAAADs/7WM=")</f>
        <v>#VALUE!</v>
      </c>
      <c r="CW94" t="e">
        <f>AND('STERLING CATALOG - DRY '!F2004,"AAAAADs/7WQ=")</f>
        <v>#VALUE!</v>
      </c>
      <c r="CX94" t="e">
        <f>AND('STERLING CATALOG - DRY '!G2004,"AAAAADs/7WU=")</f>
        <v>#VALUE!</v>
      </c>
      <c r="CY94" t="e">
        <f>AND('STERLING CATALOG - DRY '!H2004,"AAAAADs/7WY=")</f>
        <v>#VALUE!</v>
      </c>
      <c r="CZ94" t="e">
        <f>AND('STERLING CATALOG - DRY '!I2004,"AAAAADs/7Wc=")</f>
        <v>#VALUE!</v>
      </c>
      <c r="DA94" t="e">
        <f>AND('STERLING CATALOG - DRY '!J2004,"AAAAADs/7Wg=")</f>
        <v>#VALUE!</v>
      </c>
      <c r="DB94">
        <f>IF('STERLING CATALOG - DRY '!2005:2005,"AAAAADs/7Wk=",0)</f>
        <v>0</v>
      </c>
      <c r="DC94" t="e">
        <f>AND('STERLING CATALOG - DRY '!A2005,"AAAAADs/7Wo=")</f>
        <v>#VALUE!</v>
      </c>
      <c r="DD94" t="e">
        <f>AND('STERLING CATALOG - DRY '!B2005,"AAAAADs/7Ws=")</f>
        <v>#VALUE!</v>
      </c>
      <c r="DE94" t="e">
        <f>AND('STERLING CATALOG - DRY '!C2005,"AAAAADs/7Ww=")</f>
        <v>#VALUE!</v>
      </c>
      <c r="DF94" t="e">
        <f>AND('STERLING CATALOG - DRY '!D2005,"AAAAADs/7W0=")</f>
        <v>#VALUE!</v>
      </c>
      <c r="DG94" t="e">
        <f>AND('STERLING CATALOG - DRY '!E2005,"AAAAADs/7W4=")</f>
        <v>#VALUE!</v>
      </c>
      <c r="DH94" t="e">
        <f>AND('STERLING CATALOG - DRY '!F2005,"AAAAADs/7W8=")</f>
        <v>#VALUE!</v>
      </c>
      <c r="DI94" t="e">
        <f>AND('STERLING CATALOG - DRY '!G2005,"AAAAADs/7XA=")</f>
        <v>#VALUE!</v>
      </c>
      <c r="DJ94" t="e">
        <f>AND('STERLING CATALOG - DRY '!H2005,"AAAAADs/7XE=")</f>
        <v>#VALUE!</v>
      </c>
      <c r="DK94" t="e">
        <f>AND('STERLING CATALOG - DRY '!I2005,"AAAAADs/7XI=")</f>
        <v>#VALUE!</v>
      </c>
      <c r="DL94" t="e">
        <f>AND('STERLING CATALOG - DRY '!J2005,"AAAAADs/7XM=")</f>
        <v>#VALUE!</v>
      </c>
      <c r="DM94">
        <f>IF('STERLING CATALOG - DRY '!2006:2006,"AAAAADs/7XQ=",0)</f>
        <v>0</v>
      </c>
      <c r="DN94" t="e">
        <f>AND('STERLING CATALOG - DRY '!A2006,"AAAAADs/7XU=")</f>
        <v>#VALUE!</v>
      </c>
      <c r="DO94" t="e">
        <f>AND('STERLING CATALOG - DRY '!B2006,"AAAAADs/7XY=")</f>
        <v>#VALUE!</v>
      </c>
      <c r="DP94" t="e">
        <f>AND('STERLING CATALOG - DRY '!C2006,"AAAAADs/7Xc=")</f>
        <v>#VALUE!</v>
      </c>
      <c r="DQ94" t="e">
        <f>AND('STERLING CATALOG - DRY '!D2006,"AAAAADs/7Xg=")</f>
        <v>#VALUE!</v>
      </c>
      <c r="DR94" t="e">
        <f>AND('STERLING CATALOG - DRY '!E2006,"AAAAADs/7Xk=")</f>
        <v>#VALUE!</v>
      </c>
      <c r="DS94" t="e">
        <f>AND('STERLING CATALOG - DRY '!F2006,"AAAAADs/7Xo=")</f>
        <v>#VALUE!</v>
      </c>
      <c r="DT94" t="e">
        <f>AND('STERLING CATALOG - DRY '!G2006,"AAAAADs/7Xs=")</f>
        <v>#VALUE!</v>
      </c>
      <c r="DU94" t="e">
        <f>AND('STERLING CATALOG - DRY '!H2006,"AAAAADs/7Xw=")</f>
        <v>#VALUE!</v>
      </c>
      <c r="DV94" t="e">
        <f>AND('STERLING CATALOG - DRY '!I2006,"AAAAADs/7X0=")</f>
        <v>#VALUE!</v>
      </c>
      <c r="DW94" t="e">
        <f>AND('STERLING CATALOG - DRY '!J2006,"AAAAADs/7X4=")</f>
        <v>#VALUE!</v>
      </c>
      <c r="DX94">
        <f>IF('STERLING CATALOG - DRY '!2007:2007,"AAAAADs/7X8=",0)</f>
        <v>0</v>
      </c>
      <c r="DY94" t="e">
        <f>AND('STERLING CATALOG - DRY '!A2007,"AAAAADs/7YA=")</f>
        <v>#VALUE!</v>
      </c>
      <c r="DZ94" t="e">
        <f>AND('STERLING CATALOG - DRY '!B2007,"AAAAADs/7YE=")</f>
        <v>#VALUE!</v>
      </c>
      <c r="EA94" t="e">
        <f>AND('STERLING CATALOG - DRY '!C2007,"AAAAADs/7YI=")</f>
        <v>#VALUE!</v>
      </c>
      <c r="EB94" t="e">
        <f>AND('STERLING CATALOG - DRY '!D2007,"AAAAADs/7YM=")</f>
        <v>#VALUE!</v>
      </c>
      <c r="EC94" t="e">
        <f>AND('STERLING CATALOG - DRY '!E2007,"AAAAADs/7YQ=")</f>
        <v>#VALUE!</v>
      </c>
      <c r="ED94" t="e">
        <f>AND('STERLING CATALOG - DRY '!F2007,"AAAAADs/7YU=")</f>
        <v>#VALUE!</v>
      </c>
      <c r="EE94" t="e">
        <f>AND('STERLING CATALOG - DRY '!G2007,"AAAAADs/7YY=")</f>
        <v>#VALUE!</v>
      </c>
      <c r="EF94" t="e">
        <f>AND('STERLING CATALOG - DRY '!H2007,"AAAAADs/7Yc=")</f>
        <v>#VALUE!</v>
      </c>
      <c r="EG94" t="e">
        <f>AND('STERLING CATALOG - DRY '!I2007,"AAAAADs/7Yg=")</f>
        <v>#VALUE!</v>
      </c>
      <c r="EH94" t="e">
        <f>AND('STERLING CATALOG - DRY '!J2007,"AAAAADs/7Yk=")</f>
        <v>#VALUE!</v>
      </c>
      <c r="EI94">
        <f>IF('STERLING CATALOG - DRY '!2008:2008,"AAAAADs/7Yo=",0)</f>
        <v>0</v>
      </c>
      <c r="EJ94" t="e">
        <f>AND('STERLING CATALOG - DRY '!A2008,"AAAAADs/7Ys=")</f>
        <v>#VALUE!</v>
      </c>
      <c r="EK94" t="e">
        <f>AND('STERLING CATALOG - DRY '!B2008,"AAAAADs/7Yw=")</f>
        <v>#VALUE!</v>
      </c>
      <c r="EL94" t="e">
        <f>AND('STERLING CATALOG - DRY '!C2008,"AAAAADs/7Y0=")</f>
        <v>#VALUE!</v>
      </c>
      <c r="EM94" t="e">
        <f>AND('STERLING CATALOG - DRY '!D2008,"AAAAADs/7Y4=")</f>
        <v>#VALUE!</v>
      </c>
      <c r="EN94" t="e">
        <f>AND('STERLING CATALOG - DRY '!E2008,"AAAAADs/7Y8=")</f>
        <v>#VALUE!</v>
      </c>
      <c r="EO94" t="e">
        <f>AND('STERLING CATALOG - DRY '!F2008,"AAAAADs/7ZA=")</f>
        <v>#VALUE!</v>
      </c>
      <c r="EP94" t="e">
        <f>AND('STERLING CATALOG - DRY '!G2008,"AAAAADs/7ZE=")</f>
        <v>#VALUE!</v>
      </c>
      <c r="EQ94" t="e">
        <f>AND('STERLING CATALOG - DRY '!H2008,"AAAAADs/7ZI=")</f>
        <v>#VALUE!</v>
      </c>
      <c r="ER94" t="e">
        <f>AND('STERLING CATALOG - DRY '!I2008,"AAAAADs/7ZM=")</f>
        <v>#VALUE!</v>
      </c>
      <c r="ES94" t="e">
        <f>AND('STERLING CATALOG - DRY '!J2008,"AAAAADs/7ZQ=")</f>
        <v>#VALUE!</v>
      </c>
      <c r="ET94">
        <f>IF('STERLING CATALOG - DRY '!2009:2009,"AAAAADs/7ZU=",0)</f>
        <v>0</v>
      </c>
      <c r="EU94" t="e">
        <f>AND('STERLING CATALOG - DRY '!A2009,"AAAAADs/7ZY=")</f>
        <v>#VALUE!</v>
      </c>
      <c r="EV94" t="e">
        <f>AND('STERLING CATALOG - DRY '!B2009,"AAAAADs/7Zc=")</f>
        <v>#VALUE!</v>
      </c>
      <c r="EW94" t="e">
        <f>AND('STERLING CATALOG - DRY '!C2009,"AAAAADs/7Zg=")</f>
        <v>#VALUE!</v>
      </c>
      <c r="EX94" t="e">
        <f>AND('STERLING CATALOG - DRY '!D2009,"AAAAADs/7Zk=")</f>
        <v>#VALUE!</v>
      </c>
      <c r="EY94" t="e">
        <f>AND('STERLING CATALOG - DRY '!E2009,"AAAAADs/7Zo=")</f>
        <v>#VALUE!</v>
      </c>
      <c r="EZ94" t="e">
        <f>AND('STERLING CATALOG - DRY '!F2009,"AAAAADs/7Zs=")</f>
        <v>#VALUE!</v>
      </c>
      <c r="FA94" t="e">
        <f>AND('STERLING CATALOG - DRY '!G2009,"AAAAADs/7Zw=")</f>
        <v>#VALUE!</v>
      </c>
      <c r="FB94" t="e">
        <f>AND('STERLING CATALOG - DRY '!H2009,"AAAAADs/7Z0=")</f>
        <v>#VALUE!</v>
      </c>
      <c r="FC94" t="e">
        <f>AND('STERLING CATALOG - DRY '!I2009,"AAAAADs/7Z4=")</f>
        <v>#VALUE!</v>
      </c>
      <c r="FD94" t="e">
        <f>AND('STERLING CATALOG - DRY '!J2009,"AAAAADs/7Z8=")</f>
        <v>#VALUE!</v>
      </c>
      <c r="FE94">
        <f>IF('STERLING CATALOG - DRY '!2010:2010,"AAAAADs/7aA=",0)</f>
        <v>0</v>
      </c>
      <c r="FF94" t="e">
        <f>AND('STERLING CATALOG - DRY '!A2010,"AAAAADs/7aE=")</f>
        <v>#VALUE!</v>
      </c>
      <c r="FG94" t="e">
        <f>AND('STERLING CATALOG - DRY '!B2010,"AAAAADs/7aI=")</f>
        <v>#VALUE!</v>
      </c>
      <c r="FH94" t="e">
        <f>AND('STERLING CATALOG - DRY '!C2010,"AAAAADs/7aM=")</f>
        <v>#VALUE!</v>
      </c>
      <c r="FI94" t="e">
        <f>AND('STERLING CATALOG - DRY '!D2010,"AAAAADs/7aQ=")</f>
        <v>#VALUE!</v>
      </c>
      <c r="FJ94" t="e">
        <f>AND('STERLING CATALOG - DRY '!E2010,"AAAAADs/7aU=")</f>
        <v>#VALUE!</v>
      </c>
      <c r="FK94" t="e">
        <f>AND('STERLING CATALOG - DRY '!F2010,"AAAAADs/7aY=")</f>
        <v>#VALUE!</v>
      </c>
      <c r="FL94" t="e">
        <f>AND('STERLING CATALOG - DRY '!G2010,"AAAAADs/7ac=")</f>
        <v>#VALUE!</v>
      </c>
      <c r="FM94" t="e">
        <f>AND('STERLING CATALOG - DRY '!H2010,"AAAAADs/7ag=")</f>
        <v>#VALUE!</v>
      </c>
      <c r="FN94" t="e">
        <f>AND('STERLING CATALOG - DRY '!I2010,"AAAAADs/7ak=")</f>
        <v>#VALUE!</v>
      </c>
      <c r="FO94" t="e">
        <f>AND('STERLING CATALOG - DRY '!J2010,"AAAAADs/7ao=")</f>
        <v>#VALUE!</v>
      </c>
      <c r="FP94">
        <f>IF('STERLING CATALOG - DRY '!2011:2011,"AAAAADs/7as=",0)</f>
        <v>0</v>
      </c>
      <c r="FQ94" t="e">
        <f>AND('STERLING CATALOG - DRY '!A2011,"AAAAADs/7aw=")</f>
        <v>#VALUE!</v>
      </c>
      <c r="FR94" t="e">
        <f>AND('STERLING CATALOG - DRY '!B2011,"AAAAADs/7a0=")</f>
        <v>#VALUE!</v>
      </c>
      <c r="FS94" t="e">
        <f>AND('STERLING CATALOG - DRY '!C2011,"AAAAADs/7a4=")</f>
        <v>#VALUE!</v>
      </c>
      <c r="FT94" t="e">
        <f>AND('STERLING CATALOG - DRY '!D2011,"AAAAADs/7a8=")</f>
        <v>#VALUE!</v>
      </c>
      <c r="FU94" t="e">
        <f>AND('STERLING CATALOG - DRY '!E2011,"AAAAADs/7bA=")</f>
        <v>#VALUE!</v>
      </c>
      <c r="FV94" t="e">
        <f>AND('STERLING CATALOG - DRY '!F2011,"AAAAADs/7bE=")</f>
        <v>#VALUE!</v>
      </c>
      <c r="FW94" t="e">
        <f>AND('STERLING CATALOG - DRY '!G2011,"AAAAADs/7bI=")</f>
        <v>#VALUE!</v>
      </c>
      <c r="FX94" t="e">
        <f>AND('STERLING CATALOG - DRY '!H2011,"AAAAADs/7bM=")</f>
        <v>#VALUE!</v>
      </c>
      <c r="FY94" t="e">
        <f>AND('STERLING CATALOG - DRY '!I2011,"AAAAADs/7bQ=")</f>
        <v>#VALUE!</v>
      </c>
      <c r="FZ94" t="e">
        <f>AND('STERLING CATALOG - DRY '!J2011,"AAAAADs/7bU=")</f>
        <v>#VALUE!</v>
      </c>
      <c r="GA94">
        <f>IF('STERLING CATALOG - DRY '!2012:2012,"AAAAADs/7bY=",0)</f>
        <v>0</v>
      </c>
      <c r="GB94" t="e">
        <f>AND('STERLING CATALOG - DRY '!A2012,"AAAAADs/7bc=")</f>
        <v>#VALUE!</v>
      </c>
      <c r="GC94" t="e">
        <f>AND('STERLING CATALOG - DRY '!B2012,"AAAAADs/7bg=")</f>
        <v>#VALUE!</v>
      </c>
      <c r="GD94" t="e">
        <f>AND('STERLING CATALOG - DRY '!C2012,"AAAAADs/7bk=")</f>
        <v>#VALUE!</v>
      </c>
      <c r="GE94" t="e">
        <f>AND('STERLING CATALOG - DRY '!D2012,"AAAAADs/7bo=")</f>
        <v>#VALUE!</v>
      </c>
      <c r="GF94" t="e">
        <f>AND('STERLING CATALOG - DRY '!E2012,"AAAAADs/7bs=")</f>
        <v>#VALUE!</v>
      </c>
      <c r="GG94" t="e">
        <f>AND('STERLING CATALOG - DRY '!F2012,"AAAAADs/7bw=")</f>
        <v>#VALUE!</v>
      </c>
      <c r="GH94" t="e">
        <f>AND('STERLING CATALOG - DRY '!G2012,"AAAAADs/7b0=")</f>
        <v>#VALUE!</v>
      </c>
      <c r="GI94" t="e">
        <f>AND('STERLING CATALOG - DRY '!H2012,"AAAAADs/7b4=")</f>
        <v>#VALUE!</v>
      </c>
      <c r="GJ94" t="e">
        <f>AND('STERLING CATALOG - DRY '!I2012,"AAAAADs/7b8=")</f>
        <v>#VALUE!</v>
      </c>
      <c r="GK94" t="e">
        <f>AND('STERLING CATALOG - DRY '!J2012,"AAAAADs/7cA=")</f>
        <v>#VALUE!</v>
      </c>
      <c r="GL94">
        <f>IF('STERLING CATALOG - DRY '!2013:2013,"AAAAADs/7cE=",0)</f>
        <v>0</v>
      </c>
      <c r="GM94" t="e">
        <f>AND('STERLING CATALOG - DRY '!A2013,"AAAAADs/7cI=")</f>
        <v>#VALUE!</v>
      </c>
      <c r="GN94" t="e">
        <f>AND('STERLING CATALOG - DRY '!B2013,"AAAAADs/7cM=")</f>
        <v>#VALUE!</v>
      </c>
      <c r="GO94" t="e">
        <f>AND('STERLING CATALOG - DRY '!C2013,"AAAAADs/7cQ=")</f>
        <v>#VALUE!</v>
      </c>
      <c r="GP94" t="e">
        <f>AND('STERLING CATALOG - DRY '!D2013,"AAAAADs/7cU=")</f>
        <v>#VALUE!</v>
      </c>
      <c r="GQ94" t="e">
        <f>AND('STERLING CATALOG - DRY '!E2013,"AAAAADs/7cY=")</f>
        <v>#VALUE!</v>
      </c>
      <c r="GR94" t="e">
        <f>AND('STERLING CATALOG - DRY '!F2013,"AAAAADs/7cc=")</f>
        <v>#VALUE!</v>
      </c>
      <c r="GS94" t="e">
        <f>AND('STERLING CATALOG - DRY '!G2013,"AAAAADs/7cg=")</f>
        <v>#VALUE!</v>
      </c>
      <c r="GT94" t="e">
        <f>AND('STERLING CATALOG - DRY '!H2013,"AAAAADs/7ck=")</f>
        <v>#VALUE!</v>
      </c>
      <c r="GU94" t="e">
        <f>AND('STERLING CATALOG - DRY '!I2013,"AAAAADs/7co=")</f>
        <v>#VALUE!</v>
      </c>
      <c r="GV94" t="e">
        <f>AND('STERLING CATALOG - DRY '!J2013,"AAAAADs/7cs=")</f>
        <v>#VALUE!</v>
      </c>
      <c r="GW94">
        <f>IF('STERLING CATALOG - DRY '!2014:2014,"AAAAADs/7cw=",0)</f>
        <v>0</v>
      </c>
      <c r="GX94" t="e">
        <f>AND('STERLING CATALOG - DRY '!A2014,"AAAAADs/7c0=")</f>
        <v>#VALUE!</v>
      </c>
      <c r="GY94" t="e">
        <f>AND('STERLING CATALOG - DRY '!B2014,"AAAAADs/7c4=")</f>
        <v>#VALUE!</v>
      </c>
      <c r="GZ94" t="e">
        <f>AND('STERLING CATALOG - DRY '!C2014,"AAAAADs/7c8=")</f>
        <v>#VALUE!</v>
      </c>
      <c r="HA94" t="e">
        <f>AND('STERLING CATALOG - DRY '!D2014,"AAAAADs/7dA=")</f>
        <v>#VALUE!</v>
      </c>
      <c r="HB94" t="e">
        <f>AND('STERLING CATALOG - DRY '!E2014,"AAAAADs/7dE=")</f>
        <v>#VALUE!</v>
      </c>
      <c r="HC94" t="e">
        <f>AND('STERLING CATALOG - DRY '!F2014,"AAAAADs/7dI=")</f>
        <v>#VALUE!</v>
      </c>
      <c r="HD94" t="e">
        <f>AND('STERLING CATALOG - DRY '!G2014,"AAAAADs/7dM=")</f>
        <v>#VALUE!</v>
      </c>
      <c r="HE94" t="e">
        <f>AND('STERLING CATALOG - DRY '!H2014,"AAAAADs/7dQ=")</f>
        <v>#VALUE!</v>
      </c>
      <c r="HF94" t="e">
        <f>AND('STERLING CATALOG - DRY '!I2014,"AAAAADs/7dU=")</f>
        <v>#VALUE!</v>
      </c>
      <c r="HG94" t="e">
        <f>AND('STERLING CATALOG - DRY '!J2014,"AAAAADs/7dY=")</f>
        <v>#VALUE!</v>
      </c>
      <c r="HH94">
        <f>IF('STERLING CATALOG - DRY '!2015:2015,"AAAAADs/7dc=",0)</f>
        <v>0</v>
      </c>
      <c r="HI94" t="e">
        <f>AND('STERLING CATALOG - DRY '!A2015,"AAAAADs/7dg=")</f>
        <v>#VALUE!</v>
      </c>
      <c r="HJ94" t="e">
        <f>AND('STERLING CATALOG - DRY '!B2015,"AAAAADs/7dk=")</f>
        <v>#VALUE!</v>
      </c>
      <c r="HK94" t="e">
        <f>AND('STERLING CATALOG - DRY '!C2015,"AAAAADs/7do=")</f>
        <v>#VALUE!</v>
      </c>
      <c r="HL94" t="e">
        <f>AND('STERLING CATALOG - DRY '!D2015,"AAAAADs/7ds=")</f>
        <v>#VALUE!</v>
      </c>
      <c r="HM94" t="e">
        <f>AND('STERLING CATALOG - DRY '!E2015,"AAAAADs/7dw=")</f>
        <v>#VALUE!</v>
      </c>
      <c r="HN94" t="e">
        <f>AND('STERLING CATALOG - DRY '!F2015,"AAAAADs/7d0=")</f>
        <v>#VALUE!</v>
      </c>
      <c r="HO94" t="e">
        <f>AND('STERLING CATALOG - DRY '!G2015,"AAAAADs/7d4=")</f>
        <v>#VALUE!</v>
      </c>
      <c r="HP94" t="e">
        <f>AND('STERLING CATALOG - DRY '!H2015,"AAAAADs/7d8=")</f>
        <v>#VALUE!</v>
      </c>
      <c r="HQ94" t="e">
        <f>AND('STERLING CATALOG - DRY '!I2015,"AAAAADs/7eA=")</f>
        <v>#VALUE!</v>
      </c>
      <c r="HR94" t="e">
        <f>AND('STERLING CATALOG - DRY '!J2015,"AAAAADs/7eE=")</f>
        <v>#VALUE!</v>
      </c>
      <c r="HS94">
        <f>IF('STERLING CATALOG - DRY '!2016:2016,"AAAAADs/7eI=",0)</f>
        <v>0</v>
      </c>
      <c r="HT94" t="e">
        <f>AND('STERLING CATALOG - DRY '!A2016,"AAAAADs/7eM=")</f>
        <v>#VALUE!</v>
      </c>
      <c r="HU94" t="e">
        <f>AND('STERLING CATALOG - DRY '!B2016,"AAAAADs/7eQ=")</f>
        <v>#VALUE!</v>
      </c>
      <c r="HV94" t="e">
        <f>AND('STERLING CATALOG - DRY '!C2016,"AAAAADs/7eU=")</f>
        <v>#VALUE!</v>
      </c>
      <c r="HW94" t="e">
        <f>AND('STERLING CATALOG - DRY '!D2016,"AAAAADs/7eY=")</f>
        <v>#VALUE!</v>
      </c>
      <c r="HX94" t="e">
        <f>AND('STERLING CATALOG - DRY '!E2016,"AAAAADs/7ec=")</f>
        <v>#VALUE!</v>
      </c>
      <c r="HY94" t="e">
        <f>AND('STERLING CATALOG - DRY '!F2016,"AAAAADs/7eg=")</f>
        <v>#VALUE!</v>
      </c>
      <c r="HZ94" t="e">
        <f>AND('STERLING CATALOG - DRY '!G2016,"AAAAADs/7ek=")</f>
        <v>#VALUE!</v>
      </c>
      <c r="IA94" t="e">
        <f>AND('STERLING CATALOG - DRY '!H2016,"AAAAADs/7eo=")</f>
        <v>#VALUE!</v>
      </c>
      <c r="IB94" t="e">
        <f>AND('STERLING CATALOG - DRY '!I2016,"AAAAADs/7es=")</f>
        <v>#VALUE!</v>
      </c>
      <c r="IC94" t="e">
        <f>AND('STERLING CATALOG - DRY '!J2016,"AAAAADs/7ew=")</f>
        <v>#VALUE!</v>
      </c>
      <c r="ID94">
        <f>IF('STERLING CATALOG - DRY '!2017:2017,"AAAAADs/7e0=",0)</f>
        <v>0</v>
      </c>
      <c r="IE94" t="e">
        <f>AND('STERLING CATALOG - DRY '!A2017,"AAAAADs/7e4=")</f>
        <v>#VALUE!</v>
      </c>
      <c r="IF94" t="e">
        <f>AND('STERLING CATALOG - DRY '!B2017,"AAAAADs/7e8=")</f>
        <v>#VALUE!</v>
      </c>
      <c r="IG94" t="e">
        <f>AND('STERLING CATALOG - DRY '!C2017,"AAAAADs/7fA=")</f>
        <v>#VALUE!</v>
      </c>
      <c r="IH94" t="e">
        <f>AND('STERLING CATALOG - DRY '!D2017,"AAAAADs/7fE=")</f>
        <v>#VALUE!</v>
      </c>
      <c r="II94" t="e">
        <f>AND('STERLING CATALOG - DRY '!E2017,"AAAAADs/7fI=")</f>
        <v>#VALUE!</v>
      </c>
      <c r="IJ94" t="e">
        <f>AND('STERLING CATALOG - DRY '!F2017,"AAAAADs/7fM=")</f>
        <v>#VALUE!</v>
      </c>
      <c r="IK94" t="e">
        <f>AND('STERLING CATALOG - DRY '!G2017,"AAAAADs/7fQ=")</f>
        <v>#VALUE!</v>
      </c>
      <c r="IL94" t="e">
        <f>AND('STERLING CATALOG - DRY '!H2017,"AAAAADs/7fU=")</f>
        <v>#VALUE!</v>
      </c>
      <c r="IM94" t="e">
        <f>AND('STERLING CATALOG - DRY '!I2017,"AAAAADs/7fY=")</f>
        <v>#VALUE!</v>
      </c>
      <c r="IN94" t="e">
        <f>AND('STERLING CATALOG - DRY '!J2017,"AAAAADs/7fc=")</f>
        <v>#VALUE!</v>
      </c>
      <c r="IO94">
        <f>IF('STERLING CATALOG - DRY '!2018:2018,"AAAAADs/7fg=",0)</f>
        <v>0</v>
      </c>
      <c r="IP94" t="e">
        <f>AND('STERLING CATALOG - DRY '!A2018,"AAAAADs/7fk=")</f>
        <v>#VALUE!</v>
      </c>
      <c r="IQ94" t="e">
        <f>AND('STERLING CATALOG - DRY '!B2018,"AAAAADs/7fo=")</f>
        <v>#VALUE!</v>
      </c>
      <c r="IR94" t="e">
        <f>AND('STERLING CATALOG - DRY '!C2018,"AAAAADs/7fs=")</f>
        <v>#VALUE!</v>
      </c>
      <c r="IS94" t="e">
        <f>AND('STERLING CATALOG - DRY '!D2018,"AAAAADs/7fw=")</f>
        <v>#VALUE!</v>
      </c>
      <c r="IT94" t="e">
        <f>AND('STERLING CATALOG - DRY '!E2018,"AAAAADs/7f0=")</f>
        <v>#VALUE!</v>
      </c>
      <c r="IU94" t="e">
        <f>AND('STERLING CATALOG - DRY '!F2018,"AAAAADs/7f4=")</f>
        <v>#VALUE!</v>
      </c>
      <c r="IV94" t="e">
        <f>AND('STERLING CATALOG - DRY '!G2018,"AAAAADs/7f8=")</f>
        <v>#VALUE!</v>
      </c>
    </row>
    <row r="95" spans="1:256">
      <c r="A95" t="e">
        <f>AND('STERLING CATALOG - DRY '!H2018,"AAAAAD9elwA=")</f>
        <v>#VALUE!</v>
      </c>
      <c r="B95" t="e">
        <f>AND('STERLING CATALOG - DRY '!I2018,"AAAAAD9elwE=")</f>
        <v>#VALUE!</v>
      </c>
      <c r="C95" t="e">
        <f>AND('STERLING CATALOG - DRY '!J2018,"AAAAAD9elwI=")</f>
        <v>#VALUE!</v>
      </c>
      <c r="D95" t="e">
        <f>IF('STERLING CATALOG - DRY '!2019:2019,"AAAAAD9elwM=",0)</f>
        <v>#VALUE!</v>
      </c>
      <c r="E95" t="e">
        <f>AND('STERLING CATALOG - DRY '!A2019,"AAAAAD9elwQ=")</f>
        <v>#VALUE!</v>
      </c>
      <c r="F95" t="e">
        <f>AND('STERLING CATALOG - DRY '!B2019,"AAAAAD9elwU=")</f>
        <v>#VALUE!</v>
      </c>
      <c r="G95" t="e">
        <f>AND('STERLING CATALOG - DRY '!C2019,"AAAAAD9elwY=")</f>
        <v>#VALUE!</v>
      </c>
      <c r="H95" t="e">
        <f>AND('STERLING CATALOG - DRY '!D2019,"AAAAAD9elwc=")</f>
        <v>#VALUE!</v>
      </c>
      <c r="I95" t="e">
        <f>AND('STERLING CATALOG - DRY '!E2019,"AAAAAD9elwg=")</f>
        <v>#VALUE!</v>
      </c>
      <c r="J95" t="e">
        <f>AND('STERLING CATALOG - DRY '!F2019,"AAAAAD9elwk=")</f>
        <v>#VALUE!</v>
      </c>
      <c r="K95" t="e">
        <f>AND('STERLING CATALOG - DRY '!G2019,"AAAAAD9elwo=")</f>
        <v>#VALUE!</v>
      </c>
      <c r="L95" t="e">
        <f>AND('STERLING CATALOG - DRY '!H2019,"AAAAAD9elws=")</f>
        <v>#VALUE!</v>
      </c>
      <c r="M95" t="e">
        <f>AND('STERLING CATALOG - DRY '!I2019,"AAAAAD9elww=")</f>
        <v>#VALUE!</v>
      </c>
      <c r="N95" t="e">
        <f>AND('STERLING CATALOG - DRY '!J2019,"AAAAAD9elw0=")</f>
        <v>#VALUE!</v>
      </c>
      <c r="O95">
        <f>IF('STERLING CATALOG - DRY '!2020:2020,"AAAAAD9elw4=",0)</f>
        <v>0</v>
      </c>
      <c r="P95" t="e">
        <f>AND('STERLING CATALOG - DRY '!A2020,"AAAAAD9elw8=")</f>
        <v>#VALUE!</v>
      </c>
      <c r="Q95" t="e">
        <f>AND('STERLING CATALOG - DRY '!B2020,"AAAAAD9elxA=")</f>
        <v>#VALUE!</v>
      </c>
      <c r="R95" t="e">
        <f>AND('STERLING CATALOG - DRY '!C2020,"AAAAAD9elxE=")</f>
        <v>#VALUE!</v>
      </c>
      <c r="S95" t="e">
        <f>AND('STERLING CATALOG - DRY '!D2020,"AAAAAD9elxI=")</f>
        <v>#VALUE!</v>
      </c>
      <c r="T95" t="e">
        <f>AND('STERLING CATALOG - DRY '!E2020,"AAAAAD9elxM=")</f>
        <v>#VALUE!</v>
      </c>
      <c r="U95" t="e">
        <f>AND('STERLING CATALOG - DRY '!F2020,"AAAAAD9elxQ=")</f>
        <v>#VALUE!</v>
      </c>
      <c r="V95" t="e">
        <f>AND('STERLING CATALOG - DRY '!G2020,"AAAAAD9elxU=")</f>
        <v>#VALUE!</v>
      </c>
      <c r="W95" t="e">
        <f>AND('STERLING CATALOG - DRY '!H2020,"AAAAAD9elxY=")</f>
        <v>#VALUE!</v>
      </c>
      <c r="X95" t="e">
        <f>AND('STERLING CATALOG - DRY '!I2020,"AAAAAD9elxc=")</f>
        <v>#VALUE!</v>
      </c>
      <c r="Y95" t="e">
        <f>AND('STERLING CATALOG - DRY '!J2020,"AAAAAD9elxg=")</f>
        <v>#VALUE!</v>
      </c>
      <c r="Z95">
        <f>IF('STERLING CATALOG - DRY '!2021:2021,"AAAAAD9elxk=",0)</f>
        <v>0</v>
      </c>
      <c r="AA95" t="e">
        <f>AND('STERLING CATALOG - DRY '!A2021,"AAAAAD9elxo=")</f>
        <v>#VALUE!</v>
      </c>
      <c r="AB95" t="e">
        <f>AND('STERLING CATALOG - DRY '!B2021,"AAAAAD9elxs=")</f>
        <v>#VALUE!</v>
      </c>
      <c r="AC95" t="e">
        <f>AND('STERLING CATALOG - DRY '!C2021,"AAAAAD9elxw=")</f>
        <v>#VALUE!</v>
      </c>
      <c r="AD95" t="e">
        <f>AND('STERLING CATALOG - DRY '!D2021,"AAAAAD9elx0=")</f>
        <v>#VALUE!</v>
      </c>
      <c r="AE95" t="e">
        <f>AND('STERLING CATALOG - DRY '!E2021,"AAAAAD9elx4=")</f>
        <v>#VALUE!</v>
      </c>
      <c r="AF95" t="e">
        <f>AND('STERLING CATALOG - DRY '!F2021,"AAAAAD9elx8=")</f>
        <v>#VALUE!</v>
      </c>
      <c r="AG95" t="e">
        <f>AND('STERLING CATALOG - DRY '!G2021,"AAAAAD9elyA=")</f>
        <v>#VALUE!</v>
      </c>
      <c r="AH95" t="e">
        <f>AND('STERLING CATALOG - DRY '!H2021,"AAAAAD9elyE=")</f>
        <v>#VALUE!</v>
      </c>
      <c r="AI95" t="e">
        <f>AND('STERLING CATALOG - DRY '!I2021,"AAAAAD9elyI=")</f>
        <v>#VALUE!</v>
      </c>
      <c r="AJ95" t="e">
        <f>AND('STERLING CATALOG - DRY '!J2021,"AAAAAD9elyM=")</f>
        <v>#VALUE!</v>
      </c>
      <c r="AK95">
        <f>IF('STERLING CATALOG - DRY '!2022:2022,"AAAAAD9elyQ=",0)</f>
        <v>0</v>
      </c>
      <c r="AL95" t="e">
        <f>AND('STERLING CATALOG - DRY '!A2022,"AAAAAD9elyU=")</f>
        <v>#VALUE!</v>
      </c>
      <c r="AM95" t="e">
        <f>AND('STERLING CATALOG - DRY '!B2022,"AAAAAD9elyY=")</f>
        <v>#VALUE!</v>
      </c>
      <c r="AN95" t="e">
        <f>AND('STERLING CATALOG - DRY '!C2022,"AAAAAD9elyc=")</f>
        <v>#VALUE!</v>
      </c>
      <c r="AO95" t="e">
        <f>AND('STERLING CATALOG - DRY '!D2022,"AAAAAD9elyg=")</f>
        <v>#VALUE!</v>
      </c>
      <c r="AP95" t="e">
        <f>AND('STERLING CATALOG - DRY '!E2022,"AAAAAD9elyk=")</f>
        <v>#VALUE!</v>
      </c>
      <c r="AQ95" t="e">
        <f>AND('STERLING CATALOG - DRY '!F2022,"AAAAAD9elyo=")</f>
        <v>#VALUE!</v>
      </c>
      <c r="AR95" t="e">
        <f>AND('STERLING CATALOG - DRY '!G2022,"AAAAAD9elys=")</f>
        <v>#VALUE!</v>
      </c>
      <c r="AS95" t="e">
        <f>AND('STERLING CATALOG - DRY '!H2022,"AAAAAD9elyw=")</f>
        <v>#VALUE!</v>
      </c>
      <c r="AT95" t="e">
        <f>AND('STERLING CATALOG - DRY '!I2022,"AAAAAD9ely0=")</f>
        <v>#VALUE!</v>
      </c>
      <c r="AU95" t="e">
        <f>AND('STERLING CATALOG - DRY '!J2022,"AAAAAD9ely4=")</f>
        <v>#VALUE!</v>
      </c>
      <c r="AV95">
        <f>IF('STERLING CATALOG - DRY '!2023:2023,"AAAAAD9ely8=",0)</f>
        <v>0</v>
      </c>
      <c r="AW95" t="e">
        <f>AND('STERLING CATALOG - DRY '!A2023,"AAAAAD9elzA=")</f>
        <v>#VALUE!</v>
      </c>
      <c r="AX95" t="e">
        <f>AND('STERLING CATALOG - DRY '!B2023,"AAAAAD9elzE=")</f>
        <v>#VALUE!</v>
      </c>
      <c r="AY95" t="e">
        <f>AND('STERLING CATALOG - DRY '!C2023,"AAAAAD9elzI=")</f>
        <v>#VALUE!</v>
      </c>
      <c r="AZ95" t="e">
        <f>AND('STERLING CATALOG - DRY '!D2023,"AAAAAD9elzM=")</f>
        <v>#VALUE!</v>
      </c>
      <c r="BA95" t="e">
        <f>AND('STERLING CATALOG - DRY '!E2023,"AAAAAD9elzQ=")</f>
        <v>#VALUE!</v>
      </c>
      <c r="BB95" t="e">
        <f>AND('STERLING CATALOG - DRY '!F2023,"AAAAAD9elzU=")</f>
        <v>#VALUE!</v>
      </c>
      <c r="BC95" t="e">
        <f>AND('STERLING CATALOG - DRY '!G2023,"AAAAAD9elzY=")</f>
        <v>#VALUE!</v>
      </c>
      <c r="BD95" t="e">
        <f>AND('STERLING CATALOG - DRY '!H2023,"AAAAAD9elzc=")</f>
        <v>#VALUE!</v>
      </c>
      <c r="BE95" t="e">
        <f>AND('STERLING CATALOG - DRY '!I2023,"AAAAAD9elzg=")</f>
        <v>#VALUE!</v>
      </c>
      <c r="BF95" t="e">
        <f>AND('STERLING CATALOG - DRY '!J2023,"AAAAAD9elzk=")</f>
        <v>#VALUE!</v>
      </c>
      <c r="BG95">
        <f>IF('STERLING CATALOG - DRY '!2024:2024,"AAAAAD9elzo=",0)</f>
        <v>0</v>
      </c>
      <c r="BH95" t="e">
        <f>AND('STERLING CATALOG - DRY '!A2024,"AAAAAD9elzs=")</f>
        <v>#VALUE!</v>
      </c>
      <c r="BI95" t="e">
        <f>AND('STERLING CATALOG - DRY '!B2024,"AAAAAD9elzw=")</f>
        <v>#VALUE!</v>
      </c>
      <c r="BJ95" t="e">
        <f>AND('STERLING CATALOG - DRY '!C2024,"AAAAAD9elz0=")</f>
        <v>#VALUE!</v>
      </c>
      <c r="BK95" t="e">
        <f>AND('STERLING CATALOG - DRY '!D2024,"AAAAAD9elz4=")</f>
        <v>#VALUE!</v>
      </c>
      <c r="BL95" t="e">
        <f>AND('STERLING CATALOG - DRY '!E2024,"AAAAAD9elz8=")</f>
        <v>#VALUE!</v>
      </c>
      <c r="BM95" t="e">
        <f>AND('STERLING CATALOG - DRY '!F2024,"AAAAAD9el0A=")</f>
        <v>#VALUE!</v>
      </c>
      <c r="BN95" t="e">
        <f>AND('STERLING CATALOG - DRY '!G2024,"AAAAAD9el0E=")</f>
        <v>#VALUE!</v>
      </c>
      <c r="BO95" t="e">
        <f>AND('STERLING CATALOG - DRY '!H2024,"AAAAAD9el0I=")</f>
        <v>#VALUE!</v>
      </c>
      <c r="BP95" t="e">
        <f>AND('STERLING CATALOG - DRY '!I2024,"AAAAAD9el0M=")</f>
        <v>#VALUE!</v>
      </c>
      <c r="BQ95" t="e">
        <f>AND('STERLING CATALOG - DRY '!J2024,"AAAAAD9el0Q=")</f>
        <v>#VALUE!</v>
      </c>
      <c r="BR95">
        <f>IF('STERLING CATALOG - DRY '!2025:2025,"AAAAAD9el0U=",0)</f>
        <v>0</v>
      </c>
      <c r="BS95" t="e">
        <f>AND('STERLING CATALOG - DRY '!A2025,"AAAAAD9el0Y=")</f>
        <v>#VALUE!</v>
      </c>
      <c r="BT95" t="e">
        <f>AND('STERLING CATALOG - DRY '!B2025,"AAAAAD9el0c=")</f>
        <v>#VALUE!</v>
      </c>
      <c r="BU95" t="e">
        <f>AND('STERLING CATALOG - DRY '!C2025,"AAAAAD9el0g=")</f>
        <v>#VALUE!</v>
      </c>
      <c r="BV95" t="e">
        <f>AND('STERLING CATALOG - DRY '!D2025,"AAAAAD9el0k=")</f>
        <v>#VALUE!</v>
      </c>
      <c r="BW95" t="e">
        <f>AND('STERLING CATALOG - DRY '!E2025,"AAAAAD9el0o=")</f>
        <v>#VALUE!</v>
      </c>
      <c r="BX95" t="e">
        <f>AND('STERLING CATALOG - DRY '!F2025,"AAAAAD9el0s=")</f>
        <v>#VALUE!</v>
      </c>
      <c r="BY95" t="e">
        <f>AND('STERLING CATALOG - DRY '!G2025,"AAAAAD9el0w=")</f>
        <v>#VALUE!</v>
      </c>
      <c r="BZ95" t="e">
        <f>AND('STERLING CATALOG - DRY '!H2025,"AAAAAD9el00=")</f>
        <v>#VALUE!</v>
      </c>
      <c r="CA95" t="e">
        <f>AND('STERLING CATALOG - DRY '!I2025,"AAAAAD9el04=")</f>
        <v>#VALUE!</v>
      </c>
      <c r="CB95" t="e">
        <f>AND('STERLING CATALOG - DRY '!J2025,"AAAAAD9el08=")</f>
        <v>#VALUE!</v>
      </c>
      <c r="CC95">
        <f>IF('STERLING CATALOG - DRY '!2026:2026,"AAAAAD9el1A=",0)</f>
        <v>0</v>
      </c>
      <c r="CD95" t="e">
        <f>AND('STERLING CATALOG - DRY '!A2026,"AAAAAD9el1E=")</f>
        <v>#VALUE!</v>
      </c>
      <c r="CE95" t="e">
        <f>AND('STERLING CATALOG - DRY '!B2026,"AAAAAD9el1I=")</f>
        <v>#VALUE!</v>
      </c>
      <c r="CF95" t="e">
        <f>AND('STERLING CATALOG - DRY '!C2026,"AAAAAD9el1M=")</f>
        <v>#VALUE!</v>
      </c>
      <c r="CG95" t="e">
        <f>AND('STERLING CATALOG - DRY '!D2026,"AAAAAD9el1Q=")</f>
        <v>#VALUE!</v>
      </c>
      <c r="CH95" t="e">
        <f>AND('STERLING CATALOG - DRY '!E2026,"AAAAAD9el1U=")</f>
        <v>#VALUE!</v>
      </c>
      <c r="CI95" t="e">
        <f>AND('STERLING CATALOG - DRY '!F2026,"AAAAAD9el1Y=")</f>
        <v>#VALUE!</v>
      </c>
      <c r="CJ95" t="e">
        <f>AND('STERLING CATALOG - DRY '!G2026,"AAAAAD9el1c=")</f>
        <v>#VALUE!</v>
      </c>
      <c r="CK95" t="e">
        <f>AND('STERLING CATALOG - DRY '!H2026,"AAAAAD9el1g=")</f>
        <v>#VALUE!</v>
      </c>
      <c r="CL95" t="e">
        <f>AND('STERLING CATALOG - DRY '!I2026,"AAAAAD9el1k=")</f>
        <v>#VALUE!</v>
      </c>
      <c r="CM95" t="e">
        <f>AND('STERLING CATALOG - DRY '!J2026,"AAAAAD9el1o=")</f>
        <v>#VALUE!</v>
      </c>
      <c r="CN95">
        <f>IF('STERLING CATALOG - DRY '!2027:2027,"AAAAAD9el1s=",0)</f>
        <v>0</v>
      </c>
      <c r="CO95" t="e">
        <f>AND('STERLING CATALOG - DRY '!A2027,"AAAAAD9el1w=")</f>
        <v>#VALUE!</v>
      </c>
      <c r="CP95" t="e">
        <f>AND('STERLING CATALOG - DRY '!B2027,"AAAAAD9el10=")</f>
        <v>#VALUE!</v>
      </c>
      <c r="CQ95" t="e">
        <f>AND('STERLING CATALOG - DRY '!C2027,"AAAAAD9el14=")</f>
        <v>#VALUE!</v>
      </c>
      <c r="CR95" t="e">
        <f>AND('STERLING CATALOG - DRY '!D2027,"AAAAAD9el18=")</f>
        <v>#VALUE!</v>
      </c>
      <c r="CS95" t="e">
        <f>AND('STERLING CATALOG - DRY '!E2027,"AAAAAD9el2A=")</f>
        <v>#VALUE!</v>
      </c>
      <c r="CT95" t="e">
        <f>AND('STERLING CATALOG - DRY '!F2027,"AAAAAD9el2E=")</f>
        <v>#VALUE!</v>
      </c>
      <c r="CU95" t="e">
        <f>AND('STERLING CATALOG - DRY '!G2027,"AAAAAD9el2I=")</f>
        <v>#VALUE!</v>
      </c>
      <c r="CV95" t="e">
        <f>AND('STERLING CATALOG - DRY '!H2027,"AAAAAD9el2M=")</f>
        <v>#VALUE!</v>
      </c>
      <c r="CW95" t="e">
        <f>AND('STERLING CATALOG - DRY '!I2027,"AAAAAD9el2Q=")</f>
        <v>#VALUE!</v>
      </c>
      <c r="CX95" t="e">
        <f>AND('STERLING CATALOG - DRY '!J2027,"AAAAAD9el2U=")</f>
        <v>#VALUE!</v>
      </c>
      <c r="CY95">
        <f>IF('STERLING CATALOG - DRY '!2028:2028,"AAAAAD9el2Y=",0)</f>
        <v>0</v>
      </c>
      <c r="CZ95" t="e">
        <f>AND('STERLING CATALOG - DRY '!A2028,"AAAAAD9el2c=")</f>
        <v>#VALUE!</v>
      </c>
      <c r="DA95" t="e">
        <f>AND('STERLING CATALOG - DRY '!B2028,"AAAAAD9el2g=")</f>
        <v>#VALUE!</v>
      </c>
      <c r="DB95" t="e">
        <f>AND('STERLING CATALOG - DRY '!C2028,"AAAAAD9el2k=")</f>
        <v>#VALUE!</v>
      </c>
      <c r="DC95" t="e">
        <f>AND('STERLING CATALOG - DRY '!D2028,"AAAAAD9el2o=")</f>
        <v>#VALUE!</v>
      </c>
      <c r="DD95" t="e">
        <f>AND('STERLING CATALOG - DRY '!E2028,"AAAAAD9el2s=")</f>
        <v>#VALUE!</v>
      </c>
      <c r="DE95" t="e">
        <f>AND('STERLING CATALOG - DRY '!F2028,"AAAAAD9el2w=")</f>
        <v>#VALUE!</v>
      </c>
      <c r="DF95" t="e">
        <f>AND('STERLING CATALOG - DRY '!G2028,"AAAAAD9el20=")</f>
        <v>#VALUE!</v>
      </c>
      <c r="DG95" t="e">
        <f>AND('STERLING CATALOG - DRY '!H2028,"AAAAAD9el24=")</f>
        <v>#VALUE!</v>
      </c>
      <c r="DH95" t="e">
        <f>AND('STERLING CATALOG - DRY '!I2028,"AAAAAD9el28=")</f>
        <v>#VALUE!</v>
      </c>
      <c r="DI95" t="e">
        <f>AND('STERLING CATALOG - DRY '!J2028,"AAAAAD9el3A=")</f>
        <v>#VALUE!</v>
      </c>
      <c r="DJ95">
        <f>IF('STERLING CATALOG - DRY '!2029:2029,"AAAAAD9el3E=",0)</f>
        <v>0</v>
      </c>
      <c r="DK95" t="e">
        <f>AND('STERLING CATALOG - DRY '!A2029,"AAAAAD9el3I=")</f>
        <v>#VALUE!</v>
      </c>
      <c r="DL95" t="e">
        <f>AND('STERLING CATALOG - DRY '!B2029,"AAAAAD9el3M=")</f>
        <v>#VALUE!</v>
      </c>
      <c r="DM95" t="e">
        <f>AND('STERLING CATALOG - DRY '!C2029,"AAAAAD9el3Q=")</f>
        <v>#VALUE!</v>
      </c>
      <c r="DN95" t="e">
        <f>AND('STERLING CATALOG - DRY '!D2029,"AAAAAD9el3U=")</f>
        <v>#VALUE!</v>
      </c>
      <c r="DO95" t="e">
        <f>AND('STERLING CATALOG - DRY '!E2029,"AAAAAD9el3Y=")</f>
        <v>#VALUE!</v>
      </c>
      <c r="DP95" t="e">
        <f>AND('STERLING CATALOG - DRY '!F2029,"AAAAAD9el3c=")</f>
        <v>#VALUE!</v>
      </c>
      <c r="DQ95" t="e">
        <f>AND('STERLING CATALOG - DRY '!G2029,"AAAAAD9el3g=")</f>
        <v>#VALUE!</v>
      </c>
      <c r="DR95" t="e">
        <f>AND('STERLING CATALOG - DRY '!H2029,"AAAAAD9el3k=")</f>
        <v>#VALUE!</v>
      </c>
      <c r="DS95" t="e">
        <f>AND('STERLING CATALOG - DRY '!I2029,"AAAAAD9el3o=")</f>
        <v>#VALUE!</v>
      </c>
      <c r="DT95" t="e">
        <f>AND('STERLING CATALOG - DRY '!J2029,"AAAAAD9el3s=")</f>
        <v>#VALUE!</v>
      </c>
      <c r="DU95">
        <f>IF('STERLING CATALOG - DRY '!2030:2030,"AAAAAD9el3w=",0)</f>
        <v>0</v>
      </c>
      <c r="DV95" t="e">
        <f>AND('STERLING CATALOG - DRY '!A2030,"AAAAAD9el30=")</f>
        <v>#VALUE!</v>
      </c>
      <c r="DW95" t="e">
        <f>AND('STERLING CATALOG - DRY '!B2030,"AAAAAD9el34=")</f>
        <v>#VALUE!</v>
      </c>
      <c r="DX95" t="e">
        <f>AND('STERLING CATALOG - DRY '!C2030,"AAAAAD9el38=")</f>
        <v>#VALUE!</v>
      </c>
      <c r="DY95" t="e">
        <f>AND('STERLING CATALOG - DRY '!D2030,"AAAAAD9el4A=")</f>
        <v>#VALUE!</v>
      </c>
      <c r="DZ95" t="e">
        <f>AND('STERLING CATALOG - DRY '!E2030,"AAAAAD9el4E=")</f>
        <v>#VALUE!</v>
      </c>
      <c r="EA95" t="e">
        <f>AND('STERLING CATALOG - DRY '!F2030,"AAAAAD9el4I=")</f>
        <v>#VALUE!</v>
      </c>
      <c r="EB95" t="e">
        <f>AND('STERLING CATALOG - DRY '!G2030,"AAAAAD9el4M=")</f>
        <v>#VALUE!</v>
      </c>
      <c r="EC95" t="e">
        <f>AND('STERLING CATALOG - DRY '!H2030,"AAAAAD9el4Q=")</f>
        <v>#VALUE!</v>
      </c>
      <c r="ED95" t="e">
        <f>AND('STERLING CATALOG - DRY '!I2030,"AAAAAD9el4U=")</f>
        <v>#VALUE!</v>
      </c>
      <c r="EE95" t="e">
        <f>AND('STERLING CATALOG - DRY '!J2030,"AAAAAD9el4Y=")</f>
        <v>#VALUE!</v>
      </c>
      <c r="EF95">
        <f>IF('STERLING CATALOG - DRY '!2031:2031,"AAAAAD9el4c=",0)</f>
        <v>0</v>
      </c>
      <c r="EG95" t="e">
        <f>AND('STERLING CATALOG - DRY '!A2031,"AAAAAD9el4g=")</f>
        <v>#VALUE!</v>
      </c>
      <c r="EH95" t="e">
        <f>AND('STERLING CATALOG - DRY '!B2031,"AAAAAD9el4k=")</f>
        <v>#VALUE!</v>
      </c>
      <c r="EI95" t="e">
        <f>AND('STERLING CATALOG - DRY '!C2031,"AAAAAD9el4o=")</f>
        <v>#VALUE!</v>
      </c>
      <c r="EJ95" t="e">
        <f>AND('STERLING CATALOG - DRY '!D2031,"AAAAAD9el4s=")</f>
        <v>#VALUE!</v>
      </c>
      <c r="EK95" t="e">
        <f>AND('STERLING CATALOG - DRY '!E2031,"AAAAAD9el4w=")</f>
        <v>#VALUE!</v>
      </c>
      <c r="EL95" t="e">
        <f>AND('STERLING CATALOG - DRY '!F2031,"AAAAAD9el40=")</f>
        <v>#VALUE!</v>
      </c>
      <c r="EM95" t="e">
        <f>AND('STERLING CATALOG - DRY '!G2031,"AAAAAD9el44=")</f>
        <v>#VALUE!</v>
      </c>
      <c r="EN95" t="e">
        <f>AND('STERLING CATALOG - DRY '!H2031,"AAAAAD9el48=")</f>
        <v>#VALUE!</v>
      </c>
      <c r="EO95" t="e">
        <f>AND('STERLING CATALOG - DRY '!I2031,"AAAAAD9el5A=")</f>
        <v>#VALUE!</v>
      </c>
      <c r="EP95" t="e">
        <f>AND('STERLING CATALOG - DRY '!J2031,"AAAAAD9el5E=")</f>
        <v>#VALUE!</v>
      </c>
      <c r="EQ95">
        <f>IF('STERLING CATALOG - DRY '!2032:2032,"AAAAAD9el5I=",0)</f>
        <v>0</v>
      </c>
      <c r="ER95" t="e">
        <f>AND('STERLING CATALOG - DRY '!A2032,"AAAAAD9el5M=")</f>
        <v>#VALUE!</v>
      </c>
      <c r="ES95" t="e">
        <f>AND('STERLING CATALOG - DRY '!B2032,"AAAAAD9el5Q=")</f>
        <v>#VALUE!</v>
      </c>
      <c r="ET95" t="e">
        <f>AND('STERLING CATALOG - DRY '!C2032,"AAAAAD9el5U=")</f>
        <v>#VALUE!</v>
      </c>
      <c r="EU95" t="e">
        <f>AND('STERLING CATALOG - DRY '!D2032,"AAAAAD9el5Y=")</f>
        <v>#VALUE!</v>
      </c>
      <c r="EV95" t="e">
        <f>AND('STERLING CATALOG - DRY '!E2032,"AAAAAD9el5c=")</f>
        <v>#VALUE!</v>
      </c>
      <c r="EW95" t="e">
        <f>AND('STERLING CATALOG - DRY '!F2032,"AAAAAD9el5g=")</f>
        <v>#VALUE!</v>
      </c>
      <c r="EX95" t="e">
        <f>AND('STERLING CATALOG - DRY '!G2032,"AAAAAD9el5k=")</f>
        <v>#VALUE!</v>
      </c>
      <c r="EY95" t="e">
        <f>AND('STERLING CATALOG - DRY '!H2032,"AAAAAD9el5o=")</f>
        <v>#VALUE!</v>
      </c>
      <c r="EZ95" t="e">
        <f>AND('STERLING CATALOG - DRY '!I2032,"AAAAAD9el5s=")</f>
        <v>#VALUE!</v>
      </c>
      <c r="FA95" t="e">
        <f>AND('STERLING CATALOG - DRY '!J2032,"AAAAAD9el5w=")</f>
        <v>#VALUE!</v>
      </c>
      <c r="FB95">
        <f>IF('STERLING CATALOG - DRY '!2033:2033,"AAAAAD9el50=",0)</f>
        <v>0</v>
      </c>
      <c r="FC95" t="e">
        <f>AND('STERLING CATALOG - DRY '!A2033,"AAAAAD9el54=")</f>
        <v>#VALUE!</v>
      </c>
      <c r="FD95" t="e">
        <f>AND('STERLING CATALOG - DRY '!B2033,"AAAAAD9el58=")</f>
        <v>#VALUE!</v>
      </c>
      <c r="FE95" t="e">
        <f>AND('STERLING CATALOG - DRY '!C2033,"AAAAAD9el6A=")</f>
        <v>#VALUE!</v>
      </c>
      <c r="FF95" t="e">
        <f>AND('STERLING CATALOG - DRY '!D2033,"AAAAAD9el6E=")</f>
        <v>#VALUE!</v>
      </c>
      <c r="FG95" t="e">
        <f>AND('STERLING CATALOG - DRY '!E2033,"AAAAAD9el6I=")</f>
        <v>#VALUE!</v>
      </c>
      <c r="FH95" t="e">
        <f>AND('STERLING CATALOG - DRY '!F2033,"AAAAAD9el6M=")</f>
        <v>#VALUE!</v>
      </c>
      <c r="FI95" t="e">
        <f>AND('STERLING CATALOG - DRY '!G2033,"AAAAAD9el6Q=")</f>
        <v>#VALUE!</v>
      </c>
      <c r="FJ95" t="e">
        <f>AND('STERLING CATALOG - DRY '!H2033,"AAAAAD9el6U=")</f>
        <v>#VALUE!</v>
      </c>
      <c r="FK95" t="e">
        <f>AND('STERLING CATALOG - DRY '!I2033,"AAAAAD9el6Y=")</f>
        <v>#VALUE!</v>
      </c>
      <c r="FL95" t="e">
        <f>AND('STERLING CATALOG - DRY '!J2033,"AAAAAD9el6c=")</f>
        <v>#VALUE!</v>
      </c>
      <c r="FM95">
        <f>IF('STERLING CATALOG - DRY '!2034:2034,"AAAAAD9el6g=",0)</f>
        <v>0</v>
      </c>
      <c r="FN95" t="e">
        <f>AND('STERLING CATALOG - DRY '!A2034,"AAAAAD9el6k=")</f>
        <v>#VALUE!</v>
      </c>
      <c r="FO95" t="e">
        <f>AND('STERLING CATALOG - DRY '!B2034,"AAAAAD9el6o=")</f>
        <v>#VALUE!</v>
      </c>
      <c r="FP95" t="e">
        <f>AND('STERLING CATALOG - DRY '!C2034,"AAAAAD9el6s=")</f>
        <v>#VALUE!</v>
      </c>
      <c r="FQ95" t="e">
        <f>AND('STERLING CATALOG - DRY '!D2034,"AAAAAD9el6w=")</f>
        <v>#VALUE!</v>
      </c>
      <c r="FR95" t="e">
        <f>AND('STERLING CATALOG - DRY '!E2034,"AAAAAD9el60=")</f>
        <v>#VALUE!</v>
      </c>
      <c r="FS95" t="e">
        <f>AND('STERLING CATALOG - DRY '!F2034,"AAAAAD9el64=")</f>
        <v>#VALUE!</v>
      </c>
      <c r="FT95" t="e">
        <f>AND('STERLING CATALOG - DRY '!G2034,"AAAAAD9el68=")</f>
        <v>#VALUE!</v>
      </c>
      <c r="FU95" t="e">
        <f>AND('STERLING CATALOG - DRY '!H2034,"AAAAAD9el7A=")</f>
        <v>#VALUE!</v>
      </c>
      <c r="FV95" t="e">
        <f>AND('STERLING CATALOG - DRY '!I2034,"AAAAAD9el7E=")</f>
        <v>#VALUE!</v>
      </c>
      <c r="FW95" t="e">
        <f>AND('STERLING CATALOG - DRY '!J2034,"AAAAAD9el7I=")</f>
        <v>#VALUE!</v>
      </c>
      <c r="FX95">
        <f>IF('STERLING CATALOG - DRY '!2035:2035,"AAAAAD9el7M=",0)</f>
        <v>0</v>
      </c>
      <c r="FY95" t="e">
        <f>AND('STERLING CATALOG - DRY '!A2035,"AAAAAD9el7Q=")</f>
        <v>#VALUE!</v>
      </c>
      <c r="FZ95" t="e">
        <f>AND('STERLING CATALOG - DRY '!B2035,"AAAAAD9el7U=")</f>
        <v>#VALUE!</v>
      </c>
      <c r="GA95" t="e">
        <f>AND('STERLING CATALOG - DRY '!C2035,"AAAAAD9el7Y=")</f>
        <v>#VALUE!</v>
      </c>
      <c r="GB95" t="e">
        <f>AND('STERLING CATALOG - DRY '!D2035,"AAAAAD9el7c=")</f>
        <v>#VALUE!</v>
      </c>
      <c r="GC95" t="e">
        <f>AND('STERLING CATALOG - DRY '!E2035,"AAAAAD9el7g=")</f>
        <v>#VALUE!</v>
      </c>
      <c r="GD95" t="e">
        <f>AND('STERLING CATALOG - DRY '!F2035,"AAAAAD9el7k=")</f>
        <v>#VALUE!</v>
      </c>
      <c r="GE95" t="e">
        <f>AND('STERLING CATALOG - DRY '!G2035,"AAAAAD9el7o=")</f>
        <v>#VALUE!</v>
      </c>
      <c r="GF95" t="e">
        <f>AND('STERLING CATALOG - DRY '!H2035,"AAAAAD9el7s=")</f>
        <v>#VALUE!</v>
      </c>
      <c r="GG95" t="e">
        <f>AND('STERLING CATALOG - DRY '!I2035,"AAAAAD9el7w=")</f>
        <v>#VALUE!</v>
      </c>
      <c r="GH95" t="e">
        <f>AND('STERLING CATALOG - DRY '!J2035,"AAAAAD9el70=")</f>
        <v>#VALUE!</v>
      </c>
      <c r="GI95">
        <f>IF('STERLING CATALOG - DRY '!2036:2036,"AAAAAD9el74=",0)</f>
        <v>0</v>
      </c>
      <c r="GJ95" t="e">
        <f>AND('STERLING CATALOG - DRY '!A2036,"AAAAAD9el78=")</f>
        <v>#VALUE!</v>
      </c>
      <c r="GK95" t="e">
        <f>AND('STERLING CATALOG - DRY '!B2036,"AAAAAD9el8A=")</f>
        <v>#VALUE!</v>
      </c>
      <c r="GL95" t="e">
        <f>AND('STERLING CATALOG - DRY '!C2036,"AAAAAD9el8E=")</f>
        <v>#VALUE!</v>
      </c>
      <c r="GM95" t="e">
        <f>AND('STERLING CATALOG - DRY '!D2036,"AAAAAD9el8I=")</f>
        <v>#VALUE!</v>
      </c>
      <c r="GN95" t="e">
        <f>AND('STERLING CATALOG - DRY '!E2036,"AAAAAD9el8M=")</f>
        <v>#VALUE!</v>
      </c>
      <c r="GO95" t="e">
        <f>AND('STERLING CATALOG - DRY '!F2036,"AAAAAD9el8Q=")</f>
        <v>#VALUE!</v>
      </c>
      <c r="GP95" t="e">
        <f>AND('STERLING CATALOG - DRY '!G2036,"AAAAAD9el8U=")</f>
        <v>#VALUE!</v>
      </c>
      <c r="GQ95" t="e">
        <f>AND('STERLING CATALOG - DRY '!H2036,"AAAAAD9el8Y=")</f>
        <v>#VALUE!</v>
      </c>
      <c r="GR95" t="e">
        <f>AND('STERLING CATALOG - DRY '!I2036,"AAAAAD9el8c=")</f>
        <v>#VALUE!</v>
      </c>
      <c r="GS95" t="e">
        <f>AND('STERLING CATALOG - DRY '!J2036,"AAAAAD9el8g=")</f>
        <v>#VALUE!</v>
      </c>
      <c r="GT95">
        <f>IF('STERLING CATALOG - DRY '!2037:2037,"AAAAAD9el8k=",0)</f>
        <v>0</v>
      </c>
      <c r="GU95" t="e">
        <f>AND('STERLING CATALOG - DRY '!A2037,"AAAAAD9el8o=")</f>
        <v>#VALUE!</v>
      </c>
      <c r="GV95" t="e">
        <f>AND('STERLING CATALOG - DRY '!B2037,"AAAAAD9el8s=")</f>
        <v>#VALUE!</v>
      </c>
      <c r="GW95" t="e">
        <f>AND('STERLING CATALOG - DRY '!C2037,"AAAAAD9el8w=")</f>
        <v>#VALUE!</v>
      </c>
      <c r="GX95" t="e">
        <f>AND('STERLING CATALOG - DRY '!D2037,"AAAAAD9el80=")</f>
        <v>#VALUE!</v>
      </c>
      <c r="GY95" t="e">
        <f>AND('STERLING CATALOG - DRY '!E2037,"AAAAAD9el84=")</f>
        <v>#VALUE!</v>
      </c>
      <c r="GZ95" t="e">
        <f>AND('STERLING CATALOG - DRY '!F2037,"AAAAAD9el88=")</f>
        <v>#VALUE!</v>
      </c>
      <c r="HA95" t="e">
        <f>AND('STERLING CATALOG - DRY '!G2037,"AAAAAD9el9A=")</f>
        <v>#VALUE!</v>
      </c>
      <c r="HB95" t="e">
        <f>AND('STERLING CATALOG - DRY '!H2037,"AAAAAD9el9E=")</f>
        <v>#VALUE!</v>
      </c>
      <c r="HC95" t="e">
        <f>AND('STERLING CATALOG - DRY '!I2037,"AAAAAD9el9I=")</f>
        <v>#VALUE!</v>
      </c>
      <c r="HD95" t="e">
        <f>AND('STERLING CATALOG - DRY '!J2037,"AAAAAD9el9M=")</f>
        <v>#VALUE!</v>
      </c>
      <c r="HE95">
        <f>IF('STERLING CATALOG - DRY '!2038:2038,"AAAAAD9el9Q=",0)</f>
        <v>0</v>
      </c>
      <c r="HF95" t="e">
        <f>AND('STERLING CATALOG - DRY '!A2038,"AAAAAD9el9U=")</f>
        <v>#VALUE!</v>
      </c>
      <c r="HG95" t="e">
        <f>AND('STERLING CATALOG - DRY '!B2038,"AAAAAD9el9Y=")</f>
        <v>#VALUE!</v>
      </c>
      <c r="HH95" t="e">
        <f>AND('STERLING CATALOG - DRY '!C2038,"AAAAAD9el9c=")</f>
        <v>#VALUE!</v>
      </c>
      <c r="HI95" t="e">
        <f>AND('STERLING CATALOG - DRY '!D2038,"AAAAAD9el9g=")</f>
        <v>#VALUE!</v>
      </c>
      <c r="HJ95" t="e">
        <f>AND('STERLING CATALOG - DRY '!E2038,"AAAAAD9el9k=")</f>
        <v>#VALUE!</v>
      </c>
      <c r="HK95" t="e">
        <f>AND('STERLING CATALOG - DRY '!F2038,"AAAAAD9el9o=")</f>
        <v>#VALUE!</v>
      </c>
      <c r="HL95" t="e">
        <f>AND('STERLING CATALOG - DRY '!G2038,"AAAAAD9el9s=")</f>
        <v>#VALUE!</v>
      </c>
      <c r="HM95" t="e">
        <f>AND('STERLING CATALOG - DRY '!H2038,"AAAAAD9el9w=")</f>
        <v>#VALUE!</v>
      </c>
      <c r="HN95" t="e">
        <f>AND('STERLING CATALOG - DRY '!I2038,"AAAAAD9el90=")</f>
        <v>#VALUE!</v>
      </c>
      <c r="HO95" t="e">
        <f>AND('STERLING CATALOG - DRY '!J2038,"AAAAAD9el94=")</f>
        <v>#VALUE!</v>
      </c>
      <c r="HP95">
        <f>IF('STERLING CATALOG - DRY '!2039:2039,"AAAAAD9el98=",0)</f>
        <v>0</v>
      </c>
      <c r="HQ95" t="e">
        <f>AND('STERLING CATALOG - DRY '!A2039,"AAAAAD9el+A=")</f>
        <v>#VALUE!</v>
      </c>
      <c r="HR95" t="e">
        <f>AND('STERLING CATALOG - DRY '!B2039,"AAAAAD9el+E=")</f>
        <v>#VALUE!</v>
      </c>
      <c r="HS95" t="e">
        <f>AND('STERLING CATALOG - DRY '!C2039,"AAAAAD9el+I=")</f>
        <v>#VALUE!</v>
      </c>
      <c r="HT95" t="e">
        <f>AND('STERLING CATALOG - DRY '!D2039,"AAAAAD9el+M=")</f>
        <v>#VALUE!</v>
      </c>
      <c r="HU95" t="e">
        <f>AND('STERLING CATALOG - DRY '!E2039,"AAAAAD9el+Q=")</f>
        <v>#VALUE!</v>
      </c>
      <c r="HV95" t="e">
        <f>AND('STERLING CATALOG - DRY '!F2039,"AAAAAD9el+U=")</f>
        <v>#VALUE!</v>
      </c>
      <c r="HW95" t="e">
        <f>AND('STERLING CATALOG - DRY '!G2039,"AAAAAD9el+Y=")</f>
        <v>#VALUE!</v>
      </c>
      <c r="HX95" t="e">
        <f>AND('STERLING CATALOG - DRY '!H2039,"AAAAAD9el+c=")</f>
        <v>#VALUE!</v>
      </c>
      <c r="HY95" t="e">
        <f>AND('STERLING CATALOG - DRY '!I2039,"AAAAAD9el+g=")</f>
        <v>#VALUE!</v>
      </c>
      <c r="HZ95" t="e">
        <f>AND('STERLING CATALOG - DRY '!J2039,"AAAAAD9el+k=")</f>
        <v>#VALUE!</v>
      </c>
      <c r="IA95">
        <f>IF('STERLING CATALOG - DRY '!2040:2040,"AAAAAD9el+o=",0)</f>
        <v>0</v>
      </c>
      <c r="IB95" t="e">
        <f>AND('STERLING CATALOG - DRY '!A2040,"AAAAAD9el+s=")</f>
        <v>#VALUE!</v>
      </c>
      <c r="IC95" t="e">
        <f>AND('STERLING CATALOG - DRY '!B2040,"AAAAAD9el+w=")</f>
        <v>#VALUE!</v>
      </c>
      <c r="ID95" t="e">
        <f>AND('STERLING CATALOG - DRY '!C2040,"AAAAAD9el+0=")</f>
        <v>#VALUE!</v>
      </c>
      <c r="IE95" t="e">
        <f>AND('STERLING CATALOG - DRY '!D2040,"AAAAAD9el+4=")</f>
        <v>#VALUE!</v>
      </c>
      <c r="IF95" t="e">
        <f>AND('STERLING CATALOG - DRY '!E2040,"AAAAAD9el+8=")</f>
        <v>#VALUE!</v>
      </c>
      <c r="IG95" t="e">
        <f>AND('STERLING CATALOG - DRY '!F2040,"AAAAAD9el/A=")</f>
        <v>#VALUE!</v>
      </c>
      <c r="IH95" t="e">
        <f>AND('STERLING CATALOG - DRY '!G2040,"AAAAAD9el/E=")</f>
        <v>#VALUE!</v>
      </c>
      <c r="II95" t="e">
        <f>AND('STERLING CATALOG - DRY '!H2040,"AAAAAD9el/I=")</f>
        <v>#VALUE!</v>
      </c>
      <c r="IJ95" t="e">
        <f>AND('STERLING CATALOG - DRY '!I2040,"AAAAAD9el/M=")</f>
        <v>#VALUE!</v>
      </c>
      <c r="IK95" t="e">
        <f>AND('STERLING CATALOG - DRY '!J2040,"AAAAAD9el/Q=")</f>
        <v>#VALUE!</v>
      </c>
      <c r="IL95">
        <f>IF('STERLING CATALOG - DRY '!2041:2041,"AAAAAD9el/U=",0)</f>
        <v>0</v>
      </c>
      <c r="IM95" t="e">
        <f>AND('STERLING CATALOG - DRY '!A2041,"AAAAAD9el/Y=")</f>
        <v>#VALUE!</v>
      </c>
      <c r="IN95" t="e">
        <f>AND('STERLING CATALOG - DRY '!B2041,"AAAAAD9el/c=")</f>
        <v>#VALUE!</v>
      </c>
      <c r="IO95" t="e">
        <f>AND('STERLING CATALOG - DRY '!C2041,"AAAAAD9el/g=")</f>
        <v>#VALUE!</v>
      </c>
      <c r="IP95" t="e">
        <f>AND('STERLING CATALOG - DRY '!D2041,"AAAAAD9el/k=")</f>
        <v>#VALUE!</v>
      </c>
      <c r="IQ95" t="e">
        <f>AND('STERLING CATALOG - DRY '!E2041,"AAAAAD9el/o=")</f>
        <v>#VALUE!</v>
      </c>
      <c r="IR95" t="e">
        <f>AND('STERLING CATALOG - DRY '!F2041,"AAAAAD9el/s=")</f>
        <v>#VALUE!</v>
      </c>
      <c r="IS95" t="e">
        <f>AND('STERLING CATALOG - DRY '!G2041,"AAAAAD9el/w=")</f>
        <v>#VALUE!</v>
      </c>
      <c r="IT95" t="e">
        <f>AND('STERLING CATALOG - DRY '!H2041,"AAAAAD9el/0=")</f>
        <v>#VALUE!</v>
      </c>
      <c r="IU95" t="e">
        <f>AND('STERLING CATALOG - DRY '!I2041,"AAAAAD9el/4=")</f>
        <v>#VALUE!</v>
      </c>
      <c r="IV95" t="e">
        <f>AND('STERLING CATALOG - DRY '!J2041,"AAAAAD9el/8=")</f>
        <v>#VALUE!</v>
      </c>
    </row>
    <row r="96" spans="1:256">
      <c r="A96" t="str">
        <f>IF('STERLING CATALOG - DRY '!2042:2042,"AAAAAH+z1gA=",0)</f>
        <v>AAAAAH+z1gA=</v>
      </c>
      <c r="B96" t="e">
        <f>AND('STERLING CATALOG - DRY '!A2042,"AAAAAH+z1gE=")</f>
        <v>#VALUE!</v>
      </c>
      <c r="C96" t="e">
        <f>AND('STERLING CATALOG - DRY '!B2042,"AAAAAH+z1gI=")</f>
        <v>#VALUE!</v>
      </c>
      <c r="D96" t="e">
        <f>AND('STERLING CATALOG - DRY '!C2042,"AAAAAH+z1gM=")</f>
        <v>#VALUE!</v>
      </c>
      <c r="E96" t="e">
        <f>AND('STERLING CATALOG - DRY '!D2042,"AAAAAH+z1gQ=")</f>
        <v>#VALUE!</v>
      </c>
      <c r="F96" t="e">
        <f>AND('STERLING CATALOG - DRY '!E2042,"AAAAAH+z1gU=")</f>
        <v>#VALUE!</v>
      </c>
      <c r="G96" t="e">
        <f>AND('STERLING CATALOG - DRY '!F2042,"AAAAAH+z1gY=")</f>
        <v>#VALUE!</v>
      </c>
      <c r="H96" t="e">
        <f>AND('STERLING CATALOG - DRY '!G2042,"AAAAAH+z1gc=")</f>
        <v>#VALUE!</v>
      </c>
      <c r="I96" t="e">
        <f>AND('STERLING CATALOG - DRY '!H2042,"AAAAAH+z1gg=")</f>
        <v>#VALUE!</v>
      </c>
      <c r="J96" t="e">
        <f>AND('STERLING CATALOG - DRY '!I2042,"AAAAAH+z1gk=")</f>
        <v>#VALUE!</v>
      </c>
      <c r="K96" t="e">
        <f>AND('STERLING CATALOG - DRY '!J2042,"AAAAAH+z1go=")</f>
        <v>#VALUE!</v>
      </c>
      <c r="L96">
        <f>IF('STERLING CATALOG - DRY '!2043:2043,"AAAAAH+z1gs=",0)</f>
        <v>0</v>
      </c>
      <c r="M96" t="e">
        <f>AND('STERLING CATALOG - DRY '!A2043,"AAAAAH+z1gw=")</f>
        <v>#VALUE!</v>
      </c>
      <c r="N96" t="e">
        <f>AND('STERLING CATALOG - DRY '!B2043,"AAAAAH+z1g0=")</f>
        <v>#VALUE!</v>
      </c>
      <c r="O96" t="e">
        <f>AND('STERLING CATALOG - DRY '!C2043,"AAAAAH+z1g4=")</f>
        <v>#VALUE!</v>
      </c>
      <c r="P96" t="e">
        <f>AND('STERLING CATALOG - DRY '!D2043,"AAAAAH+z1g8=")</f>
        <v>#VALUE!</v>
      </c>
      <c r="Q96" t="e">
        <f>AND('STERLING CATALOG - DRY '!E2043,"AAAAAH+z1hA=")</f>
        <v>#VALUE!</v>
      </c>
      <c r="R96" t="e">
        <f>AND('STERLING CATALOG - DRY '!F2043,"AAAAAH+z1hE=")</f>
        <v>#VALUE!</v>
      </c>
      <c r="S96" t="e">
        <f>AND('STERLING CATALOG - DRY '!G2043,"AAAAAH+z1hI=")</f>
        <v>#VALUE!</v>
      </c>
      <c r="T96" t="e">
        <f>AND('STERLING CATALOG - DRY '!H2043,"AAAAAH+z1hM=")</f>
        <v>#VALUE!</v>
      </c>
      <c r="U96" t="e">
        <f>AND('STERLING CATALOG - DRY '!I2043,"AAAAAH+z1hQ=")</f>
        <v>#VALUE!</v>
      </c>
      <c r="V96" t="e">
        <f>AND('STERLING CATALOG - DRY '!J2043,"AAAAAH+z1hU=")</f>
        <v>#VALUE!</v>
      </c>
      <c r="W96">
        <f>IF('STERLING CATALOG - DRY '!2044:2044,"AAAAAH+z1hY=",0)</f>
        <v>0</v>
      </c>
      <c r="X96" t="e">
        <f>AND('STERLING CATALOG - DRY '!A2044,"AAAAAH+z1hc=")</f>
        <v>#VALUE!</v>
      </c>
      <c r="Y96" t="e">
        <f>AND('STERLING CATALOG - DRY '!B2044,"AAAAAH+z1hg=")</f>
        <v>#VALUE!</v>
      </c>
      <c r="Z96" t="e">
        <f>AND('STERLING CATALOG - DRY '!C2044,"AAAAAH+z1hk=")</f>
        <v>#VALUE!</v>
      </c>
      <c r="AA96" t="e">
        <f>AND('STERLING CATALOG - DRY '!D2044,"AAAAAH+z1ho=")</f>
        <v>#VALUE!</v>
      </c>
      <c r="AB96" t="e">
        <f>AND('STERLING CATALOG - DRY '!E2044,"AAAAAH+z1hs=")</f>
        <v>#VALUE!</v>
      </c>
      <c r="AC96" t="e">
        <f>AND('STERLING CATALOG - DRY '!F2044,"AAAAAH+z1hw=")</f>
        <v>#VALUE!</v>
      </c>
      <c r="AD96" t="e">
        <f>AND('STERLING CATALOG - DRY '!G2044,"AAAAAH+z1h0=")</f>
        <v>#VALUE!</v>
      </c>
      <c r="AE96" t="e">
        <f>AND('STERLING CATALOG - DRY '!H2044,"AAAAAH+z1h4=")</f>
        <v>#VALUE!</v>
      </c>
      <c r="AF96" t="e">
        <f>AND('STERLING CATALOG - DRY '!I2044,"AAAAAH+z1h8=")</f>
        <v>#VALUE!</v>
      </c>
      <c r="AG96" t="e">
        <f>AND('STERLING CATALOG - DRY '!J2044,"AAAAAH+z1iA=")</f>
        <v>#VALUE!</v>
      </c>
      <c r="AH96">
        <f>IF('STERLING CATALOG - DRY '!2045:2045,"AAAAAH+z1iE=",0)</f>
        <v>0</v>
      </c>
      <c r="AI96" t="e">
        <f>AND('STERLING CATALOG - DRY '!A2045,"AAAAAH+z1iI=")</f>
        <v>#VALUE!</v>
      </c>
      <c r="AJ96" t="e">
        <f>AND('STERLING CATALOG - DRY '!B2045,"AAAAAH+z1iM=")</f>
        <v>#VALUE!</v>
      </c>
      <c r="AK96" t="e">
        <f>AND('STERLING CATALOG - DRY '!C2045,"AAAAAH+z1iQ=")</f>
        <v>#VALUE!</v>
      </c>
      <c r="AL96" t="e">
        <f>AND('STERLING CATALOG - DRY '!D2045,"AAAAAH+z1iU=")</f>
        <v>#VALUE!</v>
      </c>
      <c r="AM96" t="e">
        <f>AND('STERLING CATALOG - DRY '!E2045,"AAAAAH+z1iY=")</f>
        <v>#VALUE!</v>
      </c>
      <c r="AN96" t="e">
        <f>AND('STERLING CATALOG - DRY '!F2045,"AAAAAH+z1ic=")</f>
        <v>#VALUE!</v>
      </c>
      <c r="AO96" t="e">
        <f>AND('STERLING CATALOG - DRY '!G2045,"AAAAAH+z1ig=")</f>
        <v>#VALUE!</v>
      </c>
      <c r="AP96" t="e">
        <f>AND('STERLING CATALOG - DRY '!H2045,"AAAAAH+z1ik=")</f>
        <v>#VALUE!</v>
      </c>
      <c r="AQ96" t="e">
        <f>AND('STERLING CATALOG - DRY '!I2045,"AAAAAH+z1io=")</f>
        <v>#VALUE!</v>
      </c>
      <c r="AR96" t="e">
        <f>AND('STERLING CATALOG - DRY '!J2045,"AAAAAH+z1is=")</f>
        <v>#VALUE!</v>
      </c>
      <c r="AS96">
        <f>IF('STERLING CATALOG - DRY '!2046:2046,"AAAAAH+z1iw=",0)</f>
        <v>0</v>
      </c>
      <c r="AT96" t="e">
        <f>AND('STERLING CATALOG - DRY '!A2046,"AAAAAH+z1i0=")</f>
        <v>#VALUE!</v>
      </c>
      <c r="AU96" t="e">
        <f>AND('STERLING CATALOG - DRY '!B2046,"AAAAAH+z1i4=")</f>
        <v>#VALUE!</v>
      </c>
      <c r="AV96" t="e">
        <f>AND('STERLING CATALOG - DRY '!C2046,"AAAAAH+z1i8=")</f>
        <v>#VALUE!</v>
      </c>
      <c r="AW96" t="e">
        <f>AND('STERLING CATALOG - DRY '!D2046,"AAAAAH+z1jA=")</f>
        <v>#VALUE!</v>
      </c>
      <c r="AX96" t="e">
        <f>AND('STERLING CATALOG - DRY '!E2046,"AAAAAH+z1jE=")</f>
        <v>#VALUE!</v>
      </c>
      <c r="AY96" t="e">
        <f>AND('STERLING CATALOG - DRY '!F2046,"AAAAAH+z1jI=")</f>
        <v>#VALUE!</v>
      </c>
      <c r="AZ96" t="e">
        <f>AND('STERLING CATALOG - DRY '!G2046,"AAAAAH+z1jM=")</f>
        <v>#VALUE!</v>
      </c>
      <c r="BA96" t="e">
        <f>AND('STERLING CATALOG - DRY '!H2046,"AAAAAH+z1jQ=")</f>
        <v>#VALUE!</v>
      </c>
      <c r="BB96" t="e">
        <f>AND('STERLING CATALOG - DRY '!I2046,"AAAAAH+z1jU=")</f>
        <v>#VALUE!</v>
      </c>
      <c r="BC96" t="e">
        <f>AND('STERLING CATALOG - DRY '!J2046,"AAAAAH+z1jY=")</f>
        <v>#VALUE!</v>
      </c>
      <c r="BD96">
        <f>IF('STERLING CATALOG - DRY '!2047:2047,"AAAAAH+z1jc=",0)</f>
        <v>0</v>
      </c>
      <c r="BE96" t="e">
        <f>AND('STERLING CATALOG - DRY '!A2047,"AAAAAH+z1jg=")</f>
        <v>#VALUE!</v>
      </c>
      <c r="BF96" t="e">
        <f>AND('STERLING CATALOG - DRY '!B2047,"AAAAAH+z1jk=")</f>
        <v>#VALUE!</v>
      </c>
      <c r="BG96" t="e">
        <f>AND('STERLING CATALOG - DRY '!C2047,"AAAAAH+z1jo=")</f>
        <v>#VALUE!</v>
      </c>
      <c r="BH96" t="e">
        <f>AND('STERLING CATALOG - DRY '!D2047,"AAAAAH+z1js=")</f>
        <v>#VALUE!</v>
      </c>
      <c r="BI96" t="e">
        <f>AND('STERLING CATALOG - DRY '!E2047,"AAAAAH+z1jw=")</f>
        <v>#VALUE!</v>
      </c>
      <c r="BJ96" t="e">
        <f>AND('STERLING CATALOG - DRY '!F2047,"AAAAAH+z1j0=")</f>
        <v>#VALUE!</v>
      </c>
      <c r="BK96" t="e">
        <f>AND('STERLING CATALOG - DRY '!G2047,"AAAAAH+z1j4=")</f>
        <v>#VALUE!</v>
      </c>
      <c r="BL96" t="e">
        <f>AND('STERLING CATALOG - DRY '!H2047,"AAAAAH+z1j8=")</f>
        <v>#VALUE!</v>
      </c>
      <c r="BM96" t="e">
        <f>AND('STERLING CATALOG - DRY '!I2047,"AAAAAH+z1kA=")</f>
        <v>#VALUE!</v>
      </c>
      <c r="BN96" t="e">
        <f>AND('STERLING CATALOG - DRY '!J2047,"AAAAAH+z1kE=")</f>
        <v>#VALUE!</v>
      </c>
      <c r="BO96">
        <f>IF('STERLING CATALOG - DRY '!2048:2048,"AAAAAH+z1kI=",0)</f>
        <v>0</v>
      </c>
      <c r="BP96" t="e">
        <f>AND('STERLING CATALOG - DRY '!A2048,"AAAAAH+z1kM=")</f>
        <v>#VALUE!</v>
      </c>
      <c r="BQ96" t="e">
        <f>AND('STERLING CATALOG - DRY '!B2048,"AAAAAH+z1kQ=")</f>
        <v>#VALUE!</v>
      </c>
      <c r="BR96" t="e">
        <f>AND('STERLING CATALOG - DRY '!C2048,"AAAAAH+z1kU=")</f>
        <v>#VALUE!</v>
      </c>
      <c r="BS96" t="e">
        <f>AND('STERLING CATALOG - DRY '!D2048,"AAAAAH+z1kY=")</f>
        <v>#VALUE!</v>
      </c>
      <c r="BT96" t="e">
        <f>AND('STERLING CATALOG - DRY '!E2048,"AAAAAH+z1kc=")</f>
        <v>#VALUE!</v>
      </c>
      <c r="BU96" t="e">
        <f>AND('STERLING CATALOG - DRY '!F2048,"AAAAAH+z1kg=")</f>
        <v>#VALUE!</v>
      </c>
      <c r="BV96" t="e">
        <f>AND('STERLING CATALOG - DRY '!G2048,"AAAAAH+z1kk=")</f>
        <v>#VALUE!</v>
      </c>
      <c r="BW96" t="e">
        <f>AND('STERLING CATALOG - DRY '!H2048,"AAAAAH+z1ko=")</f>
        <v>#VALUE!</v>
      </c>
      <c r="BX96" t="e">
        <f>AND('STERLING CATALOG - DRY '!I2048,"AAAAAH+z1ks=")</f>
        <v>#VALUE!</v>
      </c>
      <c r="BY96" t="e">
        <f>AND('STERLING CATALOG - DRY '!J2048,"AAAAAH+z1kw=")</f>
        <v>#VALUE!</v>
      </c>
      <c r="BZ96">
        <f>IF('STERLING CATALOG - DRY '!2049:2049,"AAAAAH+z1k0=",0)</f>
        <v>0</v>
      </c>
      <c r="CA96" t="e">
        <f>AND('STERLING CATALOG - DRY '!A2049,"AAAAAH+z1k4=")</f>
        <v>#VALUE!</v>
      </c>
      <c r="CB96" t="e">
        <f>AND('STERLING CATALOG - DRY '!B2049,"AAAAAH+z1k8=")</f>
        <v>#VALUE!</v>
      </c>
      <c r="CC96" t="e">
        <f>AND('STERLING CATALOG - DRY '!C2049,"AAAAAH+z1lA=")</f>
        <v>#VALUE!</v>
      </c>
      <c r="CD96" t="e">
        <f>AND('STERLING CATALOG - DRY '!D2049,"AAAAAH+z1lE=")</f>
        <v>#VALUE!</v>
      </c>
      <c r="CE96" t="e">
        <f>AND('STERLING CATALOG - DRY '!E2049,"AAAAAH+z1lI=")</f>
        <v>#VALUE!</v>
      </c>
      <c r="CF96" t="e">
        <f>AND('STERLING CATALOG - DRY '!F2049,"AAAAAH+z1lM=")</f>
        <v>#VALUE!</v>
      </c>
      <c r="CG96" t="e">
        <f>AND('STERLING CATALOG - DRY '!G2049,"AAAAAH+z1lQ=")</f>
        <v>#VALUE!</v>
      </c>
      <c r="CH96" t="e">
        <f>AND('STERLING CATALOG - DRY '!H2049,"AAAAAH+z1lU=")</f>
        <v>#VALUE!</v>
      </c>
      <c r="CI96" t="e">
        <f>AND('STERLING CATALOG - DRY '!I2049,"AAAAAH+z1lY=")</f>
        <v>#VALUE!</v>
      </c>
      <c r="CJ96" t="e">
        <f>AND('STERLING CATALOG - DRY '!J2049,"AAAAAH+z1lc=")</f>
        <v>#VALUE!</v>
      </c>
      <c r="CK96">
        <f>IF('STERLING CATALOG - DRY '!2050:2050,"AAAAAH+z1lg=",0)</f>
        <v>0</v>
      </c>
      <c r="CL96" t="e">
        <f>AND('STERLING CATALOG - DRY '!A2050,"AAAAAH+z1lk=")</f>
        <v>#VALUE!</v>
      </c>
      <c r="CM96" t="e">
        <f>AND('STERLING CATALOG - DRY '!B2050,"AAAAAH+z1lo=")</f>
        <v>#VALUE!</v>
      </c>
      <c r="CN96" t="e">
        <f>AND('STERLING CATALOG - DRY '!C2050,"AAAAAH+z1ls=")</f>
        <v>#VALUE!</v>
      </c>
      <c r="CO96" t="e">
        <f>AND('STERLING CATALOG - DRY '!D2050,"AAAAAH+z1lw=")</f>
        <v>#VALUE!</v>
      </c>
      <c r="CP96" t="e">
        <f>AND('STERLING CATALOG - DRY '!E2050,"AAAAAH+z1l0=")</f>
        <v>#VALUE!</v>
      </c>
      <c r="CQ96" t="e">
        <f>AND('STERLING CATALOG - DRY '!F2050,"AAAAAH+z1l4=")</f>
        <v>#VALUE!</v>
      </c>
      <c r="CR96" t="e">
        <f>AND('STERLING CATALOG - DRY '!G2050,"AAAAAH+z1l8=")</f>
        <v>#VALUE!</v>
      </c>
      <c r="CS96" t="e">
        <f>AND('STERLING CATALOG - DRY '!H2050,"AAAAAH+z1mA=")</f>
        <v>#VALUE!</v>
      </c>
      <c r="CT96" t="e">
        <f>AND('STERLING CATALOG - DRY '!I2050,"AAAAAH+z1mE=")</f>
        <v>#VALUE!</v>
      </c>
      <c r="CU96" t="e">
        <f>AND('STERLING CATALOG - DRY '!J2050,"AAAAAH+z1mI=")</f>
        <v>#VALUE!</v>
      </c>
      <c r="CV96">
        <f>IF('STERLING CATALOG - DRY '!2051:2051,"AAAAAH+z1mM=",0)</f>
        <v>0</v>
      </c>
      <c r="CW96" t="e">
        <f>AND('STERLING CATALOG - DRY '!A2051,"AAAAAH+z1mQ=")</f>
        <v>#VALUE!</v>
      </c>
      <c r="CX96" t="e">
        <f>AND('STERLING CATALOG - DRY '!B2051,"AAAAAH+z1mU=")</f>
        <v>#VALUE!</v>
      </c>
      <c r="CY96" t="e">
        <f>AND('STERLING CATALOG - DRY '!C2051,"AAAAAH+z1mY=")</f>
        <v>#VALUE!</v>
      </c>
      <c r="CZ96" t="e">
        <f>AND('STERLING CATALOG - DRY '!D2051,"AAAAAH+z1mc=")</f>
        <v>#VALUE!</v>
      </c>
      <c r="DA96" t="e">
        <f>AND('STERLING CATALOG - DRY '!E2051,"AAAAAH+z1mg=")</f>
        <v>#VALUE!</v>
      </c>
      <c r="DB96" t="e">
        <f>AND('STERLING CATALOG - DRY '!F2051,"AAAAAH+z1mk=")</f>
        <v>#VALUE!</v>
      </c>
      <c r="DC96" t="e">
        <f>AND('STERLING CATALOG - DRY '!G2051,"AAAAAH+z1mo=")</f>
        <v>#VALUE!</v>
      </c>
      <c r="DD96" t="e">
        <f>AND('STERLING CATALOG - DRY '!H2051,"AAAAAH+z1ms=")</f>
        <v>#VALUE!</v>
      </c>
      <c r="DE96" t="e">
        <f>AND('STERLING CATALOG - DRY '!I2051,"AAAAAH+z1mw=")</f>
        <v>#VALUE!</v>
      </c>
      <c r="DF96" t="e">
        <f>AND('STERLING CATALOG - DRY '!J2051,"AAAAAH+z1m0=")</f>
        <v>#VALUE!</v>
      </c>
      <c r="DG96">
        <f>IF('STERLING CATALOG - DRY '!2052:2052,"AAAAAH+z1m4=",0)</f>
        <v>0</v>
      </c>
      <c r="DH96" t="e">
        <f>AND('STERLING CATALOG - DRY '!A2052,"AAAAAH+z1m8=")</f>
        <v>#VALUE!</v>
      </c>
      <c r="DI96" t="e">
        <f>AND('STERLING CATALOG - DRY '!B2052,"AAAAAH+z1nA=")</f>
        <v>#VALUE!</v>
      </c>
      <c r="DJ96" t="e">
        <f>AND('STERLING CATALOG - DRY '!C2052,"AAAAAH+z1nE=")</f>
        <v>#VALUE!</v>
      </c>
      <c r="DK96" t="e">
        <f>AND('STERLING CATALOG - DRY '!D2052,"AAAAAH+z1nI=")</f>
        <v>#VALUE!</v>
      </c>
      <c r="DL96" t="e">
        <f>AND('STERLING CATALOG - DRY '!E2052,"AAAAAH+z1nM=")</f>
        <v>#VALUE!</v>
      </c>
      <c r="DM96" t="e">
        <f>AND('STERLING CATALOG - DRY '!F2052,"AAAAAH+z1nQ=")</f>
        <v>#VALUE!</v>
      </c>
      <c r="DN96" t="e">
        <f>AND('STERLING CATALOG - DRY '!G2052,"AAAAAH+z1nU=")</f>
        <v>#VALUE!</v>
      </c>
      <c r="DO96" t="e">
        <f>AND('STERLING CATALOG - DRY '!H2052,"AAAAAH+z1nY=")</f>
        <v>#VALUE!</v>
      </c>
      <c r="DP96" t="e">
        <f>AND('STERLING CATALOG - DRY '!I2052,"AAAAAH+z1nc=")</f>
        <v>#VALUE!</v>
      </c>
      <c r="DQ96" t="e">
        <f>AND('STERLING CATALOG - DRY '!J2052,"AAAAAH+z1ng=")</f>
        <v>#VALUE!</v>
      </c>
      <c r="DR96">
        <f>IF('STERLING CATALOG - DRY '!2053:2053,"AAAAAH+z1nk=",0)</f>
        <v>0</v>
      </c>
      <c r="DS96" t="e">
        <f>AND('STERLING CATALOG - DRY '!A2053,"AAAAAH+z1no=")</f>
        <v>#VALUE!</v>
      </c>
      <c r="DT96" t="e">
        <f>AND('STERLING CATALOG - DRY '!B2053,"AAAAAH+z1ns=")</f>
        <v>#VALUE!</v>
      </c>
      <c r="DU96" t="e">
        <f>AND('STERLING CATALOG - DRY '!C2053,"AAAAAH+z1nw=")</f>
        <v>#VALUE!</v>
      </c>
      <c r="DV96" t="e">
        <f>AND('STERLING CATALOG - DRY '!D2053,"AAAAAH+z1n0=")</f>
        <v>#VALUE!</v>
      </c>
      <c r="DW96" t="e">
        <f>AND('STERLING CATALOG - DRY '!E2053,"AAAAAH+z1n4=")</f>
        <v>#VALUE!</v>
      </c>
      <c r="DX96" t="e">
        <f>AND('STERLING CATALOG - DRY '!F2053,"AAAAAH+z1n8=")</f>
        <v>#VALUE!</v>
      </c>
      <c r="DY96" t="e">
        <f>AND('STERLING CATALOG - DRY '!G2053,"AAAAAH+z1oA=")</f>
        <v>#VALUE!</v>
      </c>
      <c r="DZ96" t="e">
        <f>AND('STERLING CATALOG - DRY '!H2053,"AAAAAH+z1oE=")</f>
        <v>#VALUE!</v>
      </c>
      <c r="EA96" t="e">
        <f>AND('STERLING CATALOG - DRY '!I2053,"AAAAAH+z1oI=")</f>
        <v>#VALUE!</v>
      </c>
      <c r="EB96" t="e">
        <f>AND('STERLING CATALOG - DRY '!J2053,"AAAAAH+z1oM=")</f>
        <v>#VALUE!</v>
      </c>
      <c r="EC96">
        <f>IF('STERLING CATALOG - DRY '!2054:2054,"AAAAAH+z1oQ=",0)</f>
        <v>0</v>
      </c>
      <c r="ED96" t="e">
        <f>AND('STERLING CATALOG - DRY '!A2054,"AAAAAH+z1oU=")</f>
        <v>#VALUE!</v>
      </c>
      <c r="EE96" t="e">
        <f>AND('STERLING CATALOG - DRY '!B2054,"AAAAAH+z1oY=")</f>
        <v>#VALUE!</v>
      </c>
      <c r="EF96" t="e">
        <f>AND('STERLING CATALOG - DRY '!C2054,"AAAAAH+z1oc=")</f>
        <v>#VALUE!</v>
      </c>
      <c r="EG96" t="e">
        <f>AND('STERLING CATALOG - DRY '!D2054,"AAAAAH+z1og=")</f>
        <v>#VALUE!</v>
      </c>
      <c r="EH96" t="e">
        <f>AND('STERLING CATALOG - DRY '!E2054,"AAAAAH+z1ok=")</f>
        <v>#VALUE!</v>
      </c>
      <c r="EI96" t="e">
        <f>AND('STERLING CATALOG - DRY '!F2054,"AAAAAH+z1oo=")</f>
        <v>#VALUE!</v>
      </c>
      <c r="EJ96" t="e">
        <f>AND('STERLING CATALOG - DRY '!G2054,"AAAAAH+z1os=")</f>
        <v>#VALUE!</v>
      </c>
      <c r="EK96" t="e">
        <f>AND('STERLING CATALOG - DRY '!H2054,"AAAAAH+z1ow=")</f>
        <v>#VALUE!</v>
      </c>
      <c r="EL96" t="e">
        <f>AND('STERLING CATALOG - DRY '!I2054,"AAAAAH+z1o0=")</f>
        <v>#VALUE!</v>
      </c>
      <c r="EM96" t="e">
        <f>AND('STERLING CATALOG - DRY '!J2054,"AAAAAH+z1o4=")</f>
        <v>#VALUE!</v>
      </c>
      <c r="EN96">
        <f>IF('STERLING CATALOG - DRY '!2055:2055,"AAAAAH+z1o8=",0)</f>
        <v>0</v>
      </c>
      <c r="EO96" t="e">
        <f>AND('STERLING CATALOG - DRY '!A2055,"AAAAAH+z1pA=")</f>
        <v>#VALUE!</v>
      </c>
      <c r="EP96" t="e">
        <f>AND('STERLING CATALOG - DRY '!B2055,"AAAAAH+z1pE=")</f>
        <v>#VALUE!</v>
      </c>
      <c r="EQ96" t="e">
        <f>AND('STERLING CATALOG - DRY '!C2055,"AAAAAH+z1pI=")</f>
        <v>#VALUE!</v>
      </c>
      <c r="ER96" t="e">
        <f>AND('STERLING CATALOG - DRY '!D2055,"AAAAAH+z1pM=")</f>
        <v>#VALUE!</v>
      </c>
      <c r="ES96" t="e">
        <f>AND('STERLING CATALOG - DRY '!E2055,"AAAAAH+z1pQ=")</f>
        <v>#VALUE!</v>
      </c>
      <c r="ET96" t="e">
        <f>AND('STERLING CATALOG - DRY '!F2055,"AAAAAH+z1pU=")</f>
        <v>#VALUE!</v>
      </c>
      <c r="EU96" t="e">
        <f>AND('STERLING CATALOG - DRY '!G2055,"AAAAAH+z1pY=")</f>
        <v>#VALUE!</v>
      </c>
      <c r="EV96" t="e">
        <f>AND('STERLING CATALOG - DRY '!H2055,"AAAAAH+z1pc=")</f>
        <v>#VALUE!</v>
      </c>
      <c r="EW96" t="e">
        <f>AND('STERLING CATALOG - DRY '!I2055,"AAAAAH+z1pg=")</f>
        <v>#VALUE!</v>
      </c>
      <c r="EX96" t="e">
        <f>AND('STERLING CATALOG - DRY '!J2055,"AAAAAH+z1pk=")</f>
        <v>#VALUE!</v>
      </c>
      <c r="EY96">
        <f>IF('STERLING CATALOG - DRY '!2056:2056,"AAAAAH+z1po=",0)</f>
        <v>0</v>
      </c>
      <c r="EZ96" t="e">
        <f>AND('STERLING CATALOG - DRY '!A2056,"AAAAAH+z1ps=")</f>
        <v>#VALUE!</v>
      </c>
      <c r="FA96" t="e">
        <f>AND('STERLING CATALOG - DRY '!B2056,"AAAAAH+z1pw=")</f>
        <v>#VALUE!</v>
      </c>
      <c r="FB96" t="e">
        <f>AND('STERLING CATALOG - DRY '!C2056,"AAAAAH+z1p0=")</f>
        <v>#VALUE!</v>
      </c>
      <c r="FC96" t="e">
        <f>AND('STERLING CATALOG - DRY '!D2056,"AAAAAH+z1p4=")</f>
        <v>#VALUE!</v>
      </c>
      <c r="FD96" t="e">
        <f>AND('STERLING CATALOG - DRY '!E2056,"AAAAAH+z1p8=")</f>
        <v>#VALUE!</v>
      </c>
      <c r="FE96" t="e">
        <f>AND('STERLING CATALOG - DRY '!F2056,"AAAAAH+z1qA=")</f>
        <v>#VALUE!</v>
      </c>
      <c r="FF96" t="e">
        <f>AND('STERLING CATALOG - DRY '!G2056,"AAAAAH+z1qE=")</f>
        <v>#VALUE!</v>
      </c>
      <c r="FG96" t="e">
        <f>AND('STERLING CATALOG - DRY '!H2056,"AAAAAH+z1qI=")</f>
        <v>#VALUE!</v>
      </c>
      <c r="FH96" t="e">
        <f>AND('STERLING CATALOG - DRY '!I2056,"AAAAAH+z1qM=")</f>
        <v>#VALUE!</v>
      </c>
      <c r="FI96" t="e">
        <f>AND('STERLING CATALOG - DRY '!J2056,"AAAAAH+z1qQ=")</f>
        <v>#VALUE!</v>
      </c>
      <c r="FJ96">
        <f>IF('STERLING CATALOG - DRY '!2057:2057,"AAAAAH+z1qU=",0)</f>
        <v>0</v>
      </c>
      <c r="FK96" t="e">
        <f>AND('STERLING CATALOG - DRY '!A2057,"AAAAAH+z1qY=")</f>
        <v>#VALUE!</v>
      </c>
      <c r="FL96" t="e">
        <f>AND('STERLING CATALOG - DRY '!B2057,"AAAAAH+z1qc=")</f>
        <v>#VALUE!</v>
      </c>
      <c r="FM96" t="e">
        <f>AND('STERLING CATALOG - DRY '!C2057,"AAAAAH+z1qg=")</f>
        <v>#VALUE!</v>
      </c>
      <c r="FN96" t="e">
        <f>AND('STERLING CATALOG - DRY '!D2057,"AAAAAH+z1qk=")</f>
        <v>#VALUE!</v>
      </c>
      <c r="FO96" t="e">
        <f>AND('STERLING CATALOG - DRY '!E2057,"AAAAAH+z1qo=")</f>
        <v>#VALUE!</v>
      </c>
      <c r="FP96" t="e">
        <f>AND('STERLING CATALOG - DRY '!F2057,"AAAAAH+z1qs=")</f>
        <v>#VALUE!</v>
      </c>
      <c r="FQ96" t="e">
        <f>AND('STERLING CATALOG - DRY '!G2057,"AAAAAH+z1qw=")</f>
        <v>#VALUE!</v>
      </c>
      <c r="FR96" t="e">
        <f>AND('STERLING CATALOG - DRY '!H2057,"AAAAAH+z1q0=")</f>
        <v>#VALUE!</v>
      </c>
      <c r="FS96" t="e">
        <f>AND('STERLING CATALOG - DRY '!I2057,"AAAAAH+z1q4=")</f>
        <v>#VALUE!</v>
      </c>
      <c r="FT96" t="e">
        <f>AND('STERLING CATALOG - DRY '!J2057,"AAAAAH+z1q8=")</f>
        <v>#VALUE!</v>
      </c>
      <c r="FU96">
        <f>IF('STERLING CATALOG - DRY '!2058:2058,"AAAAAH+z1rA=",0)</f>
        <v>0</v>
      </c>
      <c r="FV96" t="e">
        <f>AND('STERLING CATALOG - DRY '!A2058,"AAAAAH+z1rE=")</f>
        <v>#VALUE!</v>
      </c>
      <c r="FW96" t="e">
        <f>AND('STERLING CATALOG - DRY '!B2058,"AAAAAH+z1rI=")</f>
        <v>#VALUE!</v>
      </c>
      <c r="FX96" t="e">
        <f>AND('STERLING CATALOG - DRY '!C2058,"AAAAAH+z1rM=")</f>
        <v>#VALUE!</v>
      </c>
      <c r="FY96" t="e">
        <f>AND('STERLING CATALOG - DRY '!D2058,"AAAAAH+z1rQ=")</f>
        <v>#VALUE!</v>
      </c>
      <c r="FZ96" t="e">
        <f>AND('STERLING CATALOG - DRY '!E2058,"AAAAAH+z1rU=")</f>
        <v>#VALUE!</v>
      </c>
      <c r="GA96" t="e">
        <f>AND('STERLING CATALOG - DRY '!F2058,"AAAAAH+z1rY=")</f>
        <v>#VALUE!</v>
      </c>
      <c r="GB96" t="e">
        <f>AND('STERLING CATALOG - DRY '!G2058,"AAAAAH+z1rc=")</f>
        <v>#VALUE!</v>
      </c>
      <c r="GC96" t="e">
        <f>AND('STERLING CATALOG - DRY '!H2058,"AAAAAH+z1rg=")</f>
        <v>#VALUE!</v>
      </c>
      <c r="GD96" t="e">
        <f>AND('STERLING CATALOG - DRY '!I2058,"AAAAAH+z1rk=")</f>
        <v>#VALUE!</v>
      </c>
      <c r="GE96" t="e">
        <f>AND('STERLING CATALOG - DRY '!J2058,"AAAAAH+z1ro=")</f>
        <v>#VALUE!</v>
      </c>
      <c r="GF96">
        <f>IF('STERLING CATALOG - DRY '!2059:2059,"AAAAAH+z1rs=",0)</f>
        <v>0</v>
      </c>
      <c r="GG96" t="e">
        <f>AND('STERLING CATALOG - DRY '!A2059,"AAAAAH+z1rw=")</f>
        <v>#VALUE!</v>
      </c>
      <c r="GH96" t="e">
        <f>AND('STERLING CATALOG - DRY '!B2059,"AAAAAH+z1r0=")</f>
        <v>#VALUE!</v>
      </c>
      <c r="GI96" t="e">
        <f>AND('STERLING CATALOG - DRY '!C2059,"AAAAAH+z1r4=")</f>
        <v>#VALUE!</v>
      </c>
      <c r="GJ96" t="e">
        <f>AND('STERLING CATALOG - DRY '!D2059,"AAAAAH+z1r8=")</f>
        <v>#VALUE!</v>
      </c>
      <c r="GK96" t="e">
        <f>AND('STERLING CATALOG - DRY '!E2059,"AAAAAH+z1sA=")</f>
        <v>#VALUE!</v>
      </c>
      <c r="GL96" t="e">
        <f>AND('STERLING CATALOG - DRY '!F2059,"AAAAAH+z1sE=")</f>
        <v>#VALUE!</v>
      </c>
      <c r="GM96" t="e">
        <f>AND('STERLING CATALOG - DRY '!G2059,"AAAAAH+z1sI=")</f>
        <v>#VALUE!</v>
      </c>
      <c r="GN96" t="e">
        <f>AND('STERLING CATALOG - DRY '!H2059,"AAAAAH+z1sM=")</f>
        <v>#VALUE!</v>
      </c>
      <c r="GO96" t="e">
        <f>AND('STERLING CATALOG - DRY '!I2059,"AAAAAH+z1sQ=")</f>
        <v>#VALUE!</v>
      </c>
      <c r="GP96" t="e">
        <f>AND('STERLING CATALOG - DRY '!J2059,"AAAAAH+z1sU=")</f>
        <v>#VALUE!</v>
      </c>
      <c r="GQ96">
        <f>IF('STERLING CATALOG - DRY '!2060:2060,"AAAAAH+z1sY=",0)</f>
        <v>0</v>
      </c>
      <c r="GR96" t="e">
        <f>AND('STERLING CATALOG - DRY '!A2060,"AAAAAH+z1sc=")</f>
        <v>#VALUE!</v>
      </c>
      <c r="GS96" t="e">
        <f>AND('STERLING CATALOG - DRY '!B2060,"AAAAAH+z1sg=")</f>
        <v>#VALUE!</v>
      </c>
      <c r="GT96" t="e">
        <f>AND('STERLING CATALOG - DRY '!C2060,"AAAAAH+z1sk=")</f>
        <v>#VALUE!</v>
      </c>
      <c r="GU96" t="e">
        <f>AND('STERLING CATALOG - DRY '!D2060,"AAAAAH+z1so=")</f>
        <v>#VALUE!</v>
      </c>
      <c r="GV96" t="e">
        <f>AND('STERLING CATALOG - DRY '!E2060,"AAAAAH+z1ss=")</f>
        <v>#VALUE!</v>
      </c>
      <c r="GW96" t="e">
        <f>AND('STERLING CATALOG - DRY '!F2060,"AAAAAH+z1sw=")</f>
        <v>#VALUE!</v>
      </c>
      <c r="GX96" t="e">
        <f>AND('STERLING CATALOG - DRY '!G2060,"AAAAAH+z1s0=")</f>
        <v>#VALUE!</v>
      </c>
      <c r="GY96" t="e">
        <f>AND('STERLING CATALOG - DRY '!H2060,"AAAAAH+z1s4=")</f>
        <v>#VALUE!</v>
      </c>
      <c r="GZ96" t="e">
        <f>AND('STERLING CATALOG - DRY '!I2060,"AAAAAH+z1s8=")</f>
        <v>#VALUE!</v>
      </c>
      <c r="HA96" t="e">
        <f>AND('STERLING CATALOG - DRY '!J2060,"AAAAAH+z1tA=")</f>
        <v>#VALUE!</v>
      </c>
      <c r="HB96">
        <f>IF('STERLING CATALOG - DRY '!2061:2061,"AAAAAH+z1tE=",0)</f>
        <v>0</v>
      </c>
      <c r="HC96" t="e">
        <f>AND('STERLING CATALOG - DRY '!A2061,"AAAAAH+z1tI=")</f>
        <v>#VALUE!</v>
      </c>
      <c r="HD96" t="e">
        <f>AND('STERLING CATALOG - DRY '!B2061,"AAAAAH+z1tM=")</f>
        <v>#VALUE!</v>
      </c>
      <c r="HE96" t="e">
        <f>AND('STERLING CATALOG - DRY '!C2061,"AAAAAH+z1tQ=")</f>
        <v>#VALUE!</v>
      </c>
      <c r="HF96" t="e">
        <f>AND('STERLING CATALOG - DRY '!D2061,"AAAAAH+z1tU=")</f>
        <v>#VALUE!</v>
      </c>
      <c r="HG96" t="e">
        <f>AND('STERLING CATALOG - DRY '!E2061,"AAAAAH+z1tY=")</f>
        <v>#VALUE!</v>
      </c>
      <c r="HH96" t="e">
        <f>AND('STERLING CATALOG - DRY '!F2061,"AAAAAH+z1tc=")</f>
        <v>#VALUE!</v>
      </c>
      <c r="HI96" t="e">
        <f>AND('STERLING CATALOG - DRY '!G2061,"AAAAAH+z1tg=")</f>
        <v>#VALUE!</v>
      </c>
      <c r="HJ96" t="e">
        <f>AND('STERLING CATALOG - DRY '!H2061,"AAAAAH+z1tk=")</f>
        <v>#VALUE!</v>
      </c>
      <c r="HK96" t="e">
        <f>AND('STERLING CATALOG - DRY '!I2061,"AAAAAH+z1to=")</f>
        <v>#VALUE!</v>
      </c>
      <c r="HL96" t="e">
        <f>AND('STERLING CATALOG - DRY '!J2061,"AAAAAH+z1ts=")</f>
        <v>#VALUE!</v>
      </c>
      <c r="HM96">
        <f>IF('STERLING CATALOG - DRY '!2062:2062,"AAAAAH+z1tw=",0)</f>
        <v>0</v>
      </c>
      <c r="HN96" t="e">
        <f>AND('STERLING CATALOG - DRY '!A2062,"AAAAAH+z1t0=")</f>
        <v>#VALUE!</v>
      </c>
      <c r="HO96" t="e">
        <f>AND('STERLING CATALOG - DRY '!B2062,"AAAAAH+z1t4=")</f>
        <v>#VALUE!</v>
      </c>
      <c r="HP96" t="e">
        <f>AND('STERLING CATALOG - DRY '!C2062,"AAAAAH+z1t8=")</f>
        <v>#VALUE!</v>
      </c>
      <c r="HQ96" t="e">
        <f>AND('STERLING CATALOG - DRY '!D2062,"AAAAAH+z1uA=")</f>
        <v>#VALUE!</v>
      </c>
      <c r="HR96" t="e">
        <f>AND('STERLING CATALOG - DRY '!E2062,"AAAAAH+z1uE=")</f>
        <v>#VALUE!</v>
      </c>
      <c r="HS96" t="e">
        <f>AND('STERLING CATALOG - DRY '!F2062,"AAAAAH+z1uI=")</f>
        <v>#VALUE!</v>
      </c>
      <c r="HT96" t="e">
        <f>AND('STERLING CATALOG - DRY '!G2062,"AAAAAH+z1uM=")</f>
        <v>#VALUE!</v>
      </c>
      <c r="HU96" t="e">
        <f>AND('STERLING CATALOG - DRY '!H2062,"AAAAAH+z1uQ=")</f>
        <v>#VALUE!</v>
      </c>
      <c r="HV96" t="e">
        <f>AND('STERLING CATALOG - DRY '!I2062,"AAAAAH+z1uU=")</f>
        <v>#VALUE!</v>
      </c>
      <c r="HW96" t="e">
        <f>AND('STERLING CATALOG - DRY '!J2062,"AAAAAH+z1uY=")</f>
        <v>#VALUE!</v>
      </c>
      <c r="HX96">
        <f>IF('STERLING CATALOG - DRY '!2063:2063,"AAAAAH+z1uc=",0)</f>
        <v>0</v>
      </c>
      <c r="HY96" t="e">
        <f>AND('STERLING CATALOG - DRY '!A2063,"AAAAAH+z1ug=")</f>
        <v>#VALUE!</v>
      </c>
      <c r="HZ96" t="e">
        <f>AND('STERLING CATALOG - DRY '!B2063,"AAAAAH+z1uk=")</f>
        <v>#VALUE!</v>
      </c>
      <c r="IA96" t="e">
        <f>AND('STERLING CATALOG - DRY '!C2063,"AAAAAH+z1uo=")</f>
        <v>#VALUE!</v>
      </c>
      <c r="IB96" t="e">
        <f>AND('STERLING CATALOG - DRY '!D2063,"AAAAAH+z1us=")</f>
        <v>#VALUE!</v>
      </c>
      <c r="IC96" t="e">
        <f>AND('STERLING CATALOG - DRY '!E2063,"AAAAAH+z1uw=")</f>
        <v>#VALUE!</v>
      </c>
      <c r="ID96" t="e">
        <f>AND('STERLING CATALOG - DRY '!F2063,"AAAAAH+z1u0=")</f>
        <v>#VALUE!</v>
      </c>
      <c r="IE96" t="e">
        <f>AND('STERLING CATALOG - DRY '!G2063,"AAAAAH+z1u4=")</f>
        <v>#VALUE!</v>
      </c>
      <c r="IF96" t="e">
        <f>AND('STERLING CATALOG - DRY '!H2063,"AAAAAH+z1u8=")</f>
        <v>#VALUE!</v>
      </c>
      <c r="IG96" t="e">
        <f>AND('STERLING CATALOG - DRY '!I2063,"AAAAAH+z1vA=")</f>
        <v>#VALUE!</v>
      </c>
      <c r="IH96" t="e">
        <f>AND('STERLING CATALOG - DRY '!J2063,"AAAAAH+z1vE=")</f>
        <v>#VALUE!</v>
      </c>
      <c r="II96">
        <f>IF('STERLING CATALOG - DRY '!2064:2064,"AAAAAH+z1vI=",0)</f>
        <v>0</v>
      </c>
      <c r="IJ96" t="e">
        <f>AND('STERLING CATALOG - DRY '!A2064,"AAAAAH+z1vM=")</f>
        <v>#VALUE!</v>
      </c>
      <c r="IK96" t="e">
        <f>AND('STERLING CATALOG - DRY '!B2064,"AAAAAH+z1vQ=")</f>
        <v>#VALUE!</v>
      </c>
      <c r="IL96" t="e">
        <f>AND('STERLING CATALOG - DRY '!C2064,"AAAAAH+z1vU=")</f>
        <v>#VALUE!</v>
      </c>
      <c r="IM96" t="e">
        <f>AND('STERLING CATALOG - DRY '!D2064,"AAAAAH+z1vY=")</f>
        <v>#VALUE!</v>
      </c>
      <c r="IN96" t="e">
        <f>AND('STERLING CATALOG - DRY '!E2064,"AAAAAH+z1vc=")</f>
        <v>#VALUE!</v>
      </c>
      <c r="IO96" t="e">
        <f>AND('STERLING CATALOG - DRY '!F2064,"AAAAAH+z1vg=")</f>
        <v>#VALUE!</v>
      </c>
      <c r="IP96" t="e">
        <f>AND('STERLING CATALOG - DRY '!G2064,"AAAAAH+z1vk=")</f>
        <v>#VALUE!</v>
      </c>
      <c r="IQ96" t="e">
        <f>AND('STERLING CATALOG - DRY '!H2064,"AAAAAH+z1vo=")</f>
        <v>#VALUE!</v>
      </c>
      <c r="IR96" t="e">
        <f>AND('STERLING CATALOG - DRY '!I2064,"AAAAAH+z1vs=")</f>
        <v>#VALUE!</v>
      </c>
      <c r="IS96" t="e">
        <f>AND('STERLING CATALOG - DRY '!J2064,"AAAAAH+z1vw=")</f>
        <v>#VALUE!</v>
      </c>
      <c r="IT96">
        <f>IF('STERLING CATALOG - DRY '!2065:2065,"AAAAAH+z1v0=",0)</f>
        <v>0</v>
      </c>
      <c r="IU96" t="e">
        <f>AND('STERLING CATALOG - DRY '!A2065,"AAAAAH+z1v4=")</f>
        <v>#VALUE!</v>
      </c>
      <c r="IV96" t="e">
        <f>AND('STERLING CATALOG - DRY '!B2065,"AAAAAH+z1v8=")</f>
        <v>#VALUE!</v>
      </c>
    </row>
    <row r="97" spans="1:256">
      <c r="A97" t="e">
        <f>AND('STERLING CATALOG - DRY '!C2065,"AAAAAH/f0wA=")</f>
        <v>#VALUE!</v>
      </c>
      <c r="B97" t="e">
        <f>AND('STERLING CATALOG - DRY '!D2065,"AAAAAH/f0wE=")</f>
        <v>#VALUE!</v>
      </c>
      <c r="C97" t="e">
        <f>AND('STERLING CATALOG - DRY '!E2065,"AAAAAH/f0wI=")</f>
        <v>#VALUE!</v>
      </c>
      <c r="D97" t="e">
        <f>AND('STERLING CATALOG - DRY '!F2065,"AAAAAH/f0wM=")</f>
        <v>#VALUE!</v>
      </c>
      <c r="E97" t="e">
        <f>AND('STERLING CATALOG - DRY '!G2065,"AAAAAH/f0wQ=")</f>
        <v>#VALUE!</v>
      </c>
      <c r="F97" t="e">
        <f>AND('STERLING CATALOG - DRY '!H2065,"AAAAAH/f0wU=")</f>
        <v>#VALUE!</v>
      </c>
      <c r="G97" t="e">
        <f>AND('STERLING CATALOG - DRY '!I2065,"AAAAAH/f0wY=")</f>
        <v>#VALUE!</v>
      </c>
      <c r="H97" t="e">
        <f>AND('STERLING CATALOG - DRY '!J2065,"AAAAAH/f0wc=")</f>
        <v>#VALUE!</v>
      </c>
      <c r="I97" t="e">
        <f>IF('STERLING CATALOG - DRY '!2066:2066,"AAAAAH/f0wg=",0)</f>
        <v>#VALUE!</v>
      </c>
      <c r="J97" t="e">
        <f>AND('STERLING CATALOG - DRY '!A2066,"AAAAAH/f0wk=")</f>
        <v>#VALUE!</v>
      </c>
      <c r="K97" t="e">
        <f>AND('STERLING CATALOG - DRY '!B2066,"AAAAAH/f0wo=")</f>
        <v>#VALUE!</v>
      </c>
      <c r="L97" t="e">
        <f>AND('STERLING CATALOG - DRY '!C2066,"AAAAAH/f0ws=")</f>
        <v>#VALUE!</v>
      </c>
      <c r="M97" t="e">
        <f>AND('STERLING CATALOG - DRY '!D2066,"AAAAAH/f0ww=")</f>
        <v>#VALUE!</v>
      </c>
      <c r="N97" t="e">
        <f>AND('STERLING CATALOG - DRY '!E2066,"AAAAAH/f0w0=")</f>
        <v>#VALUE!</v>
      </c>
      <c r="O97" t="e">
        <f>AND('STERLING CATALOG - DRY '!F2066,"AAAAAH/f0w4=")</f>
        <v>#VALUE!</v>
      </c>
      <c r="P97" t="e">
        <f>AND('STERLING CATALOG - DRY '!G2066,"AAAAAH/f0w8=")</f>
        <v>#VALUE!</v>
      </c>
      <c r="Q97" t="e">
        <f>AND('STERLING CATALOG - DRY '!H2066,"AAAAAH/f0xA=")</f>
        <v>#VALUE!</v>
      </c>
      <c r="R97" t="e">
        <f>AND('STERLING CATALOG - DRY '!I2066,"AAAAAH/f0xE=")</f>
        <v>#VALUE!</v>
      </c>
      <c r="S97" t="e">
        <f>AND('STERLING CATALOG - DRY '!J2066,"AAAAAH/f0xI=")</f>
        <v>#VALUE!</v>
      </c>
      <c r="T97">
        <f>IF('STERLING CATALOG - DRY '!2067:2067,"AAAAAH/f0xM=",0)</f>
        <v>0</v>
      </c>
      <c r="U97" t="e">
        <f>AND('STERLING CATALOG - DRY '!A2067,"AAAAAH/f0xQ=")</f>
        <v>#VALUE!</v>
      </c>
      <c r="V97" t="e">
        <f>AND('STERLING CATALOG - DRY '!B2067,"AAAAAH/f0xU=")</f>
        <v>#VALUE!</v>
      </c>
      <c r="W97" t="e">
        <f>AND('STERLING CATALOG - DRY '!C2067,"AAAAAH/f0xY=")</f>
        <v>#VALUE!</v>
      </c>
      <c r="X97" t="e">
        <f>AND('STERLING CATALOG - DRY '!D2067,"AAAAAH/f0xc=")</f>
        <v>#VALUE!</v>
      </c>
      <c r="Y97" t="e">
        <f>AND('STERLING CATALOG - DRY '!E2067,"AAAAAH/f0xg=")</f>
        <v>#VALUE!</v>
      </c>
      <c r="Z97" t="e">
        <f>AND('STERLING CATALOG - DRY '!F2067,"AAAAAH/f0xk=")</f>
        <v>#VALUE!</v>
      </c>
      <c r="AA97" t="e">
        <f>AND('STERLING CATALOG - DRY '!G2067,"AAAAAH/f0xo=")</f>
        <v>#VALUE!</v>
      </c>
      <c r="AB97" t="e">
        <f>AND('STERLING CATALOG - DRY '!H2067,"AAAAAH/f0xs=")</f>
        <v>#VALUE!</v>
      </c>
      <c r="AC97" t="e">
        <f>AND('STERLING CATALOG - DRY '!I2067,"AAAAAH/f0xw=")</f>
        <v>#VALUE!</v>
      </c>
      <c r="AD97" t="e">
        <f>AND('STERLING CATALOG - DRY '!J2067,"AAAAAH/f0x0=")</f>
        <v>#VALUE!</v>
      </c>
      <c r="AE97">
        <f>IF('STERLING CATALOG - DRY '!2068:2068,"AAAAAH/f0x4=",0)</f>
        <v>0</v>
      </c>
      <c r="AF97" t="e">
        <f>AND('STERLING CATALOG - DRY '!A2068,"AAAAAH/f0x8=")</f>
        <v>#VALUE!</v>
      </c>
      <c r="AG97" t="e">
        <f>AND('STERLING CATALOG - DRY '!B2068,"AAAAAH/f0yA=")</f>
        <v>#VALUE!</v>
      </c>
      <c r="AH97" t="e">
        <f>AND('STERLING CATALOG - DRY '!C2068,"AAAAAH/f0yE=")</f>
        <v>#VALUE!</v>
      </c>
      <c r="AI97" t="e">
        <f>AND('STERLING CATALOG - DRY '!D2068,"AAAAAH/f0yI=")</f>
        <v>#VALUE!</v>
      </c>
      <c r="AJ97" t="e">
        <f>AND('STERLING CATALOG - DRY '!E2068,"AAAAAH/f0yM=")</f>
        <v>#VALUE!</v>
      </c>
      <c r="AK97" t="e">
        <f>AND('STERLING CATALOG - DRY '!F2068,"AAAAAH/f0yQ=")</f>
        <v>#VALUE!</v>
      </c>
      <c r="AL97" t="e">
        <f>AND('STERLING CATALOG - DRY '!G2068,"AAAAAH/f0yU=")</f>
        <v>#VALUE!</v>
      </c>
      <c r="AM97" t="e">
        <f>AND('STERLING CATALOG - DRY '!H2068,"AAAAAH/f0yY=")</f>
        <v>#VALUE!</v>
      </c>
      <c r="AN97" t="e">
        <f>AND('STERLING CATALOG - DRY '!I2068,"AAAAAH/f0yc=")</f>
        <v>#VALUE!</v>
      </c>
      <c r="AO97" t="e">
        <f>AND('STERLING CATALOG - DRY '!J2068,"AAAAAH/f0yg=")</f>
        <v>#VALUE!</v>
      </c>
      <c r="AP97">
        <f>IF('STERLING CATALOG - DRY '!2069:2069,"AAAAAH/f0yk=",0)</f>
        <v>0</v>
      </c>
      <c r="AQ97" t="e">
        <f>AND('STERLING CATALOG - DRY '!A2069,"AAAAAH/f0yo=")</f>
        <v>#VALUE!</v>
      </c>
      <c r="AR97" t="e">
        <f>AND('STERLING CATALOG - DRY '!B2069,"AAAAAH/f0ys=")</f>
        <v>#VALUE!</v>
      </c>
      <c r="AS97" t="e">
        <f>AND('STERLING CATALOG - DRY '!C2069,"AAAAAH/f0yw=")</f>
        <v>#VALUE!</v>
      </c>
      <c r="AT97" t="e">
        <f>AND('STERLING CATALOG - DRY '!D2069,"AAAAAH/f0y0=")</f>
        <v>#VALUE!</v>
      </c>
      <c r="AU97" t="e">
        <f>AND('STERLING CATALOG - DRY '!E2069,"AAAAAH/f0y4=")</f>
        <v>#VALUE!</v>
      </c>
      <c r="AV97" t="e">
        <f>AND('STERLING CATALOG - DRY '!F2069,"AAAAAH/f0y8=")</f>
        <v>#VALUE!</v>
      </c>
      <c r="AW97" t="e">
        <f>AND('STERLING CATALOG - DRY '!G2069,"AAAAAH/f0zA=")</f>
        <v>#VALUE!</v>
      </c>
      <c r="AX97" t="e">
        <f>AND('STERLING CATALOG - DRY '!H2069,"AAAAAH/f0zE=")</f>
        <v>#VALUE!</v>
      </c>
      <c r="AY97" t="e">
        <f>AND('STERLING CATALOG - DRY '!I2069,"AAAAAH/f0zI=")</f>
        <v>#VALUE!</v>
      </c>
      <c r="AZ97" t="e">
        <f>AND('STERLING CATALOG - DRY '!J2069,"AAAAAH/f0zM=")</f>
        <v>#VALUE!</v>
      </c>
      <c r="BA97">
        <f>IF('STERLING CATALOG - DRY '!2070:2070,"AAAAAH/f0zQ=",0)</f>
        <v>0</v>
      </c>
      <c r="BB97" t="e">
        <f>AND('STERLING CATALOG - DRY '!A2070,"AAAAAH/f0zU=")</f>
        <v>#VALUE!</v>
      </c>
      <c r="BC97" t="e">
        <f>AND('STERLING CATALOG - DRY '!B2070,"AAAAAH/f0zY=")</f>
        <v>#VALUE!</v>
      </c>
      <c r="BD97" t="e">
        <f>AND('STERLING CATALOG - DRY '!C2070,"AAAAAH/f0zc=")</f>
        <v>#VALUE!</v>
      </c>
      <c r="BE97" t="e">
        <f>AND('STERLING CATALOG - DRY '!D2070,"AAAAAH/f0zg=")</f>
        <v>#VALUE!</v>
      </c>
      <c r="BF97" t="e">
        <f>AND('STERLING CATALOG - DRY '!E2070,"AAAAAH/f0zk=")</f>
        <v>#VALUE!</v>
      </c>
      <c r="BG97" t="e">
        <f>AND('STERLING CATALOG - DRY '!F2070,"AAAAAH/f0zo=")</f>
        <v>#VALUE!</v>
      </c>
      <c r="BH97" t="e">
        <f>AND('STERLING CATALOG - DRY '!G2070,"AAAAAH/f0zs=")</f>
        <v>#VALUE!</v>
      </c>
      <c r="BI97" t="e">
        <f>AND('STERLING CATALOG - DRY '!H2070,"AAAAAH/f0zw=")</f>
        <v>#VALUE!</v>
      </c>
      <c r="BJ97" t="e">
        <f>AND('STERLING CATALOG - DRY '!I2070,"AAAAAH/f0z0=")</f>
        <v>#VALUE!</v>
      </c>
      <c r="BK97" t="e">
        <f>AND('STERLING CATALOG - DRY '!J2070,"AAAAAH/f0z4=")</f>
        <v>#VALUE!</v>
      </c>
      <c r="BL97">
        <f>IF('STERLING CATALOG - DRY '!2071:2071,"AAAAAH/f0z8=",0)</f>
        <v>0</v>
      </c>
      <c r="BM97" t="e">
        <f>AND('STERLING CATALOG - DRY '!A2071,"AAAAAH/f00A=")</f>
        <v>#VALUE!</v>
      </c>
      <c r="BN97" t="e">
        <f>AND('STERLING CATALOG - DRY '!B2071,"AAAAAH/f00E=")</f>
        <v>#VALUE!</v>
      </c>
      <c r="BO97" t="e">
        <f>AND('STERLING CATALOG - DRY '!C2071,"AAAAAH/f00I=")</f>
        <v>#VALUE!</v>
      </c>
      <c r="BP97" t="e">
        <f>AND('STERLING CATALOG - DRY '!D2071,"AAAAAH/f00M=")</f>
        <v>#VALUE!</v>
      </c>
      <c r="BQ97" t="e">
        <f>AND('STERLING CATALOG - DRY '!E2071,"AAAAAH/f00Q=")</f>
        <v>#VALUE!</v>
      </c>
      <c r="BR97" t="e">
        <f>AND('STERLING CATALOG - DRY '!F2071,"AAAAAH/f00U=")</f>
        <v>#VALUE!</v>
      </c>
      <c r="BS97" t="e">
        <f>AND('STERLING CATALOG - DRY '!G2071,"AAAAAH/f00Y=")</f>
        <v>#VALUE!</v>
      </c>
      <c r="BT97" t="e">
        <f>AND('STERLING CATALOG - DRY '!H2071,"AAAAAH/f00c=")</f>
        <v>#VALUE!</v>
      </c>
      <c r="BU97" t="e">
        <f>AND('STERLING CATALOG - DRY '!I2071,"AAAAAH/f00g=")</f>
        <v>#VALUE!</v>
      </c>
      <c r="BV97" t="e">
        <f>AND('STERLING CATALOG - DRY '!J2071,"AAAAAH/f00k=")</f>
        <v>#VALUE!</v>
      </c>
      <c r="BW97">
        <f>IF('STERLING CATALOG - DRY '!2072:2072,"AAAAAH/f00o=",0)</f>
        <v>0</v>
      </c>
      <c r="BX97" t="e">
        <f>AND('STERLING CATALOG - DRY '!A2072,"AAAAAH/f00s=")</f>
        <v>#VALUE!</v>
      </c>
      <c r="BY97" t="e">
        <f>AND('STERLING CATALOG - DRY '!B2072,"AAAAAH/f00w=")</f>
        <v>#VALUE!</v>
      </c>
      <c r="BZ97" t="e">
        <f>AND('STERLING CATALOG - DRY '!C2072,"AAAAAH/f000=")</f>
        <v>#VALUE!</v>
      </c>
      <c r="CA97" t="e">
        <f>AND('STERLING CATALOG - DRY '!D2072,"AAAAAH/f004=")</f>
        <v>#VALUE!</v>
      </c>
      <c r="CB97" t="e">
        <f>AND('STERLING CATALOG - DRY '!E2072,"AAAAAH/f008=")</f>
        <v>#VALUE!</v>
      </c>
      <c r="CC97" t="e">
        <f>AND('STERLING CATALOG - DRY '!F2072,"AAAAAH/f01A=")</f>
        <v>#VALUE!</v>
      </c>
      <c r="CD97" t="e">
        <f>AND('STERLING CATALOG - DRY '!G2072,"AAAAAH/f01E=")</f>
        <v>#VALUE!</v>
      </c>
      <c r="CE97" t="e">
        <f>AND('STERLING CATALOG - DRY '!H2072,"AAAAAH/f01I=")</f>
        <v>#VALUE!</v>
      </c>
      <c r="CF97" t="e">
        <f>AND('STERLING CATALOG - DRY '!I2072,"AAAAAH/f01M=")</f>
        <v>#VALUE!</v>
      </c>
      <c r="CG97" t="e">
        <f>AND('STERLING CATALOG - DRY '!J2072,"AAAAAH/f01Q=")</f>
        <v>#VALUE!</v>
      </c>
      <c r="CH97">
        <f>IF('STERLING CATALOG - DRY '!2073:2073,"AAAAAH/f01U=",0)</f>
        <v>0</v>
      </c>
      <c r="CI97" t="e">
        <f>AND('STERLING CATALOG - DRY '!A2073,"AAAAAH/f01Y=")</f>
        <v>#VALUE!</v>
      </c>
      <c r="CJ97" t="e">
        <f>AND('STERLING CATALOG - DRY '!B2073,"AAAAAH/f01c=")</f>
        <v>#VALUE!</v>
      </c>
      <c r="CK97" t="e">
        <f>AND('STERLING CATALOG - DRY '!C2073,"AAAAAH/f01g=")</f>
        <v>#VALUE!</v>
      </c>
      <c r="CL97" t="e">
        <f>AND('STERLING CATALOG - DRY '!D2073,"AAAAAH/f01k=")</f>
        <v>#VALUE!</v>
      </c>
      <c r="CM97" t="e">
        <f>AND('STERLING CATALOG - DRY '!E2073,"AAAAAH/f01o=")</f>
        <v>#VALUE!</v>
      </c>
      <c r="CN97" t="e">
        <f>AND('STERLING CATALOG - DRY '!F2073,"AAAAAH/f01s=")</f>
        <v>#VALUE!</v>
      </c>
      <c r="CO97" t="e">
        <f>AND('STERLING CATALOG - DRY '!G2073,"AAAAAH/f01w=")</f>
        <v>#VALUE!</v>
      </c>
      <c r="CP97" t="e">
        <f>AND('STERLING CATALOG - DRY '!H2073,"AAAAAH/f010=")</f>
        <v>#VALUE!</v>
      </c>
      <c r="CQ97" t="e">
        <f>AND('STERLING CATALOG - DRY '!I2073,"AAAAAH/f014=")</f>
        <v>#VALUE!</v>
      </c>
      <c r="CR97" t="e">
        <f>AND('STERLING CATALOG - DRY '!J2073,"AAAAAH/f018=")</f>
        <v>#VALUE!</v>
      </c>
      <c r="CS97">
        <f>IF('STERLING CATALOG - DRY '!2074:2074,"AAAAAH/f02A=",0)</f>
        <v>0</v>
      </c>
      <c r="CT97" t="e">
        <f>AND('STERLING CATALOG - DRY '!A2074,"AAAAAH/f02E=")</f>
        <v>#VALUE!</v>
      </c>
      <c r="CU97" t="e">
        <f>AND('STERLING CATALOG - DRY '!B2074,"AAAAAH/f02I=")</f>
        <v>#VALUE!</v>
      </c>
      <c r="CV97" t="e">
        <f>AND('STERLING CATALOG - DRY '!C2074,"AAAAAH/f02M=")</f>
        <v>#VALUE!</v>
      </c>
      <c r="CW97" t="e">
        <f>AND('STERLING CATALOG - DRY '!D2074,"AAAAAH/f02Q=")</f>
        <v>#VALUE!</v>
      </c>
      <c r="CX97" t="e">
        <f>AND('STERLING CATALOG - DRY '!E2074,"AAAAAH/f02U=")</f>
        <v>#VALUE!</v>
      </c>
      <c r="CY97" t="e">
        <f>AND('STERLING CATALOG - DRY '!F2074,"AAAAAH/f02Y=")</f>
        <v>#VALUE!</v>
      </c>
      <c r="CZ97" t="e">
        <f>AND('STERLING CATALOG - DRY '!G2074,"AAAAAH/f02c=")</f>
        <v>#VALUE!</v>
      </c>
      <c r="DA97" t="e">
        <f>AND('STERLING CATALOG - DRY '!H2074,"AAAAAH/f02g=")</f>
        <v>#VALUE!</v>
      </c>
      <c r="DB97" t="e">
        <f>AND('STERLING CATALOG - DRY '!I2074,"AAAAAH/f02k=")</f>
        <v>#VALUE!</v>
      </c>
      <c r="DC97" t="e">
        <f>AND('STERLING CATALOG - DRY '!J2074,"AAAAAH/f02o=")</f>
        <v>#VALUE!</v>
      </c>
      <c r="DD97">
        <f>IF('STERLING CATALOG - DRY '!2075:2075,"AAAAAH/f02s=",0)</f>
        <v>0</v>
      </c>
      <c r="DE97" t="e">
        <f>AND('STERLING CATALOG - DRY '!A2075,"AAAAAH/f02w=")</f>
        <v>#VALUE!</v>
      </c>
      <c r="DF97" t="e">
        <f>AND('STERLING CATALOG - DRY '!B2075,"AAAAAH/f020=")</f>
        <v>#VALUE!</v>
      </c>
      <c r="DG97" t="e">
        <f>AND('STERLING CATALOG - DRY '!C2075,"AAAAAH/f024=")</f>
        <v>#VALUE!</v>
      </c>
      <c r="DH97" t="e">
        <f>AND('STERLING CATALOG - DRY '!D2075,"AAAAAH/f028=")</f>
        <v>#VALUE!</v>
      </c>
      <c r="DI97" t="e">
        <f>AND('STERLING CATALOG - DRY '!E2075,"AAAAAH/f03A=")</f>
        <v>#VALUE!</v>
      </c>
      <c r="DJ97" t="e">
        <f>AND('STERLING CATALOG - DRY '!F2075,"AAAAAH/f03E=")</f>
        <v>#VALUE!</v>
      </c>
      <c r="DK97" t="e">
        <f>AND('STERLING CATALOG - DRY '!G2075,"AAAAAH/f03I=")</f>
        <v>#VALUE!</v>
      </c>
      <c r="DL97" t="e">
        <f>AND('STERLING CATALOG - DRY '!H2075,"AAAAAH/f03M=")</f>
        <v>#VALUE!</v>
      </c>
      <c r="DM97" t="e">
        <f>AND('STERLING CATALOG - DRY '!I2075,"AAAAAH/f03Q=")</f>
        <v>#VALUE!</v>
      </c>
      <c r="DN97" t="e">
        <f>AND('STERLING CATALOG - DRY '!J2075,"AAAAAH/f03U=")</f>
        <v>#VALUE!</v>
      </c>
      <c r="DO97">
        <f>IF('STERLING CATALOG - DRY '!2076:2076,"AAAAAH/f03Y=",0)</f>
        <v>0</v>
      </c>
      <c r="DP97" t="e">
        <f>AND('STERLING CATALOG - DRY '!A2076,"AAAAAH/f03c=")</f>
        <v>#VALUE!</v>
      </c>
      <c r="DQ97" t="e">
        <f>AND('STERLING CATALOG - DRY '!B2076,"AAAAAH/f03g=")</f>
        <v>#VALUE!</v>
      </c>
      <c r="DR97" t="e">
        <f>AND('STERLING CATALOG - DRY '!C2076,"AAAAAH/f03k=")</f>
        <v>#VALUE!</v>
      </c>
      <c r="DS97" t="e">
        <f>AND('STERLING CATALOG - DRY '!D2076,"AAAAAH/f03o=")</f>
        <v>#VALUE!</v>
      </c>
      <c r="DT97" t="e">
        <f>AND('STERLING CATALOG - DRY '!E2076,"AAAAAH/f03s=")</f>
        <v>#VALUE!</v>
      </c>
      <c r="DU97" t="e">
        <f>AND('STERLING CATALOG - DRY '!F2076,"AAAAAH/f03w=")</f>
        <v>#VALUE!</v>
      </c>
      <c r="DV97" t="e">
        <f>AND('STERLING CATALOG - DRY '!G2076,"AAAAAH/f030=")</f>
        <v>#VALUE!</v>
      </c>
      <c r="DW97" t="e">
        <f>AND('STERLING CATALOG - DRY '!H2076,"AAAAAH/f034=")</f>
        <v>#VALUE!</v>
      </c>
      <c r="DX97" t="e">
        <f>AND('STERLING CATALOG - DRY '!I2076,"AAAAAH/f038=")</f>
        <v>#VALUE!</v>
      </c>
      <c r="DY97" t="e">
        <f>AND('STERLING CATALOG - DRY '!J2076,"AAAAAH/f04A=")</f>
        <v>#VALUE!</v>
      </c>
      <c r="DZ97">
        <f>IF('STERLING CATALOG - DRY '!2077:2077,"AAAAAH/f04E=",0)</f>
        <v>0</v>
      </c>
      <c r="EA97" t="e">
        <f>AND('STERLING CATALOG - DRY '!A2077,"AAAAAH/f04I=")</f>
        <v>#VALUE!</v>
      </c>
      <c r="EB97" t="e">
        <f>AND('STERLING CATALOG - DRY '!B2077,"AAAAAH/f04M=")</f>
        <v>#VALUE!</v>
      </c>
      <c r="EC97" t="e">
        <f>AND('STERLING CATALOG - DRY '!C2077,"AAAAAH/f04Q=")</f>
        <v>#VALUE!</v>
      </c>
      <c r="ED97" t="e">
        <f>AND('STERLING CATALOG - DRY '!D2077,"AAAAAH/f04U=")</f>
        <v>#VALUE!</v>
      </c>
      <c r="EE97" t="e">
        <f>AND('STERLING CATALOG - DRY '!E2077,"AAAAAH/f04Y=")</f>
        <v>#VALUE!</v>
      </c>
      <c r="EF97" t="e">
        <f>AND('STERLING CATALOG - DRY '!F2077,"AAAAAH/f04c=")</f>
        <v>#VALUE!</v>
      </c>
      <c r="EG97" t="e">
        <f>AND('STERLING CATALOG - DRY '!G2077,"AAAAAH/f04g=")</f>
        <v>#VALUE!</v>
      </c>
      <c r="EH97" t="e">
        <f>AND('STERLING CATALOG - DRY '!H2077,"AAAAAH/f04k=")</f>
        <v>#VALUE!</v>
      </c>
      <c r="EI97" t="e">
        <f>AND('STERLING CATALOG - DRY '!I2077,"AAAAAH/f04o=")</f>
        <v>#VALUE!</v>
      </c>
      <c r="EJ97" t="e">
        <f>AND('STERLING CATALOG - DRY '!J2077,"AAAAAH/f04s=")</f>
        <v>#VALUE!</v>
      </c>
      <c r="EK97">
        <f>IF('STERLING CATALOG - DRY '!2078:2078,"AAAAAH/f04w=",0)</f>
        <v>0</v>
      </c>
      <c r="EL97" t="e">
        <f>AND('STERLING CATALOG - DRY '!A2078,"AAAAAH/f040=")</f>
        <v>#VALUE!</v>
      </c>
      <c r="EM97" t="e">
        <f>AND('STERLING CATALOG - DRY '!B2078,"AAAAAH/f044=")</f>
        <v>#VALUE!</v>
      </c>
      <c r="EN97" t="e">
        <f>AND('STERLING CATALOG - DRY '!C2078,"AAAAAH/f048=")</f>
        <v>#VALUE!</v>
      </c>
      <c r="EO97" t="e">
        <f>AND('STERLING CATALOG - DRY '!D2078,"AAAAAH/f05A=")</f>
        <v>#VALUE!</v>
      </c>
      <c r="EP97" t="e">
        <f>AND('STERLING CATALOG - DRY '!E2078,"AAAAAH/f05E=")</f>
        <v>#VALUE!</v>
      </c>
      <c r="EQ97" t="e">
        <f>AND('STERLING CATALOG - DRY '!F2078,"AAAAAH/f05I=")</f>
        <v>#VALUE!</v>
      </c>
      <c r="ER97" t="e">
        <f>AND('STERLING CATALOG - DRY '!G2078,"AAAAAH/f05M=")</f>
        <v>#VALUE!</v>
      </c>
      <c r="ES97" t="e">
        <f>AND('STERLING CATALOG - DRY '!H2078,"AAAAAH/f05Q=")</f>
        <v>#VALUE!</v>
      </c>
      <c r="ET97" t="e">
        <f>AND('STERLING CATALOG - DRY '!I2078,"AAAAAH/f05U=")</f>
        <v>#VALUE!</v>
      </c>
      <c r="EU97" t="e">
        <f>AND('STERLING CATALOG - DRY '!J2078,"AAAAAH/f05Y=")</f>
        <v>#VALUE!</v>
      </c>
      <c r="EV97">
        <f>IF('STERLING CATALOG - DRY '!2079:2079,"AAAAAH/f05c=",0)</f>
        <v>0</v>
      </c>
      <c r="EW97" t="e">
        <f>AND('STERLING CATALOG - DRY '!A2079,"AAAAAH/f05g=")</f>
        <v>#VALUE!</v>
      </c>
      <c r="EX97" t="e">
        <f>AND('STERLING CATALOG - DRY '!B2079,"AAAAAH/f05k=")</f>
        <v>#VALUE!</v>
      </c>
      <c r="EY97" t="e">
        <f>AND('STERLING CATALOG - DRY '!C2079,"AAAAAH/f05o=")</f>
        <v>#VALUE!</v>
      </c>
      <c r="EZ97" t="e">
        <f>AND('STERLING CATALOG - DRY '!D2079,"AAAAAH/f05s=")</f>
        <v>#VALUE!</v>
      </c>
      <c r="FA97" t="e">
        <f>AND('STERLING CATALOG - DRY '!E2079,"AAAAAH/f05w=")</f>
        <v>#VALUE!</v>
      </c>
      <c r="FB97" t="e">
        <f>AND('STERLING CATALOG - DRY '!F2079,"AAAAAH/f050=")</f>
        <v>#VALUE!</v>
      </c>
      <c r="FC97" t="e">
        <f>AND('STERLING CATALOG - DRY '!G2079,"AAAAAH/f054=")</f>
        <v>#VALUE!</v>
      </c>
      <c r="FD97" t="e">
        <f>AND('STERLING CATALOG - DRY '!H2079,"AAAAAH/f058=")</f>
        <v>#VALUE!</v>
      </c>
      <c r="FE97" t="e">
        <f>AND('STERLING CATALOG - DRY '!I2079,"AAAAAH/f06A=")</f>
        <v>#VALUE!</v>
      </c>
      <c r="FF97" t="e">
        <f>AND('STERLING CATALOG - DRY '!J2079,"AAAAAH/f06E=")</f>
        <v>#VALUE!</v>
      </c>
      <c r="FG97">
        <f>IF('STERLING CATALOG - DRY '!2080:2080,"AAAAAH/f06I=",0)</f>
        <v>0</v>
      </c>
      <c r="FH97" t="e">
        <f>AND('STERLING CATALOG - DRY '!A2080,"AAAAAH/f06M=")</f>
        <v>#VALUE!</v>
      </c>
      <c r="FI97" t="e">
        <f>AND('STERLING CATALOG - DRY '!B2080,"AAAAAH/f06Q=")</f>
        <v>#VALUE!</v>
      </c>
      <c r="FJ97" t="e">
        <f>AND('STERLING CATALOG - DRY '!C2080,"AAAAAH/f06U=")</f>
        <v>#VALUE!</v>
      </c>
      <c r="FK97" t="e">
        <f>AND('STERLING CATALOG - DRY '!D2080,"AAAAAH/f06Y=")</f>
        <v>#VALUE!</v>
      </c>
      <c r="FL97" t="e">
        <f>AND('STERLING CATALOG - DRY '!E2080,"AAAAAH/f06c=")</f>
        <v>#VALUE!</v>
      </c>
      <c r="FM97" t="e">
        <f>AND('STERLING CATALOG - DRY '!F2080,"AAAAAH/f06g=")</f>
        <v>#VALUE!</v>
      </c>
      <c r="FN97" t="e">
        <f>AND('STERLING CATALOG - DRY '!G2080,"AAAAAH/f06k=")</f>
        <v>#VALUE!</v>
      </c>
      <c r="FO97" t="e">
        <f>AND('STERLING CATALOG - DRY '!H2080,"AAAAAH/f06o=")</f>
        <v>#VALUE!</v>
      </c>
      <c r="FP97" t="e">
        <f>AND('STERLING CATALOG - DRY '!I2080,"AAAAAH/f06s=")</f>
        <v>#VALUE!</v>
      </c>
      <c r="FQ97" t="e">
        <f>AND('STERLING CATALOG - DRY '!J2080,"AAAAAH/f06w=")</f>
        <v>#VALUE!</v>
      </c>
      <c r="FR97">
        <f>IF('STERLING CATALOG - DRY '!2081:2081,"AAAAAH/f060=",0)</f>
        <v>0</v>
      </c>
      <c r="FS97" t="e">
        <f>AND('STERLING CATALOG - DRY '!A2081,"AAAAAH/f064=")</f>
        <v>#VALUE!</v>
      </c>
      <c r="FT97" t="e">
        <f>AND('STERLING CATALOG - DRY '!B2081,"AAAAAH/f068=")</f>
        <v>#VALUE!</v>
      </c>
      <c r="FU97" t="e">
        <f>AND('STERLING CATALOG - DRY '!C2081,"AAAAAH/f07A=")</f>
        <v>#VALUE!</v>
      </c>
      <c r="FV97" t="e">
        <f>AND('STERLING CATALOG - DRY '!D2081,"AAAAAH/f07E=")</f>
        <v>#VALUE!</v>
      </c>
      <c r="FW97" t="e">
        <f>AND('STERLING CATALOG - DRY '!E2081,"AAAAAH/f07I=")</f>
        <v>#VALUE!</v>
      </c>
      <c r="FX97" t="e">
        <f>AND('STERLING CATALOG - DRY '!F2081,"AAAAAH/f07M=")</f>
        <v>#VALUE!</v>
      </c>
      <c r="FY97" t="e">
        <f>AND('STERLING CATALOG - DRY '!G2081,"AAAAAH/f07Q=")</f>
        <v>#VALUE!</v>
      </c>
      <c r="FZ97" t="e">
        <f>AND('STERLING CATALOG - DRY '!H2081,"AAAAAH/f07U=")</f>
        <v>#VALUE!</v>
      </c>
      <c r="GA97" t="e">
        <f>AND('STERLING CATALOG - DRY '!I2081,"AAAAAH/f07Y=")</f>
        <v>#VALUE!</v>
      </c>
      <c r="GB97" t="e">
        <f>AND('STERLING CATALOG - DRY '!J2081,"AAAAAH/f07c=")</f>
        <v>#VALUE!</v>
      </c>
      <c r="GC97">
        <f>IF('STERLING CATALOG - DRY '!2082:2082,"AAAAAH/f07g=",0)</f>
        <v>0</v>
      </c>
      <c r="GD97" t="e">
        <f>AND('STERLING CATALOG - DRY '!A2082,"AAAAAH/f07k=")</f>
        <v>#VALUE!</v>
      </c>
      <c r="GE97" t="e">
        <f>AND('STERLING CATALOG - DRY '!B2082,"AAAAAH/f07o=")</f>
        <v>#VALUE!</v>
      </c>
      <c r="GF97" t="e">
        <f>AND('STERLING CATALOG - DRY '!C2082,"AAAAAH/f07s=")</f>
        <v>#VALUE!</v>
      </c>
      <c r="GG97" t="e">
        <f>AND('STERLING CATALOG - DRY '!D2082,"AAAAAH/f07w=")</f>
        <v>#VALUE!</v>
      </c>
      <c r="GH97" t="e">
        <f>AND('STERLING CATALOG - DRY '!E2082,"AAAAAH/f070=")</f>
        <v>#VALUE!</v>
      </c>
      <c r="GI97" t="e">
        <f>AND('STERLING CATALOG - DRY '!F2082,"AAAAAH/f074=")</f>
        <v>#VALUE!</v>
      </c>
      <c r="GJ97" t="e">
        <f>AND('STERLING CATALOG - DRY '!G2082,"AAAAAH/f078=")</f>
        <v>#VALUE!</v>
      </c>
      <c r="GK97" t="e">
        <f>AND('STERLING CATALOG - DRY '!H2082,"AAAAAH/f08A=")</f>
        <v>#VALUE!</v>
      </c>
      <c r="GL97" t="e">
        <f>AND('STERLING CATALOG - DRY '!I2082,"AAAAAH/f08E=")</f>
        <v>#VALUE!</v>
      </c>
      <c r="GM97" t="e">
        <f>AND('STERLING CATALOG - DRY '!J2082,"AAAAAH/f08I=")</f>
        <v>#VALUE!</v>
      </c>
      <c r="GN97">
        <f>IF('STERLING CATALOG - DRY '!2083:2083,"AAAAAH/f08M=",0)</f>
        <v>0</v>
      </c>
      <c r="GO97" t="e">
        <f>AND('STERLING CATALOG - DRY '!A2083,"AAAAAH/f08Q=")</f>
        <v>#VALUE!</v>
      </c>
      <c r="GP97" t="e">
        <f>AND('STERLING CATALOG - DRY '!B2083,"AAAAAH/f08U=")</f>
        <v>#VALUE!</v>
      </c>
      <c r="GQ97" t="e">
        <f>AND('STERLING CATALOG - DRY '!C2083,"AAAAAH/f08Y=")</f>
        <v>#VALUE!</v>
      </c>
      <c r="GR97" t="e">
        <f>AND('STERLING CATALOG - DRY '!D2083,"AAAAAH/f08c=")</f>
        <v>#VALUE!</v>
      </c>
      <c r="GS97" t="e">
        <f>AND('STERLING CATALOG - DRY '!E2083,"AAAAAH/f08g=")</f>
        <v>#VALUE!</v>
      </c>
      <c r="GT97" t="e">
        <f>AND('STERLING CATALOG - DRY '!F2083,"AAAAAH/f08k=")</f>
        <v>#VALUE!</v>
      </c>
      <c r="GU97" t="e">
        <f>AND('STERLING CATALOG - DRY '!G2083,"AAAAAH/f08o=")</f>
        <v>#VALUE!</v>
      </c>
      <c r="GV97" t="e">
        <f>AND('STERLING CATALOG - DRY '!H2083,"AAAAAH/f08s=")</f>
        <v>#VALUE!</v>
      </c>
      <c r="GW97" t="e">
        <f>AND('STERLING CATALOG - DRY '!I2083,"AAAAAH/f08w=")</f>
        <v>#VALUE!</v>
      </c>
      <c r="GX97" t="e">
        <f>AND('STERLING CATALOG - DRY '!J2083,"AAAAAH/f080=")</f>
        <v>#VALUE!</v>
      </c>
      <c r="GY97">
        <f>IF('STERLING CATALOG - DRY '!2084:2084,"AAAAAH/f084=",0)</f>
        <v>0</v>
      </c>
      <c r="GZ97" t="e">
        <f>AND('STERLING CATALOG - DRY '!A2084,"AAAAAH/f088=")</f>
        <v>#VALUE!</v>
      </c>
      <c r="HA97" t="e">
        <f>AND('STERLING CATALOG - DRY '!B2084,"AAAAAH/f09A=")</f>
        <v>#VALUE!</v>
      </c>
      <c r="HB97" t="e">
        <f>AND('STERLING CATALOG - DRY '!C2084,"AAAAAH/f09E=")</f>
        <v>#VALUE!</v>
      </c>
      <c r="HC97" t="e">
        <f>AND('STERLING CATALOG - DRY '!D2084,"AAAAAH/f09I=")</f>
        <v>#VALUE!</v>
      </c>
      <c r="HD97" t="e">
        <f>AND('STERLING CATALOG - DRY '!E2084,"AAAAAH/f09M=")</f>
        <v>#VALUE!</v>
      </c>
      <c r="HE97" t="e">
        <f>AND('STERLING CATALOG - DRY '!F2084,"AAAAAH/f09Q=")</f>
        <v>#VALUE!</v>
      </c>
      <c r="HF97" t="e">
        <f>AND('STERLING CATALOG - DRY '!G2084,"AAAAAH/f09U=")</f>
        <v>#VALUE!</v>
      </c>
      <c r="HG97" t="e">
        <f>AND('STERLING CATALOG - DRY '!H2084,"AAAAAH/f09Y=")</f>
        <v>#VALUE!</v>
      </c>
      <c r="HH97" t="e">
        <f>AND('STERLING CATALOG - DRY '!I2084,"AAAAAH/f09c=")</f>
        <v>#VALUE!</v>
      </c>
      <c r="HI97" t="e">
        <f>AND('STERLING CATALOG - DRY '!J2084,"AAAAAH/f09g=")</f>
        <v>#VALUE!</v>
      </c>
      <c r="HJ97">
        <f>IF('STERLING CATALOG - DRY '!2085:2085,"AAAAAH/f09k=",0)</f>
        <v>0</v>
      </c>
      <c r="HK97" t="e">
        <f>AND('STERLING CATALOG - DRY '!A2085,"AAAAAH/f09o=")</f>
        <v>#VALUE!</v>
      </c>
      <c r="HL97" t="e">
        <f>AND('STERLING CATALOG - DRY '!B2085,"AAAAAH/f09s=")</f>
        <v>#VALUE!</v>
      </c>
      <c r="HM97" t="e">
        <f>AND('STERLING CATALOG - DRY '!C2085,"AAAAAH/f09w=")</f>
        <v>#VALUE!</v>
      </c>
      <c r="HN97" t="e">
        <f>AND('STERLING CATALOG - DRY '!D2085,"AAAAAH/f090=")</f>
        <v>#VALUE!</v>
      </c>
      <c r="HO97" t="e">
        <f>AND('STERLING CATALOG - DRY '!E2085,"AAAAAH/f094=")</f>
        <v>#VALUE!</v>
      </c>
      <c r="HP97" t="e">
        <f>AND('STERLING CATALOG - DRY '!F2085,"AAAAAH/f098=")</f>
        <v>#VALUE!</v>
      </c>
      <c r="HQ97" t="e">
        <f>AND('STERLING CATALOG - DRY '!G2085,"AAAAAH/f0+A=")</f>
        <v>#VALUE!</v>
      </c>
      <c r="HR97" t="e">
        <f>AND('STERLING CATALOG - DRY '!H2085,"AAAAAH/f0+E=")</f>
        <v>#VALUE!</v>
      </c>
      <c r="HS97" t="e">
        <f>AND('STERLING CATALOG - DRY '!I2085,"AAAAAH/f0+I=")</f>
        <v>#VALUE!</v>
      </c>
      <c r="HT97" t="e">
        <f>AND('STERLING CATALOG - DRY '!J2085,"AAAAAH/f0+M=")</f>
        <v>#VALUE!</v>
      </c>
      <c r="HU97">
        <f>IF('STERLING CATALOG - DRY '!2086:2086,"AAAAAH/f0+Q=",0)</f>
        <v>0</v>
      </c>
      <c r="HV97" t="e">
        <f>AND('STERLING CATALOG - DRY '!A2086,"AAAAAH/f0+U=")</f>
        <v>#VALUE!</v>
      </c>
      <c r="HW97" t="e">
        <f>AND('STERLING CATALOG - DRY '!B2086,"AAAAAH/f0+Y=")</f>
        <v>#VALUE!</v>
      </c>
      <c r="HX97" t="e">
        <f>AND('STERLING CATALOG - DRY '!C2086,"AAAAAH/f0+c=")</f>
        <v>#VALUE!</v>
      </c>
      <c r="HY97" t="e">
        <f>AND('STERLING CATALOG - DRY '!D2086,"AAAAAH/f0+g=")</f>
        <v>#VALUE!</v>
      </c>
      <c r="HZ97" t="e">
        <f>AND('STERLING CATALOG - DRY '!E2086,"AAAAAH/f0+k=")</f>
        <v>#VALUE!</v>
      </c>
      <c r="IA97" t="e">
        <f>AND('STERLING CATALOG - DRY '!F2086,"AAAAAH/f0+o=")</f>
        <v>#VALUE!</v>
      </c>
      <c r="IB97" t="e">
        <f>AND('STERLING CATALOG - DRY '!G2086,"AAAAAH/f0+s=")</f>
        <v>#VALUE!</v>
      </c>
      <c r="IC97" t="e">
        <f>AND('STERLING CATALOG - DRY '!H2086,"AAAAAH/f0+w=")</f>
        <v>#VALUE!</v>
      </c>
      <c r="ID97" t="e">
        <f>AND('STERLING CATALOG - DRY '!I2086,"AAAAAH/f0+0=")</f>
        <v>#VALUE!</v>
      </c>
      <c r="IE97" t="e">
        <f>AND('STERLING CATALOG - DRY '!J2086,"AAAAAH/f0+4=")</f>
        <v>#VALUE!</v>
      </c>
      <c r="IF97">
        <f>IF('STERLING CATALOG - DRY '!2087:2087,"AAAAAH/f0+8=",0)</f>
        <v>0</v>
      </c>
      <c r="IG97" t="e">
        <f>AND('STERLING CATALOG - DRY '!A2087,"AAAAAH/f0/A=")</f>
        <v>#VALUE!</v>
      </c>
      <c r="IH97" t="e">
        <f>AND('STERLING CATALOG - DRY '!B2087,"AAAAAH/f0/E=")</f>
        <v>#VALUE!</v>
      </c>
      <c r="II97" t="e">
        <f>AND('STERLING CATALOG - DRY '!C2087,"AAAAAH/f0/I=")</f>
        <v>#VALUE!</v>
      </c>
      <c r="IJ97" t="e">
        <f>AND('STERLING CATALOG - DRY '!D2087,"AAAAAH/f0/M=")</f>
        <v>#VALUE!</v>
      </c>
      <c r="IK97" t="e">
        <f>AND('STERLING CATALOG - DRY '!E2087,"AAAAAH/f0/Q=")</f>
        <v>#VALUE!</v>
      </c>
      <c r="IL97" t="e">
        <f>AND('STERLING CATALOG - DRY '!F2087,"AAAAAH/f0/U=")</f>
        <v>#VALUE!</v>
      </c>
      <c r="IM97" t="e">
        <f>AND('STERLING CATALOG - DRY '!G2087,"AAAAAH/f0/Y=")</f>
        <v>#VALUE!</v>
      </c>
      <c r="IN97" t="e">
        <f>AND('STERLING CATALOG - DRY '!H2087,"AAAAAH/f0/c=")</f>
        <v>#VALUE!</v>
      </c>
      <c r="IO97" t="e">
        <f>AND('STERLING CATALOG - DRY '!I2087,"AAAAAH/f0/g=")</f>
        <v>#VALUE!</v>
      </c>
      <c r="IP97" t="e">
        <f>AND('STERLING CATALOG - DRY '!J2087,"AAAAAH/f0/k=")</f>
        <v>#VALUE!</v>
      </c>
      <c r="IQ97">
        <f>IF('STERLING CATALOG - DRY '!2088:2088,"AAAAAH/f0/o=",0)</f>
        <v>0</v>
      </c>
      <c r="IR97" t="e">
        <f>AND('STERLING CATALOG - DRY '!A2088,"AAAAAH/f0/s=")</f>
        <v>#VALUE!</v>
      </c>
      <c r="IS97" t="e">
        <f>AND('STERLING CATALOG - DRY '!B2088,"AAAAAH/f0/w=")</f>
        <v>#VALUE!</v>
      </c>
      <c r="IT97" t="e">
        <f>AND('STERLING CATALOG - DRY '!C2088,"AAAAAH/f0/0=")</f>
        <v>#VALUE!</v>
      </c>
      <c r="IU97" t="e">
        <f>AND('STERLING CATALOG - DRY '!D2088,"AAAAAH/f0/4=")</f>
        <v>#VALUE!</v>
      </c>
      <c r="IV97" t="e">
        <f>AND('STERLING CATALOG - DRY '!E2088,"AAAAAH/f0/8=")</f>
        <v>#VALUE!</v>
      </c>
    </row>
    <row r="98" spans="1:256">
      <c r="A98" t="e">
        <f>AND('STERLING CATALOG - DRY '!F2088,"AAAAAH9cPwA=")</f>
        <v>#VALUE!</v>
      </c>
      <c r="B98" t="e">
        <f>AND('STERLING CATALOG - DRY '!G2088,"AAAAAH9cPwE=")</f>
        <v>#VALUE!</v>
      </c>
      <c r="C98" t="e">
        <f>AND('STERLING CATALOG - DRY '!H2088,"AAAAAH9cPwI=")</f>
        <v>#VALUE!</v>
      </c>
      <c r="D98" t="e">
        <f>AND('STERLING CATALOG - DRY '!I2088,"AAAAAH9cPwM=")</f>
        <v>#VALUE!</v>
      </c>
      <c r="E98" t="e">
        <f>AND('STERLING CATALOG - DRY '!J2088,"AAAAAH9cPwQ=")</f>
        <v>#VALUE!</v>
      </c>
      <c r="F98" t="str">
        <f>IF('STERLING CATALOG - DRY '!2089:2089,"AAAAAH9cPwU=",0)</f>
        <v>AAAAAH9cPwU=</v>
      </c>
      <c r="G98" t="e">
        <f>AND('STERLING CATALOG - DRY '!A2089,"AAAAAH9cPwY=")</f>
        <v>#VALUE!</v>
      </c>
      <c r="H98" t="e">
        <f>AND('STERLING CATALOG - DRY '!B2089,"AAAAAH9cPwc=")</f>
        <v>#VALUE!</v>
      </c>
      <c r="I98" t="e">
        <f>AND('STERLING CATALOG - DRY '!C2089,"AAAAAH9cPwg=")</f>
        <v>#VALUE!</v>
      </c>
      <c r="J98" t="e">
        <f>AND('STERLING CATALOG - DRY '!D2089,"AAAAAH9cPwk=")</f>
        <v>#VALUE!</v>
      </c>
      <c r="K98" t="e">
        <f>AND('STERLING CATALOG - DRY '!E2089,"AAAAAH9cPwo=")</f>
        <v>#VALUE!</v>
      </c>
      <c r="L98" t="e">
        <f>AND('STERLING CATALOG - DRY '!F2089,"AAAAAH9cPws=")</f>
        <v>#VALUE!</v>
      </c>
      <c r="M98" t="e">
        <f>AND('STERLING CATALOG - DRY '!G2089,"AAAAAH9cPww=")</f>
        <v>#VALUE!</v>
      </c>
      <c r="N98" t="e">
        <f>AND('STERLING CATALOG - DRY '!H2089,"AAAAAH9cPw0=")</f>
        <v>#VALUE!</v>
      </c>
      <c r="O98" t="e">
        <f>AND('STERLING CATALOG - DRY '!I2089,"AAAAAH9cPw4=")</f>
        <v>#VALUE!</v>
      </c>
      <c r="P98" t="e">
        <f>AND('STERLING CATALOG - DRY '!J2089,"AAAAAH9cPw8=")</f>
        <v>#VALUE!</v>
      </c>
      <c r="Q98">
        <f>IF('STERLING CATALOG - DRY '!2090:2090,"AAAAAH9cPxA=",0)</f>
        <v>0</v>
      </c>
      <c r="R98" t="e">
        <f>AND('STERLING CATALOG - DRY '!A2090,"AAAAAH9cPxE=")</f>
        <v>#VALUE!</v>
      </c>
      <c r="S98" t="e">
        <f>AND('STERLING CATALOG - DRY '!B2090,"AAAAAH9cPxI=")</f>
        <v>#VALUE!</v>
      </c>
      <c r="T98" t="e">
        <f>AND('STERLING CATALOG - DRY '!C2090,"AAAAAH9cPxM=")</f>
        <v>#VALUE!</v>
      </c>
      <c r="U98" t="e">
        <f>AND('STERLING CATALOG - DRY '!D2090,"AAAAAH9cPxQ=")</f>
        <v>#VALUE!</v>
      </c>
      <c r="V98" t="e">
        <f>AND('STERLING CATALOG - DRY '!E2090,"AAAAAH9cPxU=")</f>
        <v>#VALUE!</v>
      </c>
      <c r="W98" t="e">
        <f>AND('STERLING CATALOG - DRY '!F2090,"AAAAAH9cPxY=")</f>
        <v>#VALUE!</v>
      </c>
      <c r="X98" t="e">
        <f>AND('STERLING CATALOG - DRY '!G2090,"AAAAAH9cPxc=")</f>
        <v>#VALUE!</v>
      </c>
      <c r="Y98" t="e">
        <f>AND('STERLING CATALOG - DRY '!H2090,"AAAAAH9cPxg=")</f>
        <v>#VALUE!</v>
      </c>
      <c r="Z98" t="e">
        <f>AND('STERLING CATALOG - DRY '!I2090,"AAAAAH9cPxk=")</f>
        <v>#VALUE!</v>
      </c>
      <c r="AA98" t="e">
        <f>AND('STERLING CATALOG - DRY '!J2090,"AAAAAH9cPxo=")</f>
        <v>#VALUE!</v>
      </c>
      <c r="AB98">
        <f>IF('STERLING CATALOG - DRY '!2091:2091,"AAAAAH9cPxs=",0)</f>
        <v>0</v>
      </c>
      <c r="AC98" t="e">
        <f>AND('STERLING CATALOG - DRY '!A2091,"AAAAAH9cPxw=")</f>
        <v>#VALUE!</v>
      </c>
      <c r="AD98" t="e">
        <f>AND('STERLING CATALOG - DRY '!B2091,"AAAAAH9cPx0=")</f>
        <v>#VALUE!</v>
      </c>
      <c r="AE98" t="e">
        <f>AND('STERLING CATALOG - DRY '!C2091,"AAAAAH9cPx4=")</f>
        <v>#VALUE!</v>
      </c>
      <c r="AF98" t="e">
        <f>AND('STERLING CATALOG - DRY '!D2091,"AAAAAH9cPx8=")</f>
        <v>#VALUE!</v>
      </c>
      <c r="AG98" t="e">
        <f>AND('STERLING CATALOG - DRY '!E2091,"AAAAAH9cPyA=")</f>
        <v>#VALUE!</v>
      </c>
      <c r="AH98" t="e">
        <f>AND('STERLING CATALOG - DRY '!F2091,"AAAAAH9cPyE=")</f>
        <v>#VALUE!</v>
      </c>
      <c r="AI98" t="e">
        <f>AND('STERLING CATALOG - DRY '!G2091,"AAAAAH9cPyI=")</f>
        <v>#VALUE!</v>
      </c>
      <c r="AJ98" t="e">
        <f>AND('STERLING CATALOG - DRY '!H2091,"AAAAAH9cPyM=")</f>
        <v>#VALUE!</v>
      </c>
      <c r="AK98" t="e">
        <f>AND('STERLING CATALOG - DRY '!I2091,"AAAAAH9cPyQ=")</f>
        <v>#VALUE!</v>
      </c>
      <c r="AL98" t="e">
        <f>AND('STERLING CATALOG - DRY '!J2091,"AAAAAH9cPyU=")</f>
        <v>#VALUE!</v>
      </c>
      <c r="AM98">
        <f>IF('STERLING CATALOG - DRY '!2092:2092,"AAAAAH9cPyY=",0)</f>
        <v>0</v>
      </c>
      <c r="AN98" t="e">
        <f>AND('STERLING CATALOG - DRY '!A2092,"AAAAAH9cPyc=")</f>
        <v>#VALUE!</v>
      </c>
      <c r="AO98" t="e">
        <f>AND('STERLING CATALOG - DRY '!B2092,"AAAAAH9cPyg=")</f>
        <v>#VALUE!</v>
      </c>
      <c r="AP98" t="e">
        <f>AND('STERLING CATALOG - DRY '!C2092,"AAAAAH9cPyk=")</f>
        <v>#VALUE!</v>
      </c>
      <c r="AQ98" t="e">
        <f>AND('STERLING CATALOG - DRY '!D2092,"AAAAAH9cPyo=")</f>
        <v>#VALUE!</v>
      </c>
      <c r="AR98" t="e">
        <f>AND('STERLING CATALOG - DRY '!E2092,"AAAAAH9cPys=")</f>
        <v>#VALUE!</v>
      </c>
      <c r="AS98" t="e">
        <f>AND('STERLING CATALOG - DRY '!F2092,"AAAAAH9cPyw=")</f>
        <v>#VALUE!</v>
      </c>
      <c r="AT98" t="e">
        <f>AND('STERLING CATALOG - DRY '!G2092,"AAAAAH9cPy0=")</f>
        <v>#VALUE!</v>
      </c>
      <c r="AU98" t="e">
        <f>AND('STERLING CATALOG - DRY '!H2092,"AAAAAH9cPy4=")</f>
        <v>#VALUE!</v>
      </c>
      <c r="AV98" t="e">
        <f>AND('STERLING CATALOG - DRY '!I2092,"AAAAAH9cPy8=")</f>
        <v>#VALUE!</v>
      </c>
      <c r="AW98" t="e">
        <f>AND('STERLING CATALOG - DRY '!J2092,"AAAAAH9cPzA=")</f>
        <v>#VALUE!</v>
      </c>
      <c r="AX98">
        <f>IF('STERLING CATALOG - DRY '!2093:2093,"AAAAAH9cPzE=",0)</f>
        <v>0</v>
      </c>
      <c r="AY98" t="e">
        <f>AND('STERLING CATALOG - DRY '!A2093,"AAAAAH9cPzI=")</f>
        <v>#VALUE!</v>
      </c>
      <c r="AZ98" t="e">
        <f>AND('STERLING CATALOG - DRY '!B2093,"AAAAAH9cPzM=")</f>
        <v>#VALUE!</v>
      </c>
      <c r="BA98" t="e">
        <f>AND('STERLING CATALOG - DRY '!C2093,"AAAAAH9cPzQ=")</f>
        <v>#VALUE!</v>
      </c>
      <c r="BB98" t="e">
        <f>AND('STERLING CATALOG - DRY '!D2093,"AAAAAH9cPzU=")</f>
        <v>#VALUE!</v>
      </c>
      <c r="BC98" t="e">
        <f>AND('STERLING CATALOG - DRY '!E2093,"AAAAAH9cPzY=")</f>
        <v>#VALUE!</v>
      </c>
      <c r="BD98" t="e">
        <f>AND('STERLING CATALOG - DRY '!F2093,"AAAAAH9cPzc=")</f>
        <v>#VALUE!</v>
      </c>
      <c r="BE98" t="e">
        <f>AND('STERLING CATALOG - DRY '!G2093,"AAAAAH9cPzg=")</f>
        <v>#VALUE!</v>
      </c>
      <c r="BF98" t="e">
        <f>AND('STERLING CATALOG - DRY '!H2093,"AAAAAH9cPzk=")</f>
        <v>#VALUE!</v>
      </c>
      <c r="BG98" t="e">
        <f>AND('STERLING CATALOG - DRY '!I2093,"AAAAAH9cPzo=")</f>
        <v>#VALUE!</v>
      </c>
      <c r="BH98" t="e">
        <f>AND('STERLING CATALOG - DRY '!J2093,"AAAAAH9cPzs=")</f>
        <v>#VALUE!</v>
      </c>
      <c r="BI98">
        <f>IF('STERLING CATALOG - DRY '!2094:2094,"AAAAAH9cPzw=",0)</f>
        <v>0</v>
      </c>
      <c r="BJ98" t="e">
        <f>AND('STERLING CATALOG - DRY '!A2094,"AAAAAH9cPz0=")</f>
        <v>#VALUE!</v>
      </c>
      <c r="BK98" t="e">
        <f>AND('STERLING CATALOG - DRY '!B2094,"AAAAAH9cPz4=")</f>
        <v>#VALUE!</v>
      </c>
      <c r="BL98" t="e">
        <f>AND('STERLING CATALOG - DRY '!C2094,"AAAAAH9cPz8=")</f>
        <v>#VALUE!</v>
      </c>
      <c r="BM98" t="e">
        <f>AND('STERLING CATALOG - DRY '!D2094,"AAAAAH9cP0A=")</f>
        <v>#VALUE!</v>
      </c>
      <c r="BN98" t="e">
        <f>AND('STERLING CATALOG - DRY '!E2094,"AAAAAH9cP0E=")</f>
        <v>#VALUE!</v>
      </c>
      <c r="BO98" t="e">
        <f>AND('STERLING CATALOG - DRY '!F2094,"AAAAAH9cP0I=")</f>
        <v>#VALUE!</v>
      </c>
      <c r="BP98" t="e">
        <f>AND('STERLING CATALOG - DRY '!G2094,"AAAAAH9cP0M=")</f>
        <v>#VALUE!</v>
      </c>
      <c r="BQ98" t="e">
        <f>AND('STERLING CATALOG - DRY '!H2094,"AAAAAH9cP0Q=")</f>
        <v>#VALUE!</v>
      </c>
      <c r="BR98" t="e">
        <f>AND('STERLING CATALOG - DRY '!I2094,"AAAAAH9cP0U=")</f>
        <v>#VALUE!</v>
      </c>
      <c r="BS98" t="e">
        <f>AND('STERLING CATALOG - DRY '!J2094,"AAAAAH9cP0Y=")</f>
        <v>#VALUE!</v>
      </c>
      <c r="BT98">
        <f>IF('STERLING CATALOG - DRY '!2095:2095,"AAAAAH9cP0c=",0)</f>
        <v>0</v>
      </c>
      <c r="BU98" t="e">
        <f>AND('STERLING CATALOG - DRY '!A2095,"AAAAAH9cP0g=")</f>
        <v>#VALUE!</v>
      </c>
      <c r="BV98" t="e">
        <f>AND('STERLING CATALOG - DRY '!B2095,"AAAAAH9cP0k=")</f>
        <v>#VALUE!</v>
      </c>
      <c r="BW98" t="e">
        <f>AND('STERLING CATALOG - DRY '!C2095,"AAAAAH9cP0o=")</f>
        <v>#VALUE!</v>
      </c>
      <c r="BX98" t="e">
        <f>AND('STERLING CATALOG - DRY '!D2095,"AAAAAH9cP0s=")</f>
        <v>#VALUE!</v>
      </c>
      <c r="BY98" t="e">
        <f>AND('STERLING CATALOG - DRY '!E2095,"AAAAAH9cP0w=")</f>
        <v>#VALUE!</v>
      </c>
      <c r="BZ98" t="e">
        <f>AND('STERLING CATALOG - DRY '!F2095,"AAAAAH9cP00=")</f>
        <v>#VALUE!</v>
      </c>
      <c r="CA98" t="e">
        <f>AND('STERLING CATALOG - DRY '!G2095,"AAAAAH9cP04=")</f>
        <v>#VALUE!</v>
      </c>
      <c r="CB98" t="e">
        <f>AND('STERLING CATALOG - DRY '!H2095,"AAAAAH9cP08=")</f>
        <v>#VALUE!</v>
      </c>
      <c r="CC98" t="e">
        <f>AND('STERLING CATALOG - DRY '!I2095,"AAAAAH9cP1A=")</f>
        <v>#VALUE!</v>
      </c>
      <c r="CD98" t="e">
        <f>AND('STERLING CATALOG - DRY '!J2095,"AAAAAH9cP1E=")</f>
        <v>#VALUE!</v>
      </c>
      <c r="CE98">
        <f>IF('STERLING CATALOG - DRY '!2096:2096,"AAAAAH9cP1I=",0)</f>
        <v>0</v>
      </c>
      <c r="CF98" t="e">
        <f>AND('STERLING CATALOG - DRY '!A2096,"AAAAAH9cP1M=")</f>
        <v>#VALUE!</v>
      </c>
      <c r="CG98" t="e">
        <f>AND('STERLING CATALOG - DRY '!B2096,"AAAAAH9cP1Q=")</f>
        <v>#VALUE!</v>
      </c>
      <c r="CH98" t="e">
        <f>AND('STERLING CATALOG - DRY '!C2096,"AAAAAH9cP1U=")</f>
        <v>#VALUE!</v>
      </c>
      <c r="CI98" t="e">
        <f>AND('STERLING CATALOG - DRY '!D2096,"AAAAAH9cP1Y=")</f>
        <v>#VALUE!</v>
      </c>
      <c r="CJ98" t="e">
        <f>AND('STERLING CATALOG - DRY '!E2096,"AAAAAH9cP1c=")</f>
        <v>#VALUE!</v>
      </c>
      <c r="CK98" t="e">
        <f>AND('STERLING CATALOG - DRY '!F2096,"AAAAAH9cP1g=")</f>
        <v>#VALUE!</v>
      </c>
      <c r="CL98" t="e">
        <f>AND('STERLING CATALOG - DRY '!G2096,"AAAAAH9cP1k=")</f>
        <v>#VALUE!</v>
      </c>
      <c r="CM98" t="e">
        <f>AND('STERLING CATALOG - DRY '!H2096,"AAAAAH9cP1o=")</f>
        <v>#VALUE!</v>
      </c>
      <c r="CN98" t="e">
        <f>AND('STERLING CATALOG - DRY '!I2096,"AAAAAH9cP1s=")</f>
        <v>#VALUE!</v>
      </c>
      <c r="CO98" t="e">
        <f>AND('STERLING CATALOG - DRY '!J2096,"AAAAAH9cP1w=")</f>
        <v>#VALUE!</v>
      </c>
      <c r="CP98">
        <f>IF('STERLING CATALOG - DRY '!2097:2097,"AAAAAH9cP10=",0)</f>
        <v>0</v>
      </c>
      <c r="CQ98" t="e">
        <f>AND('STERLING CATALOG - DRY '!A2097,"AAAAAH9cP14=")</f>
        <v>#VALUE!</v>
      </c>
      <c r="CR98" t="e">
        <f>AND('STERLING CATALOG - DRY '!B2097,"AAAAAH9cP18=")</f>
        <v>#VALUE!</v>
      </c>
      <c r="CS98" t="e">
        <f>AND('STERLING CATALOG - DRY '!C2097,"AAAAAH9cP2A=")</f>
        <v>#VALUE!</v>
      </c>
      <c r="CT98" t="e">
        <f>AND('STERLING CATALOG - DRY '!D2097,"AAAAAH9cP2E=")</f>
        <v>#VALUE!</v>
      </c>
      <c r="CU98" t="e">
        <f>AND('STERLING CATALOG - DRY '!E2097,"AAAAAH9cP2I=")</f>
        <v>#VALUE!</v>
      </c>
      <c r="CV98" t="e">
        <f>AND('STERLING CATALOG - DRY '!F2097,"AAAAAH9cP2M=")</f>
        <v>#VALUE!</v>
      </c>
      <c r="CW98" t="e">
        <f>AND('STERLING CATALOG - DRY '!G2097,"AAAAAH9cP2Q=")</f>
        <v>#VALUE!</v>
      </c>
      <c r="CX98" t="e">
        <f>AND('STERLING CATALOG - DRY '!H2097,"AAAAAH9cP2U=")</f>
        <v>#VALUE!</v>
      </c>
      <c r="CY98" t="e">
        <f>AND('STERLING CATALOG - DRY '!I2097,"AAAAAH9cP2Y=")</f>
        <v>#VALUE!</v>
      </c>
      <c r="CZ98" t="e">
        <f>AND('STERLING CATALOG - DRY '!J2097,"AAAAAH9cP2c=")</f>
        <v>#VALUE!</v>
      </c>
      <c r="DA98">
        <f>IF('STERLING CATALOG - DRY '!2098:2098,"AAAAAH9cP2g=",0)</f>
        <v>0</v>
      </c>
      <c r="DB98" t="e">
        <f>AND('STERLING CATALOG - DRY '!A2098,"AAAAAH9cP2k=")</f>
        <v>#VALUE!</v>
      </c>
      <c r="DC98" t="e">
        <f>AND('STERLING CATALOG - DRY '!B2098,"AAAAAH9cP2o=")</f>
        <v>#VALUE!</v>
      </c>
      <c r="DD98" t="e">
        <f>AND('STERLING CATALOG - DRY '!C2098,"AAAAAH9cP2s=")</f>
        <v>#VALUE!</v>
      </c>
      <c r="DE98" t="e">
        <f>AND('STERLING CATALOG - DRY '!D2098,"AAAAAH9cP2w=")</f>
        <v>#VALUE!</v>
      </c>
      <c r="DF98" t="e">
        <f>AND('STERLING CATALOG - DRY '!E2098,"AAAAAH9cP20=")</f>
        <v>#VALUE!</v>
      </c>
      <c r="DG98" t="e">
        <f>AND('STERLING CATALOG - DRY '!F2098,"AAAAAH9cP24=")</f>
        <v>#VALUE!</v>
      </c>
      <c r="DH98" t="e">
        <f>AND('STERLING CATALOG - DRY '!G2098,"AAAAAH9cP28=")</f>
        <v>#VALUE!</v>
      </c>
      <c r="DI98" t="e">
        <f>AND('STERLING CATALOG - DRY '!H2098,"AAAAAH9cP3A=")</f>
        <v>#VALUE!</v>
      </c>
      <c r="DJ98" t="e">
        <f>AND('STERLING CATALOG - DRY '!I2098,"AAAAAH9cP3E=")</f>
        <v>#VALUE!</v>
      </c>
      <c r="DK98" t="e">
        <f>AND('STERLING CATALOG - DRY '!J2098,"AAAAAH9cP3I=")</f>
        <v>#VALUE!</v>
      </c>
      <c r="DL98">
        <f>IF('STERLING CATALOG - DRY '!2099:2099,"AAAAAH9cP3M=",0)</f>
        <v>0</v>
      </c>
      <c r="DM98" t="e">
        <f>AND('STERLING CATALOG - DRY '!A2099,"AAAAAH9cP3Q=")</f>
        <v>#VALUE!</v>
      </c>
      <c r="DN98" t="e">
        <f>AND('STERLING CATALOG - DRY '!B2099,"AAAAAH9cP3U=")</f>
        <v>#VALUE!</v>
      </c>
      <c r="DO98" t="e">
        <f>AND('STERLING CATALOG - DRY '!C2099,"AAAAAH9cP3Y=")</f>
        <v>#VALUE!</v>
      </c>
      <c r="DP98" t="e">
        <f>AND('STERLING CATALOG - DRY '!D2099,"AAAAAH9cP3c=")</f>
        <v>#VALUE!</v>
      </c>
      <c r="DQ98" t="e">
        <f>AND('STERLING CATALOG - DRY '!E2099,"AAAAAH9cP3g=")</f>
        <v>#VALUE!</v>
      </c>
      <c r="DR98" t="e">
        <f>AND('STERLING CATALOG - DRY '!F2099,"AAAAAH9cP3k=")</f>
        <v>#VALUE!</v>
      </c>
      <c r="DS98" t="e">
        <f>AND('STERLING CATALOG - DRY '!G2099,"AAAAAH9cP3o=")</f>
        <v>#VALUE!</v>
      </c>
      <c r="DT98" t="e">
        <f>AND('STERLING CATALOG - DRY '!H2099,"AAAAAH9cP3s=")</f>
        <v>#VALUE!</v>
      </c>
      <c r="DU98" t="e">
        <f>AND('STERLING CATALOG - DRY '!I2099,"AAAAAH9cP3w=")</f>
        <v>#VALUE!</v>
      </c>
      <c r="DV98" t="e">
        <f>AND('STERLING CATALOG - DRY '!J2099,"AAAAAH9cP30=")</f>
        <v>#VALUE!</v>
      </c>
      <c r="DW98">
        <f>IF('STERLING CATALOG - DRY '!2100:2100,"AAAAAH9cP34=",0)</f>
        <v>0</v>
      </c>
      <c r="DX98" t="e">
        <f>AND('STERLING CATALOG - DRY '!A2100,"AAAAAH9cP38=")</f>
        <v>#VALUE!</v>
      </c>
      <c r="DY98" t="e">
        <f>AND('STERLING CATALOG - DRY '!B2100,"AAAAAH9cP4A=")</f>
        <v>#VALUE!</v>
      </c>
      <c r="DZ98" t="e">
        <f>AND('STERLING CATALOG - DRY '!C2100,"AAAAAH9cP4E=")</f>
        <v>#VALUE!</v>
      </c>
      <c r="EA98" t="e">
        <f>AND('STERLING CATALOG - DRY '!D2100,"AAAAAH9cP4I=")</f>
        <v>#VALUE!</v>
      </c>
      <c r="EB98" t="e">
        <f>AND('STERLING CATALOG - DRY '!E2100,"AAAAAH9cP4M=")</f>
        <v>#VALUE!</v>
      </c>
      <c r="EC98" t="e">
        <f>AND('STERLING CATALOG - DRY '!F2100,"AAAAAH9cP4Q=")</f>
        <v>#VALUE!</v>
      </c>
      <c r="ED98" t="e">
        <f>AND('STERLING CATALOG - DRY '!G2100,"AAAAAH9cP4U=")</f>
        <v>#VALUE!</v>
      </c>
      <c r="EE98" t="e">
        <f>AND('STERLING CATALOG - DRY '!H2100,"AAAAAH9cP4Y=")</f>
        <v>#VALUE!</v>
      </c>
      <c r="EF98" t="e">
        <f>AND('STERLING CATALOG - DRY '!I2100,"AAAAAH9cP4c=")</f>
        <v>#VALUE!</v>
      </c>
      <c r="EG98" t="e">
        <f>AND('STERLING CATALOG - DRY '!J2100,"AAAAAH9cP4g=")</f>
        <v>#VALUE!</v>
      </c>
      <c r="EH98">
        <f>IF('STERLING CATALOG - DRY '!2101:2101,"AAAAAH9cP4k=",0)</f>
        <v>0</v>
      </c>
      <c r="EI98" t="e">
        <f>AND('STERLING CATALOG - DRY '!A2101,"AAAAAH9cP4o=")</f>
        <v>#VALUE!</v>
      </c>
      <c r="EJ98" t="e">
        <f>AND('STERLING CATALOG - DRY '!B2101,"AAAAAH9cP4s=")</f>
        <v>#VALUE!</v>
      </c>
      <c r="EK98" t="e">
        <f>AND('STERLING CATALOG - DRY '!C2101,"AAAAAH9cP4w=")</f>
        <v>#VALUE!</v>
      </c>
      <c r="EL98" t="e">
        <f>AND('STERLING CATALOG - DRY '!D2101,"AAAAAH9cP40=")</f>
        <v>#VALUE!</v>
      </c>
      <c r="EM98" t="e">
        <f>AND('STERLING CATALOG - DRY '!E2101,"AAAAAH9cP44=")</f>
        <v>#VALUE!</v>
      </c>
      <c r="EN98" t="e">
        <f>AND('STERLING CATALOG - DRY '!F2101,"AAAAAH9cP48=")</f>
        <v>#VALUE!</v>
      </c>
      <c r="EO98" t="e">
        <f>AND('STERLING CATALOG - DRY '!G2101,"AAAAAH9cP5A=")</f>
        <v>#VALUE!</v>
      </c>
      <c r="EP98" t="e">
        <f>AND('STERLING CATALOG - DRY '!H2101,"AAAAAH9cP5E=")</f>
        <v>#VALUE!</v>
      </c>
      <c r="EQ98" t="e">
        <f>AND('STERLING CATALOG - DRY '!I2101,"AAAAAH9cP5I=")</f>
        <v>#VALUE!</v>
      </c>
      <c r="ER98" t="e">
        <f>AND('STERLING CATALOG - DRY '!J2101,"AAAAAH9cP5M=")</f>
        <v>#VALUE!</v>
      </c>
      <c r="ES98">
        <f>IF('STERLING CATALOG - DRY '!2102:2102,"AAAAAH9cP5Q=",0)</f>
        <v>0</v>
      </c>
      <c r="ET98" t="e">
        <f>AND('STERLING CATALOG - DRY '!A2102,"AAAAAH9cP5U=")</f>
        <v>#VALUE!</v>
      </c>
      <c r="EU98" t="e">
        <f>AND('STERLING CATALOG - DRY '!B2102,"AAAAAH9cP5Y=")</f>
        <v>#VALUE!</v>
      </c>
      <c r="EV98" t="e">
        <f>AND('STERLING CATALOG - DRY '!C2102,"AAAAAH9cP5c=")</f>
        <v>#VALUE!</v>
      </c>
      <c r="EW98" t="e">
        <f>AND('STERLING CATALOG - DRY '!D2102,"AAAAAH9cP5g=")</f>
        <v>#VALUE!</v>
      </c>
      <c r="EX98" t="e">
        <f>AND('STERLING CATALOG - DRY '!E2102,"AAAAAH9cP5k=")</f>
        <v>#VALUE!</v>
      </c>
      <c r="EY98" t="e">
        <f>AND('STERLING CATALOG - DRY '!F2102,"AAAAAH9cP5o=")</f>
        <v>#VALUE!</v>
      </c>
      <c r="EZ98" t="e">
        <f>AND('STERLING CATALOG - DRY '!G2102,"AAAAAH9cP5s=")</f>
        <v>#VALUE!</v>
      </c>
      <c r="FA98" t="e">
        <f>AND('STERLING CATALOG - DRY '!H2102,"AAAAAH9cP5w=")</f>
        <v>#VALUE!</v>
      </c>
      <c r="FB98" t="e">
        <f>AND('STERLING CATALOG - DRY '!I2102,"AAAAAH9cP50=")</f>
        <v>#VALUE!</v>
      </c>
      <c r="FC98" t="e">
        <f>AND('STERLING CATALOG - DRY '!J2102,"AAAAAH9cP54=")</f>
        <v>#VALUE!</v>
      </c>
      <c r="FD98">
        <f>IF('STERLING CATALOG - DRY '!2103:2103,"AAAAAH9cP58=",0)</f>
        <v>0</v>
      </c>
      <c r="FE98" t="e">
        <f>AND('STERLING CATALOG - DRY '!A2103,"AAAAAH9cP6A=")</f>
        <v>#VALUE!</v>
      </c>
      <c r="FF98" t="e">
        <f>AND('STERLING CATALOG - DRY '!B2103,"AAAAAH9cP6E=")</f>
        <v>#VALUE!</v>
      </c>
      <c r="FG98" t="e">
        <f>AND('STERLING CATALOG - DRY '!C2103,"AAAAAH9cP6I=")</f>
        <v>#VALUE!</v>
      </c>
      <c r="FH98" t="e">
        <f>AND('STERLING CATALOG - DRY '!D2103,"AAAAAH9cP6M=")</f>
        <v>#VALUE!</v>
      </c>
      <c r="FI98" t="e">
        <f>AND('STERLING CATALOG - DRY '!E2103,"AAAAAH9cP6Q=")</f>
        <v>#VALUE!</v>
      </c>
      <c r="FJ98" t="e">
        <f>AND('STERLING CATALOG - DRY '!F2103,"AAAAAH9cP6U=")</f>
        <v>#VALUE!</v>
      </c>
      <c r="FK98" t="e">
        <f>AND('STERLING CATALOG - DRY '!G2103,"AAAAAH9cP6Y=")</f>
        <v>#VALUE!</v>
      </c>
      <c r="FL98" t="e">
        <f>AND('STERLING CATALOG - DRY '!H2103,"AAAAAH9cP6c=")</f>
        <v>#VALUE!</v>
      </c>
      <c r="FM98" t="e">
        <f>AND('STERLING CATALOG - DRY '!I2103,"AAAAAH9cP6g=")</f>
        <v>#VALUE!</v>
      </c>
      <c r="FN98" t="e">
        <f>AND('STERLING CATALOG - DRY '!J2103,"AAAAAH9cP6k=")</f>
        <v>#VALUE!</v>
      </c>
      <c r="FO98">
        <f>IF('STERLING CATALOG - DRY '!2104:2104,"AAAAAH9cP6o=",0)</f>
        <v>0</v>
      </c>
      <c r="FP98" t="e">
        <f>AND('STERLING CATALOG - DRY '!A2104,"AAAAAH9cP6s=")</f>
        <v>#VALUE!</v>
      </c>
      <c r="FQ98" t="e">
        <f>AND('STERLING CATALOG - DRY '!B2104,"AAAAAH9cP6w=")</f>
        <v>#VALUE!</v>
      </c>
      <c r="FR98" t="e">
        <f>AND('STERLING CATALOG - DRY '!C2104,"AAAAAH9cP60=")</f>
        <v>#VALUE!</v>
      </c>
      <c r="FS98" t="e">
        <f>AND('STERLING CATALOG - DRY '!D2104,"AAAAAH9cP64=")</f>
        <v>#VALUE!</v>
      </c>
      <c r="FT98" t="e">
        <f>AND('STERLING CATALOG - DRY '!E2104,"AAAAAH9cP68=")</f>
        <v>#VALUE!</v>
      </c>
      <c r="FU98" t="e">
        <f>AND('STERLING CATALOG - DRY '!F2104,"AAAAAH9cP7A=")</f>
        <v>#VALUE!</v>
      </c>
      <c r="FV98" t="e">
        <f>AND('STERLING CATALOG - DRY '!G2104,"AAAAAH9cP7E=")</f>
        <v>#VALUE!</v>
      </c>
      <c r="FW98" t="e">
        <f>AND('STERLING CATALOG - DRY '!H2104,"AAAAAH9cP7I=")</f>
        <v>#VALUE!</v>
      </c>
      <c r="FX98" t="e">
        <f>AND('STERLING CATALOG - DRY '!I2104,"AAAAAH9cP7M=")</f>
        <v>#VALUE!</v>
      </c>
      <c r="FY98" t="e">
        <f>AND('STERLING CATALOG - DRY '!J2104,"AAAAAH9cP7Q=")</f>
        <v>#VALUE!</v>
      </c>
      <c r="FZ98">
        <f>IF('STERLING CATALOG - DRY '!2105:2105,"AAAAAH9cP7U=",0)</f>
        <v>0</v>
      </c>
      <c r="GA98" t="e">
        <f>AND('STERLING CATALOG - DRY '!A2105,"AAAAAH9cP7Y=")</f>
        <v>#VALUE!</v>
      </c>
      <c r="GB98" t="e">
        <f>AND('STERLING CATALOG - DRY '!B2105,"AAAAAH9cP7c=")</f>
        <v>#VALUE!</v>
      </c>
      <c r="GC98" t="e">
        <f>AND('STERLING CATALOG - DRY '!C2105,"AAAAAH9cP7g=")</f>
        <v>#VALUE!</v>
      </c>
      <c r="GD98" t="e">
        <f>AND('STERLING CATALOG - DRY '!D2105,"AAAAAH9cP7k=")</f>
        <v>#VALUE!</v>
      </c>
      <c r="GE98" t="e">
        <f>AND('STERLING CATALOG - DRY '!E2105,"AAAAAH9cP7o=")</f>
        <v>#VALUE!</v>
      </c>
      <c r="GF98" t="e">
        <f>AND('STERLING CATALOG - DRY '!F2105,"AAAAAH9cP7s=")</f>
        <v>#VALUE!</v>
      </c>
      <c r="GG98" t="e">
        <f>AND('STERLING CATALOG - DRY '!G2105,"AAAAAH9cP7w=")</f>
        <v>#VALUE!</v>
      </c>
      <c r="GH98" t="e">
        <f>AND('STERLING CATALOG - DRY '!H2105,"AAAAAH9cP70=")</f>
        <v>#VALUE!</v>
      </c>
      <c r="GI98" t="e">
        <f>AND('STERLING CATALOG - DRY '!I2105,"AAAAAH9cP74=")</f>
        <v>#VALUE!</v>
      </c>
      <c r="GJ98" t="e">
        <f>AND('STERLING CATALOG - DRY '!J2105,"AAAAAH9cP78=")</f>
        <v>#VALUE!</v>
      </c>
      <c r="GK98">
        <f>IF('STERLING CATALOG - DRY '!2106:2106,"AAAAAH9cP8A=",0)</f>
        <v>0</v>
      </c>
      <c r="GL98" t="e">
        <f>AND('STERLING CATALOG - DRY '!A2106,"AAAAAH9cP8E=")</f>
        <v>#VALUE!</v>
      </c>
      <c r="GM98" t="e">
        <f>AND('STERLING CATALOG - DRY '!B2106,"AAAAAH9cP8I=")</f>
        <v>#VALUE!</v>
      </c>
      <c r="GN98" t="e">
        <f>AND('STERLING CATALOG - DRY '!C2106,"AAAAAH9cP8M=")</f>
        <v>#VALUE!</v>
      </c>
      <c r="GO98" t="e">
        <f>AND('STERLING CATALOG - DRY '!D2106,"AAAAAH9cP8Q=")</f>
        <v>#VALUE!</v>
      </c>
      <c r="GP98" t="e">
        <f>AND('STERLING CATALOG - DRY '!E2106,"AAAAAH9cP8U=")</f>
        <v>#VALUE!</v>
      </c>
      <c r="GQ98" t="e">
        <f>AND('STERLING CATALOG - DRY '!F2106,"AAAAAH9cP8Y=")</f>
        <v>#VALUE!</v>
      </c>
      <c r="GR98" t="e">
        <f>AND('STERLING CATALOG - DRY '!G2106,"AAAAAH9cP8c=")</f>
        <v>#VALUE!</v>
      </c>
      <c r="GS98" t="e">
        <f>AND('STERLING CATALOG - DRY '!H2106,"AAAAAH9cP8g=")</f>
        <v>#VALUE!</v>
      </c>
      <c r="GT98" t="e">
        <f>AND('STERLING CATALOG - DRY '!I2106,"AAAAAH9cP8k=")</f>
        <v>#VALUE!</v>
      </c>
      <c r="GU98" t="e">
        <f>AND('STERLING CATALOG - DRY '!J2106,"AAAAAH9cP8o=")</f>
        <v>#VALUE!</v>
      </c>
      <c r="GV98">
        <f>IF('STERLING CATALOG - DRY '!2107:2107,"AAAAAH9cP8s=",0)</f>
        <v>0</v>
      </c>
      <c r="GW98" t="e">
        <f>AND('STERLING CATALOG - DRY '!A2107,"AAAAAH9cP8w=")</f>
        <v>#VALUE!</v>
      </c>
      <c r="GX98" t="e">
        <f>AND('STERLING CATALOG - DRY '!B2107,"AAAAAH9cP80=")</f>
        <v>#VALUE!</v>
      </c>
      <c r="GY98" t="e">
        <f>AND('STERLING CATALOG - DRY '!C2107,"AAAAAH9cP84=")</f>
        <v>#VALUE!</v>
      </c>
      <c r="GZ98" t="e">
        <f>AND('STERLING CATALOG - DRY '!D2107,"AAAAAH9cP88=")</f>
        <v>#VALUE!</v>
      </c>
      <c r="HA98" t="e">
        <f>AND('STERLING CATALOG - DRY '!E2107,"AAAAAH9cP9A=")</f>
        <v>#VALUE!</v>
      </c>
      <c r="HB98" t="e">
        <f>AND('STERLING CATALOG - DRY '!F2107,"AAAAAH9cP9E=")</f>
        <v>#VALUE!</v>
      </c>
      <c r="HC98" t="e">
        <f>AND('STERLING CATALOG - DRY '!G2107,"AAAAAH9cP9I=")</f>
        <v>#VALUE!</v>
      </c>
      <c r="HD98" t="e">
        <f>AND('STERLING CATALOG - DRY '!H2107,"AAAAAH9cP9M=")</f>
        <v>#VALUE!</v>
      </c>
      <c r="HE98" t="e">
        <f>AND('STERLING CATALOG - DRY '!I2107,"AAAAAH9cP9Q=")</f>
        <v>#VALUE!</v>
      </c>
      <c r="HF98" t="e">
        <f>AND('STERLING CATALOG - DRY '!J2107,"AAAAAH9cP9U=")</f>
        <v>#VALUE!</v>
      </c>
      <c r="HG98">
        <f>IF('STERLING CATALOG - DRY '!2108:2108,"AAAAAH9cP9Y=",0)</f>
        <v>0</v>
      </c>
      <c r="HH98" t="e">
        <f>AND('STERLING CATALOG - DRY '!A2108,"AAAAAH9cP9c=")</f>
        <v>#VALUE!</v>
      </c>
      <c r="HI98" t="e">
        <f>AND('STERLING CATALOG - DRY '!B2108,"AAAAAH9cP9g=")</f>
        <v>#VALUE!</v>
      </c>
      <c r="HJ98" t="e">
        <f>AND('STERLING CATALOG - DRY '!C2108,"AAAAAH9cP9k=")</f>
        <v>#VALUE!</v>
      </c>
      <c r="HK98" t="e">
        <f>AND('STERLING CATALOG - DRY '!D2108,"AAAAAH9cP9o=")</f>
        <v>#VALUE!</v>
      </c>
      <c r="HL98" t="e">
        <f>AND('STERLING CATALOG - DRY '!E2108,"AAAAAH9cP9s=")</f>
        <v>#VALUE!</v>
      </c>
      <c r="HM98" t="e">
        <f>AND('STERLING CATALOG - DRY '!F2108,"AAAAAH9cP9w=")</f>
        <v>#VALUE!</v>
      </c>
      <c r="HN98" t="e">
        <f>AND('STERLING CATALOG - DRY '!G2108,"AAAAAH9cP90=")</f>
        <v>#VALUE!</v>
      </c>
      <c r="HO98" t="e">
        <f>AND('STERLING CATALOG - DRY '!H2108,"AAAAAH9cP94=")</f>
        <v>#VALUE!</v>
      </c>
      <c r="HP98" t="e">
        <f>AND('STERLING CATALOG - DRY '!I2108,"AAAAAH9cP98=")</f>
        <v>#VALUE!</v>
      </c>
      <c r="HQ98" t="e">
        <f>AND('STERLING CATALOG - DRY '!J2108,"AAAAAH9cP+A=")</f>
        <v>#VALUE!</v>
      </c>
      <c r="HR98">
        <f>IF('STERLING CATALOG - DRY '!2109:2109,"AAAAAH9cP+E=",0)</f>
        <v>0</v>
      </c>
      <c r="HS98" t="e">
        <f>AND('STERLING CATALOG - DRY '!A2109,"AAAAAH9cP+I=")</f>
        <v>#VALUE!</v>
      </c>
      <c r="HT98" t="e">
        <f>AND('STERLING CATALOG - DRY '!B2109,"AAAAAH9cP+M=")</f>
        <v>#VALUE!</v>
      </c>
      <c r="HU98" t="e">
        <f>AND('STERLING CATALOG - DRY '!C2109,"AAAAAH9cP+Q=")</f>
        <v>#VALUE!</v>
      </c>
      <c r="HV98" t="e">
        <f>AND('STERLING CATALOG - DRY '!D2109,"AAAAAH9cP+U=")</f>
        <v>#VALUE!</v>
      </c>
      <c r="HW98" t="e">
        <f>AND('STERLING CATALOG - DRY '!E2109,"AAAAAH9cP+Y=")</f>
        <v>#VALUE!</v>
      </c>
      <c r="HX98" t="e">
        <f>AND('STERLING CATALOG - DRY '!F2109,"AAAAAH9cP+c=")</f>
        <v>#VALUE!</v>
      </c>
      <c r="HY98" t="e">
        <f>AND('STERLING CATALOG - DRY '!G2109,"AAAAAH9cP+g=")</f>
        <v>#VALUE!</v>
      </c>
      <c r="HZ98" t="e">
        <f>AND('STERLING CATALOG - DRY '!H2109,"AAAAAH9cP+k=")</f>
        <v>#VALUE!</v>
      </c>
      <c r="IA98" t="e">
        <f>AND('STERLING CATALOG - DRY '!I2109,"AAAAAH9cP+o=")</f>
        <v>#VALUE!</v>
      </c>
      <c r="IB98" t="e">
        <f>AND('STERLING CATALOG - DRY '!J2109,"AAAAAH9cP+s=")</f>
        <v>#VALUE!</v>
      </c>
      <c r="IC98">
        <f>IF('STERLING CATALOG - DRY '!2110:2110,"AAAAAH9cP+w=",0)</f>
        <v>0</v>
      </c>
      <c r="ID98" t="e">
        <f>AND('STERLING CATALOG - DRY '!A2110,"AAAAAH9cP+0=")</f>
        <v>#VALUE!</v>
      </c>
      <c r="IE98" t="e">
        <f>AND('STERLING CATALOG - DRY '!B2110,"AAAAAH9cP+4=")</f>
        <v>#VALUE!</v>
      </c>
      <c r="IF98" t="e">
        <f>AND('STERLING CATALOG - DRY '!C2110,"AAAAAH9cP+8=")</f>
        <v>#VALUE!</v>
      </c>
      <c r="IG98" t="e">
        <f>AND('STERLING CATALOG - DRY '!D2110,"AAAAAH9cP/A=")</f>
        <v>#VALUE!</v>
      </c>
      <c r="IH98" t="e">
        <f>AND('STERLING CATALOG - DRY '!E2110,"AAAAAH9cP/E=")</f>
        <v>#VALUE!</v>
      </c>
      <c r="II98" t="e">
        <f>AND('STERLING CATALOG - DRY '!F2110,"AAAAAH9cP/I=")</f>
        <v>#VALUE!</v>
      </c>
      <c r="IJ98" t="e">
        <f>AND('STERLING CATALOG - DRY '!G2110,"AAAAAH9cP/M=")</f>
        <v>#VALUE!</v>
      </c>
      <c r="IK98" t="e">
        <f>AND('STERLING CATALOG - DRY '!H2110,"AAAAAH9cP/Q=")</f>
        <v>#VALUE!</v>
      </c>
      <c r="IL98" t="e">
        <f>AND('STERLING CATALOG - DRY '!I2110,"AAAAAH9cP/U=")</f>
        <v>#VALUE!</v>
      </c>
      <c r="IM98" t="e">
        <f>AND('STERLING CATALOG - DRY '!J2110,"AAAAAH9cP/Y=")</f>
        <v>#VALUE!</v>
      </c>
      <c r="IN98">
        <f>IF('STERLING CATALOG - DRY '!2111:2111,"AAAAAH9cP/c=",0)</f>
        <v>0</v>
      </c>
      <c r="IO98" t="e">
        <f>AND('STERLING CATALOG - DRY '!A2111,"AAAAAH9cP/g=")</f>
        <v>#VALUE!</v>
      </c>
      <c r="IP98" t="e">
        <f>AND('STERLING CATALOG - DRY '!B2111,"AAAAAH9cP/k=")</f>
        <v>#VALUE!</v>
      </c>
      <c r="IQ98" t="e">
        <f>AND('STERLING CATALOG - DRY '!C2111,"AAAAAH9cP/o=")</f>
        <v>#VALUE!</v>
      </c>
      <c r="IR98" t="e">
        <f>AND('STERLING CATALOG - DRY '!D2111,"AAAAAH9cP/s=")</f>
        <v>#VALUE!</v>
      </c>
      <c r="IS98" t="e">
        <f>AND('STERLING CATALOG - DRY '!E2111,"AAAAAH9cP/w=")</f>
        <v>#VALUE!</v>
      </c>
      <c r="IT98" t="e">
        <f>AND('STERLING CATALOG - DRY '!F2111,"AAAAAH9cP/0=")</f>
        <v>#VALUE!</v>
      </c>
      <c r="IU98" t="e">
        <f>AND('STERLING CATALOG - DRY '!G2111,"AAAAAH9cP/4=")</f>
        <v>#VALUE!</v>
      </c>
      <c r="IV98" t="e">
        <f>AND('STERLING CATALOG - DRY '!H2111,"AAAAAH9cP/8=")</f>
        <v>#VALUE!</v>
      </c>
    </row>
    <row r="99" spans="1:256">
      <c r="A99" t="e">
        <f>AND('STERLING CATALOG - DRY '!I2111,"AAAAAHy/9gA=")</f>
        <v>#VALUE!</v>
      </c>
      <c r="B99" t="e">
        <f>AND('STERLING CATALOG - DRY '!J2111,"AAAAAHy/9gE=")</f>
        <v>#VALUE!</v>
      </c>
      <c r="C99" t="str">
        <f>IF('STERLING CATALOG - DRY '!2112:2112,"AAAAAHy/9gI=",0)</f>
        <v>AAAAAHy/9gI=</v>
      </c>
      <c r="D99" t="e">
        <f>AND('STERLING CATALOG - DRY '!A2112,"AAAAAHy/9gM=")</f>
        <v>#VALUE!</v>
      </c>
      <c r="E99" t="e">
        <f>AND('STERLING CATALOG - DRY '!B2112,"AAAAAHy/9gQ=")</f>
        <v>#VALUE!</v>
      </c>
      <c r="F99" t="e">
        <f>AND('STERLING CATALOG - DRY '!C2112,"AAAAAHy/9gU=")</f>
        <v>#VALUE!</v>
      </c>
      <c r="G99" t="e">
        <f>AND('STERLING CATALOG - DRY '!D2112,"AAAAAHy/9gY=")</f>
        <v>#VALUE!</v>
      </c>
      <c r="H99" t="e">
        <f>AND('STERLING CATALOG - DRY '!E2112,"AAAAAHy/9gc=")</f>
        <v>#VALUE!</v>
      </c>
      <c r="I99" t="e">
        <f>AND('STERLING CATALOG - DRY '!F2112,"AAAAAHy/9gg=")</f>
        <v>#VALUE!</v>
      </c>
      <c r="J99" t="e">
        <f>AND('STERLING CATALOG - DRY '!G2112,"AAAAAHy/9gk=")</f>
        <v>#VALUE!</v>
      </c>
      <c r="K99" t="e">
        <f>AND('STERLING CATALOG - DRY '!H2112,"AAAAAHy/9go=")</f>
        <v>#VALUE!</v>
      </c>
      <c r="L99" t="e">
        <f>AND('STERLING CATALOG - DRY '!I2112,"AAAAAHy/9gs=")</f>
        <v>#VALUE!</v>
      </c>
      <c r="M99" t="e">
        <f>AND('STERLING CATALOG - DRY '!J2112,"AAAAAHy/9gw=")</f>
        <v>#VALUE!</v>
      </c>
      <c r="N99">
        <f>IF('STERLING CATALOG - DRY '!2113:2113,"AAAAAHy/9g0=",0)</f>
        <v>0</v>
      </c>
      <c r="O99" t="e">
        <f>AND('STERLING CATALOG - DRY '!A2113,"AAAAAHy/9g4=")</f>
        <v>#VALUE!</v>
      </c>
      <c r="P99" t="e">
        <f>AND('STERLING CATALOG - DRY '!B2113,"AAAAAHy/9g8=")</f>
        <v>#VALUE!</v>
      </c>
      <c r="Q99" t="e">
        <f>AND('STERLING CATALOG - DRY '!C2113,"AAAAAHy/9hA=")</f>
        <v>#VALUE!</v>
      </c>
      <c r="R99" t="e">
        <f>AND('STERLING CATALOG - DRY '!D2113,"AAAAAHy/9hE=")</f>
        <v>#VALUE!</v>
      </c>
      <c r="S99" t="e">
        <f>AND('STERLING CATALOG - DRY '!E2113,"AAAAAHy/9hI=")</f>
        <v>#VALUE!</v>
      </c>
      <c r="T99" t="e">
        <f>AND('STERLING CATALOG - DRY '!F2113,"AAAAAHy/9hM=")</f>
        <v>#VALUE!</v>
      </c>
      <c r="U99" t="e">
        <f>AND('STERLING CATALOG - DRY '!G2113,"AAAAAHy/9hQ=")</f>
        <v>#VALUE!</v>
      </c>
      <c r="V99" t="e">
        <f>AND('STERLING CATALOG - DRY '!H2113,"AAAAAHy/9hU=")</f>
        <v>#VALUE!</v>
      </c>
      <c r="W99" t="e">
        <f>AND('STERLING CATALOG - DRY '!I2113,"AAAAAHy/9hY=")</f>
        <v>#VALUE!</v>
      </c>
      <c r="X99" t="e">
        <f>AND('STERLING CATALOG - DRY '!J2113,"AAAAAHy/9hc=")</f>
        <v>#VALUE!</v>
      </c>
      <c r="Y99">
        <f>IF('STERLING CATALOG - DRY '!2114:2114,"AAAAAHy/9hg=",0)</f>
        <v>0</v>
      </c>
      <c r="Z99" t="e">
        <f>AND('STERLING CATALOG - DRY '!A2114,"AAAAAHy/9hk=")</f>
        <v>#VALUE!</v>
      </c>
      <c r="AA99" t="e">
        <f>AND('STERLING CATALOG - DRY '!B2114,"AAAAAHy/9ho=")</f>
        <v>#VALUE!</v>
      </c>
      <c r="AB99" t="e">
        <f>AND('STERLING CATALOG - DRY '!C2114,"AAAAAHy/9hs=")</f>
        <v>#VALUE!</v>
      </c>
      <c r="AC99" t="e">
        <f>AND('STERLING CATALOG - DRY '!D2114,"AAAAAHy/9hw=")</f>
        <v>#VALUE!</v>
      </c>
      <c r="AD99" t="e">
        <f>AND('STERLING CATALOG - DRY '!E2114,"AAAAAHy/9h0=")</f>
        <v>#VALUE!</v>
      </c>
      <c r="AE99" t="e">
        <f>AND('STERLING CATALOG - DRY '!F2114,"AAAAAHy/9h4=")</f>
        <v>#VALUE!</v>
      </c>
      <c r="AF99" t="e">
        <f>AND('STERLING CATALOG - DRY '!G2114,"AAAAAHy/9h8=")</f>
        <v>#VALUE!</v>
      </c>
      <c r="AG99" t="e">
        <f>AND('STERLING CATALOG - DRY '!H2114,"AAAAAHy/9iA=")</f>
        <v>#VALUE!</v>
      </c>
      <c r="AH99" t="e">
        <f>AND('STERLING CATALOG - DRY '!I2114,"AAAAAHy/9iE=")</f>
        <v>#VALUE!</v>
      </c>
      <c r="AI99" t="e">
        <f>AND('STERLING CATALOG - DRY '!J2114,"AAAAAHy/9iI=")</f>
        <v>#VALUE!</v>
      </c>
      <c r="AJ99">
        <f>IF('STERLING CATALOG - DRY '!2115:2115,"AAAAAHy/9iM=",0)</f>
        <v>0</v>
      </c>
      <c r="AK99" t="e">
        <f>AND('STERLING CATALOG - DRY '!A2115,"AAAAAHy/9iQ=")</f>
        <v>#VALUE!</v>
      </c>
      <c r="AL99" t="e">
        <f>AND('STERLING CATALOG - DRY '!B2115,"AAAAAHy/9iU=")</f>
        <v>#VALUE!</v>
      </c>
      <c r="AM99" t="e">
        <f>AND('STERLING CATALOG - DRY '!C2115,"AAAAAHy/9iY=")</f>
        <v>#VALUE!</v>
      </c>
      <c r="AN99" t="e">
        <f>AND('STERLING CATALOG - DRY '!D2115,"AAAAAHy/9ic=")</f>
        <v>#VALUE!</v>
      </c>
      <c r="AO99" t="e">
        <f>AND('STERLING CATALOG - DRY '!E2115,"AAAAAHy/9ig=")</f>
        <v>#VALUE!</v>
      </c>
      <c r="AP99" t="e">
        <f>AND('STERLING CATALOG - DRY '!F2115,"AAAAAHy/9ik=")</f>
        <v>#VALUE!</v>
      </c>
      <c r="AQ99" t="e">
        <f>AND('STERLING CATALOG - DRY '!G2115,"AAAAAHy/9io=")</f>
        <v>#VALUE!</v>
      </c>
      <c r="AR99" t="e">
        <f>AND('STERLING CATALOG - DRY '!H2115,"AAAAAHy/9is=")</f>
        <v>#VALUE!</v>
      </c>
      <c r="AS99" t="e">
        <f>AND('STERLING CATALOG - DRY '!I2115,"AAAAAHy/9iw=")</f>
        <v>#VALUE!</v>
      </c>
      <c r="AT99" t="e">
        <f>AND('STERLING CATALOG - DRY '!J2115,"AAAAAHy/9i0=")</f>
        <v>#VALUE!</v>
      </c>
      <c r="AU99">
        <f>IF('STERLING CATALOG - DRY '!2116:2116,"AAAAAHy/9i4=",0)</f>
        <v>0</v>
      </c>
      <c r="AV99" t="e">
        <f>AND('STERLING CATALOG - DRY '!A2116,"AAAAAHy/9i8=")</f>
        <v>#VALUE!</v>
      </c>
      <c r="AW99" t="e">
        <f>AND('STERLING CATALOG - DRY '!B2116,"AAAAAHy/9jA=")</f>
        <v>#VALUE!</v>
      </c>
      <c r="AX99" t="e">
        <f>AND('STERLING CATALOG - DRY '!C2116,"AAAAAHy/9jE=")</f>
        <v>#VALUE!</v>
      </c>
      <c r="AY99" t="e">
        <f>AND('STERLING CATALOG - DRY '!D2116,"AAAAAHy/9jI=")</f>
        <v>#VALUE!</v>
      </c>
      <c r="AZ99" t="e">
        <f>AND('STERLING CATALOG - DRY '!E2116,"AAAAAHy/9jM=")</f>
        <v>#VALUE!</v>
      </c>
      <c r="BA99" t="e">
        <f>AND('STERLING CATALOG - DRY '!F2116,"AAAAAHy/9jQ=")</f>
        <v>#VALUE!</v>
      </c>
      <c r="BB99" t="e">
        <f>AND('STERLING CATALOG - DRY '!G2116,"AAAAAHy/9jU=")</f>
        <v>#VALUE!</v>
      </c>
      <c r="BC99" t="e">
        <f>AND('STERLING CATALOG - DRY '!H2116,"AAAAAHy/9jY=")</f>
        <v>#VALUE!</v>
      </c>
      <c r="BD99" t="e">
        <f>AND('STERLING CATALOG - DRY '!I2116,"AAAAAHy/9jc=")</f>
        <v>#VALUE!</v>
      </c>
      <c r="BE99" t="e">
        <f>AND('STERLING CATALOG - DRY '!J2116,"AAAAAHy/9jg=")</f>
        <v>#VALUE!</v>
      </c>
      <c r="BF99">
        <f>IF('STERLING CATALOG - DRY '!2117:2117,"AAAAAHy/9jk=",0)</f>
        <v>0</v>
      </c>
      <c r="BG99" t="e">
        <f>AND('STERLING CATALOG - DRY '!A2117,"AAAAAHy/9jo=")</f>
        <v>#VALUE!</v>
      </c>
      <c r="BH99" t="e">
        <f>AND('STERLING CATALOG - DRY '!B2117,"AAAAAHy/9js=")</f>
        <v>#VALUE!</v>
      </c>
      <c r="BI99" t="e">
        <f>AND('STERLING CATALOG - DRY '!C2117,"AAAAAHy/9jw=")</f>
        <v>#VALUE!</v>
      </c>
      <c r="BJ99" t="e">
        <f>AND('STERLING CATALOG - DRY '!D2117,"AAAAAHy/9j0=")</f>
        <v>#VALUE!</v>
      </c>
      <c r="BK99" t="e">
        <f>AND('STERLING CATALOG - DRY '!E2117,"AAAAAHy/9j4=")</f>
        <v>#VALUE!</v>
      </c>
      <c r="BL99" t="e">
        <f>AND('STERLING CATALOG - DRY '!F2117,"AAAAAHy/9j8=")</f>
        <v>#VALUE!</v>
      </c>
      <c r="BM99" t="e">
        <f>AND('STERLING CATALOG - DRY '!G2117,"AAAAAHy/9kA=")</f>
        <v>#VALUE!</v>
      </c>
      <c r="BN99" t="e">
        <f>AND('STERLING CATALOG - DRY '!H2117,"AAAAAHy/9kE=")</f>
        <v>#VALUE!</v>
      </c>
      <c r="BO99" t="e">
        <f>AND('STERLING CATALOG - DRY '!I2117,"AAAAAHy/9kI=")</f>
        <v>#VALUE!</v>
      </c>
      <c r="BP99" t="e">
        <f>AND('STERLING CATALOG - DRY '!J2117,"AAAAAHy/9kM=")</f>
        <v>#VALUE!</v>
      </c>
      <c r="BQ99">
        <f>IF('STERLING CATALOG - DRY '!2118:2118,"AAAAAHy/9kQ=",0)</f>
        <v>0</v>
      </c>
      <c r="BR99" t="e">
        <f>AND('STERLING CATALOG - DRY '!A2118,"AAAAAHy/9kU=")</f>
        <v>#VALUE!</v>
      </c>
      <c r="BS99" t="e">
        <f>AND('STERLING CATALOG - DRY '!B2118,"AAAAAHy/9kY=")</f>
        <v>#VALUE!</v>
      </c>
      <c r="BT99" t="e">
        <f>AND('STERLING CATALOG - DRY '!C2118,"AAAAAHy/9kc=")</f>
        <v>#VALUE!</v>
      </c>
      <c r="BU99" t="e">
        <f>AND('STERLING CATALOG - DRY '!D2118,"AAAAAHy/9kg=")</f>
        <v>#VALUE!</v>
      </c>
      <c r="BV99" t="e">
        <f>AND('STERLING CATALOG - DRY '!E2118,"AAAAAHy/9kk=")</f>
        <v>#VALUE!</v>
      </c>
      <c r="BW99" t="e">
        <f>AND('STERLING CATALOG - DRY '!F2118,"AAAAAHy/9ko=")</f>
        <v>#VALUE!</v>
      </c>
      <c r="BX99" t="e">
        <f>AND('STERLING CATALOG - DRY '!G2118,"AAAAAHy/9ks=")</f>
        <v>#VALUE!</v>
      </c>
      <c r="BY99" t="e">
        <f>AND('STERLING CATALOG - DRY '!H2118,"AAAAAHy/9kw=")</f>
        <v>#VALUE!</v>
      </c>
      <c r="BZ99" t="e">
        <f>AND('STERLING CATALOG - DRY '!I2118,"AAAAAHy/9k0=")</f>
        <v>#VALUE!</v>
      </c>
      <c r="CA99" t="e">
        <f>AND('STERLING CATALOG - DRY '!J2118,"AAAAAHy/9k4=")</f>
        <v>#VALUE!</v>
      </c>
      <c r="CB99">
        <f>IF('STERLING CATALOG - DRY '!2119:2119,"AAAAAHy/9k8=",0)</f>
        <v>0</v>
      </c>
      <c r="CC99" t="e">
        <f>AND('STERLING CATALOG - DRY '!A2119,"AAAAAHy/9lA=")</f>
        <v>#VALUE!</v>
      </c>
      <c r="CD99" t="e">
        <f>AND('STERLING CATALOG - DRY '!B2119,"AAAAAHy/9lE=")</f>
        <v>#VALUE!</v>
      </c>
      <c r="CE99" t="e">
        <f>AND('STERLING CATALOG - DRY '!C2119,"AAAAAHy/9lI=")</f>
        <v>#VALUE!</v>
      </c>
      <c r="CF99" t="e">
        <f>AND('STERLING CATALOG - DRY '!D2119,"AAAAAHy/9lM=")</f>
        <v>#VALUE!</v>
      </c>
      <c r="CG99" t="e">
        <f>AND('STERLING CATALOG - DRY '!E2119,"AAAAAHy/9lQ=")</f>
        <v>#VALUE!</v>
      </c>
      <c r="CH99" t="e">
        <f>AND('STERLING CATALOG - DRY '!F2119,"AAAAAHy/9lU=")</f>
        <v>#VALUE!</v>
      </c>
      <c r="CI99" t="e">
        <f>AND('STERLING CATALOG - DRY '!G2119,"AAAAAHy/9lY=")</f>
        <v>#VALUE!</v>
      </c>
      <c r="CJ99" t="e">
        <f>AND('STERLING CATALOG - DRY '!H2119,"AAAAAHy/9lc=")</f>
        <v>#VALUE!</v>
      </c>
      <c r="CK99" t="e">
        <f>AND('STERLING CATALOG - DRY '!I2119,"AAAAAHy/9lg=")</f>
        <v>#VALUE!</v>
      </c>
      <c r="CL99" t="e">
        <f>AND('STERLING CATALOG - DRY '!J2119,"AAAAAHy/9lk=")</f>
        <v>#VALUE!</v>
      </c>
      <c r="CM99">
        <f>IF('STERLING CATALOG - DRY '!2120:2120,"AAAAAHy/9lo=",0)</f>
        <v>0</v>
      </c>
      <c r="CN99" t="e">
        <f>AND('STERLING CATALOG - DRY '!A2120,"AAAAAHy/9ls=")</f>
        <v>#VALUE!</v>
      </c>
      <c r="CO99" t="e">
        <f>AND('STERLING CATALOG - DRY '!B2120,"AAAAAHy/9lw=")</f>
        <v>#VALUE!</v>
      </c>
      <c r="CP99" t="e">
        <f>AND('STERLING CATALOG - DRY '!C2120,"AAAAAHy/9l0=")</f>
        <v>#VALUE!</v>
      </c>
      <c r="CQ99" t="e">
        <f>AND('STERLING CATALOG - DRY '!D2120,"AAAAAHy/9l4=")</f>
        <v>#VALUE!</v>
      </c>
      <c r="CR99" t="e">
        <f>AND('STERLING CATALOG - DRY '!E2120,"AAAAAHy/9l8=")</f>
        <v>#VALUE!</v>
      </c>
      <c r="CS99" t="e">
        <f>AND('STERLING CATALOG - DRY '!F2120,"AAAAAHy/9mA=")</f>
        <v>#VALUE!</v>
      </c>
      <c r="CT99" t="e">
        <f>AND('STERLING CATALOG - DRY '!G2120,"AAAAAHy/9mE=")</f>
        <v>#VALUE!</v>
      </c>
      <c r="CU99" t="e">
        <f>AND('STERLING CATALOG - DRY '!H2120,"AAAAAHy/9mI=")</f>
        <v>#VALUE!</v>
      </c>
      <c r="CV99" t="e">
        <f>AND('STERLING CATALOG - DRY '!I2120,"AAAAAHy/9mM=")</f>
        <v>#VALUE!</v>
      </c>
      <c r="CW99" t="e">
        <f>AND('STERLING CATALOG - DRY '!J2120,"AAAAAHy/9mQ=")</f>
        <v>#VALUE!</v>
      </c>
      <c r="CX99">
        <f>IF('STERLING CATALOG - DRY '!2121:2121,"AAAAAHy/9mU=",0)</f>
        <v>0</v>
      </c>
      <c r="CY99" t="e">
        <f>AND('STERLING CATALOG - DRY '!A2121,"AAAAAHy/9mY=")</f>
        <v>#VALUE!</v>
      </c>
      <c r="CZ99" t="e">
        <f>AND('STERLING CATALOG - DRY '!B2121,"AAAAAHy/9mc=")</f>
        <v>#VALUE!</v>
      </c>
      <c r="DA99" t="e">
        <f>AND('STERLING CATALOG - DRY '!C2121,"AAAAAHy/9mg=")</f>
        <v>#VALUE!</v>
      </c>
      <c r="DB99" t="e">
        <f>AND('STERLING CATALOG - DRY '!D2121,"AAAAAHy/9mk=")</f>
        <v>#VALUE!</v>
      </c>
      <c r="DC99" t="e">
        <f>AND('STERLING CATALOG - DRY '!E2121,"AAAAAHy/9mo=")</f>
        <v>#VALUE!</v>
      </c>
      <c r="DD99" t="e">
        <f>AND('STERLING CATALOG - DRY '!F2121,"AAAAAHy/9ms=")</f>
        <v>#VALUE!</v>
      </c>
      <c r="DE99" t="e">
        <f>AND('STERLING CATALOG - DRY '!G2121,"AAAAAHy/9mw=")</f>
        <v>#VALUE!</v>
      </c>
      <c r="DF99" t="e">
        <f>AND('STERLING CATALOG - DRY '!H2121,"AAAAAHy/9m0=")</f>
        <v>#VALUE!</v>
      </c>
      <c r="DG99" t="e">
        <f>AND('STERLING CATALOG - DRY '!I2121,"AAAAAHy/9m4=")</f>
        <v>#VALUE!</v>
      </c>
      <c r="DH99" t="e">
        <f>AND('STERLING CATALOG - DRY '!J2121,"AAAAAHy/9m8=")</f>
        <v>#VALUE!</v>
      </c>
      <c r="DI99">
        <f>IF('STERLING CATALOG - DRY '!2122:2122,"AAAAAHy/9nA=",0)</f>
        <v>0</v>
      </c>
      <c r="DJ99" t="e">
        <f>AND('STERLING CATALOG - DRY '!A2122,"AAAAAHy/9nE=")</f>
        <v>#VALUE!</v>
      </c>
      <c r="DK99" t="e">
        <f>AND('STERLING CATALOG - DRY '!B2122,"AAAAAHy/9nI=")</f>
        <v>#VALUE!</v>
      </c>
      <c r="DL99" t="e">
        <f>AND('STERLING CATALOG - DRY '!C2122,"AAAAAHy/9nM=")</f>
        <v>#VALUE!</v>
      </c>
      <c r="DM99" t="e">
        <f>AND('STERLING CATALOG - DRY '!D2122,"AAAAAHy/9nQ=")</f>
        <v>#VALUE!</v>
      </c>
      <c r="DN99" t="e">
        <f>AND('STERLING CATALOG - DRY '!E2122,"AAAAAHy/9nU=")</f>
        <v>#VALUE!</v>
      </c>
      <c r="DO99" t="e">
        <f>AND('STERLING CATALOG - DRY '!F2122,"AAAAAHy/9nY=")</f>
        <v>#VALUE!</v>
      </c>
      <c r="DP99" t="e">
        <f>AND('STERLING CATALOG - DRY '!G2122,"AAAAAHy/9nc=")</f>
        <v>#VALUE!</v>
      </c>
      <c r="DQ99" t="e">
        <f>AND('STERLING CATALOG - DRY '!H2122,"AAAAAHy/9ng=")</f>
        <v>#VALUE!</v>
      </c>
      <c r="DR99" t="e">
        <f>AND('STERLING CATALOG - DRY '!I2122,"AAAAAHy/9nk=")</f>
        <v>#VALUE!</v>
      </c>
      <c r="DS99" t="e">
        <f>AND('STERLING CATALOG - DRY '!J2122,"AAAAAHy/9no=")</f>
        <v>#VALUE!</v>
      </c>
      <c r="DT99">
        <f>IF('STERLING CATALOG - DRY '!2123:2123,"AAAAAHy/9ns=",0)</f>
        <v>0</v>
      </c>
      <c r="DU99" t="e">
        <f>AND('STERLING CATALOG - DRY '!A2123,"AAAAAHy/9nw=")</f>
        <v>#VALUE!</v>
      </c>
      <c r="DV99" t="e">
        <f>AND('STERLING CATALOG - DRY '!B2123,"AAAAAHy/9n0=")</f>
        <v>#VALUE!</v>
      </c>
      <c r="DW99" t="e">
        <f>AND('STERLING CATALOG - DRY '!C2123,"AAAAAHy/9n4=")</f>
        <v>#VALUE!</v>
      </c>
      <c r="DX99" t="e">
        <f>AND('STERLING CATALOG - DRY '!D2123,"AAAAAHy/9n8=")</f>
        <v>#VALUE!</v>
      </c>
      <c r="DY99" t="e">
        <f>AND('STERLING CATALOG - DRY '!E2123,"AAAAAHy/9oA=")</f>
        <v>#VALUE!</v>
      </c>
      <c r="DZ99" t="e">
        <f>AND('STERLING CATALOG - DRY '!F2123,"AAAAAHy/9oE=")</f>
        <v>#VALUE!</v>
      </c>
      <c r="EA99" t="e">
        <f>AND('STERLING CATALOG - DRY '!G2123,"AAAAAHy/9oI=")</f>
        <v>#VALUE!</v>
      </c>
      <c r="EB99" t="e">
        <f>AND('STERLING CATALOG - DRY '!H2123,"AAAAAHy/9oM=")</f>
        <v>#VALUE!</v>
      </c>
      <c r="EC99" t="e">
        <f>AND('STERLING CATALOG - DRY '!I2123,"AAAAAHy/9oQ=")</f>
        <v>#VALUE!</v>
      </c>
      <c r="ED99" t="e">
        <f>AND('STERLING CATALOG - DRY '!J2123,"AAAAAHy/9oU=")</f>
        <v>#VALUE!</v>
      </c>
      <c r="EE99">
        <f>IF('STERLING CATALOG - DRY '!2124:2124,"AAAAAHy/9oY=",0)</f>
        <v>0</v>
      </c>
      <c r="EF99" t="e">
        <f>AND('STERLING CATALOG - DRY '!A2124,"AAAAAHy/9oc=")</f>
        <v>#VALUE!</v>
      </c>
      <c r="EG99" t="e">
        <f>AND('STERLING CATALOG - DRY '!B2124,"AAAAAHy/9og=")</f>
        <v>#VALUE!</v>
      </c>
      <c r="EH99" t="e">
        <f>AND('STERLING CATALOG - DRY '!C2124,"AAAAAHy/9ok=")</f>
        <v>#VALUE!</v>
      </c>
      <c r="EI99" t="e">
        <f>AND('STERLING CATALOG - DRY '!D2124,"AAAAAHy/9oo=")</f>
        <v>#VALUE!</v>
      </c>
      <c r="EJ99" t="e">
        <f>AND('STERLING CATALOG - DRY '!E2124,"AAAAAHy/9os=")</f>
        <v>#VALUE!</v>
      </c>
      <c r="EK99" t="e">
        <f>AND('STERLING CATALOG - DRY '!F2124,"AAAAAHy/9ow=")</f>
        <v>#VALUE!</v>
      </c>
      <c r="EL99" t="e">
        <f>AND('STERLING CATALOG - DRY '!G2124,"AAAAAHy/9o0=")</f>
        <v>#VALUE!</v>
      </c>
      <c r="EM99" t="e">
        <f>AND('STERLING CATALOG - DRY '!H2124,"AAAAAHy/9o4=")</f>
        <v>#VALUE!</v>
      </c>
      <c r="EN99" t="e">
        <f>AND('STERLING CATALOG - DRY '!I2124,"AAAAAHy/9o8=")</f>
        <v>#VALUE!</v>
      </c>
      <c r="EO99" t="e">
        <f>AND('STERLING CATALOG - DRY '!J2124,"AAAAAHy/9pA=")</f>
        <v>#VALUE!</v>
      </c>
      <c r="EP99">
        <f>IF('STERLING CATALOG - DRY '!2125:2125,"AAAAAHy/9pE=",0)</f>
        <v>0</v>
      </c>
      <c r="EQ99" t="e">
        <f>AND('STERLING CATALOG - DRY '!A2125,"AAAAAHy/9pI=")</f>
        <v>#VALUE!</v>
      </c>
      <c r="ER99" t="e">
        <f>AND('STERLING CATALOG - DRY '!B2125,"AAAAAHy/9pM=")</f>
        <v>#VALUE!</v>
      </c>
      <c r="ES99" t="e">
        <f>AND('STERLING CATALOG - DRY '!C2125,"AAAAAHy/9pQ=")</f>
        <v>#VALUE!</v>
      </c>
      <c r="ET99" t="e">
        <f>AND('STERLING CATALOG - DRY '!D2125,"AAAAAHy/9pU=")</f>
        <v>#VALUE!</v>
      </c>
      <c r="EU99" t="e">
        <f>AND('STERLING CATALOG - DRY '!E2125,"AAAAAHy/9pY=")</f>
        <v>#VALUE!</v>
      </c>
      <c r="EV99" t="e">
        <f>AND('STERLING CATALOG - DRY '!F2125,"AAAAAHy/9pc=")</f>
        <v>#VALUE!</v>
      </c>
      <c r="EW99" t="e">
        <f>AND('STERLING CATALOG - DRY '!G2125,"AAAAAHy/9pg=")</f>
        <v>#VALUE!</v>
      </c>
      <c r="EX99" t="e">
        <f>AND('STERLING CATALOG - DRY '!H2125,"AAAAAHy/9pk=")</f>
        <v>#VALUE!</v>
      </c>
      <c r="EY99" t="e">
        <f>AND('STERLING CATALOG - DRY '!I2125,"AAAAAHy/9po=")</f>
        <v>#VALUE!</v>
      </c>
      <c r="EZ99" t="e">
        <f>AND('STERLING CATALOG - DRY '!J2125,"AAAAAHy/9ps=")</f>
        <v>#VALUE!</v>
      </c>
      <c r="FA99">
        <f>IF('STERLING CATALOG - DRY '!2126:2126,"AAAAAHy/9pw=",0)</f>
        <v>0</v>
      </c>
      <c r="FB99" t="e">
        <f>AND('STERLING CATALOG - DRY '!A2126,"AAAAAHy/9p0=")</f>
        <v>#VALUE!</v>
      </c>
      <c r="FC99" t="e">
        <f>AND('STERLING CATALOG - DRY '!B2126,"AAAAAHy/9p4=")</f>
        <v>#VALUE!</v>
      </c>
      <c r="FD99" t="e">
        <f>AND('STERLING CATALOG - DRY '!C2126,"AAAAAHy/9p8=")</f>
        <v>#VALUE!</v>
      </c>
      <c r="FE99" t="e">
        <f>AND('STERLING CATALOG - DRY '!D2126,"AAAAAHy/9qA=")</f>
        <v>#VALUE!</v>
      </c>
      <c r="FF99" t="e">
        <f>AND('STERLING CATALOG - DRY '!E2126,"AAAAAHy/9qE=")</f>
        <v>#VALUE!</v>
      </c>
      <c r="FG99" t="e">
        <f>AND('STERLING CATALOG - DRY '!F2126,"AAAAAHy/9qI=")</f>
        <v>#VALUE!</v>
      </c>
      <c r="FH99" t="e">
        <f>AND('STERLING CATALOG - DRY '!G2126,"AAAAAHy/9qM=")</f>
        <v>#VALUE!</v>
      </c>
      <c r="FI99" t="e">
        <f>AND('STERLING CATALOG - DRY '!H2126,"AAAAAHy/9qQ=")</f>
        <v>#VALUE!</v>
      </c>
      <c r="FJ99" t="e">
        <f>AND('STERLING CATALOG - DRY '!I2126,"AAAAAHy/9qU=")</f>
        <v>#VALUE!</v>
      </c>
      <c r="FK99" t="e">
        <f>AND('STERLING CATALOG - DRY '!J2126,"AAAAAHy/9qY=")</f>
        <v>#VALUE!</v>
      </c>
      <c r="FL99">
        <f>IF('STERLING CATALOG - DRY '!2127:2127,"AAAAAHy/9qc=",0)</f>
        <v>0</v>
      </c>
      <c r="FM99" t="e">
        <f>AND('STERLING CATALOG - DRY '!A2127,"AAAAAHy/9qg=")</f>
        <v>#VALUE!</v>
      </c>
      <c r="FN99" t="e">
        <f>AND('STERLING CATALOG - DRY '!B2127,"AAAAAHy/9qk=")</f>
        <v>#VALUE!</v>
      </c>
      <c r="FO99" t="e">
        <f>AND('STERLING CATALOG - DRY '!C2127,"AAAAAHy/9qo=")</f>
        <v>#VALUE!</v>
      </c>
      <c r="FP99" t="e">
        <f>AND('STERLING CATALOG - DRY '!D2127,"AAAAAHy/9qs=")</f>
        <v>#VALUE!</v>
      </c>
      <c r="FQ99" t="e">
        <f>AND('STERLING CATALOG - DRY '!E2127,"AAAAAHy/9qw=")</f>
        <v>#VALUE!</v>
      </c>
      <c r="FR99" t="e">
        <f>AND('STERLING CATALOG - DRY '!F2127,"AAAAAHy/9q0=")</f>
        <v>#VALUE!</v>
      </c>
      <c r="FS99" t="e">
        <f>AND('STERLING CATALOG - DRY '!G2127,"AAAAAHy/9q4=")</f>
        <v>#VALUE!</v>
      </c>
      <c r="FT99" t="e">
        <f>AND('STERLING CATALOG - DRY '!H2127,"AAAAAHy/9q8=")</f>
        <v>#VALUE!</v>
      </c>
      <c r="FU99" t="e">
        <f>AND('STERLING CATALOG - DRY '!I2127,"AAAAAHy/9rA=")</f>
        <v>#VALUE!</v>
      </c>
      <c r="FV99" t="e">
        <f>AND('STERLING CATALOG - DRY '!J2127,"AAAAAHy/9rE=")</f>
        <v>#VALUE!</v>
      </c>
      <c r="FW99">
        <f>IF('STERLING CATALOG - DRY '!2128:2128,"AAAAAHy/9rI=",0)</f>
        <v>0</v>
      </c>
      <c r="FX99" t="e">
        <f>AND('STERLING CATALOG - DRY '!A2128,"AAAAAHy/9rM=")</f>
        <v>#VALUE!</v>
      </c>
      <c r="FY99" t="e">
        <f>AND('STERLING CATALOG - DRY '!B2128,"AAAAAHy/9rQ=")</f>
        <v>#VALUE!</v>
      </c>
      <c r="FZ99" t="e">
        <f>AND('STERLING CATALOG - DRY '!C2128,"AAAAAHy/9rU=")</f>
        <v>#VALUE!</v>
      </c>
      <c r="GA99" t="e">
        <f>AND('STERLING CATALOG - DRY '!D2128,"AAAAAHy/9rY=")</f>
        <v>#VALUE!</v>
      </c>
      <c r="GB99" t="e">
        <f>AND('STERLING CATALOG - DRY '!E2128,"AAAAAHy/9rc=")</f>
        <v>#VALUE!</v>
      </c>
      <c r="GC99" t="e">
        <f>AND('STERLING CATALOG - DRY '!F2128,"AAAAAHy/9rg=")</f>
        <v>#VALUE!</v>
      </c>
      <c r="GD99" t="e">
        <f>AND('STERLING CATALOG - DRY '!G2128,"AAAAAHy/9rk=")</f>
        <v>#VALUE!</v>
      </c>
      <c r="GE99" t="e">
        <f>AND('STERLING CATALOG - DRY '!H2128,"AAAAAHy/9ro=")</f>
        <v>#VALUE!</v>
      </c>
      <c r="GF99" t="e">
        <f>AND('STERLING CATALOG - DRY '!I2128,"AAAAAHy/9rs=")</f>
        <v>#VALUE!</v>
      </c>
      <c r="GG99" t="e">
        <f>AND('STERLING CATALOG - DRY '!J2128,"AAAAAHy/9rw=")</f>
        <v>#VALUE!</v>
      </c>
      <c r="GH99">
        <f>IF('STERLING CATALOG - DRY '!2129:2129,"AAAAAHy/9r0=",0)</f>
        <v>0</v>
      </c>
      <c r="GI99" t="e">
        <f>AND('STERLING CATALOG - DRY '!A2129,"AAAAAHy/9r4=")</f>
        <v>#VALUE!</v>
      </c>
      <c r="GJ99" t="e">
        <f>AND('STERLING CATALOG - DRY '!B2129,"AAAAAHy/9r8=")</f>
        <v>#VALUE!</v>
      </c>
      <c r="GK99" t="e">
        <f>AND('STERLING CATALOG - DRY '!C2129,"AAAAAHy/9sA=")</f>
        <v>#VALUE!</v>
      </c>
      <c r="GL99" t="e">
        <f>AND('STERLING CATALOG - DRY '!D2129,"AAAAAHy/9sE=")</f>
        <v>#VALUE!</v>
      </c>
      <c r="GM99" t="e">
        <f>AND('STERLING CATALOG - DRY '!E2129,"AAAAAHy/9sI=")</f>
        <v>#VALUE!</v>
      </c>
      <c r="GN99" t="e">
        <f>AND('STERLING CATALOG - DRY '!F2129,"AAAAAHy/9sM=")</f>
        <v>#VALUE!</v>
      </c>
      <c r="GO99" t="e">
        <f>AND('STERLING CATALOG - DRY '!G2129,"AAAAAHy/9sQ=")</f>
        <v>#VALUE!</v>
      </c>
      <c r="GP99" t="e">
        <f>AND('STERLING CATALOG - DRY '!H2129,"AAAAAHy/9sU=")</f>
        <v>#VALUE!</v>
      </c>
      <c r="GQ99" t="e">
        <f>AND('STERLING CATALOG - DRY '!I2129,"AAAAAHy/9sY=")</f>
        <v>#VALUE!</v>
      </c>
      <c r="GR99" t="e">
        <f>AND('STERLING CATALOG - DRY '!J2129,"AAAAAHy/9sc=")</f>
        <v>#VALUE!</v>
      </c>
      <c r="GS99">
        <f>IF('STERLING CATALOG - DRY '!2130:2130,"AAAAAHy/9sg=",0)</f>
        <v>0</v>
      </c>
      <c r="GT99" t="e">
        <f>AND('STERLING CATALOG - DRY '!A2130,"AAAAAHy/9sk=")</f>
        <v>#VALUE!</v>
      </c>
      <c r="GU99" t="e">
        <f>AND('STERLING CATALOG - DRY '!B2130,"AAAAAHy/9so=")</f>
        <v>#VALUE!</v>
      </c>
      <c r="GV99" t="e">
        <f>AND('STERLING CATALOG - DRY '!C2130,"AAAAAHy/9ss=")</f>
        <v>#VALUE!</v>
      </c>
      <c r="GW99" t="e">
        <f>AND('STERLING CATALOG - DRY '!D2130,"AAAAAHy/9sw=")</f>
        <v>#VALUE!</v>
      </c>
      <c r="GX99" t="e">
        <f>AND('STERLING CATALOG - DRY '!E2130,"AAAAAHy/9s0=")</f>
        <v>#VALUE!</v>
      </c>
      <c r="GY99" t="e">
        <f>AND('STERLING CATALOG - DRY '!F2130,"AAAAAHy/9s4=")</f>
        <v>#VALUE!</v>
      </c>
      <c r="GZ99" t="e">
        <f>AND('STERLING CATALOG - DRY '!G2130,"AAAAAHy/9s8=")</f>
        <v>#VALUE!</v>
      </c>
      <c r="HA99" t="e">
        <f>AND('STERLING CATALOG - DRY '!H2130,"AAAAAHy/9tA=")</f>
        <v>#VALUE!</v>
      </c>
      <c r="HB99" t="e">
        <f>AND('STERLING CATALOG - DRY '!I2130,"AAAAAHy/9tE=")</f>
        <v>#VALUE!</v>
      </c>
      <c r="HC99" t="e">
        <f>AND('STERLING CATALOG - DRY '!J2130,"AAAAAHy/9tI=")</f>
        <v>#VALUE!</v>
      </c>
      <c r="HD99">
        <f>IF('STERLING CATALOG - DRY '!2131:2131,"AAAAAHy/9tM=",0)</f>
        <v>0</v>
      </c>
      <c r="HE99" t="e">
        <f>AND('STERLING CATALOG - DRY '!A2131,"AAAAAHy/9tQ=")</f>
        <v>#VALUE!</v>
      </c>
      <c r="HF99" t="e">
        <f>AND('STERLING CATALOG - DRY '!B2131,"AAAAAHy/9tU=")</f>
        <v>#VALUE!</v>
      </c>
      <c r="HG99" t="e">
        <f>AND('STERLING CATALOG - DRY '!C2131,"AAAAAHy/9tY=")</f>
        <v>#VALUE!</v>
      </c>
      <c r="HH99" t="e">
        <f>AND('STERLING CATALOG - DRY '!D2131,"AAAAAHy/9tc=")</f>
        <v>#VALUE!</v>
      </c>
      <c r="HI99" t="e">
        <f>AND('STERLING CATALOG - DRY '!E2131,"AAAAAHy/9tg=")</f>
        <v>#VALUE!</v>
      </c>
      <c r="HJ99" t="e">
        <f>AND('STERLING CATALOG - DRY '!F2131,"AAAAAHy/9tk=")</f>
        <v>#VALUE!</v>
      </c>
      <c r="HK99" t="e">
        <f>AND('STERLING CATALOG - DRY '!G2131,"AAAAAHy/9to=")</f>
        <v>#VALUE!</v>
      </c>
      <c r="HL99" t="e">
        <f>AND('STERLING CATALOG - DRY '!H2131,"AAAAAHy/9ts=")</f>
        <v>#VALUE!</v>
      </c>
      <c r="HM99" t="e">
        <f>AND('STERLING CATALOG - DRY '!I2131,"AAAAAHy/9tw=")</f>
        <v>#VALUE!</v>
      </c>
      <c r="HN99" t="e">
        <f>AND('STERLING CATALOG - DRY '!J2131,"AAAAAHy/9t0=")</f>
        <v>#VALUE!</v>
      </c>
      <c r="HO99">
        <f>IF('STERLING CATALOG - DRY '!2132:2132,"AAAAAHy/9t4=",0)</f>
        <v>0</v>
      </c>
      <c r="HP99" t="e">
        <f>AND('STERLING CATALOG - DRY '!A2132,"AAAAAHy/9t8=")</f>
        <v>#VALUE!</v>
      </c>
      <c r="HQ99" t="e">
        <f>AND('STERLING CATALOG - DRY '!B2132,"AAAAAHy/9uA=")</f>
        <v>#VALUE!</v>
      </c>
      <c r="HR99" t="e">
        <f>AND('STERLING CATALOG - DRY '!C2132,"AAAAAHy/9uE=")</f>
        <v>#VALUE!</v>
      </c>
      <c r="HS99" t="e">
        <f>AND('STERLING CATALOG - DRY '!D2132,"AAAAAHy/9uI=")</f>
        <v>#VALUE!</v>
      </c>
      <c r="HT99" t="e">
        <f>AND('STERLING CATALOG - DRY '!E2132,"AAAAAHy/9uM=")</f>
        <v>#VALUE!</v>
      </c>
      <c r="HU99" t="e">
        <f>AND('STERLING CATALOG - DRY '!F2132,"AAAAAHy/9uQ=")</f>
        <v>#VALUE!</v>
      </c>
      <c r="HV99" t="e">
        <f>AND('STERLING CATALOG - DRY '!G2132,"AAAAAHy/9uU=")</f>
        <v>#VALUE!</v>
      </c>
      <c r="HW99" t="e">
        <f>AND('STERLING CATALOG - DRY '!H2132,"AAAAAHy/9uY=")</f>
        <v>#VALUE!</v>
      </c>
      <c r="HX99" t="e">
        <f>AND('STERLING CATALOG - DRY '!I2132,"AAAAAHy/9uc=")</f>
        <v>#VALUE!</v>
      </c>
      <c r="HY99" t="e">
        <f>AND('STERLING CATALOG - DRY '!J2132,"AAAAAHy/9ug=")</f>
        <v>#VALUE!</v>
      </c>
      <c r="HZ99">
        <f>IF('STERLING CATALOG - DRY '!2133:2133,"AAAAAHy/9uk=",0)</f>
        <v>0</v>
      </c>
      <c r="IA99" t="e">
        <f>AND('STERLING CATALOG - DRY '!A2133,"AAAAAHy/9uo=")</f>
        <v>#VALUE!</v>
      </c>
      <c r="IB99" t="e">
        <f>AND('STERLING CATALOG - DRY '!B2133,"AAAAAHy/9us=")</f>
        <v>#VALUE!</v>
      </c>
      <c r="IC99" t="e">
        <f>AND('STERLING CATALOG - DRY '!C2133,"AAAAAHy/9uw=")</f>
        <v>#VALUE!</v>
      </c>
      <c r="ID99" t="e">
        <f>AND('STERLING CATALOG - DRY '!D2133,"AAAAAHy/9u0=")</f>
        <v>#VALUE!</v>
      </c>
      <c r="IE99" t="e">
        <f>AND('STERLING CATALOG - DRY '!E2133,"AAAAAHy/9u4=")</f>
        <v>#VALUE!</v>
      </c>
      <c r="IF99" t="e">
        <f>AND('STERLING CATALOG - DRY '!F2133,"AAAAAHy/9u8=")</f>
        <v>#VALUE!</v>
      </c>
      <c r="IG99" t="e">
        <f>AND('STERLING CATALOG - DRY '!G2133,"AAAAAHy/9vA=")</f>
        <v>#VALUE!</v>
      </c>
      <c r="IH99" t="e">
        <f>AND('STERLING CATALOG - DRY '!H2133,"AAAAAHy/9vE=")</f>
        <v>#VALUE!</v>
      </c>
      <c r="II99" t="e">
        <f>AND('STERLING CATALOG - DRY '!I2133,"AAAAAHy/9vI=")</f>
        <v>#VALUE!</v>
      </c>
      <c r="IJ99" t="e">
        <f>AND('STERLING CATALOG - DRY '!J2133,"AAAAAHy/9vM=")</f>
        <v>#VALUE!</v>
      </c>
      <c r="IK99">
        <f>IF('STERLING CATALOG - DRY '!2134:2134,"AAAAAHy/9vQ=",0)</f>
        <v>0</v>
      </c>
      <c r="IL99" t="e">
        <f>AND('STERLING CATALOG - DRY '!A2134,"AAAAAHy/9vU=")</f>
        <v>#VALUE!</v>
      </c>
      <c r="IM99" t="e">
        <f>AND('STERLING CATALOG - DRY '!B2134,"AAAAAHy/9vY=")</f>
        <v>#VALUE!</v>
      </c>
      <c r="IN99" t="e">
        <f>AND('STERLING CATALOG - DRY '!C2134,"AAAAAHy/9vc=")</f>
        <v>#VALUE!</v>
      </c>
      <c r="IO99" t="e">
        <f>AND('STERLING CATALOG - DRY '!D2134,"AAAAAHy/9vg=")</f>
        <v>#VALUE!</v>
      </c>
      <c r="IP99" t="e">
        <f>AND('STERLING CATALOG - DRY '!E2134,"AAAAAHy/9vk=")</f>
        <v>#VALUE!</v>
      </c>
      <c r="IQ99" t="e">
        <f>AND('STERLING CATALOG - DRY '!F2134,"AAAAAHy/9vo=")</f>
        <v>#VALUE!</v>
      </c>
      <c r="IR99" t="e">
        <f>AND('STERLING CATALOG - DRY '!G2134,"AAAAAHy/9vs=")</f>
        <v>#VALUE!</v>
      </c>
      <c r="IS99" t="e">
        <f>AND('STERLING CATALOG - DRY '!H2134,"AAAAAHy/9vw=")</f>
        <v>#VALUE!</v>
      </c>
      <c r="IT99" t="e">
        <f>AND('STERLING CATALOG - DRY '!I2134,"AAAAAHy/9v0=")</f>
        <v>#VALUE!</v>
      </c>
      <c r="IU99" t="e">
        <f>AND('STERLING CATALOG - DRY '!J2134,"AAAAAHy/9v4=")</f>
        <v>#VALUE!</v>
      </c>
      <c r="IV99">
        <f>IF('STERLING CATALOG - DRY '!2135:2135,"AAAAAHy/9v8=",0)</f>
        <v>0</v>
      </c>
    </row>
    <row r="100" spans="1:256">
      <c r="A100" t="e">
        <f>AND('STERLING CATALOG - DRY '!A2135,"AAAAAHjXbwA=")</f>
        <v>#VALUE!</v>
      </c>
      <c r="B100" t="e">
        <f>AND('STERLING CATALOG - DRY '!B2135,"AAAAAHjXbwE=")</f>
        <v>#VALUE!</v>
      </c>
      <c r="C100" t="e">
        <f>AND('STERLING CATALOG - DRY '!C2135,"AAAAAHjXbwI=")</f>
        <v>#VALUE!</v>
      </c>
      <c r="D100" t="e">
        <f>AND('STERLING CATALOG - DRY '!D2135,"AAAAAHjXbwM=")</f>
        <v>#VALUE!</v>
      </c>
      <c r="E100" t="e">
        <f>AND('STERLING CATALOG - DRY '!E2135,"AAAAAHjXbwQ=")</f>
        <v>#VALUE!</v>
      </c>
      <c r="F100" t="e">
        <f>AND('STERLING CATALOG - DRY '!F2135,"AAAAAHjXbwU=")</f>
        <v>#VALUE!</v>
      </c>
      <c r="G100" t="e">
        <f>AND('STERLING CATALOG - DRY '!G2135,"AAAAAHjXbwY=")</f>
        <v>#VALUE!</v>
      </c>
      <c r="H100" t="e">
        <f>AND('STERLING CATALOG - DRY '!H2135,"AAAAAHjXbwc=")</f>
        <v>#VALUE!</v>
      </c>
      <c r="I100" t="e">
        <f>AND('STERLING CATALOG - DRY '!I2135,"AAAAAHjXbwg=")</f>
        <v>#VALUE!</v>
      </c>
      <c r="J100" t="e">
        <f>AND('STERLING CATALOG - DRY '!J2135,"AAAAAHjXbwk=")</f>
        <v>#VALUE!</v>
      </c>
      <c r="K100">
        <f>IF('STERLING CATALOG - DRY '!2136:2136,"AAAAAHjXbwo=",0)</f>
        <v>0</v>
      </c>
      <c r="L100" t="e">
        <f>AND('STERLING CATALOG - DRY '!A2136,"AAAAAHjXbws=")</f>
        <v>#VALUE!</v>
      </c>
      <c r="M100" t="e">
        <f>AND('STERLING CATALOG - DRY '!B2136,"AAAAAHjXbww=")</f>
        <v>#VALUE!</v>
      </c>
      <c r="N100" t="e">
        <f>AND('STERLING CATALOG - DRY '!C2136,"AAAAAHjXbw0=")</f>
        <v>#VALUE!</v>
      </c>
      <c r="O100" t="e">
        <f>AND('STERLING CATALOG - DRY '!D2136,"AAAAAHjXbw4=")</f>
        <v>#VALUE!</v>
      </c>
      <c r="P100" t="e">
        <f>AND('STERLING CATALOG - DRY '!E2136,"AAAAAHjXbw8=")</f>
        <v>#VALUE!</v>
      </c>
      <c r="Q100" t="e">
        <f>AND('STERLING CATALOG - DRY '!F2136,"AAAAAHjXbxA=")</f>
        <v>#VALUE!</v>
      </c>
      <c r="R100" t="e">
        <f>AND('STERLING CATALOG - DRY '!G2136,"AAAAAHjXbxE=")</f>
        <v>#VALUE!</v>
      </c>
      <c r="S100" t="e">
        <f>AND('STERLING CATALOG - DRY '!H2136,"AAAAAHjXbxI=")</f>
        <v>#VALUE!</v>
      </c>
      <c r="T100" t="e">
        <f>AND('STERLING CATALOG - DRY '!I2136,"AAAAAHjXbxM=")</f>
        <v>#VALUE!</v>
      </c>
      <c r="U100" t="e">
        <f>AND('STERLING CATALOG - DRY '!J2136,"AAAAAHjXbxQ=")</f>
        <v>#VALUE!</v>
      </c>
      <c r="V100">
        <f>IF('STERLING CATALOG - DRY '!2137:2137,"AAAAAHjXbxU=",0)</f>
        <v>0</v>
      </c>
      <c r="W100" t="e">
        <f>AND('STERLING CATALOG - DRY '!A2137,"AAAAAHjXbxY=")</f>
        <v>#VALUE!</v>
      </c>
      <c r="X100" t="e">
        <f>AND('STERLING CATALOG - DRY '!B2137,"AAAAAHjXbxc=")</f>
        <v>#VALUE!</v>
      </c>
      <c r="Y100" t="e">
        <f>AND('STERLING CATALOG - DRY '!C2137,"AAAAAHjXbxg=")</f>
        <v>#VALUE!</v>
      </c>
      <c r="Z100" t="e">
        <f>AND('STERLING CATALOG - DRY '!D2137,"AAAAAHjXbxk=")</f>
        <v>#VALUE!</v>
      </c>
      <c r="AA100" t="e">
        <f>AND('STERLING CATALOG - DRY '!E2137,"AAAAAHjXbxo=")</f>
        <v>#VALUE!</v>
      </c>
      <c r="AB100" t="e">
        <f>AND('STERLING CATALOG - DRY '!F2137,"AAAAAHjXbxs=")</f>
        <v>#VALUE!</v>
      </c>
      <c r="AC100" t="e">
        <f>AND('STERLING CATALOG - DRY '!G2137,"AAAAAHjXbxw=")</f>
        <v>#VALUE!</v>
      </c>
      <c r="AD100" t="e">
        <f>AND('STERLING CATALOG - DRY '!H2137,"AAAAAHjXbx0=")</f>
        <v>#VALUE!</v>
      </c>
      <c r="AE100" t="e">
        <f>AND('STERLING CATALOG - DRY '!I2137,"AAAAAHjXbx4=")</f>
        <v>#VALUE!</v>
      </c>
      <c r="AF100" t="e">
        <f>AND('STERLING CATALOG - DRY '!J2137,"AAAAAHjXbx8=")</f>
        <v>#VALUE!</v>
      </c>
      <c r="AG100">
        <f>IF('STERLING CATALOG - DRY '!2138:2138,"AAAAAHjXbyA=",0)</f>
        <v>0</v>
      </c>
      <c r="AH100" t="e">
        <f>AND('STERLING CATALOG - DRY '!A2138,"AAAAAHjXbyE=")</f>
        <v>#VALUE!</v>
      </c>
      <c r="AI100" t="e">
        <f>AND('STERLING CATALOG - DRY '!B2138,"AAAAAHjXbyI=")</f>
        <v>#VALUE!</v>
      </c>
      <c r="AJ100" t="e">
        <f>AND('STERLING CATALOG - DRY '!C2138,"AAAAAHjXbyM=")</f>
        <v>#VALUE!</v>
      </c>
      <c r="AK100" t="e">
        <f>AND('STERLING CATALOG - DRY '!D2138,"AAAAAHjXbyQ=")</f>
        <v>#VALUE!</v>
      </c>
      <c r="AL100" t="e">
        <f>AND('STERLING CATALOG - DRY '!E2138,"AAAAAHjXbyU=")</f>
        <v>#VALUE!</v>
      </c>
      <c r="AM100" t="e">
        <f>AND('STERLING CATALOG - DRY '!F2138,"AAAAAHjXbyY=")</f>
        <v>#VALUE!</v>
      </c>
      <c r="AN100" t="e">
        <f>AND('STERLING CATALOG - DRY '!G2138,"AAAAAHjXbyc=")</f>
        <v>#VALUE!</v>
      </c>
      <c r="AO100" t="e">
        <f>AND('STERLING CATALOG - DRY '!H2138,"AAAAAHjXbyg=")</f>
        <v>#VALUE!</v>
      </c>
      <c r="AP100" t="e">
        <f>AND('STERLING CATALOG - DRY '!I2138,"AAAAAHjXbyk=")</f>
        <v>#VALUE!</v>
      </c>
      <c r="AQ100" t="e">
        <f>AND('STERLING CATALOG - DRY '!J2138,"AAAAAHjXbyo=")</f>
        <v>#VALUE!</v>
      </c>
      <c r="AR100">
        <f>IF('STERLING CATALOG - DRY '!2139:2139,"AAAAAHjXbys=",0)</f>
        <v>0</v>
      </c>
      <c r="AS100" t="e">
        <f>AND('STERLING CATALOG - DRY '!A2139,"AAAAAHjXbyw=")</f>
        <v>#VALUE!</v>
      </c>
      <c r="AT100" t="e">
        <f>AND('STERLING CATALOG - DRY '!B2139,"AAAAAHjXby0=")</f>
        <v>#VALUE!</v>
      </c>
      <c r="AU100" t="e">
        <f>AND('STERLING CATALOG - DRY '!C2139,"AAAAAHjXby4=")</f>
        <v>#VALUE!</v>
      </c>
      <c r="AV100" t="e">
        <f>AND('STERLING CATALOG - DRY '!D2139,"AAAAAHjXby8=")</f>
        <v>#VALUE!</v>
      </c>
      <c r="AW100" t="e">
        <f>AND('STERLING CATALOG - DRY '!E2139,"AAAAAHjXbzA=")</f>
        <v>#VALUE!</v>
      </c>
      <c r="AX100" t="e">
        <f>AND('STERLING CATALOG - DRY '!F2139,"AAAAAHjXbzE=")</f>
        <v>#VALUE!</v>
      </c>
      <c r="AY100" t="e">
        <f>AND('STERLING CATALOG - DRY '!G2139,"AAAAAHjXbzI=")</f>
        <v>#VALUE!</v>
      </c>
      <c r="AZ100" t="e">
        <f>AND('STERLING CATALOG - DRY '!H2139,"AAAAAHjXbzM=")</f>
        <v>#VALUE!</v>
      </c>
      <c r="BA100" t="e">
        <f>AND('STERLING CATALOG - DRY '!I2139,"AAAAAHjXbzQ=")</f>
        <v>#VALUE!</v>
      </c>
      <c r="BB100" t="e">
        <f>AND('STERLING CATALOG - DRY '!J2139,"AAAAAHjXbzU=")</f>
        <v>#VALUE!</v>
      </c>
      <c r="BC100">
        <f>IF('STERLING CATALOG - DRY '!2140:2140,"AAAAAHjXbzY=",0)</f>
        <v>0</v>
      </c>
      <c r="BD100" t="e">
        <f>AND('STERLING CATALOG - DRY '!A2140,"AAAAAHjXbzc=")</f>
        <v>#VALUE!</v>
      </c>
      <c r="BE100" t="e">
        <f>AND('STERLING CATALOG - DRY '!B2140,"AAAAAHjXbzg=")</f>
        <v>#VALUE!</v>
      </c>
      <c r="BF100" t="e">
        <f>AND('STERLING CATALOG - DRY '!C2140,"AAAAAHjXbzk=")</f>
        <v>#VALUE!</v>
      </c>
      <c r="BG100" t="e">
        <f>AND('STERLING CATALOG - DRY '!D2140,"AAAAAHjXbzo=")</f>
        <v>#VALUE!</v>
      </c>
      <c r="BH100" t="e">
        <f>AND('STERLING CATALOG - DRY '!E2140,"AAAAAHjXbzs=")</f>
        <v>#VALUE!</v>
      </c>
      <c r="BI100" t="e">
        <f>AND('STERLING CATALOG - DRY '!F2140,"AAAAAHjXbzw=")</f>
        <v>#VALUE!</v>
      </c>
      <c r="BJ100" t="e">
        <f>AND('STERLING CATALOG - DRY '!G2140,"AAAAAHjXbz0=")</f>
        <v>#VALUE!</v>
      </c>
      <c r="BK100" t="e">
        <f>AND('STERLING CATALOG - DRY '!H2140,"AAAAAHjXbz4=")</f>
        <v>#VALUE!</v>
      </c>
      <c r="BL100" t="e">
        <f>AND('STERLING CATALOG - DRY '!I2140,"AAAAAHjXbz8=")</f>
        <v>#VALUE!</v>
      </c>
      <c r="BM100" t="e">
        <f>AND('STERLING CATALOG - DRY '!J2140,"AAAAAHjXb0A=")</f>
        <v>#VALUE!</v>
      </c>
      <c r="BN100">
        <f>IF('STERLING CATALOG - DRY '!2141:2141,"AAAAAHjXb0E=",0)</f>
        <v>0</v>
      </c>
      <c r="BO100" t="e">
        <f>AND('STERLING CATALOG - DRY '!A2141,"AAAAAHjXb0I=")</f>
        <v>#VALUE!</v>
      </c>
      <c r="BP100" t="e">
        <f>AND('STERLING CATALOG - DRY '!B2141,"AAAAAHjXb0M=")</f>
        <v>#VALUE!</v>
      </c>
      <c r="BQ100" t="e">
        <f>AND('STERLING CATALOG - DRY '!C2141,"AAAAAHjXb0Q=")</f>
        <v>#VALUE!</v>
      </c>
      <c r="BR100" t="e">
        <f>AND('STERLING CATALOG - DRY '!D2141,"AAAAAHjXb0U=")</f>
        <v>#VALUE!</v>
      </c>
      <c r="BS100" t="e">
        <f>AND('STERLING CATALOG - DRY '!E2141,"AAAAAHjXb0Y=")</f>
        <v>#VALUE!</v>
      </c>
      <c r="BT100" t="e">
        <f>AND('STERLING CATALOG - DRY '!F2141,"AAAAAHjXb0c=")</f>
        <v>#VALUE!</v>
      </c>
      <c r="BU100" t="e">
        <f>AND('STERLING CATALOG - DRY '!G2141,"AAAAAHjXb0g=")</f>
        <v>#VALUE!</v>
      </c>
      <c r="BV100" t="e">
        <f>AND('STERLING CATALOG - DRY '!H2141,"AAAAAHjXb0k=")</f>
        <v>#VALUE!</v>
      </c>
      <c r="BW100" t="e">
        <f>AND('STERLING CATALOG - DRY '!I2141,"AAAAAHjXb0o=")</f>
        <v>#VALUE!</v>
      </c>
      <c r="BX100" t="e">
        <f>AND('STERLING CATALOG - DRY '!J2141,"AAAAAHjXb0s=")</f>
        <v>#VALUE!</v>
      </c>
      <c r="BY100">
        <f>IF('STERLING CATALOG - DRY '!2142:2142,"AAAAAHjXb0w=",0)</f>
        <v>0</v>
      </c>
      <c r="BZ100" t="e">
        <f>AND('STERLING CATALOG - DRY '!A2142,"AAAAAHjXb00=")</f>
        <v>#VALUE!</v>
      </c>
      <c r="CA100" t="e">
        <f>AND('STERLING CATALOG - DRY '!B2142,"AAAAAHjXb04=")</f>
        <v>#VALUE!</v>
      </c>
      <c r="CB100" t="e">
        <f>AND('STERLING CATALOG - DRY '!C2142,"AAAAAHjXb08=")</f>
        <v>#VALUE!</v>
      </c>
      <c r="CC100" t="e">
        <f>AND('STERLING CATALOG - DRY '!D2142,"AAAAAHjXb1A=")</f>
        <v>#VALUE!</v>
      </c>
      <c r="CD100" t="e">
        <f>AND('STERLING CATALOG - DRY '!E2142,"AAAAAHjXb1E=")</f>
        <v>#VALUE!</v>
      </c>
      <c r="CE100" t="e">
        <f>AND('STERLING CATALOG - DRY '!F2142,"AAAAAHjXb1I=")</f>
        <v>#VALUE!</v>
      </c>
      <c r="CF100" t="e">
        <f>AND('STERLING CATALOG - DRY '!G2142,"AAAAAHjXb1M=")</f>
        <v>#VALUE!</v>
      </c>
      <c r="CG100" t="e">
        <f>AND('STERLING CATALOG - DRY '!H2142,"AAAAAHjXb1Q=")</f>
        <v>#VALUE!</v>
      </c>
      <c r="CH100" t="e">
        <f>AND('STERLING CATALOG - DRY '!I2142,"AAAAAHjXb1U=")</f>
        <v>#VALUE!</v>
      </c>
      <c r="CI100" t="e">
        <f>AND('STERLING CATALOG - DRY '!J2142,"AAAAAHjXb1Y=")</f>
        <v>#VALUE!</v>
      </c>
      <c r="CJ100">
        <f>IF('STERLING CATALOG - DRY '!2143:2143,"AAAAAHjXb1c=",0)</f>
        <v>0</v>
      </c>
      <c r="CK100" t="e">
        <f>AND('STERLING CATALOG - DRY '!A2143,"AAAAAHjXb1g=")</f>
        <v>#VALUE!</v>
      </c>
      <c r="CL100" t="e">
        <f>AND('STERLING CATALOG - DRY '!B2143,"AAAAAHjXb1k=")</f>
        <v>#VALUE!</v>
      </c>
      <c r="CM100" t="e">
        <f>AND('STERLING CATALOG - DRY '!C2143,"AAAAAHjXb1o=")</f>
        <v>#VALUE!</v>
      </c>
      <c r="CN100" t="e">
        <f>AND('STERLING CATALOG - DRY '!D2143,"AAAAAHjXb1s=")</f>
        <v>#VALUE!</v>
      </c>
      <c r="CO100" t="e">
        <f>AND('STERLING CATALOG - DRY '!E2143,"AAAAAHjXb1w=")</f>
        <v>#VALUE!</v>
      </c>
      <c r="CP100" t="e">
        <f>AND('STERLING CATALOG - DRY '!F2143,"AAAAAHjXb10=")</f>
        <v>#VALUE!</v>
      </c>
      <c r="CQ100" t="e">
        <f>AND('STERLING CATALOG - DRY '!G2143,"AAAAAHjXb14=")</f>
        <v>#VALUE!</v>
      </c>
      <c r="CR100" t="e">
        <f>AND('STERLING CATALOG - DRY '!H2143,"AAAAAHjXb18=")</f>
        <v>#VALUE!</v>
      </c>
      <c r="CS100" t="e">
        <f>AND('STERLING CATALOG - DRY '!I2143,"AAAAAHjXb2A=")</f>
        <v>#VALUE!</v>
      </c>
      <c r="CT100" t="e">
        <f>AND('STERLING CATALOG - DRY '!J2143,"AAAAAHjXb2E=")</f>
        <v>#VALUE!</v>
      </c>
      <c r="CU100">
        <f>IF('STERLING CATALOG - DRY '!2144:2144,"AAAAAHjXb2I=",0)</f>
        <v>0</v>
      </c>
      <c r="CV100" t="e">
        <f>AND('STERLING CATALOG - DRY '!A2144,"AAAAAHjXb2M=")</f>
        <v>#VALUE!</v>
      </c>
      <c r="CW100" t="e">
        <f>AND('STERLING CATALOG - DRY '!B2144,"AAAAAHjXb2Q=")</f>
        <v>#VALUE!</v>
      </c>
      <c r="CX100" t="e">
        <f>AND('STERLING CATALOG - DRY '!C2144,"AAAAAHjXb2U=")</f>
        <v>#VALUE!</v>
      </c>
      <c r="CY100" t="e">
        <f>AND('STERLING CATALOG - DRY '!D2144,"AAAAAHjXb2Y=")</f>
        <v>#VALUE!</v>
      </c>
      <c r="CZ100" t="e">
        <f>AND('STERLING CATALOG - DRY '!E2144,"AAAAAHjXb2c=")</f>
        <v>#VALUE!</v>
      </c>
      <c r="DA100" t="e">
        <f>AND('STERLING CATALOG - DRY '!F2144,"AAAAAHjXb2g=")</f>
        <v>#VALUE!</v>
      </c>
      <c r="DB100" t="e">
        <f>AND('STERLING CATALOG - DRY '!G2144,"AAAAAHjXb2k=")</f>
        <v>#VALUE!</v>
      </c>
      <c r="DC100" t="e">
        <f>AND('STERLING CATALOG - DRY '!H2144,"AAAAAHjXb2o=")</f>
        <v>#VALUE!</v>
      </c>
      <c r="DD100" t="e">
        <f>AND('STERLING CATALOG - DRY '!I2144,"AAAAAHjXb2s=")</f>
        <v>#VALUE!</v>
      </c>
      <c r="DE100" t="e">
        <f>AND('STERLING CATALOG - DRY '!J2144,"AAAAAHjXb2w=")</f>
        <v>#VALUE!</v>
      </c>
      <c r="DF100">
        <f>IF('STERLING CATALOG - DRY '!2145:2145,"AAAAAHjXb20=",0)</f>
        <v>0</v>
      </c>
      <c r="DG100" t="e">
        <f>AND('STERLING CATALOG - DRY '!A2145,"AAAAAHjXb24=")</f>
        <v>#VALUE!</v>
      </c>
      <c r="DH100" t="e">
        <f>AND('STERLING CATALOG - DRY '!B2145,"AAAAAHjXb28=")</f>
        <v>#VALUE!</v>
      </c>
      <c r="DI100" t="e">
        <f>AND('STERLING CATALOG - DRY '!C2145,"AAAAAHjXb3A=")</f>
        <v>#VALUE!</v>
      </c>
      <c r="DJ100" t="e">
        <f>AND('STERLING CATALOG - DRY '!D2145,"AAAAAHjXb3E=")</f>
        <v>#VALUE!</v>
      </c>
      <c r="DK100" t="e">
        <f>AND('STERLING CATALOG - DRY '!E2145,"AAAAAHjXb3I=")</f>
        <v>#VALUE!</v>
      </c>
      <c r="DL100" t="e">
        <f>AND('STERLING CATALOG - DRY '!F2145,"AAAAAHjXb3M=")</f>
        <v>#VALUE!</v>
      </c>
      <c r="DM100" t="e">
        <f>AND('STERLING CATALOG - DRY '!G2145,"AAAAAHjXb3Q=")</f>
        <v>#VALUE!</v>
      </c>
      <c r="DN100" t="e">
        <f>AND('STERLING CATALOG - DRY '!H2145,"AAAAAHjXb3U=")</f>
        <v>#VALUE!</v>
      </c>
      <c r="DO100" t="e">
        <f>AND('STERLING CATALOG - DRY '!I2145,"AAAAAHjXb3Y=")</f>
        <v>#VALUE!</v>
      </c>
      <c r="DP100" t="e">
        <f>AND('STERLING CATALOG - DRY '!J2145,"AAAAAHjXb3c=")</f>
        <v>#VALUE!</v>
      </c>
      <c r="DQ100">
        <f>IF('STERLING CATALOG - DRY '!2146:2146,"AAAAAHjXb3g=",0)</f>
        <v>0</v>
      </c>
      <c r="DR100" t="e">
        <f>AND('STERLING CATALOG - DRY '!A2146,"AAAAAHjXb3k=")</f>
        <v>#VALUE!</v>
      </c>
      <c r="DS100" t="e">
        <f>AND('STERLING CATALOG - DRY '!B2146,"AAAAAHjXb3o=")</f>
        <v>#VALUE!</v>
      </c>
      <c r="DT100" t="e">
        <f>AND('STERLING CATALOG - DRY '!C2146,"AAAAAHjXb3s=")</f>
        <v>#VALUE!</v>
      </c>
      <c r="DU100" t="e">
        <f>AND('STERLING CATALOG - DRY '!D2146,"AAAAAHjXb3w=")</f>
        <v>#VALUE!</v>
      </c>
      <c r="DV100" t="e">
        <f>AND('STERLING CATALOG - DRY '!E2146,"AAAAAHjXb30=")</f>
        <v>#VALUE!</v>
      </c>
      <c r="DW100" t="e">
        <f>AND('STERLING CATALOG - DRY '!F2146,"AAAAAHjXb34=")</f>
        <v>#VALUE!</v>
      </c>
      <c r="DX100" t="e">
        <f>AND('STERLING CATALOG - DRY '!G2146,"AAAAAHjXb38=")</f>
        <v>#VALUE!</v>
      </c>
      <c r="DY100" t="e">
        <f>AND('STERLING CATALOG - DRY '!H2146,"AAAAAHjXb4A=")</f>
        <v>#VALUE!</v>
      </c>
      <c r="DZ100" t="e">
        <f>AND('STERLING CATALOG - DRY '!I2146,"AAAAAHjXb4E=")</f>
        <v>#VALUE!</v>
      </c>
      <c r="EA100" t="e">
        <f>AND('STERLING CATALOG - DRY '!J2146,"AAAAAHjXb4I=")</f>
        <v>#VALUE!</v>
      </c>
      <c r="EB100">
        <f>IF('STERLING CATALOG - DRY '!2147:2147,"AAAAAHjXb4M=",0)</f>
        <v>0</v>
      </c>
      <c r="EC100" t="e">
        <f>AND('STERLING CATALOG - DRY '!A2147,"AAAAAHjXb4Q=")</f>
        <v>#VALUE!</v>
      </c>
      <c r="ED100" t="e">
        <f>AND('STERLING CATALOG - DRY '!B2147,"AAAAAHjXb4U=")</f>
        <v>#VALUE!</v>
      </c>
      <c r="EE100" t="e">
        <f>AND('STERLING CATALOG - DRY '!C2147,"AAAAAHjXb4Y=")</f>
        <v>#VALUE!</v>
      </c>
      <c r="EF100" t="e">
        <f>AND('STERLING CATALOG - DRY '!D2147,"AAAAAHjXb4c=")</f>
        <v>#VALUE!</v>
      </c>
      <c r="EG100" t="e">
        <f>AND('STERLING CATALOG - DRY '!E2147,"AAAAAHjXb4g=")</f>
        <v>#VALUE!</v>
      </c>
      <c r="EH100" t="e">
        <f>AND('STERLING CATALOG - DRY '!F2147,"AAAAAHjXb4k=")</f>
        <v>#VALUE!</v>
      </c>
      <c r="EI100" t="e">
        <f>AND('STERLING CATALOG - DRY '!G2147,"AAAAAHjXb4o=")</f>
        <v>#VALUE!</v>
      </c>
      <c r="EJ100" t="e">
        <f>AND('STERLING CATALOG - DRY '!H2147,"AAAAAHjXb4s=")</f>
        <v>#VALUE!</v>
      </c>
      <c r="EK100" t="e">
        <f>AND('STERLING CATALOG - DRY '!I2147,"AAAAAHjXb4w=")</f>
        <v>#VALUE!</v>
      </c>
      <c r="EL100" t="e">
        <f>AND('STERLING CATALOG - DRY '!J2147,"AAAAAHjXb40=")</f>
        <v>#VALUE!</v>
      </c>
      <c r="EM100">
        <f>IF('STERLING CATALOG - DRY '!2148:2148,"AAAAAHjXb44=",0)</f>
        <v>0</v>
      </c>
      <c r="EN100" t="e">
        <f>AND('STERLING CATALOG - DRY '!A2148,"AAAAAHjXb48=")</f>
        <v>#VALUE!</v>
      </c>
      <c r="EO100" t="e">
        <f>AND('STERLING CATALOG - DRY '!B2148,"AAAAAHjXb5A=")</f>
        <v>#VALUE!</v>
      </c>
      <c r="EP100" t="e">
        <f>AND('STERLING CATALOG - DRY '!C2148,"AAAAAHjXb5E=")</f>
        <v>#VALUE!</v>
      </c>
      <c r="EQ100" t="e">
        <f>AND('STERLING CATALOG - DRY '!D2148,"AAAAAHjXb5I=")</f>
        <v>#VALUE!</v>
      </c>
      <c r="ER100" t="e">
        <f>AND('STERLING CATALOG - DRY '!E2148,"AAAAAHjXb5M=")</f>
        <v>#VALUE!</v>
      </c>
      <c r="ES100" t="e">
        <f>AND('STERLING CATALOG - DRY '!F2148,"AAAAAHjXb5Q=")</f>
        <v>#VALUE!</v>
      </c>
      <c r="ET100" t="e">
        <f>AND('STERLING CATALOG - DRY '!G2148,"AAAAAHjXb5U=")</f>
        <v>#VALUE!</v>
      </c>
      <c r="EU100" t="e">
        <f>AND('STERLING CATALOG - DRY '!H2148,"AAAAAHjXb5Y=")</f>
        <v>#VALUE!</v>
      </c>
      <c r="EV100" t="e">
        <f>AND('STERLING CATALOG - DRY '!I2148,"AAAAAHjXb5c=")</f>
        <v>#VALUE!</v>
      </c>
      <c r="EW100" t="e">
        <f>AND('STERLING CATALOG - DRY '!J2148,"AAAAAHjXb5g=")</f>
        <v>#VALUE!</v>
      </c>
      <c r="EX100">
        <f>IF('STERLING CATALOG - DRY '!2149:2149,"AAAAAHjXb5k=",0)</f>
        <v>0</v>
      </c>
      <c r="EY100" t="e">
        <f>AND('STERLING CATALOG - DRY '!A2149,"AAAAAHjXb5o=")</f>
        <v>#VALUE!</v>
      </c>
      <c r="EZ100" t="e">
        <f>AND('STERLING CATALOG - DRY '!B2149,"AAAAAHjXb5s=")</f>
        <v>#VALUE!</v>
      </c>
      <c r="FA100" t="e">
        <f>AND('STERLING CATALOG - DRY '!C2149,"AAAAAHjXb5w=")</f>
        <v>#VALUE!</v>
      </c>
      <c r="FB100" t="e">
        <f>AND('STERLING CATALOG - DRY '!D2149,"AAAAAHjXb50=")</f>
        <v>#VALUE!</v>
      </c>
      <c r="FC100" t="e">
        <f>AND('STERLING CATALOG - DRY '!E2149,"AAAAAHjXb54=")</f>
        <v>#VALUE!</v>
      </c>
      <c r="FD100" t="e">
        <f>AND('STERLING CATALOG - DRY '!F2149,"AAAAAHjXb58=")</f>
        <v>#VALUE!</v>
      </c>
      <c r="FE100" t="e">
        <f>AND('STERLING CATALOG - DRY '!G2149,"AAAAAHjXb6A=")</f>
        <v>#VALUE!</v>
      </c>
      <c r="FF100" t="e">
        <f>AND('STERLING CATALOG - DRY '!H2149,"AAAAAHjXb6E=")</f>
        <v>#VALUE!</v>
      </c>
      <c r="FG100" t="e">
        <f>AND('STERLING CATALOG - DRY '!I2149,"AAAAAHjXb6I=")</f>
        <v>#VALUE!</v>
      </c>
      <c r="FH100" t="e">
        <f>AND('STERLING CATALOG - DRY '!J2149,"AAAAAHjXb6M=")</f>
        <v>#VALUE!</v>
      </c>
      <c r="FI100">
        <f>IF('STERLING CATALOG - DRY '!2150:2150,"AAAAAHjXb6Q=",0)</f>
        <v>0</v>
      </c>
      <c r="FJ100" t="e">
        <f>AND('STERLING CATALOG - DRY '!A2150,"AAAAAHjXb6U=")</f>
        <v>#VALUE!</v>
      </c>
      <c r="FK100" t="e">
        <f>AND('STERLING CATALOG - DRY '!B2150,"AAAAAHjXb6Y=")</f>
        <v>#VALUE!</v>
      </c>
      <c r="FL100" t="e">
        <f>AND('STERLING CATALOG - DRY '!C2150,"AAAAAHjXb6c=")</f>
        <v>#VALUE!</v>
      </c>
      <c r="FM100" t="e">
        <f>AND('STERLING CATALOG - DRY '!D2150,"AAAAAHjXb6g=")</f>
        <v>#VALUE!</v>
      </c>
      <c r="FN100" t="e">
        <f>AND('STERLING CATALOG - DRY '!E2150,"AAAAAHjXb6k=")</f>
        <v>#VALUE!</v>
      </c>
      <c r="FO100" t="e">
        <f>AND('STERLING CATALOG - DRY '!F2150,"AAAAAHjXb6o=")</f>
        <v>#VALUE!</v>
      </c>
      <c r="FP100" t="e">
        <f>AND('STERLING CATALOG - DRY '!G2150,"AAAAAHjXb6s=")</f>
        <v>#VALUE!</v>
      </c>
      <c r="FQ100" t="e">
        <f>AND('STERLING CATALOG - DRY '!H2150,"AAAAAHjXb6w=")</f>
        <v>#VALUE!</v>
      </c>
      <c r="FR100" t="e">
        <f>AND('STERLING CATALOG - DRY '!I2150,"AAAAAHjXb60=")</f>
        <v>#VALUE!</v>
      </c>
      <c r="FS100" t="e">
        <f>AND('STERLING CATALOG - DRY '!J2150,"AAAAAHjXb64=")</f>
        <v>#VALUE!</v>
      </c>
      <c r="FT100">
        <f>IF('STERLING CATALOG - DRY '!2151:2151,"AAAAAHjXb68=",0)</f>
        <v>0</v>
      </c>
      <c r="FU100" t="e">
        <f>AND('STERLING CATALOG - DRY '!A2151,"AAAAAHjXb7A=")</f>
        <v>#VALUE!</v>
      </c>
      <c r="FV100" t="e">
        <f>AND('STERLING CATALOG - DRY '!B2151,"AAAAAHjXb7E=")</f>
        <v>#VALUE!</v>
      </c>
      <c r="FW100" t="e">
        <f>AND('STERLING CATALOG - DRY '!C2151,"AAAAAHjXb7I=")</f>
        <v>#VALUE!</v>
      </c>
      <c r="FX100" t="e">
        <f>AND('STERLING CATALOG - DRY '!D2151,"AAAAAHjXb7M=")</f>
        <v>#VALUE!</v>
      </c>
      <c r="FY100" t="e">
        <f>AND('STERLING CATALOG - DRY '!E2151,"AAAAAHjXb7Q=")</f>
        <v>#VALUE!</v>
      </c>
      <c r="FZ100" t="e">
        <f>AND('STERLING CATALOG - DRY '!F2151,"AAAAAHjXb7U=")</f>
        <v>#VALUE!</v>
      </c>
      <c r="GA100" t="e">
        <f>AND('STERLING CATALOG - DRY '!G2151,"AAAAAHjXb7Y=")</f>
        <v>#VALUE!</v>
      </c>
      <c r="GB100" t="e">
        <f>AND('STERLING CATALOG - DRY '!H2151,"AAAAAHjXb7c=")</f>
        <v>#VALUE!</v>
      </c>
      <c r="GC100" t="e">
        <f>AND('STERLING CATALOG - DRY '!I2151,"AAAAAHjXb7g=")</f>
        <v>#VALUE!</v>
      </c>
      <c r="GD100" t="e">
        <f>AND('STERLING CATALOG - DRY '!J2151,"AAAAAHjXb7k=")</f>
        <v>#VALUE!</v>
      </c>
      <c r="GE100">
        <f>IF('STERLING CATALOG - DRY '!2152:2152,"AAAAAHjXb7o=",0)</f>
        <v>0</v>
      </c>
      <c r="GF100" t="e">
        <f>AND('STERLING CATALOG - DRY '!A2152,"AAAAAHjXb7s=")</f>
        <v>#VALUE!</v>
      </c>
      <c r="GG100" t="e">
        <f>AND('STERLING CATALOG - DRY '!B2152,"AAAAAHjXb7w=")</f>
        <v>#VALUE!</v>
      </c>
      <c r="GH100" t="e">
        <f>AND('STERLING CATALOG - DRY '!C2152,"AAAAAHjXb70=")</f>
        <v>#VALUE!</v>
      </c>
      <c r="GI100" t="e">
        <f>AND('STERLING CATALOG - DRY '!D2152,"AAAAAHjXb74=")</f>
        <v>#VALUE!</v>
      </c>
      <c r="GJ100" t="e">
        <f>AND('STERLING CATALOG - DRY '!E2152,"AAAAAHjXb78=")</f>
        <v>#VALUE!</v>
      </c>
      <c r="GK100" t="e">
        <f>AND('STERLING CATALOG - DRY '!F2152,"AAAAAHjXb8A=")</f>
        <v>#VALUE!</v>
      </c>
      <c r="GL100" t="e">
        <f>AND('STERLING CATALOG - DRY '!G2152,"AAAAAHjXb8E=")</f>
        <v>#VALUE!</v>
      </c>
      <c r="GM100" t="e">
        <f>AND('STERLING CATALOG - DRY '!H2152,"AAAAAHjXb8I=")</f>
        <v>#VALUE!</v>
      </c>
      <c r="GN100" t="e">
        <f>AND('STERLING CATALOG - DRY '!I2152,"AAAAAHjXb8M=")</f>
        <v>#VALUE!</v>
      </c>
      <c r="GO100" t="e">
        <f>AND('STERLING CATALOG - DRY '!J2152,"AAAAAHjXb8Q=")</f>
        <v>#VALUE!</v>
      </c>
      <c r="GP100">
        <f>IF('STERLING CATALOG - DRY '!2153:2153,"AAAAAHjXb8U=",0)</f>
        <v>0</v>
      </c>
      <c r="GQ100" t="e">
        <f>AND('STERLING CATALOG - DRY '!A2153,"AAAAAHjXb8Y=")</f>
        <v>#VALUE!</v>
      </c>
      <c r="GR100" t="e">
        <f>AND('STERLING CATALOG - DRY '!B2153,"AAAAAHjXb8c=")</f>
        <v>#VALUE!</v>
      </c>
      <c r="GS100" t="e">
        <f>AND('STERLING CATALOG - DRY '!C2153,"AAAAAHjXb8g=")</f>
        <v>#VALUE!</v>
      </c>
      <c r="GT100" t="e">
        <f>AND('STERLING CATALOG - DRY '!D2153,"AAAAAHjXb8k=")</f>
        <v>#VALUE!</v>
      </c>
      <c r="GU100" t="e">
        <f>AND('STERLING CATALOG - DRY '!E2153,"AAAAAHjXb8o=")</f>
        <v>#VALUE!</v>
      </c>
      <c r="GV100" t="e">
        <f>AND('STERLING CATALOG - DRY '!F2153,"AAAAAHjXb8s=")</f>
        <v>#VALUE!</v>
      </c>
      <c r="GW100" t="e">
        <f>AND('STERLING CATALOG - DRY '!G2153,"AAAAAHjXb8w=")</f>
        <v>#VALUE!</v>
      </c>
      <c r="GX100" t="e">
        <f>AND('STERLING CATALOG - DRY '!H2153,"AAAAAHjXb80=")</f>
        <v>#VALUE!</v>
      </c>
      <c r="GY100" t="e">
        <f>AND('STERLING CATALOG - DRY '!I2153,"AAAAAHjXb84=")</f>
        <v>#VALUE!</v>
      </c>
      <c r="GZ100" t="e">
        <f>AND('STERLING CATALOG - DRY '!J2153,"AAAAAHjXb88=")</f>
        <v>#VALUE!</v>
      </c>
      <c r="HA100">
        <f>IF('STERLING CATALOG - DRY '!2154:2154,"AAAAAHjXb9A=",0)</f>
        <v>0</v>
      </c>
      <c r="HB100" t="e">
        <f>AND('STERLING CATALOG - DRY '!A2154,"AAAAAHjXb9E=")</f>
        <v>#VALUE!</v>
      </c>
      <c r="HC100" t="e">
        <f>AND('STERLING CATALOG - DRY '!B2154,"AAAAAHjXb9I=")</f>
        <v>#VALUE!</v>
      </c>
      <c r="HD100" t="e">
        <f>AND('STERLING CATALOG - DRY '!C2154,"AAAAAHjXb9M=")</f>
        <v>#VALUE!</v>
      </c>
      <c r="HE100" t="e">
        <f>AND('STERLING CATALOG - DRY '!D2154,"AAAAAHjXb9Q=")</f>
        <v>#VALUE!</v>
      </c>
      <c r="HF100" t="e">
        <f>AND('STERLING CATALOG - DRY '!E2154,"AAAAAHjXb9U=")</f>
        <v>#VALUE!</v>
      </c>
      <c r="HG100" t="e">
        <f>AND('STERLING CATALOG - DRY '!F2154,"AAAAAHjXb9Y=")</f>
        <v>#VALUE!</v>
      </c>
      <c r="HH100" t="e">
        <f>AND('STERLING CATALOG - DRY '!G2154,"AAAAAHjXb9c=")</f>
        <v>#VALUE!</v>
      </c>
      <c r="HI100" t="e">
        <f>AND('STERLING CATALOG - DRY '!H2154,"AAAAAHjXb9g=")</f>
        <v>#VALUE!</v>
      </c>
      <c r="HJ100" t="e">
        <f>AND('STERLING CATALOG - DRY '!I2154,"AAAAAHjXb9k=")</f>
        <v>#VALUE!</v>
      </c>
      <c r="HK100" t="e">
        <f>AND('STERLING CATALOG - DRY '!J2154,"AAAAAHjXb9o=")</f>
        <v>#VALUE!</v>
      </c>
      <c r="HL100">
        <f>IF('STERLING CATALOG - DRY '!2155:2155,"AAAAAHjXb9s=",0)</f>
        <v>0</v>
      </c>
      <c r="HM100" t="e">
        <f>AND('STERLING CATALOG - DRY '!A2155,"AAAAAHjXb9w=")</f>
        <v>#VALUE!</v>
      </c>
      <c r="HN100" t="e">
        <f>AND('STERLING CATALOG - DRY '!B2155,"AAAAAHjXb90=")</f>
        <v>#VALUE!</v>
      </c>
      <c r="HO100" t="e">
        <f>AND('STERLING CATALOG - DRY '!C2155,"AAAAAHjXb94=")</f>
        <v>#VALUE!</v>
      </c>
      <c r="HP100" t="e">
        <f>AND('STERLING CATALOG - DRY '!D2155,"AAAAAHjXb98=")</f>
        <v>#VALUE!</v>
      </c>
      <c r="HQ100" t="e">
        <f>AND('STERLING CATALOG - DRY '!E2155,"AAAAAHjXb+A=")</f>
        <v>#VALUE!</v>
      </c>
      <c r="HR100" t="e">
        <f>AND('STERLING CATALOG - DRY '!F2155,"AAAAAHjXb+E=")</f>
        <v>#VALUE!</v>
      </c>
      <c r="HS100" t="e">
        <f>AND('STERLING CATALOG - DRY '!G2155,"AAAAAHjXb+I=")</f>
        <v>#VALUE!</v>
      </c>
      <c r="HT100" t="e">
        <f>AND('STERLING CATALOG - DRY '!H2155,"AAAAAHjXb+M=")</f>
        <v>#VALUE!</v>
      </c>
      <c r="HU100" t="e">
        <f>AND('STERLING CATALOG - DRY '!I2155,"AAAAAHjXb+Q=")</f>
        <v>#VALUE!</v>
      </c>
      <c r="HV100" t="e">
        <f>AND('STERLING CATALOG - DRY '!J2155,"AAAAAHjXb+U=")</f>
        <v>#VALUE!</v>
      </c>
      <c r="HW100">
        <f>IF('STERLING CATALOG - DRY '!2156:2156,"AAAAAHjXb+Y=",0)</f>
        <v>0</v>
      </c>
      <c r="HX100" t="e">
        <f>AND('STERLING CATALOG - DRY '!A2156,"AAAAAHjXb+c=")</f>
        <v>#VALUE!</v>
      </c>
      <c r="HY100" t="e">
        <f>AND('STERLING CATALOG - DRY '!B2156,"AAAAAHjXb+g=")</f>
        <v>#VALUE!</v>
      </c>
      <c r="HZ100" t="e">
        <f>AND('STERLING CATALOG - DRY '!C2156,"AAAAAHjXb+k=")</f>
        <v>#VALUE!</v>
      </c>
      <c r="IA100" t="e">
        <f>AND('STERLING CATALOG - DRY '!D2156,"AAAAAHjXb+o=")</f>
        <v>#VALUE!</v>
      </c>
      <c r="IB100" t="e">
        <f>AND('STERLING CATALOG - DRY '!E2156,"AAAAAHjXb+s=")</f>
        <v>#VALUE!</v>
      </c>
      <c r="IC100" t="e">
        <f>AND('STERLING CATALOG - DRY '!F2156,"AAAAAHjXb+w=")</f>
        <v>#VALUE!</v>
      </c>
      <c r="ID100" t="e">
        <f>AND('STERLING CATALOG - DRY '!G2156,"AAAAAHjXb+0=")</f>
        <v>#VALUE!</v>
      </c>
      <c r="IE100" t="e">
        <f>AND('STERLING CATALOG - DRY '!H2156,"AAAAAHjXb+4=")</f>
        <v>#VALUE!</v>
      </c>
      <c r="IF100" t="e">
        <f>AND('STERLING CATALOG - DRY '!I2156,"AAAAAHjXb+8=")</f>
        <v>#VALUE!</v>
      </c>
      <c r="IG100" t="e">
        <f>AND('STERLING CATALOG - DRY '!J2156,"AAAAAHjXb/A=")</f>
        <v>#VALUE!</v>
      </c>
      <c r="IH100">
        <f>IF('STERLING CATALOG - DRY '!2157:2157,"AAAAAHjXb/E=",0)</f>
        <v>0</v>
      </c>
      <c r="II100" t="e">
        <f>AND('STERLING CATALOG - DRY '!A2157,"AAAAAHjXb/I=")</f>
        <v>#VALUE!</v>
      </c>
      <c r="IJ100" t="e">
        <f>AND('STERLING CATALOG - DRY '!B2157,"AAAAAHjXb/M=")</f>
        <v>#VALUE!</v>
      </c>
      <c r="IK100" t="e">
        <f>AND('STERLING CATALOG - DRY '!C2157,"AAAAAHjXb/Q=")</f>
        <v>#VALUE!</v>
      </c>
      <c r="IL100" t="e">
        <f>AND('STERLING CATALOG - DRY '!D2157,"AAAAAHjXb/U=")</f>
        <v>#VALUE!</v>
      </c>
      <c r="IM100" t="e">
        <f>AND('STERLING CATALOG - DRY '!E2157,"AAAAAHjXb/Y=")</f>
        <v>#VALUE!</v>
      </c>
      <c r="IN100" t="e">
        <f>AND('STERLING CATALOG - DRY '!F2157,"AAAAAHjXb/c=")</f>
        <v>#VALUE!</v>
      </c>
      <c r="IO100" t="e">
        <f>AND('STERLING CATALOG - DRY '!G2157,"AAAAAHjXb/g=")</f>
        <v>#VALUE!</v>
      </c>
      <c r="IP100" t="e">
        <f>AND('STERLING CATALOG - DRY '!H2157,"AAAAAHjXb/k=")</f>
        <v>#VALUE!</v>
      </c>
      <c r="IQ100" t="e">
        <f>AND('STERLING CATALOG - DRY '!I2157,"AAAAAHjXb/o=")</f>
        <v>#VALUE!</v>
      </c>
      <c r="IR100" t="e">
        <f>AND('STERLING CATALOG - DRY '!J2157,"AAAAAHjXb/s=")</f>
        <v>#VALUE!</v>
      </c>
      <c r="IS100">
        <f>IF('STERLING CATALOG - DRY '!2158:2158,"AAAAAHjXb/w=",0)</f>
        <v>0</v>
      </c>
      <c r="IT100" t="e">
        <f>AND('STERLING CATALOG - DRY '!A2158,"AAAAAHjXb/0=")</f>
        <v>#VALUE!</v>
      </c>
      <c r="IU100" t="e">
        <f>AND('STERLING CATALOG - DRY '!B2158,"AAAAAHjXb/4=")</f>
        <v>#VALUE!</v>
      </c>
      <c r="IV100" t="e">
        <f>AND('STERLING CATALOG - DRY '!C2158,"AAAAAHjXb/8=")</f>
        <v>#VALUE!</v>
      </c>
    </row>
    <row r="101" spans="1:256">
      <c r="A101" t="e">
        <f>AND('STERLING CATALOG - DRY '!D2158,"AAAAAD/f9QA=")</f>
        <v>#VALUE!</v>
      </c>
      <c r="B101" t="e">
        <f>AND('STERLING CATALOG - DRY '!E2158,"AAAAAD/f9QE=")</f>
        <v>#VALUE!</v>
      </c>
      <c r="C101" t="e">
        <f>AND('STERLING CATALOG - DRY '!F2158,"AAAAAD/f9QI=")</f>
        <v>#VALUE!</v>
      </c>
      <c r="D101" t="e">
        <f>AND('STERLING CATALOG - DRY '!G2158,"AAAAAD/f9QM=")</f>
        <v>#VALUE!</v>
      </c>
      <c r="E101" t="e">
        <f>AND('STERLING CATALOG - DRY '!H2158,"AAAAAD/f9QQ=")</f>
        <v>#VALUE!</v>
      </c>
      <c r="F101" t="e">
        <f>AND('STERLING CATALOG - DRY '!I2158,"AAAAAD/f9QU=")</f>
        <v>#VALUE!</v>
      </c>
      <c r="G101" t="e">
        <f>AND('STERLING CATALOG - DRY '!J2158,"AAAAAD/f9QY=")</f>
        <v>#VALUE!</v>
      </c>
      <c r="H101" t="str">
        <f>IF('STERLING CATALOG - DRY '!2159:2159,"AAAAAD/f9Qc=",0)</f>
        <v>AAAAAD/f9Qc=</v>
      </c>
      <c r="I101" t="e">
        <f>AND('STERLING CATALOG - DRY '!A2159,"AAAAAD/f9Qg=")</f>
        <v>#VALUE!</v>
      </c>
      <c r="J101" t="e">
        <f>AND('STERLING CATALOG - DRY '!B2159,"AAAAAD/f9Qk=")</f>
        <v>#VALUE!</v>
      </c>
      <c r="K101" t="e">
        <f>AND('STERLING CATALOG - DRY '!C2159,"AAAAAD/f9Qo=")</f>
        <v>#VALUE!</v>
      </c>
      <c r="L101" t="e">
        <f>AND('STERLING CATALOG - DRY '!D2159,"AAAAAD/f9Qs=")</f>
        <v>#VALUE!</v>
      </c>
      <c r="M101" t="e">
        <f>AND('STERLING CATALOG - DRY '!E2159,"AAAAAD/f9Qw=")</f>
        <v>#VALUE!</v>
      </c>
      <c r="N101" t="e">
        <f>AND('STERLING CATALOG - DRY '!F2159,"AAAAAD/f9Q0=")</f>
        <v>#VALUE!</v>
      </c>
      <c r="O101" t="e">
        <f>AND('STERLING CATALOG - DRY '!G2159,"AAAAAD/f9Q4=")</f>
        <v>#VALUE!</v>
      </c>
      <c r="P101" t="e">
        <f>AND('STERLING CATALOG - DRY '!H2159,"AAAAAD/f9Q8=")</f>
        <v>#VALUE!</v>
      </c>
      <c r="Q101" t="e">
        <f>AND('STERLING CATALOG - DRY '!I2159,"AAAAAD/f9RA=")</f>
        <v>#VALUE!</v>
      </c>
      <c r="R101" t="e">
        <f>AND('STERLING CATALOG - DRY '!J2159,"AAAAAD/f9RE=")</f>
        <v>#VALUE!</v>
      </c>
      <c r="S101">
        <f>IF('STERLING CATALOG - DRY '!2160:2160,"AAAAAD/f9RI=",0)</f>
        <v>0</v>
      </c>
      <c r="T101" t="e">
        <f>AND('STERLING CATALOG - DRY '!A2160,"AAAAAD/f9RM=")</f>
        <v>#VALUE!</v>
      </c>
      <c r="U101" t="e">
        <f>AND('STERLING CATALOG - DRY '!B2160,"AAAAAD/f9RQ=")</f>
        <v>#VALUE!</v>
      </c>
      <c r="V101" t="e">
        <f>AND('STERLING CATALOG - DRY '!C2160,"AAAAAD/f9RU=")</f>
        <v>#VALUE!</v>
      </c>
      <c r="W101" t="e">
        <f>AND('STERLING CATALOG - DRY '!D2160,"AAAAAD/f9RY=")</f>
        <v>#VALUE!</v>
      </c>
      <c r="X101" t="e">
        <f>AND('STERLING CATALOG - DRY '!E2160,"AAAAAD/f9Rc=")</f>
        <v>#VALUE!</v>
      </c>
      <c r="Y101" t="e">
        <f>AND('STERLING CATALOG - DRY '!F2160,"AAAAAD/f9Rg=")</f>
        <v>#VALUE!</v>
      </c>
      <c r="Z101" t="e">
        <f>AND('STERLING CATALOG - DRY '!G2160,"AAAAAD/f9Rk=")</f>
        <v>#VALUE!</v>
      </c>
      <c r="AA101" t="e">
        <f>AND('STERLING CATALOG - DRY '!H2160,"AAAAAD/f9Ro=")</f>
        <v>#VALUE!</v>
      </c>
      <c r="AB101" t="e">
        <f>AND('STERLING CATALOG - DRY '!I2160,"AAAAAD/f9Rs=")</f>
        <v>#VALUE!</v>
      </c>
      <c r="AC101" t="e">
        <f>AND('STERLING CATALOG - DRY '!J2160,"AAAAAD/f9Rw=")</f>
        <v>#VALUE!</v>
      </c>
      <c r="AD101">
        <f>IF('STERLING CATALOG - DRY '!2161:2161,"AAAAAD/f9R0=",0)</f>
        <v>0</v>
      </c>
      <c r="AE101" t="e">
        <f>AND('STERLING CATALOG - DRY '!A2161,"AAAAAD/f9R4=")</f>
        <v>#VALUE!</v>
      </c>
      <c r="AF101" t="e">
        <f>AND('STERLING CATALOG - DRY '!B2161,"AAAAAD/f9R8=")</f>
        <v>#VALUE!</v>
      </c>
      <c r="AG101" t="e">
        <f>AND('STERLING CATALOG - DRY '!C2161,"AAAAAD/f9SA=")</f>
        <v>#VALUE!</v>
      </c>
      <c r="AH101" t="e">
        <f>AND('STERLING CATALOG - DRY '!D2161,"AAAAAD/f9SE=")</f>
        <v>#VALUE!</v>
      </c>
      <c r="AI101" t="e">
        <f>AND('STERLING CATALOG - DRY '!E2161,"AAAAAD/f9SI=")</f>
        <v>#VALUE!</v>
      </c>
      <c r="AJ101" t="e">
        <f>AND('STERLING CATALOG - DRY '!F2161,"AAAAAD/f9SM=")</f>
        <v>#VALUE!</v>
      </c>
      <c r="AK101" t="e">
        <f>AND('STERLING CATALOG - DRY '!G2161,"AAAAAD/f9SQ=")</f>
        <v>#VALUE!</v>
      </c>
      <c r="AL101" t="e">
        <f>AND('STERLING CATALOG - DRY '!H2161,"AAAAAD/f9SU=")</f>
        <v>#VALUE!</v>
      </c>
      <c r="AM101" t="e">
        <f>AND('STERLING CATALOG - DRY '!I2161,"AAAAAD/f9SY=")</f>
        <v>#VALUE!</v>
      </c>
      <c r="AN101" t="e">
        <f>AND('STERLING CATALOG - DRY '!J2161,"AAAAAD/f9Sc=")</f>
        <v>#VALUE!</v>
      </c>
      <c r="AO101">
        <f>IF('STERLING CATALOG - DRY '!2162:2162,"AAAAAD/f9Sg=",0)</f>
        <v>0</v>
      </c>
      <c r="AP101" t="e">
        <f>AND('STERLING CATALOG - DRY '!A2162,"AAAAAD/f9Sk=")</f>
        <v>#VALUE!</v>
      </c>
      <c r="AQ101" t="e">
        <f>AND('STERLING CATALOG - DRY '!B2162,"AAAAAD/f9So=")</f>
        <v>#VALUE!</v>
      </c>
      <c r="AR101" t="e">
        <f>AND('STERLING CATALOG - DRY '!C2162,"AAAAAD/f9Ss=")</f>
        <v>#VALUE!</v>
      </c>
      <c r="AS101" t="e">
        <f>AND('STERLING CATALOG - DRY '!D2162,"AAAAAD/f9Sw=")</f>
        <v>#VALUE!</v>
      </c>
      <c r="AT101" t="e">
        <f>AND('STERLING CATALOG - DRY '!E2162,"AAAAAD/f9S0=")</f>
        <v>#VALUE!</v>
      </c>
      <c r="AU101" t="e">
        <f>AND('STERLING CATALOG - DRY '!F2162,"AAAAAD/f9S4=")</f>
        <v>#VALUE!</v>
      </c>
      <c r="AV101" t="e">
        <f>AND('STERLING CATALOG - DRY '!G2162,"AAAAAD/f9S8=")</f>
        <v>#VALUE!</v>
      </c>
      <c r="AW101" t="e">
        <f>AND('STERLING CATALOG - DRY '!H2162,"AAAAAD/f9TA=")</f>
        <v>#VALUE!</v>
      </c>
      <c r="AX101" t="e">
        <f>AND('STERLING CATALOG - DRY '!I2162,"AAAAAD/f9TE=")</f>
        <v>#VALUE!</v>
      </c>
      <c r="AY101" t="e">
        <f>AND('STERLING CATALOG - DRY '!J2162,"AAAAAD/f9TI=")</f>
        <v>#VALUE!</v>
      </c>
      <c r="AZ101">
        <f>IF('STERLING CATALOG - DRY '!2163:2163,"AAAAAD/f9TM=",0)</f>
        <v>0</v>
      </c>
      <c r="BA101" t="e">
        <f>AND('STERLING CATALOG - DRY '!A2163,"AAAAAD/f9TQ=")</f>
        <v>#VALUE!</v>
      </c>
      <c r="BB101" t="e">
        <f>AND('STERLING CATALOG - DRY '!B2163,"AAAAAD/f9TU=")</f>
        <v>#VALUE!</v>
      </c>
      <c r="BC101" t="e">
        <f>AND('STERLING CATALOG - DRY '!C2163,"AAAAAD/f9TY=")</f>
        <v>#VALUE!</v>
      </c>
      <c r="BD101" t="e">
        <f>AND('STERLING CATALOG - DRY '!D2163,"AAAAAD/f9Tc=")</f>
        <v>#VALUE!</v>
      </c>
      <c r="BE101" t="e">
        <f>AND('STERLING CATALOG - DRY '!E2163,"AAAAAD/f9Tg=")</f>
        <v>#VALUE!</v>
      </c>
      <c r="BF101" t="e">
        <f>AND('STERLING CATALOG - DRY '!F2163,"AAAAAD/f9Tk=")</f>
        <v>#VALUE!</v>
      </c>
      <c r="BG101" t="e">
        <f>AND('STERLING CATALOG - DRY '!G2163,"AAAAAD/f9To=")</f>
        <v>#VALUE!</v>
      </c>
      <c r="BH101" t="e">
        <f>AND('STERLING CATALOG - DRY '!H2163,"AAAAAD/f9Ts=")</f>
        <v>#VALUE!</v>
      </c>
      <c r="BI101" t="e">
        <f>AND('STERLING CATALOG - DRY '!I2163,"AAAAAD/f9Tw=")</f>
        <v>#VALUE!</v>
      </c>
      <c r="BJ101" t="e">
        <f>AND('STERLING CATALOG - DRY '!J2163,"AAAAAD/f9T0=")</f>
        <v>#VALUE!</v>
      </c>
      <c r="BK101">
        <f>IF('STERLING CATALOG - DRY '!2164:2164,"AAAAAD/f9T4=",0)</f>
        <v>0</v>
      </c>
      <c r="BL101" t="e">
        <f>AND('STERLING CATALOG - DRY '!A2164,"AAAAAD/f9T8=")</f>
        <v>#VALUE!</v>
      </c>
      <c r="BM101" t="e">
        <f>AND('STERLING CATALOG - DRY '!B2164,"AAAAAD/f9UA=")</f>
        <v>#VALUE!</v>
      </c>
      <c r="BN101" t="e">
        <f>AND('STERLING CATALOG - DRY '!C2164,"AAAAAD/f9UE=")</f>
        <v>#VALUE!</v>
      </c>
      <c r="BO101" t="e">
        <f>AND('STERLING CATALOG - DRY '!D2164,"AAAAAD/f9UI=")</f>
        <v>#VALUE!</v>
      </c>
      <c r="BP101" t="e">
        <f>AND('STERLING CATALOG - DRY '!E2164,"AAAAAD/f9UM=")</f>
        <v>#VALUE!</v>
      </c>
      <c r="BQ101" t="e">
        <f>AND('STERLING CATALOG - DRY '!F2164,"AAAAAD/f9UQ=")</f>
        <v>#VALUE!</v>
      </c>
      <c r="BR101" t="e">
        <f>AND('STERLING CATALOG - DRY '!G2164,"AAAAAD/f9UU=")</f>
        <v>#VALUE!</v>
      </c>
      <c r="BS101" t="e">
        <f>AND('STERLING CATALOG - DRY '!H2164,"AAAAAD/f9UY=")</f>
        <v>#VALUE!</v>
      </c>
      <c r="BT101" t="e">
        <f>AND('STERLING CATALOG - DRY '!I2164,"AAAAAD/f9Uc=")</f>
        <v>#VALUE!</v>
      </c>
      <c r="BU101" t="e">
        <f>AND('STERLING CATALOG - DRY '!J2164,"AAAAAD/f9Ug=")</f>
        <v>#VALUE!</v>
      </c>
      <c r="BV101">
        <f>IF('STERLING CATALOG - DRY '!2165:2165,"AAAAAD/f9Uk=",0)</f>
        <v>0</v>
      </c>
      <c r="BW101" t="e">
        <f>AND('STERLING CATALOG - DRY '!A2165,"AAAAAD/f9Uo=")</f>
        <v>#VALUE!</v>
      </c>
      <c r="BX101" t="e">
        <f>AND('STERLING CATALOG - DRY '!B2165,"AAAAAD/f9Us=")</f>
        <v>#VALUE!</v>
      </c>
      <c r="BY101" t="e">
        <f>AND('STERLING CATALOG - DRY '!C2165,"AAAAAD/f9Uw=")</f>
        <v>#VALUE!</v>
      </c>
      <c r="BZ101" t="e">
        <f>AND('STERLING CATALOG - DRY '!D2165,"AAAAAD/f9U0=")</f>
        <v>#VALUE!</v>
      </c>
      <c r="CA101" t="e">
        <f>AND('STERLING CATALOG - DRY '!E2165,"AAAAAD/f9U4=")</f>
        <v>#VALUE!</v>
      </c>
      <c r="CB101" t="e">
        <f>AND('STERLING CATALOG - DRY '!F2165,"AAAAAD/f9U8=")</f>
        <v>#VALUE!</v>
      </c>
      <c r="CC101" t="e">
        <f>AND('STERLING CATALOG - DRY '!G2165,"AAAAAD/f9VA=")</f>
        <v>#VALUE!</v>
      </c>
      <c r="CD101" t="e">
        <f>AND('STERLING CATALOG - DRY '!H2165,"AAAAAD/f9VE=")</f>
        <v>#VALUE!</v>
      </c>
      <c r="CE101" t="e">
        <f>AND('STERLING CATALOG - DRY '!I2165,"AAAAAD/f9VI=")</f>
        <v>#VALUE!</v>
      </c>
      <c r="CF101" t="e">
        <f>AND('STERLING CATALOG - DRY '!J2165,"AAAAAD/f9VM=")</f>
        <v>#VALUE!</v>
      </c>
      <c r="CG101">
        <f>IF('STERLING CATALOG - DRY '!2166:2166,"AAAAAD/f9VQ=",0)</f>
        <v>0</v>
      </c>
      <c r="CH101" t="e">
        <f>AND('STERLING CATALOG - DRY '!A2166,"AAAAAD/f9VU=")</f>
        <v>#VALUE!</v>
      </c>
      <c r="CI101" t="e">
        <f>AND('STERLING CATALOG - DRY '!B2166,"AAAAAD/f9VY=")</f>
        <v>#VALUE!</v>
      </c>
      <c r="CJ101" t="e">
        <f>AND('STERLING CATALOG - DRY '!C2166,"AAAAAD/f9Vc=")</f>
        <v>#VALUE!</v>
      </c>
      <c r="CK101" t="e">
        <f>AND('STERLING CATALOG - DRY '!D2166,"AAAAAD/f9Vg=")</f>
        <v>#VALUE!</v>
      </c>
      <c r="CL101" t="e">
        <f>AND('STERLING CATALOG - DRY '!E2166,"AAAAAD/f9Vk=")</f>
        <v>#VALUE!</v>
      </c>
      <c r="CM101" t="e">
        <f>AND('STERLING CATALOG - DRY '!F2166,"AAAAAD/f9Vo=")</f>
        <v>#VALUE!</v>
      </c>
      <c r="CN101" t="e">
        <f>AND('STERLING CATALOG - DRY '!G2166,"AAAAAD/f9Vs=")</f>
        <v>#VALUE!</v>
      </c>
      <c r="CO101" t="e">
        <f>AND('STERLING CATALOG - DRY '!H2166,"AAAAAD/f9Vw=")</f>
        <v>#VALUE!</v>
      </c>
      <c r="CP101" t="e">
        <f>AND('STERLING CATALOG - DRY '!I2166,"AAAAAD/f9V0=")</f>
        <v>#VALUE!</v>
      </c>
      <c r="CQ101" t="e">
        <f>AND('STERLING CATALOG - DRY '!J2166,"AAAAAD/f9V4=")</f>
        <v>#VALUE!</v>
      </c>
      <c r="CR101">
        <f>IF('STERLING CATALOG - DRY '!2167:2167,"AAAAAD/f9V8=",0)</f>
        <v>0</v>
      </c>
      <c r="CS101" t="e">
        <f>AND('STERLING CATALOG - DRY '!A2167,"AAAAAD/f9WA=")</f>
        <v>#VALUE!</v>
      </c>
      <c r="CT101" t="e">
        <f>AND('STERLING CATALOG - DRY '!B2167,"AAAAAD/f9WE=")</f>
        <v>#VALUE!</v>
      </c>
      <c r="CU101" t="e">
        <f>AND('STERLING CATALOG - DRY '!C2167,"AAAAAD/f9WI=")</f>
        <v>#VALUE!</v>
      </c>
      <c r="CV101" t="e">
        <f>AND('STERLING CATALOG - DRY '!D2167,"AAAAAD/f9WM=")</f>
        <v>#VALUE!</v>
      </c>
      <c r="CW101" t="e">
        <f>AND('STERLING CATALOG - DRY '!E2167,"AAAAAD/f9WQ=")</f>
        <v>#VALUE!</v>
      </c>
      <c r="CX101" t="e">
        <f>AND('STERLING CATALOG - DRY '!F2167,"AAAAAD/f9WU=")</f>
        <v>#VALUE!</v>
      </c>
      <c r="CY101" t="e">
        <f>AND('STERLING CATALOG - DRY '!G2167,"AAAAAD/f9WY=")</f>
        <v>#VALUE!</v>
      </c>
      <c r="CZ101" t="e">
        <f>AND('STERLING CATALOG - DRY '!H2167,"AAAAAD/f9Wc=")</f>
        <v>#VALUE!</v>
      </c>
      <c r="DA101" t="e">
        <f>AND('STERLING CATALOG - DRY '!I2167,"AAAAAD/f9Wg=")</f>
        <v>#VALUE!</v>
      </c>
      <c r="DB101" t="e">
        <f>AND('STERLING CATALOG - DRY '!J2167,"AAAAAD/f9Wk=")</f>
        <v>#VALUE!</v>
      </c>
      <c r="DC101">
        <f>IF('STERLING CATALOG - DRY '!2168:2168,"AAAAAD/f9Wo=",0)</f>
        <v>0</v>
      </c>
      <c r="DD101" t="e">
        <f>AND('STERLING CATALOG - DRY '!A2168,"AAAAAD/f9Ws=")</f>
        <v>#VALUE!</v>
      </c>
      <c r="DE101" t="e">
        <f>AND('STERLING CATALOG - DRY '!B2168,"AAAAAD/f9Ww=")</f>
        <v>#VALUE!</v>
      </c>
      <c r="DF101" t="e">
        <f>AND('STERLING CATALOG - DRY '!C2168,"AAAAAD/f9W0=")</f>
        <v>#VALUE!</v>
      </c>
      <c r="DG101" t="e">
        <f>AND('STERLING CATALOG - DRY '!D2168,"AAAAAD/f9W4=")</f>
        <v>#VALUE!</v>
      </c>
      <c r="DH101" t="e">
        <f>AND('STERLING CATALOG - DRY '!E2168,"AAAAAD/f9W8=")</f>
        <v>#VALUE!</v>
      </c>
      <c r="DI101" t="e">
        <f>AND('STERLING CATALOG - DRY '!F2168,"AAAAAD/f9XA=")</f>
        <v>#VALUE!</v>
      </c>
      <c r="DJ101" t="e">
        <f>AND('STERLING CATALOG - DRY '!G2168,"AAAAAD/f9XE=")</f>
        <v>#VALUE!</v>
      </c>
      <c r="DK101" t="e">
        <f>AND('STERLING CATALOG - DRY '!H2168,"AAAAAD/f9XI=")</f>
        <v>#VALUE!</v>
      </c>
      <c r="DL101" t="e">
        <f>AND('STERLING CATALOG - DRY '!I2168,"AAAAAD/f9XM=")</f>
        <v>#VALUE!</v>
      </c>
      <c r="DM101" t="e">
        <f>AND('STERLING CATALOG - DRY '!J2168,"AAAAAD/f9XQ=")</f>
        <v>#VALUE!</v>
      </c>
      <c r="DN101">
        <f>IF('STERLING CATALOG - DRY '!2169:2169,"AAAAAD/f9XU=",0)</f>
        <v>0</v>
      </c>
      <c r="DO101" t="e">
        <f>AND('STERLING CATALOG - DRY '!A2169,"AAAAAD/f9XY=")</f>
        <v>#VALUE!</v>
      </c>
      <c r="DP101" t="e">
        <f>AND('STERLING CATALOG - DRY '!B2169,"AAAAAD/f9Xc=")</f>
        <v>#VALUE!</v>
      </c>
      <c r="DQ101" t="e">
        <f>AND('STERLING CATALOG - DRY '!C2169,"AAAAAD/f9Xg=")</f>
        <v>#VALUE!</v>
      </c>
      <c r="DR101" t="e">
        <f>AND('STERLING CATALOG - DRY '!D2169,"AAAAAD/f9Xk=")</f>
        <v>#VALUE!</v>
      </c>
      <c r="DS101" t="e">
        <f>AND('STERLING CATALOG - DRY '!E2169,"AAAAAD/f9Xo=")</f>
        <v>#VALUE!</v>
      </c>
      <c r="DT101" t="e">
        <f>AND('STERLING CATALOG - DRY '!F2169,"AAAAAD/f9Xs=")</f>
        <v>#VALUE!</v>
      </c>
      <c r="DU101" t="e">
        <f>AND('STERLING CATALOG - DRY '!G2169,"AAAAAD/f9Xw=")</f>
        <v>#VALUE!</v>
      </c>
      <c r="DV101" t="e">
        <f>AND('STERLING CATALOG - DRY '!H2169,"AAAAAD/f9X0=")</f>
        <v>#VALUE!</v>
      </c>
      <c r="DW101" t="e">
        <f>AND('STERLING CATALOG - DRY '!I2169,"AAAAAD/f9X4=")</f>
        <v>#VALUE!</v>
      </c>
      <c r="DX101" t="e">
        <f>AND('STERLING CATALOG - DRY '!J2169,"AAAAAD/f9X8=")</f>
        <v>#VALUE!</v>
      </c>
      <c r="DY101">
        <f>IF('STERLING CATALOG - DRY '!2170:2170,"AAAAAD/f9YA=",0)</f>
        <v>0</v>
      </c>
      <c r="DZ101" t="e">
        <f>AND('STERLING CATALOG - DRY '!A2170,"AAAAAD/f9YE=")</f>
        <v>#VALUE!</v>
      </c>
      <c r="EA101" t="e">
        <f>AND('STERLING CATALOG - DRY '!B2170,"AAAAAD/f9YI=")</f>
        <v>#VALUE!</v>
      </c>
      <c r="EB101" t="e">
        <f>AND('STERLING CATALOG - DRY '!C2170,"AAAAAD/f9YM=")</f>
        <v>#VALUE!</v>
      </c>
      <c r="EC101" t="e">
        <f>AND('STERLING CATALOG - DRY '!D2170,"AAAAAD/f9YQ=")</f>
        <v>#VALUE!</v>
      </c>
      <c r="ED101" t="e">
        <f>AND('STERLING CATALOG - DRY '!E2170,"AAAAAD/f9YU=")</f>
        <v>#VALUE!</v>
      </c>
      <c r="EE101" t="e">
        <f>AND('STERLING CATALOG - DRY '!F2170,"AAAAAD/f9YY=")</f>
        <v>#VALUE!</v>
      </c>
      <c r="EF101" t="e">
        <f>AND('STERLING CATALOG - DRY '!G2170,"AAAAAD/f9Yc=")</f>
        <v>#VALUE!</v>
      </c>
      <c r="EG101" t="e">
        <f>AND('STERLING CATALOG - DRY '!H2170,"AAAAAD/f9Yg=")</f>
        <v>#VALUE!</v>
      </c>
      <c r="EH101" t="e">
        <f>AND('STERLING CATALOG - DRY '!I2170,"AAAAAD/f9Yk=")</f>
        <v>#VALUE!</v>
      </c>
      <c r="EI101" t="e">
        <f>AND('STERLING CATALOG - DRY '!J2170,"AAAAAD/f9Yo=")</f>
        <v>#VALUE!</v>
      </c>
      <c r="EJ101">
        <f>IF('STERLING CATALOG - DRY '!2171:2171,"AAAAAD/f9Ys=",0)</f>
        <v>0</v>
      </c>
      <c r="EK101" t="e">
        <f>AND('STERLING CATALOG - DRY '!A2171,"AAAAAD/f9Yw=")</f>
        <v>#VALUE!</v>
      </c>
      <c r="EL101" t="e">
        <f>AND('STERLING CATALOG - DRY '!B2171,"AAAAAD/f9Y0=")</f>
        <v>#VALUE!</v>
      </c>
      <c r="EM101" t="e">
        <f>AND('STERLING CATALOG - DRY '!C2171,"AAAAAD/f9Y4=")</f>
        <v>#VALUE!</v>
      </c>
      <c r="EN101" t="e">
        <f>AND('STERLING CATALOG - DRY '!D2171,"AAAAAD/f9Y8=")</f>
        <v>#VALUE!</v>
      </c>
      <c r="EO101" t="e">
        <f>AND('STERLING CATALOG - DRY '!E2171,"AAAAAD/f9ZA=")</f>
        <v>#VALUE!</v>
      </c>
      <c r="EP101" t="e">
        <f>AND('STERLING CATALOG - DRY '!F2171,"AAAAAD/f9ZE=")</f>
        <v>#VALUE!</v>
      </c>
      <c r="EQ101" t="e">
        <f>AND('STERLING CATALOG - DRY '!G2171,"AAAAAD/f9ZI=")</f>
        <v>#VALUE!</v>
      </c>
      <c r="ER101" t="e">
        <f>AND('STERLING CATALOG - DRY '!H2171,"AAAAAD/f9ZM=")</f>
        <v>#VALUE!</v>
      </c>
      <c r="ES101" t="e">
        <f>AND('STERLING CATALOG - DRY '!I2171,"AAAAAD/f9ZQ=")</f>
        <v>#VALUE!</v>
      </c>
      <c r="ET101" t="e">
        <f>AND('STERLING CATALOG - DRY '!J2171,"AAAAAD/f9ZU=")</f>
        <v>#VALUE!</v>
      </c>
      <c r="EU101">
        <f>IF('STERLING CATALOG - DRY '!2172:2172,"AAAAAD/f9ZY=",0)</f>
        <v>0</v>
      </c>
      <c r="EV101" t="e">
        <f>AND('STERLING CATALOG - DRY '!A2172,"AAAAAD/f9Zc=")</f>
        <v>#VALUE!</v>
      </c>
      <c r="EW101" t="e">
        <f>AND('STERLING CATALOG - DRY '!B2172,"AAAAAD/f9Zg=")</f>
        <v>#VALUE!</v>
      </c>
      <c r="EX101" t="e">
        <f>AND('STERLING CATALOG - DRY '!C2172,"AAAAAD/f9Zk=")</f>
        <v>#VALUE!</v>
      </c>
      <c r="EY101" t="e">
        <f>AND('STERLING CATALOG - DRY '!D2172,"AAAAAD/f9Zo=")</f>
        <v>#VALUE!</v>
      </c>
      <c r="EZ101" t="e">
        <f>AND('STERLING CATALOG - DRY '!E2172,"AAAAAD/f9Zs=")</f>
        <v>#VALUE!</v>
      </c>
      <c r="FA101" t="e">
        <f>AND('STERLING CATALOG - DRY '!F2172,"AAAAAD/f9Zw=")</f>
        <v>#VALUE!</v>
      </c>
      <c r="FB101" t="e">
        <f>AND('STERLING CATALOG - DRY '!G2172,"AAAAAD/f9Z0=")</f>
        <v>#VALUE!</v>
      </c>
      <c r="FC101" t="e">
        <f>AND('STERLING CATALOG - DRY '!H2172,"AAAAAD/f9Z4=")</f>
        <v>#VALUE!</v>
      </c>
      <c r="FD101" t="e">
        <f>AND('STERLING CATALOG - DRY '!I2172,"AAAAAD/f9Z8=")</f>
        <v>#VALUE!</v>
      </c>
      <c r="FE101" t="e">
        <f>AND('STERLING CATALOG - DRY '!J2172,"AAAAAD/f9aA=")</f>
        <v>#VALUE!</v>
      </c>
      <c r="FF101">
        <f>IF('STERLING CATALOG - DRY '!2173:2173,"AAAAAD/f9aE=",0)</f>
        <v>0</v>
      </c>
      <c r="FG101" t="e">
        <f>AND('STERLING CATALOG - DRY '!A2173,"AAAAAD/f9aI=")</f>
        <v>#VALUE!</v>
      </c>
      <c r="FH101" t="e">
        <f>AND('STERLING CATALOG - DRY '!B2173,"AAAAAD/f9aM=")</f>
        <v>#VALUE!</v>
      </c>
      <c r="FI101" t="e">
        <f>AND('STERLING CATALOG - DRY '!C2173,"AAAAAD/f9aQ=")</f>
        <v>#VALUE!</v>
      </c>
      <c r="FJ101" t="e">
        <f>AND('STERLING CATALOG - DRY '!D2173,"AAAAAD/f9aU=")</f>
        <v>#VALUE!</v>
      </c>
      <c r="FK101" t="e">
        <f>AND('STERLING CATALOG - DRY '!E2173,"AAAAAD/f9aY=")</f>
        <v>#VALUE!</v>
      </c>
      <c r="FL101" t="e">
        <f>AND('STERLING CATALOG - DRY '!F2173,"AAAAAD/f9ac=")</f>
        <v>#VALUE!</v>
      </c>
      <c r="FM101" t="e">
        <f>AND('STERLING CATALOG - DRY '!G2173,"AAAAAD/f9ag=")</f>
        <v>#VALUE!</v>
      </c>
      <c r="FN101" t="e">
        <f>AND('STERLING CATALOG - DRY '!H2173,"AAAAAD/f9ak=")</f>
        <v>#VALUE!</v>
      </c>
      <c r="FO101" t="e">
        <f>AND('STERLING CATALOG - DRY '!I2173,"AAAAAD/f9ao=")</f>
        <v>#VALUE!</v>
      </c>
      <c r="FP101" t="e">
        <f>AND('STERLING CATALOG - DRY '!J2173,"AAAAAD/f9as=")</f>
        <v>#VALUE!</v>
      </c>
      <c r="FQ101">
        <f>IF('STERLING CATALOG - DRY '!2174:2174,"AAAAAD/f9aw=",0)</f>
        <v>0</v>
      </c>
      <c r="FR101" t="e">
        <f>AND('STERLING CATALOG - DRY '!A2174,"AAAAAD/f9a0=")</f>
        <v>#VALUE!</v>
      </c>
      <c r="FS101" t="e">
        <f>AND('STERLING CATALOG - DRY '!B2174,"AAAAAD/f9a4=")</f>
        <v>#VALUE!</v>
      </c>
      <c r="FT101" t="e">
        <f>AND('STERLING CATALOG - DRY '!C2174,"AAAAAD/f9a8=")</f>
        <v>#VALUE!</v>
      </c>
      <c r="FU101" t="e">
        <f>AND('STERLING CATALOG - DRY '!D2174,"AAAAAD/f9bA=")</f>
        <v>#VALUE!</v>
      </c>
      <c r="FV101" t="e">
        <f>AND('STERLING CATALOG - DRY '!E2174,"AAAAAD/f9bE=")</f>
        <v>#VALUE!</v>
      </c>
      <c r="FW101" t="e">
        <f>AND('STERLING CATALOG - DRY '!F2174,"AAAAAD/f9bI=")</f>
        <v>#VALUE!</v>
      </c>
      <c r="FX101" t="e">
        <f>AND('STERLING CATALOG - DRY '!G2174,"AAAAAD/f9bM=")</f>
        <v>#VALUE!</v>
      </c>
      <c r="FY101" t="e">
        <f>AND('STERLING CATALOG - DRY '!H2174,"AAAAAD/f9bQ=")</f>
        <v>#VALUE!</v>
      </c>
      <c r="FZ101" t="e">
        <f>AND('STERLING CATALOG - DRY '!I2174,"AAAAAD/f9bU=")</f>
        <v>#VALUE!</v>
      </c>
      <c r="GA101" t="e">
        <f>AND('STERLING CATALOG - DRY '!J2174,"AAAAAD/f9bY=")</f>
        <v>#VALUE!</v>
      </c>
      <c r="GB101">
        <f>IF('STERLING CATALOG - DRY '!2175:2175,"AAAAAD/f9bc=",0)</f>
        <v>0</v>
      </c>
      <c r="GC101" t="e">
        <f>AND('STERLING CATALOG - DRY '!A2175,"AAAAAD/f9bg=")</f>
        <v>#VALUE!</v>
      </c>
      <c r="GD101" t="e">
        <f>AND('STERLING CATALOG - DRY '!B2175,"AAAAAD/f9bk=")</f>
        <v>#VALUE!</v>
      </c>
      <c r="GE101" t="e">
        <f>AND('STERLING CATALOG - DRY '!C2175,"AAAAAD/f9bo=")</f>
        <v>#VALUE!</v>
      </c>
      <c r="GF101" t="e">
        <f>AND('STERLING CATALOG - DRY '!D2175,"AAAAAD/f9bs=")</f>
        <v>#VALUE!</v>
      </c>
      <c r="GG101" t="e">
        <f>AND('STERLING CATALOG - DRY '!E2175,"AAAAAD/f9bw=")</f>
        <v>#VALUE!</v>
      </c>
      <c r="GH101" t="e">
        <f>AND('STERLING CATALOG - DRY '!F2175,"AAAAAD/f9b0=")</f>
        <v>#VALUE!</v>
      </c>
      <c r="GI101" t="e">
        <f>AND('STERLING CATALOG - DRY '!G2175,"AAAAAD/f9b4=")</f>
        <v>#VALUE!</v>
      </c>
      <c r="GJ101" t="e">
        <f>AND('STERLING CATALOG - DRY '!H2175,"AAAAAD/f9b8=")</f>
        <v>#VALUE!</v>
      </c>
      <c r="GK101" t="e">
        <f>AND('STERLING CATALOG - DRY '!I2175,"AAAAAD/f9cA=")</f>
        <v>#VALUE!</v>
      </c>
      <c r="GL101" t="e">
        <f>AND('STERLING CATALOG - DRY '!J2175,"AAAAAD/f9cE=")</f>
        <v>#VALUE!</v>
      </c>
      <c r="GM101">
        <f>IF('STERLING CATALOG - DRY '!2176:2176,"AAAAAD/f9cI=",0)</f>
        <v>0</v>
      </c>
      <c r="GN101" t="e">
        <f>AND('STERLING CATALOG - DRY '!A2176,"AAAAAD/f9cM=")</f>
        <v>#VALUE!</v>
      </c>
      <c r="GO101" t="e">
        <f>AND('STERLING CATALOG - DRY '!B2176,"AAAAAD/f9cQ=")</f>
        <v>#VALUE!</v>
      </c>
      <c r="GP101" t="e">
        <f>AND('STERLING CATALOG - DRY '!C2176,"AAAAAD/f9cU=")</f>
        <v>#VALUE!</v>
      </c>
      <c r="GQ101" t="e">
        <f>AND('STERLING CATALOG - DRY '!D2176,"AAAAAD/f9cY=")</f>
        <v>#VALUE!</v>
      </c>
      <c r="GR101" t="e">
        <f>AND('STERLING CATALOG - DRY '!E2176,"AAAAAD/f9cc=")</f>
        <v>#VALUE!</v>
      </c>
      <c r="GS101" t="e">
        <f>AND('STERLING CATALOG - DRY '!F2176,"AAAAAD/f9cg=")</f>
        <v>#VALUE!</v>
      </c>
      <c r="GT101" t="e">
        <f>AND('STERLING CATALOG - DRY '!G2176,"AAAAAD/f9ck=")</f>
        <v>#VALUE!</v>
      </c>
      <c r="GU101" t="e">
        <f>AND('STERLING CATALOG - DRY '!H2176,"AAAAAD/f9co=")</f>
        <v>#VALUE!</v>
      </c>
      <c r="GV101" t="e">
        <f>AND('STERLING CATALOG - DRY '!I2176,"AAAAAD/f9cs=")</f>
        <v>#VALUE!</v>
      </c>
      <c r="GW101" t="e">
        <f>AND('STERLING CATALOG - DRY '!J2176,"AAAAAD/f9cw=")</f>
        <v>#VALUE!</v>
      </c>
      <c r="GX101">
        <f>IF('STERLING CATALOG - DRY '!2177:2177,"AAAAAD/f9c0=",0)</f>
        <v>0</v>
      </c>
      <c r="GY101" t="e">
        <f>AND('STERLING CATALOG - DRY '!A2177,"AAAAAD/f9c4=")</f>
        <v>#VALUE!</v>
      </c>
      <c r="GZ101" t="e">
        <f>AND('STERLING CATALOG - DRY '!B2177,"AAAAAD/f9c8=")</f>
        <v>#VALUE!</v>
      </c>
      <c r="HA101" t="e">
        <f>AND('STERLING CATALOG - DRY '!C2177,"AAAAAD/f9dA=")</f>
        <v>#VALUE!</v>
      </c>
      <c r="HB101" t="e">
        <f>AND('STERLING CATALOG - DRY '!D2177,"AAAAAD/f9dE=")</f>
        <v>#VALUE!</v>
      </c>
      <c r="HC101" t="e">
        <f>AND('STERLING CATALOG - DRY '!E2177,"AAAAAD/f9dI=")</f>
        <v>#VALUE!</v>
      </c>
      <c r="HD101" t="e">
        <f>AND('STERLING CATALOG - DRY '!F2177,"AAAAAD/f9dM=")</f>
        <v>#VALUE!</v>
      </c>
      <c r="HE101" t="e">
        <f>AND('STERLING CATALOG - DRY '!G2177,"AAAAAD/f9dQ=")</f>
        <v>#VALUE!</v>
      </c>
      <c r="HF101" t="e">
        <f>AND('STERLING CATALOG - DRY '!H2177,"AAAAAD/f9dU=")</f>
        <v>#VALUE!</v>
      </c>
      <c r="HG101" t="e">
        <f>AND('STERLING CATALOG - DRY '!I2177,"AAAAAD/f9dY=")</f>
        <v>#VALUE!</v>
      </c>
      <c r="HH101" t="e">
        <f>AND('STERLING CATALOG - DRY '!J2177,"AAAAAD/f9dc=")</f>
        <v>#VALUE!</v>
      </c>
      <c r="HI101">
        <f>IF('STERLING CATALOG - DRY '!2178:2178,"AAAAAD/f9dg=",0)</f>
        <v>0</v>
      </c>
      <c r="HJ101" t="e">
        <f>AND('STERLING CATALOG - DRY '!A2178,"AAAAAD/f9dk=")</f>
        <v>#VALUE!</v>
      </c>
      <c r="HK101" t="e">
        <f>AND('STERLING CATALOG - DRY '!B2178,"AAAAAD/f9do=")</f>
        <v>#VALUE!</v>
      </c>
      <c r="HL101" t="e">
        <f>AND('STERLING CATALOG - DRY '!C2178,"AAAAAD/f9ds=")</f>
        <v>#VALUE!</v>
      </c>
      <c r="HM101" t="e">
        <f>AND('STERLING CATALOG - DRY '!D2178,"AAAAAD/f9dw=")</f>
        <v>#VALUE!</v>
      </c>
      <c r="HN101" t="e">
        <f>AND('STERLING CATALOG - DRY '!E2178,"AAAAAD/f9d0=")</f>
        <v>#VALUE!</v>
      </c>
      <c r="HO101" t="e">
        <f>AND('STERLING CATALOG - DRY '!F2178,"AAAAAD/f9d4=")</f>
        <v>#VALUE!</v>
      </c>
      <c r="HP101" t="e">
        <f>AND('STERLING CATALOG - DRY '!G2178,"AAAAAD/f9d8=")</f>
        <v>#VALUE!</v>
      </c>
      <c r="HQ101" t="e">
        <f>AND('STERLING CATALOG - DRY '!H2178,"AAAAAD/f9eA=")</f>
        <v>#VALUE!</v>
      </c>
      <c r="HR101" t="e">
        <f>AND('STERLING CATALOG - DRY '!I2178,"AAAAAD/f9eE=")</f>
        <v>#VALUE!</v>
      </c>
      <c r="HS101" t="e">
        <f>AND('STERLING CATALOG - DRY '!J2178,"AAAAAD/f9eI=")</f>
        <v>#VALUE!</v>
      </c>
      <c r="HT101">
        <f>IF('STERLING CATALOG - DRY '!2179:2179,"AAAAAD/f9eM=",0)</f>
        <v>0</v>
      </c>
      <c r="HU101" t="e">
        <f>AND('STERLING CATALOG - DRY '!A2179,"AAAAAD/f9eQ=")</f>
        <v>#VALUE!</v>
      </c>
      <c r="HV101" t="e">
        <f>AND('STERLING CATALOG - DRY '!B2179,"AAAAAD/f9eU=")</f>
        <v>#VALUE!</v>
      </c>
      <c r="HW101" t="e">
        <f>AND('STERLING CATALOG - DRY '!C2179,"AAAAAD/f9eY=")</f>
        <v>#VALUE!</v>
      </c>
      <c r="HX101" t="e">
        <f>AND('STERLING CATALOG - DRY '!D2179,"AAAAAD/f9ec=")</f>
        <v>#VALUE!</v>
      </c>
      <c r="HY101" t="e">
        <f>AND('STERLING CATALOG - DRY '!E2179,"AAAAAD/f9eg=")</f>
        <v>#VALUE!</v>
      </c>
      <c r="HZ101" t="e">
        <f>AND('STERLING CATALOG - DRY '!F2179,"AAAAAD/f9ek=")</f>
        <v>#VALUE!</v>
      </c>
      <c r="IA101" t="e">
        <f>AND('STERLING CATALOG - DRY '!G2179,"AAAAAD/f9eo=")</f>
        <v>#VALUE!</v>
      </c>
      <c r="IB101" t="e">
        <f>AND('STERLING CATALOG - DRY '!H2179,"AAAAAD/f9es=")</f>
        <v>#VALUE!</v>
      </c>
      <c r="IC101" t="e">
        <f>AND('STERLING CATALOG - DRY '!I2179,"AAAAAD/f9ew=")</f>
        <v>#VALUE!</v>
      </c>
      <c r="ID101" t="e">
        <f>AND('STERLING CATALOG - DRY '!J2179,"AAAAAD/f9e0=")</f>
        <v>#VALUE!</v>
      </c>
      <c r="IE101">
        <f>IF('STERLING CATALOG - DRY '!2180:2180,"AAAAAD/f9e4=",0)</f>
        <v>0</v>
      </c>
      <c r="IF101" t="e">
        <f>AND('STERLING CATALOG - DRY '!A2180,"AAAAAD/f9e8=")</f>
        <v>#VALUE!</v>
      </c>
      <c r="IG101" t="e">
        <f>AND('STERLING CATALOG - DRY '!B2180,"AAAAAD/f9fA=")</f>
        <v>#VALUE!</v>
      </c>
      <c r="IH101" t="e">
        <f>AND('STERLING CATALOG - DRY '!C2180,"AAAAAD/f9fE=")</f>
        <v>#VALUE!</v>
      </c>
      <c r="II101" t="e">
        <f>AND('STERLING CATALOG - DRY '!D2180,"AAAAAD/f9fI=")</f>
        <v>#VALUE!</v>
      </c>
      <c r="IJ101" t="e">
        <f>AND('STERLING CATALOG - DRY '!E2180,"AAAAAD/f9fM=")</f>
        <v>#VALUE!</v>
      </c>
      <c r="IK101" t="e">
        <f>AND('STERLING CATALOG - DRY '!F2180,"AAAAAD/f9fQ=")</f>
        <v>#VALUE!</v>
      </c>
      <c r="IL101" t="e">
        <f>AND('STERLING CATALOG - DRY '!G2180,"AAAAAD/f9fU=")</f>
        <v>#VALUE!</v>
      </c>
      <c r="IM101" t="e">
        <f>AND('STERLING CATALOG - DRY '!H2180,"AAAAAD/f9fY=")</f>
        <v>#VALUE!</v>
      </c>
      <c r="IN101" t="e">
        <f>AND('STERLING CATALOG - DRY '!I2180,"AAAAAD/f9fc=")</f>
        <v>#VALUE!</v>
      </c>
      <c r="IO101" t="e">
        <f>AND('STERLING CATALOG - DRY '!J2180,"AAAAAD/f9fg=")</f>
        <v>#VALUE!</v>
      </c>
      <c r="IP101">
        <f>IF('STERLING CATALOG - DRY '!2181:2181,"AAAAAD/f9fk=",0)</f>
        <v>0</v>
      </c>
      <c r="IQ101" t="e">
        <f>AND('STERLING CATALOG - DRY '!A2181,"AAAAAD/f9fo=")</f>
        <v>#VALUE!</v>
      </c>
      <c r="IR101" t="e">
        <f>AND('STERLING CATALOG - DRY '!B2181,"AAAAAD/f9fs=")</f>
        <v>#VALUE!</v>
      </c>
      <c r="IS101" t="e">
        <f>AND('STERLING CATALOG - DRY '!C2181,"AAAAAD/f9fw=")</f>
        <v>#VALUE!</v>
      </c>
      <c r="IT101" t="e">
        <f>AND('STERLING CATALOG - DRY '!D2181,"AAAAAD/f9f0=")</f>
        <v>#VALUE!</v>
      </c>
      <c r="IU101" t="e">
        <f>AND('STERLING CATALOG - DRY '!E2181,"AAAAAD/f9f4=")</f>
        <v>#VALUE!</v>
      </c>
      <c r="IV101" t="e">
        <f>AND('STERLING CATALOG - DRY '!F2181,"AAAAAD/f9f8=")</f>
        <v>#VALUE!</v>
      </c>
    </row>
    <row r="102" spans="1:256">
      <c r="A102" t="e">
        <f>AND('STERLING CATALOG - DRY '!G2181,"AAAAAH9r+QA=")</f>
        <v>#VALUE!</v>
      </c>
      <c r="B102" t="e">
        <f>AND('STERLING CATALOG - DRY '!H2181,"AAAAAH9r+QE=")</f>
        <v>#VALUE!</v>
      </c>
      <c r="C102" t="e">
        <f>AND('STERLING CATALOG - DRY '!I2181,"AAAAAH9r+QI=")</f>
        <v>#VALUE!</v>
      </c>
      <c r="D102" t="e">
        <f>AND('STERLING CATALOG - DRY '!J2181,"AAAAAH9r+QM=")</f>
        <v>#VALUE!</v>
      </c>
      <c r="E102" t="e">
        <f>IF('STERLING CATALOG - DRY '!2182:2182,"AAAAAH9r+QQ=",0)</f>
        <v>#VALUE!</v>
      </c>
      <c r="F102" t="e">
        <f>AND('STERLING CATALOG - DRY '!A2182,"AAAAAH9r+QU=")</f>
        <v>#VALUE!</v>
      </c>
      <c r="G102" t="e">
        <f>AND('STERLING CATALOG - DRY '!B2182,"AAAAAH9r+QY=")</f>
        <v>#VALUE!</v>
      </c>
      <c r="H102" t="e">
        <f>AND('STERLING CATALOG - DRY '!C2182,"AAAAAH9r+Qc=")</f>
        <v>#VALUE!</v>
      </c>
      <c r="I102" t="e">
        <f>AND('STERLING CATALOG - DRY '!D2182,"AAAAAH9r+Qg=")</f>
        <v>#VALUE!</v>
      </c>
      <c r="J102" t="e">
        <f>AND('STERLING CATALOG - DRY '!E2182,"AAAAAH9r+Qk=")</f>
        <v>#VALUE!</v>
      </c>
      <c r="K102" t="e">
        <f>AND('STERLING CATALOG - DRY '!F2182,"AAAAAH9r+Qo=")</f>
        <v>#VALUE!</v>
      </c>
      <c r="L102" t="e">
        <f>AND('STERLING CATALOG - DRY '!G2182,"AAAAAH9r+Qs=")</f>
        <v>#VALUE!</v>
      </c>
      <c r="M102" t="e">
        <f>AND('STERLING CATALOG - DRY '!H2182,"AAAAAH9r+Qw=")</f>
        <v>#VALUE!</v>
      </c>
      <c r="N102" t="e">
        <f>AND('STERLING CATALOG - DRY '!I2182,"AAAAAH9r+Q0=")</f>
        <v>#VALUE!</v>
      </c>
      <c r="O102" t="e">
        <f>AND('STERLING CATALOG - DRY '!J2182,"AAAAAH9r+Q4=")</f>
        <v>#VALUE!</v>
      </c>
      <c r="P102">
        <f>IF('STERLING CATALOG - DRY '!2183:2183,"AAAAAH9r+Q8=",0)</f>
        <v>0</v>
      </c>
      <c r="Q102" t="e">
        <f>AND('STERLING CATALOG - DRY '!A2183,"AAAAAH9r+RA=")</f>
        <v>#VALUE!</v>
      </c>
      <c r="R102" t="e">
        <f>AND('STERLING CATALOG - DRY '!B2183,"AAAAAH9r+RE=")</f>
        <v>#VALUE!</v>
      </c>
      <c r="S102" t="e">
        <f>AND('STERLING CATALOG - DRY '!C2183,"AAAAAH9r+RI=")</f>
        <v>#VALUE!</v>
      </c>
      <c r="T102" t="e">
        <f>AND('STERLING CATALOG - DRY '!D2183,"AAAAAH9r+RM=")</f>
        <v>#VALUE!</v>
      </c>
      <c r="U102" t="e">
        <f>AND('STERLING CATALOG - DRY '!E2183,"AAAAAH9r+RQ=")</f>
        <v>#VALUE!</v>
      </c>
      <c r="V102" t="e">
        <f>AND('STERLING CATALOG - DRY '!F2183,"AAAAAH9r+RU=")</f>
        <v>#VALUE!</v>
      </c>
      <c r="W102" t="e">
        <f>AND('STERLING CATALOG - DRY '!G2183,"AAAAAH9r+RY=")</f>
        <v>#VALUE!</v>
      </c>
      <c r="X102" t="e">
        <f>AND('STERLING CATALOG - DRY '!H2183,"AAAAAH9r+Rc=")</f>
        <v>#VALUE!</v>
      </c>
      <c r="Y102" t="e">
        <f>AND('STERLING CATALOG - DRY '!I2183,"AAAAAH9r+Rg=")</f>
        <v>#VALUE!</v>
      </c>
      <c r="Z102" t="e">
        <f>AND('STERLING CATALOG - DRY '!J2183,"AAAAAH9r+Rk=")</f>
        <v>#VALUE!</v>
      </c>
      <c r="AA102">
        <f>IF('STERLING CATALOG - DRY '!2184:2184,"AAAAAH9r+Ro=",0)</f>
        <v>0</v>
      </c>
      <c r="AB102" t="e">
        <f>AND('STERLING CATALOG - DRY '!A2184,"AAAAAH9r+Rs=")</f>
        <v>#VALUE!</v>
      </c>
      <c r="AC102" t="e">
        <f>AND('STERLING CATALOG - DRY '!B2184,"AAAAAH9r+Rw=")</f>
        <v>#VALUE!</v>
      </c>
      <c r="AD102" t="e">
        <f>AND('STERLING CATALOG - DRY '!C2184,"AAAAAH9r+R0=")</f>
        <v>#VALUE!</v>
      </c>
      <c r="AE102" t="e">
        <f>AND('STERLING CATALOG - DRY '!D2184,"AAAAAH9r+R4=")</f>
        <v>#VALUE!</v>
      </c>
      <c r="AF102" t="e">
        <f>AND('STERLING CATALOG - DRY '!E2184,"AAAAAH9r+R8=")</f>
        <v>#VALUE!</v>
      </c>
      <c r="AG102" t="e">
        <f>AND('STERLING CATALOG - DRY '!F2184,"AAAAAH9r+SA=")</f>
        <v>#VALUE!</v>
      </c>
      <c r="AH102" t="e">
        <f>AND('STERLING CATALOG - DRY '!G2184,"AAAAAH9r+SE=")</f>
        <v>#VALUE!</v>
      </c>
      <c r="AI102" t="e">
        <f>AND('STERLING CATALOG - DRY '!H2184,"AAAAAH9r+SI=")</f>
        <v>#VALUE!</v>
      </c>
      <c r="AJ102" t="e">
        <f>AND('STERLING CATALOG - DRY '!I2184,"AAAAAH9r+SM=")</f>
        <v>#VALUE!</v>
      </c>
      <c r="AK102" t="e">
        <f>AND('STERLING CATALOG - DRY '!J2184,"AAAAAH9r+SQ=")</f>
        <v>#VALUE!</v>
      </c>
      <c r="AL102">
        <f>IF('STERLING CATALOG - DRY '!2185:2185,"AAAAAH9r+SU=",0)</f>
        <v>0</v>
      </c>
      <c r="AM102" t="e">
        <f>AND('STERLING CATALOG - DRY '!A2185,"AAAAAH9r+SY=")</f>
        <v>#VALUE!</v>
      </c>
      <c r="AN102" t="e">
        <f>AND('STERLING CATALOG - DRY '!B2185,"AAAAAH9r+Sc=")</f>
        <v>#VALUE!</v>
      </c>
      <c r="AO102" t="e">
        <f>AND('STERLING CATALOG - DRY '!C2185,"AAAAAH9r+Sg=")</f>
        <v>#VALUE!</v>
      </c>
      <c r="AP102" t="e">
        <f>AND('STERLING CATALOG - DRY '!D2185,"AAAAAH9r+Sk=")</f>
        <v>#VALUE!</v>
      </c>
      <c r="AQ102" t="e">
        <f>AND('STERLING CATALOG - DRY '!E2185,"AAAAAH9r+So=")</f>
        <v>#VALUE!</v>
      </c>
      <c r="AR102" t="e">
        <f>AND('STERLING CATALOG - DRY '!F2185,"AAAAAH9r+Ss=")</f>
        <v>#VALUE!</v>
      </c>
      <c r="AS102" t="e">
        <f>AND('STERLING CATALOG - DRY '!G2185,"AAAAAH9r+Sw=")</f>
        <v>#VALUE!</v>
      </c>
      <c r="AT102" t="e">
        <f>AND('STERLING CATALOG - DRY '!H2185,"AAAAAH9r+S0=")</f>
        <v>#VALUE!</v>
      </c>
      <c r="AU102" t="e">
        <f>AND('STERLING CATALOG - DRY '!I2185,"AAAAAH9r+S4=")</f>
        <v>#VALUE!</v>
      </c>
      <c r="AV102" t="e">
        <f>AND('STERLING CATALOG - DRY '!J2185,"AAAAAH9r+S8=")</f>
        <v>#VALUE!</v>
      </c>
      <c r="AW102">
        <f>IF('STERLING CATALOG - DRY '!2186:2186,"AAAAAH9r+TA=",0)</f>
        <v>0</v>
      </c>
      <c r="AX102" t="e">
        <f>AND('STERLING CATALOG - DRY '!A2186,"AAAAAH9r+TE=")</f>
        <v>#VALUE!</v>
      </c>
      <c r="AY102" t="e">
        <f>AND('STERLING CATALOG - DRY '!B2186,"AAAAAH9r+TI=")</f>
        <v>#VALUE!</v>
      </c>
      <c r="AZ102" t="e">
        <f>AND('STERLING CATALOG - DRY '!C2186,"AAAAAH9r+TM=")</f>
        <v>#VALUE!</v>
      </c>
      <c r="BA102" t="e">
        <f>AND('STERLING CATALOG - DRY '!D2186,"AAAAAH9r+TQ=")</f>
        <v>#VALUE!</v>
      </c>
      <c r="BB102" t="e">
        <f>AND('STERLING CATALOG - DRY '!E2186,"AAAAAH9r+TU=")</f>
        <v>#VALUE!</v>
      </c>
      <c r="BC102" t="e">
        <f>AND('STERLING CATALOG - DRY '!F2186,"AAAAAH9r+TY=")</f>
        <v>#VALUE!</v>
      </c>
      <c r="BD102" t="e">
        <f>AND('STERLING CATALOG - DRY '!G2186,"AAAAAH9r+Tc=")</f>
        <v>#VALUE!</v>
      </c>
      <c r="BE102" t="e">
        <f>AND('STERLING CATALOG - DRY '!H2186,"AAAAAH9r+Tg=")</f>
        <v>#VALUE!</v>
      </c>
      <c r="BF102" t="e">
        <f>AND('STERLING CATALOG - DRY '!I2186,"AAAAAH9r+Tk=")</f>
        <v>#VALUE!</v>
      </c>
      <c r="BG102" t="e">
        <f>AND('STERLING CATALOG - DRY '!J2186,"AAAAAH9r+To=")</f>
        <v>#VALUE!</v>
      </c>
      <c r="BH102">
        <f>IF('STERLING CATALOG - DRY '!2187:2187,"AAAAAH9r+Ts=",0)</f>
        <v>0</v>
      </c>
      <c r="BI102" t="e">
        <f>AND('STERLING CATALOG - DRY '!A2187,"AAAAAH9r+Tw=")</f>
        <v>#VALUE!</v>
      </c>
      <c r="BJ102" t="e">
        <f>AND('STERLING CATALOG - DRY '!B2187,"AAAAAH9r+T0=")</f>
        <v>#VALUE!</v>
      </c>
      <c r="BK102" t="e">
        <f>AND('STERLING CATALOG - DRY '!C2187,"AAAAAH9r+T4=")</f>
        <v>#VALUE!</v>
      </c>
      <c r="BL102" t="e">
        <f>AND('STERLING CATALOG - DRY '!D2187,"AAAAAH9r+T8=")</f>
        <v>#VALUE!</v>
      </c>
      <c r="BM102" t="e">
        <f>AND('STERLING CATALOG - DRY '!E2187,"AAAAAH9r+UA=")</f>
        <v>#VALUE!</v>
      </c>
      <c r="BN102" t="e">
        <f>AND('STERLING CATALOG - DRY '!F2187,"AAAAAH9r+UE=")</f>
        <v>#VALUE!</v>
      </c>
      <c r="BO102" t="e">
        <f>AND('STERLING CATALOG - DRY '!G2187,"AAAAAH9r+UI=")</f>
        <v>#VALUE!</v>
      </c>
      <c r="BP102" t="e">
        <f>AND('STERLING CATALOG - DRY '!H2187,"AAAAAH9r+UM=")</f>
        <v>#VALUE!</v>
      </c>
      <c r="BQ102" t="e">
        <f>AND('STERLING CATALOG - DRY '!I2187,"AAAAAH9r+UQ=")</f>
        <v>#VALUE!</v>
      </c>
      <c r="BR102" t="e">
        <f>AND('STERLING CATALOG - DRY '!J2187,"AAAAAH9r+UU=")</f>
        <v>#VALUE!</v>
      </c>
      <c r="BS102">
        <f>IF('STERLING CATALOG - DRY '!2188:2188,"AAAAAH9r+UY=",0)</f>
        <v>0</v>
      </c>
      <c r="BT102" t="e">
        <f>AND('STERLING CATALOG - DRY '!A2188,"AAAAAH9r+Uc=")</f>
        <v>#VALUE!</v>
      </c>
      <c r="BU102" t="e">
        <f>AND('STERLING CATALOG - DRY '!B2188,"AAAAAH9r+Ug=")</f>
        <v>#VALUE!</v>
      </c>
      <c r="BV102" t="e">
        <f>AND('STERLING CATALOG - DRY '!C2188,"AAAAAH9r+Uk=")</f>
        <v>#VALUE!</v>
      </c>
      <c r="BW102" t="e">
        <f>AND('STERLING CATALOG - DRY '!D2188,"AAAAAH9r+Uo=")</f>
        <v>#VALUE!</v>
      </c>
      <c r="BX102" t="e">
        <f>AND('STERLING CATALOG - DRY '!E2188,"AAAAAH9r+Us=")</f>
        <v>#VALUE!</v>
      </c>
      <c r="BY102" t="e">
        <f>AND('STERLING CATALOG - DRY '!F2188,"AAAAAH9r+Uw=")</f>
        <v>#VALUE!</v>
      </c>
      <c r="BZ102" t="e">
        <f>AND('STERLING CATALOG - DRY '!G2188,"AAAAAH9r+U0=")</f>
        <v>#VALUE!</v>
      </c>
      <c r="CA102" t="e">
        <f>AND('STERLING CATALOG - DRY '!H2188,"AAAAAH9r+U4=")</f>
        <v>#VALUE!</v>
      </c>
      <c r="CB102" t="e">
        <f>AND('STERLING CATALOG - DRY '!I2188,"AAAAAH9r+U8=")</f>
        <v>#VALUE!</v>
      </c>
      <c r="CC102" t="e">
        <f>AND('STERLING CATALOG - DRY '!J2188,"AAAAAH9r+VA=")</f>
        <v>#VALUE!</v>
      </c>
      <c r="CD102">
        <f>IF('STERLING CATALOG - DRY '!2189:2189,"AAAAAH9r+VE=",0)</f>
        <v>0</v>
      </c>
      <c r="CE102" t="e">
        <f>AND('STERLING CATALOG - DRY '!A2189,"AAAAAH9r+VI=")</f>
        <v>#VALUE!</v>
      </c>
      <c r="CF102" t="e">
        <f>AND('STERLING CATALOG - DRY '!B2189,"AAAAAH9r+VM=")</f>
        <v>#VALUE!</v>
      </c>
      <c r="CG102" t="e">
        <f>AND('STERLING CATALOG - DRY '!C2189,"AAAAAH9r+VQ=")</f>
        <v>#VALUE!</v>
      </c>
      <c r="CH102" t="e">
        <f>AND('STERLING CATALOG - DRY '!D2189,"AAAAAH9r+VU=")</f>
        <v>#VALUE!</v>
      </c>
      <c r="CI102" t="e">
        <f>AND('STERLING CATALOG - DRY '!E2189,"AAAAAH9r+VY=")</f>
        <v>#VALUE!</v>
      </c>
      <c r="CJ102" t="e">
        <f>AND('STERLING CATALOG - DRY '!F2189,"AAAAAH9r+Vc=")</f>
        <v>#VALUE!</v>
      </c>
      <c r="CK102" t="e">
        <f>AND('STERLING CATALOG - DRY '!G2189,"AAAAAH9r+Vg=")</f>
        <v>#VALUE!</v>
      </c>
      <c r="CL102" t="e">
        <f>AND('STERLING CATALOG - DRY '!H2189,"AAAAAH9r+Vk=")</f>
        <v>#VALUE!</v>
      </c>
      <c r="CM102" t="e">
        <f>AND('STERLING CATALOG - DRY '!I2189,"AAAAAH9r+Vo=")</f>
        <v>#VALUE!</v>
      </c>
      <c r="CN102" t="e">
        <f>AND('STERLING CATALOG - DRY '!J2189,"AAAAAH9r+Vs=")</f>
        <v>#VALUE!</v>
      </c>
      <c r="CO102">
        <f>IF('STERLING CATALOG - DRY '!2190:2190,"AAAAAH9r+Vw=",0)</f>
        <v>0</v>
      </c>
      <c r="CP102" t="e">
        <f>AND('STERLING CATALOG - DRY '!A2190,"AAAAAH9r+V0=")</f>
        <v>#VALUE!</v>
      </c>
      <c r="CQ102" t="e">
        <f>AND('STERLING CATALOG - DRY '!B2190,"AAAAAH9r+V4=")</f>
        <v>#VALUE!</v>
      </c>
      <c r="CR102" t="e">
        <f>AND('STERLING CATALOG - DRY '!C2190,"AAAAAH9r+V8=")</f>
        <v>#VALUE!</v>
      </c>
      <c r="CS102" t="e">
        <f>AND('STERLING CATALOG - DRY '!D2190,"AAAAAH9r+WA=")</f>
        <v>#VALUE!</v>
      </c>
      <c r="CT102" t="e">
        <f>AND('STERLING CATALOG - DRY '!E2190,"AAAAAH9r+WE=")</f>
        <v>#VALUE!</v>
      </c>
      <c r="CU102" t="e">
        <f>AND('STERLING CATALOG - DRY '!F2190,"AAAAAH9r+WI=")</f>
        <v>#VALUE!</v>
      </c>
      <c r="CV102" t="e">
        <f>AND('STERLING CATALOG - DRY '!G2190,"AAAAAH9r+WM=")</f>
        <v>#VALUE!</v>
      </c>
      <c r="CW102" t="e">
        <f>AND('STERLING CATALOG - DRY '!H2190,"AAAAAH9r+WQ=")</f>
        <v>#VALUE!</v>
      </c>
      <c r="CX102" t="e">
        <f>AND('STERLING CATALOG - DRY '!I2190,"AAAAAH9r+WU=")</f>
        <v>#VALUE!</v>
      </c>
      <c r="CY102" t="e">
        <f>AND('STERLING CATALOG - DRY '!J2190,"AAAAAH9r+WY=")</f>
        <v>#VALUE!</v>
      </c>
      <c r="CZ102">
        <f>IF('STERLING CATALOG - DRY '!2191:2191,"AAAAAH9r+Wc=",0)</f>
        <v>0</v>
      </c>
      <c r="DA102" t="e">
        <f>AND('STERLING CATALOG - DRY '!A2191,"AAAAAH9r+Wg=")</f>
        <v>#VALUE!</v>
      </c>
      <c r="DB102" t="e">
        <f>AND('STERLING CATALOG - DRY '!B2191,"AAAAAH9r+Wk=")</f>
        <v>#VALUE!</v>
      </c>
      <c r="DC102" t="e">
        <f>AND('STERLING CATALOG - DRY '!C2191,"AAAAAH9r+Wo=")</f>
        <v>#VALUE!</v>
      </c>
      <c r="DD102" t="e">
        <f>AND('STERLING CATALOG - DRY '!D2191,"AAAAAH9r+Ws=")</f>
        <v>#VALUE!</v>
      </c>
      <c r="DE102" t="e">
        <f>AND('STERLING CATALOG - DRY '!E2191,"AAAAAH9r+Ww=")</f>
        <v>#VALUE!</v>
      </c>
      <c r="DF102" t="e">
        <f>AND('STERLING CATALOG - DRY '!F2191,"AAAAAH9r+W0=")</f>
        <v>#VALUE!</v>
      </c>
      <c r="DG102" t="e">
        <f>AND('STERLING CATALOG - DRY '!G2191,"AAAAAH9r+W4=")</f>
        <v>#VALUE!</v>
      </c>
      <c r="DH102" t="e">
        <f>AND('STERLING CATALOG - DRY '!H2191,"AAAAAH9r+W8=")</f>
        <v>#VALUE!</v>
      </c>
      <c r="DI102" t="e">
        <f>AND('STERLING CATALOG - DRY '!I2191,"AAAAAH9r+XA=")</f>
        <v>#VALUE!</v>
      </c>
      <c r="DJ102" t="e">
        <f>AND('STERLING CATALOG - DRY '!J2191,"AAAAAH9r+XE=")</f>
        <v>#VALUE!</v>
      </c>
      <c r="DK102">
        <f>IF('STERLING CATALOG - DRY '!2192:2192,"AAAAAH9r+XI=",0)</f>
        <v>0</v>
      </c>
      <c r="DL102" t="e">
        <f>AND('STERLING CATALOG - DRY '!A2192,"AAAAAH9r+XM=")</f>
        <v>#VALUE!</v>
      </c>
      <c r="DM102" t="e">
        <f>AND('STERLING CATALOG - DRY '!B2192,"AAAAAH9r+XQ=")</f>
        <v>#VALUE!</v>
      </c>
      <c r="DN102" t="e">
        <f>AND('STERLING CATALOG - DRY '!C2192,"AAAAAH9r+XU=")</f>
        <v>#VALUE!</v>
      </c>
      <c r="DO102" t="e">
        <f>AND('STERLING CATALOG - DRY '!D2192,"AAAAAH9r+XY=")</f>
        <v>#VALUE!</v>
      </c>
      <c r="DP102" t="e">
        <f>AND('STERLING CATALOG - DRY '!E2192,"AAAAAH9r+Xc=")</f>
        <v>#VALUE!</v>
      </c>
      <c r="DQ102" t="e">
        <f>AND('STERLING CATALOG - DRY '!F2192,"AAAAAH9r+Xg=")</f>
        <v>#VALUE!</v>
      </c>
      <c r="DR102" t="e">
        <f>AND('STERLING CATALOG - DRY '!G2192,"AAAAAH9r+Xk=")</f>
        <v>#VALUE!</v>
      </c>
      <c r="DS102" t="e">
        <f>AND('STERLING CATALOG - DRY '!H2192,"AAAAAH9r+Xo=")</f>
        <v>#VALUE!</v>
      </c>
      <c r="DT102" t="e">
        <f>AND('STERLING CATALOG - DRY '!I2192,"AAAAAH9r+Xs=")</f>
        <v>#VALUE!</v>
      </c>
      <c r="DU102" t="e">
        <f>AND('STERLING CATALOG - DRY '!J2192,"AAAAAH9r+Xw=")</f>
        <v>#VALUE!</v>
      </c>
      <c r="DV102">
        <f>IF('STERLING CATALOG - DRY '!2193:2193,"AAAAAH9r+X0=",0)</f>
        <v>0</v>
      </c>
      <c r="DW102" t="e">
        <f>AND('STERLING CATALOG - DRY '!A2193,"AAAAAH9r+X4=")</f>
        <v>#VALUE!</v>
      </c>
      <c r="DX102" t="e">
        <f>AND('STERLING CATALOG - DRY '!B2193,"AAAAAH9r+X8=")</f>
        <v>#VALUE!</v>
      </c>
      <c r="DY102" t="e">
        <f>AND('STERLING CATALOG - DRY '!C2193,"AAAAAH9r+YA=")</f>
        <v>#VALUE!</v>
      </c>
      <c r="DZ102" t="e">
        <f>AND('STERLING CATALOG - DRY '!D2193,"AAAAAH9r+YE=")</f>
        <v>#VALUE!</v>
      </c>
      <c r="EA102" t="e">
        <f>AND('STERLING CATALOG - DRY '!E2193,"AAAAAH9r+YI=")</f>
        <v>#VALUE!</v>
      </c>
      <c r="EB102" t="e">
        <f>AND('STERLING CATALOG - DRY '!F2193,"AAAAAH9r+YM=")</f>
        <v>#VALUE!</v>
      </c>
      <c r="EC102" t="e">
        <f>AND('STERLING CATALOG - DRY '!G2193,"AAAAAH9r+YQ=")</f>
        <v>#VALUE!</v>
      </c>
      <c r="ED102" t="e">
        <f>AND('STERLING CATALOG - DRY '!H2193,"AAAAAH9r+YU=")</f>
        <v>#VALUE!</v>
      </c>
      <c r="EE102" t="e">
        <f>AND('STERLING CATALOG - DRY '!I2193,"AAAAAH9r+YY=")</f>
        <v>#VALUE!</v>
      </c>
      <c r="EF102" t="e">
        <f>AND('STERLING CATALOG - DRY '!J2193,"AAAAAH9r+Yc=")</f>
        <v>#VALUE!</v>
      </c>
      <c r="EG102">
        <f>IF('STERLING CATALOG - DRY '!2194:2194,"AAAAAH9r+Yg=",0)</f>
        <v>0</v>
      </c>
      <c r="EH102" t="e">
        <f>AND('STERLING CATALOG - DRY '!A2194,"AAAAAH9r+Yk=")</f>
        <v>#VALUE!</v>
      </c>
      <c r="EI102" t="e">
        <f>AND('STERLING CATALOG - DRY '!B2194,"AAAAAH9r+Yo=")</f>
        <v>#VALUE!</v>
      </c>
      <c r="EJ102" t="e">
        <f>AND('STERLING CATALOG - DRY '!C2194,"AAAAAH9r+Ys=")</f>
        <v>#VALUE!</v>
      </c>
      <c r="EK102" t="e">
        <f>AND('STERLING CATALOG - DRY '!D2194,"AAAAAH9r+Yw=")</f>
        <v>#VALUE!</v>
      </c>
      <c r="EL102" t="e">
        <f>AND('STERLING CATALOG - DRY '!E2194,"AAAAAH9r+Y0=")</f>
        <v>#VALUE!</v>
      </c>
      <c r="EM102" t="e">
        <f>AND('STERLING CATALOG - DRY '!F2194,"AAAAAH9r+Y4=")</f>
        <v>#VALUE!</v>
      </c>
      <c r="EN102" t="e">
        <f>AND('STERLING CATALOG - DRY '!G2194,"AAAAAH9r+Y8=")</f>
        <v>#VALUE!</v>
      </c>
      <c r="EO102" t="e">
        <f>AND('STERLING CATALOG - DRY '!H2194,"AAAAAH9r+ZA=")</f>
        <v>#VALUE!</v>
      </c>
      <c r="EP102" t="e">
        <f>AND('STERLING CATALOG - DRY '!I2194,"AAAAAH9r+ZE=")</f>
        <v>#VALUE!</v>
      </c>
      <c r="EQ102" t="e">
        <f>AND('STERLING CATALOG - DRY '!J2194,"AAAAAH9r+ZI=")</f>
        <v>#VALUE!</v>
      </c>
      <c r="ER102">
        <f>IF('STERLING CATALOG - DRY '!2195:2195,"AAAAAH9r+ZM=",0)</f>
        <v>0</v>
      </c>
      <c r="ES102" t="e">
        <f>AND('STERLING CATALOG - DRY '!A2195,"AAAAAH9r+ZQ=")</f>
        <v>#VALUE!</v>
      </c>
      <c r="ET102" t="e">
        <f>AND('STERLING CATALOG - DRY '!B2195,"AAAAAH9r+ZU=")</f>
        <v>#VALUE!</v>
      </c>
      <c r="EU102" t="e">
        <f>AND('STERLING CATALOG - DRY '!C2195,"AAAAAH9r+ZY=")</f>
        <v>#VALUE!</v>
      </c>
      <c r="EV102" t="e">
        <f>AND('STERLING CATALOG - DRY '!D2195,"AAAAAH9r+Zc=")</f>
        <v>#VALUE!</v>
      </c>
      <c r="EW102" t="e">
        <f>AND('STERLING CATALOG - DRY '!E2195,"AAAAAH9r+Zg=")</f>
        <v>#VALUE!</v>
      </c>
      <c r="EX102" t="e">
        <f>AND('STERLING CATALOG - DRY '!F2195,"AAAAAH9r+Zk=")</f>
        <v>#VALUE!</v>
      </c>
      <c r="EY102" t="e">
        <f>AND('STERLING CATALOG - DRY '!G2195,"AAAAAH9r+Zo=")</f>
        <v>#VALUE!</v>
      </c>
      <c r="EZ102" t="e">
        <f>AND('STERLING CATALOG - DRY '!H2195,"AAAAAH9r+Zs=")</f>
        <v>#VALUE!</v>
      </c>
      <c r="FA102" t="e">
        <f>AND('STERLING CATALOG - DRY '!I2195,"AAAAAH9r+Zw=")</f>
        <v>#VALUE!</v>
      </c>
      <c r="FB102" t="e">
        <f>AND('STERLING CATALOG - DRY '!J2195,"AAAAAH9r+Z0=")</f>
        <v>#VALUE!</v>
      </c>
      <c r="FC102">
        <f>IF('STERLING CATALOG - DRY '!2196:2196,"AAAAAH9r+Z4=",0)</f>
        <v>0</v>
      </c>
      <c r="FD102" t="e">
        <f>AND('STERLING CATALOG - DRY '!A2196,"AAAAAH9r+Z8=")</f>
        <v>#VALUE!</v>
      </c>
      <c r="FE102" t="e">
        <f>AND('STERLING CATALOG - DRY '!B2196,"AAAAAH9r+aA=")</f>
        <v>#VALUE!</v>
      </c>
      <c r="FF102" t="e">
        <f>AND('STERLING CATALOG - DRY '!C2196,"AAAAAH9r+aE=")</f>
        <v>#VALUE!</v>
      </c>
      <c r="FG102" t="e">
        <f>AND('STERLING CATALOG - DRY '!D2196,"AAAAAH9r+aI=")</f>
        <v>#VALUE!</v>
      </c>
      <c r="FH102" t="e">
        <f>AND('STERLING CATALOG - DRY '!E2196,"AAAAAH9r+aM=")</f>
        <v>#VALUE!</v>
      </c>
      <c r="FI102" t="e">
        <f>AND('STERLING CATALOG - DRY '!F2196,"AAAAAH9r+aQ=")</f>
        <v>#VALUE!</v>
      </c>
      <c r="FJ102" t="e">
        <f>AND('STERLING CATALOG - DRY '!G2196,"AAAAAH9r+aU=")</f>
        <v>#VALUE!</v>
      </c>
      <c r="FK102" t="e">
        <f>AND('STERLING CATALOG - DRY '!H2196,"AAAAAH9r+aY=")</f>
        <v>#VALUE!</v>
      </c>
      <c r="FL102" t="e">
        <f>AND('STERLING CATALOG - DRY '!I2196,"AAAAAH9r+ac=")</f>
        <v>#VALUE!</v>
      </c>
      <c r="FM102" t="e">
        <f>AND('STERLING CATALOG - DRY '!J2196,"AAAAAH9r+ag=")</f>
        <v>#VALUE!</v>
      </c>
      <c r="FN102">
        <f>IF('STERLING CATALOG - DRY '!2197:2197,"AAAAAH9r+ak=",0)</f>
        <v>0</v>
      </c>
      <c r="FO102" t="e">
        <f>AND('STERLING CATALOG - DRY '!A2197,"AAAAAH9r+ao=")</f>
        <v>#VALUE!</v>
      </c>
      <c r="FP102" t="e">
        <f>AND('STERLING CATALOG - DRY '!B2197,"AAAAAH9r+as=")</f>
        <v>#VALUE!</v>
      </c>
      <c r="FQ102" t="e">
        <f>AND('STERLING CATALOG - DRY '!C2197,"AAAAAH9r+aw=")</f>
        <v>#VALUE!</v>
      </c>
      <c r="FR102" t="e">
        <f>AND('STERLING CATALOG - DRY '!D2197,"AAAAAH9r+a0=")</f>
        <v>#VALUE!</v>
      </c>
      <c r="FS102" t="e">
        <f>AND('STERLING CATALOG - DRY '!E2197,"AAAAAH9r+a4=")</f>
        <v>#VALUE!</v>
      </c>
      <c r="FT102" t="e">
        <f>AND('STERLING CATALOG - DRY '!F2197,"AAAAAH9r+a8=")</f>
        <v>#VALUE!</v>
      </c>
      <c r="FU102" t="e">
        <f>AND('STERLING CATALOG - DRY '!G2197,"AAAAAH9r+bA=")</f>
        <v>#VALUE!</v>
      </c>
      <c r="FV102" t="e">
        <f>AND('STERLING CATALOG - DRY '!H2197,"AAAAAH9r+bE=")</f>
        <v>#VALUE!</v>
      </c>
      <c r="FW102" t="e">
        <f>AND('STERLING CATALOG - DRY '!I2197,"AAAAAH9r+bI=")</f>
        <v>#VALUE!</v>
      </c>
      <c r="FX102" t="e">
        <f>AND('STERLING CATALOG - DRY '!J2197,"AAAAAH9r+bM=")</f>
        <v>#VALUE!</v>
      </c>
      <c r="FY102">
        <f>IF('STERLING CATALOG - DRY '!2198:2198,"AAAAAH9r+bQ=",0)</f>
        <v>0</v>
      </c>
      <c r="FZ102" t="e">
        <f>AND('STERLING CATALOG - DRY '!A2198,"AAAAAH9r+bU=")</f>
        <v>#VALUE!</v>
      </c>
      <c r="GA102" t="e">
        <f>AND('STERLING CATALOG - DRY '!B2198,"AAAAAH9r+bY=")</f>
        <v>#VALUE!</v>
      </c>
      <c r="GB102" t="e">
        <f>AND('STERLING CATALOG - DRY '!C2198,"AAAAAH9r+bc=")</f>
        <v>#VALUE!</v>
      </c>
      <c r="GC102" t="e">
        <f>AND('STERLING CATALOG - DRY '!D2198,"AAAAAH9r+bg=")</f>
        <v>#VALUE!</v>
      </c>
      <c r="GD102" t="e">
        <f>AND('STERLING CATALOG - DRY '!E2198,"AAAAAH9r+bk=")</f>
        <v>#VALUE!</v>
      </c>
      <c r="GE102" t="e">
        <f>AND('STERLING CATALOG - DRY '!F2198,"AAAAAH9r+bo=")</f>
        <v>#VALUE!</v>
      </c>
      <c r="GF102" t="e">
        <f>AND('STERLING CATALOG - DRY '!G2198,"AAAAAH9r+bs=")</f>
        <v>#VALUE!</v>
      </c>
      <c r="GG102" t="e">
        <f>AND('STERLING CATALOG - DRY '!H2198,"AAAAAH9r+bw=")</f>
        <v>#VALUE!</v>
      </c>
      <c r="GH102" t="e">
        <f>AND('STERLING CATALOG - DRY '!I2198,"AAAAAH9r+b0=")</f>
        <v>#VALUE!</v>
      </c>
      <c r="GI102" t="e">
        <f>AND('STERLING CATALOG - DRY '!J2198,"AAAAAH9r+b4=")</f>
        <v>#VALUE!</v>
      </c>
      <c r="GJ102">
        <f>IF('STERLING CATALOG - DRY '!2199:2199,"AAAAAH9r+b8=",0)</f>
        <v>0</v>
      </c>
      <c r="GK102" t="e">
        <f>AND('STERLING CATALOG - DRY '!A2199,"AAAAAH9r+cA=")</f>
        <v>#VALUE!</v>
      </c>
      <c r="GL102" t="e">
        <f>AND('STERLING CATALOG - DRY '!B2199,"AAAAAH9r+cE=")</f>
        <v>#VALUE!</v>
      </c>
      <c r="GM102" t="e">
        <f>AND('STERLING CATALOG - DRY '!C2199,"AAAAAH9r+cI=")</f>
        <v>#VALUE!</v>
      </c>
      <c r="GN102" t="e">
        <f>AND('STERLING CATALOG - DRY '!D2199,"AAAAAH9r+cM=")</f>
        <v>#VALUE!</v>
      </c>
      <c r="GO102" t="e">
        <f>AND('STERLING CATALOG - DRY '!E2199,"AAAAAH9r+cQ=")</f>
        <v>#VALUE!</v>
      </c>
      <c r="GP102" t="e">
        <f>AND('STERLING CATALOG - DRY '!F2199,"AAAAAH9r+cU=")</f>
        <v>#VALUE!</v>
      </c>
      <c r="GQ102" t="e">
        <f>AND('STERLING CATALOG - DRY '!G2199,"AAAAAH9r+cY=")</f>
        <v>#VALUE!</v>
      </c>
      <c r="GR102" t="e">
        <f>AND('STERLING CATALOG - DRY '!H2199,"AAAAAH9r+cc=")</f>
        <v>#VALUE!</v>
      </c>
      <c r="GS102" t="e">
        <f>AND('STERLING CATALOG - DRY '!I2199,"AAAAAH9r+cg=")</f>
        <v>#VALUE!</v>
      </c>
      <c r="GT102" t="e">
        <f>AND('STERLING CATALOG - DRY '!J2199,"AAAAAH9r+ck=")</f>
        <v>#VALUE!</v>
      </c>
      <c r="GU102">
        <f>IF('STERLING CATALOG - DRY '!2200:2200,"AAAAAH9r+co=",0)</f>
        <v>0</v>
      </c>
      <c r="GV102" t="e">
        <f>AND('STERLING CATALOG - DRY '!A2200,"AAAAAH9r+cs=")</f>
        <v>#VALUE!</v>
      </c>
      <c r="GW102" t="e">
        <f>AND('STERLING CATALOG - DRY '!B2200,"AAAAAH9r+cw=")</f>
        <v>#VALUE!</v>
      </c>
      <c r="GX102" t="e">
        <f>AND('STERLING CATALOG - DRY '!C2200,"AAAAAH9r+c0=")</f>
        <v>#VALUE!</v>
      </c>
      <c r="GY102" t="e">
        <f>AND('STERLING CATALOG - DRY '!D2200,"AAAAAH9r+c4=")</f>
        <v>#VALUE!</v>
      </c>
      <c r="GZ102" t="e">
        <f>AND('STERLING CATALOG - DRY '!E2200,"AAAAAH9r+c8=")</f>
        <v>#VALUE!</v>
      </c>
      <c r="HA102" t="e">
        <f>AND('STERLING CATALOG - DRY '!F2200,"AAAAAH9r+dA=")</f>
        <v>#VALUE!</v>
      </c>
      <c r="HB102" t="e">
        <f>AND('STERLING CATALOG - DRY '!G2200,"AAAAAH9r+dE=")</f>
        <v>#VALUE!</v>
      </c>
      <c r="HC102" t="e">
        <f>AND('STERLING CATALOG - DRY '!H2200,"AAAAAH9r+dI=")</f>
        <v>#VALUE!</v>
      </c>
      <c r="HD102" t="e">
        <f>AND('STERLING CATALOG - DRY '!I2200,"AAAAAH9r+dM=")</f>
        <v>#VALUE!</v>
      </c>
      <c r="HE102" t="e">
        <f>AND('STERLING CATALOG - DRY '!J2200,"AAAAAH9r+dQ=")</f>
        <v>#VALUE!</v>
      </c>
      <c r="HF102">
        <f>IF('STERLING CATALOG - DRY '!2201:2201,"AAAAAH9r+dU=",0)</f>
        <v>0</v>
      </c>
      <c r="HG102" t="e">
        <f>AND('STERLING CATALOG - DRY '!A2201,"AAAAAH9r+dY=")</f>
        <v>#VALUE!</v>
      </c>
      <c r="HH102" t="e">
        <f>AND('STERLING CATALOG - DRY '!B2201,"AAAAAH9r+dc=")</f>
        <v>#VALUE!</v>
      </c>
      <c r="HI102" t="e">
        <f>AND('STERLING CATALOG - DRY '!C2201,"AAAAAH9r+dg=")</f>
        <v>#VALUE!</v>
      </c>
      <c r="HJ102" t="e">
        <f>AND('STERLING CATALOG - DRY '!D2201,"AAAAAH9r+dk=")</f>
        <v>#VALUE!</v>
      </c>
      <c r="HK102" t="e">
        <f>AND('STERLING CATALOG - DRY '!E2201,"AAAAAH9r+do=")</f>
        <v>#VALUE!</v>
      </c>
      <c r="HL102" t="e">
        <f>AND('STERLING CATALOG - DRY '!F2201,"AAAAAH9r+ds=")</f>
        <v>#VALUE!</v>
      </c>
      <c r="HM102" t="e">
        <f>AND('STERLING CATALOG - DRY '!G2201,"AAAAAH9r+dw=")</f>
        <v>#VALUE!</v>
      </c>
      <c r="HN102" t="e">
        <f>AND('STERLING CATALOG - DRY '!H2201,"AAAAAH9r+d0=")</f>
        <v>#VALUE!</v>
      </c>
      <c r="HO102" t="e">
        <f>AND('STERLING CATALOG - DRY '!I2201,"AAAAAH9r+d4=")</f>
        <v>#VALUE!</v>
      </c>
      <c r="HP102" t="e">
        <f>AND('STERLING CATALOG - DRY '!J2201,"AAAAAH9r+d8=")</f>
        <v>#VALUE!</v>
      </c>
      <c r="HQ102">
        <f>IF('STERLING CATALOG - DRY '!2202:2202,"AAAAAH9r+eA=",0)</f>
        <v>0</v>
      </c>
      <c r="HR102" t="e">
        <f>AND('STERLING CATALOG - DRY '!A2202,"AAAAAH9r+eE=")</f>
        <v>#VALUE!</v>
      </c>
      <c r="HS102" t="e">
        <f>AND('STERLING CATALOG - DRY '!B2202,"AAAAAH9r+eI=")</f>
        <v>#VALUE!</v>
      </c>
      <c r="HT102" t="e">
        <f>AND('STERLING CATALOG - DRY '!C2202,"AAAAAH9r+eM=")</f>
        <v>#VALUE!</v>
      </c>
      <c r="HU102" t="e">
        <f>AND('STERLING CATALOG - DRY '!D2202,"AAAAAH9r+eQ=")</f>
        <v>#VALUE!</v>
      </c>
      <c r="HV102" t="e">
        <f>AND('STERLING CATALOG - DRY '!E2202,"AAAAAH9r+eU=")</f>
        <v>#VALUE!</v>
      </c>
      <c r="HW102" t="e">
        <f>AND('STERLING CATALOG - DRY '!F2202,"AAAAAH9r+eY=")</f>
        <v>#VALUE!</v>
      </c>
      <c r="HX102" t="e">
        <f>AND('STERLING CATALOG - DRY '!G2202,"AAAAAH9r+ec=")</f>
        <v>#VALUE!</v>
      </c>
      <c r="HY102" t="e">
        <f>AND('STERLING CATALOG - DRY '!H2202,"AAAAAH9r+eg=")</f>
        <v>#VALUE!</v>
      </c>
      <c r="HZ102" t="e">
        <f>AND('STERLING CATALOG - DRY '!I2202,"AAAAAH9r+ek=")</f>
        <v>#VALUE!</v>
      </c>
      <c r="IA102" t="e">
        <f>AND('STERLING CATALOG - DRY '!J2202,"AAAAAH9r+eo=")</f>
        <v>#VALUE!</v>
      </c>
      <c r="IB102">
        <f>IF('STERLING CATALOG - DRY '!2203:2203,"AAAAAH9r+es=",0)</f>
        <v>0</v>
      </c>
      <c r="IC102" t="e">
        <f>AND('STERLING CATALOG - DRY '!A2203,"AAAAAH9r+ew=")</f>
        <v>#VALUE!</v>
      </c>
      <c r="ID102" t="e">
        <f>AND('STERLING CATALOG - DRY '!B2203,"AAAAAH9r+e0=")</f>
        <v>#VALUE!</v>
      </c>
      <c r="IE102" t="e">
        <f>AND('STERLING CATALOG - DRY '!C2203,"AAAAAH9r+e4=")</f>
        <v>#VALUE!</v>
      </c>
      <c r="IF102" t="e">
        <f>AND('STERLING CATALOG - DRY '!D2203,"AAAAAH9r+e8=")</f>
        <v>#VALUE!</v>
      </c>
      <c r="IG102" t="e">
        <f>AND('STERLING CATALOG - DRY '!E2203,"AAAAAH9r+fA=")</f>
        <v>#VALUE!</v>
      </c>
      <c r="IH102" t="e">
        <f>AND('STERLING CATALOG - DRY '!F2203,"AAAAAH9r+fE=")</f>
        <v>#VALUE!</v>
      </c>
      <c r="II102" t="e">
        <f>AND('STERLING CATALOG - DRY '!G2203,"AAAAAH9r+fI=")</f>
        <v>#VALUE!</v>
      </c>
      <c r="IJ102" t="e">
        <f>AND('STERLING CATALOG - DRY '!H2203,"AAAAAH9r+fM=")</f>
        <v>#VALUE!</v>
      </c>
      <c r="IK102" t="e">
        <f>AND('STERLING CATALOG - DRY '!I2203,"AAAAAH9r+fQ=")</f>
        <v>#VALUE!</v>
      </c>
      <c r="IL102" t="e">
        <f>AND('STERLING CATALOG - DRY '!J2203,"AAAAAH9r+fU=")</f>
        <v>#VALUE!</v>
      </c>
      <c r="IM102">
        <f>IF('STERLING CATALOG - DRY '!2204:2204,"AAAAAH9r+fY=",0)</f>
        <v>0</v>
      </c>
      <c r="IN102" t="e">
        <f>AND('STERLING CATALOG - DRY '!A2204,"AAAAAH9r+fc=")</f>
        <v>#VALUE!</v>
      </c>
      <c r="IO102" t="e">
        <f>AND('STERLING CATALOG - DRY '!B2204,"AAAAAH9r+fg=")</f>
        <v>#VALUE!</v>
      </c>
      <c r="IP102" t="e">
        <f>AND('STERLING CATALOG - DRY '!C2204,"AAAAAH9r+fk=")</f>
        <v>#VALUE!</v>
      </c>
      <c r="IQ102" t="e">
        <f>AND('STERLING CATALOG - DRY '!D2204,"AAAAAH9r+fo=")</f>
        <v>#VALUE!</v>
      </c>
      <c r="IR102" t="e">
        <f>AND('STERLING CATALOG - DRY '!E2204,"AAAAAH9r+fs=")</f>
        <v>#VALUE!</v>
      </c>
      <c r="IS102" t="e">
        <f>AND('STERLING CATALOG - DRY '!F2204,"AAAAAH9r+fw=")</f>
        <v>#VALUE!</v>
      </c>
      <c r="IT102" t="e">
        <f>AND('STERLING CATALOG - DRY '!G2204,"AAAAAH9r+f0=")</f>
        <v>#VALUE!</v>
      </c>
      <c r="IU102" t="e">
        <f>AND('STERLING CATALOG - DRY '!H2204,"AAAAAH9r+f4=")</f>
        <v>#VALUE!</v>
      </c>
      <c r="IV102" t="e">
        <f>AND('STERLING CATALOG - DRY '!I2204,"AAAAAH9r+f8=")</f>
        <v>#VALUE!</v>
      </c>
    </row>
    <row r="103" spans="1:256">
      <c r="A103" t="e">
        <f>AND('STERLING CATALOG - DRY '!J2204,"AAAAAE3fXwA=")</f>
        <v>#VALUE!</v>
      </c>
      <c r="B103" t="str">
        <f>IF('STERLING CATALOG - DRY '!2205:2205,"AAAAAE3fXwE=",0)</f>
        <v>AAAAAE3fXwE=</v>
      </c>
      <c r="C103" t="e">
        <f>AND('STERLING CATALOG - DRY '!A2205,"AAAAAE3fXwI=")</f>
        <v>#VALUE!</v>
      </c>
      <c r="D103" t="e">
        <f>AND('STERLING CATALOG - DRY '!B2205,"AAAAAE3fXwM=")</f>
        <v>#VALUE!</v>
      </c>
      <c r="E103" t="e">
        <f>AND('STERLING CATALOG - DRY '!C2205,"AAAAAE3fXwQ=")</f>
        <v>#VALUE!</v>
      </c>
      <c r="F103" t="e">
        <f>AND('STERLING CATALOG - DRY '!D2205,"AAAAAE3fXwU=")</f>
        <v>#VALUE!</v>
      </c>
      <c r="G103" t="e">
        <f>AND('STERLING CATALOG - DRY '!E2205,"AAAAAE3fXwY=")</f>
        <v>#VALUE!</v>
      </c>
      <c r="H103" t="e">
        <f>AND('STERLING CATALOG - DRY '!F2205,"AAAAAE3fXwc=")</f>
        <v>#VALUE!</v>
      </c>
      <c r="I103" t="e">
        <f>AND('STERLING CATALOG - DRY '!G2205,"AAAAAE3fXwg=")</f>
        <v>#VALUE!</v>
      </c>
      <c r="J103" t="e">
        <f>AND('STERLING CATALOG - DRY '!H2205,"AAAAAE3fXwk=")</f>
        <v>#VALUE!</v>
      </c>
      <c r="K103" t="e">
        <f>AND('STERLING CATALOG - DRY '!I2205,"AAAAAE3fXwo=")</f>
        <v>#VALUE!</v>
      </c>
      <c r="L103" t="e">
        <f>AND('STERLING CATALOG - DRY '!J2205,"AAAAAE3fXws=")</f>
        <v>#VALUE!</v>
      </c>
      <c r="M103">
        <f>IF('STERLING CATALOG - DRY '!2206:2206,"AAAAAE3fXww=",0)</f>
        <v>0</v>
      </c>
      <c r="N103" t="e">
        <f>AND('STERLING CATALOG - DRY '!A2206,"AAAAAE3fXw0=")</f>
        <v>#VALUE!</v>
      </c>
      <c r="O103" t="e">
        <f>AND('STERLING CATALOG - DRY '!B2206,"AAAAAE3fXw4=")</f>
        <v>#VALUE!</v>
      </c>
      <c r="P103" t="e">
        <f>AND('STERLING CATALOG - DRY '!C2206,"AAAAAE3fXw8=")</f>
        <v>#VALUE!</v>
      </c>
      <c r="Q103" t="e">
        <f>AND('STERLING CATALOG - DRY '!D2206,"AAAAAE3fXxA=")</f>
        <v>#VALUE!</v>
      </c>
      <c r="R103" t="e">
        <f>AND('STERLING CATALOG - DRY '!E2206,"AAAAAE3fXxE=")</f>
        <v>#VALUE!</v>
      </c>
      <c r="S103" t="e">
        <f>AND('STERLING CATALOG - DRY '!F2206,"AAAAAE3fXxI=")</f>
        <v>#VALUE!</v>
      </c>
      <c r="T103" t="e">
        <f>AND('STERLING CATALOG - DRY '!G2206,"AAAAAE3fXxM=")</f>
        <v>#VALUE!</v>
      </c>
      <c r="U103" t="e">
        <f>AND('STERLING CATALOG - DRY '!H2206,"AAAAAE3fXxQ=")</f>
        <v>#VALUE!</v>
      </c>
      <c r="V103" t="e">
        <f>AND('STERLING CATALOG - DRY '!I2206,"AAAAAE3fXxU=")</f>
        <v>#VALUE!</v>
      </c>
      <c r="W103" t="e">
        <f>AND('STERLING CATALOG - DRY '!J2206,"AAAAAE3fXxY=")</f>
        <v>#VALUE!</v>
      </c>
      <c r="X103">
        <f>IF('STERLING CATALOG - DRY '!2207:2207,"AAAAAE3fXxc=",0)</f>
        <v>0</v>
      </c>
      <c r="Y103" t="e">
        <f>AND('STERLING CATALOG - DRY '!A2207,"AAAAAE3fXxg=")</f>
        <v>#VALUE!</v>
      </c>
      <c r="Z103" t="e">
        <f>AND('STERLING CATALOG - DRY '!B2207,"AAAAAE3fXxk=")</f>
        <v>#VALUE!</v>
      </c>
      <c r="AA103" t="e">
        <f>AND('STERLING CATALOG - DRY '!C2207,"AAAAAE3fXxo=")</f>
        <v>#VALUE!</v>
      </c>
      <c r="AB103" t="e">
        <f>AND('STERLING CATALOG - DRY '!D2207,"AAAAAE3fXxs=")</f>
        <v>#VALUE!</v>
      </c>
      <c r="AC103" t="e">
        <f>AND('STERLING CATALOG - DRY '!E2207,"AAAAAE3fXxw=")</f>
        <v>#VALUE!</v>
      </c>
      <c r="AD103" t="e">
        <f>AND('STERLING CATALOG - DRY '!F2207,"AAAAAE3fXx0=")</f>
        <v>#VALUE!</v>
      </c>
      <c r="AE103" t="e">
        <f>AND('STERLING CATALOG - DRY '!G2207,"AAAAAE3fXx4=")</f>
        <v>#VALUE!</v>
      </c>
      <c r="AF103" t="e">
        <f>AND('STERLING CATALOG - DRY '!H2207,"AAAAAE3fXx8=")</f>
        <v>#VALUE!</v>
      </c>
      <c r="AG103" t="e">
        <f>AND('STERLING CATALOG - DRY '!I2207,"AAAAAE3fXyA=")</f>
        <v>#VALUE!</v>
      </c>
      <c r="AH103" t="e">
        <f>AND('STERLING CATALOG - DRY '!J2207,"AAAAAE3fXyE=")</f>
        <v>#VALUE!</v>
      </c>
      <c r="AI103">
        <f>IF('STERLING CATALOG - DRY '!2208:2208,"AAAAAE3fXyI=",0)</f>
        <v>0</v>
      </c>
      <c r="AJ103" t="e">
        <f>AND('STERLING CATALOG - DRY '!A2208,"AAAAAE3fXyM=")</f>
        <v>#VALUE!</v>
      </c>
      <c r="AK103" t="e">
        <f>AND('STERLING CATALOG - DRY '!B2208,"AAAAAE3fXyQ=")</f>
        <v>#VALUE!</v>
      </c>
      <c r="AL103" t="e">
        <f>AND('STERLING CATALOG - DRY '!C2208,"AAAAAE3fXyU=")</f>
        <v>#VALUE!</v>
      </c>
      <c r="AM103" t="e">
        <f>AND('STERLING CATALOG - DRY '!D2208,"AAAAAE3fXyY=")</f>
        <v>#VALUE!</v>
      </c>
      <c r="AN103" t="e">
        <f>AND('STERLING CATALOG - DRY '!E2208,"AAAAAE3fXyc=")</f>
        <v>#VALUE!</v>
      </c>
      <c r="AO103" t="e">
        <f>AND('STERLING CATALOG - DRY '!F2208,"AAAAAE3fXyg=")</f>
        <v>#VALUE!</v>
      </c>
      <c r="AP103" t="e">
        <f>AND('STERLING CATALOG - DRY '!G2208,"AAAAAE3fXyk=")</f>
        <v>#VALUE!</v>
      </c>
      <c r="AQ103" t="e">
        <f>AND('STERLING CATALOG - DRY '!H2208,"AAAAAE3fXyo=")</f>
        <v>#VALUE!</v>
      </c>
      <c r="AR103" t="e">
        <f>AND('STERLING CATALOG - DRY '!I2208,"AAAAAE3fXys=")</f>
        <v>#VALUE!</v>
      </c>
      <c r="AS103" t="e">
        <f>AND('STERLING CATALOG - DRY '!J2208,"AAAAAE3fXyw=")</f>
        <v>#VALUE!</v>
      </c>
      <c r="AT103">
        <f>IF('STERLING CATALOG - DRY '!2209:2209,"AAAAAE3fXy0=",0)</f>
        <v>0</v>
      </c>
      <c r="AU103" t="e">
        <f>AND('STERLING CATALOG - DRY '!A2209,"AAAAAE3fXy4=")</f>
        <v>#VALUE!</v>
      </c>
      <c r="AV103" t="e">
        <f>AND('STERLING CATALOG - DRY '!B2209,"AAAAAE3fXy8=")</f>
        <v>#VALUE!</v>
      </c>
      <c r="AW103" t="e">
        <f>AND('STERLING CATALOG - DRY '!C2209,"AAAAAE3fXzA=")</f>
        <v>#VALUE!</v>
      </c>
      <c r="AX103" t="e">
        <f>AND('STERLING CATALOG - DRY '!D2209,"AAAAAE3fXzE=")</f>
        <v>#VALUE!</v>
      </c>
      <c r="AY103" t="e">
        <f>AND('STERLING CATALOG - DRY '!E2209,"AAAAAE3fXzI=")</f>
        <v>#VALUE!</v>
      </c>
      <c r="AZ103" t="e">
        <f>AND('STERLING CATALOG - DRY '!F2209,"AAAAAE3fXzM=")</f>
        <v>#VALUE!</v>
      </c>
      <c r="BA103" t="e">
        <f>AND('STERLING CATALOG - DRY '!G2209,"AAAAAE3fXzQ=")</f>
        <v>#VALUE!</v>
      </c>
      <c r="BB103" t="e">
        <f>AND('STERLING CATALOG - DRY '!H2209,"AAAAAE3fXzU=")</f>
        <v>#VALUE!</v>
      </c>
      <c r="BC103" t="e">
        <f>AND('STERLING CATALOG - DRY '!I2209,"AAAAAE3fXzY=")</f>
        <v>#VALUE!</v>
      </c>
      <c r="BD103" t="e">
        <f>AND('STERLING CATALOG - DRY '!J2209,"AAAAAE3fXzc=")</f>
        <v>#VALUE!</v>
      </c>
      <c r="BE103">
        <f>IF('STERLING CATALOG - DRY '!2210:2210,"AAAAAE3fXzg=",0)</f>
        <v>0</v>
      </c>
      <c r="BF103" t="e">
        <f>AND('STERLING CATALOG - DRY '!A2210,"AAAAAE3fXzk=")</f>
        <v>#VALUE!</v>
      </c>
      <c r="BG103" t="e">
        <f>AND('STERLING CATALOG - DRY '!B2210,"AAAAAE3fXzo=")</f>
        <v>#VALUE!</v>
      </c>
      <c r="BH103" t="e">
        <f>AND('STERLING CATALOG - DRY '!C2210,"AAAAAE3fXzs=")</f>
        <v>#VALUE!</v>
      </c>
      <c r="BI103" t="e">
        <f>AND('STERLING CATALOG - DRY '!D2210,"AAAAAE3fXzw=")</f>
        <v>#VALUE!</v>
      </c>
      <c r="BJ103" t="e">
        <f>AND('STERLING CATALOG - DRY '!E2210,"AAAAAE3fXz0=")</f>
        <v>#VALUE!</v>
      </c>
      <c r="BK103" t="e">
        <f>AND('STERLING CATALOG - DRY '!F2210,"AAAAAE3fXz4=")</f>
        <v>#VALUE!</v>
      </c>
      <c r="BL103" t="e">
        <f>AND('STERLING CATALOG - DRY '!G2210,"AAAAAE3fXz8=")</f>
        <v>#VALUE!</v>
      </c>
      <c r="BM103" t="e">
        <f>AND('STERLING CATALOG - DRY '!H2210,"AAAAAE3fX0A=")</f>
        <v>#VALUE!</v>
      </c>
      <c r="BN103" t="e">
        <f>AND('STERLING CATALOG - DRY '!I2210,"AAAAAE3fX0E=")</f>
        <v>#VALUE!</v>
      </c>
      <c r="BO103" t="e">
        <f>AND('STERLING CATALOG - DRY '!J2210,"AAAAAE3fX0I=")</f>
        <v>#VALUE!</v>
      </c>
      <c r="BP103">
        <f>IF('STERLING CATALOG - DRY '!2211:2211,"AAAAAE3fX0M=",0)</f>
        <v>0</v>
      </c>
      <c r="BQ103" t="e">
        <f>AND('STERLING CATALOG - DRY '!A2211,"AAAAAE3fX0Q=")</f>
        <v>#VALUE!</v>
      </c>
      <c r="BR103" t="e">
        <f>AND('STERLING CATALOG - DRY '!B2211,"AAAAAE3fX0U=")</f>
        <v>#VALUE!</v>
      </c>
      <c r="BS103" t="e">
        <f>AND('STERLING CATALOG - DRY '!C2211,"AAAAAE3fX0Y=")</f>
        <v>#VALUE!</v>
      </c>
      <c r="BT103" t="e">
        <f>AND('STERLING CATALOG - DRY '!D2211,"AAAAAE3fX0c=")</f>
        <v>#VALUE!</v>
      </c>
      <c r="BU103" t="e">
        <f>AND('STERLING CATALOG - DRY '!E2211,"AAAAAE3fX0g=")</f>
        <v>#VALUE!</v>
      </c>
      <c r="BV103" t="e">
        <f>AND('STERLING CATALOG - DRY '!F2211,"AAAAAE3fX0k=")</f>
        <v>#VALUE!</v>
      </c>
      <c r="BW103" t="e">
        <f>AND('STERLING CATALOG - DRY '!G2211,"AAAAAE3fX0o=")</f>
        <v>#VALUE!</v>
      </c>
      <c r="BX103" t="e">
        <f>AND('STERLING CATALOG - DRY '!H2211,"AAAAAE3fX0s=")</f>
        <v>#VALUE!</v>
      </c>
      <c r="BY103" t="e">
        <f>AND('STERLING CATALOG - DRY '!I2211,"AAAAAE3fX0w=")</f>
        <v>#VALUE!</v>
      </c>
      <c r="BZ103" t="e">
        <f>AND('STERLING CATALOG - DRY '!J2211,"AAAAAE3fX00=")</f>
        <v>#VALUE!</v>
      </c>
      <c r="CA103">
        <f>IF('STERLING CATALOG - DRY '!2212:2212,"AAAAAE3fX04=",0)</f>
        <v>0</v>
      </c>
      <c r="CB103" t="e">
        <f>AND('STERLING CATALOG - DRY '!A2212,"AAAAAE3fX08=")</f>
        <v>#VALUE!</v>
      </c>
      <c r="CC103" t="e">
        <f>AND('STERLING CATALOG - DRY '!B2212,"AAAAAE3fX1A=")</f>
        <v>#VALUE!</v>
      </c>
      <c r="CD103" t="e">
        <f>AND('STERLING CATALOG - DRY '!C2212,"AAAAAE3fX1E=")</f>
        <v>#VALUE!</v>
      </c>
      <c r="CE103" t="e">
        <f>AND('STERLING CATALOG - DRY '!D2212,"AAAAAE3fX1I=")</f>
        <v>#VALUE!</v>
      </c>
      <c r="CF103" t="e">
        <f>AND('STERLING CATALOG - DRY '!E2212,"AAAAAE3fX1M=")</f>
        <v>#VALUE!</v>
      </c>
      <c r="CG103" t="e">
        <f>AND('STERLING CATALOG - DRY '!F2212,"AAAAAE3fX1Q=")</f>
        <v>#VALUE!</v>
      </c>
      <c r="CH103" t="e">
        <f>AND('STERLING CATALOG - DRY '!G2212,"AAAAAE3fX1U=")</f>
        <v>#VALUE!</v>
      </c>
      <c r="CI103" t="e">
        <f>AND('STERLING CATALOG - DRY '!H2212,"AAAAAE3fX1Y=")</f>
        <v>#VALUE!</v>
      </c>
      <c r="CJ103" t="e">
        <f>AND('STERLING CATALOG - DRY '!I2212,"AAAAAE3fX1c=")</f>
        <v>#VALUE!</v>
      </c>
      <c r="CK103" t="e">
        <f>AND('STERLING CATALOG - DRY '!J2212,"AAAAAE3fX1g=")</f>
        <v>#VALUE!</v>
      </c>
      <c r="CL103">
        <f>IF('STERLING CATALOG - DRY '!2213:2213,"AAAAAE3fX1k=",0)</f>
        <v>0</v>
      </c>
      <c r="CM103" t="e">
        <f>AND('STERLING CATALOG - DRY '!A2213,"AAAAAE3fX1o=")</f>
        <v>#VALUE!</v>
      </c>
      <c r="CN103" t="e">
        <f>AND('STERLING CATALOG - DRY '!B2213,"AAAAAE3fX1s=")</f>
        <v>#VALUE!</v>
      </c>
      <c r="CO103" t="e">
        <f>AND('STERLING CATALOG - DRY '!C2213,"AAAAAE3fX1w=")</f>
        <v>#VALUE!</v>
      </c>
      <c r="CP103" t="e">
        <f>AND('STERLING CATALOG - DRY '!D2213,"AAAAAE3fX10=")</f>
        <v>#VALUE!</v>
      </c>
      <c r="CQ103" t="e">
        <f>AND('STERLING CATALOG - DRY '!E2213,"AAAAAE3fX14=")</f>
        <v>#VALUE!</v>
      </c>
      <c r="CR103" t="e">
        <f>AND('STERLING CATALOG - DRY '!F2213,"AAAAAE3fX18=")</f>
        <v>#VALUE!</v>
      </c>
      <c r="CS103" t="e">
        <f>AND('STERLING CATALOG - DRY '!G2213,"AAAAAE3fX2A=")</f>
        <v>#VALUE!</v>
      </c>
      <c r="CT103" t="e">
        <f>AND('STERLING CATALOG - DRY '!H2213,"AAAAAE3fX2E=")</f>
        <v>#VALUE!</v>
      </c>
      <c r="CU103" t="e">
        <f>AND('STERLING CATALOG - DRY '!I2213,"AAAAAE3fX2I=")</f>
        <v>#VALUE!</v>
      </c>
      <c r="CV103" t="e">
        <f>AND('STERLING CATALOG - DRY '!J2213,"AAAAAE3fX2M=")</f>
        <v>#VALUE!</v>
      </c>
      <c r="CW103">
        <f>IF('STERLING CATALOG - DRY '!2214:2214,"AAAAAE3fX2Q=",0)</f>
        <v>0</v>
      </c>
      <c r="CX103" t="e">
        <f>AND('STERLING CATALOG - DRY '!A2214,"AAAAAE3fX2U=")</f>
        <v>#VALUE!</v>
      </c>
      <c r="CY103" t="e">
        <f>AND('STERLING CATALOG - DRY '!B2214,"AAAAAE3fX2Y=")</f>
        <v>#VALUE!</v>
      </c>
      <c r="CZ103" t="e">
        <f>AND('STERLING CATALOG - DRY '!C2214,"AAAAAE3fX2c=")</f>
        <v>#VALUE!</v>
      </c>
      <c r="DA103" t="e">
        <f>AND('STERLING CATALOG - DRY '!D2214,"AAAAAE3fX2g=")</f>
        <v>#VALUE!</v>
      </c>
      <c r="DB103" t="e">
        <f>AND('STERLING CATALOG - DRY '!E2214,"AAAAAE3fX2k=")</f>
        <v>#VALUE!</v>
      </c>
      <c r="DC103" t="e">
        <f>AND('STERLING CATALOG - DRY '!F2214,"AAAAAE3fX2o=")</f>
        <v>#VALUE!</v>
      </c>
      <c r="DD103" t="e">
        <f>AND('STERLING CATALOG - DRY '!G2214,"AAAAAE3fX2s=")</f>
        <v>#VALUE!</v>
      </c>
      <c r="DE103" t="e">
        <f>AND('STERLING CATALOG - DRY '!H2214,"AAAAAE3fX2w=")</f>
        <v>#VALUE!</v>
      </c>
      <c r="DF103" t="e">
        <f>AND('STERLING CATALOG - DRY '!I2214,"AAAAAE3fX20=")</f>
        <v>#VALUE!</v>
      </c>
      <c r="DG103" t="e">
        <f>AND('STERLING CATALOG - DRY '!J2214,"AAAAAE3fX24=")</f>
        <v>#VALUE!</v>
      </c>
      <c r="DH103">
        <f>IF('STERLING CATALOG - DRY '!2215:2215,"AAAAAE3fX28=",0)</f>
        <v>0</v>
      </c>
      <c r="DI103" t="e">
        <f>AND('STERLING CATALOG - DRY '!A2215,"AAAAAE3fX3A=")</f>
        <v>#VALUE!</v>
      </c>
      <c r="DJ103" t="e">
        <f>AND('STERLING CATALOG - DRY '!B2215,"AAAAAE3fX3E=")</f>
        <v>#VALUE!</v>
      </c>
      <c r="DK103" t="e">
        <f>AND('STERLING CATALOG - DRY '!C2215,"AAAAAE3fX3I=")</f>
        <v>#VALUE!</v>
      </c>
      <c r="DL103" t="e">
        <f>AND('STERLING CATALOG - DRY '!D2215,"AAAAAE3fX3M=")</f>
        <v>#VALUE!</v>
      </c>
      <c r="DM103" t="e">
        <f>AND('STERLING CATALOG - DRY '!E2215,"AAAAAE3fX3Q=")</f>
        <v>#VALUE!</v>
      </c>
      <c r="DN103" t="e">
        <f>AND('STERLING CATALOG - DRY '!F2215,"AAAAAE3fX3U=")</f>
        <v>#VALUE!</v>
      </c>
      <c r="DO103" t="e">
        <f>AND('STERLING CATALOG - DRY '!G2215,"AAAAAE3fX3Y=")</f>
        <v>#VALUE!</v>
      </c>
      <c r="DP103" t="e">
        <f>AND('STERLING CATALOG - DRY '!H2215,"AAAAAE3fX3c=")</f>
        <v>#VALUE!</v>
      </c>
      <c r="DQ103" t="e">
        <f>AND('STERLING CATALOG - DRY '!I2215,"AAAAAE3fX3g=")</f>
        <v>#VALUE!</v>
      </c>
      <c r="DR103" t="e">
        <f>AND('STERLING CATALOG - DRY '!J2215,"AAAAAE3fX3k=")</f>
        <v>#VALUE!</v>
      </c>
      <c r="DS103">
        <f>IF('STERLING CATALOG - DRY '!2216:2216,"AAAAAE3fX3o=",0)</f>
        <v>0</v>
      </c>
      <c r="DT103" t="e">
        <f>AND('STERLING CATALOG - DRY '!A2216,"AAAAAE3fX3s=")</f>
        <v>#VALUE!</v>
      </c>
      <c r="DU103" t="e">
        <f>AND('STERLING CATALOG - DRY '!B2216,"AAAAAE3fX3w=")</f>
        <v>#VALUE!</v>
      </c>
      <c r="DV103" t="e">
        <f>AND('STERLING CATALOG - DRY '!C2216,"AAAAAE3fX30=")</f>
        <v>#VALUE!</v>
      </c>
      <c r="DW103" t="e">
        <f>AND('STERLING CATALOG - DRY '!D2216,"AAAAAE3fX34=")</f>
        <v>#VALUE!</v>
      </c>
      <c r="DX103" t="e">
        <f>AND('STERLING CATALOG - DRY '!E2216,"AAAAAE3fX38=")</f>
        <v>#VALUE!</v>
      </c>
      <c r="DY103" t="e">
        <f>AND('STERLING CATALOG - DRY '!F2216,"AAAAAE3fX4A=")</f>
        <v>#VALUE!</v>
      </c>
      <c r="DZ103" t="e">
        <f>AND('STERLING CATALOG - DRY '!G2216,"AAAAAE3fX4E=")</f>
        <v>#VALUE!</v>
      </c>
      <c r="EA103" t="e">
        <f>AND('STERLING CATALOG - DRY '!H2216,"AAAAAE3fX4I=")</f>
        <v>#VALUE!</v>
      </c>
      <c r="EB103" t="e">
        <f>AND('STERLING CATALOG - DRY '!I2216,"AAAAAE3fX4M=")</f>
        <v>#VALUE!</v>
      </c>
      <c r="EC103" t="e">
        <f>AND('STERLING CATALOG - DRY '!J2216,"AAAAAE3fX4Q=")</f>
        <v>#VALUE!</v>
      </c>
      <c r="ED103">
        <f>IF('STERLING CATALOG - DRY '!2217:2217,"AAAAAE3fX4U=",0)</f>
        <v>0</v>
      </c>
      <c r="EE103" t="e">
        <f>AND('STERLING CATALOG - DRY '!A2217,"AAAAAE3fX4Y=")</f>
        <v>#VALUE!</v>
      </c>
      <c r="EF103" t="e">
        <f>AND('STERLING CATALOG - DRY '!B2217,"AAAAAE3fX4c=")</f>
        <v>#VALUE!</v>
      </c>
      <c r="EG103" t="e">
        <f>AND('STERLING CATALOG - DRY '!C2217,"AAAAAE3fX4g=")</f>
        <v>#VALUE!</v>
      </c>
      <c r="EH103" t="e">
        <f>AND('STERLING CATALOG - DRY '!D2217,"AAAAAE3fX4k=")</f>
        <v>#VALUE!</v>
      </c>
      <c r="EI103" t="e">
        <f>AND('STERLING CATALOG - DRY '!E2217,"AAAAAE3fX4o=")</f>
        <v>#VALUE!</v>
      </c>
      <c r="EJ103" t="e">
        <f>AND('STERLING CATALOG - DRY '!F2217,"AAAAAE3fX4s=")</f>
        <v>#VALUE!</v>
      </c>
      <c r="EK103" t="e">
        <f>AND('STERLING CATALOG - DRY '!G2217,"AAAAAE3fX4w=")</f>
        <v>#VALUE!</v>
      </c>
      <c r="EL103" t="e">
        <f>AND('STERLING CATALOG - DRY '!H2217,"AAAAAE3fX40=")</f>
        <v>#VALUE!</v>
      </c>
      <c r="EM103" t="e">
        <f>AND('STERLING CATALOG - DRY '!I2217,"AAAAAE3fX44=")</f>
        <v>#VALUE!</v>
      </c>
      <c r="EN103" t="e">
        <f>AND('STERLING CATALOG - DRY '!J2217,"AAAAAE3fX48=")</f>
        <v>#VALUE!</v>
      </c>
      <c r="EO103">
        <f>IF('STERLING CATALOG - DRY '!2218:2218,"AAAAAE3fX5A=",0)</f>
        <v>0</v>
      </c>
      <c r="EP103" t="e">
        <f>AND('STERLING CATALOG - DRY '!A2218,"AAAAAE3fX5E=")</f>
        <v>#VALUE!</v>
      </c>
      <c r="EQ103" t="e">
        <f>AND('STERLING CATALOG - DRY '!B2218,"AAAAAE3fX5I=")</f>
        <v>#VALUE!</v>
      </c>
      <c r="ER103" t="e">
        <f>AND('STERLING CATALOG - DRY '!C2218,"AAAAAE3fX5M=")</f>
        <v>#VALUE!</v>
      </c>
      <c r="ES103" t="e">
        <f>AND('STERLING CATALOG - DRY '!D2218,"AAAAAE3fX5Q=")</f>
        <v>#VALUE!</v>
      </c>
      <c r="ET103" t="e">
        <f>AND('STERLING CATALOG - DRY '!E2218,"AAAAAE3fX5U=")</f>
        <v>#VALUE!</v>
      </c>
      <c r="EU103" t="e">
        <f>AND('STERLING CATALOG - DRY '!F2218,"AAAAAE3fX5Y=")</f>
        <v>#VALUE!</v>
      </c>
      <c r="EV103" t="e">
        <f>AND('STERLING CATALOG - DRY '!G2218,"AAAAAE3fX5c=")</f>
        <v>#VALUE!</v>
      </c>
      <c r="EW103" t="e">
        <f>AND('STERLING CATALOG - DRY '!H2218,"AAAAAE3fX5g=")</f>
        <v>#VALUE!</v>
      </c>
      <c r="EX103" t="e">
        <f>AND('STERLING CATALOG - DRY '!I2218,"AAAAAE3fX5k=")</f>
        <v>#VALUE!</v>
      </c>
      <c r="EY103" t="e">
        <f>AND('STERLING CATALOG - DRY '!J2218,"AAAAAE3fX5o=")</f>
        <v>#VALUE!</v>
      </c>
      <c r="EZ103">
        <f>IF('STERLING CATALOG - DRY '!2219:2219,"AAAAAE3fX5s=",0)</f>
        <v>0</v>
      </c>
      <c r="FA103" t="e">
        <f>AND('STERLING CATALOG - DRY '!A2219,"AAAAAE3fX5w=")</f>
        <v>#VALUE!</v>
      </c>
      <c r="FB103" t="e">
        <f>AND('STERLING CATALOG - DRY '!B2219,"AAAAAE3fX50=")</f>
        <v>#VALUE!</v>
      </c>
      <c r="FC103" t="e">
        <f>AND('STERLING CATALOG - DRY '!C2219,"AAAAAE3fX54=")</f>
        <v>#VALUE!</v>
      </c>
      <c r="FD103" t="e">
        <f>AND('STERLING CATALOG - DRY '!D2219,"AAAAAE3fX58=")</f>
        <v>#VALUE!</v>
      </c>
      <c r="FE103" t="e">
        <f>AND('STERLING CATALOG - DRY '!E2219,"AAAAAE3fX6A=")</f>
        <v>#VALUE!</v>
      </c>
      <c r="FF103" t="e">
        <f>AND('STERLING CATALOG - DRY '!F2219,"AAAAAE3fX6E=")</f>
        <v>#VALUE!</v>
      </c>
      <c r="FG103" t="e">
        <f>AND('STERLING CATALOG - DRY '!G2219,"AAAAAE3fX6I=")</f>
        <v>#VALUE!</v>
      </c>
      <c r="FH103" t="e">
        <f>AND('STERLING CATALOG - DRY '!H2219,"AAAAAE3fX6M=")</f>
        <v>#VALUE!</v>
      </c>
      <c r="FI103" t="e">
        <f>AND('STERLING CATALOG - DRY '!I2219,"AAAAAE3fX6Q=")</f>
        <v>#VALUE!</v>
      </c>
      <c r="FJ103" t="e">
        <f>AND('STERLING CATALOG - DRY '!J2219,"AAAAAE3fX6U=")</f>
        <v>#VALUE!</v>
      </c>
      <c r="FK103">
        <f>IF('STERLING CATALOG - DRY '!2220:2220,"AAAAAE3fX6Y=",0)</f>
        <v>0</v>
      </c>
      <c r="FL103" t="e">
        <f>AND('STERLING CATALOG - DRY '!A2220,"AAAAAE3fX6c=")</f>
        <v>#VALUE!</v>
      </c>
      <c r="FM103" t="e">
        <f>AND('STERLING CATALOG - DRY '!B2220,"AAAAAE3fX6g=")</f>
        <v>#VALUE!</v>
      </c>
      <c r="FN103" t="e">
        <f>AND('STERLING CATALOG - DRY '!C2220,"AAAAAE3fX6k=")</f>
        <v>#VALUE!</v>
      </c>
      <c r="FO103" t="e">
        <f>AND('STERLING CATALOG - DRY '!D2220,"AAAAAE3fX6o=")</f>
        <v>#VALUE!</v>
      </c>
      <c r="FP103" t="e">
        <f>AND('STERLING CATALOG - DRY '!E2220,"AAAAAE3fX6s=")</f>
        <v>#VALUE!</v>
      </c>
      <c r="FQ103" t="e">
        <f>AND('STERLING CATALOG - DRY '!F2220,"AAAAAE3fX6w=")</f>
        <v>#VALUE!</v>
      </c>
      <c r="FR103" t="e">
        <f>AND('STERLING CATALOG - DRY '!G2220,"AAAAAE3fX60=")</f>
        <v>#VALUE!</v>
      </c>
      <c r="FS103" t="e">
        <f>AND('STERLING CATALOG - DRY '!H2220,"AAAAAE3fX64=")</f>
        <v>#VALUE!</v>
      </c>
      <c r="FT103" t="e">
        <f>AND('STERLING CATALOG - DRY '!I2220,"AAAAAE3fX68=")</f>
        <v>#VALUE!</v>
      </c>
      <c r="FU103" t="e">
        <f>AND('STERLING CATALOG - DRY '!J2220,"AAAAAE3fX7A=")</f>
        <v>#VALUE!</v>
      </c>
      <c r="FV103">
        <f>IF('STERLING CATALOG - DRY '!2221:2221,"AAAAAE3fX7E=",0)</f>
        <v>0</v>
      </c>
      <c r="FW103" t="e">
        <f>AND('STERLING CATALOG - DRY '!A2221,"AAAAAE3fX7I=")</f>
        <v>#VALUE!</v>
      </c>
      <c r="FX103" t="e">
        <f>AND('STERLING CATALOG - DRY '!B2221,"AAAAAE3fX7M=")</f>
        <v>#VALUE!</v>
      </c>
      <c r="FY103" t="e">
        <f>AND('STERLING CATALOG - DRY '!C2221,"AAAAAE3fX7Q=")</f>
        <v>#VALUE!</v>
      </c>
      <c r="FZ103" t="e">
        <f>AND('STERLING CATALOG - DRY '!D2221,"AAAAAE3fX7U=")</f>
        <v>#VALUE!</v>
      </c>
      <c r="GA103" t="e">
        <f>AND('STERLING CATALOG - DRY '!E2221,"AAAAAE3fX7Y=")</f>
        <v>#VALUE!</v>
      </c>
      <c r="GB103" t="e">
        <f>AND('STERLING CATALOG - DRY '!F2221,"AAAAAE3fX7c=")</f>
        <v>#VALUE!</v>
      </c>
      <c r="GC103" t="e">
        <f>AND('STERLING CATALOG - DRY '!G2221,"AAAAAE3fX7g=")</f>
        <v>#VALUE!</v>
      </c>
      <c r="GD103" t="e">
        <f>AND('STERLING CATALOG - DRY '!H2221,"AAAAAE3fX7k=")</f>
        <v>#VALUE!</v>
      </c>
      <c r="GE103" t="e">
        <f>AND('STERLING CATALOG - DRY '!I2221,"AAAAAE3fX7o=")</f>
        <v>#VALUE!</v>
      </c>
      <c r="GF103" t="e">
        <f>AND('STERLING CATALOG - DRY '!J2221,"AAAAAE3fX7s=")</f>
        <v>#VALUE!</v>
      </c>
      <c r="GG103">
        <f>IF('STERLING CATALOG - DRY '!2222:2222,"AAAAAE3fX7w=",0)</f>
        <v>0</v>
      </c>
      <c r="GH103" t="e">
        <f>AND('STERLING CATALOG - DRY '!A2222,"AAAAAE3fX70=")</f>
        <v>#VALUE!</v>
      </c>
      <c r="GI103" t="e">
        <f>AND('STERLING CATALOG - DRY '!B2222,"AAAAAE3fX74=")</f>
        <v>#VALUE!</v>
      </c>
      <c r="GJ103" t="e">
        <f>AND('STERLING CATALOG - DRY '!C2222,"AAAAAE3fX78=")</f>
        <v>#VALUE!</v>
      </c>
      <c r="GK103" t="e">
        <f>AND('STERLING CATALOG - DRY '!D2222,"AAAAAE3fX8A=")</f>
        <v>#VALUE!</v>
      </c>
      <c r="GL103" t="e">
        <f>AND('STERLING CATALOG - DRY '!E2222,"AAAAAE3fX8E=")</f>
        <v>#VALUE!</v>
      </c>
      <c r="GM103" t="e">
        <f>AND('STERLING CATALOG - DRY '!F2222,"AAAAAE3fX8I=")</f>
        <v>#VALUE!</v>
      </c>
      <c r="GN103" t="e">
        <f>AND('STERLING CATALOG - DRY '!G2222,"AAAAAE3fX8M=")</f>
        <v>#VALUE!</v>
      </c>
      <c r="GO103" t="e">
        <f>AND('STERLING CATALOG - DRY '!H2222,"AAAAAE3fX8Q=")</f>
        <v>#VALUE!</v>
      </c>
      <c r="GP103" t="e">
        <f>AND('STERLING CATALOG - DRY '!I2222,"AAAAAE3fX8U=")</f>
        <v>#VALUE!</v>
      </c>
      <c r="GQ103" t="e">
        <f>AND('STERLING CATALOG - DRY '!J2222,"AAAAAE3fX8Y=")</f>
        <v>#VALUE!</v>
      </c>
      <c r="GR103">
        <f>IF('STERLING CATALOG - DRY '!2223:2223,"AAAAAE3fX8c=",0)</f>
        <v>0</v>
      </c>
      <c r="GS103" t="e">
        <f>AND('STERLING CATALOG - DRY '!A2223,"AAAAAE3fX8g=")</f>
        <v>#VALUE!</v>
      </c>
      <c r="GT103" t="e">
        <f>AND('STERLING CATALOG - DRY '!B2223,"AAAAAE3fX8k=")</f>
        <v>#VALUE!</v>
      </c>
      <c r="GU103" t="e">
        <f>AND('STERLING CATALOG - DRY '!C2223,"AAAAAE3fX8o=")</f>
        <v>#VALUE!</v>
      </c>
      <c r="GV103" t="e">
        <f>AND('STERLING CATALOG - DRY '!D2223,"AAAAAE3fX8s=")</f>
        <v>#VALUE!</v>
      </c>
      <c r="GW103" t="e">
        <f>AND('STERLING CATALOG - DRY '!E2223,"AAAAAE3fX8w=")</f>
        <v>#VALUE!</v>
      </c>
      <c r="GX103" t="e">
        <f>AND('STERLING CATALOG - DRY '!F2223,"AAAAAE3fX80=")</f>
        <v>#VALUE!</v>
      </c>
      <c r="GY103" t="e">
        <f>AND('STERLING CATALOG - DRY '!G2223,"AAAAAE3fX84=")</f>
        <v>#VALUE!</v>
      </c>
      <c r="GZ103" t="e">
        <f>AND('STERLING CATALOG - DRY '!H2223,"AAAAAE3fX88=")</f>
        <v>#VALUE!</v>
      </c>
      <c r="HA103" t="e">
        <f>AND('STERLING CATALOG - DRY '!I2223,"AAAAAE3fX9A=")</f>
        <v>#VALUE!</v>
      </c>
      <c r="HB103" t="e">
        <f>AND('STERLING CATALOG - DRY '!J2223,"AAAAAE3fX9E=")</f>
        <v>#VALUE!</v>
      </c>
      <c r="HC103">
        <f>IF('STERLING CATALOG - DRY '!2224:2224,"AAAAAE3fX9I=",0)</f>
        <v>0</v>
      </c>
      <c r="HD103" t="e">
        <f>AND('STERLING CATALOG - DRY '!A2224,"AAAAAE3fX9M=")</f>
        <v>#VALUE!</v>
      </c>
      <c r="HE103" t="e">
        <f>AND('STERLING CATALOG - DRY '!B2224,"AAAAAE3fX9Q=")</f>
        <v>#VALUE!</v>
      </c>
      <c r="HF103" t="e">
        <f>AND('STERLING CATALOG - DRY '!C2224,"AAAAAE3fX9U=")</f>
        <v>#VALUE!</v>
      </c>
      <c r="HG103" t="e">
        <f>AND('STERLING CATALOG - DRY '!D2224,"AAAAAE3fX9Y=")</f>
        <v>#VALUE!</v>
      </c>
      <c r="HH103" t="e">
        <f>AND('STERLING CATALOG - DRY '!E2224,"AAAAAE3fX9c=")</f>
        <v>#VALUE!</v>
      </c>
      <c r="HI103" t="e">
        <f>AND('STERLING CATALOG - DRY '!F2224,"AAAAAE3fX9g=")</f>
        <v>#VALUE!</v>
      </c>
      <c r="HJ103" t="e">
        <f>AND('STERLING CATALOG - DRY '!G2224,"AAAAAE3fX9k=")</f>
        <v>#VALUE!</v>
      </c>
      <c r="HK103" t="e">
        <f>AND('STERLING CATALOG - DRY '!H2224,"AAAAAE3fX9o=")</f>
        <v>#VALUE!</v>
      </c>
      <c r="HL103" t="e">
        <f>AND('STERLING CATALOG - DRY '!I2224,"AAAAAE3fX9s=")</f>
        <v>#VALUE!</v>
      </c>
      <c r="HM103" t="e">
        <f>AND('STERLING CATALOG - DRY '!J2224,"AAAAAE3fX9w=")</f>
        <v>#VALUE!</v>
      </c>
      <c r="HN103">
        <f>IF('STERLING CATALOG - DRY '!2225:2225,"AAAAAE3fX90=",0)</f>
        <v>0</v>
      </c>
      <c r="HO103" t="e">
        <f>AND('STERLING CATALOG - DRY '!A2225,"AAAAAE3fX94=")</f>
        <v>#VALUE!</v>
      </c>
      <c r="HP103" t="e">
        <f>AND('STERLING CATALOG - DRY '!B2225,"AAAAAE3fX98=")</f>
        <v>#VALUE!</v>
      </c>
      <c r="HQ103" t="e">
        <f>AND('STERLING CATALOG - DRY '!C2225,"AAAAAE3fX+A=")</f>
        <v>#VALUE!</v>
      </c>
      <c r="HR103" t="e">
        <f>AND('STERLING CATALOG - DRY '!D2225,"AAAAAE3fX+E=")</f>
        <v>#VALUE!</v>
      </c>
      <c r="HS103" t="e">
        <f>AND('STERLING CATALOG - DRY '!E2225,"AAAAAE3fX+I=")</f>
        <v>#VALUE!</v>
      </c>
      <c r="HT103" t="e">
        <f>AND('STERLING CATALOG - DRY '!F2225,"AAAAAE3fX+M=")</f>
        <v>#VALUE!</v>
      </c>
      <c r="HU103" t="e">
        <f>AND('STERLING CATALOG - DRY '!G2225,"AAAAAE3fX+Q=")</f>
        <v>#VALUE!</v>
      </c>
      <c r="HV103" t="e">
        <f>AND('STERLING CATALOG - DRY '!H2225,"AAAAAE3fX+U=")</f>
        <v>#VALUE!</v>
      </c>
      <c r="HW103" t="e">
        <f>AND('STERLING CATALOG - DRY '!I2225,"AAAAAE3fX+Y=")</f>
        <v>#VALUE!</v>
      </c>
      <c r="HX103" t="e">
        <f>AND('STERLING CATALOG - DRY '!J2225,"AAAAAE3fX+c=")</f>
        <v>#VALUE!</v>
      </c>
      <c r="HY103">
        <f>IF('STERLING CATALOG - DRY '!2226:2226,"AAAAAE3fX+g=",0)</f>
        <v>0</v>
      </c>
      <c r="HZ103" t="e">
        <f>AND('STERLING CATALOG - DRY '!A2226,"AAAAAE3fX+k=")</f>
        <v>#VALUE!</v>
      </c>
      <c r="IA103" t="e">
        <f>AND('STERLING CATALOG - DRY '!B2226,"AAAAAE3fX+o=")</f>
        <v>#VALUE!</v>
      </c>
      <c r="IB103" t="e">
        <f>AND('STERLING CATALOG - DRY '!C2226,"AAAAAE3fX+s=")</f>
        <v>#VALUE!</v>
      </c>
      <c r="IC103" t="e">
        <f>AND('STERLING CATALOG - DRY '!D2226,"AAAAAE3fX+w=")</f>
        <v>#VALUE!</v>
      </c>
      <c r="ID103" t="e">
        <f>AND('STERLING CATALOG - DRY '!E2226,"AAAAAE3fX+0=")</f>
        <v>#VALUE!</v>
      </c>
      <c r="IE103" t="e">
        <f>AND('STERLING CATALOG - DRY '!F2226,"AAAAAE3fX+4=")</f>
        <v>#VALUE!</v>
      </c>
      <c r="IF103" t="e">
        <f>AND('STERLING CATALOG - DRY '!G2226,"AAAAAE3fX+8=")</f>
        <v>#VALUE!</v>
      </c>
      <c r="IG103" t="e">
        <f>AND('STERLING CATALOG - DRY '!H2226,"AAAAAE3fX/A=")</f>
        <v>#VALUE!</v>
      </c>
      <c r="IH103" t="e">
        <f>AND('STERLING CATALOG - DRY '!I2226,"AAAAAE3fX/E=")</f>
        <v>#VALUE!</v>
      </c>
      <c r="II103" t="e">
        <f>AND('STERLING CATALOG - DRY '!J2226,"AAAAAE3fX/I=")</f>
        <v>#VALUE!</v>
      </c>
      <c r="IJ103">
        <f>IF('STERLING CATALOG - DRY '!2227:2227,"AAAAAE3fX/M=",0)</f>
        <v>0</v>
      </c>
      <c r="IK103" t="e">
        <f>AND('STERLING CATALOG - DRY '!A2227,"AAAAAE3fX/Q=")</f>
        <v>#VALUE!</v>
      </c>
      <c r="IL103" t="e">
        <f>AND('STERLING CATALOG - DRY '!B2227,"AAAAAE3fX/U=")</f>
        <v>#VALUE!</v>
      </c>
      <c r="IM103" t="e">
        <f>AND('STERLING CATALOG - DRY '!C2227,"AAAAAE3fX/Y=")</f>
        <v>#VALUE!</v>
      </c>
      <c r="IN103" t="e">
        <f>AND('STERLING CATALOG - DRY '!D2227,"AAAAAE3fX/c=")</f>
        <v>#VALUE!</v>
      </c>
      <c r="IO103" t="e">
        <f>AND('STERLING CATALOG - DRY '!E2227,"AAAAAE3fX/g=")</f>
        <v>#VALUE!</v>
      </c>
      <c r="IP103" t="e">
        <f>AND('STERLING CATALOG - DRY '!F2227,"AAAAAE3fX/k=")</f>
        <v>#VALUE!</v>
      </c>
      <c r="IQ103" t="e">
        <f>AND('STERLING CATALOG - DRY '!G2227,"AAAAAE3fX/o=")</f>
        <v>#VALUE!</v>
      </c>
      <c r="IR103" t="e">
        <f>AND('STERLING CATALOG - DRY '!H2227,"AAAAAE3fX/s=")</f>
        <v>#VALUE!</v>
      </c>
      <c r="IS103" t="e">
        <f>AND('STERLING CATALOG - DRY '!I2227,"AAAAAE3fX/w=")</f>
        <v>#VALUE!</v>
      </c>
      <c r="IT103" t="e">
        <f>AND('STERLING CATALOG - DRY '!J2227,"AAAAAE3fX/0=")</f>
        <v>#VALUE!</v>
      </c>
      <c r="IU103">
        <f>IF('STERLING CATALOG - DRY '!2228:2228,"AAAAAE3fX/4=",0)</f>
        <v>0</v>
      </c>
      <c r="IV103" t="e">
        <f>AND('STERLING CATALOG - DRY '!A2228,"AAAAAE3fX/8=")</f>
        <v>#VALUE!</v>
      </c>
    </row>
    <row r="104" spans="1:256">
      <c r="A104" t="e">
        <f>AND('STERLING CATALOG - DRY '!B2228,"AAAAAH/vPwA=")</f>
        <v>#VALUE!</v>
      </c>
      <c r="B104" t="e">
        <f>AND('STERLING CATALOG - DRY '!C2228,"AAAAAH/vPwE=")</f>
        <v>#VALUE!</v>
      </c>
      <c r="C104" t="e">
        <f>AND('STERLING CATALOG - DRY '!D2228,"AAAAAH/vPwI=")</f>
        <v>#VALUE!</v>
      </c>
      <c r="D104" t="e">
        <f>AND('STERLING CATALOG - DRY '!E2228,"AAAAAH/vPwM=")</f>
        <v>#VALUE!</v>
      </c>
      <c r="E104" t="e">
        <f>AND('STERLING CATALOG - DRY '!F2228,"AAAAAH/vPwQ=")</f>
        <v>#VALUE!</v>
      </c>
      <c r="F104" t="e">
        <f>AND('STERLING CATALOG - DRY '!G2228,"AAAAAH/vPwU=")</f>
        <v>#VALUE!</v>
      </c>
      <c r="G104" t="e">
        <f>AND('STERLING CATALOG - DRY '!H2228,"AAAAAH/vPwY=")</f>
        <v>#VALUE!</v>
      </c>
      <c r="H104" t="e">
        <f>AND('STERLING CATALOG - DRY '!I2228,"AAAAAH/vPwc=")</f>
        <v>#VALUE!</v>
      </c>
      <c r="I104" t="e">
        <f>AND('STERLING CATALOG - DRY '!J2228,"AAAAAH/vPwg=")</f>
        <v>#VALUE!</v>
      </c>
      <c r="J104" t="e">
        <f>IF('STERLING CATALOG - DRY '!2229:2229,"AAAAAH/vPwk=",0)</f>
        <v>#VALUE!</v>
      </c>
      <c r="K104" t="e">
        <f>AND('STERLING CATALOG - DRY '!A2229,"AAAAAH/vPwo=")</f>
        <v>#VALUE!</v>
      </c>
      <c r="L104" t="e">
        <f>AND('STERLING CATALOG - DRY '!B2229,"AAAAAH/vPws=")</f>
        <v>#VALUE!</v>
      </c>
      <c r="M104" t="e">
        <f>AND('STERLING CATALOG - DRY '!C2229,"AAAAAH/vPww=")</f>
        <v>#VALUE!</v>
      </c>
      <c r="N104" t="e">
        <f>AND('STERLING CATALOG - DRY '!D2229,"AAAAAH/vPw0=")</f>
        <v>#VALUE!</v>
      </c>
      <c r="O104" t="e">
        <f>AND('STERLING CATALOG - DRY '!E2229,"AAAAAH/vPw4=")</f>
        <v>#VALUE!</v>
      </c>
      <c r="P104" t="e">
        <f>AND('STERLING CATALOG - DRY '!F2229,"AAAAAH/vPw8=")</f>
        <v>#VALUE!</v>
      </c>
      <c r="Q104" t="e">
        <f>AND('STERLING CATALOG - DRY '!G2229,"AAAAAH/vPxA=")</f>
        <v>#VALUE!</v>
      </c>
      <c r="R104" t="e">
        <f>AND('STERLING CATALOG - DRY '!H2229,"AAAAAH/vPxE=")</f>
        <v>#VALUE!</v>
      </c>
      <c r="S104" t="e">
        <f>AND('STERLING CATALOG - DRY '!I2229,"AAAAAH/vPxI=")</f>
        <v>#VALUE!</v>
      </c>
      <c r="T104" t="e">
        <f>AND('STERLING CATALOG - DRY '!J2229,"AAAAAH/vPxM=")</f>
        <v>#VALUE!</v>
      </c>
      <c r="U104">
        <f>IF('STERLING CATALOG - DRY '!2230:2230,"AAAAAH/vPxQ=",0)</f>
        <v>0</v>
      </c>
      <c r="V104" t="e">
        <f>AND('STERLING CATALOG - DRY '!A2230,"AAAAAH/vPxU=")</f>
        <v>#VALUE!</v>
      </c>
      <c r="W104" t="e">
        <f>AND('STERLING CATALOG - DRY '!B2230,"AAAAAH/vPxY=")</f>
        <v>#VALUE!</v>
      </c>
      <c r="X104" t="e">
        <f>AND('STERLING CATALOG - DRY '!C2230,"AAAAAH/vPxc=")</f>
        <v>#VALUE!</v>
      </c>
      <c r="Y104" t="e">
        <f>AND('STERLING CATALOG - DRY '!D2230,"AAAAAH/vPxg=")</f>
        <v>#VALUE!</v>
      </c>
      <c r="Z104" t="e">
        <f>AND('STERLING CATALOG - DRY '!E2230,"AAAAAH/vPxk=")</f>
        <v>#VALUE!</v>
      </c>
      <c r="AA104" t="e">
        <f>AND('STERLING CATALOG - DRY '!F2230,"AAAAAH/vPxo=")</f>
        <v>#VALUE!</v>
      </c>
      <c r="AB104" t="e">
        <f>AND('STERLING CATALOG - DRY '!G2230,"AAAAAH/vPxs=")</f>
        <v>#VALUE!</v>
      </c>
      <c r="AC104" t="e">
        <f>AND('STERLING CATALOG - DRY '!H2230,"AAAAAH/vPxw=")</f>
        <v>#VALUE!</v>
      </c>
      <c r="AD104" t="e">
        <f>AND('STERLING CATALOG - DRY '!I2230,"AAAAAH/vPx0=")</f>
        <v>#VALUE!</v>
      </c>
      <c r="AE104" t="e">
        <f>AND('STERLING CATALOG - DRY '!J2230,"AAAAAH/vPx4=")</f>
        <v>#VALUE!</v>
      </c>
      <c r="AF104">
        <f>IF('STERLING CATALOG - DRY '!2231:2231,"AAAAAH/vPx8=",0)</f>
        <v>0</v>
      </c>
      <c r="AG104" t="e">
        <f>AND('STERLING CATALOG - DRY '!A2231,"AAAAAH/vPyA=")</f>
        <v>#VALUE!</v>
      </c>
      <c r="AH104" t="e">
        <f>AND('STERLING CATALOG - DRY '!B2231,"AAAAAH/vPyE=")</f>
        <v>#VALUE!</v>
      </c>
      <c r="AI104" t="e">
        <f>AND('STERLING CATALOG - DRY '!C2231,"AAAAAH/vPyI=")</f>
        <v>#VALUE!</v>
      </c>
      <c r="AJ104" t="e">
        <f>AND('STERLING CATALOG - DRY '!D2231,"AAAAAH/vPyM=")</f>
        <v>#VALUE!</v>
      </c>
      <c r="AK104" t="e">
        <f>AND('STERLING CATALOG - DRY '!E2231,"AAAAAH/vPyQ=")</f>
        <v>#VALUE!</v>
      </c>
      <c r="AL104" t="e">
        <f>AND('STERLING CATALOG - DRY '!F2231,"AAAAAH/vPyU=")</f>
        <v>#VALUE!</v>
      </c>
      <c r="AM104" t="e">
        <f>AND('STERLING CATALOG - DRY '!G2231,"AAAAAH/vPyY=")</f>
        <v>#VALUE!</v>
      </c>
      <c r="AN104" t="e">
        <f>AND('STERLING CATALOG - DRY '!H2231,"AAAAAH/vPyc=")</f>
        <v>#VALUE!</v>
      </c>
      <c r="AO104" t="e">
        <f>AND('STERLING CATALOG - DRY '!I2231,"AAAAAH/vPyg=")</f>
        <v>#VALUE!</v>
      </c>
      <c r="AP104" t="e">
        <f>AND('STERLING CATALOG - DRY '!J2231,"AAAAAH/vPyk=")</f>
        <v>#VALUE!</v>
      </c>
      <c r="AQ104">
        <f>IF('STERLING CATALOG - DRY '!2232:2232,"AAAAAH/vPyo=",0)</f>
        <v>0</v>
      </c>
      <c r="AR104" t="e">
        <f>AND('STERLING CATALOG - DRY '!A2232,"AAAAAH/vPys=")</f>
        <v>#VALUE!</v>
      </c>
      <c r="AS104" t="e">
        <f>AND('STERLING CATALOG - DRY '!B2232,"AAAAAH/vPyw=")</f>
        <v>#VALUE!</v>
      </c>
      <c r="AT104" t="e">
        <f>AND('STERLING CATALOG - DRY '!C2232,"AAAAAH/vPy0=")</f>
        <v>#VALUE!</v>
      </c>
      <c r="AU104" t="e">
        <f>AND('STERLING CATALOG - DRY '!D2232,"AAAAAH/vPy4=")</f>
        <v>#VALUE!</v>
      </c>
      <c r="AV104" t="e">
        <f>AND('STERLING CATALOG - DRY '!E2232,"AAAAAH/vPy8=")</f>
        <v>#VALUE!</v>
      </c>
      <c r="AW104" t="e">
        <f>AND('STERLING CATALOG - DRY '!F2232,"AAAAAH/vPzA=")</f>
        <v>#VALUE!</v>
      </c>
      <c r="AX104" t="e">
        <f>AND('STERLING CATALOG - DRY '!G2232,"AAAAAH/vPzE=")</f>
        <v>#VALUE!</v>
      </c>
      <c r="AY104" t="e">
        <f>AND('STERLING CATALOG - DRY '!H2232,"AAAAAH/vPzI=")</f>
        <v>#VALUE!</v>
      </c>
      <c r="AZ104" t="e">
        <f>AND('STERLING CATALOG - DRY '!I2232,"AAAAAH/vPzM=")</f>
        <v>#VALUE!</v>
      </c>
      <c r="BA104" t="e">
        <f>AND('STERLING CATALOG - DRY '!J2232,"AAAAAH/vPzQ=")</f>
        <v>#VALUE!</v>
      </c>
      <c r="BB104">
        <f>IF('STERLING CATALOG - DRY '!2233:2233,"AAAAAH/vPzU=",0)</f>
        <v>0</v>
      </c>
      <c r="BC104" t="e">
        <f>AND('STERLING CATALOG - DRY '!A2233,"AAAAAH/vPzY=")</f>
        <v>#VALUE!</v>
      </c>
      <c r="BD104" t="e">
        <f>AND('STERLING CATALOG - DRY '!B2233,"AAAAAH/vPzc=")</f>
        <v>#VALUE!</v>
      </c>
      <c r="BE104" t="e">
        <f>AND('STERLING CATALOG - DRY '!C2233,"AAAAAH/vPzg=")</f>
        <v>#VALUE!</v>
      </c>
      <c r="BF104" t="e">
        <f>AND('STERLING CATALOG - DRY '!D2233,"AAAAAH/vPzk=")</f>
        <v>#VALUE!</v>
      </c>
      <c r="BG104" t="e">
        <f>AND('STERLING CATALOG - DRY '!E2233,"AAAAAH/vPzo=")</f>
        <v>#VALUE!</v>
      </c>
      <c r="BH104" t="e">
        <f>AND('STERLING CATALOG - DRY '!F2233,"AAAAAH/vPzs=")</f>
        <v>#VALUE!</v>
      </c>
      <c r="BI104" t="e">
        <f>AND('STERLING CATALOG - DRY '!G2233,"AAAAAH/vPzw=")</f>
        <v>#VALUE!</v>
      </c>
      <c r="BJ104" t="e">
        <f>AND('STERLING CATALOG - DRY '!H2233,"AAAAAH/vPz0=")</f>
        <v>#VALUE!</v>
      </c>
      <c r="BK104" t="e">
        <f>AND('STERLING CATALOG - DRY '!I2233,"AAAAAH/vPz4=")</f>
        <v>#VALUE!</v>
      </c>
      <c r="BL104" t="e">
        <f>AND('STERLING CATALOG - DRY '!J2233,"AAAAAH/vPz8=")</f>
        <v>#VALUE!</v>
      </c>
      <c r="BM104">
        <f>IF('STERLING CATALOG - DRY '!2234:2234,"AAAAAH/vP0A=",0)</f>
        <v>0</v>
      </c>
      <c r="BN104" t="e">
        <f>AND('STERLING CATALOG - DRY '!A2234,"AAAAAH/vP0E=")</f>
        <v>#VALUE!</v>
      </c>
      <c r="BO104" t="e">
        <f>AND('STERLING CATALOG - DRY '!B2234,"AAAAAH/vP0I=")</f>
        <v>#VALUE!</v>
      </c>
      <c r="BP104" t="e">
        <f>AND('STERLING CATALOG - DRY '!C2234,"AAAAAH/vP0M=")</f>
        <v>#VALUE!</v>
      </c>
      <c r="BQ104" t="e">
        <f>AND('STERLING CATALOG - DRY '!D2234,"AAAAAH/vP0Q=")</f>
        <v>#VALUE!</v>
      </c>
      <c r="BR104" t="e">
        <f>AND('STERLING CATALOG - DRY '!E2234,"AAAAAH/vP0U=")</f>
        <v>#VALUE!</v>
      </c>
      <c r="BS104" t="e">
        <f>AND('STERLING CATALOG - DRY '!F2234,"AAAAAH/vP0Y=")</f>
        <v>#VALUE!</v>
      </c>
      <c r="BT104" t="e">
        <f>AND('STERLING CATALOG - DRY '!G2234,"AAAAAH/vP0c=")</f>
        <v>#VALUE!</v>
      </c>
      <c r="BU104" t="e">
        <f>AND('STERLING CATALOG - DRY '!H2234,"AAAAAH/vP0g=")</f>
        <v>#VALUE!</v>
      </c>
      <c r="BV104" t="e">
        <f>AND('STERLING CATALOG - DRY '!I2234,"AAAAAH/vP0k=")</f>
        <v>#VALUE!</v>
      </c>
      <c r="BW104" t="e">
        <f>AND('STERLING CATALOG - DRY '!J2234,"AAAAAH/vP0o=")</f>
        <v>#VALUE!</v>
      </c>
      <c r="BX104">
        <f>IF('STERLING CATALOG - DRY '!2235:2235,"AAAAAH/vP0s=",0)</f>
        <v>0</v>
      </c>
      <c r="BY104" t="e">
        <f>AND('STERLING CATALOG - DRY '!A2235,"AAAAAH/vP0w=")</f>
        <v>#VALUE!</v>
      </c>
      <c r="BZ104" t="e">
        <f>AND('STERLING CATALOG - DRY '!B2235,"AAAAAH/vP00=")</f>
        <v>#VALUE!</v>
      </c>
      <c r="CA104" t="e">
        <f>AND('STERLING CATALOG - DRY '!C2235,"AAAAAH/vP04=")</f>
        <v>#VALUE!</v>
      </c>
      <c r="CB104" t="e">
        <f>AND('STERLING CATALOG - DRY '!D2235,"AAAAAH/vP08=")</f>
        <v>#VALUE!</v>
      </c>
      <c r="CC104" t="e">
        <f>AND('STERLING CATALOG - DRY '!E2235,"AAAAAH/vP1A=")</f>
        <v>#VALUE!</v>
      </c>
      <c r="CD104" t="e">
        <f>AND('STERLING CATALOG - DRY '!F2235,"AAAAAH/vP1E=")</f>
        <v>#VALUE!</v>
      </c>
      <c r="CE104" t="e">
        <f>AND('STERLING CATALOG - DRY '!G2235,"AAAAAH/vP1I=")</f>
        <v>#VALUE!</v>
      </c>
      <c r="CF104" t="e">
        <f>AND('STERLING CATALOG - DRY '!H2235,"AAAAAH/vP1M=")</f>
        <v>#VALUE!</v>
      </c>
      <c r="CG104" t="e">
        <f>AND('STERLING CATALOG - DRY '!I2235,"AAAAAH/vP1Q=")</f>
        <v>#VALUE!</v>
      </c>
      <c r="CH104" t="e">
        <f>AND('STERLING CATALOG - DRY '!J2235,"AAAAAH/vP1U=")</f>
        <v>#VALUE!</v>
      </c>
      <c r="CI104">
        <f>IF('STERLING CATALOG - DRY '!2236:2236,"AAAAAH/vP1Y=",0)</f>
        <v>0</v>
      </c>
      <c r="CJ104" t="e">
        <f>AND('STERLING CATALOG - DRY '!A2236,"AAAAAH/vP1c=")</f>
        <v>#VALUE!</v>
      </c>
      <c r="CK104" t="e">
        <f>AND('STERLING CATALOG - DRY '!B2236,"AAAAAH/vP1g=")</f>
        <v>#VALUE!</v>
      </c>
      <c r="CL104" t="e">
        <f>AND('STERLING CATALOG - DRY '!C2236,"AAAAAH/vP1k=")</f>
        <v>#VALUE!</v>
      </c>
      <c r="CM104" t="e">
        <f>AND('STERLING CATALOG - DRY '!D2236,"AAAAAH/vP1o=")</f>
        <v>#VALUE!</v>
      </c>
      <c r="CN104" t="e">
        <f>AND('STERLING CATALOG - DRY '!E2236,"AAAAAH/vP1s=")</f>
        <v>#VALUE!</v>
      </c>
      <c r="CO104" t="e">
        <f>AND('STERLING CATALOG - DRY '!F2236,"AAAAAH/vP1w=")</f>
        <v>#VALUE!</v>
      </c>
      <c r="CP104" t="e">
        <f>AND('STERLING CATALOG - DRY '!G2236,"AAAAAH/vP10=")</f>
        <v>#VALUE!</v>
      </c>
      <c r="CQ104" t="e">
        <f>AND('STERLING CATALOG - DRY '!H2236,"AAAAAH/vP14=")</f>
        <v>#VALUE!</v>
      </c>
      <c r="CR104" t="e">
        <f>AND('STERLING CATALOG - DRY '!I2236,"AAAAAH/vP18=")</f>
        <v>#VALUE!</v>
      </c>
      <c r="CS104" t="e">
        <f>AND('STERLING CATALOG - DRY '!J2236,"AAAAAH/vP2A=")</f>
        <v>#VALUE!</v>
      </c>
      <c r="CT104">
        <f>IF('STERLING CATALOG - DRY '!2237:2237,"AAAAAH/vP2E=",0)</f>
        <v>0</v>
      </c>
      <c r="CU104" t="e">
        <f>AND('STERLING CATALOG - DRY '!A2237,"AAAAAH/vP2I=")</f>
        <v>#VALUE!</v>
      </c>
      <c r="CV104" t="e">
        <f>AND('STERLING CATALOG - DRY '!B2237,"AAAAAH/vP2M=")</f>
        <v>#VALUE!</v>
      </c>
      <c r="CW104" t="e">
        <f>AND('STERLING CATALOG - DRY '!C2237,"AAAAAH/vP2Q=")</f>
        <v>#VALUE!</v>
      </c>
      <c r="CX104" t="e">
        <f>AND('STERLING CATALOG - DRY '!D2237,"AAAAAH/vP2U=")</f>
        <v>#VALUE!</v>
      </c>
      <c r="CY104" t="e">
        <f>AND('STERLING CATALOG - DRY '!E2237,"AAAAAH/vP2Y=")</f>
        <v>#VALUE!</v>
      </c>
      <c r="CZ104" t="e">
        <f>AND('STERLING CATALOG - DRY '!F2237,"AAAAAH/vP2c=")</f>
        <v>#VALUE!</v>
      </c>
      <c r="DA104" t="e">
        <f>AND('STERLING CATALOG - DRY '!G2237,"AAAAAH/vP2g=")</f>
        <v>#VALUE!</v>
      </c>
      <c r="DB104" t="e">
        <f>AND('STERLING CATALOG - DRY '!H2237,"AAAAAH/vP2k=")</f>
        <v>#VALUE!</v>
      </c>
      <c r="DC104" t="e">
        <f>AND('STERLING CATALOG - DRY '!I2237,"AAAAAH/vP2o=")</f>
        <v>#VALUE!</v>
      </c>
      <c r="DD104" t="e">
        <f>AND('STERLING CATALOG - DRY '!J2237,"AAAAAH/vP2s=")</f>
        <v>#VALUE!</v>
      </c>
      <c r="DE104">
        <f>IF('STERLING CATALOG - DRY '!2238:2238,"AAAAAH/vP2w=",0)</f>
        <v>0</v>
      </c>
      <c r="DF104" t="e">
        <f>AND('STERLING CATALOG - DRY '!A2238,"AAAAAH/vP20=")</f>
        <v>#VALUE!</v>
      </c>
      <c r="DG104" t="e">
        <f>AND('STERLING CATALOG - DRY '!B2238,"AAAAAH/vP24=")</f>
        <v>#VALUE!</v>
      </c>
      <c r="DH104" t="e">
        <f>AND('STERLING CATALOG - DRY '!C2238,"AAAAAH/vP28=")</f>
        <v>#VALUE!</v>
      </c>
      <c r="DI104" t="e">
        <f>AND('STERLING CATALOG - DRY '!D2238,"AAAAAH/vP3A=")</f>
        <v>#VALUE!</v>
      </c>
      <c r="DJ104" t="e">
        <f>AND('STERLING CATALOG - DRY '!E2238,"AAAAAH/vP3E=")</f>
        <v>#VALUE!</v>
      </c>
      <c r="DK104" t="e">
        <f>AND('STERLING CATALOG - DRY '!F2238,"AAAAAH/vP3I=")</f>
        <v>#VALUE!</v>
      </c>
      <c r="DL104" t="e">
        <f>AND('STERLING CATALOG - DRY '!G2238,"AAAAAH/vP3M=")</f>
        <v>#VALUE!</v>
      </c>
      <c r="DM104" t="e">
        <f>AND('STERLING CATALOG - DRY '!H2238,"AAAAAH/vP3Q=")</f>
        <v>#VALUE!</v>
      </c>
      <c r="DN104" t="e">
        <f>AND('STERLING CATALOG - DRY '!I2238,"AAAAAH/vP3U=")</f>
        <v>#VALUE!</v>
      </c>
      <c r="DO104" t="e">
        <f>AND('STERLING CATALOG - DRY '!J2238,"AAAAAH/vP3Y=")</f>
        <v>#VALUE!</v>
      </c>
      <c r="DP104">
        <f>IF('STERLING CATALOG - DRY '!2239:2239,"AAAAAH/vP3c=",0)</f>
        <v>0</v>
      </c>
      <c r="DQ104" t="e">
        <f>AND('STERLING CATALOG - DRY '!A2239,"AAAAAH/vP3g=")</f>
        <v>#VALUE!</v>
      </c>
      <c r="DR104" t="e">
        <f>AND('STERLING CATALOG - DRY '!B2239,"AAAAAH/vP3k=")</f>
        <v>#VALUE!</v>
      </c>
      <c r="DS104" t="e">
        <f>AND('STERLING CATALOG - DRY '!C2239,"AAAAAH/vP3o=")</f>
        <v>#VALUE!</v>
      </c>
      <c r="DT104" t="e">
        <f>AND('STERLING CATALOG - DRY '!D2239,"AAAAAH/vP3s=")</f>
        <v>#VALUE!</v>
      </c>
      <c r="DU104" t="e">
        <f>AND('STERLING CATALOG - DRY '!E2239,"AAAAAH/vP3w=")</f>
        <v>#VALUE!</v>
      </c>
      <c r="DV104" t="e">
        <f>AND('STERLING CATALOG - DRY '!F2239,"AAAAAH/vP30=")</f>
        <v>#VALUE!</v>
      </c>
      <c r="DW104" t="e">
        <f>AND('STERLING CATALOG - DRY '!G2239,"AAAAAH/vP34=")</f>
        <v>#VALUE!</v>
      </c>
      <c r="DX104" t="e">
        <f>AND('STERLING CATALOG - DRY '!H2239,"AAAAAH/vP38=")</f>
        <v>#VALUE!</v>
      </c>
      <c r="DY104" t="e">
        <f>AND('STERLING CATALOG - DRY '!I2239,"AAAAAH/vP4A=")</f>
        <v>#VALUE!</v>
      </c>
      <c r="DZ104" t="e">
        <f>AND('STERLING CATALOG - DRY '!J2239,"AAAAAH/vP4E=")</f>
        <v>#VALUE!</v>
      </c>
      <c r="EA104">
        <f>IF('STERLING CATALOG - DRY '!2240:2240,"AAAAAH/vP4I=",0)</f>
        <v>0</v>
      </c>
      <c r="EB104" t="e">
        <f>AND('STERLING CATALOG - DRY '!A2240,"AAAAAH/vP4M=")</f>
        <v>#VALUE!</v>
      </c>
      <c r="EC104" t="e">
        <f>AND('STERLING CATALOG - DRY '!B2240,"AAAAAH/vP4Q=")</f>
        <v>#VALUE!</v>
      </c>
      <c r="ED104" t="e">
        <f>AND('STERLING CATALOG - DRY '!C2240,"AAAAAH/vP4U=")</f>
        <v>#VALUE!</v>
      </c>
      <c r="EE104" t="e">
        <f>AND('STERLING CATALOG - DRY '!D2240,"AAAAAH/vP4Y=")</f>
        <v>#VALUE!</v>
      </c>
      <c r="EF104" t="e">
        <f>AND('STERLING CATALOG - DRY '!E2240,"AAAAAH/vP4c=")</f>
        <v>#VALUE!</v>
      </c>
      <c r="EG104" t="e">
        <f>AND('STERLING CATALOG - DRY '!F2240,"AAAAAH/vP4g=")</f>
        <v>#VALUE!</v>
      </c>
      <c r="EH104" t="e">
        <f>AND('STERLING CATALOG - DRY '!G2240,"AAAAAH/vP4k=")</f>
        <v>#VALUE!</v>
      </c>
      <c r="EI104" t="e">
        <f>AND('STERLING CATALOG - DRY '!H2240,"AAAAAH/vP4o=")</f>
        <v>#VALUE!</v>
      </c>
      <c r="EJ104" t="e">
        <f>AND('STERLING CATALOG - DRY '!I2240,"AAAAAH/vP4s=")</f>
        <v>#VALUE!</v>
      </c>
      <c r="EK104" t="e">
        <f>AND('STERLING CATALOG - DRY '!J2240,"AAAAAH/vP4w=")</f>
        <v>#VALUE!</v>
      </c>
      <c r="EL104">
        <f>IF('STERLING CATALOG - DRY '!2241:2241,"AAAAAH/vP40=",0)</f>
        <v>0</v>
      </c>
      <c r="EM104" t="e">
        <f>AND('STERLING CATALOG - DRY '!A2241,"AAAAAH/vP44=")</f>
        <v>#VALUE!</v>
      </c>
      <c r="EN104" t="e">
        <f>AND('STERLING CATALOG - DRY '!B2241,"AAAAAH/vP48=")</f>
        <v>#VALUE!</v>
      </c>
      <c r="EO104" t="e">
        <f>AND('STERLING CATALOG - DRY '!C2241,"AAAAAH/vP5A=")</f>
        <v>#VALUE!</v>
      </c>
      <c r="EP104" t="e">
        <f>AND('STERLING CATALOG - DRY '!D2241,"AAAAAH/vP5E=")</f>
        <v>#VALUE!</v>
      </c>
      <c r="EQ104" t="e">
        <f>AND('STERLING CATALOG - DRY '!E2241,"AAAAAH/vP5I=")</f>
        <v>#VALUE!</v>
      </c>
      <c r="ER104" t="e">
        <f>AND('STERLING CATALOG - DRY '!F2241,"AAAAAH/vP5M=")</f>
        <v>#VALUE!</v>
      </c>
      <c r="ES104" t="e">
        <f>AND('STERLING CATALOG - DRY '!G2241,"AAAAAH/vP5Q=")</f>
        <v>#VALUE!</v>
      </c>
      <c r="ET104" t="e">
        <f>AND('STERLING CATALOG - DRY '!H2241,"AAAAAH/vP5U=")</f>
        <v>#VALUE!</v>
      </c>
      <c r="EU104" t="e">
        <f>AND('STERLING CATALOG - DRY '!I2241,"AAAAAH/vP5Y=")</f>
        <v>#VALUE!</v>
      </c>
      <c r="EV104" t="e">
        <f>AND('STERLING CATALOG - DRY '!J2241,"AAAAAH/vP5c=")</f>
        <v>#VALUE!</v>
      </c>
      <c r="EW104">
        <f>IF('STERLING CATALOG - DRY '!2242:2242,"AAAAAH/vP5g=",0)</f>
        <v>0</v>
      </c>
      <c r="EX104" t="e">
        <f>AND('STERLING CATALOG - DRY '!A2242,"AAAAAH/vP5k=")</f>
        <v>#VALUE!</v>
      </c>
      <c r="EY104" t="e">
        <f>AND('STERLING CATALOG - DRY '!B2242,"AAAAAH/vP5o=")</f>
        <v>#VALUE!</v>
      </c>
      <c r="EZ104" t="e">
        <f>AND('STERLING CATALOG - DRY '!C2242,"AAAAAH/vP5s=")</f>
        <v>#VALUE!</v>
      </c>
      <c r="FA104" t="e">
        <f>AND('STERLING CATALOG - DRY '!D2242,"AAAAAH/vP5w=")</f>
        <v>#VALUE!</v>
      </c>
      <c r="FB104" t="e">
        <f>AND('STERLING CATALOG - DRY '!E2242,"AAAAAH/vP50=")</f>
        <v>#VALUE!</v>
      </c>
      <c r="FC104" t="e">
        <f>AND('STERLING CATALOG - DRY '!F2242,"AAAAAH/vP54=")</f>
        <v>#VALUE!</v>
      </c>
      <c r="FD104" t="e">
        <f>AND('STERLING CATALOG - DRY '!G2242,"AAAAAH/vP58=")</f>
        <v>#VALUE!</v>
      </c>
      <c r="FE104" t="e">
        <f>AND('STERLING CATALOG - DRY '!H2242,"AAAAAH/vP6A=")</f>
        <v>#VALUE!</v>
      </c>
      <c r="FF104" t="e">
        <f>AND('STERLING CATALOG - DRY '!I2242,"AAAAAH/vP6E=")</f>
        <v>#VALUE!</v>
      </c>
      <c r="FG104" t="e">
        <f>AND('STERLING CATALOG - DRY '!J2242,"AAAAAH/vP6I=")</f>
        <v>#VALUE!</v>
      </c>
      <c r="FH104">
        <f>IF('STERLING CATALOG - DRY '!2243:2243,"AAAAAH/vP6M=",0)</f>
        <v>0</v>
      </c>
      <c r="FI104" t="e">
        <f>AND('STERLING CATALOG - DRY '!A2243,"AAAAAH/vP6Q=")</f>
        <v>#VALUE!</v>
      </c>
      <c r="FJ104" t="e">
        <f>AND('STERLING CATALOG - DRY '!B2243,"AAAAAH/vP6U=")</f>
        <v>#VALUE!</v>
      </c>
      <c r="FK104" t="e">
        <f>AND('STERLING CATALOG - DRY '!C2243,"AAAAAH/vP6Y=")</f>
        <v>#VALUE!</v>
      </c>
      <c r="FL104" t="e">
        <f>AND('STERLING CATALOG - DRY '!D2243,"AAAAAH/vP6c=")</f>
        <v>#VALUE!</v>
      </c>
      <c r="FM104" t="e">
        <f>AND('STERLING CATALOG - DRY '!E2243,"AAAAAH/vP6g=")</f>
        <v>#VALUE!</v>
      </c>
      <c r="FN104" t="e">
        <f>AND('STERLING CATALOG - DRY '!F2243,"AAAAAH/vP6k=")</f>
        <v>#VALUE!</v>
      </c>
      <c r="FO104" t="e">
        <f>AND('STERLING CATALOG - DRY '!G2243,"AAAAAH/vP6o=")</f>
        <v>#VALUE!</v>
      </c>
      <c r="FP104" t="e">
        <f>AND('STERLING CATALOG - DRY '!H2243,"AAAAAH/vP6s=")</f>
        <v>#VALUE!</v>
      </c>
      <c r="FQ104" t="e">
        <f>AND('STERLING CATALOG - DRY '!I2243,"AAAAAH/vP6w=")</f>
        <v>#VALUE!</v>
      </c>
      <c r="FR104" t="e">
        <f>AND('STERLING CATALOG - DRY '!J2243,"AAAAAH/vP60=")</f>
        <v>#VALUE!</v>
      </c>
      <c r="FS104">
        <f>IF('STERLING CATALOG - DRY '!2244:2244,"AAAAAH/vP64=",0)</f>
        <v>0</v>
      </c>
      <c r="FT104" t="e">
        <f>AND('STERLING CATALOG - DRY '!A2244,"AAAAAH/vP68=")</f>
        <v>#VALUE!</v>
      </c>
      <c r="FU104" t="e">
        <f>AND('STERLING CATALOG - DRY '!B2244,"AAAAAH/vP7A=")</f>
        <v>#VALUE!</v>
      </c>
      <c r="FV104" t="e">
        <f>AND('STERLING CATALOG - DRY '!C2244,"AAAAAH/vP7E=")</f>
        <v>#VALUE!</v>
      </c>
      <c r="FW104" t="e">
        <f>AND('STERLING CATALOG - DRY '!D2244,"AAAAAH/vP7I=")</f>
        <v>#VALUE!</v>
      </c>
      <c r="FX104" t="e">
        <f>AND('STERLING CATALOG - DRY '!E2244,"AAAAAH/vP7M=")</f>
        <v>#VALUE!</v>
      </c>
      <c r="FY104" t="e">
        <f>AND('STERLING CATALOG - DRY '!F2244,"AAAAAH/vP7Q=")</f>
        <v>#VALUE!</v>
      </c>
      <c r="FZ104" t="e">
        <f>AND('STERLING CATALOG - DRY '!G2244,"AAAAAH/vP7U=")</f>
        <v>#VALUE!</v>
      </c>
      <c r="GA104" t="e">
        <f>AND('STERLING CATALOG - DRY '!H2244,"AAAAAH/vP7Y=")</f>
        <v>#VALUE!</v>
      </c>
      <c r="GB104" t="e">
        <f>AND('STERLING CATALOG - DRY '!I2244,"AAAAAH/vP7c=")</f>
        <v>#VALUE!</v>
      </c>
      <c r="GC104" t="e">
        <f>AND('STERLING CATALOG - DRY '!J2244,"AAAAAH/vP7g=")</f>
        <v>#VALUE!</v>
      </c>
      <c r="GD104">
        <f>IF('STERLING CATALOG - DRY '!2245:2245,"AAAAAH/vP7k=",0)</f>
        <v>0</v>
      </c>
      <c r="GE104" t="e">
        <f>AND('STERLING CATALOG - DRY '!A2245,"AAAAAH/vP7o=")</f>
        <v>#VALUE!</v>
      </c>
      <c r="GF104" t="e">
        <f>AND('STERLING CATALOG - DRY '!B2245,"AAAAAH/vP7s=")</f>
        <v>#VALUE!</v>
      </c>
      <c r="GG104" t="e">
        <f>AND('STERLING CATALOG - DRY '!C2245,"AAAAAH/vP7w=")</f>
        <v>#VALUE!</v>
      </c>
      <c r="GH104" t="e">
        <f>AND('STERLING CATALOG - DRY '!D2245,"AAAAAH/vP70=")</f>
        <v>#VALUE!</v>
      </c>
      <c r="GI104" t="e">
        <f>AND('STERLING CATALOG - DRY '!E2245,"AAAAAH/vP74=")</f>
        <v>#VALUE!</v>
      </c>
      <c r="GJ104" t="e">
        <f>AND('STERLING CATALOG - DRY '!F2245,"AAAAAH/vP78=")</f>
        <v>#VALUE!</v>
      </c>
      <c r="GK104" t="e">
        <f>AND('STERLING CATALOG - DRY '!G2245,"AAAAAH/vP8A=")</f>
        <v>#VALUE!</v>
      </c>
      <c r="GL104" t="e">
        <f>AND('STERLING CATALOG - DRY '!H2245,"AAAAAH/vP8E=")</f>
        <v>#VALUE!</v>
      </c>
      <c r="GM104" t="e">
        <f>AND('STERLING CATALOG - DRY '!I2245,"AAAAAH/vP8I=")</f>
        <v>#VALUE!</v>
      </c>
      <c r="GN104" t="e">
        <f>AND('STERLING CATALOG - DRY '!J2245,"AAAAAH/vP8M=")</f>
        <v>#VALUE!</v>
      </c>
      <c r="GO104">
        <f>IF('STERLING CATALOG - DRY '!2246:2246,"AAAAAH/vP8Q=",0)</f>
        <v>0</v>
      </c>
      <c r="GP104" t="e">
        <f>AND('STERLING CATALOG - DRY '!A2246,"AAAAAH/vP8U=")</f>
        <v>#VALUE!</v>
      </c>
      <c r="GQ104" t="e">
        <f>AND('STERLING CATALOG - DRY '!B2246,"AAAAAH/vP8Y=")</f>
        <v>#VALUE!</v>
      </c>
      <c r="GR104" t="e">
        <f>AND('STERLING CATALOG - DRY '!C2246,"AAAAAH/vP8c=")</f>
        <v>#VALUE!</v>
      </c>
      <c r="GS104" t="e">
        <f>AND('STERLING CATALOG - DRY '!D2246,"AAAAAH/vP8g=")</f>
        <v>#VALUE!</v>
      </c>
      <c r="GT104" t="e">
        <f>AND('STERLING CATALOG - DRY '!E2246,"AAAAAH/vP8k=")</f>
        <v>#VALUE!</v>
      </c>
      <c r="GU104" t="e">
        <f>AND('STERLING CATALOG - DRY '!F2246,"AAAAAH/vP8o=")</f>
        <v>#VALUE!</v>
      </c>
      <c r="GV104" t="e">
        <f>AND('STERLING CATALOG - DRY '!G2246,"AAAAAH/vP8s=")</f>
        <v>#VALUE!</v>
      </c>
      <c r="GW104" t="e">
        <f>AND('STERLING CATALOG - DRY '!H2246,"AAAAAH/vP8w=")</f>
        <v>#VALUE!</v>
      </c>
      <c r="GX104" t="e">
        <f>AND('STERLING CATALOG - DRY '!I2246,"AAAAAH/vP80=")</f>
        <v>#VALUE!</v>
      </c>
      <c r="GY104" t="e">
        <f>AND('STERLING CATALOG - DRY '!J2246,"AAAAAH/vP84=")</f>
        <v>#VALUE!</v>
      </c>
      <c r="GZ104">
        <f>IF('STERLING CATALOG - DRY '!2247:2247,"AAAAAH/vP88=",0)</f>
        <v>0</v>
      </c>
      <c r="HA104" t="e">
        <f>AND('STERLING CATALOG - DRY '!A2247,"AAAAAH/vP9A=")</f>
        <v>#VALUE!</v>
      </c>
      <c r="HB104" t="e">
        <f>AND('STERLING CATALOG - DRY '!B2247,"AAAAAH/vP9E=")</f>
        <v>#VALUE!</v>
      </c>
      <c r="HC104" t="e">
        <f>AND('STERLING CATALOG - DRY '!C2247,"AAAAAH/vP9I=")</f>
        <v>#VALUE!</v>
      </c>
      <c r="HD104" t="e">
        <f>AND('STERLING CATALOG - DRY '!D2247,"AAAAAH/vP9M=")</f>
        <v>#VALUE!</v>
      </c>
      <c r="HE104" t="e">
        <f>AND('STERLING CATALOG - DRY '!E2247,"AAAAAH/vP9Q=")</f>
        <v>#VALUE!</v>
      </c>
      <c r="HF104" t="e">
        <f>AND('STERLING CATALOG - DRY '!F2247,"AAAAAH/vP9U=")</f>
        <v>#VALUE!</v>
      </c>
      <c r="HG104" t="e">
        <f>AND('STERLING CATALOG - DRY '!G2247,"AAAAAH/vP9Y=")</f>
        <v>#VALUE!</v>
      </c>
      <c r="HH104" t="e">
        <f>AND('STERLING CATALOG - DRY '!H2247,"AAAAAH/vP9c=")</f>
        <v>#VALUE!</v>
      </c>
      <c r="HI104" t="e">
        <f>AND('STERLING CATALOG - DRY '!I2247,"AAAAAH/vP9g=")</f>
        <v>#VALUE!</v>
      </c>
      <c r="HJ104" t="e">
        <f>AND('STERLING CATALOG - DRY '!J2247,"AAAAAH/vP9k=")</f>
        <v>#VALUE!</v>
      </c>
      <c r="HK104">
        <f>IF('STERLING CATALOG - DRY '!2248:2248,"AAAAAH/vP9o=",0)</f>
        <v>0</v>
      </c>
      <c r="HL104" t="e">
        <f>AND('STERLING CATALOG - DRY '!A2248,"AAAAAH/vP9s=")</f>
        <v>#VALUE!</v>
      </c>
      <c r="HM104" t="e">
        <f>AND('STERLING CATALOG - DRY '!B2248,"AAAAAH/vP9w=")</f>
        <v>#VALUE!</v>
      </c>
      <c r="HN104" t="e">
        <f>AND('STERLING CATALOG - DRY '!C2248,"AAAAAH/vP90=")</f>
        <v>#VALUE!</v>
      </c>
      <c r="HO104" t="e">
        <f>AND('STERLING CATALOG - DRY '!D2248,"AAAAAH/vP94=")</f>
        <v>#VALUE!</v>
      </c>
      <c r="HP104" t="e">
        <f>AND('STERLING CATALOG - DRY '!E2248,"AAAAAH/vP98=")</f>
        <v>#VALUE!</v>
      </c>
      <c r="HQ104" t="e">
        <f>AND('STERLING CATALOG - DRY '!F2248,"AAAAAH/vP+A=")</f>
        <v>#VALUE!</v>
      </c>
      <c r="HR104" t="e">
        <f>AND('STERLING CATALOG - DRY '!G2248,"AAAAAH/vP+E=")</f>
        <v>#VALUE!</v>
      </c>
      <c r="HS104" t="e">
        <f>AND('STERLING CATALOG - DRY '!H2248,"AAAAAH/vP+I=")</f>
        <v>#VALUE!</v>
      </c>
      <c r="HT104" t="e">
        <f>AND('STERLING CATALOG - DRY '!I2248,"AAAAAH/vP+M=")</f>
        <v>#VALUE!</v>
      </c>
      <c r="HU104" t="e">
        <f>AND('STERLING CATALOG - DRY '!J2248,"AAAAAH/vP+Q=")</f>
        <v>#VALUE!</v>
      </c>
      <c r="HV104">
        <f>IF('STERLING CATALOG - DRY '!2249:2249,"AAAAAH/vP+U=",0)</f>
        <v>0</v>
      </c>
      <c r="HW104" t="e">
        <f>AND('STERLING CATALOG - DRY '!A2249,"AAAAAH/vP+Y=")</f>
        <v>#VALUE!</v>
      </c>
      <c r="HX104" t="e">
        <f>AND('STERLING CATALOG - DRY '!B2249,"AAAAAH/vP+c=")</f>
        <v>#VALUE!</v>
      </c>
      <c r="HY104" t="e">
        <f>AND('STERLING CATALOG - DRY '!C2249,"AAAAAH/vP+g=")</f>
        <v>#VALUE!</v>
      </c>
      <c r="HZ104" t="e">
        <f>AND('STERLING CATALOG - DRY '!D2249,"AAAAAH/vP+k=")</f>
        <v>#VALUE!</v>
      </c>
      <c r="IA104" t="e">
        <f>AND('STERLING CATALOG - DRY '!E2249,"AAAAAH/vP+o=")</f>
        <v>#VALUE!</v>
      </c>
      <c r="IB104" t="e">
        <f>AND('STERLING CATALOG - DRY '!F2249,"AAAAAH/vP+s=")</f>
        <v>#VALUE!</v>
      </c>
      <c r="IC104" t="e">
        <f>AND('STERLING CATALOG - DRY '!G2249,"AAAAAH/vP+w=")</f>
        <v>#VALUE!</v>
      </c>
      <c r="ID104" t="e">
        <f>AND('STERLING CATALOG - DRY '!H2249,"AAAAAH/vP+0=")</f>
        <v>#VALUE!</v>
      </c>
      <c r="IE104" t="e">
        <f>AND('STERLING CATALOG - DRY '!I2249,"AAAAAH/vP+4=")</f>
        <v>#VALUE!</v>
      </c>
      <c r="IF104" t="e">
        <f>AND('STERLING CATALOG - DRY '!J2249,"AAAAAH/vP+8=")</f>
        <v>#VALUE!</v>
      </c>
      <c r="IG104">
        <f>IF('STERLING CATALOG - DRY '!2250:2250,"AAAAAH/vP/A=",0)</f>
        <v>0</v>
      </c>
      <c r="IH104" t="e">
        <f>AND('STERLING CATALOG - DRY '!A2250,"AAAAAH/vP/E=")</f>
        <v>#VALUE!</v>
      </c>
      <c r="II104" t="e">
        <f>AND('STERLING CATALOG - DRY '!B2250,"AAAAAH/vP/I=")</f>
        <v>#VALUE!</v>
      </c>
      <c r="IJ104" t="e">
        <f>AND('STERLING CATALOG - DRY '!C2250,"AAAAAH/vP/M=")</f>
        <v>#VALUE!</v>
      </c>
      <c r="IK104" t="e">
        <f>AND('STERLING CATALOG - DRY '!D2250,"AAAAAH/vP/Q=")</f>
        <v>#VALUE!</v>
      </c>
      <c r="IL104" t="e">
        <f>AND('STERLING CATALOG - DRY '!E2250,"AAAAAH/vP/U=")</f>
        <v>#VALUE!</v>
      </c>
      <c r="IM104" t="e">
        <f>AND('STERLING CATALOG - DRY '!F2250,"AAAAAH/vP/Y=")</f>
        <v>#VALUE!</v>
      </c>
      <c r="IN104" t="e">
        <f>AND('STERLING CATALOG - DRY '!G2250,"AAAAAH/vP/c=")</f>
        <v>#VALUE!</v>
      </c>
      <c r="IO104" t="e">
        <f>AND('STERLING CATALOG - DRY '!H2250,"AAAAAH/vP/g=")</f>
        <v>#VALUE!</v>
      </c>
      <c r="IP104" t="e">
        <f>AND('STERLING CATALOG - DRY '!I2250,"AAAAAH/vP/k=")</f>
        <v>#VALUE!</v>
      </c>
      <c r="IQ104" t="e">
        <f>AND('STERLING CATALOG - DRY '!J2250,"AAAAAH/vP/o=")</f>
        <v>#VALUE!</v>
      </c>
      <c r="IR104">
        <f>IF('STERLING CATALOG - DRY '!2251:2251,"AAAAAH/vP/s=",0)</f>
        <v>0</v>
      </c>
      <c r="IS104" t="e">
        <f>AND('STERLING CATALOG - DRY '!A2251,"AAAAAH/vP/w=")</f>
        <v>#VALUE!</v>
      </c>
      <c r="IT104" t="e">
        <f>AND('STERLING CATALOG - DRY '!B2251,"AAAAAH/vP/0=")</f>
        <v>#VALUE!</v>
      </c>
      <c r="IU104" t="e">
        <f>AND('STERLING CATALOG - DRY '!C2251,"AAAAAH/vP/4=")</f>
        <v>#VALUE!</v>
      </c>
      <c r="IV104" t="e">
        <f>AND('STERLING CATALOG - DRY '!D2251,"AAAAAH/vP/8=")</f>
        <v>#VALUE!</v>
      </c>
    </row>
    <row r="105" spans="1:256">
      <c r="A105" t="e">
        <f>AND('STERLING CATALOG - DRY '!E2251,"AAAAAF/0uQA=")</f>
        <v>#VALUE!</v>
      </c>
      <c r="B105" t="e">
        <f>AND('STERLING CATALOG - DRY '!F2251,"AAAAAF/0uQE=")</f>
        <v>#VALUE!</v>
      </c>
      <c r="C105" t="e">
        <f>AND('STERLING CATALOG - DRY '!G2251,"AAAAAF/0uQI=")</f>
        <v>#VALUE!</v>
      </c>
      <c r="D105" t="e">
        <f>AND('STERLING CATALOG - DRY '!H2251,"AAAAAF/0uQM=")</f>
        <v>#VALUE!</v>
      </c>
      <c r="E105" t="e">
        <f>AND('STERLING CATALOG - DRY '!I2251,"AAAAAF/0uQQ=")</f>
        <v>#VALUE!</v>
      </c>
      <c r="F105" t="e">
        <f>AND('STERLING CATALOG - DRY '!J2251,"AAAAAF/0uQU=")</f>
        <v>#VALUE!</v>
      </c>
      <c r="G105" t="str">
        <f>IF('STERLING CATALOG - DRY '!2252:2252,"AAAAAF/0uQY=",0)</f>
        <v>AAAAAF/0uQY=</v>
      </c>
      <c r="H105" t="e">
        <f>AND('STERLING CATALOG - DRY '!A2252,"AAAAAF/0uQc=")</f>
        <v>#VALUE!</v>
      </c>
      <c r="I105" t="e">
        <f>AND('STERLING CATALOG - DRY '!B2252,"AAAAAF/0uQg=")</f>
        <v>#VALUE!</v>
      </c>
      <c r="J105" t="e">
        <f>AND('STERLING CATALOG - DRY '!C2252,"AAAAAF/0uQk=")</f>
        <v>#VALUE!</v>
      </c>
      <c r="K105" t="e">
        <f>AND('STERLING CATALOG - DRY '!D2252,"AAAAAF/0uQo=")</f>
        <v>#VALUE!</v>
      </c>
      <c r="L105" t="e">
        <f>AND('STERLING CATALOG - DRY '!E2252,"AAAAAF/0uQs=")</f>
        <v>#VALUE!</v>
      </c>
      <c r="M105" t="e">
        <f>AND('STERLING CATALOG - DRY '!F2252,"AAAAAF/0uQw=")</f>
        <v>#VALUE!</v>
      </c>
      <c r="N105" t="e">
        <f>AND('STERLING CATALOG - DRY '!G2252,"AAAAAF/0uQ0=")</f>
        <v>#VALUE!</v>
      </c>
      <c r="O105" t="e">
        <f>AND('STERLING CATALOG - DRY '!H2252,"AAAAAF/0uQ4=")</f>
        <v>#VALUE!</v>
      </c>
      <c r="P105" t="e">
        <f>AND('STERLING CATALOG - DRY '!I2252,"AAAAAF/0uQ8=")</f>
        <v>#VALUE!</v>
      </c>
      <c r="Q105" t="e">
        <f>AND('STERLING CATALOG - DRY '!J2252,"AAAAAF/0uRA=")</f>
        <v>#VALUE!</v>
      </c>
      <c r="R105">
        <f>IF('STERLING CATALOG - DRY '!2253:2253,"AAAAAF/0uRE=",0)</f>
        <v>0</v>
      </c>
      <c r="S105" t="e">
        <f>AND('STERLING CATALOG - DRY '!A2253,"AAAAAF/0uRI=")</f>
        <v>#VALUE!</v>
      </c>
      <c r="T105" t="e">
        <f>AND('STERLING CATALOG - DRY '!B2253,"AAAAAF/0uRM=")</f>
        <v>#VALUE!</v>
      </c>
      <c r="U105" t="e">
        <f>AND('STERLING CATALOG - DRY '!C2253,"AAAAAF/0uRQ=")</f>
        <v>#VALUE!</v>
      </c>
      <c r="V105" t="e">
        <f>AND('STERLING CATALOG - DRY '!D2253,"AAAAAF/0uRU=")</f>
        <v>#VALUE!</v>
      </c>
      <c r="W105" t="e">
        <f>AND('STERLING CATALOG - DRY '!E2253,"AAAAAF/0uRY=")</f>
        <v>#VALUE!</v>
      </c>
      <c r="X105" t="e">
        <f>AND('STERLING CATALOG - DRY '!F2253,"AAAAAF/0uRc=")</f>
        <v>#VALUE!</v>
      </c>
      <c r="Y105" t="e">
        <f>AND('STERLING CATALOG - DRY '!G2253,"AAAAAF/0uRg=")</f>
        <v>#VALUE!</v>
      </c>
      <c r="Z105" t="e">
        <f>AND('STERLING CATALOG - DRY '!H2253,"AAAAAF/0uRk=")</f>
        <v>#VALUE!</v>
      </c>
      <c r="AA105" t="e">
        <f>AND('STERLING CATALOG - DRY '!I2253,"AAAAAF/0uRo=")</f>
        <v>#VALUE!</v>
      </c>
      <c r="AB105" t="e">
        <f>AND('STERLING CATALOG - DRY '!J2253,"AAAAAF/0uRs=")</f>
        <v>#VALUE!</v>
      </c>
      <c r="AC105">
        <f>IF('STERLING CATALOG - DRY '!2254:2254,"AAAAAF/0uRw=",0)</f>
        <v>0</v>
      </c>
      <c r="AD105" t="e">
        <f>AND('STERLING CATALOG - DRY '!A2254,"AAAAAF/0uR0=")</f>
        <v>#VALUE!</v>
      </c>
      <c r="AE105" t="e">
        <f>AND('STERLING CATALOG - DRY '!B2254,"AAAAAF/0uR4=")</f>
        <v>#VALUE!</v>
      </c>
      <c r="AF105" t="e">
        <f>AND('STERLING CATALOG - DRY '!C2254,"AAAAAF/0uR8=")</f>
        <v>#VALUE!</v>
      </c>
      <c r="AG105" t="e">
        <f>AND('STERLING CATALOG - DRY '!D2254,"AAAAAF/0uSA=")</f>
        <v>#VALUE!</v>
      </c>
      <c r="AH105" t="e">
        <f>AND('STERLING CATALOG - DRY '!E2254,"AAAAAF/0uSE=")</f>
        <v>#VALUE!</v>
      </c>
      <c r="AI105" t="e">
        <f>AND('STERLING CATALOG - DRY '!F2254,"AAAAAF/0uSI=")</f>
        <v>#VALUE!</v>
      </c>
      <c r="AJ105" t="e">
        <f>AND('STERLING CATALOG - DRY '!G2254,"AAAAAF/0uSM=")</f>
        <v>#VALUE!</v>
      </c>
      <c r="AK105" t="e">
        <f>AND('STERLING CATALOG - DRY '!H2254,"AAAAAF/0uSQ=")</f>
        <v>#VALUE!</v>
      </c>
      <c r="AL105" t="e">
        <f>AND('STERLING CATALOG - DRY '!I2254,"AAAAAF/0uSU=")</f>
        <v>#VALUE!</v>
      </c>
      <c r="AM105" t="e">
        <f>AND('STERLING CATALOG - DRY '!J2254,"AAAAAF/0uSY=")</f>
        <v>#VALUE!</v>
      </c>
      <c r="AN105">
        <f>IF('STERLING CATALOG - DRY '!2255:2255,"AAAAAF/0uSc=",0)</f>
        <v>0</v>
      </c>
      <c r="AO105" t="e">
        <f>AND('STERLING CATALOG - DRY '!A2255,"AAAAAF/0uSg=")</f>
        <v>#VALUE!</v>
      </c>
      <c r="AP105" t="e">
        <f>AND('STERLING CATALOG - DRY '!B2255,"AAAAAF/0uSk=")</f>
        <v>#VALUE!</v>
      </c>
      <c r="AQ105" t="e">
        <f>AND('STERLING CATALOG - DRY '!C2255,"AAAAAF/0uSo=")</f>
        <v>#VALUE!</v>
      </c>
      <c r="AR105" t="e">
        <f>AND('STERLING CATALOG - DRY '!D2255,"AAAAAF/0uSs=")</f>
        <v>#VALUE!</v>
      </c>
      <c r="AS105" t="e">
        <f>AND('STERLING CATALOG - DRY '!E2255,"AAAAAF/0uSw=")</f>
        <v>#VALUE!</v>
      </c>
      <c r="AT105" t="e">
        <f>AND('STERLING CATALOG - DRY '!F2255,"AAAAAF/0uS0=")</f>
        <v>#VALUE!</v>
      </c>
      <c r="AU105" t="e">
        <f>AND('STERLING CATALOG - DRY '!G2255,"AAAAAF/0uS4=")</f>
        <v>#VALUE!</v>
      </c>
      <c r="AV105" t="e">
        <f>AND('STERLING CATALOG - DRY '!H2255,"AAAAAF/0uS8=")</f>
        <v>#VALUE!</v>
      </c>
      <c r="AW105" t="e">
        <f>AND('STERLING CATALOG - DRY '!I2255,"AAAAAF/0uTA=")</f>
        <v>#VALUE!</v>
      </c>
      <c r="AX105" t="e">
        <f>AND('STERLING CATALOG - DRY '!J2255,"AAAAAF/0uTE=")</f>
        <v>#VALUE!</v>
      </c>
      <c r="AY105">
        <f>IF('STERLING CATALOG - DRY '!2256:2256,"AAAAAF/0uTI=",0)</f>
        <v>0</v>
      </c>
      <c r="AZ105" t="e">
        <f>AND('STERLING CATALOG - DRY '!A2256,"AAAAAF/0uTM=")</f>
        <v>#VALUE!</v>
      </c>
      <c r="BA105" t="e">
        <f>AND('STERLING CATALOG - DRY '!B2256,"AAAAAF/0uTQ=")</f>
        <v>#VALUE!</v>
      </c>
      <c r="BB105" t="e">
        <f>AND('STERLING CATALOG - DRY '!C2256,"AAAAAF/0uTU=")</f>
        <v>#VALUE!</v>
      </c>
      <c r="BC105" t="e">
        <f>AND('STERLING CATALOG - DRY '!D2256,"AAAAAF/0uTY=")</f>
        <v>#VALUE!</v>
      </c>
      <c r="BD105" t="e">
        <f>AND('STERLING CATALOG - DRY '!E2256,"AAAAAF/0uTc=")</f>
        <v>#VALUE!</v>
      </c>
      <c r="BE105" t="e">
        <f>AND('STERLING CATALOG - DRY '!F2256,"AAAAAF/0uTg=")</f>
        <v>#VALUE!</v>
      </c>
      <c r="BF105" t="e">
        <f>AND('STERLING CATALOG - DRY '!G2256,"AAAAAF/0uTk=")</f>
        <v>#VALUE!</v>
      </c>
      <c r="BG105" t="e">
        <f>AND('STERLING CATALOG - DRY '!H2256,"AAAAAF/0uTo=")</f>
        <v>#VALUE!</v>
      </c>
      <c r="BH105" t="e">
        <f>AND('STERLING CATALOG - DRY '!I2256,"AAAAAF/0uTs=")</f>
        <v>#VALUE!</v>
      </c>
      <c r="BI105" t="e">
        <f>AND('STERLING CATALOG - DRY '!J2256,"AAAAAF/0uTw=")</f>
        <v>#VALUE!</v>
      </c>
      <c r="BJ105">
        <f>IF('STERLING CATALOG - DRY '!2257:2257,"AAAAAF/0uT0=",0)</f>
        <v>0</v>
      </c>
      <c r="BK105" t="e">
        <f>AND('STERLING CATALOG - DRY '!A2257,"AAAAAF/0uT4=")</f>
        <v>#VALUE!</v>
      </c>
      <c r="BL105" t="e">
        <f>AND('STERLING CATALOG - DRY '!B2257,"AAAAAF/0uT8=")</f>
        <v>#VALUE!</v>
      </c>
      <c r="BM105" t="e">
        <f>AND('STERLING CATALOG - DRY '!C2257,"AAAAAF/0uUA=")</f>
        <v>#VALUE!</v>
      </c>
      <c r="BN105" t="e">
        <f>AND('STERLING CATALOG - DRY '!D2257,"AAAAAF/0uUE=")</f>
        <v>#VALUE!</v>
      </c>
      <c r="BO105" t="e">
        <f>AND('STERLING CATALOG - DRY '!E2257,"AAAAAF/0uUI=")</f>
        <v>#VALUE!</v>
      </c>
      <c r="BP105" t="e">
        <f>AND('STERLING CATALOG - DRY '!F2257,"AAAAAF/0uUM=")</f>
        <v>#VALUE!</v>
      </c>
      <c r="BQ105" t="e">
        <f>AND('STERLING CATALOG - DRY '!G2257,"AAAAAF/0uUQ=")</f>
        <v>#VALUE!</v>
      </c>
      <c r="BR105" t="e">
        <f>AND('STERLING CATALOG - DRY '!H2257,"AAAAAF/0uUU=")</f>
        <v>#VALUE!</v>
      </c>
      <c r="BS105" t="e">
        <f>AND('STERLING CATALOG - DRY '!I2257,"AAAAAF/0uUY=")</f>
        <v>#VALUE!</v>
      </c>
      <c r="BT105" t="e">
        <f>AND('STERLING CATALOG - DRY '!J2257,"AAAAAF/0uUc=")</f>
        <v>#VALUE!</v>
      </c>
      <c r="BU105">
        <f>IF('STERLING CATALOG - DRY '!2258:2258,"AAAAAF/0uUg=",0)</f>
        <v>0</v>
      </c>
      <c r="BV105" t="e">
        <f>AND('STERLING CATALOG - DRY '!A2258,"AAAAAF/0uUk=")</f>
        <v>#VALUE!</v>
      </c>
      <c r="BW105" t="e">
        <f>AND('STERLING CATALOG - DRY '!B2258,"AAAAAF/0uUo=")</f>
        <v>#VALUE!</v>
      </c>
      <c r="BX105" t="e">
        <f>AND('STERLING CATALOG - DRY '!C2258,"AAAAAF/0uUs=")</f>
        <v>#VALUE!</v>
      </c>
      <c r="BY105" t="e">
        <f>AND('STERLING CATALOG - DRY '!D2258,"AAAAAF/0uUw=")</f>
        <v>#VALUE!</v>
      </c>
      <c r="BZ105" t="e">
        <f>AND('STERLING CATALOG - DRY '!E2258,"AAAAAF/0uU0=")</f>
        <v>#VALUE!</v>
      </c>
      <c r="CA105" t="e">
        <f>AND('STERLING CATALOG - DRY '!F2258,"AAAAAF/0uU4=")</f>
        <v>#VALUE!</v>
      </c>
      <c r="CB105" t="e">
        <f>AND('STERLING CATALOG - DRY '!G2258,"AAAAAF/0uU8=")</f>
        <v>#VALUE!</v>
      </c>
      <c r="CC105" t="e">
        <f>AND('STERLING CATALOG - DRY '!H2258,"AAAAAF/0uVA=")</f>
        <v>#VALUE!</v>
      </c>
      <c r="CD105" t="e">
        <f>AND('STERLING CATALOG - DRY '!I2258,"AAAAAF/0uVE=")</f>
        <v>#VALUE!</v>
      </c>
      <c r="CE105" t="e">
        <f>AND('STERLING CATALOG - DRY '!J2258,"AAAAAF/0uVI=")</f>
        <v>#VALUE!</v>
      </c>
      <c r="CF105">
        <f>IF('STERLING CATALOG - DRY '!2259:2259,"AAAAAF/0uVM=",0)</f>
        <v>0</v>
      </c>
      <c r="CG105" t="e">
        <f>AND('STERLING CATALOG - DRY '!A2259,"AAAAAF/0uVQ=")</f>
        <v>#VALUE!</v>
      </c>
      <c r="CH105" t="e">
        <f>AND('STERLING CATALOG - DRY '!B2259,"AAAAAF/0uVU=")</f>
        <v>#VALUE!</v>
      </c>
      <c r="CI105" t="e">
        <f>AND('STERLING CATALOG - DRY '!C2259,"AAAAAF/0uVY=")</f>
        <v>#VALUE!</v>
      </c>
      <c r="CJ105" t="e">
        <f>AND('STERLING CATALOG - DRY '!D2259,"AAAAAF/0uVc=")</f>
        <v>#VALUE!</v>
      </c>
      <c r="CK105" t="e">
        <f>AND('STERLING CATALOG - DRY '!E2259,"AAAAAF/0uVg=")</f>
        <v>#VALUE!</v>
      </c>
      <c r="CL105" t="e">
        <f>AND('STERLING CATALOG - DRY '!F2259,"AAAAAF/0uVk=")</f>
        <v>#VALUE!</v>
      </c>
      <c r="CM105" t="e">
        <f>AND('STERLING CATALOG - DRY '!G2259,"AAAAAF/0uVo=")</f>
        <v>#VALUE!</v>
      </c>
      <c r="CN105" t="e">
        <f>AND('STERLING CATALOG - DRY '!H2259,"AAAAAF/0uVs=")</f>
        <v>#VALUE!</v>
      </c>
      <c r="CO105" t="e">
        <f>AND('STERLING CATALOG - DRY '!I2259,"AAAAAF/0uVw=")</f>
        <v>#VALUE!</v>
      </c>
      <c r="CP105" t="e">
        <f>AND('STERLING CATALOG - DRY '!J2259,"AAAAAF/0uV0=")</f>
        <v>#VALUE!</v>
      </c>
      <c r="CQ105">
        <f>IF('STERLING CATALOG - DRY '!2260:2260,"AAAAAF/0uV4=",0)</f>
        <v>0</v>
      </c>
      <c r="CR105" t="e">
        <f>AND('STERLING CATALOG - DRY '!A2260,"AAAAAF/0uV8=")</f>
        <v>#VALUE!</v>
      </c>
      <c r="CS105" t="e">
        <f>AND('STERLING CATALOG - DRY '!B2260,"AAAAAF/0uWA=")</f>
        <v>#VALUE!</v>
      </c>
      <c r="CT105" t="e">
        <f>AND('STERLING CATALOG - DRY '!C2260,"AAAAAF/0uWE=")</f>
        <v>#VALUE!</v>
      </c>
      <c r="CU105" t="e">
        <f>AND('STERLING CATALOG - DRY '!D2260,"AAAAAF/0uWI=")</f>
        <v>#VALUE!</v>
      </c>
      <c r="CV105" t="e">
        <f>AND('STERLING CATALOG - DRY '!E2260,"AAAAAF/0uWM=")</f>
        <v>#VALUE!</v>
      </c>
      <c r="CW105" t="e">
        <f>AND('STERLING CATALOG - DRY '!F2260,"AAAAAF/0uWQ=")</f>
        <v>#VALUE!</v>
      </c>
      <c r="CX105" t="e">
        <f>AND('STERLING CATALOG - DRY '!G2260,"AAAAAF/0uWU=")</f>
        <v>#VALUE!</v>
      </c>
      <c r="CY105" t="e">
        <f>AND('STERLING CATALOG - DRY '!H2260,"AAAAAF/0uWY=")</f>
        <v>#VALUE!</v>
      </c>
      <c r="CZ105" t="e">
        <f>AND('STERLING CATALOG - DRY '!I2260,"AAAAAF/0uWc=")</f>
        <v>#VALUE!</v>
      </c>
      <c r="DA105" t="e">
        <f>AND('STERLING CATALOG - DRY '!J2260,"AAAAAF/0uWg=")</f>
        <v>#VALUE!</v>
      </c>
      <c r="DB105">
        <f>IF('STERLING CATALOG - DRY '!2261:2261,"AAAAAF/0uWk=",0)</f>
        <v>0</v>
      </c>
      <c r="DC105" t="e">
        <f>AND('STERLING CATALOG - DRY '!A2261,"AAAAAF/0uWo=")</f>
        <v>#VALUE!</v>
      </c>
      <c r="DD105" t="e">
        <f>AND('STERLING CATALOG - DRY '!B2261,"AAAAAF/0uWs=")</f>
        <v>#VALUE!</v>
      </c>
      <c r="DE105" t="e">
        <f>AND('STERLING CATALOG - DRY '!C2261,"AAAAAF/0uWw=")</f>
        <v>#VALUE!</v>
      </c>
      <c r="DF105" t="e">
        <f>AND('STERLING CATALOG - DRY '!D2261,"AAAAAF/0uW0=")</f>
        <v>#VALUE!</v>
      </c>
      <c r="DG105" t="e">
        <f>AND('STERLING CATALOG - DRY '!E2261,"AAAAAF/0uW4=")</f>
        <v>#VALUE!</v>
      </c>
      <c r="DH105" t="e">
        <f>AND('STERLING CATALOG - DRY '!F2261,"AAAAAF/0uW8=")</f>
        <v>#VALUE!</v>
      </c>
      <c r="DI105" t="e">
        <f>AND('STERLING CATALOG - DRY '!G2261,"AAAAAF/0uXA=")</f>
        <v>#VALUE!</v>
      </c>
      <c r="DJ105" t="e">
        <f>AND('STERLING CATALOG - DRY '!H2261,"AAAAAF/0uXE=")</f>
        <v>#VALUE!</v>
      </c>
      <c r="DK105" t="e">
        <f>AND('STERLING CATALOG - DRY '!I2261,"AAAAAF/0uXI=")</f>
        <v>#VALUE!</v>
      </c>
      <c r="DL105" t="e">
        <f>AND('STERLING CATALOG - DRY '!J2261,"AAAAAF/0uXM=")</f>
        <v>#VALUE!</v>
      </c>
      <c r="DM105">
        <f>IF('STERLING CATALOG - DRY '!2262:2262,"AAAAAF/0uXQ=",0)</f>
        <v>0</v>
      </c>
      <c r="DN105" t="e">
        <f>AND('STERLING CATALOG - DRY '!A2262,"AAAAAF/0uXU=")</f>
        <v>#VALUE!</v>
      </c>
      <c r="DO105" t="e">
        <f>AND('STERLING CATALOG - DRY '!B2262,"AAAAAF/0uXY=")</f>
        <v>#VALUE!</v>
      </c>
      <c r="DP105" t="e">
        <f>AND('STERLING CATALOG - DRY '!C2262,"AAAAAF/0uXc=")</f>
        <v>#VALUE!</v>
      </c>
      <c r="DQ105" t="e">
        <f>AND('STERLING CATALOG - DRY '!D2262,"AAAAAF/0uXg=")</f>
        <v>#VALUE!</v>
      </c>
      <c r="DR105" t="e">
        <f>AND('STERLING CATALOG - DRY '!E2262,"AAAAAF/0uXk=")</f>
        <v>#VALUE!</v>
      </c>
      <c r="DS105" t="e">
        <f>AND('STERLING CATALOG - DRY '!F2262,"AAAAAF/0uXo=")</f>
        <v>#VALUE!</v>
      </c>
      <c r="DT105" t="e">
        <f>AND('STERLING CATALOG - DRY '!G2262,"AAAAAF/0uXs=")</f>
        <v>#VALUE!</v>
      </c>
      <c r="DU105" t="e">
        <f>AND('STERLING CATALOG - DRY '!H2262,"AAAAAF/0uXw=")</f>
        <v>#VALUE!</v>
      </c>
      <c r="DV105" t="e">
        <f>AND('STERLING CATALOG - DRY '!I2262,"AAAAAF/0uX0=")</f>
        <v>#VALUE!</v>
      </c>
      <c r="DW105" t="e">
        <f>AND('STERLING CATALOG - DRY '!J2262,"AAAAAF/0uX4=")</f>
        <v>#VALUE!</v>
      </c>
      <c r="DX105">
        <f>IF('STERLING CATALOG - DRY '!2263:2263,"AAAAAF/0uX8=",0)</f>
        <v>0</v>
      </c>
      <c r="DY105" t="e">
        <f>AND('STERLING CATALOG - DRY '!A2263,"AAAAAF/0uYA=")</f>
        <v>#VALUE!</v>
      </c>
      <c r="DZ105" t="e">
        <f>AND('STERLING CATALOG - DRY '!B2263,"AAAAAF/0uYE=")</f>
        <v>#VALUE!</v>
      </c>
      <c r="EA105" t="e">
        <f>AND('STERLING CATALOG - DRY '!C2263,"AAAAAF/0uYI=")</f>
        <v>#VALUE!</v>
      </c>
      <c r="EB105" t="e">
        <f>AND('STERLING CATALOG - DRY '!D2263,"AAAAAF/0uYM=")</f>
        <v>#VALUE!</v>
      </c>
      <c r="EC105" t="e">
        <f>AND('STERLING CATALOG - DRY '!E2263,"AAAAAF/0uYQ=")</f>
        <v>#VALUE!</v>
      </c>
      <c r="ED105" t="e">
        <f>AND('STERLING CATALOG - DRY '!F2263,"AAAAAF/0uYU=")</f>
        <v>#VALUE!</v>
      </c>
      <c r="EE105" t="e">
        <f>AND('STERLING CATALOG - DRY '!G2263,"AAAAAF/0uYY=")</f>
        <v>#VALUE!</v>
      </c>
      <c r="EF105" t="e">
        <f>AND('STERLING CATALOG - DRY '!H2263,"AAAAAF/0uYc=")</f>
        <v>#VALUE!</v>
      </c>
      <c r="EG105" t="e">
        <f>AND('STERLING CATALOG - DRY '!I2263,"AAAAAF/0uYg=")</f>
        <v>#VALUE!</v>
      </c>
      <c r="EH105" t="e">
        <f>AND('STERLING CATALOG - DRY '!J2263,"AAAAAF/0uYk=")</f>
        <v>#VALUE!</v>
      </c>
      <c r="EI105">
        <f>IF('STERLING CATALOG - DRY '!2264:2264,"AAAAAF/0uYo=",0)</f>
        <v>0</v>
      </c>
      <c r="EJ105" t="e">
        <f>AND('STERLING CATALOG - DRY '!A2264,"AAAAAF/0uYs=")</f>
        <v>#VALUE!</v>
      </c>
      <c r="EK105" t="e">
        <f>AND('STERLING CATALOG - DRY '!B2264,"AAAAAF/0uYw=")</f>
        <v>#VALUE!</v>
      </c>
      <c r="EL105" t="e">
        <f>AND('STERLING CATALOG - DRY '!C2264,"AAAAAF/0uY0=")</f>
        <v>#VALUE!</v>
      </c>
      <c r="EM105" t="e">
        <f>AND('STERLING CATALOG - DRY '!D2264,"AAAAAF/0uY4=")</f>
        <v>#VALUE!</v>
      </c>
      <c r="EN105" t="e">
        <f>AND('STERLING CATALOG - DRY '!E2264,"AAAAAF/0uY8=")</f>
        <v>#VALUE!</v>
      </c>
      <c r="EO105" t="e">
        <f>AND('STERLING CATALOG - DRY '!F2264,"AAAAAF/0uZA=")</f>
        <v>#VALUE!</v>
      </c>
      <c r="EP105" t="e">
        <f>AND('STERLING CATALOG - DRY '!G2264,"AAAAAF/0uZE=")</f>
        <v>#VALUE!</v>
      </c>
      <c r="EQ105" t="e">
        <f>AND('STERLING CATALOG - DRY '!H2264,"AAAAAF/0uZI=")</f>
        <v>#VALUE!</v>
      </c>
      <c r="ER105" t="e">
        <f>AND('STERLING CATALOG - DRY '!I2264,"AAAAAF/0uZM=")</f>
        <v>#VALUE!</v>
      </c>
      <c r="ES105" t="e">
        <f>AND('STERLING CATALOG - DRY '!J2264,"AAAAAF/0uZQ=")</f>
        <v>#VALUE!</v>
      </c>
      <c r="ET105">
        <f>IF('STERLING CATALOG - DRY '!2265:2265,"AAAAAF/0uZU=",0)</f>
        <v>0</v>
      </c>
      <c r="EU105" t="e">
        <f>AND('STERLING CATALOG - DRY '!A2265,"AAAAAF/0uZY=")</f>
        <v>#VALUE!</v>
      </c>
      <c r="EV105" t="e">
        <f>AND('STERLING CATALOG - DRY '!B2265,"AAAAAF/0uZc=")</f>
        <v>#VALUE!</v>
      </c>
      <c r="EW105" t="e">
        <f>AND('STERLING CATALOG - DRY '!C2265,"AAAAAF/0uZg=")</f>
        <v>#VALUE!</v>
      </c>
      <c r="EX105" t="e">
        <f>AND('STERLING CATALOG - DRY '!D2265,"AAAAAF/0uZk=")</f>
        <v>#VALUE!</v>
      </c>
      <c r="EY105" t="e">
        <f>AND('STERLING CATALOG - DRY '!E2265,"AAAAAF/0uZo=")</f>
        <v>#VALUE!</v>
      </c>
      <c r="EZ105" t="e">
        <f>AND('STERLING CATALOG - DRY '!F2265,"AAAAAF/0uZs=")</f>
        <v>#VALUE!</v>
      </c>
      <c r="FA105" t="e">
        <f>AND('STERLING CATALOG - DRY '!G2265,"AAAAAF/0uZw=")</f>
        <v>#VALUE!</v>
      </c>
      <c r="FB105" t="e">
        <f>AND('STERLING CATALOG - DRY '!H2265,"AAAAAF/0uZ0=")</f>
        <v>#VALUE!</v>
      </c>
      <c r="FC105" t="e">
        <f>AND('STERLING CATALOG - DRY '!I2265,"AAAAAF/0uZ4=")</f>
        <v>#VALUE!</v>
      </c>
      <c r="FD105" t="e">
        <f>AND('STERLING CATALOG - DRY '!J2265,"AAAAAF/0uZ8=")</f>
        <v>#VALUE!</v>
      </c>
      <c r="FE105">
        <f>IF('STERLING CATALOG - DRY '!2266:2266,"AAAAAF/0uaA=",0)</f>
        <v>0</v>
      </c>
      <c r="FF105" t="e">
        <f>AND('STERLING CATALOG - DRY '!A2266,"AAAAAF/0uaE=")</f>
        <v>#VALUE!</v>
      </c>
      <c r="FG105" t="e">
        <f>AND('STERLING CATALOG - DRY '!B2266,"AAAAAF/0uaI=")</f>
        <v>#VALUE!</v>
      </c>
      <c r="FH105" t="e">
        <f>AND('STERLING CATALOG - DRY '!C2266,"AAAAAF/0uaM=")</f>
        <v>#VALUE!</v>
      </c>
      <c r="FI105" t="e">
        <f>AND('STERLING CATALOG - DRY '!D2266,"AAAAAF/0uaQ=")</f>
        <v>#VALUE!</v>
      </c>
      <c r="FJ105" t="e">
        <f>AND('STERLING CATALOG - DRY '!E2266,"AAAAAF/0uaU=")</f>
        <v>#VALUE!</v>
      </c>
      <c r="FK105" t="e">
        <f>AND('STERLING CATALOG - DRY '!F2266,"AAAAAF/0uaY=")</f>
        <v>#VALUE!</v>
      </c>
      <c r="FL105" t="e">
        <f>AND('STERLING CATALOG - DRY '!G2266,"AAAAAF/0uac=")</f>
        <v>#VALUE!</v>
      </c>
      <c r="FM105" t="e">
        <f>AND('STERLING CATALOG - DRY '!H2266,"AAAAAF/0uag=")</f>
        <v>#VALUE!</v>
      </c>
      <c r="FN105" t="e">
        <f>AND('STERLING CATALOG - DRY '!I2266,"AAAAAF/0uak=")</f>
        <v>#VALUE!</v>
      </c>
      <c r="FO105" t="e">
        <f>AND('STERLING CATALOG - DRY '!J2266,"AAAAAF/0uao=")</f>
        <v>#VALUE!</v>
      </c>
      <c r="FP105">
        <f>IF('STERLING CATALOG - DRY '!2267:2267,"AAAAAF/0uas=",0)</f>
        <v>0</v>
      </c>
      <c r="FQ105" t="e">
        <f>AND('STERLING CATALOG - DRY '!A2267,"AAAAAF/0uaw=")</f>
        <v>#VALUE!</v>
      </c>
      <c r="FR105" t="e">
        <f>AND('STERLING CATALOG - DRY '!B2267,"AAAAAF/0ua0=")</f>
        <v>#VALUE!</v>
      </c>
      <c r="FS105" t="e">
        <f>AND('STERLING CATALOG - DRY '!C2267,"AAAAAF/0ua4=")</f>
        <v>#VALUE!</v>
      </c>
      <c r="FT105" t="e">
        <f>AND('STERLING CATALOG - DRY '!D2267,"AAAAAF/0ua8=")</f>
        <v>#VALUE!</v>
      </c>
      <c r="FU105" t="e">
        <f>AND('STERLING CATALOG - DRY '!E2267,"AAAAAF/0ubA=")</f>
        <v>#VALUE!</v>
      </c>
      <c r="FV105" t="e">
        <f>AND('STERLING CATALOG - DRY '!F2267,"AAAAAF/0ubE=")</f>
        <v>#VALUE!</v>
      </c>
      <c r="FW105" t="e">
        <f>AND('STERLING CATALOG - DRY '!G2267,"AAAAAF/0ubI=")</f>
        <v>#VALUE!</v>
      </c>
      <c r="FX105" t="e">
        <f>AND('STERLING CATALOG - DRY '!H2267,"AAAAAF/0ubM=")</f>
        <v>#VALUE!</v>
      </c>
      <c r="FY105" t="e">
        <f>AND('STERLING CATALOG - DRY '!I2267,"AAAAAF/0ubQ=")</f>
        <v>#VALUE!</v>
      </c>
      <c r="FZ105" t="e">
        <f>AND('STERLING CATALOG - DRY '!J2267,"AAAAAF/0ubU=")</f>
        <v>#VALUE!</v>
      </c>
      <c r="GA105">
        <f>IF('STERLING CATALOG - DRY '!2268:2268,"AAAAAF/0ubY=",0)</f>
        <v>0</v>
      </c>
      <c r="GB105" t="e">
        <f>AND('STERLING CATALOG - DRY '!A2268,"AAAAAF/0ubc=")</f>
        <v>#VALUE!</v>
      </c>
      <c r="GC105" t="e">
        <f>AND('STERLING CATALOG - DRY '!B2268,"AAAAAF/0ubg=")</f>
        <v>#VALUE!</v>
      </c>
      <c r="GD105" t="e">
        <f>AND('STERLING CATALOG - DRY '!C2268,"AAAAAF/0ubk=")</f>
        <v>#VALUE!</v>
      </c>
      <c r="GE105" t="e">
        <f>AND('STERLING CATALOG - DRY '!D2268,"AAAAAF/0ubo=")</f>
        <v>#VALUE!</v>
      </c>
      <c r="GF105" t="e">
        <f>AND('STERLING CATALOG - DRY '!E2268,"AAAAAF/0ubs=")</f>
        <v>#VALUE!</v>
      </c>
      <c r="GG105" t="e">
        <f>AND('STERLING CATALOG - DRY '!F2268,"AAAAAF/0ubw=")</f>
        <v>#VALUE!</v>
      </c>
      <c r="GH105" t="e">
        <f>AND('STERLING CATALOG - DRY '!G2268,"AAAAAF/0ub0=")</f>
        <v>#VALUE!</v>
      </c>
      <c r="GI105" t="e">
        <f>AND('STERLING CATALOG - DRY '!H2268,"AAAAAF/0ub4=")</f>
        <v>#VALUE!</v>
      </c>
      <c r="GJ105" t="e">
        <f>AND('STERLING CATALOG - DRY '!I2268,"AAAAAF/0ub8=")</f>
        <v>#VALUE!</v>
      </c>
      <c r="GK105" t="e">
        <f>AND('STERLING CATALOG - DRY '!J2268,"AAAAAF/0ucA=")</f>
        <v>#VALUE!</v>
      </c>
      <c r="GL105">
        <f>IF('STERLING CATALOG - DRY '!2269:2269,"AAAAAF/0ucE=",0)</f>
        <v>0</v>
      </c>
      <c r="GM105" t="e">
        <f>AND('STERLING CATALOG - DRY '!A2269,"AAAAAF/0ucI=")</f>
        <v>#VALUE!</v>
      </c>
      <c r="GN105" t="e">
        <f>AND('STERLING CATALOG - DRY '!B2269,"AAAAAF/0ucM=")</f>
        <v>#VALUE!</v>
      </c>
      <c r="GO105" t="e">
        <f>AND('STERLING CATALOG - DRY '!C2269,"AAAAAF/0ucQ=")</f>
        <v>#VALUE!</v>
      </c>
      <c r="GP105" t="e">
        <f>AND('STERLING CATALOG - DRY '!D2269,"AAAAAF/0ucU=")</f>
        <v>#VALUE!</v>
      </c>
      <c r="GQ105" t="e">
        <f>AND('STERLING CATALOG - DRY '!E2269,"AAAAAF/0ucY=")</f>
        <v>#VALUE!</v>
      </c>
      <c r="GR105" t="e">
        <f>AND('STERLING CATALOG - DRY '!F2269,"AAAAAF/0ucc=")</f>
        <v>#VALUE!</v>
      </c>
      <c r="GS105" t="e">
        <f>AND('STERLING CATALOG - DRY '!G2269,"AAAAAF/0ucg=")</f>
        <v>#VALUE!</v>
      </c>
      <c r="GT105" t="e">
        <f>AND('STERLING CATALOG - DRY '!H2269,"AAAAAF/0uck=")</f>
        <v>#VALUE!</v>
      </c>
      <c r="GU105" t="e">
        <f>AND('STERLING CATALOG - DRY '!I2269,"AAAAAF/0uco=")</f>
        <v>#VALUE!</v>
      </c>
      <c r="GV105" t="e">
        <f>AND('STERLING CATALOG - DRY '!J2269,"AAAAAF/0ucs=")</f>
        <v>#VALUE!</v>
      </c>
      <c r="GW105">
        <f>IF('STERLING CATALOG - DRY '!2270:2270,"AAAAAF/0ucw=",0)</f>
        <v>0</v>
      </c>
      <c r="GX105" t="e">
        <f>AND('STERLING CATALOG - DRY '!A2270,"AAAAAF/0uc0=")</f>
        <v>#VALUE!</v>
      </c>
      <c r="GY105" t="e">
        <f>AND('STERLING CATALOG - DRY '!B2270,"AAAAAF/0uc4=")</f>
        <v>#VALUE!</v>
      </c>
      <c r="GZ105" t="e">
        <f>AND('STERLING CATALOG - DRY '!C2270,"AAAAAF/0uc8=")</f>
        <v>#VALUE!</v>
      </c>
      <c r="HA105" t="e">
        <f>AND('STERLING CATALOG - DRY '!D2270,"AAAAAF/0udA=")</f>
        <v>#VALUE!</v>
      </c>
      <c r="HB105" t="e">
        <f>AND('STERLING CATALOG - DRY '!E2270,"AAAAAF/0udE=")</f>
        <v>#VALUE!</v>
      </c>
      <c r="HC105" t="e">
        <f>AND('STERLING CATALOG - DRY '!F2270,"AAAAAF/0udI=")</f>
        <v>#VALUE!</v>
      </c>
      <c r="HD105" t="e">
        <f>AND('STERLING CATALOG - DRY '!G2270,"AAAAAF/0udM=")</f>
        <v>#VALUE!</v>
      </c>
      <c r="HE105" t="e">
        <f>AND('STERLING CATALOG - DRY '!H2270,"AAAAAF/0udQ=")</f>
        <v>#VALUE!</v>
      </c>
      <c r="HF105" t="e">
        <f>AND('STERLING CATALOG - DRY '!I2270,"AAAAAF/0udU=")</f>
        <v>#VALUE!</v>
      </c>
      <c r="HG105" t="e">
        <f>AND('STERLING CATALOG - DRY '!J2270,"AAAAAF/0udY=")</f>
        <v>#VALUE!</v>
      </c>
      <c r="HH105">
        <f>IF('STERLING CATALOG - DRY '!2271:2271,"AAAAAF/0udc=",0)</f>
        <v>0</v>
      </c>
      <c r="HI105" t="e">
        <f>AND('STERLING CATALOG - DRY '!A2271,"AAAAAF/0udg=")</f>
        <v>#VALUE!</v>
      </c>
      <c r="HJ105" t="e">
        <f>AND('STERLING CATALOG - DRY '!B2271,"AAAAAF/0udk=")</f>
        <v>#VALUE!</v>
      </c>
      <c r="HK105" t="e">
        <f>AND('STERLING CATALOG - DRY '!C2271,"AAAAAF/0udo=")</f>
        <v>#VALUE!</v>
      </c>
      <c r="HL105" t="e">
        <f>AND('STERLING CATALOG - DRY '!D2271,"AAAAAF/0uds=")</f>
        <v>#VALUE!</v>
      </c>
      <c r="HM105" t="e">
        <f>AND('STERLING CATALOG - DRY '!E2271,"AAAAAF/0udw=")</f>
        <v>#VALUE!</v>
      </c>
      <c r="HN105" t="e">
        <f>AND('STERLING CATALOG - DRY '!F2271,"AAAAAF/0ud0=")</f>
        <v>#VALUE!</v>
      </c>
      <c r="HO105" t="e">
        <f>AND('STERLING CATALOG - DRY '!G2271,"AAAAAF/0ud4=")</f>
        <v>#VALUE!</v>
      </c>
      <c r="HP105" t="e">
        <f>AND('STERLING CATALOG - DRY '!H2271,"AAAAAF/0ud8=")</f>
        <v>#VALUE!</v>
      </c>
      <c r="HQ105" t="e">
        <f>AND('STERLING CATALOG - DRY '!I2271,"AAAAAF/0ueA=")</f>
        <v>#VALUE!</v>
      </c>
      <c r="HR105" t="e">
        <f>AND('STERLING CATALOG - DRY '!J2271,"AAAAAF/0ueE=")</f>
        <v>#VALUE!</v>
      </c>
      <c r="HS105">
        <f>IF('STERLING CATALOG - DRY '!2272:2272,"AAAAAF/0ueI=",0)</f>
        <v>0</v>
      </c>
      <c r="HT105" t="e">
        <f>AND('STERLING CATALOG - DRY '!A2272,"AAAAAF/0ueM=")</f>
        <v>#VALUE!</v>
      </c>
      <c r="HU105" t="e">
        <f>AND('STERLING CATALOG - DRY '!B2272,"AAAAAF/0ueQ=")</f>
        <v>#VALUE!</v>
      </c>
      <c r="HV105" t="e">
        <f>AND('STERLING CATALOG - DRY '!C2272,"AAAAAF/0ueU=")</f>
        <v>#VALUE!</v>
      </c>
      <c r="HW105" t="e">
        <f>AND('STERLING CATALOG - DRY '!D2272,"AAAAAF/0ueY=")</f>
        <v>#VALUE!</v>
      </c>
      <c r="HX105" t="e">
        <f>AND('STERLING CATALOG - DRY '!E2272,"AAAAAF/0uec=")</f>
        <v>#VALUE!</v>
      </c>
      <c r="HY105" t="e">
        <f>AND('STERLING CATALOG - DRY '!F2272,"AAAAAF/0ueg=")</f>
        <v>#VALUE!</v>
      </c>
      <c r="HZ105" t="e">
        <f>AND('STERLING CATALOG - DRY '!G2272,"AAAAAF/0uek=")</f>
        <v>#VALUE!</v>
      </c>
      <c r="IA105" t="e">
        <f>AND('STERLING CATALOG - DRY '!H2272,"AAAAAF/0ueo=")</f>
        <v>#VALUE!</v>
      </c>
      <c r="IB105" t="e">
        <f>AND('STERLING CATALOG - DRY '!I2272,"AAAAAF/0ues=")</f>
        <v>#VALUE!</v>
      </c>
      <c r="IC105" t="e">
        <f>AND('STERLING CATALOG - DRY '!J2272,"AAAAAF/0uew=")</f>
        <v>#VALUE!</v>
      </c>
      <c r="ID105">
        <f>IF('STERLING CATALOG - DRY '!2273:2273,"AAAAAF/0ue0=",0)</f>
        <v>0</v>
      </c>
      <c r="IE105" t="e">
        <f>AND('STERLING CATALOG - DRY '!A2273,"AAAAAF/0ue4=")</f>
        <v>#VALUE!</v>
      </c>
      <c r="IF105" t="e">
        <f>AND('STERLING CATALOG - DRY '!B2273,"AAAAAF/0ue8=")</f>
        <v>#VALUE!</v>
      </c>
      <c r="IG105" t="e">
        <f>AND('STERLING CATALOG - DRY '!C2273,"AAAAAF/0ufA=")</f>
        <v>#VALUE!</v>
      </c>
      <c r="IH105" t="e">
        <f>AND('STERLING CATALOG - DRY '!D2273,"AAAAAF/0ufE=")</f>
        <v>#VALUE!</v>
      </c>
      <c r="II105" t="e">
        <f>AND('STERLING CATALOG - DRY '!E2273,"AAAAAF/0ufI=")</f>
        <v>#VALUE!</v>
      </c>
      <c r="IJ105" t="e">
        <f>AND('STERLING CATALOG - DRY '!F2273,"AAAAAF/0ufM=")</f>
        <v>#VALUE!</v>
      </c>
      <c r="IK105" t="e">
        <f>AND('STERLING CATALOG - DRY '!G2273,"AAAAAF/0ufQ=")</f>
        <v>#VALUE!</v>
      </c>
      <c r="IL105" t="e">
        <f>AND('STERLING CATALOG - DRY '!H2273,"AAAAAF/0ufU=")</f>
        <v>#VALUE!</v>
      </c>
      <c r="IM105" t="e">
        <f>AND('STERLING CATALOG - DRY '!I2273,"AAAAAF/0ufY=")</f>
        <v>#VALUE!</v>
      </c>
      <c r="IN105" t="e">
        <f>AND('STERLING CATALOG - DRY '!J2273,"AAAAAF/0ufc=")</f>
        <v>#VALUE!</v>
      </c>
      <c r="IO105">
        <f>IF('STERLING CATALOG - DRY '!2274:2274,"AAAAAF/0ufg=",0)</f>
        <v>0</v>
      </c>
      <c r="IP105" t="e">
        <f>AND('STERLING CATALOG - DRY '!A2274,"AAAAAF/0ufk=")</f>
        <v>#VALUE!</v>
      </c>
      <c r="IQ105" t="e">
        <f>AND('STERLING CATALOG - DRY '!B2274,"AAAAAF/0ufo=")</f>
        <v>#VALUE!</v>
      </c>
      <c r="IR105" t="e">
        <f>AND('STERLING CATALOG - DRY '!C2274,"AAAAAF/0ufs=")</f>
        <v>#VALUE!</v>
      </c>
      <c r="IS105" t="e">
        <f>AND('STERLING CATALOG - DRY '!D2274,"AAAAAF/0ufw=")</f>
        <v>#VALUE!</v>
      </c>
      <c r="IT105" t="e">
        <f>AND('STERLING CATALOG - DRY '!E2274,"AAAAAF/0uf0=")</f>
        <v>#VALUE!</v>
      </c>
      <c r="IU105" t="e">
        <f>AND('STERLING CATALOG - DRY '!F2274,"AAAAAF/0uf4=")</f>
        <v>#VALUE!</v>
      </c>
      <c r="IV105" t="e">
        <f>AND('STERLING CATALOG - DRY '!G2274,"AAAAAF/0uf8=")</f>
        <v>#VALUE!</v>
      </c>
    </row>
    <row r="106" spans="1:256">
      <c r="A106" t="e">
        <f>AND('STERLING CATALOG - DRY '!H2274,"AAAAAGe/+QA=")</f>
        <v>#VALUE!</v>
      </c>
      <c r="B106" t="e">
        <f>AND('STERLING CATALOG - DRY '!I2274,"AAAAAGe/+QE=")</f>
        <v>#VALUE!</v>
      </c>
      <c r="C106" t="e">
        <f>AND('STERLING CATALOG - DRY '!J2274,"AAAAAGe/+QI=")</f>
        <v>#VALUE!</v>
      </c>
      <c r="D106" t="e">
        <f>IF('STERLING CATALOG - DRY '!2275:2275,"AAAAAGe/+QM=",0)</f>
        <v>#VALUE!</v>
      </c>
      <c r="E106" t="e">
        <f>AND('STERLING CATALOG - DRY '!A2275,"AAAAAGe/+QQ=")</f>
        <v>#VALUE!</v>
      </c>
      <c r="F106" t="e">
        <f>AND('STERLING CATALOG - DRY '!B2275,"AAAAAGe/+QU=")</f>
        <v>#VALUE!</v>
      </c>
      <c r="G106" t="e">
        <f>AND('STERLING CATALOG - DRY '!C2275,"AAAAAGe/+QY=")</f>
        <v>#VALUE!</v>
      </c>
      <c r="H106" t="e">
        <f>AND('STERLING CATALOG - DRY '!D2275,"AAAAAGe/+Qc=")</f>
        <v>#VALUE!</v>
      </c>
      <c r="I106" t="e">
        <f>AND('STERLING CATALOG - DRY '!E2275,"AAAAAGe/+Qg=")</f>
        <v>#VALUE!</v>
      </c>
      <c r="J106" t="e">
        <f>AND('STERLING CATALOG - DRY '!F2275,"AAAAAGe/+Qk=")</f>
        <v>#VALUE!</v>
      </c>
      <c r="K106" t="e">
        <f>AND('STERLING CATALOG - DRY '!G2275,"AAAAAGe/+Qo=")</f>
        <v>#VALUE!</v>
      </c>
      <c r="L106" t="e">
        <f>AND('STERLING CATALOG - DRY '!H2275,"AAAAAGe/+Qs=")</f>
        <v>#VALUE!</v>
      </c>
      <c r="M106" t="e">
        <f>AND('STERLING CATALOG - DRY '!I2275,"AAAAAGe/+Qw=")</f>
        <v>#VALUE!</v>
      </c>
      <c r="N106" t="e">
        <f>AND('STERLING CATALOG - DRY '!J2275,"AAAAAGe/+Q0=")</f>
        <v>#VALUE!</v>
      </c>
      <c r="O106">
        <f>IF('STERLING CATALOG - DRY '!2276:2276,"AAAAAGe/+Q4=",0)</f>
        <v>0</v>
      </c>
      <c r="P106" t="e">
        <f>AND('STERLING CATALOG - DRY '!A2276,"AAAAAGe/+Q8=")</f>
        <v>#VALUE!</v>
      </c>
      <c r="Q106" t="e">
        <f>AND('STERLING CATALOG - DRY '!B2276,"AAAAAGe/+RA=")</f>
        <v>#VALUE!</v>
      </c>
      <c r="R106" t="e">
        <f>AND('STERLING CATALOG - DRY '!C2276,"AAAAAGe/+RE=")</f>
        <v>#VALUE!</v>
      </c>
      <c r="S106" t="e">
        <f>AND('STERLING CATALOG - DRY '!D2276,"AAAAAGe/+RI=")</f>
        <v>#VALUE!</v>
      </c>
      <c r="T106" t="e">
        <f>AND('STERLING CATALOG - DRY '!E2276,"AAAAAGe/+RM=")</f>
        <v>#VALUE!</v>
      </c>
      <c r="U106" t="e">
        <f>AND('STERLING CATALOG - DRY '!F2276,"AAAAAGe/+RQ=")</f>
        <v>#VALUE!</v>
      </c>
      <c r="V106" t="e">
        <f>AND('STERLING CATALOG - DRY '!G2276,"AAAAAGe/+RU=")</f>
        <v>#VALUE!</v>
      </c>
      <c r="W106" t="e">
        <f>AND('STERLING CATALOG - DRY '!H2276,"AAAAAGe/+RY=")</f>
        <v>#VALUE!</v>
      </c>
      <c r="X106" t="e">
        <f>AND('STERLING CATALOG - DRY '!I2276,"AAAAAGe/+Rc=")</f>
        <v>#VALUE!</v>
      </c>
      <c r="Y106" t="e">
        <f>AND('STERLING CATALOG - DRY '!J2276,"AAAAAGe/+Rg=")</f>
        <v>#VALUE!</v>
      </c>
      <c r="Z106">
        <f>IF('STERLING CATALOG - DRY '!2277:2277,"AAAAAGe/+Rk=",0)</f>
        <v>0</v>
      </c>
      <c r="AA106" t="e">
        <f>AND('STERLING CATALOG - DRY '!A2277,"AAAAAGe/+Ro=")</f>
        <v>#VALUE!</v>
      </c>
      <c r="AB106" t="e">
        <f>AND('STERLING CATALOG - DRY '!B2277,"AAAAAGe/+Rs=")</f>
        <v>#VALUE!</v>
      </c>
      <c r="AC106" t="e">
        <f>AND('STERLING CATALOG - DRY '!C2277,"AAAAAGe/+Rw=")</f>
        <v>#VALUE!</v>
      </c>
      <c r="AD106" t="e">
        <f>AND('STERLING CATALOG - DRY '!D2277,"AAAAAGe/+R0=")</f>
        <v>#VALUE!</v>
      </c>
      <c r="AE106" t="e">
        <f>AND('STERLING CATALOG - DRY '!E2277,"AAAAAGe/+R4=")</f>
        <v>#VALUE!</v>
      </c>
      <c r="AF106" t="e">
        <f>AND('STERLING CATALOG - DRY '!F2277,"AAAAAGe/+R8=")</f>
        <v>#VALUE!</v>
      </c>
      <c r="AG106" t="e">
        <f>AND('STERLING CATALOG - DRY '!G2277,"AAAAAGe/+SA=")</f>
        <v>#VALUE!</v>
      </c>
      <c r="AH106" t="e">
        <f>AND('STERLING CATALOG - DRY '!H2277,"AAAAAGe/+SE=")</f>
        <v>#VALUE!</v>
      </c>
      <c r="AI106" t="e">
        <f>AND('STERLING CATALOG - DRY '!I2277,"AAAAAGe/+SI=")</f>
        <v>#VALUE!</v>
      </c>
      <c r="AJ106" t="e">
        <f>AND('STERLING CATALOG - DRY '!J2277,"AAAAAGe/+SM=")</f>
        <v>#VALUE!</v>
      </c>
      <c r="AK106">
        <f>IF('STERLING CATALOG - DRY '!2278:2278,"AAAAAGe/+SQ=",0)</f>
        <v>0</v>
      </c>
      <c r="AL106" t="e">
        <f>AND('STERLING CATALOG - DRY '!A2278,"AAAAAGe/+SU=")</f>
        <v>#VALUE!</v>
      </c>
      <c r="AM106" t="e">
        <f>AND('STERLING CATALOG - DRY '!B2278,"AAAAAGe/+SY=")</f>
        <v>#VALUE!</v>
      </c>
      <c r="AN106" t="e">
        <f>AND('STERLING CATALOG - DRY '!C2278,"AAAAAGe/+Sc=")</f>
        <v>#VALUE!</v>
      </c>
      <c r="AO106" t="e">
        <f>AND('STERLING CATALOG - DRY '!D2278,"AAAAAGe/+Sg=")</f>
        <v>#VALUE!</v>
      </c>
      <c r="AP106" t="e">
        <f>AND('STERLING CATALOG - DRY '!E2278,"AAAAAGe/+Sk=")</f>
        <v>#VALUE!</v>
      </c>
      <c r="AQ106" t="e">
        <f>AND('STERLING CATALOG - DRY '!F2278,"AAAAAGe/+So=")</f>
        <v>#VALUE!</v>
      </c>
      <c r="AR106" t="e">
        <f>AND('STERLING CATALOG - DRY '!G2278,"AAAAAGe/+Ss=")</f>
        <v>#VALUE!</v>
      </c>
      <c r="AS106" t="e">
        <f>AND('STERLING CATALOG - DRY '!H2278,"AAAAAGe/+Sw=")</f>
        <v>#VALUE!</v>
      </c>
      <c r="AT106" t="e">
        <f>AND('STERLING CATALOG - DRY '!I2278,"AAAAAGe/+S0=")</f>
        <v>#VALUE!</v>
      </c>
      <c r="AU106" t="e">
        <f>AND('STERLING CATALOG - DRY '!J2278,"AAAAAGe/+S4=")</f>
        <v>#VALUE!</v>
      </c>
      <c r="AV106">
        <f>IF('STERLING CATALOG - DRY '!2279:2279,"AAAAAGe/+S8=",0)</f>
        <v>0</v>
      </c>
      <c r="AW106" t="e">
        <f>AND('STERLING CATALOG - DRY '!A2279,"AAAAAGe/+TA=")</f>
        <v>#VALUE!</v>
      </c>
      <c r="AX106" t="e">
        <f>AND('STERLING CATALOG - DRY '!B2279,"AAAAAGe/+TE=")</f>
        <v>#VALUE!</v>
      </c>
      <c r="AY106" t="e">
        <f>AND('STERLING CATALOG - DRY '!C2279,"AAAAAGe/+TI=")</f>
        <v>#VALUE!</v>
      </c>
      <c r="AZ106" t="e">
        <f>AND('STERLING CATALOG - DRY '!D2279,"AAAAAGe/+TM=")</f>
        <v>#VALUE!</v>
      </c>
      <c r="BA106" t="e">
        <f>AND('STERLING CATALOG - DRY '!E2279,"AAAAAGe/+TQ=")</f>
        <v>#VALUE!</v>
      </c>
      <c r="BB106" t="e">
        <f>AND('STERLING CATALOG - DRY '!F2279,"AAAAAGe/+TU=")</f>
        <v>#VALUE!</v>
      </c>
      <c r="BC106" t="e">
        <f>AND('STERLING CATALOG - DRY '!G2279,"AAAAAGe/+TY=")</f>
        <v>#VALUE!</v>
      </c>
      <c r="BD106" t="e">
        <f>AND('STERLING CATALOG - DRY '!H2279,"AAAAAGe/+Tc=")</f>
        <v>#VALUE!</v>
      </c>
      <c r="BE106" t="e">
        <f>AND('STERLING CATALOG - DRY '!I2279,"AAAAAGe/+Tg=")</f>
        <v>#VALUE!</v>
      </c>
      <c r="BF106" t="e">
        <f>AND('STERLING CATALOG - DRY '!J2279,"AAAAAGe/+Tk=")</f>
        <v>#VALUE!</v>
      </c>
      <c r="BG106">
        <f>IF('STERLING CATALOG - DRY '!2280:2280,"AAAAAGe/+To=",0)</f>
        <v>0</v>
      </c>
      <c r="BH106" t="e">
        <f>AND('STERLING CATALOG - DRY '!A2280,"AAAAAGe/+Ts=")</f>
        <v>#VALUE!</v>
      </c>
      <c r="BI106" t="e">
        <f>AND('STERLING CATALOG - DRY '!B2280,"AAAAAGe/+Tw=")</f>
        <v>#VALUE!</v>
      </c>
      <c r="BJ106" t="e">
        <f>AND('STERLING CATALOG - DRY '!C2280,"AAAAAGe/+T0=")</f>
        <v>#VALUE!</v>
      </c>
      <c r="BK106" t="e">
        <f>AND('STERLING CATALOG - DRY '!D2280,"AAAAAGe/+T4=")</f>
        <v>#VALUE!</v>
      </c>
      <c r="BL106" t="e">
        <f>AND('STERLING CATALOG - DRY '!E2280,"AAAAAGe/+T8=")</f>
        <v>#VALUE!</v>
      </c>
      <c r="BM106" t="e">
        <f>AND('STERLING CATALOG - DRY '!F2280,"AAAAAGe/+UA=")</f>
        <v>#VALUE!</v>
      </c>
      <c r="BN106" t="e">
        <f>AND('STERLING CATALOG - DRY '!G2280,"AAAAAGe/+UE=")</f>
        <v>#VALUE!</v>
      </c>
      <c r="BO106" t="e">
        <f>AND('STERLING CATALOG - DRY '!H2280,"AAAAAGe/+UI=")</f>
        <v>#VALUE!</v>
      </c>
      <c r="BP106" t="e">
        <f>AND('STERLING CATALOG - DRY '!I2280,"AAAAAGe/+UM=")</f>
        <v>#VALUE!</v>
      </c>
      <c r="BQ106" t="e">
        <f>AND('STERLING CATALOG - DRY '!J2280,"AAAAAGe/+UQ=")</f>
        <v>#VALUE!</v>
      </c>
      <c r="BR106">
        <f>IF('STERLING CATALOG - DRY '!2281:2281,"AAAAAGe/+UU=",0)</f>
        <v>0</v>
      </c>
      <c r="BS106" t="e">
        <f>AND('STERLING CATALOG - DRY '!A2281,"AAAAAGe/+UY=")</f>
        <v>#VALUE!</v>
      </c>
      <c r="BT106" t="e">
        <f>AND('STERLING CATALOG - DRY '!B2281,"AAAAAGe/+Uc=")</f>
        <v>#VALUE!</v>
      </c>
      <c r="BU106" t="e">
        <f>AND('STERLING CATALOG - DRY '!C2281,"AAAAAGe/+Ug=")</f>
        <v>#VALUE!</v>
      </c>
      <c r="BV106" t="e">
        <f>AND('STERLING CATALOG - DRY '!D2281,"AAAAAGe/+Uk=")</f>
        <v>#VALUE!</v>
      </c>
      <c r="BW106" t="e">
        <f>AND('STERLING CATALOG - DRY '!E2281,"AAAAAGe/+Uo=")</f>
        <v>#VALUE!</v>
      </c>
      <c r="BX106" t="e">
        <f>AND('STERLING CATALOG - DRY '!F2281,"AAAAAGe/+Us=")</f>
        <v>#VALUE!</v>
      </c>
      <c r="BY106" t="e">
        <f>AND('STERLING CATALOG - DRY '!G2281,"AAAAAGe/+Uw=")</f>
        <v>#VALUE!</v>
      </c>
      <c r="BZ106" t="e">
        <f>AND('STERLING CATALOG - DRY '!H2281,"AAAAAGe/+U0=")</f>
        <v>#VALUE!</v>
      </c>
      <c r="CA106" t="e">
        <f>AND('STERLING CATALOG - DRY '!I2281,"AAAAAGe/+U4=")</f>
        <v>#VALUE!</v>
      </c>
      <c r="CB106" t="e">
        <f>AND('STERLING CATALOG - DRY '!J2281,"AAAAAGe/+U8=")</f>
        <v>#VALUE!</v>
      </c>
      <c r="CC106">
        <f>IF('STERLING CATALOG - DRY '!2282:2282,"AAAAAGe/+VA=",0)</f>
        <v>0</v>
      </c>
      <c r="CD106" t="e">
        <f>AND('STERLING CATALOG - DRY '!A2282,"AAAAAGe/+VE=")</f>
        <v>#VALUE!</v>
      </c>
      <c r="CE106" t="e">
        <f>AND('STERLING CATALOG - DRY '!B2282,"AAAAAGe/+VI=")</f>
        <v>#VALUE!</v>
      </c>
      <c r="CF106" t="e">
        <f>AND('STERLING CATALOG - DRY '!C2282,"AAAAAGe/+VM=")</f>
        <v>#VALUE!</v>
      </c>
      <c r="CG106" t="e">
        <f>AND('STERLING CATALOG - DRY '!D2282,"AAAAAGe/+VQ=")</f>
        <v>#VALUE!</v>
      </c>
      <c r="CH106" t="e">
        <f>AND('STERLING CATALOG - DRY '!E2282,"AAAAAGe/+VU=")</f>
        <v>#VALUE!</v>
      </c>
      <c r="CI106" t="e">
        <f>AND('STERLING CATALOG - DRY '!F2282,"AAAAAGe/+VY=")</f>
        <v>#VALUE!</v>
      </c>
      <c r="CJ106" t="e">
        <f>AND('STERLING CATALOG - DRY '!G2282,"AAAAAGe/+Vc=")</f>
        <v>#VALUE!</v>
      </c>
      <c r="CK106" t="e">
        <f>AND('STERLING CATALOG - DRY '!H2282,"AAAAAGe/+Vg=")</f>
        <v>#VALUE!</v>
      </c>
      <c r="CL106" t="e">
        <f>AND('STERLING CATALOG - DRY '!I2282,"AAAAAGe/+Vk=")</f>
        <v>#VALUE!</v>
      </c>
      <c r="CM106" t="e">
        <f>AND('STERLING CATALOG - DRY '!J2282,"AAAAAGe/+Vo=")</f>
        <v>#VALUE!</v>
      </c>
      <c r="CN106">
        <f>IF('STERLING CATALOG - DRY '!2283:2283,"AAAAAGe/+Vs=",0)</f>
        <v>0</v>
      </c>
      <c r="CO106" t="e">
        <f>AND('STERLING CATALOG - DRY '!A2283,"AAAAAGe/+Vw=")</f>
        <v>#VALUE!</v>
      </c>
      <c r="CP106" t="e">
        <f>AND('STERLING CATALOG - DRY '!B2283,"AAAAAGe/+V0=")</f>
        <v>#VALUE!</v>
      </c>
      <c r="CQ106" t="e">
        <f>AND('STERLING CATALOG - DRY '!C2283,"AAAAAGe/+V4=")</f>
        <v>#VALUE!</v>
      </c>
      <c r="CR106" t="e">
        <f>AND('STERLING CATALOG - DRY '!D2283,"AAAAAGe/+V8=")</f>
        <v>#VALUE!</v>
      </c>
      <c r="CS106" t="e">
        <f>AND('STERLING CATALOG - DRY '!E2283,"AAAAAGe/+WA=")</f>
        <v>#VALUE!</v>
      </c>
      <c r="CT106" t="e">
        <f>AND('STERLING CATALOG - DRY '!F2283,"AAAAAGe/+WE=")</f>
        <v>#VALUE!</v>
      </c>
      <c r="CU106" t="e">
        <f>AND('STERLING CATALOG - DRY '!G2283,"AAAAAGe/+WI=")</f>
        <v>#VALUE!</v>
      </c>
      <c r="CV106" t="e">
        <f>AND('STERLING CATALOG - DRY '!H2283,"AAAAAGe/+WM=")</f>
        <v>#VALUE!</v>
      </c>
      <c r="CW106" t="e">
        <f>AND('STERLING CATALOG - DRY '!I2283,"AAAAAGe/+WQ=")</f>
        <v>#VALUE!</v>
      </c>
      <c r="CX106" t="e">
        <f>AND('STERLING CATALOG - DRY '!J2283,"AAAAAGe/+WU=")</f>
        <v>#VALUE!</v>
      </c>
      <c r="CY106">
        <f>IF('STERLING CATALOG - DRY '!2284:2284,"AAAAAGe/+WY=",0)</f>
        <v>0</v>
      </c>
      <c r="CZ106" t="e">
        <f>AND('STERLING CATALOG - DRY '!A2284,"AAAAAGe/+Wc=")</f>
        <v>#VALUE!</v>
      </c>
      <c r="DA106" t="e">
        <f>AND('STERLING CATALOG - DRY '!B2284,"AAAAAGe/+Wg=")</f>
        <v>#VALUE!</v>
      </c>
      <c r="DB106" t="e">
        <f>AND('STERLING CATALOG - DRY '!C2284,"AAAAAGe/+Wk=")</f>
        <v>#VALUE!</v>
      </c>
      <c r="DC106" t="e">
        <f>AND('STERLING CATALOG - DRY '!D2284,"AAAAAGe/+Wo=")</f>
        <v>#VALUE!</v>
      </c>
      <c r="DD106" t="e">
        <f>AND('STERLING CATALOG - DRY '!E2284,"AAAAAGe/+Ws=")</f>
        <v>#VALUE!</v>
      </c>
      <c r="DE106" t="e">
        <f>AND('STERLING CATALOG - DRY '!F2284,"AAAAAGe/+Ww=")</f>
        <v>#VALUE!</v>
      </c>
      <c r="DF106" t="e">
        <f>AND('STERLING CATALOG - DRY '!G2284,"AAAAAGe/+W0=")</f>
        <v>#VALUE!</v>
      </c>
      <c r="DG106" t="e">
        <f>AND('STERLING CATALOG - DRY '!H2284,"AAAAAGe/+W4=")</f>
        <v>#VALUE!</v>
      </c>
      <c r="DH106" t="e">
        <f>AND('STERLING CATALOG - DRY '!I2284,"AAAAAGe/+W8=")</f>
        <v>#VALUE!</v>
      </c>
      <c r="DI106" t="e">
        <f>AND('STERLING CATALOG - DRY '!J2284,"AAAAAGe/+XA=")</f>
        <v>#VALUE!</v>
      </c>
      <c r="DJ106">
        <f>IF('STERLING CATALOG - DRY '!2285:2285,"AAAAAGe/+XE=",0)</f>
        <v>0</v>
      </c>
      <c r="DK106" t="e">
        <f>AND('STERLING CATALOG - DRY '!A2285,"AAAAAGe/+XI=")</f>
        <v>#VALUE!</v>
      </c>
      <c r="DL106" t="e">
        <f>AND('STERLING CATALOG - DRY '!B2285,"AAAAAGe/+XM=")</f>
        <v>#VALUE!</v>
      </c>
      <c r="DM106" t="e">
        <f>AND('STERLING CATALOG - DRY '!C2285,"AAAAAGe/+XQ=")</f>
        <v>#VALUE!</v>
      </c>
      <c r="DN106" t="e">
        <f>AND('STERLING CATALOG - DRY '!D2285,"AAAAAGe/+XU=")</f>
        <v>#VALUE!</v>
      </c>
      <c r="DO106" t="e">
        <f>AND('STERLING CATALOG - DRY '!E2285,"AAAAAGe/+XY=")</f>
        <v>#VALUE!</v>
      </c>
      <c r="DP106" t="e">
        <f>AND('STERLING CATALOG - DRY '!F2285,"AAAAAGe/+Xc=")</f>
        <v>#VALUE!</v>
      </c>
      <c r="DQ106" t="e">
        <f>AND('STERLING CATALOG - DRY '!G2285,"AAAAAGe/+Xg=")</f>
        <v>#VALUE!</v>
      </c>
      <c r="DR106" t="e">
        <f>AND('STERLING CATALOG - DRY '!H2285,"AAAAAGe/+Xk=")</f>
        <v>#VALUE!</v>
      </c>
      <c r="DS106" t="e">
        <f>AND('STERLING CATALOG - DRY '!I2285,"AAAAAGe/+Xo=")</f>
        <v>#VALUE!</v>
      </c>
      <c r="DT106" t="e">
        <f>AND('STERLING CATALOG - DRY '!J2285,"AAAAAGe/+Xs=")</f>
        <v>#VALUE!</v>
      </c>
      <c r="DU106">
        <f>IF('STERLING CATALOG - DRY '!2286:2286,"AAAAAGe/+Xw=",0)</f>
        <v>0</v>
      </c>
      <c r="DV106" t="e">
        <f>AND('STERLING CATALOG - DRY '!A2286,"AAAAAGe/+X0=")</f>
        <v>#VALUE!</v>
      </c>
      <c r="DW106" t="e">
        <f>AND('STERLING CATALOG - DRY '!B2286,"AAAAAGe/+X4=")</f>
        <v>#VALUE!</v>
      </c>
      <c r="DX106" t="e">
        <f>AND('STERLING CATALOG - DRY '!C2286,"AAAAAGe/+X8=")</f>
        <v>#VALUE!</v>
      </c>
      <c r="DY106" t="e">
        <f>AND('STERLING CATALOG - DRY '!D2286,"AAAAAGe/+YA=")</f>
        <v>#VALUE!</v>
      </c>
      <c r="DZ106" t="e">
        <f>AND('STERLING CATALOG - DRY '!E2286,"AAAAAGe/+YE=")</f>
        <v>#VALUE!</v>
      </c>
      <c r="EA106" t="e">
        <f>AND('STERLING CATALOG - DRY '!F2286,"AAAAAGe/+YI=")</f>
        <v>#VALUE!</v>
      </c>
      <c r="EB106" t="e">
        <f>AND('STERLING CATALOG - DRY '!G2286,"AAAAAGe/+YM=")</f>
        <v>#VALUE!</v>
      </c>
      <c r="EC106" t="e">
        <f>AND('STERLING CATALOG - DRY '!H2286,"AAAAAGe/+YQ=")</f>
        <v>#VALUE!</v>
      </c>
      <c r="ED106" t="e">
        <f>AND('STERLING CATALOG - DRY '!I2286,"AAAAAGe/+YU=")</f>
        <v>#VALUE!</v>
      </c>
      <c r="EE106" t="e">
        <f>AND('STERLING CATALOG - DRY '!J2286,"AAAAAGe/+YY=")</f>
        <v>#VALUE!</v>
      </c>
      <c r="EF106">
        <f>IF('STERLING CATALOG - DRY '!2287:2287,"AAAAAGe/+Yc=",0)</f>
        <v>0</v>
      </c>
      <c r="EG106" t="e">
        <f>AND('STERLING CATALOG - DRY '!A2287,"AAAAAGe/+Yg=")</f>
        <v>#VALUE!</v>
      </c>
      <c r="EH106" t="e">
        <f>AND('STERLING CATALOG - DRY '!B2287,"AAAAAGe/+Yk=")</f>
        <v>#VALUE!</v>
      </c>
      <c r="EI106" t="e">
        <f>AND('STERLING CATALOG - DRY '!C2287,"AAAAAGe/+Yo=")</f>
        <v>#VALUE!</v>
      </c>
      <c r="EJ106" t="e">
        <f>AND('STERLING CATALOG - DRY '!D2287,"AAAAAGe/+Ys=")</f>
        <v>#VALUE!</v>
      </c>
      <c r="EK106" t="e">
        <f>AND('STERLING CATALOG - DRY '!E2287,"AAAAAGe/+Yw=")</f>
        <v>#VALUE!</v>
      </c>
      <c r="EL106" t="e">
        <f>AND('STERLING CATALOG - DRY '!F2287,"AAAAAGe/+Y0=")</f>
        <v>#VALUE!</v>
      </c>
      <c r="EM106" t="e">
        <f>AND('STERLING CATALOG - DRY '!G2287,"AAAAAGe/+Y4=")</f>
        <v>#VALUE!</v>
      </c>
      <c r="EN106" t="e">
        <f>AND('STERLING CATALOG - DRY '!H2287,"AAAAAGe/+Y8=")</f>
        <v>#VALUE!</v>
      </c>
      <c r="EO106" t="e">
        <f>AND('STERLING CATALOG - DRY '!I2287,"AAAAAGe/+ZA=")</f>
        <v>#VALUE!</v>
      </c>
      <c r="EP106" t="e">
        <f>AND('STERLING CATALOG - DRY '!J2287,"AAAAAGe/+ZE=")</f>
        <v>#VALUE!</v>
      </c>
      <c r="EQ106">
        <f>IF('STERLING CATALOG - DRY '!2288:2288,"AAAAAGe/+ZI=",0)</f>
        <v>0</v>
      </c>
      <c r="ER106" t="e">
        <f>AND('STERLING CATALOG - DRY '!A2288,"AAAAAGe/+ZM=")</f>
        <v>#VALUE!</v>
      </c>
      <c r="ES106" t="e">
        <f>AND('STERLING CATALOG - DRY '!B2288,"AAAAAGe/+ZQ=")</f>
        <v>#VALUE!</v>
      </c>
      <c r="ET106" t="e">
        <f>AND('STERLING CATALOG - DRY '!C2288,"AAAAAGe/+ZU=")</f>
        <v>#VALUE!</v>
      </c>
      <c r="EU106" t="e">
        <f>AND('STERLING CATALOG - DRY '!D2288,"AAAAAGe/+ZY=")</f>
        <v>#VALUE!</v>
      </c>
      <c r="EV106" t="e">
        <f>AND('STERLING CATALOG - DRY '!E2288,"AAAAAGe/+Zc=")</f>
        <v>#VALUE!</v>
      </c>
      <c r="EW106" t="e">
        <f>AND('STERLING CATALOG - DRY '!F2288,"AAAAAGe/+Zg=")</f>
        <v>#VALUE!</v>
      </c>
      <c r="EX106" t="e">
        <f>AND('STERLING CATALOG - DRY '!G2288,"AAAAAGe/+Zk=")</f>
        <v>#VALUE!</v>
      </c>
      <c r="EY106" t="e">
        <f>AND('STERLING CATALOG - DRY '!H2288,"AAAAAGe/+Zo=")</f>
        <v>#VALUE!</v>
      </c>
      <c r="EZ106" t="e">
        <f>AND('STERLING CATALOG - DRY '!I2288,"AAAAAGe/+Zs=")</f>
        <v>#VALUE!</v>
      </c>
      <c r="FA106" t="e">
        <f>AND('STERLING CATALOG - DRY '!J2288,"AAAAAGe/+Zw=")</f>
        <v>#VALUE!</v>
      </c>
      <c r="FB106">
        <f>IF('STERLING CATALOG - DRY '!2289:2289,"AAAAAGe/+Z0=",0)</f>
        <v>0</v>
      </c>
      <c r="FC106" t="e">
        <f>AND('STERLING CATALOG - DRY '!A2289,"AAAAAGe/+Z4=")</f>
        <v>#VALUE!</v>
      </c>
      <c r="FD106" t="e">
        <f>AND('STERLING CATALOG - DRY '!B2289,"AAAAAGe/+Z8=")</f>
        <v>#VALUE!</v>
      </c>
      <c r="FE106" t="e">
        <f>AND('STERLING CATALOG - DRY '!C2289,"AAAAAGe/+aA=")</f>
        <v>#VALUE!</v>
      </c>
      <c r="FF106" t="e">
        <f>AND('STERLING CATALOG - DRY '!D2289,"AAAAAGe/+aE=")</f>
        <v>#VALUE!</v>
      </c>
      <c r="FG106" t="e">
        <f>AND('STERLING CATALOG - DRY '!E2289,"AAAAAGe/+aI=")</f>
        <v>#VALUE!</v>
      </c>
      <c r="FH106" t="e">
        <f>AND('STERLING CATALOG - DRY '!F2289,"AAAAAGe/+aM=")</f>
        <v>#VALUE!</v>
      </c>
      <c r="FI106" t="e">
        <f>AND('STERLING CATALOG - DRY '!G2289,"AAAAAGe/+aQ=")</f>
        <v>#VALUE!</v>
      </c>
      <c r="FJ106" t="e">
        <f>AND('STERLING CATALOG - DRY '!H2289,"AAAAAGe/+aU=")</f>
        <v>#VALUE!</v>
      </c>
      <c r="FK106" t="e">
        <f>AND('STERLING CATALOG - DRY '!I2289,"AAAAAGe/+aY=")</f>
        <v>#VALUE!</v>
      </c>
      <c r="FL106" t="e">
        <f>AND('STERLING CATALOG - DRY '!J2289,"AAAAAGe/+ac=")</f>
        <v>#VALUE!</v>
      </c>
      <c r="FM106">
        <f>IF('STERLING CATALOG - DRY '!2290:2290,"AAAAAGe/+ag=",0)</f>
        <v>0</v>
      </c>
      <c r="FN106" t="e">
        <f>AND('STERLING CATALOG - DRY '!A2290,"AAAAAGe/+ak=")</f>
        <v>#VALUE!</v>
      </c>
      <c r="FO106" t="e">
        <f>AND('STERLING CATALOG - DRY '!B2290,"AAAAAGe/+ao=")</f>
        <v>#VALUE!</v>
      </c>
      <c r="FP106" t="e">
        <f>AND('STERLING CATALOG - DRY '!C2290,"AAAAAGe/+as=")</f>
        <v>#VALUE!</v>
      </c>
      <c r="FQ106" t="e">
        <f>AND('STERLING CATALOG - DRY '!D2290,"AAAAAGe/+aw=")</f>
        <v>#VALUE!</v>
      </c>
      <c r="FR106" t="e">
        <f>AND('STERLING CATALOG - DRY '!E2290,"AAAAAGe/+a0=")</f>
        <v>#VALUE!</v>
      </c>
      <c r="FS106" t="e">
        <f>AND('STERLING CATALOG - DRY '!F2290,"AAAAAGe/+a4=")</f>
        <v>#VALUE!</v>
      </c>
      <c r="FT106" t="e">
        <f>AND('STERLING CATALOG - DRY '!G2290,"AAAAAGe/+a8=")</f>
        <v>#VALUE!</v>
      </c>
      <c r="FU106" t="e">
        <f>AND('STERLING CATALOG - DRY '!H2290,"AAAAAGe/+bA=")</f>
        <v>#VALUE!</v>
      </c>
      <c r="FV106" t="e">
        <f>AND('STERLING CATALOG - DRY '!I2290,"AAAAAGe/+bE=")</f>
        <v>#VALUE!</v>
      </c>
      <c r="FW106" t="e">
        <f>AND('STERLING CATALOG - DRY '!J2290,"AAAAAGe/+bI=")</f>
        <v>#VALUE!</v>
      </c>
      <c r="FX106">
        <f>IF('STERLING CATALOG - DRY '!2291:2291,"AAAAAGe/+bM=",0)</f>
        <v>0</v>
      </c>
      <c r="FY106" t="e">
        <f>AND('STERLING CATALOG - DRY '!A2291,"AAAAAGe/+bQ=")</f>
        <v>#VALUE!</v>
      </c>
      <c r="FZ106" t="e">
        <f>AND('STERLING CATALOG - DRY '!B2291,"AAAAAGe/+bU=")</f>
        <v>#VALUE!</v>
      </c>
      <c r="GA106" t="e">
        <f>AND('STERLING CATALOG - DRY '!C2291,"AAAAAGe/+bY=")</f>
        <v>#VALUE!</v>
      </c>
      <c r="GB106" t="e">
        <f>AND('STERLING CATALOG - DRY '!D2291,"AAAAAGe/+bc=")</f>
        <v>#VALUE!</v>
      </c>
      <c r="GC106" t="e">
        <f>AND('STERLING CATALOG - DRY '!E2291,"AAAAAGe/+bg=")</f>
        <v>#VALUE!</v>
      </c>
      <c r="GD106" t="e">
        <f>AND('STERLING CATALOG - DRY '!F2291,"AAAAAGe/+bk=")</f>
        <v>#VALUE!</v>
      </c>
      <c r="GE106" t="e">
        <f>AND('STERLING CATALOG - DRY '!G2291,"AAAAAGe/+bo=")</f>
        <v>#VALUE!</v>
      </c>
      <c r="GF106" t="e">
        <f>AND('STERLING CATALOG - DRY '!H2291,"AAAAAGe/+bs=")</f>
        <v>#VALUE!</v>
      </c>
      <c r="GG106" t="e">
        <f>AND('STERLING CATALOG - DRY '!I2291,"AAAAAGe/+bw=")</f>
        <v>#VALUE!</v>
      </c>
      <c r="GH106" t="e">
        <f>AND('STERLING CATALOG - DRY '!J2291,"AAAAAGe/+b0=")</f>
        <v>#VALUE!</v>
      </c>
      <c r="GI106">
        <f>IF('STERLING CATALOG - DRY '!2292:2292,"AAAAAGe/+b4=",0)</f>
        <v>0</v>
      </c>
      <c r="GJ106" t="e">
        <f>AND('STERLING CATALOG - DRY '!A2292,"AAAAAGe/+b8=")</f>
        <v>#VALUE!</v>
      </c>
      <c r="GK106" t="e">
        <f>AND('STERLING CATALOG - DRY '!B2292,"AAAAAGe/+cA=")</f>
        <v>#VALUE!</v>
      </c>
      <c r="GL106" t="e">
        <f>AND('STERLING CATALOG - DRY '!C2292,"AAAAAGe/+cE=")</f>
        <v>#VALUE!</v>
      </c>
      <c r="GM106" t="e">
        <f>AND('STERLING CATALOG - DRY '!D2292,"AAAAAGe/+cI=")</f>
        <v>#VALUE!</v>
      </c>
      <c r="GN106" t="e">
        <f>AND('STERLING CATALOG - DRY '!E2292,"AAAAAGe/+cM=")</f>
        <v>#VALUE!</v>
      </c>
      <c r="GO106" t="e">
        <f>AND('STERLING CATALOG - DRY '!F2292,"AAAAAGe/+cQ=")</f>
        <v>#VALUE!</v>
      </c>
      <c r="GP106" t="e">
        <f>AND('STERLING CATALOG - DRY '!G2292,"AAAAAGe/+cU=")</f>
        <v>#VALUE!</v>
      </c>
      <c r="GQ106" t="e">
        <f>AND('STERLING CATALOG - DRY '!H2292,"AAAAAGe/+cY=")</f>
        <v>#VALUE!</v>
      </c>
      <c r="GR106" t="e">
        <f>AND('STERLING CATALOG - DRY '!I2292,"AAAAAGe/+cc=")</f>
        <v>#VALUE!</v>
      </c>
      <c r="GS106" t="e">
        <f>AND('STERLING CATALOG - DRY '!J2292,"AAAAAGe/+cg=")</f>
        <v>#VALUE!</v>
      </c>
      <c r="GT106">
        <f>IF('STERLING CATALOG - DRY '!2293:2293,"AAAAAGe/+ck=",0)</f>
        <v>0</v>
      </c>
      <c r="GU106" t="e">
        <f>AND('STERLING CATALOG - DRY '!A2293,"AAAAAGe/+co=")</f>
        <v>#VALUE!</v>
      </c>
      <c r="GV106" t="e">
        <f>AND('STERLING CATALOG - DRY '!B2293,"AAAAAGe/+cs=")</f>
        <v>#VALUE!</v>
      </c>
      <c r="GW106" t="e">
        <f>AND('STERLING CATALOG - DRY '!C2293,"AAAAAGe/+cw=")</f>
        <v>#VALUE!</v>
      </c>
      <c r="GX106" t="e">
        <f>AND('STERLING CATALOG - DRY '!D2293,"AAAAAGe/+c0=")</f>
        <v>#VALUE!</v>
      </c>
      <c r="GY106" t="e">
        <f>AND('STERLING CATALOG - DRY '!E2293,"AAAAAGe/+c4=")</f>
        <v>#VALUE!</v>
      </c>
      <c r="GZ106" t="e">
        <f>AND('STERLING CATALOG - DRY '!F2293,"AAAAAGe/+c8=")</f>
        <v>#VALUE!</v>
      </c>
      <c r="HA106" t="e">
        <f>AND('STERLING CATALOG - DRY '!G2293,"AAAAAGe/+dA=")</f>
        <v>#VALUE!</v>
      </c>
      <c r="HB106" t="e">
        <f>AND('STERLING CATALOG - DRY '!H2293,"AAAAAGe/+dE=")</f>
        <v>#VALUE!</v>
      </c>
      <c r="HC106" t="e">
        <f>AND('STERLING CATALOG - DRY '!I2293,"AAAAAGe/+dI=")</f>
        <v>#VALUE!</v>
      </c>
      <c r="HD106" t="e">
        <f>AND('STERLING CATALOG - DRY '!J2293,"AAAAAGe/+dM=")</f>
        <v>#VALUE!</v>
      </c>
      <c r="HE106">
        <f>IF('STERLING CATALOG - DRY '!2294:2294,"AAAAAGe/+dQ=",0)</f>
        <v>0</v>
      </c>
      <c r="HF106" t="e">
        <f>AND('STERLING CATALOG - DRY '!A2294,"AAAAAGe/+dU=")</f>
        <v>#VALUE!</v>
      </c>
      <c r="HG106" t="e">
        <f>AND('STERLING CATALOG - DRY '!B2294,"AAAAAGe/+dY=")</f>
        <v>#VALUE!</v>
      </c>
      <c r="HH106" t="e">
        <f>AND('STERLING CATALOG - DRY '!C2294,"AAAAAGe/+dc=")</f>
        <v>#VALUE!</v>
      </c>
      <c r="HI106" t="e">
        <f>AND('STERLING CATALOG - DRY '!D2294,"AAAAAGe/+dg=")</f>
        <v>#VALUE!</v>
      </c>
      <c r="HJ106" t="e">
        <f>AND('STERLING CATALOG - DRY '!E2294,"AAAAAGe/+dk=")</f>
        <v>#VALUE!</v>
      </c>
      <c r="HK106" t="e">
        <f>AND('STERLING CATALOG - DRY '!F2294,"AAAAAGe/+do=")</f>
        <v>#VALUE!</v>
      </c>
      <c r="HL106" t="e">
        <f>AND('STERLING CATALOG - DRY '!G2294,"AAAAAGe/+ds=")</f>
        <v>#VALUE!</v>
      </c>
      <c r="HM106" t="e">
        <f>AND('STERLING CATALOG - DRY '!H2294,"AAAAAGe/+dw=")</f>
        <v>#VALUE!</v>
      </c>
      <c r="HN106" t="e">
        <f>AND('STERLING CATALOG - DRY '!I2294,"AAAAAGe/+d0=")</f>
        <v>#VALUE!</v>
      </c>
      <c r="HO106" t="e">
        <f>AND('STERLING CATALOG - DRY '!J2294,"AAAAAGe/+d4=")</f>
        <v>#VALUE!</v>
      </c>
      <c r="HP106">
        <f>IF('STERLING CATALOG - DRY '!2295:2295,"AAAAAGe/+d8=",0)</f>
        <v>0</v>
      </c>
      <c r="HQ106" t="e">
        <f>AND('STERLING CATALOG - DRY '!A2295,"AAAAAGe/+eA=")</f>
        <v>#VALUE!</v>
      </c>
      <c r="HR106" t="e">
        <f>AND('STERLING CATALOG - DRY '!B2295,"AAAAAGe/+eE=")</f>
        <v>#VALUE!</v>
      </c>
      <c r="HS106" t="e">
        <f>AND('STERLING CATALOG - DRY '!C2295,"AAAAAGe/+eI=")</f>
        <v>#VALUE!</v>
      </c>
      <c r="HT106" t="e">
        <f>AND('STERLING CATALOG - DRY '!D2295,"AAAAAGe/+eM=")</f>
        <v>#VALUE!</v>
      </c>
      <c r="HU106" t="e">
        <f>AND('STERLING CATALOG - DRY '!E2295,"AAAAAGe/+eQ=")</f>
        <v>#VALUE!</v>
      </c>
      <c r="HV106" t="e">
        <f>AND('STERLING CATALOG - DRY '!F2295,"AAAAAGe/+eU=")</f>
        <v>#VALUE!</v>
      </c>
      <c r="HW106" t="e">
        <f>AND('STERLING CATALOG - DRY '!G2295,"AAAAAGe/+eY=")</f>
        <v>#VALUE!</v>
      </c>
      <c r="HX106" t="e">
        <f>AND('STERLING CATALOG - DRY '!H2295,"AAAAAGe/+ec=")</f>
        <v>#VALUE!</v>
      </c>
      <c r="HY106" t="e">
        <f>AND('STERLING CATALOG - DRY '!I2295,"AAAAAGe/+eg=")</f>
        <v>#VALUE!</v>
      </c>
      <c r="HZ106" t="e">
        <f>AND('STERLING CATALOG - DRY '!J2295,"AAAAAGe/+ek=")</f>
        <v>#VALUE!</v>
      </c>
      <c r="IA106">
        <f>IF('STERLING CATALOG - DRY '!2296:2296,"AAAAAGe/+eo=",0)</f>
        <v>0</v>
      </c>
      <c r="IB106" t="e">
        <f>AND('STERLING CATALOG - DRY '!A2296,"AAAAAGe/+es=")</f>
        <v>#VALUE!</v>
      </c>
      <c r="IC106" t="e">
        <f>AND('STERLING CATALOG - DRY '!B2296,"AAAAAGe/+ew=")</f>
        <v>#VALUE!</v>
      </c>
      <c r="ID106" t="e">
        <f>AND('STERLING CATALOG - DRY '!C2296,"AAAAAGe/+e0=")</f>
        <v>#VALUE!</v>
      </c>
      <c r="IE106" t="e">
        <f>AND('STERLING CATALOG - DRY '!D2296,"AAAAAGe/+e4=")</f>
        <v>#VALUE!</v>
      </c>
      <c r="IF106" t="e">
        <f>AND('STERLING CATALOG - DRY '!E2296,"AAAAAGe/+e8=")</f>
        <v>#VALUE!</v>
      </c>
      <c r="IG106" t="e">
        <f>AND('STERLING CATALOG - DRY '!F2296,"AAAAAGe/+fA=")</f>
        <v>#VALUE!</v>
      </c>
      <c r="IH106" t="e">
        <f>AND('STERLING CATALOG - DRY '!G2296,"AAAAAGe/+fE=")</f>
        <v>#VALUE!</v>
      </c>
      <c r="II106" t="e">
        <f>AND('STERLING CATALOG - DRY '!H2296,"AAAAAGe/+fI=")</f>
        <v>#VALUE!</v>
      </c>
      <c r="IJ106" t="e">
        <f>AND('STERLING CATALOG - DRY '!I2296,"AAAAAGe/+fM=")</f>
        <v>#VALUE!</v>
      </c>
      <c r="IK106" t="e">
        <f>AND('STERLING CATALOG - DRY '!J2296,"AAAAAGe/+fQ=")</f>
        <v>#VALUE!</v>
      </c>
      <c r="IL106">
        <f>IF('STERLING CATALOG - DRY '!2297:2297,"AAAAAGe/+fU=",0)</f>
        <v>0</v>
      </c>
      <c r="IM106" t="e">
        <f>AND('STERLING CATALOG - DRY '!A2297,"AAAAAGe/+fY=")</f>
        <v>#VALUE!</v>
      </c>
      <c r="IN106" t="e">
        <f>AND('STERLING CATALOG - DRY '!B2297,"AAAAAGe/+fc=")</f>
        <v>#VALUE!</v>
      </c>
      <c r="IO106" t="e">
        <f>AND('STERLING CATALOG - DRY '!C2297,"AAAAAGe/+fg=")</f>
        <v>#VALUE!</v>
      </c>
      <c r="IP106" t="e">
        <f>AND('STERLING CATALOG - DRY '!D2297,"AAAAAGe/+fk=")</f>
        <v>#VALUE!</v>
      </c>
      <c r="IQ106" t="e">
        <f>AND('STERLING CATALOG - DRY '!E2297,"AAAAAGe/+fo=")</f>
        <v>#VALUE!</v>
      </c>
      <c r="IR106" t="e">
        <f>AND('STERLING CATALOG - DRY '!F2297,"AAAAAGe/+fs=")</f>
        <v>#VALUE!</v>
      </c>
      <c r="IS106" t="e">
        <f>AND('STERLING CATALOG - DRY '!G2297,"AAAAAGe/+fw=")</f>
        <v>#VALUE!</v>
      </c>
      <c r="IT106" t="e">
        <f>AND('STERLING CATALOG - DRY '!H2297,"AAAAAGe/+f0=")</f>
        <v>#VALUE!</v>
      </c>
      <c r="IU106" t="e">
        <f>AND('STERLING CATALOG - DRY '!I2297,"AAAAAGe/+f4=")</f>
        <v>#VALUE!</v>
      </c>
      <c r="IV106" t="e">
        <f>AND('STERLING CATALOG - DRY '!J2297,"AAAAAGe/+f8=")</f>
        <v>#VALUE!</v>
      </c>
    </row>
    <row r="107" spans="1:256">
      <c r="A107" t="e">
        <f>IF('STERLING CATALOG - DRY '!2298:2298,"AAAAAH/rpwA=",0)</f>
        <v>#VALUE!</v>
      </c>
      <c r="B107" t="e">
        <f>AND('STERLING CATALOG - DRY '!A2298,"AAAAAH/rpwE=")</f>
        <v>#VALUE!</v>
      </c>
      <c r="C107" t="e">
        <f>AND('STERLING CATALOG - DRY '!B2298,"AAAAAH/rpwI=")</f>
        <v>#VALUE!</v>
      </c>
      <c r="D107" t="e">
        <f>AND('STERLING CATALOG - DRY '!C2298,"AAAAAH/rpwM=")</f>
        <v>#VALUE!</v>
      </c>
      <c r="E107" t="e">
        <f>AND('STERLING CATALOG - DRY '!D2298,"AAAAAH/rpwQ=")</f>
        <v>#VALUE!</v>
      </c>
      <c r="F107" t="e">
        <f>AND('STERLING CATALOG - DRY '!E2298,"AAAAAH/rpwU=")</f>
        <v>#VALUE!</v>
      </c>
      <c r="G107" t="e">
        <f>AND('STERLING CATALOG - DRY '!F2298,"AAAAAH/rpwY=")</f>
        <v>#VALUE!</v>
      </c>
      <c r="H107" t="e">
        <f>AND('STERLING CATALOG - DRY '!G2298,"AAAAAH/rpwc=")</f>
        <v>#VALUE!</v>
      </c>
      <c r="I107" t="e">
        <f>AND('STERLING CATALOG - DRY '!H2298,"AAAAAH/rpwg=")</f>
        <v>#VALUE!</v>
      </c>
      <c r="J107" t="e">
        <f>AND('STERLING CATALOG - DRY '!I2298,"AAAAAH/rpwk=")</f>
        <v>#VALUE!</v>
      </c>
      <c r="K107" t="e">
        <f>AND('STERLING CATALOG - DRY '!J2298,"AAAAAH/rpwo=")</f>
        <v>#VALUE!</v>
      </c>
      <c r="L107">
        <f>IF('STERLING CATALOG - DRY '!2299:2299,"AAAAAH/rpws=",0)</f>
        <v>0</v>
      </c>
      <c r="M107" t="e">
        <f>AND('STERLING CATALOG - DRY '!A2299,"AAAAAH/rpww=")</f>
        <v>#VALUE!</v>
      </c>
      <c r="N107" t="e">
        <f>AND('STERLING CATALOG - DRY '!B2299,"AAAAAH/rpw0=")</f>
        <v>#VALUE!</v>
      </c>
      <c r="O107" t="e">
        <f>AND('STERLING CATALOG - DRY '!C2299,"AAAAAH/rpw4=")</f>
        <v>#VALUE!</v>
      </c>
      <c r="P107" t="e">
        <f>AND('STERLING CATALOG - DRY '!D2299,"AAAAAH/rpw8=")</f>
        <v>#VALUE!</v>
      </c>
      <c r="Q107" t="e">
        <f>AND('STERLING CATALOG - DRY '!E2299,"AAAAAH/rpxA=")</f>
        <v>#VALUE!</v>
      </c>
      <c r="R107" t="e">
        <f>AND('STERLING CATALOG - DRY '!F2299,"AAAAAH/rpxE=")</f>
        <v>#VALUE!</v>
      </c>
      <c r="S107" t="e">
        <f>AND('STERLING CATALOG - DRY '!G2299,"AAAAAH/rpxI=")</f>
        <v>#VALUE!</v>
      </c>
      <c r="T107" t="e">
        <f>AND('STERLING CATALOG - DRY '!H2299,"AAAAAH/rpxM=")</f>
        <v>#VALUE!</v>
      </c>
      <c r="U107" t="e">
        <f>AND('STERLING CATALOG - DRY '!I2299,"AAAAAH/rpxQ=")</f>
        <v>#VALUE!</v>
      </c>
      <c r="V107" t="e">
        <f>AND('STERLING CATALOG - DRY '!J2299,"AAAAAH/rpxU=")</f>
        <v>#VALUE!</v>
      </c>
      <c r="W107">
        <f>IF('STERLING CATALOG - DRY '!2300:2300,"AAAAAH/rpxY=",0)</f>
        <v>0</v>
      </c>
      <c r="X107" t="e">
        <f>AND('STERLING CATALOG - DRY '!A2300,"AAAAAH/rpxc=")</f>
        <v>#VALUE!</v>
      </c>
      <c r="Y107" t="e">
        <f>AND('STERLING CATALOG - DRY '!B2300,"AAAAAH/rpxg=")</f>
        <v>#VALUE!</v>
      </c>
      <c r="Z107" t="e">
        <f>AND('STERLING CATALOG - DRY '!C2300,"AAAAAH/rpxk=")</f>
        <v>#VALUE!</v>
      </c>
      <c r="AA107" t="e">
        <f>AND('STERLING CATALOG - DRY '!D2300,"AAAAAH/rpxo=")</f>
        <v>#VALUE!</v>
      </c>
      <c r="AB107" t="e">
        <f>AND('STERLING CATALOG - DRY '!E2300,"AAAAAH/rpxs=")</f>
        <v>#VALUE!</v>
      </c>
      <c r="AC107" t="e">
        <f>AND('STERLING CATALOG - DRY '!F2300,"AAAAAH/rpxw=")</f>
        <v>#VALUE!</v>
      </c>
      <c r="AD107" t="e">
        <f>AND('STERLING CATALOG - DRY '!G2300,"AAAAAH/rpx0=")</f>
        <v>#VALUE!</v>
      </c>
      <c r="AE107" t="e">
        <f>AND('STERLING CATALOG - DRY '!H2300,"AAAAAH/rpx4=")</f>
        <v>#VALUE!</v>
      </c>
      <c r="AF107" t="e">
        <f>AND('STERLING CATALOG - DRY '!I2300,"AAAAAH/rpx8=")</f>
        <v>#VALUE!</v>
      </c>
      <c r="AG107" t="e">
        <f>AND('STERLING CATALOG - DRY '!J2300,"AAAAAH/rpyA=")</f>
        <v>#VALUE!</v>
      </c>
      <c r="AH107">
        <f>IF('STERLING CATALOG - DRY '!2301:2301,"AAAAAH/rpyE=",0)</f>
        <v>0</v>
      </c>
      <c r="AI107" t="e">
        <f>AND('STERLING CATALOG - DRY '!A2301,"AAAAAH/rpyI=")</f>
        <v>#VALUE!</v>
      </c>
      <c r="AJ107" t="e">
        <f>AND('STERLING CATALOG - DRY '!B2301,"AAAAAH/rpyM=")</f>
        <v>#VALUE!</v>
      </c>
      <c r="AK107" t="e">
        <f>AND('STERLING CATALOG - DRY '!C2301,"AAAAAH/rpyQ=")</f>
        <v>#VALUE!</v>
      </c>
      <c r="AL107" t="e">
        <f>AND('STERLING CATALOG - DRY '!D2301,"AAAAAH/rpyU=")</f>
        <v>#VALUE!</v>
      </c>
      <c r="AM107" t="e">
        <f>AND('STERLING CATALOG - DRY '!E2301,"AAAAAH/rpyY=")</f>
        <v>#VALUE!</v>
      </c>
      <c r="AN107" t="e">
        <f>AND('STERLING CATALOG - DRY '!F2301,"AAAAAH/rpyc=")</f>
        <v>#VALUE!</v>
      </c>
      <c r="AO107" t="e">
        <f>AND('STERLING CATALOG - DRY '!G2301,"AAAAAH/rpyg=")</f>
        <v>#VALUE!</v>
      </c>
      <c r="AP107" t="e">
        <f>AND('STERLING CATALOG - DRY '!H2301,"AAAAAH/rpyk=")</f>
        <v>#VALUE!</v>
      </c>
      <c r="AQ107" t="e">
        <f>AND('STERLING CATALOG - DRY '!I2301,"AAAAAH/rpyo=")</f>
        <v>#VALUE!</v>
      </c>
      <c r="AR107" t="e">
        <f>AND('STERLING CATALOG - DRY '!J2301,"AAAAAH/rpys=")</f>
        <v>#VALUE!</v>
      </c>
      <c r="AS107">
        <f>IF('STERLING CATALOG - DRY '!2302:2302,"AAAAAH/rpyw=",0)</f>
        <v>0</v>
      </c>
      <c r="AT107" t="e">
        <f>AND('STERLING CATALOG - DRY '!A2302,"AAAAAH/rpy0=")</f>
        <v>#VALUE!</v>
      </c>
      <c r="AU107" t="e">
        <f>AND('STERLING CATALOG - DRY '!B2302,"AAAAAH/rpy4=")</f>
        <v>#VALUE!</v>
      </c>
      <c r="AV107" t="e">
        <f>AND('STERLING CATALOG - DRY '!C2302,"AAAAAH/rpy8=")</f>
        <v>#VALUE!</v>
      </c>
      <c r="AW107" t="e">
        <f>AND('STERLING CATALOG - DRY '!D2302,"AAAAAH/rpzA=")</f>
        <v>#VALUE!</v>
      </c>
      <c r="AX107" t="e">
        <f>AND('STERLING CATALOG - DRY '!E2302,"AAAAAH/rpzE=")</f>
        <v>#VALUE!</v>
      </c>
      <c r="AY107" t="e">
        <f>AND('STERLING CATALOG - DRY '!F2302,"AAAAAH/rpzI=")</f>
        <v>#VALUE!</v>
      </c>
      <c r="AZ107" t="e">
        <f>AND('STERLING CATALOG - DRY '!G2302,"AAAAAH/rpzM=")</f>
        <v>#VALUE!</v>
      </c>
      <c r="BA107" t="e">
        <f>AND('STERLING CATALOG - DRY '!H2302,"AAAAAH/rpzQ=")</f>
        <v>#VALUE!</v>
      </c>
      <c r="BB107" t="e">
        <f>AND('STERLING CATALOG - DRY '!I2302,"AAAAAH/rpzU=")</f>
        <v>#VALUE!</v>
      </c>
      <c r="BC107" t="e">
        <f>AND('STERLING CATALOG - DRY '!J2302,"AAAAAH/rpzY=")</f>
        <v>#VALUE!</v>
      </c>
      <c r="BD107">
        <f>IF('STERLING CATALOG - DRY '!2303:2303,"AAAAAH/rpzc=",0)</f>
        <v>0</v>
      </c>
      <c r="BE107" t="e">
        <f>AND('STERLING CATALOG - DRY '!A2303,"AAAAAH/rpzg=")</f>
        <v>#VALUE!</v>
      </c>
      <c r="BF107" t="e">
        <f>AND('STERLING CATALOG - DRY '!B2303,"AAAAAH/rpzk=")</f>
        <v>#VALUE!</v>
      </c>
      <c r="BG107" t="e">
        <f>AND('STERLING CATALOG - DRY '!C2303,"AAAAAH/rpzo=")</f>
        <v>#VALUE!</v>
      </c>
      <c r="BH107" t="e">
        <f>AND('STERLING CATALOG - DRY '!D2303,"AAAAAH/rpzs=")</f>
        <v>#VALUE!</v>
      </c>
      <c r="BI107" t="e">
        <f>AND('STERLING CATALOG - DRY '!E2303,"AAAAAH/rpzw=")</f>
        <v>#VALUE!</v>
      </c>
      <c r="BJ107" t="e">
        <f>AND('STERLING CATALOG - DRY '!F2303,"AAAAAH/rpz0=")</f>
        <v>#VALUE!</v>
      </c>
      <c r="BK107" t="e">
        <f>AND('STERLING CATALOG - DRY '!G2303,"AAAAAH/rpz4=")</f>
        <v>#VALUE!</v>
      </c>
      <c r="BL107" t="e">
        <f>AND('STERLING CATALOG - DRY '!H2303,"AAAAAH/rpz8=")</f>
        <v>#VALUE!</v>
      </c>
      <c r="BM107" t="e">
        <f>AND('STERLING CATALOG - DRY '!I2303,"AAAAAH/rp0A=")</f>
        <v>#VALUE!</v>
      </c>
      <c r="BN107" t="e">
        <f>AND('STERLING CATALOG - DRY '!J2303,"AAAAAH/rp0E=")</f>
        <v>#VALUE!</v>
      </c>
      <c r="BO107">
        <f>IF('STERLING CATALOG - DRY '!2304:2304,"AAAAAH/rp0I=",0)</f>
        <v>0</v>
      </c>
      <c r="BP107" t="e">
        <f>AND('STERLING CATALOG - DRY '!A2304,"AAAAAH/rp0M=")</f>
        <v>#VALUE!</v>
      </c>
      <c r="BQ107" t="e">
        <f>AND('STERLING CATALOG - DRY '!B2304,"AAAAAH/rp0Q=")</f>
        <v>#VALUE!</v>
      </c>
      <c r="BR107" t="e">
        <f>AND('STERLING CATALOG - DRY '!C2304,"AAAAAH/rp0U=")</f>
        <v>#VALUE!</v>
      </c>
      <c r="BS107" t="e">
        <f>AND('STERLING CATALOG - DRY '!D2304,"AAAAAH/rp0Y=")</f>
        <v>#VALUE!</v>
      </c>
      <c r="BT107" t="e">
        <f>AND('STERLING CATALOG - DRY '!E2304,"AAAAAH/rp0c=")</f>
        <v>#VALUE!</v>
      </c>
      <c r="BU107" t="e">
        <f>AND('STERLING CATALOG - DRY '!F2304,"AAAAAH/rp0g=")</f>
        <v>#VALUE!</v>
      </c>
      <c r="BV107" t="e">
        <f>AND('STERLING CATALOG - DRY '!G2304,"AAAAAH/rp0k=")</f>
        <v>#VALUE!</v>
      </c>
      <c r="BW107" t="e">
        <f>AND('STERLING CATALOG - DRY '!H2304,"AAAAAH/rp0o=")</f>
        <v>#VALUE!</v>
      </c>
      <c r="BX107" t="e">
        <f>AND('STERLING CATALOG - DRY '!I2304,"AAAAAH/rp0s=")</f>
        <v>#VALUE!</v>
      </c>
      <c r="BY107" t="e">
        <f>AND('STERLING CATALOG - DRY '!J2304,"AAAAAH/rp0w=")</f>
        <v>#VALUE!</v>
      </c>
      <c r="BZ107">
        <f>IF('STERLING CATALOG - DRY '!2305:2305,"AAAAAH/rp00=",0)</f>
        <v>0</v>
      </c>
      <c r="CA107" t="e">
        <f>AND('STERLING CATALOG - DRY '!A2305,"AAAAAH/rp04=")</f>
        <v>#VALUE!</v>
      </c>
      <c r="CB107" t="e">
        <f>AND('STERLING CATALOG - DRY '!B2305,"AAAAAH/rp08=")</f>
        <v>#VALUE!</v>
      </c>
      <c r="CC107" t="e">
        <f>AND('STERLING CATALOG - DRY '!C2305,"AAAAAH/rp1A=")</f>
        <v>#VALUE!</v>
      </c>
      <c r="CD107" t="e">
        <f>AND('STERLING CATALOG - DRY '!D2305,"AAAAAH/rp1E=")</f>
        <v>#VALUE!</v>
      </c>
      <c r="CE107" t="e">
        <f>AND('STERLING CATALOG - DRY '!E2305,"AAAAAH/rp1I=")</f>
        <v>#VALUE!</v>
      </c>
      <c r="CF107" t="e">
        <f>AND('STERLING CATALOG - DRY '!F2305,"AAAAAH/rp1M=")</f>
        <v>#VALUE!</v>
      </c>
      <c r="CG107" t="e">
        <f>AND('STERLING CATALOG - DRY '!G2305,"AAAAAH/rp1Q=")</f>
        <v>#VALUE!</v>
      </c>
      <c r="CH107" t="e">
        <f>AND('STERLING CATALOG - DRY '!H2305,"AAAAAH/rp1U=")</f>
        <v>#VALUE!</v>
      </c>
      <c r="CI107" t="e">
        <f>AND('STERLING CATALOG - DRY '!I2305,"AAAAAH/rp1Y=")</f>
        <v>#VALUE!</v>
      </c>
      <c r="CJ107" t="e">
        <f>AND('STERLING CATALOG - DRY '!J2305,"AAAAAH/rp1c=")</f>
        <v>#VALUE!</v>
      </c>
      <c r="CK107">
        <f>IF('STERLING CATALOG - DRY '!2306:2306,"AAAAAH/rp1g=",0)</f>
        <v>0</v>
      </c>
      <c r="CL107" t="e">
        <f>AND('STERLING CATALOG - DRY '!A2306,"AAAAAH/rp1k=")</f>
        <v>#VALUE!</v>
      </c>
      <c r="CM107" t="e">
        <f>AND('STERLING CATALOG - DRY '!B2306,"AAAAAH/rp1o=")</f>
        <v>#VALUE!</v>
      </c>
      <c r="CN107" t="e">
        <f>AND('STERLING CATALOG - DRY '!C2306,"AAAAAH/rp1s=")</f>
        <v>#VALUE!</v>
      </c>
      <c r="CO107" t="e">
        <f>AND('STERLING CATALOG - DRY '!D2306,"AAAAAH/rp1w=")</f>
        <v>#VALUE!</v>
      </c>
      <c r="CP107" t="e">
        <f>AND('STERLING CATALOG - DRY '!E2306,"AAAAAH/rp10=")</f>
        <v>#VALUE!</v>
      </c>
      <c r="CQ107" t="e">
        <f>AND('STERLING CATALOG - DRY '!F2306,"AAAAAH/rp14=")</f>
        <v>#VALUE!</v>
      </c>
      <c r="CR107" t="e">
        <f>AND('STERLING CATALOG - DRY '!G2306,"AAAAAH/rp18=")</f>
        <v>#VALUE!</v>
      </c>
      <c r="CS107" t="e">
        <f>AND('STERLING CATALOG - DRY '!H2306,"AAAAAH/rp2A=")</f>
        <v>#VALUE!</v>
      </c>
      <c r="CT107" t="e">
        <f>AND('STERLING CATALOG - DRY '!I2306,"AAAAAH/rp2E=")</f>
        <v>#VALUE!</v>
      </c>
      <c r="CU107" t="e">
        <f>AND('STERLING CATALOG - DRY '!J2306,"AAAAAH/rp2I=")</f>
        <v>#VALUE!</v>
      </c>
      <c r="CV107">
        <f>IF('STERLING CATALOG - DRY '!2307:2307,"AAAAAH/rp2M=",0)</f>
        <v>0</v>
      </c>
      <c r="CW107" t="e">
        <f>AND('STERLING CATALOG - DRY '!A2307,"AAAAAH/rp2Q=")</f>
        <v>#VALUE!</v>
      </c>
      <c r="CX107" t="e">
        <f>AND('STERLING CATALOG - DRY '!B2307,"AAAAAH/rp2U=")</f>
        <v>#VALUE!</v>
      </c>
      <c r="CY107" t="e">
        <f>AND('STERLING CATALOG - DRY '!C2307,"AAAAAH/rp2Y=")</f>
        <v>#VALUE!</v>
      </c>
      <c r="CZ107" t="e">
        <f>AND('STERLING CATALOG - DRY '!D2307,"AAAAAH/rp2c=")</f>
        <v>#VALUE!</v>
      </c>
      <c r="DA107" t="e">
        <f>AND('STERLING CATALOG - DRY '!E2307,"AAAAAH/rp2g=")</f>
        <v>#VALUE!</v>
      </c>
      <c r="DB107" t="e">
        <f>AND('STERLING CATALOG - DRY '!F2307,"AAAAAH/rp2k=")</f>
        <v>#VALUE!</v>
      </c>
      <c r="DC107" t="e">
        <f>AND('STERLING CATALOG - DRY '!G2307,"AAAAAH/rp2o=")</f>
        <v>#VALUE!</v>
      </c>
      <c r="DD107" t="e">
        <f>AND('STERLING CATALOG - DRY '!H2307,"AAAAAH/rp2s=")</f>
        <v>#VALUE!</v>
      </c>
      <c r="DE107" t="e">
        <f>AND('STERLING CATALOG - DRY '!I2307,"AAAAAH/rp2w=")</f>
        <v>#VALUE!</v>
      </c>
      <c r="DF107" t="e">
        <f>AND('STERLING CATALOG - DRY '!J2307,"AAAAAH/rp20=")</f>
        <v>#VALUE!</v>
      </c>
      <c r="DG107">
        <f>IF('STERLING CATALOG - DRY '!2308:2308,"AAAAAH/rp24=",0)</f>
        <v>0</v>
      </c>
      <c r="DH107" t="e">
        <f>AND('STERLING CATALOG - DRY '!A2308,"AAAAAH/rp28=")</f>
        <v>#VALUE!</v>
      </c>
      <c r="DI107" t="e">
        <f>AND('STERLING CATALOG - DRY '!B2308,"AAAAAH/rp3A=")</f>
        <v>#VALUE!</v>
      </c>
      <c r="DJ107" t="e">
        <f>AND('STERLING CATALOG - DRY '!C2308,"AAAAAH/rp3E=")</f>
        <v>#VALUE!</v>
      </c>
      <c r="DK107" t="e">
        <f>AND('STERLING CATALOG - DRY '!D2308,"AAAAAH/rp3I=")</f>
        <v>#VALUE!</v>
      </c>
      <c r="DL107" t="e">
        <f>AND('STERLING CATALOG - DRY '!E2308,"AAAAAH/rp3M=")</f>
        <v>#VALUE!</v>
      </c>
      <c r="DM107" t="e">
        <f>AND('STERLING CATALOG - DRY '!F2308,"AAAAAH/rp3Q=")</f>
        <v>#VALUE!</v>
      </c>
      <c r="DN107" t="e">
        <f>AND('STERLING CATALOG - DRY '!G2308,"AAAAAH/rp3U=")</f>
        <v>#VALUE!</v>
      </c>
      <c r="DO107" t="e">
        <f>AND('STERLING CATALOG - DRY '!H2308,"AAAAAH/rp3Y=")</f>
        <v>#VALUE!</v>
      </c>
      <c r="DP107" t="e">
        <f>AND('STERLING CATALOG - DRY '!I2308,"AAAAAH/rp3c=")</f>
        <v>#VALUE!</v>
      </c>
      <c r="DQ107" t="e">
        <f>AND('STERLING CATALOG - DRY '!J2308,"AAAAAH/rp3g=")</f>
        <v>#VALUE!</v>
      </c>
      <c r="DR107">
        <f>IF('STERLING CATALOG - DRY '!2309:2309,"AAAAAH/rp3k=",0)</f>
        <v>0</v>
      </c>
      <c r="DS107" t="e">
        <f>AND('STERLING CATALOG - DRY '!A2309,"AAAAAH/rp3o=")</f>
        <v>#VALUE!</v>
      </c>
      <c r="DT107" t="e">
        <f>AND('STERLING CATALOG - DRY '!B2309,"AAAAAH/rp3s=")</f>
        <v>#VALUE!</v>
      </c>
      <c r="DU107" t="e">
        <f>AND('STERLING CATALOG - DRY '!C2309,"AAAAAH/rp3w=")</f>
        <v>#VALUE!</v>
      </c>
      <c r="DV107" t="e">
        <f>AND('STERLING CATALOG - DRY '!D2309,"AAAAAH/rp30=")</f>
        <v>#VALUE!</v>
      </c>
      <c r="DW107" t="e">
        <f>AND('STERLING CATALOG - DRY '!E2309,"AAAAAH/rp34=")</f>
        <v>#VALUE!</v>
      </c>
      <c r="DX107" t="e">
        <f>AND('STERLING CATALOG - DRY '!F2309,"AAAAAH/rp38=")</f>
        <v>#VALUE!</v>
      </c>
      <c r="DY107" t="e">
        <f>AND('STERLING CATALOG - DRY '!G2309,"AAAAAH/rp4A=")</f>
        <v>#VALUE!</v>
      </c>
      <c r="DZ107" t="e">
        <f>AND('STERLING CATALOG - DRY '!H2309,"AAAAAH/rp4E=")</f>
        <v>#VALUE!</v>
      </c>
      <c r="EA107" t="e">
        <f>AND('STERLING CATALOG - DRY '!I2309,"AAAAAH/rp4I=")</f>
        <v>#VALUE!</v>
      </c>
      <c r="EB107" t="e">
        <f>AND('STERLING CATALOG - DRY '!J2309,"AAAAAH/rp4M=")</f>
        <v>#VALUE!</v>
      </c>
      <c r="EC107">
        <f>IF('STERLING CATALOG - DRY '!2310:2310,"AAAAAH/rp4Q=",0)</f>
        <v>0</v>
      </c>
      <c r="ED107" t="e">
        <f>AND('STERLING CATALOG - DRY '!A2310,"AAAAAH/rp4U=")</f>
        <v>#VALUE!</v>
      </c>
      <c r="EE107" t="e">
        <f>AND('STERLING CATALOG - DRY '!B2310,"AAAAAH/rp4Y=")</f>
        <v>#VALUE!</v>
      </c>
      <c r="EF107" t="e">
        <f>AND('STERLING CATALOG - DRY '!C2310,"AAAAAH/rp4c=")</f>
        <v>#VALUE!</v>
      </c>
      <c r="EG107" t="e">
        <f>AND('STERLING CATALOG - DRY '!D2310,"AAAAAH/rp4g=")</f>
        <v>#VALUE!</v>
      </c>
      <c r="EH107" t="e">
        <f>AND('STERLING CATALOG - DRY '!E2310,"AAAAAH/rp4k=")</f>
        <v>#VALUE!</v>
      </c>
      <c r="EI107" t="e">
        <f>AND('STERLING CATALOG - DRY '!F2310,"AAAAAH/rp4o=")</f>
        <v>#VALUE!</v>
      </c>
      <c r="EJ107" t="e">
        <f>AND('STERLING CATALOG - DRY '!G2310,"AAAAAH/rp4s=")</f>
        <v>#VALUE!</v>
      </c>
      <c r="EK107" t="e">
        <f>AND('STERLING CATALOG - DRY '!H2310,"AAAAAH/rp4w=")</f>
        <v>#VALUE!</v>
      </c>
      <c r="EL107" t="e">
        <f>AND('STERLING CATALOG - DRY '!I2310,"AAAAAH/rp40=")</f>
        <v>#VALUE!</v>
      </c>
      <c r="EM107" t="e">
        <f>AND('STERLING CATALOG - DRY '!J2310,"AAAAAH/rp44=")</f>
        <v>#VALUE!</v>
      </c>
      <c r="EN107">
        <f>IF('STERLING CATALOG - DRY '!2311:2311,"AAAAAH/rp48=",0)</f>
        <v>0</v>
      </c>
      <c r="EO107" t="e">
        <f>AND('STERLING CATALOG - DRY '!A2311,"AAAAAH/rp5A=")</f>
        <v>#VALUE!</v>
      </c>
      <c r="EP107" t="e">
        <f>AND('STERLING CATALOG - DRY '!B2311,"AAAAAH/rp5E=")</f>
        <v>#VALUE!</v>
      </c>
      <c r="EQ107" t="e">
        <f>AND('STERLING CATALOG - DRY '!C2311,"AAAAAH/rp5I=")</f>
        <v>#VALUE!</v>
      </c>
      <c r="ER107" t="e">
        <f>AND('STERLING CATALOG - DRY '!D2311,"AAAAAH/rp5M=")</f>
        <v>#VALUE!</v>
      </c>
      <c r="ES107" t="e">
        <f>AND('STERLING CATALOG - DRY '!E2311,"AAAAAH/rp5Q=")</f>
        <v>#VALUE!</v>
      </c>
      <c r="ET107" t="e">
        <f>AND('STERLING CATALOG - DRY '!F2311,"AAAAAH/rp5U=")</f>
        <v>#VALUE!</v>
      </c>
      <c r="EU107" t="e">
        <f>AND('STERLING CATALOG - DRY '!G2311,"AAAAAH/rp5Y=")</f>
        <v>#VALUE!</v>
      </c>
      <c r="EV107" t="e">
        <f>AND('STERLING CATALOG - DRY '!H2311,"AAAAAH/rp5c=")</f>
        <v>#VALUE!</v>
      </c>
      <c r="EW107" t="e">
        <f>AND('STERLING CATALOG - DRY '!I2311,"AAAAAH/rp5g=")</f>
        <v>#VALUE!</v>
      </c>
      <c r="EX107" t="e">
        <f>AND('STERLING CATALOG - DRY '!J2311,"AAAAAH/rp5k=")</f>
        <v>#VALUE!</v>
      </c>
      <c r="EY107">
        <f>IF('STERLING CATALOG - DRY '!2312:2312,"AAAAAH/rp5o=",0)</f>
        <v>0</v>
      </c>
      <c r="EZ107" t="e">
        <f>AND('STERLING CATALOG - DRY '!A2312,"AAAAAH/rp5s=")</f>
        <v>#VALUE!</v>
      </c>
      <c r="FA107" t="e">
        <f>AND('STERLING CATALOG - DRY '!B2312,"AAAAAH/rp5w=")</f>
        <v>#VALUE!</v>
      </c>
      <c r="FB107" t="e">
        <f>AND('STERLING CATALOG - DRY '!C2312,"AAAAAH/rp50=")</f>
        <v>#VALUE!</v>
      </c>
      <c r="FC107" t="e">
        <f>AND('STERLING CATALOG - DRY '!D2312,"AAAAAH/rp54=")</f>
        <v>#VALUE!</v>
      </c>
      <c r="FD107" t="e">
        <f>AND('STERLING CATALOG - DRY '!E2312,"AAAAAH/rp58=")</f>
        <v>#VALUE!</v>
      </c>
      <c r="FE107" t="e">
        <f>AND('STERLING CATALOG - DRY '!F2312,"AAAAAH/rp6A=")</f>
        <v>#VALUE!</v>
      </c>
      <c r="FF107" t="e">
        <f>AND('STERLING CATALOG - DRY '!G2312,"AAAAAH/rp6E=")</f>
        <v>#VALUE!</v>
      </c>
      <c r="FG107" t="e">
        <f>AND('STERLING CATALOG - DRY '!H2312,"AAAAAH/rp6I=")</f>
        <v>#VALUE!</v>
      </c>
      <c r="FH107" t="e">
        <f>AND('STERLING CATALOG - DRY '!I2312,"AAAAAH/rp6M=")</f>
        <v>#VALUE!</v>
      </c>
      <c r="FI107" t="e">
        <f>AND('STERLING CATALOG - DRY '!J2312,"AAAAAH/rp6Q=")</f>
        <v>#VALUE!</v>
      </c>
      <c r="FJ107">
        <f>IF('STERLING CATALOG - DRY '!2313:2313,"AAAAAH/rp6U=",0)</f>
        <v>0</v>
      </c>
      <c r="FK107" t="e">
        <f>AND('STERLING CATALOG - DRY '!A2313,"AAAAAH/rp6Y=")</f>
        <v>#VALUE!</v>
      </c>
      <c r="FL107" t="e">
        <f>AND('STERLING CATALOG - DRY '!B2313,"AAAAAH/rp6c=")</f>
        <v>#VALUE!</v>
      </c>
      <c r="FM107" t="e">
        <f>AND('STERLING CATALOG - DRY '!C2313,"AAAAAH/rp6g=")</f>
        <v>#VALUE!</v>
      </c>
      <c r="FN107" t="e">
        <f>AND('STERLING CATALOG - DRY '!D2313,"AAAAAH/rp6k=")</f>
        <v>#VALUE!</v>
      </c>
      <c r="FO107" t="e">
        <f>AND('STERLING CATALOG - DRY '!E2313,"AAAAAH/rp6o=")</f>
        <v>#VALUE!</v>
      </c>
      <c r="FP107" t="e">
        <f>AND('STERLING CATALOG - DRY '!F2313,"AAAAAH/rp6s=")</f>
        <v>#VALUE!</v>
      </c>
      <c r="FQ107" t="e">
        <f>AND('STERLING CATALOG - DRY '!G2313,"AAAAAH/rp6w=")</f>
        <v>#VALUE!</v>
      </c>
      <c r="FR107" t="e">
        <f>AND('STERLING CATALOG - DRY '!H2313,"AAAAAH/rp60=")</f>
        <v>#VALUE!</v>
      </c>
      <c r="FS107" t="e">
        <f>AND('STERLING CATALOG - DRY '!I2313,"AAAAAH/rp64=")</f>
        <v>#VALUE!</v>
      </c>
      <c r="FT107" t="e">
        <f>AND('STERLING CATALOG - DRY '!J2313,"AAAAAH/rp68=")</f>
        <v>#VALUE!</v>
      </c>
      <c r="FU107">
        <f>IF('STERLING CATALOG - DRY '!2314:2314,"AAAAAH/rp7A=",0)</f>
        <v>0</v>
      </c>
      <c r="FV107" t="e">
        <f>AND('STERLING CATALOG - DRY '!A2314,"AAAAAH/rp7E=")</f>
        <v>#VALUE!</v>
      </c>
      <c r="FW107" t="e">
        <f>AND('STERLING CATALOG - DRY '!B2314,"AAAAAH/rp7I=")</f>
        <v>#VALUE!</v>
      </c>
      <c r="FX107" t="e">
        <f>AND('STERLING CATALOG - DRY '!C2314,"AAAAAH/rp7M=")</f>
        <v>#VALUE!</v>
      </c>
      <c r="FY107" t="e">
        <f>AND('STERLING CATALOG - DRY '!D2314,"AAAAAH/rp7Q=")</f>
        <v>#VALUE!</v>
      </c>
      <c r="FZ107" t="e">
        <f>AND('STERLING CATALOG - DRY '!E2314,"AAAAAH/rp7U=")</f>
        <v>#VALUE!</v>
      </c>
      <c r="GA107" t="e">
        <f>AND('STERLING CATALOG - DRY '!F2314,"AAAAAH/rp7Y=")</f>
        <v>#VALUE!</v>
      </c>
      <c r="GB107" t="e">
        <f>AND('STERLING CATALOG - DRY '!G2314,"AAAAAH/rp7c=")</f>
        <v>#VALUE!</v>
      </c>
      <c r="GC107" t="e">
        <f>AND('STERLING CATALOG - DRY '!H2314,"AAAAAH/rp7g=")</f>
        <v>#VALUE!</v>
      </c>
      <c r="GD107" t="e">
        <f>AND('STERLING CATALOG - DRY '!I2314,"AAAAAH/rp7k=")</f>
        <v>#VALUE!</v>
      </c>
      <c r="GE107" t="e">
        <f>AND('STERLING CATALOG - DRY '!J2314,"AAAAAH/rp7o=")</f>
        <v>#VALUE!</v>
      </c>
      <c r="GF107">
        <f>IF('STERLING CATALOG - DRY '!2315:2315,"AAAAAH/rp7s=",0)</f>
        <v>0</v>
      </c>
      <c r="GG107" t="e">
        <f>AND('STERLING CATALOG - DRY '!A2315,"AAAAAH/rp7w=")</f>
        <v>#VALUE!</v>
      </c>
      <c r="GH107" t="e">
        <f>AND('STERLING CATALOG - DRY '!B2315,"AAAAAH/rp70=")</f>
        <v>#VALUE!</v>
      </c>
      <c r="GI107" t="e">
        <f>AND('STERLING CATALOG - DRY '!C2315,"AAAAAH/rp74=")</f>
        <v>#VALUE!</v>
      </c>
      <c r="GJ107" t="e">
        <f>AND('STERLING CATALOG - DRY '!D2315,"AAAAAH/rp78=")</f>
        <v>#VALUE!</v>
      </c>
      <c r="GK107" t="e">
        <f>AND('STERLING CATALOG - DRY '!E2315,"AAAAAH/rp8A=")</f>
        <v>#VALUE!</v>
      </c>
      <c r="GL107" t="e">
        <f>AND('STERLING CATALOG - DRY '!F2315,"AAAAAH/rp8E=")</f>
        <v>#VALUE!</v>
      </c>
      <c r="GM107" t="e">
        <f>AND('STERLING CATALOG - DRY '!G2315,"AAAAAH/rp8I=")</f>
        <v>#VALUE!</v>
      </c>
      <c r="GN107" t="e">
        <f>AND('STERLING CATALOG - DRY '!H2315,"AAAAAH/rp8M=")</f>
        <v>#VALUE!</v>
      </c>
      <c r="GO107" t="e">
        <f>AND('STERLING CATALOG - DRY '!I2315,"AAAAAH/rp8Q=")</f>
        <v>#VALUE!</v>
      </c>
      <c r="GP107" t="e">
        <f>AND('STERLING CATALOG - DRY '!J2315,"AAAAAH/rp8U=")</f>
        <v>#VALUE!</v>
      </c>
      <c r="GQ107">
        <f>IF('STERLING CATALOG - DRY '!2316:2316,"AAAAAH/rp8Y=",0)</f>
        <v>0</v>
      </c>
      <c r="GR107" t="e">
        <f>AND('STERLING CATALOG - DRY '!A2316,"AAAAAH/rp8c=")</f>
        <v>#VALUE!</v>
      </c>
      <c r="GS107" t="e">
        <f>AND('STERLING CATALOG - DRY '!B2316,"AAAAAH/rp8g=")</f>
        <v>#VALUE!</v>
      </c>
      <c r="GT107" t="e">
        <f>AND('STERLING CATALOG - DRY '!C2316,"AAAAAH/rp8k=")</f>
        <v>#VALUE!</v>
      </c>
      <c r="GU107" t="e">
        <f>AND('STERLING CATALOG - DRY '!D2316,"AAAAAH/rp8o=")</f>
        <v>#VALUE!</v>
      </c>
      <c r="GV107" t="e">
        <f>AND('STERLING CATALOG - DRY '!E2316,"AAAAAH/rp8s=")</f>
        <v>#VALUE!</v>
      </c>
      <c r="GW107" t="e">
        <f>AND('STERLING CATALOG - DRY '!F2316,"AAAAAH/rp8w=")</f>
        <v>#VALUE!</v>
      </c>
      <c r="GX107" t="e">
        <f>AND('STERLING CATALOG - DRY '!G2316,"AAAAAH/rp80=")</f>
        <v>#VALUE!</v>
      </c>
      <c r="GY107" t="e">
        <f>AND('STERLING CATALOG - DRY '!H2316,"AAAAAH/rp84=")</f>
        <v>#VALUE!</v>
      </c>
      <c r="GZ107" t="e">
        <f>AND('STERLING CATALOG - DRY '!I2316,"AAAAAH/rp88=")</f>
        <v>#VALUE!</v>
      </c>
      <c r="HA107" t="e">
        <f>AND('STERLING CATALOG - DRY '!J2316,"AAAAAH/rp9A=")</f>
        <v>#VALUE!</v>
      </c>
      <c r="HB107">
        <f>IF('STERLING CATALOG - DRY '!2317:2317,"AAAAAH/rp9E=",0)</f>
        <v>0</v>
      </c>
      <c r="HC107" t="e">
        <f>AND('STERLING CATALOG - DRY '!A2317,"AAAAAH/rp9I=")</f>
        <v>#VALUE!</v>
      </c>
      <c r="HD107" t="e">
        <f>AND('STERLING CATALOG - DRY '!B2317,"AAAAAH/rp9M=")</f>
        <v>#VALUE!</v>
      </c>
      <c r="HE107" t="e">
        <f>AND('STERLING CATALOG - DRY '!C2317,"AAAAAH/rp9Q=")</f>
        <v>#VALUE!</v>
      </c>
      <c r="HF107" t="e">
        <f>AND('STERLING CATALOG - DRY '!D2317,"AAAAAH/rp9U=")</f>
        <v>#VALUE!</v>
      </c>
      <c r="HG107" t="e">
        <f>AND('STERLING CATALOG - DRY '!E2317,"AAAAAH/rp9Y=")</f>
        <v>#VALUE!</v>
      </c>
      <c r="HH107" t="e">
        <f>AND('STERLING CATALOG - DRY '!F2317,"AAAAAH/rp9c=")</f>
        <v>#VALUE!</v>
      </c>
      <c r="HI107" t="e">
        <f>AND('STERLING CATALOG - DRY '!G2317,"AAAAAH/rp9g=")</f>
        <v>#VALUE!</v>
      </c>
      <c r="HJ107" t="e">
        <f>AND('STERLING CATALOG - DRY '!H2317,"AAAAAH/rp9k=")</f>
        <v>#VALUE!</v>
      </c>
      <c r="HK107" t="e">
        <f>AND('STERLING CATALOG - DRY '!I2317,"AAAAAH/rp9o=")</f>
        <v>#VALUE!</v>
      </c>
      <c r="HL107" t="e">
        <f>AND('STERLING CATALOG - DRY '!J2317,"AAAAAH/rp9s=")</f>
        <v>#VALUE!</v>
      </c>
      <c r="HM107">
        <f>IF('STERLING CATALOG - DRY '!2318:2318,"AAAAAH/rp9w=",0)</f>
        <v>0</v>
      </c>
      <c r="HN107" t="e">
        <f>AND('STERLING CATALOG - DRY '!A2318,"AAAAAH/rp90=")</f>
        <v>#VALUE!</v>
      </c>
      <c r="HO107" t="e">
        <f>AND('STERLING CATALOG - DRY '!B2318,"AAAAAH/rp94=")</f>
        <v>#VALUE!</v>
      </c>
      <c r="HP107" t="e">
        <f>AND('STERLING CATALOG - DRY '!C2318,"AAAAAH/rp98=")</f>
        <v>#VALUE!</v>
      </c>
      <c r="HQ107" t="e">
        <f>AND('STERLING CATALOG - DRY '!D2318,"AAAAAH/rp+A=")</f>
        <v>#VALUE!</v>
      </c>
      <c r="HR107" t="e">
        <f>AND('STERLING CATALOG - DRY '!E2318,"AAAAAH/rp+E=")</f>
        <v>#VALUE!</v>
      </c>
      <c r="HS107" t="e">
        <f>AND('STERLING CATALOG - DRY '!F2318,"AAAAAH/rp+I=")</f>
        <v>#VALUE!</v>
      </c>
      <c r="HT107" t="e">
        <f>AND('STERLING CATALOG - DRY '!G2318,"AAAAAH/rp+M=")</f>
        <v>#VALUE!</v>
      </c>
      <c r="HU107" t="e">
        <f>AND('STERLING CATALOG - DRY '!H2318,"AAAAAH/rp+Q=")</f>
        <v>#VALUE!</v>
      </c>
      <c r="HV107" t="e">
        <f>AND('STERLING CATALOG - DRY '!I2318,"AAAAAH/rp+U=")</f>
        <v>#VALUE!</v>
      </c>
      <c r="HW107" t="e">
        <f>AND('STERLING CATALOG - DRY '!J2318,"AAAAAH/rp+Y=")</f>
        <v>#VALUE!</v>
      </c>
      <c r="HX107">
        <f>IF('STERLING CATALOG - DRY '!2319:2319,"AAAAAH/rp+c=",0)</f>
        <v>0</v>
      </c>
      <c r="HY107" t="e">
        <f>AND('STERLING CATALOG - DRY '!A2319,"AAAAAH/rp+g=")</f>
        <v>#VALUE!</v>
      </c>
      <c r="HZ107" t="e">
        <f>AND('STERLING CATALOG - DRY '!B2319,"AAAAAH/rp+k=")</f>
        <v>#VALUE!</v>
      </c>
      <c r="IA107" t="e">
        <f>AND('STERLING CATALOG - DRY '!C2319,"AAAAAH/rp+o=")</f>
        <v>#VALUE!</v>
      </c>
      <c r="IB107" t="e">
        <f>AND('STERLING CATALOG - DRY '!D2319,"AAAAAH/rp+s=")</f>
        <v>#VALUE!</v>
      </c>
      <c r="IC107" t="e">
        <f>AND('STERLING CATALOG - DRY '!E2319,"AAAAAH/rp+w=")</f>
        <v>#VALUE!</v>
      </c>
      <c r="ID107" t="e">
        <f>AND('STERLING CATALOG - DRY '!F2319,"AAAAAH/rp+0=")</f>
        <v>#VALUE!</v>
      </c>
      <c r="IE107" t="e">
        <f>AND('STERLING CATALOG - DRY '!G2319,"AAAAAH/rp+4=")</f>
        <v>#VALUE!</v>
      </c>
      <c r="IF107" t="e">
        <f>AND('STERLING CATALOG - DRY '!H2319,"AAAAAH/rp+8=")</f>
        <v>#VALUE!</v>
      </c>
      <c r="IG107" t="e">
        <f>AND('STERLING CATALOG - DRY '!I2319,"AAAAAH/rp/A=")</f>
        <v>#VALUE!</v>
      </c>
      <c r="IH107" t="e">
        <f>AND('STERLING CATALOG - DRY '!J2319,"AAAAAH/rp/E=")</f>
        <v>#VALUE!</v>
      </c>
      <c r="II107">
        <f>IF('STERLING CATALOG - DRY '!2320:2320,"AAAAAH/rp/I=",0)</f>
        <v>0</v>
      </c>
      <c r="IJ107" t="e">
        <f>AND('STERLING CATALOG - DRY '!A2320,"AAAAAH/rp/M=")</f>
        <v>#VALUE!</v>
      </c>
      <c r="IK107" t="e">
        <f>AND('STERLING CATALOG - DRY '!B2320,"AAAAAH/rp/Q=")</f>
        <v>#VALUE!</v>
      </c>
      <c r="IL107" t="e">
        <f>AND('STERLING CATALOG - DRY '!C2320,"AAAAAH/rp/U=")</f>
        <v>#VALUE!</v>
      </c>
      <c r="IM107" t="e">
        <f>AND('STERLING CATALOG - DRY '!D2320,"AAAAAH/rp/Y=")</f>
        <v>#VALUE!</v>
      </c>
      <c r="IN107" t="e">
        <f>AND('STERLING CATALOG - DRY '!E2320,"AAAAAH/rp/c=")</f>
        <v>#VALUE!</v>
      </c>
      <c r="IO107" t="e">
        <f>AND('STERLING CATALOG - DRY '!F2320,"AAAAAH/rp/g=")</f>
        <v>#VALUE!</v>
      </c>
      <c r="IP107" t="e">
        <f>AND('STERLING CATALOG - DRY '!G2320,"AAAAAH/rp/k=")</f>
        <v>#VALUE!</v>
      </c>
      <c r="IQ107" t="e">
        <f>AND('STERLING CATALOG - DRY '!H2320,"AAAAAH/rp/o=")</f>
        <v>#VALUE!</v>
      </c>
      <c r="IR107" t="e">
        <f>AND('STERLING CATALOG - DRY '!I2320,"AAAAAH/rp/s=")</f>
        <v>#VALUE!</v>
      </c>
      <c r="IS107" t="e">
        <f>AND('STERLING CATALOG - DRY '!J2320,"AAAAAH/rp/w=")</f>
        <v>#VALUE!</v>
      </c>
      <c r="IT107">
        <f>IF('STERLING CATALOG - DRY '!2321:2321,"AAAAAH/rp/0=",0)</f>
        <v>0</v>
      </c>
      <c r="IU107" t="e">
        <f>AND('STERLING CATALOG - DRY '!A2321,"AAAAAH/rp/4=")</f>
        <v>#VALUE!</v>
      </c>
      <c r="IV107" t="e">
        <f>AND('STERLING CATALOG - DRY '!B2321,"AAAAAH/rp/8=")</f>
        <v>#VALUE!</v>
      </c>
    </row>
    <row r="108" spans="1:256">
      <c r="A108" t="e">
        <f>AND('STERLING CATALOG - DRY '!C2321,"AAAAAEv7xwA=")</f>
        <v>#VALUE!</v>
      </c>
      <c r="B108" t="e">
        <f>AND('STERLING CATALOG - DRY '!D2321,"AAAAAEv7xwE=")</f>
        <v>#VALUE!</v>
      </c>
      <c r="C108" t="e">
        <f>AND('STERLING CATALOG - DRY '!E2321,"AAAAAEv7xwI=")</f>
        <v>#VALUE!</v>
      </c>
      <c r="D108" t="e">
        <f>AND('STERLING CATALOG - DRY '!F2321,"AAAAAEv7xwM=")</f>
        <v>#VALUE!</v>
      </c>
      <c r="E108" t="e">
        <f>AND('STERLING CATALOG - DRY '!G2321,"AAAAAEv7xwQ=")</f>
        <v>#VALUE!</v>
      </c>
      <c r="F108" t="e">
        <f>AND('STERLING CATALOG - DRY '!H2321,"AAAAAEv7xwU=")</f>
        <v>#VALUE!</v>
      </c>
      <c r="G108" t="e">
        <f>AND('STERLING CATALOG - DRY '!I2321,"AAAAAEv7xwY=")</f>
        <v>#VALUE!</v>
      </c>
      <c r="H108" t="e">
        <f>AND('STERLING CATALOG - DRY '!J2321,"AAAAAEv7xwc=")</f>
        <v>#VALUE!</v>
      </c>
      <c r="I108" t="e">
        <f>IF('STERLING CATALOG - DRY '!2322:2322,"AAAAAEv7xwg=",0)</f>
        <v>#VALUE!</v>
      </c>
      <c r="J108" t="e">
        <f>AND('STERLING CATALOG - DRY '!A2322,"AAAAAEv7xwk=")</f>
        <v>#VALUE!</v>
      </c>
      <c r="K108" t="e">
        <f>AND('STERLING CATALOG - DRY '!B2322,"AAAAAEv7xwo=")</f>
        <v>#VALUE!</v>
      </c>
      <c r="L108" t="e">
        <f>AND('STERLING CATALOG - DRY '!C2322,"AAAAAEv7xws=")</f>
        <v>#VALUE!</v>
      </c>
      <c r="M108" t="e">
        <f>AND('STERLING CATALOG - DRY '!D2322,"AAAAAEv7xww=")</f>
        <v>#VALUE!</v>
      </c>
      <c r="N108" t="e">
        <f>AND('STERLING CATALOG - DRY '!E2322,"AAAAAEv7xw0=")</f>
        <v>#VALUE!</v>
      </c>
      <c r="O108" t="e">
        <f>AND('STERLING CATALOG - DRY '!F2322,"AAAAAEv7xw4=")</f>
        <v>#VALUE!</v>
      </c>
      <c r="P108" t="e">
        <f>AND('STERLING CATALOG - DRY '!G2322,"AAAAAEv7xw8=")</f>
        <v>#VALUE!</v>
      </c>
      <c r="Q108" t="e">
        <f>AND('STERLING CATALOG - DRY '!H2322,"AAAAAEv7xxA=")</f>
        <v>#VALUE!</v>
      </c>
      <c r="R108" t="e">
        <f>AND('STERLING CATALOG - DRY '!I2322,"AAAAAEv7xxE=")</f>
        <v>#VALUE!</v>
      </c>
      <c r="S108" t="e">
        <f>AND('STERLING CATALOG - DRY '!J2322,"AAAAAEv7xxI=")</f>
        <v>#VALUE!</v>
      </c>
      <c r="T108">
        <f>IF('STERLING CATALOG - DRY '!2323:2323,"AAAAAEv7xxM=",0)</f>
        <v>0</v>
      </c>
      <c r="U108" t="e">
        <f>AND('STERLING CATALOG - DRY '!A2323,"AAAAAEv7xxQ=")</f>
        <v>#VALUE!</v>
      </c>
      <c r="V108" t="e">
        <f>AND('STERLING CATALOG - DRY '!B2323,"AAAAAEv7xxU=")</f>
        <v>#VALUE!</v>
      </c>
      <c r="W108" t="e">
        <f>AND('STERLING CATALOG - DRY '!C2323,"AAAAAEv7xxY=")</f>
        <v>#VALUE!</v>
      </c>
      <c r="X108" t="e">
        <f>AND('STERLING CATALOG - DRY '!D2323,"AAAAAEv7xxc=")</f>
        <v>#VALUE!</v>
      </c>
      <c r="Y108" t="e">
        <f>AND('STERLING CATALOG - DRY '!E2323,"AAAAAEv7xxg=")</f>
        <v>#VALUE!</v>
      </c>
      <c r="Z108" t="e">
        <f>AND('STERLING CATALOG - DRY '!F2323,"AAAAAEv7xxk=")</f>
        <v>#VALUE!</v>
      </c>
      <c r="AA108" t="e">
        <f>AND('STERLING CATALOG - DRY '!G2323,"AAAAAEv7xxo=")</f>
        <v>#VALUE!</v>
      </c>
      <c r="AB108" t="e">
        <f>AND('STERLING CATALOG - DRY '!H2323,"AAAAAEv7xxs=")</f>
        <v>#VALUE!</v>
      </c>
      <c r="AC108" t="e">
        <f>AND('STERLING CATALOG - DRY '!I2323,"AAAAAEv7xxw=")</f>
        <v>#VALUE!</v>
      </c>
      <c r="AD108" t="e">
        <f>AND('STERLING CATALOG - DRY '!J2323,"AAAAAEv7xx0=")</f>
        <v>#VALUE!</v>
      </c>
      <c r="AE108">
        <f>IF('STERLING CATALOG - DRY '!2324:2324,"AAAAAEv7xx4=",0)</f>
        <v>0</v>
      </c>
      <c r="AF108" t="e">
        <f>AND('STERLING CATALOG - DRY '!A2324,"AAAAAEv7xx8=")</f>
        <v>#VALUE!</v>
      </c>
      <c r="AG108" t="e">
        <f>AND('STERLING CATALOG - DRY '!B2324,"AAAAAEv7xyA=")</f>
        <v>#VALUE!</v>
      </c>
      <c r="AH108" t="e">
        <f>AND('STERLING CATALOG - DRY '!C2324,"AAAAAEv7xyE=")</f>
        <v>#VALUE!</v>
      </c>
      <c r="AI108" t="e">
        <f>AND('STERLING CATALOG - DRY '!D2324,"AAAAAEv7xyI=")</f>
        <v>#VALUE!</v>
      </c>
      <c r="AJ108" t="e">
        <f>AND('STERLING CATALOG - DRY '!E2324,"AAAAAEv7xyM=")</f>
        <v>#VALUE!</v>
      </c>
      <c r="AK108" t="e">
        <f>AND('STERLING CATALOG - DRY '!F2324,"AAAAAEv7xyQ=")</f>
        <v>#VALUE!</v>
      </c>
      <c r="AL108" t="e">
        <f>AND('STERLING CATALOG - DRY '!G2324,"AAAAAEv7xyU=")</f>
        <v>#VALUE!</v>
      </c>
      <c r="AM108" t="e">
        <f>AND('STERLING CATALOG - DRY '!H2324,"AAAAAEv7xyY=")</f>
        <v>#VALUE!</v>
      </c>
      <c r="AN108" t="e">
        <f>AND('STERLING CATALOG - DRY '!I2324,"AAAAAEv7xyc=")</f>
        <v>#VALUE!</v>
      </c>
      <c r="AO108" t="e">
        <f>AND('STERLING CATALOG - DRY '!J2324,"AAAAAEv7xyg=")</f>
        <v>#VALUE!</v>
      </c>
      <c r="AP108">
        <f>IF('STERLING CATALOG - DRY '!2325:2325,"AAAAAEv7xyk=",0)</f>
        <v>0</v>
      </c>
      <c r="AQ108" t="e">
        <f>AND('STERLING CATALOG - DRY '!A2325,"AAAAAEv7xyo=")</f>
        <v>#VALUE!</v>
      </c>
      <c r="AR108" t="e">
        <f>AND('STERLING CATALOG - DRY '!B2325,"AAAAAEv7xys=")</f>
        <v>#VALUE!</v>
      </c>
      <c r="AS108" t="e">
        <f>AND('STERLING CATALOG - DRY '!C2325,"AAAAAEv7xyw=")</f>
        <v>#VALUE!</v>
      </c>
      <c r="AT108" t="e">
        <f>AND('STERLING CATALOG - DRY '!D2325,"AAAAAEv7xy0=")</f>
        <v>#VALUE!</v>
      </c>
      <c r="AU108" t="e">
        <f>AND('STERLING CATALOG - DRY '!E2325,"AAAAAEv7xy4=")</f>
        <v>#VALUE!</v>
      </c>
      <c r="AV108" t="e">
        <f>AND('STERLING CATALOG - DRY '!F2325,"AAAAAEv7xy8=")</f>
        <v>#VALUE!</v>
      </c>
      <c r="AW108" t="e">
        <f>AND('STERLING CATALOG - DRY '!G2325,"AAAAAEv7xzA=")</f>
        <v>#VALUE!</v>
      </c>
      <c r="AX108" t="e">
        <f>AND('STERLING CATALOG - DRY '!H2325,"AAAAAEv7xzE=")</f>
        <v>#VALUE!</v>
      </c>
      <c r="AY108" t="e">
        <f>AND('STERLING CATALOG - DRY '!I2325,"AAAAAEv7xzI=")</f>
        <v>#VALUE!</v>
      </c>
      <c r="AZ108" t="e">
        <f>AND('STERLING CATALOG - DRY '!J2325,"AAAAAEv7xzM=")</f>
        <v>#VALUE!</v>
      </c>
      <c r="BA108">
        <f>IF('STERLING CATALOG - DRY '!2326:2326,"AAAAAEv7xzQ=",0)</f>
        <v>0</v>
      </c>
      <c r="BB108" t="e">
        <f>AND('STERLING CATALOG - DRY '!A2326,"AAAAAEv7xzU=")</f>
        <v>#VALUE!</v>
      </c>
      <c r="BC108" t="e">
        <f>AND('STERLING CATALOG - DRY '!B2326,"AAAAAEv7xzY=")</f>
        <v>#VALUE!</v>
      </c>
      <c r="BD108" t="e">
        <f>AND('STERLING CATALOG - DRY '!C2326,"AAAAAEv7xzc=")</f>
        <v>#VALUE!</v>
      </c>
      <c r="BE108" t="e">
        <f>AND('STERLING CATALOG - DRY '!D2326,"AAAAAEv7xzg=")</f>
        <v>#VALUE!</v>
      </c>
      <c r="BF108" t="e">
        <f>AND('STERLING CATALOG - DRY '!E2326,"AAAAAEv7xzk=")</f>
        <v>#VALUE!</v>
      </c>
      <c r="BG108" t="e">
        <f>AND('STERLING CATALOG - DRY '!F2326,"AAAAAEv7xzo=")</f>
        <v>#VALUE!</v>
      </c>
      <c r="BH108" t="e">
        <f>AND('STERLING CATALOG - DRY '!G2326,"AAAAAEv7xzs=")</f>
        <v>#VALUE!</v>
      </c>
      <c r="BI108" t="e">
        <f>AND('STERLING CATALOG - DRY '!H2326,"AAAAAEv7xzw=")</f>
        <v>#VALUE!</v>
      </c>
      <c r="BJ108" t="e">
        <f>AND('STERLING CATALOG - DRY '!I2326,"AAAAAEv7xz0=")</f>
        <v>#VALUE!</v>
      </c>
      <c r="BK108" t="e">
        <f>AND('STERLING CATALOG - DRY '!J2326,"AAAAAEv7xz4=")</f>
        <v>#VALUE!</v>
      </c>
      <c r="BL108">
        <f>IF('STERLING CATALOG - DRY '!2327:2327,"AAAAAEv7xz8=",0)</f>
        <v>0</v>
      </c>
      <c r="BM108" t="e">
        <f>AND('STERLING CATALOG - DRY '!A2327,"AAAAAEv7x0A=")</f>
        <v>#VALUE!</v>
      </c>
      <c r="BN108" t="e">
        <f>AND('STERLING CATALOG - DRY '!B2327,"AAAAAEv7x0E=")</f>
        <v>#VALUE!</v>
      </c>
      <c r="BO108" t="e">
        <f>AND('STERLING CATALOG - DRY '!C2327,"AAAAAEv7x0I=")</f>
        <v>#VALUE!</v>
      </c>
      <c r="BP108" t="e">
        <f>AND('STERLING CATALOG - DRY '!D2327,"AAAAAEv7x0M=")</f>
        <v>#VALUE!</v>
      </c>
      <c r="BQ108" t="e">
        <f>AND('STERLING CATALOG - DRY '!E2327,"AAAAAEv7x0Q=")</f>
        <v>#VALUE!</v>
      </c>
      <c r="BR108" t="e">
        <f>AND('STERLING CATALOG - DRY '!F2327,"AAAAAEv7x0U=")</f>
        <v>#VALUE!</v>
      </c>
      <c r="BS108" t="e">
        <f>AND('STERLING CATALOG - DRY '!G2327,"AAAAAEv7x0Y=")</f>
        <v>#VALUE!</v>
      </c>
      <c r="BT108" t="e">
        <f>AND('STERLING CATALOG - DRY '!H2327,"AAAAAEv7x0c=")</f>
        <v>#VALUE!</v>
      </c>
      <c r="BU108" t="e">
        <f>AND('STERLING CATALOG - DRY '!I2327,"AAAAAEv7x0g=")</f>
        <v>#VALUE!</v>
      </c>
      <c r="BV108" t="e">
        <f>AND('STERLING CATALOG - DRY '!J2327,"AAAAAEv7x0k=")</f>
        <v>#VALUE!</v>
      </c>
      <c r="BW108">
        <f>IF('STERLING CATALOG - DRY '!2328:2328,"AAAAAEv7x0o=",0)</f>
        <v>0</v>
      </c>
      <c r="BX108" t="e">
        <f>AND('STERLING CATALOG - DRY '!A2328,"AAAAAEv7x0s=")</f>
        <v>#VALUE!</v>
      </c>
      <c r="BY108" t="e">
        <f>AND('STERLING CATALOG - DRY '!B2328,"AAAAAEv7x0w=")</f>
        <v>#VALUE!</v>
      </c>
      <c r="BZ108" t="e">
        <f>AND('STERLING CATALOG - DRY '!C2328,"AAAAAEv7x00=")</f>
        <v>#VALUE!</v>
      </c>
      <c r="CA108" t="e">
        <f>AND('STERLING CATALOG - DRY '!D2328,"AAAAAEv7x04=")</f>
        <v>#VALUE!</v>
      </c>
      <c r="CB108" t="e">
        <f>AND('STERLING CATALOG - DRY '!E2328,"AAAAAEv7x08=")</f>
        <v>#VALUE!</v>
      </c>
      <c r="CC108" t="e">
        <f>AND('STERLING CATALOG - DRY '!F2328,"AAAAAEv7x1A=")</f>
        <v>#VALUE!</v>
      </c>
      <c r="CD108" t="e">
        <f>AND('STERLING CATALOG - DRY '!G2328,"AAAAAEv7x1E=")</f>
        <v>#VALUE!</v>
      </c>
      <c r="CE108" t="e">
        <f>AND('STERLING CATALOG - DRY '!H2328,"AAAAAEv7x1I=")</f>
        <v>#VALUE!</v>
      </c>
      <c r="CF108" t="e">
        <f>AND('STERLING CATALOG - DRY '!I2328,"AAAAAEv7x1M=")</f>
        <v>#VALUE!</v>
      </c>
      <c r="CG108" t="e">
        <f>AND('STERLING CATALOG - DRY '!J2328,"AAAAAEv7x1Q=")</f>
        <v>#VALUE!</v>
      </c>
      <c r="CH108">
        <f>IF('STERLING CATALOG - DRY '!2329:2329,"AAAAAEv7x1U=",0)</f>
        <v>0</v>
      </c>
      <c r="CI108" t="e">
        <f>AND('STERLING CATALOG - DRY '!A2329,"AAAAAEv7x1Y=")</f>
        <v>#VALUE!</v>
      </c>
      <c r="CJ108" t="e">
        <f>AND('STERLING CATALOG - DRY '!B2329,"AAAAAEv7x1c=")</f>
        <v>#VALUE!</v>
      </c>
      <c r="CK108" t="e">
        <f>AND('STERLING CATALOG - DRY '!C2329,"AAAAAEv7x1g=")</f>
        <v>#VALUE!</v>
      </c>
      <c r="CL108" t="e">
        <f>AND('STERLING CATALOG - DRY '!D2329,"AAAAAEv7x1k=")</f>
        <v>#VALUE!</v>
      </c>
      <c r="CM108" t="e">
        <f>AND('STERLING CATALOG - DRY '!E2329,"AAAAAEv7x1o=")</f>
        <v>#VALUE!</v>
      </c>
      <c r="CN108" t="e">
        <f>AND('STERLING CATALOG - DRY '!F2329,"AAAAAEv7x1s=")</f>
        <v>#VALUE!</v>
      </c>
      <c r="CO108" t="e">
        <f>AND('STERLING CATALOG - DRY '!G2329,"AAAAAEv7x1w=")</f>
        <v>#VALUE!</v>
      </c>
      <c r="CP108" t="e">
        <f>AND('STERLING CATALOG - DRY '!H2329,"AAAAAEv7x10=")</f>
        <v>#VALUE!</v>
      </c>
      <c r="CQ108" t="e">
        <f>AND('STERLING CATALOG - DRY '!I2329,"AAAAAEv7x14=")</f>
        <v>#VALUE!</v>
      </c>
      <c r="CR108" t="e">
        <f>AND('STERLING CATALOG - DRY '!J2329,"AAAAAEv7x18=")</f>
        <v>#VALUE!</v>
      </c>
      <c r="CS108">
        <f>IF('STERLING CATALOG - DRY '!2330:2330,"AAAAAEv7x2A=",0)</f>
        <v>0</v>
      </c>
      <c r="CT108" t="e">
        <f>AND('STERLING CATALOG - DRY '!A2330,"AAAAAEv7x2E=")</f>
        <v>#VALUE!</v>
      </c>
      <c r="CU108" t="e">
        <f>AND('STERLING CATALOG - DRY '!B2330,"AAAAAEv7x2I=")</f>
        <v>#VALUE!</v>
      </c>
      <c r="CV108" t="e">
        <f>AND('STERLING CATALOG - DRY '!C2330,"AAAAAEv7x2M=")</f>
        <v>#VALUE!</v>
      </c>
      <c r="CW108" t="e">
        <f>AND('STERLING CATALOG - DRY '!D2330,"AAAAAEv7x2Q=")</f>
        <v>#VALUE!</v>
      </c>
      <c r="CX108" t="e">
        <f>AND('STERLING CATALOG - DRY '!E2330,"AAAAAEv7x2U=")</f>
        <v>#VALUE!</v>
      </c>
      <c r="CY108" t="e">
        <f>AND('STERLING CATALOG - DRY '!F2330,"AAAAAEv7x2Y=")</f>
        <v>#VALUE!</v>
      </c>
      <c r="CZ108" t="e">
        <f>AND('STERLING CATALOG - DRY '!G2330,"AAAAAEv7x2c=")</f>
        <v>#VALUE!</v>
      </c>
      <c r="DA108" t="e">
        <f>AND('STERLING CATALOG - DRY '!H2330,"AAAAAEv7x2g=")</f>
        <v>#VALUE!</v>
      </c>
      <c r="DB108" t="e">
        <f>AND('STERLING CATALOG - DRY '!I2330,"AAAAAEv7x2k=")</f>
        <v>#VALUE!</v>
      </c>
      <c r="DC108" t="e">
        <f>AND('STERLING CATALOG - DRY '!J2330,"AAAAAEv7x2o=")</f>
        <v>#VALUE!</v>
      </c>
      <c r="DD108">
        <f>IF('STERLING CATALOG - DRY '!2331:2331,"AAAAAEv7x2s=",0)</f>
        <v>0</v>
      </c>
      <c r="DE108" t="e">
        <f>AND('STERLING CATALOG - DRY '!A2331,"AAAAAEv7x2w=")</f>
        <v>#VALUE!</v>
      </c>
      <c r="DF108" t="e">
        <f>AND('STERLING CATALOG - DRY '!B2331,"AAAAAEv7x20=")</f>
        <v>#VALUE!</v>
      </c>
      <c r="DG108" t="e">
        <f>AND('STERLING CATALOG - DRY '!C2331,"AAAAAEv7x24=")</f>
        <v>#VALUE!</v>
      </c>
      <c r="DH108" t="e">
        <f>AND('STERLING CATALOG - DRY '!D2331,"AAAAAEv7x28=")</f>
        <v>#VALUE!</v>
      </c>
      <c r="DI108" t="e">
        <f>AND('STERLING CATALOG - DRY '!E2331,"AAAAAEv7x3A=")</f>
        <v>#VALUE!</v>
      </c>
      <c r="DJ108" t="e">
        <f>AND('STERLING CATALOG - DRY '!F2331,"AAAAAEv7x3E=")</f>
        <v>#VALUE!</v>
      </c>
      <c r="DK108" t="e">
        <f>AND('STERLING CATALOG - DRY '!G2331,"AAAAAEv7x3I=")</f>
        <v>#VALUE!</v>
      </c>
      <c r="DL108" t="e">
        <f>AND('STERLING CATALOG - DRY '!H2331,"AAAAAEv7x3M=")</f>
        <v>#VALUE!</v>
      </c>
      <c r="DM108" t="e">
        <f>AND('STERLING CATALOG - DRY '!I2331,"AAAAAEv7x3Q=")</f>
        <v>#VALUE!</v>
      </c>
      <c r="DN108" t="e">
        <f>AND('STERLING CATALOG - DRY '!J2331,"AAAAAEv7x3U=")</f>
        <v>#VALUE!</v>
      </c>
      <c r="DO108">
        <f>IF('STERLING CATALOG - DRY '!2332:2332,"AAAAAEv7x3Y=",0)</f>
        <v>0</v>
      </c>
      <c r="DP108" t="e">
        <f>AND('STERLING CATALOG - DRY '!A2332,"AAAAAEv7x3c=")</f>
        <v>#VALUE!</v>
      </c>
      <c r="DQ108" t="e">
        <f>AND('STERLING CATALOG - DRY '!B2332,"AAAAAEv7x3g=")</f>
        <v>#VALUE!</v>
      </c>
      <c r="DR108" t="e">
        <f>AND('STERLING CATALOG - DRY '!C2332,"AAAAAEv7x3k=")</f>
        <v>#VALUE!</v>
      </c>
      <c r="DS108" t="e">
        <f>AND('STERLING CATALOG - DRY '!D2332,"AAAAAEv7x3o=")</f>
        <v>#VALUE!</v>
      </c>
      <c r="DT108" t="e">
        <f>AND('STERLING CATALOG - DRY '!E2332,"AAAAAEv7x3s=")</f>
        <v>#VALUE!</v>
      </c>
      <c r="DU108" t="e">
        <f>AND('STERLING CATALOG - DRY '!F2332,"AAAAAEv7x3w=")</f>
        <v>#VALUE!</v>
      </c>
      <c r="DV108" t="e">
        <f>AND('STERLING CATALOG - DRY '!G2332,"AAAAAEv7x30=")</f>
        <v>#VALUE!</v>
      </c>
      <c r="DW108" t="e">
        <f>AND('STERLING CATALOG - DRY '!H2332,"AAAAAEv7x34=")</f>
        <v>#VALUE!</v>
      </c>
      <c r="DX108" t="e">
        <f>AND('STERLING CATALOG - DRY '!I2332,"AAAAAEv7x38=")</f>
        <v>#VALUE!</v>
      </c>
      <c r="DY108" t="e">
        <f>AND('STERLING CATALOG - DRY '!J2332,"AAAAAEv7x4A=")</f>
        <v>#VALUE!</v>
      </c>
      <c r="DZ108">
        <f>IF('STERLING CATALOG - DRY '!2333:2333,"AAAAAEv7x4E=",0)</f>
        <v>0</v>
      </c>
      <c r="EA108" t="e">
        <f>AND('STERLING CATALOG - DRY '!A2333,"AAAAAEv7x4I=")</f>
        <v>#VALUE!</v>
      </c>
      <c r="EB108" t="e">
        <f>AND('STERLING CATALOG - DRY '!B2333,"AAAAAEv7x4M=")</f>
        <v>#VALUE!</v>
      </c>
      <c r="EC108" t="e">
        <f>AND('STERLING CATALOG - DRY '!C2333,"AAAAAEv7x4Q=")</f>
        <v>#VALUE!</v>
      </c>
      <c r="ED108" t="e">
        <f>AND('STERLING CATALOG - DRY '!D2333,"AAAAAEv7x4U=")</f>
        <v>#VALUE!</v>
      </c>
      <c r="EE108" t="e">
        <f>AND('STERLING CATALOG - DRY '!E2333,"AAAAAEv7x4Y=")</f>
        <v>#VALUE!</v>
      </c>
      <c r="EF108" t="e">
        <f>AND('STERLING CATALOG - DRY '!F2333,"AAAAAEv7x4c=")</f>
        <v>#VALUE!</v>
      </c>
      <c r="EG108" t="e">
        <f>AND('STERLING CATALOG - DRY '!G2333,"AAAAAEv7x4g=")</f>
        <v>#VALUE!</v>
      </c>
      <c r="EH108" t="e">
        <f>AND('STERLING CATALOG - DRY '!H2333,"AAAAAEv7x4k=")</f>
        <v>#VALUE!</v>
      </c>
      <c r="EI108" t="e">
        <f>AND('STERLING CATALOG - DRY '!I2333,"AAAAAEv7x4o=")</f>
        <v>#VALUE!</v>
      </c>
      <c r="EJ108" t="e">
        <f>AND('STERLING CATALOG - DRY '!J2333,"AAAAAEv7x4s=")</f>
        <v>#VALUE!</v>
      </c>
      <c r="EK108">
        <f>IF('STERLING CATALOG - DRY '!2334:2334,"AAAAAEv7x4w=",0)</f>
        <v>0</v>
      </c>
      <c r="EL108" t="e">
        <f>AND('STERLING CATALOG - DRY '!A2334,"AAAAAEv7x40=")</f>
        <v>#VALUE!</v>
      </c>
      <c r="EM108" t="e">
        <f>AND('STERLING CATALOG - DRY '!B2334,"AAAAAEv7x44=")</f>
        <v>#VALUE!</v>
      </c>
      <c r="EN108" t="e">
        <f>AND('STERLING CATALOG - DRY '!C2334,"AAAAAEv7x48=")</f>
        <v>#VALUE!</v>
      </c>
      <c r="EO108" t="e">
        <f>AND('STERLING CATALOG - DRY '!D2334,"AAAAAEv7x5A=")</f>
        <v>#VALUE!</v>
      </c>
      <c r="EP108" t="e">
        <f>AND('STERLING CATALOG - DRY '!E2334,"AAAAAEv7x5E=")</f>
        <v>#VALUE!</v>
      </c>
      <c r="EQ108" t="e">
        <f>AND('STERLING CATALOG - DRY '!F2334,"AAAAAEv7x5I=")</f>
        <v>#VALUE!</v>
      </c>
      <c r="ER108" t="e">
        <f>AND('STERLING CATALOG - DRY '!G2334,"AAAAAEv7x5M=")</f>
        <v>#VALUE!</v>
      </c>
      <c r="ES108" t="e">
        <f>AND('STERLING CATALOG - DRY '!H2334,"AAAAAEv7x5Q=")</f>
        <v>#VALUE!</v>
      </c>
      <c r="ET108" t="e">
        <f>AND('STERLING CATALOG - DRY '!I2334,"AAAAAEv7x5U=")</f>
        <v>#VALUE!</v>
      </c>
      <c r="EU108" t="e">
        <f>AND('STERLING CATALOG - DRY '!J2334,"AAAAAEv7x5Y=")</f>
        <v>#VALUE!</v>
      </c>
      <c r="EV108">
        <f>IF('STERLING CATALOG - DRY '!2335:2335,"AAAAAEv7x5c=",0)</f>
        <v>0</v>
      </c>
      <c r="EW108" t="e">
        <f>AND('STERLING CATALOG - DRY '!A2335,"AAAAAEv7x5g=")</f>
        <v>#VALUE!</v>
      </c>
      <c r="EX108" t="e">
        <f>AND('STERLING CATALOG - DRY '!B2335,"AAAAAEv7x5k=")</f>
        <v>#VALUE!</v>
      </c>
      <c r="EY108" t="e">
        <f>AND('STERLING CATALOG - DRY '!C2335,"AAAAAEv7x5o=")</f>
        <v>#VALUE!</v>
      </c>
      <c r="EZ108" t="e">
        <f>AND('STERLING CATALOG - DRY '!D2335,"AAAAAEv7x5s=")</f>
        <v>#VALUE!</v>
      </c>
      <c r="FA108" t="e">
        <f>AND('STERLING CATALOG - DRY '!E2335,"AAAAAEv7x5w=")</f>
        <v>#VALUE!</v>
      </c>
      <c r="FB108" t="e">
        <f>AND('STERLING CATALOG - DRY '!F2335,"AAAAAEv7x50=")</f>
        <v>#VALUE!</v>
      </c>
      <c r="FC108" t="e">
        <f>AND('STERLING CATALOG - DRY '!G2335,"AAAAAEv7x54=")</f>
        <v>#VALUE!</v>
      </c>
      <c r="FD108" t="e">
        <f>AND('STERLING CATALOG - DRY '!H2335,"AAAAAEv7x58=")</f>
        <v>#VALUE!</v>
      </c>
      <c r="FE108" t="e">
        <f>AND('STERLING CATALOG - DRY '!I2335,"AAAAAEv7x6A=")</f>
        <v>#VALUE!</v>
      </c>
      <c r="FF108" t="e">
        <f>AND('STERLING CATALOG - DRY '!J2335,"AAAAAEv7x6E=")</f>
        <v>#VALUE!</v>
      </c>
      <c r="FG108">
        <f>IF('STERLING CATALOG - DRY '!2336:2336,"AAAAAEv7x6I=",0)</f>
        <v>0</v>
      </c>
      <c r="FH108" t="e">
        <f>AND('STERLING CATALOG - DRY '!A2336,"AAAAAEv7x6M=")</f>
        <v>#VALUE!</v>
      </c>
      <c r="FI108" t="e">
        <f>AND('STERLING CATALOG - DRY '!B2336,"AAAAAEv7x6Q=")</f>
        <v>#VALUE!</v>
      </c>
      <c r="FJ108" t="e">
        <f>AND('STERLING CATALOG - DRY '!C2336,"AAAAAEv7x6U=")</f>
        <v>#VALUE!</v>
      </c>
      <c r="FK108" t="e">
        <f>AND('STERLING CATALOG - DRY '!D2336,"AAAAAEv7x6Y=")</f>
        <v>#VALUE!</v>
      </c>
      <c r="FL108" t="e">
        <f>AND('STERLING CATALOG - DRY '!E2336,"AAAAAEv7x6c=")</f>
        <v>#VALUE!</v>
      </c>
      <c r="FM108" t="e">
        <f>AND('STERLING CATALOG - DRY '!F2336,"AAAAAEv7x6g=")</f>
        <v>#VALUE!</v>
      </c>
      <c r="FN108" t="e">
        <f>AND('STERLING CATALOG - DRY '!G2336,"AAAAAEv7x6k=")</f>
        <v>#VALUE!</v>
      </c>
      <c r="FO108" t="e">
        <f>AND('STERLING CATALOG - DRY '!H2336,"AAAAAEv7x6o=")</f>
        <v>#VALUE!</v>
      </c>
      <c r="FP108" t="e">
        <f>AND('STERLING CATALOG - DRY '!I2336,"AAAAAEv7x6s=")</f>
        <v>#VALUE!</v>
      </c>
      <c r="FQ108" t="e">
        <f>AND('STERLING CATALOG - DRY '!J2336,"AAAAAEv7x6w=")</f>
        <v>#VALUE!</v>
      </c>
      <c r="FR108">
        <f>IF('STERLING CATALOG - DRY '!2337:2337,"AAAAAEv7x60=",0)</f>
        <v>0</v>
      </c>
      <c r="FS108" t="e">
        <f>AND('STERLING CATALOG - DRY '!A2337,"AAAAAEv7x64=")</f>
        <v>#VALUE!</v>
      </c>
      <c r="FT108" t="e">
        <f>AND('STERLING CATALOG - DRY '!B2337,"AAAAAEv7x68=")</f>
        <v>#VALUE!</v>
      </c>
      <c r="FU108" t="e">
        <f>AND('STERLING CATALOG - DRY '!C2337,"AAAAAEv7x7A=")</f>
        <v>#VALUE!</v>
      </c>
      <c r="FV108" t="e">
        <f>AND('STERLING CATALOG - DRY '!D2337,"AAAAAEv7x7E=")</f>
        <v>#VALUE!</v>
      </c>
      <c r="FW108" t="e">
        <f>AND('STERLING CATALOG - DRY '!E2337,"AAAAAEv7x7I=")</f>
        <v>#VALUE!</v>
      </c>
      <c r="FX108" t="e">
        <f>AND('STERLING CATALOG - DRY '!F2337,"AAAAAEv7x7M=")</f>
        <v>#VALUE!</v>
      </c>
      <c r="FY108" t="e">
        <f>AND('STERLING CATALOG - DRY '!G2337,"AAAAAEv7x7Q=")</f>
        <v>#VALUE!</v>
      </c>
      <c r="FZ108" t="e">
        <f>AND('STERLING CATALOG - DRY '!H2337,"AAAAAEv7x7U=")</f>
        <v>#VALUE!</v>
      </c>
      <c r="GA108" t="e">
        <f>AND('STERLING CATALOG - DRY '!I2337,"AAAAAEv7x7Y=")</f>
        <v>#VALUE!</v>
      </c>
      <c r="GB108" t="e">
        <f>AND('STERLING CATALOG - DRY '!J2337,"AAAAAEv7x7c=")</f>
        <v>#VALUE!</v>
      </c>
      <c r="GC108">
        <f>IF('STERLING CATALOG - DRY '!2338:2338,"AAAAAEv7x7g=",0)</f>
        <v>0</v>
      </c>
      <c r="GD108" t="e">
        <f>AND('STERLING CATALOG - DRY '!A2338,"AAAAAEv7x7k=")</f>
        <v>#VALUE!</v>
      </c>
      <c r="GE108" t="e">
        <f>AND('STERLING CATALOG - DRY '!B2338,"AAAAAEv7x7o=")</f>
        <v>#VALUE!</v>
      </c>
      <c r="GF108" t="e">
        <f>AND('STERLING CATALOG - DRY '!C2338,"AAAAAEv7x7s=")</f>
        <v>#VALUE!</v>
      </c>
      <c r="GG108" t="e">
        <f>AND('STERLING CATALOG - DRY '!D2338,"AAAAAEv7x7w=")</f>
        <v>#VALUE!</v>
      </c>
      <c r="GH108" t="e">
        <f>AND('STERLING CATALOG - DRY '!E2338,"AAAAAEv7x70=")</f>
        <v>#VALUE!</v>
      </c>
      <c r="GI108" t="e">
        <f>AND('STERLING CATALOG - DRY '!F2338,"AAAAAEv7x74=")</f>
        <v>#VALUE!</v>
      </c>
      <c r="GJ108" t="e">
        <f>AND('STERLING CATALOG - DRY '!G2338,"AAAAAEv7x78=")</f>
        <v>#VALUE!</v>
      </c>
      <c r="GK108" t="e">
        <f>AND('STERLING CATALOG - DRY '!H2338,"AAAAAEv7x8A=")</f>
        <v>#VALUE!</v>
      </c>
      <c r="GL108" t="e">
        <f>AND('STERLING CATALOG - DRY '!I2338,"AAAAAEv7x8E=")</f>
        <v>#VALUE!</v>
      </c>
      <c r="GM108" t="e">
        <f>AND('STERLING CATALOG - DRY '!J2338,"AAAAAEv7x8I=")</f>
        <v>#VALUE!</v>
      </c>
      <c r="GN108">
        <f>IF('STERLING CATALOG - DRY '!2339:2339,"AAAAAEv7x8M=",0)</f>
        <v>0</v>
      </c>
      <c r="GO108" t="e">
        <f>AND('STERLING CATALOG - DRY '!A2339,"AAAAAEv7x8Q=")</f>
        <v>#VALUE!</v>
      </c>
      <c r="GP108" t="e">
        <f>AND('STERLING CATALOG - DRY '!B2339,"AAAAAEv7x8U=")</f>
        <v>#VALUE!</v>
      </c>
      <c r="GQ108" t="e">
        <f>AND('STERLING CATALOG - DRY '!C2339,"AAAAAEv7x8Y=")</f>
        <v>#VALUE!</v>
      </c>
      <c r="GR108" t="e">
        <f>AND('STERLING CATALOG - DRY '!D2339,"AAAAAEv7x8c=")</f>
        <v>#VALUE!</v>
      </c>
      <c r="GS108" t="e">
        <f>AND('STERLING CATALOG - DRY '!E2339,"AAAAAEv7x8g=")</f>
        <v>#VALUE!</v>
      </c>
      <c r="GT108" t="e">
        <f>AND('STERLING CATALOG - DRY '!F2339,"AAAAAEv7x8k=")</f>
        <v>#VALUE!</v>
      </c>
      <c r="GU108" t="e">
        <f>AND('STERLING CATALOG - DRY '!G2339,"AAAAAEv7x8o=")</f>
        <v>#VALUE!</v>
      </c>
      <c r="GV108" t="e">
        <f>AND('STERLING CATALOG - DRY '!H2339,"AAAAAEv7x8s=")</f>
        <v>#VALUE!</v>
      </c>
      <c r="GW108" t="e">
        <f>AND('STERLING CATALOG - DRY '!I2339,"AAAAAEv7x8w=")</f>
        <v>#VALUE!</v>
      </c>
      <c r="GX108" t="e">
        <f>AND('STERLING CATALOG - DRY '!J2339,"AAAAAEv7x80=")</f>
        <v>#VALUE!</v>
      </c>
      <c r="GY108">
        <f>IF('STERLING CATALOG - DRY '!2340:2340,"AAAAAEv7x84=",0)</f>
        <v>0</v>
      </c>
      <c r="GZ108" t="e">
        <f>AND('STERLING CATALOG - DRY '!A2340,"AAAAAEv7x88=")</f>
        <v>#VALUE!</v>
      </c>
      <c r="HA108" t="e">
        <f>AND('STERLING CATALOG - DRY '!B2340,"AAAAAEv7x9A=")</f>
        <v>#VALUE!</v>
      </c>
      <c r="HB108" t="e">
        <f>AND('STERLING CATALOG - DRY '!C2340,"AAAAAEv7x9E=")</f>
        <v>#VALUE!</v>
      </c>
      <c r="HC108" t="e">
        <f>AND('STERLING CATALOG - DRY '!D2340,"AAAAAEv7x9I=")</f>
        <v>#VALUE!</v>
      </c>
      <c r="HD108" t="e">
        <f>AND('STERLING CATALOG - DRY '!E2340,"AAAAAEv7x9M=")</f>
        <v>#VALUE!</v>
      </c>
      <c r="HE108" t="e">
        <f>AND('STERLING CATALOG - DRY '!F2340,"AAAAAEv7x9Q=")</f>
        <v>#VALUE!</v>
      </c>
      <c r="HF108" t="e">
        <f>AND('STERLING CATALOG - DRY '!G2340,"AAAAAEv7x9U=")</f>
        <v>#VALUE!</v>
      </c>
      <c r="HG108" t="e">
        <f>AND('STERLING CATALOG - DRY '!H2340,"AAAAAEv7x9Y=")</f>
        <v>#VALUE!</v>
      </c>
      <c r="HH108" t="e">
        <f>AND('STERLING CATALOG - DRY '!I2340,"AAAAAEv7x9c=")</f>
        <v>#VALUE!</v>
      </c>
      <c r="HI108" t="e">
        <f>AND('STERLING CATALOG - DRY '!J2340,"AAAAAEv7x9g=")</f>
        <v>#VALUE!</v>
      </c>
      <c r="HJ108">
        <f>IF('STERLING CATALOG - DRY '!2341:2341,"AAAAAEv7x9k=",0)</f>
        <v>0</v>
      </c>
      <c r="HK108" t="e">
        <f>AND('STERLING CATALOG - DRY '!A2341,"AAAAAEv7x9o=")</f>
        <v>#VALUE!</v>
      </c>
      <c r="HL108" t="e">
        <f>AND('STERLING CATALOG - DRY '!B2341,"AAAAAEv7x9s=")</f>
        <v>#VALUE!</v>
      </c>
      <c r="HM108" t="e">
        <f>AND('STERLING CATALOG - DRY '!C2341,"AAAAAEv7x9w=")</f>
        <v>#VALUE!</v>
      </c>
      <c r="HN108" t="e">
        <f>AND('STERLING CATALOG - DRY '!D2341,"AAAAAEv7x90=")</f>
        <v>#VALUE!</v>
      </c>
      <c r="HO108" t="e">
        <f>AND('STERLING CATALOG - DRY '!E2341,"AAAAAEv7x94=")</f>
        <v>#VALUE!</v>
      </c>
      <c r="HP108" t="e">
        <f>AND('STERLING CATALOG - DRY '!F2341,"AAAAAEv7x98=")</f>
        <v>#VALUE!</v>
      </c>
      <c r="HQ108" t="e">
        <f>AND('STERLING CATALOG - DRY '!G2341,"AAAAAEv7x+A=")</f>
        <v>#VALUE!</v>
      </c>
      <c r="HR108" t="e">
        <f>AND('STERLING CATALOG - DRY '!H2341,"AAAAAEv7x+E=")</f>
        <v>#VALUE!</v>
      </c>
      <c r="HS108" t="e">
        <f>AND('STERLING CATALOG - DRY '!I2341,"AAAAAEv7x+I=")</f>
        <v>#VALUE!</v>
      </c>
      <c r="HT108" t="e">
        <f>AND('STERLING CATALOG - DRY '!J2341,"AAAAAEv7x+M=")</f>
        <v>#VALUE!</v>
      </c>
      <c r="HU108">
        <f>IF('STERLING CATALOG - DRY '!2342:2342,"AAAAAEv7x+Q=",0)</f>
        <v>0</v>
      </c>
      <c r="HV108" t="e">
        <f>AND('STERLING CATALOG - DRY '!A2342,"AAAAAEv7x+U=")</f>
        <v>#VALUE!</v>
      </c>
      <c r="HW108" t="e">
        <f>AND('STERLING CATALOG - DRY '!B2342,"AAAAAEv7x+Y=")</f>
        <v>#VALUE!</v>
      </c>
      <c r="HX108" t="e">
        <f>AND('STERLING CATALOG - DRY '!C2342,"AAAAAEv7x+c=")</f>
        <v>#VALUE!</v>
      </c>
      <c r="HY108" t="e">
        <f>AND('STERLING CATALOG - DRY '!D2342,"AAAAAEv7x+g=")</f>
        <v>#VALUE!</v>
      </c>
      <c r="HZ108" t="e">
        <f>AND('STERLING CATALOG - DRY '!E2342,"AAAAAEv7x+k=")</f>
        <v>#VALUE!</v>
      </c>
      <c r="IA108" t="e">
        <f>AND('STERLING CATALOG - DRY '!F2342,"AAAAAEv7x+o=")</f>
        <v>#VALUE!</v>
      </c>
      <c r="IB108" t="e">
        <f>AND('STERLING CATALOG - DRY '!G2342,"AAAAAEv7x+s=")</f>
        <v>#VALUE!</v>
      </c>
      <c r="IC108" t="e">
        <f>AND('STERLING CATALOG - DRY '!H2342,"AAAAAEv7x+w=")</f>
        <v>#VALUE!</v>
      </c>
      <c r="ID108" t="e">
        <f>AND('STERLING CATALOG - DRY '!I2342,"AAAAAEv7x+0=")</f>
        <v>#VALUE!</v>
      </c>
      <c r="IE108" t="e">
        <f>AND('STERLING CATALOG - DRY '!J2342,"AAAAAEv7x+4=")</f>
        <v>#VALUE!</v>
      </c>
      <c r="IF108">
        <f>IF('STERLING CATALOG - DRY '!2343:2343,"AAAAAEv7x+8=",0)</f>
        <v>0</v>
      </c>
      <c r="IG108" t="e">
        <f>AND('STERLING CATALOG - DRY '!A2343,"AAAAAEv7x/A=")</f>
        <v>#VALUE!</v>
      </c>
      <c r="IH108" t="e">
        <f>AND('STERLING CATALOG - DRY '!B2343,"AAAAAEv7x/E=")</f>
        <v>#VALUE!</v>
      </c>
      <c r="II108" t="e">
        <f>AND('STERLING CATALOG - DRY '!C2343,"AAAAAEv7x/I=")</f>
        <v>#VALUE!</v>
      </c>
      <c r="IJ108" t="e">
        <f>AND('STERLING CATALOG - DRY '!D2343,"AAAAAEv7x/M=")</f>
        <v>#VALUE!</v>
      </c>
      <c r="IK108" t="e">
        <f>AND('STERLING CATALOG - DRY '!E2343,"AAAAAEv7x/Q=")</f>
        <v>#VALUE!</v>
      </c>
      <c r="IL108" t="e">
        <f>AND('STERLING CATALOG - DRY '!F2343,"AAAAAEv7x/U=")</f>
        <v>#VALUE!</v>
      </c>
      <c r="IM108" t="e">
        <f>AND('STERLING CATALOG - DRY '!G2343,"AAAAAEv7x/Y=")</f>
        <v>#VALUE!</v>
      </c>
      <c r="IN108" t="e">
        <f>AND('STERLING CATALOG - DRY '!H2343,"AAAAAEv7x/c=")</f>
        <v>#VALUE!</v>
      </c>
      <c r="IO108" t="e">
        <f>AND('STERLING CATALOG - DRY '!I2343,"AAAAAEv7x/g=")</f>
        <v>#VALUE!</v>
      </c>
      <c r="IP108" t="e">
        <f>AND('STERLING CATALOG - DRY '!J2343,"AAAAAEv7x/k=")</f>
        <v>#VALUE!</v>
      </c>
      <c r="IQ108">
        <f>IF('STERLING CATALOG - DRY '!2344:2344,"AAAAAEv7x/o=",0)</f>
        <v>0</v>
      </c>
      <c r="IR108" t="e">
        <f>AND('STERLING CATALOG - DRY '!A2344,"AAAAAEv7x/s=")</f>
        <v>#VALUE!</v>
      </c>
      <c r="IS108" t="e">
        <f>AND('STERLING CATALOG - DRY '!B2344,"AAAAAEv7x/w=")</f>
        <v>#VALUE!</v>
      </c>
      <c r="IT108" t="e">
        <f>AND('STERLING CATALOG - DRY '!C2344,"AAAAAEv7x/0=")</f>
        <v>#VALUE!</v>
      </c>
      <c r="IU108" t="e">
        <f>AND('STERLING CATALOG - DRY '!D2344,"AAAAAEv7x/4=")</f>
        <v>#VALUE!</v>
      </c>
      <c r="IV108" t="e">
        <f>AND('STERLING CATALOG - DRY '!E2344,"AAAAAEv7x/8=")</f>
        <v>#VALUE!</v>
      </c>
    </row>
    <row r="109" spans="1:256">
      <c r="A109" t="e">
        <f>AND('STERLING CATALOG - DRY '!F2344,"AAAAAH/P/wA=")</f>
        <v>#VALUE!</v>
      </c>
      <c r="B109" t="e">
        <f>AND('STERLING CATALOG - DRY '!G2344,"AAAAAH/P/wE=")</f>
        <v>#VALUE!</v>
      </c>
      <c r="C109" t="e">
        <f>AND('STERLING CATALOG - DRY '!H2344,"AAAAAH/P/wI=")</f>
        <v>#VALUE!</v>
      </c>
      <c r="D109" t="e">
        <f>AND('STERLING CATALOG - DRY '!I2344,"AAAAAH/P/wM=")</f>
        <v>#VALUE!</v>
      </c>
      <c r="E109" t="e">
        <f>AND('STERLING CATALOG - DRY '!J2344,"AAAAAH/P/wQ=")</f>
        <v>#VALUE!</v>
      </c>
      <c r="F109" t="str">
        <f>IF('STERLING CATALOG - DRY '!2345:2345,"AAAAAH/P/wU=",0)</f>
        <v>AAAAAH/P/wU=</v>
      </c>
      <c r="G109" t="e">
        <f>AND('STERLING CATALOG - DRY '!A2345,"AAAAAH/P/wY=")</f>
        <v>#VALUE!</v>
      </c>
      <c r="H109" t="e">
        <f>AND('STERLING CATALOG - DRY '!B2345,"AAAAAH/P/wc=")</f>
        <v>#VALUE!</v>
      </c>
      <c r="I109" t="e">
        <f>AND('STERLING CATALOG - DRY '!C2345,"AAAAAH/P/wg=")</f>
        <v>#VALUE!</v>
      </c>
      <c r="J109" t="e">
        <f>AND('STERLING CATALOG - DRY '!D2345,"AAAAAH/P/wk=")</f>
        <v>#VALUE!</v>
      </c>
      <c r="K109" t="e">
        <f>AND('STERLING CATALOG - DRY '!E2345,"AAAAAH/P/wo=")</f>
        <v>#VALUE!</v>
      </c>
      <c r="L109" t="e">
        <f>AND('STERLING CATALOG - DRY '!F2345,"AAAAAH/P/ws=")</f>
        <v>#VALUE!</v>
      </c>
      <c r="M109" t="e">
        <f>AND('STERLING CATALOG - DRY '!G2345,"AAAAAH/P/ww=")</f>
        <v>#VALUE!</v>
      </c>
      <c r="N109" t="e">
        <f>AND('STERLING CATALOG - DRY '!H2345,"AAAAAH/P/w0=")</f>
        <v>#VALUE!</v>
      </c>
      <c r="O109" t="e">
        <f>AND('STERLING CATALOG - DRY '!I2345,"AAAAAH/P/w4=")</f>
        <v>#VALUE!</v>
      </c>
      <c r="P109" t="e">
        <f>AND('STERLING CATALOG - DRY '!J2345,"AAAAAH/P/w8=")</f>
        <v>#VALUE!</v>
      </c>
      <c r="Q109">
        <f>IF('STERLING CATALOG - DRY '!2346:2346,"AAAAAH/P/xA=",0)</f>
        <v>0</v>
      </c>
      <c r="R109" t="e">
        <f>AND('STERLING CATALOG - DRY '!A2346,"AAAAAH/P/xE=")</f>
        <v>#VALUE!</v>
      </c>
      <c r="S109" t="e">
        <f>AND('STERLING CATALOG - DRY '!B2346,"AAAAAH/P/xI=")</f>
        <v>#VALUE!</v>
      </c>
      <c r="T109" t="e">
        <f>AND('STERLING CATALOG - DRY '!C2346,"AAAAAH/P/xM=")</f>
        <v>#VALUE!</v>
      </c>
      <c r="U109" t="e">
        <f>AND('STERLING CATALOG - DRY '!D2346,"AAAAAH/P/xQ=")</f>
        <v>#VALUE!</v>
      </c>
      <c r="V109" t="e">
        <f>AND('STERLING CATALOG - DRY '!E2346,"AAAAAH/P/xU=")</f>
        <v>#VALUE!</v>
      </c>
      <c r="W109" t="e">
        <f>AND('STERLING CATALOG - DRY '!F2346,"AAAAAH/P/xY=")</f>
        <v>#VALUE!</v>
      </c>
      <c r="X109" t="e">
        <f>AND('STERLING CATALOG - DRY '!G2346,"AAAAAH/P/xc=")</f>
        <v>#VALUE!</v>
      </c>
      <c r="Y109" t="e">
        <f>AND('STERLING CATALOG - DRY '!H2346,"AAAAAH/P/xg=")</f>
        <v>#VALUE!</v>
      </c>
      <c r="Z109" t="e">
        <f>AND('STERLING CATALOG - DRY '!I2346,"AAAAAH/P/xk=")</f>
        <v>#VALUE!</v>
      </c>
      <c r="AA109" t="e">
        <f>AND('STERLING CATALOG - DRY '!J2346,"AAAAAH/P/xo=")</f>
        <v>#VALUE!</v>
      </c>
      <c r="AB109">
        <f>IF('STERLING CATALOG - DRY '!2347:2347,"AAAAAH/P/xs=",0)</f>
        <v>0</v>
      </c>
      <c r="AC109" t="e">
        <f>AND('STERLING CATALOG - DRY '!A2347,"AAAAAH/P/xw=")</f>
        <v>#VALUE!</v>
      </c>
      <c r="AD109" t="e">
        <f>AND('STERLING CATALOG - DRY '!B2347,"AAAAAH/P/x0=")</f>
        <v>#VALUE!</v>
      </c>
      <c r="AE109" t="e">
        <f>AND('STERLING CATALOG - DRY '!C2347,"AAAAAH/P/x4=")</f>
        <v>#VALUE!</v>
      </c>
      <c r="AF109" t="e">
        <f>AND('STERLING CATALOG - DRY '!D2347,"AAAAAH/P/x8=")</f>
        <v>#VALUE!</v>
      </c>
      <c r="AG109" t="e">
        <f>AND('STERLING CATALOG - DRY '!E2347,"AAAAAH/P/yA=")</f>
        <v>#VALUE!</v>
      </c>
      <c r="AH109" t="e">
        <f>AND('STERLING CATALOG - DRY '!F2347,"AAAAAH/P/yE=")</f>
        <v>#VALUE!</v>
      </c>
      <c r="AI109" t="e">
        <f>AND('STERLING CATALOG - DRY '!G2347,"AAAAAH/P/yI=")</f>
        <v>#VALUE!</v>
      </c>
      <c r="AJ109" t="e">
        <f>AND('STERLING CATALOG - DRY '!H2347,"AAAAAH/P/yM=")</f>
        <v>#VALUE!</v>
      </c>
      <c r="AK109" t="e">
        <f>AND('STERLING CATALOG - DRY '!I2347,"AAAAAH/P/yQ=")</f>
        <v>#VALUE!</v>
      </c>
      <c r="AL109" t="e">
        <f>AND('STERLING CATALOG - DRY '!J2347,"AAAAAH/P/yU=")</f>
        <v>#VALUE!</v>
      </c>
      <c r="AM109">
        <f>IF('STERLING CATALOG - DRY '!2348:2348,"AAAAAH/P/yY=",0)</f>
        <v>0</v>
      </c>
      <c r="AN109" t="e">
        <f>AND('STERLING CATALOG - DRY '!A2348,"AAAAAH/P/yc=")</f>
        <v>#VALUE!</v>
      </c>
      <c r="AO109" t="e">
        <f>AND('STERLING CATALOG - DRY '!B2348,"AAAAAH/P/yg=")</f>
        <v>#VALUE!</v>
      </c>
      <c r="AP109" t="e">
        <f>AND('STERLING CATALOG - DRY '!C2348,"AAAAAH/P/yk=")</f>
        <v>#VALUE!</v>
      </c>
      <c r="AQ109" t="e">
        <f>AND('STERLING CATALOG - DRY '!D2348,"AAAAAH/P/yo=")</f>
        <v>#VALUE!</v>
      </c>
      <c r="AR109" t="e">
        <f>AND('STERLING CATALOG - DRY '!E2348,"AAAAAH/P/ys=")</f>
        <v>#VALUE!</v>
      </c>
      <c r="AS109" t="e">
        <f>AND('STERLING CATALOG - DRY '!F2348,"AAAAAH/P/yw=")</f>
        <v>#VALUE!</v>
      </c>
      <c r="AT109" t="e">
        <f>AND('STERLING CATALOG - DRY '!G2348,"AAAAAH/P/y0=")</f>
        <v>#VALUE!</v>
      </c>
      <c r="AU109" t="e">
        <f>AND('STERLING CATALOG - DRY '!H2348,"AAAAAH/P/y4=")</f>
        <v>#VALUE!</v>
      </c>
      <c r="AV109" t="e">
        <f>AND('STERLING CATALOG - DRY '!I2348,"AAAAAH/P/y8=")</f>
        <v>#VALUE!</v>
      </c>
      <c r="AW109" t="e">
        <f>AND('STERLING CATALOG - DRY '!J2348,"AAAAAH/P/zA=")</f>
        <v>#VALUE!</v>
      </c>
      <c r="AX109">
        <f>IF('STERLING CATALOG - DRY '!2349:2349,"AAAAAH/P/zE=",0)</f>
        <v>0</v>
      </c>
      <c r="AY109" t="e">
        <f>AND('STERLING CATALOG - DRY '!A2349,"AAAAAH/P/zI=")</f>
        <v>#VALUE!</v>
      </c>
      <c r="AZ109" t="e">
        <f>AND('STERLING CATALOG - DRY '!B2349,"AAAAAH/P/zM=")</f>
        <v>#VALUE!</v>
      </c>
      <c r="BA109" t="e">
        <f>AND('STERLING CATALOG - DRY '!C2349,"AAAAAH/P/zQ=")</f>
        <v>#VALUE!</v>
      </c>
      <c r="BB109" t="e">
        <f>AND('STERLING CATALOG - DRY '!D2349,"AAAAAH/P/zU=")</f>
        <v>#VALUE!</v>
      </c>
      <c r="BC109" t="e">
        <f>AND('STERLING CATALOG - DRY '!E2349,"AAAAAH/P/zY=")</f>
        <v>#VALUE!</v>
      </c>
      <c r="BD109" t="e">
        <f>AND('STERLING CATALOG - DRY '!F2349,"AAAAAH/P/zc=")</f>
        <v>#VALUE!</v>
      </c>
      <c r="BE109" t="e">
        <f>AND('STERLING CATALOG - DRY '!G2349,"AAAAAH/P/zg=")</f>
        <v>#VALUE!</v>
      </c>
      <c r="BF109" t="e">
        <f>AND('STERLING CATALOG - DRY '!H2349,"AAAAAH/P/zk=")</f>
        <v>#VALUE!</v>
      </c>
      <c r="BG109" t="e">
        <f>AND('STERLING CATALOG - DRY '!I2349,"AAAAAH/P/zo=")</f>
        <v>#VALUE!</v>
      </c>
      <c r="BH109" t="e">
        <f>AND('STERLING CATALOG - DRY '!J2349,"AAAAAH/P/zs=")</f>
        <v>#VALUE!</v>
      </c>
      <c r="BI109">
        <f>IF('STERLING CATALOG - DRY '!2350:2350,"AAAAAH/P/zw=",0)</f>
        <v>0</v>
      </c>
      <c r="BJ109" t="e">
        <f>AND('STERLING CATALOG - DRY '!A2350,"AAAAAH/P/z0=")</f>
        <v>#VALUE!</v>
      </c>
      <c r="BK109" t="e">
        <f>AND('STERLING CATALOG - DRY '!B2350,"AAAAAH/P/z4=")</f>
        <v>#VALUE!</v>
      </c>
      <c r="BL109" t="e">
        <f>AND('STERLING CATALOG - DRY '!C2350,"AAAAAH/P/z8=")</f>
        <v>#VALUE!</v>
      </c>
      <c r="BM109" t="e">
        <f>AND('STERLING CATALOG - DRY '!D2350,"AAAAAH/P/0A=")</f>
        <v>#VALUE!</v>
      </c>
      <c r="BN109" t="e">
        <f>AND('STERLING CATALOG - DRY '!E2350,"AAAAAH/P/0E=")</f>
        <v>#VALUE!</v>
      </c>
      <c r="BO109" t="e">
        <f>AND('STERLING CATALOG - DRY '!F2350,"AAAAAH/P/0I=")</f>
        <v>#VALUE!</v>
      </c>
      <c r="BP109" t="e">
        <f>AND('STERLING CATALOG - DRY '!G2350,"AAAAAH/P/0M=")</f>
        <v>#VALUE!</v>
      </c>
      <c r="BQ109" t="e">
        <f>AND('STERLING CATALOG - DRY '!H2350,"AAAAAH/P/0Q=")</f>
        <v>#VALUE!</v>
      </c>
      <c r="BR109" t="e">
        <f>AND('STERLING CATALOG - DRY '!I2350,"AAAAAH/P/0U=")</f>
        <v>#VALUE!</v>
      </c>
      <c r="BS109" t="e">
        <f>AND('STERLING CATALOG - DRY '!J2350,"AAAAAH/P/0Y=")</f>
        <v>#VALUE!</v>
      </c>
      <c r="BT109">
        <f>IF('STERLING CATALOG - DRY '!2351:2351,"AAAAAH/P/0c=",0)</f>
        <v>0</v>
      </c>
      <c r="BU109" t="e">
        <f>AND('STERLING CATALOG - DRY '!A2351,"AAAAAH/P/0g=")</f>
        <v>#VALUE!</v>
      </c>
      <c r="BV109" t="e">
        <f>AND('STERLING CATALOG - DRY '!B2351,"AAAAAH/P/0k=")</f>
        <v>#VALUE!</v>
      </c>
      <c r="BW109" t="e">
        <f>AND('STERLING CATALOG - DRY '!C2351,"AAAAAH/P/0o=")</f>
        <v>#VALUE!</v>
      </c>
      <c r="BX109" t="e">
        <f>AND('STERLING CATALOG - DRY '!D2351,"AAAAAH/P/0s=")</f>
        <v>#VALUE!</v>
      </c>
      <c r="BY109" t="e">
        <f>AND('STERLING CATALOG - DRY '!E2351,"AAAAAH/P/0w=")</f>
        <v>#VALUE!</v>
      </c>
      <c r="BZ109" t="e">
        <f>AND('STERLING CATALOG - DRY '!F2351,"AAAAAH/P/00=")</f>
        <v>#VALUE!</v>
      </c>
      <c r="CA109" t="e">
        <f>AND('STERLING CATALOG - DRY '!G2351,"AAAAAH/P/04=")</f>
        <v>#VALUE!</v>
      </c>
      <c r="CB109" t="e">
        <f>AND('STERLING CATALOG - DRY '!H2351,"AAAAAH/P/08=")</f>
        <v>#VALUE!</v>
      </c>
      <c r="CC109" t="e">
        <f>AND('STERLING CATALOG - DRY '!I2351,"AAAAAH/P/1A=")</f>
        <v>#VALUE!</v>
      </c>
      <c r="CD109" t="e">
        <f>AND('STERLING CATALOG - DRY '!J2351,"AAAAAH/P/1E=")</f>
        <v>#VALUE!</v>
      </c>
      <c r="CE109">
        <f>IF('STERLING CATALOG - DRY '!2352:2352,"AAAAAH/P/1I=",0)</f>
        <v>0</v>
      </c>
      <c r="CF109" t="e">
        <f>AND('STERLING CATALOG - DRY '!A2352,"AAAAAH/P/1M=")</f>
        <v>#VALUE!</v>
      </c>
      <c r="CG109" t="e">
        <f>AND('STERLING CATALOG - DRY '!B2352,"AAAAAH/P/1Q=")</f>
        <v>#VALUE!</v>
      </c>
      <c r="CH109" t="e">
        <f>AND('STERLING CATALOG - DRY '!C2352,"AAAAAH/P/1U=")</f>
        <v>#VALUE!</v>
      </c>
      <c r="CI109" t="e">
        <f>AND('STERLING CATALOG - DRY '!D2352,"AAAAAH/P/1Y=")</f>
        <v>#VALUE!</v>
      </c>
      <c r="CJ109" t="e">
        <f>AND('STERLING CATALOG - DRY '!E2352,"AAAAAH/P/1c=")</f>
        <v>#VALUE!</v>
      </c>
      <c r="CK109" t="e">
        <f>AND('STERLING CATALOG - DRY '!F2352,"AAAAAH/P/1g=")</f>
        <v>#VALUE!</v>
      </c>
      <c r="CL109" t="e">
        <f>AND('STERLING CATALOG - DRY '!G2352,"AAAAAH/P/1k=")</f>
        <v>#VALUE!</v>
      </c>
      <c r="CM109" t="e">
        <f>AND('STERLING CATALOG - DRY '!H2352,"AAAAAH/P/1o=")</f>
        <v>#VALUE!</v>
      </c>
      <c r="CN109" t="e">
        <f>AND('STERLING CATALOG - DRY '!I2352,"AAAAAH/P/1s=")</f>
        <v>#VALUE!</v>
      </c>
      <c r="CO109" t="e">
        <f>AND('STERLING CATALOG - DRY '!J2352,"AAAAAH/P/1w=")</f>
        <v>#VALUE!</v>
      </c>
      <c r="CP109">
        <f>IF('STERLING CATALOG - DRY '!2353:2353,"AAAAAH/P/10=",0)</f>
        <v>0</v>
      </c>
      <c r="CQ109" t="e">
        <f>AND('STERLING CATALOG - DRY '!A2353,"AAAAAH/P/14=")</f>
        <v>#VALUE!</v>
      </c>
      <c r="CR109" t="e">
        <f>AND('STERLING CATALOG - DRY '!B2353,"AAAAAH/P/18=")</f>
        <v>#VALUE!</v>
      </c>
      <c r="CS109" t="e">
        <f>AND('STERLING CATALOG - DRY '!C2353,"AAAAAH/P/2A=")</f>
        <v>#VALUE!</v>
      </c>
      <c r="CT109" t="e">
        <f>AND('STERLING CATALOG - DRY '!D2353,"AAAAAH/P/2E=")</f>
        <v>#VALUE!</v>
      </c>
      <c r="CU109" t="e">
        <f>AND('STERLING CATALOG - DRY '!E2353,"AAAAAH/P/2I=")</f>
        <v>#VALUE!</v>
      </c>
      <c r="CV109" t="e">
        <f>AND('STERLING CATALOG - DRY '!F2353,"AAAAAH/P/2M=")</f>
        <v>#VALUE!</v>
      </c>
      <c r="CW109" t="e">
        <f>AND('STERLING CATALOG - DRY '!G2353,"AAAAAH/P/2Q=")</f>
        <v>#VALUE!</v>
      </c>
      <c r="CX109" t="e">
        <f>AND('STERLING CATALOG - DRY '!H2353,"AAAAAH/P/2U=")</f>
        <v>#VALUE!</v>
      </c>
      <c r="CY109" t="e">
        <f>AND('STERLING CATALOG - DRY '!I2353,"AAAAAH/P/2Y=")</f>
        <v>#VALUE!</v>
      </c>
      <c r="CZ109" t="e">
        <f>AND('STERLING CATALOG - DRY '!J2353,"AAAAAH/P/2c=")</f>
        <v>#VALUE!</v>
      </c>
      <c r="DA109">
        <f>IF('STERLING CATALOG - DRY '!2354:2354,"AAAAAH/P/2g=",0)</f>
        <v>0</v>
      </c>
      <c r="DB109" t="e">
        <f>AND('STERLING CATALOG - DRY '!A2354,"AAAAAH/P/2k=")</f>
        <v>#VALUE!</v>
      </c>
      <c r="DC109" t="e">
        <f>AND('STERLING CATALOG - DRY '!B2354,"AAAAAH/P/2o=")</f>
        <v>#VALUE!</v>
      </c>
      <c r="DD109" t="e">
        <f>AND('STERLING CATALOG - DRY '!C2354,"AAAAAH/P/2s=")</f>
        <v>#VALUE!</v>
      </c>
      <c r="DE109" t="e">
        <f>AND('STERLING CATALOG - DRY '!D2354,"AAAAAH/P/2w=")</f>
        <v>#VALUE!</v>
      </c>
      <c r="DF109" t="e">
        <f>AND('STERLING CATALOG - DRY '!E2354,"AAAAAH/P/20=")</f>
        <v>#VALUE!</v>
      </c>
      <c r="DG109" t="e">
        <f>AND('STERLING CATALOG - DRY '!F2354,"AAAAAH/P/24=")</f>
        <v>#VALUE!</v>
      </c>
      <c r="DH109" t="e">
        <f>AND('STERLING CATALOG - DRY '!G2354,"AAAAAH/P/28=")</f>
        <v>#VALUE!</v>
      </c>
      <c r="DI109" t="e">
        <f>AND('STERLING CATALOG - DRY '!H2354,"AAAAAH/P/3A=")</f>
        <v>#VALUE!</v>
      </c>
      <c r="DJ109" t="e">
        <f>AND('STERLING CATALOG - DRY '!I2354,"AAAAAH/P/3E=")</f>
        <v>#VALUE!</v>
      </c>
      <c r="DK109" t="e">
        <f>AND('STERLING CATALOG - DRY '!J2354,"AAAAAH/P/3I=")</f>
        <v>#VALUE!</v>
      </c>
      <c r="DL109">
        <f>IF('STERLING CATALOG - DRY '!2355:2355,"AAAAAH/P/3M=",0)</f>
        <v>0</v>
      </c>
      <c r="DM109" t="e">
        <f>AND('STERLING CATALOG - DRY '!A2355,"AAAAAH/P/3Q=")</f>
        <v>#VALUE!</v>
      </c>
      <c r="DN109" t="e">
        <f>AND('STERLING CATALOG - DRY '!B2355,"AAAAAH/P/3U=")</f>
        <v>#VALUE!</v>
      </c>
      <c r="DO109" t="e">
        <f>AND('STERLING CATALOG - DRY '!C2355,"AAAAAH/P/3Y=")</f>
        <v>#VALUE!</v>
      </c>
      <c r="DP109" t="e">
        <f>AND('STERLING CATALOG - DRY '!D2355,"AAAAAH/P/3c=")</f>
        <v>#VALUE!</v>
      </c>
      <c r="DQ109" t="e">
        <f>AND('STERLING CATALOG - DRY '!E2355,"AAAAAH/P/3g=")</f>
        <v>#VALUE!</v>
      </c>
      <c r="DR109" t="e">
        <f>AND('STERLING CATALOG - DRY '!F2355,"AAAAAH/P/3k=")</f>
        <v>#VALUE!</v>
      </c>
      <c r="DS109" t="e">
        <f>AND('STERLING CATALOG - DRY '!G2355,"AAAAAH/P/3o=")</f>
        <v>#VALUE!</v>
      </c>
      <c r="DT109" t="e">
        <f>AND('STERLING CATALOG - DRY '!H2355,"AAAAAH/P/3s=")</f>
        <v>#VALUE!</v>
      </c>
      <c r="DU109" t="e">
        <f>AND('STERLING CATALOG - DRY '!I2355,"AAAAAH/P/3w=")</f>
        <v>#VALUE!</v>
      </c>
      <c r="DV109" t="e">
        <f>AND('STERLING CATALOG - DRY '!J2355,"AAAAAH/P/30=")</f>
        <v>#VALUE!</v>
      </c>
      <c r="DW109">
        <f>IF('STERLING CATALOG - DRY '!2356:2356,"AAAAAH/P/34=",0)</f>
        <v>0</v>
      </c>
      <c r="DX109" t="e">
        <f>AND('STERLING CATALOG - DRY '!A2356,"AAAAAH/P/38=")</f>
        <v>#VALUE!</v>
      </c>
      <c r="DY109" t="e">
        <f>AND('STERLING CATALOG - DRY '!B2356,"AAAAAH/P/4A=")</f>
        <v>#VALUE!</v>
      </c>
      <c r="DZ109" t="e">
        <f>AND('STERLING CATALOG - DRY '!C2356,"AAAAAH/P/4E=")</f>
        <v>#VALUE!</v>
      </c>
      <c r="EA109" t="e">
        <f>AND('STERLING CATALOG - DRY '!D2356,"AAAAAH/P/4I=")</f>
        <v>#VALUE!</v>
      </c>
      <c r="EB109" t="e">
        <f>AND('STERLING CATALOG - DRY '!E2356,"AAAAAH/P/4M=")</f>
        <v>#VALUE!</v>
      </c>
      <c r="EC109" t="e">
        <f>AND('STERLING CATALOG - DRY '!F2356,"AAAAAH/P/4Q=")</f>
        <v>#VALUE!</v>
      </c>
      <c r="ED109" t="e">
        <f>AND('STERLING CATALOG - DRY '!G2356,"AAAAAH/P/4U=")</f>
        <v>#VALUE!</v>
      </c>
      <c r="EE109" t="e">
        <f>AND('STERLING CATALOG - DRY '!H2356,"AAAAAH/P/4Y=")</f>
        <v>#VALUE!</v>
      </c>
      <c r="EF109" t="e">
        <f>AND('STERLING CATALOG - DRY '!I2356,"AAAAAH/P/4c=")</f>
        <v>#VALUE!</v>
      </c>
      <c r="EG109" t="e">
        <f>AND('STERLING CATALOG - DRY '!J2356,"AAAAAH/P/4g=")</f>
        <v>#VALUE!</v>
      </c>
      <c r="EH109">
        <f>IF('STERLING CATALOG - DRY '!2357:2357,"AAAAAH/P/4k=",0)</f>
        <v>0</v>
      </c>
      <c r="EI109" t="e">
        <f>AND('STERLING CATALOG - DRY '!A2357,"AAAAAH/P/4o=")</f>
        <v>#VALUE!</v>
      </c>
      <c r="EJ109" t="e">
        <f>AND('STERLING CATALOG - DRY '!B2357,"AAAAAH/P/4s=")</f>
        <v>#VALUE!</v>
      </c>
      <c r="EK109" t="e">
        <f>AND('STERLING CATALOG - DRY '!C2357,"AAAAAH/P/4w=")</f>
        <v>#VALUE!</v>
      </c>
      <c r="EL109" t="e">
        <f>AND('STERLING CATALOG - DRY '!D2357,"AAAAAH/P/40=")</f>
        <v>#VALUE!</v>
      </c>
      <c r="EM109" t="e">
        <f>AND('STERLING CATALOG - DRY '!E2357,"AAAAAH/P/44=")</f>
        <v>#VALUE!</v>
      </c>
      <c r="EN109" t="e">
        <f>AND('STERLING CATALOG - DRY '!F2357,"AAAAAH/P/48=")</f>
        <v>#VALUE!</v>
      </c>
      <c r="EO109" t="e">
        <f>AND('STERLING CATALOG - DRY '!G2357,"AAAAAH/P/5A=")</f>
        <v>#VALUE!</v>
      </c>
      <c r="EP109" t="e">
        <f>AND('STERLING CATALOG - DRY '!H2357,"AAAAAH/P/5E=")</f>
        <v>#VALUE!</v>
      </c>
      <c r="EQ109" t="e">
        <f>AND('STERLING CATALOG - DRY '!I2357,"AAAAAH/P/5I=")</f>
        <v>#VALUE!</v>
      </c>
      <c r="ER109" t="e">
        <f>AND('STERLING CATALOG - DRY '!J2357,"AAAAAH/P/5M=")</f>
        <v>#VALUE!</v>
      </c>
      <c r="ES109">
        <f>IF('STERLING CATALOG - DRY '!2358:2358,"AAAAAH/P/5Q=",0)</f>
        <v>0</v>
      </c>
      <c r="ET109" t="e">
        <f>AND('STERLING CATALOG - DRY '!A2358,"AAAAAH/P/5U=")</f>
        <v>#VALUE!</v>
      </c>
      <c r="EU109" t="e">
        <f>AND('STERLING CATALOG - DRY '!B2358,"AAAAAH/P/5Y=")</f>
        <v>#VALUE!</v>
      </c>
      <c r="EV109" t="e">
        <f>AND('STERLING CATALOG - DRY '!C2358,"AAAAAH/P/5c=")</f>
        <v>#VALUE!</v>
      </c>
      <c r="EW109" t="e">
        <f>AND('STERLING CATALOG - DRY '!D2358,"AAAAAH/P/5g=")</f>
        <v>#VALUE!</v>
      </c>
      <c r="EX109" t="e">
        <f>AND('STERLING CATALOG - DRY '!E2358,"AAAAAH/P/5k=")</f>
        <v>#VALUE!</v>
      </c>
      <c r="EY109" t="e">
        <f>AND('STERLING CATALOG - DRY '!F2358,"AAAAAH/P/5o=")</f>
        <v>#VALUE!</v>
      </c>
      <c r="EZ109" t="e">
        <f>AND('STERLING CATALOG - DRY '!G2358,"AAAAAH/P/5s=")</f>
        <v>#VALUE!</v>
      </c>
      <c r="FA109" t="e">
        <f>AND('STERLING CATALOG - DRY '!H2358,"AAAAAH/P/5w=")</f>
        <v>#VALUE!</v>
      </c>
      <c r="FB109" t="e">
        <f>AND('STERLING CATALOG - DRY '!I2358,"AAAAAH/P/50=")</f>
        <v>#VALUE!</v>
      </c>
      <c r="FC109" t="e">
        <f>AND('STERLING CATALOG - DRY '!J2358,"AAAAAH/P/54=")</f>
        <v>#VALUE!</v>
      </c>
      <c r="FD109">
        <f>IF('STERLING CATALOG - DRY '!2359:2359,"AAAAAH/P/58=",0)</f>
        <v>0</v>
      </c>
      <c r="FE109" t="e">
        <f>AND('STERLING CATALOG - DRY '!A2359,"AAAAAH/P/6A=")</f>
        <v>#VALUE!</v>
      </c>
      <c r="FF109" t="e">
        <f>AND('STERLING CATALOG - DRY '!B2359,"AAAAAH/P/6E=")</f>
        <v>#VALUE!</v>
      </c>
      <c r="FG109" t="e">
        <f>AND('STERLING CATALOG - DRY '!C2359,"AAAAAH/P/6I=")</f>
        <v>#VALUE!</v>
      </c>
      <c r="FH109" t="e">
        <f>AND('STERLING CATALOG - DRY '!D2359,"AAAAAH/P/6M=")</f>
        <v>#VALUE!</v>
      </c>
      <c r="FI109" t="e">
        <f>AND('STERLING CATALOG - DRY '!E2359,"AAAAAH/P/6Q=")</f>
        <v>#VALUE!</v>
      </c>
      <c r="FJ109" t="e">
        <f>AND('STERLING CATALOG - DRY '!F2359,"AAAAAH/P/6U=")</f>
        <v>#VALUE!</v>
      </c>
      <c r="FK109" t="e">
        <f>AND('STERLING CATALOG - DRY '!G2359,"AAAAAH/P/6Y=")</f>
        <v>#VALUE!</v>
      </c>
      <c r="FL109" t="e">
        <f>AND('STERLING CATALOG - DRY '!H2359,"AAAAAH/P/6c=")</f>
        <v>#VALUE!</v>
      </c>
      <c r="FM109" t="e">
        <f>AND('STERLING CATALOG - DRY '!I2359,"AAAAAH/P/6g=")</f>
        <v>#VALUE!</v>
      </c>
      <c r="FN109" t="e">
        <f>AND('STERLING CATALOG - DRY '!J2359,"AAAAAH/P/6k=")</f>
        <v>#VALUE!</v>
      </c>
      <c r="FO109">
        <f>IF('STERLING CATALOG - DRY '!2360:2360,"AAAAAH/P/6o=",0)</f>
        <v>0</v>
      </c>
      <c r="FP109" t="e">
        <f>AND('STERLING CATALOG - DRY '!A2360,"AAAAAH/P/6s=")</f>
        <v>#VALUE!</v>
      </c>
      <c r="FQ109" t="e">
        <f>AND('STERLING CATALOG - DRY '!B2360,"AAAAAH/P/6w=")</f>
        <v>#VALUE!</v>
      </c>
      <c r="FR109" t="e">
        <f>AND('STERLING CATALOG - DRY '!C2360,"AAAAAH/P/60=")</f>
        <v>#VALUE!</v>
      </c>
      <c r="FS109" t="e">
        <f>AND('STERLING CATALOG - DRY '!D2360,"AAAAAH/P/64=")</f>
        <v>#VALUE!</v>
      </c>
      <c r="FT109" t="e">
        <f>AND('STERLING CATALOG - DRY '!E2360,"AAAAAH/P/68=")</f>
        <v>#VALUE!</v>
      </c>
      <c r="FU109" t="e">
        <f>AND('STERLING CATALOG - DRY '!F2360,"AAAAAH/P/7A=")</f>
        <v>#VALUE!</v>
      </c>
      <c r="FV109" t="e">
        <f>AND('STERLING CATALOG - DRY '!G2360,"AAAAAH/P/7E=")</f>
        <v>#VALUE!</v>
      </c>
      <c r="FW109" t="e">
        <f>AND('STERLING CATALOG - DRY '!H2360,"AAAAAH/P/7I=")</f>
        <v>#VALUE!</v>
      </c>
      <c r="FX109" t="e">
        <f>AND('STERLING CATALOG - DRY '!I2360,"AAAAAH/P/7M=")</f>
        <v>#VALUE!</v>
      </c>
      <c r="FY109" t="e">
        <f>AND('STERLING CATALOG - DRY '!J2360,"AAAAAH/P/7Q=")</f>
        <v>#VALUE!</v>
      </c>
      <c r="FZ109">
        <f>IF('STERLING CATALOG - DRY '!2361:2361,"AAAAAH/P/7U=",0)</f>
        <v>0</v>
      </c>
      <c r="GA109" t="e">
        <f>AND('STERLING CATALOG - DRY '!A2361,"AAAAAH/P/7Y=")</f>
        <v>#VALUE!</v>
      </c>
      <c r="GB109" t="e">
        <f>AND('STERLING CATALOG - DRY '!B2361,"AAAAAH/P/7c=")</f>
        <v>#VALUE!</v>
      </c>
      <c r="GC109" t="e">
        <f>AND('STERLING CATALOG - DRY '!C2361,"AAAAAH/P/7g=")</f>
        <v>#VALUE!</v>
      </c>
      <c r="GD109" t="e">
        <f>AND('STERLING CATALOG - DRY '!D2361,"AAAAAH/P/7k=")</f>
        <v>#VALUE!</v>
      </c>
      <c r="GE109" t="e">
        <f>AND('STERLING CATALOG - DRY '!E2361,"AAAAAH/P/7o=")</f>
        <v>#VALUE!</v>
      </c>
      <c r="GF109" t="e">
        <f>AND('STERLING CATALOG - DRY '!F2361,"AAAAAH/P/7s=")</f>
        <v>#VALUE!</v>
      </c>
      <c r="GG109" t="e">
        <f>AND('STERLING CATALOG - DRY '!G2361,"AAAAAH/P/7w=")</f>
        <v>#VALUE!</v>
      </c>
      <c r="GH109" t="e">
        <f>AND('STERLING CATALOG - DRY '!H2361,"AAAAAH/P/70=")</f>
        <v>#VALUE!</v>
      </c>
      <c r="GI109" t="e">
        <f>AND('STERLING CATALOG - DRY '!I2361,"AAAAAH/P/74=")</f>
        <v>#VALUE!</v>
      </c>
      <c r="GJ109" t="e">
        <f>AND('STERLING CATALOG - DRY '!J2361,"AAAAAH/P/78=")</f>
        <v>#VALUE!</v>
      </c>
      <c r="GK109">
        <f>IF('STERLING CATALOG - DRY '!2362:2362,"AAAAAH/P/8A=",0)</f>
        <v>0</v>
      </c>
      <c r="GL109" t="e">
        <f>AND('STERLING CATALOG - DRY '!A2362,"AAAAAH/P/8E=")</f>
        <v>#VALUE!</v>
      </c>
      <c r="GM109" t="e">
        <f>AND('STERLING CATALOG - DRY '!B2362,"AAAAAH/P/8I=")</f>
        <v>#VALUE!</v>
      </c>
      <c r="GN109" t="e">
        <f>AND('STERLING CATALOG - DRY '!C2362,"AAAAAH/P/8M=")</f>
        <v>#VALUE!</v>
      </c>
      <c r="GO109" t="e">
        <f>AND('STERLING CATALOG - DRY '!D2362,"AAAAAH/P/8Q=")</f>
        <v>#VALUE!</v>
      </c>
      <c r="GP109" t="e">
        <f>AND('STERLING CATALOG - DRY '!E2362,"AAAAAH/P/8U=")</f>
        <v>#VALUE!</v>
      </c>
      <c r="GQ109" t="e">
        <f>AND('STERLING CATALOG - DRY '!F2362,"AAAAAH/P/8Y=")</f>
        <v>#VALUE!</v>
      </c>
      <c r="GR109" t="e">
        <f>AND('STERLING CATALOG - DRY '!G2362,"AAAAAH/P/8c=")</f>
        <v>#VALUE!</v>
      </c>
      <c r="GS109" t="e">
        <f>AND('STERLING CATALOG - DRY '!H2362,"AAAAAH/P/8g=")</f>
        <v>#VALUE!</v>
      </c>
      <c r="GT109" t="e">
        <f>AND('STERLING CATALOG - DRY '!I2362,"AAAAAH/P/8k=")</f>
        <v>#VALUE!</v>
      </c>
      <c r="GU109" t="e">
        <f>AND('STERLING CATALOG - DRY '!J2362,"AAAAAH/P/8o=")</f>
        <v>#VALUE!</v>
      </c>
      <c r="GV109">
        <f>IF('STERLING CATALOG - DRY '!2363:2363,"AAAAAH/P/8s=",0)</f>
        <v>0</v>
      </c>
      <c r="GW109" t="e">
        <f>AND('STERLING CATALOG - DRY '!A2363,"AAAAAH/P/8w=")</f>
        <v>#VALUE!</v>
      </c>
      <c r="GX109" t="e">
        <f>AND('STERLING CATALOG - DRY '!B2363,"AAAAAH/P/80=")</f>
        <v>#VALUE!</v>
      </c>
      <c r="GY109" t="e">
        <f>AND('STERLING CATALOG - DRY '!C2363,"AAAAAH/P/84=")</f>
        <v>#VALUE!</v>
      </c>
      <c r="GZ109" t="e">
        <f>AND('STERLING CATALOG - DRY '!D2363,"AAAAAH/P/88=")</f>
        <v>#VALUE!</v>
      </c>
      <c r="HA109" t="e">
        <f>AND('STERLING CATALOG - DRY '!E2363,"AAAAAH/P/9A=")</f>
        <v>#VALUE!</v>
      </c>
      <c r="HB109" t="e">
        <f>AND('STERLING CATALOG - DRY '!F2363,"AAAAAH/P/9E=")</f>
        <v>#VALUE!</v>
      </c>
      <c r="HC109" t="e">
        <f>AND('STERLING CATALOG - DRY '!G2363,"AAAAAH/P/9I=")</f>
        <v>#VALUE!</v>
      </c>
      <c r="HD109" t="e">
        <f>AND('STERLING CATALOG - DRY '!H2363,"AAAAAH/P/9M=")</f>
        <v>#VALUE!</v>
      </c>
      <c r="HE109" t="e">
        <f>AND('STERLING CATALOG - DRY '!I2363,"AAAAAH/P/9Q=")</f>
        <v>#VALUE!</v>
      </c>
      <c r="HF109" t="e">
        <f>AND('STERLING CATALOG - DRY '!J2363,"AAAAAH/P/9U=")</f>
        <v>#VALUE!</v>
      </c>
      <c r="HG109">
        <f>IF('STERLING CATALOG - DRY '!2364:2364,"AAAAAH/P/9Y=",0)</f>
        <v>0</v>
      </c>
      <c r="HH109" t="e">
        <f>AND('STERLING CATALOG - DRY '!A2364,"AAAAAH/P/9c=")</f>
        <v>#VALUE!</v>
      </c>
      <c r="HI109" t="e">
        <f>AND('STERLING CATALOG - DRY '!B2364,"AAAAAH/P/9g=")</f>
        <v>#VALUE!</v>
      </c>
      <c r="HJ109" t="e">
        <f>AND('STERLING CATALOG - DRY '!C2364,"AAAAAH/P/9k=")</f>
        <v>#VALUE!</v>
      </c>
      <c r="HK109" t="e">
        <f>AND('STERLING CATALOG - DRY '!D2364,"AAAAAH/P/9o=")</f>
        <v>#VALUE!</v>
      </c>
      <c r="HL109" t="e">
        <f>AND('STERLING CATALOG - DRY '!E2364,"AAAAAH/P/9s=")</f>
        <v>#VALUE!</v>
      </c>
      <c r="HM109" t="e">
        <f>AND('STERLING CATALOG - DRY '!F2364,"AAAAAH/P/9w=")</f>
        <v>#VALUE!</v>
      </c>
      <c r="HN109" t="e">
        <f>AND('STERLING CATALOG - DRY '!G2364,"AAAAAH/P/90=")</f>
        <v>#VALUE!</v>
      </c>
      <c r="HO109" t="e">
        <f>AND('STERLING CATALOG - DRY '!H2364,"AAAAAH/P/94=")</f>
        <v>#VALUE!</v>
      </c>
      <c r="HP109" t="e">
        <f>AND('STERLING CATALOG - DRY '!I2364,"AAAAAH/P/98=")</f>
        <v>#VALUE!</v>
      </c>
      <c r="HQ109" t="e">
        <f>AND('STERLING CATALOG - DRY '!J2364,"AAAAAH/P/+A=")</f>
        <v>#VALUE!</v>
      </c>
      <c r="HR109">
        <f>IF('STERLING CATALOG - DRY '!2365:2365,"AAAAAH/P/+E=",0)</f>
        <v>0</v>
      </c>
      <c r="HS109" t="e">
        <f>AND('STERLING CATALOG - DRY '!A2365,"AAAAAH/P/+I=")</f>
        <v>#VALUE!</v>
      </c>
      <c r="HT109" t="e">
        <f>AND('STERLING CATALOG - DRY '!B2365,"AAAAAH/P/+M=")</f>
        <v>#VALUE!</v>
      </c>
      <c r="HU109" t="e">
        <f>AND('STERLING CATALOG - DRY '!C2365,"AAAAAH/P/+Q=")</f>
        <v>#VALUE!</v>
      </c>
      <c r="HV109" t="e">
        <f>AND('STERLING CATALOG - DRY '!D2365,"AAAAAH/P/+U=")</f>
        <v>#VALUE!</v>
      </c>
      <c r="HW109" t="e">
        <f>AND('STERLING CATALOG - DRY '!E2365,"AAAAAH/P/+Y=")</f>
        <v>#VALUE!</v>
      </c>
      <c r="HX109" t="e">
        <f>AND('STERLING CATALOG - DRY '!F2365,"AAAAAH/P/+c=")</f>
        <v>#VALUE!</v>
      </c>
      <c r="HY109" t="e">
        <f>AND('STERLING CATALOG - DRY '!G2365,"AAAAAH/P/+g=")</f>
        <v>#VALUE!</v>
      </c>
      <c r="HZ109" t="e">
        <f>AND('STERLING CATALOG - DRY '!H2365,"AAAAAH/P/+k=")</f>
        <v>#VALUE!</v>
      </c>
      <c r="IA109" t="e">
        <f>AND('STERLING CATALOG - DRY '!I2365,"AAAAAH/P/+o=")</f>
        <v>#VALUE!</v>
      </c>
      <c r="IB109" t="e">
        <f>AND('STERLING CATALOG - DRY '!J2365,"AAAAAH/P/+s=")</f>
        <v>#VALUE!</v>
      </c>
      <c r="IC109">
        <f>IF('STERLING CATALOG - DRY '!2366:2366,"AAAAAH/P/+w=",0)</f>
        <v>0</v>
      </c>
      <c r="ID109" t="e">
        <f>AND('STERLING CATALOG - DRY '!A2366,"AAAAAH/P/+0=")</f>
        <v>#VALUE!</v>
      </c>
      <c r="IE109" t="e">
        <f>AND('STERLING CATALOG - DRY '!B2366,"AAAAAH/P/+4=")</f>
        <v>#VALUE!</v>
      </c>
      <c r="IF109" t="e">
        <f>AND('STERLING CATALOG - DRY '!C2366,"AAAAAH/P/+8=")</f>
        <v>#VALUE!</v>
      </c>
      <c r="IG109" t="e">
        <f>AND('STERLING CATALOG - DRY '!D2366,"AAAAAH/P//A=")</f>
        <v>#VALUE!</v>
      </c>
      <c r="IH109" t="e">
        <f>AND('STERLING CATALOG - DRY '!E2366,"AAAAAH/P//E=")</f>
        <v>#VALUE!</v>
      </c>
      <c r="II109" t="e">
        <f>AND('STERLING CATALOG - DRY '!F2366,"AAAAAH/P//I=")</f>
        <v>#VALUE!</v>
      </c>
      <c r="IJ109" t="e">
        <f>AND('STERLING CATALOG - DRY '!G2366,"AAAAAH/P//M=")</f>
        <v>#VALUE!</v>
      </c>
      <c r="IK109" t="e">
        <f>AND('STERLING CATALOG - DRY '!H2366,"AAAAAH/P//Q=")</f>
        <v>#VALUE!</v>
      </c>
      <c r="IL109" t="e">
        <f>AND('STERLING CATALOG - DRY '!I2366,"AAAAAH/P//U=")</f>
        <v>#VALUE!</v>
      </c>
      <c r="IM109" t="e">
        <f>AND('STERLING CATALOG - DRY '!J2366,"AAAAAH/P//Y=")</f>
        <v>#VALUE!</v>
      </c>
      <c r="IN109">
        <f>IF('STERLING CATALOG - DRY '!2367:2367,"AAAAAH/P//c=",0)</f>
        <v>0</v>
      </c>
      <c r="IO109" t="e">
        <f>AND('STERLING CATALOG - DRY '!A2367,"AAAAAH/P//g=")</f>
        <v>#VALUE!</v>
      </c>
      <c r="IP109" t="e">
        <f>AND('STERLING CATALOG - DRY '!B2367,"AAAAAH/P//k=")</f>
        <v>#VALUE!</v>
      </c>
      <c r="IQ109" t="e">
        <f>AND('STERLING CATALOG - DRY '!C2367,"AAAAAH/P//o=")</f>
        <v>#VALUE!</v>
      </c>
      <c r="IR109" t="e">
        <f>AND('STERLING CATALOG - DRY '!D2367,"AAAAAH/P//s=")</f>
        <v>#VALUE!</v>
      </c>
      <c r="IS109" t="e">
        <f>AND('STERLING CATALOG - DRY '!E2367,"AAAAAH/P//w=")</f>
        <v>#VALUE!</v>
      </c>
      <c r="IT109" t="e">
        <f>AND('STERLING CATALOG - DRY '!F2367,"AAAAAH/P//0=")</f>
        <v>#VALUE!</v>
      </c>
      <c r="IU109" t="e">
        <f>AND('STERLING CATALOG - DRY '!G2367,"AAAAAH/P//4=")</f>
        <v>#VALUE!</v>
      </c>
      <c r="IV109" t="e">
        <f>AND('STERLING CATALOG - DRY '!H2367,"AAAAAH/P//8=")</f>
        <v>#VALUE!</v>
      </c>
    </row>
    <row r="110" spans="1:256">
      <c r="A110" t="e">
        <f>AND('STERLING CATALOG - DRY '!I2367,"AAAAAHZdvQA=")</f>
        <v>#VALUE!</v>
      </c>
      <c r="B110" t="e">
        <f>AND('STERLING CATALOG - DRY '!J2367,"AAAAAHZdvQE=")</f>
        <v>#VALUE!</v>
      </c>
      <c r="C110" t="str">
        <f>IF('STERLING CATALOG - DRY '!2368:2368,"AAAAAHZdvQI=",0)</f>
        <v>AAAAAHZdvQI=</v>
      </c>
      <c r="D110" t="e">
        <f>AND('STERLING CATALOG - DRY '!A2368,"AAAAAHZdvQM=")</f>
        <v>#VALUE!</v>
      </c>
      <c r="E110" t="e">
        <f>AND('STERLING CATALOG - DRY '!B2368,"AAAAAHZdvQQ=")</f>
        <v>#VALUE!</v>
      </c>
      <c r="F110" t="e">
        <f>AND('STERLING CATALOG - DRY '!C2368,"AAAAAHZdvQU=")</f>
        <v>#VALUE!</v>
      </c>
      <c r="G110" t="e">
        <f>AND('STERLING CATALOG - DRY '!D2368,"AAAAAHZdvQY=")</f>
        <v>#VALUE!</v>
      </c>
      <c r="H110" t="e">
        <f>AND('STERLING CATALOG - DRY '!E2368,"AAAAAHZdvQc=")</f>
        <v>#VALUE!</v>
      </c>
      <c r="I110" t="e">
        <f>AND('STERLING CATALOG - DRY '!F2368,"AAAAAHZdvQg=")</f>
        <v>#VALUE!</v>
      </c>
      <c r="J110" t="e">
        <f>AND('STERLING CATALOG - DRY '!G2368,"AAAAAHZdvQk=")</f>
        <v>#VALUE!</v>
      </c>
      <c r="K110" t="e">
        <f>AND('STERLING CATALOG - DRY '!H2368,"AAAAAHZdvQo=")</f>
        <v>#VALUE!</v>
      </c>
      <c r="L110" t="e">
        <f>AND('STERLING CATALOG - DRY '!I2368,"AAAAAHZdvQs=")</f>
        <v>#VALUE!</v>
      </c>
      <c r="M110" t="e">
        <f>AND('STERLING CATALOG - DRY '!J2368,"AAAAAHZdvQw=")</f>
        <v>#VALUE!</v>
      </c>
      <c r="N110">
        <f>IF('STERLING CATALOG - DRY '!2369:2369,"AAAAAHZdvQ0=",0)</f>
        <v>0</v>
      </c>
      <c r="O110" t="e">
        <f>AND('STERLING CATALOG - DRY '!A2369,"AAAAAHZdvQ4=")</f>
        <v>#VALUE!</v>
      </c>
      <c r="P110" t="e">
        <f>AND('STERLING CATALOG - DRY '!B2369,"AAAAAHZdvQ8=")</f>
        <v>#VALUE!</v>
      </c>
      <c r="Q110" t="e">
        <f>AND('STERLING CATALOG - DRY '!C2369,"AAAAAHZdvRA=")</f>
        <v>#VALUE!</v>
      </c>
      <c r="R110" t="e">
        <f>AND('STERLING CATALOG - DRY '!D2369,"AAAAAHZdvRE=")</f>
        <v>#VALUE!</v>
      </c>
      <c r="S110" t="e">
        <f>AND('STERLING CATALOG - DRY '!E2369,"AAAAAHZdvRI=")</f>
        <v>#VALUE!</v>
      </c>
      <c r="T110" t="e">
        <f>AND('STERLING CATALOG - DRY '!F2369,"AAAAAHZdvRM=")</f>
        <v>#VALUE!</v>
      </c>
      <c r="U110" t="e">
        <f>AND('STERLING CATALOG - DRY '!G2369,"AAAAAHZdvRQ=")</f>
        <v>#VALUE!</v>
      </c>
      <c r="V110" t="e">
        <f>AND('STERLING CATALOG - DRY '!H2369,"AAAAAHZdvRU=")</f>
        <v>#VALUE!</v>
      </c>
      <c r="W110" t="e">
        <f>AND('STERLING CATALOG - DRY '!I2369,"AAAAAHZdvRY=")</f>
        <v>#VALUE!</v>
      </c>
      <c r="X110" t="e">
        <f>AND('STERLING CATALOG - DRY '!J2369,"AAAAAHZdvRc=")</f>
        <v>#VALUE!</v>
      </c>
      <c r="Y110">
        <f>IF('STERLING CATALOG - DRY '!2370:2370,"AAAAAHZdvRg=",0)</f>
        <v>0</v>
      </c>
      <c r="Z110" t="e">
        <f>AND('STERLING CATALOG - DRY '!A2370,"AAAAAHZdvRk=")</f>
        <v>#VALUE!</v>
      </c>
      <c r="AA110" t="e">
        <f>AND('STERLING CATALOG - DRY '!B2370,"AAAAAHZdvRo=")</f>
        <v>#VALUE!</v>
      </c>
      <c r="AB110" t="e">
        <f>AND('STERLING CATALOG - DRY '!C2370,"AAAAAHZdvRs=")</f>
        <v>#VALUE!</v>
      </c>
      <c r="AC110" t="e">
        <f>AND('STERLING CATALOG - DRY '!D2370,"AAAAAHZdvRw=")</f>
        <v>#VALUE!</v>
      </c>
      <c r="AD110" t="e">
        <f>AND('STERLING CATALOG - DRY '!E2370,"AAAAAHZdvR0=")</f>
        <v>#VALUE!</v>
      </c>
      <c r="AE110" t="e">
        <f>AND('STERLING CATALOG - DRY '!F2370,"AAAAAHZdvR4=")</f>
        <v>#VALUE!</v>
      </c>
      <c r="AF110" t="e">
        <f>AND('STERLING CATALOG - DRY '!G2370,"AAAAAHZdvR8=")</f>
        <v>#VALUE!</v>
      </c>
      <c r="AG110" t="e">
        <f>AND('STERLING CATALOG - DRY '!H2370,"AAAAAHZdvSA=")</f>
        <v>#VALUE!</v>
      </c>
      <c r="AH110" t="e">
        <f>AND('STERLING CATALOG - DRY '!I2370,"AAAAAHZdvSE=")</f>
        <v>#VALUE!</v>
      </c>
      <c r="AI110" t="e">
        <f>AND('STERLING CATALOG - DRY '!J2370,"AAAAAHZdvSI=")</f>
        <v>#VALUE!</v>
      </c>
      <c r="AJ110">
        <f>IF('STERLING CATALOG - DRY '!2371:2371,"AAAAAHZdvSM=",0)</f>
        <v>0</v>
      </c>
      <c r="AK110" t="e">
        <f>AND('STERLING CATALOG - DRY '!A2371,"AAAAAHZdvSQ=")</f>
        <v>#VALUE!</v>
      </c>
      <c r="AL110" t="e">
        <f>AND('STERLING CATALOG - DRY '!B2371,"AAAAAHZdvSU=")</f>
        <v>#VALUE!</v>
      </c>
      <c r="AM110" t="e">
        <f>AND('STERLING CATALOG - DRY '!C2371,"AAAAAHZdvSY=")</f>
        <v>#VALUE!</v>
      </c>
      <c r="AN110" t="e">
        <f>AND('STERLING CATALOG - DRY '!D2371,"AAAAAHZdvSc=")</f>
        <v>#VALUE!</v>
      </c>
      <c r="AO110" t="e">
        <f>AND('STERLING CATALOG - DRY '!E2371,"AAAAAHZdvSg=")</f>
        <v>#VALUE!</v>
      </c>
      <c r="AP110" t="e">
        <f>AND('STERLING CATALOG - DRY '!F2371,"AAAAAHZdvSk=")</f>
        <v>#VALUE!</v>
      </c>
      <c r="AQ110" t="e">
        <f>AND('STERLING CATALOG - DRY '!G2371,"AAAAAHZdvSo=")</f>
        <v>#VALUE!</v>
      </c>
      <c r="AR110" t="e">
        <f>AND('STERLING CATALOG - DRY '!H2371,"AAAAAHZdvSs=")</f>
        <v>#VALUE!</v>
      </c>
      <c r="AS110" t="e">
        <f>AND('STERLING CATALOG - DRY '!I2371,"AAAAAHZdvSw=")</f>
        <v>#VALUE!</v>
      </c>
      <c r="AT110" t="e">
        <f>AND('STERLING CATALOG - DRY '!J2371,"AAAAAHZdvS0=")</f>
        <v>#VALUE!</v>
      </c>
      <c r="AU110">
        <f>IF('STERLING CATALOG - DRY '!2372:2372,"AAAAAHZdvS4=",0)</f>
        <v>0</v>
      </c>
      <c r="AV110" t="e">
        <f>AND('STERLING CATALOG - DRY '!A2372,"AAAAAHZdvS8=")</f>
        <v>#VALUE!</v>
      </c>
      <c r="AW110" t="e">
        <f>AND('STERLING CATALOG - DRY '!B2372,"AAAAAHZdvTA=")</f>
        <v>#VALUE!</v>
      </c>
      <c r="AX110" t="e">
        <f>AND('STERLING CATALOG - DRY '!C2372,"AAAAAHZdvTE=")</f>
        <v>#VALUE!</v>
      </c>
      <c r="AY110" t="e">
        <f>AND('STERLING CATALOG - DRY '!D2372,"AAAAAHZdvTI=")</f>
        <v>#VALUE!</v>
      </c>
      <c r="AZ110" t="e">
        <f>AND('STERLING CATALOG - DRY '!E2372,"AAAAAHZdvTM=")</f>
        <v>#VALUE!</v>
      </c>
      <c r="BA110" t="e">
        <f>AND('STERLING CATALOG - DRY '!F2372,"AAAAAHZdvTQ=")</f>
        <v>#VALUE!</v>
      </c>
      <c r="BB110" t="e">
        <f>AND('STERLING CATALOG - DRY '!G2372,"AAAAAHZdvTU=")</f>
        <v>#VALUE!</v>
      </c>
      <c r="BC110" t="e">
        <f>AND('STERLING CATALOG - DRY '!H2372,"AAAAAHZdvTY=")</f>
        <v>#VALUE!</v>
      </c>
      <c r="BD110" t="e">
        <f>AND('STERLING CATALOG - DRY '!I2372,"AAAAAHZdvTc=")</f>
        <v>#VALUE!</v>
      </c>
      <c r="BE110" t="e">
        <f>AND('STERLING CATALOG - DRY '!J2372,"AAAAAHZdvTg=")</f>
        <v>#VALUE!</v>
      </c>
      <c r="BF110">
        <f>IF('STERLING CATALOG - DRY '!2373:2373,"AAAAAHZdvTk=",0)</f>
        <v>0</v>
      </c>
      <c r="BG110" t="e">
        <f>AND('STERLING CATALOG - DRY '!A2373,"AAAAAHZdvTo=")</f>
        <v>#VALUE!</v>
      </c>
      <c r="BH110" t="e">
        <f>AND('STERLING CATALOG - DRY '!B2373,"AAAAAHZdvTs=")</f>
        <v>#VALUE!</v>
      </c>
      <c r="BI110" t="e">
        <f>AND('STERLING CATALOG - DRY '!C2373,"AAAAAHZdvTw=")</f>
        <v>#VALUE!</v>
      </c>
      <c r="BJ110" t="e">
        <f>AND('STERLING CATALOG - DRY '!D2373,"AAAAAHZdvT0=")</f>
        <v>#VALUE!</v>
      </c>
      <c r="BK110" t="e">
        <f>AND('STERLING CATALOG - DRY '!E2373,"AAAAAHZdvT4=")</f>
        <v>#VALUE!</v>
      </c>
      <c r="BL110" t="e">
        <f>AND('STERLING CATALOG - DRY '!F2373,"AAAAAHZdvT8=")</f>
        <v>#VALUE!</v>
      </c>
      <c r="BM110" t="e">
        <f>AND('STERLING CATALOG - DRY '!G2373,"AAAAAHZdvUA=")</f>
        <v>#VALUE!</v>
      </c>
      <c r="BN110" t="e">
        <f>AND('STERLING CATALOG - DRY '!H2373,"AAAAAHZdvUE=")</f>
        <v>#VALUE!</v>
      </c>
      <c r="BO110" t="e">
        <f>AND('STERLING CATALOG - DRY '!I2373,"AAAAAHZdvUI=")</f>
        <v>#VALUE!</v>
      </c>
      <c r="BP110" t="e">
        <f>AND('STERLING CATALOG - DRY '!J2373,"AAAAAHZdvUM=")</f>
        <v>#VALUE!</v>
      </c>
      <c r="BQ110">
        <f>IF('STERLING CATALOG - DRY '!2374:2374,"AAAAAHZdvUQ=",0)</f>
        <v>0</v>
      </c>
      <c r="BR110" t="e">
        <f>AND('STERLING CATALOG - DRY '!A2374,"AAAAAHZdvUU=")</f>
        <v>#VALUE!</v>
      </c>
      <c r="BS110" t="e">
        <f>AND('STERLING CATALOG - DRY '!B2374,"AAAAAHZdvUY=")</f>
        <v>#VALUE!</v>
      </c>
      <c r="BT110" t="e">
        <f>AND('STERLING CATALOG - DRY '!C2374,"AAAAAHZdvUc=")</f>
        <v>#VALUE!</v>
      </c>
      <c r="BU110" t="e">
        <f>AND('STERLING CATALOG - DRY '!D2374,"AAAAAHZdvUg=")</f>
        <v>#VALUE!</v>
      </c>
      <c r="BV110" t="e">
        <f>AND('STERLING CATALOG - DRY '!E2374,"AAAAAHZdvUk=")</f>
        <v>#VALUE!</v>
      </c>
      <c r="BW110" t="e">
        <f>AND('STERLING CATALOG - DRY '!F2374,"AAAAAHZdvUo=")</f>
        <v>#VALUE!</v>
      </c>
      <c r="BX110" t="e">
        <f>AND('STERLING CATALOG - DRY '!G2374,"AAAAAHZdvUs=")</f>
        <v>#VALUE!</v>
      </c>
      <c r="BY110" t="e">
        <f>AND('STERLING CATALOG - DRY '!H2374,"AAAAAHZdvUw=")</f>
        <v>#VALUE!</v>
      </c>
      <c r="BZ110" t="e">
        <f>AND('STERLING CATALOG - DRY '!I2374,"AAAAAHZdvU0=")</f>
        <v>#VALUE!</v>
      </c>
      <c r="CA110" t="e">
        <f>AND('STERLING CATALOG - DRY '!J2374,"AAAAAHZdvU4=")</f>
        <v>#VALUE!</v>
      </c>
      <c r="CB110">
        <f>IF('STERLING CATALOG - DRY '!2375:2375,"AAAAAHZdvU8=",0)</f>
        <v>0</v>
      </c>
      <c r="CC110" t="e">
        <f>AND('STERLING CATALOG - DRY '!A2375,"AAAAAHZdvVA=")</f>
        <v>#VALUE!</v>
      </c>
      <c r="CD110" t="e">
        <f>AND('STERLING CATALOG - DRY '!B2375,"AAAAAHZdvVE=")</f>
        <v>#VALUE!</v>
      </c>
      <c r="CE110" t="e">
        <f>AND('STERLING CATALOG - DRY '!C2375,"AAAAAHZdvVI=")</f>
        <v>#VALUE!</v>
      </c>
      <c r="CF110" t="e">
        <f>AND('STERLING CATALOG - DRY '!D2375,"AAAAAHZdvVM=")</f>
        <v>#VALUE!</v>
      </c>
      <c r="CG110" t="e">
        <f>AND('STERLING CATALOG - DRY '!E2375,"AAAAAHZdvVQ=")</f>
        <v>#VALUE!</v>
      </c>
      <c r="CH110" t="e">
        <f>AND('STERLING CATALOG - DRY '!F2375,"AAAAAHZdvVU=")</f>
        <v>#VALUE!</v>
      </c>
      <c r="CI110" t="e">
        <f>AND('STERLING CATALOG - DRY '!G2375,"AAAAAHZdvVY=")</f>
        <v>#VALUE!</v>
      </c>
      <c r="CJ110" t="e">
        <f>AND('STERLING CATALOG - DRY '!H2375,"AAAAAHZdvVc=")</f>
        <v>#VALUE!</v>
      </c>
      <c r="CK110" t="e">
        <f>AND('STERLING CATALOG - DRY '!I2375,"AAAAAHZdvVg=")</f>
        <v>#VALUE!</v>
      </c>
      <c r="CL110" t="e">
        <f>AND('STERLING CATALOG - DRY '!J2375,"AAAAAHZdvVk=")</f>
        <v>#VALUE!</v>
      </c>
      <c r="CM110">
        <f>IF('STERLING CATALOG - DRY '!2376:2376,"AAAAAHZdvVo=",0)</f>
        <v>0</v>
      </c>
      <c r="CN110" t="e">
        <f>AND('STERLING CATALOG - DRY '!A2376,"AAAAAHZdvVs=")</f>
        <v>#VALUE!</v>
      </c>
      <c r="CO110" t="e">
        <f>AND('STERLING CATALOG - DRY '!B2376,"AAAAAHZdvVw=")</f>
        <v>#VALUE!</v>
      </c>
      <c r="CP110" t="e">
        <f>AND('STERLING CATALOG - DRY '!C2376,"AAAAAHZdvV0=")</f>
        <v>#VALUE!</v>
      </c>
      <c r="CQ110" t="e">
        <f>AND('STERLING CATALOG - DRY '!D2376,"AAAAAHZdvV4=")</f>
        <v>#VALUE!</v>
      </c>
      <c r="CR110" t="e">
        <f>AND('STERLING CATALOG - DRY '!E2376,"AAAAAHZdvV8=")</f>
        <v>#VALUE!</v>
      </c>
      <c r="CS110" t="e">
        <f>AND('STERLING CATALOG - DRY '!F2376,"AAAAAHZdvWA=")</f>
        <v>#VALUE!</v>
      </c>
      <c r="CT110" t="e">
        <f>AND('STERLING CATALOG - DRY '!G2376,"AAAAAHZdvWE=")</f>
        <v>#VALUE!</v>
      </c>
      <c r="CU110" t="e">
        <f>AND('STERLING CATALOG - DRY '!H2376,"AAAAAHZdvWI=")</f>
        <v>#VALUE!</v>
      </c>
      <c r="CV110" t="e">
        <f>AND('STERLING CATALOG - DRY '!I2376,"AAAAAHZdvWM=")</f>
        <v>#VALUE!</v>
      </c>
      <c r="CW110" t="e">
        <f>AND('STERLING CATALOG - DRY '!J2376,"AAAAAHZdvWQ=")</f>
        <v>#VALUE!</v>
      </c>
      <c r="CX110">
        <f>IF('STERLING CATALOG - DRY '!2377:2377,"AAAAAHZdvWU=",0)</f>
        <v>0</v>
      </c>
      <c r="CY110" t="e">
        <f>AND('STERLING CATALOG - DRY '!A2377,"AAAAAHZdvWY=")</f>
        <v>#VALUE!</v>
      </c>
      <c r="CZ110" t="e">
        <f>AND('STERLING CATALOG - DRY '!B2377,"AAAAAHZdvWc=")</f>
        <v>#VALUE!</v>
      </c>
      <c r="DA110" t="e">
        <f>AND('STERLING CATALOG - DRY '!C2377,"AAAAAHZdvWg=")</f>
        <v>#VALUE!</v>
      </c>
      <c r="DB110" t="e">
        <f>AND('STERLING CATALOG - DRY '!D2377,"AAAAAHZdvWk=")</f>
        <v>#VALUE!</v>
      </c>
      <c r="DC110" t="e">
        <f>AND('STERLING CATALOG - DRY '!E2377,"AAAAAHZdvWo=")</f>
        <v>#VALUE!</v>
      </c>
      <c r="DD110" t="e">
        <f>AND('STERLING CATALOG - DRY '!F2377,"AAAAAHZdvWs=")</f>
        <v>#VALUE!</v>
      </c>
      <c r="DE110" t="e">
        <f>AND('STERLING CATALOG - DRY '!G2377,"AAAAAHZdvWw=")</f>
        <v>#VALUE!</v>
      </c>
      <c r="DF110" t="e">
        <f>AND('STERLING CATALOG - DRY '!H2377,"AAAAAHZdvW0=")</f>
        <v>#VALUE!</v>
      </c>
      <c r="DG110" t="e">
        <f>AND('STERLING CATALOG - DRY '!I2377,"AAAAAHZdvW4=")</f>
        <v>#VALUE!</v>
      </c>
      <c r="DH110" t="e">
        <f>AND('STERLING CATALOG - DRY '!J2377,"AAAAAHZdvW8=")</f>
        <v>#VALUE!</v>
      </c>
      <c r="DI110">
        <f>IF('STERLING CATALOG - DRY '!2378:2378,"AAAAAHZdvXA=",0)</f>
        <v>0</v>
      </c>
      <c r="DJ110" t="e">
        <f>AND('STERLING CATALOG - DRY '!A2378,"AAAAAHZdvXE=")</f>
        <v>#VALUE!</v>
      </c>
      <c r="DK110" t="e">
        <f>AND('STERLING CATALOG - DRY '!B2378,"AAAAAHZdvXI=")</f>
        <v>#VALUE!</v>
      </c>
      <c r="DL110" t="e">
        <f>AND('STERLING CATALOG - DRY '!C2378,"AAAAAHZdvXM=")</f>
        <v>#VALUE!</v>
      </c>
      <c r="DM110" t="e">
        <f>AND('STERLING CATALOG - DRY '!D2378,"AAAAAHZdvXQ=")</f>
        <v>#VALUE!</v>
      </c>
      <c r="DN110" t="e">
        <f>AND('STERLING CATALOG - DRY '!E2378,"AAAAAHZdvXU=")</f>
        <v>#VALUE!</v>
      </c>
      <c r="DO110" t="e">
        <f>AND('STERLING CATALOG - DRY '!F2378,"AAAAAHZdvXY=")</f>
        <v>#VALUE!</v>
      </c>
      <c r="DP110" t="e">
        <f>AND('STERLING CATALOG - DRY '!G2378,"AAAAAHZdvXc=")</f>
        <v>#VALUE!</v>
      </c>
      <c r="DQ110" t="e">
        <f>AND('STERLING CATALOG - DRY '!H2378,"AAAAAHZdvXg=")</f>
        <v>#VALUE!</v>
      </c>
      <c r="DR110" t="e">
        <f>AND('STERLING CATALOG - DRY '!I2378,"AAAAAHZdvXk=")</f>
        <v>#VALUE!</v>
      </c>
      <c r="DS110" t="e">
        <f>AND('STERLING CATALOG - DRY '!J2378,"AAAAAHZdvXo=")</f>
        <v>#VALUE!</v>
      </c>
      <c r="DT110">
        <f>IF('STERLING CATALOG - DRY '!2379:2379,"AAAAAHZdvXs=",0)</f>
        <v>0</v>
      </c>
      <c r="DU110" t="e">
        <f>AND('STERLING CATALOG - DRY '!A2379,"AAAAAHZdvXw=")</f>
        <v>#VALUE!</v>
      </c>
      <c r="DV110" t="e">
        <f>AND('STERLING CATALOG - DRY '!B2379,"AAAAAHZdvX0=")</f>
        <v>#VALUE!</v>
      </c>
      <c r="DW110" t="e">
        <f>AND('STERLING CATALOG - DRY '!C2379,"AAAAAHZdvX4=")</f>
        <v>#VALUE!</v>
      </c>
      <c r="DX110" t="e">
        <f>AND('STERLING CATALOG - DRY '!D2379,"AAAAAHZdvX8=")</f>
        <v>#VALUE!</v>
      </c>
      <c r="DY110" t="e">
        <f>AND('STERLING CATALOG - DRY '!E2379,"AAAAAHZdvYA=")</f>
        <v>#VALUE!</v>
      </c>
      <c r="DZ110" t="e">
        <f>AND('STERLING CATALOG - DRY '!F2379,"AAAAAHZdvYE=")</f>
        <v>#VALUE!</v>
      </c>
      <c r="EA110" t="e">
        <f>AND('STERLING CATALOG - DRY '!G2379,"AAAAAHZdvYI=")</f>
        <v>#VALUE!</v>
      </c>
      <c r="EB110" t="e">
        <f>AND('STERLING CATALOG - DRY '!H2379,"AAAAAHZdvYM=")</f>
        <v>#VALUE!</v>
      </c>
      <c r="EC110" t="e">
        <f>AND('STERLING CATALOG - DRY '!I2379,"AAAAAHZdvYQ=")</f>
        <v>#VALUE!</v>
      </c>
      <c r="ED110" t="e">
        <f>AND('STERLING CATALOG - DRY '!J2379,"AAAAAHZdvYU=")</f>
        <v>#VALUE!</v>
      </c>
      <c r="EE110">
        <f>IF('STERLING CATALOG - DRY '!2380:2380,"AAAAAHZdvYY=",0)</f>
        <v>0</v>
      </c>
      <c r="EF110" t="e">
        <f>AND('STERLING CATALOG - DRY '!A2380,"AAAAAHZdvYc=")</f>
        <v>#VALUE!</v>
      </c>
      <c r="EG110" t="e">
        <f>AND('STERLING CATALOG - DRY '!B2380,"AAAAAHZdvYg=")</f>
        <v>#VALUE!</v>
      </c>
      <c r="EH110" t="e">
        <f>AND('STERLING CATALOG - DRY '!C2380,"AAAAAHZdvYk=")</f>
        <v>#VALUE!</v>
      </c>
      <c r="EI110" t="e">
        <f>AND('STERLING CATALOG - DRY '!D2380,"AAAAAHZdvYo=")</f>
        <v>#VALUE!</v>
      </c>
      <c r="EJ110" t="e">
        <f>AND('STERLING CATALOG - DRY '!E2380,"AAAAAHZdvYs=")</f>
        <v>#VALUE!</v>
      </c>
      <c r="EK110" t="e">
        <f>AND('STERLING CATALOG - DRY '!F2380,"AAAAAHZdvYw=")</f>
        <v>#VALUE!</v>
      </c>
      <c r="EL110" t="e">
        <f>AND('STERLING CATALOG - DRY '!G2380,"AAAAAHZdvY0=")</f>
        <v>#VALUE!</v>
      </c>
      <c r="EM110" t="e">
        <f>AND('STERLING CATALOG - DRY '!H2380,"AAAAAHZdvY4=")</f>
        <v>#VALUE!</v>
      </c>
      <c r="EN110" t="e">
        <f>AND('STERLING CATALOG - DRY '!I2380,"AAAAAHZdvY8=")</f>
        <v>#VALUE!</v>
      </c>
      <c r="EO110" t="e">
        <f>AND('STERLING CATALOG - DRY '!J2380,"AAAAAHZdvZA=")</f>
        <v>#VALUE!</v>
      </c>
      <c r="EP110">
        <f>IF('STERLING CATALOG - DRY '!2381:2381,"AAAAAHZdvZE=",0)</f>
        <v>0</v>
      </c>
      <c r="EQ110" t="e">
        <f>AND('STERLING CATALOG - DRY '!A2381,"AAAAAHZdvZI=")</f>
        <v>#VALUE!</v>
      </c>
      <c r="ER110" t="e">
        <f>AND('STERLING CATALOG - DRY '!B2381,"AAAAAHZdvZM=")</f>
        <v>#VALUE!</v>
      </c>
      <c r="ES110" t="e">
        <f>AND('STERLING CATALOG - DRY '!C2381,"AAAAAHZdvZQ=")</f>
        <v>#VALUE!</v>
      </c>
      <c r="ET110" t="e">
        <f>AND('STERLING CATALOG - DRY '!D2381,"AAAAAHZdvZU=")</f>
        <v>#VALUE!</v>
      </c>
      <c r="EU110" t="e">
        <f>AND('STERLING CATALOG - DRY '!E2381,"AAAAAHZdvZY=")</f>
        <v>#VALUE!</v>
      </c>
      <c r="EV110" t="e">
        <f>AND('STERLING CATALOG - DRY '!F2381,"AAAAAHZdvZc=")</f>
        <v>#VALUE!</v>
      </c>
      <c r="EW110" t="e">
        <f>AND('STERLING CATALOG - DRY '!G2381,"AAAAAHZdvZg=")</f>
        <v>#VALUE!</v>
      </c>
      <c r="EX110" t="e">
        <f>AND('STERLING CATALOG - DRY '!H2381,"AAAAAHZdvZk=")</f>
        <v>#VALUE!</v>
      </c>
      <c r="EY110" t="e">
        <f>AND('STERLING CATALOG - DRY '!I2381,"AAAAAHZdvZo=")</f>
        <v>#VALUE!</v>
      </c>
      <c r="EZ110" t="e">
        <f>AND('STERLING CATALOG - DRY '!J2381,"AAAAAHZdvZs=")</f>
        <v>#VALUE!</v>
      </c>
      <c r="FA110">
        <f>IF('STERLING CATALOG - DRY '!2382:2382,"AAAAAHZdvZw=",0)</f>
        <v>0</v>
      </c>
      <c r="FB110" t="e">
        <f>AND('STERLING CATALOG - DRY '!A2382,"AAAAAHZdvZ0=")</f>
        <v>#VALUE!</v>
      </c>
      <c r="FC110" t="e">
        <f>AND('STERLING CATALOG - DRY '!B2382,"AAAAAHZdvZ4=")</f>
        <v>#VALUE!</v>
      </c>
      <c r="FD110" t="e">
        <f>AND('STERLING CATALOG - DRY '!C2382,"AAAAAHZdvZ8=")</f>
        <v>#VALUE!</v>
      </c>
      <c r="FE110" t="e">
        <f>AND('STERLING CATALOG - DRY '!D2382,"AAAAAHZdvaA=")</f>
        <v>#VALUE!</v>
      </c>
      <c r="FF110" t="e">
        <f>AND('STERLING CATALOG - DRY '!E2382,"AAAAAHZdvaE=")</f>
        <v>#VALUE!</v>
      </c>
      <c r="FG110" t="e">
        <f>AND('STERLING CATALOG - DRY '!F2382,"AAAAAHZdvaI=")</f>
        <v>#VALUE!</v>
      </c>
      <c r="FH110" t="e">
        <f>AND('STERLING CATALOG - DRY '!G2382,"AAAAAHZdvaM=")</f>
        <v>#VALUE!</v>
      </c>
      <c r="FI110" t="e">
        <f>AND('STERLING CATALOG - DRY '!H2382,"AAAAAHZdvaQ=")</f>
        <v>#VALUE!</v>
      </c>
      <c r="FJ110" t="e">
        <f>AND('STERLING CATALOG - DRY '!I2382,"AAAAAHZdvaU=")</f>
        <v>#VALUE!</v>
      </c>
      <c r="FK110" t="e">
        <f>AND('STERLING CATALOG - DRY '!J2382,"AAAAAHZdvaY=")</f>
        <v>#VALUE!</v>
      </c>
      <c r="FL110">
        <f>IF('STERLING CATALOG - DRY '!2383:2383,"AAAAAHZdvac=",0)</f>
        <v>0</v>
      </c>
      <c r="FM110" t="e">
        <f>AND('STERLING CATALOG - DRY '!A2383,"AAAAAHZdvag=")</f>
        <v>#VALUE!</v>
      </c>
      <c r="FN110" t="e">
        <f>AND('STERLING CATALOG - DRY '!B2383,"AAAAAHZdvak=")</f>
        <v>#VALUE!</v>
      </c>
      <c r="FO110" t="e">
        <f>AND('STERLING CATALOG - DRY '!C2383,"AAAAAHZdvao=")</f>
        <v>#VALUE!</v>
      </c>
      <c r="FP110" t="e">
        <f>AND('STERLING CATALOG - DRY '!D2383,"AAAAAHZdvas=")</f>
        <v>#VALUE!</v>
      </c>
      <c r="FQ110" t="e">
        <f>AND('STERLING CATALOG - DRY '!E2383,"AAAAAHZdvaw=")</f>
        <v>#VALUE!</v>
      </c>
      <c r="FR110" t="e">
        <f>AND('STERLING CATALOG - DRY '!F2383,"AAAAAHZdva0=")</f>
        <v>#VALUE!</v>
      </c>
      <c r="FS110" t="e">
        <f>AND('STERLING CATALOG - DRY '!G2383,"AAAAAHZdva4=")</f>
        <v>#VALUE!</v>
      </c>
      <c r="FT110" t="e">
        <f>AND('STERLING CATALOG - DRY '!H2383,"AAAAAHZdva8=")</f>
        <v>#VALUE!</v>
      </c>
      <c r="FU110" t="e">
        <f>AND('STERLING CATALOG - DRY '!I2383,"AAAAAHZdvbA=")</f>
        <v>#VALUE!</v>
      </c>
      <c r="FV110" t="e">
        <f>AND('STERLING CATALOG - DRY '!J2383,"AAAAAHZdvbE=")</f>
        <v>#VALUE!</v>
      </c>
      <c r="FW110">
        <f>IF('STERLING CATALOG - DRY '!2384:2384,"AAAAAHZdvbI=",0)</f>
        <v>0</v>
      </c>
      <c r="FX110" t="e">
        <f>AND('STERLING CATALOG - DRY '!A2384,"AAAAAHZdvbM=")</f>
        <v>#VALUE!</v>
      </c>
      <c r="FY110" t="e">
        <f>AND('STERLING CATALOG - DRY '!B2384,"AAAAAHZdvbQ=")</f>
        <v>#VALUE!</v>
      </c>
      <c r="FZ110" t="e">
        <f>AND('STERLING CATALOG - DRY '!C2384,"AAAAAHZdvbU=")</f>
        <v>#VALUE!</v>
      </c>
      <c r="GA110" t="e">
        <f>AND('STERLING CATALOG - DRY '!D2384,"AAAAAHZdvbY=")</f>
        <v>#VALUE!</v>
      </c>
      <c r="GB110" t="e">
        <f>AND('STERLING CATALOG - DRY '!E2384,"AAAAAHZdvbc=")</f>
        <v>#VALUE!</v>
      </c>
      <c r="GC110" t="e">
        <f>AND('STERLING CATALOG - DRY '!F2384,"AAAAAHZdvbg=")</f>
        <v>#VALUE!</v>
      </c>
      <c r="GD110" t="e">
        <f>AND('STERLING CATALOG - DRY '!G2384,"AAAAAHZdvbk=")</f>
        <v>#VALUE!</v>
      </c>
      <c r="GE110" t="e">
        <f>AND('STERLING CATALOG - DRY '!H2384,"AAAAAHZdvbo=")</f>
        <v>#VALUE!</v>
      </c>
      <c r="GF110" t="e">
        <f>AND('STERLING CATALOG - DRY '!I2384,"AAAAAHZdvbs=")</f>
        <v>#VALUE!</v>
      </c>
      <c r="GG110" t="e">
        <f>AND('STERLING CATALOG - DRY '!J2384,"AAAAAHZdvbw=")</f>
        <v>#VALUE!</v>
      </c>
      <c r="GH110">
        <f>IF('STERLING CATALOG - DRY '!2385:2385,"AAAAAHZdvb0=",0)</f>
        <v>0</v>
      </c>
      <c r="GI110" t="e">
        <f>AND('STERLING CATALOG - DRY '!A2385,"AAAAAHZdvb4=")</f>
        <v>#VALUE!</v>
      </c>
      <c r="GJ110" t="e">
        <f>AND('STERLING CATALOG - DRY '!B2385,"AAAAAHZdvb8=")</f>
        <v>#VALUE!</v>
      </c>
      <c r="GK110" t="e">
        <f>AND('STERLING CATALOG - DRY '!C2385,"AAAAAHZdvcA=")</f>
        <v>#VALUE!</v>
      </c>
      <c r="GL110" t="e">
        <f>AND('STERLING CATALOG - DRY '!D2385,"AAAAAHZdvcE=")</f>
        <v>#VALUE!</v>
      </c>
      <c r="GM110" t="e">
        <f>AND('STERLING CATALOG - DRY '!E2385,"AAAAAHZdvcI=")</f>
        <v>#VALUE!</v>
      </c>
      <c r="GN110" t="e">
        <f>AND('STERLING CATALOG - DRY '!F2385,"AAAAAHZdvcM=")</f>
        <v>#VALUE!</v>
      </c>
      <c r="GO110" t="e">
        <f>AND('STERLING CATALOG - DRY '!G2385,"AAAAAHZdvcQ=")</f>
        <v>#VALUE!</v>
      </c>
      <c r="GP110" t="e">
        <f>AND('STERLING CATALOG - DRY '!H2385,"AAAAAHZdvcU=")</f>
        <v>#VALUE!</v>
      </c>
      <c r="GQ110" t="e">
        <f>AND('STERLING CATALOG - DRY '!I2385,"AAAAAHZdvcY=")</f>
        <v>#VALUE!</v>
      </c>
      <c r="GR110" t="e">
        <f>AND('STERLING CATALOG - DRY '!J2385,"AAAAAHZdvcc=")</f>
        <v>#VALUE!</v>
      </c>
      <c r="GS110">
        <f>IF('STERLING CATALOG - DRY '!2386:2386,"AAAAAHZdvcg=",0)</f>
        <v>0</v>
      </c>
      <c r="GT110" t="e">
        <f>AND('STERLING CATALOG - DRY '!A2386,"AAAAAHZdvck=")</f>
        <v>#VALUE!</v>
      </c>
      <c r="GU110" t="e">
        <f>AND('STERLING CATALOG - DRY '!B2386,"AAAAAHZdvco=")</f>
        <v>#VALUE!</v>
      </c>
      <c r="GV110" t="e">
        <f>AND('STERLING CATALOG - DRY '!C2386,"AAAAAHZdvcs=")</f>
        <v>#VALUE!</v>
      </c>
      <c r="GW110" t="e">
        <f>AND('STERLING CATALOG - DRY '!D2386,"AAAAAHZdvcw=")</f>
        <v>#VALUE!</v>
      </c>
      <c r="GX110" t="e">
        <f>AND('STERLING CATALOG - DRY '!E2386,"AAAAAHZdvc0=")</f>
        <v>#VALUE!</v>
      </c>
      <c r="GY110" t="e">
        <f>AND('STERLING CATALOG - DRY '!F2386,"AAAAAHZdvc4=")</f>
        <v>#VALUE!</v>
      </c>
      <c r="GZ110" t="e">
        <f>AND('STERLING CATALOG - DRY '!G2386,"AAAAAHZdvc8=")</f>
        <v>#VALUE!</v>
      </c>
      <c r="HA110" t="e">
        <f>AND('STERLING CATALOG - DRY '!H2386,"AAAAAHZdvdA=")</f>
        <v>#VALUE!</v>
      </c>
      <c r="HB110" t="e">
        <f>AND('STERLING CATALOG - DRY '!I2386,"AAAAAHZdvdE=")</f>
        <v>#VALUE!</v>
      </c>
      <c r="HC110" t="e">
        <f>AND('STERLING CATALOG - DRY '!J2386,"AAAAAHZdvdI=")</f>
        <v>#VALUE!</v>
      </c>
      <c r="HD110">
        <f>IF('STERLING CATALOG - DRY '!2387:2387,"AAAAAHZdvdM=",0)</f>
        <v>0</v>
      </c>
      <c r="HE110" t="e">
        <f>AND('STERLING CATALOG - DRY '!A2387,"AAAAAHZdvdQ=")</f>
        <v>#VALUE!</v>
      </c>
      <c r="HF110" t="e">
        <f>AND('STERLING CATALOG - DRY '!B2387,"AAAAAHZdvdU=")</f>
        <v>#VALUE!</v>
      </c>
      <c r="HG110" t="e">
        <f>AND('STERLING CATALOG - DRY '!C2387,"AAAAAHZdvdY=")</f>
        <v>#VALUE!</v>
      </c>
      <c r="HH110" t="e">
        <f>AND('STERLING CATALOG - DRY '!D2387,"AAAAAHZdvdc=")</f>
        <v>#VALUE!</v>
      </c>
      <c r="HI110" t="e">
        <f>AND('STERLING CATALOG - DRY '!E2387,"AAAAAHZdvdg=")</f>
        <v>#VALUE!</v>
      </c>
      <c r="HJ110" t="e">
        <f>AND('STERLING CATALOG - DRY '!F2387,"AAAAAHZdvdk=")</f>
        <v>#VALUE!</v>
      </c>
      <c r="HK110" t="e">
        <f>AND('STERLING CATALOG - DRY '!G2387,"AAAAAHZdvdo=")</f>
        <v>#VALUE!</v>
      </c>
      <c r="HL110" t="e">
        <f>AND('STERLING CATALOG - DRY '!H2387,"AAAAAHZdvds=")</f>
        <v>#VALUE!</v>
      </c>
      <c r="HM110" t="e">
        <f>AND('STERLING CATALOG - DRY '!I2387,"AAAAAHZdvdw=")</f>
        <v>#VALUE!</v>
      </c>
      <c r="HN110" t="e">
        <f>AND('STERLING CATALOG - DRY '!J2387,"AAAAAHZdvd0=")</f>
        <v>#VALUE!</v>
      </c>
      <c r="HO110">
        <f>IF('STERLING CATALOG - DRY '!2388:2388,"AAAAAHZdvd4=",0)</f>
        <v>0</v>
      </c>
      <c r="HP110" t="e">
        <f>AND('STERLING CATALOG - DRY '!A2388,"AAAAAHZdvd8=")</f>
        <v>#VALUE!</v>
      </c>
      <c r="HQ110" t="e">
        <f>AND('STERLING CATALOG - DRY '!B2388,"AAAAAHZdveA=")</f>
        <v>#VALUE!</v>
      </c>
      <c r="HR110" t="e">
        <f>AND('STERLING CATALOG - DRY '!C2388,"AAAAAHZdveE=")</f>
        <v>#VALUE!</v>
      </c>
      <c r="HS110" t="e">
        <f>AND('STERLING CATALOG - DRY '!D2388,"AAAAAHZdveI=")</f>
        <v>#VALUE!</v>
      </c>
      <c r="HT110" t="e">
        <f>AND('STERLING CATALOG - DRY '!E2388,"AAAAAHZdveM=")</f>
        <v>#VALUE!</v>
      </c>
      <c r="HU110" t="e">
        <f>AND('STERLING CATALOG - DRY '!F2388,"AAAAAHZdveQ=")</f>
        <v>#VALUE!</v>
      </c>
      <c r="HV110" t="e">
        <f>AND('STERLING CATALOG - DRY '!G2388,"AAAAAHZdveU=")</f>
        <v>#VALUE!</v>
      </c>
      <c r="HW110" t="e">
        <f>AND('STERLING CATALOG - DRY '!H2388,"AAAAAHZdveY=")</f>
        <v>#VALUE!</v>
      </c>
      <c r="HX110" t="e">
        <f>AND('STERLING CATALOG - DRY '!I2388,"AAAAAHZdvec=")</f>
        <v>#VALUE!</v>
      </c>
      <c r="HY110" t="e">
        <f>AND('STERLING CATALOG - DRY '!J2388,"AAAAAHZdveg=")</f>
        <v>#VALUE!</v>
      </c>
      <c r="HZ110">
        <f>IF('STERLING CATALOG - DRY '!2389:2389,"AAAAAHZdvek=",0)</f>
        <v>0</v>
      </c>
      <c r="IA110" t="e">
        <f>AND('STERLING CATALOG - DRY '!A2389,"AAAAAHZdveo=")</f>
        <v>#VALUE!</v>
      </c>
      <c r="IB110" t="e">
        <f>AND('STERLING CATALOG - DRY '!B2389,"AAAAAHZdves=")</f>
        <v>#VALUE!</v>
      </c>
      <c r="IC110" t="e">
        <f>AND('STERLING CATALOG - DRY '!C2389,"AAAAAHZdvew=")</f>
        <v>#VALUE!</v>
      </c>
      <c r="ID110" t="e">
        <f>AND('STERLING CATALOG - DRY '!D2389,"AAAAAHZdve0=")</f>
        <v>#VALUE!</v>
      </c>
      <c r="IE110" t="e">
        <f>AND('STERLING CATALOG - DRY '!E2389,"AAAAAHZdve4=")</f>
        <v>#VALUE!</v>
      </c>
      <c r="IF110" t="e">
        <f>AND('STERLING CATALOG - DRY '!F2389,"AAAAAHZdve8=")</f>
        <v>#VALUE!</v>
      </c>
      <c r="IG110" t="e">
        <f>AND('STERLING CATALOG - DRY '!G2389,"AAAAAHZdvfA=")</f>
        <v>#VALUE!</v>
      </c>
      <c r="IH110" t="e">
        <f>AND('STERLING CATALOG - DRY '!H2389,"AAAAAHZdvfE=")</f>
        <v>#VALUE!</v>
      </c>
      <c r="II110" t="e">
        <f>AND('STERLING CATALOG - DRY '!I2389,"AAAAAHZdvfI=")</f>
        <v>#VALUE!</v>
      </c>
      <c r="IJ110" t="e">
        <f>AND('STERLING CATALOG - DRY '!J2389,"AAAAAHZdvfM=")</f>
        <v>#VALUE!</v>
      </c>
      <c r="IK110">
        <f>IF('STERLING CATALOG - DRY '!2390:2390,"AAAAAHZdvfQ=",0)</f>
        <v>0</v>
      </c>
      <c r="IL110" t="e">
        <f>AND('STERLING CATALOG - DRY '!A2390,"AAAAAHZdvfU=")</f>
        <v>#VALUE!</v>
      </c>
      <c r="IM110" t="e">
        <f>AND('STERLING CATALOG - DRY '!B2390,"AAAAAHZdvfY=")</f>
        <v>#VALUE!</v>
      </c>
      <c r="IN110" t="e">
        <f>AND('STERLING CATALOG - DRY '!C2390,"AAAAAHZdvfc=")</f>
        <v>#VALUE!</v>
      </c>
      <c r="IO110" t="e">
        <f>AND('STERLING CATALOG - DRY '!D2390,"AAAAAHZdvfg=")</f>
        <v>#VALUE!</v>
      </c>
      <c r="IP110" t="e">
        <f>AND('STERLING CATALOG - DRY '!E2390,"AAAAAHZdvfk=")</f>
        <v>#VALUE!</v>
      </c>
      <c r="IQ110" t="e">
        <f>AND('STERLING CATALOG - DRY '!F2390,"AAAAAHZdvfo=")</f>
        <v>#VALUE!</v>
      </c>
      <c r="IR110" t="e">
        <f>AND('STERLING CATALOG - DRY '!G2390,"AAAAAHZdvfs=")</f>
        <v>#VALUE!</v>
      </c>
      <c r="IS110" t="e">
        <f>AND('STERLING CATALOG - DRY '!H2390,"AAAAAHZdvfw=")</f>
        <v>#VALUE!</v>
      </c>
      <c r="IT110" t="e">
        <f>AND('STERLING CATALOG - DRY '!I2390,"AAAAAHZdvf0=")</f>
        <v>#VALUE!</v>
      </c>
      <c r="IU110" t="e">
        <f>AND('STERLING CATALOG - DRY '!J2390,"AAAAAHZdvf4=")</f>
        <v>#VALUE!</v>
      </c>
      <c r="IV110">
        <f>IF('STERLING CATALOG - DRY '!2391:2391,"AAAAAHZdvf8=",0)</f>
        <v>0</v>
      </c>
    </row>
    <row r="111" spans="1:256">
      <c r="A111" t="e">
        <f>AND('STERLING CATALOG - DRY '!A2391,"AAAAAHN49QA=")</f>
        <v>#VALUE!</v>
      </c>
      <c r="B111" t="e">
        <f>AND('STERLING CATALOG - DRY '!B2391,"AAAAAHN49QE=")</f>
        <v>#VALUE!</v>
      </c>
      <c r="C111" t="e">
        <f>AND('STERLING CATALOG - DRY '!C2391,"AAAAAHN49QI=")</f>
        <v>#VALUE!</v>
      </c>
      <c r="D111" t="e">
        <f>AND('STERLING CATALOG - DRY '!D2391,"AAAAAHN49QM=")</f>
        <v>#VALUE!</v>
      </c>
      <c r="E111" t="e">
        <f>AND('STERLING CATALOG - DRY '!E2391,"AAAAAHN49QQ=")</f>
        <v>#VALUE!</v>
      </c>
      <c r="F111" t="e">
        <f>AND('STERLING CATALOG - DRY '!F2391,"AAAAAHN49QU=")</f>
        <v>#VALUE!</v>
      </c>
      <c r="G111" t="e">
        <f>AND('STERLING CATALOG - DRY '!G2391,"AAAAAHN49QY=")</f>
        <v>#VALUE!</v>
      </c>
      <c r="H111" t="e">
        <f>AND('STERLING CATALOG - DRY '!H2391,"AAAAAHN49Qc=")</f>
        <v>#VALUE!</v>
      </c>
      <c r="I111" t="e">
        <f>AND('STERLING CATALOG - DRY '!I2391,"AAAAAHN49Qg=")</f>
        <v>#VALUE!</v>
      </c>
      <c r="J111" t="e">
        <f>AND('STERLING CATALOG - DRY '!J2391,"AAAAAHN49Qk=")</f>
        <v>#VALUE!</v>
      </c>
      <c r="K111">
        <f>IF('STERLING CATALOG - DRY '!2392:2392,"AAAAAHN49Qo=",0)</f>
        <v>0</v>
      </c>
      <c r="L111" t="e">
        <f>AND('STERLING CATALOG - DRY '!A2392,"AAAAAHN49Qs=")</f>
        <v>#VALUE!</v>
      </c>
      <c r="M111" t="e">
        <f>AND('STERLING CATALOG - DRY '!B2392,"AAAAAHN49Qw=")</f>
        <v>#VALUE!</v>
      </c>
      <c r="N111" t="e">
        <f>AND('STERLING CATALOG - DRY '!C2392,"AAAAAHN49Q0=")</f>
        <v>#VALUE!</v>
      </c>
      <c r="O111" t="e">
        <f>AND('STERLING CATALOG - DRY '!D2392,"AAAAAHN49Q4=")</f>
        <v>#VALUE!</v>
      </c>
      <c r="P111" t="e">
        <f>AND('STERLING CATALOG - DRY '!E2392,"AAAAAHN49Q8=")</f>
        <v>#VALUE!</v>
      </c>
      <c r="Q111" t="e">
        <f>AND('STERLING CATALOG - DRY '!F2392,"AAAAAHN49RA=")</f>
        <v>#VALUE!</v>
      </c>
      <c r="R111" t="e">
        <f>AND('STERLING CATALOG - DRY '!G2392,"AAAAAHN49RE=")</f>
        <v>#VALUE!</v>
      </c>
      <c r="S111" t="e">
        <f>AND('STERLING CATALOG - DRY '!H2392,"AAAAAHN49RI=")</f>
        <v>#VALUE!</v>
      </c>
      <c r="T111" t="e">
        <f>AND('STERLING CATALOG - DRY '!I2392,"AAAAAHN49RM=")</f>
        <v>#VALUE!</v>
      </c>
      <c r="U111" t="e">
        <f>AND('STERLING CATALOG - DRY '!J2392,"AAAAAHN49RQ=")</f>
        <v>#VALUE!</v>
      </c>
      <c r="V111">
        <f>IF('STERLING CATALOG - DRY '!2393:2393,"AAAAAHN49RU=",0)</f>
        <v>0</v>
      </c>
      <c r="W111" t="e">
        <f>AND('STERLING CATALOG - DRY '!A2393,"AAAAAHN49RY=")</f>
        <v>#VALUE!</v>
      </c>
      <c r="X111" t="e">
        <f>AND('STERLING CATALOG - DRY '!B2393,"AAAAAHN49Rc=")</f>
        <v>#VALUE!</v>
      </c>
      <c r="Y111" t="e">
        <f>AND('STERLING CATALOG - DRY '!C2393,"AAAAAHN49Rg=")</f>
        <v>#VALUE!</v>
      </c>
      <c r="Z111" t="e">
        <f>AND('STERLING CATALOG - DRY '!D2393,"AAAAAHN49Rk=")</f>
        <v>#VALUE!</v>
      </c>
      <c r="AA111" t="e">
        <f>AND('STERLING CATALOG - DRY '!E2393,"AAAAAHN49Ro=")</f>
        <v>#VALUE!</v>
      </c>
      <c r="AB111" t="e">
        <f>AND('STERLING CATALOG - DRY '!F2393,"AAAAAHN49Rs=")</f>
        <v>#VALUE!</v>
      </c>
      <c r="AC111" t="e">
        <f>AND('STERLING CATALOG - DRY '!G2393,"AAAAAHN49Rw=")</f>
        <v>#VALUE!</v>
      </c>
      <c r="AD111" t="e">
        <f>AND('STERLING CATALOG - DRY '!H2393,"AAAAAHN49R0=")</f>
        <v>#VALUE!</v>
      </c>
      <c r="AE111" t="e">
        <f>AND('STERLING CATALOG - DRY '!I2393,"AAAAAHN49R4=")</f>
        <v>#VALUE!</v>
      </c>
      <c r="AF111" t="e">
        <f>AND('STERLING CATALOG - DRY '!J2393,"AAAAAHN49R8=")</f>
        <v>#VALUE!</v>
      </c>
      <c r="AG111">
        <f>IF('STERLING CATALOG - DRY '!2394:2394,"AAAAAHN49SA=",0)</f>
        <v>0</v>
      </c>
      <c r="AH111" t="e">
        <f>AND('STERLING CATALOG - DRY '!A2394,"AAAAAHN49SE=")</f>
        <v>#VALUE!</v>
      </c>
      <c r="AI111" t="e">
        <f>AND('STERLING CATALOG - DRY '!B2394,"AAAAAHN49SI=")</f>
        <v>#VALUE!</v>
      </c>
      <c r="AJ111" t="e">
        <f>AND('STERLING CATALOG - DRY '!C2394,"AAAAAHN49SM=")</f>
        <v>#VALUE!</v>
      </c>
      <c r="AK111" t="e">
        <f>AND('STERLING CATALOG - DRY '!D2394,"AAAAAHN49SQ=")</f>
        <v>#VALUE!</v>
      </c>
      <c r="AL111" t="e">
        <f>AND('STERLING CATALOG - DRY '!E2394,"AAAAAHN49SU=")</f>
        <v>#VALUE!</v>
      </c>
      <c r="AM111" t="e">
        <f>AND('STERLING CATALOG - DRY '!F2394,"AAAAAHN49SY=")</f>
        <v>#VALUE!</v>
      </c>
      <c r="AN111" t="e">
        <f>AND('STERLING CATALOG - DRY '!G2394,"AAAAAHN49Sc=")</f>
        <v>#VALUE!</v>
      </c>
      <c r="AO111" t="e">
        <f>AND('STERLING CATALOG - DRY '!H2394,"AAAAAHN49Sg=")</f>
        <v>#VALUE!</v>
      </c>
      <c r="AP111" t="e">
        <f>AND('STERLING CATALOG - DRY '!I2394,"AAAAAHN49Sk=")</f>
        <v>#VALUE!</v>
      </c>
      <c r="AQ111" t="e">
        <f>AND('STERLING CATALOG - DRY '!J2394,"AAAAAHN49So=")</f>
        <v>#VALUE!</v>
      </c>
      <c r="AR111">
        <f>IF('STERLING CATALOG - DRY '!2395:2395,"AAAAAHN49Ss=",0)</f>
        <v>0</v>
      </c>
      <c r="AS111" t="e">
        <f>AND('STERLING CATALOG - DRY '!A2395,"AAAAAHN49Sw=")</f>
        <v>#VALUE!</v>
      </c>
      <c r="AT111" t="e">
        <f>AND('STERLING CATALOG - DRY '!B2395,"AAAAAHN49S0=")</f>
        <v>#VALUE!</v>
      </c>
      <c r="AU111" t="e">
        <f>AND('STERLING CATALOG - DRY '!C2395,"AAAAAHN49S4=")</f>
        <v>#VALUE!</v>
      </c>
      <c r="AV111" t="e">
        <f>AND('STERLING CATALOG - DRY '!D2395,"AAAAAHN49S8=")</f>
        <v>#VALUE!</v>
      </c>
      <c r="AW111" t="e">
        <f>AND('STERLING CATALOG - DRY '!E2395,"AAAAAHN49TA=")</f>
        <v>#VALUE!</v>
      </c>
      <c r="AX111" t="e">
        <f>AND('STERLING CATALOG - DRY '!F2395,"AAAAAHN49TE=")</f>
        <v>#VALUE!</v>
      </c>
      <c r="AY111" t="e">
        <f>AND('STERLING CATALOG - DRY '!G2395,"AAAAAHN49TI=")</f>
        <v>#VALUE!</v>
      </c>
      <c r="AZ111" t="e">
        <f>AND('STERLING CATALOG - DRY '!H2395,"AAAAAHN49TM=")</f>
        <v>#VALUE!</v>
      </c>
      <c r="BA111" t="e">
        <f>AND('STERLING CATALOG - DRY '!I2395,"AAAAAHN49TQ=")</f>
        <v>#VALUE!</v>
      </c>
      <c r="BB111" t="e">
        <f>AND('STERLING CATALOG - DRY '!J2395,"AAAAAHN49TU=")</f>
        <v>#VALUE!</v>
      </c>
      <c r="BC111">
        <f>IF('STERLING CATALOG - DRY '!2396:2396,"AAAAAHN49TY=",0)</f>
        <v>0</v>
      </c>
      <c r="BD111" t="e">
        <f>AND('STERLING CATALOG - DRY '!A2396,"AAAAAHN49Tc=")</f>
        <v>#VALUE!</v>
      </c>
      <c r="BE111" t="e">
        <f>AND('STERLING CATALOG - DRY '!B2396,"AAAAAHN49Tg=")</f>
        <v>#VALUE!</v>
      </c>
      <c r="BF111" t="e">
        <f>AND('STERLING CATALOG - DRY '!C2396,"AAAAAHN49Tk=")</f>
        <v>#VALUE!</v>
      </c>
      <c r="BG111" t="e">
        <f>AND('STERLING CATALOG - DRY '!D2396,"AAAAAHN49To=")</f>
        <v>#VALUE!</v>
      </c>
      <c r="BH111" t="e">
        <f>AND('STERLING CATALOG - DRY '!E2396,"AAAAAHN49Ts=")</f>
        <v>#VALUE!</v>
      </c>
      <c r="BI111" t="e">
        <f>AND('STERLING CATALOG - DRY '!F2396,"AAAAAHN49Tw=")</f>
        <v>#VALUE!</v>
      </c>
      <c r="BJ111" t="e">
        <f>AND('STERLING CATALOG - DRY '!G2396,"AAAAAHN49T0=")</f>
        <v>#VALUE!</v>
      </c>
      <c r="BK111" t="e">
        <f>AND('STERLING CATALOG - DRY '!H2396,"AAAAAHN49T4=")</f>
        <v>#VALUE!</v>
      </c>
      <c r="BL111" t="e">
        <f>AND('STERLING CATALOG - DRY '!I2396,"AAAAAHN49T8=")</f>
        <v>#VALUE!</v>
      </c>
      <c r="BM111" t="e">
        <f>AND('STERLING CATALOG - DRY '!J2396,"AAAAAHN49UA=")</f>
        <v>#VALUE!</v>
      </c>
      <c r="BN111">
        <f>IF('STERLING CATALOG - DRY '!2397:2397,"AAAAAHN49UE=",0)</f>
        <v>0</v>
      </c>
      <c r="BO111" t="e">
        <f>AND('STERLING CATALOG - DRY '!A2397,"AAAAAHN49UI=")</f>
        <v>#VALUE!</v>
      </c>
      <c r="BP111" t="e">
        <f>AND('STERLING CATALOG - DRY '!B2397,"AAAAAHN49UM=")</f>
        <v>#VALUE!</v>
      </c>
      <c r="BQ111" t="e">
        <f>AND('STERLING CATALOG - DRY '!C2397,"AAAAAHN49UQ=")</f>
        <v>#VALUE!</v>
      </c>
      <c r="BR111" t="e">
        <f>AND('STERLING CATALOG - DRY '!D2397,"AAAAAHN49UU=")</f>
        <v>#VALUE!</v>
      </c>
      <c r="BS111" t="e">
        <f>AND('STERLING CATALOG - DRY '!E2397,"AAAAAHN49UY=")</f>
        <v>#VALUE!</v>
      </c>
      <c r="BT111" t="e">
        <f>AND('STERLING CATALOG - DRY '!F2397,"AAAAAHN49Uc=")</f>
        <v>#VALUE!</v>
      </c>
      <c r="BU111" t="e">
        <f>AND('STERLING CATALOG - DRY '!G2397,"AAAAAHN49Ug=")</f>
        <v>#VALUE!</v>
      </c>
      <c r="BV111" t="e">
        <f>AND('STERLING CATALOG - DRY '!H2397,"AAAAAHN49Uk=")</f>
        <v>#VALUE!</v>
      </c>
      <c r="BW111" t="e">
        <f>AND('STERLING CATALOG - DRY '!I2397,"AAAAAHN49Uo=")</f>
        <v>#VALUE!</v>
      </c>
      <c r="BX111" t="e">
        <f>AND('STERLING CATALOG - DRY '!J2397,"AAAAAHN49Us=")</f>
        <v>#VALUE!</v>
      </c>
      <c r="BY111">
        <f>IF('STERLING CATALOG - DRY '!2398:2398,"AAAAAHN49Uw=",0)</f>
        <v>0</v>
      </c>
      <c r="BZ111" t="e">
        <f>AND('STERLING CATALOG - DRY '!A2398,"AAAAAHN49U0=")</f>
        <v>#VALUE!</v>
      </c>
      <c r="CA111" t="e">
        <f>AND('STERLING CATALOG - DRY '!B2398,"AAAAAHN49U4=")</f>
        <v>#VALUE!</v>
      </c>
      <c r="CB111" t="e">
        <f>AND('STERLING CATALOG - DRY '!C2398,"AAAAAHN49U8=")</f>
        <v>#VALUE!</v>
      </c>
      <c r="CC111" t="e">
        <f>AND('STERLING CATALOG - DRY '!D2398,"AAAAAHN49VA=")</f>
        <v>#VALUE!</v>
      </c>
      <c r="CD111" t="e">
        <f>AND('STERLING CATALOG - DRY '!E2398,"AAAAAHN49VE=")</f>
        <v>#VALUE!</v>
      </c>
      <c r="CE111" t="e">
        <f>AND('STERLING CATALOG - DRY '!F2398,"AAAAAHN49VI=")</f>
        <v>#VALUE!</v>
      </c>
      <c r="CF111" t="e">
        <f>AND('STERLING CATALOG - DRY '!G2398,"AAAAAHN49VM=")</f>
        <v>#VALUE!</v>
      </c>
      <c r="CG111" t="e">
        <f>AND('STERLING CATALOG - DRY '!H2398,"AAAAAHN49VQ=")</f>
        <v>#VALUE!</v>
      </c>
      <c r="CH111" t="e">
        <f>AND('STERLING CATALOG - DRY '!I2398,"AAAAAHN49VU=")</f>
        <v>#VALUE!</v>
      </c>
      <c r="CI111" t="e">
        <f>AND('STERLING CATALOG - DRY '!J2398,"AAAAAHN49VY=")</f>
        <v>#VALUE!</v>
      </c>
      <c r="CJ111">
        <f>IF('STERLING CATALOG - DRY '!2399:2399,"AAAAAHN49Vc=",0)</f>
        <v>0</v>
      </c>
      <c r="CK111" t="e">
        <f>AND('STERLING CATALOG - DRY '!A2399,"AAAAAHN49Vg=")</f>
        <v>#VALUE!</v>
      </c>
      <c r="CL111" t="e">
        <f>AND('STERLING CATALOG - DRY '!B2399,"AAAAAHN49Vk=")</f>
        <v>#VALUE!</v>
      </c>
      <c r="CM111" t="e">
        <f>AND('STERLING CATALOG - DRY '!C2399,"AAAAAHN49Vo=")</f>
        <v>#VALUE!</v>
      </c>
      <c r="CN111" t="e">
        <f>AND('STERLING CATALOG - DRY '!D2399,"AAAAAHN49Vs=")</f>
        <v>#VALUE!</v>
      </c>
      <c r="CO111" t="e">
        <f>AND('STERLING CATALOG - DRY '!E2399,"AAAAAHN49Vw=")</f>
        <v>#VALUE!</v>
      </c>
      <c r="CP111" t="e">
        <f>AND('STERLING CATALOG - DRY '!F2399,"AAAAAHN49V0=")</f>
        <v>#VALUE!</v>
      </c>
      <c r="CQ111" t="e">
        <f>AND('STERLING CATALOG - DRY '!G2399,"AAAAAHN49V4=")</f>
        <v>#VALUE!</v>
      </c>
      <c r="CR111" t="e">
        <f>AND('STERLING CATALOG - DRY '!H2399,"AAAAAHN49V8=")</f>
        <v>#VALUE!</v>
      </c>
      <c r="CS111" t="e">
        <f>AND('STERLING CATALOG - DRY '!I2399,"AAAAAHN49WA=")</f>
        <v>#VALUE!</v>
      </c>
      <c r="CT111" t="e">
        <f>AND('STERLING CATALOG - DRY '!J2399,"AAAAAHN49WE=")</f>
        <v>#VALUE!</v>
      </c>
      <c r="CU111">
        <f>IF('STERLING CATALOG - DRY '!2400:2400,"AAAAAHN49WI=",0)</f>
        <v>0</v>
      </c>
      <c r="CV111" t="e">
        <f>AND('STERLING CATALOG - DRY '!A2400,"AAAAAHN49WM=")</f>
        <v>#VALUE!</v>
      </c>
      <c r="CW111" t="e">
        <f>AND('STERLING CATALOG - DRY '!B2400,"AAAAAHN49WQ=")</f>
        <v>#VALUE!</v>
      </c>
      <c r="CX111" t="e">
        <f>AND('STERLING CATALOG - DRY '!C2400,"AAAAAHN49WU=")</f>
        <v>#VALUE!</v>
      </c>
      <c r="CY111" t="e">
        <f>AND('STERLING CATALOG - DRY '!D2400,"AAAAAHN49WY=")</f>
        <v>#VALUE!</v>
      </c>
      <c r="CZ111" t="e">
        <f>AND('STERLING CATALOG - DRY '!E2400,"AAAAAHN49Wc=")</f>
        <v>#VALUE!</v>
      </c>
      <c r="DA111" t="e">
        <f>AND('STERLING CATALOG - DRY '!F2400,"AAAAAHN49Wg=")</f>
        <v>#VALUE!</v>
      </c>
      <c r="DB111" t="e">
        <f>AND('STERLING CATALOG - DRY '!G2400,"AAAAAHN49Wk=")</f>
        <v>#VALUE!</v>
      </c>
      <c r="DC111" t="e">
        <f>AND('STERLING CATALOG - DRY '!H2400,"AAAAAHN49Wo=")</f>
        <v>#VALUE!</v>
      </c>
      <c r="DD111" t="e">
        <f>AND('STERLING CATALOG - DRY '!I2400,"AAAAAHN49Ws=")</f>
        <v>#VALUE!</v>
      </c>
      <c r="DE111" t="e">
        <f>AND('STERLING CATALOG - DRY '!J2400,"AAAAAHN49Ww=")</f>
        <v>#VALUE!</v>
      </c>
      <c r="DF111">
        <f>IF('STERLING CATALOG - DRY '!2401:2401,"AAAAAHN49W0=",0)</f>
        <v>0</v>
      </c>
      <c r="DG111" t="e">
        <f>AND('STERLING CATALOG - DRY '!A2401,"AAAAAHN49W4=")</f>
        <v>#VALUE!</v>
      </c>
      <c r="DH111" t="e">
        <f>AND('STERLING CATALOG - DRY '!B2401,"AAAAAHN49W8=")</f>
        <v>#VALUE!</v>
      </c>
      <c r="DI111" t="e">
        <f>AND('STERLING CATALOG - DRY '!C2401,"AAAAAHN49XA=")</f>
        <v>#VALUE!</v>
      </c>
      <c r="DJ111" t="e">
        <f>AND('STERLING CATALOG - DRY '!D2401,"AAAAAHN49XE=")</f>
        <v>#VALUE!</v>
      </c>
      <c r="DK111" t="e">
        <f>AND('STERLING CATALOG - DRY '!E2401,"AAAAAHN49XI=")</f>
        <v>#VALUE!</v>
      </c>
      <c r="DL111" t="e">
        <f>AND('STERLING CATALOG - DRY '!F2401,"AAAAAHN49XM=")</f>
        <v>#VALUE!</v>
      </c>
      <c r="DM111" t="e">
        <f>AND('STERLING CATALOG - DRY '!G2401,"AAAAAHN49XQ=")</f>
        <v>#VALUE!</v>
      </c>
      <c r="DN111" t="e">
        <f>AND('STERLING CATALOG - DRY '!H2401,"AAAAAHN49XU=")</f>
        <v>#VALUE!</v>
      </c>
      <c r="DO111" t="e">
        <f>AND('STERLING CATALOG - DRY '!I2401,"AAAAAHN49XY=")</f>
        <v>#VALUE!</v>
      </c>
      <c r="DP111" t="e">
        <f>AND('STERLING CATALOG - DRY '!J2401,"AAAAAHN49Xc=")</f>
        <v>#VALUE!</v>
      </c>
      <c r="DQ111">
        <f>IF('STERLING CATALOG - DRY '!2402:2402,"AAAAAHN49Xg=",0)</f>
        <v>0</v>
      </c>
      <c r="DR111" t="e">
        <f>AND('STERLING CATALOG - DRY '!A2402,"AAAAAHN49Xk=")</f>
        <v>#VALUE!</v>
      </c>
      <c r="DS111" t="e">
        <f>AND('STERLING CATALOG - DRY '!B2402,"AAAAAHN49Xo=")</f>
        <v>#VALUE!</v>
      </c>
      <c r="DT111" t="e">
        <f>AND('STERLING CATALOG - DRY '!C2402,"AAAAAHN49Xs=")</f>
        <v>#VALUE!</v>
      </c>
      <c r="DU111" t="e">
        <f>AND('STERLING CATALOG - DRY '!D2402,"AAAAAHN49Xw=")</f>
        <v>#VALUE!</v>
      </c>
      <c r="DV111" t="e">
        <f>AND('STERLING CATALOG - DRY '!E2402,"AAAAAHN49X0=")</f>
        <v>#VALUE!</v>
      </c>
      <c r="DW111" t="e">
        <f>AND('STERLING CATALOG - DRY '!F2402,"AAAAAHN49X4=")</f>
        <v>#VALUE!</v>
      </c>
      <c r="DX111" t="e">
        <f>AND('STERLING CATALOG - DRY '!G2402,"AAAAAHN49X8=")</f>
        <v>#VALUE!</v>
      </c>
      <c r="DY111" t="e">
        <f>AND('STERLING CATALOG - DRY '!H2402,"AAAAAHN49YA=")</f>
        <v>#VALUE!</v>
      </c>
      <c r="DZ111" t="e">
        <f>AND('STERLING CATALOG - DRY '!I2402,"AAAAAHN49YE=")</f>
        <v>#VALUE!</v>
      </c>
      <c r="EA111" t="e">
        <f>AND('STERLING CATALOG - DRY '!J2402,"AAAAAHN49YI=")</f>
        <v>#VALUE!</v>
      </c>
      <c r="EB111">
        <f>IF('STERLING CATALOG - DRY '!2403:2403,"AAAAAHN49YM=",0)</f>
        <v>0</v>
      </c>
      <c r="EC111" t="e">
        <f>AND('STERLING CATALOG - DRY '!A2403,"AAAAAHN49YQ=")</f>
        <v>#VALUE!</v>
      </c>
      <c r="ED111" t="e">
        <f>AND('STERLING CATALOG - DRY '!B2403,"AAAAAHN49YU=")</f>
        <v>#VALUE!</v>
      </c>
      <c r="EE111" t="e">
        <f>AND('STERLING CATALOG - DRY '!C2403,"AAAAAHN49YY=")</f>
        <v>#VALUE!</v>
      </c>
      <c r="EF111" t="e">
        <f>AND('STERLING CATALOG - DRY '!D2403,"AAAAAHN49Yc=")</f>
        <v>#VALUE!</v>
      </c>
      <c r="EG111" t="e">
        <f>AND('STERLING CATALOG - DRY '!E2403,"AAAAAHN49Yg=")</f>
        <v>#VALUE!</v>
      </c>
      <c r="EH111" t="e">
        <f>AND('STERLING CATALOG - DRY '!F2403,"AAAAAHN49Yk=")</f>
        <v>#VALUE!</v>
      </c>
      <c r="EI111" t="e">
        <f>AND('STERLING CATALOG - DRY '!G2403,"AAAAAHN49Yo=")</f>
        <v>#VALUE!</v>
      </c>
      <c r="EJ111" t="e">
        <f>AND('STERLING CATALOG - DRY '!H2403,"AAAAAHN49Ys=")</f>
        <v>#VALUE!</v>
      </c>
      <c r="EK111" t="e">
        <f>AND('STERLING CATALOG - DRY '!I2403,"AAAAAHN49Yw=")</f>
        <v>#VALUE!</v>
      </c>
      <c r="EL111" t="e">
        <f>AND('STERLING CATALOG - DRY '!J2403,"AAAAAHN49Y0=")</f>
        <v>#VALUE!</v>
      </c>
      <c r="EM111">
        <f>IF('STERLING CATALOG - DRY '!2404:2404,"AAAAAHN49Y4=",0)</f>
        <v>0</v>
      </c>
      <c r="EN111" t="e">
        <f>AND('STERLING CATALOG - DRY '!A2404,"AAAAAHN49Y8=")</f>
        <v>#VALUE!</v>
      </c>
      <c r="EO111" t="e">
        <f>AND('STERLING CATALOG - DRY '!B2404,"AAAAAHN49ZA=")</f>
        <v>#VALUE!</v>
      </c>
      <c r="EP111" t="e">
        <f>AND('STERLING CATALOG - DRY '!C2404,"AAAAAHN49ZE=")</f>
        <v>#VALUE!</v>
      </c>
      <c r="EQ111" t="e">
        <f>AND('STERLING CATALOG - DRY '!D2404,"AAAAAHN49ZI=")</f>
        <v>#VALUE!</v>
      </c>
      <c r="ER111" t="e">
        <f>AND('STERLING CATALOG - DRY '!E2404,"AAAAAHN49ZM=")</f>
        <v>#VALUE!</v>
      </c>
      <c r="ES111" t="e">
        <f>AND('STERLING CATALOG - DRY '!F2404,"AAAAAHN49ZQ=")</f>
        <v>#VALUE!</v>
      </c>
      <c r="ET111" t="e">
        <f>AND('STERLING CATALOG - DRY '!G2404,"AAAAAHN49ZU=")</f>
        <v>#VALUE!</v>
      </c>
      <c r="EU111" t="e">
        <f>AND('STERLING CATALOG - DRY '!H2404,"AAAAAHN49ZY=")</f>
        <v>#VALUE!</v>
      </c>
      <c r="EV111" t="e">
        <f>AND('STERLING CATALOG - DRY '!I2404,"AAAAAHN49Zc=")</f>
        <v>#VALUE!</v>
      </c>
      <c r="EW111" t="e">
        <f>AND('STERLING CATALOG - DRY '!J2404,"AAAAAHN49Zg=")</f>
        <v>#VALUE!</v>
      </c>
      <c r="EX111">
        <f>IF('STERLING CATALOG - DRY '!2405:2405,"AAAAAHN49Zk=",0)</f>
        <v>0</v>
      </c>
      <c r="EY111" t="e">
        <f>AND('STERLING CATALOG - DRY '!A2405,"AAAAAHN49Zo=")</f>
        <v>#VALUE!</v>
      </c>
      <c r="EZ111" t="e">
        <f>AND('STERLING CATALOG - DRY '!B2405,"AAAAAHN49Zs=")</f>
        <v>#VALUE!</v>
      </c>
      <c r="FA111" t="e">
        <f>AND('STERLING CATALOG - DRY '!C2405,"AAAAAHN49Zw=")</f>
        <v>#VALUE!</v>
      </c>
      <c r="FB111" t="e">
        <f>AND('STERLING CATALOG - DRY '!D2405,"AAAAAHN49Z0=")</f>
        <v>#VALUE!</v>
      </c>
      <c r="FC111" t="e">
        <f>AND('STERLING CATALOG - DRY '!E2405,"AAAAAHN49Z4=")</f>
        <v>#VALUE!</v>
      </c>
      <c r="FD111" t="e">
        <f>AND('STERLING CATALOG - DRY '!F2405,"AAAAAHN49Z8=")</f>
        <v>#VALUE!</v>
      </c>
      <c r="FE111" t="e">
        <f>AND('STERLING CATALOG - DRY '!G2405,"AAAAAHN49aA=")</f>
        <v>#VALUE!</v>
      </c>
      <c r="FF111" t="e">
        <f>AND('STERLING CATALOG - DRY '!H2405,"AAAAAHN49aE=")</f>
        <v>#VALUE!</v>
      </c>
      <c r="FG111" t="e">
        <f>AND('STERLING CATALOG - DRY '!I2405,"AAAAAHN49aI=")</f>
        <v>#VALUE!</v>
      </c>
      <c r="FH111" t="e">
        <f>AND('STERLING CATALOG - DRY '!J2405,"AAAAAHN49aM=")</f>
        <v>#VALUE!</v>
      </c>
      <c r="FI111">
        <f>IF('STERLING CATALOG - DRY '!2406:2406,"AAAAAHN49aQ=",0)</f>
        <v>0</v>
      </c>
      <c r="FJ111" t="e">
        <f>AND('STERLING CATALOG - DRY '!A2406,"AAAAAHN49aU=")</f>
        <v>#VALUE!</v>
      </c>
      <c r="FK111" t="e">
        <f>AND('STERLING CATALOG - DRY '!B2406,"AAAAAHN49aY=")</f>
        <v>#VALUE!</v>
      </c>
      <c r="FL111" t="e">
        <f>AND('STERLING CATALOG - DRY '!C2406,"AAAAAHN49ac=")</f>
        <v>#VALUE!</v>
      </c>
      <c r="FM111" t="e">
        <f>AND('STERLING CATALOG - DRY '!D2406,"AAAAAHN49ag=")</f>
        <v>#VALUE!</v>
      </c>
      <c r="FN111" t="e">
        <f>AND('STERLING CATALOG - DRY '!E2406,"AAAAAHN49ak=")</f>
        <v>#VALUE!</v>
      </c>
      <c r="FO111" t="e">
        <f>AND('STERLING CATALOG - DRY '!F2406,"AAAAAHN49ao=")</f>
        <v>#VALUE!</v>
      </c>
      <c r="FP111" t="e">
        <f>AND('STERLING CATALOG - DRY '!G2406,"AAAAAHN49as=")</f>
        <v>#VALUE!</v>
      </c>
      <c r="FQ111" t="e">
        <f>AND('STERLING CATALOG - DRY '!H2406,"AAAAAHN49aw=")</f>
        <v>#VALUE!</v>
      </c>
      <c r="FR111" t="e">
        <f>AND('STERLING CATALOG - DRY '!I2406,"AAAAAHN49a0=")</f>
        <v>#VALUE!</v>
      </c>
      <c r="FS111" t="e">
        <f>AND('STERLING CATALOG - DRY '!J2406,"AAAAAHN49a4=")</f>
        <v>#VALUE!</v>
      </c>
      <c r="FT111">
        <f>IF('STERLING CATALOG - DRY '!2407:2407,"AAAAAHN49a8=",0)</f>
        <v>0</v>
      </c>
      <c r="FU111" t="e">
        <f>AND('STERLING CATALOG - DRY '!A2407,"AAAAAHN49bA=")</f>
        <v>#VALUE!</v>
      </c>
      <c r="FV111" t="e">
        <f>AND('STERLING CATALOG - DRY '!B2407,"AAAAAHN49bE=")</f>
        <v>#VALUE!</v>
      </c>
      <c r="FW111" t="e">
        <f>AND('STERLING CATALOG - DRY '!C2407,"AAAAAHN49bI=")</f>
        <v>#VALUE!</v>
      </c>
      <c r="FX111" t="e">
        <f>AND('STERLING CATALOG - DRY '!D2407,"AAAAAHN49bM=")</f>
        <v>#VALUE!</v>
      </c>
      <c r="FY111" t="e">
        <f>AND('STERLING CATALOG - DRY '!E2407,"AAAAAHN49bQ=")</f>
        <v>#VALUE!</v>
      </c>
      <c r="FZ111" t="e">
        <f>AND('STERLING CATALOG - DRY '!F2407,"AAAAAHN49bU=")</f>
        <v>#VALUE!</v>
      </c>
      <c r="GA111" t="e">
        <f>AND('STERLING CATALOG - DRY '!G2407,"AAAAAHN49bY=")</f>
        <v>#VALUE!</v>
      </c>
      <c r="GB111" t="e">
        <f>AND('STERLING CATALOG - DRY '!H2407,"AAAAAHN49bc=")</f>
        <v>#VALUE!</v>
      </c>
      <c r="GC111" t="e">
        <f>AND('STERLING CATALOG - DRY '!I2407,"AAAAAHN49bg=")</f>
        <v>#VALUE!</v>
      </c>
      <c r="GD111" t="e">
        <f>AND('STERLING CATALOG - DRY '!J2407,"AAAAAHN49bk=")</f>
        <v>#VALUE!</v>
      </c>
      <c r="GE111">
        <f>IF('STERLING CATALOG - DRY '!2408:2408,"AAAAAHN49bo=",0)</f>
        <v>0</v>
      </c>
      <c r="GF111" t="e">
        <f>AND('STERLING CATALOG - DRY '!A2408,"AAAAAHN49bs=")</f>
        <v>#VALUE!</v>
      </c>
      <c r="GG111" t="e">
        <f>AND('STERLING CATALOG - DRY '!B2408,"AAAAAHN49bw=")</f>
        <v>#VALUE!</v>
      </c>
      <c r="GH111" t="e">
        <f>AND('STERLING CATALOG - DRY '!C2408,"AAAAAHN49b0=")</f>
        <v>#VALUE!</v>
      </c>
      <c r="GI111" t="e">
        <f>AND('STERLING CATALOG - DRY '!D2408,"AAAAAHN49b4=")</f>
        <v>#VALUE!</v>
      </c>
      <c r="GJ111" t="e">
        <f>AND('STERLING CATALOG - DRY '!E2408,"AAAAAHN49b8=")</f>
        <v>#VALUE!</v>
      </c>
      <c r="GK111" t="e">
        <f>AND('STERLING CATALOG - DRY '!F2408,"AAAAAHN49cA=")</f>
        <v>#VALUE!</v>
      </c>
      <c r="GL111" t="e">
        <f>AND('STERLING CATALOG - DRY '!G2408,"AAAAAHN49cE=")</f>
        <v>#VALUE!</v>
      </c>
      <c r="GM111" t="e">
        <f>AND('STERLING CATALOG - DRY '!H2408,"AAAAAHN49cI=")</f>
        <v>#VALUE!</v>
      </c>
      <c r="GN111" t="e">
        <f>AND('STERLING CATALOG - DRY '!I2408,"AAAAAHN49cM=")</f>
        <v>#VALUE!</v>
      </c>
      <c r="GO111" t="e">
        <f>AND('STERLING CATALOG - DRY '!J2408,"AAAAAHN49cQ=")</f>
        <v>#VALUE!</v>
      </c>
      <c r="GP111">
        <f>IF('STERLING CATALOG - DRY '!2409:2409,"AAAAAHN49cU=",0)</f>
        <v>0</v>
      </c>
      <c r="GQ111" t="e">
        <f>AND('STERLING CATALOG - DRY '!A2409,"AAAAAHN49cY=")</f>
        <v>#VALUE!</v>
      </c>
      <c r="GR111" t="e">
        <f>AND('STERLING CATALOG - DRY '!B2409,"AAAAAHN49cc=")</f>
        <v>#VALUE!</v>
      </c>
      <c r="GS111" t="e">
        <f>AND('STERLING CATALOG - DRY '!C2409,"AAAAAHN49cg=")</f>
        <v>#VALUE!</v>
      </c>
      <c r="GT111" t="e">
        <f>AND('STERLING CATALOG - DRY '!D2409,"AAAAAHN49ck=")</f>
        <v>#VALUE!</v>
      </c>
      <c r="GU111" t="e">
        <f>AND('STERLING CATALOG - DRY '!E2409,"AAAAAHN49co=")</f>
        <v>#VALUE!</v>
      </c>
      <c r="GV111" t="e">
        <f>AND('STERLING CATALOG - DRY '!F2409,"AAAAAHN49cs=")</f>
        <v>#VALUE!</v>
      </c>
      <c r="GW111" t="e">
        <f>AND('STERLING CATALOG - DRY '!G2409,"AAAAAHN49cw=")</f>
        <v>#VALUE!</v>
      </c>
      <c r="GX111" t="e">
        <f>AND('STERLING CATALOG - DRY '!H2409,"AAAAAHN49c0=")</f>
        <v>#VALUE!</v>
      </c>
      <c r="GY111" t="e">
        <f>AND('STERLING CATALOG - DRY '!I2409,"AAAAAHN49c4=")</f>
        <v>#VALUE!</v>
      </c>
      <c r="GZ111" t="e">
        <f>AND('STERLING CATALOG - DRY '!J2409,"AAAAAHN49c8=")</f>
        <v>#VALUE!</v>
      </c>
      <c r="HA111">
        <f>IF('STERLING CATALOG - DRY '!2410:2410,"AAAAAHN49dA=",0)</f>
        <v>0</v>
      </c>
      <c r="HB111" t="e">
        <f>AND('STERLING CATALOG - DRY '!A2410,"AAAAAHN49dE=")</f>
        <v>#VALUE!</v>
      </c>
      <c r="HC111" t="e">
        <f>AND('STERLING CATALOG - DRY '!B2410,"AAAAAHN49dI=")</f>
        <v>#VALUE!</v>
      </c>
      <c r="HD111" t="e">
        <f>AND('STERLING CATALOG - DRY '!C2410,"AAAAAHN49dM=")</f>
        <v>#VALUE!</v>
      </c>
      <c r="HE111" t="e">
        <f>AND('STERLING CATALOG - DRY '!D2410,"AAAAAHN49dQ=")</f>
        <v>#VALUE!</v>
      </c>
      <c r="HF111" t="e">
        <f>AND('STERLING CATALOG - DRY '!E2410,"AAAAAHN49dU=")</f>
        <v>#VALUE!</v>
      </c>
      <c r="HG111" t="e">
        <f>AND('STERLING CATALOG - DRY '!F2410,"AAAAAHN49dY=")</f>
        <v>#VALUE!</v>
      </c>
      <c r="HH111" t="e">
        <f>AND('STERLING CATALOG - DRY '!G2410,"AAAAAHN49dc=")</f>
        <v>#VALUE!</v>
      </c>
      <c r="HI111" t="e">
        <f>AND('STERLING CATALOG - DRY '!H2410,"AAAAAHN49dg=")</f>
        <v>#VALUE!</v>
      </c>
      <c r="HJ111" t="e">
        <f>AND('STERLING CATALOG - DRY '!I2410,"AAAAAHN49dk=")</f>
        <v>#VALUE!</v>
      </c>
      <c r="HK111" t="e">
        <f>AND('STERLING CATALOG - DRY '!J2410,"AAAAAHN49do=")</f>
        <v>#VALUE!</v>
      </c>
      <c r="HL111">
        <f>IF('STERLING CATALOG - DRY '!2411:2411,"AAAAAHN49ds=",0)</f>
        <v>0</v>
      </c>
      <c r="HM111" t="e">
        <f>AND('STERLING CATALOG - DRY '!A2411,"AAAAAHN49dw=")</f>
        <v>#VALUE!</v>
      </c>
      <c r="HN111" t="e">
        <f>AND('STERLING CATALOG - DRY '!B2411,"AAAAAHN49d0=")</f>
        <v>#VALUE!</v>
      </c>
      <c r="HO111" t="e">
        <f>AND('STERLING CATALOG - DRY '!C2411,"AAAAAHN49d4=")</f>
        <v>#VALUE!</v>
      </c>
      <c r="HP111" t="e">
        <f>AND('STERLING CATALOG - DRY '!D2411,"AAAAAHN49d8=")</f>
        <v>#VALUE!</v>
      </c>
      <c r="HQ111" t="e">
        <f>AND('STERLING CATALOG - DRY '!E2411,"AAAAAHN49eA=")</f>
        <v>#VALUE!</v>
      </c>
      <c r="HR111" t="e">
        <f>AND('STERLING CATALOG - DRY '!F2411,"AAAAAHN49eE=")</f>
        <v>#VALUE!</v>
      </c>
      <c r="HS111" t="e">
        <f>AND('STERLING CATALOG - DRY '!G2411,"AAAAAHN49eI=")</f>
        <v>#VALUE!</v>
      </c>
      <c r="HT111" t="e">
        <f>AND('STERLING CATALOG - DRY '!H2411,"AAAAAHN49eM=")</f>
        <v>#VALUE!</v>
      </c>
      <c r="HU111" t="e">
        <f>AND('STERLING CATALOG - DRY '!I2411,"AAAAAHN49eQ=")</f>
        <v>#VALUE!</v>
      </c>
      <c r="HV111" t="e">
        <f>AND('STERLING CATALOG - DRY '!J2411,"AAAAAHN49eU=")</f>
        <v>#VALUE!</v>
      </c>
      <c r="HW111">
        <f>IF('STERLING CATALOG - DRY '!2412:2412,"AAAAAHN49eY=",0)</f>
        <v>0</v>
      </c>
      <c r="HX111" t="e">
        <f>AND('STERLING CATALOG - DRY '!A2412,"AAAAAHN49ec=")</f>
        <v>#VALUE!</v>
      </c>
      <c r="HY111" t="e">
        <f>AND('STERLING CATALOG - DRY '!B2412,"AAAAAHN49eg=")</f>
        <v>#VALUE!</v>
      </c>
      <c r="HZ111" t="e">
        <f>AND('STERLING CATALOG - DRY '!C2412,"AAAAAHN49ek=")</f>
        <v>#VALUE!</v>
      </c>
      <c r="IA111" t="e">
        <f>AND('STERLING CATALOG - DRY '!D2412,"AAAAAHN49eo=")</f>
        <v>#VALUE!</v>
      </c>
      <c r="IB111" t="e">
        <f>AND('STERLING CATALOG - DRY '!E2412,"AAAAAHN49es=")</f>
        <v>#VALUE!</v>
      </c>
      <c r="IC111" t="e">
        <f>AND('STERLING CATALOG - DRY '!F2412,"AAAAAHN49ew=")</f>
        <v>#VALUE!</v>
      </c>
      <c r="ID111" t="e">
        <f>AND('STERLING CATALOG - DRY '!G2412,"AAAAAHN49e0=")</f>
        <v>#VALUE!</v>
      </c>
      <c r="IE111" t="e">
        <f>AND('STERLING CATALOG - DRY '!H2412,"AAAAAHN49e4=")</f>
        <v>#VALUE!</v>
      </c>
      <c r="IF111" t="e">
        <f>AND('STERLING CATALOG - DRY '!I2412,"AAAAAHN49e8=")</f>
        <v>#VALUE!</v>
      </c>
      <c r="IG111" t="e">
        <f>AND('STERLING CATALOG - DRY '!J2412,"AAAAAHN49fA=")</f>
        <v>#VALUE!</v>
      </c>
      <c r="IH111">
        <f>IF('STERLING CATALOG - DRY '!2413:2413,"AAAAAHN49fE=",0)</f>
        <v>0</v>
      </c>
      <c r="II111" t="e">
        <f>AND('STERLING CATALOG - DRY '!A2413,"AAAAAHN49fI=")</f>
        <v>#VALUE!</v>
      </c>
      <c r="IJ111" t="e">
        <f>AND('STERLING CATALOG - DRY '!B2413,"AAAAAHN49fM=")</f>
        <v>#VALUE!</v>
      </c>
      <c r="IK111" t="e">
        <f>AND('STERLING CATALOG - DRY '!C2413,"AAAAAHN49fQ=")</f>
        <v>#VALUE!</v>
      </c>
      <c r="IL111" t="e">
        <f>AND('STERLING CATALOG - DRY '!D2413,"AAAAAHN49fU=")</f>
        <v>#VALUE!</v>
      </c>
      <c r="IM111" t="e">
        <f>AND('STERLING CATALOG - DRY '!E2413,"AAAAAHN49fY=")</f>
        <v>#VALUE!</v>
      </c>
      <c r="IN111" t="e">
        <f>AND('STERLING CATALOG - DRY '!F2413,"AAAAAHN49fc=")</f>
        <v>#VALUE!</v>
      </c>
      <c r="IO111" t="e">
        <f>AND('STERLING CATALOG - DRY '!G2413,"AAAAAHN49fg=")</f>
        <v>#VALUE!</v>
      </c>
      <c r="IP111" t="e">
        <f>AND('STERLING CATALOG - DRY '!H2413,"AAAAAHN49fk=")</f>
        <v>#VALUE!</v>
      </c>
      <c r="IQ111" t="e">
        <f>AND('STERLING CATALOG - DRY '!I2413,"AAAAAHN49fo=")</f>
        <v>#VALUE!</v>
      </c>
      <c r="IR111" t="e">
        <f>AND('STERLING CATALOG - DRY '!J2413,"AAAAAHN49fs=")</f>
        <v>#VALUE!</v>
      </c>
      <c r="IS111">
        <f>IF('STERLING CATALOG - DRY '!2414:2414,"AAAAAHN49fw=",0)</f>
        <v>0</v>
      </c>
      <c r="IT111" t="e">
        <f>AND('STERLING CATALOG - DRY '!A2414,"AAAAAHN49f0=")</f>
        <v>#VALUE!</v>
      </c>
      <c r="IU111" t="e">
        <f>AND('STERLING CATALOG - DRY '!B2414,"AAAAAHN49f4=")</f>
        <v>#VALUE!</v>
      </c>
      <c r="IV111" t="e">
        <f>AND('STERLING CATALOG - DRY '!C2414,"AAAAAHN49f8=")</f>
        <v>#VALUE!</v>
      </c>
    </row>
    <row r="112" spans="1:256">
      <c r="A112" t="e">
        <f>AND('STERLING CATALOG - DRY '!D2414,"AAAAAGq9/wA=")</f>
        <v>#VALUE!</v>
      </c>
      <c r="B112" t="e">
        <f>AND('STERLING CATALOG - DRY '!E2414,"AAAAAGq9/wE=")</f>
        <v>#VALUE!</v>
      </c>
      <c r="C112" t="e">
        <f>AND('STERLING CATALOG - DRY '!F2414,"AAAAAGq9/wI=")</f>
        <v>#VALUE!</v>
      </c>
      <c r="D112" t="e">
        <f>AND('STERLING CATALOG - DRY '!G2414,"AAAAAGq9/wM=")</f>
        <v>#VALUE!</v>
      </c>
      <c r="E112" t="e">
        <f>AND('STERLING CATALOG - DRY '!H2414,"AAAAAGq9/wQ=")</f>
        <v>#VALUE!</v>
      </c>
      <c r="F112" t="e">
        <f>AND('STERLING CATALOG - DRY '!I2414,"AAAAAGq9/wU=")</f>
        <v>#VALUE!</v>
      </c>
      <c r="G112" t="e">
        <f>AND('STERLING CATALOG - DRY '!J2414,"AAAAAGq9/wY=")</f>
        <v>#VALUE!</v>
      </c>
      <c r="H112" t="str">
        <f>IF('STERLING CATALOG - DRY '!2415:2415,"AAAAAGq9/wc=",0)</f>
        <v>AAAAAGq9/wc=</v>
      </c>
      <c r="I112" t="e">
        <f>AND('STERLING CATALOG - DRY '!A2415,"AAAAAGq9/wg=")</f>
        <v>#VALUE!</v>
      </c>
      <c r="J112" t="e">
        <f>AND('STERLING CATALOG - DRY '!B2415,"AAAAAGq9/wk=")</f>
        <v>#VALUE!</v>
      </c>
      <c r="K112" t="e">
        <f>AND('STERLING CATALOG - DRY '!C2415,"AAAAAGq9/wo=")</f>
        <v>#VALUE!</v>
      </c>
      <c r="L112" t="e">
        <f>AND('STERLING CATALOG - DRY '!D2415,"AAAAAGq9/ws=")</f>
        <v>#VALUE!</v>
      </c>
      <c r="M112" t="e">
        <f>AND('STERLING CATALOG - DRY '!E2415,"AAAAAGq9/ww=")</f>
        <v>#VALUE!</v>
      </c>
      <c r="N112" t="e">
        <f>AND('STERLING CATALOG - DRY '!F2415,"AAAAAGq9/w0=")</f>
        <v>#VALUE!</v>
      </c>
      <c r="O112" t="e">
        <f>AND('STERLING CATALOG - DRY '!G2415,"AAAAAGq9/w4=")</f>
        <v>#VALUE!</v>
      </c>
      <c r="P112" t="e">
        <f>AND('STERLING CATALOG - DRY '!H2415,"AAAAAGq9/w8=")</f>
        <v>#VALUE!</v>
      </c>
      <c r="Q112" t="e">
        <f>AND('STERLING CATALOG - DRY '!I2415,"AAAAAGq9/xA=")</f>
        <v>#VALUE!</v>
      </c>
      <c r="R112" t="e">
        <f>AND('STERLING CATALOG - DRY '!J2415,"AAAAAGq9/xE=")</f>
        <v>#VALUE!</v>
      </c>
      <c r="S112">
        <f>IF('STERLING CATALOG - DRY '!2416:2416,"AAAAAGq9/xI=",0)</f>
        <v>0</v>
      </c>
      <c r="T112" t="e">
        <f>AND('STERLING CATALOG - DRY '!A2416,"AAAAAGq9/xM=")</f>
        <v>#VALUE!</v>
      </c>
      <c r="U112" t="e">
        <f>AND('STERLING CATALOG - DRY '!B2416,"AAAAAGq9/xQ=")</f>
        <v>#VALUE!</v>
      </c>
      <c r="V112" t="e">
        <f>AND('STERLING CATALOG - DRY '!C2416,"AAAAAGq9/xU=")</f>
        <v>#VALUE!</v>
      </c>
      <c r="W112" t="e">
        <f>AND('STERLING CATALOG - DRY '!D2416,"AAAAAGq9/xY=")</f>
        <v>#VALUE!</v>
      </c>
      <c r="X112" t="e">
        <f>AND('STERLING CATALOG - DRY '!E2416,"AAAAAGq9/xc=")</f>
        <v>#VALUE!</v>
      </c>
      <c r="Y112" t="e">
        <f>AND('STERLING CATALOG - DRY '!F2416,"AAAAAGq9/xg=")</f>
        <v>#VALUE!</v>
      </c>
      <c r="Z112" t="e">
        <f>AND('STERLING CATALOG - DRY '!G2416,"AAAAAGq9/xk=")</f>
        <v>#VALUE!</v>
      </c>
      <c r="AA112" t="e">
        <f>AND('STERLING CATALOG - DRY '!H2416,"AAAAAGq9/xo=")</f>
        <v>#VALUE!</v>
      </c>
      <c r="AB112" t="e">
        <f>AND('STERLING CATALOG - DRY '!I2416,"AAAAAGq9/xs=")</f>
        <v>#VALUE!</v>
      </c>
      <c r="AC112" t="e">
        <f>AND('STERLING CATALOG - DRY '!J2416,"AAAAAGq9/xw=")</f>
        <v>#VALUE!</v>
      </c>
      <c r="AD112">
        <f>IF('STERLING CATALOG - DRY '!2417:2417,"AAAAAGq9/x0=",0)</f>
        <v>0</v>
      </c>
      <c r="AE112" t="e">
        <f>AND('STERLING CATALOG - DRY '!A2417,"AAAAAGq9/x4=")</f>
        <v>#VALUE!</v>
      </c>
      <c r="AF112" t="e">
        <f>AND('STERLING CATALOG - DRY '!B2417,"AAAAAGq9/x8=")</f>
        <v>#VALUE!</v>
      </c>
      <c r="AG112" t="e">
        <f>AND('STERLING CATALOG - DRY '!C2417,"AAAAAGq9/yA=")</f>
        <v>#VALUE!</v>
      </c>
      <c r="AH112" t="e">
        <f>AND('STERLING CATALOG - DRY '!D2417,"AAAAAGq9/yE=")</f>
        <v>#VALUE!</v>
      </c>
      <c r="AI112" t="e">
        <f>AND('STERLING CATALOG - DRY '!E2417,"AAAAAGq9/yI=")</f>
        <v>#VALUE!</v>
      </c>
      <c r="AJ112" t="e">
        <f>AND('STERLING CATALOG - DRY '!F2417,"AAAAAGq9/yM=")</f>
        <v>#VALUE!</v>
      </c>
      <c r="AK112" t="e">
        <f>AND('STERLING CATALOG - DRY '!G2417,"AAAAAGq9/yQ=")</f>
        <v>#VALUE!</v>
      </c>
      <c r="AL112" t="e">
        <f>AND('STERLING CATALOG - DRY '!H2417,"AAAAAGq9/yU=")</f>
        <v>#VALUE!</v>
      </c>
      <c r="AM112" t="e">
        <f>AND('STERLING CATALOG - DRY '!I2417,"AAAAAGq9/yY=")</f>
        <v>#VALUE!</v>
      </c>
      <c r="AN112" t="e">
        <f>AND('STERLING CATALOG - DRY '!J2417,"AAAAAGq9/yc=")</f>
        <v>#VALUE!</v>
      </c>
      <c r="AO112">
        <f>IF('STERLING CATALOG - DRY '!2418:2418,"AAAAAGq9/yg=",0)</f>
        <v>0</v>
      </c>
      <c r="AP112" t="e">
        <f>AND('STERLING CATALOG - DRY '!A2418,"AAAAAGq9/yk=")</f>
        <v>#VALUE!</v>
      </c>
      <c r="AQ112" t="e">
        <f>AND('STERLING CATALOG - DRY '!B2418,"AAAAAGq9/yo=")</f>
        <v>#VALUE!</v>
      </c>
      <c r="AR112" t="e">
        <f>AND('STERLING CATALOG - DRY '!C2418,"AAAAAGq9/ys=")</f>
        <v>#VALUE!</v>
      </c>
      <c r="AS112" t="e">
        <f>AND('STERLING CATALOG - DRY '!D2418,"AAAAAGq9/yw=")</f>
        <v>#VALUE!</v>
      </c>
      <c r="AT112" t="e">
        <f>AND('STERLING CATALOG - DRY '!E2418,"AAAAAGq9/y0=")</f>
        <v>#VALUE!</v>
      </c>
      <c r="AU112" t="e">
        <f>AND('STERLING CATALOG - DRY '!F2418,"AAAAAGq9/y4=")</f>
        <v>#VALUE!</v>
      </c>
      <c r="AV112" t="e">
        <f>AND('STERLING CATALOG - DRY '!G2418,"AAAAAGq9/y8=")</f>
        <v>#VALUE!</v>
      </c>
      <c r="AW112" t="e">
        <f>AND('STERLING CATALOG - DRY '!H2418,"AAAAAGq9/zA=")</f>
        <v>#VALUE!</v>
      </c>
      <c r="AX112" t="e">
        <f>AND('STERLING CATALOG - DRY '!I2418,"AAAAAGq9/zE=")</f>
        <v>#VALUE!</v>
      </c>
      <c r="AY112" t="e">
        <f>AND('STERLING CATALOG - DRY '!J2418,"AAAAAGq9/zI=")</f>
        <v>#VALUE!</v>
      </c>
      <c r="AZ112">
        <f>IF('STERLING CATALOG - DRY '!2419:2419,"AAAAAGq9/zM=",0)</f>
        <v>0</v>
      </c>
      <c r="BA112" t="e">
        <f>AND('STERLING CATALOG - DRY '!A2419,"AAAAAGq9/zQ=")</f>
        <v>#VALUE!</v>
      </c>
      <c r="BB112" t="e">
        <f>AND('STERLING CATALOG - DRY '!B2419,"AAAAAGq9/zU=")</f>
        <v>#VALUE!</v>
      </c>
      <c r="BC112" t="e">
        <f>AND('STERLING CATALOG - DRY '!C2419,"AAAAAGq9/zY=")</f>
        <v>#VALUE!</v>
      </c>
      <c r="BD112" t="e">
        <f>AND('STERLING CATALOG - DRY '!D2419,"AAAAAGq9/zc=")</f>
        <v>#VALUE!</v>
      </c>
      <c r="BE112" t="e">
        <f>AND('STERLING CATALOG - DRY '!E2419,"AAAAAGq9/zg=")</f>
        <v>#VALUE!</v>
      </c>
      <c r="BF112" t="e">
        <f>AND('STERLING CATALOG - DRY '!F2419,"AAAAAGq9/zk=")</f>
        <v>#VALUE!</v>
      </c>
      <c r="BG112" t="e">
        <f>AND('STERLING CATALOG - DRY '!G2419,"AAAAAGq9/zo=")</f>
        <v>#VALUE!</v>
      </c>
      <c r="BH112" t="e">
        <f>AND('STERLING CATALOG - DRY '!H2419,"AAAAAGq9/zs=")</f>
        <v>#VALUE!</v>
      </c>
      <c r="BI112" t="e">
        <f>AND('STERLING CATALOG - DRY '!I2419,"AAAAAGq9/zw=")</f>
        <v>#VALUE!</v>
      </c>
      <c r="BJ112" t="e">
        <f>AND('STERLING CATALOG - DRY '!J2419,"AAAAAGq9/z0=")</f>
        <v>#VALUE!</v>
      </c>
      <c r="BK112">
        <f>IF('STERLING CATALOG - DRY '!2420:2420,"AAAAAGq9/z4=",0)</f>
        <v>0</v>
      </c>
      <c r="BL112" t="e">
        <f>AND('STERLING CATALOG - DRY '!A2420,"AAAAAGq9/z8=")</f>
        <v>#VALUE!</v>
      </c>
      <c r="BM112" t="e">
        <f>AND('STERLING CATALOG - DRY '!B2420,"AAAAAGq9/0A=")</f>
        <v>#VALUE!</v>
      </c>
      <c r="BN112" t="e">
        <f>AND('STERLING CATALOG - DRY '!C2420,"AAAAAGq9/0E=")</f>
        <v>#VALUE!</v>
      </c>
      <c r="BO112" t="e">
        <f>AND('STERLING CATALOG - DRY '!D2420,"AAAAAGq9/0I=")</f>
        <v>#VALUE!</v>
      </c>
      <c r="BP112" t="e">
        <f>AND('STERLING CATALOG - DRY '!E2420,"AAAAAGq9/0M=")</f>
        <v>#VALUE!</v>
      </c>
      <c r="BQ112" t="e">
        <f>AND('STERLING CATALOG - DRY '!F2420,"AAAAAGq9/0Q=")</f>
        <v>#VALUE!</v>
      </c>
      <c r="BR112" t="e">
        <f>AND('STERLING CATALOG - DRY '!G2420,"AAAAAGq9/0U=")</f>
        <v>#VALUE!</v>
      </c>
      <c r="BS112" t="e">
        <f>AND('STERLING CATALOG - DRY '!H2420,"AAAAAGq9/0Y=")</f>
        <v>#VALUE!</v>
      </c>
      <c r="BT112" t="e">
        <f>AND('STERLING CATALOG - DRY '!I2420,"AAAAAGq9/0c=")</f>
        <v>#VALUE!</v>
      </c>
      <c r="BU112" t="e">
        <f>AND('STERLING CATALOG - DRY '!J2420,"AAAAAGq9/0g=")</f>
        <v>#VALUE!</v>
      </c>
      <c r="BV112">
        <f>IF('STERLING CATALOG - DRY '!2421:2421,"AAAAAGq9/0k=",0)</f>
        <v>0</v>
      </c>
      <c r="BW112" t="e">
        <f>AND('STERLING CATALOG - DRY '!A2421,"AAAAAGq9/0o=")</f>
        <v>#VALUE!</v>
      </c>
      <c r="BX112" t="e">
        <f>AND('STERLING CATALOG - DRY '!B2421,"AAAAAGq9/0s=")</f>
        <v>#VALUE!</v>
      </c>
      <c r="BY112" t="e">
        <f>AND('STERLING CATALOG - DRY '!C2421,"AAAAAGq9/0w=")</f>
        <v>#VALUE!</v>
      </c>
      <c r="BZ112" t="e">
        <f>AND('STERLING CATALOG - DRY '!D2421,"AAAAAGq9/00=")</f>
        <v>#VALUE!</v>
      </c>
      <c r="CA112" t="e">
        <f>AND('STERLING CATALOG - DRY '!E2421,"AAAAAGq9/04=")</f>
        <v>#VALUE!</v>
      </c>
      <c r="CB112" t="e">
        <f>AND('STERLING CATALOG - DRY '!F2421,"AAAAAGq9/08=")</f>
        <v>#VALUE!</v>
      </c>
      <c r="CC112" t="e">
        <f>AND('STERLING CATALOG - DRY '!G2421,"AAAAAGq9/1A=")</f>
        <v>#VALUE!</v>
      </c>
      <c r="CD112" t="e">
        <f>AND('STERLING CATALOG - DRY '!H2421,"AAAAAGq9/1E=")</f>
        <v>#VALUE!</v>
      </c>
      <c r="CE112" t="e">
        <f>AND('STERLING CATALOG - DRY '!I2421,"AAAAAGq9/1I=")</f>
        <v>#VALUE!</v>
      </c>
      <c r="CF112" t="e">
        <f>AND('STERLING CATALOG - DRY '!J2421,"AAAAAGq9/1M=")</f>
        <v>#VALUE!</v>
      </c>
      <c r="CG112">
        <f>IF('STERLING CATALOG - DRY '!2422:2422,"AAAAAGq9/1Q=",0)</f>
        <v>0</v>
      </c>
      <c r="CH112" t="e">
        <f>AND('STERLING CATALOG - DRY '!A2422,"AAAAAGq9/1U=")</f>
        <v>#VALUE!</v>
      </c>
      <c r="CI112" t="e">
        <f>AND('STERLING CATALOG - DRY '!B2422,"AAAAAGq9/1Y=")</f>
        <v>#VALUE!</v>
      </c>
      <c r="CJ112" t="e">
        <f>AND('STERLING CATALOG - DRY '!C2422,"AAAAAGq9/1c=")</f>
        <v>#VALUE!</v>
      </c>
      <c r="CK112" t="e">
        <f>AND('STERLING CATALOG - DRY '!D2422,"AAAAAGq9/1g=")</f>
        <v>#VALUE!</v>
      </c>
      <c r="CL112" t="e">
        <f>AND('STERLING CATALOG - DRY '!E2422,"AAAAAGq9/1k=")</f>
        <v>#VALUE!</v>
      </c>
      <c r="CM112" t="e">
        <f>AND('STERLING CATALOG - DRY '!F2422,"AAAAAGq9/1o=")</f>
        <v>#VALUE!</v>
      </c>
      <c r="CN112" t="e">
        <f>AND('STERLING CATALOG - DRY '!G2422,"AAAAAGq9/1s=")</f>
        <v>#VALUE!</v>
      </c>
      <c r="CO112" t="e">
        <f>AND('STERLING CATALOG - DRY '!H2422,"AAAAAGq9/1w=")</f>
        <v>#VALUE!</v>
      </c>
      <c r="CP112" t="e">
        <f>AND('STERLING CATALOG - DRY '!I2422,"AAAAAGq9/10=")</f>
        <v>#VALUE!</v>
      </c>
      <c r="CQ112" t="e">
        <f>AND('STERLING CATALOG - DRY '!J2422,"AAAAAGq9/14=")</f>
        <v>#VALUE!</v>
      </c>
      <c r="CR112">
        <f>IF('STERLING CATALOG - DRY '!2423:2423,"AAAAAGq9/18=",0)</f>
        <v>0</v>
      </c>
      <c r="CS112" t="e">
        <f>AND('STERLING CATALOG - DRY '!A2423,"AAAAAGq9/2A=")</f>
        <v>#VALUE!</v>
      </c>
      <c r="CT112" t="e">
        <f>AND('STERLING CATALOG - DRY '!B2423,"AAAAAGq9/2E=")</f>
        <v>#VALUE!</v>
      </c>
      <c r="CU112" t="e">
        <f>AND('STERLING CATALOG - DRY '!C2423,"AAAAAGq9/2I=")</f>
        <v>#VALUE!</v>
      </c>
      <c r="CV112" t="e">
        <f>AND('STERLING CATALOG - DRY '!D2423,"AAAAAGq9/2M=")</f>
        <v>#VALUE!</v>
      </c>
      <c r="CW112" t="e">
        <f>AND('STERLING CATALOG - DRY '!E2423,"AAAAAGq9/2Q=")</f>
        <v>#VALUE!</v>
      </c>
      <c r="CX112" t="e">
        <f>AND('STERLING CATALOG - DRY '!F2423,"AAAAAGq9/2U=")</f>
        <v>#VALUE!</v>
      </c>
      <c r="CY112" t="e">
        <f>AND('STERLING CATALOG - DRY '!G2423,"AAAAAGq9/2Y=")</f>
        <v>#VALUE!</v>
      </c>
      <c r="CZ112" t="e">
        <f>AND('STERLING CATALOG - DRY '!H2423,"AAAAAGq9/2c=")</f>
        <v>#VALUE!</v>
      </c>
      <c r="DA112" t="e">
        <f>AND('STERLING CATALOG - DRY '!I2423,"AAAAAGq9/2g=")</f>
        <v>#VALUE!</v>
      </c>
      <c r="DB112" t="e">
        <f>AND('STERLING CATALOG - DRY '!J2423,"AAAAAGq9/2k=")</f>
        <v>#VALUE!</v>
      </c>
      <c r="DC112">
        <f>IF('STERLING CATALOG - DRY '!2424:2424,"AAAAAGq9/2o=",0)</f>
        <v>0</v>
      </c>
      <c r="DD112" t="e">
        <f>AND('STERLING CATALOG - DRY '!A2424,"AAAAAGq9/2s=")</f>
        <v>#VALUE!</v>
      </c>
      <c r="DE112" t="e">
        <f>AND('STERLING CATALOG - DRY '!B2424,"AAAAAGq9/2w=")</f>
        <v>#VALUE!</v>
      </c>
      <c r="DF112" t="e">
        <f>AND('STERLING CATALOG - DRY '!C2424,"AAAAAGq9/20=")</f>
        <v>#VALUE!</v>
      </c>
      <c r="DG112" t="e">
        <f>AND('STERLING CATALOG - DRY '!D2424,"AAAAAGq9/24=")</f>
        <v>#VALUE!</v>
      </c>
      <c r="DH112" t="e">
        <f>AND('STERLING CATALOG - DRY '!E2424,"AAAAAGq9/28=")</f>
        <v>#VALUE!</v>
      </c>
      <c r="DI112" t="e">
        <f>AND('STERLING CATALOG - DRY '!F2424,"AAAAAGq9/3A=")</f>
        <v>#VALUE!</v>
      </c>
      <c r="DJ112" t="e">
        <f>AND('STERLING CATALOG - DRY '!G2424,"AAAAAGq9/3E=")</f>
        <v>#VALUE!</v>
      </c>
      <c r="DK112" t="e">
        <f>AND('STERLING CATALOG - DRY '!H2424,"AAAAAGq9/3I=")</f>
        <v>#VALUE!</v>
      </c>
      <c r="DL112" t="e">
        <f>AND('STERLING CATALOG - DRY '!I2424,"AAAAAGq9/3M=")</f>
        <v>#VALUE!</v>
      </c>
      <c r="DM112" t="e">
        <f>AND('STERLING CATALOG - DRY '!J2424,"AAAAAGq9/3Q=")</f>
        <v>#VALUE!</v>
      </c>
      <c r="DN112">
        <f>IF('STERLING CATALOG - DRY '!2425:2425,"AAAAAGq9/3U=",0)</f>
        <v>0</v>
      </c>
      <c r="DO112" t="e">
        <f>AND('STERLING CATALOG - DRY '!A2425,"AAAAAGq9/3Y=")</f>
        <v>#VALUE!</v>
      </c>
      <c r="DP112" t="e">
        <f>AND('STERLING CATALOG - DRY '!B2425,"AAAAAGq9/3c=")</f>
        <v>#VALUE!</v>
      </c>
      <c r="DQ112" t="e">
        <f>AND('STERLING CATALOG - DRY '!C2425,"AAAAAGq9/3g=")</f>
        <v>#VALUE!</v>
      </c>
      <c r="DR112" t="e">
        <f>AND('STERLING CATALOG - DRY '!D2425,"AAAAAGq9/3k=")</f>
        <v>#VALUE!</v>
      </c>
      <c r="DS112" t="e">
        <f>AND('STERLING CATALOG - DRY '!E2425,"AAAAAGq9/3o=")</f>
        <v>#VALUE!</v>
      </c>
      <c r="DT112" t="e">
        <f>AND('STERLING CATALOG - DRY '!F2425,"AAAAAGq9/3s=")</f>
        <v>#VALUE!</v>
      </c>
      <c r="DU112" t="e">
        <f>AND('STERLING CATALOG - DRY '!G2425,"AAAAAGq9/3w=")</f>
        <v>#VALUE!</v>
      </c>
      <c r="DV112" t="e">
        <f>AND('STERLING CATALOG - DRY '!H2425,"AAAAAGq9/30=")</f>
        <v>#VALUE!</v>
      </c>
      <c r="DW112" t="e">
        <f>AND('STERLING CATALOG - DRY '!I2425,"AAAAAGq9/34=")</f>
        <v>#VALUE!</v>
      </c>
      <c r="DX112" t="e">
        <f>AND('STERLING CATALOG - DRY '!J2425,"AAAAAGq9/38=")</f>
        <v>#VALUE!</v>
      </c>
      <c r="DY112">
        <f>IF('STERLING CATALOG - DRY '!2426:2426,"AAAAAGq9/4A=",0)</f>
        <v>0</v>
      </c>
      <c r="DZ112" t="e">
        <f>AND('STERLING CATALOG - DRY '!A2426,"AAAAAGq9/4E=")</f>
        <v>#VALUE!</v>
      </c>
      <c r="EA112" t="e">
        <f>AND('STERLING CATALOG - DRY '!B2426,"AAAAAGq9/4I=")</f>
        <v>#VALUE!</v>
      </c>
      <c r="EB112" t="e">
        <f>AND('STERLING CATALOG - DRY '!C2426,"AAAAAGq9/4M=")</f>
        <v>#VALUE!</v>
      </c>
      <c r="EC112" t="e">
        <f>AND('STERLING CATALOG - DRY '!D2426,"AAAAAGq9/4Q=")</f>
        <v>#VALUE!</v>
      </c>
      <c r="ED112" t="e">
        <f>AND('STERLING CATALOG - DRY '!E2426,"AAAAAGq9/4U=")</f>
        <v>#VALUE!</v>
      </c>
      <c r="EE112" t="e">
        <f>AND('STERLING CATALOG - DRY '!F2426,"AAAAAGq9/4Y=")</f>
        <v>#VALUE!</v>
      </c>
      <c r="EF112" t="e">
        <f>AND('STERLING CATALOG - DRY '!G2426,"AAAAAGq9/4c=")</f>
        <v>#VALUE!</v>
      </c>
      <c r="EG112" t="e">
        <f>AND('STERLING CATALOG - DRY '!H2426,"AAAAAGq9/4g=")</f>
        <v>#VALUE!</v>
      </c>
      <c r="EH112" t="e">
        <f>AND('STERLING CATALOG - DRY '!I2426,"AAAAAGq9/4k=")</f>
        <v>#VALUE!</v>
      </c>
      <c r="EI112" t="e">
        <f>AND('STERLING CATALOG - DRY '!J2426,"AAAAAGq9/4o=")</f>
        <v>#VALUE!</v>
      </c>
      <c r="EJ112">
        <f>IF('STERLING CATALOG - DRY '!2427:2427,"AAAAAGq9/4s=",0)</f>
        <v>0</v>
      </c>
      <c r="EK112" t="e">
        <f>AND('STERLING CATALOG - DRY '!A2427,"AAAAAGq9/4w=")</f>
        <v>#VALUE!</v>
      </c>
      <c r="EL112" t="e">
        <f>AND('STERLING CATALOG - DRY '!B2427,"AAAAAGq9/40=")</f>
        <v>#VALUE!</v>
      </c>
      <c r="EM112" t="e">
        <f>AND('STERLING CATALOG - DRY '!C2427,"AAAAAGq9/44=")</f>
        <v>#VALUE!</v>
      </c>
      <c r="EN112" t="e">
        <f>AND('STERLING CATALOG - DRY '!D2427,"AAAAAGq9/48=")</f>
        <v>#VALUE!</v>
      </c>
      <c r="EO112" t="e">
        <f>AND('STERLING CATALOG - DRY '!E2427,"AAAAAGq9/5A=")</f>
        <v>#VALUE!</v>
      </c>
      <c r="EP112" t="e">
        <f>AND('STERLING CATALOG - DRY '!F2427,"AAAAAGq9/5E=")</f>
        <v>#VALUE!</v>
      </c>
      <c r="EQ112" t="e">
        <f>AND('STERLING CATALOG - DRY '!G2427,"AAAAAGq9/5I=")</f>
        <v>#VALUE!</v>
      </c>
      <c r="ER112" t="e">
        <f>AND('STERLING CATALOG - DRY '!H2427,"AAAAAGq9/5M=")</f>
        <v>#VALUE!</v>
      </c>
      <c r="ES112" t="e">
        <f>AND('STERLING CATALOG - DRY '!I2427,"AAAAAGq9/5Q=")</f>
        <v>#VALUE!</v>
      </c>
      <c r="ET112" t="e">
        <f>AND('STERLING CATALOG - DRY '!J2427,"AAAAAGq9/5U=")</f>
        <v>#VALUE!</v>
      </c>
      <c r="EU112">
        <f>IF('STERLING CATALOG - DRY '!2428:2428,"AAAAAGq9/5Y=",0)</f>
        <v>0</v>
      </c>
      <c r="EV112" t="e">
        <f>AND('STERLING CATALOG - DRY '!A2428,"AAAAAGq9/5c=")</f>
        <v>#VALUE!</v>
      </c>
      <c r="EW112" t="e">
        <f>AND('STERLING CATALOG - DRY '!B2428,"AAAAAGq9/5g=")</f>
        <v>#VALUE!</v>
      </c>
      <c r="EX112" t="e">
        <f>AND('STERLING CATALOG - DRY '!C2428,"AAAAAGq9/5k=")</f>
        <v>#VALUE!</v>
      </c>
      <c r="EY112" t="e">
        <f>AND('STERLING CATALOG - DRY '!D2428,"AAAAAGq9/5o=")</f>
        <v>#VALUE!</v>
      </c>
      <c r="EZ112" t="e">
        <f>AND('STERLING CATALOG - DRY '!E2428,"AAAAAGq9/5s=")</f>
        <v>#VALUE!</v>
      </c>
      <c r="FA112" t="e">
        <f>AND('STERLING CATALOG - DRY '!F2428,"AAAAAGq9/5w=")</f>
        <v>#VALUE!</v>
      </c>
      <c r="FB112" t="e">
        <f>AND('STERLING CATALOG - DRY '!G2428,"AAAAAGq9/50=")</f>
        <v>#VALUE!</v>
      </c>
      <c r="FC112" t="e">
        <f>AND('STERLING CATALOG - DRY '!H2428,"AAAAAGq9/54=")</f>
        <v>#VALUE!</v>
      </c>
      <c r="FD112" t="e">
        <f>AND('STERLING CATALOG - DRY '!I2428,"AAAAAGq9/58=")</f>
        <v>#VALUE!</v>
      </c>
      <c r="FE112" t="e">
        <f>AND('STERLING CATALOG - DRY '!J2428,"AAAAAGq9/6A=")</f>
        <v>#VALUE!</v>
      </c>
      <c r="FF112">
        <f>IF('STERLING CATALOG - DRY '!2429:2429,"AAAAAGq9/6E=",0)</f>
        <v>0</v>
      </c>
      <c r="FG112" t="e">
        <f>AND('STERLING CATALOG - DRY '!A2429,"AAAAAGq9/6I=")</f>
        <v>#VALUE!</v>
      </c>
      <c r="FH112" t="e">
        <f>AND('STERLING CATALOG - DRY '!B2429,"AAAAAGq9/6M=")</f>
        <v>#VALUE!</v>
      </c>
      <c r="FI112" t="e">
        <f>AND('STERLING CATALOG - DRY '!C2429,"AAAAAGq9/6Q=")</f>
        <v>#VALUE!</v>
      </c>
      <c r="FJ112" t="e">
        <f>AND('STERLING CATALOG - DRY '!D2429,"AAAAAGq9/6U=")</f>
        <v>#VALUE!</v>
      </c>
      <c r="FK112" t="e">
        <f>AND('STERLING CATALOG - DRY '!E2429,"AAAAAGq9/6Y=")</f>
        <v>#VALUE!</v>
      </c>
      <c r="FL112" t="e">
        <f>AND('STERLING CATALOG - DRY '!F2429,"AAAAAGq9/6c=")</f>
        <v>#VALUE!</v>
      </c>
      <c r="FM112" t="e">
        <f>AND('STERLING CATALOG - DRY '!G2429,"AAAAAGq9/6g=")</f>
        <v>#VALUE!</v>
      </c>
      <c r="FN112" t="e">
        <f>AND('STERLING CATALOG - DRY '!H2429,"AAAAAGq9/6k=")</f>
        <v>#VALUE!</v>
      </c>
      <c r="FO112" t="e">
        <f>AND('STERLING CATALOG - DRY '!I2429,"AAAAAGq9/6o=")</f>
        <v>#VALUE!</v>
      </c>
      <c r="FP112" t="e">
        <f>AND('STERLING CATALOG - DRY '!J2429,"AAAAAGq9/6s=")</f>
        <v>#VALUE!</v>
      </c>
      <c r="FQ112">
        <f>IF('STERLING CATALOG - DRY '!2430:2430,"AAAAAGq9/6w=",0)</f>
        <v>0</v>
      </c>
      <c r="FR112" t="e">
        <f>AND('STERLING CATALOG - DRY '!A2430,"AAAAAGq9/60=")</f>
        <v>#VALUE!</v>
      </c>
      <c r="FS112" t="e">
        <f>AND('STERLING CATALOG - DRY '!B2430,"AAAAAGq9/64=")</f>
        <v>#VALUE!</v>
      </c>
      <c r="FT112" t="e">
        <f>AND('STERLING CATALOG - DRY '!C2430,"AAAAAGq9/68=")</f>
        <v>#VALUE!</v>
      </c>
      <c r="FU112" t="e">
        <f>AND('STERLING CATALOG - DRY '!D2430,"AAAAAGq9/7A=")</f>
        <v>#VALUE!</v>
      </c>
      <c r="FV112" t="e">
        <f>AND('STERLING CATALOG - DRY '!E2430,"AAAAAGq9/7E=")</f>
        <v>#VALUE!</v>
      </c>
      <c r="FW112" t="e">
        <f>AND('STERLING CATALOG - DRY '!F2430,"AAAAAGq9/7I=")</f>
        <v>#VALUE!</v>
      </c>
      <c r="FX112" t="e">
        <f>AND('STERLING CATALOG - DRY '!G2430,"AAAAAGq9/7M=")</f>
        <v>#VALUE!</v>
      </c>
      <c r="FY112" t="e">
        <f>AND('STERLING CATALOG - DRY '!H2430,"AAAAAGq9/7Q=")</f>
        <v>#VALUE!</v>
      </c>
      <c r="FZ112" t="e">
        <f>AND('STERLING CATALOG - DRY '!I2430,"AAAAAGq9/7U=")</f>
        <v>#VALUE!</v>
      </c>
      <c r="GA112" t="e">
        <f>AND('STERLING CATALOG - DRY '!J2430,"AAAAAGq9/7Y=")</f>
        <v>#VALUE!</v>
      </c>
      <c r="GB112">
        <f>IF('STERLING CATALOG - DRY '!2431:2431,"AAAAAGq9/7c=",0)</f>
        <v>0</v>
      </c>
      <c r="GC112" t="e">
        <f>AND('STERLING CATALOG - DRY '!A2431,"AAAAAGq9/7g=")</f>
        <v>#VALUE!</v>
      </c>
      <c r="GD112" t="e">
        <f>AND('STERLING CATALOG - DRY '!B2431,"AAAAAGq9/7k=")</f>
        <v>#VALUE!</v>
      </c>
      <c r="GE112" t="e">
        <f>AND('STERLING CATALOG - DRY '!C2431,"AAAAAGq9/7o=")</f>
        <v>#VALUE!</v>
      </c>
      <c r="GF112" t="e">
        <f>AND('STERLING CATALOG - DRY '!D2431,"AAAAAGq9/7s=")</f>
        <v>#VALUE!</v>
      </c>
      <c r="GG112" t="e">
        <f>AND('STERLING CATALOG - DRY '!E2431,"AAAAAGq9/7w=")</f>
        <v>#VALUE!</v>
      </c>
      <c r="GH112" t="e">
        <f>AND('STERLING CATALOG - DRY '!F2431,"AAAAAGq9/70=")</f>
        <v>#VALUE!</v>
      </c>
      <c r="GI112" t="e">
        <f>AND('STERLING CATALOG - DRY '!G2431,"AAAAAGq9/74=")</f>
        <v>#VALUE!</v>
      </c>
      <c r="GJ112" t="e">
        <f>AND('STERLING CATALOG - DRY '!H2431,"AAAAAGq9/78=")</f>
        <v>#VALUE!</v>
      </c>
      <c r="GK112" t="e">
        <f>AND('STERLING CATALOG - DRY '!I2431,"AAAAAGq9/8A=")</f>
        <v>#VALUE!</v>
      </c>
      <c r="GL112" t="e">
        <f>AND('STERLING CATALOG - DRY '!J2431,"AAAAAGq9/8E=")</f>
        <v>#VALUE!</v>
      </c>
      <c r="GM112">
        <f>IF('STERLING CATALOG - DRY '!2432:2432,"AAAAAGq9/8I=",0)</f>
        <v>0</v>
      </c>
      <c r="GN112" t="e">
        <f>AND('STERLING CATALOG - DRY '!A2432,"AAAAAGq9/8M=")</f>
        <v>#VALUE!</v>
      </c>
      <c r="GO112" t="e">
        <f>AND('STERLING CATALOG - DRY '!B2432,"AAAAAGq9/8Q=")</f>
        <v>#VALUE!</v>
      </c>
      <c r="GP112" t="e">
        <f>AND('STERLING CATALOG - DRY '!C2432,"AAAAAGq9/8U=")</f>
        <v>#VALUE!</v>
      </c>
      <c r="GQ112" t="e">
        <f>AND('STERLING CATALOG - DRY '!D2432,"AAAAAGq9/8Y=")</f>
        <v>#VALUE!</v>
      </c>
      <c r="GR112" t="e">
        <f>AND('STERLING CATALOG - DRY '!E2432,"AAAAAGq9/8c=")</f>
        <v>#VALUE!</v>
      </c>
      <c r="GS112" t="e">
        <f>AND('STERLING CATALOG - DRY '!F2432,"AAAAAGq9/8g=")</f>
        <v>#VALUE!</v>
      </c>
      <c r="GT112" t="e">
        <f>AND('STERLING CATALOG - DRY '!G2432,"AAAAAGq9/8k=")</f>
        <v>#VALUE!</v>
      </c>
      <c r="GU112" t="e">
        <f>AND('STERLING CATALOG - DRY '!H2432,"AAAAAGq9/8o=")</f>
        <v>#VALUE!</v>
      </c>
      <c r="GV112" t="e">
        <f>AND('STERLING CATALOG - DRY '!I2432,"AAAAAGq9/8s=")</f>
        <v>#VALUE!</v>
      </c>
      <c r="GW112" t="e">
        <f>AND('STERLING CATALOG - DRY '!J2432,"AAAAAGq9/8w=")</f>
        <v>#VALUE!</v>
      </c>
      <c r="GX112">
        <f>IF('STERLING CATALOG - DRY '!2433:2433,"AAAAAGq9/80=",0)</f>
        <v>0</v>
      </c>
      <c r="GY112" t="e">
        <f>AND('STERLING CATALOG - DRY '!A2433,"AAAAAGq9/84=")</f>
        <v>#VALUE!</v>
      </c>
      <c r="GZ112" t="e">
        <f>AND('STERLING CATALOG - DRY '!B2433,"AAAAAGq9/88=")</f>
        <v>#VALUE!</v>
      </c>
      <c r="HA112" t="e">
        <f>AND('STERLING CATALOG - DRY '!C2433,"AAAAAGq9/9A=")</f>
        <v>#VALUE!</v>
      </c>
      <c r="HB112" t="e">
        <f>AND('STERLING CATALOG - DRY '!D2433,"AAAAAGq9/9E=")</f>
        <v>#VALUE!</v>
      </c>
      <c r="HC112" t="e">
        <f>AND('STERLING CATALOG - DRY '!E2433,"AAAAAGq9/9I=")</f>
        <v>#VALUE!</v>
      </c>
      <c r="HD112" t="e">
        <f>AND('STERLING CATALOG - DRY '!F2433,"AAAAAGq9/9M=")</f>
        <v>#VALUE!</v>
      </c>
      <c r="HE112" t="e">
        <f>AND('STERLING CATALOG - DRY '!G2433,"AAAAAGq9/9Q=")</f>
        <v>#VALUE!</v>
      </c>
      <c r="HF112" t="e">
        <f>AND('STERLING CATALOG - DRY '!H2433,"AAAAAGq9/9U=")</f>
        <v>#VALUE!</v>
      </c>
      <c r="HG112" t="e">
        <f>AND('STERLING CATALOG - DRY '!I2433,"AAAAAGq9/9Y=")</f>
        <v>#VALUE!</v>
      </c>
      <c r="HH112" t="e">
        <f>AND('STERLING CATALOG - DRY '!J2433,"AAAAAGq9/9c=")</f>
        <v>#VALUE!</v>
      </c>
      <c r="HI112">
        <f>IF('STERLING CATALOG - DRY '!2434:2434,"AAAAAGq9/9g=",0)</f>
        <v>0</v>
      </c>
      <c r="HJ112" t="e">
        <f>AND('STERLING CATALOG - DRY '!A2434,"AAAAAGq9/9k=")</f>
        <v>#VALUE!</v>
      </c>
      <c r="HK112" t="e">
        <f>AND('STERLING CATALOG - DRY '!B2434,"AAAAAGq9/9o=")</f>
        <v>#VALUE!</v>
      </c>
      <c r="HL112" t="e">
        <f>AND('STERLING CATALOG - DRY '!C2434,"AAAAAGq9/9s=")</f>
        <v>#VALUE!</v>
      </c>
      <c r="HM112" t="e">
        <f>AND('STERLING CATALOG - DRY '!D2434,"AAAAAGq9/9w=")</f>
        <v>#VALUE!</v>
      </c>
      <c r="HN112" t="e">
        <f>AND('STERLING CATALOG - DRY '!E2434,"AAAAAGq9/90=")</f>
        <v>#VALUE!</v>
      </c>
      <c r="HO112" t="e">
        <f>AND('STERLING CATALOG - DRY '!F2434,"AAAAAGq9/94=")</f>
        <v>#VALUE!</v>
      </c>
      <c r="HP112" t="e">
        <f>AND('STERLING CATALOG - DRY '!G2434,"AAAAAGq9/98=")</f>
        <v>#VALUE!</v>
      </c>
      <c r="HQ112" t="e">
        <f>AND('STERLING CATALOG - DRY '!H2434,"AAAAAGq9/+A=")</f>
        <v>#VALUE!</v>
      </c>
      <c r="HR112" t="e">
        <f>AND('STERLING CATALOG - DRY '!I2434,"AAAAAGq9/+E=")</f>
        <v>#VALUE!</v>
      </c>
      <c r="HS112" t="e">
        <f>AND('STERLING CATALOG - DRY '!J2434,"AAAAAGq9/+I=")</f>
        <v>#VALUE!</v>
      </c>
      <c r="HT112">
        <f>IF('STERLING CATALOG - DRY '!2435:2435,"AAAAAGq9/+M=",0)</f>
        <v>0</v>
      </c>
      <c r="HU112" t="e">
        <f>AND('STERLING CATALOG - DRY '!A2435,"AAAAAGq9/+Q=")</f>
        <v>#VALUE!</v>
      </c>
      <c r="HV112" t="e">
        <f>AND('STERLING CATALOG - DRY '!B2435,"AAAAAGq9/+U=")</f>
        <v>#VALUE!</v>
      </c>
      <c r="HW112" t="e">
        <f>AND('STERLING CATALOG - DRY '!C2435,"AAAAAGq9/+Y=")</f>
        <v>#VALUE!</v>
      </c>
      <c r="HX112" t="e">
        <f>AND('STERLING CATALOG - DRY '!D2435,"AAAAAGq9/+c=")</f>
        <v>#VALUE!</v>
      </c>
      <c r="HY112" t="e">
        <f>AND('STERLING CATALOG - DRY '!E2435,"AAAAAGq9/+g=")</f>
        <v>#VALUE!</v>
      </c>
      <c r="HZ112" t="e">
        <f>AND('STERLING CATALOG - DRY '!F2435,"AAAAAGq9/+k=")</f>
        <v>#VALUE!</v>
      </c>
      <c r="IA112" t="e">
        <f>AND('STERLING CATALOG - DRY '!G2435,"AAAAAGq9/+o=")</f>
        <v>#VALUE!</v>
      </c>
      <c r="IB112" t="e">
        <f>AND('STERLING CATALOG - DRY '!H2435,"AAAAAGq9/+s=")</f>
        <v>#VALUE!</v>
      </c>
      <c r="IC112" t="e">
        <f>AND('STERLING CATALOG - DRY '!I2435,"AAAAAGq9/+w=")</f>
        <v>#VALUE!</v>
      </c>
      <c r="ID112" t="e">
        <f>AND('STERLING CATALOG - DRY '!J2435,"AAAAAGq9/+0=")</f>
        <v>#VALUE!</v>
      </c>
      <c r="IE112">
        <f>IF('STERLING CATALOG - DRY '!2436:2436,"AAAAAGq9/+4=",0)</f>
        <v>0</v>
      </c>
      <c r="IF112" t="e">
        <f>AND('STERLING CATALOG - DRY '!A2436,"AAAAAGq9/+8=")</f>
        <v>#VALUE!</v>
      </c>
      <c r="IG112" t="e">
        <f>AND('STERLING CATALOG - DRY '!B2436,"AAAAAGq9//A=")</f>
        <v>#VALUE!</v>
      </c>
      <c r="IH112" t="e">
        <f>AND('STERLING CATALOG - DRY '!C2436,"AAAAAGq9//E=")</f>
        <v>#VALUE!</v>
      </c>
      <c r="II112" t="e">
        <f>AND('STERLING CATALOG - DRY '!D2436,"AAAAAGq9//I=")</f>
        <v>#VALUE!</v>
      </c>
      <c r="IJ112" t="e">
        <f>AND('STERLING CATALOG - DRY '!E2436,"AAAAAGq9//M=")</f>
        <v>#VALUE!</v>
      </c>
      <c r="IK112" t="e">
        <f>AND('STERLING CATALOG - DRY '!F2436,"AAAAAGq9//Q=")</f>
        <v>#VALUE!</v>
      </c>
      <c r="IL112" t="e">
        <f>AND('STERLING CATALOG - DRY '!G2436,"AAAAAGq9//U=")</f>
        <v>#VALUE!</v>
      </c>
      <c r="IM112" t="e">
        <f>AND('STERLING CATALOG - DRY '!H2436,"AAAAAGq9//Y=")</f>
        <v>#VALUE!</v>
      </c>
      <c r="IN112" t="e">
        <f>AND('STERLING CATALOG - DRY '!I2436,"AAAAAGq9//c=")</f>
        <v>#VALUE!</v>
      </c>
      <c r="IO112" t="e">
        <f>AND('STERLING CATALOG - DRY '!J2436,"AAAAAGq9//g=")</f>
        <v>#VALUE!</v>
      </c>
      <c r="IP112">
        <f>IF('STERLING CATALOG - DRY '!2437:2437,"AAAAAGq9//k=",0)</f>
        <v>0</v>
      </c>
      <c r="IQ112" t="e">
        <f>AND('STERLING CATALOG - DRY '!A2437,"AAAAAGq9//o=")</f>
        <v>#VALUE!</v>
      </c>
      <c r="IR112" t="e">
        <f>AND('STERLING CATALOG - DRY '!B2437,"AAAAAGq9//s=")</f>
        <v>#VALUE!</v>
      </c>
      <c r="IS112" t="e">
        <f>AND('STERLING CATALOG - DRY '!C2437,"AAAAAGq9//w=")</f>
        <v>#VALUE!</v>
      </c>
      <c r="IT112" t="e">
        <f>AND('STERLING CATALOG - DRY '!D2437,"AAAAAGq9//0=")</f>
        <v>#VALUE!</v>
      </c>
      <c r="IU112" t="e">
        <f>AND('STERLING CATALOG - DRY '!E2437,"AAAAAGq9//4=")</f>
        <v>#VALUE!</v>
      </c>
      <c r="IV112" t="e">
        <f>AND('STERLING CATALOG - DRY '!F2437,"AAAAAGq9//8=")</f>
        <v>#VALUE!</v>
      </c>
    </row>
    <row r="113" spans="1:256">
      <c r="A113" t="e">
        <f>AND('STERLING CATALOG - DRY '!G2437,"AAAAAH6f8gA=")</f>
        <v>#VALUE!</v>
      </c>
      <c r="B113" t="e">
        <f>AND('STERLING CATALOG - DRY '!H2437,"AAAAAH6f8gE=")</f>
        <v>#VALUE!</v>
      </c>
      <c r="C113" t="e">
        <f>AND('STERLING CATALOG - DRY '!I2437,"AAAAAH6f8gI=")</f>
        <v>#VALUE!</v>
      </c>
      <c r="D113" t="e">
        <f>AND('STERLING CATALOG - DRY '!J2437,"AAAAAH6f8gM=")</f>
        <v>#VALUE!</v>
      </c>
      <c r="E113" t="e">
        <f>IF('STERLING CATALOG - DRY '!2438:2438,"AAAAAH6f8gQ=",0)</f>
        <v>#VALUE!</v>
      </c>
      <c r="F113" t="e">
        <f>AND('STERLING CATALOG - DRY '!A2438,"AAAAAH6f8gU=")</f>
        <v>#VALUE!</v>
      </c>
      <c r="G113" t="e">
        <f>AND('STERLING CATALOG - DRY '!B2438,"AAAAAH6f8gY=")</f>
        <v>#VALUE!</v>
      </c>
      <c r="H113" t="e">
        <f>AND('STERLING CATALOG - DRY '!C2438,"AAAAAH6f8gc=")</f>
        <v>#VALUE!</v>
      </c>
      <c r="I113" t="e">
        <f>AND('STERLING CATALOG - DRY '!D2438,"AAAAAH6f8gg=")</f>
        <v>#VALUE!</v>
      </c>
      <c r="J113" t="e">
        <f>AND('STERLING CATALOG - DRY '!E2438,"AAAAAH6f8gk=")</f>
        <v>#VALUE!</v>
      </c>
      <c r="K113" t="e">
        <f>AND('STERLING CATALOG - DRY '!F2438,"AAAAAH6f8go=")</f>
        <v>#VALUE!</v>
      </c>
      <c r="L113" t="e">
        <f>AND('STERLING CATALOG - DRY '!G2438,"AAAAAH6f8gs=")</f>
        <v>#VALUE!</v>
      </c>
      <c r="M113" t="e">
        <f>AND('STERLING CATALOG - DRY '!H2438,"AAAAAH6f8gw=")</f>
        <v>#VALUE!</v>
      </c>
      <c r="N113" t="e">
        <f>AND('STERLING CATALOG - DRY '!I2438,"AAAAAH6f8g0=")</f>
        <v>#VALUE!</v>
      </c>
      <c r="O113" t="e">
        <f>AND('STERLING CATALOG - DRY '!J2438,"AAAAAH6f8g4=")</f>
        <v>#VALUE!</v>
      </c>
      <c r="P113">
        <f>IF('STERLING CATALOG - DRY '!2439:2439,"AAAAAH6f8g8=",0)</f>
        <v>0</v>
      </c>
      <c r="Q113" t="e">
        <f>AND('STERLING CATALOG - DRY '!A2439,"AAAAAH6f8hA=")</f>
        <v>#VALUE!</v>
      </c>
      <c r="R113" t="e">
        <f>AND('STERLING CATALOG - DRY '!B2439,"AAAAAH6f8hE=")</f>
        <v>#VALUE!</v>
      </c>
      <c r="S113" t="e">
        <f>AND('STERLING CATALOG - DRY '!C2439,"AAAAAH6f8hI=")</f>
        <v>#VALUE!</v>
      </c>
      <c r="T113" t="e">
        <f>AND('STERLING CATALOG - DRY '!D2439,"AAAAAH6f8hM=")</f>
        <v>#VALUE!</v>
      </c>
      <c r="U113" t="e">
        <f>AND('STERLING CATALOG - DRY '!E2439,"AAAAAH6f8hQ=")</f>
        <v>#VALUE!</v>
      </c>
      <c r="V113" t="e">
        <f>AND('STERLING CATALOG - DRY '!F2439,"AAAAAH6f8hU=")</f>
        <v>#VALUE!</v>
      </c>
      <c r="W113" t="e">
        <f>AND('STERLING CATALOG - DRY '!G2439,"AAAAAH6f8hY=")</f>
        <v>#VALUE!</v>
      </c>
      <c r="X113" t="e">
        <f>AND('STERLING CATALOG - DRY '!H2439,"AAAAAH6f8hc=")</f>
        <v>#VALUE!</v>
      </c>
      <c r="Y113" t="e">
        <f>AND('STERLING CATALOG - DRY '!I2439,"AAAAAH6f8hg=")</f>
        <v>#VALUE!</v>
      </c>
      <c r="Z113" t="e">
        <f>AND('STERLING CATALOG - DRY '!J2439,"AAAAAH6f8hk=")</f>
        <v>#VALUE!</v>
      </c>
      <c r="AA113">
        <f>IF('STERLING CATALOG - DRY '!2440:2440,"AAAAAH6f8ho=",0)</f>
        <v>0</v>
      </c>
      <c r="AB113" t="e">
        <f>AND('STERLING CATALOG - DRY '!A2440,"AAAAAH6f8hs=")</f>
        <v>#VALUE!</v>
      </c>
      <c r="AC113" t="e">
        <f>AND('STERLING CATALOG - DRY '!B2440,"AAAAAH6f8hw=")</f>
        <v>#VALUE!</v>
      </c>
      <c r="AD113" t="e">
        <f>AND('STERLING CATALOG - DRY '!C2440,"AAAAAH6f8h0=")</f>
        <v>#VALUE!</v>
      </c>
      <c r="AE113" t="e">
        <f>AND('STERLING CATALOG - DRY '!D2440,"AAAAAH6f8h4=")</f>
        <v>#VALUE!</v>
      </c>
      <c r="AF113" t="e">
        <f>AND('STERLING CATALOG - DRY '!E2440,"AAAAAH6f8h8=")</f>
        <v>#VALUE!</v>
      </c>
      <c r="AG113" t="e">
        <f>AND('STERLING CATALOG - DRY '!F2440,"AAAAAH6f8iA=")</f>
        <v>#VALUE!</v>
      </c>
      <c r="AH113" t="e">
        <f>AND('STERLING CATALOG - DRY '!G2440,"AAAAAH6f8iE=")</f>
        <v>#VALUE!</v>
      </c>
      <c r="AI113" t="e">
        <f>AND('STERLING CATALOG - DRY '!H2440,"AAAAAH6f8iI=")</f>
        <v>#VALUE!</v>
      </c>
      <c r="AJ113" t="e">
        <f>AND('STERLING CATALOG - DRY '!I2440,"AAAAAH6f8iM=")</f>
        <v>#VALUE!</v>
      </c>
      <c r="AK113" t="e">
        <f>AND('STERLING CATALOG - DRY '!J2440,"AAAAAH6f8iQ=")</f>
        <v>#VALUE!</v>
      </c>
      <c r="AL113">
        <f>IF('STERLING CATALOG - DRY '!2441:2441,"AAAAAH6f8iU=",0)</f>
        <v>0</v>
      </c>
      <c r="AM113" t="e">
        <f>AND('STERLING CATALOG - DRY '!A2441,"AAAAAH6f8iY=")</f>
        <v>#VALUE!</v>
      </c>
      <c r="AN113" t="e">
        <f>AND('STERLING CATALOG - DRY '!B2441,"AAAAAH6f8ic=")</f>
        <v>#VALUE!</v>
      </c>
      <c r="AO113" t="e">
        <f>AND('STERLING CATALOG - DRY '!C2441,"AAAAAH6f8ig=")</f>
        <v>#VALUE!</v>
      </c>
      <c r="AP113" t="e">
        <f>AND('STERLING CATALOG - DRY '!D2441,"AAAAAH6f8ik=")</f>
        <v>#VALUE!</v>
      </c>
      <c r="AQ113" t="e">
        <f>AND('STERLING CATALOG - DRY '!E2441,"AAAAAH6f8io=")</f>
        <v>#VALUE!</v>
      </c>
      <c r="AR113" t="e">
        <f>AND('STERLING CATALOG - DRY '!F2441,"AAAAAH6f8is=")</f>
        <v>#VALUE!</v>
      </c>
      <c r="AS113" t="e">
        <f>AND('STERLING CATALOG - DRY '!G2441,"AAAAAH6f8iw=")</f>
        <v>#VALUE!</v>
      </c>
      <c r="AT113" t="e">
        <f>AND('STERLING CATALOG - DRY '!H2441,"AAAAAH6f8i0=")</f>
        <v>#VALUE!</v>
      </c>
      <c r="AU113" t="e">
        <f>AND('STERLING CATALOG - DRY '!I2441,"AAAAAH6f8i4=")</f>
        <v>#VALUE!</v>
      </c>
      <c r="AV113" t="e">
        <f>AND('STERLING CATALOG - DRY '!J2441,"AAAAAH6f8i8=")</f>
        <v>#VALUE!</v>
      </c>
      <c r="AW113">
        <f>IF('STERLING CATALOG - DRY '!2442:2442,"AAAAAH6f8jA=",0)</f>
        <v>0</v>
      </c>
      <c r="AX113" t="e">
        <f>AND('STERLING CATALOG - DRY '!A2442,"AAAAAH6f8jE=")</f>
        <v>#VALUE!</v>
      </c>
      <c r="AY113" t="e">
        <f>AND('STERLING CATALOG - DRY '!B2442,"AAAAAH6f8jI=")</f>
        <v>#VALUE!</v>
      </c>
      <c r="AZ113" t="e">
        <f>AND('STERLING CATALOG - DRY '!C2442,"AAAAAH6f8jM=")</f>
        <v>#VALUE!</v>
      </c>
      <c r="BA113" t="e">
        <f>AND('STERLING CATALOG - DRY '!D2442,"AAAAAH6f8jQ=")</f>
        <v>#VALUE!</v>
      </c>
      <c r="BB113" t="e">
        <f>AND('STERLING CATALOG - DRY '!E2442,"AAAAAH6f8jU=")</f>
        <v>#VALUE!</v>
      </c>
      <c r="BC113" t="e">
        <f>AND('STERLING CATALOG - DRY '!F2442,"AAAAAH6f8jY=")</f>
        <v>#VALUE!</v>
      </c>
      <c r="BD113" t="e">
        <f>AND('STERLING CATALOG - DRY '!G2442,"AAAAAH6f8jc=")</f>
        <v>#VALUE!</v>
      </c>
      <c r="BE113" t="e">
        <f>AND('STERLING CATALOG - DRY '!H2442,"AAAAAH6f8jg=")</f>
        <v>#VALUE!</v>
      </c>
      <c r="BF113" t="e">
        <f>AND('STERLING CATALOG - DRY '!I2442,"AAAAAH6f8jk=")</f>
        <v>#VALUE!</v>
      </c>
      <c r="BG113" t="e">
        <f>AND('STERLING CATALOG - DRY '!J2442,"AAAAAH6f8jo=")</f>
        <v>#VALUE!</v>
      </c>
      <c r="BH113">
        <f>IF('STERLING CATALOG - DRY '!2443:2443,"AAAAAH6f8js=",0)</f>
        <v>0</v>
      </c>
      <c r="BI113" t="e">
        <f>AND('STERLING CATALOG - DRY '!A2443,"AAAAAH6f8jw=")</f>
        <v>#VALUE!</v>
      </c>
      <c r="BJ113" t="e">
        <f>AND('STERLING CATALOG - DRY '!B2443,"AAAAAH6f8j0=")</f>
        <v>#VALUE!</v>
      </c>
      <c r="BK113" t="e">
        <f>AND('STERLING CATALOG - DRY '!C2443,"AAAAAH6f8j4=")</f>
        <v>#VALUE!</v>
      </c>
      <c r="BL113" t="e">
        <f>AND('STERLING CATALOG - DRY '!D2443,"AAAAAH6f8j8=")</f>
        <v>#VALUE!</v>
      </c>
      <c r="BM113" t="e">
        <f>AND('STERLING CATALOG - DRY '!E2443,"AAAAAH6f8kA=")</f>
        <v>#VALUE!</v>
      </c>
      <c r="BN113" t="e">
        <f>AND('STERLING CATALOG - DRY '!F2443,"AAAAAH6f8kE=")</f>
        <v>#VALUE!</v>
      </c>
      <c r="BO113" t="e">
        <f>AND('STERLING CATALOG - DRY '!G2443,"AAAAAH6f8kI=")</f>
        <v>#VALUE!</v>
      </c>
      <c r="BP113" t="e">
        <f>AND('STERLING CATALOG - DRY '!H2443,"AAAAAH6f8kM=")</f>
        <v>#VALUE!</v>
      </c>
      <c r="BQ113" t="e">
        <f>AND('STERLING CATALOG - DRY '!I2443,"AAAAAH6f8kQ=")</f>
        <v>#VALUE!</v>
      </c>
      <c r="BR113" t="e">
        <f>AND('STERLING CATALOG - DRY '!J2443,"AAAAAH6f8kU=")</f>
        <v>#VALUE!</v>
      </c>
      <c r="BS113">
        <f>IF('STERLING CATALOG - DRY '!2444:2444,"AAAAAH6f8kY=",0)</f>
        <v>0</v>
      </c>
      <c r="BT113" t="e">
        <f>AND('STERLING CATALOG - DRY '!A2444,"AAAAAH6f8kc=")</f>
        <v>#VALUE!</v>
      </c>
      <c r="BU113" t="e">
        <f>AND('STERLING CATALOG - DRY '!B2444,"AAAAAH6f8kg=")</f>
        <v>#VALUE!</v>
      </c>
      <c r="BV113" t="e">
        <f>AND('STERLING CATALOG - DRY '!C2444,"AAAAAH6f8kk=")</f>
        <v>#VALUE!</v>
      </c>
      <c r="BW113" t="e">
        <f>AND('STERLING CATALOG - DRY '!D2444,"AAAAAH6f8ko=")</f>
        <v>#VALUE!</v>
      </c>
      <c r="BX113" t="e">
        <f>AND('STERLING CATALOG - DRY '!E2444,"AAAAAH6f8ks=")</f>
        <v>#VALUE!</v>
      </c>
      <c r="BY113" t="e">
        <f>AND('STERLING CATALOG - DRY '!F2444,"AAAAAH6f8kw=")</f>
        <v>#VALUE!</v>
      </c>
      <c r="BZ113" t="e">
        <f>AND('STERLING CATALOG - DRY '!G2444,"AAAAAH6f8k0=")</f>
        <v>#VALUE!</v>
      </c>
      <c r="CA113" t="e">
        <f>AND('STERLING CATALOG - DRY '!H2444,"AAAAAH6f8k4=")</f>
        <v>#VALUE!</v>
      </c>
      <c r="CB113" t="e">
        <f>AND('STERLING CATALOG - DRY '!I2444,"AAAAAH6f8k8=")</f>
        <v>#VALUE!</v>
      </c>
      <c r="CC113" t="e">
        <f>AND('STERLING CATALOG - DRY '!J2444,"AAAAAH6f8lA=")</f>
        <v>#VALUE!</v>
      </c>
      <c r="CD113">
        <f>IF('STERLING CATALOG - DRY '!2445:2445,"AAAAAH6f8lE=",0)</f>
        <v>0</v>
      </c>
      <c r="CE113" t="e">
        <f>AND('STERLING CATALOG - DRY '!A2445,"AAAAAH6f8lI=")</f>
        <v>#VALUE!</v>
      </c>
      <c r="CF113" t="e">
        <f>AND('STERLING CATALOG - DRY '!B2445,"AAAAAH6f8lM=")</f>
        <v>#VALUE!</v>
      </c>
      <c r="CG113" t="e">
        <f>AND('STERLING CATALOG - DRY '!C2445,"AAAAAH6f8lQ=")</f>
        <v>#VALUE!</v>
      </c>
      <c r="CH113" t="e">
        <f>AND('STERLING CATALOG - DRY '!D2445,"AAAAAH6f8lU=")</f>
        <v>#VALUE!</v>
      </c>
      <c r="CI113" t="e">
        <f>AND('STERLING CATALOG - DRY '!E2445,"AAAAAH6f8lY=")</f>
        <v>#VALUE!</v>
      </c>
      <c r="CJ113" t="e">
        <f>AND('STERLING CATALOG - DRY '!F2445,"AAAAAH6f8lc=")</f>
        <v>#VALUE!</v>
      </c>
      <c r="CK113" t="e">
        <f>AND('STERLING CATALOG - DRY '!G2445,"AAAAAH6f8lg=")</f>
        <v>#VALUE!</v>
      </c>
      <c r="CL113" t="e">
        <f>AND('STERLING CATALOG - DRY '!H2445,"AAAAAH6f8lk=")</f>
        <v>#VALUE!</v>
      </c>
      <c r="CM113" t="e">
        <f>AND('STERLING CATALOG - DRY '!I2445,"AAAAAH6f8lo=")</f>
        <v>#VALUE!</v>
      </c>
      <c r="CN113" t="e">
        <f>AND('STERLING CATALOG - DRY '!J2445,"AAAAAH6f8ls=")</f>
        <v>#VALUE!</v>
      </c>
      <c r="CO113">
        <f>IF('STERLING CATALOG - DRY '!2446:2446,"AAAAAH6f8lw=",0)</f>
        <v>0</v>
      </c>
      <c r="CP113" t="e">
        <f>AND('STERLING CATALOG - DRY '!A2446,"AAAAAH6f8l0=")</f>
        <v>#VALUE!</v>
      </c>
      <c r="CQ113" t="e">
        <f>AND('STERLING CATALOG - DRY '!B2446,"AAAAAH6f8l4=")</f>
        <v>#VALUE!</v>
      </c>
      <c r="CR113" t="e">
        <f>AND('STERLING CATALOG - DRY '!C2446,"AAAAAH6f8l8=")</f>
        <v>#VALUE!</v>
      </c>
      <c r="CS113" t="e">
        <f>AND('STERLING CATALOG - DRY '!D2446,"AAAAAH6f8mA=")</f>
        <v>#VALUE!</v>
      </c>
      <c r="CT113" t="e">
        <f>AND('STERLING CATALOG - DRY '!E2446,"AAAAAH6f8mE=")</f>
        <v>#VALUE!</v>
      </c>
      <c r="CU113" t="e">
        <f>AND('STERLING CATALOG - DRY '!F2446,"AAAAAH6f8mI=")</f>
        <v>#VALUE!</v>
      </c>
      <c r="CV113" t="e">
        <f>AND('STERLING CATALOG - DRY '!G2446,"AAAAAH6f8mM=")</f>
        <v>#VALUE!</v>
      </c>
      <c r="CW113" t="e">
        <f>AND('STERLING CATALOG - DRY '!H2446,"AAAAAH6f8mQ=")</f>
        <v>#VALUE!</v>
      </c>
      <c r="CX113" t="e">
        <f>AND('STERLING CATALOG - DRY '!I2446,"AAAAAH6f8mU=")</f>
        <v>#VALUE!</v>
      </c>
      <c r="CY113" t="e">
        <f>AND('STERLING CATALOG - DRY '!J2446,"AAAAAH6f8mY=")</f>
        <v>#VALUE!</v>
      </c>
      <c r="CZ113">
        <f>IF('STERLING CATALOG - DRY '!2447:2447,"AAAAAH6f8mc=",0)</f>
        <v>0</v>
      </c>
      <c r="DA113" t="e">
        <f>AND('STERLING CATALOG - DRY '!A2447,"AAAAAH6f8mg=")</f>
        <v>#VALUE!</v>
      </c>
      <c r="DB113" t="e">
        <f>AND('STERLING CATALOG - DRY '!B2447,"AAAAAH6f8mk=")</f>
        <v>#VALUE!</v>
      </c>
      <c r="DC113" t="e">
        <f>AND('STERLING CATALOG - DRY '!C2447,"AAAAAH6f8mo=")</f>
        <v>#VALUE!</v>
      </c>
      <c r="DD113" t="e">
        <f>AND('STERLING CATALOG - DRY '!D2447,"AAAAAH6f8ms=")</f>
        <v>#VALUE!</v>
      </c>
      <c r="DE113" t="e">
        <f>AND('STERLING CATALOG - DRY '!E2447,"AAAAAH6f8mw=")</f>
        <v>#VALUE!</v>
      </c>
      <c r="DF113" t="e">
        <f>AND('STERLING CATALOG - DRY '!F2447,"AAAAAH6f8m0=")</f>
        <v>#VALUE!</v>
      </c>
      <c r="DG113" t="e">
        <f>AND('STERLING CATALOG - DRY '!G2447,"AAAAAH6f8m4=")</f>
        <v>#VALUE!</v>
      </c>
      <c r="DH113" t="e">
        <f>AND('STERLING CATALOG - DRY '!H2447,"AAAAAH6f8m8=")</f>
        <v>#VALUE!</v>
      </c>
      <c r="DI113" t="e">
        <f>AND('STERLING CATALOG - DRY '!I2447,"AAAAAH6f8nA=")</f>
        <v>#VALUE!</v>
      </c>
      <c r="DJ113" t="e">
        <f>AND('STERLING CATALOG - DRY '!J2447,"AAAAAH6f8nE=")</f>
        <v>#VALUE!</v>
      </c>
      <c r="DK113">
        <f>IF('STERLING CATALOG - DRY '!2448:2448,"AAAAAH6f8nI=",0)</f>
        <v>0</v>
      </c>
      <c r="DL113" t="e">
        <f>AND('STERLING CATALOG - DRY '!A2448,"AAAAAH6f8nM=")</f>
        <v>#VALUE!</v>
      </c>
      <c r="DM113" t="e">
        <f>AND('STERLING CATALOG - DRY '!B2448,"AAAAAH6f8nQ=")</f>
        <v>#VALUE!</v>
      </c>
      <c r="DN113" t="e">
        <f>AND('STERLING CATALOG - DRY '!C2448,"AAAAAH6f8nU=")</f>
        <v>#VALUE!</v>
      </c>
      <c r="DO113" t="e">
        <f>AND('STERLING CATALOG - DRY '!D2448,"AAAAAH6f8nY=")</f>
        <v>#VALUE!</v>
      </c>
      <c r="DP113" t="e">
        <f>AND('STERLING CATALOG - DRY '!E2448,"AAAAAH6f8nc=")</f>
        <v>#VALUE!</v>
      </c>
      <c r="DQ113" t="e">
        <f>AND('STERLING CATALOG - DRY '!F2448,"AAAAAH6f8ng=")</f>
        <v>#VALUE!</v>
      </c>
      <c r="DR113" t="e">
        <f>AND('STERLING CATALOG - DRY '!G2448,"AAAAAH6f8nk=")</f>
        <v>#VALUE!</v>
      </c>
      <c r="DS113" t="e">
        <f>AND('STERLING CATALOG - DRY '!H2448,"AAAAAH6f8no=")</f>
        <v>#VALUE!</v>
      </c>
      <c r="DT113" t="e">
        <f>AND('STERLING CATALOG - DRY '!I2448,"AAAAAH6f8ns=")</f>
        <v>#VALUE!</v>
      </c>
      <c r="DU113" t="e">
        <f>AND('STERLING CATALOG - DRY '!J2448,"AAAAAH6f8nw=")</f>
        <v>#VALUE!</v>
      </c>
      <c r="DV113">
        <f>IF('STERLING CATALOG - DRY '!2449:2449,"AAAAAH6f8n0=",0)</f>
        <v>0</v>
      </c>
      <c r="DW113" t="e">
        <f>AND('STERLING CATALOG - DRY '!A2449,"AAAAAH6f8n4=")</f>
        <v>#VALUE!</v>
      </c>
      <c r="DX113" t="e">
        <f>AND('STERLING CATALOG - DRY '!B2449,"AAAAAH6f8n8=")</f>
        <v>#VALUE!</v>
      </c>
      <c r="DY113" t="e">
        <f>AND('STERLING CATALOG - DRY '!C2449,"AAAAAH6f8oA=")</f>
        <v>#VALUE!</v>
      </c>
      <c r="DZ113" t="e">
        <f>AND('STERLING CATALOG - DRY '!D2449,"AAAAAH6f8oE=")</f>
        <v>#VALUE!</v>
      </c>
      <c r="EA113" t="e">
        <f>AND('STERLING CATALOG - DRY '!E2449,"AAAAAH6f8oI=")</f>
        <v>#VALUE!</v>
      </c>
      <c r="EB113" t="e">
        <f>AND('STERLING CATALOG - DRY '!F2449,"AAAAAH6f8oM=")</f>
        <v>#VALUE!</v>
      </c>
      <c r="EC113" t="e">
        <f>AND('STERLING CATALOG - DRY '!G2449,"AAAAAH6f8oQ=")</f>
        <v>#VALUE!</v>
      </c>
      <c r="ED113" t="e">
        <f>AND('STERLING CATALOG - DRY '!H2449,"AAAAAH6f8oU=")</f>
        <v>#VALUE!</v>
      </c>
      <c r="EE113" t="e">
        <f>AND('STERLING CATALOG - DRY '!I2449,"AAAAAH6f8oY=")</f>
        <v>#VALUE!</v>
      </c>
      <c r="EF113" t="e">
        <f>AND('STERLING CATALOG - DRY '!J2449,"AAAAAH6f8oc=")</f>
        <v>#VALUE!</v>
      </c>
      <c r="EG113">
        <f>IF('STERLING CATALOG - DRY '!2450:2450,"AAAAAH6f8og=",0)</f>
        <v>0</v>
      </c>
      <c r="EH113" t="e">
        <f>AND('STERLING CATALOG - DRY '!A2450,"AAAAAH6f8ok=")</f>
        <v>#VALUE!</v>
      </c>
      <c r="EI113" t="e">
        <f>AND('STERLING CATALOG - DRY '!B2450,"AAAAAH6f8oo=")</f>
        <v>#VALUE!</v>
      </c>
      <c r="EJ113" t="e">
        <f>AND('STERLING CATALOG - DRY '!C2450,"AAAAAH6f8os=")</f>
        <v>#VALUE!</v>
      </c>
      <c r="EK113" t="e">
        <f>AND('STERLING CATALOG - DRY '!D2450,"AAAAAH6f8ow=")</f>
        <v>#VALUE!</v>
      </c>
      <c r="EL113" t="e">
        <f>AND('STERLING CATALOG - DRY '!E2450,"AAAAAH6f8o0=")</f>
        <v>#VALUE!</v>
      </c>
      <c r="EM113" t="e">
        <f>AND('STERLING CATALOG - DRY '!F2450,"AAAAAH6f8o4=")</f>
        <v>#VALUE!</v>
      </c>
      <c r="EN113" t="e">
        <f>AND('STERLING CATALOG - DRY '!G2450,"AAAAAH6f8o8=")</f>
        <v>#VALUE!</v>
      </c>
      <c r="EO113" t="e">
        <f>AND('STERLING CATALOG - DRY '!H2450,"AAAAAH6f8pA=")</f>
        <v>#VALUE!</v>
      </c>
      <c r="EP113" t="e">
        <f>AND('STERLING CATALOG - DRY '!I2450,"AAAAAH6f8pE=")</f>
        <v>#VALUE!</v>
      </c>
      <c r="EQ113" t="e">
        <f>AND('STERLING CATALOG - DRY '!J2450,"AAAAAH6f8pI=")</f>
        <v>#VALUE!</v>
      </c>
      <c r="ER113">
        <f>IF('STERLING CATALOG - DRY '!2451:2451,"AAAAAH6f8pM=",0)</f>
        <v>0</v>
      </c>
      <c r="ES113" t="e">
        <f>AND('STERLING CATALOG - DRY '!A2451,"AAAAAH6f8pQ=")</f>
        <v>#VALUE!</v>
      </c>
      <c r="ET113" t="e">
        <f>AND('STERLING CATALOG - DRY '!B2451,"AAAAAH6f8pU=")</f>
        <v>#VALUE!</v>
      </c>
      <c r="EU113" t="e">
        <f>AND('STERLING CATALOG - DRY '!C2451,"AAAAAH6f8pY=")</f>
        <v>#VALUE!</v>
      </c>
      <c r="EV113" t="e">
        <f>AND('STERLING CATALOG - DRY '!D2451,"AAAAAH6f8pc=")</f>
        <v>#VALUE!</v>
      </c>
      <c r="EW113" t="e">
        <f>AND('STERLING CATALOG - DRY '!E2451,"AAAAAH6f8pg=")</f>
        <v>#VALUE!</v>
      </c>
      <c r="EX113" t="e">
        <f>AND('STERLING CATALOG - DRY '!F2451,"AAAAAH6f8pk=")</f>
        <v>#VALUE!</v>
      </c>
      <c r="EY113" t="e">
        <f>AND('STERLING CATALOG - DRY '!G2451,"AAAAAH6f8po=")</f>
        <v>#VALUE!</v>
      </c>
      <c r="EZ113" t="e">
        <f>AND('STERLING CATALOG - DRY '!H2451,"AAAAAH6f8ps=")</f>
        <v>#VALUE!</v>
      </c>
      <c r="FA113" t="e">
        <f>AND('STERLING CATALOG - DRY '!I2451,"AAAAAH6f8pw=")</f>
        <v>#VALUE!</v>
      </c>
      <c r="FB113" t="e">
        <f>AND('STERLING CATALOG - DRY '!J2451,"AAAAAH6f8p0=")</f>
        <v>#VALUE!</v>
      </c>
      <c r="FC113">
        <f>IF('STERLING CATALOG - DRY '!2452:2452,"AAAAAH6f8p4=",0)</f>
        <v>0</v>
      </c>
      <c r="FD113" t="e">
        <f>AND('STERLING CATALOG - DRY '!A2452,"AAAAAH6f8p8=")</f>
        <v>#VALUE!</v>
      </c>
      <c r="FE113" t="e">
        <f>AND('STERLING CATALOG - DRY '!B2452,"AAAAAH6f8qA=")</f>
        <v>#VALUE!</v>
      </c>
      <c r="FF113" t="e">
        <f>AND('STERLING CATALOG - DRY '!C2452,"AAAAAH6f8qE=")</f>
        <v>#VALUE!</v>
      </c>
      <c r="FG113" t="e">
        <f>AND('STERLING CATALOG - DRY '!D2452,"AAAAAH6f8qI=")</f>
        <v>#VALUE!</v>
      </c>
      <c r="FH113" t="e">
        <f>AND('STERLING CATALOG - DRY '!E2452,"AAAAAH6f8qM=")</f>
        <v>#VALUE!</v>
      </c>
      <c r="FI113" t="e">
        <f>AND('STERLING CATALOG - DRY '!F2452,"AAAAAH6f8qQ=")</f>
        <v>#VALUE!</v>
      </c>
      <c r="FJ113" t="e">
        <f>AND('STERLING CATALOG - DRY '!G2452,"AAAAAH6f8qU=")</f>
        <v>#VALUE!</v>
      </c>
      <c r="FK113" t="e">
        <f>AND('STERLING CATALOG - DRY '!H2452,"AAAAAH6f8qY=")</f>
        <v>#VALUE!</v>
      </c>
      <c r="FL113" t="e">
        <f>AND('STERLING CATALOG - DRY '!I2452,"AAAAAH6f8qc=")</f>
        <v>#VALUE!</v>
      </c>
      <c r="FM113" t="e">
        <f>AND('STERLING CATALOG - DRY '!J2452,"AAAAAH6f8qg=")</f>
        <v>#VALUE!</v>
      </c>
      <c r="FN113">
        <f>IF('STERLING CATALOG - DRY '!2453:2453,"AAAAAH6f8qk=",0)</f>
        <v>0</v>
      </c>
      <c r="FO113" t="e">
        <f>AND('STERLING CATALOG - DRY '!A2453,"AAAAAH6f8qo=")</f>
        <v>#VALUE!</v>
      </c>
      <c r="FP113" t="e">
        <f>AND('STERLING CATALOG - DRY '!B2453,"AAAAAH6f8qs=")</f>
        <v>#VALUE!</v>
      </c>
      <c r="FQ113" t="e">
        <f>AND('STERLING CATALOG - DRY '!C2453,"AAAAAH6f8qw=")</f>
        <v>#VALUE!</v>
      </c>
      <c r="FR113" t="e">
        <f>AND('STERLING CATALOG - DRY '!D2453,"AAAAAH6f8q0=")</f>
        <v>#VALUE!</v>
      </c>
      <c r="FS113" t="e">
        <f>AND('STERLING CATALOG - DRY '!E2453,"AAAAAH6f8q4=")</f>
        <v>#VALUE!</v>
      </c>
      <c r="FT113" t="e">
        <f>AND('STERLING CATALOG - DRY '!F2453,"AAAAAH6f8q8=")</f>
        <v>#VALUE!</v>
      </c>
      <c r="FU113" t="e">
        <f>AND('STERLING CATALOG - DRY '!G2453,"AAAAAH6f8rA=")</f>
        <v>#VALUE!</v>
      </c>
      <c r="FV113" t="e">
        <f>AND('STERLING CATALOG - DRY '!H2453,"AAAAAH6f8rE=")</f>
        <v>#VALUE!</v>
      </c>
      <c r="FW113" t="e">
        <f>AND('STERLING CATALOG - DRY '!I2453,"AAAAAH6f8rI=")</f>
        <v>#VALUE!</v>
      </c>
      <c r="FX113" t="e">
        <f>AND('STERLING CATALOG - DRY '!J2453,"AAAAAH6f8rM=")</f>
        <v>#VALUE!</v>
      </c>
      <c r="FY113">
        <f>IF('STERLING CATALOG - DRY '!2454:2454,"AAAAAH6f8rQ=",0)</f>
        <v>0</v>
      </c>
      <c r="FZ113" t="e">
        <f>AND('STERLING CATALOG - DRY '!A2454,"AAAAAH6f8rU=")</f>
        <v>#VALUE!</v>
      </c>
      <c r="GA113" t="e">
        <f>AND('STERLING CATALOG - DRY '!B2454,"AAAAAH6f8rY=")</f>
        <v>#VALUE!</v>
      </c>
      <c r="GB113" t="e">
        <f>AND('STERLING CATALOG - DRY '!C2454,"AAAAAH6f8rc=")</f>
        <v>#VALUE!</v>
      </c>
      <c r="GC113" t="e">
        <f>AND('STERLING CATALOG - DRY '!D2454,"AAAAAH6f8rg=")</f>
        <v>#VALUE!</v>
      </c>
      <c r="GD113" t="e">
        <f>AND('STERLING CATALOG - DRY '!E2454,"AAAAAH6f8rk=")</f>
        <v>#VALUE!</v>
      </c>
      <c r="GE113" t="e">
        <f>AND('STERLING CATALOG - DRY '!F2454,"AAAAAH6f8ro=")</f>
        <v>#VALUE!</v>
      </c>
      <c r="GF113" t="e">
        <f>AND('STERLING CATALOG - DRY '!G2454,"AAAAAH6f8rs=")</f>
        <v>#VALUE!</v>
      </c>
      <c r="GG113" t="e">
        <f>AND('STERLING CATALOG - DRY '!H2454,"AAAAAH6f8rw=")</f>
        <v>#VALUE!</v>
      </c>
      <c r="GH113" t="e">
        <f>AND('STERLING CATALOG - DRY '!I2454,"AAAAAH6f8r0=")</f>
        <v>#VALUE!</v>
      </c>
      <c r="GI113" t="e">
        <f>AND('STERLING CATALOG - DRY '!J2454,"AAAAAH6f8r4=")</f>
        <v>#VALUE!</v>
      </c>
      <c r="GJ113">
        <f>IF('STERLING CATALOG - DRY '!2455:2455,"AAAAAH6f8r8=",0)</f>
        <v>0</v>
      </c>
      <c r="GK113" t="e">
        <f>AND('STERLING CATALOG - DRY '!A2455,"AAAAAH6f8sA=")</f>
        <v>#VALUE!</v>
      </c>
      <c r="GL113" t="e">
        <f>AND('STERLING CATALOG - DRY '!B2455,"AAAAAH6f8sE=")</f>
        <v>#VALUE!</v>
      </c>
      <c r="GM113" t="e">
        <f>AND('STERLING CATALOG - DRY '!C2455,"AAAAAH6f8sI=")</f>
        <v>#VALUE!</v>
      </c>
      <c r="GN113" t="e">
        <f>AND('STERLING CATALOG - DRY '!D2455,"AAAAAH6f8sM=")</f>
        <v>#VALUE!</v>
      </c>
      <c r="GO113" t="e">
        <f>AND('STERLING CATALOG - DRY '!E2455,"AAAAAH6f8sQ=")</f>
        <v>#VALUE!</v>
      </c>
      <c r="GP113" t="e">
        <f>AND('STERLING CATALOG - DRY '!F2455,"AAAAAH6f8sU=")</f>
        <v>#VALUE!</v>
      </c>
      <c r="GQ113" t="e">
        <f>AND('STERLING CATALOG - DRY '!G2455,"AAAAAH6f8sY=")</f>
        <v>#VALUE!</v>
      </c>
      <c r="GR113" t="e">
        <f>AND('STERLING CATALOG - DRY '!H2455,"AAAAAH6f8sc=")</f>
        <v>#VALUE!</v>
      </c>
      <c r="GS113" t="e">
        <f>AND('STERLING CATALOG - DRY '!I2455,"AAAAAH6f8sg=")</f>
        <v>#VALUE!</v>
      </c>
      <c r="GT113" t="e">
        <f>AND('STERLING CATALOG - DRY '!J2455,"AAAAAH6f8sk=")</f>
        <v>#VALUE!</v>
      </c>
      <c r="GU113">
        <f>IF('STERLING CATALOG - DRY '!2456:2456,"AAAAAH6f8so=",0)</f>
        <v>0</v>
      </c>
      <c r="GV113" t="e">
        <f>AND('STERLING CATALOG - DRY '!A2456,"AAAAAH6f8ss=")</f>
        <v>#VALUE!</v>
      </c>
      <c r="GW113" t="e">
        <f>AND('STERLING CATALOG - DRY '!B2456,"AAAAAH6f8sw=")</f>
        <v>#VALUE!</v>
      </c>
      <c r="GX113" t="e">
        <f>AND('STERLING CATALOG - DRY '!C2456,"AAAAAH6f8s0=")</f>
        <v>#VALUE!</v>
      </c>
      <c r="GY113" t="e">
        <f>AND('STERLING CATALOG - DRY '!D2456,"AAAAAH6f8s4=")</f>
        <v>#VALUE!</v>
      </c>
      <c r="GZ113" t="e">
        <f>AND('STERLING CATALOG - DRY '!E2456,"AAAAAH6f8s8=")</f>
        <v>#VALUE!</v>
      </c>
      <c r="HA113" t="e">
        <f>AND('STERLING CATALOG - DRY '!F2456,"AAAAAH6f8tA=")</f>
        <v>#VALUE!</v>
      </c>
      <c r="HB113" t="e">
        <f>AND('STERLING CATALOG - DRY '!G2456,"AAAAAH6f8tE=")</f>
        <v>#VALUE!</v>
      </c>
      <c r="HC113" t="e">
        <f>AND('STERLING CATALOG - DRY '!H2456,"AAAAAH6f8tI=")</f>
        <v>#VALUE!</v>
      </c>
      <c r="HD113" t="e">
        <f>AND('STERLING CATALOG - DRY '!I2456,"AAAAAH6f8tM=")</f>
        <v>#VALUE!</v>
      </c>
      <c r="HE113" t="e">
        <f>AND('STERLING CATALOG - DRY '!J2456,"AAAAAH6f8tQ=")</f>
        <v>#VALUE!</v>
      </c>
      <c r="HF113">
        <f>IF('STERLING CATALOG - DRY '!2457:2457,"AAAAAH6f8tU=",0)</f>
        <v>0</v>
      </c>
      <c r="HG113" t="e">
        <f>AND('STERLING CATALOG - DRY '!A2457,"AAAAAH6f8tY=")</f>
        <v>#VALUE!</v>
      </c>
      <c r="HH113" t="e">
        <f>AND('STERLING CATALOG - DRY '!B2457,"AAAAAH6f8tc=")</f>
        <v>#VALUE!</v>
      </c>
      <c r="HI113" t="e">
        <f>AND('STERLING CATALOG - DRY '!C2457,"AAAAAH6f8tg=")</f>
        <v>#VALUE!</v>
      </c>
      <c r="HJ113" t="e">
        <f>AND('STERLING CATALOG - DRY '!D2457,"AAAAAH6f8tk=")</f>
        <v>#VALUE!</v>
      </c>
      <c r="HK113" t="e">
        <f>AND('STERLING CATALOG - DRY '!E2457,"AAAAAH6f8to=")</f>
        <v>#VALUE!</v>
      </c>
      <c r="HL113" t="e">
        <f>AND('STERLING CATALOG - DRY '!F2457,"AAAAAH6f8ts=")</f>
        <v>#VALUE!</v>
      </c>
      <c r="HM113" t="e">
        <f>AND('STERLING CATALOG - DRY '!G2457,"AAAAAH6f8tw=")</f>
        <v>#VALUE!</v>
      </c>
      <c r="HN113" t="e">
        <f>AND('STERLING CATALOG - DRY '!H2457,"AAAAAH6f8t0=")</f>
        <v>#VALUE!</v>
      </c>
      <c r="HO113" t="e">
        <f>AND('STERLING CATALOG - DRY '!I2457,"AAAAAH6f8t4=")</f>
        <v>#VALUE!</v>
      </c>
      <c r="HP113" t="e">
        <f>AND('STERLING CATALOG - DRY '!J2457,"AAAAAH6f8t8=")</f>
        <v>#VALUE!</v>
      </c>
      <c r="HQ113">
        <f>IF('STERLING CATALOG - DRY '!2458:2458,"AAAAAH6f8uA=",0)</f>
        <v>0</v>
      </c>
      <c r="HR113" t="e">
        <f>AND('STERLING CATALOG - DRY '!A2458,"AAAAAH6f8uE=")</f>
        <v>#VALUE!</v>
      </c>
      <c r="HS113" t="e">
        <f>AND('STERLING CATALOG - DRY '!B2458,"AAAAAH6f8uI=")</f>
        <v>#VALUE!</v>
      </c>
      <c r="HT113" t="e">
        <f>AND('STERLING CATALOG - DRY '!C2458,"AAAAAH6f8uM=")</f>
        <v>#VALUE!</v>
      </c>
      <c r="HU113" t="e">
        <f>AND('STERLING CATALOG - DRY '!D2458,"AAAAAH6f8uQ=")</f>
        <v>#VALUE!</v>
      </c>
      <c r="HV113" t="e">
        <f>AND('STERLING CATALOG - DRY '!E2458,"AAAAAH6f8uU=")</f>
        <v>#VALUE!</v>
      </c>
      <c r="HW113" t="e">
        <f>AND('STERLING CATALOG - DRY '!F2458,"AAAAAH6f8uY=")</f>
        <v>#VALUE!</v>
      </c>
      <c r="HX113" t="e">
        <f>AND('STERLING CATALOG - DRY '!G2458,"AAAAAH6f8uc=")</f>
        <v>#VALUE!</v>
      </c>
      <c r="HY113" t="e">
        <f>AND('STERLING CATALOG - DRY '!H2458,"AAAAAH6f8ug=")</f>
        <v>#VALUE!</v>
      </c>
      <c r="HZ113" t="e">
        <f>AND('STERLING CATALOG - DRY '!I2458,"AAAAAH6f8uk=")</f>
        <v>#VALUE!</v>
      </c>
      <c r="IA113" t="e">
        <f>AND('STERLING CATALOG - DRY '!J2458,"AAAAAH6f8uo=")</f>
        <v>#VALUE!</v>
      </c>
      <c r="IB113">
        <f>IF('STERLING CATALOG - DRY '!2459:2459,"AAAAAH6f8us=",0)</f>
        <v>0</v>
      </c>
      <c r="IC113" t="e">
        <f>AND('STERLING CATALOG - DRY '!A2459,"AAAAAH6f8uw=")</f>
        <v>#VALUE!</v>
      </c>
      <c r="ID113" t="e">
        <f>AND('STERLING CATALOG - DRY '!B2459,"AAAAAH6f8u0=")</f>
        <v>#VALUE!</v>
      </c>
      <c r="IE113" t="e">
        <f>AND('STERLING CATALOG - DRY '!C2459,"AAAAAH6f8u4=")</f>
        <v>#VALUE!</v>
      </c>
      <c r="IF113" t="e">
        <f>AND('STERLING CATALOG - DRY '!D2459,"AAAAAH6f8u8=")</f>
        <v>#VALUE!</v>
      </c>
      <c r="IG113" t="e">
        <f>AND('STERLING CATALOG - DRY '!E2459,"AAAAAH6f8vA=")</f>
        <v>#VALUE!</v>
      </c>
      <c r="IH113" t="e">
        <f>AND('STERLING CATALOG - DRY '!F2459,"AAAAAH6f8vE=")</f>
        <v>#VALUE!</v>
      </c>
      <c r="II113" t="e">
        <f>AND('STERLING CATALOG - DRY '!G2459,"AAAAAH6f8vI=")</f>
        <v>#VALUE!</v>
      </c>
      <c r="IJ113" t="e">
        <f>AND('STERLING CATALOG - DRY '!H2459,"AAAAAH6f8vM=")</f>
        <v>#VALUE!</v>
      </c>
      <c r="IK113" t="e">
        <f>AND('STERLING CATALOG - DRY '!I2459,"AAAAAH6f8vQ=")</f>
        <v>#VALUE!</v>
      </c>
      <c r="IL113" t="e">
        <f>AND('STERLING CATALOG - DRY '!J2459,"AAAAAH6f8vU=")</f>
        <v>#VALUE!</v>
      </c>
      <c r="IM113">
        <f>IF('STERLING CATALOG - DRY '!2460:2460,"AAAAAH6f8vY=",0)</f>
        <v>0</v>
      </c>
      <c r="IN113" t="e">
        <f>AND('STERLING CATALOG - DRY '!A2460,"AAAAAH6f8vc=")</f>
        <v>#VALUE!</v>
      </c>
      <c r="IO113" t="e">
        <f>AND('STERLING CATALOG - DRY '!B2460,"AAAAAH6f8vg=")</f>
        <v>#VALUE!</v>
      </c>
      <c r="IP113" t="e">
        <f>AND('STERLING CATALOG - DRY '!C2460,"AAAAAH6f8vk=")</f>
        <v>#VALUE!</v>
      </c>
      <c r="IQ113" t="e">
        <f>AND('STERLING CATALOG - DRY '!D2460,"AAAAAH6f8vo=")</f>
        <v>#VALUE!</v>
      </c>
      <c r="IR113" t="e">
        <f>AND('STERLING CATALOG - DRY '!E2460,"AAAAAH6f8vs=")</f>
        <v>#VALUE!</v>
      </c>
      <c r="IS113" t="e">
        <f>AND('STERLING CATALOG - DRY '!F2460,"AAAAAH6f8vw=")</f>
        <v>#VALUE!</v>
      </c>
      <c r="IT113" t="e">
        <f>AND('STERLING CATALOG - DRY '!G2460,"AAAAAH6f8v0=")</f>
        <v>#VALUE!</v>
      </c>
      <c r="IU113" t="e">
        <f>AND('STERLING CATALOG - DRY '!H2460,"AAAAAH6f8v4=")</f>
        <v>#VALUE!</v>
      </c>
      <c r="IV113" t="e">
        <f>AND('STERLING CATALOG - DRY '!I2460,"AAAAAH6f8v8=")</f>
        <v>#VALUE!</v>
      </c>
    </row>
    <row r="114" spans="1:256">
      <c r="A114" t="e">
        <f>AND('STERLING CATALOG - DRY '!J2460,"AAAAAG59fwA=")</f>
        <v>#VALUE!</v>
      </c>
      <c r="B114">
        <f>IF('STERLING CATALOG - DRY '!2461:2461,"AAAAAG59fwE=",0)</f>
        <v>0</v>
      </c>
      <c r="C114" t="e">
        <f>AND('STERLING CATALOG - DRY '!A2461,"AAAAAG59fwI=")</f>
        <v>#VALUE!</v>
      </c>
      <c r="D114" t="e">
        <f>AND('STERLING CATALOG - DRY '!B2461,"AAAAAG59fwM=")</f>
        <v>#VALUE!</v>
      </c>
      <c r="E114" t="e">
        <f>AND('STERLING CATALOG - DRY '!C2461,"AAAAAG59fwQ=")</f>
        <v>#VALUE!</v>
      </c>
      <c r="F114" t="e">
        <f>AND('STERLING CATALOG - DRY '!D2461,"AAAAAG59fwU=")</f>
        <v>#VALUE!</v>
      </c>
      <c r="G114" t="e">
        <f>AND('STERLING CATALOG - DRY '!E2461,"AAAAAG59fwY=")</f>
        <v>#VALUE!</v>
      </c>
      <c r="H114" t="e">
        <f>AND('STERLING CATALOG - DRY '!F2461,"AAAAAG59fwc=")</f>
        <v>#VALUE!</v>
      </c>
      <c r="I114" t="e">
        <f>AND('STERLING CATALOG - DRY '!G2461,"AAAAAG59fwg=")</f>
        <v>#VALUE!</v>
      </c>
      <c r="J114" t="e">
        <f>AND('STERLING CATALOG - DRY '!H2461,"AAAAAG59fwk=")</f>
        <v>#VALUE!</v>
      </c>
      <c r="K114" t="e">
        <f>AND('STERLING CATALOG - DRY '!I2461,"AAAAAG59fwo=")</f>
        <v>#VALUE!</v>
      </c>
      <c r="L114" t="e">
        <f>AND('STERLING CATALOG - DRY '!J2461,"AAAAAG59fws=")</f>
        <v>#VALUE!</v>
      </c>
      <c r="M114">
        <f>IF('STERLING CATALOG - DRY '!2462:2462,"AAAAAG59fww=",0)</f>
        <v>0</v>
      </c>
      <c r="N114" t="e">
        <f>AND('STERLING CATALOG - DRY '!A2462,"AAAAAG59fw0=")</f>
        <v>#VALUE!</v>
      </c>
      <c r="O114" t="e">
        <f>AND('STERLING CATALOG - DRY '!B2462,"AAAAAG59fw4=")</f>
        <v>#VALUE!</v>
      </c>
      <c r="P114" t="e">
        <f>AND('STERLING CATALOG - DRY '!C2462,"AAAAAG59fw8=")</f>
        <v>#VALUE!</v>
      </c>
      <c r="Q114" t="e">
        <f>AND('STERLING CATALOG - DRY '!D2462,"AAAAAG59fxA=")</f>
        <v>#VALUE!</v>
      </c>
      <c r="R114" t="e">
        <f>AND('STERLING CATALOG - DRY '!E2462,"AAAAAG59fxE=")</f>
        <v>#VALUE!</v>
      </c>
      <c r="S114" t="e">
        <f>AND('STERLING CATALOG - DRY '!F2462,"AAAAAG59fxI=")</f>
        <v>#VALUE!</v>
      </c>
      <c r="T114" t="e">
        <f>AND('STERLING CATALOG - DRY '!G2462,"AAAAAG59fxM=")</f>
        <v>#VALUE!</v>
      </c>
      <c r="U114" t="e">
        <f>AND('STERLING CATALOG - DRY '!H2462,"AAAAAG59fxQ=")</f>
        <v>#VALUE!</v>
      </c>
      <c r="V114" t="e">
        <f>AND('STERLING CATALOG - DRY '!I2462,"AAAAAG59fxU=")</f>
        <v>#VALUE!</v>
      </c>
      <c r="W114" t="e">
        <f>AND('STERLING CATALOG - DRY '!J2462,"AAAAAG59fxY=")</f>
        <v>#VALUE!</v>
      </c>
      <c r="X114">
        <f>IF('STERLING CATALOG - DRY '!2463:2463,"AAAAAG59fxc=",0)</f>
        <v>0</v>
      </c>
      <c r="Y114" t="e">
        <f>AND('STERLING CATALOG - DRY '!A2463,"AAAAAG59fxg=")</f>
        <v>#VALUE!</v>
      </c>
      <c r="Z114" t="e">
        <f>AND('STERLING CATALOG - DRY '!B2463,"AAAAAG59fxk=")</f>
        <v>#VALUE!</v>
      </c>
      <c r="AA114" t="e">
        <f>AND('STERLING CATALOG - DRY '!C2463,"AAAAAG59fxo=")</f>
        <v>#VALUE!</v>
      </c>
      <c r="AB114" t="e">
        <f>AND('STERLING CATALOG - DRY '!D2463,"AAAAAG59fxs=")</f>
        <v>#VALUE!</v>
      </c>
      <c r="AC114" t="e">
        <f>AND('STERLING CATALOG - DRY '!E2463,"AAAAAG59fxw=")</f>
        <v>#VALUE!</v>
      </c>
      <c r="AD114" t="e">
        <f>AND('STERLING CATALOG - DRY '!F2463,"AAAAAG59fx0=")</f>
        <v>#VALUE!</v>
      </c>
      <c r="AE114" t="e">
        <f>AND('STERLING CATALOG - DRY '!G2463,"AAAAAG59fx4=")</f>
        <v>#VALUE!</v>
      </c>
      <c r="AF114" t="e">
        <f>AND('STERLING CATALOG - DRY '!H2463,"AAAAAG59fx8=")</f>
        <v>#VALUE!</v>
      </c>
      <c r="AG114" t="e">
        <f>AND('STERLING CATALOG - DRY '!I2463,"AAAAAG59fyA=")</f>
        <v>#VALUE!</v>
      </c>
      <c r="AH114" t="e">
        <f>AND('STERLING CATALOG - DRY '!J2463,"AAAAAG59fyE=")</f>
        <v>#VALUE!</v>
      </c>
      <c r="AI114">
        <f>IF('STERLING CATALOG - DRY '!2464:2464,"AAAAAG59fyI=",0)</f>
        <v>0</v>
      </c>
      <c r="AJ114" t="e">
        <f>AND('STERLING CATALOG - DRY '!A2464,"AAAAAG59fyM=")</f>
        <v>#VALUE!</v>
      </c>
      <c r="AK114" t="e">
        <f>AND('STERLING CATALOG - DRY '!B2464,"AAAAAG59fyQ=")</f>
        <v>#VALUE!</v>
      </c>
      <c r="AL114" t="e">
        <f>AND('STERLING CATALOG - DRY '!C2464,"AAAAAG59fyU=")</f>
        <v>#VALUE!</v>
      </c>
      <c r="AM114" t="e">
        <f>AND('STERLING CATALOG - DRY '!D2464,"AAAAAG59fyY=")</f>
        <v>#VALUE!</v>
      </c>
      <c r="AN114" t="e">
        <f>AND('STERLING CATALOG - DRY '!E2464,"AAAAAG59fyc=")</f>
        <v>#VALUE!</v>
      </c>
      <c r="AO114" t="e">
        <f>AND('STERLING CATALOG - DRY '!F2464,"AAAAAG59fyg=")</f>
        <v>#VALUE!</v>
      </c>
      <c r="AP114" t="e">
        <f>AND('STERLING CATALOG - DRY '!G2464,"AAAAAG59fyk=")</f>
        <v>#VALUE!</v>
      </c>
      <c r="AQ114" t="e">
        <f>AND('STERLING CATALOG - DRY '!H2464,"AAAAAG59fyo=")</f>
        <v>#VALUE!</v>
      </c>
      <c r="AR114" t="e">
        <f>AND('STERLING CATALOG - DRY '!I2464,"AAAAAG59fys=")</f>
        <v>#VALUE!</v>
      </c>
      <c r="AS114" t="e">
        <f>AND('STERLING CATALOG - DRY '!J2464,"AAAAAG59fyw=")</f>
        <v>#VALUE!</v>
      </c>
      <c r="AT114">
        <f>IF('STERLING CATALOG - DRY '!2465:2465,"AAAAAG59fy0=",0)</f>
        <v>0</v>
      </c>
      <c r="AU114" t="e">
        <f>AND('STERLING CATALOG - DRY '!A2465,"AAAAAG59fy4=")</f>
        <v>#VALUE!</v>
      </c>
      <c r="AV114" t="e">
        <f>AND('STERLING CATALOG - DRY '!B2465,"AAAAAG59fy8=")</f>
        <v>#VALUE!</v>
      </c>
      <c r="AW114" t="e">
        <f>AND('STERLING CATALOG - DRY '!C2465,"AAAAAG59fzA=")</f>
        <v>#VALUE!</v>
      </c>
      <c r="AX114" t="e">
        <f>AND('STERLING CATALOG - DRY '!D2465,"AAAAAG59fzE=")</f>
        <v>#VALUE!</v>
      </c>
      <c r="AY114" t="e">
        <f>AND('STERLING CATALOG - DRY '!E2465,"AAAAAG59fzI=")</f>
        <v>#VALUE!</v>
      </c>
      <c r="AZ114" t="e">
        <f>AND('STERLING CATALOG - DRY '!F2465,"AAAAAG59fzM=")</f>
        <v>#VALUE!</v>
      </c>
      <c r="BA114" t="e">
        <f>AND('STERLING CATALOG - DRY '!G2465,"AAAAAG59fzQ=")</f>
        <v>#VALUE!</v>
      </c>
      <c r="BB114" t="e">
        <f>AND('STERLING CATALOG - DRY '!H2465,"AAAAAG59fzU=")</f>
        <v>#VALUE!</v>
      </c>
      <c r="BC114" t="e">
        <f>AND('STERLING CATALOG - DRY '!I2465,"AAAAAG59fzY=")</f>
        <v>#VALUE!</v>
      </c>
      <c r="BD114" t="e">
        <f>AND('STERLING CATALOG - DRY '!J2465,"AAAAAG59fzc=")</f>
        <v>#VALUE!</v>
      </c>
      <c r="BE114">
        <f>IF('STERLING CATALOG - DRY '!2466:2466,"AAAAAG59fzg=",0)</f>
        <v>0</v>
      </c>
      <c r="BF114" t="e">
        <f>AND('STERLING CATALOG - DRY '!A2466,"AAAAAG59fzk=")</f>
        <v>#VALUE!</v>
      </c>
      <c r="BG114" t="e">
        <f>AND('STERLING CATALOG - DRY '!B2466,"AAAAAG59fzo=")</f>
        <v>#VALUE!</v>
      </c>
      <c r="BH114" t="e">
        <f>AND('STERLING CATALOG - DRY '!C2466,"AAAAAG59fzs=")</f>
        <v>#VALUE!</v>
      </c>
      <c r="BI114" t="e">
        <f>AND('STERLING CATALOG - DRY '!D2466,"AAAAAG59fzw=")</f>
        <v>#VALUE!</v>
      </c>
      <c r="BJ114" t="e">
        <f>AND('STERLING CATALOG - DRY '!E2466,"AAAAAG59fz0=")</f>
        <v>#VALUE!</v>
      </c>
      <c r="BK114" t="e">
        <f>AND('STERLING CATALOG - DRY '!F2466,"AAAAAG59fz4=")</f>
        <v>#VALUE!</v>
      </c>
      <c r="BL114" t="e">
        <f>AND('STERLING CATALOG - DRY '!G2466,"AAAAAG59fz8=")</f>
        <v>#VALUE!</v>
      </c>
      <c r="BM114" t="e">
        <f>AND('STERLING CATALOG - DRY '!H2466,"AAAAAG59f0A=")</f>
        <v>#VALUE!</v>
      </c>
      <c r="BN114" t="e">
        <f>AND('STERLING CATALOG - DRY '!I2466,"AAAAAG59f0E=")</f>
        <v>#VALUE!</v>
      </c>
      <c r="BO114" t="e">
        <f>AND('STERLING CATALOG - DRY '!J2466,"AAAAAG59f0I=")</f>
        <v>#VALUE!</v>
      </c>
      <c r="BP114">
        <f>IF('STERLING CATALOG - DRY '!2467:2467,"AAAAAG59f0M=",0)</f>
        <v>0</v>
      </c>
      <c r="BQ114" t="e">
        <f>AND('STERLING CATALOG - DRY '!A2467,"AAAAAG59f0Q=")</f>
        <v>#VALUE!</v>
      </c>
      <c r="BR114" t="e">
        <f>AND('STERLING CATALOG - DRY '!B2467,"AAAAAG59f0U=")</f>
        <v>#VALUE!</v>
      </c>
      <c r="BS114" t="e">
        <f>AND('STERLING CATALOG - DRY '!C2467,"AAAAAG59f0Y=")</f>
        <v>#VALUE!</v>
      </c>
      <c r="BT114" t="e">
        <f>AND('STERLING CATALOG - DRY '!D2467,"AAAAAG59f0c=")</f>
        <v>#VALUE!</v>
      </c>
      <c r="BU114" t="e">
        <f>AND('STERLING CATALOG - DRY '!E2467,"AAAAAG59f0g=")</f>
        <v>#VALUE!</v>
      </c>
      <c r="BV114" t="e">
        <f>AND('STERLING CATALOG - DRY '!F2467,"AAAAAG59f0k=")</f>
        <v>#VALUE!</v>
      </c>
      <c r="BW114" t="e">
        <f>AND('STERLING CATALOG - DRY '!G2467,"AAAAAG59f0o=")</f>
        <v>#VALUE!</v>
      </c>
      <c r="BX114" t="e">
        <f>AND('STERLING CATALOG - DRY '!H2467,"AAAAAG59f0s=")</f>
        <v>#VALUE!</v>
      </c>
      <c r="BY114" t="e">
        <f>AND('STERLING CATALOG - DRY '!I2467,"AAAAAG59f0w=")</f>
        <v>#VALUE!</v>
      </c>
      <c r="BZ114" t="e">
        <f>AND('STERLING CATALOG - DRY '!J2467,"AAAAAG59f00=")</f>
        <v>#VALUE!</v>
      </c>
      <c r="CA114">
        <f>IF('STERLING CATALOG - DRY '!2468:2468,"AAAAAG59f04=",0)</f>
        <v>0</v>
      </c>
      <c r="CB114" t="e">
        <f>AND('STERLING CATALOG - DRY '!A2468,"AAAAAG59f08=")</f>
        <v>#VALUE!</v>
      </c>
      <c r="CC114" t="e">
        <f>AND('STERLING CATALOG - DRY '!B2468,"AAAAAG59f1A=")</f>
        <v>#VALUE!</v>
      </c>
      <c r="CD114" t="e">
        <f>AND('STERLING CATALOG - DRY '!C2468,"AAAAAG59f1E=")</f>
        <v>#VALUE!</v>
      </c>
      <c r="CE114" t="e">
        <f>AND('STERLING CATALOG - DRY '!D2468,"AAAAAG59f1I=")</f>
        <v>#VALUE!</v>
      </c>
      <c r="CF114" t="e">
        <f>AND('STERLING CATALOG - DRY '!E2468,"AAAAAG59f1M=")</f>
        <v>#VALUE!</v>
      </c>
      <c r="CG114" t="e">
        <f>AND('STERLING CATALOG - DRY '!F2468,"AAAAAG59f1Q=")</f>
        <v>#VALUE!</v>
      </c>
      <c r="CH114" t="e">
        <f>AND('STERLING CATALOG - DRY '!G2468,"AAAAAG59f1U=")</f>
        <v>#VALUE!</v>
      </c>
      <c r="CI114" t="e">
        <f>AND('STERLING CATALOG - DRY '!H2468,"AAAAAG59f1Y=")</f>
        <v>#VALUE!</v>
      </c>
      <c r="CJ114" t="e">
        <f>AND('STERLING CATALOG - DRY '!I2468,"AAAAAG59f1c=")</f>
        <v>#VALUE!</v>
      </c>
      <c r="CK114" t="e">
        <f>AND('STERLING CATALOG - DRY '!J2468,"AAAAAG59f1g=")</f>
        <v>#VALUE!</v>
      </c>
      <c r="CL114">
        <f>IF('STERLING CATALOG - DRY '!2469:2469,"AAAAAG59f1k=",0)</f>
        <v>0</v>
      </c>
      <c r="CM114" t="e">
        <f>AND('STERLING CATALOG - DRY '!A2469,"AAAAAG59f1o=")</f>
        <v>#VALUE!</v>
      </c>
      <c r="CN114" t="e">
        <f>AND('STERLING CATALOG - DRY '!B2469,"AAAAAG59f1s=")</f>
        <v>#VALUE!</v>
      </c>
      <c r="CO114" t="e">
        <f>AND('STERLING CATALOG - DRY '!C2469,"AAAAAG59f1w=")</f>
        <v>#VALUE!</v>
      </c>
      <c r="CP114" t="e">
        <f>AND('STERLING CATALOG - DRY '!D2469,"AAAAAG59f10=")</f>
        <v>#VALUE!</v>
      </c>
      <c r="CQ114" t="e">
        <f>AND('STERLING CATALOG - DRY '!E2469,"AAAAAG59f14=")</f>
        <v>#VALUE!</v>
      </c>
      <c r="CR114" t="e">
        <f>AND('STERLING CATALOG - DRY '!F2469,"AAAAAG59f18=")</f>
        <v>#VALUE!</v>
      </c>
      <c r="CS114" t="e">
        <f>AND('STERLING CATALOG - DRY '!G2469,"AAAAAG59f2A=")</f>
        <v>#VALUE!</v>
      </c>
      <c r="CT114" t="e">
        <f>AND('STERLING CATALOG - DRY '!H2469,"AAAAAG59f2E=")</f>
        <v>#VALUE!</v>
      </c>
      <c r="CU114" t="e">
        <f>AND('STERLING CATALOG - DRY '!I2469,"AAAAAG59f2I=")</f>
        <v>#VALUE!</v>
      </c>
      <c r="CV114" t="e">
        <f>AND('STERLING CATALOG - DRY '!J2469,"AAAAAG59f2M=")</f>
        <v>#VALUE!</v>
      </c>
      <c r="CW114">
        <f>IF('STERLING CATALOG - DRY '!2470:2470,"AAAAAG59f2Q=",0)</f>
        <v>0</v>
      </c>
      <c r="CX114" t="e">
        <f>AND('STERLING CATALOG - DRY '!A2470,"AAAAAG59f2U=")</f>
        <v>#VALUE!</v>
      </c>
      <c r="CY114" t="e">
        <f>AND('STERLING CATALOG - DRY '!B2470,"AAAAAG59f2Y=")</f>
        <v>#VALUE!</v>
      </c>
      <c r="CZ114" t="e">
        <f>AND('STERLING CATALOG - DRY '!C2470,"AAAAAG59f2c=")</f>
        <v>#VALUE!</v>
      </c>
      <c r="DA114" t="e">
        <f>AND('STERLING CATALOG - DRY '!D2470,"AAAAAG59f2g=")</f>
        <v>#VALUE!</v>
      </c>
      <c r="DB114" t="e">
        <f>AND('STERLING CATALOG - DRY '!E2470,"AAAAAG59f2k=")</f>
        <v>#VALUE!</v>
      </c>
      <c r="DC114" t="e">
        <f>AND('STERLING CATALOG - DRY '!F2470,"AAAAAG59f2o=")</f>
        <v>#VALUE!</v>
      </c>
      <c r="DD114" t="e">
        <f>AND('STERLING CATALOG - DRY '!G2470,"AAAAAG59f2s=")</f>
        <v>#VALUE!</v>
      </c>
      <c r="DE114" t="e">
        <f>AND('STERLING CATALOG - DRY '!H2470,"AAAAAG59f2w=")</f>
        <v>#VALUE!</v>
      </c>
      <c r="DF114" t="e">
        <f>AND('STERLING CATALOG - DRY '!I2470,"AAAAAG59f20=")</f>
        <v>#VALUE!</v>
      </c>
      <c r="DG114" t="e">
        <f>AND('STERLING CATALOG - DRY '!J2470,"AAAAAG59f24=")</f>
        <v>#VALUE!</v>
      </c>
      <c r="DH114">
        <f>IF('STERLING CATALOG - DRY '!2471:2471,"AAAAAG59f28=",0)</f>
        <v>0</v>
      </c>
      <c r="DI114" t="e">
        <f>AND('STERLING CATALOG - DRY '!A2471,"AAAAAG59f3A=")</f>
        <v>#VALUE!</v>
      </c>
      <c r="DJ114" t="e">
        <f>AND('STERLING CATALOG - DRY '!B2471,"AAAAAG59f3E=")</f>
        <v>#VALUE!</v>
      </c>
      <c r="DK114" t="e">
        <f>AND('STERLING CATALOG - DRY '!C2471,"AAAAAG59f3I=")</f>
        <v>#VALUE!</v>
      </c>
      <c r="DL114" t="e">
        <f>AND('STERLING CATALOG - DRY '!D2471,"AAAAAG59f3M=")</f>
        <v>#VALUE!</v>
      </c>
      <c r="DM114" t="e">
        <f>AND('STERLING CATALOG - DRY '!E2471,"AAAAAG59f3Q=")</f>
        <v>#VALUE!</v>
      </c>
      <c r="DN114" t="e">
        <f>AND('STERLING CATALOG - DRY '!F2471,"AAAAAG59f3U=")</f>
        <v>#VALUE!</v>
      </c>
      <c r="DO114" t="e">
        <f>AND('STERLING CATALOG - DRY '!G2471,"AAAAAG59f3Y=")</f>
        <v>#VALUE!</v>
      </c>
      <c r="DP114" t="e">
        <f>AND('STERLING CATALOG - DRY '!H2471,"AAAAAG59f3c=")</f>
        <v>#VALUE!</v>
      </c>
      <c r="DQ114" t="e">
        <f>AND('STERLING CATALOG - DRY '!I2471,"AAAAAG59f3g=")</f>
        <v>#VALUE!</v>
      </c>
      <c r="DR114" t="e">
        <f>AND('STERLING CATALOG - DRY '!J2471,"AAAAAG59f3k=")</f>
        <v>#VALUE!</v>
      </c>
      <c r="DS114">
        <f>IF('STERLING CATALOG - DRY '!2472:2472,"AAAAAG59f3o=",0)</f>
        <v>0</v>
      </c>
      <c r="DT114" t="e">
        <f>AND('STERLING CATALOG - DRY '!A2472,"AAAAAG59f3s=")</f>
        <v>#VALUE!</v>
      </c>
      <c r="DU114" t="e">
        <f>AND('STERLING CATALOG - DRY '!B2472,"AAAAAG59f3w=")</f>
        <v>#VALUE!</v>
      </c>
      <c r="DV114" t="e">
        <f>AND('STERLING CATALOG - DRY '!C2472,"AAAAAG59f30=")</f>
        <v>#VALUE!</v>
      </c>
      <c r="DW114" t="e">
        <f>AND('STERLING CATALOG - DRY '!D2472,"AAAAAG59f34=")</f>
        <v>#VALUE!</v>
      </c>
      <c r="DX114" t="e">
        <f>AND('STERLING CATALOG - DRY '!E2472,"AAAAAG59f38=")</f>
        <v>#VALUE!</v>
      </c>
      <c r="DY114" t="e">
        <f>AND('STERLING CATALOG - DRY '!F2472,"AAAAAG59f4A=")</f>
        <v>#VALUE!</v>
      </c>
      <c r="DZ114" t="e">
        <f>AND('STERLING CATALOG - DRY '!G2472,"AAAAAG59f4E=")</f>
        <v>#VALUE!</v>
      </c>
      <c r="EA114" t="e">
        <f>AND('STERLING CATALOG - DRY '!H2472,"AAAAAG59f4I=")</f>
        <v>#VALUE!</v>
      </c>
      <c r="EB114" t="e">
        <f>AND('STERLING CATALOG - DRY '!I2472,"AAAAAG59f4M=")</f>
        <v>#VALUE!</v>
      </c>
      <c r="EC114" t="e">
        <f>AND('STERLING CATALOG - DRY '!J2472,"AAAAAG59f4Q=")</f>
        <v>#VALUE!</v>
      </c>
      <c r="ED114">
        <f>IF('STERLING CATALOG - DRY '!2473:2473,"AAAAAG59f4U=",0)</f>
        <v>0</v>
      </c>
      <c r="EE114" t="e">
        <f>AND('STERLING CATALOG - DRY '!A2473,"AAAAAG59f4Y=")</f>
        <v>#VALUE!</v>
      </c>
      <c r="EF114" t="e">
        <f>AND('STERLING CATALOG - DRY '!B2473,"AAAAAG59f4c=")</f>
        <v>#VALUE!</v>
      </c>
      <c r="EG114" t="e">
        <f>AND('STERLING CATALOG - DRY '!C2473,"AAAAAG59f4g=")</f>
        <v>#VALUE!</v>
      </c>
      <c r="EH114" t="e">
        <f>AND('STERLING CATALOG - DRY '!D2473,"AAAAAG59f4k=")</f>
        <v>#VALUE!</v>
      </c>
      <c r="EI114" t="e">
        <f>AND('STERLING CATALOG - DRY '!E2473,"AAAAAG59f4o=")</f>
        <v>#VALUE!</v>
      </c>
      <c r="EJ114" t="e">
        <f>AND('STERLING CATALOG - DRY '!F2473,"AAAAAG59f4s=")</f>
        <v>#VALUE!</v>
      </c>
      <c r="EK114" t="e">
        <f>AND('STERLING CATALOG - DRY '!G2473,"AAAAAG59f4w=")</f>
        <v>#VALUE!</v>
      </c>
      <c r="EL114" t="e">
        <f>AND('STERLING CATALOG - DRY '!H2473,"AAAAAG59f40=")</f>
        <v>#VALUE!</v>
      </c>
      <c r="EM114" t="e">
        <f>AND('STERLING CATALOG - DRY '!I2473,"AAAAAG59f44=")</f>
        <v>#VALUE!</v>
      </c>
      <c r="EN114" t="e">
        <f>AND('STERLING CATALOG - DRY '!J2473,"AAAAAG59f48=")</f>
        <v>#VALUE!</v>
      </c>
      <c r="EO114">
        <f>IF('STERLING CATALOG - DRY '!2474:2474,"AAAAAG59f5A=",0)</f>
        <v>0</v>
      </c>
      <c r="EP114" t="e">
        <f>AND('STERLING CATALOG - DRY '!A2474,"AAAAAG59f5E=")</f>
        <v>#VALUE!</v>
      </c>
      <c r="EQ114" t="e">
        <f>AND('STERLING CATALOG - DRY '!B2474,"AAAAAG59f5I=")</f>
        <v>#VALUE!</v>
      </c>
      <c r="ER114" t="e">
        <f>AND('STERLING CATALOG - DRY '!C2474,"AAAAAG59f5M=")</f>
        <v>#VALUE!</v>
      </c>
      <c r="ES114" t="e">
        <f>AND('STERLING CATALOG - DRY '!D2474,"AAAAAG59f5Q=")</f>
        <v>#VALUE!</v>
      </c>
      <c r="ET114" t="e">
        <f>AND('STERLING CATALOG - DRY '!E2474,"AAAAAG59f5U=")</f>
        <v>#VALUE!</v>
      </c>
      <c r="EU114" t="e">
        <f>AND('STERLING CATALOG - DRY '!F2474,"AAAAAG59f5Y=")</f>
        <v>#VALUE!</v>
      </c>
      <c r="EV114" t="e">
        <f>AND('STERLING CATALOG - DRY '!G2474,"AAAAAG59f5c=")</f>
        <v>#VALUE!</v>
      </c>
      <c r="EW114" t="e">
        <f>AND('STERLING CATALOG - DRY '!H2474,"AAAAAG59f5g=")</f>
        <v>#VALUE!</v>
      </c>
      <c r="EX114" t="e">
        <f>AND('STERLING CATALOG - DRY '!I2474,"AAAAAG59f5k=")</f>
        <v>#VALUE!</v>
      </c>
      <c r="EY114" t="e">
        <f>AND('STERLING CATALOG - DRY '!J2474,"AAAAAG59f5o=")</f>
        <v>#VALUE!</v>
      </c>
      <c r="EZ114">
        <f>IF('STERLING CATALOG - DRY '!2475:2475,"AAAAAG59f5s=",0)</f>
        <v>0</v>
      </c>
      <c r="FA114" t="e">
        <f>AND('STERLING CATALOG - DRY '!A2475,"AAAAAG59f5w=")</f>
        <v>#VALUE!</v>
      </c>
      <c r="FB114" t="e">
        <f>AND('STERLING CATALOG - DRY '!B2475,"AAAAAG59f50=")</f>
        <v>#VALUE!</v>
      </c>
      <c r="FC114" t="e">
        <f>AND('STERLING CATALOG - DRY '!C2475,"AAAAAG59f54=")</f>
        <v>#VALUE!</v>
      </c>
      <c r="FD114" t="e">
        <f>AND('STERLING CATALOG - DRY '!D2475,"AAAAAG59f58=")</f>
        <v>#VALUE!</v>
      </c>
      <c r="FE114" t="e">
        <f>AND('STERLING CATALOG - DRY '!E2475,"AAAAAG59f6A=")</f>
        <v>#VALUE!</v>
      </c>
      <c r="FF114" t="e">
        <f>AND('STERLING CATALOG - DRY '!F2475,"AAAAAG59f6E=")</f>
        <v>#VALUE!</v>
      </c>
      <c r="FG114" t="e">
        <f>AND('STERLING CATALOG - DRY '!G2475,"AAAAAG59f6I=")</f>
        <v>#VALUE!</v>
      </c>
      <c r="FH114" t="e">
        <f>AND('STERLING CATALOG - DRY '!H2475,"AAAAAG59f6M=")</f>
        <v>#VALUE!</v>
      </c>
      <c r="FI114" t="e">
        <f>AND('STERLING CATALOG - DRY '!I2475,"AAAAAG59f6Q=")</f>
        <v>#VALUE!</v>
      </c>
      <c r="FJ114" t="e">
        <f>AND('STERLING CATALOG - DRY '!J2475,"AAAAAG59f6U=")</f>
        <v>#VALUE!</v>
      </c>
      <c r="FK114">
        <f>IF('STERLING CATALOG - DRY '!2476:2476,"AAAAAG59f6Y=",0)</f>
        <v>0</v>
      </c>
      <c r="FL114" t="e">
        <f>AND('STERLING CATALOG - DRY '!A2476,"AAAAAG59f6c=")</f>
        <v>#VALUE!</v>
      </c>
      <c r="FM114" t="e">
        <f>AND('STERLING CATALOG - DRY '!B2476,"AAAAAG59f6g=")</f>
        <v>#VALUE!</v>
      </c>
      <c r="FN114" t="e">
        <f>AND('STERLING CATALOG - DRY '!C2476,"AAAAAG59f6k=")</f>
        <v>#VALUE!</v>
      </c>
      <c r="FO114" t="e">
        <f>AND('STERLING CATALOG - DRY '!D2476,"AAAAAG59f6o=")</f>
        <v>#VALUE!</v>
      </c>
      <c r="FP114" t="e">
        <f>AND('STERLING CATALOG - DRY '!E2476,"AAAAAG59f6s=")</f>
        <v>#VALUE!</v>
      </c>
      <c r="FQ114" t="e">
        <f>AND('STERLING CATALOG - DRY '!F2476,"AAAAAG59f6w=")</f>
        <v>#VALUE!</v>
      </c>
      <c r="FR114" t="e">
        <f>AND('STERLING CATALOG - DRY '!G2476,"AAAAAG59f60=")</f>
        <v>#VALUE!</v>
      </c>
      <c r="FS114" t="e">
        <f>AND('STERLING CATALOG - DRY '!H2476,"AAAAAG59f64=")</f>
        <v>#VALUE!</v>
      </c>
      <c r="FT114" t="e">
        <f>AND('STERLING CATALOG - DRY '!I2476,"AAAAAG59f68=")</f>
        <v>#VALUE!</v>
      </c>
      <c r="FU114" t="e">
        <f>AND('STERLING CATALOG - DRY '!J2476,"AAAAAG59f7A=")</f>
        <v>#VALUE!</v>
      </c>
      <c r="FV114">
        <f>IF('STERLING CATALOG - DRY '!2477:2477,"AAAAAG59f7E=",0)</f>
        <v>0</v>
      </c>
      <c r="FW114" t="e">
        <f>AND('STERLING CATALOG - DRY '!A2477,"AAAAAG59f7I=")</f>
        <v>#VALUE!</v>
      </c>
      <c r="FX114" t="e">
        <f>AND('STERLING CATALOG - DRY '!B2477,"AAAAAG59f7M=")</f>
        <v>#VALUE!</v>
      </c>
      <c r="FY114" t="e">
        <f>AND('STERLING CATALOG - DRY '!C2477,"AAAAAG59f7Q=")</f>
        <v>#VALUE!</v>
      </c>
      <c r="FZ114" t="e">
        <f>AND('STERLING CATALOG - DRY '!D2477,"AAAAAG59f7U=")</f>
        <v>#VALUE!</v>
      </c>
      <c r="GA114" t="e">
        <f>AND('STERLING CATALOG - DRY '!E2477,"AAAAAG59f7Y=")</f>
        <v>#VALUE!</v>
      </c>
      <c r="GB114" t="e">
        <f>AND('STERLING CATALOG - DRY '!F2477,"AAAAAG59f7c=")</f>
        <v>#VALUE!</v>
      </c>
      <c r="GC114" t="e">
        <f>AND('STERLING CATALOG - DRY '!G2477,"AAAAAG59f7g=")</f>
        <v>#VALUE!</v>
      </c>
      <c r="GD114" t="e">
        <f>AND('STERLING CATALOG - DRY '!H2477,"AAAAAG59f7k=")</f>
        <v>#VALUE!</v>
      </c>
      <c r="GE114" t="e">
        <f>AND('STERLING CATALOG - DRY '!I2477,"AAAAAG59f7o=")</f>
        <v>#VALUE!</v>
      </c>
      <c r="GF114" t="e">
        <f>AND('STERLING CATALOG - DRY '!J2477,"AAAAAG59f7s=")</f>
        <v>#VALUE!</v>
      </c>
      <c r="GG114">
        <f>IF('STERLING CATALOG - DRY '!2478:2478,"AAAAAG59f7w=",0)</f>
        <v>0</v>
      </c>
      <c r="GH114" t="e">
        <f>AND('STERLING CATALOG - DRY '!A2478,"AAAAAG59f70=")</f>
        <v>#VALUE!</v>
      </c>
      <c r="GI114" t="e">
        <f>AND('STERLING CATALOG - DRY '!B2478,"AAAAAG59f74=")</f>
        <v>#VALUE!</v>
      </c>
      <c r="GJ114" t="e">
        <f>AND('STERLING CATALOG - DRY '!C2478,"AAAAAG59f78=")</f>
        <v>#VALUE!</v>
      </c>
      <c r="GK114" t="e">
        <f>AND('STERLING CATALOG - DRY '!D2478,"AAAAAG59f8A=")</f>
        <v>#VALUE!</v>
      </c>
      <c r="GL114" t="e">
        <f>AND('STERLING CATALOG - DRY '!E2478,"AAAAAG59f8E=")</f>
        <v>#VALUE!</v>
      </c>
      <c r="GM114" t="e">
        <f>AND('STERLING CATALOG - DRY '!F2478,"AAAAAG59f8I=")</f>
        <v>#VALUE!</v>
      </c>
      <c r="GN114" t="e">
        <f>AND('STERLING CATALOG - DRY '!G2478,"AAAAAG59f8M=")</f>
        <v>#VALUE!</v>
      </c>
      <c r="GO114" t="e">
        <f>AND('STERLING CATALOG - DRY '!H2478,"AAAAAG59f8Q=")</f>
        <v>#VALUE!</v>
      </c>
      <c r="GP114" t="e">
        <f>AND('STERLING CATALOG - DRY '!I2478,"AAAAAG59f8U=")</f>
        <v>#VALUE!</v>
      </c>
      <c r="GQ114" t="e">
        <f>AND('STERLING CATALOG - DRY '!J2478,"AAAAAG59f8Y=")</f>
        <v>#VALUE!</v>
      </c>
      <c r="GR114">
        <f>IF('STERLING CATALOG - DRY '!2479:2479,"AAAAAG59f8c=",0)</f>
        <v>0</v>
      </c>
      <c r="GS114" t="e">
        <f>AND('STERLING CATALOG - DRY '!A2479,"AAAAAG59f8g=")</f>
        <v>#VALUE!</v>
      </c>
      <c r="GT114" t="e">
        <f>AND('STERLING CATALOG - DRY '!B2479,"AAAAAG59f8k=")</f>
        <v>#VALUE!</v>
      </c>
      <c r="GU114" t="e">
        <f>AND('STERLING CATALOG - DRY '!C2479,"AAAAAG59f8o=")</f>
        <v>#VALUE!</v>
      </c>
      <c r="GV114" t="e">
        <f>AND('STERLING CATALOG - DRY '!D2479,"AAAAAG59f8s=")</f>
        <v>#VALUE!</v>
      </c>
      <c r="GW114" t="e">
        <f>AND('STERLING CATALOG - DRY '!E2479,"AAAAAG59f8w=")</f>
        <v>#VALUE!</v>
      </c>
      <c r="GX114" t="e">
        <f>AND('STERLING CATALOG - DRY '!F2479,"AAAAAG59f80=")</f>
        <v>#VALUE!</v>
      </c>
      <c r="GY114" t="e">
        <f>AND('STERLING CATALOG - DRY '!G2479,"AAAAAG59f84=")</f>
        <v>#VALUE!</v>
      </c>
      <c r="GZ114" t="e">
        <f>AND('STERLING CATALOG - DRY '!H2479,"AAAAAG59f88=")</f>
        <v>#VALUE!</v>
      </c>
      <c r="HA114" t="e">
        <f>AND('STERLING CATALOG - DRY '!I2479,"AAAAAG59f9A=")</f>
        <v>#VALUE!</v>
      </c>
      <c r="HB114" t="e">
        <f>AND('STERLING CATALOG - DRY '!J2479,"AAAAAG59f9E=")</f>
        <v>#VALUE!</v>
      </c>
      <c r="HC114">
        <f>IF('STERLING CATALOG - DRY '!2480:2480,"AAAAAG59f9I=",0)</f>
        <v>0</v>
      </c>
      <c r="HD114" t="e">
        <f>AND('STERLING CATALOG - DRY '!A2480,"AAAAAG59f9M=")</f>
        <v>#VALUE!</v>
      </c>
      <c r="HE114" t="e">
        <f>AND('STERLING CATALOG - DRY '!B2480,"AAAAAG59f9Q=")</f>
        <v>#VALUE!</v>
      </c>
      <c r="HF114" t="e">
        <f>AND('STERLING CATALOG - DRY '!C2480,"AAAAAG59f9U=")</f>
        <v>#VALUE!</v>
      </c>
      <c r="HG114" t="e">
        <f>AND('STERLING CATALOG - DRY '!D2480,"AAAAAG59f9Y=")</f>
        <v>#VALUE!</v>
      </c>
      <c r="HH114" t="e">
        <f>AND('STERLING CATALOG - DRY '!E2480,"AAAAAG59f9c=")</f>
        <v>#VALUE!</v>
      </c>
      <c r="HI114" t="e">
        <f>AND('STERLING CATALOG - DRY '!F2480,"AAAAAG59f9g=")</f>
        <v>#VALUE!</v>
      </c>
      <c r="HJ114" t="e">
        <f>AND('STERLING CATALOG - DRY '!G2480,"AAAAAG59f9k=")</f>
        <v>#VALUE!</v>
      </c>
      <c r="HK114" t="e">
        <f>AND('STERLING CATALOG - DRY '!H2480,"AAAAAG59f9o=")</f>
        <v>#VALUE!</v>
      </c>
      <c r="HL114" t="e">
        <f>AND('STERLING CATALOG - DRY '!I2480,"AAAAAG59f9s=")</f>
        <v>#VALUE!</v>
      </c>
      <c r="HM114" t="e">
        <f>AND('STERLING CATALOG - DRY '!J2480,"AAAAAG59f9w=")</f>
        <v>#VALUE!</v>
      </c>
      <c r="HN114">
        <f>IF('STERLING CATALOG - DRY '!2481:2481,"AAAAAG59f90=",0)</f>
        <v>0</v>
      </c>
      <c r="HO114" t="e">
        <f>AND('STERLING CATALOG - DRY '!A2481,"AAAAAG59f94=")</f>
        <v>#VALUE!</v>
      </c>
      <c r="HP114" t="e">
        <f>AND('STERLING CATALOG - DRY '!B2481,"AAAAAG59f98=")</f>
        <v>#VALUE!</v>
      </c>
      <c r="HQ114" t="e">
        <f>AND('STERLING CATALOG - DRY '!C2481,"AAAAAG59f+A=")</f>
        <v>#VALUE!</v>
      </c>
      <c r="HR114" t="e">
        <f>AND('STERLING CATALOG - DRY '!D2481,"AAAAAG59f+E=")</f>
        <v>#VALUE!</v>
      </c>
      <c r="HS114" t="e">
        <f>AND('STERLING CATALOG - DRY '!E2481,"AAAAAG59f+I=")</f>
        <v>#VALUE!</v>
      </c>
      <c r="HT114" t="e">
        <f>AND('STERLING CATALOG - DRY '!F2481,"AAAAAG59f+M=")</f>
        <v>#VALUE!</v>
      </c>
      <c r="HU114" t="e">
        <f>AND('STERLING CATALOG - DRY '!G2481,"AAAAAG59f+Q=")</f>
        <v>#VALUE!</v>
      </c>
      <c r="HV114" t="e">
        <f>AND('STERLING CATALOG - DRY '!H2481,"AAAAAG59f+U=")</f>
        <v>#VALUE!</v>
      </c>
      <c r="HW114" t="e">
        <f>AND('STERLING CATALOG - DRY '!I2481,"AAAAAG59f+Y=")</f>
        <v>#VALUE!</v>
      </c>
      <c r="HX114" t="e">
        <f>AND('STERLING CATALOG - DRY '!J2481,"AAAAAG59f+c=")</f>
        <v>#VALUE!</v>
      </c>
      <c r="HY114">
        <f>IF('STERLING CATALOG - DRY '!2482:2482,"AAAAAG59f+g=",0)</f>
        <v>0</v>
      </c>
      <c r="HZ114" t="e">
        <f>AND('STERLING CATALOG - DRY '!A2482,"AAAAAG59f+k=")</f>
        <v>#VALUE!</v>
      </c>
      <c r="IA114" t="e">
        <f>AND('STERLING CATALOG - DRY '!B2482,"AAAAAG59f+o=")</f>
        <v>#VALUE!</v>
      </c>
      <c r="IB114" t="e">
        <f>AND('STERLING CATALOG - DRY '!C2482,"AAAAAG59f+s=")</f>
        <v>#VALUE!</v>
      </c>
      <c r="IC114" t="e">
        <f>AND('STERLING CATALOG - DRY '!D2482,"AAAAAG59f+w=")</f>
        <v>#VALUE!</v>
      </c>
      <c r="ID114" t="e">
        <f>AND('STERLING CATALOG - DRY '!E2482,"AAAAAG59f+0=")</f>
        <v>#VALUE!</v>
      </c>
      <c r="IE114" t="e">
        <f>AND('STERLING CATALOG - DRY '!F2482,"AAAAAG59f+4=")</f>
        <v>#VALUE!</v>
      </c>
      <c r="IF114" t="e">
        <f>AND('STERLING CATALOG - DRY '!G2482,"AAAAAG59f+8=")</f>
        <v>#VALUE!</v>
      </c>
      <c r="IG114" t="e">
        <f>AND('STERLING CATALOG - DRY '!H2482,"AAAAAG59f/A=")</f>
        <v>#VALUE!</v>
      </c>
      <c r="IH114" t="e">
        <f>AND('STERLING CATALOG - DRY '!I2482,"AAAAAG59f/E=")</f>
        <v>#VALUE!</v>
      </c>
      <c r="II114" t="e">
        <f>AND('STERLING CATALOG - DRY '!J2482,"AAAAAG59f/I=")</f>
        <v>#VALUE!</v>
      </c>
      <c r="IJ114">
        <f>IF('STERLING CATALOG - DRY '!2483:2483,"AAAAAG59f/M=",0)</f>
        <v>0</v>
      </c>
      <c r="IK114" t="e">
        <f>AND('STERLING CATALOG - DRY '!A2483,"AAAAAG59f/Q=")</f>
        <v>#VALUE!</v>
      </c>
      <c r="IL114" t="e">
        <f>AND('STERLING CATALOG - DRY '!B2483,"AAAAAG59f/U=")</f>
        <v>#VALUE!</v>
      </c>
      <c r="IM114" t="e">
        <f>AND('STERLING CATALOG - DRY '!C2483,"AAAAAG59f/Y=")</f>
        <v>#VALUE!</v>
      </c>
      <c r="IN114" t="e">
        <f>AND('STERLING CATALOG - DRY '!D2483,"AAAAAG59f/c=")</f>
        <v>#VALUE!</v>
      </c>
      <c r="IO114" t="e">
        <f>AND('STERLING CATALOG - DRY '!E2483,"AAAAAG59f/g=")</f>
        <v>#VALUE!</v>
      </c>
      <c r="IP114" t="e">
        <f>AND('STERLING CATALOG - DRY '!F2483,"AAAAAG59f/k=")</f>
        <v>#VALUE!</v>
      </c>
      <c r="IQ114" t="e">
        <f>AND('STERLING CATALOG - DRY '!G2483,"AAAAAG59f/o=")</f>
        <v>#VALUE!</v>
      </c>
      <c r="IR114" t="e">
        <f>AND('STERLING CATALOG - DRY '!H2483,"AAAAAG59f/s=")</f>
        <v>#VALUE!</v>
      </c>
      <c r="IS114" t="e">
        <f>AND('STERLING CATALOG - DRY '!I2483,"AAAAAG59f/w=")</f>
        <v>#VALUE!</v>
      </c>
      <c r="IT114" t="e">
        <f>AND('STERLING CATALOG - DRY '!J2483,"AAAAAG59f/0=")</f>
        <v>#VALUE!</v>
      </c>
      <c r="IU114">
        <f>IF('STERLING CATALOG - DRY '!2484:2484,"AAAAAG59f/4=",0)</f>
        <v>0</v>
      </c>
      <c r="IV114" t="e">
        <f>AND('STERLING CATALOG - DRY '!A2484,"AAAAAG59f/8=")</f>
        <v>#VALUE!</v>
      </c>
    </row>
    <row r="115" spans="1:256">
      <c r="A115" t="e">
        <f>AND('STERLING CATALOG - DRY '!B2484,"AAAAAHPX/wA=")</f>
        <v>#VALUE!</v>
      </c>
      <c r="B115" t="e">
        <f>AND('STERLING CATALOG - DRY '!C2484,"AAAAAHPX/wE=")</f>
        <v>#VALUE!</v>
      </c>
      <c r="C115" t="e">
        <f>AND('STERLING CATALOG - DRY '!D2484,"AAAAAHPX/wI=")</f>
        <v>#VALUE!</v>
      </c>
      <c r="D115" t="e">
        <f>AND('STERLING CATALOG - DRY '!E2484,"AAAAAHPX/wM=")</f>
        <v>#VALUE!</v>
      </c>
      <c r="E115" t="e">
        <f>AND('STERLING CATALOG - DRY '!F2484,"AAAAAHPX/wQ=")</f>
        <v>#VALUE!</v>
      </c>
      <c r="F115" t="e">
        <f>AND('STERLING CATALOG - DRY '!G2484,"AAAAAHPX/wU=")</f>
        <v>#VALUE!</v>
      </c>
      <c r="G115" t="e">
        <f>AND('STERLING CATALOG - DRY '!H2484,"AAAAAHPX/wY=")</f>
        <v>#VALUE!</v>
      </c>
      <c r="H115" t="e">
        <f>AND('STERLING CATALOG - DRY '!I2484,"AAAAAHPX/wc=")</f>
        <v>#VALUE!</v>
      </c>
      <c r="I115" t="e">
        <f>AND('STERLING CATALOG - DRY '!J2484,"AAAAAHPX/wg=")</f>
        <v>#VALUE!</v>
      </c>
      <c r="J115" t="e">
        <f>IF('STERLING CATALOG - DRY '!2485:2485,"AAAAAHPX/wk=",0)</f>
        <v>#VALUE!</v>
      </c>
      <c r="K115" t="e">
        <f>AND('STERLING CATALOG - DRY '!A2485,"AAAAAHPX/wo=")</f>
        <v>#VALUE!</v>
      </c>
      <c r="L115" t="e">
        <f>AND('STERLING CATALOG - DRY '!B2485,"AAAAAHPX/ws=")</f>
        <v>#VALUE!</v>
      </c>
      <c r="M115" t="e">
        <f>AND('STERLING CATALOG - DRY '!C2485,"AAAAAHPX/ww=")</f>
        <v>#VALUE!</v>
      </c>
      <c r="N115" t="e">
        <f>AND('STERLING CATALOG - DRY '!D2485,"AAAAAHPX/w0=")</f>
        <v>#VALUE!</v>
      </c>
      <c r="O115" t="e">
        <f>AND('STERLING CATALOG - DRY '!E2485,"AAAAAHPX/w4=")</f>
        <v>#VALUE!</v>
      </c>
      <c r="P115" t="e">
        <f>AND('STERLING CATALOG - DRY '!F2485,"AAAAAHPX/w8=")</f>
        <v>#VALUE!</v>
      </c>
      <c r="Q115" t="e">
        <f>AND('STERLING CATALOG - DRY '!G2485,"AAAAAHPX/xA=")</f>
        <v>#VALUE!</v>
      </c>
      <c r="R115" t="e">
        <f>AND('STERLING CATALOG - DRY '!H2485,"AAAAAHPX/xE=")</f>
        <v>#VALUE!</v>
      </c>
      <c r="S115" t="e">
        <f>AND('STERLING CATALOG - DRY '!I2485,"AAAAAHPX/xI=")</f>
        <v>#VALUE!</v>
      </c>
      <c r="T115" t="e">
        <f>AND('STERLING CATALOG - DRY '!J2485,"AAAAAHPX/xM=")</f>
        <v>#VALUE!</v>
      </c>
      <c r="U115">
        <f>IF('STERLING CATALOG - DRY '!2486:2486,"AAAAAHPX/xQ=",0)</f>
        <v>0</v>
      </c>
      <c r="V115" t="e">
        <f>AND('STERLING CATALOG - DRY '!A2486,"AAAAAHPX/xU=")</f>
        <v>#VALUE!</v>
      </c>
      <c r="W115" t="e">
        <f>AND('STERLING CATALOG - DRY '!B2486,"AAAAAHPX/xY=")</f>
        <v>#VALUE!</v>
      </c>
      <c r="X115" t="e">
        <f>AND('STERLING CATALOG - DRY '!C2486,"AAAAAHPX/xc=")</f>
        <v>#VALUE!</v>
      </c>
      <c r="Y115" t="e">
        <f>AND('STERLING CATALOG - DRY '!D2486,"AAAAAHPX/xg=")</f>
        <v>#VALUE!</v>
      </c>
      <c r="Z115" t="e">
        <f>AND('STERLING CATALOG - DRY '!E2486,"AAAAAHPX/xk=")</f>
        <v>#VALUE!</v>
      </c>
      <c r="AA115" t="e">
        <f>AND('STERLING CATALOG - DRY '!F2486,"AAAAAHPX/xo=")</f>
        <v>#VALUE!</v>
      </c>
      <c r="AB115" t="e">
        <f>AND('STERLING CATALOG - DRY '!G2486,"AAAAAHPX/xs=")</f>
        <v>#VALUE!</v>
      </c>
      <c r="AC115" t="e">
        <f>AND('STERLING CATALOG - DRY '!H2486,"AAAAAHPX/xw=")</f>
        <v>#VALUE!</v>
      </c>
      <c r="AD115" t="e">
        <f>AND('STERLING CATALOG - DRY '!I2486,"AAAAAHPX/x0=")</f>
        <v>#VALUE!</v>
      </c>
      <c r="AE115" t="e">
        <f>AND('STERLING CATALOG - DRY '!J2486,"AAAAAHPX/x4=")</f>
        <v>#VALUE!</v>
      </c>
      <c r="AF115">
        <f>IF('STERLING CATALOG - DRY '!2487:2487,"AAAAAHPX/x8=",0)</f>
        <v>0</v>
      </c>
      <c r="AG115" t="e">
        <f>AND('STERLING CATALOG - DRY '!A2487,"AAAAAHPX/yA=")</f>
        <v>#VALUE!</v>
      </c>
      <c r="AH115" t="e">
        <f>AND('STERLING CATALOG - DRY '!B2487,"AAAAAHPX/yE=")</f>
        <v>#VALUE!</v>
      </c>
      <c r="AI115" t="e">
        <f>AND('STERLING CATALOG - DRY '!C2487,"AAAAAHPX/yI=")</f>
        <v>#VALUE!</v>
      </c>
      <c r="AJ115" t="e">
        <f>AND('STERLING CATALOG - DRY '!D2487,"AAAAAHPX/yM=")</f>
        <v>#VALUE!</v>
      </c>
      <c r="AK115" t="e">
        <f>AND('STERLING CATALOG - DRY '!E2487,"AAAAAHPX/yQ=")</f>
        <v>#VALUE!</v>
      </c>
      <c r="AL115" t="e">
        <f>AND('STERLING CATALOG - DRY '!F2487,"AAAAAHPX/yU=")</f>
        <v>#VALUE!</v>
      </c>
      <c r="AM115" t="e">
        <f>AND('STERLING CATALOG - DRY '!G2487,"AAAAAHPX/yY=")</f>
        <v>#VALUE!</v>
      </c>
      <c r="AN115" t="e">
        <f>AND('STERLING CATALOG - DRY '!H2487,"AAAAAHPX/yc=")</f>
        <v>#VALUE!</v>
      </c>
      <c r="AO115" t="e">
        <f>AND('STERLING CATALOG - DRY '!I2487,"AAAAAHPX/yg=")</f>
        <v>#VALUE!</v>
      </c>
      <c r="AP115" t="e">
        <f>AND('STERLING CATALOG - DRY '!J2487,"AAAAAHPX/yk=")</f>
        <v>#VALUE!</v>
      </c>
      <c r="AQ115">
        <f>IF('STERLING CATALOG - DRY '!2488:2488,"AAAAAHPX/yo=",0)</f>
        <v>0</v>
      </c>
      <c r="AR115" t="e">
        <f>AND('STERLING CATALOG - DRY '!A2488,"AAAAAHPX/ys=")</f>
        <v>#VALUE!</v>
      </c>
      <c r="AS115" t="e">
        <f>AND('STERLING CATALOG - DRY '!B2488,"AAAAAHPX/yw=")</f>
        <v>#VALUE!</v>
      </c>
      <c r="AT115" t="e">
        <f>AND('STERLING CATALOG - DRY '!C2488,"AAAAAHPX/y0=")</f>
        <v>#VALUE!</v>
      </c>
      <c r="AU115" t="e">
        <f>AND('STERLING CATALOG - DRY '!D2488,"AAAAAHPX/y4=")</f>
        <v>#VALUE!</v>
      </c>
      <c r="AV115" t="e">
        <f>AND('STERLING CATALOG - DRY '!E2488,"AAAAAHPX/y8=")</f>
        <v>#VALUE!</v>
      </c>
      <c r="AW115" t="e">
        <f>AND('STERLING CATALOG - DRY '!F2488,"AAAAAHPX/zA=")</f>
        <v>#VALUE!</v>
      </c>
      <c r="AX115" t="e">
        <f>AND('STERLING CATALOG - DRY '!G2488,"AAAAAHPX/zE=")</f>
        <v>#VALUE!</v>
      </c>
      <c r="AY115" t="e">
        <f>AND('STERLING CATALOG - DRY '!H2488,"AAAAAHPX/zI=")</f>
        <v>#VALUE!</v>
      </c>
      <c r="AZ115" t="e">
        <f>AND('STERLING CATALOG - DRY '!I2488,"AAAAAHPX/zM=")</f>
        <v>#VALUE!</v>
      </c>
      <c r="BA115" t="e">
        <f>AND('STERLING CATALOG - DRY '!J2488,"AAAAAHPX/zQ=")</f>
        <v>#VALUE!</v>
      </c>
      <c r="BB115">
        <f>IF('STERLING CATALOG - DRY '!2489:2489,"AAAAAHPX/zU=",0)</f>
        <v>0</v>
      </c>
      <c r="BC115" t="e">
        <f>AND('STERLING CATALOG - DRY '!A2489,"AAAAAHPX/zY=")</f>
        <v>#VALUE!</v>
      </c>
      <c r="BD115" t="e">
        <f>AND('STERLING CATALOG - DRY '!B2489,"AAAAAHPX/zc=")</f>
        <v>#VALUE!</v>
      </c>
      <c r="BE115" t="e">
        <f>AND('STERLING CATALOG - DRY '!C2489,"AAAAAHPX/zg=")</f>
        <v>#VALUE!</v>
      </c>
      <c r="BF115" t="e">
        <f>AND('STERLING CATALOG - DRY '!D2489,"AAAAAHPX/zk=")</f>
        <v>#VALUE!</v>
      </c>
      <c r="BG115" t="e">
        <f>AND('STERLING CATALOG - DRY '!E2489,"AAAAAHPX/zo=")</f>
        <v>#VALUE!</v>
      </c>
      <c r="BH115" t="e">
        <f>AND('STERLING CATALOG - DRY '!F2489,"AAAAAHPX/zs=")</f>
        <v>#VALUE!</v>
      </c>
      <c r="BI115" t="e">
        <f>AND('STERLING CATALOG - DRY '!G2489,"AAAAAHPX/zw=")</f>
        <v>#VALUE!</v>
      </c>
      <c r="BJ115" t="e">
        <f>AND('STERLING CATALOG - DRY '!H2489,"AAAAAHPX/z0=")</f>
        <v>#VALUE!</v>
      </c>
      <c r="BK115" t="e">
        <f>AND('STERLING CATALOG - DRY '!I2489,"AAAAAHPX/z4=")</f>
        <v>#VALUE!</v>
      </c>
      <c r="BL115" t="e">
        <f>AND('STERLING CATALOG - DRY '!J2489,"AAAAAHPX/z8=")</f>
        <v>#VALUE!</v>
      </c>
      <c r="BM115">
        <f>IF('STERLING CATALOG - DRY '!2490:2490,"AAAAAHPX/0A=",0)</f>
        <v>0</v>
      </c>
      <c r="BN115" t="e">
        <f>AND('STERLING CATALOG - DRY '!A2490,"AAAAAHPX/0E=")</f>
        <v>#VALUE!</v>
      </c>
      <c r="BO115" t="e">
        <f>AND('STERLING CATALOG - DRY '!B2490,"AAAAAHPX/0I=")</f>
        <v>#VALUE!</v>
      </c>
      <c r="BP115" t="e">
        <f>AND('STERLING CATALOG - DRY '!C2490,"AAAAAHPX/0M=")</f>
        <v>#VALUE!</v>
      </c>
      <c r="BQ115" t="e">
        <f>AND('STERLING CATALOG - DRY '!D2490,"AAAAAHPX/0Q=")</f>
        <v>#VALUE!</v>
      </c>
      <c r="BR115" t="e">
        <f>AND('STERLING CATALOG - DRY '!E2490,"AAAAAHPX/0U=")</f>
        <v>#VALUE!</v>
      </c>
      <c r="BS115" t="e">
        <f>AND('STERLING CATALOG - DRY '!F2490,"AAAAAHPX/0Y=")</f>
        <v>#VALUE!</v>
      </c>
      <c r="BT115" t="e">
        <f>AND('STERLING CATALOG - DRY '!G2490,"AAAAAHPX/0c=")</f>
        <v>#VALUE!</v>
      </c>
      <c r="BU115" t="e">
        <f>AND('STERLING CATALOG - DRY '!H2490,"AAAAAHPX/0g=")</f>
        <v>#VALUE!</v>
      </c>
      <c r="BV115" t="e">
        <f>AND('STERLING CATALOG - DRY '!I2490,"AAAAAHPX/0k=")</f>
        <v>#VALUE!</v>
      </c>
      <c r="BW115" t="e">
        <f>AND('STERLING CATALOG - DRY '!J2490,"AAAAAHPX/0o=")</f>
        <v>#VALUE!</v>
      </c>
      <c r="BX115">
        <f>IF('STERLING CATALOG - DRY '!2491:2491,"AAAAAHPX/0s=",0)</f>
        <v>0</v>
      </c>
      <c r="BY115" t="e">
        <f>AND('STERLING CATALOG - DRY '!A2491,"AAAAAHPX/0w=")</f>
        <v>#VALUE!</v>
      </c>
      <c r="BZ115" t="e">
        <f>AND('STERLING CATALOG - DRY '!B2491,"AAAAAHPX/00=")</f>
        <v>#VALUE!</v>
      </c>
      <c r="CA115" t="e">
        <f>AND('STERLING CATALOG - DRY '!C2491,"AAAAAHPX/04=")</f>
        <v>#VALUE!</v>
      </c>
      <c r="CB115" t="e">
        <f>AND('STERLING CATALOG - DRY '!D2491,"AAAAAHPX/08=")</f>
        <v>#VALUE!</v>
      </c>
      <c r="CC115" t="e">
        <f>AND('STERLING CATALOG - DRY '!E2491,"AAAAAHPX/1A=")</f>
        <v>#VALUE!</v>
      </c>
      <c r="CD115" t="e">
        <f>AND('STERLING CATALOG - DRY '!F2491,"AAAAAHPX/1E=")</f>
        <v>#VALUE!</v>
      </c>
      <c r="CE115" t="e">
        <f>AND('STERLING CATALOG - DRY '!G2491,"AAAAAHPX/1I=")</f>
        <v>#VALUE!</v>
      </c>
      <c r="CF115" t="e">
        <f>AND('STERLING CATALOG - DRY '!H2491,"AAAAAHPX/1M=")</f>
        <v>#VALUE!</v>
      </c>
      <c r="CG115" t="e">
        <f>AND('STERLING CATALOG - DRY '!I2491,"AAAAAHPX/1Q=")</f>
        <v>#VALUE!</v>
      </c>
      <c r="CH115" t="e">
        <f>AND('STERLING CATALOG - DRY '!J2491,"AAAAAHPX/1U=")</f>
        <v>#VALUE!</v>
      </c>
      <c r="CI115">
        <f>IF('STERLING CATALOG - DRY '!2492:2492,"AAAAAHPX/1Y=",0)</f>
        <v>0</v>
      </c>
      <c r="CJ115" t="e">
        <f>AND('STERLING CATALOG - DRY '!A2492,"AAAAAHPX/1c=")</f>
        <v>#VALUE!</v>
      </c>
      <c r="CK115" t="e">
        <f>AND('STERLING CATALOG - DRY '!B2492,"AAAAAHPX/1g=")</f>
        <v>#VALUE!</v>
      </c>
      <c r="CL115" t="e">
        <f>AND('STERLING CATALOG - DRY '!C2492,"AAAAAHPX/1k=")</f>
        <v>#VALUE!</v>
      </c>
      <c r="CM115" t="e">
        <f>AND('STERLING CATALOG - DRY '!D2492,"AAAAAHPX/1o=")</f>
        <v>#VALUE!</v>
      </c>
      <c r="CN115" t="e">
        <f>AND('STERLING CATALOG - DRY '!E2492,"AAAAAHPX/1s=")</f>
        <v>#VALUE!</v>
      </c>
      <c r="CO115" t="e">
        <f>AND('STERLING CATALOG - DRY '!F2492,"AAAAAHPX/1w=")</f>
        <v>#VALUE!</v>
      </c>
      <c r="CP115" t="e">
        <f>AND('STERLING CATALOG - DRY '!G2492,"AAAAAHPX/10=")</f>
        <v>#VALUE!</v>
      </c>
      <c r="CQ115" t="e">
        <f>AND('STERLING CATALOG - DRY '!H2492,"AAAAAHPX/14=")</f>
        <v>#VALUE!</v>
      </c>
      <c r="CR115" t="e">
        <f>AND('STERLING CATALOG - DRY '!I2492,"AAAAAHPX/18=")</f>
        <v>#VALUE!</v>
      </c>
      <c r="CS115" t="e">
        <f>AND('STERLING CATALOG - DRY '!J2492,"AAAAAHPX/2A=")</f>
        <v>#VALUE!</v>
      </c>
      <c r="CT115">
        <f>IF('STERLING CATALOG - DRY '!2493:2493,"AAAAAHPX/2E=",0)</f>
        <v>0</v>
      </c>
      <c r="CU115" t="e">
        <f>AND('STERLING CATALOG - DRY '!A2493,"AAAAAHPX/2I=")</f>
        <v>#VALUE!</v>
      </c>
      <c r="CV115" t="e">
        <f>AND('STERLING CATALOG - DRY '!B2493,"AAAAAHPX/2M=")</f>
        <v>#VALUE!</v>
      </c>
      <c r="CW115" t="e">
        <f>AND('STERLING CATALOG - DRY '!C2493,"AAAAAHPX/2Q=")</f>
        <v>#VALUE!</v>
      </c>
      <c r="CX115" t="e">
        <f>AND('STERLING CATALOG - DRY '!D2493,"AAAAAHPX/2U=")</f>
        <v>#VALUE!</v>
      </c>
      <c r="CY115" t="e">
        <f>AND('STERLING CATALOG - DRY '!E2493,"AAAAAHPX/2Y=")</f>
        <v>#VALUE!</v>
      </c>
      <c r="CZ115" t="e">
        <f>AND('STERLING CATALOG - DRY '!F2493,"AAAAAHPX/2c=")</f>
        <v>#VALUE!</v>
      </c>
      <c r="DA115" t="e">
        <f>AND('STERLING CATALOG - DRY '!G2493,"AAAAAHPX/2g=")</f>
        <v>#VALUE!</v>
      </c>
      <c r="DB115" t="e">
        <f>AND('STERLING CATALOG - DRY '!H2493,"AAAAAHPX/2k=")</f>
        <v>#VALUE!</v>
      </c>
      <c r="DC115" t="e">
        <f>AND('STERLING CATALOG - DRY '!I2493,"AAAAAHPX/2o=")</f>
        <v>#VALUE!</v>
      </c>
      <c r="DD115" t="e">
        <f>AND('STERLING CATALOG - DRY '!J2493,"AAAAAHPX/2s=")</f>
        <v>#VALUE!</v>
      </c>
      <c r="DE115">
        <f>IF('STERLING CATALOG - DRY '!2494:2494,"AAAAAHPX/2w=",0)</f>
        <v>0</v>
      </c>
      <c r="DF115" t="e">
        <f>AND('STERLING CATALOG - DRY '!A2494,"AAAAAHPX/20=")</f>
        <v>#VALUE!</v>
      </c>
      <c r="DG115" t="e">
        <f>AND('STERLING CATALOG - DRY '!B2494,"AAAAAHPX/24=")</f>
        <v>#VALUE!</v>
      </c>
      <c r="DH115" t="e">
        <f>AND('STERLING CATALOG - DRY '!C2494,"AAAAAHPX/28=")</f>
        <v>#VALUE!</v>
      </c>
      <c r="DI115" t="e">
        <f>AND('STERLING CATALOG - DRY '!D2494,"AAAAAHPX/3A=")</f>
        <v>#VALUE!</v>
      </c>
      <c r="DJ115" t="e">
        <f>AND('STERLING CATALOG - DRY '!E2494,"AAAAAHPX/3E=")</f>
        <v>#VALUE!</v>
      </c>
      <c r="DK115" t="e">
        <f>AND('STERLING CATALOG - DRY '!F2494,"AAAAAHPX/3I=")</f>
        <v>#VALUE!</v>
      </c>
      <c r="DL115" t="e">
        <f>AND('STERLING CATALOG - DRY '!G2494,"AAAAAHPX/3M=")</f>
        <v>#VALUE!</v>
      </c>
      <c r="DM115" t="e">
        <f>AND('STERLING CATALOG - DRY '!H2494,"AAAAAHPX/3Q=")</f>
        <v>#VALUE!</v>
      </c>
      <c r="DN115" t="e">
        <f>AND('STERLING CATALOG - DRY '!I2494,"AAAAAHPX/3U=")</f>
        <v>#VALUE!</v>
      </c>
      <c r="DO115" t="e">
        <f>AND('STERLING CATALOG - DRY '!J2494,"AAAAAHPX/3Y=")</f>
        <v>#VALUE!</v>
      </c>
      <c r="DP115">
        <f>IF('STERLING CATALOG - DRY '!2495:2495,"AAAAAHPX/3c=",0)</f>
        <v>0</v>
      </c>
      <c r="DQ115" t="e">
        <f>AND('STERLING CATALOG - DRY '!A2495,"AAAAAHPX/3g=")</f>
        <v>#VALUE!</v>
      </c>
      <c r="DR115" t="e">
        <f>AND('STERLING CATALOG - DRY '!B2495,"AAAAAHPX/3k=")</f>
        <v>#VALUE!</v>
      </c>
      <c r="DS115" t="e">
        <f>AND('STERLING CATALOG - DRY '!C2495,"AAAAAHPX/3o=")</f>
        <v>#VALUE!</v>
      </c>
      <c r="DT115" t="e">
        <f>AND('STERLING CATALOG - DRY '!D2495,"AAAAAHPX/3s=")</f>
        <v>#VALUE!</v>
      </c>
      <c r="DU115" t="e">
        <f>AND('STERLING CATALOG - DRY '!E2495,"AAAAAHPX/3w=")</f>
        <v>#VALUE!</v>
      </c>
      <c r="DV115" t="e">
        <f>AND('STERLING CATALOG - DRY '!F2495,"AAAAAHPX/30=")</f>
        <v>#VALUE!</v>
      </c>
      <c r="DW115" t="e">
        <f>AND('STERLING CATALOG - DRY '!G2495,"AAAAAHPX/34=")</f>
        <v>#VALUE!</v>
      </c>
      <c r="DX115" t="e">
        <f>AND('STERLING CATALOG - DRY '!H2495,"AAAAAHPX/38=")</f>
        <v>#VALUE!</v>
      </c>
      <c r="DY115" t="e">
        <f>AND('STERLING CATALOG - DRY '!I2495,"AAAAAHPX/4A=")</f>
        <v>#VALUE!</v>
      </c>
      <c r="DZ115" t="e">
        <f>AND('STERLING CATALOG - DRY '!J2495,"AAAAAHPX/4E=")</f>
        <v>#VALUE!</v>
      </c>
      <c r="EA115">
        <f>IF('STERLING CATALOG - DRY '!2496:2496,"AAAAAHPX/4I=",0)</f>
        <v>0</v>
      </c>
      <c r="EB115" t="e">
        <f>AND('STERLING CATALOG - DRY '!A2496,"AAAAAHPX/4M=")</f>
        <v>#VALUE!</v>
      </c>
      <c r="EC115" t="e">
        <f>AND('STERLING CATALOG - DRY '!B2496,"AAAAAHPX/4Q=")</f>
        <v>#VALUE!</v>
      </c>
      <c r="ED115" t="e">
        <f>AND('STERLING CATALOG - DRY '!C2496,"AAAAAHPX/4U=")</f>
        <v>#VALUE!</v>
      </c>
      <c r="EE115" t="e">
        <f>AND('STERLING CATALOG - DRY '!D2496,"AAAAAHPX/4Y=")</f>
        <v>#VALUE!</v>
      </c>
      <c r="EF115" t="e">
        <f>AND('STERLING CATALOG - DRY '!E2496,"AAAAAHPX/4c=")</f>
        <v>#VALUE!</v>
      </c>
      <c r="EG115" t="e">
        <f>AND('STERLING CATALOG - DRY '!F2496,"AAAAAHPX/4g=")</f>
        <v>#VALUE!</v>
      </c>
      <c r="EH115" t="e">
        <f>AND('STERLING CATALOG - DRY '!G2496,"AAAAAHPX/4k=")</f>
        <v>#VALUE!</v>
      </c>
      <c r="EI115" t="e">
        <f>AND('STERLING CATALOG - DRY '!H2496,"AAAAAHPX/4o=")</f>
        <v>#VALUE!</v>
      </c>
      <c r="EJ115" t="e">
        <f>AND('STERLING CATALOG - DRY '!I2496,"AAAAAHPX/4s=")</f>
        <v>#VALUE!</v>
      </c>
      <c r="EK115" t="e">
        <f>AND('STERLING CATALOG - DRY '!J2496,"AAAAAHPX/4w=")</f>
        <v>#VALUE!</v>
      </c>
      <c r="EL115">
        <f>IF('STERLING CATALOG - DRY '!2497:2497,"AAAAAHPX/40=",0)</f>
        <v>0</v>
      </c>
      <c r="EM115" t="e">
        <f>AND('STERLING CATALOG - DRY '!A2497,"AAAAAHPX/44=")</f>
        <v>#VALUE!</v>
      </c>
      <c r="EN115" t="e">
        <f>AND('STERLING CATALOG - DRY '!B2497,"AAAAAHPX/48=")</f>
        <v>#VALUE!</v>
      </c>
      <c r="EO115" t="e">
        <f>AND('STERLING CATALOG - DRY '!C2497,"AAAAAHPX/5A=")</f>
        <v>#VALUE!</v>
      </c>
      <c r="EP115" t="e">
        <f>AND('STERLING CATALOG - DRY '!D2497,"AAAAAHPX/5E=")</f>
        <v>#VALUE!</v>
      </c>
      <c r="EQ115" t="e">
        <f>AND('STERLING CATALOG - DRY '!E2497,"AAAAAHPX/5I=")</f>
        <v>#VALUE!</v>
      </c>
      <c r="ER115" t="e">
        <f>AND('STERLING CATALOG - DRY '!F2497,"AAAAAHPX/5M=")</f>
        <v>#VALUE!</v>
      </c>
      <c r="ES115" t="e">
        <f>AND('STERLING CATALOG - DRY '!G2497,"AAAAAHPX/5Q=")</f>
        <v>#VALUE!</v>
      </c>
      <c r="ET115" t="e">
        <f>AND('STERLING CATALOG - DRY '!H2497,"AAAAAHPX/5U=")</f>
        <v>#VALUE!</v>
      </c>
      <c r="EU115" t="e">
        <f>AND('STERLING CATALOG - DRY '!I2497,"AAAAAHPX/5Y=")</f>
        <v>#VALUE!</v>
      </c>
      <c r="EV115" t="e">
        <f>AND('STERLING CATALOG - DRY '!J2497,"AAAAAHPX/5c=")</f>
        <v>#VALUE!</v>
      </c>
      <c r="EW115">
        <f>IF('STERLING CATALOG - DRY '!2498:2498,"AAAAAHPX/5g=",0)</f>
        <v>0</v>
      </c>
      <c r="EX115" t="e">
        <f>AND('STERLING CATALOG - DRY '!A2498,"AAAAAHPX/5k=")</f>
        <v>#VALUE!</v>
      </c>
      <c r="EY115" t="e">
        <f>AND('STERLING CATALOG - DRY '!B2498,"AAAAAHPX/5o=")</f>
        <v>#VALUE!</v>
      </c>
      <c r="EZ115" t="e">
        <f>AND('STERLING CATALOG - DRY '!C2498,"AAAAAHPX/5s=")</f>
        <v>#VALUE!</v>
      </c>
      <c r="FA115" t="e">
        <f>AND('STERLING CATALOG - DRY '!D2498,"AAAAAHPX/5w=")</f>
        <v>#VALUE!</v>
      </c>
      <c r="FB115" t="e">
        <f>AND('STERLING CATALOG - DRY '!E2498,"AAAAAHPX/50=")</f>
        <v>#VALUE!</v>
      </c>
      <c r="FC115" t="e">
        <f>AND('STERLING CATALOG - DRY '!F2498,"AAAAAHPX/54=")</f>
        <v>#VALUE!</v>
      </c>
      <c r="FD115" t="e">
        <f>AND('STERLING CATALOG - DRY '!G2498,"AAAAAHPX/58=")</f>
        <v>#VALUE!</v>
      </c>
      <c r="FE115" t="e">
        <f>AND('STERLING CATALOG - DRY '!H2498,"AAAAAHPX/6A=")</f>
        <v>#VALUE!</v>
      </c>
      <c r="FF115" t="e">
        <f>AND('STERLING CATALOG - DRY '!I2498,"AAAAAHPX/6E=")</f>
        <v>#VALUE!</v>
      </c>
      <c r="FG115" t="e">
        <f>AND('STERLING CATALOG - DRY '!J2498,"AAAAAHPX/6I=")</f>
        <v>#VALUE!</v>
      </c>
      <c r="FH115">
        <f>IF('STERLING CATALOG - DRY '!2499:2499,"AAAAAHPX/6M=",0)</f>
        <v>0</v>
      </c>
      <c r="FI115" t="e">
        <f>AND('STERLING CATALOG - DRY '!A2499,"AAAAAHPX/6Q=")</f>
        <v>#VALUE!</v>
      </c>
      <c r="FJ115" t="e">
        <f>AND('STERLING CATALOG - DRY '!B2499,"AAAAAHPX/6U=")</f>
        <v>#VALUE!</v>
      </c>
      <c r="FK115" t="e">
        <f>AND('STERLING CATALOG - DRY '!C2499,"AAAAAHPX/6Y=")</f>
        <v>#VALUE!</v>
      </c>
      <c r="FL115" t="e">
        <f>AND('STERLING CATALOG - DRY '!D2499,"AAAAAHPX/6c=")</f>
        <v>#VALUE!</v>
      </c>
      <c r="FM115" t="e">
        <f>AND('STERLING CATALOG - DRY '!E2499,"AAAAAHPX/6g=")</f>
        <v>#VALUE!</v>
      </c>
      <c r="FN115" t="e">
        <f>AND('STERLING CATALOG - DRY '!F2499,"AAAAAHPX/6k=")</f>
        <v>#VALUE!</v>
      </c>
      <c r="FO115" t="e">
        <f>AND('STERLING CATALOG - DRY '!G2499,"AAAAAHPX/6o=")</f>
        <v>#VALUE!</v>
      </c>
      <c r="FP115" t="e">
        <f>AND('STERLING CATALOG - DRY '!H2499,"AAAAAHPX/6s=")</f>
        <v>#VALUE!</v>
      </c>
      <c r="FQ115" t="e">
        <f>AND('STERLING CATALOG - DRY '!I2499,"AAAAAHPX/6w=")</f>
        <v>#VALUE!</v>
      </c>
      <c r="FR115" t="e">
        <f>AND('STERLING CATALOG - DRY '!J2499,"AAAAAHPX/60=")</f>
        <v>#VALUE!</v>
      </c>
      <c r="FS115">
        <f>IF('STERLING CATALOG - DRY '!2500:2500,"AAAAAHPX/64=",0)</f>
        <v>0</v>
      </c>
      <c r="FT115" t="e">
        <f>AND('STERLING CATALOG - DRY '!A2500,"AAAAAHPX/68=")</f>
        <v>#VALUE!</v>
      </c>
      <c r="FU115" t="e">
        <f>AND('STERLING CATALOG - DRY '!B2500,"AAAAAHPX/7A=")</f>
        <v>#VALUE!</v>
      </c>
      <c r="FV115" t="e">
        <f>AND('STERLING CATALOG - DRY '!C2500,"AAAAAHPX/7E=")</f>
        <v>#VALUE!</v>
      </c>
      <c r="FW115" t="e">
        <f>AND('STERLING CATALOG - DRY '!D2500,"AAAAAHPX/7I=")</f>
        <v>#VALUE!</v>
      </c>
      <c r="FX115" t="e">
        <f>AND('STERLING CATALOG - DRY '!E2500,"AAAAAHPX/7M=")</f>
        <v>#VALUE!</v>
      </c>
      <c r="FY115" t="e">
        <f>AND('STERLING CATALOG - DRY '!F2500,"AAAAAHPX/7Q=")</f>
        <v>#VALUE!</v>
      </c>
      <c r="FZ115" t="e">
        <f>AND('STERLING CATALOG - DRY '!G2500,"AAAAAHPX/7U=")</f>
        <v>#VALUE!</v>
      </c>
      <c r="GA115" t="e">
        <f>AND('STERLING CATALOG - DRY '!H2500,"AAAAAHPX/7Y=")</f>
        <v>#VALUE!</v>
      </c>
      <c r="GB115" t="e">
        <f>AND('STERLING CATALOG - DRY '!I2500,"AAAAAHPX/7c=")</f>
        <v>#VALUE!</v>
      </c>
      <c r="GC115" t="e">
        <f>AND('STERLING CATALOG - DRY '!J2500,"AAAAAHPX/7g=")</f>
        <v>#VALUE!</v>
      </c>
      <c r="GD115">
        <f>IF('STERLING CATALOG - DRY '!2501:2501,"AAAAAHPX/7k=",0)</f>
        <v>0</v>
      </c>
      <c r="GE115" t="e">
        <f>AND('STERLING CATALOG - DRY '!A2501,"AAAAAHPX/7o=")</f>
        <v>#VALUE!</v>
      </c>
      <c r="GF115" t="e">
        <f>AND('STERLING CATALOG - DRY '!B2501,"AAAAAHPX/7s=")</f>
        <v>#VALUE!</v>
      </c>
      <c r="GG115" t="e">
        <f>AND('STERLING CATALOG - DRY '!C2501,"AAAAAHPX/7w=")</f>
        <v>#VALUE!</v>
      </c>
      <c r="GH115" t="e">
        <f>AND('STERLING CATALOG - DRY '!D2501,"AAAAAHPX/70=")</f>
        <v>#VALUE!</v>
      </c>
      <c r="GI115" t="e">
        <f>AND('STERLING CATALOG - DRY '!E2501,"AAAAAHPX/74=")</f>
        <v>#VALUE!</v>
      </c>
      <c r="GJ115" t="e">
        <f>AND('STERLING CATALOG - DRY '!F2501,"AAAAAHPX/78=")</f>
        <v>#VALUE!</v>
      </c>
      <c r="GK115" t="e">
        <f>AND('STERLING CATALOG - DRY '!G2501,"AAAAAHPX/8A=")</f>
        <v>#VALUE!</v>
      </c>
      <c r="GL115" t="e">
        <f>AND('STERLING CATALOG - DRY '!H2501,"AAAAAHPX/8E=")</f>
        <v>#VALUE!</v>
      </c>
      <c r="GM115" t="e">
        <f>AND('STERLING CATALOG - DRY '!I2501,"AAAAAHPX/8I=")</f>
        <v>#VALUE!</v>
      </c>
      <c r="GN115" t="e">
        <f>AND('STERLING CATALOG - DRY '!J2501,"AAAAAHPX/8M=")</f>
        <v>#VALUE!</v>
      </c>
      <c r="GO115">
        <f>IF('STERLING CATALOG - DRY '!2502:2502,"AAAAAHPX/8Q=",0)</f>
        <v>0</v>
      </c>
      <c r="GP115" t="e">
        <f>AND('STERLING CATALOG - DRY '!A2502,"AAAAAHPX/8U=")</f>
        <v>#VALUE!</v>
      </c>
      <c r="GQ115" t="e">
        <f>AND('STERLING CATALOG - DRY '!B2502,"AAAAAHPX/8Y=")</f>
        <v>#VALUE!</v>
      </c>
      <c r="GR115" t="e">
        <f>AND('STERLING CATALOG - DRY '!C2502,"AAAAAHPX/8c=")</f>
        <v>#VALUE!</v>
      </c>
      <c r="GS115" t="e">
        <f>AND('STERLING CATALOG - DRY '!D2502,"AAAAAHPX/8g=")</f>
        <v>#VALUE!</v>
      </c>
      <c r="GT115" t="e">
        <f>AND('STERLING CATALOG - DRY '!E2502,"AAAAAHPX/8k=")</f>
        <v>#VALUE!</v>
      </c>
      <c r="GU115" t="e">
        <f>AND('STERLING CATALOG - DRY '!F2502,"AAAAAHPX/8o=")</f>
        <v>#VALUE!</v>
      </c>
      <c r="GV115" t="e">
        <f>AND('STERLING CATALOG - DRY '!G2502,"AAAAAHPX/8s=")</f>
        <v>#VALUE!</v>
      </c>
      <c r="GW115" t="e">
        <f>AND('STERLING CATALOG - DRY '!H2502,"AAAAAHPX/8w=")</f>
        <v>#VALUE!</v>
      </c>
      <c r="GX115" t="e">
        <f>AND('STERLING CATALOG - DRY '!I2502,"AAAAAHPX/80=")</f>
        <v>#VALUE!</v>
      </c>
      <c r="GY115" t="e">
        <f>AND('STERLING CATALOG - DRY '!J2502,"AAAAAHPX/84=")</f>
        <v>#VALUE!</v>
      </c>
      <c r="GZ115">
        <f>IF('STERLING CATALOG - DRY '!2503:2503,"AAAAAHPX/88=",0)</f>
        <v>0</v>
      </c>
      <c r="HA115" t="e">
        <f>AND('STERLING CATALOG - DRY '!A2503,"AAAAAHPX/9A=")</f>
        <v>#VALUE!</v>
      </c>
      <c r="HB115" t="e">
        <f>AND('STERLING CATALOG - DRY '!B2503,"AAAAAHPX/9E=")</f>
        <v>#VALUE!</v>
      </c>
      <c r="HC115" t="e">
        <f>AND('STERLING CATALOG - DRY '!C2503,"AAAAAHPX/9I=")</f>
        <v>#VALUE!</v>
      </c>
      <c r="HD115" t="e">
        <f>AND('STERLING CATALOG - DRY '!D2503,"AAAAAHPX/9M=")</f>
        <v>#VALUE!</v>
      </c>
      <c r="HE115" t="e">
        <f>AND('STERLING CATALOG - DRY '!E2503,"AAAAAHPX/9Q=")</f>
        <v>#VALUE!</v>
      </c>
      <c r="HF115" t="e">
        <f>AND('STERLING CATALOG - DRY '!F2503,"AAAAAHPX/9U=")</f>
        <v>#VALUE!</v>
      </c>
      <c r="HG115" t="e">
        <f>AND('STERLING CATALOG - DRY '!G2503,"AAAAAHPX/9Y=")</f>
        <v>#VALUE!</v>
      </c>
      <c r="HH115" t="e">
        <f>AND('STERLING CATALOG - DRY '!H2503,"AAAAAHPX/9c=")</f>
        <v>#VALUE!</v>
      </c>
      <c r="HI115" t="e">
        <f>AND('STERLING CATALOG - DRY '!I2503,"AAAAAHPX/9g=")</f>
        <v>#VALUE!</v>
      </c>
      <c r="HJ115" t="e">
        <f>AND('STERLING CATALOG - DRY '!J2503,"AAAAAHPX/9k=")</f>
        <v>#VALUE!</v>
      </c>
      <c r="HK115">
        <f>IF('STERLING CATALOG - DRY '!2504:2504,"AAAAAHPX/9o=",0)</f>
        <v>0</v>
      </c>
      <c r="HL115" t="e">
        <f>AND('STERLING CATALOG - DRY '!A2504,"AAAAAHPX/9s=")</f>
        <v>#VALUE!</v>
      </c>
      <c r="HM115" t="e">
        <f>AND('STERLING CATALOG - DRY '!B2504,"AAAAAHPX/9w=")</f>
        <v>#VALUE!</v>
      </c>
      <c r="HN115" t="e">
        <f>AND('STERLING CATALOG - DRY '!C2504,"AAAAAHPX/90=")</f>
        <v>#VALUE!</v>
      </c>
      <c r="HO115" t="e">
        <f>AND('STERLING CATALOG - DRY '!D2504,"AAAAAHPX/94=")</f>
        <v>#VALUE!</v>
      </c>
      <c r="HP115" t="e">
        <f>AND('STERLING CATALOG - DRY '!E2504,"AAAAAHPX/98=")</f>
        <v>#VALUE!</v>
      </c>
      <c r="HQ115" t="e">
        <f>AND('STERLING CATALOG - DRY '!F2504,"AAAAAHPX/+A=")</f>
        <v>#VALUE!</v>
      </c>
      <c r="HR115" t="e">
        <f>AND('STERLING CATALOG - DRY '!G2504,"AAAAAHPX/+E=")</f>
        <v>#VALUE!</v>
      </c>
      <c r="HS115" t="e">
        <f>AND('STERLING CATALOG - DRY '!H2504,"AAAAAHPX/+I=")</f>
        <v>#VALUE!</v>
      </c>
      <c r="HT115" t="e">
        <f>AND('STERLING CATALOG - DRY '!I2504,"AAAAAHPX/+M=")</f>
        <v>#VALUE!</v>
      </c>
      <c r="HU115" t="e">
        <f>AND('STERLING CATALOG - DRY '!J2504,"AAAAAHPX/+Q=")</f>
        <v>#VALUE!</v>
      </c>
      <c r="HV115">
        <f>IF('STERLING CATALOG - DRY '!2505:2505,"AAAAAHPX/+U=",0)</f>
        <v>0</v>
      </c>
      <c r="HW115" t="e">
        <f>AND('STERLING CATALOG - DRY '!A2505,"AAAAAHPX/+Y=")</f>
        <v>#VALUE!</v>
      </c>
      <c r="HX115" t="e">
        <f>AND('STERLING CATALOG - DRY '!B2505,"AAAAAHPX/+c=")</f>
        <v>#VALUE!</v>
      </c>
      <c r="HY115" t="e">
        <f>AND('STERLING CATALOG - DRY '!C2505,"AAAAAHPX/+g=")</f>
        <v>#VALUE!</v>
      </c>
      <c r="HZ115" t="e">
        <f>AND('STERLING CATALOG - DRY '!D2505,"AAAAAHPX/+k=")</f>
        <v>#VALUE!</v>
      </c>
      <c r="IA115" t="e">
        <f>AND('STERLING CATALOG - DRY '!E2505,"AAAAAHPX/+o=")</f>
        <v>#VALUE!</v>
      </c>
      <c r="IB115" t="e">
        <f>AND('STERLING CATALOG - DRY '!F2505,"AAAAAHPX/+s=")</f>
        <v>#VALUE!</v>
      </c>
      <c r="IC115" t="e">
        <f>AND('STERLING CATALOG - DRY '!G2505,"AAAAAHPX/+w=")</f>
        <v>#VALUE!</v>
      </c>
      <c r="ID115" t="e">
        <f>AND('STERLING CATALOG - DRY '!H2505,"AAAAAHPX/+0=")</f>
        <v>#VALUE!</v>
      </c>
      <c r="IE115" t="e">
        <f>AND('STERLING CATALOG - DRY '!I2505,"AAAAAHPX/+4=")</f>
        <v>#VALUE!</v>
      </c>
      <c r="IF115" t="e">
        <f>AND('STERLING CATALOG - DRY '!J2505,"AAAAAHPX/+8=")</f>
        <v>#VALUE!</v>
      </c>
      <c r="IG115">
        <f>IF('STERLING CATALOG - DRY '!2506:2506,"AAAAAHPX//A=",0)</f>
        <v>0</v>
      </c>
      <c r="IH115" t="e">
        <f>AND('STERLING CATALOG - DRY '!A2506,"AAAAAHPX//E=")</f>
        <v>#VALUE!</v>
      </c>
      <c r="II115" t="e">
        <f>AND('STERLING CATALOG - DRY '!B2506,"AAAAAHPX//I=")</f>
        <v>#VALUE!</v>
      </c>
      <c r="IJ115" t="e">
        <f>AND('STERLING CATALOG - DRY '!C2506,"AAAAAHPX//M=")</f>
        <v>#VALUE!</v>
      </c>
      <c r="IK115" t="e">
        <f>AND('STERLING CATALOG - DRY '!D2506,"AAAAAHPX//Q=")</f>
        <v>#VALUE!</v>
      </c>
      <c r="IL115" t="e">
        <f>AND('STERLING CATALOG - DRY '!E2506,"AAAAAHPX//U=")</f>
        <v>#VALUE!</v>
      </c>
      <c r="IM115" t="e">
        <f>AND('STERLING CATALOG - DRY '!F2506,"AAAAAHPX//Y=")</f>
        <v>#VALUE!</v>
      </c>
      <c r="IN115" t="e">
        <f>AND('STERLING CATALOG - DRY '!G2506,"AAAAAHPX//c=")</f>
        <v>#VALUE!</v>
      </c>
      <c r="IO115" t="e">
        <f>AND('STERLING CATALOG - DRY '!H2506,"AAAAAHPX//g=")</f>
        <v>#VALUE!</v>
      </c>
      <c r="IP115" t="e">
        <f>AND('STERLING CATALOG - DRY '!I2506,"AAAAAHPX//k=")</f>
        <v>#VALUE!</v>
      </c>
      <c r="IQ115" t="e">
        <f>AND('STERLING CATALOG - DRY '!J2506,"AAAAAHPX//o=")</f>
        <v>#VALUE!</v>
      </c>
      <c r="IR115">
        <f>IF('STERLING CATALOG - DRY '!2507:2507,"AAAAAHPX//s=",0)</f>
        <v>0</v>
      </c>
      <c r="IS115" t="e">
        <f>AND('STERLING CATALOG - DRY '!A2507,"AAAAAHPX//w=")</f>
        <v>#VALUE!</v>
      </c>
      <c r="IT115" t="e">
        <f>AND('STERLING CATALOG - DRY '!B2507,"AAAAAHPX//0=")</f>
        <v>#VALUE!</v>
      </c>
      <c r="IU115" t="e">
        <f>AND('STERLING CATALOG - DRY '!C2507,"AAAAAHPX//4=")</f>
        <v>#VALUE!</v>
      </c>
      <c r="IV115" t="e">
        <f>AND('STERLING CATALOG - DRY '!D2507,"AAAAAHPX//8=")</f>
        <v>#VALUE!</v>
      </c>
    </row>
    <row r="116" spans="1:256">
      <c r="A116" t="e">
        <f>AND('STERLING CATALOG - DRY '!E2507,"AAAAAF3ffwA=")</f>
        <v>#VALUE!</v>
      </c>
      <c r="B116" t="e">
        <f>AND('STERLING CATALOG - DRY '!F2507,"AAAAAF3ffwE=")</f>
        <v>#VALUE!</v>
      </c>
      <c r="C116" t="e">
        <f>AND('STERLING CATALOG - DRY '!G2507,"AAAAAF3ffwI=")</f>
        <v>#VALUE!</v>
      </c>
      <c r="D116" t="e">
        <f>AND('STERLING CATALOG - DRY '!H2507,"AAAAAF3ffwM=")</f>
        <v>#VALUE!</v>
      </c>
      <c r="E116" t="e">
        <f>AND('STERLING CATALOG - DRY '!I2507,"AAAAAF3ffwQ=")</f>
        <v>#VALUE!</v>
      </c>
      <c r="F116" t="e">
        <f>AND('STERLING CATALOG - DRY '!J2507,"AAAAAF3ffwU=")</f>
        <v>#VALUE!</v>
      </c>
      <c r="G116" t="str">
        <f>IF('STERLING CATALOG - DRY '!2508:2508,"AAAAAF3ffwY=",0)</f>
        <v>AAAAAF3ffwY=</v>
      </c>
      <c r="H116" t="e">
        <f>AND('STERLING CATALOG - DRY '!A2508,"AAAAAF3ffwc=")</f>
        <v>#VALUE!</v>
      </c>
      <c r="I116" t="e">
        <f>AND('STERLING CATALOG - DRY '!B2508,"AAAAAF3ffwg=")</f>
        <v>#VALUE!</v>
      </c>
      <c r="J116" t="e">
        <f>AND('STERLING CATALOG - DRY '!C2508,"AAAAAF3ffwk=")</f>
        <v>#VALUE!</v>
      </c>
      <c r="K116" t="e">
        <f>AND('STERLING CATALOG - DRY '!D2508,"AAAAAF3ffwo=")</f>
        <v>#VALUE!</v>
      </c>
      <c r="L116" t="e">
        <f>AND('STERLING CATALOG - DRY '!E2508,"AAAAAF3ffws=")</f>
        <v>#VALUE!</v>
      </c>
      <c r="M116" t="e">
        <f>AND('STERLING CATALOG - DRY '!F2508,"AAAAAF3ffww=")</f>
        <v>#VALUE!</v>
      </c>
      <c r="N116" t="e">
        <f>AND('STERLING CATALOG - DRY '!G2508,"AAAAAF3ffw0=")</f>
        <v>#VALUE!</v>
      </c>
      <c r="O116" t="e">
        <f>AND('STERLING CATALOG - DRY '!H2508,"AAAAAF3ffw4=")</f>
        <v>#VALUE!</v>
      </c>
      <c r="P116" t="e">
        <f>AND('STERLING CATALOG - DRY '!I2508,"AAAAAF3ffw8=")</f>
        <v>#VALUE!</v>
      </c>
      <c r="Q116" t="e">
        <f>AND('STERLING CATALOG - DRY '!J2508,"AAAAAF3ffxA=")</f>
        <v>#VALUE!</v>
      </c>
      <c r="R116">
        <f>IF('STERLING CATALOG - DRY '!2509:2509,"AAAAAF3ffxE=",0)</f>
        <v>0</v>
      </c>
      <c r="S116" t="e">
        <f>AND('STERLING CATALOG - DRY '!A2509,"AAAAAF3ffxI=")</f>
        <v>#VALUE!</v>
      </c>
      <c r="T116" t="e">
        <f>AND('STERLING CATALOG - DRY '!B2509,"AAAAAF3ffxM=")</f>
        <v>#VALUE!</v>
      </c>
      <c r="U116" t="e">
        <f>AND('STERLING CATALOG - DRY '!C2509,"AAAAAF3ffxQ=")</f>
        <v>#VALUE!</v>
      </c>
      <c r="V116" t="e">
        <f>AND('STERLING CATALOG - DRY '!D2509,"AAAAAF3ffxU=")</f>
        <v>#VALUE!</v>
      </c>
      <c r="W116" t="e">
        <f>AND('STERLING CATALOG - DRY '!E2509,"AAAAAF3ffxY=")</f>
        <v>#VALUE!</v>
      </c>
      <c r="X116" t="e">
        <f>AND('STERLING CATALOG - DRY '!F2509,"AAAAAF3ffxc=")</f>
        <v>#VALUE!</v>
      </c>
      <c r="Y116" t="e">
        <f>AND('STERLING CATALOG - DRY '!G2509,"AAAAAF3ffxg=")</f>
        <v>#VALUE!</v>
      </c>
      <c r="Z116" t="e">
        <f>AND('STERLING CATALOG - DRY '!H2509,"AAAAAF3ffxk=")</f>
        <v>#VALUE!</v>
      </c>
      <c r="AA116" t="e">
        <f>AND('STERLING CATALOG - DRY '!I2509,"AAAAAF3ffxo=")</f>
        <v>#VALUE!</v>
      </c>
      <c r="AB116" t="e">
        <f>AND('STERLING CATALOG - DRY '!J2509,"AAAAAF3ffxs=")</f>
        <v>#VALUE!</v>
      </c>
      <c r="AC116">
        <f>IF('STERLING CATALOG - DRY '!2510:2510,"AAAAAF3ffxw=",0)</f>
        <v>0</v>
      </c>
      <c r="AD116" t="e">
        <f>AND('STERLING CATALOG - DRY '!A2510,"AAAAAF3ffx0=")</f>
        <v>#VALUE!</v>
      </c>
      <c r="AE116" t="e">
        <f>AND('STERLING CATALOG - DRY '!B2510,"AAAAAF3ffx4=")</f>
        <v>#VALUE!</v>
      </c>
      <c r="AF116" t="e">
        <f>AND('STERLING CATALOG - DRY '!C2510,"AAAAAF3ffx8=")</f>
        <v>#VALUE!</v>
      </c>
      <c r="AG116" t="e">
        <f>AND('STERLING CATALOG - DRY '!D2510,"AAAAAF3ffyA=")</f>
        <v>#VALUE!</v>
      </c>
      <c r="AH116" t="e">
        <f>AND('STERLING CATALOG - DRY '!E2510,"AAAAAF3ffyE=")</f>
        <v>#VALUE!</v>
      </c>
      <c r="AI116" t="e">
        <f>AND('STERLING CATALOG - DRY '!F2510,"AAAAAF3ffyI=")</f>
        <v>#VALUE!</v>
      </c>
      <c r="AJ116" t="e">
        <f>AND('STERLING CATALOG - DRY '!G2510,"AAAAAF3ffyM=")</f>
        <v>#VALUE!</v>
      </c>
      <c r="AK116" t="e">
        <f>AND('STERLING CATALOG - DRY '!H2510,"AAAAAF3ffyQ=")</f>
        <v>#VALUE!</v>
      </c>
      <c r="AL116" t="e">
        <f>AND('STERLING CATALOG - DRY '!I2510,"AAAAAF3ffyU=")</f>
        <v>#VALUE!</v>
      </c>
      <c r="AM116" t="e">
        <f>AND('STERLING CATALOG - DRY '!J2510,"AAAAAF3ffyY=")</f>
        <v>#VALUE!</v>
      </c>
      <c r="AN116">
        <f>IF('STERLING CATALOG - DRY '!2511:2511,"AAAAAF3ffyc=",0)</f>
        <v>0</v>
      </c>
      <c r="AO116" t="e">
        <f>AND('STERLING CATALOG - DRY '!A2511,"AAAAAF3ffyg=")</f>
        <v>#VALUE!</v>
      </c>
      <c r="AP116" t="e">
        <f>AND('STERLING CATALOG - DRY '!B2511,"AAAAAF3ffyk=")</f>
        <v>#VALUE!</v>
      </c>
      <c r="AQ116" t="e">
        <f>AND('STERLING CATALOG - DRY '!C2511,"AAAAAF3ffyo=")</f>
        <v>#VALUE!</v>
      </c>
      <c r="AR116" t="e">
        <f>AND('STERLING CATALOG - DRY '!D2511,"AAAAAF3ffys=")</f>
        <v>#VALUE!</v>
      </c>
      <c r="AS116" t="e">
        <f>AND('STERLING CATALOG - DRY '!E2511,"AAAAAF3ffyw=")</f>
        <v>#VALUE!</v>
      </c>
      <c r="AT116" t="e">
        <f>AND('STERLING CATALOG - DRY '!F2511,"AAAAAF3ffy0=")</f>
        <v>#VALUE!</v>
      </c>
      <c r="AU116" t="e">
        <f>AND('STERLING CATALOG - DRY '!G2511,"AAAAAF3ffy4=")</f>
        <v>#VALUE!</v>
      </c>
      <c r="AV116" t="e">
        <f>AND('STERLING CATALOG - DRY '!H2511,"AAAAAF3ffy8=")</f>
        <v>#VALUE!</v>
      </c>
      <c r="AW116" t="e">
        <f>AND('STERLING CATALOG - DRY '!I2511,"AAAAAF3ffzA=")</f>
        <v>#VALUE!</v>
      </c>
      <c r="AX116" t="e">
        <f>AND('STERLING CATALOG - DRY '!J2511,"AAAAAF3ffzE=")</f>
        <v>#VALUE!</v>
      </c>
      <c r="AY116">
        <f>IF('STERLING CATALOG - DRY '!2512:2512,"AAAAAF3ffzI=",0)</f>
        <v>0</v>
      </c>
      <c r="AZ116" t="e">
        <f>AND('STERLING CATALOG - DRY '!A2512,"AAAAAF3ffzM=")</f>
        <v>#VALUE!</v>
      </c>
      <c r="BA116" t="e">
        <f>AND('STERLING CATALOG - DRY '!B2512,"AAAAAF3ffzQ=")</f>
        <v>#VALUE!</v>
      </c>
      <c r="BB116" t="e">
        <f>AND('STERLING CATALOG - DRY '!C2512,"AAAAAF3ffzU=")</f>
        <v>#VALUE!</v>
      </c>
      <c r="BC116" t="e">
        <f>AND('STERLING CATALOG - DRY '!D2512,"AAAAAF3ffzY=")</f>
        <v>#VALUE!</v>
      </c>
      <c r="BD116" t="e">
        <f>AND('STERLING CATALOG - DRY '!E2512,"AAAAAF3ffzc=")</f>
        <v>#VALUE!</v>
      </c>
      <c r="BE116" t="e">
        <f>AND('STERLING CATALOG - DRY '!F2512,"AAAAAF3ffzg=")</f>
        <v>#VALUE!</v>
      </c>
      <c r="BF116" t="e">
        <f>AND('STERLING CATALOG - DRY '!G2512,"AAAAAF3ffzk=")</f>
        <v>#VALUE!</v>
      </c>
      <c r="BG116" t="e">
        <f>AND('STERLING CATALOG - DRY '!H2512,"AAAAAF3ffzo=")</f>
        <v>#VALUE!</v>
      </c>
      <c r="BH116" t="e">
        <f>AND('STERLING CATALOG - DRY '!I2512,"AAAAAF3ffzs=")</f>
        <v>#VALUE!</v>
      </c>
      <c r="BI116" t="e">
        <f>AND('STERLING CATALOG - DRY '!J2512,"AAAAAF3ffzw=")</f>
        <v>#VALUE!</v>
      </c>
      <c r="BJ116">
        <f>IF('STERLING CATALOG - DRY '!2513:2513,"AAAAAF3ffz0=",0)</f>
        <v>0</v>
      </c>
      <c r="BK116" t="e">
        <f>AND('STERLING CATALOG - DRY '!A2513,"AAAAAF3ffz4=")</f>
        <v>#VALUE!</v>
      </c>
      <c r="BL116" t="e">
        <f>AND('STERLING CATALOG - DRY '!B2513,"AAAAAF3ffz8=")</f>
        <v>#VALUE!</v>
      </c>
      <c r="BM116" t="e">
        <f>AND('STERLING CATALOG - DRY '!C2513,"AAAAAF3ff0A=")</f>
        <v>#VALUE!</v>
      </c>
      <c r="BN116" t="e">
        <f>AND('STERLING CATALOG - DRY '!D2513,"AAAAAF3ff0E=")</f>
        <v>#VALUE!</v>
      </c>
      <c r="BO116" t="e">
        <f>AND('STERLING CATALOG - DRY '!E2513,"AAAAAF3ff0I=")</f>
        <v>#VALUE!</v>
      </c>
      <c r="BP116" t="e">
        <f>AND('STERLING CATALOG - DRY '!F2513,"AAAAAF3ff0M=")</f>
        <v>#VALUE!</v>
      </c>
      <c r="BQ116" t="e">
        <f>AND('STERLING CATALOG - DRY '!G2513,"AAAAAF3ff0Q=")</f>
        <v>#VALUE!</v>
      </c>
      <c r="BR116" t="e">
        <f>AND('STERLING CATALOG - DRY '!H2513,"AAAAAF3ff0U=")</f>
        <v>#VALUE!</v>
      </c>
      <c r="BS116" t="e">
        <f>AND('STERLING CATALOG - DRY '!I2513,"AAAAAF3ff0Y=")</f>
        <v>#VALUE!</v>
      </c>
      <c r="BT116" t="e">
        <f>AND('STERLING CATALOG - DRY '!J2513,"AAAAAF3ff0c=")</f>
        <v>#VALUE!</v>
      </c>
      <c r="BU116">
        <f>IF('STERLING CATALOG - DRY '!2514:2514,"AAAAAF3ff0g=",0)</f>
        <v>0</v>
      </c>
      <c r="BV116" t="e">
        <f>AND('STERLING CATALOG - DRY '!A2514,"AAAAAF3ff0k=")</f>
        <v>#VALUE!</v>
      </c>
      <c r="BW116" t="e">
        <f>AND('STERLING CATALOG - DRY '!B2514,"AAAAAF3ff0o=")</f>
        <v>#VALUE!</v>
      </c>
      <c r="BX116" t="e">
        <f>AND('STERLING CATALOG - DRY '!C2514,"AAAAAF3ff0s=")</f>
        <v>#VALUE!</v>
      </c>
      <c r="BY116" t="e">
        <f>AND('STERLING CATALOG - DRY '!D2514,"AAAAAF3ff0w=")</f>
        <v>#VALUE!</v>
      </c>
      <c r="BZ116" t="e">
        <f>AND('STERLING CATALOG - DRY '!E2514,"AAAAAF3ff00=")</f>
        <v>#VALUE!</v>
      </c>
      <c r="CA116" t="e">
        <f>AND('STERLING CATALOG - DRY '!F2514,"AAAAAF3ff04=")</f>
        <v>#VALUE!</v>
      </c>
      <c r="CB116" t="e">
        <f>AND('STERLING CATALOG - DRY '!G2514,"AAAAAF3ff08=")</f>
        <v>#VALUE!</v>
      </c>
      <c r="CC116" t="e">
        <f>AND('STERLING CATALOG - DRY '!H2514,"AAAAAF3ff1A=")</f>
        <v>#VALUE!</v>
      </c>
      <c r="CD116" t="e">
        <f>AND('STERLING CATALOG - DRY '!I2514,"AAAAAF3ff1E=")</f>
        <v>#VALUE!</v>
      </c>
      <c r="CE116" t="e">
        <f>AND('STERLING CATALOG - DRY '!J2514,"AAAAAF3ff1I=")</f>
        <v>#VALUE!</v>
      </c>
      <c r="CF116">
        <f>IF('STERLING CATALOG - DRY '!2515:2515,"AAAAAF3ff1M=",0)</f>
        <v>0</v>
      </c>
      <c r="CG116" t="e">
        <f>AND('STERLING CATALOG - DRY '!A2515,"AAAAAF3ff1Q=")</f>
        <v>#VALUE!</v>
      </c>
      <c r="CH116" t="e">
        <f>AND('STERLING CATALOG - DRY '!B2515,"AAAAAF3ff1U=")</f>
        <v>#VALUE!</v>
      </c>
      <c r="CI116" t="e">
        <f>AND('STERLING CATALOG - DRY '!C2515,"AAAAAF3ff1Y=")</f>
        <v>#VALUE!</v>
      </c>
      <c r="CJ116" t="e">
        <f>AND('STERLING CATALOG - DRY '!D2515,"AAAAAF3ff1c=")</f>
        <v>#VALUE!</v>
      </c>
      <c r="CK116" t="e">
        <f>AND('STERLING CATALOG - DRY '!E2515,"AAAAAF3ff1g=")</f>
        <v>#VALUE!</v>
      </c>
      <c r="CL116" t="e">
        <f>AND('STERLING CATALOG - DRY '!F2515,"AAAAAF3ff1k=")</f>
        <v>#VALUE!</v>
      </c>
      <c r="CM116" t="e">
        <f>AND('STERLING CATALOG - DRY '!G2515,"AAAAAF3ff1o=")</f>
        <v>#VALUE!</v>
      </c>
      <c r="CN116" t="e">
        <f>AND('STERLING CATALOG - DRY '!H2515,"AAAAAF3ff1s=")</f>
        <v>#VALUE!</v>
      </c>
      <c r="CO116" t="e">
        <f>AND('STERLING CATALOG - DRY '!I2515,"AAAAAF3ff1w=")</f>
        <v>#VALUE!</v>
      </c>
      <c r="CP116" t="e">
        <f>AND('STERLING CATALOG - DRY '!J2515,"AAAAAF3ff10=")</f>
        <v>#VALUE!</v>
      </c>
      <c r="CQ116">
        <f>IF('STERLING CATALOG - DRY '!2516:2516,"AAAAAF3ff14=",0)</f>
        <v>0</v>
      </c>
      <c r="CR116" t="e">
        <f>AND('STERLING CATALOG - DRY '!A2516,"AAAAAF3ff18=")</f>
        <v>#VALUE!</v>
      </c>
      <c r="CS116" t="e">
        <f>AND('STERLING CATALOG - DRY '!B2516,"AAAAAF3ff2A=")</f>
        <v>#VALUE!</v>
      </c>
      <c r="CT116" t="e">
        <f>AND('STERLING CATALOG - DRY '!C2516,"AAAAAF3ff2E=")</f>
        <v>#VALUE!</v>
      </c>
      <c r="CU116" t="e">
        <f>AND('STERLING CATALOG - DRY '!D2516,"AAAAAF3ff2I=")</f>
        <v>#VALUE!</v>
      </c>
      <c r="CV116" t="e">
        <f>AND('STERLING CATALOG - DRY '!E2516,"AAAAAF3ff2M=")</f>
        <v>#VALUE!</v>
      </c>
      <c r="CW116" t="e">
        <f>AND('STERLING CATALOG - DRY '!F2516,"AAAAAF3ff2Q=")</f>
        <v>#VALUE!</v>
      </c>
      <c r="CX116" t="e">
        <f>AND('STERLING CATALOG - DRY '!G2516,"AAAAAF3ff2U=")</f>
        <v>#VALUE!</v>
      </c>
      <c r="CY116" t="e">
        <f>AND('STERLING CATALOG - DRY '!H2516,"AAAAAF3ff2Y=")</f>
        <v>#VALUE!</v>
      </c>
      <c r="CZ116" t="e">
        <f>AND('STERLING CATALOG - DRY '!I2516,"AAAAAF3ff2c=")</f>
        <v>#VALUE!</v>
      </c>
      <c r="DA116" t="e">
        <f>AND('STERLING CATALOG - DRY '!J2516,"AAAAAF3ff2g=")</f>
        <v>#VALUE!</v>
      </c>
      <c r="DB116">
        <f>IF('STERLING CATALOG - DRY '!2517:2517,"AAAAAF3ff2k=",0)</f>
        <v>0</v>
      </c>
      <c r="DC116" t="e">
        <f>AND('STERLING CATALOG - DRY '!A2517,"AAAAAF3ff2o=")</f>
        <v>#VALUE!</v>
      </c>
      <c r="DD116" t="e">
        <f>AND('STERLING CATALOG - DRY '!B2517,"AAAAAF3ff2s=")</f>
        <v>#VALUE!</v>
      </c>
      <c r="DE116" t="e">
        <f>AND('STERLING CATALOG - DRY '!C2517,"AAAAAF3ff2w=")</f>
        <v>#VALUE!</v>
      </c>
      <c r="DF116" t="e">
        <f>AND('STERLING CATALOG - DRY '!D2517,"AAAAAF3ff20=")</f>
        <v>#VALUE!</v>
      </c>
      <c r="DG116" t="e">
        <f>AND('STERLING CATALOG - DRY '!E2517,"AAAAAF3ff24=")</f>
        <v>#VALUE!</v>
      </c>
      <c r="DH116" t="e">
        <f>AND('STERLING CATALOG - DRY '!F2517,"AAAAAF3ff28=")</f>
        <v>#VALUE!</v>
      </c>
      <c r="DI116" t="e">
        <f>AND('STERLING CATALOG - DRY '!G2517,"AAAAAF3ff3A=")</f>
        <v>#VALUE!</v>
      </c>
      <c r="DJ116" t="e">
        <f>AND('STERLING CATALOG - DRY '!H2517,"AAAAAF3ff3E=")</f>
        <v>#VALUE!</v>
      </c>
      <c r="DK116" t="e">
        <f>AND('STERLING CATALOG - DRY '!I2517,"AAAAAF3ff3I=")</f>
        <v>#VALUE!</v>
      </c>
      <c r="DL116" t="e">
        <f>AND('STERLING CATALOG - DRY '!J2517,"AAAAAF3ff3M=")</f>
        <v>#VALUE!</v>
      </c>
      <c r="DM116">
        <f>IF('STERLING CATALOG - DRY '!2518:2518,"AAAAAF3ff3Q=",0)</f>
        <v>0</v>
      </c>
      <c r="DN116" t="e">
        <f>AND('STERLING CATALOG - DRY '!A2518,"AAAAAF3ff3U=")</f>
        <v>#VALUE!</v>
      </c>
      <c r="DO116" t="e">
        <f>AND('STERLING CATALOG - DRY '!B2518,"AAAAAF3ff3Y=")</f>
        <v>#VALUE!</v>
      </c>
      <c r="DP116" t="e">
        <f>AND('STERLING CATALOG - DRY '!C2518,"AAAAAF3ff3c=")</f>
        <v>#VALUE!</v>
      </c>
      <c r="DQ116" t="e">
        <f>AND('STERLING CATALOG - DRY '!D2518,"AAAAAF3ff3g=")</f>
        <v>#VALUE!</v>
      </c>
      <c r="DR116" t="e">
        <f>AND('STERLING CATALOG - DRY '!E2518,"AAAAAF3ff3k=")</f>
        <v>#VALUE!</v>
      </c>
      <c r="DS116" t="e">
        <f>AND('STERLING CATALOG - DRY '!F2518,"AAAAAF3ff3o=")</f>
        <v>#VALUE!</v>
      </c>
      <c r="DT116" t="e">
        <f>AND('STERLING CATALOG - DRY '!G2518,"AAAAAF3ff3s=")</f>
        <v>#VALUE!</v>
      </c>
      <c r="DU116" t="e">
        <f>AND('STERLING CATALOG - DRY '!H2518,"AAAAAF3ff3w=")</f>
        <v>#VALUE!</v>
      </c>
      <c r="DV116" t="e">
        <f>AND('STERLING CATALOG - DRY '!I2518,"AAAAAF3ff30=")</f>
        <v>#VALUE!</v>
      </c>
      <c r="DW116" t="e">
        <f>AND('STERLING CATALOG - DRY '!J2518,"AAAAAF3ff34=")</f>
        <v>#VALUE!</v>
      </c>
      <c r="DX116">
        <f>IF('STERLING CATALOG - DRY '!2519:2519,"AAAAAF3ff38=",0)</f>
        <v>0</v>
      </c>
      <c r="DY116" t="e">
        <f>AND('STERLING CATALOG - DRY '!A2519,"AAAAAF3ff4A=")</f>
        <v>#VALUE!</v>
      </c>
      <c r="DZ116" t="e">
        <f>AND('STERLING CATALOG - DRY '!B2519,"AAAAAF3ff4E=")</f>
        <v>#VALUE!</v>
      </c>
      <c r="EA116" t="e">
        <f>AND('STERLING CATALOG - DRY '!C2519,"AAAAAF3ff4I=")</f>
        <v>#VALUE!</v>
      </c>
      <c r="EB116" t="e">
        <f>AND('STERLING CATALOG - DRY '!D2519,"AAAAAF3ff4M=")</f>
        <v>#VALUE!</v>
      </c>
      <c r="EC116" t="e">
        <f>AND('STERLING CATALOG - DRY '!E2519,"AAAAAF3ff4Q=")</f>
        <v>#VALUE!</v>
      </c>
      <c r="ED116" t="e">
        <f>AND('STERLING CATALOG - DRY '!F2519,"AAAAAF3ff4U=")</f>
        <v>#VALUE!</v>
      </c>
      <c r="EE116" t="e">
        <f>AND('STERLING CATALOG - DRY '!G2519,"AAAAAF3ff4Y=")</f>
        <v>#VALUE!</v>
      </c>
      <c r="EF116" t="e">
        <f>AND('STERLING CATALOG - DRY '!H2519,"AAAAAF3ff4c=")</f>
        <v>#VALUE!</v>
      </c>
      <c r="EG116" t="e">
        <f>AND('STERLING CATALOG - DRY '!I2519,"AAAAAF3ff4g=")</f>
        <v>#VALUE!</v>
      </c>
      <c r="EH116" t="e">
        <f>AND('STERLING CATALOG - DRY '!J2519,"AAAAAF3ff4k=")</f>
        <v>#VALUE!</v>
      </c>
      <c r="EI116">
        <f>IF('STERLING CATALOG - DRY '!2520:2520,"AAAAAF3ff4o=",0)</f>
        <v>0</v>
      </c>
      <c r="EJ116" t="e">
        <f>AND('STERLING CATALOG - DRY '!A2520,"AAAAAF3ff4s=")</f>
        <v>#VALUE!</v>
      </c>
      <c r="EK116" t="e">
        <f>AND('STERLING CATALOG - DRY '!B2520,"AAAAAF3ff4w=")</f>
        <v>#VALUE!</v>
      </c>
      <c r="EL116" t="e">
        <f>AND('STERLING CATALOG - DRY '!C2520,"AAAAAF3ff40=")</f>
        <v>#VALUE!</v>
      </c>
      <c r="EM116" t="e">
        <f>AND('STERLING CATALOG - DRY '!D2520,"AAAAAF3ff44=")</f>
        <v>#VALUE!</v>
      </c>
      <c r="EN116" t="e">
        <f>AND('STERLING CATALOG - DRY '!E2520,"AAAAAF3ff48=")</f>
        <v>#VALUE!</v>
      </c>
      <c r="EO116" t="e">
        <f>AND('STERLING CATALOG - DRY '!F2520,"AAAAAF3ff5A=")</f>
        <v>#VALUE!</v>
      </c>
      <c r="EP116" t="e">
        <f>AND('STERLING CATALOG - DRY '!G2520,"AAAAAF3ff5E=")</f>
        <v>#VALUE!</v>
      </c>
      <c r="EQ116" t="e">
        <f>AND('STERLING CATALOG - DRY '!H2520,"AAAAAF3ff5I=")</f>
        <v>#VALUE!</v>
      </c>
      <c r="ER116" t="e">
        <f>AND('STERLING CATALOG - DRY '!I2520,"AAAAAF3ff5M=")</f>
        <v>#VALUE!</v>
      </c>
      <c r="ES116" t="e">
        <f>AND('STERLING CATALOG - DRY '!J2520,"AAAAAF3ff5Q=")</f>
        <v>#VALUE!</v>
      </c>
      <c r="ET116">
        <f>IF('STERLING CATALOG - DRY '!2521:2521,"AAAAAF3ff5U=",0)</f>
        <v>0</v>
      </c>
      <c r="EU116" t="e">
        <f>AND('STERLING CATALOG - DRY '!A2521,"AAAAAF3ff5Y=")</f>
        <v>#VALUE!</v>
      </c>
      <c r="EV116" t="e">
        <f>AND('STERLING CATALOG - DRY '!B2521,"AAAAAF3ff5c=")</f>
        <v>#VALUE!</v>
      </c>
      <c r="EW116" t="e">
        <f>AND('STERLING CATALOG - DRY '!C2521,"AAAAAF3ff5g=")</f>
        <v>#VALUE!</v>
      </c>
      <c r="EX116" t="e">
        <f>AND('STERLING CATALOG - DRY '!D2521,"AAAAAF3ff5k=")</f>
        <v>#VALUE!</v>
      </c>
      <c r="EY116" t="e">
        <f>AND('STERLING CATALOG - DRY '!E2521,"AAAAAF3ff5o=")</f>
        <v>#VALUE!</v>
      </c>
      <c r="EZ116" t="e">
        <f>AND('STERLING CATALOG - DRY '!F2521,"AAAAAF3ff5s=")</f>
        <v>#VALUE!</v>
      </c>
      <c r="FA116" t="e">
        <f>AND('STERLING CATALOG - DRY '!G2521,"AAAAAF3ff5w=")</f>
        <v>#VALUE!</v>
      </c>
      <c r="FB116" t="e">
        <f>AND('STERLING CATALOG - DRY '!H2521,"AAAAAF3ff50=")</f>
        <v>#VALUE!</v>
      </c>
      <c r="FC116" t="e">
        <f>AND('STERLING CATALOG - DRY '!I2521,"AAAAAF3ff54=")</f>
        <v>#VALUE!</v>
      </c>
      <c r="FD116" t="e">
        <f>AND('STERLING CATALOG - DRY '!J2521,"AAAAAF3ff58=")</f>
        <v>#VALUE!</v>
      </c>
      <c r="FE116">
        <f>IF('STERLING CATALOG - DRY '!2522:2522,"AAAAAF3ff6A=",0)</f>
        <v>0</v>
      </c>
      <c r="FF116" t="e">
        <f>AND('STERLING CATALOG - DRY '!A2522,"AAAAAF3ff6E=")</f>
        <v>#VALUE!</v>
      </c>
      <c r="FG116" t="e">
        <f>AND('STERLING CATALOG - DRY '!B2522,"AAAAAF3ff6I=")</f>
        <v>#VALUE!</v>
      </c>
      <c r="FH116" t="e">
        <f>AND('STERLING CATALOG - DRY '!C2522,"AAAAAF3ff6M=")</f>
        <v>#VALUE!</v>
      </c>
      <c r="FI116" t="e">
        <f>AND('STERLING CATALOG - DRY '!D2522,"AAAAAF3ff6Q=")</f>
        <v>#VALUE!</v>
      </c>
      <c r="FJ116" t="e">
        <f>AND('STERLING CATALOG - DRY '!E2522,"AAAAAF3ff6U=")</f>
        <v>#VALUE!</v>
      </c>
      <c r="FK116" t="e">
        <f>AND('STERLING CATALOG - DRY '!F2522,"AAAAAF3ff6Y=")</f>
        <v>#VALUE!</v>
      </c>
      <c r="FL116" t="e">
        <f>AND('STERLING CATALOG - DRY '!G2522,"AAAAAF3ff6c=")</f>
        <v>#VALUE!</v>
      </c>
      <c r="FM116" t="e">
        <f>AND('STERLING CATALOG - DRY '!H2522,"AAAAAF3ff6g=")</f>
        <v>#VALUE!</v>
      </c>
      <c r="FN116" t="e">
        <f>AND('STERLING CATALOG - DRY '!I2522,"AAAAAF3ff6k=")</f>
        <v>#VALUE!</v>
      </c>
      <c r="FO116" t="e">
        <f>AND('STERLING CATALOG - DRY '!J2522,"AAAAAF3ff6o=")</f>
        <v>#VALUE!</v>
      </c>
      <c r="FP116">
        <f>IF('STERLING CATALOG - DRY '!2523:2523,"AAAAAF3ff6s=",0)</f>
        <v>0</v>
      </c>
      <c r="FQ116" t="e">
        <f>AND('STERLING CATALOG - DRY '!A2523,"AAAAAF3ff6w=")</f>
        <v>#VALUE!</v>
      </c>
      <c r="FR116" t="e">
        <f>AND('STERLING CATALOG - DRY '!B2523,"AAAAAF3ff60=")</f>
        <v>#VALUE!</v>
      </c>
      <c r="FS116" t="e">
        <f>AND('STERLING CATALOG - DRY '!C2523,"AAAAAF3ff64=")</f>
        <v>#VALUE!</v>
      </c>
      <c r="FT116" t="e">
        <f>AND('STERLING CATALOG - DRY '!D2523,"AAAAAF3ff68=")</f>
        <v>#VALUE!</v>
      </c>
      <c r="FU116" t="e">
        <f>AND('STERLING CATALOG - DRY '!E2523,"AAAAAF3ff7A=")</f>
        <v>#VALUE!</v>
      </c>
      <c r="FV116" t="e">
        <f>AND('STERLING CATALOG - DRY '!F2523,"AAAAAF3ff7E=")</f>
        <v>#VALUE!</v>
      </c>
      <c r="FW116" t="e">
        <f>AND('STERLING CATALOG - DRY '!G2523,"AAAAAF3ff7I=")</f>
        <v>#VALUE!</v>
      </c>
      <c r="FX116" t="e">
        <f>AND('STERLING CATALOG - DRY '!H2523,"AAAAAF3ff7M=")</f>
        <v>#VALUE!</v>
      </c>
      <c r="FY116" t="e">
        <f>AND('STERLING CATALOG - DRY '!I2523,"AAAAAF3ff7Q=")</f>
        <v>#VALUE!</v>
      </c>
      <c r="FZ116" t="e">
        <f>AND('STERLING CATALOG - DRY '!J2523,"AAAAAF3ff7U=")</f>
        <v>#VALUE!</v>
      </c>
      <c r="GA116">
        <f>IF('STERLING CATALOG - DRY '!2524:2524,"AAAAAF3ff7Y=",0)</f>
        <v>0</v>
      </c>
      <c r="GB116" t="e">
        <f>AND('STERLING CATALOG - DRY '!A2524,"AAAAAF3ff7c=")</f>
        <v>#VALUE!</v>
      </c>
      <c r="GC116" t="e">
        <f>AND('STERLING CATALOG - DRY '!B2524,"AAAAAF3ff7g=")</f>
        <v>#VALUE!</v>
      </c>
      <c r="GD116" t="e">
        <f>AND('STERLING CATALOG - DRY '!C2524,"AAAAAF3ff7k=")</f>
        <v>#VALUE!</v>
      </c>
      <c r="GE116" t="e">
        <f>AND('STERLING CATALOG - DRY '!D2524,"AAAAAF3ff7o=")</f>
        <v>#VALUE!</v>
      </c>
      <c r="GF116" t="e">
        <f>AND('STERLING CATALOG - DRY '!E2524,"AAAAAF3ff7s=")</f>
        <v>#VALUE!</v>
      </c>
      <c r="GG116" t="e">
        <f>AND('STERLING CATALOG - DRY '!F2524,"AAAAAF3ff7w=")</f>
        <v>#VALUE!</v>
      </c>
      <c r="GH116" t="e">
        <f>AND('STERLING CATALOG - DRY '!G2524,"AAAAAF3ff70=")</f>
        <v>#VALUE!</v>
      </c>
      <c r="GI116" t="e">
        <f>AND('STERLING CATALOG - DRY '!H2524,"AAAAAF3ff74=")</f>
        <v>#VALUE!</v>
      </c>
      <c r="GJ116" t="e">
        <f>AND('STERLING CATALOG - DRY '!I2524,"AAAAAF3ff78=")</f>
        <v>#VALUE!</v>
      </c>
      <c r="GK116" t="e">
        <f>AND('STERLING CATALOG - DRY '!J2524,"AAAAAF3ff8A=")</f>
        <v>#VALUE!</v>
      </c>
      <c r="GL116">
        <f>IF('STERLING CATALOG - DRY '!2525:2525,"AAAAAF3ff8E=",0)</f>
        <v>0</v>
      </c>
      <c r="GM116" t="e">
        <f>AND('STERLING CATALOG - DRY '!A2525,"AAAAAF3ff8I=")</f>
        <v>#VALUE!</v>
      </c>
      <c r="GN116" t="e">
        <f>AND('STERLING CATALOG - DRY '!B2525,"AAAAAF3ff8M=")</f>
        <v>#VALUE!</v>
      </c>
      <c r="GO116" t="e">
        <f>AND('STERLING CATALOG - DRY '!C2525,"AAAAAF3ff8Q=")</f>
        <v>#VALUE!</v>
      </c>
      <c r="GP116" t="e">
        <f>AND('STERLING CATALOG - DRY '!D2525,"AAAAAF3ff8U=")</f>
        <v>#VALUE!</v>
      </c>
      <c r="GQ116" t="e">
        <f>AND('STERLING CATALOG - DRY '!E2525,"AAAAAF3ff8Y=")</f>
        <v>#VALUE!</v>
      </c>
      <c r="GR116" t="e">
        <f>AND('STERLING CATALOG - DRY '!F2525,"AAAAAF3ff8c=")</f>
        <v>#VALUE!</v>
      </c>
      <c r="GS116" t="e">
        <f>AND('STERLING CATALOG - DRY '!G2525,"AAAAAF3ff8g=")</f>
        <v>#VALUE!</v>
      </c>
      <c r="GT116" t="e">
        <f>AND('STERLING CATALOG - DRY '!H2525,"AAAAAF3ff8k=")</f>
        <v>#VALUE!</v>
      </c>
      <c r="GU116" t="e">
        <f>AND('STERLING CATALOG - DRY '!I2525,"AAAAAF3ff8o=")</f>
        <v>#VALUE!</v>
      </c>
      <c r="GV116" t="e">
        <f>AND('STERLING CATALOG - DRY '!J2525,"AAAAAF3ff8s=")</f>
        <v>#VALUE!</v>
      </c>
      <c r="GW116">
        <f>IF('STERLING CATALOG - DRY '!2526:2526,"AAAAAF3ff8w=",0)</f>
        <v>0</v>
      </c>
      <c r="GX116" t="e">
        <f>AND('STERLING CATALOG - DRY '!A2526,"AAAAAF3ff80=")</f>
        <v>#VALUE!</v>
      </c>
      <c r="GY116" t="e">
        <f>AND('STERLING CATALOG - DRY '!B2526,"AAAAAF3ff84=")</f>
        <v>#VALUE!</v>
      </c>
      <c r="GZ116" t="e">
        <f>AND('STERLING CATALOG - DRY '!C2526,"AAAAAF3ff88=")</f>
        <v>#VALUE!</v>
      </c>
      <c r="HA116" t="e">
        <f>AND('STERLING CATALOG - DRY '!D2526,"AAAAAF3ff9A=")</f>
        <v>#VALUE!</v>
      </c>
      <c r="HB116" t="e">
        <f>AND('STERLING CATALOG - DRY '!E2526,"AAAAAF3ff9E=")</f>
        <v>#VALUE!</v>
      </c>
      <c r="HC116" t="e">
        <f>AND('STERLING CATALOG - DRY '!F2526,"AAAAAF3ff9I=")</f>
        <v>#VALUE!</v>
      </c>
      <c r="HD116" t="e">
        <f>AND('STERLING CATALOG - DRY '!G2526,"AAAAAF3ff9M=")</f>
        <v>#VALUE!</v>
      </c>
      <c r="HE116" t="e">
        <f>AND('STERLING CATALOG - DRY '!H2526,"AAAAAF3ff9Q=")</f>
        <v>#VALUE!</v>
      </c>
      <c r="HF116" t="e">
        <f>AND('STERLING CATALOG - DRY '!I2526,"AAAAAF3ff9U=")</f>
        <v>#VALUE!</v>
      </c>
      <c r="HG116" t="e">
        <f>AND('STERLING CATALOG - DRY '!J2526,"AAAAAF3ff9Y=")</f>
        <v>#VALUE!</v>
      </c>
      <c r="HH116">
        <f>IF('STERLING CATALOG - DRY '!2527:2527,"AAAAAF3ff9c=",0)</f>
        <v>0</v>
      </c>
      <c r="HI116" t="e">
        <f>AND('STERLING CATALOG - DRY '!A2527,"AAAAAF3ff9g=")</f>
        <v>#VALUE!</v>
      </c>
      <c r="HJ116" t="e">
        <f>AND('STERLING CATALOG - DRY '!B2527,"AAAAAF3ff9k=")</f>
        <v>#VALUE!</v>
      </c>
      <c r="HK116" t="e">
        <f>AND('STERLING CATALOG - DRY '!C2527,"AAAAAF3ff9o=")</f>
        <v>#VALUE!</v>
      </c>
      <c r="HL116" t="e">
        <f>AND('STERLING CATALOG - DRY '!D2527,"AAAAAF3ff9s=")</f>
        <v>#VALUE!</v>
      </c>
      <c r="HM116" t="e">
        <f>AND('STERLING CATALOG - DRY '!E2527,"AAAAAF3ff9w=")</f>
        <v>#VALUE!</v>
      </c>
      <c r="HN116" t="e">
        <f>AND('STERLING CATALOG - DRY '!F2527,"AAAAAF3ff90=")</f>
        <v>#VALUE!</v>
      </c>
      <c r="HO116" t="e">
        <f>AND('STERLING CATALOG - DRY '!G2527,"AAAAAF3ff94=")</f>
        <v>#VALUE!</v>
      </c>
      <c r="HP116" t="e">
        <f>AND('STERLING CATALOG - DRY '!H2527,"AAAAAF3ff98=")</f>
        <v>#VALUE!</v>
      </c>
      <c r="HQ116" t="e">
        <f>AND('STERLING CATALOG - DRY '!I2527,"AAAAAF3ff+A=")</f>
        <v>#VALUE!</v>
      </c>
      <c r="HR116" t="e">
        <f>AND('STERLING CATALOG - DRY '!J2527,"AAAAAF3ff+E=")</f>
        <v>#VALUE!</v>
      </c>
      <c r="HS116">
        <f>IF('STERLING CATALOG - DRY '!2528:2528,"AAAAAF3ff+I=",0)</f>
        <v>0</v>
      </c>
      <c r="HT116" t="e">
        <f>AND('STERLING CATALOG - DRY '!A2528,"AAAAAF3ff+M=")</f>
        <v>#VALUE!</v>
      </c>
      <c r="HU116" t="e">
        <f>AND('STERLING CATALOG - DRY '!B2528,"AAAAAF3ff+Q=")</f>
        <v>#VALUE!</v>
      </c>
      <c r="HV116" t="e">
        <f>AND('STERLING CATALOG - DRY '!C2528,"AAAAAF3ff+U=")</f>
        <v>#VALUE!</v>
      </c>
      <c r="HW116" t="e">
        <f>AND('STERLING CATALOG - DRY '!D2528,"AAAAAF3ff+Y=")</f>
        <v>#VALUE!</v>
      </c>
      <c r="HX116" t="e">
        <f>AND('STERLING CATALOG - DRY '!E2528,"AAAAAF3ff+c=")</f>
        <v>#VALUE!</v>
      </c>
      <c r="HY116" t="e">
        <f>AND('STERLING CATALOG - DRY '!F2528,"AAAAAF3ff+g=")</f>
        <v>#VALUE!</v>
      </c>
      <c r="HZ116" t="e">
        <f>AND('STERLING CATALOG - DRY '!G2528,"AAAAAF3ff+k=")</f>
        <v>#VALUE!</v>
      </c>
      <c r="IA116" t="e">
        <f>AND('STERLING CATALOG - DRY '!H2528,"AAAAAF3ff+o=")</f>
        <v>#VALUE!</v>
      </c>
      <c r="IB116" t="e">
        <f>AND('STERLING CATALOG - DRY '!I2528,"AAAAAF3ff+s=")</f>
        <v>#VALUE!</v>
      </c>
      <c r="IC116" t="e">
        <f>AND('STERLING CATALOG - DRY '!J2528,"AAAAAF3ff+w=")</f>
        <v>#VALUE!</v>
      </c>
      <c r="ID116">
        <f>IF('STERLING CATALOG - DRY '!2529:2529,"AAAAAF3ff+0=",0)</f>
        <v>0</v>
      </c>
      <c r="IE116" t="e">
        <f>AND('STERLING CATALOG - DRY '!A2529,"AAAAAF3ff+4=")</f>
        <v>#VALUE!</v>
      </c>
      <c r="IF116" t="e">
        <f>AND('STERLING CATALOG - DRY '!B2529,"AAAAAF3ff+8=")</f>
        <v>#VALUE!</v>
      </c>
      <c r="IG116" t="e">
        <f>AND('STERLING CATALOG - DRY '!C2529,"AAAAAF3ff/A=")</f>
        <v>#VALUE!</v>
      </c>
      <c r="IH116" t="e">
        <f>AND('STERLING CATALOG - DRY '!D2529,"AAAAAF3ff/E=")</f>
        <v>#VALUE!</v>
      </c>
      <c r="II116" t="e">
        <f>AND('STERLING CATALOG - DRY '!E2529,"AAAAAF3ff/I=")</f>
        <v>#VALUE!</v>
      </c>
      <c r="IJ116" t="e">
        <f>AND('STERLING CATALOG - DRY '!F2529,"AAAAAF3ff/M=")</f>
        <v>#VALUE!</v>
      </c>
      <c r="IK116" t="e">
        <f>AND('STERLING CATALOG - DRY '!G2529,"AAAAAF3ff/Q=")</f>
        <v>#VALUE!</v>
      </c>
      <c r="IL116" t="e">
        <f>AND('STERLING CATALOG - DRY '!H2529,"AAAAAF3ff/U=")</f>
        <v>#VALUE!</v>
      </c>
      <c r="IM116" t="e">
        <f>AND('STERLING CATALOG - DRY '!I2529,"AAAAAF3ff/Y=")</f>
        <v>#VALUE!</v>
      </c>
      <c r="IN116" t="e">
        <f>AND('STERLING CATALOG - DRY '!J2529,"AAAAAF3ff/c=")</f>
        <v>#VALUE!</v>
      </c>
      <c r="IO116">
        <f>IF('STERLING CATALOG - DRY '!2530:2530,"AAAAAF3ff/g=",0)</f>
        <v>0</v>
      </c>
      <c r="IP116" t="e">
        <f>AND('STERLING CATALOG - DRY '!A2530,"AAAAAF3ff/k=")</f>
        <v>#VALUE!</v>
      </c>
      <c r="IQ116" t="e">
        <f>AND('STERLING CATALOG - DRY '!B2530,"AAAAAF3ff/o=")</f>
        <v>#VALUE!</v>
      </c>
      <c r="IR116" t="e">
        <f>AND('STERLING CATALOG - DRY '!C2530,"AAAAAF3ff/s=")</f>
        <v>#VALUE!</v>
      </c>
      <c r="IS116" t="e">
        <f>AND('STERLING CATALOG - DRY '!D2530,"AAAAAF3ff/w=")</f>
        <v>#VALUE!</v>
      </c>
      <c r="IT116" t="e">
        <f>AND('STERLING CATALOG - DRY '!E2530,"AAAAAF3ff/0=")</f>
        <v>#VALUE!</v>
      </c>
      <c r="IU116" t="e">
        <f>AND('STERLING CATALOG - DRY '!F2530,"AAAAAF3ff/4=")</f>
        <v>#VALUE!</v>
      </c>
      <c r="IV116" t="e">
        <f>AND('STERLING CATALOG - DRY '!G2530,"AAAAAF3ff/8=")</f>
        <v>#VALUE!</v>
      </c>
    </row>
    <row r="117" spans="1:256">
      <c r="A117" t="e">
        <f>AND('STERLING CATALOG - DRY '!H2530,"AAAAAHzzrwA=")</f>
        <v>#VALUE!</v>
      </c>
      <c r="B117" t="e">
        <f>AND('STERLING CATALOG - DRY '!I2530,"AAAAAHzzrwE=")</f>
        <v>#VALUE!</v>
      </c>
      <c r="C117" t="e">
        <f>AND('STERLING CATALOG - DRY '!J2530,"AAAAAHzzrwI=")</f>
        <v>#VALUE!</v>
      </c>
      <c r="D117" t="e">
        <f>IF('STERLING CATALOG - DRY '!2531:2531,"AAAAAHzzrwM=",0)</f>
        <v>#VALUE!</v>
      </c>
      <c r="E117" t="e">
        <f>AND('STERLING CATALOG - DRY '!A2531,"AAAAAHzzrwQ=")</f>
        <v>#VALUE!</v>
      </c>
      <c r="F117" t="e">
        <f>AND('STERLING CATALOG - DRY '!B2531,"AAAAAHzzrwU=")</f>
        <v>#VALUE!</v>
      </c>
      <c r="G117" t="e">
        <f>AND('STERLING CATALOG - DRY '!C2531,"AAAAAHzzrwY=")</f>
        <v>#VALUE!</v>
      </c>
      <c r="H117" t="e">
        <f>AND('STERLING CATALOG - DRY '!D2531,"AAAAAHzzrwc=")</f>
        <v>#VALUE!</v>
      </c>
      <c r="I117" t="e">
        <f>AND('STERLING CATALOG - DRY '!E2531,"AAAAAHzzrwg=")</f>
        <v>#VALUE!</v>
      </c>
      <c r="J117" t="e">
        <f>AND('STERLING CATALOG - DRY '!F2531,"AAAAAHzzrwk=")</f>
        <v>#VALUE!</v>
      </c>
      <c r="K117" t="e">
        <f>AND('STERLING CATALOG - DRY '!G2531,"AAAAAHzzrwo=")</f>
        <v>#VALUE!</v>
      </c>
      <c r="L117" t="e">
        <f>AND('STERLING CATALOG - DRY '!H2531,"AAAAAHzzrws=")</f>
        <v>#VALUE!</v>
      </c>
      <c r="M117" t="e">
        <f>AND('STERLING CATALOG - DRY '!I2531,"AAAAAHzzrww=")</f>
        <v>#VALUE!</v>
      </c>
      <c r="N117" t="e">
        <f>AND('STERLING CATALOG - DRY '!J2531,"AAAAAHzzrw0=")</f>
        <v>#VALUE!</v>
      </c>
      <c r="O117">
        <f>IF('STERLING CATALOG - DRY '!2532:2532,"AAAAAHzzrw4=",0)</f>
        <v>0</v>
      </c>
      <c r="P117" t="e">
        <f>AND('STERLING CATALOG - DRY '!A2532,"AAAAAHzzrw8=")</f>
        <v>#VALUE!</v>
      </c>
      <c r="Q117" t="e">
        <f>AND('STERLING CATALOG - DRY '!B2532,"AAAAAHzzrxA=")</f>
        <v>#VALUE!</v>
      </c>
      <c r="R117" t="e">
        <f>AND('STERLING CATALOG - DRY '!C2532,"AAAAAHzzrxE=")</f>
        <v>#VALUE!</v>
      </c>
      <c r="S117" t="e">
        <f>AND('STERLING CATALOG - DRY '!D2532,"AAAAAHzzrxI=")</f>
        <v>#VALUE!</v>
      </c>
      <c r="T117" t="e">
        <f>AND('STERLING CATALOG - DRY '!E2532,"AAAAAHzzrxM=")</f>
        <v>#VALUE!</v>
      </c>
      <c r="U117" t="e">
        <f>AND('STERLING CATALOG - DRY '!F2532,"AAAAAHzzrxQ=")</f>
        <v>#VALUE!</v>
      </c>
      <c r="V117" t="e">
        <f>AND('STERLING CATALOG - DRY '!G2532,"AAAAAHzzrxU=")</f>
        <v>#VALUE!</v>
      </c>
      <c r="W117" t="e">
        <f>AND('STERLING CATALOG - DRY '!H2532,"AAAAAHzzrxY=")</f>
        <v>#VALUE!</v>
      </c>
      <c r="X117" t="e">
        <f>AND('STERLING CATALOG - DRY '!I2532,"AAAAAHzzrxc=")</f>
        <v>#VALUE!</v>
      </c>
      <c r="Y117" t="e">
        <f>AND('STERLING CATALOG - DRY '!J2532,"AAAAAHzzrxg=")</f>
        <v>#VALUE!</v>
      </c>
      <c r="Z117">
        <f>IF('STERLING CATALOG - DRY '!2533:2533,"AAAAAHzzrxk=",0)</f>
        <v>0</v>
      </c>
      <c r="AA117" t="e">
        <f>AND('STERLING CATALOG - DRY '!A2533,"AAAAAHzzrxo=")</f>
        <v>#VALUE!</v>
      </c>
      <c r="AB117" t="e">
        <f>AND('STERLING CATALOG - DRY '!B2533,"AAAAAHzzrxs=")</f>
        <v>#VALUE!</v>
      </c>
      <c r="AC117" t="e">
        <f>AND('STERLING CATALOG - DRY '!C2533,"AAAAAHzzrxw=")</f>
        <v>#VALUE!</v>
      </c>
      <c r="AD117" t="e">
        <f>AND('STERLING CATALOG - DRY '!D2533,"AAAAAHzzrx0=")</f>
        <v>#VALUE!</v>
      </c>
      <c r="AE117" t="e">
        <f>AND('STERLING CATALOG - DRY '!E2533,"AAAAAHzzrx4=")</f>
        <v>#VALUE!</v>
      </c>
      <c r="AF117" t="e">
        <f>AND('STERLING CATALOG - DRY '!F2533,"AAAAAHzzrx8=")</f>
        <v>#VALUE!</v>
      </c>
      <c r="AG117" t="e">
        <f>AND('STERLING CATALOG - DRY '!G2533,"AAAAAHzzryA=")</f>
        <v>#VALUE!</v>
      </c>
      <c r="AH117" t="e">
        <f>AND('STERLING CATALOG - DRY '!H2533,"AAAAAHzzryE=")</f>
        <v>#VALUE!</v>
      </c>
      <c r="AI117" t="e">
        <f>AND('STERLING CATALOG - DRY '!I2533,"AAAAAHzzryI=")</f>
        <v>#VALUE!</v>
      </c>
      <c r="AJ117" t="e">
        <f>AND('STERLING CATALOG - DRY '!J2533,"AAAAAHzzryM=")</f>
        <v>#VALUE!</v>
      </c>
      <c r="AK117">
        <f>IF('STERLING CATALOG - DRY '!2534:2534,"AAAAAHzzryQ=",0)</f>
        <v>0</v>
      </c>
      <c r="AL117" t="e">
        <f>AND('STERLING CATALOG - DRY '!A2534,"AAAAAHzzryU=")</f>
        <v>#VALUE!</v>
      </c>
      <c r="AM117" t="e">
        <f>AND('STERLING CATALOG - DRY '!B2534,"AAAAAHzzryY=")</f>
        <v>#VALUE!</v>
      </c>
      <c r="AN117" t="e">
        <f>AND('STERLING CATALOG - DRY '!C2534,"AAAAAHzzryc=")</f>
        <v>#VALUE!</v>
      </c>
      <c r="AO117" t="e">
        <f>AND('STERLING CATALOG - DRY '!D2534,"AAAAAHzzryg=")</f>
        <v>#VALUE!</v>
      </c>
      <c r="AP117" t="e">
        <f>AND('STERLING CATALOG - DRY '!E2534,"AAAAAHzzryk=")</f>
        <v>#VALUE!</v>
      </c>
      <c r="AQ117" t="e">
        <f>AND('STERLING CATALOG - DRY '!F2534,"AAAAAHzzryo=")</f>
        <v>#VALUE!</v>
      </c>
      <c r="AR117" t="e">
        <f>AND('STERLING CATALOG - DRY '!G2534,"AAAAAHzzrys=")</f>
        <v>#VALUE!</v>
      </c>
      <c r="AS117" t="e">
        <f>AND('STERLING CATALOG - DRY '!H2534,"AAAAAHzzryw=")</f>
        <v>#VALUE!</v>
      </c>
      <c r="AT117" t="e">
        <f>AND('STERLING CATALOG - DRY '!I2534,"AAAAAHzzry0=")</f>
        <v>#VALUE!</v>
      </c>
      <c r="AU117" t="e">
        <f>AND('STERLING CATALOG - DRY '!J2534,"AAAAAHzzry4=")</f>
        <v>#VALUE!</v>
      </c>
      <c r="AV117">
        <f>IF('STERLING CATALOG - DRY '!2535:2535,"AAAAAHzzry8=",0)</f>
        <v>0</v>
      </c>
      <c r="AW117" t="e">
        <f>AND('STERLING CATALOG - DRY '!A2535,"AAAAAHzzrzA=")</f>
        <v>#VALUE!</v>
      </c>
      <c r="AX117" t="e">
        <f>AND('STERLING CATALOG - DRY '!B2535,"AAAAAHzzrzE=")</f>
        <v>#VALUE!</v>
      </c>
      <c r="AY117" t="e">
        <f>AND('STERLING CATALOG - DRY '!C2535,"AAAAAHzzrzI=")</f>
        <v>#VALUE!</v>
      </c>
      <c r="AZ117" t="e">
        <f>AND('STERLING CATALOG - DRY '!D2535,"AAAAAHzzrzM=")</f>
        <v>#VALUE!</v>
      </c>
      <c r="BA117" t="e">
        <f>AND('STERLING CATALOG - DRY '!E2535,"AAAAAHzzrzQ=")</f>
        <v>#VALUE!</v>
      </c>
      <c r="BB117" t="e">
        <f>AND('STERLING CATALOG - DRY '!F2535,"AAAAAHzzrzU=")</f>
        <v>#VALUE!</v>
      </c>
      <c r="BC117" t="e">
        <f>AND('STERLING CATALOG - DRY '!G2535,"AAAAAHzzrzY=")</f>
        <v>#VALUE!</v>
      </c>
      <c r="BD117" t="e">
        <f>AND('STERLING CATALOG - DRY '!H2535,"AAAAAHzzrzc=")</f>
        <v>#VALUE!</v>
      </c>
      <c r="BE117" t="e">
        <f>AND('STERLING CATALOG - DRY '!I2535,"AAAAAHzzrzg=")</f>
        <v>#VALUE!</v>
      </c>
      <c r="BF117" t="e">
        <f>AND('STERLING CATALOG - DRY '!J2535,"AAAAAHzzrzk=")</f>
        <v>#VALUE!</v>
      </c>
      <c r="BG117">
        <f>IF('STERLING CATALOG - DRY '!2536:2536,"AAAAAHzzrzo=",0)</f>
        <v>0</v>
      </c>
      <c r="BH117" t="e">
        <f>AND('STERLING CATALOG - DRY '!A2536,"AAAAAHzzrzs=")</f>
        <v>#VALUE!</v>
      </c>
      <c r="BI117" t="e">
        <f>AND('STERLING CATALOG - DRY '!B2536,"AAAAAHzzrzw=")</f>
        <v>#VALUE!</v>
      </c>
      <c r="BJ117" t="e">
        <f>AND('STERLING CATALOG - DRY '!C2536,"AAAAAHzzrz0=")</f>
        <v>#VALUE!</v>
      </c>
      <c r="BK117" t="e">
        <f>AND('STERLING CATALOG - DRY '!D2536,"AAAAAHzzrz4=")</f>
        <v>#VALUE!</v>
      </c>
      <c r="BL117" t="e">
        <f>AND('STERLING CATALOG - DRY '!E2536,"AAAAAHzzrz8=")</f>
        <v>#VALUE!</v>
      </c>
      <c r="BM117" t="e">
        <f>AND('STERLING CATALOG - DRY '!F2536,"AAAAAHzzr0A=")</f>
        <v>#VALUE!</v>
      </c>
      <c r="BN117" t="e">
        <f>AND('STERLING CATALOG - DRY '!G2536,"AAAAAHzzr0E=")</f>
        <v>#VALUE!</v>
      </c>
      <c r="BO117" t="e">
        <f>AND('STERLING CATALOG - DRY '!H2536,"AAAAAHzzr0I=")</f>
        <v>#VALUE!</v>
      </c>
      <c r="BP117" t="e">
        <f>AND('STERLING CATALOG - DRY '!I2536,"AAAAAHzzr0M=")</f>
        <v>#VALUE!</v>
      </c>
      <c r="BQ117" t="e">
        <f>AND('STERLING CATALOG - DRY '!J2536,"AAAAAHzzr0Q=")</f>
        <v>#VALUE!</v>
      </c>
      <c r="BR117">
        <f>IF('STERLING CATALOG - DRY '!2537:2537,"AAAAAHzzr0U=",0)</f>
        <v>0</v>
      </c>
      <c r="BS117" t="e">
        <f>AND('STERLING CATALOG - DRY '!A2537,"AAAAAHzzr0Y=")</f>
        <v>#VALUE!</v>
      </c>
      <c r="BT117" t="e">
        <f>AND('STERLING CATALOG - DRY '!B2537,"AAAAAHzzr0c=")</f>
        <v>#VALUE!</v>
      </c>
      <c r="BU117" t="e">
        <f>AND('STERLING CATALOG - DRY '!C2537,"AAAAAHzzr0g=")</f>
        <v>#VALUE!</v>
      </c>
      <c r="BV117" t="e">
        <f>AND('STERLING CATALOG - DRY '!D2537,"AAAAAHzzr0k=")</f>
        <v>#VALUE!</v>
      </c>
      <c r="BW117" t="e">
        <f>AND('STERLING CATALOG - DRY '!E2537,"AAAAAHzzr0o=")</f>
        <v>#VALUE!</v>
      </c>
      <c r="BX117" t="e">
        <f>AND('STERLING CATALOG - DRY '!F2537,"AAAAAHzzr0s=")</f>
        <v>#VALUE!</v>
      </c>
      <c r="BY117" t="e">
        <f>AND('STERLING CATALOG - DRY '!G2537,"AAAAAHzzr0w=")</f>
        <v>#VALUE!</v>
      </c>
      <c r="BZ117" t="e">
        <f>AND('STERLING CATALOG - DRY '!H2537,"AAAAAHzzr00=")</f>
        <v>#VALUE!</v>
      </c>
      <c r="CA117" t="e">
        <f>AND('STERLING CATALOG - DRY '!I2537,"AAAAAHzzr04=")</f>
        <v>#VALUE!</v>
      </c>
      <c r="CB117" t="e">
        <f>AND('STERLING CATALOG - DRY '!J2537,"AAAAAHzzr08=")</f>
        <v>#VALUE!</v>
      </c>
      <c r="CC117">
        <f>IF('STERLING CATALOG - DRY '!2538:2538,"AAAAAHzzr1A=",0)</f>
        <v>0</v>
      </c>
      <c r="CD117" t="e">
        <f>AND('STERLING CATALOG - DRY '!A2538,"AAAAAHzzr1E=")</f>
        <v>#VALUE!</v>
      </c>
      <c r="CE117" t="e">
        <f>AND('STERLING CATALOG - DRY '!B2538,"AAAAAHzzr1I=")</f>
        <v>#VALUE!</v>
      </c>
      <c r="CF117" t="e">
        <f>AND('STERLING CATALOG - DRY '!C2538,"AAAAAHzzr1M=")</f>
        <v>#VALUE!</v>
      </c>
      <c r="CG117" t="e">
        <f>AND('STERLING CATALOG - DRY '!D2538,"AAAAAHzzr1Q=")</f>
        <v>#VALUE!</v>
      </c>
      <c r="CH117" t="e">
        <f>AND('STERLING CATALOG - DRY '!E2538,"AAAAAHzzr1U=")</f>
        <v>#VALUE!</v>
      </c>
      <c r="CI117" t="e">
        <f>AND('STERLING CATALOG - DRY '!F2538,"AAAAAHzzr1Y=")</f>
        <v>#VALUE!</v>
      </c>
      <c r="CJ117" t="e">
        <f>AND('STERLING CATALOG - DRY '!G2538,"AAAAAHzzr1c=")</f>
        <v>#VALUE!</v>
      </c>
      <c r="CK117" t="e">
        <f>AND('STERLING CATALOG - DRY '!H2538,"AAAAAHzzr1g=")</f>
        <v>#VALUE!</v>
      </c>
      <c r="CL117" t="e">
        <f>AND('STERLING CATALOG - DRY '!I2538,"AAAAAHzzr1k=")</f>
        <v>#VALUE!</v>
      </c>
      <c r="CM117" t="e">
        <f>AND('STERLING CATALOG - DRY '!J2538,"AAAAAHzzr1o=")</f>
        <v>#VALUE!</v>
      </c>
      <c r="CN117">
        <f>IF('STERLING CATALOG - DRY '!2539:2539,"AAAAAHzzr1s=",0)</f>
        <v>0</v>
      </c>
      <c r="CO117" t="e">
        <f>AND('STERLING CATALOG - DRY '!A2539,"AAAAAHzzr1w=")</f>
        <v>#VALUE!</v>
      </c>
      <c r="CP117" t="e">
        <f>AND('STERLING CATALOG - DRY '!B2539,"AAAAAHzzr10=")</f>
        <v>#VALUE!</v>
      </c>
      <c r="CQ117" t="e">
        <f>AND('STERLING CATALOG - DRY '!C2539,"AAAAAHzzr14=")</f>
        <v>#VALUE!</v>
      </c>
      <c r="CR117" t="e">
        <f>AND('STERLING CATALOG - DRY '!D2539,"AAAAAHzzr18=")</f>
        <v>#VALUE!</v>
      </c>
      <c r="CS117" t="e">
        <f>AND('STERLING CATALOG - DRY '!E2539,"AAAAAHzzr2A=")</f>
        <v>#VALUE!</v>
      </c>
      <c r="CT117" t="e">
        <f>AND('STERLING CATALOG - DRY '!F2539,"AAAAAHzzr2E=")</f>
        <v>#VALUE!</v>
      </c>
      <c r="CU117" t="e">
        <f>AND('STERLING CATALOG - DRY '!G2539,"AAAAAHzzr2I=")</f>
        <v>#VALUE!</v>
      </c>
      <c r="CV117" t="e">
        <f>AND('STERLING CATALOG - DRY '!H2539,"AAAAAHzzr2M=")</f>
        <v>#VALUE!</v>
      </c>
      <c r="CW117" t="e">
        <f>AND('STERLING CATALOG - DRY '!I2539,"AAAAAHzzr2Q=")</f>
        <v>#VALUE!</v>
      </c>
      <c r="CX117" t="e">
        <f>AND('STERLING CATALOG - DRY '!J2539,"AAAAAHzzr2U=")</f>
        <v>#VALUE!</v>
      </c>
      <c r="CY117">
        <f>IF('STERLING CATALOG - DRY '!2540:2540,"AAAAAHzzr2Y=",0)</f>
        <v>0</v>
      </c>
      <c r="CZ117" t="e">
        <f>AND('STERLING CATALOG - DRY '!A2540,"AAAAAHzzr2c=")</f>
        <v>#VALUE!</v>
      </c>
      <c r="DA117" t="e">
        <f>AND('STERLING CATALOG - DRY '!B2540,"AAAAAHzzr2g=")</f>
        <v>#VALUE!</v>
      </c>
      <c r="DB117" t="e">
        <f>AND('STERLING CATALOG - DRY '!C2540,"AAAAAHzzr2k=")</f>
        <v>#VALUE!</v>
      </c>
      <c r="DC117" t="e">
        <f>AND('STERLING CATALOG - DRY '!D2540,"AAAAAHzzr2o=")</f>
        <v>#VALUE!</v>
      </c>
      <c r="DD117" t="e">
        <f>AND('STERLING CATALOG - DRY '!E2540,"AAAAAHzzr2s=")</f>
        <v>#VALUE!</v>
      </c>
      <c r="DE117" t="e">
        <f>AND('STERLING CATALOG - DRY '!F2540,"AAAAAHzzr2w=")</f>
        <v>#VALUE!</v>
      </c>
      <c r="DF117" t="e">
        <f>AND('STERLING CATALOG - DRY '!G2540,"AAAAAHzzr20=")</f>
        <v>#VALUE!</v>
      </c>
      <c r="DG117" t="e">
        <f>AND('STERLING CATALOG - DRY '!H2540,"AAAAAHzzr24=")</f>
        <v>#VALUE!</v>
      </c>
      <c r="DH117" t="e">
        <f>AND('STERLING CATALOG - DRY '!I2540,"AAAAAHzzr28=")</f>
        <v>#VALUE!</v>
      </c>
      <c r="DI117" t="e">
        <f>AND('STERLING CATALOG - DRY '!J2540,"AAAAAHzzr3A=")</f>
        <v>#VALUE!</v>
      </c>
      <c r="DJ117">
        <f>IF('STERLING CATALOG - DRY '!2541:2541,"AAAAAHzzr3E=",0)</f>
        <v>0</v>
      </c>
      <c r="DK117" t="e">
        <f>AND('STERLING CATALOG - DRY '!A2541,"AAAAAHzzr3I=")</f>
        <v>#VALUE!</v>
      </c>
      <c r="DL117" t="e">
        <f>AND('STERLING CATALOG - DRY '!B2541,"AAAAAHzzr3M=")</f>
        <v>#VALUE!</v>
      </c>
      <c r="DM117" t="e">
        <f>AND('STERLING CATALOG - DRY '!C2541,"AAAAAHzzr3Q=")</f>
        <v>#VALUE!</v>
      </c>
      <c r="DN117" t="e">
        <f>AND('STERLING CATALOG - DRY '!D2541,"AAAAAHzzr3U=")</f>
        <v>#VALUE!</v>
      </c>
      <c r="DO117" t="e">
        <f>AND('STERLING CATALOG - DRY '!E2541,"AAAAAHzzr3Y=")</f>
        <v>#VALUE!</v>
      </c>
      <c r="DP117" t="e">
        <f>AND('STERLING CATALOG - DRY '!F2541,"AAAAAHzzr3c=")</f>
        <v>#VALUE!</v>
      </c>
      <c r="DQ117" t="e">
        <f>AND('STERLING CATALOG - DRY '!G2541,"AAAAAHzzr3g=")</f>
        <v>#VALUE!</v>
      </c>
      <c r="DR117" t="e">
        <f>AND('STERLING CATALOG - DRY '!H2541,"AAAAAHzzr3k=")</f>
        <v>#VALUE!</v>
      </c>
      <c r="DS117" t="e">
        <f>AND('STERLING CATALOG - DRY '!I2541,"AAAAAHzzr3o=")</f>
        <v>#VALUE!</v>
      </c>
      <c r="DT117" t="e">
        <f>AND('STERLING CATALOG - DRY '!J2541,"AAAAAHzzr3s=")</f>
        <v>#VALUE!</v>
      </c>
      <c r="DU117">
        <f>IF('STERLING CATALOG - DRY '!2542:2542,"AAAAAHzzr3w=",0)</f>
        <v>0</v>
      </c>
      <c r="DV117" t="e">
        <f>AND('STERLING CATALOG - DRY '!A2542,"AAAAAHzzr30=")</f>
        <v>#VALUE!</v>
      </c>
      <c r="DW117" t="e">
        <f>AND('STERLING CATALOG - DRY '!B2542,"AAAAAHzzr34=")</f>
        <v>#VALUE!</v>
      </c>
      <c r="DX117" t="e">
        <f>AND('STERLING CATALOG - DRY '!C2542,"AAAAAHzzr38=")</f>
        <v>#VALUE!</v>
      </c>
      <c r="DY117" t="e">
        <f>AND('STERLING CATALOG - DRY '!D2542,"AAAAAHzzr4A=")</f>
        <v>#VALUE!</v>
      </c>
      <c r="DZ117" t="e">
        <f>AND('STERLING CATALOG - DRY '!E2542,"AAAAAHzzr4E=")</f>
        <v>#VALUE!</v>
      </c>
      <c r="EA117" t="e">
        <f>AND('STERLING CATALOG - DRY '!F2542,"AAAAAHzzr4I=")</f>
        <v>#VALUE!</v>
      </c>
      <c r="EB117" t="e">
        <f>AND('STERLING CATALOG - DRY '!G2542,"AAAAAHzzr4M=")</f>
        <v>#VALUE!</v>
      </c>
      <c r="EC117" t="e">
        <f>AND('STERLING CATALOG - DRY '!H2542,"AAAAAHzzr4Q=")</f>
        <v>#VALUE!</v>
      </c>
      <c r="ED117" t="e">
        <f>AND('STERLING CATALOG - DRY '!I2542,"AAAAAHzzr4U=")</f>
        <v>#VALUE!</v>
      </c>
      <c r="EE117" t="e">
        <f>AND('STERLING CATALOG - DRY '!J2542,"AAAAAHzzr4Y=")</f>
        <v>#VALUE!</v>
      </c>
      <c r="EF117">
        <f>IF('STERLING CATALOG - DRY '!2543:2543,"AAAAAHzzr4c=",0)</f>
        <v>0</v>
      </c>
      <c r="EG117" t="e">
        <f>AND('STERLING CATALOG - DRY '!A2543,"AAAAAHzzr4g=")</f>
        <v>#VALUE!</v>
      </c>
      <c r="EH117" t="e">
        <f>AND('STERLING CATALOG - DRY '!B2543,"AAAAAHzzr4k=")</f>
        <v>#VALUE!</v>
      </c>
      <c r="EI117" t="e">
        <f>AND('STERLING CATALOG - DRY '!C2543,"AAAAAHzzr4o=")</f>
        <v>#VALUE!</v>
      </c>
      <c r="EJ117" t="e">
        <f>AND('STERLING CATALOG - DRY '!D2543,"AAAAAHzzr4s=")</f>
        <v>#VALUE!</v>
      </c>
      <c r="EK117" t="e">
        <f>AND('STERLING CATALOG - DRY '!E2543,"AAAAAHzzr4w=")</f>
        <v>#VALUE!</v>
      </c>
      <c r="EL117" t="e">
        <f>AND('STERLING CATALOG - DRY '!F2543,"AAAAAHzzr40=")</f>
        <v>#VALUE!</v>
      </c>
      <c r="EM117" t="e">
        <f>AND('STERLING CATALOG - DRY '!G2543,"AAAAAHzzr44=")</f>
        <v>#VALUE!</v>
      </c>
      <c r="EN117" t="e">
        <f>AND('STERLING CATALOG - DRY '!H2543,"AAAAAHzzr48=")</f>
        <v>#VALUE!</v>
      </c>
      <c r="EO117" t="e">
        <f>AND('STERLING CATALOG - DRY '!I2543,"AAAAAHzzr5A=")</f>
        <v>#VALUE!</v>
      </c>
      <c r="EP117" t="e">
        <f>AND('STERLING CATALOG - DRY '!J2543,"AAAAAHzzr5E=")</f>
        <v>#VALUE!</v>
      </c>
      <c r="EQ117">
        <f>IF('STERLING CATALOG - DRY '!2544:2544,"AAAAAHzzr5I=",0)</f>
        <v>0</v>
      </c>
      <c r="ER117" t="e">
        <f>AND('STERLING CATALOG - DRY '!A2544,"AAAAAHzzr5M=")</f>
        <v>#VALUE!</v>
      </c>
      <c r="ES117" t="e">
        <f>AND('STERLING CATALOG - DRY '!B2544,"AAAAAHzzr5Q=")</f>
        <v>#VALUE!</v>
      </c>
      <c r="ET117" t="e">
        <f>AND('STERLING CATALOG - DRY '!C2544,"AAAAAHzzr5U=")</f>
        <v>#VALUE!</v>
      </c>
      <c r="EU117" t="e">
        <f>AND('STERLING CATALOG - DRY '!D2544,"AAAAAHzzr5Y=")</f>
        <v>#VALUE!</v>
      </c>
      <c r="EV117" t="e">
        <f>AND('STERLING CATALOG - DRY '!E2544,"AAAAAHzzr5c=")</f>
        <v>#VALUE!</v>
      </c>
      <c r="EW117" t="e">
        <f>AND('STERLING CATALOG - DRY '!F2544,"AAAAAHzzr5g=")</f>
        <v>#VALUE!</v>
      </c>
      <c r="EX117" t="e">
        <f>AND('STERLING CATALOG - DRY '!G2544,"AAAAAHzzr5k=")</f>
        <v>#VALUE!</v>
      </c>
      <c r="EY117" t="e">
        <f>AND('STERLING CATALOG - DRY '!H2544,"AAAAAHzzr5o=")</f>
        <v>#VALUE!</v>
      </c>
      <c r="EZ117" t="e">
        <f>AND('STERLING CATALOG - DRY '!I2544,"AAAAAHzzr5s=")</f>
        <v>#VALUE!</v>
      </c>
      <c r="FA117" t="e">
        <f>AND('STERLING CATALOG - DRY '!J2544,"AAAAAHzzr5w=")</f>
        <v>#VALUE!</v>
      </c>
      <c r="FB117">
        <f>IF('STERLING CATALOG - DRY '!2545:2545,"AAAAAHzzr50=",0)</f>
        <v>0</v>
      </c>
      <c r="FC117" t="e">
        <f>AND('STERLING CATALOG - DRY '!A2545,"AAAAAHzzr54=")</f>
        <v>#VALUE!</v>
      </c>
      <c r="FD117" t="e">
        <f>AND('STERLING CATALOG - DRY '!B2545,"AAAAAHzzr58=")</f>
        <v>#VALUE!</v>
      </c>
      <c r="FE117" t="e">
        <f>AND('STERLING CATALOG - DRY '!C2545,"AAAAAHzzr6A=")</f>
        <v>#VALUE!</v>
      </c>
      <c r="FF117" t="e">
        <f>AND('STERLING CATALOG - DRY '!D2545,"AAAAAHzzr6E=")</f>
        <v>#VALUE!</v>
      </c>
      <c r="FG117" t="e">
        <f>AND('STERLING CATALOG - DRY '!E2545,"AAAAAHzzr6I=")</f>
        <v>#VALUE!</v>
      </c>
      <c r="FH117" t="e">
        <f>AND('STERLING CATALOG - DRY '!F2545,"AAAAAHzzr6M=")</f>
        <v>#VALUE!</v>
      </c>
      <c r="FI117" t="e">
        <f>AND('STERLING CATALOG - DRY '!G2545,"AAAAAHzzr6Q=")</f>
        <v>#VALUE!</v>
      </c>
      <c r="FJ117" t="e">
        <f>AND('STERLING CATALOG - DRY '!H2545,"AAAAAHzzr6U=")</f>
        <v>#VALUE!</v>
      </c>
      <c r="FK117" t="e">
        <f>AND('STERLING CATALOG - DRY '!I2545,"AAAAAHzzr6Y=")</f>
        <v>#VALUE!</v>
      </c>
      <c r="FL117" t="e">
        <f>AND('STERLING CATALOG - DRY '!J2545,"AAAAAHzzr6c=")</f>
        <v>#VALUE!</v>
      </c>
      <c r="FM117">
        <f>IF('STERLING CATALOG - DRY '!2546:2546,"AAAAAHzzr6g=",0)</f>
        <v>0</v>
      </c>
      <c r="FN117" t="e">
        <f>AND('STERLING CATALOG - DRY '!A2546,"AAAAAHzzr6k=")</f>
        <v>#VALUE!</v>
      </c>
      <c r="FO117" t="e">
        <f>AND('STERLING CATALOG - DRY '!B2546,"AAAAAHzzr6o=")</f>
        <v>#VALUE!</v>
      </c>
      <c r="FP117" t="e">
        <f>AND('STERLING CATALOG - DRY '!C2546,"AAAAAHzzr6s=")</f>
        <v>#VALUE!</v>
      </c>
      <c r="FQ117" t="e">
        <f>AND('STERLING CATALOG - DRY '!D2546,"AAAAAHzzr6w=")</f>
        <v>#VALUE!</v>
      </c>
      <c r="FR117" t="e">
        <f>AND('STERLING CATALOG - DRY '!E2546,"AAAAAHzzr60=")</f>
        <v>#VALUE!</v>
      </c>
      <c r="FS117" t="e">
        <f>AND('STERLING CATALOG - DRY '!F2546,"AAAAAHzzr64=")</f>
        <v>#VALUE!</v>
      </c>
      <c r="FT117" t="e">
        <f>AND('STERLING CATALOG - DRY '!G2546,"AAAAAHzzr68=")</f>
        <v>#VALUE!</v>
      </c>
      <c r="FU117" t="e">
        <f>AND('STERLING CATALOG - DRY '!H2546,"AAAAAHzzr7A=")</f>
        <v>#VALUE!</v>
      </c>
      <c r="FV117" t="e">
        <f>AND('STERLING CATALOG - DRY '!I2546,"AAAAAHzzr7E=")</f>
        <v>#VALUE!</v>
      </c>
      <c r="FW117" t="e">
        <f>AND('STERLING CATALOG - DRY '!J2546,"AAAAAHzzr7I=")</f>
        <v>#VALUE!</v>
      </c>
      <c r="FX117">
        <f>IF('STERLING CATALOG - DRY '!2547:2547,"AAAAAHzzr7M=",0)</f>
        <v>0</v>
      </c>
      <c r="FY117" t="e">
        <f>AND('STERLING CATALOG - DRY '!A2547,"AAAAAHzzr7Q=")</f>
        <v>#VALUE!</v>
      </c>
      <c r="FZ117" t="e">
        <f>AND('STERLING CATALOG - DRY '!B2547,"AAAAAHzzr7U=")</f>
        <v>#VALUE!</v>
      </c>
      <c r="GA117" t="e">
        <f>AND('STERLING CATALOG - DRY '!C2547,"AAAAAHzzr7Y=")</f>
        <v>#VALUE!</v>
      </c>
      <c r="GB117" t="e">
        <f>AND('STERLING CATALOG - DRY '!D2547,"AAAAAHzzr7c=")</f>
        <v>#VALUE!</v>
      </c>
      <c r="GC117" t="e">
        <f>AND('STERLING CATALOG - DRY '!E2547,"AAAAAHzzr7g=")</f>
        <v>#VALUE!</v>
      </c>
      <c r="GD117" t="e">
        <f>AND('STERLING CATALOG - DRY '!F2547,"AAAAAHzzr7k=")</f>
        <v>#VALUE!</v>
      </c>
      <c r="GE117" t="e">
        <f>AND('STERLING CATALOG - DRY '!G2547,"AAAAAHzzr7o=")</f>
        <v>#VALUE!</v>
      </c>
      <c r="GF117" t="e">
        <f>AND('STERLING CATALOG - DRY '!H2547,"AAAAAHzzr7s=")</f>
        <v>#VALUE!</v>
      </c>
      <c r="GG117" t="e">
        <f>AND('STERLING CATALOG - DRY '!I2547,"AAAAAHzzr7w=")</f>
        <v>#VALUE!</v>
      </c>
      <c r="GH117" t="e">
        <f>AND('STERLING CATALOG - DRY '!J2547,"AAAAAHzzr70=")</f>
        <v>#VALUE!</v>
      </c>
      <c r="GI117">
        <f>IF('STERLING CATALOG - DRY '!2548:2548,"AAAAAHzzr74=",0)</f>
        <v>0</v>
      </c>
      <c r="GJ117" t="e">
        <f>AND('STERLING CATALOG - DRY '!A2548,"AAAAAHzzr78=")</f>
        <v>#VALUE!</v>
      </c>
      <c r="GK117" t="e">
        <f>AND('STERLING CATALOG - DRY '!B2548,"AAAAAHzzr8A=")</f>
        <v>#VALUE!</v>
      </c>
      <c r="GL117" t="e">
        <f>AND('STERLING CATALOG - DRY '!C2548,"AAAAAHzzr8E=")</f>
        <v>#VALUE!</v>
      </c>
      <c r="GM117" t="e">
        <f>AND('STERLING CATALOG - DRY '!D2548,"AAAAAHzzr8I=")</f>
        <v>#VALUE!</v>
      </c>
      <c r="GN117" t="e">
        <f>AND('STERLING CATALOG - DRY '!E2548,"AAAAAHzzr8M=")</f>
        <v>#VALUE!</v>
      </c>
      <c r="GO117" t="e">
        <f>AND('STERLING CATALOG - DRY '!F2548,"AAAAAHzzr8Q=")</f>
        <v>#VALUE!</v>
      </c>
      <c r="GP117" t="e">
        <f>AND('STERLING CATALOG - DRY '!G2548,"AAAAAHzzr8U=")</f>
        <v>#VALUE!</v>
      </c>
      <c r="GQ117" t="e">
        <f>AND('STERLING CATALOG - DRY '!H2548,"AAAAAHzzr8Y=")</f>
        <v>#VALUE!</v>
      </c>
      <c r="GR117" t="e">
        <f>AND('STERLING CATALOG - DRY '!I2548,"AAAAAHzzr8c=")</f>
        <v>#VALUE!</v>
      </c>
      <c r="GS117" t="e">
        <f>AND('STERLING CATALOG - DRY '!J2548,"AAAAAHzzr8g=")</f>
        <v>#VALUE!</v>
      </c>
      <c r="GT117">
        <f>IF('STERLING CATALOG - DRY '!2549:2549,"AAAAAHzzr8k=",0)</f>
        <v>0</v>
      </c>
      <c r="GU117" t="e">
        <f>AND('STERLING CATALOG - DRY '!A2549,"AAAAAHzzr8o=")</f>
        <v>#VALUE!</v>
      </c>
      <c r="GV117" t="e">
        <f>AND('STERLING CATALOG - DRY '!B2549,"AAAAAHzzr8s=")</f>
        <v>#VALUE!</v>
      </c>
      <c r="GW117" t="e">
        <f>AND('STERLING CATALOG - DRY '!C2549,"AAAAAHzzr8w=")</f>
        <v>#VALUE!</v>
      </c>
      <c r="GX117" t="e">
        <f>AND('STERLING CATALOG - DRY '!D2549,"AAAAAHzzr80=")</f>
        <v>#VALUE!</v>
      </c>
      <c r="GY117" t="e">
        <f>AND('STERLING CATALOG - DRY '!E2549,"AAAAAHzzr84=")</f>
        <v>#VALUE!</v>
      </c>
      <c r="GZ117" t="e">
        <f>AND('STERLING CATALOG - DRY '!F2549,"AAAAAHzzr88=")</f>
        <v>#VALUE!</v>
      </c>
      <c r="HA117" t="e">
        <f>AND('STERLING CATALOG - DRY '!G2549,"AAAAAHzzr9A=")</f>
        <v>#VALUE!</v>
      </c>
      <c r="HB117" t="e">
        <f>AND('STERLING CATALOG - DRY '!H2549,"AAAAAHzzr9E=")</f>
        <v>#VALUE!</v>
      </c>
      <c r="HC117" t="e">
        <f>AND('STERLING CATALOG - DRY '!I2549,"AAAAAHzzr9I=")</f>
        <v>#VALUE!</v>
      </c>
      <c r="HD117" t="e">
        <f>AND('STERLING CATALOG - DRY '!J2549,"AAAAAHzzr9M=")</f>
        <v>#VALUE!</v>
      </c>
      <c r="HE117">
        <f>IF('STERLING CATALOG - DRY '!2550:2550,"AAAAAHzzr9Q=",0)</f>
        <v>0</v>
      </c>
      <c r="HF117" t="e">
        <f>AND('STERLING CATALOG - DRY '!A2550,"AAAAAHzzr9U=")</f>
        <v>#VALUE!</v>
      </c>
      <c r="HG117" t="e">
        <f>AND('STERLING CATALOG - DRY '!B2550,"AAAAAHzzr9Y=")</f>
        <v>#VALUE!</v>
      </c>
      <c r="HH117" t="e">
        <f>AND('STERLING CATALOG - DRY '!C2550,"AAAAAHzzr9c=")</f>
        <v>#VALUE!</v>
      </c>
      <c r="HI117" t="e">
        <f>AND('STERLING CATALOG - DRY '!D2550,"AAAAAHzzr9g=")</f>
        <v>#VALUE!</v>
      </c>
      <c r="HJ117" t="e">
        <f>AND('STERLING CATALOG - DRY '!E2550,"AAAAAHzzr9k=")</f>
        <v>#VALUE!</v>
      </c>
      <c r="HK117" t="e">
        <f>AND('STERLING CATALOG - DRY '!F2550,"AAAAAHzzr9o=")</f>
        <v>#VALUE!</v>
      </c>
      <c r="HL117" t="e">
        <f>AND('STERLING CATALOG - DRY '!G2550,"AAAAAHzzr9s=")</f>
        <v>#VALUE!</v>
      </c>
      <c r="HM117" t="e">
        <f>AND('STERLING CATALOG - DRY '!H2550,"AAAAAHzzr9w=")</f>
        <v>#VALUE!</v>
      </c>
      <c r="HN117" t="e">
        <f>AND('STERLING CATALOG - DRY '!I2550,"AAAAAHzzr90=")</f>
        <v>#VALUE!</v>
      </c>
      <c r="HO117" t="e">
        <f>AND('STERLING CATALOG - DRY '!J2550,"AAAAAHzzr94=")</f>
        <v>#VALUE!</v>
      </c>
      <c r="HP117">
        <f>IF('STERLING CATALOG - DRY '!2551:2551,"AAAAAHzzr98=",0)</f>
        <v>0</v>
      </c>
      <c r="HQ117" t="e">
        <f>AND('STERLING CATALOG - DRY '!A2551,"AAAAAHzzr+A=")</f>
        <v>#VALUE!</v>
      </c>
      <c r="HR117" t="e">
        <f>AND('STERLING CATALOG - DRY '!B2551,"AAAAAHzzr+E=")</f>
        <v>#VALUE!</v>
      </c>
      <c r="HS117" t="e">
        <f>AND('STERLING CATALOG - DRY '!C2551,"AAAAAHzzr+I=")</f>
        <v>#VALUE!</v>
      </c>
      <c r="HT117" t="e">
        <f>AND('STERLING CATALOG - DRY '!D2551,"AAAAAHzzr+M=")</f>
        <v>#VALUE!</v>
      </c>
      <c r="HU117" t="e">
        <f>AND('STERLING CATALOG - DRY '!E2551,"AAAAAHzzr+Q=")</f>
        <v>#VALUE!</v>
      </c>
      <c r="HV117" t="e">
        <f>AND('STERLING CATALOG - DRY '!F2551,"AAAAAHzzr+U=")</f>
        <v>#VALUE!</v>
      </c>
      <c r="HW117" t="e">
        <f>AND('STERLING CATALOG - DRY '!G2551,"AAAAAHzzr+Y=")</f>
        <v>#VALUE!</v>
      </c>
      <c r="HX117" t="e">
        <f>AND('STERLING CATALOG - DRY '!H2551,"AAAAAHzzr+c=")</f>
        <v>#VALUE!</v>
      </c>
      <c r="HY117" t="e">
        <f>AND('STERLING CATALOG - DRY '!I2551,"AAAAAHzzr+g=")</f>
        <v>#VALUE!</v>
      </c>
      <c r="HZ117" t="e">
        <f>AND('STERLING CATALOG - DRY '!J2551,"AAAAAHzzr+k=")</f>
        <v>#VALUE!</v>
      </c>
      <c r="IA117">
        <f>IF('STERLING CATALOG - DRY '!2552:2552,"AAAAAHzzr+o=",0)</f>
        <v>0</v>
      </c>
      <c r="IB117" t="e">
        <f>AND('STERLING CATALOG - DRY '!A2552,"AAAAAHzzr+s=")</f>
        <v>#VALUE!</v>
      </c>
      <c r="IC117" t="e">
        <f>AND('STERLING CATALOG - DRY '!B2552,"AAAAAHzzr+w=")</f>
        <v>#VALUE!</v>
      </c>
      <c r="ID117" t="e">
        <f>AND('STERLING CATALOG - DRY '!C2552,"AAAAAHzzr+0=")</f>
        <v>#VALUE!</v>
      </c>
      <c r="IE117" t="e">
        <f>AND('STERLING CATALOG - DRY '!D2552,"AAAAAHzzr+4=")</f>
        <v>#VALUE!</v>
      </c>
      <c r="IF117" t="e">
        <f>AND('STERLING CATALOG - DRY '!E2552,"AAAAAHzzr+8=")</f>
        <v>#VALUE!</v>
      </c>
      <c r="IG117" t="e">
        <f>AND('STERLING CATALOG - DRY '!F2552,"AAAAAHzzr/A=")</f>
        <v>#VALUE!</v>
      </c>
      <c r="IH117" t="e">
        <f>AND('STERLING CATALOG - DRY '!G2552,"AAAAAHzzr/E=")</f>
        <v>#VALUE!</v>
      </c>
      <c r="II117" t="e">
        <f>AND('STERLING CATALOG - DRY '!H2552,"AAAAAHzzr/I=")</f>
        <v>#VALUE!</v>
      </c>
      <c r="IJ117" t="e">
        <f>AND('STERLING CATALOG - DRY '!I2552,"AAAAAHzzr/M=")</f>
        <v>#VALUE!</v>
      </c>
      <c r="IK117" t="e">
        <f>AND('STERLING CATALOG - DRY '!J2552,"AAAAAHzzr/Q=")</f>
        <v>#VALUE!</v>
      </c>
      <c r="IL117">
        <f>IF('STERLING CATALOG - DRY '!2553:2553,"AAAAAHzzr/U=",0)</f>
        <v>0</v>
      </c>
      <c r="IM117" t="e">
        <f>AND('STERLING CATALOG - DRY '!A2553,"AAAAAHzzr/Y=")</f>
        <v>#VALUE!</v>
      </c>
      <c r="IN117" t="e">
        <f>AND('STERLING CATALOG - DRY '!B2553,"AAAAAHzzr/c=")</f>
        <v>#VALUE!</v>
      </c>
      <c r="IO117" t="e">
        <f>AND('STERLING CATALOG - DRY '!C2553,"AAAAAHzzr/g=")</f>
        <v>#VALUE!</v>
      </c>
      <c r="IP117" t="e">
        <f>AND('STERLING CATALOG - DRY '!D2553,"AAAAAHzzr/k=")</f>
        <v>#VALUE!</v>
      </c>
      <c r="IQ117" t="e">
        <f>AND('STERLING CATALOG - DRY '!E2553,"AAAAAHzzr/o=")</f>
        <v>#VALUE!</v>
      </c>
      <c r="IR117" t="e">
        <f>AND('STERLING CATALOG - DRY '!F2553,"AAAAAHzzr/s=")</f>
        <v>#VALUE!</v>
      </c>
      <c r="IS117" t="e">
        <f>AND('STERLING CATALOG - DRY '!G2553,"AAAAAHzzr/w=")</f>
        <v>#VALUE!</v>
      </c>
      <c r="IT117" t="e">
        <f>AND('STERLING CATALOG - DRY '!H2553,"AAAAAHzzr/0=")</f>
        <v>#VALUE!</v>
      </c>
      <c r="IU117" t="e">
        <f>AND('STERLING CATALOG - DRY '!I2553,"AAAAAHzzr/4=")</f>
        <v>#VALUE!</v>
      </c>
      <c r="IV117" t="e">
        <f>AND('STERLING CATALOG - DRY '!J2553,"AAAAAHzzr/8=")</f>
        <v>#VALUE!</v>
      </c>
    </row>
    <row r="118" spans="1:256">
      <c r="A118" t="str">
        <f>IF('STERLING CATALOG - DRY '!2554:2554,"AAAAAH+6/QA=",0)</f>
        <v>AAAAAH+6/QA=</v>
      </c>
      <c r="B118" t="e">
        <f>AND('STERLING CATALOG - DRY '!A2554,"AAAAAH+6/QE=")</f>
        <v>#VALUE!</v>
      </c>
      <c r="C118" t="e">
        <f>AND('STERLING CATALOG - DRY '!B2554,"AAAAAH+6/QI=")</f>
        <v>#VALUE!</v>
      </c>
      <c r="D118" t="e">
        <f>AND('STERLING CATALOG - DRY '!C2554,"AAAAAH+6/QM=")</f>
        <v>#VALUE!</v>
      </c>
      <c r="E118" t="e">
        <f>AND('STERLING CATALOG - DRY '!D2554,"AAAAAH+6/QQ=")</f>
        <v>#VALUE!</v>
      </c>
      <c r="F118" t="e">
        <f>AND('STERLING CATALOG - DRY '!E2554,"AAAAAH+6/QU=")</f>
        <v>#VALUE!</v>
      </c>
      <c r="G118" t="e">
        <f>AND('STERLING CATALOG - DRY '!F2554,"AAAAAH+6/QY=")</f>
        <v>#VALUE!</v>
      </c>
      <c r="H118" t="e">
        <f>AND('STERLING CATALOG - DRY '!G2554,"AAAAAH+6/Qc=")</f>
        <v>#VALUE!</v>
      </c>
      <c r="I118" t="e">
        <f>AND('STERLING CATALOG - DRY '!H2554,"AAAAAH+6/Qg=")</f>
        <v>#VALUE!</v>
      </c>
      <c r="J118" t="e">
        <f>AND('STERLING CATALOG - DRY '!I2554,"AAAAAH+6/Qk=")</f>
        <v>#VALUE!</v>
      </c>
      <c r="K118" t="e">
        <f>AND('STERLING CATALOG - DRY '!J2554,"AAAAAH+6/Qo=")</f>
        <v>#VALUE!</v>
      </c>
      <c r="L118">
        <f>IF('STERLING CATALOG - DRY '!2555:2555,"AAAAAH+6/Qs=",0)</f>
        <v>0</v>
      </c>
      <c r="M118" t="e">
        <f>AND('STERLING CATALOG - DRY '!A2555,"AAAAAH+6/Qw=")</f>
        <v>#VALUE!</v>
      </c>
      <c r="N118" t="e">
        <f>AND('STERLING CATALOG - DRY '!B2555,"AAAAAH+6/Q0=")</f>
        <v>#VALUE!</v>
      </c>
      <c r="O118" t="e">
        <f>AND('STERLING CATALOG - DRY '!C2555,"AAAAAH+6/Q4=")</f>
        <v>#VALUE!</v>
      </c>
      <c r="P118" t="e">
        <f>AND('STERLING CATALOG - DRY '!D2555,"AAAAAH+6/Q8=")</f>
        <v>#VALUE!</v>
      </c>
      <c r="Q118" t="e">
        <f>AND('STERLING CATALOG - DRY '!E2555,"AAAAAH+6/RA=")</f>
        <v>#VALUE!</v>
      </c>
      <c r="R118" t="e">
        <f>AND('STERLING CATALOG - DRY '!F2555,"AAAAAH+6/RE=")</f>
        <v>#VALUE!</v>
      </c>
      <c r="S118" t="e">
        <f>AND('STERLING CATALOG - DRY '!G2555,"AAAAAH+6/RI=")</f>
        <v>#VALUE!</v>
      </c>
      <c r="T118" t="e">
        <f>AND('STERLING CATALOG - DRY '!H2555,"AAAAAH+6/RM=")</f>
        <v>#VALUE!</v>
      </c>
      <c r="U118" t="e">
        <f>AND('STERLING CATALOG - DRY '!I2555,"AAAAAH+6/RQ=")</f>
        <v>#VALUE!</v>
      </c>
      <c r="V118" t="e">
        <f>AND('STERLING CATALOG - DRY '!J2555,"AAAAAH+6/RU=")</f>
        <v>#VALUE!</v>
      </c>
      <c r="W118">
        <f>IF('STERLING CATALOG - DRY '!2556:2556,"AAAAAH+6/RY=",0)</f>
        <v>0</v>
      </c>
      <c r="X118" t="e">
        <f>AND('STERLING CATALOG - DRY '!A2556,"AAAAAH+6/Rc=")</f>
        <v>#VALUE!</v>
      </c>
      <c r="Y118" t="e">
        <f>AND('STERLING CATALOG - DRY '!B2556,"AAAAAH+6/Rg=")</f>
        <v>#VALUE!</v>
      </c>
      <c r="Z118" t="e">
        <f>AND('STERLING CATALOG - DRY '!C2556,"AAAAAH+6/Rk=")</f>
        <v>#VALUE!</v>
      </c>
      <c r="AA118" t="e">
        <f>AND('STERLING CATALOG - DRY '!D2556,"AAAAAH+6/Ro=")</f>
        <v>#VALUE!</v>
      </c>
      <c r="AB118" t="e">
        <f>AND('STERLING CATALOG - DRY '!E2556,"AAAAAH+6/Rs=")</f>
        <v>#VALUE!</v>
      </c>
      <c r="AC118" t="e">
        <f>AND('STERLING CATALOG - DRY '!F2556,"AAAAAH+6/Rw=")</f>
        <v>#VALUE!</v>
      </c>
      <c r="AD118" t="e">
        <f>AND('STERLING CATALOG - DRY '!G2556,"AAAAAH+6/R0=")</f>
        <v>#VALUE!</v>
      </c>
      <c r="AE118" t="e">
        <f>AND('STERLING CATALOG - DRY '!H2556,"AAAAAH+6/R4=")</f>
        <v>#VALUE!</v>
      </c>
      <c r="AF118" t="e">
        <f>AND('STERLING CATALOG - DRY '!I2556,"AAAAAH+6/R8=")</f>
        <v>#VALUE!</v>
      </c>
      <c r="AG118" t="e">
        <f>AND('STERLING CATALOG - DRY '!J2556,"AAAAAH+6/SA=")</f>
        <v>#VALUE!</v>
      </c>
      <c r="AH118">
        <f>IF('STERLING CATALOG - DRY '!2557:2557,"AAAAAH+6/SE=",0)</f>
        <v>0</v>
      </c>
      <c r="AI118" t="e">
        <f>AND('STERLING CATALOG - DRY '!A2557,"AAAAAH+6/SI=")</f>
        <v>#VALUE!</v>
      </c>
      <c r="AJ118" t="e">
        <f>AND('STERLING CATALOG - DRY '!B2557,"AAAAAH+6/SM=")</f>
        <v>#VALUE!</v>
      </c>
      <c r="AK118" t="e">
        <f>AND('STERLING CATALOG - DRY '!C2557,"AAAAAH+6/SQ=")</f>
        <v>#VALUE!</v>
      </c>
      <c r="AL118" t="e">
        <f>AND('STERLING CATALOG - DRY '!D2557,"AAAAAH+6/SU=")</f>
        <v>#VALUE!</v>
      </c>
      <c r="AM118" t="e">
        <f>AND('STERLING CATALOG - DRY '!E2557,"AAAAAH+6/SY=")</f>
        <v>#VALUE!</v>
      </c>
      <c r="AN118" t="e">
        <f>AND('STERLING CATALOG - DRY '!F2557,"AAAAAH+6/Sc=")</f>
        <v>#VALUE!</v>
      </c>
      <c r="AO118" t="e">
        <f>AND('STERLING CATALOG - DRY '!G2557,"AAAAAH+6/Sg=")</f>
        <v>#VALUE!</v>
      </c>
      <c r="AP118" t="e">
        <f>AND('STERLING CATALOG - DRY '!H2557,"AAAAAH+6/Sk=")</f>
        <v>#VALUE!</v>
      </c>
      <c r="AQ118" t="e">
        <f>AND('STERLING CATALOG - DRY '!I2557,"AAAAAH+6/So=")</f>
        <v>#VALUE!</v>
      </c>
      <c r="AR118" t="e">
        <f>AND('STERLING CATALOG - DRY '!J2557,"AAAAAH+6/Ss=")</f>
        <v>#VALUE!</v>
      </c>
      <c r="AS118">
        <f>IF('STERLING CATALOG - DRY '!2558:2558,"AAAAAH+6/Sw=",0)</f>
        <v>0</v>
      </c>
      <c r="AT118" t="e">
        <f>AND('STERLING CATALOG - DRY '!A2558,"AAAAAH+6/S0=")</f>
        <v>#VALUE!</v>
      </c>
      <c r="AU118" t="e">
        <f>AND('STERLING CATALOG - DRY '!B2558,"AAAAAH+6/S4=")</f>
        <v>#VALUE!</v>
      </c>
      <c r="AV118" t="e">
        <f>AND('STERLING CATALOG - DRY '!C2558,"AAAAAH+6/S8=")</f>
        <v>#VALUE!</v>
      </c>
      <c r="AW118" t="e">
        <f>AND('STERLING CATALOG - DRY '!D2558,"AAAAAH+6/TA=")</f>
        <v>#VALUE!</v>
      </c>
      <c r="AX118" t="e">
        <f>AND('STERLING CATALOG - DRY '!E2558,"AAAAAH+6/TE=")</f>
        <v>#VALUE!</v>
      </c>
      <c r="AY118" t="e">
        <f>AND('STERLING CATALOG - DRY '!F2558,"AAAAAH+6/TI=")</f>
        <v>#VALUE!</v>
      </c>
      <c r="AZ118" t="e">
        <f>AND('STERLING CATALOG - DRY '!G2558,"AAAAAH+6/TM=")</f>
        <v>#VALUE!</v>
      </c>
      <c r="BA118" t="e">
        <f>AND('STERLING CATALOG - DRY '!H2558,"AAAAAH+6/TQ=")</f>
        <v>#VALUE!</v>
      </c>
      <c r="BB118" t="e">
        <f>AND('STERLING CATALOG - DRY '!I2558,"AAAAAH+6/TU=")</f>
        <v>#VALUE!</v>
      </c>
      <c r="BC118" t="e">
        <f>AND('STERLING CATALOG - DRY '!J2558,"AAAAAH+6/TY=")</f>
        <v>#VALUE!</v>
      </c>
      <c r="BD118">
        <f>IF('STERLING CATALOG - DRY '!2559:2559,"AAAAAH+6/Tc=",0)</f>
        <v>0</v>
      </c>
      <c r="BE118" t="e">
        <f>AND('STERLING CATALOG - DRY '!A2559,"AAAAAH+6/Tg=")</f>
        <v>#VALUE!</v>
      </c>
      <c r="BF118" t="e">
        <f>AND('STERLING CATALOG - DRY '!B2559,"AAAAAH+6/Tk=")</f>
        <v>#VALUE!</v>
      </c>
      <c r="BG118" t="e">
        <f>AND('STERLING CATALOG - DRY '!C2559,"AAAAAH+6/To=")</f>
        <v>#VALUE!</v>
      </c>
      <c r="BH118" t="e">
        <f>AND('STERLING CATALOG - DRY '!D2559,"AAAAAH+6/Ts=")</f>
        <v>#VALUE!</v>
      </c>
      <c r="BI118" t="e">
        <f>AND('STERLING CATALOG - DRY '!E2559,"AAAAAH+6/Tw=")</f>
        <v>#VALUE!</v>
      </c>
      <c r="BJ118" t="e">
        <f>AND('STERLING CATALOG - DRY '!F2559,"AAAAAH+6/T0=")</f>
        <v>#VALUE!</v>
      </c>
      <c r="BK118" t="e">
        <f>AND('STERLING CATALOG - DRY '!G2559,"AAAAAH+6/T4=")</f>
        <v>#VALUE!</v>
      </c>
      <c r="BL118" t="e">
        <f>AND('STERLING CATALOG - DRY '!H2559,"AAAAAH+6/T8=")</f>
        <v>#VALUE!</v>
      </c>
      <c r="BM118" t="e">
        <f>AND('STERLING CATALOG - DRY '!I2559,"AAAAAH+6/UA=")</f>
        <v>#VALUE!</v>
      </c>
      <c r="BN118" t="e">
        <f>AND('STERLING CATALOG - DRY '!J2559,"AAAAAH+6/UE=")</f>
        <v>#VALUE!</v>
      </c>
      <c r="BO118">
        <f>IF('STERLING CATALOG - DRY '!2560:2560,"AAAAAH+6/UI=",0)</f>
        <v>0</v>
      </c>
      <c r="BP118" t="e">
        <f>AND('STERLING CATALOG - DRY '!A2560,"AAAAAH+6/UM=")</f>
        <v>#VALUE!</v>
      </c>
      <c r="BQ118" t="e">
        <f>AND('STERLING CATALOG - DRY '!B2560,"AAAAAH+6/UQ=")</f>
        <v>#VALUE!</v>
      </c>
      <c r="BR118" t="e">
        <f>AND('STERLING CATALOG - DRY '!C2560,"AAAAAH+6/UU=")</f>
        <v>#VALUE!</v>
      </c>
      <c r="BS118" t="e">
        <f>AND('STERLING CATALOG - DRY '!D2560,"AAAAAH+6/UY=")</f>
        <v>#VALUE!</v>
      </c>
      <c r="BT118" t="e">
        <f>AND('STERLING CATALOG - DRY '!E2560,"AAAAAH+6/Uc=")</f>
        <v>#VALUE!</v>
      </c>
      <c r="BU118" t="e">
        <f>AND('STERLING CATALOG - DRY '!F2560,"AAAAAH+6/Ug=")</f>
        <v>#VALUE!</v>
      </c>
      <c r="BV118" t="e">
        <f>AND('STERLING CATALOG - DRY '!G2560,"AAAAAH+6/Uk=")</f>
        <v>#VALUE!</v>
      </c>
      <c r="BW118" t="e">
        <f>AND('STERLING CATALOG - DRY '!H2560,"AAAAAH+6/Uo=")</f>
        <v>#VALUE!</v>
      </c>
      <c r="BX118" t="e">
        <f>AND('STERLING CATALOG - DRY '!I2560,"AAAAAH+6/Us=")</f>
        <v>#VALUE!</v>
      </c>
      <c r="BY118" t="e">
        <f>AND('STERLING CATALOG - DRY '!J2560,"AAAAAH+6/Uw=")</f>
        <v>#VALUE!</v>
      </c>
      <c r="BZ118">
        <f>IF('STERLING CATALOG - DRY '!2561:2561,"AAAAAH+6/U0=",0)</f>
        <v>0</v>
      </c>
      <c r="CA118" t="e">
        <f>AND('STERLING CATALOG - DRY '!A2561,"AAAAAH+6/U4=")</f>
        <v>#VALUE!</v>
      </c>
      <c r="CB118" t="e">
        <f>AND('STERLING CATALOG - DRY '!B2561,"AAAAAH+6/U8=")</f>
        <v>#VALUE!</v>
      </c>
      <c r="CC118" t="e">
        <f>AND('STERLING CATALOG - DRY '!C2561,"AAAAAH+6/VA=")</f>
        <v>#VALUE!</v>
      </c>
      <c r="CD118" t="e">
        <f>AND('STERLING CATALOG - DRY '!D2561,"AAAAAH+6/VE=")</f>
        <v>#VALUE!</v>
      </c>
      <c r="CE118" t="e">
        <f>AND('STERLING CATALOG - DRY '!E2561,"AAAAAH+6/VI=")</f>
        <v>#VALUE!</v>
      </c>
      <c r="CF118" t="e">
        <f>AND('STERLING CATALOG - DRY '!F2561,"AAAAAH+6/VM=")</f>
        <v>#VALUE!</v>
      </c>
      <c r="CG118" t="e">
        <f>AND('STERLING CATALOG - DRY '!G2561,"AAAAAH+6/VQ=")</f>
        <v>#VALUE!</v>
      </c>
      <c r="CH118" t="e">
        <f>AND('STERLING CATALOG - DRY '!H2561,"AAAAAH+6/VU=")</f>
        <v>#VALUE!</v>
      </c>
      <c r="CI118" t="e">
        <f>AND('STERLING CATALOG - DRY '!I2561,"AAAAAH+6/VY=")</f>
        <v>#VALUE!</v>
      </c>
      <c r="CJ118" t="e">
        <f>AND('STERLING CATALOG - DRY '!J2561,"AAAAAH+6/Vc=")</f>
        <v>#VALUE!</v>
      </c>
      <c r="CK118">
        <f>IF('STERLING CATALOG - DRY '!2562:2562,"AAAAAH+6/Vg=",0)</f>
        <v>0</v>
      </c>
      <c r="CL118" t="e">
        <f>AND('STERLING CATALOG - DRY '!A2562,"AAAAAH+6/Vk=")</f>
        <v>#VALUE!</v>
      </c>
      <c r="CM118" t="e">
        <f>AND('STERLING CATALOG - DRY '!B2562,"AAAAAH+6/Vo=")</f>
        <v>#VALUE!</v>
      </c>
      <c r="CN118" t="e">
        <f>AND('STERLING CATALOG - DRY '!C2562,"AAAAAH+6/Vs=")</f>
        <v>#VALUE!</v>
      </c>
      <c r="CO118" t="e">
        <f>AND('STERLING CATALOG - DRY '!D2562,"AAAAAH+6/Vw=")</f>
        <v>#VALUE!</v>
      </c>
      <c r="CP118" t="e">
        <f>AND('STERLING CATALOG - DRY '!E2562,"AAAAAH+6/V0=")</f>
        <v>#VALUE!</v>
      </c>
      <c r="CQ118" t="e">
        <f>AND('STERLING CATALOG - DRY '!F2562,"AAAAAH+6/V4=")</f>
        <v>#VALUE!</v>
      </c>
      <c r="CR118" t="e">
        <f>AND('STERLING CATALOG - DRY '!G2562,"AAAAAH+6/V8=")</f>
        <v>#VALUE!</v>
      </c>
      <c r="CS118" t="e">
        <f>AND('STERLING CATALOG - DRY '!H2562,"AAAAAH+6/WA=")</f>
        <v>#VALUE!</v>
      </c>
      <c r="CT118" t="e">
        <f>AND('STERLING CATALOG - DRY '!I2562,"AAAAAH+6/WE=")</f>
        <v>#VALUE!</v>
      </c>
      <c r="CU118" t="e">
        <f>AND('STERLING CATALOG - DRY '!J2562,"AAAAAH+6/WI=")</f>
        <v>#VALUE!</v>
      </c>
      <c r="CV118">
        <f>IF('STERLING CATALOG - DRY '!2563:2563,"AAAAAH+6/WM=",0)</f>
        <v>0</v>
      </c>
      <c r="CW118" t="e">
        <f>AND('STERLING CATALOG - DRY '!A2563,"AAAAAH+6/WQ=")</f>
        <v>#VALUE!</v>
      </c>
      <c r="CX118" t="e">
        <f>AND('STERLING CATALOG - DRY '!B2563,"AAAAAH+6/WU=")</f>
        <v>#VALUE!</v>
      </c>
      <c r="CY118" t="e">
        <f>AND('STERLING CATALOG - DRY '!C2563,"AAAAAH+6/WY=")</f>
        <v>#VALUE!</v>
      </c>
      <c r="CZ118" t="e">
        <f>AND('STERLING CATALOG - DRY '!D2563,"AAAAAH+6/Wc=")</f>
        <v>#VALUE!</v>
      </c>
      <c r="DA118" t="e">
        <f>AND('STERLING CATALOG - DRY '!E2563,"AAAAAH+6/Wg=")</f>
        <v>#VALUE!</v>
      </c>
      <c r="DB118" t="e">
        <f>AND('STERLING CATALOG - DRY '!F2563,"AAAAAH+6/Wk=")</f>
        <v>#VALUE!</v>
      </c>
      <c r="DC118" t="e">
        <f>AND('STERLING CATALOG - DRY '!G2563,"AAAAAH+6/Wo=")</f>
        <v>#VALUE!</v>
      </c>
      <c r="DD118" t="e">
        <f>AND('STERLING CATALOG - DRY '!H2563,"AAAAAH+6/Ws=")</f>
        <v>#VALUE!</v>
      </c>
      <c r="DE118" t="e">
        <f>AND('STERLING CATALOG - DRY '!I2563,"AAAAAH+6/Ww=")</f>
        <v>#VALUE!</v>
      </c>
      <c r="DF118" t="e">
        <f>AND('STERLING CATALOG - DRY '!J2563,"AAAAAH+6/W0=")</f>
        <v>#VALUE!</v>
      </c>
      <c r="DG118">
        <f>IF('STERLING CATALOG - DRY '!2564:2564,"AAAAAH+6/W4=",0)</f>
        <v>0</v>
      </c>
      <c r="DH118" t="e">
        <f>AND('STERLING CATALOG - DRY '!A2564,"AAAAAH+6/W8=")</f>
        <v>#VALUE!</v>
      </c>
      <c r="DI118" t="e">
        <f>AND('STERLING CATALOG - DRY '!B2564,"AAAAAH+6/XA=")</f>
        <v>#VALUE!</v>
      </c>
      <c r="DJ118" t="e">
        <f>AND('STERLING CATALOG - DRY '!C2564,"AAAAAH+6/XE=")</f>
        <v>#VALUE!</v>
      </c>
      <c r="DK118" t="e">
        <f>AND('STERLING CATALOG - DRY '!D2564,"AAAAAH+6/XI=")</f>
        <v>#VALUE!</v>
      </c>
      <c r="DL118" t="e">
        <f>AND('STERLING CATALOG - DRY '!E2564,"AAAAAH+6/XM=")</f>
        <v>#VALUE!</v>
      </c>
      <c r="DM118" t="e">
        <f>AND('STERLING CATALOG - DRY '!F2564,"AAAAAH+6/XQ=")</f>
        <v>#VALUE!</v>
      </c>
      <c r="DN118" t="e">
        <f>AND('STERLING CATALOG - DRY '!G2564,"AAAAAH+6/XU=")</f>
        <v>#VALUE!</v>
      </c>
      <c r="DO118" t="e">
        <f>AND('STERLING CATALOG - DRY '!H2564,"AAAAAH+6/XY=")</f>
        <v>#VALUE!</v>
      </c>
      <c r="DP118" t="e">
        <f>AND('STERLING CATALOG - DRY '!I2564,"AAAAAH+6/Xc=")</f>
        <v>#VALUE!</v>
      </c>
      <c r="DQ118" t="e">
        <f>AND('STERLING CATALOG - DRY '!J2564,"AAAAAH+6/Xg=")</f>
        <v>#VALUE!</v>
      </c>
      <c r="DR118">
        <f>IF('STERLING CATALOG - DRY '!2565:2565,"AAAAAH+6/Xk=",0)</f>
        <v>0</v>
      </c>
      <c r="DS118" t="e">
        <f>AND('STERLING CATALOG - DRY '!A2565,"AAAAAH+6/Xo=")</f>
        <v>#VALUE!</v>
      </c>
      <c r="DT118" t="e">
        <f>AND('STERLING CATALOG - DRY '!B2565,"AAAAAH+6/Xs=")</f>
        <v>#VALUE!</v>
      </c>
      <c r="DU118" t="e">
        <f>AND('STERLING CATALOG - DRY '!C2565,"AAAAAH+6/Xw=")</f>
        <v>#VALUE!</v>
      </c>
      <c r="DV118" t="e">
        <f>AND('STERLING CATALOG - DRY '!D2565,"AAAAAH+6/X0=")</f>
        <v>#VALUE!</v>
      </c>
      <c r="DW118" t="e">
        <f>AND('STERLING CATALOG - DRY '!E2565,"AAAAAH+6/X4=")</f>
        <v>#VALUE!</v>
      </c>
      <c r="DX118" t="e">
        <f>AND('STERLING CATALOG - DRY '!F2565,"AAAAAH+6/X8=")</f>
        <v>#VALUE!</v>
      </c>
      <c r="DY118" t="e">
        <f>AND('STERLING CATALOG - DRY '!G2565,"AAAAAH+6/YA=")</f>
        <v>#VALUE!</v>
      </c>
      <c r="DZ118" t="e">
        <f>AND('STERLING CATALOG - DRY '!H2565,"AAAAAH+6/YE=")</f>
        <v>#VALUE!</v>
      </c>
      <c r="EA118" t="e">
        <f>AND('STERLING CATALOG - DRY '!I2565,"AAAAAH+6/YI=")</f>
        <v>#VALUE!</v>
      </c>
      <c r="EB118" t="e">
        <f>AND('STERLING CATALOG - DRY '!J2565,"AAAAAH+6/YM=")</f>
        <v>#VALUE!</v>
      </c>
      <c r="EC118">
        <f>IF('STERLING CATALOG - DRY '!2566:2566,"AAAAAH+6/YQ=",0)</f>
        <v>0</v>
      </c>
      <c r="ED118" t="e">
        <f>AND('STERLING CATALOG - DRY '!A2566,"AAAAAH+6/YU=")</f>
        <v>#VALUE!</v>
      </c>
      <c r="EE118" t="e">
        <f>AND('STERLING CATALOG - DRY '!B2566,"AAAAAH+6/YY=")</f>
        <v>#VALUE!</v>
      </c>
      <c r="EF118" t="e">
        <f>AND('STERLING CATALOG - DRY '!C2566,"AAAAAH+6/Yc=")</f>
        <v>#VALUE!</v>
      </c>
      <c r="EG118" t="e">
        <f>AND('STERLING CATALOG - DRY '!D2566,"AAAAAH+6/Yg=")</f>
        <v>#VALUE!</v>
      </c>
      <c r="EH118" t="e">
        <f>AND('STERLING CATALOG - DRY '!E2566,"AAAAAH+6/Yk=")</f>
        <v>#VALUE!</v>
      </c>
      <c r="EI118" t="e">
        <f>AND('STERLING CATALOG - DRY '!F2566,"AAAAAH+6/Yo=")</f>
        <v>#VALUE!</v>
      </c>
      <c r="EJ118" t="e">
        <f>AND('STERLING CATALOG - DRY '!G2566,"AAAAAH+6/Ys=")</f>
        <v>#VALUE!</v>
      </c>
      <c r="EK118" t="e">
        <f>AND('STERLING CATALOG - DRY '!H2566,"AAAAAH+6/Yw=")</f>
        <v>#VALUE!</v>
      </c>
      <c r="EL118" t="e">
        <f>AND('STERLING CATALOG - DRY '!I2566,"AAAAAH+6/Y0=")</f>
        <v>#VALUE!</v>
      </c>
      <c r="EM118" t="e">
        <f>AND('STERLING CATALOG - DRY '!J2566,"AAAAAH+6/Y4=")</f>
        <v>#VALUE!</v>
      </c>
      <c r="EN118">
        <f>IF('STERLING CATALOG - DRY '!2567:2567,"AAAAAH+6/Y8=",0)</f>
        <v>0</v>
      </c>
      <c r="EO118" t="e">
        <f>AND('STERLING CATALOG - DRY '!A2567,"AAAAAH+6/ZA=")</f>
        <v>#VALUE!</v>
      </c>
      <c r="EP118" t="e">
        <f>AND('STERLING CATALOG - DRY '!B2567,"AAAAAH+6/ZE=")</f>
        <v>#VALUE!</v>
      </c>
      <c r="EQ118" t="e">
        <f>AND('STERLING CATALOG - DRY '!C2567,"AAAAAH+6/ZI=")</f>
        <v>#VALUE!</v>
      </c>
      <c r="ER118" t="e">
        <f>AND('STERLING CATALOG - DRY '!D2567,"AAAAAH+6/ZM=")</f>
        <v>#VALUE!</v>
      </c>
      <c r="ES118" t="e">
        <f>AND('STERLING CATALOG - DRY '!E2567,"AAAAAH+6/ZQ=")</f>
        <v>#VALUE!</v>
      </c>
      <c r="ET118" t="e">
        <f>AND('STERLING CATALOG - DRY '!F2567,"AAAAAH+6/ZU=")</f>
        <v>#VALUE!</v>
      </c>
      <c r="EU118" t="e">
        <f>AND('STERLING CATALOG - DRY '!G2567,"AAAAAH+6/ZY=")</f>
        <v>#VALUE!</v>
      </c>
      <c r="EV118" t="e">
        <f>AND('STERLING CATALOG - DRY '!H2567,"AAAAAH+6/Zc=")</f>
        <v>#VALUE!</v>
      </c>
      <c r="EW118" t="e">
        <f>AND('STERLING CATALOG - DRY '!I2567,"AAAAAH+6/Zg=")</f>
        <v>#VALUE!</v>
      </c>
      <c r="EX118" t="e">
        <f>AND('STERLING CATALOG - DRY '!J2567,"AAAAAH+6/Zk=")</f>
        <v>#VALUE!</v>
      </c>
      <c r="EY118">
        <f>IF('STERLING CATALOG - DRY '!2568:2568,"AAAAAH+6/Zo=",0)</f>
        <v>0</v>
      </c>
      <c r="EZ118" t="e">
        <f>AND('STERLING CATALOG - DRY '!A2568,"AAAAAH+6/Zs=")</f>
        <v>#VALUE!</v>
      </c>
      <c r="FA118" t="e">
        <f>AND('STERLING CATALOG - DRY '!B2568,"AAAAAH+6/Zw=")</f>
        <v>#VALUE!</v>
      </c>
      <c r="FB118" t="e">
        <f>AND('STERLING CATALOG - DRY '!C2568,"AAAAAH+6/Z0=")</f>
        <v>#VALUE!</v>
      </c>
      <c r="FC118" t="e">
        <f>AND('STERLING CATALOG - DRY '!D2568,"AAAAAH+6/Z4=")</f>
        <v>#VALUE!</v>
      </c>
      <c r="FD118" t="e">
        <f>AND('STERLING CATALOG - DRY '!E2568,"AAAAAH+6/Z8=")</f>
        <v>#VALUE!</v>
      </c>
      <c r="FE118" t="e">
        <f>AND('STERLING CATALOG - DRY '!F2568,"AAAAAH+6/aA=")</f>
        <v>#VALUE!</v>
      </c>
      <c r="FF118" t="e">
        <f>AND('STERLING CATALOG - DRY '!G2568,"AAAAAH+6/aE=")</f>
        <v>#VALUE!</v>
      </c>
      <c r="FG118" t="e">
        <f>AND('STERLING CATALOG - DRY '!H2568,"AAAAAH+6/aI=")</f>
        <v>#VALUE!</v>
      </c>
      <c r="FH118" t="e">
        <f>AND('STERLING CATALOG - DRY '!I2568,"AAAAAH+6/aM=")</f>
        <v>#VALUE!</v>
      </c>
      <c r="FI118" t="e">
        <f>AND('STERLING CATALOG - DRY '!J2568,"AAAAAH+6/aQ=")</f>
        <v>#VALUE!</v>
      </c>
      <c r="FJ118">
        <f>IF('STERLING CATALOG - DRY '!2569:2569,"AAAAAH+6/aU=",0)</f>
        <v>0</v>
      </c>
      <c r="FK118" t="e">
        <f>AND('STERLING CATALOG - DRY '!A2569,"AAAAAH+6/aY=")</f>
        <v>#VALUE!</v>
      </c>
      <c r="FL118" t="e">
        <f>AND('STERLING CATALOG - DRY '!B2569,"AAAAAH+6/ac=")</f>
        <v>#VALUE!</v>
      </c>
      <c r="FM118" t="e">
        <f>AND('STERLING CATALOG - DRY '!C2569,"AAAAAH+6/ag=")</f>
        <v>#VALUE!</v>
      </c>
      <c r="FN118" t="e">
        <f>AND('STERLING CATALOG - DRY '!D2569,"AAAAAH+6/ak=")</f>
        <v>#VALUE!</v>
      </c>
      <c r="FO118" t="e">
        <f>AND('STERLING CATALOG - DRY '!E2569,"AAAAAH+6/ao=")</f>
        <v>#VALUE!</v>
      </c>
      <c r="FP118" t="e">
        <f>AND('STERLING CATALOG - DRY '!F2569,"AAAAAH+6/as=")</f>
        <v>#VALUE!</v>
      </c>
      <c r="FQ118" t="e">
        <f>AND('STERLING CATALOG - DRY '!G2569,"AAAAAH+6/aw=")</f>
        <v>#VALUE!</v>
      </c>
      <c r="FR118" t="e">
        <f>AND('STERLING CATALOG - DRY '!H2569,"AAAAAH+6/a0=")</f>
        <v>#VALUE!</v>
      </c>
      <c r="FS118" t="e">
        <f>AND('STERLING CATALOG - DRY '!I2569,"AAAAAH+6/a4=")</f>
        <v>#VALUE!</v>
      </c>
      <c r="FT118" t="e">
        <f>AND('STERLING CATALOG - DRY '!J2569,"AAAAAH+6/a8=")</f>
        <v>#VALUE!</v>
      </c>
      <c r="FU118">
        <f>IF('STERLING CATALOG - DRY '!2570:2570,"AAAAAH+6/bA=",0)</f>
        <v>0</v>
      </c>
      <c r="FV118" t="e">
        <f>AND('STERLING CATALOG - DRY '!A2570,"AAAAAH+6/bE=")</f>
        <v>#VALUE!</v>
      </c>
      <c r="FW118" t="e">
        <f>AND('STERLING CATALOG - DRY '!B2570,"AAAAAH+6/bI=")</f>
        <v>#VALUE!</v>
      </c>
      <c r="FX118" t="e">
        <f>AND('STERLING CATALOG - DRY '!C2570,"AAAAAH+6/bM=")</f>
        <v>#VALUE!</v>
      </c>
      <c r="FY118" t="e">
        <f>AND('STERLING CATALOG - DRY '!D2570,"AAAAAH+6/bQ=")</f>
        <v>#VALUE!</v>
      </c>
      <c r="FZ118" t="e">
        <f>AND('STERLING CATALOG - DRY '!E2570,"AAAAAH+6/bU=")</f>
        <v>#VALUE!</v>
      </c>
      <c r="GA118" t="e">
        <f>AND('STERLING CATALOG - DRY '!F2570,"AAAAAH+6/bY=")</f>
        <v>#VALUE!</v>
      </c>
      <c r="GB118" t="e">
        <f>AND('STERLING CATALOG - DRY '!G2570,"AAAAAH+6/bc=")</f>
        <v>#VALUE!</v>
      </c>
      <c r="GC118" t="e">
        <f>AND('STERLING CATALOG - DRY '!H2570,"AAAAAH+6/bg=")</f>
        <v>#VALUE!</v>
      </c>
      <c r="GD118" t="e">
        <f>AND('STERLING CATALOG - DRY '!I2570,"AAAAAH+6/bk=")</f>
        <v>#VALUE!</v>
      </c>
      <c r="GE118" t="e">
        <f>AND('STERLING CATALOG - DRY '!J2570,"AAAAAH+6/bo=")</f>
        <v>#VALUE!</v>
      </c>
      <c r="GF118">
        <f>IF('STERLING CATALOG - DRY '!2571:2571,"AAAAAH+6/bs=",0)</f>
        <v>0</v>
      </c>
      <c r="GG118" t="e">
        <f>AND('STERLING CATALOG - DRY '!A2571,"AAAAAH+6/bw=")</f>
        <v>#VALUE!</v>
      </c>
      <c r="GH118" t="e">
        <f>AND('STERLING CATALOG - DRY '!B2571,"AAAAAH+6/b0=")</f>
        <v>#VALUE!</v>
      </c>
      <c r="GI118" t="e">
        <f>AND('STERLING CATALOG - DRY '!C2571,"AAAAAH+6/b4=")</f>
        <v>#VALUE!</v>
      </c>
      <c r="GJ118" t="e">
        <f>AND('STERLING CATALOG - DRY '!D2571,"AAAAAH+6/b8=")</f>
        <v>#VALUE!</v>
      </c>
      <c r="GK118" t="e">
        <f>AND('STERLING CATALOG - DRY '!E2571,"AAAAAH+6/cA=")</f>
        <v>#VALUE!</v>
      </c>
      <c r="GL118" t="e">
        <f>AND('STERLING CATALOG - DRY '!F2571,"AAAAAH+6/cE=")</f>
        <v>#VALUE!</v>
      </c>
      <c r="GM118" t="e">
        <f>AND('STERLING CATALOG - DRY '!G2571,"AAAAAH+6/cI=")</f>
        <v>#VALUE!</v>
      </c>
      <c r="GN118" t="e">
        <f>AND('STERLING CATALOG - DRY '!H2571,"AAAAAH+6/cM=")</f>
        <v>#VALUE!</v>
      </c>
      <c r="GO118" t="e">
        <f>AND('STERLING CATALOG - DRY '!I2571,"AAAAAH+6/cQ=")</f>
        <v>#VALUE!</v>
      </c>
      <c r="GP118" t="e">
        <f>AND('STERLING CATALOG - DRY '!J2571,"AAAAAH+6/cU=")</f>
        <v>#VALUE!</v>
      </c>
      <c r="GQ118">
        <f>IF('STERLING CATALOG - DRY '!2572:2572,"AAAAAH+6/cY=",0)</f>
        <v>0</v>
      </c>
      <c r="GR118" t="e">
        <f>AND('STERLING CATALOG - DRY '!A2572,"AAAAAH+6/cc=")</f>
        <v>#VALUE!</v>
      </c>
      <c r="GS118" t="e">
        <f>AND('STERLING CATALOG - DRY '!B2572,"AAAAAH+6/cg=")</f>
        <v>#VALUE!</v>
      </c>
      <c r="GT118" t="e">
        <f>AND('STERLING CATALOG - DRY '!C2572,"AAAAAH+6/ck=")</f>
        <v>#VALUE!</v>
      </c>
      <c r="GU118" t="e">
        <f>AND('STERLING CATALOG - DRY '!D2572,"AAAAAH+6/co=")</f>
        <v>#VALUE!</v>
      </c>
      <c r="GV118" t="e">
        <f>AND('STERLING CATALOG - DRY '!E2572,"AAAAAH+6/cs=")</f>
        <v>#VALUE!</v>
      </c>
      <c r="GW118" t="e">
        <f>AND('STERLING CATALOG - DRY '!F2572,"AAAAAH+6/cw=")</f>
        <v>#VALUE!</v>
      </c>
      <c r="GX118" t="e">
        <f>AND('STERLING CATALOG - DRY '!G2572,"AAAAAH+6/c0=")</f>
        <v>#VALUE!</v>
      </c>
      <c r="GY118" t="e">
        <f>AND('STERLING CATALOG - DRY '!H2572,"AAAAAH+6/c4=")</f>
        <v>#VALUE!</v>
      </c>
      <c r="GZ118" t="e">
        <f>AND('STERLING CATALOG - DRY '!I2572,"AAAAAH+6/c8=")</f>
        <v>#VALUE!</v>
      </c>
      <c r="HA118" t="e">
        <f>AND('STERLING CATALOG - DRY '!J2572,"AAAAAH+6/dA=")</f>
        <v>#VALUE!</v>
      </c>
      <c r="HB118">
        <f>IF('STERLING CATALOG - DRY '!2573:2573,"AAAAAH+6/dE=",0)</f>
        <v>0</v>
      </c>
      <c r="HC118" t="e">
        <f>AND('STERLING CATALOG - DRY '!A2573,"AAAAAH+6/dI=")</f>
        <v>#VALUE!</v>
      </c>
      <c r="HD118" t="e">
        <f>AND('STERLING CATALOG - DRY '!B2573,"AAAAAH+6/dM=")</f>
        <v>#VALUE!</v>
      </c>
      <c r="HE118" t="e">
        <f>AND('STERLING CATALOG - DRY '!C2573,"AAAAAH+6/dQ=")</f>
        <v>#VALUE!</v>
      </c>
      <c r="HF118" t="e">
        <f>AND('STERLING CATALOG - DRY '!D2573,"AAAAAH+6/dU=")</f>
        <v>#VALUE!</v>
      </c>
      <c r="HG118" t="e">
        <f>AND('STERLING CATALOG - DRY '!E2573,"AAAAAH+6/dY=")</f>
        <v>#VALUE!</v>
      </c>
      <c r="HH118" t="e">
        <f>AND('STERLING CATALOG - DRY '!F2573,"AAAAAH+6/dc=")</f>
        <v>#VALUE!</v>
      </c>
      <c r="HI118" t="e">
        <f>AND('STERLING CATALOG - DRY '!G2573,"AAAAAH+6/dg=")</f>
        <v>#VALUE!</v>
      </c>
      <c r="HJ118" t="e">
        <f>AND('STERLING CATALOG - DRY '!H2573,"AAAAAH+6/dk=")</f>
        <v>#VALUE!</v>
      </c>
      <c r="HK118" t="e">
        <f>AND('STERLING CATALOG - DRY '!I2573,"AAAAAH+6/do=")</f>
        <v>#VALUE!</v>
      </c>
      <c r="HL118" t="e">
        <f>AND('STERLING CATALOG - DRY '!J2573,"AAAAAH+6/ds=")</f>
        <v>#VALUE!</v>
      </c>
      <c r="HM118">
        <f>IF('STERLING CATALOG - DRY '!2574:2574,"AAAAAH+6/dw=",0)</f>
        <v>0</v>
      </c>
      <c r="HN118" t="e">
        <f>AND('STERLING CATALOG - DRY '!A2574,"AAAAAH+6/d0=")</f>
        <v>#VALUE!</v>
      </c>
      <c r="HO118" t="e">
        <f>AND('STERLING CATALOG - DRY '!B2574,"AAAAAH+6/d4=")</f>
        <v>#VALUE!</v>
      </c>
      <c r="HP118" t="e">
        <f>AND('STERLING CATALOG - DRY '!C2574,"AAAAAH+6/d8=")</f>
        <v>#VALUE!</v>
      </c>
      <c r="HQ118" t="e">
        <f>AND('STERLING CATALOG - DRY '!D2574,"AAAAAH+6/eA=")</f>
        <v>#VALUE!</v>
      </c>
      <c r="HR118" t="e">
        <f>AND('STERLING CATALOG - DRY '!E2574,"AAAAAH+6/eE=")</f>
        <v>#VALUE!</v>
      </c>
      <c r="HS118" t="e">
        <f>AND('STERLING CATALOG - DRY '!F2574,"AAAAAH+6/eI=")</f>
        <v>#VALUE!</v>
      </c>
      <c r="HT118" t="e">
        <f>AND('STERLING CATALOG - DRY '!G2574,"AAAAAH+6/eM=")</f>
        <v>#VALUE!</v>
      </c>
      <c r="HU118" t="e">
        <f>AND('STERLING CATALOG - DRY '!H2574,"AAAAAH+6/eQ=")</f>
        <v>#VALUE!</v>
      </c>
      <c r="HV118" t="e">
        <f>AND('STERLING CATALOG - DRY '!I2574,"AAAAAH+6/eU=")</f>
        <v>#VALUE!</v>
      </c>
      <c r="HW118" t="e">
        <f>AND('STERLING CATALOG - DRY '!J2574,"AAAAAH+6/eY=")</f>
        <v>#VALUE!</v>
      </c>
      <c r="HX118">
        <f>IF('STERLING CATALOG - DRY '!2575:2575,"AAAAAH+6/ec=",0)</f>
        <v>0</v>
      </c>
      <c r="HY118" t="e">
        <f>AND('STERLING CATALOG - DRY '!A2575,"AAAAAH+6/eg=")</f>
        <v>#VALUE!</v>
      </c>
      <c r="HZ118" t="e">
        <f>AND('STERLING CATALOG - DRY '!B2575,"AAAAAH+6/ek=")</f>
        <v>#VALUE!</v>
      </c>
      <c r="IA118" t="e">
        <f>AND('STERLING CATALOG - DRY '!C2575,"AAAAAH+6/eo=")</f>
        <v>#VALUE!</v>
      </c>
      <c r="IB118" t="e">
        <f>AND('STERLING CATALOG - DRY '!D2575,"AAAAAH+6/es=")</f>
        <v>#VALUE!</v>
      </c>
      <c r="IC118" t="e">
        <f>AND('STERLING CATALOG - DRY '!E2575,"AAAAAH+6/ew=")</f>
        <v>#VALUE!</v>
      </c>
      <c r="ID118" t="e">
        <f>AND('STERLING CATALOG - DRY '!F2575,"AAAAAH+6/e0=")</f>
        <v>#VALUE!</v>
      </c>
      <c r="IE118" t="e">
        <f>AND('STERLING CATALOG - DRY '!G2575,"AAAAAH+6/e4=")</f>
        <v>#VALUE!</v>
      </c>
      <c r="IF118" t="e">
        <f>AND('STERLING CATALOG - DRY '!H2575,"AAAAAH+6/e8=")</f>
        <v>#VALUE!</v>
      </c>
      <c r="IG118" t="e">
        <f>AND('STERLING CATALOG - DRY '!I2575,"AAAAAH+6/fA=")</f>
        <v>#VALUE!</v>
      </c>
      <c r="IH118" t="e">
        <f>AND('STERLING CATALOG - DRY '!J2575,"AAAAAH+6/fE=")</f>
        <v>#VALUE!</v>
      </c>
      <c r="II118">
        <f>IF('STERLING CATALOG - DRY '!2576:2576,"AAAAAH+6/fI=",0)</f>
        <v>0</v>
      </c>
      <c r="IJ118" t="e">
        <f>AND('STERLING CATALOG - DRY '!A2576,"AAAAAH+6/fM=")</f>
        <v>#VALUE!</v>
      </c>
      <c r="IK118" t="e">
        <f>AND('STERLING CATALOG - DRY '!B2576,"AAAAAH+6/fQ=")</f>
        <v>#VALUE!</v>
      </c>
      <c r="IL118" t="e">
        <f>AND('STERLING CATALOG - DRY '!C2576,"AAAAAH+6/fU=")</f>
        <v>#VALUE!</v>
      </c>
      <c r="IM118" t="e">
        <f>AND('STERLING CATALOG - DRY '!D2576,"AAAAAH+6/fY=")</f>
        <v>#VALUE!</v>
      </c>
      <c r="IN118" t="e">
        <f>AND('STERLING CATALOG - DRY '!E2576,"AAAAAH+6/fc=")</f>
        <v>#VALUE!</v>
      </c>
      <c r="IO118" t="e">
        <f>AND('STERLING CATALOG - DRY '!F2576,"AAAAAH+6/fg=")</f>
        <v>#VALUE!</v>
      </c>
      <c r="IP118" t="e">
        <f>AND('STERLING CATALOG - DRY '!G2576,"AAAAAH+6/fk=")</f>
        <v>#VALUE!</v>
      </c>
      <c r="IQ118" t="e">
        <f>AND('STERLING CATALOG - DRY '!H2576,"AAAAAH+6/fo=")</f>
        <v>#VALUE!</v>
      </c>
      <c r="IR118" t="e">
        <f>AND('STERLING CATALOG - DRY '!I2576,"AAAAAH+6/fs=")</f>
        <v>#VALUE!</v>
      </c>
      <c r="IS118" t="e">
        <f>AND('STERLING CATALOG - DRY '!J2576,"AAAAAH+6/fw=")</f>
        <v>#VALUE!</v>
      </c>
      <c r="IT118">
        <f>IF('STERLING CATALOG - DRY '!2577:2577,"AAAAAH+6/f0=",0)</f>
        <v>0</v>
      </c>
      <c r="IU118" t="e">
        <f>AND('STERLING CATALOG - DRY '!A2577,"AAAAAH+6/f4=")</f>
        <v>#VALUE!</v>
      </c>
      <c r="IV118" t="e">
        <f>AND('STERLING CATALOG - DRY '!B2577,"AAAAAH+6/f8=")</f>
        <v>#VALUE!</v>
      </c>
    </row>
    <row r="119" spans="1:256">
      <c r="A119" t="e">
        <f>AND('STERLING CATALOG - DRY '!C2577,"AAAAAGwjvwA=")</f>
        <v>#VALUE!</v>
      </c>
      <c r="B119" t="e">
        <f>AND('STERLING CATALOG - DRY '!D2577,"AAAAAGwjvwE=")</f>
        <v>#VALUE!</v>
      </c>
      <c r="C119" t="e">
        <f>AND('STERLING CATALOG - DRY '!E2577,"AAAAAGwjvwI=")</f>
        <v>#VALUE!</v>
      </c>
      <c r="D119" t="e">
        <f>AND('STERLING CATALOG - DRY '!F2577,"AAAAAGwjvwM=")</f>
        <v>#VALUE!</v>
      </c>
      <c r="E119" t="e">
        <f>AND('STERLING CATALOG - DRY '!G2577,"AAAAAGwjvwQ=")</f>
        <v>#VALUE!</v>
      </c>
      <c r="F119" t="e">
        <f>AND('STERLING CATALOG - DRY '!H2577,"AAAAAGwjvwU=")</f>
        <v>#VALUE!</v>
      </c>
      <c r="G119" t="e">
        <f>AND('STERLING CATALOG - DRY '!I2577,"AAAAAGwjvwY=")</f>
        <v>#VALUE!</v>
      </c>
      <c r="H119" t="e">
        <f>AND('STERLING CATALOG - DRY '!J2577,"AAAAAGwjvwc=")</f>
        <v>#VALUE!</v>
      </c>
      <c r="I119" t="e">
        <f>IF('STERLING CATALOG - DRY '!2578:2578,"AAAAAGwjvwg=",0)</f>
        <v>#VALUE!</v>
      </c>
      <c r="J119" t="e">
        <f>AND('STERLING CATALOG - DRY '!A2578,"AAAAAGwjvwk=")</f>
        <v>#VALUE!</v>
      </c>
      <c r="K119" t="e">
        <f>AND('STERLING CATALOG - DRY '!B2578,"AAAAAGwjvwo=")</f>
        <v>#VALUE!</v>
      </c>
      <c r="L119" t="e">
        <f>AND('STERLING CATALOG - DRY '!C2578,"AAAAAGwjvws=")</f>
        <v>#VALUE!</v>
      </c>
      <c r="M119" t="e">
        <f>AND('STERLING CATALOG - DRY '!D2578,"AAAAAGwjvww=")</f>
        <v>#VALUE!</v>
      </c>
      <c r="N119" t="e">
        <f>AND('STERLING CATALOG - DRY '!E2578,"AAAAAGwjvw0=")</f>
        <v>#VALUE!</v>
      </c>
      <c r="O119" t="e">
        <f>AND('STERLING CATALOG - DRY '!F2578,"AAAAAGwjvw4=")</f>
        <v>#VALUE!</v>
      </c>
      <c r="P119" t="e">
        <f>AND('STERLING CATALOG - DRY '!G2578,"AAAAAGwjvw8=")</f>
        <v>#VALUE!</v>
      </c>
      <c r="Q119" t="e">
        <f>AND('STERLING CATALOG - DRY '!H2578,"AAAAAGwjvxA=")</f>
        <v>#VALUE!</v>
      </c>
      <c r="R119" t="e">
        <f>AND('STERLING CATALOG - DRY '!I2578,"AAAAAGwjvxE=")</f>
        <v>#VALUE!</v>
      </c>
      <c r="S119" t="e">
        <f>AND('STERLING CATALOG - DRY '!J2578,"AAAAAGwjvxI=")</f>
        <v>#VALUE!</v>
      </c>
      <c r="T119">
        <f>IF('STERLING CATALOG - DRY '!2579:2579,"AAAAAGwjvxM=",0)</f>
        <v>0</v>
      </c>
      <c r="U119" t="e">
        <f>AND('STERLING CATALOG - DRY '!A2579,"AAAAAGwjvxQ=")</f>
        <v>#VALUE!</v>
      </c>
      <c r="V119" t="e">
        <f>AND('STERLING CATALOG - DRY '!B2579,"AAAAAGwjvxU=")</f>
        <v>#VALUE!</v>
      </c>
      <c r="W119" t="e">
        <f>AND('STERLING CATALOG - DRY '!C2579,"AAAAAGwjvxY=")</f>
        <v>#VALUE!</v>
      </c>
      <c r="X119" t="e">
        <f>AND('STERLING CATALOG - DRY '!D2579,"AAAAAGwjvxc=")</f>
        <v>#VALUE!</v>
      </c>
      <c r="Y119" t="e">
        <f>AND('STERLING CATALOG - DRY '!E2579,"AAAAAGwjvxg=")</f>
        <v>#VALUE!</v>
      </c>
      <c r="Z119" t="e">
        <f>AND('STERLING CATALOG - DRY '!F2579,"AAAAAGwjvxk=")</f>
        <v>#VALUE!</v>
      </c>
      <c r="AA119" t="e">
        <f>AND('STERLING CATALOG - DRY '!G2579,"AAAAAGwjvxo=")</f>
        <v>#VALUE!</v>
      </c>
      <c r="AB119" t="e">
        <f>AND('STERLING CATALOG - DRY '!H2579,"AAAAAGwjvxs=")</f>
        <v>#VALUE!</v>
      </c>
      <c r="AC119" t="e">
        <f>AND('STERLING CATALOG - DRY '!I2579,"AAAAAGwjvxw=")</f>
        <v>#VALUE!</v>
      </c>
      <c r="AD119" t="e">
        <f>AND('STERLING CATALOG - DRY '!J2579,"AAAAAGwjvx0=")</f>
        <v>#VALUE!</v>
      </c>
      <c r="AE119">
        <f>IF('STERLING CATALOG - DRY '!2580:2580,"AAAAAGwjvx4=",0)</f>
        <v>0</v>
      </c>
      <c r="AF119" t="e">
        <f>AND('STERLING CATALOG - DRY '!A2580,"AAAAAGwjvx8=")</f>
        <v>#VALUE!</v>
      </c>
      <c r="AG119" t="e">
        <f>AND('STERLING CATALOG - DRY '!B2580,"AAAAAGwjvyA=")</f>
        <v>#VALUE!</v>
      </c>
      <c r="AH119" t="e">
        <f>AND('STERLING CATALOG - DRY '!C2580,"AAAAAGwjvyE=")</f>
        <v>#VALUE!</v>
      </c>
      <c r="AI119" t="e">
        <f>AND('STERLING CATALOG - DRY '!D2580,"AAAAAGwjvyI=")</f>
        <v>#VALUE!</v>
      </c>
      <c r="AJ119" t="e">
        <f>AND('STERLING CATALOG - DRY '!E2580,"AAAAAGwjvyM=")</f>
        <v>#VALUE!</v>
      </c>
      <c r="AK119" t="e">
        <f>AND('STERLING CATALOG - DRY '!F2580,"AAAAAGwjvyQ=")</f>
        <v>#VALUE!</v>
      </c>
      <c r="AL119" t="e">
        <f>AND('STERLING CATALOG - DRY '!G2580,"AAAAAGwjvyU=")</f>
        <v>#VALUE!</v>
      </c>
      <c r="AM119" t="e">
        <f>AND('STERLING CATALOG - DRY '!H2580,"AAAAAGwjvyY=")</f>
        <v>#VALUE!</v>
      </c>
      <c r="AN119" t="e">
        <f>AND('STERLING CATALOG - DRY '!I2580,"AAAAAGwjvyc=")</f>
        <v>#VALUE!</v>
      </c>
      <c r="AO119" t="e">
        <f>AND('STERLING CATALOG - DRY '!J2580,"AAAAAGwjvyg=")</f>
        <v>#VALUE!</v>
      </c>
      <c r="AP119">
        <f>IF('STERLING CATALOG - DRY '!2581:2581,"AAAAAGwjvyk=",0)</f>
        <v>0</v>
      </c>
      <c r="AQ119" t="e">
        <f>AND('STERLING CATALOG - DRY '!A2581,"AAAAAGwjvyo=")</f>
        <v>#VALUE!</v>
      </c>
      <c r="AR119" t="e">
        <f>AND('STERLING CATALOG - DRY '!B2581,"AAAAAGwjvys=")</f>
        <v>#VALUE!</v>
      </c>
      <c r="AS119" t="e">
        <f>AND('STERLING CATALOG - DRY '!C2581,"AAAAAGwjvyw=")</f>
        <v>#VALUE!</v>
      </c>
      <c r="AT119" t="e">
        <f>AND('STERLING CATALOG - DRY '!D2581,"AAAAAGwjvy0=")</f>
        <v>#VALUE!</v>
      </c>
      <c r="AU119" t="e">
        <f>AND('STERLING CATALOG - DRY '!E2581,"AAAAAGwjvy4=")</f>
        <v>#VALUE!</v>
      </c>
      <c r="AV119" t="e">
        <f>AND('STERLING CATALOG - DRY '!F2581,"AAAAAGwjvy8=")</f>
        <v>#VALUE!</v>
      </c>
      <c r="AW119" t="e">
        <f>AND('STERLING CATALOG - DRY '!G2581,"AAAAAGwjvzA=")</f>
        <v>#VALUE!</v>
      </c>
      <c r="AX119" t="e">
        <f>AND('STERLING CATALOG - DRY '!H2581,"AAAAAGwjvzE=")</f>
        <v>#VALUE!</v>
      </c>
      <c r="AY119" t="e">
        <f>AND('STERLING CATALOG - DRY '!I2581,"AAAAAGwjvzI=")</f>
        <v>#VALUE!</v>
      </c>
      <c r="AZ119" t="e">
        <f>AND('STERLING CATALOG - DRY '!J2581,"AAAAAGwjvzM=")</f>
        <v>#VALUE!</v>
      </c>
      <c r="BA119">
        <f>IF('STERLING CATALOG - DRY '!2582:2582,"AAAAAGwjvzQ=",0)</f>
        <v>0</v>
      </c>
      <c r="BB119" t="e">
        <f>AND('STERLING CATALOG - DRY '!A2582,"AAAAAGwjvzU=")</f>
        <v>#VALUE!</v>
      </c>
      <c r="BC119" t="e">
        <f>AND('STERLING CATALOG - DRY '!B2582,"AAAAAGwjvzY=")</f>
        <v>#VALUE!</v>
      </c>
      <c r="BD119" t="e">
        <f>AND('STERLING CATALOG - DRY '!C2582,"AAAAAGwjvzc=")</f>
        <v>#VALUE!</v>
      </c>
      <c r="BE119" t="e">
        <f>AND('STERLING CATALOG - DRY '!D2582,"AAAAAGwjvzg=")</f>
        <v>#VALUE!</v>
      </c>
      <c r="BF119" t="e">
        <f>AND('STERLING CATALOG - DRY '!E2582,"AAAAAGwjvzk=")</f>
        <v>#VALUE!</v>
      </c>
      <c r="BG119" t="e">
        <f>AND('STERLING CATALOG - DRY '!F2582,"AAAAAGwjvzo=")</f>
        <v>#VALUE!</v>
      </c>
      <c r="BH119" t="e">
        <f>AND('STERLING CATALOG - DRY '!G2582,"AAAAAGwjvzs=")</f>
        <v>#VALUE!</v>
      </c>
      <c r="BI119" t="e">
        <f>AND('STERLING CATALOG - DRY '!H2582,"AAAAAGwjvzw=")</f>
        <v>#VALUE!</v>
      </c>
      <c r="BJ119" t="e">
        <f>AND('STERLING CATALOG - DRY '!I2582,"AAAAAGwjvz0=")</f>
        <v>#VALUE!</v>
      </c>
      <c r="BK119" t="e">
        <f>AND('STERLING CATALOG - DRY '!J2582,"AAAAAGwjvz4=")</f>
        <v>#VALUE!</v>
      </c>
      <c r="BL119">
        <f>IF('STERLING CATALOG - DRY '!2583:2583,"AAAAAGwjvz8=",0)</f>
        <v>0</v>
      </c>
      <c r="BM119" t="e">
        <f>AND('STERLING CATALOG - DRY '!A2583,"AAAAAGwjv0A=")</f>
        <v>#VALUE!</v>
      </c>
      <c r="BN119" t="e">
        <f>AND('STERLING CATALOG - DRY '!B2583,"AAAAAGwjv0E=")</f>
        <v>#VALUE!</v>
      </c>
      <c r="BO119" t="e">
        <f>AND('STERLING CATALOG - DRY '!C2583,"AAAAAGwjv0I=")</f>
        <v>#VALUE!</v>
      </c>
      <c r="BP119" t="e">
        <f>AND('STERLING CATALOG - DRY '!D2583,"AAAAAGwjv0M=")</f>
        <v>#VALUE!</v>
      </c>
      <c r="BQ119" t="e">
        <f>AND('STERLING CATALOG - DRY '!E2583,"AAAAAGwjv0Q=")</f>
        <v>#VALUE!</v>
      </c>
      <c r="BR119" t="e">
        <f>AND('STERLING CATALOG - DRY '!F2583,"AAAAAGwjv0U=")</f>
        <v>#VALUE!</v>
      </c>
      <c r="BS119" t="e">
        <f>AND('STERLING CATALOG - DRY '!G2583,"AAAAAGwjv0Y=")</f>
        <v>#VALUE!</v>
      </c>
      <c r="BT119" t="e">
        <f>AND('STERLING CATALOG - DRY '!H2583,"AAAAAGwjv0c=")</f>
        <v>#VALUE!</v>
      </c>
      <c r="BU119" t="e">
        <f>AND('STERLING CATALOG - DRY '!I2583,"AAAAAGwjv0g=")</f>
        <v>#VALUE!</v>
      </c>
      <c r="BV119" t="e">
        <f>AND('STERLING CATALOG - DRY '!J2583,"AAAAAGwjv0k=")</f>
        <v>#VALUE!</v>
      </c>
      <c r="BW119">
        <f>IF('STERLING CATALOG - DRY '!2584:2584,"AAAAAGwjv0o=",0)</f>
        <v>0</v>
      </c>
      <c r="BX119" t="e">
        <f>AND('STERLING CATALOG - DRY '!A2584,"AAAAAGwjv0s=")</f>
        <v>#VALUE!</v>
      </c>
      <c r="BY119" t="e">
        <f>AND('STERLING CATALOG - DRY '!B2584,"AAAAAGwjv0w=")</f>
        <v>#VALUE!</v>
      </c>
      <c r="BZ119" t="e">
        <f>AND('STERLING CATALOG - DRY '!C2584,"AAAAAGwjv00=")</f>
        <v>#VALUE!</v>
      </c>
      <c r="CA119" t="e">
        <f>AND('STERLING CATALOG - DRY '!D2584,"AAAAAGwjv04=")</f>
        <v>#VALUE!</v>
      </c>
      <c r="CB119" t="e">
        <f>AND('STERLING CATALOG - DRY '!E2584,"AAAAAGwjv08=")</f>
        <v>#VALUE!</v>
      </c>
      <c r="CC119" t="e">
        <f>AND('STERLING CATALOG - DRY '!F2584,"AAAAAGwjv1A=")</f>
        <v>#VALUE!</v>
      </c>
      <c r="CD119" t="e">
        <f>AND('STERLING CATALOG - DRY '!G2584,"AAAAAGwjv1E=")</f>
        <v>#VALUE!</v>
      </c>
      <c r="CE119" t="e">
        <f>AND('STERLING CATALOG - DRY '!H2584,"AAAAAGwjv1I=")</f>
        <v>#VALUE!</v>
      </c>
      <c r="CF119" t="e">
        <f>AND('STERLING CATALOG - DRY '!I2584,"AAAAAGwjv1M=")</f>
        <v>#VALUE!</v>
      </c>
      <c r="CG119" t="e">
        <f>AND('STERLING CATALOG - DRY '!J2584,"AAAAAGwjv1Q=")</f>
        <v>#VALUE!</v>
      </c>
      <c r="CH119">
        <f>IF('STERLING CATALOG - DRY '!2585:2585,"AAAAAGwjv1U=",0)</f>
        <v>0</v>
      </c>
      <c r="CI119" t="e">
        <f>AND('STERLING CATALOG - DRY '!A2585,"AAAAAGwjv1Y=")</f>
        <v>#VALUE!</v>
      </c>
      <c r="CJ119" t="e">
        <f>AND('STERLING CATALOG - DRY '!B2585,"AAAAAGwjv1c=")</f>
        <v>#VALUE!</v>
      </c>
      <c r="CK119" t="e">
        <f>AND('STERLING CATALOG - DRY '!C2585,"AAAAAGwjv1g=")</f>
        <v>#VALUE!</v>
      </c>
      <c r="CL119" t="e">
        <f>AND('STERLING CATALOG - DRY '!D2585,"AAAAAGwjv1k=")</f>
        <v>#VALUE!</v>
      </c>
      <c r="CM119" t="e">
        <f>AND('STERLING CATALOG - DRY '!E2585,"AAAAAGwjv1o=")</f>
        <v>#VALUE!</v>
      </c>
      <c r="CN119" t="e">
        <f>AND('STERLING CATALOG - DRY '!F2585,"AAAAAGwjv1s=")</f>
        <v>#VALUE!</v>
      </c>
      <c r="CO119" t="e">
        <f>AND('STERLING CATALOG - DRY '!G2585,"AAAAAGwjv1w=")</f>
        <v>#VALUE!</v>
      </c>
      <c r="CP119" t="e">
        <f>AND('STERLING CATALOG - DRY '!H2585,"AAAAAGwjv10=")</f>
        <v>#VALUE!</v>
      </c>
      <c r="CQ119" t="e">
        <f>AND('STERLING CATALOG - DRY '!I2585,"AAAAAGwjv14=")</f>
        <v>#VALUE!</v>
      </c>
      <c r="CR119" t="e">
        <f>AND('STERLING CATALOG - DRY '!J2585,"AAAAAGwjv18=")</f>
        <v>#VALUE!</v>
      </c>
      <c r="CS119">
        <f>IF('STERLING CATALOG - DRY '!2586:2586,"AAAAAGwjv2A=",0)</f>
        <v>0</v>
      </c>
      <c r="CT119" t="e">
        <f>AND('STERLING CATALOG - DRY '!A2586,"AAAAAGwjv2E=")</f>
        <v>#VALUE!</v>
      </c>
      <c r="CU119" t="e">
        <f>AND('STERLING CATALOG - DRY '!B2586,"AAAAAGwjv2I=")</f>
        <v>#VALUE!</v>
      </c>
      <c r="CV119" t="e">
        <f>AND('STERLING CATALOG - DRY '!C2586,"AAAAAGwjv2M=")</f>
        <v>#VALUE!</v>
      </c>
      <c r="CW119" t="e">
        <f>AND('STERLING CATALOG - DRY '!D2586,"AAAAAGwjv2Q=")</f>
        <v>#VALUE!</v>
      </c>
      <c r="CX119" t="e">
        <f>AND('STERLING CATALOG - DRY '!E2586,"AAAAAGwjv2U=")</f>
        <v>#VALUE!</v>
      </c>
      <c r="CY119" t="e">
        <f>AND('STERLING CATALOG - DRY '!F2586,"AAAAAGwjv2Y=")</f>
        <v>#VALUE!</v>
      </c>
      <c r="CZ119" t="e">
        <f>AND('STERLING CATALOG - DRY '!G2586,"AAAAAGwjv2c=")</f>
        <v>#VALUE!</v>
      </c>
      <c r="DA119" t="e">
        <f>AND('STERLING CATALOG - DRY '!H2586,"AAAAAGwjv2g=")</f>
        <v>#VALUE!</v>
      </c>
      <c r="DB119" t="e">
        <f>AND('STERLING CATALOG - DRY '!I2586,"AAAAAGwjv2k=")</f>
        <v>#VALUE!</v>
      </c>
      <c r="DC119" t="e">
        <f>AND('STERLING CATALOG - DRY '!J2586,"AAAAAGwjv2o=")</f>
        <v>#VALUE!</v>
      </c>
      <c r="DD119">
        <f>IF('STERLING CATALOG - DRY '!2587:2587,"AAAAAGwjv2s=",0)</f>
        <v>0</v>
      </c>
      <c r="DE119" t="e">
        <f>AND('STERLING CATALOG - DRY '!A2587,"AAAAAGwjv2w=")</f>
        <v>#VALUE!</v>
      </c>
      <c r="DF119" t="e">
        <f>AND('STERLING CATALOG - DRY '!B2587,"AAAAAGwjv20=")</f>
        <v>#VALUE!</v>
      </c>
      <c r="DG119" t="e">
        <f>AND('STERLING CATALOG - DRY '!C2587,"AAAAAGwjv24=")</f>
        <v>#VALUE!</v>
      </c>
      <c r="DH119" t="e">
        <f>AND('STERLING CATALOG - DRY '!D2587,"AAAAAGwjv28=")</f>
        <v>#VALUE!</v>
      </c>
      <c r="DI119" t="e">
        <f>AND('STERLING CATALOG - DRY '!E2587,"AAAAAGwjv3A=")</f>
        <v>#VALUE!</v>
      </c>
      <c r="DJ119" t="e">
        <f>AND('STERLING CATALOG - DRY '!F2587,"AAAAAGwjv3E=")</f>
        <v>#VALUE!</v>
      </c>
      <c r="DK119" t="e">
        <f>AND('STERLING CATALOG - DRY '!G2587,"AAAAAGwjv3I=")</f>
        <v>#VALUE!</v>
      </c>
      <c r="DL119" t="e">
        <f>AND('STERLING CATALOG - DRY '!H2587,"AAAAAGwjv3M=")</f>
        <v>#VALUE!</v>
      </c>
      <c r="DM119" t="e">
        <f>AND('STERLING CATALOG - DRY '!I2587,"AAAAAGwjv3Q=")</f>
        <v>#VALUE!</v>
      </c>
      <c r="DN119" t="e">
        <f>AND('STERLING CATALOG - DRY '!J2587,"AAAAAGwjv3U=")</f>
        <v>#VALUE!</v>
      </c>
      <c r="DO119">
        <f>IF('STERLING CATALOG - DRY '!2588:2588,"AAAAAGwjv3Y=",0)</f>
        <v>0</v>
      </c>
      <c r="DP119" t="e">
        <f>AND('STERLING CATALOG - DRY '!A2588,"AAAAAGwjv3c=")</f>
        <v>#VALUE!</v>
      </c>
      <c r="DQ119" t="e">
        <f>AND('STERLING CATALOG - DRY '!B2588,"AAAAAGwjv3g=")</f>
        <v>#VALUE!</v>
      </c>
      <c r="DR119" t="e">
        <f>AND('STERLING CATALOG - DRY '!C2588,"AAAAAGwjv3k=")</f>
        <v>#VALUE!</v>
      </c>
      <c r="DS119" t="e">
        <f>AND('STERLING CATALOG - DRY '!D2588,"AAAAAGwjv3o=")</f>
        <v>#VALUE!</v>
      </c>
      <c r="DT119" t="e">
        <f>AND('STERLING CATALOG - DRY '!E2588,"AAAAAGwjv3s=")</f>
        <v>#VALUE!</v>
      </c>
      <c r="DU119" t="e">
        <f>AND('STERLING CATALOG - DRY '!F2588,"AAAAAGwjv3w=")</f>
        <v>#VALUE!</v>
      </c>
      <c r="DV119" t="e">
        <f>AND('STERLING CATALOG - DRY '!G2588,"AAAAAGwjv30=")</f>
        <v>#VALUE!</v>
      </c>
      <c r="DW119" t="e">
        <f>AND('STERLING CATALOG - DRY '!H2588,"AAAAAGwjv34=")</f>
        <v>#VALUE!</v>
      </c>
      <c r="DX119" t="e">
        <f>AND('STERLING CATALOG - DRY '!I2588,"AAAAAGwjv38=")</f>
        <v>#VALUE!</v>
      </c>
      <c r="DY119" t="e">
        <f>AND('STERLING CATALOG - DRY '!J2588,"AAAAAGwjv4A=")</f>
        <v>#VALUE!</v>
      </c>
      <c r="DZ119">
        <f>IF('STERLING CATALOG - DRY '!2589:2589,"AAAAAGwjv4E=",0)</f>
        <v>0</v>
      </c>
      <c r="EA119" t="e">
        <f>AND('STERLING CATALOG - DRY '!A2589,"AAAAAGwjv4I=")</f>
        <v>#VALUE!</v>
      </c>
      <c r="EB119" t="e">
        <f>AND('STERLING CATALOG - DRY '!B2589,"AAAAAGwjv4M=")</f>
        <v>#VALUE!</v>
      </c>
      <c r="EC119" t="e">
        <f>AND('STERLING CATALOG - DRY '!C2589,"AAAAAGwjv4Q=")</f>
        <v>#VALUE!</v>
      </c>
      <c r="ED119" t="e">
        <f>AND('STERLING CATALOG - DRY '!D2589,"AAAAAGwjv4U=")</f>
        <v>#VALUE!</v>
      </c>
      <c r="EE119" t="e">
        <f>AND('STERLING CATALOG - DRY '!E2589,"AAAAAGwjv4Y=")</f>
        <v>#VALUE!</v>
      </c>
      <c r="EF119" t="e">
        <f>AND('STERLING CATALOG - DRY '!F2589,"AAAAAGwjv4c=")</f>
        <v>#VALUE!</v>
      </c>
      <c r="EG119" t="e">
        <f>AND('STERLING CATALOG - DRY '!G2589,"AAAAAGwjv4g=")</f>
        <v>#VALUE!</v>
      </c>
      <c r="EH119" t="e">
        <f>AND('STERLING CATALOG - DRY '!H2589,"AAAAAGwjv4k=")</f>
        <v>#VALUE!</v>
      </c>
      <c r="EI119" t="e">
        <f>AND('STERLING CATALOG - DRY '!I2589,"AAAAAGwjv4o=")</f>
        <v>#VALUE!</v>
      </c>
      <c r="EJ119" t="e">
        <f>AND('STERLING CATALOG - DRY '!J2589,"AAAAAGwjv4s=")</f>
        <v>#VALUE!</v>
      </c>
      <c r="EK119">
        <f>IF('STERLING CATALOG - DRY '!2590:2590,"AAAAAGwjv4w=",0)</f>
        <v>0</v>
      </c>
      <c r="EL119" t="e">
        <f>AND('STERLING CATALOG - DRY '!A2590,"AAAAAGwjv40=")</f>
        <v>#VALUE!</v>
      </c>
      <c r="EM119" t="e">
        <f>AND('STERLING CATALOG - DRY '!B2590,"AAAAAGwjv44=")</f>
        <v>#VALUE!</v>
      </c>
      <c r="EN119" t="e">
        <f>AND('STERLING CATALOG - DRY '!C2590,"AAAAAGwjv48=")</f>
        <v>#VALUE!</v>
      </c>
      <c r="EO119" t="e">
        <f>AND('STERLING CATALOG - DRY '!D2590,"AAAAAGwjv5A=")</f>
        <v>#VALUE!</v>
      </c>
      <c r="EP119" t="e">
        <f>AND('STERLING CATALOG - DRY '!E2590,"AAAAAGwjv5E=")</f>
        <v>#VALUE!</v>
      </c>
      <c r="EQ119" t="e">
        <f>AND('STERLING CATALOG - DRY '!F2590,"AAAAAGwjv5I=")</f>
        <v>#VALUE!</v>
      </c>
      <c r="ER119" t="e">
        <f>AND('STERLING CATALOG - DRY '!G2590,"AAAAAGwjv5M=")</f>
        <v>#VALUE!</v>
      </c>
      <c r="ES119" t="e">
        <f>AND('STERLING CATALOG - DRY '!H2590,"AAAAAGwjv5Q=")</f>
        <v>#VALUE!</v>
      </c>
      <c r="ET119" t="e">
        <f>AND('STERLING CATALOG - DRY '!I2590,"AAAAAGwjv5U=")</f>
        <v>#VALUE!</v>
      </c>
      <c r="EU119" t="e">
        <f>AND('STERLING CATALOG - DRY '!J2590,"AAAAAGwjv5Y=")</f>
        <v>#VALUE!</v>
      </c>
      <c r="EV119">
        <f>IF('STERLING CATALOG - DRY '!2591:2591,"AAAAAGwjv5c=",0)</f>
        <v>0</v>
      </c>
      <c r="EW119" t="e">
        <f>AND('STERLING CATALOG - DRY '!A2591,"AAAAAGwjv5g=")</f>
        <v>#VALUE!</v>
      </c>
      <c r="EX119" t="e">
        <f>AND('STERLING CATALOG - DRY '!B2591,"AAAAAGwjv5k=")</f>
        <v>#VALUE!</v>
      </c>
      <c r="EY119" t="e">
        <f>AND('STERLING CATALOG - DRY '!C2591,"AAAAAGwjv5o=")</f>
        <v>#VALUE!</v>
      </c>
      <c r="EZ119" t="e">
        <f>AND('STERLING CATALOG - DRY '!D2591,"AAAAAGwjv5s=")</f>
        <v>#VALUE!</v>
      </c>
      <c r="FA119" t="e">
        <f>AND('STERLING CATALOG - DRY '!E2591,"AAAAAGwjv5w=")</f>
        <v>#VALUE!</v>
      </c>
      <c r="FB119" t="e">
        <f>AND('STERLING CATALOG - DRY '!F2591,"AAAAAGwjv50=")</f>
        <v>#VALUE!</v>
      </c>
      <c r="FC119" t="e">
        <f>AND('STERLING CATALOG - DRY '!G2591,"AAAAAGwjv54=")</f>
        <v>#VALUE!</v>
      </c>
      <c r="FD119" t="e">
        <f>AND('STERLING CATALOG - DRY '!H2591,"AAAAAGwjv58=")</f>
        <v>#VALUE!</v>
      </c>
      <c r="FE119" t="e">
        <f>AND('STERLING CATALOG - DRY '!I2591,"AAAAAGwjv6A=")</f>
        <v>#VALUE!</v>
      </c>
      <c r="FF119" t="e">
        <f>AND('STERLING CATALOG - DRY '!J2591,"AAAAAGwjv6E=")</f>
        <v>#VALUE!</v>
      </c>
      <c r="FG119">
        <f>IF('STERLING CATALOG - DRY '!2592:2592,"AAAAAGwjv6I=",0)</f>
        <v>0</v>
      </c>
      <c r="FH119" t="e">
        <f>AND('STERLING CATALOG - DRY '!A2592,"AAAAAGwjv6M=")</f>
        <v>#VALUE!</v>
      </c>
      <c r="FI119" t="e">
        <f>AND('STERLING CATALOG - DRY '!B2592,"AAAAAGwjv6Q=")</f>
        <v>#VALUE!</v>
      </c>
      <c r="FJ119" t="e">
        <f>AND('STERLING CATALOG - DRY '!C2592,"AAAAAGwjv6U=")</f>
        <v>#VALUE!</v>
      </c>
      <c r="FK119" t="e">
        <f>AND('STERLING CATALOG - DRY '!D2592,"AAAAAGwjv6Y=")</f>
        <v>#VALUE!</v>
      </c>
      <c r="FL119" t="e">
        <f>AND('STERLING CATALOG - DRY '!E2592,"AAAAAGwjv6c=")</f>
        <v>#VALUE!</v>
      </c>
      <c r="FM119" t="e">
        <f>AND('STERLING CATALOG - DRY '!F2592,"AAAAAGwjv6g=")</f>
        <v>#VALUE!</v>
      </c>
      <c r="FN119" t="e">
        <f>AND('STERLING CATALOG - DRY '!G2592,"AAAAAGwjv6k=")</f>
        <v>#VALUE!</v>
      </c>
      <c r="FO119" t="e">
        <f>AND('STERLING CATALOG - DRY '!H2592,"AAAAAGwjv6o=")</f>
        <v>#VALUE!</v>
      </c>
      <c r="FP119" t="e">
        <f>AND('STERLING CATALOG - DRY '!I2592,"AAAAAGwjv6s=")</f>
        <v>#VALUE!</v>
      </c>
      <c r="FQ119" t="e">
        <f>AND('STERLING CATALOG - DRY '!J2592,"AAAAAGwjv6w=")</f>
        <v>#VALUE!</v>
      </c>
      <c r="FR119">
        <f>IF('STERLING CATALOG - DRY '!2593:2593,"AAAAAGwjv60=",0)</f>
        <v>0</v>
      </c>
      <c r="FS119" t="e">
        <f>AND('STERLING CATALOG - DRY '!A2593,"AAAAAGwjv64=")</f>
        <v>#VALUE!</v>
      </c>
      <c r="FT119" t="e">
        <f>AND('STERLING CATALOG - DRY '!B2593,"AAAAAGwjv68=")</f>
        <v>#VALUE!</v>
      </c>
      <c r="FU119" t="e">
        <f>AND('STERLING CATALOG - DRY '!C2593,"AAAAAGwjv7A=")</f>
        <v>#VALUE!</v>
      </c>
      <c r="FV119" t="e">
        <f>AND('STERLING CATALOG - DRY '!D2593,"AAAAAGwjv7E=")</f>
        <v>#VALUE!</v>
      </c>
      <c r="FW119" t="e">
        <f>AND('STERLING CATALOG - DRY '!E2593,"AAAAAGwjv7I=")</f>
        <v>#VALUE!</v>
      </c>
      <c r="FX119" t="e">
        <f>AND('STERLING CATALOG - DRY '!F2593,"AAAAAGwjv7M=")</f>
        <v>#VALUE!</v>
      </c>
      <c r="FY119" t="e">
        <f>AND('STERLING CATALOG - DRY '!G2593,"AAAAAGwjv7Q=")</f>
        <v>#VALUE!</v>
      </c>
      <c r="FZ119" t="e">
        <f>AND('STERLING CATALOG - DRY '!H2593,"AAAAAGwjv7U=")</f>
        <v>#VALUE!</v>
      </c>
      <c r="GA119" t="e">
        <f>AND('STERLING CATALOG - DRY '!I2593,"AAAAAGwjv7Y=")</f>
        <v>#VALUE!</v>
      </c>
      <c r="GB119" t="e">
        <f>AND('STERLING CATALOG - DRY '!J2593,"AAAAAGwjv7c=")</f>
        <v>#VALUE!</v>
      </c>
      <c r="GC119">
        <f>IF('STERLING CATALOG - DRY '!2594:2594,"AAAAAGwjv7g=",0)</f>
        <v>0</v>
      </c>
      <c r="GD119" t="e">
        <f>AND('STERLING CATALOG - DRY '!A2594,"AAAAAGwjv7k=")</f>
        <v>#VALUE!</v>
      </c>
      <c r="GE119" t="e">
        <f>AND('STERLING CATALOG - DRY '!B2594,"AAAAAGwjv7o=")</f>
        <v>#VALUE!</v>
      </c>
      <c r="GF119" t="e">
        <f>AND('STERLING CATALOG - DRY '!C2594,"AAAAAGwjv7s=")</f>
        <v>#VALUE!</v>
      </c>
      <c r="GG119" t="e">
        <f>AND('STERLING CATALOG - DRY '!D2594,"AAAAAGwjv7w=")</f>
        <v>#VALUE!</v>
      </c>
      <c r="GH119" t="e">
        <f>AND('STERLING CATALOG - DRY '!E2594,"AAAAAGwjv70=")</f>
        <v>#VALUE!</v>
      </c>
      <c r="GI119" t="e">
        <f>AND('STERLING CATALOG - DRY '!F2594,"AAAAAGwjv74=")</f>
        <v>#VALUE!</v>
      </c>
      <c r="GJ119" t="e">
        <f>AND('STERLING CATALOG - DRY '!G2594,"AAAAAGwjv78=")</f>
        <v>#VALUE!</v>
      </c>
      <c r="GK119" t="e">
        <f>AND('STERLING CATALOG - DRY '!H2594,"AAAAAGwjv8A=")</f>
        <v>#VALUE!</v>
      </c>
      <c r="GL119" t="e">
        <f>AND('STERLING CATALOG - DRY '!I2594,"AAAAAGwjv8E=")</f>
        <v>#VALUE!</v>
      </c>
      <c r="GM119" t="e">
        <f>AND('STERLING CATALOG - DRY '!J2594,"AAAAAGwjv8I=")</f>
        <v>#VALUE!</v>
      </c>
      <c r="GN119">
        <f>IF('STERLING CATALOG - DRY '!2595:2595,"AAAAAGwjv8M=",0)</f>
        <v>0</v>
      </c>
      <c r="GO119" t="e">
        <f>AND('STERLING CATALOG - DRY '!A2595,"AAAAAGwjv8Q=")</f>
        <v>#VALUE!</v>
      </c>
      <c r="GP119" t="e">
        <f>AND('STERLING CATALOG - DRY '!B2595,"AAAAAGwjv8U=")</f>
        <v>#VALUE!</v>
      </c>
      <c r="GQ119" t="e">
        <f>AND('STERLING CATALOG - DRY '!C2595,"AAAAAGwjv8Y=")</f>
        <v>#VALUE!</v>
      </c>
      <c r="GR119" t="e">
        <f>AND('STERLING CATALOG - DRY '!D2595,"AAAAAGwjv8c=")</f>
        <v>#VALUE!</v>
      </c>
      <c r="GS119" t="e">
        <f>AND('STERLING CATALOG - DRY '!E2595,"AAAAAGwjv8g=")</f>
        <v>#VALUE!</v>
      </c>
      <c r="GT119" t="e">
        <f>AND('STERLING CATALOG - DRY '!F2595,"AAAAAGwjv8k=")</f>
        <v>#VALUE!</v>
      </c>
      <c r="GU119" t="e">
        <f>AND('STERLING CATALOG - DRY '!G2595,"AAAAAGwjv8o=")</f>
        <v>#VALUE!</v>
      </c>
      <c r="GV119" t="e">
        <f>AND('STERLING CATALOG - DRY '!H2595,"AAAAAGwjv8s=")</f>
        <v>#VALUE!</v>
      </c>
      <c r="GW119" t="e">
        <f>AND('STERLING CATALOG - DRY '!I2595,"AAAAAGwjv8w=")</f>
        <v>#VALUE!</v>
      </c>
      <c r="GX119" t="e">
        <f>AND('STERLING CATALOG - DRY '!J2595,"AAAAAGwjv80=")</f>
        <v>#VALUE!</v>
      </c>
      <c r="GY119">
        <f>IF('STERLING CATALOG - DRY '!2596:2596,"AAAAAGwjv84=",0)</f>
        <v>0</v>
      </c>
      <c r="GZ119" t="e">
        <f>AND('STERLING CATALOG - DRY '!A2596,"AAAAAGwjv88=")</f>
        <v>#VALUE!</v>
      </c>
      <c r="HA119" t="e">
        <f>AND('STERLING CATALOG - DRY '!B2596,"AAAAAGwjv9A=")</f>
        <v>#VALUE!</v>
      </c>
      <c r="HB119" t="e">
        <f>AND('STERLING CATALOG - DRY '!C2596,"AAAAAGwjv9E=")</f>
        <v>#VALUE!</v>
      </c>
      <c r="HC119" t="e">
        <f>AND('STERLING CATALOG - DRY '!D2596,"AAAAAGwjv9I=")</f>
        <v>#VALUE!</v>
      </c>
      <c r="HD119" t="e">
        <f>AND('STERLING CATALOG - DRY '!E2596,"AAAAAGwjv9M=")</f>
        <v>#VALUE!</v>
      </c>
      <c r="HE119" t="e">
        <f>AND('STERLING CATALOG - DRY '!F2596,"AAAAAGwjv9Q=")</f>
        <v>#VALUE!</v>
      </c>
      <c r="HF119" t="e">
        <f>AND('STERLING CATALOG - DRY '!G2596,"AAAAAGwjv9U=")</f>
        <v>#VALUE!</v>
      </c>
      <c r="HG119" t="e">
        <f>AND('STERLING CATALOG - DRY '!H2596,"AAAAAGwjv9Y=")</f>
        <v>#VALUE!</v>
      </c>
      <c r="HH119" t="e">
        <f>AND('STERLING CATALOG - DRY '!I2596,"AAAAAGwjv9c=")</f>
        <v>#VALUE!</v>
      </c>
      <c r="HI119" t="e">
        <f>AND('STERLING CATALOG - DRY '!J2596,"AAAAAGwjv9g=")</f>
        <v>#VALUE!</v>
      </c>
      <c r="HJ119">
        <f>IF('STERLING CATALOG - DRY '!2597:2597,"AAAAAGwjv9k=",0)</f>
        <v>0</v>
      </c>
      <c r="HK119" t="e">
        <f>AND('STERLING CATALOG - DRY '!A2597,"AAAAAGwjv9o=")</f>
        <v>#VALUE!</v>
      </c>
      <c r="HL119" t="e">
        <f>AND('STERLING CATALOG - DRY '!B2597,"AAAAAGwjv9s=")</f>
        <v>#VALUE!</v>
      </c>
      <c r="HM119" t="e">
        <f>AND('STERLING CATALOG - DRY '!C2597,"AAAAAGwjv9w=")</f>
        <v>#VALUE!</v>
      </c>
      <c r="HN119" t="e">
        <f>AND('STERLING CATALOG - DRY '!D2597,"AAAAAGwjv90=")</f>
        <v>#VALUE!</v>
      </c>
      <c r="HO119" t="e">
        <f>AND('STERLING CATALOG - DRY '!E2597,"AAAAAGwjv94=")</f>
        <v>#VALUE!</v>
      </c>
      <c r="HP119" t="e">
        <f>AND('STERLING CATALOG - DRY '!F2597,"AAAAAGwjv98=")</f>
        <v>#VALUE!</v>
      </c>
      <c r="HQ119" t="e">
        <f>AND('STERLING CATALOG - DRY '!G2597,"AAAAAGwjv+A=")</f>
        <v>#VALUE!</v>
      </c>
      <c r="HR119" t="e">
        <f>AND('STERLING CATALOG - DRY '!H2597,"AAAAAGwjv+E=")</f>
        <v>#VALUE!</v>
      </c>
      <c r="HS119" t="e">
        <f>AND('STERLING CATALOG - DRY '!I2597,"AAAAAGwjv+I=")</f>
        <v>#VALUE!</v>
      </c>
      <c r="HT119" t="e">
        <f>AND('STERLING CATALOG - DRY '!J2597,"AAAAAGwjv+M=")</f>
        <v>#VALUE!</v>
      </c>
      <c r="HU119">
        <f>IF('STERLING CATALOG - DRY '!2598:2598,"AAAAAGwjv+Q=",0)</f>
        <v>0</v>
      </c>
      <c r="HV119" t="e">
        <f>AND('STERLING CATALOG - DRY '!A2598,"AAAAAGwjv+U=")</f>
        <v>#VALUE!</v>
      </c>
      <c r="HW119" t="e">
        <f>AND('STERLING CATALOG - DRY '!B2598,"AAAAAGwjv+Y=")</f>
        <v>#VALUE!</v>
      </c>
      <c r="HX119" t="e">
        <f>AND('STERLING CATALOG - DRY '!C2598,"AAAAAGwjv+c=")</f>
        <v>#VALUE!</v>
      </c>
      <c r="HY119" t="e">
        <f>AND('STERLING CATALOG - DRY '!D2598,"AAAAAGwjv+g=")</f>
        <v>#VALUE!</v>
      </c>
      <c r="HZ119" t="e">
        <f>AND('STERLING CATALOG - DRY '!E2598,"AAAAAGwjv+k=")</f>
        <v>#VALUE!</v>
      </c>
      <c r="IA119" t="e">
        <f>AND('STERLING CATALOG - DRY '!F2598,"AAAAAGwjv+o=")</f>
        <v>#VALUE!</v>
      </c>
      <c r="IB119" t="e">
        <f>AND('STERLING CATALOG - DRY '!G2598,"AAAAAGwjv+s=")</f>
        <v>#VALUE!</v>
      </c>
      <c r="IC119" t="e">
        <f>AND('STERLING CATALOG - DRY '!H2598,"AAAAAGwjv+w=")</f>
        <v>#VALUE!</v>
      </c>
      <c r="ID119" t="e">
        <f>AND('STERLING CATALOG - DRY '!I2598,"AAAAAGwjv+0=")</f>
        <v>#VALUE!</v>
      </c>
      <c r="IE119" t="e">
        <f>AND('STERLING CATALOG - DRY '!J2598,"AAAAAGwjv+4=")</f>
        <v>#VALUE!</v>
      </c>
      <c r="IF119">
        <f>IF('STERLING CATALOG - DRY '!2599:2599,"AAAAAGwjv+8=",0)</f>
        <v>0</v>
      </c>
      <c r="IG119" t="e">
        <f>AND('STERLING CATALOG - DRY '!A2599,"AAAAAGwjv/A=")</f>
        <v>#VALUE!</v>
      </c>
      <c r="IH119" t="e">
        <f>AND('STERLING CATALOG - DRY '!B2599,"AAAAAGwjv/E=")</f>
        <v>#VALUE!</v>
      </c>
      <c r="II119" t="e">
        <f>AND('STERLING CATALOG - DRY '!C2599,"AAAAAGwjv/I=")</f>
        <v>#VALUE!</v>
      </c>
      <c r="IJ119" t="e">
        <f>AND('STERLING CATALOG - DRY '!D2599,"AAAAAGwjv/M=")</f>
        <v>#VALUE!</v>
      </c>
      <c r="IK119" t="e">
        <f>AND('STERLING CATALOG - DRY '!E2599,"AAAAAGwjv/Q=")</f>
        <v>#VALUE!</v>
      </c>
      <c r="IL119" t="e">
        <f>AND('STERLING CATALOG - DRY '!F2599,"AAAAAGwjv/U=")</f>
        <v>#VALUE!</v>
      </c>
      <c r="IM119" t="e">
        <f>AND('STERLING CATALOG - DRY '!G2599,"AAAAAGwjv/Y=")</f>
        <v>#VALUE!</v>
      </c>
      <c r="IN119" t="e">
        <f>AND('STERLING CATALOG - DRY '!H2599,"AAAAAGwjv/c=")</f>
        <v>#VALUE!</v>
      </c>
      <c r="IO119" t="e">
        <f>AND('STERLING CATALOG - DRY '!I2599,"AAAAAGwjv/g=")</f>
        <v>#VALUE!</v>
      </c>
      <c r="IP119" t="e">
        <f>AND('STERLING CATALOG - DRY '!J2599,"AAAAAGwjv/k=")</f>
        <v>#VALUE!</v>
      </c>
      <c r="IQ119">
        <f>IF('STERLING CATALOG - DRY '!2600:2600,"AAAAAGwjv/o=",0)</f>
        <v>0</v>
      </c>
      <c r="IR119" t="e">
        <f>AND('STERLING CATALOG - DRY '!A2600,"AAAAAGwjv/s=")</f>
        <v>#VALUE!</v>
      </c>
      <c r="IS119" t="e">
        <f>AND('STERLING CATALOG - DRY '!B2600,"AAAAAGwjv/w=")</f>
        <v>#VALUE!</v>
      </c>
      <c r="IT119" t="e">
        <f>AND('STERLING CATALOG - DRY '!C2600,"AAAAAGwjv/0=")</f>
        <v>#VALUE!</v>
      </c>
      <c r="IU119" t="e">
        <f>AND('STERLING CATALOG - DRY '!D2600,"AAAAAGwjv/4=")</f>
        <v>#VALUE!</v>
      </c>
      <c r="IV119" t="e">
        <f>AND('STERLING CATALOG - DRY '!E2600,"AAAAAGwjv/8=")</f>
        <v>#VALUE!</v>
      </c>
    </row>
    <row r="120" spans="1:256">
      <c r="A120" t="e">
        <f>AND('STERLING CATALOG - DRY '!F2600,"AAAAAG8ffwA=")</f>
        <v>#VALUE!</v>
      </c>
      <c r="B120" t="e">
        <f>AND('STERLING CATALOG - DRY '!G2600,"AAAAAG8ffwE=")</f>
        <v>#VALUE!</v>
      </c>
      <c r="C120" t="e">
        <f>AND('STERLING CATALOG - DRY '!H2600,"AAAAAG8ffwI=")</f>
        <v>#VALUE!</v>
      </c>
      <c r="D120" t="e">
        <f>AND('STERLING CATALOG - DRY '!I2600,"AAAAAG8ffwM=")</f>
        <v>#VALUE!</v>
      </c>
      <c r="E120" t="e">
        <f>AND('STERLING CATALOG - DRY '!J2600,"AAAAAG8ffwQ=")</f>
        <v>#VALUE!</v>
      </c>
      <c r="F120" t="str">
        <f>IF('STERLING CATALOG - DRY '!2601:2601,"AAAAAG8ffwU=",0)</f>
        <v>AAAAAG8ffwU=</v>
      </c>
      <c r="G120" t="e">
        <f>AND('STERLING CATALOG - DRY '!A2601,"AAAAAG8ffwY=")</f>
        <v>#VALUE!</v>
      </c>
      <c r="H120" t="e">
        <f>AND('STERLING CATALOG - DRY '!B2601,"AAAAAG8ffwc=")</f>
        <v>#VALUE!</v>
      </c>
      <c r="I120" t="e">
        <f>AND('STERLING CATALOG - DRY '!C2601,"AAAAAG8ffwg=")</f>
        <v>#VALUE!</v>
      </c>
      <c r="J120" t="e">
        <f>AND('STERLING CATALOG - DRY '!D2601,"AAAAAG8ffwk=")</f>
        <v>#VALUE!</v>
      </c>
      <c r="K120" t="e">
        <f>AND('STERLING CATALOG - DRY '!E2601,"AAAAAG8ffwo=")</f>
        <v>#VALUE!</v>
      </c>
      <c r="L120" t="e">
        <f>AND('STERLING CATALOG - DRY '!F2601,"AAAAAG8ffws=")</f>
        <v>#VALUE!</v>
      </c>
      <c r="M120" t="e">
        <f>AND('STERLING CATALOG - DRY '!G2601,"AAAAAG8ffww=")</f>
        <v>#VALUE!</v>
      </c>
      <c r="N120" t="e">
        <f>AND('STERLING CATALOG - DRY '!H2601,"AAAAAG8ffw0=")</f>
        <v>#VALUE!</v>
      </c>
      <c r="O120" t="e">
        <f>AND('STERLING CATALOG - DRY '!I2601,"AAAAAG8ffw4=")</f>
        <v>#VALUE!</v>
      </c>
      <c r="P120" t="e">
        <f>AND('STERLING CATALOG - DRY '!J2601,"AAAAAG8ffw8=")</f>
        <v>#VALUE!</v>
      </c>
      <c r="Q120">
        <f>IF('STERLING CATALOG - DRY '!2602:2602,"AAAAAG8ffxA=",0)</f>
        <v>0</v>
      </c>
      <c r="R120" t="e">
        <f>AND('STERLING CATALOG - DRY '!A2602,"AAAAAG8ffxE=")</f>
        <v>#VALUE!</v>
      </c>
      <c r="S120" t="e">
        <f>AND('STERLING CATALOG - DRY '!B2602,"AAAAAG8ffxI=")</f>
        <v>#VALUE!</v>
      </c>
      <c r="T120" t="e">
        <f>AND('STERLING CATALOG - DRY '!C2602,"AAAAAG8ffxM=")</f>
        <v>#VALUE!</v>
      </c>
      <c r="U120" t="e">
        <f>AND('STERLING CATALOG - DRY '!D2602,"AAAAAG8ffxQ=")</f>
        <v>#VALUE!</v>
      </c>
      <c r="V120" t="e">
        <f>AND('STERLING CATALOG - DRY '!E2602,"AAAAAG8ffxU=")</f>
        <v>#VALUE!</v>
      </c>
      <c r="W120" t="e">
        <f>AND('STERLING CATALOG - DRY '!F2602,"AAAAAG8ffxY=")</f>
        <v>#VALUE!</v>
      </c>
      <c r="X120" t="e">
        <f>AND('STERLING CATALOG - DRY '!G2602,"AAAAAG8ffxc=")</f>
        <v>#VALUE!</v>
      </c>
      <c r="Y120" t="e">
        <f>AND('STERLING CATALOG - DRY '!H2602,"AAAAAG8ffxg=")</f>
        <v>#VALUE!</v>
      </c>
      <c r="Z120" t="e">
        <f>AND('STERLING CATALOG - DRY '!I2602,"AAAAAG8ffxk=")</f>
        <v>#VALUE!</v>
      </c>
      <c r="AA120" t="e">
        <f>AND('STERLING CATALOG - DRY '!J2602,"AAAAAG8ffxo=")</f>
        <v>#VALUE!</v>
      </c>
      <c r="AB120">
        <f>IF('STERLING CATALOG - DRY '!2603:2603,"AAAAAG8ffxs=",0)</f>
        <v>0</v>
      </c>
      <c r="AC120" t="e">
        <f>AND('STERLING CATALOG - DRY '!A2603,"AAAAAG8ffxw=")</f>
        <v>#VALUE!</v>
      </c>
      <c r="AD120" t="e">
        <f>AND('STERLING CATALOG - DRY '!B2603,"AAAAAG8ffx0=")</f>
        <v>#VALUE!</v>
      </c>
      <c r="AE120" t="e">
        <f>AND('STERLING CATALOG - DRY '!C2603,"AAAAAG8ffx4=")</f>
        <v>#VALUE!</v>
      </c>
      <c r="AF120" t="e">
        <f>AND('STERLING CATALOG - DRY '!D2603,"AAAAAG8ffx8=")</f>
        <v>#VALUE!</v>
      </c>
      <c r="AG120" t="e">
        <f>AND('STERLING CATALOG - DRY '!E2603,"AAAAAG8ffyA=")</f>
        <v>#VALUE!</v>
      </c>
      <c r="AH120" t="e">
        <f>AND('STERLING CATALOG - DRY '!F2603,"AAAAAG8ffyE=")</f>
        <v>#VALUE!</v>
      </c>
      <c r="AI120" t="e">
        <f>AND('STERLING CATALOG - DRY '!G2603,"AAAAAG8ffyI=")</f>
        <v>#VALUE!</v>
      </c>
      <c r="AJ120" t="e">
        <f>AND('STERLING CATALOG - DRY '!H2603,"AAAAAG8ffyM=")</f>
        <v>#VALUE!</v>
      </c>
      <c r="AK120" t="e">
        <f>AND('STERLING CATALOG - DRY '!I2603,"AAAAAG8ffyQ=")</f>
        <v>#VALUE!</v>
      </c>
      <c r="AL120" t="e">
        <f>AND('STERLING CATALOG - DRY '!J2603,"AAAAAG8ffyU=")</f>
        <v>#VALUE!</v>
      </c>
      <c r="AM120">
        <f>IF('STERLING CATALOG - DRY '!2604:2604,"AAAAAG8ffyY=",0)</f>
        <v>0</v>
      </c>
      <c r="AN120" t="e">
        <f>AND('STERLING CATALOG - DRY '!A2604,"AAAAAG8ffyc=")</f>
        <v>#VALUE!</v>
      </c>
      <c r="AO120" t="e">
        <f>AND('STERLING CATALOG - DRY '!B2604,"AAAAAG8ffyg=")</f>
        <v>#VALUE!</v>
      </c>
      <c r="AP120" t="e">
        <f>AND('STERLING CATALOG - DRY '!C2604,"AAAAAG8ffyk=")</f>
        <v>#VALUE!</v>
      </c>
      <c r="AQ120" t="e">
        <f>AND('STERLING CATALOG - DRY '!D2604,"AAAAAG8ffyo=")</f>
        <v>#VALUE!</v>
      </c>
      <c r="AR120" t="e">
        <f>AND('STERLING CATALOG - DRY '!E2604,"AAAAAG8ffys=")</f>
        <v>#VALUE!</v>
      </c>
      <c r="AS120" t="e">
        <f>AND('STERLING CATALOG - DRY '!F2604,"AAAAAG8ffyw=")</f>
        <v>#VALUE!</v>
      </c>
      <c r="AT120" t="e">
        <f>AND('STERLING CATALOG - DRY '!G2604,"AAAAAG8ffy0=")</f>
        <v>#VALUE!</v>
      </c>
      <c r="AU120" t="e">
        <f>AND('STERLING CATALOG - DRY '!H2604,"AAAAAG8ffy4=")</f>
        <v>#VALUE!</v>
      </c>
      <c r="AV120" t="e">
        <f>AND('STERLING CATALOG - DRY '!I2604,"AAAAAG8ffy8=")</f>
        <v>#VALUE!</v>
      </c>
      <c r="AW120" t="e">
        <f>AND('STERLING CATALOG - DRY '!J2604,"AAAAAG8ffzA=")</f>
        <v>#VALUE!</v>
      </c>
      <c r="AX120">
        <f>IF('STERLING CATALOG - DRY '!2605:2605,"AAAAAG8ffzE=",0)</f>
        <v>0</v>
      </c>
      <c r="AY120" t="e">
        <f>AND('STERLING CATALOG - DRY '!A2605,"AAAAAG8ffzI=")</f>
        <v>#VALUE!</v>
      </c>
      <c r="AZ120" t="e">
        <f>AND('STERLING CATALOG - DRY '!B2605,"AAAAAG8ffzM=")</f>
        <v>#VALUE!</v>
      </c>
      <c r="BA120" t="e">
        <f>AND('STERLING CATALOG - DRY '!C2605,"AAAAAG8ffzQ=")</f>
        <v>#VALUE!</v>
      </c>
      <c r="BB120" t="e">
        <f>AND('STERLING CATALOG - DRY '!D2605,"AAAAAG8ffzU=")</f>
        <v>#VALUE!</v>
      </c>
      <c r="BC120" t="e">
        <f>AND('STERLING CATALOG - DRY '!E2605,"AAAAAG8ffzY=")</f>
        <v>#VALUE!</v>
      </c>
      <c r="BD120" t="e">
        <f>AND('STERLING CATALOG - DRY '!F2605,"AAAAAG8ffzc=")</f>
        <v>#VALUE!</v>
      </c>
      <c r="BE120" t="e">
        <f>AND('STERLING CATALOG - DRY '!G2605,"AAAAAG8ffzg=")</f>
        <v>#VALUE!</v>
      </c>
      <c r="BF120" t="e">
        <f>AND('STERLING CATALOG - DRY '!H2605,"AAAAAG8ffzk=")</f>
        <v>#VALUE!</v>
      </c>
      <c r="BG120" t="e">
        <f>AND('STERLING CATALOG - DRY '!I2605,"AAAAAG8ffzo=")</f>
        <v>#VALUE!</v>
      </c>
      <c r="BH120" t="e">
        <f>AND('STERLING CATALOG - DRY '!J2605,"AAAAAG8ffzs=")</f>
        <v>#VALUE!</v>
      </c>
      <c r="BI120">
        <f>IF('STERLING CATALOG - DRY '!2606:2606,"AAAAAG8ffzw=",0)</f>
        <v>0</v>
      </c>
      <c r="BJ120" t="e">
        <f>AND('STERLING CATALOG - DRY '!A2606,"AAAAAG8ffz0=")</f>
        <v>#VALUE!</v>
      </c>
      <c r="BK120" t="e">
        <f>AND('STERLING CATALOG - DRY '!B2606,"AAAAAG8ffz4=")</f>
        <v>#VALUE!</v>
      </c>
      <c r="BL120" t="e">
        <f>AND('STERLING CATALOG - DRY '!C2606,"AAAAAG8ffz8=")</f>
        <v>#VALUE!</v>
      </c>
      <c r="BM120" t="e">
        <f>AND('STERLING CATALOG - DRY '!D2606,"AAAAAG8ff0A=")</f>
        <v>#VALUE!</v>
      </c>
      <c r="BN120" t="e">
        <f>AND('STERLING CATALOG - DRY '!E2606,"AAAAAG8ff0E=")</f>
        <v>#VALUE!</v>
      </c>
      <c r="BO120" t="e">
        <f>AND('STERLING CATALOG - DRY '!F2606,"AAAAAG8ff0I=")</f>
        <v>#VALUE!</v>
      </c>
      <c r="BP120" t="e">
        <f>AND('STERLING CATALOG - DRY '!G2606,"AAAAAG8ff0M=")</f>
        <v>#VALUE!</v>
      </c>
      <c r="BQ120" t="e">
        <f>AND('STERLING CATALOG - DRY '!H2606,"AAAAAG8ff0Q=")</f>
        <v>#VALUE!</v>
      </c>
      <c r="BR120" t="e">
        <f>AND('STERLING CATALOG - DRY '!I2606,"AAAAAG8ff0U=")</f>
        <v>#VALUE!</v>
      </c>
      <c r="BS120" t="e">
        <f>AND('STERLING CATALOG - DRY '!J2606,"AAAAAG8ff0Y=")</f>
        <v>#VALUE!</v>
      </c>
      <c r="BT120">
        <f>IF('STERLING CATALOG - DRY '!2607:2607,"AAAAAG8ff0c=",0)</f>
        <v>0</v>
      </c>
      <c r="BU120" t="e">
        <f>AND('STERLING CATALOG - DRY '!A2607,"AAAAAG8ff0g=")</f>
        <v>#VALUE!</v>
      </c>
      <c r="BV120" t="e">
        <f>AND('STERLING CATALOG - DRY '!B2607,"AAAAAG8ff0k=")</f>
        <v>#VALUE!</v>
      </c>
      <c r="BW120" t="e">
        <f>AND('STERLING CATALOG - DRY '!C2607,"AAAAAG8ff0o=")</f>
        <v>#VALUE!</v>
      </c>
      <c r="BX120" t="e">
        <f>AND('STERLING CATALOG - DRY '!D2607,"AAAAAG8ff0s=")</f>
        <v>#VALUE!</v>
      </c>
      <c r="BY120" t="e">
        <f>AND('STERLING CATALOG - DRY '!E2607,"AAAAAG8ff0w=")</f>
        <v>#VALUE!</v>
      </c>
      <c r="BZ120" t="e">
        <f>AND('STERLING CATALOG - DRY '!F2607,"AAAAAG8ff00=")</f>
        <v>#VALUE!</v>
      </c>
      <c r="CA120" t="e">
        <f>AND('STERLING CATALOG - DRY '!G2607,"AAAAAG8ff04=")</f>
        <v>#VALUE!</v>
      </c>
      <c r="CB120" t="e">
        <f>AND('STERLING CATALOG - DRY '!H2607,"AAAAAG8ff08=")</f>
        <v>#VALUE!</v>
      </c>
      <c r="CC120" t="e">
        <f>AND('STERLING CATALOG - DRY '!I2607,"AAAAAG8ff1A=")</f>
        <v>#VALUE!</v>
      </c>
      <c r="CD120" t="e">
        <f>AND('STERLING CATALOG - DRY '!J2607,"AAAAAG8ff1E=")</f>
        <v>#VALUE!</v>
      </c>
      <c r="CE120">
        <f>IF('STERLING CATALOG - DRY '!2608:2608,"AAAAAG8ff1I=",0)</f>
        <v>0</v>
      </c>
      <c r="CF120" t="e">
        <f>AND('STERLING CATALOG - DRY '!A2608,"AAAAAG8ff1M=")</f>
        <v>#VALUE!</v>
      </c>
      <c r="CG120" t="e">
        <f>AND('STERLING CATALOG - DRY '!B2608,"AAAAAG8ff1Q=")</f>
        <v>#VALUE!</v>
      </c>
      <c r="CH120" t="e">
        <f>AND('STERLING CATALOG - DRY '!C2608,"AAAAAG8ff1U=")</f>
        <v>#VALUE!</v>
      </c>
      <c r="CI120" t="e">
        <f>AND('STERLING CATALOG - DRY '!D2608,"AAAAAG8ff1Y=")</f>
        <v>#VALUE!</v>
      </c>
      <c r="CJ120" t="e">
        <f>AND('STERLING CATALOG - DRY '!E2608,"AAAAAG8ff1c=")</f>
        <v>#VALUE!</v>
      </c>
      <c r="CK120" t="e">
        <f>AND('STERLING CATALOG - DRY '!F2608,"AAAAAG8ff1g=")</f>
        <v>#VALUE!</v>
      </c>
      <c r="CL120" t="e">
        <f>AND('STERLING CATALOG - DRY '!G2608,"AAAAAG8ff1k=")</f>
        <v>#VALUE!</v>
      </c>
      <c r="CM120" t="e">
        <f>AND('STERLING CATALOG - DRY '!H2608,"AAAAAG8ff1o=")</f>
        <v>#VALUE!</v>
      </c>
      <c r="CN120" t="e">
        <f>AND('STERLING CATALOG - DRY '!I2608,"AAAAAG8ff1s=")</f>
        <v>#VALUE!</v>
      </c>
      <c r="CO120" t="e">
        <f>AND('STERLING CATALOG - DRY '!J2608,"AAAAAG8ff1w=")</f>
        <v>#VALUE!</v>
      </c>
      <c r="CP120">
        <f>IF('STERLING CATALOG - DRY '!2609:2609,"AAAAAG8ff10=",0)</f>
        <v>0</v>
      </c>
      <c r="CQ120" t="e">
        <f>AND('STERLING CATALOG - DRY '!A2609,"AAAAAG8ff14=")</f>
        <v>#VALUE!</v>
      </c>
      <c r="CR120" t="e">
        <f>AND('STERLING CATALOG - DRY '!B2609,"AAAAAG8ff18=")</f>
        <v>#VALUE!</v>
      </c>
      <c r="CS120" t="e">
        <f>AND('STERLING CATALOG - DRY '!C2609,"AAAAAG8ff2A=")</f>
        <v>#VALUE!</v>
      </c>
      <c r="CT120" t="e">
        <f>AND('STERLING CATALOG - DRY '!D2609,"AAAAAG8ff2E=")</f>
        <v>#VALUE!</v>
      </c>
      <c r="CU120" t="e">
        <f>AND('STERLING CATALOG - DRY '!E2609,"AAAAAG8ff2I=")</f>
        <v>#VALUE!</v>
      </c>
      <c r="CV120" t="e">
        <f>AND('STERLING CATALOG - DRY '!F2609,"AAAAAG8ff2M=")</f>
        <v>#VALUE!</v>
      </c>
      <c r="CW120" t="e">
        <f>AND('STERLING CATALOG - DRY '!G2609,"AAAAAG8ff2Q=")</f>
        <v>#VALUE!</v>
      </c>
      <c r="CX120" t="e">
        <f>AND('STERLING CATALOG - DRY '!H2609,"AAAAAG8ff2U=")</f>
        <v>#VALUE!</v>
      </c>
      <c r="CY120" t="e">
        <f>AND('STERLING CATALOG - DRY '!I2609,"AAAAAG8ff2Y=")</f>
        <v>#VALUE!</v>
      </c>
      <c r="CZ120" t="e">
        <f>AND('STERLING CATALOG - DRY '!J2609,"AAAAAG8ff2c=")</f>
        <v>#VALUE!</v>
      </c>
      <c r="DA120">
        <f>IF('STERLING CATALOG - DRY '!2610:2610,"AAAAAG8ff2g=",0)</f>
        <v>0</v>
      </c>
      <c r="DB120" t="e">
        <f>AND('STERLING CATALOG - DRY '!A2610,"AAAAAG8ff2k=")</f>
        <v>#VALUE!</v>
      </c>
      <c r="DC120" t="e">
        <f>AND('STERLING CATALOG - DRY '!B2610,"AAAAAG8ff2o=")</f>
        <v>#VALUE!</v>
      </c>
      <c r="DD120" t="e">
        <f>AND('STERLING CATALOG - DRY '!C2610,"AAAAAG8ff2s=")</f>
        <v>#VALUE!</v>
      </c>
      <c r="DE120" t="e">
        <f>AND('STERLING CATALOG - DRY '!D2610,"AAAAAG8ff2w=")</f>
        <v>#VALUE!</v>
      </c>
      <c r="DF120" t="e">
        <f>AND('STERLING CATALOG - DRY '!E2610,"AAAAAG8ff20=")</f>
        <v>#VALUE!</v>
      </c>
      <c r="DG120" t="e">
        <f>AND('STERLING CATALOG - DRY '!F2610,"AAAAAG8ff24=")</f>
        <v>#VALUE!</v>
      </c>
      <c r="DH120" t="e">
        <f>AND('STERLING CATALOG - DRY '!G2610,"AAAAAG8ff28=")</f>
        <v>#VALUE!</v>
      </c>
      <c r="DI120" t="e">
        <f>AND('STERLING CATALOG - DRY '!H2610,"AAAAAG8ff3A=")</f>
        <v>#VALUE!</v>
      </c>
      <c r="DJ120" t="e">
        <f>AND('STERLING CATALOG - DRY '!I2610,"AAAAAG8ff3E=")</f>
        <v>#VALUE!</v>
      </c>
      <c r="DK120" t="e">
        <f>AND('STERLING CATALOG - DRY '!J2610,"AAAAAG8ff3I=")</f>
        <v>#VALUE!</v>
      </c>
      <c r="DL120">
        <f>IF('STERLING CATALOG - DRY '!2611:2611,"AAAAAG8ff3M=",0)</f>
        <v>0</v>
      </c>
      <c r="DM120" t="e">
        <f>AND('STERLING CATALOG - DRY '!A2611,"AAAAAG8ff3Q=")</f>
        <v>#VALUE!</v>
      </c>
      <c r="DN120" t="e">
        <f>AND('STERLING CATALOG - DRY '!B2611,"AAAAAG8ff3U=")</f>
        <v>#VALUE!</v>
      </c>
      <c r="DO120" t="e">
        <f>AND('STERLING CATALOG - DRY '!C2611,"AAAAAG8ff3Y=")</f>
        <v>#VALUE!</v>
      </c>
      <c r="DP120" t="e">
        <f>AND('STERLING CATALOG - DRY '!D2611,"AAAAAG8ff3c=")</f>
        <v>#VALUE!</v>
      </c>
      <c r="DQ120" t="e">
        <f>AND('STERLING CATALOG - DRY '!E2611,"AAAAAG8ff3g=")</f>
        <v>#VALUE!</v>
      </c>
      <c r="DR120" t="e">
        <f>AND('STERLING CATALOG - DRY '!F2611,"AAAAAG8ff3k=")</f>
        <v>#VALUE!</v>
      </c>
      <c r="DS120" t="e">
        <f>AND('STERLING CATALOG - DRY '!G2611,"AAAAAG8ff3o=")</f>
        <v>#VALUE!</v>
      </c>
      <c r="DT120" t="e">
        <f>AND('STERLING CATALOG - DRY '!H2611,"AAAAAG8ff3s=")</f>
        <v>#VALUE!</v>
      </c>
      <c r="DU120" t="e">
        <f>AND('STERLING CATALOG - DRY '!I2611,"AAAAAG8ff3w=")</f>
        <v>#VALUE!</v>
      </c>
      <c r="DV120" t="e">
        <f>AND('STERLING CATALOG - DRY '!J2611,"AAAAAG8ff30=")</f>
        <v>#VALUE!</v>
      </c>
      <c r="DW120">
        <f>IF('STERLING CATALOG - DRY '!2612:2612,"AAAAAG8ff34=",0)</f>
        <v>0</v>
      </c>
      <c r="DX120" t="e">
        <f>AND('STERLING CATALOG - DRY '!A2612,"AAAAAG8ff38=")</f>
        <v>#VALUE!</v>
      </c>
      <c r="DY120" t="e">
        <f>AND('STERLING CATALOG - DRY '!B2612,"AAAAAG8ff4A=")</f>
        <v>#VALUE!</v>
      </c>
      <c r="DZ120" t="e">
        <f>AND('STERLING CATALOG - DRY '!C2612,"AAAAAG8ff4E=")</f>
        <v>#VALUE!</v>
      </c>
      <c r="EA120" t="e">
        <f>AND('STERLING CATALOG - DRY '!D2612,"AAAAAG8ff4I=")</f>
        <v>#VALUE!</v>
      </c>
      <c r="EB120" t="e">
        <f>AND('STERLING CATALOG - DRY '!E2612,"AAAAAG8ff4M=")</f>
        <v>#VALUE!</v>
      </c>
      <c r="EC120" t="e">
        <f>AND('STERLING CATALOG - DRY '!F2612,"AAAAAG8ff4Q=")</f>
        <v>#VALUE!</v>
      </c>
      <c r="ED120" t="e">
        <f>AND('STERLING CATALOG - DRY '!G2612,"AAAAAG8ff4U=")</f>
        <v>#VALUE!</v>
      </c>
      <c r="EE120" t="e">
        <f>AND('STERLING CATALOG - DRY '!H2612,"AAAAAG8ff4Y=")</f>
        <v>#VALUE!</v>
      </c>
      <c r="EF120" t="e">
        <f>AND('STERLING CATALOG - DRY '!I2612,"AAAAAG8ff4c=")</f>
        <v>#VALUE!</v>
      </c>
      <c r="EG120" t="e">
        <f>AND('STERLING CATALOG - DRY '!J2612,"AAAAAG8ff4g=")</f>
        <v>#VALUE!</v>
      </c>
      <c r="EH120">
        <f>IF('STERLING CATALOG - DRY '!2613:2613,"AAAAAG8ff4k=",0)</f>
        <v>0</v>
      </c>
      <c r="EI120" t="e">
        <f>AND('STERLING CATALOG - DRY '!A2613,"AAAAAG8ff4o=")</f>
        <v>#VALUE!</v>
      </c>
      <c r="EJ120" t="e">
        <f>AND('STERLING CATALOG - DRY '!B2613,"AAAAAG8ff4s=")</f>
        <v>#VALUE!</v>
      </c>
      <c r="EK120" t="e">
        <f>AND('STERLING CATALOG - DRY '!C2613,"AAAAAG8ff4w=")</f>
        <v>#VALUE!</v>
      </c>
      <c r="EL120" t="e">
        <f>AND('STERLING CATALOG - DRY '!D2613,"AAAAAG8ff40=")</f>
        <v>#VALUE!</v>
      </c>
      <c r="EM120" t="e">
        <f>AND('STERLING CATALOG - DRY '!E2613,"AAAAAG8ff44=")</f>
        <v>#VALUE!</v>
      </c>
      <c r="EN120" t="e">
        <f>AND('STERLING CATALOG - DRY '!F2613,"AAAAAG8ff48=")</f>
        <v>#VALUE!</v>
      </c>
      <c r="EO120" t="e">
        <f>AND('STERLING CATALOG - DRY '!G2613,"AAAAAG8ff5A=")</f>
        <v>#VALUE!</v>
      </c>
      <c r="EP120" t="e">
        <f>AND('STERLING CATALOG - DRY '!H2613,"AAAAAG8ff5E=")</f>
        <v>#VALUE!</v>
      </c>
      <c r="EQ120" t="e">
        <f>AND('STERLING CATALOG - DRY '!I2613,"AAAAAG8ff5I=")</f>
        <v>#VALUE!</v>
      </c>
      <c r="ER120" t="e">
        <f>AND('STERLING CATALOG - DRY '!J2613,"AAAAAG8ff5M=")</f>
        <v>#VALUE!</v>
      </c>
      <c r="ES120">
        <f>IF('STERLING CATALOG - DRY '!2614:2614,"AAAAAG8ff5Q=",0)</f>
        <v>0</v>
      </c>
      <c r="ET120" t="e">
        <f>AND('STERLING CATALOG - DRY '!A2614,"AAAAAG8ff5U=")</f>
        <v>#VALUE!</v>
      </c>
      <c r="EU120" t="e">
        <f>AND('STERLING CATALOG - DRY '!B2614,"AAAAAG8ff5Y=")</f>
        <v>#VALUE!</v>
      </c>
      <c r="EV120" t="e">
        <f>AND('STERLING CATALOG - DRY '!C2614,"AAAAAG8ff5c=")</f>
        <v>#VALUE!</v>
      </c>
      <c r="EW120" t="e">
        <f>AND('STERLING CATALOG - DRY '!D2614,"AAAAAG8ff5g=")</f>
        <v>#VALUE!</v>
      </c>
      <c r="EX120" t="e">
        <f>AND('STERLING CATALOG - DRY '!E2614,"AAAAAG8ff5k=")</f>
        <v>#VALUE!</v>
      </c>
      <c r="EY120" t="e">
        <f>AND('STERLING CATALOG - DRY '!F2614,"AAAAAG8ff5o=")</f>
        <v>#VALUE!</v>
      </c>
      <c r="EZ120" t="e">
        <f>AND('STERLING CATALOG - DRY '!G2614,"AAAAAG8ff5s=")</f>
        <v>#VALUE!</v>
      </c>
      <c r="FA120" t="e">
        <f>AND('STERLING CATALOG - DRY '!H2614,"AAAAAG8ff5w=")</f>
        <v>#VALUE!</v>
      </c>
      <c r="FB120" t="e">
        <f>AND('STERLING CATALOG - DRY '!I2614,"AAAAAG8ff50=")</f>
        <v>#VALUE!</v>
      </c>
      <c r="FC120" t="e">
        <f>AND('STERLING CATALOG - DRY '!J2614,"AAAAAG8ff54=")</f>
        <v>#VALUE!</v>
      </c>
      <c r="FD120">
        <f>IF('STERLING CATALOG - DRY '!2615:2615,"AAAAAG8ff58=",0)</f>
        <v>0</v>
      </c>
      <c r="FE120" t="e">
        <f>AND('STERLING CATALOG - DRY '!A2615,"AAAAAG8ff6A=")</f>
        <v>#VALUE!</v>
      </c>
      <c r="FF120" t="e">
        <f>AND('STERLING CATALOG - DRY '!B2615,"AAAAAG8ff6E=")</f>
        <v>#VALUE!</v>
      </c>
      <c r="FG120" t="e">
        <f>AND('STERLING CATALOG - DRY '!C2615,"AAAAAG8ff6I=")</f>
        <v>#VALUE!</v>
      </c>
      <c r="FH120" t="e">
        <f>AND('STERLING CATALOG - DRY '!D2615,"AAAAAG8ff6M=")</f>
        <v>#VALUE!</v>
      </c>
      <c r="FI120" t="e">
        <f>AND('STERLING CATALOG - DRY '!E2615,"AAAAAG8ff6Q=")</f>
        <v>#VALUE!</v>
      </c>
      <c r="FJ120" t="e">
        <f>AND('STERLING CATALOG - DRY '!F2615,"AAAAAG8ff6U=")</f>
        <v>#VALUE!</v>
      </c>
      <c r="FK120" t="e">
        <f>AND('STERLING CATALOG - DRY '!G2615,"AAAAAG8ff6Y=")</f>
        <v>#VALUE!</v>
      </c>
      <c r="FL120" t="e">
        <f>AND('STERLING CATALOG - DRY '!H2615,"AAAAAG8ff6c=")</f>
        <v>#VALUE!</v>
      </c>
      <c r="FM120" t="e">
        <f>AND('STERLING CATALOG - DRY '!I2615,"AAAAAG8ff6g=")</f>
        <v>#VALUE!</v>
      </c>
      <c r="FN120" t="e">
        <f>AND('STERLING CATALOG - DRY '!J2615,"AAAAAG8ff6k=")</f>
        <v>#VALUE!</v>
      </c>
      <c r="FO120">
        <f>IF('STERLING CATALOG - DRY '!2616:2616,"AAAAAG8ff6o=",0)</f>
        <v>0</v>
      </c>
      <c r="FP120" t="e">
        <f>AND('STERLING CATALOG - DRY '!A2616,"AAAAAG8ff6s=")</f>
        <v>#VALUE!</v>
      </c>
      <c r="FQ120" t="e">
        <f>AND('STERLING CATALOG - DRY '!B2616,"AAAAAG8ff6w=")</f>
        <v>#VALUE!</v>
      </c>
      <c r="FR120" t="e">
        <f>AND('STERLING CATALOG - DRY '!C2616,"AAAAAG8ff60=")</f>
        <v>#VALUE!</v>
      </c>
      <c r="FS120" t="e">
        <f>AND('STERLING CATALOG - DRY '!D2616,"AAAAAG8ff64=")</f>
        <v>#VALUE!</v>
      </c>
      <c r="FT120" t="e">
        <f>AND('STERLING CATALOG - DRY '!E2616,"AAAAAG8ff68=")</f>
        <v>#VALUE!</v>
      </c>
      <c r="FU120" t="e">
        <f>AND('STERLING CATALOG - DRY '!F2616,"AAAAAG8ff7A=")</f>
        <v>#VALUE!</v>
      </c>
      <c r="FV120" t="e">
        <f>AND('STERLING CATALOG - DRY '!G2616,"AAAAAG8ff7E=")</f>
        <v>#VALUE!</v>
      </c>
      <c r="FW120" t="e">
        <f>AND('STERLING CATALOG - DRY '!H2616,"AAAAAG8ff7I=")</f>
        <v>#VALUE!</v>
      </c>
      <c r="FX120" t="e">
        <f>AND('STERLING CATALOG - DRY '!I2616,"AAAAAG8ff7M=")</f>
        <v>#VALUE!</v>
      </c>
      <c r="FY120" t="e">
        <f>AND('STERLING CATALOG - DRY '!J2616,"AAAAAG8ff7Q=")</f>
        <v>#VALUE!</v>
      </c>
      <c r="FZ120">
        <f>IF('STERLING CATALOG - DRY '!2617:2617,"AAAAAG8ff7U=",0)</f>
        <v>0</v>
      </c>
      <c r="GA120" t="e">
        <f>AND('STERLING CATALOG - DRY '!A2617,"AAAAAG8ff7Y=")</f>
        <v>#VALUE!</v>
      </c>
      <c r="GB120" t="e">
        <f>AND('STERLING CATALOG - DRY '!B2617,"AAAAAG8ff7c=")</f>
        <v>#VALUE!</v>
      </c>
      <c r="GC120" t="e">
        <f>AND('STERLING CATALOG - DRY '!C2617,"AAAAAG8ff7g=")</f>
        <v>#VALUE!</v>
      </c>
      <c r="GD120" t="e">
        <f>AND('STERLING CATALOG - DRY '!D2617,"AAAAAG8ff7k=")</f>
        <v>#VALUE!</v>
      </c>
      <c r="GE120" t="e">
        <f>AND('STERLING CATALOG - DRY '!E2617,"AAAAAG8ff7o=")</f>
        <v>#VALUE!</v>
      </c>
      <c r="GF120" t="e">
        <f>AND('STERLING CATALOG - DRY '!F2617,"AAAAAG8ff7s=")</f>
        <v>#VALUE!</v>
      </c>
      <c r="GG120" t="e">
        <f>AND('STERLING CATALOG - DRY '!G2617,"AAAAAG8ff7w=")</f>
        <v>#VALUE!</v>
      </c>
      <c r="GH120" t="e">
        <f>AND('STERLING CATALOG - DRY '!H2617,"AAAAAG8ff70=")</f>
        <v>#VALUE!</v>
      </c>
      <c r="GI120" t="e">
        <f>AND('STERLING CATALOG - DRY '!I2617,"AAAAAG8ff74=")</f>
        <v>#VALUE!</v>
      </c>
      <c r="GJ120" t="e">
        <f>AND('STERLING CATALOG - DRY '!J2617,"AAAAAG8ff78=")</f>
        <v>#VALUE!</v>
      </c>
      <c r="GK120">
        <f>IF('STERLING CATALOG - DRY '!2618:2618,"AAAAAG8ff8A=",0)</f>
        <v>0</v>
      </c>
      <c r="GL120" t="e">
        <f>AND('STERLING CATALOG - DRY '!A2618,"AAAAAG8ff8E=")</f>
        <v>#VALUE!</v>
      </c>
      <c r="GM120" t="e">
        <f>AND('STERLING CATALOG - DRY '!B2618,"AAAAAG8ff8I=")</f>
        <v>#VALUE!</v>
      </c>
      <c r="GN120" t="e">
        <f>AND('STERLING CATALOG - DRY '!C2618,"AAAAAG8ff8M=")</f>
        <v>#VALUE!</v>
      </c>
      <c r="GO120" t="e">
        <f>AND('STERLING CATALOG - DRY '!D2618,"AAAAAG8ff8Q=")</f>
        <v>#VALUE!</v>
      </c>
      <c r="GP120" t="e">
        <f>AND('STERLING CATALOG - DRY '!E2618,"AAAAAG8ff8U=")</f>
        <v>#VALUE!</v>
      </c>
      <c r="GQ120" t="e">
        <f>AND('STERLING CATALOG - DRY '!F2618,"AAAAAG8ff8Y=")</f>
        <v>#VALUE!</v>
      </c>
      <c r="GR120" t="e">
        <f>AND('STERLING CATALOG - DRY '!G2618,"AAAAAG8ff8c=")</f>
        <v>#VALUE!</v>
      </c>
      <c r="GS120" t="e">
        <f>AND('STERLING CATALOG - DRY '!H2618,"AAAAAG8ff8g=")</f>
        <v>#VALUE!</v>
      </c>
      <c r="GT120" t="e">
        <f>AND('STERLING CATALOG - DRY '!I2618,"AAAAAG8ff8k=")</f>
        <v>#VALUE!</v>
      </c>
      <c r="GU120" t="e">
        <f>AND('STERLING CATALOG - DRY '!J2618,"AAAAAG8ff8o=")</f>
        <v>#VALUE!</v>
      </c>
      <c r="GV120">
        <f>IF('STERLING CATALOG - DRY '!2619:2619,"AAAAAG8ff8s=",0)</f>
        <v>0</v>
      </c>
      <c r="GW120" t="e">
        <f>AND('STERLING CATALOG - DRY '!A2619,"AAAAAG8ff8w=")</f>
        <v>#VALUE!</v>
      </c>
      <c r="GX120" t="e">
        <f>AND('STERLING CATALOG - DRY '!B2619,"AAAAAG8ff80=")</f>
        <v>#VALUE!</v>
      </c>
      <c r="GY120" t="e">
        <f>AND('STERLING CATALOG - DRY '!C2619,"AAAAAG8ff84=")</f>
        <v>#VALUE!</v>
      </c>
      <c r="GZ120" t="e">
        <f>AND('STERLING CATALOG - DRY '!D2619,"AAAAAG8ff88=")</f>
        <v>#VALUE!</v>
      </c>
      <c r="HA120" t="e">
        <f>AND('STERLING CATALOG - DRY '!E2619,"AAAAAG8ff9A=")</f>
        <v>#VALUE!</v>
      </c>
      <c r="HB120" t="e">
        <f>AND('STERLING CATALOG - DRY '!F2619,"AAAAAG8ff9E=")</f>
        <v>#VALUE!</v>
      </c>
      <c r="HC120" t="e">
        <f>AND('STERLING CATALOG - DRY '!G2619,"AAAAAG8ff9I=")</f>
        <v>#VALUE!</v>
      </c>
      <c r="HD120" t="e">
        <f>AND('STERLING CATALOG - DRY '!H2619,"AAAAAG8ff9M=")</f>
        <v>#VALUE!</v>
      </c>
      <c r="HE120" t="e">
        <f>AND('STERLING CATALOG - DRY '!I2619,"AAAAAG8ff9Q=")</f>
        <v>#VALUE!</v>
      </c>
      <c r="HF120" t="e">
        <f>AND('STERLING CATALOG - DRY '!J2619,"AAAAAG8ff9U=")</f>
        <v>#VALUE!</v>
      </c>
      <c r="HG120">
        <f>IF('STERLING CATALOG - DRY '!2620:2620,"AAAAAG8ff9Y=",0)</f>
        <v>0</v>
      </c>
      <c r="HH120" t="e">
        <f>AND('STERLING CATALOG - DRY '!A2620,"AAAAAG8ff9c=")</f>
        <v>#VALUE!</v>
      </c>
      <c r="HI120" t="e">
        <f>AND('STERLING CATALOG - DRY '!B2620,"AAAAAG8ff9g=")</f>
        <v>#VALUE!</v>
      </c>
      <c r="HJ120" t="e">
        <f>AND('STERLING CATALOG - DRY '!C2620,"AAAAAG8ff9k=")</f>
        <v>#VALUE!</v>
      </c>
      <c r="HK120" t="e">
        <f>AND('STERLING CATALOG - DRY '!D2620,"AAAAAG8ff9o=")</f>
        <v>#VALUE!</v>
      </c>
      <c r="HL120" t="e">
        <f>AND('STERLING CATALOG - DRY '!E2620,"AAAAAG8ff9s=")</f>
        <v>#VALUE!</v>
      </c>
      <c r="HM120" t="e">
        <f>AND('STERLING CATALOG - DRY '!F2620,"AAAAAG8ff9w=")</f>
        <v>#VALUE!</v>
      </c>
      <c r="HN120" t="e">
        <f>AND('STERLING CATALOG - DRY '!G2620,"AAAAAG8ff90=")</f>
        <v>#VALUE!</v>
      </c>
      <c r="HO120" t="e">
        <f>AND('STERLING CATALOG - DRY '!H2620,"AAAAAG8ff94=")</f>
        <v>#VALUE!</v>
      </c>
      <c r="HP120" t="e">
        <f>AND('STERLING CATALOG - DRY '!I2620,"AAAAAG8ff98=")</f>
        <v>#VALUE!</v>
      </c>
      <c r="HQ120" t="e">
        <f>AND('STERLING CATALOG - DRY '!J2620,"AAAAAG8ff+A=")</f>
        <v>#VALUE!</v>
      </c>
      <c r="HR120">
        <f>IF('STERLING CATALOG - DRY '!2621:2621,"AAAAAG8ff+E=",0)</f>
        <v>0</v>
      </c>
      <c r="HS120" t="e">
        <f>AND('STERLING CATALOG - DRY '!A2621,"AAAAAG8ff+I=")</f>
        <v>#VALUE!</v>
      </c>
      <c r="HT120" t="e">
        <f>AND('STERLING CATALOG - DRY '!B2621,"AAAAAG8ff+M=")</f>
        <v>#VALUE!</v>
      </c>
      <c r="HU120" t="e">
        <f>AND('STERLING CATALOG - DRY '!C2621,"AAAAAG8ff+Q=")</f>
        <v>#VALUE!</v>
      </c>
      <c r="HV120" t="e">
        <f>AND('STERLING CATALOG - DRY '!D2621,"AAAAAG8ff+U=")</f>
        <v>#VALUE!</v>
      </c>
      <c r="HW120" t="e">
        <f>AND('STERLING CATALOG - DRY '!E2621,"AAAAAG8ff+Y=")</f>
        <v>#VALUE!</v>
      </c>
      <c r="HX120" t="e">
        <f>AND('STERLING CATALOG - DRY '!F2621,"AAAAAG8ff+c=")</f>
        <v>#VALUE!</v>
      </c>
      <c r="HY120" t="e">
        <f>AND('STERLING CATALOG - DRY '!G2621,"AAAAAG8ff+g=")</f>
        <v>#VALUE!</v>
      </c>
      <c r="HZ120" t="e">
        <f>AND('STERLING CATALOG - DRY '!H2621,"AAAAAG8ff+k=")</f>
        <v>#VALUE!</v>
      </c>
      <c r="IA120" t="e">
        <f>AND('STERLING CATALOG - DRY '!I2621,"AAAAAG8ff+o=")</f>
        <v>#VALUE!</v>
      </c>
      <c r="IB120" t="e">
        <f>AND('STERLING CATALOG - DRY '!J2621,"AAAAAG8ff+s=")</f>
        <v>#VALUE!</v>
      </c>
      <c r="IC120">
        <f>IF('STERLING CATALOG - DRY '!2622:2622,"AAAAAG8ff+w=",0)</f>
        <v>0</v>
      </c>
      <c r="ID120" t="e">
        <f>AND('STERLING CATALOG - DRY '!A2622,"AAAAAG8ff+0=")</f>
        <v>#VALUE!</v>
      </c>
      <c r="IE120" t="e">
        <f>AND('STERLING CATALOG - DRY '!B2622,"AAAAAG8ff+4=")</f>
        <v>#VALUE!</v>
      </c>
      <c r="IF120" t="e">
        <f>AND('STERLING CATALOG - DRY '!C2622,"AAAAAG8ff+8=")</f>
        <v>#VALUE!</v>
      </c>
      <c r="IG120" t="e">
        <f>AND('STERLING CATALOG - DRY '!D2622,"AAAAAG8ff/A=")</f>
        <v>#VALUE!</v>
      </c>
      <c r="IH120" t="e">
        <f>AND('STERLING CATALOG - DRY '!E2622,"AAAAAG8ff/E=")</f>
        <v>#VALUE!</v>
      </c>
      <c r="II120" t="e">
        <f>AND('STERLING CATALOG - DRY '!F2622,"AAAAAG8ff/I=")</f>
        <v>#VALUE!</v>
      </c>
      <c r="IJ120" t="e">
        <f>AND('STERLING CATALOG - DRY '!G2622,"AAAAAG8ff/M=")</f>
        <v>#VALUE!</v>
      </c>
      <c r="IK120" t="e">
        <f>AND('STERLING CATALOG - DRY '!H2622,"AAAAAG8ff/Q=")</f>
        <v>#VALUE!</v>
      </c>
      <c r="IL120" t="e">
        <f>AND('STERLING CATALOG - DRY '!I2622,"AAAAAG8ff/U=")</f>
        <v>#VALUE!</v>
      </c>
      <c r="IM120" t="e">
        <f>AND('STERLING CATALOG - DRY '!J2622,"AAAAAG8ff/Y=")</f>
        <v>#VALUE!</v>
      </c>
      <c r="IN120">
        <f>IF('STERLING CATALOG - DRY '!2623:2623,"AAAAAG8ff/c=",0)</f>
        <v>0</v>
      </c>
      <c r="IO120" t="e">
        <f>AND('STERLING CATALOG - DRY '!A2623,"AAAAAG8ff/g=")</f>
        <v>#VALUE!</v>
      </c>
      <c r="IP120" t="e">
        <f>AND('STERLING CATALOG - DRY '!B2623,"AAAAAG8ff/k=")</f>
        <v>#VALUE!</v>
      </c>
      <c r="IQ120" t="e">
        <f>AND('STERLING CATALOG - DRY '!C2623,"AAAAAG8ff/o=")</f>
        <v>#VALUE!</v>
      </c>
      <c r="IR120" t="e">
        <f>AND('STERLING CATALOG - DRY '!D2623,"AAAAAG8ff/s=")</f>
        <v>#VALUE!</v>
      </c>
      <c r="IS120" t="e">
        <f>AND('STERLING CATALOG - DRY '!E2623,"AAAAAG8ff/w=")</f>
        <v>#VALUE!</v>
      </c>
      <c r="IT120" t="e">
        <f>AND('STERLING CATALOG - DRY '!F2623,"AAAAAG8ff/0=")</f>
        <v>#VALUE!</v>
      </c>
      <c r="IU120" t="e">
        <f>AND('STERLING CATALOG - DRY '!G2623,"AAAAAG8ff/4=")</f>
        <v>#VALUE!</v>
      </c>
      <c r="IV120" t="e">
        <f>AND('STERLING CATALOG - DRY '!H2623,"AAAAAG8ff/8=")</f>
        <v>#VALUE!</v>
      </c>
    </row>
    <row r="121" spans="1:256">
      <c r="A121" t="e">
        <f>AND('STERLING CATALOG - DRY '!I2623,"AAAAADOeawA=")</f>
        <v>#VALUE!</v>
      </c>
      <c r="B121" t="e">
        <f>AND('STERLING CATALOG - DRY '!J2623,"AAAAADOeawE=")</f>
        <v>#VALUE!</v>
      </c>
      <c r="C121" t="str">
        <f>IF('STERLING CATALOG - DRY '!2624:2624,"AAAAADOeawI=",0)</f>
        <v>AAAAADOeawI=</v>
      </c>
      <c r="D121" t="e">
        <f>AND('STERLING CATALOG - DRY '!A2624,"AAAAADOeawM=")</f>
        <v>#VALUE!</v>
      </c>
      <c r="E121" t="e">
        <f>AND('STERLING CATALOG - DRY '!B2624,"AAAAADOeawQ=")</f>
        <v>#VALUE!</v>
      </c>
      <c r="F121" t="e">
        <f>AND('STERLING CATALOG - DRY '!C2624,"AAAAADOeawU=")</f>
        <v>#VALUE!</v>
      </c>
      <c r="G121" t="e">
        <f>AND('STERLING CATALOG - DRY '!D2624,"AAAAADOeawY=")</f>
        <v>#VALUE!</v>
      </c>
      <c r="H121" t="e">
        <f>AND('STERLING CATALOG - DRY '!E2624,"AAAAADOeawc=")</f>
        <v>#VALUE!</v>
      </c>
      <c r="I121" t="e">
        <f>AND('STERLING CATALOG - DRY '!F2624,"AAAAADOeawg=")</f>
        <v>#VALUE!</v>
      </c>
      <c r="J121" t="e">
        <f>AND('STERLING CATALOG - DRY '!G2624,"AAAAADOeawk=")</f>
        <v>#VALUE!</v>
      </c>
      <c r="K121" t="e">
        <f>AND('STERLING CATALOG - DRY '!H2624,"AAAAADOeawo=")</f>
        <v>#VALUE!</v>
      </c>
      <c r="L121" t="e">
        <f>AND('STERLING CATALOG - DRY '!I2624,"AAAAADOeaws=")</f>
        <v>#VALUE!</v>
      </c>
      <c r="M121" t="e">
        <f>AND('STERLING CATALOG - DRY '!J2624,"AAAAADOeaww=")</f>
        <v>#VALUE!</v>
      </c>
      <c r="N121">
        <f>IF('STERLING CATALOG - DRY '!2625:2625,"AAAAADOeaw0=",0)</f>
        <v>0</v>
      </c>
      <c r="O121" t="e">
        <f>AND('STERLING CATALOG - DRY '!A2625,"AAAAADOeaw4=")</f>
        <v>#VALUE!</v>
      </c>
      <c r="P121" t="e">
        <f>AND('STERLING CATALOG - DRY '!B2625,"AAAAADOeaw8=")</f>
        <v>#VALUE!</v>
      </c>
      <c r="Q121" t="e">
        <f>AND('STERLING CATALOG - DRY '!C2625,"AAAAADOeaxA=")</f>
        <v>#VALUE!</v>
      </c>
      <c r="R121" t="e">
        <f>AND('STERLING CATALOG - DRY '!D2625,"AAAAADOeaxE=")</f>
        <v>#VALUE!</v>
      </c>
      <c r="S121" t="e">
        <f>AND('STERLING CATALOG - DRY '!E2625,"AAAAADOeaxI=")</f>
        <v>#VALUE!</v>
      </c>
      <c r="T121" t="e">
        <f>AND('STERLING CATALOG - DRY '!F2625,"AAAAADOeaxM=")</f>
        <v>#VALUE!</v>
      </c>
      <c r="U121" t="e">
        <f>AND('STERLING CATALOG - DRY '!G2625,"AAAAADOeaxQ=")</f>
        <v>#VALUE!</v>
      </c>
      <c r="V121" t="e">
        <f>AND('STERLING CATALOG - DRY '!H2625,"AAAAADOeaxU=")</f>
        <v>#VALUE!</v>
      </c>
      <c r="W121" t="e">
        <f>AND('STERLING CATALOG - DRY '!I2625,"AAAAADOeaxY=")</f>
        <v>#VALUE!</v>
      </c>
      <c r="X121" t="e">
        <f>AND('STERLING CATALOG - DRY '!J2625,"AAAAADOeaxc=")</f>
        <v>#VALUE!</v>
      </c>
      <c r="Y121">
        <f>IF('STERLING CATALOG - DRY '!2626:2626,"AAAAADOeaxg=",0)</f>
        <v>0</v>
      </c>
      <c r="Z121" t="e">
        <f>AND('STERLING CATALOG - DRY '!A2626,"AAAAADOeaxk=")</f>
        <v>#VALUE!</v>
      </c>
      <c r="AA121" t="e">
        <f>AND('STERLING CATALOG - DRY '!B2626,"AAAAADOeaxo=")</f>
        <v>#VALUE!</v>
      </c>
      <c r="AB121" t="e">
        <f>AND('STERLING CATALOG - DRY '!C2626,"AAAAADOeaxs=")</f>
        <v>#VALUE!</v>
      </c>
      <c r="AC121" t="e">
        <f>AND('STERLING CATALOG - DRY '!D2626,"AAAAADOeaxw=")</f>
        <v>#VALUE!</v>
      </c>
      <c r="AD121" t="e">
        <f>AND('STERLING CATALOG - DRY '!E2626,"AAAAADOeax0=")</f>
        <v>#VALUE!</v>
      </c>
      <c r="AE121" t="e">
        <f>AND('STERLING CATALOG - DRY '!F2626,"AAAAADOeax4=")</f>
        <v>#VALUE!</v>
      </c>
      <c r="AF121" t="e">
        <f>AND('STERLING CATALOG - DRY '!G2626,"AAAAADOeax8=")</f>
        <v>#VALUE!</v>
      </c>
      <c r="AG121" t="e">
        <f>AND('STERLING CATALOG - DRY '!H2626,"AAAAADOeayA=")</f>
        <v>#VALUE!</v>
      </c>
      <c r="AH121" t="e">
        <f>AND('STERLING CATALOG - DRY '!I2626,"AAAAADOeayE=")</f>
        <v>#VALUE!</v>
      </c>
      <c r="AI121" t="e">
        <f>AND('STERLING CATALOG - DRY '!J2626,"AAAAADOeayI=")</f>
        <v>#VALUE!</v>
      </c>
      <c r="AJ121">
        <f>IF('STERLING CATALOG - DRY '!2627:2627,"AAAAADOeayM=",0)</f>
        <v>0</v>
      </c>
      <c r="AK121" t="e">
        <f>AND('STERLING CATALOG - DRY '!A2627,"AAAAADOeayQ=")</f>
        <v>#VALUE!</v>
      </c>
      <c r="AL121" t="e">
        <f>AND('STERLING CATALOG - DRY '!B2627,"AAAAADOeayU=")</f>
        <v>#VALUE!</v>
      </c>
      <c r="AM121" t="e">
        <f>AND('STERLING CATALOG - DRY '!C2627,"AAAAADOeayY=")</f>
        <v>#VALUE!</v>
      </c>
      <c r="AN121" t="e">
        <f>AND('STERLING CATALOG - DRY '!D2627,"AAAAADOeayc=")</f>
        <v>#VALUE!</v>
      </c>
      <c r="AO121" t="e">
        <f>AND('STERLING CATALOG - DRY '!E2627,"AAAAADOeayg=")</f>
        <v>#VALUE!</v>
      </c>
      <c r="AP121" t="e">
        <f>AND('STERLING CATALOG - DRY '!F2627,"AAAAADOeayk=")</f>
        <v>#VALUE!</v>
      </c>
      <c r="AQ121" t="e">
        <f>AND('STERLING CATALOG - DRY '!G2627,"AAAAADOeayo=")</f>
        <v>#VALUE!</v>
      </c>
      <c r="AR121" t="e">
        <f>AND('STERLING CATALOG - DRY '!H2627,"AAAAADOeays=")</f>
        <v>#VALUE!</v>
      </c>
      <c r="AS121" t="e">
        <f>AND('STERLING CATALOG - DRY '!I2627,"AAAAADOeayw=")</f>
        <v>#VALUE!</v>
      </c>
      <c r="AT121" t="e">
        <f>AND('STERLING CATALOG - DRY '!J2627,"AAAAADOeay0=")</f>
        <v>#VALUE!</v>
      </c>
      <c r="AU121">
        <f>IF('STERLING CATALOG - DRY '!2628:2628,"AAAAADOeay4=",0)</f>
        <v>0</v>
      </c>
      <c r="AV121" t="e">
        <f>AND('STERLING CATALOG - DRY '!A2628,"AAAAADOeay8=")</f>
        <v>#VALUE!</v>
      </c>
      <c r="AW121" t="e">
        <f>AND('STERLING CATALOG - DRY '!B2628,"AAAAADOeazA=")</f>
        <v>#VALUE!</v>
      </c>
      <c r="AX121" t="e">
        <f>AND('STERLING CATALOG - DRY '!C2628,"AAAAADOeazE=")</f>
        <v>#VALUE!</v>
      </c>
      <c r="AY121" t="e">
        <f>AND('STERLING CATALOG - DRY '!D2628,"AAAAADOeazI=")</f>
        <v>#VALUE!</v>
      </c>
      <c r="AZ121" t="e">
        <f>AND('STERLING CATALOG - DRY '!E2628,"AAAAADOeazM=")</f>
        <v>#VALUE!</v>
      </c>
      <c r="BA121" t="e">
        <f>AND('STERLING CATALOG - DRY '!F2628,"AAAAADOeazQ=")</f>
        <v>#VALUE!</v>
      </c>
      <c r="BB121" t="e">
        <f>AND('STERLING CATALOG - DRY '!G2628,"AAAAADOeazU=")</f>
        <v>#VALUE!</v>
      </c>
      <c r="BC121" t="e">
        <f>AND('STERLING CATALOG - DRY '!H2628,"AAAAADOeazY=")</f>
        <v>#VALUE!</v>
      </c>
      <c r="BD121" t="e">
        <f>AND('STERLING CATALOG - DRY '!I2628,"AAAAADOeazc=")</f>
        <v>#VALUE!</v>
      </c>
      <c r="BE121" t="e">
        <f>AND('STERLING CATALOG - DRY '!J2628,"AAAAADOeazg=")</f>
        <v>#VALUE!</v>
      </c>
      <c r="BF121">
        <f>IF('STERLING CATALOG - DRY '!2629:2629,"AAAAADOeazk=",0)</f>
        <v>0</v>
      </c>
      <c r="BG121" t="e">
        <f>AND('STERLING CATALOG - DRY '!A2629,"AAAAADOeazo=")</f>
        <v>#VALUE!</v>
      </c>
      <c r="BH121" t="e">
        <f>AND('STERLING CATALOG - DRY '!B2629,"AAAAADOeazs=")</f>
        <v>#VALUE!</v>
      </c>
      <c r="BI121" t="e">
        <f>AND('STERLING CATALOG - DRY '!C2629,"AAAAADOeazw=")</f>
        <v>#VALUE!</v>
      </c>
      <c r="BJ121" t="e">
        <f>AND('STERLING CATALOG - DRY '!D2629,"AAAAADOeaz0=")</f>
        <v>#VALUE!</v>
      </c>
      <c r="BK121" t="e">
        <f>AND('STERLING CATALOG - DRY '!E2629,"AAAAADOeaz4=")</f>
        <v>#VALUE!</v>
      </c>
      <c r="BL121" t="e">
        <f>AND('STERLING CATALOG - DRY '!F2629,"AAAAADOeaz8=")</f>
        <v>#VALUE!</v>
      </c>
      <c r="BM121" t="e">
        <f>AND('STERLING CATALOG - DRY '!G2629,"AAAAADOea0A=")</f>
        <v>#VALUE!</v>
      </c>
      <c r="BN121" t="e">
        <f>AND('STERLING CATALOG - DRY '!H2629,"AAAAADOea0E=")</f>
        <v>#VALUE!</v>
      </c>
      <c r="BO121" t="e">
        <f>AND('STERLING CATALOG - DRY '!I2629,"AAAAADOea0I=")</f>
        <v>#VALUE!</v>
      </c>
      <c r="BP121" t="e">
        <f>AND('STERLING CATALOG - DRY '!J2629,"AAAAADOea0M=")</f>
        <v>#VALUE!</v>
      </c>
      <c r="BQ121">
        <f>IF('STERLING CATALOG - DRY '!2630:2630,"AAAAADOea0Q=",0)</f>
        <v>0</v>
      </c>
      <c r="BR121" t="e">
        <f>AND('STERLING CATALOG - DRY '!A2630,"AAAAADOea0U=")</f>
        <v>#VALUE!</v>
      </c>
      <c r="BS121" t="e">
        <f>AND('STERLING CATALOG - DRY '!B2630,"AAAAADOea0Y=")</f>
        <v>#VALUE!</v>
      </c>
      <c r="BT121" t="e">
        <f>AND('STERLING CATALOG - DRY '!C2630,"AAAAADOea0c=")</f>
        <v>#VALUE!</v>
      </c>
      <c r="BU121" t="e">
        <f>AND('STERLING CATALOG - DRY '!D2630,"AAAAADOea0g=")</f>
        <v>#VALUE!</v>
      </c>
      <c r="BV121" t="e">
        <f>AND('STERLING CATALOG - DRY '!E2630,"AAAAADOea0k=")</f>
        <v>#VALUE!</v>
      </c>
      <c r="BW121" t="e">
        <f>AND('STERLING CATALOG - DRY '!F2630,"AAAAADOea0o=")</f>
        <v>#VALUE!</v>
      </c>
      <c r="BX121" t="e">
        <f>AND('STERLING CATALOG - DRY '!G2630,"AAAAADOea0s=")</f>
        <v>#VALUE!</v>
      </c>
      <c r="BY121" t="e">
        <f>AND('STERLING CATALOG - DRY '!H2630,"AAAAADOea0w=")</f>
        <v>#VALUE!</v>
      </c>
      <c r="BZ121" t="e">
        <f>AND('STERLING CATALOG - DRY '!I2630,"AAAAADOea00=")</f>
        <v>#VALUE!</v>
      </c>
      <c r="CA121" t="e">
        <f>AND('STERLING CATALOG - DRY '!J2630,"AAAAADOea04=")</f>
        <v>#VALUE!</v>
      </c>
      <c r="CB121">
        <f>IF('STERLING CATALOG - DRY '!2631:2631,"AAAAADOea08=",0)</f>
        <v>0</v>
      </c>
      <c r="CC121" t="e">
        <f>AND('STERLING CATALOG - DRY '!A2631,"AAAAADOea1A=")</f>
        <v>#VALUE!</v>
      </c>
      <c r="CD121" t="e">
        <f>AND('STERLING CATALOG - DRY '!B2631,"AAAAADOea1E=")</f>
        <v>#VALUE!</v>
      </c>
      <c r="CE121" t="e">
        <f>AND('STERLING CATALOG - DRY '!C2631,"AAAAADOea1I=")</f>
        <v>#VALUE!</v>
      </c>
      <c r="CF121" t="e">
        <f>AND('STERLING CATALOG - DRY '!D2631,"AAAAADOea1M=")</f>
        <v>#VALUE!</v>
      </c>
      <c r="CG121" t="e">
        <f>AND('STERLING CATALOG - DRY '!E2631,"AAAAADOea1Q=")</f>
        <v>#VALUE!</v>
      </c>
      <c r="CH121" t="e">
        <f>AND('STERLING CATALOG - DRY '!F2631,"AAAAADOea1U=")</f>
        <v>#VALUE!</v>
      </c>
      <c r="CI121" t="e">
        <f>AND('STERLING CATALOG - DRY '!G2631,"AAAAADOea1Y=")</f>
        <v>#VALUE!</v>
      </c>
      <c r="CJ121" t="e">
        <f>AND('STERLING CATALOG - DRY '!H2631,"AAAAADOea1c=")</f>
        <v>#VALUE!</v>
      </c>
      <c r="CK121" t="e">
        <f>AND('STERLING CATALOG - DRY '!I2631,"AAAAADOea1g=")</f>
        <v>#VALUE!</v>
      </c>
      <c r="CL121" t="e">
        <f>AND('STERLING CATALOG - DRY '!J2631,"AAAAADOea1k=")</f>
        <v>#VALUE!</v>
      </c>
      <c r="CM121">
        <f>IF('STERLING CATALOG - DRY '!2632:2632,"AAAAADOea1o=",0)</f>
        <v>0</v>
      </c>
      <c r="CN121" t="e">
        <f>AND('STERLING CATALOG - DRY '!A2632,"AAAAADOea1s=")</f>
        <v>#VALUE!</v>
      </c>
      <c r="CO121" t="e">
        <f>AND('STERLING CATALOG - DRY '!B2632,"AAAAADOea1w=")</f>
        <v>#VALUE!</v>
      </c>
      <c r="CP121" t="e">
        <f>AND('STERLING CATALOG - DRY '!C2632,"AAAAADOea10=")</f>
        <v>#VALUE!</v>
      </c>
      <c r="CQ121" t="e">
        <f>AND('STERLING CATALOG - DRY '!D2632,"AAAAADOea14=")</f>
        <v>#VALUE!</v>
      </c>
      <c r="CR121" t="e">
        <f>AND('STERLING CATALOG - DRY '!E2632,"AAAAADOea18=")</f>
        <v>#VALUE!</v>
      </c>
      <c r="CS121" t="e">
        <f>AND('STERLING CATALOG - DRY '!F2632,"AAAAADOea2A=")</f>
        <v>#VALUE!</v>
      </c>
      <c r="CT121" t="e">
        <f>AND('STERLING CATALOG - DRY '!G2632,"AAAAADOea2E=")</f>
        <v>#VALUE!</v>
      </c>
      <c r="CU121" t="e">
        <f>AND('STERLING CATALOG - DRY '!H2632,"AAAAADOea2I=")</f>
        <v>#VALUE!</v>
      </c>
      <c r="CV121" t="e">
        <f>AND('STERLING CATALOG - DRY '!I2632,"AAAAADOea2M=")</f>
        <v>#VALUE!</v>
      </c>
      <c r="CW121" t="e">
        <f>AND('STERLING CATALOG - DRY '!J2632,"AAAAADOea2Q=")</f>
        <v>#VALUE!</v>
      </c>
      <c r="CX121">
        <f>IF('STERLING CATALOG - DRY '!2633:2633,"AAAAADOea2U=",0)</f>
        <v>0</v>
      </c>
      <c r="CY121" t="e">
        <f>AND('STERLING CATALOG - DRY '!A2633,"AAAAADOea2Y=")</f>
        <v>#VALUE!</v>
      </c>
      <c r="CZ121" t="e">
        <f>AND('STERLING CATALOG - DRY '!B2633,"AAAAADOea2c=")</f>
        <v>#VALUE!</v>
      </c>
      <c r="DA121" t="e">
        <f>AND('STERLING CATALOG - DRY '!C2633,"AAAAADOea2g=")</f>
        <v>#VALUE!</v>
      </c>
      <c r="DB121" t="e">
        <f>AND('STERLING CATALOG - DRY '!D2633,"AAAAADOea2k=")</f>
        <v>#VALUE!</v>
      </c>
      <c r="DC121" t="e">
        <f>AND('STERLING CATALOG - DRY '!E2633,"AAAAADOea2o=")</f>
        <v>#VALUE!</v>
      </c>
      <c r="DD121" t="e">
        <f>AND('STERLING CATALOG - DRY '!F2633,"AAAAADOea2s=")</f>
        <v>#VALUE!</v>
      </c>
      <c r="DE121" t="e">
        <f>AND('STERLING CATALOG - DRY '!G2633,"AAAAADOea2w=")</f>
        <v>#VALUE!</v>
      </c>
      <c r="DF121" t="e">
        <f>AND('STERLING CATALOG - DRY '!H2633,"AAAAADOea20=")</f>
        <v>#VALUE!</v>
      </c>
      <c r="DG121" t="e">
        <f>AND('STERLING CATALOG - DRY '!I2633,"AAAAADOea24=")</f>
        <v>#VALUE!</v>
      </c>
      <c r="DH121" t="e">
        <f>AND('STERLING CATALOG - DRY '!J2633,"AAAAADOea28=")</f>
        <v>#VALUE!</v>
      </c>
      <c r="DI121">
        <f>IF('STERLING CATALOG - DRY '!2634:2634,"AAAAADOea3A=",0)</f>
        <v>0</v>
      </c>
      <c r="DJ121" t="e">
        <f>AND('STERLING CATALOG - DRY '!A2634,"AAAAADOea3E=")</f>
        <v>#VALUE!</v>
      </c>
      <c r="DK121" t="e">
        <f>AND('STERLING CATALOG - DRY '!B2634,"AAAAADOea3I=")</f>
        <v>#VALUE!</v>
      </c>
      <c r="DL121" t="e">
        <f>AND('STERLING CATALOG - DRY '!C2634,"AAAAADOea3M=")</f>
        <v>#VALUE!</v>
      </c>
      <c r="DM121" t="e">
        <f>AND('STERLING CATALOG - DRY '!D2634,"AAAAADOea3Q=")</f>
        <v>#VALUE!</v>
      </c>
      <c r="DN121" t="e">
        <f>AND('STERLING CATALOG - DRY '!E2634,"AAAAADOea3U=")</f>
        <v>#VALUE!</v>
      </c>
      <c r="DO121" t="e">
        <f>AND('STERLING CATALOG - DRY '!F2634,"AAAAADOea3Y=")</f>
        <v>#VALUE!</v>
      </c>
      <c r="DP121" t="e">
        <f>AND('STERLING CATALOG - DRY '!G2634,"AAAAADOea3c=")</f>
        <v>#VALUE!</v>
      </c>
      <c r="DQ121" t="e">
        <f>AND('STERLING CATALOG - DRY '!H2634,"AAAAADOea3g=")</f>
        <v>#VALUE!</v>
      </c>
      <c r="DR121" t="e">
        <f>AND('STERLING CATALOG - DRY '!I2634,"AAAAADOea3k=")</f>
        <v>#VALUE!</v>
      </c>
      <c r="DS121" t="e">
        <f>AND('STERLING CATALOG - DRY '!J2634,"AAAAADOea3o=")</f>
        <v>#VALUE!</v>
      </c>
      <c r="DT121">
        <f>IF('STERLING CATALOG - DRY '!2635:2635,"AAAAADOea3s=",0)</f>
        <v>0</v>
      </c>
      <c r="DU121" t="e">
        <f>AND('STERLING CATALOG - DRY '!A2635,"AAAAADOea3w=")</f>
        <v>#VALUE!</v>
      </c>
      <c r="DV121" t="e">
        <f>AND('STERLING CATALOG - DRY '!B2635,"AAAAADOea30=")</f>
        <v>#VALUE!</v>
      </c>
      <c r="DW121" t="e">
        <f>AND('STERLING CATALOG - DRY '!C2635,"AAAAADOea34=")</f>
        <v>#VALUE!</v>
      </c>
      <c r="DX121" t="e">
        <f>AND('STERLING CATALOG - DRY '!D2635,"AAAAADOea38=")</f>
        <v>#VALUE!</v>
      </c>
      <c r="DY121" t="e">
        <f>AND('STERLING CATALOG - DRY '!E2635,"AAAAADOea4A=")</f>
        <v>#VALUE!</v>
      </c>
      <c r="DZ121" t="e">
        <f>AND('STERLING CATALOG - DRY '!F2635,"AAAAADOea4E=")</f>
        <v>#VALUE!</v>
      </c>
      <c r="EA121" t="e">
        <f>AND('STERLING CATALOG - DRY '!G2635,"AAAAADOea4I=")</f>
        <v>#VALUE!</v>
      </c>
      <c r="EB121" t="e">
        <f>AND('STERLING CATALOG - DRY '!H2635,"AAAAADOea4M=")</f>
        <v>#VALUE!</v>
      </c>
      <c r="EC121" t="e">
        <f>AND('STERLING CATALOG - DRY '!I2635,"AAAAADOea4Q=")</f>
        <v>#VALUE!</v>
      </c>
      <c r="ED121" t="e">
        <f>AND('STERLING CATALOG - DRY '!J2635,"AAAAADOea4U=")</f>
        <v>#VALUE!</v>
      </c>
      <c r="EE121">
        <f>IF('STERLING CATALOG - DRY '!2636:2636,"AAAAADOea4Y=",0)</f>
        <v>0</v>
      </c>
      <c r="EF121" t="e">
        <f>AND('STERLING CATALOG - DRY '!A2636,"AAAAADOea4c=")</f>
        <v>#VALUE!</v>
      </c>
      <c r="EG121" t="e">
        <f>AND('STERLING CATALOG - DRY '!B2636,"AAAAADOea4g=")</f>
        <v>#VALUE!</v>
      </c>
      <c r="EH121" t="e">
        <f>AND('STERLING CATALOG - DRY '!C2636,"AAAAADOea4k=")</f>
        <v>#VALUE!</v>
      </c>
      <c r="EI121" t="e">
        <f>AND('STERLING CATALOG - DRY '!D2636,"AAAAADOea4o=")</f>
        <v>#VALUE!</v>
      </c>
      <c r="EJ121" t="e">
        <f>AND('STERLING CATALOG - DRY '!E2636,"AAAAADOea4s=")</f>
        <v>#VALUE!</v>
      </c>
      <c r="EK121" t="e">
        <f>AND('STERLING CATALOG - DRY '!F2636,"AAAAADOea4w=")</f>
        <v>#VALUE!</v>
      </c>
      <c r="EL121" t="e">
        <f>AND('STERLING CATALOG - DRY '!G2636,"AAAAADOea40=")</f>
        <v>#VALUE!</v>
      </c>
      <c r="EM121" t="e">
        <f>AND('STERLING CATALOG - DRY '!H2636,"AAAAADOea44=")</f>
        <v>#VALUE!</v>
      </c>
      <c r="EN121" t="e">
        <f>AND('STERLING CATALOG - DRY '!I2636,"AAAAADOea48=")</f>
        <v>#VALUE!</v>
      </c>
      <c r="EO121" t="e">
        <f>AND('STERLING CATALOG - DRY '!J2636,"AAAAADOea5A=")</f>
        <v>#VALUE!</v>
      </c>
      <c r="EP121">
        <f>IF('STERLING CATALOG - DRY '!2637:2637,"AAAAADOea5E=",0)</f>
        <v>0</v>
      </c>
      <c r="EQ121" t="e">
        <f>AND('STERLING CATALOG - DRY '!A2637,"AAAAADOea5I=")</f>
        <v>#VALUE!</v>
      </c>
      <c r="ER121" t="e">
        <f>AND('STERLING CATALOG - DRY '!B2637,"AAAAADOea5M=")</f>
        <v>#VALUE!</v>
      </c>
      <c r="ES121" t="e">
        <f>AND('STERLING CATALOG - DRY '!C2637,"AAAAADOea5Q=")</f>
        <v>#VALUE!</v>
      </c>
      <c r="ET121" t="e">
        <f>AND('STERLING CATALOG - DRY '!D2637,"AAAAADOea5U=")</f>
        <v>#VALUE!</v>
      </c>
      <c r="EU121" t="e">
        <f>AND('STERLING CATALOG - DRY '!E2637,"AAAAADOea5Y=")</f>
        <v>#VALUE!</v>
      </c>
      <c r="EV121" t="e">
        <f>AND('STERLING CATALOG - DRY '!F2637,"AAAAADOea5c=")</f>
        <v>#VALUE!</v>
      </c>
      <c r="EW121" t="e">
        <f>AND('STERLING CATALOG - DRY '!G2637,"AAAAADOea5g=")</f>
        <v>#VALUE!</v>
      </c>
      <c r="EX121" t="e">
        <f>AND('STERLING CATALOG - DRY '!H2637,"AAAAADOea5k=")</f>
        <v>#VALUE!</v>
      </c>
      <c r="EY121" t="e">
        <f>AND('STERLING CATALOG - DRY '!I2637,"AAAAADOea5o=")</f>
        <v>#VALUE!</v>
      </c>
      <c r="EZ121" t="e">
        <f>AND('STERLING CATALOG - DRY '!J2637,"AAAAADOea5s=")</f>
        <v>#VALUE!</v>
      </c>
      <c r="FA121">
        <f>IF('STERLING CATALOG - DRY '!2638:2638,"AAAAADOea5w=",0)</f>
        <v>0</v>
      </c>
      <c r="FB121" t="e">
        <f>AND('STERLING CATALOG - DRY '!A2638,"AAAAADOea50=")</f>
        <v>#VALUE!</v>
      </c>
      <c r="FC121" t="e">
        <f>AND('STERLING CATALOG - DRY '!B2638,"AAAAADOea54=")</f>
        <v>#VALUE!</v>
      </c>
      <c r="FD121" t="e">
        <f>AND('STERLING CATALOG - DRY '!C2638,"AAAAADOea58=")</f>
        <v>#VALUE!</v>
      </c>
      <c r="FE121" t="e">
        <f>AND('STERLING CATALOG - DRY '!D2638,"AAAAADOea6A=")</f>
        <v>#VALUE!</v>
      </c>
      <c r="FF121" t="e">
        <f>AND('STERLING CATALOG - DRY '!E2638,"AAAAADOea6E=")</f>
        <v>#VALUE!</v>
      </c>
      <c r="FG121" t="e">
        <f>AND('STERLING CATALOG - DRY '!F2638,"AAAAADOea6I=")</f>
        <v>#VALUE!</v>
      </c>
      <c r="FH121" t="e">
        <f>AND('STERLING CATALOG - DRY '!G2638,"AAAAADOea6M=")</f>
        <v>#VALUE!</v>
      </c>
      <c r="FI121" t="e">
        <f>AND('STERLING CATALOG - DRY '!H2638,"AAAAADOea6Q=")</f>
        <v>#VALUE!</v>
      </c>
      <c r="FJ121" t="e">
        <f>AND('STERLING CATALOG - DRY '!I2638,"AAAAADOea6U=")</f>
        <v>#VALUE!</v>
      </c>
      <c r="FK121" t="e">
        <f>AND('STERLING CATALOG - DRY '!J2638,"AAAAADOea6Y=")</f>
        <v>#VALUE!</v>
      </c>
      <c r="FL121">
        <f>IF('STERLING CATALOG - DRY '!2639:2639,"AAAAADOea6c=",0)</f>
        <v>0</v>
      </c>
      <c r="FM121" t="e">
        <f>AND('STERLING CATALOG - DRY '!A2639,"AAAAADOea6g=")</f>
        <v>#VALUE!</v>
      </c>
      <c r="FN121" t="e">
        <f>AND('STERLING CATALOG - DRY '!B2639,"AAAAADOea6k=")</f>
        <v>#VALUE!</v>
      </c>
      <c r="FO121" t="e">
        <f>AND('STERLING CATALOG - DRY '!C2639,"AAAAADOea6o=")</f>
        <v>#VALUE!</v>
      </c>
      <c r="FP121" t="e">
        <f>AND('STERLING CATALOG - DRY '!D2639,"AAAAADOea6s=")</f>
        <v>#VALUE!</v>
      </c>
      <c r="FQ121" t="e">
        <f>AND('STERLING CATALOG - DRY '!E2639,"AAAAADOea6w=")</f>
        <v>#VALUE!</v>
      </c>
      <c r="FR121" t="e">
        <f>AND('STERLING CATALOG - DRY '!F2639,"AAAAADOea60=")</f>
        <v>#VALUE!</v>
      </c>
      <c r="FS121" t="e">
        <f>AND('STERLING CATALOG - DRY '!G2639,"AAAAADOea64=")</f>
        <v>#VALUE!</v>
      </c>
      <c r="FT121" t="e">
        <f>AND('STERLING CATALOG - DRY '!H2639,"AAAAADOea68=")</f>
        <v>#VALUE!</v>
      </c>
      <c r="FU121" t="e">
        <f>AND('STERLING CATALOG - DRY '!I2639,"AAAAADOea7A=")</f>
        <v>#VALUE!</v>
      </c>
      <c r="FV121" t="e">
        <f>AND('STERLING CATALOG - DRY '!J2639,"AAAAADOea7E=")</f>
        <v>#VALUE!</v>
      </c>
      <c r="FW121">
        <f>IF('STERLING CATALOG - DRY '!2640:2640,"AAAAADOea7I=",0)</f>
        <v>0</v>
      </c>
      <c r="FX121" t="e">
        <f>AND('STERLING CATALOG - DRY '!A2640,"AAAAADOea7M=")</f>
        <v>#VALUE!</v>
      </c>
      <c r="FY121" t="e">
        <f>AND('STERLING CATALOG - DRY '!B2640,"AAAAADOea7Q=")</f>
        <v>#VALUE!</v>
      </c>
      <c r="FZ121" t="e">
        <f>AND('STERLING CATALOG - DRY '!C2640,"AAAAADOea7U=")</f>
        <v>#VALUE!</v>
      </c>
      <c r="GA121" t="e">
        <f>AND('STERLING CATALOG - DRY '!D2640,"AAAAADOea7Y=")</f>
        <v>#VALUE!</v>
      </c>
      <c r="GB121" t="e">
        <f>AND('STERLING CATALOG - DRY '!E2640,"AAAAADOea7c=")</f>
        <v>#VALUE!</v>
      </c>
      <c r="GC121" t="e">
        <f>AND('STERLING CATALOG - DRY '!F2640,"AAAAADOea7g=")</f>
        <v>#VALUE!</v>
      </c>
      <c r="GD121" t="e">
        <f>AND('STERLING CATALOG - DRY '!G2640,"AAAAADOea7k=")</f>
        <v>#VALUE!</v>
      </c>
      <c r="GE121" t="e">
        <f>AND('STERLING CATALOG - DRY '!H2640,"AAAAADOea7o=")</f>
        <v>#VALUE!</v>
      </c>
      <c r="GF121" t="e">
        <f>AND('STERLING CATALOG - DRY '!I2640,"AAAAADOea7s=")</f>
        <v>#VALUE!</v>
      </c>
      <c r="GG121" t="e">
        <f>AND('STERLING CATALOG - DRY '!J2640,"AAAAADOea7w=")</f>
        <v>#VALUE!</v>
      </c>
      <c r="GH121">
        <f>IF('STERLING CATALOG - DRY '!2641:2641,"AAAAADOea70=",0)</f>
        <v>0</v>
      </c>
      <c r="GI121" t="e">
        <f>AND('STERLING CATALOG - DRY '!A2641,"AAAAADOea74=")</f>
        <v>#VALUE!</v>
      </c>
      <c r="GJ121" t="e">
        <f>AND('STERLING CATALOG - DRY '!B2641,"AAAAADOea78=")</f>
        <v>#VALUE!</v>
      </c>
      <c r="GK121" t="e">
        <f>AND('STERLING CATALOG - DRY '!C2641,"AAAAADOea8A=")</f>
        <v>#VALUE!</v>
      </c>
      <c r="GL121" t="e">
        <f>AND('STERLING CATALOG - DRY '!D2641,"AAAAADOea8E=")</f>
        <v>#VALUE!</v>
      </c>
      <c r="GM121" t="e">
        <f>AND('STERLING CATALOG - DRY '!E2641,"AAAAADOea8I=")</f>
        <v>#VALUE!</v>
      </c>
      <c r="GN121" t="e">
        <f>AND('STERLING CATALOG - DRY '!F2641,"AAAAADOea8M=")</f>
        <v>#VALUE!</v>
      </c>
      <c r="GO121" t="e">
        <f>AND('STERLING CATALOG - DRY '!G2641,"AAAAADOea8Q=")</f>
        <v>#VALUE!</v>
      </c>
      <c r="GP121" t="e">
        <f>AND('STERLING CATALOG - DRY '!H2641,"AAAAADOea8U=")</f>
        <v>#VALUE!</v>
      </c>
      <c r="GQ121" t="e">
        <f>AND('STERLING CATALOG - DRY '!I2641,"AAAAADOea8Y=")</f>
        <v>#VALUE!</v>
      </c>
      <c r="GR121" t="e">
        <f>AND('STERLING CATALOG - DRY '!J2641,"AAAAADOea8c=")</f>
        <v>#VALUE!</v>
      </c>
      <c r="GS121">
        <f>IF('STERLING CATALOG - DRY '!2642:2642,"AAAAADOea8g=",0)</f>
        <v>0</v>
      </c>
      <c r="GT121" t="e">
        <f>AND('STERLING CATALOG - DRY '!A2642,"AAAAADOea8k=")</f>
        <v>#VALUE!</v>
      </c>
      <c r="GU121" t="e">
        <f>AND('STERLING CATALOG - DRY '!B2642,"AAAAADOea8o=")</f>
        <v>#VALUE!</v>
      </c>
      <c r="GV121" t="e">
        <f>AND('STERLING CATALOG - DRY '!C2642,"AAAAADOea8s=")</f>
        <v>#VALUE!</v>
      </c>
      <c r="GW121" t="e">
        <f>AND('STERLING CATALOG - DRY '!D2642,"AAAAADOea8w=")</f>
        <v>#VALUE!</v>
      </c>
      <c r="GX121" t="e">
        <f>AND('STERLING CATALOG - DRY '!E2642,"AAAAADOea80=")</f>
        <v>#VALUE!</v>
      </c>
      <c r="GY121" t="e">
        <f>AND('STERLING CATALOG - DRY '!F2642,"AAAAADOea84=")</f>
        <v>#VALUE!</v>
      </c>
      <c r="GZ121" t="e">
        <f>AND('STERLING CATALOG - DRY '!G2642,"AAAAADOea88=")</f>
        <v>#VALUE!</v>
      </c>
      <c r="HA121" t="e">
        <f>AND('STERLING CATALOG - DRY '!H2642,"AAAAADOea9A=")</f>
        <v>#VALUE!</v>
      </c>
      <c r="HB121" t="e">
        <f>AND('STERLING CATALOG - DRY '!I2642,"AAAAADOea9E=")</f>
        <v>#VALUE!</v>
      </c>
      <c r="HC121" t="e">
        <f>AND('STERLING CATALOG - DRY '!J2642,"AAAAADOea9I=")</f>
        <v>#VALUE!</v>
      </c>
      <c r="HD121">
        <f>IF('STERLING CATALOG - DRY '!2643:2643,"AAAAADOea9M=",0)</f>
        <v>0</v>
      </c>
      <c r="HE121" t="e">
        <f>AND('STERLING CATALOG - DRY '!A2643,"AAAAADOea9Q=")</f>
        <v>#VALUE!</v>
      </c>
      <c r="HF121" t="e">
        <f>AND('STERLING CATALOG - DRY '!B2643,"AAAAADOea9U=")</f>
        <v>#VALUE!</v>
      </c>
      <c r="HG121" t="e">
        <f>AND('STERLING CATALOG - DRY '!C2643,"AAAAADOea9Y=")</f>
        <v>#VALUE!</v>
      </c>
      <c r="HH121" t="e">
        <f>AND('STERLING CATALOG - DRY '!D2643,"AAAAADOea9c=")</f>
        <v>#VALUE!</v>
      </c>
      <c r="HI121" t="e">
        <f>AND('STERLING CATALOG - DRY '!E2643,"AAAAADOea9g=")</f>
        <v>#VALUE!</v>
      </c>
      <c r="HJ121" t="e">
        <f>AND('STERLING CATALOG - DRY '!F2643,"AAAAADOea9k=")</f>
        <v>#VALUE!</v>
      </c>
      <c r="HK121" t="e">
        <f>AND('STERLING CATALOG - DRY '!G2643,"AAAAADOea9o=")</f>
        <v>#VALUE!</v>
      </c>
      <c r="HL121" t="e">
        <f>AND('STERLING CATALOG - DRY '!H2643,"AAAAADOea9s=")</f>
        <v>#VALUE!</v>
      </c>
      <c r="HM121" t="e">
        <f>AND('STERLING CATALOG - DRY '!I2643,"AAAAADOea9w=")</f>
        <v>#VALUE!</v>
      </c>
      <c r="HN121" t="e">
        <f>AND('STERLING CATALOG - DRY '!J2643,"AAAAADOea90=")</f>
        <v>#VALUE!</v>
      </c>
      <c r="HO121">
        <f>IF('STERLING CATALOG - DRY '!2644:2644,"AAAAADOea94=",0)</f>
        <v>0</v>
      </c>
      <c r="HP121" t="e">
        <f>AND('STERLING CATALOG - DRY '!A2644,"AAAAADOea98=")</f>
        <v>#VALUE!</v>
      </c>
      <c r="HQ121" t="e">
        <f>AND('STERLING CATALOG - DRY '!B2644,"AAAAADOea+A=")</f>
        <v>#VALUE!</v>
      </c>
      <c r="HR121" t="e">
        <f>AND('STERLING CATALOG - DRY '!C2644,"AAAAADOea+E=")</f>
        <v>#VALUE!</v>
      </c>
      <c r="HS121" t="e">
        <f>AND('STERLING CATALOG - DRY '!D2644,"AAAAADOea+I=")</f>
        <v>#VALUE!</v>
      </c>
      <c r="HT121" t="e">
        <f>AND('STERLING CATALOG - DRY '!E2644,"AAAAADOea+M=")</f>
        <v>#VALUE!</v>
      </c>
      <c r="HU121" t="e">
        <f>AND('STERLING CATALOG - DRY '!F2644,"AAAAADOea+Q=")</f>
        <v>#VALUE!</v>
      </c>
      <c r="HV121" t="e">
        <f>AND('STERLING CATALOG - DRY '!G2644,"AAAAADOea+U=")</f>
        <v>#VALUE!</v>
      </c>
      <c r="HW121" t="e">
        <f>AND('STERLING CATALOG - DRY '!H2644,"AAAAADOea+Y=")</f>
        <v>#VALUE!</v>
      </c>
      <c r="HX121" t="e">
        <f>AND('STERLING CATALOG - DRY '!I2644,"AAAAADOea+c=")</f>
        <v>#VALUE!</v>
      </c>
      <c r="HY121" t="e">
        <f>AND('STERLING CATALOG - DRY '!J2644,"AAAAADOea+g=")</f>
        <v>#VALUE!</v>
      </c>
      <c r="HZ121">
        <f>IF('STERLING CATALOG - DRY '!2645:2645,"AAAAADOea+k=",0)</f>
        <v>0</v>
      </c>
      <c r="IA121" t="e">
        <f>AND('STERLING CATALOG - DRY '!A2645,"AAAAADOea+o=")</f>
        <v>#VALUE!</v>
      </c>
      <c r="IB121" t="e">
        <f>AND('STERLING CATALOG - DRY '!B2645,"AAAAADOea+s=")</f>
        <v>#VALUE!</v>
      </c>
      <c r="IC121" t="e">
        <f>AND('STERLING CATALOG - DRY '!C2645,"AAAAADOea+w=")</f>
        <v>#VALUE!</v>
      </c>
      <c r="ID121" t="e">
        <f>AND('STERLING CATALOG - DRY '!D2645,"AAAAADOea+0=")</f>
        <v>#VALUE!</v>
      </c>
      <c r="IE121" t="e">
        <f>AND('STERLING CATALOG - DRY '!E2645,"AAAAADOea+4=")</f>
        <v>#VALUE!</v>
      </c>
      <c r="IF121" t="e">
        <f>AND('STERLING CATALOG - DRY '!F2645,"AAAAADOea+8=")</f>
        <v>#VALUE!</v>
      </c>
      <c r="IG121" t="e">
        <f>AND('STERLING CATALOG - DRY '!G2645,"AAAAADOea/A=")</f>
        <v>#VALUE!</v>
      </c>
      <c r="IH121" t="e">
        <f>AND('STERLING CATALOG - DRY '!H2645,"AAAAADOea/E=")</f>
        <v>#VALUE!</v>
      </c>
      <c r="II121" t="e">
        <f>AND('STERLING CATALOG - DRY '!I2645,"AAAAADOea/I=")</f>
        <v>#VALUE!</v>
      </c>
      <c r="IJ121" t="e">
        <f>AND('STERLING CATALOG - DRY '!J2645,"AAAAADOea/M=")</f>
        <v>#VALUE!</v>
      </c>
      <c r="IK121">
        <f>IF('STERLING CATALOG - DRY '!2646:2646,"AAAAADOea/Q=",0)</f>
        <v>0</v>
      </c>
      <c r="IL121" t="e">
        <f>AND('STERLING CATALOG - DRY '!A2646,"AAAAADOea/U=")</f>
        <v>#VALUE!</v>
      </c>
      <c r="IM121" t="e">
        <f>AND('STERLING CATALOG - DRY '!B2646,"AAAAADOea/Y=")</f>
        <v>#VALUE!</v>
      </c>
      <c r="IN121" t="e">
        <f>AND('STERLING CATALOG - DRY '!C2646,"AAAAADOea/c=")</f>
        <v>#VALUE!</v>
      </c>
      <c r="IO121" t="e">
        <f>AND('STERLING CATALOG - DRY '!D2646,"AAAAADOea/g=")</f>
        <v>#VALUE!</v>
      </c>
      <c r="IP121" t="e">
        <f>AND('STERLING CATALOG - DRY '!E2646,"AAAAADOea/k=")</f>
        <v>#VALUE!</v>
      </c>
      <c r="IQ121" t="e">
        <f>AND('STERLING CATALOG - DRY '!F2646,"AAAAADOea/o=")</f>
        <v>#VALUE!</v>
      </c>
      <c r="IR121" t="e">
        <f>AND('STERLING CATALOG - DRY '!G2646,"AAAAADOea/s=")</f>
        <v>#VALUE!</v>
      </c>
      <c r="IS121" t="e">
        <f>AND('STERLING CATALOG - DRY '!H2646,"AAAAADOea/w=")</f>
        <v>#VALUE!</v>
      </c>
      <c r="IT121" t="e">
        <f>AND('STERLING CATALOG - DRY '!I2646,"AAAAADOea/0=")</f>
        <v>#VALUE!</v>
      </c>
      <c r="IU121" t="e">
        <f>AND('STERLING CATALOG - DRY '!J2646,"AAAAADOea/4=")</f>
        <v>#VALUE!</v>
      </c>
      <c r="IV121">
        <f>IF('STERLING CATALOG - DRY '!2647:2647,"AAAAADOea/8=",0)</f>
        <v>0</v>
      </c>
    </row>
    <row r="122" spans="1:256">
      <c r="A122" t="e">
        <f>AND('STERLING CATALOG - DRY '!A2647,"AAAAAF3f9wA=")</f>
        <v>#VALUE!</v>
      </c>
      <c r="B122" t="e">
        <f>AND('STERLING CATALOG - DRY '!B2647,"AAAAAF3f9wE=")</f>
        <v>#VALUE!</v>
      </c>
      <c r="C122" t="e">
        <f>AND('STERLING CATALOG - DRY '!C2647,"AAAAAF3f9wI=")</f>
        <v>#VALUE!</v>
      </c>
      <c r="D122" t="e">
        <f>AND('STERLING CATALOG - DRY '!D2647,"AAAAAF3f9wM=")</f>
        <v>#VALUE!</v>
      </c>
      <c r="E122" t="e">
        <f>AND('STERLING CATALOG - DRY '!E2647,"AAAAAF3f9wQ=")</f>
        <v>#VALUE!</v>
      </c>
      <c r="F122" t="e">
        <f>AND('STERLING CATALOG - DRY '!F2647,"AAAAAF3f9wU=")</f>
        <v>#VALUE!</v>
      </c>
      <c r="G122" t="e">
        <f>AND('STERLING CATALOG - DRY '!G2647,"AAAAAF3f9wY=")</f>
        <v>#VALUE!</v>
      </c>
      <c r="H122" t="e">
        <f>AND('STERLING CATALOG - DRY '!H2647,"AAAAAF3f9wc=")</f>
        <v>#VALUE!</v>
      </c>
      <c r="I122" t="e">
        <f>AND('STERLING CATALOG - DRY '!I2647,"AAAAAF3f9wg=")</f>
        <v>#VALUE!</v>
      </c>
      <c r="J122" t="e">
        <f>AND('STERLING CATALOG - DRY '!J2647,"AAAAAF3f9wk=")</f>
        <v>#VALUE!</v>
      </c>
      <c r="K122">
        <f>IF('STERLING CATALOG - DRY '!2648:2648,"AAAAAF3f9wo=",0)</f>
        <v>0</v>
      </c>
      <c r="L122" t="e">
        <f>AND('STERLING CATALOG - DRY '!A2648,"AAAAAF3f9ws=")</f>
        <v>#VALUE!</v>
      </c>
      <c r="M122" t="e">
        <f>AND('STERLING CATALOG - DRY '!B2648,"AAAAAF3f9ww=")</f>
        <v>#VALUE!</v>
      </c>
      <c r="N122" t="e">
        <f>AND('STERLING CATALOG - DRY '!C2648,"AAAAAF3f9w0=")</f>
        <v>#VALUE!</v>
      </c>
      <c r="O122" t="e">
        <f>AND('STERLING CATALOG - DRY '!D2648,"AAAAAF3f9w4=")</f>
        <v>#VALUE!</v>
      </c>
      <c r="P122" t="e">
        <f>AND('STERLING CATALOG - DRY '!E2648,"AAAAAF3f9w8=")</f>
        <v>#VALUE!</v>
      </c>
      <c r="Q122" t="e">
        <f>AND('STERLING CATALOG - DRY '!F2648,"AAAAAF3f9xA=")</f>
        <v>#VALUE!</v>
      </c>
      <c r="R122" t="e">
        <f>AND('STERLING CATALOG - DRY '!G2648,"AAAAAF3f9xE=")</f>
        <v>#VALUE!</v>
      </c>
      <c r="S122" t="e">
        <f>AND('STERLING CATALOG - DRY '!H2648,"AAAAAF3f9xI=")</f>
        <v>#VALUE!</v>
      </c>
      <c r="T122" t="e">
        <f>AND('STERLING CATALOG - DRY '!I2648,"AAAAAF3f9xM=")</f>
        <v>#VALUE!</v>
      </c>
      <c r="U122" t="e">
        <f>AND('STERLING CATALOG - DRY '!J2648,"AAAAAF3f9xQ=")</f>
        <v>#VALUE!</v>
      </c>
      <c r="V122">
        <f>IF('STERLING CATALOG - DRY '!2649:2649,"AAAAAF3f9xU=",0)</f>
        <v>0</v>
      </c>
      <c r="W122" t="e">
        <f>AND('STERLING CATALOG - DRY '!A2649,"AAAAAF3f9xY=")</f>
        <v>#VALUE!</v>
      </c>
      <c r="X122" t="e">
        <f>AND('STERLING CATALOG - DRY '!B2649,"AAAAAF3f9xc=")</f>
        <v>#VALUE!</v>
      </c>
      <c r="Y122" t="e">
        <f>AND('STERLING CATALOG - DRY '!C2649,"AAAAAF3f9xg=")</f>
        <v>#VALUE!</v>
      </c>
      <c r="Z122" t="e">
        <f>AND('STERLING CATALOG - DRY '!D2649,"AAAAAF3f9xk=")</f>
        <v>#VALUE!</v>
      </c>
      <c r="AA122" t="e">
        <f>AND('STERLING CATALOG - DRY '!E2649,"AAAAAF3f9xo=")</f>
        <v>#VALUE!</v>
      </c>
      <c r="AB122" t="e">
        <f>AND('STERLING CATALOG - DRY '!F2649,"AAAAAF3f9xs=")</f>
        <v>#VALUE!</v>
      </c>
      <c r="AC122" t="e">
        <f>AND('STERLING CATALOG - DRY '!G2649,"AAAAAF3f9xw=")</f>
        <v>#VALUE!</v>
      </c>
      <c r="AD122" t="e">
        <f>AND('STERLING CATALOG - DRY '!H2649,"AAAAAF3f9x0=")</f>
        <v>#VALUE!</v>
      </c>
      <c r="AE122" t="e">
        <f>AND('STERLING CATALOG - DRY '!I2649,"AAAAAF3f9x4=")</f>
        <v>#VALUE!</v>
      </c>
      <c r="AF122" t="e">
        <f>AND('STERLING CATALOG - DRY '!J2649,"AAAAAF3f9x8=")</f>
        <v>#VALUE!</v>
      </c>
      <c r="AG122">
        <f>IF('STERLING CATALOG - DRY '!2650:2650,"AAAAAF3f9yA=",0)</f>
        <v>0</v>
      </c>
      <c r="AH122" t="e">
        <f>AND('STERLING CATALOG - DRY '!A2650,"AAAAAF3f9yE=")</f>
        <v>#VALUE!</v>
      </c>
      <c r="AI122" t="e">
        <f>AND('STERLING CATALOG - DRY '!B2650,"AAAAAF3f9yI=")</f>
        <v>#VALUE!</v>
      </c>
      <c r="AJ122" t="e">
        <f>AND('STERLING CATALOG - DRY '!C2650,"AAAAAF3f9yM=")</f>
        <v>#VALUE!</v>
      </c>
      <c r="AK122" t="e">
        <f>AND('STERLING CATALOG - DRY '!D2650,"AAAAAF3f9yQ=")</f>
        <v>#VALUE!</v>
      </c>
      <c r="AL122" t="e">
        <f>AND('STERLING CATALOG - DRY '!E2650,"AAAAAF3f9yU=")</f>
        <v>#VALUE!</v>
      </c>
      <c r="AM122" t="e">
        <f>AND('STERLING CATALOG - DRY '!F2650,"AAAAAF3f9yY=")</f>
        <v>#VALUE!</v>
      </c>
      <c r="AN122" t="e">
        <f>AND('STERLING CATALOG - DRY '!G2650,"AAAAAF3f9yc=")</f>
        <v>#VALUE!</v>
      </c>
      <c r="AO122" t="e">
        <f>AND('STERLING CATALOG - DRY '!H2650,"AAAAAF3f9yg=")</f>
        <v>#VALUE!</v>
      </c>
      <c r="AP122" t="e">
        <f>AND('STERLING CATALOG - DRY '!I2650,"AAAAAF3f9yk=")</f>
        <v>#VALUE!</v>
      </c>
      <c r="AQ122" t="e">
        <f>AND('STERLING CATALOG - DRY '!J2650,"AAAAAF3f9yo=")</f>
        <v>#VALUE!</v>
      </c>
      <c r="AR122">
        <f>IF('STERLING CATALOG - DRY '!2651:2651,"AAAAAF3f9ys=",0)</f>
        <v>0</v>
      </c>
      <c r="AS122" t="e">
        <f>AND('STERLING CATALOG - DRY '!A2651,"AAAAAF3f9yw=")</f>
        <v>#VALUE!</v>
      </c>
      <c r="AT122" t="e">
        <f>AND('STERLING CATALOG - DRY '!B2651,"AAAAAF3f9y0=")</f>
        <v>#VALUE!</v>
      </c>
      <c r="AU122" t="e">
        <f>AND('STERLING CATALOG - DRY '!C2651,"AAAAAF3f9y4=")</f>
        <v>#VALUE!</v>
      </c>
      <c r="AV122" t="e">
        <f>AND('STERLING CATALOG - DRY '!D2651,"AAAAAF3f9y8=")</f>
        <v>#VALUE!</v>
      </c>
      <c r="AW122" t="e">
        <f>AND('STERLING CATALOG - DRY '!E2651,"AAAAAF3f9zA=")</f>
        <v>#VALUE!</v>
      </c>
      <c r="AX122" t="e">
        <f>AND('STERLING CATALOG - DRY '!F2651,"AAAAAF3f9zE=")</f>
        <v>#VALUE!</v>
      </c>
      <c r="AY122" t="e">
        <f>AND('STERLING CATALOG - DRY '!G2651,"AAAAAF3f9zI=")</f>
        <v>#VALUE!</v>
      </c>
      <c r="AZ122" t="e">
        <f>AND('STERLING CATALOG - DRY '!H2651,"AAAAAF3f9zM=")</f>
        <v>#VALUE!</v>
      </c>
      <c r="BA122" t="e">
        <f>AND('STERLING CATALOG - DRY '!I2651,"AAAAAF3f9zQ=")</f>
        <v>#VALUE!</v>
      </c>
      <c r="BB122" t="e">
        <f>AND('STERLING CATALOG - DRY '!J2651,"AAAAAF3f9zU=")</f>
        <v>#VALUE!</v>
      </c>
      <c r="BC122">
        <f>IF('STERLING CATALOG - DRY '!2652:2652,"AAAAAF3f9zY=",0)</f>
        <v>0</v>
      </c>
      <c r="BD122" t="e">
        <f>AND('STERLING CATALOG - DRY '!A2652,"AAAAAF3f9zc=")</f>
        <v>#VALUE!</v>
      </c>
      <c r="BE122" t="e">
        <f>AND('STERLING CATALOG - DRY '!B2652,"AAAAAF3f9zg=")</f>
        <v>#VALUE!</v>
      </c>
      <c r="BF122" t="e">
        <f>AND('STERLING CATALOG - DRY '!C2652,"AAAAAF3f9zk=")</f>
        <v>#VALUE!</v>
      </c>
      <c r="BG122" t="e">
        <f>AND('STERLING CATALOG - DRY '!D2652,"AAAAAF3f9zo=")</f>
        <v>#VALUE!</v>
      </c>
      <c r="BH122" t="e">
        <f>AND('STERLING CATALOG - DRY '!E2652,"AAAAAF3f9zs=")</f>
        <v>#VALUE!</v>
      </c>
      <c r="BI122" t="e">
        <f>AND('STERLING CATALOG - DRY '!F2652,"AAAAAF3f9zw=")</f>
        <v>#VALUE!</v>
      </c>
      <c r="BJ122" t="e">
        <f>AND('STERLING CATALOG - DRY '!G2652,"AAAAAF3f9z0=")</f>
        <v>#VALUE!</v>
      </c>
      <c r="BK122" t="e">
        <f>AND('STERLING CATALOG - DRY '!H2652,"AAAAAF3f9z4=")</f>
        <v>#VALUE!</v>
      </c>
      <c r="BL122" t="e">
        <f>AND('STERLING CATALOG - DRY '!I2652,"AAAAAF3f9z8=")</f>
        <v>#VALUE!</v>
      </c>
      <c r="BM122" t="e">
        <f>AND('STERLING CATALOG - DRY '!J2652,"AAAAAF3f90A=")</f>
        <v>#VALUE!</v>
      </c>
      <c r="BN122">
        <f>IF('STERLING CATALOG - DRY '!2653:2653,"AAAAAF3f90E=",0)</f>
        <v>0</v>
      </c>
      <c r="BO122" t="e">
        <f>AND('STERLING CATALOG - DRY '!A2653,"AAAAAF3f90I=")</f>
        <v>#VALUE!</v>
      </c>
      <c r="BP122" t="e">
        <f>AND('STERLING CATALOG - DRY '!B2653,"AAAAAF3f90M=")</f>
        <v>#VALUE!</v>
      </c>
      <c r="BQ122" t="e">
        <f>AND('STERLING CATALOG - DRY '!C2653,"AAAAAF3f90Q=")</f>
        <v>#VALUE!</v>
      </c>
      <c r="BR122" t="e">
        <f>AND('STERLING CATALOG - DRY '!D2653,"AAAAAF3f90U=")</f>
        <v>#VALUE!</v>
      </c>
      <c r="BS122" t="e">
        <f>AND('STERLING CATALOG - DRY '!E2653,"AAAAAF3f90Y=")</f>
        <v>#VALUE!</v>
      </c>
      <c r="BT122" t="e">
        <f>AND('STERLING CATALOG - DRY '!F2653,"AAAAAF3f90c=")</f>
        <v>#VALUE!</v>
      </c>
      <c r="BU122" t="e">
        <f>AND('STERLING CATALOG - DRY '!G2653,"AAAAAF3f90g=")</f>
        <v>#VALUE!</v>
      </c>
      <c r="BV122" t="e">
        <f>AND('STERLING CATALOG - DRY '!H2653,"AAAAAF3f90k=")</f>
        <v>#VALUE!</v>
      </c>
      <c r="BW122" t="e">
        <f>AND('STERLING CATALOG - DRY '!I2653,"AAAAAF3f90o=")</f>
        <v>#VALUE!</v>
      </c>
      <c r="BX122" t="e">
        <f>AND('STERLING CATALOG - DRY '!J2653,"AAAAAF3f90s=")</f>
        <v>#VALUE!</v>
      </c>
      <c r="BY122">
        <f>IF('STERLING CATALOG - DRY '!2654:2654,"AAAAAF3f90w=",0)</f>
        <v>0</v>
      </c>
      <c r="BZ122" t="e">
        <f>AND('STERLING CATALOG - DRY '!A2654,"AAAAAF3f900=")</f>
        <v>#VALUE!</v>
      </c>
      <c r="CA122" t="e">
        <f>AND('STERLING CATALOG - DRY '!B2654,"AAAAAF3f904=")</f>
        <v>#VALUE!</v>
      </c>
      <c r="CB122" t="e">
        <f>AND('STERLING CATALOG - DRY '!C2654,"AAAAAF3f908=")</f>
        <v>#VALUE!</v>
      </c>
      <c r="CC122" t="e">
        <f>AND('STERLING CATALOG - DRY '!D2654,"AAAAAF3f91A=")</f>
        <v>#VALUE!</v>
      </c>
      <c r="CD122" t="e">
        <f>AND('STERLING CATALOG - DRY '!E2654,"AAAAAF3f91E=")</f>
        <v>#VALUE!</v>
      </c>
      <c r="CE122" t="e">
        <f>AND('STERLING CATALOG - DRY '!F2654,"AAAAAF3f91I=")</f>
        <v>#VALUE!</v>
      </c>
      <c r="CF122" t="e">
        <f>AND('STERLING CATALOG - DRY '!G2654,"AAAAAF3f91M=")</f>
        <v>#VALUE!</v>
      </c>
      <c r="CG122" t="e">
        <f>AND('STERLING CATALOG - DRY '!H2654,"AAAAAF3f91Q=")</f>
        <v>#VALUE!</v>
      </c>
      <c r="CH122" t="e">
        <f>AND('STERLING CATALOG - DRY '!I2654,"AAAAAF3f91U=")</f>
        <v>#VALUE!</v>
      </c>
      <c r="CI122" t="e">
        <f>AND('STERLING CATALOG - DRY '!J2654,"AAAAAF3f91Y=")</f>
        <v>#VALUE!</v>
      </c>
      <c r="CJ122">
        <f>IF('STERLING CATALOG - DRY '!2655:2655,"AAAAAF3f91c=",0)</f>
        <v>0</v>
      </c>
      <c r="CK122" t="e">
        <f>AND('STERLING CATALOG - DRY '!A2655,"AAAAAF3f91g=")</f>
        <v>#VALUE!</v>
      </c>
      <c r="CL122" t="e">
        <f>AND('STERLING CATALOG - DRY '!B2655,"AAAAAF3f91k=")</f>
        <v>#VALUE!</v>
      </c>
      <c r="CM122" t="e">
        <f>AND('STERLING CATALOG - DRY '!C2655,"AAAAAF3f91o=")</f>
        <v>#VALUE!</v>
      </c>
      <c r="CN122" t="e">
        <f>AND('STERLING CATALOG - DRY '!D2655,"AAAAAF3f91s=")</f>
        <v>#VALUE!</v>
      </c>
      <c r="CO122" t="e">
        <f>AND('STERLING CATALOG - DRY '!E2655,"AAAAAF3f91w=")</f>
        <v>#VALUE!</v>
      </c>
      <c r="CP122" t="e">
        <f>AND('STERLING CATALOG - DRY '!F2655,"AAAAAF3f910=")</f>
        <v>#VALUE!</v>
      </c>
      <c r="CQ122" t="e">
        <f>AND('STERLING CATALOG - DRY '!G2655,"AAAAAF3f914=")</f>
        <v>#VALUE!</v>
      </c>
      <c r="CR122" t="e">
        <f>AND('STERLING CATALOG - DRY '!H2655,"AAAAAF3f918=")</f>
        <v>#VALUE!</v>
      </c>
      <c r="CS122" t="e">
        <f>AND('STERLING CATALOG - DRY '!I2655,"AAAAAF3f92A=")</f>
        <v>#VALUE!</v>
      </c>
      <c r="CT122" t="e">
        <f>AND('STERLING CATALOG - DRY '!J2655,"AAAAAF3f92E=")</f>
        <v>#VALUE!</v>
      </c>
      <c r="CU122">
        <f>IF('STERLING CATALOG - DRY '!2656:2656,"AAAAAF3f92I=",0)</f>
        <v>0</v>
      </c>
      <c r="CV122" t="e">
        <f>AND('STERLING CATALOG - DRY '!A2656,"AAAAAF3f92M=")</f>
        <v>#VALUE!</v>
      </c>
      <c r="CW122" t="e">
        <f>AND('STERLING CATALOG - DRY '!B2656,"AAAAAF3f92Q=")</f>
        <v>#VALUE!</v>
      </c>
      <c r="CX122" t="e">
        <f>AND('STERLING CATALOG - DRY '!C2656,"AAAAAF3f92U=")</f>
        <v>#VALUE!</v>
      </c>
      <c r="CY122" t="e">
        <f>AND('STERLING CATALOG - DRY '!D2656,"AAAAAF3f92Y=")</f>
        <v>#VALUE!</v>
      </c>
      <c r="CZ122" t="e">
        <f>AND('STERLING CATALOG - DRY '!E2656,"AAAAAF3f92c=")</f>
        <v>#VALUE!</v>
      </c>
      <c r="DA122" t="e">
        <f>AND('STERLING CATALOG - DRY '!F2656,"AAAAAF3f92g=")</f>
        <v>#VALUE!</v>
      </c>
      <c r="DB122" t="e">
        <f>AND('STERLING CATALOG - DRY '!G2656,"AAAAAF3f92k=")</f>
        <v>#VALUE!</v>
      </c>
      <c r="DC122" t="e">
        <f>AND('STERLING CATALOG - DRY '!H2656,"AAAAAF3f92o=")</f>
        <v>#VALUE!</v>
      </c>
      <c r="DD122" t="e">
        <f>AND('STERLING CATALOG - DRY '!I2656,"AAAAAF3f92s=")</f>
        <v>#VALUE!</v>
      </c>
      <c r="DE122" t="e">
        <f>AND('STERLING CATALOG - DRY '!J2656,"AAAAAF3f92w=")</f>
        <v>#VALUE!</v>
      </c>
      <c r="DF122">
        <f>IF('STERLING CATALOG - DRY '!2657:2657,"AAAAAF3f920=",0)</f>
        <v>0</v>
      </c>
      <c r="DG122" t="e">
        <f>AND('STERLING CATALOG - DRY '!A2657,"AAAAAF3f924=")</f>
        <v>#VALUE!</v>
      </c>
      <c r="DH122" t="e">
        <f>AND('STERLING CATALOG - DRY '!B2657,"AAAAAF3f928=")</f>
        <v>#VALUE!</v>
      </c>
      <c r="DI122" t="e">
        <f>AND('STERLING CATALOG - DRY '!C2657,"AAAAAF3f93A=")</f>
        <v>#VALUE!</v>
      </c>
      <c r="DJ122" t="e">
        <f>AND('STERLING CATALOG - DRY '!D2657,"AAAAAF3f93E=")</f>
        <v>#VALUE!</v>
      </c>
      <c r="DK122" t="e">
        <f>AND('STERLING CATALOG - DRY '!E2657,"AAAAAF3f93I=")</f>
        <v>#VALUE!</v>
      </c>
      <c r="DL122" t="e">
        <f>AND('STERLING CATALOG - DRY '!F2657,"AAAAAF3f93M=")</f>
        <v>#VALUE!</v>
      </c>
      <c r="DM122" t="e">
        <f>AND('STERLING CATALOG - DRY '!G2657,"AAAAAF3f93Q=")</f>
        <v>#VALUE!</v>
      </c>
      <c r="DN122" t="e">
        <f>AND('STERLING CATALOG - DRY '!H2657,"AAAAAF3f93U=")</f>
        <v>#VALUE!</v>
      </c>
      <c r="DO122" t="e">
        <f>AND('STERLING CATALOG - DRY '!I2657,"AAAAAF3f93Y=")</f>
        <v>#VALUE!</v>
      </c>
      <c r="DP122" t="e">
        <f>AND('STERLING CATALOG - DRY '!J2657,"AAAAAF3f93c=")</f>
        <v>#VALUE!</v>
      </c>
      <c r="DQ122">
        <f>IF('STERLING CATALOG - DRY '!2658:2658,"AAAAAF3f93g=",0)</f>
        <v>0</v>
      </c>
      <c r="DR122" t="e">
        <f>AND('STERLING CATALOG - DRY '!A2658,"AAAAAF3f93k=")</f>
        <v>#VALUE!</v>
      </c>
      <c r="DS122" t="e">
        <f>AND('STERLING CATALOG - DRY '!B2658,"AAAAAF3f93o=")</f>
        <v>#VALUE!</v>
      </c>
      <c r="DT122" t="e">
        <f>AND('STERLING CATALOG - DRY '!C2658,"AAAAAF3f93s=")</f>
        <v>#VALUE!</v>
      </c>
      <c r="DU122" t="e">
        <f>AND('STERLING CATALOG - DRY '!D2658,"AAAAAF3f93w=")</f>
        <v>#VALUE!</v>
      </c>
      <c r="DV122" t="e">
        <f>AND('STERLING CATALOG - DRY '!E2658,"AAAAAF3f930=")</f>
        <v>#VALUE!</v>
      </c>
      <c r="DW122" t="e">
        <f>AND('STERLING CATALOG - DRY '!F2658,"AAAAAF3f934=")</f>
        <v>#VALUE!</v>
      </c>
      <c r="DX122" t="e">
        <f>AND('STERLING CATALOG - DRY '!G2658,"AAAAAF3f938=")</f>
        <v>#VALUE!</v>
      </c>
      <c r="DY122" t="e">
        <f>AND('STERLING CATALOG - DRY '!H2658,"AAAAAF3f94A=")</f>
        <v>#VALUE!</v>
      </c>
      <c r="DZ122" t="e">
        <f>AND('STERLING CATALOG - DRY '!I2658,"AAAAAF3f94E=")</f>
        <v>#VALUE!</v>
      </c>
      <c r="EA122" t="e">
        <f>AND('STERLING CATALOG - DRY '!J2658,"AAAAAF3f94I=")</f>
        <v>#VALUE!</v>
      </c>
      <c r="EB122">
        <f>IF('STERLING CATALOG - DRY '!2659:2659,"AAAAAF3f94M=",0)</f>
        <v>0</v>
      </c>
      <c r="EC122" t="e">
        <f>AND('STERLING CATALOG - DRY '!A2659,"AAAAAF3f94Q=")</f>
        <v>#VALUE!</v>
      </c>
      <c r="ED122" t="e">
        <f>AND('STERLING CATALOG - DRY '!B2659,"AAAAAF3f94U=")</f>
        <v>#VALUE!</v>
      </c>
      <c r="EE122" t="e">
        <f>AND('STERLING CATALOG - DRY '!C2659,"AAAAAF3f94Y=")</f>
        <v>#VALUE!</v>
      </c>
      <c r="EF122" t="e">
        <f>AND('STERLING CATALOG - DRY '!D2659,"AAAAAF3f94c=")</f>
        <v>#VALUE!</v>
      </c>
      <c r="EG122" t="e">
        <f>AND('STERLING CATALOG - DRY '!E2659,"AAAAAF3f94g=")</f>
        <v>#VALUE!</v>
      </c>
      <c r="EH122" t="e">
        <f>AND('STERLING CATALOG - DRY '!F2659,"AAAAAF3f94k=")</f>
        <v>#VALUE!</v>
      </c>
      <c r="EI122" t="e">
        <f>AND('STERLING CATALOG - DRY '!G2659,"AAAAAF3f94o=")</f>
        <v>#VALUE!</v>
      </c>
      <c r="EJ122" t="e">
        <f>AND('STERLING CATALOG - DRY '!H2659,"AAAAAF3f94s=")</f>
        <v>#VALUE!</v>
      </c>
      <c r="EK122" t="e">
        <f>AND('STERLING CATALOG - DRY '!I2659,"AAAAAF3f94w=")</f>
        <v>#VALUE!</v>
      </c>
      <c r="EL122" t="e">
        <f>AND('STERLING CATALOG - DRY '!J2659,"AAAAAF3f940=")</f>
        <v>#VALUE!</v>
      </c>
      <c r="EM122">
        <f>IF('STERLING CATALOG - DRY '!2660:2660,"AAAAAF3f944=",0)</f>
        <v>0</v>
      </c>
      <c r="EN122" t="e">
        <f>AND('STERLING CATALOG - DRY '!A2660,"AAAAAF3f948=")</f>
        <v>#VALUE!</v>
      </c>
      <c r="EO122" t="e">
        <f>AND('STERLING CATALOG - DRY '!B2660,"AAAAAF3f95A=")</f>
        <v>#VALUE!</v>
      </c>
      <c r="EP122" t="e">
        <f>AND('STERLING CATALOG - DRY '!C2660,"AAAAAF3f95E=")</f>
        <v>#VALUE!</v>
      </c>
      <c r="EQ122" t="e">
        <f>AND('STERLING CATALOG - DRY '!D2660,"AAAAAF3f95I=")</f>
        <v>#VALUE!</v>
      </c>
      <c r="ER122" t="e">
        <f>AND('STERLING CATALOG - DRY '!E2660,"AAAAAF3f95M=")</f>
        <v>#VALUE!</v>
      </c>
      <c r="ES122" t="e">
        <f>AND('STERLING CATALOG - DRY '!F2660,"AAAAAF3f95Q=")</f>
        <v>#VALUE!</v>
      </c>
      <c r="ET122" t="e">
        <f>AND('STERLING CATALOG - DRY '!G2660,"AAAAAF3f95U=")</f>
        <v>#VALUE!</v>
      </c>
      <c r="EU122" t="e">
        <f>AND('STERLING CATALOG - DRY '!H2660,"AAAAAF3f95Y=")</f>
        <v>#VALUE!</v>
      </c>
      <c r="EV122" t="e">
        <f>AND('STERLING CATALOG - DRY '!I2660,"AAAAAF3f95c=")</f>
        <v>#VALUE!</v>
      </c>
      <c r="EW122" t="e">
        <f>AND('STERLING CATALOG - DRY '!J2660,"AAAAAF3f95g=")</f>
        <v>#VALUE!</v>
      </c>
      <c r="EX122">
        <f>IF('STERLING CATALOG - DRY '!2661:2661,"AAAAAF3f95k=",0)</f>
        <v>0</v>
      </c>
      <c r="EY122" t="e">
        <f>AND('STERLING CATALOG - DRY '!A2661,"AAAAAF3f95o=")</f>
        <v>#VALUE!</v>
      </c>
      <c r="EZ122" t="e">
        <f>AND('STERLING CATALOG - DRY '!B2661,"AAAAAF3f95s=")</f>
        <v>#VALUE!</v>
      </c>
      <c r="FA122" t="e">
        <f>AND('STERLING CATALOG - DRY '!C2661,"AAAAAF3f95w=")</f>
        <v>#VALUE!</v>
      </c>
      <c r="FB122" t="e">
        <f>AND('STERLING CATALOG - DRY '!D2661,"AAAAAF3f950=")</f>
        <v>#VALUE!</v>
      </c>
      <c r="FC122" t="e">
        <f>AND('STERLING CATALOG - DRY '!E2661,"AAAAAF3f954=")</f>
        <v>#VALUE!</v>
      </c>
      <c r="FD122" t="e">
        <f>AND('STERLING CATALOG - DRY '!F2661,"AAAAAF3f958=")</f>
        <v>#VALUE!</v>
      </c>
      <c r="FE122" t="e">
        <f>AND('STERLING CATALOG - DRY '!G2661,"AAAAAF3f96A=")</f>
        <v>#VALUE!</v>
      </c>
      <c r="FF122" t="e">
        <f>AND('STERLING CATALOG - DRY '!H2661,"AAAAAF3f96E=")</f>
        <v>#VALUE!</v>
      </c>
      <c r="FG122" t="e">
        <f>AND('STERLING CATALOG - DRY '!I2661,"AAAAAF3f96I=")</f>
        <v>#VALUE!</v>
      </c>
      <c r="FH122" t="e">
        <f>AND('STERLING CATALOG - DRY '!J2661,"AAAAAF3f96M=")</f>
        <v>#VALUE!</v>
      </c>
      <c r="FI122">
        <f>IF('STERLING CATALOG - DRY '!2662:2662,"AAAAAF3f96Q=",0)</f>
        <v>0</v>
      </c>
      <c r="FJ122" t="e">
        <f>AND('STERLING CATALOG - DRY '!A2662,"AAAAAF3f96U=")</f>
        <v>#VALUE!</v>
      </c>
      <c r="FK122" t="e">
        <f>AND('STERLING CATALOG - DRY '!B2662,"AAAAAF3f96Y=")</f>
        <v>#VALUE!</v>
      </c>
      <c r="FL122" t="e">
        <f>AND('STERLING CATALOG - DRY '!C2662,"AAAAAF3f96c=")</f>
        <v>#VALUE!</v>
      </c>
      <c r="FM122" t="e">
        <f>AND('STERLING CATALOG - DRY '!D2662,"AAAAAF3f96g=")</f>
        <v>#VALUE!</v>
      </c>
      <c r="FN122" t="e">
        <f>AND('STERLING CATALOG - DRY '!E2662,"AAAAAF3f96k=")</f>
        <v>#VALUE!</v>
      </c>
      <c r="FO122" t="e">
        <f>AND('STERLING CATALOG - DRY '!F2662,"AAAAAF3f96o=")</f>
        <v>#VALUE!</v>
      </c>
      <c r="FP122" t="e">
        <f>AND('STERLING CATALOG - DRY '!G2662,"AAAAAF3f96s=")</f>
        <v>#VALUE!</v>
      </c>
      <c r="FQ122" t="e">
        <f>AND('STERLING CATALOG - DRY '!H2662,"AAAAAF3f96w=")</f>
        <v>#VALUE!</v>
      </c>
      <c r="FR122" t="e">
        <f>AND('STERLING CATALOG - DRY '!I2662,"AAAAAF3f960=")</f>
        <v>#VALUE!</v>
      </c>
      <c r="FS122" t="e">
        <f>AND('STERLING CATALOG - DRY '!J2662,"AAAAAF3f964=")</f>
        <v>#VALUE!</v>
      </c>
      <c r="FT122">
        <f>IF('STERLING CATALOG - DRY '!2663:2663,"AAAAAF3f968=",0)</f>
        <v>0</v>
      </c>
      <c r="FU122" t="e">
        <f>AND('STERLING CATALOG - DRY '!A2663,"AAAAAF3f97A=")</f>
        <v>#VALUE!</v>
      </c>
      <c r="FV122" t="e">
        <f>AND('STERLING CATALOG - DRY '!B2663,"AAAAAF3f97E=")</f>
        <v>#VALUE!</v>
      </c>
      <c r="FW122" t="e">
        <f>AND('STERLING CATALOG - DRY '!C2663,"AAAAAF3f97I=")</f>
        <v>#VALUE!</v>
      </c>
      <c r="FX122" t="e">
        <f>AND('STERLING CATALOG - DRY '!D2663,"AAAAAF3f97M=")</f>
        <v>#VALUE!</v>
      </c>
      <c r="FY122" t="e">
        <f>AND('STERLING CATALOG - DRY '!E2663,"AAAAAF3f97Q=")</f>
        <v>#VALUE!</v>
      </c>
      <c r="FZ122" t="e">
        <f>AND('STERLING CATALOG - DRY '!F2663,"AAAAAF3f97U=")</f>
        <v>#VALUE!</v>
      </c>
      <c r="GA122" t="e">
        <f>AND('STERLING CATALOG - DRY '!G2663,"AAAAAF3f97Y=")</f>
        <v>#VALUE!</v>
      </c>
      <c r="GB122" t="e">
        <f>AND('STERLING CATALOG - DRY '!H2663,"AAAAAF3f97c=")</f>
        <v>#VALUE!</v>
      </c>
      <c r="GC122" t="e">
        <f>AND('STERLING CATALOG - DRY '!I2663,"AAAAAF3f97g=")</f>
        <v>#VALUE!</v>
      </c>
      <c r="GD122" t="e">
        <f>AND('STERLING CATALOG - DRY '!J2663,"AAAAAF3f97k=")</f>
        <v>#VALUE!</v>
      </c>
      <c r="GE122">
        <f>IF('STERLING CATALOG - DRY '!2664:2664,"AAAAAF3f97o=",0)</f>
        <v>0</v>
      </c>
      <c r="GF122" t="e">
        <f>AND('STERLING CATALOG - DRY '!A2664,"AAAAAF3f97s=")</f>
        <v>#VALUE!</v>
      </c>
      <c r="GG122" t="e">
        <f>AND('STERLING CATALOG - DRY '!B2664,"AAAAAF3f97w=")</f>
        <v>#VALUE!</v>
      </c>
      <c r="GH122" t="e">
        <f>AND('STERLING CATALOG - DRY '!C2664,"AAAAAF3f970=")</f>
        <v>#VALUE!</v>
      </c>
      <c r="GI122" t="e">
        <f>AND('STERLING CATALOG - DRY '!D2664,"AAAAAF3f974=")</f>
        <v>#VALUE!</v>
      </c>
      <c r="GJ122" t="e">
        <f>AND('STERLING CATALOG - DRY '!E2664,"AAAAAF3f978=")</f>
        <v>#VALUE!</v>
      </c>
      <c r="GK122" t="e">
        <f>AND('STERLING CATALOG - DRY '!F2664,"AAAAAF3f98A=")</f>
        <v>#VALUE!</v>
      </c>
      <c r="GL122" t="e">
        <f>AND('STERLING CATALOG - DRY '!G2664,"AAAAAF3f98E=")</f>
        <v>#VALUE!</v>
      </c>
      <c r="GM122" t="e">
        <f>AND('STERLING CATALOG - DRY '!H2664,"AAAAAF3f98I=")</f>
        <v>#VALUE!</v>
      </c>
      <c r="GN122" t="e">
        <f>AND('STERLING CATALOG - DRY '!I2664,"AAAAAF3f98M=")</f>
        <v>#VALUE!</v>
      </c>
      <c r="GO122" t="e">
        <f>AND('STERLING CATALOG - DRY '!J2664,"AAAAAF3f98Q=")</f>
        <v>#VALUE!</v>
      </c>
      <c r="GP122">
        <f>IF('STERLING CATALOG - DRY '!2665:2665,"AAAAAF3f98U=",0)</f>
        <v>0</v>
      </c>
      <c r="GQ122" t="e">
        <f>AND('STERLING CATALOG - DRY '!A2665,"AAAAAF3f98Y=")</f>
        <v>#VALUE!</v>
      </c>
      <c r="GR122" t="e">
        <f>AND('STERLING CATALOG - DRY '!B2665,"AAAAAF3f98c=")</f>
        <v>#VALUE!</v>
      </c>
      <c r="GS122" t="e">
        <f>AND('STERLING CATALOG - DRY '!C2665,"AAAAAF3f98g=")</f>
        <v>#VALUE!</v>
      </c>
      <c r="GT122" t="e">
        <f>AND('STERLING CATALOG - DRY '!D2665,"AAAAAF3f98k=")</f>
        <v>#VALUE!</v>
      </c>
      <c r="GU122" t="e">
        <f>AND('STERLING CATALOG - DRY '!E2665,"AAAAAF3f98o=")</f>
        <v>#VALUE!</v>
      </c>
      <c r="GV122" t="e">
        <f>AND('STERLING CATALOG - DRY '!F2665,"AAAAAF3f98s=")</f>
        <v>#VALUE!</v>
      </c>
      <c r="GW122" t="e">
        <f>AND('STERLING CATALOG - DRY '!G2665,"AAAAAF3f98w=")</f>
        <v>#VALUE!</v>
      </c>
      <c r="GX122" t="e">
        <f>AND('STERLING CATALOG - DRY '!H2665,"AAAAAF3f980=")</f>
        <v>#VALUE!</v>
      </c>
      <c r="GY122" t="e">
        <f>AND('STERLING CATALOG - DRY '!I2665,"AAAAAF3f984=")</f>
        <v>#VALUE!</v>
      </c>
      <c r="GZ122" t="e">
        <f>AND('STERLING CATALOG - DRY '!J2665,"AAAAAF3f988=")</f>
        <v>#VALUE!</v>
      </c>
      <c r="HA122">
        <f>IF('STERLING CATALOG - DRY '!2666:2666,"AAAAAF3f99A=",0)</f>
        <v>0</v>
      </c>
      <c r="HB122" t="e">
        <f>AND('STERLING CATALOG - DRY '!A2666,"AAAAAF3f99E=")</f>
        <v>#VALUE!</v>
      </c>
      <c r="HC122" t="e">
        <f>AND('STERLING CATALOG - DRY '!B2666,"AAAAAF3f99I=")</f>
        <v>#VALUE!</v>
      </c>
      <c r="HD122" t="e">
        <f>AND('STERLING CATALOG - DRY '!C2666,"AAAAAF3f99M=")</f>
        <v>#VALUE!</v>
      </c>
      <c r="HE122" t="e">
        <f>AND('STERLING CATALOG - DRY '!D2666,"AAAAAF3f99Q=")</f>
        <v>#VALUE!</v>
      </c>
      <c r="HF122" t="e">
        <f>AND('STERLING CATALOG - DRY '!E2666,"AAAAAF3f99U=")</f>
        <v>#VALUE!</v>
      </c>
      <c r="HG122" t="e">
        <f>AND('STERLING CATALOG - DRY '!F2666,"AAAAAF3f99Y=")</f>
        <v>#VALUE!</v>
      </c>
      <c r="HH122" t="e">
        <f>AND('STERLING CATALOG - DRY '!G2666,"AAAAAF3f99c=")</f>
        <v>#VALUE!</v>
      </c>
      <c r="HI122" t="e">
        <f>AND('STERLING CATALOG - DRY '!H2666,"AAAAAF3f99g=")</f>
        <v>#VALUE!</v>
      </c>
      <c r="HJ122" t="e">
        <f>AND('STERLING CATALOG - DRY '!I2666,"AAAAAF3f99k=")</f>
        <v>#VALUE!</v>
      </c>
      <c r="HK122" t="e">
        <f>AND('STERLING CATALOG - DRY '!J2666,"AAAAAF3f99o=")</f>
        <v>#VALUE!</v>
      </c>
      <c r="HL122">
        <f>IF('STERLING CATALOG - DRY '!2667:2667,"AAAAAF3f99s=",0)</f>
        <v>0</v>
      </c>
      <c r="HM122" t="e">
        <f>AND('STERLING CATALOG - DRY '!A2667,"AAAAAF3f99w=")</f>
        <v>#VALUE!</v>
      </c>
      <c r="HN122" t="e">
        <f>AND('STERLING CATALOG - DRY '!B2667,"AAAAAF3f990=")</f>
        <v>#VALUE!</v>
      </c>
      <c r="HO122" t="e">
        <f>AND('STERLING CATALOG - DRY '!C2667,"AAAAAF3f994=")</f>
        <v>#VALUE!</v>
      </c>
      <c r="HP122" t="e">
        <f>AND('STERLING CATALOG - DRY '!D2667,"AAAAAF3f998=")</f>
        <v>#VALUE!</v>
      </c>
      <c r="HQ122" t="e">
        <f>AND('STERLING CATALOG - DRY '!E2667,"AAAAAF3f9+A=")</f>
        <v>#VALUE!</v>
      </c>
      <c r="HR122" t="e">
        <f>AND('STERLING CATALOG - DRY '!F2667,"AAAAAF3f9+E=")</f>
        <v>#VALUE!</v>
      </c>
      <c r="HS122" t="e">
        <f>AND('STERLING CATALOG - DRY '!G2667,"AAAAAF3f9+I=")</f>
        <v>#VALUE!</v>
      </c>
      <c r="HT122" t="e">
        <f>AND('STERLING CATALOG - DRY '!H2667,"AAAAAF3f9+M=")</f>
        <v>#VALUE!</v>
      </c>
      <c r="HU122" t="e">
        <f>AND('STERLING CATALOG - DRY '!I2667,"AAAAAF3f9+Q=")</f>
        <v>#VALUE!</v>
      </c>
      <c r="HV122" t="e">
        <f>AND('STERLING CATALOG - DRY '!J2667,"AAAAAF3f9+U=")</f>
        <v>#VALUE!</v>
      </c>
      <c r="HW122">
        <f>IF('STERLING CATALOG - DRY '!2668:2668,"AAAAAF3f9+Y=",0)</f>
        <v>0</v>
      </c>
      <c r="HX122" t="e">
        <f>AND('STERLING CATALOG - DRY '!A2668,"AAAAAF3f9+c=")</f>
        <v>#VALUE!</v>
      </c>
      <c r="HY122" t="e">
        <f>AND('STERLING CATALOG - DRY '!B2668,"AAAAAF3f9+g=")</f>
        <v>#VALUE!</v>
      </c>
      <c r="HZ122" t="e">
        <f>AND('STERLING CATALOG - DRY '!C2668,"AAAAAF3f9+k=")</f>
        <v>#VALUE!</v>
      </c>
      <c r="IA122" t="e">
        <f>AND('STERLING CATALOG - DRY '!D2668,"AAAAAF3f9+o=")</f>
        <v>#VALUE!</v>
      </c>
      <c r="IB122" t="e">
        <f>AND('STERLING CATALOG - DRY '!E2668,"AAAAAF3f9+s=")</f>
        <v>#VALUE!</v>
      </c>
      <c r="IC122" t="e">
        <f>AND('STERLING CATALOG - DRY '!F2668,"AAAAAF3f9+w=")</f>
        <v>#VALUE!</v>
      </c>
      <c r="ID122" t="e">
        <f>AND('STERLING CATALOG - DRY '!G2668,"AAAAAF3f9+0=")</f>
        <v>#VALUE!</v>
      </c>
      <c r="IE122" t="e">
        <f>AND('STERLING CATALOG - DRY '!H2668,"AAAAAF3f9+4=")</f>
        <v>#VALUE!</v>
      </c>
      <c r="IF122" t="e">
        <f>AND('STERLING CATALOG - DRY '!I2668,"AAAAAF3f9+8=")</f>
        <v>#VALUE!</v>
      </c>
      <c r="IG122" t="e">
        <f>AND('STERLING CATALOG - DRY '!J2668,"AAAAAF3f9/A=")</f>
        <v>#VALUE!</v>
      </c>
      <c r="IH122">
        <f>IF('STERLING CATALOG - DRY '!2669:2669,"AAAAAF3f9/E=",0)</f>
        <v>0</v>
      </c>
      <c r="II122" t="e">
        <f>AND('STERLING CATALOG - DRY '!A2669,"AAAAAF3f9/I=")</f>
        <v>#VALUE!</v>
      </c>
      <c r="IJ122" t="e">
        <f>AND('STERLING CATALOG - DRY '!B2669,"AAAAAF3f9/M=")</f>
        <v>#VALUE!</v>
      </c>
      <c r="IK122" t="e">
        <f>AND('STERLING CATALOG - DRY '!C2669,"AAAAAF3f9/Q=")</f>
        <v>#VALUE!</v>
      </c>
      <c r="IL122" t="e">
        <f>AND('STERLING CATALOG - DRY '!D2669,"AAAAAF3f9/U=")</f>
        <v>#VALUE!</v>
      </c>
      <c r="IM122" t="e">
        <f>AND('STERLING CATALOG - DRY '!E2669,"AAAAAF3f9/Y=")</f>
        <v>#VALUE!</v>
      </c>
      <c r="IN122" t="e">
        <f>AND('STERLING CATALOG - DRY '!F2669,"AAAAAF3f9/c=")</f>
        <v>#VALUE!</v>
      </c>
      <c r="IO122" t="e">
        <f>AND('STERLING CATALOG - DRY '!G2669,"AAAAAF3f9/g=")</f>
        <v>#VALUE!</v>
      </c>
      <c r="IP122" t="e">
        <f>AND('STERLING CATALOG - DRY '!H2669,"AAAAAF3f9/k=")</f>
        <v>#VALUE!</v>
      </c>
      <c r="IQ122" t="e">
        <f>AND('STERLING CATALOG - DRY '!I2669,"AAAAAF3f9/o=")</f>
        <v>#VALUE!</v>
      </c>
      <c r="IR122" t="e">
        <f>AND('STERLING CATALOG - DRY '!J2669,"AAAAAF3f9/s=")</f>
        <v>#VALUE!</v>
      </c>
      <c r="IS122">
        <f>IF('STERLING CATALOG - DRY '!2670:2670,"AAAAAF3f9/w=",0)</f>
        <v>0</v>
      </c>
      <c r="IT122" t="e">
        <f>AND('STERLING CATALOG - DRY '!A2670,"AAAAAF3f9/0=")</f>
        <v>#VALUE!</v>
      </c>
      <c r="IU122" t="e">
        <f>AND('STERLING CATALOG - DRY '!B2670,"AAAAAF3f9/4=")</f>
        <v>#VALUE!</v>
      </c>
      <c r="IV122" t="e">
        <f>AND('STERLING CATALOG - DRY '!C2670,"AAAAAF3f9/8=")</f>
        <v>#VALUE!</v>
      </c>
    </row>
    <row r="123" spans="1:256">
      <c r="A123" t="e">
        <f>AND('STERLING CATALOG - DRY '!D2670,"AAAAAHPzvgA=")</f>
        <v>#VALUE!</v>
      </c>
      <c r="B123" t="e">
        <f>AND('STERLING CATALOG - DRY '!E2670,"AAAAAHPzvgE=")</f>
        <v>#VALUE!</v>
      </c>
      <c r="C123" t="e">
        <f>AND('STERLING CATALOG - DRY '!F2670,"AAAAAHPzvgI=")</f>
        <v>#VALUE!</v>
      </c>
      <c r="D123" t="e">
        <f>AND('STERLING CATALOG - DRY '!G2670,"AAAAAHPzvgM=")</f>
        <v>#VALUE!</v>
      </c>
      <c r="E123" t="e">
        <f>AND('STERLING CATALOG - DRY '!H2670,"AAAAAHPzvgQ=")</f>
        <v>#VALUE!</v>
      </c>
      <c r="F123" t="e">
        <f>AND('STERLING CATALOG - DRY '!I2670,"AAAAAHPzvgU=")</f>
        <v>#VALUE!</v>
      </c>
      <c r="G123" t="e">
        <f>AND('STERLING CATALOG - DRY '!J2670,"AAAAAHPzvgY=")</f>
        <v>#VALUE!</v>
      </c>
      <c r="H123" t="e">
        <f>IF('STERLING CATALOG - DRY '!2671:2671,"AAAAAHPzvgc=",0)</f>
        <v>#VALUE!</v>
      </c>
      <c r="I123" t="e">
        <f>AND('STERLING CATALOG - DRY '!A2671,"AAAAAHPzvgg=")</f>
        <v>#VALUE!</v>
      </c>
      <c r="J123" t="e">
        <f>AND('STERLING CATALOG - DRY '!B2671,"AAAAAHPzvgk=")</f>
        <v>#VALUE!</v>
      </c>
      <c r="K123" t="e">
        <f>AND('STERLING CATALOG - DRY '!C2671,"AAAAAHPzvgo=")</f>
        <v>#VALUE!</v>
      </c>
      <c r="L123" t="e">
        <f>AND('STERLING CATALOG - DRY '!D2671,"AAAAAHPzvgs=")</f>
        <v>#VALUE!</v>
      </c>
      <c r="M123" t="e">
        <f>AND('STERLING CATALOG - DRY '!E2671,"AAAAAHPzvgw=")</f>
        <v>#VALUE!</v>
      </c>
      <c r="N123" t="e">
        <f>AND('STERLING CATALOG - DRY '!F2671,"AAAAAHPzvg0=")</f>
        <v>#VALUE!</v>
      </c>
      <c r="O123" t="e">
        <f>AND('STERLING CATALOG - DRY '!G2671,"AAAAAHPzvg4=")</f>
        <v>#VALUE!</v>
      </c>
      <c r="P123" t="e">
        <f>AND('STERLING CATALOG - DRY '!H2671,"AAAAAHPzvg8=")</f>
        <v>#VALUE!</v>
      </c>
      <c r="Q123" t="e">
        <f>AND('STERLING CATALOG - DRY '!I2671,"AAAAAHPzvhA=")</f>
        <v>#VALUE!</v>
      </c>
      <c r="R123" t="e">
        <f>AND('STERLING CATALOG - DRY '!J2671,"AAAAAHPzvhE=")</f>
        <v>#VALUE!</v>
      </c>
      <c r="S123">
        <f>IF('STERLING CATALOG - DRY '!2672:2672,"AAAAAHPzvhI=",0)</f>
        <v>0</v>
      </c>
      <c r="T123" t="e">
        <f>AND('STERLING CATALOG - DRY '!A2672,"AAAAAHPzvhM=")</f>
        <v>#VALUE!</v>
      </c>
      <c r="U123" t="e">
        <f>AND('STERLING CATALOG - DRY '!B2672,"AAAAAHPzvhQ=")</f>
        <v>#VALUE!</v>
      </c>
      <c r="V123" t="e">
        <f>AND('STERLING CATALOG - DRY '!C2672,"AAAAAHPzvhU=")</f>
        <v>#VALUE!</v>
      </c>
      <c r="W123" t="e">
        <f>AND('STERLING CATALOG - DRY '!D2672,"AAAAAHPzvhY=")</f>
        <v>#VALUE!</v>
      </c>
      <c r="X123" t="e">
        <f>AND('STERLING CATALOG - DRY '!E2672,"AAAAAHPzvhc=")</f>
        <v>#VALUE!</v>
      </c>
      <c r="Y123" t="e">
        <f>AND('STERLING CATALOG - DRY '!F2672,"AAAAAHPzvhg=")</f>
        <v>#VALUE!</v>
      </c>
      <c r="Z123" t="e">
        <f>AND('STERLING CATALOG - DRY '!G2672,"AAAAAHPzvhk=")</f>
        <v>#VALUE!</v>
      </c>
      <c r="AA123" t="e">
        <f>AND('STERLING CATALOG - DRY '!H2672,"AAAAAHPzvho=")</f>
        <v>#VALUE!</v>
      </c>
      <c r="AB123" t="e">
        <f>AND('STERLING CATALOG - DRY '!I2672,"AAAAAHPzvhs=")</f>
        <v>#VALUE!</v>
      </c>
      <c r="AC123" t="e">
        <f>AND('STERLING CATALOG - DRY '!J2672,"AAAAAHPzvhw=")</f>
        <v>#VALUE!</v>
      </c>
      <c r="AD123">
        <f>IF('STERLING CATALOG - DRY '!2673:2673,"AAAAAHPzvh0=",0)</f>
        <v>0</v>
      </c>
      <c r="AE123" t="e">
        <f>AND('STERLING CATALOG - DRY '!A2673,"AAAAAHPzvh4=")</f>
        <v>#VALUE!</v>
      </c>
      <c r="AF123" t="e">
        <f>AND('STERLING CATALOG - DRY '!B2673,"AAAAAHPzvh8=")</f>
        <v>#VALUE!</v>
      </c>
      <c r="AG123" t="e">
        <f>AND('STERLING CATALOG - DRY '!C2673,"AAAAAHPzviA=")</f>
        <v>#VALUE!</v>
      </c>
      <c r="AH123" t="e">
        <f>AND('STERLING CATALOG - DRY '!D2673,"AAAAAHPzviE=")</f>
        <v>#VALUE!</v>
      </c>
      <c r="AI123" t="e">
        <f>AND('STERLING CATALOG - DRY '!E2673,"AAAAAHPzviI=")</f>
        <v>#VALUE!</v>
      </c>
      <c r="AJ123" t="e">
        <f>AND('STERLING CATALOG - DRY '!F2673,"AAAAAHPzviM=")</f>
        <v>#VALUE!</v>
      </c>
      <c r="AK123" t="e">
        <f>AND('STERLING CATALOG - DRY '!G2673,"AAAAAHPzviQ=")</f>
        <v>#VALUE!</v>
      </c>
      <c r="AL123" t="e">
        <f>AND('STERLING CATALOG - DRY '!H2673,"AAAAAHPzviU=")</f>
        <v>#VALUE!</v>
      </c>
      <c r="AM123" t="e">
        <f>AND('STERLING CATALOG - DRY '!I2673,"AAAAAHPzviY=")</f>
        <v>#VALUE!</v>
      </c>
      <c r="AN123" t="e">
        <f>AND('STERLING CATALOG - DRY '!J2673,"AAAAAHPzvic=")</f>
        <v>#VALUE!</v>
      </c>
      <c r="AO123">
        <f>IF('STERLING CATALOG - DRY '!2674:2674,"AAAAAHPzvig=",0)</f>
        <v>0</v>
      </c>
      <c r="AP123" t="e">
        <f>AND('STERLING CATALOG - DRY '!A2674,"AAAAAHPzvik=")</f>
        <v>#VALUE!</v>
      </c>
      <c r="AQ123" t="e">
        <f>AND('STERLING CATALOG - DRY '!B2674,"AAAAAHPzvio=")</f>
        <v>#VALUE!</v>
      </c>
      <c r="AR123" t="e">
        <f>AND('STERLING CATALOG - DRY '!C2674,"AAAAAHPzvis=")</f>
        <v>#VALUE!</v>
      </c>
      <c r="AS123" t="e">
        <f>AND('STERLING CATALOG - DRY '!D2674,"AAAAAHPzviw=")</f>
        <v>#VALUE!</v>
      </c>
      <c r="AT123" t="e">
        <f>AND('STERLING CATALOG - DRY '!E2674,"AAAAAHPzvi0=")</f>
        <v>#VALUE!</v>
      </c>
      <c r="AU123" t="e">
        <f>AND('STERLING CATALOG - DRY '!F2674,"AAAAAHPzvi4=")</f>
        <v>#VALUE!</v>
      </c>
      <c r="AV123" t="e">
        <f>AND('STERLING CATALOG - DRY '!G2674,"AAAAAHPzvi8=")</f>
        <v>#VALUE!</v>
      </c>
      <c r="AW123" t="e">
        <f>AND('STERLING CATALOG - DRY '!H2674,"AAAAAHPzvjA=")</f>
        <v>#VALUE!</v>
      </c>
      <c r="AX123" t="e">
        <f>AND('STERLING CATALOG - DRY '!I2674,"AAAAAHPzvjE=")</f>
        <v>#VALUE!</v>
      </c>
      <c r="AY123" t="e">
        <f>AND('STERLING CATALOG - DRY '!J2674,"AAAAAHPzvjI=")</f>
        <v>#VALUE!</v>
      </c>
      <c r="AZ123">
        <f>IF('STERLING CATALOG - DRY '!2675:2675,"AAAAAHPzvjM=",0)</f>
        <v>0</v>
      </c>
      <c r="BA123" t="e">
        <f>AND('STERLING CATALOG - DRY '!A2675,"AAAAAHPzvjQ=")</f>
        <v>#VALUE!</v>
      </c>
      <c r="BB123" t="e">
        <f>AND('STERLING CATALOG - DRY '!B2675,"AAAAAHPzvjU=")</f>
        <v>#VALUE!</v>
      </c>
      <c r="BC123" t="e">
        <f>AND('STERLING CATALOG - DRY '!C2675,"AAAAAHPzvjY=")</f>
        <v>#VALUE!</v>
      </c>
      <c r="BD123" t="e">
        <f>AND('STERLING CATALOG - DRY '!D2675,"AAAAAHPzvjc=")</f>
        <v>#VALUE!</v>
      </c>
      <c r="BE123" t="e">
        <f>AND('STERLING CATALOG - DRY '!E2675,"AAAAAHPzvjg=")</f>
        <v>#VALUE!</v>
      </c>
      <c r="BF123" t="e">
        <f>AND('STERLING CATALOG - DRY '!F2675,"AAAAAHPzvjk=")</f>
        <v>#VALUE!</v>
      </c>
      <c r="BG123" t="e">
        <f>AND('STERLING CATALOG - DRY '!G2675,"AAAAAHPzvjo=")</f>
        <v>#VALUE!</v>
      </c>
      <c r="BH123" t="e">
        <f>AND('STERLING CATALOG - DRY '!H2675,"AAAAAHPzvjs=")</f>
        <v>#VALUE!</v>
      </c>
      <c r="BI123" t="e">
        <f>AND('STERLING CATALOG - DRY '!I2675,"AAAAAHPzvjw=")</f>
        <v>#VALUE!</v>
      </c>
      <c r="BJ123" t="e">
        <f>AND('STERLING CATALOG - DRY '!J2675,"AAAAAHPzvj0=")</f>
        <v>#VALUE!</v>
      </c>
      <c r="BK123">
        <f>IF('STERLING CATALOG - DRY '!2676:2676,"AAAAAHPzvj4=",0)</f>
        <v>0</v>
      </c>
      <c r="BL123" t="e">
        <f>AND('STERLING CATALOG - DRY '!A2676,"AAAAAHPzvj8=")</f>
        <v>#VALUE!</v>
      </c>
      <c r="BM123" t="e">
        <f>AND('STERLING CATALOG - DRY '!B2676,"AAAAAHPzvkA=")</f>
        <v>#VALUE!</v>
      </c>
      <c r="BN123" t="e">
        <f>AND('STERLING CATALOG - DRY '!C2676,"AAAAAHPzvkE=")</f>
        <v>#VALUE!</v>
      </c>
      <c r="BO123" t="e">
        <f>AND('STERLING CATALOG - DRY '!D2676,"AAAAAHPzvkI=")</f>
        <v>#VALUE!</v>
      </c>
      <c r="BP123" t="e">
        <f>AND('STERLING CATALOG - DRY '!E2676,"AAAAAHPzvkM=")</f>
        <v>#VALUE!</v>
      </c>
      <c r="BQ123" t="e">
        <f>AND('STERLING CATALOG - DRY '!F2676,"AAAAAHPzvkQ=")</f>
        <v>#VALUE!</v>
      </c>
      <c r="BR123" t="e">
        <f>AND('STERLING CATALOG - DRY '!G2676,"AAAAAHPzvkU=")</f>
        <v>#VALUE!</v>
      </c>
      <c r="BS123" t="e">
        <f>AND('STERLING CATALOG - DRY '!H2676,"AAAAAHPzvkY=")</f>
        <v>#VALUE!</v>
      </c>
      <c r="BT123" t="e">
        <f>AND('STERLING CATALOG - DRY '!I2676,"AAAAAHPzvkc=")</f>
        <v>#VALUE!</v>
      </c>
      <c r="BU123" t="e">
        <f>AND('STERLING CATALOG - DRY '!J2676,"AAAAAHPzvkg=")</f>
        <v>#VALUE!</v>
      </c>
      <c r="BV123">
        <f>IF('STERLING CATALOG - DRY '!2677:2677,"AAAAAHPzvkk=",0)</f>
        <v>0</v>
      </c>
      <c r="BW123" t="e">
        <f>AND('STERLING CATALOG - DRY '!A2677,"AAAAAHPzvko=")</f>
        <v>#VALUE!</v>
      </c>
      <c r="BX123" t="e">
        <f>AND('STERLING CATALOG - DRY '!B2677,"AAAAAHPzvks=")</f>
        <v>#VALUE!</v>
      </c>
      <c r="BY123" t="e">
        <f>AND('STERLING CATALOG - DRY '!C2677,"AAAAAHPzvkw=")</f>
        <v>#VALUE!</v>
      </c>
      <c r="BZ123" t="e">
        <f>AND('STERLING CATALOG - DRY '!D2677,"AAAAAHPzvk0=")</f>
        <v>#VALUE!</v>
      </c>
      <c r="CA123" t="e">
        <f>AND('STERLING CATALOG - DRY '!E2677,"AAAAAHPzvk4=")</f>
        <v>#VALUE!</v>
      </c>
      <c r="CB123" t="e">
        <f>AND('STERLING CATALOG - DRY '!F2677,"AAAAAHPzvk8=")</f>
        <v>#VALUE!</v>
      </c>
      <c r="CC123" t="e">
        <f>AND('STERLING CATALOG - DRY '!G2677,"AAAAAHPzvlA=")</f>
        <v>#VALUE!</v>
      </c>
      <c r="CD123" t="e">
        <f>AND('STERLING CATALOG - DRY '!H2677,"AAAAAHPzvlE=")</f>
        <v>#VALUE!</v>
      </c>
      <c r="CE123" t="e">
        <f>AND('STERLING CATALOG - DRY '!I2677,"AAAAAHPzvlI=")</f>
        <v>#VALUE!</v>
      </c>
      <c r="CF123" t="e">
        <f>AND('STERLING CATALOG - DRY '!J2677,"AAAAAHPzvlM=")</f>
        <v>#VALUE!</v>
      </c>
      <c r="CG123">
        <f>IF('STERLING CATALOG - DRY '!2678:2678,"AAAAAHPzvlQ=",0)</f>
        <v>0</v>
      </c>
      <c r="CH123" t="e">
        <f>AND('STERLING CATALOG - DRY '!A2678,"AAAAAHPzvlU=")</f>
        <v>#VALUE!</v>
      </c>
      <c r="CI123" t="e">
        <f>AND('STERLING CATALOG - DRY '!B2678,"AAAAAHPzvlY=")</f>
        <v>#VALUE!</v>
      </c>
      <c r="CJ123" t="e">
        <f>AND('STERLING CATALOG - DRY '!C2678,"AAAAAHPzvlc=")</f>
        <v>#VALUE!</v>
      </c>
      <c r="CK123" t="e">
        <f>AND('STERLING CATALOG - DRY '!D2678,"AAAAAHPzvlg=")</f>
        <v>#VALUE!</v>
      </c>
      <c r="CL123" t="e">
        <f>AND('STERLING CATALOG - DRY '!E2678,"AAAAAHPzvlk=")</f>
        <v>#VALUE!</v>
      </c>
      <c r="CM123" t="e">
        <f>AND('STERLING CATALOG - DRY '!F2678,"AAAAAHPzvlo=")</f>
        <v>#VALUE!</v>
      </c>
      <c r="CN123" t="e">
        <f>AND('STERLING CATALOG - DRY '!G2678,"AAAAAHPzvls=")</f>
        <v>#VALUE!</v>
      </c>
      <c r="CO123" t="e">
        <f>AND('STERLING CATALOG - DRY '!H2678,"AAAAAHPzvlw=")</f>
        <v>#VALUE!</v>
      </c>
      <c r="CP123" t="e">
        <f>AND('STERLING CATALOG - DRY '!I2678,"AAAAAHPzvl0=")</f>
        <v>#VALUE!</v>
      </c>
      <c r="CQ123" t="e">
        <f>AND('STERLING CATALOG - DRY '!J2678,"AAAAAHPzvl4=")</f>
        <v>#VALUE!</v>
      </c>
      <c r="CR123">
        <f>IF('STERLING CATALOG - DRY '!2679:2679,"AAAAAHPzvl8=",0)</f>
        <v>0</v>
      </c>
      <c r="CS123" t="e">
        <f>AND('STERLING CATALOG - DRY '!A2679,"AAAAAHPzvmA=")</f>
        <v>#VALUE!</v>
      </c>
      <c r="CT123" t="e">
        <f>AND('STERLING CATALOG - DRY '!B2679,"AAAAAHPzvmE=")</f>
        <v>#VALUE!</v>
      </c>
      <c r="CU123" t="e">
        <f>AND('STERLING CATALOG - DRY '!C2679,"AAAAAHPzvmI=")</f>
        <v>#VALUE!</v>
      </c>
      <c r="CV123" t="e">
        <f>AND('STERLING CATALOG - DRY '!D2679,"AAAAAHPzvmM=")</f>
        <v>#VALUE!</v>
      </c>
      <c r="CW123" t="e">
        <f>AND('STERLING CATALOG - DRY '!E2679,"AAAAAHPzvmQ=")</f>
        <v>#VALUE!</v>
      </c>
      <c r="CX123" t="e">
        <f>AND('STERLING CATALOG - DRY '!F2679,"AAAAAHPzvmU=")</f>
        <v>#VALUE!</v>
      </c>
      <c r="CY123" t="e">
        <f>AND('STERLING CATALOG - DRY '!G2679,"AAAAAHPzvmY=")</f>
        <v>#VALUE!</v>
      </c>
      <c r="CZ123" t="e">
        <f>AND('STERLING CATALOG - DRY '!H2679,"AAAAAHPzvmc=")</f>
        <v>#VALUE!</v>
      </c>
      <c r="DA123" t="e">
        <f>AND('STERLING CATALOG - DRY '!I2679,"AAAAAHPzvmg=")</f>
        <v>#VALUE!</v>
      </c>
      <c r="DB123" t="e">
        <f>AND('STERLING CATALOG - DRY '!J2679,"AAAAAHPzvmk=")</f>
        <v>#VALUE!</v>
      </c>
      <c r="DC123">
        <f>IF('STERLING CATALOG - DRY '!2680:2680,"AAAAAHPzvmo=",0)</f>
        <v>0</v>
      </c>
      <c r="DD123" t="e">
        <f>AND('STERLING CATALOG - DRY '!A2680,"AAAAAHPzvms=")</f>
        <v>#VALUE!</v>
      </c>
      <c r="DE123" t="e">
        <f>AND('STERLING CATALOG - DRY '!B2680,"AAAAAHPzvmw=")</f>
        <v>#VALUE!</v>
      </c>
      <c r="DF123" t="e">
        <f>AND('STERLING CATALOG - DRY '!C2680,"AAAAAHPzvm0=")</f>
        <v>#VALUE!</v>
      </c>
      <c r="DG123" t="e">
        <f>AND('STERLING CATALOG - DRY '!D2680,"AAAAAHPzvm4=")</f>
        <v>#VALUE!</v>
      </c>
      <c r="DH123" t="e">
        <f>AND('STERLING CATALOG - DRY '!E2680,"AAAAAHPzvm8=")</f>
        <v>#VALUE!</v>
      </c>
      <c r="DI123" t="e">
        <f>AND('STERLING CATALOG - DRY '!F2680,"AAAAAHPzvnA=")</f>
        <v>#VALUE!</v>
      </c>
      <c r="DJ123" t="e">
        <f>AND('STERLING CATALOG - DRY '!G2680,"AAAAAHPzvnE=")</f>
        <v>#VALUE!</v>
      </c>
      <c r="DK123" t="e">
        <f>AND('STERLING CATALOG - DRY '!H2680,"AAAAAHPzvnI=")</f>
        <v>#VALUE!</v>
      </c>
      <c r="DL123" t="e">
        <f>AND('STERLING CATALOG - DRY '!I2680,"AAAAAHPzvnM=")</f>
        <v>#VALUE!</v>
      </c>
      <c r="DM123" t="e">
        <f>AND('STERLING CATALOG - DRY '!J2680,"AAAAAHPzvnQ=")</f>
        <v>#VALUE!</v>
      </c>
      <c r="DN123">
        <f>IF('STERLING CATALOG - DRY '!2681:2681,"AAAAAHPzvnU=",0)</f>
        <v>0</v>
      </c>
      <c r="DO123" t="e">
        <f>AND('STERLING CATALOG - DRY '!A2681,"AAAAAHPzvnY=")</f>
        <v>#VALUE!</v>
      </c>
      <c r="DP123" t="e">
        <f>AND('STERLING CATALOG - DRY '!B2681,"AAAAAHPzvnc=")</f>
        <v>#VALUE!</v>
      </c>
      <c r="DQ123" t="e">
        <f>AND('STERLING CATALOG - DRY '!C2681,"AAAAAHPzvng=")</f>
        <v>#VALUE!</v>
      </c>
      <c r="DR123" t="e">
        <f>AND('STERLING CATALOG - DRY '!D2681,"AAAAAHPzvnk=")</f>
        <v>#VALUE!</v>
      </c>
      <c r="DS123" t="e">
        <f>AND('STERLING CATALOG - DRY '!E2681,"AAAAAHPzvno=")</f>
        <v>#VALUE!</v>
      </c>
      <c r="DT123" t="e">
        <f>AND('STERLING CATALOG - DRY '!F2681,"AAAAAHPzvns=")</f>
        <v>#VALUE!</v>
      </c>
      <c r="DU123" t="e">
        <f>AND('STERLING CATALOG - DRY '!G2681,"AAAAAHPzvnw=")</f>
        <v>#VALUE!</v>
      </c>
      <c r="DV123" t="e">
        <f>AND('STERLING CATALOG - DRY '!H2681,"AAAAAHPzvn0=")</f>
        <v>#VALUE!</v>
      </c>
      <c r="DW123" t="e">
        <f>AND('STERLING CATALOG - DRY '!I2681,"AAAAAHPzvn4=")</f>
        <v>#VALUE!</v>
      </c>
      <c r="DX123" t="e">
        <f>AND('STERLING CATALOG - DRY '!J2681,"AAAAAHPzvn8=")</f>
        <v>#VALUE!</v>
      </c>
      <c r="DY123">
        <f>IF('STERLING CATALOG - DRY '!2682:2682,"AAAAAHPzvoA=",0)</f>
        <v>0</v>
      </c>
      <c r="DZ123" t="e">
        <f>AND('STERLING CATALOG - DRY '!A2682,"AAAAAHPzvoE=")</f>
        <v>#VALUE!</v>
      </c>
      <c r="EA123" t="e">
        <f>AND('STERLING CATALOG - DRY '!B2682,"AAAAAHPzvoI=")</f>
        <v>#VALUE!</v>
      </c>
      <c r="EB123" t="e">
        <f>AND('STERLING CATALOG - DRY '!C2682,"AAAAAHPzvoM=")</f>
        <v>#VALUE!</v>
      </c>
      <c r="EC123" t="e">
        <f>AND('STERLING CATALOG - DRY '!D2682,"AAAAAHPzvoQ=")</f>
        <v>#VALUE!</v>
      </c>
      <c r="ED123" t="e">
        <f>AND('STERLING CATALOG - DRY '!E2682,"AAAAAHPzvoU=")</f>
        <v>#VALUE!</v>
      </c>
      <c r="EE123" t="e">
        <f>AND('STERLING CATALOG - DRY '!F2682,"AAAAAHPzvoY=")</f>
        <v>#VALUE!</v>
      </c>
      <c r="EF123" t="e">
        <f>AND('STERLING CATALOG - DRY '!G2682,"AAAAAHPzvoc=")</f>
        <v>#VALUE!</v>
      </c>
      <c r="EG123" t="e">
        <f>AND('STERLING CATALOG - DRY '!H2682,"AAAAAHPzvog=")</f>
        <v>#VALUE!</v>
      </c>
      <c r="EH123" t="e">
        <f>AND('STERLING CATALOG - DRY '!I2682,"AAAAAHPzvok=")</f>
        <v>#VALUE!</v>
      </c>
      <c r="EI123" t="e">
        <f>AND('STERLING CATALOG - DRY '!J2682,"AAAAAHPzvoo=")</f>
        <v>#VALUE!</v>
      </c>
      <c r="EJ123">
        <f>IF('STERLING CATALOG - DRY '!2683:2683,"AAAAAHPzvos=",0)</f>
        <v>0</v>
      </c>
      <c r="EK123" t="e">
        <f>AND('STERLING CATALOG - DRY '!A2683,"AAAAAHPzvow=")</f>
        <v>#VALUE!</v>
      </c>
      <c r="EL123" t="e">
        <f>AND('STERLING CATALOG - DRY '!B2683,"AAAAAHPzvo0=")</f>
        <v>#VALUE!</v>
      </c>
      <c r="EM123" t="e">
        <f>AND('STERLING CATALOG - DRY '!C2683,"AAAAAHPzvo4=")</f>
        <v>#VALUE!</v>
      </c>
      <c r="EN123" t="e">
        <f>AND('STERLING CATALOG - DRY '!D2683,"AAAAAHPzvo8=")</f>
        <v>#VALUE!</v>
      </c>
      <c r="EO123" t="e">
        <f>AND('STERLING CATALOG - DRY '!E2683,"AAAAAHPzvpA=")</f>
        <v>#VALUE!</v>
      </c>
      <c r="EP123" t="e">
        <f>AND('STERLING CATALOG - DRY '!F2683,"AAAAAHPzvpE=")</f>
        <v>#VALUE!</v>
      </c>
      <c r="EQ123" t="e">
        <f>AND('STERLING CATALOG - DRY '!G2683,"AAAAAHPzvpI=")</f>
        <v>#VALUE!</v>
      </c>
      <c r="ER123" t="e">
        <f>AND('STERLING CATALOG - DRY '!H2683,"AAAAAHPzvpM=")</f>
        <v>#VALUE!</v>
      </c>
      <c r="ES123" t="e">
        <f>AND('STERLING CATALOG - DRY '!I2683,"AAAAAHPzvpQ=")</f>
        <v>#VALUE!</v>
      </c>
      <c r="ET123" t="e">
        <f>AND('STERLING CATALOG - DRY '!J2683,"AAAAAHPzvpU=")</f>
        <v>#VALUE!</v>
      </c>
      <c r="EU123">
        <f>IF('STERLING CATALOG - DRY '!2684:2684,"AAAAAHPzvpY=",0)</f>
        <v>0</v>
      </c>
      <c r="EV123" t="e">
        <f>AND('STERLING CATALOG - DRY '!A2684,"AAAAAHPzvpc=")</f>
        <v>#VALUE!</v>
      </c>
      <c r="EW123" t="e">
        <f>AND('STERLING CATALOG - DRY '!B2684,"AAAAAHPzvpg=")</f>
        <v>#VALUE!</v>
      </c>
      <c r="EX123" t="e">
        <f>AND('STERLING CATALOG - DRY '!C2684,"AAAAAHPzvpk=")</f>
        <v>#VALUE!</v>
      </c>
      <c r="EY123" t="e">
        <f>AND('STERLING CATALOG - DRY '!D2684,"AAAAAHPzvpo=")</f>
        <v>#VALUE!</v>
      </c>
      <c r="EZ123" t="e">
        <f>AND('STERLING CATALOG - DRY '!E2684,"AAAAAHPzvps=")</f>
        <v>#VALUE!</v>
      </c>
      <c r="FA123" t="e">
        <f>AND('STERLING CATALOG - DRY '!F2684,"AAAAAHPzvpw=")</f>
        <v>#VALUE!</v>
      </c>
      <c r="FB123" t="e">
        <f>AND('STERLING CATALOG - DRY '!G2684,"AAAAAHPzvp0=")</f>
        <v>#VALUE!</v>
      </c>
      <c r="FC123" t="e">
        <f>AND('STERLING CATALOG - DRY '!H2684,"AAAAAHPzvp4=")</f>
        <v>#VALUE!</v>
      </c>
      <c r="FD123" t="e">
        <f>AND('STERLING CATALOG - DRY '!I2684,"AAAAAHPzvp8=")</f>
        <v>#VALUE!</v>
      </c>
      <c r="FE123" t="e">
        <f>AND('STERLING CATALOG - DRY '!J2684,"AAAAAHPzvqA=")</f>
        <v>#VALUE!</v>
      </c>
      <c r="FF123">
        <f>IF('STERLING CATALOG - DRY '!2685:2685,"AAAAAHPzvqE=",0)</f>
        <v>0</v>
      </c>
      <c r="FG123" t="e">
        <f>AND('STERLING CATALOG - DRY '!A2685,"AAAAAHPzvqI=")</f>
        <v>#VALUE!</v>
      </c>
      <c r="FH123" t="e">
        <f>AND('STERLING CATALOG - DRY '!B2685,"AAAAAHPzvqM=")</f>
        <v>#VALUE!</v>
      </c>
      <c r="FI123" t="e">
        <f>AND('STERLING CATALOG - DRY '!C2685,"AAAAAHPzvqQ=")</f>
        <v>#VALUE!</v>
      </c>
      <c r="FJ123" t="e">
        <f>AND('STERLING CATALOG - DRY '!D2685,"AAAAAHPzvqU=")</f>
        <v>#VALUE!</v>
      </c>
      <c r="FK123" t="e">
        <f>AND('STERLING CATALOG - DRY '!E2685,"AAAAAHPzvqY=")</f>
        <v>#VALUE!</v>
      </c>
      <c r="FL123" t="e">
        <f>AND('STERLING CATALOG - DRY '!F2685,"AAAAAHPzvqc=")</f>
        <v>#VALUE!</v>
      </c>
      <c r="FM123" t="e">
        <f>AND('STERLING CATALOG - DRY '!G2685,"AAAAAHPzvqg=")</f>
        <v>#VALUE!</v>
      </c>
      <c r="FN123" t="e">
        <f>AND('STERLING CATALOG - DRY '!H2685,"AAAAAHPzvqk=")</f>
        <v>#VALUE!</v>
      </c>
      <c r="FO123" t="e">
        <f>AND('STERLING CATALOG - DRY '!I2685,"AAAAAHPzvqo=")</f>
        <v>#VALUE!</v>
      </c>
      <c r="FP123" t="e">
        <f>AND('STERLING CATALOG - DRY '!J2685,"AAAAAHPzvqs=")</f>
        <v>#VALUE!</v>
      </c>
      <c r="FQ123">
        <f>IF('STERLING CATALOG - DRY '!2686:2686,"AAAAAHPzvqw=",0)</f>
        <v>0</v>
      </c>
      <c r="FR123" t="e">
        <f>AND('STERLING CATALOG - DRY '!A2686,"AAAAAHPzvq0=")</f>
        <v>#VALUE!</v>
      </c>
      <c r="FS123" t="e">
        <f>AND('STERLING CATALOG - DRY '!B2686,"AAAAAHPzvq4=")</f>
        <v>#VALUE!</v>
      </c>
      <c r="FT123" t="e">
        <f>AND('STERLING CATALOG - DRY '!C2686,"AAAAAHPzvq8=")</f>
        <v>#VALUE!</v>
      </c>
      <c r="FU123" t="e">
        <f>AND('STERLING CATALOG - DRY '!D2686,"AAAAAHPzvrA=")</f>
        <v>#VALUE!</v>
      </c>
      <c r="FV123" t="e">
        <f>AND('STERLING CATALOG - DRY '!E2686,"AAAAAHPzvrE=")</f>
        <v>#VALUE!</v>
      </c>
      <c r="FW123" t="e">
        <f>AND('STERLING CATALOG - DRY '!F2686,"AAAAAHPzvrI=")</f>
        <v>#VALUE!</v>
      </c>
      <c r="FX123" t="e">
        <f>AND('STERLING CATALOG - DRY '!G2686,"AAAAAHPzvrM=")</f>
        <v>#VALUE!</v>
      </c>
      <c r="FY123" t="e">
        <f>AND('STERLING CATALOG - DRY '!H2686,"AAAAAHPzvrQ=")</f>
        <v>#VALUE!</v>
      </c>
      <c r="FZ123" t="e">
        <f>AND('STERLING CATALOG - DRY '!I2686,"AAAAAHPzvrU=")</f>
        <v>#VALUE!</v>
      </c>
      <c r="GA123" t="e">
        <f>AND('STERLING CATALOG - DRY '!J2686,"AAAAAHPzvrY=")</f>
        <v>#VALUE!</v>
      </c>
      <c r="GB123">
        <f>IF('STERLING CATALOG - DRY '!2687:2687,"AAAAAHPzvrc=",0)</f>
        <v>0</v>
      </c>
      <c r="GC123" t="e">
        <f>AND('STERLING CATALOG - DRY '!A2687,"AAAAAHPzvrg=")</f>
        <v>#VALUE!</v>
      </c>
      <c r="GD123" t="e">
        <f>AND('STERLING CATALOG - DRY '!B2687,"AAAAAHPzvrk=")</f>
        <v>#VALUE!</v>
      </c>
      <c r="GE123" t="e">
        <f>AND('STERLING CATALOG - DRY '!C2687,"AAAAAHPzvro=")</f>
        <v>#VALUE!</v>
      </c>
      <c r="GF123" t="e">
        <f>AND('STERLING CATALOG - DRY '!D2687,"AAAAAHPzvrs=")</f>
        <v>#VALUE!</v>
      </c>
      <c r="GG123" t="e">
        <f>AND('STERLING CATALOG - DRY '!E2687,"AAAAAHPzvrw=")</f>
        <v>#VALUE!</v>
      </c>
      <c r="GH123" t="e">
        <f>AND('STERLING CATALOG - DRY '!F2687,"AAAAAHPzvr0=")</f>
        <v>#VALUE!</v>
      </c>
      <c r="GI123" t="e">
        <f>AND('STERLING CATALOG - DRY '!G2687,"AAAAAHPzvr4=")</f>
        <v>#VALUE!</v>
      </c>
      <c r="GJ123" t="e">
        <f>AND('STERLING CATALOG - DRY '!H2687,"AAAAAHPzvr8=")</f>
        <v>#VALUE!</v>
      </c>
      <c r="GK123" t="e">
        <f>AND('STERLING CATALOG - DRY '!I2687,"AAAAAHPzvsA=")</f>
        <v>#VALUE!</v>
      </c>
      <c r="GL123" t="e">
        <f>AND('STERLING CATALOG - DRY '!J2687,"AAAAAHPzvsE=")</f>
        <v>#VALUE!</v>
      </c>
      <c r="GM123">
        <f>IF('STERLING CATALOG - DRY '!2688:2688,"AAAAAHPzvsI=",0)</f>
        <v>0</v>
      </c>
      <c r="GN123" t="e">
        <f>AND('STERLING CATALOG - DRY '!A2688,"AAAAAHPzvsM=")</f>
        <v>#VALUE!</v>
      </c>
      <c r="GO123" t="e">
        <f>AND('STERLING CATALOG - DRY '!B2688,"AAAAAHPzvsQ=")</f>
        <v>#VALUE!</v>
      </c>
      <c r="GP123" t="e">
        <f>AND('STERLING CATALOG - DRY '!C2688,"AAAAAHPzvsU=")</f>
        <v>#VALUE!</v>
      </c>
      <c r="GQ123" t="e">
        <f>AND('STERLING CATALOG - DRY '!D2688,"AAAAAHPzvsY=")</f>
        <v>#VALUE!</v>
      </c>
      <c r="GR123" t="e">
        <f>AND('STERLING CATALOG - DRY '!E2688,"AAAAAHPzvsc=")</f>
        <v>#VALUE!</v>
      </c>
      <c r="GS123" t="e">
        <f>AND('STERLING CATALOG - DRY '!F2688,"AAAAAHPzvsg=")</f>
        <v>#VALUE!</v>
      </c>
      <c r="GT123" t="e">
        <f>AND('STERLING CATALOG - DRY '!G2688,"AAAAAHPzvsk=")</f>
        <v>#VALUE!</v>
      </c>
      <c r="GU123" t="e">
        <f>AND('STERLING CATALOG - DRY '!H2688,"AAAAAHPzvso=")</f>
        <v>#VALUE!</v>
      </c>
      <c r="GV123" t="e">
        <f>AND('STERLING CATALOG - DRY '!I2688,"AAAAAHPzvss=")</f>
        <v>#VALUE!</v>
      </c>
      <c r="GW123" t="e">
        <f>AND('STERLING CATALOG - DRY '!J2688,"AAAAAHPzvsw=")</f>
        <v>#VALUE!</v>
      </c>
      <c r="GX123">
        <f>IF('STERLING CATALOG - DRY '!2689:2689,"AAAAAHPzvs0=",0)</f>
        <v>0</v>
      </c>
      <c r="GY123" t="e">
        <f>AND('STERLING CATALOG - DRY '!A2689,"AAAAAHPzvs4=")</f>
        <v>#VALUE!</v>
      </c>
      <c r="GZ123" t="e">
        <f>AND('STERLING CATALOG - DRY '!B2689,"AAAAAHPzvs8=")</f>
        <v>#VALUE!</v>
      </c>
      <c r="HA123" t="e">
        <f>AND('STERLING CATALOG - DRY '!C2689,"AAAAAHPzvtA=")</f>
        <v>#VALUE!</v>
      </c>
      <c r="HB123" t="e">
        <f>AND('STERLING CATALOG - DRY '!D2689,"AAAAAHPzvtE=")</f>
        <v>#VALUE!</v>
      </c>
      <c r="HC123" t="e">
        <f>AND('STERLING CATALOG - DRY '!E2689,"AAAAAHPzvtI=")</f>
        <v>#VALUE!</v>
      </c>
      <c r="HD123" t="e">
        <f>AND('STERLING CATALOG - DRY '!F2689,"AAAAAHPzvtM=")</f>
        <v>#VALUE!</v>
      </c>
      <c r="HE123" t="e">
        <f>AND('STERLING CATALOG - DRY '!G2689,"AAAAAHPzvtQ=")</f>
        <v>#VALUE!</v>
      </c>
      <c r="HF123" t="e">
        <f>AND('STERLING CATALOG - DRY '!H2689,"AAAAAHPzvtU=")</f>
        <v>#VALUE!</v>
      </c>
      <c r="HG123" t="e">
        <f>AND('STERLING CATALOG - DRY '!I2689,"AAAAAHPzvtY=")</f>
        <v>#VALUE!</v>
      </c>
      <c r="HH123" t="e">
        <f>AND('STERLING CATALOG - DRY '!J2689,"AAAAAHPzvtc=")</f>
        <v>#VALUE!</v>
      </c>
      <c r="HI123">
        <f>IF('STERLING CATALOG - DRY '!2690:2690,"AAAAAHPzvtg=",0)</f>
        <v>0</v>
      </c>
      <c r="HJ123" t="e">
        <f>AND('STERLING CATALOG - DRY '!A2690,"AAAAAHPzvtk=")</f>
        <v>#VALUE!</v>
      </c>
      <c r="HK123" t="e">
        <f>AND('STERLING CATALOG - DRY '!B2690,"AAAAAHPzvto=")</f>
        <v>#VALUE!</v>
      </c>
      <c r="HL123" t="e">
        <f>AND('STERLING CATALOG - DRY '!C2690,"AAAAAHPzvts=")</f>
        <v>#VALUE!</v>
      </c>
      <c r="HM123" t="e">
        <f>AND('STERLING CATALOG - DRY '!D2690,"AAAAAHPzvtw=")</f>
        <v>#VALUE!</v>
      </c>
      <c r="HN123" t="e">
        <f>AND('STERLING CATALOG - DRY '!E2690,"AAAAAHPzvt0=")</f>
        <v>#VALUE!</v>
      </c>
      <c r="HO123" t="e">
        <f>AND('STERLING CATALOG - DRY '!F2690,"AAAAAHPzvt4=")</f>
        <v>#VALUE!</v>
      </c>
      <c r="HP123" t="e">
        <f>AND('STERLING CATALOG - DRY '!G2690,"AAAAAHPzvt8=")</f>
        <v>#VALUE!</v>
      </c>
      <c r="HQ123" t="e">
        <f>AND('STERLING CATALOG - DRY '!H2690,"AAAAAHPzvuA=")</f>
        <v>#VALUE!</v>
      </c>
      <c r="HR123" t="e">
        <f>AND('STERLING CATALOG - DRY '!I2690,"AAAAAHPzvuE=")</f>
        <v>#VALUE!</v>
      </c>
      <c r="HS123" t="e">
        <f>AND('STERLING CATALOG - DRY '!J2690,"AAAAAHPzvuI=")</f>
        <v>#VALUE!</v>
      </c>
      <c r="HT123">
        <f>IF('STERLING CATALOG - DRY '!2691:2691,"AAAAAHPzvuM=",0)</f>
        <v>0</v>
      </c>
      <c r="HU123" t="e">
        <f>AND('STERLING CATALOG - DRY '!A2691,"AAAAAHPzvuQ=")</f>
        <v>#VALUE!</v>
      </c>
      <c r="HV123" t="e">
        <f>AND('STERLING CATALOG - DRY '!B2691,"AAAAAHPzvuU=")</f>
        <v>#VALUE!</v>
      </c>
      <c r="HW123" t="e">
        <f>AND('STERLING CATALOG - DRY '!C2691,"AAAAAHPzvuY=")</f>
        <v>#VALUE!</v>
      </c>
      <c r="HX123" t="e">
        <f>AND('STERLING CATALOG - DRY '!D2691,"AAAAAHPzvuc=")</f>
        <v>#VALUE!</v>
      </c>
      <c r="HY123" t="e">
        <f>AND('STERLING CATALOG - DRY '!E2691,"AAAAAHPzvug=")</f>
        <v>#VALUE!</v>
      </c>
      <c r="HZ123" t="e">
        <f>AND('STERLING CATALOG - DRY '!F2691,"AAAAAHPzvuk=")</f>
        <v>#VALUE!</v>
      </c>
      <c r="IA123" t="e">
        <f>AND('STERLING CATALOG - DRY '!G2691,"AAAAAHPzvuo=")</f>
        <v>#VALUE!</v>
      </c>
      <c r="IB123" t="e">
        <f>AND('STERLING CATALOG - DRY '!H2691,"AAAAAHPzvus=")</f>
        <v>#VALUE!</v>
      </c>
      <c r="IC123" t="e">
        <f>AND('STERLING CATALOG - DRY '!I2691,"AAAAAHPzvuw=")</f>
        <v>#VALUE!</v>
      </c>
      <c r="ID123" t="e">
        <f>AND('STERLING CATALOG - DRY '!J2691,"AAAAAHPzvu0=")</f>
        <v>#VALUE!</v>
      </c>
      <c r="IE123">
        <f>IF('STERLING CATALOG - DRY '!2692:2692,"AAAAAHPzvu4=",0)</f>
        <v>0</v>
      </c>
      <c r="IF123" t="e">
        <f>AND('STERLING CATALOG - DRY '!A2692,"AAAAAHPzvu8=")</f>
        <v>#VALUE!</v>
      </c>
      <c r="IG123" t="e">
        <f>AND('STERLING CATALOG - DRY '!B2692,"AAAAAHPzvvA=")</f>
        <v>#VALUE!</v>
      </c>
      <c r="IH123" t="e">
        <f>AND('STERLING CATALOG - DRY '!C2692,"AAAAAHPzvvE=")</f>
        <v>#VALUE!</v>
      </c>
      <c r="II123" t="e">
        <f>AND('STERLING CATALOG - DRY '!D2692,"AAAAAHPzvvI=")</f>
        <v>#VALUE!</v>
      </c>
      <c r="IJ123" t="e">
        <f>AND('STERLING CATALOG - DRY '!E2692,"AAAAAHPzvvM=")</f>
        <v>#VALUE!</v>
      </c>
      <c r="IK123" t="e">
        <f>AND('STERLING CATALOG - DRY '!F2692,"AAAAAHPzvvQ=")</f>
        <v>#VALUE!</v>
      </c>
      <c r="IL123" t="e">
        <f>AND('STERLING CATALOG - DRY '!G2692,"AAAAAHPzvvU=")</f>
        <v>#VALUE!</v>
      </c>
      <c r="IM123" t="e">
        <f>AND('STERLING CATALOG - DRY '!H2692,"AAAAAHPzvvY=")</f>
        <v>#VALUE!</v>
      </c>
      <c r="IN123" t="e">
        <f>AND('STERLING CATALOG - DRY '!I2692,"AAAAAHPzvvc=")</f>
        <v>#VALUE!</v>
      </c>
      <c r="IO123" t="e">
        <f>AND('STERLING CATALOG - DRY '!J2692,"AAAAAHPzvvg=")</f>
        <v>#VALUE!</v>
      </c>
      <c r="IP123">
        <f>IF('STERLING CATALOG - DRY '!2693:2693,"AAAAAHPzvvk=",0)</f>
        <v>0</v>
      </c>
      <c r="IQ123" t="e">
        <f>AND('STERLING CATALOG - DRY '!A2693,"AAAAAHPzvvo=")</f>
        <v>#VALUE!</v>
      </c>
      <c r="IR123" t="e">
        <f>AND('STERLING CATALOG - DRY '!B2693,"AAAAAHPzvvs=")</f>
        <v>#VALUE!</v>
      </c>
      <c r="IS123" t="e">
        <f>AND('STERLING CATALOG - DRY '!C2693,"AAAAAHPzvvw=")</f>
        <v>#VALUE!</v>
      </c>
      <c r="IT123" t="e">
        <f>AND('STERLING CATALOG - DRY '!D2693,"AAAAAHPzvv0=")</f>
        <v>#VALUE!</v>
      </c>
      <c r="IU123" t="e">
        <f>AND('STERLING CATALOG - DRY '!E2693,"AAAAAHPzvv4=")</f>
        <v>#VALUE!</v>
      </c>
      <c r="IV123" t="e">
        <f>AND('STERLING CATALOG - DRY '!F2693,"AAAAAHPzvv8=")</f>
        <v>#VALUE!</v>
      </c>
    </row>
    <row r="124" spans="1:256">
      <c r="A124" t="e">
        <f>AND('STERLING CATALOG - DRY '!G2693,"AAAAAFP//wA=")</f>
        <v>#VALUE!</v>
      </c>
      <c r="B124" t="e">
        <f>AND('STERLING CATALOG - DRY '!H2693,"AAAAAFP//wE=")</f>
        <v>#VALUE!</v>
      </c>
      <c r="C124" t="e">
        <f>AND('STERLING CATALOG - DRY '!I2693,"AAAAAFP//wI=")</f>
        <v>#VALUE!</v>
      </c>
      <c r="D124" t="e">
        <f>AND('STERLING CATALOG - DRY '!J2693,"AAAAAFP//wM=")</f>
        <v>#VALUE!</v>
      </c>
      <c r="E124" t="e">
        <f>IF('STERLING CATALOG - DRY '!2694:2694,"AAAAAFP//wQ=",0)</f>
        <v>#VALUE!</v>
      </c>
      <c r="F124" t="e">
        <f>AND('STERLING CATALOG - DRY '!A2694,"AAAAAFP//wU=")</f>
        <v>#VALUE!</v>
      </c>
      <c r="G124" t="e">
        <f>AND('STERLING CATALOG - DRY '!B2694,"AAAAAFP//wY=")</f>
        <v>#VALUE!</v>
      </c>
      <c r="H124" t="e">
        <f>AND('STERLING CATALOG - DRY '!C2694,"AAAAAFP//wc=")</f>
        <v>#VALUE!</v>
      </c>
      <c r="I124" t="e">
        <f>AND('STERLING CATALOG - DRY '!D2694,"AAAAAFP//wg=")</f>
        <v>#VALUE!</v>
      </c>
      <c r="J124" t="e">
        <f>AND('STERLING CATALOG - DRY '!E2694,"AAAAAFP//wk=")</f>
        <v>#VALUE!</v>
      </c>
      <c r="K124" t="e">
        <f>AND('STERLING CATALOG - DRY '!F2694,"AAAAAFP//wo=")</f>
        <v>#VALUE!</v>
      </c>
      <c r="L124" t="e">
        <f>AND('STERLING CATALOG - DRY '!G2694,"AAAAAFP//ws=")</f>
        <v>#VALUE!</v>
      </c>
      <c r="M124" t="e">
        <f>AND('STERLING CATALOG - DRY '!H2694,"AAAAAFP//ww=")</f>
        <v>#VALUE!</v>
      </c>
      <c r="N124" t="e">
        <f>AND('STERLING CATALOG - DRY '!I2694,"AAAAAFP//w0=")</f>
        <v>#VALUE!</v>
      </c>
      <c r="O124" t="e">
        <f>AND('STERLING CATALOG - DRY '!J2694,"AAAAAFP//w4=")</f>
        <v>#VALUE!</v>
      </c>
      <c r="P124">
        <f>IF('STERLING CATALOG - DRY '!2695:2695,"AAAAAFP//w8=",0)</f>
        <v>0</v>
      </c>
      <c r="Q124" t="e">
        <f>AND('STERLING CATALOG - DRY '!A2695,"AAAAAFP//xA=")</f>
        <v>#VALUE!</v>
      </c>
      <c r="R124" t="e">
        <f>AND('STERLING CATALOG - DRY '!B2695,"AAAAAFP//xE=")</f>
        <v>#VALUE!</v>
      </c>
      <c r="S124" t="e">
        <f>AND('STERLING CATALOG - DRY '!C2695,"AAAAAFP//xI=")</f>
        <v>#VALUE!</v>
      </c>
      <c r="T124" t="e">
        <f>AND('STERLING CATALOG - DRY '!D2695,"AAAAAFP//xM=")</f>
        <v>#VALUE!</v>
      </c>
      <c r="U124" t="e">
        <f>AND('STERLING CATALOG - DRY '!E2695,"AAAAAFP//xQ=")</f>
        <v>#VALUE!</v>
      </c>
      <c r="V124" t="e">
        <f>AND('STERLING CATALOG - DRY '!F2695,"AAAAAFP//xU=")</f>
        <v>#VALUE!</v>
      </c>
      <c r="W124" t="e">
        <f>AND('STERLING CATALOG - DRY '!G2695,"AAAAAFP//xY=")</f>
        <v>#VALUE!</v>
      </c>
      <c r="X124" t="e">
        <f>AND('STERLING CATALOG - DRY '!H2695,"AAAAAFP//xc=")</f>
        <v>#VALUE!</v>
      </c>
      <c r="Y124" t="e">
        <f>AND('STERLING CATALOG - DRY '!I2695,"AAAAAFP//xg=")</f>
        <v>#VALUE!</v>
      </c>
      <c r="Z124" t="e">
        <f>AND('STERLING CATALOG - DRY '!J2695,"AAAAAFP//xk=")</f>
        <v>#VALUE!</v>
      </c>
      <c r="AA124">
        <f>IF('STERLING CATALOG - DRY '!2696:2696,"AAAAAFP//xo=",0)</f>
        <v>0</v>
      </c>
      <c r="AB124" t="e">
        <f>AND('STERLING CATALOG - DRY '!A2696,"AAAAAFP//xs=")</f>
        <v>#VALUE!</v>
      </c>
      <c r="AC124" t="e">
        <f>AND('STERLING CATALOG - DRY '!B2696,"AAAAAFP//xw=")</f>
        <v>#VALUE!</v>
      </c>
      <c r="AD124" t="e">
        <f>AND('STERLING CATALOG - DRY '!C2696,"AAAAAFP//x0=")</f>
        <v>#VALUE!</v>
      </c>
      <c r="AE124" t="e">
        <f>AND('STERLING CATALOG - DRY '!D2696,"AAAAAFP//x4=")</f>
        <v>#VALUE!</v>
      </c>
      <c r="AF124" t="e">
        <f>AND('STERLING CATALOG - DRY '!E2696,"AAAAAFP//x8=")</f>
        <v>#VALUE!</v>
      </c>
      <c r="AG124" t="e">
        <f>AND('STERLING CATALOG - DRY '!F2696,"AAAAAFP//yA=")</f>
        <v>#VALUE!</v>
      </c>
      <c r="AH124" t="e">
        <f>AND('STERLING CATALOG - DRY '!G2696,"AAAAAFP//yE=")</f>
        <v>#VALUE!</v>
      </c>
      <c r="AI124" t="e">
        <f>AND('STERLING CATALOG - DRY '!H2696,"AAAAAFP//yI=")</f>
        <v>#VALUE!</v>
      </c>
      <c r="AJ124" t="e">
        <f>AND('STERLING CATALOG - DRY '!I2696,"AAAAAFP//yM=")</f>
        <v>#VALUE!</v>
      </c>
      <c r="AK124" t="e">
        <f>AND('STERLING CATALOG - DRY '!J2696,"AAAAAFP//yQ=")</f>
        <v>#VALUE!</v>
      </c>
      <c r="AL124">
        <f>IF('STERLING CATALOG - DRY '!2697:2697,"AAAAAFP//yU=",0)</f>
        <v>0</v>
      </c>
      <c r="AM124" t="e">
        <f>AND('STERLING CATALOG - DRY '!A2697,"AAAAAFP//yY=")</f>
        <v>#VALUE!</v>
      </c>
      <c r="AN124" t="e">
        <f>AND('STERLING CATALOG - DRY '!B2697,"AAAAAFP//yc=")</f>
        <v>#VALUE!</v>
      </c>
      <c r="AO124" t="e">
        <f>AND('STERLING CATALOG - DRY '!C2697,"AAAAAFP//yg=")</f>
        <v>#VALUE!</v>
      </c>
      <c r="AP124" t="e">
        <f>AND('STERLING CATALOG - DRY '!D2697,"AAAAAFP//yk=")</f>
        <v>#VALUE!</v>
      </c>
      <c r="AQ124" t="e">
        <f>AND('STERLING CATALOG - DRY '!E2697,"AAAAAFP//yo=")</f>
        <v>#VALUE!</v>
      </c>
      <c r="AR124" t="e">
        <f>AND('STERLING CATALOG - DRY '!F2697,"AAAAAFP//ys=")</f>
        <v>#VALUE!</v>
      </c>
      <c r="AS124" t="e">
        <f>AND('STERLING CATALOG - DRY '!G2697,"AAAAAFP//yw=")</f>
        <v>#VALUE!</v>
      </c>
      <c r="AT124" t="e">
        <f>AND('STERLING CATALOG - DRY '!H2697,"AAAAAFP//y0=")</f>
        <v>#VALUE!</v>
      </c>
      <c r="AU124" t="e">
        <f>AND('STERLING CATALOG - DRY '!I2697,"AAAAAFP//y4=")</f>
        <v>#VALUE!</v>
      </c>
      <c r="AV124" t="e">
        <f>AND('STERLING CATALOG - DRY '!J2697,"AAAAAFP//y8=")</f>
        <v>#VALUE!</v>
      </c>
      <c r="AW124">
        <f>IF('STERLING CATALOG - DRY '!2698:2698,"AAAAAFP//zA=",0)</f>
        <v>0</v>
      </c>
      <c r="AX124" t="e">
        <f>AND('STERLING CATALOG - DRY '!A2698,"AAAAAFP//zE=")</f>
        <v>#VALUE!</v>
      </c>
      <c r="AY124" t="e">
        <f>AND('STERLING CATALOG - DRY '!B2698,"AAAAAFP//zI=")</f>
        <v>#VALUE!</v>
      </c>
      <c r="AZ124" t="e">
        <f>AND('STERLING CATALOG - DRY '!C2698,"AAAAAFP//zM=")</f>
        <v>#VALUE!</v>
      </c>
      <c r="BA124" t="e">
        <f>AND('STERLING CATALOG - DRY '!D2698,"AAAAAFP//zQ=")</f>
        <v>#VALUE!</v>
      </c>
      <c r="BB124" t="e">
        <f>AND('STERLING CATALOG - DRY '!E2698,"AAAAAFP//zU=")</f>
        <v>#VALUE!</v>
      </c>
      <c r="BC124" t="e">
        <f>AND('STERLING CATALOG - DRY '!F2698,"AAAAAFP//zY=")</f>
        <v>#VALUE!</v>
      </c>
      <c r="BD124" t="e">
        <f>AND('STERLING CATALOG - DRY '!G2698,"AAAAAFP//zc=")</f>
        <v>#VALUE!</v>
      </c>
      <c r="BE124" t="e">
        <f>AND('STERLING CATALOG - DRY '!H2698,"AAAAAFP//zg=")</f>
        <v>#VALUE!</v>
      </c>
      <c r="BF124" t="e">
        <f>AND('STERLING CATALOG - DRY '!I2698,"AAAAAFP//zk=")</f>
        <v>#VALUE!</v>
      </c>
      <c r="BG124" t="e">
        <f>AND('STERLING CATALOG - DRY '!J2698,"AAAAAFP//zo=")</f>
        <v>#VALUE!</v>
      </c>
      <c r="BH124">
        <f>IF('STERLING CATALOG - DRY '!2699:2699,"AAAAAFP//zs=",0)</f>
        <v>0</v>
      </c>
      <c r="BI124" t="e">
        <f>AND('STERLING CATALOG - DRY '!A2699,"AAAAAFP//zw=")</f>
        <v>#VALUE!</v>
      </c>
      <c r="BJ124" t="e">
        <f>AND('STERLING CATALOG - DRY '!B2699,"AAAAAFP//z0=")</f>
        <v>#VALUE!</v>
      </c>
      <c r="BK124" t="e">
        <f>AND('STERLING CATALOG - DRY '!C2699,"AAAAAFP//z4=")</f>
        <v>#VALUE!</v>
      </c>
      <c r="BL124" t="e">
        <f>AND('STERLING CATALOG - DRY '!D2699,"AAAAAFP//z8=")</f>
        <v>#VALUE!</v>
      </c>
      <c r="BM124" t="e">
        <f>AND('STERLING CATALOG - DRY '!E2699,"AAAAAFP//0A=")</f>
        <v>#VALUE!</v>
      </c>
      <c r="BN124" t="e">
        <f>AND('STERLING CATALOG - DRY '!F2699,"AAAAAFP//0E=")</f>
        <v>#VALUE!</v>
      </c>
      <c r="BO124" t="e">
        <f>AND('STERLING CATALOG - DRY '!G2699,"AAAAAFP//0I=")</f>
        <v>#VALUE!</v>
      </c>
      <c r="BP124" t="e">
        <f>AND('STERLING CATALOG - DRY '!H2699,"AAAAAFP//0M=")</f>
        <v>#VALUE!</v>
      </c>
      <c r="BQ124" t="e">
        <f>AND('STERLING CATALOG - DRY '!I2699,"AAAAAFP//0Q=")</f>
        <v>#VALUE!</v>
      </c>
      <c r="BR124" t="e">
        <f>AND('STERLING CATALOG - DRY '!J2699,"AAAAAFP//0U=")</f>
        <v>#VALUE!</v>
      </c>
      <c r="BS124">
        <f>IF('STERLING CATALOG - DRY '!2700:2700,"AAAAAFP//0Y=",0)</f>
        <v>0</v>
      </c>
      <c r="BT124" t="e">
        <f>AND('STERLING CATALOG - DRY '!A2700,"AAAAAFP//0c=")</f>
        <v>#VALUE!</v>
      </c>
      <c r="BU124" t="e">
        <f>AND('STERLING CATALOG - DRY '!B2700,"AAAAAFP//0g=")</f>
        <v>#VALUE!</v>
      </c>
      <c r="BV124" t="e">
        <f>AND('STERLING CATALOG - DRY '!C2700,"AAAAAFP//0k=")</f>
        <v>#VALUE!</v>
      </c>
      <c r="BW124" t="e">
        <f>AND('STERLING CATALOG - DRY '!D2700,"AAAAAFP//0o=")</f>
        <v>#VALUE!</v>
      </c>
      <c r="BX124" t="e">
        <f>AND('STERLING CATALOG - DRY '!E2700,"AAAAAFP//0s=")</f>
        <v>#VALUE!</v>
      </c>
      <c r="BY124" t="e">
        <f>AND('STERLING CATALOG - DRY '!F2700,"AAAAAFP//0w=")</f>
        <v>#VALUE!</v>
      </c>
      <c r="BZ124" t="e">
        <f>AND('STERLING CATALOG - DRY '!G2700,"AAAAAFP//00=")</f>
        <v>#VALUE!</v>
      </c>
      <c r="CA124" t="e">
        <f>AND('STERLING CATALOG - DRY '!H2700,"AAAAAFP//04=")</f>
        <v>#VALUE!</v>
      </c>
      <c r="CB124" t="e">
        <f>AND('STERLING CATALOG - DRY '!I2700,"AAAAAFP//08=")</f>
        <v>#VALUE!</v>
      </c>
      <c r="CC124" t="e">
        <f>AND('STERLING CATALOG - DRY '!J2700,"AAAAAFP//1A=")</f>
        <v>#VALUE!</v>
      </c>
      <c r="CD124">
        <f>IF('STERLING CATALOG - DRY '!2701:2701,"AAAAAFP//1E=",0)</f>
        <v>0</v>
      </c>
      <c r="CE124" t="e">
        <f>AND('STERLING CATALOG - DRY '!A2701,"AAAAAFP//1I=")</f>
        <v>#VALUE!</v>
      </c>
      <c r="CF124" t="e">
        <f>AND('STERLING CATALOG - DRY '!B2701,"AAAAAFP//1M=")</f>
        <v>#VALUE!</v>
      </c>
      <c r="CG124" t="e">
        <f>AND('STERLING CATALOG - DRY '!C2701,"AAAAAFP//1Q=")</f>
        <v>#VALUE!</v>
      </c>
      <c r="CH124" t="e">
        <f>AND('STERLING CATALOG - DRY '!D2701,"AAAAAFP//1U=")</f>
        <v>#VALUE!</v>
      </c>
      <c r="CI124" t="e">
        <f>AND('STERLING CATALOG - DRY '!E2701,"AAAAAFP//1Y=")</f>
        <v>#VALUE!</v>
      </c>
      <c r="CJ124" t="e">
        <f>AND('STERLING CATALOG - DRY '!F2701,"AAAAAFP//1c=")</f>
        <v>#VALUE!</v>
      </c>
      <c r="CK124" t="e">
        <f>AND('STERLING CATALOG - DRY '!G2701,"AAAAAFP//1g=")</f>
        <v>#VALUE!</v>
      </c>
      <c r="CL124" t="e">
        <f>AND('STERLING CATALOG - DRY '!H2701,"AAAAAFP//1k=")</f>
        <v>#VALUE!</v>
      </c>
      <c r="CM124" t="e">
        <f>AND('STERLING CATALOG - DRY '!I2701,"AAAAAFP//1o=")</f>
        <v>#VALUE!</v>
      </c>
      <c r="CN124" t="e">
        <f>AND('STERLING CATALOG - DRY '!J2701,"AAAAAFP//1s=")</f>
        <v>#VALUE!</v>
      </c>
      <c r="CO124">
        <f>IF('STERLING CATALOG - DRY '!2702:2702,"AAAAAFP//1w=",0)</f>
        <v>0</v>
      </c>
      <c r="CP124" t="e">
        <f>AND('STERLING CATALOG - DRY '!A2702,"AAAAAFP//10=")</f>
        <v>#VALUE!</v>
      </c>
      <c r="CQ124" t="e">
        <f>AND('STERLING CATALOG - DRY '!B2702,"AAAAAFP//14=")</f>
        <v>#VALUE!</v>
      </c>
      <c r="CR124" t="e">
        <f>AND('STERLING CATALOG - DRY '!C2702,"AAAAAFP//18=")</f>
        <v>#VALUE!</v>
      </c>
      <c r="CS124" t="e">
        <f>AND('STERLING CATALOG - DRY '!D2702,"AAAAAFP//2A=")</f>
        <v>#VALUE!</v>
      </c>
      <c r="CT124" t="e">
        <f>AND('STERLING CATALOG - DRY '!E2702,"AAAAAFP//2E=")</f>
        <v>#VALUE!</v>
      </c>
      <c r="CU124" t="e">
        <f>AND('STERLING CATALOG - DRY '!F2702,"AAAAAFP//2I=")</f>
        <v>#VALUE!</v>
      </c>
      <c r="CV124" t="e">
        <f>AND('STERLING CATALOG - DRY '!G2702,"AAAAAFP//2M=")</f>
        <v>#VALUE!</v>
      </c>
      <c r="CW124" t="e">
        <f>AND('STERLING CATALOG - DRY '!H2702,"AAAAAFP//2Q=")</f>
        <v>#VALUE!</v>
      </c>
      <c r="CX124" t="e">
        <f>AND('STERLING CATALOG - DRY '!I2702,"AAAAAFP//2U=")</f>
        <v>#VALUE!</v>
      </c>
      <c r="CY124" t="e">
        <f>AND('STERLING CATALOG - DRY '!J2702,"AAAAAFP//2Y=")</f>
        <v>#VALUE!</v>
      </c>
      <c r="CZ124">
        <f>IF('STERLING CATALOG - DRY '!2703:2703,"AAAAAFP//2c=",0)</f>
        <v>0</v>
      </c>
      <c r="DA124" t="e">
        <f>AND('STERLING CATALOG - DRY '!A2703,"AAAAAFP//2g=")</f>
        <v>#VALUE!</v>
      </c>
      <c r="DB124" t="e">
        <f>AND('STERLING CATALOG - DRY '!B2703,"AAAAAFP//2k=")</f>
        <v>#VALUE!</v>
      </c>
      <c r="DC124" t="e">
        <f>AND('STERLING CATALOG - DRY '!C2703,"AAAAAFP//2o=")</f>
        <v>#VALUE!</v>
      </c>
      <c r="DD124" t="e">
        <f>AND('STERLING CATALOG - DRY '!D2703,"AAAAAFP//2s=")</f>
        <v>#VALUE!</v>
      </c>
      <c r="DE124" t="e">
        <f>AND('STERLING CATALOG - DRY '!E2703,"AAAAAFP//2w=")</f>
        <v>#VALUE!</v>
      </c>
      <c r="DF124" t="e">
        <f>AND('STERLING CATALOG - DRY '!F2703,"AAAAAFP//20=")</f>
        <v>#VALUE!</v>
      </c>
      <c r="DG124" t="e">
        <f>AND('STERLING CATALOG - DRY '!G2703,"AAAAAFP//24=")</f>
        <v>#VALUE!</v>
      </c>
      <c r="DH124" t="e">
        <f>AND('STERLING CATALOG - DRY '!H2703,"AAAAAFP//28=")</f>
        <v>#VALUE!</v>
      </c>
      <c r="DI124" t="e">
        <f>AND('STERLING CATALOG - DRY '!I2703,"AAAAAFP//3A=")</f>
        <v>#VALUE!</v>
      </c>
      <c r="DJ124" t="e">
        <f>AND('STERLING CATALOG - DRY '!J2703,"AAAAAFP//3E=")</f>
        <v>#VALUE!</v>
      </c>
      <c r="DK124">
        <f>IF('STERLING CATALOG - DRY '!2704:2704,"AAAAAFP//3I=",0)</f>
        <v>0</v>
      </c>
      <c r="DL124" t="e">
        <f>AND('STERLING CATALOG - DRY '!A2704,"AAAAAFP//3M=")</f>
        <v>#VALUE!</v>
      </c>
      <c r="DM124" t="e">
        <f>AND('STERLING CATALOG - DRY '!B2704,"AAAAAFP//3Q=")</f>
        <v>#VALUE!</v>
      </c>
      <c r="DN124" t="e">
        <f>AND('STERLING CATALOG - DRY '!C2704,"AAAAAFP//3U=")</f>
        <v>#VALUE!</v>
      </c>
      <c r="DO124" t="e">
        <f>AND('STERLING CATALOG - DRY '!D2704,"AAAAAFP//3Y=")</f>
        <v>#VALUE!</v>
      </c>
      <c r="DP124" t="e">
        <f>AND('STERLING CATALOG - DRY '!E2704,"AAAAAFP//3c=")</f>
        <v>#VALUE!</v>
      </c>
      <c r="DQ124" t="e">
        <f>AND('STERLING CATALOG - DRY '!F2704,"AAAAAFP//3g=")</f>
        <v>#VALUE!</v>
      </c>
      <c r="DR124" t="e">
        <f>AND('STERLING CATALOG - DRY '!G2704,"AAAAAFP//3k=")</f>
        <v>#VALUE!</v>
      </c>
      <c r="DS124" t="e">
        <f>AND('STERLING CATALOG - DRY '!H2704,"AAAAAFP//3o=")</f>
        <v>#VALUE!</v>
      </c>
      <c r="DT124" t="e">
        <f>AND('STERLING CATALOG - DRY '!I2704,"AAAAAFP//3s=")</f>
        <v>#VALUE!</v>
      </c>
      <c r="DU124" t="e">
        <f>AND('STERLING CATALOG - DRY '!J2704,"AAAAAFP//3w=")</f>
        <v>#VALUE!</v>
      </c>
      <c r="DV124">
        <f>IF('STERLING CATALOG - DRY '!2705:2705,"AAAAAFP//30=",0)</f>
        <v>0</v>
      </c>
      <c r="DW124" t="e">
        <f>AND('STERLING CATALOG - DRY '!A2705,"AAAAAFP//34=")</f>
        <v>#VALUE!</v>
      </c>
      <c r="DX124" t="e">
        <f>AND('STERLING CATALOG - DRY '!B2705,"AAAAAFP//38=")</f>
        <v>#VALUE!</v>
      </c>
      <c r="DY124" t="e">
        <f>AND('STERLING CATALOG - DRY '!C2705,"AAAAAFP//4A=")</f>
        <v>#VALUE!</v>
      </c>
      <c r="DZ124" t="e">
        <f>AND('STERLING CATALOG - DRY '!D2705,"AAAAAFP//4E=")</f>
        <v>#VALUE!</v>
      </c>
      <c r="EA124" t="e">
        <f>AND('STERLING CATALOG - DRY '!E2705,"AAAAAFP//4I=")</f>
        <v>#VALUE!</v>
      </c>
      <c r="EB124" t="e">
        <f>AND('STERLING CATALOG - DRY '!F2705,"AAAAAFP//4M=")</f>
        <v>#VALUE!</v>
      </c>
      <c r="EC124" t="e">
        <f>AND('STERLING CATALOG - DRY '!G2705,"AAAAAFP//4Q=")</f>
        <v>#VALUE!</v>
      </c>
      <c r="ED124" t="e">
        <f>AND('STERLING CATALOG - DRY '!H2705,"AAAAAFP//4U=")</f>
        <v>#VALUE!</v>
      </c>
      <c r="EE124" t="e">
        <f>AND('STERLING CATALOG - DRY '!I2705,"AAAAAFP//4Y=")</f>
        <v>#VALUE!</v>
      </c>
      <c r="EF124" t="e">
        <f>AND('STERLING CATALOG - DRY '!J2705,"AAAAAFP//4c=")</f>
        <v>#VALUE!</v>
      </c>
      <c r="EG124">
        <f>IF('STERLING CATALOG - DRY '!2706:2706,"AAAAAFP//4g=",0)</f>
        <v>0</v>
      </c>
      <c r="EH124" t="e">
        <f>AND('STERLING CATALOG - DRY '!A2706,"AAAAAFP//4k=")</f>
        <v>#VALUE!</v>
      </c>
      <c r="EI124" t="e">
        <f>AND('STERLING CATALOG - DRY '!B2706,"AAAAAFP//4o=")</f>
        <v>#VALUE!</v>
      </c>
      <c r="EJ124" t="e">
        <f>AND('STERLING CATALOG - DRY '!C2706,"AAAAAFP//4s=")</f>
        <v>#VALUE!</v>
      </c>
      <c r="EK124" t="e">
        <f>AND('STERLING CATALOG - DRY '!D2706,"AAAAAFP//4w=")</f>
        <v>#VALUE!</v>
      </c>
      <c r="EL124" t="e">
        <f>AND('STERLING CATALOG - DRY '!E2706,"AAAAAFP//40=")</f>
        <v>#VALUE!</v>
      </c>
      <c r="EM124" t="e">
        <f>AND('STERLING CATALOG - DRY '!F2706,"AAAAAFP//44=")</f>
        <v>#VALUE!</v>
      </c>
      <c r="EN124" t="e">
        <f>AND('STERLING CATALOG - DRY '!G2706,"AAAAAFP//48=")</f>
        <v>#VALUE!</v>
      </c>
      <c r="EO124" t="e">
        <f>AND('STERLING CATALOG - DRY '!H2706,"AAAAAFP//5A=")</f>
        <v>#VALUE!</v>
      </c>
      <c r="EP124" t="e">
        <f>AND('STERLING CATALOG - DRY '!I2706,"AAAAAFP//5E=")</f>
        <v>#VALUE!</v>
      </c>
      <c r="EQ124" t="e">
        <f>AND('STERLING CATALOG - DRY '!J2706,"AAAAAFP//5I=")</f>
        <v>#VALUE!</v>
      </c>
      <c r="ER124">
        <f>IF('STERLING CATALOG - DRY '!2707:2707,"AAAAAFP//5M=",0)</f>
        <v>0</v>
      </c>
      <c r="ES124" t="e">
        <f>AND('STERLING CATALOG - DRY '!A2707,"AAAAAFP//5Q=")</f>
        <v>#VALUE!</v>
      </c>
      <c r="ET124" t="e">
        <f>AND('STERLING CATALOG - DRY '!B2707,"AAAAAFP//5U=")</f>
        <v>#VALUE!</v>
      </c>
      <c r="EU124" t="e">
        <f>AND('STERLING CATALOG - DRY '!C2707,"AAAAAFP//5Y=")</f>
        <v>#VALUE!</v>
      </c>
      <c r="EV124" t="e">
        <f>AND('STERLING CATALOG - DRY '!D2707,"AAAAAFP//5c=")</f>
        <v>#VALUE!</v>
      </c>
      <c r="EW124" t="e">
        <f>AND('STERLING CATALOG - DRY '!E2707,"AAAAAFP//5g=")</f>
        <v>#VALUE!</v>
      </c>
      <c r="EX124" t="e">
        <f>AND('STERLING CATALOG - DRY '!F2707,"AAAAAFP//5k=")</f>
        <v>#VALUE!</v>
      </c>
      <c r="EY124" t="e">
        <f>AND('STERLING CATALOG - DRY '!G2707,"AAAAAFP//5o=")</f>
        <v>#VALUE!</v>
      </c>
      <c r="EZ124" t="e">
        <f>AND('STERLING CATALOG - DRY '!H2707,"AAAAAFP//5s=")</f>
        <v>#VALUE!</v>
      </c>
      <c r="FA124" t="e">
        <f>AND('STERLING CATALOG - DRY '!I2707,"AAAAAFP//5w=")</f>
        <v>#VALUE!</v>
      </c>
      <c r="FB124" t="e">
        <f>AND('STERLING CATALOG - DRY '!J2707,"AAAAAFP//50=")</f>
        <v>#VALUE!</v>
      </c>
      <c r="FC124">
        <f>IF('STERLING CATALOG - DRY '!2708:2708,"AAAAAFP//54=",0)</f>
        <v>0</v>
      </c>
      <c r="FD124" t="e">
        <f>AND('STERLING CATALOG - DRY '!A2708,"AAAAAFP//58=")</f>
        <v>#VALUE!</v>
      </c>
      <c r="FE124" t="e">
        <f>AND('STERLING CATALOG - DRY '!B2708,"AAAAAFP//6A=")</f>
        <v>#VALUE!</v>
      </c>
      <c r="FF124" t="e">
        <f>AND('STERLING CATALOG - DRY '!C2708,"AAAAAFP//6E=")</f>
        <v>#VALUE!</v>
      </c>
      <c r="FG124" t="e">
        <f>AND('STERLING CATALOG - DRY '!D2708,"AAAAAFP//6I=")</f>
        <v>#VALUE!</v>
      </c>
      <c r="FH124" t="e">
        <f>AND('STERLING CATALOG - DRY '!E2708,"AAAAAFP//6M=")</f>
        <v>#VALUE!</v>
      </c>
      <c r="FI124" t="e">
        <f>AND('STERLING CATALOG - DRY '!F2708,"AAAAAFP//6Q=")</f>
        <v>#VALUE!</v>
      </c>
      <c r="FJ124" t="e">
        <f>AND('STERLING CATALOG - DRY '!G2708,"AAAAAFP//6U=")</f>
        <v>#VALUE!</v>
      </c>
      <c r="FK124" t="e">
        <f>AND('STERLING CATALOG - DRY '!H2708,"AAAAAFP//6Y=")</f>
        <v>#VALUE!</v>
      </c>
      <c r="FL124" t="e">
        <f>AND('STERLING CATALOG - DRY '!I2708,"AAAAAFP//6c=")</f>
        <v>#VALUE!</v>
      </c>
      <c r="FM124" t="e">
        <f>AND('STERLING CATALOG - DRY '!J2708,"AAAAAFP//6g=")</f>
        <v>#VALUE!</v>
      </c>
      <c r="FN124">
        <f>IF('STERLING CATALOG - DRY '!2709:2709,"AAAAAFP//6k=",0)</f>
        <v>0</v>
      </c>
      <c r="FO124" t="e">
        <f>AND('STERLING CATALOG - DRY '!A2709,"AAAAAFP//6o=")</f>
        <v>#VALUE!</v>
      </c>
      <c r="FP124" t="e">
        <f>AND('STERLING CATALOG - DRY '!B2709,"AAAAAFP//6s=")</f>
        <v>#VALUE!</v>
      </c>
      <c r="FQ124" t="e">
        <f>AND('STERLING CATALOG - DRY '!C2709,"AAAAAFP//6w=")</f>
        <v>#VALUE!</v>
      </c>
      <c r="FR124" t="e">
        <f>AND('STERLING CATALOG - DRY '!D2709,"AAAAAFP//60=")</f>
        <v>#VALUE!</v>
      </c>
      <c r="FS124" t="e">
        <f>AND('STERLING CATALOG - DRY '!E2709,"AAAAAFP//64=")</f>
        <v>#VALUE!</v>
      </c>
      <c r="FT124" t="e">
        <f>AND('STERLING CATALOG - DRY '!F2709,"AAAAAFP//68=")</f>
        <v>#VALUE!</v>
      </c>
      <c r="FU124" t="e">
        <f>AND('STERLING CATALOG - DRY '!G2709,"AAAAAFP//7A=")</f>
        <v>#VALUE!</v>
      </c>
      <c r="FV124" t="e">
        <f>AND('STERLING CATALOG - DRY '!H2709,"AAAAAFP//7E=")</f>
        <v>#VALUE!</v>
      </c>
      <c r="FW124" t="e">
        <f>AND('STERLING CATALOG - DRY '!I2709,"AAAAAFP//7I=")</f>
        <v>#VALUE!</v>
      </c>
      <c r="FX124" t="e">
        <f>AND('STERLING CATALOG - DRY '!J2709,"AAAAAFP//7M=")</f>
        <v>#VALUE!</v>
      </c>
      <c r="FY124">
        <f>IF('STERLING CATALOG - DRY '!2710:2710,"AAAAAFP//7Q=",0)</f>
        <v>0</v>
      </c>
      <c r="FZ124" t="e">
        <f>AND('STERLING CATALOG - DRY '!A2710,"AAAAAFP//7U=")</f>
        <v>#VALUE!</v>
      </c>
      <c r="GA124" t="e">
        <f>AND('STERLING CATALOG - DRY '!B2710,"AAAAAFP//7Y=")</f>
        <v>#VALUE!</v>
      </c>
      <c r="GB124" t="e">
        <f>AND('STERLING CATALOG - DRY '!C2710,"AAAAAFP//7c=")</f>
        <v>#VALUE!</v>
      </c>
      <c r="GC124" t="e">
        <f>AND('STERLING CATALOG - DRY '!D2710,"AAAAAFP//7g=")</f>
        <v>#VALUE!</v>
      </c>
      <c r="GD124" t="e">
        <f>AND('STERLING CATALOG - DRY '!E2710,"AAAAAFP//7k=")</f>
        <v>#VALUE!</v>
      </c>
      <c r="GE124" t="e">
        <f>AND('STERLING CATALOG - DRY '!F2710,"AAAAAFP//7o=")</f>
        <v>#VALUE!</v>
      </c>
      <c r="GF124" t="e">
        <f>AND('STERLING CATALOG - DRY '!G2710,"AAAAAFP//7s=")</f>
        <v>#VALUE!</v>
      </c>
      <c r="GG124" t="e">
        <f>AND('STERLING CATALOG - DRY '!H2710,"AAAAAFP//7w=")</f>
        <v>#VALUE!</v>
      </c>
      <c r="GH124" t="e">
        <f>AND('STERLING CATALOG - DRY '!I2710,"AAAAAFP//70=")</f>
        <v>#VALUE!</v>
      </c>
      <c r="GI124" t="e">
        <f>AND('STERLING CATALOG - DRY '!J2710,"AAAAAFP//74=")</f>
        <v>#VALUE!</v>
      </c>
      <c r="GJ124">
        <f>IF('STERLING CATALOG - DRY '!2711:2711,"AAAAAFP//78=",0)</f>
        <v>0</v>
      </c>
      <c r="GK124" t="e">
        <f>AND('STERLING CATALOG - DRY '!A2711,"AAAAAFP//8A=")</f>
        <v>#VALUE!</v>
      </c>
      <c r="GL124" t="e">
        <f>AND('STERLING CATALOG - DRY '!B2711,"AAAAAFP//8E=")</f>
        <v>#VALUE!</v>
      </c>
      <c r="GM124" t="e">
        <f>AND('STERLING CATALOG - DRY '!C2711,"AAAAAFP//8I=")</f>
        <v>#VALUE!</v>
      </c>
      <c r="GN124" t="e">
        <f>AND('STERLING CATALOG - DRY '!D2711,"AAAAAFP//8M=")</f>
        <v>#VALUE!</v>
      </c>
      <c r="GO124" t="e">
        <f>AND('STERLING CATALOG - DRY '!E2711,"AAAAAFP//8Q=")</f>
        <v>#VALUE!</v>
      </c>
      <c r="GP124" t="e">
        <f>AND('STERLING CATALOG - DRY '!F2711,"AAAAAFP//8U=")</f>
        <v>#VALUE!</v>
      </c>
      <c r="GQ124" t="e">
        <f>AND('STERLING CATALOG - DRY '!G2711,"AAAAAFP//8Y=")</f>
        <v>#VALUE!</v>
      </c>
      <c r="GR124" t="e">
        <f>AND('STERLING CATALOG - DRY '!H2711,"AAAAAFP//8c=")</f>
        <v>#VALUE!</v>
      </c>
      <c r="GS124" t="e">
        <f>AND('STERLING CATALOG - DRY '!I2711,"AAAAAFP//8g=")</f>
        <v>#VALUE!</v>
      </c>
      <c r="GT124" t="e">
        <f>AND('STERLING CATALOG - DRY '!J2711,"AAAAAFP//8k=")</f>
        <v>#VALUE!</v>
      </c>
      <c r="GU124">
        <f>IF('STERLING CATALOG - DRY '!2712:2712,"AAAAAFP//8o=",0)</f>
        <v>0</v>
      </c>
      <c r="GV124" t="e">
        <f>AND('STERLING CATALOG - DRY '!A2712,"AAAAAFP//8s=")</f>
        <v>#VALUE!</v>
      </c>
      <c r="GW124" t="e">
        <f>AND('STERLING CATALOG - DRY '!B2712,"AAAAAFP//8w=")</f>
        <v>#VALUE!</v>
      </c>
      <c r="GX124" t="e">
        <f>AND('STERLING CATALOG - DRY '!C2712,"AAAAAFP//80=")</f>
        <v>#VALUE!</v>
      </c>
      <c r="GY124" t="e">
        <f>AND('STERLING CATALOG - DRY '!D2712,"AAAAAFP//84=")</f>
        <v>#VALUE!</v>
      </c>
      <c r="GZ124" t="e">
        <f>AND('STERLING CATALOG - DRY '!E2712,"AAAAAFP//88=")</f>
        <v>#VALUE!</v>
      </c>
      <c r="HA124" t="e">
        <f>AND('STERLING CATALOG - DRY '!F2712,"AAAAAFP//9A=")</f>
        <v>#VALUE!</v>
      </c>
      <c r="HB124" t="e">
        <f>AND('STERLING CATALOG - DRY '!G2712,"AAAAAFP//9E=")</f>
        <v>#VALUE!</v>
      </c>
      <c r="HC124" t="e">
        <f>AND('STERLING CATALOG - DRY '!H2712,"AAAAAFP//9I=")</f>
        <v>#VALUE!</v>
      </c>
      <c r="HD124" t="e">
        <f>AND('STERLING CATALOG - DRY '!I2712,"AAAAAFP//9M=")</f>
        <v>#VALUE!</v>
      </c>
      <c r="HE124" t="e">
        <f>AND('STERLING CATALOG - DRY '!J2712,"AAAAAFP//9Q=")</f>
        <v>#VALUE!</v>
      </c>
      <c r="HF124">
        <f>IF('STERLING CATALOG - DRY '!2713:2713,"AAAAAFP//9U=",0)</f>
        <v>0</v>
      </c>
      <c r="HG124" t="e">
        <f>AND('STERLING CATALOG - DRY '!A2713,"AAAAAFP//9Y=")</f>
        <v>#VALUE!</v>
      </c>
      <c r="HH124" t="e">
        <f>AND('STERLING CATALOG - DRY '!B2713,"AAAAAFP//9c=")</f>
        <v>#VALUE!</v>
      </c>
      <c r="HI124" t="e">
        <f>AND('STERLING CATALOG - DRY '!C2713,"AAAAAFP//9g=")</f>
        <v>#VALUE!</v>
      </c>
      <c r="HJ124" t="e">
        <f>AND('STERLING CATALOG - DRY '!D2713,"AAAAAFP//9k=")</f>
        <v>#VALUE!</v>
      </c>
      <c r="HK124" t="e">
        <f>AND('STERLING CATALOG - DRY '!E2713,"AAAAAFP//9o=")</f>
        <v>#VALUE!</v>
      </c>
      <c r="HL124" t="e">
        <f>AND('STERLING CATALOG - DRY '!F2713,"AAAAAFP//9s=")</f>
        <v>#VALUE!</v>
      </c>
      <c r="HM124" t="e">
        <f>AND('STERLING CATALOG - DRY '!G2713,"AAAAAFP//9w=")</f>
        <v>#VALUE!</v>
      </c>
      <c r="HN124" t="e">
        <f>AND('STERLING CATALOG - DRY '!H2713,"AAAAAFP//90=")</f>
        <v>#VALUE!</v>
      </c>
      <c r="HO124" t="e">
        <f>AND('STERLING CATALOG - DRY '!I2713,"AAAAAFP//94=")</f>
        <v>#VALUE!</v>
      </c>
      <c r="HP124" t="e">
        <f>AND('STERLING CATALOG - DRY '!J2713,"AAAAAFP//98=")</f>
        <v>#VALUE!</v>
      </c>
      <c r="HQ124">
        <f>IF('STERLING CATALOG - DRY '!2714:2714,"AAAAAFP//+A=",0)</f>
        <v>0</v>
      </c>
      <c r="HR124" t="e">
        <f>AND('STERLING CATALOG - DRY '!A2714,"AAAAAFP//+E=")</f>
        <v>#VALUE!</v>
      </c>
      <c r="HS124" t="e">
        <f>AND('STERLING CATALOG - DRY '!B2714,"AAAAAFP//+I=")</f>
        <v>#VALUE!</v>
      </c>
      <c r="HT124" t="e">
        <f>AND('STERLING CATALOG - DRY '!C2714,"AAAAAFP//+M=")</f>
        <v>#VALUE!</v>
      </c>
      <c r="HU124" t="e">
        <f>AND('STERLING CATALOG - DRY '!D2714,"AAAAAFP//+Q=")</f>
        <v>#VALUE!</v>
      </c>
      <c r="HV124" t="e">
        <f>AND('STERLING CATALOG - DRY '!E2714,"AAAAAFP//+U=")</f>
        <v>#VALUE!</v>
      </c>
      <c r="HW124" t="e">
        <f>AND('STERLING CATALOG - DRY '!F2714,"AAAAAFP//+Y=")</f>
        <v>#VALUE!</v>
      </c>
      <c r="HX124" t="e">
        <f>AND('STERLING CATALOG - DRY '!G2714,"AAAAAFP//+c=")</f>
        <v>#VALUE!</v>
      </c>
      <c r="HY124" t="e">
        <f>AND('STERLING CATALOG - DRY '!H2714,"AAAAAFP//+g=")</f>
        <v>#VALUE!</v>
      </c>
      <c r="HZ124" t="e">
        <f>AND('STERLING CATALOG - DRY '!I2714,"AAAAAFP//+k=")</f>
        <v>#VALUE!</v>
      </c>
      <c r="IA124" t="e">
        <f>AND('STERLING CATALOG - DRY '!J2714,"AAAAAFP//+o=")</f>
        <v>#VALUE!</v>
      </c>
      <c r="IB124">
        <f>IF('STERLING CATALOG - DRY '!2715:2715,"AAAAAFP//+s=",0)</f>
        <v>0</v>
      </c>
      <c r="IC124" t="e">
        <f>AND('STERLING CATALOG - DRY '!A2715,"AAAAAFP//+w=")</f>
        <v>#VALUE!</v>
      </c>
      <c r="ID124" t="e">
        <f>AND('STERLING CATALOG - DRY '!B2715,"AAAAAFP//+0=")</f>
        <v>#VALUE!</v>
      </c>
      <c r="IE124" t="e">
        <f>AND('STERLING CATALOG - DRY '!C2715,"AAAAAFP//+4=")</f>
        <v>#VALUE!</v>
      </c>
      <c r="IF124" t="e">
        <f>AND('STERLING CATALOG - DRY '!D2715,"AAAAAFP//+8=")</f>
        <v>#VALUE!</v>
      </c>
      <c r="IG124" t="e">
        <f>AND('STERLING CATALOG - DRY '!E2715,"AAAAAFP///A=")</f>
        <v>#VALUE!</v>
      </c>
      <c r="IH124" t="e">
        <f>AND('STERLING CATALOG - DRY '!F2715,"AAAAAFP///E=")</f>
        <v>#VALUE!</v>
      </c>
      <c r="II124" t="e">
        <f>AND('STERLING CATALOG - DRY '!G2715,"AAAAAFP///I=")</f>
        <v>#VALUE!</v>
      </c>
      <c r="IJ124" t="e">
        <f>AND('STERLING CATALOG - DRY '!H2715,"AAAAAFP///M=")</f>
        <v>#VALUE!</v>
      </c>
      <c r="IK124" t="e">
        <f>AND('STERLING CATALOG - DRY '!I2715,"AAAAAFP///Q=")</f>
        <v>#VALUE!</v>
      </c>
      <c r="IL124" t="e">
        <f>AND('STERLING CATALOG - DRY '!J2715,"AAAAAFP///U=")</f>
        <v>#VALUE!</v>
      </c>
      <c r="IM124">
        <f>IF('STERLING CATALOG - DRY '!2716:2716,"AAAAAFP///Y=",0)</f>
        <v>0</v>
      </c>
      <c r="IN124" t="e">
        <f>AND('STERLING CATALOG - DRY '!A2716,"AAAAAFP///c=")</f>
        <v>#VALUE!</v>
      </c>
      <c r="IO124" t="e">
        <f>AND('STERLING CATALOG - DRY '!B2716,"AAAAAFP///g=")</f>
        <v>#VALUE!</v>
      </c>
      <c r="IP124" t="e">
        <f>AND('STERLING CATALOG - DRY '!C2716,"AAAAAFP///k=")</f>
        <v>#VALUE!</v>
      </c>
      <c r="IQ124" t="e">
        <f>AND('STERLING CATALOG - DRY '!D2716,"AAAAAFP///o=")</f>
        <v>#VALUE!</v>
      </c>
      <c r="IR124" t="e">
        <f>AND('STERLING CATALOG - DRY '!E2716,"AAAAAFP///s=")</f>
        <v>#VALUE!</v>
      </c>
      <c r="IS124" t="e">
        <f>AND('STERLING CATALOG - DRY '!F2716,"AAAAAFP///w=")</f>
        <v>#VALUE!</v>
      </c>
      <c r="IT124" t="e">
        <f>AND('STERLING CATALOG - DRY '!G2716,"AAAAAFP///0=")</f>
        <v>#VALUE!</v>
      </c>
      <c r="IU124" t="e">
        <f>AND('STERLING CATALOG - DRY '!H2716,"AAAAAFP///4=")</f>
        <v>#VALUE!</v>
      </c>
      <c r="IV124" t="e">
        <f>AND('STERLING CATALOG - DRY '!I2716,"AAAAAFP///8=")</f>
        <v>#VALUE!</v>
      </c>
    </row>
    <row r="125" spans="1:256">
      <c r="A125" t="e">
        <f>AND('STERLING CATALOG - DRY '!J2716,"AAAAAG9trwA=")</f>
        <v>#VALUE!</v>
      </c>
      <c r="B125" t="str">
        <f>IF('STERLING CATALOG - DRY '!2717:2717,"AAAAAG9trwE=",0)</f>
        <v>AAAAAG9trwE=</v>
      </c>
      <c r="C125" t="e">
        <f>AND('STERLING CATALOG - DRY '!A2717,"AAAAAG9trwI=")</f>
        <v>#VALUE!</v>
      </c>
      <c r="D125" t="e">
        <f>AND('STERLING CATALOG - DRY '!B2717,"AAAAAG9trwM=")</f>
        <v>#VALUE!</v>
      </c>
      <c r="E125" t="e">
        <f>AND('STERLING CATALOG - DRY '!C2717,"AAAAAG9trwQ=")</f>
        <v>#VALUE!</v>
      </c>
      <c r="F125" t="e">
        <f>AND('STERLING CATALOG - DRY '!D2717,"AAAAAG9trwU=")</f>
        <v>#VALUE!</v>
      </c>
      <c r="G125" t="e">
        <f>AND('STERLING CATALOG - DRY '!E2717,"AAAAAG9trwY=")</f>
        <v>#VALUE!</v>
      </c>
      <c r="H125" t="e">
        <f>AND('STERLING CATALOG - DRY '!F2717,"AAAAAG9trwc=")</f>
        <v>#VALUE!</v>
      </c>
      <c r="I125" t="e">
        <f>AND('STERLING CATALOG - DRY '!G2717,"AAAAAG9trwg=")</f>
        <v>#VALUE!</v>
      </c>
      <c r="J125" t="e">
        <f>AND('STERLING CATALOG - DRY '!H2717,"AAAAAG9trwk=")</f>
        <v>#VALUE!</v>
      </c>
      <c r="K125" t="e">
        <f>AND('STERLING CATALOG - DRY '!I2717,"AAAAAG9trwo=")</f>
        <v>#VALUE!</v>
      </c>
      <c r="L125" t="e">
        <f>AND('STERLING CATALOG - DRY '!J2717,"AAAAAG9trws=")</f>
        <v>#VALUE!</v>
      </c>
      <c r="M125">
        <f>IF('STERLING CATALOG - DRY '!2718:2718,"AAAAAG9trww=",0)</f>
        <v>0</v>
      </c>
      <c r="N125" t="e">
        <f>AND('STERLING CATALOG - DRY '!A2718,"AAAAAG9trw0=")</f>
        <v>#VALUE!</v>
      </c>
      <c r="O125" t="e">
        <f>AND('STERLING CATALOG - DRY '!B2718,"AAAAAG9trw4=")</f>
        <v>#VALUE!</v>
      </c>
      <c r="P125" t="e">
        <f>AND('STERLING CATALOG - DRY '!C2718,"AAAAAG9trw8=")</f>
        <v>#VALUE!</v>
      </c>
      <c r="Q125" t="e">
        <f>AND('STERLING CATALOG - DRY '!D2718,"AAAAAG9trxA=")</f>
        <v>#VALUE!</v>
      </c>
      <c r="R125" t="e">
        <f>AND('STERLING CATALOG - DRY '!E2718,"AAAAAG9trxE=")</f>
        <v>#VALUE!</v>
      </c>
      <c r="S125" t="e">
        <f>AND('STERLING CATALOG - DRY '!F2718,"AAAAAG9trxI=")</f>
        <v>#VALUE!</v>
      </c>
      <c r="T125" t="e">
        <f>AND('STERLING CATALOG - DRY '!G2718,"AAAAAG9trxM=")</f>
        <v>#VALUE!</v>
      </c>
      <c r="U125" t="e">
        <f>AND('STERLING CATALOG - DRY '!H2718,"AAAAAG9trxQ=")</f>
        <v>#VALUE!</v>
      </c>
      <c r="V125" t="e">
        <f>AND('STERLING CATALOG - DRY '!I2718,"AAAAAG9trxU=")</f>
        <v>#VALUE!</v>
      </c>
      <c r="W125" t="e">
        <f>AND('STERLING CATALOG - DRY '!J2718,"AAAAAG9trxY=")</f>
        <v>#VALUE!</v>
      </c>
      <c r="X125">
        <f>IF('STERLING CATALOG - DRY '!2719:2719,"AAAAAG9trxc=",0)</f>
        <v>0</v>
      </c>
      <c r="Y125" t="e">
        <f>AND('STERLING CATALOG - DRY '!A2719,"AAAAAG9trxg=")</f>
        <v>#VALUE!</v>
      </c>
      <c r="Z125" t="e">
        <f>AND('STERLING CATALOG - DRY '!B2719,"AAAAAG9trxk=")</f>
        <v>#VALUE!</v>
      </c>
      <c r="AA125" t="e">
        <f>AND('STERLING CATALOG - DRY '!C2719,"AAAAAG9trxo=")</f>
        <v>#VALUE!</v>
      </c>
      <c r="AB125" t="e">
        <f>AND('STERLING CATALOG - DRY '!D2719,"AAAAAG9trxs=")</f>
        <v>#VALUE!</v>
      </c>
      <c r="AC125" t="e">
        <f>AND('STERLING CATALOG - DRY '!E2719,"AAAAAG9trxw=")</f>
        <v>#VALUE!</v>
      </c>
      <c r="AD125" t="e">
        <f>AND('STERLING CATALOG - DRY '!F2719,"AAAAAG9trx0=")</f>
        <v>#VALUE!</v>
      </c>
      <c r="AE125" t="e">
        <f>AND('STERLING CATALOG - DRY '!G2719,"AAAAAG9trx4=")</f>
        <v>#VALUE!</v>
      </c>
      <c r="AF125" t="e">
        <f>AND('STERLING CATALOG - DRY '!H2719,"AAAAAG9trx8=")</f>
        <v>#VALUE!</v>
      </c>
      <c r="AG125" t="e">
        <f>AND('STERLING CATALOG - DRY '!I2719,"AAAAAG9tryA=")</f>
        <v>#VALUE!</v>
      </c>
      <c r="AH125" t="e">
        <f>AND('STERLING CATALOG - DRY '!J2719,"AAAAAG9tryE=")</f>
        <v>#VALUE!</v>
      </c>
      <c r="AI125">
        <f>IF('STERLING CATALOG - DRY '!2720:2720,"AAAAAG9tryI=",0)</f>
        <v>0</v>
      </c>
      <c r="AJ125" t="e">
        <f>AND('STERLING CATALOG - DRY '!A2720,"AAAAAG9tryM=")</f>
        <v>#VALUE!</v>
      </c>
      <c r="AK125" t="e">
        <f>AND('STERLING CATALOG - DRY '!B2720,"AAAAAG9tryQ=")</f>
        <v>#VALUE!</v>
      </c>
      <c r="AL125" t="e">
        <f>AND('STERLING CATALOG - DRY '!C2720,"AAAAAG9tryU=")</f>
        <v>#VALUE!</v>
      </c>
      <c r="AM125" t="e">
        <f>AND('STERLING CATALOG - DRY '!D2720,"AAAAAG9tryY=")</f>
        <v>#VALUE!</v>
      </c>
      <c r="AN125" t="e">
        <f>AND('STERLING CATALOG - DRY '!E2720,"AAAAAG9tryc=")</f>
        <v>#VALUE!</v>
      </c>
      <c r="AO125" t="e">
        <f>AND('STERLING CATALOG - DRY '!F2720,"AAAAAG9tryg=")</f>
        <v>#VALUE!</v>
      </c>
      <c r="AP125" t="e">
        <f>AND('STERLING CATALOG - DRY '!G2720,"AAAAAG9tryk=")</f>
        <v>#VALUE!</v>
      </c>
      <c r="AQ125" t="e">
        <f>AND('STERLING CATALOG - DRY '!H2720,"AAAAAG9tryo=")</f>
        <v>#VALUE!</v>
      </c>
      <c r="AR125" t="e">
        <f>AND('STERLING CATALOG - DRY '!I2720,"AAAAAG9trys=")</f>
        <v>#VALUE!</v>
      </c>
      <c r="AS125" t="e">
        <f>AND('STERLING CATALOG - DRY '!J2720,"AAAAAG9tryw=")</f>
        <v>#VALUE!</v>
      </c>
      <c r="AT125">
        <f>IF('STERLING CATALOG - DRY '!2721:2721,"AAAAAG9try0=",0)</f>
        <v>0</v>
      </c>
      <c r="AU125" t="e">
        <f>AND('STERLING CATALOG - DRY '!A2721,"AAAAAG9try4=")</f>
        <v>#VALUE!</v>
      </c>
      <c r="AV125" t="e">
        <f>AND('STERLING CATALOG - DRY '!B2721,"AAAAAG9try8=")</f>
        <v>#VALUE!</v>
      </c>
      <c r="AW125" t="e">
        <f>AND('STERLING CATALOG - DRY '!C2721,"AAAAAG9trzA=")</f>
        <v>#VALUE!</v>
      </c>
      <c r="AX125" t="e">
        <f>AND('STERLING CATALOG - DRY '!D2721,"AAAAAG9trzE=")</f>
        <v>#VALUE!</v>
      </c>
      <c r="AY125" t="e">
        <f>AND('STERLING CATALOG - DRY '!E2721,"AAAAAG9trzI=")</f>
        <v>#VALUE!</v>
      </c>
      <c r="AZ125" t="e">
        <f>AND('STERLING CATALOG - DRY '!F2721,"AAAAAG9trzM=")</f>
        <v>#VALUE!</v>
      </c>
      <c r="BA125" t="e">
        <f>AND('STERLING CATALOG - DRY '!G2721,"AAAAAG9trzQ=")</f>
        <v>#VALUE!</v>
      </c>
      <c r="BB125" t="e">
        <f>AND('STERLING CATALOG - DRY '!H2721,"AAAAAG9trzU=")</f>
        <v>#VALUE!</v>
      </c>
      <c r="BC125" t="e">
        <f>AND('STERLING CATALOG - DRY '!I2721,"AAAAAG9trzY=")</f>
        <v>#VALUE!</v>
      </c>
      <c r="BD125" t="e">
        <f>AND('STERLING CATALOG - DRY '!J2721,"AAAAAG9trzc=")</f>
        <v>#VALUE!</v>
      </c>
      <c r="BE125">
        <f>IF('STERLING CATALOG - DRY '!2722:2722,"AAAAAG9trzg=",0)</f>
        <v>0</v>
      </c>
      <c r="BF125" t="e">
        <f>AND('STERLING CATALOG - DRY '!A2722,"AAAAAG9trzk=")</f>
        <v>#VALUE!</v>
      </c>
      <c r="BG125" t="e">
        <f>AND('STERLING CATALOG - DRY '!B2722,"AAAAAG9trzo=")</f>
        <v>#VALUE!</v>
      </c>
      <c r="BH125" t="e">
        <f>AND('STERLING CATALOG - DRY '!C2722,"AAAAAG9trzs=")</f>
        <v>#VALUE!</v>
      </c>
      <c r="BI125" t="e">
        <f>AND('STERLING CATALOG - DRY '!D2722,"AAAAAG9trzw=")</f>
        <v>#VALUE!</v>
      </c>
      <c r="BJ125" t="e">
        <f>AND('STERLING CATALOG - DRY '!E2722,"AAAAAG9trz0=")</f>
        <v>#VALUE!</v>
      </c>
      <c r="BK125" t="e">
        <f>AND('STERLING CATALOG - DRY '!F2722,"AAAAAG9trz4=")</f>
        <v>#VALUE!</v>
      </c>
      <c r="BL125" t="e">
        <f>AND('STERLING CATALOG - DRY '!G2722,"AAAAAG9trz8=")</f>
        <v>#VALUE!</v>
      </c>
      <c r="BM125" t="e">
        <f>AND('STERLING CATALOG - DRY '!H2722,"AAAAAG9tr0A=")</f>
        <v>#VALUE!</v>
      </c>
      <c r="BN125" t="e">
        <f>AND('STERLING CATALOG - DRY '!I2722,"AAAAAG9tr0E=")</f>
        <v>#VALUE!</v>
      </c>
      <c r="BO125" t="e">
        <f>AND('STERLING CATALOG - DRY '!J2722,"AAAAAG9tr0I=")</f>
        <v>#VALUE!</v>
      </c>
      <c r="BP125">
        <f>IF('STERLING CATALOG - DRY '!2723:2723,"AAAAAG9tr0M=",0)</f>
        <v>0</v>
      </c>
      <c r="BQ125" t="e">
        <f>AND('STERLING CATALOG - DRY '!A2723,"AAAAAG9tr0Q=")</f>
        <v>#VALUE!</v>
      </c>
      <c r="BR125" t="e">
        <f>AND('STERLING CATALOG - DRY '!B2723,"AAAAAG9tr0U=")</f>
        <v>#VALUE!</v>
      </c>
      <c r="BS125" t="e">
        <f>AND('STERLING CATALOG - DRY '!C2723,"AAAAAG9tr0Y=")</f>
        <v>#VALUE!</v>
      </c>
      <c r="BT125" t="e">
        <f>AND('STERLING CATALOG - DRY '!D2723,"AAAAAG9tr0c=")</f>
        <v>#VALUE!</v>
      </c>
      <c r="BU125" t="e">
        <f>AND('STERLING CATALOG - DRY '!E2723,"AAAAAG9tr0g=")</f>
        <v>#VALUE!</v>
      </c>
      <c r="BV125" t="e">
        <f>AND('STERLING CATALOG - DRY '!F2723,"AAAAAG9tr0k=")</f>
        <v>#VALUE!</v>
      </c>
      <c r="BW125" t="e">
        <f>AND('STERLING CATALOG - DRY '!G2723,"AAAAAG9tr0o=")</f>
        <v>#VALUE!</v>
      </c>
      <c r="BX125" t="e">
        <f>AND('STERLING CATALOG - DRY '!H2723,"AAAAAG9tr0s=")</f>
        <v>#VALUE!</v>
      </c>
      <c r="BY125" t="e">
        <f>AND('STERLING CATALOG - DRY '!I2723,"AAAAAG9tr0w=")</f>
        <v>#VALUE!</v>
      </c>
      <c r="BZ125" t="e">
        <f>AND('STERLING CATALOG - DRY '!J2723,"AAAAAG9tr00=")</f>
        <v>#VALUE!</v>
      </c>
      <c r="CA125">
        <f>IF('STERLING CATALOG - DRY '!2724:2724,"AAAAAG9tr04=",0)</f>
        <v>0</v>
      </c>
      <c r="CB125" t="e">
        <f>AND('STERLING CATALOG - DRY '!A2724,"AAAAAG9tr08=")</f>
        <v>#VALUE!</v>
      </c>
      <c r="CC125" t="e">
        <f>AND('STERLING CATALOG - DRY '!B2724,"AAAAAG9tr1A=")</f>
        <v>#VALUE!</v>
      </c>
      <c r="CD125" t="e">
        <f>AND('STERLING CATALOG - DRY '!C2724,"AAAAAG9tr1E=")</f>
        <v>#VALUE!</v>
      </c>
      <c r="CE125" t="e">
        <f>AND('STERLING CATALOG - DRY '!D2724,"AAAAAG9tr1I=")</f>
        <v>#VALUE!</v>
      </c>
      <c r="CF125" t="e">
        <f>AND('STERLING CATALOG - DRY '!E2724,"AAAAAG9tr1M=")</f>
        <v>#VALUE!</v>
      </c>
      <c r="CG125" t="e">
        <f>AND('STERLING CATALOG - DRY '!F2724,"AAAAAG9tr1Q=")</f>
        <v>#VALUE!</v>
      </c>
      <c r="CH125" t="e">
        <f>AND('STERLING CATALOG - DRY '!G2724,"AAAAAG9tr1U=")</f>
        <v>#VALUE!</v>
      </c>
      <c r="CI125" t="e">
        <f>AND('STERLING CATALOG - DRY '!H2724,"AAAAAG9tr1Y=")</f>
        <v>#VALUE!</v>
      </c>
      <c r="CJ125" t="e">
        <f>AND('STERLING CATALOG - DRY '!I2724,"AAAAAG9tr1c=")</f>
        <v>#VALUE!</v>
      </c>
      <c r="CK125" t="e">
        <f>AND('STERLING CATALOG - DRY '!J2724,"AAAAAG9tr1g=")</f>
        <v>#VALUE!</v>
      </c>
      <c r="CL125">
        <f>IF('STERLING CATALOG - DRY '!2725:2725,"AAAAAG9tr1k=",0)</f>
        <v>0</v>
      </c>
      <c r="CM125" t="e">
        <f>AND('STERLING CATALOG - DRY '!A2725,"AAAAAG9tr1o=")</f>
        <v>#VALUE!</v>
      </c>
      <c r="CN125" t="e">
        <f>AND('STERLING CATALOG - DRY '!B2725,"AAAAAG9tr1s=")</f>
        <v>#VALUE!</v>
      </c>
      <c r="CO125" t="e">
        <f>AND('STERLING CATALOG - DRY '!C2725,"AAAAAG9tr1w=")</f>
        <v>#VALUE!</v>
      </c>
      <c r="CP125" t="e">
        <f>AND('STERLING CATALOG - DRY '!D2725,"AAAAAG9tr10=")</f>
        <v>#VALUE!</v>
      </c>
      <c r="CQ125" t="e">
        <f>AND('STERLING CATALOG - DRY '!E2725,"AAAAAG9tr14=")</f>
        <v>#VALUE!</v>
      </c>
      <c r="CR125" t="e">
        <f>AND('STERLING CATALOG - DRY '!F2725,"AAAAAG9tr18=")</f>
        <v>#VALUE!</v>
      </c>
      <c r="CS125" t="e">
        <f>AND('STERLING CATALOG - DRY '!G2725,"AAAAAG9tr2A=")</f>
        <v>#VALUE!</v>
      </c>
      <c r="CT125" t="e">
        <f>AND('STERLING CATALOG - DRY '!H2725,"AAAAAG9tr2E=")</f>
        <v>#VALUE!</v>
      </c>
      <c r="CU125" t="e">
        <f>AND('STERLING CATALOG - DRY '!I2725,"AAAAAG9tr2I=")</f>
        <v>#VALUE!</v>
      </c>
      <c r="CV125" t="e">
        <f>AND('STERLING CATALOG - DRY '!J2725,"AAAAAG9tr2M=")</f>
        <v>#VALUE!</v>
      </c>
      <c r="CW125">
        <f>IF('STERLING CATALOG - DRY '!2726:2726,"AAAAAG9tr2Q=",0)</f>
        <v>0</v>
      </c>
      <c r="CX125" t="e">
        <f>AND('STERLING CATALOG - DRY '!A2726,"AAAAAG9tr2U=")</f>
        <v>#VALUE!</v>
      </c>
      <c r="CY125" t="e">
        <f>AND('STERLING CATALOG - DRY '!B2726,"AAAAAG9tr2Y=")</f>
        <v>#VALUE!</v>
      </c>
      <c r="CZ125" t="e">
        <f>AND('STERLING CATALOG - DRY '!C2726,"AAAAAG9tr2c=")</f>
        <v>#VALUE!</v>
      </c>
      <c r="DA125" t="e">
        <f>AND('STERLING CATALOG - DRY '!D2726,"AAAAAG9tr2g=")</f>
        <v>#VALUE!</v>
      </c>
      <c r="DB125" t="e">
        <f>AND('STERLING CATALOG - DRY '!E2726,"AAAAAG9tr2k=")</f>
        <v>#VALUE!</v>
      </c>
      <c r="DC125" t="e">
        <f>AND('STERLING CATALOG - DRY '!F2726,"AAAAAG9tr2o=")</f>
        <v>#VALUE!</v>
      </c>
      <c r="DD125" t="e">
        <f>AND('STERLING CATALOG - DRY '!G2726,"AAAAAG9tr2s=")</f>
        <v>#VALUE!</v>
      </c>
      <c r="DE125" t="e">
        <f>AND('STERLING CATALOG - DRY '!H2726,"AAAAAG9tr2w=")</f>
        <v>#VALUE!</v>
      </c>
      <c r="DF125" t="e">
        <f>AND('STERLING CATALOG - DRY '!I2726,"AAAAAG9tr20=")</f>
        <v>#VALUE!</v>
      </c>
      <c r="DG125" t="e">
        <f>AND('STERLING CATALOG - DRY '!J2726,"AAAAAG9tr24=")</f>
        <v>#VALUE!</v>
      </c>
      <c r="DH125">
        <f>IF('STERLING CATALOG - DRY '!2727:2727,"AAAAAG9tr28=",0)</f>
        <v>0</v>
      </c>
      <c r="DI125" t="e">
        <f>AND('STERLING CATALOG - DRY '!A2727,"AAAAAG9tr3A=")</f>
        <v>#VALUE!</v>
      </c>
      <c r="DJ125" t="e">
        <f>AND('STERLING CATALOG - DRY '!B2727,"AAAAAG9tr3E=")</f>
        <v>#VALUE!</v>
      </c>
      <c r="DK125" t="e">
        <f>AND('STERLING CATALOG - DRY '!C2727,"AAAAAG9tr3I=")</f>
        <v>#VALUE!</v>
      </c>
      <c r="DL125" t="e">
        <f>AND('STERLING CATALOG - DRY '!D2727,"AAAAAG9tr3M=")</f>
        <v>#VALUE!</v>
      </c>
      <c r="DM125" t="e">
        <f>AND('STERLING CATALOG - DRY '!E2727,"AAAAAG9tr3Q=")</f>
        <v>#VALUE!</v>
      </c>
      <c r="DN125" t="e">
        <f>AND('STERLING CATALOG - DRY '!F2727,"AAAAAG9tr3U=")</f>
        <v>#VALUE!</v>
      </c>
      <c r="DO125" t="e">
        <f>AND('STERLING CATALOG - DRY '!G2727,"AAAAAG9tr3Y=")</f>
        <v>#VALUE!</v>
      </c>
      <c r="DP125" t="e">
        <f>AND('STERLING CATALOG - DRY '!H2727,"AAAAAG9tr3c=")</f>
        <v>#VALUE!</v>
      </c>
      <c r="DQ125" t="e">
        <f>AND('STERLING CATALOG - DRY '!I2727,"AAAAAG9tr3g=")</f>
        <v>#VALUE!</v>
      </c>
      <c r="DR125" t="e">
        <f>AND('STERLING CATALOG - DRY '!J2727,"AAAAAG9tr3k=")</f>
        <v>#VALUE!</v>
      </c>
      <c r="DS125">
        <f>IF('STERLING CATALOG - DRY '!2728:2728,"AAAAAG9tr3o=",0)</f>
        <v>0</v>
      </c>
      <c r="DT125" t="e">
        <f>AND('STERLING CATALOG - DRY '!A2728,"AAAAAG9tr3s=")</f>
        <v>#VALUE!</v>
      </c>
      <c r="DU125" t="e">
        <f>AND('STERLING CATALOG - DRY '!B2728,"AAAAAG9tr3w=")</f>
        <v>#VALUE!</v>
      </c>
      <c r="DV125" t="e">
        <f>AND('STERLING CATALOG - DRY '!C2728,"AAAAAG9tr30=")</f>
        <v>#VALUE!</v>
      </c>
      <c r="DW125" t="e">
        <f>AND('STERLING CATALOG - DRY '!D2728,"AAAAAG9tr34=")</f>
        <v>#VALUE!</v>
      </c>
      <c r="DX125" t="e">
        <f>AND('STERLING CATALOG - DRY '!E2728,"AAAAAG9tr38=")</f>
        <v>#VALUE!</v>
      </c>
      <c r="DY125" t="e">
        <f>AND('STERLING CATALOG - DRY '!F2728,"AAAAAG9tr4A=")</f>
        <v>#VALUE!</v>
      </c>
      <c r="DZ125" t="e">
        <f>AND('STERLING CATALOG - DRY '!G2728,"AAAAAG9tr4E=")</f>
        <v>#VALUE!</v>
      </c>
      <c r="EA125" t="e">
        <f>AND('STERLING CATALOG - DRY '!H2728,"AAAAAG9tr4I=")</f>
        <v>#VALUE!</v>
      </c>
      <c r="EB125" t="e">
        <f>AND('STERLING CATALOG - DRY '!I2728,"AAAAAG9tr4M=")</f>
        <v>#VALUE!</v>
      </c>
      <c r="EC125" t="e">
        <f>AND('STERLING CATALOG - DRY '!J2728,"AAAAAG9tr4Q=")</f>
        <v>#VALUE!</v>
      </c>
      <c r="ED125">
        <f>IF('STERLING CATALOG - DRY '!2729:2729,"AAAAAG9tr4U=",0)</f>
        <v>0</v>
      </c>
      <c r="EE125" t="e">
        <f>AND('STERLING CATALOG - DRY '!A2729,"AAAAAG9tr4Y=")</f>
        <v>#VALUE!</v>
      </c>
      <c r="EF125" t="e">
        <f>AND('STERLING CATALOG - DRY '!B2729,"AAAAAG9tr4c=")</f>
        <v>#VALUE!</v>
      </c>
      <c r="EG125" t="e">
        <f>AND('STERLING CATALOG - DRY '!C2729,"AAAAAG9tr4g=")</f>
        <v>#VALUE!</v>
      </c>
      <c r="EH125" t="e">
        <f>AND('STERLING CATALOG - DRY '!D2729,"AAAAAG9tr4k=")</f>
        <v>#VALUE!</v>
      </c>
      <c r="EI125" t="e">
        <f>AND('STERLING CATALOG - DRY '!E2729,"AAAAAG9tr4o=")</f>
        <v>#VALUE!</v>
      </c>
      <c r="EJ125" t="e">
        <f>AND('STERLING CATALOG - DRY '!F2729,"AAAAAG9tr4s=")</f>
        <v>#VALUE!</v>
      </c>
      <c r="EK125" t="e">
        <f>AND('STERLING CATALOG - DRY '!G2729,"AAAAAG9tr4w=")</f>
        <v>#VALUE!</v>
      </c>
      <c r="EL125" t="e">
        <f>AND('STERLING CATALOG - DRY '!H2729,"AAAAAG9tr40=")</f>
        <v>#VALUE!</v>
      </c>
      <c r="EM125" t="e">
        <f>AND('STERLING CATALOG - DRY '!I2729,"AAAAAG9tr44=")</f>
        <v>#VALUE!</v>
      </c>
      <c r="EN125" t="e">
        <f>AND('STERLING CATALOG - DRY '!J2729,"AAAAAG9tr48=")</f>
        <v>#VALUE!</v>
      </c>
      <c r="EO125">
        <f>IF('STERLING CATALOG - DRY '!2730:2730,"AAAAAG9tr5A=",0)</f>
        <v>0</v>
      </c>
      <c r="EP125" t="e">
        <f>AND('STERLING CATALOG - DRY '!A2730,"AAAAAG9tr5E=")</f>
        <v>#VALUE!</v>
      </c>
      <c r="EQ125" t="e">
        <f>AND('STERLING CATALOG - DRY '!B2730,"AAAAAG9tr5I=")</f>
        <v>#VALUE!</v>
      </c>
      <c r="ER125" t="e">
        <f>AND('STERLING CATALOG - DRY '!C2730,"AAAAAG9tr5M=")</f>
        <v>#VALUE!</v>
      </c>
      <c r="ES125" t="e">
        <f>AND('STERLING CATALOG - DRY '!D2730,"AAAAAG9tr5Q=")</f>
        <v>#VALUE!</v>
      </c>
      <c r="ET125" t="e">
        <f>AND('STERLING CATALOG - DRY '!E2730,"AAAAAG9tr5U=")</f>
        <v>#VALUE!</v>
      </c>
      <c r="EU125" t="e">
        <f>AND('STERLING CATALOG - DRY '!F2730,"AAAAAG9tr5Y=")</f>
        <v>#VALUE!</v>
      </c>
      <c r="EV125" t="e">
        <f>AND('STERLING CATALOG - DRY '!G2730,"AAAAAG9tr5c=")</f>
        <v>#VALUE!</v>
      </c>
      <c r="EW125" t="e">
        <f>AND('STERLING CATALOG - DRY '!H2730,"AAAAAG9tr5g=")</f>
        <v>#VALUE!</v>
      </c>
      <c r="EX125" t="e">
        <f>AND('STERLING CATALOG - DRY '!I2730,"AAAAAG9tr5k=")</f>
        <v>#VALUE!</v>
      </c>
      <c r="EY125" t="e">
        <f>AND('STERLING CATALOG - DRY '!J2730,"AAAAAG9tr5o=")</f>
        <v>#VALUE!</v>
      </c>
      <c r="EZ125">
        <f>IF('STERLING CATALOG - DRY '!2731:2731,"AAAAAG9tr5s=",0)</f>
        <v>0</v>
      </c>
      <c r="FA125" t="e">
        <f>AND('STERLING CATALOG - DRY '!A2731,"AAAAAG9tr5w=")</f>
        <v>#VALUE!</v>
      </c>
      <c r="FB125" t="e">
        <f>AND('STERLING CATALOG - DRY '!B2731,"AAAAAG9tr50=")</f>
        <v>#VALUE!</v>
      </c>
      <c r="FC125" t="e">
        <f>AND('STERLING CATALOG - DRY '!C2731,"AAAAAG9tr54=")</f>
        <v>#VALUE!</v>
      </c>
      <c r="FD125" t="e">
        <f>AND('STERLING CATALOG - DRY '!D2731,"AAAAAG9tr58=")</f>
        <v>#VALUE!</v>
      </c>
      <c r="FE125" t="e">
        <f>AND('STERLING CATALOG - DRY '!E2731,"AAAAAG9tr6A=")</f>
        <v>#VALUE!</v>
      </c>
      <c r="FF125" t="e">
        <f>AND('STERLING CATALOG - DRY '!F2731,"AAAAAG9tr6E=")</f>
        <v>#VALUE!</v>
      </c>
      <c r="FG125" t="e">
        <f>AND('STERLING CATALOG - DRY '!G2731,"AAAAAG9tr6I=")</f>
        <v>#VALUE!</v>
      </c>
      <c r="FH125" t="e">
        <f>AND('STERLING CATALOG - DRY '!H2731,"AAAAAG9tr6M=")</f>
        <v>#VALUE!</v>
      </c>
      <c r="FI125" t="e">
        <f>AND('STERLING CATALOG - DRY '!I2731,"AAAAAG9tr6Q=")</f>
        <v>#VALUE!</v>
      </c>
      <c r="FJ125" t="e">
        <f>AND('STERLING CATALOG - DRY '!J2731,"AAAAAG9tr6U=")</f>
        <v>#VALUE!</v>
      </c>
      <c r="FK125">
        <f>IF('STERLING CATALOG - DRY '!2732:2732,"AAAAAG9tr6Y=",0)</f>
        <v>0</v>
      </c>
      <c r="FL125" t="e">
        <f>AND('STERLING CATALOG - DRY '!A2732,"AAAAAG9tr6c=")</f>
        <v>#VALUE!</v>
      </c>
      <c r="FM125" t="e">
        <f>AND('STERLING CATALOG - DRY '!B2732,"AAAAAG9tr6g=")</f>
        <v>#VALUE!</v>
      </c>
      <c r="FN125" t="e">
        <f>AND('STERLING CATALOG - DRY '!C2732,"AAAAAG9tr6k=")</f>
        <v>#VALUE!</v>
      </c>
      <c r="FO125" t="e">
        <f>AND('STERLING CATALOG - DRY '!D2732,"AAAAAG9tr6o=")</f>
        <v>#VALUE!</v>
      </c>
      <c r="FP125" t="e">
        <f>AND('STERLING CATALOG - DRY '!E2732,"AAAAAG9tr6s=")</f>
        <v>#VALUE!</v>
      </c>
      <c r="FQ125" t="e">
        <f>AND('STERLING CATALOG - DRY '!F2732,"AAAAAG9tr6w=")</f>
        <v>#VALUE!</v>
      </c>
      <c r="FR125" t="e">
        <f>AND('STERLING CATALOG - DRY '!G2732,"AAAAAG9tr60=")</f>
        <v>#VALUE!</v>
      </c>
      <c r="FS125" t="e">
        <f>AND('STERLING CATALOG - DRY '!H2732,"AAAAAG9tr64=")</f>
        <v>#VALUE!</v>
      </c>
      <c r="FT125" t="e">
        <f>AND('STERLING CATALOG - DRY '!I2732,"AAAAAG9tr68=")</f>
        <v>#VALUE!</v>
      </c>
      <c r="FU125" t="e">
        <f>AND('STERLING CATALOG - DRY '!J2732,"AAAAAG9tr7A=")</f>
        <v>#VALUE!</v>
      </c>
      <c r="FV125">
        <f>IF('STERLING CATALOG - DRY '!2733:2733,"AAAAAG9tr7E=",0)</f>
        <v>0</v>
      </c>
      <c r="FW125" t="e">
        <f>AND('STERLING CATALOG - DRY '!A2733,"AAAAAG9tr7I=")</f>
        <v>#VALUE!</v>
      </c>
      <c r="FX125" t="e">
        <f>AND('STERLING CATALOG - DRY '!B2733,"AAAAAG9tr7M=")</f>
        <v>#VALUE!</v>
      </c>
      <c r="FY125" t="e">
        <f>AND('STERLING CATALOG - DRY '!C2733,"AAAAAG9tr7Q=")</f>
        <v>#VALUE!</v>
      </c>
      <c r="FZ125" t="e">
        <f>AND('STERLING CATALOG - DRY '!D2733,"AAAAAG9tr7U=")</f>
        <v>#VALUE!</v>
      </c>
      <c r="GA125" t="e">
        <f>AND('STERLING CATALOG - DRY '!E2733,"AAAAAG9tr7Y=")</f>
        <v>#VALUE!</v>
      </c>
      <c r="GB125" t="e">
        <f>AND('STERLING CATALOG - DRY '!F2733,"AAAAAG9tr7c=")</f>
        <v>#VALUE!</v>
      </c>
      <c r="GC125" t="e">
        <f>AND('STERLING CATALOG - DRY '!G2733,"AAAAAG9tr7g=")</f>
        <v>#VALUE!</v>
      </c>
      <c r="GD125" t="e">
        <f>AND('STERLING CATALOG - DRY '!H2733,"AAAAAG9tr7k=")</f>
        <v>#VALUE!</v>
      </c>
      <c r="GE125" t="e">
        <f>AND('STERLING CATALOG - DRY '!I2733,"AAAAAG9tr7o=")</f>
        <v>#VALUE!</v>
      </c>
      <c r="GF125" t="e">
        <f>AND('STERLING CATALOG - DRY '!J2733,"AAAAAG9tr7s=")</f>
        <v>#VALUE!</v>
      </c>
      <c r="GG125">
        <f>IF('STERLING CATALOG - DRY '!2734:2734,"AAAAAG9tr7w=",0)</f>
        <v>0</v>
      </c>
      <c r="GH125" t="e">
        <f>AND('STERLING CATALOG - DRY '!A2734,"AAAAAG9tr70=")</f>
        <v>#VALUE!</v>
      </c>
      <c r="GI125" t="e">
        <f>AND('STERLING CATALOG - DRY '!B2734,"AAAAAG9tr74=")</f>
        <v>#VALUE!</v>
      </c>
      <c r="GJ125" t="e">
        <f>AND('STERLING CATALOG - DRY '!C2734,"AAAAAG9tr78=")</f>
        <v>#VALUE!</v>
      </c>
      <c r="GK125" t="e">
        <f>AND('STERLING CATALOG - DRY '!D2734,"AAAAAG9tr8A=")</f>
        <v>#VALUE!</v>
      </c>
      <c r="GL125" t="e">
        <f>AND('STERLING CATALOG - DRY '!E2734,"AAAAAG9tr8E=")</f>
        <v>#VALUE!</v>
      </c>
      <c r="GM125" t="e">
        <f>AND('STERLING CATALOG - DRY '!F2734,"AAAAAG9tr8I=")</f>
        <v>#VALUE!</v>
      </c>
      <c r="GN125" t="e">
        <f>AND('STERLING CATALOG - DRY '!G2734,"AAAAAG9tr8M=")</f>
        <v>#VALUE!</v>
      </c>
      <c r="GO125" t="e">
        <f>AND('STERLING CATALOG - DRY '!H2734,"AAAAAG9tr8Q=")</f>
        <v>#VALUE!</v>
      </c>
      <c r="GP125" t="e">
        <f>AND('STERLING CATALOG - DRY '!I2734,"AAAAAG9tr8U=")</f>
        <v>#VALUE!</v>
      </c>
      <c r="GQ125" t="e">
        <f>AND('STERLING CATALOG - DRY '!J2734,"AAAAAG9tr8Y=")</f>
        <v>#VALUE!</v>
      </c>
      <c r="GR125">
        <f>IF('STERLING CATALOG - DRY '!2735:2735,"AAAAAG9tr8c=",0)</f>
        <v>0</v>
      </c>
      <c r="GS125" t="e">
        <f>AND('STERLING CATALOG - DRY '!A2735,"AAAAAG9tr8g=")</f>
        <v>#VALUE!</v>
      </c>
      <c r="GT125" t="e">
        <f>AND('STERLING CATALOG - DRY '!B2735,"AAAAAG9tr8k=")</f>
        <v>#VALUE!</v>
      </c>
      <c r="GU125" t="e">
        <f>AND('STERLING CATALOG - DRY '!C2735,"AAAAAG9tr8o=")</f>
        <v>#VALUE!</v>
      </c>
      <c r="GV125" t="e">
        <f>AND('STERLING CATALOG - DRY '!D2735,"AAAAAG9tr8s=")</f>
        <v>#VALUE!</v>
      </c>
      <c r="GW125" t="e">
        <f>AND('STERLING CATALOG - DRY '!E2735,"AAAAAG9tr8w=")</f>
        <v>#VALUE!</v>
      </c>
      <c r="GX125" t="e">
        <f>AND('STERLING CATALOG - DRY '!F2735,"AAAAAG9tr80=")</f>
        <v>#VALUE!</v>
      </c>
      <c r="GY125" t="e">
        <f>AND('STERLING CATALOG - DRY '!G2735,"AAAAAG9tr84=")</f>
        <v>#VALUE!</v>
      </c>
      <c r="GZ125" t="e">
        <f>AND('STERLING CATALOG - DRY '!H2735,"AAAAAG9tr88=")</f>
        <v>#VALUE!</v>
      </c>
      <c r="HA125" t="e">
        <f>AND('STERLING CATALOG - DRY '!I2735,"AAAAAG9tr9A=")</f>
        <v>#VALUE!</v>
      </c>
      <c r="HB125" t="e">
        <f>AND('STERLING CATALOG - DRY '!J2735,"AAAAAG9tr9E=")</f>
        <v>#VALUE!</v>
      </c>
      <c r="HC125">
        <f>IF('STERLING CATALOG - DRY '!2736:2736,"AAAAAG9tr9I=",0)</f>
        <v>0</v>
      </c>
      <c r="HD125" t="e">
        <f>AND('STERLING CATALOG - DRY '!A2736,"AAAAAG9tr9M=")</f>
        <v>#VALUE!</v>
      </c>
      <c r="HE125" t="e">
        <f>AND('STERLING CATALOG - DRY '!B2736,"AAAAAG9tr9Q=")</f>
        <v>#VALUE!</v>
      </c>
      <c r="HF125" t="e">
        <f>AND('STERLING CATALOG - DRY '!C2736,"AAAAAG9tr9U=")</f>
        <v>#VALUE!</v>
      </c>
      <c r="HG125" t="e">
        <f>AND('STERLING CATALOG - DRY '!D2736,"AAAAAG9tr9Y=")</f>
        <v>#VALUE!</v>
      </c>
      <c r="HH125" t="e">
        <f>AND('STERLING CATALOG - DRY '!E2736,"AAAAAG9tr9c=")</f>
        <v>#VALUE!</v>
      </c>
      <c r="HI125" t="e">
        <f>AND('STERLING CATALOG - DRY '!F2736,"AAAAAG9tr9g=")</f>
        <v>#VALUE!</v>
      </c>
      <c r="HJ125" t="e">
        <f>AND('STERLING CATALOG - DRY '!G2736,"AAAAAG9tr9k=")</f>
        <v>#VALUE!</v>
      </c>
      <c r="HK125" t="e">
        <f>AND('STERLING CATALOG - DRY '!H2736,"AAAAAG9tr9o=")</f>
        <v>#VALUE!</v>
      </c>
      <c r="HL125" t="e">
        <f>AND('STERLING CATALOG - DRY '!I2736,"AAAAAG9tr9s=")</f>
        <v>#VALUE!</v>
      </c>
      <c r="HM125" t="e">
        <f>AND('STERLING CATALOG - DRY '!J2736,"AAAAAG9tr9w=")</f>
        <v>#VALUE!</v>
      </c>
      <c r="HN125">
        <f>IF('STERLING CATALOG - DRY '!2737:2737,"AAAAAG9tr90=",0)</f>
        <v>0</v>
      </c>
      <c r="HO125" t="e">
        <f>AND('STERLING CATALOG - DRY '!A2737,"AAAAAG9tr94=")</f>
        <v>#VALUE!</v>
      </c>
      <c r="HP125" t="e">
        <f>AND('STERLING CATALOG - DRY '!B2737,"AAAAAG9tr98=")</f>
        <v>#VALUE!</v>
      </c>
      <c r="HQ125" t="e">
        <f>AND('STERLING CATALOG - DRY '!C2737,"AAAAAG9tr+A=")</f>
        <v>#VALUE!</v>
      </c>
      <c r="HR125" t="e">
        <f>AND('STERLING CATALOG - DRY '!D2737,"AAAAAG9tr+E=")</f>
        <v>#VALUE!</v>
      </c>
      <c r="HS125" t="e">
        <f>AND('STERLING CATALOG - DRY '!E2737,"AAAAAG9tr+I=")</f>
        <v>#VALUE!</v>
      </c>
      <c r="HT125" t="e">
        <f>AND('STERLING CATALOG - DRY '!F2737,"AAAAAG9tr+M=")</f>
        <v>#VALUE!</v>
      </c>
      <c r="HU125" t="e">
        <f>AND('STERLING CATALOG - DRY '!G2737,"AAAAAG9tr+Q=")</f>
        <v>#VALUE!</v>
      </c>
      <c r="HV125" t="e">
        <f>AND('STERLING CATALOG - DRY '!H2737,"AAAAAG9tr+U=")</f>
        <v>#VALUE!</v>
      </c>
      <c r="HW125" t="e">
        <f>AND('STERLING CATALOG - DRY '!I2737,"AAAAAG9tr+Y=")</f>
        <v>#VALUE!</v>
      </c>
      <c r="HX125" t="e">
        <f>AND('STERLING CATALOG - DRY '!J2737,"AAAAAG9tr+c=")</f>
        <v>#VALUE!</v>
      </c>
      <c r="HY125">
        <f>IF('STERLING CATALOG - DRY '!2738:2738,"AAAAAG9tr+g=",0)</f>
        <v>0</v>
      </c>
      <c r="HZ125" t="e">
        <f>AND('STERLING CATALOG - DRY '!A2738,"AAAAAG9tr+k=")</f>
        <v>#VALUE!</v>
      </c>
      <c r="IA125" t="e">
        <f>AND('STERLING CATALOG - DRY '!B2738,"AAAAAG9tr+o=")</f>
        <v>#VALUE!</v>
      </c>
      <c r="IB125" t="e">
        <f>AND('STERLING CATALOG - DRY '!C2738,"AAAAAG9tr+s=")</f>
        <v>#VALUE!</v>
      </c>
      <c r="IC125" t="e">
        <f>AND('STERLING CATALOG - DRY '!D2738,"AAAAAG9tr+w=")</f>
        <v>#VALUE!</v>
      </c>
      <c r="ID125" t="e">
        <f>AND('STERLING CATALOG - DRY '!E2738,"AAAAAG9tr+0=")</f>
        <v>#VALUE!</v>
      </c>
      <c r="IE125" t="e">
        <f>AND('STERLING CATALOG - DRY '!F2738,"AAAAAG9tr+4=")</f>
        <v>#VALUE!</v>
      </c>
      <c r="IF125" t="e">
        <f>AND('STERLING CATALOG - DRY '!G2738,"AAAAAG9tr+8=")</f>
        <v>#VALUE!</v>
      </c>
      <c r="IG125" t="e">
        <f>AND('STERLING CATALOG - DRY '!H2738,"AAAAAG9tr/A=")</f>
        <v>#VALUE!</v>
      </c>
      <c r="IH125" t="e">
        <f>AND('STERLING CATALOG - DRY '!I2738,"AAAAAG9tr/E=")</f>
        <v>#VALUE!</v>
      </c>
      <c r="II125" t="e">
        <f>AND('STERLING CATALOG - DRY '!J2738,"AAAAAG9tr/I=")</f>
        <v>#VALUE!</v>
      </c>
      <c r="IJ125">
        <f>IF('STERLING CATALOG - DRY '!2739:2739,"AAAAAG9tr/M=",0)</f>
        <v>0</v>
      </c>
      <c r="IK125" t="e">
        <f>AND('STERLING CATALOG - DRY '!A2739,"AAAAAG9tr/Q=")</f>
        <v>#VALUE!</v>
      </c>
      <c r="IL125" t="e">
        <f>AND('STERLING CATALOG - DRY '!B2739,"AAAAAG9tr/U=")</f>
        <v>#VALUE!</v>
      </c>
      <c r="IM125" t="e">
        <f>AND('STERLING CATALOG - DRY '!C2739,"AAAAAG9tr/Y=")</f>
        <v>#VALUE!</v>
      </c>
      <c r="IN125" t="e">
        <f>AND('STERLING CATALOG - DRY '!D2739,"AAAAAG9tr/c=")</f>
        <v>#VALUE!</v>
      </c>
      <c r="IO125" t="e">
        <f>AND('STERLING CATALOG - DRY '!E2739,"AAAAAG9tr/g=")</f>
        <v>#VALUE!</v>
      </c>
      <c r="IP125" t="e">
        <f>AND('STERLING CATALOG - DRY '!F2739,"AAAAAG9tr/k=")</f>
        <v>#VALUE!</v>
      </c>
      <c r="IQ125" t="e">
        <f>AND('STERLING CATALOG - DRY '!G2739,"AAAAAG9tr/o=")</f>
        <v>#VALUE!</v>
      </c>
      <c r="IR125" t="e">
        <f>AND('STERLING CATALOG - DRY '!H2739,"AAAAAG9tr/s=")</f>
        <v>#VALUE!</v>
      </c>
      <c r="IS125" t="e">
        <f>AND('STERLING CATALOG - DRY '!I2739,"AAAAAG9tr/w=")</f>
        <v>#VALUE!</v>
      </c>
      <c r="IT125" t="e">
        <f>AND('STERLING CATALOG - DRY '!J2739,"AAAAAG9tr/0=")</f>
        <v>#VALUE!</v>
      </c>
      <c r="IU125">
        <f>IF('STERLING CATALOG - DRY '!2740:2740,"AAAAAG9tr/4=",0)</f>
        <v>0</v>
      </c>
      <c r="IV125" t="e">
        <f>AND('STERLING CATALOG - DRY '!A2740,"AAAAAG9tr/8=")</f>
        <v>#VALUE!</v>
      </c>
    </row>
    <row r="126" spans="1:256">
      <c r="A126" t="e">
        <f>AND('STERLING CATALOG - DRY '!B2740,"AAAAAAr/KwA=")</f>
        <v>#VALUE!</v>
      </c>
      <c r="B126" t="e">
        <f>AND('STERLING CATALOG - DRY '!C2740,"AAAAAAr/KwE=")</f>
        <v>#VALUE!</v>
      </c>
      <c r="C126" t="e">
        <f>AND('STERLING CATALOG - DRY '!D2740,"AAAAAAr/KwI=")</f>
        <v>#VALUE!</v>
      </c>
      <c r="D126" t="e">
        <f>AND('STERLING CATALOG - DRY '!E2740,"AAAAAAr/KwM=")</f>
        <v>#VALUE!</v>
      </c>
      <c r="E126" t="e">
        <f>AND('STERLING CATALOG - DRY '!F2740,"AAAAAAr/KwQ=")</f>
        <v>#VALUE!</v>
      </c>
      <c r="F126" t="e">
        <f>AND('STERLING CATALOG - DRY '!G2740,"AAAAAAr/KwU=")</f>
        <v>#VALUE!</v>
      </c>
      <c r="G126" t="e">
        <f>AND('STERLING CATALOG - DRY '!H2740,"AAAAAAr/KwY=")</f>
        <v>#VALUE!</v>
      </c>
      <c r="H126" t="e">
        <f>AND('STERLING CATALOG - DRY '!I2740,"AAAAAAr/Kwc=")</f>
        <v>#VALUE!</v>
      </c>
      <c r="I126" t="e">
        <f>AND('STERLING CATALOG - DRY '!J2740,"AAAAAAr/Kwg=")</f>
        <v>#VALUE!</v>
      </c>
      <c r="J126" t="e">
        <f>IF('STERLING CATALOG - DRY '!2741:2741,"AAAAAAr/Kwk=",0)</f>
        <v>#VALUE!</v>
      </c>
      <c r="K126" t="e">
        <f>AND('STERLING CATALOG - DRY '!A2741,"AAAAAAr/Kwo=")</f>
        <v>#VALUE!</v>
      </c>
      <c r="L126" t="e">
        <f>AND('STERLING CATALOG - DRY '!B2741,"AAAAAAr/Kws=")</f>
        <v>#VALUE!</v>
      </c>
      <c r="M126" t="e">
        <f>AND('STERLING CATALOG - DRY '!C2741,"AAAAAAr/Kww=")</f>
        <v>#VALUE!</v>
      </c>
      <c r="N126" t="e">
        <f>AND('STERLING CATALOG - DRY '!D2741,"AAAAAAr/Kw0=")</f>
        <v>#VALUE!</v>
      </c>
      <c r="O126" t="e">
        <f>AND('STERLING CATALOG - DRY '!E2741,"AAAAAAr/Kw4=")</f>
        <v>#VALUE!</v>
      </c>
      <c r="P126" t="e">
        <f>AND('STERLING CATALOG - DRY '!F2741,"AAAAAAr/Kw8=")</f>
        <v>#VALUE!</v>
      </c>
      <c r="Q126" t="e">
        <f>AND('STERLING CATALOG - DRY '!G2741,"AAAAAAr/KxA=")</f>
        <v>#VALUE!</v>
      </c>
      <c r="R126" t="e">
        <f>AND('STERLING CATALOG - DRY '!H2741,"AAAAAAr/KxE=")</f>
        <v>#VALUE!</v>
      </c>
      <c r="S126" t="e">
        <f>AND('STERLING CATALOG - DRY '!I2741,"AAAAAAr/KxI=")</f>
        <v>#VALUE!</v>
      </c>
      <c r="T126" t="e">
        <f>AND('STERLING CATALOG - DRY '!J2741,"AAAAAAr/KxM=")</f>
        <v>#VALUE!</v>
      </c>
      <c r="U126">
        <f>IF('STERLING CATALOG - DRY '!2742:2742,"AAAAAAr/KxQ=",0)</f>
        <v>0</v>
      </c>
      <c r="V126" t="e">
        <f>AND('STERLING CATALOG - DRY '!A2742,"AAAAAAr/KxU=")</f>
        <v>#VALUE!</v>
      </c>
      <c r="W126" t="e">
        <f>AND('STERLING CATALOG - DRY '!B2742,"AAAAAAr/KxY=")</f>
        <v>#VALUE!</v>
      </c>
      <c r="X126" t="e">
        <f>AND('STERLING CATALOG - DRY '!C2742,"AAAAAAr/Kxc=")</f>
        <v>#VALUE!</v>
      </c>
      <c r="Y126" t="e">
        <f>AND('STERLING CATALOG - DRY '!D2742,"AAAAAAr/Kxg=")</f>
        <v>#VALUE!</v>
      </c>
      <c r="Z126" t="e">
        <f>AND('STERLING CATALOG - DRY '!E2742,"AAAAAAr/Kxk=")</f>
        <v>#VALUE!</v>
      </c>
      <c r="AA126" t="e">
        <f>AND('STERLING CATALOG - DRY '!F2742,"AAAAAAr/Kxo=")</f>
        <v>#VALUE!</v>
      </c>
      <c r="AB126" t="e">
        <f>AND('STERLING CATALOG - DRY '!G2742,"AAAAAAr/Kxs=")</f>
        <v>#VALUE!</v>
      </c>
      <c r="AC126" t="e">
        <f>AND('STERLING CATALOG - DRY '!H2742,"AAAAAAr/Kxw=")</f>
        <v>#VALUE!</v>
      </c>
      <c r="AD126" t="e">
        <f>AND('STERLING CATALOG - DRY '!I2742,"AAAAAAr/Kx0=")</f>
        <v>#VALUE!</v>
      </c>
      <c r="AE126" t="e">
        <f>AND('STERLING CATALOG - DRY '!J2742,"AAAAAAr/Kx4=")</f>
        <v>#VALUE!</v>
      </c>
      <c r="AF126">
        <f>IF('STERLING CATALOG - DRY '!2743:2743,"AAAAAAr/Kx8=",0)</f>
        <v>0</v>
      </c>
      <c r="AG126" t="e">
        <f>AND('STERLING CATALOG - DRY '!A2743,"AAAAAAr/KyA=")</f>
        <v>#VALUE!</v>
      </c>
      <c r="AH126" t="e">
        <f>AND('STERLING CATALOG - DRY '!B2743,"AAAAAAr/KyE=")</f>
        <v>#VALUE!</v>
      </c>
      <c r="AI126" t="e">
        <f>AND('STERLING CATALOG - DRY '!C2743,"AAAAAAr/KyI=")</f>
        <v>#VALUE!</v>
      </c>
      <c r="AJ126" t="e">
        <f>AND('STERLING CATALOG - DRY '!D2743,"AAAAAAr/KyM=")</f>
        <v>#VALUE!</v>
      </c>
      <c r="AK126" t="e">
        <f>AND('STERLING CATALOG - DRY '!E2743,"AAAAAAr/KyQ=")</f>
        <v>#VALUE!</v>
      </c>
      <c r="AL126" t="e">
        <f>AND('STERLING CATALOG - DRY '!F2743,"AAAAAAr/KyU=")</f>
        <v>#VALUE!</v>
      </c>
      <c r="AM126" t="e">
        <f>AND('STERLING CATALOG - DRY '!G2743,"AAAAAAr/KyY=")</f>
        <v>#VALUE!</v>
      </c>
      <c r="AN126" t="e">
        <f>AND('STERLING CATALOG - DRY '!H2743,"AAAAAAr/Kyc=")</f>
        <v>#VALUE!</v>
      </c>
      <c r="AO126" t="e">
        <f>AND('STERLING CATALOG - DRY '!I2743,"AAAAAAr/Kyg=")</f>
        <v>#VALUE!</v>
      </c>
      <c r="AP126" t="e">
        <f>AND('STERLING CATALOG - DRY '!J2743,"AAAAAAr/Kyk=")</f>
        <v>#VALUE!</v>
      </c>
      <c r="AQ126">
        <f>IF('STERLING CATALOG - DRY '!2744:2744,"AAAAAAr/Kyo=",0)</f>
        <v>0</v>
      </c>
      <c r="AR126" t="e">
        <f>AND('STERLING CATALOG - DRY '!A2744,"AAAAAAr/Kys=")</f>
        <v>#VALUE!</v>
      </c>
      <c r="AS126" t="e">
        <f>AND('STERLING CATALOG - DRY '!B2744,"AAAAAAr/Kyw=")</f>
        <v>#VALUE!</v>
      </c>
      <c r="AT126" t="e">
        <f>AND('STERLING CATALOG - DRY '!C2744,"AAAAAAr/Ky0=")</f>
        <v>#VALUE!</v>
      </c>
      <c r="AU126" t="e">
        <f>AND('STERLING CATALOG - DRY '!D2744,"AAAAAAr/Ky4=")</f>
        <v>#VALUE!</v>
      </c>
      <c r="AV126" t="e">
        <f>AND('STERLING CATALOG - DRY '!E2744,"AAAAAAr/Ky8=")</f>
        <v>#VALUE!</v>
      </c>
      <c r="AW126" t="e">
        <f>AND('STERLING CATALOG - DRY '!F2744,"AAAAAAr/KzA=")</f>
        <v>#VALUE!</v>
      </c>
      <c r="AX126" t="e">
        <f>AND('STERLING CATALOG - DRY '!G2744,"AAAAAAr/KzE=")</f>
        <v>#VALUE!</v>
      </c>
      <c r="AY126" t="e">
        <f>AND('STERLING CATALOG - DRY '!H2744,"AAAAAAr/KzI=")</f>
        <v>#VALUE!</v>
      </c>
      <c r="AZ126" t="e">
        <f>AND('STERLING CATALOG - DRY '!I2744,"AAAAAAr/KzM=")</f>
        <v>#VALUE!</v>
      </c>
      <c r="BA126" t="e">
        <f>AND('STERLING CATALOG - DRY '!J2744,"AAAAAAr/KzQ=")</f>
        <v>#VALUE!</v>
      </c>
      <c r="BB126">
        <f>IF('STERLING CATALOG - DRY '!2745:2745,"AAAAAAr/KzU=",0)</f>
        <v>0</v>
      </c>
      <c r="BC126" t="e">
        <f>AND('STERLING CATALOG - DRY '!A2745,"AAAAAAr/KzY=")</f>
        <v>#VALUE!</v>
      </c>
      <c r="BD126" t="e">
        <f>AND('STERLING CATALOG - DRY '!B2745,"AAAAAAr/Kzc=")</f>
        <v>#VALUE!</v>
      </c>
      <c r="BE126" t="e">
        <f>AND('STERLING CATALOG - DRY '!C2745,"AAAAAAr/Kzg=")</f>
        <v>#VALUE!</v>
      </c>
      <c r="BF126" t="e">
        <f>AND('STERLING CATALOG - DRY '!D2745,"AAAAAAr/Kzk=")</f>
        <v>#VALUE!</v>
      </c>
      <c r="BG126" t="e">
        <f>AND('STERLING CATALOG - DRY '!E2745,"AAAAAAr/Kzo=")</f>
        <v>#VALUE!</v>
      </c>
      <c r="BH126" t="e">
        <f>AND('STERLING CATALOG - DRY '!F2745,"AAAAAAr/Kzs=")</f>
        <v>#VALUE!</v>
      </c>
      <c r="BI126" t="e">
        <f>AND('STERLING CATALOG - DRY '!G2745,"AAAAAAr/Kzw=")</f>
        <v>#VALUE!</v>
      </c>
      <c r="BJ126" t="e">
        <f>AND('STERLING CATALOG - DRY '!H2745,"AAAAAAr/Kz0=")</f>
        <v>#VALUE!</v>
      </c>
      <c r="BK126" t="e">
        <f>AND('STERLING CATALOG - DRY '!I2745,"AAAAAAr/Kz4=")</f>
        <v>#VALUE!</v>
      </c>
      <c r="BL126" t="e">
        <f>AND('STERLING CATALOG - DRY '!J2745,"AAAAAAr/Kz8=")</f>
        <v>#VALUE!</v>
      </c>
      <c r="BM126">
        <f>IF('STERLING CATALOG - DRY '!2746:2746,"AAAAAAr/K0A=",0)</f>
        <v>0</v>
      </c>
      <c r="BN126" t="e">
        <f>AND('STERLING CATALOG - DRY '!A2746,"AAAAAAr/K0E=")</f>
        <v>#VALUE!</v>
      </c>
      <c r="BO126" t="e">
        <f>AND('STERLING CATALOG - DRY '!B2746,"AAAAAAr/K0I=")</f>
        <v>#VALUE!</v>
      </c>
      <c r="BP126" t="e">
        <f>AND('STERLING CATALOG - DRY '!C2746,"AAAAAAr/K0M=")</f>
        <v>#VALUE!</v>
      </c>
      <c r="BQ126" t="e">
        <f>AND('STERLING CATALOG - DRY '!D2746,"AAAAAAr/K0Q=")</f>
        <v>#VALUE!</v>
      </c>
      <c r="BR126" t="e">
        <f>AND('STERLING CATALOG - DRY '!E2746,"AAAAAAr/K0U=")</f>
        <v>#VALUE!</v>
      </c>
      <c r="BS126" t="e">
        <f>AND('STERLING CATALOG - DRY '!F2746,"AAAAAAr/K0Y=")</f>
        <v>#VALUE!</v>
      </c>
      <c r="BT126" t="e">
        <f>AND('STERLING CATALOG - DRY '!G2746,"AAAAAAr/K0c=")</f>
        <v>#VALUE!</v>
      </c>
      <c r="BU126" t="e">
        <f>AND('STERLING CATALOG - DRY '!H2746,"AAAAAAr/K0g=")</f>
        <v>#VALUE!</v>
      </c>
      <c r="BV126" t="e">
        <f>AND('STERLING CATALOG - DRY '!I2746,"AAAAAAr/K0k=")</f>
        <v>#VALUE!</v>
      </c>
      <c r="BW126" t="e">
        <f>AND('STERLING CATALOG - DRY '!J2746,"AAAAAAr/K0o=")</f>
        <v>#VALUE!</v>
      </c>
      <c r="BX126">
        <f>IF('STERLING CATALOG - DRY '!2747:2747,"AAAAAAr/K0s=",0)</f>
        <v>0</v>
      </c>
      <c r="BY126" t="e">
        <f>AND('STERLING CATALOG - DRY '!A2747,"AAAAAAr/K0w=")</f>
        <v>#VALUE!</v>
      </c>
      <c r="BZ126" t="e">
        <f>AND('STERLING CATALOG - DRY '!B2747,"AAAAAAr/K00=")</f>
        <v>#VALUE!</v>
      </c>
      <c r="CA126" t="e">
        <f>AND('STERLING CATALOG - DRY '!C2747,"AAAAAAr/K04=")</f>
        <v>#VALUE!</v>
      </c>
      <c r="CB126" t="e">
        <f>AND('STERLING CATALOG - DRY '!D2747,"AAAAAAr/K08=")</f>
        <v>#VALUE!</v>
      </c>
      <c r="CC126" t="e">
        <f>AND('STERLING CATALOG - DRY '!E2747,"AAAAAAr/K1A=")</f>
        <v>#VALUE!</v>
      </c>
      <c r="CD126" t="e">
        <f>AND('STERLING CATALOG - DRY '!F2747,"AAAAAAr/K1E=")</f>
        <v>#VALUE!</v>
      </c>
      <c r="CE126" t="e">
        <f>AND('STERLING CATALOG - DRY '!G2747,"AAAAAAr/K1I=")</f>
        <v>#VALUE!</v>
      </c>
      <c r="CF126" t="e">
        <f>AND('STERLING CATALOG - DRY '!H2747,"AAAAAAr/K1M=")</f>
        <v>#VALUE!</v>
      </c>
      <c r="CG126" t="e">
        <f>AND('STERLING CATALOG - DRY '!I2747,"AAAAAAr/K1Q=")</f>
        <v>#VALUE!</v>
      </c>
      <c r="CH126" t="e">
        <f>AND('STERLING CATALOG - DRY '!J2747,"AAAAAAr/K1U=")</f>
        <v>#VALUE!</v>
      </c>
      <c r="CI126">
        <f>IF('STERLING CATALOG - DRY '!2748:2748,"AAAAAAr/K1Y=",0)</f>
        <v>0</v>
      </c>
      <c r="CJ126" t="e">
        <f>AND('STERLING CATALOG - DRY '!A2748,"AAAAAAr/K1c=")</f>
        <v>#VALUE!</v>
      </c>
      <c r="CK126" t="e">
        <f>AND('STERLING CATALOG - DRY '!B2748,"AAAAAAr/K1g=")</f>
        <v>#VALUE!</v>
      </c>
      <c r="CL126" t="e">
        <f>AND('STERLING CATALOG - DRY '!C2748,"AAAAAAr/K1k=")</f>
        <v>#VALUE!</v>
      </c>
      <c r="CM126" t="e">
        <f>AND('STERLING CATALOG - DRY '!D2748,"AAAAAAr/K1o=")</f>
        <v>#VALUE!</v>
      </c>
      <c r="CN126" t="e">
        <f>AND('STERLING CATALOG - DRY '!E2748,"AAAAAAr/K1s=")</f>
        <v>#VALUE!</v>
      </c>
      <c r="CO126" t="e">
        <f>AND('STERLING CATALOG - DRY '!F2748,"AAAAAAr/K1w=")</f>
        <v>#VALUE!</v>
      </c>
      <c r="CP126" t="e">
        <f>AND('STERLING CATALOG - DRY '!G2748,"AAAAAAr/K10=")</f>
        <v>#VALUE!</v>
      </c>
      <c r="CQ126" t="e">
        <f>AND('STERLING CATALOG - DRY '!H2748,"AAAAAAr/K14=")</f>
        <v>#VALUE!</v>
      </c>
      <c r="CR126" t="e">
        <f>AND('STERLING CATALOG - DRY '!I2748,"AAAAAAr/K18=")</f>
        <v>#VALUE!</v>
      </c>
      <c r="CS126" t="e">
        <f>AND('STERLING CATALOG - DRY '!J2748,"AAAAAAr/K2A=")</f>
        <v>#VALUE!</v>
      </c>
      <c r="CT126">
        <f>IF('STERLING CATALOG - DRY '!2749:2749,"AAAAAAr/K2E=",0)</f>
        <v>0</v>
      </c>
      <c r="CU126" t="e">
        <f>AND('STERLING CATALOG - DRY '!A2749,"AAAAAAr/K2I=")</f>
        <v>#VALUE!</v>
      </c>
      <c r="CV126" t="e">
        <f>AND('STERLING CATALOG - DRY '!B2749,"AAAAAAr/K2M=")</f>
        <v>#VALUE!</v>
      </c>
      <c r="CW126" t="e">
        <f>AND('STERLING CATALOG - DRY '!C2749,"AAAAAAr/K2Q=")</f>
        <v>#VALUE!</v>
      </c>
      <c r="CX126" t="e">
        <f>AND('STERLING CATALOG - DRY '!D2749,"AAAAAAr/K2U=")</f>
        <v>#VALUE!</v>
      </c>
      <c r="CY126" t="e">
        <f>AND('STERLING CATALOG - DRY '!E2749,"AAAAAAr/K2Y=")</f>
        <v>#VALUE!</v>
      </c>
      <c r="CZ126" t="e">
        <f>AND('STERLING CATALOG - DRY '!F2749,"AAAAAAr/K2c=")</f>
        <v>#VALUE!</v>
      </c>
      <c r="DA126" t="e">
        <f>AND('STERLING CATALOG - DRY '!G2749,"AAAAAAr/K2g=")</f>
        <v>#VALUE!</v>
      </c>
      <c r="DB126" t="e">
        <f>AND('STERLING CATALOG - DRY '!H2749,"AAAAAAr/K2k=")</f>
        <v>#VALUE!</v>
      </c>
      <c r="DC126" t="e">
        <f>AND('STERLING CATALOG - DRY '!I2749,"AAAAAAr/K2o=")</f>
        <v>#VALUE!</v>
      </c>
      <c r="DD126" t="e">
        <f>AND('STERLING CATALOG - DRY '!J2749,"AAAAAAr/K2s=")</f>
        <v>#VALUE!</v>
      </c>
      <c r="DE126">
        <f>IF('STERLING CATALOG - DRY '!2750:2750,"AAAAAAr/K2w=",0)</f>
        <v>0</v>
      </c>
      <c r="DF126" t="e">
        <f>AND('STERLING CATALOG - DRY '!A2750,"AAAAAAr/K20=")</f>
        <v>#VALUE!</v>
      </c>
      <c r="DG126" t="e">
        <f>AND('STERLING CATALOG - DRY '!B2750,"AAAAAAr/K24=")</f>
        <v>#VALUE!</v>
      </c>
      <c r="DH126" t="e">
        <f>AND('STERLING CATALOG - DRY '!C2750,"AAAAAAr/K28=")</f>
        <v>#VALUE!</v>
      </c>
      <c r="DI126" t="e">
        <f>AND('STERLING CATALOG - DRY '!D2750,"AAAAAAr/K3A=")</f>
        <v>#VALUE!</v>
      </c>
      <c r="DJ126" t="e">
        <f>AND('STERLING CATALOG - DRY '!E2750,"AAAAAAr/K3E=")</f>
        <v>#VALUE!</v>
      </c>
      <c r="DK126" t="e">
        <f>AND('STERLING CATALOG - DRY '!F2750,"AAAAAAr/K3I=")</f>
        <v>#VALUE!</v>
      </c>
      <c r="DL126" t="e">
        <f>AND('STERLING CATALOG - DRY '!G2750,"AAAAAAr/K3M=")</f>
        <v>#VALUE!</v>
      </c>
      <c r="DM126" t="e">
        <f>AND('STERLING CATALOG - DRY '!H2750,"AAAAAAr/K3Q=")</f>
        <v>#VALUE!</v>
      </c>
      <c r="DN126" t="e">
        <f>AND('STERLING CATALOG - DRY '!I2750,"AAAAAAr/K3U=")</f>
        <v>#VALUE!</v>
      </c>
      <c r="DO126" t="e">
        <f>AND('STERLING CATALOG - DRY '!J2750,"AAAAAAr/K3Y=")</f>
        <v>#VALUE!</v>
      </c>
      <c r="DP126">
        <f>IF('STERLING CATALOG - DRY '!2751:2751,"AAAAAAr/K3c=",0)</f>
        <v>0</v>
      </c>
      <c r="DQ126" t="e">
        <f>AND('STERLING CATALOG - DRY '!A2751,"AAAAAAr/K3g=")</f>
        <v>#VALUE!</v>
      </c>
      <c r="DR126" t="e">
        <f>AND('STERLING CATALOG - DRY '!B2751,"AAAAAAr/K3k=")</f>
        <v>#VALUE!</v>
      </c>
      <c r="DS126" t="e">
        <f>AND('STERLING CATALOG - DRY '!C2751,"AAAAAAr/K3o=")</f>
        <v>#VALUE!</v>
      </c>
      <c r="DT126" t="e">
        <f>AND('STERLING CATALOG - DRY '!D2751,"AAAAAAr/K3s=")</f>
        <v>#VALUE!</v>
      </c>
      <c r="DU126" t="e">
        <f>AND('STERLING CATALOG - DRY '!E2751,"AAAAAAr/K3w=")</f>
        <v>#VALUE!</v>
      </c>
      <c r="DV126" t="e">
        <f>AND('STERLING CATALOG - DRY '!F2751,"AAAAAAr/K30=")</f>
        <v>#VALUE!</v>
      </c>
      <c r="DW126" t="e">
        <f>AND('STERLING CATALOG - DRY '!G2751,"AAAAAAr/K34=")</f>
        <v>#VALUE!</v>
      </c>
      <c r="DX126" t="e">
        <f>AND('STERLING CATALOG - DRY '!H2751,"AAAAAAr/K38=")</f>
        <v>#VALUE!</v>
      </c>
      <c r="DY126" t="e">
        <f>AND('STERLING CATALOG - DRY '!I2751,"AAAAAAr/K4A=")</f>
        <v>#VALUE!</v>
      </c>
      <c r="DZ126" t="e">
        <f>AND('STERLING CATALOG - DRY '!J2751,"AAAAAAr/K4E=")</f>
        <v>#VALUE!</v>
      </c>
      <c r="EA126">
        <f>IF('STERLING CATALOG - DRY '!2752:2752,"AAAAAAr/K4I=",0)</f>
        <v>0</v>
      </c>
      <c r="EB126" t="e">
        <f>AND('STERLING CATALOG - DRY '!A2752,"AAAAAAr/K4M=")</f>
        <v>#VALUE!</v>
      </c>
      <c r="EC126" t="e">
        <f>AND('STERLING CATALOG - DRY '!B2752,"AAAAAAr/K4Q=")</f>
        <v>#VALUE!</v>
      </c>
      <c r="ED126" t="e">
        <f>AND('STERLING CATALOG - DRY '!C2752,"AAAAAAr/K4U=")</f>
        <v>#VALUE!</v>
      </c>
      <c r="EE126" t="e">
        <f>AND('STERLING CATALOG - DRY '!D2752,"AAAAAAr/K4Y=")</f>
        <v>#VALUE!</v>
      </c>
      <c r="EF126" t="e">
        <f>AND('STERLING CATALOG - DRY '!E2752,"AAAAAAr/K4c=")</f>
        <v>#VALUE!</v>
      </c>
      <c r="EG126" t="e">
        <f>AND('STERLING CATALOG - DRY '!F2752,"AAAAAAr/K4g=")</f>
        <v>#VALUE!</v>
      </c>
      <c r="EH126" t="e">
        <f>AND('STERLING CATALOG - DRY '!G2752,"AAAAAAr/K4k=")</f>
        <v>#VALUE!</v>
      </c>
      <c r="EI126" t="e">
        <f>AND('STERLING CATALOG - DRY '!H2752,"AAAAAAr/K4o=")</f>
        <v>#VALUE!</v>
      </c>
      <c r="EJ126" t="e">
        <f>AND('STERLING CATALOG - DRY '!I2752,"AAAAAAr/K4s=")</f>
        <v>#VALUE!</v>
      </c>
      <c r="EK126" t="e">
        <f>AND('STERLING CATALOG - DRY '!J2752,"AAAAAAr/K4w=")</f>
        <v>#VALUE!</v>
      </c>
      <c r="EL126">
        <f>IF('STERLING CATALOG - DRY '!2753:2753,"AAAAAAr/K40=",0)</f>
        <v>0</v>
      </c>
      <c r="EM126" t="e">
        <f>AND('STERLING CATALOG - DRY '!A2753,"AAAAAAr/K44=")</f>
        <v>#VALUE!</v>
      </c>
      <c r="EN126" t="e">
        <f>AND('STERLING CATALOG - DRY '!B2753,"AAAAAAr/K48=")</f>
        <v>#VALUE!</v>
      </c>
      <c r="EO126" t="e">
        <f>AND('STERLING CATALOG - DRY '!C2753,"AAAAAAr/K5A=")</f>
        <v>#VALUE!</v>
      </c>
      <c r="EP126" t="e">
        <f>AND('STERLING CATALOG - DRY '!D2753,"AAAAAAr/K5E=")</f>
        <v>#VALUE!</v>
      </c>
      <c r="EQ126" t="e">
        <f>AND('STERLING CATALOG - DRY '!E2753,"AAAAAAr/K5I=")</f>
        <v>#VALUE!</v>
      </c>
      <c r="ER126" t="e">
        <f>AND('STERLING CATALOG - DRY '!F2753,"AAAAAAr/K5M=")</f>
        <v>#VALUE!</v>
      </c>
      <c r="ES126" t="e">
        <f>AND('STERLING CATALOG - DRY '!G2753,"AAAAAAr/K5Q=")</f>
        <v>#VALUE!</v>
      </c>
      <c r="ET126" t="e">
        <f>AND('STERLING CATALOG - DRY '!H2753,"AAAAAAr/K5U=")</f>
        <v>#VALUE!</v>
      </c>
      <c r="EU126" t="e">
        <f>AND('STERLING CATALOG - DRY '!I2753,"AAAAAAr/K5Y=")</f>
        <v>#VALUE!</v>
      </c>
      <c r="EV126" t="e">
        <f>AND('STERLING CATALOG - DRY '!J2753,"AAAAAAr/K5c=")</f>
        <v>#VALUE!</v>
      </c>
      <c r="EW126">
        <f>IF('STERLING CATALOG - DRY '!2754:2754,"AAAAAAr/K5g=",0)</f>
        <v>0</v>
      </c>
      <c r="EX126" t="e">
        <f>AND('STERLING CATALOG - DRY '!A2754,"AAAAAAr/K5k=")</f>
        <v>#VALUE!</v>
      </c>
      <c r="EY126" t="e">
        <f>AND('STERLING CATALOG - DRY '!B2754,"AAAAAAr/K5o=")</f>
        <v>#VALUE!</v>
      </c>
      <c r="EZ126" t="e">
        <f>AND('STERLING CATALOG - DRY '!C2754,"AAAAAAr/K5s=")</f>
        <v>#VALUE!</v>
      </c>
      <c r="FA126" t="e">
        <f>AND('STERLING CATALOG - DRY '!D2754,"AAAAAAr/K5w=")</f>
        <v>#VALUE!</v>
      </c>
      <c r="FB126" t="e">
        <f>AND('STERLING CATALOG - DRY '!E2754,"AAAAAAr/K50=")</f>
        <v>#VALUE!</v>
      </c>
      <c r="FC126" t="e">
        <f>AND('STERLING CATALOG - DRY '!F2754,"AAAAAAr/K54=")</f>
        <v>#VALUE!</v>
      </c>
      <c r="FD126" t="e">
        <f>AND('STERLING CATALOG - DRY '!G2754,"AAAAAAr/K58=")</f>
        <v>#VALUE!</v>
      </c>
      <c r="FE126" t="e">
        <f>AND('STERLING CATALOG - DRY '!H2754,"AAAAAAr/K6A=")</f>
        <v>#VALUE!</v>
      </c>
      <c r="FF126" t="e">
        <f>AND('STERLING CATALOG - DRY '!I2754,"AAAAAAr/K6E=")</f>
        <v>#VALUE!</v>
      </c>
      <c r="FG126" t="e">
        <f>AND('STERLING CATALOG - DRY '!J2754,"AAAAAAr/K6I=")</f>
        <v>#VALUE!</v>
      </c>
      <c r="FH126">
        <f>IF('STERLING CATALOG - DRY '!2755:2755,"AAAAAAr/K6M=",0)</f>
        <v>0</v>
      </c>
      <c r="FI126" t="e">
        <f>AND('STERLING CATALOG - DRY '!A2755,"AAAAAAr/K6Q=")</f>
        <v>#VALUE!</v>
      </c>
      <c r="FJ126" t="e">
        <f>AND('STERLING CATALOG - DRY '!B2755,"AAAAAAr/K6U=")</f>
        <v>#VALUE!</v>
      </c>
      <c r="FK126" t="e">
        <f>AND('STERLING CATALOG - DRY '!C2755,"AAAAAAr/K6Y=")</f>
        <v>#VALUE!</v>
      </c>
      <c r="FL126" t="e">
        <f>AND('STERLING CATALOG - DRY '!D2755,"AAAAAAr/K6c=")</f>
        <v>#VALUE!</v>
      </c>
      <c r="FM126" t="e">
        <f>AND('STERLING CATALOG - DRY '!E2755,"AAAAAAr/K6g=")</f>
        <v>#VALUE!</v>
      </c>
      <c r="FN126" t="e">
        <f>AND('STERLING CATALOG - DRY '!F2755,"AAAAAAr/K6k=")</f>
        <v>#VALUE!</v>
      </c>
      <c r="FO126" t="e">
        <f>AND('STERLING CATALOG - DRY '!G2755,"AAAAAAr/K6o=")</f>
        <v>#VALUE!</v>
      </c>
      <c r="FP126" t="e">
        <f>AND('STERLING CATALOG - DRY '!H2755,"AAAAAAr/K6s=")</f>
        <v>#VALUE!</v>
      </c>
      <c r="FQ126" t="e">
        <f>AND('STERLING CATALOG - DRY '!I2755,"AAAAAAr/K6w=")</f>
        <v>#VALUE!</v>
      </c>
      <c r="FR126" t="e">
        <f>AND('STERLING CATALOG - DRY '!J2755,"AAAAAAr/K60=")</f>
        <v>#VALUE!</v>
      </c>
      <c r="FS126">
        <f>IF('STERLING CATALOG - DRY '!2756:2756,"AAAAAAr/K64=",0)</f>
        <v>0</v>
      </c>
      <c r="FT126" t="e">
        <f>AND('STERLING CATALOG - DRY '!A2756,"AAAAAAr/K68=")</f>
        <v>#VALUE!</v>
      </c>
      <c r="FU126" t="e">
        <f>AND('STERLING CATALOG - DRY '!B2756,"AAAAAAr/K7A=")</f>
        <v>#VALUE!</v>
      </c>
      <c r="FV126" t="e">
        <f>AND('STERLING CATALOG - DRY '!C2756,"AAAAAAr/K7E=")</f>
        <v>#VALUE!</v>
      </c>
      <c r="FW126" t="e">
        <f>AND('STERLING CATALOG - DRY '!D2756,"AAAAAAr/K7I=")</f>
        <v>#VALUE!</v>
      </c>
      <c r="FX126" t="e">
        <f>AND('STERLING CATALOG - DRY '!E2756,"AAAAAAr/K7M=")</f>
        <v>#VALUE!</v>
      </c>
      <c r="FY126" t="e">
        <f>AND('STERLING CATALOG - DRY '!F2756,"AAAAAAr/K7Q=")</f>
        <v>#VALUE!</v>
      </c>
      <c r="FZ126" t="e">
        <f>AND('STERLING CATALOG - DRY '!G2756,"AAAAAAr/K7U=")</f>
        <v>#VALUE!</v>
      </c>
      <c r="GA126" t="e">
        <f>AND('STERLING CATALOG - DRY '!H2756,"AAAAAAr/K7Y=")</f>
        <v>#VALUE!</v>
      </c>
      <c r="GB126" t="e">
        <f>AND('STERLING CATALOG - DRY '!I2756,"AAAAAAr/K7c=")</f>
        <v>#VALUE!</v>
      </c>
      <c r="GC126" t="e">
        <f>AND('STERLING CATALOG - DRY '!J2756,"AAAAAAr/K7g=")</f>
        <v>#VALUE!</v>
      </c>
      <c r="GD126">
        <f>IF('STERLING CATALOG - DRY '!2757:2757,"AAAAAAr/K7k=",0)</f>
        <v>0</v>
      </c>
      <c r="GE126" t="e">
        <f>AND('STERLING CATALOG - DRY '!A2757,"AAAAAAr/K7o=")</f>
        <v>#VALUE!</v>
      </c>
      <c r="GF126" t="e">
        <f>AND('STERLING CATALOG - DRY '!B2757,"AAAAAAr/K7s=")</f>
        <v>#VALUE!</v>
      </c>
      <c r="GG126" t="e">
        <f>AND('STERLING CATALOG - DRY '!C2757,"AAAAAAr/K7w=")</f>
        <v>#VALUE!</v>
      </c>
      <c r="GH126" t="e">
        <f>AND('STERLING CATALOG - DRY '!D2757,"AAAAAAr/K70=")</f>
        <v>#VALUE!</v>
      </c>
      <c r="GI126" t="e">
        <f>AND('STERLING CATALOG - DRY '!E2757,"AAAAAAr/K74=")</f>
        <v>#VALUE!</v>
      </c>
      <c r="GJ126" t="e">
        <f>AND('STERLING CATALOG - DRY '!F2757,"AAAAAAr/K78=")</f>
        <v>#VALUE!</v>
      </c>
      <c r="GK126" t="e">
        <f>AND('STERLING CATALOG - DRY '!G2757,"AAAAAAr/K8A=")</f>
        <v>#VALUE!</v>
      </c>
      <c r="GL126" t="e">
        <f>AND('STERLING CATALOG - DRY '!H2757,"AAAAAAr/K8E=")</f>
        <v>#VALUE!</v>
      </c>
      <c r="GM126" t="e">
        <f>AND('STERLING CATALOG - DRY '!I2757,"AAAAAAr/K8I=")</f>
        <v>#VALUE!</v>
      </c>
      <c r="GN126" t="e">
        <f>AND('STERLING CATALOG - DRY '!J2757,"AAAAAAr/K8M=")</f>
        <v>#VALUE!</v>
      </c>
      <c r="GO126">
        <f>IF('STERLING CATALOG - DRY '!2758:2758,"AAAAAAr/K8Q=",0)</f>
        <v>0</v>
      </c>
      <c r="GP126" t="e">
        <f>AND('STERLING CATALOG - DRY '!A2758,"AAAAAAr/K8U=")</f>
        <v>#VALUE!</v>
      </c>
      <c r="GQ126" t="e">
        <f>AND('STERLING CATALOG - DRY '!B2758,"AAAAAAr/K8Y=")</f>
        <v>#VALUE!</v>
      </c>
      <c r="GR126" t="e">
        <f>AND('STERLING CATALOG - DRY '!C2758,"AAAAAAr/K8c=")</f>
        <v>#VALUE!</v>
      </c>
      <c r="GS126" t="e">
        <f>AND('STERLING CATALOG - DRY '!D2758,"AAAAAAr/K8g=")</f>
        <v>#VALUE!</v>
      </c>
      <c r="GT126" t="e">
        <f>AND('STERLING CATALOG - DRY '!E2758,"AAAAAAr/K8k=")</f>
        <v>#VALUE!</v>
      </c>
      <c r="GU126" t="e">
        <f>AND('STERLING CATALOG - DRY '!F2758,"AAAAAAr/K8o=")</f>
        <v>#VALUE!</v>
      </c>
      <c r="GV126" t="e">
        <f>AND('STERLING CATALOG - DRY '!G2758,"AAAAAAr/K8s=")</f>
        <v>#VALUE!</v>
      </c>
      <c r="GW126" t="e">
        <f>AND('STERLING CATALOG - DRY '!H2758,"AAAAAAr/K8w=")</f>
        <v>#VALUE!</v>
      </c>
      <c r="GX126" t="e">
        <f>AND('STERLING CATALOG - DRY '!I2758,"AAAAAAr/K80=")</f>
        <v>#VALUE!</v>
      </c>
      <c r="GY126" t="e">
        <f>AND('STERLING CATALOG - DRY '!J2758,"AAAAAAr/K84=")</f>
        <v>#VALUE!</v>
      </c>
      <c r="GZ126">
        <f>IF('STERLING CATALOG - DRY '!2759:2759,"AAAAAAr/K88=",0)</f>
        <v>0</v>
      </c>
      <c r="HA126" t="e">
        <f>AND('STERLING CATALOG - DRY '!A2759,"AAAAAAr/K9A=")</f>
        <v>#VALUE!</v>
      </c>
      <c r="HB126" t="e">
        <f>AND('STERLING CATALOG - DRY '!B2759,"AAAAAAr/K9E=")</f>
        <v>#VALUE!</v>
      </c>
      <c r="HC126" t="e">
        <f>AND('STERLING CATALOG - DRY '!C2759,"AAAAAAr/K9I=")</f>
        <v>#VALUE!</v>
      </c>
      <c r="HD126" t="e">
        <f>AND('STERLING CATALOG - DRY '!D2759,"AAAAAAr/K9M=")</f>
        <v>#VALUE!</v>
      </c>
      <c r="HE126" t="e">
        <f>AND('STERLING CATALOG - DRY '!E2759,"AAAAAAr/K9Q=")</f>
        <v>#VALUE!</v>
      </c>
      <c r="HF126" t="e">
        <f>AND('STERLING CATALOG - DRY '!F2759,"AAAAAAr/K9U=")</f>
        <v>#VALUE!</v>
      </c>
      <c r="HG126" t="e">
        <f>AND('STERLING CATALOG - DRY '!G2759,"AAAAAAr/K9Y=")</f>
        <v>#VALUE!</v>
      </c>
      <c r="HH126" t="e">
        <f>AND('STERLING CATALOG - DRY '!H2759,"AAAAAAr/K9c=")</f>
        <v>#VALUE!</v>
      </c>
      <c r="HI126" t="e">
        <f>AND('STERLING CATALOG - DRY '!I2759,"AAAAAAr/K9g=")</f>
        <v>#VALUE!</v>
      </c>
      <c r="HJ126" t="e">
        <f>AND('STERLING CATALOG - DRY '!J2759,"AAAAAAr/K9k=")</f>
        <v>#VALUE!</v>
      </c>
      <c r="HK126">
        <f>IF('STERLING CATALOG - DRY '!2760:2760,"AAAAAAr/K9o=",0)</f>
        <v>0</v>
      </c>
      <c r="HL126" t="e">
        <f>AND('STERLING CATALOG - DRY '!A2760,"AAAAAAr/K9s=")</f>
        <v>#VALUE!</v>
      </c>
      <c r="HM126" t="e">
        <f>AND('STERLING CATALOG - DRY '!B2760,"AAAAAAr/K9w=")</f>
        <v>#VALUE!</v>
      </c>
      <c r="HN126" t="e">
        <f>AND('STERLING CATALOG - DRY '!C2760,"AAAAAAr/K90=")</f>
        <v>#VALUE!</v>
      </c>
      <c r="HO126" t="e">
        <f>AND('STERLING CATALOG - DRY '!D2760,"AAAAAAr/K94=")</f>
        <v>#VALUE!</v>
      </c>
      <c r="HP126" t="e">
        <f>AND('STERLING CATALOG - DRY '!E2760,"AAAAAAr/K98=")</f>
        <v>#VALUE!</v>
      </c>
      <c r="HQ126" t="e">
        <f>AND('STERLING CATALOG - DRY '!F2760,"AAAAAAr/K+A=")</f>
        <v>#VALUE!</v>
      </c>
      <c r="HR126" t="e">
        <f>AND('STERLING CATALOG - DRY '!G2760,"AAAAAAr/K+E=")</f>
        <v>#VALUE!</v>
      </c>
      <c r="HS126" t="e">
        <f>AND('STERLING CATALOG - DRY '!H2760,"AAAAAAr/K+I=")</f>
        <v>#VALUE!</v>
      </c>
      <c r="HT126" t="e">
        <f>AND('STERLING CATALOG - DRY '!I2760,"AAAAAAr/K+M=")</f>
        <v>#VALUE!</v>
      </c>
      <c r="HU126" t="e">
        <f>AND('STERLING CATALOG - DRY '!J2760,"AAAAAAr/K+Q=")</f>
        <v>#VALUE!</v>
      </c>
      <c r="HV126">
        <f>IF('STERLING CATALOG - DRY '!2761:2761,"AAAAAAr/K+U=",0)</f>
        <v>0</v>
      </c>
      <c r="HW126" t="e">
        <f>AND('STERLING CATALOG - DRY '!A2761,"AAAAAAr/K+Y=")</f>
        <v>#VALUE!</v>
      </c>
      <c r="HX126" t="e">
        <f>AND('STERLING CATALOG - DRY '!B2761,"AAAAAAr/K+c=")</f>
        <v>#VALUE!</v>
      </c>
      <c r="HY126" t="e">
        <f>AND('STERLING CATALOG - DRY '!C2761,"AAAAAAr/K+g=")</f>
        <v>#VALUE!</v>
      </c>
      <c r="HZ126" t="e">
        <f>AND('STERLING CATALOG - DRY '!D2761,"AAAAAAr/K+k=")</f>
        <v>#VALUE!</v>
      </c>
      <c r="IA126" t="e">
        <f>AND('STERLING CATALOG - DRY '!E2761,"AAAAAAr/K+o=")</f>
        <v>#VALUE!</v>
      </c>
      <c r="IB126" t="e">
        <f>AND('STERLING CATALOG - DRY '!F2761,"AAAAAAr/K+s=")</f>
        <v>#VALUE!</v>
      </c>
      <c r="IC126" t="e">
        <f>AND('STERLING CATALOG - DRY '!G2761,"AAAAAAr/K+w=")</f>
        <v>#VALUE!</v>
      </c>
      <c r="ID126" t="e">
        <f>AND('STERLING CATALOG - DRY '!H2761,"AAAAAAr/K+0=")</f>
        <v>#VALUE!</v>
      </c>
      <c r="IE126" t="e">
        <f>AND('STERLING CATALOG - DRY '!I2761,"AAAAAAr/K+4=")</f>
        <v>#VALUE!</v>
      </c>
      <c r="IF126" t="e">
        <f>AND('STERLING CATALOG - DRY '!J2761,"AAAAAAr/K+8=")</f>
        <v>#VALUE!</v>
      </c>
      <c r="IG126">
        <f>IF('STERLING CATALOG - DRY '!2762:2762,"AAAAAAr/K/A=",0)</f>
        <v>0</v>
      </c>
      <c r="IH126" t="e">
        <f>AND('STERLING CATALOG - DRY '!A2762,"AAAAAAr/K/E=")</f>
        <v>#VALUE!</v>
      </c>
      <c r="II126" t="e">
        <f>AND('STERLING CATALOG - DRY '!B2762,"AAAAAAr/K/I=")</f>
        <v>#VALUE!</v>
      </c>
      <c r="IJ126" t="e">
        <f>AND('STERLING CATALOG - DRY '!C2762,"AAAAAAr/K/M=")</f>
        <v>#VALUE!</v>
      </c>
      <c r="IK126" t="e">
        <f>AND('STERLING CATALOG - DRY '!D2762,"AAAAAAr/K/Q=")</f>
        <v>#VALUE!</v>
      </c>
      <c r="IL126" t="e">
        <f>AND('STERLING CATALOG - DRY '!E2762,"AAAAAAr/K/U=")</f>
        <v>#VALUE!</v>
      </c>
      <c r="IM126" t="e">
        <f>AND('STERLING CATALOG - DRY '!F2762,"AAAAAAr/K/Y=")</f>
        <v>#VALUE!</v>
      </c>
      <c r="IN126" t="e">
        <f>AND('STERLING CATALOG - DRY '!G2762,"AAAAAAr/K/c=")</f>
        <v>#VALUE!</v>
      </c>
      <c r="IO126" t="e">
        <f>AND('STERLING CATALOG - DRY '!H2762,"AAAAAAr/K/g=")</f>
        <v>#VALUE!</v>
      </c>
      <c r="IP126" t="e">
        <f>AND('STERLING CATALOG - DRY '!I2762,"AAAAAAr/K/k=")</f>
        <v>#VALUE!</v>
      </c>
      <c r="IQ126" t="e">
        <f>AND('STERLING CATALOG - DRY '!J2762,"AAAAAAr/K/o=")</f>
        <v>#VALUE!</v>
      </c>
      <c r="IR126">
        <f>IF('STERLING CATALOG - DRY '!2763:2763,"AAAAAAr/K/s=",0)</f>
        <v>0</v>
      </c>
      <c r="IS126" t="e">
        <f>AND('STERLING CATALOG - DRY '!A2763,"AAAAAAr/K/w=")</f>
        <v>#VALUE!</v>
      </c>
      <c r="IT126" t="e">
        <f>AND('STERLING CATALOG - DRY '!B2763,"AAAAAAr/K/0=")</f>
        <v>#VALUE!</v>
      </c>
      <c r="IU126" t="e">
        <f>AND('STERLING CATALOG - DRY '!C2763,"AAAAAAr/K/4=")</f>
        <v>#VALUE!</v>
      </c>
      <c r="IV126" t="e">
        <f>AND('STERLING CATALOG - DRY '!D2763,"AAAAAAr/K/8=")</f>
        <v>#VALUE!</v>
      </c>
    </row>
    <row r="127" spans="1:256">
      <c r="A127" t="e">
        <f>AND('STERLING CATALOG - DRY '!E2763,"AAAAAH71/wA=")</f>
        <v>#VALUE!</v>
      </c>
      <c r="B127" t="e">
        <f>AND('STERLING CATALOG - DRY '!F2763,"AAAAAH71/wE=")</f>
        <v>#VALUE!</v>
      </c>
      <c r="C127" t="e">
        <f>AND('STERLING CATALOG - DRY '!G2763,"AAAAAH71/wI=")</f>
        <v>#VALUE!</v>
      </c>
      <c r="D127" t="e">
        <f>AND('STERLING CATALOG - DRY '!H2763,"AAAAAH71/wM=")</f>
        <v>#VALUE!</v>
      </c>
      <c r="E127" t="e">
        <f>AND('STERLING CATALOG - DRY '!I2763,"AAAAAH71/wQ=")</f>
        <v>#VALUE!</v>
      </c>
      <c r="F127" t="e">
        <f>AND('STERLING CATALOG - DRY '!J2763,"AAAAAH71/wU=")</f>
        <v>#VALUE!</v>
      </c>
      <c r="G127" t="str">
        <f>IF('STERLING CATALOG - DRY '!2764:2764,"AAAAAH71/wY=",0)</f>
        <v>AAAAAH71/wY=</v>
      </c>
      <c r="H127" t="e">
        <f>AND('STERLING CATALOG - DRY '!A2764,"AAAAAH71/wc=")</f>
        <v>#VALUE!</v>
      </c>
      <c r="I127" t="e">
        <f>AND('STERLING CATALOG - DRY '!B2764,"AAAAAH71/wg=")</f>
        <v>#VALUE!</v>
      </c>
      <c r="J127" t="e">
        <f>AND('STERLING CATALOG - DRY '!C2764,"AAAAAH71/wk=")</f>
        <v>#VALUE!</v>
      </c>
      <c r="K127" t="e">
        <f>AND('STERLING CATALOG - DRY '!D2764,"AAAAAH71/wo=")</f>
        <v>#VALUE!</v>
      </c>
      <c r="L127" t="e">
        <f>AND('STERLING CATALOG - DRY '!E2764,"AAAAAH71/ws=")</f>
        <v>#VALUE!</v>
      </c>
      <c r="M127" t="e">
        <f>AND('STERLING CATALOG - DRY '!F2764,"AAAAAH71/ww=")</f>
        <v>#VALUE!</v>
      </c>
      <c r="N127" t="e">
        <f>AND('STERLING CATALOG - DRY '!G2764,"AAAAAH71/w0=")</f>
        <v>#VALUE!</v>
      </c>
      <c r="O127" t="e">
        <f>AND('STERLING CATALOG - DRY '!H2764,"AAAAAH71/w4=")</f>
        <v>#VALUE!</v>
      </c>
      <c r="P127" t="e">
        <f>AND('STERLING CATALOG - DRY '!I2764,"AAAAAH71/w8=")</f>
        <v>#VALUE!</v>
      </c>
      <c r="Q127" t="e">
        <f>AND('STERLING CATALOG - DRY '!J2764,"AAAAAH71/xA=")</f>
        <v>#VALUE!</v>
      </c>
      <c r="R127">
        <f>IF('STERLING CATALOG - DRY '!2765:2765,"AAAAAH71/xE=",0)</f>
        <v>0</v>
      </c>
      <c r="S127" t="e">
        <f>AND('STERLING CATALOG - DRY '!A2765,"AAAAAH71/xI=")</f>
        <v>#VALUE!</v>
      </c>
      <c r="T127" t="e">
        <f>AND('STERLING CATALOG - DRY '!B2765,"AAAAAH71/xM=")</f>
        <v>#VALUE!</v>
      </c>
      <c r="U127" t="e">
        <f>AND('STERLING CATALOG - DRY '!C2765,"AAAAAH71/xQ=")</f>
        <v>#VALUE!</v>
      </c>
      <c r="V127" t="e">
        <f>AND('STERLING CATALOG - DRY '!D2765,"AAAAAH71/xU=")</f>
        <v>#VALUE!</v>
      </c>
      <c r="W127" t="e">
        <f>AND('STERLING CATALOG - DRY '!E2765,"AAAAAH71/xY=")</f>
        <v>#VALUE!</v>
      </c>
      <c r="X127" t="e">
        <f>AND('STERLING CATALOG - DRY '!F2765,"AAAAAH71/xc=")</f>
        <v>#VALUE!</v>
      </c>
      <c r="Y127" t="e">
        <f>AND('STERLING CATALOG - DRY '!G2765,"AAAAAH71/xg=")</f>
        <v>#VALUE!</v>
      </c>
      <c r="Z127" t="e">
        <f>AND('STERLING CATALOG - DRY '!H2765,"AAAAAH71/xk=")</f>
        <v>#VALUE!</v>
      </c>
      <c r="AA127" t="e">
        <f>AND('STERLING CATALOG - DRY '!I2765,"AAAAAH71/xo=")</f>
        <v>#VALUE!</v>
      </c>
      <c r="AB127" t="e">
        <f>AND('STERLING CATALOG - DRY '!J2765,"AAAAAH71/xs=")</f>
        <v>#VALUE!</v>
      </c>
      <c r="AC127">
        <f>IF('STERLING CATALOG - DRY '!2766:2766,"AAAAAH71/xw=",0)</f>
        <v>0</v>
      </c>
      <c r="AD127" t="e">
        <f>AND('STERLING CATALOG - DRY '!A2766,"AAAAAH71/x0=")</f>
        <v>#VALUE!</v>
      </c>
      <c r="AE127" t="e">
        <f>AND('STERLING CATALOG - DRY '!B2766,"AAAAAH71/x4=")</f>
        <v>#VALUE!</v>
      </c>
      <c r="AF127" t="e">
        <f>AND('STERLING CATALOG - DRY '!C2766,"AAAAAH71/x8=")</f>
        <v>#VALUE!</v>
      </c>
      <c r="AG127" t="e">
        <f>AND('STERLING CATALOG - DRY '!D2766,"AAAAAH71/yA=")</f>
        <v>#VALUE!</v>
      </c>
      <c r="AH127" t="e">
        <f>AND('STERLING CATALOG - DRY '!E2766,"AAAAAH71/yE=")</f>
        <v>#VALUE!</v>
      </c>
      <c r="AI127" t="e">
        <f>AND('STERLING CATALOG - DRY '!F2766,"AAAAAH71/yI=")</f>
        <v>#VALUE!</v>
      </c>
      <c r="AJ127" t="e">
        <f>AND('STERLING CATALOG - DRY '!G2766,"AAAAAH71/yM=")</f>
        <v>#VALUE!</v>
      </c>
      <c r="AK127" t="e">
        <f>AND('STERLING CATALOG - DRY '!H2766,"AAAAAH71/yQ=")</f>
        <v>#VALUE!</v>
      </c>
      <c r="AL127" t="e">
        <f>AND('STERLING CATALOG - DRY '!I2766,"AAAAAH71/yU=")</f>
        <v>#VALUE!</v>
      </c>
      <c r="AM127" t="e">
        <f>AND('STERLING CATALOG - DRY '!J2766,"AAAAAH71/yY=")</f>
        <v>#VALUE!</v>
      </c>
      <c r="AN127">
        <f>IF('STERLING CATALOG - DRY '!2767:2767,"AAAAAH71/yc=",0)</f>
        <v>0</v>
      </c>
      <c r="AO127" t="e">
        <f>AND('STERLING CATALOG - DRY '!A2767,"AAAAAH71/yg=")</f>
        <v>#VALUE!</v>
      </c>
      <c r="AP127" t="e">
        <f>AND('STERLING CATALOG - DRY '!B2767,"AAAAAH71/yk=")</f>
        <v>#VALUE!</v>
      </c>
      <c r="AQ127" t="e">
        <f>AND('STERLING CATALOG - DRY '!C2767,"AAAAAH71/yo=")</f>
        <v>#VALUE!</v>
      </c>
      <c r="AR127" t="e">
        <f>AND('STERLING CATALOG - DRY '!D2767,"AAAAAH71/ys=")</f>
        <v>#VALUE!</v>
      </c>
      <c r="AS127" t="e">
        <f>AND('STERLING CATALOG - DRY '!E2767,"AAAAAH71/yw=")</f>
        <v>#VALUE!</v>
      </c>
      <c r="AT127" t="e">
        <f>AND('STERLING CATALOG - DRY '!F2767,"AAAAAH71/y0=")</f>
        <v>#VALUE!</v>
      </c>
      <c r="AU127" t="e">
        <f>AND('STERLING CATALOG - DRY '!G2767,"AAAAAH71/y4=")</f>
        <v>#VALUE!</v>
      </c>
      <c r="AV127" t="e">
        <f>AND('STERLING CATALOG - DRY '!H2767,"AAAAAH71/y8=")</f>
        <v>#VALUE!</v>
      </c>
      <c r="AW127" t="e">
        <f>AND('STERLING CATALOG - DRY '!I2767,"AAAAAH71/zA=")</f>
        <v>#VALUE!</v>
      </c>
      <c r="AX127" t="e">
        <f>AND('STERLING CATALOG - DRY '!J2767,"AAAAAH71/zE=")</f>
        <v>#VALUE!</v>
      </c>
      <c r="AY127">
        <f>IF('STERLING CATALOG - DRY '!2768:2768,"AAAAAH71/zI=",0)</f>
        <v>0</v>
      </c>
      <c r="AZ127" t="e">
        <f>AND('STERLING CATALOG - DRY '!A2768,"AAAAAH71/zM=")</f>
        <v>#VALUE!</v>
      </c>
      <c r="BA127" t="e">
        <f>AND('STERLING CATALOG - DRY '!B2768,"AAAAAH71/zQ=")</f>
        <v>#VALUE!</v>
      </c>
      <c r="BB127" t="e">
        <f>AND('STERLING CATALOG - DRY '!C2768,"AAAAAH71/zU=")</f>
        <v>#VALUE!</v>
      </c>
      <c r="BC127" t="e">
        <f>AND('STERLING CATALOG - DRY '!D2768,"AAAAAH71/zY=")</f>
        <v>#VALUE!</v>
      </c>
      <c r="BD127" t="e">
        <f>AND('STERLING CATALOG - DRY '!E2768,"AAAAAH71/zc=")</f>
        <v>#VALUE!</v>
      </c>
      <c r="BE127" t="e">
        <f>AND('STERLING CATALOG - DRY '!F2768,"AAAAAH71/zg=")</f>
        <v>#VALUE!</v>
      </c>
      <c r="BF127" t="e">
        <f>AND('STERLING CATALOG - DRY '!G2768,"AAAAAH71/zk=")</f>
        <v>#VALUE!</v>
      </c>
      <c r="BG127" t="e">
        <f>AND('STERLING CATALOG - DRY '!H2768,"AAAAAH71/zo=")</f>
        <v>#VALUE!</v>
      </c>
      <c r="BH127" t="e">
        <f>AND('STERLING CATALOG - DRY '!I2768,"AAAAAH71/zs=")</f>
        <v>#VALUE!</v>
      </c>
      <c r="BI127" t="e">
        <f>AND('STERLING CATALOG - DRY '!J2768,"AAAAAH71/zw=")</f>
        <v>#VALUE!</v>
      </c>
      <c r="BJ127">
        <f>IF('STERLING CATALOG - DRY '!2769:2769,"AAAAAH71/z0=",0)</f>
        <v>0</v>
      </c>
      <c r="BK127" t="e">
        <f>AND('STERLING CATALOG - DRY '!A2769,"AAAAAH71/z4=")</f>
        <v>#VALUE!</v>
      </c>
      <c r="BL127" t="e">
        <f>AND('STERLING CATALOG - DRY '!B2769,"AAAAAH71/z8=")</f>
        <v>#VALUE!</v>
      </c>
      <c r="BM127" t="e">
        <f>AND('STERLING CATALOG - DRY '!C2769,"AAAAAH71/0A=")</f>
        <v>#VALUE!</v>
      </c>
      <c r="BN127" t="e">
        <f>AND('STERLING CATALOG - DRY '!D2769,"AAAAAH71/0E=")</f>
        <v>#VALUE!</v>
      </c>
      <c r="BO127" t="e">
        <f>AND('STERLING CATALOG - DRY '!E2769,"AAAAAH71/0I=")</f>
        <v>#VALUE!</v>
      </c>
      <c r="BP127" t="e">
        <f>AND('STERLING CATALOG - DRY '!F2769,"AAAAAH71/0M=")</f>
        <v>#VALUE!</v>
      </c>
      <c r="BQ127" t="e">
        <f>AND('STERLING CATALOG - DRY '!G2769,"AAAAAH71/0Q=")</f>
        <v>#VALUE!</v>
      </c>
      <c r="BR127" t="e">
        <f>AND('STERLING CATALOG - DRY '!H2769,"AAAAAH71/0U=")</f>
        <v>#VALUE!</v>
      </c>
      <c r="BS127" t="e">
        <f>AND('STERLING CATALOG - DRY '!I2769,"AAAAAH71/0Y=")</f>
        <v>#VALUE!</v>
      </c>
      <c r="BT127" t="e">
        <f>AND('STERLING CATALOG - DRY '!J2769,"AAAAAH71/0c=")</f>
        <v>#VALUE!</v>
      </c>
      <c r="BU127">
        <f>IF('STERLING CATALOG - DRY '!2770:2770,"AAAAAH71/0g=",0)</f>
        <v>0</v>
      </c>
      <c r="BV127" t="e">
        <f>AND('STERLING CATALOG - DRY '!A2770,"AAAAAH71/0k=")</f>
        <v>#VALUE!</v>
      </c>
      <c r="BW127" t="e">
        <f>AND('STERLING CATALOG - DRY '!B2770,"AAAAAH71/0o=")</f>
        <v>#VALUE!</v>
      </c>
      <c r="BX127" t="e">
        <f>AND('STERLING CATALOG - DRY '!C2770,"AAAAAH71/0s=")</f>
        <v>#VALUE!</v>
      </c>
      <c r="BY127" t="e">
        <f>AND('STERLING CATALOG - DRY '!D2770,"AAAAAH71/0w=")</f>
        <v>#VALUE!</v>
      </c>
      <c r="BZ127" t="e">
        <f>AND('STERLING CATALOG - DRY '!E2770,"AAAAAH71/00=")</f>
        <v>#VALUE!</v>
      </c>
      <c r="CA127" t="e">
        <f>AND('STERLING CATALOG - DRY '!F2770,"AAAAAH71/04=")</f>
        <v>#VALUE!</v>
      </c>
      <c r="CB127" t="e">
        <f>AND('STERLING CATALOG - DRY '!G2770,"AAAAAH71/08=")</f>
        <v>#VALUE!</v>
      </c>
      <c r="CC127" t="e">
        <f>AND('STERLING CATALOG - DRY '!H2770,"AAAAAH71/1A=")</f>
        <v>#VALUE!</v>
      </c>
      <c r="CD127" t="e">
        <f>AND('STERLING CATALOG - DRY '!I2770,"AAAAAH71/1E=")</f>
        <v>#VALUE!</v>
      </c>
      <c r="CE127" t="e">
        <f>AND('STERLING CATALOG - DRY '!J2770,"AAAAAH71/1I=")</f>
        <v>#VALUE!</v>
      </c>
      <c r="CF127">
        <f>IF('STERLING CATALOG - DRY '!2771:2771,"AAAAAH71/1M=",0)</f>
        <v>0</v>
      </c>
      <c r="CG127" t="e">
        <f>AND('STERLING CATALOG - DRY '!A2771,"AAAAAH71/1Q=")</f>
        <v>#VALUE!</v>
      </c>
      <c r="CH127" t="e">
        <f>AND('STERLING CATALOG - DRY '!B2771,"AAAAAH71/1U=")</f>
        <v>#VALUE!</v>
      </c>
      <c r="CI127" t="e">
        <f>AND('STERLING CATALOG - DRY '!C2771,"AAAAAH71/1Y=")</f>
        <v>#VALUE!</v>
      </c>
      <c r="CJ127" t="e">
        <f>AND('STERLING CATALOG - DRY '!D2771,"AAAAAH71/1c=")</f>
        <v>#VALUE!</v>
      </c>
      <c r="CK127" t="e">
        <f>AND('STERLING CATALOG - DRY '!E2771,"AAAAAH71/1g=")</f>
        <v>#VALUE!</v>
      </c>
      <c r="CL127" t="e">
        <f>AND('STERLING CATALOG - DRY '!F2771,"AAAAAH71/1k=")</f>
        <v>#VALUE!</v>
      </c>
      <c r="CM127" t="e">
        <f>AND('STERLING CATALOG - DRY '!G2771,"AAAAAH71/1o=")</f>
        <v>#VALUE!</v>
      </c>
      <c r="CN127" t="e">
        <f>AND('STERLING CATALOG - DRY '!H2771,"AAAAAH71/1s=")</f>
        <v>#VALUE!</v>
      </c>
      <c r="CO127" t="e">
        <f>AND('STERLING CATALOG - DRY '!I2771,"AAAAAH71/1w=")</f>
        <v>#VALUE!</v>
      </c>
      <c r="CP127" t="e">
        <f>AND('STERLING CATALOG - DRY '!J2771,"AAAAAH71/10=")</f>
        <v>#VALUE!</v>
      </c>
      <c r="CQ127">
        <f>IF('STERLING CATALOG - DRY '!2772:2772,"AAAAAH71/14=",0)</f>
        <v>0</v>
      </c>
      <c r="CR127" t="e">
        <f>AND('STERLING CATALOG - DRY '!A2772,"AAAAAH71/18=")</f>
        <v>#VALUE!</v>
      </c>
      <c r="CS127" t="e">
        <f>AND('STERLING CATALOG - DRY '!B2772,"AAAAAH71/2A=")</f>
        <v>#VALUE!</v>
      </c>
      <c r="CT127" t="e">
        <f>AND('STERLING CATALOG - DRY '!C2772,"AAAAAH71/2E=")</f>
        <v>#VALUE!</v>
      </c>
      <c r="CU127" t="e">
        <f>AND('STERLING CATALOG - DRY '!D2772,"AAAAAH71/2I=")</f>
        <v>#VALUE!</v>
      </c>
      <c r="CV127" t="e">
        <f>AND('STERLING CATALOG - DRY '!E2772,"AAAAAH71/2M=")</f>
        <v>#VALUE!</v>
      </c>
      <c r="CW127" t="e">
        <f>AND('STERLING CATALOG - DRY '!F2772,"AAAAAH71/2Q=")</f>
        <v>#VALUE!</v>
      </c>
      <c r="CX127" t="e">
        <f>AND('STERLING CATALOG - DRY '!G2772,"AAAAAH71/2U=")</f>
        <v>#VALUE!</v>
      </c>
      <c r="CY127" t="e">
        <f>AND('STERLING CATALOG - DRY '!H2772,"AAAAAH71/2Y=")</f>
        <v>#VALUE!</v>
      </c>
      <c r="CZ127" t="e">
        <f>AND('STERLING CATALOG - DRY '!I2772,"AAAAAH71/2c=")</f>
        <v>#VALUE!</v>
      </c>
      <c r="DA127" t="e">
        <f>AND('STERLING CATALOG - DRY '!J2772,"AAAAAH71/2g=")</f>
        <v>#VALUE!</v>
      </c>
      <c r="DB127">
        <f>IF('STERLING CATALOG - DRY '!2773:2773,"AAAAAH71/2k=",0)</f>
        <v>0</v>
      </c>
      <c r="DC127" t="e">
        <f>AND('STERLING CATALOG - DRY '!A2773,"AAAAAH71/2o=")</f>
        <v>#VALUE!</v>
      </c>
      <c r="DD127" t="e">
        <f>AND('STERLING CATALOG - DRY '!B2773,"AAAAAH71/2s=")</f>
        <v>#VALUE!</v>
      </c>
      <c r="DE127" t="e">
        <f>AND('STERLING CATALOG - DRY '!C2773,"AAAAAH71/2w=")</f>
        <v>#VALUE!</v>
      </c>
      <c r="DF127" t="e">
        <f>AND('STERLING CATALOG - DRY '!D2773,"AAAAAH71/20=")</f>
        <v>#VALUE!</v>
      </c>
      <c r="DG127" t="e">
        <f>AND('STERLING CATALOG - DRY '!E2773,"AAAAAH71/24=")</f>
        <v>#VALUE!</v>
      </c>
      <c r="DH127" t="e">
        <f>AND('STERLING CATALOG - DRY '!F2773,"AAAAAH71/28=")</f>
        <v>#VALUE!</v>
      </c>
      <c r="DI127" t="e">
        <f>AND('STERLING CATALOG - DRY '!G2773,"AAAAAH71/3A=")</f>
        <v>#VALUE!</v>
      </c>
      <c r="DJ127" t="e">
        <f>AND('STERLING CATALOG - DRY '!H2773,"AAAAAH71/3E=")</f>
        <v>#VALUE!</v>
      </c>
      <c r="DK127" t="e">
        <f>AND('STERLING CATALOG - DRY '!I2773,"AAAAAH71/3I=")</f>
        <v>#VALUE!</v>
      </c>
      <c r="DL127" t="e">
        <f>AND('STERLING CATALOG - DRY '!J2773,"AAAAAH71/3M=")</f>
        <v>#VALUE!</v>
      </c>
      <c r="DM127">
        <f>IF('STERLING CATALOG - DRY '!2774:2774,"AAAAAH71/3Q=",0)</f>
        <v>0</v>
      </c>
      <c r="DN127" t="e">
        <f>AND('STERLING CATALOG - DRY '!A2774,"AAAAAH71/3U=")</f>
        <v>#VALUE!</v>
      </c>
      <c r="DO127" t="e">
        <f>AND('STERLING CATALOG - DRY '!B2774,"AAAAAH71/3Y=")</f>
        <v>#VALUE!</v>
      </c>
      <c r="DP127" t="e">
        <f>AND('STERLING CATALOG - DRY '!C2774,"AAAAAH71/3c=")</f>
        <v>#VALUE!</v>
      </c>
      <c r="DQ127" t="e">
        <f>AND('STERLING CATALOG - DRY '!D2774,"AAAAAH71/3g=")</f>
        <v>#VALUE!</v>
      </c>
      <c r="DR127" t="e">
        <f>AND('STERLING CATALOG - DRY '!E2774,"AAAAAH71/3k=")</f>
        <v>#VALUE!</v>
      </c>
      <c r="DS127" t="e">
        <f>AND('STERLING CATALOG - DRY '!F2774,"AAAAAH71/3o=")</f>
        <v>#VALUE!</v>
      </c>
      <c r="DT127" t="e">
        <f>AND('STERLING CATALOG - DRY '!G2774,"AAAAAH71/3s=")</f>
        <v>#VALUE!</v>
      </c>
      <c r="DU127" t="e">
        <f>AND('STERLING CATALOG - DRY '!H2774,"AAAAAH71/3w=")</f>
        <v>#VALUE!</v>
      </c>
      <c r="DV127" t="e">
        <f>AND('STERLING CATALOG - DRY '!I2774,"AAAAAH71/30=")</f>
        <v>#VALUE!</v>
      </c>
      <c r="DW127" t="e">
        <f>AND('STERLING CATALOG - DRY '!J2774,"AAAAAH71/34=")</f>
        <v>#VALUE!</v>
      </c>
      <c r="DX127">
        <f>IF('STERLING CATALOG - DRY '!2775:2775,"AAAAAH71/38=",0)</f>
        <v>0</v>
      </c>
      <c r="DY127" t="e">
        <f>AND('STERLING CATALOG - DRY '!A2775,"AAAAAH71/4A=")</f>
        <v>#VALUE!</v>
      </c>
      <c r="DZ127" t="e">
        <f>AND('STERLING CATALOG - DRY '!B2775,"AAAAAH71/4E=")</f>
        <v>#VALUE!</v>
      </c>
      <c r="EA127" t="e">
        <f>AND('STERLING CATALOG - DRY '!C2775,"AAAAAH71/4I=")</f>
        <v>#VALUE!</v>
      </c>
      <c r="EB127" t="e">
        <f>AND('STERLING CATALOG - DRY '!D2775,"AAAAAH71/4M=")</f>
        <v>#VALUE!</v>
      </c>
      <c r="EC127" t="e">
        <f>AND('STERLING CATALOG - DRY '!E2775,"AAAAAH71/4Q=")</f>
        <v>#VALUE!</v>
      </c>
      <c r="ED127" t="e">
        <f>AND('STERLING CATALOG - DRY '!F2775,"AAAAAH71/4U=")</f>
        <v>#VALUE!</v>
      </c>
      <c r="EE127" t="e">
        <f>AND('STERLING CATALOG - DRY '!G2775,"AAAAAH71/4Y=")</f>
        <v>#VALUE!</v>
      </c>
      <c r="EF127" t="e">
        <f>AND('STERLING CATALOG - DRY '!H2775,"AAAAAH71/4c=")</f>
        <v>#VALUE!</v>
      </c>
      <c r="EG127" t="e">
        <f>AND('STERLING CATALOG - DRY '!I2775,"AAAAAH71/4g=")</f>
        <v>#VALUE!</v>
      </c>
      <c r="EH127" t="e">
        <f>AND('STERLING CATALOG - DRY '!J2775,"AAAAAH71/4k=")</f>
        <v>#VALUE!</v>
      </c>
      <c r="EI127">
        <f>IF('STERLING CATALOG - DRY '!2776:2776,"AAAAAH71/4o=",0)</f>
        <v>0</v>
      </c>
      <c r="EJ127" t="e">
        <f>AND('STERLING CATALOG - DRY '!A2776,"AAAAAH71/4s=")</f>
        <v>#VALUE!</v>
      </c>
      <c r="EK127" t="e">
        <f>AND('STERLING CATALOG - DRY '!B2776,"AAAAAH71/4w=")</f>
        <v>#VALUE!</v>
      </c>
      <c r="EL127" t="e">
        <f>AND('STERLING CATALOG - DRY '!C2776,"AAAAAH71/40=")</f>
        <v>#VALUE!</v>
      </c>
      <c r="EM127" t="e">
        <f>AND('STERLING CATALOG - DRY '!D2776,"AAAAAH71/44=")</f>
        <v>#VALUE!</v>
      </c>
      <c r="EN127" t="e">
        <f>AND('STERLING CATALOG - DRY '!E2776,"AAAAAH71/48=")</f>
        <v>#VALUE!</v>
      </c>
      <c r="EO127" t="e">
        <f>AND('STERLING CATALOG - DRY '!F2776,"AAAAAH71/5A=")</f>
        <v>#VALUE!</v>
      </c>
      <c r="EP127" t="e">
        <f>AND('STERLING CATALOG - DRY '!G2776,"AAAAAH71/5E=")</f>
        <v>#VALUE!</v>
      </c>
      <c r="EQ127" t="e">
        <f>AND('STERLING CATALOG - DRY '!H2776,"AAAAAH71/5I=")</f>
        <v>#VALUE!</v>
      </c>
      <c r="ER127" t="e">
        <f>AND('STERLING CATALOG - DRY '!I2776,"AAAAAH71/5M=")</f>
        <v>#VALUE!</v>
      </c>
      <c r="ES127" t="e">
        <f>AND('STERLING CATALOG - DRY '!J2776,"AAAAAH71/5Q=")</f>
        <v>#VALUE!</v>
      </c>
      <c r="ET127">
        <f>IF('STERLING CATALOG - DRY '!2777:2777,"AAAAAH71/5U=",0)</f>
        <v>0</v>
      </c>
      <c r="EU127" t="e">
        <f>AND('STERLING CATALOG - DRY '!A2777,"AAAAAH71/5Y=")</f>
        <v>#VALUE!</v>
      </c>
      <c r="EV127" t="e">
        <f>AND('STERLING CATALOG - DRY '!B2777,"AAAAAH71/5c=")</f>
        <v>#VALUE!</v>
      </c>
      <c r="EW127" t="e">
        <f>AND('STERLING CATALOG - DRY '!C2777,"AAAAAH71/5g=")</f>
        <v>#VALUE!</v>
      </c>
      <c r="EX127" t="e">
        <f>AND('STERLING CATALOG - DRY '!D2777,"AAAAAH71/5k=")</f>
        <v>#VALUE!</v>
      </c>
      <c r="EY127" t="e">
        <f>AND('STERLING CATALOG - DRY '!E2777,"AAAAAH71/5o=")</f>
        <v>#VALUE!</v>
      </c>
      <c r="EZ127" t="e">
        <f>AND('STERLING CATALOG - DRY '!F2777,"AAAAAH71/5s=")</f>
        <v>#VALUE!</v>
      </c>
      <c r="FA127" t="e">
        <f>AND('STERLING CATALOG - DRY '!G2777,"AAAAAH71/5w=")</f>
        <v>#VALUE!</v>
      </c>
      <c r="FB127" t="e">
        <f>AND('STERLING CATALOG - DRY '!H2777,"AAAAAH71/50=")</f>
        <v>#VALUE!</v>
      </c>
      <c r="FC127" t="e">
        <f>AND('STERLING CATALOG - DRY '!I2777,"AAAAAH71/54=")</f>
        <v>#VALUE!</v>
      </c>
      <c r="FD127" t="e">
        <f>AND('STERLING CATALOG - DRY '!J2777,"AAAAAH71/58=")</f>
        <v>#VALUE!</v>
      </c>
      <c r="FE127">
        <f>IF('STERLING CATALOG - DRY '!2778:2778,"AAAAAH71/6A=",0)</f>
        <v>0</v>
      </c>
      <c r="FF127" t="e">
        <f>AND('STERLING CATALOG - DRY '!A2778,"AAAAAH71/6E=")</f>
        <v>#VALUE!</v>
      </c>
      <c r="FG127" t="e">
        <f>AND('STERLING CATALOG - DRY '!B2778,"AAAAAH71/6I=")</f>
        <v>#VALUE!</v>
      </c>
      <c r="FH127" t="e">
        <f>AND('STERLING CATALOG - DRY '!C2778,"AAAAAH71/6M=")</f>
        <v>#VALUE!</v>
      </c>
      <c r="FI127" t="e">
        <f>AND('STERLING CATALOG - DRY '!D2778,"AAAAAH71/6Q=")</f>
        <v>#VALUE!</v>
      </c>
      <c r="FJ127" t="e">
        <f>AND('STERLING CATALOG - DRY '!E2778,"AAAAAH71/6U=")</f>
        <v>#VALUE!</v>
      </c>
      <c r="FK127" t="e">
        <f>AND('STERLING CATALOG - DRY '!F2778,"AAAAAH71/6Y=")</f>
        <v>#VALUE!</v>
      </c>
      <c r="FL127" t="e">
        <f>AND('STERLING CATALOG - DRY '!G2778,"AAAAAH71/6c=")</f>
        <v>#VALUE!</v>
      </c>
      <c r="FM127" t="e">
        <f>AND('STERLING CATALOG - DRY '!H2778,"AAAAAH71/6g=")</f>
        <v>#VALUE!</v>
      </c>
      <c r="FN127" t="e">
        <f>AND('STERLING CATALOG - DRY '!I2778,"AAAAAH71/6k=")</f>
        <v>#VALUE!</v>
      </c>
      <c r="FO127" t="e">
        <f>AND('STERLING CATALOG - DRY '!J2778,"AAAAAH71/6o=")</f>
        <v>#VALUE!</v>
      </c>
      <c r="FP127">
        <f>IF('STERLING CATALOG - DRY '!2779:2779,"AAAAAH71/6s=",0)</f>
        <v>0</v>
      </c>
      <c r="FQ127" t="e">
        <f>AND('STERLING CATALOG - DRY '!A2779,"AAAAAH71/6w=")</f>
        <v>#VALUE!</v>
      </c>
      <c r="FR127" t="e">
        <f>AND('STERLING CATALOG - DRY '!B2779,"AAAAAH71/60=")</f>
        <v>#VALUE!</v>
      </c>
      <c r="FS127" t="e">
        <f>AND('STERLING CATALOG - DRY '!C2779,"AAAAAH71/64=")</f>
        <v>#VALUE!</v>
      </c>
      <c r="FT127" t="e">
        <f>AND('STERLING CATALOG - DRY '!D2779,"AAAAAH71/68=")</f>
        <v>#VALUE!</v>
      </c>
      <c r="FU127" t="e">
        <f>AND('STERLING CATALOG - DRY '!E2779,"AAAAAH71/7A=")</f>
        <v>#VALUE!</v>
      </c>
      <c r="FV127" t="e">
        <f>AND('STERLING CATALOG - DRY '!F2779,"AAAAAH71/7E=")</f>
        <v>#VALUE!</v>
      </c>
      <c r="FW127" t="e">
        <f>AND('STERLING CATALOG - DRY '!G2779,"AAAAAH71/7I=")</f>
        <v>#VALUE!</v>
      </c>
      <c r="FX127" t="e">
        <f>AND('STERLING CATALOG - DRY '!H2779,"AAAAAH71/7M=")</f>
        <v>#VALUE!</v>
      </c>
      <c r="FY127" t="e">
        <f>AND('STERLING CATALOG - DRY '!I2779,"AAAAAH71/7Q=")</f>
        <v>#VALUE!</v>
      </c>
      <c r="FZ127" t="e">
        <f>AND('STERLING CATALOG - DRY '!J2779,"AAAAAH71/7U=")</f>
        <v>#VALUE!</v>
      </c>
      <c r="GA127">
        <f>IF('STERLING CATALOG - DRY '!2780:2780,"AAAAAH71/7Y=",0)</f>
        <v>0</v>
      </c>
      <c r="GB127" t="e">
        <f>AND('STERLING CATALOG - DRY '!A2780,"AAAAAH71/7c=")</f>
        <v>#VALUE!</v>
      </c>
      <c r="GC127" t="e">
        <f>AND('STERLING CATALOG - DRY '!B2780,"AAAAAH71/7g=")</f>
        <v>#VALUE!</v>
      </c>
      <c r="GD127" t="e">
        <f>AND('STERLING CATALOG - DRY '!C2780,"AAAAAH71/7k=")</f>
        <v>#VALUE!</v>
      </c>
      <c r="GE127" t="e">
        <f>AND('STERLING CATALOG - DRY '!D2780,"AAAAAH71/7o=")</f>
        <v>#VALUE!</v>
      </c>
      <c r="GF127" t="e">
        <f>AND('STERLING CATALOG - DRY '!E2780,"AAAAAH71/7s=")</f>
        <v>#VALUE!</v>
      </c>
      <c r="GG127" t="e">
        <f>AND('STERLING CATALOG - DRY '!F2780,"AAAAAH71/7w=")</f>
        <v>#VALUE!</v>
      </c>
      <c r="GH127" t="e">
        <f>AND('STERLING CATALOG - DRY '!G2780,"AAAAAH71/70=")</f>
        <v>#VALUE!</v>
      </c>
      <c r="GI127" t="e">
        <f>AND('STERLING CATALOG - DRY '!H2780,"AAAAAH71/74=")</f>
        <v>#VALUE!</v>
      </c>
      <c r="GJ127" t="e">
        <f>AND('STERLING CATALOG - DRY '!I2780,"AAAAAH71/78=")</f>
        <v>#VALUE!</v>
      </c>
      <c r="GK127" t="e">
        <f>AND('STERLING CATALOG - DRY '!J2780,"AAAAAH71/8A=")</f>
        <v>#VALUE!</v>
      </c>
      <c r="GL127">
        <f>IF('STERLING CATALOG - DRY '!2781:2781,"AAAAAH71/8E=",0)</f>
        <v>0</v>
      </c>
      <c r="GM127" t="e">
        <f>AND('STERLING CATALOG - DRY '!A2781,"AAAAAH71/8I=")</f>
        <v>#VALUE!</v>
      </c>
      <c r="GN127" t="e">
        <f>AND('STERLING CATALOG - DRY '!B2781,"AAAAAH71/8M=")</f>
        <v>#VALUE!</v>
      </c>
      <c r="GO127" t="e">
        <f>AND('STERLING CATALOG - DRY '!C2781,"AAAAAH71/8Q=")</f>
        <v>#VALUE!</v>
      </c>
      <c r="GP127" t="e">
        <f>AND('STERLING CATALOG - DRY '!D2781,"AAAAAH71/8U=")</f>
        <v>#VALUE!</v>
      </c>
      <c r="GQ127" t="e">
        <f>AND('STERLING CATALOG - DRY '!E2781,"AAAAAH71/8Y=")</f>
        <v>#VALUE!</v>
      </c>
      <c r="GR127" t="e">
        <f>AND('STERLING CATALOG - DRY '!F2781,"AAAAAH71/8c=")</f>
        <v>#VALUE!</v>
      </c>
      <c r="GS127" t="e">
        <f>AND('STERLING CATALOG - DRY '!G2781,"AAAAAH71/8g=")</f>
        <v>#VALUE!</v>
      </c>
      <c r="GT127" t="e">
        <f>AND('STERLING CATALOG - DRY '!H2781,"AAAAAH71/8k=")</f>
        <v>#VALUE!</v>
      </c>
      <c r="GU127" t="e">
        <f>AND('STERLING CATALOG - DRY '!I2781,"AAAAAH71/8o=")</f>
        <v>#VALUE!</v>
      </c>
      <c r="GV127" t="e">
        <f>AND('STERLING CATALOG - DRY '!J2781,"AAAAAH71/8s=")</f>
        <v>#VALUE!</v>
      </c>
      <c r="GW127">
        <f>IF('STERLING CATALOG - DRY '!2782:2782,"AAAAAH71/8w=",0)</f>
        <v>0</v>
      </c>
      <c r="GX127" t="e">
        <f>AND('STERLING CATALOG - DRY '!A2782,"AAAAAH71/80=")</f>
        <v>#VALUE!</v>
      </c>
      <c r="GY127" t="e">
        <f>AND('STERLING CATALOG - DRY '!B2782,"AAAAAH71/84=")</f>
        <v>#VALUE!</v>
      </c>
      <c r="GZ127" t="e">
        <f>AND('STERLING CATALOG - DRY '!C2782,"AAAAAH71/88=")</f>
        <v>#VALUE!</v>
      </c>
      <c r="HA127" t="e">
        <f>AND('STERLING CATALOG - DRY '!D2782,"AAAAAH71/9A=")</f>
        <v>#VALUE!</v>
      </c>
      <c r="HB127" t="e">
        <f>AND('STERLING CATALOG - DRY '!E2782,"AAAAAH71/9E=")</f>
        <v>#VALUE!</v>
      </c>
      <c r="HC127" t="e">
        <f>AND('STERLING CATALOG - DRY '!F2782,"AAAAAH71/9I=")</f>
        <v>#VALUE!</v>
      </c>
      <c r="HD127" t="e">
        <f>AND('STERLING CATALOG - DRY '!G2782,"AAAAAH71/9M=")</f>
        <v>#VALUE!</v>
      </c>
      <c r="HE127" t="e">
        <f>AND('STERLING CATALOG - DRY '!H2782,"AAAAAH71/9Q=")</f>
        <v>#VALUE!</v>
      </c>
      <c r="HF127" t="e">
        <f>AND('STERLING CATALOG - DRY '!I2782,"AAAAAH71/9U=")</f>
        <v>#VALUE!</v>
      </c>
      <c r="HG127" t="e">
        <f>AND('STERLING CATALOG - DRY '!J2782,"AAAAAH71/9Y=")</f>
        <v>#VALUE!</v>
      </c>
      <c r="HH127">
        <f>IF('STERLING CATALOG - DRY '!2783:2783,"AAAAAH71/9c=",0)</f>
        <v>0</v>
      </c>
      <c r="HI127" t="e">
        <f>AND('STERLING CATALOG - DRY '!A2783,"AAAAAH71/9g=")</f>
        <v>#VALUE!</v>
      </c>
      <c r="HJ127" t="e">
        <f>AND('STERLING CATALOG - DRY '!B2783,"AAAAAH71/9k=")</f>
        <v>#VALUE!</v>
      </c>
      <c r="HK127" t="e">
        <f>AND('STERLING CATALOG - DRY '!C2783,"AAAAAH71/9o=")</f>
        <v>#VALUE!</v>
      </c>
      <c r="HL127" t="e">
        <f>AND('STERLING CATALOG - DRY '!D2783,"AAAAAH71/9s=")</f>
        <v>#VALUE!</v>
      </c>
      <c r="HM127" t="e">
        <f>AND('STERLING CATALOG - DRY '!E2783,"AAAAAH71/9w=")</f>
        <v>#VALUE!</v>
      </c>
      <c r="HN127" t="e">
        <f>AND('STERLING CATALOG - DRY '!F2783,"AAAAAH71/90=")</f>
        <v>#VALUE!</v>
      </c>
      <c r="HO127" t="e">
        <f>AND('STERLING CATALOG - DRY '!G2783,"AAAAAH71/94=")</f>
        <v>#VALUE!</v>
      </c>
      <c r="HP127" t="e">
        <f>AND('STERLING CATALOG - DRY '!H2783,"AAAAAH71/98=")</f>
        <v>#VALUE!</v>
      </c>
      <c r="HQ127" t="e">
        <f>AND('STERLING CATALOG - DRY '!I2783,"AAAAAH71/+A=")</f>
        <v>#VALUE!</v>
      </c>
      <c r="HR127" t="e">
        <f>AND('STERLING CATALOG - DRY '!J2783,"AAAAAH71/+E=")</f>
        <v>#VALUE!</v>
      </c>
      <c r="HS127">
        <f>IF('STERLING CATALOG - DRY '!2784:2784,"AAAAAH71/+I=",0)</f>
        <v>0</v>
      </c>
      <c r="HT127" t="e">
        <f>AND('STERLING CATALOG - DRY '!A2784,"AAAAAH71/+M=")</f>
        <v>#VALUE!</v>
      </c>
      <c r="HU127" t="e">
        <f>AND('STERLING CATALOG - DRY '!B2784,"AAAAAH71/+Q=")</f>
        <v>#VALUE!</v>
      </c>
      <c r="HV127" t="e">
        <f>AND('STERLING CATALOG - DRY '!C2784,"AAAAAH71/+U=")</f>
        <v>#VALUE!</v>
      </c>
      <c r="HW127" t="e">
        <f>AND('STERLING CATALOG - DRY '!D2784,"AAAAAH71/+Y=")</f>
        <v>#VALUE!</v>
      </c>
      <c r="HX127" t="e">
        <f>AND('STERLING CATALOG - DRY '!E2784,"AAAAAH71/+c=")</f>
        <v>#VALUE!</v>
      </c>
      <c r="HY127" t="e">
        <f>AND('STERLING CATALOG - DRY '!F2784,"AAAAAH71/+g=")</f>
        <v>#VALUE!</v>
      </c>
      <c r="HZ127" t="e">
        <f>AND('STERLING CATALOG - DRY '!G2784,"AAAAAH71/+k=")</f>
        <v>#VALUE!</v>
      </c>
      <c r="IA127" t="e">
        <f>AND('STERLING CATALOG - DRY '!H2784,"AAAAAH71/+o=")</f>
        <v>#VALUE!</v>
      </c>
      <c r="IB127" t="e">
        <f>AND('STERLING CATALOG - DRY '!I2784,"AAAAAH71/+s=")</f>
        <v>#VALUE!</v>
      </c>
      <c r="IC127" t="e">
        <f>AND('STERLING CATALOG - DRY '!J2784,"AAAAAH71/+w=")</f>
        <v>#VALUE!</v>
      </c>
      <c r="ID127">
        <f>IF('STERLING CATALOG - DRY '!2785:2785,"AAAAAH71/+0=",0)</f>
        <v>0</v>
      </c>
      <c r="IE127" t="e">
        <f>AND('STERLING CATALOG - DRY '!A2785,"AAAAAH71/+4=")</f>
        <v>#VALUE!</v>
      </c>
      <c r="IF127" t="e">
        <f>AND('STERLING CATALOG - DRY '!B2785,"AAAAAH71/+8=")</f>
        <v>#VALUE!</v>
      </c>
      <c r="IG127" t="e">
        <f>AND('STERLING CATALOG - DRY '!C2785,"AAAAAH71//A=")</f>
        <v>#VALUE!</v>
      </c>
      <c r="IH127" t="e">
        <f>AND('STERLING CATALOG - DRY '!D2785,"AAAAAH71//E=")</f>
        <v>#VALUE!</v>
      </c>
      <c r="II127" t="e">
        <f>AND('STERLING CATALOG - DRY '!E2785,"AAAAAH71//I=")</f>
        <v>#VALUE!</v>
      </c>
      <c r="IJ127" t="e">
        <f>AND('STERLING CATALOG - DRY '!F2785,"AAAAAH71//M=")</f>
        <v>#VALUE!</v>
      </c>
      <c r="IK127" t="e">
        <f>AND('STERLING CATALOG - DRY '!G2785,"AAAAAH71//Q=")</f>
        <v>#VALUE!</v>
      </c>
      <c r="IL127" t="e">
        <f>AND('STERLING CATALOG - DRY '!H2785,"AAAAAH71//U=")</f>
        <v>#VALUE!</v>
      </c>
      <c r="IM127" t="e">
        <f>AND('STERLING CATALOG - DRY '!I2785,"AAAAAH71//Y=")</f>
        <v>#VALUE!</v>
      </c>
      <c r="IN127" t="e">
        <f>AND('STERLING CATALOG - DRY '!J2785,"AAAAAH71//c=")</f>
        <v>#VALUE!</v>
      </c>
      <c r="IO127">
        <f>IF('STERLING CATALOG - DRY '!2786:2786,"AAAAAH71//g=",0)</f>
        <v>0</v>
      </c>
      <c r="IP127" t="e">
        <f>AND('STERLING CATALOG - DRY '!A2786,"AAAAAH71//k=")</f>
        <v>#VALUE!</v>
      </c>
      <c r="IQ127" t="e">
        <f>AND('STERLING CATALOG - DRY '!B2786,"AAAAAH71//o=")</f>
        <v>#VALUE!</v>
      </c>
      <c r="IR127" t="e">
        <f>AND('STERLING CATALOG - DRY '!C2786,"AAAAAH71//s=")</f>
        <v>#VALUE!</v>
      </c>
      <c r="IS127" t="e">
        <f>AND('STERLING CATALOG - DRY '!D2786,"AAAAAH71//w=")</f>
        <v>#VALUE!</v>
      </c>
      <c r="IT127" t="e">
        <f>AND('STERLING CATALOG - DRY '!E2786,"AAAAAH71//0=")</f>
        <v>#VALUE!</v>
      </c>
      <c r="IU127" t="e">
        <f>AND('STERLING CATALOG - DRY '!F2786,"AAAAAH71//4=")</f>
        <v>#VALUE!</v>
      </c>
      <c r="IV127" t="e">
        <f>AND('STERLING CATALOG - DRY '!G2786,"AAAAAH71//8=")</f>
        <v>#VALUE!</v>
      </c>
    </row>
    <row r="128" spans="1:256">
      <c r="A128" t="e">
        <f>AND('STERLING CATALOG - DRY '!H2786,"AAAAAFz+fwA=")</f>
        <v>#VALUE!</v>
      </c>
      <c r="B128" t="e">
        <f>AND('STERLING CATALOG - DRY '!I2786,"AAAAAFz+fwE=")</f>
        <v>#VALUE!</v>
      </c>
      <c r="C128" t="e">
        <f>AND('STERLING CATALOG - DRY '!J2786,"AAAAAFz+fwI=")</f>
        <v>#VALUE!</v>
      </c>
      <c r="D128" t="e">
        <f>IF('STERLING CATALOG - DRY '!2787:2787,"AAAAAFz+fwM=",0)</f>
        <v>#VALUE!</v>
      </c>
      <c r="E128" t="e">
        <f>AND('STERLING CATALOG - DRY '!A2787,"AAAAAFz+fwQ=")</f>
        <v>#VALUE!</v>
      </c>
      <c r="F128" t="e">
        <f>AND('STERLING CATALOG - DRY '!B2787,"AAAAAFz+fwU=")</f>
        <v>#VALUE!</v>
      </c>
      <c r="G128" t="e">
        <f>AND('STERLING CATALOG - DRY '!C2787,"AAAAAFz+fwY=")</f>
        <v>#VALUE!</v>
      </c>
      <c r="H128" t="e">
        <f>AND('STERLING CATALOG - DRY '!D2787,"AAAAAFz+fwc=")</f>
        <v>#VALUE!</v>
      </c>
      <c r="I128" t="e">
        <f>AND('STERLING CATALOG - DRY '!E2787,"AAAAAFz+fwg=")</f>
        <v>#VALUE!</v>
      </c>
      <c r="J128" t="e">
        <f>AND('STERLING CATALOG - DRY '!F2787,"AAAAAFz+fwk=")</f>
        <v>#VALUE!</v>
      </c>
      <c r="K128" t="e">
        <f>AND('STERLING CATALOG - DRY '!G2787,"AAAAAFz+fwo=")</f>
        <v>#VALUE!</v>
      </c>
      <c r="L128" t="e">
        <f>AND('STERLING CATALOG - DRY '!H2787,"AAAAAFz+fws=")</f>
        <v>#VALUE!</v>
      </c>
      <c r="M128" t="e">
        <f>AND('STERLING CATALOG - DRY '!I2787,"AAAAAFz+fww=")</f>
        <v>#VALUE!</v>
      </c>
      <c r="N128" t="e">
        <f>AND('STERLING CATALOG - DRY '!J2787,"AAAAAFz+fw0=")</f>
        <v>#VALUE!</v>
      </c>
      <c r="O128">
        <f>IF('STERLING CATALOG - DRY '!2788:2788,"AAAAAFz+fw4=",0)</f>
        <v>0</v>
      </c>
      <c r="P128" t="e">
        <f>AND('STERLING CATALOG - DRY '!A2788,"AAAAAFz+fw8=")</f>
        <v>#VALUE!</v>
      </c>
      <c r="Q128" t="e">
        <f>AND('STERLING CATALOG - DRY '!B2788,"AAAAAFz+fxA=")</f>
        <v>#VALUE!</v>
      </c>
      <c r="R128" t="e">
        <f>AND('STERLING CATALOG - DRY '!C2788,"AAAAAFz+fxE=")</f>
        <v>#VALUE!</v>
      </c>
      <c r="S128" t="e">
        <f>AND('STERLING CATALOG - DRY '!D2788,"AAAAAFz+fxI=")</f>
        <v>#VALUE!</v>
      </c>
      <c r="T128" t="e">
        <f>AND('STERLING CATALOG - DRY '!E2788,"AAAAAFz+fxM=")</f>
        <v>#VALUE!</v>
      </c>
      <c r="U128" t="e">
        <f>AND('STERLING CATALOG - DRY '!F2788,"AAAAAFz+fxQ=")</f>
        <v>#VALUE!</v>
      </c>
      <c r="V128" t="e">
        <f>AND('STERLING CATALOG - DRY '!G2788,"AAAAAFz+fxU=")</f>
        <v>#VALUE!</v>
      </c>
      <c r="W128" t="e">
        <f>AND('STERLING CATALOG - DRY '!H2788,"AAAAAFz+fxY=")</f>
        <v>#VALUE!</v>
      </c>
      <c r="X128" t="e">
        <f>AND('STERLING CATALOG - DRY '!I2788,"AAAAAFz+fxc=")</f>
        <v>#VALUE!</v>
      </c>
      <c r="Y128" t="e">
        <f>AND('STERLING CATALOG - DRY '!J2788,"AAAAAFz+fxg=")</f>
        <v>#VALUE!</v>
      </c>
      <c r="Z128">
        <f>IF('STERLING CATALOG - DRY '!2789:2789,"AAAAAFz+fxk=",0)</f>
        <v>0</v>
      </c>
      <c r="AA128" t="e">
        <f>AND('STERLING CATALOG - DRY '!A2789,"AAAAAFz+fxo=")</f>
        <v>#VALUE!</v>
      </c>
      <c r="AB128" t="e">
        <f>AND('STERLING CATALOG - DRY '!B2789,"AAAAAFz+fxs=")</f>
        <v>#VALUE!</v>
      </c>
      <c r="AC128" t="e">
        <f>AND('STERLING CATALOG - DRY '!C2789,"AAAAAFz+fxw=")</f>
        <v>#VALUE!</v>
      </c>
      <c r="AD128" t="e">
        <f>AND('STERLING CATALOG - DRY '!D2789,"AAAAAFz+fx0=")</f>
        <v>#VALUE!</v>
      </c>
      <c r="AE128" t="e">
        <f>AND('STERLING CATALOG - DRY '!E2789,"AAAAAFz+fx4=")</f>
        <v>#VALUE!</v>
      </c>
      <c r="AF128" t="e">
        <f>AND('STERLING CATALOG - DRY '!F2789,"AAAAAFz+fx8=")</f>
        <v>#VALUE!</v>
      </c>
      <c r="AG128" t="e">
        <f>AND('STERLING CATALOG - DRY '!G2789,"AAAAAFz+fyA=")</f>
        <v>#VALUE!</v>
      </c>
      <c r="AH128" t="e">
        <f>AND('STERLING CATALOG - DRY '!H2789,"AAAAAFz+fyE=")</f>
        <v>#VALUE!</v>
      </c>
      <c r="AI128" t="e">
        <f>AND('STERLING CATALOG - DRY '!I2789,"AAAAAFz+fyI=")</f>
        <v>#VALUE!</v>
      </c>
      <c r="AJ128" t="e">
        <f>AND('STERLING CATALOG - DRY '!J2789,"AAAAAFz+fyM=")</f>
        <v>#VALUE!</v>
      </c>
      <c r="AK128">
        <f>IF('STERLING CATALOG - DRY '!2790:2790,"AAAAAFz+fyQ=",0)</f>
        <v>0</v>
      </c>
      <c r="AL128" t="e">
        <f>AND('STERLING CATALOG - DRY '!A2790,"AAAAAFz+fyU=")</f>
        <v>#VALUE!</v>
      </c>
      <c r="AM128" t="e">
        <f>AND('STERLING CATALOG - DRY '!B2790,"AAAAAFz+fyY=")</f>
        <v>#VALUE!</v>
      </c>
      <c r="AN128" t="e">
        <f>AND('STERLING CATALOG - DRY '!C2790,"AAAAAFz+fyc=")</f>
        <v>#VALUE!</v>
      </c>
      <c r="AO128" t="e">
        <f>AND('STERLING CATALOG - DRY '!D2790,"AAAAAFz+fyg=")</f>
        <v>#VALUE!</v>
      </c>
      <c r="AP128" t="e">
        <f>AND('STERLING CATALOG - DRY '!E2790,"AAAAAFz+fyk=")</f>
        <v>#VALUE!</v>
      </c>
      <c r="AQ128" t="e">
        <f>AND('STERLING CATALOG - DRY '!F2790,"AAAAAFz+fyo=")</f>
        <v>#VALUE!</v>
      </c>
      <c r="AR128" t="e">
        <f>AND('STERLING CATALOG - DRY '!G2790,"AAAAAFz+fys=")</f>
        <v>#VALUE!</v>
      </c>
      <c r="AS128" t="e">
        <f>AND('STERLING CATALOG - DRY '!H2790,"AAAAAFz+fyw=")</f>
        <v>#VALUE!</v>
      </c>
      <c r="AT128" t="e">
        <f>AND('STERLING CATALOG - DRY '!I2790,"AAAAAFz+fy0=")</f>
        <v>#VALUE!</v>
      </c>
      <c r="AU128" t="e">
        <f>AND('STERLING CATALOG - DRY '!J2790,"AAAAAFz+fy4=")</f>
        <v>#VALUE!</v>
      </c>
      <c r="AV128">
        <f>IF('STERLING CATALOG - DRY '!2791:2791,"AAAAAFz+fy8=",0)</f>
        <v>0</v>
      </c>
      <c r="AW128" t="e">
        <f>AND('STERLING CATALOG - DRY '!A2791,"AAAAAFz+fzA=")</f>
        <v>#VALUE!</v>
      </c>
      <c r="AX128" t="e">
        <f>AND('STERLING CATALOG - DRY '!B2791,"AAAAAFz+fzE=")</f>
        <v>#VALUE!</v>
      </c>
      <c r="AY128" t="e">
        <f>AND('STERLING CATALOG - DRY '!C2791,"AAAAAFz+fzI=")</f>
        <v>#VALUE!</v>
      </c>
      <c r="AZ128" t="e">
        <f>AND('STERLING CATALOG - DRY '!D2791,"AAAAAFz+fzM=")</f>
        <v>#VALUE!</v>
      </c>
      <c r="BA128" t="e">
        <f>AND('STERLING CATALOG - DRY '!E2791,"AAAAAFz+fzQ=")</f>
        <v>#VALUE!</v>
      </c>
      <c r="BB128" t="e">
        <f>AND('STERLING CATALOG - DRY '!F2791,"AAAAAFz+fzU=")</f>
        <v>#VALUE!</v>
      </c>
      <c r="BC128" t="e">
        <f>AND('STERLING CATALOG - DRY '!G2791,"AAAAAFz+fzY=")</f>
        <v>#VALUE!</v>
      </c>
      <c r="BD128" t="e">
        <f>AND('STERLING CATALOG - DRY '!H2791,"AAAAAFz+fzc=")</f>
        <v>#VALUE!</v>
      </c>
      <c r="BE128" t="e">
        <f>AND('STERLING CATALOG - DRY '!I2791,"AAAAAFz+fzg=")</f>
        <v>#VALUE!</v>
      </c>
      <c r="BF128" t="e">
        <f>AND('STERLING CATALOG - DRY '!J2791,"AAAAAFz+fzk=")</f>
        <v>#VALUE!</v>
      </c>
      <c r="BG128">
        <f>IF('STERLING CATALOG - DRY '!2792:2792,"AAAAAFz+fzo=",0)</f>
        <v>0</v>
      </c>
      <c r="BH128" t="e">
        <f>AND('STERLING CATALOG - DRY '!A2792,"AAAAAFz+fzs=")</f>
        <v>#VALUE!</v>
      </c>
      <c r="BI128" t="e">
        <f>AND('STERLING CATALOG - DRY '!B2792,"AAAAAFz+fzw=")</f>
        <v>#VALUE!</v>
      </c>
      <c r="BJ128" t="e">
        <f>AND('STERLING CATALOG - DRY '!C2792,"AAAAAFz+fz0=")</f>
        <v>#VALUE!</v>
      </c>
      <c r="BK128" t="e">
        <f>AND('STERLING CATALOG - DRY '!D2792,"AAAAAFz+fz4=")</f>
        <v>#VALUE!</v>
      </c>
      <c r="BL128" t="e">
        <f>AND('STERLING CATALOG - DRY '!E2792,"AAAAAFz+fz8=")</f>
        <v>#VALUE!</v>
      </c>
      <c r="BM128" t="e">
        <f>AND('STERLING CATALOG - DRY '!F2792,"AAAAAFz+f0A=")</f>
        <v>#VALUE!</v>
      </c>
      <c r="BN128" t="e">
        <f>AND('STERLING CATALOG - DRY '!G2792,"AAAAAFz+f0E=")</f>
        <v>#VALUE!</v>
      </c>
      <c r="BO128" t="e">
        <f>AND('STERLING CATALOG - DRY '!H2792,"AAAAAFz+f0I=")</f>
        <v>#VALUE!</v>
      </c>
      <c r="BP128" t="e">
        <f>AND('STERLING CATALOG - DRY '!I2792,"AAAAAFz+f0M=")</f>
        <v>#VALUE!</v>
      </c>
      <c r="BQ128" t="e">
        <f>AND('STERLING CATALOG - DRY '!J2792,"AAAAAFz+f0Q=")</f>
        <v>#VALUE!</v>
      </c>
      <c r="BR128">
        <f>IF('STERLING CATALOG - DRY '!2793:2793,"AAAAAFz+f0U=",0)</f>
        <v>0</v>
      </c>
      <c r="BS128" t="e">
        <f>AND('STERLING CATALOG - DRY '!A2793,"AAAAAFz+f0Y=")</f>
        <v>#VALUE!</v>
      </c>
      <c r="BT128" t="e">
        <f>AND('STERLING CATALOG - DRY '!B2793,"AAAAAFz+f0c=")</f>
        <v>#VALUE!</v>
      </c>
      <c r="BU128" t="e">
        <f>AND('STERLING CATALOG - DRY '!C2793,"AAAAAFz+f0g=")</f>
        <v>#VALUE!</v>
      </c>
      <c r="BV128" t="e">
        <f>AND('STERLING CATALOG - DRY '!D2793,"AAAAAFz+f0k=")</f>
        <v>#VALUE!</v>
      </c>
      <c r="BW128" t="e">
        <f>AND('STERLING CATALOG - DRY '!E2793,"AAAAAFz+f0o=")</f>
        <v>#VALUE!</v>
      </c>
      <c r="BX128" t="e">
        <f>AND('STERLING CATALOG - DRY '!F2793,"AAAAAFz+f0s=")</f>
        <v>#VALUE!</v>
      </c>
      <c r="BY128" t="e">
        <f>AND('STERLING CATALOG - DRY '!G2793,"AAAAAFz+f0w=")</f>
        <v>#VALUE!</v>
      </c>
      <c r="BZ128" t="e">
        <f>AND('STERLING CATALOG - DRY '!H2793,"AAAAAFz+f00=")</f>
        <v>#VALUE!</v>
      </c>
      <c r="CA128" t="e">
        <f>AND('STERLING CATALOG - DRY '!I2793,"AAAAAFz+f04=")</f>
        <v>#VALUE!</v>
      </c>
      <c r="CB128" t="e">
        <f>AND('STERLING CATALOG - DRY '!J2793,"AAAAAFz+f08=")</f>
        <v>#VALUE!</v>
      </c>
      <c r="CC128">
        <f>IF('STERLING CATALOG - DRY '!2794:2794,"AAAAAFz+f1A=",0)</f>
        <v>0</v>
      </c>
      <c r="CD128" t="e">
        <f>AND('STERLING CATALOG - DRY '!A2794,"AAAAAFz+f1E=")</f>
        <v>#VALUE!</v>
      </c>
      <c r="CE128" t="e">
        <f>AND('STERLING CATALOG - DRY '!B2794,"AAAAAFz+f1I=")</f>
        <v>#VALUE!</v>
      </c>
      <c r="CF128" t="e">
        <f>AND('STERLING CATALOG - DRY '!C2794,"AAAAAFz+f1M=")</f>
        <v>#VALUE!</v>
      </c>
      <c r="CG128" t="e">
        <f>AND('STERLING CATALOG - DRY '!D2794,"AAAAAFz+f1Q=")</f>
        <v>#VALUE!</v>
      </c>
      <c r="CH128" t="e">
        <f>AND('STERLING CATALOG - DRY '!E2794,"AAAAAFz+f1U=")</f>
        <v>#VALUE!</v>
      </c>
      <c r="CI128" t="e">
        <f>AND('STERLING CATALOG - DRY '!F2794,"AAAAAFz+f1Y=")</f>
        <v>#VALUE!</v>
      </c>
      <c r="CJ128" t="e">
        <f>AND('STERLING CATALOG - DRY '!G2794,"AAAAAFz+f1c=")</f>
        <v>#VALUE!</v>
      </c>
      <c r="CK128" t="e">
        <f>AND('STERLING CATALOG - DRY '!H2794,"AAAAAFz+f1g=")</f>
        <v>#VALUE!</v>
      </c>
      <c r="CL128" t="e">
        <f>AND('STERLING CATALOG - DRY '!I2794,"AAAAAFz+f1k=")</f>
        <v>#VALUE!</v>
      </c>
      <c r="CM128" t="e">
        <f>AND('STERLING CATALOG - DRY '!J2794,"AAAAAFz+f1o=")</f>
        <v>#VALUE!</v>
      </c>
      <c r="CN128">
        <f>IF('STERLING CATALOG - DRY '!2795:2795,"AAAAAFz+f1s=",0)</f>
        <v>0</v>
      </c>
      <c r="CO128" t="e">
        <f>AND('STERLING CATALOG - DRY '!A2795,"AAAAAFz+f1w=")</f>
        <v>#VALUE!</v>
      </c>
      <c r="CP128" t="e">
        <f>AND('STERLING CATALOG - DRY '!B2795,"AAAAAFz+f10=")</f>
        <v>#VALUE!</v>
      </c>
      <c r="CQ128" t="e">
        <f>AND('STERLING CATALOG - DRY '!C2795,"AAAAAFz+f14=")</f>
        <v>#VALUE!</v>
      </c>
      <c r="CR128" t="e">
        <f>AND('STERLING CATALOG - DRY '!D2795,"AAAAAFz+f18=")</f>
        <v>#VALUE!</v>
      </c>
      <c r="CS128" t="e">
        <f>AND('STERLING CATALOG - DRY '!E2795,"AAAAAFz+f2A=")</f>
        <v>#VALUE!</v>
      </c>
      <c r="CT128" t="e">
        <f>AND('STERLING CATALOG - DRY '!F2795,"AAAAAFz+f2E=")</f>
        <v>#VALUE!</v>
      </c>
      <c r="CU128" t="e">
        <f>AND('STERLING CATALOG - DRY '!G2795,"AAAAAFz+f2I=")</f>
        <v>#VALUE!</v>
      </c>
      <c r="CV128" t="e">
        <f>AND('STERLING CATALOG - DRY '!H2795,"AAAAAFz+f2M=")</f>
        <v>#VALUE!</v>
      </c>
      <c r="CW128" t="e">
        <f>AND('STERLING CATALOG - DRY '!I2795,"AAAAAFz+f2Q=")</f>
        <v>#VALUE!</v>
      </c>
      <c r="CX128" t="e">
        <f>AND('STERLING CATALOG - DRY '!J2795,"AAAAAFz+f2U=")</f>
        <v>#VALUE!</v>
      </c>
      <c r="CY128">
        <f>IF('STERLING CATALOG - DRY '!2796:2796,"AAAAAFz+f2Y=",0)</f>
        <v>0</v>
      </c>
      <c r="CZ128" t="e">
        <f>AND('STERLING CATALOG - DRY '!A2796,"AAAAAFz+f2c=")</f>
        <v>#VALUE!</v>
      </c>
      <c r="DA128" t="e">
        <f>AND('STERLING CATALOG - DRY '!B2796,"AAAAAFz+f2g=")</f>
        <v>#VALUE!</v>
      </c>
      <c r="DB128" t="e">
        <f>AND('STERLING CATALOG - DRY '!C2796,"AAAAAFz+f2k=")</f>
        <v>#VALUE!</v>
      </c>
      <c r="DC128" t="e">
        <f>AND('STERLING CATALOG - DRY '!D2796,"AAAAAFz+f2o=")</f>
        <v>#VALUE!</v>
      </c>
      <c r="DD128" t="e">
        <f>AND('STERLING CATALOG - DRY '!E2796,"AAAAAFz+f2s=")</f>
        <v>#VALUE!</v>
      </c>
      <c r="DE128" t="e">
        <f>AND('STERLING CATALOG - DRY '!F2796,"AAAAAFz+f2w=")</f>
        <v>#VALUE!</v>
      </c>
      <c r="DF128" t="e">
        <f>AND('STERLING CATALOG - DRY '!G2796,"AAAAAFz+f20=")</f>
        <v>#VALUE!</v>
      </c>
      <c r="DG128" t="e">
        <f>AND('STERLING CATALOG - DRY '!H2796,"AAAAAFz+f24=")</f>
        <v>#VALUE!</v>
      </c>
      <c r="DH128" t="e">
        <f>AND('STERLING CATALOG - DRY '!I2796,"AAAAAFz+f28=")</f>
        <v>#VALUE!</v>
      </c>
      <c r="DI128" t="e">
        <f>AND('STERLING CATALOG - DRY '!J2796,"AAAAAFz+f3A=")</f>
        <v>#VALUE!</v>
      </c>
      <c r="DJ128">
        <f>IF('STERLING CATALOG - DRY '!2797:2797,"AAAAAFz+f3E=",0)</f>
        <v>0</v>
      </c>
      <c r="DK128" t="e">
        <f>AND('STERLING CATALOG - DRY '!A2797,"AAAAAFz+f3I=")</f>
        <v>#VALUE!</v>
      </c>
      <c r="DL128" t="e">
        <f>AND('STERLING CATALOG - DRY '!B2797,"AAAAAFz+f3M=")</f>
        <v>#VALUE!</v>
      </c>
      <c r="DM128" t="e">
        <f>AND('STERLING CATALOG - DRY '!C2797,"AAAAAFz+f3Q=")</f>
        <v>#VALUE!</v>
      </c>
      <c r="DN128" t="e">
        <f>AND('STERLING CATALOG - DRY '!D2797,"AAAAAFz+f3U=")</f>
        <v>#VALUE!</v>
      </c>
      <c r="DO128" t="e">
        <f>AND('STERLING CATALOG - DRY '!E2797,"AAAAAFz+f3Y=")</f>
        <v>#VALUE!</v>
      </c>
      <c r="DP128" t="e">
        <f>AND('STERLING CATALOG - DRY '!F2797,"AAAAAFz+f3c=")</f>
        <v>#VALUE!</v>
      </c>
      <c r="DQ128" t="e">
        <f>AND('STERLING CATALOG - DRY '!G2797,"AAAAAFz+f3g=")</f>
        <v>#VALUE!</v>
      </c>
      <c r="DR128" t="e">
        <f>AND('STERLING CATALOG - DRY '!H2797,"AAAAAFz+f3k=")</f>
        <v>#VALUE!</v>
      </c>
      <c r="DS128" t="e">
        <f>AND('STERLING CATALOG - DRY '!I2797,"AAAAAFz+f3o=")</f>
        <v>#VALUE!</v>
      </c>
      <c r="DT128" t="e">
        <f>AND('STERLING CATALOG - DRY '!J2797,"AAAAAFz+f3s=")</f>
        <v>#VALUE!</v>
      </c>
      <c r="DU128">
        <f>IF('STERLING CATALOG - DRY '!2798:2798,"AAAAAFz+f3w=",0)</f>
        <v>0</v>
      </c>
      <c r="DV128" t="e">
        <f>AND('STERLING CATALOG - DRY '!A2798,"AAAAAFz+f30=")</f>
        <v>#VALUE!</v>
      </c>
      <c r="DW128" t="e">
        <f>AND('STERLING CATALOG - DRY '!B2798,"AAAAAFz+f34=")</f>
        <v>#VALUE!</v>
      </c>
      <c r="DX128" t="e">
        <f>AND('STERLING CATALOG - DRY '!C2798,"AAAAAFz+f38=")</f>
        <v>#VALUE!</v>
      </c>
      <c r="DY128" t="e">
        <f>AND('STERLING CATALOG - DRY '!D2798,"AAAAAFz+f4A=")</f>
        <v>#VALUE!</v>
      </c>
      <c r="DZ128" t="e">
        <f>AND('STERLING CATALOG - DRY '!E2798,"AAAAAFz+f4E=")</f>
        <v>#VALUE!</v>
      </c>
      <c r="EA128" t="e">
        <f>AND('STERLING CATALOG - DRY '!F2798,"AAAAAFz+f4I=")</f>
        <v>#VALUE!</v>
      </c>
      <c r="EB128" t="e">
        <f>AND('STERLING CATALOG - DRY '!G2798,"AAAAAFz+f4M=")</f>
        <v>#VALUE!</v>
      </c>
      <c r="EC128" t="e">
        <f>AND('STERLING CATALOG - DRY '!H2798,"AAAAAFz+f4Q=")</f>
        <v>#VALUE!</v>
      </c>
      <c r="ED128" t="e">
        <f>AND('STERLING CATALOG - DRY '!I2798,"AAAAAFz+f4U=")</f>
        <v>#VALUE!</v>
      </c>
      <c r="EE128" t="e">
        <f>AND('STERLING CATALOG - DRY '!J2798,"AAAAAFz+f4Y=")</f>
        <v>#VALUE!</v>
      </c>
      <c r="EF128">
        <f>IF('STERLING CATALOG - DRY '!2799:2799,"AAAAAFz+f4c=",0)</f>
        <v>0</v>
      </c>
      <c r="EG128" t="e">
        <f>AND('STERLING CATALOG - DRY '!A2799,"AAAAAFz+f4g=")</f>
        <v>#VALUE!</v>
      </c>
      <c r="EH128" t="e">
        <f>AND('STERLING CATALOG - DRY '!B2799,"AAAAAFz+f4k=")</f>
        <v>#VALUE!</v>
      </c>
      <c r="EI128" t="e">
        <f>AND('STERLING CATALOG - DRY '!C2799,"AAAAAFz+f4o=")</f>
        <v>#VALUE!</v>
      </c>
      <c r="EJ128" t="e">
        <f>AND('STERLING CATALOG - DRY '!D2799,"AAAAAFz+f4s=")</f>
        <v>#VALUE!</v>
      </c>
      <c r="EK128" t="e">
        <f>AND('STERLING CATALOG - DRY '!E2799,"AAAAAFz+f4w=")</f>
        <v>#VALUE!</v>
      </c>
      <c r="EL128" t="e">
        <f>AND('STERLING CATALOG - DRY '!F2799,"AAAAAFz+f40=")</f>
        <v>#VALUE!</v>
      </c>
      <c r="EM128" t="e">
        <f>AND('STERLING CATALOG - DRY '!G2799,"AAAAAFz+f44=")</f>
        <v>#VALUE!</v>
      </c>
      <c r="EN128" t="e">
        <f>AND('STERLING CATALOG - DRY '!H2799,"AAAAAFz+f48=")</f>
        <v>#VALUE!</v>
      </c>
      <c r="EO128" t="e">
        <f>AND('STERLING CATALOG - DRY '!I2799,"AAAAAFz+f5A=")</f>
        <v>#VALUE!</v>
      </c>
      <c r="EP128" t="e">
        <f>AND('STERLING CATALOG - DRY '!J2799,"AAAAAFz+f5E=")</f>
        <v>#VALUE!</v>
      </c>
      <c r="EQ128">
        <f>IF('STERLING CATALOG - DRY '!2800:2800,"AAAAAFz+f5I=",0)</f>
        <v>0</v>
      </c>
      <c r="ER128" t="e">
        <f>AND('STERLING CATALOG - DRY '!A2800,"AAAAAFz+f5M=")</f>
        <v>#VALUE!</v>
      </c>
      <c r="ES128" t="e">
        <f>AND('STERLING CATALOG - DRY '!B2800,"AAAAAFz+f5Q=")</f>
        <v>#VALUE!</v>
      </c>
      <c r="ET128" t="e">
        <f>AND('STERLING CATALOG - DRY '!C2800,"AAAAAFz+f5U=")</f>
        <v>#VALUE!</v>
      </c>
      <c r="EU128" t="e">
        <f>AND('STERLING CATALOG - DRY '!D2800,"AAAAAFz+f5Y=")</f>
        <v>#VALUE!</v>
      </c>
      <c r="EV128" t="e">
        <f>AND('STERLING CATALOG - DRY '!E2800,"AAAAAFz+f5c=")</f>
        <v>#VALUE!</v>
      </c>
      <c r="EW128" t="e">
        <f>AND('STERLING CATALOG - DRY '!F2800,"AAAAAFz+f5g=")</f>
        <v>#VALUE!</v>
      </c>
      <c r="EX128" t="e">
        <f>AND('STERLING CATALOG - DRY '!G2800,"AAAAAFz+f5k=")</f>
        <v>#VALUE!</v>
      </c>
      <c r="EY128" t="e">
        <f>AND('STERLING CATALOG - DRY '!H2800,"AAAAAFz+f5o=")</f>
        <v>#VALUE!</v>
      </c>
      <c r="EZ128" t="e">
        <f>AND('STERLING CATALOG - DRY '!I2800,"AAAAAFz+f5s=")</f>
        <v>#VALUE!</v>
      </c>
      <c r="FA128" t="e">
        <f>AND('STERLING CATALOG - DRY '!J2800,"AAAAAFz+f5w=")</f>
        <v>#VALUE!</v>
      </c>
      <c r="FB128">
        <f>IF('STERLING CATALOG - DRY '!2801:2801,"AAAAAFz+f50=",0)</f>
        <v>0</v>
      </c>
      <c r="FC128" t="e">
        <f>AND('STERLING CATALOG - DRY '!A2801,"AAAAAFz+f54=")</f>
        <v>#VALUE!</v>
      </c>
      <c r="FD128" t="e">
        <f>AND('STERLING CATALOG - DRY '!B2801,"AAAAAFz+f58=")</f>
        <v>#VALUE!</v>
      </c>
      <c r="FE128" t="e">
        <f>AND('STERLING CATALOG - DRY '!C2801,"AAAAAFz+f6A=")</f>
        <v>#VALUE!</v>
      </c>
      <c r="FF128" t="e">
        <f>AND('STERLING CATALOG - DRY '!D2801,"AAAAAFz+f6E=")</f>
        <v>#VALUE!</v>
      </c>
      <c r="FG128" t="e">
        <f>AND('STERLING CATALOG - DRY '!E2801,"AAAAAFz+f6I=")</f>
        <v>#VALUE!</v>
      </c>
      <c r="FH128" t="e">
        <f>AND('STERLING CATALOG - DRY '!F2801,"AAAAAFz+f6M=")</f>
        <v>#VALUE!</v>
      </c>
      <c r="FI128" t="e">
        <f>AND('STERLING CATALOG - DRY '!G2801,"AAAAAFz+f6Q=")</f>
        <v>#VALUE!</v>
      </c>
      <c r="FJ128" t="e">
        <f>AND('STERLING CATALOG - DRY '!H2801,"AAAAAFz+f6U=")</f>
        <v>#VALUE!</v>
      </c>
      <c r="FK128" t="e">
        <f>AND('STERLING CATALOG - DRY '!I2801,"AAAAAFz+f6Y=")</f>
        <v>#VALUE!</v>
      </c>
      <c r="FL128" t="e">
        <f>AND('STERLING CATALOG - DRY '!J2801,"AAAAAFz+f6c=")</f>
        <v>#VALUE!</v>
      </c>
      <c r="FM128">
        <f>IF('STERLING CATALOG - DRY '!2802:2802,"AAAAAFz+f6g=",0)</f>
        <v>0</v>
      </c>
      <c r="FN128" t="e">
        <f>AND('STERLING CATALOG - DRY '!A2802,"AAAAAFz+f6k=")</f>
        <v>#VALUE!</v>
      </c>
      <c r="FO128" t="e">
        <f>AND('STERLING CATALOG - DRY '!B2802,"AAAAAFz+f6o=")</f>
        <v>#VALUE!</v>
      </c>
      <c r="FP128" t="e">
        <f>AND('STERLING CATALOG - DRY '!C2802,"AAAAAFz+f6s=")</f>
        <v>#VALUE!</v>
      </c>
      <c r="FQ128" t="e">
        <f>AND('STERLING CATALOG - DRY '!D2802,"AAAAAFz+f6w=")</f>
        <v>#VALUE!</v>
      </c>
      <c r="FR128" t="e">
        <f>AND('STERLING CATALOG - DRY '!E2802,"AAAAAFz+f60=")</f>
        <v>#VALUE!</v>
      </c>
      <c r="FS128" t="e">
        <f>AND('STERLING CATALOG - DRY '!F2802,"AAAAAFz+f64=")</f>
        <v>#VALUE!</v>
      </c>
      <c r="FT128" t="e">
        <f>AND('STERLING CATALOG - DRY '!G2802,"AAAAAFz+f68=")</f>
        <v>#VALUE!</v>
      </c>
      <c r="FU128" t="e">
        <f>AND('STERLING CATALOG - DRY '!H2802,"AAAAAFz+f7A=")</f>
        <v>#VALUE!</v>
      </c>
      <c r="FV128" t="e">
        <f>AND('STERLING CATALOG - DRY '!I2802,"AAAAAFz+f7E=")</f>
        <v>#VALUE!</v>
      </c>
      <c r="FW128" t="e">
        <f>AND('STERLING CATALOG - DRY '!J2802,"AAAAAFz+f7I=")</f>
        <v>#VALUE!</v>
      </c>
      <c r="FX128">
        <f>IF('STERLING CATALOG - DRY '!2803:2803,"AAAAAFz+f7M=",0)</f>
        <v>0</v>
      </c>
      <c r="FY128" t="e">
        <f>AND('STERLING CATALOG - DRY '!A2803,"AAAAAFz+f7Q=")</f>
        <v>#VALUE!</v>
      </c>
      <c r="FZ128" t="e">
        <f>AND('STERLING CATALOG - DRY '!B2803,"AAAAAFz+f7U=")</f>
        <v>#VALUE!</v>
      </c>
      <c r="GA128" t="e">
        <f>AND('STERLING CATALOG - DRY '!C2803,"AAAAAFz+f7Y=")</f>
        <v>#VALUE!</v>
      </c>
      <c r="GB128" t="e">
        <f>AND('STERLING CATALOG - DRY '!D2803,"AAAAAFz+f7c=")</f>
        <v>#VALUE!</v>
      </c>
      <c r="GC128" t="e">
        <f>AND('STERLING CATALOG - DRY '!E2803,"AAAAAFz+f7g=")</f>
        <v>#VALUE!</v>
      </c>
      <c r="GD128" t="e">
        <f>AND('STERLING CATALOG - DRY '!F2803,"AAAAAFz+f7k=")</f>
        <v>#VALUE!</v>
      </c>
      <c r="GE128" t="e">
        <f>AND('STERLING CATALOG - DRY '!G2803,"AAAAAFz+f7o=")</f>
        <v>#VALUE!</v>
      </c>
      <c r="GF128" t="e">
        <f>AND('STERLING CATALOG - DRY '!H2803,"AAAAAFz+f7s=")</f>
        <v>#VALUE!</v>
      </c>
      <c r="GG128" t="e">
        <f>AND('STERLING CATALOG - DRY '!I2803,"AAAAAFz+f7w=")</f>
        <v>#VALUE!</v>
      </c>
      <c r="GH128" t="e">
        <f>AND('STERLING CATALOG - DRY '!J2803,"AAAAAFz+f70=")</f>
        <v>#VALUE!</v>
      </c>
      <c r="GI128">
        <f>IF('STERLING CATALOG - DRY '!2804:2804,"AAAAAFz+f74=",0)</f>
        <v>0</v>
      </c>
      <c r="GJ128" t="e">
        <f>AND('STERLING CATALOG - DRY '!A2804,"AAAAAFz+f78=")</f>
        <v>#VALUE!</v>
      </c>
      <c r="GK128" t="e">
        <f>AND('STERLING CATALOG - DRY '!B2804,"AAAAAFz+f8A=")</f>
        <v>#VALUE!</v>
      </c>
      <c r="GL128" t="e">
        <f>AND('STERLING CATALOG - DRY '!C2804,"AAAAAFz+f8E=")</f>
        <v>#VALUE!</v>
      </c>
      <c r="GM128" t="e">
        <f>AND('STERLING CATALOG - DRY '!D2804,"AAAAAFz+f8I=")</f>
        <v>#VALUE!</v>
      </c>
      <c r="GN128" t="e">
        <f>AND('STERLING CATALOG - DRY '!E2804,"AAAAAFz+f8M=")</f>
        <v>#VALUE!</v>
      </c>
      <c r="GO128" t="e">
        <f>AND('STERLING CATALOG - DRY '!F2804,"AAAAAFz+f8Q=")</f>
        <v>#VALUE!</v>
      </c>
      <c r="GP128" t="e">
        <f>AND('STERLING CATALOG - DRY '!G2804,"AAAAAFz+f8U=")</f>
        <v>#VALUE!</v>
      </c>
      <c r="GQ128" t="e">
        <f>AND('STERLING CATALOG - DRY '!H2804,"AAAAAFz+f8Y=")</f>
        <v>#VALUE!</v>
      </c>
      <c r="GR128" t="e">
        <f>AND('STERLING CATALOG - DRY '!I2804,"AAAAAFz+f8c=")</f>
        <v>#VALUE!</v>
      </c>
      <c r="GS128" t="e">
        <f>AND('STERLING CATALOG - DRY '!J2804,"AAAAAFz+f8g=")</f>
        <v>#VALUE!</v>
      </c>
      <c r="GT128">
        <f>IF('STERLING CATALOG - DRY '!2805:2805,"AAAAAFz+f8k=",0)</f>
        <v>0</v>
      </c>
      <c r="GU128" t="e">
        <f>AND('STERLING CATALOG - DRY '!A2805,"AAAAAFz+f8o=")</f>
        <v>#VALUE!</v>
      </c>
      <c r="GV128" t="e">
        <f>AND('STERLING CATALOG - DRY '!B2805,"AAAAAFz+f8s=")</f>
        <v>#VALUE!</v>
      </c>
      <c r="GW128" t="e">
        <f>AND('STERLING CATALOG - DRY '!C2805,"AAAAAFz+f8w=")</f>
        <v>#VALUE!</v>
      </c>
      <c r="GX128" t="e">
        <f>AND('STERLING CATALOG - DRY '!D2805,"AAAAAFz+f80=")</f>
        <v>#VALUE!</v>
      </c>
      <c r="GY128" t="e">
        <f>AND('STERLING CATALOG - DRY '!E2805,"AAAAAFz+f84=")</f>
        <v>#VALUE!</v>
      </c>
      <c r="GZ128" t="e">
        <f>AND('STERLING CATALOG - DRY '!F2805,"AAAAAFz+f88=")</f>
        <v>#VALUE!</v>
      </c>
      <c r="HA128" t="e">
        <f>AND('STERLING CATALOG - DRY '!G2805,"AAAAAFz+f9A=")</f>
        <v>#VALUE!</v>
      </c>
      <c r="HB128" t="e">
        <f>AND('STERLING CATALOG - DRY '!H2805,"AAAAAFz+f9E=")</f>
        <v>#VALUE!</v>
      </c>
      <c r="HC128" t="e">
        <f>AND('STERLING CATALOG - DRY '!I2805,"AAAAAFz+f9I=")</f>
        <v>#VALUE!</v>
      </c>
      <c r="HD128" t="e">
        <f>AND('STERLING CATALOG - DRY '!J2805,"AAAAAFz+f9M=")</f>
        <v>#VALUE!</v>
      </c>
      <c r="HE128">
        <f>IF('STERLING CATALOG - DRY '!2806:2806,"AAAAAFz+f9Q=",0)</f>
        <v>0</v>
      </c>
      <c r="HF128" t="e">
        <f>AND('STERLING CATALOG - DRY '!A2806,"AAAAAFz+f9U=")</f>
        <v>#VALUE!</v>
      </c>
      <c r="HG128" t="e">
        <f>AND('STERLING CATALOG - DRY '!B2806,"AAAAAFz+f9Y=")</f>
        <v>#VALUE!</v>
      </c>
      <c r="HH128" t="e">
        <f>AND('STERLING CATALOG - DRY '!C2806,"AAAAAFz+f9c=")</f>
        <v>#VALUE!</v>
      </c>
      <c r="HI128" t="e">
        <f>AND('STERLING CATALOG - DRY '!D2806,"AAAAAFz+f9g=")</f>
        <v>#VALUE!</v>
      </c>
      <c r="HJ128" t="e">
        <f>AND('STERLING CATALOG - DRY '!E2806,"AAAAAFz+f9k=")</f>
        <v>#VALUE!</v>
      </c>
      <c r="HK128" t="e">
        <f>AND('STERLING CATALOG - DRY '!F2806,"AAAAAFz+f9o=")</f>
        <v>#VALUE!</v>
      </c>
      <c r="HL128" t="e">
        <f>AND('STERLING CATALOG - DRY '!G2806,"AAAAAFz+f9s=")</f>
        <v>#VALUE!</v>
      </c>
      <c r="HM128" t="e">
        <f>AND('STERLING CATALOG - DRY '!H2806,"AAAAAFz+f9w=")</f>
        <v>#VALUE!</v>
      </c>
      <c r="HN128" t="e">
        <f>AND('STERLING CATALOG - DRY '!I2806,"AAAAAFz+f90=")</f>
        <v>#VALUE!</v>
      </c>
      <c r="HO128" t="e">
        <f>AND('STERLING CATALOG - DRY '!J2806,"AAAAAFz+f94=")</f>
        <v>#VALUE!</v>
      </c>
      <c r="HP128">
        <f>IF('STERLING CATALOG - DRY '!2807:2807,"AAAAAFz+f98=",0)</f>
        <v>0</v>
      </c>
      <c r="HQ128" t="e">
        <f>AND('STERLING CATALOG - DRY '!A2807,"AAAAAFz+f+A=")</f>
        <v>#VALUE!</v>
      </c>
      <c r="HR128" t="e">
        <f>AND('STERLING CATALOG - DRY '!B2807,"AAAAAFz+f+E=")</f>
        <v>#VALUE!</v>
      </c>
      <c r="HS128" t="e">
        <f>AND('STERLING CATALOG - DRY '!C2807,"AAAAAFz+f+I=")</f>
        <v>#VALUE!</v>
      </c>
      <c r="HT128" t="e">
        <f>AND('STERLING CATALOG - DRY '!D2807,"AAAAAFz+f+M=")</f>
        <v>#VALUE!</v>
      </c>
      <c r="HU128" t="e">
        <f>AND('STERLING CATALOG - DRY '!E2807,"AAAAAFz+f+Q=")</f>
        <v>#VALUE!</v>
      </c>
      <c r="HV128" t="e">
        <f>AND('STERLING CATALOG - DRY '!F2807,"AAAAAFz+f+U=")</f>
        <v>#VALUE!</v>
      </c>
      <c r="HW128" t="e">
        <f>AND('STERLING CATALOG - DRY '!G2807,"AAAAAFz+f+Y=")</f>
        <v>#VALUE!</v>
      </c>
      <c r="HX128" t="e">
        <f>AND('STERLING CATALOG - DRY '!H2807,"AAAAAFz+f+c=")</f>
        <v>#VALUE!</v>
      </c>
      <c r="HY128" t="e">
        <f>AND('STERLING CATALOG - DRY '!I2807,"AAAAAFz+f+g=")</f>
        <v>#VALUE!</v>
      </c>
      <c r="HZ128" t="e">
        <f>AND('STERLING CATALOG - DRY '!J2807,"AAAAAFz+f+k=")</f>
        <v>#VALUE!</v>
      </c>
      <c r="IA128">
        <f>IF('STERLING CATALOG - DRY '!2808:2808,"AAAAAFz+f+o=",0)</f>
        <v>0</v>
      </c>
      <c r="IB128" t="e">
        <f>AND('STERLING CATALOG - DRY '!A2808,"AAAAAFz+f+s=")</f>
        <v>#VALUE!</v>
      </c>
      <c r="IC128" t="e">
        <f>AND('STERLING CATALOG - DRY '!B2808,"AAAAAFz+f+w=")</f>
        <v>#VALUE!</v>
      </c>
      <c r="ID128" t="e">
        <f>AND('STERLING CATALOG - DRY '!C2808,"AAAAAFz+f+0=")</f>
        <v>#VALUE!</v>
      </c>
      <c r="IE128" t="e">
        <f>AND('STERLING CATALOG - DRY '!D2808,"AAAAAFz+f+4=")</f>
        <v>#VALUE!</v>
      </c>
      <c r="IF128" t="e">
        <f>AND('STERLING CATALOG - DRY '!E2808,"AAAAAFz+f+8=")</f>
        <v>#VALUE!</v>
      </c>
      <c r="IG128" t="e">
        <f>AND('STERLING CATALOG - DRY '!F2808,"AAAAAFz+f/A=")</f>
        <v>#VALUE!</v>
      </c>
      <c r="IH128" t="e">
        <f>AND('STERLING CATALOG - DRY '!G2808,"AAAAAFz+f/E=")</f>
        <v>#VALUE!</v>
      </c>
      <c r="II128" t="e">
        <f>AND('STERLING CATALOG - DRY '!H2808,"AAAAAFz+f/I=")</f>
        <v>#VALUE!</v>
      </c>
      <c r="IJ128" t="e">
        <f>AND('STERLING CATALOG - DRY '!I2808,"AAAAAFz+f/M=")</f>
        <v>#VALUE!</v>
      </c>
      <c r="IK128" t="e">
        <f>AND('STERLING CATALOG - DRY '!J2808,"AAAAAFz+f/Q=")</f>
        <v>#VALUE!</v>
      </c>
      <c r="IL128">
        <f>IF('STERLING CATALOG - DRY '!2809:2809,"AAAAAFz+f/U=",0)</f>
        <v>0</v>
      </c>
      <c r="IM128" t="e">
        <f>AND('STERLING CATALOG - DRY '!A2809,"AAAAAFz+f/Y=")</f>
        <v>#VALUE!</v>
      </c>
      <c r="IN128" t="e">
        <f>AND('STERLING CATALOG - DRY '!B2809,"AAAAAFz+f/c=")</f>
        <v>#VALUE!</v>
      </c>
      <c r="IO128" t="e">
        <f>AND('STERLING CATALOG - DRY '!C2809,"AAAAAFz+f/g=")</f>
        <v>#VALUE!</v>
      </c>
      <c r="IP128" t="e">
        <f>AND('STERLING CATALOG - DRY '!D2809,"AAAAAFz+f/k=")</f>
        <v>#VALUE!</v>
      </c>
      <c r="IQ128" t="e">
        <f>AND('STERLING CATALOG - DRY '!E2809,"AAAAAFz+f/o=")</f>
        <v>#VALUE!</v>
      </c>
      <c r="IR128" t="e">
        <f>AND('STERLING CATALOG - DRY '!F2809,"AAAAAFz+f/s=")</f>
        <v>#VALUE!</v>
      </c>
      <c r="IS128" t="e">
        <f>AND('STERLING CATALOG - DRY '!G2809,"AAAAAFz+f/w=")</f>
        <v>#VALUE!</v>
      </c>
      <c r="IT128" t="e">
        <f>AND('STERLING CATALOG - DRY '!H2809,"AAAAAFz+f/0=")</f>
        <v>#VALUE!</v>
      </c>
      <c r="IU128" t="e">
        <f>AND('STERLING CATALOG - DRY '!I2809,"AAAAAFz+f/4=")</f>
        <v>#VALUE!</v>
      </c>
      <c r="IV128" t="e">
        <f>AND('STERLING CATALOG - DRY '!J2809,"AAAAAFz+f/8=")</f>
        <v>#VALUE!</v>
      </c>
    </row>
    <row r="129" spans="1:256">
      <c r="A129" t="str">
        <f>IF('STERLING CATALOG - DRY '!2810:2810,"AAAAADJ//QA=",0)</f>
        <v>AAAAADJ//QA=</v>
      </c>
      <c r="B129" t="e">
        <f>AND('STERLING CATALOG - DRY '!A2810,"AAAAADJ//QE=")</f>
        <v>#VALUE!</v>
      </c>
      <c r="C129" t="e">
        <f>AND('STERLING CATALOG - DRY '!B2810,"AAAAADJ//QI=")</f>
        <v>#VALUE!</v>
      </c>
      <c r="D129" t="e">
        <f>AND('STERLING CATALOG - DRY '!C2810,"AAAAADJ//QM=")</f>
        <v>#VALUE!</v>
      </c>
      <c r="E129" t="e">
        <f>AND('STERLING CATALOG - DRY '!D2810,"AAAAADJ//QQ=")</f>
        <v>#VALUE!</v>
      </c>
      <c r="F129" t="e">
        <f>AND('STERLING CATALOG - DRY '!E2810,"AAAAADJ//QU=")</f>
        <v>#VALUE!</v>
      </c>
      <c r="G129" t="e">
        <f>AND('STERLING CATALOG - DRY '!F2810,"AAAAADJ//QY=")</f>
        <v>#VALUE!</v>
      </c>
      <c r="H129" t="e">
        <f>AND('STERLING CATALOG - DRY '!G2810,"AAAAADJ//Qc=")</f>
        <v>#VALUE!</v>
      </c>
      <c r="I129" t="e">
        <f>AND('STERLING CATALOG - DRY '!H2810,"AAAAADJ//Qg=")</f>
        <v>#VALUE!</v>
      </c>
      <c r="J129" t="e">
        <f>AND('STERLING CATALOG - DRY '!I2810,"AAAAADJ//Qk=")</f>
        <v>#VALUE!</v>
      </c>
      <c r="K129" t="e">
        <f>AND('STERLING CATALOG - DRY '!J2810,"AAAAADJ//Qo=")</f>
        <v>#VALUE!</v>
      </c>
      <c r="L129">
        <f>IF('STERLING CATALOG - DRY '!2811:2811,"AAAAADJ//Qs=",0)</f>
        <v>0</v>
      </c>
      <c r="M129" t="e">
        <f>AND('STERLING CATALOG - DRY '!A2811,"AAAAADJ//Qw=")</f>
        <v>#VALUE!</v>
      </c>
      <c r="N129" t="e">
        <f>AND('STERLING CATALOG - DRY '!B2811,"AAAAADJ//Q0=")</f>
        <v>#VALUE!</v>
      </c>
      <c r="O129" t="e">
        <f>AND('STERLING CATALOG - DRY '!C2811,"AAAAADJ//Q4=")</f>
        <v>#VALUE!</v>
      </c>
      <c r="P129" t="e">
        <f>AND('STERLING CATALOG - DRY '!D2811,"AAAAADJ//Q8=")</f>
        <v>#VALUE!</v>
      </c>
      <c r="Q129" t="e">
        <f>AND('STERLING CATALOG - DRY '!E2811,"AAAAADJ//RA=")</f>
        <v>#VALUE!</v>
      </c>
      <c r="R129" t="e">
        <f>AND('STERLING CATALOG - DRY '!F2811,"AAAAADJ//RE=")</f>
        <v>#VALUE!</v>
      </c>
      <c r="S129" t="e">
        <f>AND('STERLING CATALOG - DRY '!G2811,"AAAAADJ//RI=")</f>
        <v>#VALUE!</v>
      </c>
      <c r="T129" t="e">
        <f>AND('STERLING CATALOG - DRY '!H2811,"AAAAADJ//RM=")</f>
        <v>#VALUE!</v>
      </c>
      <c r="U129" t="e">
        <f>AND('STERLING CATALOG - DRY '!I2811,"AAAAADJ//RQ=")</f>
        <v>#VALUE!</v>
      </c>
      <c r="V129" t="e">
        <f>AND('STERLING CATALOG - DRY '!J2811,"AAAAADJ//RU=")</f>
        <v>#VALUE!</v>
      </c>
      <c r="W129">
        <f>IF('STERLING CATALOG - DRY '!2812:2812,"AAAAADJ//RY=",0)</f>
        <v>0</v>
      </c>
      <c r="X129" t="e">
        <f>AND('STERLING CATALOG - DRY '!A2812,"AAAAADJ//Rc=")</f>
        <v>#VALUE!</v>
      </c>
      <c r="Y129" t="e">
        <f>AND('STERLING CATALOG - DRY '!B2812,"AAAAADJ//Rg=")</f>
        <v>#VALUE!</v>
      </c>
      <c r="Z129" t="e">
        <f>AND('STERLING CATALOG - DRY '!C2812,"AAAAADJ//Rk=")</f>
        <v>#VALUE!</v>
      </c>
      <c r="AA129" t="e">
        <f>AND('STERLING CATALOG - DRY '!D2812,"AAAAADJ//Ro=")</f>
        <v>#VALUE!</v>
      </c>
      <c r="AB129" t="e">
        <f>AND('STERLING CATALOG - DRY '!E2812,"AAAAADJ//Rs=")</f>
        <v>#VALUE!</v>
      </c>
      <c r="AC129" t="e">
        <f>AND('STERLING CATALOG - DRY '!F2812,"AAAAADJ//Rw=")</f>
        <v>#VALUE!</v>
      </c>
      <c r="AD129" t="e">
        <f>AND('STERLING CATALOG - DRY '!G2812,"AAAAADJ//R0=")</f>
        <v>#VALUE!</v>
      </c>
      <c r="AE129" t="e">
        <f>AND('STERLING CATALOG - DRY '!H2812,"AAAAADJ//R4=")</f>
        <v>#VALUE!</v>
      </c>
      <c r="AF129" t="e">
        <f>AND('STERLING CATALOG - DRY '!I2812,"AAAAADJ//R8=")</f>
        <v>#VALUE!</v>
      </c>
      <c r="AG129" t="e">
        <f>AND('STERLING CATALOG - DRY '!J2812,"AAAAADJ//SA=")</f>
        <v>#VALUE!</v>
      </c>
      <c r="AH129">
        <f>IF('STERLING CATALOG - DRY '!2813:2813,"AAAAADJ//SE=",0)</f>
        <v>0</v>
      </c>
      <c r="AI129" t="e">
        <f>AND('STERLING CATALOG - DRY '!A2813,"AAAAADJ//SI=")</f>
        <v>#VALUE!</v>
      </c>
      <c r="AJ129" t="e">
        <f>AND('STERLING CATALOG - DRY '!B2813,"AAAAADJ//SM=")</f>
        <v>#VALUE!</v>
      </c>
      <c r="AK129" t="e">
        <f>AND('STERLING CATALOG - DRY '!C2813,"AAAAADJ//SQ=")</f>
        <v>#VALUE!</v>
      </c>
      <c r="AL129" t="e">
        <f>AND('STERLING CATALOG - DRY '!D2813,"AAAAADJ//SU=")</f>
        <v>#VALUE!</v>
      </c>
      <c r="AM129" t="e">
        <f>AND('STERLING CATALOG - DRY '!E2813,"AAAAADJ//SY=")</f>
        <v>#VALUE!</v>
      </c>
      <c r="AN129" t="e">
        <f>AND('STERLING CATALOG - DRY '!F2813,"AAAAADJ//Sc=")</f>
        <v>#VALUE!</v>
      </c>
      <c r="AO129" t="e">
        <f>AND('STERLING CATALOG - DRY '!G2813,"AAAAADJ//Sg=")</f>
        <v>#VALUE!</v>
      </c>
      <c r="AP129" t="e">
        <f>AND('STERLING CATALOG - DRY '!H2813,"AAAAADJ//Sk=")</f>
        <v>#VALUE!</v>
      </c>
      <c r="AQ129" t="e">
        <f>AND('STERLING CATALOG - DRY '!I2813,"AAAAADJ//So=")</f>
        <v>#VALUE!</v>
      </c>
      <c r="AR129" t="e">
        <f>AND('STERLING CATALOG - DRY '!J2813,"AAAAADJ//Ss=")</f>
        <v>#VALUE!</v>
      </c>
      <c r="AS129">
        <f>IF('STERLING CATALOG - DRY '!2814:2814,"AAAAADJ//Sw=",0)</f>
        <v>0</v>
      </c>
      <c r="AT129" t="e">
        <f>AND('STERLING CATALOG - DRY '!A2814,"AAAAADJ//S0=")</f>
        <v>#VALUE!</v>
      </c>
      <c r="AU129" t="e">
        <f>AND('STERLING CATALOG - DRY '!B2814,"AAAAADJ//S4=")</f>
        <v>#VALUE!</v>
      </c>
      <c r="AV129" t="e">
        <f>AND('STERLING CATALOG - DRY '!C2814,"AAAAADJ//S8=")</f>
        <v>#VALUE!</v>
      </c>
      <c r="AW129" t="e">
        <f>AND('STERLING CATALOG - DRY '!D2814,"AAAAADJ//TA=")</f>
        <v>#VALUE!</v>
      </c>
      <c r="AX129" t="e">
        <f>AND('STERLING CATALOG - DRY '!E2814,"AAAAADJ//TE=")</f>
        <v>#VALUE!</v>
      </c>
      <c r="AY129" t="e">
        <f>AND('STERLING CATALOG - DRY '!F2814,"AAAAADJ//TI=")</f>
        <v>#VALUE!</v>
      </c>
      <c r="AZ129" t="e">
        <f>AND('STERLING CATALOG - DRY '!G2814,"AAAAADJ//TM=")</f>
        <v>#VALUE!</v>
      </c>
      <c r="BA129" t="e">
        <f>AND('STERLING CATALOG - DRY '!H2814,"AAAAADJ//TQ=")</f>
        <v>#VALUE!</v>
      </c>
      <c r="BB129" t="e">
        <f>AND('STERLING CATALOG - DRY '!I2814,"AAAAADJ//TU=")</f>
        <v>#VALUE!</v>
      </c>
      <c r="BC129" t="e">
        <f>AND('STERLING CATALOG - DRY '!J2814,"AAAAADJ//TY=")</f>
        <v>#VALUE!</v>
      </c>
      <c r="BD129">
        <f>IF('STERLING CATALOG - DRY '!2815:2815,"AAAAADJ//Tc=",0)</f>
        <v>0</v>
      </c>
      <c r="BE129" t="e">
        <f>AND('STERLING CATALOG - DRY '!A2815,"AAAAADJ//Tg=")</f>
        <v>#VALUE!</v>
      </c>
      <c r="BF129" t="e">
        <f>AND('STERLING CATALOG - DRY '!B2815,"AAAAADJ//Tk=")</f>
        <v>#VALUE!</v>
      </c>
      <c r="BG129" t="e">
        <f>AND('STERLING CATALOG - DRY '!C2815,"AAAAADJ//To=")</f>
        <v>#VALUE!</v>
      </c>
      <c r="BH129" t="e">
        <f>AND('STERLING CATALOG - DRY '!D2815,"AAAAADJ//Ts=")</f>
        <v>#VALUE!</v>
      </c>
      <c r="BI129" t="e">
        <f>AND('STERLING CATALOG - DRY '!E2815,"AAAAADJ//Tw=")</f>
        <v>#VALUE!</v>
      </c>
      <c r="BJ129" t="e">
        <f>AND('STERLING CATALOG - DRY '!F2815,"AAAAADJ//T0=")</f>
        <v>#VALUE!</v>
      </c>
      <c r="BK129" t="e">
        <f>AND('STERLING CATALOG - DRY '!G2815,"AAAAADJ//T4=")</f>
        <v>#VALUE!</v>
      </c>
      <c r="BL129" t="e">
        <f>AND('STERLING CATALOG - DRY '!H2815,"AAAAADJ//T8=")</f>
        <v>#VALUE!</v>
      </c>
      <c r="BM129" t="e">
        <f>AND('STERLING CATALOG - DRY '!I2815,"AAAAADJ//UA=")</f>
        <v>#VALUE!</v>
      </c>
      <c r="BN129" t="e">
        <f>AND('STERLING CATALOG - DRY '!J2815,"AAAAADJ//UE=")</f>
        <v>#VALUE!</v>
      </c>
      <c r="BO129">
        <f>IF('STERLING CATALOG - DRY '!2816:2816,"AAAAADJ//UI=",0)</f>
        <v>0</v>
      </c>
      <c r="BP129" t="e">
        <f>AND('STERLING CATALOG - DRY '!A2816,"AAAAADJ//UM=")</f>
        <v>#VALUE!</v>
      </c>
      <c r="BQ129" t="e">
        <f>AND('STERLING CATALOG - DRY '!B2816,"AAAAADJ//UQ=")</f>
        <v>#VALUE!</v>
      </c>
      <c r="BR129" t="e">
        <f>AND('STERLING CATALOG - DRY '!C2816,"AAAAADJ//UU=")</f>
        <v>#VALUE!</v>
      </c>
      <c r="BS129" t="e">
        <f>AND('STERLING CATALOG - DRY '!D2816,"AAAAADJ//UY=")</f>
        <v>#VALUE!</v>
      </c>
      <c r="BT129" t="e">
        <f>AND('STERLING CATALOG - DRY '!E2816,"AAAAADJ//Uc=")</f>
        <v>#VALUE!</v>
      </c>
      <c r="BU129" t="e">
        <f>AND('STERLING CATALOG - DRY '!F2816,"AAAAADJ//Ug=")</f>
        <v>#VALUE!</v>
      </c>
      <c r="BV129" t="e">
        <f>AND('STERLING CATALOG - DRY '!G2816,"AAAAADJ//Uk=")</f>
        <v>#VALUE!</v>
      </c>
      <c r="BW129" t="e">
        <f>AND('STERLING CATALOG - DRY '!H2816,"AAAAADJ//Uo=")</f>
        <v>#VALUE!</v>
      </c>
      <c r="BX129" t="e">
        <f>AND('STERLING CATALOG - DRY '!I2816,"AAAAADJ//Us=")</f>
        <v>#VALUE!</v>
      </c>
      <c r="BY129" t="e">
        <f>AND('STERLING CATALOG - DRY '!J2816,"AAAAADJ//Uw=")</f>
        <v>#VALUE!</v>
      </c>
      <c r="BZ129">
        <f>IF('STERLING CATALOG - DRY '!2817:2817,"AAAAADJ//U0=",0)</f>
        <v>0</v>
      </c>
      <c r="CA129" t="e">
        <f>AND('STERLING CATALOG - DRY '!A2817,"AAAAADJ//U4=")</f>
        <v>#VALUE!</v>
      </c>
      <c r="CB129" t="e">
        <f>AND('STERLING CATALOG - DRY '!B2817,"AAAAADJ//U8=")</f>
        <v>#VALUE!</v>
      </c>
      <c r="CC129" t="e">
        <f>AND('STERLING CATALOG - DRY '!C2817,"AAAAADJ//VA=")</f>
        <v>#VALUE!</v>
      </c>
      <c r="CD129" t="e">
        <f>AND('STERLING CATALOG - DRY '!D2817,"AAAAADJ//VE=")</f>
        <v>#VALUE!</v>
      </c>
      <c r="CE129" t="e">
        <f>AND('STERLING CATALOG - DRY '!E2817,"AAAAADJ//VI=")</f>
        <v>#VALUE!</v>
      </c>
      <c r="CF129" t="e">
        <f>AND('STERLING CATALOG - DRY '!F2817,"AAAAADJ//VM=")</f>
        <v>#VALUE!</v>
      </c>
      <c r="CG129" t="e">
        <f>AND('STERLING CATALOG - DRY '!G2817,"AAAAADJ//VQ=")</f>
        <v>#VALUE!</v>
      </c>
      <c r="CH129" t="e">
        <f>AND('STERLING CATALOG - DRY '!H2817,"AAAAADJ//VU=")</f>
        <v>#VALUE!</v>
      </c>
      <c r="CI129" t="e">
        <f>AND('STERLING CATALOG - DRY '!I2817,"AAAAADJ//VY=")</f>
        <v>#VALUE!</v>
      </c>
      <c r="CJ129" t="e">
        <f>AND('STERLING CATALOG - DRY '!J2817,"AAAAADJ//Vc=")</f>
        <v>#VALUE!</v>
      </c>
      <c r="CK129">
        <f>IF('STERLING CATALOG - DRY '!2818:2818,"AAAAADJ//Vg=",0)</f>
        <v>0</v>
      </c>
      <c r="CL129" t="e">
        <f>AND('STERLING CATALOG - DRY '!A2818,"AAAAADJ//Vk=")</f>
        <v>#VALUE!</v>
      </c>
      <c r="CM129" t="e">
        <f>AND('STERLING CATALOG - DRY '!B2818,"AAAAADJ//Vo=")</f>
        <v>#VALUE!</v>
      </c>
      <c r="CN129" t="e">
        <f>AND('STERLING CATALOG - DRY '!C2818,"AAAAADJ//Vs=")</f>
        <v>#VALUE!</v>
      </c>
      <c r="CO129" t="e">
        <f>AND('STERLING CATALOG - DRY '!D2818,"AAAAADJ//Vw=")</f>
        <v>#VALUE!</v>
      </c>
      <c r="CP129" t="e">
        <f>AND('STERLING CATALOG - DRY '!E2818,"AAAAADJ//V0=")</f>
        <v>#VALUE!</v>
      </c>
      <c r="CQ129" t="e">
        <f>AND('STERLING CATALOG - DRY '!F2818,"AAAAADJ//V4=")</f>
        <v>#VALUE!</v>
      </c>
      <c r="CR129" t="e">
        <f>AND('STERLING CATALOG - DRY '!G2818,"AAAAADJ//V8=")</f>
        <v>#VALUE!</v>
      </c>
      <c r="CS129" t="e">
        <f>AND('STERLING CATALOG - DRY '!H2818,"AAAAADJ//WA=")</f>
        <v>#VALUE!</v>
      </c>
      <c r="CT129" t="e">
        <f>AND('STERLING CATALOG - DRY '!I2818,"AAAAADJ//WE=")</f>
        <v>#VALUE!</v>
      </c>
      <c r="CU129" t="e">
        <f>AND('STERLING CATALOG - DRY '!J2818,"AAAAADJ//WI=")</f>
        <v>#VALUE!</v>
      </c>
      <c r="CV129">
        <f>IF('STERLING CATALOG - DRY '!2819:2819,"AAAAADJ//WM=",0)</f>
        <v>0</v>
      </c>
      <c r="CW129" t="e">
        <f>AND('STERLING CATALOG - DRY '!A2819,"AAAAADJ//WQ=")</f>
        <v>#VALUE!</v>
      </c>
      <c r="CX129" t="e">
        <f>AND('STERLING CATALOG - DRY '!B2819,"AAAAADJ//WU=")</f>
        <v>#VALUE!</v>
      </c>
      <c r="CY129" t="e">
        <f>AND('STERLING CATALOG - DRY '!C2819,"AAAAADJ//WY=")</f>
        <v>#VALUE!</v>
      </c>
      <c r="CZ129" t="e">
        <f>AND('STERLING CATALOG - DRY '!D2819,"AAAAADJ//Wc=")</f>
        <v>#VALUE!</v>
      </c>
      <c r="DA129" t="e">
        <f>AND('STERLING CATALOG - DRY '!E2819,"AAAAADJ//Wg=")</f>
        <v>#VALUE!</v>
      </c>
      <c r="DB129" t="e">
        <f>AND('STERLING CATALOG - DRY '!F2819,"AAAAADJ//Wk=")</f>
        <v>#VALUE!</v>
      </c>
      <c r="DC129" t="e">
        <f>AND('STERLING CATALOG - DRY '!G2819,"AAAAADJ//Wo=")</f>
        <v>#VALUE!</v>
      </c>
      <c r="DD129" t="e">
        <f>AND('STERLING CATALOG - DRY '!H2819,"AAAAADJ//Ws=")</f>
        <v>#VALUE!</v>
      </c>
      <c r="DE129" t="e">
        <f>AND('STERLING CATALOG - DRY '!I2819,"AAAAADJ//Ww=")</f>
        <v>#VALUE!</v>
      </c>
      <c r="DF129" t="e">
        <f>AND('STERLING CATALOG - DRY '!J2819,"AAAAADJ//W0=")</f>
        <v>#VALUE!</v>
      </c>
      <c r="DG129">
        <f>IF('STERLING CATALOG - DRY '!2820:2820,"AAAAADJ//W4=",0)</f>
        <v>0</v>
      </c>
      <c r="DH129" t="e">
        <f>AND('STERLING CATALOG - DRY '!A2820,"AAAAADJ//W8=")</f>
        <v>#VALUE!</v>
      </c>
      <c r="DI129" t="e">
        <f>AND('STERLING CATALOG - DRY '!B2820,"AAAAADJ//XA=")</f>
        <v>#VALUE!</v>
      </c>
      <c r="DJ129" t="e">
        <f>AND('STERLING CATALOG - DRY '!C2820,"AAAAADJ//XE=")</f>
        <v>#VALUE!</v>
      </c>
      <c r="DK129" t="e">
        <f>AND('STERLING CATALOG - DRY '!D2820,"AAAAADJ//XI=")</f>
        <v>#VALUE!</v>
      </c>
      <c r="DL129" t="e">
        <f>AND('STERLING CATALOG - DRY '!E2820,"AAAAADJ//XM=")</f>
        <v>#VALUE!</v>
      </c>
      <c r="DM129" t="e">
        <f>AND('STERLING CATALOG - DRY '!F2820,"AAAAADJ//XQ=")</f>
        <v>#VALUE!</v>
      </c>
      <c r="DN129" t="e">
        <f>AND('STERLING CATALOG - DRY '!G2820,"AAAAADJ//XU=")</f>
        <v>#VALUE!</v>
      </c>
      <c r="DO129" t="e">
        <f>AND('STERLING CATALOG - DRY '!H2820,"AAAAADJ//XY=")</f>
        <v>#VALUE!</v>
      </c>
      <c r="DP129" t="e">
        <f>AND('STERLING CATALOG - DRY '!I2820,"AAAAADJ//Xc=")</f>
        <v>#VALUE!</v>
      </c>
      <c r="DQ129" t="e">
        <f>AND('STERLING CATALOG - DRY '!J2820,"AAAAADJ//Xg=")</f>
        <v>#VALUE!</v>
      </c>
      <c r="DR129">
        <f>IF('STERLING CATALOG - DRY '!2821:2821,"AAAAADJ//Xk=",0)</f>
        <v>0</v>
      </c>
      <c r="DS129" t="e">
        <f>AND('STERLING CATALOG - DRY '!A2821,"AAAAADJ//Xo=")</f>
        <v>#VALUE!</v>
      </c>
      <c r="DT129" t="e">
        <f>AND('STERLING CATALOG - DRY '!B2821,"AAAAADJ//Xs=")</f>
        <v>#VALUE!</v>
      </c>
      <c r="DU129" t="e">
        <f>AND('STERLING CATALOG - DRY '!C2821,"AAAAADJ//Xw=")</f>
        <v>#VALUE!</v>
      </c>
      <c r="DV129" t="e">
        <f>AND('STERLING CATALOG - DRY '!D2821,"AAAAADJ//X0=")</f>
        <v>#VALUE!</v>
      </c>
      <c r="DW129" t="e">
        <f>AND('STERLING CATALOG - DRY '!E2821,"AAAAADJ//X4=")</f>
        <v>#VALUE!</v>
      </c>
      <c r="DX129" t="e">
        <f>AND('STERLING CATALOG - DRY '!F2821,"AAAAADJ//X8=")</f>
        <v>#VALUE!</v>
      </c>
      <c r="DY129" t="e">
        <f>AND('STERLING CATALOG - DRY '!G2821,"AAAAADJ//YA=")</f>
        <v>#VALUE!</v>
      </c>
      <c r="DZ129" t="e">
        <f>AND('STERLING CATALOG - DRY '!H2821,"AAAAADJ//YE=")</f>
        <v>#VALUE!</v>
      </c>
      <c r="EA129" t="e">
        <f>AND('STERLING CATALOG - DRY '!I2821,"AAAAADJ//YI=")</f>
        <v>#VALUE!</v>
      </c>
      <c r="EB129" t="e">
        <f>AND('STERLING CATALOG - DRY '!J2821,"AAAAADJ//YM=")</f>
        <v>#VALUE!</v>
      </c>
      <c r="EC129">
        <f>IF('STERLING CATALOG - DRY '!2822:2822,"AAAAADJ//YQ=",0)</f>
        <v>0</v>
      </c>
      <c r="ED129" t="e">
        <f>AND('STERLING CATALOG - DRY '!A2822,"AAAAADJ//YU=")</f>
        <v>#VALUE!</v>
      </c>
      <c r="EE129" t="e">
        <f>AND('STERLING CATALOG - DRY '!B2822,"AAAAADJ//YY=")</f>
        <v>#VALUE!</v>
      </c>
      <c r="EF129" t="e">
        <f>AND('STERLING CATALOG - DRY '!C2822,"AAAAADJ//Yc=")</f>
        <v>#VALUE!</v>
      </c>
      <c r="EG129" t="e">
        <f>AND('STERLING CATALOG - DRY '!D2822,"AAAAADJ//Yg=")</f>
        <v>#VALUE!</v>
      </c>
      <c r="EH129" t="e">
        <f>AND('STERLING CATALOG - DRY '!E2822,"AAAAADJ//Yk=")</f>
        <v>#VALUE!</v>
      </c>
      <c r="EI129" t="e">
        <f>AND('STERLING CATALOG - DRY '!F2822,"AAAAADJ//Yo=")</f>
        <v>#VALUE!</v>
      </c>
      <c r="EJ129" t="e">
        <f>AND('STERLING CATALOG - DRY '!G2822,"AAAAADJ//Ys=")</f>
        <v>#VALUE!</v>
      </c>
      <c r="EK129" t="e">
        <f>AND('STERLING CATALOG - DRY '!H2822,"AAAAADJ//Yw=")</f>
        <v>#VALUE!</v>
      </c>
      <c r="EL129" t="e">
        <f>AND('STERLING CATALOG - DRY '!I2822,"AAAAADJ//Y0=")</f>
        <v>#VALUE!</v>
      </c>
      <c r="EM129" t="e">
        <f>AND('STERLING CATALOG - DRY '!J2822,"AAAAADJ//Y4=")</f>
        <v>#VALUE!</v>
      </c>
      <c r="EN129">
        <f>IF('STERLING CATALOG - DRY '!2823:2823,"AAAAADJ//Y8=",0)</f>
        <v>0</v>
      </c>
      <c r="EO129" t="e">
        <f>AND('STERLING CATALOG - DRY '!A2823,"AAAAADJ//ZA=")</f>
        <v>#VALUE!</v>
      </c>
      <c r="EP129" t="e">
        <f>AND('STERLING CATALOG - DRY '!B2823,"AAAAADJ//ZE=")</f>
        <v>#VALUE!</v>
      </c>
      <c r="EQ129" t="e">
        <f>AND('STERLING CATALOG - DRY '!C2823,"AAAAADJ//ZI=")</f>
        <v>#VALUE!</v>
      </c>
      <c r="ER129" t="e">
        <f>AND('STERLING CATALOG - DRY '!D2823,"AAAAADJ//ZM=")</f>
        <v>#VALUE!</v>
      </c>
      <c r="ES129" t="e">
        <f>AND('STERLING CATALOG - DRY '!E2823,"AAAAADJ//ZQ=")</f>
        <v>#VALUE!</v>
      </c>
      <c r="ET129" t="e">
        <f>AND('STERLING CATALOG - DRY '!F2823,"AAAAADJ//ZU=")</f>
        <v>#VALUE!</v>
      </c>
      <c r="EU129" t="e">
        <f>AND('STERLING CATALOG - DRY '!G2823,"AAAAADJ//ZY=")</f>
        <v>#VALUE!</v>
      </c>
      <c r="EV129" t="e">
        <f>AND('STERLING CATALOG - DRY '!H2823,"AAAAADJ//Zc=")</f>
        <v>#VALUE!</v>
      </c>
      <c r="EW129" t="e">
        <f>AND('STERLING CATALOG - DRY '!I2823,"AAAAADJ//Zg=")</f>
        <v>#VALUE!</v>
      </c>
      <c r="EX129" t="e">
        <f>AND('STERLING CATALOG - DRY '!J2823,"AAAAADJ//Zk=")</f>
        <v>#VALUE!</v>
      </c>
      <c r="EY129">
        <f>IF('STERLING CATALOG - DRY '!2824:2824,"AAAAADJ//Zo=",0)</f>
        <v>0</v>
      </c>
      <c r="EZ129" t="e">
        <f>AND('STERLING CATALOG - DRY '!A2824,"AAAAADJ//Zs=")</f>
        <v>#VALUE!</v>
      </c>
      <c r="FA129" t="e">
        <f>AND('STERLING CATALOG - DRY '!B2824,"AAAAADJ//Zw=")</f>
        <v>#VALUE!</v>
      </c>
      <c r="FB129" t="e">
        <f>AND('STERLING CATALOG - DRY '!C2824,"AAAAADJ//Z0=")</f>
        <v>#VALUE!</v>
      </c>
      <c r="FC129" t="e">
        <f>AND('STERLING CATALOG - DRY '!D2824,"AAAAADJ//Z4=")</f>
        <v>#VALUE!</v>
      </c>
      <c r="FD129" t="e">
        <f>AND('STERLING CATALOG - DRY '!E2824,"AAAAADJ//Z8=")</f>
        <v>#VALUE!</v>
      </c>
      <c r="FE129" t="e">
        <f>AND('STERLING CATALOG - DRY '!F2824,"AAAAADJ//aA=")</f>
        <v>#VALUE!</v>
      </c>
      <c r="FF129" t="e">
        <f>AND('STERLING CATALOG - DRY '!G2824,"AAAAADJ//aE=")</f>
        <v>#VALUE!</v>
      </c>
      <c r="FG129" t="e">
        <f>AND('STERLING CATALOG - DRY '!H2824,"AAAAADJ//aI=")</f>
        <v>#VALUE!</v>
      </c>
      <c r="FH129" t="e">
        <f>AND('STERLING CATALOG - DRY '!I2824,"AAAAADJ//aM=")</f>
        <v>#VALUE!</v>
      </c>
      <c r="FI129" t="e">
        <f>AND('STERLING CATALOG - DRY '!J2824,"AAAAADJ//aQ=")</f>
        <v>#VALUE!</v>
      </c>
      <c r="FJ129">
        <f>IF('STERLING CATALOG - DRY '!2825:2825,"AAAAADJ//aU=",0)</f>
        <v>0</v>
      </c>
      <c r="FK129" t="e">
        <f>AND('STERLING CATALOG - DRY '!A2825,"AAAAADJ//aY=")</f>
        <v>#VALUE!</v>
      </c>
      <c r="FL129" t="e">
        <f>AND('STERLING CATALOG - DRY '!B2825,"AAAAADJ//ac=")</f>
        <v>#VALUE!</v>
      </c>
      <c r="FM129" t="e">
        <f>AND('STERLING CATALOG - DRY '!C2825,"AAAAADJ//ag=")</f>
        <v>#VALUE!</v>
      </c>
      <c r="FN129" t="e">
        <f>AND('STERLING CATALOG - DRY '!D2825,"AAAAADJ//ak=")</f>
        <v>#VALUE!</v>
      </c>
      <c r="FO129" t="e">
        <f>AND('STERLING CATALOG - DRY '!E2825,"AAAAADJ//ao=")</f>
        <v>#VALUE!</v>
      </c>
      <c r="FP129" t="e">
        <f>AND('STERLING CATALOG - DRY '!F2825,"AAAAADJ//as=")</f>
        <v>#VALUE!</v>
      </c>
      <c r="FQ129" t="e">
        <f>AND('STERLING CATALOG - DRY '!G2825,"AAAAADJ//aw=")</f>
        <v>#VALUE!</v>
      </c>
      <c r="FR129" t="e">
        <f>AND('STERLING CATALOG - DRY '!H2825,"AAAAADJ//a0=")</f>
        <v>#VALUE!</v>
      </c>
      <c r="FS129" t="e">
        <f>AND('STERLING CATALOG - DRY '!I2825,"AAAAADJ//a4=")</f>
        <v>#VALUE!</v>
      </c>
      <c r="FT129" t="e">
        <f>AND('STERLING CATALOG - DRY '!J2825,"AAAAADJ//a8=")</f>
        <v>#VALUE!</v>
      </c>
      <c r="FU129">
        <f>IF('STERLING CATALOG - DRY '!2826:2826,"AAAAADJ//bA=",0)</f>
        <v>0</v>
      </c>
      <c r="FV129" t="e">
        <f>AND('STERLING CATALOG - DRY '!A2826,"AAAAADJ//bE=")</f>
        <v>#VALUE!</v>
      </c>
      <c r="FW129" t="e">
        <f>AND('STERLING CATALOG - DRY '!B2826,"AAAAADJ//bI=")</f>
        <v>#VALUE!</v>
      </c>
      <c r="FX129" t="e">
        <f>AND('STERLING CATALOG - DRY '!C2826,"AAAAADJ//bM=")</f>
        <v>#VALUE!</v>
      </c>
      <c r="FY129" t="e">
        <f>AND('STERLING CATALOG - DRY '!D2826,"AAAAADJ//bQ=")</f>
        <v>#VALUE!</v>
      </c>
      <c r="FZ129" t="e">
        <f>AND('STERLING CATALOG - DRY '!E2826,"AAAAADJ//bU=")</f>
        <v>#VALUE!</v>
      </c>
      <c r="GA129" t="e">
        <f>AND('STERLING CATALOG - DRY '!F2826,"AAAAADJ//bY=")</f>
        <v>#VALUE!</v>
      </c>
      <c r="GB129" t="e">
        <f>AND('STERLING CATALOG - DRY '!G2826,"AAAAADJ//bc=")</f>
        <v>#VALUE!</v>
      </c>
      <c r="GC129" t="e">
        <f>AND('STERLING CATALOG - DRY '!H2826,"AAAAADJ//bg=")</f>
        <v>#VALUE!</v>
      </c>
      <c r="GD129" t="e">
        <f>AND('STERLING CATALOG - DRY '!I2826,"AAAAADJ//bk=")</f>
        <v>#VALUE!</v>
      </c>
      <c r="GE129" t="e">
        <f>AND('STERLING CATALOG - DRY '!J2826,"AAAAADJ//bo=")</f>
        <v>#VALUE!</v>
      </c>
      <c r="GF129">
        <f>IF('STERLING CATALOG - DRY '!2827:2827,"AAAAADJ//bs=",0)</f>
        <v>0</v>
      </c>
      <c r="GG129" t="e">
        <f>AND('STERLING CATALOG - DRY '!A2827,"AAAAADJ//bw=")</f>
        <v>#VALUE!</v>
      </c>
      <c r="GH129" t="e">
        <f>AND('STERLING CATALOG - DRY '!B2827,"AAAAADJ//b0=")</f>
        <v>#VALUE!</v>
      </c>
      <c r="GI129" t="e">
        <f>AND('STERLING CATALOG - DRY '!C2827,"AAAAADJ//b4=")</f>
        <v>#VALUE!</v>
      </c>
      <c r="GJ129" t="e">
        <f>AND('STERLING CATALOG - DRY '!D2827,"AAAAADJ//b8=")</f>
        <v>#VALUE!</v>
      </c>
      <c r="GK129" t="e">
        <f>AND('STERLING CATALOG - DRY '!E2827,"AAAAADJ//cA=")</f>
        <v>#VALUE!</v>
      </c>
      <c r="GL129" t="e">
        <f>AND('STERLING CATALOG - DRY '!F2827,"AAAAADJ//cE=")</f>
        <v>#VALUE!</v>
      </c>
      <c r="GM129" t="e">
        <f>AND('STERLING CATALOG - DRY '!G2827,"AAAAADJ//cI=")</f>
        <v>#VALUE!</v>
      </c>
      <c r="GN129" t="e">
        <f>AND('STERLING CATALOG - DRY '!H2827,"AAAAADJ//cM=")</f>
        <v>#VALUE!</v>
      </c>
      <c r="GO129" t="e">
        <f>AND('STERLING CATALOG - DRY '!I2827,"AAAAADJ//cQ=")</f>
        <v>#VALUE!</v>
      </c>
      <c r="GP129" t="e">
        <f>AND('STERLING CATALOG - DRY '!J2827,"AAAAADJ//cU=")</f>
        <v>#VALUE!</v>
      </c>
      <c r="GQ129">
        <f>IF('STERLING CATALOG - DRY '!2828:2828,"AAAAADJ//cY=",0)</f>
        <v>0</v>
      </c>
      <c r="GR129" t="e">
        <f>AND('STERLING CATALOG - DRY '!A2828,"AAAAADJ//cc=")</f>
        <v>#VALUE!</v>
      </c>
      <c r="GS129" t="e">
        <f>AND('STERLING CATALOG - DRY '!B2828,"AAAAADJ//cg=")</f>
        <v>#VALUE!</v>
      </c>
      <c r="GT129" t="e">
        <f>AND('STERLING CATALOG - DRY '!C2828,"AAAAADJ//ck=")</f>
        <v>#VALUE!</v>
      </c>
      <c r="GU129" t="e">
        <f>AND('STERLING CATALOG - DRY '!D2828,"AAAAADJ//co=")</f>
        <v>#VALUE!</v>
      </c>
      <c r="GV129" t="e">
        <f>AND('STERLING CATALOG - DRY '!E2828,"AAAAADJ//cs=")</f>
        <v>#VALUE!</v>
      </c>
      <c r="GW129" t="e">
        <f>AND('STERLING CATALOG - DRY '!F2828,"AAAAADJ//cw=")</f>
        <v>#VALUE!</v>
      </c>
      <c r="GX129" t="e">
        <f>AND('STERLING CATALOG - DRY '!G2828,"AAAAADJ//c0=")</f>
        <v>#VALUE!</v>
      </c>
      <c r="GY129" t="e">
        <f>AND('STERLING CATALOG - DRY '!H2828,"AAAAADJ//c4=")</f>
        <v>#VALUE!</v>
      </c>
      <c r="GZ129" t="e">
        <f>AND('STERLING CATALOG - DRY '!I2828,"AAAAADJ//c8=")</f>
        <v>#VALUE!</v>
      </c>
      <c r="HA129" t="e">
        <f>AND('STERLING CATALOG - DRY '!J2828,"AAAAADJ//dA=")</f>
        <v>#VALUE!</v>
      </c>
      <c r="HB129">
        <f>IF('STERLING CATALOG - DRY '!2829:2829,"AAAAADJ//dE=",0)</f>
        <v>0</v>
      </c>
      <c r="HC129" t="e">
        <f>AND('STERLING CATALOG - DRY '!A2829,"AAAAADJ//dI=")</f>
        <v>#VALUE!</v>
      </c>
      <c r="HD129" t="e">
        <f>AND('STERLING CATALOG - DRY '!B2829,"AAAAADJ//dM=")</f>
        <v>#VALUE!</v>
      </c>
      <c r="HE129" t="e">
        <f>AND('STERLING CATALOG - DRY '!C2829,"AAAAADJ//dQ=")</f>
        <v>#VALUE!</v>
      </c>
      <c r="HF129" t="e">
        <f>AND('STERLING CATALOG - DRY '!D2829,"AAAAADJ//dU=")</f>
        <v>#VALUE!</v>
      </c>
      <c r="HG129" t="e">
        <f>AND('STERLING CATALOG - DRY '!E2829,"AAAAADJ//dY=")</f>
        <v>#VALUE!</v>
      </c>
      <c r="HH129" t="e">
        <f>AND('STERLING CATALOG - DRY '!F2829,"AAAAADJ//dc=")</f>
        <v>#VALUE!</v>
      </c>
      <c r="HI129" t="e">
        <f>AND('STERLING CATALOG - DRY '!G2829,"AAAAADJ//dg=")</f>
        <v>#VALUE!</v>
      </c>
      <c r="HJ129" t="e">
        <f>AND('STERLING CATALOG - DRY '!H2829,"AAAAADJ//dk=")</f>
        <v>#VALUE!</v>
      </c>
      <c r="HK129" t="e">
        <f>AND('STERLING CATALOG - DRY '!I2829,"AAAAADJ//do=")</f>
        <v>#VALUE!</v>
      </c>
      <c r="HL129" t="e">
        <f>AND('STERLING CATALOG - DRY '!J2829,"AAAAADJ//ds=")</f>
        <v>#VALUE!</v>
      </c>
      <c r="HM129">
        <f>IF('STERLING CATALOG - DRY '!2830:2830,"AAAAADJ//dw=",0)</f>
        <v>0</v>
      </c>
      <c r="HN129" t="e">
        <f>AND('STERLING CATALOG - DRY '!A2830,"AAAAADJ//d0=")</f>
        <v>#VALUE!</v>
      </c>
      <c r="HO129" t="e">
        <f>AND('STERLING CATALOG - DRY '!B2830,"AAAAADJ//d4=")</f>
        <v>#VALUE!</v>
      </c>
      <c r="HP129" t="e">
        <f>AND('STERLING CATALOG - DRY '!C2830,"AAAAADJ//d8=")</f>
        <v>#VALUE!</v>
      </c>
      <c r="HQ129" t="e">
        <f>AND('STERLING CATALOG - DRY '!D2830,"AAAAADJ//eA=")</f>
        <v>#VALUE!</v>
      </c>
      <c r="HR129" t="e">
        <f>AND('STERLING CATALOG - DRY '!E2830,"AAAAADJ//eE=")</f>
        <v>#VALUE!</v>
      </c>
      <c r="HS129" t="e">
        <f>AND('STERLING CATALOG - DRY '!F2830,"AAAAADJ//eI=")</f>
        <v>#VALUE!</v>
      </c>
      <c r="HT129" t="e">
        <f>AND('STERLING CATALOG - DRY '!G2830,"AAAAADJ//eM=")</f>
        <v>#VALUE!</v>
      </c>
      <c r="HU129" t="e">
        <f>AND('STERLING CATALOG - DRY '!H2830,"AAAAADJ//eQ=")</f>
        <v>#VALUE!</v>
      </c>
      <c r="HV129" t="e">
        <f>AND('STERLING CATALOG - DRY '!I2830,"AAAAADJ//eU=")</f>
        <v>#VALUE!</v>
      </c>
      <c r="HW129" t="e">
        <f>AND('STERLING CATALOG - DRY '!J2830,"AAAAADJ//eY=")</f>
        <v>#VALUE!</v>
      </c>
      <c r="HX129">
        <f>IF('STERLING CATALOG - DRY '!2831:2831,"AAAAADJ//ec=",0)</f>
        <v>0</v>
      </c>
      <c r="HY129" t="e">
        <f>AND('STERLING CATALOG - DRY '!A2831,"AAAAADJ//eg=")</f>
        <v>#VALUE!</v>
      </c>
      <c r="HZ129" t="e">
        <f>AND('STERLING CATALOG - DRY '!B2831,"AAAAADJ//ek=")</f>
        <v>#VALUE!</v>
      </c>
      <c r="IA129" t="e">
        <f>AND('STERLING CATALOG - DRY '!C2831,"AAAAADJ//eo=")</f>
        <v>#VALUE!</v>
      </c>
      <c r="IB129" t="e">
        <f>AND('STERLING CATALOG - DRY '!D2831,"AAAAADJ//es=")</f>
        <v>#VALUE!</v>
      </c>
      <c r="IC129" t="e">
        <f>AND('STERLING CATALOG - DRY '!E2831,"AAAAADJ//ew=")</f>
        <v>#VALUE!</v>
      </c>
      <c r="ID129" t="e">
        <f>AND('STERLING CATALOG - DRY '!F2831,"AAAAADJ//e0=")</f>
        <v>#VALUE!</v>
      </c>
      <c r="IE129" t="e">
        <f>AND('STERLING CATALOG - DRY '!G2831,"AAAAADJ//e4=")</f>
        <v>#VALUE!</v>
      </c>
      <c r="IF129" t="e">
        <f>AND('STERLING CATALOG - DRY '!H2831,"AAAAADJ//e8=")</f>
        <v>#VALUE!</v>
      </c>
      <c r="IG129" t="e">
        <f>AND('STERLING CATALOG - DRY '!I2831,"AAAAADJ//fA=")</f>
        <v>#VALUE!</v>
      </c>
      <c r="IH129" t="e">
        <f>AND('STERLING CATALOG - DRY '!J2831,"AAAAADJ//fE=")</f>
        <v>#VALUE!</v>
      </c>
      <c r="II129">
        <f>IF('STERLING CATALOG - DRY '!2832:2832,"AAAAADJ//fI=",0)</f>
        <v>0</v>
      </c>
      <c r="IJ129" t="e">
        <f>AND('STERLING CATALOG - DRY '!A2832,"AAAAADJ//fM=")</f>
        <v>#VALUE!</v>
      </c>
      <c r="IK129" t="e">
        <f>AND('STERLING CATALOG - DRY '!B2832,"AAAAADJ//fQ=")</f>
        <v>#VALUE!</v>
      </c>
      <c r="IL129" t="e">
        <f>AND('STERLING CATALOG - DRY '!C2832,"AAAAADJ//fU=")</f>
        <v>#VALUE!</v>
      </c>
      <c r="IM129" t="e">
        <f>AND('STERLING CATALOG - DRY '!D2832,"AAAAADJ//fY=")</f>
        <v>#VALUE!</v>
      </c>
      <c r="IN129" t="e">
        <f>AND('STERLING CATALOG - DRY '!E2832,"AAAAADJ//fc=")</f>
        <v>#VALUE!</v>
      </c>
      <c r="IO129" t="e">
        <f>AND('STERLING CATALOG - DRY '!F2832,"AAAAADJ//fg=")</f>
        <v>#VALUE!</v>
      </c>
      <c r="IP129" t="e">
        <f>AND('STERLING CATALOG - DRY '!G2832,"AAAAADJ//fk=")</f>
        <v>#VALUE!</v>
      </c>
      <c r="IQ129" t="e">
        <f>AND('STERLING CATALOG - DRY '!H2832,"AAAAADJ//fo=")</f>
        <v>#VALUE!</v>
      </c>
      <c r="IR129" t="e">
        <f>AND('STERLING CATALOG - DRY '!I2832,"AAAAADJ//fs=")</f>
        <v>#VALUE!</v>
      </c>
      <c r="IS129" t="e">
        <f>AND('STERLING CATALOG - DRY '!J2832,"AAAAADJ//fw=")</f>
        <v>#VALUE!</v>
      </c>
      <c r="IT129">
        <f>IF('STERLING CATALOG - DRY '!2833:2833,"AAAAADJ//f0=",0)</f>
        <v>0</v>
      </c>
      <c r="IU129" t="e">
        <f>AND('STERLING CATALOG - DRY '!A2833,"AAAAADJ//f4=")</f>
        <v>#VALUE!</v>
      </c>
      <c r="IV129" t="e">
        <f>AND('STERLING CATALOG - DRY '!B2833,"AAAAADJ//f8=")</f>
        <v>#VALUE!</v>
      </c>
    </row>
    <row r="130" spans="1:256">
      <c r="A130" t="e">
        <f>AND('STERLING CATALOG - DRY '!C2833,"AAAAAH/n/wA=")</f>
        <v>#VALUE!</v>
      </c>
      <c r="B130" t="e">
        <f>AND('STERLING CATALOG - DRY '!D2833,"AAAAAH/n/wE=")</f>
        <v>#VALUE!</v>
      </c>
      <c r="C130" t="e">
        <f>AND('STERLING CATALOG - DRY '!E2833,"AAAAAH/n/wI=")</f>
        <v>#VALUE!</v>
      </c>
      <c r="D130" t="e">
        <f>AND('STERLING CATALOG - DRY '!F2833,"AAAAAH/n/wM=")</f>
        <v>#VALUE!</v>
      </c>
      <c r="E130" t="e">
        <f>AND('STERLING CATALOG - DRY '!G2833,"AAAAAH/n/wQ=")</f>
        <v>#VALUE!</v>
      </c>
      <c r="F130" t="e">
        <f>AND('STERLING CATALOG - DRY '!H2833,"AAAAAH/n/wU=")</f>
        <v>#VALUE!</v>
      </c>
      <c r="G130" t="e">
        <f>AND('STERLING CATALOG - DRY '!I2833,"AAAAAH/n/wY=")</f>
        <v>#VALUE!</v>
      </c>
      <c r="H130" t="e">
        <f>AND('STERLING CATALOG - DRY '!J2833,"AAAAAH/n/wc=")</f>
        <v>#VALUE!</v>
      </c>
      <c r="I130" t="e">
        <f>IF('STERLING CATALOG - DRY '!2834:2834,"AAAAAH/n/wg=",0)</f>
        <v>#VALUE!</v>
      </c>
      <c r="J130" t="e">
        <f>AND('STERLING CATALOG - DRY '!A2834,"AAAAAH/n/wk=")</f>
        <v>#VALUE!</v>
      </c>
      <c r="K130" t="e">
        <f>AND('STERLING CATALOG - DRY '!B2834,"AAAAAH/n/wo=")</f>
        <v>#VALUE!</v>
      </c>
      <c r="L130" t="e">
        <f>AND('STERLING CATALOG - DRY '!C2834,"AAAAAH/n/ws=")</f>
        <v>#VALUE!</v>
      </c>
      <c r="M130" t="e">
        <f>AND('STERLING CATALOG - DRY '!D2834,"AAAAAH/n/ww=")</f>
        <v>#VALUE!</v>
      </c>
      <c r="N130" t="e">
        <f>AND('STERLING CATALOG - DRY '!E2834,"AAAAAH/n/w0=")</f>
        <v>#VALUE!</v>
      </c>
      <c r="O130" t="e">
        <f>AND('STERLING CATALOG - DRY '!F2834,"AAAAAH/n/w4=")</f>
        <v>#VALUE!</v>
      </c>
      <c r="P130" t="e">
        <f>AND('STERLING CATALOG - DRY '!G2834,"AAAAAH/n/w8=")</f>
        <v>#VALUE!</v>
      </c>
      <c r="Q130" t="e">
        <f>AND('STERLING CATALOG - DRY '!H2834,"AAAAAH/n/xA=")</f>
        <v>#VALUE!</v>
      </c>
      <c r="R130" t="e">
        <f>AND('STERLING CATALOG - DRY '!I2834,"AAAAAH/n/xE=")</f>
        <v>#VALUE!</v>
      </c>
      <c r="S130" t="e">
        <f>AND('STERLING CATALOG - DRY '!J2834,"AAAAAH/n/xI=")</f>
        <v>#VALUE!</v>
      </c>
      <c r="T130">
        <f>IF('STERLING CATALOG - DRY '!2835:2835,"AAAAAH/n/xM=",0)</f>
        <v>0</v>
      </c>
      <c r="U130" t="e">
        <f>AND('STERLING CATALOG - DRY '!A2835,"AAAAAH/n/xQ=")</f>
        <v>#VALUE!</v>
      </c>
      <c r="V130" t="e">
        <f>AND('STERLING CATALOG - DRY '!B2835,"AAAAAH/n/xU=")</f>
        <v>#VALUE!</v>
      </c>
      <c r="W130" t="e">
        <f>AND('STERLING CATALOG - DRY '!C2835,"AAAAAH/n/xY=")</f>
        <v>#VALUE!</v>
      </c>
      <c r="X130" t="e">
        <f>AND('STERLING CATALOG - DRY '!D2835,"AAAAAH/n/xc=")</f>
        <v>#VALUE!</v>
      </c>
      <c r="Y130" t="e">
        <f>AND('STERLING CATALOG - DRY '!E2835,"AAAAAH/n/xg=")</f>
        <v>#VALUE!</v>
      </c>
      <c r="Z130" t="e">
        <f>AND('STERLING CATALOG - DRY '!F2835,"AAAAAH/n/xk=")</f>
        <v>#VALUE!</v>
      </c>
      <c r="AA130" t="e">
        <f>AND('STERLING CATALOG - DRY '!G2835,"AAAAAH/n/xo=")</f>
        <v>#VALUE!</v>
      </c>
      <c r="AB130" t="e">
        <f>AND('STERLING CATALOG - DRY '!H2835,"AAAAAH/n/xs=")</f>
        <v>#VALUE!</v>
      </c>
      <c r="AC130" t="e">
        <f>AND('STERLING CATALOG - DRY '!I2835,"AAAAAH/n/xw=")</f>
        <v>#VALUE!</v>
      </c>
      <c r="AD130" t="e">
        <f>AND('STERLING CATALOG - DRY '!J2835,"AAAAAH/n/x0=")</f>
        <v>#VALUE!</v>
      </c>
      <c r="AE130">
        <f>IF('STERLING CATALOG - DRY '!2836:2836,"AAAAAH/n/x4=",0)</f>
        <v>0</v>
      </c>
      <c r="AF130" t="e">
        <f>AND('STERLING CATALOG - DRY '!A2836,"AAAAAH/n/x8=")</f>
        <v>#VALUE!</v>
      </c>
      <c r="AG130" t="e">
        <f>AND('STERLING CATALOG - DRY '!B2836,"AAAAAH/n/yA=")</f>
        <v>#VALUE!</v>
      </c>
      <c r="AH130" t="e">
        <f>AND('STERLING CATALOG - DRY '!C2836,"AAAAAH/n/yE=")</f>
        <v>#VALUE!</v>
      </c>
      <c r="AI130" t="e">
        <f>AND('STERLING CATALOG - DRY '!D2836,"AAAAAH/n/yI=")</f>
        <v>#VALUE!</v>
      </c>
      <c r="AJ130" t="e">
        <f>AND('STERLING CATALOG - DRY '!E2836,"AAAAAH/n/yM=")</f>
        <v>#VALUE!</v>
      </c>
      <c r="AK130" t="e">
        <f>AND('STERLING CATALOG - DRY '!F2836,"AAAAAH/n/yQ=")</f>
        <v>#VALUE!</v>
      </c>
      <c r="AL130" t="e">
        <f>AND('STERLING CATALOG - DRY '!G2836,"AAAAAH/n/yU=")</f>
        <v>#VALUE!</v>
      </c>
      <c r="AM130" t="e">
        <f>AND('STERLING CATALOG - DRY '!H2836,"AAAAAH/n/yY=")</f>
        <v>#VALUE!</v>
      </c>
      <c r="AN130" t="e">
        <f>AND('STERLING CATALOG - DRY '!I2836,"AAAAAH/n/yc=")</f>
        <v>#VALUE!</v>
      </c>
      <c r="AO130" t="e">
        <f>AND('STERLING CATALOG - DRY '!J2836,"AAAAAH/n/yg=")</f>
        <v>#VALUE!</v>
      </c>
      <c r="AP130">
        <f>IF('STERLING CATALOG - DRY '!2837:2837,"AAAAAH/n/yk=",0)</f>
        <v>0</v>
      </c>
      <c r="AQ130" t="e">
        <f>AND('STERLING CATALOG - DRY '!A2837,"AAAAAH/n/yo=")</f>
        <v>#VALUE!</v>
      </c>
      <c r="AR130" t="e">
        <f>AND('STERLING CATALOG - DRY '!B2837,"AAAAAH/n/ys=")</f>
        <v>#VALUE!</v>
      </c>
      <c r="AS130" t="e">
        <f>AND('STERLING CATALOG - DRY '!C2837,"AAAAAH/n/yw=")</f>
        <v>#VALUE!</v>
      </c>
      <c r="AT130" t="e">
        <f>AND('STERLING CATALOG - DRY '!D2837,"AAAAAH/n/y0=")</f>
        <v>#VALUE!</v>
      </c>
      <c r="AU130" t="e">
        <f>AND('STERLING CATALOG - DRY '!E2837,"AAAAAH/n/y4=")</f>
        <v>#VALUE!</v>
      </c>
      <c r="AV130" t="e">
        <f>AND('STERLING CATALOG - DRY '!F2837,"AAAAAH/n/y8=")</f>
        <v>#VALUE!</v>
      </c>
      <c r="AW130" t="e">
        <f>AND('STERLING CATALOG - DRY '!G2837,"AAAAAH/n/zA=")</f>
        <v>#VALUE!</v>
      </c>
      <c r="AX130" t="e">
        <f>AND('STERLING CATALOG - DRY '!H2837,"AAAAAH/n/zE=")</f>
        <v>#VALUE!</v>
      </c>
      <c r="AY130" t="e">
        <f>AND('STERLING CATALOG - DRY '!I2837,"AAAAAH/n/zI=")</f>
        <v>#VALUE!</v>
      </c>
      <c r="AZ130" t="e">
        <f>AND('STERLING CATALOG - DRY '!J2837,"AAAAAH/n/zM=")</f>
        <v>#VALUE!</v>
      </c>
      <c r="BA130">
        <f>IF('STERLING CATALOG - DRY '!2838:2838,"AAAAAH/n/zQ=",0)</f>
        <v>0</v>
      </c>
      <c r="BB130" t="e">
        <f>AND('STERLING CATALOG - DRY '!A2838,"AAAAAH/n/zU=")</f>
        <v>#VALUE!</v>
      </c>
      <c r="BC130" t="e">
        <f>AND('STERLING CATALOG - DRY '!B2838,"AAAAAH/n/zY=")</f>
        <v>#VALUE!</v>
      </c>
      <c r="BD130" t="e">
        <f>AND('STERLING CATALOG - DRY '!C2838,"AAAAAH/n/zc=")</f>
        <v>#VALUE!</v>
      </c>
      <c r="BE130" t="e">
        <f>AND('STERLING CATALOG - DRY '!D2838,"AAAAAH/n/zg=")</f>
        <v>#VALUE!</v>
      </c>
      <c r="BF130" t="e">
        <f>AND('STERLING CATALOG - DRY '!E2838,"AAAAAH/n/zk=")</f>
        <v>#VALUE!</v>
      </c>
      <c r="BG130" t="e">
        <f>AND('STERLING CATALOG - DRY '!F2838,"AAAAAH/n/zo=")</f>
        <v>#VALUE!</v>
      </c>
      <c r="BH130" t="e">
        <f>AND('STERLING CATALOG - DRY '!G2838,"AAAAAH/n/zs=")</f>
        <v>#VALUE!</v>
      </c>
      <c r="BI130" t="e">
        <f>AND('STERLING CATALOG - DRY '!H2838,"AAAAAH/n/zw=")</f>
        <v>#VALUE!</v>
      </c>
      <c r="BJ130" t="e">
        <f>AND('STERLING CATALOG - DRY '!I2838,"AAAAAH/n/z0=")</f>
        <v>#VALUE!</v>
      </c>
      <c r="BK130" t="e">
        <f>AND('STERLING CATALOG - DRY '!J2838,"AAAAAH/n/z4=")</f>
        <v>#VALUE!</v>
      </c>
      <c r="BL130">
        <f>IF('STERLING CATALOG - DRY '!2839:2839,"AAAAAH/n/z8=",0)</f>
        <v>0</v>
      </c>
      <c r="BM130" t="e">
        <f>AND('STERLING CATALOG - DRY '!A2839,"AAAAAH/n/0A=")</f>
        <v>#VALUE!</v>
      </c>
      <c r="BN130" t="e">
        <f>AND('STERLING CATALOG - DRY '!B2839,"AAAAAH/n/0E=")</f>
        <v>#VALUE!</v>
      </c>
      <c r="BO130" t="e">
        <f>AND('STERLING CATALOG - DRY '!C2839,"AAAAAH/n/0I=")</f>
        <v>#VALUE!</v>
      </c>
      <c r="BP130" t="e">
        <f>AND('STERLING CATALOG - DRY '!D2839,"AAAAAH/n/0M=")</f>
        <v>#VALUE!</v>
      </c>
      <c r="BQ130" t="e">
        <f>AND('STERLING CATALOG - DRY '!E2839,"AAAAAH/n/0Q=")</f>
        <v>#VALUE!</v>
      </c>
      <c r="BR130" t="e">
        <f>AND('STERLING CATALOG - DRY '!F2839,"AAAAAH/n/0U=")</f>
        <v>#VALUE!</v>
      </c>
      <c r="BS130" t="e">
        <f>AND('STERLING CATALOG - DRY '!G2839,"AAAAAH/n/0Y=")</f>
        <v>#VALUE!</v>
      </c>
      <c r="BT130" t="e">
        <f>AND('STERLING CATALOG - DRY '!H2839,"AAAAAH/n/0c=")</f>
        <v>#VALUE!</v>
      </c>
      <c r="BU130" t="e">
        <f>AND('STERLING CATALOG - DRY '!I2839,"AAAAAH/n/0g=")</f>
        <v>#VALUE!</v>
      </c>
      <c r="BV130" t="e">
        <f>AND('STERLING CATALOG - DRY '!J2839,"AAAAAH/n/0k=")</f>
        <v>#VALUE!</v>
      </c>
      <c r="BW130">
        <f>IF('STERLING CATALOG - DRY '!2840:2840,"AAAAAH/n/0o=",0)</f>
        <v>0</v>
      </c>
      <c r="BX130" t="e">
        <f>AND('STERLING CATALOG - DRY '!A2840,"AAAAAH/n/0s=")</f>
        <v>#VALUE!</v>
      </c>
      <c r="BY130" t="e">
        <f>AND('STERLING CATALOG - DRY '!B2840,"AAAAAH/n/0w=")</f>
        <v>#VALUE!</v>
      </c>
      <c r="BZ130" t="e">
        <f>AND('STERLING CATALOG - DRY '!C2840,"AAAAAH/n/00=")</f>
        <v>#VALUE!</v>
      </c>
      <c r="CA130" t="e">
        <f>AND('STERLING CATALOG - DRY '!D2840,"AAAAAH/n/04=")</f>
        <v>#VALUE!</v>
      </c>
      <c r="CB130" t="e">
        <f>AND('STERLING CATALOG - DRY '!E2840,"AAAAAH/n/08=")</f>
        <v>#VALUE!</v>
      </c>
      <c r="CC130" t="e">
        <f>AND('STERLING CATALOG - DRY '!F2840,"AAAAAH/n/1A=")</f>
        <v>#VALUE!</v>
      </c>
      <c r="CD130" t="e">
        <f>AND('STERLING CATALOG - DRY '!G2840,"AAAAAH/n/1E=")</f>
        <v>#VALUE!</v>
      </c>
      <c r="CE130" t="e">
        <f>AND('STERLING CATALOG - DRY '!H2840,"AAAAAH/n/1I=")</f>
        <v>#VALUE!</v>
      </c>
      <c r="CF130" t="e">
        <f>AND('STERLING CATALOG - DRY '!I2840,"AAAAAH/n/1M=")</f>
        <v>#VALUE!</v>
      </c>
      <c r="CG130" t="e">
        <f>AND('STERLING CATALOG - DRY '!J2840,"AAAAAH/n/1Q=")</f>
        <v>#VALUE!</v>
      </c>
      <c r="CH130">
        <f>IF('STERLING CATALOG - DRY '!2841:2841,"AAAAAH/n/1U=",0)</f>
        <v>0</v>
      </c>
      <c r="CI130" t="e">
        <f>AND('STERLING CATALOG - DRY '!A2841,"AAAAAH/n/1Y=")</f>
        <v>#VALUE!</v>
      </c>
      <c r="CJ130" t="e">
        <f>AND('STERLING CATALOG - DRY '!B2841,"AAAAAH/n/1c=")</f>
        <v>#VALUE!</v>
      </c>
      <c r="CK130" t="e">
        <f>AND('STERLING CATALOG - DRY '!C2841,"AAAAAH/n/1g=")</f>
        <v>#VALUE!</v>
      </c>
      <c r="CL130" t="e">
        <f>AND('STERLING CATALOG - DRY '!D2841,"AAAAAH/n/1k=")</f>
        <v>#VALUE!</v>
      </c>
      <c r="CM130" t="e">
        <f>AND('STERLING CATALOG - DRY '!E2841,"AAAAAH/n/1o=")</f>
        <v>#VALUE!</v>
      </c>
      <c r="CN130" t="e">
        <f>AND('STERLING CATALOG - DRY '!F2841,"AAAAAH/n/1s=")</f>
        <v>#VALUE!</v>
      </c>
      <c r="CO130" t="e">
        <f>AND('STERLING CATALOG - DRY '!G2841,"AAAAAH/n/1w=")</f>
        <v>#VALUE!</v>
      </c>
      <c r="CP130" t="e">
        <f>AND('STERLING CATALOG - DRY '!H2841,"AAAAAH/n/10=")</f>
        <v>#VALUE!</v>
      </c>
      <c r="CQ130" t="e">
        <f>AND('STERLING CATALOG - DRY '!I2841,"AAAAAH/n/14=")</f>
        <v>#VALUE!</v>
      </c>
      <c r="CR130" t="e">
        <f>AND('STERLING CATALOG - DRY '!J2841,"AAAAAH/n/18=")</f>
        <v>#VALUE!</v>
      </c>
      <c r="CS130">
        <f>IF('STERLING CATALOG - DRY '!2842:2842,"AAAAAH/n/2A=",0)</f>
        <v>0</v>
      </c>
      <c r="CT130" t="e">
        <f>AND('STERLING CATALOG - DRY '!A2842,"AAAAAH/n/2E=")</f>
        <v>#VALUE!</v>
      </c>
      <c r="CU130" t="e">
        <f>AND('STERLING CATALOG - DRY '!B2842,"AAAAAH/n/2I=")</f>
        <v>#VALUE!</v>
      </c>
      <c r="CV130" t="e">
        <f>AND('STERLING CATALOG - DRY '!C2842,"AAAAAH/n/2M=")</f>
        <v>#VALUE!</v>
      </c>
      <c r="CW130" t="e">
        <f>AND('STERLING CATALOG - DRY '!D2842,"AAAAAH/n/2Q=")</f>
        <v>#VALUE!</v>
      </c>
      <c r="CX130" t="e">
        <f>AND('STERLING CATALOG - DRY '!E2842,"AAAAAH/n/2U=")</f>
        <v>#VALUE!</v>
      </c>
      <c r="CY130" t="e">
        <f>AND('STERLING CATALOG - DRY '!F2842,"AAAAAH/n/2Y=")</f>
        <v>#VALUE!</v>
      </c>
      <c r="CZ130" t="e">
        <f>AND('STERLING CATALOG - DRY '!G2842,"AAAAAH/n/2c=")</f>
        <v>#VALUE!</v>
      </c>
      <c r="DA130" t="e">
        <f>AND('STERLING CATALOG - DRY '!H2842,"AAAAAH/n/2g=")</f>
        <v>#VALUE!</v>
      </c>
      <c r="DB130" t="e">
        <f>AND('STERLING CATALOG - DRY '!I2842,"AAAAAH/n/2k=")</f>
        <v>#VALUE!</v>
      </c>
      <c r="DC130" t="e">
        <f>AND('STERLING CATALOG - DRY '!J2842,"AAAAAH/n/2o=")</f>
        <v>#VALUE!</v>
      </c>
      <c r="DD130">
        <f>IF('STERLING CATALOG - DRY '!2843:2843,"AAAAAH/n/2s=",0)</f>
        <v>0</v>
      </c>
      <c r="DE130" t="e">
        <f>AND('STERLING CATALOG - DRY '!A2843,"AAAAAH/n/2w=")</f>
        <v>#VALUE!</v>
      </c>
      <c r="DF130" t="e">
        <f>AND('STERLING CATALOG - DRY '!B2843,"AAAAAH/n/20=")</f>
        <v>#VALUE!</v>
      </c>
      <c r="DG130" t="e">
        <f>AND('STERLING CATALOG - DRY '!C2843,"AAAAAH/n/24=")</f>
        <v>#VALUE!</v>
      </c>
      <c r="DH130" t="e">
        <f>AND('STERLING CATALOG - DRY '!D2843,"AAAAAH/n/28=")</f>
        <v>#VALUE!</v>
      </c>
      <c r="DI130" t="e">
        <f>AND('STERLING CATALOG - DRY '!E2843,"AAAAAH/n/3A=")</f>
        <v>#VALUE!</v>
      </c>
      <c r="DJ130" t="e">
        <f>AND('STERLING CATALOG - DRY '!F2843,"AAAAAH/n/3E=")</f>
        <v>#VALUE!</v>
      </c>
      <c r="DK130" t="e">
        <f>AND('STERLING CATALOG - DRY '!G2843,"AAAAAH/n/3I=")</f>
        <v>#VALUE!</v>
      </c>
      <c r="DL130" t="e">
        <f>AND('STERLING CATALOG - DRY '!H2843,"AAAAAH/n/3M=")</f>
        <v>#VALUE!</v>
      </c>
      <c r="DM130" t="e">
        <f>AND('STERLING CATALOG - DRY '!I2843,"AAAAAH/n/3Q=")</f>
        <v>#VALUE!</v>
      </c>
      <c r="DN130" t="e">
        <f>AND('STERLING CATALOG - DRY '!J2843,"AAAAAH/n/3U=")</f>
        <v>#VALUE!</v>
      </c>
      <c r="DO130">
        <f>IF('STERLING CATALOG - DRY '!2844:2844,"AAAAAH/n/3Y=",0)</f>
        <v>0</v>
      </c>
      <c r="DP130" t="e">
        <f>AND('STERLING CATALOG - DRY '!A2844,"AAAAAH/n/3c=")</f>
        <v>#VALUE!</v>
      </c>
      <c r="DQ130" t="e">
        <f>AND('STERLING CATALOG - DRY '!B2844,"AAAAAH/n/3g=")</f>
        <v>#VALUE!</v>
      </c>
      <c r="DR130" t="e">
        <f>AND('STERLING CATALOG - DRY '!C2844,"AAAAAH/n/3k=")</f>
        <v>#VALUE!</v>
      </c>
      <c r="DS130" t="e">
        <f>AND('STERLING CATALOG - DRY '!D2844,"AAAAAH/n/3o=")</f>
        <v>#VALUE!</v>
      </c>
      <c r="DT130" t="e">
        <f>AND('STERLING CATALOG - DRY '!E2844,"AAAAAH/n/3s=")</f>
        <v>#VALUE!</v>
      </c>
      <c r="DU130" t="e">
        <f>AND('STERLING CATALOG - DRY '!F2844,"AAAAAH/n/3w=")</f>
        <v>#VALUE!</v>
      </c>
      <c r="DV130" t="e">
        <f>AND('STERLING CATALOG - DRY '!G2844,"AAAAAH/n/30=")</f>
        <v>#VALUE!</v>
      </c>
      <c r="DW130" t="e">
        <f>AND('STERLING CATALOG - DRY '!H2844,"AAAAAH/n/34=")</f>
        <v>#VALUE!</v>
      </c>
      <c r="DX130" t="e">
        <f>AND('STERLING CATALOG - DRY '!I2844,"AAAAAH/n/38=")</f>
        <v>#VALUE!</v>
      </c>
      <c r="DY130" t="e">
        <f>AND('STERLING CATALOG - DRY '!J2844,"AAAAAH/n/4A=")</f>
        <v>#VALUE!</v>
      </c>
      <c r="DZ130">
        <f>IF('STERLING CATALOG - DRY '!2845:2845,"AAAAAH/n/4E=",0)</f>
        <v>0</v>
      </c>
      <c r="EA130" t="e">
        <f>AND('STERLING CATALOG - DRY '!A2845,"AAAAAH/n/4I=")</f>
        <v>#VALUE!</v>
      </c>
      <c r="EB130" t="e">
        <f>AND('STERLING CATALOG - DRY '!B2845,"AAAAAH/n/4M=")</f>
        <v>#VALUE!</v>
      </c>
      <c r="EC130" t="e">
        <f>AND('STERLING CATALOG - DRY '!C2845,"AAAAAH/n/4Q=")</f>
        <v>#VALUE!</v>
      </c>
      <c r="ED130" t="e">
        <f>AND('STERLING CATALOG - DRY '!D2845,"AAAAAH/n/4U=")</f>
        <v>#VALUE!</v>
      </c>
      <c r="EE130" t="e">
        <f>AND('STERLING CATALOG - DRY '!E2845,"AAAAAH/n/4Y=")</f>
        <v>#VALUE!</v>
      </c>
      <c r="EF130" t="e">
        <f>AND('STERLING CATALOG - DRY '!F2845,"AAAAAH/n/4c=")</f>
        <v>#VALUE!</v>
      </c>
      <c r="EG130" t="e">
        <f>AND('STERLING CATALOG - DRY '!G2845,"AAAAAH/n/4g=")</f>
        <v>#VALUE!</v>
      </c>
      <c r="EH130" t="e">
        <f>AND('STERLING CATALOG - DRY '!H2845,"AAAAAH/n/4k=")</f>
        <v>#VALUE!</v>
      </c>
      <c r="EI130" t="e">
        <f>AND('STERLING CATALOG - DRY '!I2845,"AAAAAH/n/4o=")</f>
        <v>#VALUE!</v>
      </c>
      <c r="EJ130" t="e">
        <f>AND('STERLING CATALOG - DRY '!J2845,"AAAAAH/n/4s=")</f>
        <v>#VALUE!</v>
      </c>
      <c r="EK130">
        <f>IF('STERLING CATALOG - DRY '!2846:2846,"AAAAAH/n/4w=",0)</f>
        <v>0</v>
      </c>
      <c r="EL130" t="e">
        <f>AND('STERLING CATALOG - DRY '!A2846,"AAAAAH/n/40=")</f>
        <v>#VALUE!</v>
      </c>
      <c r="EM130" t="e">
        <f>AND('STERLING CATALOG - DRY '!B2846,"AAAAAH/n/44=")</f>
        <v>#VALUE!</v>
      </c>
      <c r="EN130" t="e">
        <f>AND('STERLING CATALOG - DRY '!C2846,"AAAAAH/n/48=")</f>
        <v>#VALUE!</v>
      </c>
      <c r="EO130" t="e">
        <f>AND('STERLING CATALOG - DRY '!D2846,"AAAAAH/n/5A=")</f>
        <v>#VALUE!</v>
      </c>
      <c r="EP130" t="e">
        <f>AND('STERLING CATALOG - DRY '!E2846,"AAAAAH/n/5E=")</f>
        <v>#VALUE!</v>
      </c>
      <c r="EQ130" t="e">
        <f>AND('STERLING CATALOG - DRY '!F2846,"AAAAAH/n/5I=")</f>
        <v>#VALUE!</v>
      </c>
      <c r="ER130" t="e">
        <f>AND('STERLING CATALOG - DRY '!G2846,"AAAAAH/n/5M=")</f>
        <v>#VALUE!</v>
      </c>
      <c r="ES130" t="e">
        <f>AND('STERLING CATALOG - DRY '!H2846,"AAAAAH/n/5Q=")</f>
        <v>#VALUE!</v>
      </c>
      <c r="ET130" t="e">
        <f>AND('STERLING CATALOG - DRY '!I2846,"AAAAAH/n/5U=")</f>
        <v>#VALUE!</v>
      </c>
      <c r="EU130" t="e">
        <f>AND('STERLING CATALOG - DRY '!J2846,"AAAAAH/n/5Y=")</f>
        <v>#VALUE!</v>
      </c>
      <c r="EV130">
        <f>IF('STERLING CATALOG - DRY '!2847:2847,"AAAAAH/n/5c=",0)</f>
        <v>0</v>
      </c>
      <c r="EW130" t="e">
        <f>AND('STERLING CATALOG - DRY '!A2847,"AAAAAH/n/5g=")</f>
        <v>#VALUE!</v>
      </c>
      <c r="EX130" t="e">
        <f>AND('STERLING CATALOG - DRY '!B2847,"AAAAAH/n/5k=")</f>
        <v>#VALUE!</v>
      </c>
      <c r="EY130" t="e">
        <f>AND('STERLING CATALOG - DRY '!C2847,"AAAAAH/n/5o=")</f>
        <v>#VALUE!</v>
      </c>
      <c r="EZ130" t="e">
        <f>AND('STERLING CATALOG - DRY '!D2847,"AAAAAH/n/5s=")</f>
        <v>#VALUE!</v>
      </c>
      <c r="FA130" t="e">
        <f>AND('STERLING CATALOG - DRY '!E2847,"AAAAAH/n/5w=")</f>
        <v>#VALUE!</v>
      </c>
      <c r="FB130" t="e">
        <f>AND('STERLING CATALOG - DRY '!F2847,"AAAAAH/n/50=")</f>
        <v>#VALUE!</v>
      </c>
      <c r="FC130" t="e">
        <f>AND('STERLING CATALOG - DRY '!G2847,"AAAAAH/n/54=")</f>
        <v>#VALUE!</v>
      </c>
      <c r="FD130" t="e">
        <f>AND('STERLING CATALOG - DRY '!H2847,"AAAAAH/n/58=")</f>
        <v>#VALUE!</v>
      </c>
      <c r="FE130" t="e">
        <f>AND('STERLING CATALOG - DRY '!I2847,"AAAAAH/n/6A=")</f>
        <v>#VALUE!</v>
      </c>
      <c r="FF130" t="e">
        <f>AND('STERLING CATALOG - DRY '!J2847,"AAAAAH/n/6E=")</f>
        <v>#VALUE!</v>
      </c>
      <c r="FG130">
        <f>IF('STERLING CATALOG - DRY '!2848:2848,"AAAAAH/n/6I=",0)</f>
        <v>0</v>
      </c>
      <c r="FH130" t="e">
        <f>AND('STERLING CATALOG - DRY '!A2848,"AAAAAH/n/6M=")</f>
        <v>#VALUE!</v>
      </c>
      <c r="FI130" t="e">
        <f>AND('STERLING CATALOG - DRY '!B2848,"AAAAAH/n/6Q=")</f>
        <v>#VALUE!</v>
      </c>
      <c r="FJ130" t="e">
        <f>AND('STERLING CATALOG - DRY '!C2848,"AAAAAH/n/6U=")</f>
        <v>#VALUE!</v>
      </c>
      <c r="FK130" t="e">
        <f>AND('STERLING CATALOG - DRY '!D2848,"AAAAAH/n/6Y=")</f>
        <v>#VALUE!</v>
      </c>
      <c r="FL130" t="e">
        <f>AND('STERLING CATALOG - DRY '!E2848,"AAAAAH/n/6c=")</f>
        <v>#VALUE!</v>
      </c>
      <c r="FM130" t="e">
        <f>AND('STERLING CATALOG - DRY '!F2848,"AAAAAH/n/6g=")</f>
        <v>#VALUE!</v>
      </c>
      <c r="FN130" t="e">
        <f>AND('STERLING CATALOG - DRY '!G2848,"AAAAAH/n/6k=")</f>
        <v>#VALUE!</v>
      </c>
      <c r="FO130" t="e">
        <f>AND('STERLING CATALOG - DRY '!H2848,"AAAAAH/n/6o=")</f>
        <v>#VALUE!</v>
      </c>
      <c r="FP130" t="e">
        <f>AND('STERLING CATALOG - DRY '!I2848,"AAAAAH/n/6s=")</f>
        <v>#VALUE!</v>
      </c>
      <c r="FQ130" t="e">
        <f>AND('STERLING CATALOG - DRY '!J2848,"AAAAAH/n/6w=")</f>
        <v>#VALUE!</v>
      </c>
      <c r="FR130">
        <f>IF('STERLING CATALOG - DRY '!2849:2849,"AAAAAH/n/60=",0)</f>
        <v>0</v>
      </c>
      <c r="FS130" t="e">
        <f>AND('STERLING CATALOG - DRY '!A2849,"AAAAAH/n/64=")</f>
        <v>#VALUE!</v>
      </c>
      <c r="FT130" t="e">
        <f>AND('STERLING CATALOG - DRY '!B2849,"AAAAAH/n/68=")</f>
        <v>#VALUE!</v>
      </c>
      <c r="FU130" t="e">
        <f>AND('STERLING CATALOG - DRY '!C2849,"AAAAAH/n/7A=")</f>
        <v>#VALUE!</v>
      </c>
      <c r="FV130" t="e">
        <f>AND('STERLING CATALOG - DRY '!D2849,"AAAAAH/n/7E=")</f>
        <v>#VALUE!</v>
      </c>
      <c r="FW130" t="e">
        <f>AND('STERLING CATALOG - DRY '!E2849,"AAAAAH/n/7I=")</f>
        <v>#VALUE!</v>
      </c>
      <c r="FX130" t="e">
        <f>AND('STERLING CATALOG - DRY '!F2849,"AAAAAH/n/7M=")</f>
        <v>#VALUE!</v>
      </c>
      <c r="FY130" t="e">
        <f>AND('STERLING CATALOG - DRY '!G2849,"AAAAAH/n/7Q=")</f>
        <v>#VALUE!</v>
      </c>
      <c r="FZ130" t="e">
        <f>AND('STERLING CATALOG - DRY '!H2849,"AAAAAH/n/7U=")</f>
        <v>#VALUE!</v>
      </c>
      <c r="GA130" t="e">
        <f>AND('STERLING CATALOG - DRY '!I2849,"AAAAAH/n/7Y=")</f>
        <v>#VALUE!</v>
      </c>
      <c r="GB130" t="e">
        <f>AND('STERLING CATALOG - DRY '!J2849,"AAAAAH/n/7c=")</f>
        <v>#VALUE!</v>
      </c>
      <c r="GC130">
        <f>IF('STERLING CATALOG - DRY '!2850:2850,"AAAAAH/n/7g=",0)</f>
        <v>0</v>
      </c>
      <c r="GD130" t="e">
        <f>AND('STERLING CATALOG - DRY '!A2850,"AAAAAH/n/7k=")</f>
        <v>#VALUE!</v>
      </c>
      <c r="GE130" t="e">
        <f>AND('STERLING CATALOG - DRY '!B2850,"AAAAAH/n/7o=")</f>
        <v>#VALUE!</v>
      </c>
      <c r="GF130" t="e">
        <f>AND('STERLING CATALOG - DRY '!C2850,"AAAAAH/n/7s=")</f>
        <v>#VALUE!</v>
      </c>
      <c r="GG130" t="e">
        <f>AND('STERLING CATALOG - DRY '!D2850,"AAAAAH/n/7w=")</f>
        <v>#VALUE!</v>
      </c>
      <c r="GH130" t="e">
        <f>AND('STERLING CATALOG - DRY '!E2850,"AAAAAH/n/70=")</f>
        <v>#VALUE!</v>
      </c>
      <c r="GI130" t="e">
        <f>AND('STERLING CATALOG - DRY '!F2850,"AAAAAH/n/74=")</f>
        <v>#VALUE!</v>
      </c>
      <c r="GJ130" t="e">
        <f>AND('STERLING CATALOG - DRY '!G2850,"AAAAAH/n/78=")</f>
        <v>#VALUE!</v>
      </c>
      <c r="GK130" t="e">
        <f>AND('STERLING CATALOG - DRY '!H2850,"AAAAAH/n/8A=")</f>
        <v>#VALUE!</v>
      </c>
      <c r="GL130" t="e">
        <f>AND('STERLING CATALOG - DRY '!I2850,"AAAAAH/n/8E=")</f>
        <v>#VALUE!</v>
      </c>
      <c r="GM130" t="e">
        <f>AND('STERLING CATALOG - DRY '!J2850,"AAAAAH/n/8I=")</f>
        <v>#VALUE!</v>
      </c>
      <c r="GN130">
        <f>IF('STERLING CATALOG - DRY '!2851:2851,"AAAAAH/n/8M=",0)</f>
        <v>0</v>
      </c>
      <c r="GO130" t="e">
        <f>AND('STERLING CATALOG - DRY '!A2851,"AAAAAH/n/8Q=")</f>
        <v>#VALUE!</v>
      </c>
      <c r="GP130" t="e">
        <f>AND('STERLING CATALOG - DRY '!B2851,"AAAAAH/n/8U=")</f>
        <v>#VALUE!</v>
      </c>
      <c r="GQ130" t="e">
        <f>AND('STERLING CATALOG - DRY '!C2851,"AAAAAH/n/8Y=")</f>
        <v>#VALUE!</v>
      </c>
      <c r="GR130" t="e">
        <f>AND('STERLING CATALOG - DRY '!D2851,"AAAAAH/n/8c=")</f>
        <v>#VALUE!</v>
      </c>
      <c r="GS130" t="e">
        <f>AND('STERLING CATALOG - DRY '!E2851,"AAAAAH/n/8g=")</f>
        <v>#VALUE!</v>
      </c>
      <c r="GT130" t="e">
        <f>AND('STERLING CATALOG - DRY '!F2851,"AAAAAH/n/8k=")</f>
        <v>#VALUE!</v>
      </c>
      <c r="GU130" t="e">
        <f>AND('STERLING CATALOG - DRY '!G2851,"AAAAAH/n/8o=")</f>
        <v>#VALUE!</v>
      </c>
      <c r="GV130" t="e">
        <f>AND('STERLING CATALOG - DRY '!H2851,"AAAAAH/n/8s=")</f>
        <v>#VALUE!</v>
      </c>
      <c r="GW130" t="e">
        <f>AND('STERLING CATALOG - DRY '!I2851,"AAAAAH/n/8w=")</f>
        <v>#VALUE!</v>
      </c>
      <c r="GX130" t="e">
        <f>AND('STERLING CATALOG - DRY '!J2851,"AAAAAH/n/80=")</f>
        <v>#VALUE!</v>
      </c>
      <c r="GY130">
        <f>IF('STERLING CATALOG - DRY '!2852:2852,"AAAAAH/n/84=",0)</f>
        <v>0</v>
      </c>
      <c r="GZ130" t="e">
        <f>AND('STERLING CATALOG - DRY '!A2852,"AAAAAH/n/88=")</f>
        <v>#VALUE!</v>
      </c>
      <c r="HA130" t="e">
        <f>AND('STERLING CATALOG - DRY '!B2852,"AAAAAH/n/9A=")</f>
        <v>#VALUE!</v>
      </c>
      <c r="HB130" t="e">
        <f>AND('STERLING CATALOG - DRY '!C2852,"AAAAAH/n/9E=")</f>
        <v>#VALUE!</v>
      </c>
      <c r="HC130" t="e">
        <f>AND('STERLING CATALOG - DRY '!D2852,"AAAAAH/n/9I=")</f>
        <v>#VALUE!</v>
      </c>
      <c r="HD130" t="e">
        <f>AND('STERLING CATALOG - DRY '!E2852,"AAAAAH/n/9M=")</f>
        <v>#VALUE!</v>
      </c>
      <c r="HE130" t="e">
        <f>AND('STERLING CATALOG - DRY '!F2852,"AAAAAH/n/9Q=")</f>
        <v>#VALUE!</v>
      </c>
      <c r="HF130" t="e">
        <f>AND('STERLING CATALOG - DRY '!G2852,"AAAAAH/n/9U=")</f>
        <v>#VALUE!</v>
      </c>
      <c r="HG130" t="e">
        <f>AND('STERLING CATALOG - DRY '!H2852,"AAAAAH/n/9Y=")</f>
        <v>#VALUE!</v>
      </c>
      <c r="HH130" t="e">
        <f>AND('STERLING CATALOG - DRY '!I2852,"AAAAAH/n/9c=")</f>
        <v>#VALUE!</v>
      </c>
      <c r="HI130" t="e">
        <f>AND('STERLING CATALOG - DRY '!J2852,"AAAAAH/n/9g=")</f>
        <v>#VALUE!</v>
      </c>
      <c r="HJ130">
        <f>IF('STERLING CATALOG - DRY '!2853:2853,"AAAAAH/n/9k=",0)</f>
        <v>0</v>
      </c>
      <c r="HK130" t="e">
        <f>AND('STERLING CATALOG - DRY '!A2853,"AAAAAH/n/9o=")</f>
        <v>#VALUE!</v>
      </c>
      <c r="HL130" t="e">
        <f>AND('STERLING CATALOG - DRY '!B2853,"AAAAAH/n/9s=")</f>
        <v>#VALUE!</v>
      </c>
      <c r="HM130" t="e">
        <f>AND('STERLING CATALOG - DRY '!C2853,"AAAAAH/n/9w=")</f>
        <v>#VALUE!</v>
      </c>
      <c r="HN130" t="e">
        <f>AND('STERLING CATALOG - DRY '!D2853,"AAAAAH/n/90=")</f>
        <v>#VALUE!</v>
      </c>
      <c r="HO130" t="e">
        <f>AND('STERLING CATALOG - DRY '!E2853,"AAAAAH/n/94=")</f>
        <v>#VALUE!</v>
      </c>
      <c r="HP130" t="e">
        <f>AND('STERLING CATALOG - DRY '!F2853,"AAAAAH/n/98=")</f>
        <v>#VALUE!</v>
      </c>
      <c r="HQ130" t="e">
        <f>AND('STERLING CATALOG - DRY '!G2853,"AAAAAH/n/+A=")</f>
        <v>#VALUE!</v>
      </c>
      <c r="HR130" t="e">
        <f>AND('STERLING CATALOG - DRY '!H2853,"AAAAAH/n/+E=")</f>
        <v>#VALUE!</v>
      </c>
      <c r="HS130" t="e">
        <f>AND('STERLING CATALOG - DRY '!I2853,"AAAAAH/n/+I=")</f>
        <v>#VALUE!</v>
      </c>
      <c r="HT130" t="e">
        <f>AND('STERLING CATALOG - DRY '!J2853,"AAAAAH/n/+M=")</f>
        <v>#VALUE!</v>
      </c>
      <c r="HU130">
        <f>IF('STERLING CATALOG - DRY '!2854:2854,"AAAAAH/n/+Q=",0)</f>
        <v>0</v>
      </c>
      <c r="HV130" t="e">
        <f>AND('STERLING CATALOG - DRY '!A2854,"AAAAAH/n/+U=")</f>
        <v>#VALUE!</v>
      </c>
      <c r="HW130" t="e">
        <f>AND('STERLING CATALOG - DRY '!B2854,"AAAAAH/n/+Y=")</f>
        <v>#VALUE!</v>
      </c>
      <c r="HX130" t="e">
        <f>AND('STERLING CATALOG - DRY '!C2854,"AAAAAH/n/+c=")</f>
        <v>#VALUE!</v>
      </c>
      <c r="HY130" t="e">
        <f>AND('STERLING CATALOG - DRY '!D2854,"AAAAAH/n/+g=")</f>
        <v>#VALUE!</v>
      </c>
      <c r="HZ130" t="e">
        <f>AND('STERLING CATALOG - DRY '!E2854,"AAAAAH/n/+k=")</f>
        <v>#VALUE!</v>
      </c>
      <c r="IA130" t="e">
        <f>AND('STERLING CATALOG - DRY '!F2854,"AAAAAH/n/+o=")</f>
        <v>#VALUE!</v>
      </c>
      <c r="IB130" t="e">
        <f>AND('STERLING CATALOG - DRY '!G2854,"AAAAAH/n/+s=")</f>
        <v>#VALUE!</v>
      </c>
      <c r="IC130" t="e">
        <f>AND('STERLING CATALOG - DRY '!H2854,"AAAAAH/n/+w=")</f>
        <v>#VALUE!</v>
      </c>
      <c r="ID130" t="e">
        <f>AND('STERLING CATALOG - DRY '!I2854,"AAAAAH/n/+0=")</f>
        <v>#VALUE!</v>
      </c>
      <c r="IE130" t="e">
        <f>AND('STERLING CATALOG - DRY '!J2854,"AAAAAH/n/+4=")</f>
        <v>#VALUE!</v>
      </c>
      <c r="IF130">
        <f>IF('STERLING CATALOG - DRY '!2855:2855,"AAAAAH/n/+8=",0)</f>
        <v>0</v>
      </c>
      <c r="IG130" t="e">
        <f>AND('STERLING CATALOG - DRY '!A2855,"AAAAAH/n//A=")</f>
        <v>#VALUE!</v>
      </c>
      <c r="IH130" t="e">
        <f>AND('STERLING CATALOG - DRY '!B2855,"AAAAAH/n//E=")</f>
        <v>#VALUE!</v>
      </c>
      <c r="II130" t="e">
        <f>AND('STERLING CATALOG - DRY '!C2855,"AAAAAH/n//I=")</f>
        <v>#VALUE!</v>
      </c>
      <c r="IJ130" t="e">
        <f>AND('STERLING CATALOG - DRY '!D2855,"AAAAAH/n//M=")</f>
        <v>#VALUE!</v>
      </c>
      <c r="IK130" t="e">
        <f>AND('STERLING CATALOG - DRY '!E2855,"AAAAAH/n//Q=")</f>
        <v>#VALUE!</v>
      </c>
      <c r="IL130" t="e">
        <f>AND('STERLING CATALOG - DRY '!F2855,"AAAAAH/n//U=")</f>
        <v>#VALUE!</v>
      </c>
      <c r="IM130" t="e">
        <f>AND('STERLING CATALOG - DRY '!G2855,"AAAAAH/n//Y=")</f>
        <v>#VALUE!</v>
      </c>
      <c r="IN130" t="e">
        <f>AND('STERLING CATALOG - DRY '!H2855,"AAAAAH/n//c=")</f>
        <v>#VALUE!</v>
      </c>
      <c r="IO130" t="e">
        <f>AND('STERLING CATALOG - DRY '!I2855,"AAAAAH/n//g=")</f>
        <v>#VALUE!</v>
      </c>
      <c r="IP130" t="e">
        <f>AND('STERLING CATALOG - DRY '!J2855,"AAAAAH/n//k=")</f>
        <v>#VALUE!</v>
      </c>
      <c r="IQ130">
        <f>IF('STERLING CATALOG - DRY '!2856:2856,"AAAAAH/n//o=",0)</f>
        <v>0</v>
      </c>
      <c r="IR130" t="e">
        <f>AND('STERLING CATALOG - DRY '!A2856,"AAAAAH/n//s=")</f>
        <v>#VALUE!</v>
      </c>
      <c r="IS130" t="e">
        <f>AND('STERLING CATALOG - DRY '!B2856,"AAAAAH/n//w=")</f>
        <v>#VALUE!</v>
      </c>
      <c r="IT130" t="e">
        <f>AND('STERLING CATALOG - DRY '!C2856,"AAAAAH/n//0=")</f>
        <v>#VALUE!</v>
      </c>
      <c r="IU130" t="e">
        <f>AND('STERLING CATALOG - DRY '!D2856,"AAAAAH/n//4=")</f>
        <v>#VALUE!</v>
      </c>
      <c r="IV130" t="e">
        <f>AND('STERLING CATALOG - DRY '!E2856,"AAAAAH/n//8=")</f>
        <v>#VALUE!</v>
      </c>
    </row>
    <row r="131" spans="1:256">
      <c r="A131" t="e">
        <f>AND('STERLING CATALOG - DRY '!F2856,"AAAAAH9v1wA=")</f>
        <v>#VALUE!</v>
      </c>
      <c r="B131" t="e">
        <f>AND('STERLING CATALOG - DRY '!G2856,"AAAAAH9v1wE=")</f>
        <v>#VALUE!</v>
      </c>
      <c r="C131" t="e">
        <f>AND('STERLING CATALOG - DRY '!H2856,"AAAAAH9v1wI=")</f>
        <v>#VALUE!</v>
      </c>
      <c r="D131" t="e">
        <f>AND('STERLING CATALOG - DRY '!I2856,"AAAAAH9v1wM=")</f>
        <v>#VALUE!</v>
      </c>
      <c r="E131" t="e">
        <f>AND('STERLING CATALOG - DRY '!J2856,"AAAAAH9v1wQ=")</f>
        <v>#VALUE!</v>
      </c>
      <c r="F131" t="str">
        <f>IF('STERLING CATALOG - DRY '!2857:2857,"AAAAAH9v1wU=",0)</f>
        <v>AAAAAH9v1wU=</v>
      </c>
      <c r="G131" t="e">
        <f>AND('STERLING CATALOG - DRY '!A2857,"AAAAAH9v1wY=")</f>
        <v>#VALUE!</v>
      </c>
      <c r="H131" t="e">
        <f>AND('STERLING CATALOG - DRY '!B2857,"AAAAAH9v1wc=")</f>
        <v>#VALUE!</v>
      </c>
      <c r="I131" t="e">
        <f>AND('STERLING CATALOG - DRY '!C2857,"AAAAAH9v1wg=")</f>
        <v>#VALUE!</v>
      </c>
      <c r="J131" t="e">
        <f>AND('STERLING CATALOG - DRY '!D2857,"AAAAAH9v1wk=")</f>
        <v>#VALUE!</v>
      </c>
      <c r="K131" t="e">
        <f>AND('STERLING CATALOG - DRY '!E2857,"AAAAAH9v1wo=")</f>
        <v>#VALUE!</v>
      </c>
      <c r="L131" t="e">
        <f>AND('STERLING CATALOG - DRY '!F2857,"AAAAAH9v1ws=")</f>
        <v>#VALUE!</v>
      </c>
      <c r="M131" t="e">
        <f>AND('STERLING CATALOG - DRY '!G2857,"AAAAAH9v1ww=")</f>
        <v>#VALUE!</v>
      </c>
      <c r="N131" t="e">
        <f>AND('STERLING CATALOG - DRY '!H2857,"AAAAAH9v1w0=")</f>
        <v>#VALUE!</v>
      </c>
      <c r="O131" t="e">
        <f>AND('STERLING CATALOG - DRY '!I2857,"AAAAAH9v1w4=")</f>
        <v>#VALUE!</v>
      </c>
      <c r="P131" t="e">
        <f>AND('STERLING CATALOG - DRY '!J2857,"AAAAAH9v1w8=")</f>
        <v>#VALUE!</v>
      </c>
      <c r="Q131">
        <f>IF('STERLING CATALOG - DRY '!2858:2858,"AAAAAH9v1xA=",0)</f>
        <v>0</v>
      </c>
      <c r="R131" t="e">
        <f>AND('STERLING CATALOG - DRY '!A2858,"AAAAAH9v1xE=")</f>
        <v>#VALUE!</v>
      </c>
      <c r="S131" t="e">
        <f>AND('STERLING CATALOG - DRY '!B2858,"AAAAAH9v1xI=")</f>
        <v>#VALUE!</v>
      </c>
      <c r="T131" t="e">
        <f>AND('STERLING CATALOG - DRY '!C2858,"AAAAAH9v1xM=")</f>
        <v>#VALUE!</v>
      </c>
      <c r="U131" t="e">
        <f>AND('STERLING CATALOG - DRY '!D2858,"AAAAAH9v1xQ=")</f>
        <v>#VALUE!</v>
      </c>
      <c r="V131" t="e">
        <f>AND('STERLING CATALOG - DRY '!E2858,"AAAAAH9v1xU=")</f>
        <v>#VALUE!</v>
      </c>
      <c r="W131" t="e">
        <f>AND('STERLING CATALOG - DRY '!F2858,"AAAAAH9v1xY=")</f>
        <v>#VALUE!</v>
      </c>
      <c r="X131" t="e">
        <f>AND('STERLING CATALOG - DRY '!G2858,"AAAAAH9v1xc=")</f>
        <v>#VALUE!</v>
      </c>
      <c r="Y131" t="e">
        <f>AND('STERLING CATALOG - DRY '!H2858,"AAAAAH9v1xg=")</f>
        <v>#VALUE!</v>
      </c>
      <c r="Z131" t="e">
        <f>AND('STERLING CATALOG - DRY '!I2858,"AAAAAH9v1xk=")</f>
        <v>#VALUE!</v>
      </c>
      <c r="AA131" t="e">
        <f>AND('STERLING CATALOG - DRY '!J2858,"AAAAAH9v1xo=")</f>
        <v>#VALUE!</v>
      </c>
      <c r="AB131">
        <f>IF('STERLING CATALOG - DRY '!2859:2859,"AAAAAH9v1xs=",0)</f>
        <v>0</v>
      </c>
      <c r="AC131" t="e">
        <f>AND('STERLING CATALOG - DRY '!A2859,"AAAAAH9v1xw=")</f>
        <v>#VALUE!</v>
      </c>
      <c r="AD131" t="e">
        <f>AND('STERLING CATALOG - DRY '!B2859,"AAAAAH9v1x0=")</f>
        <v>#VALUE!</v>
      </c>
      <c r="AE131" t="e">
        <f>AND('STERLING CATALOG - DRY '!C2859,"AAAAAH9v1x4=")</f>
        <v>#VALUE!</v>
      </c>
      <c r="AF131" t="e">
        <f>AND('STERLING CATALOG - DRY '!D2859,"AAAAAH9v1x8=")</f>
        <v>#VALUE!</v>
      </c>
      <c r="AG131" t="e">
        <f>AND('STERLING CATALOG - DRY '!E2859,"AAAAAH9v1yA=")</f>
        <v>#VALUE!</v>
      </c>
      <c r="AH131" t="e">
        <f>AND('STERLING CATALOG - DRY '!F2859,"AAAAAH9v1yE=")</f>
        <v>#VALUE!</v>
      </c>
      <c r="AI131" t="e">
        <f>AND('STERLING CATALOG - DRY '!G2859,"AAAAAH9v1yI=")</f>
        <v>#VALUE!</v>
      </c>
      <c r="AJ131" t="e">
        <f>AND('STERLING CATALOG - DRY '!H2859,"AAAAAH9v1yM=")</f>
        <v>#VALUE!</v>
      </c>
      <c r="AK131" t="e">
        <f>AND('STERLING CATALOG - DRY '!I2859,"AAAAAH9v1yQ=")</f>
        <v>#VALUE!</v>
      </c>
      <c r="AL131" t="e">
        <f>AND('STERLING CATALOG - DRY '!J2859,"AAAAAH9v1yU=")</f>
        <v>#VALUE!</v>
      </c>
      <c r="AM131">
        <f>IF('STERLING CATALOG - DRY '!2860:2860,"AAAAAH9v1yY=",0)</f>
        <v>0</v>
      </c>
      <c r="AN131" t="e">
        <f>AND('STERLING CATALOG - DRY '!A2860,"AAAAAH9v1yc=")</f>
        <v>#VALUE!</v>
      </c>
      <c r="AO131" t="e">
        <f>AND('STERLING CATALOG - DRY '!B2860,"AAAAAH9v1yg=")</f>
        <v>#VALUE!</v>
      </c>
      <c r="AP131" t="e">
        <f>AND('STERLING CATALOG - DRY '!C2860,"AAAAAH9v1yk=")</f>
        <v>#VALUE!</v>
      </c>
      <c r="AQ131" t="e">
        <f>AND('STERLING CATALOG - DRY '!D2860,"AAAAAH9v1yo=")</f>
        <v>#VALUE!</v>
      </c>
      <c r="AR131" t="e">
        <f>AND('STERLING CATALOG - DRY '!E2860,"AAAAAH9v1ys=")</f>
        <v>#VALUE!</v>
      </c>
      <c r="AS131" t="e">
        <f>AND('STERLING CATALOG - DRY '!F2860,"AAAAAH9v1yw=")</f>
        <v>#VALUE!</v>
      </c>
      <c r="AT131" t="e">
        <f>AND('STERLING CATALOG - DRY '!G2860,"AAAAAH9v1y0=")</f>
        <v>#VALUE!</v>
      </c>
      <c r="AU131" t="e">
        <f>AND('STERLING CATALOG - DRY '!H2860,"AAAAAH9v1y4=")</f>
        <v>#VALUE!</v>
      </c>
      <c r="AV131" t="e">
        <f>AND('STERLING CATALOG - DRY '!I2860,"AAAAAH9v1y8=")</f>
        <v>#VALUE!</v>
      </c>
      <c r="AW131" t="e">
        <f>AND('STERLING CATALOG - DRY '!J2860,"AAAAAH9v1zA=")</f>
        <v>#VALUE!</v>
      </c>
      <c r="AX131">
        <f>IF('STERLING CATALOG - DRY '!2861:2861,"AAAAAH9v1zE=",0)</f>
        <v>0</v>
      </c>
      <c r="AY131" t="e">
        <f>AND('STERLING CATALOG - DRY '!A2861,"AAAAAH9v1zI=")</f>
        <v>#VALUE!</v>
      </c>
      <c r="AZ131" t="e">
        <f>AND('STERLING CATALOG - DRY '!B2861,"AAAAAH9v1zM=")</f>
        <v>#VALUE!</v>
      </c>
      <c r="BA131" t="e">
        <f>AND('STERLING CATALOG - DRY '!C2861,"AAAAAH9v1zQ=")</f>
        <v>#VALUE!</v>
      </c>
      <c r="BB131" t="e">
        <f>AND('STERLING CATALOG - DRY '!D2861,"AAAAAH9v1zU=")</f>
        <v>#VALUE!</v>
      </c>
      <c r="BC131" t="e">
        <f>AND('STERLING CATALOG - DRY '!E2861,"AAAAAH9v1zY=")</f>
        <v>#VALUE!</v>
      </c>
      <c r="BD131" t="e">
        <f>AND('STERLING CATALOG - DRY '!F2861,"AAAAAH9v1zc=")</f>
        <v>#VALUE!</v>
      </c>
      <c r="BE131" t="e">
        <f>AND('STERLING CATALOG - DRY '!G2861,"AAAAAH9v1zg=")</f>
        <v>#VALUE!</v>
      </c>
      <c r="BF131" t="e">
        <f>AND('STERLING CATALOG - DRY '!H2861,"AAAAAH9v1zk=")</f>
        <v>#VALUE!</v>
      </c>
      <c r="BG131" t="e">
        <f>AND('STERLING CATALOG - DRY '!I2861,"AAAAAH9v1zo=")</f>
        <v>#VALUE!</v>
      </c>
      <c r="BH131" t="e">
        <f>AND('STERLING CATALOG - DRY '!J2861,"AAAAAH9v1zs=")</f>
        <v>#VALUE!</v>
      </c>
      <c r="BI131">
        <f>IF('STERLING CATALOG - DRY '!2862:2862,"AAAAAH9v1zw=",0)</f>
        <v>0</v>
      </c>
      <c r="BJ131" t="e">
        <f>AND('STERLING CATALOG - DRY '!A2862,"AAAAAH9v1z0=")</f>
        <v>#VALUE!</v>
      </c>
      <c r="BK131" t="e">
        <f>AND('STERLING CATALOG - DRY '!B2862,"AAAAAH9v1z4=")</f>
        <v>#VALUE!</v>
      </c>
      <c r="BL131" t="e">
        <f>AND('STERLING CATALOG - DRY '!C2862,"AAAAAH9v1z8=")</f>
        <v>#VALUE!</v>
      </c>
      <c r="BM131" t="e">
        <f>AND('STERLING CATALOG - DRY '!D2862,"AAAAAH9v10A=")</f>
        <v>#VALUE!</v>
      </c>
      <c r="BN131" t="e">
        <f>AND('STERLING CATALOG - DRY '!E2862,"AAAAAH9v10E=")</f>
        <v>#VALUE!</v>
      </c>
      <c r="BO131" t="e">
        <f>AND('STERLING CATALOG - DRY '!F2862,"AAAAAH9v10I=")</f>
        <v>#VALUE!</v>
      </c>
      <c r="BP131" t="e">
        <f>AND('STERLING CATALOG - DRY '!G2862,"AAAAAH9v10M=")</f>
        <v>#VALUE!</v>
      </c>
      <c r="BQ131" t="e">
        <f>AND('STERLING CATALOG - DRY '!H2862,"AAAAAH9v10Q=")</f>
        <v>#VALUE!</v>
      </c>
      <c r="BR131" t="e">
        <f>AND('STERLING CATALOG - DRY '!I2862,"AAAAAH9v10U=")</f>
        <v>#VALUE!</v>
      </c>
      <c r="BS131" t="e">
        <f>AND('STERLING CATALOG - DRY '!J2862,"AAAAAH9v10Y=")</f>
        <v>#VALUE!</v>
      </c>
      <c r="BT131">
        <f>IF('STERLING CATALOG - DRY '!2863:2863,"AAAAAH9v10c=",0)</f>
        <v>0</v>
      </c>
      <c r="BU131" t="e">
        <f>AND('STERLING CATALOG - DRY '!A2863,"AAAAAH9v10g=")</f>
        <v>#VALUE!</v>
      </c>
      <c r="BV131" t="e">
        <f>AND('STERLING CATALOG - DRY '!B2863,"AAAAAH9v10k=")</f>
        <v>#VALUE!</v>
      </c>
      <c r="BW131" t="e">
        <f>AND('STERLING CATALOG - DRY '!C2863,"AAAAAH9v10o=")</f>
        <v>#VALUE!</v>
      </c>
      <c r="BX131" t="e">
        <f>AND('STERLING CATALOG - DRY '!D2863,"AAAAAH9v10s=")</f>
        <v>#VALUE!</v>
      </c>
      <c r="BY131" t="e">
        <f>AND('STERLING CATALOG - DRY '!E2863,"AAAAAH9v10w=")</f>
        <v>#VALUE!</v>
      </c>
      <c r="BZ131" t="e">
        <f>AND('STERLING CATALOG - DRY '!F2863,"AAAAAH9v100=")</f>
        <v>#VALUE!</v>
      </c>
      <c r="CA131" t="e">
        <f>AND('STERLING CATALOG - DRY '!G2863,"AAAAAH9v104=")</f>
        <v>#VALUE!</v>
      </c>
      <c r="CB131" t="e">
        <f>AND('STERLING CATALOG - DRY '!H2863,"AAAAAH9v108=")</f>
        <v>#VALUE!</v>
      </c>
      <c r="CC131" t="e">
        <f>AND('STERLING CATALOG - DRY '!I2863,"AAAAAH9v11A=")</f>
        <v>#VALUE!</v>
      </c>
      <c r="CD131" t="e">
        <f>AND('STERLING CATALOG - DRY '!J2863,"AAAAAH9v11E=")</f>
        <v>#VALUE!</v>
      </c>
      <c r="CE131">
        <f>IF('STERLING CATALOG - DRY '!2864:2864,"AAAAAH9v11I=",0)</f>
        <v>0</v>
      </c>
      <c r="CF131" t="e">
        <f>AND('STERLING CATALOG - DRY '!A2864,"AAAAAH9v11M=")</f>
        <v>#VALUE!</v>
      </c>
      <c r="CG131" t="e">
        <f>AND('STERLING CATALOG - DRY '!B2864,"AAAAAH9v11Q=")</f>
        <v>#VALUE!</v>
      </c>
      <c r="CH131" t="e">
        <f>AND('STERLING CATALOG - DRY '!C2864,"AAAAAH9v11U=")</f>
        <v>#VALUE!</v>
      </c>
      <c r="CI131" t="e">
        <f>AND('STERLING CATALOG - DRY '!D2864,"AAAAAH9v11Y=")</f>
        <v>#VALUE!</v>
      </c>
      <c r="CJ131" t="e">
        <f>AND('STERLING CATALOG - DRY '!E2864,"AAAAAH9v11c=")</f>
        <v>#VALUE!</v>
      </c>
      <c r="CK131" t="e">
        <f>AND('STERLING CATALOG - DRY '!F2864,"AAAAAH9v11g=")</f>
        <v>#VALUE!</v>
      </c>
      <c r="CL131" t="e">
        <f>AND('STERLING CATALOG - DRY '!G2864,"AAAAAH9v11k=")</f>
        <v>#VALUE!</v>
      </c>
      <c r="CM131" t="e">
        <f>AND('STERLING CATALOG - DRY '!H2864,"AAAAAH9v11o=")</f>
        <v>#VALUE!</v>
      </c>
      <c r="CN131" t="e">
        <f>AND('STERLING CATALOG - DRY '!I2864,"AAAAAH9v11s=")</f>
        <v>#VALUE!</v>
      </c>
      <c r="CO131" t="e">
        <f>AND('STERLING CATALOG - DRY '!J2864,"AAAAAH9v11w=")</f>
        <v>#VALUE!</v>
      </c>
      <c r="CP131">
        <f>IF('STERLING CATALOG - DRY '!2865:2865,"AAAAAH9v110=",0)</f>
        <v>0</v>
      </c>
      <c r="CQ131" t="e">
        <f>AND('STERLING CATALOG - DRY '!A2865,"AAAAAH9v114=")</f>
        <v>#VALUE!</v>
      </c>
      <c r="CR131" t="e">
        <f>AND('STERLING CATALOG - DRY '!B2865,"AAAAAH9v118=")</f>
        <v>#VALUE!</v>
      </c>
      <c r="CS131" t="e">
        <f>AND('STERLING CATALOG - DRY '!C2865,"AAAAAH9v12A=")</f>
        <v>#VALUE!</v>
      </c>
      <c r="CT131" t="e">
        <f>AND('STERLING CATALOG - DRY '!D2865,"AAAAAH9v12E=")</f>
        <v>#VALUE!</v>
      </c>
      <c r="CU131" t="e">
        <f>AND('STERLING CATALOG - DRY '!E2865,"AAAAAH9v12I=")</f>
        <v>#VALUE!</v>
      </c>
      <c r="CV131" t="e">
        <f>AND('STERLING CATALOG - DRY '!F2865,"AAAAAH9v12M=")</f>
        <v>#VALUE!</v>
      </c>
      <c r="CW131" t="e">
        <f>AND('STERLING CATALOG - DRY '!G2865,"AAAAAH9v12Q=")</f>
        <v>#VALUE!</v>
      </c>
      <c r="CX131" t="e">
        <f>AND('STERLING CATALOG - DRY '!H2865,"AAAAAH9v12U=")</f>
        <v>#VALUE!</v>
      </c>
      <c r="CY131" t="e">
        <f>AND('STERLING CATALOG - DRY '!I2865,"AAAAAH9v12Y=")</f>
        <v>#VALUE!</v>
      </c>
      <c r="CZ131" t="e">
        <f>AND('STERLING CATALOG - DRY '!J2865,"AAAAAH9v12c=")</f>
        <v>#VALUE!</v>
      </c>
      <c r="DA131">
        <f>IF('STERLING CATALOG - DRY '!2866:2866,"AAAAAH9v12g=",0)</f>
        <v>0</v>
      </c>
      <c r="DB131" t="e">
        <f>AND('STERLING CATALOG - DRY '!A2866,"AAAAAH9v12k=")</f>
        <v>#VALUE!</v>
      </c>
      <c r="DC131" t="e">
        <f>AND('STERLING CATALOG - DRY '!B2866,"AAAAAH9v12o=")</f>
        <v>#VALUE!</v>
      </c>
      <c r="DD131" t="e">
        <f>AND('STERLING CATALOG - DRY '!C2866,"AAAAAH9v12s=")</f>
        <v>#VALUE!</v>
      </c>
      <c r="DE131" t="e">
        <f>AND('STERLING CATALOG - DRY '!D2866,"AAAAAH9v12w=")</f>
        <v>#VALUE!</v>
      </c>
      <c r="DF131" t="e">
        <f>AND('STERLING CATALOG - DRY '!E2866,"AAAAAH9v120=")</f>
        <v>#VALUE!</v>
      </c>
      <c r="DG131" t="e">
        <f>AND('STERLING CATALOG - DRY '!F2866,"AAAAAH9v124=")</f>
        <v>#VALUE!</v>
      </c>
      <c r="DH131" t="e">
        <f>AND('STERLING CATALOG - DRY '!G2866,"AAAAAH9v128=")</f>
        <v>#VALUE!</v>
      </c>
      <c r="DI131" t="e">
        <f>AND('STERLING CATALOG - DRY '!H2866,"AAAAAH9v13A=")</f>
        <v>#VALUE!</v>
      </c>
      <c r="DJ131" t="e">
        <f>AND('STERLING CATALOG - DRY '!I2866,"AAAAAH9v13E=")</f>
        <v>#VALUE!</v>
      </c>
      <c r="DK131" t="e">
        <f>AND('STERLING CATALOG - DRY '!J2866,"AAAAAH9v13I=")</f>
        <v>#VALUE!</v>
      </c>
      <c r="DL131">
        <f>IF('STERLING CATALOG - DRY '!2867:2867,"AAAAAH9v13M=",0)</f>
        <v>0</v>
      </c>
      <c r="DM131" t="e">
        <f>AND('STERLING CATALOG - DRY '!A2867,"AAAAAH9v13Q=")</f>
        <v>#VALUE!</v>
      </c>
      <c r="DN131" t="e">
        <f>AND('STERLING CATALOG - DRY '!B2867,"AAAAAH9v13U=")</f>
        <v>#VALUE!</v>
      </c>
      <c r="DO131" t="e">
        <f>AND('STERLING CATALOG - DRY '!C2867,"AAAAAH9v13Y=")</f>
        <v>#VALUE!</v>
      </c>
      <c r="DP131" t="e">
        <f>AND('STERLING CATALOG - DRY '!D2867,"AAAAAH9v13c=")</f>
        <v>#VALUE!</v>
      </c>
      <c r="DQ131" t="e">
        <f>AND('STERLING CATALOG - DRY '!E2867,"AAAAAH9v13g=")</f>
        <v>#VALUE!</v>
      </c>
      <c r="DR131" t="e">
        <f>AND('STERLING CATALOG - DRY '!F2867,"AAAAAH9v13k=")</f>
        <v>#VALUE!</v>
      </c>
      <c r="DS131" t="e">
        <f>AND('STERLING CATALOG - DRY '!G2867,"AAAAAH9v13o=")</f>
        <v>#VALUE!</v>
      </c>
      <c r="DT131" t="e">
        <f>AND('STERLING CATALOG - DRY '!H2867,"AAAAAH9v13s=")</f>
        <v>#VALUE!</v>
      </c>
      <c r="DU131" t="e">
        <f>AND('STERLING CATALOG - DRY '!I2867,"AAAAAH9v13w=")</f>
        <v>#VALUE!</v>
      </c>
      <c r="DV131" t="e">
        <f>AND('STERLING CATALOG - DRY '!J2867,"AAAAAH9v130=")</f>
        <v>#VALUE!</v>
      </c>
      <c r="DW131">
        <f>IF('STERLING CATALOG - DRY '!2868:2868,"AAAAAH9v134=",0)</f>
        <v>0</v>
      </c>
      <c r="DX131" t="e">
        <f>AND('STERLING CATALOG - DRY '!A2868,"AAAAAH9v138=")</f>
        <v>#VALUE!</v>
      </c>
      <c r="DY131" t="e">
        <f>AND('STERLING CATALOG - DRY '!B2868,"AAAAAH9v14A=")</f>
        <v>#VALUE!</v>
      </c>
      <c r="DZ131" t="e">
        <f>AND('STERLING CATALOG - DRY '!C2868,"AAAAAH9v14E=")</f>
        <v>#VALUE!</v>
      </c>
      <c r="EA131" t="e">
        <f>AND('STERLING CATALOG - DRY '!D2868,"AAAAAH9v14I=")</f>
        <v>#VALUE!</v>
      </c>
      <c r="EB131" t="e">
        <f>AND('STERLING CATALOG - DRY '!E2868,"AAAAAH9v14M=")</f>
        <v>#VALUE!</v>
      </c>
      <c r="EC131" t="e">
        <f>AND('STERLING CATALOG - DRY '!F2868,"AAAAAH9v14Q=")</f>
        <v>#VALUE!</v>
      </c>
      <c r="ED131" t="e">
        <f>AND('STERLING CATALOG - DRY '!G2868,"AAAAAH9v14U=")</f>
        <v>#VALUE!</v>
      </c>
      <c r="EE131" t="e">
        <f>AND('STERLING CATALOG - DRY '!H2868,"AAAAAH9v14Y=")</f>
        <v>#VALUE!</v>
      </c>
      <c r="EF131" t="e">
        <f>AND('STERLING CATALOG - DRY '!I2868,"AAAAAH9v14c=")</f>
        <v>#VALUE!</v>
      </c>
      <c r="EG131" t="e">
        <f>AND('STERLING CATALOG - DRY '!J2868,"AAAAAH9v14g=")</f>
        <v>#VALUE!</v>
      </c>
      <c r="EH131">
        <f>IF('STERLING CATALOG - DRY '!2869:2869,"AAAAAH9v14k=",0)</f>
        <v>0</v>
      </c>
      <c r="EI131" t="e">
        <f>AND('STERLING CATALOG - DRY '!A2869,"AAAAAH9v14o=")</f>
        <v>#VALUE!</v>
      </c>
      <c r="EJ131" t="e">
        <f>AND('STERLING CATALOG - DRY '!B2869,"AAAAAH9v14s=")</f>
        <v>#VALUE!</v>
      </c>
      <c r="EK131" t="e">
        <f>AND('STERLING CATALOG - DRY '!C2869,"AAAAAH9v14w=")</f>
        <v>#VALUE!</v>
      </c>
      <c r="EL131" t="e">
        <f>AND('STERLING CATALOG - DRY '!D2869,"AAAAAH9v140=")</f>
        <v>#VALUE!</v>
      </c>
      <c r="EM131" t="e">
        <f>AND('STERLING CATALOG - DRY '!E2869,"AAAAAH9v144=")</f>
        <v>#VALUE!</v>
      </c>
      <c r="EN131" t="e">
        <f>AND('STERLING CATALOG - DRY '!F2869,"AAAAAH9v148=")</f>
        <v>#VALUE!</v>
      </c>
      <c r="EO131" t="e">
        <f>AND('STERLING CATALOG - DRY '!G2869,"AAAAAH9v15A=")</f>
        <v>#VALUE!</v>
      </c>
      <c r="EP131" t="e">
        <f>AND('STERLING CATALOG - DRY '!H2869,"AAAAAH9v15E=")</f>
        <v>#VALUE!</v>
      </c>
      <c r="EQ131" t="e">
        <f>AND('STERLING CATALOG - DRY '!I2869,"AAAAAH9v15I=")</f>
        <v>#VALUE!</v>
      </c>
      <c r="ER131" t="e">
        <f>AND('STERLING CATALOG - DRY '!J2869,"AAAAAH9v15M=")</f>
        <v>#VALUE!</v>
      </c>
      <c r="ES131">
        <f>IF('STERLING CATALOG - DRY '!2870:2870,"AAAAAH9v15Q=",0)</f>
        <v>0</v>
      </c>
      <c r="ET131" t="e">
        <f>AND('STERLING CATALOG - DRY '!A2870,"AAAAAH9v15U=")</f>
        <v>#VALUE!</v>
      </c>
      <c r="EU131" t="e">
        <f>AND('STERLING CATALOG - DRY '!B2870,"AAAAAH9v15Y=")</f>
        <v>#VALUE!</v>
      </c>
      <c r="EV131" t="e">
        <f>AND('STERLING CATALOG - DRY '!C2870,"AAAAAH9v15c=")</f>
        <v>#VALUE!</v>
      </c>
      <c r="EW131" t="e">
        <f>AND('STERLING CATALOG - DRY '!D2870,"AAAAAH9v15g=")</f>
        <v>#VALUE!</v>
      </c>
      <c r="EX131" t="e">
        <f>AND('STERLING CATALOG - DRY '!E2870,"AAAAAH9v15k=")</f>
        <v>#VALUE!</v>
      </c>
      <c r="EY131" t="e">
        <f>AND('STERLING CATALOG - DRY '!F2870,"AAAAAH9v15o=")</f>
        <v>#VALUE!</v>
      </c>
      <c r="EZ131" t="e">
        <f>AND('STERLING CATALOG - DRY '!G2870,"AAAAAH9v15s=")</f>
        <v>#VALUE!</v>
      </c>
      <c r="FA131" t="e">
        <f>AND('STERLING CATALOG - DRY '!H2870,"AAAAAH9v15w=")</f>
        <v>#VALUE!</v>
      </c>
      <c r="FB131" t="e">
        <f>AND('STERLING CATALOG - DRY '!I2870,"AAAAAH9v150=")</f>
        <v>#VALUE!</v>
      </c>
      <c r="FC131" t="e">
        <f>AND('STERLING CATALOG - DRY '!J2870,"AAAAAH9v154=")</f>
        <v>#VALUE!</v>
      </c>
      <c r="FD131">
        <f>IF('STERLING CATALOG - DRY '!2871:2871,"AAAAAH9v158=",0)</f>
        <v>0</v>
      </c>
      <c r="FE131" t="e">
        <f>AND('STERLING CATALOG - DRY '!A2871,"AAAAAH9v16A=")</f>
        <v>#VALUE!</v>
      </c>
      <c r="FF131" t="e">
        <f>AND('STERLING CATALOG - DRY '!B2871,"AAAAAH9v16E=")</f>
        <v>#VALUE!</v>
      </c>
      <c r="FG131" t="e">
        <f>AND('STERLING CATALOG - DRY '!C2871,"AAAAAH9v16I=")</f>
        <v>#VALUE!</v>
      </c>
      <c r="FH131" t="e">
        <f>AND('STERLING CATALOG - DRY '!D2871,"AAAAAH9v16M=")</f>
        <v>#VALUE!</v>
      </c>
      <c r="FI131" t="e">
        <f>AND('STERLING CATALOG - DRY '!E2871,"AAAAAH9v16Q=")</f>
        <v>#VALUE!</v>
      </c>
      <c r="FJ131" t="e">
        <f>AND('STERLING CATALOG - DRY '!F2871,"AAAAAH9v16U=")</f>
        <v>#VALUE!</v>
      </c>
      <c r="FK131" t="e">
        <f>AND('STERLING CATALOG - DRY '!G2871,"AAAAAH9v16Y=")</f>
        <v>#VALUE!</v>
      </c>
      <c r="FL131" t="e">
        <f>AND('STERLING CATALOG - DRY '!H2871,"AAAAAH9v16c=")</f>
        <v>#VALUE!</v>
      </c>
      <c r="FM131" t="e">
        <f>AND('STERLING CATALOG - DRY '!I2871,"AAAAAH9v16g=")</f>
        <v>#VALUE!</v>
      </c>
      <c r="FN131" t="e">
        <f>AND('STERLING CATALOG - DRY '!J2871,"AAAAAH9v16k=")</f>
        <v>#VALUE!</v>
      </c>
      <c r="FO131">
        <f>IF('STERLING CATALOG - DRY '!2872:2872,"AAAAAH9v16o=",0)</f>
        <v>0</v>
      </c>
      <c r="FP131" t="e">
        <f>AND('STERLING CATALOG - DRY '!A2872,"AAAAAH9v16s=")</f>
        <v>#VALUE!</v>
      </c>
      <c r="FQ131" t="e">
        <f>AND('STERLING CATALOG - DRY '!B2872,"AAAAAH9v16w=")</f>
        <v>#VALUE!</v>
      </c>
      <c r="FR131" t="e">
        <f>AND('STERLING CATALOG - DRY '!C2872,"AAAAAH9v160=")</f>
        <v>#VALUE!</v>
      </c>
      <c r="FS131" t="e">
        <f>AND('STERLING CATALOG - DRY '!D2872,"AAAAAH9v164=")</f>
        <v>#VALUE!</v>
      </c>
      <c r="FT131" t="e">
        <f>AND('STERLING CATALOG - DRY '!E2872,"AAAAAH9v168=")</f>
        <v>#VALUE!</v>
      </c>
      <c r="FU131" t="e">
        <f>AND('STERLING CATALOG - DRY '!F2872,"AAAAAH9v17A=")</f>
        <v>#VALUE!</v>
      </c>
      <c r="FV131" t="e">
        <f>AND('STERLING CATALOG - DRY '!G2872,"AAAAAH9v17E=")</f>
        <v>#VALUE!</v>
      </c>
      <c r="FW131" t="e">
        <f>AND('STERLING CATALOG - DRY '!H2872,"AAAAAH9v17I=")</f>
        <v>#VALUE!</v>
      </c>
      <c r="FX131" t="e">
        <f>AND('STERLING CATALOG - DRY '!I2872,"AAAAAH9v17M=")</f>
        <v>#VALUE!</v>
      </c>
      <c r="FY131" t="e">
        <f>AND('STERLING CATALOG - DRY '!J2872,"AAAAAH9v17Q=")</f>
        <v>#VALUE!</v>
      </c>
      <c r="FZ131">
        <f>IF('STERLING CATALOG - DRY '!2873:2873,"AAAAAH9v17U=",0)</f>
        <v>0</v>
      </c>
      <c r="GA131" t="e">
        <f>AND('STERLING CATALOG - DRY '!A2873,"AAAAAH9v17Y=")</f>
        <v>#VALUE!</v>
      </c>
      <c r="GB131" t="e">
        <f>AND('STERLING CATALOG - DRY '!B2873,"AAAAAH9v17c=")</f>
        <v>#VALUE!</v>
      </c>
      <c r="GC131" t="e">
        <f>AND('STERLING CATALOG - DRY '!C2873,"AAAAAH9v17g=")</f>
        <v>#VALUE!</v>
      </c>
      <c r="GD131" t="e">
        <f>AND('STERLING CATALOG - DRY '!D2873,"AAAAAH9v17k=")</f>
        <v>#VALUE!</v>
      </c>
      <c r="GE131" t="e">
        <f>AND('STERLING CATALOG - DRY '!E2873,"AAAAAH9v17o=")</f>
        <v>#VALUE!</v>
      </c>
      <c r="GF131" t="e">
        <f>AND('STERLING CATALOG - DRY '!F2873,"AAAAAH9v17s=")</f>
        <v>#VALUE!</v>
      </c>
      <c r="GG131" t="e">
        <f>AND('STERLING CATALOG - DRY '!G2873,"AAAAAH9v17w=")</f>
        <v>#VALUE!</v>
      </c>
      <c r="GH131" t="e">
        <f>AND('STERLING CATALOG - DRY '!H2873,"AAAAAH9v170=")</f>
        <v>#VALUE!</v>
      </c>
      <c r="GI131" t="e">
        <f>AND('STERLING CATALOG - DRY '!I2873,"AAAAAH9v174=")</f>
        <v>#VALUE!</v>
      </c>
      <c r="GJ131" t="e">
        <f>AND('STERLING CATALOG - DRY '!J2873,"AAAAAH9v178=")</f>
        <v>#VALUE!</v>
      </c>
      <c r="GK131">
        <f>IF('STERLING CATALOG - DRY '!2874:2874,"AAAAAH9v18A=",0)</f>
        <v>0</v>
      </c>
      <c r="GL131" t="e">
        <f>AND('STERLING CATALOG - DRY '!A2874,"AAAAAH9v18E=")</f>
        <v>#VALUE!</v>
      </c>
      <c r="GM131" t="e">
        <f>AND('STERLING CATALOG - DRY '!B2874,"AAAAAH9v18I=")</f>
        <v>#VALUE!</v>
      </c>
      <c r="GN131" t="e">
        <f>AND('STERLING CATALOG - DRY '!C2874,"AAAAAH9v18M=")</f>
        <v>#VALUE!</v>
      </c>
      <c r="GO131" t="e">
        <f>AND('STERLING CATALOG - DRY '!D2874,"AAAAAH9v18Q=")</f>
        <v>#VALUE!</v>
      </c>
      <c r="GP131" t="e">
        <f>AND('STERLING CATALOG - DRY '!E2874,"AAAAAH9v18U=")</f>
        <v>#VALUE!</v>
      </c>
      <c r="GQ131" t="e">
        <f>AND('STERLING CATALOG - DRY '!F2874,"AAAAAH9v18Y=")</f>
        <v>#VALUE!</v>
      </c>
      <c r="GR131" t="e">
        <f>AND('STERLING CATALOG - DRY '!G2874,"AAAAAH9v18c=")</f>
        <v>#VALUE!</v>
      </c>
      <c r="GS131" t="e">
        <f>AND('STERLING CATALOG - DRY '!H2874,"AAAAAH9v18g=")</f>
        <v>#VALUE!</v>
      </c>
      <c r="GT131" t="e">
        <f>AND('STERLING CATALOG - DRY '!I2874,"AAAAAH9v18k=")</f>
        <v>#VALUE!</v>
      </c>
      <c r="GU131" t="e">
        <f>AND('STERLING CATALOG - DRY '!J2874,"AAAAAH9v18o=")</f>
        <v>#VALUE!</v>
      </c>
      <c r="GV131">
        <f>IF('STERLING CATALOG - DRY '!2875:2875,"AAAAAH9v18s=",0)</f>
        <v>0</v>
      </c>
      <c r="GW131" t="e">
        <f>AND('STERLING CATALOG - DRY '!A2875,"AAAAAH9v18w=")</f>
        <v>#VALUE!</v>
      </c>
      <c r="GX131" t="e">
        <f>AND('STERLING CATALOG - DRY '!B2875,"AAAAAH9v180=")</f>
        <v>#VALUE!</v>
      </c>
      <c r="GY131" t="e">
        <f>AND('STERLING CATALOG - DRY '!C2875,"AAAAAH9v184=")</f>
        <v>#VALUE!</v>
      </c>
      <c r="GZ131" t="e">
        <f>AND('STERLING CATALOG - DRY '!D2875,"AAAAAH9v188=")</f>
        <v>#VALUE!</v>
      </c>
      <c r="HA131" t="e">
        <f>AND('STERLING CATALOG - DRY '!E2875,"AAAAAH9v19A=")</f>
        <v>#VALUE!</v>
      </c>
      <c r="HB131" t="e">
        <f>AND('STERLING CATALOG - DRY '!F2875,"AAAAAH9v19E=")</f>
        <v>#VALUE!</v>
      </c>
      <c r="HC131" t="e">
        <f>AND('STERLING CATALOG - DRY '!G2875,"AAAAAH9v19I=")</f>
        <v>#VALUE!</v>
      </c>
      <c r="HD131" t="e">
        <f>AND('STERLING CATALOG - DRY '!H2875,"AAAAAH9v19M=")</f>
        <v>#VALUE!</v>
      </c>
      <c r="HE131" t="e">
        <f>AND('STERLING CATALOG - DRY '!I2875,"AAAAAH9v19Q=")</f>
        <v>#VALUE!</v>
      </c>
      <c r="HF131" t="e">
        <f>AND('STERLING CATALOG - DRY '!J2875,"AAAAAH9v19U=")</f>
        <v>#VALUE!</v>
      </c>
      <c r="HG131">
        <f>IF('STERLING CATALOG - DRY '!2876:2876,"AAAAAH9v19Y=",0)</f>
        <v>0</v>
      </c>
      <c r="HH131" t="e">
        <f>AND('STERLING CATALOG - DRY '!A2876,"AAAAAH9v19c=")</f>
        <v>#VALUE!</v>
      </c>
      <c r="HI131" t="e">
        <f>AND('STERLING CATALOG - DRY '!B2876,"AAAAAH9v19g=")</f>
        <v>#VALUE!</v>
      </c>
      <c r="HJ131" t="e">
        <f>AND('STERLING CATALOG - DRY '!C2876,"AAAAAH9v19k=")</f>
        <v>#VALUE!</v>
      </c>
      <c r="HK131" t="e">
        <f>AND('STERLING CATALOG - DRY '!D2876,"AAAAAH9v19o=")</f>
        <v>#VALUE!</v>
      </c>
      <c r="HL131" t="e">
        <f>AND('STERLING CATALOG - DRY '!E2876,"AAAAAH9v19s=")</f>
        <v>#VALUE!</v>
      </c>
      <c r="HM131" t="e">
        <f>AND('STERLING CATALOG - DRY '!F2876,"AAAAAH9v19w=")</f>
        <v>#VALUE!</v>
      </c>
      <c r="HN131" t="e">
        <f>AND('STERLING CATALOG - DRY '!G2876,"AAAAAH9v190=")</f>
        <v>#VALUE!</v>
      </c>
      <c r="HO131" t="e">
        <f>AND('STERLING CATALOG - DRY '!H2876,"AAAAAH9v194=")</f>
        <v>#VALUE!</v>
      </c>
      <c r="HP131" t="e">
        <f>AND('STERLING CATALOG - DRY '!I2876,"AAAAAH9v198=")</f>
        <v>#VALUE!</v>
      </c>
      <c r="HQ131" t="e">
        <f>AND('STERLING CATALOG - DRY '!J2876,"AAAAAH9v1+A=")</f>
        <v>#VALUE!</v>
      </c>
      <c r="HR131">
        <f>IF('STERLING CATALOG - DRY '!2877:2877,"AAAAAH9v1+E=",0)</f>
        <v>0</v>
      </c>
      <c r="HS131" t="e">
        <f>AND('STERLING CATALOG - DRY '!A2877,"AAAAAH9v1+I=")</f>
        <v>#VALUE!</v>
      </c>
      <c r="HT131" t="e">
        <f>AND('STERLING CATALOG - DRY '!B2877,"AAAAAH9v1+M=")</f>
        <v>#VALUE!</v>
      </c>
      <c r="HU131" t="e">
        <f>AND('STERLING CATALOG - DRY '!C2877,"AAAAAH9v1+Q=")</f>
        <v>#VALUE!</v>
      </c>
      <c r="HV131" t="e">
        <f>AND('STERLING CATALOG - DRY '!D2877,"AAAAAH9v1+U=")</f>
        <v>#VALUE!</v>
      </c>
      <c r="HW131" t="e">
        <f>AND('STERLING CATALOG - DRY '!E2877,"AAAAAH9v1+Y=")</f>
        <v>#VALUE!</v>
      </c>
      <c r="HX131" t="e">
        <f>AND('STERLING CATALOG - DRY '!F2877,"AAAAAH9v1+c=")</f>
        <v>#VALUE!</v>
      </c>
      <c r="HY131" t="e">
        <f>AND('STERLING CATALOG - DRY '!G2877,"AAAAAH9v1+g=")</f>
        <v>#VALUE!</v>
      </c>
      <c r="HZ131" t="e">
        <f>AND('STERLING CATALOG - DRY '!H2877,"AAAAAH9v1+k=")</f>
        <v>#VALUE!</v>
      </c>
      <c r="IA131" t="e">
        <f>AND('STERLING CATALOG - DRY '!I2877,"AAAAAH9v1+o=")</f>
        <v>#VALUE!</v>
      </c>
      <c r="IB131" t="e">
        <f>AND('STERLING CATALOG - DRY '!J2877,"AAAAAH9v1+s=")</f>
        <v>#VALUE!</v>
      </c>
      <c r="IC131">
        <f>IF('STERLING CATALOG - DRY '!2878:2878,"AAAAAH9v1+w=",0)</f>
        <v>0</v>
      </c>
      <c r="ID131" t="e">
        <f>AND('STERLING CATALOG - DRY '!A2878,"AAAAAH9v1+0=")</f>
        <v>#VALUE!</v>
      </c>
      <c r="IE131" t="e">
        <f>AND('STERLING CATALOG - DRY '!B2878,"AAAAAH9v1+4=")</f>
        <v>#VALUE!</v>
      </c>
      <c r="IF131" t="e">
        <f>AND('STERLING CATALOG - DRY '!C2878,"AAAAAH9v1+8=")</f>
        <v>#VALUE!</v>
      </c>
      <c r="IG131" t="e">
        <f>AND('STERLING CATALOG - DRY '!D2878,"AAAAAH9v1/A=")</f>
        <v>#VALUE!</v>
      </c>
      <c r="IH131" t="e">
        <f>AND('STERLING CATALOG - DRY '!E2878,"AAAAAH9v1/E=")</f>
        <v>#VALUE!</v>
      </c>
      <c r="II131" t="e">
        <f>AND('STERLING CATALOG - DRY '!F2878,"AAAAAH9v1/I=")</f>
        <v>#VALUE!</v>
      </c>
      <c r="IJ131" t="e">
        <f>AND('STERLING CATALOG - DRY '!G2878,"AAAAAH9v1/M=")</f>
        <v>#VALUE!</v>
      </c>
      <c r="IK131" t="e">
        <f>AND('STERLING CATALOG - DRY '!H2878,"AAAAAH9v1/Q=")</f>
        <v>#VALUE!</v>
      </c>
      <c r="IL131" t="e">
        <f>AND('STERLING CATALOG - DRY '!I2878,"AAAAAH9v1/U=")</f>
        <v>#VALUE!</v>
      </c>
      <c r="IM131" t="e">
        <f>AND('STERLING CATALOG - DRY '!J2878,"AAAAAH9v1/Y=")</f>
        <v>#VALUE!</v>
      </c>
      <c r="IN131">
        <f>IF('STERLING CATALOG - DRY '!2879:2879,"AAAAAH9v1/c=",0)</f>
        <v>0</v>
      </c>
      <c r="IO131" t="e">
        <f>AND('STERLING CATALOG - DRY '!A2879,"AAAAAH9v1/g=")</f>
        <v>#VALUE!</v>
      </c>
      <c r="IP131" t="e">
        <f>AND('STERLING CATALOG - DRY '!B2879,"AAAAAH9v1/k=")</f>
        <v>#VALUE!</v>
      </c>
      <c r="IQ131" t="e">
        <f>AND('STERLING CATALOG - DRY '!C2879,"AAAAAH9v1/o=")</f>
        <v>#VALUE!</v>
      </c>
      <c r="IR131" t="e">
        <f>AND('STERLING CATALOG - DRY '!D2879,"AAAAAH9v1/s=")</f>
        <v>#VALUE!</v>
      </c>
      <c r="IS131" t="e">
        <f>AND('STERLING CATALOG - DRY '!E2879,"AAAAAH9v1/w=")</f>
        <v>#VALUE!</v>
      </c>
      <c r="IT131" t="e">
        <f>AND('STERLING CATALOG - DRY '!F2879,"AAAAAH9v1/0=")</f>
        <v>#VALUE!</v>
      </c>
      <c r="IU131" t="e">
        <f>AND('STERLING CATALOG - DRY '!G2879,"AAAAAH9v1/4=")</f>
        <v>#VALUE!</v>
      </c>
      <c r="IV131" t="e">
        <f>AND('STERLING CATALOG - DRY '!H2879,"AAAAAH9v1/8=")</f>
        <v>#VALUE!</v>
      </c>
    </row>
    <row r="132" spans="1:256">
      <c r="A132" t="e">
        <f>AND('STERLING CATALOG - DRY '!I2879,"AAAAAHR78QA=")</f>
        <v>#VALUE!</v>
      </c>
      <c r="B132" t="e">
        <f>AND('STERLING CATALOG - DRY '!J2879,"AAAAAHR78QE=")</f>
        <v>#VALUE!</v>
      </c>
      <c r="C132" t="str">
        <f>IF('STERLING CATALOG - DRY '!2880:2880,"AAAAAHR78QI=",0)</f>
        <v>AAAAAHR78QI=</v>
      </c>
      <c r="D132" t="e">
        <f>AND('STERLING CATALOG - DRY '!A2880,"AAAAAHR78QM=")</f>
        <v>#VALUE!</v>
      </c>
      <c r="E132" t="e">
        <f>AND('STERLING CATALOG - DRY '!B2880,"AAAAAHR78QQ=")</f>
        <v>#VALUE!</v>
      </c>
      <c r="F132" t="e">
        <f>AND('STERLING CATALOG - DRY '!C2880,"AAAAAHR78QU=")</f>
        <v>#VALUE!</v>
      </c>
      <c r="G132" t="e">
        <f>AND('STERLING CATALOG - DRY '!D2880,"AAAAAHR78QY=")</f>
        <v>#VALUE!</v>
      </c>
      <c r="H132" t="e">
        <f>AND('STERLING CATALOG - DRY '!E2880,"AAAAAHR78Qc=")</f>
        <v>#VALUE!</v>
      </c>
      <c r="I132" t="e">
        <f>AND('STERLING CATALOG - DRY '!F2880,"AAAAAHR78Qg=")</f>
        <v>#VALUE!</v>
      </c>
      <c r="J132" t="e">
        <f>AND('STERLING CATALOG - DRY '!G2880,"AAAAAHR78Qk=")</f>
        <v>#VALUE!</v>
      </c>
      <c r="K132" t="e">
        <f>AND('STERLING CATALOG - DRY '!H2880,"AAAAAHR78Qo=")</f>
        <v>#VALUE!</v>
      </c>
      <c r="L132" t="e">
        <f>AND('STERLING CATALOG - DRY '!I2880,"AAAAAHR78Qs=")</f>
        <v>#VALUE!</v>
      </c>
      <c r="M132" t="e">
        <f>AND('STERLING CATALOG - DRY '!J2880,"AAAAAHR78Qw=")</f>
        <v>#VALUE!</v>
      </c>
      <c r="N132">
        <f>IF('STERLING CATALOG - DRY '!2881:2881,"AAAAAHR78Q0=",0)</f>
        <v>0</v>
      </c>
      <c r="O132" t="e">
        <f>AND('STERLING CATALOG - DRY '!A2881,"AAAAAHR78Q4=")</f>
        <v>#VALUE!</v>
      </c>
      <c r="P132" t="e">
        <f>AND('STERLING CATALOG - DRY '!B2881,"AAAAAHR78Q8=")</f>
        <v>#VALUE!</v>
      </c>
      <c r="Q132" t="e">
        <f>AND('STERLING CATALOG - DRY '!C2881,"AAAAAHR78RA=")</f>
        <v>#VALUE!</v>
      </c>
      <c r="R132" t="e">
        <f>AND('STERLING CATALOG - DRY '!D2881,"AAAAAHR78RE=")</f>
        <v>#VALUE!</v>
      </c>
      <c r="S132" t="e">
        <f>AND('STERLING CATALOG - DRY '!E2881,"AAAAAHR78RI=")</f>
        <v>#VALUE!</v>
      </c>
      <c r="T132" t="e">
        <f>AND('STERLING CATALOG - DRY '!F2881,"AAAAAHR78RM=")</f>
        <v>#VALUE!</v>
      </c>
      <c r="U132" t="e">
        <f>AND('STERLING CATALOG - DRY '!G2881,"AAAAAHR78RQ=")</f>
        <v>#VALUE!</v>
      </c>
      <c r="V132" t="e">
        <f>AND('STERLING CATALOG - DRY '!H2881,"AAAAAHR78RU=")</f>
        <v>#VALUE!</v>
      </c>
      <c r="W132" t="e">
        <f>AND('STERLING CATALOG - DRY '!I2881,"AAAAAHR78RY=")</f>
        <v>#VALUE!</v>
      </c>
      <c r="X132" t="e">
        <f>AND('STERLING CATALOG - DRY '!J2881,"AAAAAHR78Rc=")</f>
        <v>#VALUE!</v>
      </c>
      <c r="Y132">
        <f>IF('STERLING CATALOG - DRY '!2882:2882,"AAAAAHR78Rg=",0)</f>
        <v>0</v>
      </c>
      <c r="Z132" t="e">
        <f>AND('STERLING CATALOG - DRY '!A2882,"AAAAAHR78Rk=")</f>
        <v>#VALUE!</v>
      </c>
      <c r="AA132" t="e">
        <f>AND('STERLING CATALOG - DRY '!B2882,"AAAAAHR78Ro=")</f>
        <v>#VALUE!</v>
      </c>
      <c r="AB132" t="e">
        <f>AND('STERLING CATALOG - DRY '!C2882,"AAAAAHR78Rs=")</f>
        <v>#VALUE!</v>
      </c>
      <c r="AC132" t="e">
        <f>AND('STERLING CATALOG - DRY '!D2882,"AAAAAHR78Rw=")</f>
        <v>#VALUE!</v>
      </c>
      <c r="AD132" t="e">
        <f>AND('STERLING CATALOG - DRY '!E2882,"AAAAAHR78R0=")</f>
        <v>#VALUE!</v>
      </c>
      <c r="AE132" t="e">
        <f>AND('STERLING CATALOG - DRY '!F2882,"AAAAAHR78R4=")</f>
        <v>#VALUE!</v>
      </c>
      <c r="AF132" t="e">
        <f>AND('STERLING CATALOG - DRY '!G2882,"AAAAAHR78R8=")</f>
        <v>#VALUE!</v>
      </c>
      <c r="AG132" t="e">
        <f>AND('STERLING CATALOG - DRY '!H2882,"AAAAAHR78SA=")</f>
        <v>#VALUE!</v>
      </c>
      <c r="AH132" t="e">
        <f>AND('STERLING CATALOG - DRY '!I2882,"AAAAAHR78SE=")</f>
        <v>#VALUE!</v>
      </c>
      <c r="AI132" t="e">
        <f>AND('STERLING CATALOG - DRY '!J2882,"AAAAAHR78SI=")</f>
        <v>#VALUE!</v>
      </c>
      <c r="AJ132">
        <f>IF('STERLING CATALOG - DRY '!2883:2883,"AAAAAHR78SM=",0)</f>
        <v>0</v>
      </c>
      <c r="AK132" t="e">
        <f>AND('STERLING CATALOG - DRY '!A2883,"AAAAAHR78SQ=")</f>
        <v>#VALUE!</v>
      </c>
      <c r="AL132" t="e">
        <f>AND('STERLING CATALOG - DRY '!B2883,"AAAAAHR78SU=")</f>
        <v>#VALUE!</v>
      </c>
      <c r="AM132" t="e">
        <f>AND('STERLING CATALOG - DRY '!C2883,"AAAAAHR78SY=")</f>
        <v>#VALUE!</v>
      </c>
      <c r="AN132" t="e">
        <f>AND('STERLING CATALOG - DRY '!D2883,"AAAAAHR78Sc=")</f>
        <v>#VALUE!</v>
      </c>
      <c r="AO132" t="e">
        <f>AND('STERLING CATALOG - DRY '!E2883,"AAAAAHR78Sg=")</f>
        <v>#VALUE!</v>
      </c>
      <c r="AP132" t="e">
        <f>AND('STERLING CATALOG - DRY '!F2883,"AAAAAHR78Sk=")</f>
        <v>#VALUE!</v>
      </c>
      <c r="AQ132" t="e">
        <f>AND('STERLING CATALOG - DRY '!G2883,"AAAAAHR78So=")</f>
        <v>#VALUE!</v>
      </c>
      <c r="AR132" t="e">
        <f>AND('STERLING CATALOG - DRY '!H2883,"AAAAAHR78Ss=")</f>
        <v>#VALUE!</v>
      </c>
      <c r="AS132" t="e">
        <f>AND('STERLING CATALOG - DRY '!I2883,"AAAAAHR78Sw=")</f>
        <v>#VALUE!</v>
      </c>
      <c r="AT132" t="e">
        <f>AND('STERLING CATALOG - DRY '!J2883,"AAAAAHR78S0=")</f>
        <v>#VALUE!</v>
      </c>
      <c r="AU132">
        <f>IF('STERLING CATALOG - DRY '!2884:2884,"AAAAAHR78S4=",0)</f>
        <v>0</v>
      </c>
      <c r="AV132" t="e">
        <f>AND('STERLING CATALOG - DRY '!A2884,"AAAAAHR78S8=")</f>
        <v>#VALUE!</v>
      </c>
      <c r="AW132" t="e">
        <f>AND('STERLING CATALOG - DRY '!B2884,"AAAAAHR78TA=")</f>
        <v>#VALUE!</v>
      </c>
      <c r="AX132" t="e">
        <f>AND('STERLING CATALOG - DRY '!C2884,"AAAAAHR78TE=")</f>
        <v>#VALUE!</v>
      </c>
      <c r="AY132" t="e">
        <f>AND('STERLING CATALOG - DRY '!D2884,"AAAAAHR78TI=")</f>
        <v>#VALUE!</v>
      </c>
      <c r="AZ132" t="e">
        <f>AND('STERLING CATALOG - DRY '!E2884,"AAAAAHR78TM=")</f>
        <v>#VALUE!</v>
      </c>
      <c r="BA132" t="e">
        <f>AND('STERLING CATALOG - DRY '!F2884,"AAAAAHR78TQ=")</f>
        <v>#VALUE!</v>
      </c>
      <c r="BB132" t="e">
        <f>AND('STERLING CATALOG - DRY '!G2884,"AAAAAHR78TU=")</f>
        <v>#VALUE!</v>
      </c>
      <c r="BC132" t="e">
        <f>AND('STERLING CATALOG - DRY '!H2884,"AAAAAHR78TY=")</f>
        <v>#VALUE!</v>
      </c>
      <c r="BD132" t="e">
        <f>AND('STERLING CATALOG - DRY '!I2884,"AAAAAHR78Tc=")</f>
        <v>#VALUE!</v>
      </c>
      <c r="BE132" t="e">
        <f>AND('STERLING CATALOG - DRY '!J2884,"AAAAAHR78Tg=")</f>
        <v>#VALUE!</v>
      </c>
      <c r="BF132">
        <f>IF('STERLING CATALOG - DRY '!2885:2885,"AAAAAHR78Tk=",0)</f>
        <v>0</v>
      </c>
      <c r="BG132" t="e">
        <f>AND('STERLING CATALOG - DRY '!A2885,"AAAAAHR78To=")</f>
        <v>#VALUE!</v>
      </c>
      <c r="BH132" t="e">
        <f>AND('STERLING CATALOG - DRY '!B2885,"AAAAAHR78Ts=")</f>
        <v>#VALUE!</v>
      </c>
      <c r="BI132" t="e">
        <f>AND('STERLING CATALOG - DRY '!C2885,"AAAAAHR78Tw=")</f>
        <v>#VALUE!</v>
      </c>
      <c r="BJ132" t="e">
        <f>AND('STERLING CATALOG - DRY '!D2885,"AAAAAHR78T0=")</f>
        <v>#VALUE!</v>
      </c>
      <c r="BK132" t="e">
        <f>AND('STERLING CATALOG - DRY '!E2885,"AAAAAHR78T4=")</f>
        <v>#VALUE!</v>
      </c>
      <c r="BL132" t="e">
        <f>AND('STERLING CATALOG - DRY '!F2885,"AAAAAHR78T8=")</f>
        <v>#VALUE!</v>
      </c>
      <c r="BM132" t="e">
        <f>AND('STERLING CATALOG - DRY '!G2885,"AAAAAHR78UA=")</f>
        <v>#VALUE!</v>
      </c>
      <c r="BN132" t="e">
        <f>AND('STERLING CATALOG - DRY '!H2885,"AAAAAHR78UE=")</f>
        <v>#VALUE!</v>
      </c>
      <c r="BO132" t="e">
        <f>AND('STERLING CATALOG - DRY '!I2885,"AAAAAHR78UI=")</f>
        <v>#VALUE!</v>
      </c>
      <c r="BP132" t="e">
        <f>AND('STERLING CATALOG - DRY '!J2885,"AAAAAHR78UM=")</f>
        <v>#VALUE!</v>
      </c>
      <c r="BQ132">
        <f>IF('STERLING CATALOG - DRY '!2886:2886,"AAAAAHR78UQ=",0)</f>
        <v>0</v>
      </c>
      <c r="BR132" t="e">
        <f>AND('STERLING CATALOG - DRY '!A2886,"AAAAAHR78UU=")</f>
        <v>#VALUE!</v>
      </c>
      <c r="BS132" t="e">
        <f>AND('STERLING CATALOG - DRY '!B2886,"AAAAAHR78UY=")</f>
        <v>#VALUE!</v>
      </c>
      <c r="BT132" t="e">
        <f>AND('STERLING CATALOG - DRY '!C2886,"AAAAAHR78Uc=")</f>
        <v>#VALUE!</v>
      </c>
      <c r="BU132" t="e">
        <f>AND('STERLING CATALOG - DRY '!D2886,"AAAAAHR78Ug=")</f>
        <v>#VALUE!</v>
      </c>
      <c r="BV132" t="e">
        <f>AND('STERLING CATALOG - DRY '!E2886,"AAAAAHR78Uk=")</f>
        <v>#VALUE!</v>
      </c>
      <c r="BW132" t="e">
        <f>AND('STERLING CATALOG - DRY '!F2886,"AAAAAHR78Uo=")</f>
        <v>#VALUE!</v>
      </c>
      <c r="BX132" t="e">
        <f>AND('STERLING CATALOG - DRY '!G2886,"AAAAAHR78Us=")</f>
        <v>#VALUE!</v>
      </c>
      <c r="BY132" t="e">
        <f>AND('STERLING CATALOG - DRY '!H2886,"AAAAAHR78Uw=")</f>
        <v>#VALUE!</v>
      </c>
      <c r="BZ132" t="e">
        <f>AND('STERLING CATALOG - DRY '!I2886,"AAAAAHR78U0=")</f>
        <v>#VALUE!</v>
      </c>
      <c r="CA132" t="e">
        <f>AND('STERLING CATALOG - DRY '!J2886,"AAAAAHR78U4=")</f>
        <v>#VALUE!</v>
      </c>
      <c r="CB132">
        <f>IF('STERLING CATALOG - DRY '!2887:2887,"AAAAAHR78U8=",0)</f>
        <v>0</v>
      </c>
      <c r="CC132" t="e">
        <f>AND('STERLING CATALOG - DRY '!A2887,"AAAAAHR78VA=")</f>
        <v>#VALUE!</v>
      </c>
      <c r="CD132" t="e">
        <f>AND('STERLING CATALOG - DRY '!B2887,"AAAAAHR78VE=")</f>
        <v>#VALUE!</v>
      </c>
      <c r="CE132" t="e">
        <f>AND('STERLING CATALOG - DRY '!C2887,"AAAAAHR78VI=")</f>
        <v>#VALUE!</v>
      </c>
      <c r="CF132" t="e">
        <f>AND('STERLING CATALOG - DRY '!D2887,"AAAAAHR78VM=")</f>
        <v>#VALUE!</v>
      </c>
      <c r="CG132" t="e">
        <f>AND('STERLING CATALOG - DRY '!E2887,"AAAAAHR78VQ=")</f>
        <v>#VALUE!</v>
      </c>
      <c r="CH132" t="e">
        <f>AND('STERLING CATALOG - DRY '!F2887,"AAAAAHR78VU=")</f>
        <v>#VALUE!</v>
      </c>
      <c r="CI132" t="e">
        <f>AND('STERLING CATALOG - DRY '!G2887,"AAAAAHR78VY=")</f>
        <v>#VALUE!</v>
      </c>
      <c r="CJ132" t="e">
        <f>AND('STERLING CATALOG - DRY '!H2887,"AAAAAHR78Vc=")</f>
        <v>#VALUE!</v>
      </c>
      <c r="CK132" t="e">
        <f>AND('STERLING CATALOG - DRY '!I2887,"AAAAAHR78Vg=")</f>
        <v>#VALUE!</v>
      </c>
      <c r="CL132" t="e">
        <f>AND('STERLING CATALOG - DRY '!J2887,"AAAAAHR78Vk=")</f>
        <v>#VALUE!</v>
      </c>
      <c r="CM132">
        <f>IF('STERLING CATALOG - DRY '!2888:2888,"AAAAAHR78Vo=",0)</f>
        <v>0</v>
      </c>
      <c r="CN132" t="e">
        <f>AND('STERLING CATALOG - DRY '!A2888,"AAAAAHR78Vs=")</f>
        <v>#VALUE!</v>
      </c>
      <c r="CO132" t="e">
        <f>AND('STERLING CATALOG - DRY '!B2888,"AAAAAHR78Vw=")</f>
        <v>#VALUE!</v>
      </c>
      <c r="CP132" t="e">
        <f>AND('STERLING CATALOG - DRY '!C2888,"AAAAAHR78V0=")</f>
        <v>#VALUE!</v>
      </c>
      <c r="CQ132" t="e">
        <f>AND('STERLING CATALOG - DRY '!D2888,"AAAAAHR78V4=")</f>
        <v>#VALUE!</v>
      </c>
      <c r="CR132" t="e">
        <f>AND('STERLING CATALOG - DRY '!E2888,"AAAAAHR78V8=")</f>
        <v>#VALUE!</v>
      </c>
      <c r="CS132" t="e">
        <f>AND('STERLING CATALOG - DRY '!F2888,"AAAAAHR78WA=")</f>
        <v>#VALUE!</v>
      </c>
      <c r="CT132" t="e">
        <f>AND('STERLING CATALOG - DRY '!G2888,"AAAAAHR78WE=")</f>
        <v>#VALUE!</v>
      </c>
      <c r="CU132" t="e">
        <f>AND('STERLING CATALOG - DRY '!H2888,"AAAAAHR78WI=")</f>
        <v>#VALUE!</v>
      </c>
      <c r="CV132" t="e">
        <f>AND('STERLING CATALOG - DRY '!I2888,"AAAAAHR78WM=")</f>
        <v>#VALUE!</v>
      </c>
      <c r="CW132" t="e">
        <f>AND('STERLING CATALOG - DRY '!J2888,"AAAAAHR78WQ=")</f>
        <v>#VALUE!</v>
      </c>
      <c r="CX132">
        <f>IF('STERLING CATALOG - DRY '!2889:2889,"AAAAAHR78WU=",0)</f>
        <v>0</v>
      </c>
      <c r="CY132" t="e">
        <f>AND('STERLING CATALOG - DRY '!A2889,"AAAAAHR78WY=")</f>
        <v>#VALUE!</v>
      </c>
      <c r="CZ132" t="e">
        <f>AND('STERLING CATALOG - DRY '!B2889,"AAAAAHR78Wc=")</f>
        <v>#VALUE!</v>
      </c>
      <c r="DA132" t="e">
        <f>AND('STERLING CATALOG - DRY '!C2889,"AAAAAHR78Wg=")</f>
        <v>#VALUE!</v>
      </c>
      <c r="DB132" t="e">
        <f>AND('STERLING CATALOG - DRY '!D2889,"AAAAAHR78Wk=")</f>
        <v>#VALUE!</v>
      </c>
      <c r="DC132" t="e">
        <f>AND('STERLING CATALOG - DRY '!E2889,"AAAAAHR78Wo=")</f>
        <v>#VALUE!</v>
      </c>
      <c r="DD132" t="e">
        <f>AND('STERLING CATALOG - DRY '!F2889,"AAAAAHR78Ws=")</f>
        <v>#VALUE!</v>
      </c>
      <c r="DE132" t="e">
        <f>AND('STERLING CATALOG - DRY '!G2889,"AAAAAHR78Ww=")</f>
        <v>#VALUE!</v>
      </c>
      <c r="DF132" t="e">
        <f>AND('STERLING CATALOG - DRY '!H2889,"AAAAAHR78W0=")</f>
        <v>#VALUE!</v>
      </c>
      <c r="DG132" t="e">
        <f>AND('STERLING CATALOG - DRY '!I2889,"AAAAAHR78W4=")</f>
        <v>#VALUE!</v>
      </c>
      <c r="DH132" t="e">
        <f>AND('STERLING CATALOG - DRY '!J2889,"AAAAAHR78W8=")</f>
        <v>#VALUE!</v>
      </c>
      <c r="DI132">
        <f>IF('STERLING CATALOG - DRY '!2890:2890,"AAAAAHR78XA=",0)</f>
        <v>0</v>
      </c>
      <c r="DJ132" t="e">
        <f>AND('STERLING CATALOG - DRY '!A2890,"AAAAAHR78XE=")</f>
        <v>#VALUE!</v>
      </c>
      <c r="DK132" t="e">
        <f>AND('STERLING CATALOG - DRY '!B2890,"AAAAAHR78XI=")</f>
        <v>#VALUE!</v>
      </c>
      <c r="DL132" t="e">
        <f>AND('STERLING CATALOG - DRY '!C2890,"AAAAAHR78XM=")</f>
        <v>#VALUE!</v>
      </c>
      <c r="DM132" t="e">
        <f>AND('STERLING CATALOG - DRY '!D2890,"AAAAAHR78XQ=")</f>
        <v>#VALUE!</v>
      </c>
      <c r="DN132" t="e">
        <f>AND('STERLING CATALOG - DRY '!E2890,"AAAAAHR78XU=")</f>
        <v>#VALUE!</v>
      </c>
      <c r="DO132" t="e">
        <f>AND('STERLING CATALOG - DRY '!F2890,"AAAAAHR78XY=")</f>
        <v>#VALUE!</v>
      </c>
      <c r="DP132" t="e">
        <f>AND('STERLING CATALOG - DRY '!G2890,"AAAAAHR78Xc=")</f>
        <v>#VALUE!</v>
      </c>
      <c r="DQ132" t="e">
        <f>AND('STERLING CATALOG - DRY '!H2890,"AAAAAHR78Xg=")</f>
        <v>#VALUE!</v>
      </c>
      <c r="DR132" t="e">
        <f>AND('STERLING CATALOG - DRY '!I2890,"AAAAAHR78Xk=")</f>
        <v>#VALUE!</v>
      </c>
      <c r="DS132" t="e">
        <f>AND('STERLING CATALOG - DRY '!J2890,"AAAAAHR78Xo=")</f>
        <v>#VALUE!</v>
      </c>
      <c r="DT132">
        <f>IF('STERLING CATALOG - DRY '!2891:2891,"AAAAAHR78Xs=",0)</f>
        <v>0</v>
      </c>
      <c r="DU132" t="e">
        <f>AND('STERLING CATALOG - DRY '!A2891,"AAAAAHR78Xw=")</f>
        <v>#VALUE!</v>
      </c>
      <c r="DV132" t="e">
        <f>AND('STERLING CATALOG - DRY '!B2891,"AAAAAHR78X0=")</f>
        <v>#VALUE!</v>
      </c>
      <c r="DW132" t="e">
        <f>AND('STERLING CATALOG - DRY '!C2891,"AAAAAHR78X4=")</f>
        <v>#VALUE!</v>
      </c>
      <c r="DX132" t="e">
        <f>AND('STERLING CATALOG - DRY '!D2891,"AAAAAHR78X8=")</f>
        <v>#VALUE!</v>
      </c>
      <c r="DY132" t="e">
        <f>AND('STERLING CATALOG - DRY '!E2891,"AAAAAHR78YA=")</f>
        <v>#VALUE!</v>
      </c>
      <c r="DZ132" t="e">
        <f>AND('STERLING CATALOG - DRY '!F2891,"AAAAAHR78YE=")</f>
        <v>#VALUE!</v>
      </c>
      <c r="EA132" t="e">
        <f>AND('STERLING CATALOG - DRY '!G2891,"AAAAAHR78YI=")</f>
        <v>#VALUE!</v>
      </c>
      <c r="EB132" t="e">
        <f>AND('STERLING CATALOG - DRY '!H2891,"AAAAAHR78YM=")</f>
        <v>#VALUE!</v>
      </c>
      <c r="EC132" t="e">
        <f>AND('STERLING CATALOG - DRY '!I2891,"AAAAAHR78YQ=")</f>
        <v>#VALUE!</v>
      </c>
      <c r="ED132" t="e">
        <f>AND('STERLING CATALOG - DRY '!J2891,"AAAAAHR78YU=")</f>
        <v>#VALUE!</v>
      </c>
      <c r="EE132">
        <f>IF('STERLING CATALOG - DRY '!2892:2892,"AAAAAHR78YY=",0)</f>
        <v>0</v>
      </c>
      <c r="EF132" t="e">
        <f>AND('STERLING CATALOG - DRY '!A2892,"AAAAAHR78Yc=")</f>
        <v>#VALUE!</v>
      </c>
      <c r="EG132" t="e">
        <f>AND('STERLING CATALOG - DRY '!B2892,"AAAAAHR78Yg=")</f>
        <v>#VALUE!</v>
      </c>
      <c r="EH132" t="e">
        <f>AND('STERLING CATALOG - DRY '!C2892,"AAAAAHR78Yk=")</f>
        <v>#VALUE!</v>
      </c>
      <c r="EI132" t="e">
        <f>AND('STERLING CATALOG - DRY '!D2892,"AAAAAHR78Yo=")</f>
        <v>#VALUE!</v>
      </c>
      <c r="EJ132" t="e">
        <f>AND('STERLING CATALOG - DRY '!E2892,"AAAAAHR78Ys=")</f>
        <v>#VALUE!</v>
      </c>
      <c r="EK132" t="e">
        <f>AND('STERLING CATALOG - DRY '!F2892,"AAAAAHR78Yw=")</f>
        <v>#VALUE!</v>
      </c>
      <c r="EL132" t="e">
        <f>AND('STERLING CATALOG - DRY '!G2892,"AAAAAHR78Y0=")</f>
        <v>#VALUE!</v>
      </c>
      <c r="EM132" t="e">
        <f>AND('STERLING CATALOG - DRY '!H2892,"AAAAAHR78Y4=")</f>
        <v>#VALUE!</v>
      </c>
      <c r="EN132" t="e">
        <f>AND('STERLING CATALOG - DRY '!I2892,"AAAAAHR78Y8=")</f>
        <v>#VALUE!</v>
      </c>
      <c r="EO132" t="e">
        <f>AND('STERLING CATALOG - DRY '!J2892,"AAAAAHR78ZA=")</f>
        <v>#VALUE!</v>
      </c>
      <c r="EP132">
        <f>IF('STERLING CATALOG - DRY '!2893:2893,"AAAAAHR78ZE=",0)</f>
        <v>0</v>
      </c>
      <c r="EQ132" t="e">
        <f>AND('STERLING CATALOG - DRY '!A2893,"AAAAAHR78ZI=")</f>
        <v>#VALUE!</v>
      </c>
      <c r="ER132" t="e">
        <f>AND('STERLING CATALOG - DRY '!B2893,"AAAAAHR78ZM=")</f>
        <v>#VALUE!</v>
      </c>
      <c r="ES132" t="e">
        <f>AND('STERLING CATALOG - DRY '!C2893,"AAAAAHR78ZQ=")</f>
        <v>#VALUE!</v>
      </c>
      <c r="ET132" t="e">
        <f>AND('STERLING CATALOG - DRY '!D2893,"AAAAAHR78ZU=")</f>
        <v>#VALUE!</v>
      </c>
      <c r="EU132" t="e">
        <f>AND('STERLING CATALOG - DRY '!E2893,"AAAAAHR78ZY=")</f>
        <v>#VALUE!</v>
      </c>
      <c r="EV132" t="e">
        <f>AND('STERLING CATALOG - DRY '!F2893,"AAAAAHR78Zc=")</f>
        <v>#VALUE!</v>
      </c>
      <c r="EW132" t="e">
        <f>AND('STERLING CATALOG - DRY '!G2893,"AAAAAHR78Zg=")</f>
        <v>#VALUE!</v>
      </c>
      <c r="EX132" t="e">
        <f>AND('STERLING CATALOG - DRY '!H2893,"AAAAAHR78Zk=")</f>
        <v>#VALUE!</v>
      </c>
      <c r="EY132" t="e">
        <f>AND('STERLING CATALOG - DRY '!I2893,"AAAAAHR78Zo=")</f>
        <v>#VALUE!</v>
      </c>
      <c r="EZ132" t="e">
        <f>AND('STERLING CATALOG - DRY '!J2893,"AAAAAHR78Zs=")</f>
        <v>#VALUE!</v>
      </c>
      <c r="FA132">
        <f>IF('STERLING CATALOG - DRY '!2894:2894,"AAAAAHR78Zw=",0)</f>
        <v>0</v>
      </c>
      <c r="FB132" t="e">
        <f>AND('STERLING CATALOG - DRY '!A2894,"AAAAAHR78Z0=")</f>
        <v>#VALUE!</v>
      </c>
      <c r="FC132" t="e">
        <f>AND('STERLING CATALOG - DRY '!B2894,"AAAAAHR78Z4=")</f>
        <v>#VALUE!</v>
      </c>
      <c r="FD132" t="e">
        <f>AND('STERLING CATALOG - DRY '!C2894,"AAAAAHR78Z8=")</f>
        <v>#VALUE!</v>
      </c>
      <c r="FE132" t="e">
        <f>AND('STERLING CATALOG - DRY '!D2894,"AAAAAHR78aA=")</f>
        <v>#VALUE!</v>
      </c>
      <c r="FF132" t="e">
        <f>AND('STERLING CATALOG - DRY '!E2894,"AAAAAHR78aE=")</f>
        <v>#VALUE!</v>
      </c>
      <c r="FG132" t="e">
        <f>AND('STERLING CATALOG - DRY '!F2894,"AAAAAHR78aI=")</f>
        <v>#VALUE!</v>
      </c>
      <c r="FH132" t="e">
        <f>AND('STERLING CATALOG - DRY '!G2894,"AAAAAHR78aM=")</f>
        <v>#VALUE!</v>
      </c>
      <c r="FI132" t="e">
        <f>AND('STERLING CATALOG - DRY '!H2894,"AAAAAHR78aQ=")</f>
        <v>#VALUE!</v>
      </c>
      <c r="FJ132" t="e">
        <f>AND('STERLING CATALOG - DRY '!I2894,"AAAAAHR78aU=")</f>
        <v>#VALUE!</v>
      </c>
      <c r="FK132" t="e">
        <f>AND('STERLING CATALOG - DRY '!J2894,"AAAAAHR78aY=")</f>
        <v>#VALUE!</v>
      </c>
      <c r="FL132">
        <f>IF('STERLING CATALOG - DRY '!2895:2895,"AAAAAHR78ac=",0)</f>
        <v>0</v>
      </c>
      <c r="FM132" t="e">
        <f>AND('STERLING CATALOG - DRY '!A2895,"AAAAAHR78ag=")</f>
        <v>#VALUE!</v>
      </c>
      <c r="FN132" t="e">
        <f>AND('STERLING CATALOG - DRY '!B2895,"AAAAAHR78ak=")</f>
        <v>#VALUE!</v>
      </c>
      <c r="FO132" t="e">
        <f>AND('STERLING CATALOG - DRY '!C2895,"AAAAAHR78ao=")</f>
        <v>#VALUE!</v>
      </c>
      <c r="FP132" t="e">
        <f>AND('STERLING CATALOG - DRY '!D2895,"AAAAAHR78as=")</f>
        <v>#VALUE!</v>
      </c>
      <c r="FQ132" t="e">
        <f>AND('STERLING CATALOG - DRY '!E2895,"AAAAAHR78aw=")</f>
        <v>#VALUE!</v>
      </c>
      <c r="FR132" t="e">
        <f>AND('STERLING CATALOG - DRY '!F2895,"AAAAAHR78a0=")</f>
        <v>#VALUE!</v>
      </c>
      <c r="FS132" t="e">
        <f>AND('STERLING CATALOG - DRY '!G2895,"AAAAAHR78a4=")</f>
        <v>#VALUE!</v>
      </c>
      <c r="FT132" t="e">
        <f>AND('STERLING CATALOG - DRY '!H2895,"AAAAAHR78a8=")</f>
        <v>#VALUE!</v>
      </c>
      <c r="FU132" t="e">
        <f>AND('STERLING CATALOG - DRY '!I2895,"AAAAAHR78bA=")</f>
        <v>#VALUE!</v>
      </c>
      <c r="FV132" t="e">
        <f>AND('STERLING CATALOG - DRY '!J2895,"AAAAAHR78bE=")</f>
        <v>#VALUE!</v>
      </c>
      <c r="FW132">
        <f>IF('STERLING CATALOG - DRY '!2896:2896,"AAAAAHR78bI=",0)</f>
        <v>0</v>
      </c>
      <c r="FX132" t="e">
        <f>AND('STERLING CATALOG - DRY '!A2896,"AAAAAHR78bM=")</f>
        <v>#VALUE!</v>
      </c>
      <c r="FY132" t="e">
        <f>AND('STERLING CATALOG - DRY '!B2896,"AAAAAHR78bQ=")</f>
        <v>#VALUE!</v>
      </c>
      <c r="FZ132" t="e">
        <f>AND('STERLING CATALOG - DRY '!C2896,"AAAAAHR78bU=")</f>
        <v>#VALUE!</v>
      </c>
      <c r="GA132" t="e">
        <f>AND('STERLING CATALOG - DRY '!D2896,"AAAAAHR78bY=")</f>
        <v>#VALUE!</v>
      </c>
      <c r="GB132" t="e">
        <f>AND('STERLING CATALOG - DRY '!E2896,"AAAAAHR78bc=")</f>
        <v>#VALUE!</v>
      </c>
      <c r="GC132" t="e">
        <f>AND('STERLING CATALOG - DRY '!F2896,"AAAAAHR78bg=")</f>
        <v>#VALUE!</v>
      </c>
      <c r="GD132" t="e">
        <f>AND('STERLING CATALOG - DRY '!G2896,"AAAAAHR78bk=")</f>
        <v>#VALUE!</v>
      </c>
      <c r="GE132" t="e">
        <f>AND('STERLING CATALOG - DRY '!H2896,"AAAAAHR78bo=")</f>
        <v>#VALUE!</v>
      </c>
      <c r="GF132" t="e">
        <f>AND('STERLING CATALOG - DRY '!I2896,"AAAAAHR78bs=")</f>
        <v>#VALUE!</v>
      </c>
      <c r="GG132" t="e">
        <f>AND('STERLING CATALOG - DRY '!J2896,"AAAAAHR78bw=")</f>
        <v>#VALUE!</v>
      </c>
      <c r="GH132">
        <f>IF('STERLING CATALOG - DRY '!2897:2897,"AAAAAHR78b0=",0)</f>
        <v>0</v>
      </c>
      <c r="GI132" t="e">
        <f>AND('STERLING CATALOG - DRY '!A2897,"AAAAAHR78b4=")</f>
        <v>#VALUE!</v>
      </c>
      <c r="GJ132" t="e">
        <f>AND('STERLING CATALOG - DRY '!B2897,"AAAAAHR78b8=")</f>
        <v>#VALUE!</v>
      </c>
      <c r="GK132" t="e">
        <f>AND('STERLING CATALOG - DRY '!C2897,"AAAAAHR78cA=")</f>
        <v>#VALUE!</v>
      </c>
      <c r="GL132" t="e">
        <f>AND('STERLING CATALOG - DRY '!D2897,"AAAAAHR78cE=")</f>
        <v>#VALUE!</v>
      </c>
      <c r="GM132" t="e">
        <f>AND('STERLING CATALOG - DRY '!E2897,"AAAAAHR78cI=")</f>
        <v>#VALUE!</v>
      </c>
      <c r="GN132" t="e">
        <f>AND('STERLING CATALOG - DRY '!F2897,"AAAAAHR78cM=")</f>
        <v>#VALUE!</v>
      </c>
      <c r="GO132" t="e">
        <f>AND('STERLING CATALOG - DRY '!G2897,"AAAAAHR78cQ=")</f>
        <v>#VALUE!</v>
      </c>
      <c r="GP132" t="e">
        <f>AND('STERLING CATALOG - DRY '!H2897,"AAAAAHR78cU=")</f>
        <v>#VALUE!</v>
      </c>
      <c r="GQ132" t="e">
        <f>AND('STERLING CATALOG - DRY '!I2897,"AAAAAHR78cY=")</f>
        <v>#VALUE!</v>
      </c>
      <c r="GR132" t="e">
        <f>AND('STERLING CATALOG - DRY '!J2897,"AAAAAHR78cc=")</f>
        <v>#VALUE!</v>
      </c>
      <c r="GS132">
        <f>IF('STERLING CATALOG - DRY '!2898:2898,"AAAAAHR78cg=",0)</f>
        <v>0</v>
      </c>
      <c r="GT132" t="e">
        <f>AND('STERLING CATALOG - DRY '!A2898,"AAAAAHR78ck=")</f>
        <v>#VALUE!</v>
      </c>
      <c r="GU132" t="e">
        <f>AND('STERLING CATALOG - DRY '!B2898,"AAAAAHR78co=")</f>
        <v>#VALUE!</v>
      </c>
      <c r="GV132" t="e">
        <f>AND('STERLING CATALOG - DRY '!C2898,"AAAAAHR78cs=")</f>
        <v>#VALUE!</v>
      </c>
      <c r="GW132" t="e">
        <f>AND('STERLING CATALOG - DRY '!D2898,"AAAAAHR78cw=")</f>
        <v>#VALUE!</v>
      </c>
      <c r="GX132" t="e">
        <f>AND('STERLING CATALOG - DRY '!E2898,"AAAAAHR78c0=")</f>
        <v>#VALUE!</v>
      </c>
      <c r="GY132" t="e">
        <f>AND('STERLING CATALOG - DRY '!F2898,"AAAAAHR78c4=")</f>
        <v>#VALUE!</v>
      </c>
      <c r="GZ132" t="e">
        <f>AND('STERLING CATALOG - DRY '!G2898,"AAAAAHR78c8=")</f>
        <v>#VALUE!</v>
      </c>
      <c r="HA132" t="e">
        <f>AND('STERLING CATALOG - DRY '!H2898,"AAAAAHR78dA=")</f>
        <v>#VALUE!</v>
      </c>
      <c r="HB132" t="e">
        <f>AND('STERLING CATALOG - DRY '!I2898,"AAAAAHR78dE=")</f>
        <v>#VALUE!</v>
      </c>
      <c r="HC132" t="e">
        <f>AND('STERLING CATALOG - DRY '!J2898,"AAAAAHR78dI=")</f>
        <v>#VALUE!</v>
      </c>
      <c r="HD132">
        <f>IF('STERLING CATALOG - DRY '!2899:2899,"AAAAAHR78dM=",0)</f>
        <v>0</v>
      </c>
      <c r="HE132" t="e">
        <f>AND('STERLING CATALOG - DRY '!A2899,"AAAAAHR78dQ=")</f>
        <v>#VALUE!</v>
      </c>
      <c r="HF132" t="e">
        <f>AND('STERLING CATALOG - DRY '!B2899,"AAAAAHR78dU=")</f>
        <v>#VALUE!</v>
      </c>
      <c r="HG132" t="e">
        <f>AND('STERLING CATALOG - DRY '!C2899,"AAAAAHR78dY=")</f>
        <v>#VALUE!</v>
      </c>
      <c r="HH132" t="e">
        <f>AND('STERLING CATALOG - DRY '!D2899,"AAAAAHR78dc=")</f>
        <v>#VALUE!</v>
      </c>
      <c r="HI132" t="e">
        <f>AND('STERLING CATALOG - DRY '!E2899,"AAAAAHR78dg=")</f>
        <v>#VALUE!</v>
      </c>
      <c r="HJ132" t="e">
        <f>AND('STERLING CATALOG - DRY '!F2899,"AAAAAHR78dk=")</f>
        <v>#VALUE!</v>
      </c>
      <c r="HK132" t="e">
        <f>AND('STERLING CATALOG - DRY '!G2899,"AAAAAHR78do=")</f>
        <v>#VALUE!</v>
      </c>
      <c r="HL132" t="e">
        <f>AND('STERLING CATALOG - DRY '!H2899,"AAAAAHR78ds=")</f>
        <v>#VALUE!</v>
      </c>
      <c r="HM132" t="e">
        <f>AND('STERLING CATALOG - DRY '!I2899,"AAAAAHR78dw=")</f>
        <v>#VALUE!</v>
      </c>
      <c r="HN132" t="e">
        <f>AND('STERLING CATALOG - DRY '!J2899,"AAAAAHR78d0=")</f>
        <v>#VALUE!</v>
      </c>
      <c r="HO132">
        <f>IF('STERLING CATALOG - DRY '!2900:2900,"AAAAAHR78d4=",0)</f>
        <v>0</v>
      </c>
      <c r="HP132" t="e">
        <f>AND('STERLING CATALOG - DRY '!A2900,"AAAAAHR78d8=")</f>
        <v>#VALUE!</v>
      </c>
      <c r="HQ132" t="e">
        <f>AND('STERLING CATALOG - DRY '!B2900,"AAAAAHR78eA=")</f>
        <v>#VALUE!</v>
      </c>
      <c r="HR132" t="e">
        <f>AND('STERLING CATALOG - DRY '!C2900,"AAAAAHR78eE=")</f>
        <v>#VALUE!</v>
      </c>
      <c r="HS132" t="e">
        <f>AND('STERLING CATALOG - DRY '!D2900,"AAAAAHR78eI=")</f>
        <v>#VALUE!</v>
      </c>
      <c r="HT132" t="e">
        <f>AND('STERLING CATALOG - DRY '!E2900,"AAAAAHR78eM=")</f>
        <v>#VALUE!</v>
      </c>
      <c r="HU132" t="e">
        <f>AND('STERLING CATALOG - DRY '!F2900,"AAAAAHR78eQ=")</f>
        <v>#VALUE!</v>
      </c>
      <c r="HV132" t="e">
        <f>AND('STERLING CATALOG - DRY '!G2900,"AAAAAHR78eU=")</f>
        <v>#VALUE!</v>
      </c>
      <c r="HW132" t="e">
        <f>AND('STERLING CATALOG - DRY '!H2900,"AAAAAHR78eY=")</f>
        <v>#VALUE!</v>
      </c>
      <c r="HX132" t="e">
        <f>AND('STERLING CATALOG - DRY '!I2900,"AAAAAHR78ec=")</f>
        <v>#VALUE!</v>
      </c>
      <c r="HY132" t="e">
        <f>AND('STERLING CATALOG - DRY '!J2900,"AAAAAHR78eg=")</f>
        <v>#VALUE!</v>
      </c>
      <c r="HZ132">
        <f>IF('STERLING CATALOG - DRY '!2901:2901,"AAAAAHR78ek=",0)</f>
        <v>0</v>
      </c>
      <c r="IA132" t="e">
        <f>AND('STERLING CATALOG - DRY '!A2901,"AAAAAHR78eo=")</f>
        <v>#VALUE!</v>
      </c>
      <c r="IB132" t="e">
        <f>AND('STERLING CATALOG - DRY '!B2901,"AAAAAHR78es=")</f>
        <v>#VALUE!</v>
      </c>
      <c r="IC132" t="e">
        <f>AND('STERLING CATALOG - DRY '!C2901,"AAAAAHR78ew=")</f>
        <v>#VALUE!</v>
      </c>
      <c r="ID132" t="e">
        <f>AND('STERLING CATALOG - DRY '!D2901,"AAAAAHR78e0=")</f>
        <v>#VALUE!</v>
      </c>
      <c r="IE132" t="e">
        <f>AND('STERLING CATALOG - DRY '!E2901,"AAAAAHR78e4=")</f>
        <v>#VALUE!</v>
      </c>
      <c r="IF132" t="e">
        <f>AND('STERLING CATALOG - DRY '!F2901,"AAAAAHR78e8=")</f>
        <v>#VALUE!</v>
      </c>
      <c r="IG132" t="e">
        <f>AND('STERLING CATALOG - DRY '!G2901,"AAAAAHR78fA=")</f>
        <v>#VALUE!</v>
      </c>
      <c r="IH132" t="e">
        <f>AND('STERLING CATALOG - DRY '!H2901,"AAAAAHR78fE=")</f>
        <v>#VALUE!</v>
      </c>
      <c r="II132" t="e">
        <f>AND('STERLING CATALOG - DRY '!I2901,"AAAAAHR78fI=")</f>
        <v>#VALUE!</v>
      </c>
      <c r="IJ132" t="e">
        <f>AND('STERLING CATALOG - DRY '!J2901,"AAAAAHR78fM=")</f>
        <v>#VALUE!</v>
      </c>
      <c r="IK132">
        <f>IF('STERLING CATALOG - DRY '!2902:2902,"AAAAAHR78fQ=",0)</f>
        <v>0</v>
      </c>
      <c r="IL132" t="e">
        <f>AND('STERLING CATALOG - DRY '!A2902,"AAAAAHR78fU=")</f>
        <v>#VALUE!</v>
      </c>
      <c r="IM132" t="e">
        <f>AND('STERLING CATALOG - DRY '!B2902,"AAAAAHR78fY=")</f>
        <v>#VALUE!</v>
      </c>
      <c r="IN132" t="e">
        <f>AND('STERLING CATALOG - DRY '!C2902,"AAAAAHR78fc=")</f>
        <v>#VALUE!</v>
      </c>
      <c r="IO132" t="e">
        <f>AND('STERLING CATALOG - DRY '!D2902,"AAAAAHR78fg=")</f>
        <v>#VALUE!</v>
      </c>
      <c r="IP132" t="e">
        <f>AND('STERLING CATALOG - DRY '!E2902,"AAAAAHR78fk=")</f>
        <v>#VALUE!</v>
      </c>
      <c r="IQ132" t="e">
        <f>AND('STERLING CATALOG - DRY '!F2902,"AAAAAHR78fo=")</f>
        <v>#VALUE!</v>
      </c>
      <c r="IR132" t="e">
        <f>AND('STERLING CATALOG - DRY '!G2902,"AAAAAHR78fs=")</f>
        <v>#VALUE!</v>
      </c>
      <c r="IS132" t="e">
        <f>AND('STERLING CATALOG - DRY '!H2902,"AAAAAHR78fw=")</f>
        <v>#VALUE!</v>
      </c>
      <c r="IT132" t="e">
        <f>AND('STERLING CATALOG - DRY '!I2902,"AAAAAHR78f0=")</f>
        <v>#VALUE!</v>
      </c>
      <c r="IU132" t="e">
        <f>AND('STERLING CATALOG - DRY '!J2902,"AAAAAHR78f4=")</f>
        <v>#VALUE!</v>
      </c>
      <c r="IV132">
        <f>IF('STERLING CATALOG - DRY '!2903:2903,"AAAAAHR78f8=",0)</f>
        <v>0</v>
      </c>
    </row>
    <row r="133" spans="1:256">
      <c r="A133" t="e">
        <f>AND('STERLING CATALOG - DRY '!A2903,"AAAAAE37awA=")</f>
        <v>#VALUE!</v>
      </c>
      <c r="B133" t="e">
        <f>AND('STERLING CATALOG - DRY '!B2903,"AAAAAE37awE=")</f>
        <v>#VALUE!</v>
      </c>
      <c r="C133" t="e">
        <f>AND('STERLING CATALOG - DRY '!C2903,"AAAAAE37awI=")</f>
        <v>#VALUE!</v>
      </c>
      <c r="D133" t="e">
        <f>AND('STERLING CATALOG - DRY '!D2903,"AAAAAE37awM=")</f>
        <v>#VALUE!</v>
      </c>
      <c r="E133" t="e">
        <f>AND('STERLING CATALOG - DRY '!E2903,"AAAAAE37awQ=")</f>
        <v>#VALUE!</v>
      </c>
      <c r="F133" t="e">
        <f>AND('STERLING CATALOG - DRY '!F2903,"AAAAAE37awU=")</f>
        <v>#VALUE!</v>
      </c>
      <c r="G133" t="e">
        <f>AND('STERLING CATALOG - DRY '!G2903,"AAAAAE37awY=")</f>
        <v>#VALUE!</v>
      </c>
      <c r="H133" t="e">
        <f>AND('STERLING CATALOG - DRY '!H2903,"AAAAAE37awc=")</f>
        <v>#VALUE!</v>
      </c>
      <c r="I133" t="e">
        <f>AND('STERLING CATALOG - DRY '!I2903,"AAAAAE37awg=")</f>
        <v>#VALUE!</v>
      </c>
      <c r="J133" t="e">
        <f>AND('STERLING CATALOG - DRY '!J2903,"AAAAAE37awk=")</f>
        <v>#VALUE!</v>
      </c>
      <c r="K133">
        <f>IF('STERLING CATALOG - DRY '!2904:2904,"AAAAAE37awo=",0)</f>
        <v>0</v>
      </c>
      <c r="L133" t="e">
        <f>AND('STERLING CATALOG - DRY '!A2904,"AAAAAE37aws=")</f>
        <v>#VALUE!</v>
      </c>
      <c r="M133" t="e">
        <f>AND('STERLING CATALOG - DRY '!B2904,"AAAAAE37aww=")</f>
        <v>#VALUE!</v>
      </c>
      <c r="N133" t="e">
        <f>AND('STERLING CATALOG - DRY '!C2904,"AAAAAE37aw0=")</f>
        <v>#VALUE!</v>
      </c>
      <c r="O133" t="e">
        <f>AND('STERLING CATALOG - DRY '!D2904,"AAAAAE37aw4=")</f>
        <v>#VALUE!</v>
      </c>
      <c r="P133" t="e">
        <f>AND('STERLING CATALOG - DRY '!E2904,"AAAAAE37aw8=")</f>
        <v>#VALUE!</v>
      </c>
      <c r="Q133" t="e">
        <f>AND('STERLING CATALOG - DRY '!F2904,"AAAAAE37axA=")</f>
        <v>#VALUE!</v>
      </c>
      <c r="R133" t="e">
        <f>AND('STERLING CATALOG - DRY '!G2904,"AAAAAE37axE=")</f>
        <v>#VALUE!</v>
      </c>
      <c r="S133" t="e">
        <f>AND('STERLING CATALOG - DRY '!H2904,"AAAAAE37axI=")</f>
        <v>#VALUE!</v>
      </c>
      <c r="T133" t="e">
        <f>AND('STERLING CATALOG - DRY '!I2904,"AAAAAE37axM=")</f>
        <v>#VALUE!</v>
      </c>
      <c r="U133" t="e">
        <f>AND('STERLING CATALOG - DRY '!J2904,"AAAAAE37axQ=")</f>
        <v>#VALUE!</v>
      </c>
      <c r="V133">
        <f>IF('STERLING CATALOG - DRY '!2905:2905,"AAAAAE37axU=",0)</f>
        <v>0</v>
      </c>
      <c r="W133" t="e">
        <f>AND('STERLING CATALOG - DRY '!A2905,"AAAAAE37axY=")</f>
        <v>#VALUE!</v>
      </c>
      <c r="X133" t="e">
        <f>AND('STERLING CATALOG - DRY '!B2905,"AAAAAE37axc=")</f>
        <v>#VALUE!</v>
      </c>
      <c r="Y133" t="e">
        <f>AND('STERLING CATALOG - DRY '!C2905,"AAAAAE37axg=")</f>
        <v>#VALUE!</v>
      </c>
      <c r="Z133" t="e">
        <f>AND('STERLING CATALOG - DRY '!D2905,"AAAAAE37axk=")</f>
        <v>#VALUE!</v>
      </c>
      <c r="AA133" t="e">
        <f>AND('STERLING CATALOG - DRY '!E2905,"AAAAAE37axo=")</f>
        <v>#VALUE!</v>
      </c>
      <c r="AB133" t="e">
        <f>AND('STERLING CATALOG - DRY '!F2905,"AAAAAE37axs=")</f>
        <v>#VALUE!</v>
      </c>
      <c r="AC133" t="e">
        <f>AND('STERLING CATALOG - DRY '!G2905,"AAAAAE37axw=")</f>
        <v>#VALUE!</v>
      </c>
      <c r="AD133" t="e">
        <f>AND('STERLING CATALOG - DRY '!H2905,"AAAAAE37ax0=")</f>
        <v>#VALUE!</v>
      </c>
      <c r="AE133" t="e">
        <f>AND('STERLING CATALOG - DRY '!I2905,"AAAAAE37ax4=")</f>
        <v>#VALUE!</v>
      </c>
      <c r="AF133" t="e">
        <f>AND('STERLING CATALOG - DRY '!J2905,"AAAAAE37ax8=")</f>
        <v>#VALUE!</v>
      </c>
      <c r="AG133">
        <f>IF('STERLING CATALOG - DRY '!2906:2906,"AAAAAE37ayA=",0)</f>
        <v>0</v>
      </c>
      <c r="AH133" t="e">
        <f>AND('STERLING CATALOG - DRY '!A2906,"AAAAAE37ayE=")</f>
        <v>#VALUE!</v>
      </c>
      <c r="AI133" t="e">
        <f>AND('STERLING CATALOG - DRY '!B2906,"AAAAAE37ayI=")</f>
        <v>#VALUE!</v>
      </c>
      <c r="AJ133" t="e">
        <f>AND('STERLING CATALOG - DRY '!C2906,"AAAAAE37ayM=")</f>
        <v>#VALUE!</v>
      </c>
      <c r="AK133" t="e">
        <f>AND('STERLING CATALOG - DRY '!D2906,"AAAAAE37ayQ=")</f>
        <v>#VALUE!</v>
      </c>
      <c r="AL133" t="e">
        <f>AND('STERLING CATALOG - DRY '!E2906,"AAAAAE37ayU=")</f>
        <v>#VALUE!</v>
      </c>
      <c r="AM133" t="e">
        <f>AND('STERLING CATALOG - DRY '!F2906,"AAAAAE37ayY=")</f>
        <v>#VALUE!</v>
      </c>
      <c r="AN133" t="e">
        <f>AND('STERLING CATALOG - DRY '!G2906,"AAAAAE37ayc=")</f>
        <v>#VALUE!</v>
      </c>
      <c r="AO133" t="e">
        <f>AND('STERLING CATALOG - DRY '!H2906,"AAAAAE37ayg=")</f>
        <v>#VALUE!</v>
      </c>
      <c r="AP133" t="e">
        <f>AND('STERLING CATALOG - DRY '!I2906,"AAAAAE37ayk=")</f>
        <v>#VALUE!</v>
      </c>
      <c r="AQ133" t="e">
        <f>AND('STERLING CATALOG - DRY '!J2906,"AAAAAE37ayo=")</f>
        <v>#VALUE!</v>
      </c>
      <c r="AR133">
        <f>IF('STERLING CATALOG - DRY '!2907:2907,"AAAAAE37ays=",0)</f>
        <v>0</v>
      </c>
      <c r="AS133" t="e">
        <f>AND('STERLING CATALOG - DRY '!A2907,"AAAAAE37ayw=")</f>
        <v>#VALUE!</v>
      </c>
      <c r="AT133" t="e">
        <f>AND('STERLING CATALOG - DRY '!B2907,"AAAAAE37ay0=")</f>
        <v>#VALUE!</v>
      </c>
      <c r="AU133" t="e">
        <f>AND('STERLING CATALOG - DRY '!C2907,"AAAAAE37ay4=")</f>
        <v>#VALUE!</v>
      </c>
      <c r="AV133" t="e">
        <f>AND('STERLING CATALOG - DRY '!D2907,"AAAAAE37ay8=")</f>
        <v>#VALUE!</v>
      </c>
      <c r="AW133" t="e">
        <f>AND('STERLING CATALOG - DRY '!E2907,"AAAAAE37azA=")</f>
        <v>#VALUE!</v>
      </c>
      <c r="AX133" t="e">
        <f>AND('STERLING CATALOG - DRY '!F2907,"AAAAAE37azE=")</f>
        <v>#VALUE!</v>
      </c>
      <c r="AY133" t="e">
        <f>AND('STERLING CATALOG - DRY '!G2907,"AAAAAE37azI=")</f>
        <v>#VALUE!</v>
      </c>
      <c r="AZ133" t="e">
        <f>AND('STERLING CATALOG - DRY '!H2907,"AAAAAE37azM=")</f>
        <v>#VALUE!</v>
      </c>
      <c r="BA133" t="e">
        <f>AND('STERLING CATALOG - DRY '!I2907,"AAAAAE37azQ=")</f>
        <v>#VALUE!</v>
      </c>
      <c r="BB133" t="e">
        <f>AND('STERLING CATALOG - DRY '!J2907,"AAAAAE37azU=")</f>
        <v>#VALUE!</v>
      </c>
      <c r="BC133">
        <f>IF('STERLING CATALOG - DRY '!2908:2908,"AAAAAE37azY=",0)</f>
        <v>0</v>
      </c>
      <c r="BD133" t="e">
        <f>AND('STERLING CATALOG - DRY '!A2908,"AAAAAE37azc=")</f>
        <v>#VALUE!</v>
      </c>
      <c r="BE133" t="e">
        <f>AND('STERLING CATALOG - DRY '!B2908,"AAAAAE37azg=")</f>
        <v>#VALUE!</v>
      </c>
      <c r="BF133" t="e">
        <f>AND('STERLING CATALOG - DRY '!C2908,"AAAAAE37azk=")</f>
        <v>#VALUE!</v>
      </c>
      <c r="BG133" t="e">
        <f>AND('STERLING CATALOG - DRY '!D2908,"AAAAAE37azo=")</f>
        <v>#VALUE!</v>
      </c>
      <c r="BH133" t="e">
        <f>AND('STERLING CATALOG - DRY '!E2908,"AAAAAE37azs=")</f>
        <v>#VALUE!</v>
      </c>
      <c r="BI133" t="e">
        <f>AND('STERLING CATALOG - DRY '!F2908,"AAAAAE37azw=")</f>
        <v>#VALUE!</v>
      </c>
      <c r="BJ133" t="e">
        <f>AND('STERLING CATALOG - DRY '!G2908,"AAAAAE37az0=")</f>
        <v>#VALUE!</v>
      </c>
      <c r="BK133" t="e">
        <f>AND('STERLING CATALOG - DRY '!H2908,"AAAAAE37az4=")</f>
        <v>#VALUE!</v>
      </c>
      <c r="BL133" t="e">
        <f>AND('STERLING CATALOG - DRY '!I2908,"AAAAAE37az8=")</f>
        <v>#VALUE!</v>
      </c>
      <c r="BM133" t="e">
        <f>AND('STERLING CATALOG - DRY '!J2908,"AAAAAE37a0A=")</f>
        <v>#VALUE!</v>
      </c>
      <c r="BN133">
        <f>IF('STERLING CATALOG - DRY '!2909:2909,"AAAAAE37a0E=",0)</f>
        <v>0</v>
      </c>
      <c r="BO133" t="e">
        <f>AND('STERLING CATALOG - DRY '!A2909,"AAAAAE37a0I=")</f>
        <v>#VALUE!</v>
      </c>
      <c r="BP133" t="e">
        <f>AND('STERLING CATALOG - DRY '!B2909,"AAAAAE37a0M=")</f>
        <v>#VALUE!</v>
      </c>
      <c r="BQ133" t="e">
        <f>AND('STERLING CATALOG - DRY '!C2909,"AAAAAE37a0Q=")</f>
        <v>#VALUE!</v>
      </c>
      <c r="BR133" t="e">
        <f>AND('STERLING CATALOG - DRY '!D2909,"AAAAAE37a0U=")</f>
        <v>#VALUE!</v>
      </c>
      <c r="BS133" t="e">
        <f>AND('STERLING CATALOG - DRY '!E2909,"AAAAAE37a0Y=")</f>
        <v>#VALUE!</v>
      </c>
      <c r="BT133" t="e">
        <f>AND('STERLING CATALOG - DRY '!F2909,"AAAAAE37a0c=")</f>
        <v>#VALUE!</v>
      </c>
      <c r="BU133" t="e">
        <f>AND('STERLING CATALOG - DRY '!G2909,"AAAAAE37a0g=")</f>
        <v>#VALUE!</v>
      </c>
      <c r="BV133" t="e">
        <f>AND('STERLING CATALOG - DRY '!H2909,"AAAAAE37a0k=")</f>
        <v>#VALUE!</v>
      </c>
      <c r="BW133" t="e">
        <f>AND('STERLING CATALOG - DRY '!I2909,"AAAAAE37a0o=")</f>
        <v>#VALUE!</v>
      </c>
      <c r="BX133" t="e">
        <f>AND('STERLING CATALOG - DRY '!J2909,"AAAAAE37a0s=")</f>
        <v>#VALUE!</v>
      </c>
      <c r="BY133">
        <f>IF('STERLING CATALOG - DRY '!2910:2910,"AAAAAE37a0w=",0)</f>
        <v>0</v>
      </c>
      <c r="BZ133" t="e">
        <f>AND('STERLING CATALOG - DRY '!A2910,"AAAAAE37a00=")</f>
        <v>#VALUE!</v>
      </c>
      <c r="CA133" t="e">
        <f>AND('STERLING CATALOG - DRY '!B2910,"AAAAAE37a04=")</f>
        <v>#VALUE!</v>
      </c>
      <c r="CB133" t="e">
        <f>AND('STERLING CATALOG - DRY '!C2910,"AAAAAE37a08=")</f>
        <v>#VALUE!</v>
      </c>
      <c r="CC133" t="e">
        <f>AND('STERLING CATALOG - DRY '!D2910,"AAAAAE37a1A=")</f>
        <v>#VALUE!</v>
      </c>
      <c r="CD133" t="e">
        <f>AND('STERLING CATALOG - DRY '!E2910,"AAAAAE37a1E=")</f>
        <v>#VALUE!</v>
      </c>
      <c r="CE133" t="e">
        <f>AND('STERLING CATALOG - DRY '!F2910,"AAAAAE37a1I=")</f>
        <v>#VALUE!</v>
      </c>
      <c r="CF133" t="e">
        <f>AND('STERLING CATALOG - DRY '!G2910,"AAAAAE37a1M=")</f>
        <v>#VALUE!</v>
      </c>
      <c r="CG133" t="e">
        <f>AND('STERLING CATALOG - DRY '!H2910,"AAAAAE37a1Q=")</f>
        <v>#VALUE!</v>
      </c>
      <c r="CH133" t="e">
        <f>AND('STERLING CATALOG - DRY '!I2910,"AAAAAE37a1U=")</f>
        <v>#VALUE!</v>
      </c>
      <c r="CI133" t="e">
        <f>AND('STERLING CATALOG - DRY '!J2910,"AAAAAE37a1Y=")</f>
        <v>#VALUE!</v>
      </c>
      <c r="CJ133">
        <f>IF('STERLING CATALOG - DRY '!2911:2911,"AAAAAE37a1c=",0)</f>
        <v>0</v>
      </c>
      <c r="CK133" t="e">
        <f>AND('STERLING CATALOG - DRY '!A2911,"AAAAAE37a1g=")</f>
        <v>#VALUE!</v>
      </c>
      <c r="CL133" t="e">
        <f>AND('STERLING CATALOG - DRY '!B2911,"AAAAAE37a1k=")</f>
        <v>#VALUE!</v>
      </c>
      <c r="CM133" t="e">
        <f>AND('STERLING CATALOG - DRY '!C2911,"AAAAAE37a1o=")</f>
        <v>#VALUE!</v>
      </c>
      <c r="CN133" t="e">
        <f>AND('STERLING CATALOG - DRY '!D2911,"AAAAAE37a1s=")</f>
        <v>#VALUE!</v>
      </c>
      <c r="CO133" t="e">
        <f>AND('STERLING CATALOG - DRY '!E2911,"AAAAAE37a1w=")</f>
        <v>#VALUE!</v>
      </c>
      <c r="CP133" t="e">
        <f>AND('STERLING CATALOG - DRY '!F2911,"AAAAAE37a10=")</f>
        <v>#VALUE!</v>
      </c>
      <c r="CQ133" t="e">
        <f>AND('STERLING CATALOG - DRY '!G2911,"AAAAAE37a14=")</f>
        <v>#VALUE!</v>
      </c>
      <c r="CR133" t="e">
        <f>AND('STERLING CATALOG - DRY '!H2911,"AAAAAE37a18=")</f>
        <v>#VALUE!</v>
      </c>
      <c r="CS133" t="e">
        <f>AND('STERLING CATALOG - DRY '!I2911,"AAAAAE37a2A=")</f>
        <v>#VALUE!</v>
      </c>
      <c r="CT133" t="e">
        <f>AND('STERLING CATALOG - DRY '!J2911,"AAAAAE37a2E=")</f>
        <v>#VALUE!</v>
      </c>
      <c r="CU133">
        <f>IF('STERLING CATALOG - DRY '!2912:2912,"AAAAAE37a2I=",0)</f>
        <v>0</v>
      </c>
      <c r="CV133" t="e">
        <f>AND('STERLING CATALOG - DRY '!A2912,"AAAAAE37a2M=")</f>
        <v>#VALUE!</v>
      </c>
      <c r="CW133" t="e">
        <f>AND('STERLING CATALOG - DRY '!B2912,"AAAAAE37a2Q=")</f>
        <v>#VALUE!</v>
      </c>
      <c r="CX133" t="e">
        <f>AND('STERLING CATALOG - DRY '!C2912,"AAAAAE37a2U=")</f>
        <v>#VALUE!</v>
      </c>
      <c r="CY133" t="e">
        <f>AND('STERLING CATALOG - DRY '!D2912,"AAAAAE37a2Y=")</f>
        <v>#VALUE!</v>
      </c>
      <c r="CZ133" t="e">
        <f>AND('STERLING CATALOG - DRY '!E2912,"AAAAAE37a2c=")</f>
        <v>#VALUE!</v>
      </c>
      <c r="DA133" t="e">
        <f>AND('STERLING CATALOG - DRY '!F2912,"AAAAAE37a2g=")</f>
        <v>#VALUE!</v>
      </c>
      <c r="DB133" t="e">
        <f>AND('STERLING CATALOG - DRY '!G2912,"AAAAAE37a2k=")</f>
        <v>#VALUE!</v>
      </c>
      <c r="DC133" t="e">
        <f>AND('STERLING CATALOG - DRY '!H2912,"AAAAAE37a2o=")</f>
        <v>#VALUE!</v>
      </c>
      <c r="DD133" t="e">
        <f>AND('STERLING CATALOG - DRY '!I2912,"AAAAAE37a2s=")</f>
        <v>#VALUE!</v>
      </c>
      <c r="DE133" t="e">
        <f>AND('STERLING CATALOG - DRY '!J2912,"AAAAAE37a2w=")</f>
        <v>#VALUE!</v>
      </c>
      <c r="DF133">
        <f>IF('STERLING CATALOG - DRY '!2913:2913,"AAAAAE37a20=",0)</f>
        <v>0</v>
      </c>
      <c r="DG133" t="e">
        <f>AND('STERLING CATALOG - DRY '!A2913,"AAAAAE37a24=")</f>
        <v>#VALUE!</v>
      </c>
      <c r="DH133" t="e">
        <f>AND('STERLING CATALOG - DRY '!B2913,"AAAAAE37a28=")</f>
        <v>#VALUE!</v>
      </c>
      <c r="DI133" t="e">
        <f>AND('STERLING CATALOG - DRY '!C2913,"AAAAAE37a3A=")</f>
        <v>#VALUE!</v>
      </c>
      <c r="DJ133" t="e">
        <f>AND('STERLING CATALOG - DRY '!D2913,"AAAAAE37a3E=")</f>
        <v>#VALUE!</v>
      </c>
      <c r="DK133" t="e">
        <f>AND('STERLING CATALOG - DRY '!E2913,"AAAAAE37a3I=")</f>
        <v>#VALUE!</v>
      </c>
      <c r="DL133" t="e">
        <f>AND('STERLING CATALOG - DRY '!F2913,"AAAAAE37a3M=")</f>
        <v>#VALUE!</v>
      </c>
      <c r="DM133" t="e">
        <f>AND('STERLING CATALOG - DRY '!G2913,"AAAAAE37a3Q=")</f>
        <v>#VALUE!</v>
      </c>
      <c r="DN133" t="e">
        <f>AND('STERLING CATALOG - DRY '!H2913,"AAAAAE37a3U=")</f>
        <v>#VALUE!</v>
      </c>
      <c r="DO133" t="e">
        <f>AND('STERLING CATALOG - DRY '!I2913,"AAAAAE37a3Y=")</f>
        <v>#VALUE!</v>
      </c>
      <c r="DP133" t="e">
        <f>AND('STERLING CATALOG - DRY '!J2913,"AAAAAE37a3c=")</f>
        <v>#VALUE!</v>
      </c>
      <c r="DQ133">
        <f>IF('STERLING CATALOG - DRY '!2914:2914,"AAAAAE37a3g=",0)</f>
        <v>0</v>
      </c>
      <c r="DR133" t="e">
        <f>AND('STERLING CATALOG - DRY '!A2914,"AAAAAE37a3k=")</f>
        <v>#VALUE!</v>
      </c>
      <c r="DS133" t="e">
        <f>AND('STERLING CATALOG - DRY '!B2914,"AAAAAE37a3o=")</f>
        <v>#VALUE!</v>
      </c>
      <c r="DT133" t="e">
        <f>AND('STERLING CATALOG - DRY '!C2914,"AAAAAE37a3s=")</f>
        <v>#VALUE!</v>
      </c>
      <c r="DU133" t="e">
        <f>AND('STERLING CATALOG - DRY '!D2914,"AAAAAE37a3w=")</f>
        <v>#VALUE!</v>
      </c>
      <c r="DV133" t="e">
        <f>AND('STERLING CATALOG - DRY '!E2914,"AAAAAE37a30=")</f>
        <v>#VALUE!</v>
      </c>
      <c r="DW133" t="e">
        <f>AND('STERLING CATALOG - DRY '!F2914,"AAAAAE37a34=")</f>
        <v>#VALUE!</v>
      </c>
      <c r="DX133" t="e">
        <f>AND('STERLING CATALOG - DRY '!G2914,"AAAAAE37a38=")</f>
        <v>#VALUE!</v>
      </c>
      <c r="DY133" t="e">
        <f>AND('STERLING CATALOG - DRY '!H2914,"AAAAAE37a4A=")</f>
        <v>#VALUE!</v>
      </c>
      <c r="DZ133" t="e">
        <f>AND('STERLING CATALOG - DRY '!I2914,"AAAAAE37a4E=")</f>
        <v>#VALUE!</v>
      </c>
      <c r="EA133" t="e">
        <f>AND('STERLING CATALOG - DRY '!J2914,"AAAAAE37a4I=")</f>
        <v>#VALUE!</v>
      </c>
      <c r="EB133">
        <f>IF('STERLING CATALOG - DRY '!2915:2915,"AAAAAE37a4M=",0)</f>
        <v>0</v>
      </c>
      <c r="EC133" t="e">
        <f>AND('STERLING CATALOG - DRY '!A2915,"AAAAAE37a4Q=")</f>
        <v>#VALUE!</v>
      </c>
      <c r="ED133" t="e">
        <f>AND('STERLING CATALOG - DRY '!B2915,"AAAAAE37a4U=")</f>
        <v>#VALUE!</v>
      </c>
      <c r="EE133" t="e">
        <f>AND('STERLING CATALOG - DRY '!C2915,"AAAAAE37a4Y=")</f>
        <v>#VALUE!</v>
      </c>
      <c r="EF133" t="e">
        <f>AND('STERLING CATALOG - DRY '!D2915,"AAAAAE37a4c=")</f>
        <v>#VALUE!</v>
      </c>
      <c r="EG133" t="e">
        <f>AND('STERLING CATALOG - DRY '!E2915,"AAAAAE37a4g=")</f>
        <v>#VALUE!</v>
      </c>
      <c r="EH133" t="e">
        <f>AND('STERLING CATALOG - DRY '!F2915,"AAAAAE37a4k=")</f>
        <v>#VALUE!</v>
      </c>
      <c r="EI133" t="e">
        <f>AND('STERLING CATALOG - DRY '!G2915,"AAAAAE37a4o=")</f>
        <v>#VALUE!</v>
      </c>
      <c r="EJ133" t="e">
        <f>AND('STERLING CATALOG - DRY '!H2915,"AAAAAE37a4s=")</f>
        <v>#VALUE!</v>
      </c>
      <c r="EK133" t="e">
        <f>AND('STERLING CATALOG - DRY '!I2915,"AAAAAE37a4w=")</f>
        <v>#VALUE!</v>
      </c>
      <c r="EL133" t="e">
        <f>AND('STERLING CATALOG - DRY '!J2915,"AAAAAE37a40=")</f>
        <v>#VALUE!</v>
      </c>
      <c r="EM133">
        <f>IF('STERLING CATALOG - DRY '!2916:2916,"AAAAAE37a44=",0)</f>
        <v>0</v>
      </c>
      <c r="EN133" t="e">
        <f>AND('STERLING CATALOG - DRY '!A2916,"AAAAAE37a48=")</f>
        <v>#VALUE!</v>
      </c>
      <c r="EO133" t="e">
        <f>AND('STERLING CATALOG - DRY '!B2916,"AAAAAE37a5A=")</f>
        <v>#VALUE!</v>
      </c>
      <c r="EP133" t="e">
        <f>AND('STERLING CATALOG - DRY '!C2916,"AAAAAE37a5E=")</f>
        <v>#VALUE!</v>
      </c>
      <c r="EQ133" t="e">
        <f>AND('STERLING CATALOG - DRY '!D2916,"AAAAAE37a5I=")</f>
        <v>#VALUE!</v>
      </c>
      <c r="ER133" t="e">
        <f>AND('STERLING CATALOG - DRY '!E2916,"AAAAAE37a5M=")</f>
        <v>#VALUE!</v>
      </c>
      <c r="ES133" t="e">
        <f>AND('STERLING CATALOG - DRY '!F2916,"AAAAAE37a5Q=")</f>
        <v>#VALUE!</v>
      </c>
      <c r="ET133" t="e">
        <f>AND('STERLING CATALOG - DRY '!G2916,"AAAAAE37a5U=")</f>
        <v>#VALUE!</v>
      </c>
      <c r="EU133" t="e">
        <f>AND('STERLING CATALOG - DRY '!H2916,"AAAAAE37a5Y=")</f>
        <v>#VALUE!</v>
      </c>
      <c r="EV133" t="e">
        <f>AND('STERLING CATALOG - DRY '!I2916,"AAAAAE37a5c=")</f>
        <v>#VALUE!</v>
      </c>
      <c r="EW133" t="e">
        <f>AND('STERLING CATALOG - DRY '!J2916,"AAAAAE37a5g=")</f>
        <v>#VALUE!</v>
      </c>
      <c r="EX133">
        <f>IF('STERLING CATALOG - DRY '!2917:2917,"AAAAAE37a5k=",0)</f>
        <v>0</v>
      </c>
      <c r="EY133" t="e">
        <f>AND('STERLING CATALOG - DRY '!A2917,"AAAAAE37a5o=")</f>
        <v>#VALUE!</v>
      </c>
      <c r="EZ133" t="e">
        <f>AND('STERLING CATALOG - DRY '!B2917,"AAAAAE37a5s=")</f>
        <v>#VALUE!</v>
      </c>
      <c r="FA133" t="e">
        <f>AND('STERLING CATALOG - DRY '!C2917,"AAAAAE37a5w=")</f>
        <v>#VALUE!</v>
      </c>
      <c r="FB133" t="e">
        <f>AND('STERLING CATALOG - DRY '!D2917,"AAAAAE37a50=")</f>
        <v>#VALUE!</v>
      </c>
      <c r="FC133" t="e">
        <f>AND('STERLING CATALOG - DRY '!E2917,"AAAAAE37a54=")</f>
        <v>#VALUE!</v>
      </c>
      <c r="FD133" t="e">
        <f>AND('STERLING CATALOG - DRY '!F2917,"AAAAAE37a58=")</f>
        <v>#VALUE!</v>
      </c>
      <c r="FE133" t="e">
        <f>AND('STERLING CATALOG - DRY '!G2917,"AAAAAE37a6A=")</f>
        <v>#VALUE!</v>
      </c>
      <c r="FF133" t="e">
        <f>AND('STERLING CATALOG - DRY '!H2917,"AAAAAE37a6E=")</f>
        <v>#VALUE!</v>
      </c>
      <c r="FG133" t="e">
        <f>AND('STERLING CATALOG - DRY '!I2917,"AAAAAE37a6I=")</f>
        <v>#VALUE!</v>
      </c>
      <c r="FH133" t="e">
        <f>AND('STERLING CATALOG - DRY '!J2917,"AAAAAE37a6M=")</f>
        <v>#VALUE!</v>
      </c>
      <c r="FI133">
        <f>IF('STERLING CATALOG - DRY '!2918:2918,"AAAAAE37a6Q=",0)</f>
        <v>0</v>
      </c>
      <c r="FJ133" t="e">
        <f>AND('STERLING CATALOG - DRY '!A2918,"AAAAAE37a6U=")</f>
        <v>#VALUE!</v>
      </c>
      <c r="FK133" t="e">
        <f>AND('STERLING CATALOG - DRY '!B2918,"AAAAAE37a6Y=")</f>
        <v>#VALUE!</v>
      </c>
      <c r="FL133" t="e">
        <f>AND('STERLING CATALOG - DRY '!C2918,"AAAAAE37a6c=")</f>
        <v>#VALUE!</v>
      </c>
      <c r="FM133" t="e">
        <f>AND('STERLING CATALOG - DRY '!D2918,"AAAAAE37a6g=")</f>
        <v>#VALUE!</v>
      </c>
      <c r="FN133" t="e">
        <f>AND('STERLING CATALOG - DRY '!E2918,"AAAAAE37a6k=")</f>
        <v>#VALUE!</v>
      </c>
      <c r="FO133" t="e">
        <f>AND('STERLING CATALOG - DRY '!F2918,"AAAAAE37a6o=")</f>
        <v>#VALUE!</v>
      </c>
      <c r="FP133" t="e">
        <f>AND('STERLING CATALOG - DRY '!G2918,"AAAAAE37a6s=")</f>
        <v>#VALUE!</v>
      </c>
      <c r="FQ133" t="e">
        <f>AND('STERLING CATALOG - DRY '!H2918,"AAAAAE37a6w=")</f>
        <v>#VALUE!</v>
      </c>
      <c r="FR133" t="e">
        <f>AND('STERLING CATALOG - DRY '!I2918,"AAAAAE37a60=")</f>
        <v>#VALUE!</v>
      </c>
      <c r="FS133" t="e">
        <f>AND('STERLING CATALOG - DRY '!J2918,"AAAAAE37a64=")</f>
        <v>#VALUE!</v>
      </c>
      <c r="FT133">
        <f>IF('STERLING CATALOG - DRY '!2919:2919,"AAAAAE37a68=",0)</f>
        <v>0</v>
      </c>
      <c r="FU133" t="e">
        <f>AND('STERLING CATALOG - DRY '!A2919,"AAAAAE37a7A=")</f>
        <v>#VALUE!</v>
      </c>
      <c r="FV133" t="e">
        <f>AND('STERLING CATALOG - DRY '!B2919,"AAAAAE37a7E=")</f>
        <v>#VALUE!</v>
      </c>
      <c r="FW133" t="e">
        <f>AND('STERLING CATALOG - DRY '!C2919,"AAAAAE37a7I=")</f>
        <v>#VALUE!</v>
      </c>
      <c r="FX133" t="e">
        <f>AND('STERLING CATALOG - DRY '!D2919,"AAAAAE37a7M=")</f>
        <v>#VALUE!</v>
      </c>
      <c r="FY133" t="e">
        <f>AND('STERLING CATALOG - DRY '!E2919,"AAAAAE37a7Q=")</f>
        <v>#VALUE!</v>
      </c>
      <c r="FZ133" t="e">
        <f>AND('STERLING CATALOG - DRY '!F2919,"AAAAAE37a7U=")</f>
        <v>#VALUE!</v>
      </c>
      <c r="GA133" t="e">
        <f>AND('STERLING CATALOG - DRY '!G2919,"AAAAAE37a7Y=")</f>
        <v>#VALUE!</v>
      </c>
      <c r="GB133" t="e">
        <f>AND('STERLING CATALOG - DRY '!H2919,"AAAAAE37a7c=")</f>
        <v>#VALUE!</v>
      </c>
      <c r="GC133" t="e">
        <f>AND('STERLING CATALOG - DRY '!I2919,"AAAAAE37a7g=")</f>
        <v>#VALUE!</v>
      </c>
      <c r="GD133" t="e">
        <f>AND('STERLING CATALOG - DRY '!J2919,"AAAAAE37a7k=")</f>
        <v>#VALUE!</v>
      </c>
      <c r="GE133">
        <f>IF('STERLING CATALOG - DRY '!2920:2920,"AAAAAE37a7o=",0)</f>
        <v>0</v>
      </c>
      <c r="GF133" t="e">
        <f>AND('STERLING CATALOG - DRY '!A2920,"AAAAAE37a7s=")</f>
        <v>#VALUE!</v>
      </c>
      <c r="GG133" t="e">
        <f>AND('STERLING CATALOG - DRY '!B2920,"AAAAAE37a7w=")</f>
        <v>#VALUE!</v>
      </c>
      <c r="GH133" t="e">
        <f>AND('STERLING CATALOG - DRY '!C2920,"AAAAAE37a70=")</f>
        <v>#VALUE!</v>
      </c>
      <c r="GI133" t="e">
        <f>AND('STERLING CATALOG - DRY '!D2920,"AAAAAE37a74=")</f>
        <v>#VALUE!</v>
      </c>
      <c r="GJ133" t="e">
        <f>AND('STERLING CATALOG - DRY '!E2920,"AAAAAE37a78=")</f>
        <v>#VALUE!</v>
      </c>
      <c r="GK133" t="e">
        <f>AND('STERLING CATALOG - DRY '!F2920,"AAAAAE37a8A=")</f>
        <v>#VALUE!</v>
      </c>
      <c r="GL133" t="e">
        <f>AND('STERLING CATALOG - DRY '!G2920,"AAAAAE37a8E=")</f>
        <v>#VALUE!</v>
      </c>
      <c r="GM133" t="e">
        <f>AND('STERLING CATALOG - DRY '!H2920,"AAAAAE37a8I=")</f>
        <v>#VALUE!</v>
      </c>
      <c r="GN133" t="e">
        <f>AND('STERLING CATALOG - DRY '!I2920,"AAAAAE37a8M=")</f>
        <v>#VALUE!</v>
      </c>
      <c r="GO133" t="e">
        <f>AND('STERLING CATALOG - DRY '!J2920,"AAAAAE37a8Q=")</f>
        <v>#VALUE!</v>
      </c>
      <c r="GP133">
        <f>IF('STERLING CATALOG - DRY '!2921:2921,"AAAAAE37a8U=",0)</f>
        <v>0</v>
      </c>
      <c r="GQ133" t="e">
        <f>AND('STERLING CATALOG - DRY '!A2921,"AAAAAE37a8Y=")</f>
        <v>#VALUE!</v>
      </c>
      <c r="GR133" t="e">
        <f>AND('STERLING CATALOG - DRY '!B2921,"AAAAAE37a8c=")</f>
        <v>#VALUE!</v>
      </c>
      <c r="GS133" t="e">
        <f>AND('STERLING CATALOG - DRY '!C2921,"AAAAAE37a8g=")</f>
        <v>#VALUE!</v>
      </c>
      <c r="GT133" t="e">
        <f>AND('STERLING CATALOG - DRY '!D2921,"AAAAAE37a8k=")</f>
        <v>#VALUE!</v>
      </c>
      <c r="GU133" t="e">
        <f>AND('STERLING CATALOG - DRY '!E2921,"AAAAAE37a8o=")</f>
        <v>#VALUE!</v>
      </c>
      <c r="GV133" t="e">
        <f>AND('STERLING CATALOG - DRY '!F2921,"AAAAAE37a8s=")</f>
        <v>#VALUE!</v>
      </c>
      <c r="GW133" t="e">
        <f>AND('STERLING CATALOG - DRY '!G2921,"AAAAAE37a8w=")</f>
        <v>#VALUE!</v>
      </c>
      <c r="GX133" t="e">
        <f>AND('STERLING CATALOG - DRY '!H2921,"AAAAAE37a80=")</f>
        <v>#VALUE!</v>
      </c>
      <c r="GY133" t="e">
        <f>AND('STERLING CATALOG - DRY '!I2921,"AAAAAE37a84=")</f>
        <v>#VALUE!</v>
      </c>
      <c r="GZ133" t="e">
        <f>AND('STERLING CATALOG - DRY '!J2921,"AAAAAE37a88=")</f>
        <v>#VALUE!</v>
      </c>
      <c r="HA133">
        <f>IF('STERLING CATALOG - DRY '!2922:2922,"AAAAAE37a9A=",0)</f>
        <v>0</v>
      </c>
      <c r="HB133" t="e">
        <f>AND('STERLING CATALOG - DRY '!A2922,"AAAAAE37a9E=")</f>
        <v>#VALUE!</v>
      </c>
      <c r="HC133" t="e">
        <f>AND('STERLING CATALOG - DRY '!B2922,"AAAAAE37a9I=")</f>
        <v>#VALUE!</v>
      </c>
      <c r="HD133" t="e">
        <f>AND('STERLING CATALOG - DRY '!C2922,"AAAAAE37a9M=")</f>
        <v>#VALUE!</v>
      </c>
      <c r="HE133" t="e">
        <f>AND('STERLING CATALOG - DRY '!D2922,"AAAAAE37a9Q=")</f>
        <v>#VALUE!</v>
      </c>
      <c r="HF133" t="e">
        <f>AND('STERLING CATALOG - DRY '!E2922,"AAAAAE37a9U=")</f>
        <v>#VALUE!</v>
      </c>
      <c r="HG133" t="e">
        <f>AND('STERLING CATALOG - DRY '!F2922,"AAAAAE37a9Y=")</f>
        <v>#VALUE!</v>
      </c>
      <c r="HH133" t="e">
        <f>AND('STERLING CATALOG - DRY '!G2922,"AAAAAE37a9c=")</f>
        <v>#VALUE!</v>
      </c>
      <c r="HI133" t="e">
        <f>AND('STERLING CATALOG - DRY '!H2922,"AAAAAE37a9g=")</f>
        <v>#VALUE!</v>
      </c>
      <c r="HJ133" t="e">
        <f>AND('STERLING CATALOG - DRY '!I2922,"AAAAAE37a9k=")</f>
        <v>#VALUE!</v>
      </c>
      <c r="HK133" t="e">
        <f>AND('STERLING CATALOG - DRY '!J2922,"AAAAAE37a9o=")</f>
        <v>#VALUE!</v>
      </c>
      <c r="HL133">
        <f>IF('STERLING CATALOG - DRY '!2923:2923,"AAAAAE37a9s=",0)</f>
        <v>0</v>
      </c>
      <c r="HM133" t="e">
        <f>AND('STERLING CATALOG - DRY '!A2923,"AAAAAE37a9w=")</f>
        <v>#VALUE!</v>
      </c>
      <c r="HN133" t="e">
        <f>AND('STERLING CATALOG - DRY '!B2923,"AAAAAE37a90=")</f>
        <v>#VALUE!</v>
      </c>
      <c r="HO133" t="e">
        <f>AND('STERLING CATALOG - DRY '!C2923,"AAAAAE37a94=")</f>
        <v>#VALUE!</v>
      </c>
      <c r="HP133" t="e">
        <f>AND('STERLING CATALOG - DRY '!D2923,"AAAAAE37a98=")</f>
        <v>#VALUE!</v>
      </c>
      <c r="HQ133" t="e">
        <f>AND('STERLING CATALOG - DRY '!E2923,"AAAAAE37a+A=")</f>
        <v>#VALUE!</v>
      </c>
      <c r="HR133" t="e">
        <f>AND('STERLING CATALOG - DRY '!F2923,"AAAAAE37a+E=")</f>
        <v>#VALUE!</v>
      </c>
      <c r="HS133" t="e">
        <f>AND('STERLING CATALOG - DRY '!G2923,"AAAAAE37a+I=")</f>
        <v>#VALUE!</v>
      </c>
      <c r="HT133" t="e">
        <f>AND('STERLING CATALOG - DRY '!H2923,"AAAAAE37a+M=")</f>
        <v>#VALUE!</v>
      </c>
      <c r="HU133" t="e">
        <f>AND('STERLING CATALOG - DRY '!I2923,"AAAAAE37a+Q=")</f>
        <v>#VALUE!</v>
      </c>
      <c r="HV133" t="e">
        <f>AND('STERLING CATALOG - DRY '!J2923,"AAAAAE37a+U=")</f>
        <v>#VALUE!</v>
      </c>
      <c r="HW133">
        <f>IF('STERLING CATALOG - DRY '!2924:2924,"AAAAAE37a+Y=",0)</f>
        <v>0</v>
      </c>
      <c r="HX133" t="e">
        <f>AND('STERLING CATALOG - DRY '!A2924,"AAAAAE37a+c=")</f>
        <v>#VALUE!</v>
      </c>
      <c r="HY133" t="e">
        <f>AND('STERLING CATALOG - DRY '!B2924,"AAAAAE37a+g=")</f>
        <v>#VALUE!</v>
      </c>
      <c r="HZ133" t="e">
        <f>AND('STERLING CATALOG - DRY '!C2924,"AAAAAE37a+k=")</f>
        <v>#VALUE!</v>
      </c>
      <c r="IA133" t="e">
        <f>AND('STERLING CATALOG - DRY '!D2924,"AAAAAE37a+o=")</f>
        <v>#VALUE!</v>
      </c>
      <c r="IB133" t="e">
        <f>AND('STERLING CATALOG - DRY '!E2924,"AAAAAE37a+s=")</f>
        <v>#VALUE!</v>
      </c>
      <c r="IC133" t="e">
        <f>AND('STERLING CATALOG - DRY '!F2924,"AAAAAE37a+w=")</f>
        <v>#VALUE!</v>
      </c>
      <c r="ID133" t="e">
        <f>AND('STERLING CATALOG - DRY '!G2924,"AAAAAE37a+0=")</f>
        <v>#VALUE!</v>
      </c>
      <c r="IE133" t="e">
        <f>AND('STERLING CATALOG - DRY '!H2924,"AAAAAE37a+4=")</f>
        <v>#VALUE!</v>
      </c>
      <c r="IF133" t="e">
        <f>AND('STERLING CATALOG - DRY '!I2924,"AAAAAE37a+8=")</f>
        <v>#VALUE!</v>
      </c>
      <c r="IG133" t="e">
        <f>AND('STERLING CATALOG - DRY '!J2924,"AAAAAE37a/A=")</f>
        <v>#VALUE!</v>
      </c>
      <c r="IH133">
        <f>IF('STERLING CATALOG - DRY '!2925:2925,"AAAAAE37a/E=",0)</f>
        <v>0</v>
      </c>
      <c r="II133" t="e">
        <f>AND('STERLING CATALOG - DRY '!A2925,"AAAAAE37a/I=")</f>
        <v>#VALUE!</v>
      </c>
      <c r="IJ133" t="e">
        <f>AND('STERLING CATALOG - DRY '!B2925,"AAAAAE37a/M=")</f>
        <v>#VALUE!</v>
      </c>
      <c r="IK133" t="e">
        <f>AND('STERLING CATALOG - DRY '!C2925,"AAAAAE37a/Q=")</f>
        <v>#VALUE!</v>
      </c>
      <c r="IL133" t="e">
        <f>AND('STERLING CATALOG - DRY '!D2925,"AAAAAE37a/U=")</f>
        <v>#VALUE!</v>
      </c>
      <c r="IM133" t="e">
        <f>AND('STERLING CATALOG - DRY '!E2925,"AAAAAE37a/Y=")</f>
        <v>#VALUE!</v>
      </c>
      <c r="IN133" t="e">
        <f>AND('STERLING CATALOG - DRY '!F2925,"AAAAAE37a/c=")</f>
        <v>#VALUE!</v>
      </c>
      <c r="IO133" t="e">
        <f>AND('STERLING CATALOG - DRY '!G2925,"AAAAAE37a/g=")</f>
        <v>#VALUE!</v>
      </c>
      <c r="IP133" t="e">
        <f>AND('STERLING CATALOG - DRY '!H2925,"AAAAAE37a/k=")</f>
        <v>#VALUE!</v>
      </c>
      <c r="IQ133" t="e">
        <f>AND('STERLING CATALOG - DRY '!I2925,"AAAAAE37a/o=")</f>
        <v>#VALUE!</v>
      </c>
      <c r="IR133" t="e">
        <f>AND('STERLING CATALOG - DRY '!J2925,"AAAAAE37a/s=")</f>
        <v>#VALUE!</v>
      </c>
      <c r="IS133">
        <f>IF('STERLING CATALOG - DRY '!2926:2926,"AAAAAE37a/w=",0)</f>
        <v>0</v>
      </c>
      <c r="IT133" t="e">
        <f>AND('STERLING CATALOG - DRY '!A2926,"AAAAAE37a/0=")</f>
        <v>#VALUE!</v>
      </c>
      <c r="IU133" t="e">
        <f>AND('STERLING CATALOG - DRY '!B2926,"AAAAAE37a/4=")</f>
        <v>#VALUE!</v>
      </c>
      <c r="IV133" t="e">
        <f>AND('STERLING CATALOG - DRY '!C2926,"AAAAAE37a/8=")</f>
        <v>#VALUE!</v>
      </c>
    </row>
    <row r="134" spans="1:256">
      <c r="A134" t="e">
        <f>AND('STERLING CATALOG - DRY '!D2926,"AAAAAE9efgA=")</f>
        <v>#VALUE!</v>
      </c>
      <c r="B134" t="e">
        <f>AND('STERLING CATALOG - DRY '!E2926,"AAAAAE9efgE=")</f>
        <v>#VALUE!</v>
      </c>
      <c r="C134" t="e">
        <f>AND('STERLING CATALOG - DRY '!F2926,"AAAAAE9efgI=")</f>
        <v>#VALUE!</v>
      </c>
      <c r="D134" t="e">
        <f>AND('STERLING CATALOG - DRY '!G2926,"AAAAAE9efgM=")</f>
        <v>#VALUE!</v>
      </c>
      <c r="E134" t="e">
        <f>AND('STERLING CATALOG - DRY '!H2926,"AAAAAE9efgQ=")</f>
        <v>#VALUE!</v>
      </c>
      <c r="F134" t="e">
        <f>AND('STERLING CATALOG - DRY '!I2926,"AAAAAE9efgU=")</f>
        <v>#VALUE!</v>
      </c>
      <c r="G134" t="e">
        <f>AND('STERLING CATALOG - DRY '!J2926,"AAAAAE9efgY=")</f>
        <v>#VALUE!</v>
      </c>
      <c r="H134" t="str">
        <f>IF('STERLING CATALOG - DRY '!2927:2927,"AAAAAE9efgc=",0)</f>
        <v>AAAAAE9efgc=</v>
      </c>
      <c r="I134" t="e">
        <f>AND('STERLING CATALOG - DRY '!A2927,"AAAAAE9efgg=")</f>
        <v>#VALUE!</v>
      </c>
      <c r="J134" t="e">
        <f>AND('STERLING CATALOG - DRY '!B2927,"AAAAAE9efgk=")</f>
        <v>#VALUE!</v>
      </c>
      <c r="K134" t="e">
        <f>AND('STERLING CATALOG - DRY '!C2927,"AAAAAE9efgo=")</f>
        <v>#VALUE!</v>
      </c>
      <c r="L134" t="e">
        <f>AND('STERLING CATALOG - DRY '!D2927,"AAAAAE9efgs=")</f>
        <v>#VALUE!</v>
      </c>
      <c r="M134" t="e">
        <f>AND('STERLING CATALOG - DRY '!E2927,"AAAAAE9efgw=")</f>
        <v>#VALUE!</v>
      </c>
      <c r="N134" t="e">
        <f>AND('STERLING CATALOG - DRY '!F2927,"AAAAAE9efg0=")</f>
        <v>#VALUE!</v>
      </c>
      <c r="O134" t="e">
        <f>AND('STERLING CATALOG - DRY '!G2927,"AAAAAE9efg4=")</f>
        <v>#VALUE!</v>
      </c>
      <c r="P134" t="e">
        <f>AND('STERLING CATALOG - DRY '!H2927,"AAAAAE9efg8=")</f>
        <v>#VALUE!</v>
      </c>
      <c r="Q134" t="e">
        <f>AND('STERLING CATALOG - DRY '!I2927,"AAAAAE9efhA=")</f>
        <v>#VALUE!</v>
      </c>
      <c r="R134" t="e">
        <f>AND('STERLING CATALOG - DRY '!J2927,"AAAAAE9efhE=")</f>
        <v>#VALUE!</v>
      </c>
      <c r="S134">
        <f>IF('STERLING CATALOG - DRY '!2928:2928,"AAAAAE9efhI=",0)</f>
        <v>0</v>
      </c>
      <c r="T134" t="e">
        <f>AND('STERLING CATALOG - DRY '!A2928,"AAAAAE9efhM=")</f>
        <v>#VALUE!</v>
      </c>
      <c r="U134" t="e">
        <f>AND('STERLING CATALOG - DRY '!B2928,"AAAAAE9efhQ=")</f>
        <v>#VALUE!</v>
      </c>
      <c r="V134" t="e">
        <f>AND('STERLING CATALOG - DRY '!C2928,"AAAAAE9efhU=")</f>
        <v>#VALUE!</v>
      </c>
      <c r="W134" t="e">
        <f>AND('STERLING CATALOG - DRY '!D2928,"AAAAAE9efhY=")</f>
        <v>#VALUE!</v>
      </c>
      <c r="X134" t="e">
        <f>AND('STERLING CATALOG - DRY '!E2928,"AAAAAE9efhc=")</f>
        <v>#VALUE!</v>
      </c>
      <c r="Y134" t="e">
        <f>AND('STERLING CATALOG - DRY '!F2928,"AAAAAE9efhg=")</f>
        <v>#VALUE!</v>
      </c>
      <c r="Z134" t="e">
        <f>AND('STERLING CATALOG - DRY '!G2928,"AAAAAE9efhk=")</f>
        <v>#VALUE!</v>
      </c>
      <c r="AA134" t="e">
        <f>AND('STERLING CATALOG - DRY '!H2928,"AAAAAE9efho=")</f>
        <v>#VALUE!</v>
      </c>
      <c r="AB134" t="e">
        <f>AND('STERLING CATALOG - DRY '!I2928,"AAAAAE9efhs=")</f>
        <v>#VALUE!</v>
      </c>
      <c r="AC134" t="e">
        <f>AND('STERLING CATALOG - DRY '!J2928,"AAAAAE9efhw=")</f>
        <v>#VALUE!</v>
      </c>
      <c r="AD134">
        <f>IF('STERLING CATALOG - DRY '!2929:2929,"AAAAAE9efh0=",0)</f>
        <v>0</v>
      </c>
      <c r="AE134" t="e">
        <f>AND('STERLING CATALOG - DRY '!A2929,"AAAAAE9efh4=")</f>
        <v>#VALUE!</v>
      </c>
      <c r="AF134" t="e">
        <f>AND('STERLING CATALOG - DRY '!B2929,"AAAAAE9efh8=")</f>
        <v>#VALUE!</v>
      </c>
      <c r="AG134" t="e">
        <f>AND('STERLING CATALOG - DRY '!C2929,"AAAAAE9efiA=")</f>
        <v>#VALUE!</v>
      </c>
      <c r="AH134" t="e">
        <f>AND('STERLING CATALOG - DRY '!D2929,"AAAAAE9efiE=")</f>
        <v>#VALUE!</v>
      </c>
      <c r="AI134" t="e">
        <f>AND('STERLING CATALOG - DRY '!E2929,"AAAAAE9efiI=")</f>
        <v>#VALUE!</v>
      </c>
      <c r="AJ134" t="e">
        <f>AND('STERLING CATALOG - DRY '!F2929,"AAAAAE9efiM=")</f>
        <v>#VALUE!</v>
      </c>
      <c r="AK134" t="e">
        <f>AND('STERLING CATALOG - DRY '!G2929,"AAAAAE9efiQ=")</f>
        <v>#VALUE!</v>
      </c>
      <c r="AL134" t="e">
        <f>AND('STERLING CATALOG - DRY '!H2929,"AAAAAE9efiU=")</f>
        <v>#VALUE!</v>
      </c>
      <c r="AM134" t="e">
        <f>AND('STERLING CATALOG - DRY '!I2929,"AAAAAE9efiY=")</f>
        <v>#VALUE!</v>
      </c>
      <c r="AN134" t="e">
        <f>AND('STERLING CATALOG - DRY '!J2929,"AAAAAE9efic=")</f>
        <v>#VALUE!</v>
      </c>
      <c r="AO134">
        <f>IF('STERLING CATALOG - DRY '!2930:2930,"AAAAAE9efig=",0)</f>
        <v>0</v>
      </c>
      <c r="AP134" t="e">
        <f>AND('STERLING CATALOG - DRY '!A2930,"AAAAAE9efik=")</f>
        <v>#VALUE!</v>
      </c>
      <c r="AQ134" t="e">
        <f>AND('STERLING CATALOG - DRY '!B2930,"AAAAAE9efio=")</f>
        <v>#VALUE!</v>
      </c>
      <c r="AR134" t="e">
        <f>AND('STERLING CATALOG - DRY '!C2930,"AAAAAE9efis=")</f>
        <v>#VALUE!</v>
      </c>
      <c r="AS134" t="e">
        <f>AND('STERLING CATALOG - DRY '!D2930,"AAAAAE9efiw=")</f>
        <v>#VALUE!</v>
      </c>
      <c r="AT134" t="e">
        <f>AND('STERLING CATALOG - DRY '!E2930,"AAAAAE9efi0=")</f>
        <v>#VALUE!</v>
      </c>
      <c r="AU134" t="e">
        <f>AND('STERLING CATALOG - DRY '!F2930,"AAAAAE9efi4=")</f>
        <v>#VALUE!</v>
      </c>
      <c r="AV134" t="e">
        <f>AND('STERLING CATALOG - DRY '!G2930,"AAAAAE9efi8=")</f>
        <v>#VALUE!</v>
      </c>
      <c r="AW134" t="e">
        <f>AND('STERLING CATALOG - DRY '!H2930,"AAAAAE9efjA=")</f>
        <v>#VALUE!</v>
      </c>
      <c r="AX134" t="e">
        <f>AND('STERLING CATALOG - DRY '!I2930,"AAAAAE9efjE=")</f>
        <v>#VALUE!</v>
      </c>
      <c r="AY134" t="e">
        <f>AND('STERLING CATALOG - DRY '!J2930,"AAAAAE9efjI=")</f>
        <v>#VALUE!</v>
      </c>
      <c r="AZ134">
        <f>IF('STERLING CATALOG - DRY '!2931:2931,"AAAAAE9efjM=",0)</f>
        <v>0</v>
      </c>
      <c r="BA134" t="e">
        <f>AND('STERLING CATALOG - DRY '!A2931,"AAAAAE9efjQ=")</f>
        <v>#VALUE!</v>
      </c>
      <c r="BB134" t="e">
        <f>AND('STERLING CATALOG - DRY '!B2931,"AAAAAE9efjU=")</f>
        <v>#VALUE!</v>
      </c>
      <c r="BC134" t="e">
        <f>AND('STERLING CATALOG - DRY '!C2931,"AAAAAE9efjY=")</f>
        <v>#VALUE!</v>
      </c>
      <c r="BD134" t="e">
        <f>AND('STERLING CATALOG - DRY '!D2931,"AAAAAE9efjc=")</f>
        <v>#VALUE!</v>
      </c>
      <c r="BE134" t="e">
        <f>AND('STERLING CATALOG - DRY '!E2931,"AAAAAE9efjg=")</f>
        <v>#VALUE!</v>
      </c>
      <c r="BF134" t="e">
        <f>AND('STERLING CATALOG - DRY '!F2931,"AAAAAE9efjk=")</f>
        <v>#VALUE!</v>
      </c>
      <c r="BG134" t="e">
        <f>AND('STERLING CATALOG - DRY '!G2931,"AAAAAE9efjo=")</f>
        <v>#VALUE!</v>
      </c>
      <c r="BH134" t="e">
        <f>AND('STERLING CATALOG - DRY '!H2931,"AAAAAE9efjs=")</f>
        <v>#VALUE!</v>
      </c>
      <c r="BI134" t="e">
        <f>AND('STERLING CATALOG - DRY '!I2931,"AAAAAE9efjw=")</f>
        <v>#VALUE!</v>
      </c>
      <c r="BJ134" t="e">
        <f>AND('STERLING CATALOG - DRY '!J2931,"AAAAAE9efj0=")</f>
        <v>#VALUE!</v>
      </c>
      <c r="BK134">
        <f>IF('STERLING CATALOG - DRY '!2932:2932,"AAAAAE9efj4=",0)</f>
        <v>0</v>
      </c>
      <c r="BL134" t="e">
        <f>AND('STERLING CATALOG - DRY '!A2932,"AAAAAE9efj8=")</f>
        <v>#VALUE!</v>
      </c>
      <c r="BM134" t="e">
        <f>AND('STERLING CATALOG - DRY '!B2932,"AAAAAE9efkA=")</f>
        <v>#VALUE!</v>
      </c>
      <c r="BN134" t="e">
        <f>AND('STERLING CATALOG - DRY '!C2932,"AAAAAE9efkE=")</f>
        <v>#VALUE!</v>
      </c>
      <c r="BO134" t="e">
        <f>AND('STERLING CATALOG - DRY '!D2932,"AAAAAE9efkI=")</f>
        <v>#VALUE!</v>
      </c>
      <c r="BP134" t="e">
        <f>AND('STERLING CATALOG - DRY '!E2932,"AAAAAE9efkM=")</f>
        <v>#VALUE!</v>
      </c>
      <c r="BQ134" t="e">
        <f>AND('STERLING CATALOG - DRY '!F2932,"AAAAAE9efkQ=")</f>
        <v>#VALUE!</v>
      </c>
      <c r="BR134" t="e">
        <f>AND('STERLING CATALOG - DRY '!G2932,"AAAAAE9efkU=")</f>
        <v>#VALUE!</v>
      </c>
      <c r="BS134" t="e">
        <f>AND('STERLING CATALOG - DRY '!H2932,"AAAAAE9efkY=")</f>
        <v>#VALUE!</v>
      </c>
      <c r="BT134" t="e">
        <f>AND('STERLING CATALOG - DRY '!I2932,"AAAAAE9efkc=")</f>
        <v>#VALUE!</v>
      </c>
      <c r="BU134" t="e">
        <f>AND('STERLING CATALOG - DRY '!J2932,"AAAAAE9efkg=")</f>
        <v>#VALUE!</v>
      </c>
      <c r="BV134">
        <f>IF('STERLING CATALOG - DRY '!2933:2933,"AAAAAE9efkk=",0)</f>
        <v>0</v>
      </c>
      <c r="BW134" t="e">
        <f>AND('STERLING CATALOG - DRY '!A2933,"AAAAAE9efko=")</f>
        <v>#VALUE!</v>
      </c>
      <c r="BX134" t="e">
        <f>AND('STERLING CATALOG - DRY '!B2933,"AAAAAE9efks=")</f>
        <v>#VALUE!</v>
      </c>
      <c r="BY134" t="e">
        <f>AND('STERLING CATALOG - DRY '!C2933,"AAAAAE9efkw=")</f>
        <v>#VALUE!</v>
      </c>
      <c r="BZ134" t="e">
        <f>AND('STERLING CATALOG - DRY '!D2933,"AAAAAE9efk0=")</f>
        <v>#VALUE!</v>
      </c>
      <c r="CA134" t="e">
        <f>AND('STERLING CATALOG - DRY '!E2933,"AAAAAE9efk4=")</f>
        <v>#VALUE!</v>
      </c>
      <c r="CB134" t="e">
        <f>AND('STERLING CATALOG - DRY '!F2933,"AAAAAE9efk8=")</f>
        <v>#VALUE!</v>
      </c>
      <c r="CC134" t="e">
        <f>AND('STERLING CATALOG - DRY '!G2933,"AAAAAE9eflA=")</f>
        <v>#VALUE!</v>
      </c>
      <c r="CD134" t="e">
        <f>AND('STERLING CATALOG - DRY '!H2933,"AAAAAE9eflE=")</f>
        <v>#VALUE!</v>
      </c>
      <c r="CE134" t="e">
        <f>AND('STERLING CATALOG - DRY '!I2933,"AAAAAE9eflI=")</f>
        <v>#VALUE!</v>
      </c>
      <c r="CF134" t="e">
        <f>AND('STERLING CATALOG - DRY '!J2933,"AAAAAE9eflM=")</f>
        <v>#VALUE!</v>
      </c>
      <c r="CG134">
        <f>IF('STERLING CATALOG - DRY '!2934:2934,"AAAAAE9eflQ=",0)</f>
        <v>0</v>
      </c>
      <c r="CH134" t="e">
        <f>AND('STERLING CATALOG - DRY '!A2934,"AAAAAE9eflU=")</f>
        <v>#VALUE!</v>
      </c>
      <c r="CI134" t="e">
        <f>AND('STERLING CATALOG - DRY '!B2934,"AAAAAE9eflY=")</f>
        <v>#VALUE!</v>
      </c>
      <c r="CJ134" t="e">
        <f>AND('STERLING CATALOG - DRY '!C2934,"AAAAAE9eflc=")</f>
        <v>#VALUE!</v>
      </c>
      <c r="CK134" t="e">
        <f>AND('STERLING CATALOG - DRY '!D2934,"AAAAAE9eflg=")</f>
        <v>#VALUE!</v>
      </c>
      <c r="CL134" t="e">
        <f>AND('STERLING CATALOG - DRY '!E2934,"AAAAAE9eflk=")</f>
        <v>#VALUE!</v>
      </c>
      <c r="CM134" t="e">
        <f>AND('STERLING CATALOG - DRY '!F2934,"AAAAAE9eflo=")</f>
        <v>#VALUE!</v>
      </c>
      <c r="CN134" t="e">
        <f>AND('STERLING CATALOG - DRY '!G2934,"AAAAAE9efls=")</f>
        <v>#VALUE!</v>
      </c>
      <c r="CO134" t="e">
        <f>AND('STERLING CATALOG - DRY '!H2934,"AAAAAE9eflw=")</f>
        <v>#VALUE!</v>
      </c>
      <c r="CP134" t="e">
        <f>AND('STERLING CATALOG - DRY '!I2934,"AAAAAE9efl0=")</f>
        <v>#VALUE!</v>
      </c>
      <c r="CQ134" t="e">
        <f>AND('STERLING CATALOG - DRY '!J2934,"AAAAAE9efl4=")</f>
        <v>#VALUE!</v>
      </c>
      <c r="CR134">
        <f>IF('STERLING CATALOG - DRY '!2935:2935,"AAAAAE9efl8=",0)</f>
        <v>0</v>
      </c>
      <c r="CS134" t="e">
        <f>AND('STERLING CATALOG - DRY '!A2935,"AAAAAE9efmA=")</f>
        <v>#VALUE!</v>
      </c>
      <c r="CT134" t="e">
        <f>AND('STERLING CATALOG - DRY '!B2935,"AAAAAE9efmE=")</f>
        <v>#VALUE!</v>
      </c>
      <c r="CU134" t="e">
        <f>AND('STERLING CATALOG - DRY '!C2935,"AAAAAE9efmI=")</f>
        <v>#VALUE!</v>
      </c>
      <c r="CV134" t="e">
        <f>AND('STERLING CATALOG - DRY '!D2935,"AAAAAE9efmM=")</f>
        <v>#VALUE!</v>
      </c>
      <c r="CW134" t="e">
        <f>AND('STERLING CATALOG - DRY '!E2935,"AAAAAE9efmQ=")</f>
        <v>#VALUE!</v>
      </c>
      <c r="CX134" t="e">
        <f>AND('STERLING CATALOG - DRY '!F2935,"AAAAAE9efmU=")</f>
        <v>#VALUE!</v>
      </c>
      <c r="CY134" t="e">
        <f>AND('STERLING CATALOG - DRY '!G2935,"AAAAAE9efmY=")</f>
        <v>#VALUE!</v>
      </c>
      <c r="CZ134" t="e">
        <f>AND('STERLING CATALOG - DRY '!H2935,"AAAAAE9efmc=")</f>
        <v>#VALUE!</v>
      </c>
      <c r="DA134" t="e">
        <f>AND('STERLING CATALOG - DRY '!I2935,"AAAAAE9efmg=")</f>
        <v>#VALUE!</v>
      </c>
      <c r="DB134" t="e">
        <f>AND('STERLING CATALOG - DRY '!J2935,"AAAAAE9efmk=")</f>
        <v>#VALUE!</v>
      </c>
      <c r="DC134">
        <f>IF('STERLING CATALOG - DRY '!2936:2936,"AAAAAE9efmo=",0)</f>
        <v>0</v>
      </c>
      <c r="DD134" t="e">
        <f>AND('STERLING CATALOG - DRY '!A2936,"AAAAAE9efms=")</f>
        <v>#VALUE!</v>
      </c>
      <c r="DE134" t="e">
        <f>AND('STERLING CATALOG - DRY '!B2936,"AAAAAE9efmw=")</f>
        <v>#VALUE!</v>
      </c>
      <c r="DF134" t="e">
        <f>AND('STERLING CATALOG - DRY '!C2936,"AAAAAE9efm0=")</f>
        <v>#VALUE!</v>
      </c>
      <c r="DG134" t="e">
        <f>AND('STERLING CATALOG - DRY '!D2936,"AAAAAE9efm4=")</f>
        <v>#VALUE!</v>
      </c>
      <c r="DH134" t="e">
        <f>AND('STERLING CATALOG - DRY '!E2936,"AAAAAE9efm8=")</f>
        <v>#VALUE!</v>
      </c>
      <c r="DI134" t="e">
        <f>AND('STERLING CATALOG - DRY '!F2936,"AAAAAE9efnA=")</f>
        <v>#VALUE!</v>
      </c>
      <c r="DJ134" t="e">
        <f>AND('STERLING CATALOG - DRY '!G2936,"AAAAAE9efnE=")</f>
        <v>#VALUE!</v>
      </c>
      <c r="DK134" t="e">
        <f>AND('STERLING CATALOG - DRY '!H2936,"AAAAAE9efnI=")</f>
        <v>#VALUE!</v>
      </c>
      <c r="DL134" t="e">
        <f>AND('STERLING CATALOG - DRY '!I2936,"AAAAAE9efnM=")</f>
        <v>#VALUE!</v>
      </c>
      <c r="DM134" t="e">
        <f>AND('STERLING CATALOG - DRY '!J2936,"AAAAAE9efnQ=")</f>
        <v>#VALUE!</v>
      </c>
      <c r="DN134">
        <f>IF('STERLING CATALOG - DRY '!2937:2937,"AAAAAE9efnU=",0)</f>
        <v>0</v>
      </c>
      <c r="DO134" t="e">
        <f>AND('STERLING CATALOG - DRY '!A2937,"AAAAAE9efnY=")</f>
        <v>#VALUE!</v>
      </c>
      <c r="DP134" t="e">
        <f>AND('STERLING CATALOG - DRY '!B2937,"AAAAAE9efnc=")</f>
        <v>#VALUE!</v>
      </c>
      <c r="DQ134" t="e">
        <f>AND('STERLING CATALOG - DRY '!C2937,"AAAAAE9efng=")</f>
        <v>#VALUE!</v>
      </c>
      <c r="DR134" t="e">
        <f>AND('STERLING CATALOG - DRY '!D2937,"AAAAAE9efnk=")</f>
        <v>#VALUE!</v>
      </c>
      <c r="DS134" t="e">
        <f>AND('STERLING CATALOG - DRY '!E2937,"AAAAAE9efno=")</f>
        <v>#VALUE!</v>
      </c>
      <c r="DT134" t="e">
        <f>AND('STERLING CATALOG - DRY '!F2937,"AAAAAE9efns=")</f>
        <v>#VALUE!</v>
      </c>
      <c r="DU134" t="e">
        <f>AND('STERLING CATALOG - DRY '!G2937,"AAAAAE9efnw=")</f>
        <v>#VALUE!</v>
      </c>
      <c r="DV134" t="e">
        <f>AND('STERLING CATALOG - DRY '!H2937,"AAAAAE9efn0=")</f>
        <v>#VALUE!</v>
      </c>
      <c r="DW134" t="e">
        <f>AND('STERLING CATALOG - DRY '!I2937,"AAAAAE9efn4=")</f>
        <v>#VALUE!</v>
      </c>
      <c r="DX134" t="e">
        <f>AND('STERLING CATALOG - DRY '!J2937,"AAAAAE9efn8=")</f>
        <v>#VALUE!</v>
      </c>
      <c r="DY134">
        <f>IF('STERLING CATALOG - DRY '!2938:2938,"AAAAAE9efoA=",0)</f>
        <v>0</v>
      </c>
      <c r="DZ134" t="e">
        <f>AND('STERLING CATALOG - DRY '!A2938,"AAAAAE9efoE=")</f>
        <v>#VALUE!</v>
      </c>
      <c r="EA134" t="e">
        <f>AND('STERLING CATALOG - DRY '!B2938,"AAAAAE9efoI=")</f>
        <v>#VALUE!</v>
      </c>
      <c r="EB134" t="e">
        <f>AND('STERLING CATALOG - DRY '!C2938,"AAAAAE9efoM=")</f>
        <v>#VALUE!</v>
      </c>
      <c r="EC134" t="e">
        <f>AND('STERLING CATALOG - DRY '!D2938,"AAAAAE9efoQ=")</f>
        <v>#VALUE!</v>
      </c>
      <c r="ED134" t="e">
        <f>AND('STERLING CATALOG - DRY '!E2938,"AAAAAE9efoU=")</f>
        <v>#VALUE!</v>
      </c>
      <c r="EE134" t="e">
        <f>AND('STERLING CATALOG - DRY '!F2938,"AAAAAE9efoY=")</f>
        <v>#VALUE!</v>
      </c>
      <c r="EF134" t="e">
        <f>AND('STERLING CATALOG - DRY '!G2938,"AAAAAE9efoc=")</f>
        <v>#VALUE!</v>
      </c>
      <c r="EG134" t="e">
        <f>AND('STERLING CATALOG - DRY '!H2938,"AAAAAE9efog=")</f>
        <v>#VALUE!</v>
      </c>
      <c r="EH134" t="e">
        <f>AND('STERLING CATALOG - DRY '!I2938,"AAAAAE9efok=")</f>
        <v>#VALUE!</v>
      </c>
      <c r="EI134" t="e">
        <f>AND('STERLING CATALOG - DRY '!J2938,"AAAAAE9efoo=")</f>
        <v>#VALUE!</v>
      </c>
      <c r="EJ134">
        <f>IF('STERLING CATALOG - DRY '!2939:2939,"AAAAAE9efos=",0)</f>
        <v>0</v>
      </c>
      <c r="EK134" t="e">
        <f>AND('STERLING CATALOG - DRY '!A2939,"AAAAAE9efow=")</f>
        <v>#VALUE!</v>
      </c>
      <c r="EL134" t="e">
        <f>AND('STERLING CATALOG - DRY '!B2939,"AAAAAE9efo0=")</f>
        <v>#VALUE!</v>
      </c>
      <c r="EM134" t="e">
        <f>AND('STERLING CATALOG - DRY '!C2939,"AAAAAE9efo4=")</f>
        <v>#VALUE!</v>
      </c>
      <c r="EN134" t="e">
        <f>AND('STERLING CATALOG - DRY '!D2939,"AAAAAE9efo8=")</f>
        <v>#VALUE!</v>
      </c>
      <c r="EO134" t="e">
        <f>AND('STERLING CATALOG - DRY '!E2939,"AAAAAE9efpA=")</f>
        <v>#VALUE!</v>
      </c>
      <c r="EP134" t="e">
        <f>AND('STERLING CATALOG - DRY '!F2939,"AAAAAE9efpE=")</f>
        <v>#VALUE!</v>
      </c>
      <c r="EQ134" t="e">
        <f>AND('STERLING CATALOG - DRY '!G2939,"AAAAAE9efpI=")</f>
        <v>#VALUE!</v>
      </c>
      <c r="ER134" t="e">
        <f>AND('STERLING CATALOG - DRY '!H2939,"AAAAAE9efpM=")</f>
        <v>#VALUE!</v>
      </c>
      <c r="ES134" t="e">
        <f>AND('STERLING CATALOG - DRY '!I2939,"AAAAAE9efpQ=")</f>
        <v>#VALUE!</v>
      </c>
      <c r="ET134" t="e">
        <f>AND('STERLING CATALOG - DRY '!J2939,"AAAAAE9efpU=")</f>
        <v>#VALUE!</v>
      </c>
      <c r="EU134">
        <f>IF('STERLING CATALOG - DRY '!2940:2940,"AAAAAE9efpY=",0)</f>
        <v>0</v>
      </c>
      <c r="EV134" t="e">
        <f>AND('STERLING CATALOG - DRY '!A2940,"AAAAAE9efpc=")</f>
        <v>#VALUE!</v>
      </c>
      <c r="EW134" t="e">
        <f>AND('STERLING CATALOG - DRY '!B2940,"AAAAAE9efpg=")</f>
        <v>#VALUE!</v>
      </c>
      <c r="EX134" t="e">
        <f>AND('STERLING CATALOG - DRY '!C2940,"AAAAAE9efpk=")</f>
        <v>#VALUE!</v>
      </c>
      <c r="EY134" t="e">
        <f>AND('STERLING CATALOG - DRY '!D2940,"AAAAAE9efpo=")</f>
        <v>#VALUE!</v>
      </c>
      <c r="EZ134" t="e">
        <f>AND('STERLING CATALOG - DRY '!E2940,"AAAAAE9efps=")</f>
        <v>#VALUE!</v>
      </c>
      <c r="FA134" t="e">
        <f>AND('STERLING CATALOG - DRY '!F2940,"AAAAAE9efpw=")</f>
        <v>#VALUE!</v>
      </c>
      <c r="FB134" t="e">
        <f>AND('STERLING CATALOG - DRY '!G2940,"AAAAAE9efp0=")</f>
        <v>#VALUE!</v>
      </c>
      <c r="FC134" t="e">
        <f>AND('STERLING CATALOG - DRY '!H2940,"AAAAAE9efp4=")</f>
        <v>#VALUE!</v>
      </c>
      <c r="FD134" t="e">
        <f>AND('STERLING CATALOG - DRY '!I2940,"AAAAAE9efp8=")</f>
        <v>#VALUE!</v>
      </c>
      <c r="FE134" t="e">
        <f>AND('STERLING CATALOG - DRY '!J2940,"AAAAAE9efqA=")</f>
        <v>#VALUE!</v>
      </c>
      <c r="FF134">
        <f>IF('STERLING CATALOG - DRY '!2941:2941,"AAAAAE9efqE=",0)</f>
        <v>0</v>
      </c>
      <c r="FG134" t="e">
        <f>AND('STERLING CATALOG - DRY '!A2941,"AAAAAE9efqI=")</f>
        <v>#VALUE!</v>
      </c>
      <c r="FH134" t="e">
        <f>AND('STERLING CATALOG - DRY '!B2941,"AAAAAE9efqM=")</f>
        <v>#VALUE!</v>
      </c>
      <c r="FI134" t="e">
        <f>AND('STERLING CATALOG - DRY '!C2941,"AAAAAE9efqQ=")</f>
        <v>#VALUE!</v>
      </c>
      <c r="FJ134" t="e">
        <f>AND('STERLING CATALOG - DRY '!D2941,"AAAAAE9efqU=")</f>
        <v>#VALUE!</v>
      </c>
      <c r="FK134" t="e">
        <f>AND('STERLING CATALOG - DRY '!E2941,"AAAAAE9efqY=")</f>
        <v>#VALUE!</v>
      </c>
      <c r="FL134" t="e">
        <f>AND('STERLING CATALOG - DRY '!F2941,"AAAAAE9efqc=")</f>
        <v>#VALUE!</v>
      </c>
      <c r="FM134" t="e">
        <f>AND('STERLING CATALOG - DRY '!G2941,"AAAAAE9efqg=")</f>
        <v>#VALUE!</v>
      </c>
      <c r="FN134" t="e">
        <f>AND('STERLING CATALOG - DRY '!H2941,"AAAAAE9efqk=")</f>
        <v>#VALUE!</v>
      </c>
      <c r="FO134" t="e">
        <f>AND('STERLING CATALOG - DRY '!I2941,"AAAAAE9efqo=")</f>
        <v>#VALUE!</v>
      </c>
      <c r="FP134" t="e">
        <f>AND('STERLING CATALOG - DRY '!J2941,"AAAAAE9efqs=")</f>
        <v>#VALUE!</v>
      </c>
      <c r="FQ134">
        <f>IF('STERLING CATALOG - DRY '!2942:2942,"AAAAAE9efqw=",0)</f>
        <v>0</v>
      </c>
      <c r="FR134" t="e">
        <f>AND('STERLING CATALOG - DRY '!A2942,"AAAAAE9efq0=")</f>
        <v>#VALUE!</v>
      </c>
      <c r="FS134" t="e">
        <f>AND('STERLING CATALOG - DRY '!B2942,"AAAAAE9efq4=")</f>
        <v>#VALUE!</v>
      </c>
      <c r="FT134" t="e">
        <f>AND('STERLING CATALOG - DRY '!C2942,"AAAAAE9efq8=")</f>
        <v>#VALUE!</v>
      </c>
      <c r="FU134" t="e">
        <f>AND('STERLING CATALOG - DRY '!D2942,"AAAAAE9efrA=")</f>
        <v>#VALUE!</v>
      </c>
      <c r="FV134" t="e">
        <f>AND('STERLING CATALOG - DRY '!E2942,"AAAAAE9efrE=")</f>
        <v>#VALUE!</v>
      </c>
      <c r="FW134" t="e">
        <f>AND('STERLING CATALOG - DRY '!F2942,"AAAAAE9efrI=")</f>
        <v>#VALUE!</v>
      </c>
      <c r="FX134" t="e">
        <f>AND('STERLING CATALOG - DRY '!G2942,"AAAAAE9efrM=")</f>
        <v>#VALUE!</v>
      </c>
      <c r="FY134" t="e">
        <f>AND('STERLING CATALOG - DRY '!H2942,"AAAAAE9efrQ=")</f>
        <v>#VALUE!</v>
      </c>
      <c r="FZ134" t="e">
        <f>AND('STERLING CATALOG - DRY '!I2942,"AAAAAE9efrU=")</f>
        <v>#VALUE!</v>
      </c>
      <c r="GA134" t="e">
        <f>AND('STERLING CATALOG - DRY '!J2942,"AAAAAE9efrY=")</f>
        <v>#VALUE!</v>
      </c>
      <c r="GB134">
        <f>IF('STERLING CATALOG - DRY '!2943:2943,"AAAAAE9efrc=",0)</f>
        <v>0</v>
      </c>
      <c r="GC134" t="e">
        <f>AND('STERLING CATALOG - DRY '!A2943,"AAAAAE9efrg=")</f>
        <v>#VALUE!</v>
      </c>
      <c r="GD134" t="e">
        <f>AND('STERLING CATALOG - DRY '!B2943,"AAAAAE9efrk=")</f>
        <v>#VALUE!</v>
      </c>
      <c r="GE134" t="e">
        <f>AND('STERLING CATALOG - DRY '!C2943,"AAAAAE9efro=")</f>
        <v>#VALUE!</v>
      </c>
      <c r="GF134" t="e">
        <f>AND('STERLING CATALOG - DRY '!D2943,"AAAAAE9efrs=")</f>
        <v>#VALUE!</v>
      </c>
      <c r="GG134" t="e">
        <f>AND('STERLING CATALOG - DRY '!E2943,"AAAAAE9efrw=")</f>
        <v>#VALUE!</v>
      </c>
      <c r="GH134" t="e">
        <f>AND('STERLING CATALOG - DRY '!F2943,"AAAAAE9efr0=")</f>
        <v>#VALUE!</v>
      </c>
      <c r="GI134" t="e">
        <f>AND('STERLING CATALOG - DRY '!G2943,"AAAAAE9efr4=")</f>
        <v>#VALUE!</v>
      </c>
      <c r="GJ134" t="e">
        <f>AND('STERLING CATALOG - DRY '!H2943,"AAAAAE9efr8=")</f>
        <v>#VALUE!</v>
      </c>
      <c r="GK134" t="e">
        <f>AND('STERLING CATALOG - DRY '!I2943,"AAAAAE9efsA=")</f>
        <v>#VALUE!</v>
      </c>
      <c r="GL134" t="e">
        <f>AND('STERLING CATALOG - DRY '!J2943,"AAAAAE9efsE=")</f>
        <v>#VALUE!</v>
      </c>
      <c r="GM134">
        <f>IF('STERLING CATALOG - DRY '!2944:2944,"AAAAAE9efsI=",0)</f>
        <v>0</v>
      </c>
      <c r="GN134" t="e">
        <f>AND('STERLING CATALOG - DRY '!A2944,"AAAAAE9efsM=")</f>
        <v>#VALUE!</v>
      </c>
      <c r="GO134" t="e">
        <f>AND('STERLING CATALOG - DRY '!B2944,"AAAAAE9efsQ=")</f>
        <v>#VALUE!</v>
      </c>
      <c r="GP134" t="e">
        <f>AND('STERLING CATALOG - DRY '!C2944,"AAAAAE9efsU=")</f>
        <v>#VALUE!</v>
      </c>
      <c r="GQ134" t="e">
        <f>AND('STERLING CATALOG - DRY '!D2944,"AAAAAE9efsY=")</f>
        <v>#VALUE!</v>
      </c>
      <c r="GR134" t="e">
        <f>AND('STERLING CATALOG - DRY '!E2944,"AAAAAE9efsc=")</f>
        <v>#VALUE!</v>
      </c>
      <c r="GS134" t="e">
        <f>AND('STERLING CATALOG - DRY '!F2944,"AAAAAE9efsg=")</f>
        <v>#VALUE!</v>
      </c>
      <c r="GT134" t="e">
        <f>AND('STERLING CATALOG - DRY '!G2944,"AAAAAE9efsk=")</f>
        <v>#VALUE!</v>
      </c>
      <c r="GU134" t="e">
        <f>AND('STERLING CATALOG - DRY '!H2944,"AAAAAE9efso=")</f>
        <v>#VALUE!</v>
      </c>
      <c r="GV134" t="e">
        <f>AND('STERLING CATALOG - DRY '!I2944,"AAAAAE9efss=")</f>
        <v>#VALUE!</v>
      </c>
      <c r="GW134" t="e">
        <f>AND('STERLING CATALOG - DRY '!J2944,"AAAAAE9efsw=")</f>
        <v>#VALUE!</v>
      </c>
      <c r="GX134">
        <f>IF('STERLING CATALOG - DRY '!2945:2945,"AAAAAE9efs0=",0)</f>
        <v>0</v>
      </c>
      <c r="GY134" t="e">
        <f>AND('STERLING CATALOG - DRY '!A2945,"AAAAAE9efs4=")</f>
        <v>#VALUE!</v>
      </c>
      <c r="GZ134" t="e">
        <f>AND('STERLING CATALOG - DRY '!B2945,"AAAAAE9efs8=")</f>
        <v>#VALUE!</v>
      </c>
      <c r="HA134" t="e">
        <f>AND('STERLING CATALOG - DRY '!C2945,"AAAAAE9eftA=")</f>
        <v>#VALUE!</v>
      </c>
      <c r="HB134" t="e">
        <f>AND('STERLING CATALOG - DRY '!D2945,"AAAAAE9eftE=")</f>
        <v>#VALUE!</v>
      </c>
      <c r="HC134" t="e">
        <f>AND('STERLING CATALOG - DRY '!E2945,"AAAAAE9eftI=")</f>
        <v>#VALUE!</v>
      </c>
      <c r="HD134" t="e">
        <f>AND('STERLING CATALOG - DRY '!F2945,"AAAAAE9eftM=")</f>
        <v>#VALUE!</v>
      </c>
      <c r="HE134" t="e">
        <f>AND('STERLING CATALOG - DRY '!G2945,"AAAAAE9eftQ=")</f>
        <v>#VALUE!</v>
      </c>
      <c r="HF134" t="e">
        <f>AND('STERLING CATALOG - DRY '!H2945,"AAAAAE9eftU=")</f>
        <v>#VALUE!</v>
      </c>
      <c r="HG134" t="e">
        <f>AND('STERLING CATALOG - DRY '!I2945,"AAAAAE9eftY=")</f>
        <v>#VALUE!</v>
      </c>
      <c r="HH134" t="e">
        <f>AND('STERLING CATALOG - DRY '!J2945,"AAAAAE9eftc=")</f>
        <v>#VALUE!</v>
      </c>
      <c r="HI134">
        <f>IF('STERLING CATALOG - DRY '!2946:2946,"AAAAAE9eftg=",0)</f>
        <v>0</v>
      </c>
      <c r="HJ134" t="e">
        <f>AND('STERLING CATALOG - DRY '!A2946,"AAAAAE9eftk=")</f>
        <v>#VALUE!</v>
      </c>
      <c r="HK134" t="e">
        <f>AND('STERLING CATALOG - DRY '!B2946,"AAAAAE9efto=")</f>
        <v>#VALUE!</v>
      </c>
      <c r="HL134" t="e">
        <f>AND('STERLING CATALOG - DRY '!C2946,"AAAAAE9efts=")</f>
        <v>#VALUE!</v>
      </c>
      <c r="HM134" t="e">
        <f>AND('STERLING CATALOG - DRY '!D2946,"AAAAAE9eftw=")</f>
        <v>#VALUE!</v>
      </c>
      <c r="HN134" t="e">
        <f>AND('STERLING CATALOG - DRY '!E2946,"AAAAAE9eft0=")</f>
        <v>#VALUE!</v>
      </c>
      <c r="HO134" t="e">
        <f>AND('STERLING CATALOG - DRY '!F2946,"AAAAAE9eft4=")</f>
        <v>#VALUE!</v>
      </c>
      <c r="HP134" t="e">
        <f>AND('STERLING CATALOG - DRY '!G2946,"AAAAAE9eft8=")</f>
        <v>#VALUE!</v>
      </c>
      <c r="HQ134" t="e">
        <f>AND('STERLING CATALOG - DRY '!H2946,"AAAAAE9efuA=")</f>
        <v>#VALUE!</v>
      </c>
      <c r="HR134" t="e">
        <f>AND('STERLING CATALOG - DRY '!I2946,"AAAAAE9efuE=")</f>
        <v>#VALUE!</v>
      </c>
      <c r="HS134" t="e">
        <f>AND('STERLING CATALOG - DRY '!J2946,"AAAAAE9efuI=")</f>
        <v>#VALUE!</v>
      </c>
      <c r="HT134">
        <f>IF('STERLING CATALOG - DRY '!2947:2947,"AAAAAE9efuM=",0)</f>
        <v>0</v>
      </c>
      <c r="HU134" t="e">
        <f>AND('STERLING CATALOG - DRY '!A2947,"AAAAAE9efuQ=")</f>
        <v>#VALUE!</v>
      </c>
      <c r="HV134" t="e">
        <f>AND('STERLING CATALOG - DRY '!B2947,"AAAAAE9efuU=")</f>
        <v>#VALUE!</v>
      </c>
      <c r="HW134" t="e">
        <f>AND('STERLING CATALOG - DRY '!C2947,"AAAAAE9efuY=")</f>
        <v>#VALUE!</v>
      </c>
      <c r="HX134" t="e">
        <f>AND('STERLING CATALOG - DRY '!D2947,"AAAAAE9efuc=")</f>
        <v>#VALUE!</v>
      </c>
      <c r="HY134" t="e">
        <f>AND('STERLING CATALOG - DRY '!E2947,"AAAAAE9efug=")</f>
        <v>#VALUE!</v>
      </c>
      <c r="HZ134" t="e">
        <f>AND('STERLING CATALOG - DRY '!F2947,"AAAAAE9efuk=")</f>
        <v>#VALUE!</v>
      </c>
      <c r="IA134" t="e">
        <f>AND('STERLING CATALOG - DRY '!G2947,"AAAAAE9efuo=")</f>
        <v>#VALUE!</v>
      </c>
      <c r="IB134" t="e">
        <f>AND('STERLING CATALOG - DRY '!H2947,"AAAAAE9efus=")</f>
        <v>#VALUE!</v>
      </c>
      <c r="IC134" t="e">
        <f>AND('STERLING CATALOG - DRY '!I2947,"AAAAAE9efuw=")</f>
        <v>#VALUE!</v>
      </c>
      <c r="ID134" t="e">
        <f>AND('STERLING CATALOG - DRY '!J2947,"AAAAAE9efu0=")</f>
        <v>#VALUE!</v>
      </c>
      <c r="IE134">
        <f>IF('STERLING CATALOG - DRY '!2948:2948,"AAAAAE9efu4=",0)</f>
        <v>0</v>
      </c>
      <c r="IF134" t="e">
        <f>AND('STERLING CATALOG - DRY '!A2948,"AAAAAE9efu8=")</f>
        <v>#VALUE!</v>
      </c>
      <c r="IG134" t="e">
        <f>AND('STERLING CATALOG - DRY '!B2948,"AAAAAE9efvA=")</f>
        <v>#VALUE!</v>
      </c>
      <c r="IH134" t="e">
        <f>AND('STERLING CATALOG - DRY '!C2948,"AAAAAE9efvE=")</f>
        <v>#VALUE!</v>
      </c>
      <c r="II134" t="e">
        <f>AND('STERLING CATALOG - DRY '!D2948,"AAAAAE9efvI=")</f>
        <v>#VALUE!</v>
      </c>
      <c r="IJ134" t="e">
        <f>AND('STERLING CATALOG - DRY '!E2948,"AAAAAE9efvM=")</f>
        <v>#VALUE!</v>
      </c>
      <c r="IK134" t="e">
        <f>AND('STERLING CATALOG - DRY '!F2948,"AAAAAE9efvQ=")</f>
        <v>#VALUE!</v>
      </c>
      <c r="IL134" t="e">
        <f>AND('STERLING CATALOG - DRY '!G2948,"AAAAAE9efvU=")</f>
        <v>#VALUE!</v>
      </c>
      <c r="IM134" t="e">
        <f>AND('STERLING CATALOG - DRY '!H2948,"AAAAAE9efvY=")</f>
        <v>#VALUE!</v>
      </c>
      <c r="IN134" t="e">
        <f>AND('STERLING CATALOG - DRY '!I2948,"AAAAAE9efvc=")</f>
        <v>#VALUE!</v>
      </c>
      <c r="IO134" t="e">
        <f>AND('STERLING CATALOG - DRY '!J2948,"AAAAAE9efvg=")</f>
        <v>#VALUE!</v>
      </c>
      <c r="IP134">
        <f>IF('STERLING CATALOG - DRY '!2949:2949,"AAAAAE9efvk=",0)</f>
        <v>0</v>
      </c>
      <c r="IQ134" t="e">
        <f>AND('STERLING CATALOG - DRY '!A2949,"AAAAAE9efvo=")</f>
        <v>#VALUE!</v>
      </c>
      <c r="IR134" t="e">
        <f>AND('STERLING CATALOG - DRY '!B2949,"AAAAAE9efvs=")</f>
        <v>#VALUE!</v>
      </c>
      <c r="IS134" t="e">
        <f>AND('STERLING CATALOG - DRY '!C2949,"AAAAAE9efvw=")</f>
        <v>#VALUE!</v>
      </c>
      <c r="IT134" t="e">
        <f>AND('STERLING CATALOG - DRY '!D2949,"AAAAAE9efv0=")</f>
        <v>#VALUE!</v>
      </c>
      <c r="IU134" t="e">
        <f>AND('STERLING CATALOG - DRY '!E2949,"AAAAAE9efv4=")</f>
        <v>#VALUE!</v>
      </c>
      <c r="IV134" t="e">
        <f>AND('STERLING CATALOG - DRY '!F2949,"AAAAAE9efv8=")</f>
        <v>#VALUE!</v>
      </c>
    </row>
    <row r="135" spans="1:256">
      <c r="A135" t="e">
        <f>AND('STERLING CATALOG - DRY '!G2949,"AAAAAA599QA=")</f>
        <v>#VALUE!</v>
      </c>
      <c r="B135" t="e">
        <f>AND('STERLING CATALOG - DRY '!H2949,"AAAAAA599QE=")</f>
        <v>#VALUE!</v>
      </c>
      <c r="C135" t="e">
        <f>AND('STERLING CATALOG - DRY '!I2949,"AAAAAA599QI=")</f>
        <v>#VALUE!</v>
      </c>
      <c r="D135" t="e">
        <f>AND('STERLING CATALOG - DRY '!J2949,"AAAAAA599QM=")</f>
        <v>#VALUE!</v>
      </c>
      <c r="E135" t="e">
        <f>IF('STERLING CATALOG - DRY '!2950:2950,"AAAAAA599QQ=",0)</f>
        <v>#VALUE!</v>
      </c>
      <c r="F135" t="e">
        <f>AND('STERLING CATALOG - DRY '!A2950,"AAAAAA599QU=")</f>
        <v>#VALUE!</v>
      </c>
      <c r="G135" t="e">
        <f>AND('STERLING CATALOG - DRY '!B2950,"AAAAAA599QY=")</f>
        <v>#VALUE!</v>
      </c>
      <c r="H135" t="e">
        <f>AND('STERLING CATALOG - DRY '!C2950,"AAAAAA599Qc=")</f>
        <v>#VALUE!</v>
      </c>
      <c r="I135" t="e">
        <f>AND('STERLING CATALOG - DRY '!D2950,"AAAAAA599Qg=")</f>
        <v>#VALUE!</v>
      </c>
      <c r="J135" t="e">
        <f>AND('STERLING CATALOG - DRY '!E2950,"AAAAAA599Qk=")</f>
        <v>#VALUE!</v>
      </c>
      <c r="K135" t="e">
        <f>AND('STERLING CATALOG - DRY '!F2950,"AAAAAA599Qo=")</f>
        <v>#VALUE!</v>
      </c>
      <c r="L135" t="e">
        <f>AND('STERLING CATALOG - DRY '!G2950,"AAAAAA599Qs=")</f>
        <v>#VALUE!</v>
      </c>
      <c r="M135" t="e">
        <f>AND('STERLING CATALOG - DRY '!H2950,"AAAAAA599Qw=")</f>
        <v>#VALUE!</v>
      </c>
      <c r="N135" t="e">
        <f>AND('STERLING CATALOG - DRY '!I2950,"AAAAAA599Q0=")</f>
        <v>#VALUE!</v>
      </c>
      <c r="O135" t="e">
        <f>AND('STERLING CATALOG - DRY '!J2950,"AAAAAA599Q4=")</f>
        <v>#VALUE!</v>
      </c>
      <c r="P135">
        <f>IF('STERLING CATALOG - DRY '!2951:2951,"AAAAAA599Q8=",0)</f>
        <v>0</v>
      </c>
      <c r="Q135" t="e">
        <f>AND('STERLING CATALOG - DRY '!A2951,"AAAAAA599RA=")</f>
        <v>#VALUE!</v>
      </c>
      <c r="R135" t="e">
        <f>AND('STERLING CATALOG - DRY '!B2951,"AAAAAA599RE=")</f>
        <v>#VALUE!</v>
      </c>
      <c r="S135" t="e">
        <f>AND('STERLING CATALOG - DRY '!C2951,"AAAAAA599RI=")</f>
        <v>#VALUE!</v>
      </c>
      <c r="T135" t="e">
        <f>AND('STERLING CATALOG - DRY '!D2951,"AAAAAA599RM=")</f>
        <v>#VALUE!</v>
      </c>
      <c r="U135" t="e">
        <f>AND('STERLING CATALOG - DRY '!E2951,"AAAAAA599RQ=")</f>
        <v>#VALUE!</v>
      </c>
      <c r="V135" t="e">
        <f>AND('STERLING CATALOG - DRY '!F2951,"AAAAAA599RU=")</f>
        <v>#VALUE!</v>
      </c>
      <c r="W135" t="e">
        <f>AND('STERLING CATALOG - DRY '!G2951,"AAAAAA599RY=")</f>
        <v>#VALUE!</v>
      </c>
      <c r="X135" t="e">
        <f>AND('STERLING CATALOG - DRY '!H2951,"AAAAAA599Rc=")</f>
        <v>#VALUE!</v>
      </c>
      <c r="Y135" t="e">
        <f>AND('STERLING CATALOG - DRY '!I2951,"AAAAAA599Rg=")</f>
        <v>#VALUE!</v>
      </c>
      <c r="Z135" t="e">
        <f>AND('STERLING CATALOG - DRY '!J2951,"AAAAAA599Rk=")</f>
        <v>#VALUE!</v>
      </c>
      <c r="AA135">
        <f>IF('STERLING CATALOG - DRY '!2952:2952,"AAAAAA599Ro=",0)</f>
        <v>0</v>
      </c>
      <c r="AB135" t="e">
        <f>AND('STERLING CATALOG - DRY '!A2952,"AAAAAA599Rs=")</f>
        <v>#VALUE!</v>
      </c>
      <c r="AC135" t="e">
        <f>AND('STERLING CATALOG - DRY '!B2952,"AAAAAA599Rw=")</f>
        <v>#VALUE!</v>
      </c>
      <c r="AD135" t="e">
        <f>AND('STERLING CATALOG - DRY '!C2952,"AAAAAA599R0=")</f>
        <v>#VALUE!</v>
      </c>
      <c r="AE135" t="e">
        <f>AND('STERLING CATALOG - DRY '!D2952,"AAAAAA599R4=")</f>
        <v>#VALUE!</v>
      </c>
      <c r="AF135" t="e">
        <f>AND('STERLING CATALOG - DRY '!E2952,"AAAAAA599R8=")</f>
        <v>#VALUE!</v>
      </c>
      <c r="AG135" t="e">
        <f>AND('STERLING CATALOG - DRY '!F2952,"AAAAAA599SA=")</f>
        <v>#VALUE!</v>
      </c>
      <c r="AH135" t="e">
        <f>AND('STERLING CATALOG - DRY '!G2952,"AAAAAA599SE=")</f>
        <v>#VALUE!</v>
      </c>
      <c r="AI135" t="e">
        <f>AND('STERLING CATALOG - DRY '!H2952,"AAAAAA599SI=")</f>
        <v>#VALUE!</v>
      </c>
      <c r="AJ135" t="e">
        <f>AND('STERLING CATALOG - DRY '!I2952,"AAAAAA599SM=")</f>
        <v>#VALUE!</v>
      </c>
      <c r="AK135" t="e">
        <f>AND('STERLING CATALOG - DRY '!J2952,"AAAAAA599SQ=")</f>
        <v>#VALUE!</v>
      </c>
      <c r="AL135">
        <f>IF('STERLING CATALOG - DRY '!2953:2953,"AAAAAA599SU=",0)</f>
        <v>0</v>
      </c>
      <c r="AM135" t="e">
        <f>AND('STERLING CATALOG - DRY '!A2953,"AAAAAA599SY=")</f>
        <v>#VALUE!</v>
      </c>
      <c r="AN135" t="e">
        <f>AND('STERLING CATALOG - DRY '!B2953,"AAAAAA599Sc=")</f>
        <v>#VALUE!</v>
      </c>
      <c r="AO135" t="e">
        <f>AND('STERLING CATALOG - DRY '!C2953,"AAAAAA599Sg=")</f>
        <v>#VALUE!</v>
      </c>
      <c r="AP135" t="e">
        <f>AND('STERLING CATALOG - DRY '!D2953,"AAAAAA599Sk=")</f>
        <v>#VALUE!</v>
      </c>
      <c r="AQ135" t="e">
        <f>AND('STERLING CATALOG - DRY '!E2953,"AAAAAA599So=")</f>
        <v>#VALUE!</v>
      </c>
      <c r="AR135" t="e">
        <f>AND('STERLING CATALOG - DRY '!F2953,"AAAAAA599Ss=")</f>
        <v>#VALUE!</v>
      </c>
      <c r="AS135" t="e">
        <f>AND('STERLING CATALOG - DRY '!G2953,"AAAAAA599Sw=")</f>
        <v>#VALUE!</v>
      </c>
      <c r="AT135" t="e">
        <f>AND('STERLING CATALOG - DRY '!H2953,"AAAAAA599S0=")</f>
        <v>#VALUE!</v>
      </c>
      <c r="AU135" t="e">
        <f>AND('STERLING CATALOG - DRY '!I2953,"AAAAAA599S4=")</f>
        <v>#VALUE!</v>
      </c>
      <c r="AV135" t="e">
        <f>AND('STERLING CATALOG - DRY '!J2953,"AAAAAA599S8=")</f>
        <v>#VALUE!</v>
      </c>
      <c r="AW135">
        <f>IF('STERLING CATALOG - DRY '!2954:2954,"AAAAAA599TA=",0)</f>
        <v>0</v>
      </c>
      <c r="AX135" t="e">
        <f>AND('STERLING CATALOG - DRY '!A2954,"AAAAAA599TE=")</f>
        <v>#VALUE!</v>
      </c>
      <c r="AY135" t="e">
        <f>AND('STERLING CATALOG - DRY '!B2954,"AAAAAA599TI=")</f>
        <v>#VALUE!</v>
      </c>
      <c r="AZ135" t="e">
        <f>AND('STERLING CATALOG - DRY '!C2954,"AAAAAA599TM=")</f>
        <v>#VALUE!</v>
      </c>
      <c r="BA135" t="e">
        <f>AND('STERLING CATALOG - DRY '!D2954,"AAAAAA599TQ=")</f>
        <v>#VALUE!</v>
      </c>
      <c r="BB135" t="e">
        <f>AND('STERLING CATALOG - DRY '!E2954,"AAAAAA599TU=")</f>
        <v>#VALUE!</v>
      </c>
      <c r="BC135" t="e">
        <f>AND('STERLING CATALOG - DRY '!F2954,"AAAAAA599TY=")</f>
        <v>#VALUE!</v>
      </c>
      <c r="BD135" t="e">
        <f>AND('STERLING CATALOG - DRY '!G2954,"AAAAAA599Tc=")</f>
        <v>#VALUE!</v>
      </c>
      <c r="BE135" t="e">
        <f>AND('STERLING CATALOG - DRY '!H2954,"AAAAAA599Tg=")</f>
        <v>#VALUE!</v>
      </c>
      <c r="BF135" t="e">
        <f>AND('STERLING CATALOG - DRY '!I2954,"AAAAAA599Tk=")</f>
        <v>#VALUE!</v>
      </c>
      <c r="BG135" t="e">
        <f>AND('STERLING CATALOG - DRY '!J2954,"AAAAAA599To=")</f>
        <v>#VALUE!</v>
      </c>
      <c r="BH135">
        <f>IF('STERLING CATALOG - DRY '!2955:2955,"AAAAAA599Ts=",0)</f>
        <v>0</v>
      </c>
      <c r="BI135" t="e">
        <f>AND('STERLING CATALOG - DRY '!A2955,"AAAAAA599Tw=")</f>
        <v>#VALUE!</v>
      </c>
      <c r="BJ135" t="e">
        <f>AND('STERLING CATALOG - DRY '!B2955,"AAAAAA599T0=")</f>
        <v>#VALUE!</v>
      </c>
      <c r="BK135" t="e">
        <f>AND('STERLING CATALOG - DRY '!C2955,"AAAAAA599T4=")</f>
        <v>#VALUE!</v>
      </c>
      <c r="BL135" t="e">
        <f>AND('STERLING CATALOG - DRY '!D2955,"AAAAAA599T8=")</f>
        <v>#VALUE!</v>
      </c>
      <c r="BM135" t="e">
        <f>AND('STERLING CATALOG - DRY '!E2955,"AAAAAA599UA=")</f>
        <v>#VALUE!</v>
      </c>
      <c r="BN135" t="e">
        <f>AND('STERLING CATALOG - DRY '!F2955,"AAAAAA599UE=")</f>
        <v>#VALUE!</v>
      </c>
      <c r="BO135" t="e">
        <f>AND('STERLING CATALOG - DRY '!G2955,"AAAAAA599UI=")</f>
        <v>#VALUE!</v>
      </c>
      <c r="BP135" t="e">
        <f>AND('STERLING CATALOG - DRY '!H2955,"AAAAAA599UM=")</f>
        <v>#VALUE!</v>
      </c>
      <c r="BQ135" t="e">
        <f>AND('STERLING CATALOG - DRY '!I2955,"AAAAAA599UQ=")</f>
        <v>#VALUE!</v>
      </c>
      <c r="BR135" t="e">
        <f>AND('STERLING CATALOG - DRY '!J2955,"AAAAAA599UU=")</f>
        <v>#VALUE!</v>
      </c>
      <c r="BS135">
        <f>IF('STERLING CATALOG - DRY '!2956:2956,"AAAAAA599UY=",0)</f>
        <v>0</v>
      </c>
      <c r="BT135" t="e">
        <f>AND('STERLING CATALOG - DRY '!A2956,"AAAAAA599Uc=")</f>
        <v>#VALUE!</v>
      </c>
      <c r="BU135" t="e">
        <f>AND('STERLING CATALOG - DRY '!B2956,"AAAAAA599Ug=")</f>
        <v>#VALUE!</v>
      </c>
      <c r="BV135" t="e">
        <f>AND('STERLING CATALOG - DRY '!C2956,"AAAAAA599Uk=")</f>
        <v>#VALUE!</v>
      </c>
      <c r="BW135" t="e">
        <f>AND('STERLING CATALOG - DRY '!D2956,"AAAAAA599Uo=")</f>
        <v>#VALUE!</v>
      </c>
      <c r="BX135" t="e">
        <f>AND('STERLING CATALOG - DRY '!E2956,"AAAAAA599Us=")</f>
        <v>#VALUE!</v>
      </c>
      <c r="BY135" t="e">
        <f>AND('STERLING CATALOG - DRY '!F2956,"AAAAAA599Uw=")</f>
        <v>#VALUE!</v>
      </c>
      <c r="BZ135" t="e">
        <f>AND('STERLING CATALOG - DRY '!G2956,"AAAAAA599U0=")</f>
        <v>#VALUE!</v>
      </c>
      <c r="CA135" t="e">
        <f>AND('STERLING CATALOG - DRY '!H2956,"AAAAAA599U4=")</f>
        <v>#VALUE!</v>
      </c>
      <c r="CB135" t="e">
        <f>AND('STERLING CATALOG - DRY '!I2956,"AAAAAA599U8=")</f>
        <v>#VALUE!</v>
      </c>
      <c r="CC135" t="e">
        <f>AND('STERLING CATALOG - DRY '!J2956,"AAAAAA599VA=")</f>
        <v>#VALUE!</v>
      </c>
      <c r="CD135">
        <f>IF('STERLING CATALOG - DRY '!2957:2957,"AAAAAA599VE=",0)</f>
        <v>0</v>
      </c>
      <c r="CE135" t="e">
        <f>AND('STERLING CATALOG - DRY '!A2957,"AAAAAA599VI=")</f>
        <v>#VALUE!</v>
      </c>
      <c r="CF135" t="e">
        <f>AND('STERLING CATALOG - DRY '!B2957,"AAAAAA599VM=")</f>
        <v>#VALUE!</v>
      </c>
      <c r="CG135" t="e">
        <f>AND('STERLING CATALOG - DRY '!C2957,"AAAAAA599VQ=")</f>
        <v>#VALUE!</v>
      </c>
      <c r="CH135" t="e">
        <f>AND('STERLING CATALOG - DRY '!D2957,"AAAAAA599VU=")</f>
        <v>#VALUE!</v>
      </c>
      <c r="CI135" t="e">
        <f>AND('STERLING CATALOG - DRY '!E2957,"AAAAAA599VY=")</f>
        <v>#VALUE!</v>
      </c>
      <c r="CJ135" t="e">
        <f>AND('STERLING CATALOG - DRY '!F2957,"AAAAAA599Vc=")</f>
        <v>#VALUE!</v>
      </c>
      <c r="CK135" t="e">
        <f>AND('STERLING CATALOG - DRY '!G2957,"AAAAAA599Vg=")</f>
        <v>#VALUE!</v>
      </c>
      <c r="CL135" t="e">
        <f>AND('STERLING CATALOG - DRY '!H2957,"AAAAAA599Vk=")</f>
        <v>#VALUE!</v>
      </c>
      <c r="CM135" t="e">
        <f>AND('STERLING CATALOG - DRY '!I2957,"AAAAAA599Vo=")</f>
        <v>#VALUE!</v>
      </c>
      <c r="CN135" t="e">
        <f>AND('STERLING CATALOG - DRY '!J2957,"AAAAAA599Vs=")</f>
        <v>#VALUE!</v>
      </c>
      <c r="CO135">
        <f>IF('STERLING CATALOG - DRY '!2958:2958,"AAAAAA599Vw=",0)</f>
        <v>0</v>
      </c>
      <c r="CP135" t="e">
        <f>AND('STERLING CATALOG - DRY '!A2958,"AAAAAA599V0=")</f>
        <v>#VALUE!</v>
      </c>
      <c r="CQ135" t="e">
        <f>AND('STERLING CATALOG - DRY '!B2958,"AAAAAA599V4=")</f>
        <v>#VALUE!</v>
      </c>
      <c r="CR135" t="e">
        <f>AND('STERLING CATALOG - DRY '!C2958,"AAAAAA599V8=")</f>
        <v>#VALUE!</v>
      </c>
      <c r="CS135" t="e">
        <f>AND('STERLING CATALOG - DRY '!D2958,"AAAAAA599WA=")</f>
        <v>#VALUE!</v>
      </c>
      <c r="CT135" t="e">
        <f>AND('STERLING CATALOG - DRY '!E2958,"AAAAAA599WE=")</f>
        <v>#VALUE!</v>
      </c>
      <c r="CU135" t="e">
        <f>AND('STERLING CATALOG - DRY '!F2958,"AAAAAA599WI=")</f>
        <v>#VALUE!</v>
      </c>
      <c r="CV135" t="e">
        <f>AND('STERLING CATALOG - DRY '!G2958,"AAAAAA599WM=")</f>
        <v>#VALUE!</v>
      </c>
      <c r="CW135" t="e">
        <f>AND('STERLING CATALOG - DRY '!H2958,"AAAAAA599WQ=")</f>
        <v>#VALUE!</v>
      </c>
      <c r="CX135" t="e">
        <f>AND('STERLING CATALOG - DRY '!I2958,"AAAAAA599WU=")</f>
        <v>#VALUE!</v>
      </c>
      <c r="CY135" t="e">
        <f>AND('STERLING CATALOG - DRY '!J2958,"AAAAAA599WY=")</f>
        <v>#VALUE!</v>
      </c>
      <c r="CZ135">
        <f>IF('STERLING CATALOG - DRY '!2959:2959,"AAAAAA599Wc=",0)</f>
        <v>0</v>
      </c>
      <c r="DA135" t="e">
        <f>AND('STERLING CATALOG - DRY '!A2959,"AAAAAA599Wg=")</f>
        <v>#VALUE!</v>
      </c>
      <c r="DB135" t="e">
        <f>AND('STERLING CATALOG - DRY '!B2959,"AAAAAA599Wk=")</f>
        <v>#VALUE!</v>
      </c>
      <c r="DC135" t="e">
        <f>AND('STERLING CATALOG - DRY '!C2959,"AAAAAA599Wo=")</f>
        <v>#VALUE!</v>
      </c>
      <c r="DD135" t="e">
        <f>AND('STERLING CATALOG - DRY '!D2959,"AAAAAA599Ws=")</f>
        <v>#VALUE!</v>
      </c>
      <c r="DE135" t="e">
        <f>AND('STERLING CATALOG - DRY '!E2959,"AAAAAA599Ww=")</f>
        <v>#VALUE!</v>
      </c>
      <c r="DF135" t="e">
        <f>AND('STERLING CATALOG - DRY '!F2959,"AAAAAA599W0=")</f>
        <v>#VALUE!</v>
      </c>
      <c r="DG135" t="e">
        <f>AND('STERLING CATALOG - DRY '!G2959,"AAAAAA599W4=")</f>
        <v>#VALUE!</v>
      </c>
      <c r="DH135" t="e">
        <f>AND('STERLING CATALOG - DRY '!H2959,"AAAAAA599W8=")</f>
        <v>#VALUE!</v>
      </c>
      <c r="DI135" t="e">
        <f>AND('STERLING CATALOG - DRY '!I2959,"AAAAAA599XA=")</f>
        <v>#VALUE!</v>
      </c>
      <c r="DJ135" t="e">
        <f>AND('STERLING CATALOG - DRY '!J2959,"AAAAAA599XE=")</f>
        <v>#VALUE!</v>
      </c>
      <c r="DK135">
        <f>IF('STERLING CATALOG - DRY '!2960:2960,"AAAAAA599XI=",0)</f>
        <v>0</v>
      </c>
      <c r="DL135" t="e">
        <f>AND('STERLING CATALOG - DRY '!A2960,"AAAAAA599XM=")</f>
        <v>#VALUE!</v>
      </c>
      <c r="DM135" t="e">
        <f>AND('STERLING CATALOG - DRY '!B2960,"AAAAAA599XQ=")</f>
        <v>#VALUE!</v>
      </c>
      <c r="DN135" t="e">
        <f>AND('STERLING CATALOG - DRY '!C2960,"AAAAAA599XU=")</f>
        <v>#VALUE!</v>
      </c>
      <c r="DO135" t="e">
        <f>AND('STERLING CATALOG - DRY '!D2960,"AAAAAA599XY=")</f>
        <v>#VALUE!</v>
      </c>
      <c r="DP135" t="e">
        <f>AND('STERLING CATALOG - DRY '!E2960,"AAAAAA599Xc=")</f>
        <v>#VALUE!</v>
      </c>
      <c r="DQ135" t="e">
        <f>AND('STERLING CATALOG - DRY '!F2960,"AAAAAA599Xg=")</f>
        <v>#VALUE!</v>
      </c>
      <c r="DR135" t="e">
        <f>AND('STERLING CATALOG - DRY '!G2960,"AAAAAA599Xk=")</f>
        <v>#VALUE!</v>
      </c>
      <c r="DS135" t="e">
        <f>AND('STERLING CATALOG - DRY '!H2960,"AAAAAA599Xo=")</f>
        <v>#VALUE!</v>
      </c>
      <c r="DT135" t="e">
        <f>AND('STERLING CATALOG - DRY '!I2960,"AAAAAA599Xs=")</f>
        <v>#VALUE!</v>
      </c>
      <c r="DU135" t="e">
        <f>AND('STERLING CATALOG - DRY '!J2960,"AAAAAA599Xw=")</f>
        <v>#VALUE!</v>
      </c>
      <c r="DV135">
        <f>IF('STERLING CATALOG - DRY '!2961:2961,"AAAAAA599X0=",0)</f>
        <v>0</v>
      </c>
      <c r="DW135" t="e">
        <f>AND('STERLING CATALOG - DRY '!A2961,"AAAAAA599X4=")</f>
        <v>#VALUE!</v>
      </c>
      <c r="DX135" t="e">
        <f>AND('STERLING CATALOG - DRY '!B2961,"AAAAAA599X8=")</f>
        <v>#VALUE!</v>
      </c>
      <c r="DY135" t="e">
        <f>AND('STERLING CATALOG - DRY '!C2961,"AAAAAA599YA=")</f>
        <v>#VALUE!</v>
      </c>
      <c r="DZ135" t="e">
        <f>AND('STERLING CATALOG - DRY '!D2961,"AAAAAA599YE=")</f>
        <v>#VALUE!</v>
      </c>
      <c r="EA135" t="e">
        <f>AND('STERLING CATALOG - DRY '!E2961,"AAAAAA599YI=")</f>
        <v>#VALUE!</v>
      </c>
      <c r="EB135" t="e">
        <f>AND('STERLING CATALOG - DRY '!F2961,"AAAAAA599YM=")</f>
        <v>#VALUE!</v>
      </c>
      <c r="EC135" t="e">
        <f>AND('STERLING CATALOG - DRY '!G2961,"AAAAAA599YQ=")</f>
        <v>#VALUE!</v>
      </c>
      <c r="ED135" t="e">
        <f>AND('STERLING CATALOG - DRY '!H2961,"AAAAAA599YU=")</f>
        <v>#VALUE!</v>
      </c>
      <c r="EE135" t="e">
        <f>AND('STERLING CATALOG - DRY '!I2961,"AAAAAA599YY=")</f>
        <v>#VALUE!</v>
      </c>
      <c r="EF135" t="e">
        <f>AND('STERLING CATALOG - DRY '!J2961,"AAAAAA599Yc=")</f>
        <v>#VALUE!</v>
      </c>
      <c r="EG135">
        <f>IF('STERLING CATALOG - DRY '!2962:2962,"AAAAAA599Yg=",0)</f>
        <v>0</v>
      </c>
      <c r="EH135" t="e">
        <f>AND('STERLING CATALOG - DRY '!A2962,"AAAAAA599Yk=")</f>
        <v>#VALUE!</v>
      </c>
      <c r="EI135" t="e">
        <f>AND('STERLING CATALOG - DRY '!B2962,"AAAAAA599Yo=")</f>
        <v>#VALUE!</v>
      </c>
      <c r="EJ135" t="e">
        <f>AND('STERLING CATALOG - DRY '!C2962,"AAAAAA599Ys=")</f>
        <v>#VALUE!</v>
      </c>
      <c r="EK135" t="e">
        <f>AND('STERLING CATALOG - DRY '!D2962,"AAAAAA599Yw=")</f>
        <v>#VALUE!</v>
      </c>
      <c r="EL135" t="e">
        <f>AND('STERLING CATALOG - DRY '!E2962,"AAAAAA599Y0=")</f>
        <v>#VALUE!</v>
      </c>
      <c r="EM135" t="e">
        <f>AND('STERLING CATALOG - DRY '!F2962,"AAAAAA599Y4=")</f>
        <v>#VALUE!</v>
      </c>
      <c r="EN135" t="e">
        <f>AND('STERLING CATALOG - DRY '!G2962,"AAAAAA599Y8=")</f>
        <v>#VALUE!</v>
      </c>
      <c r="EO135" t="e">
        <f>AND('STERLING CATALOG - DRY '!H2962,"AAAAAA599ZA=")</f>
        <v>#VALUE!</v>
      </c>
      <c r="EP135" t="e">
        <f>AND('STERLING CATALOG - DRY '!I2962,"AAAAAA599ZE=")</f>
        <v>#VALUE!</v>
      </c>
      <c r="EQ135" t="e">
        <f>AND('STERLING CATALOG - DRY '!J2962,"AAAAAA599ZI=")</f>
        <v>#VALUE!</v>
      </c>
      <c r="ER135">
        <f>IF('STERLING CATALOG - DRY '!2963:2963,"AAAAAA599ZM=",0)</f>
        <v>0</v>
      </c>
      <c r="ES135" t="e">
        <f>AND('STERLING CATALOG - DRY '!A2963,"AAAAAA599ZQ=")</f>
        <v>#VALUE!</v>
      </c>
      <c r="ET135" t="e">
        <f>AND('STERLING CATALOG - DRY '!B2963,"AAAAAA599ZU=")</f>
        <v>#VALUE!</v>
      </c>
      <c r="EU135" t="e">
        <f>AND('STERLING CATALOG - DRY '!C2963,"AAAAAA599ZY=")</f>
        <v>#VALUE!</v>
      </c>
      <c r="EV135" t="e">
        <f>AND('STERLING CATALOG - DRY '!D2963,"AAAAAA599Zc=")</f>
        <v>#VALUE!</v>
      </c>
      <c r="EW135" t="e">
        <f>AND('STERLING CATALOG - DRY '!E2963,"AAAAAA599Zg=")</f>
        <v>#VALUE!</v>
      </c>
      <c r="EX135" t="e">
        <f>AND('STERLING CATALOG - DRY '!F2963,"AAAAAA599Zk=")</f>
        <v>#VALUE!</v>
      </c>
      <c r="EY135" t="e">
        <f>AND('STERLING CATALOG - DRY '!G2963,"AAAAAA599Zo=")</f>
        <v>#VALUE!</v>
      </c>
      <c r="EZ135" t="e">
        <f>AND('STERLING CATALOG - DRY '!H2963,"AAAAAA599Zs=")</f>
        <v>#VALUE!</v>
      </c>
      <c r="FA135" t="e">
        <f>AND('STERLING CATALOG - DRY '!I2963,"AAAAAA599Zw=")</f>
        <v>#VALUE!</v>
      </c>
      <c r="FB135" t="e">
        <f>AND('STERLING CATALOG - DRY '!J2963,"AAAAAA599Z0=")</f>
        <v>#VALUE!</v>
      </c>
      <c r="FC135">
        <f>IF('STERLING CATALOG - DRY '!2964:2964,"AAAAAA599Z4=",0)</f>
        <v>0</v>
      </c>
      <c r="FD135" t="e">
        <f>AND('STERLING CATALOG - DRY '!A2964,"AAAAAA599Z8=")</f>
        <v>#VALUE!</v>
      </c>
      <c r="FE135" t="e">
        <f>AND('STERLING CATALOG - DRY '!B2964,"AAAAAA599aA=")</f>
        <v>#VALUE!</v>
      </c>
      <c r="FF135" t="e">
        <f>AND('STERLING CATALOG - DRY '!C2964,"AAAAAA599aE=")</f>
        <v>#VALUE!</v>
      </c>
      <c r="FG135" t="e">
        <f>AND('STERLING CATALOG - DRY '!D2964,"AAAAAA599aI=")</f>
        <v>#VALUE!</v>
      </c>
      <c r="FH135" t="e">
        <f>AND('STERLING CATALOG - DRY '!E2964,"AAAAAA599aM=")</f>
        <v>#VALUE!</v>
      </c>
      <c r="FI135" t="e">
        <f>AND('STERLING CATALOG - DRY '!F2964,"AAAAAA599aQ=")</f>
        <v>#VALUE!</v>
      </c>
      <c r="FJ135" t="e">
        <f>AND('STERLING CATALOG - DRY '!G2964,"AAAAAA599aU=")</f>
        <v>#VALUE!</v>
      </c>
      <c r="FK135" t="e">
        <f>AND('STERLING CATALOG - DRY '!H2964,"AAAAAA599aY=")</f>
        <v>#VALUE!</v>
      </c>
      <c r="FL135" t="e">
        <f>AND('STERLING CATALOG - DRY '!I2964,"AAAAAA599ac=")</f>
        <v>#VALUE!</v>
      </c>
      <c r="FM135" t="e">
        <f>AND('STERLING CATALOG - DRY '!J2964,"AAAAAA599ag=")</f>
        <v>#VALUE!</v>
      </c>
      <c r="FN135">
        <f>IF('STERLING CATALOG - DRY '!2965:2965,"AAAAAA599ak=",0)</f>
        <v>0</v>
      </c>
      <c r="FO135" t="e">
        <f>AND('STERLING CATALOG - DRY '!A2965,"AAAAAA599ao=")</f>
        <v>#VALUE!</v>
      </c>
      <c r="FP135" t="e">
        <f>AND('STERLING CATALOG - DRY '!B2965,"AAAAAA599as=")</f>
        <v>#VALUE!</v>
      </c>
      <c r="FQ135" t="e">
        <f>AND('STERLING CATALOG - DRY '!C2965,"AAAAAA599aw=")</f>
        <v>#VALUE!</v>
      </c>
      <c r="FR135" t="e">
        <f>AND('STERLING CATALOG - DRY '!D2965,"AAAAAA599a0=")</f>
        <v>#VALUE!</v>
      </c>
      <c r="FS135" t="e">
        <f>AND('STERLING CATALOG - DRY '!E2965,"AAAAAA599a4=")</f>
        <v>#VALUE!</v>
      </c>
      <c r="FT135" t="e">
        <f>AND('STERLING CATALOG - DRY '!F2965,"AAAAAA599a8=")</f>
        <v>#VALUE!</v>
      </c>
      <c r="FU135" t="e">
        <f>AND('STERLING CATALOG - DRY '!G2965,"AAAAAA599bA=")</f>
        <v>#VALUE!</v>
      </c>
      <c r="FV135" t="e">
        <f>AND('STERLING CATALOG - DRY '!H2965,"AAAAAA599bE=")</f>
        <v>#VALUE!</v>
      </c>
      <c r="FW135" t="e">
        <f>AND('STERLING CATALOG - DRY '!I2965,"AAAAAA599bI=")</f>
        <v>#VALUE!</v>
      </c>
      <c r="FX135" t="e">
        <f>AND('STERLING CATALOG - DRY '!J2965,"AAAAAA599bM=")</f>
        <v>#VALUE!</v>
      </c>
      <c r="FY135">
        <f>IF('STERLING CATALOG - DRY '!2966:2966,"AAAAAA599bQ=",0)</f>
        <v>0</v>
      </c>
      <c r="FZ135" t="e">
        <f>AND('STERLING CATALOG - DRY '!A2966,"AAAAAA599bU=")</f>
        <v>#VALUE!</v>
      </c>
      <c r="GA135" t="e">
        <f>AND('STERLING CATALOG - DRY '!B2966,"AAAAAA599bY=")</f>
        <v>#VALUE!</v>
      </c>
      <c r="GB135" t="e">
        <f>AND('STERLING CATALOG - DRY '!C2966,"AAAAAA599bc=")</f>
        <v>#VALUE!</v>
      </c>
      <c r="GC135" t="e">
        <f>AND('STERLING CATALOG - DRY '!D2966,"AAAAAA599bg=")</f>
        <v>#VALUE!</v>
      </c>
      <c r="GD135" t="e">
        <f>AND('STERLING CATALOG - DRY '!E2966,"AAAAAA599bk=")</f>
        <v>#VALUE!</v>
      </c>
      <c r="GE135" t="e">
        <f>AND('STERLING CATALOG - DRY '!F2966,"AAAAAA599bo=")</f>
        <v>#VALUE!</v>
      </c>
      <c r="GF135" t="e">
        <f>AND('STERLING CATALOG - DRY '!G2966,"AAAAAA599bs=")</f>
        <v>#VALUE!</v>
      </c>
      <c r="GG135" t="e">
        <f>AND('STERLING CATALOG - DRY '!H2966,"AAAAAA599bw=")</f>
        <v>#VALUE!</v>
      </c>
      <c r="GH135" t="e">
        <f>AND('STERLING CATALOG - DRY '!I2966,"AAAAAA599b0=")</f>
        <v>#VALUE!</v>
      </c>
      <c r="GI135" t="e">
        <f>AND('STERLING CATALOG - DRY '!J2966,"AAAAAA599b4=")</f>
        <v>#VALUE!</v>
      </c>
      <c r="GJ135">
        <f>IF('STERLING CATALOG - DRY '!2967:2967,"AAAAAA599b8=",0)</f>
        <v>0</v>
      </c>
      <c r="GK135" t="e">
        <f>AND('STERLING CATALOG - DRY '!A2967,"AAAAAA599cA=")</f>
        <v>#VALUE!</v>
      </c>
      <c r="GL135" t="e">
        <f>AND('STERLING CATALOG - DRY '!B2967,"AAAAAA599cE=")</f>
        <v>#VALUE!</v>
      </c>
      <c r="GM135" t="e">
        <f>AND('STERLING CATALOG - DRY '!C2967,"AAAAAA599cI=")</f>
        <v>#VALUE!</v>
      </c>
      <c r="GN135" t="e">
        <f>AND('STERLING CATALOG - DRY '!D2967,"AAAAAA599cM=")</f>
        <v>#VALUE!</v>
      </c>
      <c r="GO135" t="e">
        <f>AND('STERLING CATALOG - DRY '!E2967,"AAAAAA599cQ=")</f>
        <v>#VALUE!</v>
      </c>
      <c r="GP135" t="e">
        <f>AND('STERLING CATALOG - DRY '!F2967,"AAAAAA599cU=")</f>
        <v>#VALUE!</v>
      </c>
      <c r="GQ135" t="e">
        <f>AND('STERLING CATALOG - DRY '!G2967,"AAAAAA599cY=")</f>
        <v>#VALUE!</v>
      </c>
      <c r="GR135" t="e">
        <f>AND('STERLING CATALOG - DRY '!H2967,"AAAAAA599cc=")</f>
        <v>#VALUE!</v>
      </c>
      <c r="GS135" t="e">
        <f>AND('STERLING CATALOG - DRY '!I2967,"AAAAAA599cg=")</f>
        <v>#VALUE!</v>
      </c>
      <c r="GT135" t="e">
        <f>AND('STERLING CATALOG - DRY '!J2967,"AAAAAA599ck=")</f>
        <v>#VALUE!</v>
      </c>
      <c r="GU135">
        <f>IF('STERLING CATALOG - DRY '!2968:2968,"AAAAAA599co=",0)</f>
        <v>0</v>
      </c>
      <c r="GV135" t="e">
        <f>AND('STERLING CATALOG - DRY '!A2968,"AAAAAA599cs=")</f>
        <v>#VALUE!</v>
      </c>
      <c r="GW135" t="e">
        <f>AND('STERLING CATALOG - DRY '!B2968,"AAAAAA599cw=")</f>
        <v>#VALUE!</v>
      </c>
      <c r="GX135" t="e">
        <f>AND('STERLING CATALOG - DRY '!C2968,"AAAAAA599c0=")</f>
        <v>#VALUE!</v>
      </c>
      <c r="GY135" t="e">
        <f>AND('STERLING CATALOG - DRY '!D2968,"AAAAAA599c4=")</f>
        <v>#VALUE!</v>
      </c>
      <c r="GZ135" t="e">
        <f>AND('STERLING CATALOG - DRY '!E2968,"AAAAAA599c8=")</f>
        <v>#VALUE!</v>
      </c>
      <c r="HA135" t="e">
        <f>AND('STERLING CATALOG - DRY '!F2968,"AAAAAA599dA=")</f>
        <v>#VALUE!</v>
      </c>
      <c r="HB135" t="e">
        <f>AND('STERLING CATALOG - DRY '!G2968,"AAAAAA599dE=")</f>
        <v>#VALUE!</v>
      </c>
      <c r="HC135" t="e">
        <f>AND('STERLING CATALOG - DRY '!H2968,"AAAAAA599dI=")</f>
        <v>#VALUE!</v>
      </c>
      <c r="HD135" t="e">
        <f>AND('STERLING CATALOG - DRY '!I2968,"AAAAAA599dM=")</f>
        <v>#VALUE!</v>
      </c>
      <c r="HE135" t="e">
        <f>AND('STERLING CATALOG - DRY '!J2968,"AAAAAA599dQ=")</f>
        <v>#VALUE!</v>
      </c>
      <c r="HF135">
        <f>IF('STERLING CATALOG - DRY '!2969:2969,"AAAAAA599dU=",0)</f>
        <v>0</v>
      </c>
      <c r="HG135" t="e">
        <f>AND('STERLING CATALOG - DRY '!A2969,"AAAAAA599dY=")</f>
        <v>#VALUE!</v>
      </c>
      <c r="HH135" t="e">
        <f>AND('STERLING CATALOG - DRY '!B2969,"AAAAAA599dc=")</f>
        <v>#VALUE!</v>
      </c>
      <c r="HI135" t="e">
        <f>AND('STERLING CATALOG - DRY '!C2969,"AAAAAA599dg=")</f>
        <v>#VALUE!</v>
      </c>
      <c r="HJ135" t="e">
        <f>AND('STERLING CATALOG - DRY '!D2969,"AAAAAA599dk=")</f>
        <v>#VALUE!</v>
      </c>
      <c r="HK135" t="e">
        <f>AND('STERLING CATALOG - DRY '!E2969,"AAAAAA599do=")</f>
        <v>#VALUE!</v>
      </c>
      <c r="HL135" t="e">
        <f>AND('STERLING CATALOG - DRY '!F2969,"AAAAAA599ds=")</f>
        <v>#VALUE!</v>
      </c>
      <c r="HM135" t="e">
        <f>AND('STERLING CATALOG - DRY '!G2969,"AAAAAA599dw=")</f>
        <v>#VALUE!</v>
      </c>
      <c r="HN135" t="e">
        <f>AND('STERLING CATALOG - DRY '!H2969,"AAAAAA599d0=")</f>
        <v>#VALUE!</v>
      </c>
      <c r="HO135" t="e">
        <f>AND('STERLING CATALOG - DRY '!I2969,"AAAAAA599d4=")</f>
        <v>#VALUE!</v>
      </c>
      <c r="HP135" t="e">
        <f>AND('STERLING CATALOG - DRY '!J2969,"AAAAAA599d8=")</f>
        <v>#VALUE!</v>
      </c>
      <c r="HQ135">
        <f>IF('STERLING CATALOG - DRY '!2970:2970,"AAAAAA599eA=",0)</f>
        <v>0</v>
      </c>
      <c r="HR135" t="e">
        <f>AND('STERLING CATALOG - DRY '!A2970,"AAAAAA599eE=")</f>
        <v>#VALUE!</v>
      </c>
      <c r="HS135" t="e">
        <f>AND('STERLING CATALOG - DRY '!B2970,"AAAAAA599eI=")</f>
        <v>#VALUE!</v>
      </c>
      <c r="HT135" t="e">
        <f>AND('STERLING CATALOG - DRY '!C2970,"AAAAAA599eM=")</f>
        <v>#VALUE!</v>
      </c>
      <c r="HU135" t="e">
        <f>AND('STERLING CATALOG - DRY '!D2970,"AAAAAA599eQ=")</f>
        <v>#VALUE!</v>
      </c>
      <c r="HV135" t="e">
        <f>AND('STERLING CATALOG - DRY '!E2970,"AAAAAA599eU=")</f>
        <v>#VALUE!</v>
      </c>
      <c r="HW135" t="e">
        <f>AND('STERLING CATALOG - DRY '!F2970,"AAAAAA599eY=")</f>
        <v>#VALUE!</v>
      </c>
      <c r="HX135" t="e">
        <f>AND('STERLING CATALOG - DRY '!G2970,"AAAAAA599ec=")</f>
        <v>#VALUE!</v>
      </c>
      <c r="HY135" t="e">
        <f>AND('STERLING CATALOG - DRY '!H2970,"AAAAAA599eg=")</f>
        <v>#VALUE!</v>
      </c>
      <c r="HZ135" t="e">
        <f>AND('STERLING CATALOG - DRY '!I2970,"AAAAAA599ek=")</f>
        <v>#VALUE!</v>
      </c>
      <c r="IA135" t="e">
        <f>AND('STERLING CATALOG - DRY '!J2970,"AAAAAA599eo=")</f>
        <v>#VALUE!</v>
      </c>
      <c r="IB135">
        <f>IF('STERLING CATALOG - DRY '!2971:2971,"AAAAAA599es=",0)</f>
        <v>0</v>
      </c>
      <c r="IC135" t="e">
        <f>AND('STERLING CATALOG - DRY '!A2971,"AAAAAA599ew=")</f>
        <v>#VALUE!</v>
      </c>
      <c r="ID135" t="e">
        <f>AND('STERLING CATALOG - DRY '!B2971,"AAAAAA599e0=")</f>
        <v>#VALUE!</v>
      </c>
      <c r="IE135" t="e">
        <f>AND('STERLING CATALOG - DRY '!C2971,"AAAAAA599e4=")</f>
        <v>#VALUE!</v>
      </c>
      <c r="IF135" t="e">
        <f>AND('STERLING CATALOG - DRY '!D2971,"AAAAAA599e8=")</f>
        <v>#VALUE!</v>
      </c>
      <c r="IG135" t="e">
        <f>AND('STERLING CATALOG - DRY '!E2971,"AAAAAA599fA=")</f>
        <v>#VALUE!</v>
      </c>
      <c r="IH135" t="e">
        <f>AND('STERLING CATALOG - DRY '!F2971,"AAAAAA599fE=")</f>
        <v>#VALUE!</v>
      </c>
      <c r="II135" t="e">
        <f>AND('STERLING CATALOG - DRY '!G2971,"AAAAAA599fI=")</f>
        <v>#VALUE!</v>
      </c>
      <c r="IJ135" t="e">
        <f>AND('STERLING CATALOG - DRY '!H2971,"AAAAAA599fM=")</f>
        <v>#VALUE!</v>
      </c>
      <c r="IK135" t="e">
        <f>AND('STERLING CATALOG - DRY '!I2971,"AAAAAA599fQ=")</f>
        <v>#VALUE!</v>
      </c>
      <c r="IL135" t="e">
        <f>AND('STERLING CATALOG - DRY '!J2971,"AAAAAA599fU=")</f>
        <v>#VALUE!</v>
      </c>
      <c r="IM135">
        <f>IF('STERLING CATALOG - DRY '!2972:2972,"AAAAAA599fY=",0)</f>
        <v>0</v>
      </c>
      <c r="IN135" t="e">
        <f>AND('STERLING CATALOG - DRY '!A2972,"AAAAAA599fc=")</f>
        <v>#VALUE!</v>
      </c>
      <c r="IO135" t="e">
        <f>AND('STERLING CATALOG - DRY '!B2972,"AAAAAA599fg=")</f>
        <v>#VALUE!</v>
      </c>
      <c r="IP135" t="e">
        <f>AND('STERLING CATALOG - DRY '!C2972,"AAAAAA599fk=")</f>
        <v>#VALUE!</v>
      </c>
      <c r="IQ135" t="e">
        <f>AND('STERLING CATALOG - DRY '!D2972,"AAAAAA599fo=")</f>
        <v>#VALUE!</v>
      </c>
      <c r="IR135" t="e">
        <f>AND('STERLING CATALOG - DRY '!E2972,"AAAAAA599fs=")</f>
        <v>#VALUE!</v>
      </c>
      <c r="IS135" t="e">
        <f>AND('STERLING CATALOG - DRY '!F2972,"AAAAAA599fw=")</f>
        <v>#VALUE!</v>
      </c>
      <c r="IT135" t="e">
        <f>AND('STERLING CATALOG - DRY '!G2972,"AAAAAA599f0=")</f>
        <v>#VALUE!</v>
      </c>
      <c r="IU135" t="e">
        <f>AND('STERLING CATALOG - DRY '!H2972,"AAAAAA599f4=")</f>
        <v>#VALUE!</v>
      </c>
      <c r="IV135" t="e">
        <f>AND('STERLING CATALOG - DRY '!I2972,"AAAAAA599f8=")</f>
        <v>#VALUE!</v>
      </c>
    </row>
    <row r="136" spans="1:256">
      <c r="A136" t="e">
        <f>AND('STERLING CATALOG - DRY '!J2972,"AAAAAH1fzwA=")</f>
        <v>#VALUE!</v>
      </c>
      <c r="B136" t="str">
        <f>IF('STERLING CATALOG - DRY '!2973:2973,"AAAAAH1fzwE=",0)</f>
        <v>AAAAAH1fzwE=</v>
      </c>
      <c r="C136" t="e">
        <f>AND('STERLING CATALOG - DRY '!A2973,"AAAAAH1fzwI=")</f>
        <v>#VALUE!</v>
      </c>
      <c r="D136" t="e">
        <f>AND('STERLING CATALOG - DRY '!B2973,"AAAAAH1fzwM=")</f>
        <v>#VALUE!</v>
      </c>
      <c r="E136" t="e">
        <f>AND('STERLING CATALOG - DRY '!C2973,"AAAAAH1fzwQ=")</f>
        <v>#VALUE!</v>
      </c>
      <c r="F136" t="e">
        <f>AND('STERLING CATALOG - DRY '!D2973,"AAAAAH1fzwU=")</f>
        <v>#VALUE!</v>
      </c>
      <c r="G136" t="e">
        <f>AND('STERLING CATALOG - DRY '!E2973,"AAAAAH1fzwY=")</f>
        <v>#VALUE!</v>
      </c>
      <c r="H136" t="e">
        <f>AND('STERLING CATALOG - DRY '!F2973,"AAAAAH1fzwc=")</f>
        <v>#VALUE!</v>
      </c>
      <c r="I136" t="e">
        <f>AND('STERLING CATALOG - DRY '!G2973,"AAAAAH1fzwg=")</f>
        <v>#VALUE!</v>
      </c>
      <c r="J136" t="e">
        <f>AND('STERLING CATALOG - DRY '!H2973,"AAAAAH1fzwk=")</f>
        <v>#VALUE!</v>
      </c>
      <c r="K136" t="e">
        <f>AND('STERLING CATALOG - DRY '!I2973,"AAAAAH1fzwo=")</f>
        <v>#VALUE!</v>
      </c>
      <c r="L136" t="e">
        <f>AND('STERLING CATALOG - DRY '!J2973,"AAAAAH1fzws=")</f>
        <v>#VALUE!</v>
      </c>
      <c r="M136">
        <f>IF('STERLING CATALOG - DRY '!2974:2974,"AAAAAH1fzww=",0)</f>
        <v>0</v>
      </c>
      <c r="N136" t="e">
        <f>AND('STERLING CATALOG - DRY '!A2974,"AAAAAH1fzw0=")</f>
        <v>#VALUE!</v>
      </c>
      <c r="O136" t="e">
        <f>AND('STERLING CATALOG - DRY '!B2974,"AAAAAH1fzw4=")</f>
        <v>#VALUE!</v>
      </c>
      <c r="P136" t="e">
        <f>AND('STERLING CATALOG - DRY '!C2974,"AAAAAH1fzw8=")</f>
        <v>#VALUE!</v>
      </c>
      <c r="Q136" t="e">
        <f>AND('STERLING CATALOG - DRY '!D2974,"AAAAAH1fzxA=")</f>
        <v>#VALUE!</v>
      </c>
      <c r="R136" t="e">
        <f>AND('STERLING CATALOG - DRY '!E2974,"AAAAAH1fzxE=")</f>
        <v>#VALUE!</v>
      </c>
      <c r="S136" t="e">
        <f>AND('STERLING CATALOG - DRY '!F2974,"AAAAAH1fzxI=")</f>
        <v>#VALUE!</v>
      </c>
      <c r="T136" t="e">
        <f>AND('STERLING CATALOG - DRY '!G2974,"AAAAAH1fzxM=")</f>
        <v>#VALUE!</v>
      </c>
      <c r="U136" t="e">
        <f>AND('STERLING CATALOG - DRY '!H2974,"AAAAAH1fzxQ=")</f>
        <v>#VALUE!</v>
      </c>
      <c r="V136" t="e">
        <f>AND('STERLING CATALOG - DRY '!I2974,"AAAAAH1fzxU=")</f>
        <v>#VALUE!</v>
      </c>
      <c r="W136" t="e">
        <f>AND('STERLING CATALOG - DRY '!J2974,"AAAAAH1fzxY=")</f>
        <v>#VALUE!</v>
      </c>
      <c r="X136">
        <f>IF('STERLING CATALOG - DRY '!2975:2975,"AAAAAH1fzxc=",0)</f>
        <v>0</v>
      </c>
      <c r="Y136" t="e">
        <f>AND('STERLING CATALOG - DRY '!A2975,"AAAAAH1fzxg=")</f>
        <v>#VALUE!</v>
      </c>
      <c r="Z136" t="e">
        <f>AND('STERLING CATALOG - DRY '!B2975,"AAAAAH1fzxk=")</f>
        <v>#VALUE!</v>
      </c>
      <c r="AA136" t="e">
        <f>AND('STERLING CATALOG - DRY '!C2975,"AAAAAH1fzxo=")</f>
        <v>#VALUE!</v>
      </c>
      <c r="AB136" t="e">
        <f>AND('STERLING CATALOG - DRY '!D2975,"AAAAAH1fzxs=")</f>
        <v>#VALUE!</v>
      </c>
      <c r="AC136" t="e">
        <f>AND('STERLING CATALOG - DRY '!E2975,"AAAAAH1fzxw=")</f>
        <v>#VALUE!</v>
      </c>
      <c r="AD136" t="e">
        <f>AND('STERLING CATALOG - DRY '!F2975,"AAAAAH1fzx0=")</f>
        <v>#VALUE!</v>
      </c>
      <c r="AE136" t="e">
        <f>AND('STERLING CATALOG - DRY '!G2975,"AAAAAH1fzx4=")</f>
        <v>#VALUE!</v>
      </c>
      <c r="AF136" t="e">
        <f>AND('STERLING CATALOG - DRY '!H2975,"AAAAAH1fzx8=")</f>
        <v>#VALUE!</v>
      </c>
      <c r="AG136" t="e">
        <f>AND('STERLING CATALOG - DRY '!I2975,"AAAAAH1fzyA=")</f>
        <v>#VALUE!</v>
      </c>
      <c r="AH136" t="e">
        <f>AND('STERLING CATALOG - DRY '!J2975,"AAAAAH1fzyE=")</f>
        <v>#VALUE!</v>
      </c>
      <c r="AI136">
        <f>IF('STERLING CATALOG - DRY '!2976:2976,"AAAAAH1fzyI=",0)</f>
        <v>0</v>
      </c>
      <c r="AJ136" t="e">
        <f>AND('STERLING CATALOG - DRY '!A2976,"AAAAAH1fzyM=")</f>
        <v>#VALUE!</v>
      </c>
      <c r="AK136" t="e">
        <f>AND('STERLING CATALOG - DRY '!B2976,"AAAAAH1fzyQ=")</f>
        <v>#VALUE!</v>
      </c>
      <c r="AL136" t="e">
        <f>AND('STERLING CATALOG - DRY '!C2976,"AAAAAH1fzyU=")</f>
        <v>#VALUE!</v>
      </c>
      <c r="AM136" t="e">
        <f>AND('STERLING CATALOG - DRY '!D2976,"AAAAAH1fzyY=")</f>
        <v>#VALUE!</v>
      </c>
      <c r="AN136" t="e">
        <f>AND('STERLING CATALOG - DRY '!E2976,"AAAAAH1fzyc=")</f>
        <v>#VALUE!</v>
      </c>
      <c r="AO136" t="e">
        <f>AND('STERLING CATALOG - DRY '!F2976,"AAAAAH1fzyg=")</f>
        <v>#VALUE!</v>
      </c>
      <c r="AP136" t="e">
        <f>AND('STERLING CATALOG - DRY '!G2976,"AAAAAH1fzyk=")</f>
        <v>#VALUE!</v>
      </c>
      <c r="AQ136" t="e">
        <f>AND('STERLING CATALOG - DRY '!H2976,"AAAAAH1fzyo=")</f>
        <v>#VALUE!</v>
      </c>
      <c r="AR136" t="e">
        <f>AND('STERLING CATALOG - DRY '!I2976,"AAAAAH1fzys=")</f>
        <v>#VALUE!</v>
      </c>
      <c r="AS136" t="e">
        <f>AND('STERLING CATALOG - DRY '!J2976,"AAAAAH1fzyw=")</f>
        <v>#VALUE!</v>
      </c>
      <c r="AT136">
        <f>IF('STERLING CATALOG - DRY '!2977:2977,"AAAAAH1fzy0=",0)</f>
        <v>0</v>
      </c>
      <c r="AU136" t="e">
        <f>AND('STERLING CATALOG - DRY '!A2977,"AAAAAH1fzy4=")</f>
        <v>#VALUE!</v>
      </c>
      <c r="AV136" t="e">
        <f>AND('STERLING CATALOG - DRY '!B2977,"AAAAAH1fzy8=")</f>
        <v>#VALUE!</v>
      </c>
      <c r="AW136" t="e">
        <f>AND('STERLING CATALOG - DRY '!C2977,"AAAAAH1fzzA=")</f>
        <v>#VALUE!</v>
      </c>
      <c r="AX136" t="e">
        <f>AND('STERLING CATALOG - DRY '!D2977,"AAAAAH1fzzE=")</f>
        <v>#VALUE!</v>
      </c>
      <c r="AY136" t="e">
        <f>AND('STERLING CATALOG - DRY '!E2977,"AAAAAH1fzzI=")</f>
        <v>#VALUE!</v>
      </c>
      <c r="AZ136" t="e">
        <f>AND('STERLING CATALOG - DRY '!F2977,"AAAAAH1fzzM=")</f>
        <v>#VALUE!</v>
      </c>
      <c r="BA136" t="e">
        <f>AND('STERLING CATALOG - DRY '!G2977,"AAAAAH1fzzQ=")</f>
        <v>#VALUE!</v>
      </c>
      <c r="BB136" t="e">
        <f>AND('STERLING CATALOG - DRY '!H2977,"AAAAAH1fzzU=")</f>
        <v>#VALUE!</v>
      </c>
      <c r="BC136" t="e">
        <f>AND('STERLING CATALOG - DRY '!I2977,"AAAAAH1fzzY=")</f>
        <v>#VALUE!</v>
      </c>
      <c r="BD136" t="e">
        <f>AND('STERLING CATALOG - DRY '!J2977,"AAAAAH1fzzc=")</f>
        <v>#VALUE!</v>
      </c>
      <c r="BE136">
        <f>IF('STERLING CATALOG - DRY '!2978:2978,"AAAAAH1fzzg=",0)</f>
        <v>0</v>
      </c>
      <c r="BF136" t="e">
        <f>AND('STERLING CATALOG - DRY '!A2978,"AAAAAH1fzzk=")</f>
        <v>#VALUE!</v>
      </c>
      <c r="BG136" t="e">
        <f>AND('STERLING CATALOG - DRY '!B2978,"AAAAAH1fzzo=")</f>
        <v>#VALUE!</v>
      </c>
      <c r="BH136" t="e">
        <f>AND('STERLING CATALOG - DRY '!C2978,"AAAAAH1fzzs=")</f>
        <v>#VALUE!</v>
      </c>
      <c r="BI136" t="e">
        <f>AND('STERLING CATALOG - DRY '!D2978,"AAAAAH1fzzw=")</f>
        <v>#VALUE!</v>
      </c>
      <c r="BJ136" t="e">
        <f>AND('STERLING CATALOG - DRY '!E2978,"AAAAAH1fzz0=")</f>
        <v>#VALUE!</v>
      </c>
      <c r="BK136" t="e">
        <f>AND('STERLING CATALOG - DRY '!F2978,"AAAAAH1fzz4=")</f>
        <v>#VALUE!</v>
      </c>
      <c r="BL136" t="e">
        <f>AND('STERLING CATALOG - DRY '!G2978,"AAAAAH1fzz8=")</f>
        <v>#VALUE!</v>
      </c>
      <c r="BM136" t="e">
        <f>AND('STERLING CATALOG - DRY '!H2978,"AAAAAH1fz0A=")</f>
        <v>#VALUE!</v>
      </c>
      <c r="BN136" t="e">
        <f>AND('STERLING CATALOG - DRY '!I2978,"AAAAAH1fz0E=")</f>
        <v>#VALUE!</v>
      </c>
      <c r="BO136" t="e">
        <f>AND('STERLING CATALOG - DRY '!J2978,"AAAAAH1fz0I=")</f>
        <v>#VALUE!</v>
      </c>
      <c r="BP136">
        <f>IF('STERLING CATALOG - DRY '!2979:2979,"AAAAAH1fz0M=",0)</f>
        <v>0</v>
      </c>
      <c r="BQ136" t="e">
        <f>AND('STERLING CATALOG - DRY '!A2979,"AAAAAH1fz0Q=")</f>
        <v>#VALUE!</v>
      </c>
      <c r="BR136" t="e">
        <f>AND('STERLING CATALOG - DRY '!B2979,"AAAAAH1fz0U=")</f>
        <v>#VALUE!</v>
      </c>
      <c r="BS136" t="e">
        <f>AND('STERLING CATALOG - DRY '!C2979,"AAAAAH1fz0Y=")</f>
        <v>#VALUE!</v>
      </c>
      <c r="BT136" t="e">
        <f>AND('STERLING CATALOG - DRY '!D2979,"AAAAAH1fz0c=")</f>
        <v>#VALUE!</v>
      </c>
      <c r="BU136" t="e">
        <f>AND('STERLING CATALOG - DRY '!E2979,"AAAAAH1fz0g=")</f>
        <v>#VALUE!</v>
      </c>
      <c r="BV136" t="e">
        <f>AND('STERLING CATALOG - DRY '!F2979,"AAAAAH1fz0k=")</f>
        <v>#VALUE!</v>
      </c>
      <c r="BW136" t="e">
        <f>AND('STERLING CATALOG - DRY '!G2979,"AAAAAH1fz0o=")</f>
        <v>#VALUE!</v>
      </c>
      <c r="BX136" t="e">
        <f>AND('STERLING CATALOG - DRY '!H2979,"AAAAAH1fz0s=")</f>
        <v>#VALUE!</v>
      </c>
      <c r="BY136" t="e">
        <f>AND('STERLING CATALOG - DRY '!I2979,"AAAAAH1fz0w=")</f>
        <v>#VALUE!</v>
      </c>
      <c r="BZ136" t="e">
        <f>AND('STERLING CATALOG - DRY '!J2979,"AAAAAH1fz00=")</f>
        <v>#VALUE!</v>
      </c>
      <c r="CA136">
        <f>IF('STERLING CATALOG - DRY '!2980:2980,"AAAAAH1fz04=",0)</f>
        <v>0</v>
      </c>
      <c r="CB136" t="e">
        <f>AND('STERLING CATALOG - DRY '!A2980,"AAAAAH1fz08=")</f>
        <v>#VALUE!</v>
      </c>
      <c r="CC136" t="e">
        <f>AND('STERLING CATALOG - DRY '!B2980,"AAAAAH1fz1A=")</f>
        <v>#VALUE!</v>
      </c>
      <c r="CD136" t="e">
        <f>AND('STERLING CATALOG - DRY '!C2980,"AAAAAH1fz1E=")</f>
        <v>#VALUE!</v>
      </c>
      <c r="CE136" t="e">
        <f>AND('STERLING CATALOG - DRY '!D2980,"AAAAAH1fz1I=")</f>
        <v>#VALUE!</v>
      </c>
      <c r="CF136" t="e">
        <f>AND('STERLING CATALOG - DRY '!E2980,"AAAAAH1fz1M=")</f>
        <v>#VALUE!</v>
      </c>
      <c r="CG136" t="e">
        <f>AND('STERLING CATALOG - DRY '!F2980,"AAAAAH1fz1Q=")</f>
        <v>#VALUE!</v>
      </c>
      <c r="CH136" t="e">
        <f>AND('STERLING CATALOG - DRY '!G2980,"AAAAAH1fz1U=")</f>
        <v>#VALUE!</v>
      </c>
      <c r="CI136" t="e">
        <f>AND('STERLING CATALOG - DRY '!H2980,"AAAAAH1fz1Y=")</f>
        <v>#VALUE!</v>
      </c>
      <c r="CJ136" t="e">
        <f>AND('STERLING CATALOG - DRY '!I2980,"AAAAAH1fz1c=")</f>
        <v>#VALUE!</v>
      </c>
      <c r="CK136" t="e">
        <f>AND('STERLING CATALOG - DRY '!J2980,"AAAAAH1fz1g=")</f>
        <v>#VALUE!</v>
      </c>
      <c r="CL136">
        <f>IF('STERLING CATALOG - DRY '!2981:2981,"AAAAAH1fz1k=",0)</f>
        <v>0</v>
      </c>
      <c r="CM136" t="e">
        <f>AND('STERLING CATALOG - DRY '!A2981,"AAAAAH1fz1o=")</f>
        <v>#VALUE!</v>
      </c>
      <c r="CN136" t="e">
        <f>AND('STERLING CATALOG - DRY '!B2981,"AAAAAH1fz1s=")</f>
        <v>#VALUE!</v>
      </c>
      <c r="CO136" t="e">
        <f>AND('STERLING CATALOG - DRY '!C2981,"AAAAAH1fz1w=")</f>
        <v>#VALUE!</v>
      </c>
      <c r="CP136" t="e">
        <f>AND('STERLING CATALOG - DRY '!D2981,"AAAAAH1fz10=")</f>
        <v>#VALUE!</v>
      </c>
      <c r="CQ136" t="e">
        <f>AND('STERLING CATALOG - DRY '!E2981,"AAAAAH1fz14=")</f>
        <v>#VALUE!</v>
      </c>
      <c r="CR136" t="e">
        <f>AND('STERLING CATALOG - DRY '!F2981,"AAAAAH1fz18=")</f>
        <v>#VALUE!</v>
      </c>
      <c r="CS136" t="e">
        <f>AND('STERLING CATALOG - DRY '!G2981,"AAAAAH1fz2A=")</f>
        <v>#VALUE!</v>
      </c>
      <c r="CT136" t="e">
        <f>AND('STERLING CATALOG - DRY '!H2981,"AAAAAH1fz2E=")</f>
        <v>#VALUE!</v>
      </c>
      <c r="CU136" t="e">
        <f>AND('STERLING CATALOG - DRY '!I2981,"AAAAAH1fz2I=")</f>
        <v>#VALUE!</v>
      </c>
      <c r="CV136" t="e">
        <f>AND('STERLING CATALOG - DRY '!J2981,"AAAAAH1fz2M=")</f>
        <v>#VALUE!</v>
      </c>
      <c r="CW136">
        <f>IF('STERLING CATALOG - DRY '!2982:2982,"AAAAAH1fz2Q=",0)</f>
        <v>0</v>
      </c>
      <c r="CX136" t="e">
        <f>AND('STERLING CATALOG - DRY '!A2982,"AAAAAH1fz2U=")</f>
        <v>#VALUE!</v>
      </c>
      <c r="CY136" t="e">
        <f>AND('STERLING CATALOG - DRY '!B2982,"AAAAAH1fz2Y=")</f>
        <v>#VALUE!</v>
      </c>
      <c r="CZ136" t="e">
        <f>AND('STERLING CATALOG - DRY '!C2982,"AAAAAH1fz2c=")</f>
        <v>#VALUE!</v>
      </c>
      <c r="DA136" t="e">
        <f>AND('STERLING CATALOG - DRY '!D2982,"AAAAAH1fz2g=")</f>
        <v>#VALUE!</v>
      </c>
      <c r="DB136" t="e">
        <f>AND('STERLING CATALOG - DRY '!E2982,"AAAAAH1fz2k=")</f>
        <v>#VALUE!</v>
      </c>
      <c r="DC136" t="e">
        <f>AND('STERLING CATALOG - DRY '!F2982,"AAAAAH1fz2o=")</f>
        <v>#VALUE!</v>
      </c>
      <c r="DD136" t="e">
        <f>AND('STERLING CATALOG - DRY '!G2982,"AAAAAH1fz2s=")</f>
        <v>#VALUE!</v>
      </c>
      <c r="DE136" t="e">
        <f>AND('STERLING CATALOG - DRY '!H2982,"AAAAAH1fz2w=")</f>
        <v>#VALUE!</v>
      </c>
      <c r="DF136" t="e">
        <f>AND('STERLING CATALOG - DRY '!I2982,"AAAAAH1fz20=")</f>
        <v>#VALUE!</v>
      </c>
      <c r="DG136" t="e">
        <f>AND('STERLING CATALOG - DRY '!J2982,"AAAAAH1fz24=")</f>
        <v>#VALUE!</v>
      </c>
      <c r="DH136">
        <f>IF('STERLING CATALOG - DRY '!2983:2983,"AAAAAH1fz28=",0)</f>
        <v>0</v>
      </c>
      <c r="DI136" t="e">
        <f>AND('STERLING CATALOG - DRY '!A2983,"AAAAAH1fz3A=")</f>
        <v>#VALUE!</v>
      </c>
      <c r="DJ136" t="e">
        <f>AND('STERLING CATALOG - DRY '!B2983,"AAAAAH1fz3E=")</f>
        <v>#VALUE!</v>
      </c>
      <c r="DK136" t="e">
        <f>AND('STERLING CATALOG - DRY '!C2983,"AAAAAH1fz3I=")</f>
        <v>#VALUE!</v>
      </c>
      <c r="DL136" t="e">
        <f>AND('STERLING CATALOG - DRY '!D2983,"AAAAAH1fz3M=")</f>
        <v>#VALUE!</v>
      </c>
      <c r="DM136" t="e">
        <f>AND('STERLING CATALOG - DRY '!E2983,"AAAAAH1fz3Q=")</f>
        <v>#VALUE!</v>
      </c>
      <c r="DN136" t="e">
        <f>AND('STERLING CATALOG - DRY '!F2983,"AAAAAH1fz3U=")</f>
        <v>#VALUE!</v>
      </c>
      <c r="DO136" t="e">
        <f>AND('STERLING CATALOG - DRY '!G2983,"AAAAAH1fz3Y=")</f>
        <v>#VALUE!</v>
      </c>
      <c r="DP136" t="e">
        <f>AND('STERLING CATALOG - DRY '!H2983,"AAAAAH1fz3c=")</f>
        <v>#VALUE!</v>
      </c>
      <c r="DQ136" t="e">
        <f>AND('STERLING CATALOG - DRY '!I2983,"AAAAAH1fz3g=")</f>
        <v>#VALUE!</v>
      </c>
      <c r="DR136" t="e">
        <f>AND('STERLING CATALOG - DRY '!J2983,"AAAAAH1fz3k=")</f>
        <v>#VALUE!</v>
      </c>
      <c r="DS136">
        <f>IF('STERLING CATALOG - DRY '!2984:2984,"AAAAAH1fz3o=",0)</f>
        <v>0</v>
      </c>
      <c r="DT136" t="e">
        <f>AND('STERLING CATALOG - DRY '!A2984,"AAAAAH1fz3s=")</f>
        <v>#VALUE!</v>
      </c>
      <c r="DU136" t="e">
        <f>AND('STERLING CATALOG - DRY '!B2984,"AAAAAH1fz3w=")</f>
        <v>#VALUE!</v>
      </c>
      <c r="DV136" t="e">
        <f>AND('STERLING CATALOG - DRY '!C2984,"AAAAAH1fz30=")</f>
        <v>#VALUE!</v>
      </c>
      <c r="DW136" t="e">
        <f>AND('STERLING CATALOG - DRY '!D2984,"AAAAAH1fz34=")</f>
        <v>#VALUE!</v>
      </c>
      <c r="DX136" t="e">
        <f>AND('STERLING CATALOG - DRY '!E2984,"AAAAAH1fz38=")</f>
        <v>#VALUE!</v>
      </c>
      <c r="DY136" t="e">
        <f>AND('STERLING CATALOG - DRY '!F2984,"AAAAAH1fz4A=")</f>
        <v>#VALUE!</v>
      </c>
      <c r="DZ136" t="e">
        <f>AND('STERLING CATALOG - DRY '!G2984,"AAAAAH1fz4E=")</f>
        <v>#VALUE!</v>
      </c>
      <c r="EA136" t="e">
        <f>AND('STERLING CATALOG - DRY '!H2984,"AAAAAH1fz4I=")</f>
        <v>#VALUE!</v>
      </c>
      <c r="EB136" t="e">
        <f>AND('STERLING CATALOG - DRY '!I2984,"AAAAAH1fz4M=")</f>
        <v>#VALUE!</v>
      </c>
      <c r="EC136" t="e">
        <f>AND('STERLING CATALOG - DRY '!J2984,"AAAAAH1fz4Q=")</f>
        <v>#VALUE!</v>
      </c>
      <c r="ED136">
        <f>IF('STERLING CATALOG - DRY '!2985:2985,"AAAAAH1fz4U=",0)</f>
        <v>0</v>
      </c>
      <c r="EE136" t="e">
        <f>AND('STERLING CATALOG - DRY '!A2985,"AAAAAH1fz4Y=")</f>
        <v>#VALUE!</v>
      </c>
      <c r="EF136" t="e">
        <f>AND('STERLING CATALOG - DRY '!B2985,"AAAAAH1fz4c=")</f>
        <v>#VALUE!</v>
      </c>
      <c r="EG136" t="e">
        <f>AND('STERLING CATALOG - DRY '!C2985,"AAAAAH1fz4g=")</f>
        <v>#VALUE!</v>
      </c>
      <c r="EH136" t="e">
        <f>AND('STERLING CATALOG - DRY '!D2985,"AAAAAH1fz4k=")</f>
        <v>#VALUE!</v>
      </c>
      <c r="EI136" t="e">
        <f>AND('STERLING CATALOG - DRY '!E2985,"AAAAAH1fz4o=")</f>
        <v>#VALUE!</v>
      </c>
      <c r="EJ136" t="e">
        <f>AND('STERLING CATALOG - DRY '!F2985,"AAAAAH1fz4s=")</f>
        <v>#VALUE!</v>
      </c>
      <c r="EK136" t="e">
        <f>AND('STERLING CATALOG - DRY '!G2985,"AAAAAH1fz4w=")</f>
        <v>#VALUE!</v>
      </c>
      <c r="EL136" t="e">
        <f>AND('STERLING CATALOG - DRY '!H2985,"AAAAAH1fz40=")</f>
        <v>#VALUE!</v>
      </c>
      <c r="EM136" t="e">
        <f>AND('STERLING CATALOG - DRY '!I2985,"AAAAAH1fz44=")</f>
        <v>#VALUE!</v>
      </c>
      <c r="EN136" t="e">
        <f>AND('STERLING CATALOG - DRY '!J2985,"AAAAAH1fz48=")</f>
        <v>#VALUE!</v>
      </c>
      <c r="EO136">
        <f>IF('STERLING CATALOG - DRY '!2986:2986,"AAAAAH1fz5A=",0)</f>
        <v>0</v>
      </c>
      <c r="EP136" t="e">
        <f>AND('STERLING CATALOG - DRY '!A2986,"AAAAAH1fz5E=")</f>
        <v>#VALUE!</v>
      </c>
      <c r="EQ136" t="e">
        <f>AND('STERLING CATALOG - DRY '!B2986,"AAAAAH1fz5I=")</f>
        <v>#VALUE!</v>
      </c>
      <c r="ER136" t="e">
        <f>AND('STERLING CATALOG - DRY '!C2986,"AAAAAH1fz5M=")</f>
        <v>#VALUE!</v>
      </c>
      <c r="ES136" t="e">
        <f>AND('STERLING CATALOG - DRY '!D2986,"AAAAAH1fz5Q=")</f>
        <v>#VALUE!</v>
      </c>
      <c r="ET136" t="e">
        <f>AND('STERLING CATALOG - DRY '!E2986,"AAAAAH1fz5U=")</f>
        <v>#VALUE!</v>
      </c>
      <c r="EU136" t="e">
        <f>AND('STERLING CATALOG - DRY '!F2986,"AAAAAH1fz5Y=")</f>
        <v>#VALUE!</v>
      </c>
      <c r="EV136" t="e">
        <f>AND('STERLING CATALOG - DRY '!G2986,"AAAAAH1fz5c=")</f>
        <v>#VALUE!</v>
      </c>
      <c r="EW136" t="e">
        <f>AND('STERLING CATALOG - DRY '!H2986,"AAAAAH1fz5g=")</f>
        <v>#VALUE!</v>
      </c>
      <c r="EX136" t="e">
        <f>AND('STERLING CATALOG - DRY '!I2986,"AAAAAH1fz5k=")</f>
        <v>#VALUE!</v>
      </c>
      <c r="EY136" t="e">
        <f>AND('STERLING CATALOG - DRY '!J2986,"AAAAAH1fz5o=")</f>
        <v>#VALUE!</v>
      </c>
      <c r="EZ136">
        <f>IF('STERLING CATALOG - DRY '!2987:2987,"AAAAAH1fz5s=",0)</f>
        <v>0</v>
      </c>
      <c r="FA136" t="e">
        <f>AND('STERLING CATALOG - DRY '!A2987,"AAAAAH1fz5w=")</f>
        <v>#VALUE!</v>
      </c>
      <c r="FB136" t="e">
        <f>AND('STERLING CATALOG - DRY '!B2987,"AAAAAH1fz50=")</f>
        <v>#VALUE!</v>
      </c>
      <c r="FC136" t="e">
        <f>AND('STERLING CATALOG - DRY '!C2987,"AAAAAH1fz54=")</f>
        <v>#VALUE!</v>
      </c>
      <c r="FD136" t="e">
        <f>AND('STERLING CATALOG - DRY '!D2987,"AAAAAH1fz58=")</f>
        <v>#VALUE!</v>
      </c>
      <c r="FE136" t="e">
        <f>AND('STERLING CATALOG - DRY '!E2987,"AAAAAH1fz6A=")</f>
        <v>#VALUE!</v>
      </c>
      <c r="FF136" t="e">
        <f>AND('STERLING CATALOG - DRY '!F2987,"AAAAAH1fz6E=")</f>
        <v>#VALUE!</v>
      </c>
      <c r="FG136" t="e">
        <f>AND('STERLING CATALOG - DRY '!G2987,"AAAAAH1fz6I=")</f>
        <v>#VALUE!</v>
      </c>
      <c r="FH136" t="e">
        <f>AND('STERLING CATALOG - DRY '!H2987,"AAAAAH1fz6M=")</f>
        <v>#VALUE!</v>
      </c>
      <c r="FI136" t="e">
        <f>AND('STERLING CATALOG - DRY '!I2987,"AAAAAH1fz6Q=")</f>
        <v>#VALUE!</v>
      </c>
      <c r="FJ136" t="e">
        <f>AND('STERLING CATALOG - DRY '!J2987,"AAAAAH1fz6U=")</f>
        <v>#VALUE!</v>
      </c>
      <c r="FK136">
        <f>IF('STERLING CATALOG - DRY '!2988:2988,"AAAAAH1fz6Y=",0)</f>
        <v>0</v>
      </c>
      <c r="FL136" t="e">
        <f>AND('STERLING CATALOG - DRY '!A2988,"AAAAAH1fz6c=")</f>
        <v>#VALUE!</v>
      </c>
      <c r="FM136" t="e">
        <f>AND('STERLING CATALOG - DRY '!B2988,"AAAAAH1fz6g=")</f>
        <v>#VALUE!</v>
      </c>
      <c r="FN136" t="e">
        <f>AND('STERLING CATALOG - DRY '!C2988,"AAAAAH1fz6k=")</f>
        <v>#VALUE!</v>
      </c>
      <c r="FO136" t="e">
        <f>AND('STERLING CATALOG - DRY '!D2988,"AAAAAH1fz6o=")</f>
        <v>#VALUE!</v>
      </c>
      <c r="FP136" t="e">
        <f>AND('STERLING CATALOG - DRY '!E2988,"AAAAAH1fz6s=")</f>
        <v>#VALUE!</v>
      </c>
      <c r="FQ136" t="e">
        <f>AND('STERLING CATALOG - DRY '!F2988,"AAAAAH1fz6w=")</f>
        <v>#VALUE!</v>
      </c>
      <c r="FR136" t="e">
        <f>AND('STERLING CATALOG - DRY '!G2988,"AAAAAH1fz60=")</f>
        <v>#VALUE!</v>
      </c>
      <c r="FS136" t="e">
        <f>AND('STERLING CATALOG - DRY '!H2988,"AAAAAH1fz64=")</f>
        <v>#VALUE!</v>
      </c>
      <c r="FT136" t="e">
        <f>AND('STERLING CATALOG - DRY '!I2988,"AAAAAH1fz68=")</f>
        <v>#VALUE!</v>
      </c>
      <c r="FU136" t="e">
        <f>AND('STERLING CATALOG - DRY '!J2988,"AAAAAH1fz7A=")</f>
        <v>#VALUE!</v>
      </c>
      <c r="FV136">
        <f>IF('STERLING CATALOG - DRY '!2989:2989,"AAAAAH1fz7E=",0)</f>
        <v>0</v>
      </c>
      <c r="FW136" t="e">
        <f>AND('STERLING CATALOG - DRY '!A2989,"AAAAAH1fz7I=")</f>
        <v>#VALUE!</v>
      </c>
      <c r="FX136" t="e">
        <f>AND('STERLING CATALOG - DRY '!B2989,"AAAAAH1fz7M=")</f>
        <v>#VALUE!</v>
      </c>
      <c r="FY136" t="e">
        <f>AND('STERLING CATALOG - DRY '!C2989,"AAAAAH1fz7Q=")</f>
        <v>#VALUE!</v>
      </c>
      <c r="FZ136" t="e">
        <f>AND('STERLING CATALOG - DRY '!D2989,"AAAAAH1fz7U=")</f>
        <v>#VALUE!</v>
      </c>
      <c r="GA136" t="e">
        <f>AND('STERLING CATALOG - DRY '!E2989,"AAAAAH1fz7Y=")</f>
        <v>#VALUE!</v>
      </c>
      <c r="GB136" t="e">
        <f>AND('STERLING CATALOG - DRY '!F2989,"AAAAAH1fz7c=")</f>
        <v>#VALUE!</v>
      </c>
      <c r="GC136" t="e">
        <f>AND('STERLING CATALOG - DRY '!G2989,"AAAAAH1fz7g=")</f>
        <v>#VALUE!</v>
      </c>
      <c r="GD136" t="e">
        <f>AND('STERLING CATALOG - DRY '!H2989,"AAAAAH1fz7k=")</f>
        <v>#VALUE!</v>
      </c>
      <c r="GE136" t="e">
        <f>AND('STERLING CATALOG - DRY '!I2989,"AAAAAH1fz7o=")</f>
        <v>#VALUE!</v>
      </c>
      <c r="GF136" t="e">
        <f>AND('STERLING CATALOG - DRY '!J2989,"AAAAAH1fz7s=")</f>
        <v>#VALUE!</v>
      </c>
      <c r="GG136">
        <f>IF('STERLING CATALOG - DRY '!2990:2990,"AAAAAH1fz7w=",0)</f>
        <v>0</v>
      </c>
      <c r="GH136" t="e">
        <f>AND('STERLING CATALOG - DRY '!A2990,"AAAAAH1fz70=")</f>
        <v>#VALUE!</v>
      </c>
      <c r="GI136" t="e">
        <f>AND('STERLING CATALOG - DRY '!B2990,"AAAAAH1fz74=")</f>
        <v>#VALUE!</v>
      </c>
      <c r="GJ136" t="e">
        <f>AND('STERLING CATALOG - DRY '!C2990,"AAAAAH1fz78=")</f>
        <v>#VALUE!</v>
      </c>
      <c r="GK136" t="e">
        <f>AND('STERLING CATALOG - DRY '!D2990,"AAAAAH1fz8A=")</f>
        <v>#VALUE!</v>
      </c>
      <c r="GL136" t="e">
        <f>AND('STERLING CATALOG - DRY '!E2990,"AAAAAH1fz8E=")</f>
        <v>#VALUE!</v>
      </c>
      <c r="GM136" t="e">
        <f>AND('STERLING CATALOG - DRY '!F2990,"AAAAAH1fz8I=")</f>
        <v>#VALUE!</v>
      </c>
      <c r="GN136" t="e">
        <f>AND('STERLING CATALOG - DRY '!G2990,"AAAAAH1fz8M=")</f>
        <v>#VALUE!</v>
      </c>
      <c r="GO136" t="e">
        <f>AND('STERLING CATALOG - DRY '!H2990,"AAAAAH1fz8Q=")</f>
        <v>#VALUE!</v>
      </c>
      <c r="GP136" t="e">
        <f>AND('STERLING CATALOG - DRY '!I2990,"AAAAAH1fz8U=")</f>
        <v>#VALUE!</v>
      </c>
      <c r="GQ136" t="e">
        <f>AND('STERLING CATALOG - DRY '!J2990,"AAAAAH1fz8Y=")</f>
        <v>#VALUE!</v>
      </c>
      <c r="GR136">
        <f>IF('STERLING CATALOG - DRY '!2991:2991,"AAAAAH1fz8c=",0)</f>
        <v>0</v>
      </c>
      <c r="GS136" t="e">
        <f>AND('STERLING CATALOG - DRY '!A2991,"AAAAAH1fz8g=")</f>
        <v>#VALUE!</v>
      </c>
      <c r="GT136" t="e">
        <f>AND('STERLING CATALOG - DRY '!B2991,"AAAAAH1fz8k=")</f>
        <v>#VALUE!</v>
      </c>
      <c r="GU136" t="e">
        <f>AND('STERLING CATALOG - DRY '!C2991,"AAAAAH1fz8o=")</f>
        <v>#VALUE!</v>
      </c>
      <c r="GV136" t="e">
        <f>AND('STERLING CATALOG - DRY '!D2991,"AAAAAH1fz8s=")</f>
        <v>#VALUE!</v>
      </c>
      <c r="GW136" t="e">
        <f>AND('STERLING CATALOG - DRY '!E2991,"AAAAAH1fz8w=")</f>
        <v>#VALUE!</v>
      </c>
      <c r="GX136" t="e">
        <f>AND('STERLING CATALOG - DRY '!F2991,"AAAAAH1fz80=")</f>
        <v>#VALUE!</v>
      </c>
      <c r="GY136" t="e">
        <f>AND('STERLING CATALOG - DRY '!G2991,"AAAAAH1fz84=")</f>
        <v>#VALUE!</v>
      </c>
      <c r="GZ136" t="e">
        <f>AND('STERLING CATALOG - DRY '!H2991,"AAAAAH1fz88=")</f>
        <v>#VALUE!</v>
      </c>
      <c r="HA136" t="e">
        <f>AND('STERLING CATALOG - DRY '!I2991,"AAAAAH1fz9A=")</f>
        <v>#VALUE!</v>
      </c>
      <c r="HB136" t="e">
        <f>AND('STERLING CATALOG - DRY '!J2991,"AAAAAH1fz9E=")</f>
        <v>#VALUE!</v>
      </c>
      <c r="HC136">
        <f>IF('STERLING CATALOG - DRY '!2992:2992,"AAAAAH1fz9I=",0)</f>
        <v>0</v>
      </c>
      <c r="HD136" t="e">
        <f>AND('STERLING CATALOG - DRY '!A2992,"AAAAAH1fz9M=")</f>
        <v>#VALUE!</v>
      </c>
      <c r="HE136" t="e">
        <f>AND('STERLING CATALOG - DRY '!B2992,"AAAAAH1fz9Q=")</f>
        <v>#VALUE!</v>
      </c>
      <c r="HF136" t="e">
        <f>AND('STERLING CATALOG - DRY '!C2992,"AAAAAH1fz9U=")</f>
        <v>#VALUE!</v>
      </c>
      <c r="HG136" t="e">
        <f>AND('STERLING CATALOG - DRY '!D2992,"AAAAAH1fz9Y=")</f>
        <v>#VALUE!</v>
      </c>
      <c r="HH136" t="e">
        <f>AND('STERLING CATALOG - DRY '!E2992,"AAAAAH1fz9c=")</f>
        <v>#VALUE!</v>
      </c>
      <c r="HI136" t="e">
        <f>AND('STERLING CATALOG - DRY '!F2992,"AAAAAH1fz9g=")</f>
        <v>#VALUE!</v>
      </c>
      <c r="HJ136" t="e">
        <f>AND('STERLING CATALOG - DRY '!G2992,"AAAAAH1fz9k=")</f>
        <v>#VALUE!</v>
      </c>
      <c r="HK136" t="e">
        <f>AND('STERLING CATALOG - DRY '!H2992,"AAAAAH1fz9o=")</f>
        <v>#VALUE!</v>
      </c>
      <c r="HL136" t="e">
        <f>AND('STERLING CATALOG - DRY '!I2992,"AAAAAH1fz9s=")</f>
        <v>#VALUE!</v>
      </c>
      <c r="HM136" t="e">
        <f>AND('STERLING CATALOG - DRY '!J2992,"AAAAAH1fz9w=")</f>
        <v>#VALUE!</v>
      </c>
      <c r="HN136">
        <f>IF('STERLING CATALOG - DRY '!2993:2993,"AAAAAH1fz90=",0)</f>
        <v>0</v>
      </c>
      <c r="HO136" t="e">
        <f>AND('STERLING CATALOG - DRY '!A2993,"AAAAAH1fz94=")</f>
        <v>#VALUE!</v>
      </c>
      <c r="HP136" t="e">
        <f>AND('STERLING CATALOG - DRY '!B2993,"AAAAAH1fz98=")</f>
        <v>#VALUE!</v>
      </c>
      <c r="HQ136" t="e">
        <f>AND('STERLING CATALOG - DRY '!C2993,"AAAAAH1fz+A=")</f>
        <v>#VALUE!</v>
      </c>
      <c r="HR136" t="e">
        <f>AND('STERLING CATALOG - DRY '!D2993,"AAAAAH1fz+E=")</f>
        <v>#VALUE!</v>
      </c>
      <c r="HS136" t="e">
        <f>AND('STERLING CATALOG - DRY '!E2993,"AAAAAH1fz+I=")</f>
        <v>#VALUE!</v>
      </c>
      <c r="HT136" t="e">
        <f>AND('STERLING CATALOG - DRY '!F2993,"AAAAAH1fz+M=")</f>
        <v>#VALUE!</v>
      </c>
      <c r="HU136" t="e">
        <f>AND('STERLING CATALOG - DRY '!G2993,"AAAAAH1fz+Q=")</f>
        <v>#VALUE!</v>
      </c>
      <c r="HV136" t="e">
        <f>AND('STERLING CATALOG - DRY '!H2993,"AAAAAH1fz+U=")</f>
        <v>#VALUE!</v>
      </c>
      <c r="HW136" t="e">
        <f>AND('STERLING CATALOG - DRY '!I2993,"AAAAAH1fz+Y=")</f>
        <v>#VALUE!</v>
      </c>
      <c r="HX136" t="e">
        <f>AND('STERLING CATALOG - DRY '!J2993,"AAAAAH1fz+c=")</f>
        <v>#VALUE!</v>
      </c>
      <c r="HY136">
        <f>IF('STERLING CATALOG - DRY '!2994:2994,"AAAAAH1fz+g=",0)</f>
        <v>0</v>
      </c>
      <c r="HZ136" t="e">
        <f>AND('STERLING CATALOG - DRY '!A2994,"AAAAAH1fz+k=")</f>
        <v>#VALUE!</v>
      </c>
      <c r="IA136" t="e">
        <f>AND('STERLING CATALOG - DRY '!B2994,"AAAAAH1fz+o=")</f>
        <v>#VALUE!</v>
      </c>
      <c r="IB136" t="e">
        <f>AND('STERLING CATALOG - DRY '!C2994,"AAAAAH1fz+s=")</f>
        <v>#VALUE!</v>
      </c>
      <c r="IC136" t="e">
        <f>AND('STERLING CATALOG - DRY '!D2994,"AAAAAH1fz+w=")</f>
        <v>#VALUE!</v>
      </c>
      <c r="ID136" t="e">
        <f>AND('STERLING CATALOG - DRY '!E2994,"AAAAAH1fz+0=")</f>
        <v>#VALUE!</v>
      </c>
      <c r="IE136" t="e">
        <f>AND('STERLING CATALOG - DRY '!F2994,"AAAAAH1fz+4=")</f>
        <v>#VALUE!</v>
      </c>
      <c r="IF136" t="e">
        <f>AND('STERLING CATALOG - DRY '!G2994,"AAAAAH1fz+8=")</f>
        <v>#VALUE!</v>
      </c>
      <c r="IG136" t="e">
        <f>AND('STERLING CATALOG - DRY '!H2994,"AAAAAH1fz/A=")</f>
        <v>#VALUE!</v>
      </c>
      <c r="IH136" t="e">
        <f>AND('STERLING CATALOG - DRY '!I2994,"AAAAAH1fz/E=")</f>
        <v>#VALUE!</v>
      </c>
      <c r="II136" t="e">
        <f>AND('STERLING CATALOG - DRY '!J2994,"AAAAAH1fz/I=")</f>
        <v>#VALUE!</v>
      </c>
      <c r="IJ136">
        <f>IF('STERLING CATALOG - DRY '!2995:2995,"AAAAAH1fz/M=",0)</f>
        <v>0</v>
      </c>
      <c r="IK136" t="e">
        <f>AND('STERLING CATALOG - DRY '!A2995,"AAAAAH1fz/Q=")</f>
        <v>#VALUE!</v>
      </c>
      <c r="IL136" t="e">
        <f>AND('STERLING CATALOG - DRY '!B2995,"AAAAAH1fz/U=")</f>
        <v>#VALUE!</v>
      </c>
      <c r="IM136" t="e">
        <f>AND('STERLING CATALOG - DRY '!C2995,"AAAAAH1fz/Y=")</f>
        <v>#VALUE!</v>
      </c>
      <c r="IN136" t="e">
        <f>AND('STERLING CATALOG - DRY '!D2995,"AAAAAH1fz/c=")</f>
        <v>#VALUE!</v>
      </c>
      <c r="IO136" t="e">
        <f>AND('STERLING CATALOG - DRY '!E2995,"AAAAAH1fz/g=")</f>
        <v>#VALUE!</v>
      </c>
      <c r="IP136" t="e">
        <f>AND('STERLING CATALOG - DRY '!F2995,"AAAAAH1fz/k=")</f>
        <v>#VALUE!</v>
      </c>
      <c r="IQ136" t="e">
        <f>AND('STERLING CATALOG - DRY '!G2995,"AAAAAH1fz/o=")</f>
        <v>#VALUE!</v>
      </c>
      <c r="IR136" t="e">
        <f>AND('STERLING CATALOG - DRY '!H2995,"AAAAAH1fz/s=")</f>
        <v>#VALUE!</v>
      </c>
      <c r="IS136" t="e">
        <f>AND('STERLING CATALOG - DRY '!I2995,"AAAAAH1fz/w=")</f>
        <v>#VALUE!</v>
      </c>
      <c r="IT136" t="e">
        <f>AND('STERLING CATALOG - DRY '!J2995,"AAAAAH1fz/0=")</f>
        <v>#VALUE!</v>
      </c>
      <c r="IU136">
        <f>IF('STERLING CATALOG - DRY '!2996:2996,"AAAAAH1fz/4=",0)</f>
        <v>0</v>
      </c>
      <c r="IV136" t="e">
        <f>AND('STERLING CATALOG - DRY '!A2996,"AAAAAH1fz/8=")</f>
        <v>#VALUE!</v>
      </c>
    </row>
    <row r="137" spans="1:256">
      <c r="A137" t="e">
        <f>AND('STERLING CATALOG - DRY '!B2996,"AAAAAGv3zwA=")</f>
        <v>#VALUE!</v>
      </c>
      <c r="B137" t="e">
        <f>AND('STERLING CATALOG - DRY '!C2996,"AAAAAGv3zwE=")</f>
        <v>#VALUE!</v>
      </c>
      <c r="C137" t="e">
        <f>AND('STERLING CATALOG - DRY '!D2996,"AAAAAGv3zwI=")</f>
        <v>#VALUE!</v>
      </c>
      <c r="D137" t="e">
        <f>AND('STERLING CATALOG - DRY '!E2996,"AAAAAGv3zwM=")</f>
        <v>#VALUE!</v>
      </c>
      <c r="E137" t="e">
        <f>AND('STERLING CATALOG - DRY '!F2996,"AAAAAGv3zwQ=")</f>
        <v>#VALUE!</v>
      </c>
      <c r="F137" t="e">
        <f>AND('STERLING CATALOG - DRY '!G2996,"AAAAAGv3zwU=")</f>
        <v>#VALUE!</v>
      </c>
      <c r="G137" t="e">
        <f>AND('STERLING CATALOG - DRY '!H2996,"AAAAAGv3zwY=")</f>
        <v>#VALUE!</v>
      </c>
      <c r="H137" t="e">
        <f>AND('STERLING CATALOG - DRY '!I2996,"AAAAAGv3zwc=")</f>
        <v>#VALUE!</v>
      </c>
      <c r="I137" t="e">
        <f>AND('STERLING CATALOG - DRY '!J2996,"AAAAAGv3zwg=")</f>
        <v>#VALUE!</v>
      </c>
      <c r="J137" t="e">
        <f>IF('STERLING CATALOG - DRY '!2997:2997,"AAAAAGv3zwk=",0)</f>
        <v>#VALUE!</v>
      </c>
      <c r="K137" t="e">
        <f>AND('STERLING CATALOG - DRY '!A2997,"AAAAAGv3zwo=")</f>
        <v>#VALUE!</v>
      </c>
      <c r="L137" t="e">
        <f>AND('STERLING CATALOG - DRY '!B2997,"AAAAAGv3zws=")</f>
        <v>#VALUE!</v>
      </c>
      <c r="M137" t="e">
        <f>AND('STERLING CATALOG - DRY '!C2997,"AAAAAGv3zww=")</f>
        <v>#VALUE!</v>
      </c>
      <c r="N137" t="e">
        <f>AND('STERLING CATALOG - DRY '!D2997,"AAAAAGv3zw0=")</f>
        <v>#VALUE!</v>
      </c>
      <c r="O137" t="e">
        <f>AND('STERLING CATALOG - DRY '!E2997,"AAAAAGv3zw4=")</f>
        <v>#VALUE!</v>
      </c>
      <c r="P137" t="e">
        <f>AND('STERLING CATALOG - DRY '!F2997,"AAAAAGv3zw8=")</f>
        <v>#VALUE!</v>
      </c>
      <c r="Q137" t="e">
        <f>AND('STERLING CATALOG - DRY '!G2997,"AAAAAGv3zxA=")</f>
        <v>#VALUE!</v>
      </c>
      <c r="R137" t="e">
        <f>AND('STERLING CATALOG - DRY '!H2997,"AAAAAGv3zxE=")</f>
        <v>#VALUE!</v>
      </c>
      <c r="S137" t="e">
        <f>AND('STERLING CATALOG - DRY '!I2997,"AAAAAGv3zxI=")</f>
        <v>#VALUE!</v>
      </c>
      <c r="T137" t="e">
        <f>AND('STERLING CATALOG - DRY '!J2997,"AAAAAGv3zxM=")</f>
        <v>#VALUE!</v>
      </c>
      <c r="U137">
        <f>IF('STERLING CATALOG - DRY '!2998:2998,"AAAAAGv3zxQ=",0)</f>
        <v>0</v>
      </c>
      <c r="V137" t="e">
        <f>AND('STERLING CATALOG - DRY '!A2998,"AAAAAGv3zxU=")</f>
        <v>#VALUE!</v>
      </c>
      <c r="W137" t="e">
        <f>AND('STERLING CATALOG - DRY '!B2998,"AAAAAGv3zxY=")</f>
        <v>#VALUE!</v>
      </c>
      <c r="X137" t="e">
        <f>AND('STERLING CATALOG - DRY '!C2998,"AAAAAGv3zxc=")</f>
        <v>#VALUE!</v>
      </c>
      <c r="Y137" t="e">
        <f>AND('STERLING CATALOG - DRY '!D2998,"AAAAAGv3zxg=")</f>
        <v>#VALUE!</v>
      </c>
      <c r="Z137" t="e">
        <f>AND('STERLING CATALOG - DRY '!E2998,"AAAAAGv3zxk=")</f>
        <v>#VALUE!</v>
      </c>
      <c r="AA137" t="e">
        <f>AND('STERLING CATALOG - DRY '!F2998,"AAAAAGv3zxo=")</f>
        <v>#VALUE!</v>
      </c>
      <c r="AB137" t="e">
        <f>AND('STERLING CATALOG - DRY '!G2998,"AAAAAGv3zxs=")</f>
        <v>#VALUE!</v>
      </c>
      <c r="AC137" t="e">
        <f>AND('STERLING CATALOG - DRY '!H2998,"AAAAAGv3zxw=")</f>
        <v>#VALUE!</v>
      </c>
      <c r="AD137" t="e">
        <f>AND('STERLING CATALOG - DRY '!I2998,"AAAAAGv3zx0=")</f>
        <v>#VALUE!</v>
      </c>
      <c r="AE137" t="e">
        <f>AND('STERLING CATALOG - DRY '!J2998,"AAAAAGv3zx4=")</f>
        <v>#VALUE!</v>
      </c>
      <c r="AF137">
        <f>IF('STERLING CATALOG - DRY '!2999:2999,"AAAAAGv3zx8=",0)</f>
        <v>0</v>
      </c>
      <c r="AG137" t="e">
        <f>AND('STERLING CATALOG - DRY '!A2999,"AAAAAGv3zyA=")</f>
        <v>#VALUE!</v>
      </c>
      <c r="AH137" t="e">
        <f>AND('STERLING CATALOG - DRY '!B2999,"AAAAAGv3zyE=")</f>
        <v>#VALUE!</v>
      </c>
      <c r="AI137" t="e">
        <f>AND('STERLING CATALOG - DRY '!C2999,"AAAAAGv3zyI=")</f>
        <v>#VALUE!</v>
      </c>
      <c r="AJ137" t="e">
        <f>AND('STERLING CATALOG - DRY '!D2999,"AAAAAGv3zyM=")</f>
        <v>#VALUE!</v>
      </c>
      <c r="AK137" t="e">
        <f>AND('STERLING CATALOG - DRY '!E2999,"AAAAAGv3zyQ=")</f>
        <v>#VALUE!</v>
      </c>
      <c r="AL137" t="e">
        <f>AND('STERLING CATALOG - DRY '!F2999,"AAAAAGv3zyU=")</f>
        <v>#VALUE!</v>
      </c>
      <c r="AM137" t="e">
        <f>AND('STERLING CATALOG - DRY '!G2999,"AAAAAGv3zyY=")</f>
        <v>#VALUE!</v>
      </c>
      <c r="AN137" t="e">
        <f>AND('STERLING CATALOG - DRY '!H2999,"AAAAAGv3zyc=")</f>
        <v>#VALUE!</v>
      </c>
      <c r="AO137" t="e">
        <f>AND('STERLING CATALOG - DRY '!I2999,"AAAAAGv3zyg=")</f>
        <v>#VALUE!</v>
      </c>
      <c r="AP137" t="e">
        <f>AND('STERLING CATALOG - DRY '!J2999,"AAAAAGv3zyk=")</f>
        <v>#VALUE!</v>
      </c>
      <c r="AQ137">
        <f>IF('STERLING CATALOG - DRY '!3000:3000,"AAAAAGv3zyo=",0)</f>
        <v>0</v>
      </c>
      <c r="AR137" t="e">
        <f>AND('STERLING CATALOG - DRY '!A3000,"AAAAAGv3zys=")</f>
        <v>#VALUE!</v>
      </c>
      <c r="AS137" t="e">
        <f>AND('STERLING CATALOG - DRY '!B3000,"AAAAAGv3zyw=")</f>
        <v>#VALUE!</v>
      </c>
      <c r="AT137" t="e">
        <f>AND('STERLING CATALOG - DRY '!C3000,"AAAAAGv3zy0=")</f>
        <v>#VALUE!</v>
      </c>
      <c r="AU137" t="e">
        <f>AND('STERLING CATALOG - DRY '!D3000,"AAAAAGv3zy4=")</f>
        <v>#VALUE!</v>
      </c>
      <c r="AV137" t="e">
        <f>AND('STERLING CATALOG - DRY '!E3000,"AAAAAGv3zy8=")</f>
        <v>#VALUE!</v>
      </c>
      <c r="AW137" t="e">
        <f>AND('STERLING CATALOG - DRY '!F3000,"AAAAAGv3zzA=")</f>
        <v>#VALUE!</v>
      </c>
      <c r="AX137" t="e">
        <f>AND('STERLING CATALOG - DRY '!G3000,"AAAAAGv3zzE=")</f>
        <v>#VALUE!</v>
      </c>
      <c r="AY137" t="e">
        <f>AND('STERLING CATALOG - DRY '!H3000,"AAAAAGv3zzI=")</f>
        <v>#VALUE!</v>
      </c>
      <c r="AZ137" t="e">
        <f>AND('STERLING CATALOG - DRY '!I3000,"AAAAAGv3zzM=")</f>
        <v>#VALUE!</v>
      </c>
      <c r="BA137" t="e">
        <f>AND('STERLING CATALOG - DRY '!J3000,"AAAAAGv3zzQ=")</f>
        <v>#VALUE!</v>
      </c>
      <c r="BB137">
        <f>IF('STERLING CATALOG - DRY '!3001:3001,"AAAAAGv3zzU=",0)</f>
        <v>0</v>
      </c>
      <c r="BC137" t="e">
        <f>AND('STERLING CATALOG - DRY '!A3001,"AAAAAGv3zzY=")</f>
        <v>#VALUE!</v>
      </c>
      <c r="BD137" t="e">
        <f>AND('STERLING CATALOG - DRY '!B3001,"AAAAAGv3zzc=")</f>
        <v>#VALUE!</v>
      </c>
      <c r="BE137" t="e">
        <f>AND('STERLING CATALOG - DRY '!C3001,"AAAAAGv3zzg=")</f>
        <v>#VALUE!</v>
      </c>
      <c r="BF137" t="e">
        <f>AND('STERLING CATALOG - DRY '!D3001,"AAAAAGv3zzk=")</f>
        <v>#VALUE!</v>
      </c>
      <c r="BG137" t="e">
        <f>AND('STERLING CATALOG - DRY '!E3001,"AAAAAGv3zzo=")</f>
        <v>#VALUE!</v>
      </c>
      <c r="BH137" t="e">
        <f>AND('STERLING CATALOG - DRY '!F3001,"AAAAAGv3zzs=")</f>
        <v>#VALUE!</v>
      </c>
      <c r="BI137" t="e">
        <f>AND('STERLING CATALOG - DRY '!G3001,"AAAAAGv3zzw=")</f>
        <v>#VALUE!</v>
      </c>
      <c r="BJ137" t="e">
        <f>AND('STERLING CATALOG - DRY '!H3001,"AAAAAGv3zz0=")</f>
        <v>#VALUE!</v>
      </c>
      <c r="BK137" t="e">
        <f>AND('STERLING CATALOG - DRY '!I3001,"AAAAAGv3zz4=")</f>
        <v>#VALUE!</v>
      </c>
      <c r="BL137" t="e">
        <f>AND('STERLING CATALOG - DRY '!J3001,"AAAAAGv3zz8=")</f>
        <v>#VALUE!</v>
      </c>
      <c r="BM137">
        <f>IF('STERLING CATALOG - DRY '!3002:3002,"AAAAAGv3z0A=",0)</f>
        <v>0</v>
      </c>
      <c r="BN137" t="e">
        <f>AND('STERLING CATALOG - DRY '!A3002,"AAAAAGv3z0E=")</f>
        <v>#VALUE!</v>
      </c>
      <c r="BO137" t="e">
        <f>AND('STERLING CATALOG - DRY '!B3002,"AAAAAGv3z0I=")</f>
        <v>#VALUE!</v>
      </c>
      <c r="BP137" t="e">
        <f>AND('STERLING CATALOG - DRY '!C3002,"AAAAAGv3z0M=")</f>
        <v>#VALUE!</v>
      </c>
      <c r="BQ137" t="e">
        <f>AND('STERLING CATALOG - DRY '!D3002,"AAAAAGv3z0Q=")</f>
        <v>#VALUE!</v>
      </c>
      <c r="BR137" t="e">
        <f>AND('STERLING CATALOG - DRY '!E3002,"AAAAAGv3z0U=")</f>
        <v>#VALUE!</v>
      </c>
      <c r="BS137" t="e">
        <f>AND('STERLING CATALOG - DRY '!F3002,"AAAAAGv3z0Y=")</f>
        <v>#VALUE!</v>
      </c>
      <c r="BT137" t="e">
        <f>AND('STERLING CATALOG - DRY '!G3002,"AAAAAGv3z0c=")</f>
        <v>#VALUE!</v>
      </c>
      <c r="BU137" t="e">
        <f>AND('STERLING CATALOG - DRY '!H3002,"AAAAAGv3z0g=")</f>
        <v>#VALUE!</v>
      </c>
      <c r="BV137" t="e">
        <f>AND('STERLING CATALOG - DRY '!I3002,"AAAAAGv3z0k=")</f>
        <v>#VALUE!</v>
      </c>
      <c r="BW137" t="e">
        <f>AND('STERLING CATALOG - DRY '!J3002,"AAAAAGv3z0o=")</f>
        <v>#VALUE!</v>
      </c>
      <c r="BX137">
        <f>IF('STERLING CATALOG - DRY '!3003:3003,"AAAAAGv3z0s=",0)</f>
        <v>0</v>
      </c>
      <c r="BY137" t="e">
        <f>AND('STERLING CATALOG - DRY '!A3003,"AAAAAGv3z0w=")</f>
        <v>#VALUE!</v>
      </c>
      <c r="BZ137" t="e">
        <f>AND('STERLING CATALOG - DRY '!B3003,"AAAAAGv3z00=")</f>
        <v>#VALUE!</v>
      </c>
      <c r="CA137" t="e">
        <f>AND('STERLING CATALOG - DRY '!C3003,"AAAAAGv3z04=")</f>
        <v>#VALUE!</v>
      </c>
      <c r="CB137" t="e">
        <f>AND('STERLING CATALOG - DRY '!D3003,"AAAAAGv3z08=")</f>
        <v>#VALUE!</v>
      </c>
      <c r="CC137" t="e">
        <f>AND('STERLING CATALOG - DRY '!E3003,"AAAAAGv3z1A=")</f>
        <v>#VALUE!</v>
      </c>
      <c r="CD137" t="e">
        <f>AND('STERLING CATALOG - DRY '!F3003,"AAAAAGv3z1E=")</f>
        <v>#VALUE!</v>
      </c>
      <c r="CE137" t="e">
        <f>AND('STERLING CATALOG - DRY '!G3003,"AAAAAGv3z1I=")</f>
        <v>#VALUE!</v>
      </c>
      <c r="CF137" t="e">
        <f>AND('STERLING CATALOG - DRY '!H3003,"AAAAAGv3z1M=")</f>
        <v>#VALUE!</v>
      </c>
      <c r="CG137" t="e">
        <f>AND('STERLING CATALOG - DRY '!I3003,"AAAAAGv3z1Q=")</f>
        <v>#VALUE!</v>
      </c>
      <c r="CH137" t="e">
        <f>AND('STERLING CATALOG - DRY '!J3003,"AAAAAGv3z1U=")</f>
        <v>#VALUE!</v>
      </c>
      <c r="CI137">
        <f>IF('STERLING CATALOG - DRY '!3004:3004,"AAAAAGv3z1Y=",0)</f>
        <v>0</v>
      </c>
      <c r="CJ137" t="e">
        <f>AND('STERLING CATALOG - DRY '!A3004,"AAAAAGv3z1c=")</f>
        <v>#VALUE!</v>
      </c>
      <c r="CK137" t="e">
        <f>AND('STERLING CATALOG - DRY '!B3004,"AAAAAGv3z1g=")</f>
        <v>#VALUE!</v>
      </c>
      <c r="CL137" t="e">
        <f>AND('STERLING CATALOG - DRY '!C3004,"AAAAAGv3z1k=")</f>
        <v>#VALUE!</v>
      </c>
      <c r="CM137" t="e">
        <f>AND('STERLING CATALOG - DRY '!D3004,"AAAAAGv3z1o=")</f>
        <v>#VALUE!</v>
      </c>
      <c r="CN137" t="e">
        <f>AND('STERLING CATALOG - DRY '!E3004,"AAAAAGv3z1s=")</f>
        <v>#VALUE!</v>
      </c>
      <c r="CO137" t="e">
        <f>AND('STERLING CATALOG - DRY '!F3004,"AAAAAGv3z1w=")</f>
        <v>#VALUE!</v>
      </c>
      <c r="CP137" t="e">
        <f>AND('STERLING CATALOG - DRY '!G3004,"AAAAAGv3z10=")</f>
        <v>#VALUE!</v>
      </c>
      <c r="CQ137" t="e">
        <f>AND('STERLING CATALOG - DRY '!H3004,"AAAAAGv3z14=")</f>
        <v>#VALUE!</v>
      </c>
      <c r="CR137" t="e">
        <f>AND('STERLING CATALOG - DRY '!I3004,"AAAAAGv3z18=")</f>
        <v>#VALUE!</v>
      </c>
      <c r="CS137" t="e">
        <f>AND('STERLING CATALOG - DRY '!J3004,"AAAAAGv3z2A=")</f>
        <v>#VALUE!</v>
      </c>
      <c r="CT137">
        <f>IF('STERLING CATALOG - DRY '!3005:3005,"AAAAAGv3z2E=",0)</f>
        <v>0</v>
      </c>
      <c r="CU137" t="e">
        <f>AND('STERLING CATALOG - DRY '!A3005,"AAAAAGv3z2I=")</f>
        <v>#VALUE!</v>
      </c>
      <c r="CV137" t="e">
        <f>AND('STERLING CATALOG - DRY '!B3005,"AAAAAGv3z2M=")</f>
        <v>#VALUE!</v>
      </c>
      <c r="CW137" t="e">
        <f>AND('STERLING CATALOG - DRY '!C3005,"AAAAAGv3z2Q=")</f>
        <v>#VALUE!</v>
      </c>
      <c r="CX137" t="e">
        <f>AND('STERLING CATALOG - DRY '!D3005,"AAAAAGv3z2U=")</f>
        <v>#VALUE!</v>
      </c>
      <c r="CY137" t="e">
        <f>AND('STERLING CATALOG - DRY '!E3005,"AAAAAGv3z2Y=")</f>
        <v>#VALUE!</v>
      </c>
      <c r="CZ137" t="e">
        <f>AND('STERLING CATALOG - DRY '!F3005,"AAAAAGv3z2c=")</f>
        <v>#VALUE!</v>
      </c>
      <c r="DA137" t="e">
        <f>AND('STERLING CATALOG - DRY '!G3005,"AAAAAGv3z2g=")</f>
        <v>#VALUE!</v>
      </c>
      <c r="DB137" t="e">
        <f>AND('STERLING CATALOG - DRY '!H3005,"AAAAAGv3z2k=")</f>
        <v>#VALUE!</v>
      </c>
      <c r="DC137" t="e">
        <f>AND('STERLING CATALOG - DRY '!I3005,"AAAAAGv3z2o=")</f>
        <v>#VALUE!</v>
      </c>
      <c r="DD137" t="e">
        <f>AND('STERLING CATALOG - DRY '!J3005,"AAAAAGv3z2s=")</f>
        <v>#VALUE!</v>
      </c>
      <c r="DE137">
        <f>IF('STERLING CATALOG - DRY '!3006:3006,"AAAAAGv3z2w=",0)</f>
        <v>0</v>
      </c>
      <c r="DF137" t="e">
        <f>AND('STERLING CATALOG - DRY '!A3006,"AAAAAGv3z20=")</f>
        <v>#VALUE!</v>
      </c>
      <c r="DG137" t="e">
        <f>AND('STERLING CATALOG - DRY '!B3006,"AAAAAGv3z24=")</f>
        <v>#VALUE!</v>
      </c>
      <c r="DH137" t="e">
        <f>AND('STERLING CATALOG - DRY '!C3006,"AAAAAGv3z28=")</f>
        <v>#VALUE!</v>
      </c>
      <c r="DI137" t="e">
        <f>AND('STERLING CATALOG - DRY '!D3006,"AAAAAGv3z3A=")</f>
        <v>#VALUE!</v>
      </c>
      <c r="DJ137" t="e">
        <f>AND('STERLING CATALOG - DRY '!E3006,"AAAAAGv3z3E=")</f>
        <v>#VALUE!</v>
      </c>
      <c r="DK137" t="e">
        <f>AND('STERLING CATALOG - DRY '!F3006,"AAAAAGv3z3I=")</f>
        <v>#VALUE!</v>
      </c>
      <c r="DL137" t="e">
        <f>AND('STERLING CATALOG - DRY '!G3006,"AAAAAGv3z3M=")</f>
        <v>#VALUE!</v>
      </c>
      <c r="DM137" t="e">
        <f>AND('STERLING CATALOG - DRY '!H3006,"AAAAAGv3z3Q=")</f>
        <v>#VALUE!</v>
      </c>
      <c r="DN137" t="e">
        <f>AND('STERLING CATALOG - DRY '!I3006,"AAAAAGv3z3U=")</f>
        <v>#VALUE!</v>
      </c>
      <c r="DO137" t="e">
        <f>AND('STERLING CATALOG - DRY '!J3006,"AAAAAGv3z3Y=")</f>
        <v>#VALUE!</v>
      </c>
      <c r="DP137">
        <f>IF('STERLING CATALOG - DRY '!3007:3007,"AAAAAGv3z3c=",0)</f>
        <v>0</v>
      </c>
      <c r="DQ137" t="e">
        <f>AND('STERLING CATALOG - DRY '!A3007,"AAAAAGv3z3g=")</f>
        <v>#VALUE!</v>
      </c>
      <c r="DR137" t="e">
        <f>AND('STERLING CATALOG - DRY '!B3007,"AAAAAGv3z3k=")</f>
        <v>#VALUE!</v>
      </c>
      <c r="DS137" t="e">
        <f>AND('STERLING CATALOG - DRY '!C3007,"AAAAAGv3z3o=")</f>
        <v>#VALUE!</v>
      </c>
      <c r="DT137" t="e">
        <f>AND('STERLING CATALOG - DRY '!D3007,"AAAAAGv3z3s=")</f>
        <v>#VALUE!</v>
      </c>
      <c r="DU137" t="e">
        <f>AND('STERLING CATALOG - DRY '!E3007,"AAAAAGv3z3w=")</f>
        <v>#VALUE!</v>
      </c>
      <c r="DV137" t="e">
        <f>AND('STERLING CATALOG - DRY '!F3007,"AAAAAGv3z30=")</f>
        <v>#VALUE!</v>
      </c>
      <c r="DW137" t="e">
        <f>AND('STERLING CATALOG - DRY '!G3007,"AAAAAGv3z34=")</f>
        <v>#VALUE!</v>
      </c>
      <c r="DX137" t="e">
        <f>AND('STERLING CATALOG - DRY '!H3007,"AAAAAGv3z38=")</f>
        <v>#VALUE!</v>
      </c>
      <c r="DY137" t="e">
        <f>AND('STERLING CATALOG - DRY '!I3007,"AAAAAGv3z4A=")</f>
        <v>#VALUE!</v>
      </c>
      <c r="DZ137" t="e">
        <f>AND('STERLING CATALOG - DRY '!J3007,"AAAAAGv3z4E=")</f>
        <v>#VALUE!</v>
      </c>
      <c r="EA137">
        <f>IF('STERLING CATALOG - DRY '!3008:3008,"AAAAAGv3z4I=",0)</f>
        <v>0</v>
      </c>
      <c r="EB137" t="e">
        <f>AND('STERLING CATALOG - DRY '!A3008,"AAAAAGv3z4M=")</f>
        <v>#VALUE!</v>
      </c>
      <c r="EC137" t="e">
        <f>AND('STERLING CATALOG - DRY '!B3008,"AAAAAGv3z4Q=")</f>
        <v>#VALUE!</v>
      </c>
      <c r="ED137" t="e">
        <f>AND('STERLING CATALOG - DRY '!C3008,"AAAAAGv3z4U=")</f>
        <v>#VALUE!</v>
      </c>
      <c r="EE137" t="e">
        <f>AND('STERLING CATALOG - DRY '!D3008,"AAAAAGv3z4Y=")</f>
        <v>#VALUE!</v>
      </c>
      <c r="EF137" t="e">
        <f>AND('STERLING CATALOG - DRY '!E3008,"AAAAAGv3z4c=")</f>
        <v>#VALUE!</v>
      </c>
      <c r="EG137" t="e">
        <f>AND('STERLING CATALOG - DRY '!F3008,"AAAAAGv3z4g=")</f>
        <v>#VALUE!</v>
      </c>
      <c r="EH137" t="e">
        <f>AND('STERLING CATALOG - DRY '!G3008,"AAAAAGv3z4k=")</f>
        <v>#VALUE!</v>
      </c>
      <c r="EI137" t="e">
        <f>AND('STERLING CATALOG - DRY '!H3008,"AAAAAGv3z4o=")</f>
        <v>#VALUE!</v>
      </c>
      <c r="EJ137" t="e">
        <f>AND('STERLING CATALOG - DRY '!I3008,"AAAAAGv3z4s=")</f>
        <v>#VALUE!</v>
      </c>
      <c r="EK137" t="e">
        <f>AND('STERLING CATALOG - DRY '!J3008,"AAAAAGv3z4w=")</f>
        <v>#VALUE!</v>
      </c>
      <c r="EL137">
        <f>IF('STERLING CATALOG - DRY '!3009:3009,"AAAAAGv3z40=",0)</f>
        <v>0</v>
      </c>
      <c r="EM137" t="e">
        <f>AND('STERLING CATALOG - DRY '!A3009,"AAAAAGv3z44=")</f>
        <v>#VALUE!</v>
      </c>
      <c r="EN137" t="e">
        <f>AND('STERLING CATALOG - DRY '!B3009,"AAAAAGv3z48=")</f>
        <v>#VALUE!</v>
      </c>
      <c r="EO137" t="e">
        <f>AND('STERLING CATALOG - DRY '!C3009,"AAAAAGv3z5A=")</f>
        <v>#VALUE!</v>
      </c>
      <c r="EP137" t="e">
        <f>AND('STERLING CATALOG - DRY '!D3009,"AAAAAGv3z5E=")</f>
        <v>#VALUE!</v>
      </c>
      <c r="EQ137" t="e">
        <f>AND('STERLING CATALOG - DRY '!E3009,"AAAAAGv3z5I=")</f>
        <v>#VALUE!</v>
      </c>
      <c r="ER137" t="e">
        <f>AND('STERLING CATALOG - DRY '!F3009,"AAAAAGv3z5M=")</f>
        <v>#VALUE!</v>
      </c>
      <c r="ES137" t="e">
        <f>AND('STERLING CATALOG - DRY '!G3009,"AAAAAGv3z5Q=")</f>
        <v>#VALUE!</v>
      </c>
      <c r="ET137" t="e">
        <f>AND('STERLING CATALOG - DRY '!H3009,"AAAAAGv3z5U=")</f>
        <v>#VALUE!</v>
      </c>
      <c r="EU137" t="e">
        <f>AND('STERLING CATALOG - DRY '!I3009,"AAAAAGv3z5Y=")</f>
        <v>#VALUE!</v>
      </c>
      <c r="EV137" t="e">
        <f>AND('STERLING CATALOG - DRY '!J3009,"AAAAAGv3z5c=")</f>
        <v>#VALUE!</v>
      </c>
      <c r="EW137">
        <f>IF('STERLING CATALOG - DRY '!3010:3010,"AAAAAGv3z5g=",0)</f>
        <v>0</v>
      </c>
      <c r="EX137" t="e">
        <f>AND('STERLING CATALOG - DRY '!A3010,"AAAAAGv3z5k=")</f>
        <v>#VALUE!</v>
      </c>
      <c r="EY137" t="e">
        <f>AND('STERLING CATALOG - DRY '!B3010,"AAAAAGv3z5o=")</f>
        <v>#VALUE!</v>
      </c>
      <c r="EZ137" t="e">
        <f>AND('STERLING CATALOG - DRY '!C3010,"AAAAAGv3z5s=")</f>
        <v>#VALUE!</v>
      </c>
      <c r="FA137" t="e">
        <f>AND('STERLING CATALOG - DRY '!D3010,"AAAAAGv3z5w=")</f>
        <v>#VALUE!</v>
      </c>
      <c r="FB137" t="e">
        <f>AND('STERLING CATALOG - DRY '!E3010,"AAAAAGv3z50=")</f>
        <v>#VALUE!</v>
      </c>
      <c r="FC137" t="e">
        <f>AND('STERLING CATALOG - DRY '!F3010,"AAAAAGv3z54=")</f>
        <v>#VALUE!</v>
      </c>
      <c r="FD137" t="e">
        <f>AND('STERLING CATALOG - DRY '!G3010,"AAAAAGv3z58=")</f>
        <v>#VALUE!</v>
      </c>
      <c r="FE137" t="e">
        <f>AND('STERLING CATALOG - DRY '!H3010,"AAAAAGv3z6A=")</f>
        <v>#VALUE!</v>
      </c>
      <c r="FF137" t="e">
        <f>AND('STERLING CATALOG - DRY '!I3010,"AAAAAGv3z6E=")</f>
        <v>#VALUE!</v>
      </c>
      <c r="FG137" t="e">
        <f>AND('STERLING CATALOG - DRY '!J3010,"AAAAAGv3z6I=")</f>
        <v>#VALUE!</v>
      </c>
      <c r="FH137">
        <f>IF('STERLING CATALOG - DRY '!3011:3011,"AAAAAGv3z6M=",0)</f>
        <v>0</v>
      </c>
      <c r="FI137" t="e">
        <f>AND('STERLING CATALOG - DRY '!A3011,"AAAAAGv3z6Q=")</f>
        <v>#VALUE!</v>
      </c>
      <c r="FJ137" t="e">
        <f>AND('STERLING CATALOG - DRY '!B3011,"AAAAAGv3z6U=")</f>
        <v>#VALUE!</v>
      </c>
      <c r="FK137" t="e">
        <f>AND('STERLING CATALOG - DRY '!C3011,"AAAAAGv3z6Y=")</f>
        <v>#VALUE!</v>
      </c>
      <c r="FL137" t="e">
        <f>AND('STERLING CATALOG - DRY '!D3011,"AAAAAGv3z6c=")</f>
        <v>#VALUE!</v>
      </c>
      <c r="FM137" t="e">
        <f>AND('STERLING CATALOG - DRY '!E3011,"AAAAAGv3z6g=")</f>
        <v>#VALUE!</v>
      </c>
      <c r="FN137" t="e">
        <f>AND('STERLING CATALOG - DRY '!F3011,"AAAAAGv3z6k=")</f>
        <v>#VALUE!</v>
      </c>
      <c r="FO137" t="e">
        <f>AND('STERLING CATALOG - DRY '!G3011,"AAAAAGv3z6o=")</f>
        <v>#VALUE!</v>
      </c>
      <c r="FP137" t="e">
        <f>AND('STERLING CATALOG - DRY '!H3011,"AAAAAGv3z6s=")</f>
        <v>#VALUE!</v>
      </c>
      <c r="FQ137" t="e">
        <f>AND('STERLING CATALOG - DRY '!I3011,"AAAAAGv3z6w=")</f>
        <v>#VALUE!</v>
      </c>
      <c r="FR137" t="e">
        <f>AND('STERLING CATALOG - DRY '!J3011,"AAAAAGv3z60=")</f>
        <v>#VALUE!</v>
      </c>
      <c r="FS137">
        <f>IF('STERLING CATALOG - DRY '!3012:3012,"AAAAAGv3z64=",0)</f>
        <v>0</v>
      </c>
      <c r="FT137" t="e">
        <f>AND('STERLING CATALOG - DRY '!A3012,"AAAAAGv3z68=")</f>
        <v>#VALUE!</v>
      </c>
      <c r="FU137" t="e">
        <f>AND('STERLING CATALOG - DRY '!B3012,"AAAAAGv3z7A=")</f>
        <v>#VALUE!</v>
      </c>
      <c r="FV137" t="e">
        <f>AND('STERLING CATALOG - DRY '!C3012,"AAAAAGv3z7E=")</f>
        <v>#VALUE!</v>
      </c>
      <c r="FW137" t="e">
        <f>AND('STERLING CATALOG - DRY '!D3012,"AAAAAGv3z7I=")</f>
        <v>#VALUE!</v>
      </c>
      <c r="FX137" t="e">
        <f>AND('STERLING CATALOG - DRY '!E3012,"AAAAAGv3z7M=")</f>
        <v>#VALUE!</v>
      </c>
      <c r="FY137" t="e">
        <f>AND('STERLING CATALOG - DRY '!F3012,"AAAAAGv3z7Q=")</f>
        <v>#VALUE!</v>
      </c>
      <c r="FZ137" t="e">
        <f>AND('STERLING CATALOG - DRY '!G3012,"AAAAAGv3z7U=")</f>
        <v>#VALUE!</v>
      </c>
      <c r="GA137" t="e">
        <f>AND('STERLING CATALOG - DRY '!H3012,"AAAAAGv3z7Y=")</f>
        <v>#VALUE!</v>
      </c>
      <c r="GB137" t="e">
        <f>AND('STERLING CATALOG - DRY '!I3012,"AAAAAGv3z7c=")</f>
        <v>#VALUE!</v>
      </c>
      <c r="GC137" t="e">
        <f>AND('STERLING CATALOG - DRY '!J3012,"AAAAAGv3z7g=")</f>
        <v>#VALUE!</v>
      </c>
      <c r="GD137">
        <f>IF('STERLING CATALOG - DRY '!3013:3013,"AAAAAGv3z7k=",0)</f>
        <v>0</v>
      </c>
      <c r="GE137" t="e">
        <f>AND('STERLING CATALOG - DRY '!A3013,"AAAAAGv3z7o=")</f>
        <v>#VALUE!</v>
      </c>
      <c r="GF137" t="e">
        <f>AND('STERLING CATALOG - DRY '!B3013,"AAAAAGv3z7s=")</f>
        <v>#VALUE!</v>
      </c>
      <c r="GG137" t="e">
        <f>AND('STERLING CATALOG - DRY '!C3013,"AAAAAGv3z7w=")</f>
        <v>#VALUE!</v>
      </c>
      <c r="GH137" t="e">
        <f>AND('STERLING CATALOG - DRY '!D3013,"AAAAAGv3z70=")</f>
        <v>#VALUE!</v>
      </c>
      <c r="GI137" t="e">
        <f>AND('STERLING CATALOG - DRY '!E3013,"AAAAAGv3z74=")</f>
        <v>#VALUE!</v>
      </c>
      <c r="GJ137" t="e">
        <f>AND('STERLING CATALOG - DRY '!F3013,"AAAAAGv3z78=")</f>
        <v>#VALUE!</v>
      </c>
      <c r="GK137" t="e">
        <f>AND('STERLING CATALOG - DRY '!G3013,"AAAAAGv3z8A=")</f>
        <v>#VALUE!</v>
      </c>
      <c r="GL137" t="e">
        <f>AND('STERLING CATALOG - DRY '!H3013,"AAAAAGv3z8E=")</f>
        <v>#VALUE!</v>
      </c>
      <c r="GM137" t="e">
        <f>AND('STERLING CATALOG - DRY '!I3013,"AAAAAGv3z8I=")</f>
        <v>#VALUE!</v>
      </c>
      <c r="GN137" t="e">
        <f>AND('STERLING CATALOG - DRY '!J3013,"AAAAAGv3z8M=")</f>
        <v>#VALUE!</v>
      </c>
      <c r="GO137">
        <f>IF('STERLING CATALOG - DRY '!3014:3014,"AAAAAGv3z8Q=",0)</f>
        <v>0</v>
      </c>
      <c r="GP137" t="e">
        <f>AND('STERLING CATALOG - DRY '!A3014,"AAAAAGv3z8U=")</f>
        <v>#VALUE!</v>
      </c>
      <c r="GQ137" t="e">
        <f>AND('STERLING CATALOG - DRY '!B3014,"AAAAAGv3z8Y=")</f>
        <v>#VALUE!</v>
      </c>
      <c r="GR137" t="e">
        <f>AND('STERLING CATALOG - DRY '!C3014,"AAAAAGv3z8c=")</f>
        <v>#VALUE!</v>
      </c>
      <c r="GS137" t="e">
        <f>AND('STERLING CATALOG - DRY '!D3014,"AAAAAGv3z8g=")</f>
        <v>#VALUE!</v>
      </c>
      <c r="GT137" t="e">
        <f>AND('STERLING CATALOG - DRY '!E3014,"AAAAAGv3z8k=")</f>
        <v>#VALUE!</v>
      </c>
      <c r="GU137" t="e">
        <f>AND('STERLING CATALOG - DRY '!F3014,"AAAAAGv3z8o=")</f>
        <v>#VALUE!</v>
      </c>
      <c r="GV137" t="e">
        <f>AND('STERLING CATALOG - DRY '!G3014,"AAAAAGv3z8s=")</f>
        <v>#VALUE!</v>
      </c>
      <c r="GW137" t="e">
        <f>AND('STERLING CATALOG - DRY '!H3014,"AAAAAGv3z8w=")</f>
        <v>#VALUE!</v>
      </c>
      <c r="GX137" t="e">
        <f>AND('STERLING CATALOG - DRY '!I3014,"AAAAAGv3z80=")</f>
        <v>#VALUE!</v>
      </c>
      <c r="GY137" t="e">
        <f>AND('STERLING CATALOG - DRY '!J3014,"AAAAAGv3z84=")</f>
        <v>#VALUE!</v>
      </c>
      <c r="GZ137">
        <f>IF('STERLING CATALOG - DRY '!3015:3015,"AAAAAGv3z88=",0)</f>
        <v>0</v>
      </c>
      <c r="HA137" t="e">
        <f>AND('STERLING CATALOG - DRY '!A3015,"AAAAAGv3z9A=")</f>
        <v>#VALUE!</v>
      </c>
      <c r="HB137" t="e">
        <f>AND('STERLING CATALOG - DRY '!B3015,"AAAAAGv3z9E=")</f>
        <v>#VALUE!</v>
      </c>
      <c r="HC137" t="e">
        <f>AND('STERLING CATALOG - DRY '!C3015,"AAAAAGv3z9I=")</f>
        <v>#VALUE!</v>
      </c>
      <c r="HD137" t="e">
        <f>AND('STERLING CATALOG - DRY '!D3015,"AAAAAGv3z9M=")</f>
        <v>#VALUE!</v>
      </c>
      <c r="HE137" t="e">
        <f>AND('STERLING CATALOG - DRY '!E3015,"AAAAAGv3z9Q=")</f>
        <v>#VALUE!</v>
      </c>
      <c r="HF137" t="e">
        <f>AND('STERLING CATALOG - DRY '!F3015,"AAAAAGv3z9U=")</f>
        <v>#VALUE!</v>
      </c>
      <c r="HG137" t="e">
        <f>AND('STERLING CATALOG - DRY '!G3015,"AAAAAGv3z9Y=")</f>
        <v>#VALUE!</v>
      </c>
      <c r="HH137" t="e">
        <f>AND('STERLING CATALOG - DRY '!H3015,"AAAAAGv3z9c=")</f>
        <v>#VALUE!</v>
      </c>
      <c r="HI137" t="e">
        <f>AND('STERLING CATALOG - DRY '!I3015,"AAAAAGv3z9g=")</f>
        <v>#VALUE!</v>
      </c>
      <c r="HJ137" t="e">
        <f>AND('STERLING CATALOG - DRY '!J3015,"AAAAAGv3z9k=")</f>
        <v>#VALUE!</v>
      </c>
      <c r="HK137">
        <f>IF('STERLING CATALOG - DRY '!3016:3016,"AAAAAGv3z9o=",0)</f>
        <v>0</v>
      </c>
      <c r="HL137" t="e">
        <f>AND('STERLING CATALOG - DRY '!A3016,"AAAAAGv3z9s=")</f>
        <v>#VALUE!</v>
      </c>
      <c r="HM137" t="e">
        <f>AND('STERLING CATALOG - DRY '!B3016,"AAAAAGv3z9w=")</f>
        <v>#VALUE!</v>
      </c>
      <c r="HN137" t="e">
        <f>AND('STERLING CATALOG - DRY '!C3016,"AAAAAGv3z90=")</f>
        <v>#VALUE!</v>
      </c>
      <c r="HO137" t="e">
        <f>AND('STERLING CATALOG - DRY '!D3016,"AAAAAGv3z94=")</f>
        <v>#VALUE!</v>
      </c>
      <c r="HP137" t="e">
        <f>AND('STERLING CATALOG - DRY '!E3016,"AAAAAGv3z98=")</f>
        <v>#VALUE!</v>
      </c>
      <c r="HQ137" t="e">
        <f>AND('STERLING CATALOG - DRY '!F3016,"AAAAAGv3z+A=")</f>
        <v>#VALUE!</v>
      </c>
      <c r="HR137" t="e">
        <f>AND('STERLING CATALOG - DRY '!G3016,"AAAAAGv3z+E=")</f>
        <v>#VALUE!</v>
      </c>
      <c r="HS137" t="e">
        <f>AND('STERLING CATALOG - DRY '!H3016,"AAAAAGv3z+I=")</f>
        <v>#VALUE!</v>
      </c>
      <c r="HT137" t="e">
        <f>AND('STERLING CATALOG - DRY '!I3016,"AAAAAGv3z+M=")</f>
        <v>#VALUE!</v>
      </c>
      <c r="HU137" t="e">
        <f>AND('STERLING CATALOG - DRY '!J3016,"AAAAAGv3z+Q=")</f>
        <v>#VALUE!</v>
      </c>
      <c r="HV137">
        <f>IF('STERLING CATALOG - DRY '!3017:3017,"AAAAAGv3z+U=",0)</f>
        <v>0</v>
      </c>
      <c r="HW137" t="e">
        <f>AND('STERLING CATALOG - DRY '!A3017,"AAAAAGv3z+Y=")</f>
        <v>#VALUE!</v>
      </c>
      <c r="HX137" t="e">
        <f>AND('STERLING CATALOG - DRY '!B3017,"AAAAAGv3z+c=")</f>
        <v>#VALUE!</v>
      </c>
      <c r="HY137" t="e">
        <f>AND('STERLING CATALOG - DRY '!C3017,"AAAAAGv3z+g=")</f>
        <v>#VALUE!</v>
      </c>
      <c r="HZ137" t="e">
        <f>AND('STERLING CATALOG - DRY '!D3017,"AAAAAGv3z+k=")</f>
        <v>#VALUE!</v>
      </c>
      <c r="IA137" t="e">
        <f>AND('STERLING CATALOG - DRY '!E3017,"AAAAAGv3z+o=")</f>
        <v>#VALUE!</v>
      </c>
      <c r="IB137" t="e">
        <f>AND('STERLING CATALOG - DRY '!F3017,"AAAAAGv3z+s=")</f>
        <v>#VALUE!</v>
      </c>
      <c r="IC137" t="e">
        <f>AND('STERLING CATALOG - DRY '!G3017,"AAAAAGv3z+w=")</f>
        <v>#VALUE!</v>
      </c>
      <c r="ID137" t="e">
        <f>AND('STERLING CATALOG - DRY '!H3017,"AAAAAGv3z+0=")</f>
        <v>#VALUE!</v>
      </c>
      <c r="IE137" t="e">
        <f>AND('STERLING CATALOG - DRY '!I3017,"AAAAAGv3z+4=")</f>
        <v>#VALUE!</v>
      </c>
      <c r="IF137" t="e">
        <f>AND('STERLING CATALOG - DRY '!J3017,"AAAAAGv3z+8=")</f>
        <v>#VALUE!</v>
      </c>
      <c r="IG137">
        <f>IF('STERLING CATALOG - DRY '!3018:3018,"AAAAAGv3z/A=",0)</f>
        <v>0</v>
      </c>
      <c r="IH137" t="e">
        <f>AND('STERLING CATALOG - DRY '!A3018,"AAAAAGv3z/E=")</f>
        <v>#VALUE!</v>
      </c>
      <c r="II137" t="e">
        <f>AND('STERLING CATALOG - DRY '!B3018,"AAAAAGv3z/I=")</f>
        <v>#VALUE!</v>
      </c>
      <c r="IJ137" t="e">
        <f>AND('STERLING CATALOG - DRY '!C3018,"AAAAAGv3z/M=")</f>
        <v>#VALUE!</v>
      </c>
      <c r="IK137" t="e">
        <f>AND('STERLING CATALOG - DRY '!D3018,"AAAAAGv3z/Q=")</f>
        <v>#VALUE!</v>
      </c>
      <c r="IL137" t="e">
        <f>AND('STERLING CATALOG - DRY '!E3018,"AAAAAGv3z/U=")</f>
        <v>#VALUE!</v>
      </c>
      <c r="IM137" t="e">
        <f>AND('STERLING CATALOG - DRY '!F3018,"AAAAAGv3z/Y=")</f>
        <v>#VALUE!</v>
      </c>
      <c r="IN137" t="e">
        <f>AND('STERLING CATALOG - DRY '!G3018,"AAAAAGv3z/c=")</f>
        <v>#VALUE!</v>
      </c>
      <c r="IO137" t="e">
        <f>AND('STERLING CATALOG - DRY '!H3018,"AAAAAGv3z/g=")</f>
        <v>#VALUE!</v>
      </c>
      <c r="IP137" t="e">
        <f>AND('STERLING CATALOG - DRY '!I3018,"AAAAAGv3z/k=")</f>
        <v>#VALUE!</v>
      </c>
      <c r="IQ137" t="e">
        <f>AND('STERLING CATALOG - DRY '!J3018,"AAAAAGv3z/o=")</f>
        <v>#VALUE!</v>
      </c>
      <c r="IR137">
        <f>IF('STERLING CATALOG - DRY '!3019:3019,"AAAAAGv3z/s=",0)</f>
        <v>0</v>
      </c>
      <c r="IS137" t="e">
        <f>AND('STERLING CATALOG - DRY '!A3019,"AAAAAGv3z/w=")</f>
        <v>#VALUE!</v>
      </c>
      <c r="IT137" t="e">
        <f>AND('STERLING CATALOG - DRY '!B3019,"AAAAAGv3z/0=")</f>
        <v>#VALUE!</v>
      </c>
      <c r="IU137" t="e">
        <f>AND('STERLING CATALOG - DRY '!C3019,"AAAAAGv3z/4=")</f>
        <v>#VALUE!</v>
      </c>
      <c r="IV137" t="e">
        <f>AND('STERLING CATALOG - DRY '!D3019,"AAAAAGv3z/8=")</f>
        <v>#VALUE!</v>
      </c>
    </row>
    <row r="138" spans="1:256">
      <c r="A138" t="e">
        <f>AND('STERLING CATALOG - DRY '!E3019,"AAAAAF//rwA=")</f>
        <v>#VALUE!</v>
      </c>
      <c r="B138" t="e">
        <f>AND('STERLING CATALOG - DRY '!F3019,"AAAAAF//rwE=")</f>
        <v>#VALUE!</v>
      </c>
      <c r="C138" t="e">
        <f>AND('STERLING CATALOG - DRY '!G3019,"AAAAAF//rwI=")</f>
        <v>#VALUE!</v>
      </c>
      <c r="D138" t="e">
        <f>AND('STERLING CATALOG - DRY '!H3019,"AAAAAF//rwM=")</f>
        <v>#VALUE!</v>
      </c>
      <c r="E138" t="e">
        <f>AND('STERLING CATALOG - DRY '!I3019,"AAAAAF//rwQ=")</f>
        <v>#VALUE!</v>
      </c>
      <c r="F138" t="e">
        <f>AND('STERLING CATALOG - DRY '!J3019,"AAAAAF//rwU=")</f>
        <v>#VALUE!</v>
      </c>
      <c r="G138" t="str">
        <f>IF('STERLING CATALOG - DRY '!3020:3020,"AAAAAF//rwY=",0)</f>
        <v>AAAAAF//rwY=</v>
      </c>
      <c r="H138" t="e">
        <f>AND('STERLING CATALOG - DRY '!A3020,"AAAAAF//rwc=")</f>
        <v>#VALUE!</v>
      </c>
      <c r="I138" t="e">
        <f>AND('STERLING CATALOG - DRY '!B3020,"AAAAAF//rwg=")</f>
        <v>#VALUE!</v>
      </c>
      <c r="J138" t="e">
        <f>AND('STERLING CATALOG - DRY '!C3020,"AAAAAF//rwk=")</f>
        <v>#VALUE!</v>
      </c>
      <c r="K138" t="e">
        <f>AND('STERLING CATALOG - DRY '!D3020,"AAAAAF//rwo=")</f>
        <v>#VALUE!</v>
      </c>
      <c r="L138" t="e">
        <f>AND('STERLING CATALOG - DRY '!E3020,"AAAAAF//rws=")</f>
        <v>#VALUE!</v>
      </c>
      <c r="M138" t="e">
        <f>AND('STERLING CATALOG - DRY '!F3020,"AAAAAF//rww=")</f>
        <v>#VALUE!</v>
      </c>
      <c r="N138" t="e">
        <f>AND('STERLING CATALOG - DRY '!G3020,"AAAAAF//rw0=")</f>
        <v>#VALUE!</v>
      </c>
      <c r="O138" t="e">
        <f>AND('STERLING CATALOG - DRY '!H3020,"AAAAAF//rw4=")</f>
        <v>#VALUE!</v>
      </c>
      <c r="P138" t="e">
        <f>AND('STERLING CATALOG - DRY '!I3020,"AAAAAF//rw8=")</f>
        <v>#VALUE!</v>
      </c>
      <c r="Q138" t="e">
        <f>AND('STERLING CATALOG - DRY '!J3020,"AAAAAF//rxA=")</f>
        <v>#VALUE!</v>
      </c>
      <c r="R138">
        <f>IF('STERLING CATALOG - DRY '!3021:3021,"AAAAAF//rxE=",0)</f>
        <v>0</v>
      </c>
      <c r="S138" t="e">
        <f>AND('STERLING CATALOG - DRY '!A3021,"AAAAAF//rxI=")</f>
        <v>#VALUE!</v>
      </c>
      <c r="T138" t="e">
        <f>AND('STERLING CATALOG - DRY '!B3021,"AAAAAF//rxM=")</f>
        <v>#VALUE!</v>
      </c>
      <c r="U138" t="e">
        <f>AND('STERLING CATALOG - DRY '!C3021,"AAAAAF//rxQ=")</f>
        <v>#VALUE!</v>
      </c>
      <c r="V138" t="e">
        <f>AND('STERLING CATALOG - DRY '!D3021,"AAAAAF//rxU=")</f>
        <v>#VALUE!</v>
      </c>
      <c r="W138" t="e">
        <f>AND('STERLING CATALOG - DRY '!E3021,"AAAAAF//rxY=")</f>
        <v>#VALUE!</v>
      </c>
      <c r="X138" t="e">
        <f>AND('STERLING CATALOG - DRY '!F3021,"AAAAAF//rxc=")</f>
        <v>#VALUE!</v>
      </c>
      <c r="Y138" t="e">
        <f>AND('STERLING CATALOG - DRY '!G3021,"AAAAAF//rxg=")</f>
        <v>#VALUE!</v>
      </c>
      <c r="Z138" t="e">
        <f>AND('STERLING CATALOG - DRY '!H3021,"AAAAAF//rxk=")</f>
        <v>#VALUE!</v>
      </c>
      <c r="AA138" t="e">
        <f>AND('STERLING CATALOG - DRY '!I3021,"AAAAAF//rxo=")</f>
        <v>#VALUE!</v>
      </c>
      <c r="AB138" t="e">
        <f>AND('STERLING CATALOG - DRY '!J3021,"AAAAAF//rxs=")</f>
        <v>#VALUE!</v>
      </c>
      <c r="AC138">
        <f>IF('STERLING CATALOG - DRY '!3022:3022,"AAAAAF//rxw=",0)</f>
        <v>0</v>
      </c>
      <c r="AD138" t="e">
        <f>AND('STERLING CATALOG - DRY '!A3022,"AAAAAF//rx0=")</f>
        <v>#VALUE!</v>
      </c>
      <c r="AE138" t="e">
        <f>AND('STERLING CATALOG - DRY '!B3022,"AAAAAF//rx4=")</f>
        <v>#VALUE!</v>
      </c>
      <c r="AF138" t="e">
        <f>AND('STERLING CATALOG - DRY '!C3022,"AAAAAF//rx8=")</f>
        <v>#VALUE!</v>
      </c>
      <c r="AG138" t="e">
        <f>AND('STERLING CATALOG - DRY '!D3022,"AAAAAF//ryA=")</f>
        <v>#VALUE!</v>
      </c>
      <c r="AH138" t="e">
        <f>AND('STERLING CATALOG - DRY '!E3022,"AAAAAF//ryE=")</f>
        <v>#VALUE!</v>
      </c>
      <c r="AI138" t="e">
        <f>AND('STERLING CATALOG - DRY '!F3022,"AAAAAF//ryI=")</f>
        <v>#VALUE!</v>
      </c>
      <c r="AJ138" t="e">
        <f>AND('STERLING CATALOG - DRY '!G3022,"AAAAAF//ryM=")</f>
        <v>#VALUE!</v>
      </c>
      <c r="AK138" t="e">
        <f>AND('STERLING CATALOG - DRY '!H3022,"AAAAAF//ryQ=")</f>
        <v>#VALUE!</v>
      </c>
      <c r="AL138" t="e">
        <f>AND('STERLING CATALOG - DRY '!I3022,"AAAAAF//ryU=")</f>
        <v>#VALUE!</v>
      </c>
      <c r="AM138" t="e">
        <f>AND('STERLING CATALOG - DRY '!J3022,"AAAAAF//ryY=")</f>
        <v>#VALUE!</v>
      </c>
      <c r="AN138">
        <f>IF('STERLING CATALOG - DRY '!3023:3023,"AAAAAF//ryc=",0)</f>
        <v>0</v>
      </c>
      <c r="AO138" t="e">
        <f>AND('STERLING CATALOG - DRY '!A3023,"AAAAAF//ryg=")</f>
        <v>#VALUE!</v>
      </c>
      <c r="AP138" t="e">
        <f>AND('STERLING CATALOG - DRY '!B3023,"AAAAAF//ryk=")</f>
        <v>#VALUE!</v>
      </c>
      <c r="AQ138" t="e">
        <f>AND('STERLING CATALOG - DRY '!C3023,"AAAAAF//ryo=")</f>
        <v>#VALUE!</v>
      </c>
      <c r="AR138" t="e">
        <f>AND('STERLING CATALOG - DRY '!D3023,"AAAAAF//rys=")</f>
        <v>#VALUE!</v>
      </c>
      <c r="AS138" t="e">
        <f>AND('STERLING CATALOG - DRY '!E3023,"AAAAAF//ryw=")</f>
        <v>#VALUE!</v>
      </c>
      <c r="AT138" t="e">
        <f>AND('STERLING CATALOG - DRY '!F3023,"AAAAAF//ry0=")</f>
        <v>#VALUE!</v>
      </c>
      <c r="AU138" t="e">
        <f>AND('STERLING CATALOG - DRY '!G3023,"AAAAAF//ry4=")</f>
        <v>#VALUE!</v>
      </c>
      <c r="AV138" t="e">
        <f>AND('STERLING CATALOG - DRY '!H3023,"AAAAAF//ry8=")</f>
        <v>#VALUE!</v>
      </c>
      <c r="AW138" t="e">
        <f>AND('STERLING CATALOG - DRY '!I3023,"AAAAAF//rzA=")</f>
        <v>#VALUE!</v>
      </c>
      <c r="AX138" t="e">
        <f>AND('STERLING CATALOG - DRY '!J3023,"AAAAAF//rzE=")</f>
        <v>#VALUE!</v>
      </c>
      <c r="AY138">
        <f>IF('STERLING CATALOG - DRY '!3024:3024,"AAAAAF//rzI=",0)</f>
        <v>0</v>
      </c>
      <c r="AZ138" t="e">
        <f>AND('STERLING CATALOG - DRY '!A3024,"AAAAAF//rzM=")</f>
        <v>#VALUE!</v>
      </c>
      <c r="BA138" t="e">
        <f>AND('STERLING CATALOG - DRY '!B3024,"AAAAAF//rzQ=")</f>
        <v>#VALUE!</v>
      </c>
      <c r="BB138" t="e">
        <f>AND('STERLING CATALOG - DRY '!C3024,"AAAAAF//rzU=")</f>
        <v>#VALUE!</v>
      </c>
      <c r="BC138" t="e">
        <f>AND('STERLING CATALOG - DRY '!D3024,"AAAAAF//rzY=")</f>
        <v>#VALUE!</v>
      </c>
      <c r="BD138" t="e">
        <f>AND('STERLING CATALOG - DRY '!E3024,"AAAAAF//rzc=")</f>
        <v>#VALUE!</v>
      </c>
      <c r="BE138" t="e">
        <f>AND('STERLING CATALOG - DRY '!F3024,"AAAAAF//rzg=")</f>
        <v>#VALUE!</v>
      </c>
      <c r="BF138" t="e">
        <f>AND('STERLING CATALOG - DRY '!G3024,"AAAAAF//rzk=")</f>
        <v>#VALUE!</v>
      </c>
      <c r="BG138" t="e">
        <f>AND('STERLING CATALOG - DRY '!H3024,"AAAAAF//rzo=")</f>
        <v>#VALUE!</v>
      </c>
      <c r="BH138" t="e">
        <f>AND('STERLING CATALOG - DRY '!I3024,"AAAAAF//rzs=")</f>
        <v>#VALUE!</v>
      </c>
      <c r="BI138" t="e">
        <f>AND('STERLING CATALOG - DRY '!J3024,"AAAAAF//rzw=")</f>
        <v>#VALUE!</v>
      </c>
      <c r="BJ138">
        <f>IF('STERLING CATALOG - DRY '!3025:3025,"AAAAAF//rz0=",0)</f>
        <v>0</v>
      </c>
      <c r="BK138" t="e">
        <f>AND('STERLING CATALOG - DRY '!A3025,"AAAAAF//rz4=")</f>
        <v>#VALUE!</v>
      </c>
      <c r="BL138" t="e">
        <f>AND('STERLING CATALOG - DRY '!B3025,"AAAAAF//rz8=")</f>
        <v>#VALUE!</v>
      </c>
      <c r="BM138" t="e">
        <f>AND('STERLING CATALOG - DRY '!C3025,"AAAAAF//r0A=")</f>
        <v>#VALUE!</v>
      </c>
      <c r="BN138" t="e">
        <f>AND('STERLING CATALOG - DRY '!D3025,"AAAAAF//r0E=")</f>
        <v>#VALUE!</v>
      </c>
      <c r="BO138" t="e">
        <f>AND('STERLING CATALOG - DRY '!E3025,"AAAAAF//r0I=")</f>
        <v>#VALUE!</v>
      </c>
      <c r="BP138" t="e">
        <f>AND('STERLING CATALOG - DRY '!F3025,"AAAAAF//r0M=")</f>
        <v>#VALUE!</v>
      </c>
      <c r="BQ138" t="e">
        <f>AND('STERLING CATALOG - DRY '!G3025,"AAAAAF//r0Q=")</f>
        <v>#VALUE!</v>
      </c>
      <c r="BR138" t="e">
        <f>AND('STERLING CATALOG - DRY '!H3025,"AAAAAF//r0U=")</f>
        <v>#VALUE!</v>
      </c>
      <c r="BS138" t="e">
        <f>AND('STERLING CATALOG - DRY '!I3025,"AAAAAF//r0Y=")</f>
        <v>#VALUE!</v>
      </c>
      <c r="BT138" t="e">
        <f>AND('STERLING CATALOG - DRY '!J3025,"AAAAAF//r0c=")</f>
        <v>#VALUE!</v>
      </c>
      <c r="BU138">
        <f>IF('STERLING CATALOG - DRY '!3026:3026,"AAAAAF//r0g=",0)</f>
        <v>0</v>
      </c>
      <c r="BV138" t="e">
        <f>AND('STERLING CATALOG - DRY '!A3026,"AAAAAF//r0k=")</f>
        <v>#VALUE!</v>
      </c>
      <c r="BW138" t="e">
        <f>AND('STERLING CATALOG - DRY '!B3026,"AAAAAF//r0o=")</f>
        <v>#VALUE!</v>
      </c>
      <c r="BX138" t="e">
        <f>AND('STERLING CATALOG - DRY '!C3026,"AAAAAF//r0s=")</f>
        <v>#VALUE!</v>
      </c>
      <c r="BY138" t="e">
        <f>AND('STERLING CATALOG - DRY '!D3026,"AAAAAF//r0w=")</f>
        <v>#VALUE!</v>
      </c>
      <c r="BZ138" t="e">
        <f>AND('STERLING CATALOG - DRY '!E3026,"AAAAAF//r00=")</f>
        <v>#VALUE!</v>
      </c>
      <c r="CA138" t="e">
        <f>AND('STERLING CATALOG - DRY '!F3026,"AAAAAF//r04=")</f>
        <v>#VALUE!</v>
      </c>
      <c r="CB138" t="e">
        <f>AND('STERLING CATALOG - DRY '!G3026,"AAAAAF//r08=")</f>
        <v>#VALUE!</v>
      </c>
      <c r="CC138" t="e">
        <f>AND('STERLING CATALOG - DRY '!H3026,"AAAAAF//r1A=")</f>
        <v>#VALUE!</v>
      </c>
      <c r="CD138" t="e">
        <f>AND('STERLING CATALOG - DRY '!I3026,"AAAAAF//r1E=")</f>
        <v>#VALUE!</v>
      </c>
      <c r="CE138" t="e">
        <f>AND('STERLING CATALOG - DRY '!J3026,"AAAAAF//r1I=")</f>
        <v>#VALUE!</v>
      </c>
      <c r="CF138">
        <f>IF('STERLING CATALOG - DRY '!3027:3027,"AAAAAF//r1M=",0)</f>
        <v>0</v>
      </c>
      <c r="CG138" t="e">
        <f>AND('STERLING CATALOG - DRY '!A3027,"AAAAAF//r1Q=")</f>
        <v>#VALUE!</v>
      </c>
      <c r="CH138" t="e">
        <f>AND('STERLING CATALOG - DRY '!B3027,"AAAAAF//r1U=")</f>
        <v>#VALUE!</v>
      </c>
      <c r="CI138" t="e">
        <f>AND('STERLING CATALOG - DRY '!C3027,"AAAAAF//r1Y=")</f>
        <v>#VALUE!</v>
      </c>
      <c r="CJ138" t="e">
        <f>AND('STERLING CATALOG - DRY '!D3027,"AAAAAF//r1c=")</f>
        <v>#VALUE!</v>
      </c>
      <c r="CK138" t="e">
        <f>AND('STERLING CATALOG - DRY '!E3027,"AAAAAF//r1g=")</f>
        <v>#VALUE!</v>
      </c>
      <c r="CL138" t="e">
        <f>AND('STERLING CATALOG - DRY '!F3027,"AAAAAF//r1k=")</f>
        <v>#VALUE!</v>
      </c>
      <c r="CM138" t="e">
        <f>AND('STERLING CATALOG - DRY '!G3027,"AAAAAF//r1o=")</f>
        <v>#VALUE!</v>
      </c>
      <c r="CN138" t="e">
        <f>AND('STERLING CATALOG - DRY '!H3027,"AAAAAF//r1s=")</f>
        <v>#VALUE!</v>
      </c>
      <c r="CO138" t="e">
        <f>AND('STERLING CATALOG - DRY '!I3027,"AAAAAF//r1w=")</f>
        <v>#VALUE!</v>
      </c>
      <c r="CP138" t="e">
        <f>AND('STERLING CATALOG - DRY '!J3027,"AAAAAF//r10=")</f>
        <v>#VALUE!</v>
      </c>
      <c r="CQ138">
        <f>IF('STERLING CATALOG - DRY '!3028:3028,"AAAAAF//r14=",0)</f>
        <v>0</v>
      </c>
      <c r="CR138" t="e">
        <f>AND('STERLING CATALOG - DRY '!A3028,"AAAAAF//r18=")</f>
        <v>#VALUE!</v>
      </c>
      <c r="CS138" t="e">
        <f>AND('STERLING CATALOG - DRY '!B3028,"AAAAAF//r2A=")</f>
        <v>#VALUE!</v>
      </c>
      <c r="CT138" t="e">
        <f>AND('STERLING CATALOG - DRY '!C3028,"AAAAAF//r2E=")</f>
        <v>#VALUE!</v>
      </c>
      <c r="CU138" t="e">
        <f>AND('STERLING CATALOG - DRY '!D3028,"AAAAAF//r2I=")</f>
        <v>#VALUE!</v>
      </c>
      <c r="CV138" t="e">
        <f>AND('STERLING CATALOG - DRY '!E3028,"AAAAAF//r2M=")</f>
        <v>#VALUE!</v>
      </c>
      <c r="CW138" t="e">
        <f>AND('STERLING CATALOG - DRY '!F3028,"AAAAAF//r2Q=")</f>
        <v>#VALUE!</v>
      </c>
      <c r="CX138" t="e">
        <f>AND('STERLING CATALOG - DRY '!G3028,"AAAAAF//r2U=")</f>
        <v>#VALUE!</v>
      </c>
      <c r="CY138" t="e">
        <f>AND('STERLING CATALOG - DRY '!H3028,"AAAAAF//r2Y=")</f>
        <v>#VALUE!</v>
      </c>
      <c r="CZ138" t="e">
        <f>AND('STERLING CATALOG - DRY '!I3028,"AAAAAF//r2c=")</f>
        <v>#VALUE!</v>
      </c>
      <c r="DA138" t="e">
        <f>AND('STERLING CATALOG - DRY '!J3028,"AAAAAF//r2g=")</f>
        <v>#VALUE!</v>
      </c>
      <c r="DB138">
        <f>IF('STERLING CATALOG - DRY '!3029:3029,"AAAAAF//r2k=",0)</f>
        <v>0</v>
      </c>
      <c r="DC138" t="e">
        <f>AND('STERLING CATALOG - DRY '!A3029,"AAAAAF//r2o=")</f>
        <v>#VALUE!</v>
      </c>
      <c r="DD138" t="e">
        <f>AND('STERLING CATALOG - DRY '!B3029,"AAAAAF//r2s=")</f>
        <v>#VALUE!</v>
      </c>
      <c r="DE138" t="e">
        <f>AND('STERLING CATALOG - DRY '!C3029,"AAAAAF//r2w=")</f>
        <v>#VALUE!</v>
      </c>
      <c r="DF138" t="e">
        <f>AND('STERLING CATALOG - DRY '!D3029,"AAAAAF//r20=")</f>
        <v>#VALUE!</v>
      </c>
      <c r="DG138" t="e">
        <f>AND('STERLING CATALOG - DRY '!E3029,"AAAAAF//r24=")</f>
        <v>#VALUE!</v>
      </c>
      <c r="DH138" t="e">
        <f>AND('STERLING CATALOG - DRY '!F3029,"AAAAAF//r28=")</f>
        <v>#VALUE!</v>
      </c>
      <c r="DI138" t="e">
        <f>AND('STERLING CATALOG - DRY '!G3029,"AAAAAF//r3A=")</f>
        <v>#VALUE!</v>
      </c>
      <c r="DJ138" t="e">
        <f>AND('STERLING CATALOG - DRY '!H3029,"AAAAAF//r3E=")</f>
        <v>#VALUE!</v>
      </c>
      <c r="DK138" t="e">
        <f>AND('STERLING CATALOG - DRY '!I3029,"AAAAAF//r3I=")</f>
        <v>#VALUE!</v>
      </c>
      <c r="DL138" t="e">
        <f>AND('STERLING CATALOG - DRY '!J3029,"AAAAAF//r3M=")</f>
        <v>#VALUE!</v>
      </c>
      <c r="DM138">
        <f>IF('STERLING CATALOG - DRY '!3030:3030,"AAAAAF//r3Q=",0)</f>
        <v>0</v>
      </c>
      <c r="DN138" t="e">
        <f>AND('STERLING CATALOG - DRY '!A3030,"AAAAAF//r3U=")</f>
        <v>#VALUE!</v>
      </c>
      <c r="DO138" t="e">
        <f>AND('STERLING CATALOG - DRY '!B3030,"AAAAAF//r3Y=")</f>
        <v>#VALUE!</v>
      </c>
      <c r="DP138" t="e">
        <f>AND('STERLING CATALOG - DRY '!C3030,"AAAAAF//r3c=")</f>
        <v>#VALUE!</v>
      </c>
      <c r="DQ138" t="e">
        <f>AND('STERLING CATALOG - DRY '!D3030,"AAAAAF//r3g=")</f>
        <v>#VALUE!</v>
      </c>
      <c r="DR138" t="e">
        <f>AND('STERLING CATALOG - DRY '!E3030,"AAAAAF//r3k=")</f>
        <v>#VALUE!</v>
      </c>
      <c r="DS138" t="e">
        <f>AND('STERLING CATALOG - DRY '!F3030,"AAAAAF//r3o=")</f>
        <v>#VALUE!</v>
      </c>
      <c r="DT138" t="e">
        <f>AND('STERLING CATALOG - DRY '!G3030,"AAAAAF//r3s=")</f>
        <v>#VALUE!</v>
      </c>
      <c r="DU138" t="e">
        <f>AND('STERLING CATALOG - DRY '!H3030,"AAAAAF//r3w=")</f>
        <v>#VALUE!</v>
      </c>
      <c r="DV138" t="e">
        <f>AND('STERLING CATALOG - DRY '!I3030,"AAAAAF//r30=")</f>
        <v>#VALUE!</v>
      </c>
      <c r="DW138" t="e">
        <f>AND('STERLING CATALOG - DRY '!J3030,"AAAAAF//r34=")</f>
        <v>#VALUE!</v>
      </c>
      <c r="DX138">
        <f>IF('STERLING CATALOG - DRY '!3031:3031,"AAAAAF//r38=",0)</f>
        <v>0</v>
      </c>
      <c r="DY138" t="e">
        <f>AND('STERLING CATALOG - DRY '!A3031,"AAAAAF//r4A=")</f>
        <v>#VALUE!</v>
      </c>
      <c r="DZ138" t="e">
        <f>AND('STERLING CATALOG - DRY '!B3031,"AAAAAF//r4E=")</f>
        <v>#VALUE!</v>
      </c>
      <c r="EA138" t="e">
        <f>AND('STERLING CATALOG - DRY '!C3031,"AAAAAF//r4I=")</f>
        <v>#VALUE!</v>
      </c>
      <c r="EB138" t="e">
        <f>AND('STERLING CATALOG - DRY '!D3031,"AAAAAF//r4M=")</f>
        <v>#VALUE!</v>
      </c>
      <c r="EC138" t="e">
        <f>AND('STERLING CATALOG - DRY '!E3031,"AAAAAF//r4Q=")</f>
        <v>#VALUE!</v>
      </c>
      <c r="ED138" t="e">
        <f>AND('STERLING CATALOG - DRY '!F3031,"AAAAAF//r4U=")</f>
        <v>#VALUE!</v>
      </c>
      <c r="EE138" t="e">
        <f>AND('STERLING CATALOG - DRY '!G3031,"AAAAAF//r4Y=")</f>
        <v>#VALUE!</v>
      </c>
      <c r="EF138" t="e">
        <f>AND('STERLING CATALOG - DRY '!H3031,"AAAAAF//r4c=")</f>
        <v>#VALUE!</v>
      </c>
      <c r="EG138" t="e">
        <f>AND('STERLING CATALOG - DRY '!I3031,"AAAAAF//r4g=")</f>
        <v>#VALUE!</v>
      </c>
      <c r="EH138" t="e">
        <f>AND('STERLING CATALOG - DRY '!J3031,"AAAAAF//r4k=")</f>
        <v>#VALUE!</v>
      </c>
      <c r="EI138">
        <f>IF('STERLING CATALOG - DRY '!3032:3032,"AAAAAF//r4o=",0)</f>
        <v>0</v>
      </c>
      <c r="EJ138" t="e">
        <f>AND('STERLING CATALOG - DRY '!A3032,"AAAAAF//r4s=")</f>
        <v>#VALUE!</v>
      </c>
      <c r="EK138" t="e">
        <f>AND('STERLING CATALOG - DRY '!B3032,"AAAAAF//r4w=")</f>
        <v>#VALUE!</v>
      </c>
      <c r="EL138" t="e">
        <f>AND('STERLING CATALOG - DRY '!C3032,"AAAAAF//r40=")</f>
        <v>#VALUE!</v>
      </c>
      <c r="EM138" t="e">
        <f>AND('STERLING CATALOG - DRY '!D3032,"AAAAAF//r44=")</f>
        <v>#VALUE!</v>
      </c>
      <c r="EN138" t="e">
        <f>AND('STERLING CATALOG - DRY '!E3032,"AAAAAF//r48=")</f>
        <v>#VALUE!</v>
      </c>
      <c r="EO138" t="e">
        <f>AND('STERLING CATALOG - DRY '!F3032,"AAAAAF//r5A=")</f>
        <v>#VALUE!</v>
      </c>
      <c r="EP138" t="e">
        <f>AND('STERLING CATALOG - DRY '!G3032,"AAAAAF//r5E=")</f>
        <v>#VALUE!</v>
      </c>
      <c r="EQ138" t="e">
        <f>AND('STERLING CATALOG - DRY '!H3032,"AAAAAF//r5I=")</f>
        <v>#VALUE!</v>
      </c>
      <c r="ER138" t="e">
        <f>AND('STERLING CATALOG - DRY '!I3032,"AAAAAF//r5M=")</f>
        <v>#VALUE!</v>
      </c>
      <c r="ES138" t="e">
        <f>AND('STERLING CATALOG - DRY '!J3032,"AAAAAF//r5Q=")</f>
        <v>#VALUE!</v>
      </c>
      <c r="ET138">
        <f>IF('STERLING CATALOG - DRY '!3033:3033,"AAAAAF//r5U=",0)</f>
        <v>0</v>
      </c>
      <c r="EU138" t="e">
        <f>AND('STERLING CATALOG - DRY '!A3033,"AAAAAF//r5Y=")</f>
        <v>#VALUE!</v>
      </c>
      <c r="EV138" t="e">
        <f>AND('STERLING CATALOG - DRY '!B3033,"AAAAAF//r5c=")</f>
        <v>#VALUE!</v>
      </c>
      <c r="EW138" t="e">
        <f>AND('STERLING CATALOG - DRY '!C3033,"AAAAAF//r5g=")</f>
        <v>#VALUE!</v>
      </c>
      <c r="EX138" t="e">
        <f>AND('STERLING CATALOG - DRY '!D3033,"AAAAAF//r5k=")</f>
        <v>#VALUE!</v>
      </c>
      <c r="EY138" t="e">
        <f>AND('STERLING CATALOG - DRY '!E3033,"AAAAAF//r5o=")</f>
        <v>#VALUE!</v>
      </c>
      <c r="EZ138" t="e">
        <f>AND('STERLING CATALOG - DRY '!F3033,"AAAAAF//r5s=")</f>
        <v>#VALUE!</v>
      </c>
      <c r="FA138" t="e">
        <f>AND('STERLING CATALOG - DRY '!G3033,"AAAAAF//r5w=")</f>
        <v>#VALUE!</v>
      </c>
      <c r="FB138" t="e">
        <f>AND('STERLING CATALOG - DRY '!H3033,"AAAAAF//r50=")</f>
        <v>#VALUE!</v>
      </c>
      <c r="FC138" t="e">
        <f>AND('STERLING CATALOG - DRY '!I3033,"AAAAAF//r54=")</f>
        <v>#VALUE!</v>
      </c>
      <c r="FD138" t="e">
        <f>AND('STERLING CATALOG - DRY '!J3033,"AAAAAF//r58=")</f>
        <v>#VALUE!</v>
      </c>
      <c r="FE138">
        <f>IF('STERLING CATALOG - DRY '!3034:3034,"AAAAAF//r6A=",0)</f>
        <v>0</v>
      </c>
      <c r="FF138" t="e">
        <f>AND('STERLING CATALOG - DRY '!A3034,"AAAAAF//r6E=")</f>
        <v>#VALUE!</v>
      </c>
      <c r="FG138" t="e">
        <f>AND('STERLING CATALOG - DRY '!B3034,"AAAAAF//r6I=")</f>
        <v>#VALUE!</v>
      </c>
      <c r="FH138" t="e">
        <f>AND('STERLING CATALOG - DRY '!C3034,"AAAAAF//r6M=")</f>
        <v>#VALUE!</v>
      </c>
      <c r="FI138" t="e">
        <f>AND('STERLING CATALOG - DRY '!D3034,"AAAAAF//r6Q=")</f>
        <v>#VALUE!</v>
      </c>
      <c r="FJ138" t="e">
        <f>AND('STERLING CATALOG - DRY '!E3034,"AAAAAF//r6U=")</f>
        <v>#VALUE!</v>
      </c>
      <c r="FK138" t="e">
        <f>AND('STERLING CATALOG - DRY '!F3034,"AAAAAF//r6Y=")</f>
        <v>#VALUE!</v>
      </c>
      <c r="FL138" t="e">
        <f>AND('STERLING CATALOG - DRY '!G3034,"AAAAAF//r6c=")</f>
        <v>#VALUE!</v>
      </c>
      <c r="FM138" t="e">
        <f>AND('STERLING CATALOG - DRY '!H3034,"AAAAAF//r6g=")</f>
        <v>#VALUE!</v>
      </c>
      <c r="FN138" t="e">
        <f>AND('STERLING CATALOG - DRY '!I3034,"AAAAAF//r6k=")</f>
        <v>#VALUE!</v>
      </c>
      <c r="FO138" t="e">
        <f>AND('STERLING CATALOG - DRY '!J3034,"AAAAAF//r6o=")</f>
        <v>#VALUE!</v>
      </c>
      <c r="FP138">
        <f>IF('STERLING CATALOG - DRY '!3035:3035,"AAAAAF//r6s=",0)</f>
        <v>0</v>
      </c>
      <c r="FQ138" t="e">
        <f>AND('STERLING CATALOG - DRY '!A3035,"AAAAAF//r6w=")</f>
        <v>#VALUE!</v>
      </c>
      <c r="FR138" t="e">
        <f>AND('STERLING CATALOG - DRY '!B3035,"AAAAAF//r60=")</f>
        <v>#VALUE!</v>
      </c>
      <c r="FS138" t="e">
        <f>AND('STERLING CATALOG - DRY '!C3035,"AAAAAF//r64=")</f>
        <v>#VALUE!</v>
      </c>
      <c r="FT138" t="e">
        <f>AND('STERLING CATALOG - DRY '!D3035,"AAAAAF//r68=")</f>
        <v>#VALUE!</v>
      </c>
      <c r="FU138" t="e">
        <f>AND('STERLING CATALOG - DRY '!E3035,"AAAAAF//r7A=")</f>
        <v>#VALUE!</v>
      </c>
      <c r="FV138" t="e">
        <f>AND('STERLING CATALOG - DRY '!F3035,"AAAAAF//r7E=")</f>
        <v>#VALUE!</v>
      </c>
      <c r="FW138" t="e">
        <f>AND('STERLING CATALOG - DRY '!G3035,"AAAAAF//r7I=")</f>
        <v>#VALUE!</v>
      </c>
      <c r="FX138" t="e">
        <f>AND('STERLING CATALOG - DRY '!H3035,"AAAAAF//r7M=")</f>
        <v>#VALUE!</v>
      </c>
      <c r="FY138" t="e">
        <f>AND('STERLING CATALOG - DRY '!I3035,"AAAAAF//r7Q=")</f>
        <v>#VALUE!</v>
      </c>
      <c r="FZ138" t="e">
        <f>AND('STERLING CATALOG - DRY '!J3035,"AAAAAF//r7U=")</f>
        <v>#VALUE!</v>
      </c>
      <c r="GA138">
        <f>IF('STERLING CATALOG - DRY '!3036:3036,"AAAAAF//r7Y=",0)</f>
        <v>0</v>
      </c>
      <c r="GB138" t="e">
        <f>AND('STERLING CATALOG - DRY '!A3036,"AAAAAF//r7c=")</f>
        <v>#VALUE!</v>
      </c>
      <c r="GC138" t="e">
        <f>AND('STERLING CATALOG - DRY '!B3036,"AAAAAF//r7g=")</f>
        <v>#VALUE!</v>
      </c>
      <c r="GD138" t="e">
        <f>AND('STERLING CATALOG - DRY '!C3036,"AAAAAF//r7k=")</f>
        <v>#VALUE!</v>
      </c>
      <c r="GE138" t="e">
        <f>AND('STERLING CATALOG - DRY '!D3036,"AAAAAF//r7o=")</f>
        <v>#VALUE!</v>
      </c>
      <c r="GF138" t="e">
        <f>AND('STERLING CATALOG - DRY '!E3036,"AAAAAF//r7s=")</f>
        <v>#VALUE!</v>
      </c>
      <c r="GG138" t="e">
        <f>AND('STERLING CATALOG - DRY '!F3036,"AAAAAF//r7w=")</f>
        <v>#VALUE!</v>
      </c>
      <c r="GH138" t="e">
        <f>AND('STERLING CATALOG - DRY '!G3036,"AAAAAF//r70=")</f>
        <v>#VALUE!</v>
      </c>
      <c r="GI138" t="e">
        <f>AND('STERLING CATALOG - DRY '!H3036,"AAAAAF//r74=")</f>
        <v>#VALUE!</v>
      </c>
      <c r="GJ138" t="e">
        <f>AND('STERLING CATALOG - DRY '!I3036,"AAAAAF//r78=")</f>
        <v>#VALUE!</v>
      </c>
      <c r="GK138" t="e">
        <f>AND('STERLING CATALOG - DRY '!J3036,"AAAAAF//r8A=")</f>
        <v>#VALUE!</v>
      </c>
      <c r="GL138">
        <f>IF('STERLING CATALOG - DRY '!3037:3037,"AAAAAF//r8E=",0)</f>
        <v>0</v>
      </c>
      <c r="GM138" t="e">
        <f>AND('STERLING CATALOG - DRY '!A3037,"AAAAAF//r8I=")</f>
        <v>#VALUE!</v>
      </c>
      <c r="GN138" t="e">
        <f>AND('STERLING CATALOG - DRY '!B3037,"AAAAAF//r8M=")</f>
        <v>#VALUE!</v>
      </c>
      <c r="GO138" t="e">
        <f>AND('STERLING CATALOG - DRY '!C3037,"AAAAAF//r8Q=")</f>
        <v>#VALUE!</v>
      </c>
      <c r="GP138" t="e">
        <f>AND('STERLING CATALOG - DRY '!D3037,"AAAAAF//r8U=")</f>
        <v>#VALUE!</v>
      </c>
      <c r="GQ138" t="e">
        <f>AND('STERLING CATALOG - DRY '!E3037,"AAAAAF//r8Y=")</f>
        <v>#VALUE!</v>
      </c>
      <c r="GR138" t="e">
        <f>AND('STERLING CATALOG - DRY '!F3037,"AAAAAF//r8c=")</f>
        <v>#VALUE!</v>
      </c>
      <c r="GS138" t="e">
        <f>AND('STERLING CATALOG - DRY '!G3037,"AAAAAF//r8g=")</f>
        <v>#VALUE!</v>
      </c>
      <c r="GT138" t="e">
        <f>AND('STERLING CATALOG - DRY '!H3037,"AAAAAF//r8k=")</f>
        <v>#VALUE!</v>
      </c>
      <c r="GU138" t="e">
        <f>AND('STERLING CATALOG - DRY '!I3037,"AAAAAF//r8o=")</f>
        <v>#VALUE!</v>
      </c>
      <c r="GV138" t="e">
        <f>AND('STERLING CATALOG - DRY '!J3037,"AAAAAF//r8s=")</f>
        <v>#VALUE!</v>
      </c>
      <c r="GW138">
        <f>IF('STERLING CATALOG - DRY '!3038:3038,"AAAAAF//r8w=",0)</f>
        <v>0</v>
      </c>
      <c r="GX138" t="e">
        <f>AND('STERLING CATALOG - DRY '!A3038,"AAAAAF//r80=")</f>
        <v>#VALUE!</v>
      </c>
      <c r="GY138" t="e">
        <f>AND('STERLING CATALOG - DRY '!B3038,"AAAAAF//r84=")</f>
        <v>#VALUE!</v>
      </c>
      <c r="GZ138" t="e">
        <f>AND('STERLING CATALOG - DRY '!C3038,"AAAAAF//r88=")</f>
        <v>#VALUE!</v>
      </c>
      <c r="HA138" t="e">
        <f>AND('STERLING CATALOG - DRY '!D3038,"AAAAAF//r9A=")</f>
        <v>#VALUE!</v>
      </c>
      <c r="HB138" t="e">
        <f>AND('STERLING CATALOG - DRY '!E3038,"AAAAAF//r9E=")</f>
        <v>#VALUE!</v>
      </c>
      <c r="HC138" t="e">
        <f>AND('STERLING CATALOG - DRY '!F3038,"AAAAAF//r9I=")</f>
        <v>#VALUE!</v>
      </c>
      <c r="HD138" t="e">
        <f>AND('STERLING CATALOG - DRY '!G3038,"AAAAAF//r9M=")</f>
        <v>#VALUE!</v>
      </c>
      <c r="HE138" t="e">
        <f>AND('STERLING CATALOG - DRY '!H3038,"AAAAAF//r9Q=")</f>
        <v>#VALUE!</v>
      </c>
      <c r="HF138" t="e">
        <f>AND('STERLING CATALOG - DRY '!I3038,"AAAAAF//r9U=")</f>
        <v>#VALUE!</v>
      </c>
      <c r="HG138" t="e">
        <f>AND('STERLING CATALOG - DRY '!J3038,"AAAAAF//r9Y=")</f>
        <v>#VALUE!</v>
      </c>
      <c r="HH138">
        <f>IF('STERLING CATALOG - DRY '!3039:3039,"AAAAAF//r9c=",0)</f>
        <v>0</v>
      </c>
      <c r="HI138" t="e">
        <f>AND('STERLING CATALOG - DRY '!A3039,"AAAAAF//r9g=")</f>
        <v>#VALUE!</v>
      </c>
      <c r="HJ138" t="e">
        <f>AND('STERLING CATALOG - DRY '!B3039,"AAAAAF//r9k=")</f>
        <v>#VALUE!</v>
      </c>
      <c r="HK138" t="e">
        <f>AND('STERLING CATALOG - DRY '!C3039,"AAAAAF//r9o=")</f>
        <v>#VALUE!</v>
      </c>
      <c r="HL138" t="e">
        <f>AND('STERLING CATALOG - DRY '!D3039,"AAAAAF//r9s=")</f>
        <v>#VALUE!</v>
      </c>
      <c r="HM138" t="e">
        <f>AND('STERLING CATALOG - DRY '!E3039,"AAAAAF//r9w=")</f>
        <v>#VALUE!</v>
      </c>
      <c r="HN138" t="e">
        <f>AND('STERLING CATALOG - DRY '!F3039,"AAAAAF//r90=")</f>
        <v>#VALUE!</v>
      </c>
      <c r="HO138" t="e">
        <f>AND('STERLING CATALOG - DRY '!G3039,"AAAAAF//r94=")</f>
        <v>#VALUE!</v>
      </c>
      <c r="HP138" t="e">
        <f>AND('STERLING CATALOG - DRY '!H3039,"AAAAAF//r98=")</f>
        <v>#VALUE!</v>
      </c>
      <c r="HQ138" t="e">
        <f>AND('STERLING CATALOG - DRY '!I3039,"AAAAAF//r+A=")</f>
        <v>#VALUE!</v>
      </c>
      <c r="HR138" t="e">
        <f>AND('STERLING CATALOG - DRY '!J3039,"AAAAAF//r+E=")</f>
        <v>#VALUE!</v>
      </c>
      <c r="HS138">
        <f>IF('STERLING CATALOG - DRY '!3040:3040,"AAAAAF//r+I=",0)</f>
        <v>0</v>
      </c>
      <c r="HT138" t="e">
        <f>AND('STERLING CATALOG - DRY '!A3040,"AAAAAF//r+M=")</f>
        <v>#VALUE!</v>
      </c>
      <c r="HU138" t="e">
        <f>AND('STERLING CATALOG - DRY '!B3040,"AAAAAF//r+Q=")</f>
        <v>#VALUE!</v>
      </c>
      <c r="HV138" t="e">
        <f>AND('STERLING CATALOG - DRY '!C3040,"AAAAAF//r+U=")</f>
        <v>#VALUE!</v>
      </c>
      <c r="HW138" t="e">
        <f>AND('STERLING CATALOG - DRY '!D3040,"AAAAAF//r+Y=")</f>
        <v>#VALUE!</v>
      </c>
      <c r="HX138" t="e">
        <f>AND('STERLING CATALOG - DRY '!E3040,"AAAAAF//r+c=")</f>
        <v>#VALUE!</v>
      </c>
      <c r="HY138" t="e">
        <f>AND('STERLING CATALOG - DRY '!F3040,"AAAAAF//r+g=")</f>
        <v>#VALUE!</v>
      </c>
      <c r="HZ138" t="e">
        <f>AND('STERLING CATALOG - DRY '!G3040,"AAAAAF//r+k=")</f>
        <v>#VALUE!</v>
      </c>
      <c r="IA138" t="e">
        <f>AND('STERLING CATALOG - DRY '!H3040,"AAAAAF//r+o=")</f>
        <v>#VALUE!</v>
      </c>
      <c r="IB138" t="e">
        <f>AND('STERLING CATALOG - DRY '!I3040,"AAAAAF//r+s=")</f>
        <v>#VALUE!</v>
      </c>
      <c r="IC138" t="e">
        <f>AND('STERLING CATALOG - DRY '!J3040,"AAAAAF//r+w=")</f>
        <v>#VALUE!</v>
      </c>
      <c r="ID138">
        <f>IF('STERLING CATALOG - DRY '!3041:3041,"AAAAAF//r+0=",0)</f>
        <v>0</v>
      </c>
      <c r="IE138" t="e">
        <f>AND('STERLING CATALOG - DRY '!A3041,"AAAAAF//r+4=")</f>
        <v>#VALUE!</v>
      </c>
      <c r="IF138" t="e">
        <f>AND('STERLING CATALOG - DRY '!B3041,"AAAAAF//r+8=")</f>
        <v>#VALUE!</v>
      </c>
      <c r="IG138" t="e">
        <f>AND('STERLING CATALOG - DRY '!C3041,"AAAAAF//r/A=")</f>
        <v>#VALUE!</v>
      </c>
      <c r="IH138" t="e">
        <f>AND('STERLING CATALOG - DRY '!D3041,"AAAAAF//r/E=")</f>
        <v>#VALUE!</v>
      </c>
      <c r="II138" t="e">
        <f>AND('STERLING CATALOG - DRY '!E3041,"AAAAAF//r/I=")</f>
        <v>#VALUE!</v>
      </c>
      <c r="IJ138" t="e">
        <f>AND('STERLING CATALOG - DRY '!F3041,"AAAAAF//r/M=")</f>
        <v>#VALUE!</v>
      </c>
      <c r="IK138" t="e">
        <f>AND('STERLING CATALOG - DRY '!G3041,"AAAAAF//r/Q=")</f>
        <v>#VALUE!</v>
      </c>
      <c r="IL138" t="e">
        <f>AND('STERLING CATALOG - DRY '!H3041,"AAAAAF//r/U=")</f>
        <v>#VALUE!</v>
      </c>
      <c r="IM138" t="e">
        <f>AND('STERLING CATALOG - DRY '!I3041,"AAAAAF//r/Y=")</f>
        <v>#VALUE!</v>
      </c>
      <c r="IN138" t="e">
        <f>AND('STERLING CATALOG - DRY '!J3041,"AAAAAF//r/c=")</f>
        <v>#VALUE!</v>
      </c>
      <c r="IO138">
        <f>IF('STERLING CATALOG - DRY '!3042:3042,"AAAAAF//r/g=",0)</f>
        <v>0</v>
      </c>
      <c r="IP138" t="e">
        <f>AND('STERLING CATALOG - DRY '!A3042,"AAAAAF//r/k=")</f>
        <v>#VALUE!</v>
      </c>
      <c r="IQ138" t="e">
        <f>AND('STERLING CATALOG - DRY '!B3042,"AAAAAF//r/o=")</f>
        <v>#VALUE!</v>
      </c>
      <c r="IR138" t="e">
        <f>AND('STERLING CATALOG - DRY '!C3042,"AAAAAF//r/s=")</f>
        <v>#VALUE!</v>
      </c>
      <c r="IS138" t="e">
        <f>AND('STERLING CATALOG - DRY '!D3042,"AAAAAF//r/w=")</f>
        <v>#VALUE!</v>
      </c>
      <c r="IT138" t="e">
        <f>AND('STERLING CATALOG - DRY '!E3042,"AAAAAF//r/0=")</f>
        <v>#VALUE!</v>
      </c>
      <c r="IU138" t="e">
        <f>AND('STERLING CATALOG - DRY '!F3042,"AAAAAF//r/4=")</f>
        <v>#VALUE!</v>
      </c>
      <c r="IV138" t="e">
        <f>AND('STERLING CATALOG - DRY '!G3042,"AAAAAF//r/8=")</f>
        <v>#VALUE!</v>
      </c>
    </row>
    <row r="139" spans="1:256">
      <c r="A139" t="e">
        <f>AND('STERLING CATALOG - DRY '!H3042,"AAAAAGX++wA=")</f>
        <v>#VALUE!</v>
      </c>
      <c r="B139" t="e">
        <f>AND('STERLING CATALOG - DRY '!I3042,"AAAAAGX++wE=")</f>
        <v>#VALUE!</v>
      </c>
      <c r="C139" t="e">
        <f>AND('STERLING CATALOG - DRY '!J3042,"AAAAAGX++wI=")</f>
        <v>#VALUE!</v>
      </c>
      <c r="D139" t="e">
        <f>IF('STERLING CATALOG - DRY '!3043:3043,"AAAAAGX++wM=",0)</f>
        <v>#VALUE!</v>
      </c>
      <c r="E139" t="e">
        <f>AND('STERLING CATALOG - DRY '!A3043,"AAAAAGX++wQ=")</f>
        <v>#VALUE!</v>
      </c>
      <c r="F139" t="e">
        <f>AND('STERLING CATALOG - DRY '!B3043,"AAAAAGX++wU=")</f>
        <v>#VALUE!</v>
      </c>
      <c r="G139" t="e">
        <f>AND('STERLING CATALOG - DRY '!C3043,"AAAAAGX++wY=")</f>
        <v>#VALUE!</v>
      </c>
      <c r="H139" t="e">
        <f>AND('STERLING CATALOG - DRY '!D3043,"AAAAAGX++wc=")</f>
        <v>#VALUE!</v>
      </c>
      <c r="I139" t="e">
        <f>AND('STERLING CATALOG - DRY '!E3043,"AAAAAGX++wg=")</f>
        <v>#VALUE!</v>
      </c>
      <c r="J139" t="e">
        <f>AND('STERLING CATALOG - DRY '!F3043,"AAAAAGX++wk=")</f>
        <v>#VALUE!</v>
      </c>
      <c r="K139" t="e">
        <f>AND('STERLING CATALOG - DRY '!G3043,"AAAAAGX++wo=")</f>
        <v>#VALUE!</v>
      </c>
      <c r="L139" t="e">
        <f>AND('STERLING CATALOG - DRY '!H3043,"AAAAAGX++ws=")</f>
        <v>#VALUE!</v>
      </c>
      <c r="M139" t="e">
        <f>AND('STERLING CATALOG - DRY '!I3043,"AAAAAGX++ww=")</f>
        <v>#VALUE!</v>
      </c>
      <c r="N139" t="e">
        <f>AND('STERLING CATALOG - DRY '!J3043,"AAAAAGX++w0=")</f>
        <v>#VALUE!</v>
      </c>
      <c r="O139">
        <f>IF('STERLING CATALOG - DRY '!3044:3044,"AAAAAGX++w4=",0)</f>
        <v>0</v>
      </c>
      <c r="P139" t="e">
        <f>AND('STERLING CATALOG - DRY '!A3044,"AAAAAGX++w8=")</f>
        <v>#VALUE!</v>
      </c>
      <c r="Q139" t="e">
        <f>AND('STERLING CATALOG - DRY '!B3044,"AAAAAGX++xA=")</f>
        <v>#VALUE!</v>
      </c>
      <c r="R139" t="e">
        <f>AND('STERLING CATALOG - DRY '!C3044,"AAAAAGX++xE=")</f>
        <v>#VALUE!</v>
      </c>
      <c r="S139" t="e">
        <f>AND('STERLING CATALOG - DRY '!D3044,"AAAAAGX++xI=")</f>
        <v>#VALUE!</v>
      </c>
      <c r="T139" t="e">
        <f>AND('STERLING CATALOG - DRY '!E3044,"AAAAAGX++xM=")</f>
        <v>#VALUE!</v>
      </c>
      <c r="U139" t="e">
        <f>AND('STERLING CATALOG - DRY '!F3044,"AAAAAGX++xQ=")</f>
        <v>#VALUE!</v>
      </c>
      <c r="V139" t="e">
        <f>AND('STERLING CATALOG - DRY '!G3044,"AAAAAGX++xU=")</f>
        <v>#VALUE!</v>
      </c>
      <c r="W139" t="e">
        <f>AND('STERLING CATALOG - DRY '!H3044,"AAAAAGX++xY=")</f>
        <v>#VALUE!</v>
      </c>
      <c r="X139" t="e">
        <f>AND('STERLING CATALOG - DRY '!I3044,"AAAAAGX++xc=")</f>
        <v>#VALUE!</v>
      </c>
      <c r="Y139" t="e">
        <f>AND('STERLING CATALOG - DRY '!J3044,"AAAAAGX++xg=")</f>
        <v>#VALUE!</v>
      </c>
      <c r="Z139">
        <f>IF('STERLING CATALOG - DRY '!3045:3045,"AAAAAGX++xk=",0)</f>
        <v>0</v>
      </c>
      <c r="AA139" t="e">
        <f>AND('STERLING CATALOG - DRY '!A3045,"AAAAAGX++xo=")</f>
        <v>#VALUE!</v>
      </c>
      <c r="AB139" t="e">
        <f>AND('STERLING CATALOG - DRY '!B3045,"AAAAAGX++xs=")</f>
        <v>#VALUE!</v>
      </c>
      <c r="AC139" t="e">
        <f>AND('STERLING CATALOG - DRY '!C3045,"AAAAAGX++xw=")</f>
        <v>#VALUE!</v>
      </c>
      <c r="AD139" t="e">
        <f>AND('STERLING CATALOG - DRY '!D3045,"AAAAAGX++x0=")</f>
        <v>#VALUE!</v>
      </c>
      <c r="AE139" t="e">
        <f>AND('STERLING CATALOG - DRY '!E3045,"AAAAAGX++x4=")</f>
        <v>#VALUE!</v>
      </c>
      <c r="AF139" t="e">
        <f>AND('STERLING CATALOG - DRY '!F3045,"AAAAAGX++x8=")</f>
        <v>#VALUE!</v>
      </c>
      <c r="AG139" t="e">
        <f>AND('STERLING CATALOG - DRY '!G3045,"AAAAAGX++yA=")</f>
        <v>#VALUE!</v>
      </c>
      <c r="AH139" t="e">
        <f>AND('STERLING CATALOG - DRY '!H3045,"AAAAAGX++yE=")</f>
        <v>#VALUE!</v>
      </c>
      <c r="AI139" t="e">
        <f>AND('STERLING CATALOG - DRY '!I3045,"AAAAAGX++yI=")</f>
        <v>#VALUE!</v>
      </c>
      <c r="AJ139" t="e">
        <f>AND('STERLING CATALOG - DRY '!J3045,"AAAAAGX++yM=")</f>
        <v>#VALUE!</v>
      </c>
      <c r="AK139">
        <f>IF('STERLING CATALOG - DRY '!3046:3046,"AAAAAGX++yQ=",0)</f>
        <v>0</v>
      </c>
      <c r="AL139" t="e">
        <f>AND('STERLING CATALOG - DRY '!A3046,"AAAAAGX++yU=")</f>
        <v>#VALUE!</v>
      </c>
      <c r="AM139" t="e">
        <f>AND('STERLING CATALOG - DRY '!B3046,"AAAAAGX++yY=")</f>
        <v>#VALUE!</v>
      </c>
      <c r="AN139" t="e">
        <f>AND('STERLING CATALOG - DRY '!C3046,"AAAAAGX++yc=")</f>
        <v>#VALUE!</v>
      </c>
      <c r="AO139" t="e">
        <f>AND('STERLING CATALOG - DRY '!D3046,"AAAAAGX++yg=")</f>
        <v>#VALUE!</v>
      </c>
      <c r="AP139" t="e">
        <f>AND('STERLING CATALOG - DRY '!E3046,"AAAAAGX++yk=")</f>
        <v>#VALUE!</v>
      </c>
      <c r="AQ139" t="e">
        <f>AND('STERLING CATALOG - DRY '!F3046,"AAAAAGX++yo=")</f>
        <v>#VALUE!</v>
      </c>
      <c r="AR139" t="e">
        <f>AND('STERLING CATALOG - DRY '!G3046,"AAAAAGX++ys=")</f>
        <v>#VALUE!</v>
      </c>
      <c r="AS139" t="e">
        <f>AND('STERLING CATALOG - DRY '!H3046,"AAAAAGX++yw=")</f>
        <v>#VALUE!</v>
      </c>
      <c r="AT139" t="e">
        <f>AND('STERLING CATALOG - DRY '!I3046,"AAAAAGX++y0=")</f>
        <v>#VALUE!</v>
      </c>
      <c r="AU139" t="e">
        <f>AND('STERLING CATALOG - DRY '!J3046,"AAAAAGX++y4=")</f>
        <v>#VALUE!</v>
      </c>
      <c r="AV139">
        <f>IF('STERLING CATALOG - DRY '!3047:3047,"AAAAAGX++y8=",0)</f>
        <v>0</v>
      </c>
      <c r="AW139" t="e">
        <f>AND('STERLING CATALOG - DRY '!A3047,"AAAAAGX++zA=")</f>
        <v>#VALUE!</v>
      </c>
      <c r="AX139" t="e">
        <f>AND('STERLING CATALOG - DRY '!B3047,"AAAAAGX++zE=")</f>
        <v>#VALUE!</v>
      </c>
      <c r="AY139" t="e">
        <f>AND('STERLING CATALOG - DRY '!C3047,"AAAAAGX++zI=")</f>
        <v>#VALUE!</v>
      </c>
      <c r="AZ139" t="e">
        <f>AND('STERLING CATALOG - DRY '!D3047,"AAAAAGX++zM=")</f>
        <v>#VALUE!</v>
      </c>
      <c r="BA139" t="e">
        <f>AND('STERLING CATALOG - DRY '!E3047,"AAAAAGX++zQ=")</f>
        <v>#VALUE!</v>
      </c>
      <c r="BB139" t="e">
        <f>AND('STERLING CATALOG - DRY '!F3047,"AAAAAGX++zU=")</f>
        <v>#VALUE!</v>
      </c>
      <c r="BC139" t="e">
        <f>AND('STERLING CATALOG - DRY '!G3047,"AAAAAGX++zY=")</f>
        <v>#VALUE!</v>
      </c>
      <c r="BD139" t="e">
        <f>AND('STERLING CATALOG - DRY '!H3047,"AAAAAGX++zc=")</f>
        <v>#VALUE!</v>
      </c>
      <c r="BE139" t="e">
        <f>AND('STERLING CATALOG - DRY '!I3047,"AAAAAGX++zg=")</f>
        <v>#VALUE!</v>
      </c>
      <c r="BF139" t="e">
        <f>AND('STERLING CATALOG - DRY '!J3047,"AAAAAGX++zk=")</f>
        <v>#VALUE!</v>
      </c>
      <c r="BG139">
        <f>IF('STERLING CATALOG - DRY '!3048:3048,"AAAAAGX++zo=",0)</f>
        <v>0</v>
      </c>
      <c r="BH139" t="e">
        <f>AND('STERLING CATALOG - DRY '!A3048,"AAAAAGX++zs=")</f>
        <v>#VALUE!</v>
      </c>
      <c r="BI139" t="e">
        <f>AND('STERLING CATALOG - DRY '!B3048,"AAAAAGX++zw=")</f>
        <v>#VALUE!</v>
      </c>
      <c r="BJ139" t="e">
        <f>AND('STERLING CATALOG - DRY '!C3048,"AAAAAGX++z0=")</f>
        <v>#VALUE!</v>
      </c>
      <c r="BK139" t="e">
        <f>AND('STERLING CATALOG - DRY '!D3048,"AAAAAGX++z4=")</f>
        <v>#VALUE!</v>
      </c>
      <c r="BL139" t="e">
        <f>AND('STERLING CATALOG - DRY '!E3048,"AAAAAGX++z8=")</f>
        <v>#VALUE!</v>
      </c>
      <c r="BM139" t="e">
        <f>AND('STERLING CATALOG - DRY '!F3048,"AAAAAGX++0A=")</f>
        <v>#VALUE!</v>
      </c>
      <c r="BN139" t="e">
        <f>AND('STERLING CATALOG - DRY '!G3048,"AAAAAGX++0E=")</f>
        <v>#VALUE!</v>
      </c>
      <c r="BO139" t="e">
        <f>AND('STERLING CATALOG - DRY '!H3048,"AAAAAGX++0I=")</f>
        <v>#VALUE!</v>
      </c>
      <c r="BP139" t="e">
        <f>AND('STERLING CATALOG - DRY '!I3048,"AAAAAGX++0M=")</f>
        <v>#VALUE!</v>
      </c>
      <c r="BQ139" t="e">
        <f>AND('STERLING CATALOG - DRY '!J3048,"AAAAAGX++0Q=")</f>
        <v>#VALUE!</v>
      </c>
      <c r="BR139">
        <f>IF('STERLING CATALOG - DRY '!3049:3049,"AAAAAGX++0U=",0)</f>
        <v>0</v>
      </c>
      <c r="BS139" t="e">
        <f>AND('STERLING CATALOG - DRY '!A3049,"AAAAAGX++0Y=")</f>
        <v>#VALUE!</v>
      </c>
      <c r="BT139" t="e">
        <f>AND('STERLING CATALOG - DRY '!B3049,"AAAAAGX++0c=")</f>
        <v>#VALUE!</v>
      </c>
      <c r="BU139" t="e">
        <f>AND('STERLING CATALOG - DRY '!C3049,"AAAAAGX++0g=")</f>
        <v>#VALUE!</v>
      </c>
      <c r="BV139" t="e">
        <f>AND('STERLING CATALOG - DRY '!D3049,"AAAAAGX++0k=")</f>
        <v>#VALUE!</v>
      </c>
      <c r="BW139" t="e">
        <f>AND('STERLING CATALOG - DRY '!E3049,"AAAAAGX++0o=")</f>
        <v>#VALUE!</v>
      </c>
      <c r="BX139" t="e">
        <f>AND('STERLING CATALOG - DRY '!F3049,"AAAAAGX++0s=")</f>
        <v>#VALUE!</v>
      </c>
      <c r="BY139" t="e">
        <f>AND('STERLING CATALOG - DRY '!G3049,"AAAAAGX++0w=")</f>
        <v>#VALUE!</v>
      </c>
      <c r="BZ139" t="e">
        <f>AND('STERLING CATALOG - DRY '!H3049,"AAAAAGX++00=")</f>
        <v>#VALUE!</v>
      </c>
      <c r="CA139" t="e">
        <f>AND('STERLING CATALOG - DRY '!I3049,"AAAAAGX++04=")</f>
        <v>#VALUE!</v>
      </c>
      <c r="CB139" t="e">
        <f>AND('STERLING CATALOG - DRY '!J3049,"AAAAAGX++08=")</f>
        <v>#VALUE!</v>
      </c>
      <c r="CC139">
        <f>IF('STERLING CATALOG - DRY '!3050:3050,"AAAAAGX++1A=",0)</f>
        <v>0</v>
      </c>
      <c r="CD139" t="e">
        <f>AND('STERLING CATALOG - DRY '!A3050,"AAAAAGX++1E=")</f>
        <v>#VALUE!</v>
      </c>
      <c r="CE139" t="e">
        <f>AND('STERLING CATALOG - DRY '!B3050,"AAAAAGX++1I=")</f>
        <v>#VALUE!</v>
      </c>
      <c r="CF139" t="e">
        <f>AND('STERLING CATALOG - DRY '!C3050,"AAAAAGX++1M=")</f>
        <v>#VALUE!</v>
      </c>
      <c r="CG139" t="e">
        <f>AND('STERLING CATALOG - DRY '!D3050,"AAAAAGX++1Q=")</f>
        <v>#VALUE!</v>
      </c>
      <c r="CH139" t="e">
        <f>AND('STERLING CATALOG - DRY '!E3050,"AAAAAGX++1U=")</f>
        <v>#VALUE!</v>
      </c>
      <c r="CI139" t="e">
        <f>AND('STERLING CATALOG - DRY '!F3050,"AAAAAGX++1Y=")</f>
        <v>#VALUE!</v>
      </c>
      <c r="CJ139" t="e">
        <f>AND('STERLING CATALOG - DRY '!G3050,"AAAAAGX++1c=")</f>
        <v>#VALUE!</v>
      </c>
      <c r="CK139" t="e">
        <f>AND('STERLING CATALOG - DRY '!H3050,"AAAAAGX++1g=")</f>
        <v>#VALUE!</v>
      </c>
      <c r="CL139" t="e">
        <f>AND('STERLING CATALOG - DRY '!I3050,"AAAAAGX++1k=")</f>
        <v>#VALUE!</v>
      </c>
      <c r="CM139" t="e">
        <f>AND('STERLING CATALOG - DRY '!J3050,"AAAAAGX++1o=")</f>
        <v>#VALUE!</v>
      </c>
      <c r="CN139">
        <f>IF('STERLING CATALOG - DRY '!3051:3051,"AAAAAGX++1s=",0)</f>
        <v>0</v>
      </c>
      <c r="CO139" t="e">
        <f>AND('STERLING CATALOG - DRY '!A3051,"AAAAAGX++1w=")</f>
        <v>#VALUE!</v>
      </c>
      <c r="CP139" t="e">
        <f>AND('STERLING CATALOG - DRY '!B3051,"AAAAAGX++10=")</f>
        <v>#VALUE!</v>
      </c>
      <c r="CQ139" t="e">
        <f>AND('STERLING CATALOG - DRY '!C3051,"AAAAAGX++14=")</f>
        <v>#VALUE!</v>
      </c>
      <c r="CR139" t="e">
        <f>AND('STERLING CATALOG - DRY '!D3051,"AAAAAGX++18=")</f>
        <v>#VALUE!</v>
      </c>
      <c r="CS139" t="e">
        <f>AND('STERLING CATALOG - DRY '!E3051,"AAAAAGX++2A=")</f>
        <v>#VALUE!</v>
      </c>
      <c r="CT139" t="e">
        <f>AND('STERLING CATALOG - DRY '!F3051,"AAAAAGX++2E=")</f>
        <v>#VALUE!</v>
      </c>
      <c r="CU139" t="e">
        <f>AND('STERLING CATALOG - DRY '!G3051,"AAAAAGX++2I=")</f>
        <v>#VALUE!</v>
      </c>
      <c r="CV139" t="e">
        <f>AND('STERLING CATALOG - DRY '!H3051,"AAAAAGX++2M=")</f>
        <v>#VALUE!</v>
      </c>
      <c r="CW139" t="e">
        <f>AND('STERLING CATALOG - DRY '!I3051,"AAAAAGX++2Q=")</f>
        <v>#VALUE!</v>
      </c>
      <c r="CX139" t="e">
        <f>AND('STERLING CATALOG - DRY '!J3051,"AAAAAGX++2U=")</f>
        <v>#VALUE!</v>
      </c>
      <c r="CY139">
        <f>IF('STERLING CATALOG - DRY '!3052:3052,"AAAAAGX++2Y=",0)</f>
        <v>0</v>
      </c>
      <c r="CZ139" t="e">
        <f>AND('STERLING CATALOG - DRY '!A3052,"AAAAAGX++2c=")</f>
        <v>#VALUE!</v>
      </c>
      <c r="DA139" t="e">
        <f>AND('STERLING CATALOG - DRY '!B3052,"AAAAAGX++2g=")</f>
        <v>#VALUE!</v>
      </c>
      <c r="DB139" t="e">
        <f>AND('STERLING CATALOG - DRY '!C3052,"AAAAAGX++2k=")</f>
        <v>#VALUE!</v>
      </c>
      <c r="DC139" t="e">
        <f>AND('STERLING CATALOG - DRY '!D3052,"AAAAAGX++2o=")</f>
        <v>#VALUE!</v>
      </c>
      <c r="DD139" t="e">
        <f>AND('STERLING CATALOG - DRY '!E3052,"AAAAAGX++2s=")</f>
        <v>#VALUE!</v>
      </c>
      <c r="DE139" t="e">
        <f>AND('STERLING CATALOG - DRY '!F3052,"AAAAAGX++2w=")</f>
        <v>#VALUE!</v>
      </c>
      <c r="DF139" t="e">
        <f>AND('STERLING CATALOG - DRY '!G3052,"AAAAAGX++20=")</f>
        <v>#VALUE!</v>
      </c>
      <c r="DG139" t="e">
        <f>AND('STERLING CATALOG - DRY '!H3052,"AAAAAGX++24=")</f>
        <v>#VALUE!</v>
      </c>
      <c r="DH139" t="e">
        <f>AND('STERLING CATALOG - DRY '!I3052,"AAAAAGX++28=")</f>
        <v>#VALUE!</v>
      </c>
      <c r="DI139" t="e">
        <f>AND('STERLING CATALOG - DRY '!J3052,"AAAAAGX++3A=")</f>
        <v>#VALUE!</v>
      </c>
      <c r="DJ139">
        <f>IF('STERLING CATALOG - DRY '!3053:3053,"AAAAAGX++3E=",0)</f>
        <v>0</v>
      </c>
      <c r="DK139" t="e">
        <f>AND('STERLING CATALOG - DRY '!A3053,"AAAAAGX++3I=")</f>
        <v>#VALUE!</v>
      </c>
      <c r="DL139" t="e">
        <f>AND('STERLING CATALOG - DRY '!B3053,"AAAAAGX++3M=")</f>
        <v>#VALUE!</v>
      </c>
      <c r="DM139" t="e">
        <f>AND('STERLING CATALOG - DRY '!C3053,"AAAAAGX++3Q=")</f>
        <v>#VALUE!</v>
      </c>
      <c r="DN139" t="e">
        <f>AND('STERLING CATALOG - DRY '!D3053,"AAAAAGX++3U=")</f>
        <v>#VALUE!</v>
      </c>
      <c r="DO139" t="e">
        <f>AND('STERLING CATALOG - DRY '!E3053,"AAAAAGX++3Y=")</f>
        <v>#VALUE!</v>
      </c>
      <c r="DP139" t="e">
        <f>AND('STERLING CATALOG - DRY '!F3053,"AAAAAGX++3c=")</f>
        <v>#VALUE!</v>
      </c>
      <c r="DQ139" t="e">
        <f>AND('STERLING CATALOG - DRY '!G3053,"AAAAAGX++3g=")</f>
        <v>#VALUE!</v>
      </c>
      <c r="DR139" t="e">
        <f>AND('STERLING CATALOG - DRY '!H3053,"AAAAAGX++3k=")</f>
        <v>#VALUE!</v>
      </c>
      <c r="DS139" t="e">
        <f>AND('STERLING CATALOG - DRY '!I3053,"AAAAAGX++3o=")</f>
        <v>#VALUE!</v>
      </c>
      <c r="DT139" t="e">
        <f>AND('STERLING CATALOG - DRY '!J3053,"AAAAAGX++3s=")</f>
        <v>#VALUE!</v>
      </c>
      <c r="DU139">
        <f>IF('STERLING CATALOG - DRY '!3054:3054,"AAAAAGX++3w=",0)</f>
        <v>0</v>
      </c>
      <c r="DV139" t="e">
        <f>AND('STERLING CATALOG - DRY '!A3054,"AAAAAGX++30=")</f>
        <v>#VALUE!</v>
      </c>
      <c r="DW139" t="e">
        <f>AND('STERLING CATALOG - DRY '!B3054,"AAAAAGX++34=")</f>
        <v>#VALUE!</v>
      </c>
      <c r="DX139" t="e">
        <f>AND('STERLING CATALOG - DRY '!C3054,"AAAAAGX++38=")</f>
        <v>#VALUE!</v>
      </c>
      <c r="DY139" t="e">
        <f>AND('STERLING CATALOG - DRY '!D3054,"AAAAAGX++4A=")</f>
        <v>#VALUE!</v>
      </c>
      <c r="DZ139" t="e">
        <f>AND('STERLING CATALOG - DRY '!E3054,"AAAAAGX++4E=")</f>
        <v>#VALUE!</v>
      </c>
      <c r="EA139" t="e">
        <f>AND('STERLING CATALOG - DRY '!F3054,"AAAAAGX++4I=")</f>
        <v>#VALUE!</v>
      </c>
      <c r="EB139" t="e">
        <f>AND('STERLING CATALOG - DRY '!G3054,"AAAAAGX++4M=")</f>
        <v>#VALUE!</v>
      </c>
      <c r="EC139" t="e">
        <f>AND('STERLING CATALOG - DRY '!H3054,"AAAAAGX++4Q=")</f>
        <v>#VALUE!</v>
      </c>
      <c r="ED139" t="e">
        <f>AND('STERLING CATALOG - DRY '!I3054,"AAAAAGX++4U=")</f>
        <v>#VALUE!</v>
      </c>
      <c r="EE139" t="e">
        <f>AND('STERLING CATALOG - DRY '!J3054,"AAAAAGX++4Y=")</f>
        <v>#VALUE!</v>
      </c>
      <c r="EF139">
        <f>IF('STERLING CATALOG - DRY '!3055:3055,"AAAAAGX++4c=",0)</f>
        <v>0</v>
      </c>
      <c r="EG139" t="e">
        <f>AND('STERLING CATALOG - DRY '!A3055,"AAAAAGX++4g=")</f>
        <v>#VALUE!</v>
      </c>
      <c r="EH139" t="e">
        <f>AND('STERLING CATALOG - DRY '!B3055,"AAAAAGX++4k=")</f>
        <v>#VALUE!</v>
      </c>
      <c r="EI139" t="e">
        <f>AND('STERLING CATALOG - DRY '!C3055,"AAAAAGX++4o=")</f>
        <v>#VALUE!</v>
      </c>
      <c r="EJ139" t="e">
        <f>AND('STERLING CATALOG - DRY '!D3055,"AAAAAGX++4s=")</f>
        <v>#VALUE!</v>
      </c>
      <c r="EK139" t="e">
        <f>AND('STERLING CATALOG - DRY '!E3055,"AAAAAGX++4w=")</f>
        <v>#VALUE!</v>
      </c>
      <c r="EL139" t="e">
        <f>AND('STERLING CATALOG - DRY '!F3055,"AAAAAGX++40=")</f>
        <v>#VALUE!</v>
      </c>
      <c r="EM139" t="e">
        <f>AND('STERLING CATALOG - DRY '!G3055,"AAAAAGX++44=")</f>
        <v>#VALUE!</v>
      </c>
      <c r="EN139" t="e">
        <f>AND('STERLING CATALOG - DRY '!H3055,"AAAAAGX++48=")</f>
        <v>#VALUE!</v>
      </c>
      <c r="EO139" t="e">
        <f>AND('STERLING CATALOG - DRY '!I3055,"AAAAAGX++5A=")</f>
        <v>#VALUE!</v>
      </c>
      <c r="EP139" t="e">
        <f>AND('STERLING CATALOG - DRY '!J3055,"AAAAAGX++5E=")</f>
        <v>#VALUE!</v>
      </c>
      <c r="EQ139">
        <f>IF('STERLING CATALOG - DRY '!3056:3056,"AAAAAGX++5I=",0)</f>
        <v>0</v>
      </c>
      <c r="ER139" t="e">
        <f>AND('STERLING CATALOG - DRY '!A3056,"AAAAAGX++5M=")</f>
        <v>#VALUE!</v>
      </c>
      <c r="ES139" t="e">
        <f>AND('STERLING CATALOG - DRY '!B3056,"AAAAAGX++5Q=")</f>
        <v>#VALUE!</v>
      </c>
      <c r="ET139" t="e">
        <f>AND('STERLING CATALOG - DRY '!C3056,"AAAAAGX++5U=")</f>
        <v>#VALUE!</v>
      </c>
      <c r="EU139" t="e">
        <f>AND('STERLING CATALOG - DRY '!D3056,"AAAAAGX++5Y=")</f>
        <v>#VALUE!</v>
      </c>
      <c r="EV139" t="e">
        <f>AND('STERLING CATALOG - DRY '!E3056,"AAAAAGX++5c=")</f>
        <v>#VALUE!</v>
      </c>
      <c r="EW139" t="e">
        <f>AND('STERLING CATALOG - DRY '!F3056,"AAAAAGX++5g=")</f>
        <v>#VALUE!</v>
      </c>
      <c r="EX139" t="e">
        <f>AND('STERLING CATALOG - DRY '!G3056,"AAAAAGX++5k=")</f>
        <v>#VALUE!</v>
      </c>
      <c r="EY139" t="e">
        <f>AND('STERLING CATALOG - DRY '!H3056,"AAAAAGX++5o=")</f>
        <v>#VALUE!</v>
      </c>
      <c r="EZ139" t="e">
        <f>AND('STERLING CATALOG - DRY '!I3056,"AAAAAGX++5s=")</f>
        <v>#VALUE!</v>
      </c>
      <c r="FA139" t="e">
        <f>AND('STERLING CATALOG - DRY '!J3056,"AAAAAGX++5w=")</f>
        <v>#VALUE!</v>
      </c>
      <c r="FB139">
        <f>IF('STERLING CATALOG - DRY '!3057:3057,"AAAAAGX++50=",0)</f>
        <v>0</v>
      </c>
      <c r="FC139" t="e">
        <f>AND('STERLING CATALOG - DRY '!A3057,"AAAAAGX++54=")</f>
        <v>#VALUE!</v>
      </c>
      <c r="FD139" t="e">
        <f>AND('STERLING CATALOG - DRY '!B3057,"AAAAAGX++58=")</f>
        <v>#VALUE!</v>
      </c>
      <c r="FE139" t="e">
        <f>AND('STERLING CATALOG - DRY '!C3057,"AAAAAGX++6A=")</f>
        <v>#VALUE!</v>
      </c>
      <c r="FF139" t="e">
        <f>AND('STERLING CATALOG - DRY '!D3057,"AAAAAGX++6E=")</f>
        <v>#VALUE!</v>
      </c>
      <c r="FG139" t="e">
        <f>AND('STERLING CATALOG - DRY '!E3057,"AAAAAGX++6I=")</f>
        <v>#VALUE!</v>
      </c>
      <c r="FH139" t="e">
        <f>AND('STERLING CATALOG - DRY '!F3057,"AAAAAGX++6M=")</f>
        <v>#VALUE!</v>
      </c>
      <c r="FI139" t="e">
        <f>AND('STERLING CATALOG - DRY '!G3057,"AAAAAGX++6Q=")</f>
        <v>#VALUE!</v>
      </c>
      <c r="FJ139" t="e">
        <f>AND('STERLING CATALOG - DRY '!H3057,"AAAAAGX++6U=")</f>
        <v>#VALUE!</v>
      </c>
      <c r="FK139" t="e">
        <f>AND('STERLING CATALOG - DRY '!I3057,"AAAAAGX++6Y=")</f>
        <v>#VALUE!</v>
      </c>
      <c r="FL139" t="e">
        <f>AND('STERLING CATALOG - DRY '!J3057,"AAAAAGX++6c=")</f>
        <v>#VALUE!</v>
      </c>
      <c r="FM139">
        <f>IF('STERLING CATALOG - DRY '!3058:3058,"AAAAAGX++6g=",0)</f>
        <v>0</v>
      </c>
      <c r="FN139" t="e">
        <f>AND('STERLING CATALOG - DRY '!A3058,"AAAAAGX++6k=")</f>
        <v>#VALUE!</v>
      </c>
      <c r="FO139" t="e">
        <f>AND('STERLING CATALOG - DRY '!B3058,"AAAAAGX++6o=")</f>
        <v>#VALUE!</v>
      </c>
      <c r="FP139" t="e">
        <f>AND('STERLING CATALOG - DRY '!C3058,"AAAAAGX++6s=")</f>
        <v>#VALUE!</v>
      </c>
      <c r="FQ139" t="e">
        <f>AND('STERLING CATALOG - DRY '!D3058,"AAAAAGX++6w=")</f>
        <v>#VALUE!</v>
      </c>
      <c r="FR139" t="e">
        <f>AND('STERLING CATALOG - DRY '!E3058,"AAAAAGX++60=")</f>
        <v>#VALUE!</v>
      </c>
      <c r="FS139" t="e">
        <f>AND('STERLING CATALOG - DRY '!F3058,"AAAAAGX++64=")</f>
        <v>#VALUE!</v>
      </c>
      <c r="FT139" t="e">
        <f>AND('STERLING CATALOG - DRY '!G3058,"AAAAAGX++68=")</f>
        <v>#VALUE!</v>
      </c>
      <c r="FU139" t="e">
        <f>AND('STERLING CATALOG - DRY '!H3058,"AAAAAGX++7A=")</f>
        <v>#VALUE!</v>
      </c>
      <c r="FV139" t="e">
        <f>AND('STERLING CATALOG - DRY '!I3058,"AAAAAGX++7E=")</f>
        <v>#VALUE!</v>
      </c>
      <c r="FW139" t="e">
        <f>AND('STERLING CATALOG - DRY '!J3058,"AAAAAGX++7I=")</f>
        <v>#VALUE!</v>
      </c>
      <c r="FX139">
        <f>IF('STERLING CATALOG - DRY '!3059:3059,"AAAAAGX++7M=",0)</f>
        <v>0</v>
      </c>
      <c r="FY139" t="e">
        <f>AND('STERLING CATALOG - DRY '!A3059,"AAAAAGX++7Q=")</f>
        <v>#VALUE!</v>
      </c>
      <c r="FZ139" t="e">
        <f>AND('STERLING CATALOG - DRY '!B3059,"AAAAAGX++7U=")</f>
        <v>#VALUE!</v>
      </c>
      <c r="GA139" t="e">
        <f>AND('STERLING CATALOG - DRY '!C3059,"AAAAAGX++7Y=")</f>
        <v>#VALUE!</v>
      </c>
      <c r="GB139" t="e">
        <f>AND('STERLING CATALOG - DRY '!D3059,"AAAAAGX++7c=")</f>
        <v>#VALUE!</v>
      </c>
      <c r="GC139" t="e">
        <f>AND('STERLING CATALOG - DRY '!E3059,"AAAAAGX++7g=")</f>
        <v>#VALUE!</v>
      </c>
      <c r="GD139" t="e">
        <f>AND('STERLING CATALOG - DRY '!F3059,"AAAAAGX++7k=")</f>
        <v>#VALUE!</v>
      </c>
      <c r="GE139" t="e">
        <f>AND('STERLING CATALOG - DRY '!G3059,"AAAAAGX++7o=")</f>
        <v>#VALUE!</v>
      </c>
      <c r="GF139" t="e">
        <f>AND('STERLING CATALOG - DRY '!H3059,"AAAAAGX++7s=")</f>
        <v>#VALUE!</v>
      </c>
      <c r="GG139" t="e">
        <f>AND('STERLING CATALOG - DRY '!I3059,"AAAAAGX++7w=")</f>
        <v>#VALUE!</v>
      </c>
      <c r="GH139" t="e">
        <f>AND('STERLING CATALOG - DRY '!J3059,"AAAAAGX++70=")</f>
        <v>#VALUE!</v>
      </c>
      <c r="GI139">
        <f>IF('STERLING CATALOG - DRY '!3060:3060,"AAAAAGX++74=",0)</f>
        <v>0</v>
      </c>
      <c r="GJ139" t="e">
        <f>AND('STERLING CATALOG - DRY '!A3060,"AAAAAGX++78=")</f>
        <v>#VALUE!</v>
      </c>
      <c r="GK139" t="e">
        <f>AND('STERLING CATALOG - DRY '!B3060,"AAAAAGX++8A=")</f>
        <v>#VALUE!</v>
      </c>
      <c r="GL139" t="e">
        <f>AND('STERLING CATALOG - DRY '!C3060,"AAAAAGX++8E=")</f>
        <v>#VALUE!</v>
      </c>
      <c r="GM139" t="e">
        <f>AND('STERLING CATALOG - DRY '!D3060,"AAAAAGX++8I=")</f>
        <v>#VALUE!</v>
      </c>
      <c r="GN139" t="e">
        <f>AND('STERLING CATALOG - DRY '!E3060,"AAAAAGX++8M=")</f>
        <v>#VALUE!</v>
      </c>
      <c r="GO139" t="e">
        <f>AND('STERLING CATALOG - DRY '!F3060,"AAAAAGX++8Q=")</f>
        <v>#VALUE!</v>
      </c>
      <c r="GP139" t="e">
        <f>AND('STERLING CATALOG - DRY '!G3060,"AAAAAGX++8U=")</f>
        <v>#VALUE!</v>
      </c>
      <c r="GQ139" t="e">
        <f>AND('STERLING CATALOG - DRY '!H3060,"AAAAAGX++8Y=")</f>
        <v>#VALUE!</v>
      </c>
      <c r="GR139" t="e">
        <f>AND('STERLING CATALOG - DRY '!I3060,"AAAAAGX++8c=")</f>
        <v>#VALUE!</v>
      </c>
      <c r="GS139" t="e">
        <f>AND('STERLING CATALOG - DRY '!J3060,"AAAAAGX++8g=")</f>
        <v>#VALUE!</v>
      </c>
      <c r="GT139">
        <f>IF('STERLING CATALOG - DRY '!3061:3061,"AAAAAGX++8k=",0)</f>
        <v>0</v>
      </c>
      <c r="GU139" t="e">
        <f>AND('STERLING CATALOG - DRY '!A3061,"AAAAAGX++8o=")</f>
        <v>#VALUE!</v>
      </c>
      <c r="GV139" t="e">
        <f>AND('STERLING CATALOG - DRY '!B3061,"AAAAAGX++8s=")</f>
        <v>#VALUE!</v>
      </c>
      <c r="GW139" t="e">
        <f>AND('STERLING CATALOG - DRY '!C3061,"AAAAAGX++8w=")</f>
        <v>#VALUE!</v>
      </c>
      <c r="GX139" t="e">
        <f>AND('STERLING CATALOG - DRY '!D3061,"AAAAAGX++80=")</f>
        <v>#VALUE!</v>
      </c>
      <c r="GY139" t="e">
        <f>AND('STERLING CATALOG - DRY '!E3061,"AAAAAGX++84=")</f>
        <v>#VALUE!</v>
      </c>
      <c r="GZ139" t="e">
        <f>AND('STERLING CATALOG - DRY '!F3061,"AAAAAGX++88=")</f>
        <v>#VALUE!</v>
      </c>
      <c r="HA139" t="e">
        <f>AND('STERLING CATALOG - DRY '!G3061,"AAAAAGX++9A=")</f>
        <v>#VALUE!</v>
      </c>
      <c r="HB139" t="e">
        <f>AND('STERLING CATALOG - DRY '!H3061,"AAAAAGX++9E=")</f>
        <v>#VALUE!</v>
      </c>
      <c r="HC139" t="e">
        <f>AND('STERLING CATALOG - DRY '!I3061,"AAAAAGX++9I=")</f>
        <v>#VALUE!</v>
      </c>
      <c r="HD139" t="e">
        <f>AND('STERLING CATALOG - DRY '!J3061,"AAAAAGX++9M=")</f>
        <v>#VALUE!</v>
      </c>
      <c r="HE139">
        <f>IF('STERLING CATALOG - DRY '!3062:3062,"AAAAAGX++9Q=",0)</f>
        <v>0</v>
      </c>
      <c r="HF139" t="e">
        <f>AND('STERLING CATALOG - DRY '!A3062,"AAAAAGX++9U=")</f>
        <v>#VALUE!</v>
      </c>
      <c r="HG139" t="e">
        <f>AND('STERLING CATALOG - DRY '!B3062,"AAAAAGX++9Y=")</f>
        <v>#VALUE!</v>
      </c>
      <c r="HH139" t="e">
        <f>AND('STERLING CATALOG - DRY '!C3062,"AAAAAGX++9c=")</f>
        <v>#VALUE!</v>
      </c>
      <c r="HI139" t="e">
        <f>AND('STERLING CATALOG - DRY '!D3062,"AAAAAGX++9g=")</f>
        <v>#VALUE!</v>
      </c>
      <c r="HJ139" t="e">
        <f>AND('STERLING CATALOG - DRY '!E3062,"AAAAAGX++9k=")</f>
        <v>#VALUE!</v>
      </c>
      <c r="HK139" t="e">
        <f>AND('STERLING CATALOG - DRY '!F3062,"AAAAAGX++9o=")</f>
        <v>#VALUE!</v>
      </c>
      <c r="HL139" t="e">
        <f>AND('STERLING CATALOG - DRY '!G3062,"AAAAAGX++9s=")</f>
        <v>#VALUE!</v>
      </c>
      <c r="HM139" t="e">
        <f>AND('STERLING CATALOG - DRY '!H3062,"AAAAAGX++9w=")</f>
        <v>#VALUE!</v>
      </c>
      <c r="HN139" t="e">
        <f>AND('STERLING CATALOG - DRY '!I3062,"AAAAAGX++90=")</f>
        <v>#VALUE!</v>
      </c>
      <c r="HO139" t="e">
        <f>AND('STERLING CATALOG - DRY '!J3062,"AAAAAGX++94=")</f>
        <v>#VALUE!</v>
      </c>
      <c r="HP139">
        <f>IF('STERLING CATALOG - DRY '!3063:3063,"AAAAAGX++98=",0)</f>
        <v>0</v>
      </c>
      <c r="HQ139" t="e">
        <f>AND('STERLING CATALOG - DRY '!A3063,"AAAAAGX+++A=")</f>
        <v>#VALUE!</v>
      </c>
      <c r="HR139" t="e">
        <f>AND('STERLING CATALOG - DRY '!B3063,"AAAAAGX+++E=")</f>
        <v>#VALUE!</v>
      </c>
      <c r="HS139" t="e">
        <f>AND('STERLING CATALOG - DRY '!C3063,"AAAAAGX+++I=")</f>
        <v>#VALUE!</v>
      </c>
      <c r="HT139" t="e">
        <f>AND('STERLING CATALOG - DRY '!D3063,"AAAAAGX+++M=")</f>
        <v>#VALUE!</v>
      </c>
      <c r="HU139" t="e">
        <f>AND('STERLING CATALOG - DRY '!E3063,"AAAAAGX+++Q=")</f>
        <v>#VALUE!</v>
      </c>
      <c r="HV139" t="e">
        <f>AND('STERLING CATALOG - DRY '!F3063,"AAAAAGX+++U=")</f>
        <v>#VALUE!</v>
      </c>
      <c r="HW139" t="e">
        <f>AND('STERLING CATALOG - DRY '!G3063,"AAAAAGX+++Y=")</f>
        <v>#VALUE!</v>
      </c>
      <c r="HX139" t="e">
        <f>AND('STERLING CATALOG - DRY '!H3063,"AAAAAGX+++c=")</f>
        <v>#VALUE!</v>
      </c>
      <c r="HY139" t="e">
        <f>AND('STERLING CATALOG - DRY '!I3063,"AAAAAGX+++g=")</f>
        <v>#VALUE!</v>
      </c>
      <c r="HZ139" t="e">
        <f>AND('STERLING CATALOG - DRY '!J3063,"AAAAAGX+++k=")</f>
        <v>#VALUE!</v>
      </c>
      <c r="IA139">
        <f>IF('STERLING CATALOG - DRY '!3064:3064,"AAAAAGX+++o=",0)</f>
        <v>0</v>
      </c>
      <c r="IB139" t="e">
        <f>AND('STERLING CATALOG - DRY '!A3064,"AAAAAGX+++s=")</f>
        <v>#VALUE!</v>
      </c>
      <c r="IC139" t="e">
        <f>AND('STERLING CATALOG - DRY '!B3064,"AAAAAGX+++w=")</f>
        <v>#VALUE!</v>
      </c>
      <c r="ID139" t="e">
        <f>AND('STERLING CATALOG - DRY '!C3064,"AAAAAGX+++0=")</f>
        <v>#VALUE!</v>
      </c>
      <c r="IE139" t="e">
        <f>AND('STERLING CATALOG - DRY '!D3064,"AAAAAGX+++4=")</f>
        <v>#VALUE!</v>
      </c>
      <c r="IF139" t="e">
        <f>AND('STERLING CATALOG - DRY '!E3064,"AAAAAGX+++8=")</f>
        <v>#VALUE!</v>
      </c>
      <c r="IG139" t="e">
        <f>AND('STERLING CATALOG - DRY '!F3064,"AAAAAGX++/A=")</f>
        <v>#VALUE!</v>
      </c>
      <c r="IH139" t="e">
        <f>AND('STERLING CATALOG - DRY '!G3064,"AAAAAGX++/E=")</f>
        <v>#VALUE!</v>
      </c>
      <c r="II139" t="e">
        <f>AND('STERLING CATALOG - DRY '!H3064,"AAAAAGX++/I=")</f>
        <v>#VALUE!</v>
      </c>
      <c r="IJ139" t="e">
        <f>AND('STERLING CATALOG - DRY '!I3064,"AAAAAGX++/M=")</f>
        <v>#VALUE!</v>
      </c>
      <c r="IK139" t="e">
        <f>AND('STERLING CATALOG - DRY '!J3064,"AAAAAGX++/Q=")</f>
        <v>#VALUE!</v>
      </c>
      <c r="IL139">
        <f>IF('STERLING CATALOG - DRY '!3065:3065,"AAAAAGX++/U=",0)</f>
        <v>0</v>
      </c>
      <c r="IM139" t="e">
        <f>AND('STERLING CATALOG - DRY '!A3065,"AAAAAGX++/Y=")</f>
        <v>#VALUE!</v>
      </c>
      <c r="IN139" t="e">
        <f>AND('STERLING CATALOG - DRY '!B3065,"AAAAAGX++/c=")</f>
        <v>#VALUE!</v>
      </c>
      <c r="IO139" t="e">
        <f>AND('STERLING CATALOG - DRY '!C3065,"AAAAAGX++/g=")</f>
        <v>#VALUE!</v>
      </c>
      <c r="IP139" t="e">
        <f>AND('STERLING CATALOG - DRY '!D3065,"AAAAAGX++/k=")</f>
        <v>#VALUE!</v>
      </c>
      <c r="IQ139" t="e">
        <f>AND('STERLING CATALOG - DRY '!E3065,"AAAAAGX++/o=")</f>
        <v>#VALUE!</v>
      </c>
      <c r="IR139" t="e">
        <f>AND('STERLING CATALOG - DRY '!F3065,"AAAAAGX++/s=")</f>
        <v>#VALUE!</v>
      </c>
      <c r="IS139" t="e">
        <f>AND('STERLING CATALOG - DRY '!G3065,"AAAAAGX++/w=")</f>
        <v>#VALUE!</v>
      </c>
      <c r="IT139" t="e">
        <f>AND('STERLING CATALOG - DRY '!H3065,"AAAAAGX++/0=")</f>
        <v>#VALUE!</v>
      </c>
      <c r="IU139" t="e">
        <f>AND('STERLING CATALOG - DRY '!I3065,"AAAAAGX++/4=")</f>
        <v>#VALUE!</v>
      </c>
      <c r="IV139" t="e">
        <f>AND('STERLING CATALOG - DRY '!J3065,"AAAAAGX++/8=")</f>
        <v>#VALUE!</v>
      </c>
    </row>
    <row r="140" spans="1:256">
      <c r="A140" t="str">
        <f>IF('STERLING CATALOG - DRY '!3066:3066,"AAAAADb77QA=",0)</f>
        <v>AAAAADb77QA=</v>
      </c>
      <c r="B140" t="e">
        <f>AND('STERLING CATALOG - DRY '!A3066,"AAAAADb77QE=")</f>
        <v>#VALUE!</v>
      </c>
      <c r="C140" t="e">
        <f>AND('STERLING CATALOG - DRY '!B3066,"AAAAADb77QI=")</f>
        <v>#VALUE!</v>
      </c>
      <c r="D140" t="e">
        <f>AND('STERLING CATALOG - DRY '!C3066,"AAAAADb77QM=")</f>
        <v>#VALUE!</v>
      </c>
      <c r="E140" t="e">
        <f>AND('STERLING CATALOG - DRY '!D3066,"AAAAADb77QQ=")</f>
        <v>#VALUE!</v>
      </c>
      <c r="F140" t="e">
        <f>AND('STERLING CATALOG - DRY '!E3066,"AAAAADb77QU=")</f>
        <v>#VALUE!</v>
      </c>
      <c r="G140" t="e">
        <f>AND('STERLING CATALOG - DRY '!F3066,"AAAAADb77QY=")</f>
        <v>#VALUE!</v>
      </c>
      <c r="H140" t="e">
        <f>AND('STERLING CATALOG - DRY '!G3066,"AAAAADb77Qc=")</f>
        <v>#VALUE!</v>
      </c>
      <c r="I140" t="e">
        <f>AND('STERLING CATALOG - DRY '!H3066,"AAAAADb77Qg=")</f>
        <v>#VALUE!</v>
      </c>
      <c r="J140" t="e">
        <f>AND('STERLING CATALOG - DRY '!I3066,"AAAAADb77Qk=")</f>
        <v>#VALUE!</v>
      </c>
      <c r="K140" t="e">
        <f>AND('STERLING CATALOG - DRY '!J3066,"AAAAADb77Qo=")</f>
        <v>#VALUE!</v>
      </c>
      <c r="L140">
        <f>IF('STERLING CATALOG - DRY '!3067:3067,"AAAAADb77Qs=",0)</f>
        <v>0</v>
      </c>
      <c r="M140" t="e">
        <f>AND('STERLING CATALOG - DRY '!A3067,"AAAAADb77Qw=")</f>
        <v>#VALUE!</v>
      </c>
      <c r="N140" t="e">
        <f>AND('STERLING CATALOG - DRY '!B3067,"AAAAADb77Q0=")</f>
        <v>#VALUE!</v>
      </c>
      <c r="O140" t="e">
        <f>AND('STERLING CATALOG - DRY '!C3067,"AAAAADb77Q4=")</f>
        <v>#VALUE!</v>
      </c>
      <c r="P140" t="e">
        <f>AND('STERLING CATALOG - DRY '!D3067,"AAAAADb77Q8=")</f>
        <v>#VALUE!</v>
      </c>
      <c r="Q140" t="e">
        <f>AND('STERLING CATALOG - DRY '!E3067,"AAAAADb77RA=")</f>
        <v>#VALUE!</v>
      </c>
      <c r="R140" t="e">
        <f>AND('STERLING CATALOG - DRY '!F3067,"AAAAADb77RE=")</f>
        <v>#VALUE!</v>
      </c>
      <c r="S140" t="e">
        <f>AND('STERLING CATALOG - DRY '!G3067,"AAAAADb77RI=")</f>
        <v>#VALUE!</v>
      </c>
      <c r="T140" t="e">
        <f>AND('STERLING CATALOG - DRY '!H3067,"AAAAADb77RM=")</f>
        <v>#VALUE!</v>
      </c>
      <c r="U140" t="e">
        <f>AND('STERLING CATALOG - DRY '!I3067,"AAAAADb77RQ=")</f>
        <v>#VALUE!</v>
      </c>
      <c r="V140" t="e">
        <f>AND('STERLING CATALOG - DRY '!J3067,"AAAAADb77RU=")</f>
        <v>#VALUE!</v>
      </c>
      <c r="W140">
        <f>IF('STERLING CATALOG - DRY '!3068:3068,"AAAAADb77RY=",0)</f>
        <v>0</v>
      </c>
      <c r="X140" t="e">
        <f>AND('STERLING CATALOG - DRY '!A3068,"AAAAADb77Rc=")</f>
        <v>#VALUE!</v>
      </c>
      <c r="Y140" t="e">
        <f>AND('STERLING CATALOG - DRY '!B3068,"AAAAADb77Rg=")</f>
        <v>#VALUE!</v>
      </c>
      <c r="Z140" t="e">
        <f>AND('STERLING CATALOG - DRY '!C3068,"AAAAADb77Rk=")</f>
        <v>#VALUE!</v>
      </c>
      <c r="AA140" t="e">
        <f>AND('STERLING CATALOG - DRY '!D3068,"AAAAADb77Ro=")</f>
        <v>#VALUE!</v>
      </c>
      <c r="AB140" t="e">
        <f>AND('STERLING CATALOG - DRY '!E3068,"AAAAADb77Rs=")</f>
        <v>#VALUE!</v>
      </c>
      <c r="AC140" t="e">
        <f>AND('STERLING CATALOG - DRY '!F3068,"AAAAADb77Rw=")</f>
        <v>#VALUE!</v>
      </c>
      <c r="AD140" t="e">
        <f>AND('STERLING CATALOG - DRY '!G3068,"AAAAADb77R0=")</f>
        <v>#VALUE!</v>
      </c>
      <c r="AE140" t="e">
        <f>AND('STERLING CATALOG - DRY '!H3068,"AAAAADb77R4=")</f>
        <v>#VALUE!</v>
      </c>
      <c r="AF140" t="e">
        <f>AND('STERLING CATALOG - DRY '!I3068,"AAAAADb77R8=")</f>
        <v>#VALUE!</v>
      </c>
      <c r="AG140" t="e">
        <f>AND('STERLING CATALOG - DRY '!J3068,"AAAAADb77SA=")</f>
        <v>#VALUE!</v>
      </c>
      <c r="AH140">
        <f>IF('STERLING CATALOG - DRY '!3069:3069,"AAAAADb77SE=",0)</f>
        <v>0</v>
      </c>
      <c r="AI140" t="e">
        <f>AND('STERLING CATALOG - DRY '!A3069,"AAAAADb77SI=")</f>
        <v>#VALUE!</v>
      </c>
      <c r="AJ140" t="e">
        <f>AND('STERLING CATALOG - DRY '!B3069,"AAAAADb77SM=")</f>
        <v>#VALUE!</v>
      </c>
      <c r="AK140" t="e">
        <f>AND('STERLING CATALOG - DRY '!C3069,"AAAAADb77SQ=")</f>
        <v>#VALUE!</v>
      </c>
      <c r="AL140" t="e">
        <f>AND('STERLING CATALOG - DRY '!D3069,"AAAAADb77SU=")</f>
        <v>#VALUE!</v>
      </c>
      <c r="AM140" t="e">
        <f>AND('STERLING CATALOG - DRY '!E3069,"AAAAADb77SY=")</f>
        <v>#VALUE!</v>
      </c>
      <c r="AN140" t="e">
        <f>AND('STERLING CATALOG - DRY '!F3069,"AAAAADb77Sc=")</f>
        <v>#VALUE!</v>
      </c>
      <c r="AO140" t="e">
        <f>AND('STERLING CATALOG - DRY '!G3069,"AAAAADb77Sg=")</f>
        <v>#VALUE!</v>
      </c>
      <c r="AP140" t="e">
        <f>AND('STERLING CATALOG - DRY '!H3069,"AAAAADb77Sk=")</f>
        <v>#VALUE!</v>
      </c>
      <c r="AQ140" t="e">
        <f>AND('STERLING CATALOG - DRY '!I3069,"AAAAADb77So=")</f>
        <v>#VALUE!</v>
      </c>
      <c r="AR140" t="e">
        <f>AND('STERLING CATALOG - DRY '!J3069,"AAAAADb77Ss=")</f>
        <v>#VALUE!</v>
      </c>
      <c r="AS140">
        <f>IF('STERLING CATALOG - DRY '!3070:3070,"AAAAADb77Sw=",0)</f>
        <v>0</v>
      </c>
      <c r="AT140" t="e">
        <f>AND('STERLING CATALOG - DRY '!A3070,"AAAAADb77S0=")</f>
        <v>#VALUE!</v>
      </c>
      <c r="AU140" t="e">
        <f>AND('STERLING CATALOG - DRY '!B3070,"AAAAADb77S4=")</f>
        <v>#VALUE!</v>
      </c>
      <c r="AV140" t="e">
        <f>AND('STERLING CATALOG - DRY '!C3070,"AAAAADb77S8=")</f>
        <v>#VALUE!</v>
      </c>
      <c r="AW140" t="e">
        <f>AND('STERLING CATALOG - DRY '!D3070,"AAAAADb77TA=")</f>
        <v>#VALUE!</v>
      </c>
      <c r="AX140" t="e">
        <f>AND('STERLING CATALOG - DRY '!E3070,"AAAAADb77TE=")</f>
        <v>#VALUE!</v>
      </c>
      <c r="AY140" t="e">
        <f>AND('STERLING CATALOG - DRY '!F3070,"AAAAADb77TI=")</f>
        <v>#VALUE!</v>
      </c>
      <c r="AZ140" t="e">
        <f>AND('STERLING CATALOG - DRY '!G3070,"AAAAADb77TM=")</f>
        <v>#VALUE!</v>
      </c>
      <c r="BA140" t="e">
        <f>AND('STERLING CATALOG - DRY '!H3070,"AAAAADb77TQ=")</f>
        <v>#VALUE!</v>
      </c>
      <c r="BB140" t="e">
        <f>AND('STERLING CATALOG - DRY '!I3070,"AAAAADb77TU=")</f>
        <v>#VALUE!</v>
      </c>
      <c r="BC140" t="e">
        <f>AND('STERLING CATALOG - DRY '!J3070,"AAAAADb77TY=")</f>
        <v>#VALUE!</v>
      </c>
      <c r="BD140">
        <f>IF('STERLING CATALOG - DRY '!3071:3071,"AAAAADb77Tc=",0)</f>
        <v>0</v>
      </c>
      <c r="BE140" t="e">
        <f>AND('STERLING CATALOG - DRY '!A3071,"AAAAADb77Tg=")</f>
        <v>#VALUE!</v>
      </c>
      <c r="BF140" t="e">
        <f>AND('STERLING CATALOG - DRY '!B3071,"AAAAADb77Tk=")</f>
        <v>#VALUE!</v>
      </c>
      <c r="BG140" t="e">
        <f>AND('STERLING CATALOG - DRY '!C3071,"AAAAADb77To=")</f>
        <v>#VALUE!</v>
      </c>
      <c r="BH140" t="e">
        <f>AND('STERLING CATALOG - DRY '!D3071,"AAAAADb77Ts=")</f>
        <v>#VALUE!</v>
      </c>
      <c r="BI140" t="e">
        <f>AND('STERLING CATALOG - DRY '!E3071,"AAAAADb77Tw=")</f>
        <v>#VALUE!</v>
      </c>
      <c r="BJ140" t="e">
        <f>AND('STERLING CATALOG - DRY '!F3071,"AAAAADb77T0=")</f>
        <v>#VALUE!</v>
      </c>
      <c r="BK140" t="e">
        <f>AND('STERLING CATALOG - DRY '!G3071,"AAAAADb77T4=")</f>
        <v>#VALUE!</v>
      </c>
      <c r="BL140" t="e">
        <f>AND('STERLING CATALOG - DRY '!H3071,"AAAAADb77T8=")</f>
        <v>#VALUE!</v>
      </c>
      <c r="BM140" t="e">
        <f>AND('STERLING CATALOG - DRY '!I3071,"AAAAADb77UA=")</f>
        <v>#VALUE!</v>
      </c>
      <c r="BN140" t="e">
        <f>AND('STERLING CATALOG - DRY '!J3071,"AAAAADb77UE=")</f>
        <v>#VALUE!</v>
      </c>
      <c r="BO140">
        <f>IF('STERLING CATALOG - DRY '!3072:3072,"AAAAADb77UI=",0)</f>
        <v>0</v>
      </c>
      <c r="BP140" t="e">
        <f>AND('STERLING CATALOG - DRY '!A3072,"AAAAADb77UM=")</f>
        <v>#VALUE!</v>
      </c>
      <c r="BQ140" t="e">
        <f>AND('STERLING CATALOG - DRY '!B3072,"AAAAADb77UQ=")</f>
        <v>#VALUE!</v>
      </c>
      <c r="BR140" t="e">
        <f>AND('STERLING CATALOG - DRY '!C3072,"AAAAADb77UU=")</f>
        <v>#VALUE!</v>
      </c>
      <c r="BS140" t="e">
        <f>AND('STERLING CATALOG - DRY '!D3072,"AAAAADb77UY=")</f>
        <v>#VALUE!</v>
      </c>
      <c r="BT140" t="e">
        <f>AND('STERLING CATALOG - DRY '!E3072,"AAAAADb77Uc=")</f>
        <v>#VALUE!</v>
      </c>
      <c r="BU140" t="e">
        <f>AND('STERLING CATALOG - DRY '!F3072,"AAAAADb77Ug=")</f>
        <v>#VALUE!</v>
      </c>
      <c r="BV140" t="e">
        <f>AND('STERLING CATALOG - DRY '!G3072,"AAAAADb77Uk=")</f>
        <v>#VALUE!</v>
      </c>
      <c r="BW140" t="e">
        <f>AND('STERLING CATALOG - DRY '!H3072,"AAAAADb77Uo=")</f>
        <v>#VALUE!</v>
      </c>
      <c r="BX140" t="e">
        <f>AND('STERLING CATALOG - DRY '!I3072,"AAAAADb77Us=")</f>
        <v>#VALUE!</v>
      </c>
      <c r="BY140" t="e">
        <f>AND('STERLING CATALOG - DRY '!J3072,"AAAAADb77Uw=")</f>
        <v>#VALUE!</v>
      </c>
      <c r="BZ140">
        <f>IF('STERLING CATALOG - DRY '!3073:3073,"AAAAADb77U0=",0)</f>
        <v>0</v>
      </c>
      <c r="CA140" t="e">
        <f>AND('STERLING CATALOG - DRY '!A3073,"AAAAADb77U4=")</f>
        <v>#VALUE!</v>
      </c>
      <c r="CB140" t="e">
        <f>AND('STERLING CATALOG - DRY '!B3073,"AAAAADb77U8=")</f>
        <v>#VALUE!</v>
      </c>
      <c r="CC140" t="e">
        <f>AND('STERLING CATALOG - DRY '!C3073,"AAAAADb77VA=")</f>
        <v>#VALUE!</v>
      </c>
      <c r="CD140" t="e">
        <f>AND('STERLING CATALOG - DRY '!D3073,"AAAAADb77VE=")</f>
        <v>#VALUE!</v>
      </c>
      <c r="CE140" t="e">
        <f>AND('STERLING CATALOG - DRY '!E3073,"AAAAADb77VI=")</f>
        <v>#VALUE!</v>
      </c>
      <c r="CF140" t="e">
        <f>AND('STERLING CATALOG - DRY '!F3073,"AAAAADb77VM=")</f>
        <v>#VALUE!</v>
      </c>
      <c r="CG140" t="e">
        <f>AND('STERLING CATALOG - DRY '!G3073,"AAAAADb77VQ=")</f>
        <v>#VALUE!</v>
      </c>
      <c r="CH140" t="e">
        <f>AND('STERLING CATALOG - DRY '!H3073,"AAAAADb77VU=")</f>
        <v>#VALUE!</v>
      </c>
      <c r="CI140" t="e">
        <f>AND('STERLING CATALOG - DRY '!I3073,"AAAAADb77VY=")</f>
        <v>#VALUE!</v>
      </c>
      <c r="CJ140" t="e">
        <f>AND('STERLING CATALOG - DRY '!J3073,"AAAAADb77Vc=")</f>
        <v>#VALUE!</v>
      </c>
      <c r="CK140">
        <f>IF('STERLING CATALOG - DRY '!3074:3074,"AAAAADb77Vg=",0)</f>
        <v>0</v>
      </c>
      <c r="CL140" t="e">
        <f>AND('STERLING CATALOG - DRY '!A3074,"AAAAADb77Vk=")</f>
        <v>#VALUE!</v>
      </c>
      <c r="CM140" t="e">
        <f>AND('STERLING CATALOG - DRY '!B3074,"AAAAADb77Vo=")</f>
        <v>#VALUE!</v>
      </c>
      <c r="CN140" t="e">
        <f>AND('STERLING CATALOG - DRY '!C3074,"AAAAADb77Vs=")</f>
        <v>#VALUE!</v>
      </c>
      <c r="CO140" t="e">
        <f>AND('STERLING CATALOG - DRY '!D3074,"AAAAADb77Vw=")</f>
        <v>#VALUE!</v>
      </c>
      <c r="CP140" t="e">
        <f>AND('STERLING CATALOG - DRY '!E3074,"AAAAADb77V0=")</f>
        <v>#VALUE!</v>
      </c>
      <c r="CQ140" t="e">
        <f>AND('STERLING CATALOG - DRY '!F3074,"AAAAADb77V4=")</f>
        <v>#VALUE!</v>
      </c>
      <c r="CR140" t="e">
        <f>AND('STERLING CATALOG - DRY '!G3074,"AAAAADb77V8=")</f>
        <v>#VALUE!</v>
      </c>
      <c r="CS140" t="e">
        <f>AND('STERLING CATALOG - DRY '!H3074,"AAAAADb77WA=")</f>
        <v>#VALUE!</v>
      </c>
      <c r="CT140" t="e">
        <f>AND('STERLING CATALOG - DRY '!I3074,"AAAAADb77WE=")</f>
        <v>#VALUE!</v>
      </c>
      <c r="CU140" t="e">
        <f>AND('STERLING CATALOG - DRY '!J3074,"AAAAADb77WI=")</f>
        <v>#VALUE!</v>
      </c>
      <c r="CV140">
        <f>IF('STERLING CATALOG - DRY '!3075:3075,"AAAAADb77WM=",0)</f>
        <v>0</v>
      </c>
      <c r="CW140" t="e">
        <f>AND('STERLING CATALOG - DRY '!A3075,"AAAAADb77WQ=")</f>
        <v>#VALUE!</v>
      </c>
      <c r="CX140" t="e">
        <f>AND('STERLING CATALOG - DRY '!B3075,"AAAAADb77WU=")</f>
        <v>#VALUE!</v>
      </c>
      <c r="CY140" t="e">
        <f>AND('STERLING CATALOG - DRY '!C3075,"AAAAADb77WY=")</f>
        <v>#VALUE!</v>
      </c>
      <c r="CZ140" t="e">
        <f>AND('STERLING CATALOG - DRY '!D3075,"AAAAADb77Wc=")</f>
        <v>#VALUE!</v>
      </c>
      <c r="DA140" t="e">
        <f>AND('STERLING CATALOG - DRY '!E3075,"AAAAADb77Wg=")</f>
        <v>#VALUE!</v>
      </c>
      <c r="DB140" t="e">
        <f>AND('STERLING CATALOG - DRY '!F3075,"AAAAADb77Wk=")</f>
        <v>#VALUE!</v>
      </c>
      <c r="DC140" t="e">
        <f>AND('STERLING CATALOG - DRY '!G3075,"AAAAADb77Wo=")</f>
        <v>#VALUE!</v>
      </c>
      <c r="DD140" t="e">
        <f>AND('STERLING CATALOG - DRY '!H3075,"AAAAADb77Ws=")</f>
        <v>#VALUE!</v>
      </c>
      <c r="DE140" t="e">
        <f>AND('STERLING CATALOG - DRY '!I3075,"AAAAADb77Ww=")</f>
        <v>#VALUE!</v>
      </c>
      <c r="DF140" t="e">
        <f>AND('STERLING CATALOG - DRY '!J3075,"AAAAADb77W0=")</f>
        <v>#VALUE!</v>
      </c>
      <c r="DG140">
        <f>IF('STERLING CATALOG - DRY '!3076:3076,"AAAAADb77W4=",0)</f>
        <v>0</v>
      </c>
      <c r="DH140" t="e">
        <f>AND('STERLING CATALOG - DRY '!A3076,"AAAAADb77W8=")</f>
        <v>#VALUE!</v>
      </c>
      <c r="DI140" t="e">
        <f>AND('STERLING CATALOG - DRY '!B3076,"AAAAADb77XA=")</f>
        <v>#VALUE!</v>
      </c>
      <c r="DJ140" t="e">
        <f>AND('STERLING CATALOG - DRY '!C3076,"AAAAADb77XE=")</f>
        <v>#VALUE!</v>
      </c>
      <c r="DK140" t="e">
        <f>AND('STERLING CATALOG - DRY '!D3076,"AAAAADb77XI=")</f>
        <v>#VALUE!</v>
      </c>
      <c r="DL140" t="e">
        <f>AND('STERLING CATALOG - DRY '!E3076,"AAAAADb77XM=")</f>
        <v>#VALUE!</v>
      </c>
      <c r="DM140" t="e">
        <f>AND('STERLING CATALOG - DRY '!F3076,"AAAAADb77XQ=")</f>
        <v>#VALUE!</v>
      </c>
      <c r="DN140" t="e">
        <f>AND('STERLING CATALOG - DRY '!G3076,"AAAAADb77XU=")</f>
        <v>#VALUE!</v>
      </c>
      <c r="DO140" t="e">
        <f>AND('STERLING CATALOG - DRY '!H3076,"AAAAADb77XY=")</f>
        <v>#VALUE!</v>
      </c>
      <c r="DP140" t="e">
        <f>AND('STERLING CATALOG - DRY '!I3076,"AAAAADb77Xc=")</f>
        <v>#VALUE!</v>
      </c>
      <c r="DQ140" t="e">
        <f>AND('STERLING CATALOG - DRY '!J3076,"AAAAADb77Xg=")</f>
        <v>#VALUE!</v>
      </c>
      <c r="DR140">
        <f>IF('STERLING CATALOG - DRY '!3077:3077,"AAAAADb77Xk=",0)</f>
        <v>0</v>
      </c>
      <c r="DS140" t="e">
        <f>AND('STERLING CATALOG - DRY '!A3077,"AAAAADb77Xo=")</f>
        <v>#VALUE!</v>
      </c>
      <c r="DT140" t="e">
        <f>AND('STERLING CATALOG - DRY '!B3077,"AAAAADb77Xs=")</f>
        <v>#VALUE!</v>
      </c>
      <c r="DU140" t="e">
        <f>AND('STERLING CATALOG - DRY '!C3077,"AAAAADb77Xw=")</f>
        <v>#VALUE!</v>
      </c>
      <c r="DV140" t="e">
        <f>AND('STERLING CATALOG - DRY '!D3077,"AAAAADb77X0=")</f>
        <v>#VALUE!</v>
      </c>
      <c r="DW140" t="e">
        <f>AND('STERLING CATALOG - DRY '!E3077,"AAAAADb77X4=")</f>
        <v>#VALUE!</v>
      </c>
      <c r="DX140" t="e">
        <f>AND('STERLING CATALOG - DRY '!F3077,"AAAAADb77X8=")</f>
        <v>#VALUE!</v>
      </c>
      <c r="DY140" t="e">
        <f>AND('STERLING CATALOG - DRY '!G3077,"AAAAADb77YA=")</f>
        <v>#VALUE!</v>
      </c>
      <c r="DZ140" t="e">
        <f>AND('STERLING CATALOG - DRY '!H3077,"AAAAADb77YE=")</f>
        <v>#VALUE!</v>
      </c>
      <c r="EA140" t="e">
        <f>AND('STERLING CATALOG - DRY '!I3077,"AAAAADb77YI=")</f>
        <v>#VALUE!</v>
      </c>
      <c r="EB140" t="e">
        <f>AND('STERLING CATALOG - DRY '!J3077,"AAAAADb77YM=")</f>
        <v>#VALUE!</v>
      </c>
      <c r="EC140">
        <f>IF('STERLING CATALOG - DRY '!3078:3078,"AAAAADb77YQ=",0)</f>
        <v>0</v>
      </c>
      <c r="ED140" t="e">
        <f>AND('STERLING CATALOG - DRY '!A3078,"AAAAADb77YU=")</f>
        <v>#VALUE!</v>
      </c>
      <c r="EE140" t="e">
        <f>AND('STERLING CATALOG - DRY '!B3078,"AAAAADb77YY=")</f>
        <v>#VALUE!</v>
      </c>
      <c r="EF140" t="e">
        <f>AND('STERLING CATALOG - DRY '!C3078,"AAAAADb77Yc=")</f>
        <v>#VALUE!</v>
      </c>
      <c r="EG140" t="e">
        <f>AND('STERLING CATALOG - DRY '!D3078,"AAAAADb77Yg=")</f>
        <v>#VALUE!</v>
      </c>
      <c r="EH140" t="e">
        <f>AND('STERLING CATALOG - DRY '!E3078,"AAAAADb77Yk=")</f>
        <v>#VALUE!</v>
      </c>
      <c r="EI140" t="e">
        <f>AND('STERLING CATALOG - DRY '!F3078,"AAAAADb77Yo=")</f>
        <v>#VALUE!</v>
      </c>
      <c r="EJ140" t="e">
        <f>AND('STERLING CATALOG - DRY '!G3078,"AAAAADb77Ys=")</f>
        <v>#VALUE!</v>
      </c>
      <c r="EK140" t="e">
        <f>AND('STERLING CATALOG - DRY '!H3078,"AAAAADb77Yw=")</f>
        <v>#VALUE!</v>
      </c>
      <c r="EL140" t="e">
        <f>AND('STERLING CATALOG - DRY '!I3078,"AAAAADb77Y0=")</f>
        <v>#VALUE!</v>
      </c>
      <c r="EM140" t="e">
        <f>AND('STERLING CATALOG - DRY '!J3078,"AAAAADb77Y4=")</f>
        <v>#VALUE!</v>
      </c>
      <c r="EN140">
        <f>IF('STERLING CATALOG - DRY '!3079:3079,"AAAAADb77Y8=",0)</f>
        <v>0</v>
      </c>
      <c r="EO140" t="e">
        <f>AND('STERLING CATALOG - DRY '!A3079,"AAAAADb77ZA=")</f>
        <v>#VALUE!</v>
      </c>
      <c r="EP140" t="e">
        <f>AND('STERLING CATALOG - DRY '!B3079,"AAAAADb77ZE=")</f>
        <v>#VALUE!</v>
      </c>
      <c r="EQ140" t="e">
        <f>AND('STERLING CATALOG - DRY '!C3079,"AAAAADb77ZI=")</f>
        <v>#VALUE!</v>
      </c>
      <c r="ER140" t="e">
        <f>AND('STERLING CATALOG - DRY '!D3079,"AAAAADb77ZM=")</f>
        <v>#VALUE!</v>
      </c>
      <c r="ES140" t="e">
        <f>AND('STERLING CATALOG - DRY '!E3079,"AAAAADb77ZQ=")</f>
        <v>#VALUE!</v>
      </c>
      <c r="ET140" t="e">
        <f>AND('STERLING CATALOG - DRY '!F3079,"AAAAADb77ZU=")</f>
        <v>#VALUE!</v>
      </c>
      <c r="EU140" t="e">
        <f>AND('STERLING CATALOG - DRY '!G3079,"AAAAADb77ZY=")</f>
        <v>#VALUE!</v>
      </c>
      <c r="EV140" t="e">
        <f>AND('STERLING CATALOG - DRY '!H3079,"AAAAADb77Zc=")</f>
        <v>#VALUE!</v>
      </c>
      <c r="EW140" t="e">
        <f>AND('STERLING CATALOG - DRY '!I3079,"AAAAADb77Zg=")</f>
        <v>#VALUE!</v>
      </c>
      <c r="EX140" t="e">
        <f>AND('STERLING CATALOG - DRY '!J3079,"AAAAADb77Zk=")</f>
        <v>#VALUE!</v>
      </c>
      <c r="EY140">
        <f>IF('STERLING CATALOG - DRY '!3080:3080,"AAAAADb77Zo=",0)</f>
        <v>0</v>
      </c>
      <c r="EZ140" t="e">
        <f>AND('STERLING CATALOG - DRY '!A3080,"AAAAADb77Zs=")</f>
        <v>#VALUE!</v>
      </c>
      <c r="FA140" t="e">
        <f>AND('STERLING CATALOG - DRY '!B3080,"AAAAADb77Zw=")</f>
        <v>#VALUE!</v>
      </c>
      <c r="FB140" t="e">
        <f>AND('STERLING CATALOG - DRY '!C3080,"AAAAADb77Z0=")</f>
        <v>#VALUE!</v>
      </c>
      <c r="FC140" t="e">
        <f>AND('STERLING CATALOG - DRY '!D3080,"AAAAADb77Z4=")</f>
        <v>#VALUE!</v>
      </c>
      <c r="FD140" t="e">
        <f>AND('STERLING CATALOG - DRY '!E3080,"AAAAADb77Z8=")</f>
        <v>#VALUE!</v>
      </c>
      <c r="FE140" t="e">
        <f>AND('STERLING CATALOG - DRY '!F3080,"AAAAADb77aA=")</f>
        <v>#VALUE!</v>
      </c>
      <c r="FF140" t="e">
        <f>AND('STERLING CATALOG - DRY '!G3080,"AAAAADb77aE=")</f>
        <v>#VALUE!</v>
      </c>
      <c r="FG140" t="e">
        <f>AND('STERLING CATALOG - DRY '!H3080,"AAAAADb77aI=")</f>
        <v>#VALUE!</v>
      </c>
      <c r="FH140" t="e">
        <f>AND('STERLING CATALOG - DRY '!I3080,"AAAAADb77aM=")</f>
        <v>#VALUE!</v>
      </c>
      <c r="FI140" t="e">
        <f>AND('STERLING CATALOG - DRY '!J3080,"AAAAADb77aQ=")</f>
        <v>#VALUE!</v>
      </c>
      <c r="FJ140">
        <f>IF('STERLING CATALOG - DRY '!3081:3081,"AAAAADb77aU=",0)</f>
        <v>0</v>
      </c>
      <c r="FK140" t="e">
        <f>AND('STERLING CATALOG - DRY '!A3081,"AAAAADb77aY=")</f>
        <v>#VALUE!</v>
      </c>
      <c r="FL140" t="e">
        <f>AND('STERLING CATALOG - DRY '!B3081,"AAAAADb77ac=")</f>
        <v>#VALUE!</v>
      </c>
      <c r="FM140" t="e">
        <f>AND('STERLING CATALOG - DRY '!C3081,"AAAAADb77ag=")</f>
        <v>#VALUE!</v>
      </c>
      <c r="FN140" t="e">
        <f>AND('STERLING CATALOG - DRY '!D3081,"AAAAADb77ak=")</f>
        <v>#VALUE!</v>
      </c>
      <c r="FO140" t="e">
        <f>AND('STERLING CATALOG - DRY '!E3081,"AAAAADb77ao=")</f>
        <v>#VALUE!</v>
      </c>
      <c r="FP140" t="e">
        <f>AND('STERLING CATALOG - DRY '!F3081,"AAAAADb77as=")</f>
        <v>#VALUE!</v>
      </c>
      <c r="FQ140" t="e">
        <f>AND('STERLING CATALOG - DRY '!G3081,"AAAAADb77aw=")</f>
        <v>#VALUE!</v>
      </c>
      <c r="FR140" t="e">
        <f>AND('STERLING CATALOG - DRY '!H3081,"AAAAADb77a0=")</f>
        <v>#VALUE!</v>
      </c>
      <c r="FS140" t="e">
        <f>AND('STERLING CATALOG - DRY '!I3081,"AAAAADb77a4=")</f>
        <v>#VALUE!</v>
      </c>
      <c r="FT140" t="e">
        <f>AND('STERLING CATALOG - DRY '!J3081,"AAAAADb77a8=")</f>
        <v>#VALUE!</v>
      </c>
      <c r="FU140">
        <f>IF('STERLING CATALOG - DRY '!3082:3082,"AAAAADb77bA=",0)</f>
        <v>0</v>
      </c>
      <c r="FV140" t="e">
        <f>AND('STERLING CATALOG - DRY '!A3082,"AAAAADb77bE=")</f>
        <v>#VALUE!</v>
      </c>
      <c r="FW140" t="e">
        <f>AND('STERLING CATALOG - DRY '!B3082,"AAAAADb77bI=")</f>
        <v>#VALUE!</v>
      </c>
      <c r="FX140" t="e">
        <f>AND('STERLING CATALOG - DRY '!C3082,"AAAAADb77bM=")</f>
        <v>#VALUE!</v>
      </c>
      <c r="FY140" t="e">
        <f>AND('STERLING CATALOG - DRY '!D3082,"AAAAADb77bQ=")</f>
        <v>#VALUE!</v>
      </c>
      <c r="FZ140" t="e">
        <f>AND('STERLING CATALOG - DRY '!E3082,"AAAAADb77bU=")</f>
        <v>#VALUE!</v>
      </c>
      <c r="GA140" t="e">
        <f>AND('STERLING CATALOG - DRY '!F3082,"AAAAADb77bY=")</f>
        <v>#VALUE!</v>
      </c>
      <c r="GB140" t="e">
        <f>AND('STERLING CATALOG - DRY '!G3082,"AAAAADb77bc=")</f>
        <v>#VALUE!</v>
      </c>
      <c r="GC140" t="e">
        <f>AND('STERLING CATALOG - DRY '!H3082,"AAAAADb77bg=")</f>
        <v>#VALUE!</v>
      </c>
      <c r="GD140" t="e">
        <f>AND('STERLING CATALOG - DRY '!I3082,"AAAAADb77bk=")</f>
        <v>#VALUE!</v>
      </c>
      <c r="GE140" t="e">
        <f>AND('STERLING CATALOG - DRY '!J3082,"AAAAADb77bo=")</f>
        <v>#VALUE!</v>
      </c>
      <c r="GF140">
        <f>IF('STERLING CATALOG - DRY '!3083:3083,"AAAAADb77bs=",0)</f>
        <v>0</v>
      </c>
      <c r="GG140" t="e">
        <f>AND('STERLING CATALOG - DRY '!A3083,"AAAAADb77bw=")</f>
        <v>#VALUE!</v>
      </c>
      <c r="GH140" t="e">
        <f>AND('STERLING CATALOG - DRY '!B3083,"AAAAADb77b0=")</f>
        <v>#VALUE!</v>
      </c>
      <c r="GI140" t="e">
        <f>AND('STERLING CATALOG - DRY '!C3083,"AAAAADb77b4=")</f>
        <v>#VALUE!</v>
      </c>
      <c r="GJ140" t="e">
        <f>AND('STERLING CATALOG - DRY '!D3083,"AAAAADb77b8=")</f>
        <v>#VALUE!</v>
      </c>
      <c r="GK140" t="e">
        <f>AND('STERLING CATALOG - DRY '!E3083,"AAAAADb77cA=")</f>
        <v>#VALUE!</v>
      </c>
      <c r="GL140" t="e">
        <f>AND('STERLING CATALOG - DRY '!F3083,"AAAAADb77cE=")</f>
        <v>#VALUE!</v>
      </c>
      <c r="GM140" t="e">
        <f>AND('STERLING CATALOG - DRY '!G3083,"AAAAADb77cI=")</f>
        <v>#VALUE!</v>
      </c>
      <c r="GN140" t="e">
        <f>AND('STERLING CATALOG - DRY '!H3083,"AAAAADb77cM=")</f>
        <v>#VALUE!</v>
      </c>
      <c r="GO140" t="e">
        <f>AND('STERLING CATALOG - DRY '!I3083,"AAAAADb77cQ=")</f>
        <v>#VALUE!</v>
      </c>
      <c r="GP140" t="e">
        <f>AND('STERLING CATALOG - DRY '!J3083,"AAAAADb77cU=")</f>
        <v>#VALUE!</v>
      </c>
      <c r="GQ140">
        <f>IF('STERLING CATALOG - DRY '!3084:3084,"AAAAADb77cY=",0)</f>
        <v>0</v>
      </c>
      <c r="GR140" t="e">
        <f>AND('STERLING CATALOG - DRY '!A3084,"AAAAADb77cc=")</f>
        <v>#VALUE!</v>
      </c>
      <c r="GS140" t="e">
        <f>AND('STERLING CATALOG - DRY '!B3084,"AAAAADb77cg=")</f>
        <v>#VALUE!</v>
      </c>
      <c r="GT140" t="e">
        <f>AND('STERLING CATALOG - DRY '!C3084,"AAAAADb77ck=")</f>
        <v>#VALUE!</v>
      </c>
      <c r="GU140" t="e">
        <f>AND('STERLING CATALOG - DRY '!D3084,"AAAAADb77co=")</f>
        <v>#VALUE!</v>
      </c>
      <c r="GV140" t="e">
        <f>AND('STERLING CATALOG - DRY '!E3084,"AAAAADb77cs=")</f>
        <v>#VALUE!</v>
      </c>
      <c r="GW140" t="e">
        <f>AND('STERLING CATALOG - DRY '!F3084,"AAAAADb77cw=")</f>
        <v>#VALUE!</v>
      </c>
      <c r="GX140" t="e">
        <f>AND('STERLING CATALOG - DRY '!G3084,"AAAAADb77c0=")</f>
        <v>#VALUE!</v>
      </c>
      <c r="GY140" t="e">
        <f>AND('STERLING CATALOG - DRY '!H3084,"AAAAADb77c4=")</f>
        <v>#VALUE!</v>
      </c>
      <c r="GZ140" t="e">
        <f>AND('STERLING CATALOG - DRY '!I3084,"AAAAADb77c8=")</f>
        <v>#VALUE!</v>
      </c>
      <c r="HA140" t="e">
        <f>AND('STERLING CATALOG - DRY '!J3084,"AAAAADb77dA=")</f>
        <v>#VALUE!</v>
      </c>
      <c r="HB140">
        <f>IF('STERLING CATALOG - DRY '!3085:3085,"AAAAADb77dE=",0)</f>
        <v>0</v>
      </c>
      <c r="HC140" t="e">
        <f>AND('STERLING CATALOG - DRY '!A3085,"AAAAADb77dI=")</f>
        <v>#VALUE!</v>
      </c>
      <c r="HD140" t="e">
        <f>AND('STERLING CATALOG - DRY '!B3085,"AAAAADb77dM=")</f>
        <v>#VALUE!</v>
      </c>
      <c r="HE140" t="e">
        <f>AND('STERLING CATALOG - DRY '!C3085,"AAAAADb77dQ=")</f>
        <v>#VALUE!</v>
      </c>
      <c r="HF140" t="e">
        <f>AND('STERLING CATALOG - DRY '!D3085,"AAAAADb77dU=")</f>
        <v>#VALUE!</v>
      </c>
      <c r="HG140" t="e">
        <f>AND('STERLING CATALOG - DRY '!E3085,"AAAAADb77dY=")</f>
        <v>#VALUE!</v>
      </c>
      <c r="HH140" t="e">
        <f>AND('STERLING CATALOG - DRY '!F3085,"AAAAADb77dc=")</f>
        <v>#VALUE!</v>
      </c>
      <c r="HI140" t="e">
        <f>AND('STERLING CATALOG - DRY '!G3085,"AAAAADb77dg=")</f>
        <v>#VALUE!</v>
      </c>
      <c r="HJ140" t="e">
        <f>AND('STERLING CATALOG - DRY '!H3085,"AAAAADb77dk=")</f>
        <v>#VALUE!</v>
      </c>
      <c r="HK140" t="e">
        <f>AND('STERLING CATALOG - DRY '!I3085,"AAAAADb77do=")</f>
        <v>#VALUE!</v>
      </c>
      <c r="HL140" t="e">
        <f>AND('STERLING CATALOG - DRY '!J3085,"AAAAADb77ds=")</f>
        <v>#VALUE!</v>
      </c>
      <c r="HM140">
        <f>IF('STERLING CATALOG - DRY '!3086:3086,"AAAAADb77dw=",0)</f>
        <v>0</v>
      </c>
      <c r="HN140" t="e">
        <f>AND('STERLING CATALOG - DRY '!A3086,"AAAAADb77d0=")</f>
        <v>#VALUE!</v>
      </c>
      <c r="HO140" t="e">
        <f>AND('STERLING CATALOG - DRY '!B3086,"AAAAADb77d4=")</f>
        <v>#VALUE!</v>
      </c>
      <c r="HP140" t="e">
        <f>AND('STERLING CATALOG - DRY '!C3086,"AAAAADb77d8=")</f>
        <v>#VALUE!</v>
      </c>
      <c r="HQ140" t="e">
        <f>AND('STERLING CATALOG - DRY '!D3086,"AAAAADb77eA=")</f>
        <v>#VALUE!</v>
      </c>
      <c r="HR140" t="e">
        <f>AND('STERLING CATALOG - DRY '!E3086,"AAAAADb77eE=")</f>
        <v>#VALUE!</v>
      </c>
      <c r="HS140" t="e">
        <f>AND('STERLING CATALOG - DRY '!F3086,"AAAAADb77eI=")</f>
        <v>#VALUE!</v>
      </c>
      <c r="HT140" t="e">
        <f>AND('STERLING CATALOG - DRY '!G3086,"AAAAADb77eM=")</f>
        <v>#VALUE!</v>
      </c>
      <c r="HU140" t="e">
        <f>AND('STERLING CATALOG - DRY '!H3086,"AAAAADb77eQ=")</f>
        <v>#VALUE!</v>
      </c>
      <c r="HV140" t="e">
        <f>AND('STERLING CATALOG - DRY '!I3086,"AAAAADb77eU=")</f>
        <v>#VALUE!</v>
      </c>
      <c r="HW140" t="e">
        <f>AND('STERLING CATALOG - DRY '!J3086,"AAAAADb77eY=")</f>
        <v>#VALUE!</v>
      </c>
      <c r="HX140">
        <f>IF('STERLING CATALOG - DRY '!3087:3087,"AAAAADb77ec=",0)</f>
        <v>0</v>
      </c>
      <c r="HY140" t="e">
        <f>AND('STERLING CATALOG - DRY '!A3087,"AAAAADb77eg=")</f>
        <v>#VALUE!</v>
      </c>
      <c r="HZ140" t="e">
        <f>AND('STERLING CATALOG - DRY '!B3087,"AAAAADb77ek=")</f>
        <v>#VALUE!</v>
      </c>
      <c r="IA140" t="e">
        <f>AND('STERLING CATALOG - DRY '!C3087,"AAAAADb77eo=")</f>
        <v>#VALUE!</v>
      </c>
      <c r="IB140" t="e">
        <f>AND('STERLING CATALOG - DRY '!D3087,"AAAAADb77es=")</f>
        <v>#VALUE!</v>
      </c>
      <c r="IC140" t="e">
        <f>AND('STERLING CATALOG - DRY '!E3087,"AAAAADb77ew=")</f>
        <v>#VALUE!</v>
      </c>
      <c r="ID140" t="e">
        <f>AND('STERLING CATALOG - DRY '!F3087,"AAAAADb77e0=")</f>
        <v>#VALUE!</v>
      </c>
      <c r="IE140" t="e">
        <f>AND('STERLING CATALOG - DRY '!G3087,"AAAAADb77e4=")</f>
        <v>#VALUE!</v>
      </c>
      <c r="IF140" t="e">
        <f>AND('STERLING CATALOG - DRY '!H3087,"AAAAADb77e8=")</f>
        <v>#VALUE!</v>
      </c>
      <c r="IG140" t="e">
        <f>AND('STERLING CATALOG - DRY '!I3087,"AAAAADb77fA=")</f>
        <v>#VALUE!</v>
      </c>
      <c r="IH140" t="e">
        <f>AND('STERLING CATALOG - DRY '!J3087,"AAAAADb77fE=")</f>
        <v>#VALUE!</v>
      </c>
      <c r="II140">
        <f>IF('STERLING CATALOG - DRY '!3088:3088,"AAAAADb77fI=",0)</f>
        <v>0</v>
      </c>
      <c r="IJ140" t="e">
        <f>AND('STERLING CATALOG - DRY '!A3088,"AAAAADb77fM=")</f>
        <v>#VALUE!</v>
      </c>
      <c r="IK140" t="e">
        <f>AND('STERLING CATALOG - DRY '!B3088,"AAAAADb77fQ=")</f>
        <v>#VALUE!</v>
      </c>
      <c r="IL140" t="e">
        <f>AND('STERLING CATALOG - DRY '!C3088,"AAAAADb77fU=")</f>
        <v>#VALUE!</v>
      </c>
      <c r="IM140" t="e">
        <f>AND('STERLING CATALOG - DRY '!D3088,"AAAAADb77fY=")</f>
        <v>#VALUE!</v>
      </c>
      <c r="IN140" t="e">
        <f>AND('STERLING CATALOG - DRY '!E3088,"AAAAADb77fc=")</f>
        <v>#VALUE!</v>
      </c>
      <c r="IO140" t="e">
        <f>AND('STERLING CATALOG - DRY '!F3088,"AAAAADb77fg=")</f>
        <v>#VALUE!</v>
      </c>
      <c r="IP140" t="e">
        <f>AND('STERLING CATALOG - DRY '!G3088,"AAAAADb77fk=")</f>
        <v>#VALUE!</v>
      </c>
      <c r="IQ140" t="e">
        <f>AND('STERLING CATALOG - DRY '!H3088,"AAAAADb77fo=")</f>
        <v>#VALUE!</v>
      </c>
      <c r="IR140" t="e">
        <f>AND('STERLING CATALOG - DRY '!I3088,"AAAAADb77fs=")</f>
        <v>#VALUE!</v>
      </c>
      <c r="IS140" t="e">
        <f>AND('STERLING CATALOG - DRY '!J3088,"AAAAADb77fw=")</f>
        <v>#VALUE!</v>
      </c>
      <c r="IT140">
        <f>IF('STERLING CATALOG - DRY '!3089:3089,"AAAAADb77f0=",0)</f>
        <v>0</v>
      </c>
      <c r="IU140" t="e">
        <f>AND('STERLING CATALOG - DRY '!A3089,"AAAAADb77f4=")</f>
        <v>#VALUE!</v>
      </c>
      <c r="IV140" t="e">
        <f>AND('STERLING CATALOG - DRY '!B3089,"AAAAADb77f8=")</f>
        <v>#VALUE!</v>
      </c>
    </row>
    <row r="141" spans="1:256">
      <c r="A141" t="e">
        <f>AND('STERLING CATALOG - DRY '!C3089,"AAAAAHr59QA=")</f>
        <v>#VALUE!</v>
      </c>
      <c r="B141" t="e">
        <f>AND('STERLING CATALOG - DRY '!D3089,"AAAAAHr59QE=")</f>
        <v>#VALUE!</v>
      </c>
      <c r="C141" t="e">
        <f>AND('STERLING CATALOG - DRY '!E3089,"AAAAAHr59QI=")</f>
        <v>#VALUE!</v>
      </c>
      <c r="D141" t="e">
        <f>AND('STERLING CATALOG - DRY '!F3089,"AAAAAHr59QM=")</f>
        <v>#VALUE!</v>
      </c>
      <c r="E141" t="e">
        <f>AND('STERLING CATALOG - DRY '!G3089,"AAAAAHr59QQ=")</f>
        <v>#VALUE!</v>
      </c>
      <c r="F141" t="e">
        <f>AND('STERLING CATALOG - DRY '!H3089,"AAAAAHr59QU=")</f>
        <v>#VALUE!</v>
      </c>
      <c r="G141" t="e">
        <f>AND('STERLING CATALOG - DRY '!I3089,"AAAAAHr59QY=")</f>
        <v>#VALUE!</v>
      </c>
      <c r="H141" t="e">
        <f>AND('STERLING CATALOG - DRY '!J3089,"AAAAAHr59Qc=")</f>
        <v>#VALUE!</v>
      </c>
      <c r="I141" t="e">
        <f>IF('STERLING CATALOG - DRY '!3090:3090,"AAAAAHr59Qg=",0)</f>
        <v>#VALUE!</v>
      </c>
      <c r="J141" t="e">
        <f>AND('STERLING CATALOG - DRY '!A3090,"AAAAAHr59Qk=")</f>
        <v>#VALUE!</v>
      </c>
      <c r="K141" t="e">
        <f>AND('STERLING CATALOG - DRY '!B3090,"AAAAAHr59Qo=")</f>
        <v>#VALUE!</v>
      </c>
      <c r="L141" t="e">
        <f>AND('STERLING CATALOG - DRY '!C3090,"AAAAAHr59Qs=")</f>
        <v>#VALUE!</v>
      </c>
      <c r="M141" t="e">
        <f>AND('STERLING CATALOG - DRY '!D3090,"AAAAAHr59Qw=")</f>
        <v>#VALUE!</v>
      </c>
      <c r="N141" t="e">
        <f>AND('STERLING CATALOG - DRY '!E3090,"AAAAAHr59Q0=")</f>
        <v>#VALUE!</v>
      </c>
      <c r="O141" t="e">
        <f>AND('STERLING CATALOG - DRY '!F3090,"AAAAAHr59Q4=")</f>
        <v>#VALUE!</v>
      </c>
      <c r="P141" t="e">
        <f>AND('STERLING CATALOG - DRY '!G3090,"AAAAAHr59Q8=")</f>
        <v>#VALUE!</v>
      </c>
      <c r="Q141" t="e">
        <f>AND('STERLING CATALOG - DRY '!H3090,"AAAAAHr59RA=")</f>
        <v>#VALUE!</v>
      </c>
      <c r="R141" t="e">
        <f>AND('STERLING CATALOG - DRY '!I3090,"AAAAAHr59RE=")</f>
        <v>#VALUE!</v>
      </c>
      <c r="S141" t="e">
        <f>AND('STERLING CATALOG - DRY '!J3090,"AAAAAHr59RI=")</f>
        <v>#VALUE!</v>
      </c>
      <c r="T141">
        <f>IF('STERLING CATALOG - DRY '!3091:3091,"AAAAAHr59RM=",0)</f>
        <v>0</v>
      </c>
      <c r="U141" t="e">
        <f>AND('STERLING CATALOG - DRY '!A3091,"AAAAAHr59RQ=")</f>
        <v>#VALUE!</v>
      </c>
      <c r="V141" t="e">
        <f>AND('STERLING CATALOG - DRY '!B3091,"AAAAAHr59RU=")</f>
        <v>#VALUE!</v>
      </c>
      <c r="W141" t="e">
        <f>AND('STERLING CATALOG - DRY '!C3091,"AAAAAHr59RY=")</f>
        <v>#VALUE!</v>
      </c>
      <c r="X141" t="e">
        <f>AND('STERLING CATALOG - DRY '!D3091,"AAAAAHr59Rc=")</f>
        <v>#VALUE!</v>
      </c>
      <c r="Y141" t="e">
        <f>AND('STERLING CATALOG - DRY '!E3091,"AAAAAHr59Rg=")</f>
        <v>#VALUE!</v>
      </c>
      <c r="Z141" t="e">
        <f>AND('STERLING CATALOG - DRY '!F3091,"AAAAAHr59Rk=")</f>
        <v>#VALUE!</v>
      </c>
      <c r="AA141" t="e">
        <f>AND('STERLING CATALOG - DRY '!G3091,"AAAAAHr59Ro=")</f>
        <v>#VALUE!</v>
      </c>
      <c r="AB141" t="e">
        <f>AND('STERLING CATALOG - DRY '!H3091,"AAAAAHr59Rs=")</f>
        <v>#VALUE!</v>
      </c>
      <c r="AC141" t="e">
        <f>AND('STERLING CATALOG - DRY '!I3091,"AAAAAHr59Rw=")</f>
        <v>#VALUE!</v>
      </c>
      <c r="AD141" t="e">
        <f>AND('STERLING CATALOG - DRY '!J3091,"AAAAAHr59R0=")</f>
        <v>#VALUE!</v>
      </c>
      <c r="AE141">
        <f>IF('STERLING CATALOG - DRY '!3092:3092,"AAAAAHr59R4=",0)</f>
        <v>0</v>
      </c>
      <c r="AF141" t="e">
        <f>AND('STERLING CATALOG - DRY '!A3092,"AAAAAHr59R8=")</f>
        <v>#VALUE!</v>
      </c>
      <c r="AG141" t="e">
        <f>AND('STERLING CATALOG - DRY '!B3092,"AAAAAHr59SA=")</f>
        <v>#VALUE!</v>
      </c>
      <c r="AH141" t="e">
        <f>AND('STERLING CATALOG - DRY '!C3092,"AAAAAHr59SE=")</f>
        <v>#VALUE!</v>
      </c>
      <c r="AI141" t="e">
        <f>AND('STERLING CATALOG - DRY '!D3092,"AAAAAHr59SI=")</f>
        <v>#VALUE!</v>
      </c>
      <c r="AJ141" t="e">
        <f>AND('STERLING CATALOG - DRY '!E3092,"AAAAAHr59SM=")</f>
        <v>#VALUE!</v>
      </c>
      <c r="AK141" t="e">
        <f>AND('STERLING CATALOG - DRY '!F3092,"AAAAAHr59SQ=")</f>
        <v>#VALUE!</v>
      </c>
      <c r="AL141" t="e">
        <f>AND('STERLING CATALOG - DRY '!G3092,"AAAAAHr59SU=")</f>
        <v>#VALUE!</v>
      </c>
      <c r="AM141" t="e">
        <f>AND('STERLING CATALOG - DRY '!H3092,"AAAAAHr59SY=")</f>
        <v>#VALUE!</v>
      </c>
      <c r="AN141" t="e">
        <f>AND('STERLING CATALOG - DRY '!I3092,"AAAAAHr59Sc=")</f>
        <v>#VALUE!</v>
      </c>
      <c r="AO141" t="e">
        <f>AND('STERLING CATALOG - DRY '!J3092,"AAAAAHr59Sg=")</f>
        <v>#VALUE!</v>
      </c>
      <c r="AP141">
        <f>IF('STERLING CATALOG - DRY '!3093:3093,"AAAAAHr59Sk=",0)</f>
        <v>0</v>
      </c>
      <c r="AQ141" t="e">
        <f>AND('STERLING CATALOG - DRY '!A3093,"AAAAAHr59So=")</f>
        <v>#VALUE!</v>
      </c>
      <c r="AR141" t="e">
        <f>AND('STERLING CATALOG - DRY '!B3093,"AAAAAHr59Ss=")</f>
        <v>#VALUE!</v>
      </c>
      <c r="AS141" t="e">
        <f>AND('STERLING CATALOG - DRY '!C3093,"AAAAAHr59Sw=")</f>
        <v>#VALUE!</v>
      </c>
      <c r="AT141" t="e">
        <f>AND('STERLING CATALOG - DRY '!D3093,"AAAAAHr59S0=")</f>
        <v>#VALUE!</v>
      </c>
      <c r="AU141" t="e">
        <f>AND('STERLING CATALOG - DRY '!E3093,"AAAAAHr59S4=")</f>
        <v>#VALUE!</v>
      </c>
      <c r="AV141" t="e">
        <f>AND('STERLING CATALOG - DRY '!F3093,"AAAAAHr59S8=")</f>
        <v>#VALUE!</v>
      </c>
      <c r="AW141" t="e">
        <f>AND('STERLING CATALOG - DRY '!G3093,"AAAAAHr59TA=")</f>
        <v>#VALUE!</v>
      </c>
      <c r="AX141" t="e">
        <f>AND('STERLING CATALOG - DRY '!H3093,"AAAAAHr59TE=")</f>
        <v>#VALUE!</v>
      </c>
      <c r="AY141" t="e">
        <f>AND('STERLING CATALOG - DRY '!I3093,"AAAAAHr59TI=")</f>
        <v>#VALUE!</v>
      </c>
      <c r="AZ141" t="e">
        <f>AND('STERLING CATALOG - DRY '!J3093,"AAAAAHr59TM=")</f>
        <v>#VALUE!</v>
      </c>
      <c r="BA141">
        <f>IF('STERLING CATALOG - DRY '!3094:3094,"AAAAAHr59TQ=",0)</f>
        <v>0</v>
      </c>
      <c r="BB141" t="e">
        <f>AND('STERLING CATALOG - DRY '!A3094,"AAAAAHr59TU=")</f>
        <v>#VALUE!</v>
      </c>
      <c r="BC141" t="e">
        <f>AND('STERLING CATALOG - DRY '!B3094,"AAAAAHr59TY=")</f>
        <v>#VALUE!</v>
      </c>
      <c r="BD141" t="e">
        <f>AND('STERLING CATALOG - DRY '!C3094,"AAAAAHr59Tc=")</f>
        <v>#VALUE!</v>
      </c>
      <c r="BE141" t="e">
        <f>AND('STERLING CATALOG - DRY '!D3094,"AAAAAHr59Tg=")</f>
        <v>#VALUE!</v>
      </c>
      <c r="BF141" t="e">
        <f>AND('STERLING CATALOG - DRY '!E3094,"AAAAAHr59Tk=")</f>
        <v>#VALUE!</v>
      </c>
      <c r="BG141" t="e">
        <f>AND('STERLING CATALOG - DRY '!F3094,"AAAAAHr59To=")</f>
        <v>#VALUE!</v>
      </c>
      <c r="BH141" t="e">
        <f>AND('STERLING CATALOG - DRY '!G3094,"AAAAAHr59Ts=")</f>
        <v>#VALUE!</v>
      </c>
      <c r="BI141" t="e">
        <f>AND('STERLING CATALOG - DRY '!H3094,"AAAAAHr59Tw=")</f>
        <v>#VALUE!</v>
      </c>
      <c r="BJ141" t="e">
        <f>AND('STERLING CATALOG - DRY '!I3094,"AAAAAHr59T0=")</f>
        <v>#VALUE!</v>
      </c>
      <c r="BK141" t="e">
        <f>AND('STERLING CATALOG - DRY '!J3094,"AAAAAHr59T4=")</f>
        <v>#VALUE!</v>
      </c>
      <c r="BL141">
        <f>IF('STERLING CATALOG - DRY '!3095:3095,"AAAAAHr59T8=",0)</f>
        <v>0</v>
      </c>
      <c r="BM141" t="e">
        <f>AND('STERLING CATALOG - DRY '!A3095,"AAAAAHr59UA=")</f>
        <v>#VALUE!</v>
      </c>
      <c r="BN141" t="e">
        <f>AND('STERLING CATALOG - DRY '!B3095,"AAAAAHr59UE=")</f>
        <v>#VALUE!</v>
      </c>
      <c r="BO141" t="e">
        <f>AND('STERLING CATALOG - DRY '!C3095,"AAAAAHr59UI=")</f>
        <v>#VALUE!</v>
      </c>
      <c r="BP141" t="e">
        <f>AND('STERLING CATALOG - DRY '!D3095,"AAAAAHr59UM=")</f>
        <v>#VALUE!</v>
      </c>
      <c r="BQ141" t="e">
        <f>AND('STERLING CATALOG - DRY '!E3095,"AAAAAHr59UQ=")</f>
        <v>#VALUE!</v>
      </c>
      <c r="BR141" t="e">
        <f>AND('STERLING CATALOG - DRY '!F3095,"AAAAAHr59UU=")</f>
        <v>#VALUE!</v>
      </c>
      <c r="BS141" t="e">
        <f>AND('STERLING CATALOG - DRY '!G3095,"AAAAAHr59UY=")</f>
        <v>#VALUE!</v>
      </c>
      <c r="BT141" t="e">
        <f>AND('STERLING CATALOG - DRY '!H3095,"AAAAAHr59Uc=")</f>
        <v>#VALUE!</v>
      </c>
      <c r="BU141" t="e">
        <f>AND('STERLING CATALOG - DRY '!I3095,"AAAAAHr59Ug=")</f>
        <v>#VALUE!</v>
      </c>
      <c r="BV141" t="e">
        <f>AND('STERLING CATALOG - DRY '!J3095,"AAAAAHr59Uk=")</f>
        <v>#VALUE!</v>
      </c>
      <c r="BW141">
        <f>IF('STERLING CATALOG - DRY '!3096:3096,"AAAAAHr59Uo=",0)</f>
        <v>0</v>
      </c>
      <c r="BX141" t="e">
        <f>AND('STERLING CATALOG - DRY '!A3096,"AAAAAHr59Us=")</f>
        <v>#VALUE!</v>
      </c>
      <c r="BY141" t="e">
        <f>AND('STERLING CATALOG - DRY '!B3096,"AAAAAHr59Uw=")</f>
        <v>#VALUE!</v>
      </c>
      <c r="BZ141" t="e">
        <f>AND('STERLING CATALOG - DRY '!C3096,"AAAAAHr59U0=")</f>
        <v>#VALUE!</v>
      </c>
      <c r="CA141" t="e">
        <f>AND('STERLING CATALOG - DRY '!D3096,"AAAAAHr59U4=")</f>
        <v>#VALUE!</v>
      </c>
      <c r="CB141" t="e">
        <f>AND('STERLING CATALOG - DRY '!E3096,"AAAAAHr59U8=")</f>
        <v>#VALUE!</v>
      </c>
      <c r="CC141" t="e">
        <f>AND('STERLING CATALOG - DRY '!F3096,"AAAAAHr59VA=")</f>
        <v>#VALUE!</v>
      </c>
      <c r="CD141" t="e">
        <f>AND('STERLING CATALOG - DRY '!G3096,"AAAAAHr59VE=")</f>
        <v>#VALUE!</v>
      </c>
      <c r="CE141" t="e">
        <f>AND('STERLING CATALOG - DRY '!H3096,"AAAAAHr59VI=")</f>
        <v>#VALUE!</v>
      </c>
      <c r="CF141" t="e">
        <f>AND('STERLING CATALOG - DRY '!I3096,"AAAAAHr59VM=")</f>
        <v>#VALUE!</v>
      </c>
      <c r="CG141" t="e">
        <f>AND('STERLING CATALOG - DRY '!J3096,"AAAAAHr59VQ=")</f>
        <v>#VALUE!</v>
      </c>
      <c r="CH141">
        <f>IF('STERLING CATALOG - DRY '!3097:3097,"AAAAAHr59VU=",0)</f>
        <v>0</v>
      </c>
      <c r="CI141" t="e">
        <f>AND('STERLING CATALOG - DRY '!A3097,"AAAAAHr59VY=")</f>
        <v>#VALUE!</v>
      </c>
      <c r="CJ141" t="e">
        <f>AND('STERLING CATALOG - DRY '!B3097,"AAAAAHr59Vc=")</f>
        <v>#VALUE!</v>
      </c>
      <c r="CK141" t="e">
        <f>AND('STERLING CATALOG - DRY '!C3097,"AAAAAHr59Vg=")</f>
        <v>#VALUE!</v>
      </c>
      <c r="CL141" t="e">
        <f>AND('STERLING CATALOG - DRY '!D3097,"AAAAAHr59Vk=")</f>
        <v>#VALUE!</v>
      </c>
      <c r="CM141" t="e">
        <f>AND('STERLING CATALOG - DRY '!E3097,"AAAAAHr59Vo=")</f>
        <v>#VALUE!</v>
      </c>
      <c r="CN141" t="e">
        <f>AND('STERLING CATALOG - DRY '!F3097,"AAAAAHr59Vs=")</f>
        <v>#VALUE!</v>
      </c>
      <c r="CO141" t="e">
        <f>AND('STERLING CATALOG - DRY '!G3097,"AAAAAHr59Vw=")</f>
        <v>#VALUE!</v>
      </c>
      <c r="CP141" t="e">
        <f>AND('STERLING CATALOG - DRY '!H3097,"AAAAAHr59V0=")</f>
        <v>#VALUE!</v>
      </c>
      <c r="CQ141" t="e">
        <f>AND('STERLING CATALOG - DRY '!I3097,"AAAAAHr59V4=")</f>
        <v>#VALUE!</v>
      </c>
      <c r="CR141" t="e">
        <f>AND('STERLING CATALOG - DRY '!J3097,"AAAAAHr59V8=")</f>
        <v>#VALUE!</v>
      </c>
      <c r="CS141">
        <f>IF('STERLING CATALOG - DRY '!3098:3098,"AAAAAHr59WA=",0)</f>
        <v>0</v>
      </c>
      <c r="CT141" t="e">
        <f>AND('STERLING CATALOG - DRY '!A3098,"AAAAAHr59WE=")</f>
        <v>#VALUE!</v>
      </c>
      <c r="CU141" t="e">
        <f>AND('STERLING CATALOG - DRY '!B3098,"AAAAAHr59WI=")</f>
        <v>#VALUE!</v>
      </c>
      <c r="CV141" t="e">
        <f>AND('STERLING CATALOG - DRY '!C3098,"AAAAAHr59WM=")</f>
        <v>#VALUE!</v>
      </c>
      <c r="CW141" t="e">
        <f>AND('STERLING CATALOG - DRY '!D3098,"AAAAAHr59WQ=")</f>
        <v>#VALUE!</v>
      </c>
      <c r="CX141" t="e">
        <f>AND('STERLING CATALOG - DRY '!E3098,"AAAAAHr59WU=")</f>
        <v>#VALUE!</v>
      </c>
      <c r="CY141" t="e">
        <f>AND('STERLING CATALOG - DRY '!F3098,"AAAAAHr59WY=")</f>
        <v>#VALUE!</v>
      </c>
      <c r="CZ141" t="e">
        <f>AND('STERLING CATALOG - DRY '!G3098,"AAAAAHr59Wc=")</f>
        <v>#VALUE!</v>
      </c>
      <c r="DA141" t="e">
        <f>AND('STERLING CATALOG - DRY '!H3098,"AAAAAHr59Wg=")</f>
        <v>#VALUE!</v>
      </c>
      <c r="DB141" t="e">
        <f>AND('STERLING CATALOG - DRY '!I3098,"AAAAAHr59Wk=")</f>
        <v>#VALUE!</v>
      </c>
      <c r="DC141" t="e">
        <f>AND('STERLING CATALOG - DRY '!J3098,"AAAAAHr59Wo=")</f>
        <v>#VALUE!</v>
      </c>
      <c r="DD141">
        <f>IF('STERLING CATALOG - DRY '!3099:3099,"AAAAAHr59Ws=",0)</f>
        <v>0</v>
      </c>
      <c r="DE141" t="e">
        <f>AND('STERLING CATALOG - DRY '!A3099,"AAAAAHr59Ww=")</f>
        <v>#VALUE!</v>
      </c>
      <c r="DF141" t="e">
        <f>AND('STERLING CATALOG - DRY '!B3099,"AAAAAHr59W0=")</f>
        <v>#VALUE!</v>
      </c>
      <c r="DG141" t="e">
        <f>AND('STERLING CATALOG - DRY '!C3099,"AAAAAHr59W4=")</f>
        <v>#VALUE!</v>
      </c>
      <c r="DH141" t="e">
        <f>AND('STERLING CATALOG - DRY '!D3099,"AAAAAHr59W8=")</f>
        <v>#VALUE!</v>
      </c>
      <c r="DI141" t="e">
        <f>AND('STERLING CATALOG - DRY '!E3099,"AAAAAHr59XA=")</f>
        <v>#VALUE!</v>
      </c>
      <c r="DJ141" t="e">
        <f>AND('STERLING CATALOG - DRY '!F3099,"AAAAAHr59XE=")</f>
        <v>#VALUE!</v>
      </c>
      <c r="DK141" t="e">
        <f>AND('STERLING CATALOG - DRY '!G3099,"AAAAAHr59XI=")</f>
        <v>#VALUE!</v>
      </c>
      <c r="DL141" t="e">
        <f>AND('STERLING CATALOG - DRY '!H3099,"AAAAAHr59XM=")</f>
        <v>#VALUE!</v>
      </c>
      <c r="DM141" t="e">
        <f>AND('STERLING CATALOG - DRY '!I3099,"AAAAAHr59XQ=")</f>
        <v>#VALUE!</v>
      </c>
      <c r="DN141" t="e">
        <f>AND('STERLING CATALOG - DRY '!J3099,"AAAAAHr59XU=")</f>
        <v>#VALUE!</v>
      </c>
      <c r="DO141">
        <f>IF('STERLING CATALOG - DRY '!3100:3100,"AAAAAHr59XY=",0)</f>
        <v>0</v>
      </c>
      <c r="DP141" t="e">
        <f>AND('STERLING CATALOG - DRY '!A3100,"AAAAAHr59Xc=")</f>
        <v>#VALUE!</v>
      </c>
      <c r="DQ141" t="e">
        <f>AND('STERLING CATALOG - DRY '!B3100,"AAAAAHr59Xg=")</f>
        <v>#VALUE!</v>
      </c>
      <c r="DR141" t="e">
        <f>AND('STERLING CATALOG - DRY '!C3100,"AAAAAHr59Xk=")</f>
        <v>#VALUE!</v>
      </c>
      <c r="DS141" t="e">
        <f>AND('STERLING CATALOG - DRY '!D3100,"AAAAAHr59Xo=")</f>
        <v>#VALUE!</v>
      </c>
      <c r="DT141" t="e">
        <f>AND('STERLING CATALOG - DRY '!E3100,"AAAAAHr59Xs=")</f>
        <v>#VALUE!</v>
      </c>
      <c r="DU141" t="e">
        <f>AND('STERLING CATALOG - DRY '!F3100,"AAAAAHr59Xw=")</f>
        <v>#VALUE!</v>
      </c>
      <c r="DV141" t="e">
        <f>AND('STERLING CATALOG - DRY '!G3100,"AAAAAHr59X0=")</f>
        <v>#VALUE!</v>
      </c>
      <c r="DW141" t="e">
        <f>AND('STERLING CATALOG - DRY '!H3100,"AAAAAHr59X4=")</f>
        <v>#VALUE!</v>
      </c>
      <c r="DX141" t="e">
        <f>AND('STERLING CATALOG - DRY '!I3100,"AAAAAHr59X8=")</f>
        <v>#VALUE!</v>
      </c>
      <c r="DY141" t="e">
        <f>AND('STERLING CATALOG - DRY '!J3100,"AAAAAHr59YA=")</f>
        <v>#VALUE!</v>
      </c>
      <c r="DZ141">
        <f>IF('STERLING CATALOG - DRY '!3101:3101,"AAAAAHr59YE=",0)</f>
        <v>0</v>
      </c>
      <c r="EA141" t="e">
        <f>AND('STERLING CATALOG - DRY '!A3101,"AAAAAHr59YI=")</f>
        <v>#VALUE!</v>
      </c>
      <c r="EB141" t="e">
        <f>AND('STERLING CATALOG - DRY '!B3101,"AAAAAHr59YM=")</f>
        <v>#VALUE!</v>
      </c>
      <c r="EC141" t="e">
        <f>AND('STERLING CATALOG - DRY '!C3101,"AAAAAHr59YQ=")</f>
        <v>#VALUE!</v>
      </c>
      <c r="ED141" t="e">
        <f>AND('STERLING CATALOG - DRY '!D3101,"AAAAAHr59YU=")</f>
        <v>#VALUE!</v>
      </c>
      <c r="EE141" t="e">
        <f>AND('STERLING CATALOG - DRY '!E3101,"AAAAAHr59YY=")</f>
        <v>#VALUE!</v>
      </c>
      <c r="EF141" t="e">
        <f>AND('STERLING CATALOG - DRY '!F3101,"AAAAAHr59Yc=")</f>
        <v>#VALUE!</v>
      </c>
      <c r="EG141" t="e">
        <f>AND('STERLING CATALOG - DRY '!G3101,"AAAAAHr59Yg=")</f>
        <v>#VALUE!</v>
      </c>
      <c r="EH141" t="e">
        <f>AND('STERLING CATALOG - DRY '!H3101,"AAAAAHr59Yk=")</f>
        <v>#VALUE!</v>
      </c>
      <c r="EI141" t="e">
        <f>AND('STERLING CATALOG - DRY '!I3101,"AAAAAHr59Yo=")</f>
        <v>#VALUE!</v>
      </c>
      <c r="EJ141" t="e">
        <f>AND('STERLING CATALOG - DRY '!J3101,"AAAAAHr59Ys=")</f>
        <v>#VALUE!</v>
      </c>
      <c r="EK141">
        <f>IF('STERLING CATALOG - DRY '!3102:3102,"AAAAAHr59Yw=",0)</f>
        <v>0</v>
      </c>
      <c r="EL141" t="e">
        <f>AND('STERLING CATALOG - DRY '!A3102,"AAAAAHr59Y0=")</f>
        <v>#VALUE!</v>
      </c>
      <c r="EM141" t="e">
        <f>AND('STERLING CATALOG - DRY '!B3102,"AAAAAHr59Y4=")</f>
        <v>#VALUE!</v>
      </c>
      <c r="EN141" t="e">
        <f>AND('STERLING CATALOG - DRY '!C3102,"AAAAAHr59Y8=")</f>
        <v>#VALUE!</v>
      </c>
      <c r="EO141" t="e">
        <f>AND('STERLING CATALOG - DRY '!D3102,"AAAAAHr59ZA=")</f>
        <v>#VALUE!</v>
      </c>
      <c r="EP141" t="e">
        <f>AND('STERLING CATALOG - DRY '!E3102,"AAAAAHr59ZE=")</f>
        <v>#VALUE!</v>
      </c>
      <c r="EQ141" t="e">
        <f>AND('STERLING CATALOG - DRY '!F3102,"AAAAAHr59ZI=")</f>
        <v>#VALUE!</v>
      </c>
      <c r="ER141" t="e">
        <f>AND('STERLING CATALOG - DRY '!G3102,"AAAAAHr59ZM=")</f>
        <v>#VALUE!</v>
      </c>
      <c r="ES141" t="e">
        <f>AND('STERLING CATALOG - DRY '!H3102,"AAAAAHr59ZQ=")</f>
        <v>#VALUE!</v>
      </c>
      <c r="ET141" t="e">
        <f>AND('STERLING CATALOG - DRY '!I3102,"AAAAAHr59ZU=")</f>
        <v>#VALUE!</v>
      </c>
      <c r="EU141" t="e">
        <f>AND('STERLING CATALOG - DRY '!J3102,"AAAAAHr59ZY=")</f>
        <v>#VALUE!</v>
      </c>
      <c r="EV141">
        <f>IF('STERLING CATALOG - DRY '!3103:3103,"AAAAAHr59Zc=",0)</f>
        <v>0</v>
      </c>
      <c r="EW141" t="e">
        <f>AND('STERLING CATALOG - DRY '!A3103,"AAAAAHr59Zg=")</f>
        <v>#VALUE!</v>
      </c>
      <c r="EX141" t="e">
        <f>AND('STERLING CATALOG - DRY '!B3103,"AAAAAHr59Zk=")</f>
        <v>#VALUE!</v>
      </c>
      <c r="EY141" t="e">
        <f>AND('STERLING CATALOG - DRY '!C3103,"AAAAAHr59Zo=")</f>
        <v>#VALUE!</v>
      </c>
      <c r="EZ141" t="e">
        <f>AND('STERLING CATALOG - DRY '!D3103,"AAAAAHr59Zs=")</f>
        <v>#VALUE!</v>
      </c>
      <c r="FA141" t="e">
        <f>AND('STERLING CATALOG - DRY '!E3103,"AAAAAHr59Zw=")</f>
        <v>#VALUE!</v>
      </c>
      <c r="FB141" t="e">
        <f>AND('STERLING CATALOG - DRY '!F3103,"AAAAAHr59Z0=")</f>
        <v>#VALUE!</v>
      </c>
      <c r="FC141" t="e">
        <f>AND('STERLING CATALOG - DRY '!G3103,"AAAAAHr59Z4=")</f>
        <v>#VALUE!</v>
      </c>
      <c r="FD141" t="e">
        <f>AND('STERLING CATALOG - DRY '!H3103,"AAAAAHr59Z8=")</f>
        <v>#VALUE!</v>
      </c>
      <c r="FE141" t="e">
        <f>AND('STERLING CATALOG - DRY '!I3103,"AAAAAHr59aA=")</f>
        <v>#VALUE!</v>
      </c>
      <c r="FF141" t="e">
        <f>AND('STERLING CATALOG - DRY '!J3103,"AAAAAHr59aE=")</f>
        <v>#VALUE!</v>
      </c>
      <c r="FG141">
        <f>IF('STERLING CATALOG - DRY '!3104:3104,"AAAAAHr59aI=",0)</f>
        <v>0</v>
      </c>
      <c r="FH141" t="e">
        <f>AND('STERLING CATALOG - DRY '!A3104,"AAAAAHr59aM=")</f>
        <v>#VALUE!</v>
      </c>
      <c r="FI141" t="e">
        <f>AND('STERLING CATALOG - DRY '!B3104,"AAAAAHr59aQ=")</f>
        <v>#VALUE!</v>
      </c>
      <c r="FJ141" t="e">
        <f>AND('STERLING CATALOG - DRY '!C3104,"AAAAAHr59aU=")</f>
        <v>#VALUE!</v>
      </c>
      <c r="FK141" t="e">
        <f>AND('STERLING CATALOG - DRY '!D3104,"AAAAAHr59aY=")</f>
        <v>#VALUE!</v>
      </c>
      <c r="FL141" t="e">
        <f>AND('STERLING CATALOG - DRY '!E3104,"AAAAAHr59ac=")</f>
        <v>#VALUE!</v>
      </c>
      <c r="FM141" t="e">
        <f>AND('STERLING CATALOG - DRY '!F3104,"AAAAAHr59ag=")</f>
        <v>#VALUE!</v>
      </c>
      <c r="FN141" t="e">
        <f>AND('STERLING CATALOG - DRY '!G3104,"AAAAAHr59ak=")</f>
        <v>#VALUE!</v>
      </c>
      <c r="FO141" t="e">
        <f>AND('STERLING CATALOG - DRY '!H3104,"AAAAAHr59ao=")</f>
        <v>#VALUE!</v>
      </c>
      <c r="FP141" t="e">
        <f>AND('STERLING CATALOG - DRY '!I3104,"AAAAAHr59as=")</f>
        <v>#VALUE!</v>
      </c>
      <c r="FQ141" t="e">
        <f>AND('STERLING CATALOG - DRY '!J3104,"AAAAAHr59aw=")</f>
        <v>#VALUE!</v>
      </c>
      <c r="FR141">
        <f>IF('STERLING CATALOG - DRY '!3105:3105,"AAAAAHr59a0=",0)</f>
        <v>0</v>
      </c>
      <c r="FS141" t="e">
        <f>AND('STERLING CATALOG - DRY '!A3105,"AAAAAHr59a4=")</f>
        <v>#VALUE!</v>
      </c>
      <c r="FT141" t="e">
        <f>AND('STERLING CATALOG - DRY '!B3105,"AAAAAHr59a8=")</f>
        <v>#VALUE!</v>
      </c>
      <c r="FU141" t="e">
        <f>AND('STERLING CATALOG - DRY '!C3105,"AAAAAHr59bA=")</f>
        <v>#VALUE!</v>
      </c>
      <c r="FV141" t="e">
        <f>AND('STERLING CATALOG - DRY '!D3105,"AAAAAHr59bE=")</f>
        <v>#VALUE!</v>
      </c>
      <c r="FW141" t="e">
        <f>AND('STERLING CATALOG - DRY '!E3105,"AAAAAHr59bI=")</f>
        <v>#VALUE!</v>
      </c>
      <c r="FX141" t="e">
        <f>AND('STERLING CATALOG - DRY '!F3105,"AAAAAHr59bM=")</f>
        <v>#VALUE!</v>
      </c>
      <c r="FY141" t="e">
        <f>AND('STERLING CATALOG - DRY '!G3105,"AAAAAHr59bQ=")</f>
        <v>#VALUE!</v>
      </c>
      <c r="FZ141" t="e">
        <f>AND('STERLING CATALOG - DRY '!H3105,"AAAAAHr59bU=")</f>
        <v>#VALUE!</v>
      </c>
      <c r="GA141" t="e">
        <f>AND('STERLING CATALOG - DRY '!I3105,"AAAAAHr59bY=")</f>
        <v>#VALUE!</v>
      </c>
      <c r="GB141" t="e">
        <f>AND('STERLING CATALOG - DRY '!J3105,"AAAAAHr59bc=")</f>
        <v>#VALUE!</v>
      </c>
      <c r="GC141">
        <f>IF('STERLING CATALOG - DRY '!3106:3106,"AAAAAHr59bg=",0)</f>
        <v>0</v>
      </c>
      <c r="GD141" t="e">
        <f>AND('STERLING CATALOG - DRY '!A3106,"AAAAAHr59bk=")</f>
        <v>#VALUE!</v>
      </c>
      <c r="GE141" t="e">
        <f>AND('STERLING CATALOG - DRY '!B3106,"AAAAAHr59bo=")</f>
        <v>#VALUE!</v>
      </c>
      <c r="GF141" t="e">
        <f>AND('STERLING CATALOG - DRY '!C3106,"AAAAAHr59bs=")</f>
        <v>#VALUE!</v>
      </c>
      <c r="GG141" t="e">
        <f>AND('STERLING CATALOG - DRY '!D3106,"AAAAAHr59bw=")</f>
        <v>#VALUE!</v>
      </c>
      <c r="GH141" t="e">
        <f>AND('STERLING CATALOG - DRY '!E3106,"AAAAAHr59b0=")</f>
        <v>#VALUE!</v>
      </c>
      <c r="GI141" t="e">
        <f>AND('STERLING CATALOG - DRY '!F3106,"AAAAAHr59b4=")</f>
        <v>#VALUE!</v>
      </c>
      <c r="GJ141" t="e">
        <f>AND('STERLING CATALOG - DRY '!G3106,"AAAAAHr59b8=")</f>
        <v>#VALUE!</v>
      </c>
      <c r="GK141" t="e">
        <f>AND('STERLING CATALOG - DRY '!H3106,"AAAAAHr59cA=")</f>
        <v>#VALUE!</v>
      </c>
      <c r="GL141" t="e">
        <f>AND('STERLING CATALOG - DRY '!I3106,"AAAAAHr59cE=")</f>
        <v>#VALUE!</v>
      </c>
      <c r="GM141" t="e">
        <f>AND('STERLING CATALOG - DRY '!J3106,"AAAAAHr59cI=")</f>
        <v>#VALUE!</v>
      </c>
      <c r="GN141">
        <f>IF('STERLING CATALOG - DRY '!3107:3107,"AAAAAHr59cM=",0)</f>
        <v>0</v>
      </c>
      <c r="GO141" t="e">
        <f>AND('STERLING CATALOG - DRY '!A3107,"AAAAAHr59cQ=")</f>
        <v>#VALUE!</v>
      </c>
      <c r="GP141" t="e">
        <f>AND('STERLING CATALOG - DRY '!B3107,"AAAAAHr59cU=")</f>
        <v>#VALUE!</v>
      </c>
      <c r="GQ141" t="e">
        <f>AND('STERLING CATALOG - DRY '!C3107,"AAAAAHr59cY=")</f>
        <v>#VALUE!</v>
      </c>
      <c r="GR141" t="e">
        <f>AND('STERLING CATALOG - DRY '!D3107,"AAAAAHr59cc=")</f>
        <v>#VALUE!</v>
      </c>
      <c r="GS141" t="e">
        <f>AND('STERLING CATALOG - DRY '!E3107,"AAAAAHr59cg=")</f>
        <v>#VALUE!</v>
      </c>
      <c r="GT141" t="e">
        <f>AND('STERLING CATALOG - DRY '!F3107,"AAAAAHr59ck=")</f>
        <v>#VALUE!</v>
      </c>
      <c r="GU141" t="e">
        <f>AND('STERLING CATALOG - DRY '!G3107,"AAAAAHr59co=")</f>
        <v>#VALUE!</v>
      </c>
      <c r="GV141" t="e">
        <f>AND('STERLING CATALOG - DRY '!H3107,"AAAAAHr59cs=")</f>
        <v>#VALUE!</v>
      </c>
      <c r="GW141" t="e">
        <f>AND('STERLING CATALOG - DRY '!I3107,"AAAAAHr59cw=")</f>
        <v>#VALUE!</v>
      </c>
      <c r="GX141" t="e">
        <f>AND('STERLING CATALOG - DRY '!J3107,"AAAAAHr59c0=")</f>
        <v>#VALUE!</v>
      </c>
      <c r="GY141">
        <f>IF('STERLING CATALOG - DRY '!3108:3108,"AAAAAHr59c4=",0)</f>
        <v>0</v>
      </c>
      <c r="GZ141" t="e">
        <f>AND('STERLING CATALOG - DRY '!A3108,"AAAAAHr59c8=")</f>
        <v>#VALUE!</v>
      </c>
      <c r="HA141" t="e">
        <f>AND('STERLING CATALOG - DRY '!B3108,"AAAAAHr59dA=")</f>
        <v>#VALUE!</v>
      </c>
      <c r="HB141" t="e">
        <f>AND('STERLING CATALOG - DRY '!C3108,"AAAAAHr59dE=")</f>
        <v>#VALUE!</v>
      </c>
      <c r="HC141" t="e">
        <f>AND('STERLING CATALOG - DRY '!D3108,"AAAAAHr59dI=")</f>
        <v>#VALUE!</v>
      </c>
      <c r="HD141" t="e">
        <f>AND('STERLING CATALOG - DRY '!E3108,"AAAAAHr59dM=")</f>
        <v>#VALUE!</v>
      </c>
      <c r="HE141" t="e">
        <f>AND('STERLING CATALOG - DRY '!F3108,"AAAAAHr59dQ=")</f>
        <v>#VALUE!</v>
      </c>
      <c r="HF141" t="e">
        <f>AND('STERLING CATALOG - DRY '!G3108,"AAAAAHr59dU=")</f>
        <v>#VALUE!</v>
      </c>
      <c r="HG141" t="e">
        <f>AND('STERLING CATALOG - DRY '!H3108,"AAAAAHr59dY=")</f>
        <v>#VALUE!</v>
      </c>
      <c r="HH141" t="e">
        <f>AND('STERLING CATALOG - DRY '!I3108,"AAAAAHr59dc=")</f>
        <v>#VALUE!</v>
      </c>
      <c r="HI141" t="e">
        <f>AND('STERLING CATALOG - DRY '!J3108,"AAAAAHr59dg=")</f>
        <v>#VALUE!</v>
      </c>
      <c r="HJ141">
        <f>IF('STERLING CATALOG - DRY '!3109:3109,"AAAAAHr59dk=",0)</f>
        <v>0</v>
      </c>
      <c r="HK141" t="e">
        <f>AND('STERLING CATALOG - DRY '!A3109,"AAAAAHr59do=")</f>
        <v>#VALUE!</v>
      </c>
      <c r="HL141" t="e">
        <f>AND('STERLING CATALOG - DRY '!B3109,"AAAAAHr59ds=")</f>
        <v>#VALUE!</v>
      </c>
      <c r="HM141" t="e">
        <f>AND('STERLING CATALOG - DRY '!C3109,"AAAAAHr59dw=")</f>
        <v>#VALUE!</v>
      </c>
      <c r="HN141" t="e">
        <f>AND('STERLING CATALOG - DRY '!D3109,"AAAAAHr59d0=")</f>
        <v>#VALUE!</v>
      </c>
      <c r="HO141" t="e">
        <f>AND('STERLING CATALOG - DRY '!E3109,"AAAAAHr59d4=")</f>
        <v>#VALUE!</v>
      </c>
      <c r="HP141" t="e">
        <f>AND('STERLING CATALOG - DRY '!F3109,"AAAAAHr59d8=")</f>
        <v>#VALUE!</v>
      </c>
      <c r="HQ141" t="e">
        <f>AND('STERLING CATALOG - DRY '!G3109,"AAAAAHr59eA=")</f>
        <v>#VALUE!</v>
      </c>
      <c r="HR141" t="e">
        <f>AND('STERLING CATALOG - DRY '!H3109,"AAAAAHr59eE=")</f>
        <v>#VALUE!</v>
      </c>
      <c r="HS141" t="e">
        <f>AND('STERLING CATALOG - DRY '!I3109,"AAAAAHr59eI=")</f>
        <v>#VALUE!</v>
      </c>
      <c r="HT141" t="e">
        <f>AND('STERLING CATALOG - DRY '!J3109,"AAAAAHr59eM=")</f>
        <v>#VALUE!</v>
      </c>
      <c r="HU141">
        <f>IF('STERLING CATALOG - DRY '!3110:3110,"AAAAAHr59eQ=",0)</f>
        <v>0</v>
      </c>
      <c r="HV141" t="e">
        <f>AND('STERLING CATALOG - DRY '!A3110,"AAAAAHr59eU=")</f>
        <v>#VALUE!</v>
      </c>
      <c r="HW141" t="e">
        <f>AND('STERLING CATALOG - DRY '!B3110,"AAAAAHr59eY=")</f>
        <v>#VALUE!</v>
      </c>
      <c r="HX141" t="e">
        <f>AND('STERLING CATALOG - DRY '!C3110,"AAAAAHr59ec=")</f>
        <v>#VALUE!</v>
      </c>
      <c r="HY141" t="e">
        <f>AND('STERLING CATALOG - DRY '!D3110,"AAAAAHr59eg=")</f>
        <v>#VALUE!</v>
      </c>
      <c r="HZ141" t="e">
        <f>AND('STERLING CATALOG - DRY '!E3110,"AAAAAHr59ek=")</f>
        <v>#VALUE!</v>
      </c>
      <c r="IA141" t="e">
        <f>AND('STERLING CATALOG - DRY '!F3110,"AAAAAHr59eo=")</f>
        <v>#VALUE!</v>
      </c>
      <c r="IB141" t="e">
        <f>AND('STERLING CATALOG - DRY '!G3110,"AAAAAHr59es=")</f>
        <v>#VALUE!</v>
      </c>
      <c r="IC141" t="e">
        <f>AND('STERLING CATALOG - DRY '!H3110,"AAAAAHr59ew=")</f>
        <v>#VALUE!</v>
      </c>
      <c r="ID141" t="e">
        <f>AND('STERLING CATALOG - DRY '!I3110,"AAAAAHr59e0=")</f>
        <v>#VALUE!</v>
      </c>
      <c r="IE141" t="e">
        <f>AND('STERLING CATALOG - DRY '!J3110,"AAAAAHr59e4=")</f>
        <v>#VALUE!</v>
      </c>
      <c r="IF141">
        <f>IF('STERLING CATALOG - DRY '!3111:3111,"AAAAAHr59e8=",0)</f>
        <v>0</v>
      </c>
      <c r="IG141" t="e">
        <f>AND('STERLING CATALOG - DRY '!A3111,"AAAAAHr59fA=")</f>
        <v>#VALUE!</v>
      </c>
      <c r="IH141" t="e">
        <f>AND('STERLING CATALOG - DRY '!B3111,"AAAAAHr59fE=")</f>
        <v>#VALUE!</v>
      </c>
      <c r="II141" t="e">
        <f>AND('STERLING CATALOG - DRY '!C3111,"AAAAAHr59fI=")</f>
        <v>#VALUE!</v>
      </c>
      <c r="IJ141" t="e">
        <f>AND('STERLING CATALOG - DRY '!D3111,"AAAAAHr59fM=")</f>
        <v>#VALUE!</v>
      </c>
      <c r="IK141" t="e">
        <f>AND('STERLING CATALOG - DRY '!E3111,"AAAAAHr59fQ=")</f>
        <v>#VALUE!</v>
      </c>
      <c r="IL141" t="e">
        <f>AND('STERLING CATALOG - DRY '!F3111,"AAAAAHr59fU=")</f>
        <v>#VALUE!</v>
      </c>
      <c r="IM141" t="e">
        <f>AND('STERLING CATALOG - DRY '!G3111,"AAAAAHr59fY=")</f>
        <v>#VALUE!</v>
      </c>
      <c r="IN141" t="e">
        <f>AND('STERLING CATALOG - DRY '!H3111,"AAAAAHr59fc=")</f>
        <v>#VALUE!</v>
      </c>
      <c r="IO141" t="e">
        <f>AND('STERLING CATALOG - DRY '!I3111,"AAAAAHr59fg=")</f>
        <v>#VALUE!</v>
      </c>
      <c r="IP141" t="e">
        <f>AND('STERLING CATALOG - DRY '!J3111,"AAAAAHr59fk=")</f>
        <v>#VALUE!</v>
      </c>
      <c r="IQ141">
        <f>IF('STERLING CATALOG - DRY '!3112:3112,"AAAAAHr59fo=",0)</f>
        <v>0</v>
      </c>
      <c r="IR141" t="e">
        <f>AND('STERLING CATALOG - DRY '!A3112,"AAAAAHr59fs=")</f>
        <v>#VALUE!</v>
      </c>
      <c r="IS141" t="e">
        <f>AND('STERLING CATALOG - DRY '!B3112,"AAAAAHr59fw=")</f>
        <v>#VALUE!</v>
      </c>
      <c r="IT141" t="e">
        <f>AND('STERLING CATALOG - DRY '!C3112,"AAAAAHr59f0=")</f>
        <v>#VALUE!</v>
      </c>
      <c r="IU141" t="e">
        <f>AND('STERLING CATALOG - DRY '!D3112,"AAAAAHr59f4=")</f>
        <v>#VALUE!</v>
      </c>
      <c r="IV141" t="e">
        <f>AND('STERLING CATALOG - DRY '!E3112,"AAAAAHr59f8=")</f>
        <v>#VALUE!</v>
      </c>
    </row>
    <row r="142" spans="1:256">
      <c r="A142" t="e">
        <f>AND('STERLING CATALOG - DRY '!F3112,"AAAAAFt+/wA=")</f>
        <v>#VALUE!</v>
      </c>
      <c r="B142" t="e">
        <f>AND('STERLING CATALOG - DRY '!G3112,"AAAAAFt+/wE=")</f>
        <v>#VALUE!</v>
      </c>
      <c r="C142" t="e">
        <f>AND('STERLING CATALOG - DRY '!H3112,"AAAAAFt+/wI=")</f>
        <v>#VALUE!</v>
      </c>
      <c r="D142" t="e">
        <f>AND('STERLING CATALOG - DRY '!I3112,"AAAAAFt+/wM=")</f>
        <v>#VALUE!</v>
      </c>
      <c r="E142" t="e">
        <f>AND('STERLING CATALOG - DRY '!J3112,"AAAAAFt+/wQ=")</f>
        <v>#VALUE!</v>
      </c>
      <c r="F142" t="str">
        <f>IF('STERLING CATALOG - DRY '!3113:3113,"AAAAAFt+/wU=",0)</f>
        <v>AAAAAFt+/wU=</v>
      </c>
      <c r="G142" t="e">
        <f>AND('STERLING CATALOG - DRY '!A3113,"AAAAAFt+/wY=")</f>
        <v>#VALUE!</v>
      </c>
      <c r="H142" t="e">
        <f>AND('STERLING CATALOG - DRY '!B3113,"AAAAAFt+/wc=")</f>
        <v>#VALUE!</v>
      </c>
      <c r="I142" t="e">
        <f>AND('STERLING CATALOG - DRY '!C3113,"AAAAAFt+/wg=")</f>
        <v>#VALUE!</v>
      </c>
      <c r="J142" t="e">
        <f>AND('STERLING CATALOG - DRY '!D3113,"AAAAAFt+/wk=")</f>
        <v>#VALUE!</v>
      </c>
      <c r="K142" t="e">
        <f>AND('STERLING CATALOG - DRY '!E3113,"AAAAAFt+/wo=")</f>
        <v>#VALUE!</v>
      </c>
      <c r="L142" t="e">
        <f>AND('STERLING CATALOG - DRY '!F3113,"AAAAAFt+/ws=")</f>
        <v>#VALUE!</v>
      </c>
      <c r="M142" t="e">
        <f>AND('STERLING CATALOG - DRY '!G3113,"AAAAAFt+/ww=")</f>
        <v>#VALUE!</v>
      </c>
      <c r="N142" t="e">
        <f>AND('STERLING CATALOG - DRY '!H3113,"AAAAAFt+/w0=")</f>
        <v>#VALUE!</v>
      </c>
      <c r="O142" t="e">
        <f>AND('STERLING CATALOG - DRY '!I3113,"AAAAAFt+/w4=")</f>
        <v>#VALUE!</v>
      </c>
      <c r="P142" t="e">
        <f>AND('STERLING CATALOG - DRY '!J3113,"AAAAAFt+/w8=")</f>
        <v>#VALUE!</v>
      </c>
      <c r="Q142">
        <f>IF('STERLING CATALOG - DRY '!3114:3114,"AAAAAFt+/xA=",0)</f>
        <v>0</v>
      </c>
      <c r="R142" t="e">
        <f>AND('STERLING CATALOG - DRY '!A3114,"AAAAAFt+/xE=")</f>
        <v>#VALUE!</v>
      </c>
      <c r="S142" t="e">
        <f>AND('STERLING CATALOG - DRY '!B3114,"AAAAAFt+/xI=")</f>
        <v>#VALUE!</v>
      </c>
      <c r="T142" t="e">
        <f>AND('STERLING CATALOG - DRY '!C3114,"AAAAAFt+/xM=")</f>
        <v>#VALUE!</v>
      </c>
      <c r="U142" t="e">
        <f>AND('STERLING CATALOG - DRY '!D3114,"AAAAAFt+/xQ=")</f>
        <v>#VALUE!</v>
      </c>
      <c r="V142" t="e">
        <f>AND('STERLING CATALOG - DRY '!E3114,"AAAAAFt+/xU=")</f>
        <v>#VALUE!</v>
      </c>
      <c r="W142" t="e">
        <f>AND('STERLING CATALOG - DRY '!F3114,"AAAAAFt+/xY=")</f>
        <v>#VALUE!</v>
      </c>
      <c r="X142" t="e">
        <f>AND('STERLING CATALOG - DRY '!G3114,"AAAAAFt+/xc=")</f>
        <v>#VALUE!</v>
      </c>
      <c r="Y142" t="e">
        <f>AND('STERLING CATALOG - DRY '!H3114,"AAAAAFt+/xg=")</f>
        <v>#VALUE!</v>
      </c>
      <c r="Z142" t="e">
        <f>AND('STERLING CATALOG - DRY '!I3114,"AAAAAFt+/xk=")</f>
        <v>#VALUE!</v>
      </c>
      <c r="AA142" t="e">
        <f>AND('STERLING CATALOG - DRY '!J3114,"AAAAAFt+/xo=")</f>
        <v>#VALUE!</v>
      </c>
      <c r="AB142">
        <f>IF('STERLING CATALOG - DRY '!3115:3115,"AAAAAFt+/xs=",0)</f>
        <v>0</v>
      </c>
      <c r="AC142" t="e">
        <f>AND('STERLING CATALOG - DRY '!A3115,"AAAAAFt+/xw=")</f>
        <v>#VALUE!</v>
      </c>
      <c r="AD142" t="e">
        <f>AND('STERLING CATALOG - DRY '!B3115,"AAAAAFt+/x0=")</f>
        <v>#VALUE!</v>
      </c>
      <c r="AE142" t="e">
        <f>AND('STERLING CATALOG - DRY '!C3115,"AAAAAFt+/x4=")</f>
        <v>#VALUE!</v>
      </c>
      <c r="AF142" t="e">
        <f>AND('STERLING CATALOG - DRY '!D3115,"AAAAAFt+/x8=")</f>
        <v>#VALUE!</v>
      </c>
      <c r="AG142" t="e">
        <f>AND('STERLING CATALOG - DRY '!E3115,"AAAAAFt+/yA=")</f>
        <v>#VALUE!</v>
      </c>
      <c r="AH142" t="e">
        <f>AND('STERLING CATALOG - DRY '!F3115,"AAAAAFt+/yE=")</f>
        <v>#VALUE!</v>
      </c>
      <c r="AI142" t="e">
        <f>AND('STERLING CATALOG - DRY '!G3115,"AAAAAFt+/yI=")</f>
        <v>#VALUE!</v>
      </c>
      <c r="AJ142" t="e">
        <f>AND('STERLING CATALOG - DRY '!H3115,"AAAAAFt+/yM=")</f>
        <v>#VALUE!</v>
      </c>
      <c r="AK142" t="e">
        <f>AND('STERLING CATALOG - DRY '!I3115,"AAAAAFt+/yQ=")</f>
        <v>#VALUE!</v>
      </c>
      <c r="AL142" t="e">
        <f>AND('STERLING CATALOG - DRY '!J3115,"AAAAAFt+/yU=")</f>
        <v>#VALUE!</v>
      </c>
      <c r="AM142">
        <f>IF('STERLING CATALOG - DRY '!3116:3116,"AAAAAFt+/yY=",0)</f>
        <v>0</v>
      </c>
      <c r="AN142" t="e">
        <f>AND('STERLING CATALOG - DRY '!A3116,"AAAAAFt+/yc=")</f>
        <v>#VALUE!</v>
      </c>
      <c r="AO142" t="e">
        <f>AND('STERLING CATALOG - DRY '!B3116,"AAAAAFt+/yg=")</f>
        <v>#VALUE!</v>
      </c>
      <c r="AP142" t="e">
        <f>AND('STERLING CATALOG - DRY '!C3116,"AAAAAFt+/yk=")</f>
        <v>#VALUE!</v>
      </c>
      <c r="AQ142" t="e">
        <f>AND('STERLING CATALOG - DRY '!D3116,"AAAAAFt+/yo=")</f>
        <v>#VALUE!</v>
      </c>
      <c r="AR142" t="e">
        <f>AND('STERLING CATALOG - DRY '!E3116,"AAAAAFt+/ys=")</f>
        <v>#VALUE!</v>
      </c>
      <c r="AS142" t="e">
        <f>AND('STERLING CATALOG - DRY '!F3116,"AAAAAFt+/yw=")</f>
        <v>#VALUE!</v>
      </c>
      <c r="AT142" t="e">
        <f>AND('STERLING CATALOG - DRY '!G3116,"AAAAAFt+/y0=")</f>
        <v>#VALUE!</v>
      </c>
      <c r="AU142" t="e">
        <f>AND('STERLING CATALOG - DRY '!H3116,"AAAAAFt+/y4=")</f>
        <v>#VALUE!</v>
      </c>
      <c r="AV142" t="e">
        <f>AND('STERLING CATALOG - DRY '!I3116,"AAAAAFt+/y8=")</f>
        <v>#VALUE!</v>
      </c>
      <c r="AW142" t="e">
        <f>AND('STERLING CATALOG - DRY '!J3116,"AAAAAFt+/zA=")</f>
        <v>#VALUE!</v>
      </c>
      <c r="AX142">
        <f>IF('STERLING CATALOG - DRY '!3117:3117,"AAAAAFt+/zE=",0)</f>
        <v>0</v>
      </c>
      <c r="AY142" t="e">
        <f>AND('STERLING CATALOG - DRY '!A3117,"AAAAAFt+/zI=")</f>
        <v>#VALUE!</v>
      </c>
      <c r="AZ142" t="e">
        <f>AND('STERLING CATALOG - DRY '!B3117,"AAAAAFt+/zM=")</f>
        <v>#VALUE!</v>
      </c>
      <c r="BA142" t="e">
        <f>AND('STERLING CATALOG - DRY '!C3117,"AAAAAFt+/zQ=")</f>
        <v>#VALUE!</v>
      </c>
      <c r="BB142" t="e">
        <f>AND('STERLING CATALOG - DRY '!D3117,"AAAAAFt+/zU=")</f>
        <v>#VALUE!</v>
      </c>
      <c r="BC142" t="e">
        <f>AND('STERLING CATALOG - DRY '!E3117,"AAAAAFt+/zY=")</f>
        <v>#VALUE!</v>
      </c>
      <c r="BD142" t="e">
        <f>AND('STERLING CATALOG - DRY '!F3117,"AAAAAFt+/zc=")</f>
        <v>#VALUE!</v>
      </c>
      <c r="BE142" t="e">
        <f>AND('STERLING CATALOG - DRY '!G3117,"AAAAAFt+/zg=")</f>
        <v>#VALUE!</v>
      </c>
      <c r="BF142" t="e">
        <f>AND('STERLING CATALOG - DRY '!H3117,"AAAAAFt+/zk=")</f>
        <v>#VALUE!</v>
      </c>
      <c r="BG142" t="e">
        <f>AND('STERLING CATALOG - DRY '!I3117,"AAAAAFt+/zo=")</f>
        <v>#VALUE!</v>
      </c>
      <c r="BH142" t="e">
        <f>AND('STERLING CATALOG - DRY '!J3117,"AAAAAFt+/zs=")</f>
        <v>#VALUE!</v>
      </c>
      <c r="BI142">
        <f>IF('STERLING CATALOG - DRY '!3118:3118,"AAAAAFt+/zw=",0)</f>
        <v>0</v>
      </c>
      <c r="BJ142" t="e">
        <f>AND('STERLING CATALOG - DRY '!A3118,"AAAAAFt+/z0=")</f>
        <v>#VALUE!</v>
      </c>
      <c r="BK142" t="e">
        <f>AND('STERLING CATALOG - DRY '!B3118,"AAAAAFt+/z4=")</f>
        <v>#VALUE!</v>
      </c>
      <c r="BL142" t="e">
        <f>AND('STERLING CATALOG - DRY '!C3118,"AAAAAFt+/z8=")</f>
        <v>#VALUE!</v>
      </c>
      <c r="BM142" t="e">
        <f>AND('STERLING CATALOG - DRY '!D3118,"AAAAAFt+/0A=")</f>
        <v>#VALUE!</v>
      </c>
      <c r="BN142" t="e">
        <f>AND('STERLING CATALOG - DRY '!E3118,"AAAAAFt+/0E=")</f>
        <v>#VALUE!</v>
      </c>
      <c r="BO142" t="e">
        <f>AND('STERLING CATALOG - DRY '!F3118,"AAAAAFt+/0I=")</f>
        <v>#VALUE!</v>
      </c>
      <c r="BP142" t="e">
        <f>AND('STERLING CATALOG - DRY '!G3118,"AAAAAFt+/0M=")</f>
        <v>#VALUE!</v>
      </c>
      <c r="BQ142" t="e">
        <f>AND('STERLING CATALOG - DRY '!H3118,"AAAAAFt+/0Q=")</f>
        <v>#VALUE!</v>
      </c>
      <c r="BR142" t="e">
        <f>AND('STERLING CATALOG - DRY '!I3118,"AAAAAFt+/0U=")</f>
        <v>#VALUE!</v>
      </c>
      <c r="BS142" t="e">
        <f>AND('STERLING CATALOG - DRY '!J3118,"AAAAAFt+/0Y=")</f>
        <v>#VALUE!</v>
      </c>
      <c r="BT142">
        <f>IF('STERLING CATALOG - DRY '!3119:3119,"AAAAAFt+/0c=",0)</f>
        <v>0</v>
      </c>
      <c r="BU142" t="e">
        <f>AND('STERLING CATALOG - DRY '!A3119,"AAAAAFt+/0g=")</f>
        <v>#VALUE!</v>
      </c>
      <c r="BV142" t="e">
        <f>AND('STERLING CATALOG - DRY '!B3119,"AAAAAFt+/0k=")</f>
        <v>#VALUE!</v>
      </c>
      <c r="BW142" t="e">
        <f>AND('STERLING CATALOG - DRY '!C3119,"AAAAAFt+/0o=")</f>
        <v>#VALUE!</v>
      </c>
      <c r="BX142" t="e">
        <f>AND('STERLING CATALOG - DRY '!D3119,"AAAAAFt+/0s=")</f>
        <v>#VALUE!</v>
      </c>
      <c r="BY142" t="e">
        <f>AND('STERLING CATALOG - DRY '!E3119,"AAAAAFt+/0w=")</f>
        <v>#VALUE!</v>
      </c>
      <c r="BZ142" t="e">
        <f>AND('STERLING CATALOG - DRY '!F3119,"AAAAAFt+/00=")</f>
        <v>#VALUE!</v>
      </c>
      <c r="CA142" t="e">
        <f>AND('STERLING CATALOG - DRY '!G3119,"AAAAAFt+/04=")</f>
        <v>#VALUE!</v>
      </c>
      <c r="CB142" t="e">
        <f>AND('STERLING CATALOG - DRY '!H3119,"AAAAAFt+/08=")</f>
        <v>#VALUE!</v>
      </c>
      <c r="CC142" t="e">
        <f>AND('STERLING CATALOG - DRY '!I3119,"AAAAAFt+/1A=")</f>
        <v>#VALUE!</v>
      </c>
      <c r="CD142" t="e">
        <f>AND('STERLING CATALOG - DRY '!J3119,"AAAAAFt+/1E=")</f>
        <v>#VALUE!</v>
      </c>
      <c r="CE142">
        <f>IF('STERLING CATALOG - DRY '!3120:3120,"AAAAAFt+/1I=",0)</f>
        <v>0</v>
      </c>
      <c r="CF142" t="e">
        <f>AND('STERLING CATALOG - DRY '!A3120,"AAAAAFt+/1M=")</f>
        <v>#VALUE!</v>
      </c>
      <c r="CG142" t="e">
        <f>AND('STERLING CATALOG - DRY '!B3120,"AAAAAFt+/1Q=")</f>
        <v>#VALUE!</v>
      </c>
      <c r="CH142" t="e">
        <f>AND('STERLING CATALOG - DRY '!C3120,"AAAAAFt+/1U=")</f>
        <v>#VALUE!</v>
      </c>
      <c r="CI142" t="e">
        <f>AND('STERLING CATALOG - DRY '!D3120,"AAAAAFt+/1Y=")</f>
        <v>#VALUE!</v>
      </c>
      <c r="CJ142" t="e">
        <f>AND('STERLING CATALOG - DRY '!E3120,"AAAAAFt+/1c=")</f>
        <v>#VALUE!</v>
      </c>
      <c r="CK142" t="e">
        <f>AND('STERLING CATALOG - DRY '!F3120,"AAAAAFt+/1g=")</f>
        <v>#VALUE!</v>
      </c>
      <c r="CL142" t="e">
        <f>AND('STERLING CATALOG - DRY '!G3120,"AAAAAFt+/1k=")</f>
        <v>#VALUE!</v>
      </c>
      <c r="CM142" t="e">
        <f>AND('STERLING CATALOG - DRY '!H3120,"AAAAAFt+/1o=")</f>
        <v>#VALUE!</v>
      </c>
      <c r="CN142" t="e">
        <f>AND('STERLING CATALOG - DRY '!I3120,"AAAAAFt+/1s=")</f>
        <v>#VALUE!</v>
      </c>
      <c r="CO142" t="e">
        <f>AND('STERLING CATALOG - DRY '!J3120,"AAAAAFt+/1w=")</f>
        <v>#VALUE!</v>
      </c>
      <c r="CP142">
        <f>IF('STERLING CATALOG - DRY '!3121:3121,"AAAAAFt+/10=",0)</f>
        <v>0</v>
      </c>
      <c r="CQ142" t="e">
        <f>AND('STERLING CATALOG - DRY '!A3121,"AAAAAFt+/14=")</f>
        <v>#VALUE!</v>
      </c>
      <c r="CR142" t="e">
        <f>AND('STERLING CATALOG - DRY '!B3121,"AAAAAFt+/18=")</f>
        <v>#VALUE!</v>
      </c>
      <c r="CS142" t="e">
        <f>AND('STERLING CATALOG - DRY '!C3121,"AAAAAFt+/2A=")</f>
        <v>#VALUE!</v>
      </c>
      <c r="CT142" t="e">
        <f>AND('STERLING CATALOG - DRY '!D3121,"AAAAAFt+/2E=")</f>
        <v>#VALUE!</v>
      </c>
      <c r="CU142" t="e">
        <f>AND('STERLING CATALOG - DRY '!E3121,"AAAAAFt+/2I=")</f>
        <v>#VALUE!</v>
      </c>
      <c r="CV142" t="e">
        <f>AND('STERLING CATALOG - DRY '!F3121,"AAAAAFt+/2M=")</f>
        <v>#VALUE!</v>
      </c>
      <c r="CW142" t="e">
        <f>AND('STERLING CATALOG - DRY '!G3121,"AAAAAFt+/2Q=")</f>
        <v>#VALUE!</v>
      </c>
      <c r="CX142" t="e">
        <f>AND('STERLING CATALOG - DRY '!H3121,"AAAAAFt+/2U=")</f>
        <v>#VALUE!</v>
      </c>
      <c r="CY142" t="e">
        <f>AND('STERLING CATALOG - DRY '!I3121,"AAAAAFt+/2Y=")</f>
        <v>#VALUE!</v>
      </c>
      <c r="CZ142" t="e">
        <f>AND('STERLING CATALOG - DRY '!J3121,"AAAAAFt+/2c=")</f>
        <v>#VALUE!</v>
      </c>
      <c r="DA142">
        <f>IF('STERLING CATALOG - DRY '!3122:3122,"AAAAAFt+/2g=",0)</f>
        <v>0</v>
      </c>
      <c r="DB142" t="e">
        <f>AND('STERLING CATALOG - DRY '!A3122,"AAAAAFt+/2k=")</f>
        <v>#VALUE!</v>
      </c>
      <c r="DC142" t="e">
        <f>AND('STERLING CATALOG - DRY '!B3122,"AAAAAFt+/2o=")</f>
        <v>#VALUE!</v>
      </c>
      <c r="DD142" t="e">
        <f>AND('STERLING CATALOG - DRY '!C3122,"AAAAAFt+/2s=")</f>
        <v>#VALUE!</v>
      </c>
      <c r="DE142" t="e">
        <f>AND('STERLING CATALOG - DRY '!D3122,"AAAAAFt+/2w=")</f>
        <v>#VALUE!</v>
      </c>
      <c r="DF142" t="e">
        <f>AND('STERLING CATALOG - DRY '!E3122,"AAAAAFt+/20=")</f>
        <v>#VALUE!</v>
      </c>
      <c r="DG142" t="e">
        <f>AND('STERLING CATALOG - DRY '!F3122,"AAAAAFt+/24=")</f>
        <v>#VALUE!</v>
      </c>
      <c r="DH142" t="e">
        <f>AND('STERLING CATALOG - DRY '!G3122,"AAAAAFt+/28=")</f>
        <v>#VALUE!</v>
      </c>
      <c r="DI142" t="e">
        <f>AND('STERLING CATALOG - DRY '!H3122,"AAAAAFt+/3A=")</f>
        <v>#VALUE!</v>
      </c>
      <c r="DJ142" t="e">
        <f>AND('STERLING CATALOG - DRY '!I3122,"AAAAAFt+/3E=")</f>
        <v>#VALUE!</v>
      </c>
      <c r="DK142" t="e">
        <f>AND('STERLING CATALOG - DRY '!J3122,"AAAAAFt+/3I=")</f>
        <v>#VALUE!</v>
      </c>
      <c r="DL142">
        <f>IF('STERLING CATALOG - DRY '!3123:3123,"AAAAAFt+/3M=",0)</f>
        <v>0</v>
      </c>
      <c r="DM142" t="e">
        <f>AND('STERLING CATALOG - DRY '!A3123,"AAAAAFt+/3Q=")</f>
        <v>#VALUE!</v>
      </c>
      <c r="DN142" t="e">
        <f>AND('STERLING CATALOG - DRY '!B3123,"AAAAAFt+/3U=")</f>
        <v>#VALUE!</v>
      </c>
      <c r="DO142" t="e">
        <f>AND('STERLING CATALOG - DRY '!C3123,"AAAAAFt+/3Y=")</f>
        <v>#VALUE!</v>
      </c>
      <c r="DP142" t="e">
        <f>AND('STERLING CATALOG - DRY '!D3123,"AAAAAFt+/3c=")</f>
        <v>#VALUE!</v>
      </c>
      <c r="DQ142" t="e">
        <f>AND('STERLING CATALOG - DRY '!E3123,"AAAAAFt+/3g=")</f>
        <v>#VALUE!</v>
      </c>
      <c r="DR142" t="e">
        <f>AND('STERLING CATALOG - DRY '!F3123,"AAAAAFt+/3k=")</f>
        <v>#VALUE!</v>
      </c>
      <c r="DS142" t="e">
        <f>AND('STERLING CATALOG - DRY '!G3123,"AAAAAFt+/3o=")</f>
        <v>#VALUE!</v>
      </c>
      <c r="DT142" t="e">
        <f>AND('STERLING CATALOG - DRY '!H3123,"AAAAAFt+/3s=")</f>
        <v>#VALUE!</v>
      </c>
      <c r="DU142" t="e">
        <f>AND('STERLING CATALOG - DRY '!I3123,"AAAAAFt+/3w=")</f>
        <v>#VALUE!</v>
      </c>
      <c r="DV142" t="e">
        <f>AND('STERLING CATALOG - DRY '!J3123,"AAAAAFt+/30=")</f>
        <v>#VALUE!</v>
      </c>
      <c r="DW142">
        <f>IF('STERLING CATALOG - DRY '!3124:3124,"AAAAAFt+/34=",0)</f>
        <v>0</v>
      </c>
      <c r="DX142" t="e">
        <f>AND('STERLING CATALOG - DRY '!A3124,"AAAAAFt+/38=")</f>
        <v>#VALUE!</v>
      </c>
      <c r="DY142" t="e">
        <f>AND('STERLING CATALOG - DRY '!B3124,"AAAAAFt+/4A=")</f>
        <v>#VALUE!</v>
      </c>
      <c r="DZ142" t="e">
        <f>AND('STERLING CATALOG - DRY '!C3124,"AAAAAFt+/4E=")</f>
        <v>#VALUE!</v>
      </c>
      <c r="EA142" t="e">
        <f>AND('STERLING CATALOG - DRY '!D3124,"AAAAAFt+/4I=")</f>
        <v>#VALUE!</v>
      </c>
      <c r="EB142" t="e">
        <f>AND('STERLING CATALOG - DRY '!E3124,"AAAAAFt+/4M=")</f>
        <v>#VALUE!</v>
      </c>
      <c r="EC142" t="e">
        <f>AND('STERLING CATALOG - DRY '!F3124,"AAAAAFt+/4Q=")</f>
        <v>#VALUE!</v>
      </c>
      <c r="ED142" t="e">
        <f>AND('STERLING CATALOG - DRY '!G3124,"AAAAAFt+/4U=")</f>
        <v>#VALUE!</v>
      </c>
      <c r="EE142" t="e">
        <f>AND('STERLING CATALOG - DRY '!H3124,"AAAAAFt+/4Y=")</f>
        <v>#VALUE!</v>
      </c>
      <c r="EF142" t="e">
        <f>AND('STERLING CATALOG - DRY '!I3124,"AAAAAFt+/4c=")</f>
        <v>#VALUE!</v>
      </c>
      <c r="EG142" t="e">
        <f>AND('STERLING CATALOG - DRY '!J3124,"AAAAAFt+/4g=")</f>
        <v>#VALUE!</v>
      </c>
      <c r="EH142">
        <f>IF('STERLING CATALOG - DRY '!3125:3125,"AAAAAFt+/4k=",0)</f>
        <v>0</v>
      </c>
      <c r="EI142" t="e">
        <f>AND('STERLING CATALOG - DRY '!A3125,"AAAAAFt+/4o=")</f>
        <v>#VALUE!</v>
      </c>
      <c r="EJ142" t="e">
        <f>AND('STERLING CATALOG - DRY '!B3125,"AAAAAFt+/4s=")</f>
        <v>#VALUE!</v>
      </c>
      <c r="EK142" t="e">
        <f>AND('STERLING CATALOG - DRY '!C3125,"AAAAAFt+/4w=")</f>
        <v>#VALUE!</v>
      </c>
      <c r="EL142" t="e">
        <f>AND('STERLING CATALOG - DRY '!D3125,"AAAAAFt+/40=")</f>
        <v>#VALUE!</v>
      </c>
      <c r="EM142" t="e">
        <f>AND('STERLING CATALOG - DRY '!E3125,"AAAAAFt+/44=")</f>
        <v>#VALUE!</v>
      </c>
      <c r="EN142" t="e">
        <f>AND('STERLING CATALOG - DRY '!F3125,"AAAAAFt+/48=")</f>
        <v>#VALUE!</v>
      </c>
      <c r="EO142" t="e">
        <f>AND('STERLING CATALOG - DRY '!G3125,"AAAAAFt+/5A=")</f>
        <v>#VALUE!</v>
      </c>
      <c r="EP142" t="e">
        <f>AND('STERLING CATALOG - DRY '!H3125,"AAAAAFt+/5E=")</f>
        <v>#VALUE!</v>
      </c>
      <c r="EQ142" t="e">
        <f>AND('STERLING CATALOG - DRY '!I3125,"AAAAAFt+/5I=")</f>
        <v>#VALUE!</v>
      </c>
      <c r="ER142" t="e">
        <f>AND('STERLING CATALOG - DRY '!J3125,"AAAAAFt+/5M=")</f>
        <v>#VALUE!</v>
      </c>
      <c r="ES142">
        <f>IF('STERLING CATALOG - DRY '!3126:3126,"AAAAAFt+/5Q=",0)</f>
        <v>0</v>
      </c>
      <c r="ET142" t="e">
        <f>AND('STERLING CATALOG - DRY '!A3126,"AAAAAFt+/5U=")</f>
        <v>#VALUE!</v>
      </c>
      <c r="EU142" t="e">
        <f>AND('STERLING CATALOG - DRY '!B3126,"AAAAAFt+/5Y=")</f>
        <v>#VALUE!</v>
      </c>
      <c r="EV142" t="e">
        <f>AND('STERLING CATALOG - DRY '!C3126,"AAAAAFt+/5c=")</f>
        <v>#VALUE!</v>
      </c>
      <c r="EW142" t="e">
        <f>AND('STERLING CATALOG - DRY '!D3126,"AAAAAFt+/5g=")</f>
        <v>#VALUE!</v>
      </c>
      <c r="EX142" t="e">
        <f>AND('STERLING CATALOG - DRY '!E3126,"AAAAAFt+/5k=")</f>
        <v>#VALUE!</v>
      </c>
      <c r="EY142" t="e">
        <f>AND('STERLING CATALOG - DRY '!F3126,"AAAAAFt+/5o=")</f>
        <v>#VALUE!</v>
      </c>
      <c r="EZ142" t="e">
        <f>AND('STERLING CATALOG - DRY '!G3126,"AAAAAFt+/5s=")</f>
        <v>#VALUE!</v>
      </c>
      <c r="FA142" t="e">
        <f>AND('STERLING CATALOG - DRY '!H3126,"AAAAAFt+/5w=")</f>
        <v>#VALUE!</v>
      </c>
      <c r="FB142" t="e">
        <f>AND('STERLING CATALOG - DRY '!I3126,"AAAAAFt+/50=")</f>
        <v>#VALUE!</v>
      </c>
      <c r="FC142" t="e">
        <f>AND('STERLING CATALOG - DRY '!J3126,"AAAAAFt+/54=")</f>
        <v>#VALUE!</v>
      </c>
      <c r="FD142">
        <f>IF('STERLING CATALOG - DRY '!3127:3127,"AAAAAFt+/58=",0)</f>
        <v>0</v>
      </c>
      <c r="FE142" t="e">
        <f>AND('STERLING CATALOG - DRY '!A3127,"AAAAAFt+/6A=")</f>
        <v>#VALUE!</v>
      </c>
      <c r="FF142" t="e">
        <f>AND('STERLING CATALOG - DRY '!B3127,"AAAAAFt+/6E=")</f>
        <v>#VALUE!</v>
      </c>
      <c r="FG142" t="e">
        <f>AND('STERLING CATALOG - DRY '!C3127,"AAAAAFt+/6I=")</f>
        <v>#VALUE!</v>
      </c>
      <c r="FH142" t="e">
        <f>AND('STERLING CATALOG - DRY '!D3127,"AAAAAFt+/6M=")</f>
        <v>#VALUE!</v>
      </c>
      <c r="FI142" t="e">
        <f>AND('STERLING CATALOG - DRY '!E3127,"AAAAAFt+/6Q=")</f>
        <v>#VALUE!</v>
      </c>
      <c r="FJ142" t="e">
        <f>AND('STERLING CATALOG - DRY '!F3127,"AAAAAFt+/6U=")</f>
        <v>#VALUE!</v>
      </c>
      <c r="FK142" t="e">
        <f>AND('STERLING CATALOG - DRY '!G3127,"AAAAAFt+/6Y=")</f>
        <v>#VALUE!</v>
      </c>
      <c r="FL142" t="e">
        <f>AND('STERLING CATALOG - DRY '!H3127,"AAAAAFt+/6c=")</f>
        <v>#VALUE!</v>
      </c>
      <c r="FM142" t="e">
        <f>AND('STERLING CATALOG - DRY '!I3127,"AAAAAFt+/6g=")</f>
        <v>#VALUE!</v>
      </c>
      <c r="FN142" t="e">
        <f>AND('STERLING CATALOG - DRY '!J3127,"AAAAAFt+/6k=")</f>
        <v>#VALUE!</v>
      </c>
      <c r="FO142">
        <f>IF('STERLING CATALOG - DRY '!3128:3128,"AAAAAFt+/6o=",0)</f>
        <v>0</v>
      </c>
      <c r="FP142" t="e">
        <f>AND('STERLING CATALOG - DRY '!A3128,"AAAAAFt+/6s=")</f>
        <v>#VALUE!</v>
      </c>
      <c r="FQ142" t="e">
        <f>AND('STERLING CATALOG - DRY '!B3128,"AAAAAFt+/6w=")</f>
        <v>#VALUE!</v>
      </c>
      <c r="FR142" t="e">
        <f>AND('STERLING CATALOG - DRY '!C3128,"AAAAAFt+/60=")</f>
        <v>#VALUE!</v>
      </c>
      <c r="FS142" t="e">
        <f>AND('STERLING CATALOG - DRY '!D3128,"AAAAAFt+/64=")</f>
        <v>#VALUE!</v>
      </c>
      <c r="FT142" t="e">
        <f>AND('STERLING CATALOG - DRY '!E3128,"AAAAAFt+/68=")</f>
        <v>#VALUE!</v>
      </c>
      <c r="FU142" t="e">
        <f>AND('STERLING CATALOG - DRY '!F3128,"AAAAAFt+/7A=")</f>
        <v>#VALUE!</v>
      </c>
      <c r="FV142" t="e">
        <f>AND('STERLING CATALOG - DRY '!G3128,"AAAAAFt+/7E=")</f>
        <v>#VALUE!</v>
      </c>
      <c r="FW142" t="e">
        <f>AND('STERLING CATALOG - DRY '!H3128,"AAAAAFt+/7I=")</f>
        <v>#VALUE!</v>
      </c>
      <c r="FX142" t="e">
        <f>AND('STERLING CATALOG - DRY '!I3128,"AAAAAFt+/7M=")</f>
        <v>#VALUE!</v>
      </c>
      <c r="FY142" t="e">
        <f>AND('STERLING CATALOG - DRY '!J3128,"AAAAAFt+/7Q=")</f>
        <v>#VALUE!</v>
      </c>
      <c r="FZ142">
        <f>IF('STERLING CATALOG - DRY '!3129:3129,"AAAAAFt+/7U=",0)</f>
        <v>0</v>
      </c>
      <c r="GA142" t="e">
        <f>AND('STERLING CATALOG - DRY '!A3129,"AAAAAFt+/7Y=")</f>
        <v>#VALUE!</v>
      </c>
      <c r="GB142" t="e">
        <f>AND('STERLING CATALOG - DRY '!B3129,"AAAAAFt+/7c=")</f>
        <v>#VALUE!</v>
      </c>
      <c r="GC142" t="e">
        <f>AND('STERLING CATALOG - DRY '!C3129,"AAAAAFt+/7g=")</f>
        <v>#VALUE!</v>
      </c>
      <c r="GD142" t="e">
        <f>AND('STERLING CATALOG - DRY '!D3129,"AAAAAFt+/7k=")</f>
        <v>#VALUE!</v>
      </c>
      <c r="GE142" t="e">
        <f>AND('STERLING CATALOG - DRY '!E3129,"AAAAAFt+/7o=")</f>
        <v>#VALUE!</v>
      </c>
      <c r="GF142" t="e">
        <f>AND('STERLING CATALOG - DRY '!F3129,"AAAAAFt+/7s=")</f>
        <v>#VALUE!</v>
      </c>
      <c r="GG142" t="e">
        <f>AND('STERLING CATALOG - DRY '!G3129,"AAAAAFt+/7w=")</f>
        <v>#VALUE!</v>
      </c>
      <c r="GH142" t="e">
        <f>AND('STERLING CATALOG - DRY '!H3129,"AAAAAFt+/70=")</f>
        <v>#VALUE!</v>
      </c>
      <c r="GI142" t="e">
        <f>AND('STERLING CATALOG - DRY '!I3129,"AAAAAFt+/74=")</f>
        <v>#VALUE!</v>
      </c>
      <c r="GJ142" t="e">
        <f>AND('STERLING CATALOG - DRY '!J3129,"AAAAAFt+/78=")</f>
        <v>#VALUE!</v>
      </c>
      <c r="GK142">
        <f>IF('STERLING CATALOG - DRY '!3130:3130,"AAAAAFt+/8A=",0)</f>
        <v>0</v>
      </c>
      <c r="GL142" t="e">
        <f>AND('STERLING CATALOG - DRY '!A3130,"AAAAAFt+/8E=")</f>
        <v>#VALUE!</v>
      </c>
      <c r="GM142" t="e">
        <f>AND('STERLING CATALOG - DRY '!B3130,"AAAAAFt+/8I=")</f>
        <v>#VALUE!</v>
      </c>
      <c r="GN142" t="e">
        <f>AND('STERLING CATALOG - DRY '!C3130,"AAAAAFt+/8M=")</f>
        <v>#VALUE!</v>
      </c>
      <c r="GO142" t="e">
        <f>AND('STERLING CATALOG - DRY '!D3130,"AAAAAFt+/8Q=")</f>
        <v>#VALUE!</v>
      </c>
      <c r="GP142" t="e">
        <f>AND('STERLING CATALOG - DRY '!E3130,"AAAAAFt+/8U=")</f>
        <v>#VALUE!</v>
      </c>
      <c r="GQ142" t="e">
        <f>AND('STERLING CATALOG - DRY '!F3130,"AAAAAFt+/8Y=")</f>
        <v>#VALUE!</v>
      </c>
      <c r="GR142" t="e">
        <f>AND('STERLING CATALOG - DRY '!G3130,"AAAAAFt+/8c=")</f>
        <v>#VALUE!</v>
      </c>
      <c r="GS142" t="e">
        <f>AND('STERLING CATALOG - DRY '!H3130,"AAAAAFt+/8g=")</f>
        <v>#VALUE!</v>
      </c>
      <c r="GT142" t="e">
        <f>AND('STERLING CATALOG - DRY '!I3130,"AAAAAFt+/8k=")</f>
        <v>#VALUE!</v>
      </c>
      <c r="GU142" t="e">
        <f>AND('STERLING CATALOG - DRY '!J3130,"AAAAAFt+/8o=")</f>
        <v>#VALUE!</v>
      </c>
      <c r="GV142">
        <f>IF('STERLING CATALOG - DRY '!3131:3131,"AAAAAFt+/8s=",0)</f>
        <v>0</v>
      </c>
      <c r="GW142" t="e">
        <f>AND('STERLING CATALOG - DRY '!A3131,"AAAAAFt+/8w=")</f>
        <v>#VALUE!</v>
      </c>
      <c r="GX142" t="e">
        <f>AND('STERLING CATALOG - DRY '!B3131,"AAAAAFt+/80=")</f>
        <v>#VALUE!</v>
      </c>
      <c r="GY142" t="e">
        <f>AND('STERLING CATALOG - DRY '!C3131,"AAAAAFt+/84=")</f>
        <v>#VALUE!</v>
      </c>
      <c r="GZ142" t="e">
        <f>AND('STERLING CATALOG - DRY '!D3131,"AAAAAFt+/88=")</f>
        <v>#VALUE!</v>
      </c>
      <c r="HA142" t="e">
        <f>AND('STERLING CATALOG - DRY '!E3131,"AAAAAFt+/9A=")</f>
        <v>#VALUE!</v>
      </c>
      <c r="HB142" t="e">
        <f>AND('STERLING CATALOG - DRY '!F3131,"AAAAAFt+/9E=")</f>
        <v>#VALUE!</v>
      </c>
      <c r="HC142" t="e">
        <f>AND('STERLING CATALOG - DRY '!G3131,"AAAAAFt+/9I=")</f>
        <v>#VALUE!</v>
      </c>
      <c r="HD142" t="e">
        <f>AND('STERLING CATALOG - DRY '!H3131,"AAAAAFt+/9M=")</f>
        <v>#VALUE!</v>
      </c>
      <c r="HE142" t="e">
        <f>AND('STERLING CATALOG - DRY '!I3131,"AAAAAFt+/9Q=")</f>
        <v>#VALUE!</v>
      </c>
      <c r="HF142" t="e">
        <f>AND('STERLING CATALOG - DRY '!J3131,"AAAAAFt+/9U=")</f>
        <v>#VALUE!</v>
      </c>
      <c r="HG142">
        <f>IF('STERLING CATALOG - DRY '!3132:3132,"AAAAAFt+/9Y=",0)</f>
        <v>0</v>
      </c>
      <c r="HH142" t="e">
        <f>AND('STERLING CATALOG - DRY '!A3132,"AAAAAFt+/9c=")</f>
        <v>#VALUE!</v>
      </c>
      <c r="HI142" t="e">
        <f>AND('STERLING CATALOG - DRY '!B3132,"AAAAAFt+/9g=")</f>
        <v>#VALUE!</v>
      </c>
      <c r="HJ142" t="e">
        <f>AND('STERLING CATALOG - DRY '!C3132,"AAAAAFt+/9k=")</f>
        <v>#VALUE!</v>
      </c>
      <c r="HK142" t="e">
        <f>AND('STERLING CATALOG - DRY '!D3132,"AAAAAFt+/9o=")</f>
        <v>#VALUE!</v>
      </c>
      <c r="HL142" t="e">
        <f>AND('STERLING CATALOG - DRY '!E3132,"AAAAAFt+/9s=")</f>
        <v>#VALUE!</v>
      </c>
      <c r="HM142" t="e">
        <f>AND('STERLING CATALOG - DRY '!F3132,"AAAAAFt+/9w=")</f>
        <v>#VALUE!</v>
      </c>
      <c r="HN142" t="e">
        <f>AND('STERLING CATALOG - DRY '!G3132,"AAAAAFt+/90=")</f>
        <v>#VALUE!</v>
      </c>
      <c r="HO142" t="e">
        <f>AND('STERLING CATALOG - DRY '!H3132,"AAAAAFt+/94=")</f>
        <v>#VALUE!</v>
      </c>
      <c r="HP142" t="e">
        <f>AND('STERLING CATALOG - DRY '!I3132,"AAAAAFt+/98=")</f>
        <v>#VALUE!</v>
      </c>
      <c r="HQ142" t="e">
        <f>AND('STERLING CATALOG - DRY '!J3132,"AAAAAFt+/+A=")</f>
        <v>#VALUE!</v>
      </c>
      <c r="HR142">
        <f>IF('STERLING CATALOG - DRY '!3133:3133,"AAAAAFt+/+E=",0)</f>
        <v>0</v>
      </c>
      <c r="HS142" t="e">
        <f>AND('STERLING CATALOG - DRY '!A3133,"AAAAAFt+/+I=")</f>
        <v>#VALUE!</v>
      </c>
      <c r="HT142" t="e">
        <f>AND('STERLING CATALOG - DRY '!B3133,"AAAAAFt+/+M=")</f>
        <v>#VALUE!</v>
      </c>
      <c r="HU142" t="e">
        <f>AND('STERLING CATALOG - DRY '!C3133,"AAAAAFt+/+Q=")</f>
        <v>#VALUE!</v>
      </c>
      <c r="HV142" t="e">
        <f>AND('STERLING CATALOG - DRY '!D3133,"AAAAAFt+/+U=")</f>
        <v>#VALUE!</v>
      </c>
      <c r="HW142" t="e">
        <f>AND('STERLING CATALOG - DRY '!E3133,"AAAAAFt+/+Y=")</f>
        <v>#VALUE!</v>
      </c>
      <c r="HX142" t="e">
        <f>AND('STERLING CATALOG - DRY '!F3133,"AAAAAFt+/+c=")</f>
        <v>#VALUE!</v>
      </c>
      <c r="HY142" t="e">
        <f>AND('STERLING CATALOG - DRY '!G3133,"AAAAAFt+/+g=")</f>
        <v>#VALUE!</v>
      </c>
      <c r="HZ142" t="e">
        <f>AND('STERLING CATALOG - DRY '!H3133,"AAAAAFt+/+k=")</f>
        <v>#VALUE!</v>
      </c>
      <c r="IA142" t="e">
        <f>AND('STERLING CATALOG - DRY '!I3133,"AAAAAFt+/+o=")</f>
        <v>#VALUE!</v>
      </c>
      <c r="IB142" t="e">
        <f>AND('STERLING CATALOG - DRY '!J3133,"AAAAAFt+/+s=")</f>
        <v>#VALUE!</v>
      </c>
      <c r="IC142">
        <f>IF('STERLING CATALOG - DRY '!3134:3134,"AAAAAFt+/+w=",0)</f>
        <v>0</v>
      </c>
      <c r="ID142" t="e">
        <f>AND('STERLING CATALOG - DRY '!A3134,"AAAAAFt+/+0=")</f>
        <v>#VALUE!</v>
      </c>
      <c r="IE142" t="e">
        <f>AND('STERLING CATALOG - DRY '!B3134,"AAAAAFt+/+4=")</f>
        <v>#VALUE!</v>
      </c>
      <c r="IF142" t="e">
        <f>AND('STERLING CATALOG - DRY '!C3134,"AAAAAFt+/+8=")</f>
        <v>#VALUE!</v>
      </c>
      <c r="IG142" t="e">
        <f>AND('STERLING CATALOG - DRY '!D3134,"AAAAAFt+//A=")</f>
        <v>#VALUE!</v>
      </c>
      <c r="IH142" t="e">
        <f>AND('STERLING CATALOG - DRY '!E3134,"AAAAAFt+//E=")</f>
        <v>#VALUE!</v>
      </c>
      <c r="II142" t="e">
        <f>AND('STERLING CATALOG - DRY '!F3134,"AAAAAFt+//I=")</f>
        <v>#VALUE!</v>
      </c>
      <c r="IJ142" t="e">
        <f>AND('STERLING CATALOG - DRY '!G3134,"AAAAAFt+//M=")</f>
        <v>#VALUE!</v>
      </c>
      <c r="IK142" t="e">
        <f>AND('STERLING CATALOG - DRY '!H3134,"AAAAAFt+//Q=")</f>
        <v>#VALUE!</v>
      </c>
      <c r="IL142" t="e">
        <f>AND('STERLING CATALOG - DRY '!I3134,"AAAAAFt+//U=")</f>
        <v>#VALUE!</v>
      </c>
      <c r="IM142" t="e">
        <f>AND('STERLING CATALOG - DRY '!J3134,"AAAAAFt+//Y=")</f>
        <v>#VALUE!</v>
      </c>
      <c r="IN142">
        <f>IF('STERLING CATALOG - DRY '!3135:3135,"AAAAAFt+//c=",0)</f>
        <v>0</v>
      </c>
      <c r="IO142" t="e">
        <f>AND('STERLING CATALOG - DRY '!A3135,"AAAAAFt+//g=")</f>
        <v>#VALUE!</v>
      </c>
      <c r="IP142" t="e">
        <f>AND('STERLING CATALOG - DRY '!B3135,"AAAAAFt+//k=")</f>
        <v>#VALUE!</v>
      </c>
      <c r="IQ142" t="e">
        <f>AND('STERLING CATALOG - DRY '!C3135,"AAAAAFt+//o=")</f>
        <v>#VALUE!</v>
      </c>
      <c r="IR142" t="e">
        <f>AND('STERLING CATALOG - DRY '!D3135,"AAAAAFt+//s=")</f>
        <v>#VALUE!</v>
      </c>
      <c r="IS142" t="e">
        <f>AND('STERLING CATALOG - DRY '!E3135,"AAAAAFt+//w=")</f>
        <v>#VALUE!</v>
      </c>
      <c r="IT142" t="e">
        <f>AND('STERLING CATALOG - DRY '!F3135,"AAAAAFt+//0=")</f>
        <v>#VALUE!</v>
      </c>
      <c r="IU142" t="e">
        <f>AND('STERLING CATALOG - DRY '!G3135,"AAAAAFt+//4=")</f>
        <v>#VALUE!</v>
      </c>
      <c r="IV142" t="e">
        <f>AND('STERLING CATALOG - DRY '!H3135,"AAAAAFt+//8=")</f>
        <v>#VALUE!</v>
      </c>
    </row>
    <row r="143" spans="1:256">
      <c r="A143" t="e">
        <f>AND('STERLING CATALOG - DRY '!I3135,"AAAAAHn/zAA=")</f>
        <v>#VALUE!</v>
      </c>
      <c r="B143" t="e">
        <f>AND('STERLING CATALOG - DRY '!J3135,"AAAAAHn/zAE=")</f>
        <v>#VALUE!</v>
      </c>
      <c r="C143" t="str">
        <f>IF('STERLING CATALOG - DRY '!3136:3136,"AAAAAHn/zAI=",0)</f>
        <v>AAAAAHn/zAI=</v>
      </c>
      <c r="D143" t="e">
        <f>AND('STERLING CATALOG - DRY '!A3136,"AAAAAHn/zAM=")</f>
        <v>#VALUE!</v>
      </c>
      <c r="E143" t="e">
        <f>AND('STERLING CATALOG - DRY '!B3136,"AAAAAHn/zAQ=")</f>
        <v>#VALUE!</v>
      </c>
      <c r="F143" t="e">
        <f>AND('STERLING CATALOG - DRY '!C3136,"AAAAAHn/zAU=")</f>
        <v>#VALUE!</v>
      </c>
      <c r="G143" t="e">
        <f>AND('STERLING CATALOG - DRY '!D3136,"AAAAAHn/zAY=")</f>
        <v>#VALUE!</v>
      </c>
      <c r="H143" t="e">
        <f>AND('STERLING CATALOG - DRY '!E3136,"AAAAAHn/zAc=")</f>
        <v>#VALUE!</v>
      </c>
      <c r="I143" t="e">
        <f>AND('STERLING CATALOG - DRY '!F3136,"AAAAAHn/zAg=")</f>
        <v>#VALUE!</v>
      </c>
      <c r="J143" t="e">
        <f>AND('STERLING CATALOG - DRY '!G3136,"AAAAAHn/zAk=")</f>
        <v>#VALUE!</v>
      </c>
      <c r="K143" t="e">
        <f>AND('STERLING CATALOG - DRY '!H3136,"AAAAAHn/zAo=")</f>
        <v>#VALUE!</v>
      </c>
      <c r="L143" t="e">
        <f>AND('STERLING CATALOG - DRY '!I3136,"AAAAAHn/zAs=")</f>
        <v>#VALUE!</v>
      </c>
      <c r="M143" t="e">
        <f>AND('STERLING CATALOG - DRY '!J3136,"AAAAAHn/zAw=")</f>
        <v>#VALUE!</v>
      </c>
      <c r="N143">
        <f>IF('STERLING CATALOG - DRY '!3137:3137,"AAAAAHn/zA0=",0)</f>
        <v>0</v>
      </c>
      <c r="O143" t="e">
        <f>AND('STERLING CATALOG - DRY '!A3137,"AAAAAHn/zA4=")</f>
        <v>#VALUE!</v>
      </c>
      <c r="P143" t="e">
        <f>AND('STERLING CATALOG - DRY '!B3137,"AAAAAHn/zA8=")</f>
        <v>#VALUE!</v>
      </c>
      <c r="Q143" t="e">
        <f>AND('STERLING CATALOG - DRY '!C3137,"AAAAAHn/zBA=")</f>
        <v>#VALUE!</v>
      </c>
      <c r="R143" t="e">
        <f>AND('STERLING CATALOG - DRY '!D3137,"AAAAAHn/zBE=")</f>
        <v>#VALUE!</v>
      </c>
      <c r="S143" t="e">
        <f>AND('STERLING CATALOG - DRY '!E3137,"AAAAAHn/zBI=")</f>
        <v>#VALUE!</v>
      </c>
      <c r="T143" t="e">
        <f>AND('STERLING CATALOG - DRY '!F3137,"AAAAAHn/zBM=")</f>
        <v>#VALUE!</v>
      </c>
      <c r="U143" t="e">
        <f>AND('STERLING CATALOG - DRY '!G3137,"AAAAAHn/zBQ=")</f>
        <v>#VALUE!</v>
      </c>
      <c r="V143" t="e">
        <f>AND('STERLING CATALOG - DRY '!H3137,"AAAAAHn/zBU=")</f>
        <v>#VALUE!</v>
      </c>
      <c r="W143" t="e">
        <f>AND('STERLING CATALOG - DRY '!I3137,"AAAAAHn/zBY=")</f>
        <v>#VALUE!</v>
      </c>
      <c r="X143" t="e">
        <f>AND('STERLING CATALOG - DRY '!J3137,"AAAAAHn/zBc=")</f>
        <v>#VALUE!</v>
      </c>
      <c r="Y143">
        <f>IF('STERLING CATALOG - DRY '!3138:3138,"AAAAAHn/zBg=",0)</f>
        <v>0</v>
      </c>
      <c r="Z143" t="e">
        <f>AND('STERLING CATALOG - DRY '!A3138,"AAAAAHn/zBk=")</f>
        <v>#VALUE!</v>
      </c>
      <c r="AA143" t="e">
        <f>AND('STERLING CATALOG - DRY '!B3138,"AAAAAHn/zBo=")</f>
        <v>#VALUE!</v>
      </c>
      <c r="AB143" t="e">
        <f>AND('STERLING CATALOG - DRY '!C3138,"AAAAAHn/zBs=")</f>
        <v>#VALUE!</v>
      </c>
      <c r="AC143" t="e">
        <f>AND('STERLING CATALOG - DRY '!D3138,"AAAAAHn/zBw=")</f>
        <v>#VALUE!</v>
      </c>
      <c r="AD143" t="e">
        <f>AND('STERLING CATALOG - DRY '!E3138,"AAAAAHn/zB0=")</f>
        <v>#VALUE!</v>
      </c>
      <c r="AE143" t="e">
        <f>AND('STERLING CATALOG - DRY '!F3138,"AAAAAHn/zB4=")</f>
        <v>#VALUE!</v>
      </c>
      <c r="AF143" t="e">
        <f>AND('STERLING CATALOG - DRY '!G3138,"AAAAAHn/zB8=")</f>
        <v>#VALUE!</v>
      </c>
      <c r="AG143" t="e">
        <f>AND('STERLING CATALOG - DRY '!H3138,"AAAAAHn/zCA=")</f>
        <v>#VALUE!</v>
      </c>
      <c r="AH143" t="e">
        <f>AND('STERLING CATALOG - DRY '!I3138,"AAAAAHn/zCE=")</f>
        <v>#VALUE!</v>
      </c>
      <c r="AI143" t="e">
        <f>AND('STERLING CATALOG - DRY '!J3138,"AAAAAHn/zCI=")</f>
        <v>#VALUE!</v>
      </c>
      <c r="AJ143">
        <f>IF('STERLING CATALOG - DRY '!3139:3139,"AAAAAHn/zCM=",0)</f>
        <v>0</v>
      </c>
      <c r="AK143" t="e">
        <f>AND('STERLING CATALOG - DRY '!A3139,"AAAAAHn/zCQ=")</f>
        <v>#VALUE!</v>
      </c>
      <c r="AL143" t="e">
        <f>AND('STERLING CATALOG - DRY '!B3139,"AAAAAHn/zCU=")</f>
        <v>#VALUE!</v>
      </c>
      <c r="AM143" t="e">
        <f>AND('STERLING CATALOG - DRY '!C3139,"AAAAAHn/zCY=")</f>
        <v>#VALUE!</v>
      </c>
      <c r="AN143" t="e">
        <f>AND('STERLING CATALOG - DRY '!D3139,"AAAAAHn/zCc=")</f>
        <v>#VALUE!</v>
      </c>
      <c r="AO143" t="e">
        <f>AND('STERLING CATALOG - DRY '!E3139,"AAAAAHn/zCg=")</f>
        <v>#VALUE!</v>
      </c>
      <c r="AP143" t="e">
        <f>AND('STERLING CATALOG - DRY '!F3139,"AAAAAHn/zCk=")</f>
        <v>#VALUE!</v>
      </c>
      <c r="AQ143" t="e">
        <f>AND('STERLING CATALOG - DRY '!G3139,"AAAAAHn/zCo=")</f>
        <v>#VALUE!</v>
      </c>
      <c r="AR143" t="e">
        <f>AND('STERLING CATALOG - DRY '!H3139,"AAAAAHn/zCs=")</f>
        <v>#VALUE!</v>
      </c>
      <c r="AS143" t="e">
        <f>AND('STERLING CATALOG - DRY '!I3139,"AAAAAHn/zCw=")</f>
        <v>#VALUE!</v>
      </c>
      <c r="AT143" t="e">
        <f>AND('STERLING CATALOG - DRY '!J3139,"AAAAAHn/zC0=")</f>
        <v>#VALUE!</v>
      </c>
      <c r="AU143">
        <f>IF('STERLING CATALOG - DRY '!3140:3140,"AAAAAHn/zC4=",0)</f>
        <v>0</v>
      </c>
      <c r="AV143" t="e">
        <f>AND('STERLING CATALOG - DRY '!A3140,"AAAAAHn/zC8=")</f>
        <v>#VALUE!</v>
      </c>
      <c r="AW143" t="e">
        <f>AND('STERLING CATALOG - DRY '!B3140,"AAAAAHn/zDA=")</f>
        <v>#VALUE!</v>
      </c>
      <c r="AX143" t="e">
        <f>AND('STERLING CATALOG - DRY '!C3140,"AAAAAHn/zDE=")</f>
        <v>#VALUE!</v>
      </c>
      <c r="AY143" t="e">
        <f>AND('STERLING CATALOG - DRY '!D3140,"AAAAAHn/zDI=")</f>
        <v>#VALUE!</v>
      </c>
      <c r="AZ143" t="e">
        <f>AND('STERLING CATALOG - DRY '!E3140,"AAAAAHn/zDM=")</f>
        <v>#VALUE!</v>
      </c>
      <c r="BA143" t="e">
        <f>AND('STERLING CATALOG - DRY '!F3140,"AAAAAHn/zDQ=")</f>
        <v>#VALUE!</v>
      </c>
      <c r="BB143" t="e">
        <f>AND('STERLING CATALOG - DRY '!G3140,"AAAAAHn/zDU=")</f>
        <v>#VALUE!</v>
      </c>
      <c r="BC143" t="e">
        <f>AND('STERLING CATALOG - DRY '!H3140,"AAAAAHn/zDY=")</f>
        <v>#VALUE!</v>
      </c>
      <c r="BD143" t="e">
        <f>AND('STERLING CATALOG - DRY '!I3140,"AAAAAHn/zDc=")</f>
        <v>#VALUE!</v>
      </c>
      <c r="BE143" t="e">
        <f>AND('STERLING CATALOG - DRY '!J3140,"AAAAAHn/zDg=")</f>
        <v>#VALUE!</v>
      </c>
      <c r="BF143">
        <f>IF('STERLING CATALOG - DRY '!3141:3141,"AAAAAHn/zDk=",0)</f>
        <v>0</v>
      </c>
      <c r="BG143" t="e">
        <f>AND('STERLING CATALOG - DRY '!A3141,"AAAAAHn/zDo=")</f>
        <v>#VALUE!</v>
      </c>
      <c r="BH143" t="e">
        <f>AND('STERLING CATALOG - DRY '!B3141,"AAAAAHn/zDs=")</f>
        <v>#VALUE!</v>
      </c>
      <c r="BI143" t="e">
        <f>AND('STERLING CATALOG - DRY '!C3141,"AAAAAHn/zDw=")</f>
        <v>#VALUE!</v>
      </c>
      <c r="BJ143" t="e">
        <f>AND('STERLING CATALOG - DRY '!D3141,"AAAAAHn/zD0=")</f>
        <v>#VALUE!</v>
      </c>
      <c r="BK143" t="e">
        <f>AND('STERLING CATALOG - DRY '!E3141,"AAAAAHn/zD4=")</f>
        <v>#VALUE!</v>
      </c>
      <c r="BL143" t="e">
        <f>AND('STERLING CATALOG - DRY '!F3141,"AAAAAHn/zD8=")</f>
        <v>#VALUE!</v>
      </c>
      <c r="BM143" t="e">
        <f>AND('STERLING CATALOG - DRY '!G3141,"AAAAAHn/zEA=")</f>
        <v>#VALUE!</v>
      </c>
      <c r="BN143" t="e">
        <f>AND('STERLING CATALOG - DRY '!H3141,"AAAAAHn/zEE=")</f>
        <v>#VALUE!</v>
      </c>
      <c r="BO143" t="e">
        <f>AND('STERLING CATALOG - DRY '!I3141,"AAAAAHn/zEI=")</f>
        <v>#VALUE!</v>
      </c>
      <c r="BP143" t="e">
        <f>AND('STERLING CATALOG - DRY '!J3141,"AAAAAHn/zEM=")</f>
        <v>#VALUE!</v>
      </c>
      <c r="BQ143">
        <f>IF('STERLING CATALOG - DRY '!3142:3142,"AAAAAHn/zEQ=",0)</f>
        <v>0</v>
      </c>
      <c r="BR143" t="e">
        <f>AND('STERLING CATALOG - DRY '!A3142,"AAAAAHn/zEU=")</f>
        <v>#VALUE!</v>
      </c>
      <c r="BS143" t="e">
        <f>AND('STERLING CATALOG - DRY '!B3142,"AAAAAHn/zEY=")</f>
        <v>#VALUE!</v>
      </c>
      <c r="BT143" t="e">
        <f>AND('STERLING CATALOG - DRY '!C3142,"AAAAAHn/zEc=")</f>
        <v>#VALUE!</v>
      </c>
      <c r="BU143" t="e">
        <f>AND('STERLING CATALOG - DRY '!D3142,"AAAAAHn/zEg=")</f>
        <v>#VALUE!</v>
      </c>
      <c r="BV143" t="e">
        <f>AND('STERLING CATALOG - DRY '!E3142,"AAAAAHn/zEk=")</f>
        <v>#VALUE!</v>
      </c>
      <c r="BW143" t="e">
        <f>AND('STERLING CATALOG - DRY '!F3142,"AAAAAHn/zEo=")</f>
        <v>#VALUE!</v>
      </c>
      <c r="BX143" t="e">
        <f>AND('STERLING CATALOG - DRY '!G3142,"AAAAAHn/zEs=")</f>
        <v>#VALUE!</v>
      </c>
      <c r="BY143" t="e">
        <f>AND('STERLING CATALOG - DRY '!H3142,"AAAAAHn/zEw=")</f>
        <v>#VALUE!</v>
      </c>
      <c r="BZ143" t="e">
        <f>AND('STERLING CATALOG - DRY '!I3142,"AAAAAHn/zE0=")</f>
        <v>#VALUE!</v>
      </c>
      <c r="CA143" t="e">
        <f>AND('STERLING CATALOG - DRY '!J3142,"AAAAAHn/zE4=")</f>
        <v>#VALUE!</v>
      </c>
      <c r="CB143">
        <f>IF('STERLING CATALOG - DRY '!3143:3143,"AAAAAHn/zE8=",0)</f>
        <v>0</v>
      </c>
      <c r="CC143" t="e">
        <f>AND('STERLING CATALOG - DRY '!A3143,"AAAAAHn/zFA=")</f>
        <v>#VALUE!</v>
      </c>
      <c r="CD143" t="e">
        <f>AND('STERLING CATALOG - DRY '!B3143,"AAAAAHn/zFE=")</f>
        <v>#VALUE!</v>
      </c>
      <c r="CE143" t="e">
        <f>AND('STERLING CATALOG - DRY '!C3143,"AAAAAHn/zFI=")</f>
        <v>#VALUE!</v>
      </c>
      <c r="CF143" t="e">
        <f>AND('STERLING CATALOG - DRY '!D3143,"AAAAAHn/zFM=")</f>
        <v>#VALUE!</v>
      </c>
      <c r="CG143" t="e">
        <f>AND('STERLING CATALOG - DRY '!E3143,"AAAAAHn/zFQ=")</f>
        <v>#VALUE!</v>
      </c>
      <c r="CH143" t="e">
        <f>AND('STERLING CATALOG - DRY '!F3143,"AAAAAHn/zFU=")</f>
        <v>#VALUE!</v>
      </c>
      <c r="CI143" t="e">
        <f>AND('STERLING CATALOG - DRY '!G3143,"AAAAAHn/zFY=")</f>
        <v>#VALUE!</v>
      </c>
      <c r="CJ143" t="e">
        <f>AND('STERLING CATALOG - DRY '!H3143,"AAAAAHn/zFc=")</f>
        <v>#VALUE!</v>
      </c>
      <c r="CK143" t="e">
        <f>AND('STERLING CATALOG - DRY '!I3143,"AAAAAHn/zFg=")</f>
        <v>#VALUE!</v>
      </c>
      <c r="CL143" t="e">
        <f>AND('STERLING CATALOG - DRY '!J3143,"AAAAAHn/zFk=")</f>
        <v>#VALUE!</v>
      </c>
      <c r="CM143">
        <f>IF('STERLING CATALOG - DRY '!3144:3144,"AAAAAHn/zFo=",0)</f>
        <v>0</v>
      </c>
      <c r="CN143" t="e">
        <f>AND('STERLING CATALOG - DRY '!A3144,"AAAAAHn/zFs=")</f>
        <v>#VALUE!</v>
      </c>
      <c r="CO143" t="e">
        <f>AND('STERLING CATALOG - DRY '!B3144,"AAAAAHn/zFw=")</f>
        <v>#VALUE!</v>
      </c>
      <c r="CP143" t="e">
        <f>AND('STERLING CATALOG - DRY '!C3144,"AAAAAHn/zF0=")</f>
        <v>#VALUE!</v>
      </c>
      <c r="CQ143" t="e">
        <f>AND('STERLING CATALOG - DRY '!D3144,"AAAAAHn/zF4=")</f>
        <v>#VALUE!</v>
      </c>
      <c r="CR143" t="e">
        <f>AND('STERLING CATALOG - DRY '!E3144,"AAAAAHn/zF8=")</f>
        <v>#VALUE!</v>
      </c>
      <c r="CS143" t="e">
        <f>AND('STERLING CATALOG - DRY '!F3144,"AAAAAHn/zGA=")</f>
        <v>#VALUE!</v>
      </c>
      <c r="CT143" t="e">
        <f>AND('STERLING CATALOG - DRY '!G3144,"AAAAAHn/zGE=")</f>
        <v>#VALUE!</v>
      </c>
      <c r="CU143" t="e">
        <f>AND('STERLING CATALOG - DRY '!H3144,"AAAAAHn/zGI=")</f>
        <v>#VALUE!</v>
      </c>
      <c r="CV143" t="e">
        <f>AND('STERLING CATALOG - DRY '!I3144,"AAAAAHn/zGM=")</f>
        <v>#VALUE!</v>
      </c>
      <c r="CW143" t="e">
        <f>AND('STERLING CATALOG - DRY '!J3144,"AAAAAHn/zGQ=")</f>
        <v>#VALUE!</v>
      </c>
      <c r="CX143">
        <f>IF('STERLING CATALOG - DRY '!3145:3145,"AAAAAHn/zGU=",0)</f>
        <v>0</v>
      </c>
      <c r="CY143" t="e">
        <f>AND('STERLING CATALOG - DRY '!A3145,"AAAAAHn/zGY=")</f>
        <v>#VALUE!</v>
      </c>
      <c r="CZ143" t="e">
        <f>AND('STERLING CATALOG - DRY '!B3145,"AAAAAHn/zGc=")</f>
        <v>#VALUE!</v>
      </c>
      <c r="DA143" t="e">
        <f>AND('STERLING CATALOG - DRY '!C3145,"AAAAAHn/zGg=")</f>
        <v>#VALUE!</v>
      </c>
      <c r="DB143" t="e">
        <f>AND('STERLING CATALOG - DRY '!D3145,"AAAAAHn/zGk=")</f>
        <v>#VALUE!</v>
      </c>
      <c r="DC143" t="e">
        <f>AND('STERLING CATALOG - DRY '!E3145,"AAAAAHn/zGo=")</f>
        <v>#VALUE!</v>
      </c>
      <c r="DD143" t="e">
        <f>AND('STERLING CATALOG - DRY '!F3145,"AAAAAHn/zGs=")</f>
        <v>#VALUE!</v>
      </c>
      <c r="DE143" t="e">
        <f>AND('STERLING CATALOG - DRY '!G3145,"AAAAAHn/zGw=")</f>
        <v>#VALUE!</v>
      </c>
      <c r="DF143" t="e">
        <f>AND('STERLING CATALOG - DRY '!H3145,"AAAAAHn/zG0=")</f>
        <v>#VALUE!</v>
      </c>
      <c r="DG143" t="e">
        <f>AND('STERLING CATALOG - DRY '!I3145,"AAAAAHn/zG4=")</f>
        <v>#VALUE!</v>
      </c>
      <c r="DH143" t="e">
        <f>AND('STERLING CATALOG - DRY '!J3145,"AAAAAHn/zG8=")</f>
        <v>#VALUE!</v>
      </c>
      <c r="DI143">
        <f>IF('STERLING CATALOG - DRY '!3146:3146,"AAAAAHn/zHA=",0)</f>
        <v>0</v>
      </c>
      <c r="DJ143" t="e">
        <f>AND('STERLING CATALOG - DRY '!A3146,"AAAAAHn/zHE=")</f>
        <v>#VALUE!</v>
      </c>
      <c r="DK143" t="e">
        <f>AND('STERLING CATALOG - DRY '!B3146,"AAAAAHn/zHI=")</f>
        <v>#VALUE!</v>
      </c>
      <c r="DL143" t="e">
        <f>AND('STERLING CATALOG - DRY '!C3146,"AAAAAHn/zHM=")</f>
        <v>#VALUE!</v>
      </c>
      <c r="DM143" t="e">
        <f>AND('STERLING CATALOG - DRY '!D3146,"AAAAAHn/zHQ=")</f>
        <v>#VALUE!</v>
      </c>
      <c r="DN143" t="e">
        <f>AND('STERLING CATALOG - DRY '!E3146,"AAAAAHn/zHU=")</f>
        <v>#VALUE!</v>
      </c>
      <c r="DO143" t="e">
        <f>AND('STERLING CATALOG - DRY '!F3146,"AAAAAHn/zHY=")</f>
        <v>#VALUE!</v>
      </c>
      <c r="DP143" t="e">
        <f>AND('STERLING CATALOG - DRY '!G3146,"AAAAAHn/zHc=")</f>
        <v>#VALUE!</v>
      </c>
      <c r="DQ143" t="e">
        <f>AND('STERLING CATALOG - DRY '!H3146,"AAAAAHn/zHg=")</f>
        <v>#VALUE!</v>
      </c>
      <c r="DR143" t="e">
        <f>AND('STERLING CATALOG - DRY '!I3146,"AAAAAHn/zHk=")</f>
        <v>#VALUE!</v>
      </c>
      <c r="DS143" t="e">
        <f>AND('STERLING CATALOG - DRY '!J3146,"AAAAAHn/zHo=")</f>
        <v>#VALUE!</v>
      </c>
      <c r="DT143">
        <f>IF('STERLING CATALOG - DRY '!3147:3147,"AAAAAHn/zHs=",0)</f>
        <v>0</v>
      </c>
      <c r="DU143" t="e">
        <f>AND('STERLING CATALOG - DRY '!A3147,"AAAAAHn/zHw=")</f>
        <v>#VALUE!</v>
      </c>
      <c r="DV143" t="e">
        <f>AND('STERLING CATALOG - DRY '!B3147,"AAAAAHn/zH0=")</f>
        <v>#VALUE!</v>
      </c>
      <c r="DW143" t="e">
        <f>AND('STERLING CATALOG - DRY '!C3147,"AAAAAHn/zH4=")</f>
        <v>#VALUE!</v>
      </c>
      <c r="DX143" t="e">
        <f>AND('STERLING CATALOG - DRY '!D3147,"AAAAAHn/zH8=")</f>
        <v>#VALUE!</v>
      </c>
      <c r="DY143" t="e">
        <f>AND('STERLING CATALOG - DRY '!E3147,"AAAAAHn/zIA=")</f>
        <v>#VALUE!</v>
      </c>
      <c r="DZ143" t="e">
        <f>AND('STERLING CATALOG - DRY '!F3147,"AAAAAHn/zIE=")</f>
        <v>#VALUE!</v>
      </c>
      <c r="EA143" t="e">
        <f>AND('STERLING CATALOG - DRY '!G3147,"AAAAAHn/zII=")</f>
        <v>#VALUE!</v>
      </c>
      <c r="EB143" t="e">
        <f>AND('STERLING CATALOG - DRY '!H3147,"AAAAAHn/zIM=")</f>
        <v>#VALUE!</v>
      </c>
      <c r="EC143" t="e">
        <f>AND('STERLING CATALOG - DRY '!I3147,"AAAAAHn/zIQ=")</f>
        <v>#VALUE!</v>
      </c>
      <c r="ED143" t="e">
        <f>AND('STERLING CATALOG - DRY '!J3147,"AAAAAHn/zIU=")</f>
        <v>#VALUE!</v>
      </c>
      <c r="EE143">
        <f>IF('STERLING CATALOG - DRY '!3148:3148,"AAAAAHn/zIY=",0)</f>
        <v>0</v>
      </c>
      <c r="EF143" t="e">
        <f>AND('STERLING CATALOG - DRY '!A3148,"AAAAAHn/zIc=")</f>
        <v>#VALUE!</v>
      </c>
      <c r="EG143" t="e">
        <f>AND('STERLING CATALOG - DRY '!B3148,"AAAAAHn/zIg=")</f>
        <v>#VALUE!</v>
      </c>
      <c r="EH143" t="e">
        <f>AND('STERLING CATALOG - DRY '!C3148,"AAAAAHn/zIk=")</f>
        <v>#VALUE!</v>
      </c>
      <c r="EI143" t="e">
        <f>AND('STERLING CATALOG - DRY '!D3148,"AAAAAHn/zIo=")</f>
        <v>#VALUE!</v>
      </c>
      <c r="EJ143" t="e">
        <f>AND('STERLING CATALOG - DRY '!E3148,"AAAAAHn/zIs=")</f>
        <v>#VALUE!</v>
      </c>
      <c r="EK143" t="e">
        <f>AND('STERLING CATALOG - DRY '!F3148,"AAAAAHn/zIw=")</f>
        <v>#VALUE!</v>
      </c>
      <c r="EL143" t="e">
        <f>AND('STERLING CATALOG - DRY '!G3148,"AAAAAHn/zI0=")</f>
        <v>#VALUE!</v>
      </c>
      <c r="EM143" t="e">
        <f>AND('STERLING CATALOG - DRY '!H3148,"AAAAAHn/zI4=")</f>
        <v>#VALUE!</v>
      </c>
      <c r="EN143" t="e">
        <f>AND('STERLING CATALOG - DRY '!I3148,"AAAAAHn/zI8=")</f>
        <v>#VALUE!</v>
      </c>
      <c r="EO143" t="e">
        <f>AND('STERLING CATALOG - DRY '!J3148,"AAAAAHn/zJA=")</f>
        <v>#VALUE!</v>
      </c>
      <c r="EP143">
        <f>IF('STERLING CATALOG - DRY '!3149:3149,"AAAAAHn/zJE=",0)</f>
        <v>0</v>
      </c>
      <c r="EQ143" t="e">
        <f>AND('STERLING CATALOG - DRY '!A3149,"AAAAAHn/zJI=")</f>
        <v>#VALUE!</v>
      </c>
      <c r="ER143" t="e">
        <f>AND('STERLING CATALOG - DRY '!B3149,"AAAAAHn/zJM=")</f>
        <v>#VALUE!</v>
      </c>
      <c r="ES143" t="e">
        <f>AND('STERLING CATALOG - DRY '!C3149,"AAAAAHn/zJQ=")</f>
        <v>#VALUE!</v>
      </c>
      <c r="ET143" t="e">
        <f>AND('STERLING CATALOG - DRY '!D3149,"AAAAAHn/zJU=")</f>
        <v>#VALUE!</v>
      </c>
      <c r="EU143" t="e">
        <f>AND('STERLING CATALOG - DRY '!E3149,"AAAAAHn/zJY=")</f>
        <v>#VALUE!</v>
      </c>
      <c r="EV143" t="e">
        <f>AND('STERLING CATALOG - DRY '!F3149,"AAAAAHn/zJc=")</f>
        <v>#VALUE!</v>
      </c>
      <c r="EW143" t="e">
        <f>AND('STERLING CATALOG - DRY '!G3149,"AAAAAHn/zJg=")</f>
        <v>#VALUE!</v>
      </c>
      <c r="EX143" t="e">
        <f>AND('STERLING CATALOG - DRY '!H3149,"AAAAAHn/zJk=")</f>
        <v>#VALUE!</v>
      </c>
      <c r="EY143" t="e">
        <f>AND('STERLING CATALOG - DRY '!I3149,"AAAAAHn/zJo=")</f>
        <v>#VALUE!</v>
      </c>
      <c r="EZ143" t="e">
        <f>AND('STERLING CATALOG - DRY '!J3149,"AAAAAHn/zJs=")</f>
        <v>#VALUE!</v>
      </c>
      <c r="FA143">
        <f>IF('STERLING CATALOG - DRY '!3150:3150,"AAAAAHn/zJw=",0)</f>
        <v>0</v>
      </c>
      <c r="FB143" t="e">
        <f>AND('STERLING CATALOG - DRY '!A3150,"AAAAAHn/zJ0=")</f>
        <v>#VALUE!</v>
      </c>
      <c r="FC143" t="e">
        <f>AND('STERLING CATALOG - DRY '!B3150,"AAAAAHn/zJ4=")</f>
        <v>#VALUE!</v>
      </c>
      <c r="FD143" t="e">
        <f>AND('STERLING CATALOG - DRY '!C3150,"AAAAAHn/zJ8=")</f>
        <v>#VALUE!</v>
      </c>
      <c r="FE143" t="e">
        <f>AND('STERLING CATALOG - DRY '!D3150,"AAAAAHn/zKA=")</f>
        <v>#VALUE!</v>
      </c>
      <c r="FF143" t="e">
        <f>AND('STERLING CATALOG - DRY '!E3150,"AAAAAHn/zKE=")</f>
        <v>#VALUE!</v>
      </c>
      <c r="FG143" t="e">
        <f>AND('STERLING CATALOG - DRY '!F3150,"AAAAAHn/zKI=")</f>
        <v>#VALUE!</v>
      </c>
      <c r="FH143" t="e">
        <f>AND('STERLING CATALOG - DRY '!G3150,"AAAAAHn/zKM=")</f>
        <v>#VALUE!</v>
      </c>
      <c r="FI143" t="e">
        <f>AND('STERLING CATALOG - DRY '!H3150,"AAAAAHn/zKQ=")</f>
        <v>#VALUE!</v>
      </c>
      <c r="FJ143" t="e">
        <f>AND('STERLING CATALOG - DRY '!I3150,"AAAAAHn/zKU=")</f>
        <v>#VALUE!</v>
      </c>
      <c r="FK143" t="e">
        <f>AND('STERLING CATALOG - DRY '!J3150,"AAAAAHn/zKY=")</f>
        <v>#VALUE!</v>
      </c>
      <c r="FL143">
        <f>IF('STERLING CATALOG - DRY '!3151:3151,"AAAAAHn/zKc=",0)</f>
        <v>0</v>
      </c>
      <c r="FM143" t="e">
        <f>AND('STERLING CATALOG - DRY '!A3151,"AAAAAHn/zKg=")</f>
        <v>#VALUE!</v>
      </c>
      <c r="FN143" t="e">
        <f>AND('STERLING CATALOG - DRY '!B3151,"AAAAAHn/zKk=")</f>
        <v>#VALUE!</v>
      </c>
      <c r="FO143" t="e">
        <f>AND('STERLING CATALOG - DRY '!C3151,"AAAAAHn/zKo=")</f>
        <v>#VALUE!</v>
      </c>
      <c r="FP143" t="e">
        <f>AND('STERLING CATALOG - DRY '!D3151,"AAAAAHn/zKs=")</f>
        <v>#VALUE!</v>
      </c>
      <c r="FQ143" t="e">
        <f>AND('STERLING CATALOG - DRY '!E3151,"AAAAAHn/zKw=")</f>
        <v>#VALUE!</v>
      </c>
      <c r="FR143" t="e">
        <f>AND('STERLING CATALOG - DRY '!F3151,"AAAAAHn/zK0=")</f>
        <v>#VALUE!</v>
      </c>
      <c r="FS143" t="e">
        <f>AND('STERLING CATALOG - DRY '!G3151,"AAAAAHn/zK4=")</f>
        <v>#VALUE!</v>
      </c>
      <c r="FT143" t="e">
        <f>AND('STERLING CATALOG - DRY '!H3151,"AAAAAHn/zK8=")</f>
        <v>#VALUE!</v>
      </c>
      <c r="FU143" t="e">
        <f>AND('STERLING CATALOG - DRY '!I3151,"AAAAAHn/zLA=")</f>
        <v>#VALUE!</v>
      </c>
      <c r="FV143" t="e">
        <f>AND('STERLING CATALOG - DRY '!J3151,"AAAAAHn/zLE=")</f>
        <v>#VALUE!</v>
      </c>
      <c r="FW143">
        <f>IF('STERLING CATALOG - DRY '!3152:3152,"AAAAAHn/zLI=",0)</f>
        <v>0</v>
      </c>
      <c r="FX143" t="e">
        <f>AND('STERLING CATALOG - DRY '!A3152,"AAAAAHn/zLM=")</f>
        <v>#VALUE!</v>
      </c>
      <c r="FY143" t="e">
        <f>AND('STERLING CATALOG - DRY '!B3152,"AAAAAHn/zLQ=")</f>
        <v>#VALUE!</v>
      </c>
      <c r="FZ143" t="e">
        <f>AND('STERLING CATALOG - DRY '!C3152,"AAAAAHn/zLU=")</f>
        <v>#VALUE!</v>
      </c>
      <c r="GA143" t="e">
        <f>AND('STERLING CATALOG - DRY '!D3152,"AAAAAHn/zLY=")</f>
        <v>#VALUE!</v>
      </c>
      <c r="GB143" t="e">
        <f>AND('STERLING CATALOG - DRY '!E3152,"AAAAAHn/zLc=")</f>
        <v>#VALUE!</v>
      </c>
      <c r="GC143" t="e">
        <f>AND('STERLING CATALOG - DRY '!F3152,"AAAAAHn/zLg=")</f>
        <v>#VALUE!</v>
      </c>
      <c r="GD143" t="e">
        <f>AND('STERLING CATALOG - DRY '!G3152,"AAAAAHn/zLk=")</f>
        <v>#VALUE!</v>
      </c>
      <c r="GE143" t="e">
        <f>AND('STERLING CATALOG - DRY '!H3152,"AAAAAHn/zLo=")</f>
        <v>#VALUE!</v>
      </c>
      <c r="GF143" t="e">
        <f>AND('STERLING CATALOG - DRY '!I3152,"AAAAAHn/zLs=")</f>
        <v>#VALUE!</v>
      </c>
      <c r="GG143" t="e">
        <f>AND('STERLING CATALOG - DRY '!J3152,"AAAAAHn/zLw=")</f>
        <v>#VALUE!</v>
      </c>
      <c r="GH143">
        <f>IF('STERLING CATALOG - DRY '!3153:3153,"AAAAAHn/zL0=",0)</f>
        <v>0</v>
      </c>
      <c r="GI143" t="e">
        <f>AND('STERLING CATALOG - DRY '!A3153,"AAAAAHn/zL4=")</f>
        <v>#VALUE!</v>
      </c>
      <c r="GJ143" t="e">
        <f>AND('STERLING CATALOG - DRY '!B3153,"AAAAAHn/zL8=")</f>
        <v>#VALUE!</v>
      </c>
      <c r="GK143" t="e">
        <f>AND('STERLING CATALOG - DRY '!C3153,"AAAAAHn/zMA=")</f>
        <v>#VALUE!</v>
      </c>
      <c r="GL143" t="e">
        <f>AND('STERLING CATALOG - DRY '!D3153,"AAAAAHn/zME=")</f>
        <v>#VALUE!</v>
      </c>
      <c r="GM143" t="e">
        <f>AND('STERLING CATALOG - DRY '!E3153,"AAAAAHn/zMI=")</f>
        <v>#VALUE!</v>
      </c>
      <c r="GN143" t="e">
        <f>AND('STERLING CATALOG - DRY '!F3153,"AAAAAHn/zMM=")</f>
        <v>#VALUE!</v>
      </c>
      <c r="GO143" t="e">
        <f>AND('STERLING CATALOG - DRY '!G3153,"AAAAAHn/zMQ=")</f>
        <v>#VALUE!</v>
      </c>
      <c r="GP143" t="e">
        <f>AND('STERLING CATALOG - DRY '!H3153,"AAAAAHn/zMU=")</f>
        <v>#VALUE!</v>
      </c>
      <c r="GQ143" t="e">
        <f>AND('STERLING CATALOG - DRY '!I3153,"AAAAAHn/zMY=")</f>
        <v>#VALUE!</v>
      </c>
      <c r="GR143" t="e">
        <f>AND('STERLING CATALOG - DRY '!J3153,"AAAAAHn/zMc=")</f>
        <v>#VALUE!</v>
      </c>
      <c r="GS143">
        <f>IF('STERLING CATALOG - DRY '!3154:3154,"AAAAAHn/zMg=",0)</f>
        <v>0</v>
      </c>
      <c r="GT143" t="e">
        <f>AND('STERLING CATALOG - DRY '!A3154,"AAAAAHn/zMk=")</f>
        <v>#VALUE!</v>
      </c>
      <c r="GU143" t="e">
        <f>AND('STERLING CATALOG - DRY '!B3154,"AAAAAHn/zMo=")</f>
        <v>#VALUE!</v>
      </c>
      <c r="GV143" t="e">
        <f>AND('STERLING CATALOG - DRY '!C3154,"AAAAAHn/zMs=")</f>
        <v>#VALUE!</v>
      </c>
      <c r="GW143" t="e">
        <f>AND('STERLING CATALOG - DRY '!D3154,"AAAAAHn/zMw=")</f>
        <v>#VALUE!</v>
      </c>
      <c r="GX143" t="e">
        <f>AND('STERLING CATALOG - DRY '!E3154,"AAAAAHn/zM0=")</f>
        <v>#VALUE!</v>
      </c>
      <c r="GY143" t="e">
        <f>AND('STERLING CATALOG - DRY '!F3154,"AAAAAHn/zM4=")</f>
        <v>#VALUE!</v>
      </c>
      <c r="GZ143" t="e">
        <f>AND('STERLING CATALOG - DRY '!G3154,"AAAAAHn/zM8=")</f>
        <v>#VALUE!</v>
      </c>
      <c r="HA143" t="e">
        <f>AND('STERLING CATALOG - DRY '!H3154,"AAAAAHn/zNA=")</f>
        <v>#VALUE!</v>
      </c>
      <c r="HB143" t="e">
        <f>AND('STERLING CATALOG - DRY '!I3154,"AAAAAHn/zNE=")</f>
        <v>#VALUE!</v>
      </c>
      <c r="HC143" t="e">
        <f>AND('STERLING CATALOG - DRY '!J3154,"AAAAAHn/zNI=")</f>
        <v>#VALUE!</v>
      </c>
      <c r="HD143">
        <f>IF('STERLING CATALOG - DRY '!3155:3155,"AAAAAHn/zNM=",0)</f>
        <v>0</v>
      </c>
      <c r="HE143" t="e">
        <f>AND('STERLING CATALOG - DRY '!A3155,"AAAAAHn/zNQ=")</f>
        <v>#VALUE!</v>
      </c>
      <c r="HF143" t="e">
        <f>AND('STERLING CATALOG - DRY '!B3155,"AAAAAHn/zNU=")</f>
        <v>#VALUE!</v>
      </c>
      <c r="HG143" t="e">
        <f>AND('STERLING CATALOG - DRY '!C3155,"AAAAAHn/zNY=")</f>
        <v>#VALUE!</v>
      </c>
      <c r="HH143" t="e">
        <f>AND('STERLING CATALOG - DRY '!D3155,"AAAAAHn/zNc=")</f>
        <v>#VALUE!</v>
      </c>
      <c r="HI143" t="e">
        <f>AND('STERLING CATALOG - DRY '!E3155,"AAAAAHn/zNg=")</f>
        <v>#VALUE!</v>
      </c>
      <c r="HJ143" t="e">
        <f>AND('STERLING CATALOG - DRY '!F3155,"AAAAAHn/zNk=")</f>
        <v>#VALUE!</v>
      </c>
      <c r="HK143" t="e">
        <f>AND('STERLING CATALOG - DRY '!G3155,"AAAAAHn/zNo=")</f>
        <v>#VALUE!</v>
      </c>
      <c r="HL143" t="e">
        <f>AND('STERLING CATALOG - DRY '!H3155,"AAAAAHn/zNs=")</f>
        <v>#VALUE!</v>
      </c>
      <c r="HM143" t="e">
        <f>AND('STERLING CATALOG - DRY '!I3155,"AAAAAHn/zNw=")</f>
        <v>#VALUE!</v>
      </c>
      <c r="HN143" t="e">
        <f>AND('STERLING CATALOG - DRY '!J3155,"AAAAAHn/zN0=")</f>
        <v>#VALUE!</v>
      </c>
      <c r="HO143">
        <f>IF('STERLING CATALOG - DRY '!3156:3156,"AAAAAHn/zN4=",0)</f>
        <v>0</v>
      </c>
      <c r="HP143" t="e">
        <f>AND('STERLING CATALOG - DRY '!A3156,"AAAAAHn/zN8=")</f>
        <v>#VALUE!</v>
      </c>
      <c r="HQ143" t="e">
        <f>AND('STERLING CATALOG - DRY '!B3156,"AAAAAHn/zOA=")</f>
        <v>#VALUE!</v>
      </c>
      <c r="HR143" t="e">
        <f>AND('STERLING CATALOG - DRY '!C3156,"AAAAAHn/zOE=")</f>
        <v>#VALUE!</v>
      </c>
      <c r="HS143" t="e">
        <f>AND('STERLING CATALOG - DRY '!D3156,"AAAAAHn/zOI=")</f>
        <v>#VALUE!</v>
      </c>
      <c r="HT143" t="e">
        <f>AND('STERLING CATALOG - DRY '!E3156,"AAAAAHn/zOM=")</f>
        <v>#VALUE!</v>
      </c>
      <c r="HU143" t="e">
        <f>AND('STERLING CATALOG - DRY '!F3156,"AAAAAHn/zOQ=")</f>
        <v>#VALUE!</v>
      </c>
      <c r="HV143" t="e">
        <f>AND('STERLING CATALOG - DRY '!G3156,"AAAAAHn/zOU=")</f>
        <v>#VALUE!</v>
      </c>
      <c r="HW143" t="e">
        <f>AND('STERLING CATALOG - DRY '!H3156,"AAAAAHn/zOY=")</f>
        <v>#VALUE!</v>
      </c>
      <c r="HX143" t="e">
        <f>AND('STERLING CATALOG - DRY '!I3156,"AAAAAHn/zOc=")</f>
        <v>#VALUE!</v>
      </c>
      <c r="HY143" t="e">
        <f>AND('STERLING CATALOG - DRY '!J3156,"AAAAAHn/zOg=")</f>
        <v>#VALUE!</v>
      </c>
      <c r="HZ143">
        <f>IF('STERLING CATALOG - DRY '!3157:3157,"AAAAAHn/zOk=",0)</f>
        <v>0</v>
      </c>
      <c r="IA143" t="e">
        <f>AND('STERLING CATALOG - DRY '!A3157,"AAAAAHn/zOo=")</f>
        <v>#VALUE!</v>
      </c>
      <c r="IB143" t="e">
        <f>AND('STERLING CATALOG - DRY '!B3157,"AAAAAHn/zOs=")</f>
        <v>#VALUE!</v>
      </c>
      <c r="IC143" t="e">
        <f>AND('STERLING CATALOG - DRY '!C3157,"AAAAAHn/zOw=")</f>
        <v>#VALUE!</v>
      </c>
      <c r="ID143" t="e">
        <f>AND('STERLING CATALOG - DRY '!D3157,"AAAAAHn/zO0=")</f>
        <v>#VALUE!</v>
      </c>
      <c r="IE143" t="e">
        <f>AND('STERLING CATALOG - DRY '!E3157,"AAAAAHn/zO4=")</f>
        <v>#VALUE!</v>
      </c>
      <c r="IF143" t="e">
        <f>AND('STERLING CATALOG - DRY '!F3157,"AAAAAHn/zO8=")</f>
        <v>#VALUE!</v>
      </c>
      <c r="IG143" t="e">
        <f>AND('STERLING CATALOG - DRY '!G3157,"AAAAAHn/zPA=")</f>
        <v>#VALUE!</v>
      </c>
      <c r="IH143" t="e">
        <f>AND('STERLING CATALOG - DRY '!H3157,"AAAAAHn/zPE=")</f>
        <v>#VALUE!</v>
      </c>
      <c r="II143" t="e">
        <f>AND('STERLING CATALOG - DRY '!I3157,"AAAAAHn/zPI=")</f>
        <v>#VALUE!</v>
      </c>
      <c r="IJ143" t="e">
        <f>AND('STERLING CATALOG - DRY '!J3157,"AAAAAHn/zPM=")</f>
        <v>#VALUE!</v>
      </c>
      <c r="IK143">
        <f>IF('STERLING CATALOG - DRY '!3158:3158,"AAAAAHn/zPQ=",0)</f>
        <v>0</v>
      </c>
      <c r="IL143" t="e">
        <f>AND('STERLING CATALOG - DRY '!A3158,"AAAAAHn/zPU=")</f>
        <v>#VALUE!</v>
      </c>
      <c r="IM143" t="e">
        <f>AND('STERLING CATALOG - DRY '!B3158,"AAAAAHn/zPY=")</f>
        <v>#VALUE!</v>
      </c>
      <c r="IN143" t="e">
        <f>AND('STERLING CATALOG - DRY '!C3158,"AAAAAHn/zPc=")</f>
        <v>#VALUE!</v>
      </c>
      <c r="IO143" t="e">
        <f>AND('STERLING CATALOG - DRY '!D3158,"AAAAAHn/zPg=")</f>
        <v>#VALUE!</v>
      </c>
      <c r="IP143" t="e">
        <f>AND('STERLING CATALOG - DRY '!E3158,"AAAAAHn/zPk=")</f>
        <v>#VALUE!</v>
      </c>
      <c r="IQ143" t="e">
        <f>AND('STERLING CATALOG - DRY '!F3158,"AAAAAHn/zPo=")</f>
        <v>#VALUE!</v>
      </c>
      <c r="IR143" t="e">
        <f>AND('STERLING CATALOG - DRY '!G3158,"AAAAAHn/zPs=")</f>
        <v>#VALUE!</v>
      </c>
      <c r="IS143" t="e">
        <f>AND('STERLING CATALOG - DRY '!H3158,"AAAAAHn/zPw=")</f>
        <v>#VALUE!</v>
      </c>
      <c r="IT143" t="e">
        <f>AND('STERLING CATALOG - DRY '!I3158,"AAAAAHn/zP0=")</f>
        <v>#VALUE!</v>
      </c>
      <c r="IU143" t="e">
        <f>AND('STERLING CATALOG - DRY '!J3158,"AAAAAHn/zP4=")</f>
        <v>#VALUE!</v>
      </c>
      <c r="IV143">
        <f>IF('STERLING CATALOG - DRY '!3159:3159,"AAAAAHn/zP8=",0)</f>
        <v>0</v>
      </c>
    </row>
    <row r="144" spans="1:256">
      <c r="A144" t="e">
        <f>AND('STERLING CATALOG - DRY '!A3159,"AAAAAF+7/wA=")</f>
        <v>#VALUE!</v>
      </c>
      <c r="B144" t="e">
        <f>AND('STERLING CATALOG - DRY '!B3159,"AAAAAF+7/wE=")</f>
        <v>#VALUE!</v>
      </c>
      <c r="C144" t="e">
        <f>AND('STERLING CATALOG - DRY '!C3159,"AAAAAF+7/wI=")</f>
        <v>#VALUE!</v>
      </c>
      <c r="D144" t="e">
        <f>AND('STERLING CATALOG - DRY '!D3159,"AAAAAF+7/wM=")</f>
        <v>#VALUE!</v>
      </c>
      <c r="E144" t="e">
        <f>AND('STERLING CATALOG - DRY '!E3159,"AAAAAF+7/wQ=")</f>
        <v>#VALUE!</v>
      </c>
      <c r="F144" t="e">
        <f>AND('STERLING CATALOG - DRY '!F3159,"AAAAAF+7/wU=")</f>
        <v>#VALUE!</v>
      </c>
      <c r="G144" t="e">
        <f>AND('STERLING CATALOG - DRY '!G3159,"AAAAAF+7/wY=")</f>
        <v>#VALUE!</v>
      </c>
      <c r="H144" t="e">
        <f>AND('STERLING CATALOG - DRY '!H3159,"AAAAAF+7/wc=")</f>
        <v>#VALUE!</v>
      </c>
      <c r="I144" t="e">
        <f>AND('STERLING CATALOG - DRY '!I3159,"AAAAAF+7/wg=")</f>
        <v>#VALUE!</v>
      </c>
      <c r="J144" t="e">
        <f>AND('STERLING CATALOG - DRY '!J3159,"AAAAAF+7/wk=")</f>
        <v>#VALUE!</v>
      </c>
      <c r="K144">
        <f>IF('STERLING CATALOG - DRY '!3160:3160,"AAAAAF+7/wo=",0)</f>
        <v>0</v>
      </c>
      <c r="L144" t="e">
        <f>AND('STERLING CATALOG - DRY '!A3160,"AAAAAF+7/ws=")</f>
        <v>#VALUE!</v>
      </c>
      <c r="M144" t="e">
        <f>AND('STERLING CATALOG - DRY '!B3160,"AAAAAF+7/ww=")</f>
        <v>#VALUE!</v>
      </c>
      <c r="N144" t="e">
        <f>AND('STERLING CATALOG - DRY '!C3160,"AAAAAF+7/w0=")</f>
        <v>#VALUE!</v>
      </c>
      <c r="O144" t="e">
        <f>AND('STERLING CATALOG - DRY '!D3160,"AAAAAF+7/w4=")</f>
        <v>#VALUE!</v>
      </c>
      <c r="P144" t="e">
        <f>AND('STERLING CATALOG - DRY '!E3160,"AAAAAF+7/w8=")</f>
        <v>#VALUE!</v>
      </c>
      <c r="Q144" t="e">
        <f>AND('STERLING CATALOG - DRY '!F3160,"AAAAAF+7/xA=")</f>
        <v>#VALUE!</v>
      </c>
      <c r="R144" t="e">
        <f>AND('STERLING CATALOG - DRY '!G3160,"AAAAAF+7/xE=")</f>
        <v>#VALUE!</v>
      </c>
      <c r="S144" t="e">
        <f>AND('STERLING CATALOG - DRY '!H3160,"AAAAAF+7/xI=")</f>
        <v>#VALUE!</v>
      </c>
      <c r="T144" t="e">
        <f>AND('STERLING CATALOG - DRY '!I3160,"AAAAAF+7/xM=")</f>
        <v>#VALUE!</v>
      </c>
      <c r="U144" t="e">
        <f>AND('STERLING CATALOG - DRY '!J3160,"AAAAAF+7/xQ=")</f>
        <v>#VALUE!</v>
      </c>
      <c r="V144">
        <f>IF('STERLING CATALOG - DRY '!3161:3161,"AAAAAF+7/xU=",0)</f>
        <v>0</v>
      </c>
      <c r="W144" t="e">
        <f>AND('STERLING CATALOG - DRY '!A3161,"AAAAAF+7/xY=")</f>
        <v>#VALUE!</v>
      </c>
      <c r="X144" t="e">
        <f>AND('STERLING CATALOG - DRY '!B3161,"AAAAAF+7/xc=")</f>
        <v>#VALUE!</v>
      </c>
      <c r="Y144" t="e">
        <f>AND('STERLING CATALOG - DRY '!C3161,"AAAAAF+7/xg=")</f>
        <v>#VALUE!</v>
      </c>
      <c r="Z144" t="e">
        <f>AND('STERLING CATALOG - DRY '!D3161,"AAAAAF+7/xk=")</f>
        <v>#VALUE!</v>
      </c>
      <c r="AA144" t="e">
        <f>AND('STERLING CATALOG - DRY '!E3161,"AAAAAF+7/xo=")</f>
        <v>#VALUE!</v>
      </c>
      <c r="AB144" t="e">
        <f>AND('STERLING CATALOG - DRY '!F3161,"AAAAAF+7/xs=")</f>
        <v>#VALUE!</v>
      </c>
      <c r="AC144" t="e">
        <f>AND('STERLING CATALOG - DRY '!G3161,"AAAAAF+7/xw=")</f>
        <v>#VALUE!</v>
      </c>
      <c r="AD144" t="e">
        <f>AND('STERLING CATALOG - DRY '!H3161,"AAAAAF+7/x0=")</f>
        <v>#VALUE!</v>
      </c>
      <c r="AE144" t="e">
        <f>AND('STERLING CATALOG - DRY '!I3161,"AAAAAF+7/x4=")</f>
        <v>#VALUE!</v>
      </c>
      <c r="AF144" t="e">
        <f>AND('STERLING CATALOG - DRY '!J3161,"AAAAAF+7/x8=")</f>
        <v>#VALUE!</v>
      </c>
      <c r="AG144">
        <f>IF('STERLING CATALOG - DRY '!3162:3162,"AAAAAF+7/yA=",0)</f>
        <v>0</v>
      </c>
      <c r="AH144" t="e">
        <f>AND('STERLING CATALOG - DRY '!A3162,"AAAAAF+7/yE=")</f>
        <v>#VALUE!</v>
      </c>
      <c r="AI144" t="e">
        <f>AND('STERLING CATALOG - DRY '!B3162,"AAAAAF+7/yI=")</f>
        <v>#VALUE!</v>
      </c>
      <c r="AJ144" t="e">
        <f>AND('STERLING CATALOG - DRY '!C3162,"AAAAAF+7/yM=")</f>
        <v>#VALUE!</v>
      </c>
      <c r="AK144" t="e">
        <f>AND('STERLING CATALOG - DRY '!D3162,"AAAAAF+7/yQ=")</f>
        <v>#VALUE!</v>
      </c>
      <c r="AL144" t="e">
        <f>AND('STERLING CATALOG - DRY '!E3162,"AAAAAF+7/yU=")</f>
        <v>#VALUE!</v>
      </c>
      <c r="AM144" t="e">
        <f>AND('STERLING CATALOG - DRY '!F3162,"AAAAAF+7/yY=")</f>
        <v>#VALUE!</v>
      </c>
      <c r="AN144" t="e">
        <f>AND('STERLING CATALOG - DRY '!G3162,"AAAAAF+7/yc=")</f>
        <v>#VALUE!</v>
      </c>
      <c r="AO144" t="e">
        <f>AND('STERLING CATALOG - DRY '!H3162,"AAAAAF+7/yg=")</f>
        <v>#VALUE!</v>
      </c>
      <c r="AP144" t="e">
        <f>AND('STERLING CATALOG - DRY '!I3162,"AAAAAF+7/yk=")</f>
        <v>#VALUE!</v>
      </c>
      <c r="AQ144" t="e">
        <f>AND('STERLING CATALOG - DRY '!J3162,"AAAAAF+7/yo=")</f>
        <v>#VALUE!</v>
      </c>
      <c r="AR144">
        <f>IF('STERLING CATALOG - DRY '!3163:3163,"AAAAAF+7/ys=",0)</f>
        <v>0</v>
      </c>
      <c r="AS144" t="e">
        <f>AND('STERLING CATALOG - DRY '!A3163,"AAAAAF+7/yw=")</f>
        <v>#VALUE!</v>
      </c>
      <c r="AT144" t="e">
        <f>AND('STERLING CATALOG - DRY '!B3163,"AAAAAF+7/y0=")</f>
        <v>#VALUE!</v>
      </c>
      <c r="AU144" t="e">
        <f>AND('STERLING CATALOG - DRY '!C3163,"AAAAAF+7/y4=")</f>
        <v>#VALUE!</v>
      </c>
      <c r="AV144" t="e">
        <f>AND('STERLING CATALOG - DRY '!D3163,"AAAAAF+7/y8=")</f>
        <v>#VALUE!</v>
      </c>
      <c r="AW144" t="e">
        <f>AND('STERLING CATALOG - DRY '!E3163,"AAAAAF+7/zA=")</f>
        <v>#VALUE!</v>
      </c>
      <c r="AX144" t="e">
        <f>AND('STERLING CATALOG - DRY '!F3163,"AAAAAF+7/zE=")</f>
        <v>#VALUE!</v>
      </c>
      <c r="AY144" t="e">
        <f>AND('STERLING CATALOG - DRY '!G3163,"AAAAAF+7/zI=")</f>
        <v>#VALUE!</v>
      </c>
      <c r="AZ144" t="e">
        <f>AND('STERLING CATALOG - DRY '!H3163,"AAAAAF+7/zM=")</f>
        <v>#VALUE!</v>
      </c>
      <c r="BA144" t="e">
        <f>AND('STERLING CATALOG - DRY '!I3163,"AAAAAF+7/zQ=")</f>
        <v>#VALUE!</v>
      </c>
      <c r="BB144" t="e">
        <f>AND('STERLING CATALOG - DRY '!J3163,"AAAAAF+7/zU=")</f>
        <v>#VALUE!</v>
      </c>
      <c r="BC144">
        <f>IF('STERLING CATALOG - DRY '!3164:3164,"AAAAAF+7/zY=",0)</f>
        <v>0</v>
      </c>
      <c r="BD144" t="e">
        <f>AND('STERLING CATALOG - DRY '!A3164,"AAAAAF+7/zc=")</f>
        <v>#VALUE!</v>
      </c>
      <c r="BE144" t="e">
        <f>AND('STERLING CATALOG - DRY '!B3164,"AAAAAF+7/zg=")</f>
        <v>#VALUE!</v>
      </c>
      <c r="BF144" t="e">
        <f>AND('STERLING CATALOG - DRY '!C3164,"AAAAAF+7/zk=")</f>
        <v>#VALUE!</v>
      </c>
      <c r="BG144" t="e">
        <f>AND('STERLING CATALOG - DRY '!D3164,"AAAAAF+7/zo=")</f>
        <v>#VALUE!</v>
      </c>
      <c r="BH144" t="e">
        <f>AND('STERLING CATALOG - DRY '!E3164,"AAAAAF+7/zs=")</f>
        <v>#VALUE!</v>
      </c>
      <c r="BI144" t="e">
        <f>AND('STERLING CATALOG - DRY '!F3164,"AAAAAF+7/zw=")</f>
        <v>#VALUE!</v>
      </c>
      <c r="BJ144" t="e">
        <f>AND('STERLING CATALOG - DRY '!G3164,"AAAAAF+7/z0=")</f>
        <v>#VALUE!</v>
      </c>
      <c r="BK144" t="e">
        <f>AND('STERLING CATALOG - DRY '!H3164,"AAAAAF+7/z4=")</f>
        <v>#VALUE!</v>
      </c>
      <c r="BL144" t="e">
        <f>AND('STERLING CATALOG - DRY '!I3164,"AAAAAF+7/z8=")</f>
        <v>#VALUE!</v>
      </c>
      <c r="BM144" t="e">
        <f>AND('STERLING CATALOG - DRY '!J3164,"AAAAAF+7/0A=")</f>
        <v>#VALUE!</v>
      </c>
      <c r="BN144">
        <f>IF('STERLING CATALOG - DRY '!3165:3165,"AAAAAF+7/0E=",0)</f>
        <v>0</v>
      </c>
      <c r="BO144" t="e">
        <f>AND('STERLING CATALOG - DRY '!A3165,"AAAAAF+7/0I=")</f>
        <v>#VALUE!</v>
      </c>
      <c r="BP144" t="e">
        <f>AND('STERLING CATALOG - DRY '!B3165,"AAAAAF+7/0M=")</f>
        <v>#VALUE!</v>
      </c>
      <c r="BQ144" t="e">
        <f>AND('STERLING CATALOG - DRY '!C3165,"AAAAAF+7/0Q=")</f>
        <v>#VALUE!</v>
      </c>
      <c r="BR144" t="e">
        <f>AND('STERLING CATALOG - DRY '!D3165,"AAAAAF+7/0U=")</f>
        <v>#VALUE!</v>
      </c>
      <c r="BS144" t="e">
        <f>AND('STERLING CATALOG - DRY '!E3165,"AAAAAF+7/0Y=")</f>
        <v>#VALUE!</v>
      </c>
      <c r="BT144" t="e">
        <f>AND('STERLING CATALOG - DRY '!F3165,"AAAAAF+7/0c=")</f>
        <v>#VALUE!</v>
      </c>
      <c r="BU144" t="e">
        <f>AND('STERLING CATALOG - DRY '!G3165,"AAAAAF+7/0g=")</f>
        <v>#VALUE!</v>
      </c>
      <c r="BV144" t="e">
        <f>AND('STERLING CATALOG - DRY '!H3165,"AAAAAF+7/0k=")</f>
        <v>#VALUE!</v>
      </c>
      <c r="BW144" t="e">
        <f>AND('STERLING CATALOG - DRY '!I3165,"AAAAAF+7/0o=")</f>
        <v>#VALUE!</v>
      </c>
      <c r="BX144" t="e">
        <f>AND('STERLING CATALOG - DRY '!J3165,"AAAAAF+7/0s=")</f>
        <v>#VALUE!</v>
      </c>
      <c r="BY144">
        <f>IF('STERLING CATALOG - DRY '!3166:3166,"AAAAAF+7/0w=",0)</f>
        <v>0</v>
      </c>
      <c r="BZ144" t="e">
        <f>AND('STERLING CATALOG - DRY '!A3166,"AAAAAF+7/00=")</f>
        <v>#VALUE!</v>
      </c>
      <c r="CA144" t="e">
        <f>AND('STERLING CATALOG - DRY '!B3166,"AAAAAF+7/04=")</f>
        <v>#VALUE!</v>
      </c>
      <c r="CB144" t="e">
        <f>AND('STERLING CATALOG - DRY '!C3166,"AAAAAF+7/08=")</f>
        <v>#VALUE!</v>
      </c>
      <c r="CC144" t="e">
        <f>AND('STERLING CATALOG - DRY '!D3166,"AAAAAF+7/1A=")</f>
        <v>#VALUE!</v>
      </c>
      <c r="CD144" t="e">
        <f>AND('STERLING CATALOG - DRY '!E3166,"AAAAAF+7/1E=")</f>
        <v>#VALUE!</v>
      </c>
      <c r="CE144" t="e">
        <f>AND('STERLING CATALOG - DRY '!F3166,"AAAAAF+7/1I=")</f>
        <v>#VALUE!</v>
      </c>
      <c r="CF144" t="e">
        <f>AND('STERLING CATALOG - DRY '!G3166,"AAAAAF+7/1M=")</f>
        <v>#VALUE!</v>
      </c>
      <c r="CG144" t="e">
        <f>AND('STERLING CATALOG - DRY '!H3166,"AAAAAF+7/1Q=")</f>
        <v>#VALUE!</v>
      </c>
      <c r="CH144" t="e">
        <f>AND('STERLING CATALOG - DRY '!I3166,"AAAAAF+7/1U=")</f>
        <v>#VALUE!</v>
      </c>
      <c r="CI144" t="e">
        <f>AND('STERLING CATALOG - DRY '!J3166,"AAAAAF+7/1Y=")</f>
        <v>#VALUE!</v>
      </c>
      <c r="CJ144">
        <f>IF('STERLING CATALOG - DRY '!3167:3167,"AAAAAF+7/1c=",0)</f>
        <v>0</v>
      </c>
      <c r="CK144" t="e">
        <f>AND('STERLING CATALOG - DRY '!A3167,"AAAAAF+7/1g=")</f>
        <v>#VALUE!</v>
      </c>
      <c r="CL144" t="e">
        <f>AND('STERLING CATALOG - DRY '!B3167,"AAAAAF+7/1k=")</f>
        <v>#VALUE!</v>
      </c>
      <c r="CM144" t="e">
        <f>AND('STERLING CATALOG - DRY '!C3167,"AAAAAF+7/1o=")</f>
        <v>#VALUE!</v>
      </c>
      <c r="CN144" t="e">
        <f>AND('STERLING CATALOG - DRY '!D3167,"AAAAAF+7/1s=")</f>
        <v>#VALUE!</v>
      </c>
      <c r="CO144" t="e">
        <f>AND('STERLING CATALOG - DRY '!E3167,"AAAAAF+7/1w=")</f>
        <v>#VALUE!</v>
      </c>
      <c r="CP144" t="e">
        <f>AND('STERLING CATALOG - DRY '!F3167,"AAAAAF+7/10=")</f>
        <v>#VALUE!</v>
      </c>
      <c r="CQ144" t="e">
        <f>AND('STERLING CATALOG - DRY '!G3167,"AAAAAF+7/14=")</f>
        <v>#VALUE!</v>
      </c>
      <c r="CR144" t="e">
        <f>AND('STERLING CATALOG - DRY '!H3167,"AAAAAF+7/18=")</f>
        <v>#VALUE!</v>
      </c>
      <c r="CS144" t="e">
        <f>AND('STERLING CATALOG - DRY '!I3167,"AAAAAF+7/2A=")</f>
        <v>#VALUE!</v>
      </c>
      <c r="CT144" t="e">
        <f>AND('STERLING CATALOG - DRY '!J3167,"AAAAAF+7/2E=")</f>
        <v>#VALUE!</v>
      </c>
      <c r="CU144">
        <f>IF('STERLING CATALOG - DRY '!3168:3168,"AAAAAF+7/2I=",0)</f>
        <v>0</v>
      </c>
      <c r="CV144" t="e">
        <f>AND('STERLING CATALOG - DRY '!A3168,"AAAAAF+7/2M=")</f>
        <v>#VALUE!</v>
      </c>
      <c r="CW144" t="e">
        <f>AND('STERLING CATALOG - DRY '!B3168,"AAAAAF+7/2Q=")</f>
        <v>#VALUE!</v>
      </c>
      <c r="CX144" t="e">
        <f>AND('STERLING CATALOG - DRY '!C3168,"AAAAAF+7/2U=")</f>
        <v>#VALUE!</v>
      </c>
      <c r="CY144" t="e">
        <f>AND('STERLING CATALOG - DRY '!D3168,"AAAAAF+7/2Y=")</f>
        <v>#VALUE!</v>
      </c>
      <c r="CZ144" t="e">
        <f>AND('STERLING CATALOG - DRY '!E3168,"AAAAAF+7/2c=")</f>
        <v>#VALUE!</v>
      </c>
      <c r="DA144" t="e">
        <f>AND('STERLING CATALOG - DRY '!F3168,"AAAAAF+7/2g=")</f>
        <v>#VALUE!</v>
      </c>
      <c r="DB144" t="e">
        <f>AND('STERLING CATALOG - DRY '!G3168,"AAAAAF+7/2k=")</f>
        <v>#VALUE!</v>
      </c>
      <c r="DC144" t="e">
        <f>AND('STERLING CATALOG - DRY '!H3168,"AAAAAF+7/2o=")</f>
        <v>#VALUE!</v>
      </c>
      <c r="DD144" t="e">
        <f>AND('STERLING CATALOG - DRY '!I3168,"AAAAAF+7/2s=")</f>
        <v>#VALUE!</v>
      </c>
      <c r="DE144" t="e">
        <f>AND('STERLING CATALOG - DRY '!J3168,"AAAAAF+7/2w=")</f>
        <v>#VALUE!</v>
      </c>
      <c r="DF144">
        <f>IF('STERLING CATALOG - DRY '!3169:3169,"AAAAAF+7/20=",0)</f>
        <v>0</v>
      </c>
      <c r="DG144" t="e">
        <f>AND('STERLING CATALOG - DRY '!A3169,"AAAAAF+7/24=")</f>
        <v>#VALUE!</v>
      </c>
      <c r="DH144" t="e">
        <f>AND('STERLING CATALOG - DRY '!B3169,"AAAAAF+7/28=")</f>
        <v>#VALUE!</v>
      </c>
      <c r="DI144" t="e">
        <f>AND('STERLING CATALOG - DRY '!C3169,"AAAAAF+7/3A=")</f>
        <v>#VALUE!</v>
      </c>
      <c r="DJ144" t="e">
        <f>AND('STERLING CATALOG - DRY '!D3169,"AAAAAF+7/3E=")</f>
        <v>#VALUE!</v>
      </c>
      <c r="DK144" t="e">
        <f>AND('STERLING CATALOG - DRY '!E3169,"AAAAAF+7/3I=")</f>
        <v>#VALUE!</v>
      </c>
      <c r="DL144" t="e">
        <f>AND('STERLING CATALOG - DRY '!F3169,"AAAAAF+7/3M=")</f>
        <v>#VALUE!</v>
      </c>
      <c r="DM144" t="e">
        <f>AND('STERLING CATALOG - DRY '!G3169,"AAAAAF+7/3Q=")</f>
        <v>#VALUE!</v>
      </c>
      <c r="DN144" t="e">
        <f>AND('STERLING CATALOG - DRY '!H3169,"AAAAAF+7/3U=")</f>
        <v>#VALUE!</v>
      </c>
      <c r="DO144" t="e">
        <f>AND('STERLING CATALOG - DRY '!I3169,"AAAAAF+7/3Y=")</f>
        <v>#VALUE!</v>
      </c>
      <c r="DP144" t="e">
        <f>AND('STERLING CATALOG - DRY '!J3169,"AAAAAF+7/3c=")</f>
        <v>#VALUE!</v>
      </c>
      <c r="DQ144">
        <f>IF('STERLING CATALOG - DRY '!3170:3170,"AAAAAF+7/3g=",0)</f>
        <v>0</v>
      </c>
      <c r="DR144" t="e">
        <f>AND('STERLING CATALOG - DRY '!A3170,"AAAAAF+7/3k=")</f>
        <v>#VALUE!</v>
      </c>
      <c r="DS144" t="e">
        <f>AND('STERLING CATALOG - DRY '!B3170,"AAAAAF+7/3o=")</f>
        <v>#VALUE!</v>
      </c>
      <c r="DT144" t="e">
        <f>AND('STERLING CATALOG - DRY '!C3170,"AAAAAF+7/3s=")</f>
        <v>#VALUE!</v>
      </c>
      <c r="DU144" t="e">
        <f>AND('STERLING CATALOG - DRY '!D3170,"AAAAAF+7/3w=")</f>
        <v>#VALUE!</v>
      </c>
      <c r="DV144" t="e">
        <f>AND('STERLING CATALOG - DRY '!E3170,"AAAAAF+7/30=")</f>
        <v>#VALUE!</v>
      </c>
      <c r="DW144" t="e">
        <f>AND('STERLING CATALOG - DRY '!F3170,"AAAAAF+7/34=")</f>
        <v>#VALUE!</v>
      </c>
      <c r="DX144" t="e">
        <f>AND('STERLING CATALOG - DRY '!G3170,"AAAAAF+7/38=")</f>
        <v>#VALUE!</v>
      </c>
      <c r="DY144" t="e">
        <f>AND('STERLING CATALOG - DRY '!H3170,"AAAAAF+7/4A=")</f>
        <v>#VALUE!</v>
      </c>
      <c r="DZ144" t="e">
        <f>AND('STERLING CATALOG - DRY '!I3170,"AAAAAF+7/4E=")</f>
        <v>#VALUE!</v>
      </c>
      <c r="EA144" t="e">
        <f>AND('STERLING CATALOG - DRY '!J3170,"AAAAAF+7/4I=")</f>
        <v>#VALUE!</v>
      </c>
      <c r="EB144">
        <f>IF('STERLING CATALOG - DRY '!3171:3171,"AAAAAF+7/4M=",0)</f>
        <v>0</v>
      </c>
      <c r="EC144" t="e">
        <f>AND('STERLING CATALOG - DRY '!A3171,"AAAAAF+7/4Q=")</f>
        <v>#VALUE!</v>
      </c>
      <c r="ED144" t="e">
        <f>AND('STERLING CATALOG - DRY '!B3171,"AAAAAF+7/4U=")</f>
        <v>#VALUE!</v>
      </c>
      <c r="EE144" t="e">
        <f>AND('STERLING CATALOG - DRY '!C3171,"AAAAAF+7/4Y=")</f>
        <v>#VALUE!</v>
      </c>
      <c r="EF144" t="e">
        <f>AND('STERLING CATALOG - DRY '!D3171,"AAAAAF+7/4c=")</f>
        <v>#VALUE!</v>
      </c>
      <c r="EG144" t="e">
        <f>AND('STERLING CATALOG - DRY '!E3171,"AAAAAF+7/4g=")</f>
        <v>#VALUE!</v>
      </c>
      <c r="EH144" t="e">
        <f>AND('STERLING CATALOG - DRY '!F3171,"AAAAAF+7/4k=")</f>
        <v>#VALUE!</v>
      </c>
      <c r="EI144" t="e">
        <f>AND('STERLING CATALOG - DRY '!G3171,"AAAAAF+7/4o=")</f>
        <v>#VALUE!</v>
      </c>
      <c r="EJ144" t="e">
        <f>AND('STERLING CATALOG - DRY '!H3171,"AAAAAF+7/4s=")</f>
        <v>#VALUE!</v>
      </c>
      <c r="EK144" t="e">
        <f>AND('STERLING CATALOG - DRY '!I3171,"AAAAAF+7/4w=")</f>
        <v>#VALUE!</v>
      </c>
      <c r="EL144" t="e">
        <f>AND('STERLING CATALOG - DRY '!J3171,"AAAAAF+7/40=")</f>
        <v>#VALUE!</v>
      </c>
      <c r="EM144">
        <f>IF('STERLING CATALOG - DRY '!3172:3172,"AAAAAF+7/44=",0)</f>
        <v>0</v>
      </c>
      <c r="EN144" t="e">
        <f>AND('STERLING CATALOG - DRY '!A3172,"AAAAAF+7/48=")</f>
        <v>#VALUE!</v>
      </c>
      <c r="EO144" t="e">
        <f>AND('STERLING CATALOG - DRY '!B3172,"AAAAAF+7/5A=")</f>
        <v>#VALUE!</v>
      </c>
      <c r="EP144" t="e">
        <f>AND('STERLING CATALOG - DRY '!C3172,"AAAAAF+7/5E=")</f>
        <v>#VALUE!</v>
      </c>
      <c r="EQ144" t="e">
        <f>AND('STERLING CATALOG - DRY '!D3172,"AAAAAF+7/5I=")</f>
        <v>#VALUE!</v>
      </c>
      <c r="ER144" t="e">
        <f>AND('STERLING CATALOG - DRY '!E3172,"AAAAAF+7/5M=")</f>
        <v>#VALUE!</v>
      </c>
      <c r="ES144" t="e">
        <f>AND('STERLING CATALOG - DRY '!F3172,"AAAAAF+7/5Q=")</f>
        <v>#VALUE!</v>
      </c>
      <c r="ET144" t="e">
        <f>AND('STERLING CATALOG - DRY '!G3172,"AAAAAF+7/5U=")</f>
        <v>#VALUE!</v>
      </c>
      <c r="EU144" t="e">
        <f>AND('STERLING CATALOG - DRY '!H3172,"AAAAAF+7/5Y=")</f>
        <v>#VALUE!</v>
      </c>
      <c r="EV144" t="e">
        <f>AND('STERLING CATALOG - DRY '!I3172,"AAAAAF+7/5c=")</f>
        <v>#VALUE!</v>
      </c>
      <c r="EW144" t="e">
        <f>AND('STERLING CATALOG - DRY '!J3172,"AAAAAF+7/5g=")</f>
        <v>#VALUE!</v>
      </c>
      <c r="EX144">
        <f>IF('STERLING CATALOG - DRY '!3173:3173,"AAAAAF+7/5k=",0)</f>
        <v>0</v>
      </c>
      <c r="EY144" t="e">
        <f>AND('STERLING CATALOG - DRY '!A3173,"AAAAAF+7/5o=")</f>
        <v>#VALUE!</v>
      </c>
      <c r="EZ144" t="e">
        <f>AND('STERLING CATALOG - DRY '!B3173,"AAAAAF+7/5s=")</f>
        <v>#VALUE!</v>
      </c>
      <c r="FA144" t="e">
        <f>AND('STERLING CATALOG - DRY '!C3173,"AAAAAF+7/5w=")</f>
        <v>#VALUE!</v>
      </c>
      <c r="FB144" t="e">
        <f>AND('STERLING CATALOG - DRY '!D3173,"AAAAAF+7/50=")</f>
        <v>#VALUE!</v>
      </c>
      <c r="FC144" t="e">
        <f>AND('STERLING CATALOG - DRY '!E3173,"AAAAAF+7/54=")</f>
        <v>#VALUE!</v>
      </c>
      <c r="FD144" t="e">
        <f>AND('STERLING CATALOG - DRY '!F3173,"AAAAAF+7/58=")</f>
        <v>#VALUE!</v>
      </c>
      <c r="FE144" t="e">
        <f>AND('STERLING CATALOG - DRY '!G3173,"AAAAAF+7/6A=")</f>
        <v>#VALUE!</v>
      </c>
      <c r="FF144" t="e">
        <f>AND('STERLING CATALOG - DRY '!H3173,"AAAAAF+7/6E=")</f>
        <v>#VALUE!</v>
      </c>
      <c r="FG144" t="e">
        <f>AND('STERLING CATALOG - DRY '!I3173,"AAAAAF+7/6I=")</f>
        <v>#VALUE!</v>
      </c>
      <c r="FH144" t="e">
        <f>AND('STERLING CATALOG - DRY '!J3173,"AAAAAF+7/6M=")</f>
        <v>#VALUE!</v>
      </c>
      <c r="FI144">
        <f>IF('STERLING CATALOG - DRY '!3174:3174,"AAAAAF+7/6Q=",0)</f>
        <v>0</v>
      </c>
      <c r="FJ144" t="e">
        <f>AND('STERLING CATALOG - DRY '!A3174,"AAAAAF+7/6U=")</f>
        <v>#VALUE!</v>
      </c>
      <c r="FK144" t="e">
        <f>AND('STERLING CATALOG - DRY '!B3174,"AAAAAF+7/6Y=")</f>
        <v>#VALUE!</v>
      </c>
      <c r="FL144" t="e">
        <f>AND('STERLING CATALOG - DRY '!C3174,"AAAAAF+7/6c=")</f>
        <v>#VALUE!</v>
      </c>
      <c r="FM144" t="e">
        <f>AND('STERLING CATALOG - DRY '!D3174,"AAAAAF+7/6g=")</f>
        <v>#VALUE!</v>
      </c>
      <c r="FN144" t="e">
        <f>AND('STERLING CATALOG - DRY '!E3174,"AAAAAF+7/6k=")</f>
        <v>#VALUE!</v>
      </c>
      <c r="FO144" t="e">
        <f>AND('STERLING CATALOG - DRY '!F3174,"AAAAAF+7/6o=")</f>
        <v>#VALUE!</v>
      </c>
      <c r="FP144" t="e">
        <f>AND('STERLING CATALOG - DRY '!G3174,"AAAAAF+7/6s=")</f>
        <v>#VALUE!</v>
      </c>
      <c r="FQ144" t="e">
        <f>AND('STERLING CATALOG - DRY '!H3174,"AAAAAF+7/6w=")</f>
        <v>#VALUE!</v>
      </c>
      <c r="FR144" t="e">
        <f>AND('STERLING CATALOG - DRY '!I3174,"AAAAAF+7/60=")</f>
        <v>#VALUE!</v>
      </c>
      <c r="FS144" t="e">
        <f>AND('STERLING CATALOG - DRY '!J3174,"AAAAAF+7/64=")</f>
        <v>#VALUE!</v>
      </c>
      <c r="FT144">
        <f>IF('STERLING CATALOG - DRY '!3175:3175,"AAAAAF+7/68=",0)</f>
        <v>0</v>
      </c>
      <c r="FU144" t="e">
        <f>AND('STERLING CATALOG - DRY '!A3175,"AAAAAF+7/7A=")</f>
        <v>#VALUE!</v>
      </c>
      <c r="FV144" t="e">
        <f>AND('STERLING CATALOG - DRY '!B3175,"AAAAAF+7/7E=")</f>
        <v>#VALUE!</v>
      </c>
      <c r="FW144" t="e">
        <f>AND('STERLING CATALOG - DRY '!C3175,"AAAAAF+7/7I=")</f>
        <v>#VALUE!</v>
      </c>
      <c r="FX144" t="e">
        <f>AND('STERLING CATALOG - DRY '!D3175,"AAAAAF+7/7M=")</f>
        <v>#VALUE!</v>
      </c>
      <c r="FY144" t="e">
        <f>AND('STERLING CATALOG - DRY '!E3175,"AAAAAF+7/7Q=")</f>
        <v>#VALUE!</v>
      </c>
      <c r="FZ144" t="e">
        <f>AND('STERLING CATALOG - DRY '!F3175,"AAAAAF+7/7U=")</f>
        <v>#VALUE!</v>
      </c>
      <c r="GA144" t="e">
        <f>AND('STERLING CATALOG - DRY '!G3175,"AAAAAF+7/7Y=")</f>
        <v>#VALUE!</v>
      </c>
      <c r="GB144" t="e">
        <f>AND('STERLING CATALOG - DRY '!H3175,"AAAAAF+7/7c=")</f>
        <v>#VALUE!</v>
      </c>
      <c r="GC144" t="e">
        <f>AND('STERLING CATALOG - DRY '!I3175,"AAAAAF+7/7g=")</f>
        <v>#VALUE!</v>
      </c>
      <c r="GD144" t="e">
        <f>AND('STERLING CATALOG - DRY '!J3175,"AAAAAF+7/7k=")</f>
        <v>#VALUE!</v>
      </c>
      <c r="GE144">
        <f>IF('STERLING CATALOG - DRY '!3176:3176,"AAAAAF+7/7o=",0)</f>
        <v>0</v>
      </c>
      <c r="GF144" t="e">
        <f>AND('STERLING CATALOG - DRY '!A3176,"AAAAAF+7/7s=")</f>
        <v>#VALUE!</v>
      </c>
      <c r="GG144" t="e">
        <f>AND('STERLING CATALOG - DRY '!B3176,"AAAAAF+7/7w=")</f>
        <v>#VALUE!</v>
      </c>
      <c r="GH144" t="e">
        <f>AND('STERLING CATALOG - DRY '!C3176,"AAAAAF+7/70=")</f>
        <v>#VALUE!</v>
      </c>
      <c r="GI144" t="e">
        <f>AND('STERLING CATALOG - DRY '!D3176,"AAAAAF+7/74=")</f>
        <v>#VALUE!</v>
      </c>
      <c r="GJ144" t="e">
        <f>AND('STERLING CATALOG - DRY '!E3176,"AAAAAF+7/78=")</f>
        <v>#VALUE!</v>
      </c>
      <c r="GK144" t="e">
        <f>AND('STERLING CATALOG - DRY '!F3176,"AAAAAF+7/8A=")</f>
        <v>#VALUE!</v>
      </c>
      <c r="GL144" t="e">
        <f>AND('STERLING CATALOG - DRY '!G3176,"AAAAAF+7/8E=")</f>
        <v>#VALUE!</v>
      </c>
      <c r="GM144" t="e">
        <f>AND('STERLING CATALOG - DRY '!H3176,"AAAAAF+7/8I=")</f>
        <v>#VALUE!</v>
      </c>
      <c r="GN144" t="e">
        <f>AND('STERLING CATALOG - DRY '!I3176,"AAAAAF+7/8M=")</f>
        <v>#VALUE!</v>
      </c>
      <c r="GO144" t="e">
        <f>AND('STERLING CATALOG - DRY '!J3176,"AAAAAF+7/8Q=")</f>
        <v>#VALUE!</v>
      </c>
      <c r="GP144">
        <f>IF('STERLING CATALOG - DRY '!3177:3177,"AAAAAF+7/8U=",0)</f>
        <v>0</v>
      </c>
      <c r="GQ144" t="e">
        <f>AND('STERLING CATALOG - DRY '!A3177,"AAAAAF+7/8Y=")</f>
        <v>#VALUE!</v>
      </c>
      <c r="GR144" t="e">
        <f>AND('STERLING CATALOG - DRY '!B3177,"AAAAAF+7/8c=")</f>
        <v>#VALUE!</v>
      </c>
      <c r="GS144" t="e">
        <f>AND('STERLING CATALOG - DRY '!C3177,"AAAAAF+7/8g=")</f>
        <v>#VALUE!</v>
      </c>
      <c r="GT144" t="e">
        <f>AND('STERLING CATALOG - DRY '!D3177,"AAAAAF+7/8k=")</f>
        <v>#VALUE!</v>
      </c>
      <c r="GU144" t="e">
        <f>AND('STERLING CATALOG - DRY '!E3177,"AAAAAF+7/8o=")</f>
        <v>#VALUE!</v>
      </c>
      <c r="GV144" t="e">
        <f>AND('STERLING CATALOG - DRY '!F3177,"AAAAAF+7/8s=")</f>
        <v>#VALUE!</v>
      </c>
      <c r="GW144" t="e">
        <f>AND('STERLING CATALOG - DRY '!G3177,"AAAAAF+7/8w=")</f>
        <v>#VALUE!</v>
      </c>
      <c r="GX144" t="e">
        <f>AND('STERLING CATALOG - DRY '!H3177,"AAAAAF+7/80=")</f>
        <v>#VALUE!</v>
      </c>
      <c r="GY144" t="e">
        <f>AND('STERLING CATALOG - DRY '!I3177,"AAAAAF+7/84=")</f>
        <v>#VALUE!</v>
      </c>
      <c r="GZ144" t="e">
        <f>AND('STERLING CATALOG - DRY '!J3177,"AAAAAF+7/88=")</f>
        <v>#VALUE!</v>
      </c>
      <c r="HA144">
        <f>IF('STERLING CATALOG - DRY '!3178:3178,"AAAAAF+7/9A=",0)</f>
        <v>0</v>
      </c>
      <c r="HB144" t="e">
        <f>AND('STERLING CATALOG - DRY '!A3178,"AAAAAF+7/9E=")</f>
        <v>#VALUE!</v>
      </c>
      <c r="HC144" t="e">
        <f>AND('STERLING CATALOG - DRY '!B3178,"AAAAAF+7/9I=")</f>
        <v>#VALUE!</v>
      </c>
      <c r="HD144" t="e">
        <f>AND('STERLING CATALOG - DRY '!C3178,"AAAAAF+7/9M=")</f>
        <v>#VALUE!</v>
      </c>
      <c r="HE144" t="e">
        <f>AND('STERLING CATALOG - DRY '!D3178,"AAAAAF+7/9Q=")</f>
        <v>#VALUE!</v>
      </c>
      <c r="HF144" t="e">
        <f>AND('STERLING CATALOG - DRY '!E3178,"AAAAAF+7/9U=")</f>
        <v>#VALUE!</v>
      </c>
      <c r="HG144" t="e">
        <f>AND('STERLING CATALOG - DRY '!F3178,"AAAAAF+7/9Y=")</f>
        <v>#VALUE!</v>
      </c>
      <c r="HH144" t="e">
        <f>AND('STERLING CATALOG - DRY '!G3178,"AAAAAF+7/9c=")</f>
        <v>#VALUE!</v>
      </c>
      <c r="HI144" t="e">
        <f>AND('STERLING CATALOG - DRY '!H3178,"AAAAAF+7/9g=")</f>
        <v>#VALUE!</v>
      </c>
      <c r="HJ144" t="e">
        <f>AND('STERLING CATALOG - DRY '!I3178,"AAAAAF+7/9k=")</f>
        <v>#VALUE!</v>
      </c>
      <c r="HK144" t="e">
        <f>AND('STERLING CATALOG - DRY '!J3178,"AAAAAF+7/9o=")</f>
        <v>#VALUE!</v>
      </c>
      <c r="HL144">
        <f>IF('STERLING CATALOG - DRY '!3179:3179,"AAAAAF+7/9s=",0)</f>
        <v>0</v>
      </c>
      <c r="HM144" t="e">
        <f>AND('STERLING CATALOG - DRY '!A3179,"AAAAAF+7/9w=")</f>
        <v>#VALUE!</v>
      </c>
      <c r="HN144" t="e">
        <f>AND('STERLING CATALOG - DRY '!B3179,"AAAAAF+7/90=")</f>
        <v>#VALUE!</v>
      </c>
      <c r="HO144" t="e">
        <f>AND('STERLING CATALOG - DRY '!C3179,"AAAAAF+7/94=")</f>
        <v>#VALUE!</v>
      </c>
      <c r="HP144" t="e">
        <f>AND('STERLING CATALOG - DRY '!D3179,"AAAAAF+7/98=")</f>
        <v>#VALUE!</v>
      </c>
      <c r="HQ144" t="e">
        <f>AND('STERLING CATALOG - DRY '!E3179,"AAAAAF+7/+A=")</f>
        <v>#VALUE!</v>
      </c>
      <c r="HR144" t="e">
        <f>AND('STERLING CATALOG - DRY '!F3179,"AAAAAF+7/+E=")</f>
        <v>#VALUE!</v>
      </c>
      <c r="HS144" t="e">
        <f>AND('STERLING CATALOG - DRY '!G3179,"AAAAAF+7/+I=")</f>
        <v>#VALUE!</v>
      </c>
      <c r="HT144" t="e">
        <f>AND('STERLING CATALOG - DRY '!H3179,"AAAAAF+7/+M=")</f>
        <v>#VALUE!</v>
      </c>
      <c r="HU144" t="e">
        <f>AND('STERLING CATALOG - DRY '!I3179,"AAAAAF+7/+Q=")</f>
        <v>#VALUE!</v>
      </c>
      <c r="HV144" t="e">
        <f>AND('STERLING CATALOG - DRY '!J3179,"AAAAAF+7/+U=")</f>
        <v>#VALUE!</v>
      </c>
      <c r="HW144">
        <f>IF('STERLING CATALOG - DRY '!3180:3180,"AAAAAF+7/+Y=",0)</f>
        <v>0</v>
      </c>
      <c r="HX144" t="e">
        <f>AND('STERLING CATALOG - DRY '!A3180,"AAAAAF+7/+c=")</f>
        <v>#VALUE!</v>
      </c>
      <c r="HY144" t="e">
        <f>AND('STERLING CATALOG - DRY '!B3180,"AAAAAF+7/+g=")</f>
        <v>#VALUE!</v>
      </c>
      <c r="HZ144" t="e">
        <f>AND('STERLING CATALOG - DRY '!C3180,"AAAAAF+7/+k=")</f>
        <v>#VALUE!</v>
      </c>
      <c r="IA144" t="e">
        <f>AND('STERLING CATALOG - DRY '!D3180,"AAAAAF+7/+o=")</f>
        <v>#VALUE!</v>
      </c>
      <c r="IB144" t="e">
        <f>AND('STERLING CATALOG - DRY '!E3180,"AAAAAF+7/+s=")</f>
        <v>#VALUE!</v>
      </c>
      <c r="IC144" t="e">
        <f>AND('STERLING CATALOG - DRY '!F3180,"AAAAAF+7/+w=")</f>
        <v>#VALUE!</v>
      </c>
      <c r="ID144" t="e">
        <f>AND('STERLING CATALOG - DRY '!G3180,"AAAAAF+7/+0=")</f>
        <v>#VALUE!</v>
      </c>
      <c r="IE144" t="e">
        <f>AND('STERLING CATALOG - DRY '!H3180,"AAAAAF+7/+4=")</f>
        <v>#VALUE!</v>
      </c>
      <c r="IF144" t="e">
        <f>AND('STERLING CATALOG - DRY '!I3180,"AAAAAF+7/+8=")</f>
        <v>#VALUE!</v>
      </c>
      <c r="IG144" t="e">
        <f>AND('STERLING CATALOG - DRY '!J3180,"AAAAAF+7//A=")</f>
        <v>#VALUE!</v>
      </c>
      <c r="IH144">
        <f>IF('STERLING CATALOG - DRY '!3181:3181,"AAAAAF+7//E=",0)</f>
        <v>0</v>
      </c>
      <c r="II144" t="e">
        <f>AND('STERLING CATALOG - DRY '!A3181,"AAAAAF+7//I=")</f>
        <v>#VALUE!</v>
      </c>
      <c r="IJ144" t="e">
        <f>AND('STERLING CATALOG - DRY '!B3181,"AAAAAF+7//M=")</f>
        <v>#VALUE!</v>
      </c>
      <c r="IK144" t="e">
        <f>AND('STERLING CATALOG - DRY '!C3181,"AAAAAF+7//Q=")</f>
        <v>#VALUE!</v>
      </c>
      <c r="IL144" t="e">
        <f>AND('STERLING CATALOG - DRY '!D3181,"AAAAAF+7//U=")</f>
        <v>#VALUE!</v>
      </c>
      <c r="IM144" t="e">
        <f>AND('STERLING CATALOG - DRY '!E3181,"AAAAAF+7//Y=")</f>
        <v>#VALUE!</v>
      </c>
      <c r="IN144" t="e">
        <f>AND('STERLING CATALOG - DRY '!F3181,"AAAAAF+7//c=")</f>
        <v>#VALUE!</v>
      </c>
      <c r="IO144" t="e">
        <f>AND('STERLING CATALOG - DRY '!G3181,"AAAAAF+7//g=")</f>
        <v>#VALUE!</v>
      </c>
      <c r="IP144" t="e">
        <f>AND('STERLING CATALOG - DRY '!H3181,"AAAAAF+7//k=")</f>
        <v>#VALUE!</v>
      </c>
      <c r="IQ144" t="e">
        <f>AND('STERLING CATALOG - DRY '!I3181,"AAAAAF+7//o=")</f>
        <v>#VALUE!</v>
      </c>
      <c r="IR144" t="e">
        <f>AND('STERLING CATALOG - DRY '!J3181,"AAAAAF+7//s=")</f>
        <v>#VALUE!</v>
      </c>
      <c r="IS144">
        <f>IF('STERLING CATALOG - DRY '!3182:3182,"AAAAAF+7//w=",0)</f>
        <v>0</v>
      </c>
      <c r="IT144" t="e">
        <f>AND('STERLING CATALOG - DRY '!A3182,"AAAAAF+7//0=")</f>
        <v>#VALUE!</v>
      </c>
      <c r="IU144" t="e">
        <f>AND('STERLING CATALOG - DRY '!B3182,"AAAAAF+7//4=")</f>
        <v>#VALUE!</v>
      </c>
      <c r="IV144" t="e">
        <f>AND('STERLING CATALOG - DRY '!C3182,"AAAAAF+7//8=")</f>
        <v>#VALUE!</v>
      </c>
    </row>
    <row r="145" spans="1:256">
      <c r="A145" t="e">
        <f>AND('STERLING CATALOG - DRY '!D3182,"AAAAADf3/gA=")</f>
        <v>#VALUE!</v>
      </c>
      <c r="B145" t="e">
        <f>AND('STERLING CATALOG - DRY '!E3182,"AAAAADf3/gE=")</f>
        <v>#VALUE!</v>
      </c>
      <c r="C145" t="e">
        <f>AND('STERLING CATALOG - DRY '!F3182,"AAAAADf3/gI=")</f>
        <v>#VALUE!</v>
      </c>
      <c r="D145" t="e">
        <f>AND('STERLING CATALOG - DRY '!G3182,"AAAAADf3/gM=")</f>
        <v>#VALUE!</v>
      </c>
      <c r="E145" t="e">
        <f>AND('STERLING CATALOG - DRY '!H3182,"AAAAADf3/gQ=")</f>
        <v>#VALUE!</v>
      </c>
      <c r="F145" t="e">
        <f>AND('STERLING CATALOG - DRY '!I3182,"AAAAADf3/gU=")</f>
        <v>#VALUE!</v>
      </c>
      <c r="G145" t="e">
        <f>AND('STERLING CATALOG - DRY '!J3182,"AAAAADf3/gY=")</f>
        <v>#VALUE!</v>
      </c>
      <c r="H145" t="str">
        <f>IF('STERLING CATALOG - DRY '!3183:3183,"AAAAADf3/gc=",0)</f>
        <v>AAAAADf3/gc=</v>
      </c>
      <c r="I145" t="e">
        <f>AND('STERLING CATALOG - DRY '!A3183,"AAAAADf3/gg=")</f>
        <v>#VALUE!</v>
      </c>
      <c r="J145" t="e">
        <f>AND('STERLING CATALOG - DRY '!B3183,"AAAAADf3/gk=")</f>
        <v>#VALUE!</v>
      </c>
      <c r="K145" t="e">
        <f>AND('STERLING CATALOG - DRY '!C3183,"AAAAADf3/go=")</f>
        <v>#VALUE!</v>
      </c>
      <c r="L145" t="e">
        <f>AND('STERLING CATALOG - DRY '!D3183,"AAAAADf3/gs=")</f>
        <v>#VALUE!</v>
      </c>
      <c r="M145" t="e">
        <f>AND('STERLING CATALOG - DRY '!E3183,"AAAAADf3/gw=")</f>
        <v>#VALUE!</v>
      </c>
      <c r="N145" t="e">
        <f>AND('STERLING CATALOG - DRY '!F3183,"AAAAADf3/g0=")</f>
        <v>#VALUE!</v>
      </c>
      <c r="O145" t="e">
        <f>AND('STERLING CATALOG - DRY '!G3183,"AAAAADf3/g4=")</f>
        <v>#VALUE!</v>
      </c>
      <c r="P145" t="e">
        <f>AND('STERLING CATALOG - DRY '!H3183,"AAAAADf3/g8=")</f>
        <v>#VALUE!</v>
      </c>
      <c r="Q145" t="e">
        <f>AND('STERLING CATALOG - DRY '!I3183,"AAAAADf3/hA=")</f>
        <v>#VALUE!</v>
      </c>
      <c r="R145" t="e">
        <f>AND('STERLING CATALOG - DRY '!J3183,"AAAAADf3/hE=")</f>
        <v>#VALUE!</v>
      </c>
      <c r="S145">
        <f>IF('STERLING CATALOG - DRY '!3184:3184,"AAAAADf3/hI=",0)</f>
        <v>0</v>
      </c>
      <c r="T145" t="e">
        <f>AND('STERLING CATALOG - DRY '!A3184,"AAAAADf3/hM=")</f>
        <v>#VALUE!</v>
      </c>
      <c r="U145" t="e">
        <f>AND('STERLING CATALOG - DRY '!B3184,"AAAAADf3/hQ=")</f>
        <v>#VALUE!</v>
      </c>
      <c r="V145" t="e">
        <f>AND('STERLING CATALOG - DRY '!C3184,"AAAAADf3/hU=")</f>
        <v>#VALUE!</v>
      </c>
      <c r="W145" t="e">
        <f>AND('STERLING CATALOG - DRY '!D3184,"AAAAADf3/hY=")</f>
        <v>#VALUE!</v>
      </c>
      <c r="X145" t="e">
        <f>AND('STERLING CATALOG - DRY '!E3184,"AAAAADf3/hc=")</f>
        <v>#VALUE!</v>
      </c>
      <c r="Y145" t="e">
        <f>AND('STERLING CATALOG - DRY '!F3184,"AAAAADf3/hg=")</f>
        <v>#VALUE!</v>
      </c>
      <c r="Z145" t="e">
        <f>AND('STERLING CATALOG - DRY '!G3184,"AAAAADf3/hk=")</f>
        <v>#VALUE!</v>
      </c>
      <c r="AA145" t="e">
        <f>AND('STERLING CATALOG - DRY '!H3184,"AAAAADf3/ho=")</f>
        <v>#VALUE!</v>
      </c>
      <c r="AB145" t="e">
        <f>AND('STERLING CATALOG - DRY '!I3184,"AAAAADf3/hs=")</f>
        <v>#VALUE!</v>
      </c>
      <c r="AC145" t="e">
        <f>AND('STERLING CATALOG - DRY '!J3184,"AAAAADf3/hw=")</f>
        <v>#VALUE!</v>
      </c>
      <c r="AD145">
        <f>IF('STERLING CATALOG - DRY '!3185:3185,"AAAAADf3/h0=",0)</f>
        <v>0</v>
      </c>
      <c r="AE145" t="e">
        <f>AND('STERLING CATALOG - DRY '!A3185,"AAAAADf3/h4=")</f>
        <v>#VALUE!</v>
      </c>
      <c r="AF145" t="e">
        <f>AND('STERLING CATALOG - DRY '!B3185,"AAAAADf3/h8=")</f>
        <v>#VALUE!</v>
      </c>
      <c r="AG145" t="e">
        <f>AND('STERLING CATALOG - DRY '!C3185,"AAAAADf3/iA=")</f>
        <v>#VALUE!</v>
      </c>
      <c r="AH145" t="e">
        <f>AND('STERLING CATALOG - DRY '!D3185,"AAAAADf3/iE=")</f>
        <v>#VALUE!</v>
      </c>
      <c r="AI145" t="e">
        <f>AND('STERLING CATALOG - DRY '!E3185,"AAAAADf3/iI=")</f>
        <v>#VALUE!</v>
      </c>
      <c r="AJ145" t="e">
        <f>AND('STERLING CATALOG - DRY '!F3185,"AAAAADf3/iM=")</f>
        <v>#VALUE!</v>
      </c>
      <c r="AK145" t="e">
        <f>AND('STERLING CATALOG - DRY '!G3185,"AAAAADf3/iQ=")</f>
        <v>#VALUE!</v>
      </c>
      <c r="AL145" t="e">
        <f>AND('STERLING CATALOG - DRY '!H3185,"AAAAADf3/iU=")</f>
        <v>#VALUE!</v>
      </c>
      <c r="AM145" t="e">
        <f>AND('STERLING CATALOG - DRY '!I3185,"AAAAADf3/iY=")</f>
        <v>#VALUE!</v>
      </c>
      <c r="AN145" t="e">
        <f>AND('STERLING CATALOG - DRY '!J3185,"AAAAADf3/ic=")</f>
        <v>#VALUE!</v>
      </c>
      <c r="AO145">
        <f>IF('STERLING CATALOG - DRY '!3186:3186,"AAAAADf3/ig=",0)</f>
        <v>0</v>
      </c>
      <c r="AP145" t="e">
        <f>AND('STERLING CATALOG - DRY '!A3186,"AAAAADf3/ik=")</f>
        <v>#VALUE!</v>
      </c>
      <c r="AQ145" t="e">
        <f>AND('STERLING CATALOG - DRY '!B3186,"AAAAADf3/io=")</f>
        <v>#VALUE!</v>
      </c>
      <c r="AR145" t="e">
        <f>AND('STERLING CATALOG - DRY '!C3186,"AAAAADf3/is=")</f>
        <v>#VALUE!</v>
      </c>
      <c r="AS145" t="e">
        <f>AND('STERLING CATALOG - DRY '!D3186,"AAAAADf3/iw=")</f>
        <v>#VALUE!</v>
      </c>
      <c r="AT145" t="e">
        <f>AND('STERLING CATALOG - DRY '!E3186,"AAAAADf3/i0=")</f>
        <v>#VALUE!</v>
      </c>
      <c r="AU145" t="e">
        <f>AND('STERLING CATALOG - DRY '!F3186,"AAAAADf3/i4=")</f>
        <v>#VALUE!</v>
      </c>
      <c r="AV145" t="e">
        <f>AND('STERLING CATALOG - DRY '!G3186,"AAAAADf3/i8=")</f>
        <v>#VALUE!</v>
      </c>
      <c r="AW145" t="e">
        <f>AND('STERLING CATALOG - DRY '!H3186,"AAAAADf3/jA=")</f>
        <v>#VALUE!</v>
      </c>
      <c r="AX145" t="e">
        <f>AND('STERLING CATALOG - DRY '!I3186,"AAAAADf3/jE=")</f>
        <v>#VALUE!</v>
      </c>
      <c r="AY145" t="e">
        <f>AND('STERLING CATALOG - DRY '!J3186,"AAAAADf3/jI=")</f>
        <v>#VALUE!</v>
      </c>
      <c r="AZ145">
        <f>IF('STERLING CATALOG - DRY '!3187:3187,"AAAAADf3/jM=",0)</f>
        <v>0</v>
      </c>
      <c r="BA145" t="e">
        <f>AND('STERLING CATALOG - DRY '!A3187,"AAAAADf3/jQ=")</f>
        <v>#VALUE!</v>
      </c>
      <c r="BB145" t="e">
        <f>AND('STERLING CATALOG - DRY '!B3187,"AAAAADf3/jU=")</f>
        <v>#VALUE!</v>
      </c>
      <c r="BC145" t="e">
        <f>AND('STERLING CATALOG - DRY '!C3187,"AAAAADf3/jY=")</f>
        <v>#VALUE!</v>
      </c>
      <c r="BD145" t="e">
        <f>AND('STERLING CATALOG - DRY '!D3187,"AAAAADf3/jc=")</f>
        <v>#VALUE!</v>
      </c>
      <c r="BE145" t="e">
        <f>AND('STERLING CATALOG - DRY '!E3187,"AAAAADf3/jg=")</f>
        <v>#VALUE!</v>
      </c>
      <c r="BF145" t="e">
        <f>AND('STERLING CATALOG - DRY '!F3187,"AAAAADf3/jk=")</f>
        <v>#VALUE!</v>
      </c>
      <c r="BG145" t="e">
        <f>AND('STERLING CATALOG - DRY '!G3187,"AAAAADf3/jo=")</f>
        <v>#VALUE!</v>
      </c>
      <c r="BH145" t="e">
        <f>AND('STERLING CATALOG - DRY '!H3187,"AAAAADf3/js=")</f>
        <v>#VALUE!</v>
      </c>
      <c r="BI145" t="e">
        <f>AND('STERLING CATALOG - DRY '!I3187,"AAAAADf3/jw=")</f>
        <v>#VALUE!</v>
      </c>
      <c r="BJ145" t="e">
        <f>AND('STERLING CATALOG - DRY '!J3187,"AAAAADf3/j0=")</f>
        <v>#VALUE!</v>
      </c>
      <c r="BK145">
        <f>IF('STERLING CATALOG - DRY '!3188:3188,"AAAAADf3/j4=",0)</f>
        <v>0</v>
      </c>
      <c r="BL145" t="e">
        <f>AND('STERLING CATALOG - DRY '!A3188,"AAAAADf3/j8=")</f>
        <v>#VALUE!</v>
      </c>
      <c r="BM145" t="e">
        <f>AND('STERLING CATALOG - DRY '!B3188,"AAAAADf3/kA=")</f>
        <v>#VALUE!</v>
      </c>
      <c r="BN145" t="e">
        <f>AND('STERLING CATALOG - DRY '!C3188,"AAAAADf3/kE=")</f>
        <v>#VALUE!</v>
      </c>
      <c r="BO145" t="e">
        <f>AND('STERLING CATALOG - DRY '!D3188,"AAAAADf3/kI=")</f>
        <v>#VALUE!</v>
      </c>
      <c r="BP145" t="e">
        <f>AND('STERLING CATALOG - DRY '!E3188,"AAAAADf3/kM=")</f>
        <v>#VALUE!</v>
      </c>
      <c r="BQ145" t="e">
        <f>AND('STERLING CATALOG - DRY '!F3188,"AAAAADf3/kQ=")</f>
        <v>#VALUE!</v>
      </c>
      <c r="BR145" t="e">
        <f>AND('STERLING CATALOG - DRY '!G3188,"AAAAADf3/kU=")</f>
        <v>#VALUE!</v>
      </c>
      <c r="BS145" t="e">
        <f>AND('STERLING CATALOG - DRY '!H3188,"AAAAADf3/kY=")</f>
        <v>#VALUE!</v>
      </c>
      <c r="BT145" t="e">
        <f>AND('STERLING CATALOG - DRY '!I3188,"AAAAADf3/kc=")</f>
        <v>#VALUE!</v>
      </c>
      <c r="BU145" t="e">
        <f>AND('STERLING CATALOG - DRY '!J3188,"AAAAADf3/kg=")</f>
        <v>#VALUE!</v>
      </c>
      <c r="BV145">
        <f>IF('STERLING CATALOG - DRY '!3189:3189,"AAAAADf3/kk=",0)</f>
        <v>0</v>
      </c>
      <c r="BW145" t="e">
        <f>AND('STERLING CATALOG - DRY '!A3189,"AAAAADf3/ko=")</f>
        <v>#VALUE!</v>
      </c>
      <c r="BX145" t="e">
        <f>AND('STERLING CATALOG - DRY '!B3189,"AAAAADf3/ks=")</f>
        <v>#VALUE!</v>
      </c>
      <c r="BY145" t="e">
        <f>AND('STERLING CATALOG - DRY '!C3189,"AAAAADf3/kw=")</f>
        <v>#VALUE!</v>
      </c>
      <c r="BZ145" t="e">
        <f>AND('STERLING CATALOG - DRY '!D3189,"AAAAADf3/k0=")</f>
        <v>#VALUE!</v>
      </c>
      <c r="CA145" t="e">
        <f>AND('STERLING CATALOG - DRY '!E3189,"AAAAADf3/k4=")</f>
        <v>#VALUE!</v>
      </c>
      <c r="CB145" t="e">
        <f>AND('STERLING CATALOG - DRY '!F3189,"AAAAADf3/k8=")</f>
        <v>#VALUE!</v>
      </c>
      <c r="CC145" t="e">
        <f>AND('STERLING CATALOG - DRY '!G3189,"AAAAADf3/lA=")</f>
        <v>#VALUE!</v>
      </c>
      <c r="CD145" t="e">
        <f>AND('STERLING CATALOG - DRY '!H3189,"AAAAADf3/lE=")</f>
        <v>#VALUE!</v>
      </c>
      <c r="CE145" t="e">
        <f>AND('STERLING CATALOG - DRY '!I3189,"AAAAADf3/lI=")</f>
        <v>#VALUE!</v>
      </c>
      <c r="CF145" t="e">
        <f>AND('STERLING CATALOG - DRY '!J3189,"AAAAADf3/lM=")</f>
        <v>#VALUE!</v>
      </c>
      <c r="CG145">
        <f>IF('STERLING CATALOG - DRY '!3190:3190,"AAAAADf3/lQ=",0)</f>
        <v>0</v>
      </c>
      <c r="CH145" t="e">
        <f>AND('STERLING CATALOG - DRY '!A3190,"AAAAADf3/lU=")</f>
        <v>#VALUE!</v>
      </c>
      <c r="CI145" t="e">
        <f>AND('STERLING CATALOG - DRY '!B3190,"AAAAADf3/lY=")</f>
        <v>#VALUE!</v>
      </c>
      <c r="CJ145" t="e">
        <f>AND('STERLING CATALOG - DRY '!C3190,"AAAAADf3/lc=")</f>
        <v>#VALUE!</v>
      </c>
      <c r="CK145" t="e">
        <f>AND('STERLING CATALOG - DRY '!D3190,"AAAAADf3/lg=")</f>
        <v>#VALUE!</v>
      </c>
      <c r="CL145" t="e">
        <f>AND('STERLING CATALOG - DRY '!E3190,"AAAAADf3/lk=")</f>
        <v>#VALUE!</v>
      </c>
      <c r="CM145" t="e">
        <f>AND('STERLING CATALOG - DRY '!F3190,"AAAAADf3/lo=")</f>
        <v>#VALUE!</v>
      </c>
      <c r="CN145" t="e">
        <f>AND('STERLING CATALOG - DRY '!G3190,"AAAAADf3/ls=")</f>
        <v>#VALUE!</v>
      </c>
      <c r="CO145" t="e">
        <f>AND('STERLING CATALOG - DRY '!H3190,"AAAAADf3/lw=")</f>
        <v>#VALUE!</v>
      </c>
      <c r="CP145" t="e">
        <f>AND('STERLING CATALOG - DRY '!I3190,"AAAAADf3/l0=")</f>
        <v>#VALUE!</v>
      </c>
      <c r="CQ145" t="e">
        <f>AND('STERLING CATALOG - DRY '!J3190,"AAAAADf3/l4=")</f>
        <v>#VALUE!</v>
      </c>
      <c r="CR145">
        <f>IF('STERLING CATALOG - DRY '!3191:3191,"AAAAADf3/l8=",0)</f>
        <v>0</v>
      </c>
      <c r="CS145" t="e">
        <f>AND('STERLING CATALOG - DRY '!A3191,"AAAAADf3/mA=")</f>
        <v>#VALUE!</v>
      </c>
      <c r="CT145" t="e">
        <f>AND('STERLING CATALOG - DRY '!B3191,"AAAAADf3/mE=")</f>
        <v>#VALUE!</v>
      </c>
      <c r="CU145" t="e">
        <f>AND('STERLING CATALOG - DRY '!C3191,"AAAAADf3/mI=")</f>
        <v>#VALUE!</v>
      </c>
      <c r="CV145" t="e">
        <f>AND('STERLING CATALOG - DRY '!D3191,"AAAAADf3/mM=")</f>
        <v>#VALUE!</v>
      </c>
      <c r="CW145" t="e">
        <f>AND('STERLING CATALOG - DRY '!E3191,"AAAAADf3/mQ=")</f>
        <v>#VALUE!</v>
      </c>
      <c r="CX145" t="e">
        <f>AND('STERLING CATALOG - DRY '!F3191,"AAAAADf3/mU=")</f>
        <v>#VALUE!</v>
      </c>
      <c r="CY145" t="e">
        <f>AND('STERLING CATALOG - DRY '!G3191,"AAAAADf3/mY=")</f>
        <v>#VALUE!</v>
      </c>
      <c r="CZ145" t="e">
        <f>AND('STERLING CATALOG - DRY '!H3191,"AAAAADf3/mc=")</f>
        <v>#VALUE!</v>
      </c>
      <c r="DA145" t="e">
        <f>AND('STERLING CATALOG - DRY '!I3191,"AAAAADf3/mg=")</f>
        <v>#VALUE!</v>
      </c>
      <c r="DB145" t="e">
        <f>AND('STERLING CATALOG - DRY '!J3191,"AAAAADf3/mk=")</f>
        <v>#VALUE!</v>
      </c>
      <c r="DC145">
        <f>IF('STERLING CATALOG - DRY '!3192:3192,"AAAAADf3/mo=",0)</f>
        <v>0</v>
      </c>
      <c r="DD145" t="e">
        <f>AND('STERLING CATALOG - DRY '!A3192,"AAAAADf3/ms=")</f>
        <v>#VALUE!</v>
      </c>
      <c r="DE145" t="e">
        <f>AND('STERLING CATALOG - DRY '!B3192,"AAAAADf3/mw=")</f>
        <v>#VALUE!</v>
      </c>
      <c r="DF145" t="e">
        <f>AND('STERLING CATALOG - DRY '!C3192,"AAAAADf3/m0=")</f>
        <v>#VALUE!</v>
      </c>
      <c r="DG145" t="e">
        <f>AND('STERLING CATALOG - DRY '!D3192,"AAAAADf3/m4=")</f>
        <v>#VALUE!</v>
      </c>
      <c r="DH145" t="e">
        <f>AND('STERLING CATALOG - DRY '!E3192,"AAAAADf3/m8=")</f>
        <v>#VALUE!</v>
      </c>
      <c r="DI145" t="e">
        <f>AND('STERLING CATALOG - DRY '!F3192,"AAAAADf3/nA=")</f>
        <v>#VALUE!</v>
      </c>
      <c r="DJ145" t="e">
        <f>AND('STERLING CATALOG - DRY '!G3192,"AAAAADf3/nE=")</f>
        <v>#VALUE!</v>
      </c>
      <c r="DK145" t="e">
        <f>AND('STERLING CATALOG - DRY '!H3192,"AAAAADf3/nI=")</f>
        <v>#VALUE!</v>
      </c>
      <c r="DL145" t="e">
        <f>AND('STERLING CATALOG - DRY '!I3192,"AAAAADf3/nM=")</f>
        <v>#VALUE!</v>
      </c>
      <c r="DM145" t="e">
        <f>AND('STERLING CATALOG - DRY '!J3192,"AAAAADf3/nQ=")</f>
        <v>#VALUE!</v>
      </c>
      <c r="DN145">
        <f>IF('STERLING CATALOG - DRY '!3193:3193,"AAAAADf3/nU=",0)</f>
        <v>0</v>
      </c>
      <c r="DO145" t="e">
        <f>AND('STERLING CATALOG - DRY '!A3193,"AAAAADf3/nY=")</f>
        <v>#VALUE!</v>
      </c>
      <c r="DP145" t="e">
        <f>AND('STERLING CATALOG - DRY '!B3193,"AAAAADf3/nc=")</f>
        <v>#VALUE!</v>
      </c>
      <c r="DQ145" t="e">
        <f>AND('STERLING CATALOG - DRY '!C3193,"AAAAADf3/ng=")</f>
        <v>#VALUE!</v>
      </c>
      <c r="DR145" t="e">
        <f>AND('STERLING CATALOG - DRY '!D3193,"AAAAADf3/nk=")</f>
        <v>#VALUE!</v>
      </c>
      <c r="DS145" t="e">
        <f>AND('STERLING CATALOG - DRY '!E3193,"AAAAADf3/no=")</f>
        <v>#VALUE!</v>
      </c>
      <c r="DT145" t="e">
        <f>AND('STERLING CATALOG - DRY '!F3193,"AAAAADf3/ns=")</f>
        <v>#VALUE!</v>
      </c>
      <c r="DU145" t="e">
        <f>AND('STERLING CATALOG - DRY '!G3193,"AAAAADf3/nw=")</f>
        <v>#VALUE!</v>
      </c>
      <c r="DV145" t="e">
        <f>AND('STERLING CATALOG - DRY '!H3193,"AAAAADf3/n0=")</f>
        <v>#VALUE!</v>
      </c>
      <c r="DW145" t="e">
        <f>AND('STERLING CATALOG - DRY '!I3193,"AAAAADf3/n4=")</f>
        <v>#VALUE!</v>
      </c>
      <c r="DX145" t="e">
        <f>AND('STERLING CATALOG - DRY '!J3193,"AAAAADf3/n8=")</f>
        <v>#VALUE!</v>
      </c>
      <c r="DY145">
        <f>IF('STERLING CATALOG - DRY '!3194:3194,"AAAAADf3/oA=",0)</f>
        <v>0</v>
      </c>
      <c r="DZ145" t="e">
        <f>AND('STERLING CATALOG - DRY '!A3194,"AAAAADf3/oE=")</f>
        <v>#VALUE!</v>
      </c>
      <c r="EA145" t="e">
        <f>AND('STERLING CATALOG - DRY '!B3194,"AAAAADf3/oI=")</f>
        <v>#VALUE!</v>
      </c>
      <c r="EB145" t="e">
        <f>AND('STERLING CATALOG - DRY '!C3194,"AAAAADf3/oM=")</f>
        <v>#VALUE!</v>
      </c>
      <c r="EC145" t="e">
        <f>AND('STERLING CATALOG - DRY '!D3194,"AAAAADf3/oQ=")</f>
        <v>#VALUE!</v>
      </c>
      <c r="ED145" t="e">
        <f>AND('STERLING CATALOG - DRY '!E3194,"AAAAADf3/oU=")</f>
        <v>#VALUE!</v>
      </c>
      <c r="EE145" t="e">
        <f>AND('STERLING CATALOG - DRY '!F3194,"AAAAADf3/oY=")</f>
        <v>#VALUE!</v>
      </c>
      <c r="EF145" t="e">
        <f>AND('STERLING CATALOG - DRY '!G3194,"AAAAADf3/oc=")</f>
        <v>#VALUE!</v>
      </c>
      <c r="EG145" t="e">
        <f>AND('STERLING CATALOG - DRY '!H3194,"AAAAADf3/og=")</f>
        <v>#VALUE!</v>
      </c>
      <c r="EH145" t="e">
        <f>AND('STERLING CATALOG - DRY '!I3194,"AAAAADf3/ok=")</f>
        <v>#VALUE!</v>
      </c>
      <c r="EI145" t="e">
        <f>AND('STERLING CATALOG - DRY '!J3194,"AAAAADf3/oo=")</f>
        <v>#VALUE!</v>
      </c>
      <c r="EJ145">
        <f>IF('STERLING CATALOG - DRY '!3195:3195,"AAAAADf3/os=",0)</f>
        <v>0</v>
      </c>
      <c r="EK145" t="e">
        <f>AND('STERLING CATALOG - DRY '!A3195,"AAAAADf3/ow=")</f>
        <v>#VALUE!</v>
      </c>
      <c r="EL145" t="e">
        <f>AND('STERLING CATALOG - DRY '!B3195,"AAAAADf3/o0=")</f>
        <v>#VALUE!</v>
      </c>
      <c r="EM145" t="e">
        <f>AND('STERLING CATALOG - DRY '!C3195,"AAAAADf3/o4=")</f>
        <v>#VALUE!</v>
      </c>
      <c r="EN145" t="e">
        <f>AND('STERLING CATALOG - DRY '!D3195,"AAAAADf3/o8=")</f>
        <v>#VALUE!</v>
      </c>
      <c r="EO145" t="e">
        <f>AND('STERLING CATALOG - DRY '!E3195,"AAAAADf3/pA=")</f>
        <v>#VALUE!</v>
      </c>
      <c r="EP145" t="e">
        <f>AND('STERLING CATALOG - DRY '!F3195,"AAAAADf3/pE=")</f>
        <v>#VALUE!</v>
      </c>
      <c r="EQ145" t="e">
        <f>AND('STERLING CATALOG - DRY '!G3195,"AAAAADf3/pI=")</f>
        <v>#VALUE!</v>
      </c>
      <c r="ER145" t="e">
        <f>AND('STERLING CATALOG - DRY '!H3195,"AAAAADf3/pM=")</f>
        <v>#VALUE!</v>
      </c>
      <c r="ES145" t="e">
        <f>AND('STERLING CATALOG - DRY '!I3195,"AAAAADf3/pQ=")</f>
        <v>#VALUE!</v>
      </c>
      <c r="ET145" t="e">
        <f>AND('STERLING CATALOG - DRY '!J3195,"AAAAADf3/pU=")</f>
        <v>#VALUE!</v>
      </c>
      <c r="EU145">
        <f>IF('STERLING CATALOG - DRY '!3196:3196,"AAAAADf3/pY=",0)</f>
        <v>0</v>
      </c>
      <c r="EV145" t="e">
        <f>AND('STERLING CATALOG - DRY '!A3196,"AAAAADf3/pc=")</f>
        <v>#VALUE!</v>
      </c>
      <c r="EW145" t="e">
        <f>AND('STERLING CATALOG - DRY '!B3196,"AAAAADf3/pg=")</f>
        <v>#VALUE!</v>
      </c>
      <c r="EX145" t="e">
        <f>AND('STERLING CATALOG - DRY '!C3196,"AAAAADf3/pk=")</f>
        <v>#VALUE!</v>
      </c>
      <c r="EY145" t="e">
        <f>AND('STERLING CATALOG - DRY '!D3196,"AAAAADf3/po=")</f>
        <v>#VALUE!</v>
      </c>
      <c r="EZ145" t="e">
        <f>AND('STERLING CATALOG - DRY '!E3196,"AAAAADf3/ps=")</f>
        <v>#VALUE!</v>
      </c>
      <c r="FA145" t="e">
        <f>AND('STERLING CATALOG - DRY '!F3196,"AAAAADf3/pw=")</f>
        <v>#VALUE!</v>
      </c>
      <c r="FB145" t="e">
        <f>AND('STERLING CATALOG - DRY '!G3196,"AAAAADf3/p0=")</f>
        <v>#VALUE!</v>
      </c>
      <c r="FC145" t="e">
        <f>AND('STERLING CATALOG - DRY '!H3196,"AAAAADf3/p4=")</f>
        <v>#VALUE!</v>
      </c>
      <c r="FD145" t="e">
        <f>AND('STERLING CATALOG - DRY '!I3196,"AAAAADf3/p8=")</f>
        <v>#VALUE!</v>
      </c>
      <c r="FE145" t="e">
        <f>AND('STERLING CATALOG - DRY '!J3196,"AAAAADf3/qA=")</f>
        <v>#VALUE!</v>
      </c>
      <c r="FF145">
        <f>IF('STERLING CATALOG - DRY '!3197:3197,"AAAAADf3/qE=",0)</f>
        <v>0</v>
      </c>
      <c r="FG145" t="e">
        <f>AND('STERLING CATALOG - DRY '!A3197,"AAAAADf3/qI=")</f>
        <v>#VALUE!</v>
      </c>
      <c r="FH145" t="e">
        <f>AND('STERLING CATALOG - DRY '!B3197,"AAAAADf3/qM=")</f>
        <v>#VALUE!</v>
      </c>
      <c r="FI145" t="e">
        <f>AND('STERLING CATALOG - DRY '!C3197,"AAAAADf3/qQ=")</f>
        <v>#VALUE!</v>
      </c>
      <c r="FJ145" t="e">
        <f>AND('STERLING CATALOG - DRY '!D3197,"AAAAADf3/qU=")</f>
        <v>#VALUE!</v>
      </c>
      <c r="FK145" t="e">
        <f>AND('STERLING CATALOG - DRY '!E3197,"AAAAADf3/qY=")</f>
        <v>#VALUE!</v>
      </c>
      <c r="FL145" t="e">
        <f>AND('STERLING CATALOG - DRY '!F3197,"AAAAADf3/qc=")</f>
        <v>#VALUE!</v>
      </c>
      <c r="FM145" t="e">
        <f>AND('STERLING CATALOG - DRY '!G3197,"AAAAADf3/qg=")</f>
        <v>#VALUE!</v>
      </c>
      <c r="FN145" t="e">
        <f>AND('STERLING CATALOG - DRY '!H3197,"AAAAADf3/qk=")</f>
        <v>#VALUE!</v>
      </c>
      <c r="FO145" t="e">
        <f>AND('STERLING CATALOG - DRY '!I3197,"AAAAADf3/qo=")</f>
        <v>#VALUE!</v>
      </c>
      <c r="FP145" t="e">
        <f>AND('STERLING CATALOG - DRY '!J3197,"AAAAADf3/qs=")</f>
        <v>#VALUE!</v>
      </c>
      <c r="FQ145">
        <f>IF('STERLING CATALOG - DRY '!3198:3198,"AAAAADf3/qw=",0)</f>
        <v>0</v>
      </c>
      <c r="FR145" t="e">
        <f>AND('STERLING CATALOG - DRY '!A3198,"AAAAADf3/q0=")</f>
        <v>#VALUE!</v>
      </c>
      <c r="FS145" t="e">
        <f>AND('STERLING CATALOG - DRY '!B3198,"AAAAADf3/q4=")</f>
        <v>#VALUE!</v>
      </c>
      <c r="FT145" t="e">
        <f>AND('STERLING CATALOG - DRY '!C3198,"AAAAADf3/q8=")</f>
        <v>#VALUE!</v>
      </c>
      <c r="FU145" t="e">
        <f>AND('STERLING CATALOG - DRY '!D3198,"AAAAADf3/rA=")</f>
        <v>#VALUE!</v>
      </c>
      <c r="FV145" t="e">
        <f>AND('STERLING CATALOG - DRY '!E3198,"AAAAADf3/rE=")</f>
        <v>#VALUE!</v>
      </c>
      <c r="FW145" t="e">
        <f>AND('STERLING CATALOG - DRY '!F3198,"AAAAADf3/rI=")</f>
        <v>#VALUE!</v>
      </c>
      <c r="FX145" t="e">
        <f>AND('STERLING CATALOG - DRY '!G3198,"AAAAADf3/rM=")</f>
        <v>#VALUE!</v>
      </c>
      <c r="FY145" t="e">
        <f>AND('STERLING CATALOG - DRY '!H3198,"AAAAADf3/rQ=")</f>
        <v>#VALUE!</v>
      </c>
      <c r="FZ145" t="e">
        <f>AND('STERLING CATALOG - DRY '!I3198,"AAAAADf3/rU=")</f>
        <v>#VALUE!</v>
      </c>
      <c r="GA145" t="e">
        <f>AND('STERLING CATALOG - DRY '!J3198,"AAAAADf3/rY=")</f>
        <v>#VALUE!</v>
      </c>
      <c r="GB145">
        <f>IF('STERLING CATALOG - DRY '!3199:3199,"AAAAADf3/rc=",0)</f>
        <v>0</v>
      </c>
      <c r="GC145" t="e">
        <f>AND('STERLING CATALOG - DRY '!A3199,"AAAAADf3/rg=")</f>
        <v>#VALUE!</v>
      </c>
      <c r="GD145" t="e">
        <f>AND('STERLING CATALOG - DRY '!B3199,"AAAAADf3/rk=")</f>
        <v>#VALUE!</v>
      </c>
      <c r="GE145" t="e">
        <f>AND('STERLING CATALOG - DRY '!C3199,"AAAAADf3/ro=")</f>
        <v>#VALUE!</v>
      </c>
      <c r="GF145" t="e">
        <f>AND('STERLING CATALOG - DRY '!D3199,"AAAAADf3/rs=")</f>
        <v>#VALUE!</v>
      </c>
      <c r="GG145" t="e">
        <f>AND('STERLING CATALOG - DRY '!E3199,"AAAAADf3/rw=")</f>
        <v>#VALUE!</v>
      </c>
      <c r="GH145" t="e">
        <f>AND('STERLING CATALOG - DRY '!F3199,"AAAAADf3/r0=")</f>
        <v>#VALUE!</v>
      </c>
      <c r="GI145" t="e">
        <f>AND('STERLING CATALOG - DRY '!G3199,"AAAAADf3/r4=")</f>
        <v>#VALUE!</v>
      </c>
      <c r="GJ145" t="e">
        <f>AND('STERLING CATALOG - DRY '!H3199,"AAAAADf3/r8=")</f>
        <v>#VALUE!</v>
      </c>
      <c r="GK145" t="e">
        <f>AND('STERLING CATALOG - DRY '!I3199,"AAAAADf3/sA=")</f>
        <v>#VALUE!</v>
      </c>
      <c r="GL145" t="e">
        <f>AND('STERLING CATALOG - DRY '!J3199,"AAAAADf3/sE=")</f>
        <v>#VALUE!</v>
      </c>
      <c r="GM145">
        <f>IF('STERLING CATALOG - DRY '!3200:3200,"AAAAADf3/sI=",0)</f>
        <v>0</v>
      </c>
      <c r="GN145" t="e">
        <f>AND('STERLING CATALOG - DRY '!A3200,"AAAAADf3/sM=")</f>
        <v>#VALUE!</v>
      </c>
      <c r="GO145" t="e">
        <f>AND('STERLING CATALOG - DRY '!B3200,"AAAAADf3/sQ=")</f>
        <v>#VALUE!</v>
      </c>
      <c r="GP145" t="e">
        <f>AND('STERLING CATALOG - DRY '!C3200,"AAAAADf3/sU=")</f>
        <v>#VALUE!</v>
      </c>
      <c r="GQ145" t="e">
        <f>AND('STERLING CATALOG - DRY '!D3200,"AAAAADf3/sY=")</f>
        <v>#VALUE!</v>
      </c>
      <c r="GR145" t="e">
        <f>AND('STERLING CATALOG - DRY '!E3200,"AAAAADf3/sc=")</f>
        <v>#VALUE!</v>
      </c>
      <c r="GS145" t="e">
        <f>AND('STERLING CATALOG - DRY '!F3200,"AAAAADf3/sg=")</f>
        <v>#VALUE!</v>
      </c>
      <c r="GT145" t="e">
        <f>AND('STERLING CATALOG - DRY '!G3200,"AAAAADf3/sk=")</f>
        <v>#VALUE!</v>
      </c>
      <c r="GU145" t="e">
        <f>AND('STERLING CATALOG - DRY '!H3200,"AAAAADf3/so=")</f>
        <v>#VALUE!</v>
      </c>
      <c r="GV145" t="e">
        <f>AND('STERLING CATALOG - DRY '!I3200,"AAAAADf3/ss=")</f>
        <v>#VALUE!</v>
      </c>
      <c r="GW145" t="e">
        <f>AND('STERLING CATALOG - DRY '!J3200,"AAAAADf3/sw=")</f>
        <v>#VALUE!</v>
      </c>
      <c r="GX145">
        <f>IF('STERLING CATALOG - DRY '!3201:3201,"AAAAADf3/s0=",0)</f>
        <v>0</v>
      </c>
      <c r="GY145" t="e">
        <f>AND('STERLING CATALOG - DRY '!A3201,"AAAAADf3/s4=")</f>
        <v>#VALUE!</v>
      </c>
      <c r="GZ145" t="e">
        <f>AND('STERLING CATALOG - DRY '!B3201,"AAAAADf3/s8=")</f>
        <v>#VALUE!</v>
      </c>
      <c r="HA145" t="e">
        <f>AND('STERLING CATALOG - DRY '!C3201,"AAAAADf3/tA=")</f>
        <v>#VALUE!</v>
      </c>
      <c r="HB145" t="e">
        <f>AND('STERLING CATALOG - DRY '!D3201,"AAAAADf3/tE=")</f>
        <v>#VALUE!</v>
      </c>
      <c r="HC145" t="e">
        <f>AND('STERLING CATALOG - DRY '!E3201,"AAAAADf3/tI=")</f>
        <v>#VALUE!</v>
      </c>
      <c r="HD145" t="e">
        <f>AND('STERLING CATALOG - DRY '!F3201,"AAAAADf3/tM=")</f>
        <v>#VALUE!</v>
      </c>
      <c r="HE145" t="e">
        <f>AND('STERLING CATALOG - DRY '!G3201,"AAAAADf3/tQ=")</f>
        <v>#VALUE!</v>
      </c>
      <c r="HF145" t="e">
        <f>AND('STERLING CATALOG - DRY '!H3201,"AAAAADf3/tU=")</f>
        <v>#VALUE!</v>
      </c>
      <c r="HG145" t="e">
        <f>AND('STERLING CATALOG - DRY '!I3201,"AAAAADf3/tY=")</f>
        <v>#VALUE!</v>
      </c>
      <c r="HH145" t="e">
        <f>AND('STERLING CATALOG - DRY '!J3201,"AAAAADf3/tc=")</f>
        <v>#VALUE!</v>
      </c>
      <c r="HI145">
        <f>IF('STERLING CATALOG - DRY '!3202:3202,"AAAAADf3/tg=",0)</f>
        <v>0</v>
      </c>
      <c r="HJ145" t="e">
        <f>AND('STERLING CATALOG - DRY '!A3202,"AAAAADf3/tk=")</f>
        <v>#VALUE!</v>
      </c>
      <c r="HK145" t="e">
        <f>AND('STERLING CATALOG - DRY '!B3202,"AAAAADf3/to=")</f>
        <v>#VALUE!</v>
      </c>
      <c r="HL145" t="e">
        <f>AND('STERLING CATALOG - DRY '!C3202,"AAAAADf3/ts=")</f>
        <v>#VALUE!</v>
      </c>
      <c r="HM145" t="e">
        <f>AND('STERLING CATALOG - DRY '!D3202,"AAAAADf3/tw=")</f>
        <v>#VALUE!</v>
      </c>
      <c r="HN145" t="e">
        <f>AND('STERLING CATALOG - DRY '!E3202,"AAAAADf3/t0=")</f>
        <v>#VALUE!</v>
      </c>
      <c r="HO145" t="e">
        <f>AND('STERLING CATALOG - DRY '!F3202,"AAAAADf3/t4=")</f>
        <v>#VALUE!</v>
      </c>
      <c r="HP145" t="e">
        <f>AND('STERLING CATALOG - DRY '!G3202,"AAAAADf3/t8=")</f>
        <v>#VALUE!</v>
      </c>
      <c r="HQ145" t="e">
        <f>AND('STERLING CATALOG - DRY '!H3202,"AAAAADf3/uA=")</f>
        <v>#VALUE!</v>
      </c>
      <c r="HR145" t="e">
        <f>AND('STERLING CATALOG - DRY '!I3202,"AAAAADf3/uE=")</f>
        <v>#VALUE!</v>
      </c>
      <c r="HS145" t="e">
        <f>AND('STERLING CATALOG - DRY '!J3202,"AAAAADf3/uI=")</f>
        <v>#VALUE!</v>
      </c>
      <c r="HT145">
        <f>IF('STERLING CATALOG - DRY '!3203:3203,"AAAAADf3/uM=",0)</f>
        <v>0</v>
      </c>
      <c r="HU145" t="e">
        <f>AND('STERLING CATALOG - DRY '!A3203,"AAAAADf3/uQ=")</f>
        <v>#VALUE!</v>
      </c>
      <c r="HV145" t="e">
        <f>AND('STERLING CATALOG - DRY '!B3203,"AAAAADf3/uU=")</f>
        <v>#VALUE!</v>
      </c>
      <c r="HW145" t="e">
        <f>AND('STERLING CATALOG - DRY '!C3203,"AAAAADf3/uY=")</f>
        <v>#VALUE!</v>
      </c>
      <c r="HX145" t="e">
        <f>AND('STERLING CATALOG - DRY '!D3203,"AAAAADf3/uc=")</f>
        <v>#VALUE!</v>
      </c>
      <c r="HY145" t="e">
        <f>AND('STERLING CATALOG - DRY '!E3203,"AAAAADf3/ug=")</f>
        <v>#VALUE!</v>
      </c>
      <c r="HZ145" t="e">
        <f>AND('STERLING CATALOG - DRY '!F3203,"AAAAADf3/uk=")</f>
        <v>#VALUE!</v>
      </c>
      <c r="IA145" t="e">
        <f>AND('STERLING CATALOG - DRY '!G3203,"AAAAADf3/uo=")</f>
        <v>#VALUE!</v>
      </c>
      <c r="IB145" t="e">
        <f>AND('STERLING CATALOG - DRY '!H3203,"AAAAADf3/us=")</f>
        <v>#VALUE!</v>
      </c>
      <c r="IC145" t="e">
        <f>AND('STERLING CATALOG - DRY '!I3203,"AAAAADf3/uw=")</f>
        <v>#VALUE!</v>
      </c>
      <c r="ID145" t="e">
        <f>AND('STERLING CATALOG - DRY '!J3203,"AAAAADf3/u0=")</f>
        <v>#VALUE!</v>
      </c>
      <c r="IE145">
        <f>IF('STERLING CATALOG - DRY '!3204:3204,"AAAAADf3/u4=",0)</f>
        <v>0</v>
      </c>
      <c r="IF145" t="e">
        <f>AND('STERLING CATALOG - DRY '!A3204,"AAAAADf3/u8=")</f>
        <v>#VALUE!</v>
      </c>
      <c r="IG145" t="e">
        <f>AND('STERLING CATALOG - DRY '!B3204,"AAAAADf3/vA=")</f>
        <v>#VALUE!</v>
      </c>
      <c r="IH145" t="e">
        <f>AND('STERLING CATALOG - DRY '!C3204,"AAAAADf3/vE=")</f>
        <v>#VALUE!</v>
      </c>
      <c r="II145" t="e">
        <f>AND('STERLING CATALOG - DRY '!D3204,"AAAAADf3/vI=")</f>
        <v>#VALUE!</v>
      </c>
      <c r="IJ145" t="e">
        <f>AND('STERLING CATALOG - DRY '!E3204,"AAAAADf3/vM=")</f>
        <v>#VALUE!</v>
      </c>
      <c r="IK145" t="e">
        <f>AND('STERLING CATALOG - DRY '!F3204,"AAAAADf3/vQ=")</f>
        <v>#VALUE!</v>
      </c>
      <c r="IL145" t="e">
        <f>AND('STERLING CATALOG - DRY '!G3204,"AAAAADf3/vU=")</f>
        <v>#VALUE!</v>
      </c>
      <c r="IM145" t="e">
        <f>AND('STERLING CATALOG - DRY '!H3204,"AAAAADf3/vY=")</f>
        <v>#VALUE!</v>
      </c>
      <c r="IN145" t="e">
        <f>AND('STERLING CATALOG - DRY '!I3204,"AAAAADf3/vc=")</f>
        <v>#VALUE!</v>
      </c>
      <c r="IO145" t="e">
        <f>AND('STERLING CATALOG - DRY '!J3204,"AAAAADf3/vg=")</f>
        <v>#VALUE!</v>
      </c>
      <c r="IP145">
        <f>IF('STERLING CATALOG - DRY '!3205:3205,"AAAAADf3/vk=",0)</f>
        <v>0</v>
      </c>
      <c r="IQ145" t="e">
        <f>AND('STERLING CATALOG - DRY '!A3205,"AAAAADf3/vo=")</f>
        <v>#VALUE!</v>
      </c>
      <c r="IR145" t="e">
        <f>AND('STERLING CATALOG - DRY '!B3205,"AAAAADf3/vs=")</f>
        <v>#VALUE!</v>
      </c>
      <c r="IS145" t="e">
        <f>AND('STERLING CATALOG - DRY '!C3205,"AAAAADf3/vw=")</f>
        <v>#VALUE!</v>
      </c>
      <c r="IT145" t="e">
        <f>AND('STERLING CATALOG - DRY '!D3205,"AAAAADf3/v0=")</f>
        <v>#VALUE!</v>
      </c>
      <c r="IU145" t="e">
        <f>AND('STERLING CATALOG - DRY '!E3205,"AAAAADf3/v4=")</f>
        <v>#VALUE!</v>
      </c>
      <c r="IV145" t="e">
        <f>AND('STERLING CATALOG - DRY '!F3205,"AAAAADf3/v8=")</f>
        <v>#VALUE!</v>
      </c>
    </row>
    <row r="146" spans="1:256">
      <c r="A146" t="e">
        <f>AND('STERLING CATALOG - DRY '!G3205,"AAAAAE/XWwA=")</f>
        <v>#VALUE!</v>
      </c>
      <c r="B146" t="e">
        <f>AND('STERLING CATALOG - DRY '!H3205,"AAAAAE/XWwE=")</f>
        <v>#VALUE!</v>
      </c>
      <c r="C146" t="e">
        <f>AND('STERLING CATALOG - DRY '!I3205,"AAAAAE/XWwI=")</f>
        <v>#VALUE!</v>
      </c>
      <c r="D146" t="e">
        <f>AND('STERLING CATALOG - DRY '!J3205,"AAAAAE/XWwM=")</f>
        <v>#VALUE!</v>
      </c>
      <c r="E146" t="e">
        <f>IF('STERLING CATALOG - DRY '!3206:3206,"AAAAAE/XWwQ=",0)</f>
        <v>#VALUE!</v>
      </c>
      <c r="F146" t="e">
        <f>AND('STERLING CATALOG - DRY '!A3206,"AAAAAE/XWwU=")</f>
        <v>#VALUE!</v>
      </c>
      <c r="G146" t="e">
        <f>AND('STERLING CATALOG - DRY '!B3206,"AAAAAE/XWwY=")</f>
        <v>#VALUE!</v>
      </c>
      <c r="H146" t="e">
        <f>AND('STERLING CATALOG - DRY '!C3206,"AAAAAE/XWwc=")</f>
        <v>#VALUE!</v>
      </c>
      <c r="I146" t="e">
        <f>AND('STERLING CATALOG - DRY '!D3206,"AAAAAE/XWwg=")</f>
        <v>#VALUE!</v>
      </c>
      <c r="J146" t="e">
        <f>AND('STERLING CATALOG - DRY '!E3206,"AAAAAE/XWwk=")</f>
        <v>#VALUE!</v>
      </c>
      <c r="K146" t="e">
        <f>AND('STERLING CATALOG - DRY '!F3206,"AAAAAE/XWwo=")</f>
        <v>#VALUE!</v>
      </c>
      <c r="L146" t="e">
        <f>AND('STERLING CATALOG - DRY '!G3206,"AAAAAE/XWws=")</f>
        <v>#VALUE!</v>
      </c>
      <c r="M146" t="e">
        <f>AND('STERLING CATALOG - DRY '!H3206,"AAAAAE/XWww=")</f>
        <v>#VALUE!</v>
      </c>
      <c r="N146" t="e">
        <f>AND('STERLING CATALOG - DRY '!I3206,"AAAAAE/XWw0=")</f>
        <v>#VALUE!</v>
      </c>
      <c r="O146" t="e">
        <f>AND('STERLING CATALOG - DRY '!J3206,"AAAAAE/XWw4=")</f>
        <v>#VALUE!</v>
      </c>
      <c r="P146">
        <f>IF('STERLING CATALOG - DRY '!3207:3207,"AAAAAE/XWw8=",0)</f>
        <v>0</v>
      </c>
      <c r="Q146" t="e">
        <f>AND('STERLING CATALOG - DRY '!A3207,"AAAAAE/XWxA=")</f>
        <v>#VALUE!</v>
      </c>
      <c r="R146" t="e">
        <f>AND('STERLING CATALOG - DRY '!B3207,"AAAAAE/XWxE=")</f>
        <v>#VALUE!</v>
      </c>
      <c r="S146" t="e">
        <f>AND('STERLING CATALOG - DRY '!C3207,"AAAAAE/XWxI=")</f>
        <v>#VALUE!</v>
      </c>
      <c r="T146" t="e">
        <f>AND('STERLING CATALOG - DRY '!D3207,"AAAAAE/XWxM=")</f>
        <v>#VALUE!</v>
      </c>
      <c r="U146" t="e">
        <f>AND('STERLING CATALOG - DRY '!E3207,"AAAAAE/XWxQ=")</f>
        <v>#VALUE!</v>
      </c>
      <c r="V146" t="e">
        <f>AND('STERLING CATALOG - DRY '!F3207,"AAAAAE/XWxU=")</f>
        <v>#VALUE!</v>
      </c>
      <c r="W146" t="e">
        <f>AND('STERLING CATALOG - DRY '!G3207,"AAAAAE/XWxY=")</f>
        <v>#VALUE!</v>
      </c>
      <c r="X146" t="e">
        <f>AND('STERLING CATALOG - DRY '!H3207,"AAAAAE/XWxc=")</f>
        <v>#VALUE!</v>
      </c>
      <c r="Y146" t="e">
        <f>AND('STERLING CATALOG - DRY '!I3207,"AAAAAE/XWxg=")</f>
        <v>#VALUE!</v>
      </c>
      <c r="Z146" t="e">
        <f>AND('STERLING CATALOG - DRY '!J3207,"AAAAAE/XWxk=")</f>
        <v>#VALUE!</v>
      </c>
      <c r="AA146">
        <f>IF('STERLING CATALOG - DRY '!3208:3208,"AAAAAE/XWxo=",0)</f>
        <v>0</v>
      </c>
      <c r="AB146" t="e">
        <f>AND('STERLING CATALOG - DRY '!A3208,"AAAAAE/XWxs=")</f>
        <v>#VALUE!</v>
      </c>
      <c r="AC146" t="e">
        <f>AND('STERLING CATALOG - DRY '!B3208,"AAAAAE/XWxw=")</f>
        <v>#VALUE!</v>
      </c>
      <c r="AD146" t="e">
        <f>AND('STERLING CATALOG - DRY '!C3208,"AAAAAE/XWx0=")</f>
        <v>#VALUE!</v>
      </c>
      <c r="AE146" t="e">
        <f>AND('STERLING CATALOG - DRY '!D3208,"AAAAAE/XWx4=")</f>
        <v>#VALUE!</v>
      </c>
      <c r="AF146" t="e">
        <f>AND('STERLING CATALOG - DRY '!E3208,"AAAAAE/XWx8=")</f>
        <v>#VALUE!</v>
      </c>
      <c r="AG146" t="e">
        <f>AND('STERLING CATALOG - DRY '!F3208,"AAAAAE/XWyA=")</f>
        <v>#VALUE!</v>
      </c>
      <c r="AH146" t="e">
        <f>AND('STERLING CATALOG - DRY '!G3208,"AAAAAE/XWyE=")</f>
        <v>#VALUE!</v>
      </c>
      <c r="AI146" t="e">
        <f>AND('STERLING CATALOG - DRY '!H3208,"AAAAAE/XWyI=")</f>
        <v>#VALUE!</v>
      </c>
      <c r="AJ146" t="e">
        <f>AND('STERLING CATALOG - DRY '!I3208,"AAAAAE/XWyM=")</f>
        <v>#VALUE!</v>
      </c>
      <c r="AK146" t="e">
        <f>AND('STERLING CATALOG - DRY '!J3208,"AAAAAE/XWyQ=")</f>
        <v>#VALUE!</v>
      </c>
      <c r="AL146">
        <f>IF('STERLING CATALOG - DRY '!3209:3209,"AAAAAE/XWyU=",0)</f>
        <v>0</v>
      </c>
      <c r="AM146" t="e">
        <f>AND('STERLING CATALOG - DRY '!A3209,"AAAAAE/XWyY=")</f>
        <v>#VALUE!</v>
      </c>
      <c r="AN146" t="e">
        <f>AND('STERLING CATALOG - DRY '!B3209,"AAAAAE/XWyc=")</f>
        <v>#VALUE!</v>
      </c>
      <c r="AO146" t="e">
        <f>AND('STERLING CATALOG - DRY '!C3209,"AAAAAE/XWyg=")</f>
        <v>#VALUE!</v>
      </c>
      <c r="AP146" t="e">
        <f>AND('STERLING CATALOG - DRY '!D3209,"AAAAAE/XWyk=")</f>
        <v>#VALUE!</v>
      </c>
      <c r="AQ146" t="e">
        <f>AND('STERLING CATALOG - DRY '!E3209,"AAAAAE/XWyo=")</f>
        <v>#VALUE!</v>
      </c>
      <c r="AR146" t="e">
        <f>AND('STERLING CATALOG - DRY '!F3209,"AAAAAE/XWys=")</f>
        <v>#VALUE!</v>
      </c>
      <c r="AS146" t="e">
        <f>AND('STERLING CATALOG - DRY '!G3209,"AAAAAE/XWyw=")</f>
        <v>#VALUE!</v>
      </c>
      <c r="AT146" t="e">
        <f>AND('STERLING CATALOG - DRY '!H3209,"AAAAAE/XWy0=")</f>
        <v>#VALUE!</v>
      </c>
      <c r="AU146" t="e">
        <f>AND('STERLING CATALOG - DRY '!I3209,"AAAAAE/XWy4=")</f>
        <v>#VALUE!</v>
      </c>
      <c r="AV146" t="e">
        <f>AND('STERLING CATALOG - DRY '!J3209,"AAAAAE/XWy8=")</f>
        <v>#VALUE!</v>
      </c>
      <c r="AW146">
        <f>IF('STERLING CATALOG - DRY '!3210:3210,"AAAAAE/XWzA=",0)</f>
        <v>0</v>
      </c>
      <c r="AX146" t="e">
        <f>AND('STERLING CATALOG - DRY '!A3210,"AAAAAE/XWzE=")</f>
        <v>#VALUE!</v>
      </c>
      <c r="AY146" t="e">
        <f>AND('STERLING CATALOG - DRY '!B3210,"AAAAAE/XWzI=")</f>
        <v>#VALUE!</v>
      </c>
      <c r="AZ146" t="e">
        <f>AND('STERLING CATALOG - DRY '!C3210,"AAAAAE/XWzM=")</f>
        <v>#VALUE!</v>
      </c>
      <c r="BA146" t="e">
        <f>AND('STERLING CATALOG - DRY '!D3210,"AAAAAE/XWzQ=")</f>
        <v>#VALUE!</v>
      </c>
      <c r="BB146" t="e">
        <f>AND('STERLING CATALOG - DRY '!E3210,"AAAAAE/XWzU=")</f>
        <v>#VALUE!</v>
      </c>
      <c r="BC146" t="e">
        <f>AND('STERLING CATALOG - DRY '!F3210,"AAAAAE/XWzY=")</f>
        <v>#VALUE!</v>
      </c>
      <c r="BD146" t="e">
        <f>AND('STERLING CATALOG - DRY '!G3210,"AAAAAE/XWzc=")</f>
        <v>#VALUE!</v>
      </c>
      <c r="BE146" t="e">
        <f>AND('STERLING CATALOG - DRY '!H3210,"AAAAAE/XWzg=")</f>
        <v>#VALUE!</v>
      </c>
      <c r="BF146" t="e">
        <f>AND('STERLING CATALOG - DRY '!I3210,"AAAAAE/XWzk=")</f>
        <v>#VALUE!</v>
      </c>
      <c r="BG146" t="e">
        <f>AND('STERLING CATALOG - DRY '!J3210,"AAAAAE/XWzo=")</f>
        <v>#VALUE!</v>
      </c>
      <c r="BH146">
        <f>IF('STERLING CATALOG - DRY '!3211:3211,"AAAAAE/XWzs=",0)</f>
        <v>0</v>
      </c>
      <c r="BI146" t="e">
        <f>AND('STERLING CATALOG - DRY '!A3211,"AAAAAE/XWzw=")</f>
        <v>#VALUE!</v>
      </c>
      <c r="BJ146" t="e">
        <f>AND('STERLING CATALOG - DRY '!B3211,"AAAAAE/XWz0=")</f>
        <v>#VALUE!</v>
      </c>
      <c r="BK146" t="e">
        <f>AND('STERLING CATALOG - DRY '!C3211,"AAAAAE/XWz4=")</f>
        <v>#VALUE!</v>
      </c>
      <c r="BL146" t="e">
        <f>AND('STERLING CATALOG - DRY '!D3211,"AAAAAE/XWz8=")</f>
        <v>#VALUE!</v>
      </c>
      <c r="BM146" t="e">
        <f>AND('STERLING CATALOG - DRY '!E3211,"AAAAAE/XW0A=")</f>
        <v>#VALUE!</v>
      </c>
      <c r="BN146" t="e">
        <f>AND('STERLING CATALOG - DRY '!F3211,"AAAAAE/XW0E=")</f>
        <v>#VALUE!</v>
      </c>
      <c r="BO146" t="e">
        <f>AND('STERLING CATALOG - DRY '!G3211,"AAAAAE/XW0I=")</f>
        <v>#VALUE!</v>
      </c>
      <c r="BP146" t="e">
        <f>AND('STERLING CATALOG - DRY '!H3211,"AAAAAE/XW0M=")</f>
        <v>#VALUE!</v>
      </c>
      <c r="BQ146" t="e">
        <f>AND('STERLING CATALOG - DRY '!I3211,"AAAAAE/XW0Q=")</f>
        <v>#VALUE!</v>
      </c>
      <c r="BR146" t="e">
        <f>AND('STERLING CATALOG - DRY '!J3211,"AAAAAE/XW0U=")</f>
        <v>#VALUE!</v>
      </c>
      <c r="BS146">
        <f>IF('STERLING CATALOG - DRY '!3212:3212,"AAAAAE/XW0Y=",0)</f>
        <v>0</v>
      </c>
      <c r="BT146" t="e">
        <f>AND('STERLING CATALOG - DRY '!A3212,"AAAAAE/XW0c=")</f>
        <v>#VALUE!</v>
      </c>
      <c r="BU146" t="e">
        <f>AND('STERLING CATALOG - DRY '!B3212,"AAAAAE/XW0g=")</f>
        <v>#VALUE!</v>
      </c>
      <c r="BV146" t="e">
        <f>AND('STERLING CATALOG - DRY '!C3212,"AAAAAE/XW0k=")</f>
        <v>#VALUE!</v>
      </c>
      <c r="BW146" t="e">
        <f>AND('STERLING CATALOG - DRY '!D3212,"AAAAAE/XW0o=")</f>
        <v>#VALUE!</v>
      </c>
      <c r="BX146" t="e">
        <f>AND('STERLING CATALOG - DRY '!E3212,"AAAAAE/XW0s=")</f>
        <v>#VALUE!</v>
      </c>
      <c r="BY146" t="e">
        <f>AND('STERLING CATALOG - DRY '!F3212,"AAAAAE/XW0w=")</f>
        <v>#VALUE!</v>
      </c>
      <c r="BZ146" t="e">
        <f>AND('STERLING CATALOG - DRY '!G3212,"AAAAAE/XW00=")</f>
        <v>#VALUE!</v>
      </c>
      <c r="CA146" t="e">
        <f>AND('STERLING CATALOG - DRY '!H3212,"AAAAAE/XW04=")</f>
        <v>#VALUE!</v>
      </c>
      <c r="CB146" t="e">
        <f>AND('STERLING CATALOG - DRY '!I3212,"AAAAAE/XW08=")</f>
        <v>#VALUE!</v>
      </c>
      <c r="CC146" t="e">
        <f>AND('STERLING CATALOG - DRY '!J3212,"AAAAAE/XW1A=")</f>
        <v>#VALUE!</v>
      </c>
      <c r="CD146">
        <f>IF('STERLING CATALOG - DRY '!3213:3213,"AAAAAE/XW1E=",0)</f>
        <v>0</v>
      </c>
      <c r="CE146" t="e">
        <f>AND('STERLING CATALOG - DRY '!A3213,"AAAAAE/XW1I=")</f>
        <v>#VALUE!</v>
      </c>
      <c r="CF146" t="e">
        <f>AND('STERLING CATALOG - DRY '!B3213,"AAAAAE/XW1M=")</f>
        <v>#VALUE!</v>
      </c>
      <c r="CG146" t="e">
        <f>AND('STERLING CATALOG - DRY '!C3213,"AAAAAE/XW1Q=")</f>
        <v>#VALUE!</v>
      </c>
      <c r="CH146" t="e">
        <f>AND('STERLING CATALOG - DRY '!D3213,"AAAAAE/XW1U=")</f>
        <v>#VALUE!</v>
      </c>
      <c r="CI146" t="e">
        <f>AND('STERLING CATALOG - DRY '!E3213,"AAAAAE/XW1Y=")</f>
        <v>#VALUE!</v>
      </c>
      <c r="CJ146" t="e">
        <f>AND('STERLING CATALOG - DRY '!F3213,"AAAAAE/XW1c=")</f>
        <v>#VALUE!</v>
      </c>
      <c r="CK146" t="e">
        <f>AND('STERLING CATALOG - DRY '!G3213,"AAAAAE/XW1g=")</f>
        <v>#VALUE!</v>
      </c>
      <c r="CL146" t="e">
        <f>AND('STERLING CATALOG - DRY '!H3213,"AAAAAE/XW1k=")</f>
        <v>#VALUE!</v>
      </c>
      <c r="CM146" t="e">
        <f>AND('STERLING CATALOG - DRY '!I3213,"AAAAAE/XW1o=")</f>
        <v>#VALUE!</v>
      </c>
      <c r="CN146" t="e">
        <f>AND('STERLING CATALOG - DRY '!J3213,"AAAAAE/XW1s=")</f>
        <v>#VALUE!</v>
      </c>
      <c r="CO146">
        <f>IF('STERLING CATALOG - DRY '!3214:3214,"AAAAAE/XW1w=",0)</f>
        <v>0</v>
      </c>
      <c r="CP146" t="e">
        <f>AND('STERLING CATALOG - DRY '!A3214,"AAAAAE/XW10=")</f>
        <v>#VALUE!</v>
      </c>
      <c r="CQ146" t="e">
        <f>AND('STERLING CATALOG - DRY '!B3214,"AAAAAE/XW14=")</f>
        <v>#VALUE!</v>
      </c>
      <c r="CR146" t="e">
        <f>AND('STERLING CATALOG - DRY '!C3214,"AAAAAE/XW18=")</f>
        <v>#VALUE!</v>
      </c>
      <c r="CS146" t="e">
        <f>AND('STERLING CATALOG - DRY '!D3214,"AAAAAE/XW2A=")</f>
        <v>#VALUE!</v>
      </c>
      <c r="CT146" t="e">
        <f>AND('STERLING CATALOG - DRY '!E3214,"AAAAAE/XW2E=")</f>
        <v>#VALUE!</v>
      </c>
      <c r="CU146" t="e">
        <f>AND('STERLING CATALOG - DRY '!F3214,"AAAAAE/XW2I=")</f>
        <v>#VALUE!</v>
      </c>
      <c r="CV146" t="e">
        <f>AND('STERLING CATALOG - DRY '!G3214,"AAAAAE/XW2M=")</f>
        <v>#VALUE!</v>
      </c>
      <c r="CW146" t="e">
        <f>AND('STERLING CATALOG - DRY '!H3214,"AAAAAE/XW2Q=")</f>
        <v>#VALUE!</v>
      </c>
      <c r="CX146" t="e">
        <f>AND('STERLING CATALOG - DRY '!I3214,"AAAAAE/XW2U=")</f>
        <v>#VALUE!</v>
      </c>
      <c r="CY146" t="e">
        <f>AND('STERLING CATALOG - DRY '!J3214,"AAAAAE/XW2Y=")</f>
        <v>#VALUE!</v>
      </c>
      <c r="CZ146">
        <f>IF('STERLING CATALOG - DRY '!3215:3215,"AAAAAE/XW2c=",0)</f>
        <v>0</v>
      </c>
      <c r="DA146" t="e">
        <f>AND('STERLING CATALOG - DRY '!A3215,"AAAAAE/XW2g=")</f>
        <v>#VALUE!</v>
      </c>
      <c r="DB146" t="e">
        <f>AND('STERLING CATALOG - DRY '!B3215,"AAAAAE/XW2k=")</f>
        <v>#VALUE!</v>
      </c>
      <c r="DC146" t="e">
        <f>AND('STERLING CATALOG - DRY '!C3215,"AAAAAE/XW2o=")</f>
        <v>#VALUE!</v>
      </c>
      <c r="DD146" t="e">
        <f>AND('STERLING CATALOG - DRY '!D3215,"AAAAAE/XW2s=")</f>
        <v>#VALUE!</v>
      </c>
      <c r="DE146" t="e">
        <f>AND('STERLING CATALOG - DRY '!E3215,"AAAAAE/XW2w=")</f>
        <v>#VALUE!</v>
      </c>
      <c r="DF146" t="e">
        <f>AND('STERLING CATALOG - DRY '!F3215,"AAAAAE/XW20=")</f>
        <v>#VALUE!</v>
      </c>
      <c r="DG146" t="e">
        <f>AND('STERLING CATALOG - DRY '!G3215,"AAAAAE/XW24=")</f>
        <v>#VALUE!</v>
      </c>
      <c r="DH146" t="e">
        <f>AND('STERLING CATALOG - DRY '!H3215,"AAAAAE/XW28=")</f>
        <v>#VALUE!</v>
      </c>
      <c r="DI146" t="e">
        <f>AND('STERLING CATALOG - DRY '!I3215,"AAAAAE/XW3A=")</f>
        <v>#VALUE!</v>
      </c>
      <c r="DJ146" t="e">
        <f>AND('STERLING CATALOG - DRY '!J3215,"AAAAAE/XW3E=")</f>
        <v>#VALUE!</v>
      </c>
      <c r="DK146">
        <f>IF('STERLING CATALOG - DRY '!3216:3216,"AAAAAE/XW3I=",0)</f>
        <v>0</v>
      </c>
      <c r="DL146" t="e">
        <f>AND('STERLING CATALOG - DRY '!A3216,"AAAAAE/XW3M=")</f>
        <v>#VALUE!</v>
      </c>
      <c r="DM146" t="e">
        <f>AND('STERLING CATALOG - DRY '!B3216,"AAAAAE/XW3Q=")</f>
        <v>#VALUE!</v>
      </c>
      <c r="DN146" t="e">
        <f>AND('STERLING CATALOG - DRY '!C3216,"AAAAAE/XW3U=")</f>
        <v>#VALUE!</v>
      </c>
      <c r="DO146" t="e">
        <f>AND('STERLING CATALOG - DRY '!D3216,"AAAAAE/XW3Y=")</f>
        <v>#VALUE!</v>
      </c>
      <c r="DP146" t="e">
        <f>AND('STERLING CATALOG - DRY '!E3216,"AAAAAE/XW3c=")</f>
        <v>#VALUE!</v>
      </c>
      <c r="DQ146" t="e">
        <f>AND('STERLING CATALOG - DRY '!F3216,"AAAAAE/XW3g=")</f>
        <v>#VALUE!</v>
      </c>
      <c r="DR146" t="e">
        <f>AND('STERLING CATALOG - DRY '!G3216,"AAAAAE/XW3k=")</f>
        <v>#VALUE!</v>
      </c>
      <c r="DS146" t="e">
        <f>AND('STERLING CATALOG - DRY '!H3216,"AAAAAE/XW3o=")</f>
        <v>#VALUE!</v>
      </c>
      <c r="DT146" t="e">
        <f>AND('STERLING CATALOG - DRY '!I3216,"AAAAAE/XW3s=")</f>
        <v>#VALUE!</v>
      </c>
      <c r="DU146" t="e">
        <f>AND('STERLING CATALOG - DRY '!J3216,"AAAAAE/XW3w=")</f>
        <v>#VALUE!</v>
      </c>
      <c r="DV146">
        <f>IF('STERLING CATALOG - DRY '!3217:3217,"AAAAAE/XW30=",0)</f>
        <v>0</v>
      </c>
      <c r="DW146" t="e">
        <f>AND('STERLING CATALOG - DRY '!A3217,"AAAAAE/XW34=")</f>
        <v>#VALUE!</v>
      </c>
      <c r="DX146" t="e">
        <f>AND('STERLING CATALOG - DRY '!B3217,"AAAAAE/XW38=")</f>
        <v>#VALUE!</v>
      </c>
      <c r="DY146" t="e">
        <f>AND('STERLING CATALOG - DRY '!C3217,"AAAAAE/XW4A=")</f>
        <v>#VALUE!</v>
      </c>
      <c r="DZ146" t="e">
        <f>AND('STERLING CATALOG - DRY '!D3217,"AAAAAE/XW4E=")</f>
        <v>#VALUE!</v>
      </c>
      <c r="EA146" t="e">
        <f>AND('STERLING CATALOG - DRY '!E3217,"AAAAAE/XW4I=")</f>
        <v>#VALUE!</v>
      </c>
      <c r="EB146" t="e">
        <f>AND('STERLING CATALOG - DRY '!F3217,"AAAAAE/XW4M=")</f>
        <v>#VALUE!</v>
      </c>
      <c r="EC146" t="e">
        <f>AND('STERLING CATALOG - DRY '!G3217,"AAAAAE/XW4Q=")</f>
        <v>#VALUE!</v>
      </c>
      <c r="ED146" t="e">
        <f>AND('STERLING CATALOG - DRY '!H3217,"AAAAAE/XW4U=")</f>
        <v>#VALUE!</v>
      </c>
      <c r="EE146" t="e">
        <f>AND('STERLING CATALOG - DRY '!I3217,"AAAAAE/XW4Y=")</f>
        <v>#VALUE!</v>
      </c>
      <c r="EF146" t="e">
        <f>AND('STERLING CATALOG - DRY '!J3217,"AAAAAE/XW4c=")</f>
        <v>#VALUE!</v>
      </c>
      <c r="EG146">
        <f>IF('STERLING CATALOG - DRY '!3218:3218,"AAAAAE/XW4g=",0)</f>
        <v>0</v>
      </c>
      <c r="EH146" t="e">
        <f>AND('STERLING CATALOG - DRY '!A3218,"AAAAAE/XW4k=")</f>
        <v>#VALUE!</v>
      </c>
      <c r="EI146" t="e">
        <f>AND('STERLING CATALOG - DRY '!B3218,"AAAAAE/XW4o=")</f>
        <v>#VALUE!</v>
      </c>
      <c r="EJ146" t="e">
        <f>AND('STERLING CATALOG - DRY '!C3218,"AAAAAE/XW4s=")</f>
        <v>#VALUE!</v>
      </c>
      <c r="EK146" t="e">
        <f>AND('STERLING CATALOG - DRY '!D3218,"AAAAAE/XW4w=")</f>
        <v>#VALUE!</v>
      </c>
      <c r="EL146" t="e">
        <f>AND('STERLING CATALOG - DRY '!E3218,"AAAAAE/XW40=")</f>
        <v>#VALUE!</v>
      </c>
      <c r="EM146" t="e">
        <f>AND('STERLING CATALOG - DRY '!F3218,"AAAAAE/XW44=")</f>
        <v>#VALUE!</v>
      </c>
      <c r="EN146" t="e">
        <f>AND('STERLING CATALOG - DRY '!G3218,"AAAAAE/XW48=")</f>
        <v>#VALUE!</v>
      </c>
      <c r="EO146" t="e">
        <f>AND('STERLING CATALOG - DRY '!H3218,"AAAAAE/XW5A=")</f>
        <v>#VALUE!</v>
      </c>
      <c r="EP146" t="e">
        <f>AND('STERLING CATALOG - DRY '!I3218,"AAAAAE/XW5E=")</f>
        <v>#VALUE!</v>
      </c>
      <c r="EQ146" t="e">
        <f>AND('STERLING CATALOG - DRY '!J3218,"AAAAAE/XW5I=")</f>
        <v>#VALUE!</v>
      </c>
      <c r="ER146">
        <f>IF('STERLING CATALOG - DRY '!3219:3219,"AAAAAE/XW5M=",0)</f>
        <v>0</v>
      </c>
      <c r="ES146" t="e">
        <f>AND('STERLING CATALOG - DRY '!A3219,"AAAAAE/XW5Q=")</f>
        <v>#VALUE!</v>
      </c>
      <c r="ET146" t="e">
        <f>AND('STERLING CATALOG - DRY '!B3219,"AAAAAE/XW5U=")</f>
        <v>#VALUE!</v>
      </c>
      <c r="EU146" t="e">
        <f>AND('STERLING CATALOG - DRY '!C3219,"AAAAAE/XW5Y=")</f>
        <v>#VALUE!</v>
      </c>
      <c r="EV146" t="e">
        <f>AND('STERLING CATALOG - DRY '!D3219,"AAAAAE/XW5c=")</f>
        <v>#VALUE!</v>
      </c>
      <c r="EW146" t="e">
        <f>AND('STERLING CATALOG - DRY '!E3219,"AAAAAE/XW5g=")</f>
        <v>#VALUE!</v>
      </c>
      <c r="EX146" t="e">
        <f>AND('STERLING CATALOG - DRY '!F3219,"AAAAAE/XW5k=")</f>
        <v>#VALUE!</v>
      </c>
      <c r="EY146" t="e">
        <f>AND('STERLING CATALOG - DRY '!G3219,"AAAAAE/XW5o=")</f>
        <v>#VALUE!</v>
      </c>
      <c r="EZ146" t="e">
        <f>AND('STERLING CATALOG - DRY '!H3219,"AAAAAE/XW5s=")</f>
        <v>#VALUE!</v>
      </c>
      <c r="FA146" t="e">
        <f>AND('STERLING CATALOG - DRY '!I3219,"AAAAAE/XW5w=")</f>
        <v>#VALUE!</v>
      </c>
      <c r="FB146" t="e">
        <f>AND('STERLING CATALOG - DRY '!J3219,"AAAAAE/XW50=")</f>
        <v>#VALUE!</v>
      </c>
      <c r="FC146">
        <f>IF('STERLING CATALOG - DRY '!3220:3220,"AAAAAE/XW54=",0)</f>
        <v>0</v>
      </c>
      <c r="FD146" t="e">
        <f>AND('STERLING CATALOG - DRY '!A3220,"AAAAAE/XW58=")</f>
        <v>#VALUE!</v>
      </c>
      <c r="FE146" t="e">
        <f>AND('STERLING CATALOG - DRY '!B3220,"AAAAAE/XW6A=")</f>
        <v>#VALUE!</v>
      </c>
      <c r="FF146" t="e">
        <f>AND('STERLING CATALOG - DRY '!C3220,"AAAAAE/XW6E=")</f>
        <v>#VALUE!</v>
      </c>
      <c r="FG146" t="e">
        <f>AND('STERLING CATALOG - DRY '!D3220,"AAAAAE/XW6I=")</f>
        <v>#VALUE!</v>
      </c>
      <c r="FH146" t="e">
        <f>AND('STERLING CATALOG - DRY '!E3220,"AAAAAE/XW6M=")</f>
        <v>#VALUE!</v>
      </c>
      <c r="FI146" t="e">
        <f>AND('STERLING CATALOG - DRY '!F3220,"AAAAAE/XW6Q=")</f>
        <v>#VALUE!</v>
      </c>
      <c r="FJ146" t="e">
        <f>AND('STERLING CATALOG - DRY '!G3220,"AAAAAE/XW6U=")</f>
        <v>#VALUE!</v>
      </c>
      <c r="FK146" t="e">
        <f>AND('STERLING CATALOG - DRY '!H3220,"AAAAAE/XW6Y=")</f>
        <v>#VALUE!</v>
      </c>
      <c r="FL146" t="e">
        <f>AND('STERLING CATALOG - DRY '!I3220,"AAAAAE/XW6c=")</f>
        <v>#VALUE!</v>
      </c>
      <c r="FM146" t="e">
        <f>AND('STERLING CATALOG - DRY '!J3220,"AAAAAE/XW6g=")</f>
        <v>#VALUE!</v>
      </c>
      <c r="FN146">
        <f>IF('STERLING CATALOG - DRY '!3221:3221,"AAAAAE/XW6k=",0)</f>
        <v>0</v>
      </c>
      <c r="FO146" t="e">
        <f>AND('STERLING CATALOG - DRY '!A3221,"AAAAAE/XW6o=")</f>
        <v>#VALUE!</v>
      </c>
      <c r="FP146" t="e">
        <f>AND('STERLING CATALOG - DRY '!B3221,"AAAAAE/XW6s=")</f>
        <v>#VALUE!</v>
      </c>
      <c r="FQ146" t="e">
        <f>AND('STERLING CATALOG - DRY '!C3221,"AAAAAE/XW6w=")</f>
        <v>#VALUE!</v>
      </c>
      <c r="FR146" t="e">
        <f>AND('STERLING CATALOG - DRY '!D3221,"AAAAAE/XW60=")</f>
        <v>#VALUE!</v>
      </c>
      <c r="FS146" t="e">
        <f>AND('STERLING CATALOG - DRY '!E3221,"AAAAAE/XW64=")</f>
        <v>#VALUE!</v>
      </c>
      <c r="FT146" t="e">
        <f>AND('STERLING CATALOG - DRY '!F3221,"AAAAAE/XW68=")</f>
        <v>#VALUE!</v>
      </c>
      <c r="FU146" t="e">
        <f>AND('STERLING CATALOG - DRY '!G3221,"AAAAAE/XW7A=")</f>
        <v>#VALUE!</v>
      </c>
      <c r="FV146" t="e">
        <f>AND('STERLING CATALOG - DRY '!H3221,"AAAAAE/XW7E=")</f>
        <v>#VALUE!</v>
      </c>
      <c r="FW146" t="e">
        <f>AND('STERLING CATALOG - DRY '!I3221,"AAAAAE/XW7I=")</f>
        <v>#VALUE!</v>
      </c>
      <c r="FX146" t="e">
        <f>AND('STERLING CATALOG - DRY '!J3221,"AAAAAE/XW7M=")</f>
        <v>#VALUE!</v>
      </c>
      <c r="FY146">
        <f>IF('STERLING CATALOG - DRY '!3222:3222,"AAAAAE/XW7Q=",0)</f>
        <v>0</v>
      </c>
      <c r="FZ146" t="e">
        <f>AND('STERLING CATALOG - DRY '!A3222,"AAAAAE/XW7U=")</f>
        <v>#VALUE!</v>
      </c>
      <c r="GA146" t="e">
        <f>AND('STERLING CATALOG - DRY '!B3222,"AAAAAE/XW7Y=")</f>
        <v>#VALUE!</v>
      </c>
      <c r="GB146" t="e">
        <f>AND('STERLING CATALOG - DRY '!C3222,"AAAAAE/XW7c=")</f>
        <v>#VALUE!</v>
      </c>
      <c r="GC146" t="e">
        <f>AND('STERLING CATALOG - DRY '!D3222,"AAAAAE/XW7g=")</f>
        <v>#VALUE!</v>
      </c>
      <c r="GD146" t="e">
        <f>AND('STERLING CATALOG - DRY '!E3222,"AAAAAE/XW7k=")</f>
        <v>#VALUE!</v>
      </c>
      <c r="GE146" t="e">
        <f>AND('STERLING CATALOG - DRY '!F3222,"AAAAAE/XW7o=")</f>
        <v>#VALUE!</v>
      </c>
      <c r="GF146" t="e">
        <f>AND('STERLING CATALOG - DRY '!G3222,"AAAAAE/XW7s=")</f>
        <v>#VALUE!</v>
      </c>
      <c r="GG146" t="e">
        <f>AND('STERLING CATALOG - DRY '!H3222,"AAAAAE/XW7w=")</f>
        <v>#VALUE!</v>
      </c>
      <c r="GH146" t="e">
        <f>AND('STERLING CATALOG - DRY '!I3222,"AAAAAE/XW70=")</f>
        <v>#VALUE!</v>
      </c>
      <c r="GI146" t="e">
        <f>AND('STERLING CATALOG - DRY '!J3222,"AAAAAE/XW74=")</f>
        <v>#VALUE!</v>
      </c>
      <c r="GJ146">
        <f>IF('STERLING CATALOG - DRY '!3223:3223,"AAAAAE/XW78=",0)</f>
        <v>0</v>
      </c>
      <c r="GK146" t="e">
        <f>AND('STERLING CATALOG - DRY '!A3223,"AAAAAE/XW8A=")</f>
        <v>#VALUE!</v>
      </c>
      <c r="GL146" t="e">
        <f>AND('STERLING CATALOG - DRY '!B3223,"AAAAAE/XW8E=")</f>
        <v>#VALUE!</v>
      </c>
      <c r="GM146" t="e">
        <f>AND('STERLING CATALOG - DRY '!C3223,"AAAAAE/XW8I=")</f>
        <v>#VALUE!</v>
      </c>
      <c r="GN146" t="e">
        <f>AND('STERLING CATALOG - DRY '!D3223,"AAAAAE/XW8M=")</f>
        <v>#VALUE!</v>
      </c>
      <c r="GO146" t="e">
        <f>AND('STERLING CATALOG - DRY '!E3223,"AAAAAE/XW8Q=")</f>
        <v>#VALUE!</v>
      </c>
      <c r="GP146" t="e">
        <f>AND('STERLING CATALOG - DRY '!F3223,"AAAAAE/XW8U=")</f>
        <v>#VALUE!</v>
      </c>
      <c r="GQ146" t="e">
        <f>AND('STERLING CATALOG - DRY '!G3223,"AAAAAE/XW8Y=")</f>
        <v>#VALUE!</v>
      </c>
      <c r="GR146" t="e">
        <f>AND('STERLING CATALOG - DRY '!H3223,"AAAAAE/XW8c=")</f>
        <v>#VALUE!</v>
      </c>
      <c r="GS146" t="e">
        <f>AND('STERLING CATALOG - DRY '!I3223,"AAAAAE/XW8g=")</f>
        <v>#VALUE!</v>
      </c>
      <c r="GT146" t="e">
        <f>AND('STERLING CATALOG - DRY '!J3223,"AAAAAE/XW8k=")</f>
        <v>#VALUE!</v>
      </c>
      <c r="GU146">
        <f>IF('STERLING CATALOG - DRY '!3224:3224,"AAAAAE/XW8o=",0)</f>
        <v>0</v>
      </c>
      <c r="GV146" t="e">
        <f>AND('STERLING CATALOG - DRY '!A3224,"AAAAAE/XW8s=")</f>
        <v>#VALUE!</v>
      </c>
      <c r="GW146" t="e">
        <f>AND('STERLING CATALOG - DRY '!B3224,"AAAAAE/XW8w=")</f>
        <v>#VALUE!</v>
      </c>
      <c r="GX146" t="e">
        <f>AND('STERLING CATALOG - DRY '!C3224,"AAAAAE/XW80=")</f>
        <v>#VALUE!</v>
      </c>
      <c r="GY146" t="e">
        <f>AND('STERLING CATALOG - DRY '!D3224,"AAAAAE/XW84=")</f>
        <v>#VALUE!</v>
      </c>
      <c r="GZ146" t="e">
        <f>AND('STERLING CATALOG - DRY '!E3224,"AAAAAE/XW88=")</f>
        <v>#VALUE!</v>
      </c>
      <c r="HA146" t="e">
        <f>AND('STERLING CATALOG - DRY '!F3224,"AAAAAE/XW9A=")</f>
        <v>#VALUE!</v>
      </c>
      <c r="HB146" t="e">
        <f>AND('STERLING CATALOG - DRY '!G3224,"AAAAAE/XW9E=")</f>
        <v>#VALUE!</v>
      </c>
      <c r="HC146" t="e">
        <f>AND('STERLING CATALOG - DRY '!H3224,"AAAAAE/XW9I=")</f>
        <v>#VALUE!</v>
      </c>
      <c r="HD146" t="e">
        <f>AND('STERLING CATALOG - DRY '!I3224,"AAAAAE/XW9M=")</f>
        <v>#VALUE!</v>
      </c>
      <c r="HE146" t="e">
        <f>AND('STERLING CATALOG - DRY '!J3224,"AAAAAE/XW9Q=")</f>
        <v>#VALUE!</v>
      </c>
      <c r="HF146">
        <f>IF('STERLING CATALOG - DRY '!3225:3225,"AAAAAE/XW9U=",0)</f>
        <v>0</v>
      </c>
      <c r="HG146" t="e">
        <f>AND('STERLING CATALOG - DRY '!A3225,"AAAAAE/XW9Y=")</f>
        <v>#VALUE!</v>
      </c>
      <c r="HH146" t="e">
        <f>AND('STERLING CATALOG - DRY '!B3225,"AAAAAE/XW9c=")</f>
        <v>#VALUE!</v>
      </c>
      <c r="HI146" t="e">
        <f>AND('STERLING CATALOG - DRY '!C3225,"AAAAAE/XW9g=")</f>
        <v>#VALUE!</v>
      </c>
      <c r="HJ146" t="e">
        <f>AND('STERLING CATALOG - DRY '!D3225,"AAAAAE/XW9k=")</f>
        <v>#VALUE!</v>
      </c>
      <c r="HK146" t="e">
        <f>AND('STERLING CATALOG - DRY '!E3225,"AAAAAE/XW9o=")</f>
        <v>#VALUE!</v>
      </c>
      <c r="HL146" t="e">
        <f>AND('STERLING CATALOG - DRY '!F3225,"AAAAAE/XW9s=")</f>
        <v>#VALUE!</v>
      </c>
      <c r="HM146" t="e">
        <f>AND('STERLING CATALOG - DRY '!G3225,"AAAAAE/XW9w=")</f>
        <v>#VALUE!</v>
      </c>
      <c r="HN146" t="e">
        <f>AND('STERLING CATALOG - DRY '!H3225,"AAAAAE/XW90=")</f>
        <v>#VALUE!</v>
      </c>
      <c r="HO146" t="e">
        <f>AND('STERLING CATALOG - DRY '!I3225,"AAAAAE/XW94=")</f>
        <v>#VALUE!</v>
      </c>
      <c r="HP146" t="e">
        <f>AND('STERLING CATALOG - DRY '!J3225,"AAAAAE/XW98=")</f>
        <v>#VALUE!</v>
      </c>
      <c r="HQ146">
        <f>IF('STERLING CATALOG - DRY '!3226:3226,"AAAAAE/XW+A=",0)</f>
        <v>0</v>
      </c>
      <c r="HR146" t="e">
        <f>AND('STERLING CATALOG - DRY '!A3226,"AAAAAE/XW+E=")</f>
        <v>#VALUE!</v>
      </c>
      <c r="HS146" t="e">
        <f>AND('STERLING CATALOG - DRY '!B3226,"AAAAAE/XW+I=")</f>
        <v>#VALUE!</v>
      </c>
      <c r="HT146" t="e">
        <f>AND('STERLING CATALOG - DRY '!C3226,"AAAAAE/XW+M=")</f>
        <v>#VALUE!</v>
      </c>
      <c r="HU146" t="e">
        <f>AND('STERLING CATALOG - DRY '!D3226,"AAAAAE/XW+Q=")</f>
        <v>#VALUE!</v>
      </c>
      <c r="HV146" t="e">
        <f>AND('STERLING CATALOG - DRY '!E3226,"AAAAAE/XW+U=")</f>
        <v>#VALUE!</v>
      </c>
      <c r="HW146" t="e">
        <f>AND('STERLING CATALOG - DRY '!F3226,"AAAAAE/XW+Y=")</f>
        <v>#VALUE!</v>
      </c>
      <c r="HX146" t="e">
        <f>AND('STERLING CATALOG - DRY '!G3226,"AAAAAE/XW+c=")</f>
        <v>#VALUE!</v>
      </c>
      <c r="HY146" t="e">
        <f>AND('STERLING CATALOG - DRY '!H3226,"AAAAAE/XW+g=")</f>
        <v>#VALUE!</v>
      </c>
      <c r="HZ146" t="e">
        <f>AND('STERLING CATALOG - DRY '!I3226,"AAAAAE/XW+k=")</f>
        <v>#VALUE!</v>
      </c>
      <c r="IA146" t="e">
        <f>AND('STERLING CATALOG - DRY '!J3226,"AAAAAE/XW+o=")</f>
        <v>#VALUE!</v>
      </c>
      <c r="IB146">
        <f>IF('STERLING CATALOG - DRY '!3227:3227,"AAAAAE/XW+s=",0)</f>
        <v>0</v>
      </c>
      <c r="IC146" t="e">
        <f>AND('STERLING CATALOG - DRY '!A3227,"AAAAAE/XW+w=")</f>
        <v>#VALUE!</v>
      </c>
      <c r="ID146" t="e">
        <f>AND('STERLING CATALOG - DRY '!B3227,"AAAAAE/XW+0=")</f>
        <v>#VALUE!</v>
      </c>
      <c r="IE146" t="e">
        <f>AND('STERLING CATALOG - DRY '!C3227,"AAAAAE/XW+4=")</f>
        <v>#VALUE!</v>
      </c>
      <c r="IF146" t="e">
        <f>AND('STERLING CATALOG - DRY '!D3227,"AAAAAE/XW+8=")</f>
        <v>#VALUE!</v>
      </c>
      <c r="IG146" t="e">
        <f>AND('STERLING CATALOG - DRY '!E3227,"AAAAAE/XW/A=")</f>
        <v>#VALUE!</v>
      </c>
      <c r="IH146" t="e">
        <f>AND('STERLING CATALOG - DRY '!F3227,"AAAAAE/XW/E=")</f>
        <v>#VALUE!</v>
      </c>
      <c r="II146" t="e">
        <f>AND('STERLING CATALOG - DRY '!G3227,"AAAAAE/XW/I=")</f>
        <v>#VALUE!</v>
      </c>
      <c r="IJ146" t="e">
        <f>AND('STERLING CATALOG - DRY '!H3227,"AAAAAE/XW/M=")</f>
        <v>#VALUE!</v>
      </c>
      <c r="IK146" t="e">
        <f>AND('STERLING CATALOG - DRY '!I3227,"AAAAAE/XW/Q=")</f>
        <v>#VALUE!</v>
      </c>
      <c r="IL146" t="e">
        <f>AND('STERLING CATALOG - DRY '!J3227,"AAAAAE/XW/U=")</f>
        <v>#VALUE!</v>
      </c>
      <c r="IM146">
        <f>IF('STERLING CATALOG - DRY '!3228:3228,"AAAAAE/XW/Y=",0)</f>
        <v>0</v>
      </c>
      <c r="IN146" t="e">
        <f>AND('STERLING CATALOG - DRY '!A3228,"AAAAAE/XW/c=")</f>
        <v>#VALUE!</v>
      </c>
      <c r="IO146" t="e">
        <f>AND('STERLING CATALOG - DRY '!B3228,"AAAAAE/XW/g=")</f>
        <v>#VALUE!</v>
      </c>
      <c r="IP146" t="e">
        <f>AND('STERLING CATALOG - DRY '!C3228,"AAAAAE/XW/k=")</f>
        <v>#VALUE!</v>
      </c>
      <c r="IQ146" t="e">
        <f>AND('STERLING CATALOG - DRY '!D3228,"AAAAAE/XW/o=")</f>
        <v>#VALUE!</v>
      </c>
      <c r="IR146" t="e">
        <f>AND('STERLING CATALOG - DRY '!E3228,"AAAAAE/XW/s=")</f>
        <v>#VALUE!</v>
      </c>
      <c r="IS146" t="e">
        <f>AND('STERLING CATALOG - DRY '!F3228,"AAAAAE/XW/w=")</f>
        <v>#VALUE!</v>
      </c>
      <c r="IT146" t="e">
        <f>AND('STERLING CATALOG - DRY '!G3228,"AAAAAE/XW/0=")</f>
        <v>#VALUE!</v>
      </c>
      <c r="IU146" t="e">
        <f>AND('STERLING CATALOG - DRY '!H3228,"AAAAAE/XW/4=")</f>
        <v>#VALUE!</v>
      </c>
      <c r="IV146" t="e">
        <f>AND('STERLING CATALOG - DRY '!I3228,"AAAAAE/XW/8=")</f>
        <v>#VALUE!</v>
      </c>
    </row>
    <row r="147" spans="1:256">
      <c r="A147" t="e">
        <f>AND('STERLING CATALOG - DRY '!J3228,"AAAAAG3/uAA=")</f>
        <v>#VALUE!</v>
      </c>
      <c r="B147" t="str">
        <f>IF('STERLING CATALOG - DRY '!3229:3229,"AAAAAG3/uAE=",0)</f>
        <v>AAAAAG3/uAE=</v>
      </c>
      <c r="C147" t="e">
        <f>AND('STERLING CATALOG - DRY '!A3229,"AAAAAG3/uAI=")</f>
        <v>#VALUE!</v>
      </c>
      <c r="D147" t="e">
        <f>AND('STERLING CATALOG - DRY '!B3229,"AAAAAG3/uAM=")</f>
        <v>#VALUE!</v>
      </c>
      <c r="E147" t="e">
        <f>AND('STERLING CATALOG - DRY '!C3229,"AAAAAG3/uAQ=")</f>
        <v>#VALUE!</v>
      </c>
      <c r="F147" t="e">
        <f>AND('STERLING CATALOG - DRY '!D3229,"AAAAAG3/uAU=")</f>
        <v>#VALUE!</v>
      </c>
      <c r="G147" t="e">
        <f>AND('STERLING CATALOG - DRY '!E3229,"AAAAAG3/uAY=")</f>
        <v>#VALUE!</v>
      </c>
      <c r="H147" t="e">
        <f>AND('STERLING CATALOG - DRY '!F3229,"AAAAAG3/uAc=")</f>
        <v>#VALUE!</v>
      </c>
      <c r="I147" t="e">
        <f>AND('STERLING CATALOG - DRY '!G3229,"AAAAAG3/uAg=")</f>
        <v>#VALUE!</v>
      </c>
      <c r="J147" t="e">
        <f>AND('STERLING CATALOG - DRY '!H3229,"AAAAAG3/uAk=")</f>
        <v>#VALUE!</v>
      </c>
      <c r="K147" t="e">
        <f>AND('STERLING CATALOG - DRY '!I3229,"AAAAAG3/uAo=")</f>
        <v>#VALUE!</v>
      </c>
      <c r="L147" t="e">
        <f>AND('STERLING CATALOG - DRY '!J3229,"AAAAAG3/uAs=")</f>
        <v>#VALUE!</v>
      </c>
      <c r="M147">
        <f>IF('STERLING CATALOG - DRY '!3230:3230,"AAAAAG3/uAw=",0)</f>
        <v>0</v>
      </c>
      <c r="N147" t="e">
        <f>AND('STERLING CATALOG - DRY '!A3230,"AAAAAG3/uA0=")</f>
        <v>#VALUE!</v>
      </c>
      <c r="O147" t="e">
        <f>AND('STERLING CATALOG - DRY '!B3230,"AAAAAG3/uA4=")</f>
        <v>#VALUE!</v>
      </c>
      <c r="P147" t="e">
        <f>AND('STERLING CATALOG - DRY '!C3230,"AAAAAG3/uA8=")</f>
        <v>#VALUE!</v>
      </c>
      <c r="Q147" t="e">
        <f>AND('STERLING CATALOG - DRY '!D3230,"AAAAAG3/uBA=")</f>
        <v>#VALUE!</v>
      </c>
      <c r="R147" t="e">
        <f>AND('STERLING CATALOG - DRY '!E3230,"AAAAAG3/uBE=")</f>
        <v>#VALUE!</v>
      </c>
      <c r="S147" t="e">
        <f>AND('STERLING CATALOG - DRY '!F3230,"AAAAAG3/uBI=")</f>
        <v>#VALUE!</v>
      </c>
      <c r="T147" t="e">
        <f>AND('STERLING CATALOG - DRY '!G3230,"AAAAAG3/uBM=")</f>
        <v>#VALUE!</v>
      </c>
      <c r="U147" t="e">
        <f>AND('STERLING CATALOG - DRY '!H3230,"AAAAAG3/uBQ=")</f>
        <v>#VALUE!</v>
      </c>
      <c r="V147" t="e">
        <f>AND('STERLING CATALOG - DRY '!I3230,"AAAAAG3/uBU=")</f>
        <v>#VALUE!</v>
      </c>
      <c r="W147" t="e">
        <f>AND('STERLING CATALOG - DRY '!J3230,"AAAAAG3/uBY=")</f>
        <v>#VALUE!</v>
      </c>
      <c r="X147">
        <f>IF('STERLING CATALOG - DRY '!3231:3231,"AAAAAG3/uBc=",0)</f>
        <v>0</v>
      </c>
      <c r="Y147" t="e">
        <f>AND('STERLING CATALOG - DRY '!A3231,"AAAAAG3/uBg=")</f>
        <v>#VALUE!</v>
      </c>
      <c r="Z147" t="e">
        <f>AND('STERLING CATALOG - DRY '!B3231,"AAAAAG3/uBk=")</f>
        <v>#VALUE!</v>
      </c>
      <c r="AA147" t="e">
        <f>AND('STERLING CATALOG - DRY '!C3231,"AAAAAG3/uBo=")</f>
        <v>#VALUE!</v>
      </c>
      <c r="AB147" t="e">
        <f>AND('STERLING CATALOG - DRY '!D3231,"AAAAAG3/uBs=")</f>
        <v>#VALUE!</v>
      </c>
      <c r="AC147" t="e">
        <f>AND('STERLING CATALOG - DRY '!E3231,"AAAAAG3/uBw=")</f>
        <v>#VALUE!</v>
      </c>
      <c r="AD147" t="e">
        <f>AND('STERLING CATALOG - DRY '!F3231,"AAAAAG3/uB0=")</f>
        <v>#VALUE!</v>
      </c>
      <c r="AE147" t="e">
        <f>AND('STERLING CATALOG - DRY '!G3231,"AAAAAG3/uB4=")</f>
        <v>#VALUE!</v>
      </c>
      <c r="AF147" t="e">
        <f>AND('STERLING CATALOG - DRY '!H3231,"AAAAAG3/uB8=")</f>
        <v>#VALUE!</v>
      </c>
      <c r="AG147" t="e">
        <f>AND('STERLING CATALOG - DRY '!I3231,"AAAAAG3/uCA=")</f>
        <v>#VALUE!</v>
      </c>
      <c r="AH147" t="e">
        <f>AND('STERLING CATALOG - DRY '!J3231,"AAAAAG3/uCE=")</f>
        <v>#VALUE!</v>
      </c>
      <c r="AI147">
        <f>IF('STERLING CATALOG - DRY '!3232:3232,"AAAAAG3/uCI=",0)</f>
        <v>0</v>
      </c>
      <c r="AJ147" t="e">
        <f>AND('STERLING CATALOG - DRY '!A3232,"AAAAAG3/uCM=")</f>
        <v>#VALUE!</v>
      </c>
      <c r="AK147" t="e">
        <f>AND('STERLING CATALOG - DRY '!B3232,"AAAAAG3/uCQ=")</f>
        <v>#VALUE!</v>
      </c>
      <c r="AL147" t="e">
        <f>AND('STERLING CATALOG - DRY '!C3232,"AAAAAG3/uCU=")</f>
        <v>#VALUE!</v>
      </c>
      <c r="AM147" t="e">
        <f>AND('STERLING CATALOG - DRY '!D3232,"AAAAAG3/uCY=")</f>
        <v>#VALUE!</v>
      </c>
      <c r="AN147" t="e">
        <f>AND('STERLING CATALOG - DRY '!E3232,"AAAAAG3/uCc=")</f>
        <v>#VALUE!</v>
      </c>
      <c r="AO147" t="e">
        <f>AND('STERLING CATALOG - DRY '!F3232,"AAAAAG3/uCg=")</f>
        <v>#VALUE!</v>
      </c>
      <c r="AP147" t="e">
        <f>AND('STERLING CATALOG - DRY '!G3232,"AAAAAG3/uCk=")</f>
        <v>#VALUE!</v>
      </c>
      <c r="AQ147" t="e">
        <f>AND('STERLING CATALOG - DRY '!H3232,"AAAAAG3/uCo=")</f>
        <v>#VALUE!</v>
      </c>
      <c r="AR147" t="e">
        <f>AND('STERLING CATALOG - DRY '!I3232,"AAAAAG3/uCs=")</f>
        <v>#VALUE!</v>
      </c>
      <c r="AS147" t="e">
        <f>AND('STERLING CATALOG - DRY '!J3232,"AAAAAG3/uCw=")</f>
        <v>#VALUE!</v>
      </c>
      <c r="AT147">
        <f>IF('STERLING CATALOG - DRY '!3233:3233,"AAAAAG3/uC0=",0)</f>
        <v>0</v>
      </c>
      <c r="AU147" t="e">
        <f>AND('STERLING CATALOG - DRY '!A3233,"AAAAAG3/uC4=")</f>
        <v>#VALUE!</v>
      </c>
      <c r="AV147" t="e">
        <f>AND('STERLING CATALOG - DRY '!B3233,"AAAAAG3/uC8=")</f>
        <v>#VALUE!</v>
      </c>
      <c r="AW147" t="e">
        <f>AND('STERLING CATALOG - DRY '!C3233,"AAAAAG3/uDA=")</f>
        <v>#VALUE!</v>
      </c>
      <c r="AX147" t="e">
        <f>AND('STERLING CATALOG - DRY '!D3233,"AAAAAG3/uDE=")</f>
        <v>#VALUE!</v>
      </c>
      <c r="AY147" t="e">
        <f>AND('STERLING CATALOG - DRY '!E3233,"AAAAAG3/uDI=")</f>
        <v>#VALUE!</v>
      </c>
      <c r="AZ147" t="e">
        <f>AND('STERLING CATALOG - DRY '!F3233,"AAAAAG3/uDM=")</f>
        <v>#VALUE!</v>
      </c>
      <c r="BA147" t="e">
        <f>AND('STERLING CATALOG - DRY '!G3233,"AAAAAG3/uDQ=")</f>
        <v>#VALUE!</v>
      </c>
      <c r="BB147" t="e">
        <f>AND('STERLING CATALOG - DRY '!H3233,"AAAAAG3/uDU=")</f>
        <v>#VALUE!</v>
      </c>
      <c r="BC147" t="e">
        <f>AND('STERLING CATALOG - DRY '!I3233,"AAAAAG3/uDY=")</f>
        <v>#VALUE!</v>
      </c>
      <c r="BD147" t="e">
        <f>AND('STERLING CATALOG - DRY '!J3233,"AAAAAG3/uDc=")</f>
        <v>#VALUE!</v>
      </c>
      <c r="BE147">
        <f>IF('STERLING CATALOG - DRY '!3234:3234,"AAAAAG3/uDg=",0)</f>
        <v>0</v>
      </c>
      <c r="BF147" t="e">
        <f>AND('STERLING CATALOG - DRY '!A3234,"AAAAAG3/uDk=")</f>
        <v>#VALUE!</v>
      </c>
      <c r="BG147" t="e">
        <f>AND('STERLING CATALOG - DRY '!B3234,"AAAAAG3/uDo=")</f>
        <v>#VALUE!</v>
      </c>
      <c r="BH147" t="e">
        <f>AND('STERLING CATALOG - DRY '!C3234,"AAAAAG3/uDs=")</f>
        <v>#VALUE!</v>
      </c>
      <c r="BI147" t="e">
        <f>AND('STERLING CATALOG - DRY '!D3234,"AAAAAG3/uDw=")</f>
        <v>#VALUE!</v>
      </c>
      <c r="BJ147" t="e">
        <f>AND('STERLING CATALOG - DRY '!E3234,"AAAAAG3/uD0=")</f>
        <v>#VALUE!</v>
      </c>
      <c r="BK147" t="e">
        <f>AND('STERLING CATALOG - DRY '!F3234,"AAAAAG3/uD4=")</f>
        <v>#VALUE!</v>
      </c>
      <c r="BL147" t="e">
        <f>AND('STERLING CATALOG - DRY '!G3234,"AAAAAG3/uD8=")</f>
        <v>#VALUE!</v>
      </c>
      <c r="BM147" t="e">
        <f>AND('STERLING CATALOG - DRY '!H3234,"AAAAAG3/uEA=")</f>
        <v>#VALUE!</v>
      </c>
      <c r="BN147" t="e">
        <f>AND('STERLING CATALOG - DRY '!I3234,"AAAAAG3/uEE=")</f>
        <v>#VALUE!</v>
      </c>
      <c r="BO147" t="e">
        <f>AND('STERLING CATALOG - DRY '!J3234,"AAAAAG3/uEI=")</f>
        <v>#VALUE!</v>
      </c>
      <c r="BP147">
        <f>IF('STERLING CATALOG - DRY '!3235:3235,"AAAAAG3/uEM=",0)</f>
        <v>0</v>
      </c>
      <c r="BQ147" t="e">
        <f>AND('STERLING CATALOG - DRY '!A3235,"AAAAAG3/uEQ=")</f>
        <v>#VALUE!</v>
      </c>
      <c r="BR147" t="e">
        <f>AND('STERLING CATALOG - DRY '!B3235,"AAAAAG3/uEU=")</f>
        <v>#VALUE!</v>
      </c>
      <c r="BS147" t="e">
        <f>AND('STERLING CATALOG - DRY '!C3235,"AAAAAG3/uEY=")</f>
        <v>#VALUE!</v>
      </c>
      <c r="BT147" t="e">
        <f>AND('STERLING CATALOG - DRY '!D3235,"AAAAAG3/uEc=")</f>
        <v>#VALUE!</v>
      </c>
      <c r="BU147" t="e">
        <f>AND('STERLING CATALOG - DRY '!E3235,"AAAAAG3/uEg=")</f>
        <v>#VALUE!</v>
      </c>
      <c r="BV147" t="e">
        <f>AND('STERLING CATALOG - DRY '!F3235,"AAAAAG3/uEk=")</f>
        <v>#VALUE!</v>
      </c>
      <c r="BW147" t="e">
        <f>AND('STERLING CATALOG - DRY '!G3235,"AAAAAG3/uEo=")</f>
        <v>#VALUE!</v>
      </c>
      <c r="BX147" t="e">
        <f>AND('STERLING CATALOG - DRY '!H3235,"AAAAAG3/uEs=")</f>
        <v>#VALUE!</v>
      </c>
      <c r="BY147" t="e">
        <f>AND('STERLING CATALOG - DRY '!I3235,"AAAAAG3/uEw=")</f>
        <v>#VALUE!</v>
      </c>
      <c r="BZ147" t="e">
        <f>AND('STERLING CATALOG - DRY '!J3235,"AAAAAG3/uE0=")</f>
        <v>#VALUE!</v>
      </c>
      <c r="CA147">
        <f>IF('STERLING CATALOG - DRY '!3236:3236,"AAAAAG3/uE4=",0)</f>
        <v>0</v>
      </c>
      <c r="CB147" t="e">
        <f>AND('STERLING CATALOG - DRY '!A3236,"AAAAAG3/uE8=")</f>
        <v>#VALUE!</v>
      </c>
      <c r="CC147" t="e">
        <f>AND('STERLING CATALOG - DRY '!B3236,"AAAAAG3/uFA=")</f>
        <v>#VALUE!</v>
      </c>
      <c r="CD147" t="e">
        <f>AND('STERLING CATALOG - DRY '!C3236,"AAAAAG3/uFE=")</f>
        <v>#VALUE!</v>
      </c>
      <c r="CE147" t="e">
        <f>AND('STERLING CATALOG - DRY '!D3236,"AAAAAG3/uFI=")</f>
        <v>#VALUE!</v>
      </c>
      <c r="CF147" t="e">
        <f>AND('STERLING CATALOG - DRY '!E3236,"AAAAAG3/uFM=")</f>
        <v>#VALUE!</v>
      </c>
      <c r="CG147" t="e">
        <f>AND('STERLING CATALOG - DRY '!F3236,"AAAAAG3/uFQ=")</f>
        <v>#VALUE!</v>
      </c>
      <c r="CH147" t="e">
        <f>AND('STERLING CATALOG - DRY '!G3236,"AAAAAG3/uFU=")</f>
        <v>#VALUE!</v>
      </c>
      <c r="CI147" t="e">
        <f>AND('STERLING CATALOG - DRY '!H3236,"AAAAAG3/uFY=")</f>
        <v>#VALUE!</v>
      </c>
      <c r="CJ147" t="e">
        <f>AND('STERLING CATALOG - DRY '!I3236,"AAAAAG3/uFc=")</f>
        <v>#VALUE!</v>
      </c>
      <c r="CK147" t="e">
        <f>AND('STERLING CATALOG - DRY '!J3236,"AAAAAG3/uFg=")</f>
        <v>#VALUE!</v>
      </c>
      <c r="CL147">
        <f>IF('STERLING CATALOG - DRY '!3237:3237,"AAAAAG3/uFk=",0)</f>
        <v>0</v>
      </c>
      <c r="CM147" t="e">
        <f>AND('STERLING CATALOG - DRY '!A3237,"AAAAAG3/uFo=")</f>
        <v>#VALUE!</v>
      </c>
      <c r="CN147" t="e">
        <f>AND('STERLING CATALOG - DRY '!B3237,"AAAAAG3/uFs=")</f>
        <v>#VALUE!</v>
      </c>
      <c r="CO147" t="e">
        <f>AND('STERLING CATALOG - DRY '!C3237,"AAAAAG3/uFw=")</f>
        <v>#VALUE!</v>
      </c>
      <c r="CP147" t="e">
        <f>AND('STERLING CATALOG - DRY '!D3237,"AAAAAG3/uF0=")</f>
        <v>#VALUE!</v>
      </c>
      <c r="CQ147" t="e">
        <f>AND('STERLING CATALOG - DRY '!E3237,"AAAAAG3/uF4=")</f>
        <v>#VALUE!</v>
      </c>
      <c r="CR147" t="e">
        <f>AND('STERLING CATALOG - DRY '!F3237,"AAAAAG3/uF8=")</f>
        <v>#VALUE!</v>
      </c>
      <c r="CS147" t="e">
        <f>AND('STERLING CATALOG - DRY '!G3237,"AAAAAG3/uGA=")</f>
        <v>#VALUE!</v>
      </c>
      <c r="CT147" t="e">
        <f>AND('STERLING CATALOG - DRY '!H3237,"AAAAAG3/uGE=")</f>
        <v>#VALUE!</v>
      </c>
      <c r="CU147" t="e">
        <f>AND('STERLING CATALOG - DRY '!I3237,"AAAAAG3/uGI=")</f>
        <v>#VALUE!</v>
      </c>
      <c r="CV147" t="e">
        <f>AND('STERLING CATALOG - DRY '!J3237,"AAAAAG3/uGM=")</f>
        <v>#VALUE!</v>
      </c>
      <c r="CW147">
        <f>IF('STERLING CATALOG - DRY '!3238:3238,"AAAAAG3/uGQ=",0)</f>
        <v>0</v>
      </c>
      <c r="CX147" t="e">
        <f>AND('STERLING CATALOG - DRY '!A3238,"AAAAAG3/uGU=")</f>
        <v>#VALUE!</v>
      </c>
      <c r="CY147" t="e">
        <f>AND('STERLING CATALOG - DRY '!B3238,"AAAAAG3/uGY=")</f>
        <v>#VALUE!</v>
      </c>
      <c r="CZ147" t="e">
        <f>AND('STERLING CATALOG - DRY '!C3238,"AAAAAG3/uGc=")</f>
        <v>#VALUE!</v>
      </c>
      <c r="DA147" t="e">
        <f>AND('STERLING CATALOG - DRY '!D3238,"AAAAAG3/uGg=")</f>
        <v>#VALUE!</v>
      </c>
      <c r="DB147" t="e">
        <f>AND('STERLING CATALOG - DRY '!E3238,"AAAAAG3/uGk=")</f>
        <v>#VALUE!</v>
      </c>
      <c r="DC147" t="e">
        <f>AND('STERLING CATALOG - DRY '!F3238,"AAAAAG3/uGo=")</f>
        <v>#VALUE!</v>
      </c>
      <c r="DD147" t="e">
        <f>AND('STERLING CATALOG - DRY '!G3238,"AAAAAG3/uGs=")</f>
        <v>#VALUE!</v>
      </c>
      <c r="DE147" t="e">
        <f>AND('STERLING CATALOG - DRY '!H3238,"AAAAAG3/uGw=")</f>
        <v>#VALUE!</v>
      </c>
      <c r="DF147" t="e">
        <f>AND('STERLING CATALOG - DRY '!I3238,"AAAAAG3/uG0=")</f>
        <v>#VALUE!</v>
      </c>
      <c r="DG147" t="e">
        <f>AND('STERLING CATALOG - DRY '!J3238,"AAAAAG3/uG4=")</f>
        <v>#VALUE!</v>
      </c>
      <c r="DH147">
        <f>IF('STERLING CATALOG - DRY '!3239:3239,"AAAAAG3/uG8=",0)</f>
        <v>0</v>
      </c>
      <c r="DI147" t="e">
        <f>AND('STERLING CATALOG - DRY '!A3239,"AAAAAG3/uHA=")</f>
        <v>#VALUE!</v>
      </c>
      <c r="DJ147" t="e">
        <f>AND('STERLING CATALOG - DRY '!B3239,"AAAAAG3/uHE=")</f>
        <v>#VALUE!</v>
      </c>
      <c r="DK147" t="e">
        <f>AND('STERLING CATALOG - DRY '!C3239,"AAAAAG3/uHI=")</f>
        <v>#VALUE!</v>
      </c>
      <c r="DL147" t="e">
        <f>AND('STERLING CATALOG - DRY '!D3239,"AAAAAG3/uHM=")</f>
        <v>#VALUE!</v>
      </c>
      <c r="DM147" t="e">
        <f>AND('STERLING CATALOG - DRY '!E3239,"AAAAAG3/uHQ=")</f>
        <v>#VALUE!</v>
      </c>
      <c r="DN147" t="e">
        <f>AND('STERLING CATALOG - DRY '!F3239,"AAAAAG3/uHU=")</f>
        <v>#VALUE!</v>
      </c>
      <c r="DO147" t="e">
        <f>AND('STERLING CATALOG - DRY '!G3239,"AAAAAG3/uHY=")</f>
        <v>#VALUE!</v>
      </c>
      <c r="DP147" t="e">
        <f>AND('STERLING CATALOG - DRY '!H3239,"AAAAAG3/uHc=")</f>
        <v>#VALUE!</v>
      </c>
      <c r="DQ147" t="e">
        <f>AND('STERLING CATALOG - DRY '!I3239,"AAAAAG3/uHg=")</f>
        <v>#VALUE!</v>
      </c>
      <c r="DR147" t="e">
        <f>AND('STERLING CATALOG - DRY '!J3239,"AAAAAG3/uHk=")</f>
        <v>#VALUE!</v>
      </c>
      <c r="DS147">
        <f>IF('STERLING CATALOG - DRY '!3240:3240,"AAAAAG3/uHo=",0)</f>
        <v>0</v>
      </c>
      <c r="DT147" t="e">
        <f>AND('STERLING CATALOG - DRY '!A3240,"AAAAAG3/uHs=")</f>
        <v>#VALUE!</v>
      </c>
      <c r="DU147" t="e">
        <f>AND('STERLING CATALOG - DRY '!B3240,"AAAAAG3/uHw=")</f>
        <v>#VALUE!</v>
      </c>
      <c r="DV147" t="e">
        <f>AND('STERLING CATALOG - DRY '!C3240,"AAAAAG3/uH0=")</f>
        <v>#VALUE!</v>
      </c>
      <c r="DW147" t="e">
        <f>AND('STERLING CATALOG - DRY '!D3240,"AAAAAG3/uH4=")</f>
        <v>#VALUE!</v>
      </c>
      <c r="DX147" t="e">
        <f>AND('STERLING CATALOG - DRY '!E3240,"AAAAAG3/uH8=")</f>
        <v>#VALUE!</v>
      </c>
      <c r="DY147" t="e">
        <f>AND('STERLING CATALOG - DRY '!F3240,"AAAAAG3/uIA=")</f>
        <v>#VALUE!</v>
      </c>
      <c r="DZ147" t="e">
        <f>AND('STERLING CATALOG - DRY '!G3240,"AAAAAG3/uIE=")</f>
        <v>#VALUE!</v>
      </c>
      <c r="EA147" t="e">
        <f>AND('STERLING CATALOG - DRY '!H3240,"AAAAAG3/uII=")</f>
        <v>#VALUE!</v>
      </c>
      <c r="EB147" t="e">
        <f>AND('STERLING CATALOG - DRY '!I3240,"AAAAAG3/uIM=")</f>
        <v>#VALUE!</v>
      </c>
      <c r="EC147" t="e">
        <f>AND('STERLING CATALOG - DRY '!J3240,"AAAAAG3/uIQ=")</f>
        <v>#VALUE!</v>
      </c>
      <c r="ED147">
        <f>IF('STERLING CATALOG - DRY '!3241:3241,"AAAAAG3/uIU=",0)</f>
        <v>0</v>
      </c>
      <c r="EE147" t="e">
        <f>AND('STERLING CATALOG - DRY '!A3241,"AAAAAG3/uIY=")</f>
        <v>#VALUE!</v>
      </c>
      <c r="EF147" t="e">
        <f>AND('STERLING CATALOG - DRY '!B3241,"AAAAAG3/uIc=")</f>
        <v>#VALUE!</v>
      </c>
      <c r="EG147" t="e">
        <f>AND('STERLING CATALOG - DRY '!C3241,"AAAAAG3/uIg=")</f>
        <v>#VALUE!</v>
      </c>
      <c r="EH147" t="e">
        <f>AND('STERLING CATALOG - DRY '!D3241,"AAAAAG3/uIk=")</f>
        <v>#VALUE!</v>
      </c>
      <c r="EI147" t="e">
        <f>AND('STERLING CATALOG - DRY '!E3241,"AAAAAG3/uIo=")</f>
        <v>#VALUE!</v>
      </c>
      <c r="EJ147" t="e">
        <f>AND('STERLING CATALOG - DRY '!F3241,"AAAAAG3/uIs=")</f>
        <v>#VALUE!</v>
      </c>
      <c r="EK147" t="e">
        <f>AND('STERLING CATALOG - DRY '!G3241,"AAAAAG3/uIw=")</f>
        <v>#VALUE!</v>
      </c>
      <c r="EL147" t="e">
        <f>AND('STERLING CATALOG - DRY '!H3241,"AAAAAG3/uI0=")</f>
        <v>#VALUE!</v>
      </c>
      <c r="EM147" t="e">
        <f>AND('STERLING CATALOG - DRY '!I3241,"AAAAAG3/uI4=")</f>
        <v>#VALUE!</v>
      </c>
      <c r="EN147" t="e">
        <f>AND('STERLING CATALOG - DRY '!J3241,"AAAAAG3/uI8=")</f>
        <v>#VALUE!</v>
      </c>
      <c r="EO147">
        <f>IF('STERLING CATALOG - DRY '!3242:3242,"AAAAAG3/uJA=",0)</f>
        <v>0</v>
      </c>
      <c r="EP147" t="e">
        <f>AND('STERLING CATALOG - DRY '!A3242,"AAAAAG3/uJE=")</f>
        <v>#VALUE!</v>
      </c>
      <c r="EQ147" t="e">
        <f>AND('STERLING CATALOG - DRY '!B3242,"AAAAAG3/uJI=")</f>
        <v>#VALUE!</v>
      </c>
      <c r="ER147" t="e">
        <f>AND('STERLING CATALOG - DRY '!C3242,"AAAAAG3/uJM=")</f>
        <v>#VALUE!</v>
      </c>
      <c r="ES147" t="e">
        <f>AND('STERLING CATALOG - DRY '!D3242,"AAAAAG3/uJQ=")</f>
        <v>#VALUE!</v>
      </c>
      <c r="ET147" t="e">
        <f>AND('STERLING CATALOG - DRY '!E3242,"AAAAAG3/uJU=")</f>
        <v>#VALUE!</v>
      </c>
      <c r="EU147" t="e">
        <f>AND('STERLING CATALOG - DRY '!F3242,"AAAAAG3/uJY=")</f>
        <v>#VALUE!</v>
      </c>
      <c r="EV147" t="e">
        <f>AND('STERLING CATALOG - DRY '!G3242,"AAAAAG3/uJc=")</f>
        <v>#VALUE!</v>
      </c>
      <c r="EW147" t="e">
        <f>AND('STERLING CATALOG - DRY '!H3242,"AAAAAG3/uJg=")</f>
        <v>#VALUE!</v>
      </c>
      <c r="EX147" t="e">
        <f>AND('STERLING CATALOG - DRY '!I3242,"AAAAAG3/uJk=")</f>
        <v>#VALUE!</v>
      </c>
      <c r="EY147" t="e">
        <f>AND('STERLING CATALOG - DRY '!J3242,"AAAAAG3/uJo=")</f>
        <v>#VALUE!</v>
      </c>
      <c r="EZ147">
        <f>IF('STERLING CATALOG - DRY '!3243:3243,"AAAAAG3/uJs=",0)</f>
        <v>0</v>
      </c>
      <c r="FA147" t="e">
        <f>AND('STERLING CATALOG - DRY '!A3243,"AAAAAG3/uJw=")</f>
        <v>#VALUE!</v>
      </c>
      <c r="FB147" t="e">
        <f>AND('STERLING CATALOG - DRY '!B3243,"AAAAAG3/uJ0=")</f>
        <v>#VALUE!</v>
      </c>
      <c r="FC147" t="e">
        <f>AND('STERLING CATALOG - DRY '!C3243,"AAAAAG3/uJ4=")</f>
        <v>#VALUE!</v>
      </c>
      <c r="FD147" t="e">
        <f>AND('STERLING CATALOG - DRY '!D3243,"AAAAAG3/uJ8=")</f>
        <v>#VALUE!</v>
      </c>
      <c r="FE147" t="e">
        <f>AND('STERLING CATALOG - DRY '!E3243,"AAAAAG3/uKA=")</f>
        <v>#VALUE!</v>
      </c>
      <c r="FF147" t="e">
        <f>AND('STERLING CATALOG - DRY '!F3243,"AAAAAG3/uKE=")</f>
        <v>#VALUE!</v>
      </c>
      <c r="FG147" t="e">
        <f>AND('STERLING CATALOG - DRY '!G3243,"AAAAAG3/uKI=")</f>
        <v>#VALUE!</v>
      </c>
      <c r="FH147" t="e">
        <f>AND('STERLING CATALOG - DRY '!H3243,"AAAAAG3/uKM=")</f>
        <v>#VALUE!</v>
      </c>
      <c r="FI147" t="e">
        <f>AND('STERLING CATALOG - DRY '!I3243,"AAAAAG3/uKQ=")</f>
        <v>#VALUE!</v>
      </c>
      <c r="FJ147" t="e">
        <f>AND('STERLING CATALOG - DRY '!J3243,"AAAAAG3/uKU=")</f>
        <v>#VALUE!</v>
      </c>
      <c r="FK147">
        <f>IF('STERLING CATALOG - DRY '!3244:3244,"AAAAAG3/uKY=",0)</f>
        <v>0</v>
      </c>
      <c r="FL147" t="e">
        <f>AND('STERLING CATALOG - DRY '!A3244,"AAAAAG3/uKc=")</f>
        <v>#VALUE!</v>
      </c>
      <c r="FM147" t="e">
        <f>AND('STERLING CATALOG - DRY '!B3244,"AAAAAG3/uKg=")</f>
        <v>#VALUE!</v>
      </c>
      <c r="FN147" t="e">
        <f>AND('STERLING CATALOG - DRY '!C3244,"AAAAAG3/uKk=")</f>
        <v>#VALUE!</v>
      </c>
      <c r="FO147" t="e">
        <f>AND('STERLING CATALOG - DRY '!D3244,"AAAAAG3/uKo=")</f>
        <v>#VALUE!</v>
      </c>
      <c r="FP147" t="e">
        <f>AND('STERLING CATALOG - DRY '!E3244,"AAAAAG3/uKs=")</f>
        <v>#VALUE!</v>
      </c>
      <c r="FQ147" t="e">
        <f>AND('STERLING CATALOG - DRY '!F3244,"AAAAAG3/uKw=")</f>
        <v>#VALUE!</v>
      </c>
      <c r="FR147" t="e">
        <f>AND('STERLING CATALOG - DRY '!G3244,"AAAAAG3/uK0=")</f>
        <v>#VALUE!</v>
      </c>
      <c r="FS147" t="e">
        <f>AND('STERLING CATALOG - DRY '!H3244,"AAAAAG3/uK4=")</f>
        <v>#VALUE!</v>
      </c>
      <c r="FT147" t="e">
        <f>AND('STERLING CATALOG - DRY '!I3244,"AAAAAG3/uK8=")</f>
        <v>#VALUE!</v>
      </c>
      <c r="FU147" t="e">
        <f>AND('STERLING CATALOG - DRY '!J3244,"AAAAAG3/uLA=")</f>
        <v>#VALUE!</v>
      </c>
      <c r="FV147">
        <f>IF('STERLING CATALOG - DRY '!3245:3245,"AAAAAG3/uLE=",0)</f>
        <v>0</v>
      </c>
      <c r="FW147" t="e">
        <f>AND('STERLING CATALOG - DRY '!A3245,"AAAAAG3/uLI=")</f>
        <v>#VALUE!</v>
      </c>
      <c r="FX147" t="e">
        <f>AND('STERLING CATALOG - DRY '!B3245,"AAAAAG3/uLM=")</f>
        <v>#VALUE!</v>
      </c>
      <c r="FY147" t="e">
        <f>AND('STERLING CATALOG - DRY '!C3245,"AAAAAG3/uLQ=")</f>
        <v>#VALUE!</v>
      </c>
      <c r="FZ147" t="e">
        <f>AND('STERLING CATALOG - DRY '!D3245,"AAAAAG3/uLU=")</f>
        <v>#VALUE!</v>
      </c>
      <c r="GA147" t="e">
        <f>AND('STERLING CATALOG - DRY '!E3245,"AAAAAG3/uLY=")</f>
        <v>#VALUE!</v>
      </c>
      <c r="GB147" t="e">
        <f>AND('STERLING CATALOG - DRY '!F3245,"AAAAAG3/uLc=")</f>
        <v>#VALUE!</v>
      </c>
      <c r="GC147" t="e">
        <f>AND('STERLING CATALOG - DRY '!G3245,"AAAAAG3/uLg=")</f>
        <v>#VALUE!</v>
      </c>
      <c r="GD147" t="e">
        <f>AND('STERLING CATALOG - DRY '!H3245,"AAAAAG3/uLk=")</f>
        <v>#VALUE!</v>
      </c>
      <c r="GE147" t="e">
        <f>AND('STERLING CATALOG - DRY '!I3245,"AAAAAG3/uLo=")</f>
        <v>#VALUE!</v>
      </c>
      <c r="GF147" t="e">
        <f>AND('STERLING CATALOG - DRY '!J3245,"AAAAAG3/uLs=")</f>
        <v>#VALUE!</v>
      </c>
      <c r="GG147">
        <f>IF('STERLING CATALOG - DRY '!3246:3246,"AAAAAG3/uLw=",0)</f>
        <v>0</v>
      </c>
      <c r="GH147" t="e">
        <f>AND('STERLING CATALOG - DRY '!A3246,"AAAAAG3/uL0=")</f>
        <v>#VALUE!</v>
      </c>
      <c r="GI147" t="e">
        <f>AND('STERLING CATALOG - DRY '!B3246,"AAAAAG3/uL4=")</f>
        <v>#VALUE!</v>
      </c>
      <c r="GJ147" t="e">
        <f>AND('STERLING CATALOG - DRY '!C3246,"AAAAAG3/uL8=")</f>
        <v>#VALUE!</v>
      </c>
      <c r="GK147" t="e">
        <f>AND('STERLING CATALOG - DRY '!D3246,"AAAAAG3/uMA=")</f>
        <v>#VALUE!</v>
      </c>
      <c r="GL147" t="e">
        <f>AND('STERLING CATALOG - DRY '!E3246,"AAAAAG3/uME=")</f>
        <v>#VALUE!</v>
      </c>
      <c r="GM147" t="e">
        <f>AND('STERLING CATALOG - DRY '!F3246,"AAAAAG3/uMI=")</f>
        <v>#VALUE!</v>
      </c>
      <c r="GN147" t="e">
        <f>AND('STERLING CATALOG - DRY '!G3246,"AAAAAG3/uMM=")</f>
        <v>#VALUE!</v>
      </c>
      <c r="GO147" t="e">
        <f>AND('STERLING CATALOG - DRY '!H3246,"AAAAAG3/uMQ=")</f>
        <v>#VALUE!</v>
      </c>
      <c r="GP147" t="e">
        <f>AND('STERLING CATALOG - DRY '!I3246,"AAAAAG3/uMU=")</f>
        <v>#VALUE!</v>
      </c>
      <c r="GQ147" t="e">
        <f>AND('STERLING CATALOG - DRY '!J3246,"AAAAAG3/uMY=")</f>
        <v>#VALUE!</v>
      </c>
      <c r="GR147">
        <f>IF('STERLING CATALOG - DRY '!3247:3247,"AAAAAG3/uMc=",0)</f>
        <v>0</v>
      </c>
      <c r="GS147" t="e">
        <f>AND('STERLING CATALOG - DRY '!A3247,"AAAAAG3/uMg=")</f>
        <v>#VALUE!</v>
      </c>
      <c r="GT147" t="e">
        <f>AND('STERLING CATALOG - DRY '!B3247,"AAAAAG3/uMk=")</f>
        <v>#VALUE!</v>
      </c>
      <c r="GU147" t="e">
        <f>AND('STERLING CATALOG - DRY '!C3247,"AAAAAG3/uMo=")</f>
        <v>#VALUE!</v>
      </c>
      <c r="GV147" t="e">
        <f>AND('STERLING CATALOG - DRY '!D3247,"AAAAAG3/uMs=")</f>
        <v>#VALUE!</v>
      </c>
      <c r="GW147" t="e">
        <f>AND('STERLING CATALOG - DRY '!E3247,"AAAAAG3/uMw=")</f>
        <v>#VALUE!</v>
      </c>
      <c r="GX147" t="e">
        <f>AND('STERLING CATALOG - DRY '!F3247,"AAAAAG3/uM0=")</f>
        <v>#VALUE!</v>
      </c>
      <c r="GY147" t="e">
        <f>AND('STERLING CATALOG - DRY '!G3247,"AAAAAG3/uM4=")</f>
        <v>#VALUE!</v>
      </c>
      <c r="GZ147" t="e">
        <f>AND('STERLING CATALOG - DRY '!H3247,"AAAAAG3/uM8=")</f>
        <v>#VALUE!</v>
      </c>
      <c r="HA147" t="e">
        <f>AND('STERLING CATALOG - DRY '!I3247,"AAAAAG3/uNA=")</f>
        <v>#VALUE!</v>
      </c>
      <c r="HB147" t="e">
        <f>AND('STERLING CATALOG - DRY '!J3247,"AAAAAG3/uNE=")</f>
        <v>#VALUE!</v>
      </c>
      <c r="HC147">
        <f>IF('STERLING CATALOG - DRY '!3248:3248,"AAAAAG3/uNI=",0)</f>
        <v>0</v>
      </c>
      <c r="HD147" t="e">
        <f>AND('STERLING CATALOG - DRY '!A3248,"AAAAAG3/uNM=")</f>
        <v>#VALUE!</v>
      </c>
      <c r="HE147" t="e">
        <f>AND('STERLING CATALOG - DRY '!B3248,"AAAAAG3/uNQ=")</f>
        <v>#VALUE!</v>
      </c>
      <c r="HF147" t="e">
        <f>AND('STERLING CATALOG - DRY '!C3248,"AAAAAG3/uNU=")</f>
        <v>#VALUE!</v>
      </c>
      <c r="HG147" t="e">
        <f>AND('STERLING CATALOG - DRY '!D3248,"AAAAAG3/uNY=")</f>
        <v>#VALUE!</v>
      </c>
      <c r="HH147" t="e">
        <f>AND('STERLING CATALOG - DRY '!E3248,"AAAAAG3/uNc=")</f>
        <v>#VALUE!</v>
      </c>
      <c r="HI147" t="e">
        <f>AND('STERLING CATALOG - DRY '!F3248,"AAAAAG3/uNg=")</f>
        <v>#VALUE!</v>
      </c>
      <c r="HJ147" t="e">
        <f>AND('STERLING CATALOG - DRY '!G3248,"AAAAAG3/uNk=")</f>
        <v>#VALUE!</v>
      </c>
      <c r="HK147" t="e">
        <f>AND('STERLING CATALOG - DRY '!H3248,"AAAAAG3/uNo=")</f>
        <v>#VALUE!</v>
      </c>
      <c r="HL147" t="e">
        <f>AND('STERLING CATALOG - DRY '!I3248,"AAAAAG3/uNs=")</f>
        <v>#VALUE!</v>
      </c>
      <c r="HM147" t="e">
        <f>AND('STERLING CATALOG - DRY '!J3248,"AAAAAG3/uNw=")</f>
        <v>#VALUE!</v>
      </c>
      <c r="HN147">
        <f>IF('STERLING CATALOG - DRY '!3249:3249,"AAAAAG3/uN0=",0)</f>
        <v>0</v>
      </c>
      <c r="HO147" t="e">
        <f>AND('STERLING CATALOG - DRY '!A3249,"AAAAAG3/uN4=")</f>
        <v>#VALUE!</v>
      </c>
      <c r="HP147" t="e">
        <f>AND('STERLING CATALOG - DRY '!B3249,"AAAAAG3/uN8=")</f>
        <v>#VALUE!</v>
      </c>
      <c r="HQ147" t="e">
        <f>AND('STERLING CATALOG - DRY '!C3249,"AAAAAG3/uOA=")</f>
        <v>#VALUE!</v>
      </c>
      <c r="HR147" t="e">
        <f>AND('STERLING CATALOG - DRY '!D3249,"AAAAAG3/uOE=")</f>
        <v>#VALUE!</v>
      </c>
      <c r="HS147" t="e">
        <f>AND('STERLING CATALOG - DRY '!E3249,"AAAAAG3/uOI=")</f>
        <v>#VALUE!</v>
      </c>
      <c r="HT147" t="e">
        <f>AND('STERLING CATALOG - DRY '!F3249,"AAAAAG3/uOM=")</f>
        <v>#VALUE!</v>
      </c>
      <c r="HU147" t="e">
        <f>AND('STERLING CATALOG - DRY '!G3249,"AAAAAG3/uOQ=")</f>
        <v>#VALUE!</v>
      </c>
      <c r="HV147" t="e">
        <f>AND('STERLING CATALOG - DRY '!H3249,"AAAAAG3/uOU=")</f>
        <v>#VALUE!</v>
      </c>
      <c r="HW147" t="e">
        <f>AND('STERLING CATALOG - DRY '!I3249,"AAAAAG3/uOY=")</f>
        <v>#VALUE!</v>
      </c>
      <c r="HX147" t="e">
        <f>AND('STERLING CATALOG - DRY '!J3249,"AAAAAG3/uOc=")</f>
        <v>#VALUE!</v>
      </c>
      <c r="HY147">
        <f>IF('STERLING CATALOG - DRY '!3250:3250,"AAAAAG3/uOg=",0)</f>
        <v>0</v>
      </c>
      <c r="HZ147" t="e">
        <f>AND('STERLING CATALOG - DRY '!A3250,"AAAAAG3/uOk=")</f>
        <v>#VALUE!</v>
      </c>
      <c r="IA147" t="e">
        <f>AND('STERLING CATALOG - DRY '!B3250,"AAAAAG3/uOo=")</f>
        <v>#VALUE!</v>
      </c>
      <c r="IB147" t="e">
        <f>AND('STERLING CATALOG - DRY '!C3250,"AAAAAG3/uOs=")</f>
        <v>#VALUE!</v>
      </c>
      <c r="IC147" t="e">
        <f>AND('STERLING CATALOG - DRY '!D3250,"AAAAAG3/uOw=")</f>
        <v>#VALUE!</v>
      </c>
      <c r="ID147" t="e">
        <f>AND('STERLING CATALOG - DRY '!E3250,"AAAAAG3/uO0=")</f>
        <v>#VALUE!</v>
      </c>
      <c r="IE147" t="e">
        <f>AND('STERLING CATALOG - DRY '!F3250,"AAAAAG3/uO4=")</f>
        <v>#VALUE!</v>
      </c>
      <c r="IF147" t="e">
        <f>AND('STERLING CATALOG - DRY '!G3250,"AAAAAG3/uO8=")</f>
        <v>#VALUE!</v>
      </c>
      <c r="IG147" t="e">
        <f>AND('STERLING CATALOG - DRY '!H3250,"AAAAAG3/uPA=")</f>
        <v>#VALUE!</v>
      </c>
      <c r="IH147" t="e">
        <f>AND('STERLING CATALOG - DRY '!I3250,"AAAAAG3/uPE=")</f>
        <v>#VALUE!</v>
      </c>
      <c r="II147" t="e">
        <f>AND('STERLING CATALOG - DRY '!J3250,"AAAAAG3/uPI=")</f>
        <v>#VALUE!</v>
      </c>
      <c r="IJ147">
        <f>IF('STERLING CATALOG - DRY '!3251:3251,"AAAAAG3/uPM=",0)</f>
        <v>0</v>
      </c>
      <c r="IK147" t="e">
        <f>AND('STERLING CATALOG - DRY '!A3251,"AAAAAG3/uPQ=")</f>
        <v>#VALUE!</v>
      </c>
      <c r="IL147" t="e">
        <f>AND('STERLING CATALOG - DRY '!B3251,"AAAAAG3/uPU=")</f>
        <v>#VALUE!</v>
      </c>
      <c r="IM147" t="e">
        <f>AND('STERLING CATALOG - DRY '!C3251,"AAAAAG3/uPY=")</f>
        <v>#VALUE!</v>
      </c>
      <c r="IN147" t="e">
        <f>AND('STERLING CATALOG - DRY '!D3251,"AAAAAG3/uPc=")</f>
        <v>#VALUE!</v>
      </c>
      <c r="IO147" t="e">
        <f>AND('STERLING CATALOG - DRY '!E3251,"AAAAAG3/uPg=")</f>
        <v>#VALUE!</v>
      </c>
      <c r="IP147" t="e">
        <f>AND('STERLING CATALOG - DRY '!F3251,"AAAAAG3/uPk=")</f>
        <v>#VALUE!</v>
      </c>
      <c r="IQ147" t="e">
        <f>AND('STERLING CATALOG - DRY '!G3251,"AAAAAG3/uPo=")</f>
        <v>#VALUE!</v>
      </c>
      <c r="IR147" t="e">
        <f>AND('STERLING CATALOG - DRY '!H3251,"AAAAAG3/uPs=")</f>
        <v>#VALUE!</v>
      </c>
      <c r="IS147" t="e">
        <f>AND('STERLING CATALOG - DRY '!I3251,"AAAAAG3/uPw=")</f>
        <v>#VALUE!</v>
      </c>
      <c r="IT147" t="e">
        <f>AND('STERLING CATALOG - DRY '!J3251,"AAAAAG3/uP0=")</f>
        <v>#VALUE!</v>
      </c>
      <c r="IU147">
        <f>IF('STERLING CATALOG - DRY '!3252:3252,"AAAAAG3/uP4=",0)</f>
        <v>0</v>
      </c>
      <c r="IV147" t="e">
        <f>AND('STERLING CATALOG - DRY '!A3252,"AAAAAG3/uP8=")</f>
        <v>#VALUE!</v>
      </c>
    </row>
    <row r="148" spans="1:256">
      <c r="A148" t="e">
        <f>AND('STERLING CATALOG - DRY '!B3252,"AAAAADi7/QA=")</f>
        <v>#VALUE!</v>
      </c>
      <c r="B148" t="e">
        <f>AND('STERLING CATALOG - DRY '!C3252,"AAAAADi7/QE=")</f>
        <v>#VALUE!</v>
      </c>
      <c r="C148" t="e">
        <f>AND('STERLING CATALOG - DRY '!D3252,"AAAAADi7/QI=")</f>
        <v>#VALUE!</v>
      </c>
      <c r="D148" t="e">
        <f>AND('STERLING CATALOG - DRY '!E3252,"AAAAADi7/QM=")</f>
        <v>#VALUE!</v>
      </c>
      <c r="E148" t="e">
        <f>AND('STERLING CATALOG - DRY '!F3252,"AAAAADi7/QQ=")</f>
        <v>#VALUE!</v>
      </c>
      <c r="F148" t="e">
        <f>AND('STERLING CATALOG - DRY '!G3252,"AAAAADi7/QU=")</f>
        <v>#VALUE!</v>
      </c>
      <c r="G148" t="e">
        <f>AND('STERLING CATALOG - DRY '!H3252,"AAAAADi7/QY=")</f>
        <v>#VALUE!</v>
      </c>
      <c r="H148" t="e">
        <f>AND('STERLING CATALOG - DRY '!I3252,"AAAAADi7/Qc=")</f>
        <v>#VALUE!</v>
      </c>
      <c r="I148" t="e">
        <f>AND('STERLING CATALOG - DRY '!J3252,"AAAAADi7/Qg=")</f>
        <v>#VALUE!</v>
      </c>
      <c r="J148" t="e">
        <f>IF('STERLING CATALOG - DRY '!3253:3253,"AAAAADi7/Qk=",0)</f>
        <v>#VALUE!</v>
      </c>
      <c r="K148" t="e">
        <f>AND('STERLING CATALOG - DRY '!A3253,"AAAAADi7/Qo=")</f>
        <v>#VALUE!</v>
      </c>
      <c r="L148" t="e">
        <f>AND('STERLING CATALOG - DRY '!B3253,"AAAAADi7/Qs=")</f>
        <v>#VALUE!</v>
      </c>
      <c r="M148" t="e">
        <f>AND('STERLING CATALOG - DRY '!C3253,"AAAAADi7/Qw=")</f>
        <v>#VALUE!</v>
      </c>
      <c r="N148" t="e">
        <f>AND('STERLING CATALOG - DRY '!D3253,"AAAAADi7/Q0=")</f>
        <v>#VALUE!</v>
      </c>
      <c r="O148" t="e">
        <f>AND('STERLING CATALOG - DRY '!E3253,"AAAAADi7/Q4=")</f>
        <v>#VALUE!</v>
      </c>
      <c r="P148" t="e">
        <f>AND('STERLING CATALOG - DRY '!F3253,"AAAAADi7/Q8=")</f>
        <v>#VALUE!</v>
      </c>
      <c r="Q148" t="e">
        <f>AND('STERLING CATALOG - DRY '!G3253,"AAAAADi7/RA=")</f>
        <v>#VALUE!</v>
      </c>
      <c r="R148" t="e">
        <f>AND('STERLING CATALOG - DRY '!H3253,"AAAAADi7/RE=")</f>
        <v>#VALUE!</v>
      </c>
      <c r="S148" t="e">
        <f>AND('STERLING CATALOG - DRY '!I3253,"AAAAADi7/RI=")</f>
        <v>#VALUE!</v>
      </c>
      <c r="T148" t="e">
        <f>AND('STERLING CATALOG - DRY '!J3253,"AAAAADi7/RM=")</f>
        <v>#VALUE!</v>
      </c>
      <c r="U148">
        <f>IF('STERLING CATALOG - DRY '!3254:3254,"AAAAADi7/RQ=",0)</f>
        <v>0</v>
      </c>
      <c r="V148" t="e">
        <f>AND('STERLING CATALOG - DRY '!A3254,"AAAAADi7/RU=")</f>
        <v>#VALUE!</v>
      </c>
      <c r="W148" t="e">
        <f>AND('STERLING CATALOG - DRY '!B3254,"AAAAADi7/RY=")</f>
        <v>#VALUE!</v>
      </c>
      <c r="X148" t="e">
        <f>AND('STERLING CATALOG - DRY '!C3254,"AAAAADi7/Rc=")</f>
        <v>#VALUE!</v>
      </c>
      <c r="Y148" t="e">
        <f>AND('STERLING CATALOG - DRY '!D3254,"AAAAADi7/Rg=")</f>
        <v>#VALUE!</v>
      </c>
      <c r="Z148" t="e">
        <f>AND('STERLING CATALOG - DRY '!E3254,"AAAAADi7/Rk=")</f>
        <v>#VALUE!</v>
      </c>
      <c r="AA148" t="e">
        <f>AND('STERLING CATALOG - DRY '!F3254,"AAAAADi7/Ro=")</f>
        <v>#VALUE!</v>
      </c>
      <c r="AB148" t="e">
        <f>AND('STERLING CATALOG - DRY '!G3254,"AAAAADi7/Rs=")</f>
        <v>#VALUE!</v>
      </c>
      <c r="AC148" t="e">
        <f>AND('STERLING CATALOG - DRY '!H3254,"AAAAADi7/Rw=")</f>
        <v>#VALUE!</v>
      </c>
      <c r="AD148" t="e">
        <f>AND('STERLING CATALOG - DRY '!I3254,"AAAAADi7/R0=")</f>
        <v>#VALUE!</v>
      </c>
      <c r="AE148" t="e">
        <f>AND('STERLING CATALOG - DRY '!J3254,"AAAAADi7/R4=")</f>
        <v>#VALUE!</v>
      </c>
      <c r="AF148">
        <f>IF('STERLING CATALOG - DRY '!3255:3255,"AAAAADi7/R8=",0)</f>
        <v>0</v>
      </c>
      <c r="AG148" t="e">
        <f>AND('STERLING CATALOG - DRY '!A3255,"AAAAADi7/SA=")</f>
        <v>#VALUE!</v>
      </c>
      <c r="AH148" t="e">
        <f>AND('STERLING CATALOG - DRY '!B3255,"AAAAADi7/SE=")</f>
        <v>#VALUE!</v>
      </c>
      <c r="AI148" t="e">
        <f>AND('STERLING CATALOG - DRY '!C3255,"AAAAADi7/SI=")</f>
        <v>#VALUE!</v>
      </c>
      <c r="AJ148" t="e">
        <f>AND('STERLING CATALOG - DRY '!D3255,"AAAAADi7/SM=")</f>
        <v>#VALUE!</v>
      </c>
      <c r="AK148" t="e">
        <f>AND('STERLING CATALOG - DRY '!E3255,"AAAAADi7/SQ=")</f>
        <v>#VALUE!</v>
      </c>
      <c r="AL148" t="e">
        <f>AND('STERLING CATALOG - DRY '!F3255,"AAAAADi7/SU=")</f>
        <v>#VALUE!</v>
      </c>
      <c r="AM148" t="e">
        <f>AND('STERLING CATALOG - DRY '!G3255,"AAAAADi7/SY=")</f>
        <v>#VALUE!</v>
      </c>
      <c r="AN148" t="e">
        <f>AND('STERLING CATALOG - DRY '!H3255,"AAAAADi7/Sc=")</f>
        <v>#VALUE!</v>
      </c>
      <c r="AO148" t="e">
        <f>AND('STERLING CATALOG - DRY '!I3255,"AAAAADi7/Sg=")</f>
        <v>#VALUE!</v>
      </c>
      <c r="AP148" t="e">
        <f>AND('STERLING CATALOG - DRY '!J3255,"AAAAADi7/Sk=")</f>
        <v>#VALUE!</v>
      </c>
      <c r="AQ148">
        <f>IF('STERLING CATALOG - DRY '!3256:3256,"AAAAADi7/So=",0)</f>
        <v>0</v>
      </c>
      <c r="AR148" t="e">
        <f>AND('STERLING CATALOG - DRY '!A3256,"AAAAADi7/Ss=")</f>
        <v>#VALUE!</v>
      </c>
      <c r="AS148" t="e">
        <f>AND('STERLING CATALOG - DRY '!B3256,"AAAAADi7/Sw=")</f>
        <v>#VALUE!</v>
      </c>
      <c r="AT148" t="e">
        <f>AND('STERLING CATALOG - DRY '!C3256,"AAAAADi7/S0=")</f>
        <v>#VALUE!</v>
      </c>
      <c r="AU148" t="e">
        <f>AND('STERLING CATALOG - DRY '!D3256,"AAAAADi7/S4=")</f>
        <v>#VALUE!</v>
      </c>
      <c r="AV148" t="e">
        <f>AND('STERLING CATALOG - DRY '!E3256,"AAAAADi7/S8=")</f>
        <v>#VALUE!</v>
      </c>
      <c r="AW148" t="e">
        <f>AND('STERLING CATALOG - DRY '!F3256,"AAAAADi7/TA=")</f>
        <v>#VALUE!</v>
      </c>
      <c r="AX148" t="e">
        <f>AND('STERLING CATALOG - DRY '!G3256,"AAAAADi7/TE=")</f>
        <v>#VALUE!</v>
      </c>
      <c r="AY148" t="e">
        <f>AND('STERLING CATALOG - DRY '!H3256,"AAAAADi7/TI=")</f>
        <v>#VALUE!</v>
      </c>
      <c r="AZ148" t="e">
        <f>AND('STERLING CATALOG - DRY '!I3256,"AAAAADi7/TM=")</f>
        <v>#VALUE!</v>
      </c>
      <c r="BA148" t="e">
        <f>AND('STERLING CATALOG - DRY '!J3256,"AAAAADi7/TQ=")</f>
        <v>#VALUE!</v>
      </c>
      <c r="BB148">
        <f>IF('STERLING CATALOG - DRY '!3257:3257,"AAAAADi7/TU=",0)</f>
        <v>0</v>
      </c>
      <c r="BC148" t="e">
        <f>AND('STERLING CATALOG - DRY '!A3257,"AAAAADi7/TY=")</f>
        <v>#VALUE!</v>
      </c>
      <c r="BD148" t="e">
        <f>AND('STERLING CATALOG - DRY '!B3257,"AAAAADi7/Tc=")</f>
        <v>#VALUE!</v>
      </c>
      <c r="BE148" t="e">
        <f>AND('STERLING CATALOG - DRY '!C3257,"AAAAADi7/Tg=")</f>
        <v>#VALUE!</v>
      </c>
      <c r="BF148" t="e">
        <f>AND('STERLING CATALOG - DRY '!D3257,"AAAAADi7/Tk=")</f>
        <v>#VALUE!</v>
      </c>
      <c r="BG148" t="e">
        <f>AND('STERLING CATALOG - DRY '!E3257,"AAAAADi7/To=")</f>
        <v>#VALUE!</v>
      </c>
      <c r="BH148" t="e">
        <f>AND('STERLING CATALOG - DRY '!F3257,"AAAAADi7/Ts=")</f>
        <v>#VALUE!</v>
      </c>
      <c r="BI148" t="e">
        <f>AND('STERLING CATALOG - DRY '!G3257,"AAAAADi7/Tw=")</f>
        <v>#VALUE!</v>
      </c>
      <c r="BJ148" t="e">
        <f>AND('STERLING CATALOG - DRY '!H3257,"AAAAADi7/T0=")</f>
        <v>#VALUE!</v>
      </c>
      <c r="BK148" t="e">
        <f>AND('STERLING CATALOG - DRY '!I3257,"AAAAADi7/T4=")</f>
        <v>#VALUE!</v>
      </c>
      <c r="BL148" t="e">
        <f>AND('STERLING CATALOG - DRY '!J3257,"AAAAADi7/T8=")</f>
        <v>#VALUE!</v>
      </c>
      <c r="BM148">
        <f>IF('STERLING CATALOG - DRY '!3258:3258,"AAAAADi7/UA=",0)</f>
        <v>0</v>
      </c>
      <c r="BN148" t="e">
        <f>AND('STERLING CATALOG - DRY '!A3258,"AAAAADi7/UE=")</f>
        <v>#VALUE!</v>
      </c>
      <c r="BO148" t="e">
        <f>AND('STERLING CATALOG - DRY '!B3258,"AAAAADi7/UI=")</f>
        <v>#VALUE!</v>
      </c>
      <c r="BP148" t="e">
        <f>AND('STERLING CATALOG - DRY '!C3258,"AAAAADi7/UM=")</f>
        <v>#VALUE!</v>
      </c>
      <c r="BQ148" t="e">
        <f>AND('STERLING CATALOG - DRY '!D3258,"AAAAADi7/UQ=")</f>
        <v>#VALUE!</v>
      </c>
      <c r="BR148" t="e">
        <f>AND('STERLING CATALOG - DRY '!E3258,"AAAAADi7/UU=")</f>
        <v>#VALUE!</v>
      </c>
      <c r="BS148" t="e">
        <f>AND('STERLING CATALOG - DRY '!F3258,"AAAAADi7/UY=")</f>
        <v>#VALUE!</v>
      </c>
      <c r="BT148" t="e">
        <f>AND('STERLING CATALOG - DRY '!G3258,"AAAAADi7/Uc=")</f>
        <v>#VALUE!</v>
      </c>
      <c r="BU148" t="e">
        <f>AND('STERLING CATALOG - DRY '!H3258,"AAAAADi7/Ug=")</f>
        <v>#VALUE!</v>
      </c>
      <c r="BV148" t="e">
        <f>AND('STERLING CATALOG - DRY '!I3258,"AAAAADi7/Uk=")</f>
        <v>#VALUE!</v>
      </c>
      <c r="BW148" t="e">
        <f>AND('STERLING CATALOG - DRY '!J3258,"AAAAADi7/Uo=")</f>
        <v>#VALUE!</v>
      </c>
      <c r="BX148">
        <f>IF('STERLING CATALOG - DRY '!3259:3259,"AAAAADi7/Us=",0)</f>
        <v>0</v>
      </c>
      <c r="BY148" t="e">
        <f>AND('STERLING CATALOG - DRY '!A3259,"AAAAADi7/Uw=")</f>
        <v>#VALUE!</v>
      </c>
      <c r="BZ148" t="e">
        <f>AND('STERLING CATALOG - DRY '!B3259,"AAAAADi7/U0=")</f>
        <v>#VALUE!</v>
      </c>
      <c r="CA148" t="e">
        <f>AND('STERLING CATALOG - DRY '!C3259,"AAAAADi7/U4=")</f>
        <v>#VALUE!</v>
      </c>
      <c r="CB148" t="e">
        <f>AND('STERLING CATALOG - DRY '!D3259,"AAAAADi7/U8=")</f>
        <v>#VALUE!</v>
      </c>
      <c r="CC148" t="e">
        <f>AND('STERLING CATALOG - DRY '!E3259,"AAAAADi7/VA=")</f>
        <v>#VALUE!</v>
      </c>
      <c r="CD148" t="e">
        <f>AND('STERLING CATALOG - DRY '!F3259,"AAAAADi7/VE=")</f>
        <v>#VALUE!</v>
      </c>
      <c r="CE148" t="e">
        <f>AND('STERLING CATALOG - DRY '!G3259,"AAAAADi7/VI=")</f>
        <v>#VALUE!</v>
      </c>
      <c r="CF148" t="e">
        <f>AND('STERLING CATALOG - DRY '!H3259,"AAAAADi7/VM=")</f>
        <v>#VALUE!</v>
      </c>
      <c r="CG148" t="e">
        <f>AND('STERLING CATALOG - DRY '!I3259,"AAAAADi7/VQ=")</f>
        <v>#VALUE!</v>
      </c>
      <c r="CH148" t="e">
        <f>AND('STERLING CATALOG - DRY '!J3259,"AAAAADi7/VU=")</f>
        <v>#VALUE!</v>
      </c>
      <c r="CI148">
        <f>IF('STERLING CATALOG - DRY '!3260:3260,"AAAAADi7/VY=",0)</f>
        <v>0</v>
      </c>
      <c r="CJ148" t="e">
        <f>AND('STERLING CATALOG - DRY '!A3260,"AAAAADi7/Vc=")</f>
        <v>#VALUE!</v>
      </c>
      <c r="CK148" t="e">
        <f>AND('STERLING CATALOG - DRY '!B3260,"AAAAADi7/Vg=")</f>
        <v>#VALUE!</v>
      </c>
      <c r="CL148" t="e">
        <f>AND('STERLING CATALOG - DRY '!C3260,"AAAAADi7/Vk=")</f>
        <v>#VALUE!</v>
      </c>
      <c r="CM148" t="e">
        <f>AND('STERLING CATALOG - DRY '!D3260,"AAAAADi7/Vo=")</f>
        <v>#VALUE!</v>
      </c>
      <c r="CN148" t="e">
        <f>AND('STERLING CATALOG - DRY '!E3260,"AAAAADi7/Vs=")</f>
        <v>#VALUE!</v>
      </c>
      <c r="CO148" t="e">
        <f>AND('STERLING CATALOG - DRY '!F3260,"AAAAADi7/Vw=")</f>
        <v>#VALUE!</v>
      </c>
      <c r="CP148" t="e">
        <f>AND('STERLING CATALOG - DRY '!G3260,"AAAAADi7/V0=")</f>
        <v>#VALUE!</v>
      </c>
      <c r="CQ148" t="e">
        <f>AND('STERLING CATALOG - DRY '!H3260,"AAAAADi7/V4=")</f>
        <v>#VALUE!</v>
      </c>
      <c r="CR148" t="e">
        <f>AND('STERLING CATALOG - DRY '!I3260,"AAAAADi7/V8=")</f>
        <v>#VALUE!</v>
      </c>
      <c r="CS148" t="e">
        <f>AND('STERLING CATALOG - DRY '!J3260,"AAAAADi7/WA=")</f>
        <v>#VALUE!</v>
      </c>
      <c r="CT148">
        <f>IF('STERLING CATALOG - DRY '!3261:3261,"AAAAADi7/WE=",0)</f>
        <v>0</v>
      </c>
      <c r="CU148" t="e">
        <f>AND('STERLING CATALOG - DRY '!A3261,"AAAAADi7/WI=")</f>
        <v>#VALUE!</v>
      </c>
      <c r="CV148" t="e">
        <f>AND('STERLING CATALOG - DRY '!B3261,"AAAAADi7/WM=")</f>
        <v>#VALUE!</v>
      </c>
      <c r="CW148" t="e">
        <f>AND('STERLING CATALOG - DRY '!C3261,"AAAAADi7/WQ=")</f>
        <v>#VALUE!</v>
      </c>
      <c r="CX148" t="e">
        <f>AND('STERLING CATALOG - DRY '!D3261,"AAAAADi7/WU=")</f>
        <v>#VALUE!</v>
      </c>
      <c r="CY148" t="e">
        <f>AND('STERLING CATALOG - DRY '!E3261,"AAAAADi7/WY=")</f>
        <v>#VALUE!</v>
      </c>
      <c r="CZ148" t="e">
        <f>AND('STERLING CATALOG - DRY '!F3261,"AAAAADi7/Wc=")</f>
        <v>#VALUE!</v>
      </c>
      <c r="DA148" t="e">
        <f>AND('STERLING CATALOG - DRY '!G3261,"AAAAADi7/Wg=")</f>
        <v>#VALUE!</v>
      </c>
      <c r="DB148" t="e">
        <f>AND('STERLING CATALOG - DRY '!H3261,"AAAAADi7/Wk=")</f>
        <v>#VALUE!</v>
      </c>
      <c r="DC148" t="e">
        <f>AND('STERLING CATALOG - DRY '!I3261,"AAAAADi7/Wo=")</f>
        <v>#VALUE!</v>
      </c>
      <c r="DD148" t="e">
        <f>AND('STERLING CATALOG - DRY '!J3261,"AAAAADi7/Ws=")</f>
        <v>#VALUE!</v>
      </c>
      <c r="DE148">
        <f>IF('STERLING CATALOG - DRY '!3262:3262,"AAAAADi7/Ww=",0)</f>
        <v>0</v>
      </c>
      <c r="DF148" t="e">
        <f>AND('STERLING CATALOG - DRY '!A3262,"AAAAADi7/W0=")</f>
        <v>#VALUE!</v>
      </c>
      <c r="DG148" t="e">
        <f>AND('STERLING CATALOG - DRY '!B3262,"AAAAADi7/W4=")</f>
        <v>#VALUE!</v>
      </c>
      <c r="DH148" t="e">
        <f>AND('STERLING CATALOG - DRY '!C3262,"AAAAADi7/W8=")</f>
        <v>#VALUE!</v>
      </c>
      <c r="DI148" t="e">
        <f>AND('STERLING CATALOG - DRY '!D3262,"AAAAADi7/XA=")</f>
        <v>#VALUE!</v>
      </c>
      <c r="DJ148" t="e">
        <f>AND('STERLING CATALOG - DRY '!E3262,"AAAAADi7/XE=")</f>
        <v>#VALUE!</v>
      </c>
      <c r="DK148" t="e">
        <f>AND('STERLING CATALOG - DRY '!F3262,"AAAAADi7/XI=")</f>
        <v>#VALUE!</v>
      </c>
      <c r="DL148" t="e">
        <f>AND('STERLING CATALOG - DRY '!G3262,"AAAAADi7/XM=")</f>
        <v>#VALUE!</v>
      </c>
      <c r="DM148" t="e">
        <f>AND('STERLING CATALOG - DRY '!H3262,"AAAAADi7/XQ=")</f>
        <v>#VALUE!</v>
      </c>
      <c r="DN148" t="e">
        <f>AND('STERLING CATALOG - DRY '!I3262,"AAAAADi7/XU=")</f>
        <v>#VALUE!</v>
      </c>
      <c r="DO148" t="e">
        <f>AND('STERLING CATALOG - DRY '!J3262,"AAAAADi7/XY=")</f>
        <v>#VALUE!</v>
      </c>
      <c r="DP148">
        <f>IF('STERLING CATALOG - DRY '!3263:3263,"AAAAADi7/Xc=",0)</f>
        <v>0</v>
      </c>
      <c r="DQ148" t="e">
        <f>AND('STERLING CATALOG - DRY '!A3263,"AAAAADi7/Xg=")</f>
        <v>#VALUE!</v>
      </c>
      <c r="DR148" t="e">
        <f>AND('STERLING CATALOG - DRY '!B3263,"AAAAADi7/Xk=")</f>
        <v>#VALUE!</v>
      </c>
      <c r="DS148" t="e">
        <f>AND('STERLING CATALOG - DRY '!C3263,"AAAAADi7/Xo=")</f>
        <v>#VALUE!</v>
      </c>
      <c r="DT148" t="e">
        <f>AND('STERLING CATALOG - DRY '!D3263,"AAAAADi7/Xs=")</f>
        <v>#VALUE!</v>
      </c>
      <c r="DU148" t="e">
        <f>AND('STERLING CATALOG - DRY '!E3263,"AAAAADi7/Xw=")</f>
        <v>#VALUE!</v>
      </c>
      <c r="DV148" t="e">
        <f>AND('STERLING CATALOG - DRY '!F3263,"AAAAADi7/X0=")</f>
        <v>#VALUE!</v>
      </c>
      <c r="DW148" t="e">
        <f>AND('STERLING CATALOG - DRY '!G3263,"AAAAADi7/X4=")</f>
        <v>#VALUE!</v>
      </c>
      <c r="DX148" t="e">
        <f>AND('STERLING CATALOG - DRY '!H3263,"AAAAADi7/X8=")</f>
        <v>#VALUE!</v>
      </c>
      <c r="DY148" t="e">
        <f>AND('STERLING CATALOG - DRY '!I3263,"AAAAADi7/YA=")</f>
        <v>#VALUE!</v>
      </c>
      <c r="DZ148" t="e">
        <f>AND('STERLING CATALOG - DRY '!J3263,"AAAAADi7/YE=")</f>
        <v>#VALUE!</v>
      </c>
      <c r="EA148">
        <f>IF('STERLING CATALOG - DRY '!3264:3264,"AAAAADi7/YI=",0)</f>
        <v>0</v>
      </c>
      <c r="EB148" t="e">
        <f>AND('STERLING CATALOG - DRY '!A3264,"AAAAADi7/YM=")</f>
        <v>#VALUE!</v>
      </c>
      <c r="EC148" t="e">
        <f>AND('STERLING CATALOG - DRY '!B3264,"AAAAADi7/YQ=")</f>
        <v>#VALUE!</v>
      </c>
      <c r="ED148" t="e">
        <f>AND('STERLING CATALOG - DRY '!C3264,"AAAAADi7/YU=")</f>
        <v>#VALUE!</v>
      </c>
      <c r="EE148" t="e">
        <f>AND('STERLING CATALOG - DRY '!D3264,"AAAAADi7/YY=")</f>
        <v>#VALUE!</v>
      </c>
      <c r="EF148" t="e">
        <f>AND('STERLING CATALOG - DRY '!E3264,"AAAAADi7/Yc=")</f>
        <v>#VALUE!</v>
      </c>
      <c r="EG148" t="e">
        <f>AND('STERLING CATALOG - DRY '!F3264,"AAAAADi7/Yg=")</f>
        <v>#VALUE!</v>
      </c>
      <c r="EH148" t="e">
        <f>AND('STERLING CATALOG - DRY '!G3264,"AAAAADi7/Yk=")</f>
        <v>#VALUE!</v>
      </c>
      <c r="EI148" t="e">
        <f>AND('STERLING CATALOG - DRY '!H3264,"AAAAADi7/Yo=")</f>
        <v>#VALUE!</v>
      </c>
      <c r="EJ148" t="e">
        <f>AND('STERLING CATALOG - DRY '!I3264,"AAAAADi7/Ys=")</f>
        <v>#VALUE!</v>
      </c>
      <c r="EK148" t="e">
        <f>AND('STERLING CATALOG - DRY '!J3264,"AAAAADi7/Yw=")</f>
        <v>#VALUE!</v>
      </c>
      <c r="EL148">
        <f>IF('STERLING CATALOG - DRY '!3265:3265,"AAAAADi7/Y0=",0)</f>
        <v>0</v>
      </c>
      <c r="EM148" t="e">
        <f>AND('STERLING CATALOG - DRY '!A3265,"AAAAADi7/Y4=")</f>
        <v>#VALUE!</v>
      </c>
      <c r="EN148" t="e">
        <f>AND('STERLING CATALOG - DRY '!B3265,"AAAAADi7/Y8=")</f>
        <v>#VALUE!</v>
      </c>
      <c r="EO148" t="e">
        <f>AND('STERLING CATALOG - DRY '!C3265,"AAAAADi7/ZA=")</f>
        <v>#VALUE!</v>
      </c>
      <c r="EP148" t="e">
        <f>AND('STERLING CATALOG - DRY '!D3265,"AAAAADi7/ZE=")</f>
        <v>#VALUE!</v>
      </c>
      <c r="EQ148" t="e">
        <f>AND('STERLING CATALOG - DRY '!E3265,"AAAAADi7/ZI=")</f>
        <v>#VALUE!</v>
      </c>
      <c r="ER148" t="e">
        <f>AND('STERLING CATALOG - DRY '!F3265,"AAAAADi7/ZM=")</f>
        <v>#VALUE!</v>
      </c>
      <c r="ES148" t="e">
        <f>AND('STERLING CATALOG - DRY '!G3265,"AAAAADi7/ZQ=")</f>
        <v>#VALUE!</v>
      </c>
      <c r="ET148" t="e">
        <f>AND('STERLING CATALOG - DRY '!H3265,"AAAAADi7/ZU=")</f>
        <v>#VALUE!</v>
      </c>
      <c r="EU148" t="e">
        <f>AND('STERLING CATALOG - DRY '!I3265,"AAAAADi7/ZY=")</f>
        <v>#VALUE!</v>
      </c>
      <c r="EV148" t="e">
        <f>AND('STERLING CATALOG - DRY '!J3265,"AAAAADi7/Zc=")</f>
        <v>#VALUE!</v>
      </c>
      <c r="EW148">
        <f>IF('STERLING CATALOG - DRY '!3266:3266,"AAAAADi7/Zg=",0)</f>
        <v>0</v>
      </c>
      <c r="EX148" t="e">
        <f>AND('STERLING CATALOG - DRY '!A3266,"AAAAADi7/Zk=")</f>
        <v>#VALUE!</v>
      </c>
      <c r="EY148" t="e">
        <f>AND('STERLING CATALOG - DRY '!B3266,"AAAAADi7/Zo=")</f>
        <v>#VALUE!</v>
      </c>
      <c r="EZ148" t="e">
        <f>AND('STERLING CATALOG - DRY '!C3266,"AAAAADi7/Zs=")</f>
        <v>#VALUE!</v>
      </c>
      <c r="FA148" t="e">
        <f>AND('STERLING CATALOG - DRY '!D3266,"AAAAADi7/Zw=")</f>
        <v>#VALUE!</v>
      </c>
      <c r="FB148" t="e">
        <f>AND('STERLING CATALOG - DRY '!E3266,"AAAAADi7/Z0=")</f>
        <v>#VALUE!</v>
      </c>
      <c r="FC148" t="e">
        <f>AND('STERLING CATALOG - DRY '!F3266,"AAAAADi7/Z4=")</f>
        <v>#VALUE!</v>
      </c>
      <c r="FD148" t="e">
        <f>AND('STERLING CATALOG - DRY '!G3266,"AAAAADi7/Z8=")</f>
        <v>#VALUE!</v>
      </c>
      <c r="FE148" t="e">
        <f>AND('STERLING CATALOG - DRY '!H3266,"AAAAADi7/aA=")</f>
        <v>#VALUE!</v>
      </c>
      <c r="FF148" t="e">
        <f>AND('STERLING CATALOG - DRY '!I3266,"AAAAADi7/aE=")</f>
        <v>#VALUE!</v>
      </c>
      <c r="FG148" t="e">
        <f>AND('STERLING CATALOG - DRY '!J3266,"AAAAADi7/aI=")</f>
        <v>#VALUE!</v>
      </c>
      <c r="FH148">
        <f>IF('STERLING CATALOG - DRY '!3267:3267,"AAAAADi7/aM=",0)</f>
        <v>0</v>
      </c>
      <c r="FI148" t="e">
        <f>AND('STERLING CATALOG - DRY '!A3267,"AAAAADi7/aQ=")</f>
        <v>#VALUE!</v>
      </c>
      <c r="FJ148" t="e">
        <f>AND('STERLING CATALOG - DRY '!B3267,"AAAAADi7/aU=")</f>
        <v>#VALUE!</v>
      </c>
      <c r="FK148" t="e">
        <f>AND('STERLING CATALOG - DRY '!C3267,"AAAAADi7/aY=")</f>
        <v>#VALUE!</v>
      </c>
      <c r="FL148" t="e">
        <f>AND('STERLING CATALOG - DRY '!D3267,"AAAAADi7/ac=")</f>
        <v>#VALUE!</v>
      </c>
      <c r="FM148" t="e">
        <f>AND('STERLING CATALOG - DRY '!E3267,"AAAAADi7/ag=")</f>
        <v>#VALUE!</v>
      </c>
      <c r="FN148" t="e">
        <f>AND('STERLING CATALOG - DRY '!F3267,"AAAAADi7/ak=")</f>
        <v>#VALUE!</v>
      </c>
      <c r="FO148" t="e">
        <f>AND('STERLING CATALOG - DRY '!G3267,"AAAAADi7/ao=")</f>
        <v>#VALUE!</v>
      </c>
      <c r="FP148" t="e">
        <f>AND('STERLING CATALOG - DRY '!H3267,"AAAAADi7/as=")</f>
        <v>#VALUE!</v>
      </c>
      <c r="FQ148" t="e">
        <f>AND('STERLING CATALOG - DRY '!I3267,"AAAAADi7/aw=")</f>
        <v>#VALUE!</v>
      </c>
      <c r="FR148" t="e">
        <f>AND('STERLING CATALOG - DRY '!J3267,"AAAAADi7/a0=")</f>
        <v>#VALUE!</v>
      </c>
      <c r="FS148">
        <f>IF('STERLING CATALOG - DRY '!3268:3268,"AAAAADi7/a4=",0)</f>
        <v>0</v>
      </c>
      <c r="FT148" t="e">
        <f>AND('STERLING CATALOG - DRY '!A3268,"AAAAADi7/a8=")</f>
        <v>#VALUE!</v>
      </c>
      <c r="FU148" t="e">
        <f>AND('STERLING CATALOG - DRY '!B3268,"AAAAADi7/bA=")</f>
        <v>#VALUE!</v>
      </c>
      <c r="FV148" t="e">
        <f>AND('STERLING CATALOG - DRY '!C3268,"AAAAADi7/bE=")</f>
        <v>#VALUE!</v>
      </c>
      <c r="FW148" t="e">
        <f>AND('STERLING CATALOG - DRY '!D3268,"AAAAADi7/bI=")</f>
        <v>#VALUE!</v>
      </c>
      <c r="FX148" t="e">
        <f>AND('STERLING CATALOG - DRY '!E3268,"AAAAADi7/bM=")</f>
        <v>#VALUE!</v>
      </c>
      <c r="FY148" t="e">
        <f>AND('STERLING CATALOG - DRY '!F3268,"AAAAADi7/bQ=")</f>
        <v>#VALUE!</v>
      </c>
      <c r="FZ148" t="e">
        <f>AND('STERLING CATALOG - DRY '!G3268,"AAAAADi7/bU=")</f>
        <v>#VALUE!</v>
      </c>
      <c r="GA148" t="e">
        <f>AND('STERLING CATALOG - DRY '!H3268,"AAAAADi7/bY=")</f>
        <v>#VALUE!</v>
      </c>
      <c r="GB148" t="e">
        <f>AND('STERLING CATALOG - DRY '!I3268,"AAAAADi7/bc=")</f>
        <v>#VALUE!</v>
      </c>
      <c r="GC148" t="e">
        <f>AND('STERLING CATALOG - DRY '!J3268,"AAAAADi7/bg=")</f>
        <v>#VALUE!</v>
      </c>
      <c r="GD148">
        <f>IF('STERLING CATALOG - DRY '!3269:3269,"AAAAADi7/bk=",0)</f>
        <v>0</v>
      </c>
      <c r="GE148" t="e">
        <f>AND('STERLING CATALOG - DRY '!A3269,"AAAAADi7/bo=")</f>
        <v>#VALUE!</v>
      </c>
      <c r="GF148" t="e">
        <f>AND('STERLING CATALOG - DRY '!B3269,"AAAAADi7/bs=")</f>
        <v>#VALUE!</v>
      </c>
      <c r="GG148" t="e">
        <f>AND('STERLING CATALOG - DRY '!C3269,"AAAAADi7/bw=")</f>
        <v>#VALUE!</v>
      </c>
      <c r="GH148" t="e">
        <f>AND('STERLING CATALOG - DRY '!D3269,"AAAAADi7/b0=")</f>
        <v>#VALUE!</v>
      </c>
      <c r="GI148" t="e">
        <f>AND('STERLING CATALOG - DRY '!E3269,"AAAAADi7/b4=")</f>
        <v>#VALUE!</v>
      </c>
      <c r="GJ148" t="e">
        <f>AND('STERLING CATALOG - DRY '!F3269,"AAAAADi7/b8=")</f>
        <v>#VALUE!</v>
      </c>
      <c r="GK148" t="e">
        <f>AND('STERLING CATALOG - DRY '!G3269,"AAAAADi7/cA=")</f>
        <v>#VALUE!</v>
      </c>
      <c r="GL148" t="e">
        <f>AND('STERLING CATALOG - DRY '!H3269,"AAAAADi7/cE=")</f>
        <v>#VALUE!</v>
      </c>
      <c r="GM148" t="e">
        <f>AND('STERLING CATALOG - DRY '!I3269,"AAAAADi7/cI=")</f>
        <v>#VALUE!</v>
      </c>
      <c r="GN148" t="e">
        <f>AND('STERLING CATALOG - DRY '!J3269,"AAAAADi7/cM=")</f>
        <v>#VALUE!</v>
      </c>
      <c r="GO148">
        <f>IF('STERLING CATALOG - DRY '!3270:3270,"AAAAADi7/cQ=",0)</f>
        <v>0</v>
      </c>
      <c r="GP148" t="e">
        <f>AND('STERLING CATALOG - DRY '!A3270,"AAAAADi7/cU=")</f>
        <v>#VALUE!</v>
      </c>
      <c r="GQ148" t="e">
        <f>AND('STERLING CATALOG - DRY '!B3270,"AAAAADi7/cY=")</f>
        <v>#VALUE!</v>
      </c>
      <c r="GR148" t="e">
        <f>AND('STERLING CATALOG - DRY '!C3270,"AAAAADi7/cc=")</f>
        <v>#VALUE!</v>
      </c>
      <c r="GS148" t="e">
        <f>AND('STERLING CATALOG - DRY '!D3270,"AAAAADi7/cg=")</f>
        <v>#VALUE!</v>
      </c>
      <c r="GT148" t="e">
        <f>AND('STERLING CATALOG - DRY '!E3270,"AAAAADi7/ck=")</f>
        <v>#VALUE!</v>
      </c>
      <c r="GU148" t="e">
        <f>AND('STERLING CATALOG - DRY '!F3270,"AAAAADi7/co=")</f>
        <v>#VALUE!</v>
      </c>
      <c r="GV148" t="e">
        <f>AND('STERLING CATALOG - DRY '!G3270,"AAAAADi7/cs=")</f>
        <v>#VALUE!</v>
      </c>
      <c r="GW148" t="e">
        <f>AND('STERLING CATALOG - DRY '!H3270,"AAAAADi7/cw=")</f>
        <v>#VALUE!</v>
      </c>
      <c r="GX148" t="e">
        <f>AND('STERLING CATALOG - DRY '!I3270,"AAAAADi7/c0=")</f>
        <v>#VALUE!</v>
      </c>
      <c r="GY148" t="e">
        <f>AND('STERLING CATALOG - DRY '!J3270,"AAAAADi7/c4=")</f>
        <v>#VALUE!</v>
      </c>
      <c r="GZ148">
        <f>IF('STERLING CATALOG - DRY '!3271:3271,"AAAAADi7/c8=",0)</f>
        <v>0</v>
      </c>
      <c r="HA148" t="e">
        <f>AND('STERLING CATALOG - DRY '!A3271,"AAAAADi7/dA=")</f>
        <v>#VALUE!</v>
      </c>
      <c r="HB148" t="e">
        <f>AND('STERLING CATALOG - DRY '!B3271,"AAAAADi7/dE=")</f>
        <v>#VALUE!</v>
      </c>
      <c r="HC148" t="e">
        <f>AND('STERLING CATALOG - DRY '!C3271,"AAAAADi7/dI=")</f>
        <v>#VALUE!</v>
      </c>
      <c r="HD148" t="e">
        <f>AND('STERLING CATALOG - DRY '!D3271,"AAAAADi7/dM=")</f>
        <v>#VALUE!</v>
      </c>
      <c r="HE148" t="e">
        <f>AND('STERLING CATALOG - DRY '!E3271,"AAAAADi7/dQ=")</f>
        <v>#VALUE!</v>
      </c>
      <c r="HF148" t="e">
        <f>AND('STERLING CATALOG - DRY '!F3271,"AAAAADi7/dU=")</f>
        <v>#VALUE!</v>
      </c>
      <c r="HG148" t="e">
        <f>AND('STERLING CATALOG - DRY '!G3271,"AAAAADi7/dY=")</f>
        <v>#VALUE!</v>
      </c>
      <c r="HH148" t="e">
        <f>AND('STERLING CATALOG - DRY '!H3271,"AAAAADi7/dc=")</f>
        <v>#VALUE!</v>
      </c>
      <c r="HI148" t="e">
        <f>AND('STERLING CATALOG - DRY '!I3271,"AAAAADi7/dg=")</f>
        <v>#VALUE!</v>
      </c>
      <c r="HJ148" t="e">
        <f>AND('STERLING CATALOG - DRY '!J3271,"AAAAADi7/dk=")</f>
        <v>#VALUE!</v>
      </c>
      <c r="HK148">
        <f>IF('STERLING CATALOG - DRY '!3272:3272,"AAAAADi7/do=",0)</f>
        <v>0</v>
      </c>
      <c r="HL148" t="e">
        <f>AND('STERLING CATALOG - DRY '!A3272,"AAAAADi7/ds=")</f>
        <v>#VALUE!</v>
      </c>
      <c r="HM148" t="e">
        <f>AND('STERLING CATALOG - DRY '!B3272,"AAAAADi7/dw=")</f>
        <v>#VALUE!</v>
      </c>
      <c r="HN148" t="e">
        <f>AND('STERLING CATALOG - DRY '!C3272,"AAAAADi7/d0=")</f>
        <v>#VALUE!</v>
      </c>
      <c r="HO148" t="e">
        <f>AND('STERLING CATALOG - DRY '!D3272,"AAAAADi7/d4=")</f>
        <v>#VALUE!</v>
      </c>
      <c r="HP148" t="e">
        <f>AND('STERLING CATALOG - DRY '!E3272,"AAAAADi7/d8=")</f>
        <v>#VALUE!</v>
      </c>
      <c r="HQ148" t="e">
        <f>AND('STERLING CATALOG - DRY '!F3272,"AAAAADi7/eA=")</f>
        <v>#VALUE!</v>
      </c>
      <c r="HR148" t="e">
        <f>AND('STERLING CATALOG - DRY '!G3272,"AAAAADi7/eE=")</f>
        <v>#VALUE!</v>
      </c>
      <c r="HS148" t="e">
        <f>AND('STERLING CATALOG - DRY '!H3272,"AAAAADi7/eI=")</f>
        <v>#VALUE!</v>
      </c>
      <c r="HT148" t="e">
        <f>AND('STERLING CATALOG - DRY '!I3272,"AAAAADi7/eM=")</f>
        <v>#VALUE!</v>
      </c>
      <c r="HU148" t="e">
        <f>AND('STERLING CATALOG - DRY '!J3272,"AAAAADi7/eQ=")</f>
        <v>#VALUE!</v>
      </c>
      <c r="HV148">
        <f>IF('STERLING CATALOG - DRY '!3273:3273,"AAAAADi7/eU=",0)</f>
        <v>0</v>
      </c>
      <c r="HW148" t="e">
        <f>AND('STERLING CATALOG - DRY '!A3273,"AAAAADi7/eY=")</f>
        <v>#VALUE!</v>
      </c>
      <c r="HX148" t="e">
        <f>AND('STERLING CATALOG - DRY '!B3273,"AAAAADi7/ec=")</f>
        <v>#VALUE!</v>
      </c>
      <c r="HY148" t="e">
        <f>AND('STERLING CATALOG - DRY '!C3273,"AAAAADi7/eg=")</f>
        <v>#VALUE!</v>
      </c>
      <c r="HZ148" t="e">
        <f>AND('STERLING CATALOG - DRY '!D3273,"AAAAADi7/ek=")</f>
        <v>#VALUE!</v>
      </c>
      <c r="IA148" t="e">
        <f>AND('STERLING CATALOG - DRY '!E3273,"AAAAADi7/eo=")</f>
        <v>#VALUE!</v>
      </c>
      <c r="IB148" t="e">
        <f>AND('STERLING CATALOG - DRY '!F3273,"AAAAADi7/es=")</f>
        <v>#VALUE!</v>
      </c>
      <c r="IC148" t="e">
        <f>AND('STERLING CATALOG - DRY '!G3273,"AAAAADi7/ew=")</f>
        <v>#VALUE!</v>
      </c>
      <c r="ID148" t="e">
        <f>AND('STERLING CATALOG - DRY '!H3273,"AAAAADi7/e0=")</f>
        <v>#VALUE!</v>
      </c>
      <c r="IE148" t="e">
        <f>AND('STERLING CATALOG - DRY '!I3273,"AAAAADi7/e4=")</f>
        <v>#VALUE!</v>
      </c>
      <c r="IF148" t="e">
        <f>AND('STERLING CATALOG - DRY '!J3273,"AAAAADi7/e8=")</f>
        <v>#VALUE!</v>
      </c>
      <c r="IG148">
        <f>IF('STERLING CATALOG - DRY '!3274:3274,"AAAAADi7/fA=",0)</f>
        <v>0</v>
      </c>
      <c r="IH148" t="e">
        <f>AND('STERLING CATALOG - DRY '!A3274,"AAAAADi7/fE=")</f>
        <v>#VALUE!</v>
      </c>
      <c r="II148" t="e">
        <f>AND('STERLING CATALOG - DRY '!B3274,"AAAAADi7/fI=")</f>
        <v>#VALUE!</v>
      </c>
      <c r="IJ148" t="e">
        <f>AND('STERLING CATALOG - DRY '!C3274,"AAAAADi7/fM=")</f>
        <v>#VALUE!</v>
      </c>
      <c r="IK148" t="e">
        <f>AND('STERLING CATALOG - DRY '!D3274,"AAAAADi7/fQ=")</f>
        <v>#VALUE!</v>
      </c>
      <c r="IL148" t="e">
        <f>AND('STERLING CATALOG - DRY '!E3274,"AAAAADi7/fU=")</f>
        <v>#VALUE!</v>
      </c>
      <c r="IM148" t="e">
        <f>AND('STERLING CATALOG - DRY '!F3274,"AAAAADi7/fY=")</f>
        <v>#VALUE!</v>
      </c>
      <c r="IN148" t="e">
        <f>AND('STERLING CATALOG - DRY '!G3274,"AAAAADi7/fc=")</f>
        <v>#VALUE!</v>
      </c>
      <c r="IO148" t="e">
        <f>AND('STERLING CATALOG - DRY '!H3274,"AAAAADi7/fg=")</f>
        <v>#VALUE!</v>
      </c>
      <c r="IP148" t="e">
        <f>AND('STERLING CATALOG - DRY '!I3274,"AAAAADi7/fk=")</f>
        <v>#VALUE!</v>
      </c>
      <c r="IQ148" t="e">
        <f>AND('STERLING CATALOG - DRY '!J3274,"AAAAADi7/fo=")</f>
        <v>#VALUE!</v>
      </c>
      <c r="IR148">
        <f>IF('STERLING CATALOG - DRY '!3275:3275,"AAAAADi7/fs=",0)</f>
        <v>0</v>
      </c>
      <c r="IS148" t="e">
        <f>AND('STERLING CATALOG - DRY '!A3275,"AAAAADi7/fw=")</f>
        <v>#VALUE!</v>
      </c>
      <c r="IT148" t="e">
        <f>AND('STERLING CATALOG - DRY '!B3275,"AAAAADi7/f0=")</f>
        <v>#VALUE!</v>
      </c>
      <c r="IU148" t="e">
        <f>AND('STERLING CATALOG - DRY '!C3275,"AAAAADi7/f4=")</f>
        <v>#VALUE!</v>
      </c>
      <c r="IV148" t="e">
        <f>AND('STERLING CATALOG - DRY '!D3275,"AAAAADi7/f8=")</f>
        <v>#VALUE!</v>
      </c>
    </row>
    <row r="149" spans="1:256">
      <c r="A149" t="e">
        <f>AND('STERLING CATALOG - DRY '!E3275,"AAAAAH/k+wA=")</f>
        <v>#VALUE!</v>
      </c>
      <c r="B149" t="e">
        <f>AND('STERLING CATALOG - DRY '!F3275,"AAAAAH/k+wE=")</f>
        <v>#VALUE!</v>
      </c>
      <c r="C149" t="e">
        <f>AND('STERLING CATALOG - DRY '!G3275,"AAAAAH/k+wI=")</f>
        <v>#VALUE!</v>
      </c>
      <c r="D149" t="e">
        <f>AND('STERLING CATALOG - DRY '!H3275,"AAAAAH/k+wM=")</f>
        <v>#VALUE!</v>
      </c>
      <c r="E149" t="e">
        <f>AND('STERLING CATALOG - DRY '!I3275,"AAAAAH/k+wQ=")</f>
        <v>#VALUE!</v>
      </c>
      <c r="F149" t="e">
        <f>AND('STERLING CATALOG - DRY '!J3275,"AAAAAH/k+wU=")</f>
        <v>#VALUE!</v>
      </c>
      <c r="G149">
        <f>IF('STERLING CATALOG - DRY '!3276:3276,"AAAAAH/k+wY=",0)</f>
        <v>0</v>
      </c>
      <c r="H149" t="e">
        <f>AND('STERLING CATALOG - DRY '!A3276,"AAAAAH/k+wc=")</f>
        <v>#VALUE!</v>
      </c>
      <c r="I149" t="e">
        <f>AND('STERLING CATALOG - DRY '!B3276,"AAAAAH/k+wg=")</f>
        <v>#VALUE!</v>
      </c>
      <c r="J149" t="e">
        <f>AND('STERLING CATALOG - DRY '!C3276,"AAAAAH/k+wk=")</f>
        <v>#VALUE!</v>
      </c>
      <c r="K149" t="e">
        <f>AND('STERLING CATALOG - DRY '!D3276,"AAAAAH/k+wo=")</f>
        <v>#VALUE!</v>
      </c>
      <c r="L149" t="e">
        <f>AND('STERLING CATALOG - DRY '!E3276,"AAAAAH/k+ws=")</f>
        <v>#VALUE!</v>
      </c>
      <c r="M149" t="e">
        <f>AND('STERLING CATALOG - DRY '!F3276,"AAAAAH/k+ww=")</f>
        <v>#VALUE!</v>
      </c>
      <c r="N149" t="e">
        <f>AND('STERLING CATALOG - DRY '!G3276,"AAAAAH/k+w0=")</f>
        <v>#VALUE!</v>
      </c>
      <c r="O149" t="e">
        <f>AND('STERLING CATALOG - DRY '!H3276,"AAAAAH/k+w4=")</f>
        <v>#VALUE!</v>
      </c>
      <c r="P149" t="e">
        <f>AND('STERLING CATALOG - DRY '!I3276,"AAAAAH/k+w8=")</f>
        <v>#VALUE!</v>
      </c>
      <c r="Q149" t="e">
        <f>AND('STERLING CATALOG - DRY '!J3276,"AAAAAH/k+xA=")</f>
        <v>#VALUE!</v>
      </c>
      <c r="R149">
        <f>IF('STERLING CATALOG - DRY '!3277:3277,"AAAAAH/k+xE=",0)</f>
        <v>0</v>
      </c>
      <c r="S149" t="e">
        <f>AND('STERLING CATALOG - DRY '!A3277,"AAAAAH/k+xI=")</f>
        <v>#VALUE!</v>
      </c>
      <c r="T149" t="e">
        <f>AND('STERLING CATALOG - DRY '!B3277,"AAAAAH/k+xM=")</f>
        <v>#VALUE!</v>
      </c>
      <c r="U149" t="e">
        <f>AND('STERLING CATALOG - DRY '!C3277,"AAAAAH/k+xQ=")</f>
        <v>#VALUE!</v>
      </c>
      <c r="V149" t="e">
        <f>AND('STERLING CATALOG - DRY '!D3277,"AAAAAH/k+xU=")</f>
        <v>#VALUE!</v>
      </c>
      <c r="W149" t="e">
        <f>AND('STERLING CATALOG - DRY '!E3277,"AAAAAH/k+xY=")</f>
        <v>#VALUE!</v>
      </c>
      <c r="X149" t="e">
        <f>AND('STERLING CATALOG - DRY '!F3277,"AAAAAH/k+xc=")</f>
        <v>#VALUE!</v>
      </c>
      <c r="Y149" t="e">
        <f>AND('STERLING CATALOG - DRY '!G3277,"AAAAAH/k+xg=")</f>
        <v>#VALUE!</v>
      </c>
      <c r="Z149" t="e">
        <f>AND('STERLING CATALOG - DRY '!H3277,"AAAAAH/k+xk=")</f>
        <v>#VALUE!</v>
      </c>
      <c r="AA149" t="e">
        <f>AND('STERLING CATALOG - DRY '!I3277,"AAAAAH/k+xo=")</f>
        <v>#VALUE!</v>
      </c>
      <c r="AB149" t="e">
        <f>AND('STERLING CATALOG - DRY '!J3277,"AAAAAH/k+xs=")</f>
        <v>#VALUE!</v>
      </c>
      <c r="AC149">
        <f>IF('STERLING CATALOG - DRY '!3278:3278,"AAAAAH/k+xw=",0)</f>
        <v>0</v>
      </c>
      <c r="AD149" t="e">
        <f>AND('STERLING CATALOG - DRY '!A3278,"AAAAAH/k+x0=")</f>
        <v>#VALUE!</v>
      </c>
      <c r="AE149" t="e">
        <f>AND('STERLING CATALOG - DRY '!B3278,"AAAAAH/k+x4=")</f>
        <v>#VALUE!</v>
      </c>
      <c r="AF149" t="e">
        <f>AND('STERLING CATALOG - DRY '!C3278,"AAAAAH/k+x8=")</f>
        <v>#VALUE!</v>
      </c>
      <c r="AG149" t="e">
        <f>AND('STERLING CATALOG - DRY '!D3278,"AAAAAH/k+yA=")</f>
        <v>#VALUE!</v>
      </c>
      <c r="AH149" t="e">
        <f>AND('STERLING CATALOG - DRY '!E3278,"AAAAAH/k+yE=")</f>
        <v>#VALUE!</v>
      </c>
      <c r="AI149" t="e">
        <f>AND('STERLING CATALOG - DRY '!F3278,"AAAAAH/k+yI=")</f>
        <v>#VALUE!</v>
      </c>
      <c r="AJ149" t="e">
        <f>AND('STERLING CATALOG - DRY '!G3278,"AAAAAH/k+yM=")</f>
        <v>#VALUE!</v>
      </c>
      <c r="AK149" t="e">
        <f>AND('STERLING CATALOG - DRY '!H3278,"AAAAAH/k+yQ=")</f>
        <v>#VALUE!</v>
      </c>
      <c r="AL149" t="e">
        <f>AND('STERLING CATALOG - DRY '!I3278,"AAAAAH/k+yU=")</f>
        <v>#VALUE!</v>
      </c>
      <c r="AM149" t="e">
        <f>AND('STERLING CATALOG - DRY '!J3278,"AAAAAH/k+yY=")</f>
        <v>#VALUE!</v>
      </c>
      <c r="AN149">
        <f>IF('STERLING CATALOG - DRY '!3279:3279,"AAAAAH/k+yc=",0)</f>
        <v>0</v>
      </c>
      <c r="AO149" t="e">
        <f>AND('STERLING CATALOG - DRY '!A3279,"AAAAAH/k+yg=")</f>
        <v>#VALUE!</v>
      </c>
      <c r="AP149" t="e">
        <f>AND('STERLING CATALOG - DRY '!B3279,"AAAAAH/k+yk=")</f>
        <v>#VALUE!</v>
      </c>
      <c r="AQ149" t="e">
        <f>AND('STERLING CATALOG - DRY '!C3279,"AAAAAH/k+yo=")</f>
        <v>#VALUE!</v>
      </c>
      <c r="AR149" t="e">
        <f>AND('STERLING CATALOG - DRY '!D3279,"AAAAAH/k+ys=")</f>
        <v>#VALUE!</v>
      </c>
      <c r="AS149" t="e">
        <f>AND('STERLING CATALOG - DRY '!E3279,"AAAAAH/k+yw=")</f>
        <v>#VALUE!</v>
      </c>
      <c r="AT149" t="e">
        <f>AND('STERLING CATALOG - DRY '!F3279,"AAAAAH/k+y0=")</f>
        <v>#VALUE!</v>
      </c>
      <c r="AU149" t="e">
        <f>AND('STERLING CATALOG - DRY '!G3279,"AAAAAH/k+y4=")</f>
        <v>#VALUE!</v>
      </c>
      <c r="AV149" t="e">
        <f>AND('STERLING CATALOG - DRY '!H3279,"AAAAAH/k+y8=")</f>
        <v>#VALUE!</v>
      </c>
      <c r="AW149" t="e">
        <f>AND('STERLING CATALOG - DRY '!I3279,"AAAAAH/k+zA=")</f>
        <v>#VALUE!</v>
      </c>
      <c r="AX149" t="e">
        <f>AND('STERLING CATALOG - DRY '!J3279,"AAAAAH/k+zE=")</f>
        <v>#VALUE!</v>
      </c>
      <c r="AY149">
        <f>IF('STERLING CATALOG - DRY '!3280:3280,"AAAAAH/k+zI=",0)</f>
        <v>0</v>
      </c>
      <c r="AZ149" t="e">
        <f>AND('STERLING CATALOG - DRY '!A3280,"AAAAAH/k+zM=")</f>
        <v>#VALUE!</v>
      </c>
      <c r="BA149" t="e">
        <f>AND('STERLING CATALOG - DRY '!B3280,"AAAAAH/k+zQ=")</f>
        <v>#VALUE!</v>
      </c>
      <c r="BB149" t="e">
        <f>AND('STERLING CATALOG - DRY '!C3280,"AAAAAH/k+zU=")</f>
        <v>#VALUE!</v>
      </c>
      <c r="BC149" t="e">
        <f>AND('STERLING CATALOG - DRY '!D3280,"AAAAAH/k+zY=")</f>
        <v>#VALUE!</v>
      </c>
      <c r="BD149" t="e">
        <f>AND('STERLING CATALOG - DRY '!E3280,"AAAAAH/k+zc=")</f>
        <v>#VALUE!</v>
      </c>
      <c r="BE149" t="e">
        <f>AND('STERLING CATALOG - DRY '!F3280,"AAAAAH/k+zg=")</f>
        <v>#VALUE!</v>
      </c>
      <c r="BF149" t="e">
        <f>AND('STERLING CATALOG - DRY '!G3280,"AAAAAH/k+zk=")</f>
        <v>#VALUE!</v>
      </c>
      <c r="BG149" t="e">
        <f>AND('STERLING CATALOG - DRY '!H3280,"AAAAAH/k+zo=")</f>
        <v>#VALUE!</v>
      </c>
      <c r="BH149" t="e">
        <f>AND('STERLING CATALOG - DRY '!I3280,"AAAAAH/k+zs=")</f>
        <v>#VALUE!</v>
      </c>
      <c r="BI149" t="e">
        <f>AND('STERLING CATALOG - DRY '!J3280,"AAAAAH/k+zw=")</f>
        <v>#VALUE!</v>
      </c>
      <c r="BJ149">
        <f>IF('STERLING CATALOG - DRY '!3281:3281,"AAAAAH/k+z0=",0)</f>
        <v>0</v>
      </c>
      <c r="BK149" t="e">
        <f>AND('STERLING CATALOG - DRY '!A3281,"AAAAAH/k+z4=")</f>
        <v>#VALUE!</v>
      </c>
      <c r="BL149" t="e">
        <f>AND('STERLING CATALOG - DRY '!B3281,"AAAAAH/k+z8=")</f>
        <v>#VALUE!</v>
      </c>
      <c r="BM149" t="e">
        <f>AND('STERLING CATALOG - DRY '!C3281,"AAAAAH/k+0A=")</f>
        <v>#VALUE!</v>
      </c>
      <c r="BN149" t="e">
        <f>AND('STERLING CATALOG - DRY '!D3281,"AAAAAH/k+0E=")</f>
        <v>#VALUE!</v>
      </c>
      <c r="BO149" t="e">
        <f>AND('STERLING CATALOG - DRY '!E3281,"AAAAAH/k+0I=")</f>
        <v>#VALUE!</v>
      </c>
      <c r="BP149" t="e">
        <f>AND('STERLING CATALOG - DRY '!F3281,"AAAAAH/k+0M=")</f>
        <v>#VALUE!</v>
      </c>
      <c r="BQ149" t="e">
        <f>AND('STERLING CATALOG - DRY '!G3281,"AAAAAH/k+0Q=")</f>
        <v>#VALUE!</v>
      </c>
      <c r="BR149" t="e">
        <f>AND('STERLING CATALOG - DRY '!H3281,"AAAAAH/k+0U=")</f>
        <v>#VALUE!</v>
      </c>
      <c r="BS149" t="e">
        <f>AND('STERLING CATALOG - DRY '!I3281,"AAAAAH/k+0Y=")</f>
        <v>#VALUE!</v>
      </c>
      <c r="BT149" t="e">
        <f>AND('STERLING CATALOG - DRY '!J3281,"AAAAAH/k+0c=")</f>
        <v>#VALUE!</v>
      </c>
      <c r="BU149">
        <f>IF('STERLING CATALOG - DRY '!3282:3282,"AAAAAH/k+0g=",0)</f>
        <v>0</v>
      </c>
      <c r="BV149" t="e">
        <f>AND('STERLING CATALOG - DRY '!A3282,"AAAAAH/k+0k=")</f>
        <v>#VALUE!</v>
      </c>
      <c r="BW149" t="e">
        <f>AND('STERLING CATALOG - DRY '!B3282,"AAAAAH/k+0o=")</f>
        <v>#VALUE!</v>
      </c>
      <c r="BX149" t="e">
        <f>AND('STERLING CATALOG - DRY '!C3282,"AAAAAH/k+0s=")</f>
        <v>#VALUE!</v>
      </c>
      <c r="BY149" t="e">
        <f>AND('STERLING CATALOG - DRY '!D3282,"AAAAAH/k+0w=")</f>
        <v>#VALUE!</v>
      </c>
      <c r="BZ149" t="e">
        <f>AND('STERLING CATALOG - DRY '!E3282,"AAAAAH/k+00=")</f>
        <v>#VALUE!</v>
      </c>
      <c r="CA149" t="e">
        <f>AND('STERLING CATALOG - DRY '!F3282,"AAAAAH/k+04=")</f>
        <v>#VALUE!</v>
      </c>
      <c r="CB149" t="e">
        <f>AND('STERLING CATALOG - DRY '!G3282,"AAAAAH/k+08=")</f>
        <v>#VALUE!</v>
      </c>
      <c r="CC149" t="e">
        <f>AND('STERLING CATALOG - DRY '!H3282,"AAAAAH/k+1A=")</f>
        <v>#VALUE!</v>
      </c>
      <c r="CD149" t="e">
        <f>AND('STERLING CATALOG - DRY '!I3282,"AAAAAH/k+1E=")</f>
        <v>#VALUE!</v>
      </c>
      <c r="CE149" t="e">
        <f>AND('STERLING CATALOG - DRY '!J3282,"AAAAAH/k+1I=")</f>
        <v>#VALUE!</v>
      </c>
      <c r="CF149">
        <f>IF('STERLING CATALOG - DRY '!3283:3283,"AAAAAH/k+1M=",0)</f>
        <v>0</v>
      </c>
      <c r="CG149" t="e">
        <f>AND('STERLING CATALOG - DRY '!A3283,"AAAAAH/k+1Q=")</f>
        <v>#VALUE!</v>
      </c>
      <c r="CH149" t="e">
        <f>AND('STERLING CATALOG - DRY '!B3283,"AAAAAH/k+1U=")</f>
        <v>#VALUE!</v>
      </c>
      <c r="CI149" t="e">
        <f>AND('STERLING CATALOG - DRY '!C3283,"AAAAAH/k+1Y=")</f>
        <v>#VALUE!</v>
      </c>
      <c r="CJ149" t="e">
        <f>AND('STERLING CATALOG - DRY '!D3283,"AAAAAH/k+1c=")</f>
        <v>#VALUE!</v>
      </c>
      <c r="CK149" t="e">
        <f>AND('STERLING CATALOG - DRY '!E3283,"AAAAAH/k+1g=")</f>
        <v>#VALUE!</v>
      </c>
      <c r="CL149" t="e">
        <f>AND('STERLING CATALOG - DRY '!F3283,"AAAAAH/k+1k=")</f>
        <v>#VALUE!</v>
      </c>
      <c r="CM149" t="e">
        <f>AND('STERLING CATALOG - DRY '!G3283,"AAAAAH/k+1o=")</f>
        <v>#VALUE!</v>
      </c>
      <c r="CN149" t="e">
        <f>AND('STERLING CATALOG - DRY '!H3283,"AAAAAH/k+1s=")</f>
        <v>#VALUE!</v>
      </c>
      <c r="CO149" t="e">
        <f>AND('STERLING CATALOG - DRY '!I3283,"AAAAAH/k+1w=")</f>
        <v>#VALUE!</v>
      </c>
      <c r="CP149" t="e">
        <f>AND('STERLING CATALOG - DRY '!J3283,"AAAAAH/k+10=")</f>
        <v>#VALUE!</v>
      </c>
      <c r="CQ149">
        <f>IF('STERLING CATALOG - DRY '!3284:3284,"AAAAAH/k+14=",0)</f>
        <v>0</v>
      </c>
      <c r="CR149" t="e">
        <f>AND('STERLING CATALOG - DRY '!A3284,"AAAAAH/k+18=")</f>
        <v>#VALUE!</v>
      </c>
      <c r="CS149" t="e">
        <f>AND('STERLING CATALOG - DRY '!B3284,"AAAAAH/k+2A=")</f>
        <v>#VALUE!</v>
      </c>
      <c r="CT149" t="e">
        <f>AND('STERLING CATALOG - DRY '!C3284,"AAAAAH/k+2E=")</f>
        <v>#VALUE!</v>
      </c>
      <c r="CU149" t="e">
        <f>AND('STERLING CATALOG - DRY '!D3284,"AAAAAH/k+2I=")</f>
        <v>#VALUE!</v>
      </c>
      <c r="CV149" t="e">
        <f>AND('STERLING CATALOG - DRY '!E3284,"AAAAAH/k+2M=")</f>
        <v>#VALUE!</v>
      </c>
      <c r="CW149" t="e">
        <f>AND('STERLING CATALOG - DRY '!F3284,"AAAAAH/k+2Q=")</f>
        <v>#VALUE!</v>
      </c>
      <c r="CX149" t="e">
        <f>AND('STERLING CATALOG - DRY '!G3284,"AAAAAH/k+2U=")</f>
        <v>#VALUE!</v>
      </c>
      <c r="CY149" t="e">
        <f>AND('STERLING CATALOG - DRY '!H3284,"AAAAAH/k+2Y=")</f>
        <v>#VALUE!</v>
      </c>
      <c r="CZ149" t="e">
        <f>AND('STERLING CATALOG - DRY '!I3284,"AAAAAH/k+2c=")</f>
        <v>#VALUE!</v>
      </c>
      <c r="DA149" t="e">
        <f>AND('STERLING CATALOG - DRY '!J3284,"AAAAAH/k+2g=")</f>
        <v>#VALUE!</v>
      </c>
      <c r="DB149">
        <f>IF('STERLING CATALOG - DRY '!3285:3285,"AAAAAH/k+2k=",0)</f>
        <v>0</v>
      </c>
      <c r="DC149" t="e">
        <f>AND('STERLING CATALOG - DRY '!A3285,"AAAAAH/k+2o=")</f>
        <v>#VALUE!</v>
      </c>
      <c r="DD149" t="e">
        <f>AND('STERLING CATALOG - DRY '!B3285,"AAAAAH/k+2s=")</f>
        <v>#VALUE!</v>
      </c>
      <c r="DE149" t="e">
        <f>AND('STERLING CATALOG - DRY '!C3285,"AAAAAH/k+2w=")</f>
        <v>#VALUE!</v>
      </c>
      <c r="DF149" t="e">
        <f>AND('STERLING CATALOG - DRY '!D3285,"AAAAAH/k+20=")</f>
        <v>#VALUE!</v>
      </c>
      <c r="DG149" t="e">
        <f>AND('STERLING CATALOG - DRY '!E3285,"AAAAAH/k+24=")</f>
        <v>#VALUE!</v>
      </c>
      <c r="DH149" t="e">
        <f>AND('STERLING CATALOG - DRY '!F3285,"AAAAAH/k+28=")</f>
        <v>#VALUE!</v>
      </c>
      <c r="DI149" t="e">
        <f>AND('STERLING CATALOG - DRY '!G3285,"AAAAAH/k+3A=")</f>
        <v>#VALUE!</v>
      </c>
      <c r="DJ149" t="e">
        <f>AND('STERLING CATALOG - DRY '!H3285,"AAAAAH/k+3E=")</f>
        <v>#VALUE!</v>
      </c>
      <c r="DK149" t="e">
        <f>AND('STERLING CATALOG - DRY '!I3285,"AAAAAH/k+3I=")</f>
        <v>#VALUE!</v>
      </c>
      <c r="DL149" t="e">
        <f>AND('STERLING CATALOG - DRY '!J3285,"AAAAAH/k+3M=")</f>
        <v>#VALUE!</v>
      </c>
      <c r="DM149">
        <f>IF('STERLING CATALOG - DRY '!3286:3286,"AAAAAH/k+3Q=",0)</f>
        <v>0</v>
      </c>
      <c r="DN149" t="e">
        <f>AND('STERLING CATALOG - DRY '!A3286,"AAAAAH/k+3U=")</f>
        <v>#VALUE!</v>
      </c>
      <c r="DO149" t="e">
        <f>AND('STERLING CATALOG - DRY '!B3286,"AAAAAH/k+3Y=")</f>
        <v>#VALUE!</v>
      </c>
      <c r="DP149" t="e">
        <f>AND('STERLING CATALOG - DRY '!C3286,"AAAAAH/k+3c=")</f>
        <v>#VALUE!</v>
      </c>
      <c r="DQ149" t="e">
        <f>AND('STERLING CATALOG - DRY '!D3286,"AAAAAH/k+3g=")</f>
        <v>#VALUE!</v>
      </c>
      <c r="DR149" t="e">
        <f>AND('STERLING CATALOG - DRY '!E3286,"AAAAAH/k+3k=")</f>
        <v>#VALUE!</v>
      </c>
      <c r="DS149" t="e">
        <f>AND('STERLING CATALOG - DRY '!F3286,"AAAAAH/k+3o=")</f>
        <v>#VALUE!</v>
      </c>
      <c r="DT149" t="e">
        <f>AND('STERLING CATALOG - DRY '!G3286,"AAAAAH/k+3s=")</f>
        <v>#VALUE!</v>
      </c>
      <c r="DU149" t="e">
        <f>AND('STERLING CATALOG - DRY '!H3286,"AAAAAH/k+3w=")</f>
        <v>#VALUE!</v>
      </c>
      <c r="DV149" t="e">
        <f>AND('STERLING CATALOG - DRY '!I3286,"AAAAAH/k+30=")</f>
        <v>#VALUE!</v>
      </c>
      <c r="DW149" t="e">
        <f>AND('STERLING CATALOG - DRY '!J3286,"AAAAAH/k+34=")</f>
        <v>#VALUE!</v>
      </c>
      <c r="DX149">
        <f>IF('STERLING CATALOG - DRY '!3287:3287,"AAAAAH/k+38=",0)</f>
        <v>0</v>
      </c>
      <c r="DY149" t="e">
        <f>AND('STERLING CATALOG - DRY '!A3287,"AAAAAH/k+4A=")</f>
        <v>#VALUE!</v>
      </c>
      <c r="DZ149" t="e">
        <f>AND('STERLING CATALOG - DRY '!B3287,"AAAAAH/k+4E=")</f>
        <v>#VALUE!</v>
      </c>
      <c r="EA149" t="e">
        <f>AND('STERLING CATALOG - DRY '!C3287,"AAAAAH/k+4I=")</f>
        <v>#VALUE!</v>
      </c>
      <c r="EB149" t="e">
        <f>AND('STERLING CATALOG - DRY '!D3287,"AAAAAH/k+4M=")</f>
        <v>#VALUE!</v>
      </c>
      <c r="EC149" t="e">
        <f>AND('STERLING CATALOG - DRY '!E3287,"AAAAAH/k+4Q=")</f>
        <v>#VALUE!</v>
      </c>
      <c r="ED149" t="e">
        <f>AND('STERLING CATALOG - DRY '!F3287,"AAAAAH/k+4U=")</f>
        <v>#VALUE!</v>
      </c>
      <c r="EE149" t="e">
        <f>AND('STERLING CATALOG - DRY '!G3287,"AAAAAH/k+4Y=")</f>
        <v>#VALUE!</v>
      </c>
      <c r="EF149" t="e">
        <f>AND('STERLING CATALOG - DRY '!H3287,"AAAAAH/k+4c=")</f>
        <v>#VALUE!</v>
      </c>
      <c r="EG149" t="e">
        <f>AND('STERLING CATALOG - DRY '!I3287,"AAAAAH/k+4g=")</f>
        <v>#VALUE!</v>
      </c>
      <c r="EH149" t="e">
        <f>AND('STERLING CATALOG - DRY '!J3287,"AAAAAH/k+4k=")</f>
        <v>#VALUE!</v>
      </c>
      <c r="EI149">
        <f>IF('STERLING CATALOG - DRY '!3288:3288,"AAAAAH/k+4o=",0)</f>
        <v>0</v>
      </c>
      <c r="EJ149" t="e">
        <f>AND('STERLING CATALOG - DRY '!A3288,"AAAAAH/k+4s=")</f>
        <v>#VALUE!</v>
      </c>
      <c r="EK149" t="e">
        <f>AND('STERLING CATALOG - DRY '!B3288,"AAAAAH/k+4w=")</f>
        <v>#VALUE!</v>
      </c>
      <c r="EL149" t="e">
        <f>AND('STERLING CATALOG - DRY '!C3288,"AAAAAH/k+40=")</f>
        <v>#VALUE!</v>
      </c>
      <c r="EM149" t="e">
        <f>AND('STERLING CATALOG - DRY '!D3288,"AAAAAH/k+44=")</f>
        <v>#VALUE!</v>
      </c>
      <c r="EN149" t="e">
        <f>AND('STERLING CATALOG - DRY '!E3288,"AAAAAH/k+48=")</f>
        <v>#VALUE!</v>
      </c>
      <c r="EO149" t="e">
        <f>AND('STERLING CATALOG - DRY '!F3288,"AAAAAH/k+5A=")</f>
        <v>#VALUE!</v>
      </c>
      <c r="EP149" t="e">
        <f>AND('STERLING CATALOG - DRY '!G3288,"AAAAAH/k+5E=")</f>
        <v>#VALUE!</v>
      </c>
      <c r="EQ149" t="e">
        <f>AND('STERLING CATALOG - DRY '!H3288,"AAAAAH/k+5I=")</f>
        <v>#VALUE!</v>
      </c>
      <c r="ER149" t="e">
        <f>AND('STERLING CATALOG - DRY '!I3288,"AAAAAH/k+5M=")</f>
        <v>#VALUE!</v>
      </c>
      <c r="ES149" t="e">
        <f>AND('STERLING CATALOG - DRY '!J3288,"AAAAAH/k+5Q=")</f>
        <v>#VALUE!</v>
      </c>
      <c r="ET149">
        <f>IF('STERLING CATALOG - DRY '!3289:3289,"AAAAAH/k+5U=",0)</f>
        <v>0</v>
      </c>
      <c r="EU149" t="e">
        <f>AND('STERLING CATALOG - DRY '!A3289,"AAAAAH/k+5Y=")</f>
        <v>#VALUE!</v>
      </c>
      <c r="EV149" t="e">
        <f>AND('STERLING CATALOG - DRY '!B3289,"AAAAAH/k+5c=")</f>
        <v>#VALUE!</v>
      </c>
      <c r="EW149" t="e">
        <f>AND('STERLING CATALOG - DRY '!C3289,"AAAAAH/k+5g=")</f>
        <v>#VALUE!</v>
      </c>
      <c r="EX149" t="e">
        <f>AND('STERLING CATALOG - DRY '!D3289,"AAAAAH/k+5k=")</f>
        <v>#VALUE!</v>
      </c>
      <c r="EY149" t="e">
        <f>AND('STERLING CATALOG - DRY '!E3289,"AAAAAH/k+5o=")</f>
        <v>#VALUE!</v>
      </c>
      <c r="EZ149" t="e">
        <f>AND('STERLING CATALOG - DRY '!F3289,"AAAAAH/k+5s=")</f>
        <v>#VALUE!</v>
      </c>
      <c r="FA149" t="e">
        <f>AND('STERLING CATALOG - DRY '!G3289,"AAAAAH/k+5w=")</f>
        <v>#VALUE!</v>
      </c>
      <c r="FB149" t="e">
        <f>AND('STERLING CATALOG - DRY '!H3289,"AAAAAH/k+50=")</f>
        <v>#VALUE!</v>
      </c>
      <c r="FC149" t="e">
        <f>AND('STERLING CATALOG - DRY '!I3289,"AAAAAH/k+54=")</f>
        <v>#VALUE!</v>
      </c>
      <c r="FD149" t="e">
        <f>AND('STERLING CATALOG - DRY '!J3289,"AAAAAH/k+58=")</f>
        <v>#VALUE!</v>
      </c>
      <c r="FE149">
        <f>IF('STERLING CATALOG - DRY '!3290:3290,"AAAAAH/k+6A=",0)</f>
        <v>0</v>
      </c>
      <c r="FF149" t="e">
        <f>AND('STERLING CATALOG - DRY '!A3290,"AAAAAH/k+6E=")</f>
        <v>#VALUE!</v>
      </c>
      <c r="FG149" t="e">
        <f>AND('STERLING CATALOG - DRY '!B3290,"AAAAAH/k+6I=")</f>
        <v>#VALUE!</v>
      </c>
      <c r="FH149" t="e">
        <f>AND('STERLING CATALOG - DRY '!C3290,"AAAAAH/k+6M=")</f>
        <v>#VALUE!</v>
      </c>
      <c r="FI149" t="e">
        <f>AND('STERLING CATALOG - DRY '!D3290,"AAAAAH/k+6Q=")</f>
        <v>#VALUE!</v>
      </c>
      <c r="FJ149" t="e">
        <f>AND('STERLING CATALOG - DRY '!E3290,"AAAAAH/k+6U=")</f>
        <v>#VALUE!</v>
      </c>
      <c r="FK149" t="e">
        <f>AND('STERLING CATALOG - DRY '!F3290,"AAAAAH/k+6Y=")</f>
        <v>#VALUE!</v>
      </c>
      <c r="FL149" t="e">
        <f>AND('STERLING CATALOG - DRY '!G3290,"AAAAAH/k+6c=")</f>
        <v>#VALUE!</v>
      </c>
      <c r="FM149" t="e">
        <f>AND('STERLING CATALOG - DRY '!H3290,"AAAAAH/k+6g=")</f>
        <v>#VALUE!</v>
      </c>
      <c r="FN149" t="e">
        <f>AND('STERLING CATALOG - DRY '!I3290,"AAAAAH/k+6k=")</f>
        <v>#VALUE!</v>
      </c>
      <c r="FO149" t="e">
        <f>AND('STERLING CATALOG - DRY '!J3290,"AAAAAH/k+6o=")</f>
        <v>#VALUE!</v>
      </c>
      <c r="FP149">
        <f>IF('STERLING CATALOG - DRY '!3291:3291,"AAAAAH/k+6s=",0)</f>
        <v>0</v>
      </c>
      <c r="FQ149" t="e">
        <f>AND('STERLING CATALOG - DRY '!A3291,"AAAAAH/k+6w=")</f>
        <v>#VALUE!</v>
      </c>
      <c r="FR149" t="e">
        <f>AND('STERLING CATALOG - DRY '!B3291,"AAAAAH/k+60=")</f>
        <v>#VALUE!</v>
      </c>
      <c r="FS149" t="e">
        <f>AND('STERLING CATALOG - DRY '!C3291,"AAAAAH/k+64=")</f>
        <v>#VALUE!</v>
      </c>
      <c r="FT149" t="e">
        <f>AND('STERLING CATALOG - DRY '!D3291,"AAAAAH/k+68=")</f>
        <v>#VALUE!</v>
      </c>
      <c r="FU149" t="e">
        <f>AND('STERLING CATALOG - DRY '!E3291,"AAAAAH/k+7A=")</f>
        <v>#VALUE!</v>
      </c>
      <c r="FV149" t="e">
        <f>AND('STERLING CATALOG - DRY '!F3291,"AAAAAH/k+7E=")</f>
        <v>#VALUE!</v>
      </c>
      <c r="FW149" t="e">
        <f>AND('STERLING CATALOG - DRY '!G3291,"AAAAAH/k+7I=")</f>
        <v>#VALUE!</v>
      </c>
      <c r="FX149" t="e">
        <f>AND('STERLING CATALOG - DRY '!H3291,"AAAAAH/k+7M=")</f>
        <v>#VALUE!</v>
      </c>
      <c r="FY149" t="e">
        <f>AND('STERLING CATALOG - DRY '!I3291,"AAAAAH/k+7Q=")</f>
        <v>#VALUE!</v>
      </c>
      <c r="FZ149" t="e">
        <f>AND('STERLING CATALOG - DRY '!J3291,"AAAAAH/k+7U=")</f>
        <v>#VALUE!</v>
      </c>
      <c r="GA149">
        <f>IF('STERLING CATALOG - DRY '!3292:3292,"AAAAAH/k+7Y=",0)</f>
        <v>0</v>
      </c>
      <c r="GB149" t="e">
        <f>AND('STERLING CATALOG - DRY '!A3292,"AAAAAH/k+7c=")</f>
        <v>#VALUE!</v>
      </c>
      <c r="GC149" t="e">
        <f>AND('STERLING CATALOG - DRY '!B3292,"AAAAAH/k+7g=")</f>
        <v>#VALUE!</v>
      </c>
      <c r="GD149" t="e">
        <f>AND('STERLING CATALOG - DRY '!C3292,"AAAAAH/k+7k=")</f>
        <v>#VALUE!</v>
      </c>
      <c r="GE149" t="e">
        <f>AND('STERLING CATALOG - DRY '!D3292,"AAAAAH/k+7o=")</f>
        <v>#VALUE!</v>
      </c>
      <c r="GF149" t="e">
        <f>AND('STERLING CATALOG - DRY '!E3292,"AAAAAH/k+7s=")</f>
        <v>#VALUE!</v>
      </c>
      <c r="GG149" t="e">
        <f>AND('STERLING CATALOG - DRY '!F3292,"AAAAAH/k+7w=")</f>
        <v>#VALUE!</v>
      </c>
      <c r="GH149" t="e">
        <f>AND('STERLING CATALOG - DRY '!G3292,"AAAAAH/k+70=")</f>
        <v>#VALUE!</v>
      </c>
      <c r="GI149" t="e">
        <f>AND('STERLING CATALOG - DRY '!H3292,"AAAAAH/k+74=")</f>
        <v>#VALUE!</v>
      </c>
      <c r="GJ149" t="e">
        <f>AND('STERLING CATALOG - DRY '!I3292,"AAAAAH/k+78=")</f>
        <v>#VALUE!</v>
      </c>
      <c r="GK149" t="e">
        <f>AND('STERLING CATALOG - DRY '!J3292,"AAAAAH/k+8A=")</f>
        <v>#VALUE!</v>
      </c>
      <c r="GL149">
        <f>IF('STERLING CATALOG - DRY '!3293:3293,"AAAAAH/k+8E=",0)</f>
        <v>0</v>
      </c>
      <c r="GM149" t="e">
        <f>AND('STERLING CATALOG - DRY '!A3293,"AAAAAH/k+8I=")</f>
        <v>#VALUE!</v>
      </c>
      <c r="GN149" t="e">
        <f>AND('STERLING CATALOG - DRY '!B3293,"AAAAAH/k+8M=")</f>
        <v>#VALUE!</v>
      </c>
      <c r="GO149" t="e">
        <f>AND('STERLING CATALOG - DRY '!C3293,"AAAAAH/k+8Q=")</f>
        <v>#VALUE!</v>
      </c>
      <c r="GP149" t="e">
        <f>AND('STERLING CATALOG - DRY '!D3293,"AAAAAH/k+8U=")</f>
        <v>#VALUE!</v>
      </c>
      <c r="GQ149" t="e">
        <f>AND('STERLING CATALOG - DRY '!E3293,"AAAAAH/k+8Y=")</f>
        <v>#VALUE!</v>
      </c>
      <c r="GR149" t="e">
        <f>AND('STERLING CATALOG - DRY '!F3293,"AAAAAH/k+8c=")</f>
        <v>#VALUE!</v>
      </c>
      <c r="GS149" t="e">
        <f>AND('STERLING CATALOG - DRY '!G3293,"AAAAAH/k+8g=")</f>
        <v>#VALUE!</v>
      </c>
      <c r="GT149" t="e">
        <f>AND('STERLING CATALOG - DRY '!H3293,"AAAAAH/k+8k=")</f>
        <v>#VALUE!</v>
      </c>
      <c r="GU149" t="e">
        <f>AND('STERLING CATALOG - DRY '!I3293,"AAAAAH/k+8o=")</f>
        <v>#VALUE!</v>
      </c>
      <c r="GV149" t="e">
        <f>AND('STERLING CATALOG - DRY '!J3293,"AAAAAH/k+8s=")</f>
        <v>#VALUE!</v>
      </c>
      <c r="GW149">
        <f>IF('STERLING CATALOG - DRY '!3294:3294,"AAAAAH/k+8w=",0)</f>
        <v>0</v>
      </c>
      <c r="GX149" t="e">
        <f>AND('STERLING CATALOG - DRY '!A3294,"AAAAAH/k+80=")</f>
        <v>#VALUE!</v>
      </c>
      <c r="GY149" t="e">
        <f>AND('STERLING CATALOG - DRY '!B3294,"AAAAAH/k+84=")</f>
        <v>#VALUE!</v>
      </c>
      <c r="GZ149" t="e">
        <f>AND('STERLING CATALOG - DRY '!C3294,"AAAAAH/k+88=")</f>
        <v>#VALUE!</v>
      </c>
      <c r="HA149" t="e">
        <f>AND('STERLING CATALOG - DRY '!D3294,"AAAAAH/k+9A=")</f>
        <v>#VALUE!</v>
      </c>
      <c r="HB149" t="e">
        <f>AND('STERLING CATALOG - DRY '!E3294,"AAAAAH/k+9E=")</f>
        <v>#VALUE!</v>
      </c>
      <c r="HC149" t="e">
        <f>AND('STERLING CATALOG - DRY '!F3294,"AAAAAH/k+9I=")</f>
        <v>#VALUE!</v>
      </c>
      <c r="HD149" t="e">
        <f>AND('STERLING CATALOG - DRY '!G3294,"AAAAAH/k+9M=")</f>
        <v>#VALUE!</v>
      </c>
      <c r="HE149" t="e">
        <f>AND('STERLING CATALOG - DRY '!H3294,"AAAAAH/k+9Q=")</f>
        <v>#VALUE!</v>
      </c>
      <c r="HF149" t="e">
        <f>AND('STERLING CATALOG - DRY '!I3294,"AAAAAH/k+9U=")</f>
        <v>#VALUE!</v>
      </c>
      <c r="HG149" t="e">
        <f>AND('STERLING CATALOG - DRY '!J3294,"AAAAAH/k+9Y=")</f>
        <v>#VALUE!</v>
      </c>
      <c r="HH149">
        <f>IF('STERLING CATALOG - DRY '!3295:3295,"AAAAAH/k+9c=",0)</f>
        <v>0</v>
      </c>
      <c r="HI149" t="e">
        <f>AND('STERLING CATALOG - DRY '!A3295,"AAAAAH/k+9g=")</f>
        <v>#VALUE!</v>
      </c>
      <c r="HJ149" t="e">
        <f>AND('STERLING CATALOG - DRY '!B3295,"AAAAAH/k+9k=")</f>
        <v>#VALUE!</v>
      </c>
      <c r="HK149" t="e">
        <f>AND('STERLING CATALOG - DRY '!C3295,"AAAAAH/k+9o=")</f>
        <v>#VALUE!</v>
      </c>
      <c r="HL149" t="e">
        <f>AND('STERLING CATALOG - DRY '!D3295,"AAAAAH/k+9s=")</f>
        <v>#VALUE!</v>
      </c>
      <c r="HM149" t="e">
        <f>AND('STERLING CATALOG - DRY '!E3295,"AAAAAH/k+9w=")</f>
        <v>#VALUE!</v>
      </c>
      <c r="HN149" t="e">
        <f>AND('STERLING CATALOG - DRY '!F3295,"AAAAAH/k+90=")</f>
        <v>#VALUE!</v>
      </c>
      <c r="HO149" t="e">
        <f>AND('STERLING CATALOG - DRY '!G3295,"AAAAAH/k+94=")</f>
        <v>#VALUE!</v>
      </c>
      <c r="HP149" t="e">
        <f>AND('STERLING CATALOG - DRY '!H3295,"AAAAAH/k+98=")</f>
        <v>#VALUE!</v>
      </c>
      <c r="HQ149" t="e">
        <f>AND('STERLING CATALOG - DRY '!I3295,"AAAAAH/k++A=")</f>
        <v>#VALUE!</v>
      </c>
      <c r="HR149" t="e">
        <f>AND('STERLING CATALOG - DRY '!J3295,"AAAAAH/k++E=")</f>
        <v>#VALUE!</v>
      </c>
      <c r="HS149">
        <f>IF('STERLING CATALOG - DRY '!3296:3296,"AAAAAH/k++I=",0)</f>
        <v>0</v>
      </c>
      <c r="HT149" t="e">
        <f>AND('STERLING CATALOG - DRY '!A3296,"AAAAAH/k++M=")</f>
        <v>#VALUE!</v>
      </c>
      <c r="HU149" t="e">
        <f>AND('STERLING CATALOG - DRY '!B3296,"AAAAAH/k++Q=")</f>
        <v>#VALUE!</v>
      </c>
      <c r="HV149" t="e">
        <f>AND('STERLING CATALOG - DRY '!C3296,"AAAAAH/k++U=")</f>
        <v>#VALUE!</v>
      </c>
      <c r="HW149" t="e">
        <f>AND('STERLING CATALOG - DRY '!D3296,"AAAAAH/k++Y=")</f>
        <v>#VALUE!</v>
      </c>
      <c r="HX149" t="e">
        <f>AND('STERLING CATALOG - DRY '!E3296,"AAAAAH/k++c=")</f>
        <v>#VALUE!</v>
      </c>
      <c r="HY149" t="e">
        <f>AND('STERLING CATALOG - DRY '!F3296,"AAAAAH/k++g=")</f>
        <v>#VALUE!</v>
      </c>
      <c r="HZ149" t="e">
        <f>AND('STERLING CATALOG - DRY '!G3296,"AAAAAH/k++k=")</f>
        <v>#VALUE!</v>
      </c>
      <c r="IA149" t="e">
        <f>AND('STERLING CATALOG - DRY '!H3296,"AAAAAH/k++o=")</f>
        <v>#VALUE!</v>
      </c>
      <c r="IB149" t="e">
        <f>AND('STERLING CATALOG - DRY '!I3296,"AAAAAH/k++s=")</f>
        <v>#VALUE!</v>
      </c>
      <c r="IC149" t="e">
        <f>AND('STERLING CATALOG - DRY '!J3296,"AAAAAH/k++w=")</f>
        <v>#VALUE!</v>
      </c>
      <c r="ID149">
        <f>IF('STERLING CATALOG - DRY '!3297:3297,"AAAAAH/k++0=",0)</f>
        <v>0</v>
      </c>
      <c r="IE149" t="e">
        <f>AND('STERLING CATALOG - DRY '!A3297,"AAAAAH/k++4=")</f>
        <v>#VALUE!</v>
      </c>
      <c r="IF149" t="e">
        <f>AND('STERLING CATALOG - DRY '!B3297,"AAAAAH/k++8=")</f>
        <v>#VALUE!</v>
      </c>
      <c r="IG149" t="e">
        <f>AND('STERLING CATALOG - DRY '!C3297,"AAAAAH/k+/A=")</f>
        <v>#VALUE!</v>
      </c>
      <c r="IH149" t="e">
        <f>AND('STERLING CATALOG - DRY '!D3297,"AAAAAH/k+/E=")</f>
        <v>#VALUE!</v>
      </c>
      <c r="II149" t="e">
        <f>AND('STERLING CATALOG - DRY '!E3297,"AAAAAH/k+/I=")</f>
        <v>#VALUE!</v>
      </c>
      <c r="IJ149" t="e">
        <f>AND('STERLING CATALOG - DRY '!F3297,"AAAAAH/k+/M=")</f>
        <v>#VALUE!</v>
      </c>
      <c r="IK149" t="e">
        <f>AND('STERLING CATALOG - DRY '!G3297,"AAAAAH/k+/Q=")</f>
        <v>#VALUE!</v>
      </c>
      <c r="IL149" t="e">
        <f>AND('STERLING CATALOG - DRY '!H3297,"AAAAAH/k+/U=")</f>
        <v>#VALUE!</v>
      </c>
      <c r="IM149" t="e">
        <f>AND('STERLING CATALOG - DRY '!I3297,"AAAAAH/k+/Y=")</f>
        <v>#VALUE!</v>
      </c>
      <c r="IN149" t="e">
        <f>AND('STERLING CATALOG - DRY '!J3297,"AAAAAH/k+/c=")</f>
        <v>#VALUE!</v>
      </c>
      <c r="IO149">
        <f>IF('STERLING CATALOG - DRY '!3298:3298,"AAAAAH/k+/g=",0)</f>
        <v>0</v>
      </c>
      <c r="IP149" t="e">
        <f>AND('STERLING CATALOG - DRY '!A3298,"AAAAAH/k+/k=")</f>
        <v>#VALUE!</v>
      </c>
      <c r="IQ149" t="e">
        <f>AND('STERLING CATALOG - DRY '!B3298,"AAAAAH/k+/o=")</f>
        <v>#VALUE!</v>
      </c>
      <c r="IR149" t="e">
        <f>AND('STERLING CATALOG - DRY '!C3298,"AAAAAH/k+/s=")</f>
        <v>#VALUE!</v>
      </c>
      <c r="IS149" t="e">
        <f>AND('STERLING CATALOG - DRY '!D3298,"AAAAAH/k+/w=")</f>
        <v>#VALUE!</v>
      </c>
      <c r="IT149" t="e">
        <f>AND('STERLING CATALOG - DRY '!E3298,"AAAAAH/k+/0=")</f>
        <v>#VALUE!</v>
      </c>
      <c r="IU149" t="e">
        <f>AND('STERLING CATALOG - DRY '!F3298,"AAAAAH/k+/4=")</f>
        <v>#VALUE!</v>
      </c>
      <c r="IV149" t="e">
        <f>AND('STERLING CATALOG - DRY '!G3298,"AAAAAH/k+/8=")</f>
        <v>#VALUE!</v>
      </c>
    </row>
    <row r="150" spans="1:256">
      <c r="A150" t="e">
        <f>AND('STERLING CATALOG - DRY '!H3298,"AAAAAHn/HgA=")</f>
        <v>#VALUE!</v>
      </c>
      <c r="B150" t="e">
        <f>AND('STERLING CATALOG - DRY '!I3298,"AAAAAHn/HgE=")</f>
        <v>#VALUE!</v>
      </c>
      <c r="C150" t="e">
        <f>AND('STERLING CATALOG - DRY '!J3298,"AAAAAHn/HgI=")</f>
        <v>#VALUE!</v>
      </c>
      <c r="D150" t="e">
        <f>IF('STERLING CATALOG - DRY '!3299:3299,"AAAAAHn/HgM=",0)</f>
        <v>#VALUE!</v>
      </c>
      <c r="E150" t="e">
        <f>AND('STERLING CATALOG - DRY '!A3299,"AAAAAHn/HgQ=")</f>
        <v>#VALUE!</v>
      </c>
      <c r="F150" t="e">
        <f>AND('STERLING CATALOG - DRY '!B3299,"AAAAAHn/HgU=")</f>
        <v>#VALUE!</v>
      </c>
      <c r="G150" t="e">
        <f>AND('STERLING CATALOG - DRY '!C3299,"AAAAAHn/HgY=")</f>
        <v>#VALUE!</v>
      </c>
      <c r="H150" t="e">
        <f>AND('STERLING CATALOG - DRY '!D3299,"AAAAAHn/Hgc=")</f>
        <v>#VALUE!</v>
      </c>
      <c r="I150" t="e">
        <f>AND('STERLING CATALOG - DRY '!E3299,"AAAAAHn/Hgg=")</f>
        <v>#VALUE!</v>
      </c>
      <c r="J150" t="e">
        <f>AND('STERLING CATALOG - DRY '!F3299,"AAAAAHn/Hgk=")</f>
        <v>#VALUE!</v>
      </c>
      <c r="K150" t="e">
        <f>AND('STERLING CATALOG - DRY '!G3299,"AAAAAHn/Hgo=")</f>
        <v>#VALUE!</v>
      </c>
      <c r="L150" t="e">
        <f>AND('STERLING CATALOG - DRY '!H3299,"AAAAAHn/Hgs=")</f>
        <v>#VALUE!</v>
      </c>
      <c r="M150" t="e">
        <f>AND('STERLING CATALOG - DRY '!I3299,"AAAAAHn/Hgw=")</f>
        <v>#VALUE!</v>
      </c>
      <c r="N150" t="e">
        <f>AND('STERLING CATALOG - DRY '!J3299,"AAAAAHn/Hg0=")</f>
        <v>#VALUE!</v>
      </c>
      <c r="O150">
        <f>IF('STERLING CATALOG - DRY '!3300:3300,"AAAAAHn/Hg4=",0)</f>
        <v>0</v>
      </c>
      <c r="P150" t="e">
        <f>AND('STERLING CATALOG - DRY '!A3300,"AAAAAHn/Hg8=")</f>
        <v>#VALUE!</v>
      </c>
      <c r="Q150" t="e">
        <f>AND('STERLING CATALOG - DRY '!B3300,"AAAAAHn/HhA=")</f>
        <v>#VALUE!</v>
      </c>
      <c r="R150" t="e">
        <f>AND('STERLING CATALOG - DRY '!C3300,"AAAAAHn/HhE=")</f>
        <v>#VALUE!</v>
      </c>
      <c r="S150" t="e">
        <f>AND('STERLING CATALOG - DRY '!D3300,"AAAAAHn/HhI=")</f>
        <v>#VALUE!</v>
      </c>
      <c r="T150" t="e">
        <f>AND('STERLING CATALOG - DRY '!E3300,"AAAAAHn/HhM=")</f>
        <v>#VALUE!</v>
      </c>
      <c r="U150" t="e">
        <f>AND('STERLING CATALOG - DRY '!F3300,"AAAAAHn/HhQ=")</f>
        <v>#VALUE!</v>
      </c>
      <c r="V150" t="e">
        <f>AND('STERLING CATALOG - DRY '!G3300,"AAAAAHn/HhU=")</f>
        <v>#VALUE!</v>
      </c>
      <c r="W150" t="e">
        <f>AND('STERLING CATALOG - DRY '!H3300,"AAAAAHn/HhY=")</f>
        <v>#VALUE!</v>
      </c>
      <c r="X150" t="e">
        <f>AND('STERLING CATALOG - DRY '!I3300,"AAAAAHn/Hhc=")</f>
        <v>#VALUE!</v>
      </c>
      <c r="Y150" t="e">
        <f>AND('STERLING CATALOG - DRY '!J3300,"AAAAAHn/Hhg=")</f>
        <v>#VALUE!</v>
      </c>
      <c r="Z150">
        <f>IF('STERLING CATALOG - DRY '!3301:3301,"AAAAAHn/Hhk=",0)</f>
        <v>0</v>
      </c>
      <c r="AA150" t="e">
        <f>AND('STERLING CATALOG - DRY '!A3301,"AAAAAHn/Hho=")</f>
        <v>#VALUE!</v>
      </c>
      <c r="AB150" t="e">
        <f>AND('STERLING CATALOG - DRY '!B3301,"AAAAAHn/Hhs=")</f>
        <v>#VALUE!</v>
      </c>
      <c r="AC150" t="e">
        <f>AND('STERLING CATALOG - DRY '!C3301,"AAAAAHn/Hhw=")</f>
        <v>#VALUE!</v>
      </c>
      <c r="AD150" t="e">
        <f>AND('STERLING CATALOG - DRY '!D3301,"AAAAAHn/Hh0=")</f>
        <v>#VALUE!</v>
      </c>
      <c r="AE150" t="e">
        <f>AND('STERLING CATALOG - DRY '!E3301,"AAAAAHn/Hh4=")</f>
        <v>#VALUE!</v>
      </c>
      <c r="AF150" t="e">
        <f>AND('STERLING CATALOG - DRY '!F3301,"AAAAAHn/Hh8=")</f>
        <v>#VALUE!</v>
      </c>
      <c r="AG150" t="e">
        <f>AND('STERLING CATALOG - DRY '!G3301,"AAAAAHn/HiA=")</f>
        <v>#VALUE!</v>
      </c>
      <c r="AH150" t="e">
        <f>AND('STERLING CATALOG - DRY '!H3301,"AAAAAHn/HiE=")</f>
        <v>#VALUE!</v>
      </c>
      <c r="AI150" t="e">
        <f>AND('STERLING CATALOG - DRY '!I3301,"AAAAAHn/HiI=")</f>
        <v>#VALUE!</v>
      </c>
      <c r="AJ150" t="e">
        <f>AND('STERLING CATALOG - DRY '!J3301,"AAAAAHn/HiM=")</f>
        <v>#VALUE!</v>
      </c>
      <c r="AK150">
        <f>IF('STERLING CATALOG - DRY '!3302:3302,"AAAAAHn/HiQ=",0)</f>
        <v>0</v>
      </c>
      <c r="AL150" t="e">
        <f>AND('STERLING CATALOG - DRY '!A3302,"AAAAAHn/HiU=")</f>
        <v>#VALUE!</v>
      </c>
      <c r="AM150" t="e">
        <f>AND('STERLING CATALOG - DRY '!B3302,"AAAAAHn/HiY=")</f>
        <v>#VALUE!</v>
      </c>
      <c r="AN150" t="e">
        <f>AND('STERLING CATALOG - DRY '!C3302,"AAAAAHn/Hic=")</f>
        <v>#VALUE!</v>
      </c>
      <c r="AO150" t="e">
        <f>AND('STERLING CATALOG - DRY '!D3302,"AAAAAHn/Hig=")</f>
        <v>#VALUE!</v>
      </c>
      <c r="AP150" t="e">
        <f>AND('STERLING CATALOG - DRY '!E3302,"AAAAAHn/Hik=")</f>
        <v>#VALUE!</v>
      </c>
      <c r="AQ150" t="e">
        <f>AND('STERLING CATALOG - DRY '!F3302,"AAAAAHn/Hio=")</f>
        <v>#VALUE!</v>
      </c>
      <c r="AR150" t="e">
        <f>AND('STERLING CATALOG - DRY '!G3302,"AAAAAHn/His=")</f>
        <v>#VALUE!</v>
      </c>
      <c r="AS150" t="e">
        <f>AND('STERLING CATALOG - DRY '!H3302,"AAAAAHn/Hiw=")</f>
        <v>#VALUE!</v>
      </c>
      <c r="AT150" t="e">
        <f>AND('STERLING CATALOG - DRY '!I3302,"AAAAAHn/Hi0=")</f>
        <v>#VALUE!</v>
      </c>
      <c r="AU150" t="e">
        <f>AND('STERLING CATALOG - DRY '!J3302,"AAAAAHn/Hi4=")</f>
        <v>#VALUE!</v>
      </c>
      <c r="AV150">
        <f>IF('STERLING CATALOG - DRY '!3303:3303,"AAAAAHn/Hi8=",0)</f>
        <v>0</v>
      </c>
      <c r="AW150" t="e">
        <f>AND('STERLING CATALOG - DRY '!A3303,"AAAAAHn/HjA=")</f>
        <v>#VALUE!</v>
      </c>
      <c r="AX150" t="e">
        <f>AND('STERLING CATALOG - DRY '!B3303,"AAAAAHn/HjE=")</f>
        <v>#VALUE!</v>
      </c>
      <c r="AY150" t="e">
        <f>AND('STERLING CATALOG - DRY '!C3303,"AAAAAHn/HjI=")</f>
        <v>#VALUE!</v>
      </c>
      <c r="AZ150" t="e">
        <f>AND('STERLING CATALOG - DRY '!D3303,"AAAAAHn/HjM=")</f>
        <v>#VALUE!</v>
      </c>
      <c r="BA150" t="e">
        <f>AND('STERLING CATALOG - DRY '!E3303,"AAAAAHn/HjQ=")</f>
        <v>#VALUE!</v>
      </c>
      <c r="BB150" t="e">
        <f>AND('STERLING CATALOG - DRY '!F3303,"AAAAAHn/HjU=")</f>
        <v>#VALUE!</v>
      </c>
      <c r="BC150" t="e">
        <f>AND('STERLING CATALOG - DRY '!G3303,"AAAAAHn/HjY=")</f>
        <v>#VALUE!</v>
      </c>
      <c r="BD150" t="e">
        <f>AND('STERLING CATALOG - DRY '!H3303,"AAAAAHn/Hjc=")</f>
        <v>#VALUE!</v>
      </c>
      <c r="BE150" t="e">
        <f>AND('STERLING CATALOG - DRY '!I3303,"AAAAAHn/Hjg=")</f>
        <v>#VALUE!</v>
      </c>
      <c r="BF150" t="e">
        <f>AND('STERLING CATALOG - DRY '!J3303,"AAAAAHn/Hjk=")</f>
        <v>#VALUE!</v>
      </c>
      <c r="BG150">
        <f>IF('STERLING CATALOG - DRY '!3304:3304,"AAAAAHn/Hjo=",0)</f>
        <v>0</v>
      </c>
      <c r="BH150" t="e">
        <f>AND('STERLING CATALOG - DRY '!A3304,"AAAAAHn/Hjs=")</f>
        <v>#VALUE!</v>
      </c>
      <c r="BI150" t="e">
        <f>AND('STERLING CATALOG - DRY '!B3304,"AAAAAHn/Hjw=")</f>
        <v>#VALUE!</v>
      </c>
      <c r="BJ150" t="e">
        <f>AND('STERLING CATALOG - DRY '!C3304,"AAAAAHn/Hj0=")</f>
        <v>#VALUE!</v>
      </c>
      <c r="BK150" t="e">
        <f>AND('STERLING CATALOG - DRY '!D3304,"AAAAAHn/Hj4=")</f>
        <v>#VALUE!</v>
      </c>
      <c r="BL150" t="e">
        <f>AND('STERLING CATALOG - DRY '!E3304,"AAAAAHn/Hj8=")</f>
        <v>#VALUE!</v>
      </c>
      <c r="BM150" t="e">
        <f>AND('STERLING CATALOG - DRY '!F3304,"AAAAAHn/HkA=")</f>
        <v>#VALUE!</v>
      </c>
      <c r="BN150" t="e">
        <f>AND('STERLING CATALOG - DRY '!G3304,"AAAAAHn/HkE=")</f>
        <v>#VALUE!</v>
      </c>
      <c r="BO150" t="e">
        <f>AND('STERLING CATALOG - DRY '!H3304,"AAAAAHn/HkI=")</f>
        <v>#VALUE!</v>
      </c>
      <c r="BP150" t="e">
        <f>AND('STERLING CATALOG - DRY '!I3304,"AAAAAHn/HkM=")</f>
        <v>#VALUE!</v>
      </c>
      <c r="BQ150" t="e">
        <f>AND('STERLING CATALOG - DRY '!J3304,"AAAAAHn/HkQ=")</f>
        <v>#VALUE!</v>
      </c>
      <c r="BR150">
        <f>IF('STERLING CATALOG - DRY '!3305:3305,"AAAAAHn/HkU=",0)</f>
        <v>0</v>
      </c>
      <c r="BS150" t="e">
        <f>AND('STERLING CATALOG - DRY '!A3305,"AAAAAHn/HkY=")</f>
        <v>#VALUE!</v>
      </c>
      <c r="BT150" t="e">
        <f>AND('STERLING CATALOG - DRY '!B3305,"AAAAAHn/Hkc=")</f>
        <v>#VALUE!</v>
      </c>
      <c r="BU150" t="e">
        <f>AND('STERLING CATALOG - DRY '!C3305,"AAAAAHn/Hkg=")</f>
        <v>#VALUE!</v>
      </c>
      <c r="BV150" t="e">
        <f>AND('STERLING CATALOG - DRY '!D3305,"AAAAAHn/Hkk=")</f>
        <v>#VALUE!</v>
      </c>
      <c r="BW150" t="e">
        <f>AND('STERLING CATALOG - DRY '!E3305,"AAAAAHn/Hko=")</f>
        <v>#VALUE!</v>
      </c>
      <c r="BX150" t="e">
        <f>AND('STERLING CATALOG - DRY '!F3305,"AAAAAHn/Hks=")</f>
        <v>#VALUE!</v>
      </c>
      <c r="BY150" t="e">
        <f>AND('STERLING CATALOG - DRY '!G3305,"AAAAAHn/Hkw=")</f>
        <v>#VALUE!</v>
      </c>
      <c r="BZ150" t="e">
        <f>AND('STERLING CATALOG - DRY '!H3305,"AAAAAHn/Hk0=")</f>
        <v>#VALUE!</v>
      </c>
      <c r="CA150" t="e">
        <f>AND('STERLING CATALOG - DRY '!I3305,"AAAAAHn/Hk4=")</f>
        <v>#VALUE!</v>
      </c>
      <c r="CB150" t="e">
        <f>AND('STERLING CATALOG - DRY '!J3305,"AAAAAHn/Hk8=")</f>
        <v>#VALUE!</v>
      </c>
      <c r="CC150">
        <f>IF('STERLING CATALOG - DRY '!3306:3306,"AAAAAHn/HlA=",0)</f>
        <v>0</v>
      </c>
      <c r="CD150" t="e">
        <f>AND('STERLING CATALOG - DRY '!A3306,"AAAAAHn/HlE=")</f>
        <v>#VALUE!</v>
      </c>
      <c r="CE150" t="e">
        <f>AND('STERLING CATALOG - DRY '!B3306,"AAAAAHn/HlI=")</f>
        <v>#VALUE!</v>
      </c>
      <c r="CF150" t="e">
        <f>AND('STERLING CATALOG - DRY '!C3306,"AAAAAHn/HlM=")</f>
        <v>#VALUE!</v>
      </c>
      <c r="CG150" t="e">
        <f>AND('STERLING CATALOG - DRY '!D3306,"AAAAAHn/HlQ=")</f>
        <v>#VALUE!</v>
      </c>
      <c r="CH150" t="e">
        <f>AND('STERLING CATALOG - DRY '!E3306,"AAAAAHn/HlU=")</f>
        <v>#VALUE!</v>
      </c>
      <c r="CI150" t="e">
        <f>AND('STERLING CATALOG - DRY '!F3306,"AAAAAHn/HlY=")</f>
        <v>#VALUE!</v>
      </c>
      <c r="CJ150" t="e">
        <f>AND('STERLING CATALOG - DRY '!G3306,"AAAAAHn/Hlc=")</f>
        <v>#VALUE!</v>
      </c>
      <c r="CK150" t="e">
        <f>AND('STERLING CATALOG - DRY '!H3306,"AAAAAHn/Hlg=")</f>
        <v>#VALUE!</v>
      </c>
      <c r="CL150" t="e">
        <f>AND('STERLING CATALOG - DRY '!I3306,"AAAAAHn/Hlk=")</f>
        <v>#VALUE!</v>
      </c>
      <c r="CM150" t="e">
        <f>AND('STERLING CATALOG - DRY '!J3306,"AAAAAHn/Hlo=")</f>
        <v>#VALUE!</v>
      </c>
      <c r="CN150">
        <f>IF('STERLING CATALOG - DRY '!3307:3307,"AAAAAHn/Hls=",0)</f>
        <v>0</v>
      </c>
      <c r="CO150" t="e">
        <f>AND('STERLING CATALOG - DRY '!A3307,"AAAAAHn/Hlw=")</f>
        <v>#VALUE!</v>
      </c>
      <c r="CP150" t="e">
        <f>AND('STERLING CATALOG - DRY '!B3307,"AAAAAHn/Hl0=")</f>
        <v>#VALUE!</v>
      </c>
      <c r="CQ150" t="e">
        <f>AND('STERLING CATALOG - DRY '!C3307,"AAAAAHn/Hl4=")</f>
        <v>#VALUE!</v>
      </c>
      <c r="CR150" t="e">
        <f>AND('STERLING CATALOG - DRY '!D3307,"AAAAAHn/Hl8=")</f>
        <v>#VALUE!</v>
      </c>
      <c r="CS150" t="e">
        <f>AND('STERLING CATALOG - DRY '!E3307,"AAAAAHn/HmA=")</f>
        <v>#VALUE!</v>
      </c>
      <c r="CT150" t="e">
        <f>AND('STERLING CATALOG - DRY '!F3307,"AAAAAHn/HmE=")</f>
        <v>#VALUE!</v>
      </c>
      <c r="CU150" t="e">
        <f>AND('STERLING CATALOG - DRY '!G3307,"AAAAAHn/HmI=")</f>
        <v>#VALUE!</v>
      </c>
      <c r="CV150" t="e">
        <f>AND('STERLING CATALOG - DRY '!H3307,"AAAAAHn/HmM=")</f>
        <v>#VALUE!</v>
      </c>
      <c r="CW150" t="e">
        <f>AND('STERLING CATALOG - DRY '!I3307,"AAAAAHn/HmQ=")</f>
        <v>#VALUE!</v>
      </c>
      <c r="CX150" t="e">
        <f>AND('STERLING CATALOG - DRY '!J3307,"AAAAAHn/HmU=")</f>
        <v>#VALUE!</v>
      </c>
      <c r="CY150">
        <f>IF('STERLING CATALOG - DRY '!3308:3308,"AAAAAHn/HmY=",0)</f>
        <v>0</v>
      </c>
      <c r="CZ150" t="e">
        <f>AND('STERLING CATALOG - DRY '!A3308,"AAAAAHn/Hmc=")</f>
        <v>#VALUE!</v>
      </c>
      <c r="DA150" t="e">
        <f>AND('STERLING CATALOG - DRY '!B3308,"AAAAAHn/Hmg=")</f>
        <v>#VALUE!</v>
      </c>
      <c r="DB150" t="e">
        <f>AND('STERLING CATALOG - DRY '!C3308,"AAAAAHn/Hmk=")</f>
        <v>#VALUE!</v>
      </c>
      <c r="DC150" t="e">
        <f>AND('STERLING CATALOG - DRY '!D3308,"AAAAAHn/Hmo=")</f>
        <v>#VALUE!</v>
      </c>
      <c r="DD150" t="e">
        <f>AND('STERLING CATALOG - DRY '!E3308,"AAAAAHn/Hms=")</f>
        <v>#VALUE!</v>
      </c>
      <c r="DE150" t="e">
        <f>AND('STERLING CATALOG - DRY '!F3308,"AAAAAHn/Hmw=")</f>
        <v>#VALUE!</v>
      </c>
      <c r="DF150" t="e">
        <f>AND('STERLING CATALOG - DRY '!G3308,"AAAAAHn/Hm0=")</f>
        <v>#VALUE!</v>
      </c>
      <c r="DG150" t="e">
        <f>AND('STERLING CATALOG - DRY '!H3308,"AAAAAHn/Hm4=")</f>
        <v>#VALUE!</v>
      </c>
      <c r="DH150" t="e">
        <f>AND('STERLING CATALOG - DRY '!I3308,"AAAAAHn/Hm8=")</f>
        <v>#VALUE!</v>
      </c>
      <c r="DI150" t="e">
        <f>AND('STERLING CATALOG - DRY '!J3308,"AAAAAHn/HnA=")</f>
        <v>#VALUE!</v>
      </c>
      <c r="DJ150">
        <f>IF('STERLING CATALOG - DRY '!3309:3309,"AAAAAHn/HnE=",0)</f>
        <v>0</v>
      </c>
      <c r="DK150" t="e">
        <f>AND('STERLING CATALOG - DRY '!A3309,"AAAAAHn/HnI=")</f>
        <v>#VALUE!</v>
      </c>
      <c r="DL150" t="e">
        <f>AND('STERLING CATALOG - DRY '!B3309,"AAAAAHn/HnM=")</f>
        <v>#VALUE!</v>
      </c>
      <c r="DM150" t="e">
        <f>AND('STERLING CATALOG - DRY '!C3309,"AAAAAHn/HnQ=")</f>
        <v>#VALUE!</v>
      </c>
      <c r="DN150" t="e">
        <f>AND('STERLING CATALOG - DRY '!D3309,"AAAAAHn/HnU=")</f>
        <v>#VALUE!</v>
      </c>
      <c r="DO150" t="e">
        <f>AND('STERLING CATALOG - DRY '!E3309,"AAAAAHn/HnY=")</f>
        <v>#VALUE!</v>
      </c>
      <c r="DP150" t="e">
        <f>AND('STERLING CATALOG - DRY '!F3309,"AAAAAHn/Hnc=")</f>
        <v>#VALUE!</v>
      </c>
      <c r="DQ150" t="e">
        <f>AND('STERLING CATALOG - DRY '!G3309,"AAAAAHn/Hng=")</f>
        <v>#VALUE!</v>
      </c>
      <c r="DR150" t="e">
        <f>AND('STERLING CATALOG - DRY '!H3309,"AAAAAHn/Hnk=")</f>
        <v>#VALUE!</v>
      </c>
      <c r="DS150" t="e">
        <f>AND('STERLING CATALOG - DRY '!I3309,"AAAAAHn/Hno=")</f>
        <v>#VALUE!</v>
      </c>
      <c r="DT150" t="e">
        <f>AND('STERLING CATALOG - DRY '!J3309,"AAAAAHn/Hns=")</f>
        <v>#VALUE!</v>
      </c>
      <c r="DU150">
        <f>IF('STERLING CATALOG - DRY '!3310:3310,"AAAAAHn/Hnw=",0)</f>
        <v>0</v>
      </c>
      <c r="DV150" t="e">
        <f>AND('STERLING CATALOG - DRY '!A3310,"AAAAAHn/Hn0=")</f>
        <v>#VALUE!</v>
      </c>
      <c r="DW150" t="e">
        <f>AND('STERLING CATALOG - DRY '!B3310,"AAAAAHn/Hn4=")</f>
        <v>#VALUE!</v>
      </c>
      <c r="DX150" t="e">
        <f>AND('STERLING CATALOG - DRY '!C3310,"AAAAAHn/Hn8=")</f>
        <v>#VALUE!</v>
      </c>
      <c r="DY150" t="e">
        <f>AND('STERLING CATALOG - DRY '!D3310,"AAAAAHn/HoA=")</f>
        <v>#VALUE!</v>
      </c>
      <c r="DZ150" t="e">
        <f>AND('STERLING CATALOG - DRY '!E3310,"AAAAAHn/HoE=")</f>
        <v>#VALUE!</v>
      </c>
      <c r="EA150" t="e">
        <f>AND('STERLING CATALOG - DRY '!F3310,"AAAAAHn/HoI=")</f>
        <v>#VALUE!</v>
      </c>
      <c r="EB150" t="e">
        <f>AND('STERLING CATALOG - DRY '!G3310,"AAAAAHn/HoM=")</f>
        <v>#VALUE!</v>
      </c>
      <c r="EC150" t="e">
        <f>AND('STERLING CATALOG - DRY '!H3310,"AAAAAHn/HoQ=")</f>
        <v>#VALUE!</v>
      </c>
      <c r="ED150" t="e">
        <f>AND('STERLING CATALOG - DRY '!I3310,"AAAAAHn/HoU=")</f>
        <v>#VALUE!</v>
      </c>
      <c r="EE150" t="e">
        <f>AND('STERLING CATALOG - DRY '!J3310,"AAAAAHn/HoY=")</f>
        <v>#VALUE!</v>
      </c>
      <c r="EF150">
        <f>IF('STERLING CATALOG - DRY '!3311:3311,"AAAAAHn/Hoc=",0)</f>
        <v>0</v>
      </c>
      <c r="EG150" t="e">
        <f>AND('STERLING CATALOG - DRY '!A3311,"AAAAAHn/Hog=")</f>
        <v>#VALUE!</v>
      </c>
      <c r="EH150" t="e">
        <f>AND('STERLING CATALOG - DRY '!B3311,"AAAAAHn/Hok=")</f>
        <v>#VALUE!</v>
      </c>
      <c r="EI150" t="e">
        <f>AND('STERLING CATALOG - DRY '!C3311,"AAAAAHn/Hoo=")</f>
        <v>#VALUE!</v>
      </c>
      <c r="EJ150" t="e">
        <f>AND('STERLING CATALOG - DRY '!D3311,"AAAAAHn/Hos=")</f>
        <v>#VALUE!</v>
      </c>
      <c r="EK150" t="e">
        <f>AND('STERLING CATALOG - DRY '!E3311,"AAAAAHn/How=")</f>
        <v>#VALUE!</v>
      </c>
      <c r="EL150" t="e">
        <f>AND('STERLING CATALOG - DRY '!F3311,"AAAAAHn/Ho0=")</f>
        <v>#VALUE!</v>
      </c>
      <c r="EM150" t="e">
        <f>AND('STERLING CATALOG - DRY '!G3311,"AAAAAHn/Ho4=")</f>
        <v>#VALUE!</v>
      </c>
      <c r="EN150" t="e">
        <f>AND('STERLING CATALOG - DRY '!H3311,"AAAAAHn/Ho8=")</f>
        <v>#VALUE!</v>
      </c>
      <c r="EO150" t="e">
        <f>AND('STERLING CATALOG - DRY '!I3311,"AAAAAHn/HpA=")</f>
        <v>#VALUE!</v>
      </c>
      <c r="EP150" t="e">
        <f>AND('STERLING CATALOG - DRY '!J3311,"AAAAAHn/HpE=")</f>
        <v>#VALUE!</v>
      </c>
      <c r="EQ150">
        <f>IF('STERLING CATALOG - DRY '!3312:3312,"AAAAAHn/HpI=",0)</f>
        <v>0</v>
      </c>
      <c r="ER150" t="e">
        <f>AND('STERLING CATALOG - DRY '!A3312,"AAAAAHn/HpM=")</f>
        <v>#VALUE!</v>
      </c>
      <c r="ES150" t="e">
        <f>AND('STERLING CATALOG - DRY '!B3312,"AAAAAHn/HpQ=")</f>
        <v>#VALUE!</v>
      </c>
      <c r="ET150" t="e">
        <f>AND('STERLING CATALOG - DRY '!C3312,"AAAAAHn/HpU=")</f>
        <v>#VALUE!</v>
      </c>
      <c r="EU150" t="e">
        <f>AND('STERLING CATALOG - DRY '!D3312,"AAAAAHn/HpY=")</f>
        <v>#VALUE!</v>
      </c>
      <c r="EV150" t="e">
        <f>AND('STERLING CATALOG - DRY '!E3312,"AAAAAHn/Hpc=")</f>
        <v>#VALUE!</v>
      </c>
      <c r="EW150" t="e">
        <f>AND('STERLING CATALOG - DRY '!F3312,"AAAAAHn/Hpg=")</f>
        <v>#VALUE!</v>
      </c>
      <c r="EX150" t="e">
        <f>AND('STERLING CATALOG - DRY '!G3312,"AAAAAHn/Hpk=")</f>
        <v>#VALUE!</v>
      </c>
      <c r="EY150" t="e">
        <f>AND('STERLING CATALOG - DRY '!H3312,"AAAAAHn/Hpo=")</f>
        <v>#VALUE!</v>
      </c>
      <c r="EZ150" t="e">
        <f>AND('STERLING CATALOG - DRY '!I3312,"AAAAAHn/Hps=")</f>
        <v>#VALUE!</v>
      </c>
      <c r="FA150" t="e">
        <f>AND('STERLING CATALOG - DRY '!J3312,"AAAAAHn/Hpw=")</f>
        <v>#VALUE!</v>
      </c>
      <c r="FB150">
        <f>IF('STERLING CATALOG - DRY '!3313:3313,"AAAAAHn/Hp0=",0)</f>
        <v>0</v>
      </c>
      <c r="FC150" t="e">
        <f>AND('STERLING CATALOG - DRY '!A3313,"AAAAAHn/Hp4=")</f>
        <v>#VALUE!</v>
      </c>
      <c r="FD150" t="e">
        <f>AND('STERLING CATALOG - DRY '!B3313,"AAAAAHn/Hp8=")</f>
        <v>#VALUE!</v>
      </c>
      <c r="FE150" t="e">
        <f>AND('STERLING CATALOG - DRY '!C3313,"AAAAAHn/HqA=")</f>
        <v>#VALUE!</v>
      </c>
      <c r="FF150" t="e">
        <f>AND('STERLING CATALOG - DRY '!D3313,"AAAAAHn/HqE=")</f>
        <v>#VALUE!</v>
      </c>
      <c r="FG150" t="e">
        <f>AND('STERLING CATALOG - DRY '!E3313,"AAAAAHn/HqI=")</f>
        <v>#VALUE!</v>
      </c>
      <c r="FH150" t="e">
        <f>AND('STERLING CATALOG - DRY '!F3313,"AAAAAHn/HqM=")</f>
        <v>#VALUE!</v>
      </c>
      <c r="FI150" t="e">
        <f>AND('STERLING CATALOG - DRY '!G3313,"AAAAAHn/HqQ=")</f>
        <v>#VALUE!</v>
      </c>
      <c r="FJ150" t="e">
        <f>AND('STERLING CATALOG - DRY '!H3313,"AAAAAHn/HqU=")</f>
        <v>#VALUE!</v>
      </c>
      <c r="FK150" t="e">
        <f>AND('STERLING CATALOG - DRY '!I3313,"AAAAAHn/HqY=")</f>
        <v>#VALUE!</v>
      </c>
      <c r="FL150" t="e">
        <f>AND('STERLING CATALOG - DRY '!J3313,"AAAAAHn/Hqc=")</f>
        <v>#VALUE!</v>
      </c>
      <c r="FM150">
        <f>IF('STERLING CATALOG - DRY '!3314:3314,"AAAAAHn/Hqg=",0)</f>
        <v>0</v>
      </c>
      <c r="FN150" t="e">
        <f>AND('STERLING CATALOG - DRY '!A3314,"AAAAAHn/Hqk=")</f>
        <v>#VALUE!</v>
      </c>
      <c r="FO150" t="e">
        <f>AND('STERLING CATALOG - DRY '!B3314,"AAAAAHn/Hqo=")</f>
        <v>#VALUE!</v>
      </c>
      <c r="FP150" t="e">
        <f>AND('STERLING CATALOG - DRY '!C3314,"AAAAAHn/Hqs=")</f>
        <v>#VALUE!</v>
      </c>
      <c r="FQ150" t="e">
        <f>AND('STERLING CATALOG - DRY '!D3314,"AAAAAHn/Hqw=")</f>
        <v>#VALUE!</v>
      </c>
      <c r="FR150" t="e">
        <f>AND('STERLING CATALOG - DRY '!E3314,"AAAAAHn/Hq0=")</f>
        <v>#VALUE!</v>
      </c>
      <c r="FS150" t="e">
        <f>AND('STERLING CATALOG - DRY '!F3314,"AAAAAHn/Hq4=")</f>
        <v>#VALUE!</v>
      </c>
      <c r="FT150" t="e">
        <f>AND('STERLING CATALOG - DRY '!G3314,"AAAAAHn/Hq8=")</f>
        <v>#VALUE!</v>
      </c>
      <c r="FU150" t="e">
        <f>AND('STERLING CATALOG - DRY '!H3314,"AAAAAHn/HrA=")</f>
        <v>#VALUE!</v>
      </c>
      <c r="FV150" t="e">
        <f>AND('STERLING CATALOG - DRY '!I3314,"AAAAAHn/HrE=")</f>
        <v>#VALUE!</v>
      </c>
      <c r="FW150" t="e">
        <f>AND('STERLING CATALOG - DRY '!J3314,"AAAAAHn/HrI=")</f>
        <v>#VALUE!</v>
      </c>
      <c r="FX150">
        <f>IF('STERLING CATALOG - DRY '!3315:3315,"AAAAAHn/HrM=",0)</f>
        <v>0</v>
      </c>
      <c r="FY150" t="e">
        <f>AND('STERLING CATALOG - DRY '!A3315,"AAAAAHn/HrQ=")</f>
        <v>#VALUE!</v>
      </c>
      <c r="FZ150" t="e">
        <f>AND('STERLING CATALOG - DRY '!B3315,"AAAAAHn/HrU=")</f>
        <v>#VALUE!</v>
      </c>
      <c r="GA150" t="e">
        <f>AND('STERLING CATALOG - DRY '!C3315,"AAAAAHn/HrY=")</f>
        <v>#VALUE!</v>
      </c>
      <c r="GB150" t="e">
        <f>AND('STERLING CATALOG - DRY '!D3315,"AAAAAHn/Hrc=")</f>
        <v>#VALUE!</v>
      </c>
      <c r="GC150" t="e">
        <f>AND('STERLING CATALOG - DRY '!E3315,"AAAAAHn/Hrg=")</f>
        <v>#VALUE!</v>
      </c>
      <c r="GD150" t="e">
        <f>AND('STERLING CATALOG - DRY '!F3315,"AAAAAHn/Hrk=")</f>
        <v>#VALUE!</v>
      </c>
      <c r="GE150" t="e">
        <f>AND('STERLING CATALOG - DRY '!G3315,"AAAAAHn/Hro=")</f>
        <v>#VALUE!</v>
      </c>
      <c r="GF150" t="e">
        <f>AND('STERLING CATALOG - DRY '!H3315,"AAAAAHn/Hrs=")</f>
        <v>#VALUE!</v>
      </c>
      <c r="GG150" t="e">
        <f>AND('STERLING CATALOG - DRY '!I3315,"AAAAAHn/Hrw=")</f>
        <v>#VALUE!</v>
      </c>
      <c r="GH150" t="e">
        <f>AND('STERLING CATALOG - DRY '!J3315,"AAAAAHn/Hr0=")</f>
        <v>#VALUE!</v>
      </c>
      <c r="GI150">
        <f>IF('STERLING CATALOG - DRY '!3316:3316,"AAAAAHn/Hr4=",0)</f>
        <v>0</v>
      </c>
      <c r="GJ150" t="e">
        <f>AND('STERLING CATALOG - DRY '!A3316,"AAAAAHn/Hr8=")</f>
        <v>#VALUE!</v>
      </c>
      <c r="GK150" t="e">
        <f>AND('STERLING CATALOG - DRY '!B3316,"AAAAAHn/HsA=")</f>
        <v>#VALUE!</v>
      </c>
      <c r="GL150" t="e">
        <f>AND('STERLING CATALOG - DRY '!C3316,"AAAAAHn/HsE=")</f>
        <v>#VALUE!</v>
      </c>
      <c r="GM150" t="e">
        <f>AND('STERLING CATALOG - DRY '!D3316,"AAAAAHn/HsI=")</f>
        <v>#VALUE!</v>
      </c>
      <c r="GN150" t="e">
        <f>AND('STERLING CATALOG - DRY '!E3316,"AAAAAHn/HsM=")</f>
        <v>#VALUE!</v>
      </c>
      <c r="GO150" t="e">
        <f>AND('STERLING CATALOG - DRY '!F3316,"AAAAAHn/HsQ=")</f>
        <v>#VALUE!</v>
      </c>
      <c r="GP150" t="e">
        <f>AND('STERLING CATALOG - DRY '!G3316,"AAAAAHn/HsU=")</f>
        <v>#VALUE!</v>
      </c>
      <c r="GQ150" t="e">
        <f>AND('STERLING CATALOG - DRY '!H3316,"AAAAAHn/HsY=")</f>
        <v>#VALUE!</v>
      </c>
      <c r="GR150" t="e">
        <f>AND('STERLING CATALOG - DRY '!I3316,"AAAAAHn/Hsc=")</f>
        <v>#VALUE!</v>
      </c>
      <c r="GS150" t="e">
        <f>AND('STERLING CATALOG - DRY '!J3316,"AAAAAHn/Hsg=")</f>
        <v>#VALUE!</v>
      </c>
      <c r="GT150">
        <f>IF('STERLING CATALOG - DRY '!3317:3317,"AAAAAHn/Hsk=",0)</f>
        <v>0</v>
      </c>
      <c r="GU150" t="e">
        <f>AND('STERLING CATALOG - DRY '!A3317,"AAAAAHn/Hso=")</f>
        <v>#VALUE!</v>
      </c>
      <c r="GV150" t="e">
        <f>AND('STERLING CATALOG - DRY '!B3317,"AAAAAHn/Hss=")</f>
        <v>#VALUE!</v>
      </c>
      <c r="GW150" t="e">
        <f>AND('STERLING CATALOG - DRY '!C3317,"AAAAAHn/Hsw=")</f>
        <v>#VALUE!</v>
      </c>
      <c r="GX150" t="e">
        <f>AND('STERLING CATALOG - DRY '!D3317,"AAAAAHn/Hs0=")</f>
        <v>#VALUE!</v>
      </c>
      <c r="GY150" t="e">
        <f>AND('STERLING CATALOG - DRY '!E3317,"AAAAAHn/Hs4=")</f>
        <v>#VALUE!</v>
      </c>
      <c r="GZ150" t="e">
        <f>AND('STERLING CATALOG - DRY '!F3317,"AAAAAHn/Hs8=")</f>
        <v>#VALUE!</v>
      </c>
      <c r="HA150" t="e">
        <f>AND('STERLING CATALOG - DRY '!G3317,"AAAAAHn/HtA=")</f>
        <v>#VALUE!</v>
      </c>
      <c r="HB150" t="e">
        <f>AND('STERLING CATALOG - DRY '!H3317,"AAAAAHn/HtE=")</f>
        <v>#VALUE!</v>
      </c>
      <c r="HC150" t="e">
        <f>AND('STERLING CATALOG - DRY '!I3317,"AAAAAHn/HtI=")</f>
        <v>#VALUE!</v>
      </c>
      <c r="HD150" t="e">
        <f>AND('STERLING CATALOG - DRY '!J3317,"AAAAAHn/HtM=")</f>
        <v>#VALUE!</v>
      </c>
      <c r="HE150">
        <f>IF('STERLING CATALOG - DRY '!3318:3318,"AAAAAHn/HtQ=",0)</f>
        <v>0</v>
      </c>
      <c r="HF150" t="e">
        <f>AND('STERLING CATALOG - DRY '!A3318,"AAAAAHn/HtU=")</f>
        <v>#VALUE!</v>
      </c>
      <c r="HG150" t="e">
        <f>AND('STERLING CATALOG - DRY '!B3318,"AAAAAHn/HtY=")</f>
        <v>#VALUE!</v>
      </c>
      <c r="HH150" t="e">
        <f>AND('STERLING CATALOG - DRY '!C3318,"AAAAAHn/Htc=")</f>
        <v>#VALUE!</v>
      </c>
      <c r="HI150" t="e">
        <f>AND('STERLING CATALOG - DRY '!D3318,"AAAAAHn/Htg=")</f>
        <v>#VALUE!</v>
      </c>
      <c r="HJ150" t="e">
        <f>AND('STERLING CATALOG - DRY '!E3318,"AAAAAHn/Htk=")</f>
        <v>#VALUE!</v>
      </c>
      <c r="HK150" t="e">
        <f>AND('STERLING CATALOG - DRY '!F3318,"AAAAAHn/Hto=")</f>
        <v>#VALUE!</v>
      </c>
      <c r="HL150" t="e">
        <f>AND('STERLING CATALOG - DRY '!G3318,"AAAAAHn/Hts=")</f>
        <v>#VALUE!</v>
      </c>
      <c r="HM150" t="e">
        <f>AND('STERLING CATALOG - DRY '!H3318,"AAAAAHn/Htw=")</f>
        <v>#VALUE!</v>
      </c>
      <c r="HN150" t="e">
        <f>AND('STERLING CATALOG - DRY '!I3318,"AAAAAHn/Ht0=")</f>
        <v>#VALUE!</v>
      </c>
      <c r="HO150" t="e">
        <f>AND('STERLING CATALOG - DRY '!J3318,"AAAAAHn/Ht4=")</f>
        <v>#VALUE!</v>
      </c>
      <c r="HP150">
        <f>IF('STERLING CATALOG - DRY '!3319:3319,"AAAAAHn/Ht8=",0)</f>
        <v>0</v>
      </c>
      <c r="HQ150" t="e">
        <f>AND('STERLING CATALOG - DRY '!A3319,"AAAAAHn/HuA=")</f>
        <v>#VALUE!</v>
      </c>
      <c r="HR150" t="e">
        <f>AND('STERLING CATALOG - DRY '!B3319,"AAAAAHn/HuE=")</f>
        <v>#VALUE!</v>
      </c>
      <c r="HS150" t="e">
        <f>AND('STERLING CATALOG - DRY '!C3319,"AAAAAHn/HuI=")</f>
        <v>#VALUE!</v>
      </c>
      <c r="HT150" t="e">
        <f>AND('STERLING CATALOG - DRY '!D3319,"AAAAAHn/HuM=")</f>
        <v>#VALUE!</v>
      </c>
      <c r="HU150" t="e">
        <f>AND('STERLING CATALOG - DRY '!E3319,"AAAAAHn/HuQ=")</f>
        <v>#VALUE!</v>
      </c>
      <c r="HV150" t="e">
        <f>AND('STERLING CATALOG - DRY '!F3319,"AAAAAHn/HuU=")</f>
        <v>#VALUE!</v>
      </c>
      <c r="HW150" t="e">
        <f>AND('STERLING CATALOG - DRY '!G3319,"AAAAAHn/HuY=")</f>
        <v>#VALUE!</v>
      </c>
      <c r="HX150" t="e">
        <f>AND('STERLING CATALOG - DRY '!H3319,"AAAAAHn/Huc=")</f>
        <v>#VALUE!</v>
      </c>
      <c r="HY150" t="e">
        <f>AND('STERLING CATALOG - DRY '!I3319,"AAAAAHn/Hug=")</f>
        <v>#VALUE!</v>
      </c>
      <c r="HZ150" t="e">
        <f>AND('STERLING CATALOG - DRY '!J3319,"AAAAAHn/Huk=")</f>
        <v>#VALUE!</v>
      </c>
      <c r="IA150">
        <f>IF('STERLING CATALOG - DRY '!3320:3320,"AAAAAHn/Huo=",0)</f>
        <v>0</v>
      </c>
      <c r="IB150" t="e">
        <f>AND('STERLING CATALOG - DRY '!A3320,"AAAAAHn/Hus=")</f>
        <v>#VALUE!</v>
      </c>
      <c r="IC150" t="e">
        <f>AND('STERLING CATALOG - DRY '!B3320,"AAAAAHn/Huw=")</f>
        <v>#VALUE!</v>
      </c>
      <c r="ID150" t="e">
        <f>AND('STERLING CATALOG - DRY '!C3320,"AAAAAHn/Hu0=")</f>
        <v>#VALUE!</v>
      </c>
      <c r="IE150" t="e">
        <f>AND('STERLING CATALOG - DRY '!D3320,"AAAAAHn/Hu4=")</f>
        <v>#VALUE!</v>
      </c>
      <c r="IF150" t="e">
        <f>AND('STERLING CATALOG - DRY '!E3320,"AAAAAHn/Hu8=")</f>
        <v>#VALUE!</v>
      </c>
      <c r="IG150" t="e">
        <f>AND('STERLING CATALOG - DRY '!F3320,"AAAAAHn/HvA=")</f>
        <v>#VALUE!</v>
      </c>
      <c r="IH150" t="e">
        <f>AND('STERLING CATALOG - DRY '!G3320,"AAAAAHn/HvE=")</f>
        <v>#VALUE!</v>
      </c>
      <c r="II150" t="e">
        <f>AND('STERLING CATALOG - DRY '!H3320,"AAAAAHn/HvI=")</f>
        <v>#VALUE!</v>
      </c>
      <c r="IJ150" t="e">
        <f>AND('STERLING CATALOG - DRY '!I3320,"AAAAAHn/HvM=")</f>
        <v>#VALUE!</v>
      </c>
      <c r="IK150" t="e">
        <f>AND('STERLING CATALOG - DRY '!J3320,"AAAAAHn/HvQ=")</f>
        <v>#VALUE!</v>
      </c>
      <c r="IL150">
        <f>IF('STERLING CATALOG - DRY '!3321:3321,"AAAAAHn/HvU=",0)</f>
        <v>0</v>
      </c>
      <c r="IM150" t="e">
        <f>AND('STERLING CATALOG - DRY '!A3321,"AAAAAHn/HvY=")</f>
        <v>#VALUE!</v>
      </c>
      <c r="IN150" t="e">
        <f>AND('STERLING CATALOG - DRY '!B3321,"AAAAAHn/Hvc=")</f>
        <v>#VALUE!</v>
      </c>
      <c r="IO150" t="e">
        <f>AND('STERLING CATALOG - DRY '!C3321,"AAAAAHn/Hvg=")</f>
        <v>#VALUE!</v>
      </c>
      <c r="IP150" t="e">
        <f>AND('STERLING CATALOG - DRY '!D3321,"AAAAAHn/Hvk=")</f>
        <v>#VALUE!</v>
      </c>
      <c r="IQ150" t="e">
        <f>AND('STERLING CATALOG - DRY '!E3321,"AAAAAHn/Hvo=")</f>
        <v>#VALUE!</v>
      </c>
      <c r="IR150" t="e">
        <f>AND('STERLING CATALOG - DRY '!F3321,"AAAAAHn/Hvs=")</f>
        <v>#VALUE!</v>
      </c>
      <c r="IS150" t="e">
        <f>AND('STERLING CATALOG - DRY '!G3321,"AAAAAHn/Hvw=")</f>
        <v>#VALUE!</v>
      </c>
      <c r="IT150" t="e">
        <f>AND('STERLING CATALOG - DRY '!H3321,"AAAAAHn/Hv0=")</f>
        <v>#VALUE!</v>
      </c>
      <c r="IU150" t="e">
        <f>AND('STERLING CATALOG - DRY '!I3321,"AAAAAHn/Hv4=")</f>
        <v>#VALUE!</v>
      </c>
      <c r="IV150" t="e">
        <f>AND('STERLING CATALOG - DRY '!J3321,"AAAAAHn/Hv8=")</f>
        <v>#VALUE!</v>
      </c>
    </row>
    <row r="151" spans="1:256">
      <c r="A151" t="e">
        <f>IF('STERLING CATALOG - DRY '!3322:3322,"AAAAADZvfQA=",0)</f>
        <v>#VALUE!</v>
      </c>
      <c r="B151" t="e">
        <f>AND('STERLING CATALOG - DRY '!A3322,"AAAAADZvfQE=")</f>
        <v>#VALUE!</v>
      </c>
      <c r="C151" t="e">
        <f>AND('STERLING CATALOG - DRY '!B3322,"AAAAADZvfQI=")</f>
        <v>#VALUE!</v>
      </c>
      <c r="D151" t="e">
        <f>AND('STERLING CATALOG - DRY '!C3322,"AAAAADZvfQM=")</f>
        <v>#VALUE!</v>
      </c>
      <c r="E151" t="e">
        <f>AND('STERLING CATALOG - DRY '!D3322,"AAAAADZvfQQ=")</f>
        <v>#VALUE!</v>
      </c>
      <c r="F151" t="e">
        <f>AND('STERLING CATALOG - DRY '!E3322,"AAAAADZvfQU=")</f>
        <v>#VALUE!</v>
      </c>
      <c r="G151" t="e">
        <f>AND('STERLING CATALOG - DRY '!F3322,"AAAAADZvfQY=")</f>
        <v>#VALUE!</v>
      </c>
      <c r="H151" t="e">
        <f>AND('STERLING CATALOG - DRY '!G3322,"AAAAADZvfQc=")</f>
        <v>#VALUE!</v>
      </c>
      <c r="I151" t="e">
        <f>AND('STERLING CATALOG - DRY '!H3322,"AAAAADZvfQg=")</f>
        <v>#VALUE!</v>
      </c>
      <c r="J151" t="e">
        <f>AND('STERLING CATALOG - DRY '!I3322,"AAAAADZvfQk=")</f>
        <v>#VALUE!</v>
      </c>
      <c r="K151" t="e">
        <f>AND('STERLING CATALOG - DRY '!J3322,"AAAAADZvfQo=")</f>
        <v>#VALUE!</v>
      </c>
      <c r="L151">
        <f>IF('STERLING CATALOG - DRY '!3323:3323,"AAAAADZvfQs=",0)</f>
        <v>0</v>
      </c>
      <c r="M151" t="e">
        <f>AND('STERLING CATALOG - DRY '!A3323,"AAAAADZvfQw=")</f>
        <v>#VALUE!</v>
      </c>
      <c r="N151" t="e">
        <f>AND('STERLING CATALOG - DRY '!B3323,"AAAAADZvfQ0=")</f>
        <v>#VALUE!</v>
      </c>
      <c r="O151" t="e">
        <f>AND('STERLING CATALOG - DRY '!C3323,"AAAAADZvfQ4=")</f>
        <v>#VALUE!</v>
      </c>
      <c r="P151" t="e">
        <f>AND('STERLING CATALOG - DRY '!D3323,"AAAAADZvfQ8=")</f>
        <v>#VALUE!</v>
      </c>
      <c r="Q151" t="e">
        <f>AND('STERLING CATALOG - DRY '!E3323,"AAAAADZvfRA=")</f>
        <v>#VALUE!</v>
      </c>
      <c r="R151" t="e">
        <f>AND('STERLING CATALOG - DRY '!F3323,"AAAAADZvfRE=")</f>
        <v>#VALUE!</v>
      </c>
      <c r="S151" t="e">
        <f>AND('STERLING CATALOG - DRY '!G3323,"AAAAADZvfRI=")</f>
        <v>#VALUE!</v>
      </c>
      <c r="T151" t="e">
        <f>AND('STERLING CATALOG - DRY '!H3323,"AAAAADZvfRM=")</f>
        <v>#VALUE!</v>
      </c>
      <c r="U151" t="e">
        <f>AND('STERLING CATALOG - DRY '!I3323,"AAAAADZvfRQ=")</f>
        <v>#VALUE!</v>
      </c>
      <c r="V151" t="e">
        <f>AND('STERLING CATALOG - DRY '!J3323,"AAAAADZvfRU=")</f>
        <v>#VALUE!</v>
      </c>
      <c r="W151">
        <f>IF('STERLING CATALOG - DRY '!3324:3324,"AAAAADZvfRY=",0)</f>
        <v>0</v>
      </c>
      <c r="X151" t="e">
        <f>AND('STERLING CATALOG - DRY '!A3324,"AAAAADZvfRc=")</f>
        <v>#VALUE!</v>
      </c>
      <c r="Y151" t="e">
        <f>AND('STERLING CATALOG - DRY '!B3324,"AAAAADZvfRg=")</f>
        <v>#VALUE!</v>
      </c>
      <c r="Z151" t="e">
        <f>AND('STERLING CATALOG - DRY '!C3324,"AAAAADZvfRk=")</f>
        <v>#VALUE!</v>
      </c>
      <c r="AA151" t="e">
        <f>AND('STERLING CATALOG - DRY '!D3324,"AAAAADZvfRo=")</f>
        <v>#VALUE!</v>
      </c>
      <c r="AB151" t="e">
        <f>AND('STERLING CATALOG - DRY '!E3324,"AAAAADZvfRs=")</f>
        <v>#VALUE!</v>
      </c>
      <c r="AC151" t="e">
        <f>AND('STERLING CATALOG - DRY '!F3324,"AAAAADZvfRw=")</f>
        <v>#VALUE!</v>
      </c>
      <c r="AD151" t="e">
        <f>AND('STERLING CATALOG - DRY '!G3324,"AAAAADZvfR0=")</f>
        <v>#VALUE!</v>
      </c>
      <c r="AE151" t="e">
        <f>AND('STERLING CATALOG - DRY '!H3324,"AAAAADZvfR4=")</f>
        <v>#VALUE!</v>
      </c>
      <c r="AF151" t="e">
        <f>AND('STERLING CATALOG - DRY '!I3324,"AAAAADZvfR8=")</f>
        <v>#VALUE!</v>
      </c>
      <c r="AG151" t="e">
        <f>AND('STERLING CATALOG - DRY '!J3324,"AAAAADZvfSA=")</f>
        <v>#VALUE!</v>
      </c>
      <c r="AH151">
        <f>IF('STERLING CATALOG - DRY '!3325:3325,"AAAAADZvfSE=",0)</f>
        <v>0</v>
      </c>
      <c r="AI151" t="e">
        <f>AND('STERLING CATALOG - DRY '!A3325,"AAAAADZvfSI=")</f>
        <v>#VALUE!</v>
      </c>
      <c r="AJ151" t="e">
        <f>AND('STERLING CATALOG - DRY '!B3325,"AAAAADZvfSM=")</f>
        <v>#VALUE!</v>
      </c>
      <c r="AK151" t="e">
        <f>AND('STERLING CATALOG - DRY '!C3325,"AAAAADZvfSQ=")</f>
        <v>#VALUE!</v>
      </c>
      <c r="AL151" t="e">
        <f>AND('STERLING CATALOG - DRY '!D3325,"AAAAADZvfSU=")</f>
        <v>#VALUE!</v>
      </c>
      <c r="AM151" t="e">
        <f>AND('STERLING CATALOG - DRY '!E3325,"AAAAADZvfSY=")</f>
        <v>#VALUE!</v>
      </c>
      <c r="AN151" t="e">
        <f>AND('STERLING CATALOG - DRY '!F3325,"AAAAADZvfSc=")</f>
        <v>#VALUE!</v>
      </c>
      <c r="AO151" t="e">
        <f>AND('STERLING CATALOG - DRY '!G3325,"AAAAADZvfSg=")</f>
        <v>#VALUE!</v>
      </c>
      <c r="AP151" t="e">
        <f>AND('STERLING CATALOG - DRY '!H3325,"AAAAADZvfSk=")</f>
        <v>#VALUE!</v>
      </c>
      <c r="AQ151" t="e">
        <f>AND('STERLING CATALOG - DRY '!I3325,"AAAAADZvfSo=")</f>
        <v>#VALUE!</v>
      </c>
      <c r="AR151" t="e">
        <f>AND('STERLING CATALOG - DRY '!J3325,"AAAAADZvfSs=")</f>
        <v>#VALUE!</v>
      </c>
      <c r="AS151">
        <f>IF('STERLING CATALOG - DRY '!3326:3326,"AAAAADZvfSw=",0)</f>
        <v>0</v>
      </c>
      <c r="AT151" t="e">
        <f>AND('STERLING CATALOG - DRY '!A3326,"AAAAADZvfS0=")</f>
        <v>#VALUE!</v>
      </c>
      <c r="AU151" t="e">
        <f>AND('STERLING CATALOG - DRY '!B3326,"AAAAADZvfS4=")</f>
        <v>#VALUE!</v>
      </c>
      <c r="AV151" t="e">
        <f>AND('STERLING CATALOG - DRY '!C3326,"AAAAADZvfS8=")</f>
        <v>#VALUE!</v>
      </c>
      <c r="AW151" t="e">
        <f>AND('STERLING CATALOG - DRY '!D3326,"AAAAADZvfTA=")</f>
        <v>#VALUE!</v>
      </c>
      <c r="AX151" t="e">
        <f>AND('STERLING CATALOG - DRY '!E3326,"AAAAADZvfTE=")</f>
        <v>#VALUE!</v>
      </c>
      <c r="AY151" t="e">
        <f>AND('STERLING CATALOG - DRY '!F3326,"AAAAADZvfTI=")</f>
        <v>#VALUE!</v>
      </c>
      <c r="AZ151" t="e">
        <f>AND('STERLING CATALOG - DRY '!G3326,"AAAAADZvfTM=")</f>
        <v>#VALUE!</v>
      </c>
      <c r="BA151" t="e">
        <f>AND('STERLING CATALOG - DRY '!H3326,"AAAAADZvfTQ=")</f>
        <v>#VALUE!</v>
      </c>
      <c r="BB151" t="e">
        <f>AND('STERLING CATALOG - DRY '!I3326,"AAAAADZvfTU=")</f>
        <v>#VALUE!</v>
      </c>
      <c r="BC151" t="e">
        <f>AND('STERLING CATALOG - DRY '!J3326,"AAAAADZvfTY=")</f>
        <v>#VALUE!</v>
      </c>
      <c r="BD151">
        <f>IF('STERLING CATALOG - DRY '!3327:3327,"AAAAADZvfTc=",0)</f>
        <v>0</v>
      </c>
      <c r="BE151" t="e">
        <f>AND('STERLING CATALOG - DRY '!A3327,"AAAAADZvfTg=")</f>
        <v>#VALUE!</v>
      </c>
      <c r="BF151" t="e">
        <f>AND('STERLING CATALOG - DRY '!B3327,"AAAAADZvfTk=")</f>
        <v>#VALUE!</v>
      </c>
      <c r="BG151" t="e">
        <f>AND('STERLING CATALOG - DRY '!C3327,"AAAAADZvfTo=")</f>
        <v>#VALUE!</v>
      </c>
      <c r="BH151" t="e">
        <f>AND('STERLING CATALOG - DRY '!D3327,"AAAAADZvfTs=")</f>
        <v>#VALUE!</v>
      </c>
      <c r="BI151" t="e">
        <f>AND('STERLING CATALOG - DRY '!E3327,"AAAAADZvfTw=")</f>
        <v>#VALUE!</v>
      </c>
      <c r="BJ151" t="e">
        <f>AND('STERLING CATALOG - DRY '!F3327,"AAAAADZvfT0=")</f>
        <v>#VALUE!</v>
      </c>
      <c r="BK151" t="e">
        <f>AND('STERLING CATALOG - DRY '!G3327,"AAAAADZvfT4=")</f>
        <v>#VALUE!</v>
      </c>
      <c r="BL151" t="e">
        <f>AND('STERLING CATALOG - DRY '!H3327,"AAAAADZvfT8=")</f>
        <v>#VALUE!</v>
      </c>
      <c r="BM151" t="e">
        <f>AND('STERLING CATALOG - DRY '!I3327,"AAAAADZvfUA=")</f>
        <v>#VALUE!</v>
      </c>
      <c r="BN151" t="e">
        <f>AND('STERLING CATALOG - DRY '!J3327,"AAAAADZvfUE=")</f>
        <v>#VALUE!</v>
      </c>
      <c r="BO151">
        <f>IF('STERLING CATALOG - DRY '!3328:3328,"AAAAADZvfUI=",0)</f>
        <v>0</v>
      </c>
      <c r="BP151" t="e">
        <f>AND('STERLING CATALOG - DRY '!A3328,"AAAAADZvfUM=")</f>
        <v>#VALUE!</v>
      </c>
      <c r="BQ151" t="e">
        <f>AND('STERLING CATALOG - DRY '!B3328,"AAAAADZvfUQ=")</f>
        <v>#VALUE!</v>
      </c>
      <c r="BR151" t="e">
        <f>AND('STERLING CATALOG - DRY '!C3328,"AAAAADZvfUU=")</f>
        <v>#VALUE!</v>
      </c>
      <c r="BS151" t="e">
        <f>AND('STERLING CATALOG - DRY '!D3328,"AAAAADZvfUY=")</f>
        <v>#VALUE!</v>
      </c>
      <c r="BT151" t="e">
        <f>AND('STERLING CATALOG - DRY '!E3328,"AAAAADZvfUc=")</f>
        <v>#VALUE!</v>
      </c>
      <c r="BU151" t="e">
        <f>AND('STERLING CATALOG - DRY '!F3328,"AAAAADZvfUg=")</f>
        <v>#VALUE!</v>
      </c>
      <c r="BV151" t="e">
        <f>AND('STERLING CATALOG - DRY '!G3328,"AAAAADZvfUk=")</f>
        <v>#VALUE!</v>
      </c>
      <c r="BW151" t="e">
        <f>AND('STERLING CATALOG - DRY '!H3328,"AAAAADZvfUo=")</f>
        <v>#VALUE!</v>
      </c>
      <c r="BX151" t="e">
        <f>AND('STERLING CATALOG - DRY '!I3328,"AAAAADZvfUs=")</f>
        <v>#VALUE!</v>
      </c>
      <c r="BY151" t="e">
        <f>AND('STERLING CATALOG - DRY '!J3328,"AAAAADZvfUw=")</f>
        <v>#VALUE!</v>
      </c>
      <c r="BZ151">
        <f>IF('STERLING CATALOG - DRY '!3329:3329,"AAAAADZvfU0=",0)</f>
        <v>0</v>
      </c>
      <c r="CA151" t="e">
        <f>AND('STERLING CATALOG - DRY '!A3329,"AAAAADZvfU4=")</f>
        <v>#VALUE!</v>
      </c>
      <c r="CB151" t="e">
        <f>AND('STERLING CATALOG - DRY '!B3329,"AAAAADZvfU8=")</f>
        <v>#VALUE!</v>
      </c>
      <c r="CC151" t="e">
        <f>AND('STERLING CATALOG - DRY '!C3329,"AAAAADZvfVA=")</f>
        <v>#VALUE!</v>
      </c>
      <c r="CD151" t="e">
        <f>AND('STERLING CATALOG - DRY '!D3329,"AAAAADZvfVE=")</f>
        <v>#VALUE!</v>
      </c>
      <c r="CE151" t="e">
        <f>AND('STERLING CATALOG - DRY '!E3329,"AAAAADZvfVI=")</f>
        <v>#VALUE!</v>
      </c>
      <c r="CF151" t="e">
        <f>AND('STERLING CATALOG - DRY '!F3329,"AAAAADZvfVM=")</f>
        <v>#VALUE!</v>
      </c>
      <c r="CG151" t="e">
        <f>AND('STERLING CATALOG - DRY '!G3329,"AAAAADZvfVQ=")</f>
        <v>#VALUE!</v>
      </c>
      <c r="CH151" t="e">
        <f>AND('STERLING CATALOG - DRY '!H3329,"AAAAADZvfVU=")</f>
        <v>#VALUE!</v>
      </c>
      <c r="CI151" t="e">
        <f>AND('STERLING CATALOG - DRY '!I3329,"AAAAADZvfVY=")</f>
        <v>#VALUE!</v>
      </c>
      <c r="CJ151" t="e">
        <f>AND('STERLING CATALOG - DRY '!J3329,"AAAAADZvfVc=")</f>
        <v>#VALUE!</v>
      </c>
      <c r="CK151">
        <f>IF('STERLING CATALOG - DRY '!3330:3330,"AAAAADZvfVg=",0)</f>
        <v>0</v>
      </c>
      <c r="CL151" t="e">
        <f>AND('STERLING CATALOG - DRY '!A3330,"AAAAADZvfVk=")</f>
        <v>#VALUE!</v>
      </c>
      <c r="CM151" t="e">
        <f>AND('STERLING CATALOG - DRY '!B3330,"AAAAADZvfVo=")</f>
        <v>#VALUE!</v>
      </c>
      <c r="CN151" t="e">
        <f>AND('STERLING CATALOG - DRY '!C3330,"AAAAADZvfVs=")</f>
        <v>#VALUE!</v>
      </c>
      <c r="CO151" t="e">
        <f>AND('STERLING CATALOG - DRY '!D3330,"AAAAADZvfVw=")</f>
        <v>#VALUE!</v>
      </c>
      <c r="CP151" t="e">
        <f>AND('STERLING CATALOG - DRY '!E3330,"AAAAADZvfV0=")</f>
        <v>#VALUE!</v>
      </c>
      <c r="CQ151" t="e">
        <f>AND('STERLING CATALOG - DRY '!F3330,"AAAAADZvfV4=")</f>
        <v>#VALUE!</v>
      </c>
      <c r="CR151" t="e">
        <f>AND('STERLING CATALOG - DRY '!G3330,"AAAAADZvfV8=")</f>
        <v>#VALUE!</v>
      </c>
      <c r="CS151" t="e">
        <f>AND('STERLING CATALOG - DRY '!H3330,"AAAAADZvfWA=")</f>
        <v>#VALUE!</v>
      </c>
      <c r="CT151" t="e">
        <f>AND('STERLING CATALOG - DRY '!I3330,"AAAAADZvfWE=")</f>
        <v>#VALUE!</v>
      </c>
      <c r="CU151" t="e">
        <f>AND('STERLING CATALOG - DRY '!J3330,"AAAAADZvfWI=")</f>
        <v>#VALUE!</v>
      </c>
      <c r="CV151">
        <f>IF('STERLING CATALOG - DRY '!3331:3331,"AAAAADZvfWM=",0)</f>
        <v>0</v>
      </c>
      <c r="CW151" t="e">
        <f>AND('STERLING CATALOG - DRY '!A3331,"AAAAADZvfWQ=")</f>
        <v>#VALUE!</v>
      </c>
      <c r="CX151" t="e">
        <f>AND('STERLING CATALOG - DRY '!B3331,"AAAAADZvfWU=")</f>
        <v>#VALUE!</v>
      </c>
      <c r="CY151" t="e">
        <f>AND('STERLING CATALOG - DRY '!C3331,"AAAAADZvfWY=")</f>
        <v>#VALUE!</v>
      </c>
      <c r="CZ151" t="e">
        <f>AND('STERLING CATALOG - DRY '!D3331,"AAAAADZvfWc=")</f>
        <v>#VALUE!</v>
      </c>
      <c r="DA151" t="e">
        <f>AND('STERLING CATALOG - DRY '!E3331,"AAAAADZvfWg=")</f>
        <v>#VALUE!</v>
      </c>
      <c r="DB151" t="e">
        <f>AND('STERLING CATALOG - DRY '!F3331,"AAAAADZvfWk=")</f>
        <v>#VALUE!</v>
      </c>
      <c r="DC151" t="e">
        <f>AND('STERLING CATALOG - DRY '!G3331,"AAAAADZvfWo=")</f>
        <v>#VALUE!</v>
      </c>
      <c r="DD151" t="e">
        <f>AND('STERLING CATALOG - DRY '!H3331,"AAAAADZvfWs=")</f>
        <v>#VALUE!</v>
      </c>
      <c r="DE151" t="e">
        <f>AND('STERLING CATALOG - DRY '!I3331,"AAAAADZvfWw=")</f>
        <v>#VALUE!</v>
      </c>
      <c r="DF151" t="e">
        <f>AND('STERLING CATALOG - DRY '!J3331,"AAAAADZvfW0=")</f>
        <v>#VALUE!</v>
      </c>
      <c r="DG151">
        <f>IF('STERLING CATALOG - DRY '!3332:3332,"AAAAADZvfW4=",0)</f>
        <v>0</v>
      </c>
      <c r="DH151" t="e">
        <f>AND('STERLING CATALOG - DRY '!A3332,"AAAAADZvfW8=")</f>
        <v>#VALUE!</v>
      </c>
      <c r="DI151" t="e">
        <f>AND('STERLING CATALOG - DRY '!B3332,"AAAAADZvfXA=")</f>
        <v>#VALUE!</v>
      </c>
      <c r="DJ151" t="e">
        <f>AND('STERLING CATALOG - DRY '!C3332,"AAAAADZvfXE=")</f>
        <v>#VALUE!</v>
      </c>
      <c r="DK151" t="e">
        <f>AND('STERLING CATALOG - DRY '!D3332,"AAAAADZvfXI=")</f>
        <v>#VALUE!</v>
      </c>
      <c r="DL151" t="e">
        <f>AND('STERLING CATALOG - DRY '!E3332,"AAAAADZvfXM=")</f>
        <v>#VALUE!</v>
      </c>
      <c r="DM151" t="e">
        <f>AND('STERLING CATALOG - DRY '!F3332,"AAAAADZvfXQ=")</f>
        <v>#VALUE!</v>
      </c>
      <c r="DN151" t="e">
        <f>AND('STERLING CATALOG - DRY '!G3332,"AAAAADZvfXU=")</f>
        <v>#VALUE!</v>
      </c>
      <c r="DO151" t="e">
        <f>AND('STERLING CATALOG - DRY '!H3332,"AAAAADZvfXY=")</f>
        <v>#VALUE!</v>
      </c>
      <c r="DP151" t="e">
        <f>AND('STERLING CATALOG - DRY '!I3332,"AAAAADZvfXc=")</f>
        <v>#VALUE!</v>
      </c>
      <c r="DQ151" t="e">
        <f>AND('STERLING CATALOG - DRY '!J3332,"AAAAADZvfXg=")</f>
        <v>#VALUE!</v>
      </c>
      <c r="DR151">
        <f>IF('STERLING CATALOG - DRY '!3333:3333,"AAAAADZvfXk=",0)</f>
        <v>0</v>
      </c>
      <c r="DS151" t="e">
        <f>AND('STERLING CATALOG - DRY '!A3333,"AAAAADZvfXo=")</f>
        <v>#VALUE!</v>
      </c>
      <c r="DT151" t="e">
        <f>AND('STERLING CATALOG - DRY '!B3333,"AAAAADZvfXs=")</f>
        <v>#VALUE!</v>
      </c>
      <c r="DU151" t="e">
        <f>AND('STERLING CATALOG - DRY '!C3333,"AAAAADZvfXw=")</f>
        <v>#VALUE!</v>
      </c>
      <c r="DV151" t="e">
        <f>AND('STERLING CATALOG - DRY '!D3333,"AAAAADZvfX0=")</f>
        <v>#VALUE!</v>
      </c>
      <c r="DW151" t="e">
        <f>AND('STERLING CATALOG - DRY '!E3333,"AAAAADZvfX4=")</f>
        <v>#VALUE!</v>
      </c>
      <c r="DX151" t="e">
        <f>AND('STERLING CATALOG - DRY '!F3333,"AAAAADZvfX8=")</f>
        <v>#VALUE!</v>
      </c>
      <c r="DY151" t="e">
        <f>AND('STERLING CATALOG - DRY '!G3333,"AAAAADZvfYA=")</f>
        <v>#VALUE!</v>
      </c>
      <c r="DZ151" t="e">
        <f>AND('STERLING CATALOG - DRY '!H3333,"AAAAADZvfYE=")</f>
        <v>#VALUE!</v>
      </c>
      <c r="EA151" t="e">
        <f>AND('STERLING CATALOG - DRY '!I3333,"AAAAADZvfYI=")</f>
        <v>#VALUE!</v>
      </c>
      <c r="EB151" t="e">
        <f>AND('STERLING CATALOG - DRY '!J3333,"AAAAADZvfYM=")</f>
        <v>#VALUE!</v>
      </c>
      <c r="EC151">
        <f>IF('STERLING CATALOG - DRY '!3334:3334,"AAAAADZvfYQ=",0)</f>
        <v>0</v>
      </c>
      <c r="ED151" t="e">
        <f>AND('STERLING CATALOG - DRY '!A3334,"AAAAADZvfYU=")</f>
        <v>#VALUE!</v>
      </c>
      <c r="EE151" t="e">
        <f>AND('STERLING CATALOG - DRY '!B3334,"AAAAADZvfYY=")</f>
        <v>#VALUE!</v>
      </c>
      <c r="EF151" t="e">
        <f>AND('STERLING CATALOG - DRY '!C3334,"AAAAADZvfYc=")</f>
        <v>#VALUE!</v>
      </c>
      <c r="EG151" t="e">
        <f>AND('STERLING CATALOG - DRY '!D3334,"AAAAADZvfYg=")</f>
        <v>#VALUE!</v>
      </c>
      <c r="EH151" t="e">
        <f>AND('STERLING CATALOG - DRY '!E3334,"AAAAADZvfYk=")</f>
        <v>#VALUE!</v>
      </c>
      <c r="EI151" t="e">
        <f>AND('STERLING CATALOG - DRY '!F3334,"AAAAADZvfYo=")</f>
        <v>#VALUE!</v>
      </c>
      <c r="EJ151" t="e">
        <f>AND('STERLING CATALOG - DRY '!G3334,"AAAAADZvfYs=")</f>
        <v>#VALUE!</v>
      </c>
      <c r="EK151" t="e">
        <f>AND('STERLING CATALOG - DRY '!H3334,"AAAAADZvfYw=")</f>
        <v>#VALUE!</v>
      </c>
      <c r="EL151" t="e">
        <f>AND('STERLING CATALOG - DRY '!I3334,"AAAAADZvfY0=")</f>
        <v>#VALUE!</v>
      </c>
      <c r="EM151" t="e">
        <f>AND('STERLING CATALOG - DRY '!J3334,"AAAAADZvfY4=")</f>
        <v>#VALUE!</v>
      </c>
      <c r="EN151">
        <f>IF('STERLING CATALOG - DRY '!3335:3335,"AAAAADZvfY8=",0)</f>
        <v>0</v>
      </c>
      <c r="EO151" t="e">
        <f>AND('STERLING CATALOG - DRY '!A3335,"AAAAADZvfZA=")</f>
        <v>#VALUE!</v>
      </c>
      <c r="EP151" t="e">
        <f>AND('STERLING CATALOG - DRY '!B3335,"AAAAADZvfZE=")</f>
        <v>#VALUE!</v>
      </c>
      <c r="EQ151" t="e">
        <f>AND('STERLING CATALOG - DRY '!C3335,"AAAAADZvfZI=")</f>
        <v>#VALUE!</v>
      </c>
      <c r="ER151" t="e">
        <f>AND('STERLING CATALOG - DRY '!D3335,"AAAAADZvfZM=")</f>
        <v>#VALUE!</v>
      </c>
      <c r="ES151" t="e">
        <f>AND('STERLING CATALOG - DRY '!E3335,"AAAAADZvfZQ=")</f>
        <v>#VALUE!</v>
      </c>
      <c r="ET151" t="e">
        <f>AND('STERLING CATALOG - DRY '!F3335,"AAAAADZvfZU=")</f>
        <v>#VALUE!</v>
      </c>
      <c r="EU151" t="e">
        <f>AND('STERLING CATALOG - DRY '!G3335,"AAAAADZvfZY=")</f>
        <v>#VALUE!</v>
      </c>
      <c r="EV151" t="e">
        <f>AND('STERLING CATALOG - DRY '!H3335,"AAAAADZvfZc=")</f>
        <v>#VALUE!</v>
      </c>
      <c r="EW151" t="e">
        <f>AND('STERLING CATALOG - DRY '!I3335,"AAAAADZvfZg=")</f>
        <v>#VALUE!</v>
      </c>
      <c r="EX151" t="e">
        <f>AND('STERLING CATALOG - DRY '!J3335,"AAAAADZvfZk=")</f>
        <v>#VALUE!</v>
      </c>
      <c r="EY151">
        <f>IF('STERLING CATALOG - DRY '!3336:3336,"AAAAADZvfZo=",0)</f>
        <v>0</v>
      </c>
      <c r="EZ151" t="e">
        <f>AND('STERLING CATALOG - DRY '!A3336,"AAAAADZvfZs=")</f>
        <v>#VALUE!</v>
      </c>
      <c r="FA151" t="e">
        <f>AND('STERLING CATALOG - DRY '!B3336,"AAAAADZvfZw=")</f>
        <v>#VALUE!</v>
      </c>
      <c r="FB151" t="e">
        <f>AND('STERLING CATALOG - DRY '!C3336,"AAAAADZvfZ0=")</f>
        <v>#VALUE!</v>
      </c>
      <c r="FC151" t="e">
        <f>AND('STERLING CATALOG - DRY '!D3336,"AAAAADZvfZ4=")</f>
        <v>#VALUE!</v>
      </c>
      <c r="FD151" t="e">
        <f>AND('STERLING CATALOG - DRY '!E3336,"AAAAADZvfZ8=")</f>
        <v>#VALUE!</v>
      </c>
      <c r="FE151" t="e">
        <f>AND('STERLING CATALOG - DRY '!F3336,"AAAAADZvfaA=")</f>
        <v>#VALUE!</v>
      </c>
      <c r="FF151" t="e">
        <f>AND('STERLING CATALOG - DRY '!G3336,"AAAAADZvfaE=")</f>
        <v>#VALUE!</v>
      </c>
      <c r="FG151" t="e">
        <f>AND('STERLING CATALOG - DRY '!H3336,"AAAAADZvfaI=")</f>
        <v>#VALUE!</v>
      </c>
      <c r="FH151" t="e">
        <f>AND('STERLING CATALOG - DRY '!I3336,"AAAAADZvfaM=")</f>
        <v>#VALUE!</v>
      </c>
      <c r="FI151" t="e">
        <f>AND('STERLING CATALOG - DRY '!J3336,"AAAAADZvfaQ=")</f>
        <v>#VALUE!</v>
      </c>
      <c r="FJ151">
        <f>IF('STERLING CATALOG - DRY '!3337:3337,"AAAAADZvfaU=",0)</f>
        <v>0</v>
      </c>
      <c r="FK151" t="e">
        <f>AND('STERLING CATALOG - DRY '!A3337,"AAAAADZvfaY=")</f>
        <v>#VALUE!</v>
      </c>
      <c r="FL151" t="e">
        <f>AND('STERLING CATALOG - DRY '!B3337,"AAAAADZvfac=")</f>
        <v>#VALUE!</v>
      </c>
      <c r="FM151" t="e">
        <f>AND('STERLING CATALOG - DRY '!C3337,"AAAAADZvfag=")</f>
        <v>#VALUE!</v>
      </c>
      <c r="FN151" t="e">
        <f>AND('STERLING CATALOG - DRY '!D3337,"AAAAADZvfak=")</f>
        <v>#VALUE!</v>
      </c>
      <c r="FO151" t="e">
        <f>AND('STERLING CATALOG - DRY '!E3337,"AAAAADZvfao=")</f>
        <v>#VALUE!</v>
      </c>
      <c r="FP151" t="e">
        <f>AND('STERLING CATALOG - DRY '!F3337,"AAAAADZvfas=")</f>
        <v>#VALUE!</v>
      </c>
      <c r="FQ151" t="e">
        <f>AND('STERLING CATALOG - DRY '!G3337,"AAAAADZvfaw=")</f>
        <v>#VALUE!</v>
      </c>
      <c r="FR151" t="e">
        <f>AND('STERLING CATALOG - DRY '!H3337,"AAAAADZvfa0=")</f>
        <v>#VALUE!</v>
      </c>
      <c r="FS151" t="e">
        <f>AND('STERLING CATALOG - DRY '!I3337,"AAAAADZvfa4=")</f>
        <v>#VALUE!</v>
      </c>
      <c r="FT151" t="e">
        <f>AND('STERLING CATALOG - DRY '!J3337,"AAAAADZvfa8=")</f>
        <v>#VALUE!</v>
      </c>
      <c r="FU151">
        <f>IF('STERLING CATALOG - DRY '!3338:3338,"AAAAADZvfbA=",0)</f>
        <v>0</v>
      </c>
      <c r="FV151" t="e">
        <f>AND('STERLING CATALOG - DRY '!A3338,"AAAAADZvfbE=")</f>
        <v>#VALUE!</v>
      </c>
      <c r="FW151" t="e">
        <f>AND('STERLING CATALOG - DRY '!B3338,"AAAAADZvfbI=")</f>
        <v>#VALUE!</v>
      </c>
      <c r="FX151" t="e">
        <f>AND('STERLING CATALOG - DRY '!C3338,"AAAAADZvfbM=")</f>
        <v>#VALUE!</v>
      </c>
      <c r="FY151" t="e">
        <f>AND('STERLING CATALOG - DRY '!D3338,"AAAAADZvfbQ=")</f>
        <v>#VALUE!</v>
      </c>
      <c r="FZ151" t="e">
        <f>AND('STERLING CATALOG - DRY '!E3338,"AAAAADZvfbU=")</f>
        <v>#VALUE!</v>
      </c>
      <c r="GA151" t="e">
        <f>AND('STERLING CATALOG - DRY '!F3338,"AAAAADZvfbY=")</f>
        <v>#VALUE!</v>
      </c>
      <c r="GB151" t="e">
        <f>AND('STERLING CATALOG - DRY '!G3338,"AAAAADZvfbc=")</f>
        <v>#VALUE!</v>
      </c>
      <c r="GC151" t="e">
        <f>AND('STERLING CATALOG - DRY '!H3338,"AAAAADZvfbg=")</f>
        <v>#VALUE!</v>
      </c>
      <c r="GD151" t="e">
        <f>AND('STERLING CATALOG - DRY '!I3338,"AAAAADZvfbk=")</f>
        <v>#VALUE!</v>
      </c>
      <c r="GE151" t="e">
        <f>AND('STERLING CATALOG - DRY '!J3338,"AAAAADZvfbo=")</f>
        <v>#VALUE!</v>
      </c>
      <c r="GF151">
        <f>IF('STERLING CATALOG - DRY '!3339:3339,"AAAAADZvfbs=",0)</f>
        <v>0</v>
      </c>
      <c r="GG151" t="e">
        <f>AND('STERLING CATALOG - DRY '!A3339,"AAAAADZvfbw=")</f>
        <v>#VALUE!</v>
      </c>
      <c r="GH151" t="e">
        <f>AND('STERLING CATALOG - DRY '!B3339,"AAAAADZvfb0=")</f>
        <v>#VALUE!</v>
      </c>
      <c r="GI151" t="e">
        <f>AND('STERLING CATALOG - DRY '!C3339,"AAAAADZvfb4=")</f>
        <v>#VALUE!</v>
      </c>
      <c r="GJ151" t="e">
        <f>AND('STERLING CATALOG - DRY '!D3339,"AAAAADZvfb8=")</f>
        <v>#VALUE!</v>
      </c>
      <c r="GK151" t="e">
        <f>AND('STERLING CATALOG - DRY '!E3339,"AAAAADZvfcA=")</f>
        <v>#VALUE!</v>
      </c>
      <c r="GL151" t="e">
        <f>AND('STERLING CATALOG - DRY '!F3339,"AAAAADZvfcE=")</f>
        <v>#VALUE!</v>
      </c>
      <c r="GM151" t="e">
        <f>AND('STERLING CATALOG - DRY '!G3339,"AAAAADZvfcI=")</f>
        <v>#VALUE!</v>
      </c>
      <c r="GN151" t="e">
        <f>AND('STERLING CATALOG - DRY '!H3339,"AAAAADZvfcM=")</f>
        <v>#VALUE!</v>
      </c>
      <c r="GO151" t="e">
        <f>AND('STERLING CATALOG - DRY '!I3339,"AAAAADZvfcQ=")</f>
        <v>#VALUE!</v>
      </c>
      <c r="GP151" t="e">
        <f>AND('STERLING CATALOG - DRY '!J3339,"AAAAADZvfcU=")</f>
        <v>#VALUE!</v>
      </c>
      <c r="GQ151">
        <f>IF('STERLING CATALOG - DRY '!3340:3340,"AAAAADZvfcY=",0)</f>
        <v>0</v>
      </c>
      <c r="GR151" t="e">
        <f>AND('STERLING CATALOG - DRY '!A3340,"AAAAADZvfcc=")</f>
        <v>#VALUE!</v>
      </c>
      <c r="GS151" t="e">
        <f>AND('STERLING CATALOG - DRY '!B3340,"AAAAADZvfcg=")</f>
        <v>#VALUE!</v>
      </c>
      <c r="GT151" t="e">
        <f>AND('STERLING CATALOG - DRY '!C3340,"AAAAADZvfck=")</f>
        <v>#VALUE!</v>
      </c>
      <c r="GU151" t="e">
        <f>AND('STERLING CATALOG - DRY '!D3340,"AAAAADZvfco=")</f>
        <v>#VALUE!</v>
      </c>
      <c r="GV151" t="e">
        <f>AND('STERLING CATALOG - DRY '!E3340,"AAAAADZvfcs=")</f>
        <v>#VALUE!</v>
      </c>
      <c r="GW151" t="e">
        <f>AND('STERLING CATALOG - DRY '!F3340,"AAAAADZvfcw=")</f>
        <v>#VALUE!</v>
      </c>
      <c r="GX151" t="e">
        <f>AND('STERLING CATALOG - DRY '!G3340,"AAAAADZvfc0=")</f>
        <v>#VALUE!</v>
      </c>
      <c r="GY151" t="e">
        <f>AND('STERLING CATALOG - DRY '!H3340,"AAAAADZvfc4=")</f>
        <v>#VALUE!</v>
      </c>
      <c r="GZ151" t="e">
        <f>AND('STERLING CATALOG - DRY '!I3340,"AAAAADZvfc8=")</f>
        <v>#VALUE!</v>
      </c>
      <c r="HA151" t="e">
        <f>AND('STERLING CATALOG - DRY '!J3340,"AAAAADZvfdA=")</f>
        <v>#VALUE!</v>
      </c>
      <c r="HB151">
        <f>IF('STERLING CATALOG - DRY '!3341:3341,"AAAAADZvfdE=",0)</f>
        <v>0</v>
      </c>
      <c r="HC151" t="e">
        <f>AND('STERLING CATALOG - DRY '!A3341,"AAAAADZvfdI=")</f>
        <v>#VALUE!</v>
      </c>
      <c r="HD151" t="e">
        <f>AND('STERLING CATALOG - DRY '!B3341,"AAAAADZvfdM=")</f>
        <v>#VALUE!</v>
      </c>
      <c r="HE151" t="e">
        <f>AND('STERLING CATALOG - DRY '!C3341,"AAAAADZvfdQ=")</f>
        <v>#VALUE!</v>
      </c>
      <c r="HF151" t="e">
        <f>AND('STERLING CATALOG - DRY '!D3341,"AAAAADZvfdU=")</f>
        <v>#VALUE!</v>
      </c>
      <c r="HG151" t="e">
        <f>AND('STERLING CATALOG - DRY '!E3341,"AAAAADZvfdY=")</f>
        <v>#VALUE!</v>
      </c>
      <c r="HH151" t="e">
        <f>AND('STERLING CATALOG - DRY '!F3341,"AAAAADZvfdc=")</f>
        <v>#VALUE!</v>
      </c>
      <c r="HI151" t="e">
        <f>AND('STERLING CATALOG - DRY '!G3341,"AAAAADZvfdg=")</f>
        <v>#VALUE!</v>
      </c>
      <c r="HJ151" t="e">
        <f>AND('STERLING CATALOG - DRY '!H3341,"AAAAADZvfdk=")</f>
        <v>#VALUE!</v>
      </c>
      <c r="HK151" t="e">
        <f>AND('STERLING CATALOG - DRY '!I3341,"AAAAADZvfdo=")</f>
        <v>#VALUE!</v>
      </c>
      <c r="HL151" t="e">
        <f>AND('STERLING CATALOG - DRY '!J3341,"AAAAADZvfds=")</f>
        <v>#VALUE!</v>
      </c>
      <c r="HM151">
        <f>IF('STERLING CATALOG - DRY '!3342:3342,"AAAAADZvfdw=",0)</f>
        <v>0</v>
      </c>
      <c r="HN151" t="e">
        <f>AND('STERLING CATALOG - DRY '!A3342,"AAAAADZvfd0=")</f>
        <v>#VALUE!</v>
      </c>
      <c r="HO151" t="e">
        <f>AND('STERLING CATALOG - DRY '!B3342,"AAAAADZvfd4=")</f>
        <v>#VALUE!</v>
      </c>
      <c r="HP151" t="e">
        <f>AND('STERLING CATALOG - DRY '!C3342,"AAAAADZvfd8=")</f>
        <v>#VALUE!</v>
      </c>
      <c r="HQ151" t="e">
        <f>AND('STERLING CATALOG - DRY '!D3342,"AAAAADZvfeA=")</f>
        <v>#VALUE!</v>
      </c>
      <c r="HR151" t="e">
        <f>AND('STERLING CATALOG - DRY '!E3342,"AAAAADZvfeE=")</f>
        <v>#VALUE!</v>
      </c>
      <c r="HS151" t="e">
        <f>AND('STERLING CATALOG - DRY '!F3342,"AAAAADZvfeI=")</f>
        <v>#VALUE!</v>
      </c>
      <c r="HT151" t="e">
        <f>AND('STERLING CATALOG - DRY '!G3342,"AAAAADZvfeM=")</f>
        <v>#VALUE!</v>
      </c>
      <c r="HU151" t="e">
        <f>AND('STERLING CATALOG - DRY '!H3342,"AAAAADZvfeQ=")</f>
        <v>#VALUE!</v>
      </c>
      <c r="HV151" t="e">
        <f>AND('STERLING CATALOG - DRY '!I3342,"AAAAADZvfeU=")</f>
        <v>#VALUE!</v>
      </c>
      <c r="HW151" t="e">
        <f>AND('STERLING CATALOG - DRY '!J3342,"AAAAADZvfeY=")</f>
        <v>#VALUE!</v>
      </c>
      <c r="HX151">
        <f>IF('STERLING CATALOG - DRY '!3343:3343,"AAAAADZvfec=",0)</f>
        <v>0</v>
      </c>
      <c r="HY151" t="e">
        <f>AND('STERLING CATALOG - DRY '!A3343,"AAAAADZvfeg=")</f>
        <v>#VALUE!</v>
      </c>
      <c r="HZ151" t="e">
        <f>AND('STERLING CATALOG - DRY '!B3343,"AAAAADZvfek=")</f>
        <v>#VALUE!</v>
      </c>
      <c r="IA151" t="e">
        <f>AND('STERLING CATALOG - DRY '!C3343,"AAAAADZvfeo=")</f>
        <v>#VALUE!</v>
      </c>
      <c r="IB151" t="e">
        <f>AND('STERLING CATALOG - DRY '!D3343,"AAAAADZvfes=")</f>
        <v>#VALUE!</v>
      </c>
      <c r="IC151" t="e">
        <f>AND('STERLING CATALOG - DRY '!E3343,"AAAAADZvfew=")</f>
        <v>#VALUE!</v>
      </c>
      <c r="ID151" t="e">
        <f>AND('STERLING CATALOG - DRY '!F3343,"AAAAADZvfe0=")</f>
        <v>#VALUE!</v>
      </c>
      <c r="IE151" t="e">
        <f>AND('STERLING CATALOG - DRY '!G3343,"AAAAADZvfe4=")</f>
        <v>#VALUE!</v>
      </c>
      <c r="IF151" t="e">
        <f>AND('STERLING CATALOG - DRY '!H3343,"AAAAADZvfe8=")</f>
        <v>#VALUE!</v>
      </c>
      <c r="IG151" t="e">
        <f>AND('STERLING CATALOG - DRY '!I3343,"AAAAADZvffA=")</f>
        <v>#VALUE!</v>
      </c>
      <c r="IH151" t="e">
        <f>AND('STERLING CATALOG - DRY '!J3343,"AAAAADZvffE=")</f>
        <v>#VALUE!</v>
      </c>
      <c r="II151">
        <f>IF('STERLING CATALOG - DRY '!3344:3344,"AAAAADZvffI=",0)</f>
        <v>0</v>
      </c>
      <c r="IJ151" t="e">
        <f>AND('STERLING CATALOG - DRY '!A3344,"AAAAADZvffM=")</f>
        <v>#VALUE!</v>
      </c>
      <c r="IK151" t="e">
        <f>AND('STERLING CATALOG - DRY '!B3344,"AAAAADZvffQ=")</f>
        <v>#VALUE!</v>
      </c>
      <c r="IL151" t="e">
        <f>AND('STERLING CATALOG - DRY '!C3344,"AAAAADZvffU=")</f>
        <v>#VALUE!</v>
      </c>
      <c r="IM151" t="e">
        <f>AND('STERLING CATALOG - DRY '!D3344,"AAAAADZvffY=")</f>
        <v>#VALUE!</v>
      </c>
      <c r="IN151" t="e">
        <f>AND('STERLING CATALOG - DRY '!E3344,"AAAAADZvffc=")</f>
        <v>#VALUE!</v>
      </c>
      <c r="IO151" t="e">
        <f>AND('STERLING CATALOG - DRY '!F3344,"AAAAADZvffg=")</f>
        <v>#VALUE!</v>
      </c>
      <c r="IP151" t="e">
        <f>AND('STERLING CATALOG - DRY '!G3344,"AAAAADZvffk=")</f>
        <v>#VALUE!</v>
      </c>
      <c r="IQ151" t="e">
        <f>AND('STERLING CATALOG - DRY '!H3344,"AAAAADZvffo=")</f>
        <v>#VALUE!</v>
      </c>
      <c r="IR151" t="e">
        <f>AND('STERLING CATALOG - DRY '!I3344,"AAAAADZvffs=")</f>
        <v>#VALUE!</v>
      </c>
      <c r="IS151" t="e">
        <f>AND('STERLING CATALOG - DRY '!J3344,"AAAAADZvffw=")</f>
        <v>#VALUE!</v>
      </c>
      <c r="IT151">
        <f>IF('STERLING CATALOG - DRY '!3345:3345,"AAAAADZvff0=",0)</f>
        <v>0</v>
      </c>
      <c r="IU151" t="e">
        <f>AND('STERLING CATALOG - DRY '!A3345,"AAAAADZvff4=")</f>
        <v>#VALUE!</v>
      </c>
      <c r="IV151" t="e">
        <f>AND('STERLING CATALOG - DRY '!B3345,"AAAAADZvff8=")</f>
        <v>#VALUE!</v>
      </c>
    </row>
    <row r="152" spans="1:256">
      <c r="A152" t="e">
        <f>AND('STERLING CATALOG - DRY '!C3345,"AAAAAEsv+wA=")</f>
        <v>#VALUE!</v>
      </c>
      <c r="B152" t="e">
        <f>AND('STERLING CATALOG - DRY '!D3345,"AAAAAEsv+wE=")</f>
        <v>#VALUE!</v>
      </c>
      <c r="C152" t="e">
        <f>AND('STERLING CATALOG - DRY '!E3345,"AAAAAEsv+wI=")</f>
        <v>#VALUE!</v>
      </c>
      <c r="D152" t="e">
        <f>AND('STERLING CATALOG - DRY '!F3345,"AAAAAEsv+wM=")</f>
        <v>#VALUE!</v>
      </c>
      <c r="E152" t="e">
        <f>AND('STERLING CATALOG - DRY '!G3345,"AAAAAEsv+wQ=")</f>
        <v>#VALUE!</v>
      </c>
      <c r="F152" t="e">
        <f>AND('STERLING CATALOG - DRY '!H3345,"AAAAAEsv+wU=")</f>
        <v>#VALUE!</v>
      </c>
      <c r="G152" t="e">
        <f>AND('STERLING CATALOG - DRY '!I3345,"AAAAAEsv+wY=")</f>
        <v>#VALUE!</v>
      </c>
      <c r="H152" t="e">
        <f>AND('STERLING CATALOG - DRY '!J3345,"AAAAAEsv+wc=")</f>
        <v>#VALUE!</v>
      </c>
      <c r="I152" t="e">
        <f>IF('STERLING CATALOG - DRY '!3346:3346,"AAAAAEsv+wg=",0)</f>
        <v>#VALUE!</v>
      </c>
      <c r="J152" t="e">
        <f>AND('STERLING CATALOG - DRY '!A3346,"AAAAAEsv+wk=")</f>
        <v>#VALUE!</v>
      </c>
      <c r="K152" t="e">
        <f>AND('STERLING CATALOG - DRY '!B3346,"AAAAAEsv+wo=")</f>
        <v>#VALUE!</v>
      </c>
      <c r="L152" t="e">
        <f>AND('STERLING CATALOG - DRY '!C3346,"AAAAAEsv+ws=")</f>
        <v>#VALUE!</v>
      </c>
      <c r="M152" t="e">
        <f>AND('STERLING CATALOG - DRY '!D3346,"AAAAAEsv+ww=")</f>
        <v>#VALUE!</v>
      </c>
      <c r="N152" t="e">
        <f>AND('STERLING CATALOG - DRY '!E3346,"AAAAAEsv+w0=")</f>
        <v>#VALUE!</v>
      </c>
      <c r="O152" t="e">
        <f>AND('STERLING CATALOG - DRY '!F3346,"AAAAAEsv+w4=")</f>
        <v>#VALUE!</v>
      </c>
      <c r="P152" t="e">
        <f>AND('STERLING CATALOG - DRY '!G3346,"AAAAAEsv+w8=")</f>
        <v>#VALUE!</v>
      </c>
      <c r="Q152" t="e">
        <f>AND('STERLING CATALOG - DRY '!H3346,"AAAAAEsv+xA=")</f>
        <v>#VALUE!</v>
      </c>
      <c r="R152" t="e">
        <f>AND('STERLING CATALOG - DRY '!I3346,"AAAAAEsv+xE=")</f>
        <v>#VALUE!</v>
      </c>
      <c r="S152" t="e">
        <f>AND('STERLING CATALOG - DRY '!J3346,"AAAAAEsv+xI=")</f>
        <v>#VALUE!</v>
      </c>
      <c r="T152">
        <f>IF('STERLING CATALOG - DRY '!3347:3347,"AAAAAEsv+xM=",0)</f>
        <v>0</v>
      </c>
      <c r="U152" t="e">
        <f>AND('STERLING CATALOG - DRY '!A3347,"AAAAAEsv+xQ=")</f>
        <v>#VALUE!</v>
      </c>
      <c r="V152" t="e">
        <f>AND('STERLING CATALOG - DRY '!B3347,"AAAAAEsv+xU=")</f>
        <v>#VALUE!</v>
      </c>
      <c r="W152" t="e">
        <f>AND('STERLING CATALOG - DRY '!C3347,"AAAAAEsv+xY=")</f>
        <v>#VALUE!</v>
      </c>
      <c r="X152" t="e">
        <f>AND('STERLING CATALOG - DRY '!D3347,"AAAAAEsv+xc=")</f>
        <v>#VALUE!</v>
      </c>
      <c r="Y152" t="e">
        <f>AND('STERLING CATALOG - DRY '!E3347,"AAAAAEsv+xg=")</f>
        <v>#VALUE!</v>
      </c>
      <c r="Z152" t="e">
        <f>AND('STERLING CATALOG - DRY '!F3347,"AAAAAEsv+xk=")</f>
        <v>#VALUE!</v>
      </c>
      <c r="AA152" t="e">
        <f>AND('STERLING CATALOG - DRY '!G3347,"AAAAAEsv+xo=")</f>
        <v>#VALUE!</v>
      </c>
      <c r="AB152" t="e">
        <f>AND('STERLING CATALOG - DRY '!H3347,"AAAAAEsv+xs=")</f>
        <v>#VALUE!</v>
      </c>
      <c r="AC152" t="e">
        <f>AND('STERLING CATALOG - DRY '!I3347,"AAAAAEsv+xw=")</f>
        <v>#VALUE!</v>
      </c>
      <c r="AD152" t="e">
        <f>AND('STERLING CATALOG - DRY '!J3347,"AAAAAEsv+x0=")</f>
        <v>#VALUE!</v>
      </c>
      <c r="AE152">
        <f>IF('STERLING CATALOG - DRY '!3348:3348,"AAAAAEsv+x4=",0)</f>
        <v>0</v>
      </c>
      <c r="AF152" t="e">
        <f>AND('STERLING CATALOG - DRY '!A3348,"AAAAAEsv+x8=")</f>
        <v>#VALUE!</v>
      </c>
      <c r="AG152" t="e">
        <f>AND('STERLING CATALOG - DRY '!B3348,"AAAAAEsv+yA=")</f>
        <v>#VALUE!</v>
      </c>
      <c r="AH152" t="e">
        <f>AND('STERLING CATALOG - DRY '!C3348,"AAAAAEsv+yE=")</f>
        <v>#VALUE!</v>
      </c>
      <c r="AI152" t="e">
        <f>AND('STERLING CATALOG - DRY '!D3348,"AAAAAEsv+yI=")</f>
        <v>#VALUE!</v>
      </c>
      <c r="AJ152" t="e">
        <f>AND('STERLING CATALOG - DRY '!E3348,"AAAAAEsv+yM=")</f>
        <v>#VALUE!</v>
      </c>
      <c r="AK152" t="e">
        <f>AND('STERLING CATALOG - DRY '!F3348,"AAAAAEsv+yQ=")</f>
        <v>#VALUE!</v>
      </c>
      <c r="AL152" t="e">
        <f>AND('STERLING CATALOG - DRY '!G3348,"AAAAAEsv+yU=")</f>
        <v>#VALUE!</v>
      </c>
      <c r="AM152" t="e">
        <f>AND('STERLING CATALOG - DRY '!H3348,"AAAAAEsv+yY=")</f>
        <v>#VALUE!</v>
      </c>
      <c r="AN152" t="e">
        <f>AND('STERLING CATALOG - DRY '!I3348,"AAAAAEsv+yc=")</f>
        <v>#VALUE!</v>
      </c>
      <c r="AO152" t="e">
        <f>AND('STERLING CATALOG - DRY '!J3348,"AAAAAEsv+yg=")</f>
        <v>#VALUE!</v>
      </c>
      <c r="AP152">
        <f>IF('STERLING CATALOG - DRY '!3349:3349,"AAAAAEsv+yk=",0)</f>
        <v>0</v>
      </c>
      <c r="AQ152" t="e">
        <f>AND('STERLING CATALOG - DRY '!A3349,"AAAAAEsv+yo=")</f>
        <v>#VALUE!</v>
      </c>
      <c r="AR152" t="e">
        <f>AND('STERLING CATALOG - DRY '!B3349,"AAAAAEsv+ys=")</f>
        <v>#VALUE!</v>
      </c>
      <c r="AS152" t="e">
        <f>AND('STERLING CATALOG - DRY '!C3349,"AAAAAEsv+yw=")</f>
        <v>#VALUE!</v>
      </c>
      <c r="AT152" t="e">
        <f>AND('STERLING CATALOG - DRY '!D3349,"AAAAAEsv+y0=")</f>
        <v>#VALUE!</v>
      </c>
      <c r="AU152" t="e">
        <f>AND('STERLING CATALOG - DRY '!E3349,"AAAAAEsv+y4=")</f>
        <v>#VALUE!</v>
      </c>
      <c r="AV152" t="e">
        <f>AND('STERLING CATALOG - DRY '!F3349,"AAAAAEsv+y8=")</f>
        <v>#VALUE!</v>
      </c>
      <c r="AW152" t="e">
        <f>AND('STERLING CATALOG - DRY '!G3349,"AAAAAEsv+zA=")</f>
        <v>#VALUE!</v>
      </c>
      <c r="AX152" t="e">
        <f>AND('STERLING CATALOG - DRY '!H3349,"AAAAAEsv+zE=")</f>
        <v>#VALUE!</v>
      </c>
      <c r="AY152" t="e">
        <f>AND('STERLING CATALOG - DRY '!I3349,"AAAAAEsv+zI=")</f>
        <v>#VALUE!</v>
      </c>
      <c r="AZ152" t="e">
        <f>AND('STERLING CATALOG - DRY '!J3349,"AAAAAEsv+zM=")</f>
        <v>#VALUE!</v>
      </c>
      <c r="BA152">
        <f>IF('STERLING CATALOG - DRY '!3350:3350,"AAAAAEsv+zQ=",0)</f>
        <v>0</v>
      </c>
      <c r="BB152" t="e">
        <f>AND('STERLING CATALOG - DRY '!A3350,"AAAAAEsv+zU=")</f>
        <v>#VALUE!</v>
      </c>
      <c r="BC152" t="e">
        <f>AND('STERLING CATALOG - DRY '!B3350,"AAAAAEsv+zY=")</f>
        <v>#VALUE!</v>
      </c>
      <c r="BD152" t="e">
        <f>AND('STERLING CATALOG - DRY '!C3350,"AAAAAEsv+zc=")</f>
        <v>#VALUE!</v>
      </c>
      <c r="BE152" t="e">
        <f>AND('STERLING CATALOG - DRY '!D3350,"AAAAAEsv+zg=")</f>
        <v>#VALUE!</v>
      </c>
      <c r="BF152" t="e">
        <f>AND('STERLING CATALOG - DRY '!E3350,"AAAAAEsv+zk=")</f>
        <v>#VALUE!</v>
      </c>
      <c r="BG152" t="e">
        <f>AND('STERLING CATALOG - DRY '!F3350,"AAAAAEsv+zo=")</f>
        <v>#VALUE!</v>
      </c>
      <c r="BH152" t="e">
        <f>AND('STERLING CATALOG - DRY '!G3350,"AAAAAEsv+zs=")</f>
        <v>#VALUE!</v>
      </c>
      <c r="BI152" t="e">
        <f>AND('STERLING CATALOG - DRY '!H3350,"AAAAAEsv+zw=")</f>
        <v>#VALUE!</v>
      </c>
      <c r="BJ152" t="e">
        <f>AND('STERLING CATALOG - DRY '!I3350,"AAAAAEsv+z0=")</f>
        <v>#VALUE!</v>
      </c>
      <c r="BK152" t="e">
        <f>AND('STERLING CATALOG - DRY '!J3350,"AAAAAEsv+z4=")</f>
        <v>#VALUE!</v>
      </c>
      <c r="BL152">
        <f>IF('STERLING CATALOG - DRY '!3351:3351,"AAAAAEsv+z8=",0)</f>
        <v>0</v>
      </c>
      <c r="BM152" t="e">
        <f>AND('STERLING CATALOG - DRY '!A3351,"AAAAAEsv+0A=")</f>
        <v>#VALUE!</v>
      </c>
      <c r="BN152" t="e">
        <f>AND('STERLING CATALOG - DRY '!B3351,"AAAAAEsv+0E=")</f>
        <v>#VALUE!</v>
      </c>
      <c r="BO152" t="e">
        <f>AND('STERLING CATALOG - DRY '!C3351,"AAAAAEsv+0I=")</f>
        <v>#VALUE!</v>
      </c>
      <c r="BP152" t="e">
        <f>AND('STERLING CATALOG - DRY '!D3351,"AAAAAEsv+0M=")</f>
        <v>#VALUE!</v>
      </c>
      <c r="BQ152" t="e">
        <f>AND('STERLING CATALOG - DRY '!E3351,"AAAAAEsv+0Q=")</f>
        <v>#VALUE!</v>
      </c>
      <c r="BR152" t="e">
        <f>AND('STERLING CATALOG - DRY '!F3351,"AAAAAEsv+0U=")</f>
        <v>#VALUE!</v>
      </c>
      <c r="BS152" t="e">
        <f>AND('STERLING CATALOG - DRY '!G3351,"AAAAAEsv+0Y=")</f>
        <v>#VALUE!</v>
      </c>
      <c r="BT152" t="e">
        <f>AND('STERLING CATALOG - DRY '!H3351,"AAAAAEsv+0c=")</f>
        <v>#VALUE!</v>
      </c>
      <c r="BU152" t="e">
        <f>AND('STERLING CATALOG - DRY '!I3351,"AAAAAEsv+0g=")</f>
        <v>#VALUE!</v>
      </c>
      <c r="BV152" t="e">
        <f>AND('STERLING CATALOG - DRY '!J3351,"AAAAAEsv+0k=")</f>
        <v>#VALUE!</v>
      </c>
      <c r="BW152">
        <f>IF('STERLING CATALOG - DRY '!3352:3352,"AAAAAEsv+0o=",0)</f>
        <v>0</v>
      </c>
      <c r="BX152" t="e">
        <f>AND('STERLING CATALOG - DRY '!A3352,"AAAAAEsv+0s=")</f>
        <v>#VALUE!</v>
      </c>
      <c r="BY152" t="e">
        <f>AND('STERLING CATALOG - DRY '!B3352,"AAAAAEsv+0w=")</f>
        <v>#VALUE!</v>
      </c>
      <c r="BZ152" t="e">
        <f>AND('STERLING CATALOG - DRY '!C3352,"AAAAAEsv+00=")</f>
        <v>#VALUE!</v>
      </c>
      <c r="CA152" t="e">
        <f>AND('STERLING CATALOG - DRY '!D3352,"AAAAAEsv+04=")</f>
        <v>#VALUE!</v>
      </c>
      <c r="CB152" t="e">
        <f>AND('STERLING CATALOG - DRY '!E3352,"AAAAAEsv+08=")</f>
        <v>#VALUE!</v>
      </c>
      <c r="CC152" t="e">
        <f>AND('STERLING CATALOG - DRY '!F3352,"AAAAAEsv+1A=")</f>
        <v>#VALUE!</v>
      </c>
      <c r="CD152" t="e">
        <f>AND('STERLING CATALOG - DRY '!G3352,"AAAAAEsv+1E=")</f>
        <v>#VALUE!</v>
      </c>
      <c r="CE152" t="e">
        <f>AND('STERLING CATALOG - DRY '!H3352,"AAAAAEsv+1I=")</f>
        <v>#VALUE!</v>
      </c>
      <c r="CF152" t="e">
        <f>AND('STERLING CATALOG - DRY '!I3352,"AAAAAEsv+1M=")</f>
        <v>#VALUE!</v>
      </c>
      <c r="CG152" t="e">
        <f>AND('STERLING CATALOG - DRY '!J3352,"AAAAAEsv+1Q=")</f>
        <v>#VALUE!</v>
      </c>
      <c r="CH152">
        <f>IF('STERLING CATALOG - DRY '!3353:3353,"AAAAAEsv+1U=",0)</f>
        <v>0</v>
      </c>
      <c r="CI152" t="e">
        <f>AND('STERLING CATALOG - DRY '!A3353,"AAAAAEsv+1Y=")</f>
        <v>#VALUE!</v>
      </c>
      <c r="CJ152" t="e">
        <f>AND('STERLING CATALOG - DRY '!B3353,"AAAAAEsv+1c=")</f>
        <v>#VALUE!</v>
      </c>
      <c r="CK152" t="e">
        <f>AND('STERLING CATALOG - DRY '!C3353,"AAAAAEsv+1g=")</f>
        <v>#VALUE!</v>
      </c>
      <c r="CL152" t="e">
        <f>AND('STERLING CATALOG - DRY '!D3353,"AAAAAEsv+1k=")</f>
        <v>#VALUE!</v>
      </c>
      <c r="CM152" t="e">
        <f>AND('STERLING CATALOG - DRY '!E3353,"AAAAAEsv+1o=")</f>
        <v>#VALUE!</v>
      </c>
      <c r="CN152" t="e">
        <f>AND('STERLING CATALOG - DRY '!F3353,"AAAAAEsv+1s=")</f>
        <v>#VALUE!</v>
      </c>
      <c r="CO152" t="e">
        <f>AND('STERLING CATALOG - DRY '!G3353,"AAAAAEsv+1w=")</f>
        <v>#VALUE!</v>
      </c>
      <c r="CP152" t="e">
        <f>AND('STERLING CATALOG - DRY '!H3353,"AAAAAEsv+10=")</f>
        <v>#VALUE!</v>
      </c>
      <c r="CQ152" t="e">
        <f>AND('STERLING CATALOG - DRY '!I3353,"AAAAAEsv+14=")</f>
        <v>#VALUE!</v>
      </c>
      <c r="CR152" t="e">
        <f>AND('STERLING CATALOG - DRY '!J3353,"AAAAAEsv+18=")</f>
        <v>#VALUE!</v>
      </c>
      <c r="CS152">
        <f>IF('STERLING CATALOG - DRY '!3354:3354,"AAAAAEsv+2A=",0)</f>
        <v>0</v>
      </c>
      <c r="CT152" t="e">
        <f>AND('STERLING CATALOG - DRY '!A3354,"AAAAAEsv+2E=")</f>
        <v>#VALUE!</v>
      </c>
      <c r="CU152" t="e">
        <f>AND('STERLING CATALOG - DRY '!B3354,"AAAAAEsv+2I=")</f>
        <v>#VALUE!</v>
      </c>
      <c r="CV152" t="e">
        <f>AND('STERLING CATALOG - DRY '!C3354,"AAAAAEsv+2M=")</f>
        <v>#VALUE!</v>
      </c>
      <c r="CW152" t="e">
        <f>AND('STERLING CATALOG - DRY '!D3354,"AAAAAEsv+2Q=")</f>
        <v>#VALUE!</v>
      </c>
      <c r="CX152" t="e">
        <f>AND('STERLING CATALOG - DRY '!E3354,"AAAAAEsv+2U=")</f>
        <v>#VALUE!</v>
      </c>
      <c r="CY152" t="e">
        <f>AND('STERLING CATALOG - DRY '!F3354,"AAAAAEsv+2Y=")</f>
        <v>#VALUE!</v>
      </c>
      <c r="CZ152" t="e">
        <f>AND('STERLING CATALOG - DRY '!G3354,"AAAAAEsv+2c=")</f>
        <v>#VALUE!</v>
      </c>
      <c r="DA152" t="e">
        <f>AND('STERLING CATALOG - DRY '!H3354,"AAAAAEsv+2g=")</f>
        <v>#VALUE!</v>
      </c>
      <c r="DB152" t="e">
        <f>AND('STERLING CATALOG - DRY '!I3354,"AAAAAEsv+2k=")</f>
        <v>#VALUE!</v>
      </c>
      <c r="DC152" t="e">
        <f>AND('STERLING CATALOG - DRY '!J3354,"AAAAAEsv+2o=")</f>
        <v>#VALUE!</v>
      </c>
      <c r="DD152">
        <f>IF('STERLING CATALOG - DRY '!3355:3355,"AAAAAEsv+2s=",0)</f>
        <v>0</v>
      </c>
      <c r="DE152" t="e">
        <f>AND('STERLING CATALOG - DRY '!A3355,"AAAAAEsv+2w=")</f>
        <v>#VALUE!</v>
      </c>
      <c r="DF152" t="e">
        <f>AND('STERLING CATALOG - DRY '!B3355,"AAAAAEsv+20=")</f>
        <v>#VALUE!</v>
      </c>
      <c r="DG152" t="e">
        <f>AND('STERLING CATALOG - DRY '!C3355,"AAAAAEsv+24=")</f>
        <v>#VALUE!</v>
      </c>
      <c r="DH152" t="e">
        <f>AND('STERLING CATALOG - DRY '!D3355,"AAAAAEsv+28=")</f>
        <v>#VALUE!</v>
      </c>
      <c r="DI152" t="e">
        <f>AND('STERLING CATALOG - DRY '!E3355,"AAAAAEsv+3A=")</f>
        <v>#VALUE!</v>
      </c>
      <c r="DJ152" t="e">
        <f>AND('STERLING CATALOG - DRY '!F3355,"AAAAAEsv+3E=")</f>
        <v>#VALUE!</v>
      </c>
      <c r="DK152" t="e">
        <f>AND('STERLING CATALOG - DRY '!G3355,"AAAAAEsv+3I=")</f>
        <v>#VALUE!</v>
      </c>
      <c r="DL152" t="e">
        <f>AND('STERLING CATALOG - DRY '!H3355,"AAAAAEsv+3M=")</f>
        <v>#VALUE!</v>
      </c>
      <c r="DM152" t="e">
        <f>AND('STERLING CATALOG - DRY '!I3355,"AAAAAEsv+3Q=")</f>
        <v>#VALUE!</v>
      </c>
      <c r="DN152" t="e">
        <f>AND('STERLING CATALOG - DRY '!J3355,"AAAAAEsv+3U=")</f>
        <v>#VALUE!</v>
      </c>
      <c r="DO152">
        <f>IF('STERLING CATALOG - DRY '!3356:3356,"AAAAAEsv+3Y=",0)</f>
        <v>0</v>
      </c>
      <c r="DP152" t="e">
        <f>AND('STERLING CATALOG - DRY '!A3356,"AAAAAEsv+3c=")</f>
        <v>#VALUE!</v>
      </c>
      <c r="DQ152" t="e">
        <f>AND('STERLING CATALOG - DRY '!B3356,"AAAAAEsv+3g=")</f>
        <v>#VALUE!</v>
      </c>
      <c r="DR152" t="e">
        <f>AND('STERLING CATALOG - DRY '!C3356,"AAAAAEsv+3k=")</f>
        <v>#VALUE!</v>
      </c>
      <c r="DS152" t="e">
        <f>AND('STERLING CATALOG - DRY '!D3356,"AAAAAEsv+3o=")</f>
        <v>#VALUE!</v>
      </c>
      <c r="DT152" t="e">
        <f>AND('STERLING CATALOG - DRY '!E3356,"AAAAAEsv+3s=")</f>
        <v>#VALUE!</v>
      </c>
      <c r="DU152" t="e">
        <f>AND('STERLING CATALOG - DRY '!F3356,"AAAAAEsv+3w=")</f>
        <v>#VALUE!</v>
      </c>
      <c r="DV152" t="e">
        <f>AND('STERLING CATALOG - DRY '!G3356,"AAAAAEsv+30=")</f>
        <v>#VALUE!</v>
      </c>
      <c r="DW152" t="e">
        <f>AND('STERLING CATALOG - DRY '!H3356,"AAAAAEsv+34=")</f>
        <v>#VALUE!</v>
      </c>
      <c r="DX152" t="e">
        <f>AND('STERLING CATALOG - DRY '!I3356,"AAAAAEsv+38=")</f>
        <v>#VALUE!</v>
      </c>
      <c r="DY152" t="e">
        <f>AND('STERLING CATALOG - DRY '!J3356,"AAAAAEsv+4A=")</f>
        <v>#VALUE!</v>
      </c>
      <c r="DZ152">
        <f>IF('STERLING CATALOG - DRY '!3357:3357,"AAAAAEsv+4E=",0)</f>
        <v>0</v>
      </c>
      <c r="EA152" t="e">
        <f>AND('STERLING CATALOG - DRY '!A3357,"AAAAAEsv+4I=")</f>
        <v>#VALUE!</v>
      </c>
      <c r="EB152" t="e">
        <f>AND('STERLING CATALOG - DRY '!B3357,"AAAAAEsv+4M=")</f>
        <v>#VALUE!</v>
      </c>
      <c r="EC152" t="e">
        <f>AND('STERLING CATALOG - DRY '!C3357,"AAAAAEsv+4Q=")</f>
        <v>#VALUE!</v>
      </c>
      <c r="ED152" t="e">
        <f>AND('STERLING CATALOG - DRY '!D3357,"AAAAAEsv+4U=")</f>
        <v>#VALUE!</v>
      </c>
      <c r="EE152" t="e">
        <f>AND('STERLING CATALOG - DRY '!E3357,"AAAAAEsv+4Y=")</f>
        <v>#VALUE!</v>
      </c>
      <c r="EF152" t="e">
        <f>AND('STERLING CATALOG - DRY '!F3357,"AAAAAEsv+4c=")</f>
        <v>#VALUE!</v>
      </c>
      <c r="EG152" t="e">
        <f>AND('STERLING CATALOG - DRY '!G3357,"AAAAAEsv+4g=")</f>
        <v>#VALUE!</v>
      </c>
      <c r="EH152" t="e">
        <f>AND('STERLING CATALOG - DRY '!H3357,"AAAAAEsv+4k=")</f>
        <v>#VALUE!</v>
      </c>
      <c r="EI152" t="e">
        <f>AND('STERLING CATALOG - DRY '!I3357,"AAAAAEsv+4o=")</f>
        <v>#VALUE!</v>
      </c>
      <c r="EJ152" t="e">
        <f>AND('STERLING CATALOG - DRY '!J3357,"AAAAAEsv+4s=")</f>
        <v>#VALUE!</v>
      </c>
      <c r="EK152">
        <f>IF('STERLING CATALOG - DRY '!3358:3358,"AAAAAEsv+4w=",0)</f>
        <v>0</v>
      </c>
      <c r="EL152" t="e">
        <f>AND('STERLING CATALOG - DRY '!A3358,"AAAAAEsv+40=")</f>
        <v>#VALUE!</v>
      </c>
      <c r="EM152" t="e">
        <f>AND('STERLING CATALOG - DRY '!B3358,"AAAAAEsv+44=")</f>
        <v>#VALUE!</v>
      </c>
      <c r="EN152" t="e">
        <f>AND('STERLING CATALOG - DRY '!C3358,"AAAAAEsv+48=")</f>
        <v>#VALUE!</v>
      </c>
      <c r="EO152" t="e">
        <f>AND('STERLING CATALOG - DRY '!D3358,"AAAAAEsv+5A=")</f>
        <v>#VALUE!</v>
      </c>
      <c r="EP152" t="e">
        <f>AND('STERLING CATALOG - DRY '!E3358,"AAAAAEsv+5E=")</f>
        <v>#VALUE!</v>
      </c>
      <c r="EQ152" t="e">
        <f>AND('STERLING CATALOG - DRY '!F3358,"AAAAAEsv+5I=")</f>
        <v>#VALUE!</v>
      </c>
      <c r="ER152" t="e">
        <f>AND('STERLING CATALOG - DRY '!G3358,"AAAAAEsv+5M=")</f>
        <v>#VALUE!</v>
      </c>
      <c r="ES152" t="e">
        <f>AND('STERLING CATALOG - DRY '!H3358,"AAAAAEsv+5Q=")</f>
        <v>#VALUE!</v>
      </c>
      <c r="ET152" t="e">
        <f>AND('STERLING CATALOG - DRY '!I3358,"AAAAAEsv+5U=")</f>
        <v>#VALUE!</v>
      </c>
      <c r="EU152" t="e">
        <f>AND('STERLING CATALOG - DRY '!J3358,"AAAAAEsv+5Y=")</f>
        <v>#VALUE!</v>
      </c>
      <c r="EV152">
        <f>IF('STERLING CATALOG - DRY '!3359:3359,"AAAAAEsv+5c=",0)</f>
        <v>0</v>
      </c>
      <c r="EW152" t="e">
        <f>AND('STERLING CATALOG - DRY '!A3359,"AAAAAEsv+5g=")</f>
        <v>#VALUE!</v>
      </c>
      <c r="EX152" t="e">
        <f>AND('STERLING CATALOG - DRY '!B3359,"AAAAAEsv+5k=")</f>
        <v>#VALUE!</v>
      </c>
      <c r="EY152" t="e">
        <f>AND('STERLING CATALOG - DRY '!C3359,"AAAAAEsv+5o=")</f>
        <v>#VALUE!</v>
      </c>
      <c r="EZ152" t="e">
        <f>AND('STERLING CATALOG - DRY '!D3359,"AAAAAEsv+5s=")</f>
        <v>#VALUE!</v>
      </c>
      <c r="FA152" t="e">
        <f>AND('STERLING CATALOG - DRY '!E3359,"AAAAAEsv+5w=")</f>
        <v>#VALUE!</v>
      </c>
      <c r="FB152" t="e">
        <f>AND('STERLING CATALOG - DRY '!F3359,"AAAAAEsv+50=")</f>
        <v>#VALUE!</v>
      </c>
      <c r="FC152" t="e">
        <f>AND('STERLING CATALOG - DRY '!G3359,"AAAAAEsv+54=")</f>
        <v>#VALUE!</v>
      </c>
      <c r="FD152" t="e">
        <f>AND('STERLING CATALOG - DRY '!H3359,"AAAAAEsv+58=")</f>
        <v>#VALUE!</v>
      </c>
      <c r="FE152" t="e">
        <f>AND('STERLING CATALOG - DRY '!I3359,"AAAAAEsv+6A=")</f>
        <v>#VALUE!</v>
      </c>
      <c r="FF152" t="e">
        <f>AND('STERLING CATALOG - DRY '!J3359,"AAAAAEsv+6E=")</f>
        <v>#VALUE!</v>
      </c>
      <c r="FG152">
        <f>IF('STERLING CATALOG - DRY '!3360:3360,"AAAAAEsv+6I=",0)</f>
        <v>0</v>
      </c>
      <c r="FH152" t="e">
        <f>AND('STERLING CATALOG - DRY '!A3360,"AAAAAEsv+6M=")</f>
        <v>#VALUE!</v>
      </c>
      <c r="FI152" t="e">
        <f>AND('STERLING CATALOG - DRY '!B3360,"AAAAAEsv+6Q=")</f>
        <v>#VALUE!</v>
      </c>
      <c r="FJ152" t="e">
        <f>AND('STERLING CATALOG - DRY '!C3360,"AAAAAEsv+6U=")</f>
        <v>#VALUE!</v>
      </c>
      <c r="FK152" t="e">
        <f>AND('STERLING CATALOG - DRY '!D3360,"AAAAAEsv+6Y=")</f>
        <v>#VALUE!</v>
      </c>
      <c r="FL152" t="e">
        <f>AND('STERLING CATALOG - DRY '!E3360,"AAAAAEsv+6c=")</f>
        <v>#VALUE!</v>
      </c>
      <c r="FM152" t="e">
        <f>AND('STERLING CATALOG - DRY '!F3360,"AAAAAEsv+6g=")</f>
        <v>#VALUE!</v>
      </c>
      <c r="FN152" t="e">
        <f>AND('STERLING CATALOG - DRY '!G3360,"AAAAAEsv+6k=")</f>
        <v>#VALUE!</v>
      </c>
      <c r="FO152" t="e">
        <f>AND('STERLING CATALOG - DRY '!H3360,"AAAAAEsv+6o=")</f>
        <v>#VALUE!</v>
      </c>
      <c r="FP152" t="e">
        <f>AND('STERLING CATALOG - DRY '!I3360,"AAAAAEsv+6s=")</f>
        <v>#VALUE!</v>
      </c>
      <c r="FQ152" t="e">
        <f>AND('STERLING CATALOG - DRY '!J3360,"AAAAAEsv+6w=")</f>
        <v>#VALUE!</v>
      </c>
      <c r="FR152">
        <f>IF('STERLING CATALOG - DRY '!3361:3361,"AAAAAEsv+60=",0)</f>
        <v>0</v>
      </c>
      <c r="FS152" t="e">
        <f>AND('STERLING CATALOG - DRY '!A3361,"AAAAAEsv+64=")</f>
        <v>#VALUE!</v>
      </c>
      <c r="FT152" t="e">
        <f>AND('STERLING CATALOG - DRY '!B3361,"AAAAAEsv+68=")</f>
        <v>#VALUE!</v>
      </c>
      <c r="FU152" t="e">
        <f>AND('STERLING CATALOG - DRY '!C3361,"AAAAAEsv+7A=")</f>
        <v>#VALUE!</v>
      </c>
      <c r="FV152" t="e">
        <f>AND('STERLING CATALOG - DRY '!D3361,"AAAAAEsv+7E=")</f>
        <v>#VALUE!</v>
      </c>
      <c r="FW152" t="e">
        <f>AND('STERLING CATALOG - DRY '!E3361,"AAAAAEsv+7I=")</f>
        <v>#VALUE!</v>
      </c>
      <c r="FX152" t="e">
        <f>AND('STERLING CATALOG - DRY '!F3361,"AAAAAEsv+7M=")</f>
        <v>#VALUE!</v>
      </c>
      <c r="FY152" t="e">
        <f>AND('STERLING CATALOG - DRY '!G3361,"AAAAAEsv+7Q=")</f>
        <v>#VALUE!</v>
      </c>
      <c r="FZ152" t="e">
        <f>AND('STERLING CATALOG - DRY '!H3361,"AAAAAEsv+7U=")</f>
        <v>#VALUE!</v>
      </c>
      <c r="GA152" t="e">
        <f>AND('STERLING CATALOG - DRY '!I3361,"AAAAAEsv+7Y=")</f>
        <v>#VALUE!</v>
      </c>
      <c r="GB152" t="e">
        <f>AND('STERLING CATALOG - DRY '!J3361,"AAAAAEsv+7c=")</f>
        <v>#VALUE!</v>
      </c>
      <c r="GC152">
        <f>IF('STERLING CATALOG - DRY '!3362:3362,"AAAAAEsv+7g=",0)</f>
        <v>0</v>
      </c>
      <c r="GD152" t="e">
        <f>AND('STERLING CATALOG - DRY '!A3362,"AAAAAEsv+7k=")</f>
        <v>#VALUE!</v>
      </c>
      <c r="GE152" t="e">
        <f>AND('STERLING CATALOG - DRY '!B3362,"AAAAAEsv+7o=")</f>
        <v>#VALUE!</v>
      </c>
      <c r="GF152" t="e">
        <f>AND('STERLING CATALOG - DRY '!C3362,"AAAAAEsv+7s=")</f>
        <v>#VALUE!</v>
      </c>
      <c r="GG152" t="e">
        <f>AND('STERLING CATALOG - DRY '!D3362,"AAAAAEsv+7w=")</f>
        <v>#VALUE!</v>
      </c>
      <c r="GH152" t="e">
        <f>AND('STERLING CATALOG - DRY '!E3362,"AAAAAEsv+70=")</f>
        <v>#VALUE!</v>
      </c>
      <c r="GI152" t="e">
        <f>AND('STERLING CATALOG - DRY '!F3362,"AAAAAEsv+74=")</f>
        <v>#VALUE!</v>
      </c>
      <c r="GJ152" t="e">
        <f>AND('STERLING CATALOG - DRY '!G3362,"AAAAAEsv+78=")</f>
        <v>#VALUE!</v>
      </c>
      <c r="GK152" t="e">
        <f>AND('STERLING CATALOG - DRY '!H3362,"AAAAAEsv+8A=")</f>
        <v>#VALUE!</v>
      </c>
      <c r="GL152" t="e">
        <f>AND('STERLING CATALOG - DRY '!I3362,"AAAAAEsv+8E=")</f>
        <v>#VALUE!</v>
      </c>
      <c r="GM152" t="e">
        <f>AND('STERLING CATALOG - DRY '!J3362,"AAAAAEsv+8I=")</f>
        <v>#VALUE!</v>
      </c>
      <c r="GN152">
        <f>IF('STERLING CATALOG - DRY '!3363:3363,"AAAAAEsv+8M=",0)</f>
        <v>0</v>
      </c>
      <c r="GO152" t="e">
        <f>AND('STERLING CATALOG - DRY '!A3363,"AAAAAEsv+8Q=")</f>
        <v>#VALUE!</v>
      </c>
      <c r="GP152" t="e">
        <f>AND('STERLING CATALOG - DRY '!B3363,"AAAAAEsv+8U=")</f>
        <v>#VALUE!</v>
      </c>
      <c r="GQ152" t="e">
        <f>AND('STERLING CATALOG - DRY '!C3363,"AAAAAEsv+8Y=")</f>
        <v>#VALUE!</v>
      </c>
      <c r="GR152" t="e">
        <f>AND('STERLING CATALOG - DRY '!D3363,"AAAAAEsv+8c=")</f>
        <v>#VALUE!</v>
      </c>
      <c r="GS152" t="e">
        <f>AND('STERLING CATALOG - DRY '!E3363,"AAAAAEsv+8g=")</f>
        <v>#VALUE!</v>
      </c>
      <c r="GT152" t="e">
        <f>AND('STERLING CATALOG - DRY '!F3363,"AAAAAEsv+8k=")</f>
        <v>#VALUE!</v>
      </c>
      <c r="GU152" t="e">
        <f>AND('STERLING CATALOG - DRY '!G3363,"AAAAAEsv+8o=")</f>
        <v>#VALUE!</v>
      </c>
      <c r="GV152" t="e">
        <f>AND('STERLING CATALOG - DRY '!H3363,"AAAAAEsv+8s=")</f>
        <v>#VALUE!</v>
      </c>
      <c r="GW152" t="e">
        <f>AND('STERLING CATALOG - DRY '!I3363,"AAAAAEsv+8w=")</f>
        <v>#VALUE!</v>
      </c>
      <c r="GX152" t="e">
        <f>AND('STERLING CATALOG - DRY '!J3363,"AAAAAEsv+80=")</f>
        <v>#VALUE!</v>
      </c>
      <c r="GY152">
        <f>IF('STERLING CATALOG - DRY '!3364:3364,"AAAAAEsv+84=",0)</f>
        <v>0</v>
      </c>
      <c r="GZ152" t="e">
        <f>AND('STERLING CATALOG - DRY '!A3364,"AAAAAEsv+88=")</f>
        <v>#VALUE!</v>
      </c>
      <c r="HA152" t="e">
        <f>AND('STERLING CATALOG - DRY '!B3364,"AAAAAEsv+9A=")</f>
        <v>#VALUE!</v>
      </c>
      <c r="HB152" t="e">
        <f>AND('STERLING CATALOG - DRY '!C3364,"AAAAAEsv+9E=")</f>
        <v>#VALUE!</v>
      </c>
      <c r="HC152" t="e">
        <f>AND('STERLING CATALOG - DRY '!D3364,"AAAAAEsv+9I=")</f>
        <v>#VALUE!</v>
      </c>
      <c r="HD152" t="e">
        <f>AND('STERLING CATALOG - DRY '!E3364,"AAAAAEsv+9M=")</f>
        <v>#VALUE!</v>
      </c>
      <c r="HE152" t="e">
        <f>AND('STERLING CATALOG - DRY '!F3364,"AAAAAEsv+9Q=")</f>
        <v>#VALUE!</v>
      </c>
      <c r="HF152" t="e">
        <f>AND('STERLING CATALOG - DRY '!G3364,"AAAAAEsv+9U=")</f>
        <v>#VALUE!</v>
      </c>
      <c r="HG152" t="e">
        <f>AND('STERLING CATALOG - DRY '!H3364,"AAAAAEsv+9Y=")</f>
        <v>#VALUE!</v>
      </c>
      <c r="HH152" t="e">
        <f>AND('STERLING CATALOG - DRY '!I3364,"AAAAAEsv+9c=")</f>
        <v>#VALUE!</v>
      </c>
      <c r="HI152" t="e">
        <f>AND('STERLING CATALOG - DRY '!J3364,"AAAAAEsv+9g=")</f>
        <v>#VALUE!</v>
      </c>
      <c r="HJ152">
        <f>IF('STERLING CATALOG - DRY '!3365:3365,"AAAAAEsv+9k=",0)</f>
        <v>0</v>
      </c>
      <c r="HK152" t="e">
        <f>AND('STERLING CATALOG - DRY '!A3365,"AAAAAEsv+9o=")</f>
        <v>#VALUE!</v>
      </c>
      <c r="HL152" t="e">
        <f>AND('STERLING CATALOG - DRY '!B3365,"AAAAAEsv+9s=")</f>
        <v>#VALUE!</v>
      </c>
      <c r="HM152" t="e">
        <f>AND('STERLING CATALOG - DRY '!C3365,"AAAAAEsv+9w=")</f>
        <v>#VALUE!</v>
      </c>
      <c r="HN152" t="e">
        <f>AND('STERLING CATALOG - DRY '!D3365,"AAAAAEsv+90=")</f>
        <v>#VALUE!</v>
      </c>
      <c r="HO152" t="e">
        <f>AND('STERLING CATALOG - DRY '!E3365,"AAAAAEsv+94=")</f>
        <v>#VALUE!</v>
      </c>
      <c r="HP152" t="e">
        <f>AND('STERLING CATALOG - DRY '!F3365,"AAAAAEsv+98=")</f>
        <v>#VALUE!</v>
      </c>
      <c r="HQ152" t="e">
        <f>AND('STERLING CATALOG - DRY '!G3365,"AAAAAEsv++A=")</f>
        <v>#VALUE!</v>
      </c>
      <c r="HR152" t="e">
        <f>AND('STERLING CATALOG - DRY '!H3365,"AAAAAEsv++E=")</f>
        <v>#VALUE!</v>
      </c>
      <c r="HS152" t="e">
        <f>AND('STERLING CATALOG - DRY '!I3365,"AAAAAEsv++I=")</f>
        <v>#VALUE!</v>
      </c>
      <c r="HT152" t="e">
        <f>AND('STERLING CATALOG - DRY '!J3365,"AAAAAEsv++M=")</f>
        <v>#VALUE!</v>
      </c>
      <c r="HU152">
        <f>IF('STERLING CATALOG - DRY '!3366:3366,"AAAAAEsv++Q=",0)</f>
        <v>0</v>
      </c>
      <c r="HV152" t="e">
        <f>AND('STERLING CATALOG - DRY '!A3366,"AAAAAEsv++U=")</f>
        <v>#VALUE!</v>
      </c>
      <c r="HW152" t="e">
        <f>AND('STERLING CATALOG - DRY '!B3366,"AAAAAEsv++Y=")</f>
        <v>#VALUE!</v>
      </c>
      <c r="HX152" t="e">
        <f>AND('STERLING CATALOG - DRY '!C3366,"AAAAAEsv++c=")</f>
        <v>#VALUE!</v>
      </c>
      <c r="HY152" t="e">
        <f>AND('STERLING CATALOG - DRY '!D3366,"AAAAAEsv++g=")</f>
        <v>#VALUE!</v>
      </c>
      <c r="HZ152" t="e">
        <f>AND('STERLING CATALOG - DRY '!E3366,"AAAAAEsv++k=")</f>
        <v>#VALUE!</v>
      </c>
      <c r="IA152" t="e">
        <f>AND('STERLING CATALOG - DRY '!F3366,"AAAAAEsv++o=")</f>
        <v>#VALUE!</v>
      </c>
      <c r="IB152" t="e">
        <f>AND('STERLING CATALOG - DRY '!G3366,"AAAAAEsv++s=")</f>
        <v>#VALUE!</v>
      </c>
      <c r="IC152" t="e">
        <f>AND('STERLING CATALOG - DRY '!H3366,"AAAAAEsv++w=")</f>
        <v>#VALUE!</v>
      </c>
      <c r="ID152" t="e">
        <f>AND('STERLING CATALOG - DRY '!I3366,"AAAAAEsv++0=")</f>
        <v>#VALUE!</v>
      </c>
      <c r="IE152" t="e">
        <f>AND('STERLING CATALOG - DRY '!J3366,"AAAAAEsv++4=")</f>
        <v>#VALUE!</v>
      </c>
      <c r="IF152">
        <f>IF('STERLING CATALOG - DRY '!3367:3367,"AAAAAEsv++8=",0)</f>
        <v>0</v>
      </c>
      <c r="IG152" t="e">
        <f>AND('STERLING CATALOG - DRY '!A3367,"AAAAAEsv+/A=")</f>
        <v>#VALUE!</v>
      </c>
      <c r="IH152" t="e">
        <f>AND('STERLING CATALOG - DRY '!B3367,"AAAAAEsv+/E=")</f>
        <v>#VALUE!</v>
      </c>
      <c r="II152" t="e">
        <f>AND('STERLING CATALOG - DRY '!C3367,"AAAAAEsv+/I=")</f>
        <v>#VALUE!</v>
      </c>
      <c r="IJ152" t="e">
        <f>AND('STERLING CATALOG - DRY '!D3367,"AAAAAEsv+/M=")</f>
        <v>#VALUE!</v>
      </c>
      <c r="IK152" t="e">
        <f>AND('STERLING CATALOG - DRY '!E3367,"AAAAAEsv+/Q=")</f>
        <v>#VALUE!</v>
      </c>
      <c r="IL152" t="e">
        <f>AND('STERLING CATALOG - DRY '!F3367,"AAAAAEsv+/U=")</f>
        <v>#VALUE!</v>
      </c>
      <c r="IM152" t="e">
        <f>AND('STERLING CATALOG - DRY '!G3367,"AAAAAEsv+/Y=")</f>
        <v>#VALUE!</v>
      </c>
      <c r="IN152" t="e">
        <f>AND('STERLING CATALOG - DRY '!H3367,"AAAAAEsv+/c=")</f>
        <v>#VALUE!</v>
      </c>
      <c r="IO152" t="e">
        <f>AND('STERLING CATALOG - DRY '!I3367,"AAAAAEsv+/g=")</f>
        <v>#VALUE!</v>
      </c>
      <c r="IP152" t="e">
        <f>AND('STERLING CATALOG - DRY '!J3367,"AAAAAEsv+/k=")</f>
        <v>#VALUE!</v>
      </c>
      <c r="IQ152">
        <f>IF('STERLING CATALOG - DRY '!3368:3368,"AAAAAEsv+/o=",0)</f>
        <v>0</v>
      </c>
      <c r="IR152" t="e">
        <f>AND('STERLING CATALOG - DRY '!A3368,"AAAAAEsv+/s=")</f>
        <v>#VALUE!</v>
      </c>
      <c r="IS152" t="e">
        <f>AND('STERLING CATALOG - DRY '!B3368,"AAAAAEsv+/w=")</f>
        <v>#VALUE!</v>
      </c>
      <c r="IT152" t="e">
        <f>AND('STERLING CATALOG - DRY '!C3368,"AAAAAEsv+/0=")</f>
        <v>#VALUE!</v>
      </c>
      <c r="IU152" t="e">
        <f>AND('STERLING CATALOG - DRY '!D3368,"AAAAAEsv+/4=")</f>
        <v>#VALUE!</v>
      </c>
      <c r="IV152" t="e">
        <f>AND('STERLING CATALOG - DRY '!E3368,"AAAAAEsv+/8=")</f>
        <v>#VALUE!</v>
      </c>
    </row>
    <row r="153" spans="1:256">
      <c r="A153" t="e">
        <f>AND('STERLING CATALOG - DRY '!F3368,"AAAAAG43/wA=")</f>
        <v>#VALUE!</v>
      </c>
      <c r="B153" t="e">
        <f>AND('STERLING CATALOG - DRY '!G3368,"AAAAAG43/wE=")</f>
        <v>#VALUE!</v>
      </c>
      <c r="C153" t="e">
        <f>AND('STERLING CATALOG - DRY '!H3368,"AAAAAG43/wI=")</f>
        <v>#VALUE!</v>
      </c>
      <c r="D153" t="e">
        <f>AND('STERLING CATALOG - DRY '!I3368,"AAAAAG43/wM=")</f>
        <v>#VALUE!</v>
      </c>
      <c r="E153" t="e">
        <f>AND('STERLING CATALOG - DRY '!J3368,"AAAAAG43/wQ=")</f>
        <v>#VALUE!</v>
      </c>
      <c r="F153" t="str">
        <f>IF('STERLING CATALOG - DRY '!3369:3369,"AAAAAG43/wU=",0)</f>
        <v>AAAAAG43/wU=</v>
      </c>
      <c r="G153" t="e">
        <f>AND('STERLING CATALOG - DRY '!A3369,"AAAAAG43/wY=")</f>
        <v>#VALUE!</v>
      </c>
      <c r="H153" t="e">
        <f>AND('STERLING CATALOG - DRY '!B3369,"AAAAAG43/wc=")</f>
        <v>#VALUE!</v>
      </c>
      <c r="I153" t="e">
        <f>AND('STERLING CATALOG - DRY '!C3369,"AAAAAG43/wg=")</f>
        <v>#VALUE!</v>
      </c>
      <c r="J153" t="e">
        <f>AND('STERLING CATALOG - DRY '!D3369,"AAAAAG43/wk=")</f>
        <v>#VALUE!</v>
      </c>
      <c r="K153" t="e">
        <f>AND('STERLING CATALOG - DRY '!E3369,"AAAAAG43/wo=")</f>
        <v>#VALUE!</v>
      </c>
      <c r="L153" t="e">
        <f>AND('STERLING CATALOG - DRY '!F3369,"AAAAAG43/ws=")</f>
        <v>#VALUE!</v>
      </c>
      <c r="M153" t="e">
        <f>AND('STERLING CATALOG - DRY '!G3369,"AAAAAG43/ww=")</f>
        <v>#VALUE!</v>
      </c>
      <c r="N153" t="e">
        <f>AND('STERLING CATALOG - DRY '!H3369,"AAAAAG43/w0=")</f>
        <v>#VALUE!</v>
      </c>
      <c r="O153" t="e">
        <f>AND('STERLING CATALOG - DRY '!I3369,"AAAAAG43/w4=")</f>
        <v>#VALUE!</v>
      </c>
      <c r="P153" t="e">
        <f>AND('STERLING CATALOG - DRY '!J3369,"AAAAAG43/w8=")</f>
        <v>#VALUE!</v>
      </c>
      <c r="Q153">
        <f>IF('STERLING CATALOG - DRY '!3370:3370,"AAAAAG43/xA=",0)</f>
        <v>0</v>
      </c>
      <c r="R153" t="e">
        <f>AND('STERLING CATALOG - DRY '!A3370,"AAAAAG43/xE=")</f>
        <v>#VALUE!</v>
      </c>
      <c r="S153" t="e">
        <f>AND('STERLING CATALOG - DRY '!B3370,"AAAAAG43/xI=")</f>
        <v>#VALUE!</v>
      </c>
      <c r="T153" t="e">
        <f>AND('STERLING CATALOG - DRY '!C3370,"AAAAAG43/xM=")</f>
        <v>#VALUE!</v>
      </c>
      <c r="U153" t="e">
        <f>AND('STERLING CATALOG - DRY '!D3370,"AAAAAG43/xQ=")</f>
        <v>#VALUE!</v>
      </c>
      <c r="V153" t="e">
        <f>AND('STERLING CATALOG - DRY '!E3370,"AAAAAG43/xU=")</f>
        <v>#VALUE!</v>
      </c>
      <c r="W153" t="e">
        <f>AND('STERLING CATALOG - DRY '!F3370,"AAAAAG43/xY=")</f>
        <v>#VALUE!</v>
      </c>
      <c r="X153" t="e">
        <f>AND('STERLING CATALOG - DRY '!G3370,"AAAAAG43/xc=")</f>
        <v>#VALUE!</v>
      </c>
      <c r="Y153" t="e">
        <f>AND('STERLING CATALOG - DRY '!H3370,"AAAAAG43/xg=")</f>
        <v>#VALUE!</v>
      </c>
      <c r="Z153" t="e">
        <f>AND('STERLING CATALOG - DRY '!I3370,"AAAAAG43/xk=")</f>
        <v>#VALUE!</v>
      </c>
      <c r="AA153" t="e">
        <f>AND('STERLING CATALOG - DRY '!J3370,"AAAAAG43/xo=")</f>
        <v>#VALUE!</v>
      </c>
      <c r="AB153">
        <f>IF('STERLING CATALOG - DRY '!3371:3371,"AAAAAG43/xs=",0)</f>
        <v>0</v>
      </c>
      <c r="AC153" t="e">
        <f>AND('STERLING CATALOG - DRY '!A3371,"AAAAAG43/xw=")</f>
        <v>#VALUE!</v>
      </c>
      <c r="AD153" t="e">
        <f>AND('STERLING CATALOG - DRY '!B3371,"AAAAAG43/x0=")</f>
        <v>#VALUE!</v>
      </c>
      <c r="AE153" t="e">
        <f>AND('STERLING CATALOG - DRY '!C3371,"AAAAAG43/x4=")</f>
        <v>#VALUE!</v>
      </c>
      <c r="AF153" t="e">
        <f>AND('STERLING CATALOG - DRY '!D3371,"AAAAAG43/x8=")</f>
        <v>#VALUE!</v>
      </c>
      <c r="AG153" t="e">
        <f>AND('STERLING CATALOG - DRY '!E3371,"AAAAAG43/yA=")</f>
        <v>#VALUE!</v>
      </c>
      <c r="AH153" t="e">
        <f>AND('STERLING CATALOG - DRY '!F3371,"AAAAAG43/yE=")</f>
        <v>#VALUE!</v>
      </c>
      <c r="AI153" t="e">
        <f>AND('STERLING CATALOG - DRY '!G3371,"AAAAAG43/yI=")</f>
        <v>#VALUE!</v>
      </c>
      <c r="AJ153" t="e">
        <f>AND('STERLING CATALOG - DRY '!H3371,"AAAAAG43/yM=")</f>
        <v>#VALUE!</v>
      </c>
      <c r="AK153" t="e">
        <f>AND('STERLING CATALOG - DRY '!I3371,"AAAAAG43/yQ=")</f>
        <v>#VALUE!</v>
      </c>
      <c r="AL153" t="e">
        <f>AND('STERLING CATALOG - DRY '!J3371,"AAAAAG43/yU=")</f>
        <v>#VALUE!</v>
      </c>
      <c r="AM153">
        <f>IF('STERLING CATALOG - DRY '!3372:3372,"AAAAAG43/yY=",0)</f>
        <v>0</v>
      </c>
      <c r="AN153" t="e">
        <f>AND('STERLING CATALOG - DRY '!A3372,"AAAAAG43/yc=")</f>
        <v>#VALUE!</v>
      </c>
      <c r="AO153" t="e">
        <f>AND('STERLING CATALOG - DRY '!B3372,"AAAAAG43/yg=")</f>
        <v>#VALUE!</v>
      </c>
      <c r="AP153" t="e">
        <f>AND('STERLING CATALOG - DRY '!C3372,"AAAAAG43/yk=")</f>
        <v>#VALUE!</v>
      </c>
      <c r="AQ153" t="e">
        <f>AND('STERLING CATALOG - DRY '!D3372,"AAAAAG43/yo=")</f>
        <v>#VALUE!</v>
      </c>
      <c r="AR153" t="e">
        <f>AND('STERLING CATALOG - DRY '!E3372,"AAAAAG43/ys=")</f>
        <v>#VALUE!</v>
      </c>
      <c r="AS153" t="e">
        <f>AND('STERLING CATALOG - DRY '!F3372,"AAAAAG43/yw=")</f>
        <v>#VALUE!</v>
      </c>
      <c r="AT153" t="e">
        <f>AND('STERLING CATALOG - DRY '!G3372,"AAAAAG43/y0=")</f>
        <v>#VALUE!</v>
      </c>
      <c r="AU153" t="e">
        <f>AND('STERLING CATALOG - DRY '!H3372,"AAAAAG43/y4=")</f>
        <v>#VALUE!</v>
      </c>
      <c r="AV153" t="e">
        <f>AND('STERLING CATALOG - DRY '!I3372,"AAAAAG43/y8=")</f>
        <v>#VALUE!</v>
      </c>
      <c r="AW153" t="e">
        <f>AND('STERLING CATALOG - DRY '!J3372,"AAAAAG43/zA=")</f>
        <v>#VALUE!</v>
      </c>
      <c r="AX153">
        <f>IF('STERLING CATALOG - DRY '!3373:3373,"AAAAAG43/zE=",0)</f>
        <v>0</v>
      </c>
      <c r="AY153" t="e">
        <f>AND('STERLING CATALOG - DRY '!A3373,"AAAAAG43/zI=")</f>
        <v>#VALUE!</v>
      </c>
      <c r="AZ153" t="e">
        <f>AND('STERLING CATALOG - DRY '!B3373,"AAAAAG43/zM=")</f>
        <v>#VALUE!</v>
      </c>
      <c r="BA153" t="e">
        <f>AND('STERLING CATALOG - DRY '!C3373,"AAAAAG43/zQ=")</f>
        <v>#VALUE!</v>
      </c>
      <c r="BB153" t="e">
        <f>AND('STERLING CATALOG - DRY '!D3373,"AAAAAG43/zU=")</f>
        <v>#VALUE!</v>
      </c>
      <c r="BC153" t="e">
        <f>AND('STERLING CATALOG - DRY '!E3373,"AAAAAG43/zY=")</f>
        <v>#VALUE!</v>
      </c>
      <c r="BD153" t="e">
        <f>AND('STERLING CATALOG - DRY '!F3373,"AAAAAG43/zc=")</f>
        <v>#VALUE!</v>
      </c>
      <c r="BE153" t="e">
        <f>AND('STERLING CATALOG - DRY '!G3373,"AAAAAG43/zg=")</f>
        <v>#VALUE!</v>
      </c>
      <c r="BF153" t="e">
        <f>AND('STERLING CATALOG - DRY '!H3373,"AAAAAG43/zk=")</f>
        <v>#VALUE!</v>
      </c>
      <c r="BG153" t="e">
        <f>AND('STERLING CATALOG - DRY '!I3373,"AAAAAG43/zo=")</f>
        <v>#VALUE!</v>
      </c>
      <c r="BH153" t="e">
        <f>AND('STERLING CATALOG - DRY '!J3373,"AAAAAG43/zs=")</f>
        <v>#VALUE!</v>
      </c>
      <c r="BI153">
        <f>IF('STERLING CATALOG - DRY '!3374:3374,"AAAAAG43/zw=",0)</f>
        <v>0</v>
      </c>
      <c r="BJ153" t="e">
        <f>AND('STERLING CATALOG - DRY '!A3374,"AAAAAG43/z0=")</f>
        <v>#VALUE!</v>
      </c>
      <c r="BK153" t="e">
        <f>AND('STERLING CATALOG - DRY '!B3374,"AAAAAG43/z4=")</f>
        <v>#VALUE!</v>
      </c>
      <c r="BL153" t="e">
        <f>AND('STERLING CATALOG - DRY '!C3374,"AAAAAG43/z8=")</f>
        <v>#VALUE!</v>
      </c>
      <c r="BM153" t="e">
        <f>AND('STERLING CATALOG - DRY '!D3374,"AAAAAG43/0A=")</f>
        <v>#VALUE!</v>
      </c>
      <c r="BN153" t="e">
        <f>AND('STERLING CATALOG - DRY '!E3374,"AAAAAG43/0E=")</f>
        <v>#VALUE!</v>
      </c>
      <c r="BO153" t="e">
        <f>AND('STERLING CATALOG - DRY '!F3374,"AAAAAG43/0I=")</f>
        <v>#VALUE!</v>
      </c>
      <c r="BP153" t="e">
        <f>AND('STERLING CATALOG - DRY '!G3374,"AAAAAG43/0M=")</f>
        <v>#VALUE!</v>
      </c>
      <c r="BQ153" t="e">
        <f>AND('STERLING CATALOG - DRY '!H3374,"AAAAAG43/0Q=")</f>
        <v>#VALUE!</v>
      </c>
      <c r="BR153" t="e">
        <f>AND('STERLING CATALOG - DRY '!I3374,"AAAAAG43/0U=")</f>
        <v>#VALUE!</v>
      </c>
      <c r="BS153" t="e">
        <f>AND('STERLING CATALOG - DRY '!J3374,"AAAAAG43/0Y=")</f>
        <v>#VALUE!</v>
      </c>
      <c r="BT153">
        <f>IF('STERLING CATALOG - DRY '!3375:3375,"AAAAAG43/0c=",0)</f>
        <v>0</v>
      </c>
      <c r="BU153" t="e">
        <f>AND('STERLING CATALOG - DRY '!A3375,"AAAAAG43/0g=")</f>
        <v>#VALUE!</v>
      </c>
      <c r="BV153" t="e">
        <f>AND('STERLING CATALOG - DRY '!B3375,"AAAAAG43/0k=")</f>
        <v>#VALUE!</v>
      </c>
      <c r="BW153" t="e">
        <f>AND('STERLING CATALOG - DRY '!C3375,"AAAAAG43/0o=")</f>
        <v>#VALUE!</v>
      </c>
      <c r="BX153" t="e">
        <f>AND('STERLING CATALOG - DRY '!D3375,"AAAAAG43/0s=")</f>
        <v>#VALUE!</v>
      </c>
      <c r="BY153" t="e">
        <f>AND('STERLING CATALOG - DRY '!E3375,"AAAAAG43/0w=")</f>
        <v>#VALUE!</v>
      </c>
      <c r="BZ153" t="e">
        <f>AND('STERLING CATALOG - DRY '!F3375,"AAAAAG43/00=")</f>
        <v>#VALUE!</v>
      </c>
      <c r="CA153" t="e">
        <f>AND('STERLING CATALOG - DRY '!G3375,"AAAAAG43/04=")</f>
        <v>#VALUE!</v>
      </c>
      <c r="CB153" t="e">
        <f>AND('STERLING CATALOG - DRY '!H3375,"AAAAAG43/08=")</f>
        <v>#VALUE!</v>
      </c>
      <c r="CC153" t="e">
        <f>AND('STERLING CATALOG - DRY '!I3375,"AAAAAG43/1A=")</f>
        <v>#VALUE!</v>
      </c>
      <c r="CD153" t="e">
        <f>AND('STERLING CATALOG - DRY '!J3375,"AAAAAG43/1E=")</f>
        <v>#VALUE!</v>
      </c>
      <c r="CE153">
        <f>IF('STERLING CATALOG - DRY '!3376:3376,"AAAAAG43/1I=",0)</f>
        <v>0</v>
      </c>
      <c r="CF153" t="e">
        <f>AND('STERLING CATALOG - DRY '!A3376,"AAAAAG43/1M=")</f>
        <v>#VALUE!</v>
      </c>
      <c r="CG153" t="e">
        <f>AND('STERLING CATALOG - DRY '!B3376,"AAAAAG43/1Q=")</f>
        <v>#VALUE!</v>
      </c>
      <c r="CH153" t="e">
        <f>AND('STERLING CATALOG - DRY '!C3376,"AAAAAG43/1U=")</f>
        <v>#VALUE!</v>
      </c>
      <c r="CI153" t="e">
        <f>AND('STERLING CATALOG - DRY '!D3376,"AAAAAG43/1Y=")</f>
        <v>#VALUE!</v>
      </c>
      <c r="CJ153" t="e">
        <f>AND('STERLING CATALOG - DRY '!E3376,"AAAAAG43/1c=")</f>
        <v>#VALUE!</v>
      </c>
      <c r="CK153" t="e">
        <f>AND('STERLING CATALOG - DRY '!F3376,"AAAAAG43/1g=")</f>
        <v>#VALUE!</v>
      </c>
      <c r="CL153" t="e">
        <f>AND('STERLING CATALOG - DRY '!G3376,"AAAAAG43/1k=")</f>
        <v>#VALUE!</v>
      </c>
      <c r="CM153" t="e">
        <f>AND('STERLING CATALOG - DRY '!H3376,"AAAAAG43/1o=")</f>
        <v>#VALUE!</v>
      </c>
      <c r="CN153" t="e">
        <f>AND('STERLING CATALOG - DRY '!I3376,"AAAAAG43/1s=")</f>
        <v>#VALUE!</v>
      </c>
      <c r="CO153" t="e">
        <f>AND('STERLING CATALOG - DRY '!J3376,"AAAAAG43/1w=")</f>
        <v>#VALUE!</v>
      </c>
      <c r="CP153">
        <f>IF('STERLING CATALOG - DRY '!3377:3377,"AAAAAG43/10=",0)</f>
        <v>0</v>
      </c>
      <c r="CQ153" t="e">
        <f>AND('STERLING CATALOG - DRY '!A3377,"AAAAAG43/14=")</f>
        <v>#VALUE!</v>
      </c>
      <c r="CR153" t="e">
        <f>AND('STERLING CATALOG - DRY '!B3377,"AAAAAG43/18=")</f>
        <v>#VALUE!</v>
      </c>
      <c r="CS153" t="e">
        <f>AND('STERLING CATALOG - DRY '!C3377,"AAAAAG43/2A=")</f>
        <v>#VALUE!</v>
      </c>
      <c r="CT153" t="e">
        <f>AND('STERLING CATALOG - DRY '!D3377,"AAAAAG43/2E=")</f>
        <v>#VALUE!</v>
      </c>
      <c r="CU153" t="e">
        <f>AND('STERLING CATALOG - DRY '!E3377,"AAAAAG43/2I=")</f>
        <v>#VALUE!</v>
      </c>
      <c r="CV153" t="e">
        <f>AND('STERLING CATALOG - DRY '!F3377,"AAAAAG43/2M=")</f>
        <v>#VALUE!</v>
      </c>
      <c r="CW153" t="e">
        <f>AND('STERLING CATALOG - DRY '!G3377,"AAAAAG43/2Q=")</f>
        <v>#VALUE!</v>
      </c>
      <c r="CX153" t="e">
        <f>AND('STERLING CATALOG - DRY '!H3377,"AAAAAG43/2U=")</f>
        <v>#VALUE!</v>
      </c>
      <c r="CY153" t="e">
        <f>AND('STERLING CATALOG - DRY '!I3377,"AAAAAG43/2Y=")</f>
        <v>#VALUE!</v>
      </c>
      <c r="CZ153" t="e">
        <f>AND('STERLING CATALOG - DRY '!J3377,"AAAAAG43/2c=")</f>
        <v>#VALUE!</v>
      </c>
      <c r="DA153">
        <f>IF('STERLING CATALOG - DRY '!3378:3378,"AAAAAG43/2g=",0)</f>
        <v>0</v>
      </c>
      <c r="DB153" t="e">
        <f>AND('STERLING CATALOG - DRY '!A3378,"AAAAAG43/2k=")</f>
        <v>#VALUE!</v>
      </c>
      <c r="DC153" t="e">
        <f>AND('STERLING CATALOG - DRY '!B3378,"AAAAAG43/2o=")</f>
        <v>#VALUE!</v>
      </c>
      <c r="DD153" t="e">
        <f>AND('STERLING CATALOG - DRY '!C3378,"AAAAAG43/2s=")</f>
        <v>#VALUE!</v>
      </c>
      <c r="DE153" t="e">
        <f>AND('STERLING CATALOG - DRY '!D3378,"AAAAAG43/2w=")</f>
        <v>#VALUE!</v>
      </c>
      <c r="DF153" t="e">
        <f>AND('STERLING CATALOG - DRY '!E3378,"AAAAAG43/20=")</f>
        <v>#VALUE!</v>
      </c>
      <c r="DG153" t="e">
        <f>AND('STERLING CATALOG - DRY '!F3378,"AAAAAG43/24=")</f>
        <v>#VALUE!</v>
      </c>
      <c r="DH153" t="e">
        <f>AND('STERLING CATALOG - DRY '!G3378,"AAAAAG43/28=")</f>
        <v>#VALUE!</v>
      </c>
      <c r="DI153" t="e">
        <f>AND('STERLING CATALOG - DRY '!H3378,"AAAAAG43/3A=")</f>
        <v>#VALUE!</v>
      </c>
      <c r="DJ153" t="e">
        <f>AND('STERLING CATALOG - DRY '!I3378,"AAAAAG43/3E=")</f>
        <v>#VALUE!</v>
      </c>
      <c r="DK153" t="e">
        <f>AND('STERLING CATALOG - DRY '!J3378,"AAAAAG43/3I=")</f>
        <v>#VALUE!</v>
      </c>
      <c r="DL153">
        <f>IF('STERLING CATALOG - DRY '!3379:3379,"AAAAAG43/3M=",0)</f>
        <v>0</v>
      </c>
      <c r="DM153" t="e">
        <f>AND('STERLING CATALOG - DRY '!A3379,"AAAAAG43/3Q=")</f>
        <v>#VALUE!</v>
      </c>
      <c r="DN153" t="e">
        <f>AND('STERLING CATALOG - DRY '!B3379,"AAAAAG43/3U=")</f>
        <v>#VALUE!</v>
      </c>
      <c r="DO153" t="e">
        <f>AND('STERLING CATALOG - DRY '!C3379,"AAAAAG43/3Y=")</f>
        <v>#VALUE!</v>
      </c>
      <c r="DP153" t="e">
        <f>AND('STERLING CATALOG - DRY '!D3379,"AAAAAG43/3c=")</f>
        <v>#VALUE!</v>
      </c>
      <c r="DQ153" t="e">
        <f>AND('STERLING CATALOG - DRY '!E3379,"AAAAAG43/3g=")</f>
        <v>#VALUE!</v>
      </c>
      <c r="DR153" t="e">
        <f>AND('STERLING CATALOG - DRY '!F3379,"AAAAAG43/3k=")</f>
        <v>#VALUE!</v>
      </c>
      <c r="DS153" t="e">
        <f>AND('STERLING CATALOG - DRY '!G3379,"AAAAAG43/3o=")</f>
        <v>#VALUE!</v>
      </c>
      <c r="DT153" t="e">
        <f>AND('STERLING CATALOG - DRY '!H3379,"AAAAAG43/3s=")</f>
        <v>#VALUE!</v>
      </c>
      <c r="DU153" t="e">
        <f>AND('STERLING CATALOG - DRY '!I3379,"AAAAAG43/3w=")</f>
        <v>#VALUE!</v>
      </c>
      <c r="DV153" t="e">
        <f>AND('STERLING CATALOG - DRY '!J3379,"AAAAAG43/30=")</f>
        <v>#VALUE!</v>
      </c>
      <c r="DW153">
        <f>IF('STERLING CATALOG - DRY '!3380:3380,"AAAAAG43/34=",0)</f>
        <v>0</v>
      </c>
      <c r="DX153" t="e">
        <f>AND('STERLING CATALOG - DRY '!A3380,"AAAAAG43/38=")</f>
        <v>#VALUE!</v>
      </c>
      <c r="DY153" t="e">
        <f>AND('STERLING CATALOG - DRY '!B3380,"AAAAAG43/4A=")</f>
        <v>#VALUE!</v>
      </c>
      <c r="DZ153" t="e">
        <f>AND('STERLING CATALOG - DRY '!C3380,"AAAAAG43/4E=")</f>
        <v>#VALUE!</v>
      </c>
      <c r="EA153" t="e">
        <f>AND('STERLING CATALOG - DRY '!D3380,"AAAAAG43/4I=")</f>
        <v>#VALUE!</v>
      </c>
      <c r="EB153" t="e">
        <f>AND('STERLING CATALOG - DRY '!E3380,"AAAAAG43/4M=")</f>
        <v>#VALUE!</v>
      </c>
      <c r="EC153" t="e">
        <f>AND('STERLING CATALOG - DRY '!F3380,"AAAAAG43/4Q=")</f>
        <v>#VALUE!</v>
      </c>
      <c r="ED153" t="e">
        <f>AND('STERLING CATALOG - DRY '!G3380,"AAAAAG43/4U=")</f>
        <v>#VALUE!</v>
      </c>
      <c r="EE153" t="e">
        <f>AND('STERLING CATALOG - DRY '!H3380,"AAAAAG43/4Y=")</f>
        <v>#VALUE!</v>
      </c>
      <c r="EF153" t="e">
        <f>AND('STERLING CATALOG - DRY '!I3380,"AAAAAG43/4c=")</f>
        <v>#VALUE!</v>
      </c>
      <c r="EG153" t="e">
        <f>AND('STERLING CATALOG - DRY '!J3380,"AAAAAG43/4g=")</f>
        <v>#VALUE!</v>
      </c>
      <c r="EH153">
        <f>IF('STERLING CATALOG - DRY '!3381:3381,"AAAAAG43/4k=",0)</f>
        <v>0</v>
      </c>
      <c r="EI153" t="e">
        <f>AND('STERLING CATALOG - DRY '!A3381,"AAAAAG43/4o=")</f>
        <v>#VALUE!</v>
      </c>
      <c r="EJ153" t="e">
        <f>AND('STERLING CATALOG - DRY '!B3381,"AAAAAG43/4s=")</f>
        <v>#VALUE!</v>
      </c>
      <c r="EK153" t="e">
        <f>AND('STERLING CATALOG - DRY '!C3381,"AAAAAG43/4w=")</f>
        <v>#VALUE!</v>
      </c>
      <c r="EL153" t="e">
        <f>AND('STERLING CATALOG - DRY '!D3381,"AAAAAG43/40=")</f>
        <v>#VALUE!</v>
      </c>
      <c r="EM153" t="e">
        <f>AND('STERLING CATALOG - DRY '!E3381,"AAAAAG43/44=")</f>
        <v>#VALUE!</v>
      </c>
      <c r="EN153" t="e">
        <f>AND('STERLING CATALOG - DRY '!F3381,"AAAAAG43/48=")</f>
        <v>#VALUE!</v>
      </c>
      <c r="EO153" t="e">
        <f>AND('STERLING CATALOG - DRY '!G3381,"AAAAAG43/5A=")</f>
        <v>#VALUE!</v>
      </c>
      <c r="EP153" t="e">
        <f>AND('STERLING CATALOG - DRY '!H3381,"AAAAAG43/5E=")</f>
        <v>#VALUE!</v>
      </c>
      <c r="EQ153" t="e">
        <f>AND('STERLING CATALOG - DRY '!I3381,"AAAAAG43/5I=")</f>
        <v>#VALUE!</v>
      </c>
      <c r="ER153" t="e">
        <f>AND('STERLING CATALOG - DRY '!J3381,"AAAAAG43/5M=")</f>
        <v>#VALUE!</v>
      </c>
      <c r="ES153">
        <f>IF('STERLING CATALOG - DRY '!3382:3382,"AAAAAG43/5Q=",0)</f>
        <v>0</v>
      </c>
      <c r="ET153" t="e">
        <f>AND('STERLING CATALOG - DRY '!A3382,"AAAAAG43/5U=")</f>
        <v>#VALUE!</v>
      </c>
      <c r="EU153" t="e">
        <f>AND('STERLING CATALOG - DRY '!B3382,"AAAAAG43/5Y=")</f>
        <v>#VALUE!</v>
      </c>
      <c r="EV153" t="e">
        <f>AND('STERLING CATALOG - DRY '!C3382,"AAAAAG43/5c=")</f>
        <v>#VALUE!</v>
      </c>
      <c r="EW153" t="e">
        <f>AND('STERLING CATALOG - DRY '!D3382,"AAAAAG43/5g=")</f>
        <v>#VALUE!</v>
      </c>
      <c r="EX153" t="e">
        <f>AND('STERLING CATALOG - DRY '!E3382,"AAAAAG43/5k=")</f>
        <v>#VALUE!</v>
      </c>
      <c r="EY153" t="e">
        <f>AND('STERLING CATALOG - DRY '!F3382,"AAAAAG43/5o=")</f>
        <v>#VALUE!</v>
      </c>
      <c r="EZ153" t="e">
        <f>AND('STERLING CATALOG - DRY '!G3382,"AAAAAG43/5s=")</f>
        <v>#VALUE!</v>
      </c>
      <c r="FA153" t="e">
        <f>AND('STERLING CATALOG - DRY '!H3382,"AAAAAG43/5w=")</f>
        <v>#VALUE!</v>
      </c>
      <c r="FB153" t="e">
        <f>AND('STERLING CATALOG - DRY '!I3382,"AAAAAG43/50=")</f>
        <v>#VALUE!</v>
      </c>
      <c r="FC153" t="e">
        <f>AND('STERLING CATALOG - DRY '!J3382,"AAAAAG43/54=")</f>
        <v>#VALUE!</v>
      </c>
      <c r="FD153">
        <f>IF('STERLING CATALOG - DRY '!3383:3383,"AAAAAG43/58=",0)</f>
        <v>0</v>
      </c>
      <c r="FE153" t="e">
        <f>AND('STERLING CATALOG - DRY '!A3383,"AAAAAG43/6A=")</f>
        <v>#VALUE!</v>
      </c>
      <c r="FF153" t="e">
        <f>AND('STERLING CATALOG - DRY '!B3383,"AAAAAG43/6E=")</f>
        <v>#VALUE!</v>
      </c>
      <c r="FG153" t="e">
        <f>AND('STERLING CATALOG - DRY '!C3383,"AAAAAG43/6I=")</f>
        <v>#VALUE!</v>
      </c>
      <c r="FH153" t="e">
        <f>AND('STERLING CATALOG - DRY '!D3383,"AAAAAG43/6M=")</f>
        <v>#VALUE!</v>
      </c>
      <c r="FI153" t="e">
        <f>AND('STERLING CATALOG - DRY '!E3383,"AAAAAG43/6Q=")</f>
        <v>#VALUE!</v>
      </c>
      <c r="FJ153" t="e">
        <f>AND('STERLING CATALOG - DRY '!F3383,"AAAAAG43/6U=")</f>
        <v>#VALUE!</v>
      </c>
      <c r="FK153" t="e">
        <f>AND('STERLING CATALOG - DRY '!G3383,"AAAAAG43/6Y=")</f>
        <v>#VALUE!</v>
      </c>
      <c r="FL153" t="e">
        <f>AND('STERLING CATALOG - DRY '!H3383,"AAAAAG43/6c=")</f>
        <v>#VALUE!</v>
      </c>
      <c r="FM153" t="e">
        <f>AND('STERLING CATALOG - DRY '!I3383,"AAAAAG43/6g=")</f>
        <v>#VALUE!</v>
      </c>
      <c r="FN153" t="e">
        <f>AND('STERLING CATALOG - DRY '!J3383,"AAAAAG43/6k=")</f>
        <v>#VALUE!</v>
      </c>
      <c r="FO153">
        <f>IF('STERLING CATALOG - DRY '!3384:3384,"AAAAAG43/6o=",0)</f>
        <v>0</v>
      </c>
      <c r="FP153" t="e">
        <f>AND('STERLING CATALOG - DRY '!A3384,"AAAAAG43/6s=")</f>
        <v>#VALUE!</v>
      </c>
      <c r="FQ153" t="e">
        <f>AND('STERLING CATALOG - DRY '!B3384,"AAAAAG43/6w=")</f>
        <v>#VALUE!</v>
      </c>
      <c r="FR153" t="e">
        <f>AND('STERLING CATALOG - DRY '!C3384,"AAAAAG43/60=")</f>
        <v>#VALUE!</v>
      </c>
      <c r="FS153" t="e">
        <f>AND('STERLING CATALOG - DRY '!D3384,"AAAAAG43/64=")</f>
        <v>#VALUE!</v>
      </c>
      <c r="FT153" t="e">
        <f>AND('STERLING CATALOG - DRY '!E3384,"AAAAAG43/68=")</f>
        <v>#VALUE!</v>
      </c>
      <c r="FU153" t="e">
        <f>AND('STERLING CATALOG - DRY '!F3384,"AAAAAG43/7A=")</f>
        <v>#VALUE!</v>
      </c>
      <c r="FV153" t="e">
        <f>AND('STERLING CATALOG - DRY '!G3384,"AAAAAG43/7E=")</f>
        <v>#VALUE!</v>
      </c>
      <c r="FW153" t="e">
        <f>AND('STERLING CATALOG - DRY '!H3384,"AAAAAG43/7I=")</f>
        <v>#VALUE!</v>
      </c>
      <c r="FX153" t="e">
        <f>AND('STERLING CATALOG - DRY '!I3384,"AAAAAG43/7M=")</f>
        <v>#VALUE!</v>
      </c>
      <c r="FY153" t="e">
        <f>AND('STERLING CATALOG - DRY '!J3384,"AAAAAG43/7Q=")</f>
        <v>#VALUE!</v>
      </c>
      <c r="FZ153">
        <f>IF('STERLING CATALOG - DRY '!3385:3385,"AAAAAG43/7U=",0)</f>
        <v>0</v>
      </c>
      <c r="GA153" t="e">
        <f>AND('STERLING CATALOG - DRY '!A3385,"AAAAAG43/7Y=")</f>
        <v>#VALUE!</v>
      </c>
      <c r="GB153" t="e">
        <f>AND('STERLING CATALOG - DRY '!B3385,"AAAAAG43/7c=")</f>
        <v>#VALUE!</v>
      </c>
      <c r="GC153" t="e">
        <f>AND('STERLING CATALOG - DRY '!C3385,"AAAAAG43/7g=")</f>
        <v>#VALUE!</v>
      </c>
      <c r="GD153" t="e">
        <f>AND('STERLING CATALOG - DRY '!D3385,"AAAAAG43/7k=")</f>
        <v>#VALUE!</v>
      </c>
      <c r="GE153" t="e">
        <f>AND('STERLING CATALOG - DRY '!E3385,"AAAAAG43/7o=")</f>
        <v>#VALUE!</v>
      </c>
      <c r="GF153" t="e">
        <f>AND('STERLING CATALOG - DRY '!F3385,"AAAAAG43/7s=")</f>
        <v>#VALUE!</v>
      </c>
      <c r="GG153" t="e">
        <f>AND('STERLING CATALOG - DRY '!G3385,"AAAAAG43/7w=")</f>
        <v>#VALUE!</v>
      </c>
      <c r="GH153" t="e">
        <f>AND('STERLING CATALOG - DRY '!H3385,"AAAAAG43/70=")</f>
        <v>#VALUE!</v>
      </c>
      <c r="GI153" t="e">
        <f>AND('STERLING CATALOG - DRY '!I3385,"AAAAAG43/74=")</f>
        <v>#VALUE!</v>
      </c>
      <c r="GJ153" t="e">
        <f>AND('STERLING CATALOG - DRY '!J3385,"AAAAAG43/78=")</f>
        <v>#VALUE!</v>
      </c>
      <c r="GK153">
        <f>IF('STERLING CATALOG - DRY '!3386:3386,"AAAAAG43/8A=",0)</f>
        <v>0</v>
      </c>
      <c r="GL153" t="e">
        <f>AND('STERLING CATALOG - DRY '!A3386,"AAAAAG43/8E=")</f>
        <v>#VALUE!</v>
      </c>
      <c r="GM153" t="e">
        <f>AND('STERLING CATALOG - DRY '!B3386,"AAAAAG43/8I=")</f>
        <v>#VALUE!</v>
      </c>
      <c r="GN153" t="e">
        <f>AND('STERLING CATALOG - DRY '!C3386,"AAAAAG43/8M=")</f>
        <v>#VALUE!</v>
      </c>
      <c r="GO153" t="e">
        <f>AND('STERLING CATALOG - DRY '!D3386,"AAAAAG43/8Q=")</f>
        <v>#VALUE!</v>
      </c>
      <c r="GP153" t="e">
        <f>AND('STERLING CATALOG - DRY '!E3386,"AAAAAG43/8U=")</f>
        <v>#VALUE!</v>
      </c>
      <c r="GQ153" t="e">
        <f>AND('STERLING CATALOG - DRY '!F3386,"AAAAAG43/8Y=")</f>
        <v>#VALUE!</v>
      </c>
      <c r="GR153" t="e">
        <f>AND('STERLING CATALOG - DRY '!G3386,"AAAAAG43/8c=")</f>
        <v>#VALUE!</v>
      </c>
      <c r="GS153" t="e">
        <f>AND('STERLING CATALOG - DRY '!H3386,"AAAAAG43/8g=")</f>
        <v>#VALUE!</v>
      </c>
      <c r="GT153" t="e">
        <f>AND('STERLING CATALOG - DRY '!I3386,"AAAAAG43/8k=")</f>
        <v>#VALUE!</v>
      </c>
      <c r="GU153" t="e">
        <f>AND('STERLING CATALOG - DRY '!J3386,"AAAAAG43/8o=")</f>
        <v>#VALUE!</v>
      </c>
      <c r="GV153">
        <f>IF('STERLING CATALOG - DRY '!3387:3387,"AAAAAG43/8s=",0)</f>
        <v>0</v>
      </c>
      <c r="GW153" t="e">
        <f>AND('STERLING CATALOG - DRY '!A3387,"AAAAAG43/8w=")</f>
        <v>#VALUE!</v>
      </c>
      <c r="GX153" t="e">
        <f>AND('STERLING CATALOG - DRY '!B3387,"AAAAAG43/80=")</f>
        <v>#VALUE!</v>
      </c>
      <c r="GY153" t="e">
        <f>AND('STERLING CATALOG - DRY '!C3387,"AAAAAG43/84=")</f>
        <v>#VALUE!</v>
      </c>
      <c r="GZ153" t="e">
        <f>AND('STERLING CATALOG - DRY '!D3387,"AAAAAG43/88=")</f>
        <v>#VALUE!</v>
      </c>
      <c r="HA153" t="e">
        <f>AND('STERLING CATALOG - DRY '!E3387,"AAAAAG43/9A=")</f>
        <v>#VALUE!</v>
      </c>
      <c r="HB153" t="e">
        <f>AND('STERLING CATALOG - DRY '!F3387,"AAAAAG43/9E=")</f>
        <v>#VALUE!</v>
      </c>
      <c r="HC153" t="e">
        <f>AND('STERLING CATALOG - DRY '!G3387,"AAAAAG43/9I=")</f>
        <v>#VALUE!</v>
      </c>
      <c r="HD153" t="e">
        <f>AND('STERLING CATALOG - DRY '!H3387,"AAAAAG43/9M=")</f>
        <v>#VALUE!</v>
      </c>
      <c r="HE153" t="e">
        <f>AND('STERLING CATALOG - DRY '!I3387,"AAAAAG43/9Q=")</f>
        <v>#VALUE!</v>
      </c>
      <c r="HF153" t="e">
        <f>AND('STERLING CATALOG - DRY '!J3387,"AAAAAG43/9U=")</f>
        <v>#VALUE!</v>
      </c>
      <c r="HG153">
        <f>IF('STERLING CATALOG - DRY '!3388:3388,"AAAAAG43/9Y=",0)</f>
        <v>0</v>
      </c>
      <c r="HH153" t="e">
        <f>AND('STERLING CATALOG - DRY '!A3388,"AAAAAG43/9c=")</f>
        <v>#VALUE!</v>
      </c>
      <c r="HI153" t="e">
        <f>AND('STERLING CATALOG - DRY '!B3388,"AAAAAG43/9g=")</f>
        <v>#VALUE!</v>
      </c>
      <c r="HJ153" t="e">
        <f>AND('STERLING CATALOG - DRY '!C3388,"AAAAAG43/9k=")</f>
        <v>#VALUE!</v>
      </c>
      <c r="HK153" t="e">
        <f>AND('STERLING CATALOG - DRY '!D3388,"AAAAAG43/9o=")</f>
        <v>#VALUE!</v>
      </c>
      <c r="HL153" t="e">
        <f>AND('STERLING CATALOG - DRY '!E3388,"AAAAAG43/9s=")</f>
        <v>#VALUE!</v>
      </c>
      <c r="HM153" t="e">
        <f>AND('STERLING CATALOG - DRY '!F3388,"AAAAAG43/9w=")</f>
        <v>#VALUE!</v>
      </c>
      <c r="HN153" t="e">
        <f>AND('STERLING CATALOG - DRY '!G3388,"AAAAAG43/90=")</f>
        <v>#VALUE!</v>
      </c>
      <c r="HO153" t="e">
        <f>AND('STERLING CATALOG - DRY '!H3388,"AAAAAG43/94=")</f>
        <v>#VALUE!</v>
      </c>
      <c r="HP153" t="e">
        <f>AND('STERLING CATALOG - DRY '!I3388,"AAAAAG43/98=")</f>
        <v>#VALUE!</v>
      </c>
      <c r="HQ153" t="e">
        <f>AND('STERLING CATALOG - DRY '!J3388,"AAAAAG43/+A=")</f>
        <v>#VALUE!</v>
      </c>
      <c r="HR153">
        <f>IF('STERLING CATALOG - DRY '!3389:3389,"AAAAAG43/+E=",0)</f>
        <v>0</v>
      </c>
      <c r="HS153" t="e">
        <f>AND('STERLING CATALOG - DRY '!A3389,"AAAAAG43/+I=")</f>
        <v>#VALUE!</v>
      </c>
      <c r="HT153" t="e">
        <f>AND('STERLING CATALOG - DRY '!B3389,"AAAAAG43/+M=")</f>
        <v>#VALUE!</v>
      </c>
      <c r="HU153" t="e">
        <f>AND('STERLING CATALOG - DRY '!C3389,"AAAAAG43/+Q=")</f>
        <v>#VALUE!</v>
      </c>
      <c r="HV153" t="e">
        <f>AND('STERLING CATALOG - DRY '!D3389,"AAAAAG43/+U=")</f>
        <v>#VALUE!</v>
      </c>
      <c r="HW153" t="e">
        <f>AND('STERLING CATALOG - DRY '!E3389,"AAAAAG43/+Y=")</f>
        <v>#VALUE!</v>
      </c>
      <c r="HX153" t="e">
        <f>AND('STERLING CATALOG - DRY '!F3389,"AAAAAG43/+c=")</f>
        <v>#VALUE!</v>
      </c>
      <c r="HY153" t="e">
        <f>AND('STERLING CATALOG - DRY '!G3389,"AAAAAG43/+g=")</f>
        <v>#VALUE!</v>
      </c>
      <c r="HZ153" t="e">
        <f>AND('STERLING CATALOG - DRY '!H3389,"AAAAAG43/+k=")</f>
        <v>#VALUE!</v>
      </c>
      <c r="IA153" t="e">
        <f>AND('STERLING CATALOG - DRY '!I3389,"AAAAAG43/+o=")</f>
        <v>#VALUE!</v>
      </c>
      <c r="IB153" t="e">
        <f>AND('STERLING CATALOG - DRY '!J3389,"AAAAAG43/+s=")</f>
        <v>#VALUE!</v>
      </c>
      <c r="IC153">
        <f>IF('STERLING CATALOG - DRY '!3390:3390,"AAAAAG43/+w=",0)</f>
        <v>0</v>
      </c>
      <c r="ID153" t="e">
        <f>AND('STERLING CATALOG - DRY '!A3390,"AAAAAG43/+0=")</f>
        <v>#VALUE!</v>
      </c>
      <c r="IE153" t="e">
        <f>AND('STERLING CATALOG - DRY '!B3390,"AAAAAG43/+4=")</f>
        <v>#VALUE!</v>
      </c>
      <c r="IF153" t="e">
        <f>AND('STERLING CATALOG - DRY '!C3390,"AAAAAG43/+8=")</f>
        <v>#VALUE!</v>
      </c>
      <c r="IG153" t="e">
        <f>AND('STERLING CATALOG - DRY '!D3390,"AAAAAG43//A=")</f>
        <v>#VALUE!</v>
      </c>
      <c r="IH153" t="e">
        <f>AND('STERLING CATALOG - DRY '!E3390,"AAAAAG43//E=")</f>
        <v>#VALUE!</v>
      </c>
      <c r="II153" t="e">
        <f>AND('STERLING CATALOG - DRY '!F3390,"AAAAAG43//I=")</f>
        <v>#VALUE!</v>
      </c>
      <c r="IJ153" t="e">
        <f>AND('STERLING CATALOG - DRY '!G3390,"AAAAAG43//M=")</f>
        <v>#VALUE!</v>
      </c>
      <c r="IK153" t="e">
        <f>AND('STERLING CATALOG - DRY '!H3390,"AAAAAG43//Q=")</f>
        <v>#VALUE!</v>
      </c>
      <c r="IL153" t="e">
        <f>AND('STERLING CATALOG - DRY '!I3390,"AAAAAG43//U=")</f>
        <v>#VALUE!</v>
      </c>
      <c r="IM153" t="e">
        <f>AND('STERLING CATALOG - DRY '!J3390,"AAAAAG43//Y=")</f>
        <v>#VALUE!</v>
      </c>
      <c r="IN153">
        <f>IF('STERLING CATALOG - DRY '!3391:3391,"AAAAAG43//c=",0)</f>
        <v>0</v>
      </c>
      <c r="IO153" t="e">
        <f>AND('STERLING CATALOG - DRY '!A3391,"AAAAAG43//g=")</f>
        <v>#VALUE!</v>
      </c>
      <c r="IP153" t="e">
        <f>AND('STERLING CATALOG - DRY '!B3391,"AAAAAG43//k=")</f>
        <v>#VALUE!</v>
      </c>
      <c r="IQ153" t="e">
        <f>AND('STERLING CATALOG - DRY '!C3391,"AAAAAG43//o=")</f>
        <v>#VALUE!</v>
      </c>
      <c r="IR153" t="e">
        <f>AND('STERLING CATALOG - DRY '!D3391,"AAAAAG43//s=")</f>
        <v>#VALUE!</v>
      </c>
      <c r="IS153" t="e">
        <f>AND('STERLING CATALOG - DRY '!E3391,"AAAAAG43//w=")</f>
        <v>#VALUE!</v>
      </c>
      <c r="IT153" t="e">
        <f>AND('STERLING CATALOG - DRY '!F3391,"AAAAAG43//0=")</f>
        <v>#VALUE!</v>
      </c>
      <c r="IU153" t="e">
        <f>AND('STERLING CATALOG - DRY '!G3391,"AAAAAG43//4=")</f>
        <v>#VALUE!</v>
      </c>
      <c r="IV153" t="e">
        <f>AND('STERLING CATALOG - DRY '!H3391,"AAAAAG43//8=")</f>
        <v>#VALUE!</v>
      </c>
    </row>
    <row r="154" spans="1:256">
      <c r="A154" t="e">
        <f>AND('STERLING CATALOG - DRY '!I3391,"AAAAAD//vwA=")</f>
        <v>#VALUE!</v>
      </c>
      <c r="B154" t="e">
        <f>AND('STERLING CATALOG - DRY '!J3391,"AAAAAD//vwE=")</f>
        <v>#VALUE!</v>
      </c>
      <c r="C154" t="str">
        <f>IF('STERLING CATALOG - DRY '!3392:3392,"AAAAAD//vwI=",0)</f>
        <v>AAAAAD//vwI=</v>
      </c>
      <c r="D154" t="e">
        <f>AND('STERLING CATALOG - DRY '!A3392,"AAAAAD//vwM=")</f>
        <v>#VALUE!</v>
      </c>
      <c r="E154" t="e">
        <f>AND('STERLING CATALOG - DRY '!B3392,"AAAAAD//vwQ=")</f>
        <v>#VALUE!</v>
      </c>
      <c r="F154" t="e">
        <f>AND('STERLING CATALOG - DRY '!C3392,"AAAAAD//vwU=")</f>
        <v>#VALUE!</v>
      </c>
      <c r="G154" t="e">
        <f>AND('STERLING CATALOG - DRY '!D3392,"AAAAAD//vwY=")</f>
        <v>#VALUE!</v>
      </c>
      <c r="H154" t="e">
        <f>AND('STERLING CATALOG - DRY '!E3392,"AAAAAD//vwc=")</f>
        <v>#VALUE!</v>
      </c>
      <c r="I154" t="e">
        <f>AND('STERLING CATALOG - DRY '!F3392,"AAAAAD//vwg=")</f>
        <v>#VALUE!</v>
      </c>
      <c r="J154" t="e">
        <f>AND('STERLING CATALOG - DRY '!G3392,"AAAAAD//vwk=")</f>
        <v>#VALUE!</v>
      </c>
      <c r="K154" t="e">
        <f>AND('STERLING CATALOG - DRY '!H3392,"AAAAAD//vwo=")</f>
        <v>#VALUE!</v>
      </c>
      <c r="L154" t="e">
        <f>AND('STERLING CATALOG - DRY '!I3392,"AAAAAD//vws=")</f>
        <v>#VALUE!</v>
      </c>
      <c r="M154" t="e">
        <f>AND('STERLING CATALOG - DRY '!J3392,"AAAAAD//vww=")</f>
        <v>#VALUE!</v>
      </c>
      <c r="N154">
        <f>IF('STERLING CATALOG - DRY '!3393:3393,"AAAAAD//vw0=",0)</f>
        <v>0</v>
      </c>
      <c r="O154" t="e">
        <f>AND('STERLING CATALOG - DRY '!A3393,"AAAAAD//vw4=")</f>
        <v>#VALUE!</v>
      </c>
      <c r="P154" t="e">
        <f>AND('STERLING CATALOG - DRY '!B3393,"AAAAAD//vw8=")</f>
        <v>#VALUE!</v>
      </c>
      <c r="Q154" t="e">
        <f>AND('STERLING CATALOG - DRY '!C3393,"AAAAAD//vxA=")</f>
        <v>#VALUE!</v>
      </c>
      <c r="R154" t="e">
        <f>AND('STERLING CATALOG - DRY '!D3393,"AAAAAD//vxE=")</f>
        <v>#VALUE!</v>
      </c>
      <c r="S154" t="e">
        <f>AND('STERLING CATALOG - DRY '!E3393,"AAAAAD//vxI=")</f>
        <v>#VALUE!</v>
      </c>
      <c r="T154" t="e">
        <f>AND('STERLING CATALOG - DRY '!F3393,"AAAAAD//vxM=")</f>
        <v>#VALUE!</v>
      </c>
      <c r="U154" t="e">
        <f>AND('STERLING CATALOG - DRY '!G3393,"AAAAAD//vxQ=")</f>
        <v>#VALUE!</v>
      </c>
      <c r="V154" t="e">
        <f>AND('STERLING CATALOG - DRY '!H3393,"AAAAAD//vxU=")</f>
        <v>#VALUE!</v>
      </c>
      <c r="W154" t="e">
        <f>AND('STERLING CATALOG - DRY '!I3393,"AAAAAD//vxY=")</f>
        <v>#VALUE!</v>
      </c>
      <c r="X154" t="e">
        <f>AND('STERLING CATALOG - DRY '!J3393,"AAAAAD//vxc=")</f>
        <v>#VALUE!</v>
      </c>
      <c r="Y154">
        <f>IF('STERLING CATALOG - DRY '!3394:3394,"AAAAAD//vxg=",0)</f>
        <v>0</v>
      </c>
      <c r="Z154" t="e">
        <f>AND('STERLING CATALOG - DRY '!A3394,"AAAAAD//vxk=")</f>
        <v>#VALUE!</v>
      </c>
      <c r="AA154" t="e">
        <f>AND('STERLING CATALOG - DRY '!B3394,"AAAAAD//vxo=")</f>
        <v>#VALUE!</v>
      </c>
      <c r="AB154" t="e">
        <f>AND('STERLING CATALOG - DRY '!C3394,"AAAAAD//vxs=")</f>
        <v>#VALUE!</v>
      </c>
      <c r="AC154" t="e">
        <f>AND('STERLING CATALOG - DRY '!D3394,"AAAAAD//vxw=")</f>
        <v>#VALUE!</v>
      </c>
      <c r="AD154" t="e">
        <f>AND('STERLING CATALOG - DRY '!E3394,"AAAAAD//vx0=")</f>
        <v>#VALUE!</v>
      </c>
      <c r="AE154" t="e">
        <f>AND('STERLING CATALOG - DRY '!F3394,"AAAAAD//vx4=")</f>
        <v>#VALUE!</v>
      </c>
      <c r="AF154" t="e">
        <f>AND('STERLING CATALOG - DRY '!G3394,"AAAAAD//vx8=")</f>
        <v>#VALUE!</v>
      </c>
      <c r="AG154" t="e">
        <f>AND('STERLING CATALOG - DRY '!H3394,"AAAAAD//vyA=")</f>
        <v>#VALUE!</v>
      </c>
      <c r="AH154" t="e">
        <f>AND('STERLING CATALOG - DRY '!I3394,"AAAAAD//vyE=")</f>
        <v>#VALUE!</v>
      </c>
      <c r="AI154" t="e">
        <f>AND('STERLING CATALOG - DRY '!J3394,"AAAAAD//vyI=")</f>
        <v>#VALUE!</v>
      </c>
      <c r="AJ154">
        <f>IF('STERLING CATALOG - DRY '!3395:3395,"AAAAAD//vyM=",0)</f>
        <v>0</v>
      </c>
      <c r="AK154" t="e">
        <f>AND('STERLING CATALOG - DRY '!A3395,"AAAAAD//vyQ=")</f>
        <v>#VALUE!</v>
      </c>
      <c r="AL154" t="e">
        <f>AND('STERLING CATALOG - DRY '!B3395,"AAAAAD//vyU=")</f>
        <v>#VALUE!</v>
      </c>
      <c r="AM154" t="e">
        <f>AND('STERLING CATALOG - DRY '!C3395,"AAAAAD//vyY=")</f>
        <v>#VALUE!</v>
      </c>
      <c r="AN154" t="e">
        <f>AND('STERLING CATALOG - DRY '!D3395,"AAAAAD//vyc=")</f>
        <v>#VALUE!</v>
      </c>
      <c r="AO154" t="e">
        <f>AND('STERLING CATALOG - DRY '!E3395,"AAAAAD//vyg=")</f>
        <v>#VALUE!</v>
      </c>
      <c r="AP154" t="e">
        <f>AND('STERLING CATALOG - DRY '!F3395,"AAAAAD//vyk=")</f>
        <v>#VALUE!</v>
      </c>
      <c r="AQ154" t="e">
        <f>AND('STERLING CATALOG - DRY '!G3395,"AAAAAD//vyo=")</f>
        <v>#VALUE!</v>
      </c>
      <c r="AR154" t="e">
        <f>AND('STERLING CATALOG - DRY '!H3395,"AAAAAD//vys=")</f>
        <v>#VALUE!</v>
      </c>
      <c r="AS154" t="e">
        <f>AND('STERLING CATALOG - DRY '!I3395,"AAAAAD//vyw=")</f>
        <v>#VALUE!</v>
      </c>
      <c r="AT154" t="e">
        <f>AND('STERLING CATALOG - DRY '!J3395,"AAAAAD//vy0=")</f>
        <v>#VALUE!</v>
      </c>
      <c r="AU154">
        <f>IF('STERLING CATALOG - DRY '!3396:3396,"AAAAAD//vy4=",0)</f>
        <v>0</v>
      </c>
      <c r="AV154" t="e">
        <f>AND('STERLING CATALOG - DRY '!A3396,"AAAAAD//vy8=")</f>
        <v>#VALUE!</v>
      </c>
      <c r="AW154" t="e">
        <f>AND('STERLING CATALOG - DRY '!B3396,"AAAAAD//vzA=")</f>
        <v>#VALUE!</v>
      </c>
      <c r="AX154" t="e">
        <f>AND('STERLING CATALOG - DRY '!C3396,"AAAAAD//vzE=")</f>
        <v>#VALUE!</v>
      </c>
      <c r="AY154" t="e">
        <f>AND('STERLING CATALOG - DRY '!D3396,"AAAAAD//vzI=")</f>
        <v>#VALUE!</v>
      </c>
      <c r="AZ154" t="e">
        <f>AND('STERLING CATALOG - DRY '!E3396,"AAAAAD//vzM=")</f>
        <v>#VALUE!</v>
      </c>
      <c r="BA154" t="e">
        <f>AND('STERLING CATALOG - DRY '!F3396,"AAAAAD//vzQ=")</f>
        <v>#VALUE!</v>
      </c>
      <c r="BB154" t="e">
        <f>AND('STERLING CATALOG - DRY '!G3396,"AAAAAD//vzU=")</f>
        <v>#VALUE!</v>
      </c>
      <c r="BC154" t="e">
        <f>AND('STERLING CATALOG - DRY '!H3396,"AAAAAD//vzY=")</f>
        <v>#VALUE!</v>
      </c>
      <c r="BD154" t="e">
        <f>AND('STERLING CATALOG - DRY '!I3396,"AAAAAD//vzc=")</f>
        <v>#VALUE!</v>
      </c>
      <c r="BE154" t="e">
        <f>AND('STERLING CATALOG - DRY '!J3396,"AAAAAD//vzg=")</f>
        <v>#VALUE!</v>
      </c>
      <c r="BF154">
        <f>IF('STERLING CATALOG - DRY '!3397:3397,"AAAAAD//vzk=",0)</f>
        <v>0</v>
      </c>
      <c r="BG154" t="e">
        <f>AND('STERLING CATALOG - DRY '!A3397,"AAAAAD//vzo=")</f>
        <v>#VALUE!</v>
      </c>
      <c r="BH154" t="e">
        <f>AND('STERLING CATALOG - DRY '!B3397,"AAAAAD//vzs=")</f>
        <v>#VALUE!</v>
      </c>
      <c r="BI154" t="e">
        <f>AND('STERLING CATALOG - DRY '!C3397,"AAAAAD//vzw=")</f>
        <v>#VALUE!</v>
      </c>
      <c r="BJ154" t="e">
        <f>AND('STERLING CATALOG - DRY '!D3397,"AAAAAD//vz0=")</f>
        <v>#VALUE!</v>
      </c>
      <c r="BK154" t="e">
        <f>AND('STERLING CATALOG - DRY '!E3397,"AAAAAD//vz4=")</f>
        <v>#VALUE!</v>
      </c>
      <c r="BL154" t="e">
        <f>AND('STERLING CATALOG - DRY '!F3397,"AAAAAD//vz8=")</f>
        <v>#VALUE!</v>
      </c>
      <c r="BM154" t="e">
        <f>AND('STERLING CATALOG - DRY '!G3397,"AAAAAD//v0A=")</f>
        <v>#VALUE!</v>
      </c>
      <c r="BN154" t="e">
        <f>AND('STERLING CATALOG - DRY '!H3397,"AAAAAD//v0E=")</f>
        <v>#VALUE!</v>
      </c>
      <c r="BO154" t="e">
        <f>AND('STERLING CATALOG - DRY '!I3397,"AAAAAD//v0I=")</f>
        <v>#VALUE!</v>
      </c>
      <c r="BP154" t="e">
        <f>AND('STERLING CATALOG - DRY '!J3397,"AAAAAD//v0M=")</f>
        <v>#VALUE!</v>
      </c>
      <c r="BQ154">
        <f>IF('STERLING CATALOG - DRY '!3398:3398,"AAAAAD//v0Q=",0)</f>
        <v>0</v>
      </c>
      <c r="BR154" t="e">
        <f>AND('STERLING CATALOG - DRY '!A3398,"AAAAAD//v0U=")</f>
        <v>#VALUE!</v>
      </c>
      <c r="BS154" t="e">
        <f>AND('STERLING CATALOG - DRY '!B3398,"AAAAAD//v0Y=")</f>
        <v>#VALUE!</v>
      </c>
      <c r="BT154" t="e">
        <f>AND('STERLING CATALOG - DRY '!C3398,"AAAAAD//v0c=")</f>
        <v>#VALUE!</v>
      </c>
      <c r="BU154" t="e">
        <f>AND('STERLING CATALOG - DRY '!D3398,"AAAAAD//v0g=")</f>
        <v>#VALUE!</v>
      </c>
      <c r="BV154" t="e">
        <f>AND('STERLING CATALOG - DRY '!E3398,"AAAAAD//v0k=")</f>
        <v>#VALUE!</v>
      </c>
      <c r="BW154" t="e">
        <f>AND('STERLING CATALOG - DRY '!F3398,"AAAAAD//v0o=")</f>
        <v>#VALUE!</v>
      </c>
      <c r="BX154" t="e">
        <f>AND('STERLING CATALOG - DRY '!G3398,"AAAAAD//v0s=")</f>
        <v>#VALUE!</v>
      </c>
      <c r="BY154" t="e">
        <f>AND('STERLING CATALOG - DRY '!H3398,"AAAAAD//v0w=")</f>
        <v>#VALUE!</v>
      </c>
      <c r="BZ154" t="e">
        <f>AND('STERLING CATALOG - DRY '!I3398,"AAAAAD//v00=")</f>
        <v>#VALUE!</v>
      </c>
      <c r="CA154" t="e">
        <f>AND('STERLING CATALOG - DRY '!J3398,"AAAAAD//v04=")</f>
        <v>#VALUE!</v>
      </c>
      <c r="CB154">
        <f>IF('STERLING CATALOG - DRY '!3399:3399,"AAAAAD//v08=",0)</f>
        <v>0</v>
      </c>
      <c r="CC154" t="e">
        <f>AND('STERLING CATALOG - DRY '!A3399,"AAAAAD//v1A=")</f>
        <v>#VALUE!</v>
      </c>
      <c r="CD154" t="e">
        <f>AND('STERLING CATALOG - DRY '!B3399,"AAAAAD//v1E=")</f>
        <v>#VALUE!</v>
      </c>
      <c r="CE154" t="e">
        <f>AND('STERLING CATALOG - DRY '!C3399,"AAAAAD//v1I=")</f>
        <v>#VALUE!</v>
      </c>
      <c r="CF154" t="e">
        <f>AND('STERLING CATALOG - DRY '!D3399,"AAAAAD//v1M=")</f>
        <v>#VALUE!</v>
      </c>
      <c r="CG154" t="e">
        <f>AND('STERLING CATALOG - DRY '!E3399,"AAAAAD//v1Q=")</f>
        <v>#VALUE!</v>
      </c>
      <c r="CH154" t="e">
        <f>AND('STERLING CATALOG - DRY '!F3399,"AAAAAD//v1U=")</f>
        <v>#VALUE!</v>
      </c>
      <c r="CI154" t="e">
        <f>AND('STERLING CATALOG - DRY '!G3399,"AAAAAD//v1Y=")</f>
        <v>#VALUE!</v>
      </c>
      <c r="CJ154" t="e">
        <f>AND('STERLING CATALOG - DRY '!H3399,"AAAAAD//v1c=")</f>
        <v>#VALUE!</v>
      </c>
      <c r="CK154" t="e">
        <f>AND('STERLING CATALOG - DRY '!I3399,"AAAAAD//v1g=")</f>
        <v>#VALUE!</v>
      </c>
      <c r="CL154" t="e">
        <f>AND('STERLING CATALOG - DRY '!J3399,"AAAAAD//v1k=")</f>
        <v>#VALUE!</v>
      </c>
      <c r="CM154">
        <f>IF('STERLING CATALOG - DRY '!3400:3400,"AAAAAD//v1o=",0)</f>
        <v>0</v>
      </c>
      <c r="CN154" t="e">
        <f>AND('STERLING CATALOG - DRY '!A3400,"AAAAAD//v1s=")</f>
        <v>#VALUE!</v>
      </c>
      <c r="CO154" t="e">
        <f>AND('STERLING CATALOG - DRY '!B3400,"AAAAAD//v1w=")</f>
        <v>#VALUE!</v>
      </c>
      <c r="CP154" t="e">
        <f>AND('STERLING CATALOG - DRY '!C3400,"AAAAAD//v10=")</f>
        <v>#VALUE!</v>
      </c>
      <c r="CQ154" t="e">
        <f>AND('STERLING CATALOG - DRY '!D3400,"AAAAAD//v14=")</f>
        <v>#VALUE!</v>
      </c>
      <c r="CR154" t="e">
        <f>AND('STERLING CATALOG - DRY '!E3400,"AAAAAD//v18=")</f>
        <v>#VALUE!</v>
      </c>
      <c r="CS154" t="e">
        <f>AND('STERLING CATALOG - DRY '!F3400,"AAAAAD//v2A=")</f>
        <v>#VALUE!</v>
      </c>
      <c r="CT154" t="e">
        <f>AND('STERLING CATALOG - DRY '!G3400,"AAAAAD//v2E=")</f>
        <v>#VALUE!</v>
      </c>
      <c r="CU154" t="e">
        <f>AND('STERLING CATALOG - DRY '!H3400,"AAAAAD//v2I=")</f>
        <v>#VALUE!</v>
      </c>
      <c r="CV154" t="e">
        <f>AND('STERLING CATALOG - DRY '!I3400,"AAAAAD//v2M=")</f>
        <v>#VALUE!</v>
      </c>
      <c r="CW154" t="e">
        <f>AND('STERLING CATALOG - DRY '!J3400,"AAAAAD//v2Q=")</f>
        <v>#VALUE!</v>
      </c>
      <c r="CX154">
        <f>IF('STERLING CATALOG - DRY '!3401:3401,"AAAAAD//v2U=",0)</f>
        <v>0</v>
      </c>
      <c r="CY154" t="e">
        <f>AND('STERLING CATALOG - DRY '!A3401,"AAAAAD//v2Y=")</f>
        <v>#VALUE!</v>
      </c>
      <c r="CZ154" t="e">
        <f>AND('STERLING CATALOG - DRY '!B3401,"AAAAAD//v2c=")</f>
        <v>#VALUE!</v>
      </c>
      <c r="DA154" t="e">
        <f>AND('STERLING CATALOG - DRY '!C3401,"AAAAAD//v2g=")</f>
        <v>#VALUE!</v>
      </c>
      <c r="DB154" t="e">
        <f>AND('STERLING CATALOG - DRY '!D3401,"AAAAAD//v2k=")</f>
        <v>#VALUE!</v>
      </c>
      <c r="DC154" t="e">
        <f>AND('STERLING CATALOG - DRY '!E3401,"AAAAAD//v2o=")</f>
        <v>#VALUE!</v>
      </c>
      <c r="DD154" t="e">
        <f>AND('STERLING CATALOG - DRY '!F3401,"AAAAAD//v2s=")</f>
        <v>#VALUE!</v>
      </c>
      <c r="DE154" t="e">
        <f>AND('STERLING CATALOG - DRY '!G3401,"AAAAAD//v2w=")</f>
        <v>#VALUE!</v>
      </c>
      <c r="DF154" t="e">
        <f>AND('STERLING CATALOG - DRY '!H3401,"AAAAAD//v20=")</f>
        <v>#VALUE!</v>
      </c>
      <c r="DG154" t="e">
        <f>AND('STERLING CATALOG - DRY '!I3401,"AAAAAD//v24=")</f>
        <v>#VALUE!</v>
      </c>
      <c r="DH154" t="e">
        <f>AND('STERLING CATALOG - DRY '!J3401,"AAAAAD//v28=")</f>
        <v>#VALUE!</v>
      </c>
      <c r="DI154">
        <f>IF('STERLING CATALOG - DRY '!3402:3402,"AAAAAD//v3A=",0)</f>
        <v>0</v>
      </c>
      <c r="DJ154" t="e">
        <f>AND('STERLING CATALOG - DRY '!A3402,"AAAAAD//v3E=")</f>
        <v>#VALUE!</v>
      </c>
      <c r="DK154" t="e">
        <f>AND('STERLING CATALOG - DRY '!B3402,"AAAAAD//v3I=")</f>
        <v>#VALUE!</v>
      </c>
      <c r="DL154" t="e">
        <f>AND('STERLING CATALOG - DRY '!C3402,"AAAAAD//v3M=")</f>
        <v>#VALUE!</v>
      </c>
      <c r="DM154" t="e">
        <f>AND('STERLING CATALOG - DRY '!D3402,"AAAAAD//v3Q=")</f>
        <v>#VALUE!</v>
      </c>
      <c r="DN154" t="e">
        <f>AND('STERLING CATALOG - DRY '!E3402,"AAAAAD//v3U=")</f>
        <v>#VALUE!</v>
      </c>
      <c r="DO154" t="e">
        <f>AND('STERLING CATALOG - DRY '!F3402,"AAAAAD//v3Y=")</f>
        <v>#VALUE!</v>
      </c>
      <c r="DP154" t="e">
        <f>AND('STERLING CATALOG - DRY '!G3402,"AAAAAD//v3c=")</f>
        <v>#VALUE!</v>
      </c>
      <c r="DQ154" t="e">
        <f>AND('STERLING CATALOG - DRY '!H3402,"AAAAAD//v3g=")</f>
        <v>#VALUE!</v>
      </c>
      <c r="DR154" t="e">
        <f>AND('STERLING CATALOG - DRY '!I3402,"AAAAAD//v3k=")</f>
        <v>#VALUE!</v>
      </c>
      <c r="DS154" t="e">
        <f>AND('STERLING CATALOG - DRY '!J3402,"AAAAAD//v3o=")</f>
        <v>#VALUE!</v>
      </c>
      <c r="DT154">
        <f>IF('STERLING CATALOG - DRY '!3403:3403,"AAAAAD//v3s=",0)</f>
        <v>0</v>
      </c>
      <c r="DU154" t="e">
        <f>AND('STERLING CATALOG - DRY '!A3403,"AAAAAD//v3w=")</f>
        <v>#VALUE!</v>
      </c>
      <c r="DV154" t="e">
        <f>AND('STERLING CATALOG - DRY '!B3403,"AAAAAD//v30=")</f>
        <v>#VALUE!</v>
      </c>
      <c r="DW154" t="e">
        <f>AND('STERLING CATALOG - DRY '!C3403,"AAAAAD//v34=")</f>
        <v>#VALUE!</v>
      </c>
      <c r="DX154" t="e">
        <f>AND('STERLING CATALOG - DRY '!D3403,"AAAAAD//v38=")</f>
        <v>#VALUE!</v>
      </c>
      <c r="DY154" t="e">
        <f>AND('STERLING CATALOG - DRY '!E3403,"AAAAAD//v4A=")</f>
        <v>#VALUE!</v>
      </c>
      <c r="DZ154" t="e">
        <f>AND('STERLING CATALOG - DRY '!F3403,"AAAAAD//v4E=")</f>
        <v>#VALUE!</v>
      </c>
      <c r="EA154" t="e">
        <f>AND('STERLING CATALOG - DRY '!G3403,"AAAAAD//v4I=")</f>
        <v>#VALUE!</v>
      </c>
      <c r="EB154" t="e">
        <f>AND('STERLING CATALOG - DRY '!H3403,"AAAAAD//v4M=")</f>
        <v>#VALUE!</v>
      </c>
      <c r="EC154" t="e">
        <f>AND('STERLING CATALOG - DRY '!I3403,"AAAAAD//v4Q=")</f>
        <v>#VALUE!</v>
      </c>
      <c r="ED154" t="e">
        <f>AND('STERLING CATALOG - DRY '!J3403,"AAAAAD//v4U=")</f>
        <v>#VALUE!</v>
      </c>
      <c r="EE154">
        <f>IF('STERLING CATALOG - DRY '!3404:3404,"AAAAAD//v4Y=",0)</f>
        <v>0</v>
      </c>
      <c r="EF154" t="e">
        <f>AND('STERLING CATALOG - DRY '!A3404,"AAAAAD//v4c=")</f>
        <v>#VALUE!</v>
      </c>
      <c r="EG154" t="e">
        <f>AND('STERLING CATALOG - DRY '!B3404,"AAAAAD//v4g=")</f>
        <v>#VALUE!</v>
      </c>
      <c r="EH154" t="e">
        <f>AND('STERLING CATALOG - DRY '!C3404,"AAAAAD//v4k=")</f>
        <v>#VALUE!</v>
      </c>
      <c r="EI154" t="e">
        <f>AND('STERLING CATALOG - DRY '!D3404,"AAAAAD//v4o=")</f>
        <v>#VALUE!</v>
      </c>
      <c r="EJ154" t="e">
        <f>AND('STERLING CATALOG - DRY '!E3404,"AAAAAD//v4s=")</f>
        <v>#VALUE!</v>
      </c>
      <c r="EK154" t="e">
        <f>AND('STERLING CATALOG - DRY '!F3404,"AAAAAD//v4w=")</f>
        <v>#VALUE!</v>
      </c>
      <c r="EL154" t="e">
        <f>AND('STERLING CATALOG - DRY '!G3404,"AAAAAD//v40=")</f>
        <v>#VALUE!</v>
      </c>
      <c r="EM154" t="e">
        <f>AND('STERLING CATALOG - DRY '!H3404,"AAAAAD//v44=")</f>
        <v>#VALUE!</v>
      </c>
      <c r="EN154" t="e">
        <f>AND('STERLING CATALOG - DRY '!I3404,"AAAAAD//v48=")</f>
        <v>#VALUE!</v>
      </c>
      <c r="EO154" t="e">
        <f>AND('STERLING CATALOG - DRY '!J3404,"AAAAAD//v5A=")</f>
        <v>#VALUE!</v>
      </c>
      <c r="EP154">
        <f>IF('STERLING CATALOG - DRY '!3405:3405,"AAAAAD//v5E=",0)</f>
        <v>0</v>
      </c>
      <c r="EQ154" t="e">
        <f>AND('STERLING CATALOG - DRY '!A3405,"AAAAAD//v5I=")</f>
        <v>#VALUE!</v>
      </c>
      <c r="ER154" t="e">
        <f>AND('STERLING CATALOG - DRY '!B3405,"AAAAAD//v5M=")</f>
        <v>#VALUE!</v>
      </c>
      <c r="ES154" t="e">
        <f>AND('STERLING CATALOG - DRY '!C3405,"AAAAAD//v5Q=")</f>
        <v>#VALUE!</v>
      </c>
      <c r="ET154" t="e">
        <f>AND('STERLING CATALOG - DRY '!D3405,"AAAAAD//v5U=")</f>
        <v>#VALUE!</v>
      </c>
      <c r="EU154" t="e">
        <f>AND('STERLING CATALOG - DRY '!E3405,"AAAAAD//v5Y=")</f>
        <v>#VALUE!</v>
      </c>
      <c r="EV154" t="e">
        <f>AND('STERLING CATALOG - DRY '!F3405,"AAAAAD//v5c=")</f>
        <v>#VALUE!</v>
      </c>
      <c r="EW154" t="e">
        <f>AND('STERLING CATALOG - DRY '!G3405,"AAAAAD//v5g=")</f>
        <v>#VALUE!</v>
      </c>
      <c r="EX154" t="e">
        <f>AND('STERLING CATALOG - DRY '!H3405,"AAAAAD//v5k=")</f>
        <v>#VALUE!</v>
      </c>
      <c r="EY154" t="e">
        <f>AND('STERLING CATALOG - DRY '!I3405,"AAAAAD//v5o=")</f>
        <v>#VALUE!</v>
      </c>
      <c r="EZ154" t="e">
        <f>AND('STERLING CATALOG - DRY '!J3405,"AAAAAD//v5s=")</f>
        <v>#VALUE!</v>
      </c>
      <c r="FA154">
        <f>IF('STERLING CATALOG - DRY '!3406:3406,"AAAAAD//v5w=",0)</f>
        <v>0</v>
      </c>
      <c r="FB154" t="e">
        <f>AND('STERLING CATALOG - DRY '!A3406,"AAAAAD//v50=")</f>
        <v>#VALUE!</v>
      </c>
      <c r="FC154" t="e">
        <f>AND('STERLING CATALOG - DRY '!B3406,"AAAAAD//v54=")</f>
        <v>#VALUE!</v>
      </c>
      <c r="FD154" t="e">
        <f>AND('STERLING CATALOG - DRY '!C3406,"AAAAAD//v58=")</f>
        <v>#VALUE!</v>
      </c>
      <c r="FE154" t="e">
        <f>AND('STERLING CATALOG - DRY '!D3406,"AAAAAD//v6A=")</f>
        <v>#VALUE!</v>
      </c>
      <c r="FF154" t="e">
        <f>AND('STERLING CATALOG - DRY '!E3406,"AAAAAD//v6E=")</f>
        <v>#VALUE!</v>
      </c>
      <c r="FG154" t="e">
        <f>AND('STERLING CATALOG - DRY '!F3406,"AAAAAD//v6I=")</f>
        <v>#VALUE!</v>
      </c>
      <c r="FH154" t="e">
        <f>AND('STERLING CATALOG - DRY '!G3406,"AAAAAD//v6M=")</f>
        <v>#VALUE!</v>
      </c>
      <c r="FI154" t="e">
        <f>AND('STERLING CATALOG - DRY '!H3406,"AAAAAD//v6Q=")</f>
        <v>#VALUE!</v>
      </c>
      <c r="FJ154" t="e">
        <f>AND('STERLING CATALOG - DRY '!I3406,"AAAAAD//v6U=")</f>
        <v>#VALUE!</v>
      </c>
      <c r="FK154" t="e">
        <f>AND('STERLING CATALOG - DRY '!J3406,"AAAAAD//v6Y=")</f>
        <v>#VALUE!</v>
      </c>
      <c r="FL154">
        <f>IF('STERLING CATALOG - DRY '!3407:3407,"AAAAAD//v6c=",0)</f>
        <v>0</v>
      </c>
      <c r="FM154" t="e">
        <f>AND('STERLING CATALOG - DRY '!A3407,"AAAAAD//v6g=")</f>
        <v>#VALUE!</v>
      </c>
      <c r="FN154" t="e">
        <f>AND('STERLING CATALOG - DRY '!B3407,"AAAAAD//v6k=")</f>
        <v>#VALUE!</v>
      </c>
      <c r="FO154" t="e">
        <f>AND('STERLING CATALOG - DRY '!C3407,"AAAAAD//v6o=")</f>
        <v>#VALUE!</v>
      </c>
      <c r="FP154" t="e">
        <f>AND('STERLING CATALOG - DRY '!D3407,"AAAAAD//v6s=")</f>
        <v>#VALUE!</v>
      </c>
      <c r="FQ154" t="e">
        <f>AND('STERLING CATALOG - DRY '!E3407,"AAAAAD//v6w=")</f>
        <v>#VALUE!</v>
      </c>
      <c r="FR154" t="e">
        <f>AND('STERLING CATALOG - DRY '!F3407,"AAAAAD//v60=")</f>
        <v>#VALUE!</v>
      </c>
      <c r="FS154" t="e">
        <f>AND('STERLING CATALOG - DRY '!G3407,"AAAAAD//v64=")</f>
        <v>#VALUE!</v>
      </c>
      <c r="FT154" t="e">
        <f>AND('STERLING CATALOG - DRY '!H3407,"AAAAAD//v68=")</f>
        <v>#VALUE!</v>
      </c>
      <c r="FU154" t="e">
        <f>AND('STERLING CATALOG - DRY '!I3407,"AAAAAD//v7A=")</f>
        <v>#VALUE!</v>
      </c>
      <c r="FV154" t="e">
        <f>AND('STERLING CATALOG - DRY '!J3407,"AAAAAD//v7E=")</f>
        <v>#VALUE!</v>
      </c>
      <c r="FW154">
        <f>IF('STERLING CATALOG - DRY '!3408:3408,"AAAAAD//v7I=",0)</f>
        <v>0</v>
      </c>
      <c r="FX154" t="e">
        <f>AND('STERLING CATALOG - DRY '!A3408,"AAAAAD//v7M=")</f>
        <v>#VALUE!</v>
      </c>
      <c r="FY154" t="e">
        <f>AND('STERLING CATALOG - DRY '!B3408,"AAAAAD//v7Q=")</f>
        <v>#VALUE!</v>
      </c>
      <c r="FZ154" t="e">
        <f>AND('STERLING CATALOG - DRY '!C3408,"AAAAAD//v7U=")</f>
        <v>#VALUE!</v>
      </c>
      <c r="GA154" t="e">
        <f>AND('STERLING CATALOG - DRY '!D3408,"AAAAAD//v7Y=")</f>
        <v>#VALUE!</v>
      </c>
      <c r="GB154" t="e">
        <f>AND('STERLING CATALOG - DRY '!E3408,"AAAAAD//v7c=")</f>
        <v>#VALUE!</v>
      </c>
      <c r="GC154" t="e">
        <f>AND('STERLING CATALOG - DRY '!F3408,"AAAAAD//v7g=")</f>
        <v>#VALUE!</v>
      </c>
      <c r="GD154" t="e">
        <f>AND('STERLING CATALOG - DRY '!G3408,"AAAAAD//v7k=")</f>
        <v>#VALUE!</v>
      </c>
      <c r="GE154" t="e">
        <f>AND('STERLING CATALOG - DRY '!H3408,"AAAAAD//v7o=")</f>
        <v>#VALUE!</v>
      </c>
      <c r="GF154" t="e">
        <f>AND('STERLING CATALOG - DRY '!I3408,"AAAAAD//v7s=")</f>
        <v>#VALUE!</v>
      </c>
      <c r="GG154" t="e">
        <f>AND('STERLING CATALOG - DRY '!J3408,"AAAAAD//v7w=")</f>
        <v>#VALUE!</v>
      </c>
      <c r="GH154">
        <f>IF('STERLING CATALOG - DRY '!3409:3409,"AAAAAD//v70=",0)</f>
        <v>0</v>
      </c>
      <c r="GI154" t="e">
        <f>AND('STERLING CATALOG - DRY '!A3409,"AAAAAD//v74=")</f>
        <v>#VALUE!</v>
      </c>
      <c r="GJ154" t="e">
        <f>AND('STERLING CATALOG - DRY '!B3409,"AAAAAD//v78=")</f>
        <v>#VALUE!</v>
      </c>
      <c r="GK154" t="e">
        <f>AND('STERLING CATALOG - DRY '!C3409,"AAAAAD//v8A=")</f>
        <v>#VALUE!</v>
      </c>
      <c r="GL154" t="e">
        <f>AND('STERLING CATALOG - DRY '!D3409,"AAAAAD//v8E=")</f>
        <v>#VALUE!</v>
      </c>
      <c r="GM154" t="e">
        <f>AND('STERLING CATALOG - DRY '!E3409,"AAAAAD//v8I=")</f>
        <v>#VALUE!</v>
      </c>
      <c r="GN154" t="e">
        <f>AND('STERLING CATALOG - DRY '!F3409,"AAAAAD//v8M=")</f>
        <v>#VALUE!</v>
      </c>
      <c r="GO154" t="e">
        <f>AND('STERLING CATALOG - DRY '!G3409,"AAAAAD//v8Q=")</f>
        <v>#VALUE!</v>
      </c>
      <c r="GP154" t="e">
        <f>AND('STERLING CATALOG - DRY '!H3409,"AAAAAD//v8U=")</f>
        <v>#VALUE!</v>
      </c>
      <c r="GQ154" t="e">
        <f>AND('STERLING CATALOG - DRY '!I3409,"AAAAAD//v8Y=")</f>
        <v>#VALUE!</v>
      </c>
      <c r="GR154" t="e">
        <f>AND('STERLING CATALOG - DRY '!J3409,"AAAAAD//v8c=")</f>
        <v>#VALUE!</v>
      </c>
      <c r="GS154">
        <f>IF('STERLING CATALOG - DRY '!3410:3410,"AAAAAD//v8g=",0)</f>
        <v>0</v>
      </c>
      <c r="GT154" t="e">
        <f>AND('STERLING CATALOG - DRY '!A3410,"AAAAAD//v8k=")</f>
        <v>#VALUE!</v>
      </c>
      <c r="GU154" t="e">
        <f>AND('STERLING CATALOG - DRY '!B3410,"AAAAAD//v8o=")</f>
        <v>#VALUE!</v>
      </c>
      <c r="GV154" t="e">
        <f>AND('STERLING CATALOG - DRY '!C3410,"AAAAAD//v8s=")</f>
        <v>#VALUE!</v>
      </c>
      <c r="GW154" t="e">
        <f>AND('STERLING CATALOG - DRY '!D3410,"AAAAAD//v8w=")</f>
        <v>#VALUE!</v>
      </c>
      <c r="GX154" t="e">
        <f>AND('STERLING CATALOG - DRY '!E3410,"AAAAAD//v80=")</f>
        <v>#VALUE!</v>
      </c>
      <c r="GY154" t="e">
        <f>AND('STERLING CATALOG - DRY '!F3410,"AAAAAD//v84=")</f>
        <v>#VALUE!</v>
      </c>
      <c r="GZ154" t="e">
        <f>AND('STERLING CATALOG - DRY '!G3410,"AAAAAD//v88=")</f>
        <v>#VALUE!</v>
      </c>
      <c r="HA154" t="e">
        <f>AND('STERLING CATALOG - DRY '!H3410,"AAAAAD//v9A=")</f>
        <v>#VALUE!</v>
      </c>
      <c r="HB154" t="e">
        <f>AND('STERLING CATALOG - DRY '!I3410,"AAAAAD//v9E=")</f>
        <v>#VALUE!</v>
      </c>
      <c r="HC154" t="e">
        <f>AND('STERLING CATALOG - DRY '!J3410,"AAAAAD//v9I=")</f>
        <v>#VALUE!</v>
      </c>
      <c r="HD154">
        <f>IF('STERLING CATALOG - DRY '!3411:3411,"AAAAAD//v9M=",0)</f>
        <v>0</v>
      </c>
      <c r="HE154" t="e">
        <f>AND('STERLING CATALOG - DRY '!A3411,"AAAAAD//v9Q=")</f>
        <v>#VALUE!</v>
      </c>
      <c r="HF154" t="e">
        <f>AND('STERLING CATALOG - DRY '!B3411,"AAAAAD//v9U=")</f>
        <v>#VALUE!</v>
      </c>
      <c r="HG154" t="e">
        <f>AND('STERLING CATALOG - DRY '!C3411,"AAAAAD//v9Y=")</f>
        <v>#VALUE!</v>
      </c>
      <c r="HH154" t="e">
        <f>AND('STERLING CATALOG - DRY '!D3411,"AAAAAD//v9c=")</f>
        <v>#VALUE!</v>
      </c>
      <c r="HI154" t="e">
        <f>AND('STERLING CATALOG - DRY '!E3411,"AAAAAD//v9g=")</f>
        <v>#VALUE!</v>
      </c>
      <c r="HJ154" t="e">
        <f>AND('STERLING CATALOG - DRY '!F3411,"AAAAAD//v9k=")</f>
        <v>#VALUE!</v>
      </c>
      <c r="HK154" t="e">
        <f>AND('STERLING CATALOG - DRY '!G3411,"AAAAAD//v9o=")</f>
        <v>#VALUE!</v>
      </c>
      <c r="HL154" t="e">
        <f>AND('STERLING CATALOG - DRY '!H3411,"AAAAAD//v9s=")</f>
        <v>#VALUE!</v>
      </c>
      <c r="HM154" t="e">
        <f>AND('STERLING CATALOG - DRY '!I3411,"AAAAAD//v9w=")</f>
        <v>#VALUE!</v>
      </c>
      <c r="HN154" t="e">
        <f>AND('STERLING CATALOG - DRY '!J3411,"AAAAAD//v90=")</f>
        <v>#VALUE!</v>
      </c>
      <c r="HO154">
        <f>IF('STERLING CATALOG - DRY '!3412:3412,"AAAAAD//v94=",0)</f>
        <v>0</v>
      </c>
      <c r="HP154" t="e">
        <f>AND('STERLING CATALOG - DRY '!A3412,"AAAAAD//v98=")</f>
        <v>#VALUE!</v>
      </c>
      <c r="HQ154" t="e">
        <f>AND('STERLING CATALOG - DRY '!B3412,"AAAAAD//v+A=")</f>
        <v>#VALUE!</v>
      </c>
      <c r="HR154" t="e">
        <f>AND('STERLING CATALOG - DRY '!C3412,"AAAAAD//v+E=")</f>
        <v>#VALUE!</v>
      </c>
      <c r="HS154" t="e">
        <f>AND('STERLING CATALOG - DRY '!D3412,"AAAAAD//v+I=")</f>
        <v>#VALUE!</v>
      </c>
      <c r="HT154" t="e">
        <f>AND('STERLING CATALOG - DRY '!E3412,"AAAAAD//v+M=")</f>
        <v>#VALUE!</v>
      </c>
      <c r="HU154" t="e">
        <f>AND('STERLING CATALOG - DRY '!F3412,"AAAAAD//v+Q=")</f>
        <v>#VALUE!</v>
      </c>
      <c r="HV154" t="e">
        <f>AND('STERLING CATALOG - DRY '!G3412,"AAAAAD//v+U=")</f>
        <v>#VALUE!</v>
      </c>
      <c r="HW154" t="e">
        <f>AND('STERLING CATALOG - DRY '!H3412,"AAAAAD//v+Y=")</f>
        <v>#VALUE!</v>
      </c>
      <c r="HX154" t="e">
        <f>AND('STERLING CATALOG - DRY '!I3412,"AAAAAD//v+c=")</f>
        <v>#VALUE!</v>
      </c>
      <c r="HY154" t="e">
        <f>AND('STERLING CATALOG - DRY '!J3412,"AAAAAD//v+g=")</f>
        <v>#VALUE!</v>
      </c>
      <c r="HZ154">
        <f>IF('STERLING CATALOG - DRY '!3413:3413,"AAAAAD//v+k=",0)</f>
        <v>0</v>
      </c>
      <c r="IA154" t="e">
        <f>AND('STERLING CATALOG - DRY '!A3413,"AAAAAD//v+o=")</f>
        <v>#VALUE!</v>
      </c>
      <c r="IB154" t="e">
        <f>AND('STERLING CATALOG - DRY '!B3413,"AAAAAD//v+s=")</f>
        <v>#VALUE!</v>
      </c>
      <c r="IC154" t="e">
        <f>AND('STERLING CATALOG - DRY '!C3413,"AAAAAD//v+w=")</f>
        <v>#VALUE!</v>
      </c>
      <c r="ID154" t="e">
        <f>AND('STERLING CATALOG - DRY '!D3413,"AAAAAD//v+0=")</f>
        <v>#VALUE!</v>
      </c>
      <c r="IE154" t="e">
        <f>AND('STERLING CATALOG - DRY '!E3413,"AAAAAD//v+4=")</f>
        <v>#VALUE!</v>
      </c>
      <c r="IF154" t="e">
        <f>AND('STERLING CATALOG - DRY '!F3413,"AAAAAD//v+8=")</f>
        <v>#VALUE!</v>
      </c>
      <c r="IG154" t="e">
        <f>AND('STERLING CATALOG - DRY '!G3413,"AAAAAD//v/A=")</f>
        <v>#VALUE!</v>
      </c>
      <c r="IH154" t="e">
        <f>AND('STERLING CATALOG - DRY '!H3413,"AAAAAD//v/E=")</f>
        <v>#VALUE!</v>
      </c>
      <c r="II154" t="e">
        <f>AND('STERLING CATALOG - DRY '!I3413,"AAAAAD//v/I=")</f>
        <v>#VALUE!</v>
      </c>
      <c r="IJ154" t="e">
        <f>AND('STERLING CATALOG - DRY '!J3413,"AAAAAD//v/M=")</f>
        <v>#VALUE!</v>
      </c>
      <c r="IK154">
        <f>IF('STERLING CATALOG - DRY '!3414:3414,"AAAAAD//v/Q=",0)</f>
        <v>0</v>
      </c>
      <c r="IL154" t="e">
        <f>AND('STERLING CATALOG - DRY '!A3414,"AAAAAD//v/U=")</f>
        <v>#VALUE!</v>
      </c>
      <c r="IM154" t="e">
        <f>AND('STERLING CATALOG - DRY '!B3414,"AAAAAD//v/Y=")</f>
        <v>#VALUE!</v>
      </c>
      <c r="IN154" t="e">
        <f>AND('STERLING CATALOG - DRY '!C3414,"AAAAAD//v/c=")</f>
        <v>#VALUE!</v>
      </c>
      <c r="IO154" t="e">
        <f>AND('STERLING CATALOG - DRY '!D3414,"AAAAAD//v/g=")</f>
        <v>#VALUE!</v>
      </c>
      <c r="IP154" t="e">
        <f>AND('STERLING CATALOG - DRY '!E3414,"AAAAAD//v/k=")</f>
        <v>#VALUE!</v>
      </c>
      <c r="IQ154" t="e">
        <f>AND('STERLING CATALOG - DRY '!F3414,"AAAAAD//v/o=")</f>
        <v>#VALUE!</v>
      </c>
      <c r="IR154" t="e">
        <f>AND('STERLING CATALOG - DRY '!G3414,"AAAAAD//v/s=")</f>
        <v>#VALUE!</v>
      </c>
      <c r="IS154" t="e">
        <f>AND('STERLING CATALOG - DRY '!H3414,"AAAAAD//v/w=")</f>
        <v>#VALUE!</v>
      </c>
      <c r="IT154" t="e">
        <f>AND('STERLING CATALOG - DRY '!I3414,"AAAAAD//v/0=")</f>
        <v>#VALUE!</v>
      </c>
      <c r="IU154" t="e">
        <f>AND('STERLING CATALOG - DRY '!J3414,"AAAAAD//v/4=")</f>
        <v>#VALUE!</v>
      </c>
      <c r="IV154">
        <f>IF('STERLING CATALOG - DRY '!3415:3415,"AAAAAD//v/8=",0)</f>
        <v>0</v>
      </c>
    </row>
    <row r="155" spans="1:256">
      <c r="A155" t="e">
        <f>AND('STERLING CATALOG - DRY '!A3415,"AAAAADv/+QA=")</f>
        <v>#VALUE!</v>
      </c>
      <c r="B155" t="e">
        <f>AND('STERLING CATALOG - DRY '!B3415,"AAAAADv/+QE=")</f>
        <v>#VALUE!</v>
      </c>
      <c r="C155" t="e">
        <f>AND('STERLING CATALOG - DRY '!C3415,"AAAAADv/+QI=")</f>
        <v>#VALUE!</v>
      </c>
      <c r="D155" t="e">
        <f>AND('STERLING CATALOG - DRY '!D3415,"AAAAADv/+QM=")</f>
        <v>#VALUE!</v>
      </c>
      <c r="E155" t="e">
        <f>AND('STERLING CATALOG - DRY '!E3415,"AAAAADv/+QQ=")</f>
        <v>#VALUE!</v>
      </c>
      <c r="F155" t="e">
        <f>AND('STERLING CATALOG - DRY '!F3415,"AAAAADv/+QU=")</f>
        <v>#VALUE!</v>
      </c>
      <c r="G155" t="e">
        <f>AND('STERLING CATALOG - DRY '!G3415,"AAAAADv/+QY=")</f>
        <v>#VALUE!</v>
      </c>
      <c r="H155" t="e">
        <f>AND('STERLING CATALOG - DRY '!H3415,"AAAAADv/+Qc=")</f>
        <v>#VALUE!</v>
      </c>
      <c r="I155" t="e">
        <f>AND('STERLING CATALOG - DRY '!I3415,"AAAAADv/+Qg=")</f>
        <v>#VALUE!</v>
      </c>
      <c r="J155" t="e">
        <f>AND('STERLING CATALOG - DRY '!J3415,"AAAAADv/+Qk=")</f>
        <v>#VALUE!</v>
      </c>
      <c r="K155">
        <f>IF('STERLING CATALOG - DRY '!3416:3416,"AAAAADv/+Qo=",0)</f>
        <v>0</v>
      </c>
      <c r="L155" t="e">
        <f>AND('STERLING CATALOG - DRY '!A3416,"AAAAADv/+Qs=")</f>
        <v>#VALUE!</v>
      </c>
      <c r="M155" t="e">
        <f>AND('STERLING CATALOG - DRY '!B3416,"AAAAADv/+Qw=")</f>
        <v>#VALUE!</v>
      </c>
      <c r="N155" t="e">
        <f>AND('STERLING CATALOG - DRY '!C3416,"AAAAADv/+Q0=")</f>
        <v>#VALUE!</v>
      </c>
      <c r="O155" t="e">
        <f>AND('STERLING CATALOG - DRY '!D3416,"AAAAADv/+Q4=")</f>
        <v>#VALUE!</v>
      </c>
      <c r="P155" t="e">
        <f>AND('STERLING CATALOG - DRY '!E3416,"AAAAADv/+Q8=")</f>
        <v>#VALUE!</v>
      </c>
      <c r="Q155" t="e">
        <f>AND('STERLING CATALOG - DRY '!F3416,"AAAAADv/+RA=")</f>
        <v>#VALUE!</v>
      </c>
      <c r="R155" t="e">
        <f>AND('STERLING CATALOG - DRY '!G3416,"AAAAADv/+RE=")</f>
        <v>#VALUE!</v>
      </c>
      <c r="S155" t="e">
        <f>AND('STERLING CATALOG - DRY '!H3416,"AAAAADv/+RI=")</f>
        <v>#VALUE!</v>
      </c>
      <c r="T155" t="e">
        <f>AND('STERLING CATALOG - DRY '!I3416,"AAAAADv/+RM=")</f>
        <v>#VALUE!</v>
      </c>
      <c r="U155" t="e">
        <f>AND('STERLING CATALOG - DRY '!J3416,"AAAAADv/+RQ=")</f>
        <v>#VALUE!</v>
      </c>
      <c r="V155">
        <f>IF('STERLING CATALOG - DRY '!3417:3417,"AAAAADv/+RU=",0)</f>
        <v>0</v>
      </c>
      <c r="W155" t="e">
        <f>AND('STERLING CATALOG - DRY '!A3417,"AAAAADv/+RY=")</f>
        <v>#VALUE!</v>
      </c>
      <c r="X155" t="e">
        <f>AND('STERLING CATALOG - DRY '!B3417,"AAAAADv/+Rc=")</f>
        <v>#VALUE!</v>
      </c>
      <c r="Y155" t="e">
        <f>AND('STERLING CATALOG - DRY '!C3417,"AAAAADv/+Rg=")</f>
        <v>#VALUE!</v>
      </c>
      <c r="Z155" t="e">
        <f>AND('STERLING CATALOG - DRY '!D3417,"AAAAADv/+Rk=")</f>
        <v>#VALUE!</v>
      </c>
      <c r="AA155" t="e">
        <f>AND('STERLING CATALOG - DRY '!E3417,"AAAAADv/+Ro=")</f>
        <v>#VALUE!</v>
      </c>
      <c r="AB155" t="e">
        <f>AND('STERLING CATALOG - DRY '!F3417,"AAAAADv/+Rs=")</f>
        <v>#VALUE!</v>
      </c>
      <c r="AC155" t="e">
        <f>AND('STERLING CATALOG - DRY '!G3417,"AAAAADv/+Rw=")</f>
        <v>#VALUE!</v>
      </c>
      <c r="AD155" t="e">
        <f>AND('STERLING CATALOG - DRY '!H3417,"AAAAADv/+R0=")</f>
        <v>#VALUE!</v>
      </c>
      <c r="AE155" t="e">
        <f>AND('STERLING CATALOG - DRY '!I3417,"AAAAADv/+R4=")</f>
        <v>#VALUE!</v>
      </c>
      <c r="AF155" t="e">
        <f>AND('STERLING CATALOG - DRY '!J3417,"AAAAADv/+R8=")</f>
        <v>#VALUE!</v>
      </c>
      <c r="AG155">
        <f>IF('STERLING CATALOG - DRY '!3418:3418,"AAAAADv/+SA=",0)</f>
        <v>0</v>
      </c>
      <c r="AH155" t="e">
        <f>AND('STERLING CATALOG - DRY '!A3418,"AAAAADv/+SE=")</f>
        <v>#VALUE!</v>
      </c>
      <c r="AI155" t="e">
        <f>AND('STERLING CATALOG - DRY '!B3418,"AAAAADv/+SI=")</f>
        <v>#VALUE!</v>
      </c>
      <c r="AJ155" t="e">
        <f>AND('STERLING CATALOG - DRY '!C3418,"AAAAADv/+SM=")</f>
        <v>#VALUE!</v>
      </c>
      <c r="AK155" t="e">
        <f>AND('STERLING CATALOG - DRY '!D3418,"AAAAADv/+SQ=")</f>
        <v>#VALUE!</v>
      </c>
      <c r="AL155" t="e">
        <f>AND('STERLING CATALOG - DRY '!E3418,"AAAAADv/+SU=")</f>
        <v>#VALUE!</v>
      </c>
      <c r="AM155" t="e">
        <f>AND('STERLING CATALOG - DRY '!F3418,"AAAAADv/+SY=")</f>
        <v>#VALUE!</v>
      </c>
      <c r="AN155" t="e">
        <f>AND('STERLING CATALOG - DRY '!G3418,"AAAAADv/+Sc=")</f>
        <v>#VALUE!</v>
      </c>
      <c r="AO155" t="e">
        <f>AND('STERLING CATALOG - DRY '!H3418,"AAAAADv/+Sg=")</f>
        <v>#VALUE!</v>
      </c>
      <c r="AP155" t="e">
        <f>AND('STERLING CATALOG - DRY '!I3418,"AAAAADv/+Sk=")</f>
        <v>#VALUE!</v>
      </c>
      <c r="AQ155" t="e">
        <f>AND('STERLING CATALOG - DRY '!J3418,"AAAAADv/+So=")</f>
        <v>#VALUE!</v>
      </c>
      <c r="AR155">
        <f>IF('STERLING CATALOG - DRY '!3419:3419,"AAAAADv/+Ss=",0)</f>
        <v>0</v>
      </c>
      <c r="AS155" t="e">
        <f>AND('STERLING CATALOG - DRY '!A3419,"AAAAADv/+Sw=")</f>
        <v>#VALUE!</v>
      </c>
      <c r="AT155" t="e">
        <f>AND('STERLING CATALOG - DRY '!B3419,"AAAAADv/+S0=")</f>
        <v>#VALUE!</v>
      </c>
      <c r="AU155" t="e">
        <f>AND('STERLING CATALOG - DRY '!C3419,"AAAAADv/+S4=")</f>
        <v>#VALUE!</v>
      </c>
      <c r="AV155" t="e">
        <f>AND('STERLING CATALOG - DRY '!D3419,"AAAAADv/+S8=")</f>
        <v>#VALUE!</v>
      </c>
      <c r="AW155" t="e">
        <f>AND('STERLING CATALOG - DRY '!E3419,"AAAAADv/+TA=")</f>
        <v>#VALUE!</v>
      </c>
      <c r="AX155" t="e">
        <f>AND('STERLING CATALOG - DRY '!F3419,"AAAAADv/+TE=")</f>
        <v>#VALUE!</v>
      </c>
      <c r="AY155" t="e">
        <f>AND('STERLING CATALOG - DRY '!G3419,"AAAAADv/+TI=")</f>
        <v>#VALUE!</v>
      </c>
      <c r="AZ155" t="e">
        <f>AND('STERLING CATALOG - DRY '!H3419,"AAAAADv/+TM=")</f>
        <v>#VALUE!</v>
      </c>
      <c r="BA155" t="e">
        <f>AND('STERLING CATALOG - DRY '!I3419,"AAAAADv/+TQ=")</f>
        <v>#VALUE!</v>
      </c>
      <c r="BB155" t="e">
        <f>AND('STERLING CATALOG - DRY '!J3419,"AAAAADv/+TU=")</f>
        <v>#VALUE!</v>
      </c>
      <c r="BC155">
        <f>IF('STERLING CATALOG - DRY '!3420:3420,"AAAAADv/+TY=",0)</f>
        <v>0</v>
      </c>
      <c r="BD155" t="e">
        <f>AND('STERLING CATALOG - DRY '!A3420,"AAAAADv/+Tc=")</f>
        <v>#VALUE!</v>
      </c>
      <c r="BE155" t="e">
        <f>AND('STERLING CATALOG - DRY '!B3420,"AAAAADv/+Tg=")</f>
        <v>#VALUE!</v>
      </c>
      <c r="BF155" t="e">
        <f>AND('STERLING CATALOG - DRY '!C3420,"AAAAADv/+Tk=")</f>
        <v>#VALUE!</v>
      </c>
      <c r="BG155" t="e">
        <f>AND('STERLING CATALOG - DRY '!D3420,"AAAAADv/+To=")</f>
        <v>#VALUE!</v>
      </c>
      <c r="BH155" t="e">
        <f>AND('STERLING CATALOG - DRY '!E3420,"AAAAADv/+Ts=")</f>
        <v>#VALUE!</v>
      </c>
      <c r="BI155" t="e">
        <f>AND('STERLING CATALOG - DRY '!F3420,"AAAAADv/+Tw=")</f>
        <v>#VALUE!</v>
      </c>
      <c r="BJ155" t="e">
        <f>AND('STERLING CATALOG - DRY '!G3420,"AAAAADv/+T0=")</f>
        <v>#VALUE!</v>
      </c>
      <c r="BK155" t="e">
        <f>AND('STERLING CATALOG - DRY '!H3420,"AAAAADv/+T4=")</f>
        <v>#VALUE!</v>
      </c>
      <c r="BL155" t="e">
        <f>AND('STERLING CATALOG - DRY '!I3420,"AAAAADv/+T8=")</f>
        <v>#VALUE!</v>
      </c>
      <c r="BM155" t="e">
        <f>AND('STERLING CATALOG - DRY '!J3420,"AAAAADv/+UA=")</f>
        <v>#VALUE!</v>
      </c>
      <c r="BN155">
        <f>IF('STERLING CATALOG - DRY '!3421:3421,"AAAAADv/+UE=",0)</f>
        <v>0</v>
      </c>
      <c r="BO155" t="e">
        <f>AND('STERLING CATALOG - DRY '!A3421,"AAAAADv/+UI=")</f>
        <v>#VALUE!</v>
      </c>
      <c r="BP155" t="e">
        <f>AND('STERLING CATALOG - DRY '!B3421,"AAAAADv/+UM=")</f>
        <v>#VALUE!</v>
      </c>
      <c r="BQ155" t="e">
        <f>AND('STERLING CATALOG - DRY '!C3421,"AAAAADv/+UQ=")</f>
        <v>#VALUE!</v>
      </c>
      <c r="BR155" t="e">
        <f>AND('STERLING CATALOG - DRY '!D3421,"AAAAADv/+UU=")</f>
        <v>#VALUE!</v>
      </c>
      <c r="BS155" t="e">
        <f>AND('STERLING CATALOG - DRY '!E3421,"AAAAADv/+UY=")</f>
        <v>#VALUE!</v>
      </c>
      <c r="BT155" t="e">
        <f>AND('STERLING CATALOG - DRY '!F3421,"AAAAADv/+Uc=")</f>
        <v>#VALUE!</v>
      </c>
      <c r="BU155" t="e">
        <f>AND('STERLING CATALOG - DRY '!G3421,"AAAAADv/+Ug=")</f>
        <v>#VALUE!</v>
      </c>
      <c r="BV155" t="e">
        <f>AND('STERLING CATALOG - DRY '!H3421,"AAAAADv/+Uk=")</f>
        <v>#VALUE!</v>
      </c>
      <c r="BW155" t="e">
        <f>AND('STERLING CATALOG - DRY '!I3421,"AAAAADv/+Uo=")</f>
        <v>#VALUE!</v>
      </c>
      <c r="BX155" t="e">
        <f>AND('STERLING CATALOG - DRY '!J3421,"AAAAADv/+Us=")</f>
        <v>#VALUE!</v>
      </c>
      <c r="BY155">
        <f>IF('STERLING CATALOG - DRY '!3422:3422,"AAAAADv/+Uw=",0)</f>
        <v>0</v>
      </c>
      <c r="BZ155" t="e">
        <f>AND('STERLING CATALOG - DRY '!A3422,"AAAAADv/+U0=")</f>
        <v>#VALUE!</v>
      </c>
      <c r="CA155" t="e">
        <f>AND('STERLING CATALOG - DRY '!B3422,"AAAAADv/+U4=")</f>
        <v>#VALUE!</v>
      </c>
      <c r="CB155" t="e">
        <f>AND('STERLING CATALOG - DRY '!C3422,"AAAAADv/+U8=")</f>
        <v>#VALUE!</v>
      </c>
      <c r="CC155" t="e">
        <f>AND('STERLING CATALOG - DRY '!D3422,"AAAAADv/+VA=")</f>
        <v>#VALUE!</v>
      </c>
      <c r="CD155" t="e">
        <f>AND('STERLING CATALOG - DRY '!E3422,"AAAAADv/+VE=")</f>
        <v>#VALUE!</v>
      </c>
      <c r="CE155" t="e">
        <f>AND('STERLING CATALOG - DRY '!F3422,"AAAAADv/+VI=")</f>
        <v>#VALUE!</v>
      </c>
      <c r="CF155" t="e">
        <f>AND('STERLING CATALOG - DRY '!G3422,"AAAAADv/+VM=")</f>
        <v>#VALUE!</v>
      </c>
      <c r="CG155" t="e">
        <f>AND('STERLING CATALOG - DRY '!H3422,"AAAAADv/+VQ=")</f>
        <v>#VALUE!</v>
      </c>
      <c r="CH155" t="e">
        <f>AND('STERLING CATALOG - DRY '!I3422,"AAAAADv/+VU=")</f>
        <v>#VALUE!</v>
      </c>
      <c r="CI155" t="e">
        <f>AND('STERLING CATALOG - DRY '!J3422,"AAAAADv/+VY=")</f>
        <v>#VALUE!</v>
      </c>
      <c r="CJ155">
        <f>IF('STERLING CATALOG - DRY '!3423:3423,"AAAAADv/+Vc=",0)</f>
        <v>0</v>
      </c>
      <c r="CK155" t="e">
        <f>AND('STERLING CATALOG - DRY '!A3423,"AAAAADv/+Vg=")</f>
        <v>#VALUE!</v>
      </c>
      <c r="CL155" t="e">
        <f>AND('STERLING CATALOG - DRY '!B3423,"AAAAADv/+Vk=")</f>
        <v>#VALUE!</v>
      </c>
      <c r="CM155" t="e">
        <f>AND('STERLING CATALOG - DRY '!C3423,"AAAAADv/+Vo=")</f>
        <v>#VALUE!</v>
      </c>
      <c r="CN155" t="e">
        <f>AND('STERLING CATALOG - DRY '!D3423,"AAAAADv/+Vs=")</f>
        <v>#VALUE!</v>
      </c>
      <c r="CO155" t="e">
        <f>AND('STERLING CATALOG - DRY '!E3423,"AAAAADv/+Vw=")</f>
        <v>#VALUE!</v>
      </c>
      <c r="CP155" t="e">
        <f>AND('STERLING CATALOG - DRY '!F3423,"AAAAADv/+V0=")</f>
        <v>#VALUE!</v>
      </c>
      <c r="CQ155" t="e">
        <f>AND('STERLING CATALOG - DRY '!G3423,"AAAAADv/+V4=")</f>
        <v>#VALUE!</v>
      </c>
      <c r="CR155" t="e">
        <f>AND('STERLING CATALOG - DRY '!H3423,"AAAAADv/+V8=")</f>
        <v>#VALUE!</v>
      </c>
      <c r="CS155" t="e">
        <f>AND('STERLING CATALOG - DRY '!I3423,"AAAAADv/+WA=")</f>
        <v>#VALUE!</v>
      </c>
      <c r="CT155" t="e">
        <f>AND('STERLING CATALOG - DRY '!J3423,"AAAAADv/+WE=")</f>
        <v>#VALUE!</v>
      </c>
      <c r="CU155">
        <f>IF('STERLING CATALOG - DRY '!3424:3424,"AAAAADv/+WI=",0)</f>
        <v>0</v>
      </c>
      <c r="CV155" t="e">
        <f>AND('STERLING CATALOG - DRY '!A3424,"AAAAADv/+WM=")</f>
        <v>#VALUE!</v>
      </c>
      <c r="CW155" t="e">
        <f>AND('STERLING CATALOG - DRY '!B3424,"AAAAADv/+WQ=")</f>
        <v>#VALUE!</v>
      </c>
      <c r="CX155" t="e">
        <f>AND('STERLING CATALOG - DRY '!C3424,"AAAAADv/+WU=")</f>
        <v>#VALUE!</v>
      </c>
      <c r="CY155" t="e">
        <f>AND('STERLING CATALOG - DRY '!D3424,"AAAAADv/+WY=")</f>
        <v>#VALUE!</v>
      </c>
      <c r="CZ155" t="e">
        <f>AND('STERLING CATALOG - DRY '!E3424,"AAAAADv/+Wc=")</f>
        <v>#VALUE!</v>
      </c>
      <c r="DA155" t="e">
        <f>AND('STERLING CATALOG - DRY '!F3424,"AAAAADv/+Wg=")</f>
        <v>#VALUE!</v>
      </c>
      <c r="DB155" t="e">
        <f>AND('STERLING CATALOG - DRY '!G3424,"AAAAADv/+Wk=")</f>
        <v>#VALUE!</v>
      </c>
      <c r="DC155" t="e">
        <f>AND('STERLING CATALOG - DRY '!H3424,"AAAAADv/+Wo=")</f>
        <v>#VALUE!</v>
      </c>
      <c r="DD155" t="e">
        <f>AND('STERLING CATALOG - DRY '!I3424,"AAAAADv/+Ws=")</f>
        <v>#VALUE!</v>
      </c>
      <c r="DE155" t="e">
        <f>AND('STERLING CATALOG - DRY '!J3424,"AAAAADv/+Ww=")</f>
        <v>#VALUE!</v>
      </c>
      <c r="DF155">
        <f>IF('STERLING CATALOG - DRY '!3425:3425,"AAAAADv/+W0=",0)</f>
        <v>0</v>
      </c>
      <c r="DG155" t="e">
        <f>AND('STERLING CATALOG - DRY '!A3425,"AAAAADv/+W4=")</f>
        <v>#VALUE!</v>
      </c>
      <c r="DH155" t="e">
        <f>AND('STERLING CATALOG - DRY '!B3425,"AAAAADv/+W8=")</f>
        <v>#VALUE!</v>
      </c>
      <c r="DI155" t="e">
        <f>AND('STERLING CATALOG - DRY '!C3425,"AAAAADv/+XA=")</f>
        <v>#VALUE!</v>
      </c>
      <c r="DJ155" t="e">
        <f>AND('STERLING CATALOG - DRY '!D3425,"AAAAADv/+XE=")</f>
        <v>#VALUE!</v>
      </c>
      <c r="DK155" t="e">
        <f>AND('STERLING CATALOG - DRY '!E3425,"AAAAADv/+XI=")</f>
        <v>#VALUE!</v>
      </c>
      <c r="DL155" t="e">
        <f>AND('STERLING CATALOG - DRY '!F3425,"AAAAADv/+XM=")</f>
        <v>#VALUE!</v>
      </c>
      <c r="DM155" t="e">
        <f>AND('STERLING CATALOG - DRY '!G3425,"AAAAADv/+XQ=")</f>
        <v>#VALUE!</v>
      </c>
      <c r="DN155" t="e">
        <f>AND('STERLING CATALOG - DRY '!H3425,"AAAAADv/+XU=")</f>
        <v>#VALUE!</v>
      </c>
      <c r="DO155" t="e">
        <f>AND('STERLING CATALOG - DRY '!I3425,"AAAAADv/+XY=")</f>
        <v>#VALUE!</v>
      </c>
      <c r="DP155" t="e">
        <f>AND('STERLING CATALOG - DRY '!J3425,"AAAAADv/+Xc=")</f>
        <v>#VALUE!</v>
      </c>
      <c r="DQ155">
        <f>IF('STERLING CATALOG - DRY '!3426:3426,"AAAAADv/+Xg=",0)</f>
        <v>0</v>
      </c>
      <c r="DR155" t="e">
        <f>AND('STERLING CATALOG - DRY '!A3426,"AAAAADv/+Xk=")</f>
        <v>#VALUE!</v>
      </c>
      <c r="DS155" t="e">
        <f>AND('STERLING CATALOG - DRY '!B3426,"AAAAADv/+Xo=")</f>
        <v>#VALUE!</v>
      </c>
      <c r="DT155" t="e">
        <f>AND('STERLING CATALOG - DRY '!C3426,"AAAAADv/+Xs=")</f>
        <v>#VALUE!</v>
      </c>
      <c r="DU155" t="e">
        <f>AND('STERLING CATALOG - DRY '!D3426,"AAAAADv/+Xw=")</f>
        <v>#VALUE!</v>
      </c>
      <c r="DV155" t="e">
        <f>AND('STERLING CATALOG - DRY '!E3426,"AAAAADv/+X0=")</f>
        <v>#VALUE!</v>
      </c>
      <c r="DW155" t="e">
        <f>AND('STERLING CATALOG - DRY '!F3426,"AAAAADv/+X4=")</f>
        <v>#VALUE!</v>
      </c>
      <c r="DX155" t="e">
        <f>AND('STERLING CATALOG - DRY '!G3426,"AAAAADv/+X8=")</f>
        <v>#VALUE!</v>
      </c>
      <c r="DY155" t="e">
        <f>AND('STERLING CATALOG - DRY '!H3426,"AAAAADv/+YA=")</f>
        <v>#VALUE!</v>
      </c>
      <c r="DZ155" t="e">
        <f>AND('STERLING CATALOG - DRY '!I3426,"AAAAADv/+YE=")</f>
        <v>#VALUE!</v>
      </c>
      <c r="EA155" t="e">
        <f>AND('STERLING CATALOG - DRY '!J3426,"AAAAADv/+YI=")</f>
        <v>#VALUE!</v>
      </c>
      <c r="EB155">
        <f>IF('STERLING CATALOG - DRY '!3427:3427,"AAAAADv/+YM=",0)</f>
        <v>0</v>
      </c>
      <c r="EC155" t="e">
        <f>AND('STERLING CATALOG - DRY '!A3427,"AAAAADv/+YQ=")</f>
        <v>#VALUE!</v>
      </c>
      <c r="ED155" t="e">
        <f>AND('STERLING CATALOG - DRY '!B3427,"AAAAADv/+YU=")</f>
        <v>#VALUE!</v>
      </c>
      <c r="EE155" t="e">
        <f>AND('STERLING CATALOG - DRY '!C3427,"AAAAADv/+YY=")</f>
        <v>#VALUE!</v>
      </c>
      <c r="EF155" t="e">
        <f>AND('STERLING CATALOG - DRY '!D3427,"AAAAADv/+Yc=")</f>
        <v>#VALUE!</v>
      </c>
      <c r="EG155" t="e">
        <f>AND('STERLING CATALOG - DRY '!E3427,"AAAAADv/+Yg=")</f>
        <v>#VALUE!</v>
      </c>
      <c r="EH155" t="e">
        <f>AND('STERLING CATALOG - DRY '!F3427,"AAAAADv/+Yk=")</f>
        <v>#VALUE!</v>
      </c>
      <c r="EI155" t="e">
        <f>AND('STERLING CATALOG - DRY '!G3427,"AAAAADv/+Yo=")</f>
        <v>#VALUE!</v>
      </c>
      <c r="EJ155" t="e">
        <f>AND('STERLING CATALOG - DRY '!H3427,"AAAAADv/+Ys=")</f>
        <v>#VALUE!</v>
      </c>
      <c r="EK155" t="e">
        <f>AND('STERLING CATALOG - DRY '!I3427,"AAAAADv/+Yw=")</f>
        <v>#VALUE!</v>
      </c>
      <c r="EL155" t="e">
        <f>AND('STERLING CATALOG - DRY '!J3427,"AAAAADv/+Y0=")</f>
        <v>#VALUE!</v>
      </c>
      <c r="EM155">
        <f>IF('STERLING CATALOG - DRY '!3428:3428,"AAAAADv/+Y4=",0)</f>
        <v>0</v>
      </c>
      <c r="EN155" t="e">
        <f>AND('STERLING CATALOG - DRY '!A3428,"AAAAADv/+Y8=")</f>
        <v>#VALUE!</v>
      </c>
      <c r="EO155" t="e">
        <f>AND('STERLING CATALOG - DRY '!B3428,"AAAAADv/+ZA=")</f>
        <v>#VALUE!</v>
      </c>
      <c r="EP155" t="e">
        <f>AND('STERLING CATALOG - DRY '!C3428,"AAAAADv/+ZE=")</f>
        <v>#VALUE!</v>
      </c>
      <c r="EQ155" t="e">
        <f>AND('STERLING CATALOG - DRY '!D3428,"AAAAADv/+ZI=")</f>
        <v>#VALUE!</v>
      </c>
      <c r="ER155" t="e">
        <f>AND('STERLING CATALOG - DRY '!E3428,"AAAAADv/+ZM=")</f>
        <v>#VALUE!</v>
      </c>
      <c r="ES155" t="e">
        <f>AND('STERLING CATALOG - DRY '!F3428,"AAAAADv/+ZQ=")</f>
        <v>#VALUE!</v>
      </c>
      <c r="ET155" t="e">
        <f>AND('STERLING CATALOG - DRY '!G3428,"AAAAADv/+ZU=")</f>
        <v>#VALUE!</v>
      </c>
      <c r="EU155" t="e">
        <f>AND('STERLING CATALOG - DRY '!H3428,"AAAAADv/+ZY=")</f>
        <v>#VALUE!</v>
      </c>
      <c r="EV155" t="e">
        <f>AND('STERLING CATALOG - DRY '!I3428,"AAAAADv/+Zc=")</f>
        <v>#VALUE!</v>
      </c>
      <c r="EW155" t="e">
        <f>AND('STERLING CATALOG - DRY '!J3428,"AAAAADv/+Zg=")</f>
        <v>#VALUE!</v>
      </c>
      <c r="EX155">
        <f>IF('STERLING CATALOG - DRY '!3429:3429,"AAAAADv/+Zk=",0)</f>
        <v>0</v>
      </c>
      <c r="EY155" t="e">
        <f>AND('STERLING CATALOG - DRY '!A3429,"AAAAADv/+Zo=")</f>
        <v>#VALUE!</v>
      </c>
      <c r="EZ155" t="e">
        <f>AND('STERLING CATALOG - DRY '!B3429,"AAAAADv/+Zs=")</f>
        <v>#VALUE!</v>
      </c>
      <c r="FA155" t="e">
        <f>AND('STERLING CATALOG - DRY '!C3429,"AAAAADv/+Zw=")</f>
        <v>#VALUE!</v>
      </c>
      <c r="FB155" t="e">
        <f>AND('STERLING CATALOG - DRY '!D3429,"AAAAADv/+Z0=")</f>
        <v>#VALUE!</v>
      </c>
      <c r="FC155" t="e">
        <f>AND('STERLING CATALOG - DRY '!E3429,"AAAAADv/+Z4=")</f>
        <v>#VALUE!</v>
      </c>
      <c r="FD155" t="e">
        <f>AND('STERLING CATALOG - DRY '!F3429,"AAAAADv/+Z8=")</f>
        <v>#VALUE!</v>
      </c>
      <c r="FE155" t="e">
        <f>AND('STERLING CATALOG - DRY '!G3429,"AAAAADv/+aA=")</f>
        <v>#VALUE!</v>
      </c>
      <c r="FF155" t="e">
        <f>AND('STERLING CATALOG - DRY '!H3429,"AAAAADv/+aE=")</f>
        <v>#VALUE!</v>
      </c>
      <c r="FG155" t="e">
        <f>AND('STERLING CATALOG - DRY '!I3429,"AAAAADv/+aI=")</f>
        <v>#VALUE!</v>
      </c>
      <c r="FH155" t="e">
        <f>AND('STERLING CATALOG - DRY '!J3429,"AAAAADv/+aM=")</f>
        <v>#VALUE!</v>
      </c>
      <c r="FI155">
        <f>IF('STERLING CATALOG - DRY '!3430:3430,"AAAAADv/+aQ=",0)</f>
        <v>0</v>
      </c>
      <c r="FJ155" t="e">
        <f>AND('STERLING CATALOG - DRY '!A3430,"AAAAADv/+aU=")</f>
        <v>#VALUE!</v>
      </c>
      <c r="FK155" t="e">
        <f>AND('STERLING CATALOG - DRY '!B3430,"AAAAADv/+aY=")</f>
        <v>#VALUE!</v>
      </c>
      <c r="FL155" t="e">
        <f>AND('STERLING CATALOG - DRY '!C3430,"AAAAADv/+ac=")</f>
        <v>#VALUE!</v>
      </c>
      <c r="FM155" t="e">
        <f>AND('STERLING CATALOG - DRY '!D3430,"AAAAADv/+ag=")</f>
        <v>#VALUE!</v>
      </c>
      <c r="FN155" t="e">
        <f>AND('STERLING CATALOG - DRY '!E3430,"AAAAADv/+ak=")</f>
        <v>#VALUE!</v>
      </c>
      <c r="FO155" t="e">
        <f>AND('STERLING CATALOG - DRY '!F3430,"AAAAADv/+ao=")</f>
        <v>#VALUE!</v>
      </c>
      <c r="FP155" t="e">
        <f>AND('STERLING CATALOG - DRY '!G3430,"AAAAADv/+as=")</f>
        <v>#VALUE!</v>
      </c>
      <c r="FQ155" t="e">
        <f>AND('STERLING CATALOG - DRY '!H3430,"AAAAADv/+aw=")</f>
        <v>#VALUE!</v>
      </c>
      <c r="FR155" t="e">
        <f>AND('STERLING CATALOG - DRY '!I3430,"AAAAADv/+a0=")</f>
        <v>#VALUE!</v>
      </c>
      <c r="FS155" t="e">
        <f>AND('STERLING CATALOG - DRY '!J3430,"AAAAADv/+a4=")</f>
        <v>#VALUE!</v>
      </c>
      <c r="FT155">
        <f>IF('STERLING CATALOG - DRY '!3431:3431,"AAAAADv/+a8=",0)</f>
        <v>0</v>
      </c>
      <c r="FU155" t="e">
        <f>AND('STERLING CATALOG - DRY '!A3431,"AAAAADv/+bA=")</f>
        <v>#VALUE!</v>
      </c>
      <c r="FV155" t="e">
        <f>AND('STERLING CATALOG - DRY '!B3431,"AAAAADv/+bE=")</f>
        <v>#VALUE!</v>
      </c>
      <c r="FW155" t="e">
        <f>AND('STERLING CATALOG - DRY '!C3431,"AAAAADv/+bI=")</f>
        <v>#VALUE!</v>
      </c>
      <c r="FX155" t="e">
        <f>AND('STERLING CATALOG - DRY '!D3431,"AAAAADv/+bM=")</f>
        <v>#VALUE!</v>
      </c>
      <c r="FY155" t="e">
        <f>AND('STERLING CATALOG - DRY '!E3431,"AAAAADv/+bQ=")</f>
        <v>#VALUE!</v>
      </c>
      <c r="FZ155" t="e">
        <f>AND('STERLING CATALOG - DRY '!F3431,"AAAAADv/+bU=")</f>
        <v>#VALUE!</v>
      </c>
      <c r="GA155" t="e">
        <f>AND('STERLING CATALOG - DRY '!G3431,"AAAAADv/+bY=")</f>
        <v>#VALUE!</v>
      </c>
      <c r="GB155" t="e">
        <f>AND('STERLING CATALOG - DRY '!H3431,"AAAAADv/+bc=")</f>
        <v>#VALUE!</v>
      </c>
      <c r="GC155" t="e">
        <f>AND('STERLING CATALOG - DRY '!I3431,"AAAAADv/+bg=")</f>
        <v>#VALUE!</v>
      </c>
      <c r="GD155" t="e">
        <f>AND('STERLING CATALOG - DRY '!J3431,"AAAAADv/+bk=")</f>
        <v>#VALUE!</v>
      </c>
      <c r="GE155">
        <f>IF('STERLING CATALOG - DRY '!3432:3432,"AAAAADv/+bo=",0)</f>
        <v>0</v>
      </c>
      <c r="GF155" t="e">
        <f>AND('STERLING CATALOG - DRY '!A3432,"AAAAADv/+bs=")</f>
        <v>#VALUE!</v>
      </c>
      <c r="GG155" t="e">
        <f>AND('STERLING CATALOG - DRY '!B3432,"AAAAADv/+bw=")</f>
        <v>#VALUE!</v>
      </c>
      <c r="GH155" t="e">
        <f>AND('STERLING CATALOG - DRY '!C3432,"AAAAADv/+b0=")</f>
        <v>#VALUE!</v>
      </c>
      <c r="GI155" t="e">
        <f>AND('STERLING CATALOG - DRY '!D3432,"AAAAADv/+b4=")</f>
        <v>#VALUE!</v>
      </c>
      <c r="GJ155" t="e">
        <f>AND('STERLING CATALOG - DRY '!E3432,"AAAAADv/+b8=")</f>
        <v>#VALUE!</v>
      </c>
      <c r="GK155" t="e">
        <f>AND('STERLING CATALOG - DRY '!F3432,"AAAAADv/+cA=")</f>
        <v>#VALUE!</v>
      </c>
      <c r="GL155" t="e">
        <f>AND('STERLING CATALOG - DRY '!G3432,"AAAAADv/+cE=")</f>
        <v>#VALUE!</v>
      </c>
      <c r="GM155" t="e">
        <f>AND('STERLING CATALOG - DRY '!H3432,"AAAAADv/+cI=")</f>
        <v>#VALUE!</v>
      </c>
      <c r="GN155" t="e">
        <f>AND('STERLING CATALOG - DRY '!I3432,"AAAAADv/+cM=")</f>
        <v>#VALUE!</v>
      </c>
      <c r="GO155" t="e">
        <f>AND('STERLING CATALOG - DRY '!J3432,"AAAAADv/+cQ=")</f>
        <v>#VALUE!</v>
      </c>
      <c r="GP155">
        <f>IF('STERLING CATALOG - DRY '!3433:3433,"AAAAADv/+cU=",0)</f>
        <v>0</v>
      </c>
      <c r="GQ155" t="e">
        <f>AND('STERLING CATALOG - DRY '!A3433,"AAAAADv/+cY=")</f>
        <v>#VALUE!</v>
      </c>
      <c r="GR155" t="e">
        <f>AND('STERLING CATALOG - DRY '!B3433,"AAAAADv/+cc=")</f>
        <v>#VALUE!</v>
      </c>
      <c r="GS155" t="e">
        <f>AND('STERLING CATALOG - DRY '!C3433,"AAAAADv/+cg=")</f>
        <v>#VALUE!</v>
      </c>
      <c r="GT155" t="e">
        <f>AND('STERLING CATALOG - DRY '!D3433,"AAAAADv/+ck=")</f>
        <v>#VALUE!</v>
      </c>
      <c r="GU155" t="e">
        <f>AND('STERLING CATALOG - DRY '!E3433,"AAAAADv/+co=")</f>
        <v>#VALUE!</v>
      </c>
      <c r="GV155" t="e">
        <f>AND('STERLING CATALOG - DRY '!F3433,"AAAAADv/+cs=")</f>
        <v>#VALUE!</v>
      </c>
      <c r="GW155" t="e">
        <f>AND('STERLING CATALOG - DRY '!G3433,"AAAAADv/+cw=")</f>
        <v>#VALUE!</v>
      </c>
      <c r="GX155" t="e">
        <f>AND('STERLING CATALOG - DRY '!H3433,"AAAAADv/+c0=")</f>
        <v>#VALUE!</v>
      </c>
      <c r="GY155" t="e">
        <f>AND('STERLING CATALOG - DRY '!I3433,"AAAAADv/+c4=")</f>
        <v>#VALUE!</v>
      </c>
      <c r="GZ155" t="e">
        <f>AND('STERLING CATALOG - DRY '!J3433,"AAAAADv/+c8=")</f>
        <v>#VALUE!</v>
      </c>
      <c r="HA155">
        <f>IF('STERLING CATALOG - DRY '!3434:3434,"AAAAADv/+dA=",0)</f>
        <v>0</v>
      </c>
      <c r="HB155" t="e">
        <f>AND('STERLING CATALOG - DRY '!A3434,"AAAAADv/+dE=")</f>
        <v>#VALUE!</v>
      </c>
      <c r="HC155" t="e">
        <f>AND('STERLING CATALOG - DRY '!B3434,"AAAAADv/+dI=")</f>
        <v>#VALUE!</v>
      </c>
      <c r="HD155" t="e">
        <f>AND('STERLING CATALOG - DRY '!C3434,"AAAAADv/+dM=")</f>
        <v>#VALUE!</v>
      </c>
      <c r="HE155" t="e">
        <f>AND('STERLING CATALOG - DRY '!D3434,"AAAAADv/+dQ=")</f>
        <v>#VALUE!</v>
      </c>
      <c r="HF155" t="e">
        <f>AND('STERLING CATALOG - DRY '!E3434,"AAAAADv/+dU=")</f>
        <v>#VALUE!</v>
      </c>
      <c r="HG155" t="e">
        <f>AND('STERLING CATALOG - DRY '!F3434,"AAAAADv/+dY=")</f>
        <v>#VALUE!</v>
      </c>
      <c r="HH155" t="e">
        <f>AND('STERLING CATALOG - DRY '!G3434,"AAAAADv/+dc=")</f>
        <v>#VALUE!</v>
      </c>
      <c r="HI155" t="e">
        <f>AND('STERLING CATALOG - DRY '!H3434,"AAAAADv/+dg=")</f>
        <v>#VALUE!</v>
      </c>
      <c r="HJ155" t="e">
        <f>AND('STERLING CATALOG - DRY '!I3434,"AAAAADv/+dk=")</f>
        <v>#VALUE!</v>
      </c>
      <c r="HK155" t="e">
        <f>AND('STERLING CATALOG - DRY '!J3434,"AAAAADv/+do=")</f>
        <v>#VALUE!</v>
      </c>
      <c r="HL155">
        <f>IF('STERLING CATALOG - DRY '!3435:3435,"AAAAADv/+ds=",0)</f>
        <v>0</v>
      </c>
      <c r="HM155" t="e">
        <f>AND('STERLING CATALOG - DRY '!A3435,"AAAAADv/+dw=")</f>
        <v>#VALUE!</v>
      </c>
      <c r="HN155" t="e">
        <f>AND('STERLING CATALOG - DRY '!B3435,"AAAAADv/+d0=")</f>
        <v>#VALUE!</v>
      </c>
      <c r="HO155" t="e">
        <f>AND('STERLING CATALOG - DRY '!C3435,"AAAAADv/+d4=")</f>
        <v>#VALUE!</v>
      </c>
      <c r="HP155" t="e">
        <f>AND('STERLING CATALOG - DRY '!D3435,"AAAAADv/+d8=")</f>
        <v>#VALUE!</v>
      </c>
      <c r="HQ155" t="e">
        <f>AND('STERLING CATALOG - DRY '!E3435,"AAAAADv/+eA=")</f>
        <v>#VALUE!</v>
      </c>
      <c r="HR155" t="e">
        <f>AND('STERLING CATALOG - DRY '!F3435,"AAAAADv/+eE=")</f>
        <v>#VALUE!</v>
      </c>
      <c r="HS155" t="e">
        <f>AND('STERLING CATALOG - DRY '!G3435,"AAAAADv/+eI=")</f>
        <v>#VALUE!</v>
      </c>
      <c r="HT155" t="e">
        <f>AND('STERLING CATALOG - DRY '!H3435,"AAAAADv/+eM=")</f>
        <v>#VALUE!</v>
      </c>
      <c r="HU155" t="e">
        <f>AND('STERLING CATALOG - DRY '!I3435,"AAAAADv/+eQ=")</f>
        <v>#VALUE!</v>
      </c>
      <c r="HV155" t="e">
        <f>AND('STERLING CATALOG - DRY '!J3435,"AAAAADv/+eU=")</f>
        <v>#VALUE!</v>
      </c>
      <c r="HW155">
        <f>IF('STERLING CATALOG - DRY '!3436:3436,"AAAAADv/+eY=",0)</f>
        <v>0</v>
      </c>
      <c r="HX155" t="e">
        <f>AND('STERLING CATALOG - DRY '!A3436,"AAAAADv/+ec=")</f>
        <v>#VALUE!</v>
      </c>
      <c r="HY155" t="e">
        <f>AND('STERLING CATALOG - DRY '!B3436,"AAAAADv/+eg=")</f>
        <v>#VALUE!</v>
      </c>
      <c r="HZ155" t="e">
        <f>AND('STERLING CATALOG - DRY '!C3436,"AAAAADv/+ek=")</f>
        <v>#VALUE!</v>
      </c>
      <c r="IA155" t="e">
        <f>AND('STERLING CATALOG - DRY '!D3436,"AAAAADv/+eo=")</f>
        <v>#VALUE!</v>
      </c>
      <c r="IB155" t="e">
        <f>AND('STERLING CATALOG - DRY '!E3436,"AAAAADv/+es=")</f>
        <v>#VALUE!</v>
      </c>
      <c r="IC155" t="e">
        <f>AND('STERLING CATALOG - DRY '!F3436,"AAAAADv/+ew=")</f>
        <v>#VALUE!</v>
      </c>
      <c r="ID155" t="e">
        <f>AND('STERLING CATALOG - DRY '!G3436,"AAAAADv/+e0=")</f>
        <v>#VALUE!</v>
      </c>
      <c r="IE155" t="e">
        <f>AND('STERLING CATALOG - DRY '!H3436,"AAAAADv/+e4=")</f>
        <v>#VALUE!</v>
      </c>
      <c r="IF155" t="e">
        <f>AND('STERLING CATALOG - DRY '!I3436,"AAAAADv/+e8=")</f>
        <v>#VALUE!</v>
      </c>
      <c r="IG155" t="e">
        <f>AND('STERLING CATALOG - DRY '!J3436,"AAAAADv/+fA=")</f>
        <v>#VALUE!</v>
      </c>
      <c r="IH155">
        <f>IF('STERLING CATALOG - DRY '!3437:3437,"AAAAADv/+fE=",0)</f>
        <v>0</v>
      </c>
      <c r="II155" t="e">
        <f>AND('STERLING CATALOG - DRY '!A3437,"AAAAADv/+fI=")</f>
        <v>#VALUE!</v>
      </c>
      <c r="IJ155" t="e">
        <f>AND('STERLING CATALOG - DRY '!B3437,"AAAAADv/+fM=")</f>
        <v>#VALUE!</v>
      </c>
      <c r="IK155" t="e">
        <f>AND('STERLING CATALOG - DRY '!C3437,"AAAAADv/+fQ=")</f>
        <v>#VALUE!</v>
      </c>
      <c r="IL155" t="e">
        <f>AND('STERLING CATALOG - DRY '!D3437,"AAAAADv/+fU=")</f>
        <v>#VALUE!</v>
      </c>
      <c r="IM155" t="e">
        <f>AND('STERLING CATALOG - DRY '!E3437,"AAAAADv/+fY=")</f>
        <v>#VALUE!</v>
      </c>
      <c r="IN155" t="e">
        <f>AND('STERLING CATALOG - DRY '!F3437,"AAAAADv/+fc=")</f>
        <v>#VALUE!</v>
      </c>
      <c r="IO155" t="e">
        <f>AND('STERLING CATALOG - DRY '!G3437,"AAAAADv/+fg=")</f>
        <v>#VALUE!</v>
      </c>
      <c r="IP155" t="e">
        <f>AND('STERLING CATALOG - DRY '!H3437,"AAAAADv/+fk=")</f>
        <v>#VALUE!</v>
      </c>
      <c r="IQ155" t="e">
        <f>AND('STERLING CATALOG - DRY '!I3437,"AAAAADv/+fo=")</f>
        <v>#VALUE!</v>
      </c>
      <c r="IR155" t="e">
        <f>AND('STERLING CATALOG - DRY '!J3437,"AAAAADv/+fs=")</f>
        <v>#VALUE!</v>
      </c>
      <c r="IS155">
        <f>IF('STERLING CATALOG - DRY '!3438:3438,"AAAAADv/+fw=",0)</f>
        <v>0</v>
      </c>
      <c r="IT155" t="e">
        <f>AND('STERLING CATALOG - DRY '!A3438,"AAAAADv/+f0=")</f>
        <v>#VALUE!</v>
      </c>
      <c r="IU155" t="e">
        <f>AND('STERLING CATALOG - DRY '!B3438,"AAAAADv/+f4=")</f>
        <v>#VALUE!</v>
      </c>
      <c r="IV155" t="e">
        <f>AND('STERLING CATALOG - DRY '!C3438,"AAAAADv/+f8=")</f>
        <v>#VALUE!</v>
      </c>
    </row>
    <row r="156" spans="1:256">
      <c r="A156" t="e">
        <f>AND('STERLING CATALOG - DRY '!D3438,"AAAAAB97/QA=")</f>
        <v>#VALUE!</v>
      </c>
      <c r="B156" t="e">
        <f>AND('STERLING CATALOG - DRY '!E3438,"AAAAAB97/QE=")</f>
        <v>#VALUE!</v>
      </c>
      <c r="C156" t="e">
        <f>AND('STERLING CATALOG - DRY '!F3438,"AAAAAB97/QI=")</f>
        <v>#VALUE!</v>
      </c>
      <c r="D156" t="e">
        <f>AND('STERLING CATALOG - DRY '!G3438,"AAAAAB97/QM=")</f>
        <v>#VALUE!</v>
      </c>
      <c r="E156" t="e">
        <f>AND('STERLING CATALOG - DRY '!H3438,"AAAAAB97/QQ=")</f>
        <v>#VALUE!</v>
      </c>
      <c r="F156" t="e">
        <f>AND('STERLING CATALOG - DRY '!I3438,"AAAAAB97/QU=")</f>
        <v>#VALUE!</v>
      </c>
      <c r="G156" t="e">
        <f>AND('STERLING CATALOG - DRY '!J3438,"AAAAAB97/QY=")</f>
        <v>#VALUE!</v>
      </c>
      <c r="H156" t="str">
        <f>IF('STERLING CATALOG - DRY '!3439:3439,"AAAAAB97/Qc=",0)</f>
        <v>AAAAAB97/Qc=</v>
      </c>
      <c r="I156" t="e">
        <f>AND('STERLING CATALOG - DRY '!A3439,"AAAAAB97/Qg=")</f>
        <v>#VALUE!</v>
      </c>
      <c r="J156" t="e">
        <f>AND('STERLING CATALOG - DRY '!B3439,"AAAAAB97/Qk=")</f>
        <v>#VALUE!</v>
      </c>
      <c r="K156" t="e">
        <f>AND('STERLING CATALOG - DRY '!C3439,"AAAAAB97/Qo=")</f>
        <v>#VALUE!</v>
      </c>
      <c r="L156" t="e">
        <f>AND('STERLING CATALOG - DRY '!D3439,"AAAAAB97/Qs=")</f>
        <v>#VALUE!</v>
      </c>
      <c r="M156" t="e">
        <f>AND('STERLING CATALOG - DRY '!E3439,"AAAAAB97/Qw=")</f>
        <v>#VALUE!</v>
      </c>
      <c r="N156" t="e">
        <f>AND('STERLING CATALOG - DRY '!F3439,"AAAAAB97/Q0=")</f>
        <v>#VALUE!</v>
      </c>
      <c r="O156" t="e">
        <f>AND('STERLING CATALOG - DRY '!G3439,"AAAAAB97/Q4=")</f>
        <v>#VALUE!</v>
      </c>
      <c r="P156" t="e">
        <f>AND('STERLING CATALOG - DRY '!H3439,"AAAAAB97/Q8=")</f>
        <v>#VALUE!</v>
      </c>
      <c r="Q156" t="e">
        <f>AND('STERLING CATALOG - DRY '!I3439,"AAAAAB97/RA=")</f>
        <v>#VALUE!</v>
      </c>
      <c r="R156" t="e">
        <f>AND('STERLING CATALOG - DRY '!J3439,"AAAAAB97/RE=")</f>
        <v>#VALUE!</v>
      </c>
      <c r="S156">
        <f>IF('STERLING CATALOG - DRY '!3440:3440,"AAAAAB97/RI=",0)</f>
        <v>0</v>
      </c>
      <c r="T156" t="e">
        <f>AND('STERLING CATALOG - DRY '!A3440,"AAAAAB97/RM=")</f>
        <v>#VALUE!</v>
      </c>
      <c r="U156" t="e">
        <f>AND('STERLING CATALOG - DRY '!B3440,"AAAAAB97/RQ=")</f>
        <v>#VALUE!</v>
      </c>
      <c r="V156" t="e">
        <f>AND('STERLING CATALOG - DRY '!C3440,"AAAAAB97/RU=")</f>
        <v>#VALUE!</v>
      </c>
      <c r="W156" t="e">
        <f>AND('STERLING CATALOG - DRY '!D3440,"AAAAAB97/RY=")</f>
        <v>#VALUE!</v>
      </c>
      <c r="X156" t="e">
        <f>AND('STERLING CATALOG - DRY '!E3440,"AAAAAB97/Rc=")</f>
        <v>#VALUE!</v>
      </c>
      <c r="Y156" t="e">
        <f>AND('STERLING CATALOG - DRY '!F3440,"AAAAAB97/Rg=")</f>
        <v>#VALUE!</v>
      </c>
      <c r="Z156" t="e">
        <f>AND('STERLING CATALOG - DRY '!G3440,"AAAAAB97/Rk=")</f>
        <v>#VALUE!</v>
      </c>
      <c r="AA156" t="e">
        <f>AND('STERLING CATALOG - DRY '!H3440,"AAAAAB97/Ro=")</f>
        <v>#VALUE!</v>
      </c>
      <c r="AB156" t="e">
        <f>AND('STERLING CATALOG - DRY '!I3440,"AAAAAB97/Rs=")</f>
        <v>#VALUE!</v>
      </c>
      <c r="AC156" t="e">
        <f>AND('STERLING CATALOG - DRY '!J3440,"AAAAAB97/Rw=")</f>
        <v>#VALUE!</v>
      </c>
      <c r="AD156">
        <f>IF('STERLING CATALOG - DRY '!3441:3441,"AAAAAB97/R0=",0)</f>
        <v>0</v>
      </c>
      <c r="AE156" t="e">
        <f>AND('STERLING CATALOG - DRY '!A3441,"AAAAAB97/R4=")</f>
        <v>#VALUE!</v>
      </c>
      <c r="AF156" t="e">
        <f>AND('STERLING CATALOG - DRY '!B3441,"AAAAAB97/R8=")</f>
        <v>#VALUE!</v>
      </c>
      <c r="AG156" t="e">
        <f>AND('STERLING CATALOG - DRY '!C3441,"AAAAAB97/SA=")</f>
        <v>#VALUE!</v>
      </c>
      <c r="AH156" t="e">
        <f>AND('STERLING CATALOG - DRY '!D3441,"AAAAAB97/SE=")</f>
        <v>#VALUE!</v>
      </c>
      <c r="AI156" t="e">
        <f>AND('STERLING CATALOG - DRY '!E3441,"AAAAAB97/SI=")</f>
        <v>#VALUE!</v>
      </c>
      <c r="AJ156" t="e">
        <f>AND('STERLING CATALOG - DRY '!F3441,"AAAAAB97/SM=")</f>
        <v>#VALUE!</v>
      </c>
      <c r="AK156" t="e">
        <f>AND('STERLING CATALOG - DRY '!G3441,"AAAAAB97/SQ=")</f>
        <v>#VALUE!</v>
      </c>
      <c r="AL156" t="e">
        <f>AND('STERLING CATALOG - DRY '!H3441,"AAAAAB97/SU=")</f>
        <v>#VALUE!</v>
      </c>
      <c r="AM156" t="e">
        <f>AND('STERLING CATALOG - DRY '!I3441,"AAAAAB97/SY=")</f>
        <v>#VALUE!</v>
      </c>
      <c r="AN156" t="e">
        <f>AND('STERLING CATALOG - DRY '!J3441,"AAAAAB97/Sc=")</f>
        <v>#VALUE!</v>
      </c>
      <c r="AO156">
        <f>IF('STERLING CATALOG - DRY '!3442:3442,"AAAAAB97/Sg=",0)</f>
        <v>0</v>
      </c>
      <c r="AP156" t="e">
        <f>AND('STERLING CATALOG - DRY '!A3442,"AAAAAB97/Sk=")</f>
        <v>#VALUE!</v>
      </c>
      <c r="AQ156" t="e">
        <f>AND('STERLING CATALOG - DRY '!B3442,"AAAAAB97/So=")</f>
        <v>#VALUE!</v>
      </c>
      <c r="AR156" t="e">
        <f>AND('STERLING CATALOG - DRY '!C3442,"AAAAAB97/Ss=")</f>
        <v>#VALUE!</v>
      </c>
      <c r="AS156" t="e">
        <f>AND('STERLING CATALOG - DRY '!D3442,"AAAAAB97/Sw=")</f>
        <v>#VALUE!</v>
      </c>
      <c r="AT156" t="e">
        <f>AND('STERLING CATALOG - DRY '!E3442,"AAAAAB97/S0=")</f>
        <v>#VALUE!</v>
      </c>
      <c r="AU156" t="e">
        <f>AND('STERLING CATALOG - DRY '!F3442,"AAAAAB97/S4=")</f>
        <v>#VALUE!</v>
      </c>
      <c r="AV156" t="e">
        <f>AND('STERLING CATALOG - DRY '!G3442,"AAAAAB97/S8=")</f>
        <v>#VALUE!</v>
      </c>
      <c r="AW156" t="e">
        <f>AND('STERLING CATALOG - DRY '!H3442,"AAAAAB97/TA=")</f>
        <v>#VALUE!</v>
      </c>
      <c r="AX156" t="e">
        <f>AND('STERLING CATALOG - DRY '!I3442,"AAAAAB97/TE=")</f>
        <v>#VALUE!</v>
      </c>
      <c r="AY156" t="e">
        <f>AND('STERLING CATALOG - DRY '!J3442,"AAAAAB97/TI=")</f>
        <v>#VALUE!</v>
      </c>
      <c r="AZ156">
        <f>IF('STERLING CATALOG - DRY '!3443:3443,"AAAAAB97/TM=",0)</f>
        <v>0</v>
      </c>
      <c r="BA156" t="e">
        <f>AND('STERLING CATALOG - DRY '!A3443,"AAAAAB97/TQ=")</f>
        <v>#VALUE!</v>
      </c>
      <c r="BB156" t="e">
        <f>AND('STERLING CATALOG - DRY '!B3443,"AAAAAB97/TU=")</f>
        <v>#VALUE!</v>
      </c>
      <c r="BC156" t="e">
        <f>AND('STERLING CATALOG - DRY '!C3443,"AAAAAB97/TY=")</f>
        <v>#VALUE!</v>
      </c>
      <c r="BD156" t="e">
        <f>AND('STERLING CATALOG - DRY '!D3443,"AAAAAB97/Tc=")</f>
        <v>#VALUE!</v>
      </c>
      <c r="BE156" t="e">
        <f>AND('STERLING CATALOG - DRY '!E3443,"AAAAAB97/Tg=")</f>
        <v>#VALUE!</v>
      </c>
      <c r="BF156" t="e">
        <f>AND('STERLING CATALOG - DRY '!F3443,"AAAAAB97/Tk=")</f>
        <v>#VALUE!</v>
      </c>
      <c r="BG156" t="e">
        <f>AND('STERLING CATALOG - DRY '!G3443,"AAAAAB97/To=")</f>
        <v>#VALUE!</v>
      </c>
      <c r="BH156" t="e">
        <f>AND('STERLING CATALOG - DRY '!H3443,"AAAAAB97/Ts=")</f>
        <v>#VALUE!</v>
      </c>
      <c r="BI156" t="e">
        <f>AND('STERLING CATALOG - DRY '!I3443,"AAAAAB97/Tw=")</f>
        <v>#VALUE!</v>
      </c>
      <c r="BJ156" t="e">
        <f>AND('STERLING CATALOG - DRY '!J3443,"AAAAAB97/T0=")</f>
        <v>#VALUE!</v>
      </c>
      <c r="BK156">
        <f>IF('STERLING CATALOG - DRY '!3444:3444,"AAAAAB97/T4=",0)</f>
        <v>0</v>
      </c>
      <c r="BL156" t="e">
        <f>AND('STERLING CATALOG - DRY '!A3444,"AAAAAB97/T8=")</f>
        <v>#VALUE!</v>
      </c>
      <c r="BM156" t="e">
        <f>AND('STERLING CATALOG - DRY '!B3444,"AAAAAB97/UA=")</f>
        <v>#VALUE!</v>
      </c>
      <c r="BN156" t="e">
        <f>AND('STERLING CATALOG - DRY '!C3444,"AAAAAB97/UE=")</f>
        <v>#VALUE!</v>
      </c>
      <c r="BO156" t="e">
        <f>AND('STERLING CATALOG - DRY '!D3444,"AAAAAB97/UI=")</f>
        <v>#VALUE!</v>
      </c>
      <c r="BP156" t="e">
        <f>AND('STERLING CATALOG - DRY '!E3444,"AAAAAB97/UM=")</f>
        <v>#VALUE!</v>
      </c>
      <c r="BQ156" t="e">
        <f>AND('STERLING CATALOG - DRY '!F3444,"AAAAAB97/UQ=")</f>
        <v>#VALUE!</v>
      </c>
      <c r="BR156" t="e">
        <f>AND('STERLING CATALOG - DRY '!G3444,"AAAAAB97/UU=")</f>
        <v>#VALUE!</v>
      </c>
      <c r="BS156" t="e">
        <f>AND('STERLING CATALOG - DRY '!H3444,"AAAAAB97/UY=")</f>
        <v>#VALUE!</v>
      </c>
      <c r="BT156" t="e">
        <f>AND('STERLING CATALOG - DRY '!I3444,"AAAAAB97/Uc=")</f>
        <v>#VALUE!</v>
      </c>
      <c r="BU156" t="e">
        <f>AND('STERLING CATALOG - DRY '!J3444,"AAAAAB97/Ug=")</f>
        <v>#VALUE!</v>
      </c>
      <c r="BV156">
        <f>IF('STERLING CATALOG - DRY '!3445:3445,"AAAAAB97/Uk=",0)</f>
        <v>0</v>
      </c>
      <c r="BW156" t="e">
        <f>AND('STERLING CATALOG - DRY '!A3445,"AAAAAB97/Uo=")</f>
        <v>#VALUE!</v>
      </c>
      <c r="BX156" t="e">
        <f>AND('STERLING CATALOG - DRY '!B3445,"AAAAAB97/Us=")</f>
        <v>#VALUE!</v>
      </c>
      <c r="BY156" t="e">
        <f>AND('STERLING CATALOG - DRY '!C3445,"AAAAAB97/Uw=")</f>
        <v>#VALUE!</v>
      </c>
      <c r="BZ156" t="e">
        <f>AND('STERLING CATALOG - DRY '!D3445,"AAAAAB97/U0=")</f>
        <v>#VALUE!</v>
      </c>
      <c r="CA156" t="e">
        <f>AND('STERLING CATALOG - DRY '!E3445,"AAAAAB97/U4=")</f>
        <v>#VALUE!</v>
      </c>
      <c r="CB156" t="e">
        <f>AND('STERLING CATALOG - DRY '!F3445,"AAAAAB97/U8=")</f>
        <v>#VALUE!</v>
      </c>
      <c r="CC156" t="e">
        <f>AND('STERLING CATALOG - DRY '!G3445,"AAAAAB97/VA=")</f>
        <v>#VALUE!</v>
      </c>
      <c r="CD156" t="e">
        <f>AND('STERLING CATALOG - DRY '!H3445,"AAAAAB97/VE=")</f>
        <v>#VALUE!</v>
      </c>
      <c r="CE156" t="e">
        <f>AND('STERLING CATALOG - DRY '!I3445,"AAAAAB97/VI=")</f>
        <v>#VALUE!</v>
      </c>
      <c r="CF156" t="e">
        <f>AND('STERLING CATALOG - DRY '!J3445,"AAAAAB97/VM=")</f>
        <v>#VALUE!</v>
      </c>
      <c r="CG156">
        <f>IF('STERLING CATALOG - DRY '!3446:3446,"AAAAAB97/VQ=",0)</f>
        <v>0</v>
      </c>
      <c r="CH156" t="e">
        <f>AND('STERLING CATALOG - DRY '!A3446,"AAAAAB97/VU=")</f>
        <v>#VALUE!</v>
      </c>
      <c r="CI156" t="e">
        <f>AND('STERLING CATALOG - DRY '!B3446,"AAAAAB97/VY=")</f>
        <v>#VALUE!</v>
      </c>
      <c r="CJ156" t="e">
        <f>AND('STERLING CATALOG - DRY '!C3446,"AAAAAB97/Vc=")</f>
        <v>#VALUE!</v>
      </c>
      <c r="CK156" t="e">
        <f>AND('STERLING CATALOG - DRY '!D3446,"AAAAAB97/Vg=")</f>
        <v>#VALUE!</v>
      </c>
      <c r="CL156" t="e">
        <f>AND('STERLING CATALOG - DRY '!E3446,"AAAAAB97/Vk=")</f>
        <v>#VALUE!</v>
      </c>
      <c r="CM156" t="e">
        <f>AND('STERLING CATALOG - DRY '!F3446,"AAAAAB97/Vo=")</f>
        <v>#VALUE!</v>
      </c>
      <c r="CN156" t="e">
        <f>AND('STERLING CATALOG - DRY '!G3446,"AAAAAB97/Vs=")</f>
        <v>#VALUE!</v>
      </c>
      <c r="CO156" t="e">
        <f>AND('STERLING CATALOG - DRY '!H3446,"AAAAAB97/Vw=")</f>
        <v>#VALUE!</v>
      </c>
      <c r="CP156" t="e">
        <f>AND('STERLING CATALOG - DRY '!I3446,"AAAAAB97/V0=")</f>
        <v>#VALUE!</v>
      </c>
      <c r="CQ156" t="e">
        <f>AND('STERLING CATALOG - DRY '!J3446,"AAAAAB97/V4=")</f>
        <v>#VALUE!</v>
      </c>
      <c r="CR156">
        <f>IF('STERLING CATALOG - DRY '!3447:3447,"AAAAAB97/V8=",0)</f>
        <v>0</v>
      </c>
      <c r="CS156" t="e">
        <f>AND('STERLING CATALOG - DRY '!A3447,"AAAAAB97/WA=")</f>
        <v>#VALUE!</v>
      </c>
      <c r="CT156" t="e">
        <f>AND('STERLING CATALOG - DRY '!B3447,"AAAAAB97/WE=")</f>
        <v>#VALUE!</v>
      </c>
      <c r="CU156" t="e">
        <f>AND('STERLING CATALOG - DRY '!C3447,"AAAAAB97/WI=")</f>
        <v>#VALUE!</v>
      </c>
      <c r="CV156" t="e">
        <f>AND('STERLING CATALOG - DRY '!D3447,"AAAAAB97/WM=")</f>
        <v>#VALUE!</v>
      </c>
      <c r="CW156" t="e">
        <f>AND('STERLING CATALOG - DRY '!E3447,"AAAAAB97/WQ=")</f>
        <v>#VALUE!</v>
      </c>
      <c r="CX156" t="e">
        <f>AND('STERLING CATALOG - DRY '!F3447,"AAAAAB97/WU=")</f>
        <v>#VALUE!</v>
      </c>
      <c r="CY156" t="e">
        <f>AND('STERLING CATALOG - DRY '!G3447,"AAAAAB97/WY=")</f>
        <v>#VALUE!</v>
      </c>
      <c r="CZ156" t="e">
        <f>AND('STERLING CATALOG - DRY '!H3447,"AAAAAB97/Wc=")</f>
        <v>#VALUE!</v>
      </c>
      <c r="DA156" t="e">
        <f>AND('STERLING CATALOG - DRY '!I3447,"AAAAAB97/Wg=")</f>
        <v>#VALUE!</v>
      </c>
      <c r="DB156" t="e">
        <f>AND('STERLING CATALOG - DRY '!J3447,"AAAAAB97/Wk=")</f>
        <v>#VALUE!</v>
      </c>
      <c r="DC156">
        <f>IF('STERLING CATALOG - DRY '!3448:3448,"AAAAAB97/Wo=",0)</f>
        <v>0</v>
      </c>
      <c r="DD156" t="e">
        <f>AND('STERLING CATALOG - DRY '!A3448,"AAAAAB97/Ws=")</f>
        <v>#VALUE!</v>
      </c>
      <c r="DE156" t="e">
        <f>AND('STERLING CATALOG - DRY '!B3448,"AAAAAB97/Ww=")</f>
        <v>#VALUE!</v>
      </c>
      <c r="DF156" t="e">
        <f>AND('STERLING CATALOG - DRY '!C3448,"AAAAAB97/W0=")</f>
        <v>#VALUE!</v>
      </c>
      <c r="DG156" t="e">
        <f>AND('STERLING CATALOG - DRY '!D3448,"AAAAAB97/W4=")</f>
        <v>#VALUE!</v>
      </c>
      <c r="DH156" t="e">
        <f>AND('STERLING CATALOG - DRY '!E3448,"AAAAAB97/W8=")</f>
        <v>#VALUE!</v>
      </c>
      <c r="DI156" t="e">
        <f>AND('STERLING CATALOG - DRY '!F3448,"AAAAAB97/XA=")</f>
        <v>#VALUE!</v>
      </c>
      <c r="DJ156" t="e">
        <f>AND('STERLING CATALOG - DRY '!G3448,"AAAAAB97/XE=")</f>
        <v>#VALUE!</v>
      </c>
      <c r="DK156" t="e">
        <f>AND('STERLING CATALOG - DRY '!H3448,"AAAAAB97/XI=")</f>
        <v>#VALUE!</v>
      </c>
      <c r="DL156" t="e">
        <f>AND('STERLING CATALOG - DRY '!I3448,"AAAAAB97/XM=")</f>
        <v>#VALUE!</v>
      </c>
      <c r="DM156" t="e">
        <f>AND('STERLING CATALOG - DRY '!J3448,"AAAAAB97/XQ=")</f>
        <v>#VALUE!</v>
      </c>
      <c r="DN156">
        <f>IF('STERLING CATALOG - DRY '!3449:3449,"AAAAAB97/XU=",0)</f>
        <v>0</v>
      </c>
      <c r="DO156" t="e">
        <f>AND('STERLING CATALOG - DRY '!A3449,"AAAAAB97/XY=")</f>
        <v>#VALUE!</v>
      </c>
      <c r="DP156" t="e">
        <f>AND('STERLING CATALOG - DRY '!B3449,"AAAAAB97/Xc=")</f>
        <v>#VALUE!</v>
      </c>
      <c r="DQ156" t="e">
        <f>AND('STERLING CATALOG - DRY '!C3449,"AAAAAB97/Xg=")</f>
        <v>#VALUE!</v>
      </c>
      <c r="DR156" t="e">
        <f>AND('STERLING CATALOG - DRY '!D3449,"AAAAAB97/Xk=")</f>
        <v>#VALUE!</v>
      </c>
      <c r="DS156" t="e">
        <f>AND('STERLING CATALOG - DRY '!E3449,"AAAAAB97/Xo=")</f>
        <v>#VALUE!</v>
      </c>
      <c r="DT156" t="e">
        <f>AND('STERLING CATALOG - DRY '!F3449,"AAAAAB97/Xs=")</f>
        <v>#VALUE!</v>
      </c>
      <c r="DU156" t="e">
        <f>AND('STERLING CATALOG - DRY '!G3449,"AAAAAB97/Xw=")</f>
        <v>#VALUE!</v>
      </c>
      <c r="DV156" t="e">
        <f>AND('STERLING CATALOG - DRY '!H3449,"AAAAAB97/X0=")</f>
        <v>#VALUE!</v>
      </c>
      <c r="DW156" t="e">
        <f>AND('STERLING CATALOG - DRY '!I3449,"AAAAAB97/X4=")</f>
        <v>#VALUE!</v>
      </c>
      <c r="DX156" t="e">
        <f>AND('STERLING CATALOG - DRY '!J3449,"AAAAAB97/X8=")</f>
        <v>#VALUE!</v>
      </c>
      <c r="DY156">
        <f>IF('STERLING CATALOG - DRY '!3450:3450,"AAAAAB97/YA=",0)</f>
        <v>0</v>
      </c>
      <c r="DZ156" t="e">
        <f>AND('STERLING CATALOG - DRY '!A3450,"AAAAAB97/YE=")</f>
        <v>#VALUE!</v>
      </c>
      <c r="EA156" t="e">
        <f>AND('STERLING CATALOG - DRY '!B3450,"AAAAAB97/YI=")</f>
        <v>#VALUE!</v>
      </c>
      <c r="EB156" t="e">
        <f>AND('STERLING CATALOG - DRY '!C3450,"AAAAAB97/YM=")</f>
        <v>#VALUE!</v>
      </c>
      <c r="EC156" t="e">
        <f>AND('STERLING CATALOG - DRY '!D3450,"AAAAAB97/YQ=")</f>
        <v>#VALUE!</v>
      </c>
      <c r="ED156" t="e">
        <f>AND('STERLING CATALOG - DRY '!E3450,"AAAAAB97/YU=")</f>
        <v>#VALUE!</v>
      </c>
      <c r="EE156" t="e">
        <f>AND('STERLING CATALOG - DRY '!F3450,"AAAAAB97/YY=")</f>
        <v>#VALUE!</v>
      </c>
      <c r="EF156" t="e">
        <f>AND('STERLING CATALOG - DRY '!G3450,"AAAAAB97/Yc=")</f>
        <v>#VALUE!</v>
      </c>
      <c r="EG156" t="e">
        <f>AND('STERLING CATALOG - DRY '!H3450,"AAAAAB97/Yg=")</f>
        <v>#VALUE!</v>
      </c>
      <c r="EH156" t="e">
        <f>AND('STERLING CATALOG - DRY '!I3450,"AAAAAB97/Yk=")</f>
        <v>#VALUE!</v>
      </c>
      <c r="EI156" t="e">
        <f>AND('STERLING CATALOG - DRY '!J3450,"AAAAAB97/Yo=")</f>
        <v>#VALUE!</v>
      </c>
      <c r="EJ156">
        <f>IF('STERLING CATALOG - DRY '!3451:3451,"AAAAAB97/Ys=",0)</f>
        <v>0</v>
      </c>
      <c r="EK156" t="e">
        <f>AND('STERLING CATALOG - DRY '!A3451,"AAAAAB97/Yw=")</f>
        <v>#VALUE!</v>
      </c>
      <c r="EL156" t="e">
        <f>AND('STERLING CATALOG - DRY '!B3451,"AAAAAB97/Y0=")</f>
        <v>#VALUE!</v>
      </c>
      <c r="EM156" t="e">
        <f>AND('STERLING CATALOG - DRY '!C3451,"AAAAAB97/Y4=")</f>
        <v>#VALUE!</v>
      </c>
      <c r="EN156" t="e">
        <f>AND('STERLING CATALOG - DRY '!D3451,"AAAAAB97/Y8=")</f>
        <v>#VALUE!</v>
      </c>
      <c r="EO156" t="e">
        <f>AND('STERLING CATALOG - DRY '!E3451,"AAAAAB97/ZA=")</f>
        <v>#VALUE!</v>
      </c>
      <c r="EP156" t="e">
        <f>AND('STERLING CATALOG - DRY '!F3451,"AAAAAB97/ZE=")</f>
        <v>#VALUE!</v>
      </c>
      <c r="EQ156" t="e">
        <f>AND('STERLING CATALOG - DRY '!G3451,"AAAAAB97/ZI=")</f>
        <v>#VALUE!</v>
      </c>
      <c r="ER156" t="e">
        <f>AND('STERLING CATALOG - DRY '!H3451,"AAAAAB97/ZM=")</f>
        <v>#VALUE!</v>
      </c>
      <c r="ES156" t="e">
        <f>AND('STERLING CATALOG - DRY '!I3451,"AAAAAB97/ZQ=")</f>
        <v>#VALUE!</v>
      </c>
      <c r="ET156" t="e">
        <f>AND('STERLING CATALOG - DRY '!J3451,"AAAAAB97/ZU=")</f>
        <v>#VALUE!</v>
      </c>
      <c r="EU156">
        <f>IF('STERLING CATALOG - DRY '!3452:3452,"AAAAAB97/ZY=",0)</f>
        <v>0</v>
      </c>
      <c r="EV156" t="e">
        <f>AND('STERLING CATALOG - DRY '!A3452,"AAAAAB97/Zc=")</f>
        <v>#VALUE!</v>
      </c>
      <c r="EW156" t="e">
        <f>AND('STERLING CATALOG - DRY '!B3452,"AAAAAB97/Zg=")</f>
        <v>#VALUE!</v>
      </c>
      <c r="EX156" t="e">
        <f>AND('STERLING CATALOG - DRY '!C3452,"AAAAAB97/Zk=")</f>
        <v>#VALUE!</v>
      </c>
      <c r="EY156" t="e">
        <f>AND('STERLING CATALOG - DRY '!D3452,"AAAAAB97/Zo=")</f>
        <v>#VALUE!</v>
      </c>
      <c r="EZ156" t="e">
        <f>AND('STERLING CATALOG - DRY '!E3452,"AAAAAB97/Zs=")</f>
        <v>#VALUE!</v>
      </c>
      <c r="FA156" t="e">
        <f>AND('STERLING CATALOG - DRY '!F3452,"AAAAAB97/Zw=")</f>
        <v>#VALUE!</v>
      </c>
      <c r="FB156" t="e">
        <f>AND('STERLING CATALOG - DRY '!G3452,"AAAAAB97/Z0=")</f>
        <v>#VALUE!</v>
      </c>
      <c r="FC156" t="e">
        <f>AND('STERLING CATALOG - DRY '!H3452,"AAAAAB97/Z4=")</f>
        <v>#VALUE!</v>
      </c>
      <c r="FD156" t="e">
        <f>AND('STERLING CATALOG - DRY '!I3452,"AAAAAB97/Z8=")</f>
        <v>#VALUE!</v>
      </c>
      <c r="FE156" t="e">
        <f>AND('STERLING CATALOG - DRY '!J3452,"AAAAAB97/aA=")</f>
        <v>#VALUE!</v>
      </c>
      <c r="FF156">
        <f>IF('STERLING CATALOG - DRY '!3453:3453,"AAAAAB97/aE=",0)</f>
        <v>0</v>
      </c>
      <c r="FG156" t="e">
        <f>AND('STERLING CATALOG - DRY '!A3453,"AAAAAB97/aI=")</f>
        <v>#VALUE!</v>
      </c>
      <c r="FH156" t="e">
        <f>AND('STERLING CATALOG - DRY '!B3453,"AAAAAB97/aM=")</f>
        <v>#VALUE!</v>
      </c>
      <c r="FI156" t="e">
        <f>AND('STERLING CATALOG - DRY '!C3453,"AAAAAB97/aQ=")</f>
        <v>#VALUE!</v>
      </c>
      <c r="FJ156" t="e">
        <f>AND('STERLING CATALOG - DRY '!D3453,"AAAAAB97/aU=")</f>
        <v>#VALUE!</v>
      </c>
      <c r="FK156" t="e">
        <f>AND('STERLING CATALOG - DRY '!E3453,"AAAAAB97/aY=")</f>
        <v>#VALUE!</v>
      </c>
      <c r="FL156" t="e">
        <f>AND('STERLING CATALOG - DRY '!F3453,"AAAAAB97/ac=")</f>
        <v>#VALUE!</v>
      </c>
      <c r="FM156" t="e">
        <f>AND('STERLING CATALOG - DRY '!G3453,"AAAAAB97/ag=")</f>
        <v>#VALUE!</v>
      </c>
      <c r="FN156" t="e">
        <f>AND('STERLING CATALOG - DRY '!H3453,"AAAAAB97/ak=")</f>
        <v>#VALUE!</v>
      </c>
      <c r="FO156" t="e">
        <f>AND('STERLING CATALOG - DRY '!I3453,"AAAAAB97/ao=")</f>
        <v>#VALUE!</v>
      </c>
      <c r="FP156" t="e">
        <f>AND('STERLING CATALOG - DRY '!J3453,"AAAAAB97/as=")</f>
        <v>#VALUE!</v>
      </c>
      <c r="FQ156">
        <f>IF('STERLING CATALOG - DRY '!3454:3454,"AAAAAB97/aw=",0)</f>
        <v>0</v>
      </c>
      <c r="FR156" t="e">
        <f>AND('STERLING CATALOG - DRY '!A3454,"AAAAAB97/a0=")</f>
        <v>#VALUE!</v>
      </c>
      <c r="FS156" t="e">
        <f>AND('STERLING CATALOG - DRY '!B3454,"AAAAAB97/a4=")</f>
        <v>#VALUE!</v>
      </c>
      <c r="FT156" t="e">
        <f>AND('STERLING CATALOG - DRY '!C3454,"AAAAAB97/a8=")</f>
        <v>#VALUE!</v>
      </c>
      <c r="FU156" t="e">
        <f>AND('STERLING CATALOG - DRY '!D3454,"AAAAAB97/bA=")</f>
        <v>#VALUE!</v>
      </c>
      <c r="FV156" t="e">
        <f>AND('STERLING CATALOG - DRY '!E3454,"AAAAAB97/bE=")</f>
        <v>#VALUE!</v>
      </c>
      <c r="FW156" t="e">
        <f>AND('STERLING CATALOG - DRY '!F3454,"AAAAAB97/bI=")</f>
        <v>#VALUE!</v>
      </c>
      <c r="FX156" t="e">
        <f>AND('STERLING CATALOG - DRY '!G3454,"AAAAAB97/bM=")</f>
        <v>#VALUE!</v>
      </c>
      <c r="FY156" t="e">
        <f>AND('STERLING CATALOG - DRY '!H3454,"AAAAAB97/bQ=")</f>
        <v>#VALUE!</v>
      </c>
      <c r="FZ156" t="e">
        <f>AND('STERLING CATALOG - DRY '!I3454,"AAAAAB97/bU=")</f>
        <v>#VALUE!</v>
      </c>
      <c r="GA156" t="e">
        <f>AND('STERLING CATALOG - DRY '!J3454,"AAAAAB97/bY=")</f>
        <v>#VALUE!</v>
      </c>
      <c r="GB156">
        <f>IF('STERLING CATALOG - DRY '!3455:3455,"AAAAAB97/bc=",0)</f>
        <v>0</v>
      </c>
      <c r="GC156" t="e">
        <f>AND('STERLING CATALOG - DRY '!A3455,"AAAAAB97/bg=")</f>
        <v>#VALUE!</v>
      </c>
      <c r="GD156" t="e">
        <f>AND('STERLING CATALOG - DRY '!B3455,"AAAAAB97/bk=")</f>
        <v>#VALUE!</v>
      </c>
      <c r="GE156" t="e">
        <f>AND('STERLING CATALOG - DRY '!C3455,"AAAAAB97/bo=")</f>
        <v>#VALUE!</v>
      </c>
      <c r="GF156" t="e">
        <f>AND('STERLING CATALOG - DRY '!D3455,"AAAAAB97/bs=")</f>
        <v>#VALUE!</v>
      </c>
      <c r="GG156" t="e">
        <f>AND('STERLING CATALOG - DRY '!E3455,"AAAAAB97/bw=")</f>
        <v>#VALUE!</v>
      </c>
      <c r="GH156" t="e">
        <f>AND('STERLING CATALOG - DRY '!F3455,"AAAAAB97/b0=")</f>
        <v>#VALUE!</v>
      </c>
      <c r="GI156" t="e">
        <f>AND('STERLING CATALOG - DRY '!G3455,"AAAAAB97/b4=")</f>
        <v>#VALUE!</v>
      </c>
      <c r="GJ156" t="e">
        <f>AND('STERLING CATALOG - DRY '!H3455,"AAAAAB97/b8=")</f>
        <v>#VALUE!</v>
      </c>
      <c r="GK156" t="e">
        <f>AND('STERLING CATALOG - DRY '!I3455,"AAAAAB97/cA=")</f>
        <v>#VALUE!</v>
      </c>
      <c r="GL156" t="e">
        <f>AND('STERLING CATALOG - DRY '!J3455,"AAAAAB97/cE=")</f>
        <v>#VALUE!</v>
      </c>
      <c r="GM156">
        <f>IF('STERLING CATALOG - DRY '!3456:3456,"AAAAAB97/cI=",0)</f>
        <v>0</v>
      </c>
      <c r="GN156" t="e">
        <f>AND('STERLING CATALOG - DRY '!A3456,"AAAAAB97/cM=")</f>
        <v>#VALUE!</v>
      </c>
      <c r="GO156" t="e">
        <f>AND('STERLING CATALOG - DRY '!B3456,"AAAAAB97/cQ=")</f>
        <v>#VALUE!</v>
      </c>
      <c r="GP156" t="e">
        <f>AND('STERLING CATALOG - DRY '!C3456,"AAAAAB97/cU=")</f>
        <v>#VALUE!</v>
      </c>
      <c r="GQ156" t="e">
        <f>AND('STERLING CATALOG - DRY '!D3456,"AAAAAB97/cY=")</f>
        <v>#VALUE!</v>
      </c>
      <c r="GR156" t="e">
        <f>AND('STERLING CATALOG - DRY '!E3456,"AAAAAB97/cc=")</f>
        <v>#VALUE!</v>
      </c>
      <c r="GS156" t="e">
        <f>AND('STERLING CATALOG - DRY '!F3456,"AAAAAB97/cg=")</f>
        <v>#VALUE!</v>
      </c>
      <c r="GT156" t="e">
        <f>AND('STERLING CATALOG - DRY '!G3456,"AAAAAB97/ck=")</f>
        <v>#VALUE!</v>
      </c>
      <c r="GU156" t="e">
        <f>AND('STERLING CATALOG - DRY '!H3456,"AAAAAB97/co=")</f>
        <v>#VALUE!</v>
      </c>
      <c r="GV156" t="e">
        <f>AND('STERLING CATALOG - DRY '!I3456,"AAAAAB97/cs=")</f>
        <v>#VALUE!</v>
      </c>
      <c r="GW156" t="e">
        <f>AND('STERLING CATALOG - DRY '!J3456,"AAAAAB97/cw=")</f>
        <v>#VALUE!</v>
      </c>
      <c r="GX156">
        <f>IF('STERLING CATALOG - DRY '!3457:3457,"AAAAAB97/c0=",0)</f>
        <v>0</v>
      </c>
      <c r="GY156" t="e">
        <f>AND('STERLING CATALOG - DRY '!A3457,"AAAAAB97/c4=")</f>
        <v>#VALUE!</v>
      </c>
      <c r="GZ156" t="e">
        <f>AND('STERLING CATALOG - DRY '!B3457,"AAAAAB97/c8=")</f>
        <v>#VALUE!</v>
      </c>
      <c r="HA156" t="e">
        <f>AND('STERLING CATALOG - DRY '!C3457,"AAAAAB97/dA=")</f>
        <v>#VALUE!</v>
      </c>
      <c r="HB156" t="e">
        <f>AND('STERLING CATALOG - DRY '!D3457,"AAAAAB97/dE=")</f>
        <v>#VALUE!</v>
      </c>
      <c r="HC156" t="e">
        <f>AND('STERLING CATALOG - DRY '!E3457,"AAAAAB97/dI=")</f>
        <v>#VALUE!</v>
      </c>
      <c r="HD156" t="e">
        <f>AND('STERLING CATALOG - DRY '!F3457,"AAAAAB97/dM=")</f>
        <v>#VALUE!</v>
      </c>
      <c r="HE156" t="e">
        <f>AND('STERLING CATALOG - DRY '!G3457,"AAAAAB97/dQ=")</f>
        <v>#VALUE!</v>
      </c>
      <c r="HF156" t="e">
        <f>AND('STERLING CATALOG - DRY '!H3457,"AAAAAB97/dU=")</f>
        <v>#VALUE!</v>
      </c>
      <c r="HG156" t="e">
        <f>AND('STERLING CATALOG - DRY '!I3457,"AAAAAB97/dY=")</f>
        <v>#VALUE!</v>
      </c>
      <c r="HH156" t="e">
        <f>AND('STERLING CATALOG - DRY '!J3457,"AAAAAB97/dc=")</f>
        <v>#VALUE!</v>
      </c>
      <c r="HI156">
        <f>IF('STERLING CATALOG - DRY '!3458:3458,"AAAAAB97/dg=",0)</f>
        <v>0</v>
      </c>
      <c r="HJ156" t="e">
        <f>AND('STERLING CATALOG - DRY '!A3458,"AAAAAB97/dk=")</f>
        <v>#VALUE!</v>
      </c>
      <c r="HK156" t="e">
        <f>AND('STERLING CATALOG - DRY '!B3458,"AAAAAB97/do=")</f>
        <v>#VALUE!</v>
      </c>
      <c r="HL156" t="e">
        <f>AND('STERLING CATALOG - DRY '!C3458,"AAAAAB97/ds=")</f>
        <v>#VALUE!</v>
      </c>
      <c r="HM156" t="e">
        <f>AND('STERLING CATALOG - DRY '!D3458,"AAAAAB97/dw=")</f>
        <v>#VALUE!</v>
      </c>
      <c r="HN156" t="e">
        <f>AND('STERLING CATALOG - DRY '!E3458,"AAAAAB97/d0=")</f>
        <v>#VALUE!</v>
      </c>
      <c r="HO156" t="e">
        <f>AND('STERLING CATALOG - DRY '!F3458,"AAAAAB97/d4=")</f>
        <v>#VALUE!</v>
      </c>
      <c r="HP156" t="e">
        <f>AND('STERLING CATALOG - DRY '!G3458,"AAAAAB97/d8=")</f>
        <v>#VALUE!</v>
      </c>
      <c r="HQ156" t="e">
        <f>AND('STERLING CATALOG - DRY '!H3458,"AAAAAB97/eA=")</f>
        <v>#VALUE!</v>
      </c>
      <c r="HR156" t="e">
        <f>AND('STERLING CATALOG - DRY '!I3458,"AAAAAB97/eE=")</f>
        <v>#VALUE!</v>
      </c>
      <c r="HS156" t="e">
        <f>AND('STERLING CATALOG - DRY '!J3458,"AAAAAB97/eI=")</f>
        <v>#VALUE!</v>
      </c>
      <c r="HT156">
        <f>IF('STERLING CATALOG - DRY '!3459:3459,"AAAAAB97/eM=",0)</f>
        <v>0</v>
      </c>
      <c r="HU156" t="e">
        <f>AND('STERLING CATALOG - DRY '!A3459,"AAAAAB97/eQ=")</f>
        <v>#VALUE!</v>
      </c>
      <c r="HV156" t="e">
        <f>AND('STERLING CATALOG - DRY '!B3459,"AAAAAB97/eU=")</f>
        <v>#VALUE!</v>
      </c>
      <c r="HW156" t="e">
        <f>AND('STERLING CATALOG - DRY '!C3459,"AAAAAB97/eY=")</f>
        <v>#VALUE!</v>
      </c>
      <c r="HX156" t="e">
        <f>AND('STERLING CATALOG - DRY '!D3459,"AAAAAB97/ec=")</f>
        <v>#VALUE!</v>
      </c>
      <c r="HY156" t="e">
        <f>AND('STERLING CATALOG - DRY '!E3459,"AAAAAB97/eg=")</f>
        <v>#VALUE!</v>
      </c>
      <c r="HZ156" t="e">
        <f>AND('STERLING CATALOG - DRY '!F3459,"AAAAAB97/ek=")</f>
        <v>#VALUE!</v>
      </c>
      <c r="IA156" t="e">
        <f>AND('STERLING CATALOG - DRY '!G3459,"AAAAAB97/eo=")</f>
        <v>#VALUE!</v>
      </c>
      <c r="IB156" t="e">
        <f>AND('STERLING CATALOG - DRY '!H3459,"AAAAAB97/es=")</f>
        <v>#VALUE!</v>
      </c>
      <c r="IC156" t="e">
        <f>AND('STERLING CATALOG - DRY '!I3459,"AAAAAB97/ew=")</f>
        <v>#VALUE!</v>
      </c>
      <c r="ID156" t="e">
        <f>AND('STERLING CATALOG - DRY '!J3459,"AAAAAB97/e0=")</f>
        <v>#VALUE!</v>
      </c>
      <c r="IE156">
        <f>IF('STERLING CATALOG - DRY '!3460:3460,"AAAAAB97/e4=",0)</f>
        <v>0</v>
      </c>
      <c r="IF156" t="e">
        <f>AND('STERLING CATALOG - DRY '!A3460,"AAAAAB97/e8=")</f>
        <v>#VALUE!</v>
      </c>
      <c r="IG156" t="e">
        <f>AND('STERLING CATALOG - DRY '!B3460,"AAAAAB97/fA=")</f>
        <v>#VALUE!</v>
      </c>
      <c r="IH156" t="e">
        <f>AND('STERLING CATALOG - DRY '!C3460,"AAAAAB97/fE=")</f>
        <v>#VALUE!</v>
      </c>
      <c r="II156" t="e">
        <f>AND('STERLING CATALOG - DRY '!D3460,"AAAAAB97/fI=")</f>
        <v>#VALUE!</v>
      </c>
      <c r="IJ156" t="e">
        <f>AND('STERLING CATALOG - DRY '!E3460,"AAAAAB97/fM=")</f>
        <v>#VALUE!</v>
      </c>
      <c r="IK156" t="e">
        <f>AND('STERLING CATALOG - DRY '!F3460,"AAAAAB97/fQ=")</f>
        <v>#VALUE!</v>
      </c>
      <c r="IL156" t="e">
        <f>AND('STERLING CATALOG - DRY '!G3460,"AAAAAB97/fU=")</f>
        <v>#VALUE!</v>
      </c>
      <c r="IM156" t="e">
        <f>AND('STERLING CATALOG - DRY '!H3460,"AAAAAB97/fY=")</f>
        <v>#VALUE!</v>
      </c>
      <c r="IN156" t="e">
        <f>AND('STERLING CATALOG - DRY '!I3460,"AAAAAB97/fc=")</f>
        <v>#VALUE!</v>
      </c>
      <c r="IO156" t="e">
        <f>AND('STERLING CATALOG - DRY '!J3460,"AAAAAB97/fg=")</f>
        <v>#VALUE!</v>
      </c>
      <c r="IP156">
        <f>IF('STERLING CATALOG - DRY '!3461:3461,"AAAAAB97/fk=",0)</f>
        <v>0</v>
      </c>
      <c r="IQ156" t="e">
        <f>AND('STERLING CATALOG - DRY '!A3461,"AAAAAB97/fo=")</f>
        <v>#VALUE!</v>
      </c>
      <c r="IR156" t="e">
        <f>AND('STERLING CATALOG - DRY '!B3461,"AAAAAB97/fs=")</f>
        <v>#VALUE!</v>
      </c>
      <c r="IS156" t="e">
        <f>AND('STERLING CATALOG - DRY '!C3461,"AAAAAB97/fw=")</f>
        <v>#VALUE!</v>
      </c>
      <c r="IT156" t="e">
        <f>AND('STERLING CATALOG - DRY '!D3461,"AAAAAB97/f0=")</f>
        <v>#VALUE!</v>
      </c>
      <c r="IU156" t="e">
        <f>AND('STERLING CATALOG - DRY '!E3461,"AAAAAB97/f4=")</f>
        <v>#VALUE!</v>
      </c>
      <c r="IV156" t="e">
        <f>AND('STERLING CATALOG - DRY '!F3461,"AAAAAB97/f8=")</f>
        <v>#VALUE!</v>
      </c>
    </row>
    <row r="157" spans="1:256">
      <c r="A157" t="e">
        <f>AND('STERLING CATALOG - DRY '!G3461,"AAAAAGvv8wA=")</f>
        <v>#VALUE!</v>
      </c>
      <c r="B157" t="e">
        <f>AND('STERLING CATALOG - DRY '!H3461,"AAAAAGvv8wE=")</f>
        <v>#VALUE!</v>
      </c>
      <c r="C157" t="e">
        <f>AND('STERLING CATALOG - DRY '!I3461,"AAAAAGvv8wI=")</f>
        <v>#VALUE!</v>
      </c>
      <c r="D157" t="e">
        <f>AND('STERLING CATALOG - DRY '!J3461,"AAAAAGvv8wM=")</f>
        <v>#VALUE!</v>
      </c>
      <c r="E157" t="e">
        <f>IF('STERLING CATALOG - DRY '!3462:3462,"AAAAAGvv8wQ=",0)</f>
        <v>#VALUE!</v>
      </c>
      <c r="F157" t="e">
        <f>AND('STERLING CATALOG - DRY '!A3462,"AAAAAGvv8wU=")</f>
        <v>#VALUE!</v>
      </c>
      <c r="G157" t="e">
        <f>AND('STERLING CATALOG - DRY '!B3462,"AAAAAGvv8wY=")</f>
        <v>#VALUE!</v>
      </c>
      <c r="H157" t="e">
        <f>AND('STERLING CATALOG - DRY '!C3462,"AAAAAGvv8wc=")</f>
        <v>#VALUE!</v>
      </c>
      <c r="I157" t="e">
        <f>AND('STERLING CATALOG - DRY '!D3462,"AAAAAGvv8wg=")</f>
        <v>#VALUE!</v>
      </c>
      <c r="J157" t="e">
        <f>AND('STERLING CATALOG - DRY '!E3462,"AAAAAGvv8wk=")</f>
        <v>#VALUE!</v>
      </c>
      <c r="K157" t="e">
        <f>AND('STERLING CATALOG - DRY '!F3462,"AAAAAGvv8wo=")</f>
        <v>#VALUE!</v>
      </c>
      <c r="L157" t="e">
        <f>AND('STERLING CATALOG - DRY '!G3462,"AAAAAGvv8ws=")</f>
        <v>#VALUE!</v>
      </c>
      <c r="M157" t="e">
        <f>AND('STERLING CATALOG - DRY '!H3462,"AAAAAGvv8ww=")</f>
        <v>#VALUE!</v>
      </c>
      <c r="N157" t="e">
        <f>AND('STERLING CATALOG - DRY '!I3462,"AAAAAGvv8w0=")</f>
        <v>#VALUE!</v>
      </c>
      <c r="O157" t="e">
        <f>AND('STERLING CATALOG - DRY '!J3462,"AAAAAGvv8w4=")</f>
        <v>#VALUE!</v>
      </c>
      <c r="P157">
        <f>IF('STERLING CATALOG - DRY '!3463:3463,"AAAAAGvv8w8=",0)</f>
        <v>0</v>
      </c>
      <c r="Q157" t="e">
        <f>AND('STERLING CATALOG - DRY '!A3463,"AAAAAGvv8xA=")</f>
        <v>#VALUE!</v>
      </c>
      <c r="R157" t="e">
        <f>AND('STERLING CATALOG - DRY '!B3463,"AAAAAGvv8xE=")</f>
        <v>#VALUE!</v>
      </c>
      <c r="S157" t="e">
        <f>AND('STERLING CATALOG - DRY '!C3463,"AAAAAGvv8xI=")</f>
        <v>#VALUE!</v>
      </c>
      <c r="T157" t="e">
        <f>AND('STERLING CATALOG - DRY '!D3463,"AAAAAGvv8xM=")</f>
        <v>#VALUE!</v>
      </c>
      <c r="U157" t="e">
        <f>AND('STERLING CATALOG - DRY '!E3463,"AAAAAGvv8xQ=")</f>
        <v>#VALUE!</v>
      </c>
      <c r="V157" t="e">
        <f>AND('STERLING CATALOG - DRY '!F3463,"AAAAAGvv8xU=")</f>
        <v>#VALUE!</v>
      </c>
      <c r="W157" t="e">
        <f>AND('STERLING CATALOG - DRY '!G3463,"AAAAAGvv8xY=")</f>
        <v>#VALUE!</v>
      </c>
      <c r="X157" t="e">
        <f>AND('STERLING CATALOG - DRY '!H3463,"AAAAAGvv8xc=")</f>
        <v>#VALUE!</v>
      </c>
      <c r="Y157" t="e">
        <f>AND('STERLING CATALOG - DRY '!I3463,"AAAAAGvv8xg=")</f>
        <v>#VALUE!</v>
      </c>
      <c r="Z157" t="e">
        <f>AND('STERLING CATALOG - DRY '!J3463,"AAAAAGvv8xk=")</f>
        <v>#VALUE!</v>
      </c>
      <c r="AA157">
        <f>IF('STERLING CATALOG - DRY '!3464:3464,"AAAAAGvv8xo=",0)</f>
        <v>0</v>
      </c>
      <c r="AB157" t="e">
        <f>AND('STERLING CATALOG - DRY '!A3464,"AAAAAGvv8xs=")</f>
        <v>#VALUE!</v>
      </c>
      <c r="AC157" t="e">
        <f>AND('STERLING CATALOG - DRY '!B3464,"AAAAAGvv8xw=")</f>
        <v>#VALUE!</v>
      </c>
      <c r="AD157" t="e">
        <f>AND('STERLING CATALOG - DRY '!C3464,"AAAAAGvv8x0=")</f>
        <v>#VALUE!</v>
      </c>
      <c r="AE157" t="e">
        <f>AND('STERLING CATALOG - DRY '!D3464,"AAAAAGvv8x4=")</f>
        <v>#VALUE!</v>
      </c>
      <c r="AF157" t="e">
        <f>AND('STERLING CATALOG - DRY '!E3464,"AAAAAGvv8x8=")</f>
        <v>#VALUE!</v>
      </c>
      <c r="AG157" t="e">
        <f>AND('STERLING CATALOG - DRY '!F3464,"AAAAAGvv8yA=")</f>
        <v>#VALUE!</v>
      </c>
      <c r="AH157" t="e">
        <f>AND('STERLING CATALOG - DRY '!G3464,"AAAAAGvv8yE=")</f>
        <v>#VALUE!</v>
      </c>
      <c r="AI157" t="e">
        <f>AND('STERLING CATALOG - DRY '!H3464,"AAAAAGvv8yI=")</f>
        <v>#VALUE!</v>
      </c>
      <c r="AJ157" t="e">
        <f>AND('STERLING CATALOG - DRY '!I3464,"AAAAAGvv8yM=")</f>
        <v>#VALUE!</v>
      </c>
      <c r="AK157" t="e">
        <f>AND('STERLING CATALOG - DRY '!J3464,"AAAAAGvv8yQ=")</f>
        <v>#VALUE!</v>
      </c>
      <c r="AL157">
        <f>IF('STERLING CATALOG - DRY '!3465:3465,"AAAAAGvv8yU=",0)</f>
        <v>0</v>
      </c>
      <c r="AM157" t="e">
        <f>AND('STERLING CATALOG - DRY '!A3465,"AAAAAGvv8yY=")</f>
        <v>#VALUE!</v>
      </c>
      <c r="AN157" t="e">
        <f>AND('STERLING CATALOG - DRY '!B3465,"AAAAAGvv8yc=")</f>
        <v>#VALUE!</v>
      </c>
      <c r="AO157" t="e">
        <f>AND('STERLING CATALOG - DRY '!C3465,"AAAAAGvv8yg=")</f>
        <v>#VALUE!</v>
      </c>
      <c r="AP157" t="e">
        <f>AND('STERLING CATALOG - DRY '!D3465,"AAAAAGvv8yk=")</f>
        <v>#VALUE!</v>
      </c>
      <c r="AQ157" t="e">
        <f>AND('STERLING CATALOG - DRY '!E3465,"AAAAAGvv8yo=")</f>
        <v>#VALUE!</v>
      </c>
      <c r="AR157" t="e">
        <f>AND('STERLING CATALOG - DRY '!F3465,"AAAAAGvv8ys=")</f>
        <v>#VALUE!</v>
      </c>
      <c r="AS157" t="e">
        <f>AND('STERLING CATALOG - DRY '!G3465,"AAAAAGvv8yw=")</f>
        <v>#VALUE!</v>
      </c>
      <c r="AT157" t="e">
        <f>AND('STERLING CATALOG - DRY '!H3465,"AAAAAGvv8y0=")</f>
        <v>#VALUE!</v>
      </c>
      <c r="AU157" t="e">
        <f>AND('STERLING CATALOG - DRY '!I3465,"AAAAAGvv8y4=")</f>
        <v>#VALUE!</v>
      </c>
      <c r="AV157" t="e">
        <f>AND('STERLING CATALOG - DRY '!J3465,"AAAAAGvv8y8=")</f>
        <v>#VALUE!</v>
      </c>
      <c r="AW157">
        <f>IF('STERLING CATALOG - DRY '!3466:3466,"AAAAAGvv8zA=",0)</f>
        <v>0</v>
      </c>
      <c r="AX157" t="e">
        <f>AND('STERLING CATALOG - DRY '!A3466,"AAAAAGvv8zE=")</f>
        <v>#VALUE!</v>
      </c>
      <c r="AY157" t="e">
        <f>AND('STERLING CATALOG - DRY '!B3466,"AAAAAGvv8zI=")</f>
        <v>#VALUE!</v>
      </c>
      <c r="AZ157" t="e">
        <f>AND('STERLING CATALOG - DRY '!C3466,"AAAAAGvv8zM=")</f>
        <v>#VALUE!</v>
      </c>
      <c r="BA157" t="e">
        <f>AND('STERLING CATALOG - DRY '!D3466,"AAAAAGvv8zQ=")</f>
        <v>#VALUE!</v>
      </c>
      <c r="BB157" t="e">
        <f>AND('STERLING CATALOG - DRY '!E3466,"AAAAAGvv8zU=")</f>
        <v>#VALUE!</v>
      </c>
      <c r="BC157" t="e">
        <f>AND('STERLING CATALOG - DRY '!F3466,"AAAAAGvv8zY=")</f>
        <v>#VALUE!</v>
      </c>
      <c r="BD157" t="e">
        <f>AND('STERLING CATALOG - DRY '!G3466,"AAAAAGvv8zc=")</f>
        <v>#VALUE!</v>
      </c>
      <c r="BE157" t="e">
        <f>AND('STERLING CATALOG - DRY '!H3466,"AAAAAGvv8zg=")</f>
        <v>#VALUE!</v>
      </c>
      <c r="BF157" t="e">
        <f>AND('STERLING CATALOG - DRY '!I3466,"AAAAAGvv8zk=")</f>
        <v>#VALUE!</v>
      </c>
      <c r="BG157" t="e">
        <f>AND('STERLING CATALOG - DRY '!J3466,"AAAAAGvv8zo=")</f>
        <v>#VALUE!</v>
      </c>
      <c r="BH157">
        <f>IF('STERLING CATALOG - DRY '!3467:3467,"AAAAAGvv8zs=",0)</f>
        <v>0</v>
      </c>
      <c r="BI157" t="e">
        <f>AND('STERLING CATALOG - DRY '!A3467,"AAAAAGvv8zw=")</f>
        <v>#VALUE!</v>
      </c>
      <c r="BJ157" t="e">
        <f>AND('STERLING CATALOG - DRY '!B3467,"AAAAAGvv8z0=")</f>
        <v>#VALUE!</v>
      </c>
      <c r="BK157" t="e">
        <f>AND('STERLING CATALOG - DRY '!C3467,"AAAAAGvv8z4=")</f>
        <v>#VALUE!</v>
      </c>
      <c r="BL157" t="e">
        <f>AND('STERLING CATALOG - DRY '!D3467,"AAAAAGvv8z8=")</f>
        <v>#VALUE!</v>
      </c>
      <c r="BM157" t="e">
        <f>AND('STERLING CATALOG - DRY '!E3467,"AAAAAGvv80A=")</f>
        <v>#VALUE!</v>
      </c>
      <c r="BN157" t="e">
        <f>AND('STERLING CATALOG - DRY '!F3467,"AAAAAGvv80E=")</f>
        <v>#VALUE!</v>
      </c>
      <c r="BO157" t="e">
        <f>AND('STERLING CATALOG - DRY '!G3467,"AAAAAGvv80I=")</f>
        <v>#VALUE!</v>
      </c>
      <c r="BP157" t="e">
        <f>AND('STERLING CATALOG - DRY '!H3467,"AAAAAGvv80M=")</f>
        <v>#VALUE!</v>
      </c>
      <c r="BQ157" t="e">
        <f>AND('STERLING CATALOG - DRY '!I3467,"AAAAAGvv80Q=")</f>
        <v>#VALUE!</v>
      </c>
      <c r="BR157" t="e">
        <f>AND('STERLING CATALOG - DRY '!J3467,"AAAAAGvv80U=")</f>
        <v>#VALUE!</v>
      </c>
      <c r="BS157">
        <f>IF('STERLING CATALOG - DRY '!3468:3468,"AAAAAGvv80Y=",0)</f>
        <v>0</v>
      </c>
      <c r="BT157" t="e">
        <f>AND('STERLING CATALOG - DRY '!A3468,"AAAAAGvv80c=")</f>
        <v>#VALUE!</v>
      </c>
      <c r="BU157" t="e">
        <f>AND('STERLING CATALOG - DRY '!B3468,"AAAAAGvv80g=")</f>
        <v>#VALUE!</v>
      </c>
      <c r="BV157" t="e">
        <f>AND('STERLING CATALOG - DRY '!C3468,"AAAAAGvv80k=")</f>
        <v>#VALUE!</v>
      </c>
      <c r="BW157" t="e">
        <f>AND('STERLING CATALOG - DRY '!D3468,"AAAAAGvv80o=")</f>
        <v>#VALUE!</v>
      </c>
      <c r="BX157" t="e">
        <f>AND('STERLING CATALOG - DRY '!E3468,"AAAAAGvv80s=")</f>
        <v>#VALUE!</v>
      </c>
      <c r="BY157" t="e">
        <f>AND('STERLING CATALOG - DRY '!F3468,"AAAAAGvv80w=")</f>
        <v>#VALUE!</v>
      </c>
      <c r="BZ157" t="e">
        <f>AND('STERLING CATALOG - DRY '!G3468,"AAAAAGvv800=")</f>
        <v>#VALUE!</v>
      </c>
      <c r="CA157" t="e">
        <f>AND('STERLING CATALOG - DRY '!H3468,"AAAAAGvv804=")</f>
        <v>#VALUE!</v>
      </c>
      <c r="CB157" t="e">
        <f>AND('STERLING CATALOG - DRY '!I3468,"AAAAAGvv808=")</f>
        <v>#VALUE!</v>
      </c>
      <c r="CC157" t="e">
        <f>AND('STERLING CATALOG - DRY '!J3468,"AAAAAGvv81A=")</f>
        <v>#VALUE!</v>
      </c>
      <c r="CD157">
        <f>IF('STERLING CATALOG - DRY '!3469:3469,"AAAAAGvv81E=",0)</f>
        <v>0</v>
      </c>
      <c r="CE157" t="e">
        <f>AND('STERLING CATALOG - DRY '!A3469,"AAAAAGvv81I=")</f>
        <v>#VALUE!</v>
      </c>
      <c r="CF157" t="e">
        <f>AND('STERLING CATALOG - DRY '!B3469,"AAAAAGvv81M=")</f>
        <v>#VALUE!</v>
      </c>
      <c r="CG157" t="e">
        <f>AND('STERLING CATALOG - DRY '!C3469,"AAAAAGvv81Q=")</f>
        <v>#VALUE!</v>
      </c>
      <c r="CH157" t="e">
        <f>AND('STERLING CATALOG - DRY '!D3469,"AAAAAGvv81U=")</f>
        <v>#VALUE!</v>
      </c>
      <c r="CI157" t="e">
        <f>AND('STERLING CATALOG - DRY '!E3469,"AAAAAGvv81Y=")</f>
        <v>#VALUE!</v>
      </c>
      <c r="CJ157" t="e">
        <f>AND('STERLING CATALOG - DRY '!F3469,"AAAAAGvv81c=")</f>
        <v>#VALUE!</v>
      </c>
      <c r="CK157" t="e">
        <f>AND('STERLING CATALOG - DRY '!G3469,"AAAAAGvv81g=")</f>
        <v>#VALUE!</v>
      </c>
      <c r="CL157" t="e">
        <f>AND('STERLING CATALOG - DRY '!H3469,"AAAAAGvv81k=")</f>
        <v>#VALUE!</v>
      </c>
      <c r="CM157" t="e">
        <f>AND('STERLING CATALOG - DRY '!I3469,"AAAAAGvv81o=")</f>
        <v>#VALUE!</v>
      </c>
      <c r="CN157" t="e">
        <f>AND('STERLING CATALOG - DRY '!J3469,"AAAAAGvv81s=")</f>
        <v>#VALUE!</v>
      </c>
      <c r="CO157">
        <f>IF('STERLING CATALOG - DRY '!3470:3470,"AAAAAGvv81w=",0)</f>
        <v>0</v>
      </c>
      <c r="CP157" t="e">
        <f>AND('STERLING CATALOG - DRY '!A3470,"AAAAAGvv810=")</f>
        <v>#VALUE!</v>
      </c>
      <c r="CQ157" t="e">
        <f>AND('STERLING CATALOG - DRY '!B3470,"AAAAAGvv814=")</f>
        <v>#VALUE!</v>
      </c>
      <c r="CR157" t="e">
        <f>AND('STERLING CATALOG - DRY '!C3470,"AAAAAGvv818=")</f>
        <v>#VALUE!</v>
      </c>
      <c r="CS157" t="e">
        <f>AND('STERLING CATALOG - DRY '!D3470,"AAAAAGvv82A=")</f>
        <v>#VALUE!</v>
      </c>
      <c r="CT157" t="e">
        <f>AND('STERLING CATALOG - DRY '!E3470,"AAAAAGvv82E=")</f>
        <v>#VALUE!</v>
      </c>
      <c r="CU157" t="e">
        <f>AND('STERLING CATALOG - DRY '!F3470,"AAAAAGvv82I=")</f>
        <v>#VALUE!</v>
      </c>
      <c r="CV157" t="e">
        <f>AND('STERLING CATALOG - DRY '!G3470,"AAAAAGvv82M=")</f>
        <v>#VALUE!</v>
      </c>
      <c r="CW157" t="e">
        <f>AND('STERLING CATALOG - DRY '!H3470,"AAAAAGvv82Q=")</f>
        <v>#VALUE!</v>
      </c>
      <c r="CX157" t="e">
        <f>AND('STERLING CATALOG - DRY '!I3470,"AAAAAGvv82U=")</f>
        <v>#VALUE!</v>
      </c>
      <c r="CY157" t="e">
        <f>AND('STERLING CATALOG - DRY '!J3470,"AAAAAGvv82Y=")</f>
        <v>#VALUE!</v>
      </c>
      <c r="CZ157">
        <f>IF('STERLING CATALOG - DRY '!3471:3471,"AAAAAGvv82c=",0)</f>
        <v>0</v>
      </c>
      <c r="DA157" t="e">
        <f>AND('STERLING CATALOG - DRY '!A3471,"AAAAAGvv82g=")</f>
        <v>#VALUE!</v>
      </c>
      <c r="DB157" t="e">
        <f>AND('STERLING CATALOG - DRY '!B3471,"AAAAAGvv82k=")</f>
        <v>#VALUE!</v>
      </c>
      <c r="DC157" t="e">
        <f>AND('STERLING CATALOG - DRY '!C3471,"AAAAAGvv82o=")</f>
        <v>#VALUE!</v>
      </c>
      <c r="DD157" t="e">
        <f>AND('STERLING CATALOG - DRY '!D3471,"AAAAAGvv82s=")</f>
        <v>#VALUE!</v>
      </c>
      <c r="DE157" t="e">
        <f>AND('STERLING CATALOG - DRY '!E3471,"AAAAAGvv82w=")</f>
        <v>#VALUE!</v>
      </c>
      <c r="DF157" t="e">
        <f>AND('STERLING CATALOG - DRY '!F3471,"AAAAAGvv820=")</f>
        <v>#VALUE!</v>
      </c>
      <c r="DG157" t="e">
        <f>AND('STERLING CATALOG - DRY '!G3471,"AAAAAGvv824=")</f>
        <v>#VALUE!</v>
      </c>
      <c r="DH157" t="e">
        <f>AND('STERLING CATALOG - DRY '!H3471,"AAAAAGvv828=")</f>
        <v>#VALUE!</v>
      </c>
      <c r="DI157" t="e">
        <f>AND('STERLING CATALOG - DRY '!I3471,"AAAAAGvv83A=")</f>
        <v>#VALUE!</v>
      </c>
      <c r="DJ157" t="e">
        <f>AND('STERLING CATALOG - DRY '!J3471,"AAAAAGvv83E=")</f>
        <v>#VALUE!</v>
      </c>
      <c r="DK157">
        <f>IF('STERLING CATALOG - DRY '!3472:3472,"AAAAAGvv83I=",0)</f>
        <v>0</v>
      </c>
      <c r="DL157" t="e">
        <f>AND('STERLING CATALOG - DRY '!A3472,"AAAAAGvv83M=")</f>
        <v>#VALUE!</v>
      </c>
      <c r="DM157" t="e">
        <f>AND('STERLING CATALOG - DRY '!B3472,"AAAAAGvv83Q=")</f>
        <v>#VALUE!</v>
      </c>
      <c r="DN157" t="e">
        <f>AND('STERLING CATALOG - DRY '!C3472,"AAAAAGvv83U=")</f>
        <v>#VALUE!</v>
      </c>
      <c r="DO157" t="e">
        <f>AND('STERLING CATALOG - DRY '!D3472,"AAAAAGvv83Y=")</f>
        <v>#VALUE!</v>
      </c>
      <c r="DP157" t="e">
        <f>AND('STERLING CATALOG - DRY '!E3472,"AAAAAGvv83c=")</f>
        <v>#VALUE!</v>
      </c>
      <c r="DQ157" t="e">
        <f>AND('STERLING CATALOG - DRY '!F3472,"AAAAAGvv83g=")</f>
        <v>#VALUE!</v>
      </c>
      <c r="DR157" t="e">
        <f>AND('STERLING CATALOG - DRY '!G3472,"AAAAAGvv83k=")</f>
        <v>#VALUE!</v>
      </c>
      <c r="DS157" t="e">
        <f>AND('STERLING CATALOG - DRY '!H3472,"AAAAAGvv83o=")</f>
        <v>#VALUE!</v>
      </c>
      <c r="DT157" t="e">
        <f>AND('STERLING CATALOG - DRY '!I3472,"AAAAAGvv83s=")</f>
        <v>#VALUE!</v>
      </c>
      <c r="DU157" t="e">
        <f>AND('STERLING CATALOG - DRY '!J3472,"AAAAAGvv83w=")</f>
        <v>#VALUE!</v>
      </c>
      <c r="DV157">
        <f>IF('STERLING CATALOG - DRY '!3473:3473,"AAAAAGvv830=",0)</f>
        <v>0</v>
      </c>
      <c r="DW157" t="e">
        <f>AND('STERLING CATALOG - DRY '!A3473,"AAAAAGvv834=")</f>
        <v>#VALUE!</v>
      </c>
      <c r="DX157" t="e">
        <f>AND('STERLING CATALOG - DRY '!B3473,"AAAAAGvv838=")</f>
        <v>#VALUE!</v>
      </c>
      <c r="DY157" t="e">
        <f>AND('STERLING CATALOG - DRY '!C3473,"AAAAAGvv84A=")</f>
        <v>#VALUE!</v>
      </c>
      <c r="DZ157" t="e">
        <f>AND('STERLING CATALOG - DRY '!D3473,"AAAAAGvv84E=")</f>
        <v>#VALUE!</v>
      </c>
      <c r="EA157" t="e">
        <f>AND('STERLING CATALOG - DRY '!E3473,"AAAAAGvv84I=")</f>
        <v>#VALUE!</v>
      </c>
      <c r="EB157" t="e">
        <f>AND('STERLING CATALOG - DRY '!F3473,"AAAAAGvv84M=")</f>
        <v>#VALUE!</v>
      </c>
      <c r="EC157" t="e">
        <f>AND('STERLING CATALOG - DRY '!G3473,"AAAAAGvv84Q=")</f>
        <v>#VALUE!</v>
      </c>
      <c r="ED157" t="e">
        <f>AND('STERLING CATALOG - DRY '!H3473,"AAAAAGvv84U=")</f>
        <v>#VALUE!</v>
      </c>
      <c r="EE157" t="e">
        <f>AND('STERLING CATALOG - DRY '!I3473,"AAAAAGvv84Y=")</f>
        <v>#VALUE!</v>
      </c>
      <c r="EF157" t="e">
        <f>AND('STERLING CATALOG - DRY '!J3473,"AAAAAGvv84c=")</f>
        <v>#VALUE!</v>
      </c>
      <c r="EG157">
        <f>IF('STERLING CATALOG - DRY '!3474:3474,"AAAAAGvv84g=",0)</f>
        <v>0</v>
      </c>
      <c r="EH157" t="e">
        <f>AND('STERLING CATALOG - DRY '!A3474,"AAAAAGvv84k=")</f>
        <v>#VALUE!</v>
      </c>
      <c r="EI157" t="e">
        <f>AND('STERLING CATALOG - DRY '!B3474,"AAAAAGvv84o=")</f>
        <v>#VALUE!</v>
      </c>
      <c r="EJ157" t="e">
        <f>AND('STERLING CATALOG - DRY '!C3474,"AAAAAGvv84s=")</f>
        <v>#VALUE!</v>
      </c>
      <c r="EK157" t="e">
        <f>AND('STERLING CATALOG - DRY '!D3474,"AAAAAGvv84w=")</f>
        <v>#VALUE!</v>
      </c>
      <c r="EL157" t="e">
        <f>AND('STERLING CATALOG - DRY '!E3474,"AAAAAGvv840=")</f>
        <v>#VALUE!</v>
      </c>
      <c r="EM157" t="e">
        <f>AND('STERLING CATALOG - DRY '!F3474,"AAAAAGvv844=")</f>
        <v>#VALUE!</v>
      </c>
      <c r="EN157" t="e">
        <f>AND('STERLING CATALOG - DRY '!G3474,"AAAAAGvv848=")</f>
        <v>#VALUE!</v>
      </c>
      <c r="EO157" t="e">
        <f>AND('STERLING CATALOG - DRY '!H3474,"AAAAAGvv85A=")</f>
        <v>#VALUE!</v>
      </c>
      <c r="EP157" t="e">
        <f>AND('STERLING CATALOG - DRY '!I3474,"AAAAAGvv85E=")</f>
        <v>#VALUE!</v>
      </c>
      <c r="EQ157" t="e">
        <f>AND('STERLING CATALOG - DRY '!J3474,"AAAAAGvv85I=")</f>
        <v>#VALUE!</v>
      </c>
      <c r="ER157">
        <f>IF('STERLING CATALOG - DRY '!3475:3475,"AAAAAGvv85M=",0)</f>
        <v>0</v>
      </c>
      <c r="ES157" t="e">
        <f>AND('STERLING CATALOG - DRY '!A3475,"AAAAAGvv85Q=")</f>
        <v>#VALUE!</v>
      </c>
      <c r="ET157" t="e">
        <f>AND('STERLING CATALOG - DRY '!B3475,"AAAAAGvv85U=")</f>
        <v>#VALUE!</v>
      </c>
      <c r="EU157" t="e">
        <f>AND('STERLING CATALOG - DRY '!C3475,"AAAAAGvv85Y=")</f>
        <v>#VALUE!</v>
      </c>
      <c r="EV157" t="e">
        <f>AND('STERLING CATALOG - DRY '!D3475,"AAAAAGvv85c=")</f>
        <v>#VALUE!</v>
      </c>
      <c r="EW157" t="e">
        <f>AND('STERLING CATALOG - DRY '!E3475,"AAAAAGvv85g=")</f>
        <v>#VALUE!</v>
      </c>
      <c r="EX157" t="e">
        <f>AND('STERLING CATALOG - DRY '!F3475,"AAAAAGvv85k=")</f>
        <v>#VALUE!</v>
      </c>
      <c r="EY157" t="e">
        <f>AND('STERLING CATALOG - DRY '!G3475,"AAAAAGvv85o=")</f>
        <v>#VALUE!</v>
      </c>
      <c r="EZ157" t="e">
        <f>AND('STERLING CATALOG - DRY '!H3475,"AAAAAGvv85s=")</f>
        <v>#VALUE!</v>
      </c>
      <c r="FA157" t="e">
        <f>AND('STERLING CATALOG - DRY '!I3475,"AAAAAGvv85w=")</f>
        <v>#VALUE!</v>
      </c>
      <c r="FB157" t="e">
        <f>AND('STERLING CATALOG - DRY '!J3475,"AAAAAGvv850=")</f>
        <v>#VALUE!</v>
      </c>
      <c r="FC157">
        <f>IF('STERLING CATALOG - DRY '!3476:3476,"AAAAAGvv854=",0)</f>
        <v>0</v>
      </c>
      <c r="FD157" t="e">
        <f>AND('STERLING CATALOG - DRY '!A3476,"AAAAAGvv858=")</f>
        <v>#VALUE!</v>
      </c>
      <c r="FE157" t="e">
        <f>AND('STERLING CATALOG - DRY '!B3476,"AAAAAGvv86A=")</f>
        <v>#VALUE!</v>
      </c>
      <c r="FF157" t="e">
        <f>AND('STERLING CATALOG - DRY '!C3476,"AAAAAGvv86E=")</f>
        <v>#VALUE!</v>
      </c>
      <c r="FG157" t="e">
        <f>AND('STERLING CATALOG - DRY '!D3476,"AAAAAGvv86I=")</f>
        <v>#VALUE!</v>
      </c>
      <c r="FH157" t="e">
        <f>AND('STERLING CATALOG - DRY '!E3476,"AAAAAGvv86M=")</f>
        <v>#VALUE!</v>
      </c>
      <c r="FI157" t="e">
        <f>AND('STERLING CATALOG - DRY '!F3476,"AAAAAGvv86Q=")</f>
        <v>#VALUE!</v>
      </c>
      <c r="FJ157" t="e">
        <f>AND('STERLING CATALOG - DRY '!G3476,"AAAAAGvv86U=")</f>
        <v>#VALUE!</v>
      </c>
      <c r="FK157" t="e">
        <f>AND('STERLING CATALOG - DRY '!H3476,"AAAAAGvv86Y=")</f>
        <v>#VALUE!</v>
      </c>
      <c r="FL157" t="e">
        <f>AND('STERLING CATALOG - DRY '!I3476,"AAAAAGvv86c=")</f>
        <v>#VALUE!</v>
      </c>
      <c r="FM157" t="e">
        <f>AND('STERLING CATALOG - DRY '!J3476,"AAAAAGvv86g=")</f>
        <v>#VALUE!</v>
      </c>
      <c r="FN157">
        <f>IF('STERLING CATALOG - DRY '!3477:3477,"AAAAAGvv86k=",0)</f>
        <v>0</v>
      </c>
      <c r="FO157" t="e">
        <f>AND('STERLING CATALOG - DRY '!A3477,"AAAAAGvv86o=")</f>
        <v>#VALUE!</v>
      </c>
      <c r="FP157" t="e">
        <f>AND('STERLING CATALOG - DRY '!B3477,"AAAAAGvv86s=")</f>
        <v>#VALUE!</v>
      </c>
      <c r="FQ157" t="e">
        <f>AND('STERLING CATALOG - DRY '!C3477,"AAAAAGvv86w=")</f>
        <v>#VALUE!</v>
      </c>
      <c r="FR157" t="e">
        <f>AND('STERLING CATALOG - DRY '!D3477,"AAAAAGvv860=")</f>
        <v>#VALUE!</v>
      </c>
      <c r="FS157" t="e">
        <f>AND('STERLING CATALOG - DRY '!E3477,"AAAAAGvv864=")</f>
        <v>#VALUE!</v>
      </c>
      <c r="FT157" t="e">
        <f>AND('STERLING CATALOG - DRY '!F3477,"AAAAAGvv868=")</f>
        <v>#VALUE!</v>
      </c>
      <c r="FU157" t="e">
        <f>AND('STERLING CATALOG - DRY '!G3477,"AAAAAGvv87A=")</f>
        <v>#VALUE!</v>
      </c>
      <c r="FV157" t="e">
        <f>AND('STERLING CATALOG - DRY '!H3477,"AAAAAGvv87E=")</f>
        <v>#VALUE!</v>
      </c>
      <c r="FW157" t="e">
        <f>AND('STERLING CATALOG - DRY '!I3477,"AAAAAGvv87I=")</f>
        <v>#VALUE!</v>
      </c>
      <c r="FX157" t="e">
        <f>AND('STERLING CATALOG - DRY '!J3477,"AAAAAGvv87M=")</f>
        <v>#VALUE!</v>
      </c>
      <c r="FY157">
        <f>IF('STERLING CATALOG - DRY '!3478:3478,"AAAAAGvv87Q=",0)</f>
        <v>0</v>
      </c>
      <c r="FZ157" t="e">
        <f>AND('STERLING CATALOG - DRY '!A3478,"AAAAAGvv87U=")</f>
        <v>#VALUE!</v>
      </c>
      <c r="GA157" t="e">
        <f>AND('STERLING CATALOG - DRY '!B3478,"AAAAAGvv87Y=")</f>
        <v>#VALUE!</v>
      </c>
      <c r="GB157" t="e">
        <f>AND('STERLING CATALOG - DRY '!C3478,"AAAAAGvv87c=")</f>
        <v>#VALUE!</v>
      </c>
      <c r="GC157" t="e">
        <f>AND('STERLING CATALOG - DRY '!D3478,"AAAAAGvv87g=")</f>
        <v>#VALUE!</v>
      </c>
      <c r="GD157" t="e">
        <f>AND('STERLING CATALOG - DRY '!E3478,"AAAAAGvv87k=")</f>
        <v>#VALUE!</v>
      </c>
      <c r="GE157" t="e">
        <f>AND('STERLING CATALOG - DRY '!F3478,"AAAAAGvv87o=")</f>
        <v>#VALUE!</v>
      </c>
      <c r="GF157" t="e">
        <f>AND('STERLING CATALOG - DRY '!G3478,"AAAAAGvv87s=")</f>
        <v>#VALUE!</v>
      </c>
      <c r="GG157" t="e">
        <f>AND('STERLING CATALOG - DRY '!H3478,"AAAAAGvv87w=")</f>
        <v>#VALUE!</v>
      </c>
      <c r="GH157" t="e">
        <f>AND('STERLING CATALOG - DRY '!I3478,"AAAAAGvv870=")</f>
        <v>#VALUE!</v>
      </c>
      <c r="GI157" t="e">
        <f>AND('STERLING CATALOG - DRY '!J3478,"AAAAAGvv874=")</f>
        <v>#VALUE!</v>
      </c>
      <c r="GJ157">
        <f>IF('STERLING CATALOG - DRY '!3479:3479,"AAAAAGvv878=",0)</f>
        <v>0</v>
      </c>
      <c r="GK157" t="e">
        <f>AND('STERLING CATALOG - DRY '!A3479,"AAAAAGvv88A=")</f>
        <v>#VALUE!</v>
      </c>
      <c r="GL157" t="e">
        <f>AND('STERLING CATALOG - DRY '!B3479,"AAAAAGvv88E=")</f>
        <v>#VALUE!</v>
      </c>
      <c r="GM157" t="e">
        <f>AND('STERLING CATALOG - DRY '!C3479,"AAAAAGvv88I=")</f>
        <v>#VALUE!</v>
      </c>
      <c r="GN157" t="e">
        <f>AND('STERLING CATALOG - DRY '!D3479,"AAAAAGvv88M=")</f>
        <v>#VALUE!</v>
      </c>
      <c r="GO157" t="e">
        <f>AND('STERLING CATALOG - DRY '!E3479,"AAAAAGvv88Q=")</f>
        <v>#VALUE!</v>
      </c>
      <c r="GP157" t="e">
        <f>AND('STERLING CATALOG - DRY '!F3479,"AAAAAGvv88U=")</f>
        <v>#VALUE!</v>
      </c>
      <c r="GQ157" t="e">
        <f>AND('STERLING CATALOG - DRY '!G3479,"AAAAAGvv88Y=")</f>
        <v>#VALUE!</v>
      </c>
      <c r="GR157" t="e">
        <f>AND('STERLING CATALOG - DRY '!H3479,"AAAAAGvv88c=")</f>
        <v>#VALUE!</v>
      </c>
      <c r="GS157" t="e">
        <f>AND('STERLING CATALOG - DRY '!I3479,"AAAAAGvv88g=")</f>
        <v>#VALUE!</v>
      </c>
      <c r="GT157" t="e">
        <f>AND('STERLING CATALOG - DRY '!J3479,"AAAAAGvv88k=")</f>
        <v>#VALUE!</v>
      </c>
      <c r="GU157">
        <f>IF('STERLING CATALOG - DRY '!3480:3480,"AAAAAGvv88o=",0)</f>
        <v>0</v>
      </c>
      <c r="GV157" t="e">
        <f>AND('STERLING CATALOG - DRY '!A3480,"AAAAAGvv88s=")</f>
        <v>#VALUE!</v>
      </c>
      <c r="GW157" t="e">
        <f>AND('STERLING CATALOG - DRY '!B3480,"AAAAAGvv88w=")</f>
        <v>#VALUE!</v>
      </c>
      <c r="GX157" t="e">
        <f>AND('STERLING CATALOG - DRY '!C3480,"AAAAAGvv880=")</f>
        <v>#VALUE!</v>
      </c>
      <c r="GY157" t="e">
        <f>AND('STERLING CATALOG - DRY '!D3480,"AAAAAGvv884=")</f>
        <v>#VALUE!</v>
      </c>
      <c r="GZ157" t="e">
        <f>AND('STERLING CATALOG - DRY '!E3480,"AAAAAGvv888=")</f>
        <v>#VALUE!</v>
      </c>
      <c r="HA157" t="e">
        <f>AND('STERLING CATALOG - DRY '!F3480,"AAAAAGvv89A=")</f>
        <v>#VALUE!</v>
      </c>
      <c r="HB157" t="e">
        <f>AND('STERLING CATALOG - DRY '!G3480,"AAAAAGvv89E=")</f>
        <v>#VALUE!</v>
      </c>
      <c r="HC157" t="e">
        <f>AND('STERLING CATALOG - DRY '!H3480,"AAAAAGvv89I=")</f>
        <v>#VALUE!</v>
      </c>
      <c r="HD157" t="e">
        <f>AND('STERLING CATALOG - DRY '!I3480,"AAAAAGvv89M=")</f>
        <v>#VALUE!</v>
      </c>
      <c r="HE157" t="e">
        <f>AND('STERLING CATALOG - DRY '!J3480,"AAAAAGvv89Q=")</f>
        <v>#VALUE!</v>
      </c>
      <c r="HF157">
        <f>IF('STERLING CATALOG - DRY '!3481:3481,"AAAAAGvv89U=",0)</f>
        <v>0</v>
      </c>
      <c r="HG157" t="e">
        <f>AND('STERLING CATALOG - DRY '!A3481,"AAAAAGvv89Y=")</f>
        <v>#VALUE!</v>
      </c>
      <c r="HH157" t="e">
        <f>AND('STERLING CATALOG - DRY '!B3481,"AAAAAGvv89c=")</f>
        <v>#VALUE!</v>
      </c>
      <c r="HI157" t="e">
        <f>AND('STERLING CATALOG - DRY '!C3481,"AAAAAGvv89g=")</f>
        <v>#VALUE!</v>
      </c>
      <c r="HJ157" t="e">
        <f>AND('STERLING CATALOG - DRY '!D3481,"AAAAAGvv89k=")</f>
        <v>#VALUE!</v>
      </c>
      <c r="HK157" t="e">
        <f>AND('STERLING CATALOG - DRY '!E3481,"AAAAAGvv89o=")</f>
        <v>#VALUE!</v>
      </c>
      <c r="HL157" t="e">
        <f>AND('STERLING CATALOG - DRY '!F3481,"AAAAAGvv89s=")</f>
        <v>#VALUE!</v>
      </c>
      <c r="HM157" t="e">
        <f>AND('STERLING CATALOG - DRY '!G3481,"AAAAAGvv89w=")</f>
        <v>#VALUE!</v>
      </c>
      <c r="HN157" t="e">
        <f>AND('STERLING CATALOG - DRY '!H3481,"AAAAAGvv890=")</f>
        <v>#VALUE!</v>
      </c>
      <c r="HO157" t="e">
        <f>AND('STERLING CATALOG - DRY '!I3481,"AAAAAGvv894=")</f>
        <v>#VALUE!</v>
      </c>
      <c r="HP157" t="e">
        <f>AND('STERLING CATALOG - DRY '!J3481,"AAAAAGvv898=")</f>
        <v>#VALUE!</v>
      </c>
      <c r="HQ157">
        <f>IF('STERLING CATALOG - DRY '!3482:3482,"AAAAAGvv8+A=",0)</f>
        <v>0</v>
      </c>
      <c r="HR157" t="e">
        <f>AND('STERLING CATALOG - DRY '!A3482,"AAAAAGvv8+E=")</f>
        <v>#VALUE!</v>
      </c>
      <c r="HS157" t="e">
        <f>AND('STERLING CATALOG - DRY '!B3482,"AAAAAGvv8+I=")</f>
        <v>#VALUE!</v>
      </c>
      <c r="HT157" t="e">
        <f>AND('STERLING CATALOG - DRY '!C3482,"AAAAAGvv8+M=")</f>
        <v>#VALUE!</v>
      </c>
      <c r="HU157" t="e">
        <f>AND('STERLING CATALOG - DRY '!D3482,"AAAAAGvv8+Q=")</f>
        <v>#VALUE!</v>
      </c>
      <c r="HV157" t="e">
        <f>AND('STERLING CATALOG - DRY '!E3482,"AAAAAGvv8+U=")</f>
        <v>#VALUE!</v>
      </c>
      <c r="HW157" t="e">
        <f>AND('STERLING CATALOG - DRY '!F3482,"AAAAAGvv8+Y=")</f>
        <v>#VALUE!</v>
      </c>
      <c r="HX157" t="e">
        <f>AND('STERLING CATALOG - DRY '!G3482,"AAAAAGvv8+c=")</f>
        <v>#VALUE!</v>
      </c>
      <c r="HY157" t="e">
        <f>AND('STERLING CATALOG - DRY '!H3482,"AAAAAGvv8+g=")</f>
        <v>#VALUE!</v>
      </c>
      <c r="HZ157" t="e">
        <f>AND('STERLING CATALOG - DRY '!I3482,"AAAAAGvv8+k=")</f>
        <v>#VALUE!</v>
      </c>
      <c r="IA157" t="e">
        <f>AND('STERLING CATALOG - DRY '!J3482,"AAAAAGvv8+o=")</f>
        <v>#VALUE!</v>
      </c>
      <c r="IB157">
        <f>IF('STERLING CATALOG - DRY '!3483:3483,"AAAAAGvv8+s=",0)</f>
        <v>0</v>
      </c>
      <c r="IC157" t="e">
        <f>AND('STERLING CATALOG - DRY '!A3483,"AAAAAGvv8+w=")</f>
        <v>#VALUE!</v>
      </c>
      <c r="ID157" t="e">
        <f>AND('STERLING CATALOG - DRY '!B3483,"AAAAAGvv8+0=")</f>
        <v>#VALUE!</v>
      </c>
      <c r="IE157" t="e">
        <f>AND('STERLING CATALOG - DRY '!C3483,"AAAAAGvv8+4=")</f>
        <v>#VALUE!</v>
      </c>
      <c r="IF157" t="e">
        <f>AND('STERLING CATALOG - DRY '!D3483,"AAAAAGvv8+8=")</f>
        <v>#VALUE!</v>
      </c>
      <c r="IG157" t="e">
        <f>AND('STERLING CATALOG - DRY '!E3483,"AAAAAGvv8/A=")</f>
        <v>#VALUE!</v>
      </c>
      <c r="IH157" t="e">
        <f>AND('STERLING CATALOG - DRY '!F3483,"AAAAAGvv8/E=")</f>
        <v>#VALUE!</v>
      </c>
      <c r="II157" t="e">
        <f>AND('STERLING CATALOG - DRY '!G3483,"AAAAAGvv8/I=")</f>
        <v>#VALUE!</v>
      </c>
      <c r="IJ157" t="e">
        <f>AND('STERLING CATALOG - DRY '!H3483,"AAAAAGvv8/M=")</f>
        <v>#VALUE!</v>
      </c>
      <c r="IK157" t="e">
        <f>AND('STERLING CATALOG - DRY '!I3483,"AAAAAGvv8/Q=")</f>
        <v>#VALUE!</v>
      </c>
      <c r="IL157" t="e">
        <f>AND('STERLING CATALOG - DRY '!J3483,"AAAAAGvv8/U=")</f>
        <v>#VALUE!</v>
      </c>
      <c r="IM157">
        <f>IF('STERLING CATALOG - DRY '!3484:3484,"AAAAAGvv8/Y=",0)</f>
        <v>0</v>
      </c>
      <c r="IN157" t="e">
        <f>AND('STERLING CATALOG - DRY '!A3484,"AAAAAGvv8/c=")</f>
        <v>#VALUE!</v>
      </c>
      <c r="IO157" t="e">
        <f>AND('STERLING CATALOG - DRY '!B3484,"AAAAAGvv8/g=")</f>
        <v>#VALUE!</v>
      </c>
      <c r="IP157" t="e">
        <f>AND('STERLING CATALOG - DRY '!C3484,"AAAAAGvv8/k=")</f>
        <v>#VALUE!</v>
      </c>
      <c r="IQ157" t="e">
        <f>AND('STERLING CATALOG - DRY '!D3484,"AAAAAGvv8/o=")</f>
        <v>#VALUE!</v>
      </c>
      <c r="IR157" t="e">
        <f>AND('STERLING CATALOG - DRY '!E3484,"AAAAAGvv8/s=")</f>
        <v>#VALUE!</v>
      </c>
      <c r="IS157" t="e">
        <f>AND('STERLING CATALOG - DRY '!F3484,"AAAAAGvv8/w=")</f>
        <v>#VALUE!</v>
      </c>
      <c r="IT157" t="e">
        <f>AND('STERLING CATALOG - DRY '!G3484,"AAAAAGvv8/0=")</f>
        <v>#VALUE!</v>
      </c>
      <c r="IU157" t="e">
        <f>AND('STERLING CATALOG - DRY '!H3484,"AAAAAGvv8/4=")</f>
        <v>#VALUE!</v>
      </c>
      <c r="IV157" t="e">
        <f>AND('STERLING CATALOG - DRY '!I3484,"AAAAAGvv8/8=")</f>
        <v>#VALUE!</v>
      </c>
    </row>
    <row r="158" spans="1:256">
      <c r="A158" t="e">
        <f>AND('STERLING CATALOG - DRY '!J3484,"AAAAAH//7wA=")</f>
        <v>#VALUE!</v>
      </c>
      <c r="B158" t="str">
        <f>IF('STERLING CATALOG - DRY '!3485:3485,"AAAAAH//7wE=",0)</f>
        <v>AAAAAH//7wE=</v>
      </c>
      <c r="C158" t="e">
        <f>AND('STERLING CATALOG - DRY '!A3485,"AAAAAH//7wI=")</f>
        <v>#VALUE!</v>
      </c>
      <c r="D158" t="e">
        <f>AND('STERLING CATALOG - DRY '!B3485,"AAAAAH//7wM=")</f>
        <v>#VALUE!</v>
      </c>
      <c r="E158" t="e">
        <f>AND('STERLING CATALOG - DRY '!C3485,"AAAAAH//7wQ=")</f>
        <v>#VALUE!</v>
      </c>
      <c r="F158" t="e">
        <f>AND('STERLING CATALOG - DRY '!D3485,"AAAAAH//7wU=")</f>
        <v>#VALUE!</v>
      </c>
      <c r="G158" t="e">
        <f>AND('STERLING CATALOG - DRY '!E3485,"AAAAAH//7wY=")</f>
        <v>#VALUE!</v>
      </c>
      <c r="H158" t="e">
        <f>AND('STERLING CATALOG - DRY '!F3485,"AAAAAH//7wc=")</f>
        <v>#VALUE!</v>
      </c>
      <c r="I158" t="e">
        <f>AND('STERLING CATALOG - DRY '!G3485,"AAAAAH//7wg=")</f>
        <v>#VALUE!</v>
      </c>
      <c r="J158" t="e">
        <f>AND('STERLING CATALOG - DRY '!H3485,"AAAAAH//7wk=")</f>
        <v>#VALUE!</v>
      </c>
      <c r="K158" t="e">
        <f>AND('STERLING CATALOG - DRY '!I3485,"AAAAAH//7wo=")</f>
        <v>#VALUE!</v>
      </c>
      <c r="L158" t="e">
        <f>AND('STERLING CATALOG - DRY '!J3485,"AAAAAH//7ws=")</f>
        <v>#VALUE!</v>
      </c>
      <c r="M158">
        <f>IF('STERLING CATALOG - DRY '!3486:3486,"AAAAAH//7ww=",0)</f>
        <v>0</v>
      </c>
      <c r="N158" t="e">
        <f>AND('STERLING CATALOG - DRY '!A3486,"AAAAAH//7w0=")</f>
        <v>#VALUE!</v>
      </c>
      <c r="O158" t="e">
        <f>AND('STERLING CATALOG - DRY '!B3486,"AAAAAH//7w4=")</f>
        <v>#VALUE!</v>
      </c>
      <c r="P158" t="e">
        <f>AND('STERLING CATALOG - DRY '!C3486,"AAAAAH//7w8=")</f>
        <v>#VALUE!</v>
      </c>
      <c r="Q158" t="e">
        <f>AND('STERLING CATALOG - DRY '!D3486,"AAAAAH//7xA=")</f>
        <v>#VALUE!</v>
      </c>
      <c r="R158" t="e">
        <f>AND('STERLING CATALOG - DRY '!E3486,"AAAAAH//7xE=")</f>
        <v>#VALUE!</v>
      </c>
      <c r="S158" t="e">
        <f>AND('STERLING CATALOG - DRY '!F3486,"AAAAAH//7xI=")</f>
        <v>#VALUE!</v>
      </c>
      <c r="T158" t="e">
        <f>AND('STERLING CATALOG - DRY '!G3486,"AAAAAH//7xM=")</f>
        <v>#VALUE!</v>
      </c>
      <c r="U158" t="e">
        <f>AND('STERLING CATALOG - DRY '!H3486,"AAAAAH//7xQ=")</f>
        <v>#VALUE!</v>
      </c>
      <c r="V158" t="e">
        <f>AND('STERLING CATALOG - DRY '!I3486,"AAAAAH//7xU=")</f>
        <v>#VALUE!</v>
      </c>
      <c r="W158" t="e">
        <f>AND('STERLING CATALOG - DRY '!J3486,"AAAAAH//7xY=")</f>
        <v>#VALUE!</v>
      </c>
      <c r="X158">
        <f>IF('STERLING CATALOG - DRY '!3487:3487,"AAAAAH//7xc=",0)</f>
        <v>0</v>
      </c>
      <c r="Y158" t="e">
        <f>AND('STERLING CATALOG - DRY '!A3487,"AAAAAH//7xg=")</f>
        <v>#VALUE!</v>
      </c>
      <c r="Z158" t="e">
        <f>AND('STERLING CATALOG - DRY '!B3487,"AAAAAH//7xk=")</f>
        <v>#VALUE!</v>
      </c>
      <c r="AA158" t="e">
        <f>AND('STERLING CATALOG - DRY '!C3487,"AAAAAH//7xo=")</f>
        <v>#VALUE!</v>
      </c>
      <c r="AB158" t="e">
        <f>AND('STERLING CATALOG - DRY '!D3487,"AAAAAH//7xs=")</f>
        <v>#VALUE!</v>
      </c>
      <c r="AC158" t="e">
        <f>AND('STERLING CATALOG - DRY '!E3487,"AAAAAH//7xw=")</f>
        <v>#VALUE!</v>
      </c>
      <c r="AD158" t="e">
        <f>AND('STERLING CATALOG - DRY '!F3487,"AAAAAH//7x0=")</f>
        <v>#VALUE!</v>
      </c>
      <c r="AE158" t="e">
        <f>AND('STERLING CATALOG - DRY '!G3487,"AAAAAH//7x4=")</f>
        <v>#VALUE!</v>
      </c>
      <c r="AF158" t="e">
        <f>AND('STERLING CATALOG - DRY '!H3487,"AAAAAH//7x8=")</f>
        <v>#VALUE!</v>
      </c>
      <c r="AG158" t="e">
        <f>AND('STERLING CATALOG - DRY '!I3487,"AAAAAH//7yA=")</f>
        <v>#VALUE!</v>
      </c>
      <c r="AH158" t="e">
        <f>AND('STERLING CATALOG - DRY '!J3487,"AAAAAH//7yE=")</f>
        <v>#VALUE!</v>
      </c>
      <c r="AI158">
        <f>IF('STERLING CATALOG - DRY '!3488:3488,"AAAAAH//7yI=",0)</f>
        <v>0</v>
      </c>
      <c r="AJ158" t="e">
        <f>AND('STERLING CATALOG - DRY '!A3488,"AAAAAH//7yM=")</f>
        <v>#VALUE!</v>
      </c>
      <c r="AK158" t="e">
        <f>AND('STERLING CATALOG - DRY '!B3488,"AAAAAH//7yQ=")</f>
        <v>#VALUE!</v>
      </c>
      <c r="AL158" t="e">
        <f>AND('STERLING CATALOG - DRY '!C3488,"AAAAAH//7yU=")</f>
        <v>#VALUE!</v>
      </c>
      <c r="AM158" t="e">
        <f>AND('STERLING CATALOG - DRY '!D3488,"AAAAAH//7yY=")</f>
        <v>#VALUE!</v>
      </c>
      <c r="AN158" t="e">
        <f>AND('STERLING CATALOG - DRY '!E3488,"AAAAAH//7yc=")</f>
        <v>#VALUE!</v>
      </c>
      <c r="AO158" t="e">
        <f>AND('STERLING CATALOG - DRY '!F3488,"AAAAAH//7yg=")</f>
        <v>#VALUE!</v>
      </c>
      <c r="AP158" t="e">
        <f>AND('STERLING CATALOG - DRY '!G3488,"AAAAAH//7yk=")</f>
        <v>#VALUE!</v>
      </c>
      <c r="AQ158" t="e">
        <f>AND('STERLING CATALOG - DRY '!H3488,"AAAAAH//7yo=")</f>
        <v>#VALUE!</v>
      </c>
      <c r="AR158" t="e">
        <f>AND('STERLING CATALOG - DRY '!I3488,"AAAAAH//7ys=")</f>
        <v>#VALUE!</v>
      </c>
      <c r="AS158" t="e">
        <f>AND('STERLING CATALOG - DRY '!J3488,"AAAAAH//7yw=")</f>
        <v>#VALUE!</v>
      </c>
      <c r="AT158">
        <f>IF('STERLING CATALOG - DRY '!3489:3489,"AAAAAH//7y0=",0)</f>
        <v>0</v>
      </c>
      <c r="AU158" t="e">
        <f>AND('STERLING CATALOG - DRY '!A3489,"AAAAAH//7y4=")</f>
        <v>#VALUE!</v>
      </c>
      <c r="AV158" t="e">
        <f>AND('STERLING CATALOG - DRY '!B3489,"AAAAAH//7y8=")</f>
        <v>#VALUE!</v>
      </c>
      <c r="AW158" t="e">
        <f>AND('STERLING CATALOG - DRY '!C3489,"AAAAAH//7zA=")</f>
        <v>#VALUE!</v>
      </c>
      <c r="AX158" t="e">
        <f>AND('STERLING CATALOG - DRY '!D3489,"AAAAAH//7zE=")</f>
        <v>#VALUE!</v>
      </c>
      <c r="AY158" t="e">
        <f>AND('STERLING CATALOG - DRY '!E3489,"AAAAAH//7zI=")</f>
        <v>#VALUE!</v>
      </c>
      <c r="AZ158" t="e">
        <f>AND('STERLING CATALOG - DRY '!F3489,"AAAAAH//7zM=")</f>
        <v>#VALUE!</v>
      </c>
      <c r="BA158" t="e">
        <f>AND('STERLING CATALOG - DRY '!G3489,"AAAAAH//7zQ=")</f>
        <v>#VALUE!</v>
      </c>
      <c r="BB158" t="e">
        <f>AND('STERLING CATALOG - DRY '!H3489,"AAAAAH//7zU=")</f>
        <v>#VALUE!</v>
      </c>
      <c r="BC158" t="e">
        <f>AND('STERLING CATALOG - DRY '!I3489,"AAAAAH//7zY=")</f>
        <v>#VALUE!</v>
      </c>
      <c r="BD158" t="e">
        <f>AND('STERLING CATALOG - DRY '!J3489,"AAAAAH//7zc=")</f>
        <v>#VALUE!</v>
      </c>
      <c r="BE158">
        <f>IF('STERLING CATALOG - DRY '!3490:3490,"AAAAAH//7zg=",0)</f>
        <v>0</v>
      </c>
      <c r="BF158" t="e">
        <f>AND('STERLING CATALOG - DRY '!A3490,"AAAAAH//7zk=")</f>
        <v>#VALUE!</v>
      </c>
      <c r="BG158" t="e">
        <f>AND('STERLING CATALOG - DRY '!B3490,"AAAAAH//7zo=")</f>
        <v>#VALUE!</v>
      </c>
      <c r="BH158" t="e">
        <f>AND('STERLING CATALOG - DRY '!C3490,"AAAAAH//7zs=")</f>
        <v>#VALUE!</v>
      </c>
      <c r="BI158" t="e">
        <f>AND('STERLING CATALOG - DRY '!D3490,"AAAAAH//7zw=")</f>
        <v>#VALUE!</v>
      </c>
      <c r="BJ158" t="e">
        <f>AND('STERLING CATALOG - DRY '!E3490,"AAAAAH//7z0=")</f>
        <v>#VALUE!</v>
      </c>
      <c r="BK158" t="e">
        <f>AND('STERLING CATALOG - DRY '!F3490,"AAAAAH//7z4=")</f>
        <v>#VALUE!</v>
      </c>
      <c r="BL158" t="e">
        <f>AND('STERLING CATALOG - DRY '!G3490,"AAAAAH//7z8=")</f>
        <v>#VALUE!</v>
      </c>
      <c r="BM158" t="e">
        <f>AND('STERLING CATALOG - DRY '!H3490,"AAAAAH//70A=")</f>
        <v>#VALUE!</v>
      </c>
      <c r="BN158" t="e">
        <f>AND('STERLING CATALOG - DRY '!I3490,"AAAAAH//70E=")</f>
        <v>#VALUE!</v>
      </c>
      <c r="BO158" t="e">
        <f>AND('STERLING CATALOG - DRY '!J3490,"AAAAAH//70I=")</f>
        <v>#VALUE!</v>
      </c>
      <c r="BP158">
        <f>IF('STERLING CATALOG - DRY '!3491:3491,"AAAAAH//70M=",0)</f>
        <v>0</v>
      </c>
      <c r="BQ158" t="e">
        <f>AND('STERLING CATALOG - DRY '!A3491,"AAAAAH//70Q=")</f>
        <v>#VALUE!</v>
      </c>
      <c r="BR158" t="e">
        <f>AND('STERLING CATALOG - DRY '!B3491,"AAAAAH//70U=")</f>
        <v>#VALUE!</v>
      </c>
      <c r="BS158" t="e">
        <f>AND('STERLING CATALOG - DRY '!C3491,"AAAAAH//70Y=")</f>
        <v>#VALUE!</v>
      </c>
      <c r="BT158" t="e">
        <f>AND('STERLING CATALOG - DRY '!D3491,"AAAAAH//70c=")</f>
        <v>#VALUE!</v>
      </c>
      <c r="BU158" t="e">
        <f>AND('STERLING CATALOG - DRY '!E3491,"AAAAAH//70g=")</f>
        <v>#VALUE!</v>
      </c>
      <c r="BV158" t="e">
        <f>AND('STERLING CATALOG - DRY '!F3491,"AAAAAH//70k=")</f>
        <v>#VALUE!</v>
      </c>
      <c r="BW158" t="e">
        <f>AND('STERLING CATALOG - DRY '!G3491,"AAAAAH//70o=")</f>
        <v>#VALUE!</v>
      </c>
      <c r="BX158" t="e">
        <f>AND('STERLING CATALOG - DRY '!H3491,"AAAAAH//70s=")</f>
        <v>#VALUE!</v>
      </c>
      <c r="BY158" t="e">
        <f>AND('STERLING CATALOG - DRY '!I3491,"AAAAAH//70w=")</f>
        <v>#VALUE!</v>
      </c>
      <c r="BZ158" t="e">
        <f>AND('STERLING CATALOG - DRY '!J3491,"AAAAAH//700=")</f>
        <v>#VALUE!</v>
      </c>
      <c r="CA158">
        <f>IF('STERLING CATALOG - DRY '!3492:3492,"AAAAAH//704=",0)</f>
        <v>0</v>
      </c>
      <c r="CB158" t="e">
        <f>AND('STERLING CATALOG - DRY '!A3492,"AAAAAH//708=")</f>
        <v>#VALUE!</v>
      </c>
      <c r="CC158" t="e">
        <f>AND('STERLING CATALOG - DRY '!B3492,"AAAAAH//71A=")</f>
        <v>#VALUE!</v>
      </c>
      <c r="CD158" t="e">
        <f>AND('STERLING CATALOG - DRY '!C3492,"AAAAAH//71E=")</f>
        <v>#VALUE!</v>
      </c>
      <c r="CE158" t="e">
        <f>AND('STERLING CATALOG - DRY '!D3492,"AAAAAH//71I=")</f>
        <v>#VALUE!</v>
      </c>
      <c r="CF158" t="e">
        <f>AND('STERLING CATALOG - DRY '!E3492,"AAAAAH//71M=")</f>
        <v>#VALUE!</v>
      </c>
      <c r="CG158" t="e">
        <f>AND('STERLING CATALOG - DRY '!F3492,"AAAAAH//71Q=")</f>
        <v>#VALUE!</v>
      </c>
      <c r="CH158" t="e">
        <f>AND('STERLING CATALOG - DRY '!G3492,"AAAAAH//71U=")</f>
        <v>#VALUE!</v>
      </c>
      <c r="CI158" t="e">
        <f>AND('STERLING CATALOG - DRY '!H3492,"AAAAAH//71Y=")</f>
        <v>#VALUE!</v>
      </c>
      <c r="CJ158" t="e">
        <f>AND('STERLING CATALOG - DRY '!I3492,"AAAAAH//71c=")</f>
        <v>#VALUE!</v>
      </c>
      <c r="CK158" t="e">
        <f>AND('STERLING CATALOG - DRY '!J3492,"AAAAAH//71g=")</f>
        <v>#VALUE!</v>
      </c>
      <c r="CL158">
        <f>IF('STERLING CATALOG - DRY '!3493:3493,"AAAAAH//71k=",0)</f>
        <v>0</v>
      </c>
      <c r="CM158" t="e">
        <f>AND('STERLING CATALOG - DRY '!A3493,"AAAAAH//71o=")</f>
        <v>#VALUE!</v>
      </c>
      <c r="CN158" t="e">
        <f>AND('STERLING CATALOG - DRY '!B3493,"AAAAAH//71s=")</f>
        <v>#VALUE!</v>
      </c>
      <c r="CO158" t="e">
        <f>AND('STERLING CATALOG - DRY '!C3493,"AAAAAH//71w=")</f>
        <v>#VALUE!</v>
      </c>
      <c r="CP158" t="e">
        <f>AND('STERLING CATALOG - DRY '!D3493,"AAAAAH//710=")</f>
        <v>#VALUE!</v>
      </c>
      <c r="CQ158" t="e">
        <f>AND('STERLING CATALOG - DRY '!E3493,"AAAAAH//714=")</f>
        <v>#VALUE!</v>
      </c>
      <c r="CR158" t="e">
        <f>AND('STERLING CATALOG - DRY '!F3493,"AAAAAH//718=")</f>
        <v>#VALUE!</v>
      </c>
      <c r="CS158" t="e">
        <f>AND('STERLING CATALOG - DRY '!G3493,"AAAAAH//72A=")</f>
        <v>#VALUE!</v>
      </c>
      <c r="CT158" t="e">
        <f>AND('STERLING CATALOG - DRY '!H3493,"AAAAAH//72E=")</f>
        <v>#VALUE!</v>
      </c>
      <c r="CU158" t="e">
        <f>AND('STERLING CATALOG - DRY '!I3493,"AAAAAH//72I=")</f>
        <v>#VALUE!</v>
      </c>
      <c r="CV158" t="e">
        <f>AND('STERLING CATALOG - DRY '!J3493,"AAAAAH//72M=")</f>
        <v>#VALUE!</v>
      </c>
      <c r="CW158">
        <f>IF('STERLING CATALOG - DRY '!3494:3494,"AAAAAH//72Q=",0)</f>
        <v>0</v>
      </c>
      <c r="CX158" t="e">
        <f>AND('STERLING CATALOG - DRY '!A3494,"AAAAAH//72U=")</f>
        <v>#VALUE!</v>
      </c>
      <c r="CY158" t="e">
        <f>AND('STERLING CATALOG - DRY '!B3494,"AAAAAH//72Y=")</f>
        <v>#VALUE!</v>
      </c>
      <c r="CZ158" t="e">
        <f>AND('STERLING CATALOG - DRY '!C3494,"AAAAAH//72c=")</f>
        <v>#VALUE!</v>
      </c>
      <c r="DA158" t="e">
        <f>AND('STERLING CATALOG - DRY '!D3494,"AAAAAH//72g=")</f>
        <v>#VALUE!</v>
      </c>
      <c r="DB158" t="e">
        <f>AND('STERLING CATALOG - DRY '!E3494,"AAAAAH//72k=")</f>
        <v>#VALUE!</v>
      </c>
      <c r="DC158" t="e">
        <f>AND('STERLING CATALOG - DRY '!F3494,"AAAAAH//72o=")</f>
        <v>#VALUE!</v>
      </c>
      <c r="DD158" t="e">
        <f>AND('STERLING CATALOG - DRY '!G3494,"AAAAAH//72s=")</f>
        <v>#VALUE!</v>
      </c>
      <c r="DE158" t="e">
        <f>AND('STERLING CATALOG - DRY '!H3494,"AAAAAH//72w=")</f>
        <v>#VALUE!</v>
      </c>
      <c r="DF158" t="e">
        <f>AND('STERLING CATALOG - DRY '!I3494,"AAAAAH//720=")</f>
        <v>#VALUE!</v>
      </c>
      <c r="DG158" t="e">
        <f>AND('STERLING CATALOG - DRY '!J3494,"AAAAAH//724=")</f>
        <v>#VALUE!</v>
      </c>
      <c r="DH158">
        <f>IF('STERLING CATALOG - DRY '!3495:3495,"AAAAAH//728=",0)</f>
        <v>0</v>
      </c>
      <c r="DI158" t="e">
        <f>AND('STERLING CATALOG - DRY '!A3495,"AAAAAH//73A=")</f>
        <v>#VALUE!</v>
      </c>
      <c r="DJ158" t="e">
        <f>AND('STERLING CATALOG - DRY '!B3495,"AAAAAH//73E=")</f>
        <v>#VALUE!</v>
      </c>
      <c r="DK158" t="e">
        <f>AND('STERLING CATALOG - DRY '!C3495,"AAAAAH//73I=")</f>
        <v>#VALUE!</v>
      </c>
      <c r="DL158" t="e">
        <f>AND('STERLING CATALOG - DRY '!D3495,"AAAAAH//73M=")</f>
        <v>#VALUE!</v>
      </c>
      <c r="DM158" t="e">
        <f>AND('STERLING CATALOG - DRY '!E3495,"AAAAAH//73Q=")</f>
        <v>#VALUE!</v>
      </c>
      <c r="DN158" t="e">
        <f>AND('STERLING CATALOG - DRY '!F3495,"AAAAAH//73U=")</f>
        <v>#VALUE!</v>
      </c>
      <c r="DO158" t="e">
        <f>AND('STERLING CATALOG - DRY '!G3495,"AAAAAH//73Y=")</f>
        <v>#VALUE!</v>
      </c>
      <c r="DP158" t="e">
        <f>AND('STERLING CATALOG - DRY '!H3495,"AAAAAH//73c=")</f>
        <v>#VALUE!</v>
      </c>
      <c r="DQ158" t="e">
        <f>AND('STERLING CATALOG - DRY '!I3495,"AAAAAH//73g=")</f>
        <v>#VALUE!</v>
      </c>
      <c r="DR158" t="e">
        <f>AND('STERLING CATALOG - DRY '!J3495,"AAAAAH//73k=")</f>
        <v>#VALUE!</v>
      </c>
      <c r="DS158">
        <f>IF('STERLING CATALOG - DRY '!3496:3496,"AAAAAH//73o=",0)</f>
        <v>0</v>
      </c>
      <c r="DT158" t="e">
        <f>AND('STERLING CATALOG - DRY '!A3496,"AAAAAH//73s=")</f>
        <v>#VALUE!</v>
      </c>
      <c r="DU158" t="e">
        <f>AND('STERLING CATALOG - DRY '!B3496,"AAAAAH//73w=")</f>
        <v>#VALUE!</v>
      </c>
      <c r="DV158" t="e">
        <f>AND('STERLING CATALOG - DRY '!C3496,"AAAAAH//730=")</f>
        <v>#VALUE!</v>
      </c>
      <c r="DW158" t="e">
        <f>AND('STERLING CATALOG - DRY '!D3496,"AAAAAH//734=")</f>
        <v>#VALUE!</v>
      </c>
      <c r="DX158" t="e">
        <f>AND('STERLING CATALOG - DRY '!E3496,"AAAAAH//738=")</f>
        <v>#VALUE!</v>
      </c>
      <c r="DY158" t="e">
        <f>AND('STERLING CATALOG - DRY '!F3496,"AAAAAH//74A=")</f>
        <v>#VALUE!</v>
      </c>
      <c r="DZ158" t="e">
        <f>AND('STERLING CATALOG - DRY '!G3496,"AAAAAH//74E=")</f>
        <v>#VALUE!</v>
      </c>
      <c r="EA158" t="e">
        <f>AND('STERLING CATALOG - DRY '!H3496,"AAAAAH//74I=")</f>
        <v>#VALUE!</v>
      </c>
      <c r="EB158" t="e">
        <f>AND('STERLING CATALOG - DRY '!I3496,"AAAAAH//74M=")</f>
        <v>#VALUE!</v>
      </c>
      <c r="EC158" t="e">
        <f>AND('STERLING CATALOG - DRY '!J3496,"AAAAAH//74Q=")</f>
        <v>#VALUE!</v>
      </c>
      <c r="ED158">
        <f>IF('STERLING CATALOG - DRY '!3497:3497,"AAAAAH//74U=",0)</f>
        <v>0</v>
      </c>
      <c r="EE158" t="e">
        <f>AND('STERLING CATALOG - DRY '!A3497,"AAAAAH//74Y=")</f>
        <v>#VALUE!</v>
      </c>
      <c r="EF158" t="e">
        <f>AND('STERLING CATALOG - DRY '!B3497,"AAAAAH//74c=")</f>
        <v>#VALUE!</v>
      </c>
      <c r="EG158" t="e">
        <f>AND('STERLING CATALOG - DRY '!C3497,"AAAAAH//74g=")</f>
        <v>#VALUE!</v>
      </c>
      <c r="EH158" t="e">
        <f>AND('STERLING CATALOG - DRY '!D3497,"AAAAAH//74k=")</f>
        <v>#VALUE!</v>
      </c>
      <c r="EI158" t="e">
        <f>AND('STERLING CATALOG - DRY '!E3497,"AAAAAH//74o=")</f>
        <v>#VALUE!</v>
      </c>
      <c r="EJ158" t="e">
        <f>AND('STERLING CATALOG - DRY '!F3497,"AAAAAH//74s=")</f>
        <v>#VALUE!</v>
      </c>
      <c r="EK158" t="e">
        <f>AND('STERLING CATALOG - DRY '!G3497,"AAAAAH//74w=")</f>
        <v>#VALUE!</v>
      </c>
      <c r="EL158" t="e">
        <f>AND('STERLING CATALOG - DRY '!H3497,"AAAAAH//740=")</f>
        <v>#VALUE!</v>
      </c>
      <c r="EM158" t="e">
        <f>AND('STERLING CATALOG - DRY '!I3497,"AAAAAH//744=")</f>
        <v>#VALUE!</v>
      </c>
      <c r="EN158" t="e">
        <f>AND('STERLING CATALOG - DRY '!J3497,"AAAAAH//748=")</f>
        <v>#VALUE!</v>
      </c>
      <c r="EO158">
        <f>IF('STERLING CATALOG - DRY '!3498:3498,"AAAAAH//75A=",0)</f>
        <v>0</v>
      </c>
      <c r="EP158" t="e">
        <f>AND('STERLING CATALOG - DRY '!A3498,"AAAAAH//75E=")</f>
        <v>#VALUE!</v>
      </c>
      <c r="EQ158" t="e">
        <f>AND('STERLING CATALOG - DRY '!B3498,"AAAAAH//75I=")</f>
        <v>#VALUE!</v>
      </c>
      <c r="ER158" t="e">
        <f>AND('STERLING CATALOG - DRY '!C3498,"AAAAAH//75M=")</f>
        <v>#VALUE!</v>
      </c>
      <c r="ES158" t="e">
        <f>AND('STERLING CATALOG - DRY '!D3498,"AAAAAH//75Q=")</f>
        <v>#VALUE!</v>
      </c>
      <c r="ET158" t="e">
        <f>AND('STERLING CATALOG - DRY '!E3498,"AAAAAH//75U=")</f>
        <v>#VALUE!</v>
      </c>
      <c r="EU158" t="e">
        <f>AND('STERLING CATALOG - DRY '!F3498,"AAAAAH//75Y=")</f>
        <v>#VALUE!</v>
      </c>
      <c r="EV158" t="e">
        <f>AND('STERLING CATALOG - DRY '!G3498,"AAAAAH//75c=")</f>
        <v>#VALUE!</v>
      </c>
      <c r="EW158" t="e">
        <f>AND('STERLING CATALOG - DRY '!H3498,"AAAAAH//75g=")</f>
        <v>#VALUE!</v>
      </c>
      <c r="EX158" t="e">
        <f>AND('STERLING CATALOG - DRY '!I3498,"AAAAAH//75k=")</f>
        <v>#VALUE!</v>
      </c>
      <c r="EY158" t="e">
        <f>AND('STERLING CATALOG - DRY '!J3498,"AAAAAH//75o=")</f>
        <v>#VALUE!</v>
      </c>
      <c r="EZ158">
        <f>IF('STERLING CATALOG - DRY '!3499:3499,"AAAAAH//75s=",0)</f>
        <v>0</v>
      </c>
      <c r="FA158" t="e">
        <f>AND('STERLING CATALOG - DRY '!A3499,"AAAAAH//75w=")</f>
        <v>#VALUE!</v>
      </c>
      <c r="FB158" t="e">
        <f>AND('STERLING CATALOG - DRY '!B3499,"AAAAAH//750=")</f>
        <v>#VALUE!</v>
      </c>
      <c r="FC158" t="e">
        <f>AND('STERLING CATALOG - DRY '!C3499,"AAAAAH//754=")</f>
        <v>#VALUE!</v>
      </c>
      <c r="FD158" t="e">
        <f>AND('STERLING CATALOG - DRY '!D3499,"AAAAAH//758=")</f>
        <v>#VALUE!</v>
      </c>
      <c r="FE158" t="e">
        <f>AND('STERLING CATALOG - DRY '!E3499,"AAAAAH//76A=")</f>
        <v>#VALUE!</v>
      </c>
      <c r="FF158" t="e">
        <f>AND('STERLING CATALOG - DRY '!F3499,"AAAAAH//76E=")</f>
        <v>#VALUE!</v>
      </c>
      <c r="FG158" t="e">
        <f>AND('STERLING CATALOG - DRY '!G3499,"AAAAAH//76I=")</f>
        <v>#VALUE!</v>
      </c>
      <c r="FH158" t="e">
        <f>AND('STERLING CATALOG - DRY '!H3499,"AAAAAH//76M=")</f>
        <v>#VALUE!</v>
      </c>
      <c r="FI158" t="e">
        <f>AND('STERLING CATALOG - DRY '!I3499,"AAAAAH//76Q=")</f>
        <v>#VALUE!</v>
      </c>
      <c r="FJ158" t="e">
        <f>AND('STERLING CATALOG - DRY '!J3499,"AAAAAH//76U=")</f>
        <v>#VALUE!</v>
      </c>
      <c r="FK158">
        <f>IF('STERLING CATALOG - DRY '!3500:3500,"AAAAAH//76Y=",0)</f>
        <v>0</v>
      </c>
      <c r="FL158" t="e">
        <f>AND('STERLING CATALOG - DRY '!A3500,"AAAAAH//76c=")</f>
        <v>#VALUE!</v>
      </c>
      <c r="FM158" t="e">
        <f>AND('STERLING CATALOG - DRY '!B3500,"AAAAAH//76g=")</f>
        <v>#VALUE!</v>
      </c>
      <c r="FN158" t="e">
        <f>AND('STERLING CATALOG - DRY '!C3500,"AAAAAH//76k=")</f>
        <v>#VALUE!</v>
      </c>
      <c r="FO158" t="e">
        <f>AND('STERLING CATALOG - DRY '!D3500,"AAAAAH//76o=")</f>
        <v>#VALUE!</v>
      </c>
      <c r="FP158" t="e">
        <f>AND('STERLING CATALOG - DRY '!E3500,"AAAAAH//76s=")</f>
        <v>#VALUE!</v>
      </c>
      <c r="FQ158" t="e">
        <f>AND('STERLING CATALOG - DRY '!F3500,"AAAAAH//76w=")</f>
        <v>#VALUE!</v>
      </c>
      <c r="FR158" t="e">
        <f>AND('STERLING CATALOG - DRY '!G3500,"AAAAAH//760=")</f>
        <v>#VALUE!</v>
      </c>
      <c r="FS158" t="e">
        <f>AND('STERLING CATALOG - DRY '!H3500,"AAAAAH//764=")</f>
        <v>#VALUE!</v>
      </c>
      <c r="FT158" t="e">
        <f>AND('STERLING CATALOG - DRY '!I3500,"AAAAAH//768=")</f>
        <v>#VALUE!</v>
      </c>
      <c r="FU158" t="e">
        <f>AND('STERLING CATALOG - DRY '!J3500,"AAAAAH//77A=")</f>
        <v>#VALUE!</v>
      </c>
      <c r="FV158">
        <f>IF('STERLING CATALOG - DRY '!3501:3501,"AAAAAH//77E=",0)</f>
        <v>0</v>
      </c>
      <c r="FW158" t="e">
        <f>AND('STERLING CATALOG - DRY '!A3501,"AAAAAH//77I=")</f>
        <v>#VALUE!</v>
      </c>
      <c r="FX158" t="e">
        <f>AND('STERLING CATALOG - DRY '!B3501,"AAAAAH//77M=")</f>
        <v>#VALUE!</v>
      </c>
      <c r="FY158" t="e">
        <f>AND('STERLING CATALOG - DRY '!C3501,"AAAAAH//77Q=")</f>
        <v>#VALUE!</v>
      </c>
      <c r="FZ158" t="e">
        <f>AND('STERLING CATALOG - DRY '!D3501,"AAAAAH//77U=")</f>
        <v>#VALUE!</v>
      </c>
      <c r="GA158" t="e">
        <f>AND('STERLING CATALOG - DRY '!E3501,"AAAAAH//77Y=")</f>
        <v>#VALUE!</v>
      </c>
      <c r="GB158" t="e">
        <f>AND('STERLING CATALOG - DRY '!F3501,"AAAAAH//77c=")</f>
        <v>#VALUE!</v>
      </c>
      <c r="GC158" t="e">
        <f>AND('STERLING CATALOG - DRY '!G3501,"AAAAAH//77g=")</f>
        <v>#VALUE!</v>
      </c>
      <c r="GD158" t="e">
        <f>AND('STERLING CATALOG - DRY '!H3501,"AAAAAH//77k=")</f>
        <v>#VALUE!</v>
      </c>
      <c r="GE158" t="e">
        <f>AND('STERLING CATALOG - DRY '!I3501,"AAAAAH//77o=")</f>
        <v>#VALUE!</v>
      </c>
      <c r="GF158" t="e">
        <f>AND('STERLING CATALOG - DRY '!J3501,"AAAAAH//77s=")</f>
        <v>#VALUE!</v>
      </c>
      <c r="GG158">
        <f>IF('STERLING CATALOG - DRY '!3502:3502,"AAAAAH//77w=",0)</f>
        <v>0</v>
      </c>
      <c r="GH158" t="e">
        <f>AND('STERLING CATALOG - DRY '!A3502,"AAAAAH//770=")</f>
        <v>#VALUE!</v>
      </c>
      <c r="GI158" t="e">
        <f>AND('STERLING CATALOG - DRY '!B3502,"AAAAAH//774=")</f>
        <v>#VALUE!</v>
      </c>
      <c r="GJ158" t="e">
        <f>AND('STERLING CATALOG - DRY '!C3502,"AAAAAH//778=")</f>
        <v>#VALUE!</v>
      </c>
      <c r="GK158" t="e">
        <f>AND('STERLING CATALOG - DRY '!D3502,"AAAAAH//78A=")</f>
        <v>#VALUE!</v>
      </c>
      <c r="GL158" t="e">
        <f>AND('STERLING CATALOG - DRY '!E3502,"AAAAAH//78E=")</f>
        <v>#VALUE!</v>
      </c>
      <c r="GM158" t="e">
        <f>AND('STERLING CATALOG - DRY '!F3502,"AAAAAH//78I=")</f>
        <v>#VALUE!</v>
      </c>
      <c r="GN158" t="e">
        <f>AND('STERLING CATALOG - DRY '!G3502,"AAAAAH//78M=")</f>
        <v>#VALUE!</v>
      </c>
      <c r="GO158" t="e">
        <f>AND('STERLING CATALOG - DRY '!H3502,"AAAAAH//78Q=")</f>
        <v>#VALUE!</v>
      </c>
      <c r="GP158" t="e">
        <f>AND('STERLING CATALOG - DRY '!I3502,"AAAAAH//78U=")</f>
        <v>#VALUE!</v>
      </c>
      <c r="GQ158" t="e">
        <f>AND('STERLING CATALOG - DRY '!J3502,"AAAAAH//78Y=")</f>
        <v>#VALUE!</v>
      </c>
      <c r="GR158">
        <f>IF('STERLING CATALOG - DRY '!3503:3503,"AAAAAH//78c=",0)</f>
        <v>0</v>
      </c>
      <c r="GS158" t="e">
        <f>AND('STERLING CATALOG - DRY '!A3503,"AAAAAH//78g=")</f>
        <v>#VALUE!</v>
      </c>
      <c r="GT158" t="e">
        <f>AND('STERLING CATALOG - DRY '!B3503,"AAAAAH//78k=")</f>
        <v>#VALUE!</v>
      </c>
      <c r="GU158" t="e">
        <f>AND('STERLING CATALOG - DRY '!C3503,"AAAAAH//78o=")</f>
        <v>#VALUE!</v>
      </c>
      <c r="GV158" t="e">
        <f>AND('STERLING CATALOG - DRY '!D3503,"AAAAAH//78s=")</f>
        <v>#VALUE!</v>
      </c>
      <c r="GW158" t="e">
        <f>AND('STERLING CATALOG - DRY '!E3503,"AAAAAH//78w=")</f>
        <v>#VALUE!</v>
      </c>
      <c r="GX158" t="e">
        <f>AND('STERLING CATALOG - DRY '!F3503,"AAAAAH//780=")</f>
        <v>#VALUE!</v>
      </c>
      <c r="GY158" t="e">
        <f>AND('STERLING CATALOG - DRY '!G3503,"AAAAAH//784=")</f>
        <v>#VALUE!</v>
      </c>
      <c r="GZ158" t="e">
        <f>AND('STERLING CATALOG - DRY '!H3503,"AAAAAH//788=")</f>
        <v>#VALUE!</v>
      </c>
      <c r="HA158" t="e">
        <f>AND('STERLING CATALOG - DRY '!I3503,"AAAAAH//79A=")</f>
        <v>#VALUE!</v>
      </c>
      <c r="HB158" t="e">
        <f>AND('STERLING CATALOG - DRY '!J3503,"AAAAAH//79E=")</f>
        <v>#VALUE!</v>
      </c>
      <c r="HC158">
        <f>IF('STERLING CATALOG - DRY '!3504:3504,"AAAAAH//79I=",0)</f>
        <v>0</v>
      </c>
      <c r="HD158" t="e">
        <f>AND('STERLING CATALOG - DRY '!A3504,"AAAAAH//79M=")</f>
        <v>#VALUE!</v>
      </c>
      <c r="HE158" t="e">
        <f>AND('STERLING CATALOG - DRY '!B3504,"AAAAAH//79Q=")</f>
        <v>#VALUE!</v>
      </c>
      <c r="HF158" t="e">
        <f>AND('STERLING CATALOG - DRY '!C3504,"AAAAAH//79U=")</f>
        <v>#VALUE!</v>
      </c>
      <c r="HG158" t="e">
        <f>AND('STERLING CATALOG - DRY '!D3504,"AAAAAH//79Y=")</f>
        <v>#VALUE!</v>
      </c>
      <c r="HH158" t="e">
        <f>AND('STERLING CATALOG - DRY '!E3504,"AAAAAH//79c=")</f>
        <v>#VALUE!</v>
      </c>
      <c r="HI158" t="e">
        <f>AND('STERLING CATALOG - DRY '!F3504,"AAAAAH//79g=")</f>
        <v>#VALUE!</v>
      </c>
      <c r="HJ158" t="e">
        <f>AND('STERLING CATALOG - DRY '!G3504,"AAAAAH//79k=")</f>
        <v>#VALUE!</v>
      </c>
      <c r="HK158" t="e">
        <f>AND('STERLING CATALOG - DRY '!H3504,"AAAAAH//79o=")</f>
        <v>#VALUE!</v>
      </c>
      <c r="HL158" t="e">
        <f>AND('STERLING CATALOG - DRY '!I3504,"AAAAAH//79s=")</f>
        <v>#VALUE!</v>
      </c>
      <c r="HM158" t="e">
        <f>AND('STERLING CATALOG - DRY '!J3504,"AAAAAH//79w=")</f>
        <v>#VALUE!</v>
      </c>
      <c r="HN158">
        <f>IF('STERLING CATALOG - DRY '!3505:3505,"AAAAAH//790=",0)</f>
        <v>0</v>
      </c>
      <c r="HO158" t="e">
        <f>AND('STERLING CATALOG - DRY '!A3505,"AAAAAH//794=")</f>
        <v>#VALUE!</v>
      </c>
      <c r="HP158" t="e">
        <f>AND('STERLING CATALOG - DRY '!B3505,"AAAAAH//798=")</f>
        <v>#VALUE!</v>
      </c>
      <c r="HQ158" t="e">
        <f>AND('STERLING CATALOG - DRY '!C3505,"AAAAAH//7+A=")</f>
        <v>#VALUE!</v>
      </c>
      <c r="HR158" t="e">
        <f>AND('STERLING CATALOG - DRY '!D3505,"AAAAAH//7+E=")</f>
        <v>#VALUE!</v>
      </c>
      <c r="HS158" t="e">
        <f>AND('STERLING CATALOG - DRY '!E3505,"AAAAAH//7+I=")</f>
        <v>#VALUE!</v>
      </c>
      <c r="HT158" t="e">
        <f>AND('STERLING CATALOG - DRY '!F3505,"AAAAAH//7+M=")</f>
        <v>#VALUE!</v>
      </c>
      <c r="HU158" t="e">
        <f>AND('STERLING CATALOG - DRY '!G3505,"AAAAAH//7+Q=")</f>
        <v>#VALUE!</v>
      </c>
      <c r="HV158" t="e">
        <f>AND('STERLING CATALOG - DRY '!H3505,"AAAAAH//7+U=")</f>
        <v>#VALUE!</v>
      </c>
      <c r="HW158" t="e">
        <f>AND('STERLING CATALOG - DRY '!I3505,"AAAAAH//7+Y=")</f>
        <v>#VALUE!</v>
      </c>
      <c r="HX158" t="e">
        <f>AND('STERLING CATALOG - DRY '!J3505,"AAAAAH//7+c=")</f>
        <v>#VALUE!</v>
      </c>
      <c r="HY158">
        <f>IF('STERLING CATALOG - DRY '!3506:3506,"AAAAAH//7+g=",0)</f>
        <v>0</v>
      </c>
      <c r="HZ158" t="e">
        <f>AND('STERLING CATALOG - DRY '!A3506,"AAAAAH//7+k=")</f>
        <v>#VALUE!</v>
      </c>
      <c r="IA158" t="e">
        <f>AND('STERLING CATALOG - DRY '!B3506,"AAAAAH//7+o=")</f>
        <v>#VALUE!</v>
      </c>
      <c r="IB158" t="e">
        <f>AND('STERLING CATALOG - DRY '!C3506,"AAAAAH//7+s=")</f>
        <v>#VALUE!</v>
      </c>
      <c r="IC158" t="e">
        <f>AND('STERLING CATALOG - DRY '!D3506,"AAAAAH//7+w=")</f>
        <v>#VALUE!</v>
      </c>
      <c r="ID158" t="e">
        <f>AND('STERLING CATALOG - DRY '!E3506,"AAAAAH//7+0=")</f>
        <v>#VALUE!</v>
      </c>
      <c r="IE158" t="e">
        <f>AND('STERLING CATALOG - DRY '!F3506,"AAAAAH//7+4=")</f>
        <v>#VALUE!</v>
      </c>
      <c r="IF158" t="e">
        <f>AND('STERLING CATALOG - DRY '!G3506,"AAAAAH//7+8=")</f>
        <v>#VALUE!</v>
      </c>
      <c r="IG158" t="e">
        <f>AND('STERLING CATALOG - DRY '!H3506,"AAAAAH//7/A=")</f>
        <v>#VALUE!</v>
      </c>
      <c r="IH158" t="e">
        <f>AND('STERLING CATALOG - DRY '!I3506,"AAAAAH//7/E=")</f>
        <v>#VALUE!</v>
      </c>
      <c r="II158" t="e">
        <f>AND('STERLING CATALOG - DRY '!J3506,"AAAAAH//7/I=")</f>
        <v>#VALUE!</v>
      </c>
      <c r="IJ158">
        <f>IF('STERLING CATALOG - DRY '!3507:3507,"AAAAAH//7/M=",0)</f>
        <v>0</v>
      </c>
      <c r="IK158" t="e">
        <f>AND('STERLING CATALOG - DRY '!A3507,"AAAAAH//7/Q=")</f>
        <v>#VALUE!</v>
      </c>
      <c r="IL158" t="e">
        <f>AND('STERLING CATALOG - DRY '!B3507,"AAAAAH//7/U=")</f>
        <v>#VALUE!</v>
      </c>
      <c r="IM158" t="e">
        <f>AND('STERLING CATALOG - DRY '!C3507,"AAAAAH//7/Y=")</f>
        <v>#VALUE!</v>
      </c>
      <c r="IN158" t="e">
        <f>AND('STERLING CATALOG - DRY '!D3507,"AAAAAH//7/c=")</f>
        <v>#VALUE!</v>
      </c>
      <c r="IO158" t="e">
        <f>AND('STERLING CATALOG - DRY '!E3507,"AAAAAH//7/g=")</f>
        <v>#VALUE!</v>
      </c>
      <c r="IP158" t="e">
        <f>AND('STERLING CATALOG - DRY '!F3507,"AAAAAH//7/k=")</f>
        <v>#VALUE!</v>
      </c>
      <c r="IQ158" t="e">
        <f>AND('STERLING CATALOG - DRY '!G3507,"AAAAAH//7/o=")</f>
        <v>#VALUE!</v>
      </c>
      <c r="IR158" t="e">
        <f>AND('STERLING CATALOG - DRY '!H3507,"AAAAAH//7/s=")</f>
        <v>#VALUE!</v>
      </c>
      <c r="IS158" t="e">
        <f>AND('STERLING CATALOG - DRY '!I3507,"AAAAAH//7/w=")</f>
        <v>#VALUE!</v>
      </c>
      <c r="IT158" t="e">
        <f>AND('STERLING CATALOG - DRY '!J3507,"AAAAAH//7/0=")</f>
        <v>#VALUE!</v>
      </c>
      <c r="IU158">
        <f>IF('STERLING CATALOG - DRY '!3508:3508,"AAAAAH//7/4=",0)</f>
        <v>0</v>
      </c>
      <c r="IV158" t="e">
        <f>AND('STERLING CATALOG - DRY '!A3508,"AAAAAH//7/8=")</f>
        <v>#VALUE!</v>
      </c>
    </row>
    <row r="159" spans="1:256">
      <c r="A159" t="e">
        <f>AND('STERLING CATALOG - DRY '!B3508,"AAAAAHf59wA=")</f>
        <v>#VALUE!</v>
      </c>
      <c r="B159" t="e">
        <f>AND('STERLING CATALOG - DRY '!C3508,"AAAAAHf59wE=")</f>
        <v>#VALUE!</v>
      </c>
      <c r="C159" t="e">
        <f>AND('STERLING CATALOG - DRY '!D3508,"AAAAAHf59wI=")</f>
        <v>#VALUE!</v>
      </c>
      <c r="D159" t="e">
        <f>AND('STERLING CATALOG - DRY '!E3508,"AAAAAHf59wM=")</f>
        <v>#VALUE!</v>
      </c>
      <c r="E159" t="e">
        <f>AND('STERLING CATALOG - DRY '!F3508,"AAAAAHf59wQ=")</f>
        <v>#VALUE!</v>
      </c>
      <c r="F159" t="e">
        <f>AND('STERLING CATALOG - DRY '!G3508,"AAAAAHf59wU=")</f>
        <v>#VALUE!</v>
      </c>
      <c r="G159" t="e">
        <f>AND('STERLING CATALOG - DRY '!H3508,"AAAAAHf59wY=")</f>
        <v>#VALUE!</v>
      </c>
      <c r="H159" t="e">
        <f>AND('STERLING CATALOG - DRY '!I3508,"AAAAAHf59wc=")</f>
        <v>#VALUE!</v>
      </c>
      <c r="I159" t="e">
        <f>AND('STERLING CATALOG - DRY '!J3508,"AAAAAHf59wg=")</f>
        <v>#VALUE!</v>
      </c>
      <c r="J159" t="e">
        <f>IF('STERLING CATALOG - DRY '!3509:3509,"AAAAAHf59wk=",0)</f>
        <v>#VALUE!</v>
      </c>
      <c r="K159" t="e">
        <f>AND('STERLING CATALOG - DRY '!A3509,"AAAAAHf59wo=")</f>
        <v>#VALUE!</v>
      </c>
      <c r="L159" t="e">
        <f>AND('STERLING CATALOG - DRY '!B3509,"AAAAAHf59ws=")</f>
        <v>#VALUE!</v>
      </c>
      <c r="M159" t="e">
        <f>AND('STERLING CATALOG - DRY '!C3509,"AAAAAHf59ww=")</f>
        <v>#VALUE!</v>
      </c>
      <c r="N159" t="e">
        <f>AND('STERLING CATALOG - DRY '!D3509,"AAAAAHf59w0=")</f>
        <v>#VALUE!</v>
      </c>
      <c r="O159" t="e">
        <f>AND('STERLING CATALOG - DRY '!E3509,"AAAAAHf59w4=")</f>
        <v>#VALUE!</v>
      </c>
      <c r="P159" t="e">
        <f>AND('STERLING CATALOG - DRY '!F3509,"AAAAAHf59w8=")</f>
        <v>#VALUE!</v>
      </c>
      <c r="Q159" t="e">
        <f>AND('STERLING CATALOG - DRY '!G3509,"AAAAAHf59xA=")</f>
        <v>#VALUE!</v>
      </c>
      <c r="R159" t="e">
        <f>AND('STERLING CATALOG - DRY '!H3509,"AAAAAHf59xE=")</f>
        <v>#VALUE!</v>
      </c>
      <c r="S159" t="e">
        <f>AND('STERLING CATALOG - DRY '!I3509,"AAAAAHf59xI=")</f>
        <v>#VALUE!</v>
      </c>
      <c r="T159" t="e">
        <f>AND('STERLING CATALOG - DRY '!J3509,"AAAAAHf59xM=")</f>
        <v>#VALUE!</v>
      </c>
      <c r="U159">
        <f>IF('STERLING CATALOG - DRY '!3510:3510,"AAAAAHf59xQ=",0)</f>
        <v>0</v>
      </c>
      <c r="V159" t="e">
        <f>AND('STERLING CATALOG - DRY '!A3510,"AAAAAHf59xU=")</f>
        <v>#VALUE!</v>
      </c>
      <c r="W159" t="e">
        <f>AND('STERLING CATALOG - DRY '!B3510,"AAAAAHf59xY=")</f>
        <v>#VALUE!</v>
      </c>
      <c r="X159" t="e">
        <f>AND('STERLING CATALOG - DRY '!C3510,"AAAAAHf59xc=")</f>
        <v>#VALUE!</v>
      </c>
      <c r="Y159" t="e">
        <f>AND('STERLING CATALOG - DRY '!D3510,"AAAAAHf59xg=")</f>
        <v>#VALUE!</v>
      </c>
      <c r="Z159" t="e">
        <f>AND('STERLING CATALOG - DRY '!E3510,"AAAAAHf59xk=")</f>
        <v>#VALUE!</v>
      </c>
      <c r="AA159" t="e">
        <f>AND('STERLING CATALOG - DRY '!F3510,"AAAAAHf59xo=")</f>
        <v>#VALUE!</v>
      </c>
      <c r="AB159" t="e">
        <f>AND('STERLING CATALOG - DRY '!G3510,"AAAAAHf59xs=")</f>
        <v>#VALUE!</v>
      </c>
      <c r="AC159" t="e">
        <f>AND('STERLING CATALOG - DRY '!H3510,"AAAAAHf59xw=")</f>
        <v>#VALUE!</v>
      </c>
      <c r="AD159" t="e">
        <f>AND('STERLING CATALOG - DRY '!I3510,"AAAAAHf59x0=")</f>
        <v>#VALUE!</v>
      </c>
      <c r="AE159" t="e">
        <f>AND('STERLING CATALOG - DRY '!J3510,"AAAAAHf59x4=")</f>
        <v>#VALUE!</v>
      </c>
      <c r="AF159">
        <f>IF('STERLING CATALOG - DRY '!3511:3511,"AAAAAHf59x8=",0)</f>
        <v>0</v>
      </c>
      <c r="AG159" t="e">
        <f>AND('STERLING CATALOG - DRY '!A3511,"AAAAAHf59yA=")</f>
        <v>#VALUE!</v>
      </c>
      <c r="AH159" t="e">
        <f>AND('STERLING CATALOG - DRY '!B3511,"AAAAAHf59yE=")</f>
        <v>#VALUE!</v>
      </c>
      <c r="AI159" t="e">
        <f>AND('STERLING CATALOG - DRY '!C3511,"AAAAAHf59yI=")</f>
        <v>#VALUE!</v>
      </c>
      <c r="AJ159" t="e">
        <f>AND('STERLING CATALOG - DRY '!D3511,"AAAAAHf59yM=")</f>
        <v>#VALUE!</v>
      </c>
      <c r="AK159" t="e">
        <f>AND('STERLING CATALOG - DRY '!E3511,"AAAAAHf59yQ=")</f>
        <v>#VALUE!</v>
      </c>
      <c r="AL159" t="e">
        <f>AND('STERLING CATALOG - DRY '!F3511,"AAAAAHf59yU=")</f>
        <v>#VALUE!</v>
      </c>
      <c r="AM159" t="e">
        <f>AND('STERLING CATALOG - DRY '!G3511,"AAAAAHf59yY=")</f>
        <v>#VALUE!</v>
      </c>
      <c r="AN159" t="e">
        <f>AND('STERLING CATALOG - DRY '!H3511,"AAAAAHf59yc=")</f>
        <v>#VALUE!</v>
      </c>
      <c r="AO159" t="e">
        <f>AND('STERLING CATALOG - DRY '!I3511,"AAAAAHf59yg=")</f>
        <v>#VALUE!</v>
      </c>
      <c r="AP159" t="e">
        <f>AND('STERLING CATALOG - DRY '!J3511,"AAAAAHf59yk=")</f>
        <v>#VALUE!</v>
      </c>
      <c r="AQ159">
        <f>IF('STERLING CATALOG - DRY '!3512:3512,"AAAAAHf59yo=",0)</f>
        <v>0</v>
      </c>
      <c r="AR159" t="e">
        <f>AND('STERLING CATALOG - DRY '!A3512,"AAAAAHf59ys=")</f>
        <v>#VALUE!</v>
      </c>
      <c r="AS159" t="e">
        <f>AND('STERLING CATALOG - DRY '!B3512,"AAAAAHf59yw=")</f>
        <v>#VALUE!</v>
      </c>
      <c r="AT159" t="e">
        <f>AND('STERLING CATALOG - DRY '!C3512,"AAAAAHf59y0=")</f>
        <v>#VALUE!</v>
      </c>
      <c r="AU159" t="e">
        <f>AND('STERLING CATALOG - DRY '!D3512,"AAAAAHf59y4=")</f>
        <v>#VALUE!</v>
      </c>
      <c r="AV159" t="e">
        <f>AND('STERLING CATALOG - DRY '!E3512,"AAAAAHf59y8=")</f>
        <v>#VALUE!</v>
      </c>
      <c r="AW159" t="e">
        <f>AND('STERLING CATALOG - DRY '!F3512,"AAAAAHf59zA=")</f>
        <v>#VALUE!</v>
      </c>
      <c r="AX159" t="e">
        <f>AND('STERLING CATALOG - DRY '!G3512,"AAAAAHf59zE=")</f>
        <v>#VALUE!</v>
      </c>
      <c r="AY159" t="e">
        <f>AND('STERLING CATALOG - DRY '!H3512,"AAAAAHf59zI=")</f>
        <v>#VALUE!</v>
      </c>
      <c r="AZ159" t="e">
        <f>AND('STERLING CATALOG - DRY '!I3512,"AAAAAHf59zM=")</f>
        <v>#VALUE!</v>
      </c>
      <c r="BA159" t="e">
        <f>AND('STERLING CATALOG - DRY '!J3512,"AAAAAHf59zQ=")</f>
        <v>#VALUE!</v>
      </c>
      <c r="BB159">
        <f>IF('STERLING CATALOG - DRY '!3513:3513,"AAAAAHf59zU=",0)</f>
        <v>0</v>
      </c>
      <c r="BC159" t="e">
        <f>AND('STERLING CATALOG - DRY '!A3513,"AAAAAHf59zY=")</f>
        <v>#VALUE!</v>
      </c>
      <c r="BD159" t="e">
        <f>AND('STERLING CATALOG - DRY '!B3513,"AAAAAHf59zc=")</f>
        <v>#VALUE!</v>
      </c>
      <c r="BE159" t="e">
        <f>AND('STERLING CATALOG - DRY '!C3513,"AAAAAHf59zg=")</f>
        <v>#VALUE!</v>
      </c>
      <c r="BF159" t="e">
        <f>AND('STERLING CATALOG - DRY '!D3513,"AAAAAHf59zk=")</f>
        <v>#VALUE!</v>
      </c>
      <c r="BG159" t="e">
        <f>AND('STERLING CATALOG - DRY '!E3513,"AAAAAHf59zo=")</f>
        <v>#VALUE!</v>
      </c>
      <c r="BH159" t="e">
        <f>AND('STERLING CATALOG - DRY '!F3513,"AAAAAHf59zs=")</f>
        <v>#VALUE!</v>
      </c>
      <c r="BI159" t="e">
        <f>AND('STERLING CATALOG - DRY '!G3513,"AAAAAHf59zw=")</f>
        <v>#VALUE!</v>
      </c>
      <c r="BJ159" t="e">
        <f>AND('STERLING CATALOG - DRY '!H3513,"AAAAAHf59z0=")</f>
        <v>#VALUE!</v>
      </c>
      <c r="BK159" t="e">
        <f>AND('STERLING CATALOG - DRY '!I3513,"AAAAAHf59z4=")</f>
        <v>#VALUE!</v>
      </c>
      <c r="BL159" t="e">
        <f>AND('STERLING CATALOG - DRY '!J3513,"AAAAAHf59z8=")</f>
        <v>#VALUE!</v>
      </c>
      <c r="BM159">
        <f>IF('STERLING CATALOG - DRY '!3514:3514,"AAAAAHf590A=",0)</f>
        <v>0</v>
      </c>
      <c r="BN159" t="e">
        <f>AND('STERLING CATALOG - DRY '!A3514,"AAAAAHf590E=")</f>
        <v>#VALUE!</v>
      </c>
      <c r="BO159" t="e">
        <f>AND('STERLING CATALOG - DRY '!B3514,"AAAAAHf590I=")</f>
        <v>#VALUE!</v>
      </c>
      <c r="BP159" t="e">
        <f>AND('STERLING CATALOG - DRY '!C3514,"AAAAAHf590M=")</f>
        <v>#VALUE!</v>
      </c>
      <c r="BQ159" t="e">
        <f>AND('STERLING CATALOG - DRY '!D3514,"AAAAAHf590Q=")</f>
        <v>#VALUE!</v>
      </c>
      <c r="BR159" t="e">
        <f>AND('STERLING CATALOG - DRY '!E3514,"AAAAAHf590U=")</f>
        <v>#VALUE!</v>
      </c>
      <c r="BS159" t="e">
        <f>AND('STERLING CATALOG - DRY '!F3514,"AAAAAHf590Y=")</f>
        <v>#VALUE!</v>
      </c>
      <c r="BT159" t="e">
        <f>AND('STERLING CATALOG - DRY '!G3514,"AAAAAHf590c=")</f>
        <v>#VALUE!</v>
      </c>
      <c r="BU159" t="e">
        <f>AND('STERLING CATALOG - DRY '!H3514,"AAAAAHf590g=")</f>
        <v>#VALUE!</v>
      </c>
      <c r="BV159" t="e">
        <f>AND('STERLING CATALOG - DRY '!I3514,"AAAAAHf590k=")</f>
        <v>#VALUE!</v>
      </c>
      <c r="BW159" t="e">
        <f>AND('STERLING CATALOG - DRY '!J3514,"AAAAAHf590o=")</f>
        <v>#VALUE!</v>
      </c>
      <c r="BX159">
        <f>IF('STERLING CATALOG - DRY '!3515:3515,"AAAAAHf590s=",0)</f>
        <v>0</v>
      </c>
      <c r="BY159" t="e">
        <f>AND('STERLING CATALOG - DRY '!A3515,"AAAAAHf590w=")</f>
        <v>#VALUE!</v>
      </c>
      <c r="BZ159" t="e">
        <f>AND('STERLING CATALOG - DRY '!B3515,"AAAAAHf5900=")</f>
        <v>#VALUE!</v>
      </c>
      <c r="CA159" t="e">
        <f>AND('STERLING CATALOG - DRY '!C3515,"AAAAAHf5904=")</f>
        <v>#VALUE!</v>
      </c>
      <c r="CB159" t="e">
        <f>AND('STERLING CATALOG - DRY '!D3515,"AAAAAHf5908=")</f>
        <v>#VALUE!</v>
      </c>
      <c r="CC159" t="e">
        <f>AND('STERLING CATALOG - DRY '!E3515,"AAAAAHf591A=")</f>
        <v>#VALUE!</v>
      </c>
      <c r="CD159" t="e">
        <f>AND('STERLING CATALOG - DRY '!F3515,"AAAAAHf591E=")</f>
        <v>#VALUE!</v>
      </c>
      <c r="CE159" t="e">
        <f>AND('STERLING CATALOG - DRY '!G3515,"AAAAAHf591I=")</f>
        <v>#VALUE!</v>
      </c>
      <c r="CF159" t="e">
        <f>AND('STERLING CATALOG - DRY '!H3515,"AAAAAHf591M=")</f>
        <v>#VALUE!</v>
      </c>
      <c r="CG159" t="e">
        <f>AND('STERLING CATALOG - DRY '!I3515,"AAAAAHf591Q=")</f>
        <v>#VALUE!</v>
      </c>
      <c r="CH159" t="e">
        <f>AND('STERLING CATALOG - DRY '!J3515,"AAAAAHf591U=")</f>
        <v>#VALUE!</v>
      </c>
      <c r="CI159">
        <f>IF('STERLING CATALOG - DRY '!3516:3516,"AAAAAHf591Y=",0)</f>
        <v>0</v>
      </c>
      <c r="CJ159" t="e">
        <f>AND('STERLING CATALOG - DRY '!A3516,"AAAAAHf591c=")</f>
        <v>#VALUE!</v>
      </c>
      <c r="CK159" t="e">
        <f>AND('STERLING CATALOG - DRY '!B3516,"AAAAAHf591g=")</f>
        <v>#VALUE!</v>
      </c>
      <c r="CL159" t="e">
        <f>AND('STERLING CATALOG - DRY '!C3516,"AAAAAHf591k=")</f>
        <v>#VALUE!</v>
      </c>
      <c r="CM159" t="e">
        <f>AND('STERLING CATALOG - DRY '!D3516,"AAAAAHf591o=")</f>
        <v>#VALUE!</v>
      </c>
      <c r="CN159" t="e">
        <f>AND('STERLING CATALOG - DRY '!E3516,"AAAAAHf591s=")</f>
        <v>#VALUE!</v>
      </c>
      <c r="CO159" t="e">
        <f>AND('STERLING CATALOG - DRY '!F3516,"AAAAAHf591w=")</f>
        <v>#VALUE!</v>
      </c>
      <c r="CP159" t="e">
        <f>AND('STERLING CATALOG - DRY '!G3516,"AAAAAHf5910=")</f>
        <v>#VALUE!</v>
      </c>
      <c r="CQ159" t="e">
        <f>AND('STERLING CATALOG - DRY '!H3516,"AAAAAHf5914=")</f>
        <v>#VALUE!</v>
      </c>
      <c r="CR159" t="e">
        <f>AND('STERLING CATALOG - DRY '!I3516,"AAAAAHf5918=")</f>
        <v>#VALUE!</v>
      </c>
      <c r="CS159" t="e">
        <f>AND('STERLING CATALOG - DRY '!J3516,"AAAAAHf592A=")</f>
        <v>#VALUE!</v>
      </c>
      <c r="CT159">
        <f>IF('STERLING CATALOG - DRY '!3517:3517,"AAAAAHf592E=",0)</f>
        <v>0</v>
      </c>
      <c r="CU159" t="e">
        <f>AND('STERLING CATALOG - DRY '!A3517,"AAAAAHf592I=")</f>
        <v>#VALUE!</v>
      </c>
      <c r="CV159" t="e">
        <f>AND('STERLING CATALOG - DRY '!B3517,"AAAAAHf592M=")</f>
        <v>#VALUE!</v>
      </c>
      <c r="CW159" t="e">
        <f>AND('STERLING CATALOG - DRY '!C3517,"AAAAAHf592Q=")</f>
        <v>#VALUE!</v>
      </c>
      <c r="CX159" t="e">
        <f>AND('STERLING CATALOG - DRY '!D3517,"AAAAAHf592U=")</f>
        <v>#VALUE!</v>
      </c>
      <c r="CY159" t="e">
        <f>AND('STERLING CATALOG - DRY '!E3517,"AAAAAHf592Y=")</f>
        <v>#VALUE!</v>
      </c>
      <c r="CZ159" t="e">
        <f>AND('STERLING CATALOG - DRY '!F3517,"AAAAAHf592c=")</f>
        <v>#VALUE!</v>
      </c>
      <c r="DA159" t="e">
        <f>AND('STERLING CATALOG - DRY '!G3517,"AAAAAHf592g=")</f>
        <v>#VALUE!</v>
      </c>
      <c r="DB159" t="e">
        <f>AND('STERLING CATALOG - DRY '!H3517,"AAAAAHf592k=")</f>
        <v>#VALUE!</v>
      </c>
      <c r="DC159" t="e">
        <f>AND('STERLING CATALOG - DRY '!I3517,"AAAAAHf592o=")</f>
        <v>#VALUE!</v>
      </c>
      <c r="DD159" t="e">
        <f>AND('STERLING CATALOG - DRY '!J3517,"AAAAAHf592s=")</f>
        <v>#VALUE!</v>
      </c>
      <c r="DE159">
        <f>IF('STERLING CATALOG - DRY '!3518:3518,"AAAAAHf592w=",0)</f>
        <v>0</v>
      </c>
      <c r="DF159" t="e">
        <f>AND('STERLING CATALOG - DRY '!A3518,"AAAAAHf5920=")</f>
        <v>#VALUE!</v>
      </c>
      <c r="DG159" t="e">
        <f>AND('STERLING CATALOG - DRY '!B3518,"AAAAAHf5924=")</f>
        <v>#VALUE!</v>
      </c>
      <c r="DH159" t="e">
        <f>AND('STERLING CATALOG - DRY '!C3518,"AAAAAHf5928=")</f>
        <v>#VALUE!</v>
      </c>
      <c r="DI159" t="e">
        <f>AND('STERLING CATALOG - DRY '!D3518,"AAAAAHf593A=")</f>
        <v>#VALUE!</v>
      </c>
      <c r="DJ159" t="e">
        <f>AND('STERLING CATALOG - DRY '!E3518,"AAAAAHf593E=")</f>
        <v>#VALUE!</v>
      </c>
      <c r="DK159" t="e">
        <f>AND('STERLING CATALOG - DRY '!F3518,"AAAAAHf593I=")</f>
        <v>#VALUE!</v>
      </c>
      <c r="DL159" t="e">
        <f>AND('STERLING CATALOG - DRY '!G3518,"AAAAAHf593M=")</f>
        <v>#VALUE!</v>
      </c>
      <c r="DM159" t="e">
        <f>AND('STERLING CATALOG - DRY '!H3518,"AAAAAHf593Q=")</f>
        <v>#VALUE!</v>
      </c>
      <c r="DN159" t="e">
        <f>AND('STERLING CATALOG - DRY '!I3518,"AAAAAHf593U=")</f>
        <v>#VALUE!</v>
      </c>
      <c r="DO159" t="e">
        <f>AND('STERLING CATALOG - DRY '!J3518,"AAAAAHf593Y=")</f>
        <v>#VALUE!</v>
      </c>
      <c r="DP159">
        <f>IF('STERLING CATALOG - DRY '!3519:3519,"AAAAAHf593c=",0)</f>
        <v>0</v>
      </c>
      <c r="DQ159" t="e">
        <f>AND('STERLING CATALOG - DRY '!A3519,"AAAAAHf593g=")</f>
        <v>#VALUE!</v>
      </c>
      <c r="DR159" t="e">
        <f>AND('STERLING CATALOG - DRY '!B3519,"AAAAAHf593k=")</f>
        <v>#VALUE!</v>
      </c>
      <c r="DS159" t="e">
        <f>AND('STERLING CATALOG - DRY '!C3519,"AAAAAHf593o=")</f>
        <v>#VALUE!</v>
      </c>
      <c r="DT159" t="e">
        <f>AND('STERLING CATALOG - DRY '!D3519,"AAAAAHf593s=")</f>
        <v>#VALUE!</v>
      </c>
      <c r="DU159" t="e">
        <f>AND('STERLING CATALOG - DRY '!E3519,"AAAAAHf593w=")</f>
        <v>#VALUE!</v>
      </c>
      <c r="DV159" t="e">
        <f>AND('STERLING CATALOG - DRY '!F3519,"AAAAAHf5930=")</f>
        <v>#VALUE!</v>
      </c>
      <c r="DW159" t="e">
        <f>AND('STERLING CATALOG - DRY '!G3519,"AAAAAHf5934=")</f>
        <v>#VALUE!</v>
      </c>
      <c r="DX159" t="e">
        <f>AND('STERLING CATALOG - DRY '!H3519,"AAAAAHf5938=")</f>
        <v>#VALUE!</v>
      </c>
      <c r="DY159" t="e">
        <f>AND('STERLING CATALOG - DRY '!I3519,"AAAAAHf594A=")</f>
        <v>#VALUE!</v>
      </c>
      <c r="DZ159" t="e">
        <f>AND('STERLING CATALOG - DRY '!J3519,"AAAAAHf594E=")</f>
        <v>#VALUE!</v>
      </c>
      <c r="EA159">
        <f>IF('STERLING CATALOG - DRY '!3520:3520,"AAAAAHf594I=",0)</f>
        <v>0</v>
      </c>
      <c r="EB159" t="e">
        <f>AND('STERLING CATALOG - DRY '!A3520,"AAAAAHf594M=")</f>
        <v>#VALUE!</v>
      </c>
      <c r="EC159" t="e">
        <f>AND('STERLING CATALOG - DRY '!B3520,"AAAAAHf594Q=")</f>
        <v>#VALUE!</v>
      </c>
      <c r="ED159" t="e">
        <f>AND('STERLING CATALOG - DRY '!C3520,"AAAAAHf594U=")</f>
        <v>#VALUE!</v>
      </c>
      <c r="EE159" t="e">
        <f>AND('STERLING CATALOG - DRY '!D3520,"AAAAAHf594Y=")</f>
        <v>#VALUE!</v>
      </c>
      <c r="EF159" t="e">
        <f>AND('STERLING CATALOG - DRY '!E3520,"AAAAAHf594c=")</f>
        <v>#VALUE!</v>
      </c>
      <c r="EG159" t="e">
        <f>AND('STERLING CATALOG - DRY '!F3520,"AAAAAHf594g=")</f>
        <v>#VALUE!</v>
      </c>
      <c r="EH159" t="e">
        <f>AND('STERLING CATALOG - DRY '!G3520,"AAAAAHf594k=")</f>
        <v>#VALUE!</v>
      </c>
      <c r="EI159" t="e">
        <f>AND('STERLING CATALOG - DRY '!H3520,"AAAAAHf594o=")</f>
        <v>#VALUE!</v>
      </c>
      <c r="EJ159" t="e">
        <f>AND('STERLING CATALOG - DRY '!I3520,"AAAAAHf594s=")</f>
        <v>#VALUE!</v>
      </c>
      <c r="EK159" t="e">
        <f>AND('STERLING CATALOG - DRY '!J3520,"AAAAAHf594w=")</f>
        <v>#VALUE!</v>
      </c>
      <c r="EL159">
        <f>IF('STERLING CATALOG - DRY '!3521:3521,"AAAAAHf5940=",0)</f>
        <v>0</v>
      </c>
      <c r="EM159" t="e">
        <f>AND('STERLING CATALOG - DRY '!A3521,"AAAAAHf5944=")</f>
        <v>#VALUE!</v>
      </c>
      <c r="EN159" t="e">
        <f>AND('STERLING CATALOG - DRY '!B3521,"AAAAAHf5948=")</f>
        <v>#VALUE!</v>
      </c>
      <c r="EO159" t="e">
        <f>AND('STERLING CATALOG - DRY '!C3521,"AAAAAHf595A=")</f>
        <v>#VALUE!</v>
      </c>
      <c r="EP159" t="e">
        <f>AND('STERLING CATALOG - DRY '!D3521,"AAAAAHf595E=")</f>
        <v>#VALUE!</v>
      </c>
      <c r="EQ159" t="e">
        <f>AND('STERLING CATALOG - DRY '!E3521,"AAAAAHf595I=")</f>
        <v>#VALUE!</v>
      </c>
      <c r="ER159" t="e">
        <f>AND('STERLING CATALOG - DRY '!F3521,"AAAAAHf595M=")</f>
        <v>#VALUE!</v>
      </c>
      <c r="ES159" t="e">
        <f>AND('STERLING CATALOG - DRY '!G3521,"AAAAAHf595Q=")</f>
        <v>#VALUE!</v>
      </c>
      <c r="ET159" t="e">
        <f>AND('STERLING CATALOG - DRY '!H3521,"AAAAAHf595U=")</f>
        <v>#VALUE!</v>
      </c>
      <c r="EU159" t="e">
        <f>AND('STERLING CATALOG - DRY '!I3521,"AAAAAHf595Y=")</f>
        <v>#VALUE!</v>
      </c>
      <c r="EV159" t="e">
        <f>AND('STERLING CATALOG - DRY '!J3521,"AAAAAHf595c=")</f>
        <v>#VALUE!</v>
      </c>
      <c r="EW159">
        <f>IF('STERLING CATALOG - DRY '!3522:3522,"AAAAAHf595g=",0)</f>
        <v>0</v>
      </c>
      <c r="EX159" t="e">
        <f>AND('STERLING CATALOG - DRY '!A3522,"AAAAAHf595k=")</f>
        <v>#VALUE!</v>
      </c>
      <c r="EY159" t="e">
        <f>AND('STERLING CATALOG - DRY '!B3522,"AAAAAHf595o=")</f>
        <v>#VALUE!</v>
      </c>
      <c r="EZ159" t="e">
        <f>AND('STERLING CATALOG - DRY '!C3522,"AAAAAHf595s=")</f>
        <v>#VALUE!</v>
      </c>
      <c r="FA159" t="e">
        <f>AND('STERLING CATALOG - DRY '!D3522,"AAAAAHf595w=")</f>
        <v>#VALUE!</v>
      </c>
      <c r="FB159" t="e">
        <f>AND('STERLING CATALOG - DRY '!E3522,"AAAAAHf5950=")</f>
        <v>#VALUE!</v>
      </c>
      <c r="FC159" t="e">
        <f>AND('STERLING CATALOG - DRY '!F3522,"AAAAAHf5954=")</f>
        <v>#VALUE!</v>
      </c>
      <c r="FD159" t="e">
        <f>AND('STERLING CATALOG - DRY '!G3522,"AAAAAHf5958=")</f>
        <v>#VALUE!</v>
      </c>
      <c r="FE159" t="e">
        <f>AND('STERLING CATALOG - DRY '!H3522,"AAAAAHf596A=")</f>
        <v>#VALUE!</v>
      </c>
      <c r="FF159" t="e">
        <f>AND('STERLING CATALOG - DRY '!I3522,"AAAAAHf596E=")</f>
        <v>#VALUE!</v>
      </c>
      <c r="FG159" t="e">
        <f>AND('STERLING CATALOG - DRY '!J3522,"AAAAAHf596I=")</f>
        <v>#VALUE!</v>
      </c>
      <c r="FH159">
        <f>IF('STERLING CATALOG - DRY '!3523:3523,"AAAAAHf596M=",0)</f>
        <v>0</v>
      </c>
      <c r="FI159" t="e">
        <f>AND('STERLING CATALOG - DRY '!A3523,"AAAAAHf596Q=")</f>
        <v>#VALUE!</v>
      </c>
      <c r="FJ159" t="e">
        <f>AND('STERLING CATALOG - DRY '!B3523,"AAAAAHf596U=")</f>
        <v>#VALUE!</v>
      </c>
      <c r="FK159" t="e">
        <f>AND('STERLING CATALOG - DRY '!C3523,"AAAAAHf596Y=")</f>
        <v>#VALUE!</v>
      </c>
      <c r="FL159" t="e">
        <f>AND('STERLING CATALOG - DRY '!D3523,"AAAAAHf596c=")</f>
        <v>#VALUE!</v>
      </c>
      <c r="FM159" t="e">
        <f>AND('STERLING CATALOG - DRY '!E3523,"AAAAAHf596g=")</f>
        <v>#VALUE!</v>
      </c>
      <c r="FN159" t="e">
        <f>AND('STERLING CATALOG - DRY '!F3523,"AAAAAHf596k=")</f>
        <v>#VALUE!</v>
      </c>
      <c r="FO159" t="e">
        <f>AND('STERLING CATALOG - DRY '!G3523,"AAAAAHf596o=")</f>
        <v>#VALUE!</v>
      </c>
      <c r="FP159" t="e">
        <f>AND('STERLING CATALOG - DRY '!H3523,"AAAAAHf596s=")</f>
        <v>#VALUE!</v>
      </c>
      <c r="FQ159" t="e">
        <f>AND('STERLING CATALOG - DRY '!I3523,"AAAAAHf596w=")</f>
        <v>#VALUE!</v>
      </c>
      <c r="FR159" t="e">
        <f>AND('STERLING CATALOG - DRY '!J3523,"AAAAAHf5960=")</f>
        <v>#VALUE!</v>
      </c>
      <c r="FS159">
        <f>IF('STERLING CATALOG - DRY '!3524:3524,"AAAAAHf5964=",0)</f>
        <v>0</v>
      </c>
      <c r="FT159" t="e">
        <f>AND('STERLING CATALOG - DRY '!A3524,"AAAAAHf5968=")</f>
        <v>#VALUE!</v>
      </c>
      <c r="FU159" t="e">
        <f>AND('STERLING CATALOG - DRY '!B3524,"AAAAAHf597A=")</f>
        <v>#VALUE!</v>
      </c>
      <c r="FV159" t="e">
        <f>AND('STERLING CATALOG - DRY '!C3524,"AAAAAHf597E=")</f>
        <v>#VALUE!</v>
      </c>
      <c r="FW159" t="e">
        <f>AND('STERLING CATALOG - DRY '!D3524,"AAAAAHf597I=")</f>
        <v>#VALUE!</v>
      </c>
      <c r="FX159" t="e">
        <f>AND('STERLING CATALOG - DRY '!E3524,"AAAAAHf597M=")</f>
        <v>#VALUE!</v>
      </c>
      <c r="FY159" t="e">
        <f>AND('STERLING CATALOG - DRY '!F3524,"AAAAAHf597Q=")</f>
        <v>#VALUE!</v>
      </c>
      <c r="FZ159" t="e">
        <f>AND('STERLING CATALOG - DRY '!G3524,"AAAAAHf597U=")</f>
        <v>#VALUE!</v>
      </c>
      <c r="GA159" t="e">
        <f>AND('STERLING CATALOG - DRY '!H3524,"AAAAAHf597Y=")</f>
        <v>#VALUE!</v>
      </c>
      <c r="GB159" t="e">
        <f>AND('STERLING CATALOG - DRY '!I3524,"AAAAAHf597c=")</f>
        <v>#VALUE!</v>
      </c>
      <c r="GC159" t="e">
        <f>AND('STERLING CATALOG - DRY '!J3524,"AAAAAHf597g=")</f>
        <v>#VALUE!</v>
      </c>
      <c r="GD159">
        <f>IF('STERLING CATALOG - DRY '!3525:3525,"AAAAAHf597k=",0)</f>
        <v>0</v>
      </c>
      <c r="GE159" t="e">
        <f>AND('STERLING CATALOG - DRY '!A3525,"AAAAAHf597o=")</f>
        <v>#VALUE!</v>
      </c>
      <c r="GF159" t="e">
        <f>AND('STERLING CATALOG - DRY '!B3525,"AAAAAHf597s=")</f>
        <v>#VALUE!</v>
      </c>
      <c r="GG159" t="e">
        <f>AND('STERLING CATALOG - DRY '!C3525,"AAAAAHf597w=")</f>
        <v>#VALUE!</v>
      </c>
      <c r="GH159" t="e">
        <f>AND('STERLING CATALOG - DRY '!D3525,"AAAAAHf5970=")</f>
        <v>#VALUE!</v>
      </c>
      <c r="GI159" t="e">
        <f>AND('STERLING CATALOG - DRY '!E3525,"AAAAAHf5974=")</f>
        <v>#VALUE!</v>
      </c>
      <c r="GJ159" t="e">
        <f>AND('STERLING CATALOG - DRY '!F3525,"AAAAAHf5978=")</f>
        <v>#VALUE!</v>
      </c>
      <c r="GK159" t="e">
        <f>AND('STERLING CATALOG - DRY '!G3525,"AAAAAHf598A=")</f>
        <v>#VALUE!</v>
      </c>
      <c r="GL159" t="e">
        <f>AND('STERLING CATALOG - DRY '!H3525,"AAAAAHf598E=")</f>
        <v>#VALUE!</v>
      </c>
      <c r="GM159" t="e">
        <f>AND('STERLING CATALOG - DRY '!I3525,"AAAAAHf598I=")</f>
        <v>#VALUE!</v>
      </c>
      <c r="GN159" t="e">
        <f>AND('STERLING CATALOG - DRY '!J3525,"AAAAAHf598M=")</f>
        <v>#VALUE!</v>
      </c>
      <c r="GO159">
        <f>IF('STERLING CATALOG - DRY '!3526:3526,"AAAAAHf598Q=",0)</f>
        <v>0</v>
      </c>
      <c r="GP159" t="e">
        <f>AND('STERLING CATALOG - DRY '!A3526,"AAAAAHf598U=")</f>
        <v>#VALUE!</v>
      </c>
      <c r="GQ159" t="e">
        <f>AND('STERLING CATALOG - DRY '!B3526,"AAAAAHf598Y=")</f>
        <v>#VALUE!</v>
      </c>
      <c r="GR159" t="e">
        <f>AND('STERLING CATALOG - DRY '!C3526,"AAAAAHf598c=")</f>
        <v>#VALUE!</v>
      </c>
      <c r="GS159" t="e">
        <f>AND('STERLING CATALOG - DRY '!D3526,"AAAAAHf598g=")</f>
        <v>#VALUE!</v>
      </c>
      <c r="GT159" t="e">
        <f>AND('STERLING CATALOG - DRY '!E3526,"AAAAAHf598k=")</f>
        <v>#VALUE!</v>
      </c>
      <c r="GU159" t="e">
        <f>AND('STERLING CATALOG - DRY '!F3526,"AAAAAHf598o=")</f>
        <v>#VALUE!</v>
      </c>
      <c r="GV159" t="e">
        <f>AND('STERLING CATALOG - DRY '!G3526,"AAAAAHf598s=")</f>
        <v>#VALUE!</v>
      </c>
      <c r="GW159" t="e">
        <f>AND('STERLING CATALOG - DRY '!H3526,"AAAAAHf598w=")</f>
        <v>#VALUE!</v>
      </c>
      <c r="GX159" t="e">
        <f>AND('STERLING CATALOG - DRY '!I3526,"AAAAAHf5980=")</f>
        <v>#VALUE!</v>
      </c>
      <c r="GY159" t="e">
        <f>AND('STERLING CATALOG - DRY '!J3526,"AAAAAHf5984=")</f>
        <v>#VALUE!</v>
      </c>
      <c r="GZ159">
        <f>IF('STERLING CATALOG - DRY '!3527:3527,"AAAAAHf5988=",0)</f>
        <v>0</v>
      </c>
      <c r="HA159" t="e">
        <f>AND('STERLING CATALOG - DRY '!A3527,"AAAAAHf599A=")</f>
        <v>#VALUE!</v>
      </c>
      <c r="HB159" t="e">
        <f>AND('STERLING CATALOG - DRY '!B3527,"AAAAAHf599E=")</f>
        <v>#VALUE!</v>
      </c>
      <c r="HC159" t="e">
        <f>AND('STERLING CATALOG - DRY '!C3527,"AAAAAHf599I=")</f>
        <v>#VALUE!</v>
      </c>
      <c r="HD159" t="e">
        <f>AND('STERLING CATALOG - DRY '!D3527,"AAAAAHf599M=")</f>
        <v>#VALUE!</v>
      </c>
      <c r="HE159" t="e">
        <f>AND('STERLING CATALOG - DRY '!E3527,"AAAAAHf599Q=")</f>
        <v>#VALUE!</v>
      </c>
      <c r="HF159" t="e">
        <f>AND('STERLING CATALOG - DRY '!F3527,"AAAAAHf599U=")</f>
        <v>#VALUE!</v>
      </c>
      <c r="HG159" t="e">
        <f>AND('STERLING CATALOG - DRY '!G3527,"AAAAAHf599Y=")</f>
        <v>#VALUE!</v>
      </c>
      <c r="HH159" t="e">
        <f>AND('STERLING CATALOG - DRY '!H3527,"AAAAAHf599c=")</f>
        <v>#VALUE!</v>
      </c>
      <c r="HI159" t="e">
        <f>AND('STERLING CATALOG - DRY '!I3527,"AAAAAHf599g=")</f>
        <v>#VALUE!</v>
      </c>
      <c r="HJ159" t="e">
        <f>AND('STERLING CATALOG - DRY '!J3527,"AAAAAHf599k=")</f>
        <v>#VALUE!</v>
      </c>
      <c r="HK159">
        <f>IF('STERLING CATALOG - DRY '!3528:3528,"AAAAAHf599o=",0)</f>
        <v>0</v>
      </c>
      <c r="HL159" t="e">
        <f>AND('STERLING CATALOG - DRY '!A3528,"AAAAAHf599s=")</f>
        <v>#VALUE!</v>
      </c>
      <c r="HM159" t="e">
        <f>AND('STERLING CATALOG - DRY '!B3528,"AAAAAHf599w=")</f>
        <v>#VALUE!</v>
      </c>
      <c r="HN159" t="e">
        <f>AND('STERLING CATALOG - DRY '!C3528,"AAAAAHf5990=")</f>
        <v>#VALUE!</v>
      </c>
      <c r="HO159" t="e">
        <f>AND('STERLING CATALOG - DRY '!D3528,"AAAAAHf5994=")</f>
        <v>#VALUE!</v>
      </c>
      <c r="HP159" t="e">
        <f>AND('STERLING CATALOG - DRY '!E3528,"AAAAAHf5998=")</f>
        <v>#VALUE!</v>
      </c>
      <c r="HQ159" t="e">
        <f>AND('STERLING CATALOG - DRY '!F3528,"AAAAAHf59+A=")</f>
        <v>#VALUE!</v>
      </c>
      <c r="HR159" t="e">
        <f>AND('STERLING CATALOG - DRY '!G3528,"AAAAAHf59+E=")</f>
        <v>#VALUE!</v>
      </c>
      <c r="HS159" t="e">
        <f>AND('STERLING CATALOG - DRY '!H3528,"AAAAAHf59+I=")</f>
        <v>#VALUE!</v>
      </c>
      <c r="HT159" t="e">
        <f>AND('STERLING CATALOG - DRY '!I3528,"AAAAAHf59+M=")</f>
        <v>#VALUE!</v>
      </c>
      <c r="HU159" t="e">
        <f>AND('STERLING CATALOG - DRY '!J3528,"AAAAAHf59+Q=")</f>
        <v>#VALUE!</v>
      </c>
      <c r="HV159">
        <f>IF('STERLING CATALOG - DRY '!3529:3529,"AAAAAHf59+U=",0)</f>
        <v>0</v>
      </c>
      <c r="HW159" t="e">
        <f>AND('STERLING CATALOG - DRY '!A3529,"AAAAAHf59+Y=")</f>
        <v>#VALUE!</v>
      </c>
      <c r="HX159" t="e">
        <f>AND('STERLING CATALOG - DRY '!B3529,"AAAAAHf59+c=")</f>
        <v>#VALUE!</v>
      </c>
      <c r="HY159" t="e">
        <f>AND('STERLING CATALOG - DRY '!C3529,"AAAAAHf59+g=")</f>
        <v>#VALUE!</v>
      </c>
      <c r="HZ159" t="e">
        <f>AND('STERLING CATALOG - DRY '!D3529,"AAAAAHf59+k=")</f>
        <v>#VALUE!</v>
      </c>
      <c r="IA159" t="e">
        <f>AND('STERLING CATALOG - DRY '!E3529,"AAAAAHf59+o=")</f>
        <v>#VALUE!</v>
      </c>
      <c r="IB159" t="e">
        <f>AND('STERLING CATALOG - DRY '!F3529,"AAAAAHf59+s=")</f>
        <v>#VALUE!</v>
      </c>
      <c r="IC159" t="e">
        <f>AND('STERLING CATALOG - DRY '!G3529,"AAAAAHf59+w=")</f>
        <v>#VALUE!</v>
      </c>
      <c r="ID159" t="e">
        <f>AND('STERLING CATALOG - DRY '!H3529,"AAAAAHf59+0=")</f>
        <v>#VALUE!</v>
      </c>
      <c r="IE159" t="e">
        <f>AND('STERLING CATALOG - DRY '!I3529,"AAAAAHf59+4=")</f>
        <v>#VALUE!</v>
      </c>
      <c r="IF159" t="e">
        <f>AND('STERLING CATALOG - DRY '!J3529,"AAAAAHf59+8=")</f>
        <v>#VALUE!</v>
      </c>
      <c r="IG159">
        <f>IF('STERLING CATALOG - DRY '!3530:3530,"AAAAAHf59/A=",0)</f>
        <v>0</v>
      </c>
      <c r="IH159" t="e">
        <f>AND('STERLING CATALOG - DRY '!A3530,"AAAAAHf59/E=")</f>
        <v>#VALUE!</v>
      </c>
      <c r="II159" t="e">
        <f>AND('STERLING CATALOG - DRY '!B3530,"AAAAAHf59/I=")</f>
        <v>#VALUE!</v>
      </c>
      <c r="IJ159" t="e">
        <f>AND('STERLING CATALOG - DRY '!C3530,"AAAAAHf59/M=")</f>
        <v>#VALUE!</v>
      </c>
      <c r="IK159" t="e">
        <f>AND('STERLING CATALOG - DRY '!D3530,"AAAAAHf59/Q=")</f>
        <v>#VALUE!</v>
      </c>
      <c r="IL159" t="e">
        <f>AND('STERLING CATALOG - DRY '!E3530,"AAAAAHf59/U=")</f>
        <v>#VALUE!</v>
      </c>
      <c r="IM159" t="e">
        <f>AND('STERLING CATALOG - DRY '!F3530,"AAAAAHf59/Y=")</f>
        <v>#VALUE!</v>
      </c>
      <c r="IN159" t="e">
        <f>AND('STERLING CATALOG - DRY '!G3530,"AAAAAHf59/c=")</f>
        <v>#VALUE!</v>
      </c>
      <c r="IO159" t="e">
        <f>AND('STERLING CATALOG - DRY '!H3530,"AAAAAHf59/g=")</f>
        <v>#VALUE!</v>
      </c>
      <c r="IP159" t="e">
        <f>AND('STERLING CATALOG - DRY '!I3530,"AAAAAHf59/k=")</f>
        <v>#VALUE!</v>
      </c>
      <c r="IQ159" t="e">
        <f>AND('STERLING CATALOG - DRY '!J3530,"AAAAAHf59/o=")</f>
        <v>#VALUE!</v>
      </c>
      <c r="IR159">
        <f>IF('STERLING CATALOG - DRY '!3531:3531,"AAAAAHf59/s=",0)</f>
        <v>0</v>
      </c>
      <c r="IS159" t="e">
        <f>AND('STERLING CATALOG - DRY '!A3531,"AAAAAHf59/w=")</f>
        <v>#VALUE!</v>
      </c>
      <c r="IT159" t="e">
        <f>AND('STERLING CATALOG - DRY '!B3531,"AAAAAHf59/0=")</f>
        <v>#VALUE!</v>
      </c>
      <c r="IU159" t="e">
        <f>AND('STERLING CATALOG - DRY '!C3531,"AAAAAHf59/4=")</f>
        <v>#VALUE!</v>
      </c>
      <c r="IV159" t="e">
        <f>AND('STERLING CATALOG - DRY '!D3531,"AAAAAHf59/8=")</f>
        <v>#VALUE!</v>
      </c>
    </row>
    <row r="160" spans="1:256">
      <c r="A160" t="e">
        <f>AND('STERLING CATALOG - DRY '!E3531,"AAAAAD/z/QA=")</f>
        <v>#VALUE!</v>
      </c>
      <c r="B160" t="e">
        <f>AND('STERLING CATALOG - DRY '!F3531,"AAAAAD/z/QE=")</f>
        <v>#VALUE!</v>
      </c>
      <c r="C160" t="e">
        <f>AND('STERLING CATALOG - DRY '!G3531,"AAAAAD/z/QI=")</f>
        <v>#VALUE!</v>
      </c>
      <c r="D160" t="e">
        <f>AND('STERLING CATALOG - DRY '!H3531,"AAAAAD/z/QM=")</f>
        <v>#VALUE!</v>
      </c>
      <c r="E160" t="e">
        <f>AND('STERLING CATALOG - DRY '!I3531,"AAAAAD/z/QQ=")</f>
        <v>#VALUE!</v>
      </c>
      <c r="F160" t="e">
        <f>AND('STERLING CATALOG - DRY '!J3531,"AAAAAD/z/QU=")</f>
        <v>#VALUE!</v>
      </c>
      <c r="G160" t="str">
        <f>IF('STERLING CATALOG - DRY '!3532:3532,"AAAAAD/z/QY=",0)</f>
        <v>AAAAAD/z/QY=</v>
      </c>
      <c r="H160" t="e">
        <f>AND('STERLING CATALOG - DRY '!A3532,"AAAAAD/z/Qc=")</f>
        <v>#VALUE!</v>
      </c>
      <c r="I160" t="e">
        <f>AND('STERLING CATALOG - DRY '!B3532,"AAAAAD/z/Qg=")</f>
        <v>#VALUE!</v>
      </c>
      <c r="J160" t="e">
        <f>AND('STERLING CATALOG - DRY '!C3532,"AAAAAD/z/Qk=")</f>
        <v>#VALUE!</v>
      </c>
      <c r="K160" t="e">
        <f>AND('STERLING CATALOG - DRY '!D3532,"AAAAAD/z/Qo=")</f>
        <v>#VALUE!</v>
      </c>
      <c r="L160" t="e">
        <f>AND('STERLING CATALOG - DRY '!E3532,"AAAAAD/z/Qs=")</f>
        <v>#VALUE!</v>
      </c>
      <c r="M160" t="e">
        <f>AND('STERLING CATALOG - DRY '!F3532,"AAAAAD/z/Qw=")</f>
        <v>#VALUE!</v>
      </c>
      <c r="N160" t="e">
        <f>AND('STERLING CATALOG - DRY '!G3532,"AAAAAD/z/Q0=")</f>
        <v>#VALUE!</v>
      </c>
      <c r="O160" t="e">
        <f>AND('STERLING CATALOG - DRY '!H3532,"AAAAAD/z/Q4=")</f>
        <v>#VALUE!</v>
      </c>
      <c r="P160" t="e">
        <f>AND('STERLING CATALOG - DRY '!I3532,"AAAAAD/z/Q8=")</f>
        <v>#VALUE!</v>
      </c>
      <c r="Q160" t="e">
        <f>AND('STERLING CATALOG - DRY '!J3532,"AAAAAD/z/RA=")</f>
        <v>#VALUE!</v>
      </c>
      <c r="R160">
        <f>IF('STERLING CATALOG - DRY '!3533:3533,"AAAAAD/z/RE=",0)</f>
        <v>0</v>
      </c>
      <c r="S160" t="e">
        <f>AND('STERLING CATALOG - DRY '!A3533,"AAAAAD/z/RI=")</f>
        <v>#VALUE!</v>
      </c>
      <c r="T160" t="e">
        <f>AND('STERLING CATALOG - DRY '!B3533,"AAAAAD/z/RM=")</f>
        <v>#VALUE!</v>
      </c>
      <c r="U160" t="e">
        <f>AND('STERLING CATALOG - DRY '!C3533,"AAAAAD/z/RQ=")</f>
        <v>#VALUE!</v>
      </c>
      <c r="V160" t="e">
        <f>AND('STERLING CATALOG - DRY '!D3533,"AAAAAD/z/RU=")</f>
        <v>#VALUE!</v>
      </c>
      <c r="W160" t="e">
        <f>AND('STERLING CATALOG - DRY '!E3533,"AAAAAD/z/RY=")</f>
        <v>#VALUE!</v>
      </c>
      <c r="X160" t="e">
        <f>AND('STERLING CATALOG - DRY '!F3533,"AAAAAD/z/Rc=")</f>
        <v>#VALUE!</v>
      </c>
      <c r="Y160" t="e">
        <f>AND('STERLING CATALOG - DRY '!G3533,"AAAAAD/z/Rg=")</f>
        <v>#VALUE!</v>
      </c>
      <c r="Z160" t="e">
        <f>AND('STERLING CATALOG - DRY '!H3533,"AAAAAD/z/Rk=")</f>
        <v>#VALUE!</v>
      </c>
      <c r="AA160" t="e">
        <f>AND('STERLING CATALOG - DRY '!I3533,"AAAAAD/z/Ro=")</f>
        <v>#VALUE!</v>
      </c>
      <c r="AB160" t="e">
        <f>AND('STERLING CATALOG - DRY '!J3533,"AAAAAD/z/Rs=")</f>
        <v>#VALUE!</v>
      </c>
      <c r="AC160">
        <f>IF('STERLING CATALOG - DRY '!3534:3534,"AAAAAD/z/Rw=",0)</f>
        <v>0</v>
      </c>
      <c r="AD160" t="e">
        <f>AND('STERLING CATALOG - DRY '!A3534,"AAAAAD/z/R0=")</f>
        <v>#VALUE!</v>
      </c>
      <c r="AE160" t="e">
        <f>AND('STERLING CATALOG - DRY '!B3534,"AAAAAD/z/R4=")</f>
        <v>#VALUE!</v>
      </c>
      <c r="AF160" t="e">
        <f>AND('STERLING CATALOG - DRY '!C3534,"AAAAAD/z/R8=")</f>
        <v>#VALUE!</v>
      </c>
      <c r="AG160" t="e">
        <f>AND('STERLING CATALOG - DRY '!D3534,"AAAAAD/z/SA=")</f>
        <v>#VALUE!</v>
      </c>
      <c r="AH160" t="e">
        <f>AND('STERLING CATALOG - DRY '!E3534,"AAAAAD/z/SE=")</f>
        <v>#VALUE!</v>
      </c>
      <c r="AI160" t="e">
        <f>AND('STERLING CATALOG - DRY '!F3534,"AAAAAD/z/SI=")</f>
        <v>#VALUE!</v>
      </c>
      <c r="AJ160" t="e">
        <f>AND('STERLING CATALOG - DRY '!G3534,"AAAAAD/z/SM=")</f>
        <v>#VALUE!</v>
      </c>
      <c r="AK160" t="e">
        <f>AND('STERLING CATALOG - DRY '!H3534,"AAAAAD/z/SQ=")</f>
        <v>#VALUE!</v>
      </c>
      <c r="AL160" t="e">
        <f>AND('STERLING CATALOG - DRY '!I3534,"AAAAAD/z/SU=")</f>
        <v>#VALUE!</v>
      </c>
      <c r="AM160" t="e">
        <f>AND('STERLING CATALOG - DRY '!J3534,"AAAAAD/z/SY=")</f>
        <v>#VALUE!</v>
      </c>
      <c r="AN160">
        <f>IF('STERLING CATALOG - DRY '!3535:3535,"AAAAAD/z/Sc=",0)</f>
        <v>0</v>
      </c>
      <c r="AO160" t="e">
        <f>AND('STERLING CATALOG - DRY '!A3535,"AAAAAD/z/Sg=")</f>
        <v>#VALUE!</v>
      </c>
      <c r="AP160" t="e">
        <f>AND('STERLING CATALOG - DRY '!B3535,"AAAAAD/z/Sk=")</f>
        <v>#VALUE!</v>
      </c>
      <c r="AQ160" t="e">
        <f>AND('STERLING CATALOG - DRY '!C3535,"AAAAAD/z/So=")</f>
        <v>#VALUE!</v>
      </c>
      <c r="AR160" t="e">
        <f>AND('STERLING CATALOG - DRY '!D3535,"AAAAAD/z/Ss=")</f>
        <v>#VALUE!</v>
      </c>
      <c r="AS160" t="e">
        <f>AND('STERLING CATALOG - DRY '!E3535,"AAAAAD/z/Sw=")</f>
        <v>#VALUE!</v>
      </c>
      <c r="AT160" t="e">
        <f>AND('STERLING CATALOG - DRY '!F3535,"AAAAAD/z/S0=")</f>
        <v>#VALUE!</v>
      </c>
      <c r="AU160" t="e">
        <f>AND('STERLING CATALOG - DRY '!G3535,"AAAAAD/z/S4=")</f>
        <v>#VALUE!</v>
      </c>
      <c r="AV160" t="e">
        <f>AND('STERLING CATALOG - DRY '!H3535,"AAAAAD/z/S8=")</f>
        <v>#VALUE!</v>
      </c>
      <c r="AW160" t="e">
        <f>AND('STERLING CATALOG - DRY '!I3535,"AAAAAD/z/TA=")</f>
        <v>#VALUE!</v>
      </c>
      <c r="AX160" t="e">
        <f>AND('STERLING CATALOG - DRY '!J3535,"AAAAAD/z/TE=")</f>
        <v>#VALUE!</v>
      </c>
      <c r="AY160">
        <f>IF('STERLING CATALOG - DRY '!3536:3536,"AAAAAD/z/TI=",0)</f>
        <v>0</v>
      </c>
      <c r="AZ160" t="e">
        <f>AND('STERLING CATALOG - DRY '!A3536,"AAAAAD/z/TM=")</f>
        <v>#VALUE!</v>
      </c>
      <c r="BA160" t="e">
        <f>AND('STERLING CATALOG - DRY '!B3536,"AAAAAD/z/TQ=")</f>
        <v>#VALUE!</v>
      </c>
      <c r="BB160" t="e">
        <f>AND('STERLING CATALOG - DRY '!C3536,"AAAAAD/z/TU=")</f>
        <v>#VALUE!</v>
      </c>
      <c r="BC160" t="e">
        <f>AND('STERLING CATALOG - DRY '!D3536,"AAAAAD/z/TY=")</f>
        <v>#VALUE!</v>
      </c>
      <c r="BD160" t="e">
        <f>AND('STERLING CATALOG - DRY '!E3536,"AAAAAD/z/Tc=")</f>
        <v>#VALUE!</v>
      </c>
      <c r="BE160" t="e">
        <f>AND('STERLING CATALOG - DRY '!F3536,"AAAAAD/z/Tg=")</f>
        <v>#VALUE!</v>
      </c>
      <c r="BF160" t="e">
        <f>AND('STERLING CATALOG - DRY '!G3536,"AAAAAD/z/Tk=")</f>
        <v>#VALUE!</v>
      </c>
      <c r="BG160" t="e">
        <f>AND('STERLING CATALOG - DRY '!H3536,"AAAAAD/z/To=")</f>
        <v>#VALUE!</v>
      </c>
      <c r="BH160" t="e">
        <f>AND('STERLING CATALOG - DRY '!I3536,"AAAAAD/z/Ts=")</f>
        <v>#VALUE!</v>
      </c>
      <c r="BI160" t="e">
        <f>AND('STERLING CATALOG - DRY '!J3536,"AAAAAD/z/Tw=")</f>
        <v>#VALUE!</v>
      </c>
      <c r="BJ160">
        <f>IF('STERLING CATALOG - DRY '!3537:3537,"AAAAAD/z/T0=",0)</f>
        <v>0</v>
      </c>
      <c r="BK160" t="e">
        <f>AND('STERLING CATALOG - DRY '!A3537,"AAAAAD/z/T4=")</f>
        <v>#VALUE!</v>
      </c>
      <c r="BL160" t="e">
        <f>AND('STERLING CATALOG - DRY '!B3537,"AAAAAD/z/T8=")</f>
        <v>#VALUE!</v>
      </c>
      <c r="BM160" t="e">
        <f>AND('STERLING CATALOG - DRY '!C3537,"AAAAAD/z/UA=")</f>
        <v>#VALUE!</v>
      </c>
      <c r="BN160" t="e">
        <f>AND('STERLING CATALOG - DRY '!D3537,"AAAAAD/z/UE=")</f>
        <v>#VALUE!</v>
      </c>
      <c r="BO160" t="e">
        <f>AND('STERLING CATALOG - DRY '!E3537,"AAAAAD/z/UI=")</f>
        <v>#VALUE!</v>
      </c>
      <c r="BP160" t="e">
        <f>AND('STERLING CATALOG - DRY '!F3537,"AAAAAD/z/UM=")</f>
        <v>#VALUE!</v>
      </c>
      <c r="BQ160" t="e">
        <f>AND('STERLING CATALOG - DRY '!G3537,"AAAAAD/z/UQ=")</f>
        <v>#VALUE!</v>
      </c>
      <c r="BR160" t="e">
        <f>AND('STERLING CATALOG - DRY '!H3537,"AAAAAD/z/UU=")</f>
        <v>#VALUE!</v>
      </c>
      <c r="BS160" t="e">
        <f>AND('STERLING CATALOG - DRY '!I3537,"AAAAAD/z/UY=")</f>
        <v>#VALUE!</v>
      </c>
      <c r="BT160" t="e">
        <f>AND('STERLING CATALOG - DRY '!J3537,"AAAAAD/z/Uc=")</f>
        <v>#VALUE!</v>
      </c>
      <c r="BU160">
        <f>IF('STERLING CATALOG - DRY '!3538:3538,"AAAAAD/z/Ug=",0)</f>
        <v>0</v>
      </c>
      <c r="BV160" t="e">
        <f>AND('STERLING CATALOG - DRY '!A3538,"AAAAAD/z/Uk=")</f>
        <v>#VALUE!</v>
      </c>
      <c r="BW160" t="e">
        <f>AND('STERLING CATALOG - DRY '!B3538,"AAAAAD/z/Uo=")</f>
        <v>#VALUE!</v>
      </c>
      <c r="BX160" t="e">
        <f>AND('STERLING CATALOG - DRY '!C3538,"AAAAAD/z/Us=")</f>
        <v>#VALUE!</v>
      </c>
      <c r="BY160" t="e">
        <f>AND('STERLING CATALOG - DRY '!D3538,"AAAAAD/z/Uw=")</f>
        <v>#VALUE!</v>
      </c>
      <c r="BZ160" t="e">
        <f>AND('STERLING CATALOG - DRY '!E3538,"AAAAAD/z/U0=")</f>
        <v>#VALUE!</v>
      </c>
      <c r="CA160" t="e">
        <f>AND('STERLING CATALOG - DRY '!F3538,"AAAAAD/z/U4=")</f>
        <v>#VALUE!</v>
      </c>
      <c r="CB160" t="e">
        <f>AND('STERLING CATALOG - DRY '!G3538,"AAAAAD/z/U8=")</f>
        <v>#VALUE!</v>
      </c>
      <c r="CC160" t="e">
        <f>AND('STERLING CATALOG - DRY '!H3538,"AAAAAD/z/VA=")</f>
        <v>#VALUE!</v>
      </c>
      <c r="CD160" t="e">
        <f>AND('STERLING CATALOG - DRY '!I3538,"AAAAAD/z/VE=")</f>
        <v>#VALUE!</v>
      </c>
      <c r="CE160" t="e">
        <f>AND('STERLING CATALOG - DRY '!J3538,"AAAAAD/z/VI=")</f>
        <v>#VALUE!</v>
      </c>
      <c r="CF160">
        <f>IF('STERLING CATALOG - DRY '!3539:3539,"AAAAAD/z/VM=",0)</f>
        <v>0</v>
      </c>
      <c r="CG160" t="e">
        <f>AND('STERLING CATALOG - DRY '!A3539,"AAAAAD/z/VQ=")</f>
        <v>#VALUE!</v>
      </c>
      <c r="CH160" t="e">
        <f>AND('STERLING CATALOG - DRY '!B3539,"AAAAAD/z/VU=")</f>
        <v>#VALUE!</v>
      </c>
      <c r="CI160" t="e">
        <f>AND('STERLING CATALOG - DRY '!C3539,"AAAAAD/z/VY=")</f>
        <v>#VALUE!</v>
      </c>
      <c r="CJ160" t="e">
        <f>AND('STERLING CATALOG - DRY '!D3539,"AAAAAD/z/Vc=")</f>
        <v>#VALUE!</v>
      </c>
      <c r="CK160" t="e">
        <f>AND('STERLING CATALOG - DRY '!E3539,"AAAAAD/z/Vg=")</f>
        <v>#VALUE!</v>
      </c>
      <c r="CL160" t="e">
        <f>AND('STERLING CATALOG - DRY '!F3539,"AAAAAD/z/Vk=")</f>
        <v>#VALUE!</v>
      </c>
      <c r="CM160" t="e">
        <f>AND('STERLING CATALOG - DRY '!G3539,"AAAAAD/z/Vo=")</f>
        <v>#VALUE!</v>
      </c>
      <c r="CN160" t="e">
        <f>AND('STERLING CATALOG - DRY '!H3539,"AAAAAD/z/Vs=")</f>
        <v>#VALUE!</v>
      </c>
      <c r="CO160" t="e">
        <f>AND('STERLING CATALOG - DRY '!I3539,"AAAAAD/z/Vw=")</f>
        <v>#VALUE!</v>
      </c>
      <c r="CP160" t="e">
        <f>AND('STERLING CATALOG - DRY '!J3539,"AAAAAD/z/V0=")</f>
        <v>#VALUE!</v>
      </c>
      <c r="CQ160">
        <f>IF('STERLING CATALOG - DRY '!3540:3540,"AAAAAD/z/V4=",0)</f>
        <v>0</v>
      </c>
      <c r="CR160" t="e">
        <f>AND('STERLING CATALOG - DRY '!A3540,"AAAAAD/z/V8=")</f>
        <v>#VALUE!</v>
      </c>
      <c r="CS160" t="e">
        <f>AND('STERLING CATALOG - DRY '!B3540,"AAAAAD/z/WA=")</f>
        <v>#VALUE!</v>
      </c>
      <c r="CT160" t="e">
        <f>AND('STERLING CATALOG - DRY '!C3540,"AAAAAD/z/WE=")</f>
        <v>#VALUE!</v>
      </c>
      <c r="CU160" t="e">
        <f>AND('STERLING CATALOG - DRY '!D3540,"AAAAAD/z/WI=")</f>
        <v>#VALUE!</v>
      </c>
      <c r="CV160" t="e">
        <f>AND('STERLING CATALOG - DRY '!E3540,"AAAAAD/z/WM=")</f>
        <v>#VALUE!</v>
      </c>
      <c r="CW160" t="e">
        <f>AND('STERLING CATALOG - DRY '!F3540,"AAAAAD/z/WQ=")</f>
        <v>#VALUE!</v>
      </c>
      <c r="CX160" t="e">
        <f>AND('STERLING CATALOG - DRY '!G3540,"AAAAAD/z/WU=")</f>
        <v>#VALUE!</v>
      </c>
      <c r="CY160" t="e">
        <f>AND('STERLING CATALOG - DRY '!H3540,"AAAAAD/z/WY=")</f>
        <v>#VALUE!</v>
      </c>
      <c r="CZ160" t="e">
        <f>AND('STERLING CATALOG - DRY '!I3540,"AAAAAD/z/Wc=")</f>
        <v>#VALUE!</v>
      </c>
      <c r="DA160" t="e">
        <f>AND('STERLING CATALOG - DRY '!J3540,"AAAAAD/z/Wg=")</f>
        <v>#VALUE!</v>
      </c>
      <c r="DB160">
        <f>IF('STERLING CATALOG - DRY '!3541:3541,"AAAAAD/z/Wk=",0)</f>
        <v>0</v>
      </c>
      <c r="DC160" t="e">
        <f>AND('STERLING CATALOG - DRY '!A3541,"AAAAAD/z/Wo=")</f>
        <v>#VALUE!</v>
      </c>
      <c r="DD160" t="e">
        <f>AND('STERLING CATALOG - DRY '!B3541,"AAAAAD/z/Ws=")</f>
        <v>#VALUE!</v>
      </c>
      <c r="DE160" t="e">
        <f>AND('STERLING CATALOG - DRY '!C3541,"AAAAAD/z/Ww=")</f>
        <v>#VALUE!</v>
      </c>
      <c r="DF160" t="e">
        <f>AND('STERLING CATALOG - DRY '!D3541,"AAAAAD/z/W0=")</f>
        <v>#VALUE!</v>
      </c>
      <c r="DG160" t="e">
        <f>AND('STERLING CATALOG - DRY '!E3541,"AAAAAD/z/W4=")</f>
        <v>#VALUE!</v>
      </c>
      <c r="DH160" t="e">
        <f>AND('STERLING CATALOG - DRY '!F3541,"AAAAAD/z/W8=")</f>
        <v>#VALUE!</v>
      </c>
      <c r="DI160" t="e">
        <f>AND('STERLING CATALOG - DRY '!G3541,"AAAAAD/z/XA=")</f>
        <v>#VALUE!</v>
      </c>
      <c r="DJ160" t="e">
        <f>AND('STERLING CATALOG - DRY '!H3541,"AAAAAD/z/XE=")</f>
        <v>#VALUE!</v>
      </c>
      <c r="DK160" t="e">
        <f>AND('STERLING CATALOG - DRY '!I3541,"AAAAAD/z/XI=")</f>
        <v>#VALUE!</v>
      </c>
      <c r="DL160" t="e">
        <f>AND('STERLING CATALOG - DRY '!J3541,"AAAAAD/z/XM=")</f>
        <v>#VALUE!</v>
      </c>
      <c r="DM160">
        <f>IF('STERLING CATALOG - DRY '!3542:3542,"AAAAAD/z/XQ=",0)</f>
        <v>0</v>
      </c>
      <c r="DN160" t="e">
        <f>AND('STERLING CATALOG - DRY '!A3542,"AAAAAD/z/XU=")</f>
        <v>#VALUE!</v>
      </c>
      <c r="DO160" t="e">
        <f>AND('STERLING CATALOG - DRY '!B3542,"AAAAAD/z/XY=")</f>
        <v>#VALUE!</v>
      </c>
      <c r="DP160" t="e">
        <f>AND('STERLING CATALOG - DRY '!C3542,"AAAAAD/z/Xc=")</f>
        <v>#VALUE!</v>
      </c>
      <c r="DQ160" t="e">
        <f>AND('STERLING CATALOG - DRY '!D3542,"AAAAAD/z/Xg=")</f>
        <v>#VALUE!</v>
      </c>
      <c r="DR160" t="e">
        <f>AND('STERLING CATALOG - DRY '!E3542,"AAAAAD/z/Xk=")</f>
        <v>#VALUE!</v>
      </c>
      <c r="DS160" t="e">
        <f>AND('STERLING CATALOG - DRY '!F3542,"AAAAAD/z/Xo=")</f>
        <v>#VALUE!</v>
      </c>
      <c r="DT160" t="e">
        <f>AND('STERLING CATALOG - DRY '!G3542,"AAAAAD/z/Xs=")</f>
        <v>#VALUE!</v>
      </c>
      <c r="DU160" t="e">
        <f>AND('STERLING CATALOG - DRY '!H3542,"AAAAAD/z/Xw=")</f>
        <v>#VALUE!</v>
      </c>
      <c r="DV160" t="e">
        <f>AND('STERLING CATALOG - DRY '!I3542,"AAAAAD/z/X0=")</f>
        <v>#VALUE!</v>
      </c>
      <c r="DW160" t="e">
        <f>AND('STERLING CATALOG - DRY '!J3542,"AAAAAD/z/X4=")</f>
        <v>#VALUE!</v>
      </c>
      <c r="DX160">
        <f>IF('STERLING CATALOG - DRY '!3543:3543,"AAAAAD/z/X8=",0)</f>
        <v>0</v>
      </c>
      <c r="DY160" t="e">
        <f>AND('STERLING CATALOG - DRY '!A3543,"AAAAAD/z/YA=")</f>
        <v>#VALUE!</v>
      </c>
      <c r="DZ160" t="e">
        <f>AND('STERLING CATALOG - DRY '!B3543,"AAAAAD/z/YE=")</f>
        <v>#VALUE!</v>
      </c>
      <c r="EA160" t="e">
        <f>AND('STERLING CATALOG - DRY '!C3543,"AAAAAD/z/YI=")</f>
        <v>#VALUE!</v>
      </c>
      <c r="EB160" t="e">
        <f>AND('STERLING CATALOG - DRY '!D3543,"AAAAAD/z/YM=")</f>
        <v>#VALUE!</v>
      </c>
      <c r="EC160" t="e">
        <f>AND('STERLING CATALOG - DRY '!E3543,"AAAAAD/z/YQ=")</f>
        <v>#VALUE!</v>
      </c>
      <c r="ED160" t="e">
        <f>AND('STERLING CATALOG - DRY '!F3543,"AAAAAD/z/YU=")</f>
        <v>#VALUE!</v>
      </c>
      <c r="EE160" t="e">
        <f>AND('STERLING CATALOG - DRY '!G3543,"AAAAAD/z/YY=")</f>
        <v>#VALUE!</v>
      </c>
      <c r="EF160" t="e">
        <f>AND('STERLING CATALOG - DRY '!H3543,"AAAAAD/z/Yc=")</f>
        <v>#VALUE!</v>
      </c>
      <c r="EG160" t="e">
        <f>AND('STERLING CATALOG - DRY '!I3543,"AAAAAD/z/Yg=")</f>
        <v>#VALUE!</v>
      </c>
      <c r="EH160" t="e">
        <f>AND('STERLING CATALOG - DRY '!J3543,"AAAAAD/z/Yk=")</f>
        <v>#VALUE!</v>
      </c>
      <c r="EI160">
        <f>IF('STERLING CATALOG - DRY '!3544:3544,"AAAAAD/z/Yo=",0)</f>
        <v>0</v>
      </c>
      <c r="EJ160" t="e">
        <f>AND('STERLING CATALOG - DRY '!A3544,"AAAAAD/z/Ys=")</f>
        <v>#VALUE!</v>
      </c>
      <c r="EK160" t="e">
        <f>AND('STERLING CATALOG - DRY '!B3544,"AAAAAD/z/Yw=")</f>
        <v>#VALUE!</v>
      </c>
      <c r="EL160" t="e">
        <f>AND('STERLING CATALOG - DRY '!C3544,"AAAAAD/z/Y0=")</f>
        <v>#VALUE!</v>
      </c>
      <c r="EM160" t="e">
        <f>AND('STERLING CATALOG - DRY '!D3544,"AAAAAD/z/Y4=")</f>
        <v>#VALUE!</v>
      </c>
      <c r="EN160" t="e">
        <f>AND('STERLING CATALOG - DRY '!E3544,"AAAAAD/z/Y8=")</f>
        <v>#VALUE!</v>
      </c>
      <c r="EO160" t="e">
        <f>AND('STERLING CATALOG - DRY '!F3544,"AAAAAD/z/ZA=")</f>
        <v>#VALUE!</v>
      </c>
      <c r="EP160" t="e">
        <f>AND('STERLING CATALOG - DRY '!G3544,"AAAAAD/z/ZE=")</f>
        <v>#VALUE!</v>
      </c>
      <c r="EQ160" t="e">
        <f>AND('STERLING CATALOG - DRY '!H3544,"AAAAAD/z/ZI=")</f>
        <v>#VALUE!</v>
      </c>
      <c r="ER160" t="e">
        <f>AND('STERLING CATALOG - DRY '!I3544,"AAAAAD/z/ZM=")</f>
        <v>#VALUE!</v>
      </c>
      <c r="ES160" t="e">
        <f>AND('STERLING CATALOG - DRY '!J3544,"AAAAAD/z/ZQ=")</f>
        <v>#VALUE!</v>
      </c>
      <c r="ET160">
        <f>IF('STERLING CATALOG - DRY '!3545:3545,"AAAAAD/z/ZU=",0)</f>
        <v>0</v>
      </c>
      <c r="EU160" t="e">
        <f>AND('STERLING CATALOG - DRY '!A3545,"AAAAAD/z/ZY=")</f>
        <v>#VALUE!</v>
      </c>
      <c r="EV160" t="e">
        <f>AND('STERLING CATALOG - DRY '!B3545,"AAAAAD/z/Zc=")</f>
        <v>#VALUE!</v>
      </c>
      <c r="EW160" t="e">
        <f>AND('STERLING CATALOG - DRY '!C3545,"AAAAAD/z/Zg=")</f>
        <v>#VALUE!</v>
      </c>
      <c r="EX160" t="e">
        <f>AND('STERLING CATALOG - DRY '!D3545,"AAAAAD/z/Zk=")</f>
        <v>#VALUE!</v>
      </c>
      <c r="EY160" t="e">
        <f>AND('STERLING CATALOG - DRY '!E3545,"AAAAAD/z/Zo=")</f>
        <v>#VALUE!</v>
      </c>
      <c r="EZ160" t="e">
        <f>AND('STERLING CATALOG - DRY '!F3545,"AAAAAD/z/Zs=")</f>
        <v>#VALUE!</v>
      </c>
      <c r="FA160" t="e">
        <f>AND('STERLING CATALOG - DRY '!G3545,"AAAAAD/z/Zw=")</f>
        <v>#VALUE!</v>
      </c>
      <c r="FB160" t="e">
        <f>AND('STERLING CATALOG - DRY '!H3545,"AAAAAD/z/Z0=")</f>
        <v>#VALUE!</v>
      </c>
      <c r="FC160" t="e">
        <f>AND('STERLING CATALOG - DRY '!I3545,"AAAAAD/z/Z4=")</f>
        <v>#VALUE!</v>
      </c>
      <c r="FD160" t="e">
        <f>AND('STERLING CATALOG - DRY '!J3545,"AAAAAD/z/Z8=")</f>
        <v>#VALUE!</v>
      </c>
      <c r="FE160">
        <f>IF('STERLING CATALOG - DRY '!3546:3546,"AAAAAD/z/aA=",0)</f>
        <v>0</v>
      </c>
      <c r="FF160" t="e">
        <f>AND('STERLING CATALOG - DRY '!A3546,"AAAAAD/z/aE=")</f>
        <v>#VALUE!</v>
      </c>
      <c r="FG160" t="e">
        <f>AND('STERLING CATALOG - DRY '!B3546,"AAAAAD/z/aI=")</f>
        <v>#VALUE!</v>
      </c>
      <c r="FH160" t="e">
        <f>AND('STERLING CATALOG - DRY '!C3546,"AAAAAD/z/aM=")</f>
        <v>#VALUE!</v>
      </c>
      <c r="FI160" t="e">
        <f>AND('STERLING CATALOG - DRY '!D3546,"AAAAAD/z/aQ=")</f>
        <v>#VALUE!</v>
      </c>
      <c r="FJ160" t="e">
        <f>AND('STERLING CATALOG - DRY '!E3546,"AAAAAD/z/aU=")</f>
        <v>#VALUE!</v>
      </c>
      <c r="FK160" t="e">
        <f>AND('STERLING CATALOG - DRY '!F3546,"AAAAAD/z/aY=")</f>
        <v>#VALUE!</v>
      </c>
      <c r="FL160" t="e">
        <f>AND('STERLING CATALOG - DRY '!G3546,"AAAAAD/z/ac=")</f>
        <v>#VALUE!</v>
      </c>
      <c r="FM160" t="e">
        <f>AND('STERLING CATALOG - DRY '!H3546,"AAAAAD/z/ag=")</f>
        <v>#VALUE!</v>
      </c>
      <c r="FN160" t="e">
        <f>AND('STERLING CATALOG - DRY '!I3546,"AAAAAD/z/ak=")</f>
        <v>#VALUE!</v>
      </c>
      <c r="FO160" t="e">
        <f>AND('STERLING CATALOG - DRY '!J3546,"AAAAAD/z/ao=")</f>
        <v>#VALUE!</v>
      </c>
      <c r="FP160">
        <f>IF('STERLING CATALOG - DRY '!3547:3547,"AAAAAD/z/as=",0)</f>
        <v>0</v>
      </c>
      <c r="FQ160" t="e">
        <f>AND('STERLING CATALOG - DRY '!A3547,"AAAAAD/z/aw=")</f>
        <v>#VALUE!</v>
      </c>
      <c r="FR160" t="e">
        <f>AND('STERLING CATALOG - DRY '!B3547,"AAAAAD/z/a0=")</f>
        <v>#VALUE!</v>
      </c>
      <c r="FS160" t="e">
        <f>AND('STERLING CATALOG - DRY '!C3547,"AAAAAD/z/a4=")</f>
        <v>#VALUE!</v>
      </c>
      <c r="FT160" t="e">
        <f>AND('STERLING CATALOG - DRY '!D3547,"AAAAAD/z/a8=")</f>
        <v>#VALUE!</v>
      </c>
      <c r="FU160" t="e">
        <f>AND('STERLING CATALOG - DRY '!E3547,"AAAAAD/z/bA=")</f>
        <v>#VALUE!</v>
      </c>
      <c r="FV160" t="e">
        <f>AND('STERLING CATALOG - DRY '!F3547,"AAAAAD/z/bE=")</f>
        <v>#VALUE!</v>
      </c>
      <c r="FW160" t="e">
        <f>AND('STERLING CATALOG - DRY '!G3547,"AAAAAD/z/bI=")</f>
        <v>#VALUE!</v>
      </c>
      <c r="FX160" t="e">
        <f>AND('STERLING CATALOG - DRY '!H3547,"AAAAAD/z/bM=")</f>
        <v>#VALUE!</v>
      </c>
      <c r="FY160" t="e">
        <f>AND('STERLING CATALOG - DRY '!I3547,"AAAAAD/z/bQ=")</f>
        <v>#VALUE!</v>
      </c>
      <c r="FZ160" t="e">
        <f>AND('STERLING CATALOG - DRY '!J3547,"AAAAAD/z/bU=")</f>
        <v>#VALUE!</v>
      </c>
      <c r="GA160">
        <f>IF('STERLING CATALOG - DRY '!3548:3548,"AAAAAD/z/bY=",0)</f>
        <v>0</v>
      </c>
      <c r="GB160" t="e">
        <f>AND('STERLING CATALOG - DRY '!A3548,"AAAAAD/z/bc=")</f>
        <v>#VALUE!</v>
      </c>
      <c r="GC160" t="e">
        <f>AND('STERLING CATALOG - DRY '!B3548,"AAAAAD/z/bg=")</f>
        <v>#VALUE!</v>
      </c>
      <c r="GD160" t="e">
        <f>AND('STERLING CATALOG - DRY '!C3548,"AAAAAD/z/bk=")</f>
        <v>#VALUE!</v>
      </c>
      <c r="GE160" t="e">
        <f>AND('STERLING CATALOG - DRY '!D3548,"AAAAAD/z/bo=")</f>
        <v>#VALUE!</v>
      </c>
      <c r="GF160" t="e">
        <f>AND('STERLING CATALOG - DRY '!E3548,"AAAAAD/z/bs=")</f>
        <v>#VALUE!</v>
      </c>
      <c r="GG160" t="e">
        <f>AND('STERLING CATALOG - DRY '!F3548,"AAAAAD/z/bw=")</f>
        <v>#VALUE!</v>
      </c>
      <c r="GH160" t="e">
        <f>AND('STERLING CATALOG - DRY '!G3548,"AAAAAD/z/b0=")</f>
        <v>#VALUE!</v>
      </c>
      <c r="GI160" t="e">
        <f>AND('STERLING CATALOG - DRY '!H3548,"AAAAAD/z/b4=")</f>
        <v>#VALUE!</v>
      </c>
      <c r="GJ160" t="e">
        <f>AND('STERLING CATALOG - DRY '!I3548,"AAAAAD/z/b8=")</f>
        <v>#VALUE!</v>
      </c>
      <c r="GK160" t="e">
        <f>AND('STERLING CATALOG - DRY '!J3548,"AAAAAD/z/cA=")</f>
        <v>#VALUE!</v>
      </c>
      <c r="GL160">
        <f>IF('STERLING CATALOG - DRY '!3549:3549,"AAAAAD/z/cE=",0)</f>
        <v>0</v>
      </c>
      <c r="GM160" t="e">
        <f>AND('STERLING CATALOG - DRY '!A3549,"AAAAAD/z/cI=")</f>
        <v>#VALUE!</v>
      </c>
      <c r="GN160" t="e">
        <f>AND('STERLING CATALOG - DRY '!B3549,"AAAAAD/z/cM=")</f>
        <v>#VALUE!</v>
      </c>
      <c r="GO160" t="e">
        <f>AND('STERLING CATALOG - DRY '!C3549,"AAAAAD/z/cQ=")</f>
        <v>#VALUE!</v>
      </c>
      <c r="GP160" t="e">
        <f>AND('STERLING CATALOG - DRY '!D3549,"AAAAAD/z/cU=")</f>
        <v>#VALUE!</v>
      </c>
      <c r="GQ160" t="e">
        <f>AND('STERLING CATALOG - DRY '!E3549,"AAAAAD/z/cY=")</f>
        <v>#VALUE!</v>
      </c>
      <c r="GR160" t="e">
        <f>AND('STERLING CATALOG - DRY '!F3549,"AAAAAD/z/cc=")</f>
        <v>#VALUE!</v>
      </c>
      <c r="GS160" t="e">
        <f>AND('STERLING CATALOG - DRY '!G3549,"AAAAAD/z/cg=")</f>
        <v>#VALUE!</v>
      </c>
      <c r="GT160" t="e">
        <f>AND('STERLING CATALOG - DRY '!H3549,"AAAAAD/z/ck=")</f>
        <v>#VALUE!</v>
      </c>
      <c r="GU160" t="e">
        <f>AND('STERLING CATALOG - DRY '!I3549,"AAAAAD/z/co=")</f>
        <v>#VALUE!</v>
      </c>
      <c r="GV160" t="e">
        <f>AND('STERLING CATALOG - DRY '!J3549,"AAAAAD/z/cs=")</f>
        <v>#VALUE!</v>
      </c>
      <c r="GW160">
        <f>IF('STERLING CATALOG - DRY '!3550:3550,"AAAAAD/z/cw=",0)</f>
        <v>0</v>
      </c>
      <c r="GX160" t="e">
        <f>AND('STERLING CATALOG - DRY '!A3550,"AAAAAD/z/c0=")</f>
        <v>#VALUE!</v>
      </c>
      <c r="GY160" t="e">
        <f>AND('STERLING CATALOG - DRY '!B3550,"AAAAAD/z/c4=")</f>
        <v>#VALUE!</v>
      </c>
      <c r="GZ160" t="e">
        <f>AND('STERLING CATALOG - DRY '!C3550,"AAAAAD/z/c8=")</f>
        <v>#VALUE!</v>
      </c>
      <c r="HA160" t="e">
        <f>AND('STERLING CATALOG - DRY '!D3550,"AAAAAD/z/dA=")</f>
        <v>#VALUE!</v>
      </c>
      <c r="HB160" t="e">
        <f>AND('STERLING CATALOG - DRY '!E3550,"AAAAAD/z/dE=")</f>
        <v>#VALUE!</v>
      </c>
      <c r="HC160" t="e">
        <f>AND('STERLING CATALOG - DRY '!F3550,"AAAAAD/z/dI=")</f>
        <v>#VALUE!</v>
      </c>
      <c r="HD160" t="e">
        <f>AND('STERLING CATALOG - DRY '!G3550,"AAAAAD/z/dM=")</f>
        <v>#VALUE!</v>
      </c>
      <c r="HE160" t="e">
        <f>AND('STERLING CATALOG - DRY '!H3550,"AAAAAD/z/dQ=")</f>
        <v>#VALUE!</v>
      </c>
      <c r="HF160" t="e">
        <f>AND('STERLING CATALOG - DRY '!I3550,"AAAAAD/z/dU=")</f>
        <v>#VALUE!</v>
      </c>
      <c r="HG160" t="e">
        <f>AND('STERLING CATALOG - DRY '!J3550,"AAAAAD/z/dY=")</f>
        <v>#VALUE!</v>
      </c>
      <c r="HH160">
        <f>IF('STERLING CATALOG - DRY '!3551:3551,"AAAAAD/z/dc=",0)</f>
        <v>0</v>
      </c>
      <c r="HI160" t="e">
        <f>AND('STERLING CATALOG - DRY '!A3551,"AAAAAD/z/dg=")</f>
        <v>#VALUE!</v>
      </c>
      <c r="HJ160" t="e">
        <f>AND('STERLING CATALOG - DRY '!B3551,"AAAAAD/z/dk=")</f>
        <v>#VALUE!</v>
      </c>
      <c r="HK160" t="e">
        <f>AND('STERLING CATALOG - DRY '!C3551,"AAAAAD/z/do=")</f>
        <v>#VALUE!</v>
      </c>
      <c r="HL160" t="e">
        <f>AND('STERLING CATALOG - DRY '!D3551,"AAAAAD/z/ds=")</f>
        <v>#VALUE!</v>
      </c>
      <c r="HM160" t="e">
        <f>AND('STERLING CATALOG - DRY '!E3551,"AAAAAD/z/dw=")</f>
        <v>#VALUE!</v>
      </c>
      <c r="HN160" t="e">
        <f>AND('STERLING CATALOG - DRY '!F3551,"AAAAAD/z/d0=")</f>
        <v>#VALUE!</v>
      </c>
      <c r="HO160" t="e">
        <f>AND('STERLING CATALOG - DRY '!G3551,"AAAAAD/z/d4=")</f>
        <v>#VALUE!</v>
      </c>
      <c r="HP160" t="e">
        <f>AND('STERLING CATALOG - DRY '!H3551,"AAAAAD/z/d8=")</f>
        <v>#VALUE!</v>
      </c>
      <c r="HQ160" t="e">
        <f>AND('STERLING CATALOG - DRY '!I3551,"AAAAAD/z/eA=")</f>
        <v>#VALUE!</v>
      </c>
      <c r="HR160" t="e">
        <f>AND('STERLING CATALOG - DRY '!J3551,"AAAAAD/z/eE=")</f>
        <v>#VALUE!</v>
      </c>
      <c r="HS160">
        <f>IF('STERLING CATALOG - DRY '!3552:3552,"AAAAAD/z/eI=",0)</f>
        <v>0</v>
      </c>
      <c r="HT160" t="e">
        <f>AND('STERLING CATALOG - DRY '!A3552,"AAAAAD/z/eM=")</f>
        <v>#VALUE!</v>
      </c>
      <c r="HU160" t="e">
        <f>AND('STERLING CATALOG - DRY '!B3552,"AAAAAD/z/eQ=")</f>
        <v>#VALUE!</v>
      </c>
      <c r="HV160" t="e">
        <f>AND('STERLING CATALOG - DRY '!C3552,"AAAAAD/z/eU=")</f>
        <v>#VALUE!</v>
      </c>
      <c r="HW160" t="e">
        <f>AND('STERLING CATALOG - DRY '!D3552,"AAAAAD/z/eY=")</f>
        <v>#VALUE!</v>
      </c>
      <c r="HX160" t="e">
        <f>AND('STERLING CATALOG - DRY '!E3552,"AAAAAD/z/ec=")</f>
        <v>#VALUE!</v>
      </c>
      <c r="HY160" t="e">
        <f>AND('STERLING CATALOG - DRY '!F3552,"AAAAAD/z/eg=")</f>
        <v>#VALUE!</v>
      </c>
      <c r="HZ160" t="e">
        <f>AND('STERLING CATALOG - DRY '!G3552,"AAAAAD/z/ek=")</f>
        <v>#VALUE!</v>
      </c>
      <c r="IA160" t="e">
        <f>AND('STERLING CATALOG - DRY '!H3552,"AAAAAD/z/eo=")</f>
        <v>#VALUE!</v>
      </c>
      <c r="IB160" t="e">
        <f>AND('STERLING CATALOG - DRY '!I3552,"AAAAAD/z/es=")</f>
        <v>#VALUE!</v>
      </c>
      <c r="IC160" t="e">
        <f>AND('STERLING CATALOG - DRY '!J3552,"AAAAAD/z/ew=")</f>
        <v>#VALUE!</v>
      </c>
      <c r="ID160">
        <f>IF('STERLING CATALOG - DRY '!3553:3553,"AAAAAD/z/e0=",0)</f>
        <v>0</v>
      </c>
      <c r="IE160" t="e">
        <f>AND('STERLING CATALOG - DRY '!A3553,"AAAAAD/z/e4=")</f>
        <v>#VALUE!</v>
      </c>
      <c r="IF160" t="e">
        <f>AND('STERLING CATALOG - DRY '!B3553,"AAAAAD/z/e8=")</f>
        <v>#VALUE!</v>
      </c>
      <c r="IG160" t="e">
        <f>AND('STERLING CATALOG - DRY '!C3553,"AAAAAD/z/fA=")</f>
        <v>#VALUE!</v>
      </c>
      <c r="IH160" t="e">
        <f>AND('STERLING CATALOG - DRY '!D3553,"AAAAAD/z/fE=")</f>
        <v>#VALUE!</v>
      </c>
      <c r="II160" t="e">
        <f>AND('STERLING CATALOG - DRY '!E3553,"AAAAAD/z/fI=")</f>
        <v>#VALUE!</v>
      </c>
      <c r="IJ160" t="e">
        <f>AND('STERLING CATALOG - DRY '!F3553,"AAAAAD/z/fM=")</f>
        <v>#VALUE!</v>
      </c>
      <c r="IK160" t="e">
        <f>AND('STERLING CATALOG - DRY '!G3553,"AAAAAD/z/fQ=")</f>
        <v>#VALUE!</v>
      </c>
      <c r="IL160" t="e">
        <f>AND('STERLING CATALOG - DRY '!H3553,"AAAAAD/z/fU=")</f>
        <v>#VALUE!</v>
      </c>
      <c r="IM160" t="e">
        <f>AND('STERLING CATALOG - DRY '!I3553,"AAAAAD/z/fY=")</f>
        <v>#VALUE!</v>
      </c>
      <c r="IN160" t="e">
        <f>AND('STERLING CATALOG - DRY '!J3553,"AAAAAD/z/fc=")</f>
        <v>#VALUE!</v>
      </c>
      <c r="IO160">
        <f>IF('STERLING CATALOG - DRY '!3554:3554,"AAAAAD/z/fg=",0)</f>
        <v>0</v>
      </c>
      <c r="IP160" t="e">
        <f>AND('STERLING CATALOG - DRY '!A3554,"AAAAAD/z/fk=")</f>
        <v>#VALUE!</v>
      </c>
      <c r="IQ160" t="e">
        <f>AND('STERLING CATALOG - DRY '!B3554,"AAAAAD/z/fo=")</f>
        <v>#VALUE!</v>
      </c>
      <c r="IR160" t="e">
        <f>AND('STERLING CATALOG - DRY '!C3554,"AAAAAD/z/fs=")</f>
        <v>#VALUE!</v>
      </c>
      <c r="IS160" t="e">
        <f>AND('STERLING CATALOG - DRY '!D3554,"AAAAAD/z/fw=")</f>
        <v>#VALUE!</v>
      </c>
      <c r="IT160" t="e">
        <f>AND('STERLING CATALOG - DRY '!E3554,"AAAAAD/z/f0=")</f>
        <v>#VALUE!</v>
      </c>
      <c r="IU160" t="e">
        <f>AND('STERLING CATALOG - DRY '!F3554,"AAAAAD/z/f4=")</f>
        <v>#VALUE!</v>
      </c>
      <c r="IV160" t="e">
        <f>AND('STERLING CATALOG - DRY '!G3554,"AAAAAD/z/f8=")</f>
        <v>#VALUE!</v>
      </c>
    </row>
    <row r="161" spans="1:256">
      <c r="A161" t="e">
        <f>AND('STERLING CATALOG - DRY '!H3554,"AAAAAD5v/QA=")</f>
        <v>#VALUE!</v>
      </c>
      <c r="B161" t="e">
        <f>AND('STERLING CATALOG - DRY '!I3554,"AAAAAD5v/QE=")</f>
        <v>#VALUE!</v>
      </c>
      <c r="C161" t="e">
        <f>AND('STERLING CATALOG - DRY '!J3554,"AAAAAD5v/QI=")</f>
        <v>#VALUE!</v>
      </c>
      <c r="D161" t="e">
        <f>IF('STERLING CATALOG - DRY '!3555:3555,"AAAAAD5v/QM=",0)</f>
        <v>#VALUE!</v>
      </c>
      <c r="E161" t="e">
        <f>AND('STERLING CATALOG - DRY '!A3555,"AAAAAD5v/QQ=")</f>
        <v>#VALUE!</v>
      </c>
      <c r="F161" t="e">
        <f>AND('STERLING CATALOG - DRY '!B3555,"AAAAAD5v/QU=")</f>
        <v>#VALUE!</v>
      </c>
      <c r="G161" t="e">
        <f>AND('STERLING CATALOG - DRY '!C3555,"AAAAAD5v/QY=")</f>
        <v>#VALUE!</v>
      </c>
      <c r="H161" t="e">
        <f>AND('STERLING CATALOG - DRY '!D3555,"AAAAAD5v/Qc=")</f>
        <v>#VALUE!</v>
      </c>
      <c r="I161" t="e">
        <f>AND('STERLING CATALOG - DRY '!E3555,"AAAAAD5v/Qg=")</f>
        <v>#VALUE!</v>
      </c>
      <c r="J161" t="e">
        <f>AND('STERLING CATALOG - DRY '!F3555,"AAAAAD5v/Qk=")</f>
        <v>#VALUE!</v>
      </c>
      <c r="K161" t="e">
        <f>AND('STERLING CATALOG - DRY '!G3555,"AAAAAD5v/Qo=")</f>
        <v>#VALUE!</v>
      </c>
      <c r="L161" t="e">
        <f>AND('STERLING CATALOG - DRY '!H3555,"AAAAAD5v/Qs=")</f>
        <v>#VALUE!</v>
      </c>
      <c r="M161" t="e">
        <f>AND('STERLING CATALOG - DRY '!I3555,"AAAAAD5v/Qw=")</f>
        <v>#VALUE!</v>
      </c>
      <c r="N161" t="e">
        <f>AND('STERLING CATALOG - DRY '!J3555,"AAAAAD5v/Q0=")</f>
        <v>#VALUE!</v>
      </c>
      <c r="O161">
        <f>IF('STERLING CATALOG - DRY '!3556:3556,"AAAAAD5v/Q4=",0)</f>
        <v>0</v>
      </c>
      <c r="P161" t="e">
        <f>AND('STERLING CATALOG - DRY '!A3556,"AAAAAD5v/Q8=")</f>
        <v>#VALUE!</v>
      </c>
      <c r="Q161" t="e">
        <f>AND('STERLING CATALOG - DRY '!B3556,"AAAAAD5v/RA=")</f>
        <v>#VALUE!</v>
      </c>
      <c r="R161" t="e">
        <f>AND('STERLING CATALOG - DRY '!C3556,"AAAAAD5v/RE=")</f>
        <v>#VALUE!</v>
      </c>
      <c r="S161" t="e">
        <f>AND('STERLING CATALOG - DRY '!D3556,"AAAAAD5v/RI=")</f>
        <v>#VALUE!</v>
      </c>
      <c r="T161" t="e">
        <f>AND('STERLING CATALOG - DRY '!E3556,"AAAAAD5v/RM=")</f>
        <v>#VALUE!</v>
      </c>
      <c r="U161" t="e">
        <f>AND('STERLING CATALOG - DRY '!F3556,"AAAAAD5v/RQ=")</f>
        <v>#VALUE!</v>
      </c>
      <c r="V161" t="e">
        <f>AND('STERLING CATALOG - DRY '!G3556,"AAAAAD5v/RU=")</f>
        <v>#VALUE!</v>
      </c>
      <c r="W161" t="e">
        <f>AND('STERLING CATALOG - DRY '!H3556,"AAAAAD5v/RY=")</f>
        <v>#VALUE!</v>
      </c>
      <c r="X161" t="e">
        <f>AND('STERLING CATALOG - DRY '!I3556,"AAAAAD5v/Rc=")</f>
        <v>#VALUE!</v>
      </c>
      <c r="Y161" t="e">
        <f>AND('STERLING CATALOG - DRY '!J3556,"AAAAAD5v/Rg=")</f>
        <v>#VALUE!</v>
      </c>
      <c r="Z161">
        <f>IF('STERLING CATALOG - DRY '!3557:3557,"AAAAAD5v/Rk=",0)</f>
        <v>0</v>
      </c>
      <c r="AA161" t="e">
        <f>AND('STERLING CATALOG - DRY '!A3557,"AAAAAD5v/Ro=")</f>
        <v>#VALUE!</v>
      </c>
      <c r="AB161" t="e">
        <f>AND('STERLING CATALOG - DRY '!B3557,"AAAAAD5v/Rs=")</f>
        <v>#VALUE!</v>
      </c>
      <c r="AC161" t="e">
        <f>AND('STERLING CATALOG - DRY '!C3557,"AAAAAD5v/Rw=")</f>
        <v>#VALUE!</v>
      </c>
      <c r="AD161" t="e">
        <f>AND('STERLING CATALOG - DRY '!D3557,"AAAAAD5v/R0=")</f>
        <v>#VALUE!</v>
      </c>
      <c r="AE161" t="e">
        <f>AND('STERLING CATALOG - DRY '!E3557,"AAAAAD5v/R4=")</f>
        <v>#VALUE!</v>
      </c>
      <c r="AF161" t="e">
        <f>AND('STERLING CATALOG - DRY '!F3557,"AAAAAD5v/R8=")</f>
        <v>#VALUE!</v>
      </c>
      <c r="AG161" t="e">
        <f>AND('STERLING CATALOG - DRY '!G3557,"AAAAAD5v/SA=")</f>
        <v>#VALUE!</v>
      </c>
      <c r="AH161" t="e">
        <f>AND('STERLING CATALOG - DRY '!H3557,"AAAAAD5v/SE=")</f>
        <v>#VALUE!</v>
      </c>
      <c r="AI161" t="e">
        <f>AND('STERLING CATALOG - DRY '!I3557,"AAAAAD5v/SI=")</f>
        <v>#VALUE!</v>
      </c>
      <c r="AJ161" t="e">
        <f>AND('STERLING CATALOG - DRY '!J3557,"AAAAAD5v/SM=")</f>
        <v>#VALUE!</v>
      </c>
      <c r="AK161">
        <f>IF('STERLING CATALOG - DRY '!3558:3558,"AAAAAD5v/SQ=",0)</f>
        <v>0</v>
      </c>
      <c r="AL161" t="e">
        <f>AND('STERLING CATALOG - DRY '!A3558,"AAAAAD5v/SU=")</f>
        <v>#VALUE!</v>
      </c>
      <c r="AM161" t="e">
        <f>AND('STERLING CATALOG - DRY '!B3558,"AAAAAD5v/SY=")</f>
        <v>#VALUE!</v>
      </c>
      <c r="AN161" t="e">
        <f>AND('STERLING CATALOG - DRY '!C3558,"AAAAAD5v/Sc=")</f>
        <v>#VALUE!</v>
      </c>
      <c r="AO161" t="e">
        <f>AND('STERLING CATALOG - DRY '!D3558,"AAAAAD5v/Sg=")</f>
        <v>#VALUE!</v>
      </c>
      <c r="AP161" t="e">
        <f>AND('STERLING CATALOG - DRY '!E3558,"AAAAAD5v/Sk=")</f>
        <v>#VALUE!</v>
      </c>
      <c r="AQ161" t="e">
        <f>AND('STERLING CATALOG - DRY '!F3558,"AAAAAD5v/So=")</f>
        <v>#VALUE!</v>
      </c>
      <c r="AR161" t="e">
        <f>AND('STERLING CATALOG - DRY '!G3558,"AAAAAD5v/Ss=")</f>
        <v>#VALUE!</v>
      </c>
      <c r="AS161" t="e">
        <f>AND('STERLING CATALOG - DRY '!H3558,"AAAAAD5v/Sw=")</f>
        <v>#VALUE!</v>
      </c>
      <c r="AT161" t="e">
        <f>AND('STERLING CATALOG - DRY '!I3558,"AAAAAD5v/S0=")</f>
        <v>#VALUE!</v>
      </c>
      <c r="AU161" t="e">
        <f>AND('STERLING CATALOG - DRY '!J3558,"AAAAAD5v/S4=")</f>
        <v>#VALUE!</v>
      </c>
      <c r="AV161">
        <f>IF('STERLING CATALOG - DRY '!3559:3559,"AAAAAD5v/S8=",0)</f>
        <v>0</v>
      </c>
      <c r="AW161" t="e">
        <f>AND('STERLING CATALOG - DRY '!A3559,"AAAAAD5v/TA=")</f>
        <v>#VALUE!</v>
      </c>
      <c r="AX161" t="e">
        <f>AND('STERLING CATALOG - DRY '!B3559,"AAAAAD5v/TE=")</f>
        <v>#VALUE!</v>
      </c>
      <c r="AY161" t="e">
        <f>AND('STERLING CATALOG - DRY '!C3559,"AAAAAD5v/TI=")</f>
        <v>#VALUE!</v>
      </c>
      <c r="AZ161" t="e">
        <f>AND('STERLING CATALOG - DRY '!D3559,"AAAAAD5v/TM=")</f>
        <v>#VALUE!</v>
      </c>
      <c r="BA161" t="e">
        <f>AND('STERLING CATALOG - DRY '!E3559,"AAAAAD5v/TQ=")</f>
        <v>#VALUE!</v>
      </c>
      <c r="BB161" t="e">
        <f>AND('STERLING CATALOG - DRY '!F3559,"AAAAAD5v/TU=")</f>
        <v>#VALUE!</v>
      </c>
      <c r="BC161" t="e">
        <f>AND('STERLING CATALOG - DRY '!G3559,"AAAAAD5v/TY=")</f>
        <v>#VALUE!</v>
      </c>
      <c r="BD161" t="e">
        <f>AND('STERLING CATALOG - DRY '!H3559,"AAAAAD5v/Tc=")</f>
        <v>#VALUE!</v>
      </c>
      <c r="BE161" t="e">
        <f>AND('STERLING CATALOG - DRY '!I3559,"AAAAAD5v/Tg=")</f>
        <v>#VALUE!</v>
      </c>
      <c r="BF161" t="e">
        <f>AND('STERLING CATALOG - DRY '!J3559,"AAAAAD5v/Tk=")</f>
        <v>#VALUE!</v>
      </c>
      <c r="BG161">
        <f>IF('STERLING CATALOG - DRY '!3560:3560,"AAAAAD5v/To=",0)</f>
        <v>0</v>
      </c>
      <c r="BH161" t="e">
        <f>AND('STERLING CATALOG - DRY '!A3560,"AAAAAD5v/Ts=")</f>
        <v>#VALUE!</v>
      </c>
      <c r="BI161" t="e">
        <f>AND('STERLING CATALOG - DRY '!B3560,"AAAAAD5v/Tw=")</f>
        <v>#VALUE!</v>
      </c>
      <c r="BJ161" t="e">
        <f>AND('STERLING CATALOG - DRY '!C3560,"AAAAAD5v/T0=")</f>
        <v>#VALUE!</v>
      </c>
      <c r="BK161" t="e">
        <f>AND('STERLING CATALOG - DRY '!D3560,"AAAAAD5v/T4=")</f>
        <v>#VALUE!</v>
      </c>
      <c r="BL161" t="e">
        <f>AND('STERLING CATALOG - DRY '!E3560,"AAAAAD5v/T8=")</f>
        <v>#VALUE!</v>
      </c>
      <c r="BM161" t="e">
        <f>AND('STERLING CATALOG - DRY '!F3560,"AAAAAD5v/UA=")</f>
        <v>#VALUE!</v>
      </c>
      <c r="BN161" t="e">
        <f>AND('STERLING CATALOG - DRY '!G3560,"AAAAAD5v/UE=")</f>
        <v>#VALUE!</v>
      </c>
      <c r="BO161" t="e">
        <f>AND('STERLING CATALOG - DRY '!H3560,"AAAAAD5v/UI=")</f>
        <v>#VALUE!</v>
      </c>
      <c r="BP161" t="e">
        <f>AND('STERLING CATALOG - DRY '!I3560,"AAAAAD5v/UM=")</f>
        <v>#VALUE!</v>
      </c>
      <c r="BQ161" t="e">
        <f>AND('STERLING CATALOG - DRY '!J3560,"AAAAAD5v/UQ=")</f>
        <v>#VALUE!</v>
      </c>
      <c r="BR161">
        <f>IF('STERLING CATALOG - DRY '!3561:3561,"AAAAAD5v/UU=",0)</f>
        <v>0</v>
      </c>
      <c r="BS161" t="e">
        <f>AND('STERLING CATALOG - DRY '!A3561,"AAAAAD5v/UY=")</f>
        <v>#VALUE!</v>
      </c>
      <c r="BT161" t="e">
        <f>AND('STERLING CATALOG - DRY '!B3561,"AAAAAD5v/Uc=")</f>
        <v>#VALUE!</v>
      </c>
      <c r="BU161" t="e">
        <f>AND('STERLING CATALOG - DRY '!C3561,"AAAAAD5v/Ug=")</f>
        <v>#VALUE!</v>
      </c>
      <c r="BV161" t="e">
        <f>AND('STERLING CATALOG - DRY '!D3561,"AAAAAD5v/Uk=")</f>
        <v>#VALUE!</v>
      </c>
      <c r="BW161" t="e">
        <f>AND('STERLING CATALOG - DRY '!E3561,"AAAAAD5v/Uo=")</f>
        <v>#VALUE!</v>
      </c>
      <c r="BX161" t="e">
        <f>AND('STERLING CATALOG - DRY '!F3561,"AAAAAD5v/Us=")</f>
        <v>#VALUE!</v>
      </c>
      <c r="BY161" t="e">
        <f>AND('STERLING CATALOG - DRY '!G3561,"AAAAAD5v/Uw=")</f>
        <v>#VALUE!</v>
      </c>
      <c r="BZ161" t="e">
        <f>AND('STERLING CATALOG - DRY '!H3561,"AAAAAD5v/U0=")</f>
        <v>#VALUE!</v>
      </c>
      <c r="CA161" t="e">
        <f>AND('STERLING CATALOG - DRY '!I3561,"AAAAAD5v/U4=")</f>
        <v>#VALUE!</v>
      </c>
      <c r="CB161" t="e">
        <f>AND('STERLING CATALOG - DRY '!J3561,"AAAAAD5v/U8=")</f>
        <v>#VALUE!</v>
      </c>
      <c r="CC161">
        <f>IF('STERLING CATALOG - DRY '!3562:3562,"AAAAAD5v/VA=",0)</f>
        <v>0</v>
      </c>
      <c r="CD161" t="e">
        <f>AND('STERLING CATALOG - DRY '!A3562,"AAAAAD5v/VE=")</f>
        <v>#VALUE!</v>
      </c>
      <c r="CE161" t="e">
        <f>AND('STERLING CATALOG - DRY '!B3562,"AAAAAD5v/VI=")</f>
        <v>#VALUE!</v>
      </c>
      <c r="CF161" t="e">
        <f>AND('STERLING CATALOG - DRY '!C3562,"AAAAAD5v/VM=")</f>
        <v>#VALUE!</v>
      </c>
      <c r="CG161" t="e">
        <f>AND('STERLING CATALOG - DRY '!D3562,"AAAAAD5v/VQ=")</f>
        <v>#VALUE!</v>
      </c>
      <c r="CH161" t="e">
        <f>AND('STERLING CATALOG - DRY '!E3562,"AAAAAD5v/VU=")</f>
        <v>#VALUE!</v>
      </c>
      <c r="CI161" t="e">
        <f>AND('STERLING CATALOG - DRY '!F3562,"AAAAAD5v/VY=")</f>
        <v>#VALUE!</v>
      </c>
      <c r="CJ161" t="e">
        <f>AND('STERLING CATALOG - DRY '!G3562,"AAAAAD5v/Vc=")</f>
        <v>#VALUE!</v>
      </c>
      <c r="CK161" t="e">
        <f>AND('STERLING CATALOG - DRY '!H3562,"AAAAAD5v/Vg=")</f>
        <v>#VALUE!</v>
      </c>
      <c r="CL161" t="e">
        <f>AND('STERLING CATALOG - DRY '!I3562,"AAAAAD5v/Vk=")</f>
        <v>#VALUE!</v>
      </c>
      <c r="CM161" t="e">
        <f>AND('STERLING CATALOG - DRY '!J3562,"AAAAAD5v/Vo=")</f>
        <v>#VALUE!</v>
      </c>
      <c r="CN161">
        <f>IF('STERLING CATALOG - DRY '!3563:3563,"AAAAAD5v/Vs=",0)</f>
        <v>0</v>
      </c>
      <c r="CO161" t="e">
        <f>AND('STERLING CATALOG - DRY '!A3563,"AAAAAD5v/Vw=")</f>
        <v>#VALUE!</v>
      </c>
      <c r="CP161" t="e">
        <f>AND('STERLING CATALOG - DRY '!B3563,"AAAAAD5v/V0=")</f>
        <v>#VALUE!</v>
      </c>
      <c r="CQ161" t="e">
        <f>AND('STERLING CATALOG - DRY '!C3563,"AAAAAD5v/V4=")</f>
        <v>#VALUE!</v>
      </c>
      <c r="CR161" t="e">
        <f>AND('STERLING CATALOG - DRY '!D3563,"AAAAAD5v/V8=")</f>
        <v>#VALUE!</v>
      </c>
      <c r="CS161" t="e">
        <f>AND('STERLING CATALOG - DRY '!E3563,"AAAAAD5v/WA=")</f>
        <v>#VALUE!</v>
      </c>
      <c r="CT161" t="e">
        <f>AND('STERLING CATALOG - DRY '!F3563,"AAAAAD5v/WE=")</f>
        <v>#VALUE!</v>
      </c>
      <c r="CU161" t="e">
        <f>AND('STERLING CATALOG - DRY '!G3563,"AAAAAD5v/WI=")</f>
        <v>#VALUE!</v>
      </c>
      <c r="CV161" t="e">
        <f>AND('STERLING CATALOG - DRY '!H3563,"AAAAAD5v/WM=")</f>
        <v>#VALUE!</v>
      </c>
      <c r="CW161" t="e">
        <f>AND('STERLING CATALOG - DRY '!I3563,"AAAAAD5v/WQ=")</f>
        <v>#VALUE!</v>
      </c>
      <c r="CX161" t="e">
        <f>AND('STERLING CATALOG - DRY '!J3563,"AAAAAD5v/WU=")</f>
        <v>#VALUE!</v>
      </c>
      <c r="CY161">
        <f>IF('STERLING CATALOG - DRY '!3564:3564,"AAAAAD5v/WY=",0)</f>
        <v>0</v>
      </c>
      <c r="CZ161" t="e">
        <f>AND('STERLING CATALOG - DRY '!A3564,"AAAAAD5v/Wc=")</f>
        <v>#VALUE!</v>
      </c>
      <c r="DA161" t="e">
        <f>AND('STERLING CATALOG - DRY '!B3564,"AAAAAD5v/Wg=")</f>
        <v>#VALUE!</v>
      </c>
      <c r="DB161" t="e">
        <f>AND('STERLING CATALOG - DRY '!C3564,"AAAAAD5v/Wk=")</f>
        <v>#VALUE!</v>
      </c>
      <c r="DC161" t="e">
        <f>AND('STERLING CATALOG - DRY '!D3564,"AAAAAD5v/Wo=")</f>
        <v>#VALUE!</v>
      </c>
      <c r="DD161" t="e">
        <f>AND('STERLING CATALOG - DRY '!E3564,"AAAAAD5v/Ws=")</f>
        <v>#VALUE!</v>
      </c>
      <c r="DE161" t="e">
        <f>AND('STERLING CATALOG - DRY '!F3564,"AAAAAD5v/Ww=")</f>
        <v>#VALUE!</v>
      </c>
      <c r="DF161" t="e">
        <f>AND('STERLING CATALOG - DRY '!G3564,"AAAAAD5v/W0=")</f>
        <v>#VALUE!</v>
      </c>
      <c r="DG161" t="e">
        <f>AND('STERLING CATALOG - DRY '!H3564,"AAAAAD5v/W4=")</f>
        <v>#VALUE!</v>
      </c>
      <c r="DH161" t="e">
        <f>AND('STERLING CATALOG - DRY '!I3564,"AAAAAD5v/W8=")</f>
        <v>#VALUE!</v>
      </c>
      <c r="DI161" t="e">
        <f>AND('STERLING CATALOG - DRY '!J3564,"AAAAAD5v/XA=")</f>
        <v>#VALUE!</v>
      </c>
      <c r="DJ161">
        <f>IF('STERLING CATALOG - DRY '!3565:3565,"AAAAAD5v/XE=",0)</f>
        <v>0</v>
      </c>
      <c r="DK161" t="e">
        <f>AND('STERLING CATALOG - DRY '!A3565,"AAAAAD5v/XI=")</f>
        <v>#VALUE!</v>
      </c>
      <c r="DL161" t="e">
        <f>AND('STERLING CATALOG - DRY '!B3565,"AAAAAD5v/XM=")</f>
        <v>#VALUE!</v>
      </c>
      <c r="DM161" t="e">
        <f>AND('STERLING CATALOG - DRY '!C3565,"AAAAAD5v/XQ=")</f>
        <v>#VALUE!</v>
      </c>
      <c r="DN161" t="e">
        <f>AND('STERLING CATALOG - DRY '!D3565,"AAAAAD5v/XU=")</f>
        <v>#VALUE!</v>
      </c>
      <c r="DO161" t="e">
        <f>AND('STERLING CATALOG - DRY '!E3565,"AAAAAD5v/XY=")</f>
        <v>#VALUE!</v>
      </c>
      <c r="DP161" t="e">
        <f>AND('STERLING CATALOG - DRY '!F3565,"AAAAAD5v/Xc=")</f>
        <v>#VALUE!</v>
      </c>
      <c r="DQ161" t="e">
        <f>AND('STERLING CATALOG - DRY '!G3565,"AAAAAD5v/Xg=")</f>
        <v>#VALUE!</v>
      </c>
      <c r="DR161" t="e">
        <f>AND('STERLING CATALOG - DRY '!H3565,"AAAAAD5v/Xk=")</f>
        <v>#VALUE!</v>
      </c>
      <c r="DS161" t="e">
        <f>AND('STERLING CATALOG - DRY '!I3565,"AAAAAD5v/Xo=")</f>
        <v>#VALUE!</v>
      </c>
      <c r="DT161" t="e">
        <f>AND('STERLING CATALOG - DRY '!J3565,"AAAAAD5v/Xs=")</f>
        <v>#VALUE!</v>
      </c>
      <c r="DU161">
        <f>IF('STERLING CATALOG - DRY '!3566:3566,"AAAAAD5v/Xw=",0)</f>
        <v>0</v>
      </c>
      <c r="DV161" t="e">
        <f>AND('STERLING CATALOG - DRY '!A3566,"AAAAAD5v/X0=")</f>
        <v>#VALUE!</v>
      </c>
      <c r="DW161" t="e">
        <f>AND('STERLING CATALOG - DRY '!B3566,"AAAAAD5v/X4=")</f>
        <v>#VALUE!</v>
      </c>
      <c r="DX161" t="e">
        <f>AND('STERLING CATALOG - DRY '!C3566,"AAAAAD5v/X8=")</f>
        <v>#VALUE!</v>
      </c>
      <c r="DY161" t="e">
        <f>AND('STERLING CATALOG - DRY '!D3566,"AAAAAD5v/YA=")</f>
        <v>#VALUE!</v>
      </c>
      <c r="DZ161" t="e">
        <f>AND('STERLING CATALOG - DRY '!E3566,"AAAAAD5v/YE=")</f>
        <v>#VALUE!</v>
      </c>
      <c r="EA161" t="e">
        <f>AND('STERLING CATALOG - DRY '!F3566,"AAAAAD5v/YI=")</f>
        <v>#VALUE!</v>
      </c>
      <c r="EB161" t="e">
        <f>AND('STERLING CATALOG - DRY '!G3566,"AAAAAD5v/YM=")</f>
        <v>#VALUE!</v>
      </c>
      <c r="EC161" t="e">
        <f>AND('STERLING CATALOG - DRY '!H3566,"AAAAAD5v/YQ=")</f>
        <v>#VALUE!</v>
      </c>
      <c r="ED161" t="e">
        <f>AND('STERLING CATALOG - DRY '!I3566,"AAAAAD5v/YU=")</f>
        <v>#VALUE!</v>
      </c>
      <c r="EE161" t="e">
        <f>AND('STERLING CATALOG - DRY '!J3566,"AAAAAD5v/YY=")</f>
        <v>#VALUE!</v>
      </c>
      <c r="EF161">
        <f>IF('STERLING CATALOG - DRY '!3567:3567,"AAAAAD5v/Yc=",0)</f>
        <v>0</v>
      </c>
      <c r="EG161" t="e">
        <f>AND('STERLING CATALOG - DRY '!A3567,"AAAAAD5v/Yg=")</f>
        <v>#VALUE!</v>
      </c>
      <c r="EH161" t="e">
        <f>AND('STERLING CATALOG - DRY '!B3567,"AAAAAD5v/Yk=")</f>
        <v>#VALUE!</v>
      </c>
      <c r="EI161" t="e">
        <f>AND('STERLING CATALOG - DRY '!C3567,"AAAAAD5v/Yo=")</f>
        <v>#VALUE!</v>
      </c>
      <c r="EJ161" t="e">
        <f>AND('STERLING CATALOG - DRY '!D3567,"AAAAAD5v/Ys=")</f>
        <v>#VALUE!</v>
      </c>
      <c r="EK161" t="e">
        <f>AND('STERLING CATALOG - DRY '!E3567,"AAAAAD5v/Yw=")</f>
        <v>#VALUE!</v>
      </c>
      <c r="EL161" t="e">
        <f>AND('STERLING CATALOG - DRY '!F3567,"AAAAAD5v/Y0=")</f>
        <v>#VALUE!</v>
      </c>
      <c r="EM161" t="e">
        <f>AND('STERLING CATALOG - DRY '!G3567,"AAAAAD5v/Y4=")</f>
        <v>#VALUE!</v>
      </c>
      <c r="EN161" t="e">
        <f>AND('STERLING CATALOG - DRY '!H3567,"AAAAAD5v/Y8=")</f>
        <v>#VALUE!</v>
      </c>
      <c r="EO161" t="e">
        <f>AND('STERLING CATALOG - DRY '!I3567,"AAAAAD5v/ZA=")</f>
        <v>#VALUE!</v>
      </c>
      <c r="EP161" t="e">
        <f>AND('STERLING CATALOG - DRY '!J3567,"AAAAAD5v/ZE=")</f>
        <v>#VALUE!</v>
      </c>
      <c r="EQ161">
        <f>IF('STERLING CATALOG - DRY '!3568:3568,"AAAAAD5v/ZI=",0)</f>
        <v>0</v>
      </c>
      <c r="ER161" t="e">
        <f>AND('STERLING CATALOG - DRY '!A3568,"AAAAAD5v/ZM=")</f>
        <v>#VALUE!</v>
      </c>
      <c r="ES161" t="e">
        <f>AND('STERLING CATALOG - DRY '!B3568,"AAAAAD5v/ZQ=")</f>
        <v>#VALUE!</v>
      </c>
      <c r="ET161" t="e">
        <f>AND('STERLING CATALOG - DRY '!C3568,"AAAAAD5v/ZU=")</f>
        <v>#VALUE!</v>
      </c>
      <c r="EU161" t="e">
        <f>AND('STERLING CATALOG - DRY '!D3568,"AAAAAD5v/ZY=")</f>
        <v>#VALUE!</v>
      </c>
      <c r="EV161" t="e">
        <f>AND('STERLING CATALOG - DRY '!E3568,"AAAAAD5v/Zc=")</f>
        <v>#VALUE!</v>
      </c>
      <c r="EW161" t="e">
        <f>AND('STERLING CATALOG - DRY '!F3568,"AAAAAD5v/Zg=")</f>
        <v>#VALUE!</v>
      </c>
      <c r="EX161" t="e">
        <f>AND('STERLING CATALOG - DRY '!G3568,"AAAAAD5v/Zk=")</f>
        <v>#VALUE!</v>
      </c>
      <c r="EY161" t="e">
        <f>AND('STERLING CATALOG - DRY '!H3568,"AAAAAD5v/Zo=")</f>
        <v>#VALUE!</v>
      </c>
      <c r="EZ161" t="e">
        <f>AND('STERLING CATALOG - DRY '!I3568,"AAAAAD5v/Zs=")</f>
        <v>#VALUE!</v>
      </c>
      <c r="FA161" t="e">
        <f>AND('STERLING CATALOG - DRY '!J3568,"AAAAAD5v/Zw=")</f>
        <v>#VALUE!</v>
      </c>
      <c r="FB161">
        <f>IF('STERLING CATALOG - DRY '!3569:3569,"AAAAAD5v/Z0=",0)</f>
        <v>0</v>
      </c>
      <c r="FC161" t="e">
        <f>AND('STERLING CATALOG - DRY '!A3569,"AAAAAD5v/Z4=")</f>
        <v>#VALUE!</v>
      </c>
      <c r="FD161" t="e">
        <f>AND('STERLING CATALOG - DRY '!B3569,"AAAAAD5v/Z8=")</f>
        <v>#VALUE!</v>
      </c>
      <c r="FE161" t="e">
        <f>AND('STERLING CATALOG - DRY '!C3569,"AAAAAD5v/aA=")</f>
        <v>#VALUE!</v>
      </c>
      <c r="FF161" t="e">
        <f>AND('STERLING CATALOG - DRY '!D3569,"AAAAAD5v/aE=")</f>
        <v>#VALUE!</v>
      </c>
      <c r="FG161" t="e">
        <f>AND('STERLING CATALOG - DRY '!E3569,"AAAAAD5v/aI=")</f>
        <v>#VALUE!</v>
      </c>
      <c r="FH161" t="e">
        <f>AND('STERLING CATALOG - DRY '!F3569,"AAAAAD5v/aM=")</f>
        <v>#VALUE!</v>
      </c>
      <c r="FI161" t="e">
        <f>AND('STERLING CATALOG - DRY '!G3569,"AAAAAD5v/aQ=")</f>
        <v>#VALUE!</v>
      </c>
      <c r="FJ161" t="e">
        <f>AND('STERLING CATALOG - DRY '!H3569,"AAAAAD5v/aU=")</f>
        <v>#VALUE!</v>
      </c>
      <c r="FK161" t="e">
        <f>AND('STERLING CATALOG - DRY '!I3569,"AAAAAD5v/aY=")</f>
        <v>#VALUE!</v>
      </c>
      <c r="FL161" t="e">
        <f>AND('STERLING CATALOG - DRY '!J3569,"AAAAAD5v/ac=")</f>
        <v>#VALUE!</v>
      </c>
      <c r="FM161">
        <f>IF('STERLING CATALOG - DRY '!3570:3570,"AAAAAD5v/ag=",0)</f>
        <v>0</v>
      </c>
      <c r="FN161" t="e">
        <f>AND('STERLING CATALOG - DRY '!A3570,"AAAAAD5v/ak=")</f>
        <v>#VALUE!</v>
      </c>
      <c r="FO161" t="e">
        <f>AND('STERLING CATALOG - DRY '!B3570,"AAAAAD5v/ao=")</f>
        <v>#VALUE!</v>
      </c>
      <c r="FP161" t="e">
        <f>AND('STERLING CATALOG - DRY '!C3570,"AAAAAD5v/as=")</f>
        <v>#VALUE!</v>
      </c>
      <c r="FQ161" t="e">
        <f>AND('STERLING CATALOG - DRY '!D3570,"AAAAAD5v/aw=")</f>
        <v>#VALUE!</v>
      </c>
      <c r="FR161" t="e">
        <f>AND('STERLING CATALOG - DRY '!E3570,"AAAAAD5v/a0=")</f>
        <v>#VALUE!</v>
      </c>
      <c r="FS161" t="e">
        <f>AND('STERLING CATALOG - DRY '!F3570,"AAAAAD5v/a4=")</f>
        <v>#VALUE!</v>
      </c>
      <c r="FT161" t="e">
        <f>AND('STERLING CATALOG - DRY '!G3570,"AAAAAD5v/a8=")</f>
        <v>#VALUE!</v>
      </c>
      <c r="FU161" t="e">
        <f>AND('STERLING CATALOG - DRY '!H3570,"AAAAAD5v/bA=")</f>
        <v>#VALUE!</v>
      </c>
      <c r="FV161" t="e">
        <f>AND('STERLING CATALOG - DRY '!I3570,"AAAAAD5v/bE=")</f>
        <v>#VALUE!</v>
      </c>
      <c r="FW161" t="e">
        <f>AND('STERLING CATALOG - DRY '!J3570,"AAAAAD5v/bI=")</f>
        <v>#VALUE!</v>
      </c>
      <c r="FX161">
        <f>IF('STERLING CATALOG - DRY '!3571:3571,"AAAAAD5v/bM=",0)</f>
        <v>0</v>
      </c>
      <c r="FY161" t="e">
        <f>AND('STERLING CATALOG - DRY '!A3571,"AAAAAD5v/bQ=")</f>
        <v>#VALUE!</v>
      </c>
      <c r="FZ161" t="e">
        <f>AND('STERLING CATALOG - DRY '!B3571,"AAAAAD5v/bU=")</f>
        <v>#VALUE!</v>
      </c>
      <c r="GA161" t="e">
        <f>AND('STERLING CATALOG - DRY '!C3571,"AAAAAD5v/bY=")</f>
        <v>#VALUE!</v>
      </c>
      <c r="GB161" t="e">
        <f>AND('STERLING CATALOG - DRY '!D3571,"AAAAAD5v/bc=")</f>
        <v>#VALUE!</v>
      </c>
      <c r="GC161" t="e">
        <f>AND('STERLING CATALOG - DRY '!E3571,"AAAAAD5v/bg=")</f>
        <v>#VALUE!</v>
      </c>
      <c r="GD161" t="e">
        <f>AND('STERLING CATALOG - DRY '!F3571,"AAAAAD5v/bk=")</f>
        <v>#VALUE!</v>
      </c>
      <c r="GE161" t="e">
        <f>AND('STERLING CATALOG - DRY '!G3571,"AAAAAD5v/bo=")</f>
        <v>#VALUE!</v>
      </c>
      <c r="GF161" t="e">
        <f>AND('STERLING CATALOG - DRY '!H3571,"AAAAAD5v/bs=")</f>
        <v>#VALUE!</v>
      </c>
      <c r="GG161" t="e">
        <f>AND('STERLING CATALOG - DRY '!I3571,"AAAAAD5v/bw=")</f>
        <v>#VALUE!</v>
      </c>
      <c r="GH161" t="e">
        <f>AND('STERLING CATALOG - DRY '!J3571,"AAAAAD5v/b0=")</f>
        <v>#VALUE!</v>
      </c>
      <c r="GI161">
        <f>IF('STERLING CATALOG - DRY '!3572:3572,"AAAAAD5v/b4=",0)</f>
        <v>0</v>
      </c>
      <c r="GJ161" t="e">
        <f>AND('STERLING CATALOG - DRY '!A3572,"AAAAAD5v/b8=")</f>
        <v>#VALUE!</v>
      </c>
      <c r="GK161" t="e">
        <f>AND('STERLING CATALOG - DRY '!B3572,"AAAAAD5v/cA=")</f>
        <v>#VALUE!</v>
      </c>
      <c r="GL161" t="e">
        <f>AND('STERLING CATALOG - DRY '!C3572,"AAAAAD5v/cE=")</f>
        <v>#VALUE!</v>
      </c>
      <c r="GM161" t="e">
        <f>AND('STERLING CATALOG - DRY '!D3572,"AAAAAD5v/cI=")</f>
        <v>#VALUE!</v>
      </c>
      <c r="GN161" t="e">
        <f>AND('STERLING CATALOG - DRY '!E3572,"AAAAAD5v/cM=")</f>
        <v>#VALUE!</v>
      </c>
      <c r="GO161" t="e">
        <f>AND('STERLING CATALOG - DRY '!F3572,"AAAAAD5v/cQ=")</f>
        <v>#VALUE!</v>
      </c>
      <c r="GP161" t="e">
        <f>AND('STERLING CATALOG - DRY '!G3572,"AAAAAD5v/cU=")</f>
        <v>#VALUE!</v>
      </c>
      <c r="GQ161" t="e">
        <f>AND('STERLING CATALOG - DRY '!H3572,"AAAAAD5v/cY=")</f>
        <v>#VALUE!</v>
      </c>
      <c r="GR161" t="e">
        <f>AND('STERLING CATALOG - DRY '!I3572,"AAAAAD5v/cc=")</f>
        <v>#VALUE!</v>
      </c>
      <c r="GS161" t="e">
        <f>AND('STERLING CATALOG - DRY '!J3572,"AAAAAD5v/cg=")</f>
        <v>#VALUE!</v>
      </c>
      <c r="GT161">
        <f>IF('STERLING CATALOG - DRY '!3573:3573,"AAAAAD5v/ck=",0)</f>
        <v>0</v>
      </c>
      <c r="GU161" t="e">
        <f>AND('STERLING CATALOG - DRY '!A3573,"AAAAAD5v/co=")</f>
        <v>#VALUE!</v>
      </c>
      <c r="GV161" t="e">
        <f>AND('STERLING CATALOG - DRY '!B3573,"AAAAAD5v/cs=")</f>
        <v>#VALUE!</v>
      </c>
      <c r="GW161" t="e">
        <f>AND('STERLING CATALOG - DRY '!C3573,"AAAAAD5v/cw=")</f>
        <v>#VALUE!</v>
      </c>
      <c r="GX161" t="e">
        <f>AND('STERLING CATALOG - DRY '!D3573,"AAAAAD5v/c0=")</f>
        <v>#VALUE!</v>
      </c>
      <c r="GY161" t="e">
        <f>AND('STERLING CATALOG - DRY '!E3573,"AAAAAD5v/c4=")</f>
        <v>#VALUE!</v>
      </c>
      <c r="GZ161" t="e">
        <f>AND('STERLING CATALOG - DRY '!F3573,"AAAAAD5v/c8=")</f>
        <v>#VALUE!</v>
      </c>
      <c r="HA161" t="e">
        <f>AND('STERLING CATALOG - DRY '!G3573,"AAAAAD5v/dA=")</f>
        <v>#VALUE!</v>
      </c>
      <c r="HB161" t="e">
        <f>AND('STERLING CATALOG - DRY '!H3573,"AAAAAD5v/dE=")</f>
        <v>#VALUE!</v>
      </c>
      <c r="HC161" t="e">
        <f>AND('STERLING CATALOG - DRY '!I3573,"AAAAAD5v/dI=")</f>
        <v>#VALUE!</v>
      </c>
      <c r="HD161" t="e">
        <f>AND('STERLING CATALOG - DRY '!J3573,"AAAAAD5v/dM=")</f>
        <v>#VALUE!</v>
      </c>
      <c r="HE161">
        <f>IF('STERLING CATALOG - DRY '!3574:3574,"AAAAAD5v/dQ=",0)</f>
        <v>0</v>
      </c>
      <c r="HF161" t="e">
        <f>AND('STERLING CATALOG - DRY '!A3574,"AAAAAD5v/dU=")</f>
        <v>#VALUE!</v>
      </c>
      <c r="HG161" t="e">
        <f>AND('STERLING CATALOG - DRY '!B3574,"AAAAAD5v/dY=")</f>
        <v>#VALUE!</v>
      </c>
      <c r="HH161" t="e">
        <f>AND('STERLING CATALOG - DRY '!C3574,"AAAAAD5v/dc=")</f>
        <v>#VALUE!</v>
      </c>
      <c r="HI161" t="e">
        <f>AND('STERLING CATALOG - DRY '!D3574,"AAAAAD5v/dg=")</f>
        <v>#VALUE!</v>
      </c>
      <c r="HJ161" t="e">
        <f>AND('STERLING CATALOG - DRY '!E3574,"AAAAAD5v/dk=")</f>
        <v>#VALUE!</v>
      </c>
      <c r="HK161" t="e">
        <f>AND('STERLING CATALOG - DRY '!F3574,"AAAAAD5v/do=")</f>
        <v>#VALUE!</v>
      </c>
      <c r="HL161" t="e">
        <f>AND('STERLING CATALOG - DRY '!G3574,"AAAAAD5v/ds=")</f>
        <v>#VALUE!</v>
      </c>
      <c r="HM161" t="e">
        <f>AND('STERLING CATALOG - DRY '!H3574,"AAAAAD5v/dw=")</f>
        <v>#VALUE!</v>
      </c>
      <c r="HN161" t="e">
        <f>AND('STERLING CATALOG - DRY '!I3574,"AAAAAD5v/d0=")</f>
        <v>#VALUE!</v>
      </c>
      <c r="HO161" t="e">
        <f>AND('STERLING CATALOG - DRY '!J3574,"AAAAAD5v/d4=")</f>
        <v>#VALUE!</v>
      </c>
      <c r="HP161">
        <f>IF('STERLING CATALOG - DRY '!3575:3575,"AAAAAD5v/d8=",0)</f>
        <v>0</v>
      </c>
      <c r="HQ161" t="e">
        <f>AND('STERLING CATALOG - DRY '!A3575,"AAAAAD5v/eA=")</f>
        <v>#VALUE!</v>
      </c>
      <c r="HR161" t="e">
        <f>AND('STERLING CATALOG - DRY '!B3575,"AAAAAD5v/eE=")</f>
        <v>#VALUE!</v>
      </c>
      <c r="HS161" t="e">
        <f>AND('STERLING CATALOG - DRY '!C3575,"AAAAAD5v/eI=")</f>
        <v>#VALUE!</v>
      </c>
      <c r="HT161" t="e">
        <f>AND('STERLING CATALOG - DRY '!D3575,"AAAAAD5v/eM=")</f>
        <v>#VALUE!</v>
      </c>
      <c r="HU161" t="e">
        <f>AND('STERLING CATALOG - DRY '!E3575,"AAAAAD5v/eQ=")</f>
        <v>#VALUE!</v>
      </c>
      <c r="HV161" t="e">
        <f>AND('STERLING CATALOG - DRY '!F3575,"AAAAAD5v/eU=")</f>
        <v>#VALUE!</v>
      </c>
      <c r="HW161" t="e">
        <f>AND('STERLING CATALOG - DRY '!G3575,"AAAAAD5v/eY=")</f>
        <v>#VALUE!</v>
      </c>
      <c r="HX161" t="e">
        <f>AND('STERLING CATALOG - DRY '!H3575,"AAAAAD5v/ec=")</f>
        <v>#VALUE!</v>
      </c>
      <c r="HY161" t="e">
        <f>AND('STERLING CATALOG - DRY '!I3575,"AAAAAD5v/eg=")</f>
        <v>#VALUE!</v>
      </c>
      <c r="HZ161" t="e">
        <f>AND('STERLING CATALOG - DRY '!J3575,"AAAAAD5v/ek=")</f>
        <v>#VALUE!</v>
      </c>
      <c r="IA161">
        <f>IF('STERLING CATALOG - DRY '!3576:3576,"AAAAAD5v/eo=",0)</f>
        <v>0</v>
      </c>
      <c r="IB161" t="e">
        <f>AND('STERLING CATALOG - DRY '!A3576,"AAAAAD5v/es=")</f>
        <v>#VALUE!</v>
      </c>
      <c r="IC161" t="e">
        <f>AND('STERLING CATALOG - DRY '!B3576,"AAAAAD5v/ew=")</f>
        <v>#VALUE!</v>
      </c>
      <c r="ID161" t="e">
        <f>AND('STERLING CATALOG - DRY '!C3576,"AAAAAD5v/e0=")</f>
        <v>#VALUE!</v>
      </c>
      <c r="IE161" t="e">
        <f>AND('STERLING CATALOG - DRY '!D3576,"AAAAAD5v/e4=")</f>
        <v>#VALUE!</v>
      </c>
      <c r="IF161" t="e">
        <f>AND('STERLING CATALOG - DRY '!E3576,"AAAAAD5v/e8=")</f>
        <v>#VALUE!</v>
      </c>
      <c r="IG161" t="e">
        <f>AND('STERLING CATALOG - DRY '!F3576,"AAAAAD5v/fA=")</f>
        <v>#VALUE!</v>
      </c>
      <c r="IH161" t="e">
        <f>AND('STERLING CATALOG - DRY '!G3576,"AAAAAD5v/fE=")</f>
        <v>#VALUE!</v>
      </c>
      <c r="II161" t="e">
        <f>AND('STERLING CATALOG - DRY '!H3576,"AAAAAD5v/fI=")</f>
        <v>#VALUE!</v>
      </c>
      <c r="IJ161" t="e">
        <f>AND('STERLING CATALOG - DRY '!I3576,"AAAAAD5v/fM=")</f>
        <v>#VALUE!</v>
      </c>
      <c r="IK161" t="e">
        <f>AND('STERLING CATALOG - DRY '!J3576,"AAAAAD5v/fQ=")</f>
        <v>#VALUE!</v>
      </c>
      <c r="IL161">
        <f>IF('STERLING CATALOG - DRY '!3577:3577,"AAAAAD5v/fU=",0)</f>
        <v>0</v>
      </c>
      <c r="IM161" t="e">
        <f>AND('STERLING CATALOG - DRY '!A3577,"AAAAAD5v/fY=")</f>
        <v>#VALUE!</v>
      </c>
      <c r="IN161" t="e">
        <f>AND('STERLING CATALOG - DRY '!B3577,"AAAAAD5v/fc=")</f>
        <v>#VALUE!</v>
      </c>
      <c r="IO161" t="e">
        <f>AND('STERLING CATALOG - DRY '!C3577,"AAAAAD5v/fg=")</f>
        <v>#VALUE!</v>
      </c>
      <c r="IP161" t="e">
        <f>AND('STERLING CATALOG - DRY '!D3577,"AAAAAD5v/fk=")</f>
        <v>#VALUE!</v>
      </c>
      <c r="IQ161" t="e">
        <f>AND('STERLING CATALOG - DRY '!E3577,"AAAAAD5v/fo=")</f>
        <v>#VALUE!</v>
      </c>
      <c r="IR161" t="e">
        <f>AND('STERLING CATALOG - DRY '!F3577,"AAAAAD5v/fs=")</f>
        <v>#VALUE!</v>
      </c>
      <c r="IS161" t="e">
        <f>AND('STERLING CATALOG - DRY '!G3577,"AAAAAD5v/fw=")</f>
        <v>#VALUE!</v>
      </c>
      <c r="IT161" t="e">
        <f>AND('STERLING CATALOG - DRY '!H3577,"AAAAAD5v/f0=")</f>
        <v>#VALUE!</v>
      </c>
      <c r="IU161" t="e">
        <f>AND('STERLING CATALOG - DRY '!I3577,"AAAAAD5v/f4=")</f>
        <v>#VALUE!</v>
      </c>
      <c r="IV161" t="e">
        <f>AND('STERLING CATALOG - DRY '!J3577,"AAAAAD5v/f8=")</f>
        <v>#VALUE!</v>
      </c>
    </row>
    <row r="162" spans="1:256">
      <c r="A162" t="str">
        <f>IF('STERLING CATALOG - DRY '!3578:3578,"AAAAAH9svQA=",0)</f>
        <v>AAAAAH9svQA=</v>
      </c>
      <c r="B162" t="e">
        <f>AND('STERLING CATALOG - DRY '!A3578,"AAAAAH9svQE=")</f>
        <v>#VALUE!</v>
      </c>
      <c r="C162" t="e">
        <f>AND('STERLING CATALOG - DRY '!B3578,"AAAAAH9svQI=")</f>
        <v>#VALUE!</v>
      </c>
      <c r="D162" t="e">
        <f>AND('STERLING CATALOG - DRY '!C3578,"AAAAAH9svQM=")</f>
        <v>#VALUE!</v>
      </c>
      <c r="E162" t="e">
        <f>AND('STERLING CATALOG - DRY '!D3578,"AAAAAH9svQQ=")</f>
        <v>#VALUE!</v>
      </c>
      <c r="F162" t="e">
        <f>AND('STERLING CATALOG - DRY '!E3578,"AAAAAH9svQU=")</f>
        <v>#VALUE!</v>
      </c>
      <c r="G162" t="e">
        <f>AND('STERLING CATALOG - DRY '!F3578,"AAAAAH9svQY=")</f>
        <v>#VALUE!</v>
      </c>
      <c r="H162" t="e">
        <f>AND('STERLING CATALOG - DRY '!G3578,"AAAAAH9svQc=")</f>
        <v>#VALUE!</v>
      </c>
      <c r="I162" t="e">
        <f>AND('STERLING CATALOG - DRY '!H3578,"AAAAAH9svQg=")</f>
        <v>#VALUE!</v>
      </c>
      <c r="J162" t="e">
        <f>AND('STERLING CATALOG - DRY '!I3578,"AAAAAH9svQk=")</f>
        <v>#VALUE!</v>
      </c>
      <c r="K162" t="e">
        <f>AND('STERLING CATALOG - DRY '!J3578,"AAAAAH9svQo=")</f>
        <v>#VALUE!</v>
      </c>
      <c r="L162">
        <f>IF('STERLING CATALOG - DRY '!3579:3579,"AAAAAH9svQs=",0)</f>
        <v>0</v>
      </c>
      <c r="M162" t="e">
        <f>AND('STERLING CATALOG - DRY '!A3579,"AAAAAH9svQw=")</f>
        <v>#VALUE!</v>
      </c>
      <c r="N162" t="e">
        <f>AND('STERLING CATALOG - DRY '!B3579,"AAAAAH9svQ0=")</f>
        <v>#VALUE!</v>
      </c>
      <c r="O162" t="e">
        <f>AND('STERLING CATALOG - DRY '!C3579,"AAAAAH9svQ4=")</f>
        <v>#VALUE!</v>
      </c>
      <c r="P162" t="e">
        <f>AND('STERLING CATALOG - DRY '!D3579,"AAAAAH9svQ8=")</f>
        <v>#VALUE!</v>
      </c>
      <c r="Q162" t="e">
        <f>AND('STERLING CATALOG - DRY '!E3579,"AAAAAH9svRA=")</f>
        <v>#VALUE!</v>
      </c>
      <c r="R162" t="e">
        <f>AND('STERLING CATALOG - DRY '!F3579,"AAAAAH9svRE=")</f>
        <v>#VALUE!</v>
      </c>
      <c r="S162" t="e">
        <f>AND('STERLING CATALOG - DRY '!G3579,"AAAAAH9svRI=")</f>
        <v>#VALUE!</v>
      </c>
      <c r="T162" t="e">
        <f>AND('STERLING CATALOG - DRY '!H3579,"AAAAAH9svRM=")</f>
        <v>#VALUE!</v>
      </c>
      <c r="U162" t="e">
        <f>AND('STERLING CATALOG - DRY '!I3579,"AAAAAH9svRQ=")</f>
        <v>#VALUE!</v>
      </c>
      <c r="V162" t="e">
        <f>AND('STERLING CATALOG - DRY '!J3579,"AAAAAH9svRU=")</f>
        <v>#VALUE!</v>
      </c>
      <c r="W162">
        <f>IF('STERLING CATALOG - DRY '!3580:3580,"AAAAAH9svRY=",0)</f>
        <v>0</v>
      </c>
      <c r="X162" t="e">
        <f>AND('STERLING CATALOG - DRY '!A3580,"AAAAAH9svRc=")</f>
        <v>#VALUE!</v>
      </c>
      <c r="Y162" t="e">
        <f>AND('STERLING CATALOG - DRY '!B3580,"AAAAAH9svRg=")</f>
        <v>#VALUE!</v>
      </c>
      <c r="Z162" t="e">
        <f>AND('STERLING CATALOG - DRY '!C3580,"AAAAAH9svRk=")</f>
        <v>#VALUE!</v>
      </c>
      <c r="AA162" t="e">
        <f>AND('STERLING CATALOG - DRY '!D3580,"AAAAAH9svRo=")</f>
        <v>#VALUE!</v>
      </c>
      <c r="AB162" t="e">
        <f>AND('STERLING CATALOG - DRY '!E3580,"AAAAAH9svRs=")</f>
        <v>#VALUE!</v>
      </c>
      <c r="AC162" t="e">
        <f>AND('STERLING CATALOG - DRY '!F3580,"AAAAAH9svRw=")</f>
        <v>#VALUE!</v>
      </c>
      <c r="AD162" t="e">
        <f>AND('STERLING CATALOG - DRY '!G3580,"AAAAAH9svR0=")</f>
        <v>#VALUE!</v>
      </c>
      <c r="AE162" t="e">
        <f>AND('STERLING CATALOG - DRY '!H3580,"AAAAAH9svR4=")</f>
        <v>#VALUE!</v>
      </c>
      <c r="AF162" t="e">
        <f>AND('STERLING CATALOG - DRY '!I3580,"AAAAAH9svR8=")</f>
        <v>#VALUE!</v>
      </c>
      <c r="AG162" t="e">
        <f>AND('STERLING CATALOG - DRY '!J3580,"AAAAAH9svSA=")</f>
        <v>#VALUE!</v>
      </c>
      <c r="AH162">
        <f>IF('STERLING CATALOG - DRY '!3581:3581,"AAAAAH9svSE=",0)</f>
        <v>0</v>
      </c>
      <c r="AI162" t="e">
        <f>AND('STERLING CATALOG - DRY '!A3581,"AAAAAH9svSI=")</f>
        <v>#VALUE!</v>
      </c>
      <c r="AJ162" t="e">
        <f>AND('STERLING CATALOG - DRY '!B3581,"AAAAAH9svSM=")</f>
        <v>#VALUE!</v>
      </c>
      <c r="AK162" t="e">
        <f>AND('STERLING CATALOG - DRY '!C3581,"AAAAAH9svSQ=")</f>
        <v>#VALUE!</v>
      </c>
      <c r="AL162" t="e">
        <f>AND('STERLING CATALOG - DRY '!D3581,"AAAAAH9svSU=")</f>
        <v>#VALUE!</v>
      </c>
      <c r="AM162" t="e">
        <f>AND('STERLING CATALOG - DRY '!E3581,"AAAAAH9svSY=")</f>
        <v>#VALUE!</v>
      </c>
      <c r="AN162" t="e">
        <f>AND('STERLING CATALOG - DRY '!F3581,"AAAAAH9svSc=")</f>
        <v>#VALUE!</v>
      </c>
      <c r="AO162" t="e">
        <f>AND('STERLING CATALOG - DRY '!G3581,"AAAAAH9svSg=")</f>
        <v>#VALUE!</v>
      </c>
      <c r="AP162" t="e">
        <f>AND('STERLING CATALOG - DRY '!H3581,"AAAAAH9svSk=")</f>
        <v>#VALUE!</v>
      </c>
      <c r="AQ162" t="e">
        <f>AND('STERLING CATALOG - DRY '!I3581,"AAAAAH9svSo=")</f>
        <v>#VALUE!</v>
      </c>
      <c r="AR162" t="e">
        <f>AND('STERLING CATALOG - DRY '!J3581,"AAAAAH9svSs=")</f>
        <v>#VALUE!</v>
      </c>
      <c r="AS162">
        <f>IF('STERLING CATALOG - DRY '!3582:3582,"AAAAAH9svSw=",0)</f>
        <v>0</v>
      </c>
      <c r="AT162" t="e">
        <f>AND('STERLING CATALOG - DRY '!A3582,"AAAAAH9svS0=")</f>
        <v>#VALUE!</v>
      </c>
      <c r="AU162" t="e">
        <f>AND('STERLING CATALOG - DRY '!B3582,"AAAAAH9svS4=")</f>
        <v>#VALUE!</v>
      </c>
      <c r="AV162" t="e">
        <f>AND('STERLING CATALOG - DRY '!C3582,"AAAAAH9svS8=")</f>
        <v>#VALUE!</v>
      </c>
      <c r="AW162" t="e">
        <f>AND('STERLING CATALOG - DRY '!D3582,"AAAAAH9svTA=")</f>
        <v>#VALUE!</v>
      </c>
      <c r="AX162" t="e">
        <f>AND('STERLING CATALOG - DRY '!E3582,"AAAAAH9svTE=")</f>
        <v>#VALUE!</v>
      </c>
      <c r="AY162" t="e">
        <f>AND('STERLING CATALOG - DRY '!F3582,"AAAAAH9svTI=")</f>
        <v>#VALUE!</v>
      </c>
      <c r="AZ162" t="e">
        <f>AND('STERLING CATALOG - DRY '!G3582,"AAAAAH9svTM=")</f>
        <v>#VALUE!</v>
      </c>
      <c r="BA162" t="e">
        <f>AND('STERLING CATALOG - DRY '!H3582,"AAAAAH9svTQ=")</f>
        <v>#VALUE!</v>
      </c>
      <c r="BB162" t="e">
        <f>AND('STERLING CATALOG - DRY '!I3582,"AAAAAH9svTU=")</f>
        <v>#VALUE!</v>
      </c>
      <c r="BC162" t="e">
        <f>AND('STERLING CATALOG - DRY '!J3582,"AAAAAH9svTY=")</f>
        <v>#VALUE!</v>
      </c>
      <c r="BD162">
        <f>IF('STERLING CATALOG - DRY '!3583:3583,"AAAAAH9svTc=",0)</f>
        <v>0</v>
      </c>
      <c r="BE162" t="e">
        <f>AND('STERLING CATALOG - DRY '!A3583,"AAAAAH9svTg=")</f>
        <v>#VALUE!</v>
      </c>
      <c r="BF162" t="e">
        <f>AND('STERLING CATALOG - DRY '!B3583,"AAAAAH9svTk=")</f>
        <v>#VALUE!</v>
      </c>
      <c r="BG162" t="e">
        <f>AND('STERLING CATALOG - DRY '!C3583,"AAAAAH9svTo=")</f>
        <v>#VALUE!</v>
      </c>
      <c r="BH162" t="e">
        <f>AND('STERLING CATALOG - DRY '!D3583,"AAAAAH9svTs=")</f>
        <v>#VALUE!</v>
      </c>
      <c r="BI162" t="e">
        <f>AND('STERLING CATALOG - DRY '!E3583,"AAAAAH9svTw=")</f>
        <v>#VALUE!</v>
      </c>
      <c r="BJ162" t="e">
        <f>AND('STERLING CATALOG - DRY '!F3583,"AAAAAH9svT0=")</f>
        <v>#VALUE!</v>
      </c>
      <c r="BK162" t="e">
        <f>AND('STERLING CATALOG - DRY '!G3583,"AAAAAH9svT4=")</f>
        <v>#VALUE!</v>
      </c>
      <c r="BL162" t="e">
        <f>AND('STERLING CATALOG - DRY '!H3583,"AAAAAH9svT8=")</f>
        <v>#VALUE!</v>
      </c>
      <c r="BM162" t="e">
        <f>AND('STERLING CATALOG - DRY '!I3583,"AAAAAH9svUA=")</f>
        <v>#VALUE!</v>
      </c>
      <c r="BN162" t="e">
        <f>AND('STERLING CATALOG - DRY '!J3583,"AAAAAH9svUE=")</f>
        <v>#VALUE!</v>
      </c>
      <c r="BO162">
        <f>IF('STERLING CATALOG - DRY '!3584:3584,"AAAAAH9svUI=",0)</f>
        <v>0</v>
      </c>
      <c r="BP162" t="e">
        <f>AND('STERLING CATALOG - DRY '!A3584,"AAAAAH9svUM=")</f>
        <v>#VALUE!</v>
      </c>
      <c r="BQ162" t="e">
        <f>AND('STERLING CATALOG - DRY '!B3584,"AAAAAH9svUQ=")</f>
        <v>#VALUE!</v>
      </c>
      <c r="BR162" t="e">
        <f>AND('STERLING CATALOG - DRY '!C3584,"AAAAAH9svUU=")</f>
        <v>#VALUE!</v>
      </c>
      <c r="BS162" t="e">
        <f>AND('STERLING CATALOG - DRY '!D3584,"AAAAAH9svUY=")</f>
        <v>#VALUE!</v>
      </c>
      <c r="BT162" t="e">
        <f>AND('STERLING CATALOG - DRY '!E3584,"AAAAAH9svUc=")</f>
        <v>#VALUE!</v>
      </c>
      <c r="BU162" t="e">
        <f>AND('STERLING CATALOG - DRY '!F3584,"AAAAAH9svUg=")</f>
        <v>#VALUE!</v>
      </c>
      <c r="BV162" t="e">
        <f>AND('STERLING CATALOG - DRY '!G3584,"AAAAAH9svUk=")</f>
        <v>#VALUE!</v>
      </c>
      <c r="BW162" t="e">
        <f>AND('STERLING CATALOG - DRY '!H3584,"AAAAAH9svUo=")</f>
        <v>#VALUE!</v>
      </c>
      <c r="BX162" t="e">
        <f>AND('STERLING CATALOG - DRY '!I3584,"AAAAAH9svUs=")</f>
        <v>#VALUE!</v>
      </c>
      <c r="BY162" t="e">
        <f>AND('STERLING CATALOG - DRY '!J3584,"AAAAAH9svUw=")</f>
        <v>#VALUE!</v>
      </c>
      <c r="BZ162">
        <f>IF('STERLING CATALOG - DRY '!3585:3585,"AAAAAH9svU0=",0)</f>
        <v>0</v>
      </c>
      <c r="CA162" t="e">
        <f>AND('STERLING CATALOG - DRY '!A3585,"AAAAAH9svU4=")</f>
        <v>#VALUE!</v>
      </c>
      <c r="CB162" t="e">
        <f>AND('STERLING CATALOG - DRY '!B3585,"AAAAAH9svU8=")</f>
        <v>#VALUE!</v>
      </c>
      <c r="CC162" t="e">
        <f>AND('STERLING CATALOG - DRY '!C3585,"AAAAAH9svVA=")</f>
        <v>#VALUE!</v>
      </c>
      <c r="CD162" t="e">
        <f>AND('STERLING CATALOG - DRY '!D3585,"AAAAAH9svVE=")</f>
        <v>#VALUE!</v>
      </c>
      <c r="CE162" t="e">
        <f>AND('STERLING CATALOG - DRY '!E3585,"AAAAAH9svVI=")</f>
        <v>#VALUE!</v>
      </c>
      <c r="CF162" t="e">
        <f>AND('STERLING CATALOG - DRY '!F3585,"AAAAAH9svVM=")</f>
        <v>#VALUE!</v>
      </c>
      <c r="CG162" t="e">
        <f>AND('STERLING CATALOG - DRY '!G3585,"AAAAAH9svVQ=")</f>
        <v>#VALUE!</v>
      </c>
      <c r="CH162" t="e">
        <f>AND('STERLING CATALOG - DRY '!H3585,"AAAAAH9svVU=")</f>
        <v>#VALUE!</v>
      </c>
      <c r="CI162" t="e">
        <f>AND('STERLING CATALOG - DRY '!I3585,"AAAAAH9svVY=")</f>
        <v>#VALUE!</v>
      </c>
      <c r="CJ162" t="e">
        <f>AND('STERLING CATALOG - DRY '!J3585,"AAAAAH9svVc=")</f>
        <v>#VALUE!</v>
      </c>
      <c r="CK162">
        <f>IF('STERLING CATALOG - DRY '!3586:3586,"AAAAAH9svVg=",0)</f>
        <v>0</v>
      </c>
      <c r="CL162" t="e">
        <f>AND('STERLING CATALOG - DRY '!A3586,"AAAAAH9svVk=")</f>
        <v>#VALUE!</v>
      </c>
      <c r="CM162" t="e">
        <f>AND('STERLING CATALOG - DRY '!B3586,"AAAAAH9svVo=")</f>
        <v>#VALUE!</v>
      </c>
      <c r="CN162" t="e">
        <f>AND('STERLING CATALOG - DRY '!C3586,"AAAAAH9svVs=")</f>
        <v>#VALUE!</v>
      </c>
      <c r="CO162" t="e">
        <f>AND('STERLING CATALOG - DRY '!D3586,"AAAAAH9svVw=")</f>
        <v>#VALUE!</v>
      </c>
      <c r="CP162" t="e">
        <f>AND('STERLING CATALOG - DRY '!E3586,"AAAAAH9svV0=")</f>
        <v>#VALUE!</v>
      </c>
      <c r="CQ162" t="e">
        <f>AND('STERLING CATALOG - DRY '!F3586,"AAAAAH9svV4=")</f>
        <v>#VALUE!</v>
      </c>
      <c r="CR162" t="e">
        <f>AND('STERLING CATALOG - DRY '!G3586,"AAAAAH9svV8=")</f>
        <v>#VALUE!</v>
      </c>
      <c r="CS162" t="e">
        <f>AND('STERLING CATALOG - DRY '!H3586,"AAAAAH9svWA=")</f>
        <v>#VALUE!</v>
      </c>
      <c r="CT162" t="e">
        <f>AND('STERLING CATALOG - DRY '!I3586,"AAAAAH9svWE=")</f>
        <v>#VALUE!</v>
      </c>
      <c r="CU162" t="e">
        <f>AND('STERLING CATALOG - DRY '!J3586,"AAAAAH9svWI=")</f>
        <v>#VALUE!</v>
      </c>
      <c r="CV162">
        <f>IF('STERLING CATALOG - DRY '!3587:3587,"AAAAAH9svWM=",0)</f>
        <v>0</v>
      </c>
      <c r="CW162" t="e">
        <f>AND('STERLING CATALOG - DRY '!A3587,"AAAAAH9svWQ=")</f>
        <v>#VALUE!</v>
      </c>
      <c r="CX162" t="e">
        <f>AND('STERLING CATALOG - DRY '!B3587,"AAAAAH9svWU=")</f>
        <v>#VALUE!</v>
      </c>
      <c r="CY162" t="e">
        <f>AND('STERLING CATALOG - DRY '!C3587,"AAAAAH9svWY=")</f>
        <v>#VALUE!</v>
      </c>
      <c r="CZ162" t="e">
        <f>AND('STERLING CATALOG - DRY '!D3587,"AAAAAH9svWc=")</f>
        <v>#VALUE!</v>
      </c>
      <c r="DA162" t="e">
        <f>AND('STERLING CATALOG - DRY '!E3587,"AAAAAH9svWg=")</f>
        <v>#VALUE!</v>
      </c>
      <c r="DB162" t="e">
        <f>AND('STERLING CATALOG - DRY '!F3587,"AAAAAH9svWk=")</f>
        <v>#VALUE!</v>
      </c>
      <c r="DC162" t="e">
        <f>AND('STERLING CATALOG - DRY '!G3587,"AAAAAH9svWo=")</f>
        <v>#VALUE!</v>
      </c>
      <c r="DD162" t="e">
        <f>AND('STERLING CATALOG - DRY '!H3587,"AAAAAH9svWs=")</f>
        <v>#VALUE!</v>
      </c>
      <c r="DE162" t="e">
        <f>AND('STERLING CATALOG - DRY '!I3587,"AAAAAH9svWw=")</f>
        <v>#VALUE!</v>
      </c>
      <c r="DF162" t="e">
        <f>AND('STERLING CATALOG - DRY '!J3587,"AAAAAH9svW0=")</f>
        <v>#VALUE!</v>
      </c>
      <c r="DG162">
        <f>IF('STERLING CATALOG - DRY '!3588:3588,"AAAAAH9svW4=",0)</f>
        <v>0</v>
      </c>
      <c r="DH162" t="e">
        <f>AND('STERLING CATALOG - DRY '!A3588,"AAAAAH9svW8=")</f>
        <v>#VALUE!</v>
      </c>
      <c r="DI162" t="e">
        <f>AND('STERLING CATALOG - DRY '!B3588,"AAAAAH9svXA=")</f>
        <v>#VALUE!</v>
      </c>
      <c r="DJ162" t="e">
        <f>AND('STERLING CATALOG - DRY '!C3588,"AAAAAH9svXE=")</f>
        <v>#VALUE!</v>
      </c>
      <c r="DK162" t="e">
        <f>AND('STERLING CATALOG - DRY '!D3588,"AAAAAH9svXI=")</f>
        <v>#VALUE!</v>
      </c>
      <c r="DL162" t="e">
        <f>AND('STERLING CATALOG - DRY '!E3588,"AAAAAH9svXM=")</f>
        <v>#VALUE!</v>
      </c>
      <c r="DM162" t="e">
        <f>AND('STERLING CATALOG - DRY '!F3588,"AAAAAH9svXQ=")</f>
        <v>#VALUE!</v>
      </c>
      <c r="DN162" t="e">
        <f>AND('STERLING CATALOG - DRY '!G3588,"AAAAAH9svXU=")</f>
        <v>#VALUE!</v>
      </c>
      <c r="DO162" t="e">
        <f>AND('STERLING CATALOG - DRY '!H3588,"AAAAAH9svXY=")</f>
        <v>#VALUE!</v>
      </c>
      <c r="DP162" t="e">
        <f>AND('STERLING CATALOG - DRY '!I3588,"AAAAAH9svXc=")</f>
        <v>#VALUE!</v>
      </c>
      <c r="DQ162" t="e">
        <f>AND('STERLING CATALOG - DRY '!J3588,"AAAAAH9svXg=")</f>
        <v>#VALUE!</v>
      </c>
      <c r="DR162">
        <f>IF('STERLING CATALOG - DRY '!3589:3589,"AAAAAH9svXk=",0)</f>
        <v>0</v>
      </c>
      <c r="DS162" t="e">
        <f>AND('STERLING CATALOG - DRY '!A3589,"AAAAAH9svXo=")</f>
        <v>#VALUE!</v>
      </c>
      <c r="DT162" t="e">
        <f>AND('STERLING CATALOG - DRY '!B3589,"AAAAAH9svXs=")</f>
        <v>#VALUE!</v>
      </c>
      <c r="DU162" t="e">
        <f>AND('STERLING CATALOG - DRY '!C3589,"AAAAAH9svXw=")</f>
        <v>#VALUE!</v>
      </c>
      <c r="DV162" t="e">
        <f>AND('STERLING CATALOG - DRY '!D3589,"AAAAAH9svX0=")</f>
        <v>#VALUE!</v>
      </c>
      <c r="DW162" t="e">
        <f>AND('STERLING CATALOG - DRY '!E3589,"AAAAAH9svX4=")</f>
        <v>#VALUE!</v>
      </c>
      <c r="DX162" t="e">
        <f>AND('STERLING CATALOG - DRY '!F3589,"AAAAAH9svX8=")</f>
        <v>#VALUE!</v>
      </c>
      <c r="DY162" t="e">
        <f>AND('STERLING CATALOG - DRY '!G3589,"AAAAAH9svYA=")</f>
        <v>#VALUE!</v>
      </c>
      <c r="DZ162" t="e">
        <f>AND('STERLING CATALOG - DRY '!H3589,"AAAAAH9svYE=")</f>
        <v>#VALUE!</v>
      </c>
      <c r="EA162" t="e">
        <f>AND('STERLING CATALOG - DRY '!I3589,"AAAAAH9svYI=")</f>
        <v>#VALUE!</v>
      </c>
      <c r="EB162" t="e">
        <f>AND('STERLING CATALOG - DRY '!J3589,"AAAAAH9svYM=")</f>
        <v>#VALUE!</v>
      </c>
      <c r="EC162">
        <f>IF('STERLING CATALOG - DRY '!3590:3590,"AAAAAH9svYQ=",0)</f>
        <v>0</v>
      </c>
      <c r="ED162" t="e">
        <f>AND('STERLING CATALOG - DRY '!A3590,"AAAAAH9svYU=")</f>
        <v>#VALUE!</v>
      </c>
      <c r="EE162" t="e">
        <f>AND('STERLING CATALOG - DRY '!B3590,"AAAAAH9svYY=")</f>
        <v>#VALUE!</v>
      </c>
      <c r="EF162" t="e">
        <f>AND('STERLING CATALOG - DRY '!C3590,"AAAAAH9svYc=")</f>
        <v>#VALUE!</v>
      </c>
      <c r="EG162" t="e">
        <f>AND('STERLING CATALOG - DRY '!D3590,"AAAAAH9svYg=")</f>
        <v>#VALUE!</v>
      </c>
      <c r="EH162" t="e">
        <f>AND('STERLING CATALOG - DRY '!E3590,"AAAAAH9svYk=")</f>
        <v>#VALUE!</v>
      </c>
      <c r="EI162" t="e">
        <f>AND('STERLING CATALOG - DRY '!F3590,"AAAAAH9svYo=")</f>
        <v>#VALUE!</v>
      </c>
      <c r="EJ162" t="e">
        <f>AND('STERLING CATALOG - DRY '!G3590,"AAAAAH9svYs=")</f>
        <v>#VALUE!</v>
      </c>
      <c r="EK162" t="e">
        <f>AND('STERLING CATALOG - DRY '!H3590,"AAAAAH9svYw=")</f>
        <v>#VALUE!</v>
      </c>
      <c r="EL162" t="e">
        <f>AND('STERLING CATALOG - DRY '!I3590,"AAAAAH9svY0=")</f>
        <v>#VALUE!</v>
      </c>
      <c r="EM162" t="e">
        <f>AND('STERLING CATALOG - DRY '!J3590,"AAAAAH9svY4=")</f>
        <v>#VALUE!</v>
      </c>
      <c r="EN162">
        <f>IF('STERLING CATALOG - DRY '!3591:3591,"AAAAAH9svY8=",0)</f>
        <v>0</v>
      </c>
      <c r="EO162" t="e">
        <f>AND('STERLING CATALOG - DRY '!A3591,"AAAAAH9svZA=")</f>
        <v>#VALUE!</v>
      </c>
      <c r="EP162" t="e">
        <f>AND('STERLING CATALOG - DRY '!B3591,"AAAAAH9svZE=")</f>
        <v>#VALUE!</v>
      </c>
      <c r="EQ162" t="e">
        <f>AND('STERLING CATALOG - DRY '!C3591,"AAAAAH9svZI=")</f>
        <v>#VALUE!</v>
      </c>
      <c r="ER162" t="e">
        <f>AND('STERLING CATALOG - DRY '!D3591,"AAAAAH9svZM=")</f>
        <v>#VALUE!</v>
      </c>
      <c r="ES162" t="e">
        <f>AND('STERLING CATALOG - DRY '!E3591,"AAAAAH9svZQ=")</f>
        <v>#VALUE!</v>
      </c>
      <c r="ET162" t="e">
        <f>AND('STERLING CATALOG - DRY '!F3591,"AAAAAH9svZU=")</f>
        <v>#VALUE!</v>
      </c>
      <c r="EU162" t="e">
        <f>AND('STERLING CATALOG - DRY '!G3591,"AAAAAH9svZY=")</f>
        <v>#VALUE!</v>
      </c>
      <c r="EV162" t="e">
        <f>AND('STERLING CATALOG - DRY '!H3591,"AAAAAH9svZc=")</f>
        <v>#VALUE!</v>
      </c>
      <c r="EW162" t="e">
        <f>AND('STERLING CATALOG - DRY '!I3591,"AAAAAH9svZg=")</f>
        <v>#VALUE!</v>
      </c>
      <c r="EX162" t="e">
        <f>AND('STERLING CATALOG - DRY '!J3591,"AAAAAH9svZk=")</f>
        <v>#VALUE!</v>
      </c>
      <c r="EY162">
        <f>IF('STERLING CATALOG - DRY '!3592:3592,"AAAAAH9svZo=",0)</f>
        <v>0</v>
      </c>
      <c r="EZ162" t="e">
        <f>AND('STERLING CATALOG - DRY '!A3592,"AAAAAH9svZs=")</f>
        <v>#VALUE!</v>
      </c>
      <c r="FA162" t="e">
        <f>AND('STERLING CATALOG - DRY '!B3592,"AAAAAH9svZw=")</f>
        <v>#VALUE!</v>
      </c>
      <c r="FB162" t="e">
        <f>AND('STERLING CATALOG - DRY '!C3592,"AAAAAH9svZ0=")</f>
        <v>#VALUE!</v>
      </c>
      <c r="FC162" t="e">
        <f>AND('STERLING CATALOG - DRY '!D3592,"AAAAAH9svZ4=")</f>
        <v>#VALUE!</v>
      </c>
      <c r="FD162" t="e">
        <f>AND('STERLING CATALOG - DRY '!E3592,"AAAAAH9svZ8=")</f>
        <v>#VALUE!</v>
      </c>
      <c r="FE162" t="e">
        <f>AND('STERLING CATALOG - DRY '!F3592,"AAAAAH9svaA=")</f>
        <v>#VALUE!</v>
      </c>
      <c r="FF162" t="e">
        <f>AND('STERLING CATALOG - DRY '!G3592,"AAAAAH9svaE=")</f>
        <v>#VALUE!</v>
      </c>
      <c r="FG162" t="e">
        <f>AND('STERLING CATALOG - DRY '!H3592,"AAAAAH9svaI=")</f>
        <v>#VALUE!</v>
      </c>
      <c r="FH162" t="e">
        <f>AND('STERLING CATALOG - DRY '!I3592,"AAAAAH9svaM=")</f>
        <v>#VALUE!</v>
      </c>
      <c r="FI162" t="e">
        <f>AND('STERLING CATALOG - DRY '!J3592,"AAAAAH9svaQ=")</f>
        <v>#VALUE!</v>
      </c>
      <c r="FJ162">
        <f>IF('STERLING CATALOG - DRY '!3593:3593,"AAAAAH9svaU=",0)</f>
        <v>0</v>
      </c>
      <c r="FK162" t="e">
        <f>AND('STERLING CATALOG - DRY '!A3593,"AAAAAH9svaY=")</f>
        <v>#VALUE!</v>
      </c>
      <c r="FL162" t="e">
        <f>AND('STERLING CATALOG - DRY '!B3593,"AAAAAH9svac=")</f>
        <v>#VALUE!</v>
      </c>
      <c r="FM162" t="e">
        <f>AND('STERLING CATALOG - DRY '!C3593,"AAAAAH9svag=")</f>
        <v>#VALUE!</v>
      </c>
      <c r="FN162" t="e">
        <f>AND('STERLING CATALOG - DRY '!D3593,"AAAAAH9svak=")</f>
        <v>#VALUE!</v>
      </c>
      <c r="FO162" t="e">
        <f>AND('STERLING CATALOG - DRY '!E3593,"AAAAAH9svao=")</f>
        <v>#VALUE!</v>
      </c>
      <c r="FP162" t="e">
        <f>AND('STERLING CATALOG - DRY '!F3593,"AAAAAH9svas=")</f>
        <v>#VALUE!</v>
      </c>
      <c r="FQ162" t="e">
        <f>AND('STERLING CATALOG - DRY '!G3593,"AAAAAH9svaw=")</f>
        <v>#VALUE!</v>
      </c>
      <c r="FR162" t="e">
        <f>AND('STERLING CATALOG - DRY '!H3593,"AAAAAH9sva0=")</f>
        <v>#VALUE!</v>
      </c>
      <c r="FS162" t="e">
        <f>AND('STERLING CATALOG - DRY '!I3593,"AAAAAH9sva4=")</f>
        <v>#VALUE!</v>
      </c>
      <c r="FT162" t="e">
        <f>AND('STERLING CATALOG - DRY '!J3593,"AAAAAH9sva8=")</f>
        <v>#VALUE!</v>
      </c>
      <c r="FU162">
        <f>IF('STERLING CATALOG - DRY '!3594:3594,"AAAAAH9svbA=",0)</f>
        <v>0</v>
      </c>
      <c r="FV162" t="e">
        <f>AND('STERLING CATALOG - DRY '!A3594,"AAAAAH9svbE=")</f>
        <v>#VALUE!</v>
      </c>
      <c r="FW162" t="e">
        <f>AND('STERLING CATALOG - DRY '!B3594,"AAAAAH9svbI=")</f>
        <v>#VALUE!</v>
      </c>
      <c r="FX162" t="e">
        <f>AND('STERLING CATALOG - DRY '!C3594,"AAAAAH9svbM=")</f>
        <v>#VALUE!</v>
      </c>
      <c r="FY162" t="e">
        <f>AND('STERLING CATALOG - DRY '!D3594,"AAAAAH9svbQ=")</f>
        <v>#VALUE!</v>
      </c>
      <c r="FZ162" t="e">
        <f>AND('STERLING CATALOG - DRY '!E3594,"AAAAAH9svbU=")</f>
        <v>#VALUE!</v>
      </c>
      <c r="GA162" t="e">
        <f>AND('STERLING CATALOG - DRY '!F3594,"AAAAAH9svbY=")</f>
        <v>#VALUE!</v>
      </c>
      <c r="GB162" t="e">
        <f>AND('STERLING CATALOG - DRY '!G3594,"AAAAAH9svbc=")</f>
        <v>#VALUE!</v>
      </c>
      <c r="GC162" t="e">
        <f>AND('STERLING CATALOG - DRY '!H3594,"AAAAAH9svbg=")</f>
        <v>#VALUE!</v>
      </c>
      <c r="GD162" t="e">
        <f>AND('STERLING CATALOG - DRY '!I3594,"AAAAAH9svbk=")</f>
        <v>#VALUE!</v>
      </c>
      <c r="GE162" t="e">
        <f>AND('STERLING CATALOG - DRY '!J3594,"AAAAAH9svbo=")</f>
        <v>#VALUE!</v>
      </c>
      <c r="GF162">
        <f>IF('STERLING CATALOG - DRY '!3595:3595,"AAAAAH9svbs=",0)</f>
        <v>0</v>
      </c>
      <c r="GG162" t="e">
        <f>AND('STERLING CATALOG - DRY '!A3595,"AAAAAH9svbw=")</f>
        <v>#VALUE!</v>
      </c>
      <c r="GH162" t="e">
        <f>AND('STERLING CATALOG - DRY '!B3595,"AAAAAH9svb0=")</f>
        <v>#VALUE!</v>
      </c>
      <c r="GI162" t="e">
        <f>AND('STERLING CATALOG - DRY '!C3595,"AAAAAH9svb4=")</f>
        <v>#VALUE!</v>
      </c>
      <c r="GJ162" t="e">
        <f>AND('STERLING CATALOG - DRY '!D3595,"AAAAAH9svb8=")</f>
        <v>#VALUE!</v>
      </c>
      <c r="GK162" t="e">
        <f>AND('STERLING CATALOG - DRY '!E3595,"AAAAAH9svcA=")</f>
        <v>#VALUE!</v>
      </c>
      <c r="GL162" t="e">
        <f>AND('STERLING CATALOG - DRY '!F3595,"AAAAAH9svcE=")</f>
        <v>#VALUE!</v>
      </c>
      <c r="GM162" t="e">
        <f>AND('STERLING CATALOG - DRY '!G3595,"AAAAAH9svcI=")</f>
        <v>#VALUE!</v>
      </c>
      <c r="GN162" t="e">
        <f>AND('STERLING CATALOG - DRY '!H3595,"AAAAAH9svcM=")</f>
        <v>#VALUE!</v>
      </c>
      <c r="GO162" t="e">
        <f>AND('STERLING CATALOG - DRY '!I3595,"AAAAAH9svcQ=")</f>
        <v>#VALUE!</v>
      </c>
      <c r="GP162" t="e">
        <f>AND('STERLING CATALOG - DRY '!J3595,"AAAAAH9svcU=")</f>
        <v>#VALUE!</v>
      </c>
      <c r="GQ162">
        <f>IF('STERLING CATALOG - DRY '!3596:3596,"AAAAAH9svcY=",0)</f>
        <v>0</v>
      </c>
      <c r="GR162" t="e">
        <f>AND('STERLING CATALOG - DRY '!A3596,"AAAAAH9svcc=")</f>
        <v>#VALUE!</v>
      </c>
      <c r="GS162" t="e">
        <f>AND('STERLING CATALOG - DRY '!B3596,"AAAAAH9svcg=")</f>
        <v>#VALUE!</v>
      </c>
      <c r="GT162" t="e">
        <f>AND('STERLING CATALOG - DRY '!C3596,"AAAAAH9svck=")</f>
        <v>#VALUE!</v>
      </c>
      <c r="GU162" t="e">
        <f>AND('STERLING CATALOG - DRY '!D3596,"AAAAAH9svco=")</f>
        <v>#VALUE!</v>
      </c>
      <c r="GV162" t="e">
        <f>AND('STERLING CATALOG - DRY '!E3596,"AAAAAH9svcs=")</f>
        <v>#VALUE!</v>
      </c>
      <c r="GW162" t="e">
        <f>AND('STERLING CATALOG - DRY '!F3596,"AAAAAH9svcw=")</f>
        <v>#VALUE!</v>
      </c>
      <c r="GX162" t="e">
        <f>AND('STERLING CATALOG - DRY '!G3596,"AAAAAH9svc0=")</f>
        <v>#VALUE!</v>
      </c>
      <c r="GY162" t="e">
        <f>AND('STERLING CATALOG - DRY '!H3596,"AAAAAH9svc4=")</f>
        <v>#VALUE!</v>
      </c>
      <c r="GZ162" t="e">
        <f>AND('STERLING CATALOG - DRY '!I3596,"AAAAAH9svc8=")</f>
        <v>#VALUE!</v>
      </c>
      <c r="HA162" t="e">
        <f>AND('STERLING CATALOG - DRY '!J3596,"AAAAAH9svdA=")</f>
        <v>#VALUE!</v>
      </c>
      <c r="HB162">
        <f>IF('STERLING CATALOG - DRY '!3597:3597,"AAAAAH9svdE=",0)</f>
        <v>0</v>
      </c>
      <c r="HC162" t="e">
        <f>AND('STERLING CATALOG - DRY '!A3597,"AAAAAH9svdI=")</f>
        <v>#VALUE!</v>
      </c>
      <c r="HD162" t="e">
        <f>AND('STERLING CATALOG - DRY '!B3597,"AAAAAH9svdM=")</f>
        <v>#VALUE!</v>
      </c>
      <c r="HE162" t="e">
        <f>AND('STERLING CATALOG - DRY '!C3597,"AAAAAH9svdQ=")</f>
        <v>#VALUE!</v>
      </c>
      <c r="HF162" t="e">
        <f>AND('STERLING CATALOG - DRY '!D3597,"AAAAAH9svdU=")</f>
        <v>#VALUE!</v>
      </c>
      <c r="HG162" t="e">
        <f>AND('STERLING CATALOG - DRY '!E3597,"AAAAAH9svdY=")</f>
        <v>#VALUE!</v>
      </c>
      <c r="HH162" t="e">
        <f>AND('STERLING CATALOG - DRY '!F3597,"AAAAAH9svdc=")</f>
        <v>#VALUE!</v>
      </c>
      <c r="HI162" t="e">
        <f>AND('STERLING CATALOG - DRY '!G3597,"AAAAAH9svdg=")</f>
        <v>#VALUE!</v>
      </c>
      <c r="HJ162" t="e">
        <f>AND('STERLING CATALOG - DRY '!H3597,"AAAAAH9svdk=")</f>
        <v>#VALUE!</v>
      </c>
      <c r="HK162" t="e">
        <f>AND('STERLING CATALOG - DRY '!I3597,"AAAAAH9svdo=")</f>
        <v>#VALUE!</v>
      </c>
      <c r="HL162" t="e">
        <f>AND('STERLING CATALOG - DRY '!J3597,"AAAAAH9svds=")</f>
        <v>#VALUE!</v>
      </c>
      <c r="HM162">
        <f>IF('STERLING CATALOG - DRY '!3598:3598,"AAAAAH9svdw=",0)</f>
        <v>0</v>
      </c>
      <c r="HN162" t="e">
        <f>AND('STERLING CATALOG - DRY '!A3598,"AAAAAH9svd0=")</f>
        <v>#VALUE!</v>
      </c>
      <c r="HO162" t="e">
        <f>AND('STERLING CATALOG - DRY '!B3598,"AAAAAH9svd4=")</f>
        <v>#VALUE!</v>
      </c>
      <c r="HP162" t="e">
        <f>AND('STERLING CATALOG - DRY '!C3598,"AAAAAH9svd8=")</f>
        <v>#VALUE!</v>
      </c>
      <c r="HQ162" t="e">
        <f>AND('STERLING CATALOG - DRY '!D3598,"AAAAAH9sveA=")</f>
        <v>#VALUE!</v>
      </c>
      <c r="HR162" t="e">
        <f>AND('STERLING CATALOG - DRY '!E3598,"AAAAAH9sveE=")</f>
        <v>#VALUE!</v>
      </c>
      <c r="HS162" t="e">
        <f>AND('STERLING CATALOG - DRY '!F3598,"AAAAAH9sveI=")</f>
        <v>#VALUE!</v>
      </c>
      <c r="HT162" t="e">
        <f>AND('STERLING CATALOG - DRY '!G3598,"AAAAAH9sveM=")</f>
        <v>#VALUE!</v>
      </c>
      <c r="HU162" t="e">
        <f>AND('STERLING CATALOG - DRY '!H3598,"AAAAAH9sveQ=")</f>
        <v>#VALUE!</v>
      </c>
      <c r="HV162" t="e">
        <f>AND('STERLING CATALOG - DRY '!I3598,"AAAAAH9sveU=")</f>
        <v>#VALUE!</v>
      </c>
      <c r="HW162" t="e">
        <f>AND('STERLING CATALOG - DRY '!J3598,"AAAAAH9sveY=")</f>
        <v>#VALUE!</v>
      </c>
      <c r="HX162">
        <f>IF('STERLING CATALOG - DRY '!3599:3599,"AAAAAH9svec=",0)</f>
        <v>0</v>
      </c>
      <c r="HY162" t="e">
        <f>AND('STERLING CATALOG - DRY '!A3599,"AAAAAH9sveg=")</f>
        <v>#VALUE!</v>
      </c>
      <c r="HZ162" t="e">
        <f>AND('STERLING CATALOG - DRY '!B3599,"AAAAAH9svek=")</f>
        <v>#VALUE!</v>
      </c>
      <c r="IA162" t="e">
        <f>AND('STERLING CATALOG - DRY '!C3599,"AAAAAH9sveo=")</f>
        <v>#VALUE!</v>
      </c>
      <c r="IB162" t="e">
        <f>AND('STERLING CATALOG - DRY '!D3599,"AAAAAH9sves=")</f>
        <v>#VALUE!</v>
      </c>
      <c r="IC162" t="e">
        <f>AND('STERLING CATALOG - DRY '!E3599,"AAAAAH9svew=")</f>
        <v>#VALUE!</v>
      </c>
      <c r="ID162" t="e">
        <f>AND('STERLING CATALOG - DRY '!F3599,"AAAAAH9sve0=")</f>
        <v>#VALUE!</v>
      </c>
      <c r="IE162" t="e">
        <f>AND('STERLING CATALOG - DRY '!G3599,"AAAAAH9sve4=")</f>
        <v>#VALUE!</v>
      </c>
      <c r="IF162" t="e">
        <f>AND('STERLING CATALOG - DRY '!H3599,"AAAAAH9sve8=")</f>
        <v>#VALUE!</v>
      </c>
      <c r="IG162" t="e">
        <f>AND('STERLING CATALOG - DRY '!I3599,"AAAAAH9svfA=")</f>
        <v>#VALUE!</v>
      </c>
      <c r="IH162" t="e">
        <f>AND('STERLING CATALOG - DRY '!J3599,"AAAAAH9svfE=")</f>
        <v>#VALUE!</v>
      </c>
      <c r="II162">
        <f>IF('STERLING CATALOG - DRY '!3600:3600,"AAAAAH9svfI=",0)</f>
        <v>0</v>
      </c>
      <c r="IJ162" t="e">
        <f>AND('STERLING CATALOG - DRY '!A3600,"AAAAAH9svfM=")</f>
        <v>#VALUE!</v>
      </c>
      <c r="IK162" t="e">
        <f>AND('STERLING CATALOG - DRY '!B3600,"AAAAAH9svfQ=")</f>
        <v>#VALUE!</v>
      </c>
      <c r="IL162" t="e">
        <f>AND('STERLING CATALOG - DRY '!C3600,"AAAAAH9svfU=")</f>
        <v>#VALUE!</v>
      </c>
      <c r="IM162" t="e">
        <f>AND('STERLING CATALOG - DRY '!D3600,"AAAAAH9svfY=")</f>
        <v>#VALUE!</v>
      </c>
      <c r="IN162" t="e">
        <f>AND('STERLING CATALOG - DRY '!E3600,"AAAAAH9svfc=")</f>
        <v>#VALUE!</v>
      </c>
      <c r="IO162" t="e">
        <f>AND('STERLING CATALOG - DRY '!F3600,"AAAAAH9svfg=")</f>
        <v>#VALUE!</v>
      </c>
      <c r="IP162" t="e">
        <f>AND('STERLING CATALOG - DRY '!G3600,"AAAAAH9svfk=")</f>
        <v>#VALUE!</v>
      </c>
      <c r="IQ162" t="e">
        <f>AND('STERLING CATALOG - DRY '!H3600,"AAAAAH9svfo=")</f>
        <v>#VALUE!</v>
      </c>
      <c r="IR162" t="e">
        <f>AND('STERLING CATALOG - DRY '!I3600,"AAAAAH9svfs=")</f>
        <v>#VALUE!</v>
      </c>
      <c r="IS162" t="e">
        <f>AND('STERLING CATALOG - DRY '!J3600,"AAAAAH9svfw=")</f>
        <v>#VALUE!</v>
      </c>
      <c r="IT162">
        <f>IF('STERLING CATALOG - DRY '!3601:3601,"AAAAAH9svf0=",0)</f>
        <v>0</v>
      </c>
      <c r="IU162" t="e">
        <f>AND('STERLING CATALOG - DRY '!A3601,"AAAAAH9svf4=")</f>
        <v>#VALUE!</v>
      </c>
      <c r="IV162" t="e">
        <f>AND('STERLING CATALOG - DRY '!B3601,"AAAAAH9svf8=")</f>
        <v>#VALUE!</v>
      </c>
    </row>
    <row r="163" spans="1:256">
      <c r="A163" t="e">
        <f>AND('STERLING CATALOG - DRY '!C3601,"AAAAADfqvwA=")</f>
        <v>#VALUE!</v>
      </c>
      <c r="B163" t="e">
        <f>AND('STERLING CATALOG - DRY '!D3601,"AAAAADfqvwE=")</f>
        <v>#VALUE!</v>
      </c>
      <c r="C163" t="e">
        <f>AND('STERLING CATALOG - DRY '!E3601,"AAAAADfqvwI=")</f>
        <v>#VALUE!</v>
      </c>
      <c r="D163" t="e">
        <f>AND('STERLING CATALOG - DRY '!F3601,"AAAAADfqvwM=")</f>
        <v>#VALUE!</v>
      </c>
      <c r="E163" t="e">
        <f>AND('STERLING CATALOG - DRY '!G3601,"AAAAADfqvwQ=")</f>
        <v>#VALUE!</v>
      </c>
      <c r="F163" t="e">
        <f>AND('STERLING CATALOG - DRY '!H3601,"AAAAADfqvwU=")</f>
        <v>#VALUE!</v>
      </c>
      <c r="G163" t="e">
        <f>AND('STERLING CATALOG - DRY '!I3601,"AAAAADfqvwY=")</f>
        <v>#VALUE!</v>
      </c>
      <c r="H163" t="e">
        <f>AND('STERLING CATALOG - DRY '!J3601,"AAAAADfqvwc=")</f>
        <v>#VALUE!</v>
      </c>
      <c r="I163" t="e">
        <f>IF('STERLING CATALOG - DRY '!3602:3602,"AAAAADfqvwg=",0)</f>
        <v>#VALUE!</v>
      </c>
      <c r="J163" t="e">
        <f>AND('STERLING CATALOG - DRY '!A3602,"AAAAADfqvwk=")</f>
        <v>#VALUE!</v>
      </c>
      <c r="K163" t="e">
        <f>AND('STERLING CATALOG - DRY '!B3602,"AAAAADfqvwo=")</f>
        <v>#VALUE!</v>
      </c>
      <c r="L163" t="e">
        <f>AND('STERLING CATALOG - DRY '!C3602,"AAAAADfqvws=")</f>
        <v>#VALUE!</v>
      </c>
      <c r="M163" t="e">
        <f>AND('STERLING CATALOG - DRY '!D3602,"AAAAADfqvww=")</f>
        <v>#VALUE!</v>
      </c>
      <c r="N163" t="e">
        <f>AND('STERLING CATALOG - DRY '!E3602,"AAAAADfqvw0=")</f>
        <v>#VALUE!</v>
      </c>
      <c r="O163" t="e">
        <f>AND('STERLING CATALOG - DRY '!F3602,"AAAAADfqvw4=")</f>
        <v>#VALUE!</v>
      </c>
      <c r="P163" t="e">
        <f>AND('STERLING CATALOG - DRY '!G3602,"AAAAADfqvw8=")</f>
        <v>#VALUE!</v>
      </c>
      <c r="Q163" t="e">
        <f>AND('STERLING CATALOG - DRY '!H3602,"AAAAADfqvxA=")</f>
        <v>#VALUE!</v>
      </c>
      <c r="R163" t="e">
        <f>AND('STERLING CATALOG - DRY '!I3602,"AAAAADfqvxE=")</f>
        <v>#VALUE!</v>
      </c>
      <c r="S163" t="e">
        <f>AND('STERLING CATALOG - DRY '!J3602,"AAAAADfqvxI=")</f>
        <v>#VALUE!</v>
      </c>
      <c r="T163">
        <f>IF('STERLING CATALOG - DRY '!3603:3603,"AAAAADfqvxM=",0)</f>
        <v>0</v>
      </c>
      <c r="U163" t="e">
        <f>AND('STERLING CATALOG - DRY '!A3603,"AAAAADfqvxQ=")</f>
        <v>#VALUE!</v>
      </c>
      <c r="V163" t="e">
        <f>AND('STERLING CATALOG - DRY '!B3603,"AAAAADfqvxU=")</f>
        <v>#VALUE!</v>
      </c>
      <c r="W163" t="e">
        <f>AND('STERLING CATALOG - DRY '!C3603,"AAAAADfqvxY=")</f>
        <v>#VALUE!</v>
      </c>
      <c r="X163" t="e">
        <f>AND('STERLING CATALOG - DRY '!D3603,"AAAAADfqvxc=")</f>
        <v>#VALUE!</v>
      </c>
      <c r="Y163" t="e">
        <f>AND('STERLING CATALOG - DRY '!E3603,"AAAAADfqvxg=")</f>
        <v>#VALUE!</v>
      </c>
      <c r="Z163" t="e">
        <f>AND('STERLING CATALOG - DRY '!F3603,"AAAAADfqvxk=")</f>
        <v>#VALUE!</v>
      </c>
      <c r="AA163" t="e">
        <f>AND('STERLING CATALOG - DRY '!G3603,"AAAAADfqvxo=")</f>
        <v>#VALUE!</v>
      </c>
      <c r="AB163" t="e">
        <f>AND('STERLING CATALOG - DRY '!H3603,"AAAAADfqvxs=")</f>
        <v>#VALUE!</v>
      </c>
      <c r="AC163" t="e">
        <f>AND('STERLING CATALOG - DRY '!I3603,"AAAAADfqvxw=")</f>
        <v>#VALUE!</v>
      </c>
      <c r="AD163" t="e">
        <f>AND('STERLING CATALOG - DRY '!J3603,"AAAAADfqvx0=")</f>
        <v>#VALUE!</v>
      </c>
      <c r="AE163">
        <f>IF('STERLING CATALOG - DRY '!3604:3604,"AAAAADfqvx4=",0)</f>
        <v>0</v>
      </c>
      <c r="AF163" t="e">
        <f>AND('STERLING CATALOG - DRY '!A3604,"AAAAADfqvx8=")</f>
        <v>#VALUE!</v>
      </c>
      <c r="AG163" t="e">
        <f>AND('STERLING CATALOG - DRY '!B3604,"AAAAADfqvyA=")</f>
        <v>#VALUE!</v>
      </c>
      <c r="AH163" t="e">
        <f>AND('STERLING CATALOG - DRY '!C3604,"AAAAADfqvyE=")</f>
        <v>#VALUE!</v>
      </c>
      <c r="AI163" t="e">
        <f>AND('STERLING CATALOG - DRY '!D3604,"AAAAADfqvyI=")</f>
        <v>#VALUE!</v>
      </c>
      <c r="AJ163" t="e">
        <f>AND('STERLING CATALOG - DRY '!E3604,"AAAAADfqvyM=")</f>
        <v>#VALUE!</v>
      </c>
      <c r="AK163" t="e">
        <f>AND('STERLING CATALOG - DRY '!F3604,"AAAAADfqvyQ=")</f>
        <v>#VALUE!</v>
      </c>
      <c r="AL163" t="e">
        <f>AND('STERLING CATALOG - DRY '!G3604,"AAAAADfqvyU=")</f>
        <v>#VALUE!</v>
      </c>
      <c r="AM163" t="e">
        <f>AND('STERLING CATALOG - DRY '!H3604,"AAAAADfqvyY=")</f>
        <v>#VALUE!</v>
      </c>
      <c r="AN163" t="e">
        <f>AND('STERLING CATALOG - DRY '!I3604,"AAAAADfqvyc=")</f>
        <v>#VALUE!</v>
      </c>
      <c r="AO163" t="e">
        <f>AND('STERLING CATALOG - DRY '!J3604,"AAAAADfqvyg=")</f>
        <v>#VALUE!</v>
      </c>
      <c r="AP163">
        <f>IF('STERLING CATALOG - DRY '!3605:3605,"AAAAADfqvyk=",0)</f>
        <v>0</v>
      </c>
      <c r="AQ163" t="e">
        <f>AND('STERLING CATALOG - DRY '!A3605,"AAAAADfqvyo=")</f>
        <v>#VALUE!</v>
      </c>
      <c r="AR163" t="e">
        <f>AND('STERLING CATALOG - DRY '!B3605,"AAAAADfqvys=")</f>
        <v>#VALUE!</v>
      </c>
      <c r="AS163" t="e">
        <f>AND('STERLING CATALOG - DRY '!C3605,"AAAAADfqvyw=")</f>
        <v>#VALUE!</v>
      </c>
      <c r="AT163" t="e">
        <f>AND('STERLING CATALOG - DRY '!D3605,"AAAAADfqvy0=")</f>
        <v>#VALUE!</v>
      </c>
      <c r="AU163" t="e">
        <f>AND('STERLING CATALOG - DRY '!E3605,"AAAAADfqvy4=")</f>
        <v>#VALUE!</v>
      </c>
      <c r="AV163" t="e">
        <f>AND('STERLING CATALOG - DRY '!F3605,"AAAAADfqvy8=")</f>
        <v>#VALUE!</v>
      </c>
      <c r="AW163" t="e">
        <f>AND('STERLING CATALOG - DRY '!G3605,"AAAAADfqvzA=")</f>
        <v>#VALUE!</v>
      </c>
      <c r="AX163" t="e">
        <f>AND('STERLING CATALOG - DRY '!H3605,"AAAAADfqvzE=")</f>
        <v>#VALUE!</v>
      </c>
      <c r="AY163" t="e">
        <f>AND('STERLING CATALOG - DRY '!I3605,"AAAAADfqvzI=")</f>
        <v>#VALUE!</v>
      </c>
      <c r="AZ163" t="e">
        <f>AND('STERLING CATALOG - DRY '!J3605,"AAAAADfqvzM=")</f>
        <v>#VALUE!</v>
      </c>
      <c r="BA163">
        <f>IF('STERLING CATALOG - DRY '!3606:3606,"AAAAADfqvzQ=",0)</f>
        <v>0</v>
      </c>
      <c r="BB163" t="e">
        <f>AND('STERLING CATALOG - DRY '!A3606,"AAAAADfqvzU=")</f>
        <v>#VALUE!</v>
      </c>
      <c r="BC163" t="e">
        <f>AND('STERLING CATALOG - DRY '!B3606,"AAAAADfqvzY=")</f>
        <v>#VALUE!</v>
      </c>
      <c r="BD163" t="e">
        <f>AND('STERLING CATALOG - DRY '!C3606,"AAAAADfqvzc=")</f>
        <v>#VALUE!</v>
      </c>
      <c r="BE163" t="e">
        <f>AND('STERLING CATALOG - DRY '!D3606,"AAAAADfqvzg=")</f>
        <v>#VALUE!</v>
      </c>
      <c r="BF163" t="e">
        <f>AND('STERLING CATALOG - DRY '!E3606,"AAAAADfqvzk=")</f>
        <v>#VALUE!</v>
      </c>
      <c r="BG163" t="e">
        <f>AND('STERLING CATALOG - DRY '!F3606,"AAAAADfqvzo=")</f>
        <v>#VALUE!</v>
      </c>
      <c r="BH163" t="e">
        <f>AND('STERLING CATALOG - DRY '!G3606,"AAAAADfqvzs=")</f>
        <v>#VALUE!</v>
      </c>
      <c r="BI163" t="e">
        <f>AND('STERLING CATALOG - DRY '!H3606,"AAAAADfqvzw=")</f>
        <v>#VALUE!</v>
      </c>
      <c r="BJ163" t="e">
        <f>AND('STERLING CATALOG - DRY '!I3606,"AAAAADfqvz0=")</f>
        <v>#VALUE!</v>
      </c>
      <c r="BK163" t="e">
        <f>AND('STERLING CATALOG - DRY '!J3606,"AAAAADfqvz4=")</f>
        <v>#VALUE!</v>
      </c>
      <c r="BL163">
        <f>IF('STERLING CATALOG - DRY '!3607:3607,"AAAAADfqvz8=",0)</f>
        <v>0</v>
      </c>
      <c r="BM163" t="e">
        <f>AND('STERLING CATALOG - DRY '!A3607,"AAAAADfqv0A=")</f>
        <v>#VALUE!</v>
      </c>
      <c r="BN163" t="e">
        <f>AND('STERLING CATALOG - DRY '!B3607,"AAAAADfqv0E=")</f>
        <v>#VALUE!</v>
      </c>
      <c r="BO163" t="e">
        <f>AND('STERLING CATALOG - DRY '!C3607,"AAAAADfqv0I=")</f>
        <v>#VALUE!</v>
      </c>
      <c r="BP163" t="e">
        <f>AND('STERLING CATALOG - DRY '!D3607,"AAAAADfqv0M=")</f>
        <v>#VALUE!</v>
      </c>
      <c r="BQ163" t="e">
        <f>AND('STERLING CATALOG - DRY '!E3607,"AAAAADfqv0Q=")</f>
        <v>#VALUE!</v>
      </c>
      <c r="BR163" t="e">
        <f>AND('STERLING CATALOG - DRY '!F3607,"AAAAADfqv0U=")</f>
        <v>#VALUE!</v>
      </c>
      <c r="BS163" t="e">
        <f>AND('STERLING CATALOG - DRY '!G3607,"AAAAADfqv0Y=")</f>
        <v>#VALUE!</v>
      </c>
      <c r="BT163" t="e">
        <f>AND('STERLING CATALOG - DRY '!H3607,"AAAAADfqv0c=")</f>
        <v>#VALUE!</v>
      </c>
      <c r="BU163" t="e">
        <f>AND('STERLING CATALOG - DRY '!I3607,"AAAAADfqv0g=")</f>
        <v>#VALUE!</v>
      </c>
      <c r="BV163" t="e">
        <f>AND('STERLING CATALOG - DRY '!J3607,"AAAAADfqv0k=")</f>
        <v>#VALUE!</v>
      </c>
      <c r="BW163">
        <f>IF('STERLING CATALOG - DRY '!3608:3608,"AAAAADfqv0o=",0)</f>
        <v>0</v>
      </c>
      <c r="BX163" t="e">
        <f>AND('STERLING CATALOG - DRY '!A3608,"AAAAADfqv0s=")</f>
        <v>#VALUE!</v>
      </c>
      <c r="BY163" t="e">
        <f>AND('STERLING CATALOG - DRY '!B3608,"AAAAADfqv0w=")</f>
        <v>#VALUE!</v>
      </c>
      <c r="BZ163" t="e">
        <f>AND('STERLING CATALOG - DRY '!C3608,"AAAAADfqv00=")</f>
        <v>#VALUE!</v>
      </c>
      <c r="CA163" t="e">
        <f>AND('STERLING CATALOG - DRY '!D3608,"AAAAADfqv04=")</f>
        <v>#VALUE!</v>
      </c>
      <c r="CB163" t="e">
        <f>AND('STERLING CATALOG - DRY '!E3608,"AAAAADfqv08=")</f>
        <v>#VALUE!</v>
      </c>
      <c r="CC163" t="e">
        <f>AND('STERLING CATALOG - DRY '!F3608,"AAAAADfqv1A=")</f>
        <v>#VALUE!</v>
      </c>
      <c r="CD163" t="e">
        <f>AND('STERLING CATALOG - DRY '!G3608,"AAAAADfqv1E=")</f>
        <v>#VALUE!</v>
      </c>
      <c r="CE163" t="e">
        <f>AND('STERLING CATALOG - DRY '!H3608,"AAAAADfqv1I=")</f>
        <v>#VALUE!</v>
      </c>
      <c r="CF163" t="e">
        <f>AND('STERLING CATALOG - DRY '!I3608,"AAAAADfqv1M=")</f>
        <v>#VALUE!</v>
      </c>
      <c r="CG163" t="e">
        <f>AND('STERLING CATALOG - DRY '!J3608,"AAAAADfqv1Q=")</f>
        <v>#VALUE!</v>
      </c>
      <c r="CH163">
        <f>IF('STERLING CATALOG - DRY '!3609:3609,"AAAAADfqv1U=",0)</f>
        <v>0</v>
      </c>
      <c r="CI163" t="e">
        <f>AND('STERLING CATALOG - DRY '!A3609,"AAAAADfqv1Y=")</f>
        <v>#VALUE!</v>
      </c>
      <c r="CJ163" t="e">
        <f>AND('STERLING CATALOG - DRY '!B3609,"AAAAADfqv1c=")</f>
        <v>#VALUE!</v>
      </c>
      <c r="CK163" t="e">
        <f>AND('STERLING CATALOG - DRY '!C3609,"AAAAADfqv1g=")</f>
        <v>#VALUE!</v>
      </c>
      <c r="CL163" t="e">
        <f>AND('STERLING CATALOG - DRY '!D3609,"AAAAADfqv1k=")</f>
        <v>#VALUE!</v>
      </c>
      <c r="CM163" t="e">
        <f>AND('STERLING CATALOG - DRY '!E3609,"AAAAADfqv1o=")</f>
        <v>#VALUE!</v>
      </c>
      <c r="CN163" t="e">
        <f>AND('STERLING CATALOG - DRY '!F3609,"AAAAADfqv1s=")</f>
        <v>#VALUE!</v>
      </c>
      <c r="CO163" t="e">
        <f>AND('STERLING CATALOG - DRY '!G3609,"AAAAADfqv1w=")</f>
        <v>#VALUE!</v>
      </c>
      <c r="CP163" t="e">
        <f>AND('STERLING CATALOG - DRY '!H3609,"AAAAADfqv10=")</f>
        <v>#VALUE!</v>
      </c>
      <c r="CQ163" t="e">
        <f>AND('STERLING CATALOG - DRY '!I3609,"AAAAADfqv14=")</f>
        <v>#VALUE!</v>
      </c>
      <c r="CR163" t="e">
        <f>AND('STERLING CATALOG - DRY '!J3609,"AAAAADfqv18=")</f>
        <v>#VALUE!</v>
      </c>
      <c r="CS163">
        <f>IF('STERLING CATALOG - DRY '!3610:3610,"AAAAADfqv2A=",0)</f>
        <v>0</v>
      </c>
      <c r="CT163" t="e">
        <f>AND('STERLING CATALOG - DRY '!A3610,"AAAAADfqv2E=")</f>
        <v>#VALUE!</v>
      </c>
      <c r="CU163" t="e">
        <f>AND('STERLING CATALOG - DRY '!B3610,"AAAAADfqv2I=")</f>
        <v>#VALUE!</v>
      </c>
      <c r="CV163" t="e">
        <f>AND('STERLING CATALOG - DRY '!C3610,"AAAAADfqv2M=")</f>
        <v>#VALUE!</v>
      </c>
      <c r="CW163" t="e">
        <f>AND('STERLING CATALOG - DRY '!D3610,"AAAAADfqv2Q=")</f>
        <v>#VALUE!</v>
      </c>
      <c r="CX163" t="e">
        <f>AND('STERLING CATALOG - DRY '!E3610,"AAAAADfqv2U=")</f>
        <v>#VALUE!</v>
      </c>
      <c r="CY163" t="e">
        <f>AND('STERLING CATALOG - DRY '!F3610,"AAAAADfqv2Y=")</f>
        <v>#VALUE!</v>
      </c>
      <c r="CZ163" t="e">
        <f>AND('STERLING CATALOG - DRY '!G3610,"AAAAADfqv2c=")</f>
        <v>#VALUE!</v>
      </c>
      <c r="DA163" t="e">
        <f>AND('STERLING CATALOG - DRY '!H3610,"AAAAADfqv2g=")</f>
        <v>#VALUE!</v>
      </c>
      <c r="DB163" t="e">
        <f>AND('STERLING CATALOG - DRY '!I3610,"AAAAADfqv2k=")</f>
        <v>#VALUE!</v>
      </c>
      <c r="DC163" t="e">
        <f>AND('STERLING CATALOG - DRY '!J3610,"AAAAADfqv2o=")</f>
        <v>#VALUE!</v>
      </c>
      <c r="DD163">
        <f>IF('STERLING CATALOG - DRY '!3611:3611,"AAAAADfqv2s=",0)</f>
        <v>0</v>
      </c>
      <c r="DE163" t="e">
        <f>AND('STERLING CATALOG - DRY '!A3611,"AAAAADfqv2w=")</f>
        <v>#VALUE!</v>
      </c>
      <c r="DF163" t="e">
        <f>AND('STERLING CATALOG - DRY '!B3611,"AAAAADfqv20=")</f>
        <v>#VALUE!</v>
      </c>
      <c r="DG163" t="e">
        <f>AND('STERLING CATALOG - DRY '!C3611,"AAAAADfqv24=")</f>
        <v>#VALUE!</v>
      </c>
      <c r="DH163" t="e">
        <f>AND('STERLING CATALOG - DRY '!D3611,"AAAAADfqv28=")</f>
        <v>#VALUE!</v>
      </c>
      <c r="DI163" t="e">
        <f>AND('STERLING CATALOG - DRY '!E3611,"AAAAADfqv3A=")</f>
        <v>#VALUE!</v>
      </c>
      <c r="DJ163" t="e">
        <f>AND('STERLING CATALOG - DRY '!F3611,"AAAAADfqv3E=")</f>
        <v>#VALUE!</v>
      </c>
      <c r="DK163" t="e">
        <f>AND('STERLING CATALOG - DRY '!G3611,"AAAAADfqv3I=")</f>
        <v>#VALUE!</v>
      </c>
      <c r="DL163" t="e">
        <f>AND('STERLING CATALOG - DRY '!H3611,"AAAAADfqv3M=")</f>
        <v>#VALUE!</v>
      </c>
      <c r="DM163" t="e">
        <f>AND('STERLING CATALOG - DRY '!I3611,"AAAAADfqv3Q=")</f>
        <v>#VALUE!</v>
      </c>
      <c r="DN163" t="e">
        <f>AND('STERLING CATALOG - DRY '!J3611,"AAAAADfqv3U=")</f>
        <v>#VALUE!</v>
      </c>
      <c r="DO163">
        <f>IF('STERLING CATALOG - DRY '!3612:3612,"AAAAADfqv3Y=",0)</f>
        <v>0</v>
      </c>
      <c r="DP163" t="e">
        <f>AND('STERLING CATALOG - DRY '!A3612,"AAAAADfqv3c=")</f>
        <v>#VALUE!</v>
      </c>
      <c r="DQ163" t="e">
        <f>AND('STERLING CATALOG - DRY '!B3612,"AAAAADfqv3g=")</f>
        <v>#VALUE!</v>
      </c>
      <c r="DR163" t="e">
        <f>AND('STERLING CATALOG - DRY '!C3612,"AAAAADfqv3k=")</f>
        <v>#VALUE!</v>
      </c>
      <c r="DS163" t="e">
        <f>AND('STERLING CATALOG - DRY '!D3612,"AAAAADfqv3o=")</f>
        <v>#VALUE!</v>
      </c>
      <c r="DT163" t="e">
        <f>AND('STERLING CATALOG - DRY '!E3612,"AAAAADfqv3s=")</f>
        <v>#VALUE!</v>
      </c>
      <c r="DU163" t="e">
        <f>AND('STERLING CATALOG - DRY '!F3612,"AAAAADfqv3w=")</f>
        <v>#VALUE!</v>
      </c>
      <c r="DV163" t="e">
        <f>AND('STERLING CATALOG - DRY '!G3612,"AAAAADfqv30=")</f>
        <v>#VALUE!</v>
      </c>
      <c r="DW163" t="e">
        <f>AND('STERLING CATALOG - DRY '!H3612,"AAAAADfqv34=")</f>
        <v>#VALUE!</v>
      </c>
      <c r="DX163" t="e">
        <f>AND('STERLING CATALOG - DRY '!I3612,"AAAAADfqv38=")</f>
        <v>#VALUE!</v>
      </c>
      <c r="DY163" t="e">
        <f>AND('STERLING CATALOG - DRY '!J3612,"AAAAADfqv4A=")</f>
        <v>#VALUE!</v>
      </c>
      <c r="DZ163">
        <f>IF('STERLING CATALOG - DRY '!3613:3613,"AAAAADfqv4E=",0)</f>
        <v>0</v>
      </c>
      <c r="EA163" t="e">
        <f>AND('STERLING CATALOG - DRY '!A3613,"AAAAADfqv4I=")</f>
        <v>#VALUE!</v>
      </c>
      <c r="EB163" t="e">
        <f>AND('STERLING CATALOG - DRY '!B3613,"AAAAADfqv4M=")</f>
        <v>#VALUE!</v>
      </c>
      <c r="EC163" t="e">
        <f>AND('STERLING CATALOG - DRY '!C3613,"AAAAADfqv4Q=")</f>
        <v>#VALUE!</v>
      </c>
      <c r="ED163" t="e">
        <f>AND('STERLING CATALOG - DRY '!D3613,"AAAAADfqv4U=")</f>
        <v>#VALUE!</v>
      </c>
      <c r="EE163" t="e">
        <f>AND('STERLING CATALOG - DRY '!E3613,"AAAAADfqv4Y=")</f>
        <v>#VALUE!</v>
      </c>
      <c r="EF163" t="e">
        <f>AND('STERLING CATALOG - DRY '!F3613,"AAAAADfqv4c=")</f>
        <v>#VALUE!</v>
      </c>
      <c r="EG163" t="e">
        <f>AND('STERLING CATALOG - DRY '!G3613,"AAAAADfqv4g=")</f>
        <v>#VALUE!</v>
      </c>
      <c r="EH163" t="e">
        <f>AND('STERLING CATALOG - DRY '!H3613,"AAAAADfqv4k=")</f>
        <v>#VALUE!</v>
      </c>
      <c r="EI163" t="e">
        <f>AND('STERLING CATALOG - DRY '!I3613,"AAAAADfqv4o=")</f>
        <v>#VALUE!</v>
      </c>
      <c r="EJ163" t="e">
        <f>AND('STERLING CATALOG - DRY '!J3613,"AAAAADfqv4s=")</f>
        <v>#VALUE!</v>
      </c>
      <c r="EK163">
        <f>IF('STERLING CATALOG - DRY '!3614:3614,"AAAAADfqv4w=",0)</f>
        <v>0</v>
      </c>
      <c r="EL163" t="e">
        <f>AND('STERLING CATALOG - DRY '!A3614,"AAAAADfqv40=")</f>
        <v>#VALUE!</v>
      </c>
      <c r="EM163" t="e">
        <f>AND('STERLING CATALOG - DRY '!B3614,"AAAAADfqv44=")</f>
        <v>#VALUE!</v>
      </c>
      <c r="EN163" t="e">
        <f>AND('STERLING CATALOG - DRY '!C3614,"AAAAADfqv48=")</f>
        <v>#VALUE!</v>
      </c>
      <c r="EO163" t="e">
        <f>AND('STERLING CATALOG - DRY '!D3614,"AAAAADfqv5A=")</f>
        <v>#VALUE!</v>
      </c>
      <c r="EP163" t="e">
        <f>AND('STERLING CATALOG - DRY '!E3614,"AAAAADfqv5E=")</f>
        <v>#VALUE!</v>
      </c>
      <c r="EQ163" t="e">
        <f>AND('STERLING CATALOG - DRY '!F3614,"AAAAADfqv5I=")</f>
        <v>#VALUE!</v>
      </c>
      <c r="ER163" t="e">
        <f>AND('STERLING CATALOG - DRY '!G3614,"AAAAADfqv5M=")</f>
        <v>#VALUE!</v>
      </c>
      <c r="ES163" t="e">
        <f>AND('STERLING CATALOG - DRY '!H3614,"AAAAADfqv5Q=")</f>
        <v>#VALUE!</v>
      </c>
      <c r="ET163" t="e">
        <f>AND('STERLING CATALOG - DRY '!I3614,"AAAAADfqv5U=")</f>
        <v>#VALUE!</v>
      </c>
      <c r="EU163" t="e">
        <f>AND('STERLING CATALOG - DRY '!J3614,"AAAAADfqv5Y=")</f>
        <v>#VALUE!</v>
      </c>
      <c r="EV163">
        <f>IF('STERLING CATALOG - DRY '!3615:3615,"AAAAADfqv5c=",0)</f>
        <v>0</v>
      </c>
      <c r="EW163" t="e">
        <f>AND('STERLING CATALOG - DRY '!A3615,"AAAAADfqv5g=")</f>
        <v>#VALUE!</v>
      </c>
      <c r="EX163" t="e">
        <f>AND('STERLING CATALOG - DRY '!B3615,"AAAAADfqv5k=")</f>
        <v>#VALUE!</v>
      </c>
      <c r="EY163" t="e">
        <f>AND('STERLING CATALOG - DRY '!C3615,"AAAAADfqv5o=")</f>
        <v>#VALUE!</v>
      </c>
      <c r="EZ163" t="e">
        <f>AND('STERLING CATALOG - DRY '!D3615,"AAAAADfqv5s=")</f>
        <v>#VALUE!</v>
      </c>
      <c r="FA163" t="e">
        <f>AND('STERLING CATALOG - DRY '!E3615,"AAAAADfqv5w=")</f>
        <v>#VALUE!</v>
      </c>
      <c r="FB163" t="e">
        <f>AND('STERLING CATALOG - DRY '!F3615,"AAAAADfqv50=")</f>
        <v>#VALUE!</v>
      </c>
      <c r="FC163" t="e">
        <f>AND('STERLING CATALOG - DRY '!G3615,"AAAAADfqv54=")</f>
        <v>#VALUE!</v>
      </c>
      <c r="FD163" t="e">
        <f>AND('STERLING CATALOG - DRY '!H3615,"AAAAADfqv58=")</f>
        <v>#VALUE!</v>
      </c>
      <c r="FE163" t="e">
        <f>AND('STERLING CATALOG - DRY '!I3615,"AAAAADfqv6A=")</f>
        <v>#VALUE!</v>
      </c>
      <c r="FF163" t="e">
        <f>AND('STERLING CATALOG - DRY '!J3615,"AAAAADfqv6E=")</f>
        <v>#VALUE!</v>
      </c>
      <c r="FG163">
        <f>IF('STERLING CATALOG - DRY '!3616:3616,"AAAAADfqv6I=",0)</f>
        <v>0</v>
      </c>
      <c r="FH163" t="e">
        <f>AND('STERLING CATALOG - DRY '!A3616,"AAAAADfqv6M=")</f>
        <v>#VALUE!</v>
      </c>
      <c r="FI163" t="e">
        <f>AND('STERLING CATALOG - DRY '!B3616,"AAAAADfqv6Q=")</f>
        <v>#VALUE!</v>
      </c>
      <c r="FJ163" t="e">
        <f>AND('STERLING CATALOG - DRY '!C3616,"AAAAADfqv6U=")</f>
        <v>#VALUE!</v>
      </c>
      <c r="FK163" t="e">
        <f>AND('STERLING CATALOG - DRY '!D3616,"AAAAADfqv6Y=")</f>
        <v>#VALUE!</v>
      </c>
      <c r="FL163" t="e">
        <f>AND('STERLING CATALOG - DRY '!E3616,"AAAAADfqv6c=")</f>
        <v>#VALUE!</v>
      </c>
      <c r="FM163" t="e">
        <f>AND('STERLING CATALOG - DRY '!F3616,"AAAAADfqv6g=")</f>
        <v>#VALUE!</v>
      </c>
      <c r="FN163" t="e">
        <f>AND('STERLING CATALOG - DRY '!G3616,"AAAAADfqv6k=")</f>
        <v>#VALUE!</v>
      </c>
      <c r="FO163" t="e">
        <f>AND('STERLING CATALOG - DRY '!H3616,"AAAAADfqv6o=")</f>
        <v>#VALUE!</v>
      </c>
      <c r="FP163" t="e">
        <f>AND('STERLING CATALOG - DRY '!I3616,"AAAAADfqv6s=")</f>
        <v>#VALUE!</v>
      </c>
      <c r="FQ163" t="e">
        <f>AND('STERLING CATALOG - DRY '!J3616,"AAAAADfqv6w=")</f>
        <v>#VALUE!</v>
      </c>
      <c r="FR163">
        <f>IF('STERLING CATALOG - DRY '!3617:3617,"AAAAADfqv60=",0)</f>
        <v>0</v>
      </c>
      <c r="FS163" t="e">
        <f>AND('STERLING CATALOG - DRY '!A3617,"AAAAADfqv64=")</f>
        <v>#VALUE!</v>
      </c>
      <c r="FT163" t="e">
        <f>AND('STERLING CATALOG - DRY '!B3617,"AAAAADfqv68=")</f>
        <v>#VALUE!</v>
      </c>
      <c r="FU163" t="e">
        <f>AND('STERLING CATALOG - DRY '!C3617,"AAAAADfqv7A=")</f>
        <v>#VALUE!</v>
      </c>
      <c r="FV163" t="e">
        <f>AND('STERLING CATALOG - DRY '!D3617,"AAAAADfqv7E=")</f>
        <v>#VALUE!</v>
      </c>
      <c r="FW163" t="e">
        <f>AND('STERLING CATALOG - DRY '!E3617,"AAAAADfqv7I=")</f>
        <v>#VALUE!</v>
      </c>
      <c r="FX163" t="e">
        <f>AND('STERLING CATALOG - DRY '!F3617,"AAAAADfqv7M=")</f>
        <v>#VALUE!</v>
      </c>
      <c r="FY163" t="e">
        <f>AND('STERLING CATALOG - DRY '!G3617,"AAAAADfqv7Q=")</f>
        <v>#VALUE!</v>
      </c>
      <c r="FZ163" t="e">
        <f>AND('STERLING CATALOG - DRY '!H3617,"AAAAADfqv7U=")</f>
        <v>#VALUE!</v>
      </c>
      <c r="GA163" t="e">
        <f>AND('STERLING CATALOG - DRY '!I3617,"AAAAADfqv7Y=")</f>
        <v>#VALUE!</v>
      </c>
      <c r="GB163" t="e">
        <f>AND('STERLING CATALOG - DRY '!J3617,"AAAAADfqv7c=")</f>
        <v>#VALUE!</v>
      </c>
      <c r="GC163">
        <f>IF('STERLING CATALOG - DRY '!3618:3618,"AAAAADfqv7g=",0)</f>
        <v>0</v>
      </c>
      <c r="GD163" t="e">
        <f>AND('STERLING CATALOG - DRY '!A3618,"AAAAADfqv7k=")</f>
        <v>#VALUE!</v>
      </c>
      <c r="GE163" t="e">
        <f>AND('STERLING CATALOG - DRY '!B3618,"AAAAADfqv7o=")</f>
        <v>#VALUE!</v>
      </c>
      <c r="GF163" t="e">
        <f>AND('STERLING CATALOG - DRY '!C3618,"AAAAADfqv7s=")</f>
        <v>#VALUE!</v>
      </c>
      <c r="GG163" t="e">
        <f>AND('STERLING CATALOG - DRY '!D3618,"AAAAADfqv7w=")</f>
        <v>#VALUE!</v>
      </c>
      <c r="GH163" t="e">
        <f>AND('STERLING CATALOG - DRY '!E3618,"AAAAADfqv70=")</f>
        <v>#VALUE!</v>
      </c>
      <c r="GI163" t="e">
        <f>AND('STERLING CATALOG - DRY '!F3618,"AAAAADfqv74=")</f>
        <v>#VALUE!</v>
      </c>
      <c r="GJ163" t="e">
        <f>AND('STERLING CATALOG - DRY '!G3618,"AAAAADfqv78=")</f>
        <v>#VALUE!</v>
      </c>
      <c r="GK163" t="e">
        <f>AND('STERLING CATALOG - DRY '!H3618,"AAAAADfqv8A=")</f>
        <v>#VALUE!</v>
      </c>
      <c r="GL163" t="e">
        <f>AND('STERLING CATALOG - DRY '!I3618,"AAAAADfqv8E=")</f>
        <v>#VALUE!</v>
      </c>
      <c r="GM163" t="e">
        <f>AND('STERLING CATALOG - DRY '!J3618,"AAAAADfqv8I=")</f>
        <v>#VALUE!</v>
      </c>
      <c r="GN163">
        <f>IF('STERLING CATALOG - DRY '!3619:3619,"AAAAADfqv8M=",0)</f>
        <v>0</v>
      </c>
      <c r="GO163" t="e">
        <f>AND('STERLING CATALOG - DRY '!A3619,"AAAAADfqv8Q=")</f>
        <v>#VALUE!</v>
      </c>
      <c r="GP163" t="e">
        <f>AND('STERLING CATALOG - DRY '!B3619,"AAAAADfqv8U=")</f>
        <v>#VALUE!</v>
      </c>
      <c r="GQ163" t="e">
        <f>AND('STERLING CATALOG - DRY '!C3619,"AAAAADfqv8Y=")</f>
        <v>#VALUE!</v>
      </c>
      <c r="GR163" t="e">
        <f>AND('STERLING CATALOG - DRY '!D3619,"AAAAADfqv8c=")</f>
        <v>#VALUE!</v>
      </c>
      <c r="GS163" t="e">
        <f>AND('STERLING CATALOG - DRY '!E3619,"AAAAADfqv8g=")</f>
        <v>#VALUE!</v>
      </c>
      <c r="GT163" t="e">
        <f>AND('STERLING CATALOG - DRY '!F3619,"AAAAADfqv8k=")</f>
        <v>#VALUE!</v>
      </c>
      <c r="GU163" t="e">
        <f>AND('STERLING CATALOG - DRY '!G3619,"AAAAADfqv8o=")</f>
        <v>#VALUE!</v>
      </c>
      <c r="GV163" t="e">
        <f>AND('STERLING CATALOG - DRY '!H3619,"AAAAADfqv8s=")</f>
        <v>#VALUE!</v>
      </c>
      <c r="GW163" t="e">
        <f>AND('STERLING CATALOG - DRY '!I3619,"AAAAADfqv8w=")</f>
        <v>#VALUE!</v>
      </c>
      <c r="GX163" t="e">
        <f>AND('STERLING CATALOG - DRY '!J3619,"AAAAADfqv80=")</f>
        <v>#VALUE!</v>
      </c>
      <c r="GY163">
        <f>IF('STERLING CATALOG - DRY '!3620:3620,"AAAAADfqv84=",0)</f>
        <v>0</v>
      </c>
      <c r="GZ163" t="e">
        <f>AND('STERLING CATALOG - DRY '!A3620,"AAAAADfqv88=")</f>
        <v>#VALUE!</v>
      </c>
      <c r="HA163" t="e">
        <f>AND('STERLING CATALOG - DRY '!B3620,"AAAAADfqv9A=")</f>
        <v>#VALUE!</v>
      </c>
      <c r="HB163" t="e">
        <f>AND('STERLING CATALOG - DRY '!C3620,"AAAAADfqv9E=")</f>
        <v>#VALUE!</v>
      </c>
      <c r="HC163" t="e">
        <f>AND('STERLING CATALOG - DRY '!D3620,"AAAAADfqv9I=")</f>
        <v>#VALUE!</v>
      </c>
      <c r="HD163" t="e">
        <f>AND('STERLING CATALOG - DRY '!E3620,"AAAAADfqv9M=")</f>
        <v>#VALUE!</v>
      </c>
      <c r="HE163" t="e">
        <f>AND('STERLING CATALOG - DRY '!F3620,"AAAAADfqv9Q=")</f>
        <v>#VALUE!</v>
      </c>
      <c r="HF163" t="e">
        <f>AND('STERLING CATALOG - DRY '!G3620,"AAAAADfqv9U=")</f>
        <v>#VALUE!</v>
      </c>
      <c r="HG163" t="e">
        <f>AND('STERLING CATALOG - DRY '!H3620,"AAAAADfqv9Y=")</f>
        <v>#VALUE!</v>
      </c>
      <c r="HH163" t="e">
        <f>AND('STERLING CATALOG - DRY '!I3620,"AAAAADfqv9c=")</f>
        <v>#VALUE!</v>
      </c>
      <c r="HI163" t="e">
        <f>AND('STERLING CATALOG - DRY '!J3620,"AAAAADfqv9g=")</f>
        <v>#VALUE!</v>
      </c>
      <c r="HJ163">
        <f>IF('STERLING CATALOG - DRY '!3621:3621,"AAAAADfqv9k=",0)</f>
        <v>0</v>
      </c>
      <c r="HK163" t="e">
        <f>AND('STERLING CATALOG - DRY '!A3621,"AAAAADfqv9o=")</f>
        <v>#VALUE!</v>
      </c>
      <c r="HL163" t="e">
        <f>AND('STERLING CATALOG - DRY '!B3621,"AAAAADfqv9s=")</f>
        <v>#VALUE!</v>
      </c>
      <c r="HM163" t="e">
        <f>AND('STERLING CATALOG - DRY '!C3621,"AAAAADfqv9w=")</f>
        <v>#VALUE!</v>
      </c>
      <c r="HN163" t="e">
        <f>AND('STERLING CATALOG - DRY '!D3621,"AAAAADfqv90=")</f>
        <v>#VALUE!</v>
      </c>
      <c r="HO163" t="e">
        <f>AND('STERLING CATALOG - DRY '!E3621,"AAAAADfqv94=")</f>
        <v>#VALUE!</v>
      </c>
      <c r="HP163" t="e">
        <f>AND('STERLING CATALOG - DRY '!F3621,"AAAAADfqv98=")</f>
        <v>#VALUE!</v>
      </c>
      <c r="HQ163" t="e">
        <f>AND('STERLING CATALOG - DRY '!G3621,"AAAAADfqv+A=")</f>
        <v>#VALUE!</v>
      </c>
      <c r="HR163" t="e">
        <f>AND('STERLING CATALOG - DRY '!H3621,"AAAAADfqv+E=")</f>
        <v>#VALUE!</v>
      </c>
      <c r="HS163" t="e">
        <f>AND('STERLING CATALOG - DRY '!I3621,"AAAAADfqv+I=")</f>
        <v>#VALUE!</v>
      </c>
      <c r="HT163" t="e">
        <f>AND('STERLING CATALOG - DRY '!J3621,"AAAAADfqv+M=")</f>
        <v>#VALUE!</v>
      </c>
      <c r="HU163">
        <f>IF('STERLING CATALOG - DRY '!3622:3622,"AAAAADfqv+Q=",0)</f>
        <v>0</v>
      </c>
      <c r="HV163" t="e">
        <f>AND('STERLING CATALOG - DRY '!A3622,"AAAAADfqv+U=")</f>
        <v>#VALUE!</v>
      </c>
      <c r="HW163" t="e">
        <f>AND('STERLING CATALOG - DRY '!B3622,"AAAAADfqv+Y=")</f>
        <v>#VALUE!</v>
      </c>
      <c r="HX163" t="e">
        <f>AND('STERLING CATALOG - DRY '!C3622,"AAAAADfqv+c=")</f>
        <v>#VALUE!</v>
      </c>
      <c r="HY163" t="e">
        <f>AND('STERLING CATALOG - DRY '!D3622,"AAAAADfqv+g=")</f>
        <v>#VALUE!</v>
      </c>
      <c r="HZ163" t="e">
        <f>AND('STERLING CATALOG - DRY '!E3622,"AAAAADfqv+k=")</f>
        <v>#VALUE!</v>
      </c>
      <c r="IA163" t="e">
        <f>AND('STERLING CATALOG - DRY '!F3622,"AAAAADfqv+o=")</f>
        <v>#VALUE!</v>
      </c>
      <c r="IB163" t="e">
        <f>AND('STERLING CATALOG - DRY '!G3622,"AAAAADfqv+s=")</f>
        <v>#VALUE!</v>
      </c>
      <c r="IC163" t="e">
        <f>AND('STERLING CATALOG - DRY '!H3622,"AAAAADfqv+w=")</f>
        <v>#VALUE!</v>
      </c>
      <c r="ID163" t="e">
        <f>AND('STERLING CATALOG - DRY '!I3622,"AAAAADfqv+0=")</f>
        <v>#VALUE!</v>
      </c>
      <c r="IE163" t="e">
        <f>AND('STERLING CATALOG - DRY '!J3622,"AAAAADfqv+4=")</f>
        <v>#VALUE!</v>
      </c>
      <c r="IF163">
        <f>IF('STERLING CATALOG - DRY '!3623:3623,"AAAAADfqv+8=",0)</f>
        <v>0</v>
      </c>
      <c r="IG163" t="e">
        <f>AND('STERLING CATALOG - DRY '!A3623,"AAAAADfqv/A=")</f>
        <v>#VALUE!</v>
      </c>
      <c r="IH163" t="e">
        <f>AND('STERLING CATALOG - DRY '!B3623,"AAAAADfqv/E=")</f>
        <v>#VALUE!</v>
      </c>
      <c r="II163" t="e">
        <f>AND('STERLING CATALOG - DRY '!C3623,"AAAAADfqv/I=")</f>
        <v>#VALUE!</v>
      </c>
      <c r="IJ163" t="e">
        <f>AND('STERLING CATALOG - DRY '!D3623,"AAAAADfqv/M=")</f>
        <v>#VALUE!</v>
      </c>
      <c r="IK163" t="e">
        <f>AND('STERLING CATALOG - DRY '!E3623,"AAAAADfqv/Q=")</f>
        <v>#VALUE!</v>
      </c>
      <c r="IL163" t="e">
        <f>AND('STERLING CATALOG - DRY '!F3623,"AAAAADfqv/U=")</f>
        <v>#VALUE!</v>
      </c>
      <c r="IM163" t="e">
        <f>AND('STERLING CATALOG - DRY '!G3623,"AAAAADfqv/Y=")</f>
        <v>#VALUE!</v>
      </c>
      <c r="IN163" t="e">
        <f>AND('STERLING CATALOG - DRY '!H3623,"AAAAADfqv/c=")</f>
        <v>#VALUE!</v>
      </c>
      <c r="IO163" t="e">
        <f>AND('STERLING CATALOG - DRY '!I3623,"AAAAADfqv/g=")</f>
        <v>#VALUE!</v>
      </c>
      <c r="IP163" t="e">
        <f>AND('STERLING CATALOG - DRY '!J3623,"AAAAADfqv/k=")</f>
        <v>#VALUE!</v>
      </c>
      <c r="IQ163">
        <f>IF('STERLING CATALOG - DRY '!3624:3624,"AAAAADfqv/o=",0)</f>
        <v>0</v>
      </c>
      <c r="IR163" t="e">
        <f>AND('STERLING CATALOG - DRY '!A3624,"AAAAADfqv/s=")</f>
        <v>#VALUE!</v>
      </c>
      <c r="IS163" t="e">
        <f>AND('STERLING CATALOG - DRY '!B3624,"AAAAADfqv/w=")</f>
        <v>#VALUE!</v>
      </c>
      <c r="IT163" t="e">
        <f>AND('STERLING CATALOG - DRY '!C3624,"AAAAADfqv/0=")</f>
        <v>#VALUE!</v>
      </c>
      <c r="IU163" t="e">
        <f>AND('STERLING CATALOG - DRY '!D3624,"AAAAADfqv/4=")</f>
        <v>#VALUE!</v>
      </c>
      <c r="IV163" t="e">
        <f>AND('STERLING CATALOG - DRY '!E3624,"AAAAADfqv/8=")</f>
        <v>#VALUE!</v>
      </c>
    </row>
    <row r="164" spans="1:256">
      <c r="A164" t="e">
        <f>AND('STERLING CATALOG - DRY '!F3624,"AAAAABD/tQA=")</f>
        <v>#VALUE!</v>
      </c>
      <c r="B164" t="e">
        <f>AND('STERLING CATALOG - DRY '!G3624,"AAAAABD/tQE=")</f>
        <v>#VALUE!</v>
      </c>
      <c r="C164" t="e">
        <f>AND('STERLING CATALOG - DRY '!H3624,"AAAAABD/tQI=")</f>
        <v>#VALUE!</v>
      </c>
      <c r="D164" t="e">
        <f>AND('STERLING CATALOG - DRY '!I3624,"AAAAABD/tQM=")</f>
        <v>#VALUE!</v>
      </c>
      <c r="E164" t="e">
        <f>AND('STERLING CATALOG - DRY '!J3624,"AAAAABD/tQQ=")</f>
        <v>#VALUE!</v>
      </c>
      <c r="F164" t="str">
        <f>IF('STERLING CATALOG - DRY '!3625:3625,"AAAAABD/tQU=",0)</f>
        <v>AAAAABD/tQU=</v>
      </c>
      <c r="G164" t="e">
        <f>AND('STERLING CATALOG - DRY '!A3625,"AAAAABD/tQY=")</f>
        <v>#VALUE!</v>
      </c>
      <c r="H164" t="e">
        <f>AND('STERLING CATALOG - DRY '!B3625,"AAAAABD/tQc=")</f>
        <v>#VALUE!</v>
      </c>
      <c r="I164" t="e">
        <f>AND('STERLING CATALOG - DRY '!C3625,"AAAAABD/tQg=")</f>
        <v>#VALUE!</v>
      </c>
      <c r="J164" t="e">
        <f>AND('STERLING CATALOG - DRY '!D3625,"AAAAABD/tQk=")</f>
        <v>#VALUE!</v>
      </c>
      <c r="K164" t="e">
        <f>AND('STERLING CATALOG - DRY '!E3625,"AAAAABD/tQo=")</f>
        <v>#VALUE!</v>
      </c>
      <c r="L164" t="e">
        <f>AND('STERLING CATALOG - DRY '!F3625,"AAAAABD/tQs=")</f>
        <v>#VALUE!</v>
      </c>
      <c r="M164" t="e">
        <f>AND('STERLING CATALOG - DRY '!G3625,"AAAAABD/tQw=")</f>
        <v>#VALUE!</v>
      </c>
      <c r="N164" t="e">
        <f>AND('STERLING CATALOG - DRY '!H3625,"AAAAABD/tQ0=")</f>
        <v>#VALUE!</v>
      </c>
      <c r="O164" t="e">
        <f>AND('STERLING CATALOG - DRY '!I3625,"AAAAABD/tQ4=")</f>
        <v>#VALUE!</v>
      </c>
      <c r="P164" t="e">
        <f>AND('STERLING CATALOG - DRY '!J3625,"AAAAABD/tQ8=")</f>
        <v>#VALUE!</v>
      </c>
      <c r="Q164">
        <f>IF('STERLING CATALOG - DRY '!3626:3626,"AAAAABD/tRA=",0)</f>
        <v>0</v>
      </c>
      <c r="R164" t="e">
        <f>AND('STERLING CATALOG - DRY '!A3626,"AAAAABD/tRE=")</f>
        <v>#VALUE!</v>
      </c>
      <c r="S164" t="e">
        <f>AND('STERLING CATALOG - DRY '!B3626,"AAAAABD/tRI=")</f>
        <v>#VALUE!</v>
      </c>
      <c r="T164" t="e">
        <f>AND('STERLING CATALOG - DRY '!C3626,"AAAAABD/tRM=")</f>
        <v>#VALUE!</v>
      </c>
      <c r="U164" t="e">
        <f>AND('STERLING CATALOG - DRY '!D3626,"AAAAABD/tRQ=")</f>
        <v>#VALUE!</v>
      </c>
      <c r="V164" t="e">
        <f>AND('STERLING CATALOG - DRY '!E3626,"AAAAABD/tRU=")</f>
        <v>#VALUE!</v>
      </c>
      <c r="W164" t="e">
        <f>AND('STERLING CATALOG - DRY '!F3626,"AAAAABD/tRY=")</f>
        <v>#VALUE!</v>
      </c>
      <c r="X164" t="e">
        <f>AND('STERLING CATALOG - DRY '!G3626,"AAAAABD/tRc=")</f>
        <v>#VALUE!</v>
      </c>
      <c r="Y164" t="e">
        <f>AND('STERLING CATALOG - DRY '!H3626,"AAAAABD/tRg=")</f>
        <v>#VALUE!</v>
      </c>
      <c r="Z164" t="e">
        <f>AND('STERLING CATALOG - DRY '!I3626,"AAAAABD/tRk=")</f>
        <v>#VALUE!</v>
      </c>
      <c r="AA164" t="e">
        <f>AND('STERLING CATALOG - DRY '!J3626,"AAAAABD/tRo=")</f>
        <v>#VALUE!</v>
      </c>
      <c r="AB164">
        <f>IF('STERLING CATALOG - DRY '!3627:3627,"AAAAABD/tRs=",0)</f>
        <v>0</v>
      </c>
      <c r="AC164" t="e">
        <f>AND('STERLING CATALOG - DRY '!A3627,"AAAAABD/tRw=")</f>
        <v>#VALUE!</v>
      </c>
      <c r="AD164" t="e">
        <f>AND('STERLING CATALOG - DRY '!B3627,"AAAAABD/tR0=")</f>
        <v>#VALUE!</v>
      </c>
      <c r="AE164" t="e">
        <f>AND('STERLING CATALOG - DRY '!C3627,"AAAAABD/tR4=")</f>
        <v>#VALUE!</v>
      </c>
      <c r="AF164" t="e">
        <f>AND('STERLING CATALOG - DRY '!D3627,"AAAAABD/tR8=")</f>
        <v>#VALUE!</v>
      </c>
      <c r="AG164" t="e">
        <f>AND('STERLING CATALOG - DRY '!E3627,"AAAAABD/tSA=")</f>
        <v>#VALUE!</v>
      </c>
      <c r="AH164" t="e">
        <f>AND('STERLING CATALOG - DRY '!F3627,"AAAAABD/tSE=")</f>
        <v>#VALUE!</v>
      </c>
      <c r="AI164" t="e">
        <f>AND('STERLING CATALOG - DRY '!G3627,"AAAAABD/tSI=")</f>
        <v>#VALUE!</v>
      </c>
      <c r="AJ164" t="e">
        <f>AND('STERLING CATALOG - DRY '!H3627,"AAAAABD/tSM=")</f>
        <v>#VALUE!</v>
      </c>
      <c r="AK164" t="e">
        <f>AND('STERLING CATALOG - DRY '!I3627,"AAAAABD/tSQ=")</f>
        <v>#VALUE!</v>
      </c>
      <c r="AL164" t="e">
        <f>AND('STERLING CATALOG - DRY '!J3627,"AAAAABD/tSU=")</f>
        <v>#VALUE!</v>
      </c>
      <c r="AM164">
        <f>IF('STERLING CATALOG - DRY '!3628:3628,"AAAAABD/tSY=",0)</f>
        <v>0</v>
      </c>
      <c r="AN164" t="e">
        <f>AND('STERLING CATALOG - DRY '!A3628,"AAAAABD/tSc=")</f>
        <v>#VALUE!</v>
      </c>
      <c r="AO164" t="e">
        <f>AND('STERLING CATALOG - DRY '!B3628,"AAAAABD/tSg=")</f>
        <v>#VALUE!</v>
      </c>
      <c r="AP164" t="e">
        <f>AND('STERLING CATALOG - DRY '!C3628,"AAAAABD/tSk=")</f>
        <v>#VALUE!</v>
      </c>
      <c r="AQ164" t="e">
        <f>AND('STERLING CATALOG - DRY '!D3628,"AAAAABD/tSo=")</f>
        <v>#VALUE!</v>
      </c>
      <c r="AR164" t="e">
        <f>AND('STERLING CATALOG - DRY '!E3628,"AAAAABD/tSs=")</f>
        <v>#VALUE!</v>
      </c>
      <c r="AS164" t="e">
        <f>AND('STERLING CATALOG - DRY '!F3628,"AAAAABD/tSw=")</f>
        <v>#VALUE!</v>
      </c>
      <c r="AT164" t="e">
        <f>AND('STERLING CATALOG - DRY '!G3628,"AAAAABD/tS0=")</f>
        <v>#VALUE!</v>
      </c>
      <c r="AU164" t="e">
        <f>AND('STERLING CATALOG - DRY '!H3628,"AAAAABD/tS4=")</f>
        <v>#VALUE!</v>
      </c>
      <c r="AV164" t="e">
        <f>AND('STERLING CATALOG - DRY '!I3628,"AAAAABD/tS8=")</f>
        <v>#VALUE!</v>
      </c>
      <c r="AW164" t="e">
        <f>AND('STERLING CATALOG - DRY '!J3628,"AAAAABD/tTA=")</f>
        <v>#VALUE!</v>
      </c>
      <c r="AX164">
        <f>IF('STERLING CATALOG - DRY '!3629:3629,"AAAAABD/tTE=",0)</f>
        <v>0</v>
      </c>
      <c r="AY164" t="e">
        <f>AND('STERLING CATALOG - DRY '!A3629,"AAAAABD/tTI=")</f>
        <v>#VALUE!</v>
      </c>
      <c r="AZ164" t="e">
        <f>AND('STERLING CATALOG - DRY '!B3629,"AAAAABD/tTM=")</f>
        <v>#VALUE!</v>
      </c>
      <c r="BA164" t="e">
        <f>AND('STERLING CATALOG - DRY '!C3629,"AAAAABD/tTQ=")</f>
        <v>#VALUE!</v>
      </c>
      <c r="BB164" t="e">
        <f>AND('STERLING CATALOG - DRY '!D3629,"AAAAABD/tTU=")</f>
        <v>#VALUE!</v>
      </c>
      <c r="BC164" t="e">
        <f>AND('STERLING CATALOG - DRY '!E3629,"AAAAABD/tTY=")</f>
        <v>#VALUE!</v>
      </c>
      <c r="BD164" t="e">
        <f>AND('STERLING CATALOG - DRY '!F3629,"AAAAABD/tTc=")</f>
        <v>#VALUE!</v>
      </c>
      <c r="BE164" t="e">
        <f>AND('STERLING CATALOG - DRY '!G3629,"AAAAABD/tTg=")</f>
        <v>#VALUE!</v>
      </c>
      <c r="BF164" t="e">
        <f>AND('STERLING CATALOG - DRY '!H3629,"AAAAABD/tTk=")</f>
        <v>#VALUE!</v>
      </c>
      <c r="BG164" t="e">
        <f>AND('STERLING CATALOG - DRY '!I3629,"AAAAABD/tTo=")</f>
        <v>#VALUE!</v>
      </c>
      <c r="BH164" t="e">
        <f>AND('STERLING CATALOG - DRY '!J3629,"AAAAABD/tTs=")</f>
        <v>#VALUE!</v>
      </c>
      <c r="BI164">
        <f>IF('STERLING CATALOG - DRY '!3630:3630,"AAAAABD/tTw=",0)</f>
        <v>0</v>
      </c>
      <c r="BJ164" t="e">
        <f>AND('STERLING CATALOG - DRY '!A3630,"AAAAABD/tT0=")</f>
        <v>#VALUE!</v>
      </c>
      <c r="BK164" t="e">
        <f>AND('STERLING CATALOG - DRY '!B3630,"AAAAABD/tT4=")</f>
        <v>#VALUE!</v>
      </c>
      <c r="BL164" t="e">
        <f>AND('STERLING CATALOG - DRY '!C3630,"AAAAABD/tT8=")</f>
        <v>#VALUE!</v>
      </c>
      <c r="BM164" t="e">
        <f>AND('STERLING CATALOG - DRY '!D3630,"AAAAABD/tUA=")</f>
        <v>#VALUE!</v>
      </c>
      <c r="BN164" t="e">
        <f>AND('STERLING CATALOG - DRY '!E3630,"AAAAABD/tUE=")</f>
        <v>#VALUE!</v>
      </c>
      <c r="BO164" t="e">
        <f>AND('STERLING CATALOG - DRY '!F3630,"AAAAABD/tUI=")</f>
        <v>#VALUE!</v>
      </c>
      <c r="BP164" t="e">
        <f>AND('STERLING CATALOG - DRY '!G3630,"AAAAABD/tUM=")</f>
        <v>#VALUE!</v>
      </c>
      <c r="BQ164" t="e">
        <f>AND('STERLING CATALOG - DRY '!H3630,"AAAAABD/tUQ=")</f>
        <v>#VALUE!</v>
      </c>
      <c r="BR164" t="e">
        <f>AND('STERLING CATALOG - DRY '!I3630,"AAAAABD/tUU=")</f>
        <v>#VALUE!</v>
      </c>
      <c r="BS164" t="e">
        <f>AND('STERLING CATALOG - DRY '!J3630,"AAAAABD/tUY=")</f>
        <v>#VALUE!</v>
      </c>
      <c r="BT164">
        <f>IF('STERLING CATALOG - DRY '!3631:3631,"AAAAABD/tUc=",0)</f>
        <v>0</v>
      </c>
      <c r="BU164" t="e">
        <f>AND('STERLING CATALOG - DRY '!A3631,"AAAAABD/tUg=")</f>
        <v>#VALUE!</v>
      </c>
      <c r="BV164" t="e">
        <f>AND('STERLING CATALOG - DRY '!B3631,"AAAAABD/tUk=")</f>
        <v>#VALUE!</v>
      </c>
      <c r="BW164" t="e">
        <f>AND('STERLING CATALOG - DRY '!C3631,"AAAAABD/tUo=")</f>
        <v>#VALUE!</v>
      </c>
      <c r="BX164" t="e">
        <f>AND('STERLING CATALOG - DRY '!D3631,"AAAAABD/tUs=")</f>
        <v>#VALUE!</v>
      </c>
      <c r="BY164" t="e">
        <f>AND('STERLING CATALOG - DRY '!E3631,"AAAAABD/tUw=")</f>
        <v>#VALUE!</v>
      </c>
      <c r="BZ164" t="e">
        <f>AND('STERLING CATALOG - DRY '!F3631,"AAAAABD/tU0=")</f>
        <v>#VALUE!</v>
      </c>
      <c r="CA164" t="e">
        <f>AND('STERLING CATALOG - DRY '!G3631,"AAAAABD/tU4=")</f>
        <v>#VALUE!</v>
      </c>
      <c r="CB164" t="e">
        <f>AND('STERLING CATALOG - DRY '!H3631,"AAAAABD/tU8=")</f>
        <v>#VALUE!</v>
      </c>
      <c r="CC164" t="e">
        <f>AND('STERLING CATALOG - DRY '!I3631,"AAAAABD/tVA=")</f>
        <v>#VALUE!</v>
      </c>
      <c r="CD164" t="e">
        <f>AND('STERLING CATALOG - DRY '!J3631,"AAAAABD/tVE=")</f>
        <v>#VALUE!</v>
      </c>
      <c r="CE164">
        <f>IF('STERLING CATALOG - DRY '!3632:3632,"AAAAABD/tVI=",0)</f>
        <v>0</v>
      </c>
      <c r="CF164" t="e">
        <f>AND('STERLING CATALOG - DRY '!A3632,"AAAAABD/tVM=")</f>
        <v>#VALUE!</v>
      </c>
      <c r="CG164" t="e">
        <f>AND('STERLING CATALOG - DRY '!B3632,"AAAAABD/tVQ=")</f>
        <v>#VALUE!</v>
      </c>
      <c r="CH164" t="e">
        <f>AND('STERLING CATALOG - DRY '!C3632,"AAAAABD/tVU=")</f>
        <v>#VALUE!</v>
      </c>
      <c r="CI164" t="e">
        <f>AND('STERLING CATALOG - DRY '!D3632,"AAAAABD/tVY=")</f>
        <v>#VALUE!</v>
      </c>
      <c r="CJ164" t="e">
        <f>AND('STERLING CATALOG - DRY '!E3632,"AAAAABD/tVc=")</f>
        <v>#VALUE!</v>
      </c>
      <c r="CK164" t="e">
        <f>AND('STERLING CATALOG - DRY '!F3632,"AAAAABD/tVg=")</f>
        <v>#VALUE!</v>
      </c>
      <c r="CL164" t="e">
        <f>AND('STERLING CATALOG - DRY '!G3632,"AAAAABD/tVk=")</f>
        <v>#VALUE!</v>
      </c>
      <c r="CM164" t="e">
        <f>AND('STERLING CATALOG - DRY '!H3632,"AAAAABD/tVo=")</f>
        <v>#VALUE!</v>
      </c>
      <c r="CN164" t="e">
        <f>AND('STERLING CATALOG - DRY '!I3632,"AAAAABD/tVs=")</f>
        <v>#VALUE!</v>
      </c>
      <c r="CO164" t="e">
        <f>AND('STERLING CATALOG - DRY '!J3632,"AAAAABD/tVw=")</f>
        <v>#VALUE!</v>
      </c>
      <c r="CP164">
        <f>IF('STERLING CATALOG - DRY '!3633:3633,"AAAAABD/tV0=",0)</f>
        <v>0</v>
      </c>
      <c r="CQ164" t="e">
        <f>AND('STERLING CATALOG - DRY '!A3633,"AAAAABD/tV4=")</f>
        <v>#VALUE!</v>
      </c>
      <c r="CR164" t="e">
        <f>AND('STERLING CATALOG - DRY '!B3633,"AAAAABD/tV8=")</f>
        <v>#VALUE!</v>
      </c>
      <c r="CS164" t="e">
        <f>AND('STERLING CATALOG - DRY '!C3633,"AAAAABD/tWA=")</f>
        <v>#VALUE!</v>
      </c>
      <c r="CT164" t="e">
        <f>AND('STERLING CATALOG - DRY '!D3633,"AAAAABD/tWE=")</f>
        <v>#VALUE!</v>
      </c>
      <c r="CU164" t="e">
        <f>AND('STERLING CATALOG - DRY '!E3633,"AAAAABD/tWI=")</f>
        <v>#VALUE!</v>
      </c>
      <c r="CV164" t="e">
        <f>AND('STERLING CATALOG - DRY '!F3633,"AAAAABD/tWM=")</f>
        <v>#VALUE!</v>
      </c>
      <c r="CW164" t="e">
        <f>AND('STERLING CATALOG - DRY '!G3633,"AAAAABD/tWQ=")</f>
        <v>#VALUE!</v>
      </c>
      <c r="CX164" t="e">
        <f>AND('STERLING CATALOG - DRY '!H3633,"AAAAABD/tWU=")</f>
        <v>#VALUE!</v>
      </c>
      <c r="CY164" t="e">
        <f>AND('STERLING CATALOG - DRY '!I3633,"AAAAABD/tWY=")</f>
        <v>#VALUE!</v>
      </c>
      <c r="CZ164" t="e">
        <f>AND('STERLING CATALOG - DRY '!J3633,"AAAAABD/tWc=")</f>
        <v>#VALUE!</v>
      </c>
      <c r="DA164">
        <f>IF('STERLING CATALOG - DRY '!3634:3634,"AAAAABD/tWg=",0)</f>
        <v>0</v>
      </c>
      <c r="DB164" t="e">
        <f>AND('STERLING CATALOG - DRY '!A3634,"AAAAABD/tWk=")</f>
        <v>#VALUE!</v>
      </c>
      <c r="DC164" t="e">
        <f>AND('STERLING CATALOG - DRY '!B3634,"AAAAABD/tWo=")</f>
        <v>#VALUE!</v>
      </c>
      <c r="DD164" t="e">
        <f>AND('STERLING CATALOG - DRY '!C3634,"AAAAABD/tWs=")</f>
        <v>#VALUE!</v>
      </c>
      <c r="DE164" t="e">
        <f>AND('STERLING CATALOG - DRY '!D3634,"AAAAABD/tWw=")</f>
        <v>#VALUE!</v>
      </c>
      <c r="DF164" t="e">
        <f>AND('STERLING CATALOG - DRY '!E3634,"AAAAABD/tW0=")</f>
        <v>#VALUE!</v>
      </c>
      <c r="DG164" t="e">
        <f>AND('STERLING CATALOG - DRY '!F3634,"AAAAABD/tW4=")</f>
        <v>#VALUE!</v>
      </c>
      <c r="DH164" t="e">
        <f>AND('STERLING CATALOG - DRY '!G3634,"AAAAABD/tW8=")</f>
        <v>#VALUE!</v>
      </c>
      <c r="DI164" t="e">
        <f>AND('STERLING CATALOG - DRY '!H3634,"AAAAABD/tXA=")</f>
        <v>#VALUE!</v>
      </c>
      <c r="DJ164" t="e">
        <f>AND('STERLING CATALOG - DRY '!I3634,"AAAAABD/tXE=")</f>
        <v>#VALUE!</v>
      </c>
      <c r="DK164" t="e">
        <f>AND('STERLING CATALOG - DRY '!J3634,"AAAAABD/tXI=")</f>
        <v>#VALUE!</v>
      </c>
      <c r="DL164">
        <f>IF('STERLING CATALOG - DRY '!3635:3635,"AAAAABD/tXM=",0)</f>
        <v>0</v>
      </c>
      <c r="DM164" t="e">
        <f>AND('STERLING CATALOG - DRY '!A3635,"AAAAABD/tXQ=")</f>
        <v>#VALUE!</v>
      </c>
      <c r="DN164" t="e">
        <f>AND('STERLING CATALOG - DRY '!B3635,"AAAAABD/tXU=")</f>
        <v>#VALUE!</v>
      </c>
      <c r="DO164" t="e">
        <f>AND('STERLING CATALOG - DRY '!C3635,"AAAAABD/tXY=")</f>
        <v>#VALUE!</v>
      </c>
      <c r="DP164" t="e">
        <f>AND('STERLING CATALOG - DRY '!D3635,"AAAAABD/tXc=")</f>
        <v>#VALUE!</v>
      </c>
      <c r="DQ164" t="e">
        <f>AND('STERLING CATALOG - DRY '!E3635,"AAAAABD/tXg=")</f>
        <v>#VALUE!</v>
      </c>
      <c r="DR164" t="e">
        <f>AND('STERLING CATALOG - DRY '!F3635,"AAAAABD/tXk=")</f>
        <v>#VALUE!</v>
      </c>
      <c r="DS164" t="e">
        <f>AND('STERLING CATALOG - DRY '!G3635,"AAAAABD/tXo=")</f>
        <v>#VALUE!</v>
      </c>
      <c r="DT164" t="e">
        <f>AND('STERLING CATALOG - DRY '!H3635,"AAAAABD/tXs=")</f>
        <v>#VALUE!</v>
      </c>
      <c r="DU164" t="e">
        <f>AND('STERLING CATALOG - DRY '!I3635,"AAAAABD/tXw=")</f>
        <v>#VALUE!</v>
      </c>
      <c r="DV164" t="e">
        <f>AND('STERLING CATALOG - DRY '!J3635,"AAAAABD/tX0=")</f>
        <v>#VALUE!</v>
      </c>
      <c r="DW164">
        <f>IF('STERLING CATALOG - DRY '!3636:3636,"AAAAABD/tX4=",0)</f>
        <v>0</v>
      </c>
      <c r="DX164" t="e">
        <f>AND('STERLING CATALOG - DRY '!A3636,"AAAAABD/tX8=")</f>
        <v>#VALUE!</v>
      </c>
      <c r="DY164" t="e">
        <f>AND('STERLING CATALOG - DRY '!B3636,"AAAAABD/tYA=")</f>
        <v>#VALUE!</v>
      </c>
      <c r="DZ164" t="e">
        <f>AND('STERLING CATALOG - DRY '!C3636,"AAAAABD/tYE=")</f>
        <v>#VALUE!</v>
      </c>
      <c r="EA164" t="e">
        <f>AND('STERLING CATALOG - DRY '!D3636,"AAAAABD/tYI=")</f>
        <v>#VALUE!</v>
      </c>
      <c r="EB164" t="e">
        <f>AND('STERLING CATALOG - DRY '!E3636,"AAAAABD/tYM=")</f>
        <v>#VALUE!</v>
      </c>
      <c r="EC164" t="e">
        <f>AND('STERLING CATALOG - DRY '!F3636,"AAAAABD/tYQ=")</f>
        <v>#VALUE!</v>
      </c>
      <c r="ED164" t="e">
        <f>AND('STERLING CATALOG - DRY '!G3636,"AAAAABD/tYU=")</f>
        <v>#VALUE!</v>
      </c>
      <c r="EE164" t="e">
        <f>AND('STERLING CATALOG - DRY '!H3636,"AAAAABD/tYY=")</f>
        <v>#VALUE!</v>
      </c>
      <c r="EF164" t="e">
        <f>AND('STERLING CATALOG - DRY '!I3636,"AAAAABD/tYc=")</f>
        <v>#VALUE!</v>
      </c>
      <c r="EG164" t="e">
        <f>AND('STERLING CATALOG - DRY '!J3636,"AAAAABD/tYg=")</f>
        <v>#VALUE!</v>
      </c>
      <c r="EH164">
        <f>IF('STERLING CATALOG - DRY '!3637:3637,"AAAAABD/tYk=",0)</f>
        <v>0</v>
      </c>
      <c r="EI164" t="e">
        <f>AND('STERLING CATALOG - DRY '!A3637,"AAAAABD/tYo=")</f>
        <v>#VALUE!</v>
      </c>
      <c r="EJ164" t="e">
        <f>AND('STERLING CATALOG - DRY '!B3637,"AAAAABD/tYs=")</f>
        <v>#VALUE!</v>
      </c>
      <c r="EK164" t="e">
        <f>AND('STERLING CATALOG - DRY '!C3637,"AAAAABD/tYw=")</f>
        <v>#VALUE!</v>
      </c>
      <c r="EL164" t="e">
        <f>AND('STERLING CATALOG - DRY '!D3637,"AAAAABD/tY0=")</f>
        <v>#VALUE!</v>
      </c>
      <c r="EM164" t="e">
        <f>AND('STERLING CATALOG - DRY '!E3637,"AAAAABD/tY4=")</f>
        <v>#VALUE!</v>
      </c>
      <c r="EN164" t="e">
        <f>AND('STERLING CATALOG - DRY '!F3637,"AAAAABD/tY8=")</f>
        <v>#VALUE!</v>
      </c>
      <c r="EO164" t="e">
        <f>AND('STERLING CATALOG - DRY '!G3637,"AAAAABD/tZA=")</f>
        <v>#VALUE!</v>
      </c>
      <c r="EP164" t="e">
        <f>AND('STERLING CATALOG - DRY '!H3637,"AAAAABD/tZE=")</f>
        <v>#VALUE!</v>
      </c>
      <c r="EQ164" t="e">
        <f>AND('STERLING CATALOG - DRY '!I3637,"AAAAABD/tZI=")</f>
        <v>#VALUE!</v>
      </c>
      <c r="ER164" t="e">
        <f>AND('STERLING CATALOG - DRY '!J3637,"AAAAABD/tZM=")</f>
        <v>#VALUE!</v>
      </c>
      <c r="ES164">
        <f>IF('STERLING CATALOG - DRY '!3638:3638,"AAAAABD/tZQ=",0)</f>
        <v>0</v>
      </c>
      <c r="ET164" t="e">
        <f>AND('STERLING CATALOG - DRY '!A3638,"AAAAABD/tZU=")</f>
        <v>#VALUE!</v>
      </c>
      <c r="EU164" t="e">
        <f>AND('STERLING CATALOG - DRY '!B3638,"AAAAABD/tZY=")</f>
        <v>#VALUE!</v>
      </c>
      <c r="EV164" t="e">
        <f>AND('STERLING CATALOG - DRY '!C3638,"AAAAABD/tZc=")</f>
        <v>#VALUE!</v>
      </c>
      <c r="EW164" t="e">
        <f>AND('STERLING CATALOG - DRY '!D3638,"AAAAABD/tZg=")</f>
        <v>#VALUE!</v>
      </c>
      <c r="EX164" t="e">
        <f>AND('STERLING CATALOG - DRY '!E3638,"AAAAABD/tZk=")</f>
        <v>#VALUE!</v>
      </c>
      <c r="EY164" t="e">
        <f>AND('STERLING CATALOG - DRY '!F3638,"AAAAABD/tZo=")</f>
        <v>#VALUE!</v>
      </c>
      <c r="EZ164" t="e">
        <f>AND('STERLING CATALOG - DRY '!G3638,"AAAAABD/tZs=")</f>
        <v>#VALUE!</v>
      </c>
      <c r="FA164" t="e">
        <f>AND('STERLING CATALOG - DRY '!H3638,"AAAAABD/tZw=")</f>
        <v>#VALUE!</v>
      </c>
      <c r="FB164" t="e">
        <f>AND('STERLING CATALOG - DRY '!I3638,"AAAAABD/tZ0=")</f>
        <v>#VALUE!</v>
      </c>
      <c r="FC164" t="e">
        <f>AND('STERLING CATALOG - DRY '!J3638,"AAAAABD/tZ4=")</f>
        <v>#VALUE!</v>
      </c>
      <c r="FD164">
        <f>IF('STERLING CATALOG - DRY '!3639:3639,"AAAAABD/tZ8=",0)</f>
        <v>0</v>
      </c>
      <c r="FE164" t="e">
        <f>AND('STERLING CATALOG - DRY '!A3639,"AAAAABD/taA=")</f>
        <v>#VALUE!</v>
      </c>
      <c r="FF164" t="e">
        <f>AND('STERLING CATALOG - DRY '!B3639,"AAAAABD/taE=")</f>
        <v>#VALUE!</v>
      </c>
      <c r="FG164" t="e">
        <f>AND('STERLING CATALOG - DRY '!C3639,"AAAAABD/taI=")</f>
        <v>#VALUE!</v>
      </c>
      <c r="FH164" t="e">
        <f>AND('STERLING CATALOG - DRY '!D3639,"AAAAABD/taM=")</f>
        <v>#VALUE!</v>
      </c>
      <c r="FI164" t="e">
        <f>AND('STERLING CATALOG - DRY '!E3639,"AAAAABD/taQ=")</f>
        <v>#VALUE!</v>
      </c>
      <c r="FJ164" t="e">
        <f>AND('STERLING CATALOG - DRY '!F3639,"AAAAABD/taU=")</f>
        <v>#VALUE!</v>
      </c>
      <c r="FK164" t="e">
        <f>AND('STERLING CATALOG - DRY '!G3639,"AAAAABD/taY=")</f>
        <v>#VALUE!</v>
      </c>
      <c r="FL164" t="e">
        <f>AND('STERLING CATALOG - DRY '!H3639,"AAAAABD/tac=")</f>
        <v>#VALUE!</v>
      </c>
      <c r="FM164" t="e">
        <f>AND('STERLING CATALOG - DRY '!I3639,"AAAAABD/tag=")</f>
        <v>#VALUE!</v>
      </c>
      <c r="FN164" t="e">
        <f>AND('STERLING CATALOG - DRY '!J3639,"AAAAABD/tak=")</f>
        <v>#VALUE!</v>
      </c>
      <c r="FO164">
        <f>IF('STERLING CATALOG - DRY '!3640:3640,"AAAAABD/tao=",0)</f>
        <v>0</v>
      </c>
      <c r="FP164" t="e">
        <f>AND('STERLING CATALOG - DRY '!A3640,"AAAAABD/tas=")</f>
        <v>#VALUE!</v>
      </c>
      <c r="FQ164" t="e">
        <f>AND('STERLING CATALOG - DRY '!B3640,"AAAAABD/taw=")</f>
        <v>#VALUE!</v>
      </c>
      <c r="FR164" t="e">
        <f>AND('STERLING CATALOG - DRY '!C3640,"AAAAABD/ta0=")</f>
        <v>#VALUE!</v>
      </c>
      <c r="FS164" t="e">
        <f>AND('STERLING CATALOG - DRY '!D3640,"AAAAABD/ta4=")</f>
        <v>#VALUE!</v>
      </c>
      <c r="FT164" t="e">
        <f>AND('STERLING CATALOG - DRY '!E3640,"AAAAABD/ta8=")</f>
        <v>#VALUE!</v>
      </c>
      <c r="FU164" t="e">
        <f>AND('STERLING CATALOG - DRY '!F3640,"AAAAABD/tbA=")</f>
        <v>#VALUE!</v>
      </c>
      <c r="FV164" t="e">
        <f>AND('STERLING CATALOG - DRY '!G3640,"AAAAABD/tbE=")</f>
        <v>#VALUE!</v>
      </c>
      <c r="FW164" t="e">
        <f>AND('STERLING CATALOG - DRY '!H3640,"AAAAABD/tbI=")</f>
        <v>#VALUE!</v>
      </c>
      <c r="FX164" t="e">
        <f>AND('STERLING CATALOG - DRY '!I3640,"AAAAABD/tbM=")</f>
        <v>#VALUE!</v>
      </c>
      <c r="FY164" t="e">
        <f>AND('STERLING CATALOG - DRY '!J3640,"AAAAABD/tbQ=")</f>
        <v>#VALUE!</v>
      </c>
      <c r="FZ164">
        <f>IF('STERLING CATALOG - DRY '!3641:3641,"AAAAABD/tbU=",0)</f>
        <v>0</v>
      </c>
      <c r="GA164" t="e">
        <f>AND('STERLING CATALOG - DRY '!A3641,"AAAAABD/tbY=")</f>
        <v>#VALUE!</v>
      </c>
      <c r="GB164" t="e">
        <f>AND('STERLING CATALOG - DRY '!B3641,"AAAAABD/tbc=")</f>
        <v>#VALUE!</v>
      </c>
      <c r="GC164" t="e">
        <f>AND('STERLING CATALOG - DRY '!C3641,"AAAAABD/tbg=")</f>
        <v>#VALUE!</v>
      </c>
      <c r="GD164" t="e">
        <f>AND('STERLING CATALOG - DRY '!D3641,"AAAAABD/tbk=")</f>
        <v>#VALUE!</v>
      </c>
      <c r="GE164" t="e">
        <f>AND('STERLING CATALOG - DRY '!E3641,"AAAAABD/tbo=")</f>
        <v>#VALUE!</v>
      </c>
      <c r="GF164" t="e">
        <f>AND('STERLING CATALOG - DRY '!F3641,"AAAAABD/tbs=")</f>
        <v>#VALUE!</v>
      </c>
      <c r="GG164" t="e">
        <f>AND('STERLING CATALOG - DRY '!G3641,"AAAAABD/tbw=")</f>
        <v>#VALUE!</v>
      </c>
      <c r="GH164" t="e">
        <f>AND('STERLING CATALOG - DRY '!H3641,"AAAAABD/tb0=")</f>
        <v>#VALUE!</v>
      </c>
      <c r="GI164" t="e">
        <f>AND('STERLING CATALOG - DRY '!I3641,"AAAAABD/tb4=")</f>
        <v>#VALUE!</v>
      </c>
      <c r="GJ164" t="e">
        <f>AND('STERLING CATALOG - DRY '!J3641,"AAAAABD/tb8=")</f>
        <v>#VALUE!</v>
      </c>
      <c r="GK164">
        <f>IF('STERLING CATALOG - DRY '!3642:3642,"AAAAABD/tcA=",0)</f>
        <v>0</v>
      </c>
      <c r="GL164" t="e">
        <f>AND('STERLING CATALOG - DRY '!A3642,"AAAAABD/tcE=")</f>
        <v>#VALUE!</v>
      </c>
      <c r="GM164" t="e">
        <f>AND('STERLING CATALOG - DRY '!B3642,"AAAAABD/tcI=")</f>
        <v>#VALUE!</v>
      </c>
      <c r="GN164" t="e">
        <f>AND('STERLING CATALOG - DRY '!C3642,"AAAAABD/tcM=")</f>
        <v>#VALUE!</v>
      </c>
      <c r="GO164" t="e">
        <f>AND('STERLING CATALOG - DRY '!D3642,"AAAAABD/tcQ=")</f>
        <v>#VALUE!</v>
      </c>
      <c r="GP164" t="e">
        <f>AND('STERLING CATALOG - DRY '!E3642,"AAAAABD/tcU=")</f>
        <v>#VALUE!</v>
      </c>
      <c r="GQ164" t="e">
        <f>AND('STERLING CATALOG - DRY '!F3642,"AAAAABD/tcY=")</f>
        <v>#VALUE!</v>
      </c>
      <c r="GR164" t="e">
        <f>AND('STERLING CATALOG - DRY '!G3642,"AAAAABD/tcc=")</f>
        <v>#VALUE!</v>
      </c>
      <c r="GS164" t="e">
        <f>AND('STERLING CATALOG - DRY '!H3642,"AAAAABD/tcg=")</f>
        <v>#VALUE!</v>
      </c>
      <c r="GT164" t="e">
        <f>AND('STERLING CATALOG - DRY '!I3642,"AAAAABD/tck=")</f>
        <v>#VALUE!</v>
      </c>
      <c r="GU164" t="e">
        <f>AND('STERLING CATALOG - DRY '!J3642,"AAAAABD/tco=")</f>
        <v>#VALUE!</v>
      </c>
      <c r="GV164">
        <f>IF('STERLING CATALOG - DRY '!3643:3643,"AAAAABD/tcs=",0)</f>
        <v>0</v>
      </c>
      <c r="GW164" t="e">
        <f>AND('STERLING CATALOG - DRY '!A3643,"AAAAABD/tcw=")</f>
        <v>#VALUE!</v>
      </c>
      <c r="GX164" t="e">
        <f>AND('STERLING CATALOG - DRY '!B3643,"AAAAABD/tc0=")</f>
        <v>#VALUE!</v>
      </c>
      <c r="GY164" t="e">
        <f>AND('STERLING CATALOG - DRY '!C3643,"AAAAABD/tc4=")</f>
        <v>#VALUE!</v>
      </c>
      <c r="GZ164" t="e">
        <f>AND('STERLING CATALOG - DRY '!D3643,"AAAAABD/tc8=")</f>
        <v>#VALUE!</v>
      </c>
      <c r="HA164" t="e">
        <f>AND('STERLING CATALOG - DRY '!E3643,"AAAAABD/tdA=")</f>
        <v>#VALUE!</v>
      </c>
      <c r="HB164" t="e">
        <f>AND('STERLING CATALOG - DRY '!F3643,"AAAAABD/tdE=")</f>
        <v>#VALUE!</v>
      </c>
      <c r="HC164" t="e">
        <f>AND('STERLING CATALOG - DRY '!G3643,"AAAAABD/tdI=")</f>
        <v>#VALUE!</v>
      </c>
      <c r="HD164" t="e">
        <f>AND('STERLING CATALOG - DRY '!H3643,"AAAAABD/tdM=")</f>
        <v>#VALUE!</v>
      </c>
      <c r="HE164" t="e">
        <f>AND('STERLING CATALOG - DRY '!I3643,"AAAAABD/tdQ=")</f>
        <v>#VALUE!</v>
      </c>
      <c r="HF164" t="e">
        <f>AND('STERLING CATALOG - DRY '!J3643,"AAAAABD/tdU=")</f>
        <v>#VALUE!</v>
      </c>
      <c r="HG164">
        <f>IF('STERLING CATALOG - DRY '!3644:3644,"AAAAABD/tdY=",0)</f>
        <v>0</v>
      </c>
      <c r="HH164" t="e">
        <f>AND('STERLING CATALOG - DRY '!A3644,"AAAAABD/tdc=")</f>
        <v>#VALUE!</v>
      </c>
      <c r="HI164" t="e">
        <f>AND('STERLING CATALOG - DRY '!B3644,"AAAAABD/tdg=")</f>
        <v>#VALUE!</v>
      </c>
      <c r="HJ164" t="e">
        <f>AND('STERLING CATALOG - DRY '!C3644,"AAAAABD/tdk=")</f>
        <v>#VALUE!</v>
      </c>
      <c r="HK164" t="e">
        <f>AND('STERLING CATALOG - DRY '!D3644,"AAAAABD/tdo=")</f>
        <v>#VALUE!</v>
      </c>
      <c r="HL164" t="e">
        <f>AND('STERLING CATALOG - DRY '!E3644,"AAAAABD/tds=")</f>
        <v>#VALUE!</v>
      </c>
      <c r="HM164" t="e">
        <f>AND('STERLING CATALOG - DRY '!F3644,"AAAAABD/tdw=")</f>
        <v>#VALUE!</v>
      </c>
      <c r="HN164" t="e">
        <f>AND('STERLING CATALOG - DRY '!G3644,"AAAAABD/td0=")</f>
        <v>#VALUE!</v>
      </c>
      <c r="HO164" t="e">
        <f>AND('STERLING CATALOG - DRY '!H3644,"AAAAABD/td4=")</f>
        <v>#VALUE!</v>
      </c>
      <c r="HP164" t="e">
        <f>AND('STERLING CATALOG - DRY '!I3644,"AAAAABD/td8=")</f>
        <v>#VALUE!</v>
      </c>
      <c r="HQ164" t="e">
        <f>AND('STERLING CATALOG - DRY '!J3644,"AAAAABD/teA=")</f>
        <v>#VALUE!</v>
      </c>
      <c r="HR164">
        <f>IF('STERLING CATALOG - DRY '!3645:3645,"AAAAABD/teE=",0)</f>
        <v>0</v>
      </c>
      <c r="HS164" t="e">
        <f>AND('STERLING CATALOG - DRY '!A3645,"AAAAABD/teI=")</f>
        <v>#VALUE!</v>
      </c>
      <c r="HT164" t="e">
        <f>AND('STERLING CATALOG - DRY '!B3645,"AAAAABD/teM=")</f>
        <v>#VALUE!</v>
      </c>
      <c r="HU164" t="e">
        <f>AND('STERLING CATALOG - DRY '!C3645,"AAAAABD/teQ=")</f>
        <v>#VALUE!</v>
      </c>
      <c r="HV164" t="e">
        <f>AND('STERLING CATALOG - DRY '!D3645,"AAAAABD/teU=")</f>
        <v>#VALUE!</v>
      </c>
      <c r="HW164" t="e">
        <f>AND('STERLING CATALOG - DRY '!E3645,"AAAAABD/teY=")</f>
        <v>#VALUE!</v>
      </c>
      <c r="HX164" t="e">
        <f>AND('STERLING CATALOG - DRY '!F3645,"AAAAABD/tec=")</f>
        <v>#VALUE!</v>
      </c>
      <c r="HY164" t="e">
        <f>AND('STERLING CATALOG - DRY '!G3645,"AAAAABD/teg=")</f>
        <v>#VALUE!</v>
      </c>
      <c r="HZ164" t="e">
        <f>AND('STERLING CATALOG - DRY '!H3645,"AAAAABD/tek=")</f>
        <v>#VALUE!</v>
      </c>
      <c r="IA164" t="e">
        <f>AND('STERLING CATALOG - DRY '!I3645,"AAAAABD/teo=")</f>
        <v>#VALUE!</v>
      </c>
      <c r="IB164" t="e">
        <f>AND('STERLING CATALOG - DRY '!J3645,"AAAAABD/tes=")</f>
        <v>#VALUE!</v>
      </c>
      <c r="IC164">
        <f>IF('STERLING CATALOG - DRY '!3646:3646,"AAAAABD/tew=",0)</f>
        <v>0</v>
      </c>
      <c r="ID164" t="e">
        <f>AND('STERLING CATALOG - DRY '!A3646,"AAAAABD/te0=")</f>
        <v>#VALUE!</v>
      </c>
      <c r="IE164" t="e">
        <f>AND('STERLING CATALOG - DRY '!B3646,"AAAAABD/te4=")</f>
        <v>#VALUE!</v>
      </c>
      <c r="IF164" t="e">
        <f>AND('STERLING CATALOG - DRY '!C3646,"AAAAABD/te8=")</f>
        <v>#VALUE!</v>
      </c>
      <c r="IG164" t="e">
        <f>AND('STERLING CATALOG - DRY '!D3646,"AAAAABD/tfA=")</f>
        <v>#VALUE!</v>
      </c>
      <c r="IH164" t="e">
        <f>AND('STERLING CATALOG - DRY '!E3646,"AAAAABD/tfE=")</f>
        <v>#VALUE!</v>
      </c>
      <c r="II164" t="e">
        <f>AND('STERLING CATALOG - DRY '!F3646,"AAAAABD/tfI=")</f>
        <v>#VALUE!</v>
      </c>
      <c r="IJ164" t="e">
        <f>AND('STERLING CATALOG - DRY '!G3646,"AAAAABD/tfM=")</f>
        <v>#VALUE!</v>
      </c>
      <c r="IK164" t="e">
        <f>AND('STERLING CATALOG - DRY '!H3646,"AAAAABD/tfQ=")</f>
        <v>#VALUE!</v>
      </c>
      <c r="IL164" t="e">
        <f>AND('STERLING CATALOG - DRY '!I3646,"AAAAABD/tfU=")</f>
        <v>#VALUE!</v>
      </c>
      <c r="IM164" t="e">
        <f>AND('STERLING CATALOG - DRY '!J3646,"AAAAABD/tfY=")</f>
        <v>#VALUE!</v>
      </c>
      <c r="IN164">
        <f>IF('STERLING CATALOG - DRY '!3647:3647,"AAAAABD/tfc=",0)</f>
        <v>0</v>
      </c>
      <c r="IO164" t="e">
        <f>AND('STERLING CATALOG - DRY '!A3647,"AAAAABD/tfg=")</f>
        <v>#VALUE!</v>
      </c>
      <c r="IP164" t="e">
        <f>AND('STERLING CATALOG - DRY '!B3647,"AAAAABD/tfk=")</f>
        <v>#VALUE!</v>
      </c>
      <c r="IQ164" t="e">
        <f>AND('STERLING CATALOG - DRY '!C3647,"AAAAABD/tfo=")</f>
        <v>#VALUE!</v>
      </c>
      <c r="IR164" t="e">
        <f>AND('STERLING CATALOG - DRY '!D3647,"AAAAABD/tfs=")</f>
        <v>#VALUE!</v>
      </c>
      <c r="IS164" t="e">
        <f>AND('STERLING CATALOG - DRY '!E3647,"AAAAABD/tfw=")</f>
        <v>#VALUE!</v>
      </c>
      <c r="IT164" t="e">
        <f>AND('STERLING CATALOG - DRY '!F3647,"AAAAABD/tf0=")</f>
        <v>#VALUE!</v>
      </c>
      <c r="IU164" t="e">
        <f>AND('STERLING CATALOG - DRY '!G3647,"AAAAABD/tf4=")</f>
        <v>#VALUE!</v>
      </c>
      <c r="IV164" t="e">
        <f>AND('STERLING CATALOG - DRY '!H3647,"AAAAABD/tf8=")</f>
        <v>#VALUE!</v>
      </c>
    </row>
    <row r="165" spans="1:256">
      <c r="A165" t="e">
        <f>AND('STERLING CATALOG - DRY '!I3647,"AAAAAF/MdwA=")</f>
        <v>#VALUE!</v>
      </c>
      <c r="B165" t="e">
        <f>AND('STERLING CATALOG - DRY '!J3647,"AAAAAF/MdwE=")</f>
        <v>#VALUE!</v>
      </c>
      <c r="C165" t="str">
        <f>IF('STERLING CATALOG - DRY '!3648:3648,"AAAAAF/MdwI=",0)</f>
        <v>AAAAAF/MdwI=</v>
      </c>
      <c r="D165" t="e">
        <f>AND('STERLING CATALOG - DRY '!A3648,"AAAAAF/MdwM=")</f>
        <v>#VALUE!</v>
      </c>
      <c r="E165" t="e">
        <f>AND('STERLING CATALOG - DRY '!B3648,"AAAAAF/MdwQ=")</f>
        <v>#VALUE!</v>
      </c>
      <c r="F165" t="e">
        <f>AND('STERLING CATALOG - DRY '!C3648,"AAAAAF/MdwU=")</f>
        <v>#VALUE!</v>
      </c>
      <c r="G165" t="e">
        <f>AND('STERLING CATALOG - DRY '!D3648,"AAAAAF/MdwY=")</f>
        <v>#VALUE!</v>
      </c>
      <c r="H165" t="e">
        <f>AND('STERLING CATALOG - DRY '!E3648,"AAAAAF/Mdwc=")</f>
        <v>#VALUE!</v>
      </c>
      <c r="I165" t="e">
        <f>AND('STERLING CATALOG - DRY '!F3648,"AAAAAF/Mdwg=")</f>
        <v>#VALUE!</v>
      </c>
      <c r="J165" t="e">
        <f>AND('STERLING CATALOG - DRY '!G3648,"AAAAAF/Mdwk=")</f>
        <v>#VALUE!</v>
      </c>
      <c r="K165" t="e">
        <f>AND('STERLING CATALOG - DRY '!H3648,"AAAAAF/Mdwo=")</f>
        <v>#VALUE!</v>
      </c>
      <c r="L165" t="e">
        <f>AND('STERLING CATALOG - DRY '!I3648,"AAAAAF/Mdws=")</f>
        <v>#VALUE!</v>
      </c>
      <c r="M165" t="e">
        <f>AND('STERLING CATALOG - DRY '!J3648,"AAAAAF/Mdww=")</f>
        <v>#VALUE!</v>
      </c>
      <c r="N165">
        <f>IF('STERLING CATALOG - DRY '!3649:3649,"AAAAAF/Mdw0=",0)</f>
        <v>0</v>
      </c>
      <c r="O165" t="e">
        <f>AND('STERLING CATALOG - DRY '!A3649,"AAAAAF/Mdw4=")</f>
        <v>#VALUE!</v>
      </c>
      <c r="P165" t="e">
        <f>AND('STERLING CATALOG - DRY '!B3649,"AAAAAF/Mdw8=")</f>
        <v>#VALUE!</v>
      </c>
      <c r="Q165" t="e">
        <f>AND('STERLING CATALOG - DRY '!C3649,"AAAAAF/MdxA=")</f>
        <v>#VALUE!</v>
      </c>
      <c r="R165" t="e">
        <f>AND('STERLING CATALOG - DRY '!D3649,"AAAAAF/MdxE=")</f>
        <v>#VALUE!</v>
      </c>
      <c r="S165" t="e">
        <f>AND('STERLING CATALOG - DRY '!E3649,"AAAAAF/MdxI=")</f>
        <v>#VALUE!</v>
      </c>
      <c r="T165" t="e">
        <f>AND('STERLING CATALOG - DRY '!F3649,"AAAAAF/MdxM=")</f>
        <v>#VALUE!</v>
      </c>
      <c r="U165" t="e">
        <f>AND('STERLING CATALOG - DRY '!G3649,"AAAAAF/MdxQ=")</f>
        <v>#VALUE!</v>
      </c>
      <c r="V165" t="e">
        <f>AND('STERLING CATALOG - DRY '!H3649,"AAAAAF/MdxU=")</f>
        <v>#VALUE!</v>
      </c>
      <c r="W165" t="e">
        <f>AND('STERLING CATALOG - DRY '!I3649,"AAAAAF/MdxY=")</f>
        <v>#VALUE!</v>
      </c>
      <c r="X165" t="e">
        <f>AND('STERLING CATALOG - DRY '!J3649,"AAAAAF/Mdxc=")</f>
        <v>#VALUE!</v>
      </c>
      <c r="Y165">
        <f>IF('STERLING CATALOG - DRY '!3650:3650,"AAAAAF/Mdxg=",0)</f>
        <v>0</v>
      </c>
      <c r="Z165" t="e">
        <f>AND('STERLING CATALOG - DRY '!A3650,"AAAAAF/Mdxk=")</f>
        <v>#VALUE!</v>
      </c>
      <c r="AA165" t="e">
        <f>AND('STERLING CATALOG - DRY '!B3650,"AAAAAF/Mdxo=")</f>
        <v>#VALUE!</v>
      </c>
      <c r="AB165" t="e">
        <f>AND('STERLING CATALOG - DRY '!C3650,"AAAAAF/Mdxs=")</f>
        <v>#VALUE!</v>
      </c>
      <c r="AC165" t="e">
        <f>AND('STERLING CATALOG - DRY '!D3650,"AAAAAF/Mdxw=")</f>
        <v>#VALUE!</v>
      </c>
      <c r="AD165" t="e">
        <f>AND('STERLING CATALOG - DRY '!E3650,"AAAAAF/Mdx0=")</f>
        <v>#VALUE!</v>
      </c>
      <c r="AE165" t="e">
        <f>AND('STERLING CATALOG - DRY '!F3650,"AAAAAF/Mdx4=")</f>
        <v>#VALUE!</v>
      </c>
      <c r="AF165" t="e">
        <f>AND('STERLING CATALOG - DRY '!G3650,"AAAAAF/Mdx8=")</f>
        <v>#VALUE!</v>
      </c>
      <c r="AG165" t="e">
        <f>AND('STERLING CATALOG - DRY '!H3650,"AAAAAF/MdyA=")</f>
        <v>#VALUE!</v>
      </c>
      <c r="AH165" t="e">
        <f>AND('STERLING CATALOG - DRY '!I3650,"AAAAAF/MdyE=")</f>
        <v>#VALUE!</v>
      </c>
      <c r="AI165" t="e">
        <f>AND('STERLING CATALOG - DRY '!J3650,"AAAAAF/MdyI=")</f>
        <v>#VALUE!</v>
      </c>
      <c r="AJ165">
        <f>IF('STERLING CATALOG - DRY '!3651:3651,"AAAAAF/MdyM=",0)</f>
        <v>0</v>
      </c>
      <c r="AK165" t="e">
        <f>AND('STERLING CATALOG - DRY '!A3651,"AAAAAF/MdyQ=")</f>
        <v>#VALUE!</v>
      </c>
      <c r="AL165" t="e">
        <f>AND('STERLING CATALOG - DRY '!B3651,"AAAAAF/MdyU=")</f>
        <v>#VALUE!</v>
      </c>
      <c r="AM165" t="e">
        <f>AND('STERLING CATALOG - DRY '!C3651,"AAAAAF/MdyY=")</f>
        <v>#VALUE!</v>
      </c>
      <c r="AN165" t="e">
        <f>AND('STERLING CATALOG - DRY '!D3651,"AAAAAF/Mdyc=")</f>
        <v>#VALUE!</v>
      </c>
      <c r="AO165" t="e">
        <f>AND('STERLING CATALOG - DRY '!E3651,"AAAAAF/Mdyg=")</f>
        <v>#VALUE!</v>
      </c>
      <c r="AP165" t="e">
        <f>AND('STERLING CATALOG - DRY '!F3651,"AAAAAF/Mdyk=")</f>
        <v>#VALUE!</v>
      </c>
      <c r="AQ165" t="e">
        <f>AND('STERLING CATALOG - DRY '!G3651,"AAAAAF/Mdyo=")</f>
        <v>#VALUE!</v>
      </c>
      <c r="AR165" t="e">
        <f>AND('STERLING CATALOG - DRY '!H3651,"AAAAAF/Mdys=")</f>
        <v>#VALUE!</v>
      </c>
      <c r="AS165" t="e">
        <f>AND('STERLING CATALOG - DRY '!I3651,"AAAAAF/Mdyw=")</f>
        <v>#VALUE!</v>
      </c>
      <c r="AT165" t="e">
        <f>AND('STERLING CATALOG - DRY '!J3651,"AAAAAF/Mdy0=")</f>
        <v>#VALUE!</v>
      </c>
      <c r="AU165">
        <f>IF('STERLING CATALOG - DRY '!3652:3652,"AAAAAF/Mdy4=",0)</f>
        <v>0</v>
      </c>
      <c r="AV165" t="e">
        <f>AND('STERLING CATALOG - DRY '!A3652,"AAAAAF/Mdy8=")</f>
        <v>#VALUE!</v>
      </c>
      <c r="AW165" t="e">
        <f>AND('STERLING CATALOG - DRY '!B3652,"AAAAAF/MdzA=")</f>
        <v>#VALUE!</v>
      </c>
      <c r="AX165" t="e">
        <f>AND('STERLING CATALOG - DRY '!C3652,"AAAAAF/MdzE=")</f>
        <v>#VALUE!</v>
      </c>
      <c r="AY165" t="e">
        <f>AND('STERLING CATALOG - DRY '!D3652,"AAAAAF/MdzI=")</f>
        <v>#VALUE!</v>
      </c>
      <c r="AZ165" t="e">
        <f>AND('STERLING CATALOG - DRY '!E3652,"AAAAAF/MdzM=")</f>
        <v>#VALUE!</v>
      </c>
      <c r="BA165" t="e">
        <f>AND('STERLING CATALOG - DRY '!F3652,"AAAAAF/MdzQ=")</f>
        <v>#VALUE!</v>
      </c>
      <c r="BB165" t="e">
        <f>AND('STERLING CATALOG - DRY '!G3652,"AAAAAF/MdzU=")</f>
        <v>#VALUE!</v>
      </c>
      <c r="BC165" t="e">
        <f>AND('STERLING CATALOG - DRY '!H3652,"AAAAAF/MdzY=")</f>
        <v>#VALUE!</v>
      </c>
      <c r="BD165" t="e">
        <f>AND('STERLING CATALOG - DRY '!I3652,"AAAAAF/Mdzc=")</f>
        <v>#VALUE!</v>
      </c>
      <c r="BE165" t="e">
        <f>AND('STERLING CATALOG - DRY '!J3652,"AAAAAF/Mdzg=")</f>
        <v>#VALUE!</v>
      </c>
      <c r="BF165">
        <f>IF('STERLING CATALOG - DRY '!3653:3653,"AAAAAF/Mdzk=",0)</f>
        <v>0</v>
      </c>
      <c r="BG165" t="e">
        <f>AND('STERLING CATALOG - DRY '!A3653,"AAAAAF/Mdzo=")</f>
        <v>#VALUE!</v>
      </c>
      <c r="BH165" t="e">
        <f>AND('STERLING CATALOG - DRY '!B3653,"AAAAAF/Mdzs=")</f>
        <v>#VALUE!</v>
      </c>
      <c r="BI165" t="e">
        <f>AND('STERLING CATALOG - DRY '!C3653,"AAAAAF/Mdzw=")</f>
        <v>#VALUE!</v>
      </c>
      <c r="BJ165" t="e">
        <f>AND('STERLING CATALOG - DRY '!D3653,"AAAAAF/Mdz0=")</f>
        <v>#VALUE!</v>
      </c>
      <c r="BK165" t="e">
        <f>AND('STERLING CATALOG - DRY '!E3653,"AAAAAF/Mdz4=")</f>
        <v>#VALUE!</v>
      </c>
      <c r="BL165" t="e">
        <f>AND('STERLING CATALOG - DRY '!F3653,"AAAAAF/Mdz8=")</f>
        <v>#VALUE!</v>
      </c>
      <c r="BM165" t="e">
        <f>AND('STERLING CATALOG - DRY '!G3653,"AAAAAF/Md0A=")</f>
        <v>#VALUE!</v>
      </c>
      <c r="BN165" t="e">
        <f>AND('STERLING CATALOG - DRY '!H3653,"AAAAAF/Md0E=")</f>
        <v>#VALUE!</v>
      </c>
      <c r="BO165" t="e">
        <f>AND('STERLING CATALOG - DRY '!I3653,"AAAAAF/Md0I=")</f>
        <v>#VALUE!</v>
      </c>
      <c r="BP165" t="e">
        <f>AND('STERLING CATALOG - DRY '!J3653,"AAAAAF/Md0M=")</f>
        <v>#VALUE!</v>
      </c>
      <c r="BQ165">
        <f>IF('STERLING CATALOG - DRY '!3654:3654,"AAAAAF/Md0Q=",0)</f>
        <v>0</v>
      </c>
      <c r="BR165" t="e">
        <f>AND('STERLING CATALOG - DRY '!A3654,"AAAAAF/Md0U=")</f>
        <v>#VALUE!</v>
      </c>
      <c r="BS165" t="e">
        <f>AND('STERLING CATALOG - DRY '!B3654,"AAAAAF/Md0Y=")</f>
        <v>#VALUE!</v>
      </c>
      <c r="BT165" t="e">
        <f>AND('STERLING CATALOG - DRY '!C3654,"AAAAAF/Md0c=")</f>
        <v>#VALUE!</v>
      </c>
      <c r="BU165" t="e">
        <f>AND('STERLING CATALOG - DRY '!D3654,"AAAAAF/Md0g=")</f>
        <v>#VALUE!</v>
      </c>
      <c r="BV165" t="e">
        <f>AND('STERLING CATALOG - DRY '!E3654,"AAAAAF/Md0k=")</f>
        <v>#VALUE!</v>
      </c>
      <c r="BW165" t="e">
        <f>AND('STERLING CATALOG - DRY '!F3654,"AAAAAF/Md0o=")</f>
        <v>#VALUE!</v>
      </c>
      <c r="BX165" t="e">
        <f>AND('STERLING CATALOG - DRY '!G3654,"AAAAAF/Md0s=")</f>
        <v>#VALUE!</v>
      </c>
      <c r="BY165" t="e">
        <f>AND('STERLING CATALOG - DRY '!H3654,"AAAAAF/Md0w=")</f>
        <v>#VALUE!</v>
      </c>
      <c r="BZ165" t="e">
        <f>AND('STERLING CATALOG - DRY '!I3654,"AAAAAF/Md00=")</f>
        <v>#VALUE!</v>
      </c>
      <c r="CA165" t="e">
        <f>AND('STERLING CATALOG - DRY '!J3654,"AAAAAF/Md04=")</f>
        <v>#VALUE!</v>
      </c>
      <c r="CB165">
        <f>IF('STERLING CATALOG - DRY '!3655:3655,"AAAAAF/Md08=",0)</f>
        <v>0</v>
      </c>
      <c r="CC165" t="e">
        <f>AND('STERLING CATALOG - DRY '!A3655,"AAAAAF/Md1A=")</f>
        <v>#VALUE!</v>
      </c>
      <c r="CD165" t="e">
        <f>AND('STERLING CATALOG - DRY '!B3655,"AAAAAF/Md1E=")</f>
        <v>#VALUE!</v>
      </c>
      <c r="CE165" t="e">
        <f>AND('STERLING CATALOG - DRY '!C3655,"AAAAAF/Md1I=")</f>
        <v>#VALUE!</v>
      </c>
      <c r="CF165" t="e">
        <f>AND('STERLING CATALOG - DRY '!D3655,"AAAAAF/Md1M=")</f>
        <v>#VALUE!</v>
      </c>
      <c r="CG165" t="e">
        <f>AND('STERLING CATALOG - DRY '!E3655,"AAAAAF/Md1Q=")</f>
        <v>#VALUE!</v>
      </c>
      <c r="CH165" t="e">
        <f>AND('STERLING CATALOG - DRY '!F3655,"AAAAAF/Md1U=")</f>
        <v>#VALUE!</v>
      </c>
      <c r="CI165" t="e">
        <f>AND('STERLING CATALOG - DRY '!G3655,"AAAAAF/Md1Y=")</f>
        <v>#VALUE!</v>
      </c>
      <c r="CJ165" t="e">
        <f>AND('STERLING CATALOG - DRY '!H3655,"AAAAAF/Md1c=")</f>
        <v>#VALUE!</v>
      </c>
      <c r="CK165" t="e">
        <f>AND('STERLING CATALOG - DRY '!I3655,"AAAAAF/Md1g=")</f>
        <v>#VALUE!</v>
      </c>
      <c r="CL165" t="e">
        <f>AND('STERLING CATALOG - DRY '!J3655,"AAAAAF/Md1k=")</f>
        <v>#VALUE!</v>
      </c>
      <c r="CM165">
        <f>IF('STERLING CATALOG - DRY '!3656:3656,"AAAAAF/Md1o=",0)</f>
        <v>0</v>
      </c>
      <c r="CN165" t="e">
        <f>AND('STERLING CATALOG - DRY '!A3656,"AAAAAF/Md1s=")</f>
        <v>#VALUE!</v>
      </c>
      <c r="CO165" t="e">
        <f>AND('STERLING CATALOG - DRY '!B3656,"AAAAAF/Md1w=")</f>
        <v>#VALUE!</v>
      </c>
      <c r="CP165" t="e">
        <f>AND('STERLING CATALOG - DRY '!C3656,"AAAAAF/Md10=")</f>
        <v>#VALUE!</v>
      </c>
      <c r="CQ165" t="e">
        <f>AND('STERLING CATALOG - DRY '!D3656,"AAAAAF/Md14=")</f>
        <v>#VALUE!</v>
      </c>
      <c r="CR165" t="e">
        <f>AND('STERLING CATALOG - DRY '!E3656,"AAAAAF/Md18=")</f>
        <v>#VALUE!</v>
      </c>
      <c r="CS165" t="e">
        <f>AND('STERLING CATALOG - DRY '!F3656,"AAAAAF/Md2A=")</f>
        <v>#VALUE!</v>
      </c>
      <c r="CT165" t="e">
        <f>AND('STERLING CATALOG - DRY '!G3656,"AAAAAF/Md2E=")</f>
        <v>#VALUE!</v>
      </c>
      <c r="CU165" t="e">
        <f>AND('STERLING CATALOG - DRY '!H3656,"AAAAAF/Md2I=")</f>
        <v>#VALUE!</v>
      </c>
      <c r="CV165" t="e">
        <f>AND('STERLING CATALOG - DRY '!I3656,"AAAAAF/Md2M=")</f>
        <v>#VALUE!</v>
      </c>
      <c r="CW165" t="e">
        <f>AND('STERLING CATALOG - DRY '!J3656,"AAAAAF/Md2Q=")</f>
        <v>#VALUE!</v>
      </c>
      <c r="CX165">
        <f>IF('STERLING CATALOG - DRY '!3657:3657,"AAAAAF/Md2U=",0)</f>
        <v>0</v>
      </c>
      <c r="CY165" t="e">
        <f>AND('STERLING CATALOG - DRY '!A3657,"AAAAAF/Md2Y=")</f>
        <v>#VALUE!</v>
      </c>
      <c r="CZ165" t="e">
        <f>AND('STERLING CATALOG - DRY '!B3657,"AAAAAF/Md2c=")</f>
        <v>#VALUE!</v>
      </c>
      <c r="DA165" t="e">
        <f>AND('STERLING CATALOG - DRY '!C3657,"AAAAAF/Md2g=")</f>
        <v>#VALUE!</v>
      </c>
      <c r="DB165" t="e">
        <f>AND('STERLING CATALOG - DRY '!D3657,"AAAAAF/Md2k=")</f>
        <v>#VALUE!</v>
      </c>
      <c r="DC165" t="e">
        <f>AND('STERLING CATALOG - DRY '!E3657,"AAAAAF/Md2o=")</f>
        <v>#VALUE!</v>
      </c>
      <c r="DD165" t="e">
        <f>AND('STERLING CATALOG - DRY '!F3657,"AAAAAF/Md2s=")</f>
        <v>#VALUE!</v>
      </c>
      <c r="DE165" t="e">
        <f>AND('STERLING CATALOG - DRY '!G3657,"AAAAAF/Md2w=")</f>
        <v>#VALUE!</v>
      </c>
      <c r="DF165" t="e">
        <f>AND('STERLING CATALOG - DRY '!H3657,"AAAAAF/Md20=")</f>
        <v>#VALUE!</v>
      </c>
      <c r="DG165" t="e">
        <f>AND('STERLING CATALOG - DRY '!I3657,"AAAAAF/Md24=")</f>
        <v>#VALUE!</v>
      </c>
      <c r="DH165" t="e">
        <f>AND('STERLING CATALOG - DRY '!J3657,"AAAAAF/Md28=")</f>
        <v>#VALUE!</v>
      </c>
      <c r="DI165">
        <f>IF('STERLING CATALOG - DRY '!3658:3658,"AAAAAF/Md3A=",0)</f>
        <v>0</v>
      </c>
      <c r="DJ165" t="e">
        <f>AND('STERLING CATALOG - DRY '!A3658,"AAAAAF/Md3E=")</f>
        <v>#VALUE!</v>
      </c>
      <c r="DK165" t="e">
        <f>AND('STERLING CATALOG - DRY '!B3658,"AAAAAF/Md3I=")</f>
        <v>#VALUE!</v>
      </c>
      <c r="DL165" t="e">
        <f>AND('STERLING CATALOG - DRY '!C3658,"AAAAAF/Md3M=")</f>
        <v>#VALUE!</v>
      </c>
      <c r="DM165" t="e">
        <f>AND('STERLING CATALOG - DRY '!D3658,"AAAAAF/Md3Q=")</f>
        <v>#VALUE!</v>
      </c>
      <c r="DN165" t="e">
        <f>AND('STERLING CATALOG - DRY '!E3658,"AAAAAF/Md3U=")</f>
        <v>#VALUE!</v>
      </c>
      <c r="DO165" t="e">
        <f>AND('STERLING CATALOG - DRY '!F3658,"AAAAAF/Md3Y=")</f>
        <v>#VALUE!</v>
      </c>
      <c r="DP165" t="e">
        <f>AND('STERLING CATALOG - DRY '!G3658,"AAAAAF/Md3c=")</f>
        <v>#VALUE!</v>
      </c>
      <c r="DQ165" t="e">
        <f>AND('STERLING CATALOG - DRY '!H3658,"AAAAAF/Md3g=")</f>
        <v>#VALUE!</v>
      </c>
      <c r="DR165" t="e">
        <f>AND('STERLING CATALOG - DRY '!I3658,"AAAAAF/Md3k=")</f>
        <v>#VALUE!</v>
      </c>
      <c r="DS165" t="e">
        <f>AND('STERLING CATALOG - DRY '!J3658,"AAAAAF/Md3o=")</f>
        <v>#VALUE!</v>
      </c>
      <c r="DT165">
        <f>IF('STERLING CATALOG - DRY '!3659:3659,"AAAAAF/Md3s=",0)</f>
        <v>0</v>
      </c>
      <c r="DU165" t="e">
        <f>AND('STERLING CATALOG - DRY '!A3659,"AAAAAF/Md3w=")</f>
        <v>#VALUE!</v>
      </c>
      <c r="DV165" t="e">
        <f>AND('STERLING CATALOG - DRY '!B3659,"AAAAAF/Md30=")</f>
        <v>#VALUE!</v>
      </c>
      <c r="DW165" t="e">
        <f>AND('STERLING CATALOG - DRY '!C3659,"AAAAAF/Md34=")</f>
        <v>#VALUE!</v>
      </c>
      <c r="DX165" t="e">
        <f>AND('STERLING CATALOG - DRY '!D3659,"AAAAAF/Md38=")</f>
        <v>#VALUE!</v>
      </c>
      <c r="DY165" t="e">
        <f>AND('STERLING CATALOG - DRY '!E3659,"AAAAAF/Md4A=")</f>
        <v>#VALUE!</v>
      </c>
      <c r="DZ165" t="e">
        <f>AND('STERLING CATALOG - DRY '!F3659,"AAAAAF/Md4E=")</f>
        <v>#VALUE!</v>
      </c>
      <c r="EA165" t="e">
        <f>AND('STERLING CATALOG - DRY '!G3659,"AAAAAF/Md4I=")</f>
        <v>#VALUE!</v>
      </c>
      <c r="EB165" t="e">
        <f>AND('STERLING CATALOG - DRY '!H3659,"AAAAAF/Md4M=")</f>
        <v>#VALUE!</v>
      </c>
      <c r="EC165" t="e">
        <f>AND('STERLING CATALOG - DRY '!I3659,"AAAAAF/Md4Q=")</f>
        <v>#VALUE!</v>
      </c>
      <c r="ED165" t="e">
        <f>AND('STERLING CATALOG - DRY '!J3659,"AAAAAF/Md4U=")</f>
        <v>#VALUE!</v>
      </c>
      <c r="EE165">
        <f>IF('STERLING CATALOG - DRY '!3660:3660,"AAAAAF/Md4Y=",0)</f>
        <v>0</v>
      </c>
      <c r="EF165" t="e">
        <f>AND('STERLING CATALOG - DRY '!A3660,"AAAAAF/Md4c=")</f>
        <v>#VALUE!</v>
      </c>
      <c r="EG165" t="e">
        <f>AND('STERLING CATALOG - DRY '!B3660,"AAAAAF/Md4g=")</f>
        <v>#VALUE!</v>
      </c>
      <c r="EH165" t="e">
        <f>AND('STERLING CATALOG - DRY '!C3660,"AAAAAF/Md4k=")</f>
        <v>#VALUE!</v>
      </c>
      <c r="EI165" t="e">
        <f>AND('STERLING CATALOG - DRY '!D3660,"AAAAAF/Md4o=")</f>
        <v>#VALUE!</v>
      </c>
      <c r="EJ165" t="e">
        <f>AND('STERLING CATALOG - DRY '!E3660,"AAAAAF/Md4s=")</f>
        <v>#VALUE!</v>
      </c>
      <c r="EK165" t="e">
        <f>AND('STERLING CATALOG - DRY '!F3660,"AAAAAF/Md4w=")</f>
        <v>#VALUE!</v>
      </c>
      <c r="EL165" t="e">
        <f>AND('STERLING CATALOG - DRY '!G3660,"AAAAAF/Md40=")</f>
        <v>#VALUE!</v>
      </c>
      <c r="EM165" t="e">
        <f>AND('STERLING CATALOG - DRY '!H3660,"AAAAAF/Md44=")</f>
        <v>#VALUE!</v>
      </c>
      <c r="EN165" t="e">
        <f>AND('STERLING CATALOG - DRY '!I3660,"AAAAAF/Md48=")</f>
        <v>#VALUE!</v>
      </c>
      <c r="EO165" t="e">
        <f>AND('STERLING CATALOG - DRY '!J3660,"AAAAAF/Md5A=")</f>
        <v>#VALUE!</v>
      </c>
      <c r="EP165">
        <f>IF('STERLING CATALOG - DRY '!3661:3661,"AAAAAF/Md5E=",0)</f>
        <v>0</v>
      </c>
      <c r="EQ165" t="e">
        <f>AND('STERLING CATALOG - DRY '!A3661,"AAAAAF/Md5I=")</f>
        <v>#VALUE!</v>
      </c>
      <c r="ER165" t="e">
        <f>AND('STERLING CATALOG - DRY '!B3661,"AAAAAF/Md5M=")</f>
        <v>#VALUE!</v>
      </c>
      <c r="ES165" t="e">
        <f>AND('STERLING CATALOG - DRY '!C3661,"AAAAAF/Md5Q=")</f>
        <v>#VALUE!</v>
      </c>
      <c r="ET165" t="e">
        <f>AND('STERLING CATALOG - DRY '!D3661,"AAAAAF/Md5U=")</f>
        <v>#VALUE!</v>
      </c>
      <c r="EU165" t="e">
        <f>AND('STERLING CATALOG - DRY '!E3661,"AAAAAF/Md5Y=")</f>
        <v>#VALUE!</v>
      </c>
      <c r="EV165" t="e">
        <f>AND('STERLING CATALOG - DRY '!F3661,"AAAAAF/Md5c=")</f>
        <v>#VALUE!</v>
      </c>
      <c r="EW165" t="e">
        <f>AND('STERLING CATALOG - DRY '!G3661,"AAAAAF/Md5g=")</f>
        <v>#VALUE!</v>
      </c>
      <c r="EX165" t="e">
        <f>AND('STERLING CATALOG - DRY '!H3661,"AAAAAF/Md5k=")</f>
        <v>#VALUE!</v>
      </c>
      <c r="EY165" t="e">
        <f>AND('STERLING CATALOG - DRY '!I3661,"AAAAAF/Md5o=")</f>
        <v>#VALUE!</v>
      </c>
      <c r="EZ165" t="e">
        <f>AND('STERLING CATALOG - DRY '!J3661,"AAAAAF/Md5s=")</f>
        <v>#VALUE!</v>
      </c>
      <c r="FA165">
        <f>IF('STERLING CATALOG - DRY '!3662:3662,"AAAAAF/Md5w=",0)</f>
        <v>0</v>
      </c>
      <c r="FB165" t="e">
        <f>AND('STERLING CATALOG - DRY '!A3662,"AAAAAF/Md50=")</f>
        <v>#VALUE!</v>
      </c>
      <c r="FC165" t="e">
        <f>AND('STERLING CATALOG - DRY '!B3662,"AAAAAF/Md54=")</f>
        <v>#VALUE!</v>
      </c>
      <c r="FD165" t="e">
        <f>AND('STERLING CATALOG - DRY '!C3662,"AAAAAF/Md58=")</f>
        <v>#VALUE!</v>
      </c>
      <c r="FE165" t="e">
        <f>AND('STERLING CATALOG - DRY '!D3662,"AAAAAF/Md6A=")</f>
        <v>#VALUE!</v>
      </c>
      <c r="FF165" t="e">
        <f>AND('STERLING CATALOG - DRY '!E3662,"AAAAAF/Md6E=")</f>
        <v>#VALUE!</v>
      </c>
      <c r="FG165" t="e">
        <f>AND('STERLING CATALOG - DRY '!F3662,"AAAAAF/Md6I=")</f>
        <v>#VALUE!</v>
      </c>
      <c r="FH165" t="e">
        <f>AND('STERLING CATALOG - DRY '!G3662,"AAAAAF/Md6M=")</f>
        <v>#VALUE!</v>
      </c>
      <c r="FI165" t="e">
        <f>AND('STERLING CATALOG - DRY '!H3662,"AAAAAF/Md6Q=")</f>
        <v>#VALUE!</v>
      </c>
      <c r="FJ165" t="e">
        <f>AND('STERLING CATALOG - DRY '!I3662,"AAAAAF/Md6U=")</f>
        <v>#VALUE!</v>
      </c>
      <c r="FK165" t="e">
        <f>AND('STERLING CATALOG - DRY '!J3662,"AAAAAF/Md6Y=")</f>
        <v>#VALUE!</v>
      </c>
      <c r="FL165">
        <f>IF('STERLING CATALOG - DRY '!3663:3663,"AAAAAF/Md6c=",0)</f>
        <v>0</v>
      </c>
      <c r="FM165" t="e">
        <f>AND('STERLING CATALOG - DRY '!A3663,"AAAAAF/Md6g=")</f>
        <v>#VALUE!</v>
      </c>
      <c r="FN165" t="e">
        <f>AND('STERLING CATALOG - DRY '!B3663,"AAAAAF/Md6k=")</f>
        <v>#VALUE!</v>
      </c>
      <c r="FO165" t="e">
        <f>AND('STERLING CATALOG - DRY '!C3663,"AAAAAF/Md6o=")</f>
        <v>#VALUE!</v>
      </c>
      <c r="FP165" t="e">
        <f>AND('STERLING CATALOG - DRY '!D3663,"AAAAAF/Md6s=")</f>
        <v>#VALUE!</v>
      </c>
      <c r="FQ165" t="e">
        <f>AND('STERLING CATALOG - DRY '!E3663,"AAAAAF/Md6w=")</f>
        <v>#VALUE!</v>
      </c>
      <c r="FR165" t="e">
        <f>AND('STERLING CATALOG - DRY '!F3663,"AAAAAF/Md60=")</f>
        <v>#VALUE!</v>
      </c>
      <c r="FS165" t="e">
        <f>AND('STERLING CATALOG - DRY '!G3663,"AAAAAF/Md64=")</f>
        <v>#VALUE!</v>
      </c>
      <c r="FT165" t="e">
        <f>AND('STERLING CATALOG - DRY '!H3663,"AAAAAF/Md68=")</f>
        <v>#VALUE!</v>
      </c>
      <c r="FU165" t="e">
        <f>AND('STERLING CATALOG - DRY '!I3663,"AAAAAF/Md7A=")</f>
        <v>#VALUE!</v>
      </c>
      <c r="FV165" t="e">
        <f>AND('STERLING CATALOG - DRY '!J3663,"AAAAAF/Md7E=")</f>
        <v>#VALUE!</v>
      </c>
      <c r="FW165">
        <f>IF('STERLING CATALOG - DRY '!3664:3664,"AAAAAF/Md7I=",0)</f>
        <v>0</v>
      </c>
      <c r="FX165" t="e">
        <f>AND('STERLING CATALOG - DRY '!A3664,"AAAAAF/Md7M=")</f>
        <v>#VALUE!</v>
      </c>
      <c r="FY165" t="e">
        <f>AND('STERLING CATALOG - DRY '!B3664,"AAAAAF/Md7Q=")</f>
        <v>#VALUE!</v>
      </c>
      <c r="FZ165" t="e">
        <f>AND('STERLING CATALOG - DRY '!C3664,"AAAAAF/Md7U=")</f>
        <v>#VALUE!</v>
      </c>
      <c r="GA165" t="e">
        <f>AND('STERLING CATALOG - DRY '!D3664,"AAAAAF/Md7Y=")</f>
        <v>#VALUE!</v>
      </c>
      <c r="GB165" t="e">
        <f>AND('STERLING CATALOG - DRY '!E3664,"AAAAAF/Md7c=")</f>
        <v>#VALUE!</v>
      </c>
      <c r="GC165" t="e">
        <f>AND('STERLING CATALOG - DRY '!F3664,"AAAAAF/Md7g=")</f>
        <v>#VALUE!</v>
      </c>
      <c r="GD165" t="e">
        <f>AND('STERLING CATALOG - DRY '!G3664,"AAAAAF/Md7k=")</f>
        <v>#VALUE!</v>
      </c>
      <c r="GE165" t="e">
        <f>AND('STERLING CATALOG - DRY '!H3664,"AAAAAF/Md7o=")</f>
        <v>#VALUE!</v>
      </c>
      <c r="GF165" t="e">
        <f>AND('STERLING CATALOG - DRY '!I3664,"AAAAAF/Md7s=")</f>
        <v>#VALUE!</v>
      </c>
      <c r="GG165" t="e">
        <f>AND('STERLING CATALOG - DRY '!J3664,"AAAAAF/Md7w=")</f>
        <v>#VALUE!</v>
      </c>
      <c r="GH165">
        <f>IF('STERLING CATALOG - DRY '!3665:3665,"AAAAAF/Md70=",0)</f>
        <v>0</v>
      </c>
      <c r="GI165" t="e">
        <f>AND('STERLING CATALOG - DRY '!A3665,"AAAAAF/Md74=")</f>
        <v>#VALUE!</v>
      </c>
      <c r="GJ165" t="e">
        <f>AND('STERLING CATALOG - DRY '!B3665,"AAAAAF/Md78=")</f>
        <v>#VALUE!</v>
      </c>
      <c r="GK165" t="e">
        <f>AND('STERLING CATALOG - DRY '!C3665,"AAAAAF/Md8A=")</f>
        <v>#VALUE!</v>
      </c>
      <c r="GL165" t="e">
        <f>AND('STERLING CATALOG - DRY '!D3665,"AAAAAF/Md8E=")</f>
        <v>#VALUE!</v>
      </c>
      <c r="GM165" t="e">
        <f>AND('STERLING CATALOG - DRY '!E3665,"AAAAAF/Md8I=")</f>
        <v>#VALUE!</v>
      </c>
      <c r="GN165" t="e">
        <f>AND('STERLING CATALOG - DRY '!F3665,"AAAAAF/Md8M=")</f>
        <v>#VALUE!</v>
      </c>
      <c r="GO165" t="e">
        <f>AND('STERLING CATALOG - DRY '!G3665,"AAAAAF/Md8Q=")</f>
        <v>#VALUE!</v>
      </c>
      <c r="GP165" t="e">
        <f>AND('STERLING CATALOG - DRY '!H3665,"AAAAAF/Md8U=")</f>
        <v>#VALUE!</v>
      </c>
      <c r="GQ165" t="e">
        <f>AND('STERLING CATALOG - DRY '!I3665,"AAAAAF/Md8Y=")</f>
        <v>#VALUE!</v>
      </c>
      <c r="GR165" t="e">
        <f>AND('STERLING CATALOG - DRY '!J3665,"AAAAAF/Md8c=")</f>
        <v>#VALUE!</v>
      </c>
      <c r="GS165">
        <f>IF('STERLING CATALOG - DRY '!3666:3666,"AAAAAF/Md8g=",0)</f>
        <v>0</v>
      </c>
      <c r="GT165" t="e">
        <f>AND('STERLING CATALOG - DRY '!A3666,"AAAAAF/Md8k=")</f>
        <v>#VALUE!</v>
      </c>
      <c r="GU165" t="e">
        <f>AND('STERLING CATALOG - DRY '!B3666,"AAAAAF/Md8o=")</f>
        <v>#VALUE!</v>
      </c>
      <c r="GV165" t="e">
        <f>AND('STERLING CATALOG - DRY '!C3666,"AAAAAF/Md8s=")</f>
        <v>#VALUE!</v>
      </c>
      <c r="GW165" t="e">
        <f>AND('STERLING CATALOG - DRY '!D3666,"AAAAAF/Md8w=")</f>
        <v>#VALUE!</v>
      </c>
      <c r="GX165" t="e">
        <f>AND('STERLING CATALOG - DRY '!E3666,"AAAAAF/Md80=")</f>
        <v>#VALUE!</v>
      </c>
      <c r="GY165" t="e">
        <f>AND('STERLING CATALOG - DRY '!F3666,"AAAAAF/Md84=")</f>
        <v>#VALUE!</v>
      </c>
      <c r="GZ165" t="e">
        <f>AND('STERLING CATALOG - DRY '!G3666,"AAAAAF/Md88=")</f>
        <v>#VALUE!</v>
      </c>
      <c r="HA165" t="e">
        <f>AND('STERLING CATALOG - DRY '!H3666,"AAAAAF/Md9A=")</f>
        <v>#VALUE!</v>
      </c>
      <c r="HB165" t="e">
        <f>AND('STERLING CATALOG - DRY '!I3666,"AAAAAF/Md9E=")</f>
        <v>#VALUE!</v>
      </c>
      <c r="HC165" t="e">
        <f>AND('STERLING CATALOG - DRY '!J3666,"AAAAAF/Md9I=")</f>
        <v>#VALUE!</v>
      </c>
      <c r="HD165">
        <f>IF('STERLING CATALOG - DRY '!3667:3667,"AAAAAF/Md9M=",0)</f>
        <v>0</v>
      </c>
      <c r="HE165" t="e">
        <f>AND('STERLING CATALOG - DRY '!A3667,"AAAAAF/Md9Q=")</f>
        <v>#VALUE!</v>
      </c>
      <c r="HF165" t="e">
        <f>AND('STERLING CATALOG - DRY '!B3667,"AAAAAF/Md9U=")</f>
        <v>#VALUE!</v>
      </c>
      <c r="HG165" t="e">
        <f>AND('STERLING CATALOG - DRY '!C3667,"AAAAAF/Md9Y=")</f>
        <v>#VALUE!</v>
      </c>
      <c r="HH165" t="e">
        <f>AND('STERLING CATALOG - DRY '!D3667,"AAAAAF/Md9c=")</f>
        <v>#VALUE!</v>
      </c>
      <c r="HI165" t="e">
        <f>AND('STERLING CATALOG - DRY '!E3667,"AAAAAF/Md9g=")</f>
        <v>#VALUE!</v>
      </c>
      <c r="HJ165" t="e">
        <f>AND('STERLING CATALOG - DRY '!F3667,"AAAAAF/Md9k=")</f>
        <v>#VALUE!</v>
      </c>
      <c r="HK165" t="e">
        <f>AND('STERLING CATALOG - DRY '!G3667,"AAAAAF/Md9o=")</f>
        <v>#VALUE!</v>
      </c>
      <c r="HL165" t="e">
        <f>AND('STERLING CATALOG - DRY '!H3667,"AAAAAF/Md9s=")</f>
        <v>#VALUE!</v>
      </c>
      <c r="HM165" t="e">
        <f>AND('STERLING CATALOG - DRY '!I3667,"AAAAAF/Md9w=")</f>
        <v>#VALUE!</v>
      </c>
      <c r="HN165" t="e">
        <f>AND('STERLING CATALOG - DRY '!J3667,"AAAAAF/Md90=")</f>
        <v>#VALUE!</v>
      </c>
      <c r="HO165">
        <f>IF('STERLING CATALOG - DRY '!3668:3668,"AAAAAF/Md94=",0)</f>
        <v>0</v>
      </c>
      <c r="HP165" t="e">
        <f>AND('STERLING CATALOG - DRY '!A3668,"AAAAAF/Md98=")</f>
        <v>#VALUE!</v>
      </c>
      <c r="HQ165" t="e">
        <f>AND('STERLING CATALOG - DRY '!B3668,"AAAAAF/Md+A=")</f>
        <v>#VALUE!</v>
      </c>
      <c r="HR165" t="e">
        <f>AND('STERLING CATALOG - DRY '!C3668,"AAAAAF/Md+E=")</f>
        <v>#VALUE!</v>
      </c>
      <c r="HS165" t="e">
        <f>AND('STERLING CATALOG - DRY '!D3668,"AAAAAF/Md+I=")</f>
        <v>#VALUE!</v>
      </c>
      <c r="HT165" t="e">
        <f>AND('STERLING CATALOG - DRY '!E3668,"AAAAAF/Md+M=")</f>
        <v>#VALUE!</v>
      </c>
      <c r="HU165" t="e">
        <f>AND('STERLING CATALOG - DRY '!F3668,"AAAAAF/Md+Q=")</f>
        <v>#VALUE!</v>
      </c>
      <c r="HV165" t="e">
        <f>AND('STERLING CATALOG - DRY '!G3668,"AAAAAF/Md+U=")</f>
        <v>#VALUE!</v>
      </c>
      <c r="HW165" t="e">
        <f>AND('STERLING CATALOG - DRY '!H3668,"AAAAAF/Md+Y=")</f>
        <v>#VALUE!</v>
      </c>
      <c r="HX165" t="e">
        <f>AND('STERLING CATALOG - DRY '!I3668,"AAAAAF/Md+c=")</f>
        <v>#VALUE!</v>
      </c>
      <c r="HY165" t="e">
        <f>AND('STERLING CATALOG - DRY '!J3668,"AAAAAF/Md+g=")</f>
        <v>#VALUE!</v>
      </c>
      <c r="HZ165">
        <f>IF('STERLING CATALOG - DRY '!3669:3669,"AAAAAF/Md+k=",0)</f>
        <v>0</v>
      </c>
      <c r="IA165" t="e">
        <f>AND('STERLING CATALOG - DRY '!A3669,"AAAAAF/Md+o=")</f>
        <v>#VALUE!</v>
      </c>
      <c r="IB165" t="e">
        <f>AND('STERLING CATALOG - DRY '!B3669,"AAAAAF/Md+s=")</f>
        <v>#VALUE!</v>
      </c>
      <c r="IC165" t="e">
        <f>AND('STERLING CATALOG - DRY '!C3669,"AAAAAF/Md+w=")</f>
        <v>#VALUE!</v>
      </c>
      <c r="ID165" t="e">
        <f>AND('STERLING CATALOG - DRY '!D3669,"AAAAAF/Md+0=")</f>
        <v>#VALUE!</v>
      </c>
      <c r="IE165" t="e">
        <f>AND('STERLING CATALOG - DRY '!E3669,"AAAAAF/Md+4=")</f>
        <v>#VALUE!</v>
      </c>
      <c r="IF165" t="e">
        <f>AND('STERLING CATALOG - DRY '!F3669,"AAAAAF/Md+8=")</f>
        <v>#VALUE!</v>
      </c>
      <c r="IG165" t="e">
        <f>AND('STERLING CATALOG - DRY '!G3669,"AAAAAF/Md/A=")</f>
        <v>#VALUE!</v>
      </c>
      <c r="IH165" t="e">
        <f>AND('STERLING CATALOG - DRY '!H3669,"AAAAAF/Md/E=")</f>
        <v>#VALUE!</v>
      </c>
      <c r="II165" t="e">
        <f>AND('STERLING CATALOG - DRY '!I3669,"AAAAAF/Md/I=")</f>
        <v>#VALUE!</v>
      </c>
      <c r="IJ165" t="e">
        <f>AND('STERLING CATALOG - DRY '!J3669,"AAAAAF/Md/M=")</f>
        <v>#VALUE!</v>
      </c>
      <c r="IK165">
        <f>IF('STERLING CATALOG - DRY '!3670:3670,"AAAAAF/Md/Q=",0)</f>
        <v>0</v>
      </c>
      <c r="IL165" t="e">
        <f>AND('STERLING CATALOG - DRY '!A3670,"AAAAAF/Md/U=")</f>
        <v>#VALUE!</v>
      </c>
      <c r="IM165" t="e">
        <f>AND('STERLING CATALOG - DRY '!B3670,"AAAAAF/Md/Y=")</f>
        <v>#VALUE!</v>
      </c>
      <c r="IN165" t="e">
        <f>AND('STERLING CATALOG - DRY '!C3670,"AAAAAF/Md/c=")</f>
        <v>#VALUE!</v>
      </c>
      <c r="IO165" t="e">
        <f>AND('STERLING CATALOG - DRY '!D3670,"AAAAAF/Md/g=")</f>
        <v>#VALUE!</v>
      </c>
      <c r="IP165" t="e">
        <f>AND('STERLING CATALOG - DRY '!E3670,"AAAAAF/Md/k=")</f>
        <v>#VALUE!</v>
      </c>
      <c r="IQ165" t="e">
        <f>AND('STERLING CATALOG - DRY '!F3670,"AAAAAF/Md/o=")</f>
        <v>#VALUE!</v>
      </c>
      <c r="IR165" t="e">
        <f>AND('STERLING CATALOG - DRY '!G3670,"AAAAAF/Md/s=")</f>
        <v>#VALUE!</v>
      </c>
      <c r="IS165" t="e">
        <f>AND('STERLING CATALOG - DRY '!H3670,"AAAAAF/Md/w=")</f>
        <v>#VALUE!</v>
      </c>
      <c r="IT165" t="e">
        <f>AND('STERLING CATALOG - DRY '!I3670,"AAAAAF/Md/0=")</f>
        <v>#VALUE!</v>
      </c>
      <c r="IU165" t="e">
        <f>AND('STERLING CATALOG - DRY '!J3670,"AAAAAF/Md/4=")</f>
        <v>#VALUE!</v>
      </c>
      <c r="IV165">
        <f>IF('STERLING CATALOG - DRY '!3671:3671,"AAAAAF/Md/8=",0)</f>
        <v>0</v>
      </c>
    </row>
    <row r="166" spans="1:256">
      <c r="A166" t="e">
        <f>AND('STERLING CATALOG - DRY '!A3671,"AAAAAH093wA=")</f>
        <v>#VALUE!</v>
      </c>
      <c r="B166" t="e">
        <f>AND('STERLING CATALOG - DRY '!B3671,"AAAAAH093wE=")</f>
        <v>#VALUE!</v>
      </c>
      <c r="C166" t="e">
        <f>AND('STERLING CATALOG - DRY '!C3671,"AAAAAH093wI=")</f>
        <v>#VALUE!</v>
      </c>
      <c r="D166" t="e">
        <f>AND('STERLING CATALOG - DRY '!D3671,"AAAAAH093wM=")</f>
        <v>#VALUE!</v>
      </c>
      <c r="E166" t="e">
        <f>AND('STERLING CATALOG - DRY '!E3671,"AAAAAH093wQ=")</f>
        <v>#VALUE!</v>
      </c>
      <c r="F166" t="e">
        <f>AND('STERLING CATALOG - DRY '!F3671,"AAAAAH093wU=")</f>
        <v>#VALUE!</v>
      </c>
      <c r="G166" t="e">
        <f>AND('STERLING CATALOG - DRY '!G3671,"AAAAAH093wY=")</f>
        <v>#VALUE!</v>
      </c>
      <c r="H166" t="e">
        <f>AND('STERLING CATALOG - DRY '!H3671,"AAAAAH093wc=")</f>
        <v>#VALUE!</v>
      </c>
      <c r="I166" t="e">
        <f>AND('STERLING CATALOG - DRY '!I3671,"AAAAAH093wg=")</f>
        <v>#VALUE!</v>
      </c>
      <c r="J166" t="e">
        <f>AND('STERLING CATALOG - DRY '!J3671,"AAAAAH093wk=")</f>
        <v>#VALUE!</v>
      </c>
      <c r="K166">
        <f>IF('STERLING CATALOG - DRY '!3672:3672,"AAAAAH093wo=",0)</f>
        <v>0</v>
      </c>
      <c r="L166" t="e">
        <f>AND('STERLING CATALOG - DRY '!A3672,"AAAAAH093ws=")</f>
        <v>#VALUE!</v>
      </c>
      <c r="M166" t="e">
        <f>AND('STERLING CATALOG - DRY '!B3672,"AAAAAH093ww=")</f>
        <v>#VALUE!</v>
      </c>
      <c r="N166" t="e">
        <f>AND('STERLING CATALOG - DRY '!C3672,"AAAAAH093w0=")</f>
        <v>#VALUE!</v>
      </c>
      <c r="O166" t="e">
        <f>AND('STERLING CATALOG - DRY '!D3672,"AAAAAH093w4=")</f>
        <v>#VALUE!</v>
      </c>
      <c r="P166" t="e">
        <f>AND('STERLING CATALOG - DRY '!E3672,"AAAAAH093w8=")</f>
        <v>#VALUE!</v>
      </c>
      <c r="Q166" t="e">
        <f>AND('STERLING CATALOG - DRY '!F3672,"AAAAAH093xA=")</f>
        <v>#VALUE!</v>
      </c>
      <c r="R166" t="e">
        <f>AND('STERLING CATALOG - DRY '!G3672,"AAAAAH093xE=")</f>
        <v>#VALUE!</v>
      </c>
      <c r="S166" t="e">
        <f>AND('STERLING CATALOG - DRY '!H3672,"AAAAAH093xI=")</f>
        <v>#VALUE!</v>
      </c>
      <c r="T166" t="e">
        <f>AND('STERLING CATALOG - DRY '!I3672,"AAAAAH093xM=")</f>
        <v>#VALUE!</v>
      </c>
      <c r="U166" t="e">
        <f>AND('STERLING CATALOG - DRY '!J3672,"AAAAAH093xQ=")</f>
        <v>#VALUE!</v>
      </c>
      <c r="V166">
        <f>IF('STERLING CATALOG - DRY '!3673:3673,"AAAAAH093xU=",0)</f>
        <v>0</v>
      </c>
      <c r="W166" t="e">
        <f>AND('STERLING CATALOG - DRY '!A3673,"AAAAAH093xY=")</f>
        <v>#VALUE!</v>
      </c>
      <c r="X166" t="e">
        <f>AND('STERLING CATALOG - DRY '!B3673,"AAAAAH093xc=")</f>
        <v>#VALUE!</v>
      </c>
      <c r="Y166" t="e">
        <f>AND('STERLING CATALOG - DRY '!C3673,"AAAAAH093xg=")</f>
        <v>#VALUE!</v>
      </c>
      <c r="Z166" t="e">
        <f>AND('STERLING CATALOG - DRY '!D3673,"AAAAAH093xk=")</f>
        <v>#VALUE!</v>
      </c>
      <c r="AA166" t="e">
        <f>AND('STERLING CATALOG - DRY '!E3673,"AAAAAH093xo=")</f>
        <v>#VALUE!</v>
      </c>
      <c r="AB166" t="e">
        <f>AND('STERLING CATALOG - DRY '!F3673,"AAAAAH093xs=")</f>
        <v>#VALUE!</v>
      </c>
      <c r="AC166" t="e">
        <f>AND('STERLING CATALOG - DRY '!G3673,"AAAAAH093xw=")</f>
        <v>#VALUE!</v>
      </c>
      <c r="AD166" t="e">
        <f>AND('STERLING CATALOG - DRY '!H3673,"AAAAAH093x0=")</f>
        <v>#VALUE!</v>
      </c>
      <c r="AE166" t="e">
        <f>AND('STERLING CATALOG - DRY '!I3673,"AAAAAH093x4=")</f>
        <v>#VALUE!</v>
      </c>
      <c r="AF166" t="e">
        <f>AND('STERLING CATALOG - DRY '!J3673,"AAAAAH093x8=")</f>
        <v>#VALUE!</v>
      </c>
      <c r="AG166">
        <f>IF('STERLING CATALOG - DRY '!3674:3674,"AAAAAH093yA=",0)</f>
        <v>0</v>
      </c>
      <c r="AH166" t="e">
        <f>AND('STERLING CATALOG - DRY '!A3674,"AAAAAH093yE=")</f>
        <v>#VALUE!</v>
      </c>
      <c r="AI166" t="e">
        <f>AND('STERLING CATALOG - DRY '!B3674,"AAAAAH093yI=")</f>
        <v>#VALUE!</v>
      </c>
      <c r="AJ166" t="e">
        <f>AND('STERLING CATALOG - DRY '!C3674,"AAAAAH093yM=")</f>
        <v>#VALUE!</v>
      </c>
      <c r="AK166" t="e">
        <f>AND('STERLING CATALOG - DRY '!D3674,"AAAAAH093yQ=")</f>
        <v>#VALUE!</v>
      </c>
      <c r="AL166" t="e">
        <f>AND('STERLING CATALOG - DRY '!E3674,"AAAAAH093yU=")</f>
        <v>#VALUE!</v>
      </c>
      <c r="AM166" t="e">
        <f>AND('STERLING CATALOG - DRY '!F3674,"AAAAAH093yY=")</f>
        <v>#VALUE!</v>
      </c>
      <c r="AN166" t="e">
        <f>AND('STERLING CATALOG - DRY '!G3674,"AAAAAH093yc=")</f>
        <v>#VALUE!</v>
      </c>
      <c r="AO166" t="e">
        <f>AND('STERLING CATALOG - DRY '!H3674,"AAAAAH093yg=")</f>
        <v>#VALUE!</v>
      </c>
      <c r="AP166" t="e">
        <f>AND('STERLING CATALOG - DRY '!I3674,"AAAAAH093yk=")</f>
        <v>#VALUE!</v>
      </c>
      <c r="AQ166" t="e">
        <f>AND('STERLING CATALOG - DRY '!J3674,"AAAAAH093yo=")</f>
        <v>#VALUE!</v>
      </c>
      <c r="AR166">
        <f>IF('STERLING CATALOG - DRY '!3675:3675,"AAAAAH093ys=",0)</f>
        <v>0</v>
      </c>
      <c r="AS166" t="e">
        <f>AND('STERLING CATALOG - DRY '!A3675,"AAAAAH093yw=")</f>
        <v>#VALUE!</v>
      </c>
      <c r="AT166" t="e">
        <f>AND('STERLING CATALOG - DRY '!B3675,"AAAAAH093y0=")</f>
        <v>#VALUE!</v>
      </c>
      <c r="AU166" t="e">
        <f>AND('STERLING CATALOG - DRY '!C3675,"AAAAAH093y4=")</f>
        <v>#VALUE!</v>
      </c>
      <c r="AV166" t="e">
        <f>AND('STERLING CATALOG - DRY '!D3675,"AAAAAH093y8=")</f>
        <v>#VALUE!</v>
      </c>
      <c r="AW166" t="e">
        <f>AND('STERLING CATALOG - DRY '!E3675,"AAAAAH093zA=")</f>
        <v>#VALUE!</v>
      </c>
      <c r="AX166" t="e">
        <f>AND('STERLING CATALOG - DRY '!F3675,"AAAAAH093zE=")</f>
        <v>#VALUE!</v>
      </c>
      <c r="AY166" t="e">
        <f>AND('STERLING CATALOG - DRY '!G3675,"AAAAAH093zI=")</f>
        <v>#VALUE!</v>
      </c>
      <c r="AZ166" t="e">
        <f>AND('STERLING CATALOG - DRY '!H3675,"AAAAAH093zM=")</f>
        <v>#VALUE!</v>
      </c>
      <c r="BA166" t="e">
        <f>AND('STERLING CATALOG - DRY '!I3675,"AAAAAH093zQ=")</f>
        <v>#VALUE!</v>
      </c>
      <c r="BB166" t="e">
        <f>AND('STERLING CATALOG - DRY '!J3675,"AAAAAH093zU=")</f>
        <v>#VALUE!</v>
      </c>
      <c r="BC166">
        <f>IF('STERLING CATALOG - DRY '!3676:3676,"AAAAAH093zY=",0)</f>
        <v>0</v>
      </c>
      <c r="BD166" t="e">
        <f>AND('STERLING CATALOG - DRY '!A3676,"AAAAAH093zc=")</f>
        <v>#VALUE!</v>
      </c>
      <c r="BE166" t="e">
        <f>AND('STERLING CATALOG - DRY '!B3676,"AAAAAH093zg=")</f>
        <v>#VALUE!</v>
      </c>
      <c r="BF166" t="e">
        <f>AND('STERLING CATALOG - DRY '!C3676,"AAAAAH093zk=")</f>
        <v>#VALUE!</v>
      </c>
      <c r="BG166" t="e">
        <f>AND('STERLING CATALOG - DRY '!D3676,"AAAAAH093zo=")</f>
        <v>#VALUE!</v>
      </c>
      <c r="BH166" t="e">
        <f>AND('STERLING CATALOG - DRY '!E3676,"AAAAAH093zs=")</f>
        <v>#VALUE!</v>
      </c>
      <c r="BI166" t="e">
        <f>AND('STERLING CATALOG - DRY '!F3676,"AAAAAH093zw=")</f>
        <v>#VALUE!</v>
      </c>
      <c r="BJ166" t="e">
        <f>AND('STERLING CATALOG - DRY '!G3676,"AAAAAH093z0=")</f>
        <v>#VALUE!</v>
      </c>
      <c r="BK166" t="e">
        <f>AND('STERLING CATALOG - DRY '!H3676,"AAAAAH093z4=")</f>
        <v>#VALUE!</v>
      </c>
      <c r="BL166" t="e">
        <f>AND('STERLING CATALOG - DRY '!I3676,"AAAAAH093z8=")</f>
        <v>#VALUE!</v>
      </c>
      <c r="BM166" t="e">
        <f>AND('STERLING CATALOG - DRY '!J3676,"AAAAAH0930A=")</f>
        <v>#VALUE!</v>
      </c>
      <c r="BN166">
        <f>IF('STERLING CATALOG - DRY '!3677:3677,"AAAAAH0930E=",0)</f>
        <v>0</v>
      </c>
      <c r="BO166" t="e">
        <f>AND('STERLING CATALOG - DRY '!A3677,"AAAAAH0930I=")</f>
        <v>#VALUE!</v>
      </c>
      <c r="BP166" t="e">
        <f>AND('STERLING CATALOG - DRY '!B3677,"AAAAAH0930M=")</f>
        <v>#VALUE!</v>
      </c>
      <c r="BQ166" t="e">
        <f>AND('STERLING CATALOG - DRY '!C3677,"AAAAAH0930Q=")</f>
        <v>#VALUE!</v>
      </c>
      <c r="BR166" t="e">
        <f>AND('STERLING CATALOG - DRY '!D3677,"AAAAAH0930U=")</f>
        <v>#VALUE!</v>
      </c>
      <c r="BS166" t="e">
        <f>AND('STERLING CATALOG - DRY '!E3677,"AAAAAH0930Y=")</f>
        <v>#VALUE!</v>
      </c>
      <c r="BT166" t="e">
        <f>AND('STERLING CATALOG - DRY '!F3677,"AAAAAH0930c=")</f>
        <v>#VALUE!</v>
      </c>
      <c r="BU166" t="e">
        <f>AND('STERLING CATALOG - DRY '!G3677,"AAAAAH0930g=")</f>
        <v>#VALUE!</v>
      </c>
      <c r="BV166" t="e">
        <f>AND('STERLING CATALOG - DRY '!H3677,"AAAAAH0930k=")</f>
        <v>#VALUE!</v>
      </c>
      <c r="BW166" t="e">
        <f>AND('STERLING CATALOG - DRY '!I3677,"AAAAAH0930o=")</f>
        <v>#VALUE!</v>
      </c>
      <c r="BX166" t="e">
        <f>AND('STERLING CATALOG - DRY '!J3677,"AAAAAH0930s=")</f>
        <v>#VALUE!</v>
      </c>
      <c r="BY166">
        <f>IF('STERLING CATALOG - DRY '!3678:3678,"AAAAAH0930w=",0)</f>
        <v>0</v>
      </c>
      <c r="BZ166" t="e">
        <f>AND('STERLING CATALOG - DRY '!A3678,"AAAAAH09300=")</f>
        <v>#VALUE!</v>
      </c>
      <c r="CA166" t="e">
        <f>AND('STERLING CATALOG - DRY '!B3678,"AAAAAH09304=")</f>
        <v>#VALUE!</v>
      </c>
      <c r="CB166" t="e">
        <f>AND('STERLING CATALOG - DRY '!C3678,"AAAAAH09308=")</f>
        <v>#VALUE!</v>
      </c>
      <c r="CC166" t="e">
        <f>AND('STERLING CATALOG - DRY '!D3678,"AAAAAH0931A=")</f>
        <v>#VALUE!</v>
      </c>
      <c r="CD166" t="e">
        <f>AND('STERLING CATALOG - DRY '!E3678,"AAAAAH0931E=")</f>
        <v>#VALUE!</v>
      </c>
      <c r="CE166" t="e">
        <f>AND('STERLING CATALOG - DRY '!F3678,"AAAAAH0931I=")</f>
        <v>#VALUE!</v>
      </c>
      <c r="CF166" t="e">
        <f>AND('STERLING CATALOG - DRY '!G3678,"AAAAAH0931M=")</f>
        <v>#VALUE!</v>
      </c>
      <c r="CG166" t="e">
        <f>AND('STERLING CATALOG - DRY '!H3678,"AAAAAH0931Q=")</f>
        <v>#VALUE!</v>
      </c>
      <c r="CH166" t="e">
        <f>AND('STERLING CATALOG - DRY '!I3678,"AAAAAH0931U=")</f>
        <v>#VALUE!</v>
      </c>
      <c r="CI166" t="e">
        <f>AND('STERLING CATALOG - DRY '!J3678,"AAAAAH0931Y=")</f>
        <v>#VALUE!</v>
      </c>
      <c r="CJ166">
        <f>IF('STERLING CATALOG - DRY '!3679:3679,"AAAAAH0931c=",0)</f>
        <v>0</v>
      </c>
      <c r="CK166" t="e">
        <f>AND('STERLING CATALOG - DRY '!A3679,"AAAAAH0931g=")</f>
        <v>#VALUE!</v>
      </c>
      <c r="CL166" t="e">
        <f>AND('STERLING CATALOG - DRY '!B3679,"AAAAAH0931k=")</f>
        <v>#VALUE!</v>
      </c>
      <c r="CM166" t="e">
        <f>AND('STERLING CATALOG - DRY '!C3679,"AAAAAH0931o=")</f>
        <v>#VALUE!</v>
      </c>
      <c r="CN166" t="e">
        <f>AND('STERLING CATALOG - DRY '!D3679,"AAAAAH0931s=")</f>
        <v>#VALUE!</v>
      </c>
      <c r="CO166" t="e">
        <f>AND('STERLING CATALOG - DRY '!E3679,"AAAAAH0931w=")</f>
        <v>#VALUE!</v>
      </c>
      <c r="CP166" t="e">
        <f>AND('STERLING CATALOG - DRY '!F3679,"AAAAAH09310=")</f>
        <v>#VALUE!</v>
      </c>
      <c r="CQ166" t="e">
        <f>AND('STERLING CATALOG - DRY '!G3679,"AAAAAH09314=")</f>
        <v>#VALUE!</v>
      </c>
      <c r="CR166" t="e">
        <f>AND('STERLING CATALOG - DRY '!H3679,"AAAAAH09318=")</f>
        <v>#VALUE!</v>
      </c>
      <c r="CS166" t="e">
        <f>AND('STERLING CATALOG - DRY '!I3679,"AAAAAH0932A=")</f>
        <v>#VALUE!</v>
      </c>
      <c r="CT166" t="e">
        <f>AND('STERLING CATALOG - DRY '!J3679,"AAAAAH0932E=")</f>
        <v>#VALUE!</v>
      </c>
      <c r="CU166">
        <f>IF('STERLING CATALOG - DRY '!3680:3680,"AAAAAH0932I=",0)</f>
        <v>0</v>
      </c>
      <c r="CV166" t="e">
        <f>AND('STERLING CATALOG - DRY '!A3680,"AAAAAH0932M=")</f>
        <v>#VALUE!</v>
      </c>
      <c r="CW166" t="e">
        <f>AND('STERLING CATALOG - DRY '!B3680,"AAAAAH0932Q=")</f>
        <v>#VALUE!</v>
      </c>
      <c r="CX166" t="e">
        <f>AND('STERLING CATALOG - DRY '!C3680,"AAAAAH0932U=")</f>
        <v>#VALUE!</v>
      </c>
      <c r="CY166" t="e">
        <f>AND('STERLING CATALOG - DRY '!D3680,"AAAAAH0932Y=")</f>
        <v>#VALUE!</v>
      </c>
      <c r="CZ166" t="e">
        <f>AND('STERLING CATALOG - DRY '!E3680,"AAAAAH0932c=")</f>
        <v>#VALUE!</v>
      </c>
      <c r="DA166" t="e">
        <f>AND('STERLING CATALOG - DRY '!F3680,"AAAAAH0932g=")</f>
        <v>#VALUE!</v>
      </c>
      <c r="DB166" t="e">
        <f>AND('STERLING CATALOG - DRY '!G3680,"AAAAAH0932k=")</f>
        <v>#VALUE!</v>
      </c>
      <c r="DC166" t="e">
        <f>AND('STERLING CATALOG - DRY '!H3680,"AAAAAH0932o=")</f>
        <v>#VALUE!</v>
      </c>
      <c r="DD166" t="e">
        <f>AND('STERLING CATALOG - DRY '!I3680,"AAAAAH0932s=")</f>
        <v>#VALUE!</v>
      </c>
      <c r="DE166" t="e">
        <f>AND('STERLING CATALOG - DRY '!J3680,"AAAAAH0932w=")</f>
        <v>#VALUE!</v>
      </c>
      <c r="DF166">
        <f>IF('STERLING CATALOG - DRY '!3681:3681,"AAAAAH09320=",0)</f>
        <v>0</v>
      </c>
      <c r="DG166" t="e">
        <f>AND('STERLING CATALOG - DRY '!A3681,"AAAAAH09324=")</f>
        <v>#VALUE!</v>
      </c>
      <c r="DH166" t="e">
        <f>AND('STERLING CATALOG - DRY '!B3681,"AAAAAH09328=")</f>
        <v>#VALUE!</v>
      </c>
      <c r="DI166" t="e">
        <f>AND('STERLING CATALOG - DRY '!C3681,"AAAAAH0933A=")</f>
        <v>#VALUE!</v>
      </c>
      <c r="DJ166" t="e">
        <f>AND('STERLING CATALOG - DRY '!D3681,"AAAAAH0933E=")</f>
        <v>#VALUE!</v>
      </c>
      <c r="DK166" t="e">
        <f>AND('STERLING CATALOG - DRY '!E3681,"AAAAAH0933I=")</f>
        <v>#VALUE!</v>
      </c>
      <c r="DL166" t="e">
        <f>AND('STERLING CATALOG - DRY '!F3681,"AAAAAH0933M=")</f>
        <v>#VALUE!</v>
      </c>
      <c r="DM166" t="e">
        <f>AND('STERLING CATALOG - DRY '!G3681,"AAAAAH0933Q=")</f>
        <v>#VALUE!</v>
      </c>
      <c r="DN166" t="e">
        <f>AND('STERLING CATALOG - DRY '!H3681,"AAAAAH0933U=")</f>
        <v>#VALUE!</v>
      </c>
      <c r="DO166" t="e">
        <f>AND('STERLING CATALOG - DRY '!I3681,"AAAAAH0933Y=")</f>
        <v>#VALUE!</v>
      </c>
      <c r="DP166" t="e">
        <f>AND('STERLING CATALOG - DRY '!J3681,"AAAAAH0933c=")</f>
        <v>#VALUE!</v>
      </c>
      <c r="DQ166">
        <f>IF('STERLING CATALOG - DRY '!3682:3682,"AAAAAH0933g=",0)</f>
        <v>0</v>
      </c>
      <c r="DR166" t="e">
        <f>AND('STERLING CATALOG - DRY '!A3682,"AAAAAH0933k=")</f>
        <v>#VALUE!</v>
      </c>
      <c r="DS166" t="e">
        <f>AND('STERLING CATALOG - DRY '!B3682,"AAAAAH0933o=")</f>
        <v>#VALUE!</v>
      </c>
      <c r="DT166" t="e">
        <f>AND('STERLING CATALOG - DRY '!C3682,"AAAAAH0933s=")</f>
        <v>#VALUE!</v>
      </c>
      <c r="DU166" t="e">
        <f>AND('STERLING CATALOG - DRY '!D3682,"AAAAAH0933w=")</f>
        <v>#VALUE!</v>
      </c>
      <c r="DV166" t="e">
        <f>AND('STERLING CATALOG - DRY '!E3682,"AAAAAH09330=")</f>
        <v>#VALUE!</v>
      </c>
      <c r="DW166" t="e">
        <f>AND('STERLING CATALOG - DRY '!F3682,"AAAAAH09334=")</f>
        <v>#VALUE!</v>
      </c>
      <c r="DX166" t="e">
        <f>AND('STERLING CATALOG - DRY '!G3682,"AAAAAH09338=")</f>
        <v>#VALUE!</v>
      </c>
      <c r="DY166" t="e">
        <f>AND('STERLING CATALOG - DRY '!H3682,"AAAAAH0934A=")</f>
        <v>#VALUE!</v>
      </c>
      <c r="DZ166" t="e">
        <f>AND('STERLING CATALOG - DRY '!I3682,"AAAAAH0934E=")</f>
        <v>#VALUE!</v>
      </c>
      <c r="EA166" t="e">
        <f>AND('STERLING CATALOG - DRY '!J3682,"AAAAAH0934I=")</f>
        <v>#VALUE!</v>
      </c>
      <c r="EB166">
        <f>IF('STERLING CATALOG - DRY '!3683:3683,"AAAAAH0934M=",0)</f>
        <v>0</v>
      </c>
      <c r="EC166" t="e">
        <f>AND('STERLING CATALOG - DRY '!A3683,"AAAAAH0934Q=")</f>
        <v>#VALUE!</v>
      </c>
      <c r="ED166" t="e">
        <f>AND('STERLING CATALOG - DRY '!B3683,"AAAAAH0934U=")</f>
        <v>#VALUE!</v>
      </c>
      <c r="EE166" t="e">
        <f>AND('STERLING CATALOG - DRY '!C3683,"AAAAAH0934Y=")</f>
        <v>#VALUE!</v>
      </c>
      <c r="EF166" t="e">
        <f>AND('STERLING CATALOG - DRY '!D3683,"AAAAAH0934c=")</f>
        <v>#VALUE!</v>
      </c>
      <c r="EG166" t="e">
        <f>AND('STERLING CATALOG - DRY '!E3683,"AAAAAH0934g=")</f>
        <v>#VALUE!</v>
      </c>
      <c r="EH166" t="e">
        <f>AND('STERLING CATALOG - DRY '!F3683,"AAAAAH0934k=")</f>
        <v>#VALUE!</v>
      </c>
      <c r="EI166" t="e">
        <f>AND('STERLING CATALOG - DRY '!G3683,"AAAAAH0934o=")</f>
        <v>#VALUE!</v>
      </c>
      <c r="EJ166" t="e">
        <f>AND('STERLING CATALOG - DRY '!H3683,"AAAAAH0934s=")</f>
        <v>#VALUE!</v>
      </c>
      <c r="EK166" t="e">
        <f>AND('STERLING CATALOG - DRY '!I3683,"AAAAAH0934w=")</f>
        <v>#VALUE!</v>
      </c>
      <c r="EL166" t="e">
        <f>AND('STERLING CATALOG - DRY '!J3683,"AAAAAH09340=")</f>
        <v>#VALUE!</v>
      </c>
      <c r="EM166">
        <f>IF('STERLING CATALOG - DRY '!3684:3684,"AAAAAH09344=",0)</f>
        <v>0</v>
      </c>
      <c r="EN166" t="e">
        <f>AND('STERLING CATALOG - DRY '!A3684,"AAAAAH09348=")</f>
        <v>#VALUE!</v>
      </c>
      <c r="EO166" t="e">
        <f>AND('STERLING CATALOG - DRY '!B3684,"AAAAAH0935A=")</f>
        <v>#VALUE!</v>
      </c>
      <c r="EP166" t="e">
        <f>AND('STERLING CATALOG - DRY '!C3684,"AAAAAH0935E=")</f>
        <v>#VALUE!</v>
      </c>
      <c r="EQ166" t="e">
        <f>AND('STERLING CATALOG - DRY '!D3684,"AAAAAH0935I=")</f>
        <v>#VALUE!</v>
      </c>
      <c r="ER166" t="e">
        <f>AND('STERLING CATALOG - DRY '!E3684,"AAAAAH0935M=")</f>
        <v>#VALUE!</v>
      </c>
      <c r="ES166" t="e">
        <f>AND('STERLING CATALOG - DRY '!F3684,"AAAAAH0935Q=")</f>
        <v>#VALUE!</v>
      </c>
      <c r="ET166" t="e">
        <f>AND('STERLING CATALOG - DRY '!G3684,"AAAAAH0935U=")</f>
        <v>#VALUE!</v>
      </c>
      <c r="EU166" t="e">
        <f>AND('STERLING CATALOG - DRY '!H3684,"AAAAAH0935Y=")</f>
        <v>#VALUE!</v>
      </c>
      <c r="EV166" t="e">
        <f>AND('STERLING CATALOG - DRY '!I3684,"AAAAAH0935c=")</f>
        <v>#VALUE!</v>
      </c>
      <c r="EW166" t="e">
        <f>AND('STERLING CATALOG - DRY '!J3684,"AAAAAH0935g=")</f>
        <v>#VALUE!</v>
      </c>
      <c r="EX166">
        <f>IF('STERLING CATALOG - DRY '!3685:3685,"AAAAAH0935k=",0)</f>
        <v>0</v>
      </c>
      <c r="EY166" t="e">
        <f>AND('STERLING CATALOG - DRY '!A3685,"AAAAAH0935o=")</f>
        <v>#VALUE!</v>
      </c>
      <c r="EZ166" t="e">
        <f>AND('STERLING CATALOG - DRY '!B3685,"AAAAAH0935s=")</f>
        <v>#VALUE!</v>
      </c>
      <c r="FA166" t="e">
        <f>AND('STERLING CATALOG - DRY '!C3685,"AAAAAH0935w=")</f>
        <v>#VALUE!</v>
      </c>
      <c r="FB166" t="e">
        <f>AND('STERLING CATALOG - DRY '!D3685,"AAAAAH09350=")</f>
        <v>#VALUE!</v>
      </c>
      <c r="FC166" t="e">
        <f>AND('STERLING CATALOG - DRY '!E3685,"AAAAAH09354=")</f>
        <v>#VALUE!</v>
      </c>
      <c r="FD166" t="e">
        <f>AND('STERLING CATALOG - DRY '!F3685,"AAAAAH09358=")</f>
        <v>#VALUE!</v>
      </c>
      <c r="FE166" t="e">
        <f>AND('STERLING CATALOG - DRY '!G3685,"AAAAAH0936A=")</f>
        <v>#VALUE!</v>
      </c>
      <c r="FF166" t="e">
        <f>AND('STERLING CATALOG - DRY '!H3685,"AAAAAH0936E=")</f>
        <v>#VALUE!</v>
      </c>
      <c r="FG166" t="e">
        <f>AND('STERLING CATALOG - DRY '!I3685,"AAAAAH0936I=")</f>
        <v>#VALUE!</v>
      </c>
      <c r="FH166" t="e">
        <f>AND('STERLING CATALOG - DRY '!J3685,"AAAAAH0936M=")</f>
        <v>#VALUE!</v>
      </c>
      <c r="FI166">
        <f>IF('STERLING CATALOG - DRY '!3686:3686,"AAAAAH0936Q=",0)</f>
        <v>0</v>
      </c>
      <c r="FJ166" t="e">
        <f>AND('STERLING CATALOG - DRY '!A3686,"AAAAAH0936U=")</f>
        <v>#VALUE!</v>
      </c>
      <c r="FK166" t="e">
        <f>AND('STERLING CATALOG - DRY '!B3686,"AAAAAH0936Y=")</f>
        <v>#VALUE!</v>
      </c>
      <c r="FL166" t="e">
        <f>AND('STERLING CATALOG - DRY '!C3686,"AAAAAH0936c=")</f>
        <v>#VALUE!</v>
      </c>
      <c r="FM166" t="e">
        <f>AND('STERLING CATALOG - DRY '!D3686,"AAAAAH0936g=")</f>
        <v>#VALUE!</v>
      </c>
      <c r="FN166" t="e">
        <f>AND('STERLING CATALOG - DRY '!E3686,"AAAAAH0936k=")</f>
        <v>#VALUE!</v>
      </c>
      <c r="FO166" t="e">
        <f>AND('STERLING CATALOG - DRY '!F3686,"AAAAAH0936o=")</f>
        <v>#VALUE!</v>
      </c>
      <c r="FP166" t="e">
        <f>AND('STERLING CATALOG - DRY '!G3686,"AAAAAH0936s=")</f>
        <v>#VALUE!</v>
      </c>
      <c r="FQ166" t="e">
        <f>AND('STERLING CATALOG - DRY '!H3686,"AAAAAH0936w=")</f>
        <v>#VALUE!</v>
      </c>
      <c r="FR166" t="e">
        <f>AND('STERLING CATALOG - DRY '!I3686,"AAAAAH09360=")</f>
        <v>#VALUE!</v>
      </c>
      <c r="FS166" t="e">
        <f>AND('STERLING CATALOG - DRY '!J3686,"AAAAAH09364=")</f>
        <v>#VALUE!</v>
      </c>
      <c r="FT166">
        <f>IF('STERLING CATALOG - DRY '!3687:3687,"AAAAAH09368=",0)</f>
        <v>0</v>
      </c>
      <c r="FU166" t="e">
        <f>AND('STERLING CATALOG - DRY '!A3687,"AAAAAH0937A=")</f>
        <v>#VALUE!</v>
      </c>
      <c r="FV166" t="e">
        <f>AND('STERLING CATALOG - DRY '!B3687,"AAAAAH0937E=")</f>
        <v>#VALUE!</v>
      </c>
      <c r="FW166" t="e">
        <f>AND('STERLING CATALOG - DRY '!C3687,"AAAAAH0937I=")</f>
        <v>#VALUE!</v>
      </c>
      <c r="FX166" t="e">
        <f>AND('STERLING CATALOG - DRY '!D3687,"AAAAAH0937M=")</f>
        <v>#VALUE!</v>
      </c>
      <c r="FY166" t="e">
        <f>AND('STERLING CATALOG - DRY '!E3687,"AAAAAH0937Q=")</f>
        <v>#VALUE!</v>
      </c>
      <c r="FZ166" t="e">
        <f>AND('STERLING CATALOG - DRY '!F3687,"AAAAAH0937U=")</f>
        <v>#VALUE!</v>
      </c>
      <c r="GA166" t="e">
        <f>AND('STERLING CATALOG - DRY '!G3687,"AAAAAH0937Y=")</f>
        <v>#VALUE!</v>
      </c>
      <c r="GB166" t="e">
        <f>AND('STERLING CATALOG - DRY '!H3687,"AAAAAH0937c=")</f>
        <v>#VALUE!</v>
      </c>
      <c r="GC166" t="e">
        <f>AND('STERLING CATALOG - DRY '!I3687,"AAAAAH0937g=")</f>
        <v>#VALUE!</v>
      </c>
      <c r="GD166" t="e">
        <f>AND('STERLING CATALOG - DRY '!J3687,"AAAAAH0937k=")</f>
        <v>#VALUE!</v>
      </c>
      <c r="GE166">
        <f>IF('STERLING CATALOG - DRY '!3688:3688,"AAAAAH0937o=",0)</f>
        <v>0</v>
      </c>
      <c r="GF166" t="e">
        <f>AND('STERLING CATALOG - DRY '!A3688,"AAAAAH0937s=")</f>
        <v>#VALUE!</v>
      </c>
      <c r="GG166" t="e">
        <f>AND('STERLING CATALOG - DRY '!B3688,"AAAAAH0937w=")</f>
        <v>#VALUE!</v>
      </c>
      <c r="GH166" t="e">
        <f>AND('STERLING CATALOG - DRY '!C3688,"AAAAAH09370=")</f>
        <v>#VALUE!</v>
      </c>
      <c r="GI166" t="e">
        <f>AND('STERLING CATALOG - DRY '!D3688,"AAAAAH09374=")</f>
        <v>#VALUE!</v>
      </c>
      <c r="GJ166" t="e">
        <f>AND('STERLING CATALOG - DRY '!E3688,"AAAAAH09378=")</f>
        <v>#VALUE!</v>
      </c>
      <c r="GK166" t="e">
        <f>AND('STERLING CATALOG - DRY '!F3688,"AAAAAH0938A=")</f>
        <v>#VALUE!</v>
      </c>
      <c r="GL166" t="e">
        <f>AND('STERLING CATALOG - DRY '!G3688,"AAAAAH0938E=")</f>
        <v>#VALUE!</v>
      </c>
      <c r="GM166" t="e">
        <f>AND('STERLING CATALOG - DRY '!H3688,"AAAAAH0938I=")</f>
        <v>#VALUE!</v>
      </c>
      <c r="GN166" t="e">
        <f>AND('STERLING CATALOG - DRY '!I3688,"AAAAAH0938M=")</f>
        <v>#VALUE!</v>
      </c>
      <c r="GO166" t="e">
        <f>AND('STERLING CATALOG - DRY '!J3688,"AAAAAH0938Q=")</f>
        <v>#VALUE!</v>
      </c>
      <c r="GP166">
        <f>IF('STERLING CATALOG - DRY '!3689:3689,"AAAAAH0938U=",0)</f>
        <v>0</v>
      </c>
      <c r="GQ166" t="e">
        <f>AND('STERLING CATALOG - DRY '!A3689,"AAAAAH0938Y=")</f>
        <v>#VALUE!</v>
      </c>
      <c r="GR166" t="e">
        <f>AND('STERLING CATALOG - DRY '!B3689,"AAAAAH0938c=")</f>
        <v>#VALUE!</v>
      </c>
      <c r="GS166" t="e">
        <f>AND('STERLING CATALOG - DRY '!C3689,"AAAAAH0938g=")</f>
        <v>#VALUE!</v>
      </c>
      <c r="GT166" t="e">
        <f>AND('STERLING CATALOG - DRY '!D3689,"AAAAAH0938k=")</f>
        <v>#VALUE!</v>
      </c>
      <c r="GU166" t="e">
        <f>AND('STERLING CATALOG - DRY '!E3689,"AAAAAH0938o=")</f>
        <v>#VALUE!</v>
      </c>
      <c r="GV166" t="e">
        <f>AND('STERLING CATALOG - DRY '!F3689,"AAAAAH0938s=")</f>
        <v>#VALUE!</v>
      </c>
      <c r="GW166" t="e">
        <f>AND('STERLING CATALOG - DRY '!G3689,"AAAAAH0938w=")</f>
        <v>#VALUE!</v>
      </c>
      <c r="GX166" t="e">
        <f>AND('STERLING CATALOG - DRY '!H3689,"AAAAAH09380=")</f>
        <v>#VALUE!</v>
      </c>
      <c r="GY166" t="e">
        <f>AND('STERLING CATALOG - DRY '!I3689,"AAAAAH09384=")</f>
        <v>#VALUE!</v>
      </c>
      <c r="GZ166" t="e">
        <f>AND('STERLING CATALOG - DRY '!J3689,"AAAAAH09388=")</f>
        <v>#VALUE!</v>
      </c>
      <c r="HA166">
        <f>IF('STERLING CATALOG - DRY '!3690:3690,"AAAAAH0939A=",0)</f>
        <v>0</v>
      </c>
      <c r="HB166" t="e">
        <f>AND('STERLING CATALOG - DRY '!A3690,"AAAAAH0939E=")</f>
        <v>#VALUE!</v>
      </c>
      <c r="HC166" t="e">
        <f>AND('STERLING CATALOG - DRY '!B3690,"AAAAAH0939I=")</f>
        <v>#VALUE!</v>
      </c>
      <c r="HD166" t="e">
        <f>AND('STERLING CATALOG - DRY '!C3690,"AAAAAH0939M=")</f>
        <v>#VALUE!</v>
      </c>
      <c r="HE166" t="e">
        <f>AND('STERLING CATALOG - DRY '!D3690,"AAAAAH0939Q=")</f>
        <v>#VALUE!</v>
      </c>
      <c r="HF166" t="e">
        <f>AND('STERLING CATALOG - DRY '!E3690,"AAAAAH0939U=")</f>
        <v>#VALUE!</v>
      </c>
      <c r="HG166" t="e">
        <f>AND('STERLING CATALOG - DRY '!F3690,"AAAAAH0939Y=")</f>
        <v>#VALUE!</v>
      </c>
      <c r="HH166" t="e">
        <f>AND('STERLING CATALOG - DRY '!G3690,"AAAAAH0939c=")</f>
        <v>#VALUE!</v>
      </c>
      <c r="HI166" t="e">
        <f>AND('STERLING CATALOG - DRY '!H3690,"AAAAAH0939g=")</f>
        <v>#VALUE!</v>
      </c>
      <c r="HJ166" t="e">
        <f>AND('STERLING CATALOG - DRY '!I3690,"AAAAAH0939k=")</f>
        <v>#VALUE!</v>
      </c>
      <c r="HK166" t="e">
        <f>AND('STERLING CATALOG - DRY '!J3690,"AAAAAH0939o=")</f>
        <v>#VALUE!</v>
      </c>
      <c r="HL166">
        <f>IF('STERLING CATALOG - DRY '!3691:3691,"AAAAAH0939s=",0)</f>
        <v>0</v>
      </c>
      <c r="HM166" t="e">
        <f>AND('STERLING CATALOG - DRY '!A3691,"AAAAAH0939w=")</f>
        <v>#VALUE!</v>
      </c>
      <c r="HN166" t="e">
        <f>AND('STERLING CATALOG - DRY '!B3691,"AAAAAH09390=")</f>
        <v>#VALUE!</v>
      </c>
      <c r="HO166" t="e">
        <f>AND('STERLING CATALOG - DRY '!C3691,"AAAAAH09394=")</f>
        <v>#VALUE!</v>
      </c>
      <c r="HP166" t="e">
        <f>AND('STERLING CATALOG - DRY '!D3691,"AAAAAH09398=")</f>
        <v>#VALUE!</v>
      </c>
      <c r="HQ166" t="e">
        <f>AND('STERLING CATALOG - DRY '!E3691,"AAAAAH093+A=")</f>
        <v>#VALUE!</v>
      </c>
      <c r="HR166" t="e">
        <f>AND('STERLING CATALOG - DRY '!F3691,"AAAAAH093+E=")</f>
        <v>#VALUE!</v>
      </c>
      <c r="HS166" t="e">
        <f>AND('STERLING CATALOG - DRY '!G3691,"AAAAAH093+I=")</f>
        <v>#VALUE!</v>
      </c>
      <c r="HT166" t="e">
        <f>AND('STERLING CATALOG - DRY '!H3691,"AAAAAH093+M=")</f>
        <v>#VALUE!</v>
      </c>
      <c r="HU166" t="e">
        <f>AND('STERLING CATALOG - DRY '!I3691,"AAAAAH093+Q=")</f>
        <v>#VALUE!</v>
      </c>
      <c r="HV166" t="e">
        <f>AND('STERLING CATALOG - DRY '!J3691,"AAAAAH093+U=")</f>
        <v>#VALUE!</v>
      </c>
      <c r="HW166">
        <f>IF('STERLING CATALOG - DRY '!3692:3692,"AAAAAH093+Y=",0)</f>
        <v>0</v>
      </c>
      <c r="HX166" t="e">
        <f>AND('STERLING CATALOG - DRY '!A3692,"AAAAAH093+c=")</f>
        <v>#VALUE!</v>
      </c>
      <c r="HY166" t="e">
        <f>AND('STERLING CATALOG - DRY '!B3692,"AAAAAH093+g=")</f>
        <v>#VALUE!</v>
      </c>
      <c r="HZ166" t="e">
        <f>AND('STERLING CATALOG - DRY '!C3692,"AAAAAH093+k=")</f>
        <v>#VALUE!</v>
      </c>
      <c r="IA166" t="e">
        <f>AND('STERLING CATALOG - DRY '!D3692,"AAAAAH093+o=")</f>
        <v>#VALUE!</v>
      </c>
      <c r="IB166" t="e">
        <f>AND('STERLING CATALOG - DRY '!E3692,"AAAAAH093+s=")</f>
        <v>#VALUE!</v>
      </c>
      <c r="IC166" t="e">
        <f>AND('STERLING CATALOG - DRY '!F3692,"AAAAAH093+w=")</f>
        <v>#VALUE!</v>
      </c>
      <c r="ID166" t="e">
        <f>AND('STERLING CATALOG - DRY '!G3692,"AAAAAH093+0=")</f>
        <v>#VALUE!</v>
      </c>
      <c r="IE166" t="e">
        <f>AND('STERLING CATALOG - DRY '!H3692,"AAAAAH093+4=")</f>
        <v>#VALUE!</v>
      </c>
      <c r="IF166" t="e">
        <f>AND('STERLING CATALOG - DRY '!I3692,"AAAAAH093+8=")</f>
        <v>#VALUE!</v>
      </c>
      <c r="IG166" t="e">
        <f>AND('STERLING CATALOG - DRY '!J3692,"AAAAAH093/A=")</f>
        <v>#VALUE!</v>
      </c>
      <c r="IH166">
        <f>IF('STERLING CATALOG - DRY '!3693:3693,"AAAAAH093/E=",0)</f>
        <v>0</v>
      </c>
      <c r="II166" t="e">
        <f>AND('STERLING CATALOG - DRY '!A3693,"AAAAAH093/I=")</f>
        <v>#VALUE!</v>
      </c>
      <c r="IJ166" t="e">
        <f>AND('STERLING CATALOG - DRY '!B3693,"AAAAAH093/M=")</f>
        <v>#VALUE!</v>
      </c>
      <c r="IK166" t="e">
        <f>AND('STERLING CATALOG - DRY '!C3693,"AAAAAH093/Q=")</f>
        <v>#VALUE!</v>
      </c>
      <c r="IL166" t="e">
        <f>AND('STERLING CATALOG - DRY '!D3693,"AAAAAH093/U=")</f>
        <v>#VALUE!</v>
      </c>
      <c r="IM166" t="e">
        <f>AND('STERLING CATALOG - DRY '!E3693,"AAAAAH093/Y=")</f>
        <v>#VALUE!</v>
      </c>
      <c r="IN166" t="e">
        <f>AND('STERLING CATALOG - DRY '!F3693,"AAAAAH093/c=")</f>
        <v>#VALUE!</v>
      </c>
      <c r="IO166" t="e">
        <f>AND('STERLING CATALOG - DRY '!G3693,"AAAAAH093/g=")</f>
        <v>#VALUE!</v>
      </c>
      <c r="IP166" t="e">
        <f>AND('STERLING CATALOG - DRY '!H3693,"AAAAAH093/k=")</f>
        <v>#VALUE!</v>
      </c>
      <c r="IQ166" t="e">
        <f>AND('STERLING CATALOG - DRY '!I3693,"AAAAAH093/o=")</f>
        <v>#VALUE!</v>
      </c>
      <c r="IR166" t="e">
        <f>AND('STERLING CATALOG - DRY '!J3693,"AAAAAH093/s=")</f>
        <v>#VALUE!</v>
      </c>
      <c r="IS166">
        <f>IF('STERLING CATALOG - DRY '!3694:3694,"AAAAAH093/w=",0)</f>
        <v>0</v>
      </c>
      <c r="IT166" t="e">
        <f>AND('STERLING CATALOG - DRY '!A3694,"AAAAAH093/0=")</f>
        <v>#VALUE!</v>
      </c>
      <c r="IU166" t="e">
        <f>AND('STERLING CATALOG - DRY '!B3694,"AAAAAH093/4=")</f>
        <v>#VALUE!</v>
      </c>
      <c r="IV166" t="e">
        <f>AND('STERLING CATALOG - DRY '!C3694,"AAAAAH093/8=")</f>
        <v>#VALUE!</v>
      </c>
    </row>
    <row r="167" spans="1:256">
      <c r="A167" t="e">
        <f>AND('STERLING CATALOG - DRY '!D3694,"AAAAAG++9gA=")</f>
        <v>#VALUE!</v>
      </c>
      <c r="B167" t="e">
        <f>AND('STERLING CATALOG - DRY '!E3694,"AAAAAG++9gE=")</f>
        <v>#VALUE!</v>
      </c>
      <c r="C167" t="e">
        <f>AND('STERLING CATALOG - DRY '!F3694,"AAAAAG++9gI=")</f>
        <v>#VALUE!</v>
      </c>
      <c r="D167" t="e">
        <f>AND('STERLING CATALOG - DRY '!G3694,"AAAAAG++9gM=")</f>
        <v>#VALUE!</v>
      </c>
      <c r="E167" t="e">
        <f>AND('STERLING CATALOG - DRY '!H3694,"AAAAAG++9gQ=")</f>
        <v>#VALUE!</v>
      </c>
      <c r="F167" t="e">
        <f>AND('STERLING CATALOG - DRY '!I3694,"AAAAAG++9gU=")</f>
        <v>#VALUE!</v>
      </c>
      <c r="G167" t="e">
        <f>AND('STERLING CATALOG - DRY '!J3694,"AAAAAG++9gY=")</f>
        <v>#VALUE!</v>
      </c>
      <c r="H167" t="str">
        <f>IF('STERLING CATALOG - DRY '!3695:3695,"AAAAAG++9gc=",0)</f>
        <v>AAAAAG++9gc=</v>
      </c>
      <c r="I167" t="e">
        <f>AND('STERLING CATALOG - DRY '!A3695,"AAAAAG++9gg=")</f>
        <v>#VALUE!</v>
      </c>
      <c r="J167" t="e">
        <f>AND('STERLING CATALOG - DRY '!B3695,"AAAAAG++9gk=")</f>
        <v>#VALUE!</v>
      </c>
      <c r="K167" t="e">
        <f>AND('STERLING CATALOG - DRY '!C3695,"AAAAAG++9go=")</f>
        <v>#VALUE!</v>
      </c>
      <c r="L167" t="e">
        <f>AND('STERLING CATALOG - DRY '!D3695,"AAAAAG++9gs=")</f>
        <v>#VALUE!</v>
      </c>
      <c r="M167" t="e">
        <f>AND('STERLING CATALOG - DRY '!E3695,"AAAAAG++9gw=")</f>
        <v>#VALUE!</v>
      </c>
      <c r="N167" t="e">
        <f>AND('STERLING CATALOG - DRY '!F3695,"AAAAAG++9g0=")</f>
        <v>#VALUE!</v>
      </c>
      <c r="O167" t="e">
        <f>AND('STERLING CATALOG - DRY '!G3695,"AAAAAG++9g4=")</f>
        <v>#VALUE!</v>
      </c>
      <c r="P167" t="e">
        <f>AND('STERLING CATALOG - DRY '!H3695,"AAAAAG++9g8=")</f>
        <v>#VALUE!</v>
      </c>
      <c r="Q167" t="e">
        <f>AND('STERLING CATALOG - DRY '!I3695,"AAAAAG++9hA=")</f>
        <v>#VALUE!</v>
      </c>
      <c r="R167" t="e">
        <f>AND('STERLING CATALOG - DRY '!J3695,"AAAAAG++9hE=")</f>
        <v>#VALUE!</v>
      </c>
      <c r="S167">
        <f>IF('STERLING CATALOG - DRY '!3696:3696,"AAAAAG++9hI=",0)</f>
        <v>0</v>
      </c>
      <c r="T167" t="e">
        <f>AND('STERLING CATALOG - DRY '!A3696,"AAAAAG++9hM=")</f>
        <v>#VALUE!</v>
      </c>
      <c r="U167" t="e">
        <f>AND('STERLING CATALOG - DRY '!B3696,"AAAAAG++9hQ=")</f>
        <v>#VALUE!</v>
      </c>
      <c r="V167" t="e">
        <f>AND('STERLING CATALOG - DRY '!C3696,"AAAAAG++9hU=")</f>
        <v>#VALUE!</v>
      </c>
      <c r="W167" t="e">
        <f>AND('STERLING CATALOG - DRY '!D3696,"AAAAAG++9hY=")</f>
        <v>#VALUE!</v>
      </c>
      <c r="X167" t="e">
        <f>AND('STERLING CATALOG - DRY '!E3696,"AAAAAG++9hc=")</f>
        <v>#VALUE!</v>
      </c>
      <c r="Y167" t="e">
        <f>AND('STERLING CATALOG - DRY '!F3696,"AAAAAG++9hg=")</f>
        <v>#VALUE!</v>
      </c>
      <c r="Z167" t="e">
        <f>AND('STERLING CATALOG - DRY '!G3696,"AAAAAG++9hk=")</f>
        <v>#VALUE!</v>
      </c>
      <c r="AA167" t="e">
        <f>AND('STERLING CATALOG - DRY '!H3696,"AAAAAG++9ho=")</f>
        <v>#VALUE!</v>
      </c>
      <c r="AB167" t="e">
        <f>AND('STERLING CATALOG - DRY '!I3696,"AAAAAG++9hs=")</f>
        <v>#VALUE!</v>
      </c>
      <c r="AC167" t="e">
        <f>AND('STERLING CATALOG - DRY '!J3696,"AAAAAG++9hw=")</f>
        <v>#VALUE!</v>
      </c>
      <c r="AD167">
        <f>IF('STERLING CATALOG - DRY '!3697:3697,"AAAAAG++9h0=",0)</f>
        <v>0</v>
      </c>
      <c r="AE167" t="e">
        <f>AND('STERLING CATALOG - DRY '!A3697,"AAAAAG++9h4=")</f>
        <v>#VALUE!</v>
      </c>
      <c r="AF167" t="e">
        <f>AND('STERLING CATALOG - DRY '!B3697,"AAAAAG++9h8=")</f>
        <v>#VALUE!</v>
      </c>
      <c r="AG167" t="e">
        <f>AND('STERLING CATALOG - DRY '!C3697,"AAAAAG++9iA=")</f>
        <v>#VALUE!</v>
      </c>
      <c r="AH167" t="e">
        <f>AND('STERLING CATALOG - DRY '!D3697,"AAAAAG++9iE=")</f>
        <v>#VALUE!</v>
      </c>
      <c r="AI167" t="e">
        <f>AND('STERLING CATALOG - DRY '!E3697,"AAAAAG++9iI=")</f>
        <v>#VALUE!</v>
      </c>
      <c r="AJ167" t="e">
        <f>AND('STERLING CATALOG - DRY '!F3697,"AAAAAG++9iM=")</f>
        <v>#VALUE!</v>
      </c>
      <c r="AK167" t="e">
        <f>AND('STERLING CATALOG - DRY '!G3697,"AAAAAG++9iQ=")</f>
        <v>#VALUE!</v>
      </c>
      <c r="AL167" t="e">
        <f>AND('STERLING CATALOG - DRY '!H3697,"AAAAAG++9iU=")</f>
        <v>#VALUE!</v>
      </c>
      <c r="AM167" t="e">
        <f>AND('STERLING CATALOG - DRY '!I3697,"AAAAAG++9iY=")</f>
        <v>#VALUE!</v>
      </c>
      <c r="AN167" t="e">
        <f>AND('STERLING CATALOG - DRY '!J3697,"AAAAAG++9ic=")</f>
        <v>#VALUE!</v>
      </c>
      <c r="AO167">
        <f>IF('STERLING CATALOG - DRY '!3698:3698,"AAAAAG++9ig=",0)</f>
        <v>0</v>
      </c>
      <c r="AP167" t="e">
        <f>AND('STERLING CATALOG - DRY '!A3698,"AAAAAG++9ik=")</f>
        <v>#VALUE!</v>
      </c>
      <c r="AQ167" t="e">
        <f>AND('STERLING CATALOG - DRY '!B3698,"AAAAAG++9io=")</f>
        <v>#VALUE!</v>
      </c>
      <c r="AR167" t="e">
        <f>AND('STERLING CATALOG - DRY '!C3698,"AAAAAG++9is=")</f>
        <v>#VALUE!</v>
      </c>
      <c r="AS167" t="e">
        <f>AND('STERLING CATALOG - DRY '!D3698,"AAAAAG++9iw=")</f>
        <v>#VALUE!</v>
      </c>
      <c r="AT167" t="e">
        <f>AND('STERLING CATALOG - DRY '!E3698,"AAAAAG++9i0=")</f>
        <v>#VALUE!</v>
      </c>
      <c r="AU167" t="e">
        <f>AND('STERLING CATALOG - DRY '!F3698,"AAAAAG++9i4=")</f>
        <v>#VALUE!</v>
      </c>
      <c r="AV167" t="e">
        <f>AND('STERLING CATALOG - DRY '!G3698,"AAAAAG++9i8=")</f>
        <v>#VALUE!</v>
      </c>
      <c r="AW167" t="e">
        <f>AND('STERLING CATALOG - DRY '!H3698,"AAAAAG++9jA=")</f>
        <v>#VALUE!</v>
      </c>
      <c r="AX167" t="e">
        <f>AND('STERLING CATALOG - DRY '!I3698,"AAAAAG++9jE=")</f>
        <v>#VALUE!</v>
      </c>
      <c r="AY167" t="e">
        <f>AND('STERLING CATALOG - DRY '!J3698,"AAAAAG++9jI=")</f>
        <v>#VALUE!</v>
      </c>
      <c r="AZ167">
        <f>IF('STERLING CATALOG - DRY '!3699:3699,"AAAAAG++9jM=",0)</f>
        <v>0</v>
      </c>
      <c r="BA167" t="e">
        <f>AND('STERLING CATALOG - DRY '!A3699,"AAAAAG++9jQ=")</f>
        <v>#VALUE!</v>
      </c>
      <c r="BB167" t="e">
        <f>AND('STERLING CATALOG - DRY '!B3699,"AAAAAG++9jU=")</f>
        <v>#VALUE!</v>
      </c>
      <c r="BC167" t="e">
        <f>AND('STERLING CATALOG - DRY '!C3699,"AAAAAG++9jY=")</f>
        <v>#VALUE!</v>
      </c>
      <c r="BD167" t="e">
        <f>AND('STERLING CATALOG - DRY '!D3699,"AAAAAG++9jc=")</f>
        <v>#VALUE!</v>
      </c>
      <c r="BE167" t="e">
        <f>AND('STERLING CATALOG - DRY '!E3699,"AAAAAG++9jg=")</f>
        <v>#VALUE!</v>
      </c>
      <c r="BF167" t="e">
        <f>AND('STERLING CATALOG - DRY '!F3699,"AAAAAG++9jk=")</f>
        <v>#VALUE!</v>
      </c>
      <c r="BG167" t="e">
        <f>AND('STERLING CATALOG - DRY '!G3699,"AAAAAG++9jo=")</f>
        <v>#VALUE!</v>
      </c>
      <c r="BH167" t="e">
        <f>AND('STERLING CATALOG - DRY '!H3699,"AAAAAG++9js=")</f>
        <v>#VALUE!</v>
      </c>
      <c r="BI167" t="e">
        <f>AND('STERLING CATALOG - DRY '!I3699,"AAAAAG++9jw=")</f>
        <v>#VALUE!</v>
      </c>
      <c r="BJ167" t="e">
        <f>AND('STERLING CATALOG - DRY '!J3699,"AAAAAG++9j0=")</f>
        <v>#VALUE!</v>
      </c>
      <c r="BK167">
        <f>IF('STERLING CATALOG - DRY '!3700:3700,"AAAAAG++9j4=",0)</f>
        <v>0</v>
      </c>
      <c r="BL167" t="e">
        <f>AND('STERLING CATALOG - DRY '!A3700,"AAAAAG++9j8=")</f>
        <v>#VALUE!</v>
      </c>
      <c r="BM167" t="e">
        <f>AND('STERLING CATALOG - DRY '!B3700,"AAAAAG++9kA=")</f>
        <v>#VALUE!</v>
      </c>
      <c r="BN167" t="e">
        <f>AND('STERLING CATALOG - DRY '!C3700,"AAAAAG++9kE=")</f>
        <v>#VALUE!</v>
      </c>
      <c r="BO167" t="e">
        <f>AND('STERLING CATALOG - DRY '!D3700,"AAAAAG++9kI=")</f>
        <v>#VALUE!</v>
      </c>
      <c r="BP167" t="e">
        <f>AND('STERLING CATALOG - DRY '!E3700,"AAAAAG++9kM=")</f>
        <v>#VALUE!</v>
      </c>
      <c r="BQ167" t="e">
        <f>AND('STERLING CATALOG - DRY '!F3700,"AAAAAG++9kQ=")</f>
        <v>#VALUE!</v>
      </c>
      <c r="BR167" t="e">
        <f>AND('STERLING CATALOG - DRY '!G3700,"AAAAAG++9kU=")</f>
        <v>#VALUE!</v>
      </c>
      <c r="BS167" t="e">
        <f>AND('STERLING CATALOG - DRY '!H3700,"AAAAAG++9kY=")</f>
        <v>#VALUE!</v>
      </c>
      <c r="BT167" t="e">
        <f>AND('STERLING CATALOG - DRY '!I3700,"AAAAAG++9kc=")</f>
        <v>#VALUE!</v>
      </c>
      <c r="BU167" t="e">
        <f>AND('STERLING CATALOG - DRY '!J3700,"AAAAAG++9kg=")</f>
        <v>#VALUE!</v>
      </c>
      <c r="BV167">
        <f>IF('STERLING CATALOG - DRY '!3701:3701,"AAAAAG++9kk=",0)</f>
        <v>0</v>
      </c>
      <c r="BW167" t="e">
        <f>AND('STERLING CATALOG - DRY '!A3701,"AAAAAG++9ko=")</f>
        <v>#VALUE!</v>
      </c>
      <c r="BX167" t="e">
        <f>AND('STERLING CATALOG - DRY '!B3701,"AAAAAG++9ks=")</f>
        <v>#VALUE!</v>
      </c>
      <c r="BY167" t="e">
        <f>AND('STERLING CATALOG - DRY '!C3701,"AAAAAG++9kw=")</f>
        <v>#VALUE!</v>
      </c>
      <c r="BZ167" t="e">
        <f>AND('STERLING CATALOG - DRY '!D3701,"AAAAAG++9k0=")</f>
        <v>#VALUE!</v>
      </c>
      <c r="CA167" t="e">
        <f>AND('STERLING CATALOG - DRY '!E3701,"AAAAAG++9k4=")</f>
        <v>#VALUE!</v>
      </c>
      <c r="CB167" t="e">
        <f>AND('STERLING CATALOG - DRY '!F3701,"AAAAAG++9k8=")</f>
        <v>#VALUE!</v>
      </c>
      <c r="CC167" t="e">
        <f>AND('STERLING CATALOG - DRY '!G3701,"AAAAAG++9lA=")</f>
        <v>#VALUE!</v>
      </c>
      <c r="CD167" t="e">
        <f>AND('STERLING CATALOG - DRY '!H3701,"AAAAAG++9lE=")</f>
        <v>#VALUE!</v>
      </c>
      <c r="CE167" t="e">
        <f>AND('STERLING CATALOG - DRY '!I3701,"AAAAAG++9lI=")</f>
        <v>#VALUE!</v>
      </c>
      <c r="CF167" t="e">
        <f>AND('STERLING CATALOG - DRY '!J3701,"AAAAAG++9lM=")</f>
        <v>#VALUE!</v>
      </c>
      <c r="CG167">
        <f>IF('STERLING CATALOG - DRY '!3702:3702,"AAAAAG++9lQ=",0)</f>
        <v>0</v>
      </c>
      <c r="CH167" t="e">
        <f>AND('STERLING CATALOG - DRY '!A3702,"AAAAAG++9lU=")</f>
        <v>#VALUE!</v>
      </c>
      <c r="CI167" t="e">
        <f>AND('STERLING CATALOG - DRY '!B3702,"AAAAAG++9lY=")</f>
        <v>#VALUE!</v>
      </c>
      <c r="CJ167" t="e">
        <f>AND('STERLING CATALOG - DRY '!C3702,"AAAAAG++9lc=")</f>
        <v>#VALUE!</v>
      </c>
      <c r="CK167" t="e">
        <f>AND('STERLING CATALOG - DRY '!D3702,"AAAAAG++9lg=")</f>
        <v>#VALUE!</v>
      </c>
      <c r="CL167" t="e">
        <f>AND('STERLING CATALOG - DRY '!E3702,"AAAAAG++9lk=")</f>
        <v>#VALUE!</v>
      </c>
      <c r="CM167" t="e">
        <f>AND('STERLING CATALOG - DRY '!F3702,"AAAAAG++9lo=")</f>
        <v>#VALUE!</v>
      </c>
      <c r="CN167" t="e">
        <f>AND('STERLING CATALOG - DRY '!G3702,"AAAAAG++9ls=")</f>
        <v>#VALUE!</v>
      </c>
      <c r="CO167" t="e">
        <f>AND('STERLING CATALOG - DRY '!H3702,"AAAAAG++9lw=")</f>
        <v>#VALUE!</v>
      </c>
      <c r="CP167" t="e">
        <f>AND('STERLING CATALOG - DRY '!I3702,"AAAAAG++9l0=")</f>
        <v>#VALUE!</v>
      </c>
      <c r="CQ167" t="e">
        <f>AND('STERLING CATALOG - DRY '!J3702,"AAAAAG++9l4=")</f>
        <v>#VALUE!</v>
      </c>
      <c r="CR167">
        <f>IF('STERLING CATALOG - DRY '!3703:3703,"AAAAAG++9l8=",0)</f>
        <v>0</v>
      </c>
      <c r="CS167" t="e">
        <f>AND('STERLING CATALOG - DRY '!A3703,"AAAAAG++9mA=")</f>
        <v>#VALUE!</v>
      </c>
      <c r="CT167" t="e">
        <f>AND('STERLING CATALOG - DRY '!B3703,"AAAAAG++9mE=")</f>
        <v>#VALUE!</v>
      </c>
      <c r="CU167" t="e">
        <f>AND('STERLING CATALOG - DRY '!C3703,"AAAAAG++9mI=")</f>
        <v>#VALUE!</v>
      </c>
      <c r="CV167" t="e">
        <f>AND('STERLING CATALOG - DRY '!D3703,"AAAAAG++9mM=")</f>
        <v>#VALUE!</v>
      </c>
      <c r="CW167" t="e">
        <f>AND('STERLING CATALOG - DRY '!E3703,"AAAAAG++9mQ=")</f>
        <v>#VALUE!</v>
      </c>
      <c r="CX167" t="e">
        <f>AND('STERLING CATALOG - DRY '!F3703,"AAAAAG++9mU=")</f>
        <v>#VALUE!</v>
      </c>
      <c r="CY167" t="e">
        <f>AND('STERLING CATALOG - DRY '!G3703,"AAAAAG++9mY=")</f>
        <v>#VALUE!</v>
      </c>
      <c r="CZ167" t="e">
        <f>AND('STERLING CATALOG - DRY '!H3703,"AAAAAG++9mc=")</f>
        <v>#VALUE!</v>
      </c>
      <c r="DA167" t="e">
        <f>AND('STERLING CATALOG - DRY '!I3703,"AAAAAG++9mg=")</f>
        <v>#VALUE!</v>
      </c>
      <c r="DB167" t="e">
        <f>AND('STERLING CATALOG - DRY '!J3703,"AAAAAG++9mk=")</f>
        <v>#VALUE!</v>
      </c>
      <c r="DC167">
        <f>IF('STERLING CATALOG - DRY '!3704:3704,"AAAAAG++9mo=",0)</f>
        <v>0</v>
      </c>
      <c r="DD167" t="e">
        <f>AND('STERLING CATALOG - DRY '!A3704,"AAAAAG++9ms=")</f>
        <v>#VALUE!</v>
      </c>
      <c r="DE167" t="e">
        <f>AND('STERLING CATALOG - DRY '!B3704,"AAAAAG++9mw=")</f>
        <v>#VALUE!</v>
      </c>
      <c r="DF167" t="e">
        <f>AND('STERLING CATALOG - DRY '!C3704,"AAAAAG++9m0=")</f>
        <v>#VALUE!</v>
      </c>
      <c r="DG167" t="e">
        <f>AND('STERLING CATALOG - DRY '!D3704,"AAAAAG++9m4=")</f>
        <v>#VALUE!</v>
      </c>
      <c r="DH167" t="e">
        <f>AND('STERLING CATALOG - DRY '!E3704,"AAAAAG++9m8=")</f>
        <v>#VALUE!</v>
      </c>
      <c r="DI167" t="e">
        <f>AND('STERLING CATALOG - DRY '!F3704,"AAAAAG++9nA=")</f>
        <v>#VALUE!</v>
      </c>
      <c r="DJ167" t="e">
        <f>AND('STERLING CATALOG - DRY '!G3704,"AAAAAG++9nE=")</f>
        <v>#VALUE!</v>
      </c>
      <c r="DK167" t="e">
        <f>AND('STERLING CATALOG - DRY '!H3704,"AAAAAG++9nI=")</f>
        <v>#VALUE!</v>
      </c>
      <c r="DL167" t="e">
        <f>AND('STERLING CATALOG - DRY '!I3704,"AAAAAG++9nM=")</f>
        <v>#VALUE!</v>
      </c>
      <c r="DM167" t="e">
        <f>AND('STERLING CATALOG - DRY '!J3704,"AAAAAG++9nQ=")</f>
        <v>#VALUE!</v>
      </c>
      <c r="DN167">
        <f>IF('STERLING CATALOG - DRY '!3705:3705,"AAAAAG++9nU=",0)</f>
        <v>0</v>
      </c>
      <c r="DO167" t="e">
        <f>AND('STERLING CATALOG - DRY '!A3705,"AAAAAG++9nY=")</f>
        <v>#VALUE!</v>
      </c>
      <c r="DP167" t="e">
        <f>AND('STERLING CATALOG - DRY '!B3705,"AAAAAG++9nc=")</f>
        <v>#VALUE!</v>
      </c>
      <c r="DQ167" t="e">
        <f>AND('STERLING CATALOG - DRY '!C3705,"AAAAAG++9ng=")</f>
        <v>#VALUE!</v>
      </c>
      <c r="DR167" t="e">
        <f>AND('STERLING CATALOG - DRY '!D3705,"AAAAAG++9nk=")</f>
        <v>#VALUE!</v>
      </c>
      <c r="DS167" t="e">
        <f>AND('STERLING CATALOG - DRY '!E3705,"AAAAAG++9no=")</f>
        <v>#VALUE!</v>
      </c>
      <c r="DT167" t="e">
        <f>AND('STERLING CATALOG - DRY '!F3705,"AAAAAG++9ns=")</f>
        <v>#VALUE!</v>
      </c>
      <c r="DU167" t="e">
        <f>AND('STERLING CATALOG - DRY '!G3705,"AAAAAG++9nw=")</f>
        <v>#VALUE!</v>
      </c>
      <c r="DV167" t="e">
        <f>AND('STERLING CATALOG - DRY '!H3705,"AAAAAG++9n0=")</f>
        <v>#VALUE!</v>
      </c>
      <c r="DW167" t="e">
        <f>AND('STERLING CATALOG - DRY '!I3705,"AAAAAG++9n4=")</f>
        <v>#VALUE!</v>
      </c>
      <c r="DX167" t="e">
        <f>AND('STERLING CATALOG - DRY '!J3705,"AAAAAG++9n8=")</f>
        <v>#VALUE!</v>
      </c>
      <c r="DY167">
        <f>IF('STERLING CATALOG - DRY '!3706:3706,"AAAAAG++9oA=",0)</f>
        <v>0</v>
      </c>
      <c r="DZ167" t="e">
        <f>AND('STERLING CATALOG - DRY '!A3706,"AAAAAG++9oE=")</f>
        <v>#VALUE!</v>
      </c>
      <c r="EA167" t="e">
        <f>AND('STERLING CATALOG - DRY '!B3706,"AAAAAG++9oI=")</f>
        <v>#VALUE!</v>
      </c>
      <c r="EB167" t="e">
        <f>AND('STERLING CATALOG - DRY '!C3706,"AAAAAG++9oM=")</f>
        <v>#VALUE!</v>
      </c>
      <c r="EC167" t="e">
        <f>AND('STERLING CATALOG - DRY '!D3706,"AAAAAG++9oQ=")</f>
        <v>#VALUE!</v>
      </c>
      <c r="ED167" t="e">
        <f>AND('STERLING CATALOG - DRY '!E3706,"AAAAAG++9oU=")</f>
        <v>#VALUE!</v>
      </c>
      <c r="EE167" t="e">
        <f>AND('STERLING CATALOG - DRY '!F3706,"AAAAAG++9oY=")</f>
        <v>#VALUE!</v>
      </c>
      <c r="EF167" t="e">
        <f>AND('STERLING CATALOG - DRY '!G3706,"AAAAAG++9oc=")</f>
        <v>#VALUE!</v>
      </c>
      <c r="EG167" t="e">
        <f>AND('STERLING CATALOG - DRY '!H3706,"AAAAAG++9og=")</f>
        <v>#VALUE!</v>
      </c>
      <c r="EH167" t="e">
        <f>AND('STERLING CATALOG - DRY '!I3706,"AAAAAG++9ok=")</f>
        <v>#VALUE!</v>
      </c>
      <c r="EI167" t="e">
        <f>AND('STERLING CATALOG - DRY '!J3706,"AAAAAG++9oo=")</f>
        <v>#VALUE!</v>
      </c>
      <c r="EJ167">
        <f>IF('STERLING CATALOG - DRY '!3707:3707,"AAAAAG++9os=",0)</f>
        <v>0</v>
      </c>
      <c r="EK167" t="e">
        <f>AND('STERLING CATALOG - DRY '!A3707,"AAAAAG++9ow=")</f>
        <v>#VALUE!</v>
      </c>
      <c r="EL167" t="e">
        <f>AND('STERLING CATALOG - DRY '!B3707,"AAAAAG++9o0=")</f>
        <v>#VALUE!</v>
      </c>
      <c r="EM167" t="e">
        <f>AND('STERLING CATALOG - DRY '!C3707,"AAAAAG++9o4=")</f>
        <v>#VALUE!</v>
      </c>
      <c r="EN167" t="e">
        <f>AND('STERLING CATALOG - DRY '!D3707,"AAAAAG++9o8=")</f>
        <v>#VALUE!</v>
      </c>
      <c r="EO167" t="e">
        <f>AND('STERLING CATALOG - DRY '!E3707,"AAAAAG++9pA=")</f>
        <v>#VALUE!</v>
      </c>
      <c r="EP167" t="e">
        <f>AND('STERLING CATALOG - DRY '!F3707,"AAAAAG++9pE=")</f>
        <v>#VALUE!</v>
      </c>
      <c r="EQ167" t="e">
        <f>AND('STERLING CATALOG - DRY '!G3707,"AAAAAG++9pI=")</f>
        <v>#VALUE!</v>
      </c>
      <c r="ER167" t="e">
        <f>AND('STERLING CATALOG - DRY '!H3707,"AAAAAG++9pM=")</f>
        <v>#VALUE!</v>
      </c>
      <c r="ES167" t="e">
        <f>AND('STERLING CATALOG - DRY '!I3707,"AAAAAG++9pQ=")</f>
        <v>#VALUE!</v>
      </c>
      <c r="ET167" t="e">
        <f>AND('STERLING CATALOG - DRY '!J3707,"AAAAAG++9pU=")</f>
        <v>#VALUE!</v>
      </c>
      <c r="EU167">
        <f>IF('STERLING CATALOG - DRY '!3708:3708,"AAAAAG++9pY=",0)</f>
        <v>0</v>
      </c>
      <c r="EV167" t="e">
        <f>AND('STERLING CATALOG - DRY '!A3708,"AAAAAG++9pc=")</f>
        <v>#VALUE!</v>
      </c>
      <c r="EW167" t="e">
        <f>AND('STERLING CATALOG - DRY '!B3708,"AAAAAG++9pg=")</f>
        <v>#VALUE!</v>
      </c>
      <c r="EX167" t="e">
        <f>AND('STERLING CATALOG - DRY '!C3708,"AAAAAG++9pk=")</f>
        <v>#VALUE!</v>
      </c>
      <c r="EY167" t="e">
        <f>AND('STERLING CATALOG - DRY '!D3708,"AAAAAG++9po=")</f>
        <v>#VALUE!</v>
      </c>
      <c r="EZ167" t="e">
        <f>AND('STERLING CATALOG - DRY '!E3708,"AAAAAG++9ps=")</f>
        <v>#VALUE!</v>
      </c>
      <c r="FA167" t="e">
        <f>AND('STERLING CATALOG - DRY '!F3708,"AAAAAG++9pw=")</f>
        <v>#VALUE!</v>
      </c>
      <c r="FB167" t="e">
        <f>AND('STERLING CATALOG - DRY '!G3708,"AAAAAG++9p0=")</f>
        <v>#VALUE!</v>
      </c>
      <c r="FC167" t="e">
        <f>AND('STERLING CATALOG - DRY '!H3708,"AAAAAG++9p4=")</f>
        <v>#VALUE!</v>
      </c>
      <c r="FD167" t="e">
        <f>AND('STERLING CATALOG - DRY '!I3708,"AAAAAG++9p8=")</f>
        <v>#VALUE!</v>
      </c>
      <c r="FE167" t="e">
        <f>AND('STERLING CATALOG - DRY '!J3708,"AAAAAG++9qA=")</f>
        <v>#VALUE!</v>
      </c>
      <c r="FF167">
        <f>IF('STERLING CATALOG - DRY '!3709:3709,"AAAAAG++9qE=",0)</f>
        <v>0</v>
      </c>
      <c r="FG167" t="e">
        <f>AND('STERLING CATALOG - DRY '!A3709,"AAAAAG++9qI=")</f>
        <v>#VALUE!</v>
      </c>
      <c r="FH167" t="e">
        <f>AND('STERLING CATALOG - DRY '!B3709,"AAAAAG++9qM=")</f>
        <v>#VALUE!</v>
      </c>
      <c r="FI167" t="e">
        <f>AND('STERLING CATALOG - DRY '!C3709,"AAAAAG++9qQ=")</f>
        <v>#VALUE!</v>
      </c>
      <c r="FJ167" t="e">
        <f>AND('STERLING CATALOG - DRY '!D3709,"AAAAAG++9qU=")</f>
        <v>#VALUE!</v>
      </c>
      <c r="FK167" t="e">
        <f>AND('STERLING CATALOG - DRY '!E3709,"AAAAAG++9qY=")</f>
        <v>#VALUE!</v>
      </c>
      <c r="FL167" t="e">
        <f>AND('STERLING CATALOG - DRY '!F3709,"AAAAAG++9qc=")</f>
        <v>#VALUE!</v>
      </c>
      <c r="FM167" t="e">
        <f>AND('STERLING CATALOG - DRY '!G3709,"AAAAAG++9qg=")</f>
        <v>#VALUE!</v>
      </c>
      <c r="FN167" t="e">
        <f>AND('STERLING CATALOG - DRY '!H3709,"AAAAAG++9qk=")</f>
        <v>#VALUE!</v>
      </c>
      <c r="FO167" t="e">
        <f>AND('STERLING CATALOG - DRY '!I3709,"AAAAAG++9qo=")</f>
        <v>#VALUE!</v>
      </c>
      <c r="FP167" t="e">
        <f>AND('STERLING CATALOG - DRY '!J3709,"AAAAAG++9qs=")</f>
        <v>#VALUE!</v>
      </c>
      <c r="FQ167">
        <f>IF('STERLING CATALOG - DRY '!3710:3710,"AAAAAG++9qw=",0)</f>
        <v>0</v>
      </c>
      <c r="FR167" t="e">
        <f>AND('STERLING CATALOG - DRY '!A3710,"AAAAAG++9q0=")</f>
        <v>#VALUE!</v>
      </c>
      <c r="FS167" t="e">
        <f>AND('STERLING CATALOG - DRY '!B3710,"AAAAAG++9q4=")</f>
        <v>#VALUE!</v>
      </c>
      <c r="FT167" t="e">
        <f>AND('STERLING CATALOG - DRY '!C3710,"AAAAAG++9q8=")</f>
        <v>#VALUE!</v>
      </c>
      <c r="FU167" t="e">
        <f>AND('STERLING CATALOG - DRY '!D3710,"AAAAAG++9rA=")</f>
        <v>#VALUE!</v>
      </c>
      <c r="FV167" t="e">
        <f>AND('STERLING CATALOG - DRY '!E3710,"AAAAAG++9rE=")</f>
        <v>#VALUE!</v>
      </c>
      <c r="FW167" t="e">
        <f>AND('STERLING CATALOG - DRY '!F3710,"AAAAAG++9rI=")</f>
        <v>#VALUE!</v>
      </c>
      <c r="FX167" t="e">
        <f>AND('STERLING CATALOG - DRY '!G3710,"AAAAAG++9rM=")</f>
        <v>#VALUE!</v>
      </c>
      <c r="FY167" t="e">
        <f>AND('STERLING CATALOG - DRY '!H3710,"AAAAAG++9rQ=")</f>
        <v>#VALUE!</v>
      </c>
      <c r="FZ167" t="e">
        <f>AND('STERLING CATALOG - DRY '!I3710,"AAAAAG++9rU=")</f>
        <v>#VALUE!</v>
      </c>
      <c r="GA167" t="e">
        <f>AND('STERLING CATALOG - DRY '!J3710,"AAAAAG++9rY=")</f>
        <v>#VALUE!</v>
      </c>
      <c r="GB167">
        <f>IF('STERLING CATALOG - DRY '!3711:3711,"AAAAAG++9rc=",0)</f>
        <v>0</v>
      </c>
      <c r="GC167" t="e">
        <f>AND('STERLING CATALOG - DRY '!A3711,"AAAAAG++9rg=")</f>
        <v>#VALUE!</v>
      </c>
      <c r="GD167" t="e">
        <f>AND('STERLING CATALOG - DRY '!B3711,"AAAAAG++9rk=")</f>
        <v>#VALUE!</v>
      </c>
      <c r="GE167" t="e">
        <f>AND('STERLING CATALOG - DRY '!C3711,"AAAAAG++9ro=")</f>
        <v>#VALUE!</v>
      </c>
      <c r="GF167" t="e">
        <f>AND('STERLING CATALOG - DRY '!D3711,"AAAAAG++9rs=")</f>
        <v>#VALUE!</v>
      </c>
      <c r="GG167" t="e">
        <f>AND('STERLING CATALOG - DRY '!E3711,"AAAAAG++9rw=")</f>
        <v>#VALUE!</v>
      </c>
      <c r="GH167" t="e">
        <f>AND('STERLING CATALOG - DRY '!F3711,"AAAAAG++9r0=")</f>
        <v>#VALUE!</v>
      </c>
      <c r="GI167" t="e">
        <f>AND('STERLING CATALOG - DRY '!G3711,"AAAAAG++9r4=")</f>
        <v>#VALUE!</v>
      </c>
      <c r="GJ167" t="e">
        <f>AND('STERLING CATALOG - DRY '!H3711,"AAAAAG++9r8=")</f>
        <v>#VALUE!</v>
      </c>
      <c r="GK167" t="e">
        <f>AND('STERLING CATALOG - DRY '!I3711,"AAAAAG++9sA=")</f>
        <v>#VALUE!</v>
      </c>
      <c r="GL167" t="e">
        <f>AND('STERLING CATALOG - DRY '!J3711,"AAAAAG++9sE=")</f>
        <v>#VALUE!</v>
      </c>
      <c r="GM167">
        <f>IF('STERLING CATALOG - DRY '!3712:3712,"AAAAAG++9sI=",0)</f>
        <v>0</v>
      </c>
      <c r="GN167" t="e">
        <f>AND('STERLING CATALOG - DRY '!A3712,"AAAAAG++9sM=")</f>
        <v>#VALUE!</v>
      </c>
      <c r="GO167" t="e">
        <f>AND('STERLING CATALOG - DRY '!B3712,"AAAAAG++9sQ=")</f>
        <v>#VALUE!</v>
      </c>
      <c r="GP167" t="e">
        <f>AND('STERLING CATALOG - DRY '!C3712,"AAAAAG++9sU=")</f>
        <v>#VALUE!</v>
      </c>
      <c r="GQ167" t="e">
        <f>AND('STERLING CATALOG - DRY '!D3712,"AAAAAG++9sY=")</f>
        <v>#VALUE!</v>
      </c>
      <c r="GR167" t="e">
        <f>AND('STERLING CATALOG - DRY '!E3712,"AAAAAG++9sc=")</f>
        <v>#VALUE!</v>
      </c>
      <c r="GS167" t="e">
        <f>AND('STERLING CATALOG - DRY '!F3712,"AAAAAG++9sg=")</f>
        <v>#VALUE!</v>
      </c>
      <c r="GT167" t="e">
        <f>AND('STERLING CATALOG - DRY '!G3712,"AAAAAG++9sk=")</f>
        <v>#VALUE!</v>
      </c>
      <c r="GU167" t="e">
        <f>AND('STERLING CATALOG - DRY '!H3712,"AAAAAG++9so=")</f>
        <v>#VALUE!</v>
      </c>
      <c r="GV167" t="e">
        <f>AND('STERLING CATALOG - DRY '!I3712,"AAAAAG++9ss=")</f>
        <v>#VALUE!</v>
      </c>
      <c r="GW167" t="e">
        <f>AND('STERLING CATALOG - DRY '!J3712,"AAAAAG++9sw=")</f>
        <v>#VALUE!</v>
      </c>
      <c r="GX167">
        <f>IF('STERLING CATALOG - DRY '!3713:3713,"AAAAAG++9s0=",0)</f>
        <v>0</v>
      </c>
      <c r="GY167" t="e">
        <f>AND('STERLING CATALOG - DRY '!A3713,"AAAAAG++9s4=")</f>
        <v>#VALUE!</v>
      </c>
      <c r="GZ167" t="e">
        <f>AND('STERLING CATALOG - DRY '!B3713,"AAAAAG++9s8=")</f>
        <v>#VALUE!</v>
      </c>
      <c r="HA167" t="e">
        <f>AND('STERLING CATALOG - DRY '!C3713,"AAAAAG++9tA=")</f>
        <v>#VALUE!</v>
      </c>
      <c r="HB167" t="e">
        <f>AND('STERLING CATALOG - DRY '!D3713,"AAAAAG++9tE=")</f>
        <v>#VALUE!</v>
      </c>
      <c r="HC167" t="e">
        <f>AND('STERLING CATALOG - DRY '!E3713,"AAAAAG++9tI=")</f>
        <v>#VALUE!</v>
      </c>
      <c r="HD167" t="e">
        <f>AND('STERLING CATALOG - DRY '!F3713,"AAAAAG++9tM=")</f>
        <v>#VALUE!</v>
      </c>
      <c r="HE167" t="e">
        <f>AND('STERLING CATALOG - DRY '!G3713,"AAAAAG++9tQ=")</f>
        <v>#VALUE!</v>
      </c>
      <c r="HF167" t="e">
        <f>AND('STERLING CATALOG - DRY '!H3713,"AAAAAG++9tU=")</f>
        <v>#VALUE!</v>
      </c>
      <c r="HG167" t="e">
        <f>AND('STERLING CATALOG - DRY '!I3713,"AAAAAG++9tY=")</f>
        <v>#VALUE!</v>
      </c>
      <c r="HH167" t="e">
        <f>AND('STERLING CATALOG - DRY '!J3713,"AAAAAG++9tc=")</f>
        <v>#VALUE!</v>
      </c>
      <c r="HI167">
        <f>IF('STERLING CATALOG - DRY '!3714:3714,"AAAAAG++9tg=",0)</f>
        <v>0</v>
      </c>
      <c r="HJ167" t="e">
        <f>AND('STERLING CATALOG - DRY '!A3714,"AAAAAG++9tk=")</f>
        <v>#VALUE!</v>
      </c>
      <c r="HK167" t="e">
        <f>AND('STERLING CATALOG - DRY '!B3714,"AAAAAG++9to=")</f>
        <v>#VALUE!</v>
      </c>
      <c r="HL167" t="e">
        <f>AND('STERLING CATALOG - DRY '!C3714,"AAAAAG++9ts=")</f>
        <v>#VALUE!</v>
      </c>
      <c r="HM167" t="e">
        <f>AND('STERLING CATALOG - DRY '!D3714,"AAAAAG++9tw=")</f>
        <v>#VALUE!</v>
      </c>
      <c r="HN167" t="e">
        <f>AND('STERLING CATALOG - DRY '!E3714,"AAAAAG++9t0=")</f>
        <v>#VALUE!</v>
      </c>
      <c r="HO167" t="e">
        <f>AND('STERLING CATALOG - DRY '!F3714,"AAAAAG++9t4=")</f>
        <v>#VALUE!</v>
      </c>
      <c r="HP167" t="e">
        <f>AND('STERLING CATALOG - DRY '!G3714,"AAAAAG++9t8=")</f>
        <v>#VALUE!</v>
      </c>
      <c r="HQ167" t="e">
        <f>AND('STERLING CATALOG - DRY '!H3714,"AAAAAG++9uA=")</f>
        <v>#VALUE!</v>
      </c>
      <c r="HR167" t="e">
        <f>AND('STERLING CATALOG - DRY '!I3714,"AAAAAG++9uE=")</f>
        <v>#VALUE!</v>
      </c>
      <c r="HS167" t="e">
        <f>AND('STERLING CATALOG - DRY '!J3714,"AAAAAG++9uI=")</f>
        <v>#VALUE!</v>
      </c>
      <c r="HT167">
        <f>IF('STERLING CATALOG - DRY '!3715:3715,"AAAAAG++9uM=",0)</f>
        <v>0</v>
      </c>
      <c r="HU167" t="e">
        <f>AND('STERLING CATALOG - DRY '!A3715,"AAAAAG++9uQ=")</f>
        <v>#VALUE!</v>
      </c>
      <c r="HV167" t="e">
        <f>AND('STERLING CATALOG - DRY '!B3715,"AAAAAG++9uU=")</f>
        <v>#VALUE!</v>
      </c>
      <c r="HW167" t="e">
        <f>AND('STERLING CATALOG - DRY '!C3715,"AAAAAG++9uY=")</f>
        <v>#VALUE!</v>
      </c>
      <c r="HX167" t="e">
        <f>AND('STERLING CATALOG - DRY '!D3715,"AAAAAG++9uc=")</f>
        <v>#VALUE!</v>
      </c>
      <c r="HY167" t="e">
        <f>AND('STERLING CATALOG - DRY '!E3715,"AAAAAG++9ug=")</f>
        <v>#VALUE!</v>
      </c>
      <c r="HZ167" t="e">
        <f>AND('STERLING CATALOG - DRY '!F3715,"AAAAAG++9uk=")</f>
        <v>#VALUE!</v>
      </c>
      <c r="IA167" t="e">
        <f>AND('STERLING CATALOG - DRY '!G3715,"AAAAAG++9uo=")</f>
        <v>#VALUE!</v>
      </c>
      <c r="IB167" t="e">
        <f>AND('STERLING CATALOG - DRY '!H3715,"AAAAAG++9us=")</f>
        <v>#VALUE!</v>
      </c>
      <c r="IC167" t="e">
        <f>AND('STERLING CATALOG - DRY '!I3715,"AAAAAG++9uw=")</f>
        <v>#VALUE!</v>
      </c>
      <c r="ID167" t="e">
        <f>AND('STERLING CATALOG - DRY '!J3715,"AAAAAG++9u0=")</f>
        <v>#VALUE!</v>
      </c>
      <c r="IE167">
        <f>IF('STERLING CATALOG - DRY '!3716:3716,"AAAAAG++9u4=",0)</f>
        <v>0</v>
      </c>
      <c r="IF167" t="e">
        <f>AND('STERLING CATALOG - DRY '!A3716,"AAAAAG++9u8=")</f>
        <v>#VALUE!</v>
      </c>
      <c r="IG167" t="e">
        <f>AND('STERLING CATALOG - DRY '!B3716,"AAAAAG++9vA=")</f>
        <v>#VALUE!</v>
      </c>
      <c r="IH167" t="e">
        <f>AND('STERLING CATALOG - DRY '!C3716,"AAAAAG++9vE=")</f>
        <v>#VALUE!</v>
      </c>
      <c r="II167" t="e">
        <f>AND('STERLING CATALOG - DRY '!D3716,"AAAAAG++9vI=")</f>
        <v>#VALUE!</v>
      </c>
      <c r="IJ167" t="e">
        <f>AND('STERLING CATALOG - DRY '!E3716,"AAAAAG++9vM=")</f>
        <v>#VALUE!</v>
      </c>
      <c r="IK167" t="e">
        <f>AND('STERLING CATALOG - DRY '!F3716,"AAAAAG++9vQ=")</f>
        <v>#VALUE!</v>
      </c>
      <c r="IL167" t="e">
        <f>AND('STERLING CATALOG - DRY '!G3716,"AAAAAG++9vU=")</f>
        <v>#VALUE!</v>
      </c>
      <c r="IM167" t="e">
        <f>AND('STERLING CATALOG - DRY '!H3716,"AAAAAG++9vY=")</f>
        <v>#VALUE!</v>
      </c>
      <c r="IN167" t="e">
        <f>AND('STERLING CATALOG - DRY '!I3716,"AAAAAG++9vc=")</f>
        <v>#VALUE!</v>
      </c>
      <c r="IO167" t="e">
        <f>AND('STERLING CATALOG - DRY '!J3716,"AAAAAG++9vg=")</f>
        <v>#VALUE!</v>
      </c>
      <c r="IP167">
        <f>IF('STERLING CATALOG - DRY '!3717:3717,"AAAAAG++9vk=",0)</f>
        <v>0</v>
      </c>
      <c r="IQ167" t="e">
        <f>AND('STERLING CATALOG - DRY '!A3717,"AAAAAG++9vo=")</f>
        <v>#VALUE!</v>
      </c>
      <c r="IR167" t="e">
        <f>AND('STERLING CATALOG - DRY '!B3717,"AAAAAG++9vs=")</f>
        <v>#VALUE!</v>
      </c>
      <c r="IS167" t="e">
        <f>AND('STERLING CATALOG - DRY '!C3717,"AAAAAG++9vw=")</f>
        <v>#VALUE!</v>
      </c>
      <c r="IT167" t="e">
        <f>AND('STERLING CATALOG - DRY '!D3717,"AAAAAG++9v0=")</f>
        <v>#VALUE!</v>
      </c>
      <c r="IU167" t="e">
        <f>AND('STERLING CATALOG - DRY '!E3717,"AAAAAG++9v4=")</f>
        <v>#VALUE!</v>
      </c>
      <c r="IV167" t="e">
        <f>AND('STERLING CATALOG - DRY '!F3717,"AAAAAG++9v8=")</f>
        <v>#VALUE!</v>
      </c>
    </row>
    <row r="168" spans="1:256">
      <c r="A168" t="e">
        <f>AND('STERLING CATALOG - DRY '!G3717,"AAAAAH3uPwA=")</f>
        <v>#VALUE!</v>
      </c>
      <c r="B168" t="e">
        <f>AND('STERLING CATALOG - DRY '!H3717,"AAAAAH3uPwE=")</f>
        <v>#VALUE!</v>
      </c>
      <c r="C168" t="e">
        <f>AND('STERLING CATALOG - DRY '!I3717,"AAAAAH3uPwI=")</f>
        <v>#VALUE!</v>
      </c>
      <c r="D168" t="e">
        <f>AND('STERLING CATALOG - DRY '!J3717,"AAAAAH3uPwM=")</f>
        <v>#VALUE!</v>
      </c>
      <c r="E168" t="e">
        <f>IF('STERLING CATALOG - DRY '!3718:3718,"AAAAAH3uPwQ=",0)</f>
        <v>#VALUE!</v>
      </c>
      <c r="F168" t="e">
        <f>AND('STERLING CATALOG - DRY '!A3718,"AAAAAH3uPwU=")</f>
        <v>#VALUE!</v>
      </c>
      <c r="G168" t="e">
        <f>AND('STERLING CATALOG - DRY '!B3718,"AAAAAH3uPwY=")</f>
        <v>#VALUE!</v>
      </c>
      <c r="H168" t="e">
        <f>AND('STERLING CATALOG - DRY '!C3718,"AAAAAH3uPwc=")</f>
        <v>#VALUE!</v>
      </c>
      <c r="I168" t="e">
        <f>AND('STERLING CATALOG - DRY '!D3718,"AAAAAH3uPwg=")</f>
        <v>#VALUE!</v>
      </c>
      <c r="J168" t="e">
        <f>AND('STERLING CATALOG - DRY '!E3718,"AAAAAH3uPwk=")</f>
        <v>#VALUE!</v>
      </c>
      <c r="K168" t="e">
        <f>AND('STERLING CATALOG - DRY '!F3718,"AAAAAH3uPwo=")</f>
        <v>#VALUE!</v>
      </c>
      <c r="L168" t="e">
        <f>AND('STERLING CATALOG - DRY '!G3718,"AAAAAH3uPws=")</f>
        <v>#VALUE!</v>
      </c>
      <c r="M168" t="e">
        <f>AND('STERLING CATALOG - DRY '!H3718,"AAAAAH3uPww=")</f>
        <v>#VALUE!</v>
      </c>
      <c r="N168" t="e">
        <f>AND('STERLING CATALOG - DRY '!I3718,"AAAAAH3uPw0=")</f>
        <v>#VALUE!</v>
      </c>
      <c r="O168" t="e">
        <f>AND('STERLING CATALOG - DRY '!J3718,"AAAAAH3uPw4=")</f>
        <v>#VALUE!</v>
      </c>
      <c r="P168">
        <f>IF('STERLING CATALOG - DRY '!3719:3719,"AAAAAH3uPw8=",0)</f>
        <v>0</v>
      </c>
      <c r="Q168" t="e">
        <f>AND('STERLING CATALOG - DRY '!A3719,"AAAAAH3uPxA=")</f>
        <v>#VALUE!</v>
      </c>
      <c r="R168" t="e">
        <f>AND('STERLING CATALOG - DRY '!B3719,"AAAAAH3uPxE=")</f>
        <v>#VALUE!</v>
      </c>
      <c r="S168" t="e">
        <f>AND('STERLING CATALOG - DRY '!C3719,"AAAAAH3uPxI=")</f>
        <v>#VALUE!</v>
      </c>
      <c r="T168" t="e">
        <f>AND('STERLING CATALOG - DRY '!D3719,"AAAAAH3uPxM=")</f>
        <v>#VALUE!</v>
      </c>
      <c r="U168" t="e">
        <f>AND('STERLING CATALOG - DRY '!E3719,"AAAAAH3uPxQ=")</f>
        <v>#VALUE!</v>
      </c>
      <c r="V168" t="e">
        <f>AND('STERLING CATALOG - DRY '!F3719,"AAAAAH3uPxU=")</f>
        <v>#VALUE!</v>
      </c>
      <c r="W168" t="e">
        <f>AND('STERLING CATALOG - DRY '!G3719,"AAAAAH3uPxY=")</f>
        <v>#VALUE!</v>
      </c>
      <c r="X168" t="e">
        <f>AND('STERLING CATALOG - DRY '!H3719,"AAAAAH3uPxc=")</f>
        <v>#VALUE!</v>
      </c>
      <c r="Y168" t="e">
        <f>AND('STERLING CATALOG - DRY '!I3719,"AAAAAH3uPxg=")</f>
        <v>#VALUE!</v>
      </c>
      <c r="Z168" t="e">
        <f>AND('STERLING CATALOG - DRY '!J3719,"AAAAAH3uPxk=")</f>
        <v>#VALUE!</v>
      </c>
      <c r="AA168">
        <f>IF('STERLING CATALOG - DRY '!3720:3720,"AAAAAH3uPxo=",0)</f>
        <v>0</v>
      </c>
      <c r="AB168" t="e">
        <f>AND('STERLING CATALOG - DRY '!A3720,"AAAAAH3uPxs=")</f>
        <v>#VALUE!</v>
      </c>
      <c r="AC168" t="e">
        <f>AND('STERLING CATALOG - DRY '!B3720,"AAAAAH3uPxw=")</f>
        <v>#VALUE!</v>
      </c>
      <c r="AD168" t="e">
        <f>AND('STERLING CATALOG - DRY '!C3720,"AAAAAH3uPx0=")</f>
        <v>#VALUE!</v>
      </c>
      <c r="AE168" t="e">
        <f>AND('STERLING CATALOG - DRY '!D3720,"AAAAAH3uPx4=")</f>
        <v>#VALUE!</v>
      </c>
      <c r="AF168" t="e">
        <f>AND('STERLING CATALOG - DRY '!E3720,"AAAAAH3uPx8=")</f>
        <v>#VALUE!</v>
      </c>
      <c r="AG168" t="e">
        <f>AND('STERLING CATALOG - DRY '!F3720,"AAAAAH3uPyA=")</f>
        <v>#VALUE!</v>
      </c>
      <c r="AH168" t="e">
        <f>AND('STERLING CATALOG - DRY '!G3720,"AAAAAH3uPyE=")</f>
        <v>#VALUE!</v>
      </c>
      <c r="AI168" t="e">
        <f>AND('STERLING CATALOG - DRY '!H3720,"AAAAAH3uPyI=")</f>
        <v>#VALUE!</v>
      </c>
      <c r="AJ168" t="e">
        <f>AND('STERLING CATALOG - DRY '!I3720,"AAAAAH3uPyM=")</f>
        <v>#VALUE!</v>
      </c>
      <c r="AK168" t="e">
        <f>AND('STERLING CATALOG - DRY '!J3720,"AAAAAH3uPyQ=")</f>
        <v>#VALUE!</v>
      </c>
      <c r="AL168">
        <f>IF('STERLING CATALOG - DRY '!3721:3721,"AAAAAH3uPyU=",0)</f>
        <v>0</v>
      </c>
      <c r="AM168" t="e">
        <f>AND('STERLING CATALOG - DRY '!A3721,"AAAAAH3uPyY=")</f>
        <v>#VALUE!</v>
      </c>
      <c r="AN168" t="e">
        <f>AND('STERLING CATALOG - DRY '!B3721,"AAAAAH3uPyc=")</f>
        <v>#VALUE!</v>
      </c>
      <c r="AO168" t="e">
        <f>AND('STERLING CATALOG - DRY '!C3721,"AAAAAH3uPyg=")</f>
        <v>#VALUE!</v>
      </c>
      <c r="AP168" t="e">
        <f>AND('STERLING CATALOG - DRY '!D3721,"AAAAAH3uPyk=")</f>
        <v>#VALUE!</v>
      </c>
      <c r="AQ168" t="e">
        <f>AND('STERLING CATALOG - DRY '!E3721,"AAAAAH3uPyo=")</f>
        <v>#VALUE!</v>
      </c>
      <c r="AR168" t="e">
        <f>AND('STERLING CATALOG - DRY '!F3721,"AAAAAH3uPys=")</f>
        <v>#VALUE!</v>
      </c>
      <c r="AS168" t="e">
        <f>AND('STERLING CATALOG - DRY '!G3721,"AAAAAH3uPyw=")</f>
        <v>#VALUE!</v>
      </c>
      <c r="AT168" t="e">
        <f>AND('STERLING CATALOG - DRY '!H3721,"AAAAAH3uPy0=")</f>
        <v>#VALUE!</v>
      </c>
      <c r="AU168" t="e">
        <f>AND('STERLING CATALOG - DRY '!I3721,"AAAAAH3uPy4=")</f>
        <v>#VALUE!</v>
      </c>
      <c r="AV168" t="e">
        <f>AND('STERLING CATALOG - DRY '!J3721,"AAAAAH3uPy8=")</f>
        <v>#VALUE!</v>
      </c>
      <c r="AW168">
        <f>IF('STERLING CATALOG - DRY '!3722:3722,"AAAAAH3uPzA=",0)</f>
        <v>0</v>
      </c>
      <c r="AX168" t="e">
        <f>AND('STERLING CATALOG - DRY '!A3722,"AAAAAH3uPzE=")</f>
        <v>#VALUE!</v>
      </c>
      <c r="AY168" t="e">
        <f>AND('STERLING CATALOG - DRY '!B3722,"AAAAAH3uPzI=")</f>
        <v>#VALUE!</v>
      </c>
      <c r="AZ168" t="e">
        <f>AND('STERLING CATALOG - DRY '!C3722,"AAAAAH3uPzM=")</f>
        <v>#VALUE!</v>
      </c>
      <c r="BA168" t="e">
        <f>AND('STERLING CATALOG - DRY '!D3722,"AAAAAH3uPzQ=")</f>
        <v>#VALUE!</v>
      </c>
      <c r="BB168" t="e">
        <f>AND('STERLING CATALOG - DRY '!E3722,"AAAAAH3uPzU=")</f>
        <v>#VALUE!</v>
      </c>
      <c r="BC168" t="e">
        <f>AND('STERLING CATALOG - DRY '!F3722,"AAAAAH3uPzY=")</f>
        <v>#VALUE!</v>
      </c>
      <c r="BD168" t="e">
        <f>AND('STERLING CATALOG - DRY '!G3722,"AAAAAH3uPzc=")</f>
        <v>#VALUE!</v>
      </c>
      <c r="BE168" t="e">
        <f>AND('STERLING CATALOG - DRY '!H3722,"AAAAAH3uPzg=")</f>
        <v>#VALUE!</v>
      </c>
      <c r="BF168" t="e">
        <f>AND('STERLING CATALOG - DRY '!I3722,"AAAAAH3uPzk=")</f>
        <v>#VALUE!</v>
      </c>
      <c r="BG168" t="e">
        <f>AND('STERLING CATALOG - DRY '!J3722,"AAAAAH3uPzo=")</f>
        <v>#VALUE!</v>
      </c>
      <c r="BH168">
        <f>IF('STERLING CATALOG - DRY '!3723:3723,"AAAAAH3uPzs=",0)</f>
        <v>0</v>
      </c>
      <c r="BI168" t="e">
        <f>AND('STERLING CATALOG - DRY '!A3723,"AAAAAH3uPzw=")</f>
        <v>#VALUE!</v>
      </c>
      <c r="BJ168" t="e">
        <f>AND('STERLING CATALOG - DRY '!B3723,"AAAAAH3uPz0=")</f>
        <v>#VALUE!</v>
      </c>
      <c r="BK168" t="e">
        <f>AND('STERLING CATALOG - DRY '!C3723,"AAAAAH3uPz4=")</f>
        <v>#VALUE!</v>
      </c>
      <c r="BL168" t="e">
        <f>AND('STERLING CATALOG - DRY '!D3723,"AAAAAH3uPz8=")</f>
        <v>#VALUE!</v>
      </c>
      <c r="BM168" t="e">
        <f>AND('STERLING CATALOG - DRY '!E3723,"AAAAAH3uP0A=")</f>
        <v>#VALUE!</v>
      </c>
      <c r="BN168" t="e">
        <f>AND('STERLING CATALOG - DRY '!F3723,"AAAAAH3uP0E=")</f>
        <v>#VALUE!</v>
      </c>
      <c r="BO168" t="e">
        <f>AND('STERLING CATALOG - DRY '!G3723,"AAAAAH3uP0I=")</f>
        <v>#VALUE!</v>
      </c>
      <c r="BP168" t="e">
        <f>AND('STERLING CATALOG - DRY '!H3723,"AAAAAH3uP0M=")</f>
        <v>#VALUE!</v>
      </c>
      <c r="BQ168" t="e">
        <f>AND('STERLING CATALOG - DRY '!I3723,"AAAAAH3uP0Q=")</f>
        <v>#VALUE!</v>
      </c>
      <c r="BR168" t="e">
        <f>AND('STERLING CATALOG - DRY '!J3723,"AAAAAH3uP0U=")</f>
        <v>#VALUE!</v>
      </c>
      <c r="BS168">
        <f>IF('STERLING CATALOG - DRY '!3724:3724,"AAAAAH3uP0Y=",0)</f>
        <v>0</v>
      </c>
      <c r="BT168" t="e">
        <f>AND('STERLING CATALOG - DRY '!A3724,"AAAAAH3uP0c=")</f>
        <v>#VALUE!</v>
      </c>
      <c r="BU168" t="e">
        <f>AND('STERLING CATALOG - DRY '!B3724,"AAAAAH3uP0g=")</f>
        <v>#VALUE!</v>
      </c>
      <c r="BV168" t="e">
        <f>AND('STERLING CATALOG - DRY '!C3724,"AAAAAH3uP0k=")</f>
        <v>#VALUE!</v>
      </c>
      <c r="BW168" t="e">
        <f>AND('STERLING CATALOG - DRY '!D3724,"AAAAAH3uP0o=")</f>
        <v>#VALUE!</v>
      </c>
      <c r="BX168" t="e">
        <f>AND('STERLING CATALOG - DRY '!E3724,"AAAAAH3uP0s=")</f>
        <v>#VALUE!</v>
      </c>
      <c r="BY168" t="e">
        <f>AND('STERLING CATALOG - DRY '!F3724,"AAAAAH3uP0w=")</f>
        <v>#VALUE!</v>
      </c>
      <c r="BZ168" t="e">
        <f>AND('STERLING CATALOG - DRY '!G3724,"AAAAAH3uP00=")</f>
        <v>#VALUE!</v>
      </c>
      <c r="CA168" t="e">
        <f>AND('STERLING CATALOG - DRY '!H3724,"AAAAAH3uP04=")</f>
        <v>#VALUE!</v>
      </c>
      <c r="CB168" t="e">
        <f>AND('STERLING CATALOG - DRY '!I3724,"AAAAAH3uP08=")</f>
        <v>#VALUE!</v>
      </c>
      <c r="CC168" t="e">
        <f>AND('STERLING CATALOG - DRY '!J3724,"AAAAAH3uP1A=")</f>
        <v>#VALUE!</v>
      </c>
      <c r="CD168">
        <f>IF('STERLING CATALOG - DRY '!3725:3725,"AAAAAH3uP1E=",0)</f>
        <v>0</v>
      </c>
      <c r="CE168" t="e">
        <f>AND('STERLING CATALOG - DRY '!A3725,"AAAAAH3uP1I=")</f>
        <v>#VALUE!</v>
      </c>
      <c r="CF168" t="e">
        <f>AND('STERLING CATALOG - DRY '!B3725,"AAAAAH3uP1M=")</f>
        <v>#VALUE!</v>
      </c>
      <c r="CG168" t="e">
        <f>AND('STERLING CATALOG - DRY '!C3725,"AAAAAH3uP1Q=")</f>
        <v>#VALUE!</v>
      </c>
      <c r="CH168" t="e">
        <f>AND('STERLING CATALOG - DRY '!D3725,"AAAAAH3uP1U=")</f>
        <v>#VALUE!</v>
      </c>
      <c r="CI168" t="e">
        <f>AND('STERLING CATALOG - DRY '!E3725,"AAAAAH3uP1Y=")</f>
        <v>#VALUE!</v>
      </c>
      <c r="CJ168" t="e">
        <f>AND('STERLING CATALOG - DRY '!F3725,"AAAAAH3uP1c=")</f>
        <v>#VALUE!</v>
      </c>
      <c r="CK168" t="e">
        <f>AND('STERLING CATALOG - DRY '!G3725,"AAAAAH3uP1g=")</f>
        <v>#VALUE!</v>
      </c>
      <c r="CL168" t="e">
        <f>AND('STERLING CATALOG - DRY '!H3725,"AAAAAH3uP1k=")</f>
        <v>#VALUE!</v>
      </c>
      <c r="CM168" t="e">
        <f>AND('STERLING CATALOG - DRY '!I3725,"AAAAAH3uP1o=")</f>
        <v>#VALUE!</v>
      </c>
      <c r="CN168" t="e">
        <f>AND('STERLING CATALOG - DRY '!J3725,"AAAAAH3uP1s=")</f>
        <v>#VALUE!</v>
      </c>
      <c r="CO168">
        <f>IF('STERLING CATALOG - DRY '!3726:3726,"AAAAAH3uP1w=",0)</f>
        <v>0</v>
      </c>
      <c r="CP168" t="e">
        <f>AND('STERLING CATALOG - DRY '!A3726,"AAAAAH3uP10=")</f>
        <v>#VALUE!</v>
      </c>
      <c r="CQ168" t="e">
        <f>AND('STERLING CATALOG - DRY '!B3726,"AAAAAH3uP14=")</f>
        <v>#VALUE!</v>
      </c>
      <c r="CR168" t="e">
        <f>AND('STERLING CATALOG - DRY '!C3726,"AAAAAH3uP18=")</f>
        <v>#VALUE!</v>
      </c>
      <c r="CS168" t="e">
        <f>AND('STERLING CATALOG - DRY '!D3726,"AAAAAH3uP2A=")</f>
        <v>#VALUE!</v>
      </c>
      <c r="CT168" t="e">
        <f>AND('STERLING CATALOG - DRY '!E3726,"AAAAAH3uP2E=")</f>
        <v>#VALUE!</v>
      </c>
      <c r="CU168" t="e">
        <f>AND('STERLING CATALOG - DRY '!F3726,"AAAAAH3uP2I=")</f>
        <v>#VALUE!</v>
      </c>
      <c r="CV168" t="e">
        <f>AND('STERLING CATALOG - DRY '!G3726,"AAAAAH3uP2M=")</f>
        <v>#VALUE!</v>
      </c>
      <c r="CW168" t="e">
        <f>AND('STERLING CATALOG - DRY '!H3726,"AAAAAH3uP2Q=")</f>
        <v>#VALUE!</v>
      </c>
      <c r="CX168" t="e">
        <f>AND('STERLING CATALOG - DRY '!I3726,"AAAAAH3uP2U=")</f>
        <v>#VALUE!</v>
      </c>
      <c r="CY168" t="e">
        <f>AND('STERLING CATALOG - DRY '!J3726,"AAAAAH3uP2Y=")</f>
        <v>#VALUE!</v>
      </c>
      <c r="CZ168">
        <f>IF('STERLING CATALOG - DRY '!3727:3727,"AAAAAH3uP2c=",0)</f>
        <v>0</v>
      </c>
      <c r="DA168" t="e">
        <f>AND('STERLING CATALOG - DRY '!A3727,"AAAAAH3uP2g=")</f>
        <v>#VALUE!</v>
      </c>
      <c r="DB168" t="e">
        <f>AND('STERLING CATALOG - DRY '!B3727,"AAAAAH3uP2k=")</f>
        <v>#VALUE!</v>
      </c>
      <c r="DC168" t="e">
        <f>AND('STERLING CATALOG - DRY '!C3727,"AAAAAH3uP2o=")</f>
        <v>#VALUE!</v>
      </c>
      <c r="DD168" t="e">
        <f>AND('STERLING CATALOG - DRY '!D3727,"AAAAAH3uP2s=")</f>
        <v>#VALUE!</v>
      </c>
      <c r="DE168" t="e">
        <f>AND('STERLING CATALOG - DRY '!E3727,"AAAAAH3uP2w=")</f>
        <v>#VALUE!</v>
      </c>
      <c r="DF168" t="e">
        <f>AND('STERLING CATALOG - DRY '!F3727,"AAAAAH3uP20=")</f>
        <v>#VALUE!</v>
      </c>
      <c r="DG168" t="e">
        <f>AND('STERLING CATALOG - DRY '!G3727,"AAAAAH3uP24=")</f>
        <v>#VALUE!</v>
      </c>
      <c r="DH168" t="e">
        <f>AND('STERLING CATALOG - DRY '!H3727,"AAAAAH3uP28=")</f>
        <v>#VALUE!</v>
      </c>
      <c r="DI168" t="e">
        <f>AND('STERLING CATALOG - DRY '!I3727,"AAAAAH3uP3A=")</f>
        <v>#VALUE!</v>
      </c>
      <c r="DJ168" t="e">
        <f>AND('STERLING CATALOG - DRY '!J3727,"AAAAAH3uP3E=")</f>
        <v>#VALUE!</v>
      </c>
      <c r="DK168">
        <f>IF('STERLING CATALOG - DRY '!3728:3728,"AAAAAH3uP3I=",0)</f>
        <v>0</v>
      </c>
      <c r="DL168" t="e">
        <f>AND('STERLING CATALOG - DRY '!A3728,"AAAAAH3uP3M=")</f>
        <v>#VALUE!</v>
      </c>
      <c r="DM168" t="e">
        <f>AND('STERLING CATALOG - DRY '!B3728,"AAAAAH3uP3Q=")</f>
        <v>#VALUE!</v>
      </c>
      <c r="DN168" t="e">
        <f>AND('STERLING CATALOG - DRY '!C3728,"AAAAAH3uP3U=")</f>
        <v>#VALUE!</v>
      </c>
      <c r="DO168" t="e">
        <f>AND('STERLING CATALOG - DRY '!D3728,"AAAAAH3uP3Y=")</f>
        <v>#VALUE!</v>
      </c>
      <c r="DP168" t="e">
        <f>AND('STERLING CATALOG - DRY '!E3728,"AAAAAH3uP3c=")</f>
        <v>#VALUE!</v>
      </c>
      <c r="DQ168" t="e">
        <f>AND('STERLING CATALOG - DRY '!F3728,"AAAAAH3uP3g=")</f>
        <v>#VALUE!</v>
      </c>
      <c r="DR168" t="e">
        <f>AND('STERLING CATALOG - DRY '!G3728,"AAAAAH3uP3k=")</f>
        <v>#VALUE!</v>
      </c>
      <c r="DS168" t="e">
        <f>AND('STERLING CATALOG - DRY '!H3728,"AAAAAH3uP3o=")</f>
        <v>#VALUE!</v>
      </c>
      <c r="DT168" t="e">
        <f>AND('STERLING CATALOG - DRY '!I3728,"AAAAAH3uP3s=")</f>
        <v>#VALUE!</v>
      </c>
      <c r="DU168" t="e">
        <f>AND('STERLING CATALOG - DRY '!J3728,"AAAAAH3uP3w=")</f>
        <v>#VALUE!</v>
      </c>
      <c r="DV168">
        <f>IF('STERLING CATALOG - DRY '!3729:3729,"AAAAAH3uP30=",0)</f>
        <v>0</v>
      </c>
      <c r="DW168" t="e">
        <f>AND('STERLING CATALOG - DRY '!A3729,"AAAAAH3uP34=")</f>
        <v>#VALUE!</v>
      </c>
      <c r="DX168" t="e">
        <f>AND('STERLING CATALOG - DRY '!B3729,"AAAAAH3uP38=")</f>
        <v>#VALUE!</v>
      </c>
      <c r="DY168" t="e">
        <f>AND('STERLING CATALOG - DRY '!C3729,"AAAAAH3uP4A=")</f>
        <v>#VALUE!</v>
      </c>
      <c r="DZ168" t="e">
        <f>AND('STERLING CATALOG - DRY '!D3729,"AAAAAH3uP4E=")</f>
        <v>#VALUE!</v>
      </c>
      <c r="EA168" t="e">
        <f>AND('STERLING CATALOG - DRY '!E3729,"AAAAAH3uP4I=")</f>
        <v>#VALUE!</v>
      </c>
      <c r="EB168" t="e">
        <f>AND('STERLING CATALOG - DRY '!F3729,"AAAAAH3uP4M=")</f>
        <v>#VALUE!</v>
      </c>
      <c r="EC168" t="e">
        <f>AND('STERLING CATALOG - DRY '!G3729,"AAAAAH3uP4Q=")</f>
        <v>#VALUE!</v>
      </c>
      <c r="ED168" t="e">
        <f>AND('STERLING CATALOG - DRY '!H3729,"AAAAAH3uP4U=")</f>
        <v>#VALUE!</v>
      </c>
      <c r="EE168" t="e">
        <f>AND('STERLING CATALOG - DRY '!I3729,"AAAAAH3uP4Y=")</f>
        <v>#VALUE!</v>
      </c>
      <c r="EF168" t="e">
        <f>AND('STERLING CATALOG - DRY '!J3729,"AAAAAH3uP4c=")</f>
        <v>#VALUE!</v>
      </c>
      <c r="EG168">
        <f>IF('STERLING CATALOG - DRY '!3730:3730,"AAAAAH3uP4g=",0)</f>
        <v>0</v>
      </c>
      <c r="EH168" t="e">
        <f>AND('STERLING CATALOG - DRY '!A3730,"AAAAAH3uP4k=")</f>
        <v>#VALUE!</v>
      </c>
      <c r="EI168" t="e">
        <f>AND('STERLING CATALOG - DRY '!B3730,"AAAAAH3uP4o=")</f>
        <v>#VALUE!</v>
      </c>
      <c r="EJ168" t="e">
        <f>AND('STERLING CATALOG - DRY '!C3730,"AAAAAH3uP4s=")</f>
        <v>#VALUE!</v>
      </c>
      <c r="EK168" t="e">
        <f>AND('STERLING CATALOG - DRY '!D3730,"AAAAAH3uP4w=")</f>
        <v>#VALUE!</v>
      </c>
      <c r="EL168" t="e">
        <f>AND('STERLING CATALOG - DRY '!E3730,"AAAAAH3uP40=")</f>
        <v>#VALUE!</v>
      </c>
      <c r="EM168" t="e">
        <f>AND('STERLING CATALOG - DRY '!F3730,"AAAAAH3uP44=")</f>
        <v>#VALUE!</v>
      </c>
      <c r="EN168" t="e">
        <f>AND('STERLING CATALOG - DRY '!G3730,"AAAAAH3uP48=")</f>
        <v>#VALUE!</v>
      </c>
      <c r="EO168" t="e">
        <f>AND('STERLING CATALOG - DRY '!H3730,"AAAAAH3uP5A=")</f>
        <v>#VALUE!</v>
      </c>
      <c r="EP168" t="e">
        <f>AND('STERLING CATALOG - DRY '!I3730,"AAAAAH3uP5E=")</f>
        <v>#VALUE!</v>
      </c>
      <c r="EQ168" t="e">
        <f>AND('STERLING CATALOG - DRY '!J3730,"AAAAAH3uP5I=")</f>
        <v>#VALUE!</v>
      </c>
      <c r="ER168">
        <f>IF('STERLING CATALOG - DRY '!3731:3731,"AAAAAH3uP5M=",0)</f>
        <v>0</v>
      </c>
      <c r="ES168" t="e">
        <f>AND('STERLING CATALOG - DRY '!A3731,"AAAAAH3uP5Q=")</f>
        <v>#VALUE!</v>
      </c>
      <c r="ET168" t="e">
        <f>AND('STERLING CATALOG - DRY '!B3731,"AAAAAH3uP5U=")</f>
        <v>#VALUE!</v>
      </c>
      <c r="EU168" t="e">
        <f>AND('STERLING CATALOG - DRY '!C3731,"AAAAAH3uP5Y=")</f>
        <v>#VALUE!</v>
      </c>
      <c r="EV168" t="e">
        <f>AND('STERLING CATALOG - DRY '!D3731,"AAAAAH3uP5c=")</f>
        <v>#VALUE!</v>
      </c>
      <c r="EW168" t="e">
        <f>AND('STERLING CATALOG - DRY '!E3731,"AAAAAH3uP5g=")</f>
        <v>#VALUE!</v>
      </c>
      <c r="EX168" t="e">
        <f>AND('STERLING CATALOG - DRY '!F3731,"AAAAAH3uP5k=")</f>
        <v>#VALUE!</v>
      </c>
      <c r="EY168" t="e">
        <f>AND('STERLING CATALOG - DRY '!G3731,"AAAAAH3uP5o=")</f>
        <v>#VALUE!</v>
      </c>
      <c r="EZ168" t="e">
        <f>AND('STERLING CATALOG - DRY '!H3731,"AAAAAH3uP5s=")</f>
        <v>#VALUE!</v>
      </c>
      <c r="FA168" t="e">
        <f>AND('STERLING CATALOG - DRY '!I3731,"AAAAAH3uP5w=")</f>
        <v>#VALUE!</v>
      </c>
      <c r="FB168" t="e">
        <f>AND('STERLING CATALOG - DRY '!J3731,"AAAAAH3uP50=")</f>
        <v>#VALUE!</v>
      </c>
      <c r="FC168">
        <f>IF('STERLING CATALOG - DRY '!3732:3732,"AAAAAH3uP54=",0)</f>
        <v>0</v>
      </c>
      <c r="FD168" t="e">
        <f>AND('STERLING CATALOG - DRY '!A3732,"AAAAAH3uP58=")</f>
        <v>#VALUE!</v>
      </c>
      <c r="FE168" t="e">
        <f>AND('STERLING CATALOG - DRY '!B3732,"AAAAAH3uP6A=")</f>
        <v>#VALUE!</v>
      </c>
      <c r="FF168" t="e">
        <f>AND('STERLING CATALOG - DRY '!C3732,"AAAAAH3uP6E=")</f>
        <v>#VALUE!</v>
      </c>
      <c r="FG168" t="e">
        <f>AND('STERLING CATALOG - DRY '!D3732,"AAAAAH3uP6I=")</f>
        <v>#VALUE!</v>
      </c>
      <c r="FH168" t="e">
        <f>AND('STERLING CATALOG - DRY '!E3732,"AAAAAH3uP6M=")</f>
        <v>#VALUE!</v>
      </c>
      <c r="FI168" t="e">
        <f>AND('STERLING CATALOG - DRY '!F3732,"AAAAAH3uP6Q=")</f>
        <v>#VALUE!</v>
      </c>
      <c r="FJ168" t="e">
        <f>AND('STERLING CATALOG - DRY '!G3732,"AAAAAH3uP6U=")</f>
        <v>#VALUE!</v>
      </c>
      <c r="FK168" t="e">
        <f>AND('STERLING CATALOG - DRY '!H3732,"AAAAAH3uP6Y=")</f>
        <v>#VALUE!</v>
      </c>
      <c r="FL168" t="e">
        <f>AND('STERLING CATALOG - DRY '!I3732,"AAAAAH3uP6c=")</f>
        <v>#VALUE!</v>
      </c>
      <c r="FM168" t="e">
        <f>AND('STERLING CATALOG - DRY '!J3732,"AAAAAH3uP6g=")</f>
        <v>#VALUE!</v>
      </c>
      <c r="FN168">
        <f>IF('STERLING CATALOG - DRY '!3733:3733,"AAAAAH3uP6k=",0)</f>
        <v>0</v>
      </c>
      <c r="FO168" t="e">
        <f>AND('STERLING CATALOG - DRY '!A3733,"AAAAAH3uP6o=")</f>
        <v>#VALUE!</v>
      </c>
      <c r="FP168" t="e">
        <f>AND('STERLING CATALOG - DRY '!B3733,"AAAAAH3uP6s=")</f>
        <v>#VALUE!</v>
      </c>
      <c r="FQ168" t="e">
        <f>AND('STERLING CATALOG - DRY '!C3733,"AAAAAH3uP6w=")</f>
        <v>#VALUE!</v>
      </c>
      <c r="FR168" t="e">
        <f>AND('STERLING CATALOG - DRY '!D3733,"AAAAAH3uP60=")</f>
        <v>#VALUE!</v>
      </c>
      <c r="FS168" t="e">
        <f>AND('STERLING CATALOG - DRY '!E3733,"AAAAAH3uP64=")</f>
        <v>#VALUE!</v>
      </c>
      <c r="FT168" t="e">
        <f>AND('STERLING CATALOG - DRY '!F3733,"AAAAAH3uP68=")</f>
        <v>#VALUE!</v>
      </c>
      <c r="FU168" t="e">
        <f>AND('STERLING CATALOG - DRY '!G3733,"AAAAAH3uP7A=")</f>
        <v>#VALUE!</v>
      </c>
      <c r="FV168" t="e">
        <f>AND('STERLING CATALOG - DRY '!H3733,"AAAAAH3uP7E=")</f>
        <v>#VALUE!</v>
      </c>
      <c r="FW168" t="e">
        <f>AND('STERLING CATALOG - DRY '!I3733,"AAAAAH3uP7I=")</f>
        <v>#VALUE!</v>
      </c>
      <c r="FX168" t="e">
        <f>AND('STERLING CATALOG - DRY '!J3733,"AAAAAH3uP7M=")</f>
        <v>#VALUE!</v>
      </c>
      <c r="FY168">
        <f>IF('STERLING CATALOG - DRY '!3734:3734,"AAAAAH3uP7Q=",0)</f>
        <v>0</v>
      </c>
      <c r="FZ168" t="e">
        <f>AND('STERLING CATALOG - DRY '!A3734,"AAAAAH3uP7U=")</f>
        <v>#VALUE!</v>
      </c>
      <c r="GA168" t="e">
        <f>AND('STERLING CATALOG - DRY '!B3734,"AAAAAH3uP7Y=")</f>
        <v>#VALUE!</v>
      </c>
      <c r="GB168" t="e">
        <f>AND('STERLING CATALOG - DRY '!C3734,"AAAAAH3uP7c=")</f>
        <v>#VALUE!</v>
      </c>
      <c r="GC168" t="e">
        <f>AND('STERLING CATALOG - DRY '!D3734,"AAAAAH3uP7g=")</f>
        <v>#VALUE!</v>
      </c>
      <c r="GD168" t="e">
        <f>AND('STERLING CATALOG - DRY '!E3734,"AAAAAH3uP7k=")</f>
        <v>#VALUE!</v>
      </c>
      <c r="GE168" t="e">
        <f>AND('STERLING CATALOG - DRY '!F3734,"AAAAAH3uP7o=")</f>
        <v>#VALUE!</v>
      </c>
      <c r="GF168" t="e">
        <f>AND('STERLING CATALOG - DRY '!G3734,"AAAAAH3uP7s=")</f>
        <v>#VALUE!</v>
      </c>
      <c r="GG168" t="e">
        <f>AND('STERLING CATALOG - DRY '!H3734,"AAAAAH3uP7w=")</f>
        <v>#VALUE!</v>
      </c>
      <c r="GH168" t="e">
        <f>AND('STERLING CATALOG - DRY '!I3734,"AAAAAH3uP70=")</f>
        <v>#VALUE!</v>
      </c>
      <c r="GI168" t="e">
        <f>AND('STERLING CATALOG - DRY '!J3734,"AAAAAH3uP74=")</f>
        <v>#VALUE!</v>
      </c>
      <c r="GJ168">
        <f>IF('STERLING CATALOG - DRY '!3735:3735,"AAAAAH3uP78=",0)</f>
        <v>0</v>
      </c>
      <c r="GK168" t="e">
        <f>AND('STERLING CATALOG - DRY '!A3735,"AAAAAH3uP8A=")</f>
        <v>#VALUE!</v>
      </c>
      <c r="GL168" t="e">
        <f>AND('STERLING CATALOG - DRY '!B3735,"AAAAAH3uP8E=")</f>
        <v>#VALUE!</v>
      </c>
      <c r="GM168" t="e">
        <f>AND('STERLING CATALOG - DRY '!C3735,"AAAAAH3uP8I=")</f>
        <v>#VALUE!</v>
      </c>
      <c r="GN168" t="e">
        <f>AND('STERLING CATALOG - DRY '!D3735,"AAAAAH3uP8M=")</f>
        <v>#VALUE!</v>
      </c>
      <c r="GO168" t="e">
        <f>AND('STERLING CATALOG - DRY '!E3735,"AAAAAH3uP8Q=")</f>
        <v>#VALUE!</v>
      </c>
      <c r="GP168" t="e">
        <f>AND('STERLING CATALOG - DRY '!F3735,"AAAAAH3uP8U=")</f>
        <v>#VALUE!</v>
      </c>
      <c r="GQ168" t="e">
        <f>AND('STERLING CATALOG - DRY '!G3735,"AAAAAH3uP8Y=")</f>
        <v>#VALUE!</v>
      </c>
      <c r="GR168" t="e">
        <f>AND('STERLING CATALOG - DRY '!H3735,"AAAAAH3uP8c=")</f>
        <v>#VALUE!</v>
      </c>
      <c r="GS168" t="e">
        <f>AND('STERLING CATALOG - DRY '!I3735,"AAAAAH3uP8g=")</f>
        <v>#VALUE!</v>
      </c>
      <c r="GT168" t="e">
        <f>AND('STERLING CATALOG - DRY '!J3735,"AAAAAH3uP8k=")</f>
        <v>#VALUE!</v>
      </c>
      <c r="GU168">
        <f>IF('STERLING CATALOG - DRY '!3736:3736,"AAAAAH3uP8o=",0)</f>
        <v>0</v>
      </c>
      <c r="GV168" t="e">
        <f>AND('STERLING CATALOG - DRY '!A3736,"AAAAAH3uP8s=")</f>
        <v>#VALUE!</v>
      </c>
      <c r="GW168" t="e">
        <f>AND('STERLING CATALOG - DRY '!B3736,"AAAAAH3uP8w=")</f>
        <v>#VALUE!</v>
      </c>
      <c r="GX168" t="e">
        <f>AND('STERLING CATALOG - DRY '!C3736,"AAAAAH3uP80=")</f>
        <v>#VALUE!</v>
      </c>
      <c r="GY168" t="e">
        <f>AND('STERLING CATALOG - DRY '!D3736,"AAAAAH3uP84=")</f>
        <v>#VALUE!</v>
      </c>
      <c r="GZ168" t="e">
        <f>AND('STERLING CATALOG - DRY '!E3736,"AAAAAH3uP88=")</f>
        <v>#VALUE!</v>
      </c>
      <c r="HA168" t="e">
        <f>AND('STERLING CATALOG - DRY '!F3736,"AAAAAH3uP9A=")</f>
        <v>#VALUE!</v>
      </c>
      <c r="HB168" t="e">
        <f>AND('STERLING CATALOG - DRY '!G3736,"AAAAAH3uP9E=")</f>
        <v>#VALUE!</v>
      </c>
      <c r="HC168" t="e">
        <f>AND('STERLING CATALOG - DRY '!H3736,"AAAAAH3uP9I=")</f>
        <v>#VALUE!</v>
      </c>
      <c r="HD168" t="e">
        <f>AND('STERLING CATALOG - DRY '!I3736,"AAAAAH3uP9M=")</f>
        <v>#VALUE!</v>
      </c>
      <c r="HE168" t="e">
        <f>AND('STERLING CATALOG - DRY '!J3736,"AAAAAH3uP9Q=")</f>
        <v>#VALUE!</v>
      </c>
      <c r="HF168">
        <f>IF('STERLING CATALOG - DRY '!3737:3737,"AAAAAH3uP9U=",0)</f>
        <v>0</v>
      </c>
      <c r="HG168" t="e">
        <f>AND('STERLING CATALOG - DRY '!A3737,"AAAAAH3uP9Y=")</f>
        <v>#VALUE!</v>
      </c>
      <c r="HH168" t="e">
        <f>AND('STERLING CATALOG - DRY '!B3737,"AAAAAH3uP9c=")</f>
        <v>#VALUE!</v>
      </c>
      <c r="HI168" t="e">
        <f>AND('STERLING CATALOG - DRY '!C3737,"AAAAAH3uP9g=")</f>
        <v>#VALUE!</v>
      </c>
      <c r="HJ168" t="e">
        <f>AND('STERLING CATALOG - DRY '!D3737,"AAAAAH3uP9k=")</f>
        <v>#VALUE!</v>
      </c>
      <c r="HK168" t="e">
        <f>AND('STERLING CATALOG - DRY '!E3737,"AAAAAH3uP9o=")</f>
        <v>#VALUE!</v>
      </c>
      <c r="HL168" t="e">
        <f>AND('STERLING CATALOG - DRY '!F3737,"AAAAAH3uP9s=")</f>
        <v>#VALUE!</v>
      </c>
      <c r="HM168" t="e">
        <f>AND('STERLING CATALOG - DRY '!G3737,"AAAAAH3uP9w=")</f>
        <v>#VALUE!</v>
      </c>
      <c r="HN168" t="e">
        <f>AND('STERLING CATALOG - DRY '!H3737,"AAAAAH3uP90=")</f>
        <v>#VALUE!</v>
      </c>
      <c r="HO168" t="e">
        <f>AND('STERLING CATALOG - DRY '!I3737,"AAAAAH3uP94=")</f>
        <v>#VALUE!</v>
      </c>
      <c r="HP168" t="e">
        <f>AND('STERLING CATALOG - DRY '!J3737,"AAAAAH3uP98=")</f>
        <v>#VALUE!</v>
      </c>
      <c r="HQ168">
        <f>IF('STERLING CATALOG - DRY '!3738:3738,"AAAAAH3uP+A=",0)</f>
        <v>0</v>
      </c>
      <c r="HR168" t="e">
        <f>AND('STERLING CATALOG - DRY '!A3738,"AAAAAH3uP+E=")</f>
        <v>#VALUE!</v>
      </c>
      <c r="HS168" t="e">
        <f>AND('STERLING CATALOG - DRY '!B3738,"AAAAAH3uP+I=")</f>
        <v>#VALUE!</v>
      </c>
      <c r="HT168" t="e">
        <f>AND('STERLING CATALOG - DRY '!C3738,"AAAAAH3uP+M=")</f>
        <v>#VALUE!</v>
      </c>
      <c r="HU168" t="e">
        <f>AND('STERLING CATALOG - DRY '!D3738,"AAAAAH3uP+Q=")</f>
        <v>#VALUE!</v>
      </c>
      <c r="HV168" t="e">
        <f>AND('STERLING CATALOG - DRY '!E3738,"AAAAAH3uP+U=")</f>
        <v>#VALUE!</v>
      </c>
      <c r="HW168" t="e">
        <f>AND('STERLING CATALOG - DRY '!F3738,"AAAAAH3uP+Y=")</f>
        <v>#VALUE!</v>
      </c>
      <c r="HX168" t="e">
        <f>AND('STERLING CATALOG - DRY '!G3738,"AAAAAH3uP+c=")</f>
        <v>#VALUE!</v>
      </c>
      <c r="HY168" t="e">
        <f>AND('STERLING CATALOG - DRY '!H3738,"AAAAAH3uP+g=")</f>
        <v>#VALUE!</v>
      </c>
      <c r="HZ168" t="e">
        <f>AND('STERLING CATALOG - DRY '!I3738,"AAAAAH3uP+k=")</f>
        <v>#VALUE!</v>
      </c>
      <c r="IA168" t="e">
        <f>AND('STERLING CATALOG - DRY '!J3738,"AAAAAH3uP+o=")</f>
        <v>#VALUE!</v>
      </c>
      <c r="IB168">
        <f>IF('STERLING CATALOG - DRY '!3739:3739,"AAAAAH3uP+s=",0)</f>
        <v>0</v>
      </c>
      <c r="IC168" t="e">
        <f>AND('STERLING CATALOG - DRY '!A3739,"AAAAAH3uP+w=")</f>
        <v>#VALUE!</v>
      </c>
      <c r="ID168" t="e">
        <f>AND('STERLING CATALOG - DRY '!B3739,"AAAAAH3uP+0=")</f>
        <v>#VALUE!</v>
      </c>
      <c r="IE168" t="e">
        <f>AND('STERLING CATALOG - DRY '!C3739,"AAAAAH3uP+4=")</f>
        <v>#VALUE!</v>
      </c>
      <c r="IF168" t="e">
        <f>AND('STERLING CATALOG - DRY '!D3739,"AAAAAH3uP+8=")</f>
        <v>#VALUE!</v>
      </c>
      <c r="IG168" t="e">
        <f>AND('STERLING CATALOG - DRY '!E3739,"AAAAAH3uP/A=")</f>
        <v>#VALUE!</v>
      </c>
      <c r="IH168" t="e">
        <f>AND('STERLING CATALOG - DRY '!F3739,"AAAAAH3uP/E=")</f>
        <v>#VALUE!</v>
      </c>
      <c r="II168" t="e">
        <f>AND('STERLING CATALOG - DRY '!G3739,"AAAAAH3uP/I=")</f>
        <v>#VALUE!</v>
      </c>
      <c r="IJ168" t="e">
        <f>AND('STERLING CATALOG - DRY '!H3739,"AAAAAH3uP/M=")</f>
        <v>#VALUE!</v>
      </c>
      <c r="IK168" t="e">
        <f>AND('STERLING CATALOG - DRY '!I3739,"AAAAAH3uP/Q=")</f>
        <v>#VALUE!</v>
      </c>
      <c r="IL168" t="e">
        <f>AND('STERLING CATALOG - DRY '!J3739,"AAAAAH3uP/U=")</f>
        <v>#VALUE!</v>
      </c>
      <c r="IM168">
        <f>IF('STERLING CATALOG - DRY '!3740:3740,"AAAAAH3uP/Y=",0)</f>
        <v>0</v>
      </c>
      <c r="IN168" t="e">
        <f>AND('STERLING CATALOG - DRY '!A3740,"AAAAAH3uP/c=")</f>
        <v>#VALUE!</v>
      </c>
      <c r="IO168" t="e">
        <f>AND('STERLING CATALOG - DRY '!B3740,"AAAAAH3uP/g=")</f>
        <v>#VALUE!</v>
      </c>
      <c r="IP168" t="e">
        <f>AND('STERLING CATALOG - DRY '!C3740,"AAAAAH3uP/k=")</f>
        <v>#VALUE!</v>
      </c>
      <c r="IQ168" t="e">
        <f>AND('STERLING CATALOG - DRY '!D3740,"AAAAAH3uP/o=")</f>
        <v>#VALUE!</v>
      </c>
      <c r="IR168" t="e">
        <f>AND('STERLING CATALOG - DRY '!E3740,"AAAAAH3uP/s=")</f>
        <v>#VALUE!</v>
      </c>
      <c r="IS168" t="e">
        <f>AND('STERLING CATALOG - DRY '!F3740,"AAAAAH3uP/w=")</f>
        <v>#VALUE!</v>
      </c>
      <c r="IT168" t="e">
        <f>AND('STERLING CATALOG - DRY '!G3740,"AAAAAH3uP/0=")</f>
        <v>#VALUE!</v>
      </c>
      <c r="IU168" t="e">
        <f>AND('STERLING CATALOG - DRY '!H3740,"AAAAAH3uP/4=")</f>
        <v>#VALUE!</v>
      </c>
      <c r="IV168" t="e">
        <f>AND('STERLING CATALOG - DRY '!I3740,"AAAAAH3uP/8=")</f>
        <v>#VALUE!</v>
      </c>
    </row>
    <row r="169" spans="1:256">
      <c r="A169" t="e">
        <f>AND('STERLING CATALOG - DRY '!J3740,"AAAAAH/+9wA=")</f>
        <v>#VALUE!</v>
      </c>
      <c r="B169" t="str">
        <f>IF('STERLING CATALOG - DRY '!3741:3741,"AAAAAH/+9wE=",0)</f>
        <v>AAAAAH/+9wE=</v>
      </c>
      <c r="C169" t="e">
        <f>AND('STERLING CATALOG - DRY '!A3741,"AAAAAH/+9wI=")</f>
        <v>#VALUE!</v>
      </c>
      <c r="D169" t="e">
        <f>AND('STERLING CATALOG - DRY '!B3741,"AAAAAH/+9wM=")</f>
        <v>#VALUE!</v>
      </c>
      <c r="E169" t="e">
        <f>AND('STERLING CATALOG - DRY '!C3741,"AAAAAH/+9wQ=")</f>
        <v>#VALUE!</v>
      </c>
      <c r="F169" t="e">
        <f>AND('STERLING CATALOG - DRY '!D3741,"AAAAAH/+9wU=")</f>
        <v>#VALUE!</v>
      </c>
      <c r="G169" t="e">
        <f>AND('STERLING CATALOG - DRY '!E3741,"AAAAAH/+9wY=")</f>
        <v>#VALUE!</v>
      </c>
      <c r="H169" t="e">
        <f>AND('STERLING CATALOG - DRY '!F3741,"AAAAAH/+9wc=")</f>
        <v>#VALUE!</v>
      </c>
      <c r="I169" t="e">
        <f>AND('STERLING CATALOG - DRY '!G3741,"AAAAAH/+9wg=")</f>
        <v>#VALUE!</v>
      </c>
      <c r="J169" t="e">
        <f>AND('STERLING CATALOG - DRY '!H3741,"AAAAAH/+9wk=")</f>
        <v>#VALUE!</v>
      </c>
      <c r="K169" t="e">
        <f>AND('STERLING CATALOG - DRY '!I3741,"AAAAAH/+9wo=")</f>
        <v>#VALUE!</v>
      </c>
      <c r="L169" t="e">
        <f>AND('STERLING CATALOG - DRY '!J3741,"AAAAAH/+9ws=")</f>
        <v>#VALUE!</v>
      </c>
      <c r="M169">
        <f>IF('STERLING CATALOG - DRY '!3742:3742,"AAAAAH/+9ww=",0)</f>
        <v>0</v>
      </c>
      <c r="N169" t="e">
        <f>AND('STERLING CATALOG - DRY '!A3742,"AAAAAH/+9w0=")</f>
        <v>#VALUE!</v>
      </c>
      <c r="O169" t="e">
        <f>AND('STERLING CATALOG - DRY '!B3742,"AAAAAH/+9w4=")</f>
        <v>#VALUE!</v>
      </c>
      <c r="P169" t="e">
        <f>AND('STERLING CATALOG - DRY '!C3742,"AAAAAH/+9w8=")</f>
        <v>#VALUE!</v>
      </c>
      <c r="Q169" t="e">
        <f>AND('STERLING CATALOG - DRY '!D3742,"AAAAAH/+9xA=")</f>
        <v>#VALUE!</v>
      </c>
      <c r="R169" t="e">
        <f>AND('STERLING CATALOG - DRY '!E3742,"AAAAAH/+9xE=")</f>
        <v>#VALUE!</v>
      </c>
      <c r="S169" t="e">
        <f>AND('STERLING CATALOG - DRY '!F3742,"AAAAAH/+9xI=")</f>
        <v>#VALUE!</v>
      </c>
      <c r="T169" t="e">
        <f>AND('STERLING CATALOG - DRY '!G3742,"AAAAAH/+9xM=")</f>
        <v>#VALUE!</v>
      </c>
      <c r="U169" t="e">
        <f>AND('STERLING CATALOG - DRY '!H3742,"AAAAAH/+9xQ=")</f>
        <v>#VALUE!</v>
      </c>
      <c r="V169" t="e">
        <f>AND('STERLING CATALOG - DRY '!I3742,"AAAAAH/+9xU=")</f>
        <v>#VALUE!</v>
      </c>
      <c r="W169" t="e">
        <f>AND('STERLING CATALOG - DRY '!J3742,"AAAAAH/+9xY=")</f>
        <v>#VALUE!</v>
      </c>
      <c r="X169">
        <f>IF('STERLING CATALOG - DRY '!3743:3743,"AAAAAH/+9xc=",0)</f>
        <v>0</v>
      </c>
      <c r="Y169" t="e">
        <f>AND('STERLING CATALOG - DRY '!A3743,"AAAAAH/+9xg=")</f>
        <v>#VALUE!</v>
      </c>
      <c r="Z169" t="e">
        <f>AND('STERLING CATALOG - DRY '!B3743,"AAAAAH/+9xk=")</f>
        <v>#VALUE!</v>
      </c>
      <c r="AA169" t="e">
        <f>AND('STERLING CATALOG - DRY '!C3743,"AAAAAH/+9xo=")</f>
        <v>#VALUE!</v>
      </c>
      <c r="AB169" t="e">
        <f>AND('STERLING CATALOG - DRY '!D3743,"AAAAAH/+9xs=")</f>
        <v>#VALUE!</v>
      </c>
      <c r="AC169" t="e">
        <f>AND('STERLING CATALOG - DRY '!E3743,"AAAAAH/+9xw=")</f>
        <v>#VALUE!</v>
      </c>
      <c r="AD169" t="e">
        <f>AND('STERLING CATALOG - DRY '!F3743,"AAAAAH/+9x0=")</f>
        <v>#VALUE!</v>
      </c>
      <c r="AE169" t="e">
        <f>AND('STERLING CATALOG - DRY '!G3743,"AAAAAH/+9x4=")</f>
        <v>#VALUE!</v>
      </c>
      <c r="AF169" t="e">
        <f>AND('STERLING CATALOG - DRY '!H3743,"AAAAAH/+9x8=")</f>
        <v>#VALUE!</v>
      </c>
      <c r="AG169" t="e">
        <f>AND('STERLING CATALOG - DRY '!I3743,"AAAAAH/+9yA=")</f>
        <v>#VALUE!</v>
      </c>
      <c r="AH169" t="e">
        <f>AND('STERLING CATALOG - DRY '!J3743,"AAAAAH/+9yE=")</f>
        <v>#VALUE!</v>
      </c>
      <c r="AI169">
        <f>IF('STERLING CATALOG - DRY '!3744:3744,"AAAAAH/+9yI=",0)</f>
        <v>0</v>
      </c>
      <c r="AJ169" t="e">
        <f>AND('STERLING CATALOG - DRY '!A3744,"AAAAAH/+9yM=")</f>
        <v>#VALUE!</v>
      </c>
      <c r="AK169" t="e">
        <f>AND('STERLING CATALOG - DRY '!B3744,"AAAAAH/+9yQ=")</f>
        <v>#VALUE!</v>
      </c>
      <c r="AL169" t="e">
        <f>AND('STERLING CATALOG - DRY '!C3744,"AAAAAH/+9yU=")</f>
        <v>#VALUE!</v>
      </c>
      <c r="AM169" t="e">
        <f>AND('STERLING CATALOG - DRY '!D3744,"AAAAAH/+9yY=")</f>
        <v>#VALUE!</v>
      </c>
      <c r="AN169" t="e">
        <f>AND('STERLING CATALOG - DRY '!E3744,"AAAAAH/+9yc=")</f>
        <v>#VALUE!</v>
      </c>
      <c r="AO169" t="e">
        <f>AND('STERLING CATALOG - DRY '!F3744,"AAAAAH/+9yg=")</f>
        <v>#VALUE!</v>
      </c>
      <c r="AP169" t="e">
        <f>AND('STERLING CATALOG - DRY '!G3744,"AAAAAH/+9yk=")</f>
        <v>#VALUE!</v>
      </c>
      <c r="AQ169" t="e">
        <f>AND('STERLING CATALOG - DRY '!H3744,"AAAAAH/+9yo=")</f>
        <v>#VALUE!</v>
      </c>
      <c r="AR169" t="e">
        <f>AND('STERLING CATALOG - DRY '!I3744,"AAAAAH/+9ys=")</f>
        <v>#VALUE!</v>
      </c>
      <c r="AS169" t="e">
        <f>AND('STERLING CATALOG - DRY '!J3744,"AAAAAH/+9yw=")</f>
        <v>#VALUE!</v>
      </c>
      <c r="AT169">
        <f>IF('STERLING CATALOG - DRY '!3745:3745,"AAAAAH/+9y0=",0)</f>
        <v>0</v>
      </c>
      <c r="AU169" t="e">
        <f>AND('STERLING CATALOG - DRY '!A3745,"AAAAAH/+9y4=")</f>
        <v>#VALUE!</v>
      </c>
      <c r="AV169" t="e">
        <f>AND('STERLING CATALOG - DRY '!B3745,"AAAAAH/+9y8=")</f>
        <v>#VALUE!</v>
      </c>
      <c r="AW169" t="e">
        <f>AND('STERLING CATALOG - DRY '!C3745,"AAAAAH/+9zA=")</f>
        <v>#VALUE!</v>
      </c>
      <c r="AX169" t="e">
        <f>AND('STERLING CATALOG - DRY '!D3745,"AAAAAH/+9zE=")</f>
        <v>#VALUE!</v>
      </c>
      <c r="AY169" t="e">
        <f>AND('STERLING CATALOG - DRY '!E3745,"AAAAAH/+9zI=")</f>
        <v>#VALUE!</v>
      </c>
      <c r="AZ169" t="e">
        <f>AND('STERLING CATALOG - DRY '!F3745,"AAAAAH/+9zM=")</f>
        <v>#VALUE!</v>
      </c>
      <c r="BA169" t="e">
        <f>AND('STERLING CATALOG - DRY '!G3745,"AAAAAH/+9zQ=")</f>
        <v>#VALUE!</v>
      </c>
      <c r="BB169" t="e">
        <f>AND('STERLING CATALOG - DRY '!H3745,"AAAAAH/+9zU=")</f>
        <v>#VALUE!</v>
      </c>
      <c r="BC169" t="e">
        <f>AND('STERLING CATALOG - DRY '!I3745,"AAAAAH/+9zY=")</f>
        <v>#VALUE!</v>
      </c>
      <c r="BD169" t="e">
        <f>AND('STERLING CATALOG - DRY '!J3745,"AAAAAH/+9zc=")</f>
        <v>#VALUE!</v>
      </c>
      <c r="BE169">
        <f>IF('STERLING CATALOG - DRY '!3746:3746,"AAAAAH/+9zg=",0)</f>
        <v>0</v>
      </c>
      <c r="BF169" t="e">
        <f>AND('STERLING CATALOG - DRY '!A3746,"AAAAAH/+9zk=")</f>
        <v>#VALUE!</v>
      </c>
      <c r="BG169" t="e">
        <f>AND('STERLING CATALOG - DRY '!B3746,"AAAAAH/+9zo=")</f>
        <v>#VALUE!</v>
      </c>
      <c r="BH169" t="e">
        <f>AND('STERLING CATALOG - DRY '!C3746,"AAAAAH/+9zs=")</f>
        <v>#VALUE!</v>
      </c>
      <c r="BI169" t="e">
        <f>AND('STERLING CATALOG - DRY '!D3746,"AAAAAH/+9zw=")</f>
        <v>#VALUE!</v>
      </c>
      <c r="BJ169" t="e">
        <f>AND('STERLING CATALOG - DRY '!E3746,"AAAAAH/+9z0=")</f>
        <v>#VALUE!</v>
      </c>
      <c r="BK169" t="e">
        <f>AND('STERLING CATALOG - DRY '!F3746,"AAAAAH/+9z4=")</f>
        <v>#VALUE!</v>
      </c>
      <c r="BL169" t="e">
        <f>AND('STERLING CATALOG - DRY '!G3746,"AAAAAH/+9z8=")</f>
        <v>#VALUE!</v>
      </c>
      <c r="BM169" t="e">
        <f>AND('STERLING CATALOG - DRY '!H3746,"AAAAAH/+90A=")</f>
        <v>#VALUE!</v>
      </c>
      <c r="BN169" t="e">
        <f>AND('STERLING CATALOG - DRY '!I3746,"AAAAAH/+90E=")</f>
        <v>#VALUE!</v>
      </c>
      <c r="BO169" t="e">
        <f>AND('STERLING CATALOG - DRY '!J3746,"AAAAAH/+90I=")</f>
        <v>#VALUE!</v>
      </c>
      <c r="BP169">
        <f>IF('STERLING CATALOG - DRY '!3747:3747,"AAAAAH/+90M=",0)</f>
        <v>0</v>
      </c>
      <c r="BQ169" t="e">
        <f>AND('STERLING CATALOG - DRY '!A3747,"AAAAAH/+90Q=")</f>
        <v>#VALUE!</v>
      </c>
      <c r="BR169" t="e">
        <f>AND('STERLING CATALOG - DRY '!B3747,"AAAAAH/+90U=")</f>
        <v>#VALUE!</v>
      </c>
      <c r="BS169" t="e">
        <f>AND('STERLING CATALOG - DRY '!C3747,"AAAAAH/+90Y=")</f>
        <v>#VALUE!</v>
      </c>
      <c r="BT169" t="e">
        <f>AND('STERLING CATALOG - DRY '!D3747,"AAAAAH/+90c=")</f>
        <v>#VALUE!</v>
      </c>
      <c r="BU169" t="e">
        <f>AND('STERLING CATALOG - DRY '!E3747,"AAAAAH/+90g=")</f>
        <v>#VALUE!</v>
      </c>
      <c r="BV169" t="e">
        <f>AND('STERLING CATALOG - DRY '!F3747,"AAAAAH/+90k=")</f>
        <v>#VALUE!</v>
      </c>
      <c r="BW169" t="e">
        <f>AND('STERLING CATALOG - DRY '!G3747,"AAAAAH/+90o=")</f>
        <v>#VALUE!</v>
      </c>
      <c r="BX169" t="e">
        <f>AND('STERLING CATALOG - DRY '!H3747,"AAAAAH/+90s=")</f>
        <v>#VALUE!</v>
      </c>
      <c r="BY169" t="e">
        <f>AND('STERLING CATALOG - DRY '!I3747,"AAAAAH/+90w=")</f>
        <v>#VALUE!</v>
      </c>
      <c r="BZ169" t="e">
        <f>AND('STERLING CATALOG - DRY '!J3747,"AAAAAH/+900=")</f>
        <v>#VALUE!</v>
      </c>
      <c r="CA169">
        <f>IF('STERLING CATALOG - DRY '!3748:3748,"AAAAAH/+904=",0)</f>
        <v>0</v>
      </c>
      <c r="CB169" t="e">
        <f>AND('STERLING CATALOG - DRY '!A3748,"AAAAAH/+908=")</f>
        <v>#VALUE!</v>
      </c>
      <c r="CC169" t="e">
        <f>AND('STERLING CATALOG - DRY '!B3748,"AAAAAH/+91A=")</f>
        <v>#VALUE!</v>
      </c>
      <c r="CD169" t="e">
        <f>AND('STERLING CATALOG - DRY '!C3748,"AAAAAH/+91E=")</f>
        <v>#VALUE!</v>
      </c>
      <c r="CE169" t="e">
        <f>AND('STERLING CATALOG - DRY '!D3748,"AAAAAH/+91I=")</f>
        <v>#VALUE!</v>
      </c>
      <c r="CF169" t="e">
        <f>AND('STERLING CATALOG - DRY '!E3748,"AAAAAH/+91M=")</f>
        <v>#VALUE!</v>
      </c>
      <c r="CG169" t="e">
        <f>AND('STERLING CATALOG - DRY '!F3748,"AAAAAH/+91Q=")</f>
        <v>#VALUE!</v>
      </c>
      <c r="CH169" t="e">
        <f>AND('STERLING CATALOG - DRY '!G3748,"AAAAAH/+91U=")</f>
        <v>#VALUE!</v>
      </c>
      <c r="CI169" t="e">
        <f>AND('STERLING CATALOG - DRY '!H3748,"AAAAAH/+91Y=")</f>
        <v>#VALUE!</v>
      </c>
      <c r="CJ169" t="e">
        <f>AND('STERLING CATALOG - DRY '!I3748,"AAAAAH/+91c=")</f>
        <v>#VALUE!</v>
      </c>
      <c r="CK169" t="e">
        <f>AND('STERLING CATALOG - DRY '!J3748,"AAAAAH/+91g=")</f>
        <v>#VALUE!</v>
      </c>
      <c r="CL169">
        <f>IF('STERLING CATALOG - DRY '!3749:3749,"AAAAAH/+91k=",0)</f>
        <v>0</v>
      </c>
      <c r="CM169" t="e">
        <f>AND('STERLING CATALOG - DRY '!A3749,"AAAAAH/+91o=")</f>
        <v>#VALUE!</v>
      </c>
      <c r="CN169" t="e">
        <f>AND('STERLING CATALOG - DRY '!B3749,"AAAAAH/+91s=")</f>
        <v>#VALUE!</v>
      </c>
      <c r="CO169" t="e">
        <f>AND('STERLING CATALOG - DRY '!C3749,"AAAAAH/+91w=")</f>
        <v>#VALUE!</v>
      </c>
      <c r="CP169" t="e">
        <f>AND('STERLING CATALOG - DRY '!D3749,"AAAAAH/+910=")</f>
        <v>#VALUE!</v>
      </c>
      <c r="CQ169" t="e">
        <f>AND('STERLING CATALOG - DRY '!E3749,"AAAAAH/+914=")</f>
        <v>#VALUE!</v>
      </c>
      <c r="CR169" t="e">
        <f>AND('STERLING CATALOG - DRY '!F3749,"AAAAAH/+918=")</f>
        <v>#VALUE!</v>
      </c>
      <c r="CS169" t="e">
        <f>AND('STERLING CATALOG - DRY '!G3749,"AAAAAH/+92A=")</f>
        <v>#VALUE!</v>
      </c>
      <c r="CT169" t="e">
        <f>AND('STERLING CATALOG - DRY '!H3749,"AAAAAH/+92E=")</f>
        <v>#VALUE!</v>
      </c>
      <c r="CU169" t="e">
        <f>AND('STERLING CATALOG - DRY '!I3749,"AAAAAH/+92I=")</f>
        <v>#VALUE!</v>
      </c>
      <c r="CV169" t="e">
        <f>AND('STERLING CATALOG - DRY '!J3749,"AAAAAH/+92M=")</f>
        <v>#VALUE!</v>
      </c>
      <c r="CW169">
        <f>IF('STERLING CATALOG - DRY '!3750:3750,"AAAAAH/+92Q=",0)</f>
        <v>0</v>
      </c>
      <c r="CX169" t="e">
        <f>AND('STERLING CATALOG - DRY '!A3750,"AAAAAH/+92U=")</f>
        <v>#VALUE!</v>
      </c>
      <c r="CY169" t="e">
        <f>AND('STERLING CATALOG - DRY '!B3750,"AAAAAH/+92Y=")</f>
        <v>#VALUE!</v>
      </c>
      <c r="CZ169" t="e">
        <f>AND('STERLING CATALOG - DRY '!C3750,"AAAAAH/+92c=")</f>
        <v>#VALUE!</v>
      </c>
      <c r="DA169" t="e">
        <f>AND('STERLING CATALOG - DRY '!D3750,"AAAAAH/+92g=")</f>
        <v>#VALUE!</v>
      </c>
      <c r="DB169" t="e">
        <f>AND('STERLING CATALOG - DRY '!E3750,"AAAAAH/+92k=")</f>
        <v>#VALUE!</v>
      </c>
      <c r="DC169" t="e">
        <f>AND('STERLING CATALOG - DRY '!F3750,"AAAAAH/+92o=")</f>
        <v>#VALUE!</v>
      </c>
      <c r="DD169" t="e">
        <f>AND('STERLING CATALOG - DRY '!G3750,"AAAAAH/+92s=")</f>
        <v>#VALUE!</v>
      </c>
      <c r="DE169" t="e">
        <f>AND('STERLING CATALOG - DRY '!H3750,"AAAAAH/+92w=")</f>
        <v>#VALUE!</v>
      </c>
      <c r="DF169" t="e">
        <f>AND('STERLING CATALOG - DRY '!I3750,"AAAAAH/+920=")</f>
        <v>#VALUE!</v>
      </c>
      <c r="DG169" t="e">
        <f>AND('STERLING CATALOG - DRY '!J3750,"AAAAAH/+924=")</f>
        <v>#VALUE!</v>
      </c>
      <c r="DH169">
        <f>IF('STERLING CATALOG - DRY '!3751:3751,"AAAAAH/+928=",0)</f>
        <v>0</v>
      </c>
      <c r="DI169" t="e">
        <f>AND('STERLING CATALOG - DRY '!A3751,"AAAAAH/+93A=")</f>
        <v>#VALUE!</v>
      </c>
      <c r="DJ169" t="e">
        <f>AND('STERLING CATALOG - DRY '!B3751,"AAAAAH/+93E=")</f>
        <v>#VALUE!</v>
      </c>
      <c r="DK169" t="e">
        <f>AND('STERLING CATALOG - DRY '!C3751,"AAAAAH/+93I=")</f>
        <v>#VALUE!</v>
      </c>
      <c r="DL169" t="e">
        <f>AND('STERLING CATALOG - DRY '!D3751,"AAAAAH/+93M=")</f>
        <v>#VALUE!</v>
      </c>
      <c r="DM169" t="e">
        <f>AND('STERLING CATALOG - DRY '!E3751,"AAAAAH/+93Q=")</f>
        <v>#VALUE!</v>
      </c>
      <c r="DN169" t="e">
        <f>AND('STERLING CATALOG - DRY '!F3751,"AAAAAH/+93U=")</f>
        <v>#VALUE!</v>
      </c>
      <c r="DO169" t="e">
        <f>AND('STERLING CATALOG - DRY '!G3751,"AAAAAH/+93Y=")</f>
        <v>#VALUE!</v>
      </c>
      <c r="DP169" t="e">
        <f>AND('STERLING CATALOG - DRY '!H3751,"AAAAAH/+93c=")</f>
        <v>#VALUE!</v>
      </c>
      <c r="DQ169" t="e">
        <f>AND('STERLING CATALOG - DRY '!I3751,"AAAAAH/+93g=")</f>
        <v>#VALUE!</v>
      </c>
      <c r="DR169" t="e">
        <f>AND('STERLING CATALOG - DRY '!J3751,"AAAAAH/+93k=")</f>
        <v>#VALUE!</v>
      </c>
      <c r="DS169">
        <f>IF('STERLING CATALOG - DRY '!3752:3752,"AAAAAH/+93o=",0)</f>
        <v>0</v>
      </c>
      <c r="DT169" t="e">
        <f>AND('STERLING CATALOG - DRY '!A3752,"AAAAAH/+93s=")</f>
        <v>#VALUE!</v>
      </c>
      <c r="DU169" t="e">
        <f>AND('STERLING CATALOG - DRY '!B3752,"AAAAAH/+93w=")</f>
        <v>#VALUE!</v>
      </c>
      <c r="DV169" t="e">
        <f>AND('STERLING CATALOG - DRY '!C3752,"AAAAAH/+930=")</f>
        <v>#VALUE!</v>
      </c>
      <c r="DW169" t="e">
        <f>AND('STERLING CATALOG - DRY '!D3752,"AAAAAH/+934=")</f>
        <v>#VALUE!</v>
      </c>
      <c r="DX169" t="e">
        <f>AND('STERLING CATALOG - DRY '!E3752,"AAAAAH/+938=")</f>
        <v>#VALUE!</v>
      </c>
      <c r="DY169" t="e">
        <f>AND('STERLING CATALOG - DRY '!F3752,"AAAAAH/+94A=")</f>
        <v>#VALUE!</v>
      </c>
      <c r="DZ169" t="e">
        <f>AND('STERLING CATALOG - DRY '!G3752,"AAAAAH/+94E=")</f>
        <v>#VALUE!</v>
      </c>
      <c r="EA169" t="e">
        <f>AND('STERLING CATALOG - DRY '!H3752,"AAAAAH/+94I=")</f>
        <v>#VALUE!</v>
      </c>
      <c r="EB169" t="e">
        <f>AND('STERLING CATALOG - DRY '!I3752,"AAAAAH/+94M=")</f>
        <v>#VALUE!</v>
      </c>
      <c r="EC169" t="e">
        <f>AND('STERLING CATALOG - DRY '!J3752,"AAAAAH/+94Q=")</f>
        <v>#VALUE!</v>
      </c>
      <c r="ED169">
        <f>IF('STERLING CATALOG - DRY '!3753:3753,"AAAAAH/+94U=",0)</f>
        <v>0</v>
      </c>
      <c r="EE169" t="e">
        <f>AND('STERLING CATALOG - DRY '!A3753,"AAAAAH/+94Y=")</f>
        <v>#VALUE!</v>
      </c>
      <c r="EF169" t="e">
        <f>AND('STERLING CATALOG - DRY '!B3753,"AAAAAH/+94c=")</f>
        <v>#VALUE!</v>
      </c>
      <c r="EG169" t="e">
        <f>AND('STERLING CATALOG - DRY '!C3753,"AAAAAH/+94g=")</f>
        <v>#VALUE!</v>
      </c>
      <c r="EH169" t="e">
        <f>AND('STERLING CATALOG - DRY '!D3753,"AAAAAH/+94k=")</f>
        <v>#VALUE!</v>
      </c>
      <c r="EI169" t="e">
        <f>AND('STERLING CATALOG - DRY '!E3753,"AAAAAH/+94o=")</f>
        <v>#VALUE!</v>
      </c>
      <c r="EJ169" t="e">
        <f>AND('STERLING CATALOG - DRY '!F3753,"AAAAAH/+94s=")</f>
        <v>#VALUE!</v>
      </c>
      <c r="EK169" t="e">
        <f>AND('STERLING CATALOG - DRY '!G3753,"AAAAAH/+94w=")</f>
        <v>#VALUE!</v>
      </c>
      <c r="EL169" t="e">
        <f>AND('STERLING CATALOG - DRY '!H3753,"AAAAAH/+940=")</f>
        <v>#VALUE!</v>
      </c>
      <c r="EM169" t="e">
        <f>AND('STERLING CATALOG - DRY '!I3753,"AAAAAH/+944=")</f>
        <v>#VALUE!</v>
      </c>
      <c r="EN169" t="e">
        <f>AND('STERLING CATALOG - DRY '!J3753,"AAAAAH/+948=")</f>
        <v>#VALUE!</v>
      </c>
      <c r="EO169">
        <f>IF('STERLING CATALOG - DRY '!3754:3754,"AAAAAH/+95A=",0)</f>
        <v>0</v>
      </c>
      <c r="EP169" t="e">
        <f>AND('STERLING CATALOG - DRY '!A3754,"AAAAAH/+95E=")</f>
        <v>#VALUE!</v>
      </c>
      <c r="EQ169" t="e">
        <f>AND('STERLING CATALOG - DRY '!B3754,"AAAAAH/+95I=")</f>
        <v>#VALUE!</v>
      </c>
      <c r="ER169" t="e">
        <f>AND('STERLING CATALOG - DRY '!C3754,"AAAAAH/+95M=")</f>
        <v>#VALUE!</v>
      </c>
      <c r="ES169" t="e">
        <f>AND('STERLING CATALOG - DRY '!D3754,"AAAAAH/+95Q=")</f>
        <v>#VALUE!</v>
      </c>
      <c r="ET169" t="e">
        <f>AND('STERLING CATALOG - DRY '!E3754,"AAAAAH/+95U=")</f>
        <v>#VALUE!</v>
      </c>
      <c r="EU169" t="e">
        <f>AND('STERLING CATALOG - DRY '!F3754,"AAAAAH/+95Y=")</f>
        <v>#VALUE!</v>
      </c>
      <c r="EV169" t="e">
        <f>AND('STERLING CATALOG - DRY '!G3754,"AAAAAH/+95c=")</f>
        <v>#VALUE!</v>
      </c>
      <c r="EW169" t="e">
        <f>AND('STERLING CATALOG - DRY '!H3754,"AAAAAH/+95g=")</f>
        <v>#VALUE!</v>
      </c>
      <c r="EX169" t="e">
        <f>AND('STERLING CATALOG - DRY '!I3754,"AAAAAH/+95k=")</f>
        <v>#VALUE!</v>
      </c>
      <c r="EY169" t="e">
        <f>AND('STERLING CATALOG - DRY '!J3754,"AAAAAH/+95o=")</f>
        <v>#VALUE!</v>
      </c>
      <c r="EZ169">
        <f>IF('STERLING CATALOG - DRY '!3755:3755,"AAAAAH/+95s=",0)</f>
        <v>0</v>
      </c>
      <c r="FA169" t="e">
        <f>AND('STERLING CATALOG - DRY '!A3755,"AAAAAH/+95w=")</f>
        <v>#VALUE!</v>
      </c>
      <c r="FB169" t="e">
        <f>AND('STERLING CATALOG - DRY '!B3755,"AAAAAH/+950=")</f>
        <v>#VALUE!</v>
      </c>
      <c r="FC169" t="e">
        <f>AND('STERLING CATALOG - DRY '!C3755,"AAAAAH/+954=")</f>
        <v>#VALUE!</v>
      </c>
      <c r="FD169" t="e">
        <f>AND('STERLING CATALOG - DRY '!D3755,"AAAAAH/+958=")</f>
        <v>#VALUE!</v>
      </c>
      <c r="FE169" t="e">
        <f>AND('STERLING CATALOG - DRY '!E3755,"AAAAAH/+96A=")</f>
        <v>#VALUE!</v>
      </c>
      <c r="FF169" t="e">
        <f>AND('STERLING CATALOG - DRY '!F3755,"AAAAAH/+96E=")</f>
        <v>#VALUE!</v>
      </c>
      <c r="FG169" t="e">
        <f>AND('STERLING CATALOG - DRY '!G3755,"AAAAAH/+96I=")</f>
        <v>#VALUE!</v>
      </c>
      <c r="FH169" t="e">
        <f>AND('STERLING CATALOG - DRY '!H3755,"AAAAAH/+96M=")</f>
        <v>#VALUE!</v>
      </c>
      <c r="FI169" t="e">
        <f>AND('STERLING CATALOG - DRY '!I3755,"AAAAAH/+96Q=")</f>
        <v>#VALUE!</v>
      </c>
      <c r="FJ169" t="e">
        <f>AND('STERLING CATALOG - DRY '!J3755,"AAAAAH/+96U=")</f>
        <v>#VALUE!</v>
      </c>
      <c r="FK169">
        <f>IF('STERLING CATALOG - DRY '!3756:3756,"AAAAAH/+96Y=",0)</f>
        <v>0</v>
      </c>
      <c r="FL169" t="e">
        <f>AND('STERLING CATALOG - DRY '!A3756,"AAAAAH/+96c=")</f>
        <v>#VALUE!</v>
      </c>
      <c r="FM169" t="e">
        <f>AND('STERLING CATALOG - DRY '!B3756,"AAAAAH/+96g=")</f>
        <v>#VALUE!</v>
      </c>
      <c r="FN169" t="e">
        <f>AND('STERLING CATALOG - DRY '!C3756,"AAAAAH/+96k=")</f>
        <v>#VALUE!</v>
      </c>
      <c r="FO169" t="e">
        <f>AND('STERLING CATALOG - DRY '!D3756,"AAAAAH/+96o=")</f>
        <v>#VALUE!</v>
      </c>
      <c r="FP169" t="e">
        <f>AND('STERLING CATALOG - DRY '!E3756,"AAAAAH/+96s=")</f>
        <v>#VALUE!</v>
      </c>
      <c r="FQ169" t="e">
        <f>AND('STERLING CATALOG - DRY '!F3756,"AAAAAH/+96w=")</f>
        <v>#VALUE!</v>
      </c>
      <c r="FR169" t="e">
        <f>AND('STERLING CATALOG - DRY '!G3756,"AAAAAH/+960=")</f>
        <v>#VALUE!</v>
      </c>
      <c r="FS169" t="e">
        <f>AND('STERLING CATALOG - DRY '!H3756,"AAAAAH/+964=")</f>
        <v>#VALUE!</v>
      </c>
      <c r="FT169" t="e">
        <f>AND('STERLING CATALOG - DRY '!I3756,"AAAAAH/+968=")</f>
        <v>#VALUE!</v>
      </c>
      <c r="FU169" t="e">
        <f>AND('STERLING CATALOG - DRY '!J3756,"AAAAAH/+97A=")</f>
        <v>#VALUE!</v>
      </c>
      <c r="FV169">
        <f>IF('STERLING CATALOG - DRY '!3757:3757,"AAAAAH/+97E=",0)</f>
        <v>0</v>
      </c>
      <c r="FW169" t="e">
        <f>AND('STERLING CATALOG - DRY '!A3757,"AAAAAH/+97I=")</f>
        <v>#VALUE!</v>
      </c>
      <c r="FX169" t="e">
        <f>AND('STERLING CATALOG - DRY '!B3757,"AAAAAH/+97M=")</f>
        <v>#VALUE!</v>
      </c>
      <c r="FY169" t="e">
        <f>AND('STERLING CATALOG - DRY '!C3757,"AAAAAH/+97Q=")</f>
        <v>#VALUE!</v>
      </c>
      <c r="FZ169" t="e">
        <f>AND('STERLING CATALOG - DRY '!D3757,"AAAAAH/+97U=")</f>
        <v>#VALUE!</v>
      </c>
      <c r="GA169" t="e">
        <f>AND('STERLING CATALOG - DRY '!E3757,"AAAAAH/+97Y=")</f>
        <v>#VALUE!</v>
      </c>
      <c r="GB169" t="e">
        <f>AND('STERLING CATALOG - DRY '!F3757,"AAAAAH/+97c=")</f>
        <v>#VALUE!</v>
      </c>
      <c r="GC169" t="e">
        <f>AND('STERLING CATALOG - DRY '!G3757,"AAAAAH/+97g=")</f>
        <v>#VALUE!</v>
      </c>
      <c r="GD169" t="e">
        <f>AND('STERLING CATALOG - DRY '!H3757,"AAAAAH/+97k=")</f>
        <v>#VALUE!</v>
      </c>
      <c r="GE169" t="e">
        <f>AND('STERLING CATALOG - DRY '!I3757,"AAAAAH/+97o=")</f>
        <v>#VALUE!</v>
      </c>
      <c r="GF169" t="e">
        <f>AND('STERLING CATALOG - DRY '!J3757,"AAAAAH/+97s=")</f>
        <v>#VALUE!</v>
      </c>
      <c r="GG169">
        <f>IF('STERLING CATALOG - DRY '!3758:3758,"AAAAAH/+97w=",0)</f>
        <v>0</v>
      </c>
      <c r="GH169" t="e">
        <f>AND('STERLING CATALOG - DRY '!A3758,"AAAAAH/+970=")</f>
        <v>#VALUE!</v>
      </c>
      <c r="GI169" t="e">
        <f>AND('STERLING CATALOG - DRY '!B3758,"AAAAAH/+974=")</f>
        <v>#VALUE!</v>
      </c>
      <c r="GJ169" t="e">
        <f>AND('STERLING CATALOG - DRY '!C3758,"AAAAAH/+978=")</f>
        <v>#VALUE!</v>
      </c>
      <c r="GK169" t="e">
        <f>AND('STERLING CATALOG - DRY '!D3758,"AAAAAH/+98A=")</f>
        <v>#VALUE!</v>
      </c>
      <c r="GL169" t="e">
        <f>AND('STERLING CATALOG - DRY '!E3758,"AAAAAH/+98E=")</f>
        <v>#VALUE!</v>
      </c>
      <c r="GM169" t="e">
        <f>AND('STERLING CATALOG - DRY '!F3758,"AAAAAH/+98I=")</f>
        <v>#VALUE!</v>
      </c>
      <c r="GN169" t="e">
        <f>AND('STERLING CATALOG - DRY '!G3758,"AAAAAH/+98M=")</f>
        <v>#VALUE!</v>
      </c>
      <c r="GO169" t="e">
        <f>AND('STERLING CATALOG - DRY '!H3758,"AAAAAH/+98Q=")</f>
        <v>#VALUE!</v>
      </c>
      <c r="GP169" t="e">
        <f>AND('STERLING CATALOG - DRY '!I3758,"AAAAAH/+98U=")</f>
        <v>#VALUE!</v>
      </c>
      <c r="GQ169" t="e">
        <f>AND('STERLING CATALOG - DRY '!J3758,"AAAAAH/+98Y=")</f>
        <v>#VALUE!</v>
      </c>
      <c r="GR169">
        <f>IF('STERLING CATALOG - DRY '!3759:3759,"AAAAAH/+98c=",0)</f>
        <v>0</v>
      </c>
      <c r="GS169" t="e">
        <f>AND('STERLING CATALOG - DRY '!A3759,"AAAAAH/+98g=")</f>
        <v>#VALUE!</v>
      </c>
      <c r="GT169" t="e">
        <f>AND('STERLING CATALOG - DRY '!B3759,"AAAAAH/+98k=")</f>
        <v>#VALUE!</v>
      </c>
      <c r="GU169" t="e">
        <f>AND('STERLING CATALOG - DRY '!C3759,"AAAAAH/+98o=")</f>
        <v>#VALUE!</v>
      </c>
      <c r="GV169" t="e">
        <f>AND('STERLING CATALOG - DRY '!D3759,"AAAAAH/+98s=")</f>
        <v>#VALUE!</v>
      </c>
      <c r="GW169" t="e">
        <f>AND('STERLING CATALOG - DRY '!E3759,"AAAAAH/+98w=")</f>
        <v>#VALUE!</v>
      </c>
      <c r="GX169" t="e">
        <f>AND('STERLING CATALOG - DRY '!F3759,"AAAAAH/+980=")</f>
        <v>#VALUE!</v>
      </c>
      <c r="GY169" t="e">
        <f>AND('STERLING CATALOG - DRY '!G3759,"AAAAAH/+984=")</f>
        <v>#VALUE!</v>
      </c>
      <c r="GZ169" t="e">
        <f>AND('STERLING CATALOG - DRY '!H3759,"AAAAAH/+988=")</f>
        <v>#VALUE!</v>
      </c>
      <c r="HA169" t="e">
        <f>AND('STERLING CATALOG - DRY '!I3759,"AAAAAH/+99A=")</f>
        <v>#VALUE!</v>
      </c>
      <c r="HB169" t="e">
        <f>AND('STERLING CATALOG - DRY '!J3759,"AAAAAH/+99E=")</f>
        <v>#VALUE!</v>
      </c>
      <c r="HC169">
        <f>IF('STERLING CATALOG - DRY '!3760:3760,"AAAAAH/+99I=",0)</f>
        <v>0</v>
      </c>
      <c r="HD169" t="e">
        <f>AND('STERLING CATALOG - DRY '!A3760,"AAAAAH/+99M=")</f>
        <v>#VALUE!</v>
      </c>
      <c r="HE169" t="e">
        <f>AND('STERLING CATALOG - DRY '!B3760,"AAAAAH/+99Q=")</f>
        <v>#VALUE!</v>
      </c>
      <c r="HF169" t="e">
        <f>AND('STERLING CATALOG - DRY '!C3760,"AAAAAH/+99U=")</f>
        <v>#VALUE!</v>
      </c>
      <c r="HG169" t="e">
        <f>AND('STERLING CATALOG - DRY '!D3760,"AAAAAH/+99Y=")</f>
        <v>#VALUE!</v>
      </c>
      <c r="HH169" t="e">
        <f>AND('STERLING CATALOG - DRY '!E3760,"AAAAAH/+99c=")</f>
        <v>#VALUE!</v>
      </c>
      <c r="HI169" t="e">
        <f>AND('STERLING CATALOG - DRY '!F3760,"AAAAAH/+99g=")</f>
        <v>#VALUE!</v>
      </c>
      <c r="HJ169" t="e">
        <f>AND('STERLING CATALOG - DRY '!G3760,"AAAAAH/+99k=")</f>
        <v>#VALUE!</v>
      </c>
      <c r="HK169" t="e">
        <f>AND('STERLING CATALOG - DRY '!H3760,"AAAAAH/+99o=")</f>
        <v>#VALUE!</v>
      </c>
      <c r="HL169" t="e">
        <f>AND('STERLING CATALOG - DRY '!I3760,"AAAAAH/+99s=")</f>
        <v>#VALUE!</v>
      </c>
      <c r="HM169" t="e">
        <f>AND('STERLING CATALOG - DRY '!J3760,"AAAAAH/+99w=")</f>
        <v>#VALUE!</v>
      </c>
      <c r="HN169">
        <f>IF('STERLING CATALOG - DRY '!3761:3761,"AAAAAH/+990=",0)</f>
        <v>0</v>
      </c>
      <c r="HO169" t="e">
        <f>AND('STERLING CATALOG - DRY '!A3761,"AAAAAH/+994=")</f>
        <v>#VALUE!</v>
      </c>
      <c r="HP169" t="e">
        <f>AND('STERLING CATALOG - DRY '!B3761,"AAAAAH/+998=")</f>
        <v>#VALUE!</v>
      </c>
      <c r="HQ169" t="e">
        <f>AND('STERLING CATALOG - DRY '!C3761,"AAAAAH/+9+A=")</f>
        <v>#VALUE!</v>
      </c>
      <c r="HR169" t="e">
        <f>AND('STERLING CATALOG - DRY '!D3761,"AAAAAH/+9+E=")</f>
        <v>#VALUE!</v>
      </c>
      <c r="HS169" t="e">
        <f>AND('STERLING CATALOG - DRY '!E3761,"AAAAAH/+9+I=")</f>
        <v>#VALUE!</v>
      </c>
      <c r="HT169" t="e">
        <f>AND('STERLING CATALOG - DRY '!F3761,"AAAAAH/+9+M=")</f>
        <v>#VALUE!</v>
      </c>
      <c r="HU169" t="e">
        <f>AND('STERLING CATALOG - DRY '!G3761,"AAAAAH/+9+Q=")</f>
        <v>#VALUE!</v>
      </c>
      <c r="HV169" t="e">
        <f>AND('STERLING CATALOG - DRY '!H3761,"AAAAAH/+9+U=")</f>
        <v>#VALUE!</v>
      </c>
      <c r="HW169" t="e">
        <f>AND('STERLING CATALOG - DRY '!I3761,"AAAAAH/+9+Y=")</f>
        <v>#VALUE!</v>
      </c>
      <c r="HX169" t="e">
        <f>AND('STERLING CATALOG - DRY '!J3761,"AAAAAH/+9+c=")</f>
        <v>#VALUE!</v>
      </c>
      <c r="HY169">
        <f>IF('STERLING CATALOG - DRY '!3762:3762,"AAAAAH/+9+g=",0)</f>
        <v>0</v>
      </c>
      <c r="HZ169" t="e">
        <f>AND('STERLING CATALOG - DRY '!A3762,"AAAAAH/+9+k=")</f>
        <v>#VALUE!</v>
      </c>
      <c r="IA169" t="e">
        <f>AND('STERLING CATALOG - DRY '!B3762,"AAAAAH/+9+o=")</f>
        <v>#VALUE!</v>
      </c>
      <c r="IB169" t="e">
        <f>AND('STERLING CATALOG - DRY '!C3762,"AAAAAH/+9+s=")</f>
        <v>#VALUE!</v>
      </c>
      <c r="IC169" t="e">
        <f>AND('STERLING CATALOG - DRY '!D3762,"AAAAAH/+9+w=")</f>
        <v>#VALUE!</v>
      </c>
      <c r="ID169" t="e">
        <f>AND('STERLING CATALOG - DRY '!E3762,"AAAAAH/+9+0=")</f>
        <v>#VALUE!</v>
      </c>
      <c r="IE169" t="e">
        <f>AND('STERLING CATALOG - DRY '!F3762,"AAAAAH/+9+4=")</f>
        <v>#VALUE!</v>
      </c>
      <c r="IF169" t="e">
        <f>AND('STERLING CATALOG - DRY '!G3762,"AAAAAH/+9+8=")</f>
        <v>#VALUE!</v>
      </c>
      <c r="IG169" t="e">
        <f>AND('STERLING CATALOG - DRY '!H3762,"AAAAAH/+9/A=")</f>
        <v>#VALUE!</v>
      </c>
      <c r="IH169" t="e">
        <f>AND('STERLING CATALOG - DRY '!I3762,"AAAAAH/+9/E=")</f>
        <v>#VALUE!</v>
      </c>
      <c r="II169" t="e">
        <f>AND('STERLING CATALOG - DRY '!J3762,"AAAAAH/+9/I=")</f>
        <v>#VALUE!</v>
      </c>
      <c r="IJ169">
        <f>IF('STERLING CATALOG - DRY '!3763:3763,"AAAAAH/+9/M=",0)</f>
        <v>0</v>
      </c>
      <c r="IK169" t="e">
        <f>AND('STERLING CATALOG - DRY '!A3763,"AAAAAH/+9/Q=")</f>
        <v>#VALUE!</v>
      </c>
      <c r="IL169" t="e">
        <f>AND('STERLING CATALOG - DRY '!B3763,"AAAAAH/+9/U=")</f>
        <v>#VALUE!</v>
      </c>
      <c r="IM169" t="e">
        <f>AND('STERLING CATALOG - DRY '!C3763,"AAAAAH/+9/Y=")</f>
        <v>#VALUE!</v>
      </c>
      <c r="IN169" t="e">
        <f>AND('STERLING CATALOG - DRY '!D3763,"AAAAAH/+9/c=")</f>
        <v>#VALUE!</v>
      </c>
      <c r="IO169" t="e">
        <f>AND('STERLING CATALOG - DRY '!E3763,"AAAAAH/+9/g=")</f>
        <v>#VALUE!</v>
      </c>
      <c r="IP169" t="e">
        <f>AND('STERLING CATALOG - DRY '!F3763,"AAAAAH/+9/k=")</f>
        <v>#VALUE!</v>
      </c>
      <c r="IQ169" t="e">
        <f>AND('STERLING CATALOG - DRY '!G3763,"AAAAAH/+9/o=")</f>
        <v>#VALUE!</v>
      </c>
      <c r="IR169" t="e">
        <f>AND('STERLING CATALOG - DRY '!H3763,"AAAAAH/+9/s=")</f>
        <v>#VALUE!</v>
      </c>
      <c r="IS169" t="e">
        <f>AND('STERLING CATALOG - DRY '!I3763,"AAAAAH/+9/w=")</f>
        <v>#VALUE!</v>
      </c>
      <c r="IT169" t="e">
        <f>AND('STERLING CATALOG - DRY '!J3763,"AAAAAH/+9/0=")</f>
        <v>#VALUE!</v>
      </c>
      <c r="IU169">
        <f>IF('STERLING CATALOG - DRY '!3764:3764,"AAAAAH/+9/4=",0)</f>
        <v>0</v>
      </c>
      <c r="IV169" t="e">
        <f>AND('STERLING CATALOG - DRY '!A3764,"AAAAAH/+9/8=")</f>
        <v>#VALUE!</v>
      </c>
    </row>
    <row r="170" spans="1:256">
      <c r="A170" t="e">
        <f>AND('STERLING CATALOG - DRY '!B3764,"AAAAAGrH5gA=")</f>
        <v>#VALUE!</v>
      </c>
      <c r="B170" t="e">
        <f>AND('STERLING CATALOG - DRY '!C3764,"AAAAAGrH5gE=")</f>
        <v>#VALUE!</v>
      </c>
      <c r="C170" t="e">
        <f>AND('STERLING CATALOG - DRY '!D3764,"AAAAAGrH5gI=")</f>
        <v>#VALUE!</v>
      </c>
      <c r="D170" t="e">
        <f>AND('STERLING CATALOG - DRY '!E3764,"AAAAAGrH5gM=")</f>
        <v>#VALUE!</v>
      </c>
      <c r="E170" t="e">
        <f>AND('STERLING CATALOG - DRY '!F3764,"AAAAAGrH5gQ=")</f>
        <v>#VALUE!</v>
      </c>
      <c r="F170" t="e">
        <f>AND('STERLING CATALOG - DRY '!G3764,"AAAAAGrH5gU=")</f>
        <v>#VALUE!</v>
      </c>
      <c r="G170" t="e">
        <f>AND('STERLING CATALOG - DRY '!H3764,"AAAAAGrH5gY=")</f>
        <v>#VALUE!</v>
      </c>
      <c r="H170" t="e">
        <f>AND('STERLING CATALOG - DRY '!I3764,"AAAAAGrH5gc=")</f>
        <v>#VALUE!</v>
      </c>
      <c r="I170" t="e">
        <f>AND('STERLING CATALOG - DRY '!J3764,"AAAAAGrH5gg=")</f>
        <v>#VALUE!</v>
      </c>
      <c r="J170" t="e">
        <f>IF('STERLING CATALOG - DRY '!3765:3765,"AAAAAGrH5gk=",0)</f>
        <v>#VALUE!</v>
      </c>
      <c r="K170" t="e">
        <f>AND('STERLING CATALOG - DRY '!A3765,"AAAAAGrH5go=")</f>
        <v>#VALUE!</v>
      </c>
      <c r="L170" t="e">
        <f>AND('STERLING CATALOG - DRY '!B3765,"AAAAAGrH5gs=")</f>
        <v>#VALUE!</v>
      </c>
      <c r="M170" t="e">
        <f>AND('STERLING CATALOG - DRY '!C3765,"AAAAAGrH5gw=")</f>
        <v>#VALUE!</v>
      </c>
      <c r="N170" t="e">
        <f>AND('STERLING CATALOG - DRY '!D3765,"AAAAAGrH5g0=")</f>
        <v>#VALUE!</v>
      </c>
      <c r="O170" t="e">
        <f>AND('STERLING CATALOG - DRY '!E3765,"AAAAAGrH5g4=")</f>
        <v>#VALUE!</v>
      </c>
      <c r="P170" t="e">
        <f>AND('STERLING CATALOG - DRY '!F3765,"AAAAAGrH5g8=")</f>
        <v>#VALUE!</v>
      </c>
      <c r="Q170" t="e">
        <f>AND('STERLING CATALOG - DRY '!G3765,"AAAAAGrH5hA=")</f>
        <v>#VALUE!</v>
      </c>
      <c r="R170" t="e">
        <f>AND('STERLING CATALOG - DRY '!H3765,"AAAAAGrH5hE=")</f>
        <v>#VALUE!</v>
      </c>
      <c r="S170" t="e">
        <f>AND('STERLING CATALOG - DRY '!I3765,"AAAAAGrH5hI=")</f>
        <v>#VALUE!</v>
      </c>
      <c r="T170" t="e">
        <f>AND('STERLING CATALOG - DRY '!J3765,"AAAAAGrH5hM=")</f>
        <v>#VALUE!</v>
      </c>
      <c r="U170">
        <f>IF('STERLING CATALOG - DRY '!3766:3766,"AAAAAGrH5hQ=",0)</f>
        <v>0</v>
      </c>
      <c r="V170" t="e">
        <f>AND('STERLING CATALOG - DRY '!A3766,"AAAAAGrH5hU=")</f>
        <v>#VALUE!</v>
      </c>
      <c r="W170" t="e">
        <f>AND('STERLING CATALOG - DRY '!B3766,"AAAAAGrH5hY=")</f>
        <v>#VALUE!</v>
      </c>
      <c r="X170" t="e">
        <f>AND('STERLING CATALOG - DRY '!C3766,"AAAAAGrH5hc=")</f>
        <v>#VALUE!</v>
      </c>
      <c r="Y170" t="e">
        <f>AND('STERLING CATALOG - DRY '!D3766,"AAAAAGrH5hg=")</f>
        <v>#VALUE!</v>
      </c>
      <c r="Z170" t="e">
        <f>AND('STERLING CATALOG - DRY '!E3766,"AAAAAGrH5hk=")</f>
        <v>#VALUE!</v>
      </c>
      <c r="AA170" t="e">
        <f>AND('STERLING CATALOG - DRY '!F3766,"AAAAAGrH5ho=")</f>
        <v>#VALUE!</v>
      </c>
      <c r="AB170" t="e">
        <f>AND('STERLING CATALOG - DRY '!G3766,"AAAAAGrH5hs=")</f>
        <v>#VALUE!</v>
      </c>
      <c r="AC170" t="e">
        <f>AND('STERLING CATALOG - DRY '!H3766,"AAAAAGrH5hw=")</f>
        <v>#VALUE!</v>
      </c>
      <c r="AD170" t="e">
        <f>AND('STERLING CATALOG - DRY '!I3766,"AAAAAGrH5h0=")</f>
        <v>#VALUE!</v>
      </c>
      <c r="AE170" t="e">
        <f>AND('STERLING CATALOG - DRY '!J3766,"AAAAAGrH5h4=")</f>
        <v>#VALUE!</v>
      </c>
      <c r="AF170">
        <f>IF('STERLING CATALOG - DRY '!3767:3767,"AAAAAGrH5h8=",0)</f>
        <v>0</v>
      </c>
      <c r="AG170" t="e">
        <f>AND('STERLING CATALOG - DRY '!A3767,"AAAAAGrH5iA=")</f>
        <v>#VALUE!</v>
      </c>
      <c r="AH170" t="e">
        <f>AND('STERLING CATALOG - DRY '!B3767,"AAAAAGrH5iE=")</f>
        <v>#VALUE!</v>
      </c>
      <c r="AI170" t="e">
        <f>AND('STERLING CATALOG - DRY '!C3767,"AAAAAGrH5iI=")</f>
        <v>#VALUE!</v>
      </c>
      <c r="AJ170" t="e">
        <f>AND('STERLING CATALOG - DRY '!D3767,"AAAAAGrH5iM=")</f>
        <v>#VALUE!</v>
      </c>
      <c r="AK170" t="e">
        <f>AND('STERLING CATALOG - DRY '!E3767,"AAAAAGrH5iQ=")</f>
        <v>#VALUE!</v>
      </c>
      <c r="AL170" t="e">
        <f>AND('STERLING CATALOG - DRY '!F3767,"AAAAAGrH5iU=")</f>
        <v>#VALUE!</v>
      </c>
      <c r="AM170" t="e">
        <f>AND('STERLING CATALOG - DRY '!G3767,"AAAAAGrH5iY=")</f>
        <v>#VALUE!</v>
      </c>
      <c r="AN170" t="e">
        <f>AND('STERLING CATALOG - DRY '!H3767,"AAAAAGrH5ic=")</f>
        <v>#VALUE!</v>
      </c>
      <c r="AO170" t="e">
        <f>AND('STERLING CATALOG - DRY '!I3767,"AAAAAGrH5ig=")</f>
        <v>#VALUE!</v>
      </c>
      <c r="AP170" t="e">
        <f>AND('STERLING CATALOG - DRY '!J3767,"AAAAAGrH5ik=")</f>
        <v>#VALUE!</v>
      </c>
      <c r="AQ170">
        <f>IF('STERLING CATALOG - DRY '!3768:3768,"AAAAAGrH5io=",0)</f>
        <v>0</v>
      </c>
      <c r="AR170" t="e">
        <f>AND('STERLING CATALOG - DRY '!A3768,"AAAAAGrH5is=")</f>
        <v>#VALUE!</v>
      </c>
      <c r="AS170" t="e">
        <f>AND('STERLING CATALOG - DRY '!B3768,"AAAAAGrH5iw=")</f>
        <v>#VALUE!</v>
      </c>
      <c r="AT170" t="e">
        <f>AND('STERLING CATALOG - DRY '!C3768,"AAAAAGrH5i0=")</f>
        <v>#VALUE!</v>
      </c>
      <c r="AU170" t="e">
        <f>AND('STERLING CATALOG - DRY '!D3768,"AAAAAGrH5i4=")</f>
        <v>#VALUE!</v>
      </c>
      <c r="AV170" t="e">
        <f>AND('STERLING CATALOG - DRY '!E3768,"AAAAAGrH5i8=")</f>
        <v>#VALUE!</v>
      </c>
      <c r="AW170" t="e">
        <f>AND('STERLING CATALOG - DRY '!F3768,"AAAAAGrH5jA=")</f>
        <v>#VALUE!</v>
      </c>
      <c r="AX170" t="e">
        <f>AND('STERLING CATALOG - DRY '!G3768,"AAAAAGrH5jE=")</f>
        <v>#VALUE!</v>
      </c>
      <c r="AY170" t="e">
        <f>AND('STERLING CATALOG - DRY '!H3768,"AAAAAGrH5jI=")</f>
        <v>#VALUE!</v>
      </c>
      <c r="AZ170" t="e">
        <f>AND('STERLING CATALOG - DRY '!I3768,"AAAAAGrH5jM=")</f>
        <v>#VALUE!</v>
      </c>
      <c r="BA170" t="e">
        <f>AND('STERLING CATALOG - DRY '!J3768,"AAAAAGrH5jQ=")</f>
        <v>#VALUE!</v>
      </c>
      <c r="BB170">
        <f>IF('STERLING CATALOG - DRY '!3769:3769,"AAAAAGrH5jU=",0)</f>
        <v>0</v>
      </c>
      <c r="BC170" t="e">
        <f>AND('STERLING CATALOG - DRY '!A3769,"AAAAAGrH5jY=")</f>
        <v>#VALUE!</v>
      </c>
      <c r="BD170" t="e">
        <f>AND('STERLING CATALOG - DRY '!B3769,"AAAAAGrH5jc=")</f>
        <v>#VALUE!</v>
      </c>
      <c r="BE170" t="e">
        <f>AND('STERLING CATALOG - DRY '!C3769,"AAAAAGrH5jg=")</f>
        <v>#VALUE!</v>
      </c>
      <c r="BF170" t="e">
        <f>AND('STERLING CATALOG - DRY '!D3769,"AAAAAGrH5jk=")</f>
        <v>#VALUE!</v>
      </c>
      <c r="BG170" t="e">
        <f>AND('STERLING CATALOG - DRY '!E3769,"AAAAAGrH5jo=")</f>
        <v>#VALUE!</v>
      </c>
      <c r="BH170" t="e">
        <f>AND('STERLING CATALOG - DRY '!F3769,"AAAAAGrH5js=")</f>
        <v>#VALUE!</v>
      </c>
      <c r="BI170" t="e">
        <f>AND('STERLING CATALOG - DRY '!G3769,"AAAAAGrH5jw=")</f>
        <v>#VALUE!</v>
      </c>
      <c r="BJ170" t="e">
        <f>AND('STERLING CATALOG - DRY '!H3769,"AAAAAGrH5j0=")</f>
        <v>#VALUE!</v>
      </c>
      <c r="BK170" t="e">
        <f>AND('STERLING CATALOG - DRY '!I3769,"AAAAAGrH5j4=")</f>
        <v>#VALUE!</v>
      </c>
      <c r="BL170" t="e">
        <f>AND('STERLING CATALOG - DRY '!J3769,"AAAAAGrH5j8=")</f>
        <v>#VALUE!</v>
      </c>
      <c r="BM170">
        <f>IF('STERLING CATALOG - DRY '!3770:3770,"AAAAAGrH5kA=",0)</f>
        <v>0</v>
      </c>
      <c r="BN170" t="e">
        <f>AND('STERLING CATALOG - DRY '!A3770,"AAAAAGrH5kE=")</f>
        <v>#VALUE!</v>
      </c>
      <c r="BO170" t="e">
        <f>AND('STERLING CATALOG - DRY '!B3770,"AAAAAGrH5kI=")</f>
        <v>#VALUE!</v>
      </c>
      <c r="BP170" t="e">
        <f>AND('STERLING CATALOG - DRY '!C3770,"AAAAAGrH5kM=")</f>
        <v>#VALUE!</v>
      </c>
      <c r="BQ170" t="e">
        <f>AND('STERLING CATALOG - DRY '!D3770,"AAAAAGrH5kQ=")</f>
        <v>#VALUE!</v>
      </c>
      <c r="BR170" t="e">
        <f>AND('STERLING CATALOG - DRY '!E3770,"AAAAAGrH5kU=")</f>
        <v>#VALUE!</v>
      </c>
      <c r="BS170" t="e">
        <f>AND('STERLING CATALOG - DRY '!F3770,"AAAAAGrH5kY=")</f>
        <v>#VALUE!</v>
      </c>
      <c r="BT170" t="e">
        <f>AND('STERLING CATALOG - DRY '!G3770,"AAAAAGrH5kc=")</f>
        <v>#VALUE!</v>
      </c>
      <c r="BU170" t="e">
        <f>AND('STERLING CATALOG - DRY '!H3770,"AAAAAGrH5kg=")</f>
        <v>#VALUE!</v>
      </c>
      <c r="BV170" t="e">
        <f>AND('STERLING CATALOG - DRY '!I3770,"AAAAAGrH5kk=")</f>
        <v>#VALUE!</v>
      </c>
      <c r="BW170" t="e">
        <f>AND('STERLING CATALOG - DRY '!J3770,"AAAAAGrH5ko=")</f>
        <v>#VALUE!</v>
      </c>
      <c r="BX170">
        <f>IF('STERLING CATALOG - DRY '!3771:3771,"AAAAAGrH5ks=",0)</f>
        <v>0</v>
      </c>
      <c r="BY170" t="e">
        <f>AND('STERLING CATALOG - DRY '!A3771,"AAAAAGrH5kw=")</f>
        <v>#VALUE!</v>
      </c>
      <c r="BZ170" t="e">
        <f>AND('STERLING CATALOG - DRY '!B3771,"AAAAAGrH5k0=")</f>
        <v>#VALUE!</v>
      </c>
      <c r="CA170" t="e">
        <f>AND('STERLING CATALOG - DRY '!C3771,"AAAAAGrH5k4=")</f>
        <v>#VALUE!</v>
      </c>
      <c r="CB170" t="e">
        <f>AND('STERLING CATALOG - DRY '!D3771,"AAAAAGrH5k8=")</f>
        <v>#VALUE!</v>
      </c>
      <c r="CC170" t="e">
        <f>AND('STERLING CATALOG - DRY '!E3771,"AAAAAGrH5lA=")</f>
        <v>#VALUE!</v>
      </c>
      <c r="CD170" t="e">
        <f>AND('STERLING CATALOG - DRY '!F3771,"AAAAAGrH5lE=")</f>
        <v>#VALUE!</v>
      </c>
      <c r="CE170" t="e">
        <f>AND('STERLING CATALOG - DRY '!G3771,"AAAAAGrH5lI=")</f>
        <v>#VALUE!</v>
      </c>
      <c r="CF170" t="e">
        <f>AND('STERLING CATALOG - DRY '!H3771,"AAAAAGrH5lM=")</f>
        <v>#VALUE!</v>
      </c>
      <c r="CG170" t="e">
        <f>AND('STERLING CATALOG - DRY '!I3771,"AAAAAGrH5lQ=")</f>
        <v>#VALUE!</v>
      </c>
      <c r="CH170" t="e">
        <f>AND('STERLING CATALOG - DRY '!J3771,"AAAAAGrH5lU=")</f>
        <v>#VALUE!</v>
      </c>
      <c r="CI170">
        <f>IF('STERLING CATALOG - DRY '!3772:3772,"AAAAAGrH5lY=",0)</f>
        <v>0</v>
      </c>
      <c r="CJ170" t="e">
        <f>AND('STERLING CATALOG - DRY '!A3772,"AAAAAGrH5lc=")</f>
        <v>#VALUE!</v>
      </c>
      <c r="CK170" t="e">
        <f>AND('STERLING CATALOG - DRY '!B3772,"AAAAAGrH5lg=")</f>
        <v>#VALUE!</v>
      </c>
      <c r="CL170" t="e">
        <f>AND('STERLING CATALOG - DRY '!C3772,"AAAAAGrH5lk=")</f>
        <v>#VALUE!</v>
      </c>
      <c r="CM170" t="e">
        <f>AND('STERLING CATALOG - DRY '!D3772,"AAAAAGrH5lo=")</f>
        <v>#VALUE!</v>
      </c>
      <c r="CN170" t="e">
        <f>AND('STERLING CATALOG - DRY '!E3772,"AAAAAGrH5ls=")</f>
        <v>#VALUE!</v>
      </c>
      <c r="CO170" t="e">
        <f>AND('STERLING CATALOG - DRY '!F3772,"AAAAAGrH5lw=")</f>
        <v>#VALUE!</v>
      </c>
      <c r="CP170" t="e">
        <f>AND('STERLING CATALOG - DRY '!G3772,"AAAAAGrH5l0=")</f>
        <v>#VALUE!</v>
      </c>
      <c r="CQ170" t="e">
        <f>AND('STERLING CATALOG - DRY '!H3772,"AAAAAGrH5l4=")</f>
        <v>#VALUE!</v>
      </c>
      <c r="CR170" t="e">
        <f>AND('STERLING CATALOG - DRY '!I3772,"AAAAAGrH5l8=")</f>
        <v>#VALUE!</v>
      </c>
      <c r="CS170" t="e">
        <f>AND('STERLING CATALOG - DRY '!J3772,"AAAAAGrH5mA=")</f>
        <v>#VALUE!</v>
      </c>
      <c r="CT170">
        <f>IF('STERLING CATALOG - DRY '!3773:3773,"AAAAAGrH5mE=",0)</f>
        <v>0</v>
      </c>
      <c r="CU170" t="e">
        <f>AND('STERLING CATALOG - DRY '!A3773,"AAAAAGrH5mI=")</f>
        <v>#VALUE!</v>
      </c>
      <c r="CV170" t="e">
        <f>AND('STERLING CATALOG - DRY '!B3773,"AAAAAGrH5mM=")</f>
        <v>#VALUE!</v>
      </c>
      <c r="CW170" t="e">
        <f>AND('STERLING CATALOG - DRY '!C3773,"AAAAAGrH5mQ=")</f>
        <v>#VALUE!</v>
      </c>
      <c r="CX170" t="e">
        <f>AND('STERLING CATALOG - DRY '!D3773,"AAAAAGrH5mU=")</f>
        <v>#VALUE!</v>
      </c>
      <c r="CY170" t="e">
        <f>AND('STERLING CATALOG - DRY '!E3773,"AAAAAGrH5mY=")</f>
        <v>#VALUE!</v>
      </c>
      <c r="CZ170" t="e">
        <f>AND('STERLING CATALOG - DRY '!F3773,"AAAAAGrH5mc=")</f>
        <v>#VALUE!</v>
      </c>
      <c r="DA170" t="e">
        <f>AND('STERLING CATALOG - DRY '!G3773,"AAAAAGrH5mg=")</f>
        <v>#VALUE!</v>
      </c>
      <c r="DB170" t="e">
        <f>AND('STERLING CATALOG - DRY '!H3773,"AAAAAGrH5mk=")</f>
        <v>#VALUE!</v>
      </c>
      <c r="DC170" t="e">
        <f>AND('STERLING CATALOG - DRY '!I3773,"AAAAAGrH5mo=")</f>
        <v>#VALUE!</v>
      </c>
      <c r="DD170" t="e">
        <f>AND('STERLING CATALOG - DRY '!J3773,"AAAAAGrH5ms=")</f>
        <v>#VALUE!</v>
      </c>
      <c r="DE170">
        <f>IF('STERLING CATALOG - DRY '!3774:3774,"AAAAAGrH5mw=",0)</f>
        <v>0</v>
      </c>
      <c r="DF170" t="e">
        <f>AND('STERLING CATALOG - DRY '!A3774,"AAAAAGrH5m0=")</f>
        <v>#VALUE!</v>
      </c>
      <c r="DG170" t="e">
        <f>AND('STERLING CATALOG - DRY '!B3774,"AAAAAGrH5m4=")</f>
        <v>#VALUE!</v>
      </c>
      <c r="DH170" t="e">
        <f>AND('STERLING CATALOG - DRY '!C3774,"AAAAAGrH5m8=")</f>
        <v>#VALUE!</v>
      </c>
      <c r="DI170" t="e">
        <f>AND('STERLING CATALOG - DRY '!D3774,"AAAAAGrH5nA=")</f>
        <v>#VALUE!</v>
      </c>
      <c r="DJ170" t="e">
        <f>AND('STERLING CATALOG - DRY '!E3774,"AAAAAGrH5nE=")</f>
        <v>#VALUE!</v>
      </c>
      <c r="DK170" t="e">
        <f>AND('STERLING CATALOG - DRY '!F3774,"AAAAAGrH5nI=")</f>
        <v>#VALUE!</v>
      </c>
      <c r="DL170" t="e">
        <f>AND('STERLING CATALOG - DRY '!G3774,"AAAAAGrH5nM=")</f>
        <v>#VALUE!</v>
      </c>
      <c r="DM170" t="e">
        <f>AND('STERLING CATALOG - DRY '!H3774,"AAAAAGrH5nQ=")</f>
        <v>#VALUE!</v>
      </c>
      <c r="DN170" t="e">
        <f>AND('STERLING CATALOG - DRY '!I3774,"AAAAAGrH5nU=")</f>
        <v>#VALUE!</v>
      </c>
      <c r="DO170" t="e">
        <f>AND('STERLING CATALOG - DRY '!J3774,"AAAAAGrH5nY=")</f>
        <v>#VALUE!</v>
      </c>
      <c r="DP170">
        <f>IF('STERLING CATALOG - DRY '!3775:3775,"AAAAAGrH5nc=",0)</f>
        <v>0</v>
      </c>
      <c r="DQ170" t="e">
        <f>AND('STERLING CATALOG - DRY '!A3775,"AAAAAGrH5ng=")</f>
        <v>#VALUE!</v>
      </c>
      <c r="DR170" t="e">
        <f>AND('STERLING CATALOG - DRY '!B3775,"AAAAAGrH5nk=")</f>
        <v>#VALUE!</v>
      </c>
      <c r="DS170" t="e">
        <f>AND('STERLING CATALOG - DRY '!C3775,"AAAAAGrH5no=")</f>
        <v>#VALUE!</v>
      </c>
      <c r="DT170" t="e">
        <f>AND('STERLING CATALOG - DRY '!D3775,"AAAAAGrH5ns=")</f>
        <v>#VALUE!</v>
      </c>
      <c r="DU170" t="e">
        <f>AND('STERLING CATALOG - DRY '!E3775,"AAAAAGrH5nw=")</f>
        <v>#VALUE!</v>
      </c>
      <c r="DV170" t="e">
        <f>AND('STERLING CATALOG - DRY '!F3775,"AAAAAGrH5n0=")</f>
        <v>#VALUE!</v>
      </c>
      <c r="DW170" t="e">
        <f>AND('STERLING CATALOG - DRY '!G3775,"AAAAAGrH5n4=")</f>
        <v>#VALUE!</v>
      </c>
      <c r="DX170" t="e">
        <f>AND('STERLING CATALOG - DRY '!H3775,"AAAAAGrH5n8=")</f>
        <v>#VALUE!</v>
      </c>
      <c r="DY170" t="e">
        <f>AND('STERLING CATALOG - DRY '!I3775,"AAAAAGrH5oA=")</f>
        <v>#VALUE!</v>
      </c>
      <c r="DZ170" t="e">
        <f>AND('STERLING CATALOG - DRY '!J3775,"AAAAAGrH5oE=")</f>
        <v>#VALUE!</v>
      </c>
      <c r="EA170">
        <f>IF('STERLING CATALOG - DRY '!3776:3776,"AAAAAGrH5oI=",0)</f>
        <v>0</v>
      </c>
      <c r="EB170" t="e">
        <f>AND('STERLING CATALOG - DRY '!A3776,"AAAAAGrH5oM=")</f>
        <v>#VALUE!</v>
      </c>
      <c r="EC170" t="e">
        <f>AND('STERLING CATALOG - DRY '!B3776,"AAAAAGrH5oQ=")</f>
        <v>#VALUE!</v>
      </c>
      <c r="ED170" t="e">
        <f>AND('STERLING CATALOG - DRY '!C3776,"AAAAAGrH5oU=")</f>
        <v>#VALUE!</v>
      </c>
      <c r="EE170" t="e">
        <f>AND('STERLING CATALOG - DRY '!D3776,"AAAAAGrH5oY=")</f>
        <v>#VALUE!</v>
      </c>
      <c r="EF170" t="e">
        <f>AND('STERLING CATALOG - DRY '!E3776,"AAAAAGrH5oc=")</f>
        <v>#VALUE!</v>
      </c>
      <c r="EG170" t="e">
        <f>AND('STERLING CATALOG - DRY '!F3776,"AAAAAGrH5og=")</f>
        <v>#VALUE!</v>
      </c>
      <c r="EH170" t="e">
        <f>AND('STERLING CATALOG - DRY '!G3776,"AAAAAGrH5ok=")</f>
        <v>#VALUE!</v>
      </c>
      <c r="EI170" t="e">
        <f>AND('STERLING CATALOG - DRY '!H3776,"AAAAAGrH5oo=")</f>
        <v>#VALUE!</v>
      </c>
      <c r="EJ170" t="e">
        <f>AND('STERLING CATALOG - DRY '!I3776,"AAAAAGrH5os=")</f>
        <v>#VALUE!</v>
      </c>
      <c r="EK170" t="e">
        <f>AND('STERLING CATALOG - DRY '!J3776,"AAAAAGrH5ow=")</f>
        <v>#VALUE!</v>
      </c>
      <c r="EL170">
        <f>IF('STERLING CATALOG - DRY '!3777:3777,"AAAAAGrH5o0=",0)</f>
        <v>0</v>
      </c>
      <c r="EM170" t="e">
        <f>AND('STERLING CATALOG - DRY '!A3777,"AAAAAGrH5o4=")</f>
        <v>#VALUE!</v>
      </c>
      <c r="EN170" t="e">
        <f>AND('STERLING CATALOG - DRY '!B3777,"AAAAAGrH5o8=")</f>
        <v>#VALUE!</v>
      </c>
      <c r="EO170" t="e">
        <f>AND('STERLING CATALOG - DRY '!C3777,"AAAAAGrH5pA=")</f>
        <v>#VALUE!</v>
      </c>
      <c r="EP170" t="e">
        <f>AND('STERLING CATALOG - DRY '!D3777,"AAAAAGrH5pE=")</f>
        <v>#VALUE!</v>
      </c>
      <c r="EQ170" t="e">
        <f>AND('STERLING CATALOG - DRY '!E3777,"AAAAAGrH5pI=")</f>
        <v>#VALUE!</v>
      </c>
      <c r="ER170" t="e">
        <f>AND('STERLING CATALOG - DRY '!F3777,"AAAAAGrH5pM=")</f>
        <v>#VALUE!</v>
      </c>
      <c r="ES170" t="e">
        <f>AND('STERLING CATALOG - DRY '!G3777,"AAAAAGrH5pQ=")</f>
        <v>#VALUE!</v>
      </c>
      <c r="ET170" t="e">
        <f>AND('STERLING CATALOG - DRY '!H3777,"AAAAAGrH5pU=")</f>
        <v>#VALUE!</v>
      </c>
      <c r="EU170" t="e">
        <f>AND('STERLING CATALOG - DRY '!I3777,"AAAAAGrH5pY=")</f>
        <v>#VALUE!</v>
      </c>
      <c r="EV170" t="e">
        <f>AND('STERLING CATALOG - DRY '!J3777,"AAAAAGrH5pc=")</f>
        <v>#VALUE!</v>
      </c>
      <c r="EW170">
        <f>IF('STERLING CATALOG - DRY '!3778:3778,"AAAAAGrH5pg=",0)</f>
        <v>0</v>
      </c>
      <c r="EX170" t="e">
        <f>AND('STERLING CATALOG - DRY '!A3778,"AAAAAGrH5pk=")</f>
        <v>#VALUE!</v>
      </c>
      <c r="EY170" t="e">
        <f>AND('STERLING CATALOG - DRY '!B3778,"AAAAAGrH5po=")</f>
        <v>#VALUE!</v>
      </c>
      <c r="EZ170" t="e">
        <f>AND('STERLING CATALOG - DRY '!C3778,"AAAAAGrH5ps=")</f>
        <v>#VALUE!</v>
      </c>
      <c r="FA170" t="e">
        <f>AND('STERLING CATALOG - DRY '!D3778,"AAAAAGrH5pw=")</f>
        <v>#VALUE!</v>
      </c>
      <c r="FB170" t="e">
        <f>AND('STERLING CATALOG - DRY '!E3778,"AAAAAGrH5p0=")</f>
        <v>#VALUE!</v>
      </c>
      <c r="FC170" t="e">
        <f>AND('STERLING CATALOG - DRY '!F3778,"AAAAAGrH5p4=")</f>
        <v>#VALUE!</v>
      </c>
      <c r="FD170" t="e">
        <f>AND('STERLING CATALOG - DRY '!G3778,"AAAAAGrH5p8=")</f>
        <v>#VALUE!</v>
      </c>
      <c r="FE170" t="e">
        <f>AND('STERLING CATALOG - DRY '!H3778,"AAAAAGrH5qA=")</f>
        <v>#VALUE!</v>
      </c>
      <c r="FF170" t="e">
        <f>AND('STERLING CATALOG - DRY '!I3778,"AAAAAGrH5qE=")</f>
        <v>#VALUE!</v>
      </c>
      <c r="FG170" t="e">
        <f>AND('STERLING CATALOG - DRY '!J3778,"AAAAAGrH5qI=")</f>
        <v>#VALUE!</v>
      </c>
      <c r="FH170">
        <f>IF('STERLING CATALOG - DRY '!3779:3779,"AAAAAGrH5qM=",0)</f>
        <v>0</v>
      </c>
      <c r="FI170" t="e">
        <f>AND('STERLING CATALOG - DRY '!A3779,"AAAAAGrH5qQ=")</f>
        <v>#VALUE!</v>
      </c>
      <c r="FJ170" t="e">
        <f>AND('STERLING CATALOG - DRY '!B3779,"AAAAAGrH5qU=")</f>
        <v>#VALUE!</v>
      </c>
      <c r="FK170" t="e">
        <f>AND('STERLING CATALOG - DRY '!C3779,"AAAAAGrH5qY=")</f>
        <v>#VALUE!</v>
      </c>
      <c r="FL170" t="e">
        <f>AND('STERLING CATALOG - DRY '!D3779,"AAAAAGrH5qc=")</f>
        <v>#VALUE!</v>
      </c>
      <c r="FM170" t="e">
        <f>AND('STERLING CATALOG - DRY '!E3779,"AAAAAGrH5qg=")</f>
        <v>#VALUE!</v>
      </c>
      <c r="FN170" t="e">
        <f>AND('STERLING CATALOG - DRY '!F3779,"AAAAAGrH5qk=")</f>
        <v>#VALUE!</v>
      </c>
      <c r="FO170" t="e">
        <f>AND('STERLING CATALOG - DRY '!G3779,"AAAAAGrH5qo=")</f>
        <v>#VALUE!</v>
      </c>
      <c r="FP170" t="e">
        <f>AND('STERLING CATALOG - DRY '!H3779,"AAAAAGrH5qs=")</f>
        <v>#VALUE!</v>
      </c>
      <c r="FQ170" t="e">
        <f>AND('STERLING CATALOG - DRY '!I3779,"AAAAAGrH5qw=")</f>
        <v>#VALUE!</v>
      </c>
      <c r="FR170" t="e">
        <f>AND('STERLING CATALOG - DRY '!J3779,"AAAAAGrH5q0=")</f>
        <v>#VALUE!</v>
      </c>
      <c r="FS170">
        <f>IF('STERLING CATALOG - DRY '!3780:3780,"AAAAAGrH5q4=",0)</f>
        <v>0</v>
      </c>
      <c r="FT170" t="e">
        <f>AND('STERLING CATALOG - DRY '!A3780,"AAAAAGrH5q8=")</f>
        <v>#VALUE!</v>
      </c>
      <c r="FU170" t="e">
        <f>AND('STERLING CATALOG - DRY '!B3780,"AAAAAGrH5rA=")</f>
        <v>#VALUE!</v>
      </c>
      <c r="FV170" t="e">
        <f>AND('STERLING CATALOG - DRY '!C3780,"AAAAAGrH5rE=")</f>
        <v>#VALUE!</v>
      </c>
      <c r="FW170" t="e">
        <f>AND('STERLING CATALOG - DRY '!D3780,"AAAAAGrH5rI=")</f>
        <v>#VALUE!</v>
      </c>
      <c r="FX170" t="e">
        <f>AND('STERLING CATALOG - DRY '!E3780,"AAAAAGrH5rM=")</f>
        <v>#VALUE!</v>
      </c>
      <c r="FY170" t="e">
        <f>AND('STERLING CATALOG - DRY '!F3780,"AAAAAGrH5rQ=")</f>
        <v>#VALUE!</v>
      </c>
      <c r="FZ170" t="e">
        <f>AND('STERLING CATALOG - DRY '!G3780,"AAAAAGrH5rU=")</f>
        <v>#VALUE!</v>
      </c>
      <c r="GA170" t="e">
        <f>AND('STERLING CATALOG - DRY '!H3780,"AAAAAGrH5rY=")</f>
        <v>#VALUE!</v>
      </c>
      <c r="GB170" t="e">
        <f>AND('STERLING CATALOG - DRY '!I3780,"AAAAAGrH5rc=")</f>
        <v>#VALUE!</v>
      </c>
      <c r="GC170" t="e">
        <f>AND('STERLING CATALOG - DRY '!J3780,"AAAAAGrH5rg=")</f>
        <v>#VALUE!</v>
      </c>
      <c r="GD170">
        <f>IF('STERLING CATALOG - DRY '!3781:3781,"AAAAAGrH5rk=",0)</f>
        <v>0</v>
      </c>
      <c r="GE170" t="e">
        <f>AND('STERLING CATALOG - DRY '!A3781,"AAAAAGrH5ro=")</f>
        <v>#VALUE!</v>
      </c>
      <c r="GF170" t="e">
        <f>AND('STERLING CATALOG - DRY '!B3781,"AAAAAGrH5rs=")</f>
        <v>#VALUE!</v>
      </c>
      <c r="GG170" t="e">
        <f>AND('STERLING CATALOG - DRY '!C3781,"AAAAAGrH5rw=")</f>
        <v>#VALUE!</v>
      </c>
      <c r="GH170" t="e">
        <f>AND('STERLING CATALOG - DRY '!D3781,"AAAAAGrH5r0=")</f>
        <v>#VALUE!</v>
      </c>
      <c r="GI170" t="e">
        <f>AND('STERLING CATALOG - DRY '!E3781,"AAAAAGrH5r4=")</f>
        <v>#VALUE!</v>
      </c>
      <c r="GJ170" t="e">
        <f>AND('STERLING CATALOG - DRY '!F3781,"AAAAAGrH5r8=")</f>
        <v>#VALUE!</v>
      </c>
      <c r="GK170" t="e">
        <f>AND('STERLING CATALOG - DRY '!G3781,"AAAAAGrH5sA=")</f>
        <v>#VALUE!</v>
      </c>
      <c r="GL170" t="e">
        <f>AND('STERLING CATALOG - DRY '!H3781,"AAAAAGrH5sE=")</f>
        <v>#VALUE!</v>
      </c>
      <c r="GM170" t="e">
        <f>AND('STERLING CATALOG - DRY '!I3781,"AAAAAGrH5sI=")</f>
        <v>#VALUE!</v>
      </c>
      <c r="GN170" t="e">
        <f>AND('STERLING CATALOG - DRY '!J3781,"AAAAAGrH5sM=")</f>
        <v>#VALUE!</v>
      </c>
      <c r="GO170">
        <f>IF('STERLING CATALOG - DRY '!3782:3782,"AAAAAGrH5sQ=",0)</f>
        <v>0</v>
      </c>
      <c r="GP170" t="e">
        <f>AND('STERLING CATALOG - DRY '!A3782,"AAAAAGrH5sU=")</f>
        <v>#VALUE!</v>
      </c>
      <c r="GQ170" t="e">
        <f>AND('STERLING CATALOG - DRY '!B3782,"AAAAAGrH5sY=")</f>
        <v>#VALUE!</v>
      </c>
      <c r="GR170" t="e">
        <f>AND('STERLING CATALOG - DRY '!C3782,"AAAAAGrH5sc=")</f>
        <v>#VALUE!</v>
      </c>
      <c r="GS170" t="e">
        <f>AND('STERLING CATALOG - DRY '!D3782,"AAAAAGrH5sg=")</f>
        <v>#VALUE!</v>
      </c>
      <c r="GT170" t="e">
        <f>AND('STERLING CATALOG - DRY '!E3782,"AAAAAGrH5sk=")</f>
        <v>#VALUE!</v>
      </c>
      <c r="GU170" t="e">
        <f>AND('STERLING CATALOG - DRY '!F3782,"AAAAAGrH5so=")</f>
        <v>#VALUE!</v>
      </c>
      <c r="GV170" t="e">
        <f>AND('STERLING CATALOG - DRY '!G3782,"AAAAAGrH5ss=")</f>
        <v>#VALUE!</v>
      </c>
      <c r="GW170" t="e">
        <f>AND('STERLING CATALOG - DRY '!H3782,"AAAAAGrH5sw=")</f>
        <v>#VALUE!</v>
      </c>
      <c r="GX170" t="e">
        <f>AND('STERLING CATALOG - DRY '!I3782,"AAAAAGrH5s0=")</f>
        <v>#VALUE!</v>
      </c>
      <c r="GY170" t="e">
        <f>AND('STERLING CATALOG - DRY '!J3782,"AAAAAGrH5s4=")</f>
        <v>#VALUE!</v>
      </c>
      <c r="GZ170">
        <f>IF('STERLING CATALOG - DRY '!3783:3783,"AAAAAGrH5s8=",0)</f>
        <v>0</v>
      </c>
      <c r="HA170" t="e">
        <f>AND('STERLING CATALOG - DRY '!A3783,"AAAAAGrH5tA=")</f>
        <v>#VALUE!</v>
      </c>
      <c r="HB170" t="e">
        <f>AND('STERLING CATALOG - DRY '!B3783,"AAAAAGrH5tE=")</f>
        <v>#VALUE!</v>
      </c>
      <c r="HC170" t="e">
        <f>AND('STERLING CATALOG - DRY '!C3783,"AAAAAGrH5tI=")</f>
        <v>#VALUE!</v>
      </c>
      <c r="HD170" t="e">
        <f>AND('STERLING CATALOG - DRY '!D3783,"AAAAAGrH5tM=")</f>
        <v>#VALUE!</v>
      </c>
      <c r="HE170" t="e">
        <f>AND('STERLING CATALOG - DRY '!E3783,"AAAAAGrH5tQ=")</f>
        <v>#VALUE!</v>
      </c>
      <c r="HF170" t="e">
        <f>AND('STERLING CATALOG - DRY '!F3783,"AAAAAGrH5tU=")</f>
        <v>#VALUE!</v>
      </c>
      <c r="HG170" t="e">
        <f>AND('STERLING CATALOG - DRY '!G3783,"AAAAAGrH5tY=")</f>
        <v>#VALUE!</v>
      </c>
      <c r="HH170" t="e">
        <f>AND('STERLING CATALOG - DRY '!H3783,"AAAAAGrH5tc=")</f>
        <v>#VALUE!</v>
      </c>
      <c r="HI170" t="e">
        <f>AND('STERLING CATALOG - DRY '!I3783,"AAAAAGrH5tg=")</f>
        <v>#VALUE!</v>
      </c>
      <c r="HJ170" t="e">
        <f>AND('STERLING CATALOG - DRY '!J3783,"AAAAAGrH5tk=")</f>
        <v>#VALUE!</v>
      </c>
      <c r="HK170">
        <f>IF('STERLING CATALOG - DRY '!3784:3784,"AAAAAGrH5to=",0)</f>
        <v>0</v>
      </c>
      <c r="HL170" t="e">
        <f>AND('STERLING CATALOG - DRY '!A3784,"AAAAAGrH5ts=")</f>
        <v>#VALUE!</v>
      </c>
      <c r="HM170" t="e">
        <f>AND('STERLING CATALOG - DRY '!B3784,"AAAAAGrH5tw=")</f>
        <v>#VALUE!</v>
      </c>
      <c r="HN170" t="e">
        <f>AND('STERLING CATALOG - DRY '!C3784,"AAAAAGrH5t0=")</f>
        <v>#VALUE!</v>
      </c>
      <c r="HO170" t="e">
        <f>AND('STERLING CATALOG - DRY '!D3784,"AAAAAGrH5t4=")</f>
        <v>#VALUE!</v>
      </c>
      <c r="HP170" t="e">
        <f>AND('STERLING CATALOG - DRY '!E3784,"AAAAAGrH5t8=")</f>
        <v>#VALUE!</v>
      </c>
      <c r="HQ170" t="e">
        <f>AND('STERLING CATALOG - DRY '!F3784,"AAAAAGrH5uA=")</f>
        <v>#VALUE!</v>
      </c>
      <c r="HR170" t="e">
        <f>AND('STERLING CATALOG - DRY '!G3784,"AAAAAGrH5uE=")</f>
        <v>#VALUE!</v>
      </c>
      <c r="HS170" t="e">
        <f>AND('STERLING CATALOG - DRY '!H3784,"AAAAAGrH5uI=")</f>
        <v>#VALUE!</v>
      </c>
      <c r="HT170" t="e">
        <f>AND('STERLING CATALOG - DRY '!I3784,"AAAAAGrH5uM=")</f>
        <v>#VALUE!</v>
      </c>
      <c r="HU170" t="e">
        <f>AND('STERLING CATALOG - DRY '!J3784,"AAAAAGrH5uQ=")</f>
        <v>#VALUE!</v>
      </c>
      <c r="HV170">
        <f>IF('STERLING CATALOG - DRY '!3785:3785,"AAAAAGrH5uU=",0)</f>
        <v>0</v>
      </c>
      <c r="HW170" t="e">
        <f>AND('STERLING CATALOG - DRY '!A3785,"AAAAAGrH5uY=")</f>
        <v>#VALUE!</v>
      </c>
      <c r="HX170" t="e">
        <f>AND('STERLING CATALOG - DRY '!B3785,"AAAAAGrH5uc=")</f>
        <v>#VALUE!</v>
      </c>
      <c r="HY170" t="e">
        <f>AND('STERLING CATALOG - DRY '!C3785,"AAAAAGrH5ug=")</f>
        <v>#VALUE!</v>
      </c>
      <c r="HZ170" t="e">
        <f>AND('STERLING CATALOG - DRY '!D3785,"AAAAAGrH5uk=")</f>
        <v>#VALUE!</v>
      </c>
      <c r="IA170" t="e">
        <f>AND('STERLING CATALOG - DRY '!E3785,"AAAAAGrH5uo=")</f>
        <v>#VALUE!</v>
      </c>
      <c r="IB170" t="e">
        <f>AND('STERLING CATALOG - DRY '!F3785,"AAAAAGrH5us=")</f>
        <v>#VALUE!</v>
      </c>
      <c r="IC170" t="e">
        <f>AND('STERLING CATALOG - DRY '!G3785,"AAAAAGrH5uw=")</f>
        <v>#VALUE!</v>
      </c>
      <c r="ID170" t="e">
        <f>AND('STERLING CATALOG - DRY '!H3785,"AAAAAGrH5u0=")</f>
        <v>#VALUE!</v>
      </c>
      <c r="IE170" t="e">
        <f>AND('STERLING CATALOG - DRY '!I3785,"AAAAAGrH5u4=")</f>
        <v>#VALUE!</v>
      </c>
      <c r="IF170" t="e">
        <f>AND('STERLING CATALOG - DRY '!J3785,"AAAAAGrH5u8=")</f>
        <v>#VALUE!</v>
      </c>
      <c r="IG170">
        <f>IF('STERLING CATALOG - DRY '!3786:3786,"AAAAAGrH5vA=",0)</f>
        <v>0</v>
      </c>
      <c r="IH170" t="e">
        <f>AND('STERLING CATALOG - DRY '!A3786,"AAAAAGrH5vE=")</f>
        <v>#VALUE!</v>
      </c>
      <c r="II170" t="e">
        <f>AND('STERLING CATALOG - DRY '!B3786,"AAAAAGrH5vI=")</f>
        <v>#VALUE!</v>
      </c>
      <c r="IJ170" t="e">
        <f>AND('STERLING CATALOG - DRY '!C3786,"AAAAAGrH5vM=")</f>
        <v>#VALUE!</v>
      </c>
      <c r="IK170" t="e">
        <f>AND('STERLING CATALOG - DRY '!D3786,"AAAAAGrH5vQ=")</f>
        <v>#VALUE!</v>
      </c>
      <c r="IL170" t="e">
        <f>AND('STERLING CATALOG - DRY '!E3786,"AAAAAGrH5vU=")</f>
        <v>#VALUE!</v>
      </c>
      <c r="IM170" t="e">
        <f>AND('STERLING CATALOG - DRY '!F3786,"AAAAAGrH5vY=")</f>
        <v>#VALUE!</v>
      </c>
      <c r="IN170" t="e">
        <f>AND('STERLING CATALOG - DRY '!G3786,"AAAAAGrH5vc=")</f>
        <v>#VALUE!</v>
      </c>
      <c r="IO170" t="e">
        <f>AND('STERLING CATALOG - DRY '!H3786,"AAAAAGrH5vg=")</f>
        <v>#VALUE!</v>
      </c>
      <c r="IP170" t="e">
        <f>AND('STERLING CATALOG - DRY '!I3786,"AAAAAGrH5vk=")</f>
        <v>#VALUE!</v>
      </c>
      <c r="IQ170" t="e">
        <f>AND('STERLING CATALOG - DRY '!J3786,"AAAAAGrH5vo=")</f>
        <v>#VALUE!</v>
      </c>
      <c r="IR170">
        <f>IF('STERLING CATALOG - DRY '!3787:3787,"AAAAAGrH5vs=",0)</f>
        <v>0</v>
      </c>
      <c r="IS170" t="e">
        <f>AND('STERLING CATALOG - DRY '!A3787,"AAAAAGrH5vw=")</f>
        <v>#VALUE!</v>
      </c>
      <c r="IT170" t="e">
        <f>AND('STERLING CATALOG - DRY '!B3787,"AAAAAGrH5v0=")</f>
        <v>#VALUE!</v>
      </c>
      <c r="IU170" t="e">
        <f>AND('STERLING CATALOG - DRY '!C3787,"AAAAAGrH5v4=")</f>
        <v>#VALUE!</v>
      </c>
      <c r="IV170" t="e">
        <f>AND('STERLING CATALOG - DRY '!D3787,"AAAAAGrH5v8=")</f>
        <v>#VALUE!</v>
      </c>
    </row>
    <row r="171" spans="1:256">
      <c r="A171" t="e">
        <f>AND('STERLING CATALOG - DRY '!E3787,"AAAAAB+/jwA=")</f>
        <v>#VALUE!</v>
      </c>
      <c r="B171" t="e">
        <f>AND('STERLING CATALOG - DRY '!F3787,"AAAAAB+/jwE=")</f>
        <v>#VALUE!</v>
      </c>
      <c r="C171" t="e">
        <f>AND('STERLING CATALOG - DRY '!G3787,"AAAAAB+/jwI=")</f>
        <v>#VALUE!</v>
      </c>
      <c r="D171" t="e">
        <f>AND('STERLING CATALOG - DRY '!H3787,"AAAAAB+/jwM=")</f>
        <v>#VALUE!</v>
      </c>
      <c r="E171" t="e">
        <f>AND('STERLING CATALOG - DRY '!I3787,"AAAAAB+/jwQ=")</f>
        <v>#VALUE!</v>
      </c>
      <c r="F171" t="e">
        <f>AND('STERLING CATALOG - DRY '!J3787,"AAAAAB+/jwU=")</f>
        <v>#VALUE!</v>
      </c>
      <c r="G171" t="str">
        <f>IF('STERLING CATALOG - DRY '!3788:3788,"AAAAAB+/jwY=",0)</f>
        <v>AAAAAB+/jwY=</v>
      </c>
      <c r="H171" t="e">
        <f>AND('STERLING CATALOG - DRY '!A3788,"AAAAAB+/jwc=")</f>
        <v>#VALUE!</v>
      </c>
      <c r="I171" t="e">
        <f>AND('STERLING CATALOG - DRY '!B3788,"AAAAAB+/jwg=")</f>
        <v>#VALUE!</v>
      </c>
      <c r="J171" t="e">
        <f>AND('STERLING CATALOG - DRY '!C3788,"AAAAAB+/jwk=")</f>
        <v>#VALUE!</v>
      </c>
      <c r="K171" t="e">
        <f>AND('STERLING CATALOG - DRY '!D3788,"AAAAAB+/jwo=")</f>
        <v>#VALUE!</v>
      </c>
      <c r="L171" t="e">
        <f>AND('STERLING CATALOG - DRY '!E3788,"AAAAAB+/jws=")</f>
        <v>#VALUE!</v>
      </c>
      <c r="M171" t="e">
        <f>AND('STERLING CATALOG - DRY '!F3788,"AAAAAB+/jww=")</f>
        <v>#VALUE!</v>
      </c>
      <c r="N171" t="e">
        <f>AND('STERLING CATALOG - DRY '!G3788,"AAAAAB+/jw0=")</f>
        <v>#VALUE!</v>
      </c>
      <c r="O171" t="e">
        <f>AND('STERLING CATALOG - DRY '!H3788,"AAAAAB+/jw4=")</f>
        <v>#VALUE!</v>
      </c>
      <c r="P171" t="e">
        <f>AND('STERLING CATALOG - DRY '!I3788,"AAAAAB+/jw8=")</f>
        <v>#VALUE!</v>
      </c>
      <c r="Q171" t="e">
        <f>AND('STERLING CATALOG - DRY '!J3788,"AAAAAB+/jxA=")</f>
        <v>#VALUE!</v>
      </c>
      <c r="R171">
        <f>IF('STERLING CATALOG - DRY '!3789:3789,"AAAAAB+/jxE=",0)</f>
        <v>0</v>
      </c>
      <c r="S171" t="e">
        <f>AND('STERLING CATALOG - DRY '!A3789,"AAAAAB+/jxI=")</f>
        <v>#VALUE!</v>
      </c>
      <c r="T171" t="e">
        <f>AND('STERLING CATALOG - DRY '!B3789,"AAAAAB+/jxM=")</f>
        <v>#VALUE!</v>
      </c>
      <c r="U171" t="e">
        <f>AND('STERLING CATALOG - DRY '!C3789,"AAAAAB+/jxQ=")</f>
        <v>#VALUE!</v>
      </c>
      <c r="V171" t="e">
        <f>AND('STERLING CATALOG - DRY '!D3789,"AAAAAB+/jxU=")</f>
        <v>#VALUE!</v>
      </c>
      <c r="W171" t="e">
        <f>AND('STERLING CATALOG - DRY '!E3789,"AAAAAB+/jxY=")</f>
        <v>#VALUE!</v>
      </c>
      <c r="X171" t="e">
        <f>AND('STERLING CATALOG - DRY '!F3789,"AAAAAB+/jxc=")</f>
        <v>#VALUE!</v>
      </c>
      <c r="Y171" t="e">
        <f>AND('STERLING CATALOG - DRY '!G3789,"AAAAAB+/jxg=")</f>
        <v>#VALUE!</v>
      </c>
      <c r="Z171" t="e">
        <f>AND('STERLING CATALOG - DRY '!H3789,"AAAAAB+/jxk=")</f>
        <v>#VALUE!</v>
      </c>
      <c r="AA171" t="e">
        <f>AND('STERLING CATALOG - DRY '!I3789,"AAAAAB+/jxo=")</f>
        <v>#VALUE!</v>
      </c>
      <c r="AB171" t="e">
        <f>AND('STERLING CATALOG - DRY '!J3789,"AAAAAB+/jxs=")</f>
        <v>#VALUE!</v>
      </c>
      <c r="AC171">
        <f>IF('STERLING CATALOG - DRY '!3790:3790,"AAAAAB+/jxw=",0)</f>
        <v>0</v>
      </c>
      <c r="AD171" t="e">
        <f>AND('STERLING CATALOG - DRY '!A3790,"AAAAAB+/jx0=")</f>
        <v>#VALUE!</v>
      </c>
      <c r="AE171" t="e">
        <f>AND('STERLING CATALOG - DRY '!B3790,"AAAAAB+/jx4=")</f>
        <v>#VALUE!</v>
      </c>
      <c r="AF171" t="e">
        <f>AND('STERLING CATALOG - DRY '!C3790,"AAAAAB+/jx8=")</f>
        <v>#VALUE!</v>
      </c>
      <c r="AG171" t="e">
        <f>AND('STERLING CATALOG - DRY '!D3790,"AAAAAB+/jyA=")</f>
        <v>#VALUE!</v>
      </c>
      <c r="AH171" t="e">
        <f>AND('STERLING CATALOG - DRY '!E3790,"AAAAAB+/jyE=")</f>
        <v>#VALUE!</v>
      </c>
      <c r="AI171" t="e">
        <f>AND('STERLING CATALOG - DRY '!F3790,"AAAAAB+/jyI=")</f>
        <v>#VALUE!</v>
      </c>
      <c r="AJ171" t="e">
        <f>AND('STERLING CATALOG - DRY '!G3790,"AAAAAB+/jyM=")</f>
        <v>#VALUE!</v>
      </c>
      <c r="AK171" t="e">
        <f>AND('STERLING CATALOG - DRY '!H3790,"AAAAAB+/jyQ=")</f>
        <v>#VALUE!</v>
      </c>
      <c r="AL171" t="e">
        <f>AND('STERLING CATALOG - DRY '!I3790,"AAAAAB+/jyU=")</f>
        <v>#VALUE!</v>
      </c>
      <c r="AM171" t="e">
        <f>AND('STERLING CATALOG - DRY '!J3790,"AAAAAB+/jyY=")</f>
        <v>#VALUE!</v>
      </c>
      <c r="AN171">
        <f>IF('STERLING CATALOG - DRY '!3791:3791,"AAAAAB+/jyc=",0)</f>
        <v>0</v>
      </c>
      <c r="AO171" t="e">
        <f>AND('STERLING CATALOG - DRY '!A3791,"AAAAAB+/jyg=")</f>
        <v>#VALUE!</v>
      </c>
      <c r="AP171" t="e">
        <f>AND('STERLING CATALOG - DRY '!B3791,"AAAAAB+/jyk=")</f>
        <v>#VALUE!</v>
      </c>
      <c r="AQ171" t="e">
        <f>AND('STERLING CATALOG - DRY '!C3791,"AAAAAB+/jyo=")</f>
        <v>#VALUE!</v>
      </c>
      <c r="AR171" t="e">
        <f>AND('STERLING CATALOG - DRY '!D3791,"AAAAAB+/jys=")</f>
        <v>#VALUE!</v>
      </c>
      <c r="AS171" t="e">
        <f>AND('STERLING CATALOG - DRY '!E3791,"AAAAAB+/jyw=")</f>
        <v>#VALUE!</v>
      </c>
      <c r="AT171" t="e">
        <f>AND('STERLING CATALOG - DRY '!F3791,"AAAAAB+/jy0=")</f>
        <v>#VALUE!</v>
      </c>
      <c r="AU171" t="e">
        <f>AND('STERLING CATALOG - DRY '!G3791,"AAAAAB+/jy4=")</f>
        <v>#VALUE!</v>
      </c>
      <c r="AV171" t="e">
        <f>AND('STERLING CATALOG - DRY '!H3791,"AAAAAB+/jy8=")</f>
        <v>#VALUE!</v>
      </c>
      <c r="AW171" t="e">
        <f>AND('STERLING CATALOG - DRY '!I3791,"AAAAAB+/jzA=")</f>
        <v>#VALUE!</v>
      </c>
      <c r="AX171" t="e">
        <f>AND('STERLING CATALOG - DRY '!J3791,"AAAAAB+/jzE=")</f>
        <v>#VALUE!</v>
      </c>
      <c r="AY171">
        <f>IF('STERLING CATALOG - DRY '!3792:3792,"AAAAAB+/jzI=",0)</f>
        <v>0</v>
      </c>
      <c r="AZ171" t="e">
        <f>AND('STERLING CATALOG - DRY '!A3792,"AAAAAB+/jzM=")</f>
        <v>#VALUE!</v>
      </c>
      <c r="BA171" t="e">
        <f>AND('STERLING CATALOG - DRY '!B3792,"AAAAAB+/jzQ=")</f>
        <v>#VALUE!</v>
      </c>
      <c r="BB171" t="e">
        <f>AND('STERLING CATALOG - DRY '!C3792,"AAAAAB+/jzU=")</f>
        <v>#VALUE!</v>
      </c>
      <c r="BC171" t="e">
        <f>AND('STERLING CATALOG - DRY '!D3792,"AAAAAB+/jzY=")</f>
        <v>#VALUE!</v>
      </c>
      <c r="BD171" t="e">
        <f>AND('STERLING CATALOG - DRY '!E3792,"AAAAAB+/jzc=")</f>
        <v>#VALUE!</v>
      </c>
      <c r="BE171" t="e">
        <f>AND('STERLING CATALOG - DRY '!F3792,"AAAAAB+/jzg=")</f>
        <v>#VALUE!</v>
      </c>
      <c r="BF171" t="e">
        <f>AND('STERLING CATALOG - DRY '!G3792,"AAAAAB+/jzk=")</f>
        <v>#VALUE!</v>
      </c>
      <c r="BG171" t="e">
        <f>AND('STERLING CATALOG - DRY '!H3792,"AAAAAB+/jzo=")</f>
        <v>#VALUE!</v>
      </c>
      <c r="BH171" t="e">
        <f>AND('STERLING CATALOG - DRY '!I3792,"AAAAAB+/jzs=")</f>
        <v>#VALUE!</v>
      </c>
      <c r="BI171" t="e">
        <f>AND('STERLING CATALOG - DRY '!J3792,"AAAAAB+/jzw=")</f>
        <v>#VALUE!</v>
      </c>
      <c r="BJ171">
        <f>IF('STERLING CATALOG - DRY '!3793:3793,"AAAAAB+/jz0=",0)</f>
        <v>0</v>
      </c>
      <c r="BK171" t="e">
        <f>AND('STERLING CATALOG - DRY '!A3793,"AAAAAB+/jz4=")</f>
        <v>#VALUE!</v>
      </c>
      <c r="BL171" t="e">
        <f>AND('STERLING CATALOG - DRY '!B3793,"AAAAAB+/jz8=")</f>
        <v>#VALUE!</v>
      </c>
      <c r="BM171" t="e">
        <f>AND('STERLING CATALOG - DRY '!C3793,"AAAAAB+/j0A=")</f>
        <v>#VALUE!</v>
      </c>
      <c r="BN171" t="e">
        <f>AND('STERLING CATALOG - DRY '!D3793,"AAAAAB+/j0E=")</f>
        <v>#VALUE!</v>
      </c>
      <c r="BO171" t="e">
        <f>AND('STERLING CATALOG - DRY '!E3793,"AAAAAB+/j0I=")</f>
        <v>#VALUE!</v>
      </c>
      <c r="BP171" t="e">
        <f>AND('STERLING CATALOG - DRY '!F3793,"AAAAAB+/j0M=")</f>
        <v>#VALUE!</v>
      </c>
      <c r="BQ171" t="e">
        <f>AND('STERLING CATALOG - DRY '!G3793,"AAAAAB+/j0Q=")</f>
        <v>#VALUE!</v>
      </c>
      <c r="BR171" t="e">
        <f>AND('STERLING CATALOG - DRY '!H3793,"AAAAAB+/j0U=")</f>
        <v>#VALUE!</v>
      </c>
      <c r="BS171" t="e">
        <f>AND('STERLING CATALOG - DRY '!I3793,"AAAAAB+/j0Y=")</f>
        <v>#VALUE!</v>
      </c>
      <c r="BT171" t="e">
        <f>AND('STERLING CATALOG - DRY '!J3793,"AAAAAB+/j0c=")</f>
        <v>#VALUE!</v>
      </c>
      <c r="BU171">
        <f>IF('STERLING CATALOG - DRY '!3794:3794,"AAAAAB+/j0g=",0)</f>
        <v>0</v>
      </c>
      <c r="BV171" t="e">
        <f>AND('STERLING CATALOG - DRY '!A3794,"AAAAAB+/j0k=")</f>
        <v>#VALUE!</v>
      </c>
      <c r="BW171" t="e">
        <f>AND('STERLING CATALOG - DRY '!B3794,"AAAAAB+/j0o=")</f>
        <v>#VALUE!</v>
      </c>
      <c r="BX171" t="e">
        <f>AND('STERLING CATALOG - DRY '!C3794,"AAAAAB+/j0s=")</f>
        <v>#VALUE!</v>
      </c>
      <c r="BY171" t="e">
        <f>AND('STERLING CATALOG - DRY '!D3794,"AAAAAB+/j0w=")</f>
        <v>#VALUE!</v>
      </c>
      <c r="BZ171" t="e">
        <f>AND('STERLING CATALOG - DRY '!E3794,"AAAAAB+/j00=")</f>
        <v>#VALUE!</v>
      </c>
      <c r="CA171" t="e">
        <f>AND('STERLING CATALOG - DRY '!F3794,"AAAAAB+/j04=")</f>
        <v>#VALUE!</v>
      </c>
      <c r="CB171" t="e">
        <f>AND('STERLING CATALOG - DRY '!G3794,"AAAAAB+/j08=")</f>
        <v>#VALUE!</v>
      </c>
      <c r="CC171" t="e">
        <f>AND('STERLING CATALOG - DRY '!H3794,"AAAAAB+/j1A=")</f>
        <v>#VALUE!</v>
      </c>
      <c r="CD171" t="e">
        <f>AND('STERLING CATALOG - DRY '!I3794,"AAAAAB+/j1E=")</f>
        <v>#VALUE!</v>
      </c>
      <c r="CE171" t="e">
        <f>AND('STERLING CATALOG - DRY '!J3794,"AAAAAB+/j1I=")</f>
        <v>#VALUE!</v>
      </c>
      <c r="CF171">
        <f>IF('STERLING CATALOG - DRY '!3795:3795,"AAAAAB+/j1M=",0)</f>
        <v>0</v>
      </c>
      <c r="CG171" t="e">
        <f>AND('STERLING CATALOG - DRY '!A3795,"AAAAAB+/j1Q=")</f>
        <v>#VALUE!</v>
      </c>
      <c r="CH171" t="e">
        <f>AND('STERLING CATALOG - DRY '!B3795,"AAAAAB+/j1U=")</f>
        <v>#VALUE!</v>
      </c>
      <c r="CI171" t="e">
        <f>AND('STERLING CATALOG - DRY '!C3795,"AAAAAB+/j1Y=")</f>
        <v>#VALUE!</v>
      </c>
      <c r="CJ171" t="e">
        <f>AND('STERLING CATALOG - DRY '!D3795,"AAAAAB+/j1c=")</f>
        <v>#VALUE!</v>
      </c>
      <c r="CK171" t="e">
        <f>AND('STERLING CATALOG - DRY '!E3795,"AAAAAB+/j1g=")</f>
        <v>#VALUE!</v>
      </c>
      <c r="CL171" t="e">
        <f>AND('STERLING CATALOG - DRY '!F3795,"AAAAAB+/j1k=")</f>
        <v>#VALUE!</v>
      </c>
      <c r="CM171" t="e">
        <f>AND('STERLING CATALOG - DRY '!G3795,"AAAAAB+/j1o=")</f>
        <v>#VALUE!</v>
      </c>
      <c r="CN171" t="e">
        <f>AND('STERLING CATALOG - DRY '!H3795,"AAAAAB+/j1s=")</f>
        <v>#VALUE!</v>
      </c>
      <c r="CO171" t="e">
        <f>AND('STERLING CATALOG - DRY '!I3795,"AAAAAB+/j1w=")</f>
        <v>#VALUE!</v>
      </c>
      <c r="CP171" t="e">
        <f>AND('STERLING CATALOG - DRY '!J3795,"AAAAAB+/j10=")</f>
        <v>#VALUE!</v>
      </c>
      <c r="CQ171">
        <f>IF('STERLING CATALOG - DRY '!3796:3796,"AAAAAB+/j14=",0)</f>
        <v>0</v>
      </c>
      <c r="CR171" t="e">
        <f>AND('STERLING CATALOG - DRY '!A3796,"AAAAAB+/j18=")</f>
        <v>#VALUE!</v>
      </c>
      <c r="CS171" t="e">
        <f>AND('STERLING CATALOG - DRY '!B3796,"AAAAAB+/j2A=")</f>
        <v>#VALUE!</v>
      </c>
      <c r="CT171" t="e">
        <f>AND('STERLING CATALOG - DRY '!C3796,"AAAAAB+/j2E=")</f>
        <v>#VALUE!</v>
      </c>
      <c r="CU171" t="e">
        <f>AND('STERLING CATALOG - DRY '!D3796,"AAAAAB+/j2I=")</f>
        <v>#VALUE!</v>
      </c>
      <c r="CV171" t="e">
        <f>AND('STERLING CATALOG - DRY '!E3796,"AAAAAB+/j2M=")</f>
        <v>#VALUE!</v>
      </c>
      <c r="CW171" t="e">
        <f>AND('STERLING CATALOG - DRY '!F3796,"AAAAAB+/j2Q=")</f>
        <v>#VALUE!</v>
      </c>
      <c r="CX171" t="e">
        <f>AND('STERLING CATALOG - DRY '!G3796,"AAAAAB+/j2U=")</f>
        <v>#VALUE!</v>
      </c>
      <c r="CY171" t="e">
        <f>AND('STERLING CATALOG - DRY '!H3796,"AAAAAB+/j2Y=")</f>
        <v>#VALUE!</v>
      </c>
      <c r="CZ171" t="e">
        <f>AND('STERLING CATALOG - DRY '!I3796,"AAAAAB+/j2c=")</f>
        <v>#VALUE!</v>
      </c>
      <c r="DA171" t="e">
        <f>AND('STERLING CATALOG - DRY '!J3796,"AAAAAB+/j2g=")</f>
        <v>#VALUE!</v>
      </c>
      <c r="DB171">
        <f>IF('STERLING CATALOG - DRY '!3797:3797,"AAAAAB+/j2k=",0)</f>
        <v>0</v>
      </c>
      <c r="DC171" t="e">
        <f>AND('STERLING CATALOG - DRY '!A3797,"AAAAAB+/j2o=")</f>
        <v>#VALUE!</v>
      </c>
      <c r="DD171" t="e">
        <f>AND('STERLING CATALOG - DRY '!B3797,"AAAAAB+/j2s=")</f>
        <v>#VALUE!</v>
      </c>
      <c r="DE171" t="e">
        <f>AND('STERLING CATALOG - DRY '!C3797,"AAAAAB+/j2w=")</f>
        <v>#VALUE!</v>
      </c>
      <c r="DF171" t="e">
        <f>AND('STERLING CATALOG - DRY '!D3797,"AAAAAB+/j20=")</f>
        <v>#VALUE!</v>
      </c>
      <c r="DG171" t="e">
        <f>AND('STERLING CATALOG - DRY '!E3797,"AAAAAB+/j24=")</f>
        <v>#VALUE!</v>
      </c>
      <c r="DH171" t="e">
        <f>AND('STERLING CATALOG - DRY '!F3797,"AAAAAB+/j28=")</f>
        <v>#VALUE!</v>
      </c>
      <c r="DI171" t="e">
        <f>AND('STERLING CATALOG - DRY '!G3797,"AAAAAB+/j3A=")</f>
        <v>#VALUE!</v>
      </c>
      <c r="DJ171" t="e">
        <f>AND('STERLING CATALOG - DRY '!H3797,"AAAAAB+/j3E=")</f>
        <v>#VALUE!</v>
      </c>
      <c r="DK171" t="e">
        <f>AND('STERLING CATALOG - DRY '!I3797,"AAAAAB+/j3I=")</f>
        <v>#VALUE!</v>
      </c>
      <c r="DL171" t="e">
        <f>AND('STERLING CATALOG - DRY '!J3797,"AAAAAB+/j3M=")</f>
        <v>#VALUE!</v>
      </c>
      <c r="DM171">
        <f>IF('STERLING CATALOG - DRY '!3798:3798,"AAAAAB+/j3Q=",0)</f>
        <v>0</v>
      </c>
      <c r="DN171" t="e">
        <f>AND('STERLING CATALOG - DRY '!A3798,"AAAAAB+/j3U=")</f>
        <v>#VALUE!</v>
      </c>
      <c r="DO171" t="e">
        <f>AND('STERLING CATALOG - DRY '!B3798,"AAAAAB+/j3Y=")</f>
        <v>#VALUE!</v>
      </c>
      <c r="DP171" t="e">
        <f>AND('STERLING CATALOG - DRY '!C3798,"AAAAAB+/j3c=")</f>
        <v>#VALUE!</v>
      </c>
      <c r="DQ171" t="e">
        <f>AND('STERLING CATALOG - DRY '!D3798,"AAAAAB+/j3g=")</f>
        <v>#VALUE!</v>
      </c>
      <c r="DR171" t="e">
        <f>AND('STERLING CATALOG - DRY '!E3798,"AAAAAB+/j3k=")</f>
        <v>#VALUE!</v>
      </c>
      <c r="DS171" t="e">
        <f>AND('STERLING CATALOG - DRY '!F3798,"AAAAAB+/j3o=")</f>
        <v>#VALUE!</v>
      </c>
      <c r="DT171" t="e">
        <f>AND('STERLING CATALOG - DRY '!G3798,"AAAAAB+/j3s=")</f>
        <v>#VALUE!</v>
      </c>
      <c r="DU171" t="e">
        <f>AND('STERLING CATALOG - DRY '!H3798,"AAAAAB+/j3w=")</f>
        <v>#VALUE!</v>
      </c>
      <c r="DV171" t="e">
        <f>AND('STERLING CATALOG - DRY '!I3798,"AAAAAB+/j30=")</f>
        <v>#VALUE!</v>
      </c>
      <c r="DW171" t="e">
        <f>AND('STERLING CATALOG - DRY '!J3798,"AAAAAB+/j34=")</f>
        <v>#VALUE!</v>
      </c>
      <c r="DX171">
        <f>IF('STERLING CATALOG - DRY '!3799:3799,"AAAAAB+/j38=",0)</f>
        <v>0</v>
      </c>
      <c r="DY171" t="e">
        <f>AND('STERLING CATALOG - DRY '!A3799,"AAAAAB+/j4A=")</f>
        <v>#VALUE!</v>
      </c>
      <c r="DZ171" t="e">
        <f>AND('STERLING CATALOG - DRY '!B3799,"AAAAAB+/j4E=")</f>
        <v>#VALUE!</v>
      </c>
      <c r="EA171" t="e">
        <f>AND('STERLING CATALOG - DRY '!C3799,"AAAAAB+/j4I=")</f>
        <v>#VALUE!</v>
      </c>
      <c r="EB171" t="e">
        <f>AND('STERLING CATALOG - DRY '!D3799,"AAAAAB+/j4M=")</f>
        <v>#VALUE!</v>
      </c>
      <c r="EC171" t="e">
        <f>AND('STERLING CATALOG - DRY '!E3799,"AAAAAB+/j4Q=")</f>
        <v>#VALUE!</v>
      </c>
      <c r="ED171" t="e">
        <f>AND('STERLING CATALOG - DRY '!F3799,"AAAAAB+/j4U=")</f>
        <v>#VALUE!</v>
      </c>
      <c r="EE171" t="e">
        <f>AND('STERLING CATALOG - DRY '!G3799,"AAAAAB+/j4Y=")</f>
        <v>#VALUE!</v>
      </c>
      <c r="EF171" t="e">
        <f>AND('STERLING CATALOG - DRY '!H3799,"AAAAAB+/j4c=")</f>
        <v>#VALUE!</v>
      </c>
      <c r="EG171" t="e">
        <f>AND('STERLING CATALOG - DRY '!I3799,"AAAAAB+/j4g=")</f>
        <v>#VALUE!</v>
      </c>
      <c r="EH171" t="e">
        <f>AND('STERLING CATALOG - DRY '!J3799,"AAAAAB+/j4k=")</f>
        <v>#VALUE!</v>
      </c>
      <c r="EI171">
        <f>IF('STERLING CATALOG - DRY '!3800:3800,"AAAAAB+/j4o=",0)</f>
        <v>0</v>
      </c>
      <c r="EJ171" t="e">
        <f>AND('STERLING CATALOG - DRY '!A3800,"AAAAAB+/j4s=")</f>
        <v>#VALUE!</v>
      </c>
      <c r="EK171" t="e">
        <f>AND('STERLING CATALOG - DRY '!B3800,"AAAAAB+/j4w=")</f>
        <v>#VALUE!</v>
      </c>
      <c r="EL171" t="e">
        <f>AND('STERLING CATALOG - DRY '!C3800,"AAAAAB+/j40=")</f>
        <v>#VALUE!</v>
      </c>
      <c r="EM171" t="e">
        <f>AND('STERLING CATALOG - DRY '!D3800,"AAAAAB+/j44=")</f>
        <v>#VALUE!</v>
      </c>
      <c r="EN171" t="e">
        <f>AND('STERLING CATALOG - DRY '!E3800,"AAAAAB+/j48=")</f>
        <v>#VALUE!</v>
      </c>
      <c r="EO171" t="e">
        <f>AND('STERLING CATALOG - DRY '!F3800,"AAAAAB+/j5A=")</f>
        <v>#VALUE!</v>
      </c>
      <c r="EP171" t="e">
        <f>AND('STERLING CATALOG - DRY '!G3800,"AAAAAB+/j5E=")</f>
        <v>#VALUE!</v>
      </c>
      <c r="EQ171" t="e">
        <f>AND('STERLING CATALOG - DRY '!H3800,"AAAAAB+/j5I=")</f>
        <v>#VALUE!</v>
      </c>
      <c r="ER171" t="e">
        <f>AND('STERLING CATALOG - DRY '!I3800,"AAAAAB+/j5M=")</f>
        <v>#VALUE!</v>
      </c>
      <c r="ES171" t="e">
        <f>AND('STERLING CATALOG - DRY '!J3800,"AAAAAB+/j5Q=")</f>
        <v>#VALUE!</v>
      </c>
      <c r="ET171">
        <f>IF('STERLING CATALOG - DRY '!3801:3801,"AAAAAB+/j5U=",0)</f>
        <v>0</v>
      </c>
      <c r="EU171" t="e">
        <f>AND('STERLING CATALOG - DRY '!A3801,"AAAAAB+/j5Y=")</f>
        <v>#VALUE!</v>
      </c>
      <c r="EV171" t="e">
        <f>AND('STERLING CATALOG - DRY '!B3801,"AAAAAB+/j5c=")</f>
        <v>#VALUE!</v>
      </c>
      <c r="EW171" t="e">
        <f>AND('STERLING CATALOG - DRY '!C3801,"AAAAAB+/j5g=")</f>
        <v>#VALUE!</v>
      </c>
      <c r="EX171" t="e">
        <f>AND('STERLING CATALOG - DRY '!D3801,"AAAAAB+/j5k=")</f>
        <v>#VALUE!</v>
      </c>
      <c r="EY171" t="e">
        <f>AND('STERLING CATALOG - DRY '!E3801,"AAAAAB+/j5o=")</f>
        <v>#VALUE!</v>
      </c>
      <c r="EZ171" t="e">
        <f>AND('STERLING CATALOG - DRY '!F3801,"AAAAAB+/j5s=")</f>
        <v>#VALUE!</v>
      </c>
      <c r="FA171" t="e">
        <f>AND('STERLING CATALOG - DRY '!G3801,"AAAAAB+/j5w=")</f>
        <v>#VALUE!</v>
      </c>
      <c r="FB171" t="e">
        <f>AND('STERLING CATALOG - DRY '!H3801,"AAAAAB+/j50=")</f>
        <v>#VALUE!</v>
      </c>
      <c r="FC171" t="e">
        <f>AND('STERLING CATALOG - DRY '!I3801,"AAAAAB+/j54=")</f>
        <v>#VALUE!</v>
      </c>
      <c r="FD171" t="e">
        <f>AND('STERLING CATALOG - DRY '!J3801,"AAAAAB+/j58=")</f>
        <v>#VALUE!</v>
      </c>
      <c r="FE171">
        <f>IF('STERLING CATALOG - DRY '!3802:3802,"AAAAAB+/j6A=",0)</f>
        <v>0</v>
      </c>
      <c r="FF171" t="e">
        <f>AND('STERLING CATALOG - DRY '!A3802,"AAAAAB+/j6E=")</f>
        <v>#VALUE!</v>
      </c>
      <c r="FG171" t="e">
        <f>AND('STERLING CATALOG - DRY '!B3802,"AAAAAB+/j6I=")</f>
        <v>#VALUE!</v>
      </c>
      <c r="FH171" t="e">
        <f>AND('STERLING CATALOG - DRY '!C3802,"AAAAAB+/j6M=")</f>
        <v>#VALUE!</v>
      </c>
      <c r="FI171" t="e">
        <f>AND('STERLING CATALOG - DRY '!D3802,"AAAAAB+/j6Q=")</f>
        <v>#VALUE!</v>
      </c>
      <c r="FJ171" t="e">
        <f>AND('STERLING CATALOG - DRY '!E3802,"AAAAAB+/j6U=")</f>
        <v>#VALUE!</v>
      </c>
      <c r="FK171" t="e">
        <f>AND('STERLING CATALOG - DRY '!F3802,"AAAAAB+/j6Y=")</f>
        <v>#VALUE!</v>
      </c>
      <c r="FL171" t="e">
        <f>AND('STERLING CATALOG - DRY '!G3802,"AAAAAB+/j6c=")</f>
        <v>#VALUE!</v>
      </c>
      <c r="FM171" t="e">
        <f>AND('STERLING CATALOG - DRY '!H3802,"AAAAAB+/j6g=")</f>
        <v>#VALUE!</v>
      </c>
      <c r="FN171" t="e">
        <f>AND('STERLING CATALOG - DRY '!I3802,"AAAAAB+/j6k=")</f>
        <v>#VALUE!</v>
      </c>
      <c r="FO171" t="e">
        <f>AND('STERLING CATALOG - DRY '!J3802,"AAAAAB+/j6o=")</f>
        <v>#VALUE!</v>
      </c>
      <c r="FP171">
        <f>IF('STERLING CATALOG - DRY '!3803:3803,"AAAAAB+/j6s=",0)</f>
        <v>0</v>
      </c>
      <c r="FQ171" t="e">
        <f>AND('STERLING CATALOG - DRY '!A3803,"AAAAAB+/j6w=")</f>
        <v>#VALUE!</v>
      </c>
      <c r="FR171" t="e">
        <f>AND('STERLING CATALOG - DRY '!B3803,"AAAAAB+/j60=")</f>
        <v>#VALUE!</v>
      </c>
      <c r="FS171" t="e">
        <f>AND('STERLING CATALOG - DRY '!C3803,"AAAAAB+/j64=")</f>
        <v>#VALUE!</v>
      </c>
      <c r="FT171" t="e">
        <f>AND('STERLING CATALOG - DRY '!D3803,"AAAAAB+/j68=")</f>
        <v>#VALUE!</v>
      </c>
      <c r="FU171" t="e">
        <f>AND('STERLING CATALOG - DRY '!E3803,"AAAAAB+/j7A=")</f>
        <v>#VALUE!</v>
      </c>
      <c r="FV171" t="e">
        <f>AND('STERLING CATALOG - DRY '!F3803,"AAAAAB+/j7E=")</f>
        <v>#VALUE!</v>
      </c>
      <c r="FW171" t="e">
        <f>AND('STERLING CATALOG - DRY '!G3803,"AAAAAB+/j7I=")</f>
        <v>#VALUE!</v>
      </c>
      <c r="FX171" t="e">
        <f>AND('STERLING CATALOG - DRY '!H3803,"AAAAAB+/j7M=")</f>
        <v>#VALUE!</v>
      </c>
      <c r="FY171" t="e">
        <f>AND('STERLING CATALOG - DRY '!I3803,"AAAAAB+/j7Q=")</f>
        <v>#VALUE!</v>
      </c>
      <c r="FZ171" t="e">
        <f>AND('STERLING CATALOG - DRY '!J3803,"AAAAAB+/j7U=")</f>
        <v>#VALUE!</v>
      </c>
      <c r="GA171">
        <f>IF('STERLING CATALOG - DRY '!3804:3804,"AAAAAB+/j7Y=",0)</f>
        <v>0</v>
      </c>
      <c r="GB171" t="e">
        <f>AND('STERLING CATALOG - DRY '!A3804,"AAAAAB+/j7c=")</f>
        <v>#VALUE!</v>
      </c>
      <c r="GC171" t="e">
        <f>AND('STERLING CATALOG - DRY '!B3804,"AAAAAB+/j7g=")</f>
        <v>#VALUE!</v>
      </c>
      <c r="GD171" t="e">
        <f>AND('STERLING CATALOG - DRY '!C3804,"AAAAAB+/j7k=")</f>
        <v>#VALUE!</v>
      </c>
      <c r="GE171" t="e">
        <f>AND('STERLING CATALOG - DRY '!D3804,"AAAAAB+/j7o=")</f>
        <v>#VALUE!</v>
      </c>
      <c r="GF171" t="e">
        <f>AND('STERLING CATALOG - DRY '!E3804,"AAAAAB+/j7s=")</f>
        <v>#VALUE!</v>
      </c>
      <c r="GG171" t="e">
        <f>AND('STERLING CATALOG - DRY '!F3804,"AAAAAB+/j7w=")</f>
        <v>#VALUE!</v>
      </c>
      <c r="GH171" t="e">
        <f>AND('STERLING CATALOG - DRY '!G3804,"AAAAAB+/j70=")</f>
        <v>#VALUE!</v>
      </c>
      <c r="GI171" t="e">
        <f>AND('STERLING CATALOG - DRY '!H3804,"AAAAAB+/j74=")</f>
        <v>#VALUE!</v>
      </c>
      <c r="GJ171" t="e">
        <f>AND('STERLING CATALOG - DRY '!I3804,"AAAAAB+/j78=")</f>
        <v>#VALUE!</v>
      </c>
      <c r="GK171" t="e">
        <f>AND('STERLING CATALOG - DRY '!J3804,"AAAAAB+/j8A=")</f>
        <v>#VALUE!</v>
      </c>
      <c r="GL171">
        <f>IF('STERLING CATALOG - DRY '!3805:3805,"AAAAAB+/j8E=",0)</f>
        <v>0</v>
      </c>
      <c r="GM171" t="e">
        <f>AND('STERLING CATALOG - DRY '!A3805,"AAAAAB+/j8I=")</f>
        <v>#VALUE!</v>
      </c>
      <c r="GN171" t="e">
        <f>AND('STERLING CATALOG - DRY '!B3805,"AAAAAB+/j8M=")</f>
        <v>#VALUE!</v>
      </c>
      <c r="GO171" t="e">
        <f>AND('STERLING CATALOG - DRY '!C3805,"AAAAAB+/j8Q=")</f>
        <v>#VALUE!</v>
      </c>
      <c r="GP171" t="e">
        <f>AND('STERLING CATALOG - DRY '!D3805,"AAAAAB+/j8U=")</f>
        <v>#VALUE!</v>
      </c>
      <c r="GQ171" t="e">
        <f>AND('STERLING CATALOG - DRY '!E3805,"AAAAAB+/j8Y=")</f>
        <v>#VALUE!</v>
      </c>
      <c r="GR171" t="e">
        <f>AND('STERLING CATALOG - DRY '!F3805,"AAAAAB+/j8c=")</f>
        <v>#VALUE!</v>
      </c>
      <c r="GS171" t="e">
        <f>AND('STERLING CATALOG - DRY '!G3805,"AAAAAB+/j8g=")</f>
        <v>#VALUE!</v>
      </c>
      <c r="GT171" t="e">
        <f>AND('STERLING CATALOG - DRY '!H3805,"AAAAAB+/j8k=")</f>
        <v>#VALUE!</v>
      </c>
      <c r="GU171" t="e">
        <f>AND('STERLING CATALOG - DRY '!I3805,"AAAAAB+/j8o=")</f>
        <v>#VALUE!</v>
      </c>
      <c r="GV171" t="e">
        <f>AND('STERLING CATALOG - DRY '!J3805,"AAAAAB+/j8s=")</f>
        <v>#VALUE!</v>
      </c>
      <c r="GW171">
        <f>IF('STERLING CATALOG - DRY '!3806:3806,"AAAAAB+/j8w=",0)</f>
        <v>0</v>
      </c>
      <c r="GX171" t="e">
        <f>AND('STERLING CATALOG - DRY '!A3806,"AAAAAB+/j80=")</f>
        <v>#VALUE!</v>
      </c>
      <c r="GY171" t="e">
        <f>AND('STERLING CATALOG - DRY '!B3806,"AAAAAB+/j84=")</f>
        <v>#VALUE!</v>
      </c>
      <c r="GZ171" t="e">
        <f>AND('STERLING CATALOG - DRY '!C3806,"AAAAAB+/j88=")</f>
        <v>#VALUE!</v>
      </c>
      <c r="HA171" t="e">
        <f>AND('STERLING CATALOG - DRY '!D3806,"AAAAAB+/j9A=")</f>
        <v>#VALUE!</v>
      </c>
      <c r="HB171" t="e">
        <f>AND('STERLING CATALOG - DRY '!E3806,"AAAAAB+/j9E=")</f>
        <v>#VALUE!</v>
      </c>
      <c r="HC171" t="e">
        <f>AND('STERLING CATALOG - DRY '!F3806,"AAAAAB+/j9I=")</f>
        <v>#VALUE!</v>
      </c>
      <c r="HD171" t="e">
        <f>AND('STERLING CATALOG - DRY '!G3806,"AAAAAB+/j9M=")</f>
        <v>#VALUE!</v>
      </c>
      <c r="HE171" t="e">
        <f>AND('STERLING CATALOG - DRY '!H3806,"AAAAAB+/j9Q=")</f>
        <v>#VALUE!</v>
      </c>
      <c r="HF171" t="e">
        <f>AND('STERLING CATALOG - DRY '!I3806,"AAAAAB+/j9U=")</f>
        <v>#VALUE!</v>
      </c>
      <c r="HG171" t="e">
        <f>AND('STERLING CATALOG - DRY '!J3806,"AAAAAB+/j9Y=")</f>
        <v>#VALUE!</v>
      </c>
      <c r="HH171">
        <f>IF('STERLING CATALOG - DRY '!3807:3807,"AAAAAB+/j9c=",0)</f>
        <v>0</v>
      </c>
      <c r="HI171" t="e">
        <f>AND('STERLING CATALOG - DRY '!A3807,"AAAAAB+/j9g=")</f>
        <v>#VALUE!</v>
      </c>
      <c r="HJ171" t="e">
        <f>AND('STERLING CATALOG - DRY '!B3807,"AAAAAB+/j9k=")</f>
        <v>#VALUE!</v>
      </c>
      <c r="HK171" t="e">
        <f>AND('STERLING CATALOG - DRY '!C3807,"AAAAAB+/j9o=")</f>
        <v>#VALUE!</v>
      </c>
      <c r="HL171" t="e">
        <f>AND('STERLING CATALOG - DRY '!D3807,"AAAAAB+/j9s=")</f>
        <v>#VALUE!</v>
      </c>
      <c r="HM171" t="e">
        <f>AND('STERLING CATALOG - DRY '!E3807,"AAAAAB+/j9w=")</f>
        <v>#VALUE!</v>
      </c>
      <c r="HN171" t="e">
        <f>AND('STERLING CATALOG - DRY '!F3807,"AAAAAB+/j90=")</f>
        <v>#VALUE!</v>
      </c>
      <c r="HO171" t="e">
        <f>AND('STERLING CATALOG - DRY '!G3807,"AAAAAB+/j94=")</f>
        <v>#VALUE!</v>
      </c>
      <c r="HP171" t="e">
        <f>AND('STERLING CATALOG - DRY '!H3807,"AAAAAB+/j98=")</f>
        <v>#VALUE!</v>
      </c>
      <c r="HQ171" t="e">
        <f>AND('STERLING CATALOG - DRY '!I3807,"AAAAAB+/j+A=")</f>
        <v>#VALUE!</v>
      </c>
      <c r="HR171" t="e">
        <f>AND('STERLING CATALOG - DRY '!J3807,"AAAAAB+/j+E=")</f>
        <v>#VALUE!</v>
      </c>
      <c r="HS171">
        <f>IF('STERLING CATALOG - DRY '!3808:3808,"AAAAAB+/j+I=",0)</f>
        <v>0</v>
      </c>
      <c r="HT171" t="e">
        <f>AND('STERLING CATALOG - DRY '!A3808,"AAAAAB+/j+M=")</f>
        <v>#VALUE!</v>
      </c>
      <c r="HU171" t="e">
        <f>AND('STERLING CATALOG - DRY '!B3808,"AAAAAB+/j+Q=")</f>
        <v>#VALUE!</v>
      </c>
      <c r="HV171" t="e">
        <f>AND('STERLING CATALOG - DRY '!C3808,"AAAAAB+/j+U=")</f>
        <v>#VALUE!</v>
      </c>
      <c r="HW171" t="e">
        <f>AND('STERLING CATALOG - DRY '!D3808,"AAAAAB+/j+Y=")</f>
        <v>#VALUE!</v>
      </c>
      <c r="HX171" t="e">
        <f>AND('STERLING CATALOG - DRY '!E3808,"AAAAAB+/j+c=")</f>
        <v>#VALUE!</v>
      </c>
      <c r="HY171" t="e">
        <f>AND('STERLING CATALOG - DRY '!F3808,"AAAAAB+/j+g=")</f>
        <v>#VALUE!</v>
      </c>
      <c r="HZ171" t="e">
        <f>AND('STERLING CATALOG - DRY '!G3808,"AAAAAB+/j+k=")</f>
        <v>#VALUE!</v>
      </c>
      <c r="IA171" t="e">
        <f>AND('STERLING CATALOG - DRY '!H3808,"AAAAAB+/j+o=")</f>
        <v>#VALUE!</v>
      </c>
      <c r="IB171" t="e">
        <f>AND('STERLING CATALOG - DRY '!I3808,"AAAAAB+/j+s=")</f>
        <v>#VALUE!</v>
      </c>
      <c r="IC171" t="e">
        <f>AND('STERLING CATALOG - DRY '!J3808,"AAAAAB+/j+w=")</f>
        <v>#VALUE!</v>
      </c>
      <c r="ID171">
        <f>IF('STERLING CATALOG - DRY '!3809:3809,"AAAAAB+/j+0=",0)</f>
        <v>0</v>
      </c>
      <c r="IE171" t="e">
        <f>AND('STERLING CATALOG - DRY '!A3809,"AAAAAB+/j+4=")</f>
        <v>#VALUE!</v>
      </c>
      <c r="IF171" t="e">
        <f>AND('STERLING CATALOG - DRY '!B3809,"AAAAAB+/j+8=")</f>
        <v>#VALUE!</v>
      </c>
      <c r="IG171" t="e">
        <f>AND('STERLING CATALOG - DRY '!C3809,"AAAAAB+/j/A=")</f>
        <v>#VALUE!</v>
      </c>
      <c r="IH171" t="e">
        <f>AND('STERLING CATALOG - DRY '!D3809,"AAAAAB+/j/E=")</f>
        <v>#VALUE!</v>
      </c>
      <c r="II171" t="e">
        <f>AND('STERLING CATALOG - DRY '!E3809,"AAAAAB+/j/I=")</f>
        <v>#VALUE!</v>
      </c>
      <c r="IJ171" t="e">
        <f>AND('STERLING CATALOG - DRY '!F3809,"AAAAAB+/j/M=")</f>
        <v>#VALUE!</v>
      </c>
      <c r="IK171" t="e">
        <f>AND('STERLING CATALOG - DRY '!G3809,"AAAAAB+/j/Q=")</f>
        <v>#VALUE!</v>
      </c>
      <c r="IL171" t="e">
        <f>AND('STERLING CATALOG - DRY '!H3809,"AAAAAB+/j/U=")</f>
        <v>#VALUE!</v>
      </c>
      <c r="IM171" t="e">
        <f>AND('STERLING CATALOG - DRY '!I3809,"AAAAAB+/j/Y=")</f>
        <v>#VALUE!</v>
      </c>
      <c r="IN171" t="e">
        <f>AND('STERLING CATALOG - DRY '!J3809,"AAAAAB+/j/c=")</f>
        <v>#VALUE!</v>
      </c>
      <c r="IO171">
        <f>IF('STERLING CATALOG - DRY '!3810:3810,"AAAAAB+/j/g=",0)</f>
        <v>0</v>
      </c>
      <c r="IP171" t="e">
        <f>AND('STERLING CATALOG - DRY '!A3810,"AAAAAB+/j/k=")</f>
        <v>#VALUE!</v>
      </c>
      <c r="IQ171" t="e">
        <f>AND('STERLING CATALOG - DRY '!B3810,"AAAAAB+/j/o=")</f>
        <v>#VALUE!</v>
      </c>
      <c r="IR171" t="e">
        <f>AND('STERLING CATALOG - DRY '!C3810,"AAAAAB+/j/s=")</f>
        <v>#VALUE!</v>
      </c>
      <c r="IS171" t="e">
        <f>AND('STERLING CATALOG - DRY '!D3810,"AAAAAB+/j/w=")</f>
        <v>#VALUE!</v>
      </c>
      <c r="IT171" t="e">
        <f>AND('STERLING CATALOG - DRY '!E3810,"AAAAAB+/j/0=")</f>
        <v>#VALUE!</v>
      </c>
      <c r="IU171" t="e">
        <f>AND('STERLING CATALOG - DRY '!F3810,"AAAAAB+/j/4=")</f>
        <v>#VALUE!</v>
      </c>
      <c r="IV171" t="e">
        <f>AND('STERLING CATALOG - DRY '!G3810,"AAAAAB+/j/8=")</f>
        <v>#VALUE!</v>
      </c>
    </row>
    <row r="172" spans="1:256">
      <c r="A172" t="e">
        <f>AND('STERLING CATALOG - DRY '!H3810,"AAAAAFtdzQA=")</f>
        <v>#VALUE!</v>
      </c>
      <c r="B172" t="e">
        <f>AND('STERLING CATALOG - DRY '!I3810,"AAAAAFtdzQE=")</f>
        <v>#VALUE!</v>
      </c>
      <c r="C172" t="e">
        <f>AND('STERLING CATALOG - DRY '!J3810,"AAAAAFtdzQI=")</f>
        <v>#VALUE!</v>
      </c>
      <c r="D172" t="e">
        <f>IF('STERLING CATALOG - DRY '!3811:3811,"AAAAAFtdzQM=",0)</f>
        <v>#VALUE!</v>
      </c>
      <c r="E172" t="e">
        <f>AND('STERLING CATALOG - DRY '!A3811,"AAAAAFtdzQQ=")</f>
        <v>#VALUE!</v>
      </c>
      <c r="F172" t="e">
        <f>AND('STERLING CATALOG - DRY '!B3811,"AAAAAFtdzQU=")</f>
        <v>#VALUE!</v>
      </c>
      <c r="G172" t="e">
        <f>AND('STERLING CATALOG - DRY '!C3811,"AAAAAFtdzQY=")</f>
        <v>#VALUE!</v>
      </c>
      <c r="H172" t="e">
        <f>AND('STERLING CATALOG - DRY '!D3811,"AAAAAFtdzQc=")</f>
        <v>#VALUE!</v>
      </c>
      <c r="I172" t="e">
        <f>AND('STERLING CATALOG - DRY '!E3811,"AAAAAFtdzQg=")</f>
        <v>#VALUE!</v>
      </c>
      <c r="J172" t="e">
        <f>AND('STERLING CATALOG - DRY '!F3811,"AAAAAFtdzQk=")</f>
        <v>#VALUE!</v>
      </c>
      <c r="K172" t="e">
        <f>AND('STERLING CATALOG - DRY '!G3811,"AAAAAFtdzQo=")</f>
        <v>#VALUE!</v>
      </c>
      <c r="L172" t="e">
        <f>AND('STERLING CATALOG - DRY '!H3811,"AAAAAFtdzQs=")</f>
        <v>#VALUE!</v>
      </c>
      <c r="M172" t="e">
        <f>AND('STERLING CATALOG - DRY '!I3811,"AAAAAFtdzQw=")</f>
        <v>#VALUE!</v>
      </c>
      <c r="N172" t="e">
        <f>AND('STERLING CATALOG - DRY '!J3811,"AAAAAFtdzQ0=")</f>
        <v>#VALUE!</v>
      </c>
      <c r="O172">
        <f>IF('STERLING CATALOG - DRY '!3812:3812,"AAAAAFtdzQ4=",0)</f>
        <v>0</v>
      </c>
      <c r="P172" t="e">
        <f>AND('STERLING CATALOG - DRY '!A3812,"AAAAAFtdzQ8=")</f>
        <v>#VALUE!</v>
      </c>
      <c r="Q172" t="e">
        <f>AND('STERLING CATALOG - DRY '!B3812,"AAAAAFtdzRA=")</f>
        <v>#VALUE!</v>
      </c>
      <c r="R172" t="e">
        <f>AND('STERLING CATALOG - DRY '!C3812,"AAAAAFtdzRE=")</f>
        <v>#VALUE!</v>
      </c>
      <c r="S172" t="e">
        <f>AND('STERLING CATALOG - DRY '!D3812,"AAAAAFtdzRI=")</f>
        <v>#VALUE!</v>
      </c>
      <c r="T172" t="e">
        <f>AND('STERLING CATALOG - DRY '!E3812,"AAAAAFtdzRM=")</f>
        <v>#VALUE!</v>
      </c>
      <c r="U172" t="e">
        <f>AND('STERLING CATALOG - DRY '!F3812,"AAAAAFtdzRQ=")</f>
        <v>#VALUE!</v>
      </c>
      <c r="V172" t="e">
        <f>AND('STERLING CATALOG - DRY '!G3812,"AAAAAFtdzRU=")</f>
        <v>#VALUE!</v>
      </c>
      <c r="W172" t="e">
        <f>AND('STERLING CATALOG - DRY '!H3812,"AAAAAFtdzRY=")</f>
        <v>#VALUE!</v>
      </c>
      <c r="X172" t="e">
        <f>AND('STERLING CATALOG - DRY '!I3812,"AAAAAFtdzRc=")</f>
        <v>#VALUE!</v>
      </c>
      <c r="Y172" t="e">
        <f>AND('STERLING CATALOG - DRY '!J3812,"AAAAAFtdzRg=")</f>
        <v>#VALUE!</v>
      </c>
      <c r="Z172">
        <f>IF('STERLING CATALOG - DRY '!3813:3813,"AAAAAFtdzRk=",0)</f>
        <v>0</v>
      </c>
      <c r="AA172" t="e">
        <f>AND('STERLING CATALOG - DRY '!A3813,"AAAAAFtdzRo=")</f>
        <v>#VALUE!</v>
      </c>
      <c r="AB172" t="e">
        <f>AND('STERLING CATALOG - DRY '!B3813,"AAAAAFtdzRs=")</f>
        <v>#VALUE!</v>
      </c>
      <c r="AC172" t="e">
        <f>AND('STERLING CATALOG - DRY '!C3813,"AAAAAFtdzRw=")</f>
        <v>#VALUE!</v>
      </c>
      <c r="AD172" t="e">
        <f>AND('STERLING CATALOG - DRY '!D3813,"AAAAAFtdzR0=")</f>
        <v>#VALUE!</v>
      </c>
      <c r="AE172" t="e">
        <f>AND('STERLING CATALOG - DRY '!E3813,"AAAAAFtdzR4=")</f>
        <v>#VALUE!</v>
      </c>
      <c r="AF172" t="e">
        <f>AND('STERLING CATALOG - DRY '!F3813,"AAAAAFtdzR8=")</f>
        <v>#VALUE!</v>
      </c>
      <c r="AG172" t="e">
        <f>AND('STERLING CATALOG - DRY '!G3813,"AAAAAFtdzSA=")</f>
        <v>#VALUE!</v>
      </c>
      <c r="AH172" t="e">
        <f>AND('STERLING CATALOG - DRY '!H3813,"AAAAAFtdzSE=")</f>
        <v>#VALUE!</v>
      </c>
      <c r="AI172" t="e">
        <f>AND('STERLING CATALOG - DRY '!I3813,"AAAAAFtdzSI=")</f>
        <v>#VALUE!</v>
      </c>
      <c r="AJ172" t="e">
        <f>AND('STERLING CATALOG - DRY '!J3813,"AAAAAFtdzSM=")</f>
        <v>#VALUE!</v>
      </c>
      <c r="AK172">
        <f>IF('STERLING CATALOG - DRY '!3814:3814,"AAAAAFtdzSQ=",0)</f>
        <v>0</v>
      </c>
      <c r="AL172" t="e">
        <f>AND('STERLING CATALOG - DRY '!A3814,"AAAAAFtdzSU=")</f>
        <v>#VALUE!</v>
      </c>
      <c r="AM172" t="e">
        <f>AND('STERLING CATALOG - DRY '!B3814,"AAAAAFtdzSY=")</f>
        <v>#VALUE!</v>
      </c>
      <c r="AN172" t="e">
        <f>AND('STERLING CATALOG - DRY '!C3814,"AAAAAFtdzSc=")</f>
        <v>#VALUE!</v>
      </c>
      <c r="AO172" t="e">
        <f>AND('STERLING CATALOG - DRY '!D3814,"AAAAAFtdzSg=")</f>
        <v>#VALUE!</v>
      </c>
      <c r="AP172" t="e">
        <f>AND('STERLING CATALOG - DRY '!E3814,"AAAAAFtdzSk=")</f>
        <v>#VALUE!</v>
      </c>
      <c r="AQ172" t="e">
        <f>AND('STERLING CATALOG - DRY '!F3814,"AAAAAFtdzSo=")</f>
        <v>#VALUE!</v>
      </c>
      <c r="AR172" t="e">
        <f>AND('STERLING CATALOG - DRY '!G3814,"AAAAAFtdzSs=")</f>
        <v>#VALUE!</v>
      </c>
      <c r="AS172" t="e">
        <f>AND('STERLING CATALOG - DRY '!H3814,"AAAAAFtdzSw=")</f>
        <v>#VALUE!</v>
      </c>
      <c r="AT172" t="e">
        <f>AND('STERLING CATALOG - DRY '!I3814,"AAAAAFtdzS0=")</f>
        <v>#VALUE!</v>
      </c>
      <c r="AU172" t="e">
        <f>AND('STERLING CATALOG - DRY '!J3814,"AAAAAFtdzS4=")</f>
        <v>#VALUE!</v>
      </c>
      <c r="AV172">
        <f>IF('STERLING CATALOG - DRY '!3815:3815,"AAAAAFtdzS8=",0)</f>
        <v>0</v>
      </c>
      <c r="AW172" t="e">
        <f>AND('STERLING CATALOG - DRY '!A3815,"AAAAAFtdzTA=")</f>
        <v>#VALUE!</v>
      </c>
      <c r="AX172" t="e">
        <f>AND('STERLING CATALOG - DRY '!B3815,"AAAAAFtdzTE=")</f>
        <v>#VALUE!</v>
      </c>
      <c r="AY172" t="e">
        <f>AND('STERLING CATALOG - DRY '!C3815,"AAAAAFtdzTI=")</f>
        <v>#VALUE!</v>
      </c>
      <c r="AZ172" t="e">
        <f>AND('STERLING CATALOG - DRY '!D3815,"AAAAAFtdzTM=")</f>
        <v>#VALUE!</v>
      </c>
      <c r="BA172" t="e">
        <f>AND('STERLING CATALOG - DRY '!E3815,"AAAAAFtdzTQ=")</f>
        <v>#VALUE!</v>
      </c>
      <c r="BB172" t="e">
        <f>AND('STERLING CATALOG - DRY '!F3815,"AAAAAFtdzTU=")</f>
        <v>#VALUE!</v>
      </c>
      <c r="BC172" t="e">
        <f>AND('STERLING CATALOG - DRY '!G3815,"AAAAAFtdzTY=")</f>
        <v>#VALUE!</v>
      </c>
      <c r="BD172" t="e">
        <f>AND('STERLING CATALOG - DRY '!H3815,"AAAAAFtdzTc=")</f>
        <v>#VALUE!</v>
      </c>
      <c r="BE172" t="e">
        <f>AND('STERLING CATALOG - DRY '!I3815,"AAAAAFtdzTg=")</f>
        <v>#VALUE!</v>
      </c>
      <c r="BF172" t="e">
        <f>AND('STERLING CATALOG - DRY '!J3815,"AAAAAFtdzTk=")</f>
        <v>#VALUE!</v>
      </c>
      <c r="BG172">
        <f>IF('STERLING CATALOG - DRY '!3816:3816,"AAAAAFtdzTo=",0)</f>
        <v>0</v>
      </c>
      <c r="BH172" t="e">
        <f>AND('STERLING CATALOG - DRY '!A3816,"AAAAAFtdzTs=")</f>
        <v>#VALUE!</v>
      </c>
      <c r="BI172" t="e">
        <f>AND('STERLING CATALOG - DRY '!B3816,"AAAAAFtdzTw=")</f>
        <v>#VALUE!</v>
      </c>
      <c r="BJ172" t="e">
        <f>AND('STERLING CATALOG - DRY '!C3816,"AAAAAFtdzT0=")</f>
        <v>#VALUE!</v>
      </c>
      <c r="BK172" t="e">
        <f>AND('STERLING CATALOG - DRY '!D3816,"AAAAAFtdzT4=")</f>
        <v>#VALUE!</v>
      </c>
      <c r="BL172" t="e">
        <f>AND('STERLING CATALOG - DRY '!E3816,"AAAAAFtdzT8=")</f>
        <v>#VALUE!</v>
      </c>
      <c r="BM172" t="e">
        <f>AND('STERLING CATALOG - DRY '!F3816,"AAAAAFtdzUA=")</f>
        <v>#VALUE!</v>
      </c>
      <c r="BN172" t="e">
        <f>AND('STERLING CATALOG - DRY '!G3816,"AAAAAFtdzUE=")</f>
        <v>#VALUE!</v>
      </c>
      <c r="BO172" t="e">
        <f>AND('STERLING CATALOG - DRY '!H3816,"AAAAAFtdzUI=")</f>
        <v>#VALUE!</v>
      </c>
      <c r="BP172" t="e">
        <f>AND('STERLING CATALOG - DRY '!I3816,"AAAAAFtdzUM=")</f>
        <v>#VALUE!</v>
      </c>
      <c r="BQ172" t="e">
        <f>AND('STERLING CATALOG - DRY '!J3816,"AAAAAFtdzUQ=")</f>
        <v>#VALUE!</v>
      </c>
      <c r="BR172">
        <f>IF('STERLING CATALOG - DRY '!3817:3817,"AAAAAFtdzUU=",0)</f>
        <v>0</v>
      </c>
      <c r="BS172" t="e">
        <f>AND('STERLING CATALOG - DRY '!A3817,"AAAAAFtdzUY=")</f>
        <v>#VALUE!</v>
      </c>
      <c r="BT172" t="e">
        <f>AND('STERLING CATALOG - DRY '!B3817,"AAAAAFtdzUc=")</f>
        <v>#VALUE!</v>
      </c>
      <c r="BU172" t="e">
        <f>AND('STERLING CATALOG - DRY '!C3817,"AAAAAFtdzUg=")</f>
        <v>#VALUE!</v>
      </c>
      <c r="BV172" t="e">
        <f>AND('STERLING CATALOG - DRY '!D3817,"AAAAAFtdzUk=")</f>
        <v>#VALUE!</v>
      </c>
      <c r="BW172" t="e">
        <f>AND('STERLING CATALOG - DRY '!E3817,"AAAAAFtdzUo=")</f>
        <v>#VALUE!</v>
      </c>
      <c r="BX172" t="e">
        <f>AND('STERLING CATALOG - DRY '!F3817,"AAAAAFtdzUs=")</f>
        <v>#VALUE!</v>
      </c>
      <c r="BY172" t="e">
        <f>AND('STERLING CATALOG - DRY '!G3817,"AAAAAFtdzUw=")</f>
        <v>#VALUE!</v>
      </c>
      <c r="BZ172" t="e">
        <f>AND('STERLING CATALOG - DRY '!H3817,"AAAAAFtdzU0=")</f>
        <v>#VALUE!</v>
      </c>
      <c r="CA172" t="e">
        <f>AND('STERLING CATALOG - DRY '!I3817,"AAAAAFtdzU4=")</f>
        <v>#VALUE!</v>
      </c>
      <c r="CB172" t="e">
        <f>AND('STERLING CATALOG - DRY '!J3817,"AAAAAFtdzU8=")</f>
        <v>#VALUE!</v>
      </c>
      <c r="CC172">
        <f>IF('STERLING CATALOG - DRY '!3818:3818,"AAAAAFtdzVA=",0)</f>
        <v>0</v>
      </c>
      <c r="CD172" t="e">
        <f>AND('STERLING CATALOG - DRY '!A3818,"AAAAAFtdzVE=")</f>
        <v>#VALUE!</v>
      </c>
      <c r="CE172" t="e">
        <f>AND('STERLING CATALOG - DRY '!B3818,"AAAAAFtdzVI=")</f>
        <v>#VALUE!</v>
      </c>
      <c r="CF172" t="e">
        <f>AND('STERLING CATALOG - DRY '!C3818,"AAAAAFtdzVM=")</f>
        <v>#VALUE!</v>
      </c>
      <c r="CG172" t="e">
        <f>AND('STERLING CATALOG - DRY '!D3818,"AAAAAFtdzVQ=")</f>
        <v>#VALUE!</v>
      </c>
      <c r="CH172" t="e">
        <f>AND('STERLING CATALOG - DRY '!E3818,"AAAAAFtdzVU=")</f>
        <v>#VALUE!</v>
      </c>
      <c r="CI172" t="e">
        <f>AND('STERLING CATALOG - DRY '!F3818,"AAAAAFtdzVY=")</f>
        <v>#VALUE!</v>
      </c>
      <c r="CJ172" t="e">
        <f>AND('STERLING CATALOG - DRY '!G3818,"AAAAAFtdzVc=")</f>
        <v>#VALUE!</v>
      </c>
      <c r="CK172" t="e">
        <f>AND('STERLING CATALOG - DRY '!H3818,"AAAAAFtdzVg=")</f>
        <v>#VALUE!</v>
      </c>
      <c r="CL172" t="e">
        <f>AND('STERLING CATALOG - DRY '!I3818,"AAAAAFtdzVk=")</f>
        <v>#VALUE!</v>
      </c>
      <c r="CM172" t="e">
        <f>AND('STERLING CATALOG - DRY '!J3818,"AAAAAFtdzVo=")</f>
        <v>#VALUE!</v>
      </c>
      <c r="CN172">
        <f>IF('STERLING CATALOG - DRY '!3819:3819,"AAAAAFtdzVs=",0)</f>
        <v>0</v>
      </c>
      <c r="CO172" t="e">
        <f>AND('STERLING CATALOG - DRY '!A3819,"AAAAAFtdzVw=")</f>
        <v>#VALUE!</v>
      </c>
      <c r="CP172" t="e">
        <f>AND('STERLING CATALOG - DRY '!B3819,"AAAAAFtdzV0=")</f>
        <v>#VALUE!</v>
      </c>
      <c r="CQ172" t="e">
        <f>AND('STERLING CATALOG - DRY '!C3819,"AAAAAFtdzV4=")</f>
        <v>#VALUE!</v>
      </c>
      <c r="CR172" t="e">
        <f>AND('STERLING CATALOG - DRY '!D3819,"AAAAAFtdzV8=")</f>
        <v>#VALUE!</v>
      </c>
      <c r="CS172" t="e">
        <f>AND('STERLING CATALOG - DRY '!E3819,"AAAAAFtdzWA=")</f>
        <v>#VALUE!</v>
      </c>
      <c r="CT172" t="e">
        <f>AND('STERLING CATALOG - DRY '!F3819,"AAAAAFtdzWE=")</f>
        <v>#VALUE!</v>
      </c>
      <c r="CU172" t="e">
        <f>AND('STERLING CATALOG - DRY '!G3819,"AAAAAFtdzWI=")</f>
        <v>#VALUE!</v>
      </c>
      <c r="CV172" t="e">
        <f>AND('STERLING CATALOG - DRY '!H3819,"AAAAAFtdzWM=")</f>
        <v>#VALUE!</v>
      </c>
      <c r="CW172" t="e">
        <f>AND('STERLING CATALOG - DRY '!I3819,"AAAAAFtdzWQ=")</f>
        <v>#VALUE!</v>
      </c>
      <c r="CX172" t="e">
        <f>AND('STERLING CATALOG - DRY '!J3819,"AAAAAFtdzWU=")</f>
        <v>#VALUE!</v>
      </c>
      <c r="CY172">
        <f>IF('STERLING CATALOG - DRY '!3820:3820,"AAAAAFtdzWY=",0)</f>
        <v>0</v>
      </c>
      <c r="CZ172" t="e">
        <f>AND('STERLING CATALOG - DRY '!A3820,"AAAAAFtdzWc=")</f>
        <v>#VALUE!</v>
      </c>
      <c r="DA172" t="e">
        <f>AND('STERLING CATALOG - DRY '!B3820,"AAAAAFtdzWg=")</f>
        <v>#VALUE!</v>
      </c>
      <c r="DB172" t="e">
        <f>AND('STERLING CATALOG - DRY '!C3820,"AAAAAFtdzWk=")</f>
        <v>#VALUE!</v>
      </c>
      <c r="DC172" t="e">
        <f>AND('STERLING CATALOG - DRY '!D3820,"AAAAAFtdzWo=")</f>
        <v>#VALUE!</v>
      </c>
      <c r="DD172" t="e">
        <f>AND('STERLING CATALOG - DRY '!E3820,"AAAAAFtdzWs=")</f>
        <v>#VALUE!</v>
      </c>
      <c r="DE172" t="e">
        <f>AND('STERLING CATALOG - DRY '!F3820,"AAAAAFtdzWw=")</f>
        <v>#VALUE!</v>
      </c>
      <c r="DF172" t="e">
        <f>AND('STERLING CATALOG - DRY '!G3820,"AAAAAFtdzW0=")</f>
        <v>#VALUE!</v>
      </c>
      <c r="DG172" t="e">
        <f>AND('STERLING CATALOG - DRY '!H3820,"AAAAAFtdzW4=")</f>
        <v>#VALUE!</v>
      </c>
      <c r="DH172" t="e">
        <f>AND('STERLING CATALOG - DRY '!I3820,"AAAAAFtdzW8=")</f>
        <v>#VALUE!</v>
      </c>
      <c r="DI172" t="e">
        <f>AND('STERLING CATALOG - DRY '!J3820,"AAAAAFtdzXA=")</f>
        <v>#VALUE!</v>
      </c>
      <c r="DJ172">
        <f>IF('STERLING CATALOG - DRY '!3821:3821,"AAAAAFtdzXE=",0)</f>
        <v>0</v>
      </c>
      <c r="DK172" t="e">
        <f>AND('STERLING CATALOG - DRY '!A3821,"AAAAAFtdzXI=")</f>
        <v>#VALUE!</v>
      </c>
      <c r="DL172" t="e">
        <f>AND('STERLING CATALOG - DRY '!B3821,"AAAAAFtdzXM=")</f>
        <v>#VALUE!</v>
      </c>
      <c r="DM172" t="e">
        <f>AND('STERLING CATALOG - DRY '!C3821,"AAAAAFtdzXQ=")</f>
        <v>#VALUE!</v>
      </c>
      <c r="DN172" t="e">
        <f>AND('STERLING CATALOG - DRY '!D3821,"AAAAAFtdzXU=")</f>
        <v>#VALUE!</v>
      </c>
      <c r="DO172" t="e">
        <f>AND('STERLING CATALOG - DRY '!E3821,"AAAAAFtdzXY=")</f>
        <v>#VALUE!</v>
      </c>
      <c r="DP172" t="e">
        <f>AND('STERLING CATALOG - DRY '!F3821,"AAAAAFtdzXc=")</f>
        <v>#VALUE!</v>
      </c>
      <c r="DQ172" t="e">
        <f>AND('STERLING CATALOG - DRY '!G3821,"AAAAAFtdzXg=")</f>
        <v>#VALUE!</v>
      </c>
      <c r="DR172" t="e">
        <f>AND('STERLING CATALOG - DRY '!H3821,"AAAAAFtdzXk=")</f>
        <v>#VALUE!</v>
      </c>
      <c r="DS172" t="e">
        <f>AND('STERLING CATALOG - DRY '!I3821,"AAAAAFtdzXo=")</f>
        <v>#VALUE!</v>
      </c>
      <c r="DT172" t="e">
        <f>AND('STERLING CATALOG - DRY '!J3821,"AAAAAFtdzXs=")</f>
        <v>#VALUE!</v>
      </c>
      <c r="DU172">
        <f>IF('STERLING CATALOG - DRY '!3822:3822,"AAAAAFtdzXw=",0)</f>
        <v>0</v>
      </c>
      <c r="DV172" t="e">
        <f>AND('STERLING CATALOG - DRY '!A3822,"AAAAAFtdzX0=")</f>
        <v>#VALUE!</v>
      </c>
      <c r="DW172" t="e">
        <f>AND('STERLING CATALOG - DRY '!B3822,"AAAAAFtdzX4=")</f>
        <v>#VALUE!</v>
      </c>
      <c r="DX172" t="e">
        <f>AND('STERLING CATALOG - DRY '!C3822,"AAAAAFtdzX8=")</f>
        <v>#VALUE!</v>
      </c>
      <c r="DY172" t="e">
        <f>AND('STERLING CATALOG - DRY '!D3822,"AAAAAFtdzYA=")</f>
        <v>#VALUE!</v>
      </c>
      <c r="DZ172" t="e">
        <f>AND('STERLING CATALOG - DRY '!E3822,"AAAAAFtdzYE=")</f>
        <v>#VALUE!</v>
      </c>
      <c r="EA172" t="e">
        <f>AND('STERLING CATALOG - DRY '!F3822,"AAAAAFtdzYI=")</f>
        <v>#VALUE!</v>
      </c>
      <c r="EB172" t="e">
        <f>AND('STERLING CATALOG - DRY '!G3822,"AAAAAFtdzYM=")</f>
        <v>#VALUE!</v>
      </c>
      <c r="EC172" t="e">
        <f>AND('STERLING CATALOG - DRY '!H3822,"AAAAAFtdzYQ=")</f>
        <v>#VALUE!</v>
      </c>
      <c r="ED172" t="e">
        <f>AND('STERLING CATALOG - DRY '!I3822,"AAAAAFtdzYU=")</f>
        <v>#VALUE!</v>
      </c>
      <c r="EE172" t="e">
        <f>AND('STERLING CATALOG - DRY '!J3822,"AAAAAFtdzYY=")</f>
        <v>#VALUE!</v>
      </c>
      <c r="EF172">
        <f>IF('STERLING CATALOG - DRY '!3823:3823,"AAAAAFtdzYc=",0)</f>
        <v>0</v>
      </c>
      <c r="EG172" t="e">
        <f>AND('STERLING CATALOG - DRY '!A3823,"AAAAAFtdzYg=")</f>
        <v>#VALUE!</v>
      </c>
      <c r="EH172" t="e">
        <f>AND('STERLING CATALOG - DRY '!B3823,"AAAAAFtdzYk=")</f>
        <v>#VALUE!</v>
      </c>
      <c r="EI172" t="e">
        <f>AND('STERLING CATALOG - DRY '!C3823,"AAAAAFtdzYo=")</f>
        <v>#VALUE!</v>
      </c>
      <c r="EJ172" t="e">
        <f>AND('STERLING CATALOG - DRY '!D3823,"AAAAAFtdzYs=")</f>
        <v>#VALUE!</v>
      </c>
      <c r="EK172" t="e">
        <f>AND('STERLING CATALOG - DRY '!E3823,"AAAAAFtdzYw=")</f>
        <v>#VALUE!</v>
      </c>
      <c r="EL172" t="e">
        <f>AND('STERLING CATALOG - DRY '!F3823,"AAAAAFtdzY0=")</f>
        <v>#VALUE!</v>
      </c>
      <c r="EM172" t="e">
        <f>AND('STERLING CATALOG - DRY '!G3823,"AAAAAFtdzY4=")</f>
        <v>#VALUE!</v>
      </c>
      <c r="EN172" t="e">
        <f>AND('STERLING CATALOG - DRY '!H3823,"AAAAAFtdzY8=")</f>
        <v>#VALUE!</v>
      </c>
      <c r="EO172" t="e">
        <f>AND('STERLING CATALOG - DRY '!I3823,"AAAAAFtdzZA=")</f>
        <v>#VALUE!</v>
      </c>
      <c r="EP172" t="e">
        <f>AND('STERLING CATALOG - DRY '!J3823,"AAAAAFtdzZE=")</f>
        <v>#VALUE!</v>
      </c>
      <c r="EQ172">
        <f>IF('STERLING CATALOG - DRY '!3824:3824,"AAAAAFtdzZI=",0)</f>
        <v>0</v>
      </c>
      <c r="ER172" t="e">
        <f>AND('STERLING CATALOG - DRY '!A3824,"AAAAAFtdzZM=")</f>
        <v>#VALUE!</v>
      </c>
      <c r="ES172" t="e">
        <f>AND('STERLING CATALOG - DRY '!B3824,"AAAAAFtdzZQ=")</f>
        <v>#VALUE!</v>
      </c>
      <c r="ET172" t="e">
        <f>AND('STERLING CATALOG - DRY '!C3824,"AAAAAFtdzZU=")</f>
        <v>#VALUE!</v>
      </c>
      <c r="EU172" t="e">
        <f>AND('STERLING CATALOG - DRY '!D3824,"AAAAAFtdzZY=")</f>
        <v>#VALUE!</v>
      </c>
      <c r="EV172" t="e">
        <f>AND('STERLING CATALOG - DRY '!E3824,"AAAAAFtdzZc=")</f>
        <v>#VALUE!</v>
      </c>
      <c r="EW172" t="e">
        <f>AND('STERLING CATALOG - DRY '!F3824,"AAAAAFtdzZg=")</f>
        <v>#VALUE!</v>
      </c>
      <c r="EX172" t="e">
        <f>AND('STERLING CATALOG - DRY '!G3824,"AAAAAFtdzZk=")</f>
        <v>#VALUE!</v>
      </c>
      <c r="EY172" t="e">
        <f>AND('STERLING CATALOG - DRY '!H3824,"AAAAAFtdzZo=")</f>
        <v>#VALUE!</v>
      </c>
      <c r="EZ172" t="e">
        <f>AND('STERLING CATALOG - DRY '!I3824,"AAAAAFtdzZs=")</f>
        <v>#VALUE!</v>
      </c>
      <c r="FA172" t="e">
        <f>AND('STERLING CATALOG - DRY '!J3824,"AAAAAFtdzZw=")</f>
        <v>#VALUE!</v>
      </c>
      <c r="FB172">
        <f>IF('STERLING CATALOG - DRY '!3825:3825,"AAAAAFtdzZ0=",0)</f>
        <v>0</v>
      </c>
      <c r="FC172" t="e">
        <f>AND('STERLING CATALOG - DRY '!A3825,"AAAAAFtdzZ4=")</f>
        <v>#VALUE!</v>
      </c>
      <c r="FD172" t="e">
        <f>AND('STERLING CATALOG - DRY '!B3825,"AAAAAFtdzZ8=")</f>
        <v>#VALUE!</v>
      </c>
      <c r="FE172" t="e">
        <f>AND('STERLING CATALOG - DRY '!C3825,"AAAAAFtdzaA=")</f>
        <v>#VALUE!</v>
      </c>
      <c r="FF172" t="e">
        <f>AND('STERLING CATALOG - DRY '!D3825,"AAAAAFtdzaE=")</f>
        <v>#VALUE!</v>
      </c>
      <c r="FG172" t="e">
        <f>AND('STERLING CATALOG - DRY '!E3825,"AAAAAFtdzaI=")</f>
        <v>#VALUE!</v>
      </c>
      <c r="FH172" t="e">
        <f>AND('STERLING CATALOG - DRY '!F3825,"AAAAAFtdzaM=")</f>
        <v>#VALUE!</v>
      </c>
      <c r="FI172" t="e">
        <f>AND('STERLING CATALOG - DRY '!G3825,"AAAAAFtdzaQ=")</f>
        <v>#VALUE!</v>
      </c>
      <c r="FJ172" t="e">
        <f>AND('STERLING CATALOG - DRY '!H3825,"AAAAAFtdzaU=")</f>
        <v>#VALUE!</v>
      </c>
      <c r="FK172" t="e">
        <f>AND('STERLING CATALOG - DRY '!I3825,"AAAAAFtdzaY=")</f>
        <v>#VALUE!</v>
      </c>
      <c r="FL172" t="e">
        <f>AND('STERLING CATALOG - DRY '!J3825,"AAAAAFtdzac=")</f>
        <v>#VALUE!</v>
      </c>
      <c r="FM172">
        <f>IF('STERLING CATALOG - DRY '!3826:3826,"AAAAAFtdzag=",0)</f>
        <v>0</v>
      </c>
      <c r="FN172" t="e">
        <f>AND('STERLING CATALOG - DRY '!A3826,"AAAAAFtdzak=")</f>
        <v>#VALUE!</v>
      </c>
      <c r="FO172" t="e">
        <f>AND('STERLING CATALOG - DRY '!B3826,"AAAAAFtdzao=")</f>
        <v>#VALUE!</v>
      </c>
      <c r="FP172" t="e">
        <f>AND('STERLING CATALOG - DRY '!C3826,"AAAAAFtdzas=")</f>
        <v>#VALUE!</v>
      </c>
      <c r="FQ172" t="e">
        <f>AND('STERLING CATALOG - DRY '!D3826,"AAAAAFtdzaw=")</f>
        <v>#VALUE!</v>
      </c>
      <c r="FR172" t="e">
        <f>AND('STERLING CATALOG - DRY '!E3826,"AAAAAFtdza0=")</f>
        <v>#VALUE!</v>
      </c>
      <c r="FS172" t="e">
        <f>AND('STERLING CATALOG - DRY '!F3826,"AAAAAFtdza4=")</f>
        <v>#VALUE!</v>
      </c>
      <c r="FT172" t="e">
        <f>AND('STERLING CATALOG - DRY '!G3826,"AAAAAFtdza8=")</f>
        <v>#VALUE!</v>
      </c>
      <c r="FU172" t="e">
        <f>AND('STERLING CATALOG - DRY '!H3826,"AAAAAFtdzbA=")</f>
        <v>#VALUE!</v>
      </c>
      <c r="FV172" t="e">
        <f>AND('STERLING CATALOG - DRY '!I3826,"AAAAAFtdzbE=")</f>
        <v>#VALUE!</v>
      </c>
      <c r="FW172" t="e">
        <f>AND('STERLING CATALOG - DRY '!J3826,"AAAAAFtdzbI=")</f>
        <v>#VALUE!</v>
      </c>
      <c r="FX172">
        <f>IF('STERLING CATALOG - DRY '!3827:3827,"AAAAAFtdzbM=",0)</f>
        <v>0</v>
      </c>
      <c r="FY172" t="e">
        <f>AND('STERLING CATALOG - DRY '!A3827,"AAAAAFtdzbQ=")</f>
        <v>#VALUE!</v>
      </c>
      <c r="FZ172" t="e">
        <f>AND('STERLING CATALOG - DRY '!B3827,"AAAAAFtdzbU=")</f>
        <v>#VALUE!</v>
      </c>
      <c r="GA172" t="e">
        <f>AND('STERLING CATALOG - DRY '!C3827,"AAAAAFtdzbY=")</f>
        <v>#VALUE!</v>
      </c>
      <c r="GB172" t="e">
        <f>AND('STERLING CATALOG - DRY '!D3827,"AAAAAFtdzbc=")</f>
        <v>#VALUE!</v>
      </c>
      <c r="GC172" t="e">
        <f>AND('STERLING CATALOG - DRY '!E3827,"AAAAAFtdzbg=")</f>
        <v>#VALUE!</v>
      </c>
      <c r="GD172" t="e">
        <f>AND('STERLING CATALOG - DRY '!F3827,"AAAAAFtdzbk=")</f>
        <v>#VALUE!</v>
      </c>
      <c r="GE172" t="e">
        <f>AND('STERLING CATALOG - DRY '!G3827,"AAAAAFtdzbo=")</f>
        <v>#VALUE!</v>
      </c>
      <c r="GF172" t="e">
        <f>AND('STERLING CATALOG - DRY '!H3827,"AAAAAFtdzbs=")</f>
        <v>#VALUE!</v>
      </c>
      <c r="GG172" t="e">
        <f>AND('STERLING CATALOG - DRY '!I3827,"AAAAAFtdzbw=")</f>
        <v>#VALUE!</v>
      </c>
      <c r="GH172" t="e">
        <f>AND('STERLING CATALOG - DRY '!J3827,"AAAAAFtdzb0=")</f>
        <v>#VALUE!</v>
      </c>
      <c r="GI172">
        <f>IF('STERLING CATALOG - DRY '!3828:3828,"AAAAAFtdzb4=",0)</f>
        <v>0</v>
      </c>
      <c r="GJ172" t="e">
        <f>AND('STERLING CATALOG - DRY '!A3828,"AAAAAFtdzb8=")</f>
        <v>#VALUE!</v>
      </c>
      <c r="GK172" t="e">
        <f>AND('STERLING CATALOG - DRY '!B3828,"AAAAAFtdzcA=")</f>
        <v>#VALUE!</v>
      </c>
      <c r="GL172" t="e">
        <f>AND('STERLING CATALOG - DRY '!C3828,"AAAAAFtdzcE=")</f>
        <v>#VALUE!</v>
      </c>
      <c r="GM172" t="e">
        <f>AND('STERLING CATALOG - DRY '!D3828,"AAAAAFtdzcI=")</f>
        <v>#VALUE!</v>
      </c>
      <c r="GN172" t="e">
        <f>AND('STERLING CATALOG - DRY '!E3828,"AAAAAFtdzcM=")</f>
        <v>#VALUE!</v>
      </c>
      <c r="GO172" t="e">
        <f>AND('STERLING CATALOG - DRY '!F3828,"AAAAAFtdzcQ=")</f>
        <v>#VALUE!</v>
      </c>
      <c r="GP172" t="e">
        <f>AND('STERLING CATALOG - DRY '!G3828,"AAAAAFtdzcU=")</f>
        <v>#VALUE!</v>
      </c>
      <c r="GQ172" t="e">
        <f>AND('STERLING CATALOG - DRY '!H3828,"AAAAAFtdzcY=")</f>
        <v>#VALUE!</v>
      </c>
      <c r="GR172" t="e">
        <f>AND('STERLING CATALOG - DRY '!I3828,"AAAAAFtdzcc=")</f>
        <v>#VALUE!</v>
      </c>
      <c r="GS172" t="e">
        <f>AND('STERLING CATALOG - DRY '!J3828,"AAAAAFtdzcg=")</f>
        <v>#VALUE!</v>
      </c>
      <c r="GT172">
        <f>IF('STERLING CATALOG - DRY '!3829:3829,"AAAAAFtdzck=",0)</f>
        <v>0</v>
      </c>
      <c r="GU172" t="e">
        <f>AND('STERLING CATALOG - DRY '!A3829,"AAAAAFtdzco=")</f>
        <v>#VALUE!</v>
      </c>
      <c r="GV172" t="e">
        <f>AND('STERLING CATALOG - DRY '!B3829,"AAAAAFtdzcs=")</f>
        <v>#VALUE!</v>
      </c>
      <c r="GW172" t="e">
        <f>AND('STERLING CATALOG - DRY '!C3829,"AAAAAFtdzcw=")</f>
        <v>#VALUE!</v>
      </c>
      <c r="GX172" t="e">
        <f>AND('STERLING CATALOG - DRY '!D3829,"AAAAAFtdzc0=")</f>
        <v>#VALUE!</v>
      </c>
      <c r="GY172" t="e">
        <f>AND('STERLING CATALOG - DRY '!E3829,"AAAAAFtdzc4=")</f>
        <v>#VALUE!</v>
      </c>
      <c r="GZ172" t="e">
        <f>AND('STERLING CATALOG - DRY '!F3829,"AAAAAFtdzc8=")</f>
        <v>#VALUE!</v>
      </c>
      <c r="HA172" t="e">
        <f>AND('STERLING CATALOG - DRY '!G3829,"AAAAAFtdzdA=")</f>
        <v>#VALUE!</v>
      </c>
      <c r="HB172" t="e">
        <f>AND('STERLING CATALOG - DRY '!H3829,"AAAAAFtdzdE=")</f>
        <v>#VALUE!</v>
      </c>
      <c r="HC172" t="e">
        <f>AND('STERLING CATALOG - DRY '!I3829,"AAAAAFtdzdI=")</f>
        <v>#VALUE!</v>
      </c>
      <c r="HD172" t="e">
        <f>AND('STERLING CATALOG - DRY '!J3829,"AAAAAFtdzdM=")</f>
        <v>#VALUE!</v>
      </c>
      <c r="HE172">
        <f>IF('STERLING CATALOG - DRY '!3830:3830,"AAAAAFtdzdQ=",0)</f>
        <v>0</v>
      </c>
      <c r="HF172" t="e">
        <f>AND('STERLING CATALOG - DRY '!A3830,"AAAAAFtdzdU=")</f>
        <v>#VALUE!</v>
      </c>
      <c r="HG172" t="e">
        <f>AND('STERLING CATALOG - DRY '!B3830,"AAAAAFtdzdY=")</f>
        <v>#VALUE!</v>
      </c>
      <c r="HH172" t="e">
        <f>AND('STERLING CATALOG - DRY '!C3830,"AAAAAFtdzdc=")</f>
        <v>#VALUE!</v>
      </c>
      <c r="HI172" t="e">
        <f>AND('STERLING CATALOG - DRY '!D3830,"AAAAAFtdzdg=")</f>
        <v>#VALUE!</v>
      </c>
      <c r="HJ172" t="e">
        <f>AND('STERLING CATALOG - DRY '!E3830,"AAAAAFtdzdk=")</f>
        <v>#VALUE!</v>
      </c>
      <c r="HK172" t="e">
        <f>AND('STERLING CATALOG - DRY '!F3830,"AAAAAFtdzdo=")</f>
        <v>#VALUE!</v>
      </c>
      <c r="HL172" t="e">
        <f>AND('STERLING CATALOG - DRY '!G3830,"AAAAAFtdzds=")</f>
        <v>#VALUE!</v>
      </c>
      <c r="HM172" t="e">
        <f>AND('STERLING CATALOG - DRY '!H3830,"AAAAAFtdzdw=")</f>
        <v>#VALUE!</v>
      </c>
      <c r="HN172" t="e">
        <f>AND('STERLING CATALOG - DRY '!I3830,"AAAAAFtdzd0=")</f>
        <v>#VALUE!</v>
      </c>
      <c r="HO172" t="e">
        <f>AND('STERLING CATALOG - DRY '!J3830,"AAAAAFtdzd4=")</f>
        <v>#VALUE!</v>
      </c>
      <c r="HP172">
        <f>IF('STERLING CATALOG - DRY '!3831:3831,"AAAAAFtdzd8=",0)</f>
        <v>0</v>
      </c>
      <c r="HQ172" t="e">
        <f>AND('STERLING CATALOG - DRY '!A3831,"AAAAAFtdzeA=")</f>
        <v>#VALUE!</v>
      </c>
      <c r="HR172" t="e">
        <f>AND('STERLING CATALOG - DRY '!B3831,"AAAAAFtdzeE=")</f>
        <v>#VALUE!</v>
      </c>
      <c r="HS172" t="e">
        <f>AND('STERLING CATALOG - DRY '!C3831,"AAAAAFtdzeI=")</f>
        <v>#VALUE!</v>
      </c>
      <c r="HT172" t="e">
        <f>AND('STERLING CATALOG - DRY '!D3831,"AAAAAFtdzeM=")</f>
        <v>#VALUE!</v>
      </c>
      <c r="HU172" t="e">
        <f>AND('STERLING CATALOG - DRY '!E3831,"AAAAAFtdzeQ=")</f>
        <v>#VALUE!</v>
      </c>
      <c r="HV172" t="e">
        <f>AND('STERLING CATALOG - DRY '!F3831,"AAAAAFtdzeU=")</f>
        <v>#VALUE!</v>
      </c>
      <c r="HW172" t="e">
        <f>AND('STERLING CATALOG - DRY '!G3831,"AAAAAFtdzeY=")</f>
        <v>#VALUE!</v>
      </c>
      <c r="HX172" t="e">
        <f>AND('STERLING CATALOG - DRY '!H3831,"AAAAAFtdzec=")</f>
        <v>#VALUE!</v>
      </c>
      <c r="HY172" t="e">
        <f>AND('STERLING CATALOG - DRY '!I3831,"AAAAAFtdzeg=")</f>
        <v>#VALUE!</v>
      </c>
      <c r="HZ172" t="e">
        <f>AND('STERLING CATALOG - DRY '!J3831,"AAAAAFtdzek=")</f>
        <v>#VALUE!</v>
      </c>
      <c r="IA172">
        <f>IF('STERLING CATALOG - DRY '!3832:3832,"AAAAAFtdzeo=",0)</f>
        <v>0</v>
      </c>
      <c r="IB172" t="e">
        <f>AND('STERLING CATALOG - DRY '!A3832,"AAAAAFtdzes=")</f>
        <v>#VALUE!</v>
      </c>
      <c r="IC172" t="e">
        <f>AND('STERLING CATALOG - DRY '!B3832,"AAAAAFtdzew=")</f>
        <v>#VALUE!</v>
      </c>
      <c r="ID172" t="e">
        <f>AND('STERLING CATALOG - DRY '!C3832,"AAAAAFtdze0=")</f>
        <v>#VALUE!</v>
      </c>
      <c r="IE172" t="e">
        <f>AND('STERLING CATALOG - DRY '!D3832,"AAAAAFtdze4=")</f>
        <v>#VALUE!</v>
      </c>
      <c r="IF172" t="e">
        <f>AND('STERLING CATALOG - DRY '!E3832,"AAAAAFtdze8=")</f>
        <v>#VALUE!</v>
      </c>
      <c r="IG172" t="e">
        <f>AND('STERLING CATALOG - DRY '!F3832,"AAAAAFtdzfA=")</f>
        <v>#VALUE!</v>
      </c>
      <c r="IH172" t="e">
        <f>AND('STERLING CATALOG - DRY '!G3832,"AAAAAFtdzfE=")</f>
        <v>#VALUE!</v>
      </c>
      <c r="II172" t="e">
        <f>AND('STERLING CATALOG - DRY '!H3832,"AAAAAFtdzfI=")</f>
        <v>#VALUE!</v>
      </c>
      <c r="IJ172" t="e">
        <f>AND('STERLING CATALOG - DRY '!I3832,"AAAAAFtdzfM=")</f>
        <v>#VALUE!</v>
      </c>
      <c r="IK172" t="e">
        <f>AND('STERLING CATALOG - DRY '!J3832,"AAAAAFtdzfQ=")</f>
        <v>#VALUE!</v>
      </c>
      <c r="IL172">
        <f>IF('STERLING CATALOG - DRY '!3833:3833,"AAAAAFtdzfU=",0)</f>
        <v>0</v>
      </c>
      <c r="IM172" t="e">
        <f>AND('STERLING CATALOG - DRY '!A3833,"AAAAAFtdzfY=")</f>
        <v>#VALUE!</v>
      </c>
      <c r="IN172" t="e">
        <f>AND('STERLING CATALOG - DRY '!B3833,"AAAAAFtdzfc=")</f>
        <v>#VALUE!</v>
      </c>
      <c r="IO172" t="e">
        <f>AND('STERLING CATALOG - DRY '!C3833,"AAAAAFtdzfg=")</f>
        <v>#VALUE!</v>
      </c>
      <c r="IP172" t="e">
        <f>AND('STERLING CATALOG - DRY '!D3833,"AAAAAFtdzfk=")</f>
        <v>#VALUE!</v>
      </c>
      <c r="IQ172" t="e">
        <f>AND('STERLING CATALOG - DRY '!E3833,"AAAAAFtdzfo=")</f>
        <v>#VALUE!</v>
      </c>
      <c r="IR172" t="e">
        <f>AND('STERLING CATALOG - DRY '!F3833,"AAAAAFtdzfs=")</f>
        <v>#VALUE!</v>
      </c>
      <c r="IS172" t="e">
        <f>AND('STERLING CATALOG - DRY '!G3833,"AAAAAFtdzfw=")</f>
        <v>#VALUE!</v>
      </c>
      <c r="IT172" t="e">
        <f>AND('STERLING CATALOG - DRY '!H3833,"AAAAAFtdzf0=")</f>
        <v>#VALUE!</v>
      </c>
      <c r="IU172" t="e">
        <f>AND('STERLING CATALOG - DRY '!I3833,"AAAAAFtdzf4=")</f>
        <v>#VALUE!</v>
      </c>
      <c r="IV172" t="e">
        <f>AND('STERLING CATALOG - DRY '!J3833,"AAAAAFtdzf8=")</f>
        <v>#VALUE!</v>
      </c>
    </row>
    <row r="173" spans="1:256">
      <c r="A173" t="str">
        <f>IF('STERLING CATALOG - DRY '!3834:3834,"AAAAAF77fgA=",0)</f>
        <v>AAAAAF77fgA=</v>
      </c>
      <c r="B173" t="e">
        <f>AND('STERLING CATALOG - DRY '!A3834,"AAAAAF77fgE=")</f>
        <v>#VALUE!</v>
      </c>
      <c r="C173" t="e">
        <f>AND('STERLING CATALOG - DRY '!B3834,"AAAAAF77fgI=")</f>
        <v>#VALUE!</v>
      </c>
      <c r="D173" t="e">
        <f>AND('STERLING CATALOG - DRY '!C3834,"AAAAAF77fgM=")</f>
        <v>#VALUE!</v>
      </c>
      <c r="E173" t="e">
        <f>AND('STERLING CATALOG - DRY '!D3834,"AAAAAF77fgQ=")</f>
        <v>#VALUE!</v>
      </c>
      <c r="F173" t="e">
        <f>AND('STERLING CATALOG - DRY '!E3834,"AAAAAF77fgU=")</f>
        <v>#VALUE!</v>
      </c>
      <c r="G173" t="e">
        <f>AND('STERLING CATALOG - DRY '!F3834,"AAAAAF77fgY=")</f>
        <v>#VALUE!</v>
      </c>
      <c r="H173" t="e">
        <f>AND('STERLING CATALOG - DRY '!G3834,"AAAAAF77fgc=")</f>
        <v>#VALUE!</v>
      </c>
      <c r="I173" t="e">
        <f>AND('STERLING CATALOG - DRY '!H3834,"AAAAAF77fgg=")</f>
        <v>#VALUE!</v>
      </c>
      <c r="J173" t="e">
        <f>AND('STERLING CATALOG - DRY '!I3834,"AAAAAF77fgk=")</f>
        <v>#VALUE!</v>
      </c>
      <c r="K173" t="e">
        <f>AND('STERLING CATALOG - DRY '!J3834,"AAAAAF77fgo=")</f>
        <v>#VALUE!</v>
      </c>
      <c r="L173">
        <f>IF('STERLING CATALOG - DRY '!3835:3835,"AAAAAF77fgs=",0)</f>
        <v>0</v>
      </c>
      <c r="M173" t="e">
        <f>AND('STERLING CATALOG - DRY '!A3835,"AAAAAF77fgw=")</f>
        <v>#VALUE!</v>
      </c>
      <c r="N173" t="e">
        <f>AND('STERLING CATALOG - DRY '!B3835,"AAAAAF77fg0=")</f>
        <v>#VALUE!</v>
      </c>
      <c r="O173" t="e">
        <f>AND('STERLING CATALOG - DRY '!C3835,"AAAAAF77fg4=")</f>
        <v>#VALUE!</v>
      </c>
      <c r="P173" t="e">
        <f>AND('STERLING CATALOG - DRY '!D3835,"AAAAAF77fg8=")</f>
        <v>#VALUE!</v>
      </c>
      <c r="Q173" t="e">
        <f>AND('STERLING CATALOG - DRY '!E3835,"AAAAAF77fhA=")</f>
        <v>#VALUE!</v>
      </c>
      <c r="R173" t="e">
        <f>AND('STERLING CATALOG - DRY '!F3835,"AAAAAF77fhE=")</f>
        <v>#VALUE!</v>
      </c>
      <c r="S173" t="e">
        <f>AND('STERLING CATALOG - DRY '!G3835,"AAAAAF77fhI=")</f>
        <v>#VALUE!</v>
      </c>
      <c r="T173" t="e">
        <f>AND('STERLING CATALOG - DRY '!H3835,"AAAAAF77fhM=")</f>
        <v>#VALUE!</v>
      </c>
      <c r="U173" t="e">
        <f>AND('STERLING CATALOG - DRY '!I3835,"AAAAAF77fhQ=")</f>
        <v>#VALUE!</v>
      </c>
      <c r="V173" t="e">
        <f>AND('STERLING CATALOG - DRY '!J3835,"AAAAAF77fhU=")</f>
        <v>#VALUE!</v>
      </c>
      <c r="W173">
        <f>IF('STERLING CATALOG - DRY '!3836:3836,"AAAAAF77fhY=",0)</f>
        <v>0</v>
      </c>
      <c r="X173" t="e">
        <f>AND('STERLING CATALOG - DRY '!A3836,"AAAAAF77fhc=")</f>
        <v>#VALUE!</v>
      </c>
      <c r="Y173" t="e">
        <f>AND('STERLING CATALOG - DRY '!B3836,"AAAAAF77fhg=")</f>
        <v>#VALUE!</v>
      </c>
      <c r="Z173" t="e">
        <f>AND('STERLING CATALOG - DRY '!C3836,"AAAAAF77fhk=")</f>
        <v>#VALUE!</v>
      </c>
      <c r="AA173" t="e">
        <f>AND('STERLING CATALOG - DRY '!D3836,"AAAAAF77fho=")</f>
        <v>#VALUE!</v>
      </c>
      <c r="AB173" t="e">
        <f>AND('STERLING CATALOG - DRY '!E3836,"AAAAAF77fhs=")</f>
        <v>#VALUE!</v>
      </c>
      <c r="AC173" t="e">
        <f>AND('STERLING CATALOG - DRY '!F3836,"AAAAAF77fhw=")</f>
        <v>#VALUE!</v>
      </c>
      <c r="AD173" t="e">
        <f>AND('STERLING CATALOG - DRY '!G3836,"AAAAAF77fh0=")</f>
        <v>#VALUE!</v>
      </c>
      <c r="AE173" t="e">
        <f>AND('STERLING CATALOG - DRY '!H3836,"AAAAAF77fh4=")</f>
        <v>#VALUE!</v>
      </c>
      <c r="AF173" t="e">
        <f>AND('STERLING CATALOG - DRY '!I3836,"AAAAAF77fh8=")</f>
        <v>#VALUE!</v>
      </c>
      <c r="AG173" t="e">
        <f>AND('STERLING CATALOG - DRY '!J3836,"AAAAAF77fiA=")</f>
        <v>#VALUE!</v>
      </c>
      <c r="AH173">
        <f>IF('STERLING CATALOG - DRY '!3837:3837,"AAAAAF77fiE=",0)</f>
        <v>0</v>
      </c>
      <c r="AI173" t="e">
        <f>AND('STERLING CATALOG - DRY '!A3837,"AAAAAF77fiI=")</f>
        <v>#VALUE!</v>
      </c>
      <c r="AJ173" t="e">
        <f>AND('STERLING CATALOG - DRY '!B3837,"AAAAAF77fiM=")</f>
        <v>#VALUE!</v>
      </c>
      <c r="AK173" t="e">
        <f>AND('STERLING CATALOG - DRY '!C3837,"AAAAAF77fiQ=")</f>
        <v>#VALUE!</v>
      </c>
      <c r="AL173" t="e">
        <f>AND('STERLING CATALOG - DRY '!D3837,"AAAAAF77fiU=")</f>
        <v>#VALUE!</v>
      </c>
      <c r="AM173" t="e">
        <f>AND('STERLING CATALOG - DRY '!E3837,"AAAAAF77fiY=")</f>
        <v>#VALUE!</v>
      </c>
      <c r="AN173" t="e">
        <f>AND('STERLING CATALOG - DRY '!F3837,"AAAAAF77fic=")</f>
        <v>#VALUE!</v>
      </c>
      <c r="AO173" t="e">
        <f>AND('STERLING CATALOG - DRY '!G3837,"AAAAAF77fig=")</f>
        <v>#VALUE!</v>
      </c>
      <c r="AP173" t="e">
        <f>AND('STERLING CATALOG - DRY '!H3837,"AAAAAF77fik=")</f>
        <v>#VALUE!</v>
      </c>
      <c r="AQ173" t="e">
        <f>AND('STERLING CATALOG - DRY '!I3837,"AAAAAF77fio=")</f>
        <v>#VALUE!</v>
      </c>
      <c r="AR173" t="e">
        <f>AND('STERLING CATALOG - DRY '!J3837,"AAAAAF77fis=")</f>
        <v>#VALUE!</v>
      </c>
      <c r="AS173">
        <f>IF('STERLING CATALOG - DRY '!3838:3838,"AAAAAF77fiw=",0)</f>
        <v>0</v>
      </c>
      <c r="AT173" t="e">
        <f>AND('STERLING CATALOG - DRY '!A3838,"AAAAAF77fi0=")</f>
        <v>#VALUE!</v>
      </c>
      <c r="AU173" t="e">
        <f>AND('STERLING CATALOG - DRY '!B3838,"AAAAAF77fi4=")</f>
        <v>#VALUE!</v>
      </c>
      <c r="AV173" t="e">
        <f>AND('STERLING CATALOG - DRY '!C3838,"AAAAAF77fi8=")</f>
        <v>#VALUE!</v>
      </c>
      <c r="AW173" t="e">
        <f>AND('STERLING CATALOG - DRY '!D3838,"AAAAAF77fjA=")</f>
        <v>#VALUE!</v>
      </c>
      <c r="AX173" t="e">
        <f>AND('STERLING CATALOG - DRY '!E3838,"AAAAAF77fjE=")</f>
        <v>#VALUE!</v>
      </c>
      <c r="AY173" t="e">
        <f>AND('STERLING CATALOG - DRY '!F3838,"AAAAAF77fjI=")</f>
        <v>#VALUE!</v>
      </c>
      <c r="AZ173" t="e">
        <f>AND('STERLING CATALOG - DRY '!G3838,"AAAAAF77fjM=")</f>
        <v>#VALUE!</v>
      </c>
      <c r="BA173" t="e">
        <f>AND('STERLING CATALOG - DRY '!H3838,"AAAAAF77fjQ=")</f>
        <v>#VALUE!</v>
      </c>
      <c r="BB173" t="e">
        <f>AND('STERLING CATALOG - DRY '!I3838,"AAAAAF77fjU=")</f>
        <v>#VALUE!</v>
      </c>
      <c r="BC173" t="e">
        <f>AND('STERLING CATALOG - DRY '!J3838,"AAAAAF77fjY=")</f>
        <v>#VALUE!</v>
      </c>
      <c r="BD173">
        <f>IF('STERLING CATALOG - DRY '!3839:3839,"AAAAAF77fjc=",0)</f>
        <v>0</v>
      </c>
      <c r="BE173" t="e">
        <f>AND('STERLING CATALOG - DRY '!A3839,"AAAAAF77fjg=")</f>
        <v>#VALUE!</v>
      </c>
      <c r="BF173" t="e">
        <f>AND('STERLING CATALOG - DRY '!B3839,"AAAAAF77fjk=")</f>
        <v>#VALUE!</v>
      </c>
      <c r="BG173" t="e">
        <f>AND('STERLING CATALOG - DRY '!C3839,"AAAAAF77fjo=")</f>
        <v>#VALUE!</v>
      </c>
      <c r="BH173" t="e">
        <f>AND('STERLING CATALOG - DRY '!D3839,"AAAAAF77fjs=")</f>
        <v>#VALUE!</v>
      </c>
      <c r="BI173" t="e">
        <f>AND('STERLING CATALOG - DRY '!E3839,"AAAAAF77fjw=")</f>
        <v>#VALUE!</v>
      </c>
      <c r="BJ173" t="e">
        <f>AND('STERLING CATALOG - DRY '!F3839,"AAAAAF77fj0=")</f>
        <v>#VALUE!</v>
      </c>
      <c r="BK173" t="e">
        <f>AND('STERLING CATALOG - DRY '!G3839,"AAAAAF77fj4=")</f>
        <v>#VALUE!</v>
      </c>
      <c r="BL173" t="e">
        <f>AND('STERLING CATALOG - DRY '!H3839,"AAAAAF77fj8=")</f>
        <v>#VALUE!</v>
      </c>
      <c r="BM173" t="e">
        <f>AND('STERLING CATALOG - DRY '!I3839,"AAAAAF77fkA=")</f>
        <v>#VALUE!</v>
      </c>
      <c r="BN173" t="e">
        <f>AND('STERLING CATALOG - DRY '!J3839,"AAAAAF77fkE=")</f>
        <v>#VALUE!</v>
      </c>
      <c r="BO173">
        <f>IF('STERLING CATALOG - DRY '!3840:3840,"AAAAAF77fkI=",0)</f>
        <v>0</v>
      </c>
      <c r="BP173" t="e">
        <f>AND('STERLING CATALOG - DRY '!A3840,"AAAAAF77fkM=")</f>
        <v>#VALUE!</v>
      </c>
      <c r="BQ173" t="e">
        <f>AND('STERLING CATALOG - DRY '!B3840,"AAAAAF77fkQ=")</f>
        <v>#VALUE!</v>
      </c>
      <c r="BR173" t="e">
        <f>AND('STERLING CATALOG - DRY '!C3840,"AAAAAF77fkU=")</f>
        <v>#VALUE!</v>
      </c>
      <c r="BS173" t="e">
        <f>AND('STERLING CATALOG - DRY '!D3840,"AAAAAF77fkY=")</f>
        <v>#VALUE!</v>
      </c>
      <c r="BT173" t="e">
        <f>AND('STERLING CATALOG - DRY '!E3840,"AAAAAF77fkc=")</f>
        <v>#VALUE!</v>
      </c>
      <c r="BU173" t="e">
        <f>AND('STERLING CATALOG - DRY '!F3840,"AAAAAF77fkg=")</f>
        <v>#VALUE!</v>
      </c>
      <c r="BV173" t="e">
        <f>AND('STERLING CATALOG - DRY '!G3840,"AAAAAF77fkk=")</f>
        <v>#VALUE!</v>
      </c>
      <c r="BW173" t="e">
        <f>AND('STERLING CATALOG - DRY '!H3840,"AAAAAF77fko=")</f>
        <v>#VALUE!</v>
      </c>
      <c r="BX173" t="e">
        <f>AND('STERLING CATALOG - DRY '!I3840,"AAAAAF77fks=")</f>
        <v>#VALUE!</v>
      </c>
      <c r="BY173" t="e">
        <f>AND('STERLING CATALOG - DRY '!J3840,"AAAAAF77fkw=")</f>
        <v>#VALUE!</v>
      </c>
      <c r="BZ173">
        <f>IF('STERLING CATALOG - DRY '!3841:3841,"AAAAAF77fk0=",0)</f>
        <v>0</v>
      </c>
      <c r="CA173" t="e">
        <f>AND('STERLING CATALOG - DRY '!A3841,"AAAAAF77fk4=")</f>
        <v>#VALUE!</v>
      </c>
      <c r="CB173" t="e">
        <f>AND('STERLING CATALOG - DRY '!B3841,"AAAAAF77fk8=")</f>
        <v>#VALUE!</v>
      </c>
      <c r="CC173" t="e">
        <f>AND('STERLING CATALOG - DRY '!C3841,"AAAAAF77flA=")</f>
        <v>#VALUE!</v>
      </c>
      <c r="CD173" t="e">
        <f>AND('STERLING CATALOG - DRY '!D3841,"AAAAAF77flE=")</f>
        <v>#VALUE!</v>
      </c>
      <c r="CE173" t="e">
        <f>AND('STERLING CATALOG - DRY '!E3841,"AAAAAF77flI=")</f>
        <v>#VALUE!</v>
      </c>
      <c r="CF173" t="e">
        <f>AND('STERLING CATALOG - DRY '!F3841,"AAAAAF77flM=")</f>
        <v>#VALUE!</v>
      </c>
      <c r="CG173" t="e">
        <f>AND('STERLING CATALOG - DRY '!G3841,"AAAAAF77flQ=")</f>
        <v>#VALUE!</v>
      </c>
      <c r="CH173" t="e">
        <f>AND('STERLING CATALOG - DRY '!H3841,"AAAAAF77flU=")</f>
        <v>#VALUE!</v>
      </c>
      <c r="CI173" t="e">
        <f>AND('STERLING CATALOG - DRY '!I3841,"AAAAAF77flY=")</f>
        <v>#VALUE!</v>
      </c>
      <c r="CJ173" t="e">
        <f>AND('STERLING CATALOG - DRY '!J3841,"AAAAAF77flc=")</f>
        <v>#VALUE!</v>
      </c>
      <c r="CK173">
        <f>IF('STERLING CATALOG - DRY '!3842:3842,"AAAAAF77flg=",0)</f>
        <v>0</v>
      </c>
      <c r="CL173" t="e">
        <f>AND('STERLING CATALOG - DRY '!A3842,"AAAAAF77flk=")</f>
        <v>#VALUE!</v>
      </c>
      <c r="CM173" t="e">
        <f>AND('STERLING CATALOG - DRY '!B3842,"AAAAAF77flo=")</f>
        <v>#VALUE!</v>
      </c>
      <c r="CN173" t="e">
        <f>AND('STERLING CATALOG - DRY '!C3842,"AAAAAF77fls=")</f>
        <v>#VALUE!</v>
      </c>
      <c r="CO173" t="e">
        <f>AND('STERLING CATALOG - DRY '!D3842,"AAAAAF77flw=")</f>
        <v>#VALUE!</v>
      </c>
      <c r="CP173" t="e">
        <f>AND('STERLING CATALOG - DRY '!E3842,"AAAAAF77fl0=")</f>
        <v>#VALUE!</v>
      </c>
      <c r="CQ173" t="e">
        <f>AND('STERLING CATALOG - DRY '!F3842,"AAAAAF77fl4=")</f>
        <v>#VALUE!</v>
      </c>
      <c r="CR173" t="e">
        <f>AND('STERLING CATALOG - DRY '!G3842,"AAAAAF77fl8=")</f>
        <v>#VALUE!</v>
      </c>
      <c r="CS173" t="e">
        <f>AND('STERLING CATALOG - DRY '!H3842,"AAAAAF77fmA=")</f>
        <v>#VALUE!</v>
      </c>
      <c r="CT173" t="e">
        <f>AND('STERLING CATALOG - DRY '!I3842,"AAAAAF77fmE=")</f>
        <v>#VALUE!</v>
      </c>
      <c r="CU173" t="e">
        <f>AND('STERLING CATALOG - DRY '!J3842,"AAAAAF77fmI=")</f>
        <v>#VALUE!</v>
      </c>
      <c r="CV173">
        <f>IF('STERLING CATALOG - DRY '!3843:3843,"AAAAAF77fmM=",0)</f>
        <v>0</v>
      </c>
      <c r="CW173" t="e">
        <f>AND('STERLING CATALOG - DRY '!A3843,"AAAAAF77fmQ=")</f>
        <v>#VALUE!</v>
      </c>
      <c r="CX173" t="e">
        <f>AND('STERLING CATALOG - DRY '!B3843,"AAAAAF77fmU=")</f>
        <v>#VALUE!</v>
      </c>
      <c r="CY173" t="e">
        <f>AND('STERLING CATALOG - DRY '!C3843,"AAAAAF77fmY=")</f>
        <v>#VALUE!</v>
      </c>
      <c r="CZ173" t="e">
        <f>AND('STERLING CATALOG - DRY '!D3843,"AAAAAF77fmc=")</f>
        <v>#VALUE!</v>
      </c>
      <c r="DA173" t="e">
        <f>AND('STERLING CATALOG - DRY '!E3843,"AAAAAF77fmg=")</f>
        <v>#VALUE!</v>
      </c>
      <c r="DB173" t="e">
        <f>AND('STERLING CATALOG - DRY '!F3843,"AAAAAF77fmk=")</f>
        <v>#VALUE!</v>
      </c>
      <c r="DC173" t="e">
        <f>AND('STERLING CATALOG - DRY '!G3843,"AAAAAF77fmo=")</f>
        <v>#VALUE!</v>
      </c>
      <c r="DD173" t="e">
        <f>AND('STERLING CATALOG - DRY '!H3843,"AAAAAF77fms=")</f>
        <v>#VALUE!</v>
      </c>
      <c r="DE173" t="e">
        <f>AND('STERLING CATALOG - DRY '!I3843,"AAAAAF77fmw=")</f>
        <v>#VALUE!</v>
      </c>
      <c r="DF173" t="e">
        <f>AND('STERLING CATALOG - DRY '!J3843,"AAAAAF77fm0=")</f>
        <v>#VALUE!</v>
      </c>
      <c r="DG173">
        <f>IF('STERLING CATALOG - DRY '!3844:3844,"AAAAAF77fm4=",0)</f>
        <v>0</v>
      </c>
      <c r="DH173" t="e">
        <f>AND('STERLING CATALOG - DRY '!A3844,"AAAAAF77fm8=")</f>
        <v>#VALUE!</v>
      </c>
      <c r="DI173" t="e">
        <f>AND('STERLING CATALOG - DRY '!B3844,"AAAAAF77fnA=")</f>
        <v>#VALUE!</v>
      </c>
      <c r="DJ173" t="e">
        <f>AND('STERLING CATALOG - DRY '!C3844,"AAAAAF77fnE=")</f>
        <v>#VALUE!</v>
      </c>
      <c r="DK173" t="e">
        <f>AND('STERLING CATALOG - DRY '!D3844,"AAAAAF77fnI=")</f>
        <v>#VALUE!</v>
      </c>
      <c r="DL173" t="e">
        <f>AND('STERLING CATALOG - DRY '!E3844,"AAAAAF77fnM=")</f>
        <v>#VALUE!</v>
      </c>
      <c r="DM173" t="e">
        <f>AND('STERLING CATALOG - DRY '!F3844,"AAAAAF77fnQ=")</f>
        <v>#VALUE!</v>
      </c>
      <c r="DN173" t="e">
        <f>AND('STERLING CATALOG - DRY '!G3844,"AAAAAF77fnU=")</f>
        <v>#VALUE!</v>
      </c>
      <c r="DO173" t="e">
        <f>AND('STERLING CATALOG - DRY '!H3844,"AAAAAF77fnY=")</f>
        <v>#VALUE!</v>
      </c>
      <c r="DP173" t="e">
        <f>AND('STERLING CATALOG - DRY '!I3844,"AAAAAF77fnc=")</f>
        <v>#VALUE!</v>
      </c>
      <c r="DQ173" t="e">
        <f>AND('STERLING CATALOG - DRY '!J3844,"AAAAAF77fng=")</f>
        <v>#VALUE!</v>
      </c>
      <c r="DR173">
        <f>IF('STERLING CATALOG - DRY '!3845:3845,"AAAAAF77fnk=",0)</f>
        <v>0</v>
      </c>
      <c r="DS173" t="e">
        <f>AND('STERLING CATALOG - DRY '!A3845,"AAAAAF77fno=")</f>
        <v>#VALUE!</v>
      </c>
      <c r="DT173" t="e">
        <f>AND('STERLING CATALOG - DRY '!B3845,"AAAAAF77fns=")</f>
        <v>#VALUE!</v>
      </c>
      <c r="DU173" t="e">
        <f>AND('STERLING CATALOG - DRY '!C3845,"AAAAAF77fnw=")</f>
        <v>#VALUE!</v>
      </c>
      <c r="DV173" t="e">
        <f>AND('STERLING CATALOG - DRY '!D3845,"AAAAAF77fn0=")</f>
        <v>#VALUE!</v>
      </c>
      <c r="DW173" t="e">
        <f>AND('STERLING CATALOG - DRY '!E3845,"AAAAAF77fn4=")</f>
        <v>#VALUE!</v>
      </c>
      <c r="DX173" t="e">
        <f>AND('STERLING CATALOG - DRY '!F3845,"AAAAAF77fn8=")</f>
        <v>#VALUE!</v>
      </c>
      <c r="DY173" t="e">
        <f>AND('STERLING CATALOG - DRY '!G3845,"AAAAAF77foA=")</f>
        <v>#VALUE!</v>
      </c>
      <c r="DZ173" t="e">
        <f>AND('STERLING CATALOG - DRY '!H3845,"AAAAAF77foE=")</f>
        <v>#VALUE!</v>
      </c>
      <c r="EA173" t="e">
        <f>AND('STERLING CATALOG - DRY '!I3845,"AAAAAF77foI=")</f>
        <v>#VALUE!</v>
      </c>
      <c r="EB173" t="e">
        <f>AND('STERLING CATALOG - DRY '!J3845,"AAAAAF77foM=")</f>
        <v>#VALUE!</v>
      </c>
      <c r="EC173">
        <f>IF('STERLING CATALOG - DRY '!3846:3846,"AAAAAF77foQ=",0)</f>
        <v>0</v>
      </c>
      <c r="ED173" t="e">
        <f>AND('STERLING CATALOG - DRY '!A3846,"AAAAAF77foU=")</f>
        <v>#VALUE!</v>
      </c>
      <c r="EE173" t="e">
        <f>AND('STERLING CATALOG - DRY '!B3846,"AAAAAF77foY=")</f>
        <v>#VALUE!</v>
      </c>
      <c r="EF173" t="e">
        <f>AND('STERLING CATALOG - DRY '!C3846,"AAAAAF77foc=")</f>
        <v>#VALUE!</v>
      </c>
      <c r="EG173" t="e">
        <f>AND('STERLING CATALOG - DRY '!D3846,"AAAAAF77fog=")</f>
        <v>#VALUE!</v>
      </c>
      <c r="EH173" t="e">
        <f>AND('STERLING CATALOG - DRY '!E3846,"AAAAAF77fok=")</f>
        <v>#VALUE!</v>
      </c>
      <c r="EI173" t="e">
        <f>AND('STERLING CATALOG - DRY '!F3846,"AAAAAF77foo=")</f>
        <v>#VALUE!</v>
      </c>
      <c r="EJ173" t="e">
        <f>AND('STERLING CATALOG - DRY '!G3846,"AAAAAF77fos=")</f>
        <v>#VALUE!</v>
      </c>
      <c r="EK173" t="e">
        <f>AND('STERLING CATALOG - DRY '!H3846,"AAAAAF77fow=")</f>
        <v>#VALUE!</v>
      </c>
      <c r="EL173" t="e">
        <f>AND('STERLING CATALOG - DRY '!I3846,"AAAAAF77fo0=")</f>
        <v>#VALUE!</v>
      </c>
      <c r="EM173" t="e">
        <f>AND('STERLING CATALOG - DRY '!J3846,"AAAAAF77fo4=")</f>
        <v>#VALUE!</v>
      </c>
      <c r="EN173">
        <f>IF('STERLING CATALOG - DRY '!3847:3847,"AAAAAF77fo8=",0)</f>
        <v>0</v>
      </c>
      <c r="EO173" t="e">
        <f>AND('STERLING CATALOG - DRY '!A3847,"AAAAAF77fpA=")</f>
        <v>#VALUE!</v>
      </c>
      <c r="EP173" t="e">
        <f>AND('STERLING CATALOG - DRY '!B3847,"AAAAAF77fpE=")</f>
        <v>#VALUE!</v>
      </c>
      <c r="EQ173" t="e">
        <f>AND('STERLING CATALOG - DRY '!C3847,"AAAAAF77fpI=")</f>
        <v>#VALUE!</v>
      </c>
      <c r="ER173" t="e">
        <f>AND('STERLING CATALOG - DRY '!D3847,"AAAAAF77fpM=")</f>
        <v>#VALUE!</v>
      </c>
      <c r="ES173" t="e">
        <f>AND('STERLING CATALOG - DRY '!E3847,"AAAAAF77fpQ=")</f>
        <v>#VALUE!</v>
      </c>
      <c r="ET173" t="e">
        <f>AND('STERLING CATALOG - DRY '!F3847,"AAAAAF77fpU=")</f>
        <v>#VALUE!</v>
      </c>
      <c r="EU173" t="e">
        <f>AND('STERLING CATALOG - DRY '!G3847,"AAAAAF77fpY=")</f>
        <v>#VALUE!</v>
      </c>
      <c r="EV173" t="e">
        <f>AND('STERLING CATALOG - DRY '!H3847,"AAAAAF77fpc=")</f>
        <v>#VALUE!</v>
      </c>
      <c r="EW173" t="e">
        <f>AND('STERLING CATALOG - DRY '!I3847,"AAAAAF77fpg=")</f>
        <v>#VALUE!</v>
      </c>
      <c r="EX173" t="e">
        <f>AND('STERLING CATALOG - DRY '!J3847,"AAAAAF77fpk=")</f>
        <v>#VALUE!</v>
      </c>
      <c r="EY173">
        <f>IF('STERLING CATALOG - DRY '!3848:3848,"AAAAAF77fpo=",0)</f>
        <v>0</v>
      </c>
      <c r="EZ173" t="e">
        <f>AND('STERLING CATALOG - DRY '!A3848,"AAAAAF77fps=")</f>
        <v>#VALUE!</v>
      </c>
      <c r="FA173" t="e">
        <f>AND('STERLING CATALOG - DRY '!B3848,"AAAAAF77fpw=")</f>
        <v>#VALUE!</v>
      </c>
      <c r="FB173" t="e">
        <f>AND('STERLING CATALOG - DRY '!C3848,"AAAAAF77fp0=")</f>
        <v>#VALUE!</v>
      </c>
      <c r="FC173" t="e">
        <f>AND('STERLING CATALOG - DRY '!D3848,"AAAAAF77fp4=")</f>
        <v>#VALUE!</v>
      </c>
      <c r="FD173" t="e">
        <f>AND('STERLING CATALOG - DRY '!E3848,"AAAAAF77fp8=")</f>
        <v>#VALUE!</v>
      </c>
      <c r="FE173" t="e">
        <f>AND('STERLING CATALOG - DRY '!F3848,"AAAAAF77fqA=")</f>
        <v>#VALUE!</v>
      </c>
      <c r="FF173" t="e">
        <f>AND('STERLING CATALOG - DRY '!G3848,"AAAAAF77fqE=")</f>
        <v>#VALUE!</v>
      </c>
      <c r="FG173" t="e">
        <f>AND('STERLING CATALOG - DRY '!H3848,"AAAAAF77fqI=")</f>
        <v>#VALUE!</v>
      </c>
      <c r="FH173" t="e">
        <f>AND('STERLING CATALOG - DRY '!I3848,"AAAAAF77fqM=")</f>
        <v>#VALUE!</v>
      </c>
      <c r="FI173" t="e">
        <f>AND('STERLING CATALOG - DRY '!J3848,"AAAAAF77fqQ=")</f>
        <v>#VALUE!</v>
      </c>
      <c r="FJ173">
        <f>IF('STERLING CATALOG - DRY '!3849:3849,"AAAAAF77fqU=",0)</f>
        <v>0</v>
      </c>
      <c r="FK173" t="e">
        <f>AND('STERLING CATALOG - DRY '!A3849,"AAAAAF77fqY=")</f>
        <v>#VALUE!</v>
      </c>
      <c r="FL173" t="e">
        <f>AND('STERLING CATALOG - DRY '!B3849,"AAAAAF77fqc=")</f>
        <v>#VALUE!</v>
      </c>
      <c r="FM173" t="e">
        <f>AND('STERLING CATALOG - DRY '!C3849,"AAAAAF77fqg=")</f>
        <v>#VALUE!</v>
      </c>
      <c r="FN173" t="e">
        <f>AND('STERLING CATALOG - DRY '!D3849,"AAAAAF77fqk=")</f>
        <v>#VALUE!</v>
      </c>
      <c r="FO173" t="e">
        <f>AND('STERLING CATALOG - DRY '!E3849,"AAAAAF77fqo=")</f>
        <v>#VALUE!</v>
      </c>
      <c r="FP173" t="e">
        <f>AND('STERLING CATALOG - DRY '!F3849,"AAAAAF77fqs=")</f>
        <v>#VALUE!</v>
      </c>
      <c r="FQ173" t="e">
        <f>AND('STERLING CATALOG - DRY '!G3849,"AAAAAF77fqw=")</f>
        <v>#VALUE!</v>
      </c>
      <c r="FR173" t="e">
        <f>AND('STERLING CATALOG - DRY '!H3849,"AAAAAF77fq0=")</f>
        <v>#VALUE!</v>
      </c>
      <c r="FS173" t="e">
        <f>AND('STERLING CATALOG - DRY '!I3849,"AAAAAF77fq4=")</f>
        <v>#VALUE!</v>
      </c>
      <c r="FT173" t="e">
        <f>AND('STERLING CATALOG - DRY '!J3849,"AAAAAF77fq8=")</f>
        <v>#VALUE!</v>
      </c>
      <c r="FU173">
        <f>IF('STERLING CATALOG - DRY '!3850:3850,"AAAAAF77frA=",0)</f>
        <v>0</v>
      </c>
      <c r="FV173" t="e">
        <f>AND('STERLING CATALOG - DRY '!A3850,"AAAAAF77frE=")</f>
        <v>#VALUE!</v>
      </c>
      <c r="FW173" t="e">
        <f>AND('STERLING CATALOG - DRY '!B3850,"AAAAAF77frI=")</f>
        <v>#VALUE!</v>
      </c>
      <c r="FX173" t="e">
        <f>AND('STERLING CATALOG - DRY '!C3850,"AAAAAF77frM=")</f>
        <v>#VALUE!</v>
      </c>
      <c r="FY173" t="e">
        <f>AND('STERLING CATALOG - DRY '!D3850,"AAAAAF77frQ=")</f>
        <v>#VALUE!</v>
      </c>
      <c r="FZ173" t="e">
        <f>AND('STERLING CATALOG - DRY '!E3850,"AAAAAF77frU=")</f>
        <v>#VALUE!</v>
      </c>
      <c r="GA173" t="e">
        <f>AND('STERLING CATALOG - DRY '!F3850,"AAAAAF77frY=")</f>
        <v>#VALUE!</v>
      </c>
      <c r="GB173" t="e">
        <f>AND('STERLING CATALOG - DRY '!G3850,"AAAAAF77frc=")</f>
        <v>#VALUE!</v>
      </c>
      <c r="GC173" t="e">
        <f>AND('STERLING CATALOG - DRY '!H3850,"AAAAAF77frg=")</f>
        <v>#VALUE!</v>
      </c>
      <c r="GD173" t="e">
        <f>AND('STERLING CATALOG - DRY '!I3850,"AAAAAF77frk=")</f>
        <v>#VALUE!</v>
      </c>
      <c r="GE173" t="e">
        <f>AND('STERLING CATALOG - DRY '!J3850,"AAAAAF77fro=")</f>
        <v>#VALUE!</v>
      </c>
      <c r="GF173">
        <f>IF('STERLING CATALOG - DRY '!3851:3851,"AAAAAF77frs=",0)</f>
        <v>0</v>
      </c>
      <c r="GG173" t="e">
        <f>AND('STERLING CATALOG - DRY '!A3851,"AAAAAF77frw=")</f>
        <v>#VALUE!</v>
      </c>
      <c r="GH173" t="e">
        <f>AND('STERLING CATALOG - DRY '!B3851,"AAAAAF77fr0=")</f>
        <v>#VALUE!</v>
      </c>
      <c r="GI173" t="e">
        <f>AND('STERLING CATALOG - DRY '!C3851,"AAAAAF77fr4=")</f>
        <v>#VALUE!</v>
      </c>
      <c r="GJ173" t="e">
        <f>AND('STERLING CATALOG - DRY '!D3851,"AAAAAF77fr8=")</f>
        <v>#VALUE!</v>
      </c>
      <c r="GK173" t="e">
        <f>AND('STERLING CATALOG - DRY '!E3851,"AAAAAF77fsA=")</f>
        <v>#VALUE!</v>
      </c>
      <c r="GL173" t="e">
        <f>AND('STERLING CATALOG - DRY '!F3851,"AAAAAF77fsE=")</f>
        <v>#VALUE!</v>
      </c>
      <c r="GM173" t="e">
        <f>AND('STERLING CATALOG - DRY '!G3851,"AAAAAF77fsI=")</f>
        <v>#VALUE!</v>
      </c>
      <c r="GN173" t="e">
        <f>AND('STERLING CATALOG - DRY '!H3851,"AAAAAF77fsM=")</f>
        <v>#VALUE!</v>
      </c>
      <c r="GO173" t="e">
        <f>AND('STERLING CATALOG - DRY '!I3851,"AAAAAF77fsQ=")</f>
        <v>#VALUE!</v>
      </c>
      <c r="GP173" t="e">
        <f>AND('STERLING CATALOG - DRY '!J3851,"AAAAAF77fsU=")</f>
        <v>#VALUE!</v>
      </c>
      <c r="GQ173">
        <f>IF('STERLING CATALOG - DRY '!3852:3852,"AAAAAF77fsY=",0)</f>
        <v>0</v>
      </c>
      <c r="GR173" t="e">
        <f>AND('STERLING CATALOG - DRY '!A3852,"AAAAAF77fsc=")</f>
        <v>#VALUE!</v>
      </c>
      <c r="GS173" t="e">
        <f>AND('STERLING CATALOG - DRY '!B3852,"AAAAAF77fsg=")</f>
        <v>#VALUE!</v>
      </c>
      <c r="GT173" t="e">
        <f>AND('STERLING CATALOG - DRY '!C3852,"AAAAAF77fsk=")</f>
        <v>#VALUE!</v>
      </c>
      <c r="GU173" t="e">
        <f>AND('STERLING CATALOG - DRY '!D3852,"AAAAAF77fso=")</f>
        <v>#VALUE!</v>
      </c>
      <c r="GV173" t="e">
        <f>AND('STERLING CATALOG - DRY '!E3852,"AAAAAF77fss=")</f>
        <v>#VALUE!</v>
      </c>
      <c r="GW173" t="e">
        <f>AND('STERLING CATALOG - DRY '!F3852,"AAAAAF77fsw=")</f>
        <v>#VALUE!</v>
      </c>
      <c r="GX173" t="e">
        <f>AND('STERLING CATALOG - DRY '!G3852,"AAAAAF77fs0=")</f>
        <v>#VALUE!</v>
      </c>
      <c r="GY173" t="e">
        <f>AND('STERLING CATALOG - DRY '!H3852,"AAAAAF77fs4=")</f>
        <v>#VALUE!</v>
      </c>
      <c r="GZ173" t="e">
        <f>AND('STERLING CATALOG - DRY '!I3852,"AAAAAF77fs8=")</f>
        <v>#VALUE!</v>
      </c>
      <c r="HA173" t="e">
        <f>AND('STERLING CATALOG - DRY '!J3852,"AAAAAF77ftA=")</f>
        <v>#VALUE!</v>
      </c>
      <c r="HB173">
        <f>IF('STERLING CATALOG - DRY '!3853:3853,"AAAAAF77ftE=",0)</f>
        <v>0</v>
      </c>
      <c r="HC173" t="e">
        <f>AND('STERLING CATALOG - DRY '!A3853,"AAAAAF77ftI=")</f>
        <v>#VALUE!</v>
      </c>
      <c r="HD173" t="e">
        <f>AND('STERLING CATALOG - DRY '!B3853,"AAAAAF77ftM=")</f>
        <v>#VALUE!</v>
      </c>
      <c r="HE173" t="e">
        <f>AND('STERLING CATALOG - DRY '!C3853,"AAAAAF77ftQ=")</f>
        <v>#VALUE!</v>
      </c>
      <c r="HF173" t="e">
        <f>AND('STERLING CATALOG - DRY '!D3853,"AAAAAF77ftU=")</f>
        <v>#VALUE!</v>
      </c>
      <c r="HG173" t="e">
        <f>AND('STERLING CATALOG - DRY '!E3853,"AAAAAF77ftY=")</f>
        <v>#VALUE!</v>
      </c>
      <c r="HH173" t="e">
        <f>AND('STERLING CATALOG - DRY '!F3853,"AAAAAF77ftc=")</f>
        <v>#VALUE!</v>
      </c>
      <c r="HI173" t="e">
        <f>AND('STERLING CATALOG - DRY '!G3853,"AAAAAF77ftg=")</f>
        <v>#VALUE!</v>
      </c>
      <c r="HJ173" t="e">
        <f>AND('STERLING CATALOG - DRY '!H3853,"AAAAAF77ftk=")</f>
        <v>#VALUE!</v>
      </c>
      <c r="HK173" t="e">
        <f>AND('STERLING CATALOG - DRY '!I3853,"AAAAAF77fto=")</f>
        <v>#VALUE!</v>
      </c>
      <c r="HL173" t="e">
        <f>AND('STERLING CATALOG - DRY '!J3853,"AAAAAF77fts=")</f>
        <v>#VALUE!</v>
      </c>
      <c r="HM173">
        <f>IF('STERLING CATALOG - DRY '!3854:3854,"AAAAAF77ftw=",0)</f>
        <v>0</v>
      </c>
      <c r="HN173" t="e">
        <f>AND('STERLING CATALOG - DRY '!A3854,"AAAAAF77ft0=")</f>
        <v>#VALUE!</v>
      </c>
      <c r="HO173" t="e">
        <f>AND('STERLING CATALOG - DRY '!B3854,"AAAAAF77ft4=")</f>
        <v>#VALUE!</v>
      </c>
      <c r="HP173" t="e">
        <f>AND('STERLING CATALOG - DRY '!C3854,"AAAAAF77ft8=")</f>
        <v>#VALUE!</v>
      </c>
      <c r="HQ173" t="e">
        <f>AND('STERLING CATALOG - DRY '!D3854,"AAAAAF77fuA=")</f>
        <v>#VALUE!</v>
      </c>
      <c r="HR173" t="e">
        <f>AND('STERLING CATALOG - DRY '!E3854,"AAAAAF77fuE=")</f>
        <v>#VALUE!</v>
      </c>
      <c r="HS173" t="e">
        <f>AND('STERLING CATALOG - DRY '!F3854,"AAAAAF77fuI=")</f>
        <v>#VALUE!</v>
      </c>
      <c r="HT173" t="e">
        <f>AND('STERLING CATALOG - DRY '!G3854,"AAAAAF77fuM=")</f>
        <v>#VALUE!</v>
      </c>
      <c r="HU173" t="e">
        <f>AND('STERLING CATALOG - DRY '!H3854,"AAAAAF77fuQ=")</f>
        <v>#VALUE!</v>
      </c>
      <c r="HV173" t="e">
        <f>AND('STERLING CATALOG - DRY '!I3854,"AAAAAF77fuU=")</f>
        <v>#VALUE!</v>
      </c>
      <c r="HW173" t="e">
        <f>AND('STERLING CATALOG - DRY '!J3854,"AAAAAF77fuY=")</f>
        <v>#VALUE!</v>
      </c>
      <c r="HX173">
        <f>IF('STERLING CATALOG - DRY '!3855:3855,"AAAAAF77fuc=",0)</f>
        <v>0</v>
      </c>
      <c r="HY173" t="e">
        <f>AND('STERLING CATALOG - DRY '!A3855,"AAAAAF77fug=")</f>
        <v>#VALUE!</v>
      </c>
      <c r="HZ173" t="e">
        <f>AND('STERLING CATALOG - DRY '!B3855,"AAAAAF77fuk=")</f>
        <v>#VALUE!</v>
      </c>
      <c r="IA173" t="e">
        <f>AND('STERLING CATALOG - DRY '!C3855,"AAAAAF77fuo=")</f>
        <v>#VALUE!</v>
      </c>
      <c r="IB173" t="e">
        <f>AND('STERLING CATALOG - DRY '!D3855,"AAAAAF77fus=")</f>
        <v>#VALUE!</v>
      </c>
      <c r="IC173" t="e">
        <f>AND('STERLING CATALOG - DRY '!E3855,"AAAAAF77fuw=")</f>
        <v>#VALUE!</v>
      </c>
      <c r="ID173" t="e">
        <f>AND('STERLING CATALOG - DRY '!F3855,"AAAAAF77fu0=")</f>
        <v>#VALUE!</v>
      </c>
      <c r="IE173" t="e">
        <f>AND('STERLING CATALOG - DRY '!G3855,"AAAAAF77fu4=")</f>
        <v>#VALUE!</v>
      </c>
      <c r="IF173" t="e">
        <f>AND('STERLING CATALOG - DRY '!H3855,"AAAAAF77fu8=")</f>
        <v>#VALUE!</v>
      </c>
      <c r="IG173" t="e">
        <f>AND('STERLING CATALOG - DRY '!I3855,"AAAAAF77fvA=")</f>
        <v>#VALUE!</v>
      </c>
      <c r="IH173" t="e">
        <f>AND('STERLING CATALOG - DRY '!J3855,"AAAAAF77fvE=")</f>
        <v>#VALUE!</v>
      </c>
      <c r="II173">
        <f>IF('STERLING CATALOG - DRY '!3856:3856,"AAAAAF77fvI=",0)</f>
        <v>0</v>
      </c>
      <c r="IJ173" t="e">
        <f>AND('STERLING CATALOG - DRY '!A3856,"AAAAAF77fvM=")</f>
        <v>#VALUE!</v>
      </c>
      <c r="IK173" t="e">
        <f>AND('STERLING CATALOG - DRY '!B3856,"AAAAAF77fvQ=")</f>
        <v>#VALUE!</v>
      </c>
      <c r="IL173" t="e">
        <f>AND('STERLING CATALOG - DRY '!C3856,"AAAAAF77fvU=")</f>
        <v>#VALUE!</v>
      </c>
      <c r="IM173" t="e">
        <f>AND('STERLING CATALOG - DRY '!D3856,"AAAAAF77fvY=")</f>
        <v>#VALUE!</v>
      </c>
      <c r="IN173" t="e">
        <f>AND('STERLING CATALOG - DRY '!E3856,"AAAAAF77fvc=")</f>
        <v>#VALUE!</v>
      </c>
      <c r="IO173" t="e">
        <f>AND('STERLING CATALOG - DRY '!F3856,"AAAAAF77fvg=")</f>
        <v>#VALUE!</v>
      </c>
      <c r="IP173" t="e">
        <f>AND('STERLING CATALOG - DRY '!G3856,"AAAAAF77fvk=")</f>
        <v>#VALUE!</v>
      </c>
      <c r="IQ173" t="e">
        <f>AND('STERLING CATALOG - DRY '!H3856,"AAAAAF77fvo=")</f>
        <v>#VALUE!</v>
      </c>
      <c r="IR173" t="e">
        <f>AND('STERLING CATALOG - DRY '!I3856,"AAAAAF77fvs=")</f>
        <v>#VALUE!</v>
      </c>
      <c r="IS173" t="e">
        <f>AND('STERLING CATALOG - DRY '!J3856,"AAAAAF77fvw=")</f>
        <v>#VALUE!</v>
      </c>
      <c r="IT173">
        <f>IF('STERLING CATALOG - DRY '!3857:3857,"AAAAAF77fv0=",0)</f>
        <v>0</v>
      </c>
      <c r="IU173" t="e">
        <f>AND('STERLING CATALOG - DRY '!A3857,"AAAAAF77fv4=")</f>
        <v>#VALUE!</v>
      </c>
      <c r="IV173" t="e">
        <f>AND('STERLING CATALOG - DRY '!B3857,"AAAAAF77fv8=")</f>
        <v>#VALUE!</v>
      </c>
    </row>
    <row r="174" spans="1:256">
      <c r="A174" t="e">
        <f>AND('STERLING CATALOG - DRY '!C3857,"AAAAAGJv7wA=")</f>
        <v>#VALUE!</v>
      </c>
      <c r="B174" t="e">
        <f>AND('STERLING CATALOG - DRY '!D3857,"AAAAAGJv7wE=")</f>
        <v>#VALUE!</v>
      </c>
      <c r="C174" t="e">
        <f>AND('STERLING CATALOG - DRY '!E3857,"AAAAAGJv7wI=")</f>
        <v>#VALUE!</v>
      </c>
      <c r="D174" t="e">
        <f>AND('STERLING CATALOG - DRY '!F3857,"AAAAAGJv7wM=")</f>
        <v>#VALUE!</v>
      </c>
      <c r="E174" t="e">
        <f>AND('STERLING CATALOG - DRY '!G3857,"AAAAAGJv7wQ=")</f>
        <v>#VALUE!</v>
      </c>
      <c r="F174" t="e">
        <f>AND('STERLING CATALOG - DRY '!H3857,"AAAAAGJv7wU=")</f>
        <v>#VALUE!</v>
      </c>
      <c r="G174" t="e">
        <f>AND('STERLING CATALOG - DRY '!I3857,"AAAAAGJv7wY=")</f>
        <v>#VALUE!</v>
      </c>
      <c r="H174" t="e">
        <f>AND('STERLING CATALOG - DRY '!J3857,"AAAAAGJv7wc=")</f>
        <v>#VALUE!</v>
      </c>
      <c r="I174" t="e">
        <f>IF('STERLING CATALOG - DRY '!3858:3858,"AAAAAGJv7wg=",0)</f>
        <v>#VALUE!</v>
      </c>
      <c r="J174" t="e">
        <f>AND('STERLING CATALOG - DRY '!A3858,"AAAAAGJv7wk=")</f>
        <v>#VALUE!</v>
      </c>
      <c r="K174" t="e">
        <f>AND('STERLING CATALOG - DRY '!B3858,"AAAAAGJv7wo=")</f>
        <v>#VALUE!</v>
      </c>
      <c r="L174" t="e">
        <f>AND('STERLING CATALOG - DRY '!C3858,"AAAAAGJv7ws=")</f>
        <v>#VALUE!</v>
      </c>
      <c r="M174" t="e">
        <f>AND('STERLING CATALOG - DRY '!D3858,"AAAAAGJv7ww=")</f>
        <v>#VALUE!</v>
      </c>
      <c r="N174" t="e">
        <f>AND('STERLING CATALOG - DRY '!E3858,"AAAAAGJv7w0=")</f>
        <v>#VALUE!</v>
      </c>
      <c r="O174" t="e">
        <f>AND('STERLING CATALOG - DRY '!F3858,"AAAAAGJv7w4=")</f>
        <v>#VALUE!</v>
      </c>
      <c r="P174" t="e">
        <f>AND('STERLING CATALOG - DRY '!G3858,"AAAAAGJv7w8=")</f>
        <v>#VALUE!</v>
      </c>
      <c r="Q174" t="e">
        <f>AND('STERLING CATALOG - DRY '!H3858,"AAAAAGJv7xA=")</f>
        <v>#VALUE!</v>
      </c>
      <c r="R174" t="e">
        <f>AND('STERLING CATALOG - DRY '!I3858,"AAAAAGJv7xE=")</f>
        <v>#VALUE!</v>
      </c>
      <c r="S174" t="e">
        <f>AND('STERLING CATALOG - DRY '!J3858,"AAAAAGJv7xI=")</f>
        <v>#VALUE!</v>
      </c>
      <c r="T174">
        <f>IF('STERLING CATALOG - DRY '!3859:3859,"AAAAAGJv7xM=",0)</f>
        <v>0</v>
      </c>
      <c r="U174" t="e">
        <f>AND('STERLING CATALOG - DRY '!A3859,"AAAAAGJv7xQ=")</f>
        <v>#VALUE!</v>
      </c>
      <c r="V174" t="e">
        <f>AND('STERLING CATALOG - DRY '!B3859,"AAAAAGJv7xU=")</f>
        <v>#VALUE!</v>
      </c>
      <c r="W174" t="e">
        <f>AND('STERLING CATALOG - DRY '!C3859,"AAAAAGJv7xY=")</f>
        <v>#VALUE!</v>
      </c>
      <c r="X174" t="e">
        <f>AND('STERLING CATALOG - DRY '!D3859,"AAAAAGJv7xc=")</f>
        <v>#VALUE!</v>
      </c>
      <c r="Y174" t="e">
        <f>AND('STERLING CATALOG - DRY '!E3859,"AAAAAGJv7xg=")</f>
        <v>#VALUE!</v>
      </c>
      <c r="Z174" t="e">
        <f>AND('STERLING CATALOG - DRY '!F3859,"AAAAAGJv7xk=")</f>
        <v>#VALUE!</v>
      </c>
      <c r="AA174" t="e">
        <f>AND('STERLING CATALOG - DRY '!G3859,"AAAAAGJv7xo=")</f>
        <v>#VALUE!</v>
      </c>
      <c r="AB174" t="e">
        <f>AND('STERLING CATALOG - DRY '!H3859,"AAAAAGJv7xs=")</f>
        <v>#VALUE!</v>
      </c>
      <c r="AC174" t="e">
        <f>AND('STERLING CATALOG - DRY '!I3859,"AAAAAGJv7xw=")</f>
        <v>#VALUE!</v>
      </c>
      <c r="AD174" t="e">
        <f>AND('STERLING CATALOG - DRY '!J3859,"AAAAAGJv7x0=")</f>
        <v>#VALUE!</v>
      </c>
      <c r="AE174">
        <f>IF('STERLING CATALOG - DRY '!3860:3860,"AAAAAGJv7x4=",0)</f>
        <v>0</v>
      </c>
      <c r="AF174" t="e">
        <f>AND('STERLING CATALOG - DRY '!A3860,"AAAAAGJv7x8=")</f>
        <v>#VALUE!</v>
      </c>
      <c r="AG174" t="e">
        <f>AND('STERLING CATALOG - DRY '!B3860,"AAAAAGJv7yA=")</f>
        <v>#VALUE!</v>
      </c>
      <c r="AH174" t="e">
        <f>AND('STERLING CATALOG - DRY '!C3860,"AAAAAGJv7yE=")</f>
        <v>#VALUE!</v>
      </c>
      <c r="AI174" t="e">
        <f>AND('STERLING CATALOG - DRY '!D3860,"AAAAAGJv7yI=")</f>
        <v>#VALUE!</v>
      </c>
      <c r="AJ174" t="e">
        <f>AND('STERLING CATALOG - DRY '!E3860,"AAAAAGJv7yM=")</f>
        <v>#VALUE!</v>
      </c>
      <c r="AK174" t="e">
        <f>AND('STERLING CATALOG - DRY '!F3860,"AAAAAGJv7yQ=")</f>
        <v>#VALUE!</v>
      </c>
      <c r="AL174" t="e">
        <f>AND('STERLING CATALOG - DRY '!G3860,"AAAAAGJv7yU=")</f>
        <v>#VALUE!</v>
      </c>
      <c r="AM174" t="e">
        <f>AND('STERLING CATALOG - DRY '!H3860,"AAAAAGJv7yY=")</f>
        <v>#VALUE!</v>
      </c>
      <c r="AN174" t="e">
        <f>AND('STERLING CATALOG - DRY '!I3860,"AAAAAGJv7yc=")</f>
        <v>#VALUE!</v>
      </c>
      <c r="AO174" t="e">
        <f>AND('STERLING CATALOG - DRY '!J3860,"AAAAAGJv7yg=")</f>
        <v>#VALUE!</v>
      </c>
      <c r="AP174">
        <f>IF('STERLING CATALOG - DRY '!3861:3861,"AAAAAGJv7yk=",0)</f>
        <v>0</v>
      </c>
      <c r="AQ174" t="e">
        <f>AND('STERLING CATALOG - DRY '!A3861,"AAAAAGJv7yo=")</f>
        <v>#VALUE!</v>
      </c>
      <c r="AR174" t="e">
        <f>AND('STERLING CATALOG - DRY '!B3861,"AAAAAGJv7ys=")</f>
        <v>#VALUE!</v>
      </c>
      <c r="AS174" t="e">
        <f>AND('STERLING CATALOG - DRY '!C3861,"AAAAAGJv7yw=")</f>
        <v>#VALUE!</v>
      </c>
      <c r="AT174" t="e">
        <f>AND('STERLING CATALOG - DRY '!D3861,"AAAAAGJv7y0=")</f>
        <v>#VALUE!</v>
      </c>
      <c r="AU174" t="e">
        <f>AND('STERLING CATALOG - DRY '!E3861,"AAAAAGJv7y4=")</f>
        <v>#VALUE!</v>
      </c>
      <c r="AV174" t="e">
        <f>AND('STERLING CATALOG - DRY '!F3861,"AAAAAGJv7y8=")</f>
        <v>#VALUE!</v>
      </c>
      <c r="AW174" t="e">
        <f>AND('STERLING CATALOG - DRY '!G3861,"AAAAAGJv7zA=")</f>
        <v>#VALUE!</v>
      </c>
      <c r="AX174" t="e">
        <f>AND('STERLING CATALOG - DRY '!H3861,"AAAAAGJv7zE=")</f>
        <v>#VALUE!</v>
      </c>
      <c r="AY174" t="e">
        <f>AND('STERLING CATALOG - DRY '!I3861,"AAAAAGJv7zI=")</f>
        <v>#VALUE!</v>
      </c>
      <c r="AZ174" t="e">
        <f>AND('STERLING CATALOG - DRY '!J3861,"AAAAAGJv7zM=")</f>
        <v>#VALUE!</v>
      </c>
      <c r="BA174">
        <f>IF('STERLING CATALOG - DRY '!3862:3862,"AAAAAGJv7zQ=",0)</f>
        <v>0</v>
      </c>
      <c r="BB174" t="e">
        <f>AND('STERLING CATALOG - DRY '!A3862,"AAAAAGJv7zU=")</f>
        <v>#VALUE!</v>
      </c>
      <c r="BC174" t="e">
        <f>AND('STERLING CATALOG - DRY '!B3862,"AAAAAGJv7zY=")</f>
        <v>#VALUE!</v>
      </c>
      <c r="BD174" t="e">
        <f>AND('STERLING CATALOG - DRY '!C3862,"AAAAAGJv7zc=")</f>
        <v>#VALUE!</v>
      </c>
      <c r="BE174" t="e">
        <f>AND('STERLING CATALOG - DRY '!D3862,"AAAAAGJv7zg=")</f>
        <v>#VALUE!</v>
      </c>
      <c r="BF174" t="e">
        <f>AND('STERLING CATALOG - DRY '!E3862,"AAAAAGJv7zk=")</f>
        <v>#VALUE!</v>
      </c>
      <c r="BG174" t="e">
        <f>AND('STERLING CATALOG - DRY '!F3862,"AAAAAGJv7zo=")</f>
        <v>#VALUE!</v>
      </c>
      <c r="BH174" t="e">
        <f>AND('STERLING CATALOG - DRY '!G3862,"AAAAAGJv7zs=")</f>
        <v>#VALUE!</v>
      </c>
      <c r="BI174" t="e">
        <f>AND('STERLING CATALOG - DRY '!H3862,"AAAAAGJv7zw=")</f>
        <v>#VALUE!</v>
      </c>
      <c r="BJ174" t="e">
        <f>AND('STERLING CATALOG - DRY '!I3862,"AAAAAGJv7z0=")</f>
        <v>#VALUE!</v>
      </c>
      <c r="BK174" t="e">
        <f>AND('STERLING CATALOG - DRY '!J3862,"AAAAAGJv7z4=")</f>
        <v>#VALUE!</v>
      </c>
      <c r="BL174">
        <f>IF('STERLING CATALOG - DRY '!3863:3863,"AAAAAGJv7z8=",0)</f>
        <v>0</v>
      </c>
      <c r="BM174" t="e">
        <f>AND('STERLING CATALOG - DRY '!A3863,"AAAAAGJv70A=")</f>
        <v>#VALUE!</v>
      </c>
      <c r="BN174" t="e">
        <f>AND('STERLING CATALOG - DRY '!B3863,"AAAAAGJv70E=")</f>
        <v>#VALUE!</v>
      </c>
      <c r="BO174" t="e">
        <f>AND('STERLING CATALOG - DRY '!C3863,"AAAAAGJv70I=")</f>
        <v>#VALUE!</v>
      </c>
      <c r="BP174" t="e">
        <f>AND('STERLING CATALOG - DRY '!D3863,"AAAAAGJv70M=")</f>
        <v>#VALUE!</v>
      </c>
      <c r="BQ174" t="e">
        <f>AND('STERLING CATALOG - DRY '!E3863,"AAAAAGJv70Q=")</f>
        <v>#VALUE!</v>
      </c>
      <c r="BR174" t="e">
        <f>AND('STERLING CATALOG - DRY '!F3863,"AAAAAGJv70U=")</f>
        <v>#VALUE!</v>
      </c>
      <c r="BS174" t="e">
        <f>AND('STERLING CATALOG - DRY '!G3863,"AAAAAGJv70Y=")</f>
        <v>#VALUE!</v>
      </c>
      <c r="BT174" t="e">
        <f>AND('STERLING CATALOG - DRY '!H3863,"AAAAAGJv70c=")</f>
        <v>#VALUE!</v>
      </c>
      <c r="BU174" t="e">
        <f>AND('STERLING CATALOG - DRY '!I3863,"AAAAAGJv70g=")</f>
        <v>#VALUE!</v>
      </c>
      <c r="BV174" t="e">
        <f>AND('STERLING CATALOG - DRY '!J3863,"AAAAAGJv70k=")</f>
        <v>#VALUE!</v>
      </c>
      <c r="BW174">
        <f>IF('STERLING CATALOG - DRY '!3864:3864,"AAAAAGJv70o=",0)</f>
        <v>0</v>
      </c>
      <c r="BX174" t="e">
        <f>AND('STERLING CATALOG - DRY '!A3864,"AAAAAGJv70s=")</f>
        <v>#VALUE!</v>
      </c>
      <c r="BY174" t="e">
        <f>AND('STERLING CATALOG - DRY '!B3864,"AAAAAGJv70w=")</f>
        <v>#VALUE!</v>
      </c>
      <c r="BZ174" t="e">
        <f>AND('STERLING CATALOG - DRY '!C3864,"AAAAAGJv700=")</f>
        <v>#VALUE!</v>
      </c>
      <c r="CA174" t="e">
        <f>AND('STERLING CATALOG - DRY '!D3864,"AAAAAGJv704=")</f>
        <v>#VALUE!</v>
      </c>
      <c r="CB174" t="e">
        <f>AND('STERLING CATALOG - DRY '!E3864,"AAAAAGJv708=")</f>
        <v>#VALUE!</v>
      </c>
      <c r="CC174" t="e">
        <f>AND('STERLING CATALOG - DRY '!F3864,"AAAAAGJv71A=")</f>
        <v>#VALUE!</v>
      </c>
      <c r="CD174" t="e">
        <f>AND('STERLING CATALOG - DRY '!G3864,"AAAAAGJv71E=")</f>
        <v>#VALUE!</v>
      </c>
      <c r="CE174" t="e">
        <f>AND('STERLING CATALOG - DRY '!H3864,"AAAAAGJv71I=")</f>
        <v>#VALUE!</v>
      </c>
      <c r="CF174" t="e">
        <f>AND('STERLING CATALOG - DRY '!I3864,"AAAAAGJv71M=")</f>
        <v>#VALUE!</v>
      </c>
      <c r="CG174" t="e">
        <f>AND('STERLING CATALOG - DRY '!J3864,"AAAAAGJv71Q=")</f>
        <v>#VALUE!</v>
      </c>
      <c r="CH174">
        <f>IF('STERLING CATALOG - DRY '!3865:3865,"AAAAAGJv71U=",0)</f>
        <v>0</v>
      </c>
      <c r="CI174" t="e">
        <f>AND('STERLING CATALOG - DRY '!A3865,"AAAAAGJv71Y=")</f>
        <v>#VALUE!</v>
      </c>
      <c r="CJ174" t="e">
        <f>AND('STERLING CATALOG - DRY '!B3865,"AAAAAGJv71c=")</f>
        <v>#VALUE!</v>
      </c>
      <c r="CK174" t="e">
        <f>AND('STERLING CATALOG - DRY '!C3865,"AAAAAGJv71g=")</f>
        <v>#VALUE!</v>
      </c>
      <c r="CL174" t="e">
        <f>AND('STERLING CATALOG - DRY '!D3865,"AAAAAGJv71k=")</f>
        <v>#VALUE!</v>
      </c>
      <c r="CM174" t="e">
        <f>AND('STERLING CATALOG - DRY '!E3865,"AAAAAGJv71o=")</f>
        <v>#VALUE!</v>
      </c>
      <c r="CN174" t="e">
        <f>AND('STERLING CATALOG - DRY '!F3865,"AAAAAGJv71s=")</f>
        <v>#VALUE!</v>
      </c>
      <c r="CO174" t="e">
        <f>AND('STERLING CATALOG - DRY '!G3865,"AAAAAGJv71w=")</f>
        <v>#VALUE!</v>
      </c>
      <c r="CP174" t="e">
        <f>AND('STERLING CATALOG - DRY '!H3865,"AAAAAGJv710=")</f>
        <v>#VALUE!</v>
      </c>
      <c r="CQ174" t="e">
        <f>AND('STERLING CATALOG - DRY '!I3865,"AAAAAGJv714=")</f>
        <v>#VALUE!</v>
      </c>
      <c r="CR174" t="e">
        <f>AND('STERLING CATALOG - DRY '!J3865,"AAAAAGJv718=")</f>
        <v>#VALUE!</v>
      </c>
      <c r="CS174">
        <f>IF('STERLING CATALOG - DRY '!3866:3866,"AAAAAGJv72A=",0)</f>
        <v>0</v>
      </c>
      <c r="CT174" t="e">
        <f>AND('STERLING CATALOG - DRY '!A3866,"AAAAAGJv72E=")</f>
        <v>#VALUE!</v>
      </c>
      <c r="CU174" t="e">
        <f>AND('STERLING CATALOG - DRY '!B3866,"AAAAAGJv72I=")</f>
        <v>#VALUE!</v>
      </c>
      <c r="CV174" t="e">
        <f>AND('STERLING CATALOG - DRY '!C3866,"AAAAAGJv72M=")</f>
        <v>#VALUE!</v>
      </c>
      <c r="CW174" t="e">
        <f>AND('STERLING CATALOG - DRY '!D3866,"AAAAAGJv72Q=")</f>
        <v>#VALUE!</v>
      </c>
      <c r="CX174" t="e">
        <f>AND('STERLING CATALOG - DRY '!E3866,"AAAAAGJv72U=")</f>
        <v>#VALUE!</v>
      </c>
      <c r="CY174" t="e">
        <f>AND('STERLING CATALOG - DRY '!F3866,"AAAAAGJv72Y=")</f>
        <v>#VALUE!</v>
      </c>
      <c r="CZ174" t="e">
        <f>AND('STERLING CATALOG - DRY '!G3866,"AAAAAGJv72c=")</f>
        <v>#VALUE!</v>
      </c>
      <c r="DA174" t="e">
        <f>AND('STERLING CATALOG - DRY '!H3866,"AAAAAGJv72g=")</f>
        <v>#VALUE!</v>
      </c>
      <c r="DB174" t="e">
        <f>AND('STERLING CATALOG - DRY '!I3866,"AAAAAGJv72k=")</f>
        <v>#VALUE!</v>
      </c>
      <c r="DC174" t="e">
        <f>AND('STERLING CATALOG - DRY '!J3866,"AAAAAGJv72o=")</f>
        <v>#VALUE!</v>
      </c>
      <c r="DD174">
        <f>IF('STERLING CATALOG - DRY '!3867:3867,"AAAAAGJv72s=",0)</f>
        <v>0</v>
      </c>
      <c r="DE174" t="e">
        <f>AND('STERLING CATALOG - DRY '!A3867,"AAAAAGJv72w=")</f>
        <v>#VALUE!</v>
      </c>
      <c r="DF174" t="e">
        <f>AND('STERLING CATALOG - DRY '!B3867,"AAAAAGJv720=")</f>
        <v>#VALUE!</v>
      </c>
      <c r="DG174" t="e">
        <f>AND('STERLING CATALOG - DRY '!C3867,"AAAAAGJv724=")</f>
        <v>#VALUE!</v>
      </c>
      <c r="DH174" t="e">
        <f>AND('STERLING CATALOG - DRY '!D3867,"AAAAAGJv728=")</f>
        <v>#VALUE!</v>
      </c>
      <c r="DI174" t="e">
        <f>AND('STERLING CATALOG - DRY '!E3867,"AAAAAGJv73A=")</f>
        <v>#VALUE!</v>
      </c>
      <c r="DJ174" t="e">
        <f>AND('STERLING CATALOG - DRY '!F3867,"AAAAAGJv73E=")</f>
        <v>#VALUE!</v>
      </c>
      <c r="DK174" t="e">
        <f>AND('STERLING CATALOG - DRY '!G3867,"AAAAAGJv73I=")</f>
        <v>#VALUE!</v>
      </c>
      <c r="DL174" t="e">
        <f>AND('STERLING CATALOG - DRY '!H3867,"AAAAAGJv73M=")</f>
        <v>#VALUE!</v>
      </c>
      <c r="DM174" t="e">
        <f>AND('STERLING CATALOG - DRY '!I3867,"AAAAAGJv73Q=")</f>
        <v>#VALUE!</v>
      </c>
      <c r="DN174" t="e">
        <f>AND('STERLING CATALOG - DRY '!J3867,"AAAAAGJv73U=")</f>
        <v>#VALUE!</v>
      </c>
      <c r="DO174">
        <f>IF('STERLING CATALOG - DRY '!3868:3868,"AAAAAGJv73Y=",0)</f>
        <v>0</v>
      </c>
      <c r="DP174" t="e">
        <f>AND('STERLING CATALOG - DRY '!A3868,"AAAAAGJv73c=")</f>
        <v>#VALUE!</v>
      </c>
      <c r="DQ174" t="e">
        <f>AND('STERLING CATALOG - DRY '!B3868,"AAAAAGJv73g=")</f>
        <v>#VALUE!</v>
      </c>
      <c r="DR174" t="e">
        <f>AND('STERLING CATALOG - DRY '!C3868,"AAAAAGJv73k=")</f>
        <v>#VALUE!</v>
      </c>
      <c r="DS174" t="e">
        <f>AND('STERLING CATALOG - DRY '!D3868,"AAAAAGJv73o=")</f>
        <v>#VALUE!</v>
      </c>
      <c r="DT174" t="e">
        <f>AND('STERLING CATALOG - DRY '!E3868,"AAAAAGJv73s=")</f>
        <v>#VALUE!</v>
      </c>
      <c r="DU174" t="e">
        <f>AND('STERLING CATALOG - DRY '!F3868,"AAAAAGJv73w=")</f>
        <v>#VALUE!</v>
      </c>
      <c r="DV174" t="e">
        <f>AND('STERLING CATALOG - DRY '!G3868,"AAAAAGJv730=")</f>
        <v>#VALUE!</v>
      </c>
      <c r="DW174" t="e">
        <f>AND('STERLING CATALOG - DRY '!H3868,"AAAAAGJv734=")</f>
        <v>#VALUE!</v>
      </c>
      <c r="DX174" t="e">
        <f>AND('STERLING CATALOG - DRY '!I3868,"AAAAAGJv738=")</f>
        <v>#VALUE!</v>
      </c>
      <c r="DY174" t="e">
        <f>AND('STERLING CATALOG - DRY '!J3868,"AAAAAGJv74A=")</f>
        <v>#VALUE!</v>
      </c>
      <c r="DZ174">
        <f>IF('STERLING CATALOG - DRY '!3869:3869,"AAAAAGJv74E=",0)</f>
        <v>0</v>
      </c>
      <c r="EA174" t="e">
        <f>AND('STERLING CATALOG - DRY '!A3869,"AAAAAGJv74I=")</f>
        <v>#VALUE!</v>
      </c>
      <c r="EB174" t="e">
        <f>AND('STERLING CATALOG - DRY '!B3869,"AAAAAGJv74M=")</f>
        <v>#VALUE!</v>
      </c>
      <c r="EC174" t="e">
        <f>AND('STERLING CATALOG - DRY '!C3869,"AAAAAGJv74Q=")</f>
        <v>#VALUE!</v>
      </c>
      <c r="ED174" t="e">
        <f>AND('STERLING CATALOG - DRY '!D3869,"AAAAAGJv74U=")</f>
        <v>#VALUE!</v>
      </c>
      <c r="EE174" t="e">
        <f>AND('STERLING CATALOG - DRY '!E3869,"AAAAAGJv74Y=")</f>
        <v>#VALUE!</v>
      </c>
      <c r="EF174" t="e">
        <f>AND('STERLING CATALOG - DRY '!F3869,"AAAAAGJv74c=")</f>
        <v>#VALUE!</v>
      </c>
      <c r="EG174" t="e">
        <f>AND('STERLING CATALOG - DRY '!G3869,"AAAAAGJv74g=")</f>
        <v>#VALUE!</v>
      </c>
      <c r="EH174" t="e">
        <f>AND('STERLING CATALOG - DRY '!H3869,"AAAAAGJv74k=")</f>
        <v>#VALUE!</v>
      </c>
      <c r="EI174" t="e">
        <f>AND('STERLING CATALOG - DRY '!I3869,"AAAAAGJv74o=")</f>
        <v>#VALUE!</v>
      </c>
      <c r="EJ174" t="e">
        <f>AND('STERLING CATALOG - DRY '!J3869,"AAAAAGJv74s=")</f>
        <v>#VALUE!</v>
      </c>
      <c r="EK174">
        <f>IF('STERLING CATALOG - DRY '!3870:3870,"AAAAAGJv74w=",0)</f>
        <v>0</v>
      </c>
      <c r="EL174" t="e">
        <f>AND('STERLING CATALOG - DRY '!A3870,"AAAAAGJv740=")</f>
        <v>#VALUE!</v>
      </c>
      <c r="EM174" t="e">
        <f>AND('STERLING CATALOG - DRY '!B3870,"AAAAAGJv744=")</f>
        <v>#VALUE!</v>
      </c>
      <c r="EN174" t="e">
        <f>AND('STERLING CATALOG - DRY '!C3870,"AAAAAGJv748=")</f>
        <v>#VALUE!</v>
      </c>
      <c r="EO174" t="e">
        <f>AND('STERLING CATALOG - DRY '!D3870,"AAAAAGJv75A=")</f>
        <v>#VALUE!</v>
      </c>
      <c r="EP174" t="e">
        <f>AND('STERLING CATALOG - DRY '!E3870,"AAAAAGJv75E=")</f>
        <v>#VALUE!</v>
      </c>
      <c r="EQ174" t="e">
        <f>AND('STERLING CATALOG - DRY '!F3870,"AAAAAGJv75I=")</f>
        <v>#VALUE!</v>
      </c>
      <c r="ER174" t="e">
        <f>AND('STERLING CATALOG - DRY '!G3870,"AAAAAGJv75M=")</f>
        <v>#VALUE!</v>
      </c>
      <c r="ES174" t="e">
        <f>AND('STERLING CATALOG - DRY '!H3870,"AAAAAGJv75Q=")</f>
        <v>#VALUE!</v>
      </c>
      <c r="ET174" t="e">
        <f>AND('STERLING CATALOG - DRY '!I3870,"AAAAAGJv75U=")</f>
        <v>#VALUE!</v>
      </c>
      <c r="EU174" t="e">
        <f>AND('STERLING CATALOG - DRY '!J3870,"AAAAAGJv75Y=")</f>
        <v>#VALUE!</v>
      </c>
      <c r="EV174">
        <f>IF('STERLING CATALOG - DRY '!3871:3871,"AAAAAGJv75c=",0)</f>
        <v>0</v>
      </c>
      <c r="EW174" t="e">
        <f>AND('STERLING CATALOG - DRY '!A3871,"AAAAAGJv75g=")</f>
        <v>#VALUE!</v>
      </c>
      <c r="EX174" t="e">
        <f>AND('STERLING CATALOG - DRY '!B3871,"AAAAAGJv75k=")</f>
        <v>#VALUE!</v>
      </c>
      <c r="EY174" t="e">
        <f>AND('STERLING CATALOG - DRY '!C3871,"AAAAAGJv75o=")</f>
        <v>#VALUE!</v>
      </c>
      <c r="EZ174" t="e">
        <f>AND('STERLING CATALOG - DRY '!D3871,"AAAAAGJv75s=")</f>
        <v>#VALUE!</v>
      </c>
      <c r="FA174" t="e">
        <f>AND('STERLING CATALOG - DRY '!E3871,"AAAAAGJv75w=")</f>
        <v>#VALUE!</v>
      </c>
      <c r="FB174" t="e">
        <f>AND('STERLING CATALOG - DRY '!F3871,"AAAAAGJv750=")</f>
        <v>#VALUE!</v>
      </c>
      <c r="FC174" t="e">
        <f>AND('STERLING CATALOG - DRY '!G3871,"AAAAAGJv754=")</f>
        <v>#VALUE!</v>
      </c>
      <c r="FD174" t="e">
        <f>AND('STERLING CATALOG - DRY '!H3871,"AAAAAGJv758=")</f>
        <v>#VALUE!</v>
      </c>
      <c r="FE174" t="e">
        <f>AND('STERLING CATALOG - DRY '!I3871,"AAAAAGJv76A=")</f>
        <v>#VALUE!</v>
      </c>
      <c r="FF174" t="e">
        <f>AND('STERLING CATALOG - DRY '!J3871,"AAAAAGJv76E=")</f>
        <v>#VALUE!</v>
      </c>
      <c r="FG174">
        <f>IF('STERLING CATALOG - DRY '!3872:3872,"AAAAAGJv76I=",0)</f>
        <v>0</v>
      </c>
      <c r="FH174" t="e">
        <f>AND('STERLING CATALOG - DRY '!A3872,"AAAAAGJv76M=")</f>
        <v>#VALUE!</v>
      </c>
      <c r="FI174" t="e">
        <f>AND('STERLING CATALOG - DRY '!B3872,"AAAAAGJv76Q=")</f>
        <v>#VALUE!</v>
      </c>
      <c r="FJ174" t="e">
        <f>AND('STERLING CATALOG - DRY '!C3872,"AAAAAGJv76U=")</f>
        <v>#VALUE!</v>
      </c>
      <c r="FK174" t="e">
        <f>AND('STERLING CATALOG - DRY '!D3872,"AAAAAGJv76Y=")</f>
        <v>#VALUE!</v>
      </c>
      <c r="FL174" t="e">
        <f>AND('STERLING CATALOG - DRY '!E3872,"AAAAAGJv76c=")</f>
        <v>#VALUE!</v>
      </c>
      <c r="FM174" t="e">
        <f>AND('STERLING CATALOG - DRY '!F3872,"AAAAAGJv76g=")</f>
        <v>#VALUE!</v>
      </c>
      <c r="FN174" t="e">
        <f>AND('STERLING CATALOG - DRY '!G3872,"AAAAAGJv76k=")</f>
        <v>#VALUE!</v>
      </c>
      <c r="FO174" t="e">
        <f>AND('STERLING CATALOG - DRY '!H3872,"AAAAAGJv76o=")</f>
        <v>#VALUE!</v>
      </c>
      <c r="FP174" t="e">
        <f>AND('STERLING CATALOG - DRY '!I3872,"AAAAAGJv76s=")</f>
        <v>#VALUE!</v>
      </c>
      <c r="FQ174" t="e">
        <f>AND('STERLING CATALOG - DRY '!J3872,"AAAAAGJv76w=")</f>
        <v>#VALUE!</v>
      </c>
      <c r="FR174">
        <f>IF('STERLING CATALOG - DRY '!3873:3873,"AAAAAGJv760=",0)</f>
        <v>0</v>
      </c>
      <c r="FS174" t="e">
        <f>AND('STERLING CATALOG - DRY '!A3873,"AAAAAGJv764=")</f>
        <v>#VALUE!</v>
      </c>
      <c r="FT174" t="e">
        <f>AND('STERLING CATALOG - DRY '!B3873,"AAAAAGJv768=")</f>
        <v>#VALUE!</v>
      </c>
      <c r="FU174" t="e">
        <f>AND('STERLING CATALOG - DRY '!C3873,"AAAAAGJv77A=")</f>
        <v>#VALUE!</v>
      </c>
      <c r="FV174" t="e">
        <f>AND('STERLING CATALOG - DRY '!D3873,"AAAAAGJv77E=")</f>
        <v>#VALUE!</v>
      </c>
      <c r="FW174" t="e">
        <f>AND('STERLING CATALOG - DRY '!E3873,"AAAAAGJv77I=")</f>
        <v>#VALUE!</v>
      </c>
      <c r="FX174" t="e">
        <f>AND('STERLING CATALOG - DRY '!F3873,"AAAAAGJv77M=")</f>
        <v>#VALUE!</v>
      </c>
      <c r="FY174" t="e">
        <f>AND('STERLING CATALOG - DRY '!G3873,"AAAAAGJv77Q=")</f>
        <v>#VALUE!</v>
      </c>
      <c r="FZ174" t="e">
        <f>AND('STERLING CATALOG - DRY '!H3873,"AAAAAGJv77U=")</f>
        <v>#VALUE!</v>
      </c>
      <c r="GA174" t="e">
        <f>AND('STERLING CATALOG - DRY '!I3873,"AAAAAGJv77Y=")</f>
        <v>#VALUE!</v>
      </c>
      <c r="GB174" t="e">
        <f>AND('STERLING CATALOG - DRY '!J3873,"AAAAAGJv77c=")</f>
        <v>#VALUE!</v>
      </c>
      <c r="GC174">
        <f>IF('STERLING CATALOG - DRY '!3874:3874,"AAAAAGJv77g=",0)</f>
        <v>0</v>
      </c>
      <c r="GD174" t="e">
        <f>AND('STERLING CATALOG - DRY '!A3874,"AAAAAGJv77k=")</f>
        <v>#VALUE!</v>
      </c>
      <c r="GE174" t="e">
        <f>AND('STERLING CATALOG - DRY '!B3874,"AAAAAGJv77o=")</f>
        <v>#VALUE!</v>
      </c>
      <c r="GF174" t="e">
        <f>AND('STERLING CATALOG - DRY '!C3874,"AAAAAGJv77s=")</f>
        <v>#VALUE!</v>
      </c>
      <c r="GG174" t="e">
        <f>AND('STERLING CATALOG - DRY '!D3874,"AAAAAGJv77w=")</f>
        <v>#VALUE!</v>
      </c>
      <c r="GH174" t="e">
        <f>AND('STERLING CATALOG - DRY '!E3874,"AAAAAGJv770=")</f>
        <v>#VALUE!</v>
      </c>
      <c r="GI174" t="e">
        <f>AND('STERLING CATALOG - DRY '!F3874,"AAAAAGJv774=")</f>
        <v>#VALUE!</v>
      </c>
      <c r="GJ174" t="e">
        <f>AND('STERLING CATALOG - DRY '!G3874,"AAAAAGJv778=")</f>
        <v>#VALUE!</v>
      </c>
      <c r="GK174" t="e">
        <f>AND('STERLING CATALOG - DRY '!H3874,"AAAAAGJv78A=")</f>
        <v>#VALUE!</v>
      </c>
      <c r="GL174" t="e">
        <f>AND('STERLING CATALOG - DRY '!I3874,"AAAAAGJv78E=")</f>
        <v>#VALUE!</v>
      </c>
      <c r="GM174" t="e">
        <f>AND('STERLING CATALOG - DRY '!J3874,"AAAAAGJv78I=")</f>
        <v>#VALUE!</v>
      </c>
      <c r="GN174">
        <f>IF('STERLING CATALOG - DRY '!3875:3875,"AAAAAGJv78M=",0)</f>
        <v>0</v>
      </c>
      <c r="GO174" t="e">
        <f>AND('STERLING CATALOG - DRY '!A3875,"AAAAAGJv78Q=")</f>
        <v>#VALUE!</v>
      </c>
      <c r="GP174" t="e">
        <f>AND('STERLING CATALOG - DRY '!B3875,"AAAAAGJv78U=")</f>
        <v>#VALUE!</v>
      </c>
      <c r="GQ174" t="e">
        <f>AND('STERLING CATALOG - DRY '!C3875,"AAAAAGJv78Y=")</f>
        <v>#VALUE!</v>
      </c>
      <c r="GR174" t="e">
        <f>AND('STERLING CATALOG - DRY '!D3875,"AAAAAGJv78c=")</f>
        <v>#VALUE!</v>
      </c>
      <c r="GS174" t="e">
        <f>AND('STERLING CATALOG - DRY '!E3875,"AAAAAGJv78g=")</f>
        <v>#VALUE!</v>
      </c>
      <c r="GT174" t="e">
        <f>AND('STERLING CATALOG - DRY '!F3875,"AAAAAGJv78k=")</f>
        <v>#VALUE!</v>
      </c>
      <c r="GU174" t="e">
        <f>AND('STERLING CATALOG - DRY '!G3875,"AAAAAGJv78o=")</f>
        <v>#VALUE!</v>
      </c>
      <c r="GV174" t="e">
        <f>AND('STERLING CATALOG - DRY '!H3875,"AAAAAGJv78s=")</f>
        <v>#VALUE!</v>
      </c>
      <c r="GW174" t="e">
        <f>AND('STERLING CATALOG - DRY '!I3875,"AAAAAGJv78w=")</f>
        <v>#VALUE!</v>
      </c>
      <c r="GX174" t="e">
        <f>AND('STERLING CATALOG - DRY '!J3875,"AAAAAGJv780=")</f>
        <v>#VALUE!</v>
      </c>
      <c r="GY174">
        <f>IF('STERLING CATALOG - DRY '!3876:3876,"AAAAAGJv784=",0)</f>
        <v>0</v>
      </c>
      <c r="GZ174" t="e">
        <f>AND('STERLING CATALOG - DRY '!A3876,"AAAAAGJv788=")</f>
        <v>#VALUE!</v>
      </c>
      <c r="HA174" t="e">
        <f>AND('STERLING CATALOG - DRY '!B3876,"AAAAAGJv79A=")</f>
        <v>#VALUE!</v>
      </c>
      <c r="HB174" t="e">
        <f>AND('STERLING CATALOG - DRY '!C3876,"AAAAAGJv79E=")</f>
        <v>#VALUE!</v>
      </c>
      <c r="HC174" t="e">
        <f>AND('STERLING CATALOG - DRY '!D3876,"AAAAAGJv79I=")</f>
        <v>#VALUE!</v>
      </c>
      <c r="HD174" t="e">
        <f>AND('STERLING CATALOG - DRY '!E3876,"AAAAAGJv79M=")</f>
        <v>#VALUE!</v>
      </c>
      <c r="HE174" t="e">
        <f>AND('STERLING CATALOG - DRY '!F3876,"AAAAAGJv79Q=")</f>
        <v>#VALUE!</v>
      </c>
      <c r="HF174" t="e">
        <f>AND('STERLING CATALOG - DRY '!G3876,"AAAAAGJv79U=")</f>
        <v>#VALUE!</v>
      </c>
      <c r="HG174" t="e">
        <f>AND('STERLING CATALOG - DRY '!H3876,"AAAAAGJv79Y=")</f>
        <v>#VALUE!</v>
      </c>
      <c r="HH174" t="e">
        <f>AND('STERLING CATALOG - DRY '!I3876,"AAAAAGJv79c=")</f>
        <v>#VALUE!</v>
      </c>
      <c r="HI174" t="e">
        <f>AND('STERLING CATALOG - DRY '!J3876,"AAAAAGJv79g=")</f>
        <v>#VALUE!</v>
      </c>
      <c r="HJ174">
        <f>IF('STERLING CATALOG - DRY '!3877:3877,"AAAAAGJv79k=",0)</f>
        <v>0</v>
      </c>
      <c r="HK174" t="e">
        <f>AND('STERLING CATALOG - DRY '!A3877,"AAAAAGJv79o=")</f>
        <v>#VALUE!</v>
      </c>
      <c r="HL174" t="e">
        <f>AND('STERLING CATALOG - DRY '!B3877,"AAAAAGJv79s=")</f>
        <v>#VALUE!</v>
      </c>
      <c r="HM174" t="e">
        <f>AND('STERLING CATALOG - DRY '!C3877,"AAAAAGJv79w=")</f>
        <v>#VALUE!</v>
      </c>
      <c r="HN174" t="e">
        <f>AND('STERLING CATALOG - DRY '!D3877,"AAAAAGJv790=")</f>
        <v>#VALUE!</v>
      </c>
      <c r="HO174" t="e">
        <f>AND('STERLING CATALOG - DRY '!E3877,"AAAAAGJv794=")</f>
        <v>#VALUE!</v>
      </c>
      <c r="HP174" t="e">
        <f>AND('STERLING CATALOG - DRY '!F3877,"AAAAAGJv798=")</f>
        <v>#VALUE!</v>
      </c>
      <c r="HQ174" t="e">
        <f>AND('STERLING CATALOG - DRY '!G3877,"AAAAAGJv7+A=")</f>
        <v>#VALUE!</v>
      </c>
      <c r="HR174" t="e">
        <f>AND('STERLING CATALOG - DRY '!H3877,"AAAAAGJv7+E=")</f>
        <v>#VALUE!</v>
      </c>
      <c r="HS174" t="e">
        <f>AND('STERLING CATALOG - DRY '!I3877,"AAAAAGJv7+I=")</f>
        <v>#VALUE!</v>
      </c>
      <c r="HT174" t="e">
        <f>AND('STERLING CATALOG - DRY '!J3877,"AAAAAGJv7+M=")</f>
        <v>#VALUE!</v>
      </c>
      <c r="HU174">
        <f>IF('STERLING CATALOG - DRY '!3878:3878,"AAAAAGJv7+Q=",0)</f>
        <v>0</v>
      </c>
      <c r="HV174" t="e">
        <f>AND('STERLING CATALOG - DRY '!A3878,"AAAAAGJv7+U=")</f>
        <v>#VALUE!</v>
      </c>
      <c r="HW174" t="e">
        <f>AND('STERLING CATALOG - DRY '!B3878,"AAAAAGJv7+Y=")</f>
        <v>#VALUE!</v>
      </c>
      <c r="HX174" t="e">
        <f>AND('STERLING CATALOG - DRY '!C3878,"AAAAAGJv7+c=")</f>
        <v>#VALUE!</v>
      </c>
      <c r="HY174" t="e">
        <f>AND('STERLING CATALOG - DRY '!D3878,"AAAAAGJv7+g=")</f>
        <v>#VALUE!</v>
      </c>
      <c r="HZ174" t="e">
        <f>AND('STERLING CATALOG - DRY '!E3878,"AAAAAGJv7+k=")</f>
        <v>#VALUE!</v>
      </c>
      <c r="IA174" t="e">
        <f>AND('STERLING CATALOG - DRY '!F3878,"AAAAAGJv7+o=")</f>
        <v>#VALUE!</v>
      </c>
      <c r="IB174" t="e">
        <f>AND('STERLING CATALOG - DRY '!G3878,"AAAAAGJv7+s=")</f>
        <v>#VALUE!</v>
      </c>
      <c r="IC174" t="e">
        <f>AND('STERLING CATALOG - DRY '!H3878,"AAAAAGJv7+w=")</f>
        <v>#VALUE!</v>
      </c>
      <c r="ID174" t="e">
        <f>AND('STERLING CATALOG - DRY '!I3878,"AAAAAGJv7+0=")</f>
        <v>#VALUE!</v>
      </c>
      <c r="IE174" t="e">
        <f>AND('STERLING CATALOG - DRY '!J3878,"AAAAAGJv7+4=")</f>
        <v>#VALUE!</v>
      </c>
      <c r="IF174">
        <f>IF('STERLING CATALOG - DRY '!3879:3879,"AAAAAGJv7+8=",0)</f>
        <v>0</v>
      </c>
      <c r="IG174" t="e">
        <f>AND('STERLING CATALOG - DRY '!A3879,"AAAAAGJv7/A=")</f>
        <v>#VALUE!</v>
      </c>
      <c r="IH174" t="e">
        <f>AND('STERLING CATALOG - DRY '!B3879,"AAAAAGJv7/E=")</f>
        <v>#VALUE!</v>
      </c>
      <c r="II174" t="e">
        <f>AND('STERLING CATALOG - DRY '!C3879,"AAAAAGJv7/I=")</f>
        <v>#VALUE!</v>
      </c>
      <c r="IJ174" t="e">
        <f>AND('STERLING CATALOG - DRY '!D3879,"AAAAAGJv7/M=")</f>
        <v>#VALUE!</v>
      </c>
      <c r="IK174" t="e">
        <f>AND('STERLING CATALOG - DRY '!E3879,"AAAAAGJv7/Q=")</f>
        <v>#VALUE!</v>
      </c>
      <c r="IL174" t="e">
        <f>AND('STERLING CATALOG - DRY '!F3879,"AAAAAGJv7/U=")</f>
        <v>#VALUE!</v>
      </c>
      <c r="IM174" t="e">
        <f>AND('STERLING CATALOG - DRY '!G3879,"AAAAAGJv7/Y=")</f>
        <v>#VALUE!</v>
      </c>
      <c r="IN174" t="e">
        <f>AND('STERLING CATALOG - DRY '!H3879,"AAAAAGJv7/c=")</f>
        <v>#VALUE!</v>
      </c>
      <c r="IO174" t="e">
        <f>AND('STERLING CATALOG - DRY '!I3879,"AAAAAGJv7/g=")</f>
        <v>#VALUE!</v>
      </c>
      <c r="IP174" t="e">
        <f>AND('STERLING CATALOG - DRY '!J3879,"AAAAAGJv7/k=")</f>
        <v>#VALUE!</v>
      </c>
      <c r="IQ174">
        <f>IF('STERLING CATALOG - DRY '!3880:3880,"AAAAAGJv7/o=",0)</f>
        <v>0</v>
      </c>
      <c r="IR174" t="e">
        <f>AND('STERLING CATALOG - DRY '!A3880,"AAAAAGJv7/s=")</f>
        <v>#VALUE!</v>
      </c>
      <c r="IS174" t="e">
        <f>AND('STERLING CATALOG - DRY '!B3880,"AAAAAGJv7/w=")</f>
        <v>#VALUE!</v>
      </c>
      <c r="IT174" t="e">
        <f>AND('STERLING CATALOG - DRY '!C3880,"AAAAAGJv7/0=")</f>
        <v>#VALUE!</v>
      </c>
      <c r="IU174" t="e">
        <f>AND('STERLING CATALOG - DRY '!D3880,"AAAAAGJv7/4=")</f>
        <v>#VALUE!</v>
      </c>
      <c r="IV174" t="e">
        <f>AND('STERLING CATALOG - DRY '!E3880,"AAAAAGJv7/8=")</f>
        <v>#VALUE!</v>
      </c>
    </row>
    <row r="175" spans="1:256">
      <c r="A175" t="e">
        <f>AND('STERLING CATALOG - DRY '!F3880,"AAAAAE/U9wA=")</f>
        <v>#VALUE!</v>
      </c>
      <c r="B175" t="e">
        <f>AND('STERLING CATALOG - DRY '!G3880,"AAAAAE/U9wE=")</f>
        <v>#VALUE!</v>
      </c>
      <c r="C175" t="e">
        <f>AND('STERLING CATALOG - DRY '!H3880,"AAAAAE/U9wI=")</f>
        <v>#VALUE!</v>
      </c>
      <c r="D175" t="e">
        <f>AND('STERLING CATALOG - DRY '!I3880,"AAAAAE/U9wM=")</f>
        <v>#VALUE!</v>
      </c>
      <c r="E175" t="e">
        <f>AND('STERLING CATALOG - DRY '!J3880,"AAAAAE/U9wQ=")</f>
        <v>#VALUE!</v>
      </c>
      <c r="F175" t="str">
        <f>IF('STERLING CATALOG - DRY '!3881:3881,"AAAAAE/U9wU=",0)</f>
        <v>AAAAAE/U9wU=</v>
      </c>
      <c r="G175" t="e">
        <f>AND('STERLING CATALOG - DRY '!A3881,"AAAAAE/U9wY=")</f>
        <v>#VALUE!</v>
      </c>
      <c r="H175" t="e">
        <f>AND('STERLING CATALOG - DRY '!B3881,"AAAAAE/U9wc=")</f>
        <v>#VALUE!</v>
      </c>
      <c r="I175" t="e">
        <f>AND('STERLING CATALOG - DRY '!C3881,"AAAAAE/U9wg=")</f>
        <v>#VALUE!</v>
      </c>
      <c r="J175" t="e">
        <f>AND('STERLING CATALOG - DRY '!D3881,"AAAAAE/U9wk=")</f>
        <v>#VALUE!</v>
      </c>
      <c r="K175" t="e">
        <f>AND('STERLING CATALOG - DRY '!E3881,"AAAAAE/U9wo=")</f>
        <v>#VALUE!</v>
      </c>
      <c r="L175" t="e">
        <f>AND('STERLING CATALOG - DRY '!F3881,"AAAAAE/U9ws=")</f>
        <v>#VALUE!</v>
      </c>
      <c r="M175" t="e">
        <f>AND('STERLING CATALOG - DRY '!G3881,"AAAAAE/U9ww=")</f>
        <v>#VALUE!</v>
      </c>
      <c r="N175" t="e">
        <f>AND('STERLING CATALOG - DRY '!H3881,"AAAAAE/U9w0=")</f>
        <v>#VALUE!</v>
      </c>
      <c r="O175" t="e">
        <f>AND('STERLING CATALOG - DRY '!I3881,"AAAAAE/U9w4=")</f>
        <v>#VALUE!</v>
      </c>
      <c r="P175" t="e">
        <f>AND('STERLING CATALOG - DRY '!J3881,"AAAAAE/U9w8=")</f>
        <v>#VALUE!</v>
      </c>
      <c r="Q175">
        <f>IF('STERLING CATALOG - DRY '!3882:3882,"AAAAAE/U9xA=",0)</f>
        <v>0</v>
      </c>
      <c r="R175" t="e">
        <f>AND('STERLING CATALOG - DRY '!A3882,"AAAAAE/U9xE=")</f>
        <v>#VALUE!</v>
      </c>
      <c r="S175" t="e">
        <f>AND('STERLING CATALOG - DRY '!B3882,"AAAAAE/U9xI=")</f>
        <v>#VALUE!</v>
      </c>
      <c r="T175" t="e">
        <f>AND('STERLING CATALOG - DRY '!C3882,"AAAAAE/U9xM=")</f>
        <v>#VALUE!</v>
      </c>
      <c r="U175" t="e">
        <f>AND('STERLING CATALOG - DRY '!D3882,"AAAAAE/U9xQ=")</f>
        <v>#VALUE!</v>
      </c>
      <c r="V175" t="e">
        <f>AND('STERLING CATALOG - DRY '!E3882,"AAAAAE/U9xU=")</f>
        <v>#VALUE!</v>
      </c>
      <c r="W175" t="e">
        <f>AND('STERLING CATALOG - DRY '!F3882,"AAAAAE/U9xY=")</f>
        <v>#VALUE!</v>
      </c>
      <c r="X175" t="e">
        <f>AND('STERLING CATALOG - DRY '!G3882,"AAAAAE/U9xc=")</f>
        <v>#VALUE!</v>
      </c>
      <c r="Y175" t="e">
        <f>AND('STERLING CATALOG - DRY '!H3882,"AAAAAE/U9xg=")</f>
        <v>#VALUE!</v>
      </c>
      <c r="Z175" t="e">
        <f>AND('STERLING CATALOG - DRY '!I3882,"AAAAAE/U9xk=")</f>
        <v>#VALUE!</v>
      </c>
      <c r="AA175" t="e">
        <f>AND('STERLING CATALOG - DRY '!J3882,"AAAAAE/U9xo=")</f>
        <v>#VALUE!</v>
      </c>
      <c r="AB175">
        <f>IF('STERLING CATALOG - DRY '!3883:3883,"AAAAAE/U9xs=",0)</f>
        <v>0</v>
      </c>
      <c r="AC175" t="e">
        <f>AND('STERLING CATALOG - DRY '!A3883,"AAAAAE/U9xw=")</f>
        <v>#VALUE!</v>
      </c>
      <c r="AD175" t="e">
        <f>AND('STERLING CATALOG - DRY '!B3883,"AAAAAE/U9x0=")</f>
        <v>#VALUE!</v>
      </c>
      <c r="AE175" t="e">
        <f>AND('STERLING CATALOG - DRY '!C3883,"AAAAAE/U9x4=")</f>
        <v>#VALUE!</v>
      </c>
      <c r="AF175" t="e">
        <f>AND('STERLING CATALOG - DRY '!D3883,"AAAAAE/U9x8=")</f>
        <v>#VALUE!</v>
      </c>
      <c r="AG175" t="e">
        <f>AND('STERLING CATALOG - DRY '!E3883,"AAAAAE/U9yA=")</f>
        <v>#VALUE!</v>
      </c>
      <c r="AH175" t="e">
        <f>AND('STERLING CATALOG - DRY '!F3883,"AAAAAE/U9yE=")</f>
        <v>#VALUE!</v>
      </c>
      <c r="AI175" t="e">
        <f>AND('STERLING CATALOG - DRY '!G3883,"AAAAAE/U9yI=")</f>
        <v>#VALUE!</v>
      </c>
      <c r="AJ175" t="e">
        <f>AND('STERLING CATALOG - DRY '!H3883,"AAAAAE/U9yM=")</f>
        <v>#VALUE!</v>
      </c>
      <c r="AK175" t="e">
        <f>AND('STERLING CATALOG - DRY '!I3883,"AAAAAE/U9yQ=")</f>
        <v>#VALUE!</v>
      </c>
      <c r="AL175" t="e">
        <f>AND('STERLING CATALOG - DRY '!J3883,"AAAAAE/U9yU=")</f>
        <v>#VALUE!</v>
      </c>
      <c r="AM175">
        <f>IF('STERLING CATALOG - DRY '!3884:3884,"AAAAAE/U9yY=",0)</f>
        <v>0</v>
      </c>
      <c r="AN175" t="e">
        <f>AND('STERLING CATALOG - DRY '!A3884,"AAAAAE/U9yc=")</f>
        <v>#VALUE!</v>
      </c>
      <c r="AO175" t="e">
        <f>AND('STERLING CATALOG - DRY '!B3884,"AAAAAE/U9yg=")</f>
        <v>#VALUE!</v>
      </c>
      <c r="AP175" t="e">
        <f>AND('STERLING CATALOG - DRY '!C3884,"AAAAAE/U9yk=")</f>
        <v>#VALUE!</v>
      </c>
      <c r="AQ175" t="e">
        <f>AND('STERLING CATALOG - DRY '!D3884,"AAAAAE/U9yo=")</f>
        <v>#VALUE!</v>
      </c>
      <c r="AR175" t="e">
        <f>AND('STERLING CATALOG - DRY '!E3884,"AAAAAE/U9ys=")</f>
        <v>#VALUE!</v>
      </c>
      <c r="AS175" t="e">
        <f>AND('STERLING CATALOG - DRY '!F3884,"AAAAAE/U9yw=")</f>
        <v>#VALUE!</v>
      </c>
      <c r="AT175" t="e">
        <f>AND('STERLING CATALOG - DRY '!G3884,"AAAAAE/U9y0=")</f>
        <v>#VALUE!</v>
      </c>
      <c r="AU175" t="e">
        <f>AND('STERLING CATALOG - DRY '!H3884,"AAAAAE/U9y4=")</f>
        <v>#VALUE!</v>
      </c>
      <c r="AV175" t="e">
        <f>AND('STERLING CATALOG - DRY '!I3884,"AAAAAE/U9y8=")</f>
        <v>#VALUE!</v>
      </c>
      <c r="AW175" t="e">
        <f>AND('STERLING CATALOG - DRY '!J3884,"AAAAAE/U9zA=")</f>
        <v>#VALUE!</v>
      </c>
      <c r="AX175">
        <f>IF('STERLING CATALOG - DRY '!3885:3885,"AAAAAE/U9zE=",0)</f>
        <v>0</v>
      </c>
      <c r="AY175" t="e">
        <f>AND('STERLING CATALOG - DRY '!A3885,"AAAAAE/U9zI=")</f>
        <v>#VALUE!</v>
      </c>
      <c r="AZ175" t="e">
        <f>AND('STERLING CATALOG - DRY '!B3885,"AAAAAE/U9zM=")</f>
        <v>#VALUE!</v>
      </c>
      <c r="BA175" t="e">
        <f>AND('STERLING CATALOG - DRY '!C3885,"AAAAAE/U9zQ=")</f>
        <v>#VALUE!</v>
      </c>
      <c r="BB175" t="e">
        <f>AND('STERLING CATALOG - DRY '!D3885,"AAAAAE/U9zU=")</f>
        <v>#VALUE!</v>
      </c>
      <c r="BC175" t="e">
        <f>AND('STERLING CATALOG - DRY '!E3885,"AAAAAE/U9zY=")</f>
        <v>#VALUE!</v>
      </c>
      <c r="BD175" t="e">
        <f>AND('STERLING CATALOG - DRY '!F3885,"AAAAAE/U9zc=")</f>
        <v>#VALUE!</v>
      </c>
      <c r="BE175" t="e">
        <f>AND('STERLING CATALOG - DRY '!G3885,"AAAAAE/U9zg=")</f>
        <v>#VALUE!</v>
      </c>
      <c r="BF175" t="e">
        <f>AND('STERLING CATALOG - DRY '!H3885,"AAAAAE/U9zk=")</f>
        <v>#VALUE!</v>
      </c>
      <c r="BG175" t="e">
        <f>AND('STERLING CATALOG - DRY '!I3885,"AAAAAE/U9zo=")</f>
        <v>#VALUE!</v>
      </c>
      <c r="BH175" t="e">
        <f>AND('STERLING CATALOG - DRY '!J3885,"AAAAAE/U9zs=")</f>
        <v>#VALUE!</v>
      </c>
      <c r="BI175">
        <f>IF('STERLING CATALOG - DRY '!3886:3886,"AAAAAE/U9zw=",0)</f>
        <v>0</v>
      </c>
      <c r="BJ175" t="e">
        <f>AND('STERLING CATALOG - DRY '!A3886,"AAAAAE/U9z0=")</f>
        <v>#VALUE!</v>
      </c>
      <c r="BK175" t="e">
        <f>AND('STERLING CATALOG - DRY '!B3886,"AAAAAE/U9z4=")</f>
        <v>#VALUE!</v>
      </c>
      <c r="BL175" t="e">
        <f>AND('STERLING CATALOG - DRY '!C3886,"AAAAAE/U9z8=")</f>
        <v>#VALUE!</v>
      </c>
      <c r="BM175" t="e">
        <f>AND('STERLING CATALOG - DRY '!D3886,"AAAAAE/U90A=")</f>
        <v>#VALUE!</v>
      </c>
      <c r="BN175" t="e">
        <f>AND('STERLING CATALOG - DRY '!E3886,"AAAAAE/U90E=")</f>
        <v>#VALUE!</v>
      </c>
      <c r="BO175" t="e">
        <f>AND('STERLING CATALOG - DRY '!F3886,"AAAAAE/U90I=")</f>
        <v>#VALUE!</v>
      </c>
      <c r="BP175" t="e">
        <f>AND('STERLING CATALOG - DRY '!G3886,"AAAAAE/U90M=")</f>
        <v>#VALUE!</v>
      </c>
      <c r="BQ175" t="e">
        <f>AND('STERLING CATALOG - DRY '!H3886,"AAAAAE/U90Q=")</f>
        <v>#VALUE!</v>
      </c>
      <c r="BR175" t="e">
        <f>AND('STERLING CATALOG - DRY '!I3886,"AAAAAE/U90U=")</f>
        <v>#VALUE!</v>
      </c>
      <c r="BS175" t="e">
        <f>AND('STERLING CATALOG - DRY '!J3886,"AAAAAE/U90Y=")</f>
        <v>#VALUE!</v>
      </c>
      <c r="BT175">
        <f>IF('STERLING CATALOG - DRY '!3887:3887,"AAAAAE/U90c=",0)</f>
        <v>0</v>
      </c>
      <c r="BU175" t="e">
        <f>AND('STERLING CATALOG - DRY '!A3887,"AAAAAE/U90g=")</f>
        <v>#VALUE!</v>
      </c>
      <c r="BV175" t="e">
        <f>AND('STERLING CATALOG - DRY '!B3887,"AAAAAE/U90k=")</f>
        <v>#VALUE!</v>
      </c>
      <c r="BW175" t="e">
        <f>AND('STERLING CATALOG - DRY '!C3887,"AAAAAE/U90o=")</f>
        <v>#VALUE!</v>
      </c>
      <c r="BX175" t="e">
        <f>AND('STERLING CATALOG - DRY '!D3887,"AAAAAE/U90s=")</f>
        <v>#VALUE!</v>
      </c>
      <c r="BY175" t="e">
        <f>AND('STERLING CATALOG - DRY '!E3887,"AAAAAE/U90w=")</f>
        <v>#VALUE!</v>
      </c>
      <c r="BZ175" t="e">
        <f>AND('STERLING CATALOG - DRY '!F3887,"AAAAAE/U900=")</f>
        <v>#VALUE!</v>
      </c>
      <c r="CA175" t="e">
        <f>AND('STERLING CATALOG - DRY '!G3887,"AAAAAE/U904=")</f>
        <v>#VALUE!</v>
      </c>
      <c r="CB175" t="e">
        <f>AND('STERLING CATALOG - DRY '!H3887,"AAAAAE/U908=")</f>
        <v>#VALUE!</v>
      </c>
      <c r="CC175" t="e">
        <f>AND('STERLING CATALOG - DRY '!I3887,"AAAAAE/U91A=")</f>
        <v>#VALUE!</v>
      </c>
      <c r="CD175" t="e">
        <f>AND('STERLING CATALOG - DRY '!J3887,"AAAAAE/U91E=")</f>
        <v>#VALUE!</v>
      </c>
      <c r="CE175">
        <f>IF('STERLING CATALOG - DRY '!3888:3888,"AAAAAE/U91I=",0)</f>
        <v>0</v>
      </c>
      <c r="CF175" t="e">
        <f>AND('STERLING CATALOG - DRY '!A3888,"AAAAAE/U91M=")</f>
        <v>#VALUE!</v>
      </c>
      <c r="CG175" t="e">
        <f>AND('STERLING CATALOG - DRY '!B3888,"AAAAAE/U91Q=")</f>
        <v>#VALUE!</v>
      </c>
      <c r="CH175" t="e">
        <f>AND('STERLING CATALOG - DRY '!C3888,"AAAAAE/U91U=")</f>
        <v>#VALUE!</v>
      </c>
      <c r="CI175" t="e">
        <f>AND('STERLING CATALOG - DRY '!D3888,"AAAAAE/U91Y=")</f>
        <v>#VALUE!</v>
      </c>
      <c r="CJ175" t="e">
        <f>AND('STERLING CATALOG - DRY '!E3888,"AAAAAE/U91c=")</f>
        <v>#VALUE!</v>
      </c>
      <c r="CK175" t="e">
        <f>AND('STERLING CATALOG - DRY '!F3888,"AAAAAE/U91g=")</f>
        <v>#VALUE!</v>
      </c>
      <c r="CL175" t="e">
        <f>AND('STERLING CATALOG - DRY '!G3888,"AAAAAE/U91k=")</f>
        <v>#VALUE!</v>
      </c>
      <c r="CM175" t="e">
        <f>AND('STERLING CATALOG - DRY '!H3888,"AAAAAE/U91o=")</f>
        <v>#VALUE!</v>
      </c>
      <c r="CN175" t="e">
        <f>AND('STERLING CATALOG - DRY '!I3888,"AAAAAE/U91s=")</f>
        <v>#VALUE!</v>
      </c>
      <c r="CO175" t="e">
        <f>AND('STERLING CATALOG - DRY '!J3888,"AAAAAE/U91w=")</f>
        <v>#VALUE!</v>
      </c>
      <c r="CP175">
        <f>IF('STERLING CATALOG - DRY '!3889:3889,"AAAAAE/U910=",0)</f>
        <v>0</v>
      </c>
      <c r="CQ175" t="e">
        <f>AND('STERLING CATALOG - DRY '!A3889,"AAAAAE/U914=")</f>
        <v>#VALUE!</v>
      </c>
      <c r="CR175" t="e">
        <f>AND('STERLING CATALOG - DRY '!B3889,"AAAAAE/U918=")</f>
        <v>#VALUE!</v>
      </c>
      <c r="CS175" t="e">
        <f>AND('STERLING CATALOG - DRY '!C3889,"AAAAAE/U92A=")</f>
        <v>#VALUE!</v>
      </c>
      <c r="CT175" t="e">
        <f>AND('STERLING CATALOG - DRY '!D3889,"AAAAAE/U92E=")</f>
        <v>#VALUE!</v>
      </c>
      <c r="CU175" t="e">
        <f>AND('STERLING CATALOG - DRY '!E3889,"AAAAAE/U92I=")</f>
        <v>#VALUE!</v>
      </c>
      <c r="CV175" t="e">
        <f>AND('STERLING CATALOG - DRY '!F3889,"AAAAAE/U92M=")</f>
        <v>#VALUE!</v>
      </c>
      <c r="CW175" t="e">
        <f>AND('STERLING CATALOG - DRY '!G3889,"AAAAAE/U92Q=")</f>
        <v>#VALUE!</v>
      </c>
      <c r="CX175" t="e">
        <f>AND('STERLING CATALOG - DRY '!H3889,"AAAAAE/U92U=")</f>
        <v>#VALUE!</v>
      </c>
      <c r="CY175" t="e">
        <f>AND('STERLING CATALOG - DRY '!I3889,"AAAAAE/U92Y=")</f>
        <v>#VALUE!</v>
      </c>
      <c r="CZ175" t="e">
        <f>AND('STERLING CATALOG - DRY '!J3889,"AAAAAE/U92c=")</f>
        <v>#VALUE!</v>
      </c>
      <c r="DA175">
        <f>IF('STERLING CATALOG - DRY '!3890:3890,"AAAAAE/U92g=",0)</f>
        <v>0</v>
      </c>
      <c r="DB175" t="e">
        <f>AND('STERLING CATALOG - DRY '!A3890,"AAAAAE/U92k=")</f>
        <v>#VALUE!</v>
      </c>
      <c r="DC175" t="e">
        <f>AND('STERLING CATALOG - DRY '!B3890,"AAAAAE/U92o=")</f>
        <v>#VALUE!</v>
      </c>
      <c r="DD175" t="e">
        <f>AND('STERLING CATALOG - DRY '!C3890,"AAAAAE/U92s=")</f>
        <v>#VALUE!</v>
      </c>
      <c r="DE175" t="e">
        <f>AND('STERLING CATALOG - DRY '!D3890,"AAAAAE/U92w=")</f>
        <v>#VALUE!</v>
      </c>
      <c r="DF175" t="e">
        <f>AND('STERLING CATALOG - DRY '!E3890,"AAAAAE/U920=")</f>
        <v>#VALUE!</v>
      </c>
      <c r="DG175" t="e">
        <f>AND('STERLING CATALOG - DRY '!F3890,"AAAAAE/U924=")</f>
        <v>#VALUE!</v>
      </c>
      <c r="DH175" t="e">
        <f>AND('STERLING CATALOG - DRY '!G3890,"AAAAAE/U928=")</f>
        <v>#VALUE!</v>
      </c>
      <c r="DI175" t="e">
        <f>AND('STERLING CATALOG - DRY '!H3890,"AAAAAE/U93A=")</f>
        <v>#VALUE!</v>
      </c>
      <c r="DJ175" t="e">
        <f>AND('STERLING CATALOG - DRY '!I3890,"AAAAAE/U93E=")</f>
        <v>#VALUE!</v>
      </c>
      <c r="DK175" t="e">
        <f>AND('STERLING CATALOG - DRY '!J3890,"AAAAAE/U93I=")</f>
        <v>#VALUE!</v>
      </c>
      <c r="DL175">
        <f>IF('STERLING CATALOG - DRY '!3891:3891,"AAAAAE/U93M=",0)</f>
        <v>0</v>
      </c>
      <c r="DM175" t="e">
        <f>AND('STERLING CATALOG - DRY '!A3891,"AAAAAE/U93Q=")</f>
        <v>#VALUE!</v>
      </c>
      <c r="DN175" t="e">
        <f>AND('STERLING CATALOG - DRY '!B3891,"AAAAAE/U93U=")</f>
        <v>#VALUE!</v>
      </c>
      <c r="DO175" t="e">
        <f>AND('STERLING CATALOG - DRY '!C3891,"AAAAAE/U93Y=")</f>
        <v>#VALUE!</v>
      </c>
      <c r="DP175" t="e">
        <f>AND('STERLING CATALOG - DRY '!D3891,"AAAAAE/U93c=")</f>
        <v>#VALUE!</v>
      </c>
      <c r="DQ175" t="e">
        <f>AND('STERLING CATALOG - DRY '!E3891,"AAAAAE/U93g=")</f>
        <v>#VALUE!</v>
      </c>
      <c r="DR175" t="e">
        <f>AND('STERLING CATALOG - DRY '!F3891,"AAAAAE/U93k=")</f>
        <v>#VALUE!</v>
      </c>
      <c r="DS175" t="e">
        <f>AND('STERLING CATALOG - DRY '!G3891,"AAAAAE/U93o=")</f>
        <v>#VALUE!</v>
      </c>
      <c r="DT175" t="e">
        <f>AND('STERLING CATALOG - DRY '!H3891,"AAAAAE/U93s=")</f>
        <v>#VALUE!</v>
      </c>
      <c r="DU175" t="e">
        <f>AND('STERLING CATALOG - DRY '!I3891,"AAAAAE/U93w=")</f>
        <v>#VALUE!</v>
      </c>
      <c r="DV175" t="e">
        <f>AND('STERLING CATALOG - DRY '!J3891,"AAAAAE/U930=")</f>
        <v>#VALUE!</v>
      </c>
      <c r="DW175">
        <f>IF('STERLING CATALOG - DRY '!3892:3892,"AAAAAE/U934=",0)</f>
        <v>0</v>
      </c>
      <c r="DX175" t="e">
        <f>AND('STERLING CATALOG - DRY '!A3892,"AAAAAE/U938=")</f>
        <v>#VALUE!</v>
      </c>
      <c r="DY175" t="e">
        <f>AND('STERLING CATALOG - DRY '!B3892,"AAAAAE/U94A=")</f>
        <v>#VALUE!</v>
      </c>
      <c r="DZ175" t="e">
        <f>AND('STERLING CATALOG - DRY '!C3892,"AAAAAE/U94E=")</f>
        <v>#VALUE!</v>
      </c>
      <c r="EA175" t="e">
        <f>AND('STERLING CATALOG - DRY '!D3892,"AAAAAE/U94I=")</f>
        <v>#VALUE!</v>
      </c>
      <c r="EB175" t="e">
        <f>AND('STERLING CATALOG - DRY '!E3892,"AAAAAE/U94M=")</f>
        <v>#VALUE!</v>
      </c>
      <c r="EC175" t="e">
        <f>AND('STERLING CATALOG - DRY '!F3892,"AAAAAE/U94Q=")</f>
        <v>#VALUE!</v>
      </c>
      <c r="ED175" t="e">
        <f>AND('STERLING CATALOG - DRY '!G3892,"AAAAAE/U94U=")</f>
        <v>#VALUE!</v>
      </c>
      <c r="EE175" t="e">
        <f>AND('STERLING CATALOG - DRY '!H3892,"AAAAAE/U94Y=")</f>
        <v>#VALUE!</v>
      </c>
      <c r="EF175" t="e">
        <f>AND('STERLING CATALOG - DRY '!I3892,"AAAAAE/U94c=")</f>
        <v>#VALUE!</v>
      </c>
      <c r="EG175" t="e">
        <f>AND('STERLING CATALOG - DRY '!J3892,"AAAAAE/U94g=")</f>
        <v>#VALUE!</v>
      </c>
      <c r="EH175">
        <f>IF('STERLING CATALOG - DRY '!3893:3893,"AAAAAE/U94k=",0)</f>
        <v>0</v>
      </c>
      <c r="EI175" t="e">
        <f>AND('STERLING CATALOG - DRY '!A3893,"AAAAAE/U94o=")</f>
        <v>#VALUE!</v>
      </c>
      <c r="EJ175" t="e">
        <f>AND('STERLING CATALOG - DRY '!B3893,"AAAAAE/U94s=")</f>
        <v>#VALUE!</v>
      </c>
      <c r="EK175" t="e">
        <f>AND('STERLING CATALOG - DRY '!C3893,"AAAAAE/U94w=")</f>
        <v>#VALUE!</v>
      </c>
      <c r="EL175" t="e">
        <f>AND('STERLING CATALOG - DRY '!D3893,"AAAAAE/U940=")</f>
        <v>#VALUE!</v>
      </c>
      <c r="EM175" t="e">
        <f>AND('STERLING CATALOG - DRY '!E3893,"AAAAAE/U944=")</f>
        <v>#VALUE!</v>
      </c>
      <c r="EN175" t="e">
        <f>AND('STERLING CATALOG - DRY '!F3893,"AAAAAE/U948=")</f>
        <v>#VALUE!</v>
      </c>
      <c r="EO175" t="e">
        <f>AND('STERLING CATALOG - DRY '!G3893,"AAAAAE/U95A=")</f>
        <v>#VALUE!</v>
      </c>
      <c r="EP175" t="e">
        <f>AND('STERLING CATALOG - DRY '!H3893,"AAAAAE/U95E=")</f>
        <v>#VALUE!</v>
      </c>
      <c r="EQ175" t="e">
        <f>AND('STERLING CATALOG - DRY '!I3893,"AAAAAE/U95I=")</f>
        <v>#VALUE!</v>
      </c>
      <c r="ER175" t="e">
        <f>AND('STERLING CATALOG - DRY '!J3893,"AAAAAE/U95M=")</f>
        <v>#VALUE!</v>
      </c>
      <c r="ES175">
        <f>IF('STERLING CATALOG - DRY '!3894:3894,"AAAAAE/U95Q=",0)</f>
        <v>0</v>
      </c>
      <c r="ET175" t="e">
        <f>AND('STERLING CATALOG - DRY '!A3894,"AAAAAE/U95U=")</f>
        <v>#VALUE!</v>
      </c>
      <c r="EU175" t="e">
        <f>AND('STERLING CATALOG - DRY '!B3894,"AAAAAE/U95Y=")</f>
        <v>#VALUE!</v>
      </c>
      <c r="EV175" t="e">
        <f>AND('STERLING CATALOG - DRY '!C3894,"AAAAAE/U95c=")</f>
        <v>#VALUE!</v>
      </c>
      <c r="EW175" t="e">
        <f>AND('STERLING CATALOG - DRY '!D3894,"AAAAAE/U95g=")</f>
        <v>#VALUE!</v>
      </c>
      <c r="EX175" t="e">
        <f>AND('STERLING CATALOG - DRY '!E3894,"AAAAAE/U95k=")</f>
        <v>#VALUE!</v>
      </c>
      <c r="EY175" t="e">
        <f>AND('STERLING CATALOG - DRY '!F3894,"AAAAAE/U95o=")</f>
        <v>#VALUE!</v>
      </c>
      <c r="EZ175" t="e">
        <f>AND('STERLING CATALOG - DRY '!G3894,"AAAAAE/U95s=")</f>
        <v>#VALUE!</v>
      </c>
      <c r="FA175" t="e">
        <f>AND('STERLING CATALOG - DRY '!H3894,"AAAAAE/U95w=")</f>
        <v>#VALUE!</v>
      </c>
      <c r="FB175" t="e">
        <f>AND('STERLING CATALOG - DRY '!I3894,"AAAAAE/U950=")</f>
        <v>#VALUE!</v>
      </c>
      <c r="FC175" t="e">
        <f>AND('STERLING CATALOG - DRY '!J3894,"AAAAAE/U954=")</f>
        <v>#VALUE!</v>
      </c>
      <c r="FD175">
        <f>IF('STERLING CATALOG - DRY '!3895:3895,"AAAAAE/U958=",0)</f>
        <v>0</v>
      </c>
      <c r="FE175" t="e">
        <f>AND('STERLING CATALOG - DRY '!A3895,"AAAAAE/U96A=")</f>
        <v>#VALUE!</v>
      </c>
      <c r="FF175" t="e">
        <f>AND('STERLING CATALOG - DRY '!B3895,"AAAAAE/U96E=")</f>
        <v>#VALUE!</v>
      </c>
      <c r="FG175" t="e">
        <f>AND('STERLING CATALOG - DRY '!C3895,"AAAAAE/U96I=")</f>
        <v>#VALUE!</v>
      </c>
      <c r="FH175" t="e">
        <f>AND('STERLING CATALOG - DRY '!D3895,"AAAAAE/U96M=")</f>
        <v>#VALUE!</v>
      </c>
      <c r="FI175" t="e">
        <f>AND('STERLING CATALOG - DRY '!E3895,"AAAAAE/U96Q=")</f>
        <v>#VALUE!</v>
      </c>
      <c r="FJ175" t="e">
        <f>AND('STERLING CATALOG - DRY '!F3895,"AAAAAE/U96U=")</f>
        <v>#VALUE!</v>
      </c>
      <c r="FK175" t="e">
        <f>AND('STERLING CATALOG - DRY '!G3895,"AAAAAE/U96Y=")</f>
        <v>#VALUE!</v>
      </c>
      <c r="FL175" t="e">
        <f>AND('STERLING CATALOG - DRY '!H3895,"AAAAAE/U96c=")</f>
        <v>#VALUE!</v>
      </c>
      <c r="FM175" t="e">
        <f>AND('STERLING CATALOG - DRY '!I3895,"AAAAAE/U96g=")</f>
        <v>#VALUE!</v>
      </c>
      <c r="FN175" t="e">
        <f>AND('STERLING CATALOG - DRY '!J3895,"AAAAAE/U96k=")</f>
        <v>#VALUE!</v>
      </c>
      <c r="FO175">
        <f>IF('STERLING CATALOG - DRY '!3896:3896,"AAAAAE/U96o=",0)</f>
        <v>0</v>
      </c>
      <c r="FP175" t="e">
        <f>AND('STERLING CATALOG - DRY '!A3896,"AAAAAE/U96s=")</f>
        <v>#VALUE!</v>
      </c>
      <c r="FQ175" t="e">
        <f>AND('STERLING CATALOG - DRY '!B3896,"AAAAAE/U96w=")</f>
        <v>#VALUE!</v>
      </c>
      <c r="FR175" t="e">
        <f>AND('STERLING CATALOG - DRY '!C3896,"AAAAAE/U960=")</f>
        <v>#VALUE!</v>
      </c>
      <c r="FS175" t="e">
        <f>AND('STERLING CATALOG - DRY '!D3896,"AAAAAE/U964=")</f>
        <v>#VALUE!</v>
      </c>
      <c r="FT175" t="e">
        <f>AND('STERLING CATALOG - DRY '!E3896,"AAAAAE/U968=")</f>
        <v>#VALUE!</v>
      </c>
      <c r="FU175" t="e">
        <f>AND('STERLING CATALOG - DRY '!F3896,"AAAAAE/U97A=")</f>
        <v>#VALUE!</v>
      </c>
      <c r="FV175" t="e">
        <f>AND('STERLING CATALOG - DRY '!G3896,"AAAAAE/U97E=")</f>
        <v>#VALUE!</v>
      </c>
      <c r="FW175" t="e">
        <f>AND('STERLING CATALOG - DRY '!H3896,"AAAAAE/U97I=")</f>
        <v>#VALUE!</v>
      </c>
      <c r="FX175" t="e">
        <f>AND('STERLING CATALOG - DRY '!I3896,"AAAAAE/U97M=")</f>
        <v>#VALUE!</v>
      </c>
      <c r="FY175" t="e">
        <f>AND('STERLING CATALOG - DRY '!J3896,"AAAAAE/U97Q=")</f>
        <v>#VALUE!</v>
      </c>
      <c r="FZ175">
        <f>IF('STERLING CATALOG - DRY '!3897:3897,"AAAAAE/U97U=",0)</f>
        <v>0</v>
      </c>
      <c r="GA175" t="e">
        <f>AND('STERLING CATALOG - DRY '!A3897,"AAAAAE/U97Y=")</f>
        <v>#VALUE!</v>
      </c>
      <c r="GB175" t="e">
        <f>AND('STERLING CATALOG - DRY '!B3897,"AAAAAE/U97c=")</f>
        <v>#VALUE!</v>
      </c>
      <c r="GC175" t="e">
        <f>AND('STERLING CATALOG - DRY '!C3897,"AAAAAE/U97g=")</f>
        <v>#VALUE!</v>
      </c>
      <c r="GD175" t="e">
        <f>AND('STERLING CATALOG - DRY '!D3897,"AAAAAE/U97k=")</f>
        <v>#VALUE!</v>
      </c>
      <c r="GE175" t="e">
        <f>AND('STERLING CATALOG - DRY '!E3897,"AAAAAE/U97o=")</f>
        <v>#VALUE!</v>
      </c>
      <c r="GF175" t="e">
        <f>AND('STERLING CATALOG - DRY '!F3897,"AAAAAE/U97s=")</f>
        <v>#VALUE!</v>
      </c>
      <c r="GG175" t="e">
        <f>AND('STERLING CATALOG - DRY '!G3897,"AAAAAE/U97w=")</f>
        <v>#VALUE!</v>
      </c>
      <c r="GH175" t="e">
        <f>AND('STERLING CATALOG - DRY '!H3897,"AAAAAE/U970=")</f>
        <v>#VALUE!</v>
      </c>
      <c r="GI175" t="e">
        <f>AND('STERLING CATALOG - DRY '!I3897,"AAAAAE/U974=")</f>
        <v>#VALUE!</v>
      </c>
      <c r="GJ175" t="e">
        <f>AND('STERLING CATALOG - DRY '!J3897,"AAAAAE/U978=")</f>
        <v>#VALUE!</v>
      </c>
      <c r="GK175">
        <f>IF('STERLING CATALOG - DRY '!3898:3898,"AAAAAE/U98A=",0)</f>
        <v>0</v>
      </c>
      <c r="GL175" t="e">
        <f>AND('STERLING CATALOG - DRY '!A3898,"AAAAAE/U98E=")</f>
        <v>#VALUE!</v>
      </c>
      <c r="GM175" t="e">
        <f>AND('STERLING CATALOG - DRY '!B3898,"AAAAAE/U98I=")</f>
        <v>#VALUE!</v>
      </c>
      <c r="GN175" t="e">
        <f>AND('STERLING CATALOG - DRY '!C3898,"AAAAAE/U98M=")</f>
        <v>#VALUE!</v>
      </c>
      <c r="GO175" t="e">
        <f>AND('STERLING CATALOG - DRY '!D3898,"AAAAAE/U98Q=")</f>
        <v>#VALUE!</v>
      </c>
      <c r="GP175" t="e">
        <f>AND('STERLING CATALOG - DRY '!E3898,"AAAAAE/U98U=")</f>
        <v>#VALUE!</v>
      </c>
      <c r="GQ175" t="e">
        <f>AND('STERLING CATALOG - DRY '!F3898,"AAAAAE/U98Y=")</f>
        <v>#VALUE!</v>
      </c>
      <c r="GR175" t="e">
        <f>AND('STERLING CATALOG - DRY '!G3898,"AAAAAE/U98c=")</f>
        <v>#VALUE!</v>
      </c>
      <c r="GS175" t="e">
        <f>AND('STERLING CATALOG - DRY '!H3898,"AAAAAE/U98g=")</f>
        <v>#VALUE!</v>
      </c>
      <c r="GT175" t="e">
        <f>AND('STERLING CATALOG - DRY '!I3898,"AAAAAE/U98k=")</f>
        <v>#VALUE!</v>
      </c>
      <c r="GU175" t="e">
        <f>AND('STERLING CATALOG - DRY '!J3898,"AAAAAE/U98o=")</f>
        <v>#VALUE!</v>
      </c>
      <c r="GV175">
        <f>IF('STERLING CATALOG - DRY '!3899:3899,"AAAAAE/U98s=",0)</f>
        <v>0</v>
      </c>
      <c r="GW175" t="e">
        <f>AND('STERLING CATALOG - DRY '!A3899,"AAAAAE/U98w=")</f>
        <v>#VALUE!</v>
      </c>
      <c r="GX175" t="e">
        <f>AND('STERLING CATALOG - DRY '!B3899,"AAAAAE/U980=")</f>
        <v>#VALUE!</v>
      </c>
      <c r="GY175" t="e">
        <f>AND('STERLING CATALOG - DRY '!C3899,"AAAAAE/U984=")</f>
        <v>#VALUE!</v>
      </c>
      <c r="GZ175" t="e">
        <f>AND('STERLING CATALOG - DRY '!D3899,"AAAAAE/U988=")</f>
        <v>#VALUE!</v>
      </c>
      <c r="HA175" t="e">
        <f>AND('STERLING CATALOG - DRY '!E3899,"AAAAAE/U99A=")</f>
        <v>#VALUE!</v>
      </c>
      <c r="HB175" t="e">
        <f>AND('STERLING CATALOG - DRY '!F3899,"AAAAAE/U99E=")</f>
        <v>#VALUE!</v>
      </c>
      <c r="HC175" t="e">
        <f>AND('STERLING CATALOG - DRY '!G3899,"AAAAAE/U99I=")</f>
        <v>#VALUE!</v>
      </c>
      <c r="HD175" t="e">
        <f>AND('STERLING CATALOG - DRY '!H3899,"AAAAAE/U99M=")</f>
        <v>#VALUE!</v>
      </c>
      <c r="HE175" t="e">
        <f>AND('STERLING CATALOG - DRY '!I3899,"AAAAAE/U99Q=")</f>
        <v>#VALUE!</v>
      </c>
      <c r="HF175" t="e">
        <f>AND('STERLING CATALOG - DRY '!J3899,"AAAAAE/U99U=")</f>
        <v>#VALUE!</v>
      </c>
      <c r="HG175">
        <f>IF('STERLING CATALOG - DRY '!3900:3900,"AAAAAE/U99Y=",0)</f>
        <v>0</v>
      </c>
      <c r="HH175" t="e">
        <f>AND('STERLING CATALOG - DRY '!A3900,"AAAAAE/U99c=")</f>
        <v>#VALUE!</v>
      </c>
      <c r="HI175" t="e">
        <f>AND('STERLING CATALOG - DRY '!B3900,"AAAAAE/U99g=")</f>
        <v>#VALUE!</v>
      </c>
      <c r="HJ175" t="e">
        <f>AND('STERLING CATALOG - DRY '!C3900,"AAAAAE/U99k=")</f>
        <v>#VALUE!</v>
      </c>
      <c r="HK175" t="e">
        <f>AND('STERLING CATALOG - DRY '!D3900,"AAAAAE/U99o=")</f>
        <v>#VALUE!</v>
      </c>
      <c r="HL175" t="e">
        <f>AND('STERLING CATALOG - DRY '!E3900,"AAAAAE/U99s=")</f>
        <v>#VALUE!</v>
      </c>
      <c r="HM175" t="e">
        <f>AND('STERLING CATALOG - DRY '!F3900,"AAAAAE/U99w=")</f>
        <v>#VALUE!</v>
      </c>
      <c r="HN175" t="e">
        <f>AND('STERLING CATALOG - DRY '!G3900,"AAAAAE/U990=")</f>
        <v>#VALUE!</v>
      </c>
      <c r="HO175" t="e">
        <f>AND('STERLING CATALOG - DRY '!H3900,"AAAAAE/U994=")</f>
        <v>#VALUE!</v>
      </c>
      <c r="HP175" t="e">
        <f>AND('STERLING CATALOG - DRY '!I3900,"AAAAAE/U998=")</f>
        <v>#VALUE!</v>
      </c>
      <c r="HQ175" t="e">
        <f>AND('STERLING CATALOG - DRY '!J3900,"AAAAAE/U9+A=")</f>
        <v>#VALUE!</v>
      </c>
      <c r="HR175">
        <f>IF('STERLING CATALOG - DRY '!3901:3901,"AAAAAE/U9+E=",0)</f>
        <v>0</v>
      </c>
      <c r="HS175" t="e">
        <f>AND('STERLING CATALOG - DRY '!A3901,"AAAAAE/U9+I=")</f>
        <v>#VALUE!</v>
      </c>
      <c r="HT175" t="e">
        <f>AND('STERLING CATALOG - DRY '!B3901,"AAAAAE/U9+M=")</f>
        <v>#VALUE!</v>
      </c>
      <c r="HU175" t="e">
        <f>AND('STERLING CATALOG - DRY '!C3901,"AAAAAE/U9+Q=")</f>
        <v>#VALUE!</v>
      </c>
      <c r="HV175" t="e">
        <f>AND('STERLING CATALOG - DRY '!D3901,"AAAAAE/U9+U=")</f>
        <v>#VALUE!</v>
      </c>
      <c r="HW175" t="e">
        <f>AND('STERLING CATALOG - DRY '!E3901,"AAAAAE/U9+Y=")</f>
        <v>#VALUE!</v>
      </c>
      <c r="HX175" t="e">
        <f>AND('STERLING CATALOG - DRY '!F3901,"AAAAAE/U9+c=")</f>
        <v>#VALUE!</v>
      </c>
      <c r="HY175" t="e">
        <f>AND('STERLING CATALOG - DRY '!G3901,"AAAAAE/U9+g=")</f>
        <v>#VALUE!</v>
      </c>
      <c r="HZ175" t="e">
        <f>AND('STERLING CATALOG - DRY '!H3901,"AAAAAE/U9+k=")</f>
        <v>#VALUE!</v>
      </c>
      <c r="IA175" t="e">
        <f>AND('STERLING CATALOG - DRY '!I3901,"AAAAAE/U9+o=")</f>
        <v>#VALUE!</v>
      </c>
      <c r="IB175" t="e">
        <f>AND('STERLING CATALOG - DRY '!J3901,"AAAAAE/U9+s=")</f>
        <v>#VALUE!</v>
      </c>
      <c r="IC175">
        <f>IF('STERLING CATALOG - DRY '!3902:3902,"AAAAAE/U9+w=",0)</f>
        <v>0</v>
      </c>
      <c r="ID175" t="e">
        <f>AND('STERLING CATALOG - DRY '!A3902,"AAAAAE/U9+0=")</f>
        <v>#VALUE!</v>
      </c>
      <c r="IE175" t="e">
        <f>AND('STERLING CATALOG - DRY '!B3902,"AAAAAE/U9+4=")</f>
        <v>#VALUE!</v>
      </c>
      <c r="IF175" t="e">
        <f>AND('STERLING CATALOG - DRY '!C3902,"AAAAAE/U9+8=")</f>
        <v>#VALUE!</v>
      </c>
      <c r="IG175" t="e">
        <f>AND('STERLING CATALOG - DRY '!D3902,"AAAAAE/U9/A=")</f>
        <v>#VALUE!</v>
      </c>
      <c r="IH175" t="e">
        <f>AND('STERLING CATALOG - DRY '!E3902,"AAAAAE/U9/E=")</f>
        <v>#VALUE!</v>
      </c>
      <c r="II175" t="e">
        <f>AND('STERLING CATALOG - DRY '!F3902,"AAAAAE/U9/I=")</f>
        <v>#VALUE!</v>
      </c>
      <c r="IJ175" t="e">
        <f>AND('STERLING CATALOG - DRY '!G3902,"AAAAAE/U9/M=")</f>
        <v>#VALUE!</v>
      </c>
      <c r="IK175" t="e">
        <f>AND('STERLING CATALOG - DRY '!H3902,"AAAAAE/U9/Q=")</f>
        <v>#VALUE!</v>
      </c>
      <c r="IL175" t="e">
        <f>AND('STERLING CATALOG - DRY '!I3902,"AAAAAE/U9/U=")</f>
        <v>#VALUE!</v>
      </c>
      <c r="IM175" t="e">
        <f>AND('STERLING CATALOG - DRY '!J3902,"AAAAAE/U9/Y=")</f>
        <v>#VALUE!</v>
      </c>
      <c r="IN175">
        <f>IF('STERLING CATALOG - DRY '!3903:3903,"AAAAAE/U9/c=",0)</f>
        <v>0</v>
      </c>
      <c r="IO175" t="e">
        <f>AND('STERLING CATALOG - DRY '!A3903,"AAAAAE/U9/g=")</f>
        <v>#VALUE!</v>
      </c>
      <c r="IP175" t="e">
        <f>AND('STERLING CATALOG - DRY '!B3903,"AAAAAE/U9/k=")</f>
        <v>#VALUE!</v>
      </c>
      <c r="IQ175" t="e">
        <f>AND('STERLING CATALOG - DRY '!C3903,"AAAAAE/U9/o=")</f>
        <v>#VALUE!</v>
      </c>
      <c r="IR175" t="e">
        <f>AND('STERLING CATALOG - DRY '!D3903,"AAAAAE/U9/s=")</f>
        <v>#VALUE!</v>
      </c>
      <c r="IS175" t="e">
        <f>AND('STERLING CATALOG - DRY '!E3903,"AAAAAE/U9/w=")</f>
        <v>#VALUE!</v>
      </c>
      <c r="IT175" t="e">
        <f>AND('STERLING CATALOG - DRY '!F3903,"AAAAAE/U9/0=")</f>
        <v>#VALUE!</v>
      </c>
      <c r="IU175" t="e">
        <f>AND('STERLING CATALOG - DRY '!G3903,"AAAAAE/U9/4=")</f>
        <v>#VALUE!</v>
      </c>
      <c r="IV175" t="e">
        <f>AND('STERLING CATALOG - DRY '!H3903,"AAAAAE/U9/8=")</f>
        <v>#VALUE!</v>
      </c>
    </row>
    <row r="176" spans="1:256">
      <c r="A176" t="e">
        <f>AND('STERLING CATALOG - DRY '!I3903,"AAAAAH/fKgA=")</f>
        <v>#VALUE!</v>
      </c>
      <c r="B176" t="e">
        <f>AND('STERLING CATALOG - DRY '!J3903,"AAAAAH/fKgE=")</f>
        <v>#VALUE!</v>
      </c>
      <c r="C176" t="str">
        <f>IF('STERLING CATALOG - DRY '!3904:3904,"AAAAAH/fKgI=",0)</f>
        <v>AAAAAH/fKgI=</v>
      </c>
      <c r="D176" t="e">
        <f>AND('STERLING CATALOG - DRY '!A3904,"AAAAAH/fKgM=")</f>
        <v>#VALUE!</v>
      </c>
      <c r="E176" t="e">
        <f>AND('STERLING CATALOG - DRY '!B3904,"AAAAAH/fKgQ=")</f>
        <v>#VALUE!</v>
      </c>
      <c r="F176" t="e">
        <f>AND('STERLING CATALOG - DRY '!C3904,"AAAAAH/fKgU=")</f>
        <v>#VALUE!</v>
      </c>
      <c r="G176" t="e">
        <f>AND('STERLING CATALOG - DRY '!D3904,"AAAAAH/fKgY=")</f>
        <v>#VALUE!</v>
      </c>
      <c r="H176" t="e">
        <f>AND('STERLING CATALOG - DRY '!E3904,"AAAAAH/fKgc=")</f>
        <v>#VALUE!</v>
      </c>
      <c r="I176" t="e">
        <f>AND('STERLING CATALOG - DRY '!F3904,"AAAAAH/fKgg=")</f>
        <v>#VALUE!</v>
      </c>
      <c r="J176" t="e">
        <f>AND('STERLING CATALOG - DRY '!G3904,"AAAAAH/fKgk=")</f>
        <v>#VALUE!</v>
      </c>
      <c r="K176" t="e">
        <f>AND('STERLING CATALOG - DRY '!H3904,"AAAAAH/fKgo=")</f>
        <v>#VALUE!</v>
      </c>
      <c r="L176" t="e">
        <f>AND('STERLING CATALOG - DRY '!I3904,"AAAAAH/fKgs=")</f>
        <v>#VALUE!</v>
      </c>
      <c r="M176" t="e">
        <f>AND('STERLING CATALOG - DRY '!J3904,"AAAAAH/fKgw=")</f>
        <v>#VALUE!</v>
      </c>
      <c r="N176">
        <f>IF('STERLING CATALOG - DRY '!3905:3905,"AAAAAH/fKg0=",0)</f>
        <v>0</v>
      </c>
      <c r="O176" t="e">
        <f>AND('STERLING CATALOG - DRY '!A3905,"AAAAAH/fKg4=")</f>
        <v>#VALUE!</v>
      </c>
      <c r="P176" t="e">
        <f>AND('STERLING CATALOG - DRY '!B3905,"AAAAAH/fKg8=")</f>
        <v>#VALUE!</v>
      </c>
      <c r="Q176" t="e">
        <f>AND('STERLING CATALOG - DRY '!C3905,"AAAAAH/fKhA=")</f>
        <v>#VALUE!</v>
      </c>
      <c r="R176" t="e">
        <f>AND('STERLING CATALOG - DRY '!D3905,"AAAAAH/fKhE=")</f>
        <v>#VALUE!</v>
      </c>
      <c r="S176" t="e">
        <f>AND('STERLING CATALOG - DRY '!E3905,"AAAAAH/fKhI=")</f>
        <v>#VALUE!</v>
      </c>
      <c r="T176" t="e">
        <f>AND('STERLING CATALOG - DRY '!F3905,"AAAAAH/fKhM=")</f>
        <v>#VALUE!</v>
      </c>
      <c r="U176" t="e">
        <f>AND('STERLING CATALOG - DRY '!G3905,"AAAAAH/fKhQ=")</f>
        <v>#VALUE!</v>
      </c>
      <c r="V176" t="e">
        <f>AND('STERLING CATALOG - DRY '!H3905,"AAAAAH/fKhU=")</f>
        <v>#VALUE!</v>
      </c>
      <c r="W176" t="e">
        <f>AND('STERLING CATALOG - DRY '!I3905,"AAAAAH/fKhY=")</f>
        <v>#VALUE!</v>
      </c>
      <c r="X176" t="e">
        <f>AND('STERLING CATALOG - DRY '!J3905,"AAAAAH/fKhc=")</f>
        <v>#VALUE!</v>
      </c>
      <c r="Y176">
        <f>IF('STERLING CATALOG - DRY '!3906:3906,"AAAAAH/fKhg=",0)</f>
        <v>0</v>
      </c>
      <c r="Z176" t="e">
        <f>AND('STERLING CATALOG - DRY '!A3906,"AAAAAH/fKhk=")</f>
        <v>#VALUE!</v>
      </c>
      <c r="AA176" t="e">
        <f>AND('STERLING CATALOG - DRY '!B3906,"AAAAAH/fKho=")</f>
        <v>#VALUE!</v>
      </c>
      <c r="AB176" t="e">
        <f>AND('STERLING CATALOG - DRY '!C3906,"AAAAAH/fKhs=")</f>
        <v>#VALUE!</v>
      </c>
      <c r="AC176" t="e">
        <f>AND('STERLING CATALOG - DRY '!D3906,"AAAAAH/fKhw=")</f>
        <v>#VALUE!</v>
      </c>
      <c r="AD176" t="e">
        <f>AND('STERLING CATALOG - DRY '!E3906,"AAAAAH/fKh0=")</f>
        <v>#VALUE!</v>
      </c>
      <c r="AE176" t="e">
        <f>AND('STERLING CATALOG - DRY '!F3906,"AAAAAH/fKh4=")</f>
        <v>#VALUE!</v>
      </c>
      <c r="AF176" t="e">
        <f>AND('STERLING CATALOG - DRY '!G3906,"AAAAAH/fKh8=")</f>
        <v>#VALUE!</v>
      </c>
      <c r="AG176" t="e">
        <f>AND('STERLING CATALOG - DRY '!H3906,"AAAAAH/fKiA=")</f>
        <v>#VALUE!</v>
      </c>
      <c r="AH176" t="e">
        <f>AND('STERLING CATALOG - DRY '!I3906,"AAAAAH/fKiE=")</f>
        <v>#VALUE!</v>
      </c>
      <c r="AI176" t="e">
        <f>AND('STERLING CATALOG - DRY '!J3906,"AAAAAH/fKiI=")</f>
        <v>#VALUE!</v>
      </c>
      <c r="AJ176">
        <f>IF('STERLING CATALOG - DRY '!3907:3907,"AAAAAH/fKiM=",0)</f>
        <v>0</v>
      </c>
      <c r="AK176" t="e">
        <f>AND('STERLING CATALOG - DRY '!A3907,"AAAAAH/fKiQ=")</f>
        <v>#VALUE!</v>
      </c>
      <c r="AL176" t="e">
        <f>AND('STERLING CATALOG - DRY '!B3907,"AAAAAH/fKiU=")</f>
        <v>#VALUE!</v>
      </c>
      <c r="AM176" t="e">
        <f>AND('STERLING CATALOG - DRY '!C3907,"AAAAAH/fKiY=")</f>
        <v>#VALUE!</v>
      </c>
      <c r="AN176" t="e">
        <f>AND('STERLING CATALOG - DRY '!D3907,"AAAAAH/fKic=")</f>
        <v>#VALUE!</v>
      </c>
      <c r="AO176" t="e">
        <f>AND('STERLING CATALOG - DRY '!E3907,"AAAAAH/fKig=")</f>
        <v>#VALUE!</v>
      </c>
      <c r="AP176" t="e">
        <f>AND('STERLING CATALOG - DRY '!F3907,"AAAAAH/fKik=")</f>
        <v>#VALUE!</v>
      </c>
      <c r="AQ176" t="e">
        <f>AND('STERLING CATALOG - DRY '!G3907,"AAAAAH/fKio=")</f>
        <v>#VALUE!</v>
      </c>
      <c r="AR176" t="e">
        <f>AND('STERLING CATALOG - DRY '!H3907,"AAAAAH/fKis=")</f>
        <v>#VALUE!</v>
      </c>
      <c r="AS176" t="e">
        <f>AND('STERLING CATALOG - DRY '!I3907,"AAAAAH/fKiw=")</f>
        <v>#VALUE!</v>
      </c>
      <c r="AT176" t="e">
        <f>AND('STERLING CATALOG - DRY '!J3907,"AAAAAH/fKi0=")</f>
        <v>#VALUE!</v>
      </c>
      <c r="AU176">
        <f>IF('STERLING CATALOG - DRY '!3908:3908,"AAAAAH/fKi4=",0)</f>
        <v>0</v>
      </c>
      <c r="AV176" t="e">
        <f>AND('STERLING CATALOG - DRY '!A3908,"AAAAAH/fKi8=")</f>
        <v>#VALUE!</v>
      </c>
      <c r="AW176" t="e">
        <f>AND('STERLING CATALOG - DRY '!B3908,"AAAAAH/fKjA=")</f>
        <v>#VALUE!</v>
      </c>
      <c r="AX176" t="e">
        <f>AND('STERLING CATALOG - DRY '!C3908,"AAAAAH/fKjE=")</f>
        <v>#VALUE!</v>
      </c>
      <c r="AY176" t="e">
        <f>AND('STERLING CATALOG - DRY '!D3908,"AAAAAH/fKjI=")</f>
        <v>#VALUE!</v>
      </c>
      <c r="AZ176" t="e">
        <f>AND('STERLING CATALOG - DRY '!E3908,"AAAAAH/fKjM=")</f>
        <v>#VALUE!</v>
      </c>
      <c r="BA176" t="e">
        <f>AND('STERLING CATALOG - DRY '!F3908,"AAAAAH/fKjQ=")</f>
        <v>#VALUE!</v>
      </c>
      <c r="BB176" t="e">
        <f>AND('STERLING CATALOG - DRY '!G3908,"AAAAAH/fKjU=")</f>
        <v>#VALUE!</v>
      </c>
      <c r="BC176" t="e">
        <f>AND('STERLING CATALOG - DRY '!H3908,"AAAAAH/fKjY=")</f>
        <v>#VALUE!</v>
      </c>
      <c r="BD176" t="e">
        <f>AND('STERLING CATALOG - DRY '!I3908,"AAAAAH/fKjc=")</f>
        <v>#VALUE!</v>
      </c>
      <c r="BE176" t="e">
        <f>AND('STERLING CATALOG - DRY '!J3908,"AAAAAH/fKjg=")</f>
        <v>#VALUE!</v>
      </c>
      <c r="BF176">
        <f>IF('STERLING CATALOG - DRY '!3909:3909,"AAAAAH/fKjk=",0)</f>
        <v>0</v>
      </c>
      <c r="BG176" t="e">
        <f>AND('STERLING CATALOG - DRY '!A3909,"AAAAAH/fKjo=")</f>
        <v>#VALUE!</v>
      </c>
      <c r="BH176" t="e">
        <f>AND('STERLING CATALOG - DRY '!B3909,"AAAAAH/fKjs=")</f>
        <v>#VALUE!</v>
      </c>
      <c r="BI176" t="e">
        <f>AND('STERLING CATALOG - DRY '!C3909,"AAAAAH/fKjw=")</f>
        <v>#VALUE!</v>
      </c>
      <c r="BJ176" t="e">
        <f>AND('STERLING CATALOG - DRY '!D3909,"AAAAAH/fKj0=")</f>
        <v>#VALUE!</v>
      </c>
      <c r="BK176" t="e">
        <f>AND('STERLING CATALOG - DRY '!E3909,"AAAAAH/fKj4=")</f>
        <v>#VALUE!</v>
      </c>
      <c r="BL176" t="e">
        <f>AND('STERLING CATALOG - DRY '!F3909,"AAAAAH/fKj8=")</f>
        <v>#VALUE!</v>
      </c>
      <c r="BM176" t="e">
        <f>AND('STERLING CATALOG - DRY '!G3909,"AAAAAH/fKkA=")</f>
        <v>#VALUE!</v>
      </c>
      <c r="BN176" t="e">
        <f>AND('STERLING CATALOG - DRY '!H3909,"AAAAAH/fKkE=")</f>
        <v>#VALUE!</v>
      </c>
      <c r="BO176" t="e">
        <f>AND('STERLING CATALOG - DRY '!I3909,"AAAAAH/fKkI=")</f>
        <v>#VALUE!</v>
      </c>
      <c r="BP176" t="e">
        <f>AND('STERLING CATALOG - DRY '!J3909,"AAAAAH/fKkM=")</f>
        <v>#VALUE!</v>
      </c>
      <c r="BQ176">
        <f>IF('STERLING CATALOG - DRY '!3910:3910,"AAAAAH/fKkQ=",0)</f>
        <v>0</v>
      </c>
      <c r="BR176" t="e">
        <f>AND('STERLING CATALOG - DRY '!A3910,"AAAAAH/fKkU=")</f>
        <v>#VALUE!</v>
      </c>
      <c r="BS176" t="e">
        <f>AND('STERLING CATALOG - DRY '!B3910,"AAAAAH/fKkY=")</f>
        <v>#VALUE!</v>
      </c>
      <c r="BT176" t="e">
        <f>AND('STERLING CATALOG - DRY '!C3910,"AAAAAH/fKkc=")</f>
        <v>#VALUE!</v>
      </c>
      <c r="BU176" t="e">
        <f>AND('STERLING CATALOG - DRY '!D3910,"AAAAAH/fKkg=")</f>
        <v>#VALUE!</v>
      </c>
      <c r="BV176" t="e">
        <f>AND('STERLING CATALOG - DRY '!E3910,"AAAAAH/fKkk=")</f>
        <v>#VALUE!</v>
      </c>
      <c r="BW176" t="e">
        <f>AND('STERLING CATALOG - DRY '!F3910,"AAAAAH/fKko=")</f>
        <v>#VALUE!</v>
      </c>
      <c r="BX176" t="e">
        <f>AND('STERLING CATALOG - DRY '!G3910,"AAAAAH/fKks=")</f>
        <v>#VALUE!</v>
      </c>
      <c r="BY176" t="e">
        <f>AND('STERLING CATALOG - DRY '!H3910,"AAAAAH/fKkw=")</f>
        <v>#VALUE!</v>
      </c>
      <c r="BZ176" t="e">
        <f>AND('STERLING CATALOG - DRY '!I3910,"AAAAAH/fKk0=")</f>
        <v>#VALUE!</v>
      </c>
      <c r="CA176" t="e">
        <f>AND('STERLING CATALOG - DRY '!J3910,"AAAAAH/fKk4=")</f>
        <v>#VALUE!</v>
      </c>
      <c r="CB176">
        <f>IF('STERLING CATALOG - DRY '!3911:3911,"AAAAAH/fKk8=",0)</f>
        <v>0</v>
      </c>
      <c r="CC176" t="e">
        <f>AND('STERLING CATALOG - DRY '!A3911,"AAAAAH/fKlA=")</f>
        <v>#VALUE!</v>
      </c>
      <c r="CD176" t="e">
        <f>AND('STERLING CATALOG - DRY '!B3911,"AAAAAH/fKlE=")</f>
        <v>#VALUE!</v>
      </c>
      <c r="CE176" t="e">
        <f>AND('STERLING CATALOG - DRY '!C3911,"AAAAAH/fKlI=")</f>
        <v>#VALUE!</v>
      </c>
      <c r="CF176" t="e">
        <f>AND('STERLING CATALOG - DRY '!D3911,"AAAAAH/fKlM=")</f>
        <v>#VALUE!</v>
      </c>
      <c r="CG176" t="e">
        <f>AND('STERLING CATALOG - DRY '!E3911,"AAAAAH/fKlQ=")</f>
        <v>#VALUE!</v>
      </c>
      <c r="CH176" t="e">
        <f>AND('STERLING CATALOG - DRY '!F3911,"AAAAAH/fKlU=")</f>
        <v>#VALUE!</v>
      </c>
      <c r="CI176" t="e">
        <f>AND('STERLING CATALOG - DRY '!G3911,"AAAAAH/fKlY=")</f>
        <v>#VALUE!</v>
      </c>
      <c r="CJ176" t="e">
        <f>AND('STERLING CATALOG - DRY '!H3911,"AAAAAH/fKlc=")</f>
        <v>#VALUE!</v>
      </c>
      <c r="CK176" t="e">
        <f>AND('STERLING CATALOG - DRY '!I3911,"AAAAAH/fKlg=")</f>
        <v>#VALUE!</v>
      </c>
      <c r="CL176" t="e">
        <f>AND('STERLING CATALOG - DRY '!J3911,"AAAAAH/fKlk=")</f>
        <v>#VALUE!</v>
      </c>
      <c r="CM176">
        <f>IF('STERLING CATALOG - DRY '!3912:3912,"AAAAAH/fKlo=",0)</f>
        <v>0</v>
      </c>
      <c r="CN176" t="e">
        <f>AND('STERLING CATALOG - DRY '!A3912,"AAAAAH/fKls=")</f>
        <v>#VALUE!</v>
      </c>
      <c r="CO176" t="e">
        <f>AND('STERLING CATALOG - DRY '!B3912,"AAAAAH/fKlw=")</f>
        <v>#VALUE!</v>
      </c>
      <c r="CP176" t="e">
        <f>AND('STERLING CATALOG - DRY '!C3912,"AAAAAH/fKl0=")</f>
        <v>#VALUE!</v>
      </c>
      <c r="CQ176" t="e">
        <f>AND('STERLING CATALOG - DRY '!D3912,"AAAAAH/fKl4=")</f>
        <v>#VALUE!</v>
      </c>
      <c r="CR176" t="e">
        <f>AND('STERLING CATALOG - DRY '!E3912,"AAAAAH/fKl8=")</f>
        <v>#VALUE!</v>
      </c>
      <c r="CS176" t="e">
        <f>AND('STERLING CATALOG - DRY '!F3912,"AAAAAH/fKmA=")</f>
        <v>#VALUE!</v>
      </c>
      <c r="CT176" t="e">
        <f>AND('STERLING CATALOG - DRY '!G3912,"AAAAAH/fKmE=")</f>
        <v>#VALUE!</v>
      </c>
      <c r="CU176" t="e">
        <f>AND('STERLING CATALOG - DRY '!H3912,"AAAAAH/fKmI=")</f>
        <v>#VALUE!</v>
      </c>
      <c r="CV176" t="e">
        <f>AND('STERLING CATALOG - DRY '!I3912,"AAAAAH/fKmM=")</f>
        <v>#VALUE!</v>
      </c>
      <c r="CW176" t="e">
        <f>AND('STERLING CATALOG - DRY '!J3912,"AAAAAH/fKmQ=")</f>
        <v>#VALUE!</v>
      </c>
      <c r="CX176">
        <f>IF('STERLING CATALOG - DRY '!3913:3913,"AAAAAH/fKmU=",0)</f>
        <v>0</v>
      </c>
      <c r="CY176" t="e">
        <f>AND('STERLING CATALOG - DRY '!A3913,"AAAAAH/fKmY=")</f>
        <v>#VALUE!</v>
      </c>
      <c r="CZ176" t="e">
        <f>AND('STERLING CATALOG - DRY '!B3913,"AAAAAH/fKmc=")</f>
        <v>#VALUE!</v>
      </c>
      <c r="DA176" t="e">
        <f>AND('STERLING CATALOG - DRY '!C3913,"AAAAAH/fKmg=")</f>
        <v>#VALUE!</v>
      </c>
      <c r="DB176" t="e">
        <f>AND('STERLING CATALOG - DRY '!D3913,"AAAAAH/fKmk=")</f>
        <v>#VALUE!</v>
      </c>
      <c r="DC176" t="e">
        <f>AND('STERLING CATALOG - DRY '!E3913,"AAAAAH/fKmo=")</f>
        <v>#VALUE!</v>
      </c>
      <c r="DD176" t="e">
        <f>AND('STERLING CATALOG - DRY '!F3913,"AAAAAH/fKms=")</f>
        <v>#VALUE!</v>
      </c>
      <c r="DE176" t="e">
        <f>AND('STERLING CATALOG - DRY '!G3913,"AAAAAH/fKmw=")</f>
        <v>#VALUE!</v>
      </c>
      <c r="DF176" t="e">
        <f>AND('STERLING CATALOG - DRY '!H3913,"AAAAAH/fKm0=")</f>
        <v>#VALUE!</v>
      </c>
      <c r="DG176" t="e">
        <f>AND('STERLING CATALOG - DRY '!I3913,"AAAAAH/fKm4=")</f>
        <v>#VALUE!</v>
      </c>
      <c r="DH176" t="e">
        <f>AND('STERLING CATALOG - DRY '!J3913,"AAAAAH/fKm8=")</f>
        <v>#VALUE!</v>
      </c>
      <c r="DI176">
        <f>IF('STERLING CATALOG - DRY '!3914:3914,"AAAAAH/fKnA=",0)</f>
        <v>0</v>
      </c>
      <c r="DJ176" t="e">
        <f>AND('STERLING CATALOG - DRY '!A3914,"AAAAAH/fKnE=")</f>
        <v>#VALUE!</v>
      </c>
      <c r="DK176" t="e">
        <f>AND('STERLING CATALOG - DRY '!B3914,"AAAAAH/fKnI=")</f>
        <v>#VALUE!</v>
      </c>
      <c r="DL176" t="e">
        <f>AND('STERLING CATALOG - DRY '!C3914,"AAAAAH/fKnM=")</f>
        <v>#VALUE!</v>
      </c>
      <c r="DM176" t="e">
        <f>AND('STERLING CATALOG - DRY '!D3914,"AAAAAH/fKnQ=")</f>
        <v>#VALUE!</v>
      </c>
      <c r="DN176" t="e">
        <f>AND('STERLING CATALOG - DRY '!E3914,"AAAAAH/fKnU=")</f>
        <v>#VALUE!</v>
      </c>
      <c r="DO176" t="e">
        <f>AND('STERLING CATALOG - DRY '!F3914,"AAAAAH/fKnY=")</f>
        <v>#VALUE!</v>
      </c>
      <c r="DP176" t="e">
        <f>AND('STERLING CATALOG - DRY '!G3914,"AAAAAH/fKnc=")</f>
        <v>#VALUE!</v>
      </c>
      <c r="DQ176" t="e">
        <f>AND('STERLING CATALOG - DRY '!H3914,"AAAAAH/fKng=")</f>
        <v>#VALUE!</v>
      </c>
      <c r="DR176" t="e">
        <f>AND('STERLING CATALOG - DRY '!I3914,"AAAAAH/fKnk=")</f>
        <v>#VALUE!</v>
      </c>
      <c r="DS176" t="e">
        <f>AND('STERLING CATALOG - DRY '!J3914,"AAAAAH/fKno=")</f>
        <v>#VALUE!</v>
      </c>
      <c r="DT176">
        <f>IF('STERLING CATALOG - DRY '!3915:3915,"AAAAAH/fKns=",0)</f>
        <v>0</v>
      </c>
      <c r="DU176" t="e">
        <f>AND('STERLING CATALOG - DRY '!A3915,"AAAAAH/fKnw=")</f>
        <v>#VALUE!</v>
      </c>
      <c r="DV176" t="e">
        <f>AND('STERLING CATALOG - DRY '!B3915,"AAAAAH/fKn0=")</f>
        <v>#VALUE!</v>
      </c>
      <c r="DW176" t="e">
        <f>AND('STERLING CATALOG - DRY '!C3915,"AAAAAH/fKn4=")</f>
        <v>#VALUE!</v>
      </c>
      <c r="DX176" t="e">
        <f>AND('STERLING CATALOG - DRY '!D3915,"AAAAAH/fKn8=")</f>
        <v>#VALUE!</v>
      </c>
      <c r="DY176" t="e">
        <f>AND('STERLING CATALOG - DRY '!E3915,"AAAAAH/fKoA=")</f>
        <v>#VALUE!</v>
      </c>
      <c r="DZ176" t="e">
        <f>AND('STERLING CATALOG - DRY '!F3915,"AAAAAH/fKoE=")</f>
        <v>#VALUE!</v>
      </c>
      <c r="EA176" t="e">
        <f>AND('STERLING CATALOG - DRY '!G3915,"AAAAAH/fKoI=")</f>
        <v>#VALUE!</v>
      </c>
      <c r="EB176" t="e">
        <f>AND('STERLING CATALOG - DRY '!H3915,"AAAAAH/fKoM=")</f>
        <v>#VALUE!</v>
      </c>
      <c r="EC176" t="e">
        <f>AND('STERLING CATALOG - DRY '!I3915,"AAAAAH/fKoQ=")</f>
        <v>#VALUE!</v>
      </c>
      <c r="ED176" t="e">
        <f>AND('STERLING CATALOG - DRY '!J3915,"AAAAAH/fKoU=")</f>
        <v>#VALUE!</v>
      </c>
      <c r="EE176">
        <f>IF('STERLING CATALOG - DRY '!3916:3916,"AAAAAH/fKoY=",0)</f>
        <v>0</v>
      </c>
      <c r="EF176" t="e">
        <f>AND('STERLING CATALOG - DRY '!A3916,"AAAAAH/fKoc=")</f>
        <v>#VALUE!</v>
      </c>
      <c r="EG176" t="e">
        <f>AND('STERLING CATALOG - DRY '!B3916,"AAAAAH/fKog=")</f>
        <v>#VALUE!</v>
      </c>
      <c r="EH176" t="e">
        <f>AND('STERLING CATALOG - DRY '!C3916,"AAAAAH/fKok=")</f>
        <v>#VALUE!</v>
      </c>
      <c r="EI176" t="e">
        <f>AND('STERLING CATALOG - DRY '!D3916,"AAAAAH/fKoo=")</f>
        <v>#VALUE!</v>
      </c>
      <c r="EJ176" t="e">
        <f>AND('STERLING CATALOG - DRY '!E3916,"AAAAAH/fKos=")</f>
        <v>#VALUE!</v>
      </c>
      <c r="EK176" t="e">
        <f>AND('STERLING CATALOG - DRY '!F3916,"AAAAAH/fKow=")</f>
        <v>#VALUE!</v>
      </c>
      <c r="EL176" t="e">
        <f>AND('STERLING CATALOG - DRY '!G3916,"AAAAAH/fKo0=")</f>
        <v>#VALUE!</v>
      </c>
      <c r="EM176" t="e">
        <f>AND('STERLING CATALOG - DRY '!H3916,"AAAAAH/fKo4=")</f>
        <v>#VALUE!</v>
      </c>
      <c r="EN176" t="e">
        <f>AND('STERLING CATALOG - DRY '!I3916,"AAAAAH/fKo8=")</f>
        <v>#VALUE!</v>
      </c>
      <c r="EO176" t="e">
        <f>AND('STERLING CATALOG - DRY '!J3916,"AAAAAH/fKpA=")</f>
        <v>#VALUE!</v>
      </c>
      <c r="EP176">
        <f>IF('STERLING CATALOG - DRY '!3917:3917,"AAAAAH/fKpE=",0)</f>
        <v>0</v>
      </c>
      <c r="EQ176" t="e">
        <f>AND('STERLING CATALOG - DRY '!A3917,"AAAAAH/fKpI=")</f>
        <v>#VALUE!</v>
      </c>
      <c r="ER176" t="e">
        <f>AND('STERLING CATALOG - DRY '!B3917,"AAAAAH/fKpM=")</f>
        <v>#VALUE!</v>
      </c>
      <c r="ES176" t="e">
        <f>AND('STERLING CATALOG - DRY '!C3917,"AAAAAH/fKpQ=")</f>
        <v>#VALUE!</v>
      </c>
      <c r="ET176" t="e">
        <f>AND('STERLING CATALOG - DRY '!D3917,"AAAAAH/fKpU=")</f>
        <v>#VALUE!</v>
      </c>
      <c r="EU176" t="e">
        <f>AND('STERLING CATALOG - DRY '!E3917,"AAAAAH/fKpY=")</f>
        <v>#VALUE!</v>
      </c>
      <c r="EV176" t="e">
        <f>AND('STERLING CATALOG - DRY '!F3917,"AAAAAH/fKpc=")</f>
        <v>#VALUE!</v>
      </c>
      <c r="EW176" t="e">
        <f>AND('STERLING CATALOG - DRY '!G3917,"AAAAAH/fKpg=")</f>
        <v>#VALUE!</v>
      </c>
      <c r="EX176" t="e">
        <f>AND('STERLING CATALOG - DRY '!H3917,"AAAAAH/fKpk=")</f>
        <v>#VALUE!</v>
      </c>
      <c r="EY176" t="e">
        <f>AND('STERLING CATALOG - DRY '!I3917,"AAAAAH/fKpo=")</f>
        <v>#VALUE!</v>
      </c>
      <c r="EZ176" t="e">
        <f>AND('STERLING CATALOG - DRY '!J3917,"AAAAAH/fKps=")</f>
        <v>#VALUE!</v>
      </c>
      <c r="FA176">
        <f>IF('STERLING CATALOG - DRY '!3918:3918,"AAAAAH/fKpw=",0)</f>
        <v>0</v>
      </c>
      <c r="FB176" t="e">
        <f>AND('STERLING CATALOG - DRY '!A3918,"AAAAAH/fKp0=")</f>
        <v>#VALUE!</v>
      </c>
      <c r="FC176" t="e">
        <f>AND('STERLING CATALOG - DRY '!B3918,"AAAAAH/fKp4=")</f>
        <v>#VALUE!</v>
      </c>
      <c r="FD176" t="e">
        <f>AND('STERLING CATALOG - DRY '!C3918,"AAAAAH/fKp8=")</f>
        <v>#VALUE!</v>
      </c>
      <c r="FE176" t="e">
        <f>AND('STERLING CATALOG - DRY '!D3918,"AAAAAH/fKqA=")</f>
        <v>#VALUE!</v>
      </c>
      <c r="FF176" t="e">
        <f>AND('STERLING CATALOG - DRY '!E3918,"AAAAAH/fKqE=")</f>
        <v>#VALUE!</v>
      </c>
      <c r="FG176" t="e">
        <f>AND('STERLING CATALOG - DRY '!F3918,"AAAAAH/fKqI=")</f>
        <v>#VALUE!</v>
      </c>
      <c r="FH176" t="e">
        <f>AND('STERLING CATALOG - DRY '!G3918,"AAAAAH/fKqM=")</f>
        <v>#VALUE!</v>
      </c>
      <c r="FI176" t="e">
        <f>AND('STERLING CATALOG - DRY '!H3918,"AAAAAH/fKqQ=")</f>
        <v>#VALUE!</v>
      </c>
      <c r="FJ176" t="e">
        <f>AND('STERLING CATALOG - DRY '!I3918,"AAAAAH/fKqU=")</f>
        <v>#VALUE!</v>
      </c>
      <c r="FK176" t="e">
        <f>AND('STERLING CATALOG - DRY '!J3918,"AAAAAH/fKqY=")</f>
        <v>#VALUE!</v>
      </c>
      <c r="FL176">
        <f>IF('STERLING CATALOG - DRY '!3919:3919,"AAAAAH/fKqc=",0)</f>
        <v>0</v>
      </c>
      <c r="FM176" t="e">
        <f>AND('STERLING CATALOG - DRY '!A3919,"AAAAAH/fKqg=")</f>
        <v>#VALUE!</v>
      </c>
      <c r="FN176" t="e">
        <f>AND('STERLING CATALOG - DRY '!B3919,"AAAAAH/fKqk=")</f>
        <v>#VALUE!</v>
      </c>
      <c r="FO176" t="e">
        <f>AND('STERLING CATALOG - DRY '!C3919,"AAAAAH/fKqo=")</f>
        <v>#VALUE!</v>
      </c>
      <c r="FP176" t="e">
        <f>AND('STERLING CATALOG - DRY '!D3919,"AAAAAH/fKqs=")</f>
        <v>#VALUE!</v>
      </c>
      <c r="FQ176" t="e">
        <f>AND('STERLING CATALOG - DRY '!E3919,"AAAAAH/fKqw=")</f>
        <v>#VALUE!</v>
      </c>
      <c r="FR176" t="e">
        <f>AND('STERLING CATALOG - DRY '!F3919,"AAAAAH/fKq0=")</f>
        <v>#VALUE!</v>
      </c>
      <c r="FS176" t="e">
        <f>AND('STERLING CATALOG - DRY '!G3919,"AAAAAH/fKq4=")</f>
        <v>#VALUE!</v>
      </c>
      <c r="FT176" t="e">
        <f>AND('STERLING CATALOG - DRY '!H3919,"AAAAAH/fKq8=")</f>
        <v>#VALUE!</v>
      </c>
      <c r="FU176" t="e">
        <f>AND('STERLING CATALOG - DRY '!I3919,"AAAAAH/fKrA=")</f>
        <v>#VALUE!</v>
      </c>
      <c r="FV176" t="e">
        <f>AND('STERLING CATALOG - DRY '!J3919,"AAAAAH/fKrE=")</f>
        <v>#VALUE!</v>
      </c>
      <c r="FW176">
        <f>IF('STERLING CATALOG - DRY '!3920:3920,"AAAAAH/fKrI=",0)</f>
        <v>0</v>
      </c>
      <c r="FX176" t="e">
        <f>AND('STERLING CATALOG - DRY '!A3920,"AAAAAH/fKrM=")</f>
        <v>#VALUE!</v>
      </c>
      <c r="FY176" t="e">
        <f>AND('STERLING CATALOG - DRY '!B3920,"AAAAAH/fKrQ=")</f>
        <v>#VALUE!</v>
      </c>
      <c r="FZ176" t="e">
        <f>AND('STERLING CATALOG - DRY '!C3920,"AAAAAH/fKrU=")</f>
        <v>#VALUE!</v>
      </c>
      <c r="GA176" t="e">
        <f>AND('STERLING CATALOG - DRY '!D3920,"AAAAAH/fKrY=")</f>
        <v>#VALUE!</v>
      </c>
      <c r="GB176" t="e">
        <f>AND('STERLING CATALOG - DRY '!E3920,"AAAAAH/fKrc=")</f>
        <v>#VALUE!</v>
      </c>
      <c r="GC176" t="e">
        <f>AND('STERLING CATALOG - DRY '!F3920,"AAAAAH/fKrg=")</f>
        <v>#VALUE!</v>
      </c>
      <c r="GD176" t="e">
        <f>AND('STERLING CATALOG - DRY '!G3920,"AAAAAH/fKrk=")</f>
        <v>#VALUE!</v>
      </c>
      <c r="GE176" t="e">
        <f>AND('STERLING CATALOG - DRY '!H3920,"AAAAAH/fKro=")</f>
        <v>#VALUE!</v>
      </c>
      <c r="GF176" t="e">
        <f>AND('STERLING CATALOG - DRY '!I3920,"AAAAAH/fKrs=")</f>
        <v>#VALUE!</v>
      </c>
      <c r="GG176" t="e">
        <f>AND('STERLING CATALOG - DRY '!J3920,"AAAAAH/fKrw=")</f>
        <v>#VALUE!</v>
      </c>
      <c r="GH176">
        <f>IF('STERLING CATALOG - DRY '!3921:3921,"AAAAAH/fKr0=",0)</f>
        <v>0</v>
      </c>
      <c r="GI176" t="e">
        <f>AND('STERLING CATALOG - DRY '!A3921,"AAAAAH/fKr4=")</f>
        <v>#VALUE!</v>
      </c>
      <c r="GJ176" t="e">
        <f>AND('STERLING CATALOG - DRY '!B3921,"AAAAAH/fKr8=")</f>
        <v>#VALUE!</v>
      </c>
      <c r="GK176" t="e">
        <f>AND('STERLING CATALOG - DRY '!C3921,"AAAAAH/fKsA=")</f>
        <v>#VALUE!</v>
      </c>
      <c r="GL176" t="e">
        <f>AND('STERLING CATALOG - DRY '!D3921,"AAAAAH/fKsE=")</f>
        <v>#VALUE!</v>
      </c>
      <c r="GM176" t="e">
        <f>AND('STERLING CATALOG - DRY '!E3921,"AAAAAH/fKsI=")</f>
        <v>#VALUE!</v>
      </c>
      <c r="GN176" t="e">
        <f>AND('STERLING CATALOG - DRY '!F3921,"AAAAAH/fKsM=")</f>
        <v>#VALUE!</v>
      </c>
      <c r="GO176" t="e">
        <f>AND('STERLING CATALOG - DRY '!G3921,"AAAAAH/fKsQ=")</f>
        <v>#VALUE!</v>
      </c>
      <c r="GP176" t="e">
        <f>AND('STERLING CATALOG - DRY '!H3921,"AAAAAH/fKsU=")</f>
        <v>#VALUE!</v>
      </c>
      <c r="GQ176" t="e">
        <f>AND('STERLING CATALOG - DRY '!I3921,"AAAAAH/fKsY=")</f>
        <v>#VALUE!</v>
      </c>
      <c r="GR176" t="e">
        <f>AND('STERLING CATALOG - DRY '!J3921,"AAAAAH/fKsc=")</f>
        <v>#VALUE!</v>
      </c>
      <c r="GS176">
        <f>IF('STERLING CATALOG - DRY '!3922:3922,"AAAAAH/fKsg=",0)</f>
        <v>0</v>
      </c>
      <c r="GT176" t="e">
        <f>AND('STERLING CATALOG - DRY '!A3922,"AAAAAH/fKsk=")</f>
        <v>#VALUE!</v>
      </c>
      <c r="GU176" t="e">
        <f>AND('STERLING CATALOG - DRY '!B3922,"AAAAAH/fKso=")</f>
        <v>#VALUE!</v>
      </c>
      <c r="GV176" t="e">
        <f>AND('STERLING CATALOG - DRY '!C3922,"AAAAAH/fKss=")</f>
        <v>#VALUE!</v>
      </c>
      <c r="GW176" t="e">
        <f>AND('STERLING CATALOG - DRY '!D3922,"AAAAAH/fKsw=")</f>
        <v>#VALUE!</v>
      </c>
      <c r="GX176" t="e">
        <f>AND('STERLING CATALOG - DRY '!E3922,"AAAAAH/fKs0=")</f>
        <v>#VALUE!</v>
      </c>
      <c r="GY176" t="e">
        <f>AND('STERLING CATALOG - DRY '!F3922,"AAAAAH/fKs4=")</f>
        <v>#VALUE!</v>
      </c>
      <c r="GZ176" t="e">
        <f>AND('STERLING CATALOG - DRY '!G3922,"AAAAAH/fKs8=")</f>
        <v>#VALUE!</v>
      </c>
      <c r="HA176" t="e">
        <f>AND('STERLING CATALOG - DRY '!H3922,"AAAAAH/fKtA=")</f>
        <v>#VALUE!</v>
      </c>
      <c r="HB176" t="e">
        <f>AND('STERLING CATALOG - DRY '!I3922,"AAAAAH/fKtE=")</f>
        <v>#VALUE!</v>
      </c>
      <c r="HC176" t="e">
        <f>AND('STERLING CATALOG - DRY '!J3922,"AAAAAH/fKtI=")</f>
        <v>#VALUE!</v>
      </c>
      <c r="HD176">
        <f>IF('STERLING CATALOG - DRY '!3923:3923,"AAAAAH/fKtM=",0)</f>
        <v>0</v>
      </c>
      <c r="HE176" t="e">
        <f>AND('STERLING CATALOG - DRY '!A3923,"AAAAAH/fKtQ=")</f>
        <v>#VALUE!</v>
      </c>
      <c r="HF176" t="e">
        <f>AND('STERLING CATALOG - DRY '!B3923,"AAAAAH/fKtU=")</f>
        <v>#VALUE!</v>
      </c>
      <c r="HG176" t="e">
        <f>AND('STERLING CATALOG - DRY '!C3923,"AAAAAH/fKtY=")</f>
        <v>#VALUE!</v>
      </c>
      <c r="HH176" t="e">
        <f>AND('STERLING CATALOG - DRY '!D3923,"AAAAAH/fKtc=")</f>
        <v>#VALUE!</v>
      </c>
      <c r="HI176" t="e">
        <f>AND('STERLING CATALOG - DRY '!E3923,"AAAAAH/fKtg=")</f>
        <v>#VALUE!</v>
      </c>
      <c r="HJ176" t="e">
        <f>AND('STERLING CATALOG - DRY '!F3923,"AAAAAH/fKtk=")</f>
        <v>#VALUE!</v>
      </c>
      <c r="HK176" t="e">
        <f>AND('STERLING CATALOG - DRY '!G3923,"AAAAAH/fKto=")</f>
        <v>#VALUE!</v>
      </c>
      <c r="HL176" t="e">
        <f>AND('STERLING CATALOG - DRY '!H3923,"AAAAAH/fKts=")</f>
        <v>#VALUE!</v>
      </c>
      <c r="HM176" t="e">
        <f>AND('STERLING CATALOG - DRY '!I3923,"AAAAAH/fKtw=")</f>
        <v>#VALUE!</v>
      </c>
      <c r="HN176" t="e">
        <f>AND('STERLING CATALOG - DRY '!J3923,"AAAAAH/fKt0=")</f>
        <v>#VALUE!</v>
      </c>
      <c r="HO176">
        <f>IF('STERLING CATALOG - DRY '!3924:3924,"AAAAAH/fKt4=",0)</f>
        <v>0</v>
      </c>
      <c r="HP176" t="e">
        <f>AND('STERLING CATALOG - DRY '!A3924,"AAAAAH/fKt8=")</f>
        <v>#VALUE!</v>
      </c>
      <c r="HQ176" t="e">
        <f>AND('STERLING CATALOG - DRY '!B3924,"AAAAAH/fKuA=")</f>
        <v>#VALUE!</v>
      </c>
      <c r="HR176" t="e">
        <f>AND('STERLING CATALOG - DRY '!C3924,"AAAAAH/fKuE=")</f>
        <v>#VALUE!</v>
      </c>
      <c r="HS176" t="e">
        <f>AND('STERLING CATALOG - DRY '!D3924,"AAAAAH/fKuI=")</f>
        <v>#VALUE!</v>
      </c>
      <c r="HT176" t="e">
        <f>AND('STERLING CATALOG - DRY '!E3924,"AAAAAH/fKuM=")</f>
        <v>#VALUE!</v>
      </c>
      <c r="HU176" t="e">
        <f>AND('STERLING CATALOG - DRY '!F3924,"AAAAAH/fKuQ=")</f>
        <v>#VALUE!</v>
      </c>
      <c r="HV176" t="e">
        <f>AND('STERLING CATALOG - DRY '!G3924,"AAAAAH/fKuU=")</f>
        <v>#VALUE!</v>
      </c>
      <c r="HW176" t="e">
        <f>AND('STERLING CATALOG - DRY '!H3924,"AAAAAH/fKuY=")</f>
        <v>#VALUE!</v>
      </c>
      <c r="HX176" t="e">
        <f>AND('STERLING CATALOG - DRY '!I3924,"AAAAAH/fKuc=")</f>
        <v>#VALUE!</v>
      </c>
      <c r="HY176" t="e">
        <f>AND('STERLING CATALOG - DRY '!J3924,"AAAAAH/fKug=")</f>
        <v>#VALUE!</v>
      </c>
      <c r="HZ176">
        <f>IF('STERLING CATALOG - DRY '!3925:3925,"AAAAAH/fKuk=",0)</f>
        <v>0</v>
      </c>
      <c r="IA176" t="e">
        <f>AND('STERLING CATALOG - DRY '!A3925,"AAAAAH/fKuo=")</f>
        <v>#VALUE!</v>
      </c>
      <c r="IB176" t="e">
        <f>AND('STERLING CATALOG - DRY '!B3925,"AAAAAH/fKus=")</f>
        <v>#VALUE!</v>
      </c>
      <c r="IC176" t="e">
        <f>AND('STERLING CATALOG - DRY '!C3925,"AAAAAH/fKuw=")</f>
        <v>#VALUE!</v>
      </c>
      <c r="ID176" t="e">
        <f>AND('STERLING CATALOG - DRY '!D3925,"AAAAAH/fKu0=")</f>
        <v>#VALUE!</v>
      </c>
      <c r="IE176" t="e">
        <f>AND('STERLING CATALOG - DRY '!E3925,"AAAAAH/fKu4=")</f>
        <v>#VALUE!</v>
      </c>
      <c r="IF176" t="e">
        <f>AND('STERLING CATALOG - DRY '!F3925,"AAAAAH/fKu8=")</f>
        <v>#VALUE!</v>
      </c>
      <c r="IG176" t="e">
        <f>AND('STERLING CATALOG - DRY '!G3925,"AAAAAH/fKvA=")</f>
        <v>#VALUE!</v>
      </c>
      <c r="IH176" t="e">
        <f>AND('STERLING CATALOG - DRY '!H3925,"AAAAAH/fKvE=")</f>
        <v>#VALUE!</v>
      </c>
      <c r="II176" t="e">
        <f>AND('STERLING CATALOG - DRY '!I3925,"AAAAAH/fKvI=")</f>
        <v>#VALUE!</v>
      </c>
      <c r="IJ176" t="e">
        <f>AND('STERLING CATALOG - DRY '!J3925,"AAAAAH/fKvM=")</f>
        <v>#VALUE!</v>
      </c>
      <c r="IK176">
        <f>IF('STERLING CATALOG - DRY '!3926:3926,"AAAAAH/fKvQ=",0)</f>
        <v>0</v>
      </c>
      <c r="IL176" t="e">
        <f>AND('STERLING CATALOG - DRY '!A3926,"AAAAAH/fKvU=")</f>
        <v>#VALUE!</v>
      </c>
      <c r="IM176" t="e">
        <f>AND('STERLING CATALOG - DRY '!B3926,"AAAAAH/fKvY=")</f>
        <v>#VALUE!</v>
      </c>
      <c r="IN176" t="e">
        <f>AND('STERLING CATALOG - DRY '!C3926,"AAAAAH/fKvc=")</f>
        <v>#VALUE!</v>
      </c>
      <c r="IO176" t="e">
        <f>AND('STERLING CATALOG - DRY '!D3926,"AAAAAH/fKvg=")</f>
        <v>#VALUE!</v>
      </c>
      <c r="IP176" t="e">
        <f>AND('STERLING CATALOG - DRY '!E3926,"AAAAAH/fKvk=")</f>
        <v>#VALUE!</v>
      </c>
      <c r="IQ176" t="e">
        <f>AND('STERLING CATALOG - DRY '!F3926,"AAAAAH/fKvo=")</f>
        <v>#VALUE!</v>
      </c>
      <c r="IR176" t="e">
        <f>AND('STERLING CATALOG - DRY '!G3926,"AAAAAH/fKvs=")</f>
        <v>#VALUE!</v>
      </c>
      <c r="IS176" t="e">
        <f>AND('STERLING CATALOG - DRY '!H3926,"AAAAAH/fKvw=")</f>
        <v>#VALUE!</v>
      </c>
      <c r="IT176" t="e">
        <f>AND('STERLING CATALOG - DRY '!I3926,"AAAAAH/fKv0=")</f>
        <v>#VALUE!</v>
      </c>
      <c r="IU176" t="e">
        <f>AND('STERLING CATALOG - DRY '!J3926,"AAAAAH/fKv4=")</f>
        <v>#VALUE!</v>
      </c>
      <c r="IV176">
        <f>IF('STERLING CATALOG - DRY '!3927:3927,"AAAAAH/fKv8=",0)</f>
        <v>0</v>
      </c>
    </row>
    <row r="177" spans="1:256">
      <c r="A177" t="e">
        <f>AND('STERLING CATALOG - DRY '!A3927,"AAAAAH8jnQA=")</f>
        <v>#VALUE!</v>
      </c>
      <c r="B177" t="e">
        <f>AND('STERLING CATALOG - DRY '!B3927,"AAAAAH8jnQE=")</f>
        <v>#VALUE!</v>
      </c>
      <c r="C177" t="e">
        <f>AND('STERLING CATALOG - DRY '!C3927,"AAAAAH8jnQI=")</f>
        <v>#VALUE!</v>
      </c>
      <c r="D177" t="e">
        <f>AND('STERLING CATALOG - DRY '!D3927,"AAAAAH8jnQM=")</f>
        <v>#VALUE!</v>
      </c>
      <c r="E177" t="e">
        <f>AND('STERLING CATALOG - DRY '!E3927,"AAAAAH8jnQQ=")</f>
        <v>#VALUE!</v>
      </c>
      <c r="F177" t="e">
        <f>AND('STERLING CATALOG - DRY '!F3927,"AAAAAH8jnQU=")</f>
        <v>#VALUE!</v>
      </c>
      <c r="G177" t="e">
        <f>AND('STERLING CATALOG - DRY '!G3927,"AAAAAH8jnQY=")</f>
        <v>#VALUE!</v>
      </c>
      <c r="H177" t="e">
        <f>AND('STERLING CATALOG - DRY '!H3927,"AAAAAH8jnQc=")</f>
        <v>#VALUE!</v>
      </c>
      <c r="I177" t="e">
        <f>AND('STERLING CATALOG - DRY '!I3927,"AAAAAH8jnQg=")</f>
        <v>#VALUE!</v>
      </c>
      <c r="J177" t="e">
        <f>AND('STERLING CATALOG - DRY '!J3927,"AAAAAH8jnQk=")</f>
        <v>#VALUE!</v>
      </c>
      <c r="K177">
        <f>IF('STERLING CATALOG - DRY '!3928:3928,"AAAAAH8jnQo=",0)</f>
        <v>0</v>
      </c>
      <c r="L177" t="e">
        <f>AND('STERLING CATALOG - DRY '!A3928,"AAAAAH8jnQs=")</f>
        <v>#VALUE!</v>
      </c>
      <c r="M177" t="e">
        <f>AND('STERLING CATALOG - DRY '!B3928,"AAAAAH8jnQw=")</f>
        <v>#VALUE!</v>
      </c>
      <c r="N177" t="e">
        <f>AND('STERLING CATALOG - DRY '!C3928,"AAAAAH8jnQ0=")</f>
        <v>#VALUE!</v>
      </c>
      <c r="O177" t="e">
        <f>AND('STERLING CATALOG - DRY '!D3928,"AAAAAH8jnQ4=")</f>
        <v>#VALUE!</v>
      </c>
      <c r="P177" t="e">
        <f>AND('STERLING CATALOG - DRY '!E3928,"AAAAAH8jnQ8=")</f>
        <v>#VALUE!</v>
      </c>
      <c r="Q177" t="e">
        <f>AND('STERLING CATALOG - DRY '!F3928,"AAAAAH8jnRA=")</f>
        <v>#VALUE!</v>
      </c>
      <c r="R177" t="e">
        <f>AND('STERLING CATALOG - DRY '!G3928,"AAAAAH8jnRE=")</f>
        <v>#VALUE!</v>
      </c>
      <c r="S177" t="e">
        <f>AND('STERLING CATALOG - DRY '!H3928,"AAAAAH8jnRI=")</f>
        <v>#VALUE!</v>
      </c>
      <c r="T177" t="e">
        <f>AND('STERLING CATALOG - DRY '!I3928,"AAAAAH8jnRM=")</f>
        <v>#VALUE!</v>
      </c>
      <c r="U177" t="e">
        <f>AND('STERLING CATALOG - DRY '!J3928,"AAAAAH8jnRQ=")</f>
        <v>#VALUE!</v>
      </c>
      <c r="V177">
        <f>IF('STERLING CATALOG - DRY '!3929:3929,"AAAAAH8jnRU=",0)</f>
        <v>0</v>
      </c>
      <c r="W177" t="e">
        <f>AND('STERLING CATALOG - DRY '!A3929,"AAAAAH8jnRY=")</f>
        <v>#VALUE!</v>
      </c>
      <c r="X177" t="e">
        <f>AND('STERLING CATALOG - DRY '!B3929,"AAAAAH8jnRc=")</f>
        <v>#VALUE!</v>
      </c>
      <c r="Y177" t="e">
        <f>AND('STERLING CATALOG - DRY '!C3929,"AAAAAH8jnRg=")</f>
        <v>#VALUE!</v>
      </c>
      <c r="Z177" t="e">
        <f>AND('STERLING CATALOG - DRY '!D3929,"AAAAAH8jnRk=")</f>
        <v>#VALUE!</v>
      </c>
      <c r="AA177" t="e">
        <f>AND('STERLING CATALOG - DRY '!E3929,"AAAAAH8jnRo=")</f>
        <v>#VALUE!</v>
      </c>
      <c r="AB177" t="e">
        <f>AND('STERLING CATALOG - DRY '!F3929,"AAAAAH8jnRs=")</f>
        <v>#VALUE!</v>
      </c>
      <c r="AC177" t="e">
        <f>AND('STERLING CATALOG - DRY '!G3929,"AAAAAH8jnRw=")</f>
        <v>#VALUE!</v>
      </c>
      <c r="AD177" t="e">
        <f>AND('STERLING CATALOG - DRY '!H3929,"AAAAAH8jnR0=")</f>
        <v>#VALUE!</v>
      </c>
      <c r="AE177" t="e">
        <f>AND('STERLING CATALOG - DRY '!I3929,"AAAAAH8jnR4=")</f>
        <v>#VALUE!</v>
      </c>
      <c r="AF177" t="e">
        <f>AND('STERLING CATALOG - DRY '!J3929,"AAAAAH8jnR8=")</f>
        <v>#VALUE!</v>
      </c>
      <c r="AG177">
        <f>IF('STERLING CATALOG - DRY '!3930:3930,"AAAAAH8jnSA=",0)</f>
        <v>0</v>
      </c>
      <c r="AH177" t="e">
        <f>AND('STERLING CATALOG - DRY '!A3930,"AAAAAH8jnSE=")</f>
        <v>#VALUE!</v>
      </c>
      <c r="AI177" t="e">
        <f>AND('STERLING CATALOG - DRY '!B3930,"AAAAAH8jnSI=")</f>
        <v>#VALUE!</v>
      </c>
      <c r="AJ177" t="e">
        <f>AND('STERLING CATALOG - DRY '!C3930,"AAAAAH8jnSM=")</f>
        <v>#VALUE!</v>
      </c>
      <c r="AK177" t="e">
        <f>AND('STERLING CATALOG - DRY '!D3930,"AAAAAH8jnSQ=")</f>
        <v>#VALUE!</v>
      </c>
      <c r="AL177" t="e">
        <f>AND('STERLING CATALOG - DRY '!E3930,"AAAAAH8jnSU=")</f>
        <v>#VALUE!</v>
      </c>
      <c r="AM177" t="e">
        <f>AND('STERLING CATALOG - DRY '!F3930,"AAAAAH8jnSY=")</f>
        <v>#VALUE!</v>
      </c>
      <c r="AN177" t="e">
        <f>AND('STERLING CATALOG - DRY '!G3930,"AAAAAH8jnSc=")</f>
        <v>#VALUE!</v>
      </c>
      <c r="AO177" t="e">
        <f>AND('STERLING CATALOG - DRY '!H3930,"AAAAAH8jnSg=")</f>
        <v>#VALUE!</v>
      </c>
      <c r="AP177" t="e">
        <f>AND('STERLING CATALOG - DRY '!I3930,"AAAAAH8jnSk=")</f>
        <v>#VALUE!</v>
      </c>
      <c r="AQ177" t="e">
        <f>AND('STERLING CATALOG - DRY '!J3930,"AAAAAH8jnSo=")</f>
        <v>#VALUE!</v>
      </c>
      <c r="AR177">
        <f>IF('STERLING CATALOG - DRY '!3931:3931,"AAAAAH8jnSs=",0)</f>
        <v>0</v>
      </c>
      <c r="AS177" t="e">
        <f>AND('STERLING CATALOG - DRY '!A3931,"AAAAAH8jnSw=")</f>
        <v>#VALUE!</v>
      </c>
      <c r="AT177" t="e">
        <f>AND('STERLING CATALOG - DRY '!B3931,"AAAAAH8jnS0=")</f>
        <v>#VALUE!</v>
      </c>
      <c r="AU177" t="e">
        <f>AND('STERLING CATALOG - DRY '!C3931,"AAAAAH8jnS4=")</f>
        <v>#VALUE!</v>
      </c>
      <c r="AV177" t="e">
        <f>AND('STERLING CATALOG - DRY '!D3931,"AAAAAH8jnS8=")</f>
        <v>#VALUE!</v>
      </c>
      <c r="AW177" t="e">
        <f>AND('STERLING CATALOG - DRY '!E3931,"AAAAAH8jnTA=")</f>
        <v>#VALUE!</v>
      </c>
      <c r="AX177" t="e">
        <f>AND('STERLING CATALOG - DRY '!F3931,"AAAAAH8jnTE=")</f>
        <v>#VALUE!</v>
      </c>
      <c r="AY177" t="e">
        <f>AND('STERLING CATALOG - DRY '!G3931,"AAAAAH8jnTI=")</f>
        <v>#VALUE!</v>
      </c>
      <c r="AZ177" t="e">
        <f>AND('STERLING CATALOG - DRY '!H3931,"AAAAAH8jnTM=")</f>
        <v>#VALUE!</v>
      </c>
      <c r="BA177" t="e">
        <f>AND('STERLING CATALOG - DRY '!I3931,"AAAAAH8jnTQ=")</f>
        <v>#VALUE!</v>
      </c>
      <c r="BB177" t="e">
        <f>AND('STERLING CATALOG - DRY '!J3931,"AAAAAH8jnTU=")</f>
        <v>#VALUE!</v>
      </c>
      <c r="BC177">
        <f>IF('STERLING CATALOG - DRY '!3932:3932,"AAAAAH8jnTY=",0)</f>
        <v>0</v>
      </c>
      <c r="BD177" t="e">
        <f>AND('STERLING CATALOG - DRY '!A3932,"AAAAAH8jnTc=")</f>
        <v>#VALUE!</v>
      </c>
      <c r="BE177" t="e">
        <f>AND('STERLING CATALOG - DRY '!B3932,"AAAAAH8jnTg=")</f>
        <v>#VALUE!</v>
      </c>
      <c r="BF177" t="e">
        <f>AND('STERLING CATALOG - DRY '!C3932,"AAAAAH8jnTk=")</f>
        <v>#VALUE!</v>
      </c>
      <c r="BG177" t="e">
        <f>AND('STERLING CATALOG - DRY '!D3932,"AAAAAH8jnTo=")</f>
        <v>#VALUE!</v>
      </c>
      <c r="BH177" t="e">
        <f>AND('STERLING CATALOG - DRY '!E3932,"AAAAAH8jnTs=")</f>
        <v>#VALUE!</v>
      </c>
      <c r="BI177" t="e">
        <f>AND('STERLING CATALOG - DRY '!F3932,"AAAAAH8jnTw=")</f>
        <v>#VALUE!</v>
      </c>
      <c r="BJ177" t="e">
        <f>AND('STERLING CATALOG - DRY '!G3932,"AAAAAH8jnT0=")</f>
        <v>#VALUE!</v>
      </c>
      <c r="BK177" t="e">
        <f>AND('STERLING CATALOG - DRY '!H3932,"AAAAAH8jnT4=")</f>
        <v>#VALUE!</v>
      </c>
      <c r="BL177" t="e">
        <f>AND('STERLING CATALOG - DRY '!I3932,"AAAAAH8jnT8=")</f>
        <v>#VALUE!</v>
      </c>
      <c r="BM177" t="e">
        <f>AND('STERLING CATALOG - DRY '!J3932,"AAAAAH8jnUA=")</f>
        <v>#VALUE!</v>
      </c>
      <c r="BN177">
        <f>IF('STERLING CATALOG - DRY '!3933:3933,"AAAAAH8jnUE=",0)</f>
        <v>0</v>
      </c>
      <c r="BO177" t="e">
        <f>AND('STERLING CATALOG - DRY '!A3933,"AAAAAH8jnUI=")</f>
        <v>#VALUE!</v>
      </c>
      <c r="BP177" t="e">
        <f>AND('STERLING CATALOG - DRY '!B3933,"AAAAAH8jnUM=")</f>
        <v>#VALUE!</v>
      </c>
      <c r="BQ177" t="e">
        <f>AND('STERLING CATALOG - DRY '!C3933,"AAAAAH8jnUQ=")</f>
        <v>#VALUE!</v>
      </c>
      <c r="BR177" t="e">
        <f>AND('STERLING CATALOG - DRY '!D3933,"AAAAAH8jnUU=")</f>
        <v>#VALUE!</v>
      </c>
      <c r="BS177" t="e">
        <f>AND('STERLING CATALOG - DRY '!E3933,"AAAAAH8jnUY=")</f>
        <v>#VALUE!</v>
      </c>
      <c r="BT177" t="e">
        <f>AND('STERLING CATALOG - DRY '!F3933,"AAAAAH8jnUc=")</f>
        <v>#VALUE!</v>
      </c>
      <c r="BU177" t="e">
        <f>AND('STERLING CATALOG - DRY '!G3933,"AAAAAH8jnUg=")</f>
        <v>#VALUE!</v>
      </c>
      <c r="BV177" t="e">
        <f>AND('STERLING CATALOG - DRY '!H3933,"AAAAAH8jnUk=")</f>
        <v>#VALUE!</v>
      </c>
      <c r="BW177" t="e">
        <f>AND('STERLING CATALOG - DRY '!I3933,"AAAAAH8jnUo=")</f>
        <v>#VALUE!</v>
      </c>
      <c r="BX177" t="e">
        <f>AND('STERLING CATALOG - DRY '!J3933,"AAAAAH8jnUs=")</f>
        <v>#VALUE!</v>
      </c>
      <c r="BY177">
        <f>IF('STERLING CATALOG - DRY '!3934:3934,"AAAAAH8jnUw=",0)</f>
        <v>0</v>
      </c>
      <c r="BZ177" t="e">
        <f>AND('STERLING CATALOG - DRY '!A3934,"AAAAAH8jnU0=")</f>
        <v>#VALUE!</v>
      </c>
      <c r="CA177" t="e">
        <f>AND('STERLING CATALOG - DRY '!B3934,"AAAAAH8jnU4=")</f>
        <v>#VALUE!</v>
      </c>
      <c r="CB177" t="e">
        <f>AND('STERLING CATALOG - DRY '!C3934,"AAAAAH8jnU8=")</f>
        <v>#VALUE!</v>
      </c>
      <c r="CC177" t="e">
        <f>AND('STERLING CATALOG - DRY '!D3934,"AAAAAH8jnVA=")</f>
        <v>#VALUE!</v>
      </c>
      <c r="CD177" t="e">
        <f>AND('STERLING CATALOG - DRY '!E3934,"AAAAAH8jnVE=")</f>
        <v>#VALUE!</v>
      </c>
      <c r="CE177" t="e">
        <f>AND('STERLING CATALOG - DRY '!F3934,"AAAAAH8jnVI=")</f>
        <v>#VALUE!</v>
      </c>
      <c r="CF177" t="e">
        <f>AND('STERLING CATALOG - DRY '!G3934,"AAAAAH8jnVM=")</f>
        <v>#VALUE!</v>
      </c>
      <c r="CG177" t="e">
        <f>AND('STERLING CATALOG - DRY '!H3934,"AAAAAH8jnVQ=")</f>
        <v>#VALUE!</v>
      </c>
      <c r="CH177" t="e">
        <f>AND('STERLING CATALOG - DRY '!I3934,"AAAAAH8jnVU=")</f>
        <v>#VALUE!</v>
      </c>
      <c r="CI177" t="e">
        <f>AND('STERLING CATALOG - DRY '!J3934,"AAAAAH8jnVY=")</f>
        <v>#VALUE!</v>
      </c>
      <c r="CJ177">
        <f>IF('STERLING CATALOG - DRY '!3935:3935,"AAAAAH8jnVc=",0)</f>
        <v>0</v>
      </c>
      <c r="CK177" t="e">
        <f>AND('STERLING CATALOG - DRY '!A3935,"AAAAAH8jnVg=")</f>
        <v>#VALUE!</v>
      </c>
      <c r="CL177" t="e">
        <f>AND('STERLING CATALOG - DRY '!B3935,"AAAAAH8jnVk=")</f>
        <v>#VALUE!</v>
      </c>
      <c r="CM177" t="e">
        <f>AND('STERLING CATALOG - DRY '!C3935,"AAAAAH8jnVo=")</f>
        <v>#VALUE!</v>
      </c>
      <c r="CN177" t="e">
        <f>AND('STERLING CATALOG - DRY '!D3935,"AAAAAH8jnVs=")</f>
        <v>#VALUE!</v>
      </c>
      <c r="CO177" t="e">
        <f>AND('STERLING CATALOG - DRY '!E3935,"AAAAAH8jnVw=")</f>
        <v>#VALUE!</v>
      </c>
      <c r="CP177" t="e">
        <f>AND('STERLING CATALOG - DRY '!F3935,"AAAAAH8jnV0=")</f>
        <v>#VALUE!</v>
      </c>
      <c r="CQ177" t="e">
        <f>AND('STERLING CATALOG - DRY '!G3935,"AAAAAH8jnV4=")</f>
        <v>#VALUE!</v>
      </c>
      <c r="CR177" t="e">
        <f>AND('STERLING CATALOG - DRY '!H3935,"AAAAAH8jnV8=")</f>
        <v>#VALUE!</v>
      </c>
      <c r="CS177" t="e">
        <f>AND('STERLING CATALOG - DRY '!I3935,"AAAAAH8jnWA=")</f>
        <v>#VALUE!</v>
      </c>
      <c r="CT177" t="e">
        <f>AND('STERLING CATALOG - DRY '!J3935,"AAAAAH8jnWE=")</f>
        <v>#VALUE!</v>
      </c>
      <c r="CU177">
        <f>IF('STERLING CATALOG - DRY '!3936:3936,"AAAAAH8jnWI=",0)</f>
        <v>0</v>
      </c>
      <c r="CV177" t="e">
        <f>AND('STERLING CATALOG - DRY '!A3936,"AAAAAH8jnWM=")</f>
        <v>#VALUE!</v>
      </c>
      <c r="CW177" t="e">
        <f>AND('STERLING CATALOG - DRY '!B3936,"AAAAAH8jnWQ=")</f>
        <v>#VALUE!</v>
      </c>
      <c r="CX177" t="e">
        <f>AND('STERLING CATALOG - DRY '!C3936,"AAAAAH8jnWU=")</f>
        <v>#VALUE!</v>
      </c>
      <c r="CY177" t="e">
        <f>AND('STERLING CATALOG - DRY '!D3936,"AAAAAH8jnWY=")</f>
        <v>#VALUE!</v>
      </c>
      <c r="CZ177" t="e">
        <f>AND('STERLING CATALOG - DRY '!E3936,"AAAAAH8jnWc=")</f>
        <v>#VALUE!</v>
      </c>
      <c r="DA177" t="e">
        <f>AND('STERLING CATALOG - DRY '!F3936,"AAAAAH8jnWg=")</f>
        <v>#VALUE!</v>
      </c>
      <c r="DB177" t="e">
        <f>AND('STERLING CATALOG - DRY '!G3936,"AAAAAH8jnWk=")</f>
        <v>#VALUE!</v>
      </c>
      <c r="DC177" t="e">
        <f>AND('STERLING CATALOG - DRY '!H3936,"AAAAAH8jnWo=")</f>
        <v>#VALUE!</v>
      </c>
      <c r="DD177" t="e">
        <f>AND('STERLING CATALOG - DRY '!I3936,"AAAAAH8jnWs=")</f>
        <v>#VALUE!</v>
      </c>
      <c r="DE177" t="e">
        <f>AND('STERLING CATALOG - DRY '!J3936,"AAAAAH8jnWw=")</f>
        <v>#VALUE!</v>
      </c>
      <c r="DF177">
        <f>IF('STERLING CATALOG - DRY '!3937:3937,"AAAAAH8jnW0=",0)</f>
        <v>0</v>
      </c>
      <c r="DG177" t="e">
        <f>AND('STERLING CATALOG - DRY '!A3937,"AAAAAH8jnW4=")</f>
        <v>#VALUE!</v>
      </c>
      <c r="DH177" t="e">
        <f>AND('STERLING CATALOG - DRY '!B3937,"AAAAAH8jnW8=")</f>
        <v>#VALUE!</v>
      </c>
      <c r="DI177" t="e">
        <f>AND('STERLING CATALOG - DRY '!C3937,"AAAAAH8jnXA=")</f>
        <v>#VALUE!</v>
      </c>
      <c r="DJ177" t="e">
        <f>AND('STERLING CATALOG - DRY '!D3937,"AAAAAH8jnXE=")</f>
        <v>#VALUE!</v>
      </c>
      <c r="DK177" t="e">
        <f>AND('STERLING CATALOG - DRY '!E3937,"AAAAAH8jnXI=")</f>
        <v>#VALUE!</v>
      </c>
      <c r="DL177" t="e">
        <f>AND('STERLING CATALOG - DRY '!F3937,"AAAAAH8jnXM=")</f>
        <v>#VALUE!</v>
      </c>
      <c r="DM177" t="e">
        <f>AND('STERLING CATALOG - DRY '!G3937,"AAAAAH8jnXQ=")</f>
        <v>#VALUE!</v>
      </c>
      <c r="DN177" t="e">
        <f>AND('STERLING CATALOG - DRY '!H3937,"AAAAAH8jnXU=")</f>
        <v>#VALUE!</v>
      </c>
      <c r="DO177" t="e">
        <f>AND('STERLING CATALOG - DRY '!I3937,"AAAAAH8jnXY=")</f>
        <v>#VALUE!</v>
      </c>
      <c r="DP177" t="e">
        <f>AND('STERLING CATALOG - DRY '!J3937,"AAAAAH8jnXc=")</f>
        <v>#VALUE!</v>
      </c>
      <c r="DQ177">
        <f>IF('STERLING CATALOG - DRY '!3938:3938,"AAAAAH8jnXg=",0)</f>
        <v>0</v>
      </c>
      <c r="DR177" t="e">
        <f>AND('STERLING CATALOG - DRY '!A3938,"AAAAAH8jnXk=")</f>
        <v>#VALUE!</v>
      </c>
      <c r="DS177" t="e">
        <f>AND('STERLING CATALOG - DRY '!B3938,"AAAAAH8jnXo=")</f>
        <v>#VALUE!</v>
      </c>
      <c r="DT177" t="e">
        <f>AND('STERLING CATALOG - DRY '!C3938,"AAAAAH8jnXs=")</f>
        <v>#VALUE!</v>
      </c>
      <c r="DU177" t="e">
        <f>AND('STERLING CATALOG - DRY '!D3938,"AAAAAH8jnXw=")</f>
        <v>#VALUE!</v>
      </c>
      <c r="DV177" t="e">
        <f>AND('STERLING CATALOG - DRY '!E3938,"AAAAAH8jnX0=")</f>
        <v>#VALUE!</v>
      </c>
      <c r="DW177" t="e">
        <f>AND('STERLING CATALOG - DRY '!F3938,"AAAAAH8jnX4=")</f>
        <v>#VALUE!</v>
      </c>
      <c r="DX177" t="e">
        <f>AND('STERLING CATALOG - DRY '!G3938,"AAAAAH8jnX8=")</f>
        <v>#VALUE!</v>
      </c>
      <c r="DY177" t="e">
        <f>AND('STERLING CATALOG - DRY '!H3938,"AAAAAH8jnYA=")</f>
        <v>#VALUE!</v>
      </c>
      <c r="DZ177" t="e">
        <f>AND('STERLING CATALOG - DRY '!I3938,"AAAAAH8jnYE=")</f>
        <v>#VALUE!</v>
      </c>
      <c r="EA177" t="e">
        <f>AND('STERLING CATALOG - DRY '!J3938,"AAAAAH8jnYI=")</f>
        <v>#VALUE!</v>
      </c>
      <c r="EB177">
        <f>IF('STERLING CATALOG - DRY '!3939:3939,"AAAAAH8jnYM=",0)</f>
        <v>0</v>
      </c>
      <c r="EC177" t="e">
        <f>AND('STERLING CATALOG - DRY '!A3939,"AAAAAH8jnYQ=")</f>
        <v>#VALUE!</v>
      </c>
      <c r="ED177" t="e">
        <f>AND('STERLING CATALOG - DRY '!B3939,"AAAAAH8jnYU=")</f>
        <v>#VALUE!</v>
      </c>
      <c r="EE177" t="e">
        <f>AND('STERLING CATALOG - DRY '!C3939,"AAAAAH8jnYY=")</f>
        <v>#VALUE!</v>
      </c>
      <c r="EF177" t="e">
        <f>AND('STERLING CATALOG - DRY '!D3939,"AAAAAH8jnYc=")</f>
        <v>#VALUE!</v>
      </c>
      <c r="EG177" t="e">
        <f>AND('STERLING CATALOG - DRY '!E3939,"AAAAAH8jnYg=")</f>
        <v>#VALUE!</v>
      </c>
      <c r="EH177" t="e">
        <f>AND('STERLING CATALOG - DRY '!F3939,"AAAAAH8jnYk=")</f>
        <v>#VALUE!</v>
      </c>
      <c r="EI177" t="e">
        <f>AND('STERLING CATALOG - DRY '!G3939,"AAAAAH8jnYo=")</f>
        <v>#VALUE!</v>
      </c>
      <c r="EJ177" t="e">
        <f>AND('STERLING CATALOG - DRY '!H3939,"AAAAAH8jnYs=")</f>
        <v>#VALUE!</v>
      </c>
      <c r="EK177" t="e">
        <f>AND('STERLING CATALOG - DRY '!I3939,"AAAAAH8jnYw=")</f>
        <v>#VALUE!</v>
      </c>
      <c r="EL177" t="e">
        <f>AND('STERLING CATALOG - DRY '!J3939,"AAAAAH8jnY0=")</f>
        <v>#VALUE!</v>
      </c>
      <c r="EM177">
        <f>IF('STERLING CATALOG - DRY '!3940:3940,"AAAAAH8jnY4=",0)</f>
        <v>0</v>
      </c>
      <c r="EN177" t="e">
        <f>AND('STERLING CATALOG - DRY '!A3940,"AAAAAH8jnY8=")</f>
        <v>#VALUE!</v>
      </c>
      <c r="EO177" t="e">
        <f>AND('STERLING CATALOG - DRY '!B3940,"AAAAAH8jnZA=")</f>
        <v>#VALUE!</v>
      </c>
      <c r="EP177" t="e">
        <f>AND('STERLING CATALOG - DRY '!C3940,"AAAAAH8jnZE=")</f>
        <v>#VALUE!</v>
      </c>
      <c r="EQ177" t="e">
        <f>AND('STERLING CATALOG - DRY '!D3940,"AAAAAH8jnZI=")</f>
        <v>#VALUE!</v>
      </c>
      <c r="ER177" t="e">
        <f>AND('STERLING CATALOG - DRY '!E3940,"AAAAAH8jnZM=")</f>
        <v>#VALUE!</v>
      </c>
      <c r="ES177" t="e">
        <f>AND('STERLING CATALOG - DRY '!F3940,"AAAAAH8jnZQ=")</f>
        <v>#VALUE!</v>
      </c>
      <c r="ET177" t="e">
        <f>AND('STERLING CATALOG - DRY '!G3940,"AAAAAH8jnZU=")</f>
        <v>#VALUE!</v>
      </c>
      <c r="EU177" t="e">
        <f>AND('STERLING CATALOG - DRY '!H3940,"AAAAAH8jnZY=")</f>
        <v>#VALUE!</v>
      </c>
      <c r="EV177" t="e">
        <f>AND('STERLING CATALOG - DRY '!I3940,"AAAAAH8jnZc=")</f>
        <v>#VALUE!</v>
      </c>
      <c r="EW177" t="e">
        <f>AND('STERLING CATALOG - DRY '!J3940,"AAAAAH8jnZg=")</f>
        <v>#VALUE!</v>
      </c>
      <c r="EX177">
        <f>IF('STERLING CATALOG - DRY '!3941:3941,"AAAAAH8jnZk=",0)</f>
        <v>0</v>
      </c>
      <c r="EY177" t="e">
        <f>AND('STERLING CATALOG - DRY '!A3941,"AAAAAH8jnZo=")</f>
        <v>#VALUE!</v>
      </c>
      <c r="EZ177" t="e">
        <f>AND('STERLING CATALOG - DRY '!B3941,"AAAAAH8jnZs=")</f>
        <v>#VALUE!</v>
      </c>
      <c r="FA177" t="e">
        <f>AND('STERLING CATALOG - DRY '!C3941,"AAAAAH8jnZw=")</f>
        <v>#VALUE!</v>
      </c>
      <c r="FB177" t="e">
        <f>AND('STERLING CATALOG - DRY '!D3941,"AAAAAH8jnZ0=")</f>
        <v>#VALUE!</v>
      </c>
      <c r="FC177" t="e">
        <f>AND('STERLING CATALOG - DRY '!E3941,"AAAAAH8jnZ4=")</f>
        <v>#VALUE!</v>
      </c>
      <c r="FD177" t="e">
        <f>AND('STERLING CATALOG - DRY '!F3941,"AAAAAH8jnZ8=")</f>
        <v>#VALUE!</v>
      </c>
      <c r="FE177" t="e">
        <f>AND('STERLING CATALOG - DRY '!G3941,"AAAAAH8jnaA=")</f>
        <v>#VALUE!</v>
      </c>
      <c r="FF177" t="e">
        <f>AND('STERLING CATALOG - DRY '!H3941,"AAAAAH8jnaE=")</f>
        <v>#VALUE!</v>
      </c>
      <c r="FG177" t="e">
        <f>AND('STERLING CATALOG - DRY '!I3941,"AAAAAH8jnaI=")</f>
        <v>#VALUE!</v>
      </c>
      <c r="FH177" t="e">
        <f>AND('STERLING CATALOG - DRY '!J3941,"AAAAAH8jnaM=")</f>
        <v>#VALUE!</v>
      </c>
      <c r="FI177">
        <f>IF('STERLING CATALOG - DRY '!3942:3942,"AAAAAH8jnaQ=",0)</f>
        <v>0</v>
      </c>
      <c r="FJ177" t="e">
        <f>AND('STERLING CATALOG - DRY '!A3942,"AAAAAH8jnaU=")</f>
        <v>#VALUE!</v>
      </c>
      <c r="FK177" t="e">
        <f>AND('STERLING CATALOG - DRY '!B3942,"AAAAAH8jnaY=")</f>
        <v>#VALUE!</v>
      </c>
      <c r="FL177" t="e">
        <f>AND('STERLING CATALOG - DRY '!C3942,"AAAAAH8jnac=")</f>
        <v>#VALUE!</v>
      </c>
      <c r="FM177" t="e">
        <f>AND('STERLING CATALOG - DRY '!D3942,"AAAAAH8jnag=")</f>
        <v>#VALUE!</v>
      </c>
      <c r="FN177" t="e">
        <f>AND('STERLING CATALOG - DRY '!E3942,"AAAAAH8jnak=")</f>
        <v>#VALUE!</v>
      </c>
      <c r="FO177" t="e">
        <f>AND('STERLING CATALOG - DRY '!F3942,"AAAAAH8jnao=")</f>
        <v>#VALUE!</v>
      </c>
      <c r="FP177" t="e">
        <f>AND('STERLING CATALOG - DRY '!G3942,"AAAAAH8jnas=")</f>
        <v>#VALUE!</v>
      </c>
      <c r="FQ177" t="e">
        <f>AND('STERLING CATALOG - DRY '!H3942,"AAAAAH8jnaw=")</f>
        <v>#VALUE!</v>
      </c>
      <c r="FR177" t="e">
        <f>AND('STERLING CATALOG - DRY '!I3942,"AAAAAH8jna0=")</f>
        <v>#VALUE!</v>
      </c>
      <c r="FS177" t="e">
        <f>AND('STERLING CATALOG - DRY '!J3942,"AAAAAH8jna4=")</f>
        <v>#VALUE!</v>
      </c>
      <c r="FT177">
        <f>IF('STERLING CATALOG - DRY '!3943:3943,"AAAAAH8jna8=",0)</f>
        <v>0</v>
      </c>
      <c r="FU177" t="e">
        <f>AND('STERLING CATALOG - DRY '!A3943,"AAAAAH8jnbA=")</f>
        <v>#VALUE!</v>
      </c>
      <c r="FV177" t="e">
        <f>AND('STERLING CATALOG - DRY '!B3943,"AAAAAH8jnbE=")</f>
        <v>#VALUE!</v>
      </c>
      <c r="FW177" t="e">
        <f>AND('STERLING CATALOG - DRY '!C3943,"AAAAAH8jnbI=")</f>
        <v>#VALUE!</v>
      </c>
      <c r="FX177" t="e">
        <f>AND('STERLING CATALOG - DRY '!D3943,"AAAAAH8jnbM=")</f>
        <v>#VALUE!</v>
      </c>
      <c r="FY177" t="e">
        <f>AND('STERLING CATALOG - DRY '!E3943,"AAAAAH8jnbQ=")</f>
        <v>#VALUE!</v>
      </c>
      <c r="FZ177" t="e">
        <f>AND('STERLING CATALOG - DRY '!F3943,"AAAAAH8jnbU=")</f>
        <v>#VALUE!</v>
      </c>
      <c r="GA177" t="e">
        <f>AND('STERLING CATALOG - DRY '!G3943,"AAAAAH8jnbY=")</f>
        <v>#VALUE!</v>
      </c>
      <c r="GB177" t="e">
        <f>AND('STERLING CATALOG - DRY '!H3943,"AAAAAH8jnbc=")</f>
        <v>#VALUE!</v>
      </c>
      <c r="GC177" t="e">
        <f>AND('STERLING CATALOG - DRY '!I3943,"AAAAAH8jnbg=")</f>
        <v>#VALUE!</v>
      </c>
      <c r="GD177" t="e">
        <f>AND('STERLING CATALOG - DRY '!J3943,"AAAAAH8jnbk=")</f>
        <v>#VALUE!</v>
      </c>
      <c r="GE177">
        <f>IF('STERLING CATALOG - DRY '!3944:3944,"AAAAAH8jnbo=",0)</f>
        <v>0</v>
      </c>
      <c r="GF177" t="e">
        <f>AND('STERLING CATALOG - DRY '!A3944,"AAAAAH8jnbs=")</f>
        <v>#VALUE!</v>
      </c>
      <c r="GG177" t="e">
        <f>AND('STERLING CATALOG - DRY '!B3944,"AAAAAH8jnbw=")</f>
        <v>#VALUE!</v>
      </c>
      <c r="GH177" t="e">
        <f>AND('STERLING CATALOG - DRY '!C3944,"AAAAAH8jnb0=")</f>
        <v>#VALUE!</v>
      </c>
      <c r="GI177" t="e">
        <f>AND('STERLING CATALOG - DRY '!D3944,"AAAAAH8jnb4=")</f>
        <v>#VALUE!</v>
      </c>
      <c r="GJ177" t="e">
        <f>AND('STERLING CATALOG - DRY '!E3944,"AAAAAH8jnb8=")</f>
        <v>#VALUE!</v>
      </c>
      <c r="GK177" t="e">
        <f>AND('STERLING CATALOG - DRY '!F3944,"AAAAAH8jncA=")</f>
        <v>#VALUE!</v>
      </c>
      <c r="GL177" t="e">
        <f>AND('STERLING CATALOG - DRY '!G3944,"AAAAAH8jncE=")</f>
        <v>#VALUE!</v>
      </c>
      <c r="GM177" t="e">
        <f>AND('STERLING CATALOG - DRY '!H3944,"AAAAAH8jncI=")</f>
        <v>#VALUE!</v>
      </c>
      <c r="GN177" t="e">
        <f>AND('STERLING CATALOG - DRY '!I3944,"AAAAAH8jncM=")</f>
        <v>#VALUE!</v>
      </c>
      <c r="GO177" t="e">
        <f>AND('STERLING CATALOG - DRY '!J3944,"AAAAAH8jncQ=")</f>
        <v>#VALUE!</v>
      </c>
      <c r="GP177">
        <f>IF('STERLING CATALOG - DRY '!3945:3945,"AAAAAH8jncU=",0)</f>
        <v>0</v>
      </c>
      <c r="GQ177" t="e">
        <f>AND('STERLING CATALOG - DRY '!A3945,"AAAAAH8jncY=")</f>
        <v>#VALUE!</v>
      </c>
      <c r="GR177" t="e">
        <f>AND('STERLING CATALOG - DRY '!B3945,"AAAAAH8jncc=")</f>
        <v>#VALUE!</v>
      </c>
      <c r="GS177" t="e">
        <f>AND('STERLING CATALOG - DRY '!C3945,"AAAAAH8jncg=")</f>
        <v>#VALUE!</v>
      </c>
      <c r="GT177" t="e">
        <f>AND('STERLING CATALOG - DRY '!D3945,"AAAAAH8jnck=")</f>
        <v>#VALUE!</v>
      </c>
      <c r="GU177" t="e">
        <f>AND('STERLING CATALOG - DRY '!E3945,"AAAAAH8jnco=")</f>
        <v>#VALUE!</v>
      </c>
      <c r="GV177" t="e">
        <f>AND('STERLING CATALOG - DRY '!F3945,"AAAAAH8jncs=")</f>
        <v>#VALUE!</v>
      </c>
      <c r="GW177" t="e">
        <f>AND('STERLING CATALOG - DRY '!G3945,"AAAAAH8jncw=")</f>
        <v>#VALUE!</v>
      </c>
      <c r="GX177" t="e">
        <f>AND('STERLING CATALOG - DRY '!H3945,"AAAAAH8jnc0=")</f>
        <v>#VALUE!</v>
      </c>
      <c r="GY177" t="e">
        <f>AND('STERLING CATALOG - DRY '!I3945,"AAAAAH8jnc4=")</f>
        <v>#VALUE!</v>
      </c>
      <c r="GZ177" t="e">
        <f>AND('STERLING CATALOG - DRY '!J3945,"AAAAAH8jnc8=")</f>
        <v>#VALUE!</v>
      </c>
      <c r="HA177">
        <f>IF('STERLING CATALOG - DRY '!3946:3946,"AAAAAH8jndA=",0)</f>
        <v>0</v>
      </c>
      <c r="HB177" t="e">
        <f>AND('STERLING CATALOG - DRY '!A3946,"AAAAAH8jndE=")</f>
        <v>#VALUE!</v>
      </c>
      <c r="HC177" t="e">
        <f>AND('STERLING CATALOG - DRY '!B3946,"AAAAAH8jndI=")</f>
        <v>#VALUE!</v>
      </c>
      <c r="HD177" t="e">
        <f>AND('STERLING CATALOG - DRY '!C3946,"AAAAAH8jndM=")</f>
        <v>#VALUE!</v>
      </c>
      <c r="HE177" t="e">
        <f>AND('STERLING CATALOG - DRY '!D3946,"AAAAAH8jndQ=")</f>
        <v>#VALUE!</v>
      </c>
      <c r="HF177" t="e">
        <f>AND('STERLING CATALOG - DRY '!E3946,"AAAAAH8jndU=")</f>
        <v>#VALUE!</v>
      </c>
      <c r="HG177" t="e">
        <f>AND('STERLING CATALOG - DRY '!F3946,"AAAAAH8jndY=")</f>
        <v>#VALUE!</v>
      </c>
      <c r="HH177" t="e">
        <f>AND('STERLING CATALOG - DRY '!G3946,"AAAAAH8jndc=")</f>
        <v>#VALUE!</v>
      </c>
      <c r="HI177" t="e">
        <f>AND('STERLING CATALOG - DRY '!H3946,"AAAAAH8jndg=")</f>
        <v>#VALUE!</v>
      </c>
      <c r="HJ177" t="e">
        <f>AND('STERLING CATALOG - DRY '!I3946,"AAAAAH8jndk=")</f>
        <v>#VALUE!</v>
      </c>
      <c r="HK177" t="e">
        <f>AND('STERLING CATALOG - DRY '!J3946,"AAAAAH8jndo=")</f>
        <v>#VALUE!</v>
      </c>
      <c r="HL177">
        <f>IF('STERLING CATALOG - DRY '!3947:3947,"AAAAAH8jnds=",0)</f>
        <v>0</v>
      </c>
      <c r="HM177" t="e">
        <f>AND('STERLING CATALOG - DRY '!A3947,"AAAAAH8jndw=")</f>
        <v>#VALUE!</v>
      </c>
      <c r="HN177" t="e">
        <f>AND('STERLING CATALOG - DRY '!B3947,"AAAAAH8jnd0=")</f>
        <v>#VALUE!</v>
      </c>
      <c r="HO177" t="e">
        <f>AND('STERLING CATALOG - DRY '!C3947,"AAAAAH8jnd4=")</f>
        <v>#VALUE!</v>
      </c>
      <c r="HP177" t="e">
        <f>AND('STERLING CATALOG - DRY '!D3947,"AAAAAH8jnd8=")</f>
        <v>#VALUE!</v>
      </c>
      <c r="HQ177" t="e">
        <f>AND('STERLING CATALOG - DRY '!E3947,"AAAAAH8jneA=")</f>
        <v>#VALUE!</v>
      </c>
      <c r="HR177" t="e">
        <f>AND('STERLING CATALOG - DRY '!F3947,"AAAAAH8jneE=")</f>
        <v>#VALUE!</v>
      </c>
      <c r="HS177" t="e">
        <f>AND('STERLING CATALOG - DRY '!G3947,"AAAAAH8jneI=")</f>
        <v>#VALUE!</v>
      </c>
      <c r="HT177" t="e">
        <f>AND('STERLING CATALOG - DRY '!H3947,"AAAAAH8jneM=")</f>
        <v>#VALUE!</v>
      </c>
      <c r="HU177" t="e">
        <f>AND('STERLING CATALOG - DRY '!I3947,"AAAAAH8jneQ=")</f>
        <v>#VALUE!</v>
      </c>
      <c r="HV177" t="e">
        <f>AND('STERLING CATALOG - DRY '!J3947,"AAAAAH8jneU=")</f>
        <v>#VALUE!</v>
      </c>
      <c r="HW177">
        <f>IF('STERLING CATALOG - DRY '!3948:3948,"AAAAAH8jneY=",0)</f>
        <v>0</v>
      </c>
      <c r="HX177" t="e">
        <f>AND('STERLING CATALOG - DRY '!A3948,"AAAAAH8jnec=")</f>
        <v>#VALUE!</v>
      </c>
      <c r="HY177" t="e">
        <f>AND('STERLING CATALOG - DRY '!B3948,"AAAAAH8jneg=")</f>
        <v>#VALUE!</v>
      </c>
      <c r="HZ177" t="e">
        <f>AND('STERLING CATALOG - DRY '!C3948,"AAAAAH8jnek=")</f>
        <v>#VALUE!</v>
      </c>
      <c r="IA177" t="e">
        <f>AND('STERLING CATALOG - DRY '!D3948,"AAAAAH8jneo=")</f>
        <v>#VALUE!</v>
      </c>
      <c r="IB177" t="e">
        <f>AND('STERLING CATALOG - DRY '!E3948,"AAAAAH8jnes=")</f>
        <v>#VALUE!</v>
      </c>
      <c r="IC177" t="e">
        <f>AND('STERLING CATALOG - DRY '!F3948,"AAAAAH8jnew=")</f>
        <v>#VALUE!</v>
      </c>
      <c r="ID177" t="e">
        <f>AND('STERLING CATALOG - DRY '!G3948,"AAAAAH8jne0=")</f>
        <v>#VALUE!</v>
      </c>
      <c r="IE177" t="e">
        <f>AND('STERLING CATALOG - DRY '!H3948,"AAAAAH8jne4=")</f>
        <v>#VALUE!</v>
      </c>
      <c r="IF177" t="e">
        <f>AND('STERLING CATALOG - DRY '!I3948,"AAAAAH8jne8=")</f>
        <v>#VALUE!</v>
      </c>
      <c r="IG177" t="e">
        <f>AND('STERLING CATALOG - DRY '!J3948,"AAAAAH8jnfA=")</f>
        <v>#VALUE!</v>
      </c>
      <c r="IH177">
        <f>IF('STERLING CATALOG - DRY '!3949:3949,"AAAAAH8jnfE=",0)</f>
        <v>0</v>
      </c>
      <c r="II177" t="e">
        <f>AND('STERLING CATALOG - DRY '!A3949,"AAAAAH8jnfI=")</f>
        <v>#VALUE!</v>
      </c>
      <c r="IJ177" t="e">
        <f>AND('STERLING CATALOG - DRY '!B3949,"AAAAAH8jnfM=")</f>
        <v>#VALUE!</v>
      </c>
      <c r="IK177" t="e">
        <f>AND('STERLING CATALOG - DRY '!C3949,"AAAAAH8jnfQ=")</f>
        <v>#VALUE!</v>
      </c>
      <c r="IL177" t="e">
        <f>AND('STERLING CATALOG - DRY '!D3949,"AAAAAH8jnfU=")</f>
        <v>#VALUE!</v>
      </c>
      <c r="IM177" t="e">
        <f>AND('STERLING CATALOG - DRY '!E3949,"AAAAAH8jnfY=")</f>
        <v>#VALUE!</v>
      </c>
      <c r="IN177" t="e">
        <f>AND('STERLING CATALOG - DRY '!F3949,"AAAAAH8jnfc=")</f>
        <v>#VALUE!</v>
      </c>
      <c r="IO177" t="e">
        <f>AND('STERLING CATALOG - DRY '!G3949,"AAAAAH8jnfg=")</f>
        <v>#VALUE!</v>
      </c>
      <c r="IP177" t="e">
        <f>AND('STERLING CATALOG - DRY '!H3949,"AAAAAH8jnfk=")</f>
        <v>#VALUE!</v>
      </c>
      <c r="IQ177" t="e">
        <f>AND('STERLING CATALOG - DRY '!I3949,"AAAAAH8jnfo=")</f>
        <v>#VALUE!</v>
      </c>
      <c r="IR177" t="e">
        <f>AND('STERLING CATALOG - DRY '!J3949,"AAAAAH8jnfs=")</f>
        <v>#VALUE!</v>
      </c>
      <c r="IS177">
        <f>IF('STERLING CATALOG - DRY '!3950:3950,"AAAAAH8jnfw=",0)</f>
        <v>0</v>
      </c>
      <c r="IT177" t="e">
        <f>AND('STERLING CATALOG - DRY '!A3950,"AAAAAH8jnf0=")</f>
        <v>#VALUE!</v>
      </c>
      <c r="IU177" t="e">
        <f>AND('STERLING CATALOG - DRY '!B3950,"AAAAAH8jnf4=")</f>
        <v>#VALUE!</v>
      </c>
      <c r="IV177" t="e">
        <f>AND('STERLING CATALOG - DRY '!C3950,"AAAAAH8jnf8=")</f>
        <v>#VALUE!</v>
      </c>
    </row>
    <row r="178" spans="1:256">
      <c r="A178" t="e">
        <f>AND('STERLING CATALOG - DRY '!D3950,"AAAAAD9/XgA=")</f>
        <v>#VALUE!</v>
      </c>
      <c r="B178" t="e">
        <f>AND('STERLING CATALOG - DRY '!E3950,"AAAAAD9/XgE=")</f>
        <v>#VALUE!</v>
      </c>
      <c r="C178" t="e">
        <f>AND('STERLING CATALOG - DRY '!F3950,"AAAAAD9/XgI=")</f>
        <v>#VALUE!</v>
      </c>
      <c r="D178" t="e">
        <f>AND('STERLING CATALOG - DRY '!G3950,"AAAAAD9/XgM=")</f>
        <v>#VALUE!</v>
      </c>
      <c r="E178" t="e">
        <f>AND('STERLING CATALOG - DRY '!H3950,"AAAAAD9/XgQ=")</f>
        <v>#VALUE!</v>
      </c>
      <c r="F178" t="e">
        <f>AND('STERLING CATALOG - DRY '!I3950,"AAAAAD9/XgU=")</f>
        <v>#VALUE!</v>
      </c>
      <c r="G178" t="e">
        <f>AND('STERLING CATALOG - DRY '!J3950,"AAAAAD9/XgY=")</f>
        <v>#VALUE!</v>
      </c>
      <c r="H178" t="str">
        <f>IF('STERLING CATALOG - DRY '!3951:3951,"AAAAAD9/Xgc=",0)</f>
        <v>AAAAAD9/Xgc=</v>
      </c>
      <c r="I178" t="e">
        <f>AND('STERLING CATALOG - DRY '!A3951,"AAAAAD9/Xgg=")</f>
        <v>#VALUE!</v>
      </c>
      <c r="J178" t="e">
        <f>AND('STERLING CATALOG - DRY '!B3951,"AAAAAD9/Xgk=")</f>
        <v>#VALUE!</v>
      </c>
      <c r="K178" t="e">
        <f>AND('STERLING CATALOG - DRY '!C3951,"AAAAAD9/Xgo=")</f>
        <v>#VALUE!</v>
      </c>
      <c r="L178" t="e">
        <f>AND('STERLING CATALOG - DRY '!D3951,"AAAAAD9/Xgs=")</f>
        <v>#VALUE!</v>
      </c>
      <c r="M178" t="e">
        <f>AND('STERLING CATALOG - DRY '!E3951,"AAAAAD9/Xgw=")</f>
        <v>#VALUE!</v>
      </c>
      <c r="N178" t="e">
        <f>AND('STERLING CATALOG - DRY '!F3951,"AAAAAD9/Xg0=")</f>
        <v>#VALUE!</v>
      </c>
      <c r="O178" t="e">
        <f>AND('STERLING CATALOG - DRY '!G3951,"AAAAAD9/Xg4=")</f>
        <v>#VALUE!</v>
      </c>
      <c r="P178" t="e">
        <f>AND('STERLING CATALOG - DRY '!H3951,"AAAAAD9/Xg8=")</f>
        <v>#VALUE!</v>
      </c>
      <c r="Q178" t="e">
        <f>AND('STERLING CATALOG - DRY '!I3951,"AAAAAD9/XhA=")</f>
        <v>#VALUE!</v>
      </c>
      <c r="R178" t="e">
        <f>AND('STERLING CATALOG - DRY '!J3951,"AAAAAD9/XhE=")</f>
        <v>#VALUE!</v>
      </c>
      <c r="S178">
        <f>IF('STERLING CATALOG - DRY '!3952:3952,"AAAAAD9/XhI=",0)</f>
        <v>0</v>
      </c>
      <c r="T178" t="e">
        <f>AND('STERLING CATALOG - DRY '!A3952,"AAAAAD9/XhM=")</f>
        <v>#VALUE!</v>
      </c>
      <c r="U178" t="e">
        <f>AND('STERLING CATALOG - DRY '!B3952,"AAAAAD9/XhQ=")</f>
        <v>#VALUE!</v>
      </c>
      <c r="V178" t="e">
        <f>AND('STERLING CATALOG - DRY '!C3952,"AAAAAD9/XhU=")</f>
        <v>#VALUE!</v>
      </c>
      <c r="W178" t="e">
        <f>AND('STERLING CATALOG - DRY '!D3952,"AAAAAD9/XhY=")</f>
        <v>#VALUE!</v>
      </c>
      <c r="X178" t="e">
        <f>AND('STERLING CATALOG - DRY '!E3952,"AAAAAD9/Xhc=")</f>
        <v>#VALUE!</v>
      </c>
      <c r="Y178" t="e">
        <f>AND('STERLING CATALOG - DRY '!F3952,"AAAAAD9/Xhg=")</f>
        <v>#VALUE!</v>
      </c>
      <c r="Z178" t="e">
        <f>AND('STERLING CATALOG - DRY '!G3952,"AAAAAD9/Xhk=")</f>
        <v>#VALUE!</v>
      </c>
      <c r="AA178" t="e">
        <f>AND('STERLING CATALOG - DRY '!H3952,"AAAAAD9/Xho=")</f>
        <v>#VALUE!</v>
      </c>
      <c r="AB178" t="e">
        <f>AND('STERLING CATALOG - DRY '!I3952,"AAAAAD9/Xhs=")</f>
        <v>#VALUE!</v>
      </c>
      <c r="AC178" t="e">
        <f>AND('STERLING CATALOG - DRY '!J3952,"AAAAAD9/Xhw=")</f>
        <v>#VALUE!</v>
      </c>
      <c r="AD178">
        <f>IF('STERLING CATALOG - DRY '!3953:3953,"AAAAAD9/Xh0=",0)</f>
        <v>0</v>
      </c>
      <c r="AE178" t="e">
        <f>AND('STERLING CATALOG - DRY '!A3953,"AAAAAD9/Xh4=")</f>
        <v>#VALUE!</v>
      </c>
      <c r="AF178" t="e">
        <f>AND('STERLING CATALOG - DRY '!B3953,"AAAAAD9/Xh8=")</f>
        <v>#VALUE!</v>
      </c>
      <c r="AG178" t="e">
        <f>AND('STERLING CATALOG - DRY '!C3953,"AAAAAD9/XiA=")</f>
        <v>#VALUE!</v>
      </c>
      <c r="AH178" t="e">
        <f>AND('STERLING CATALOG - DRY '!D3953,"AAAAAD9/XiE=")</f>
        <v>#VALUE!</v>
      </c>
      <c r="AI178" t="e">
        <f>AND('STERLING CATALOG - DRY '!E3953,"AAAAAD9/XiI=")</f>
        <v>#VALUE!</v>
      </c>
      <c r="AJ178" t="e">
        <f>AND('STERLING CATALOG - DRY '!F3953,"AAAAAD9/XiM=")</f>
        <v>#VALUE!</v>
      </c>
      <c r="AK178" t="e">
        <f>AND('STERLING CATALOG - DRY '!G3953,"AAAAAD9/XiQ=")</f>
        <v>#VALUE!</v>
      </c>
      <c r="AL178" t="e">
        <f>AND('STERLING CATALOG - DRY '!H3953,"AAAAAD9/XiU=")</f>
        <v>#VALUE!</v>
      </c>
      <c r="AM178" t="e">
        <f>AND('STERLING CATALOG - DRY '!I3953,"AAAAAD9/XiY=")</f>
        <v>#VALUE!</v>
      </c>
      <c r="AN178" t="e">
        <f>AND('STERLING CATALOG - DRY '!J3953,"AAAAAD9/Xic=")</f>
        <v>#VALUE!</v>
      </c>
      <c r="AO178">
        <f>IF('STERLING CATALOG - DRY '!3954:3954,"AAAAAD9/Xig=",0)</f>
        <v>0</v>
      </c>
      <c r="AP178" t="e">
        <f>AND('STERLING CATALOG - DRY '!A3954,"AAAAAD9/Xik=")</f>
        <v>#VALUE!</v>
      </c>
      <c r="AQ178" t="e">
        <f>AND('STERLING CATALOG - DRY '!B3954,"AAAAAD9/Xio=")</f>
        <v>#VALUE!</v>
      </c>
      <c r="AR178" t="e">
        <f>AND('STERLING CATALOG - DRY '!C3954,"AAAAAD9/Xis=")</f>
        <v>#VALUE!</v>
      </c>
      <c r="AS178" t="e">
        <f>AND('STERLING CATALOG - DRY '!D3954,"AAAAAD9/Xiw=")</f>
        <v>#VALUE!</v>
      </c>
      <c r="AT178" t="e">
        <f>AND('STERLING CATALOG - DRY '!E3954,"AAAAAD9/Xi0=")</f>
        <v>#VALUE!</v>
      </c>
      <c r="AU178" t="e">
        <f>AND('STERLING CATALOG - DRY '!F3954,"AAAAAD9/Xi4=")</f>
        <v>#VALUE!</v>
      </c>
      <c r="AV178" t="e">
        <f>AND('STERLING CATALOG - DRY '!G3954,"AAAAAD9/Xi8=")</f>
        <v>#VALUE!</v>
      </c>
      <c r="AW178" t="e">
        <f>AND('STERLING CATALOG - DRY '!H3954,"AAAAAD9/XjA=")</f>
        <v>#VALUE!</v>
      </c>
      <c r="AX178" t="e">
        <f>AND('STERLING CATALOG - DRY '!I3954,"AAAAAD9/XjE=")</f>
        <v>#VALUE!</v>
      </c>
      <c r="AY178" t="e">
        <f>AND('STERLING CATALOG - DRY '!J3954,"AAAAAD9/XjI=")</f>
        <v>#VALUE!</v>
      </c>
      <c r="AZ178">
        <f>IF('STERLING CATALOG - DRY '!3955:3955,"AAAAAD9/XjM=",0)</f>
        <v>0</v>
      </c>
      <c r="BA178" t="e">
        <f>AND('STERLING CATALOG - DRY '!A3955,"AAAAAD9/XjQ=")</f>
        <v>#VALUE!</v>
      </c>
      <c r="BB178" t="e">
        <f>AND('STERLING CATALOG - DRY '!B3955,"AAAAAD9/XjU=")</f>
        <v>#VALUE!</v>
      </c>
      <c r="BC178" t="e">
        <f>AND('STERLING CATALOG - DRY '!C3955,"AAAAAD9/XjY=")</f>
        <v>#VALUE!</v>
      </c>
      <c r="BD178" t="e">
        <f>AND('STERLING CATALOG - DRY '!D3955,"AAAAAD9/Xjc=")</f>
        <v>#VALUE!</v>
      </c>
      <c r="BE178" t="e">
        <f>AND('STERLING CATALOG - DRY '!E3955,"AAAAAD9/Xjg=")</f>
        <v>#VALUE!</v>
      </c>
      <c r="BF178" t="e">
        <f>AND('STERLING CATALOG - DRY '!F3955,"AAAAAD9/Xjk=")</f>
        <v>#VALUE!</v>
      </c>
      <c r="BG178" t="e">
        <f>AND('STERLING CATALOG - DRY '!G3955,"AAAAAD9/Xjo=")</f>
        <v>#VALUE!</v>
      </c>
      <c r="BH178" t="e">
        <f>AND('STERLING CATALOG - DRY '!H3955,"AAAAAD9/Xjs=")</f>
        <v>#VALUE!</v>
      </c>
      <c r="BI178" t="e">
        <f>AND('STERLING CATALOG - DRY '!I3955,"AAAAAD9/Xjw=")</f>
        <v>#VALUE!</v>
      </c>
      <c r="BJ178" t="e">
        <f>AND('STERLING CATALOG - DRY '!J3955,"AAAAAD9/Xj0=")</f>
        <v>#VALUE!</v>
      </c>
      <c r="BK178">
        <f>IF('STERLING CATALOG - DRY '!3956:3956,"AAAAAD9/Xj4=",0)</f>
        <v>0</v>
      </c>
      <c r="BL178" t="e">
        <f>AND('STERLING CATALOG - DRY '!A3956,"AAAAAD9/Xj8=")</f>
        <v>#VALUE!</v>
      </c>
      <c r="BM178" t="e">
        <f>AND('STERLING CATALOG - DRY '!B3956,"AAAAAD9/XkA=")</f>
        <v>#VALUE!</v>
      </c>
      <c r="BN178" t="e">
        <f>AND('STERLING CATALOG - DRY '!C3956,"AAAAAD9/XkE=")</f>
        <v>#VALUE!</v>
      </c>
      <c r="BO178" t="e">
        <f>AND('STERLING CATALOG - DRY '!D3956,"AAAAAD9/XkI=")</f>
        <v>#VALUE!</v>
      </c>
      <c r="BP178" t="e">
        <f>AND('STERLING CATALOG - DRY '!E3956,"AAAAAD9/XkM=")</f>
        <v>#VALUE!</v>
      </c>
      <c r="BQ178" t="e">
        <f>AND('STERLING CATALOG - DRY '!F3956,"AAAAAD9/XkQ=")</f>
        <v>#VALUE!</v>
      </c>
      <c r="BR178" t="e">
        <f>AND('STERLING CATALOG - DRY '!G3956,"AAAAAD9/XkU=")</f>
        <v>#VALUE!</v>
      </c>
      <c r="BS178" t="e">
        <f>AND('STERLING CATALOG - DRY '!H3956,"AAAAAD9/XkY=")</f>
        <v>#VALUE!</v>
      </c>
      <c r="BT178" t="e">
        <f>AND('STERLING CATALOG - DRY '!I3956,"AAAAAD9/Xkc=")</f>
        <v>#VALUE!</v>
      </c>
      <c r="BU178" t="e">
        <f>AND('STERLING CATALOG - DRY '!J3956,"AAAAAD9/Xkg=")</f>
        <v>#VALUE!</v>
      </c>
      <c r="BV178">
        <f>IF('STERLING CATALOG - DRY '!3957:3957,"AAAAAD9/Xkk=",0)</f>
        <v>0</v>
      </c>
      <c r="BW178" t="e">
        <f>AND('STERLING CATALOG - DRY '!A3957,"AAAAAD9/Xko=")</f>
        <v>#VALUE!</v>
      </c>
      <c r="BX178" t="e">
        <f>AND('STERLING CATALOG - DRY '!B3957,"AAAAAD9/Xks=")</f>
        <v>#VALUE!</v>
      </c>
      <c r="BY178" t="e">
        <f>AND('STERLING CATALOG - DRY '!C3957,"AAAAAD9/Xkw=")</f>
        <v>#VALUE!</v>
      </c>
      <c r="BZ178" t="e">
        <f>AND('STERLING CATALOG - DRY '!D3957,"AAAAAD9/Xk0=")</f>
        <v>#VALUE!</v>
      </c>
      <c r="CA178" t="e">
        <f>AND('STERLING CATALOG - DRY '!E3957,"AAAAAD9/Xk4=")</f>
        <v>#VALUE!</v>
      </c>
      <c r="CB178" t="e">
        <f>AND('STERLING CATALOG - DRY '!F3957,"AAAAAD9/Xk8=")</f>
        <v>#VALUE!</v>
      </c>
      <c r="CC178" t="e">
        <f>AND('STERLING CATALOG - DRY '!G3957,"AAAAAD9/XlA=")</f>
        <v>#VALUE!</v>
      </c>
      <c r="CD178" t="e">
        <f>AND('STERLING CATALOG - DRY '!H3957,"AAAAAD9/XlE=")</f>
        <v>#VALUE!</v>
      </c>
      <c r="CE178" t="e">
        <f>AND('STERLING CATALOG - DRY '!I3957,"AAAAAD9/XlI=")</f>
        <v>#VALUE!</v>
      </c>
      <c r="CF178" t="e">
        <f>AND('STERLING CATALOG - DRY '!J3957,"AAAAAD9/XlM=")</f>
        <v>#VALUE!</v>
      </c>
      <c r="CG178">
        <f>IF('STERLING CATALOG - DRY '!3958:3958,"AAAAAD9/XlQ=",0)</f>
        <v>0</v>
      </c>
      <c r="CH178" t="e">
        <f>AND('STERLING CATALOG - DRY '!A3958,"AAAAAD9/XlU=")</f>
        <v>#VALUE!</v>
      </c>
      <c r="CI178" t="e">
        <f>AND('STERLING CATALOG - DRY '!B3958,"AAAAAD9/XlY=")</f>
        <v>#VALUE!</v>
      </c>
      <c r="CJ178" t="e">
        <f>AND('STERLING CATALOG - DRY '!C3958,"AAAAAD9/Xlc=")</f>
        <v>#VALUE!</v>
      </c>
      <c r="CK178" t="e">
        <f>AND('STERLING CATALOG - DRY '!D3958,"AAAAAD9/Xlg=")</f>
        <v>#VALUE!</v>
      </c>
      <c r="CL178" t="e">
        <f>AND('STERLING CATALOG - DRY '!E3958,"AAAAAD9/Xlk=")</f>
        <v>#VALUE!</v>
      </c>
      <c r="CM178" t="e">
        <f>AND('STERLING CATALOG - DRY '!F3958,"AAAAAD9/Xlo=")</f>
        <v>#VALUE!</v>
      </c>
      <c r="CN178" t="e">
        <f>AND('STERLING CATALOG - DRY '!G3958,"AAAAAD9/Xls=")</f>
        <v>#VALUE!</v>
      </c>
      <c r="CO178" t="e">
        <f>AND('STERLING CATALOG - DRY '!H3958,"AAAAAD9/Xlw=")</f>
        <v>#VALUE!</v>
      </c>
      <c r="CP178" t="e">
        <f>AND('STERLING CATALOG - DRY '!I3958,"AAAAAD9/Xl0=")</f>
        <v>#VALUE!</v>
      </c>
      <c r="CQ178" t="e">
        <f>AND('STERLING CATALOG - DRY '!J3958,"AAAAAD9/Xl4=")</f>
        <v>#VALUE!</v>
      </c>
      <c r="CR178">
        <f>IF('STERLING CATALOG - DRY '!3959:3959,"AAAAAD9/Xl8=",0)</f>
        <v>0</v>
      </c>
      <c r="CS178" t="e">
        <f>AND('STERLING CATALOG - DRY '!A3959,"AAAAAD9/XmA=")</f>
        <v>#VALUE!</v>
      </c>
      <c r="CT178" t="e">
        <f>AND('STERLING CATALOG - DRY '!B3959,"AAAAAD9/XmE=")</f>
        <v>#VALUE!</v>
      </c>
      <c r="CU178" t="e">
        <f>AND('STERLING CATALOG - DRY '!C3959,"AAAAAD9/XmI=")</f>
        <v>#VALUE!</v>
      </c>
      <c r="CV178" t="e">
        <f>AND('STERLING CATALOG - DRY '!D3959,"AAAAAD9/XmM=")</f>
        <v>#VALUE!</v>
      </c>
      <c r="CW178" t="e">
        <f>AND('STERLING CATALOG - DRY '!E3959,"AAAAAD9/XmQ=")</f>
        <v>#VALUE!</v>
      </c>
      <c r="CX178" t="e">
        <f>AND('STERLING CATALOG - DRY '!F3959,"AAAAAD9/XmU=")</f>
        <v>#VALUE!</v>
      </c>
      <c r="CY178" t="e">
        <f>AND('STERLING CATALOG - DRY '!G3959,"AAAAAD9/XmY=")</f>
        <v>#VALUE!</v>
      </c>
      <c r="CZ178" t="e">
        <f>AND('STERLING CATALOG - DRY '!H3959,"AAAAAD9/Xmc=")</f>
        <v>#VALUE!</v>
      </c>
      <c r="DA178" t="e">
        <f>AND('STERLING CATALOG - DRY '!I3959,"AAAAAD9/Xmg=")</f>
        <v>#VALUE!</v>
      </c>
      <c r="DB178" t="e">
        <f>AND('STERLING CATALOG - DRY '!J3959,"AAAAAD9/Xmk=")</f>
        <v>#VALUE!</v>
      </c>
      <c r="DC178">
        <f>IF('STERLING CATALOG - DRY '!3960:3960,"AAAAAD9/Xmo=",0)</f>
        <v>0</v>
      </c>
      <c r="DD178" t="e">
        <f>AND('STERLING CATALOG - DRY '!A3960,"AAAAAD9/Xms=")</f>
        <v>#VALUE!</v>
      </c>
      <c r="DE178" t="e">
        <f>AND('STERLING CATALOG - DRY '!B3960,"AAAAAD9/Xmw=")</f>
        <v>#VALUE!</v>
      </c>
      <c r="DF178" t="e">
        <f>AND('STERLING CATALOG - DRY '!C3960,"AAAAAD9/Xm0=")</f>
        <v>#VALUE!</v>
      </c>
      <c r="DG178" t="e">
        <f>AND('STERLING CATALOG - DRY '!D3960,"AAAAAD9/Xm4=")</f>
        <v>#VALUE!</v>
      </c>
      <c r="DH178" t="e">
        <f>AND('STERLING CATALOG - DRY '!E3960,"AAAAAD9/Xm8=")</f>
        <v>#VALUE!</v>
      </c>
      <c r="DI178" t="e">
        <f>AND('STERLING CATALOG - DRY '!F3960,"AAAAAD9/XnA=")</f>
        <v>#VALUE!</v>
      </c>
      <c r="DJ178" t="e">
        <f>AND('STERLING CATALOG - DRY '!G3960,"AAAAAD9/XnE=")</f>
        <v>#VALUE!</v>
      </c>
      <c r="DK178" t="e">
        <f>AND('STERLING CATALOG - DRY '!H3960,"AAAAAD9/XnI=")</f>
        <v>#VALUE!</v>
      </c>
      <c r="DL178" t="e">
        <f>AND('STERLING CATALOG - DRY '!I3960,"AAAAAD9/XnM=")</f>
        <v>#VALUE!</v>
      </c>
      <c r="DM178" t="e">
        <f>AND('STERLING CATALOG - DRY '!J3960,"AAAAAD9/XnQ=")</f>
        <v>#VALUE!</v>
      </c>
      <c r="DN178">
        <f>IF('STERLING CATALOG - DRY '!3961:3961,"AAAAAD9/XnU=",0)</f>
        <v>0</v>
      </c>
      <c r="DO178" t="e">
        <f>AND('STERLING CATALOG - DRY '!A3961,"AAAAAD9/XnY=")</f>
        <v>#VALUE!</v>
      </c>
      <c r="DP178" t="e">
        <f>AND('STERLING CATALOG - DRY '!B3961,"AAAAAD9/Xnc=")</f>
        <v>#VALUE!</v>
      </c>
      <c r="DQ178" t="e">
        <f>AND('STERLING CATALOG - DRY '!C3961,"AAAAAD9/Xng=")</f>
        <v>#VALUE!</v>
      </c>
      <c r="DR178" t="e">
        <f>AND('STERLING CATALOG - DRY '!D3961,"AAAAAD9/Xnk=")</f>
        <v>#VALUE!</v>
      </c>
      <c r="DS178" t="e">
        <f>AND('STERLING CATALOG - DRY '!E3961,"AAAAAD9/Xno=")</f>
        <v>#VALUE!</v>
      </c>
      <c r="DT178" t="e">
        <f>AND('STERLING CATALOG - DRY '!F3961,"AAAAAD9/Xns=")</f>
        <v>#VALUE!</v>
      </c>
      <c r="DU178" t="e">
        <f>AND('STERLING CATALOG - DRY '!G3961,"AAAAAD9/Xnw=")</f>
        <v>#VALUE!</v>
      </c>
      <c r="DV178" t="e">
        <f>AND('STERLING CATALOG - DRY '!H3961,"AAAAAD9/Xn0=")</f>
        <v>#VALUE!</v>
      </c>
      <c r="DW178" t="e">
        <f>AND('STERLING CATALOG - DRY '!I3961,"AAAAAD9/Xn4=")</f>
        <v>#VALUE!</v>
      </c>
      <c r="DX178" t="e">
        <f>AND('STERLING CATALOG - DRY '!J3961,"AAAAAD9/Xn8=")</f>
        <v>#VALUE!</v>
      </c>
      <c r="DY178">
        <f>IF('STERLING CATALOG - DRY '!3962:3962,"AAAAAD9/XoA=",0)</f>
        <v>0</v>
      </c>
      <c r="DZ178" t="e">
        <f>AND('STERLING CATALOG - DRY '!A3962,"AAAAAD9/XoE=")</f>
        <v>#VALUE!</v>
      </c>
      <c r="EA178" t="e">
        <f>AND('STERLING CATALOG - DRY '!B3962,"AAAAAD9/XoI=")</f>
        <v>#VALUE!</v>
      </c>
      <c r="EB178" t="e">
        <f>AND('STERLING CATALOG - DRY '!C3962,"AAAAAD9/XoM=")</f>
        <v>#VALUE!</v>
      </c>
      <c r="EC178" t="e">
        <f>AND('STERLING CATALOG - DRY '!D3962,"AAAAAD9/XoQ=")</f>
        <v>#VALUE!</v>
      </c>
      <c r="ED178" t="e">
        <f>AND('STERLING CATALOG - DRY '!E3962,"AAAAAD9/XoU=")</f>
        <v>#VALUE!</v>
      </c>
      <c r="EE178" t="e">
        <f>AND('STERLING CATALOG - DRY '!F3962,"AAAAAD9/XoY=")</f>
        <v>#VALUE!</v>
      </c>
      <c r="EF178" t="e">
        <f>AND('STERLING CATALOG - DRY '!G3962,"AAAAAD9/Xoc=")</f>
        <v>#VALUE!</v>
      </c>
      <c r="EG178" t="e">
        <f>AND('STERLING CATALOG - DRY '!H3962,"AAAAAD9/Xog=")</f>
        <v>#VALUE!</v>
      </c>
      <c r="EH178" t="e">
        <f>AND('STERLING CATALOG - DRY '!I3962,"AAAAAD9/Xok=")</f>
        <v>#VALUE!</v>
      </c>
      <c r="EI178" t="e">
        <f>AND('STERLING CATALOG - DRY '!J3962,"AAAAAD9/Xoo=")</f>
        <v>#VALUE!</v>
      </c>
      <c r="EJ178">
        <f>IF('STERLING CATALOG - DRY '!3963:3963,"AAAAAD9/Xos=",0)</f>
        <v>0</v>
      </c>
      <c r="EK178" t="e">
        <f>AND('STERLING CATALOG - DRY '!A3963,"AAAAAD9/Xow=")</f>
        <v>#VALUE!</v>
      </c>
      <c r="EL178" t="e">
        <f>AND('STERLING CATALOG - DRY '!B3963,"AAAAAD9/Xo0=")</f>
        <v>#VALUE!</v>
      </c>
      <c r="EM178" t="e">
        <f>AND('STERLING CATALOG - DRY '!C3963,"AAAAAD9/Xo4=")</f>
        <v>#VALUE!</v>
      </c>
      <c r="EN178" t="e">
        <f>AND('STERLING CATALOG - DRY '!D3963,"AAAAAD9/Xo8=")</f>
        <v>#VALUE!</v>
      </c>
      <c r="EO178" t="e">
        <f>AND('STERLING CATALOG - DRY '!E3963,"AAAAAD9/XpA=")</f>
        <v>#VALUE!</v>
      </c>
      <c r="EP178" t="e">
        <f>AND('STERLING CATALOG - DRY '!F3963,"AAAAAD9/XpE=")</f>
        <v>#VALUE!</v>
      </c>
      <c r="EQ178" t="e">
        <f>AND('STERLING CATALOG - DRY '!G3963,"AAAAAD9/XpI=")</f>
        <v>#VALUE!</v>
      </c>
      <c r="ER178" t="e">
        <f>AND('STERLING CATALOG - DRY '!H3963,"AAAAAD9/XpM=")</f>
        <v>#VALUE!</v>
      </c>
      <c r="ES178" t="e">
        <f>AND('STERLING CATALOG - DRY '!I3963,"AAAAAD9/XpQ=")</f>
        <v>#VALUE!</v>
      </c>
      <c r="ET178" t="e">
        <f>AND('STERLING CATALOG - DRY '!J3963,"AAAAAD9/XpU=")</f>
        <v>#VALUE!</v>
      </c>
      <c r="EU178">
        <f>IF('STERLING CATALOG - DRY '!3964:3964,"AAAAAD9/XpY=",0)</f>
        <v>0</v>
      </c>
      <c r="EV178" t="e">
        <f>AND('STERLING CATALOG - DRY '!A3964,"AAAAAD9/Xpc=")</f>
        <v>#VALUE!</v>
      </c>
      <c r="EW178" t="e">
        <f>AND('STERLING CATALOG - DRY '!B3964,"AAAAAD9/Xpg=")</f>
        <v>#VALUE!</v>
      </c>
      <c r="EX178" t="e">
        <f>AND('STERLING CATALOG - DRY '!C3964,"AAAAAD9/Xpk=")</f>
        <v>#VALUE!</v>
      </c>
      <c r="EY178" t="e">
        <f>AND('STERLING CATALOG - DRY '!D3964,"AAAAAD9/Xpo=")</f>
        <v>#VALUE!</v>
      </c>
      <c r="EZ178" t="e">
        <f>AND('STERLING CATALOG - DRY '!E3964,"AAAAAD9/Xps=")</f>
        <v>#VALUE!</v>
      </c>
      <c r="FA178" t="e">
        <f>AND('STERLING CATALOG - DRY '!F3964,"AAAAAD9/Xpw=")</f>
        <v>#VALUE!</v>
      </c>
      <c r="FB178" t="e">
        <f>AND('STERLING CATALOG - DRY '!G3964,"AAAAAD9/Xp0=")</f>
        <v>#VALUE!</v>
      </c>
      <c r="FC178" t="e">
        <f>AND('STERLING CATALOG - DRY '!H3964,"AAAAAD9/Xp4=")</f>
        <v>#VALUE!</v>
      </c>
      <c r="FD178" t="e">
        <f>AND('STERLING CATALOG - DRY '!I3964,"AAAAAD9/Xp8=")</f>
        <v>#VALUE!</v>
      </c>
      <c r="FE178" t="e">
        <f>AND('STERLING CATALOG - DRY '!J3964,"AAAAAD9/XqA=")</f>
        <v>#VALUE!</v>
      </c>
      <c r="FF178">
        <f>IF('STERLING CATALOG - DRY '!3965:3965,"AAAAAD9/XqE=",0)</f>
        <v>0</v>
      </c>
      <c r="FG178" t="e">
        <f>AND('STERLING CATALOG - DRY '!A3965,"AAAAAD9/XqI=")</f>
        <v>#VALUE!</v>
      </c>
      <c r="FH178" t="e">
        <f>AND('STERLING CATALOG - DRY '!B3965,"AAAAAD9/XqM=")</f>
        <v>#VALUE!</v>
      </c>
      <c r="FI178" t="e">
        <f>AND('STERLING CATALOG - DRY '!C3965,"AAAAAD9/XqQ=")</f>
        <v>#VALUE!</v>
      </c>
      <c r="FJ178" t="e">
        <f>AND('STERLING CATALOG - DRY '!D3965,"AAAAAD9/XqU=")</f>
        <v>#VALUE!</v>
      </c>
      <c r="FK178" t="e">
        <f>AND('STERLING CATALOG - DRY '!E3965,"AAAAAD9/XqY=")</f>
        <v>#VALUE!</v>
      </c>
      <c r="FL178" t="e">
        <f>AND('STERLING CATALOG - DRY '!F3965,"AAAAAD9/Xqc=")</f>
        <v>#VALUE!</v>
      </c>
      <c r="FM178" t="e">
        <f>AND('STERLING CATALOG - DRY '!G3965,"AAAAAD9/Xqg=")</f>
        <v>#VALUE!</v>
      </c>
      <c r="FN178" t="e">
        <f>AND('STERLING CATALOG - DRY '!H3965,"AAAAAD9/Xqk=")</f>
        <v>#VALUE!</v>
      </c>
      <c r="FO178" t="e">
        <f>AND('STERLING CATALOG - DRY '!I3965,"AAAAAD9/Xqo=")</f>
        <v>#VALUE!</v>
      </c>
      <c r="FP178" t="e">
        <f>AND('STERLING CATALOG - DRY '!J3965,"AAAAAD9/Xqs=")</f>
        <v>#VALUE!</v>
      </c>
      <c r="FQ178">
        <f>IF('STERLING CATALOG - DRY '!3966:3966,"AAAAAD9/Xqw=",0)</f>
        <v>0</v>
      </c>
      <c r="FR178" t="e">
        <f>AND('STERLING CATALOG - DRY '!A3966,"AAAAAD9/Xq0=")</f>
        <v>#VALUE!</v>
      </c>
      <c r="FS178" t="e">
        <f>AND('STERLING CATALOG - DRY '!B3966,"AAAAAD9/Xq4=")</f>
        <v>#VALUE!</v>
      </c>
      <c r="FT178" t="e">
        <f>AND('STERLING CATALOG - DRY '!C3966,"AAAAAD9/Xq8=")</f>
        <v>#VALUE!</v>
      </c>
      <c r="FU178" t="e">
        <f>AND('STERLING CATALOG - DRY '!D3966,"AAAAAD9/XrA=")</f>
        <v>#VALUE!</v>
      </c>
      <c r="FV178" t="e">
        <f>AND('STERLING CATALOG - DRY '!E3966,"AAAAAD9/XrE=")</f>
        <v>#VALUE!</v>
      </c>
      <c r="FW178" t="e">
        <f>AND('STERLING CATALOG - DRY '!F3966,"AAAAAD9/XrI=")</f>
        <v>#VALUE!</v>
      </c>
      <c r="FX178" t="e">
        <f>AND('STERLING CATALOG - DRY '!G3966,"AAAAAD9/XrM=")</f>
        <v>#VALUE!</v>
      </c>
      <c r="FY178" t="e">
        <f>AND('STERLING CATALOG - DRY '!H3966,"AAAAAD9/XrQ=")</f>
        <v>#VALUE!</v>
      </c>
      <c r="FZ178" t="e">
        <f>AND('STERLING CATALOG - DRY '!I3966,"AAAAAD9/XrU=")</f>
        <v>#VALUE!</v>
      </c>
      <c r="GA178" t="e">
        <f>AND('STERLING CATALOG - DRY '!J3966,"AAAAAD9/XrY=")</f>
        <v>#VALUE!</v>
      </c>
      <c r="GB178">
        <f>IF('STERLING CATALOG - DRY '!3967:3967,"AAAAAD9/Xrc=",0)</f>
        <v>0</v>
      </c>
      <c r="GC178" t="e">
        <f>AND('STERLING CATALOG - DRY '!A3967,"AAAAAD9/Xrg=")</f>
        <v>#VALUE!</v>
      </c>
      <c r="GD178" t="e">
        <f>AND('STERLING CATALOG - DRY '!B3967,"AAAAAD9/Xrk=")</f>
        <v>#VALUE!</v>
      </c>
      <c r="GE178" t="e">
        <f>AND('STERLING CATALOG - DRY '!C3967,"AAAAAD9/Xro=")</f>
        <v>#VALUE!</v>
      </c>
      <c r="GF178" t="e">
        <f>AND('STERLING CATALOG - DRY '!D3967,"AAAAAD9/Xrs=")</f>
        <v>#VALUE!</v>
      </c>
      <c r="GG178" t="e">
        <f>AND('STERLING CATALOG - DRY '!E3967,"AAAAAD9/Xrw=")</f>
        <v>#VALUE!</v>
      </c>
      <c r="GH178" t="e">
        <f>AND('STERLING CATALOG - DRY '!F3967,"AAAAAD9/Xr0=")</f>
        <v>#VALUE!</v>
      </c>
      <c r="GI178" t="e">
        <f>AND('STERLING CATALOG - DRY '!G3967,"AAAAAD9/Xr4=")</f>
        <v>#VALUE!</v>
      </c>
      <c r="GJ178" t="e">
        <f>AND('STERLING CATALOG - DRY '!H3967,"AAAAAD9/Xr8=")</f>
        <v>#VALUE!</v>
      </c>
      <c r="GK178" t="e">
        <f>AND('STERLING CATALOG - DRY '!I3967,"AAAAAD9/XsA=")</f>
        <v>#VALUE!</v>
      </c>
      <c r="GL178" t="e">
        <f>AND('STERLING CATALOG - DRY '!J3967,"AAAAAD9/XsE=")</f>
        <v>#VALUE!</v>
      </c>
      <c r="GM178">
        <f>IF('STERLING CATALOG - DRY '!3968:3968,"AAAAAD9/XsI=",0)</f>
        <v>0</v>
      </c>
      <c r="GN178" t="e">
        <f>AND('STERLING CATALOG - DRY '!A3968,"AAAAAD9/XsM=")</f>
        <v>#VALUE!</v>
      </c>
      <c r="GO178" t="e">
        <f>AND('STERLING CATALOG - DRY '!B3968,"AAAAAD9/XsQ=")</f>
        <v>#VALUE!</v>
      </c>
      <c r="GP178" t="e">
        <f>AND('STERLING CATALOG - DRY '!C3968,"AAAAAD9/XsU=")</f>
        <v>#VALUE!</v>
      </c>
      <c r="GQ178" t="e">
        <f>AND('STERLING CATALOG - DRY '!D3968,"AAAAAD9/XsY=")</f>
        <v>#VALUE!</v>
      </c>
      <c r="GR178" t="e">
        <f>AND('STERLING CATALOG - DRY '!E3968,"AAAAAD9/Xsc=")</f>
        <v>#VALUE!</v>
      </c>
      <c r="GS178" t="e">
        <f>AND('STERLING CATALOG - DRY '!F3968,"AAAAAD9/Xsg=")</f>
        <v>#VALUE!</v>
      </c>
      <c r="GT178" t="e">
        <f>AND('STERLING CATALOG - DRY '!G3968,"AAAAAD9/Xsk=")</f>
        <v>#VALUE!</v>
      </c>
      <c r="GU178" t="e">
        <f>AND('STERLING CATALOG - DRY '!H3968,"AAAAAD9/Xso=")</f>
        <v>#VALUE!</v>
      </c>
      <c r="GV178" t="e">
        <f>AND('STERLING CATALOG - DRY '!I3968,"AAAAAD9/Xss=")</f>
        <v>#VALUE!</v>
      </c>
      <c r="GW178" t="e">
        <f>AND('STERLING CATALOG - DRY '!J3968,"AAAAAD9/Xsw=")</f>
        <v>#VALUE!</v>
      </c>
      <c r="GX178">
        <f>IF('STERLING CATALOG - DRY '!3969:3969,"AAAAAD9/Xs0=",0)</f>
        <v>0</v>
      </c>
      <c r="GY178" t="e">
        <f>AND('STERLING CATALOG - DRY '!A3969,"AAAAAD9/Xs4=")</f>
        <v>#VALUE!</v>
      </c>
      <c r="GZ178" t="e">
        <f>AND('STERLING CATALOG - DRY '!B3969,"AAAAAD9/Xs8=")</f>
        <v>#VALUE!</v>
      </c>
      <c r="HA178" t="e">
        <f>AND('STERLING CATALOG - DRY '!C3969,"AAAAAD9/XtA=")</f>
        <v>#VALUE!</v>
      </c>
      <c r="HB178" t="e">
        <f>AND('STERLING CATALOG - DRY '!D3969,"AAAAAD9/XtE=")</f>
        <v>#VALUE!</v>
      </c>
      <c r="HC178" t="e">
        <f>AND('STERLING CATALOG - DRY '!E3969,"AAAAAD9/XtI=")</f>
        <v>#VALUE!</v>
      </c>
      <c r="HD178" t="e">
        <f>AND('STERLING CATALOG - DRY '!F3969,"AAAAAD9/XtM=")</f>
        <v>#VALUE!</v>
      </c>
      <c r="HE178" t="e">
        <f>AND('STERLING CATALOG - DRY '!G3969,"AAAAAD9/XtQ=")</f>
        <v>#VALUE!</v>
      </c>
      <c r="HF178" t="e">
        <f>AND('STERLING CATALOG - DRY '!H3969,"AAAAAD9/XtU=")</f>
        <v>#VALUE!</v>
      </c>
      <c r="HG178" t="e">
        <f>AND('STERLING CATALOG - DRY '!I3969,"AAAAAD9/XtY=")</f>
        <v>#VALUE!</v>
      </c>
      <c r="HH178" t="e">
        <f>AND('STERLING CATALOG - DRY '!J3969,"AAAAAD9/Xtc=")</f>
        <v>#VALUE!</v>
      </c>
      <c r="HI178">
        <f>IF('STERLING CATALOG - DRY '!3970:3970,"AAAAAD9/Xtg=",0)</f>
        <v>0</v>
      </c>
      <c r="HJ178" t="e">
        <f>AND('STERLING CATALOG - DRY '!A3970,"AAAAAD9/Xtk=")</f>
        <v>#VALUE!</v>
      </c>
      <c r="HK178" t="e">
        <f>AND('STERLING CATALOG - DRY '!B3970,"AAAAAD9/Xto=")</f>
        <v>#VALUE!</v>
      </c>
      <c r="HL178" t="e">
        <f>AND('STERLING CATALOG - DRY '!C3970,"AAAAAD9/Xts=")</f>
        <v>#VALUE!</v>
      </c>
      <c r="HM178" t="e">
        <f>AND('STERLING CATALOG - DRY '!D3970,"AAAAAD9/Xtw=")</f>
        <v>#VALUE!</v>
      </c>
      <c r="HN178" t="e">
        <f>AND('STERLING CATALOG - DRY '!E3970,"AAAAAD9/Xt0=")</f>
        <v>#VALUE!</v>
      </c>
      <c r="HO178" t="e">
        <f>AND('STERLING CATALOG - DRY '!F3970,"AAAAAD9/Xt4=")</f>
        <v>#VALUE!</v>
      </c>
      <c r="HP178" t="e">
        <f>AND('STERLING CATALOG - DRY '!G3970,"AAAAAD9/Xt8=")</f>
        <v>#VALUE!</v>
      </c>
      <c r="HQ178" t="e">
        <f>AND('STERLING CATALOG - DRY '!H3970,"AAAAAD9/XuA=")</f>
        <v>#VALUE!</v>
      </c>
      <c r="HR178" t="e">
        <f>AND('STERLING CATALOG - DRY '!I3970,"AAAAAD9/XuE=")</f>
        <v>#VALUE!</v>
      </c>
      <c r="HS178" t="e">
        <f>AND('STERLING CATALOG - DRY '!J3970,"AAAAAD9/XuI=")</f>
        <v>#VALUE!</v>
      </c>
      <c r="HT178">
        <f>IF('STERLING CATALOG - DRY '!3971:3971,"AAAAAD9/XuM=",0)</f>
        <v>0</v>
      </c>
      <c r="HU178" t="e">
        <f>AND('STERLING CATALOG - DRY '!A3971,"AAAAAD9/XuQ=")</f>
        <v>#VALUE!</v>
      </c>
      <c r="HV178" t="e">
        <f>AND('STERLING CATALOG - DRY '!B3971,"AAAAAD9/XuU=")</f>
        <v>#VALUE!</v>
      </c>
      <c r="HW178" t="e">
        <f>AND('STERLING CATALOG - DRY '!C3971,"AAAAAD9/XuY=")</f>
        <v>#VALUE!</v>
      </c>
      <c r="HX178" t="e">
        <f>AND('STERLING CATALOG - DRY '!D3971,"AAAAAD9/Xuc=")</f>
        <v>#VALUE!</v>
      </c>
      <c r="HY178" t="e">
        <f>AND('STERLING CATALOG - DRY '!E3971,"AAAAAD9/Xug=")</f>
        <v>#VALUE!</v>
      </c>
      <c r="HZ178" t="e">
        <f>AND('STERLING CATALOG - DRY '!F3971,"AAAAAD9/Xuk=")</f>
        <v>#VALUE!</v>
      </c>
      <c r="IA178" t="e">
        <f>AND('STERLING CATALOG - DRY '!G3971,"AAAAAD9/Xuo=")</f>
        <v>#VALUE!</v>
      </c>
      <c r="IB178" t="e">
        <f>AND('STERLING CATALOG - DRY '!H3971,"AAAAAD9/Xus=")</f>
        <v>#VALUE!</v>
      </c>
      <c r="IC178" t="e">
        <f>AND('STERLING CATALOG - DRY '!I3971,"AAAAAD9/Xuw=")</f>
        <v>#VALUE!</v>
      </c>
      <c r="ID178" t="e">
        <f>AND('STERLING CATALOG - DRY '!J3971,"AAAAAD9/Xu0=")</f>
        <v>#VALUE!</v>
      </c>
      <c r="IE178">
        <f>IF('STERLING CATALOG - DRY '!3972:3972,"AAAAAD9/Xu4=",0)</f>
        <v>0</v>
      </c>
      <c r="IF178" t="e">
        <f>AND('STERLING CATALOG - DRY '!A3972,"AAAAAD9/Xu8=")</f>
        <v>#VALUE!</v>
      </c>
      <c r="IG178" t="e">
        <f>AND('STERLING CATALOG - DRY '!B3972,"AAAAAD9/XvA=")</f>
        <v>#VALUE!</v>
      </c>
      <c r="IH178" t="e">
        <f>AND('STERLING CATALOG - DRY '!C3972,"AAAAAD9/XvE=")</f>
        <v>#VALUE!</v>
      </c>
      <c r="II178" t="e">
        <f>AND('STERLING CATALOG - DRY '!D3972,"AAAAAD9/XvI=")</f>
        <v>#VALUE!</v>
      </c>
      <c r="IJ178" t="e">
        <f>AND('STERLING CATALOG - DRY '!E3972,"AAAAAD9/XvM=")</f>
        <v>#VALUE!</v>
      </c>
      <c r="IK178" t="e">
        <f>AND('STERLING CATALOG - DRY '!F3972,"AAAAAD9/XvQ=")</f>
        <v>#VALUE!</v>
      </c>
      <c r="IL178" t="e">
        <f>AND('STERLING CATALOG - DRY '!G3972,"AAAAAD9/XvU=")</f>
        <v>#VALUE!</v>
      </c>
      <c r="IM178" t="e">
        <f>AND('STERLING CATALOG - DRY '!H3972,"AAAAAD9/XvY=")</f>
        <v>#VALUE!</v>
      </c>
      <c r="IN178" t="e">
        <f>AND('STERLING CATALOG - DRY '!I3972,"AAAAAD9/Xvc=")</f>
        <v>#VALUE!</v>
      </c>
      <c r="IO178" t="e">
        <f>AND('STERLING CATALOG - DRY '!J3972,"AAAAAD9/Xvg=")</f>
        <v>#VALUE!</v>
      </c>
      <c r="IP178">
        <f>IF('STERLING CATALOG - DRY '!3973:3973,"AAAAAD9/Xvk=",0)</f>
        <v>0</v>
      </c>
      <c r="IQ178" t="e">
        <f>AND('STERLING CATALOG - DRY '!A3973,"AAAAAD9/Xvo=")</f>
        <v>#VALUE!</v>
      </c>
      <c r="IR178" t="e">
        <f>AND('STERLING CATALOG - DRY '!B3973,"AAAAAD9/Xvs=")</f>
        <v>#VALUE!</v>
      </c>
      <c r="IS178" t="e">
        <f>AND('STERLING CATALOG - DRY '!C3973,"AAAAAD9/Xvw=")</f>
        <v>#VALUE!</v>
      </c>
      <c r="IT178" t="e">
        <f>AND('STERLING CATALOG - DRY '!D3973,"AAAAAD9/Xv0=")</f>
        <v>#VALUE!</v>
      </c>
      <c r="IU178" t="e">
        <f>AND('STERLING CATALOG - DRY '!E3973,"AAAAAD9/Xv4=")</f>
        <v>#VALUE!</v>
      </c>
      <c r="IV178" t="e">
        <f>AND('STERLING CATALOG - DRY '!F3973,"AAAAAD9/Xv8=")</f>
        <v>#VALUE!</v>
      </c>
    </row>
    <row r="179" spans="1:256">
      <c r="A179" t="e">
        <f>AND('STERLING CATALOG - DRY '!G3973,"AAAAAHe7+wA=")</f>
        <v>#VALUE!</v>
      </c>
      <c r="B179" t="e">
        <f>AND('STERLING CATALOG - DRY '!H3973,"AAAAAHe7+wE=")</f>
        <v>#VALUE!</v>
      </c>
      <c r="C179" t="e">
        <f>AND('STERLING CATALOG - DRY '!I3973,"AAAAAHe7+wI=")</f>
        <v>#VALUE!</v>
      </c>
      <c r="D179" t="e">
        <f>AND('STERLING CATALOG - DRY '!J3973,"AAAAAHe7+wM=")</f>
        <v>#VALUE!</v>
      </c>
      <c r="E179" t="e">
        <f>IF('STERLING CATALOG - DRY '!3974:3974,"AAAAAHe7+wQ=",0)</f>
        <v>#VALUE!</v>
      </c>
      <c r="F179" t="e">
        <f>AND('STERLING CATALOG - DRY '!A3974,"AAAAAHe7+wU=")</f>
        <v>#VALUE!</v>
      </c>
      <c r="G179" t="e">
        <f>AND('STERLING CATALOG - DRY '!B3974,"AAAAAHe7+wY=")</f>
        <v>#VALUE!</v>
      </c>
      <c r="H179" t="e">
        <f>AND('STERLING CATALOG - DRY '!C3974,"AAAAAHe7+wc=")</f>
        <v>#VALUE!</v>
      </c>
      <c r="I179" t="e">
        <f>AND('STERLING CATALOG - DRY '!D3974,"AAAAAHe7+wg=")</f>
        <v>#VALUE!</v>
      </c>
      <c r="J179" t="e">
        <f>AND('STERLING CATALOG - DRY '!E3974,"AAAAAHe7+wk=")</f>
        <v>#VALUE!</v>
      </c>
      <c r="K179" t="e">
        <f>AND('STERLING CATALOG - DRY '!F3974,"AAAAAHe7+wo=")</f>
        <v>#VALUE!</v>
      </c>
      <c r="L179" t="e">
        <f>AND('STERLING CATALOG - DRY '!G3974,"AAAAAHe7+ws=")</f>
        <v>#VALUE!</v>
      </c>
      <c r="M179" t="e">
        <f>AND('STERLING CATALOG - DRY '!H3974,"AAAAAHe7+ww=")</f>
        <v>#VALUE!</v>
      </c>
      <c r="N179" t="e">
        <f>AND('STERLING CATALOG - DRY '!I3974,"AAAAAHe7+w0=")</f>
        <v>#VALUE!</v>
      </c>
      <c r="O179" t="e">
        <f>AND('STERLING CATALOG - DRY '!J3974,"AAAAAHe7+w4=")</f>
        <v>#VALUE!</v>
      </c>
      <c r="P179">
        <f>IF('STERLING CATALOG - DRY '!3975:3975,"AAAAAHe7+w8=",0)</f>
        <v>0</v>
      </c>
      <c r="Q179" t="e">
        <f>AND('STERLING CATALOG - DRY '!A3975,"AAAAAHe7+xA=")</f>
        <v>#VALUE!</v>
      </c>
      <c r="R179" t="e">
        <f>AND('STERLING CATALOG - DRY '!B3975,"AAAAAHe7+xE=")</f>
        <v>#VALUE!</v>
      </c>
      <c r="S179" t="e">
        <f>AND('STERLING CATALOG - DRY '!C3975,"AAAAAHe7+xI=")</f>
        <v>#VALUE!</v>
      </c>
      <c r="T179" t="e">
        <f>AND('STERLING CATALOG - DRY '!D3975,"AAAAAHe7+xM=")</f>
        <v>#VALUE!</v>
      </c>
      <c r="U179" t="e">
        <f>AND('STERLING CATALOG - DRY '!E3975,"AAAAAHe7+xQ=")</f>
        <v>#VALUE!</v>
      </c>
      <c r="V179" t="e">
        <f>AND('STERLING CATALOG - DRY '!F3975,"AAAAAHe7+xU=")</f>
        <v>#VALUE!</v>
      </c>
      <c r="W179" t="e">
        <f>AND('STERLING CATALOG - DRY '!G3975,"AAAAAHe7+xY=")</f>
        <v>#VALUE!</v>
      </c>
      <c r="X179" t="e">
        <f>AND('STERLING CATALOG - DRY '!H3975,"AAAAAHe7+xc=")</f>
        <v>#VALUE!</v>
      </c>
      <c r="Y179" t="e">
        <f>AND('STERLING CATALOG - DRY '!I3975,"AAAAAHe7+xg=")</f>
        <v>#VALUE!</v>
      </c>
      <c r="Z179" t="e">
        <f>AND('STERLING CATALOG - DRY '!J3975,"AAAAAHe7+xk=")</f>
        <v>#VALUE!</v>
      </c>
      <c r="AA179">
        <f>IF('STERLING CATALOG - DRY '!3976:3976,"AAAAAHe7+xo=",0)</f>
        <v>0</v>
      </c>
      <c r="AB179" t="e">
        <f>AND('STERLING CATALOG - DRY '!A3976,"AAAAAHe7+xs=")</f>
        <v>#VALUE!</v>
      </c>
      <c r="AC179" t="e">
        <f>AND('STERLING CATALOG - DRY '!B3976,"AAAAAHe7+xw=")</f>
        <v>#VALUE!</v>
      </c>
      <c r="AD179" t="e">
        <f>AND('STERLING CATALOG - DRY '!C3976,"AAAAAHe7+x0=")</f>
        <v>#VALUE!</v>
      </c>
      <c r="AE179" t="e">
        <f>AND('STERLING CATALOG - DRY '!D3976,"AAAAAHe7+x4=")</f>
        <v>#VALUE!</v>
      </c>
      <c r="AF179" t="e">
        <f>AND('STERLING CATALOG - DRY '!E3976,"AAAAAHe7+x8=")</f>
        <v>#VALUE!</v>
      </c>
      <c r="AG179" t="e">
        <f>AND('STERLING CATALOG - DRY '!F3976,"AAAAAHe7+yA=")</f>
        <v>#VALUE!</v>
      </c>
      <c r="AH179" t="e">
        <f>AND('STERLING CATALOG - DRY '!G3976,"AAAAAHe7+yE=")</f>
        <v>#VALUE!</v>
      </c>
      <c r="AI179" t="e">
        <f>AND('STERLING CATALOG - DRY '!H3976,"AAAAAHe7+yI=")</f>
        <v>#VALUE!</v>
      </c>
      <c r="AJ179" t="e">
        <f>AND('STERLING CATALOG - DRY '!I3976,"AAAAAHe7+yM=")</f>
        <v>#VALUE!</v>
      </c>
      <c r="AK179" t="e">
        <f>AND('STERLING CATALOG - DRY '!J3976,"AAAAAHe7+yQ=")</f>
        <v>#VALUE!</v>
      </c>
      <c r="AL179">
        <f>IF('STERLING CATALOG - DRY '!3977:3977,"AAAAAHe7+yU=",0)</f>
        <v>0</v>
      </c>
      <c r="AM179" t="e">
        <f>AND('STERLING CATALOG - DRY '!A3977,"AAAAAHe7+yY=")</f>
        <v>#VALUE!</v>
      </c>
      <c r="AN179" t="e">
        <f>AND('STERLING CATALOG - DRY '!B3977,"AAAAAHe7+yc=")</f>
        <v>#VALUE!</v>
      </c>
      <c r="AO179" t="e">
        <f>AND('STERLING CATALOG - DRY '!C3977,"AAAAAHe7+yg=")</f>
        <v>#VALUE!</v>
      </c>
      <c r="AP179" t="e">
        <f>AND('STERLING CATALOG - DRY '!D3977,"AAAAAHe7+yk=")</f>
        <v>#VALUE!</v>
      </c>
      <c r="AQ179" t="e">
        <f>AND('STERLING CATALOG - DRY '!E3977,"AAAAAHe7+yo=")</f>
        <v>#VALUE!</v>
      </c>
      <c r="AR179" t="e">
        <f>AND('STERLING CATALOG - DRY '!F3977,"AAAAAHe7+ys=")</f>
        <v>#VALUE!</v>
      </c>
      <c r="AS179" t="e">
        <f>AND('STERLING CATALOG - DRY '!G3977,"AAAAAHe7+yw=")</f>
        <v>#VALUE!</v>
      </c>
      <c r="AT179" t="e">
        <f>AND('STERLING CATALOG - DRY '!H3977,"AAAAAHe7+y0=")</f>
        <v>#VALUE!</v>
      </c>
      <c r="AU179" t="e">
        <f>AND('STERLING CATALOG - DRY '!I3977,"AAAAAHe7+y4=")</f>
        <v>#VALUE!</v>
      </c>
      <c r="AV179" t="e">
        <f>AND('STERLING CATALOG - DRY '!J3977,"AAAAAHe7+y8=")</f>
        <v>#VALUE!</v>
      </c>
      <c r="AW179">
        <f>IF('STERLING CATALOG - DRY '!3978:3978,"AAAAAHe7+zA=",0)</f>
        <v>0</v>
      </c>
      <c r="AX179" t="e">
        <f>AND('STERLING CATALOG - DRY '!A3978,"AAAAAHe7+zE=")</f>
        <v>#VALUE!</v>
      </c>
      <c r="AY179" t="e">
        <f>AND('STERLING CATALOG - DRY '!B3978,"AAAAAHe7+zI=")</f>
        <v>#VALUE!</v>
      </c>
      <c r="AZ179" t="e">
        <f>AND('STERLING CATALOG - DRY '!C3978,"AAAAAHe7+zM=")</f>
        <v>#VALUE!</v>
      </c>
      <c r="BA179" t="e">
        <f>AND('STERLING CATALOG - DRY '!D3978,"AAAAAHe7+zQ=")</f>
        <v>#VALUE!</v>
      </c>
      <c r="BB179" t="e">
        <f>AND('STERLING CATALOG - DRY '!E3978,"AAAAAHe7+zU=")</f>
        <v>#VALUE!</v>
      </c>
      <c r="BC179" t="e">
        <f>AND('STERLING CATALOG - DRY '!F3978,"AAAAAHe7+zY=")</f>
        <v>#VALUE!</v>
      </c>
      <c r="BD179" t="e">
        <f>AND('STERLING CATALOG - DRY '!G3978,"AAAAAHe7+zc=")</f>
        <v>#VALUE!</v>
      </c>
      <c r="BE179" t="e">
        <f>AND('STERLING CATALOG - DRY '!H3978,"AAAAAHe7+zg=")</f>
        <v>#VALUE!</v>
      </c>
      <c r="BF179" t="e">
        <f>AND('STERLING CATALOG - DRY '!I3978,"AAAAAHe7+zk=")</f>
        <v>#VALUE!</v>
      </c>
      <c r="BG179" t="e">
        <f>AND('STERLING CATALOG - DRY '!J3978,"AAAAAHe7+zo=")</f>
        <v>#VALUE!</v>
      </c>
      <c r="BH179">
        <f>IF('STERLING CATALOG - DRY '!3979:3979,"AAAAAHe7+zs=",0)</f>
        <v>0</v>
      </c>
      <c r="BI179" t="e">
        <f>AND('STERLING CATALOG - DRY '!A3979,"AAAAAHe7+zw=")</f>
        <v>#VALUE!</v>
      </c>
      <c r="BJ179" t="e">
        <f>AND('STERLING CATALOG - DRY '!B3979,"AAAAAHe7+z0=")</f>
        <v>#VALUE!</v>
      </c>
      <c r="BK179" t="e">
        <f>AND('STERLING CATALOG - DRY '!C3979,"AAAAAHe7+z4=")</f>
        <v>#VALUE!</v>
      </c>
      <c r="BL179" t="e">
        <f>AND('STERLING CATALOG - DRY '!D3979,"AAAAAHe7+z8=")</f>
        <v>#VALUE!</v>
      </c>
      <c r="BM179" t="e">
        <f>AND('STERLING CATALOG - DRY '!E3979,"AAAAAHe7+0A=")</f>
        <v>#VALUE!</v>
      </c>
      <c r="BN179" t="e">
        <f>AND('STERLING CATALOG - DRY '!F3979,"AAAAAHe7+0E=")</f>
        <v>#VALUE!</v>
      </c>
      <c r="BO179" t="e">
        <f>AND('STERLING CATALOG - DRY '!G3979,"AAAAAHe7+0I=")</f>
        <v>#VALUE!</v>
      </c>
      <c r="BP179" t="e">
        <f>AND('STERLING CATALOG - DRY '!H3979,"AAAAAHe7+0M=")</f>
        <v>#VALUE!</v>
      </c>
      <c r="BQ179" t="e">
        <f>AND('STERLING CATALOG - DRY '!I3979,"AAAAAHe7+0Q=")</f>
        <v>#VALUE!</v>
      </c>
      <c r="BR179" t="e">
        <f>AND('STERLING CATALOG - DRY '!J3979,"AAAAAHe7+0U=")</f>
        <v>#VALUE!</v>
      </c>
      <c r="BS179">
        <f>IF('STERLING CATALOG - DRY '!3980:3980,"AAAAAHe7+0Y=",0)</f>
        <v>0</v>
      </c>
      <c r="BT179" t="e">
        <f>AND('STERLING CATALOG - DRY '!A3980,"AAAAAHe7+0c=")</f>
        <v>#VALUE!</v>
      </c>
      <c r="BU179" t="e">
        <f>AND('STERLING CATALOG - DRY '!B3980,"AAAAAHe7+0g=")</f>
        <v>#VALUE!</v>
      </c>
      <c r="BV179" t="e">
        <f>AND('STERLING CATALOG - DRY '!C3980,"AAAAAHe7+0k=")</f>
        <v>#VALUE!</v>
      </c>
      <c r="BW179" t="e">
        <f>AND('STERLING CATALOG - DRY '!D3980,"AAAAAHe7+0o=")</f>
        <v>#VALUE!</v>
      </c>
      <c r="BX179" t="e">
        <f>AND('STERLING CATALOG - DRY '!E3980,"AAAAAHe7+0s=")</f>
        <v>#VALUE!</v>
      </c>
      <c r="BY179" t="e">
        <f>AND('STERLING CATALOG - DRY '!F3980,"AAAAAHe7+0w=")</f>
        <v>#VALUE!</v>
      </c>
      <c r="BZ179" t="e">
        <f>AND('STERLING CATALOG - DRY '!G3980,"AAAAAHe7+00=")</f>
        <v>#VALUE!</v>
      </c>
      <c r="CA179" t="e">
        <f>AND('STERLING CATALOG - DRY '!H3980,"AAAAAHe7+04=")</f>
        <v>#VALUE!</v>
      </c>
      <c r="CB179" t="e">
        <f>AND('STERLING CATALOG - DRY '!I3980,"AAAAAHe7+08=")</f>
        <v>#VALUE!</v>
      </c>
      <c r="CC179" t="e">
        <f>AND('STERLING CATALOG - DRY '!J3980,"AAAAAHe7+1A=")</f>
        <v>#VALUE!</v>
      </c>
      <c r="CD179">
        <f>IF('STERLING CATALOG - DRY '!3981:3981,"AAAAAHe7+1E=",0)</f>
        <v>0</v>
      </c>
      <c r="CE179" t="e">
        <f>AND('STERLING CATALOG - DRY '!A3981,"AAAAAHe7+1I=")</f>
        <v>#VALUE!</v>
      </c>
      <c r="CF179" t="e">
        <f>AND('STERLING CATALOG - DRY '!B3981,"AAAAAHe7+1M=")</f>
        <v>#VALUE!</v>
      </c>
      <c r="CG179" t="e">
        <f>AND('STERLING CATALOG - DRY '!C3981,"AAAAAHe7+1Q=")</f>
        <v>#VALUE!</v>
      </c>
      <c r="CH179" t="e">
        <f>AND('STERLING CATALOG - DRY '!D3981,"AAAAAHe7+1U=")</f>
        <v>#VALUE!</v>
      </c>
      <c r="CI179" t="e">
        <f>AND('STERLING CATALOG - DRY '!E3981,"AAAAAHe7+1Y=")</f>
        <v>#VALUE!</v>
      </c>
      <c r="CJ179" t="e">
        <f>AND('STERLING CATALOG - DRY '!F3981,"AAAAAHe7+1c=")</f>
        <v>#VALUE!</v>
      </c>
      <c r="CK179" t="e">
        <f>AND('STERLING CATALOG - DRY '!G3981,"AAAAAHe7+1g=")</f>
        <v>#VALUE!</v>
      </c>
      <c r="CL179" t="e">
        <f>AND('STERLING CATALOG - DRY '!H3981,"AAAAAHe7+1k=")</f>
        <v>#VALUE!</v>
      </c>
      <c r="CM179" t="e">
        <f>AND('STERLING CATALOG - DRY '!I3981,"AAAAAHe7+1o=")</f>
        <v>#VALUE!</v>
      </c>
      <c r="CN179" t="e">
        <f>AND('STERLING CATALOG - DRY '!J3981,"AAAAAHe7+1s=")</f>
        <v>#VALUE!</v>
      </c>
      <c r="CO179">
        <f>IF('STERLING CATALOG - DRY '!3982:3982,"AAAAAHe7+1w=",0)</f>
        <v>0</v>
      </c>
      <c r="CP179" t="e">
        <f>AND('STERLING CATALOG - DRY '!A3982,"AAAAAHe7+10=")</f>
        <v>#VALUE!</v>
      </c>
      <c r="CQ179" t="e">
        <f>AND('STERLING CATALOG - DRY '!B3982,"AAAAAHe7+14=")</f>
        <v>#VALUE!</v>
      </c>
      <c r="CR179" t="e">
        <f>AND('STERLING CATALOG - DRY '!C3982,"AAAAAHe7+18=")</f>
        <v>#VALUE!</v>
      </c>
      <c r="CS179" t="e">
        <f>AND('STERLING CATALOG - DRY '!D3982,"AAAAAHe7+2A=")</f>
        <v>#VALUE!</v>
      </c>
      <c r="CT179" t="e">
        <f>AND('STERLING CATALOG - DRY '!E3982,"AAAAAHe7+2E=")</f>
        <v>#VALUE!</v>
      </c>
      <c r="CU179" t="e">
        <f>AND('STERLING CATALOG - DRY '!F3982,"AAAAAHe7+2I=")</f>
        <v>#VALUE!</v>
      </c>
      <c r="CV179" t="e">
        <f>AND('STERLING CATALOG - DRY '!G3982,"AAAAAHe7+2M=")</f>
        <v>#VALUE!</v>
      </c>
      <c r="CW179" t="e">
        <f>AND('STERLING CATALOG - DRY '!H3982,"AAAAAHe7+2Q=")</f>
        <v>#VALUE!</v>
      </c>
      <c r="CX179" t="e">
        <f>AND('STERLING CATALOG - DRY '!I3982,"AAAAAHe7+2U=")</f>
        <v>#VALUE!</v>
      </c>
      <c r="CY179" t="e">
        <f>AND('STERLING CATALOG - DRY '!J3982,"AAAAAHe7+2Y=")</f>
        <v>#VALUE!</v>
      </c>
      <c r="CZ179">
        <f>IF('STERLING CATALOG - DRY '!3983:3983,"AAAAAHe7+2c=",0)</f>
        <v>0</v>
      </c>
      <c r="DA179" t="e">
        <f>AND('STERLING CATALOG - DRY '!A3983,"AAAAAHe7+2g=")</f>
        <v>#VALUE!</v>
      </c>
      <c r="DB179" t="e">
        <f>AND('STERLING CATALOG - DRY '!B3983,"AAAAAHe7+2k=")</f>
        <v>#VALUE!</v>
      </c>
      <c r="DC179" t="e">
        <f>AND('STERLING CATALOG - DRY '!C3983,"AAAAAHe7+2o=")</f>
        <v>#VALUE!</v>
      </c>
      <c r="DD179" t="e">
        <f>AND('STERLING CATALOG - DRY '!D3983,"AAAAAHe7+2s=")</f>
        <v>#VALUE!</v>
      </c>
      <c r="DE179" t="e">
        <f>AND('STERLING CATALOG - DRY '!E3983,"AAAAAHe7+2w=")</f>
        <v>#VALUE!</v>
      </c>
      <c r="DF179" t="e">
        <f>AND('STERLING CATALOG - DRY '!F3983,"AAAAAHe7+20=")</f>
        <v>#VALUE!</v>
      </c>
      <c r="DG179" t="e">
        <f>AND('STERLING CATALOG - DRY '!G3983,"AAAAAHe7+24=")</f>
        <v>#VALUE!</v>
      </c>
      <c r="DH179" t="e">
        <f>AND('STERLING CATALOG - DRY '!H3983,"AAAAAHe7+28=")</f>
        <v>#VALUE!</v>
      </c>
      <c r="DI179" t="e">
        <f>AND('STERLING CATALOG - DRY '!I3983,"AAAAAHe7+3A=")</f>
        <v>#VALUE!</v>
      </c>
      <c r="DJ179" t="e">
        <f>AND('STERLING CATALOG - DRY '!J3983,"AAAAAHe7+3E=")</f>
        <v>#VALUE!</v>
      </c>
      <c r="DK179">
        <f>IF('STERLING CATALOG - DRY '!3984:3984,"AAAAAHe7+3I=",0)</f>
        <v>0</v>
      </c>
      <c r="DL179" t="e">
        <f>AND('STERLING CATALOG - DRY '!A3984,"AAAAAHe7+3M=")</f>
        <v>#VALUE!</v>
      </c>
      <c r="DM179" t="e">
        <f>AND('STERLING CATALOG - DRY '!B3984,"AAAAAHe7+3Q=")</f>
        <v>#VALUE!</v>
      </c>
      <c r="DN179" t="e">
        <f>AND('STERLING CATALOG - DRY '!C3984,"AAAAAHe7+3U=")</f>
        <v>#VALUE!</v>
      </c>
      <c r="DO179" t="e">
        <f>AND('STERLING CATALOG - DRY '!D3984,"AAAAAHe7+3Y=")</f>
        <v>#VALUE!</v>
      </c>
      <c r="DP179" t="e">
        <f>AND('STERLING CATALOG - DRY '!E3984,"AAAAAHe7+3c=")</f>
        <v>#VALUE!</v>
      </c>
      <c r="DQ179" t="e">
        <f>AND('STERLING CATALOG - DRY '!F3984,"AAAAAHe7+3g=")</f>
        <v>#VALUE!</v>
      </c>
      <c r="DR179" t="e">
        <f>AND('STERLING CATALOG - DRY '!G3984,"AAAAAHe7+3k=")</f>
        <v>#VALUE!</v>
      </c>
      <c r="DS179" t="e">
        <f>AND('STERLING CATALOG - DRY '!H3984,"AAAAAHe7+3o=")</f>
        <v>#VALUE!</v>
      </c>
      <c r="DT179" t="e">
        <f>AND('STERLING CATALOG - DRY '!I3984,"AAAAAHe7+3s=")</f>
        <v>#VALUE!</v>
      </c>
      <c r="DU179" t="e">
        <f>AND('STERLING CATALOG - DRY '!J3984,"AAAAAHe7+3w=")</f>
        <v>#VALUE!</v>
      </c>
      <c r="DV179">
        <f>IF('STERLING CATALOG - DRY '!3985:3985,"AAAAAHe7+30=",0)</f>
        <v>0</v>
      </c>
      <c r="DW179" t="e">
        <f>AND('STERLING CATALOG - DRY '!A3985,"AAAAAHe7+34=")</f>
        <v>#VALUE!</v>
      </c>
      <c r="DX179" t="e">
        <f>AND('STERLING CATALOG - DRY '!B3985,"AAAAAHe7+38=")</f>
        <v>#VALUE!</v>
      </c>
      <c r="DY179" t="e">
        <f>AND('STERLING CATALOG - DRY '!C3985,"AAAAAHe7+4A=")</f>
        <v>#VALUE!</v>
      </c>
      <c r="DZ179" t="e">
        <f>AND('STERLING CATALOG - DRY '!D3985,"AAAAAHe7+4E=")</f>
        <v>#VALUE!</v>
      </c>
      <c r="EA179" t="e">
        <f>AND('STERLING CATALOG - DRY '!E3985,"AAAAAHe7+4I=")</f>
        <v>#VALUE!</v>
      </c>
      <c r="EB179" t="e">
        <f>AND('STERLING CATALOG - DRY '!F3985,"AAAAAHe7+4M=")</f>
        <v>#VALUE!</v>
      </c>
      <c r="EC179" t="e">
        <f>AND('STERLING CATALOG - DRY '!G3985,"AAAAAHe7+4Q=")</f>
        <v>#VALUE!</v>
      </c>
      <c r="ED179" t="e">
        <f>AND('STERLING CATALOG - DRY '!H3985,"AAAAAHe7+4U=")</f>
        <v>#VALUE!</v>
      </c>
      <c r="EE179" t="e">
        <f>AND('STERLING CATALOG - DRY '!I3985,"AAAAAHe7+4Y=")</f>
        <v>#VALUE!</v>
      </c>
      <c r="EF179" t="e">
        <f>AND('STERLING CATALOG - DRY '!J3985,"AAAAAHe7+4c=")</f>
        <v>#VALUE!</v>
      </c>
      <c r="EG179">
        <f>IF('STERLING CATALOG - DRY '!3986:3986,"AAAAAHe7+4g=",0)</f>
        <v>0</v>
      </c>
      <c r="EH179" t="e">
        <f>AND('STERLING CATALOG - DRY '!A3986,"AAAAAHe7+4k=")</f>
        <v>#VALUE!</v>
      </c>
      <c r="EI179" t="e">
        <f>AND('STERLING CATALOG - DRY '!B3986,"AAAAAHe7+4o=")</f>
        <v>#VALUE!</v>
      </c>
      <c r="EJ179" t="e">
        <f>AND('STERLING CATALOG - DRY '!C3986,"AAAAAHe7+4s=")</f>
        <v>#VALUE!</v>
      </c>
      <c r="EK179" t="e">
        <f>AND('STERLING CATALOG - DRY '!D3986,"AAAAAHe7+4w=")</f>
        <v>#VALUE!</v>
      </c>
      <c r="EL179" t="e">
        <f>AND('STERLING CATALOG - DRY '!E3986,"AAAAAHe7+40=")</f>
        <v>#VALUE!</v>
      </c>
      <c r="EM179" t="e">
        <f>AND('STERLING CATALOG - DRY '!F3986,"AAAAAHe7+44=")</f>
        <v>#VALUE!</v>
      </c>
      <c r="EN179" t="e">
        <f>AND('STERLING CATALOG - DRY '!G3986,"AAAAAHe7+48=")</f>
        <v>#VALUE!</v>
      </c>
      <c r="EO179" t="e">
        <f>AND('STERLING CATALOG - DRY '!H3986,"AAAAAHe7+5A=")</f>
        <v>#VALUE!</v>
      </c>
      <c r="EP179" t="e">
        <f>AND('STERLING CATALOG - DRY '!I3986,"AAAAAHe7+5E=")</f>
        <v>#VALUE!</v>
      </c>
      <c r="EQ179" t="e">
        <f>AND('STERLING CATALOG - DRY '!J3986,"AAAAAHe7+5I=")</f>
        <v>#VALUE!</v>
      </c>
      <c r="ER179">
        <f>IF('STERLING CATALOG - DRY '!3987:3987,"AAAAAHe7+5M=",0)</f>
        <v>0</v>
      </c>
      <c r="ES179" t="e">
        <f>AND('STERLING CATALOG - DRY '!A3987,"AAAAAHe7+5Q=")</f>
        <v>#VALUE!</v>
      </c>
      <c r="ET179" t="e">
        <f>AND('STERLING CATALOG - DRY '!B3987,"AAAAAHe7+5U=")</f>
        <v>#VALUE!</v>
      </c>
      <c r="EU179" t="e">
        <f>AND('STERLING CATALOG - DRY '!C3987,"AAAAAHe7+5Y=")</f>
        <v>#VALUE!</v>
      </c>
      <c r="EV179" t="e">
        <f>AND('STERLING CATALOG - DRY '!D3987,"AAAAAHe7+5c=")</f>
        <v>#VALUE!</v>
      </c>
      <c r="EW179" t="e">
        <f>AND('STERLING CATALOG - DRY '!E3987,"AAAAAHe7+5g=")</f>
        <v>#VALUE!</v>
      </c>
      <c r="EX179" t="e">
        <f>AND('STERLING CATALOG - DRY '!F3987,"AAAAAHe7+5k=")</f>
        <v>#VALUE!</v>
      </c>
      <c r="EY179" t="e">
        <f>AND('STERLING CATALOG - DRY '!G3987,"AAAAAHe7+5o=")</f>
        <v>#VALUE!</v>
      </c>
      <c r="EZ179" t="e">
        <f>AND('STERLING CATALOG - DRY '!H3987,"AAAAAHe7+5s=")</f>
        <v>#VALUE!</v>
      </c>
      <c r="FA179" t="e">
        <f>AND('STERLING CATALOG - DRY '!I3987,"AAAAAHe7+5w=")</f>
        <v>#VALUE!</v>
      </c>
      <c r="FB179" t="e">
        <f>AND('STERLING CATALOG - DRY '!J3987,"AAAAAHe7+50=")</f>
        <v>#VALUE!</v>
      </c>
      <c r="FC179">
        <f>IF('STERLING CATALOG - DRY '!3988:3988,"AAAAAHe7+54=",0)</f>
        <v>0</v>
      </c>
      <c r="FD179" t="e">
        <f>AND('STERLING CATALOG - DRY '!A3988,"AAAAAHe7+58=")</f>
        <v>#VALUE!</v>
      </c>
      <c r="FE179" t="e">
        <f>AND('STERLING CATALOG - DRY '!B3988,"AAAAAHe7+6A=")</f>
        <v>#VALUE!</v>
      </c>
      <c r="FF179" t="e">
        <f>AND('STERLING CATALOG - DRY '!C3988,"AAAAAHe7+6E=")</f>
        <v>#VALUE!</v>
      </c>
      <c r="FG179" t="e">
        <f>AND('STERLING CATALOG - DRY '!D3988,"AAAAAHe7+6I=")</f>
        <v>#VALUE!</v>
      </c>
      <c r="FH179" t="e">
        <f>AND('STERLING CATALOG - DRY '!E3988,"AAAAAHe7+6M=")</f>
        <v>#VALUE!</v>
      </c>
      <c r="FI179" t="e">
        <f>AND('STERLING CATALOG - DRY '!F3988,"AAAAAHe7+6Q=")</f>
        <v>#VALUE!</v>
      </c>
      <c r="FJ179" t="e">
        <f>AND('STERLING CATALOG - DRY '!G3988,"AAAAAHe7+6U=")</f>
        <v>#VALUE!</v>
      </c>
      <c r="FK179" t="e">
        <f>AND('STERLING CATALOG - DRY '!H3988,"AAAAAHe7+6Y=")</f>
        <v>#VALUE!</v>
      </c>
      <c r="FL179" t="e">
        <f>AND('STERLING CATALOG - DRY '!I3988,"AAAAAHe7+6c=")</f>
        <v>#VALUE!</v>
      </c>
      <c r="FM179" t="e">
        <f>AND('STERLING CATALOG - DRY '!J3988,"AAAAAHe7+6g=")</f>
        <v>#VALUE!</v>
      </c>
      <c r="FN179">
        <f>IF('STERLING CATALOG - DRY '!3989:3989,"AAAAAHe7+6k=",0)</f>
        <v>0</v>
      </c>
      <c r="FO179" t="e">
        <f>AND('STERLING CATALOG - DRY '!A3989,"AAAAAHe7+6o=")</f>
        <v>#VALUE!</v>
      </c>
      <c r="FP179" t="e">
        <f>AND('STERLING CATALOG - DRY '!B3989,"AAAAAHe7+6s=")</f>
        <v>#VALUE!</v>
      </c>
      <c r="FQ179" t="e">
        <f>AND('STERLING CATALOG - DRY '!C3989,"AAAAAHe7+6w=")</f>
        <v>#VALUE!</v>
      </c>
      <c r="FR179" t="e">
        <f>AND('STERLING CATALOG - DRY '!D3989,"AAAAAHe7+60=")</f>
        <v>#VALUE!</v>
      </c>
      <c r="FS179" t="e">
        <f>AND('STERLING CATALOG - DRY '!E3989,"AAAAAHe7+64=")</f>
        <v>#VALUE!</v>
      </c>
      <c r="FT179" t="e">
        <f>AND('STERLING CATALOG - DRY '!F3989,"AAAAAHe7+68=")</f>
        <v>#VALUE!</v>
      </c>
      <c r="FU179" t="e">
        <f>AND('STERLING CATALOG - DRY '!G3989,"AAAAAHe7+7A=")</f>
        <v>#VALUE!</v>
      </c>
      <c r="FV179" t="e">
        <f>AND('STERLING CATALOG - DRY '!H3989,"AAAAAHe7+7E=")</f>
        <v>#VALUE!</v>
      </c>
      <c r="FW179" t="e">
        <f>AND('STERLING CATALOG - DRY '!I3989,"AAAAAHe7+7I=")</f>
        <v>#VALUE!</v>
      </c>
      <c r="FX179" t="e">
        <f>AND('STERLING CATALOG - DRY '!J3989,"AAAAAHe7+7M=")</f>
        <v>#VALUE!</v>
      </c>
      <c r="FY179">
        <f>IF('STERLING CATALOG - DRY '!3990:3990,"AAAAAHe7+7Q=",0)</f>
        <v>0</v>
      </c>
      <c r="FZ179" t="e">
        <f>AND('STERLING CATALOG - DRY '!A3990,"AAAAAHe7+7U=")</f>
        <v>#VALUE!</v>
      </c>
      <c r="GA179" t="e">
        <f>AND('STERLING CATALOG - DRY '!B3990,"AAAAAHe7+7Y=")</f>
        <v>#VALUE!</v>
      </c>
      <c r="GB179" t="e">
        <f>AND('STERLING CATALOG - DRY '!C3990,"AAAAAHe7+7c=")</f>
        <v>#VALUE!</v>
      </c>
      <c r="GC179" t="e">
        <f>AND('STERLING CATALOG - DRY '!D3990,"AAAAAHe7+7g=")</f>
        <v>#VALUE!</v>
      </c>
      <c r="GD179" t="e">
        <f>AND('STERLING CATALOG - DRY '!E3990,"AAAAAHe7+7k=")</f>
        <v>#VALUE!</v>
      </c>
      <c r="GE179" t="e">
        <f>AND('STERLING CATALOG - DRY '!F3990,"AAAAAHe7+7o=")</f>
        <v>#VALUE!</v>
      </c>
      <c r="GF179" t="e">
        <f>AND('STERLING CATALOG - DRY '!G3990,"AAAAAHe7+7s=")</f>
        <v>#VALUE!</v>
      </c>
      <c r="GG179" t="e">
        <f>AND('STERLING CATALOG - DRY '!H3990,"AAAAAHe7+7w=")</f>
        <v>#VALUE!</v>
      </c>
      <c r="GH179" t="e">
        <f>AND('STERLING CATALOG - DRY '!I3990,"AAAAAHe7+70=")</f>
        <v>#VALUE!</v>
      </c>
      <c r="GI179" t="e">
        <f>AND('STERLING CATALOG - DRY '!J3990,"AAAAAHe7+74=")</f>
        <v>#VALUE!</v>
      </c>
      <c r="GJ179">
        <f>IF('STERLING CATALOG - DRY '!3991:3991,"AAAAAHe7+78=",0)</f>
        <v>0</v>
      </c>
      <c r="GK179" t="e">
        <f>AND('STERLING CATALOG - DRY '!A3991,"AAAAAHe7+8A=")</f>
        <v>#VALUE!</v>
      </c>
      <c r="GL179" t="e">
        <f>AND('STERLING CATALOG - DRY '!B3991,"AAAAAHe7+8E=")</f>
        <v>#VALUE!</v>
      </c>
      <c r="GM179" t="e">
        <f>AND('STERLING CATALOG - DRY '!C3991,"AAAAAHe7+8I=")</f>
        <v>#VALUE!</v>
      </c>
      <c r="GN179" t="e">
        <f>AND('STERLING CATALOG - DRY '!D3991,"AAAAAHe7+8M=")</f>
        <v>#VALUE!</v>
      </c>
      <c r="GO179" t="e">
        <f>AND('STERLING CATALOG - DRY '!E3991,"AAAAAHe7+8Q=")</f>
        <v>#VALUE!</v>
      </c>
      <c r="GP179" t="e">
        <f>AND('STERLING CATALOG - DRY '!F3991,"AAAAAHe7+8U=")</f>
        <v>#VALUE!</v>
      </c>
      <c r="GQ179" t="e">
        <f>AND('STERLING CATALOG - DRY '!G3991,"AAAAAHe7+8Y=")</f>
        <v>#VALUE!</v>
      </c>
      <c r="GR179" t="e">
        <f>AND('STERLING CATALOG - DRY '!H3991,"AAAAAHe7+8c=")</f>
        <v>#VALUE!</v>
      </c>
      <c r="GS179" t="e">
        <f>AND('STERLING CATALOG - DRY '!I3991,"AAAAAHe7+8g=")</f>
        <v>#VALUE!</v>
      </c>
      <c r="GT179" t="e">
        <f>AND('STERLING CATALOG - DRY '!J3991,"AAAAAHe7+8k=")</f>
        <v>#VALUE!</v>
      </c>
      <c r="GU179">
        <f>IF('STERLING CATALOG - DRY '!3992:3992,"AAAAAHe7+8o=",0)</f>
        <v>0</v>
      </c>
      <c r="GV179" t="e">
        <f>AND('STERLING CATALOG - DRY '!A3992,"AAAAAHe7+8s=")</f>
        <v>#VALUE!</v>
      </c>
      <c r="GW179" t="e">
        <f>AND('STERLING CATALOG - DRY '!B3992,"AAAAAHe7+8w=")</f>
        <v>#VALUE!</v>
      </c>
      <c r="GX179" t="e">
        <f>AND('STERLING CATALOG - DRY '!C3992,"AAAAAHe7+80=")</f>
        <v>#VALUE!</v>
      </c>
      <c r="GY179" t="e">
        <f>AND('STERLING CATALOG - DRY '!D3992,"AAAAAHe7+84=")</f>
        <v>#VALUE!</v>
      </c>
      <c r="GZ179" t="e">
        <f>AND('STERLING CATALOG - DRY '!E3992,"AAAAAHe7+88=")</f>
        <v>#VALUE!</v>
      </c>
      <c r="HA179" t="e">
        <f>AND('STERLING CATALOG - DRY '!F3992,"AAAAAHe7+9A=")</f>
        <v>#VALUE!</v>
      </c>
      <c r="HB179" t="e">
        <f>AND('STERLING CATALOG - DRY '!G3992,"AAAAAHe7+9E=")</f>
        <v>#VALUE!</v>
      </c>
      <c r="HC179" t="e">
        <f>AND('STERLING CATALOG - DRY '!H3992,"AAAAAHe7+9I=")</f>
        <v>#VALUE!</v>
      </c>
      <c r="HD179" t="e">
        <f>AND('STERLING CATALOG - DRY '!I3992,"AAAAAHe7+9M=")</f>
        <v>#VALUE!</v>
      </c>
      <c r="HE179" t="e">
        <f>AND('STERLING CATALOG - DRY '!J3992,"AAAAAHe7+9Q=")</f>
        <v>#VALUE!</v>
      </c>
      <c r="HF179">
        <f>IF('STERLING CATALOG - DRY '!3993:3993,"AAAAAHe7+9U=",0)</f>
        <v>0</v>
      </c>
      <c r="HG179" t="e">
        <f>AND('STERLING CATALOG - DRY '!A3993,"AAAAAHe7+9Y=")</f>
        <v>#VALUE!</v>
      </c>
      <c r="HH179" t="e">
        <f>AND('STERLING CATALOG - DRY '!B3993,"AAAAAHe7+9c=")</f>
        <v>#VALUE!</v>
      </c>
      <c r="HI179" t="e">
        <f>AND('STERLING CATALOG - DRY '!C3993,"AAAAAHe7+9g=")</f>
        <v>#VALUE!</v>
      </c>
      <c r="HJ179" t="e">
        <f>AND('STERLING CATALOG - DRY '!D3993,"AAAAAHe7+9k=")</f>
        <v>#VALUE!</v>
      </c>
      <c r="HK179" t="e">
        <f>AND('STERLING CATALOG - DRY '!E3993,"AAAAAHe7+9o=")</f>
        <v>#VALUE!</v>
      </c>
      <c r="HL179" t="e">
        <f>AND('STERLING CATALOG - DRY '!F3993,"AAAAAHe7+9s=")</f>
        <v>#VALUE!</v>
      </c>
      <c r="HM179" t="e">
        <f>AND('STERLING CATALOG - DRY '!G3993,"AAAAAHe7+9w=")</f>
        <v>#VALUE!</v>
      </c>
      <c r="HN179" t="e">
        <f>AND('STERLING CATALOG - DRY '!H3993,"AAAAAHe7+90=")</f>
        <v>#VALUE!</v>
      </c>
      <c r="HO179" t="e">
        <f>AND('STERLING CATALOG - DRY '!I3993,"AAAAAHe7+94=")</f>
        <v>#VALUE!</v>
      </c>
      <c r="HP179" t="e">
        <f>AND('STERLING CATALOG - DRY '!J3993,"AAAAAHe7+98=")</f>
        <v>#VALUE!</v>
      </c>
      <c r="HQ179">
        <f>IF('STERLING CATALOG - DRY '!3994:3994,"AAAAAHe7++A=",0)</f>
        <v>0</v>
      </c>
      <c r="HR179" t="e">
        <f>AND('STERLING CATALOG - DRY '!A3994,"AAAAAHe7++E=")</f>
        <v>#VALUE!</v>
      </c>
      <c r="HS179" t="e">
        <f>AND('STERLING CATALOG - DRY '!B3994,"AAAAAHe7++I=")</f>
        <v>#VALUE!</v>
      </c>
      <c r="HT179" t="e">
        <f>AND('STERLING CATALOG - DRY '!C3994,"AAAAAHe7++M=")</f>
        <v>#VALUE!</v>
      </c>
      <c r="HU179" t="e">
        <f>AND('STERLING CATALOG - DRY '!D3994,"AAAAAHe7++Q=")</f>
        <v>#VALUE!</v>
      </c>
      <c r="HV179" t="e">
        <f>AND('STERLING CATALOG - DRY '!E3994,"AAAAAHe7++U=")</f>
        <v>#VALUE!</v>
      </c>
      <c r="HW179" t="e">
        <f>AND('STERLING CATALOG - DRY '!F3994,"AAAAAHe7++Y=")</f>
        <v>#VALUE!</v>
      </c>
      <c r="HX179" t="e">
        <f>AND('STERLING CATALOG - DRY '!G3994,"AAAAAHe7++c=")</f>
        <v>#VALUE!</v>
      </c>
      <c r="HY179" t="e">
        <f>AND('STERLING CATALOG - DRY '!H3994,"AAAAAHe7++g=")</f>
        <v>#VALUE!</v>
      </c>
      <c r="HZ179" t="e">
        <f>AND('STERLING CATALOG - DRY '!I3994,"AAAAAHe7++k=")</f>
        <v>#VALUE!</v>
      </c>
      <c r="IA179" t="e">
        <f>AND('STERLING CATALOG - DRY '!J3994,"AAAAAHe7++o=")</f>
        <v>#VALUE!</v>
      </c>
      <c r="IB179">
        <f>IF('STERLING CATALOG - DRY '!3995:3995,"AAAAAHe7++s=",0)</f>
        <v>0</v>
      </c>
      <c r="IC179" t="e">
        <f>AND('STERLING CATALOG - DRY '!A3995,"AAAAAHe7++w=")</f>
        <v>#VALUE!</v>
      </c>
      <c r="ID179" t="e">
        <f>AND('STERLING CATALOG - DRY '!B3995,"AAAAAHe7++0=")</f>
        <v>#VALUE!</v>
      </c>
      <c r="IE179" t="e">
        <f>AND('STERLING CATALOG - DRY '!C3995,"AAAAAHe7++4=")</f>
        <v>#VALUE!</v>
      </c>
      <c r="IF179" t="e">
        <f>AND('STERLING CATALOG - DRY '!D3995,"AAAAAHe7++8=")</f>
        <v>#VALUE!</v>
      </c>
      <c r="IG179" t="e">
        <f>AND('STERLING CATALOG - DRY '!E3995,"AAAAAHe7+/A=")</f>
        <v>#VALUE!</v>
      </c>
      <c r="IH179" t="e">
        <f>AND('STERLING CATALOG - DRY '!F3995,"AAAAAHe7+/E=")</f>
        <v>#VALUE!</v>
      </c>
      <c r="II179" t="e">
        <f>AND('STERLING CATALOG - DRY '!G3995,"AAAAAHe7+/I=")</f>
        <v>#VALUE!</v>
      </c>
      <c r="IJ179" t="e">
        <f>AND('STERLING CATALOG - DRY '!H3995,"AAAAAHe7+/M=")</f>
        <v>#VALUE!</v>
      </c>
      <c r="IK179" t="e">
        <f>AND('STERLING CATALOG - DRY '!I3995,"AAAAAHe7+/Q=")</f>
        <v>#VALUE!</v>
      </c>
      <c r="IL179" t="e">
        <f>AND('STERLING CATALOG - DRY '!J3995,"AAAAAHe7+/U=")</f>
        <v>#VALUE!</v>
      </c>
      <c r="IM179">
        <f>IF('STERLING CATALOG - DRY '!3996:3996,"AAAAAHe7+/Y=",0)</f>
        <v>0</v>
      </c>
      <c r="IN179" t="e">
        <f>AND('STERLING CATALOG - DRY '!A3996,"AAAAAHe7+/c=")</f>
        <v>#VALUE!</v>
      </c>
      <c r="IO179" t="e">
        <f>AND('STERLING CATALOG - DRY '!B3996,"AAAAAHe7+/g=")</f>
        <v>#VALUE!</v>
      </c>
      <c r="IP179" t="e">
        <f>AND('STERLING CATALOG - DRY '!C3996,"AAAAAHe7+/k=")</f>
        <v>#VALUE!</v>
      </c>
      <c r="IQ179" t="e">
        <f>AND('STERLING CATALOG - DRY '!D3996,"AAAAAHe7+/o=")</f>
        <v>#VALUE!</v>
      </c>
      <c r="IR179" t="e">
        <f>AND('STERLING CATALOG - DRY '!E3996,"AAAAAHe7+/s=")</f>
        <v>#VALUE!</v>
      </c>
      <c r="IS179" t="e">
        <f>AND('STERLING CATALOG - DRY '!F3996,"AAAAAHe7+/w=")</f>
        <v>#VALUE!</v>
      </c>
      <c r="IT179" t="e">
        <f>AND('STERLING CATALOG - DRY '!G3996,"AAAAAHe7+/0=")</f>
        <v>#VALUE!</v>
      </c>
      <c r="IU179" t="e">
        <f>AND('STERLING CATALOG - DRY '!H3996,"AAAAAHe7+/4=")</f>
        <v>#VALUE!</v>
      </c>
      <c r="IV179" t="e">
        <f>AND('STERLING CATALOG - DRY '!I3996,"AAAAAHe7+/8=")</f>
        <v>#VALUE!</v>
      </c>
    </row>
    <row r="180" spans="1:256">
      <c r="A180" t="e">
        <f>AND('STERLING CATALOG - DRY '!J3996,"AAAAADT9/wA=")</f>
        <v>#VALUE!</v>
      </c>
      <c r="B180" t="str">
        <f>IF('STERLING CATALOG - DRY '!3997:3997,"AAAAADT9/wE=",0)</f>
        <v>AAAAADT9/wE=</v>
      </c>
      <c r="C180" t="e">
        <f>AND('STERLING CATALOG - DRY '!A3997,"AAAAADT9/wI=")</f>
        <v>#VALUE!</v>
      </c>
      <c r="D180" t="e">
        <f>AND('STERLING CATALOG - DRY '!B3997,"AAAAADT9/wM=")</f>
        <v>#VALUE!</v>
      </c>
      <c r="E180" t="e">
        <f>AND('STERLING CATALOG - DRY '!C3997,"AAAAADT9/wQ=")</f>
        <v>#VALUE!</v>
      </c>
      <c r="F180" t="e">
        <f>AND('STERLING CATALOG - DRY '!D3997,"AAAAADT9/wU=")</f>
        <v>#VALUE!</v>
      </c>
      <c r="G180" t="e">
        <f>AND('STERLING CATALOG - DRY '!E3997,"AAAAADT9/wY=")</f>
        <v>#VALUE!</v>
      </c>
      <c r="H180" t="e">
        <f>AND('STERLING CATALOG - DRY '!F3997,"AAAAADT9/wc=")</f>
        <v>#VALUE!</v>
      </c>
      <c r="I180" t="e">
        <f>AND('STERLING CATALOG - DRY '!G3997,"AAAAADT9/wg=")</f>
        <v>#VALUE!</v>
      </c>
      <c r="J180" t="e">
        <f>AND('STERLING CATALOG - DRY '!H3997,"AAAAADT9/wk=")</f>
        <v>#VALUE!</v>
      </c>
      <c r="K180" t="e">
        <f>AND('STERLING CATALOG - DRY '!I3997,"AAAAADT9/wo=")</f>
        <v>#VALUE!</v>
      </c>
      <c r="L180" t="e">
        <f>AND('STERLING CATALOG - DRY '!J3997,"AAAAADT9/ws=")</f>
        <v>#VALUE!</v>
      </c>
      <c r="M180">
        <f>IF('STERLING CATALOG - DRY '!3998:3998,"AAAAADT9/ww=",0)</f>
        <v>0</v>
      </c>
      <c r="N180" t="e">
        <f>AND('STERLING CATALOG - DRY '!A3998,"AAAAADT9/w0=")</f>
        <v>#VALUE!</v>
      </c>
      <c r="O180" t="e">
        <f>AND('STERLING CATALOG - DRY '!B3998,"AAAAADT9/w4=")</f>
        <v>#VALUE!</v>
      </c>
      <c r="P180" t="e">
        <f>AND('STERLING CATALOG - DRY '!C3998,"AAAAADT9/w8=")</f>
        <v>#VALUE!</v>
      </c>
      <c r="Q180" t="e">
        <f>AND('STERLING CATALOG - DRY '!D3998,"AAAAADT9/xA=")</f>
        <v>#VALUE!</v>
      </c>
      <c r="R180" t="e">
        <f>AND('STERLING CATALOG - DRY '!E3998,"AAAAADT9/xE=")</f>
        <v>#VALUE!</v>
      </c>
      <c r="S180" t="e">
        <f>AND('STERLING CATALOG - DRY '!F3998,"AAAAADT9/xI=")</f>
        <v>#VALUE!</v>
      </c>
      <c r="T180" t="e">
        <f>AND('STERLING CATALOG - DRY '!G3998,"AAAAADT9/xM=")</f>
        <v>#VALUE!</v>
      </c>
      <c r="U180" t="e">
        <f>AND('STERLING CATALOG - DRY '!H3998,"AAAAADT9/xQ=")</f>
        <v>#VALUE!</v>
      </c>
      <c r="V180" t="e">
        <f>AND('STERLING CATALOG - DRY '!I3998,"AAAAADT9/xU=")</f>
        <v>#VALUE!</v>
      </c>
      <c r="W180" t="e">
        <f>AND('STERLING CATALOG - DRY '!J3998,"AAAAADT9/xY=")</f>
        <v>#VALUE!</v>
      </c>
      <c r="X180">
        <f>IF('STERLING CATALOG - DRY '!3999:3999,"AAAAADT9/xc=",0)</f>
        <v>0</v>
      </c>
      <c r="Y180" t="e">
        <f>AND('STERLING CATALOG - DRY '!A3999,"AAAAADT9/xg=")</f>
        <v>#VALUE!</v>
      </c>
      <c r="Z180" t="e">
        <f>AND('STERLING CATALOG - DRY '!B3999,"AAAAADT9/xk=")</f>
        <v>#VALUE!</v>
      </c>
      <c r="AA180" t="e">
        <f>AND('STERLING CATALOG - DRY '!C3999,"AAAAADT9/xo=")</f>
        <v>#VALUE!</v>
      </c>
      <c r="AB180" t="e">
        <f>AND('STERLING CATALOG - DRY '!D3999,"AAAAADT9/xs=")</f>
        <v>#VALUE!</v>
      </c>
      <c r="AC180" t="e">
        <f>AND('STERLING CATALOG - DRY '!E3999,"AAAAADT9/xw=")</f>
        <v>#VALUE!</v>
      </c>
      <c r="AD180" t="e">
        <f>AND('STERLING CATALOG - DRY '!F3999,"AAAAADT9/x0=")</f>
        <v>#VALUE!</v>
      </c>
      <c r="AE180" t="e">
        <f>AND('STERLING CATALOG - DRY '!G3999,"AAAAADT9/x4=")</f>
        <v>#VALUE!</v>
      </c>
      <c r="AF180" t="e">
        <f>AND('STERLING CATALOG - DRY '!H3999,"AAAAADT9/x8=")</f>
        <v>#VALUE!</v>
      </c>
      <c r="AG180" t="e">
        <f>AND('STERLING CATALOG - DRY '!I3999,"AAAAADT9/yA=")</f>
        <v>#VALUE!</v>
      </c>
      <c r="AH180" t="e">
        <f>AND('STERLING CATALOG - DRY '!J3999,"AAAAADT9/yE=")</f>
        <v>#VALUE!</v>
      </c>
      <c r="AI180">
        <f>IF('STERLING CATALOG - DRY '!4000:4000,"AAAAADT9/yI=",0)</f>
        <v>0</v>
      </c>
      <c r="AJ180" t="e">
        <f>AND('STERLING CATALOG - DRY '!A4000,"AAAAADT9/yM=")</f>
        <v>#VALUE!</v>
      </c>
      <c r="AK180" t="e">
        <f>AND('STERLING CATALOG - DRY '!B4000,"AAAAADT9/yQ=")</f>
        <v>#VALUE!</v>
      </c>
      <c r="AL180" t="e">
        <f>AND('STERLING CATALOG - DRY '!C4000,"AAAAADT9/yU=")</f>
        <v>#VALUE!</v>
      </c>
      <c r="AM180" t="e">
        <f>AND('STERLING CATALOG - DRY '!D4000,"AAAAADT9/yY=")</f>
        <v>#VALUE!</v>
      </c>
      <c r="AN180" t="e">
        <f>AND('STERLING CATALOG - DRY '!E4000,"AAAAADT9/yc=")</f>
        <v>#VALUE!</v>
      </c>
      <c r="AO180" t="e">
        <f>AND('STERLING CATALOG - DRY '!F4000,"AAAAADT9/yg=")</f>
        <v>#VALUE!</v>
      </c>
      <c r="AP180" t="e">
        <f>AND('STERLING CATALOG - DRY '!G4000,"AAAAADT9/yk=")</f>
        <v>#VALUE!</v>
      </c>
      <c r="AQ180" t="e">
        <f>AND('STERLING CATALOG - DRY '!H4000,"AAAAADT9/yo=")</f>
        <v>#VALUE!</v>
      </c>
      <c r="AR180" t="e">
        <f>AND('STERLING CATALOG - DRY '!I4000,"AAAAADT9/ys=")</f>
        <v>#VALUE!</v>
      </c>
      <c r="AS180" t="e">
        <f>AND('STERLING CATALOG - DRY '!J4000,"AAAAADT9/yw=")</f>
        <v>#VALUE!</v>
      </c>
      <c r="AT180">
        <f>IF('STERLING CATALOG - DRY '!4001:4001,"AAAAADT9/y0=",0)</f>
        <v>0</v>
      </c>
      <c r="AU180" t="e">
        <f>AND('STERLING CATALOG - DRY '!A4001,"AAAAADT9/y4=")</f>
        <v>#VALUE!</v>
      </c>
      <c r="AV180" t="e">
        <f>AND('STERLING CATALOG - DRY '!B4001,"AAAAADT9/y8=")</f>
        <v>#VALUE!</v>
      </c>
      <c r="AW180" t="e">
        <f>AND('STERLING CATALOG - DRY '!C4001,"AAAAADT9/zA=")</f>
        <v>#VALUE!</v>
      </c>
      <c r="AX180" t="e">
        <f>AND('STERLING CATALOG - DRY '!D4001,"AAAAADT9/zE=")</f>
        <v>#VALUE!</v>
      </c>
      <c r="AY180" t="e">
        <f>AND('STERLING CATALOG - DRY '!E4001,"AAAAADT9/zI=")</f>
        <v>#VALUE!</v>
      </c>
      <c r="AZ180" t="e">
        <f>AND('STERLING CATALOG - DRY '!F4001,"AAAAADT9/zM=")</f>
        <v>#VALUE!</v>
      </c>
      <c r="BA180" t="e">
        <f>AND('STERLING CATALOG - DRY '!G4001,"AAAAADT9/zQ=")</f>
        <v>#VALUE!</v>
      </c>
      <c r="BB180" t="e">
        <f>AND('STERLING CATALOG - DRY '!H4001,"AAAAADT9/zU=")</f>
        <v>#VALUE!</v>
      </c>
      <c r="BC180" t="e">
        <f>AND('STERLING CATALOG - DRY '!I4001,"AAAAADT9/zY=")</f>
        <v>#VALUE!</v>
      </c>
      <c r="BD180" t="e">
        <f>AND('STERLING CATALOG - DRY '!J4001,"AAAAADT9/zc=")</f>
        <v>#VALUE!</v>
      </c>
      <c r="BE180">
        <f>IF('STERLING CATALOG - DRY '!4002:4002,"AAAAADT9/zg=",0)</f>
        <v>0</v>
      </c>
      <c r="BF180" t="e">
        <f>AND('STERLING CATALOG - DRY '!A4002,"AAAAADT9/zk=")</f>
        <v>#VALUE!</v>
      </c>
      <c r="BG180" t="e">
        <f>AND('STERLING CATALOG - DRY '!B4002,"AAAAADT9/zo=")</f>
        <v>#VALUE!</v>
      </c>
      <c r="BH180" t="e">
        <f>AND('STERLING CATALOG - DRY '!C4002,"AAAAADT9/zs=")</f>
        <v>#VALUE!</v>
      </c>
      <c r="BI180" t="e">
        <f>AND('STERLING CATALOG - DRY '!D4002,"AAAAADT9/zw=")</f>
        <v>#VALUE!</v>
      </c>
      <c r="BJ180" t="e">
        <f>AND('STERLING CATALOG - DRY '!E4002,"AAAAADT9/z0=")</f>
        <v>#VALUE!</v>
      </c>
      <c r="BK180" t="e">
        <f>AND('STERLING CATALOG - DRY '!F4002,"AAAAADT9/z4=")</f>
        <v>#VALUE!</v>
      </c>
      <c r="BL180" t="e">
        <f>AND('STERLING CATALOG - DRY '!G4002,"AAAAADT9/z8=")</f>
        <v>#VALUE!</v>
      </c>
      <c r="BM180" t="e">
        <f>AND('STERLING CATALOG - DRY '!H4002,"AAAAADT9/0A=")</f>
        <v>#VALUE!</v>
      </c>
      <c r="BN180" t="e">
        <f>AND('STERLING CATALOG - DRY '!I4002,"AAAAADT9/0E=")</f>
        <v>#VALUE!</v>
      </c>
      <c r="BO180" t="e">
        <f>AND('STERLING CATALOG - DRY '!J4002,"AAAAADT9/0I=")</f>
        <v>#VALUE!</v>
      </c>
      <c r="BP180">
        <f>IF('STERLING CATALOG - DRY '!4003:4003,"AAAAADT9/0M=",0)</f>
        <v>0</v>
      </c>
      <c r="BQ180" t="e">
        <f>AND('STERLING CATALOG - DRY '!A4003,"AAAAADT9/0Q=")</f>
        <v>#VALUE!</v>
      </c>
      <c r="BR180" t="e">
        <f>AND('STERLING CATALOG - DRY '!B4003,"AAAAADT9/0U=")</f>
        <v>#VALUE!</v>
      </c>
      <c r="BS180" t="e">
        <f>AND('STERLING CATALOG - DRY '!C4003,"AAAAADT9/0Y=")</f>
        <v>#VALUE!</v>
      </c>
      <c r="BT180" t="e">
        <f>AND('STERLING CATALOG - DRY '!D4003,"AAAAADT9/0c=")</f>
        <v>#VALUE!</v>
      </c>
      <c r="BU180" t="e">
        <f>AND('STERLING CATALOG - DRY '!E4003,"AAAAADT9/0g=")</f>
        <v>#VALUE!</v>
      </c>
      <c r="BV180" t="e">
        <f>AND('STERLING CATALOG - DRY '!F4003,"AAAAADT9/0k=")</f>
        <v>#VALUE!</v>
      </c>
      <c r="BW180" t="e">
        <f>AND('STERLING CATALOG - DRY '!G4003,"AAAAADT9/0o=")</f>
        <v>#VALUE!</v>
      </c>
      <c r="BX180" t="e">
        <f>AND('STERLING CATALOG - DRY '!H4003,"AAAAADT9/0s=")</f>
        <v>#VALUE!</v>
      </c>
      <c r="BY180" t="e">
        <f>AND('STERLING CATALOG - DRY '!I4003,"AAAAADT9/0w=")</f>
        <v>#VALUE!</v>
      </c>
      <c r="BZ180" t="e">
        <f>AND('STERLING CATALOG - DRY '!J4003,"AAAAADT9/00=")</f>
        <v>#VALUE!</v>
      </c>
      <c r="CA180">
        <f>IF('STERLING CATALOG - DRY '!4004:4004,"AAAAADT9/04=",0)</f>
        <v>0</v>
      </c>
      <c r="CB180" t="e">
        <f>AND('STERLING CATALOG - DRY '!A4004,"AAAAADT9/08=")</f>
        <v>#VALUE!</v>
      </c>
      <c r="CC180" t="e">
        <f>AND('STERLING CATALOG - DRY '!B4004,"AAAAADT9/1A=")</f>
        <v>#VALUE!</v>
      </c>
      <c r="CD180" t="e">
        <f>AND('STERLING CATALOG - DRY '!C4004,"AAAAADT9/1E=")</f>
        <v>#VALUE!</v>
      </c>
      <c r="CE180" t="e">
        <f>AND('STERLING CATALOG - DRY '!D4004,"AAAAADT9/1I=")</f>
        <v>#VALUE!</v>
      </c>
      <c r="CF180" t="e">
        <f>AND('STERLING CATALOG - DRY '!E4004,"AAAAADT9/1M=")</f>
        <v>#VALUE!</v>
      </c>
      <c r="CG180" t="e">
        <f>AND('STERLING CATALOG - DRY '!F4004,"AAAAADT9/1Q=")</f>
        <v>#VALUE!</v>
      </c>
      <c r="CH180" t="e">
        <f>AND('STERLING CATALOG - DRY '!G4004,"AAAAADT9/1U=")</f>
        <v>#VALUE!</v>
      </c>
      <c r="CI180" t="e">
        <f>AND('STERLING CATALOG - DRY '!H4004,"AAAAADT9/1Y=")</f>
        <v>#VALUE!</v>
      </c>
      <c r="CJ180" t="e">
        <f>AND('STERLING CATALOG - DRY '!I4004,"AAAAADT9/1c=")</f>
        <v>#VALUE!</v>
      </c>
      <c r="CK180" t="e">
        <f>AND('STERLING CATALOG - DRY '!J4004,"AAAAADT9/1g=")</f>
        <v>#VALUE!</v>
      </c>
      <c r="CL180">
        <f>IF('STERLING CATALOG - DRY '!4005:4005,"AAAAADT9/1k=",0)</f>
        <v>0</v>
      </c>
      <c r="CM180" t="e">
        <f>AND('STERLING CATALOG - DRY '!A4005,"AAAAADT9/1o=")</f>
        <v>#VALUE!</v>
      </c>
      <c r="CN180" t="e">
        <f>AND('STERLING CATALOG - DRY '!B4005,"AAAAADT9/1s=")</f>
        <v>#VALUE!</v>
      </c>
      <c r="CO180" t="e">
        <f>AND('STERLING CATALOG - DRY '!C4005,"AAAAADT9/1w=")</f>
        <v>#VALUE!</v>
      </c>
      <c r="CP180" t="e">
        <f>AND('STERLING CATALOG - DRY '!D4005,"AAAAADT9/10=")</f>
        <v>#VALUE!</v>
      </c>
      <c r="CQ180" t="e">
        <f>AND('STERLING CATALOG - DRY '!E4005,"AAAAADT9/14=")</f>
        <v>#VALUE!</v>
      </c>
      <c r="CR180" t="e">
        <f>AND('STERLING CATALOG - DRY '!F4005,"AAAAADT9/18=")</f>
        <v>#VALUE!</v>
      </c>
      <c r="CS180" t="e">
        <f>AND('STERLING CATALOG - DRY '!G4005,"AAAAADT9/2A=")</f>
        <v>#VALUE!</v>
      </c>
      <c r="CT180" t="e">
        <f>AND('STERLING CATALOG - DRY '!H4005,"AAAAADT9/2E=")</f>
        <v>#VALUE!</v>
      </c>
      <c r="CU180" t="e">
        <f>AND('STERLING CATALOG - DRY '!I4005,"AAAAADT9/2I=")</f>
        <v>#VALUE!</v>
      </c>
      <c r="CV180" t="e">
        <f>AND('STERLING CATALOG - DRY '!J4005,"AAAAADT9/2M=")</f>
        <v>#VALUE!</v>
      </c>
      <c r="CW180">
        <f>IF('STERLING CATALOG - DRY '!4006:4006,"AAAAADT9/2Q=",0)</f>
        <v>0</v>
      </c>
      <c r="CX180" t="e">
        <f>AND('STERLING CATALOG - DRY '!A4006,"AAAAADT9/2U=")</f>
        <v>#VALUE!</v>
      </c>
      <c r="CY180" t="e">
        <f>AND('STERLING CATALOG - DRY '!B4006,"AAAAADT9/2Y=")</f>
        <v>#VALUE!</v>
      </c>
      <c r="CZ180" t="e">
        <f>AND('STERLING CATALOG - DRY '!C4006,"AAAAADT9/2c=")</f>
        <v>#VALUE!</v>
      </c>
      <c r="DA180" t="e">
        <f>AND('STERLING CATALOG - DRY '!D4006,"AAAAADT9/2g=")</f>
        <v>#VALUE!</v>
      </c>
      <c r="DB180" t="e">
        <f>AND('STERLING CATALOG - DRY '!E4006,"AAAAADT9/2k=")</f>
        <v>#VALUE!</v>
      </c>
      <c r="DC180" t="e">
        <f>AND('STERLING CATALOG - DRY '!F4006,"AAAAADT9/2o=")</f>
        <v>#VALUE!</v>
      </c>
      <c r="DD180" t="e">
        <f>AND('STERLING CATALOG - DRY '!G4006,"AAAAADT9/2s=")</f>
        <v>#VALUE!</v>
      </c>
      <c r="DE180" t="e">
        <f>AND('STERLING CATALOG - DRY '!H4006,"AAAAADT9/2w=")</f>
        <v>#VALUE!</v>
      </c>
      <c r="DF180" t="e">
        <f>AND('STERLING CATALOG - DRY '!I4006,"AAAAADT9/20=")</f>
        <v>#VALUE!</v>
      </c>
      <c r="DG180" t="e">
        <f>AND('STERLING CATALOG - DRY '!J4006,"AAAAADT9/24=")</f>
        <v>#VALUE!</v>
      </c>
      <c r="DH180">
        <f>IF('STERLING CATALOG - DRY '!4007:4007,"AAAAADT9/28=",0)</f>
        <v>0</v>
      </c>
      <c r="DI180" t="e">
        <f>AND('STERLING CATALOG - DRY '!A4007,"AAAAADT9/3A=")</f>
        <v>#VALUE!</v>
      </c>
      <c r="DJ180" t="e">
        <f>AND('STERLING CATALOG - DRY '!B4007,"AAAAADT9/3E=")</f>
        <v>#VALUE!</v>
      </c>
      <c r="DK180" t="e">
        <f>AND('STERLING CATALOG - DRY '!C4007,"AAAAADT9/3I=")</f>
        <v>#VALUE!</v>
      </c>
      <c r="DL180" t="e">
        <f>AND('STERLING CATALOG - DRY '!D4007,"AAAAADT9/3M=")</f>
        <v>#VALUE!</v>
      </c>
      <c r="DM180" t="e">
        <f>AND('STERLING CATALOG - DRY '!E4007,"AAAAADT9/3Q=")</f>
        <v>#VALUE!</v>
      </c>
      <c r="DN180" t="e">
        <f>AND('STERLING CATALOG - DRY '!F4007,"AAAAADT9/3U=")</f>
        <v>#VALUE!</v>
      </c>
      <c r="DO180" t="e">
        <f>AND('STERLING CATALOG - DRY '!G4007,"AAAAADT9/3Y=")</f>
        <v>#VALUE!</v>
      </c>
      <c r="DP180" t="e">
        <f>AND('STERLING CATALOG - DRY '!H4007,"AAAAADT9/3c=")</f>
        <v>#VALUE!</v>
      </c>
      <c r="DQ180" t="e">
        <f>AND('STERLING CATALOG - DRY '!I4007,"AAAAADT9/3g=")</f>
        <v>#VALUE!</v>
      </c>
      <c r="DR180" t="e">
        <f>AND('STERLING CATALOG - DRY '!J4007,"AAAAADT9/3k=")</f>
        <v>#VALUE!</v>
      </c>
      <c r="DS180">
        <f>IF('STERLING CATALOG - DRY '!4008:4008,"AAAAADT9/3o=",0)</f>
        <v>0</v>
      </c>
      <c r="DT180" t="e">
        <f>AND('STERLING CATALOG - DRY '!A4008,"AAAAADT9/3s=")</f>
        <v>#VALUE!</v>
      </c>
      <c r="DU180" t="e">
        <f>AND('STERLING CATALOG - DRY '!B4008,"AAAAADT9/3w=")</f>
        <v>#VALUE!</v>
      </c>
      <c r="DV180" t="e">
        <f>AND('STERLING CATALOG - DRY '!C4008,"AAAAADT9/30=")</f>
        <v>#VALUE!</v>
      </c>
      <c r="DW180" t="e">
        <f>AND('STERLING CATALOG - DRY '!D4008,"AAAAADT9/34=")</f>
        <v>#VALUE!</v>
      </c>
      <c r="DX180" t="e">
        <f>AND('STERLING CATALOG - DRY '!E4008,"AAAAADT9/38=")</f>
        <v>#VALUE!</v>
      </c>
      <c r="DY180" t="e">
        <f>AND('STERLING CATALOG - DRY '!F4008,"AAAAADT9/4A=")</f>
        <v>#VALUE!</v>
      </c>
      <c r="DZ180" t="e">
        <f>AND('STERLING CATALOG - DRY '!G4008,"AAAAADT9/4E=")</f>
        <v>#VALUE!</v>
      </c>
      <c r="EA180" t="e">
        <f>AND('STERLING CATALOG - DRY '!H4008,"AAAAADT9/4I=")</f>
        <v>#VALUE!</v>
      </c>
      <c r="EB180" t="e">
        <f>AND('STERLING CATALOG - DRY '!I4008,"AAAAADT9/4M=")</f>
        <v>#VALUE!</v>
      </c>
      <c r="EC180" t="e">
        <f>AND('STERLING CATALOG - DRY '!J4008,"AAAAADT9/4Q=")</f>
        <v>#VALUE!</v>
      </c>
      <c r="ED180">
        <f>IF('STERLING CATALOG - DRY '!4009:4009,"AAAAADT9/4U=",0)</f>
        <v>0</v>
      </c>
      <c r="EE180" t="e">
        <f>AND('STERLING CATALOG - DRY '!A4009,"AAAAADT9/4Y=")</f>
        <v>#VALUE!</v>
      </c>
      <c r="EF180" t="e">
        <f>AND('STERLING CATALOG - DRY '!B4009,"AAAAADT9/4c=")</f>
        <v>#VALUE!</v>
      </c>
      <c r="EG180" t="e">
        <f>AND('STERLING CATALOG - DRY '!C4009,"AAAAADT9/4g=")</f>
        <v>#VALUE!</v>
      </c>
      <c r="EH180" t="e">
        <f>AND('STERLING CATALOG - DRY '!D4009,"AAAAADT9/4k=")</f>
        <v>#VALUE!</v>
      </c>
      <c r="EI180" t="e">
        <f>AND('STERLING CATALOG - DRY '!E4009,"AAAAADT9/4o=")</f>
        <v>#VALUE!</v>
      </c>
      <c r="EJ180" t="e">
        <f>AND('STERLING CATALOG - DRY '!F4009,"AAAAADT9/4s=")</f>
        <v>#VALUE!</v>
      </c>
      <c r="EK180" t="e">
        <f>AND('STERLING CATALOG - DRY '!G4009,"AAAAADT9/4w=")</f>
        <v>#VALUE!</v>
      </c>
      <c r="EL180" t="e">
        <f>AND('STERLING CATALOG - DRY '!H4009,"AAAAADT9/40=")</f>
        <v>#VALUE!</v>
      </c>
      <c r="EM180" t="e">
        <f>AND('STERLING CATALOG - DRY '!I4009,"AAAAADT9/44=")</f>
        <v>#VALUE!</v>
      </c>
      <c r="EN180" t="e">
        <f>AND('STERLING CATALOG - DRY '!J4009,"AAAAADT9/48=")</f>
        <v>#VALUE!</v>
      </c>
      <c r="EO180">
        <f>IF('STERLING CATALOG - DRY '!4010:4010,"AAAAADT9/5A=",0)</f>
        <v>0</v>
      </c>
      <c r="EP180" t="e">
        <f>AND('STERLING CATALOG - DRY '!A4010,"AAAAADT9/5E=")</f>
        <v>#VALUE!</v>
      </c>
      <c r="EQ180" t="e">
        <f>AND('STERLING CATALOG - DRY '!B4010,"AAAAADT9/5I=")</f>
        <v>#VALUE!</v>
      </c>
      <c r="ER180" t="e">
        <f>AND('STERLING CATALOG - DRY '!C4010,"AAAAADT9/5M=")</f>
        <v>#VALUE!</v>
      </c>
      <c r="ES180" t="e">
        <f>AND('STERLING CATALOG - DRY '!D4010,"AAAAADT9/5Q=")</f>
        <v>#VALUE!</v>
      </c>
      <c r="ET180" t="e">
        <f>AND('STERLING CATALOG - DRY '!E4010,"AAAAADT9/5U=")</f>
        <v>#VALUE!</v>
      </c>
      <c r="EU180" t="e">
        <f>AND('STERLING CATALOG - DRY '!F4010,"AAAAADT9/5Y=")</f>
        <v>#VALUE!</v>
      </c>
      <c r="EV180" t="e">
        <f>AND('STERLING CATALOG - DRY '!G4010,"AAAAADT9/5c=")</f>
        <v>#VALUE!</v>
      </c>
      <c r="EW180" t="e">
        <f>AND('STERLING CATALOG - DRY '!H4010,"AAAAADT9/5g=")</f>
        <v>#VALUE!</v>
      </c>
      <c r="EX180" t="e">
        <f>AND('STERLING CATALOG - DRY '!I4010,"AAAAADT9/5k=")</f>
        <v>#VALUE!</v>
      </c>
      <c r="EY180" t="e">
        <f>AND('STERLING CATALOG - DRY '!J4010,"AAAAADT9/5o=")</f>
        <v>#VALUE!</v>
      </c>
      <c r="EZ180">
        <f>IF('STERLING CATALOG - DRY '!4011:4011,"AAAAADT9/5s=",0)</f>
        <v>0</v>
      </c>
      <c r="FA180" t="e">
        <f>AND('STERLING CATALOG - DRY '!A4011,"AAAAADT9/5w=")</f>
        <v>#VALUE!</v>
      </c>
      <c r="FB180" t="e">
        <f>AND('STERLING CATALOG - DRY '!B4011,"AAAAADT9/50=")</f>
        <v>#VALUE!</v>
      </c>
      <c r="FC180" t="e">
        <f>AND('STERLING CATALOG - DRY '!C4011,"AAAAADT9/54=")</f>
        <v>#VALUE!</v>
      </c>
      <c r="FD180" t="e">
        <f>AND('STERLING CATALOG - DRY '!D4011,"AAAAADT9/58=")</f>
        <v>#VALUE!</v>
      </c>
      <c r="FE180" t="e">
        <f>AND('STERLING CATALOG - DRY '!E4011,"AAAAADT9/6A=")</f>
        <v>#VALUE!</v>
      </c>
      <c r="FF180" t="e">
        <f>AND('STERLING CATALOG - DRY '!F4011,"AAAAADT9/6E=")</f>
        <v>#VALUE!</v>
      </c>
      <c r="FG180" t="e">
        <f>AND('STERLING CATALOG - DRY '!G4011,"AAAAADT9/6I=")</f>
        <v>#VALUE!</v>
      </c>
      <c r="FH180" t="e">
        <f>AND('STERLING CATALOG - DRY '!H4011,"AAAAADT9/6M=")</f>
        <v>#VALUE!</v>
      </c>
      <c r="FI180" t="e">
        <f>AND('STERLING CATALOG - DRY '!I4011,"AAAAADT9/6Q=")</f>
        <v>#VALUE!</v>
      </c>
      <c r="FJ180" t="e">
        <f>AND('STERLING CATALOG - DRY '!J4011,"AAAAADT9/6U=")</f>
        <v>#VALUE!</v>
      </c>
      <c r="FK180">
        <f>IF('STERLING CATALOG - DRY '!4012:4012,"AAAAADT9/6Y=",0)</f>
        <v>0</v>
      </c>
      <c r="FL180" t="e">
        <f>AND('STERLING CATALOG - DRY '!A4012,"AAAAADT9/6c=")</f>
        <v>#VALUE!</v>
      </c>
      <c r="FM180" t="e">
        <f>AND('STERLING CATALOG - DRY '!B4012,"AAAAADT9/6g=")</f>
        <v>#VALUE!</v>
      </c>
      <c r="FN180" t="e">
        <f>AND('STERLING CATALOG - DRY '!C4012,"AAAAADT9/6k=")</f>
        <v>#VALUE!</v>
      </c>
      <c r="FO180" t="e">
        <f>AND('STERLING CATALOG - DRY '!D4012,"AAAAADT9/6o=")</f>
        <v>#VALUE!</v>
      </c>
      <c r="FP180" t="e">
        <f>AND('STERLING CATALOG - DRY '!E4012,"AAAAADT9/6s=")</f>
        <v>#VALUE!</v>
      </c>
      <c r="FQ180" t="e">
        <f>AND('STERLING CATALOG - DRY '!F4012,"AAAAADT9/6w=")</f>
        <v>#VALUE!</v>
      </c>
      <c r="FR180" t="e">
        <f>AND('STERLING CATALOG - DRY '!G4012,"AAAAADT9/60=")</f>
        <v>#VALUE!</v>
      </c>
      <c r="FS180" t="e">
        <f>AND('STERLING CATALOG - DRY '!H4012,"AAAAADT9/64=")</f>
        <v>#VALUE!</v>
      </c>
      <c r="FT180" t="e">
        <f>AND('STERLING CATALOG - DRY '!I4012,"AAAAADT9/68=")</f>
        <v>#VALUE!</v>
      </c>
      <c r="FU180" t="e">
        <f>AND('STERLING CATALOG - DRY '!J4012,"AAAAADT9/7A=")</f>
        <v>#VALUE!</v>
      </c>
      <c r="FV180">
        <f>IF('STERLING CATALOG - DRY '!4013:4013,"AAAAADT9/7E=",0)</f>
        <v>0</v>
      </c>
      <c r="FW180" t="e">
        <f>AND('STERLING CATALOG - DRY '!A4013,"AAAAADT9/7I=")</f>
        <v>#VALUE!</v>
      </c>
      <c r="FX180" t="e">
        <f>AND('STERLING CATALOG - DRY '!B4013,"AAAAADT9/7M=")</f>
        <v>#VALUE!</v>
      </c>
      <c r="FY180" t="e">
        <f>AND('STERLING CATALOG - DRY '!C4013,"AAAAADT9/7Q=")</f>
        <v>#VALUE!</v>
      </c>
      <c r="FZ180" t="e">
        <f>AND('STERLING CATALOG - DRY '!D4013,"AAAAADT9/7U=")</f>
        <v>#VALUE!</v>
      </c>
      <c r="GA180" t="e">
        <f>AND('STERLING CATALOG - DRY '!E4013,"AAAAADT9/7Y=")</f>
        <v>#VALUE!</v>
      </c>
      <c r="GB180" t="e">
        <f>AND('STERLING CATALOG - DRY '!F4013,"AAAAADT9/7c=")</f>
        <v>#VALUE!</v>
      </c>
      <c r="GC180" t="e">
        <f>AND('STERLING CATALOG - DRY '!G4013,"AAAAADT9/7g=")</f>
        <v>#VALUE!</v>
      </c>
      <c r="GD180" t="e">
        <f>AND('STERLING CATALOG - DRY '!H4013,"AAAAADT9/7k=")</f>
        <v>#VALUE!</v>
      </c>
      <c r="GE180" t="e">
        <f>AND('STERLING CATALOG - DRY '!I4013,"AAAAADT9/7o=")</f>
        <v>#VALUE!</v>
      </c>
      <c r="GF180" t="e">
        <f>AND('STERLING CATALOG - DRY '!J4013,"AAAAADT9/7s=")</f>
        <v>#VALUE!</v>
      </c>
      <c r="GG180">
        <f>IF('STERLING CATALOG - DRY '!4014:4014,"AAAAADT9/7w=",0)</f>
        <v>0</v>
      </c>
      <c r="GH180" t="e">
        <f>AND('STERLING CATALOG - DRY '!A4014,"AAAAADT9/70=")</f>
        <v>#VALUE!</v>
      </c>
      <c r="GI180" t="e">
        <f>AND('STERLING CATALOG - DRY '!B4014,"AAAAADT9/74=")</f>
        <v>#VALUE!</v>
      </c>
      <c r="GJ180" t="e">
        <f>AND('STERLING CATALOG - DRY '!C4014,"AAAAADT9/78=")</f>
        <v>#VALUE!</v>
      </c>
      <c r="GK180" t="e">
        <f>AND('STERLING CATALOG - DRY '!D4014,"AAAAADT9/8A=")</f>
        <v>#VALUE!</v>
      </c>
      <c r="GL180" t="e">
        <f>AND('STERLING CATALOG - DRY '!E4014,"AAAAADT9/8E=")</f>
        <v>#VALUE!</v>
      </c>
      <c r="GM180" t="e">
        <f>AND('STERLING CATALOG - DRY '!F4014,"AAAAADT9/8I=")</f>
        <v>#VALUE!</v>
      </c>
      <c r="GN180" t="e">
        <f>AND('STERLING CATALOG - DRY '!G4014,"AAAAADT9/8M=")</f>
        <v>#VALUE!</v>
      </c>
      <c r="GO180" t="e">
        <f>AND('STERLING CATALOG - DRY '!H4014,"AAAAADT9/8Q=")</f>
        <v>#VALUE!</v>
      </c>
      <c r="GP180" t="e">
        <f>AND('STERLING CATALOG - DRY '!I4014,"AAAAADT9/8U=")</f>
        <v>#VALUE!</v>
      </c>
      <c r="GQ180" t="e">
        <f>AND('STERLING CATALOG - DRY '!J4014,"AAAAADT9/8Y=")</f>
        <v>#VALUE!</v>
      </c>
      <c r="GR180">
        <f>IF('STERLING CATALOG - DRY '!4015:4015,"AAAAADT9/8c=",0)</f>
        <v>0</v>
      </c>
      <c r="GS180" t="e">
        <f>AND('STERLING CATALOG - DRY '!A4015,"AAAAADT9/8g=")</f>
        <v>#VALUE!</v>
      </c>
      <c r="GT180" t="e">
        <f>AND('STERLING CATALOG - DRY '!B4015,"AAAAADT9/8k=")</f>
        <v>#VALUE!</v>
      </c>
      <c r="GU180" t="e">
        <f>AND('STERLING CATALOG - DRY '!C4015,"AAAAADT9/8o=")</f>
        <v>#VALUE!</v>
      </c>
      <c r="GV180" t="e">
        <f>AND('STERLING CATALOG - DRY '!D4015,"AAAAADT9/8s=")</f>
        <v>#VALUE!</v>
      </c>
      <c r="GW180" t="e">
        <f>AND('STERLING CATALOG - DRY '!E4015,"AAAAADT9/8w=")</f>
        <v>#VALUE!</v>
      </c>
      <c r="GX180" t="e">
        <f>AND('STERLING CATALOG - DRY '!F4015,"AAAAADT9/80=")</f>
        <v>#VALUE!</v>
      </c>
      <c r="GY180" t="e">
        <f>AND('STERLING CATALOG - DRY '!G4015,"AAAAADT9/84=")</f>
        <v>#VALUE!</v>
      </c>
      <c r="GZ180" t="e">
        <f>AND('STERLING CATALOG - DRY '!H4015,"AAAAADT9/88=")</f>
        <v>#VALUE!</v>
      </c>
      <c r="HA180" t="e">
        <f>AND('STERLING CATALOG - DRY '!I4015,"AAAAADT9/9A=")</f>
        <v>#VALUE!</v>
      </c>
      <c r="HB180" t="e">
        <f>AND('STERLING CATALOG - DRY '!J4015,"AAAAADT9/9E=")</f>
        <v>#VALUE!</v>
      </c>
      <c r="HC180">
        <f>IF('STERLING CATALOG - DRY '!4016:4016,"AAAAADT9/9I=",0)</f>
        <v>0</v>
      </c>
      <c r="HD180" t="e">
        <f>AND('STERLING CATALOG - DRY '!A4016,"AAAAADT9/9M=")</f>
        <v>#VALUE!</v>
      </c>
      <c r="HE180" t="e">
        <f>AND('STERLING CATALOG - DRY '!B4016,"AAAAADT9/9Q=")</f>
        <v>#VALUE!</v>
      </c>
      <c r="HF180" t="e">
        <f>AND('STERLING CATALOG - DRY '!C4016,"AAAAADT9/9U=")</f>
        <v>#VALUE!</v>
      </c>
      <c r="HG180" t="e">
        <f>AND('STERLING CATALOG - DRY '!D4016,"AAAAADT9/9Y=")</f>
        <v>#VALUE!</v>
      </c>
      <c r="HH180" t="e">
        <f>AND('STERLING CATALOG - DRY '!E4016,"AAAAADT9/9c=")</f>
        <v>#VALUE!</v>
      </c>
      <c r="HI180" t="e">
        <f>AND('STERLING CATALOG - DRY '!F4016,"AAAAADT9/9g=")</f>
        <v>#VALUE!</v>
      </c>
      <c r="HJ180" t="e">
        <f>AND('STERLING CATALOG - DRY '!G4016,"AAAAADT9/9k=")</f>
        <v>#VALUE!</v>
      </c>
      <c r="HK180" t="e">
        <f>AND('STERLING CATALOG - DRY '!H4016,"AAAAADT9/9o=")</f>
        <v>#VALUE!</v>
      </c>
      <c r="HL180" t="e">
        <f>AND('STERLING CATALOG - DRY '!I4016,"AAAAADT9/9s=")</f>
        <v>#VALUE!</v>
      </c>
      <c r="HM180" t="e">
        <f>AND('STERLING CATALOG - DRY '!J4016,"AAAAADT9/9w=")</f>
        <v>#VALUE!</v>
      </c>
      <c r="HN180">
        <f>IF('STERLING CATALOG - DRY '!4017:4017,"AAAAADT9/90=",0)</f>
        <v>0</v>
      </c>
      <c r="HO180" t="e">
        <f>AND('STERLING CATALOG - DRY '!A4017,"AAAAADT9/94=")</f>
        <v>#VALUE!</v>
      </c>
      <c r="HP180" t="e">
        <f>AND('STERLING CATALOG - DRY '!B4017,"AAAAADT9/98=")</f>
        <v>#VALUE!</v>
      </c>
      <c r="HQ180" t="e">
        <f>AND('STERLING CATALOG - DRY '!C4017,"AAAAADT9/+A=")</f>
        <v>#VALUE!</v>
      </c>
      <c r="HR180" t="e">
        <f>AND('STERLING CATALOG - DRY '!D4017,"AAAAADT9/+E=")</f>
        <v>#VALUE!</v>
      </c>
      <c r="HS180" t="e">
        <f>AND('STERLING CATALOG - DRY '!E4017,"AAAAADT9/+I=")</f>
        <v>#VALUE!</v>
      </c>
      <c r="HT180" t="e">
        <f>AND('STERLING CATALOG - DRY '!F4017,"AAAAADT9/+M=")</f>
        <v>#VALUE!</v>
      </c>
      <c r="HU180" t="e">
        <f>AND('STERLING CATALOG - DRY '!G4017,"AAAAADT9/+Q=")</f>
        <v>#VALUE!</v>
      </c>
      <c r="HV180" t="e">
        <f>AND('STERLING CATALOG - DRY '!H4017,"AAAAADT9/+U=")</f>
        <v>#VALUE!</v>
      </c>
      <c r="HW180" t="e">
        <f>AND('STERLING CATALOG - DRY '!I4017,"AAAAADT9/+Y=")</f>
        <v>#VALUE!</v>
      </c>
      <c r="HX180" t="e">
        <f>AND('STERLING CATALOG - DRY '!J4017,"AAAAADT9/+c=")</f>
        <v>#VALUE!</v>
      </c>
      <c r="HY180">
        <f>IF('STERLING CATALOG - DRY '!4018:4018,"AAAAADT9/+g=",0)</f>
        <v>0</v>
      </c>
      <c r="HZ180" t="e">
        <f>AND('STERLING CATALOG - DRY '!A4018,"AAAAADT9/+k=")</f>
        <v>#VALUE!</v>
      </c>
      <c r="IA180" t="e">
        <f>AND('STERLING CATALOG - DRY '!B4018,"AAAAADT9/+o=")</f>
        <v>#VALUE!</v>
      </c>
      <c r="IB180" t="e">
        <f>AND('STERLING CATALOG - DRY '!C4018,"AAAAADT9/+s=")</f>
        <v>#VALUE!</v>
      </c>
      <c r="IC180" t="e">
        <f>AND('STERLING CATALOG - DRY '!D4018,"AAAAADT9/+w=")</f>
        <v>#VALUE!</v>
      </c>
      <c r="ID180" t="e">
        <f>AND('STERLING CATALOG - DRY '!E4018,"AAAAADT9/+0=")</f>
        <v>#VALUE!</v>
      </c>
      <c r="IE180" t="e">
        <f>AND('STERLING CATALOG - DRY '!F4018,"AAAAADT9/+4=")</f>
        <v>#VALUE!</v>
      </c>
      <c r="IF180" t="e">
        <f>AND('STERLING CATALOG - DRY '!G4018,"AAAAADT9/+8=")</f>
        <v>#VALUE!</v>
      </c>
      <c r="IG180" t="e">
        <f>AND('STERLING CATALOG - DRY '!H4018,"AAAAADT9//A=")</f>
        <v>#VALUE!</v>
      </c>
      <c r="IH180" t="e">
        <f>AND('STERLING CATALOG - DRY '!I4018,"AAAAADT9//E=")</f>
        <v>#VALUE!</v>
      </c>
      <c r="II180" t="e">
        <f>AND('STERLING CATALOG - DRY '!J4018,"AAAAADT9//I=")</f>
        <v>#VALUE!</v>
      </c>
      <c r="IJ180">
        <f>IF('STERLING CATALOG - DRY '!4019:4019,"AAAAADT9//M=",0)</f>
        <v>0</v>
      </c>
      <c r="IK180" t="e">
        <f>AND('STERLING CATALOG - DRY '!A4019,"AAAAADT9//Q=")</f>
        <v>#VALUE!</v>
      </c>
      <c r="IL180" t="e">
        <f>AND('STERLING CATALOG - DRY '!B4019,"AAAAADT9//U=")</f>
        <v>#VALUE!</v>
      </c>
      <c r="IM180" t="e">
        <f>AND('STERLING CATALOG - DRY '!C4019,"AAAAADT9//Y=")</f>
        <v>#VALUE!</v>
      </c>
      <c r="IN180" t="e">
        <f>AND('STERLING CATALOG - DRY '!D4019,"AAAAADT9//c=")</f>
        <v>#VALUE!</v>
      </c>
      <c r="IO180" t="e">
        <f>AND('STERLING CATALOG - DRY '!E4019,"AAAAADT9//g=")</f>
        <v>#VALUE!</v>
      </c>
      <c r="IP180" t="e">
        <f>AND('STERLING CATALOG - DRY '!F4019,"AAAAADT9//k=")</f>
        <v>#VALUE!</v>
      </c>
      <c r="IQ180" t="e">
        <f>AND('STERLING CATALOG - DRY '!G4019,"AAAAADT9//o=")</f>
        <v>#VALUE!</v>
      </c>
      <c r="IR180" t="e">
        <f>AND('STERLING CATALOG - DRY '!H4019,"AAAAADT9//s=")</f>
        <v>#VALUE!</v>
      </c>
      <c r="IS180" t="e">
        <f>AND('STERLING CATALOG - DRY '!I4019,"AAAAADT9//w=")</f>
        <v>#VALUE!</v>
      </c>
      <c r="IT180" t="e">
        <f>AND('STERLING CATALOG - DRY '!J4019,"AAAAADT9//0=")</f>
        <v>#VALUE!</v>
      </c>
      <c r="IU180">
        <f>IF('STERLING CATALOG - DRY '!4020:4020,"AAAAADT9//4=",0)</f>
        <v>0</v>
      </c>
      <c r="IV180" t="e">
        <f>AND('STERLING CATALOG - DRY '!A4020,"AAAAADT9//8=")</f>
        <v>#VALUE!</v>
      </c>
    </row>
    <row r="181" spans="1:256">
      <c r="A181" t="e">
        <f>AND('STERLING CATALOG - DRY '!B4020,"AAAAAD62aQA=")</f>
        <v>#VALUE!</v>
      </c>
      <c r="B181" t="e">
        <f>AND('STERLING CATALOG - DRY '!C4020,"AAAAAD62aQE=")</f>
        <v>#VALUE!</v>
      </c>
      <c r="C181" t="e">
        <f>AND('STERLING CATALOG - DRY '!D4020,"AAAAAD62aQI=")</f>
        <v>#VALUE!</v>
      </c>
      <c r="D181" t="e">
        <f>AND('STERLING CATALOG - DRY '!E4020,"AAAAAD62aQM=")</f>
        <v>#VALUE!</v>
      </c>
      <c r="E181" t="e">
        <f>AND('STERLING CATALOG - DRY '!F4020,"AAAAAD62aQQ=")</f>
        <v>#VALUE!</v>
      </c>
      <c r="F181" t="e">
        <f>AND('STERLING CATALOG - DRY '!G4020,"AAAAAD62aQU=")</f>
        <v>#VALUE!</v>
      </c>
      <c r="G181" t="e">
        <f>AND('STERLING CATALOG - DRY '!H4020,"AAAAAD62aQY=")</f>
        <v>#VALUE!</v>
      </c>
      <c r="H181" t="e">
        <f>AND('STERLING CATALOG - DRY '!I4020,"AAAAAD62aQc=")</f>
        <v>#VALUE!</v>
      </c>
      <c r="I181" t="e">
        <f>AND('STERLING CATALOG - DRY '!J4020,"AAAAAD62aQg=")</f>
        <v>#VALUE!</v>
      </c>
      <c r="J181" t="e">
        <f>IF('STERLING CATALOG - DRY '!4021:4021,"AAAAAD62aQk=",0)</f>
        <v>#VALUE!</v>
      </c>
      <c r="K181" t="e">
        <f>AND('STERLING CATALOG - DRY '!A4021,"AAAAAD62aQo=")</f>
        <v>#VALUE!</v>
      </c>
      <c r="L181" t="e">
        <f>AND('STERLING CATALOG - DRY '!B4021,"AAAAAD62aQs=")</f>
        <v>#VALUE!</v>
      </c>
      <c r="M181" t="e">
        <f>AND('STERLING CATALOG - DRY '!C4021,"AAAAAD62aQw=")</f>
        <v>#VALUE!</v>
      </c>
      <c r="N181" t="e">
        <f>AND('STERLING CATALOG - DRY '!D4021,"AAAAAD62aQ0=")</f>
        <v>#VALUE!</v>
      </c>
      <c r="O181" t="e">
        <f>AND('STERLING CATALOG - DRY '!E4021,"AAAAAD62aQ4=")</f>
        <v>#VALUE!</v>
      </c>
      <c r="P181" t="e">
        <f>AND('STERLING CATALOG - DRY '!F4021,"AAAAAD62aQ8=")</f>
        <v>#VALUE!</v>
      </c>
      <c r="Q181" t="e">
        <f>AND('STERLING CATALOG - DRY '!G4021,"AAAAAD62aRA=")</f>
        <v>#VALUE!</v>
      </c>
      <c r="R181" t="e">
        <f>AND('STERLING CATALOG - DRY '!H4021,"AAAAAD62aRE=")</f>
        <v>#VALUE!</v>
      </c>
      <c r="S181" t="e">
        <f>AND('STERLING CATALOG - DRY '!I4021,"AAAAAD62aRI=")</f>
        <v>#VALUE!</v>
      </c>
      <c r="T181" t="e">
        <f>AND('STERLING CATALOG - DRY '!J4021,"AAAAAD62aRM=")</f>
        <v>#VALUE!</v>
      </c>
      <c r="U181">
        <f>IF('STERLING CATALOG - DRY '!4022:4022,"AAAAAD62aRQ=",0)</f>
        <v>0</v>
      </c>
      <c r="V181" t="e">
        <f>AND('STERLING CATALOG - DRY '!A4022,"AAAAAD62aRU=")</f>
        <v>#VALUE!</v>
      </c>
      <c r="W181" t="e">
        <f>AND('STERLING CATALOG - DRY '!B4022,"AAAAAD62aRY=")</f>
        <v>#VALUE!</v>
      </c>
      <c r="X181" t="e">
        <f>AND('STERLING CATALOG - DRY '!C4022,"AAAAAD62aRc=")</f>
        <v>#VALUE!</v>
      </c>
      <c r="Y181" t="e">
        <f>AND('STERLING CATALOG - DRY '!D4022,"AAAAAD62aRg=")</f>
        <v>#VALUE!</v>
      </c>
      <c r="Z181" t="e">
        <f>AND('STERLING CATALOG - DRY '!E4022,"AAAAAD62aRk=")</f>
        <v>#VALUE!</v>
      </c>
      <c r="AA181" t="e">
        <f>AND('STERLING CATALOG - DRY '!F4022,"AAAAAD62aRo=")</f>
        <v>#VALUE!</v>
      </c>
      <c r="AB181" t="e">
        <f>AND('STERLING CATALOG - DRY '!G4022,"AAAAAD62aRs=")</f>
        <v>#VALUE!</v>
      </c>
      <c r="AC181" t="e">
        <f>AND('STERLING CATALOG - DRY '!H4022,"AAAAAD62aRw=")</f>
        <v>#VALUE!</v>
      </c>
      <c r="AD181" t="e">
        <f>AND('STERLING CATALOG - DRY '!I4022,"AAAAAD62aR0=")</f>
        <v>#VALUE!</v>
      </c>
      <c r="AE181" t="e">
        <f>AND('STERLING CATALOG - DRY '!J4022,"AAAAAD62aR4=")</f>
        <v>#VALUE!</v>
      </c>
      <c r="AF181">
        <f>IF('STERLING CATALOG - DRY '!4023:4023,"AAAAAD62aR8=",0)</f>
        <v>0</v>
      </c>
      <c r="AG181" t="e">
        <f>AND('STERLING CATALOG - DRY '!A4023,"AAAAAD62aSA=")</f>
        <v>#VALUE!</v>
      </c>
      <c r="AH181" t="e">
        <f>AND('STERLING CATALOG - DRY '!B4023,"AAAAAD62aSE=")</f>
        <v>#VALUE!</v>
      </c>
      <c r="AI181" t="e">
        <f>AND('STERLING CATALOG - DRY '!C4023,"AAAAAD62aSI=")</f>
        <v>#VALUE!</v>
      </c>
      <c r="AJ181" t="e">
        <f>AND('STERLING CATALOG - DRY '!D4023,"AAAAAD62aSM=")</f>
        <v>#VALUE!</v>
      </c>
      <c r="AK181" t="e">
        <f>AND('STERLING CATALOG - DRY '!E4023,"AAAAAD62aSQ=")</f>
        <v>#VALUE!</v>
      </c>
      <c r="AL181" t="e">
        <f>AND('STERLING CATALOG - DRY '!F4023,"AAAAAD62aSU=")</f>
        <v>#VALUE!</v>
      </c>
      <c r="AM181" t="e">
        <f>AND('STERLING CATALOG - DRY '!G4023,"AAAAAD62aSY=")</f>
        <v>#VALUE!</v>
      </c>
      <c r="AN181" t="e">
        <f>AND('STERLING CATALOG - DRY '!H4023,"AAAAAD62aSc=")</f>
        <v>#VALUE!</v>
      </c>
      <c r="AO181" t="e">
        <f>AND('STERLING CATALOG - DRY '!I4023,"AAAAAD62aSg=")</f>
        <v>#VALUE!</v>
      </c>
      <c r="AP181" t="e">
        <f>AND('STERLING CATALOG - DRY '!J4023,"AAAAAD62aSk=")</f>
        <v>#VALUE!</v>
      </c>
      <c r="AQ181">
        <f>IF('STERLING CATALOG - DRY '!4024:4024,"AAAAAD62aSo=",0)</f>
        <v>0</v>
      </c>
      <c r="AR181" t="e">
        <f>AND('STERLING CATALOG - DRY '!A4024,"AAAAAD62aSs=")</f>
        <v>#VALUE!</v>
      </c>
      <c r="AS181" t="e">
        <f>AND('STERLING CATALOG - DRY '!B4024,"AAAAAD62aSw=")</f>
        <v>#VALUE!</v>
      </c>
      <c r="AT181" t="e">
        <f>AND('STERLING CATALOG - DRY '!C4024,"AAAAAD62aS0=")</f>
        <v>#VALUE!</v>
      </c>
      <c r="AU181" t="e">
        <f>AND('STERLING CATALOG - DRY '!D4024,"AAAAAD62aS4=")</f>
        <v>#VALUE!</v>
      </c>
      <c r="AV181" t="e">
        <f>AND('STERLING CATALOG - DRY '!E4024,"AAAAAD62aS8=")</f>
        <v>#VALUE!</v>
      </c>
      <c r="AW181" t="e">
        <f>AND('STERLING CATALOG - DRY '!F4024,"AAAAAD62aTA=")</f>
        <v>#VALUE!</v>
      </c>
      <c r="AX181" t="e">
        <f>AND('STERLING CATALOG - DRY '!G4024,"AAAAAD62aTE=")</f>
        <v>#VALUE!</v>
      </c>
      <c r="AY181" t="e">
        <f>AND('STERLING CATALOG - DRY '!H4024,"AAAAAD62aTI=")</f>
        <v>#VALUE!</v>
      </c>
      <c r="AZ181" t="e">
        <f>AND('STERLING CATALOG - DRY '!I4024,"AAAAAD62aTM=")</f>
        <v>#VALUE!</v>
      </c>
      <c r="BA181" t="e">
        <f>AND('STERLING CATALOG - DRY '!J4024,"AAAAAD62aTQ=")</f>
        <v>#VALUE!</v>
      </c>
      <c r="BB181">
        <f>IF('STERLING CATALOG - DRY '!4025:4025,"AAAAAD62aTU=",0)</f>
        <v>0</v>
      </c>
      <c r="BC181" t="e">
        <f>AND('STERLING CATALOG - DRY '!A4025,"AAAAAD62aTY=")</f>
        <v>#VALUE!</v>
      </c>
      <c r="BD181" t="e">
        <f>AND('STERLING CATALOG - DRY '!B4025,"AAAAAD62aTc=")</f>
        <v>#VALUE!</v>
      </c>
      <c r="BE181" t="e">
        <f>AND('STERLING CATALOG - DRY '!C4025,"AAAAAD62aTg=")</f>
        <v>#VALUE!</v>
      </c>
      <c r="BF181" t="e">
        <f>AND('STERLING CATALOG - DRY '!D4025,"AAAAAD62aTk=")</f>
        <v>#VALUE!</v>
      </c>
      <c r="BG181" t="e">
        <f>AND('STERLING CATALOG - DRY '!E4025,"AAAAAD62aTo=")</f>
        <v>#VALUE!</v>
      </c>
      <c r="BH181" t="e">
        <f>AND('STERLING CATALOG - DRY '!F4025,"AAAAAD62aTs=")</f>
        <v>#VALUE!</v>
      </c>
      <c r="BI181" t="e">
        <f>AND('STERLING CATALOG - DRY '!G4025,"AAAAAD62aTw=")</f>
        <v>#VALUE!</v>
      </c>
      <c r="BJ181" t="e">
        <f>AND('STERLING CATALOG - DRY '!H4025,"AAAAAD62aT0=")</f>
        <v>#VALUE!</v>
      </c>
      <c r="BK181" t="e">
        <f>AND('STERLING CATALOG - DRY '!I4025,"AAAAAD62aT4=")</f>
        <v>#VALUE!</v>
      </c>
      <c r="BL181" t="e">
        <f>AND('STERLING CATALOG - DRY '!J4025,"AAAAAD62aT8=")</f>
        <v>#VALUE!</v>
      </c>
      <c r="BM181">
        <f>IF('STERLING CATALOG - DRY '!4026:4026,"AAAAAD62aUA=",0)</f>
        <v>0</v>
      </c>
      <c r="BN181" t="e">
        <f>AND('STERLING CATALOG - DRY '!A4026,"AAAAAD62aUE=")</f>
        <v>#VALUE!</v>
      </c>
      <c r="BO181" t="e">
        <f>AND('STERLING CATALOG - DRY '!B4026,"AAAAAD62aUI=")</f>
        <v>#VALUE!</v>
      </c>
      <c r="BP181" t="e">
        <f>AND('STERLING CATALOG - DRY '!C4026,"AAAAAD62aUM=")</f>
        <v>#VALUE!</v>
      </c>
      <c r="BQ181" t="e">
        <f>AND('STERLING CATALOG - DRY '!D4026,"AAAAAD62aUQ=")</f>
        <v>#VALUE!</v>
      </c>
      <c r="BR181" t="e">
        <f>AND('STERLING CATALOG - DRY '!E4026,"AAAAAD62aUU=")</f>
        <v>#VALUE!</v>
      </c>
      <c r="BS181" t="e">
        <f>AND('STERLING CATALOG - DRY '!F4026,"AAAAAD62aUY=")</f>
        <v>#VALUE!</v>
      </c>
      <c r="BT181" t="e">
        <f>AND('STERLING CATALOG - DRY '!G4026,"AAAAAD62aUc=")</f>
        <v>#VALUE!</v>
      </c>
      <c r="BU181" t="e">
        <f>AND('STERLING CATALOG - DRY '!H4026,"AAAAAD62aUg=")</f>
        <v>#VALUE!</v>
      </c>
      <c r="BV181" t="e">
        <f>AND('STERLING CATALOG - DRY '!I4026,"AAAAAD62aUk=")</f>
        <v>#VALUE!</v>
      </c>
      <c r="BW181" t="e">
        <f>AND('STERLING CATALOG - DRY '!J4026,"AAAAAD62aUo=")</f>
        <v>#VALUE!</v>
      </c>
      <c r="BX181">
        <f>IF('STERLING CATALOG - DRY '!4027:4027,"AAAAAD62aUs=",0)</f>
        <v>0</v>
      </c>
      <c r="BY181" t="e">
        <f>AND('STERLING CATALOG - DRY '!A4027,"AAAAAD62aUw=")</f>
        <v>#VALUE!</v>
      </c>
      <c r="BZ181" t="e">
        <f>AND('STERLING CATALOG - DRY '!B4027,"AAAAAD62aU0=")</f>
        <v>#VALUE!</v>
      </c>
      <c r="CA181" t="e">
        <f>AND('STERLING CATALOG - DRY '!C4027,"AAAAAD62aU4=")</f>
        <v>#VALUE!</v>
      </c>
      <c r="CB181" t="e">
        <f>AND('STERLING CATALOG - DRY '!D4027,"AAAAAD62aU8=")</f>
        <v>#VALUE!</v>
      </c>
      <c r="CC181" t="e">
        <f>AND('STERLING CATALOG - DRY '!E4027,"AAAAAD62aVA=")</f>
        <v>#VALUE!</v>
      </c>
      <c r="CD181" t="e">
        <f>AND('STERLING CATALOG - DRY '!F4027,"AAAAAD62aVE=")</f>
        <v>#VALUE!</v>
      </c>
      <c r="CE181" t="e">
        <f>AND('STERLING CATALOG - DRY '!G4027,"AAAAAD62aVI=")</f>
        <v>#VALUE!</v>
      </c>
      <c r="CF181" t="e">
        <f>AND('STERLING CATALOG - DRY '!H4027,"AAAAAD62aVM=")</f>
        <v>#VALUE!</v>
      </c>
      <c r="CG181" t="e">
        <f>AND('STERLING CATALOG - DRY '!I4027,"AAAAAD62aVQ=")</f>
        <v>#VALUE!</v>
      </c>
      <c r="CH181" t="e">
        <f>AND('STERLING CATALOG - DRY '!J4027,"AAAAAD62aVU=")</f>
        <v>#VALUE!</v>
      </c>
      <c r="CI181">
        <f>IF('STERLING CATALOG - DRY '!4028:4028,"AAAAAD62aVY=",0)</f>
        <v>0</v>
      </c>
      <c r="CJ181" t="e">
        <f>AND('STERLING CATALOG - DRY '!A4028,"AAAAAD62aVc=")</f>
        <v>#VALUE!</v>
      </c>
      <c r="CK181" t="e">
        <f>AND('STERLING CATALOG - DRY '!B4028,"AAAAAD62aVg=")</f>
        <v>#VALUE!</v>
      </c>
      <c r="CL181" t="e">
        <f>AND('STERLING CATALOG - DRY '!C4028,"AAAAAD62aVk=")</f>
        <v>#VALUE!</v>
      </c>
      <c r="CM181" t="e">
        <f>AND('STERLING CATALOG - DRY '!D4028,"AAAAAD62aVo=")</f>
        <v>#VALUE!</v>
      </c>
      <c r="CN181" t="e">
        <f>AND('STERLING CATALOG - DRY '!E4028,"AAAAAD62aVs=")</f>
        <v>#VALUE!</v>
      </c>
      <c r="CO181" t="e">
        <f>AND('STERLING CATALOG - DRY '!F4028,"AAAAAD62aVw=")</f>
        <v>#VALUE!</v>
      </c>
      <c r="CP181" t="e">
        <f>AND('STERLING CATALOG - DRY '!G4028,"AAAAAD62aV0=")</f>
        <v>#VALUE!</v>
      </c>
      <c r="CQ181" t="e">
        <f>AND('STERLING CATALOG - DRY '!H4028,"AAAAAD62aV4=")</f>
        <v>#VALUE!</v>
      </c>
      <c r="CR181" t="e">
        <f>AND('STERLING CATALOG - DRY '!I4028,"AAAAAD62aV8=")</f>
        <v>#VALUE!</v>
      </c>
      <c r="CS181" t="e">
        <f>AND('STERLING CATALOG - DRY '!J4028,"AAAAAD62aWA=")</f>
        <v>#VALUE!</v>
      </c>
      <c r="CT181">
        <f>IF('STERLING CATALOG - DRY '!4029:4029,"AAAAAD62aWE=",0)</f>
        <v>0</v>
      </c>
      <c r="CU181" t="e">
        <f>AND('STERLING CATALOG - DRY '!A4029,"AAAAAD62aWI=")</f>
        <v>#VALUE!</v>
      </c>
      <c r="CV181" t="e">
        <f>AND('STERLING CATALOG - DRY '!B4029,"AAAAAD62aWM=")</f>
        <v>#VALUE!</v>
      </c>
      <c r="CW181" t="e">
        <f>AND('STERLING CATALOG - DRY '!C4029,"AAAAAD62aWQ=")</f>
        <v>#VALUE!</v>
      </c>
      <c r="CX181" t="e">
        <f>AND('STERLING CATALOG - DRY '!D4029,"AAAAAD62aWU=")</f>
        <v>#VALUE!</v>
      </c>
      <c r="CY181" t="e">
        <f>AND('STERLING CATALOG - DRY '!E4029,"AAAAAD62aWY=")</f>
        <v>#VALUE!</v>
      </c>
      <c r="CZ181" t="e">
        <f>AND('STERLING CATALOG - DRY '!F4029,"AAAAAD62aWc=")</f>
        <v>#VALUE!</v>
      </c>
      <c r="DA181" t="e">
        <f>AND('STERLING CATALOG - DRY '!G4029,"AAAAAD62aWg=")</f>
        <v>#VALUE!</v>
      </c>
      <c r="DB181" t="e">
        <f>AND('STERLING CATALOG - DRY '!H4029,"AAAAAD62aWk=")</f>
        <v>#VALUE!</v>
      </c>
      <c r="DC181" t="e">
        <f>AND('STERLING CATALOG - DRY '!I4029,"AAAAAD62aWo=")</f>
        <v>#VALUE!</v>
      </c>
      <c r="DD181" t="e">
        <f>AND('STERLING CATALOG - DRY '!J4029,"AAAAAD62aWs=")</f>
        <v>#VALUE!</v>
      </c>
      <c r="DE181">
        <f>IF('STERLING CATALOG - DRY '!4030:4030,"AAAAAD62aWw=",0)</f>
        <v>0</v>
      </c>
      <c r="DF181" t="e">
        <f>AND('STERLING CATALOG - DRY '!A4030,"AAAAAD62aW0=")</f>
        <v>#VALUE!</v>
      </c>
      <c r="DG181" t="e">
        <f>AND('STERLING CATALOG - DRY '!B4030,"AAAAAD62aW4=")</f>
        <v>#VALUE!</v>
      </c>
      <c r="DH181" t="e">
        <f>AND('STERLING CATALOG - DRY '!C4030,"AAAAAD62aW8=")</f>
        <v>#VALUE!</v>
      </c>
      <c r="DI181" t="e">
        <f>AND('STERLING CATALOG - DRY '!D4030,"AAAAAD62aXA=")</f>
        <v>#VALUE!</v>
      </c>
      <c r="DJ181" t="e">
        <f>AND('STERLING CATALOG - DRY '!E4030,"AAAAAD62aXE=")</f>
        <v>#VALUE!</v>
      </c>
      <c r="DK181" t="e">
        <f>AND('STERLING CATALOG - DRY '!F4030,"AAAAAD62aXI=")</f>
        <v>#VALUE!</v>
      </c>
      <c r="DL181" t="e">
        <f>AND('STERLING CATALOG - DRY '!G4030,"AAAAAD62aXM=")</f>
        <v>#VALUE!</v>
      </c>
      <c r="DM181" t="e">
        <f>AND('STERLING CATALOG - DRY '!H4030,"AAAAAD62aXQ=")</f>
        <v>#VALUE!</v>
      </c>
      <c r="DN181" t="e">
        <f>AND('STERLING CATALOG - DRY '!I4030,"AAAAAD62aXU=")</f>
        <v>#VALUE!</v>
      </c>
      <c r="DO181" t="e">
        <f>AND('STERLING CATALOG - DRY '!J4030,"AAAAAD62aXY=")</f>
        <v>#VALUE!</v>
      </c>
      <c r="DP181">
        <f>IF('STERLING CATALOG - DRY '!4031:4031,"AAAAAD62aXc=",0)</f>
        <v>0</v>
      </c>
      <c r="DQ181" t="e">
        <f>AND('STERLING CATALOG - DRY '!A4031,"AAAAAD62aXg=")</f>
        <v>#VALUE!</v>
      </c>
      <c r="DR181" t="e">
        <f>AND('STERLING CATALOG - DRY '!B4031,"AAAAAD62aXk=")</f>
        <v>#VALUE!</v>
      </c>
      <c r="DS181" t="e">
        <f>AND('STERLING CATALOG - DRY '!C4031,"AAAAAD62aXo=")</f>
        <v>#VALUE!</v>
      </c>
      <c r="DT181" t="e">
        <f>AND('STERLING CATALOG - DRY '!D4031,"AAAAAD62aXs=")</f>
        <v>#VALUE!</v>
      </c>
      <c r="DU181" t="e">
        <f>AND('STERLING CATALOG - DRY '!E4031,"AAAAAD62aXw=")</f>
        <v>#VALUE!</v>
      </c>
      <c r="DV181" t="e">
        <f>AND('STERLING CATALOG - DRY '!F4031,"AAAAAD62aX0=")</f>
        <v>#VALUE!</v>
      </c>
      <c r="DW181" t="e">
        <f>AND('STERLING CATALOG - DRY '!G4031,"AAAAAD62aX4=")</f>
        <v>#VALUE!</v>
      </c>
      <c r="DX181" t="e">
        <f>AND('STERLING CATALOG - DRY '!H4031,"AAAAAD62aX8=")</f>
        <v>#VALUE!</v>
      </c>
      <c r="DY181" t="e">
        <f>AND('STERLING CATALOG - DRY '!I4031,"AAAAAD62aYA=")</f>
        <v>#VALUE!</v>
      </c>
      <c r="DZ181" t="e">
        <f>AND('STERLING CATALOG - DRY '!J4031,"AAAAAD62aYE=")</f>
        <v>#VALUE!</v>
      </c>
      <c r="EA181">
        <f>IF('STERLING CATALOG - DRY '!4032:4032,"AAAAAD62aYI=",0)</f>
        <v>0</v>
      </c>
      <c r="EB181" t="e">
        <f>AND('STERLING CATALOG - DRY '!A4032,"AAAAAD62aYM=")</f>
        <v>#VALUE!</v>
      </c>
      <c r="EC181" t="e">
        <f>AND('STERLING CATALOG - DRY '!B4032,"AAAAAD62aYQ=")</f>
        <v>#VALUE!</v>
      </c>
      <c r="ED181" t="e">
        <f>AND('STERLING CATALOG - DRY '!C4032,"AAAAAD62aYU=")</f>
        <v>#VALUE!</v>
      </c>
      <c r="EE181" t="e">
        <f>AND('STERLING CATALOG - DRY '!D4032,"AAAAAD62aYY=")</f>
        <v>#VALUE!</v>
      </c>
      <c r="EF181" t="e">
        <f>AND('STERLING CATALOG - DRY '!E4032,"AAAAAD62aYc=")</f>
        <v>#VALUE!</v>
      </c>
      <c r="EG181" t="e">
        <f>AND('STERLING CATALOG - DRY '!F4032,"AAAAAD62aYg=")</f>
        <v>#VALUE!</v>
      </c>
      <c r="EH181" t="e">
        <f>AND('STERLING CATALOG - DRY '!G4032,"AAAAAD62aYk=")</f>
        <v>#VALUE!</v>
      </c>
      <c r="EI181" t="e">
        <f>AND('STERLING CATALOG - DRY '!H4032,"AAAAAD62aYo=")</f>
        <v>#VALUE!</v>
      </c>
      <c r="EJ181" t="e">
        <f>AND('STERLING CATALOG - DRY '!I4032,"AAAAAD62aYs=")</f>
        <v>#VALUE!</v>
      </c>
      <c r="EK181" t="e">
        <f>AND('STERLING CATALOG - DRY '!J4032,"AAAAAD62aYw=")</f>
        <v>#VALUE!</v>
      </c>
      <c r="EL181">
        <f>IF('STERLING CATALOG - DRY '!4033:4033,"AAAAAD62aY0=",0)</f>
        <v>0</v>
      </c>
      <c r="EM181" t="e">
        <f>AND('STERLING CATALOG - DRY '!A4033,"AAAAAD62aY4=")</f>
        <v>#VALUE!</v>
      </c>
      <c r="EN181" t="e">
        <f>AND('STERLING CATALOG - DRY '!B4033,"AAAAAD62aY8=")</f>
        <v>#VALUE!</v>
      </c>
      <c r="EO181" t="e">
        <f>AND('STERLING CATALOG - DRY '!C4033,"AAAAAD62aZA=")</f>
        <v>#VALUE!</v>
      </c>
      <c r="EP181" t="e">
        <f>AND('STERLING CATALOG - DRY '!D4033,"AAAAAD62aZE=")</f>
        <v>#VALUE!</v>
      </c>
      <c r="EQ181" t="e">
        <f>AND('STERLING CATALOG - DRY '!E4033,"AAAAAD62aZI=")</f>
        <v>#VALUE!</v>
      </c>
      <c r="ER181" t="e">
        <f>AND('STERLING CATALOG - DRY '!F4033,"AAAAAD62aZM=")</f>
        <v>#VALUE!</v>
      </c>
      <c r="ES181" t="e">
        <f>AND('STERLING CATALOG - DRY '!G4033,"AAAAAD62aZQ=")</f>
        <v>#VALUE!</v>
      </c>
      <c r="ET181" t="e">
        <f>AND('STERLING CATALOG - DRY '!H4033,"AAAAAD62aZU=")</f>
        <v>#VALUE!</v>
      </c>
      <c r="EU181" t="e">
        <f>AND('STERLING CATALOG - DRY '!I4033,"AAAAAD62aZY=")</f>
        <v>#VALUE!</v>
      </c>
      <c r="EV181" t="e">
        <f>AND('STERLING CATALOG - DRY '!J4033,"AAAAAD62aZc=")</f>
        <v>#VALUE!</v>
      </c>
      <c r="EW181">
        <f>IF('STERLING CATALOG - DRY '!4034:4034,"AAAAAD62aZg=",0)</f>
        <v>0</v>
      </c>
      <c r="EX181" t="e">
        <f>AND('STERLING CATALOG - DRY '!A4034,"AAAAAD62aZk=")</f>
        <v>#VALUE!</v>
      </c>
      <c r="EY181" t="e">
        <f>AND('STERLING CATALOG - DRY '!B4034,"AAAAAD62aZo=")</f>
        <v>#VALUE!</v>
      </c>
      <c r="EZ181" t="e">
        <f>AND('STERLING CATALOG - DRY '!C4034,"AAAAAD62aZs=")</f>
        <v>#VALUE!</v>
      </c>
      <c r="FA181" t="e">
        <f>AND('STERLING CATALOG - DRY '!D4034,"AAAAAD62aZw=")</f>
        <v>#VALUE!</v>
      </c>
      <c r="FB181" t="e">
        <f>AND('STERLING CATALOG - DRY '!E4034,"AAAAAD62aZ0=")</f>
        <v>#VALUE!</v>
      </c>
      <c r="FC181" t="e">
        <f>AND('STERLING CATALOG - DRY '!F4034,"AAAAAD62aZ4=")</f>
        <v>#VALUE!</v>
      </c>
      <c r="FD181" t="e">
        <f>AND('STERLING CATALOG - DRY '!G4034,"AAAAAD62aZ8=")</f>
        <v>#VALUE!</v>
      </c>
      <c r="FE181" t="e">
        <f>AND('STERLING CATALOG - DRY '!H4034,"AAAAAD62aaA=")</f>
        <v>#VALUE!</v>
      </c>
      <c r="FF181" t="e">
        <f>AND('STERLING CATALOG - DRY '!I4034,"AAAAAD62aaE=")</f>
        <v>#VALUE!</v>
      </c>
      <c r="FG181" t="e">
        <f>AND('STERLING CATALOG - DRY '!J4034,"AAAAAD62aaI=")</f>
        <v>#VALUE!</v>
      </c>
      <c r="FH181">
        <f>IF('STERLING CATALOG - DRY '!4035:4035,"AAAAAD62aaM=",0)</f>
        <v>0</v>
      </c>
      <c r="FI181" t="e">
        <f>AND('STERLING CATALOG - DRY '!A4035,"AAAAAD62aaQ=")</f>
        <v>#VALUE!</v>
      </c>
      <c r="FJ181" t="e">
        <f>AND('STERLING CATALOG - DRY '!B4035,"AAAAAD62aaU=")</f>
        <v>#VALUE!</v>
      </c>
      <c r="FK181" t="e">
        <f>AND('STERLING CATALOG - DRY '!C4035,"AAAAAD62aaY=")</f>
        <v>#VALUE!</v>
      </c>
      <c r="FL181" t="e">
        <f>AND('STERLING CATALOG - DRY '!D4035,"AAAAAD62aac=")</f>
        <v>#VALUE!</v>
      </c>
      <c r="FM181" t="e">
        <f>AND('STERLING CATALOG - DRY '!E4035,"AAAAAD62aag=")</f>
        <v>#VALUE!</v>
      </c>
      <c r="FN181" t="e">
        <f>AND('STERLING CATALOG - DRY '!F4035,"AAAAAD62aak=")</f>
        <v>#VALUE!</v>
      </c>
      <c r="FO181" t="e">
        <f>AND('STERLING CATALOG - DRY '!G4035,"AAAAAD62aao=")</f>
        <v>#VALUE!</v>
      </c>
      <c r="FP181" t="e">
        <f>AND('STERLING CATALOG - DRY '!H4035,"AAAAAD62aas=")</f>
        <v>#VALUE!</v>
      </c>
      <c r="FQ181" t="e">
        <f>AND('STERLING CATALOG - DRY '!I4035,"AAAAAD62aaw=")</f>
        <v>#VALUE!</v>
      </c>
      <c r="FR181" t="e">
        <f>AND('STERLING CATALOG - DRY '!J4035,"AAAAAD62aa0=")</f>
        <v>#VALUE!</v>
      </c>
      <c r="FS181">
        <f>IF('STERLING CATALOG - DRY '!4036:4036,"AAAAAD62aa4=",0)</f>
        <v>0</v>
      </c>
      <c r="FT181" t="e">
        <f>AND('STERLING CATALOG - DRY '!A4036,"AAAAAD62aa8=")</f>
        <v>#VALUE!</v>
      </c>
      <c r="FU181" t="e">
        <f>AND('STERLING CATALOG - DRY '!B4036,"AAAAAD62abA=")</f>
        <v>#VALUE!</v>
      </c>
      <c r="FV181" t="e">
        <f>AND('STERLING CATALOG - DRY '!C4036,"AAAAAD62abE=")</f>
        <v>#VALUE!</v>
      </c>
      <c r="FW181" t="e">
        <f>AND('STERLING CATALOG - DRY '!D4036,"AAAAAD62abI=")</f>
        <v>#VALUE!</v>
      </c>
      <c r="FX181" t="e">
        <f>AND('STERLING CATALOG - DRY '!E4036,"AAAAAD62abM=")</f>
        <v>#VALUE!</v>
      </c>
      <c r="FY181" t="e">
        <f>AND('STERLING CATALOG - DRY '!F4036,"AAAAAD62abQ=")</f>
        <v>#VALUE!</v>
      </c>
      <c r="FZ181" t="e">
        <f>AND('STERLING CATALOG - DRY '!G4036,"AAAAAD62abU=")</f>
        <v>#VALUE!</v>
      </c>
      <c r="GA181" t="e">
        <f>AND('STERLING CATALOG - DRY '!H4036,"AAAAAD62abY=")</f>
        <v>#VALUE!</v>
      </c>
      <c r="GB181" t="e">
        <f>AND('STERLING CATALOG - DRY '!I4036,"AAAAAD62abc=")</f>
        <v>#VALUE!</v>
      </c>
      <c r="GC181" t="e">
        <f>AND('STERLING CATALOG - DRY '!J4036,"AAAAAD62abg=")</f>
        <v>#VALUE!</v>
      </c>
      <c r="GD181">
        <f>IF('STERLING CATALOG - DRY '!4037:4037,"AAAAAD62abk=",0)</f>
        <v>0</v>
      </c>
      <c r="GE181" t="e">
        <f>AND('STERLING CATALOG - DRY '!A4037,"AAAAAD62abo=")</f>
        <v>#VALUE!</v>
      </c>
      <c r="GF181" t="e">
        <f>AND('STERLING CATALOG - DRY '!B4037,"AAAAAD62abs=")</f>
        <v>#VALUE!</v>
      </c>
      <c r="GG181" t="e">
        <f>AND('STERLING CATALOG - DRY '!C4037,"AAAAAD62abw=")</f>
        <v>#VALUE!</v>
      </c>
      <c r="GH181" t="e">
        <f>AND('STERLING CATALOG - DRY '!D4037,"AAAAAD62ab0=")</f>
        <v>#VALUE!</v>
      </c>
      <c r="GI181" t="e">
        <f>AND('STERLING CATALOG - DRY '!E4037,"AAAAAD62ab4=")</f>
        <v>#VALUE!</v>
      </c>
      <c r="GJ181" t="e">
        <f>AND('STERLING CATALOG - DRY '!F4037,"AAAAAD62ab8=")</f>
        <v>#VALUE!</v>
      </c>
      <c r="GK181" t="e">
        <f>AND('STERLING CATALOG - DRY '!G4037,"AAAAAD62acA=")</f>
        <v>#VALUE!</v>
      </c>
      <c r="GL181" t="e">
        <f>AND('STERLING CATALOG - DRY '!H4037,"AAAAAD62acE=")</f>
        <v>#VALUE!</v>
      </c>
      <c r="GM181" t="e">
        <f>AND('STERLING CATALOG - DRY '!I4037,"AAAAAD62acI=")</f>
        <v>#VALUE!</v>
      </c>
      <c r="GN181" t="e">
        <f>AND('STERLING CATALOG - DRY '!J4037,"AAAAAD62acM=")</f>
        <v>#VALUE!</v>
      </c>
      <c r="GO181">
        <f>IF('STERLING CATALOG - DRY '!4038:4038,"AAAAAD62acQ=",0)</f>
        <v>0</v>
      </c>
      <c r="GP181" t="e">
        <f>AND('STERLING CATALOG - DRY '!A4038,"AAAAAD62acU=")</f>
        <v>#VALUE!</v>
      </c>
      <c r="GQ181" t="e">
        <f>AND('STERLING CATALOG - DRY '!B4038,"AAAAAD62acY=")</f>
        <v>#VALUE!</v>
      </c>
      <c r="GR181" t="e">
        <f>AND('STERLING CATALOG - DRY '!C4038,"AAAAAD62acc=")</f>
        <v>#VALUE!</v>
      </c>
      <c r="GS181" t="e">
        <f>AND('STERLING CATALOG - DRY '!D4038,"AAAAAD62acg=")</f>
        <v>#VALUE!</v>
      </c>
      <c r="GT181" t="e">
        <f>AND('STERLING CATALOG - DRY '!E4038,"AAAAAD62ack=")</f>
        <v>#VALUE!</v>
      </c>
      <c r="GU181" t="e">
        <f>AND('STERLING CATALOG - DRY '!F4038,"AAAAAD62aco=")</f>
        <v>#VALUE!</v>
      </c>
      <c r="GV181" t="e">
        <f>AND('STERLING CATALOG - DRY '!G4038,"AAAAAD62acs=")</f>
        <v>#VALUE!</v>
      </c>
      <c r="GW181" t="e">
        <f>AND('STERLING CATALOG - DRY '!H4038,"AAAAAD62acw=")</f>
        <v>#VALUE!</v>
      </c>
      <c r="GX181" t="e">
        <f>AND('STERLING CATALOG - DRY '!I4038,"AAAAAD62ac0=")</f>
        <v>#VALUE!</v>
      </c>
      <c r="GY181" t="e">
        <f>AND('STERLING CATALOG - DRY '!J4038,"AAAAAD62ac4=")</f>
        <v>#VALUE!</v>
      </c>
      <c r="GZ181">
        <f>IF('STERLING CATALOG - DRY '!4039:4039,"AAAAAD62ac8=",0)</f>
        <v>0</v>
      </c>
      <c r="HA181" t="e">
        <f>AND('STERLING CATALOG - DRY '!A4039,"AAAAAD62adA=")</f>
        <v>#VALUE!</v>
      </c>
      <c r="HB181" t="e">
        <f>AND('STERLING CATALOG - DRY '!B4039,"AAAAAD62adE=")</f>
        <v>#VALUE!</v>
      </c>
      <c r="HC181" t="e">
        <f>AND('STERLING CATALOG - DRY '!C4039,"AAAAAD62adI=")</f>
        <v>#VALUE!</v>
      </c>
      <c r="HD181" t="e">
        <f>AND('STERLING CATALOG - DRY '!D4039,"AAAAAD62adM=")</f>
        <v>#VALUE!</v>
      </c>
      <c r="HE181" t="e">
        <f>AND('STERLING CATALOG - DRY '!E4039,"AAAAAD62adQ=")</f>
        <v>#VALUE!</v>
      </c>
      <c r="HF181" t="e">
        <f>AND('STERLING CATALOG - DRY '!F4039,"AAAAAD62adU=")</f>
        <v>#VALUE!</v>
      </c>
      <c r="HG181" t="e">
        <f>AND('STERLING CATALOG - DRY '!G4039,"AAAAAD62adY=")</f>
        <v>#VALUE!</v>
      </c>
      <c r="HH181" t="e">
        <f>AND('STERLING CATALOG - DRY '!H4039,"AAAAAD62adc=")</f>
        <v>#VALUE!</v>
      </c>
      <c r="HI181" t="e">
        <f>AND('STERLING CATALOG - DRY '!I4039,"AAAAAD62adg=")</f>
        <v>#VALUE!</v>
      </c>
      <c r="HJ181" t="e">
        <f>AND('STERLING CATALOG - DRY '!J4039,"AAAAAD62adk=")</f>
        <v>#VALUE!</v>
      </c>
      <c r="HK181">
        <f>IF('STERLING CATALOG - DRY '!4040:4040,"AAAAAD62ado=",0)</f>
        <v>0</v>
      </c>
      <c r="HL181" t="e">
        <f>AND('STERLING CATALOG - DRY '!A4040,"AAAAAD62ads=")</f>
        <v>#VALUE!</v>
      </c>
      <c r="HM181" t="e">
        <f>AND('STERLING CATALOG - DRY '!B4040,"AAAAAD62adw=")</f>
        <v>#VALUE!</v>
      </c>
      <c r="HN181" t="e">
        <f>AND('STERLING CATALOG - DRY '!C4040,"AAAAAD62ad0=")</f>
        <v>#VALUE!</v>
      </c>
      <c r="HO181" t="e">
        <f>AND('STERLING CATALOG - DRY '!D4040,"AAAAAD62ad4=")</f>
        <v>#VALUE!</v>
      </c>
      <c r="HP181" t="e">
        <f>AND('STERLING CATALOG - DRY '!E4040,"AAAAAD62ad8=")</f>
        <v>#VALUE!</v>
      </c>
      <c r="HQ181" t="e">
        <f>AND('STERLING CATALOG - DRY '!F4040,"AAAAAD62aeA=")</f>
        <v>#VALUE!</v>
      </c>
      <c r="HR181" t="e">
        <f>AND('STERLING CATALOG - DRY '!G4040,"AAAAAD62aeE=")</f>
        <v>#VALUE!</v>
      </c>
      <c r="HS181" t="e">
        <f>AND('STERLING CATALOG - DRY '!H4040,"AAAAAD62aeI=")</f>
        <v>#VALUE!</v>
      </c>
      <c r="HT181" t="e">
        <f>AND('STERLING CATALOG - DRY '!I4040,"AAAAAD62aeM=")</f>
        <v>#VALUE!</v>
      </c>
      <c r="HU181" t="e">
        <f>AND('STERLING CATALOG - DRY '!J4040,"AAAAAD62aeQ=")</f>
        <v>#VALUE!</v>
      </c>
      <c r="HV181">
        <f>IF('STERLING CATALOG - DRY '!4041:4041,"AAAAAD62aeU=",0)</f>
        <v>0</v>
      </c>
      <c r="HW181" t="e">
        <f>AND('STERLING CATALOG - DRY '!A4041,"AAAAAD62aeY=")</f>
        <v>#VALUE!</v>
      </c>
      <c r="HX181" t="e">
        <f>AND('STERLING CATALOG - DRY '!B4041,"AAAAAD62aec=")</f>
        <v>#VALUE!</v>
      </c>
      <c r="HY181" t="e">
        <f>AND('STERLING CATALOG - DRY '!C4041,"AAAAAD62aeg=")</f>
        <v>#VALUE!</v>
      </c>
      <c r="HZ181" t="e">
        <f>AND('STERLING CATALOG - DRY '!D4041,"AAAAAD62aek=")</f>
        <v>#VALUE!</v>
      </c>
      <c r="IA181" t="e">
        <f>AND('STERLING CATALOG - DRY '!E4041,"AAAAAD62aeo=")</f>
        <v>#VALUE!</v>
      </c>
      <c r="IB181" t="e">
        <f>AND('STERLING CATALOG - DRY '!F4041,"AAAAAD62aes=")</f>
        <v>#VALUE!</v>
      </c>
      <c r="IC181" t="e">
        <f>AND('STERLING CATALOG - DRY '!G4041,"AAAAAD62aew=")</f>
        <v>#VALUE!</v>
      </c>
      <c r="ID181" t="e">
        <f>AND('STERLING CATALOG - DRY '!H4041,"AAAAAD62ae0=")</f>
        <v>#VALUE!</v>
      </c>
      <c r="IE181" t="e">
        <f>AND('STERLING CATALOG - DRY '!I4041,"AAAAAD62ae4=")</f>
        <v>#VALUE!</v>
      </c>
      <c r="IF181" t="e">
        <f>AND('STERLING CATALOG - DRY '!J4041,"AAAAAD62ae8=")</f>
        <v>#VALUE!</v>
      </c>
      <c r="IG181">
        <f>IF('STERLING CATALOG - DRY '!4042:4042,"AAAAAD62afA=",0)</f>
        <v>0</v>
      </c>
      <c r="IH181" t="e">
        <f>AND('STERLING CATALOG - DRY '!A4042,"AAAAAD62afE=")</f>
        <v>#VALUE!</v>
      </c>
      <c r="II181" t="e">
        <f>AND('STERLING CATALOG - DRY '!B4042,"AAAAAD62afI=")</f>
        <v>#VALUE!</v>
      </c>
      <c r="IJ181" t="e">
        <f>AND('STERLING CATALOG - DRY '!C4042,"AAAAAD62afM=")</f>
        <v>#VALUE!</v>
      </c>
      <c r="IK181" t="e">
        <f>AND('STERLING CATALOG - DRY '!D4042,"AAAAAD62afQ=")</f>
        <v>#VALUE!</v>
      </c>
      <c r="IL181" t="e">
        <f>AND('STERLING CATALOG - DRY '!E4042,"AAAAAD62afU=")</f>
        <v>#VALUE!</v>
      </c>
      <c r="IM181" t="e">
        <f>AND('STERLING CATALOG - DRY '!F4042,"AAAAAD62afY=")</f>
        <v>#VALUE!</v>
      </c>
      <c r="IN181" t="e">
        <f>AND('STERLING CATALOG - DRY '!G4042,"AAAAAD62afc=")</f>
        <v>#VALUE!</v>
      </c>
      <c r="IO181" t="e">
        <f>AND('STERLING CATALOG - DRY '!H4042,"AAAAAD62afg=")</f>
        <v>#VALUE!</v>
      </c>
      <c r="IP181" t="e">
        <f>AND('STERLING CATALOG - DRY '!I4042,"AAAAAD62afk=")</f>
        <v>#VALUE!</v>
      </c>
      <c r="IQ181" t="e">
        <f>AND('STERLING CATALOG - DRY '!J4042,"AAAAAD62afo=")</f>
        <v>#VALUE!</v>
      </c>
      <c r="IR181">
        <f>IF('STERLING CATALOG - DRY '!4043:4043,"AAAAAD62afs=",0)</f>
        <v>0</v>
      </c>
      <c r="IS181" t="e">
        <f>AND('STERLING CATALOG - DRY '!A4043,"AAAAAD62afw=")</f>
        <v>#VALUE!</v>
      </c>
      <c r="IT181" t="e">
        <f>AND('STERLING CATALOG - DRY '!B4043,"AAAAAD62af0=")</f>
        <v>#VALUE!</v>
      </c>
      <c r="IU181" t="e">
        <f>AND('STERLING CATALOG - DRY '!C4043,"AAAAAD62af4=")</f>
        <v>#VALUE!</v>
      </c>
      <c r="IV181" t="e">
        <f>AND('STERLING CATALOG - DRY '!D4043,"AAAAAD62af8=")</f>
        <v>#VALUE!</v>
      </c>
    </row>
    <row r="182" spans="1:256">
      <c r="A182" t="e">
        <f>AND('STERLING CATALOG - DRY '!E4043,"AAAAAFn7GwA=")</f>
        <v>#VALUE!</v>
      </c>
      <c r="B182" t="e">
        <f>AND('STERLING CATALOG - DRY '!F4043,"AAAAAFn7GwE=")</f>
        <v>#VALUE!</v>
      </c>
      <c r="C182" t="e">
        <f>AND('STERLING CATALOG - DRY '!G4043,"AAAAAFn7GwI=")</f>
        <v>#VALUE!</v>
      </c>
      <c r="D182" t="e">
        <f>AND('STERLING CATALOG - DRY '!H4043,"AAAAAFn7GwM=")</f>
        <v>#VALUE!</v>
      </c>
      <c r="E182" t="e">
        <f>AND('STERLING CATALOG - DRY '!I4043,"AAAAAFn7GwQ=")</f>
        <v>#VALUE!</v>
      </c>
      <c r="F182" t="e">
        <f>AND('STERLING CATALOG - DRY '!J4043,"AAAAAFn7GwU=")</f>
        <v>#VALUE!</v>
      </c>
      <c r="G182" t="str">
        <f>IF('STERLING CATALOG - DRY '!4044:4044,"AAAAAFn7GwY=",0)</f>
        <v>AAAAAFn7GwY=</v>
      </c>
      <c r="H182" t="e">
        <f>AND('STERLING CATALOG - DRY '!A4044,"AAAAAFn7Gwc=")</f>
        <v>#VALUE!</v>
      </c>
      <c r="I182" t="e">
        <f>AND('STERLING CATALOG - DRY '!B4044,"AAAAAFn7Gwg=")</f>
        <v>#VALUE!</v>
      </c>
      <c r="J182" t="e">
        <f>AND('STERLING CATALOG - DRY '!C4044,"AAAAAFn7Gwk=")</f>
        <v>#VALUE!</v>
      </c>
      <c r="K182" t="e">
        <f>AND('STERLING CATALOG - DRY '!D4044,"AAAAAFn7Gwo=")</f>
        <v>#VALUE!</v>
      </c>
      <c r="L182" t="e">
        <f>AND('STERLING CATALOG - DRY '!E4044,"AAAAAFn7Gws=")</f>
        <v>#VALUE!</v>
      </c>
      <c r="M182" t="e">
        <f>AND('STERLING CATALOG - DRY '!F4044,"AAAAAFn7Gww=")</f>
        <v>#VALUE!</v>
      </c>
      <c r="N182" t="e">
        <f>AND('STERLING CATALOG - DRY '!G4044,"AAAAAFn7Gw0=")</f>
        <v>#VALUE!</v>
      </c>
      <c r="O182" t="e">
        <f>AND('STERLING CATALOG - DRY '!H4044,"AAAAAFn7Gw4=")</f>
        <v>#VALUE!</v>
      </c>
      <c r="P182" t="e">
        <f>AND('STERLING CATALOG - DRY '!I4044,"AAAAAFn7Gw8=")</f>
        <v>#VALUE!</v>
      </c>
      <c r="Q182" t="e">
        <f>AND('STERLING CATALOG - DRY '!J4044,"AAAAAFn7GxA=")</f>
        <v>#VALUE!</v>
      </c>
      <c r="R182">
        <f>IF('STERLING CATALOG - DRY '!4045:4045,"AAAAAFn7GxE=",0)</f>
        <v>0</v>
      </c>
      <c r="S182" t="e">
        <f>AND('STERLING CATALOG - DRY '!A4045,"AAAAAFn7GxI=")</f>
        <v>#VALUE!</v>
      </c>
      <c r="T182" t="e">
        <f>AND('STERLING CATALOG - DRY '!B4045,"AAAAAFn7GxM=")</f>
        <v>#VALUE!</v>
      </c>
      <c r="U182" t="e">
        <f>AND('STERLING CATALOG - DRY '!C4045,"AAAAAFn7GxQ=")</f>
        <v>#VALUE!</v>
      </c>
      <c r="V182" t="e">
        <f>AND('STERLING CATALOG - DRY '!D4045,"AAAAAFn7GxU=")</f>
        <v>#VALUE!</v>
      </c>
      <c r="W182" t="e">
        <f>AND('STERLING CATALOG - DRY '!E4045,"AAAAAFn7GxY=")</f>
        <v>#VALUE!</v>
      </c>
      <c r="X182" t="e">
        <f>AND('STERLING CATALOG - DRY '!F4045,"AAAAAFn7Gxc=")</f>
        <v>#VALUE!</v>
      </c>
      <c r="Y182" t="e">
        <f>AND('STERLING CATALOG - DRY '!G4045,"AAAAAFn7Gxg=")</f>
        <v>#VALUE!</v>
      </c>
      <c r="Z182" t="e">
        <f>AND('STERLING CATALOG - DRY '!H4045,"AAAAAFn7Gxk=")</f>
        <v>#VALUE!</v>
      </c>
      <c r="AA182" t="e">
        <f>AND('STERLING CATALOG - DRY '!I4045,"AAAAAFn7Gxo=")</f>
        <v>#VALUE!</v>
      </c>
      <c r="AB182" t="e">
        <f>AND('STERLING CATALOG - DRY '!J4045,"AAAAAFn7Gxs=")</f>
        <v>#VALUE!</v>
      </c>
      <c r="AC182">
        <f>IF('STERLING CATALOG - DRY '!4046:4046,"AAAAAFn7Gxw=",0)</f>
        <v>0</v>
      </c>
      <c r="AD182" t="e">
        <f>AND('STERLING CATALOG - DRY '!A4046,"AAAAAFn7Gx0=")</f>
        <v>#VALUE!</v>
      </c>
      <c r="AE182" t="e">
        <f>AND('STERLING CATALOG - DRY '!B4046,"AAAAAFn7Gx4=")</f>
        <v>#VALUE!</v>
      </c>
      <c r="AF182" t="e">
        <f>AND('STERLING CATALOG - DRY '!C4046,"AAAAAFn7Gx8=")</f>
        <v>#VALUE!</v>
      </c>
      <c r="AG182" t="e">
        <f>AND('STERLING CATALOG - DRY '!D4046,"AAAAAFn7GyA=")</f>
        <v>#VALUE!</v>
      </c>
      <c r="AH182" t="e">
        <f>AND('STERLING CATALOG - DRY '!E4046,"AAAAAFn7GyE=")</f>
        <v>#VALUE!</v>
      </c>
      <c r="AI182" t="e">
        <f>AND('STERLING CATALOG - DRY '!F4046,"AAAAAFn7GyI=")</f>
        <v>#VALUE!</v>
      </c>
      <c r="AJ182" t="e">
        <f>AND('STERLING CATALOG - DRY '!G4046,"AAAAAFn7GyM=")</f>
        <v>#VALUE!</v>
      </c>
      <c r="AK182" t="e">
        <f>AND('STERLING CATALOG - DRY '!H4046,"AAAAAFn7GyQ=")</f>
        <v>#VALUE!</v>
      </c>
      <c r="AL182" t="e">
        <f>AND('STERLING CATALOG - DRY '!I4046,"AAAAAFn7GyU=")</f>
        <v>#VALUE!</v>
      </c>
      <c r="AM182" t="e">
        <f>AND('STERLING CATALOG - DRY '!J4046,"AAAAAFn7GyY=")</f>
        <v>#VALUE!</v>
      </c>
      <c r="AN182">
        <f>IF('STERLING CATALOG - DRY '!4047:4047,"AAAAAFn7Gyc=",0)</f>
        <v>0</v>
      </c>
      <c r="AO182" t="e">
        <f>AND('STERLING CATALOG - DRY '!A4047,"AAAAAFn7Gyg=")</f>
        <v>#VALUE!</v>
      </c>
      <c r="AP182" t="e">
        <f>AND('STERLING CATALOG - DRY '!B4047,"AAAAAFn7Gyk=")</f>
        <v>#VALUE!</v>
      </c>
      <c r="AQ182" t="e">
        <f>AND('STERLING CATALOG - DRY '!C4047,"AAAAAFn7Gyo=")</f>
        <v>#VALUE!</v>
      </c>
      <c r="AR182" t="e">
        <f>AND('STERLING CATALOG - DRY '!D4047,"AAAAAFn7Gys=")</f>
        <v>#VALUE!</v>
      </c>
      <c r="AS182" t="e">
        <f>AND('STERLING CATALOG - DRY '!E4047,"AAAAAFn7Gyw=")</f>
        <v>#VALUE!</v>
      </c>
      <c r="AT182" t="e">
        <f>AND('STERLING CATALOG - DRY '!F4047,"AAAAAFn7Gy0=")</f>
        <v>#VALUE!</v>
      </c>
      <c r="AU182" t="e">
        <f>AND('STERLING CATALOG - DRY '!G4047,"AAAAAFn7Gy4=")</f>
        <v>#VALUE!</v>
      </c>
      <c r="AV182" t="e">
        <f>AND('STERLING CATALOG - DRY '!H4047,"AAAAAFn7Gy8=")</f>
        <v>#VALUE!</v>
      </c>
      <c r="AW182" t="e">
        <f>AND('STERLING CATALOG - DRY '!I4047,"AAAAAFn7GzA=")</f>
        <v>#VALUE!</v>
      </c>
      <c r="AX182" t="e">
        <f>AND('STERLING CATALOG - DRY '!J4047,"AAAAAFn7GzE=")</f>
        <v>#VALUE!</v>
      </c>
      <c r="AY182">
        <f>IF('STERLING CATALOG - DRY '!4048:4048,"AAAAAFn7GzI=",0)</f>
        <v>0</v>
      </c>
      <c r="AZ182" t="e">
        <f>AND('STERLING CATALOG - DRY '!A4048,"AAAAAFn7GzM=")</f>
        <v>#VALUE!</v>
      </c>
      <c r="BA182" t="e">
        <f>AND('STERLING CATALOG - DRY '!B4048,"AAAAAFn7GzQ=")</f>
        <v>#VALUE!</v>
      </c>
      <c r="BB182" t="e">
        <f>AND('STERLING CATALOG - DRY '!C4048,"AAAAAFn7GzU=")</f>
        <v>#VALUE!</v>
      </c>
      <c r="BC182" t="e">
        <f>AND('STERLING CATALOG - DRY '!D4048,"AAAAAFn7GzY=")</f>
        <v>#VALUE!</v>
      </c>
      <c r="BD182" t="e">
        <f>AND('STERLING CATALOG - DRY '!E4048,"AAAAAFn7Gzc=")</f>
        <v>#VALUE!</v>
      </c>
      <c r="BE182" t="e">
        <f>AND('STERLING CATALOG - DRY '!F4048,"AAAAAFn7Gzg=")</f>
        <v>#VALUE!</v>
      </c>
      <c r="BF182" t="e">
        <f>AND('STERLING CATALOG - DRY '!G4048,"AAAAAFn7Gzk=")</f>
        <v>#VALUE!</v>
      </c>
      <c r="BG182" t="e">
        <f>AND('STERLING CATALOG - DRY '!H4048,"AAAAAFn7Gzo=")</f>
        <v>#VALUE!</v>
      </c>
      <c r="BH182" t="e">
        <f>AND('STERLING CATALOG - DRY '!I4048,"AAAAAFn7Gzs=")</f>
        <v>#VALUE!</v>
      </c>
      <c r="BI182" t="e">
        <f>AND('STERLING CATALOG - DRY '!J4048,"AAAAAFn7Gzw=")</f>
        <v>#VALUE!</v>
      </c>
      <c r="BJ182">
        <f>IF('STERLING CATALOG - DRY '!4049:4049,"AAAAAFn7Gz0=",0)</f>
        <v>0</v>
      </c>
      <c r="BK182" t="e">
        <f>AND('STERLING CATALOG - DRY '!A4049,"AAAAAFn7Gz4=")</f>
        <v>#VALUE!</v>
      </c>
      <c r="BL182" t="e">
        <f>AND('STERLING CATALOG - DRY '!B4049,"AAAAAFn7Gz8=")</f>
        <v>#VALUE!</v>
      </c>
      <c r="BM182" t="e">
        <f>AND('STERLING CATALOG - DRY '!C4049,"AAAAAFn7G0A=")</f>
        <v>#VALUE!</v>
      </c>
      <c r="BN182" t="e">
        <f>AND('STERLING CATALOG - DRY '!D4049,"AAAAAFn7G0E=")</f>
        <v>#VALUE!</v>
      </c>
      <c r="BO182" t="e">
        <f>AND('STERLING CATALOG - DRY '!E4049,"AAAAAFn7G0I=")</f>
        <v>#VALUE!</v>
      </c>
      <c r="BP182" t="e">
        <f>AND('STERLING CATALOG - DRY '!F4049,"AAAAAFn7G0M=")</f>
        <v>#VALUE!</v>
      </c>
      <c r="BQ182" t="e">
        <f>AND('STERLING CATALOG - DRY '!G4049,"AAAAAFn7G0Q=")</f>
        <v>#VALUE!</v>
      </c>
      <c r="BR182" t="e">
        <f>AND('STERLING CATALOG - DRY '!H4049,"AAAAAFn7G0U=")</f>
        <v>#VALUE!</v>
      </c>
      <c r="BS182" t="e">
        <f>AND('STERLING CATALOG - DRY '!I4049,"AAAAAFn7G0Y=")</f>
        <v>#VALUE!</v>
      </c>
      <c r="BT182" t="e">
        <f>AND('STERLING CATALOG - DRY '!J4049,"AAAAAFn7G0c=")</f>
        <v>#VALUE!</v>
      </c>
      <c r="BU182">
        <f>IF('STERLING CATALOG - DRY '!4050:4050,"AAAAAFn7G0g=",0)</f>
        <v>0</v>
      </c>
      <c r="BV182" t="e">
        <f>AND('STERLING CATALOG - DRY '!A4050,"AAAAAFn7G0k=")</f>
        <v>#VALUE!</v>
      </c>
      <c r="BW182" t="e">
        <f>AND('STERLING CATALOG - DRY '!B4050,"AAAAAFn7G0o=")</f>
        <v>#VALUE!</v>
      </c>
      <c r="BX182" t="e">
        <f>AND('STERLING CATALOG - DRY '!C4050,"AAAAAFn7G0s=")</f>
        <v>#VALUE!</v>
      </c>
      <c r="BY182" t="e">
        <f>AND('STERLING CATALOG - DRY '!D4050,"AAAAAFn7G0w=")</f>
        <v>#VALUE!</v>
      </c>
      <c r="BZ182" t="e">
        <f>AND('STERLING CATALOG - DRY '!E4050,"AAAAAFn7G00=")</f>
        <v>#VALUE!</v>
      </c>
      <c r="CA182" t="e">
        <f>AND('STERLING CATALOG - DRY '!F4050,"AAAAAFn7G04=")</f>
        <v>#VALUE!</v>
      </c>
      <c r="CB182" t="e">
        <f>AND('STERLING CATALOG - DRY '!G4050,"AAAAAFn7G08=")</f>
        <v>#VALUE!</v>
      </c>
      <c r="CC182" t="e">
        <f>AND('STERLING CATALOG - DRY '!H4050,"AAAAAFn7G1A=")</f>
        <v>#VALUE!</v>
      </c>
      <c r="CD182" t="e">
        <f>AND('STERLING CATALOG - DRY '!I4050,"AAAAAFn7G1E=")</f>
        <v>#VALUE!</v>
      </c>
      <c r="CE182" t="e">
        <f>AND('STERLING CATALOG - DRY '!J4050,"AAAAAFn7G1I=")</f>
        <v>#VALUE!</v>
      </c>
      <c r="CF182">
        <f>IF('STERLING CATALOG - DRY '!4051:4051,"AAAAAFn7G1M=",0)</f>
        <v>0</v>
      </c>
      <c r="CG182" t="e">
        <f>AND('STERLING CATALOG - DRY '!A4051,"AAAAAFn7G1Q=")</f>
        <v>#VALUE!</v>
      </c>
      <c r="CH182" t="e">
        <f>AND('STERLING CATALOG - DRY '!B4051,"AAAAAFn7G1U=")</f>
        <v>#VALUE!</v>
      </c>
      <c r="CI182" t="e">
        <f>AND('STERLING CATALOG - DRY '!C4051,"AAAAAFn7G1Y=")</f>
        <v>#VALUE!</v>
      </c>
      <c r="CJ182" t="e">
        <f>AND('STERLING CATALOG - DRY '!D4051,"AAAAAFn7G1c=")</f>
        <v>#VALUE!</v>
      </c>
      <c r="CK182" t="e">
        <f>AND('STERLING CATALOG - DRY '!E4051,"AAAAAFn7G1g=")</f>
        <v>#VALUE!</v>
      </c>
      <c r="CL182" t="e">
        <f>AND('STERLING CATALOG - DRY '!F4051,"AAAAAFn7G1k=")</f>
        <v>#VALUE!</v>
      </c>
      <c r="CM182" t="e">
        <f>AND('STERLING CATALOG - DRY '!G4051,"AAAAAFn7G1o=")</f>
        <v>#VALUE!</v>
      </c>
      <c r="CN182" t="e">
        <f>AND('STERLING CATALOG - DRY '!H4051,"AAAAAFn7G1s=")</f>
        <v>#VALUE!</v>
      </c>
      <c r="CO182" t="e">
        <f>AND('STERLING CATALOG - DRY '!I4051,"AAAAAFn7G1w=")</f>
        <v>#VALUE!</v>
      </c>
      <c r="CP182" t="e">
        <f>AND('STERLING CATALOG - DRY '!J4051,"AAAAAFn7G10=")</f>
        <v>#VALUE!</v>
      </c>
      <c r="CQ182">
        <f>IF('STERLING CATALOG - DRY '!4052:4052,"AAAAAFn7G14=",0)</f>
        <v>0</v>
      </c>
      <c r="CR182" t="e">
        <f>AND('STERLING CATALOG - DRY '!A4052,"AAAAAFn7G18=")</f>
        <v>#VALUE!</v>
      </c>
      <c r="CS182" t="e">
        <f>AND('STERLING CATALOG - DRY '!B4052,"AAAAAFn7G2A=")</f>
        <v>#VALUE!</v>
      </c>
      <c r="CT182" t="e">
        <f>AND('STERLING CATALOG - DRY '!C4052,"AAAAAFn7G2E=")</f>
        <v>#VALUE!</v>
      </c>
      <c r="CU182" t="e">
        <f>AND('STERLING CATALOG - DRY '!D4052,"AAAAAFn7G2I=")</f>
        <v>#VALUE!</v>
      </c>
      <c r="CV182" t="e">
        <f>AND('STERLING CATALOG - DRY '!E4052,"AAAAAFn7G2M=")</f>
        <v>#VALUE!</v>
      </c>
      <c r="CW182" t="e">
        <f>AND('STERLING CATALOG - DRY '!F4052,"AAAAAFn7G2Q=")</f>
        <v>#VALUE!</v>
      </c>
      <c r="CX182" t="e">
        <f>AND('STERLING CATALOG - DRY '!G4052,"AAAAAFn7G2U=")</f>
        <v>#VALUE!</v>
      </c>
      <c r="CY182" t="e">
        <f>AND('STERLING CATALOG - DRY '!H4052,"AAAAAFn7G2Y=")</f>
        <v>#VALUE!</v>
      </c>
      <c r="CZ182" t="e">
        <f>AND('STERLING CATALOG - DRY '!I4052,"AAAAAFn7G2c=")</f>
        <v>#VALUE!</v>
      </c>
      <c r="DA182" t="e">
        <f>AND('STERLING CATALOG - DRY '!J4052,"AAAAAFn7G2g=")</f>
        <v>#VALUE!</v>
      </c>
      <c r="DB182">
        <f>IF('STERLING CATALOG - DRY '!4053:4053,"AAAAAFn7G2k=",0)</f>
        <v>0</v>
      </c>
      <c r="DC182" t="e">
        <f>AND('STERLING CATALOG - DRY '!A4053,"AAAAAFn7G2o=")</f>
        <v>#VALUE!</v>
      </c>
      <c r="DD182" t="e">
        <f>AND('STERLING CATALOG - DRY '!B4053,"AAAAAFn7G2s=")</f>
        <v>#VALUE!</v>
      </c>
      <c r="DE182" t="e">
        <f>AND('STERLING CATALOG - DRY '!C4053,"AAAAAFn7G2w=")</f>
        <v>#VALUE!</v>
      </c>
      <c r="DF182" t="e">
        <f>AND('STERLING CATALOG - DRY '!D4053,"AAAAAFn7G20=")</f>
        <v>#VALUE!</v>
      </c>
      <c r="DG182" t="e">
        <f>AND('STERLING CATALOG - DRY '!E4053,"AAAAAFn7G24=")</f>
        <v>#VALUE!</v>
      </c>
      <c r="DH182" t="e">
        <f>AND('STERLING CATALOG - DRY '!F4053,"AAAAAFn7G28=")</f>
        <v>#VALUE!</v>
      </c>
      <c r="DI182" t="e">
        <f>AND('STERLING CATALOG - DRY '!G4053,"AAAAAFn7G3A=")</f>
        <v>#VALUE!</v>
      </c>
      <c r="DJ182" t="e">
        <f>AND('STERLING CATALOG - DRY '!H4053,"AAAAAFn7G3E=")</f>
        <v>#VALUE!</v>
      </c>
      <c r="DK182" t="e">
        <f>AND('STERLING CATALOG - DRY '!I4053,"AAAAAFn7G3I=")</f>
        <v>#VALUE!</v>
      </c>
      <c r="DL182" t="e">
        <f>AND('STERLING CATALOG - DRY '!J4053,"AAAAAFn7G3M=")</f>
        <v>#VALUE!</v>
      </c>
      <c r="DM182">
        <f>IF('STERLING CATALOG - DRY '!4054:4054,"AAAAAFn7G3Q=",0)</f>
        <v>0</v>
      </c>
      <c r="DN182" t="e">
        <f>AND('STERLING CATALOG - DRY '!A4054,"AAAAAFn7G3U=")</f>
        <v>#VALUE!</v>
      </c>
      <c r="DO182" t="e">
        <f>AND('STERLING CATALOG - DRY '!B4054,"AAAAAFn7G3Y=")</f>
        <v>#VALUE!</v>
      </c>
      <c r="DP182" t="e">
        <f>AND('STERLING CATALOG - DRY '!C4054,"AAAAAFn7G3c=")</f>
        <v>#VALUE!</v>
      </c>
      <c r="DQ182" t="e">
        <f>AND('STERLING CATALOG - DRY '!D4054,"AAAAAFn7G3g=")</f>
        <v>#VALUE!</v>
      </c>
      <c r="DR182" t="e">
        <f>AND('STERLING CATALOG - DRY '!E4054,"AAAAAFn7G3k=")</f>
        <v>#VALUE!</v>
      </c>
      <c r="DS182" t="e">
        <f>AND('STERLING CATALOG - DRY '!F4054,"AAAAAFn7G3o=")</f>
        <v>#VALUE!</v>
      </c>
      <c r="DT182" t="e">
        <f>AND('STERLING CATALOG - DRY '!G4054,"AAAAAFn7G3s=")</f>
        <v>#VALUE!</v>
      </c>
      <c r="DU182" t="e">
        <f>AND('STERLING CATALOG - DRY '!H4054,"AAAAAFn7G3w=")</f>
        <v>#VALUE!</v>
      </c>
      <c r="DV182" t="e">
        <f>AND('STERLING CATALOG - DRY '!I4054,"AAAAAFn7G30=")</f>
        <v>#VALUE!</v>
      </c>
      <c r="DW182" t="e">
        <f>AND('STERLING CATALOG - DRY '!J4054,"AAAAAFn7G34=")</f>
        <v>#VALUE!</v>
      </c>
      <c r="DX182">
        <f>IF('STERLING CATALOG - DRY '!4055:4055,"AAAAAFn7G38=",0)</f>
        <v>0</v>
      </c>
      <c r="DY182" t="e">
        <f>AND('STERLING CATALOG - DRY '!A4055,"AAAAAFn7G4A=")</f>
        <v>#VALUE!</v>
      </c>
      <c r="DZ182" t="e">
        <f>AND('STERLING CATALOG - DRY '!B4055,"AAAAAFn7G4E=")</f>
        <v>#VALUE!</v>
      </c>
      <c r="EA182" t="e">
        <f>AND('STERLING CATALOG - DRY '!C4055,"AAAAAFn7G4I=")</f>
        <v>#VALUE!</v>
      </c>
      <c r="EB182" t="e">
        <f>AND('STERLING CATALOG - DRY '!D4055,"AAAAAFn7G4M=")</f>
        <v>#VALUE!</v>
      </c>
      <c r="EC182" t="e">
        <f>AND('STERLING CATALOG - DRY '!E4055,"AAAAAFn7G4Q=")</f>
        <v>#VALUE!</v>
      </c>
      <c r="ED182" t="e">
        <f>AND('STERLING CATALOG - DRY '!F4055,"AAAAAFn7G4U=")</f>
        <v>#VALUE!</v>
      </c>
      <c r="EE182" t="e">
        <f>AND('STERLING CATALOG - DRY '!G4055,"AAAAAFn7G4Y=")</f>
        <v>#VALUE!</v>
      </c>
      <c r="EF182" t="e">
        <f>AND('STERLING CATALOG - DRY '!H4055,"AAAAAFn7G4c=")</f>
        <v>#VALUE!</v>
      </c>
      <c r="EG182" t="e">
        <f>AND('STERLING CATALOG - DRY '!I4055,"AAAAAFn7G4g=")</f>
        <v>#VALUE!</v>
      </c>
      <c r="EH182" t="e">
        <f>AND('STERLING CATALOG - DRY '!J4055,"AAAAAFn7G4k=")</f>
        <v>#VALUE!</v>
      </c>
      <c r="EI182">
        <f>IF('STERLING CATALOG - DRY '!4056:4056,"AAAAAFn7G4o=",0)</f>
        <v>0</v>
      </c>
      <c r="EJ182" t="e">
        <f>AND('STERLING CATALOG - DRY '!A4056,"AAAAAFn7G4s=")</f>
        <v>#VALUE!</v>
      </c>
      <c r="EK182" t="e">
        <f>AND('STERLING CATALOG - DRY '!B4056,"AAAAAFn7G4w=")</f>
        <v>#VALUE!</v>
      </c>
      <c r="EL182" t="e">
        <f>AND('STERLING CATALOG - DRY '!C4056,"AAAAAFn7G40=")</f>
        <v>#VALUE!</v>
      </c>
      <c r="EM182" t="e">
        <f>AND('STERLING CATALOG - DRY '!D4056,"AAAAAFn7G44=")</f>
        <v>#VALUE!</v>
      </c>
      <c r="EN182" t="e">
        <f>AND('STERLING CATALOG - DRY '!E4056,"AAAAAFn7G48=")</f>
        <v>#VALUE!</v>
      </c>
      <c r="EO182" t="e">
        <f>AND('STERLING CATALOG - DRY '!F4056,"AAAAAFn7G5A=")</f>
        <v>#VALUE!</v>
      </c>
      <c r="EP182" t="e">
        <f>AND('STERLING CATALOG - DRY '!G4056,"AAAAAFn7G5E=")</f>
        <v>#VALUE!</v>
      </c>
      <c r="EQ182" t="e">
        <f>AND('STERLING CATALOG - DRY '!H4056,"AAAAAFn7G5I=")</f>
        <v>#VALUE!</v>
      </c>
      <c r="ER182" t="e">
        <f>AND('STERLING CATALOG - DRY '!I4056,"AAAAAFn7G5M=")</f>
        <v>#VALUE!</v>
      </c>
      <c r="ES182" t="e">
        <f>AND('STERLING CATALOG - DRY '!J4056,"AAAAAFn7G5Q=")</f>
        <v>#VALUE!</v>
      </c>
      <c r="ET182">
        <f>IF('STERLING CATALOG - DRY '!4057:4057,"AAAAAFn7G5U=",0)</f>
        <v>0</v>
      </c>
      <c r="EU182" t="e">
        <f>AND('STERLING CATALOG - DRY '!A4057,"AAAAAFn7G5Y=")</f>
        <v>#VALUE!</v>
      </c>
      <c r="EV182" t="e">
        <f>AND('STERLING CATALOG - DRY '!B4057,"AAAAAFn7G5c=")</f>
        <v>#VALUE!</v>
      </c>
      <c r="EW182" t="e">
        <f>AND('STERLING CATALOG - DRY '!C4057,"AAAAAFn7G5g=")</f>
        <v>#VALUE!</v>
      </c>
      <c r="EX182" t="e">
        <f>AND('STERLING CATALOG - DRY '!D4057,"AAAAAFn7G5k=")</f>
        <v>#VALUE!</v>
      </c>
      <c r="EY182" t="e">
        <f>AND('STERLING CATALOG - DRY '!E4057,"AAAAAFn7G5o=")</f>
        <v>#VALUE!</v>
      </c>
      <c r="EZ182" t="e">
        <f>AND('STERLING CATALOG - DRY '!F4057,"AAAAAFn7G5s=")</f>
        <v>#VALUE!</v>
      </c>
      <c r="FA182" t="e">
        <f>AND('STERLING CATALOG - DRY '!G4057,"AAAAAFn7G5w=")</f>
        <v>#VALUE!</v>
      </c>
      <c r="FB182" t="e">
        <f>AND('STERLING CATALOG - DRY '!H4057,"AAAAAFn7G50=")</f>
        <v>#VALUE!</v>
      </c>
      <c r="FC182" t="e">
        <f>AND('STERLING CATALOG - DRY '!I4057,"AAAAAFn7G54=")</f>
        <v>#VALUE!</v>
      </c>
      <c r="FD182" t="e">
        <f>AND('STERLING CATALOG - DRY '!J4057,"AAAAAFn7G58=")</f>
        <v>#VALUE!</v>
      </c>
      <c r="FE182">
        <f>IF('STERLING CATALOG - DRY '!4058:4058,"AAAAAFn7G6A=",0)</f>
        <v>0</v>
      </c>
      <c r="FF182" t="e">
        <f>AND('STERLING CATALOG - DRY '!A4058,"AAAAAFn7G6E=")</f>
        <v>#VALUE!</v>
      </c>
      <c r="FG182" t="e">
        <f>AND('STERLING CATALOG - DRY '!B4058,"AAAAAFn7G6I=")</f>
        <v>#VALUE!</v>
      </c>
      <c r="FH182" t="e">
        <f>AND('STERLING CATALOG - DRY '!C4058,"AAAAAFn7G6M=")</f>
        <v>#VALUE!</v>
      </c>
      <c r="FI182" t="e">
        <f>AND('STERLING CATALOG - DRY '!D4058,"AAAAAFn7G6Q=")</f>
        <v>#VALUE!</v>
      </c>
      <c r="FJ182" t="e">
        <f>AND('STERLING CATALOG - DRY '!E4058,"AAAAAFn7G6U=")</f>
        <v>#VALUE!</v>
      </c>
      <c r="FK182" t="e">
        <f>AND('STERLING CATALOG - DRY '!F4058,"AAAAAFn7G6Y=")</f>
        <v>#VALUE!</v>
      </c>
      <c r="FL182" t="e">
        <f>AND('STERLING CATALOG - DRY '!G4058,"AAAAAFn7G6c=")</f>
        <v>#VALUE!</v>
      </c>
      <c r="FM182" t="e">
        <f>AND('STERLING CATALOG - DRY '!H4058,"AAAAAFn7G6g=")</f>
        <v>#VALUE!</v>
      </c>
      <c r="FN182" t="e">
        <f>AND('STERLING CATALOG - DRY '!I4058,"AAAAAFn7G6k=")</f>
        <v>#VALUE!</v>
      </c>
      <c r="FO182" t="e">
        <f>AND('STERLING CATALOG - DRY '!J4058,"AAAAAFn7G6o=")</f>
        <v>#VALUE!</v>
      </c>
      <c r="FP182">
        <f>IF('STERLING CATALOG - DRY '!4059:4059,"AAAAAFn7G6s=",0)</f>
        <v>0</v>
      </c>
      <c r="FQ182" t="e">
        <f>AND('STERLING CATALOG - DRY '!A4059,"AAAAAFn7G6w=")</f>
        <v>#VALUE!</v>
      </c>
      <c r="FR182" t="e">
        <f>AND('STERLING CATALOG - DRY '!B4059,"AAAAAFn7G60=")</f>
        <v>#VALUE!</v>
      </c>
      <c r="FS182" t="e">
        <f>AND('STERLING CATALOG - DRY '!C4059,"AAAAAFn7G64=")</f>
        <v>#VALUE!</v>
      </c>
      <c r="FT182" t="e">
        <f>AND('STERLING CATALOG - DRY '!D4059,"AAAAAFn7G68=")</f>
        <v>#VALUE!</v>
      </c>
      <c r="FU182" t="e">
        <f>AND('STERLING CATALOG - DRY '!E4059,"AAAAAFn7G7A=")</f>
        <v>#VALUE!</v>
      </c>
      <c r="FV182" t="e">
        <f>AND('STERLING CATALOG - DRY '!F4059,"AAAAAFn7G7E=")</f>
        <v>#VALUE!</v>
      </c>
      <c r="FW182" t="e">
        <f>AND('STERLING CATALOG - DRY '!G4059,"AAAAAFn7G7I=")</f>
        <v>#VALUE!</v>
      </c>
      <c r="FX182" t="e">
        <f>AND('STERLING CATALOG - DRY '!H4059,"AAAAAFn7G7M=")</f>
        <v>#VALUE!</v>
      </c>
      <c r="FY182" t="e">
        <f>AND('STERLING CATALOG - DRY '!I4059,"AAAAAFn7G7Q=")</f>
        <v>#VALUE!</v>
      </c>
      <c r="FZ182" t="e">
        <f>AND('STERLING CATALOG - DRY '!J4059,"AAAAAFn7G7U=")</f>
        <v>#VALUE!</v>
      </c>
      <c r="GA182">
        <f>IF('STERLING CATALOG - DRY '!4060:4060,"AAAAAFn7G7Y=",0)</f>
        <v>0</v>
      </c>
      <c r="GB182" t="e">
        <f>AND('STERLING CATALOG - DRY '!A4060,"AAAAAFn7G7c=")</f>
        <v>#VALUE!</v>
      </c>
      <c r="GC182" t="e">
        <f>AND('STERLING CATALOG - DRY '!B4060,"AAAAAFn7G7g=")</f>
        <v>#VALUE!</v>
      </c>
      <c r="GD182" t="e">
        <f>AND('STERLING CATALOG - DRY '!C4060,"AAAAAFn7G7k=")</f>
        <v>#VALUE!</v>
      </c>
      <c r="GE182" t="e">
        <f>AND('STERLING CATALOG - DRY '!D4060,"AAAAAFn7G7o=")</f>
        <v>#VALUE!</v>
      </c>
      <c r="GF182" t="e">
        <f>AND('STERLING CATALOG - DRY '!E4060,"AAAAAFn7G7s=")</f>
        <v>#VALUE!</v>
      </c>
      <c r="GG182" t="e">
        <f>AND('STERLING CATALOG - DRY '!F4060,"AAAAAFn7G7w=")</f>
        <v>#VALUE!</v>
      </c>
      <c r="GH182" t="e">
        <f>AND('STERLING CATALOG - DRY '!G4060,"AAAAAFn7G70=")</f>
        <v>#VALUE!</v>
      </c>
      <c r="GI182" t="e">
        <f>AND('STERLING CATALOG - DRY '!H4060,"AAAAAFn7G74=")</f>
        <v>#VALUE!</v>
      </c>
      <c r="GJ182" t="e">
        <f>AND('STERLING CATALOG - DRY '!I4060,"AAAAAFn7G78=")</f>
        <v>#VALUE!</v>
      </c>
      <c r="GK182" t="e">
        <f>AND('STERLING CATALOG - DRY '!J4060,"AAAAAFn7G8A=")</f>
        <v>#VALUE!</v>
      </c>
      <c r="GL182">
        <f>IF('STERLING CATALOG - DRY '!4061:4061,"AAAAAFn7G8E=",0)</f>
        <v>0</v>
      </c>
      <c r="GM182" t="e">
        <f>AND('STERLING CATALOG - DRY '!A4061,"AAAAAFn7G8I=")</f>
        <v>#VALUE!</v>
      </c>
      <c r="GN182" t="e">
        <f>AND('STERLING CATALOG - DRY '!B4061,"AAAAAFn7G8M=")</f>
        <v>#VALUE!</v>
      </c>
      <c r="GO182" t="e">
        <f>AND('STERLING CATALOG - DRY '!C4061,"AAAAAFn7G8Q=")</f>
        <v>#VALUE!</v>
      </c>
      <c r="GP182" t="e">
        <f>AND('STERLING CATALOG - DRY '!D4061,"AAAAAFn7G8U=")</f>
        <v>#VALUE!</v>
      </c>
      <c r="GQ182" t="e">
        <f>AND('STERLING CATALOG - DRY '!E4061,"AAAAAFn7G8Y=")</f>
        <v>#VALUE!</v>
      </c>
      <c r="GR182" t="e">
        <f>AND('STERLING CATALOG - DRY '!F4061,"AAAAAFn7G8c=")</f>
        <v>#VALUE!</v>
      </c>
      <c r="GS182" t="e">
        <f>AND('STERLING CATALOG - DRY '!G4061,"AAAAAFn7G8g=")</f>
        <v>#VALUE!</v>
      </c>
      <c r="GT182" t="e">
        <f>AND('STERLING CATALOG - DRY '!H4061,"AAAAAFn7G8k=")</f>
        <v>#VALUE!</v>
      </c>
      <c r="GU182" t="e">
        <f>AND('STERLING CATALOG - DRY '!I4061,"AAAAAFn7G8o=")</f>
        <v>#VALUE!</v>
      </c>
      <c r="GV182" t="e">
        <f>AND('STERLING CATALOG - DRY '!J4061,"AAAAAFn7G8s=")</f>
        <v>#VALUE!</v>
      </c>
      <c r="GW182">
        <f>IF('STERLING CATALOG - DRY '!4062:4062,"AAAAAFn7G8w=",0)</f>
        <v>0</v>
      </c>
      <c r="GX182" t="e">
        <f>AND('STERLING CATALOG - DRY '!A4062,"AAAAAFn7G80=")</f>
        <v>#VALUE!</v>
      </c>
      <c r="GY182" t="e">
        <f>AND('STERLING CATALOG - DRY '!B4062,"AAAAAFn7G84=")</f>
        <v>#VALUE!</v>
      </c>
      <c r="GZ182" t="e">
        <f>AND('STERLING CATALOG - DRY '!C4062,"AAAAAFn7G88=")</f>
        <v>#VALUE!</v>
      </c>
      <c r="HA182" t="e">
        <f>AND('STERLING CATALOG - DRY '!D4062,"AAAAAFn7G9A=")</f>
        <v>#VALUE!</v>
      </c>
      <c r="HB182" t="e">
        <f>AND('STERLING CATALOG - DRY '!E4062,"AAAAAFn7G9E=")</f>
        <v>#VALUE!</v>
      </c>
      <c r="HC182" t="e">
        <f>AND('STERLING CATALOG - DRY '!F4062,"AAAAAFn7G9I=")</f>
        <v>#VALUE!</v>
      </c>
      <c r="HD182" t="e">
        <f>AND('STERLING CATALOG - DRY '!G4062,"AAAAAFn7G9M=")</f>
        <v>#VALUE!</v>
      </c>
      <c r="HE182" t="e">
        <f>AND('STERLING CATALOG - DRY '!H4062,"AAAAAFn7G9Q=")</f>
        <v>#VALUE!</v>
      </c>
      <c r="HF182" t="e">
        <f>AND('STERLING CATALOG - DRY '!I4062,"AAAAAFn7G9U=")</f>
        <v>#VALUE!</v>
      </c>
      <c r="HG182" t="e">
        <f>AND('STERLING CATALOG - DRY '!J4062,"AAAAAFn7G9Y=")</f>
        <v>#VALUE!</v>
      </c>
      <c r="HH182">
        <f>IF('STERLING CATALOG - DRY '!4063:4063,"AAAAAFn7G9c=",0)</f>
        <v>0</v>
      </c>
      <c r="HI182" t="e">
        <f>AND('STERLING CATALOG - DRY '!A4063,"AAAAAFn7G9g=")</f>
        <v>#VALUE!</v>
      </c>
      <c r="HJ182" t="e">
        <f>AND('STERLING CATALOG - DRY '!B4063,"AAAAAFn7G9k=")</f>
        <v>#VALUE!</v>
      </c>
      <c r="HK182" t="e">
        <f>AND('STERLING CATALOG - DRY '!C4063,"AAAAAFn7G9o=")</f>
        <v>#VALUE!</v>
      </c>
      <c r="HL182" t="e">
        <f>AND('STERLING CATALOG - DRY '!D4063,"AAAAAFn7G9s=")</f>
        <v>#VALUE!</v>
      </c>
      <c r="HM182" t="e">
        <f>AND('STERLING CATALOG - DRY '!E4063,"AAAAAFn7G9w=")</f>
        <v>#VALUE!</v>
      </c>
      <c r="HN182" t="e">
        <f>AND('STERLING CATALOG - DRY '!F4063,"AAAAAFn7G90=")</f>
        <v>#VALUE!</v>
      </c>
      <c r="HO182" t="e">
        <f>AND('STERLING CATALOG - DRY '!G4063,"AAAAAFn7G94=")</f>
        <v>#VALUE!</v>
      </c>
      <c r="HP182" t="e">
        <f>AND('STERLING CATALOG - DRY '!H4063,"AAAAAFn7G98=")</f>
        <v>#VALUE!</v>
      </c>
      <c r="HQ182" t="e">
        <f>AND('STERLING CATALOG - DRY '!I4063,"AAAAAFn7G+A=")</f>
        <v>#VALUE!</v>
      </c>
      <c r="HR182" t="e">
        <f>AND('STERLING CATALOG - DRY '!J4063,"AAAAAFn7G+E=")</f>
        <v>#VALUE!</v>
      </c>
      <c r="HS182">
        <f>IF('STERLING CATALOG - DRY '!4064:4064,"AAAAAFn7G+I=",0)</f>
        <v>0</v>
      </c>
      <c r="HT182" t="e">
        <f>AND('STERLING CATALOG - DRY '!A4064,"AAAAAFn7G+M=")</f>
        <v>#VALUE!</v>
      </c>
      <c r="HU182" t="e">
        <f>AND('STERLING CATALOG - DRY '!B4064,"AAAAAFn7G+Q=")</f>
        <v>#VALUE!</v>
      </c>
      <c r="HV182" t="e">
        <f>AND('STERLING CATALOG - DRY '!C4064,"AAAAAFn7G+U=")</f>
        <v>#VALUE!</v>
      </c>
      <c r="HW182" t="e">
        <f>AND('STERLING CATALOG - DRY '!D4064,"AAAAAFn7G+Y=")</f>
        <v>#VALUE!</v>
      </c>
      <c r="HX182" t="e">
        <f>AND('STERLING CATALOG - DRY '!E4064,"AAAAAFn7G+c=")</f>
        <v>#VALUE!</v>
      </c>
      <c r="HY182" t="e">
        <f>AND('STERLING CATALOG - DRY '!F4064,"AAAAAFn7G+g=")</f>
        <v>#VALUE!</v>
      </c>
      <c r="HZ182" t="e">
        <f>AND('STERLING CATALOG - DRY '!G4064,"AAAAAFn7G+k=")</f>
        <v>#VALUE!</v>
      </c>
      <c r="IA182" t="e">
        <f>AND('STERLING CATALOG - DRY '!H4064,"AAAAAFn7G+o=")</f>
        <v>#VALUE!</v>
      </c>
      <c r="IB182" t="e">
        <f>AND('STERLING CATALOG - DRY '!I4064,"AAAAAFn7G+s=")</f>
        <v>#VALUE!</v>
      </c>
      <c r="IC182" t="e">
        <f>AND('STERLING CATALOG - DRY '!J4064,"AAAAAFn7G+w=")</f>
        <v>#VALUE!</v>
      </c>
      <c r="ID182">
        <f>IF('STERLING CATALOG - DRY '!4065:4065,"AAAAAFn7G+0=",0)</f>
        <v>0</v>
      </c>
      <c r="IE182" t="e">
        <f>AND('STERLING CATALOG - DRY '!A4065,"AAAAAFn7G+4=")</f>
        <v>#VALUE!</v>
      </c>
      <c r="IF182" t="e">
        <f>AND('STERLING CATALOG - DRY '!B4065,"AAAAAFn7G+8=")</f>
        <v>#VALUE!</v>
      </c>
      <c r="IG182" t="e">
        <f>AND('STERLING CATALOG - DRY '!C4065,"AAAAAFn7G/A=")</f>
        <v>#VALUE!</v>
      </c>
      <c r="IH182" t="e">
        <f>AND('STERLING CATALOG - DRY '!D4065,"AAAAAFn7G/E=")</f>
        <v>#VALUE!</v>
      </c>
      <c r="II182" t="e">
        <f>AND('STERLING CATALOG - DRY '!E4065,"AAAAAFn7G/I=")</f>
        <v>#VALUE!</v>
      </c>
      <c r="IJ182" t="e">
        <f>AND('STERLING CATALOG - DRY '!F4065,"AAAAAFn7G/M=")</f>
        <v>#VALUE!</v>
      </c>
      <c r="IK182" t="e">
        <f>AND('STERLING CATALOG - DRY '!G4065,"AAAAAFn7G/Q=")</f>
        <v>#VALUE!</v>
      </c>
      <c r="IL182" t="e">
        <f>AND('STERLING CATALOG - DRY '!H4065,"AAAAAFn7G/U=")</f>
        <v>#VALUE!</v>
      </c>
      <c r="IM182" t="e">
        <f>AND('STERLING CATALOG - DRY '!I4065,"AAAAAFn7G/Y=")</f>
        <v>#VALUE!</v>
      </c>
      <c r="IN182" t="e">
        <f>AND('STERLING CATALOG - DRY '!J4065,"AAAAAFn7G/c=")</f>
        <v>#VALUE!</v>
      </c>
      <c r="IO182">
        <f>IF('STERLING CATALOG - DRY '!4066:4066,"AAAAAFn7G/g=",0)</f>
        <v>0</v>
      </c>
      <c r="IP182" t="e">
        <f>AND('STERLING CATALOG - DRY '!A4066,"AAAAAFn7G/k=")</f>
        <v>#VALUE!</v>
      </c>
      <c r="IQ182" t="e">
        <f>AND('STERLING CATALOG - DRY '!B4066,"AAAAAFn7G/o=")</f>
        <v>#VALUE!</v>
      </c>
      <c r="IR182" t="e">
        <f>AND('STERLING CATALOG - DRY '!C4066,"AAAAAFn7G/s=")</f>
        <v>#VALUE!</v>
      </c>
      <c r="IS182" t="e">
        <f>AND('STERLING CATALOG - DRY '!D4066,"AAAAAFn7G/w=")</f>
        <v>#VALUE!</v>
      </c>
      <c r="IT182" t="e">
        <f>AND('STERLING CATALOG - DRY '!E4066,"AAAAAFn7G/0=")</f>
        <v>#VALUE!</v>
      </c>
      <c r="IU182" t="e">
        <f>AND('STERLING CATALOG - DRY '!F4066,"AAAAAFn7G/4=")</f>
        <v>#VALUE!</v>
      </c>
      <c r="IV182" t="e">
        <f>AND('STERLING CATALOG - DRY '!G4066,"AAAAAFn7G/8=")</f>
        <v>#VALUE!</v>
      </c>
    </row>
    <row r="183" spans="1:256">
      <c r="A183" t="e">
        <f>AND('STERLING CATALOG - DRY '!H4066,"AAAAAF/l/wA=")</f>
        <v>#VALUE!</v>
      </c>
      <c r="B183" t="e">
        <f>AND('STERLING CATALOG - DRY '!I4066,"AAAAAF/l/wE=")</f>
        <v>#VALUE!</v>
      </c>
      <c r="C183" t="e">
        <f>AND('STERLING CATALOG - DRY '!J4066,"AAAAAF/l/wI=")</f>
        <v>#VALUE!</v>
      </c>
      <c r="D183" t="e">
        <f>IF('STERLING CATALOG - DRY '!4067:4067,"AAAAAF/l/wM=",0)</f>
        <v>#VALUE!</v>
      </c>
      <c r="E183" t="e">
        <f>AND('STERLING CATALOG - DRY '!A4067,"AAAAAF/l/wQ=")</f>
        <v>#VALUE!</v>
      </c>
      <c r="F183" t="e">
        <f>AND('STERLING CATALOG - DRY '!B4067,"AAAAAF/l/wU=")</f>
        <v>#VALUE!</v>
      </c>
      <c r="G183" t="e">
        <f>AND('STERLING CATALOG - DRY '!C4067,"AAAAAF/l/wY=")</f>
        <v>#VALUE!</v>
      </c>
      <c r="H183" t="e">
        <f>AND('STERLING CATALOG - DRY '!D4067,"AAAAAF/l/wc=")</f>
        <v>#VALUE!</v>
      </c>
      <c r="I183" t="e">
        <f>AND('STERLING CATALOG - DRY '!E4067,"AAAAAF/l/wg=")</f>
        <v>#VALUE!</v>
      </c>
      <c r="J183" t="e">
        <f>AND('STERLING CATALOG - DRY '!F4067,"AAAAAF/l/wk=")</f>
        <v>#VALUE!</v>
      </c>
      <c r="K183" t="e">
        <f>AND('STERLING CATALOG - DRY '!G4067,"AAAAAF/l/wo=")</f>
        <v>#VALUE!</v>
      </c>
      <c r="L183" t="e">
        <f>AND('STERLING CATALOG - DRY '!H4067,"AAAAAF/l/ws=")</f>
        <v>#VALUE!</v>
      </c>
      <c r="M183" t="e">
        <f>AND('STERLING CATALOG - DRY '!I4067,"AAAAAF/l/ww=")</f>
        <v>#VALUE!</v>
      </c>
      <c r="N183" t="e">
        <f>AND('STERLING CATALOG - DRY '!J4067,"AAAAAF/l/w0=")</f>
        <v>#VALUE!</v>
      </c>
      <c r="O183">
        <f>IF('STERLING CATALOG - DRY '!4068:4068,"AAAAAF/l/w4=",0)</f>
        <v>0</v>
      </c>
      <c r="P183" t="e">
        <f>AND('STERLING CATALOG - DRY '!A4068,"AAAAAF/l/w8=")</f>
        <v>#VALUE!</v>
      </c>
      <c r="Q183" t="e">
        <f>AND('STERLING CATALOG - DRY '!B4068,"AAAAAF/l/xA=")</f>
        <v>#VALUE!</v>
      </c>
      <c r="R183" t="e">
        <f>AND('STERLING CATALOG - DRY '!C4068,"AAAAAF/l/xE=")</f>
        <v>#VALUE!</v>
      </c>
      <c r="S183" t="e">
        <f>AND('STERLING CATALOG - DRY '!D4068,"AAAAAF/l/xI=")</f>
        <v>#VALUE!</v>
      </c>
      <c r="T183" t="e">
        <f>AND('STERLING CATALOG - DRY '!E4068,"AAAAAF/l/xM=")</f>
        <v>#VALUE!</v>
      </c>
      <c r="U183" t="e">
        <f>AND('STERLING CATALOG - DRY '!F4068,"AAAAAF/l/xQ=")</f>
        <v>#VALUE!</v>
      </c>
      <c r="V183" t="e">
        <f>AND('STERLING CATALOG - DRY '!G4068,"AAAAAF/l/xU=")</f>
        <v>#VALUE!</v>
      </c>
      <c r="W183" t="e">
        <f>AND('STERLING CATALOG - DRY '!H4068,"AAAAAF/l/xY=")</f>
        <v>#VALUE!</v>
      </c>
      <c r="X183" t="e">
        <f>AND('STERLING CATALOG - DRY '!I4068,"AAAAAF/l/xc=")</f>
        <v>#VALUE!</v>
      </c>
      <c r="Y183" t="e">
        <f>AND('STERLING CATALOG - DRY '!J4068,"AAAAAF/l/xg=")</f>
        <v>#VALUE!</v>
      </c>
      <c r="Z183">
        <f>IF('STERLING CATALOG - DRY '!4069:4069,"AAAAAF/l/xk=",0)</f>
        <v>0</v>
      </c>
      <c r="AA183" t="e">
        <f>AND('STERLING CATALOG - DRY '!A4069,"AAAAAF/l/xo=")</f>
        <v>#VALUE!</v>
      </c>
      <c r="AB183" t="e">
        <f>AND('STERLING CATALOG - DRY '!B4069,"AAAAAF/l/xs=")</f>
        <v>#VALUE!</v>
      </c>
      <c r="AC183" t="e">
        <f>AND('STERLING CATALOG - DRY '!C4069,"AAAAAF/l/xw=")</f>
        <v>#VALUE!</v>
      </c>
      <c r="AD183" t="e">
        <f>AND('STERLING CATALOG - DRY '!D4069,"AAAAAF/l/x0=")</f>
        <v>#VALUE!</v>
      </c>
      <c r="AE183" t="e">
        <f>AND('STERLING CATALOG - DRY '!E4069,"AAAAAF/l/x4=")</f>
        <v>#VALUE!</v>
      </c>
      <c r="AF183" t="e">
        <f>AND('STERLING CATALOG - DRY '!F4069,"AAAAAF/l/x8=")</f>
        <v>#VALUE!</v>
      </c>
      <c r="AG183" t="e">
        <f>AND('STERLING CATALOG - DRY '!G4069,"AAAAAF/l/yA=")</f>
        <v>#VALUE!</v>
      </c>
      <c r="AH183" t="e">
        <f>AND('STERLING CATALOG - DRY '!H4069,"AAAAAF/l/yE=")</f>
        <v>#VALUE!</v>
      </c>
      <c r="AI183" t="e">
        <f>AND('STERLING CATALOG - DRY '!I4069,"AAAAAF/l/yI=")</f>
        <v>#VALUE!</v>
      </c>
      <c r="AJ183" t="e">
        <f>AND('STERLING CATALOG - DRY '!J4069,"AAAAAF/l/yM=")</f>
        <v>#VALUE!</v>
      </c>
      <c r="AK183">
        <f>IF('STERLING CATALOG - DRY '!4070:4070,"AAAAAF/l/yQ=",0)</f>
        <v>0</v>
      </c>
      <c r="AL183" t="e">
        <f>AND('STERLING CATALOG - DRY '!A4070,"AAAAAF/l/yU=")</f>
        <v>#VALUE!</v>
      </c>
      <c r="AM183" t="e">
        <f>AND('STERLING CATALOG - DRY '!B4070,"AAAAAF/l/yY=")</f>
        <v>#VALUE!</v>
      </c>
      <c r="AN183" t="e">
        <f>AND('STERLING CATALOG - DRY '!C4070,"AAAAAF/l/yc=")</f>
        <v>#VALUE!</v>
      </c>
      <c r="AO183" t="e">
        <f>AND('STERLING CATALOG - DRY '!D4070,"AAAAAF/l/yg=")</f>
        <v>#VALUE!</v>
      </c>
      <c r="AP183" t="e">
        <f>AND('STERLING CATALOG - DRY '!E4070,"AAAAAF/l/yk=")</f>
        <v>#VALUE!</v>
      </c>
      <c r="AQ183" t="e">
        <f>AND('STERLING CATALOG - DRY '!F4070,"AAAAAF/l/yo=")</f>
        <v>#VALUE!</v>
      </c>
      <c r="AR183" t="e">
        <f>AND('STERLING CATALOG - DRY '!G4070,"AAAAAF/l/ys=")</f>
        <v>#VALUE!</v>
      </c>
      <c r="AS183" t="e">
        <f>AND('STERLING CATALOG - DRY '!H4070,"AAAAAF/l/yw=")</f>
        <v>#VALUE!</v>
      </c>
      <c r="AT183" t="e">
        <f>AND('STERLING CATALOG - DRY '!I4070,"AAAAAF/l/y0=")</f>
        <v>#VALUE!</v>
      </c>
      <c r="AU183" t="e">
        <f>AND('STERLING CATALOG - DRY '!J4070,"AAAAAF/l/y4=")</f>
        <v>#VALUE!</v>
      </c>
      <c r="AV183">
        <f>IF('STERLING CATALOG - DRY '!4071:4071,"AAAAAF/l/y8=",0)</f>
        <v>0</v>
      </c>
      <c r="AW183" t="e">
        <f>AND('STERLING CATALOG - DRY '!A4071,"AAAAAF/l/zA=")</f>
        <v>#VALUE!</v>
      </c>
      <c r="AX183" t="e">
        <f>AND('STERLING CATALOG - DRY '!B4071,"AAAAAF/l/zE=")</f>
        <v>#VALUE!</v>
      </c>
      <c r="AY183" t="e">
        <f>AND('STERLING CATALOG - DRY '!C4071,"AAAAAF/l/zI=")</f>
        <v>#VALUE!</v>
      </c>
      <c r="AZ183" t="e">
        <f>AND('STERLING CATALOG - DRY '!D4071,"AAAAAF/l/zM=")</f>
        <v>#VALUE!</v>
      </c>
      <c r="BA183" t="e">
        <f>AND('STERLING CATALOG - DRY '!E4071,"AAAAAF/l/zQ=")</f>
        <v>#VALUE!</v>
      </c>
      <c r="BB183" t="e">
        <f>AND('STERLING CATALOG - DRY '!F4071,"AAAAAF/l/zU=")</f>
        <v>#VALUE!</v>
      </c>
      <c r="BC183" t="e">
        <f>AND('STERLING CATALOG - DRY '!G4071,"AAAAAF/l/zY=")</f>
        <v>#VALUE!</v>
      </c>
      <c r="BD183" t="e">
        <f>AND('STERLING CATALOG - DRY '!H4071,"AAAAAF/l/zc=")</f>
        <v>#VALUE!</v>
      </c>
      <c r="BE183" t="e">
        <f>AND('STERLING CATALOG - DRY '!I4071,"AAAAAF/l/zg=")</f>
        <v>#VALUE!</v>
      </c>
      <c r="BF183" t="e">
        <f>AND('STERLING CATALOG - DRY '!J4071,"AAAAAF/l/zk=")</f>
        <v>#VALUE!</v>
      </c>
      <c r="BG183">
        <f>IF('STERLING CATALOG - DRY '!4072:4072,"AAAAAF/l/zo=",0)</f>
        <v>0</v>
      </c>
      <c r="BH183" t="e">
        <f>AND('STERLING CATALOG - DRY '!A4072,"AAAAAF/l/zs=")</f>
        <v>#VALUE!</v>
      </c>
      <c r="BI183" t="e">
        <f>AND('STERLING CATALOG - DRY '!B4072,"AAAAAF/l/zw=")</f>
        <v>#VALUE!</v>
      </c>
      <c r="BJ183" t="e">
        <f>AND('STERLING CATALOG - DRY '!C4072,"AAAAAF/l/z0=")</f>
        <v>#VALUE!</v>
      </c>
      <c r="BK183" t="e">
        <f>AND('STERLING CATALOG - DRY '!D4072,"AAAAAF/l/z4=")</f>
        <v>#VALUE!</v>
      </c>
      <c r="BL183" t="e">
        <f>AND('STERLING CATALOG - DRY '!E4072,"AAAAAF/l/z8=")</f>
        <v>#VALUE!</v>
      </c>
      <c r="BM183" t="e">
        <f>AND('STERLING CATALOG - DRY '!F4072,"AAAAAF/l/0A=")</f>
        <v>#VALUE!</v>
      </c>
      <c r="BN183" t="e">
        <f>AND('STERLING CATALOG - DRY '!G4072,"AAAAAF/l/0E=")</f>
        <v>#VALUE!</v>
      </c>
      <c r="BO183" t="e">
        <f>AND('STERLING CATALOG - DRY '!H4072,"AAAAAF/l/0I=")</f>
        <v>#VALUE!</v>
      </c>
      <c r="BP183" t="e">
        <f>AND('STERLING CATALOG - DRY '!I4072,"AAAAAF/l/0M=")</f>
        <v>#VALUE!</v>
      </c>
      <c r="BQ183" t="e">
        <f>AND('STERLING CATALOG - DRY '!J4072,"AAAAAF/l/0Q=")</f>
        <v>#VALUE!</v>
      </c>
      <c r="BR183">
        <f>IF('STERLING CATALOG - DRY '!4073:4073,"AAAAAF/l/0U=",0)</f>
        <v>0</v>
      </c>
      <c r="BS183" t="e">
        <f>AND('STERLING CATALOG - DRY '!A4073,"AAAAAF/l/0Y=")</f>
        <v>#VALUE!</v>
      </c>
      <c r="BT183" t="e">
        <f>AND('STERLING CATALOG - DRY '!B4073,"AAAAAF/l/0c=")</f>
        <v>#VALUE!</v>
      </c>
      <c r="BU183" t="e">
        <f>AND('STERLING CATALOG - DRY '!C4073,"AAAAAF/l/0g=")</f>
        <v>#VALUE!</v>
      </c>
      <c r="BV183" t="e">
        <f>AND('STERLING CATALOG - DRY '!D4073,"AAAAAF/l/0k=")</f>
        <v>#VALUE!</v>
      </c>
      <c r="BW183" t="e">
        <f>AND('STERLING CATALOG - DRY '!E4073,"AAAAAF/l/0o=")</f>
        <v>#VALUE!</v>
      </c>
      <c r="BX183" t="e">
        <f>AND('STERLING CATALOG - DRY '!F4073,"AAAAAF/l/0s=")</f>
        <v>#VALUE!</v>
      </c>
      <c r="BY183" t="e">
        <f>AND('STERLING CATALOG - DRY '!G4073,"AAAAAF/l/0w=")</f>
        <v>#VALUE!</v>
      </c>
      <c r="BZ183" t="e">
        <f>AND('STERLING CATALOG - DRY '!H4073,"AAAAAF/l/00=")</f>
        <v>#VALUE!</v>
      </c>
      <c r="CA183" t="e">
        <f>AND('STERLING CATALOG - DRY '!I4073,"AAAAAF/l/04=")</f>
        <v>#VALUE!</v>
      </c>
      <c r="CB183" t="e">
        <f>AND('STERLING CATALOG - DRY '!J4073,"AAAAAF/l/08=")</f>
        <v>#VALUE!</v>
      </c>
      <c r="CC183">
        <f>IF('STERLING CATALOG - DRY '!4074:4074,"AAAAAF/l/1A=",0)</f>
        <v>0</v>
      </c>
      <c r="CD183" t="e">
        <f>AND('STERLING CATALOG - DRY '!A4074,"AAAAAF/l/1E=")</f>
        <v>#VALUE!</v>
      </c>
      <c r="CE183" t="e">
        <f>AND('STERLING CATALOG - DRY '!B4074,"AAAAAF/l/1I=")</f>
        <v>#VALUE!</v>
      </c>
      <c r="CF183" t="e">
        <f>AND('STERLING CATALOG - DRY '!C4074,"AAAAAF/l/1M=")</f>
        <v>#VALUE!</v>
      </c>
      <c r="CG183" t="e">
        <f>AND('STERLING CATALOG - DRY '!D4074,"AAAAAF/l/1Q=")</f>
        <v>#VALUE!</v>
      </c>
      <c r="CH183" t="e">
        <f>AND('STERLING CATALOG - DRY '!E4074,"AAAAAF/l/1U=")</f>
        <v>#VALUE!</v>
      </c>
      <c r="CI183" t="e">
        <f>AND('STERLING CATALOG - DRY '!F4074,"AAAAAF/l/1Y=")</f>
        <v>#VALUE!</v>
      </c>
      <c r="CJ183" t="e">
        <f>AND('STERLING CATALOG - DRY '!G4074,"AAAAAF/l/1c=")</f>
        <v>#VALUE!</v>
      </c>
      <c r="CK183" t="e">
        <f>AND('STERLING CATALOG - DRY '!H4074,"AAAAAF/l/1g=")</f>
        <v>#VALUE!</v>
      </c>
      <c r="CL183" t="e">
        <f>AND('STERLING CATALOG - DRY '!I4074,"AAAAAF/l/1k=")</f>
        <v>#VALUE!</v>
      </c>
      <c r="CM183" t="e">
        <f>AND('STERLING CATALOG - DRY '!J4074,"AAAAAF/l/1o=")</f>
        <v>#VALUE!</v>
      </c>
      <c r="CN183">
        <f>IF('STERLING CATALOG - DRY '!4075:4075,"AAAAAF/l/1s=",0)</f>
        <v>0</v>
      </c>
      <c r="CO183" t="e">
        <f>AND('STERLING CATALOG - DRY '!A4075,"AAAAAF/l/1w=")</f>
        <v>#VALUE!</v>
      </c>
      <c r="CP183" t="e">
        <f>AND('STERLING CATALOG - DRY '!B4075,"AAAAAF/l/10=")</f>
        <v>#VALUE!</v>
      </c>
      <c r="CQ183" t="e">
        <f>AND('STERLING CATALOG - DRY '!C4075,"AAAAAF/l/14=")</f>
        <v>#VALUE!</v>
      </c>
      <c r="CR183" t="e">
        <f>AND('STERLING CATALOG - DRY '!D4075,"AAAAAF/l/18=")</f>
        <v>#VALUE!</v>
      </c>
      <c r="CS183" t="e">
        <f>AND('STERLING CATALOG - DRY '!E4075,"AAAAAF/l/2A=")</f>
        <v>#VALUE!</v>
      </c>
      <c r="CT183" t="e">
        <f>AND('STERLING CATALOG - DRY '!F4075,"AAAAAF/l/2E=")</f>
        <v>#VALUE!</v>
      </c>
      <c r="CU183" t="e">
        <f>AND('STERLING CATALOG - DRY '!G4075,"AAAAAF/l/2I=")</f>
        <v>#VALUE!</v>
      </c>
      <c r="CV183" t="e">
        <f>AND('STERLING CATALOG - DRY '!H4075,"AAAAAF/l/2M=")</f>
        <v>#VALUE!</v>
      </c>
      <c r="CW183" t="e">
        <f>AND('STERLING CATALOG - DRY '!I4075,"AAAAAF/l/2Q=")</f>
        <v>#VALUE!</v>
      </c>
      <c r="CX183" t="e">
        <f>AND('STERLING CATALOG - DRY '!J4075,"AAAAAF/l/2U=")</f>
        <v>#VALUE!</v>
      </c>
      <c r="CY183">
        <f>IF('STERLING CATALOG - DRY '!4076:4076,"AAAAAF/l/2Y=",0)</f>
        <v>0</v>
      </c>
      <c r="CZ183" t="e">
        <f>AND('STERLING CATALOG - DRY '!A4076,"AAAAAF/l/2c=")</f>
        <v>#VALUE!</v>
      </c>
      <c r="DA183" t="e">
        <f>AND('STERLING CATALOG - DRY '!B4076,"AAAAAF/l/2g=")</f>
        <v>#VALUE!</v>
      </c>
      <c r="DB183" t="e">
        <f>AND('STERLING CATALOG - DRY '!C4076,"AAAAAF/l/2k=")</f>
        <v>#VALUE!</v>
      </c>
      <c r="DC183" t="e">
        <f>AND('STERLING CATALOG - DRY '!D4076,"AAAAAF/l/2o=")</f>
        <v>#VALUE!</v>
      </c>
      <c r="DD183" t="e">
        <f>AND('STERLING CATALOG - DRY '!E4076,"AAAAAF/l/2s=")</f>
        <v>#VALUE!</v>
      </c>
      <c r="DE183" t="e">
        <f>AND('STERLING CATALOG - DRY '!F4076,"AAAAAF/l/2w=")</f>
        <v>#VALUE!</v>
      </c>
      <c r="DF183" t="e">
        <f>AND('STERLING CATALOG - DRY '!G4076,"AAAAAF/l/20=")</f>
        <v>#VALUE!</v>
      </c>
      <c r="DG183" t="e">
        <f>AND('STERLING CATALOG - DRY '!H4076,"AAAAAF/l/24=")</f>
        <v>#VALUE!</v>
      </c>
      <c r="DH183" t="e">
        <f>AND('STERLING CATALOG - DRY '!I4076,"AAAAAF/l/28=")</f>
        <v>#VALUE!</v>
      </c>
      <c r="DI183" t="e">
        <f>AND('STERLING CATALOG - DRY '!J4076,"AAAAAF/l/3A=")</f>
        <v>#VALUE!</v>
      </c>
      <c r="DJ183">
        <f>IF('STERLING CATALOG - DRY '!4077:4077,"AAAAAF/l/3E=",0)</f>
        <v>0</v>
      </c>
      <c r="DK183" t="e">
        <f>AND('STERLING CATALOG - DRY '!A4077,"AAAAAF/l/3I=")</f>
        <v>#VALUE!</v>
      </c>
      <c r="DL183" t="e">
        <f>AND('STERLING CATALOG - DRY '!B4077,"AAAAAF/l/3M=")</f>
        <v>#VALUE!</v>
      </c>
      <c r="DM183" t="e">
        <f>AND('STERLING CATALOG - DRY '!C4077,"AAAAAF/l/3Q=")</f>
        <v>#VALUE!</v>
      </c>
      <c r="DN183" t="e">
        <f>AND('STERLING CATALOG - DRY '!D4077,"AAAAAF/l/3U=")</f>
        <v>#VALUE!</v>
      </c>
      <c r="DO183" t="e">
        <f>AND('STERLING CATALOG - DRY '!E4077,"AAAAAF/l/3Y=")</f>
        <v>#VALUE!</v>
      </c>
      <c r="DP183" t="e">
        <f>AND('STERLING CATALOG - DRY '!F4077,"AAAAAF/l/3c=")</f>
        <v>#VALUE!</v>
      </c>
      <c r="DQ183" t="e">
        <f>AND('STERLING CATALOG - DRY '!G4077,"AAAAAF/l/3g=")</f>
        <v>#VALUE!</v>
      </c>
      <c r="DR183" t="e">
        <f>AND('STERLING CATALOG - DRY '!H4077,"AAAAAF/l/3k=")</f>
        <v>#VALUE!</v>
      </c>
      <c r="DS183" t="e">
        <f>AND('STERLING CATALOG - DRY '!I4077,"AAAAAF/l/3o=")</f>
        <v>#VALUE!</v>
      </c>
      <c r="DT183" t="e">
        <f>AND('STERLING CATALOG - DRY '!J4077,"AAAAAF/l/3s=")</f>
        <v>#VALUE!</v>
      </c>
      <c r="DU183">
        <f>IF('STERLING CATALOG - DRY '!4078:4078,"AAAAAF/l/3w=",0)</f>
        <v>0</v>
      </c>
      <c r="DV183" t="e">
        <f>AND('STERLING CATALOG - DRY '!A4078,"AAAAAF/l/30=")</f>
        <v>#VALUE!</v>
      </c>
      <c r="DW183" t="e">
        <f>AND('STERLING CATALOG - DRY '!B4078,"AAAAAF/l/34=")</f>
        <v>#VALUE!</v>
      </c>
      <c r="DX183" t="e">
        <f>AND('STERLING CATALOG - DRY '!C4078,"AAAAAF/l/38=")</f>
        <v>#VALUE!</v>
      </c>
      <c r="DY183" t="e">
        <f>AND('STERLING CATALOG - DRY '!D4078,"AAAAAF/l/4A=")</f>
        <v>#VALUE!</v>
      </c>
      <c r="DZ183" t="e">
        <f>AND('STERLING CATALOG - DRY '!E4078,"AAAAAF/l/4E=")</f>
        <v>#VALUE!</v>
      </c>
      <c r="EA183" t="e">
        <f>AND('STERLING CATALOG - DRY '!F4078,"AAAAAF/l/4I=")</f>
        <v>#VALUE!</v>
      </c>
      <c r="EB183" t="e">
        <f>AND('STERLING CATALOG - DRY '!G4078,"AAAAAF/l/4M=")</f>
        <v>#VALUE!</v>
      </c>
      <c r="EC183" t="e">
        <f>AND('STERLING CATALOG - DRY '!H4078,"AAAAAF/l/4Q=")</f>
        <v>#VALUE!</v>
      </c>
      <c r="ED183" t="e">
        <f>AND('STERLING CATALOG - DRY '!I4078,"AAAAAF/l/4U=")</f>
        <v>#VALUE!</v>
      </c>
      <c r="EE183" t="e">
        <f>AND('STERLING CATALOG - DRY '!J4078,"AAAAAF/l/4Y=")</f>
        <v>#VALUE!</v>
      </c>
      <c r="EF183">
        <f>IF('STERLING CATALOG - DRY '!4079:4079,"AAAAAF/l/4c=",0)</f>
        <v>0</v>
      </c>
      <c r="EG183" t="e">
        <f>AND('STERLING CATALOG - DRY '!A4079,"AAAAAF/l/4g=")</f>
        <v>#VALUE!</v>
      </c>
      <c r="EH183" t="e">
        <f>AND('STERLING CATALOG - DRY '!B4079,"AAAAAF/l/4k=")</f>
        <v>#VALUE!</v>
      </c>
      <c r="EI183" t="e">
        <f>AND('STERLING CATALOG - DRY '!C4079,"AAAAAF/l/4o=")</f>
        <v>#VALUE!</v>
      </c>
      <c r="EJ183" t="e">
        <f>AND('STERLING CATALOG - DRY '!D4079,"AAAAAF/l/4s=")</f>
        <v>#VALUE!</v>
      </c>
      <c r="EK183" t="e">
        <f>AND('STERLING CATALOG - DRY '!E4079,"AAAAAF/l/4w=")</f>
        <v>#VALUE!</v>
      </c>
      <c r="EL183" t="e">
        <f>AND('STERLING CATALOG - DRY '!F4079,"AAAAAF/l/40=")</f>
        <v>#VALUE!</v>
      </c>
      <c r="EM183" t="e">
        <f>AND('STERLING CATALOG - DRY '!G4079,"AAAAAF/l/44=")</f>
        <v>#VALUE!</v>
      </c>
      <c r="EN183" t="e">
        <f>AND('STERLING CATALOG - DRY '!H4079,"AAAAAF/l/48=")</f>
        <v>#VALUE!</v>
      </c>
      <c r="EO183" t="e">
        <f>AND('STERLING CATALOG - DRY '!I4079,"AAAAAF/l/5A=")</f>
        <v>#VALUE!</v>
      </c>
      <c r="EP183" t="e">
        <f>AND('STERLING CATALOG - DRY '!J4079,"AAAAAF/l/5E=")</f>
        <v>#VALUE!</v>
      </c>
      <c r="EQ183">
        <f>IF('STERLING CATALOG - DRY '!4080:4080,"AAAAAF/l/5I=",0)</f>
        <v>0</v>
      </c>
      <c r="ER183" t="e">
        <f>AND('STERLING CATALOG - DRY '!A4080,"AAAAAF/l/5M=")</f>
        <v>#VALUE!</v>
      </c>
      <c r="ES183" t="e">
        <f>AND('STERLING CATALOG - DRY '!B4080,"AAAAAF/l/5Q=")</f>
        <v>#VALUE!</v>
      </c>
      <c r="ET183" t="e">
        <f>AND('STERLING CATALOG - DRY '!C4080,"AAAAAF/l/5U=")</f>
        <v>#VALUE!</v>
      </c>
      <c r="EU183" t="e">
        <f>AND('STERLING CATALOG - DRY '!D4080,"AAAAAF/l/5Y=")</f>
        <v>#VALUE!</v>
      </c>
      <c r="EV183" t="e">
        <f>AND('STERLING CATALOG - DRY '!E4080,"AAAAAF/l/5c=")</f>
        <v>#VALUE!</v>
      </c>
      <c r="EW183" t="e">
        <f>AND('STERLING CATALOG - DRY '!F4080,"AAAAAF/l/5g=")</f>
        <v>#VALUE!</v>
      </c>
      <c r="EX183" t="e">
        <f>AND('STERLING CATALOG - DRY '!G4080,"AAAAAF/l/5k=")</f>
        <v>#VALUE!</v>
      </c>
      <c r="EY183" t="e">
        <f>AND('STERLING CATALOG - DRY '!H4080,"AAAAAF/l/5o=")</f>
        <v>#VALUE!</v>
      </c>
      <c r="EZ183" t="e">
        <f>AND('STERLING CATALOG - DRY '!I4080,"AAAAAF/l/5s=")</f>
        <v>#VALUE!</v>
      </c>
      <c r="FA183" t="e">
        <f>AND('STERLING CATALOG - DRY '!J4080,"AAAAAF/l/5w=")</f>
        <v>#VALUE!</v>
      </c>
      <c r="FB183">
        <f>IF('STERLING CATALOG - DRY '!4081:4081,"AAAAAF/l/50=",0)</f>
        <v>0</v>
      </c>
      <c r="FC183" t="e">
        <f>AND('STERLING CATALOG - DRY '!A4081,"AAAAAF/l/54=")</f>
        <v>#VALUE!</v>
      </c>
      <c r="FD183" t="e">
        <f>AND('STERLING CATALOG - DRY '!B4081,"AAAAAF/l/58=")</f>
        <v>#VALUE!</v>
      </c>
      <c r="FE183" t="e">
        <f>AND('STERLING CATALOG - DRY '!C4081,"AAAAAF/l/6A=")</f>
        <v>#VALUE!</v>
      </c>
      <c r="FF183" t="e">
        <f>AND('STERLING CATALOG - DRY '!D4081,"AAAAAF/l/6E=")</f>
        <v>#VALUE!</v>
      </c>
      <c r="FG183" t="e">
        <f>AND('STERLING CATALOG - DRY '!E4081,"AAAAAF/l/6I=")</f>
        <v>#VALUE!</v>
      </c>
      <c r="FH183" t="e">
        <f>AND('STERLING CATALOG - DRY '!F4081,"AAAAAF/l/6M=")</f>
        <v>#VALUE!</v>
      </c>
      <c r="FI183" t="e">
        <f>AND('STERLING CATALOG - DRY '!G4081,"AAAAAF/l/6Q=")</f>
        <v>#VALUE!</v>
      </c>
      <c r="FJ183" t="e">
        <f>AND('STERLING CATALOG - DRY '!H4081,"AAAAAF/l/6U=")</f>
        <v>#VALUE!</v>
      </c>
      <c r="FK183" t="e">
        <f>AND('STERLING CATALOG - DRY '!I4081,"AAAAAF/l/6Y=")</f>
        <v>#VALUE!</v>
      </c>
      <c r="FL183" t="e">
        <f>AND('STERLING CATALOG - DRY '!J4081,"AAAAAF/l/6c=")</f>
        <v>#VALUE!</v>
      </c>
      <c r="FM183">
        <f>IF('STERLING CATALOG - DRY '!4082:4082,"AAAAAF/l/6g=",0)</f>
        <v>0</v>
      </c>
      <c r="FN183" t="e">
        <f>AND('STERLING CATALOG - DRY '!A4082,"AAAAAF/l/6k=")</f>
        <v>#VALUE!</v>
      </c>
      <c r="FO183" t="e">
        <f>AND('STERLING CATALOG - DRY '!B4082,"AAAAAF/l/6o=")</f>
        <v>#VALUE!</v>
      </c>
      <c r="FP183" t="e">
        <f>AND('STERLING CATALOG - DRY '!C4082,"AAAAAF/l/6s=")</f>
        <v>#VALUE!</v>
      </c>
      <c r="FQ183" t="e">
        <f>AND('STERLING CATALOG - DRY '!D4082,"AAAAAF/l/6w=")</f>
        <v>#VALUE!</v>
      </c>
      <c r="FR183" t="e">
        <f>AND('STERLING CATALOG - DRY '!E4082,"AAAAAF/l/60=")</f>
        <v>#VALUE!</v>
      </c>
      <c r="FS183" t="e">
        <f>AND('STERLING CATALOG - DRY '!F4082,"AAAAAF/l/64=")</f>
        <v>#VALUE!</v>
      </c>
      <c r="FT183" t="e">
        <f>AND('STERLING CATALOG - DRY '!G4082,"AAAAAF/l/68=")</f>
        <v>#VALUE!</v>
      </c>
      <c r="FU183" t="e">
        <f>AND('STERLING CATALOG - DRY '!H4082,"AAAAAF/l/7A=")</f>
        <v>#VALUE!</v>
      </c>
      <c r="FV183" t="e">
        <f>AND('STERLING CATALOG - DRY '!I4082,"AAAAAF/l/7E=")</f>
        <v>#VALUE!</v>
      </c>
      <c r="FW183" t="e">
        <f>AND('STERLING CATALOG - DRY '!J4082,"AAAAAF/l/7I=")</f>
        <v>#VALUE!</v>
      </c>
      <c r="FX183">
        <f>IF('STERLING CATALOG - DRY '!4083:4083,"AAAAAF/l/7M=",0)</f>
        <v>0</v>
      </c>
      <c r="FY183" t="e">
        <f>AND('STERLING CATALOG - DRY '!A4083,"AAAAAF/l/7Q=")</f>
        <v>#VALUE!</v>
      </c>
      <c r="FZ183" t="e">
        <f>AND('STERLING CATALOG - DRY '!B4083,"AAAAAF/l/7U=")</f>
        <v>#VALUE!</v>
      </c>
      <c r="GA183" t="e">
        <f>AND('STERLING CATALOG - DRY '!C4083,"AAAAAF/l/7Y=")</f>
        <v>#VALUE!</v>
      </c>
      <c r="GB183" t="e">
        <f>AND('STERLING CATALOG - DRY '!D4083,"AAAAAF/l/7c=")</f>
        <v>#VALUE!</v>
      </c>
      <c r="GC183" t="e">
        <f>AND('STERLING CATALOG - DRY '!E4083,"AAAAAF/l/7g=")</f>
        <v>#VALUE!</v>
      </c>
      <c r="GD183" t="e">
        <f>AND('STERLING CATALOG - DRY '!F4083,"AAAAAF/l/7k=")</f>
        <v>#VALUE!</v>
      </c>
      <c r="GE183" t="e">
        <f>AND('STERLING CATALOG - DRY '!G4083,"AAAAAF/l/7o=")</f>
        <v>#VALUE!</v>
      </c>
      <c r="GF183" t="e">
        <f>AND('STERLING CATALOG - DRY '!H4083,"AAAAAF/l/7s=")</f>
        <v>#VALUE!</v>
      </c>
      <c r="GG183" t="e">
        <f>AND('STERLING CATALOG - DRY '!I4083,"AAAAAF/l/7w=")</f>
        <v>#VALUE!</v>
      </c>
      <c r="GH183" t="e">
        <f>AND('STERLING CATALOG - DRY '!J4083,"AAAAAF/l/70=")</f>
        <v>#VALUE!</v>
      </c>
      <c r="GI183">
        <f>IF('STERLING CATALOG - DRY '!4084:4084,"AAAAAF/l/74=",0)</f>
        <v>0</v>
      </c>
      <c r="GJ183" t="e">
        <f>AND('STERLING CATALOG - DRY '!A4084,"AAAAAF/l/78=")</f>
        <v>#VALUE!</v>
      </c>
      <c r="GK183" t="e">
        <f>AND('STERLING CATALOG - DRY '!B4084,"AAAAAF/l/8A=")</f>
        <v>#VALUE!</v>
      </c>
      <c r="GL183" t="e">
        <f>AND('STERLING CATALOG - DRY '!C4084,"AAAAAF/l/8E=")</f>
        <v>#VALUE!</v>
      </c>
      <c r="GM183" t="e">
        <f>AND('STERLING CATALOG - DRY '!D4084,"AAAAAF/l/8I=")</f>
        <v>#VALUE!</v>
      </c>
      <c r="GN183" t="e">
        <f>AND('STERLING CATALOG - DRY '!E4084,"AAAAAF/l/8M=")</f>
        <v>#VALUE!</v>
      </c>
      <c r="GO183" t="e">
        <f>AND('STERLING CATALOG - DRY '!F4084,"AAAAAF/l/8Q=")</f>
        <v>#VALUE!</v>
      </c>
      <c r="GP183" t="e">
        <f>AND('STERLING CATALOG - DRY '!G4084,"AAAAAF/l/8U=")</f>
        <v>#VALUE!</v>
      </c>
      <c r="GQ183" t="e">
        <f>AND('STERLING CATALOG - DRY '!H4084,"AAAAAF/l/8Y=")</f>
        <v>#VALUE!</v>
      </c>
      <c r="GR183" t="e">
        <f>AND('STERLING CATALOG - DRY '!I4084,"AAAAAF/l/8c=")</f>
        <v>#VALUE!</v>
      </c>
      <c r="GS183" t="e">
        <f>AND('STERLING CATALOG - DRY '!J4084,"AAAAAF/l/8g=")</f>
        <v>#VALUE!</v>
      </c>
      <c r="GT183">
        <f>IF('STERLING CATALOG - DRY '!4085:4085,"AAAAAF/l/8k=",0)</f>
        <v>0</v>
      </c>
      <c r="GU183" t="e">
        <f>AND('STERLING CATALOG - DRY '!A4085,"AAAAAF/l/8o=")</f>
        <v>#VALUE!</v>
      </c>
      <c r="GV183" t="e">
        <f>AND('STERLING CATALOG - DRY '!B4085,"AAAAAF/l/8s=")</f>
        <v>#VALUE!</v>
      </c>
      <c r="GW183" t="e">
        <f>AND('STERLING CATALOG - DRY '!C4085,"AAAAAF/l/8w=")</f>
        <v>#VALUE!</v>
      </c>
      <c r="GX183" t="e">
        <f>AND('STERLING CATALOG - DRY '!D4085,"AAAAAF/l/80=")</f>
        <v>#VALUE!</v>
      </c>
      <c r="GY183" t="e">
        <f>AND('STERLING CATALOG - DRY '!E4085,"AAAAAF/l/84=")</f>
        <v>#VALUE!</v>
      </c>
      <c r="GZ183" t="e">
        <f>AND('STERLING CATALOG - DRY '!F4085,"AAAAAF/l/88=")</f>
        <v>#VALUE!</v>
      </c>
      <c r="HA183" t="e">
        <f>AND('STERLING CATALOG - DRY '!G4085,"AAAAAF/l/9A=")</f>
        <v>#VALUE!</v>
      </c>
      <c r="HB183" t="e">
        <f>AND('STERLING CATALOG - DRY '!H4085,"AAAAAF/l/9E=")</f>
        <v>#VALUE!</v>
      </c>
      <c r="HC183" t="e">
        <f>AND('STERLING CATALOG - DRY '!I4085,"AAAAAF/l/9I=")</f>
        <v>#VALUE!</v>
      </c>
      <c r="HD183" t="e">
        <f>AND('STERLING CATALOG - DRY '!J4085,"AAAAAF/l/9M=")</f>
        <v>#VALUE!</v>
      </c>
      <c r="HE183">
        <f>IF('STERLING CATALOG - DRY '!4086:4086,"AAAAAF/l/9Q=",0)</f>
        <v>0</v>
      </c>
      <c r="HF183" t="e">
        <f>AND('STERLING CATALOG - DRY '!A4086,"AAAAAF/l/9U=")</f>
        <v>#VALUE!</v>
      </c>
      <c r="HG183" t="e">
        <f>AND('STERLING CATALOG - DRY '!B4086,"AAAAAF/l/9Y=")</f>
        <v>#VALUE!</v>
      </c>
      <c r="HH183" t="e">
        <f>AND('STERLING CATALOG - DRY '!C4086,"AAAAAF/l/9c=")</f>
        <v>#VALUE!</v>
      </c>
      <c r="HI183" t="e">
        <f>AND('STERLING CATALOG - DRY '!D4086,"AAAAAF/l/9g=")</f>
        <v>#VALUE!</v>
      </c>
      <c r="HJ183" t="e">
        <f>AND('STERLING CATALOG - DRY '!E4086,"AAAAAF/l/9k=")</f>
        <v>#VALUE!</v>
      </c>
      <c r="HK183" t="e">
        <f>AND('STERLING CATALOG - DRY '!F4086,"AAAAAF/l/9o=")</f>
        <v>#VALUE!</v>
      </c>
      <c r="HL183" t="e">
        <f>AND('STERLING CATALOG - DRY '!G4086,"AAAAAF/l/9s=")</f>
        <v>#VALUE!</v>
      </c>
      <c r="HM183" t="e">
        <f>AND('STERLING CATALOG - DRY '!H4086,"AAAAAF/l/9w=")</f>
        <v>#VALUE!</v>
      </c>
      <c r="HN183" t="e">
        <f>AND('STERLING CATALOG - DRY '!I4086,"AAAAAF/l/90=")</f>
        <v>#VALUE!</v>
      </c>
      <c r="HO183" t="e">
        <f>AND('STERLING CATALOG - DRY '!J4086,"AAAAAF/l/94=")</f>
        <v>#VALUE!</v>
      </c>
      <c r="HP183">
        <f>IF('STERLING CATALOG - DRY '!4087:4087,"AAAAAF/l/98=",0)</f>
        <v>0</v>
      </c>
      <c r="HQ183" t="e">
        <f>AND('STERLING CATALOG - DRY '!A4087,"AAAAAF/l/+A=")</f>
        <v>#VALUE!</v>
      </c>
      <c r="HR183" t="e">
        <f>AND('STERLING CATALOG - DRY '!B4087,"AAAAAF/l/+E=")</f>
        <v>#VALUE!</v>
      </c>
      <c r="HS183" t="e">
        <f>AND('STERLING CATALOG - DRY '!C4087,"AAAAAF/l/+I=")</f>
        <v>#VALUE!</v>
      </c>
      <c r="HT183" t="e">
        <f>AND('STERLING CATALOG - DRY '!D4087,"AAAAAF/l/+M=")</f>
        <v>#VALUE!</v>
      </c>
      <c r="HU183" t="e">
        <f>AND('STERLING CATALOG - DRY '!E4087,"AAAAAF/l/+Q=")</f>
        <v>#VALUE!</v>
      </c>
      <c r="HV183" t="e">
        <f>AND('STERLING CATALOG - DRY '!F4087,"AAAAAF/l/+U=")</f>
        <v>#VALUE!</v>
      </c>
      <c r="HW183" t="e">
        <f>AND('STERLING CATALOG - DRY '!G4087,"AAAAAF/l/+Y=")</f>
        <v>#VALUE!</v>
      </c>
      <c r="HX183" t="e">
        <f>AND('STERLING CATALOG - DRY '!H4087,"AAAAAF/l/+c=")</f>
        <v>#VALUE!</v>
      </c>
      <c r="HY183" t="e">
        <f>AND('STERLING CATALOG - DRY '!I4087,"AAAAAF/l/+g=")</f>
        <v>#VALUE!</v>
      </c>
      <c r="HZ183" t="e">
        <f>AND('STERLING CATALOG - DRY '!J4087,"AAAAAF/l/+k=")</f>
        <v>#VALUE!</v>
      </c>
      <c r="IA183">
        <f>IF('STERLING CATALOG - DRY '!4088:4088,"AAAAAF/l/+o=",0)</f>
        <v>0</v>
      </c>
      <c r="IB183" t="e">
        <f>AND('STERLING CATALOG - DRY '!A4088,"AAAAAF/l/+s=")</f>
        <v>#VALUE!</v>
      </c>
      <c r="IC183" t="e">
        <f>AND('STERLING CATALOG - DRY '!B4088,"AAAAAF/l/+w=")</f>
        <v>#VALUE!</v>
      </c>
      <c r="ID183" t="e">
        <f>AND('STERLING CATALOG - DRY '!C4088,"AAAAAF/l/+0=")</f>
        <v>#VALUE!</v>
      </c>
      <c r="IE183" t="e">
        <f>AND('STERLING CATALOG - DRY '!D4088,"AAAAAF/l/+4=")</f>
        <v>#VALUE!</v>
      </c>
      <c r="IF183" t="e">
        <f>AND('STERLING CATALOG - DRY '!E4088,"AAAAAF/l/+8=")</f>
        <v>#VALUE!</v>
      </c>
      <c r="IG183" t="e">
        <f>AND('STERLING CATALOG - DRY '!F4088,"AAAAAF/l//A=")</f>
        <v>#VALUE!</v>
      </c>
      <c r="IH183" t="e">
        <f>AND('STERLING CATALOG - DRY '!G4088,"AAAAAF/l//E=")</f>
        <v>#VALUE!</v>
      </c>
      <c r="II183" t="e">
        <f>AND('STERLING CATALOG - DRY '!H4088,"AAAAAF/l//I=")</f>
        <v>#VALUE!</v>
      </c>
      <c r="IJ183" t="e">
        <f>AND('STERLING CATALOG - DRY '!I4088,"AAAAAF/l//M=")</f>
        <v>#VALUE!</v>
      </c>
      <c r="IK183" t="e">
        <f>AND('STERLING CATALOG - DRY '!J4088,"AAAAAF/l//Q=")</f>
        <v>#VALUE!</v>
      </c>
      <c r="IL183">
        <f>IF('STERLING CATALOG - DRY '!4089:4089,"AAAAAF/l//U=",0)</f>
        <v>0</v>
      </c>
      <c r="IM183" t="e">
        <f>AND('STERLING CATALOG - DRY '!A4089,"AAAAAF/l//Y=")</f>
        <v>#VALUE!</v>
      </c>
      <c r="IN183" t="e">
        <f>AND('STERLING CATALOG - DRY '!B4089,"AAAAAF/l//c=")</f>
        <v>#VALUE!</v>
      </c>
      <c r="IO183" t="e">
        <f>AND('STERLING CATALOG - DRY '!C4089,"AAAAAF/l//g=")</f>
        <v>#VALUE!</v>
      </c>
      <c r="IP183" t="e">
        <f>AND('STERLING CATALOG - DRY '!D4089,"AAAAAF/l//k=")</f>
        <v>#VALUE!</v>
      </c>
      <c r="IQ183" t="e">
        <f>AND('STERLING CATALOG - DRY '!E4089,"AAAAAF/l//o=")</f>
        <v>#VALUE!</v>
      </c>
      <c r="IR183" t="e">
        <f>AND('STERLING CATALOG - DRY '!F4089,"AAAAAF/l//s=")</f>
        <v>#VALUE!</v>
      </c>
      <c r="IS183" t="e">
        <f>AND('STERLING CATALOG - DRY '!G4089,"AAAAAF/l//w=")</f>
        <v>#VALUE!</v>
      </c>
      <c r="IT183" t="e">
        <f>AND('STERLING CATALOG - DRY '!H4089,"AAAAAF/l//0=")</f>
        <v>#VALUE!</v>
      </c>
      <c r="IU183" t="e">
        <f>AND('STERLING CATALOG - DRY '!I4089,"AAAAAF/l//4=")</f>
        <v>#VALUE!</v>
      </c>
      <c r="IV183" t="e">
        <f>AND('STERLING CATALOG - DRY '!J4089,"AAAAAF/l//8=")</f>
        <v>#VALUE!</v>
      </c>
    </row>
    <row r="184" spans="1:256">
      <c r="A184" t="str">
        <f>IF('STERLING CATALOG - DRY '!4090:4090,"AAAAAD2+vQA=",0)</f>
        <v>AAAAAD2+vQA=</v>
      </c>
      <c r="B184" t="e">
        <f>AND('STERLING CATALOG - DRY '!A4090,"AAAAAD2+vQE=")</f>
        <v>#VALUE!</v>
      </c>
      <c r="C184" t="e">
        <f>AND('STERLING CATALOG - DRY '!B4090,"AAAAAD2+vQI=")</f>
        <v>#VALUE!</v>
      </c>
      <c r="D184" t="e">
        <f>AND('STERLING CATALOG - DRY '!C4090,"AAAAAD2+vQM=")</f>
        <v>#VALUE!</v>
      </c>
      <c r="E184" t="e">
        <f>AND('STERLING CATALOG - DRY '!D4090,"AAAAAD2+vQQ=")</f>
        <v>#VALUE!</v>
      </c>
      <c r="F184" t="e">
        <f>AND('STERLING CATALOG - DRY '!E4090,"AAAAAD2+vQU=")</f>
        <v>#VALUE!</v>
      </c>
      <c r="G184" t="e">
        <f>AND('STERLING CATALOG - DRY '!F4090,"AAAAAD2+vQY=")</f>
        <v>#VALUE!</v>
      </c>
      <c r="H184" t="e">
        <f>AND('STERLING CATALOG - DRY '!G4090,"AAAAAD2+vQc=")</f>
        <v>#VALUE!</v>
      </c>
      <c r="I184" t="e">
        <f>AND('STERLING CATALOG - DRY '!H4090,"AAAAAD2+vQg=")</f>
        <v>#VALUE!</v>
      </c>
      <c r="J184" t="e">
        <f>AND('STERLING CATALOG - DRY '!I4090,"AAAAAD2+vQk=")</f>
        <v>#VALUE!</v>
      </c>
      <c r="K184" t="e">
        <f>AND('STERLING CATALOG - DRY '!J4090,"AAAAAD2+vQo=")</f>
        <v>#VALUE!</v>
      </c>
      <c r="L184">
        <f>IF('STERLING CATALOG - DRY '!4091:4091,"AAAAAD2+vQs=",0)</f>
        <v>0</v>
      </c>
      <c r="M184" t="e">
        <f>AND('STERLING CATALOG - DRY '!A4091,"AAAAAD2+vQw=")</f>
        <v>#VALUE!</v>
      </c>
      <c r="N184" t="e">
        <f>AND('STERLING CATALOG - DRY '!B4091,"AAAAAD2+vQ0=")</f>
        <v>#VALUE!</v>
      </c>
      <c r="O184" t="e">
        <f>AND('STERLING CATALOG - DRY '!C4091,"AAAAAD2+vQ4=")</f>
        <v>#VALUE!</v>
      </c>
      <c r="P184" t="e">
        <f>AND('STERLING CATALOG - DRY '!D4091,"AAAAAD2+vQ8=")</f>
        <v>#VALUE!</v>
      </c>
      <c r="Q184" t="e">
        <f>AND('STERLING CATALOG - DRY '!E4091,"AAAAAD2+vRA=")</f>
        <v>#VALUE!</v>
      </c>
      <c r="R184" t="e">
        <f>AND('STERLING CATALOG - DRY '!F4091,"AAAAAD2+vRE=")</f>
        <v>#VALUE!</v>
      </c>
      <c r="S184" t="e">
        <f>AND('STERLING CATALOG - DRY '!G4091,"AAAAAD2+vRI=")</f>
        <v>#VALUE!</v>
      </c>
      <c r="T184" t="e">
        <f>AND('STERLING CATALOG - DRY '!H4091,"AAAAAD2+vRM=")</f>
        <v>#VALUE!</v>
      </c>
      <c r="U184" t="e">
        <f>AND('STERLING CATALOG - DRY '!I4091,"AAAAAD2+vRQ=")</f>
        <v>#VALUE!</v>
      </c>
      <c r="V184" t="e">
        <f>AND('STERLING CATALOG - DRY '!J4091,"AAAAAD2+vRU=")</f>
        <v>#VALUE!</v>
      </c>
      <c r="W184">
        <f>IF('STERLING CATALOG - DRY '!4092:4092,"AAAAAD2+vRY=",0)</f>
        <v>0</v>
      </c>
      <c r="X184" t="e">
        <f>AND('STERLING CATALOG - DRY '!A4092,"AAAAAD2+vRc=")</f>
        <v>#VALUE!</v>
      </c>
      <c r="Y184" t="e">
        <f>AND('STERLING CATALOG - DRY '!B4092,"AAAAAD2+vRg=")</f>
        <v>#VALUE!</v>
      </c>
      <c r="Z184" t="e">
        <f>AND('STERLING CATALOG - DRY '!C4092,"AAAAAD2+vRk=")</f>
        <v>#VALUE!</v>
      </c>
      <c r="AA184" t="e">
        <f>AND('STERLING CATALOG - DRY '!D4092,"AAAAAD2+vRo=")</f>
        <v>#VALUE!</v>
      </c>
      <c r="AB184" t="e">
        <f>AND('STERLING CATALOG - DRY '!E4092,"AAAAAD2+vRs=")</f>
        <v>#VALUE!</v>
      </c>
      <c r="AC184" t="e">
        <f>AND('STERLING CATALOG - DRY '!F4092,"AAAAAD2+vRw=")</f>
        <v>#VALUE!</v>
      </c>
      <c r="AD184" t="e">
        <f>AND('STERLING CATALOG - DRY '!G4092,"AAAAAD2+vR0=")</f>
        <v>#VALUE!</v>
      </c>
      <c r="AE184" t="e">
        <f>AND('STERLING CATALOG - DRY '!H4092,"AAAAAD2+vR4=")</f>
        <v>#VALUE!</v>
      </c>
      <c r="AF184" t="e">
        <f>AND('STERLING CATALOG - DRY '!I4092,"AAAAAD2+vR8=")</f>
        <v>#VALUE!</v>
      </c>
      <c r="AG184" t="e">
        <f>AND('STERLING CATALOG - DRY '!J4092,"AAAAAD2+vSA=")</f>
        <v>#VALUE!</v>
      </c>
      <c r="AH184">
        <f>IF('STERLING CATALOG - DRY '!4093:4093,"AAAAAD2+vSE=",0)</f>
        <v>0</v>
      </c>
      <c r="AI184" t="e">
        <f>AND('STERLING CATALOG - DRY '!A4093,"AAAAAD2+vSI=")</f>
        <v>#VALUE!</v>
      </c>
      <c r="AJ184" t="e">
        <f>AND('STERLING CATALOG - DRY '!B4093,"AAAAAD2+vSM=")</f>
        <v>#VALUE!</v>
      </c>
      <c r="AK184" t="e">
        <f>AND('STERLING CATALOG - DRY '!C4093,"AAAAAD2+vSQ=")</f>
        <v>#VALUE!</v>
      </c>
      <c r="AL184" t="e">
        <f>AND('STERLING CATALOG - DRY '!D4093,"AAAAAD2+vSU=")</f>
        <v>#VALUE!</v>
      </c>
      <c r="AM184" t="e">
        <f>AND('STERLING CATALOG - DRY '!E4093,"AAAAAD2+vSY=")</f>
        <v>#VALUE!</v>
      </c>
      <c r="AN184" t="e">
        <f>AND('STERLING CATALOG - DRY '!F4093,"AAAAAD2+vSc=")</f>
        <v>#VALUE!</v>
      </c>
      <c r="AO184" t="e">
        <f>AND('STERLING CATALOG - DRY '!G4093,"AAAAAD2+vSg=")</f>
        <v>#VALUE!</v>
      </c>
      <c r="AP184" t="e">
        <f>AND('STERLING CATALOG - DRY '!H4093,"AAAAAD2+vSk=")</f>
        <v>#VALUE!</v>
      </c>
      <c r="AQ184" t="e">
        <f>AND('STERLING CATALOG - DRY '!I4093,"AAAAAD2+vSo=")</f>
        <v>#VALUE!</v>
      </c>
      <c r="AR184" t="e">
        <f>AND('STERLING CATALOG - DRY '!J4093,"AAAAAD2+vSs=")</f>
        <v>#VALUE!</v>
      </c>
      <c r="AS184">
        <f>IF('STERLING CATALOG - DRY '!4094:4094,"AAAAAD2+vSw=",0)</f>
        <v>0</v>
      </c>
      <c r="AT184" t="e">
        <f>AND('STERLING CATALOG - DRY '!A4094,"AAAAAD2+vS0=")</f>
        <v>#VALUE!</v>
      </c>
      <c r="AU184" t="e">
        <f>AND('STERLING CATALOG - DRY '!B4094,"AAAAAD2+vS4=")</f>
        <v>#VALUE!</v>
      </c>
      <c r="AV184" t="e">
        <f>AND('STERLING CATALOG - DRY '!C4094,"AAAAAD2+vS8=")</f>
        <v>#VALUE!</v>
      </c>
      <c r="AW184" t="e">
        <f>AND('STERLING CATALOG - DRY '!D4094,"AAAAAD2+vTA=")</f>
        <v>#VALUE!</v>
      </c>
      <c r="AX184" t="e">
        <f>AND('STERLING CATALOG - DRY '!E4094,"AAAAAD2+vTE=")</f>
        <v>#VALUE!</v>
      </c>
      <c r="AY184" t="e">
        <f>AND('STERLING CATALOG - DRY '!F4094,"AAAAAD2+vTI=")</f>
        <v>#VALUE!</v>
      </c>
      <c r="AZ184" t="e">
        <f>AND('STERLING CATALOG - DRY '!G4094,"AAAAAD2+vTM=")</f>
        <v>#VALUE!</v>
      </c>
      <c r="BA184" t="e">
        <f>AND('STERLING CATALOG - DRY '!H4094,"AAAAAD2+vTQ=")</f>
        <v>#VALUE!</v>
      </c>
      <c r="BB184" t="e">
        <f>AND('STERLING CATALOG - DRY '!I4094,"AAAAAD2+vTU=")</f>
        <v>#VALUE!</v>
      </c>
      <c r="BC184" t="e">
        <f>AND('STERLING CATALOG - DRY '!J4094,"AAAAAD2+vTY=")</f>
        <v>#VALUE!</v>
      </c>
      <c r="BD184">
        <f>IF('STERLING CATALOG - DRY '!4095:4095,"AAAAAD2+vTc=",0)</f>
        <v>0</v>
      </c>
      <c r="BE184" t="e">
        <f>AND('STERLING CATALOG - DRY '!A4095,"AAAAAD2+vTg=")</f>
        <v>#VALUE!</v>
      </c>
      <c r="BF184" t="e">
        <f>AND('STERLING CATALOG - DRY '!B4095,"AAAAAD2+vTk=")</f>
        <v>#VALUE!</v>
      </c>
      <c r="BG184" t="e">
        <f>AND('STERLING CATALOG - DRY '!C4095,"AAAAAD2+vTo=")</f>
        <v>#VALUE!</v>
      </c>
      <c r="BH184" t="e">
        <f>AND('STERLING CATALOG - DRY '!D4095,"AAAAAD2+vTs=")</f>
        <v>#VALUE!</v>
      </c>
      <c r="BI184" t="e">
        <f>AND('STERLING CATALOG - DRY '!E4095,"AAAAAD2+vTw=")</f>
        <v>#VALUE!</v>
      </c>
      <c r="BJ184" t="e">
        <f>AND('STERLING CATALOG - DRY '!F4095,"AAAAAD2+vT0=")</f>
        <v>#VALUE!</v>
      </c>
      <c r="BK184" t="e">
        <f>AND('STERLING CATALOG - DRY '!G4095,"AAAAAD2+vT4=")</f>
        <v>#VALUE!</v>
      </c>
      <c r="BL184" t="e">
        <f>AND('STERLING CATALOG - DRY '!H4095,"AAAAAD2+vT8=")</f>
        <v>#VALUE!</v>
      </c>
      <c r="BM184" t="e">
        <f>AND('STERLING CATALOG - DRY '!I4095,"AAAAAD2+vUA=")</f>
        <v>#VALUE!</v>
      </c>
      <c r="BN184" t="e">
        <f>AND('STERLING CATALOG - DRY '!J4095,"AAAAAD2+vUE=")</f>
        <v>#VALUE!</v>
      </c>
      <c r="BO184">
        <f>IF('STERLING CATALOG - DRY '!4096:4096,"AAAAAD2+vUI=",0)</f>
        <v>0</v>
      </c>
      <c r="BP184" t="e">
        <f>AND('STERLING CATALOG - DRY '!A4096,"AAAAAD2+vUM=")</f>
        <v>#VALUE!</v>
      </c>
      <c r="BQ184" t="e">
        <f>AND('STERLING CATALOG - DRY '!B4096,"AAAAAD2+vUQ=")</f>
        <v>#VALUE!</v>
      </c>
      <c r="BR184" t="e">
        <f>AND('STERLING CATALOG - DRY '!C4096,"AAAAAD2+vUU=")</f>
        <v>#VALUE!</v>
      </c>
      <c r="BS184" t="e">
        <f>AND('STERLING CATALOG - DRY '!D4096,"AAAAAD2+vUY=")</f>
        <v>#VALUE!</v>
      </c>
      <c r="BT184" t="e">
        <f>AND('STERLING CATALOG - DRY '!E4096,"AAAAAD2+vUc=")</f>
        <v>#VALUE!</v>
      </c>
      <c r="BU184" t="e">
        <f>AND('STERLING CATALOG - DRY '!F4096,"AAAAAD2+vUg=")</f>
        <v>#VALUE!</v>
      </c>
      <c r="BV184" t="e">
        <f>AND('STERLING CATALOG - DRY '!G4096,"AAAAAD2+vUk=")</f>
        <v>#VALUE!</v>
      </c>
      <c r="BW184" t="e">
        <f>AND('STERLING CATALOG - DRY '!H4096,"AAAAAD2+vUo=")</f>
        <v>#VALUE!</v>
      </c>
      <c r="BX184" t="e">
        <f>AND('STERLING CATALOG - DRY '!I4096,"AAAAAD2+vUs=")</f>
        <v>#VALUE!</v>
      </c>
      <c r="BY184" t="e">
        <f>AND('STERLING CATALOG - DRY '!J4096,"AAAAAD2+vUw=")</f>
        <v>#VALUE!</v>
      </c>
      <c r="BZ184">
        <f>IF('STERLING CATALOG - DRY '!4097:4097,"AAAAAD2+vU0=",0)</f>
        <v>0</v>
      </c>
      <c r="CA184" t="e">
        <f>AND('STERLING CATALOG - DRY '!A4097,"AAAAAD2+vU4=")</f>
        <v>#VALUE!</v>
      </c>
      <c r="CB184" t="e">
        <f>AND('STERLING CATALOG - DRY '!B4097,"AAAAAD2+vU8=")</f>
        <v>#VALUE!</v>
      </c>
      <c r="CC184" t="e">
        <f>AND('STERLING CATALOG - DRY '!C4097,"AAAAAD2+vVA=")</f>
        <v>#VALUE!</v>
      </c>
      <c r="CD184" t="e">
        <f>AND('STERLING CATALOG - DRY '!D4097,"AAAAAD2+vVE=")</f>
        <v>#VALUE!</v>
      </c>
      <c r="CE184" t="e">
        <f>AND('STERLING CATALOG - DRY '!E4097,"AAAAAD2+vVI=")</f>
        <v>#VALUE!</v>
      </c>
      <c r="CF184" t="e">
        <f>AND('STERLING CATALOG - DRY '!F4097,"AAAAAD2+vVM=")</f>
        <v>#VALUE!</v>
      </c>
      <c r="CG184" t="e">
        <f>AND('STERLING CATALOG - DRY '!G4097,"AAAAAD2+vVQ=")</f>
        <v>#VALUE!</v>
      </c>
      <c r="CH184" t="e">
        <f>AND('STERLING CATALOG - DRY '!H4097,"AAAAAD2+vVU=")</f>
        <v>#VALUE!</v>
      </c>
      <c r="CI184" t="e">
        <f>AND('STERLING CATALOG - DRY '!I4097,"AAAAAD2+vVY=")</f>
        <v>#VALUE!</v>
      </c>
      <c r="CJ184" t="e">
        <f>AND('STERLING CATALOG - DRY '!J4097,"AAAAAD2+vVc=")</f>
        <v>#VALUE!</v>
      </c>
      <c r="CK184">
        <f>IF('STERLING CATALOG - DRY '!4098:4098,"AAAAAD2+vVg=",0)</f>
        <v>0</v>
      </c>
      <c r="CL184" t="e">
        <f>AND('STERLING CATALOG - DRY '!A4098,"AAAAAD2+vVk=")</f>
        <v>#VALUE!</v>
      </c>
      <c r="CM184" t="e">
        <f>AND('STERLING CATALOG - DRY '!B4098,"AAAAAD2+vVo=")</f>
        <v>#VALUE!</v>
      </c>
      <c r="CN184" t="e">
        <f>AND('STERLING CATALOG - DRY '!C4098,"AAAAAD2+vVs=")</f>
        <v>#VALUE!</v>
      </c>
      <c r="CO184" t="e">
        <f>AND('STERLING CATALOG - DRY '!D4098,"AAAAAD2+vVw=")</f>
        <v>#VALUE!</v>
      </c>
      <c r="CP184" t="e">
        <f>AND('STERLING CATALOG - DRY '!E4098,"AAAAAD2+vV0=")</f>
        <v>#VALUE!</v>
      </c>
      <c r="CQ184" t="e">
        <f>AND('STERLING CATALOG - DRY '!F4098,"AAAAAD2+vV4=")</f>
        <v>#VALUE!</v>
      </c>
      <c r="CR184" t="e">
        <f>AND('STERLING CATALOG - DRY '!G4098,"AAAAAD2+vV8=")</f>
        <v>#VALUE!</v>
      </c>
      <c r="CS184" t="e">
        <f>AND('STERLING CATALOG - DRY '!H4098,"AAAAAD2+vWA=")</f>
        <v>#VALUE!</v>
      </c>
      <c r="CT184" t="e">
        <f>AND('STERLING CATALOG - DRY '!I4098,"AAAAAD2+vWE=")</f>
        <v>#VALUE!</v>
      </c>
      <c r="CU184" t="e">
        <f>AND('STERLING CATALOG - DRY '!J4098,"AAAAAD2+vWI=")</f>
        <v>#VALUE!</v>
      </c>
      <c r="CV184">
        <f>IF('STERLING CATALOG - DRY '!4099:4099,"AAAAAD2+vWM=",0)</f>
        <v>0</v>
      </c>
      <c r="CW184" t="e">
        <f>AND('STERLING CATALOG - DRY '!A4099,"AAAAAD2+vWQ=")</f>
        <v>#VALUE!</v>
      </c>
      <c r="CX184" t="e">
        <f>AND('STERLING CATALOG - DRY '!B4099,"AAAAAD2+vWU=")</f>
        <v>#VALUE!</v>
      </c>
      <c r="CY184" t="e">
        <f>AND('STERLING CATALOG - DRY '!C4099,"AAAAAD2+vWY=")</f>
        <v>#VALUE!</v>
      </c>
      <c r="CZ184" t="e">
        <f>AND('STERLING CATALOG - DRY '!D4099,"AAAAAD2+vWc=")</f>
        <v>#VALUE!</v>
      </c>
      <c r="DA184" t="e">
        <f>AND('STERLING CATALOG - DRY '!E4099,"AAAAAD2+vWg=")</f>
        <v>#VALUE!</v>
      </c>
      <c r="DB184" t="e">
        <f>AND('STERLING CATALOG - DRY '!F4099,"AAAAAD2+vWk=")</f>
        <v>#VALUE!</v>
      </c>
      <c r="DC184" t="e">
        <f>AND('STERLING CATALOG - DRY '!G4099,"AAAAAD2+vWo=")</f>
        <v>#VALUE!</v>
      </c>
      <c r="DD184" t="e">
        <f>AND('STERLING CATALOG - DRY '!H4099,"AAAAAD2+vWs=")</f>
        <v>#VALUE!</v>
      </c>
      <c r="DE184" t="e">
        <f>AND('STERLING CATALOG - DRY '!I4099,"AAAAAD2+vWw=")</f>
        <v>#VALUE!</v>
      </c>
      <c r="DF184" t="e">
        <f>AND('STERLING CATALOG - DRY '!J4099,"AAAAAD2+vW0=")</f>
        <v>#VALUE!</v>
      </c>
      <c r="DG184">
        <f>IF('STERLING CATALOG - DRY '!4100:4100,"AAAAAD2+vW4=",0)</f>
        <v>0</v>
      </c>
      <c r="DH184" t="e">
        <f>AND('STERLING CATALOG - DRY '!A4100,"AAAAAD2+vW8=")</f>
        <v>#VALUE!</v>
      </c>
      <c r="DI184" t="e">
        <f>AND('STERLING CATALOG - DRY '!B4100,"AAAAAD2+vXA=")</f>
        <v>#VALUE!</v>
      </c>
      <c r="DJ184" t="e">
        <f>AND('STERLING CATALOG - DRY '!C4100,"AAAAAD2+vXE=")</f>
        <v>#VALUE!</v>
      </c>
      <c r="DK184" t="e">
        <f>AND('STERLING CATALOG - DRY '!D4100,"AAAAAD2+vXI=")</f>
        <v>#VALUE!</v>
      </c>
      <c r="DL184" t="e">
        <f>AND('STERLING CATALOG - DRY '!E4100,"AAAAAD2+vXM=")</f>
        <v>#VALUE!</v>
      </c>
      <c r="DM184" t="e">
        <f>AND('STERLING CATALOG - DRY '!F4100,"AAAAAD2+vXQ=")</f>
        <v>#VALUE!</v>
      </c>
      <c r="DN184" t="e">
        <f>AND('STERLING CATALOG - DRY '!G4100,"AAAAAD2+vXU=")</f>
        <v>#VALUE!</v>
      </c>
      <c r="DO184" t="e">
        <f>AND('STERLING CATALOG - DRY '!H4100,"AAAAAD2+vXY=")</f>
        <v>#VALUE!</v>
      </c>
      <c r="DP184" t="e">
        <f>AND('STERLING CATALOG - DRY '!I4100,"AAAAAD2+vXc=")</f>
        <v>#VALUE!</v>
      </c>
      <c r="DQ184" t="e">
        <f>AND('STERLING CATALOG - DRY '!J4100,"AAAAAD2+vXg=")</f>
        <v>#VALUE!</v>
      </c>
      <c r="DR184">
        <f>IF('STERLING CATALOG - DRY '!4101:4101,"AAAAAD2+vXk=",0)</f>
        <v>0</v>
      </c>
      <c r="DS184" t="e">
        <f>AND('STERLING CATALOG - DRY '!A4101,"AAAAAD2+vXo=")</f>
        <v>#VALUE!</v>
      </c>
      <c r="DT184" t="e">
        <f>AND('STERLING CATALOG - DRY '!B4101,"AAAAAD2+vXs=")</f>
        <v>#VALUE!</v>
      </c>
      <c r="DU184" t="e">
        <f>AND('STERLING CATALOG - DRY '!C4101,"AAAAAD2+vXw=")</f>
        <v>#VALUE!</v>
      </c>
      <c r="DV184" t="e">
        <f>AND('STERLING CATALOG - DRY '!D4101,"AAAAAD2+vX0=")</f>
        <v>#VALUE!</v>
      </c>
      <c r="DW184" t="e">
        <f>AND('STERLING CATALOG - DRY '!E4101,"AAAAAD2+vX4=")</f>
        <v>#VALUE!</v>
      </c>
      <c r="DX184" t="e">
        <f>AND('STERLING CATALOG - DRY '!F4101,"AAAAAD2+vX8=")</f>
        <v>#VALUE!</v>
      </c>
      <c r="DY184" t="e">
        <f>AND('STERLING CATALOG - DRY '!G4101,"AAAAAD2+vYA=")</f>
        <v>#VALUE!</v>
      </c>
      <c r="DZ184" t="e">
        <f>AND('STERLING CATALOG - DRY '!H4101,"AAAAAD2+vYE=")</f>
        <v>#VALUE!</v>
      </c>
      <c r="EA184" t="e">
        <f>AND('STERLING CATALOG - DRY '!I4101,"AAAAAD2+vYI=")</f>
        <v>#VALUE!</v>
      </c>
      <c r="EB184" t="e">
        <f>AND('STERLING CATALOG - DRY '!J4101,"AAAAAD2+vYM=")</f>
        <v>#VALUE!</v>
      </c>
      <c r="EC184">
        <f>IF('STERLING CATALOG - DRY '!4102:4102,"AAAAAD2+vYQ=",0)</f>
        <v>0</v>
      </c>
      <c r="ED184" t="e">
        <f>AND('STERLING CATALOG - DRY '!A4102,"AAAAAD2+vYU=")</f>
        <v>#VALUE!</v>
      </c>
      <c r="EE184" t="e">
        <f>AND('STERLING CATALOG - DRY '!B4102,"AAAAAD2+vYY=")</f>
        <v>#VALUE!</v>
      </c>
      <c r="EF184" t="e">
        <f>AND('STERLING CATALOG - DRY '!C4102,"AAAAAD2+vYc=")</f>
        <v>#VALUE!</v>
      </c>
      <c r="EG184" t="e">
        <f>AND('STERLING CATALOG - DRY '!D4102,"AAAAAD2+vYg=")</f>
        <v>#VALUE!</v>
      </c>
      <c r="EH184" t="e">
        <f>AND('STERLING CATALOG - DRY '!E4102,"AAAAAD2+vYk=")</f>
        <v>#VALUE!</v>
      </c>
      <c r="EI184" t="e">
        <f>AND('STERLING CATALOG - DRY '!F4102,"AAAAAD2+vYo=")</f>
        <v>#VALUE!</v>
      </c>
      <c r="EJ184" t="e">
        <f>AND('STERLING CATALOG - DRY '!G4102,"AAAAAD2+vYs=")</f>
        <v>#VALUE!</v>
      </c>
      <c r="EK184" t="e">
        <f>AND('STERLING CATALOG - DRY '!H4102,"AAAAAD2+vYw=")</f>
        <v>#VALUE!</v>
      </c>
      <c r="EL184" t="e">
        <f>AND('STERLING CATALOG - DRY '!I4102,"AAAAAD2+vY0=")</f>
        <v>#VALUE!</v>
      </c>
      <c r="EM184" t="e">
        <f>AND('STERLING CATALOG - DRY '!J4102,"AAAAAD2+vY4=")</f>
        <v>#VALUE!</v>
      </c>
      <c r="EN184">
        <f>IF('STERLING CATALOG - DRY '!4103:4103,"AAAAAD2+vY8=",0)</f>
        <v>0</v>
      </c>
      <c r="EO184" t="e">
        <f>AND('STERLING CATALOG - DRY '!A4103,"AAAAAD2+vZA=")</f>
        <v>#VALUE!</v>
      </c>
      <c r="EP184" t="e">
        <f>AND('STERLING CATALOG - DRY '!B4103,"AAAAAD2+vZE=")</f>
        <v>#VALUE!</v>
      </c>
      <c r="EQ184" t="e">
        <f>AND('STERLING CATALOG - DRY '!C4103,"AAAAAD2+vZI=")</f>
        <v>#VALUE!</v>
      </c>
      <c r="ER184" t="e">
        <f>AND('STERLING CATALOG - DRY '!D4103,"AAAAAD2+vZM=")</f>
        <v>#VALUE!</v>
      </c>
      <c r="ES184" t="e">
        <f>AND('STERLING CATALOG - DRY '!E4103,"AAAAAD2+vZQ=")</f>
        <v>#VALUE!</v>
      </c>
      <c r="ET184" t="e">
        <f>AND('STERLING CATALOG - DRY '!F4103,"AAAAAD2+vZU=")</f>
        <v>#VALUE!</v>
      </c>
      <c r="EU184" t="e">
        <f>AND('STERLING CATALOG - DRY '!G4103,"AAAAAD2+vZY=")</f>
        <v>#VALUE!</v>
      </c>
      <c r="EV184" t="e">
        <f>AND('STERLING CATALOG - DRY '!H4103,"AAAAAD2+vZc=")</f>
        <v>#VALUE!</v>
      </c>
      <c r="EW184" t="e">
        <f>AND('STERLING CATALOG - DRY '!I4103,"AAAAAD2+vZg=")</f>
        <v>#VALUE!</v>
      </c>
      <c r="EX184" t="e">
        <f>AND('STERLING CATALOG - DRY '!J4103,"AAAAAD2+vZk=")</f>
        <v>#VALUE!</v>
      </c>
      <c r="EY184">
        <f>IF('STERLING CATALOG - DRY '!4104:4104,"AAAAAD2+vZo=",0)</f>
        <v>0</v>
      </c>
      <c r="EZ184" t="e">
        <f>AND('STERLING CATALOG - DRY '!A4104,"AAAAAD2+vZs=")</f>
        <v>#VALUE!</v>
      </c>
      <c r="FA184" t="e">
        <f>AND('STERLING CATALOG - DRY '!B4104,"AAAAAD2+vZw=")</f>
        <v>#VALUE!</v>
      </c>
      <c r="FB184" t="e">
        <f>AND('STERLING CATALOG - DRY '!C4104,"AAAAAD2+vZ0=")</f>
        <v>#VALUE!</v>
      </c>
      <c r="FC184" t="e">
        <f>AND('STERLING CATALOG - DRY '!D4104,"AAAAAD2+vZ4=")</f>
        <v>#VALUE!</v>
      </c>
      <c r="FD184" t="e">
        <f>AND('STERLING CATALOG - DRY '!E4104,"AAAAAD2+vZ8=")</f>
        <v>#VALUE!</v>
      </c>
      <c r="FE184" t="e">
        <f>AND('STERLING CATALOG - DRY '!F4104,"AAAAAD2+vaA=")</f>
        <v>#VALUE!</v>
      </c>
      <c r="FF184" t="e">
        <f>AND('STERLING CATALOG - DRY '!G4104,"AAAAAD2+vaE=")</f>
        <v>#VALUE!</v>
      </c>
      <c r="FG184" t="e">
        <f>AND('STERLING CATALOG - DRY '!H4104,"AAAAAD2+vaI=")</f>
        <v>#VALUE!</v>
      </c>
      <c r="FH184" t="e">
        <f>AND('STERLING CATALOG - DRY '!I4104,"AAAAAD2+vaM=")</f>
        <v>#VALUE!</v>
      </c>
      <c r="FI184" t="e">
        <f>AND('STERLING CATALOG - DRY '!J4104,"AAAAAD2+vaQ=")</f>
        <v>#VALUE!</v>
      </c>
      <c r="FJ184">
        <f>IF('STERLING CATALOG - DRY '!4105:4105,"AAAAAD2+vaU=",0)</f>
        <v>0</v>
      </c>
      <c r="FK184" t="e">
        <f>AND('STERLING CATALOG - DRY '!A4105,"AAAAAD2+vaY=")</f>
        <v>#VALUE!</v>
      </c>
      <c r="FL184" t="e">
        <f>AND('STERLING CATALOG - DRY '!B4105,"AAAAAD2+vac=")</f>
        <v>#VALUE!</v>
      </c>
      <c r="FM184" t="e">
        <f>AND('STERLING CATALOG - DRY '!C4105,"AAAAAD2+vag=")</f>
        <v>#VALUE!</v>
      </c>
      <c r="FN184" t="e">
        <f>AND('STERLING CATALOG - DRY '!D4105,"AAAAAD2+vak=")</f>
        <v>#VALUE!</v>
      </c>
      <c r="FO184" t="e">
        <f>AND('STERLING CATALOG - DRY '!E4105,"AAAAAD2+vao=")</f>
        <v>#VALUE!</v>
      </c>
      <c r="FP184" t="e">
        <f>AND('STERLING CATALOG - DRY '!F4105,"AAAAAD2+vas=")</f>
        <v>#VALUE!</v>
      </c>
      <c r="FQ184" t="e">
        <f>AND('STERLING CATALOG - DRY '!G4105,"AAAAAD2+vaw=")</f>
        <v>#VALUE!</v>
      </c>
      <c r="FR184" t="e">
        <f>AND('STERLING CATALOG - DRY '!H4105,"AAAAAD2+va0=")</f>
        <v>#VALUE!</v>
      </c>
      <c r="FS184" t="e">
        <f>AND('STERLING CATALOG - DRY '!I4105,"AAAAAD2+va4=")</f>
        <v>#VALUE!</v>
      </c>
      <c r="FT184" t="e">
        <f>AND('STERLING CATALOG - DRY '!J4105,"AAAAAD2+va8=")</f>
        <v>#VALUE!</v>
      </c>
      <c r="FU184">
        <f>IF('STERLING CATALOG - DRY '!4106:4106,"AAAAAD2+vbA=",0)</f>
        <v>0</v>
      </c>
      <c r="FV184" t="e">
        <f>AND('STERLING CATALOG - DRY '!A4106,"AAAAAD2+vbE=")</f>
        <v>#VALUE!</v>
      </c>
      <c r="FW184" t="e">
        <f>AND('STERLING CATALOG - DRY '!B4106,"AAAAAD2+vbI=")</f>
        <v>#VALUE!</v>
      </c>
      <c r="FX184" t="e">
        <f>AND('STERLING CATALOG - DRY '!C4106,"AAAAAD2+vbM=")</f>
        <v>#VALUE!</v>
      </c>
      <c r="FY184" t="e">
        <f>AND('STERLING CATALOG - DRY '!D4106,"AAAAAD2+vbQ=")</f>
        <v>#VALUE!</v>
      </c>
      <c r="FZ184" t="e">
        <f>AND('STERLING CATALOG - DRY '!E4106,"AAAAAD2+vbU=")</f>
        <v>#VALUE!</v>
      </c>
      <c r="GA184" t="e">
        <f>AND('STERLING CATALOG - DRY '!F4106,"AAAAAD2+vbY=")</f>
        <v>#VALUE!</v>
      </c>
      <c r="GB184" t="e">
        <f>AND('STERLING CATALOG - DRY '!G4106,"AAAAAD2+vbc=")</f>
        <v>#VALUE!</v>
      </c>
      <c r="GC184" t="e">
        <f>AND('STERLING CATALOG - DRY '!H4106,"AAAAAD2+vbg=")</f>
        <v>#VALUE!</v>
      </c>
      <c r="GD184" t="e">
        <f>AND('STERLING CATALOG - DRY '!I4106,"AAAAAD2+vbk=")</f>
        <v>#VALUE!</v>
      </c>
      <c r="GE184" t="e">
        <f>AND('STERLING CATALOG - DRY '!J4106,"AAAAAD2+vbo=")</f>
        <v>#VALUE!</v>
      </c>
      <c r="GF184">
        <f>IF('STERLING CATALOG - DRY '!4107:4107,"AAAAAD2+vbs=",0)</f>
        <v>0</v>
      </c>
      <c r="GG184" t="e">
        <f>AND('STERLING CATALOG - DRY '!A4107,"AAAAAD2+vbw=")</f>
        <v>#VALUE!</v>
      </c>
      <c r="GH184" t="e">
        <f>AND('STERLING CATALOG - DRY '!B4107,"AAAAAD2+vb0=")</f>
        <v>#VALUE!</v>
      </c>
      <c r="GI184" t="e">
        <f>AND('STERLING CATALOG - DRY '!C4107,"AAAAAD2+vb4=")</f>
        <v>#VALUE!</v>
      </c>
      <c r="GJ184" t="e">
        <f>AND('STERLING CATALOG - DRY '!D4107,"AAAAAD2+vb8=")</f>
        <v>#VALUE!</v>
      </c>
      <c r="GK184" t="e">
        <f>AND('STERLING CATALOG - DRY '!E4107,"AAAAAD2+vcA=")</f>
        <v>#VALUE!</v>
      </c>
      <c r="GL184" t="e">
        <f>AND('STERLING CATALOG - DRY '!F4107,"AAAAAD2+vcE=")</f>
        <v>#VALUE!</v>
      </c>
      <c r="GM184" t="e">
        <f>AND('STERLING CATALOG - DRY '!G4107,"AAAAAD2+vcI=")</f>
        <v>#VALUE!</v>
      </c>
      <c r="GN184" t="e">
        <f>AND('STERLING CATALOG - DRY '!H4107,"AAAAAD2+vcM=")</f>
        <v>#VALUE!</v>
      </c>
      <c r="GO184" t="e">
        <f>AND('STERLING CATALOG - DRY '!I4107,"AAAAAD2+vcQ=")</f>
        <v>#VALUE!</v>
      </c>
      <c r="GP184" t="e">
        <f>AND('STERLING CATALOG - DRY '!J4107,"AAAAAD2+vcU=")</f>
        <v>#VALUE!</v>
      </c>
      <c r="GQ184">
        <f>IF('STERLING CATALOG - DRY '!4108:4108,"AAAAAD2+vcY=",0)</f>
        <v>0</v>
      </c>
      <c r="GR184" t="e">
        <f>AND('STERLING CATALOG - DRY '!A4108,"AAAAAD2+vcc=")</f>
        <v>#VALUE!</v>
      </c>
      <c r="GS184" t="e">
        <f>AND('STERLING CATALOG - DRY '!B4108,"AAAAAD2+vcg=")</f>
        <v>#VALUE!</v>
      </c>
      <c r="GT184" t="e">
        <f>AND('STERLING CATALOG - DRY '!C4108,"AAAAAD2+vck=")</f>
        <v>#VALUE!</v>
      </c>
      <c r="GU184" t="e">
        <f>AND('STERLING CATALOG - DRY '!D4108,"AAAAAD2+vco=")</f>
        <v>#VALUE!</v>
      </c>
      <c r="GV184" t="e">
        <f>AND('STERLING CATALOG - DRY '!E4108,"AAAAAD2+vcs=")</f>
        <v>#VALUE!</v>
      </c>
      <c r="GW184" t="e">
        <f>AND('STERLING CATALOG - DRY '!F4108,"AAAAAD2+vcw=")</f>
        <v>#VALUE!</v>
      </c>
      <c r="GX184" t="e">
        <f>AND('STERLING CATALOG - DRY '!G4108,"AAAAAD2+vc0=")</f>
        <v>#VALUE!</v>
      </c>
      <c r="GY184" t="e">
        <f>AND('STERLING CATALOG - DRY '!H4108,"AAAAAD2+vc4=")</f>
        <v>#VALUE!</v>
      </c>
      <c r="GZ184" t="e">
        <f>AND('STERLING CATALOG - DRY '!I4108,"AAAAAD2+vc8=")</f>
        <v>#VALUE!</v>
      </c>
      <c r="HA184" t="e">
        <f>AND('STERLING CATALOG - DRY '!J4108,"AAAAAD2+vdA=")</f>
        <v>#VALUE!</v>
      </c>
      <c r="HB184">
        <f>IF('STERLING CATALOG - DRY '!4109:4109,"AAAAAD2+vdE=",0)</f>
        <v>0</v>
      </c>
      <c r="HC184" t="e">
        <f>AND('STERLING CATALOG - DRY '!A4109,"AAAAAD2+vdI=")</f>
        <v>#VALUE!</v>
      </c>
      <c r="HD184" t="e">
        <f>AND('STERLING CATALOG - DRY '!B4109,"AAAAAD2+vdM=")</f>
        <v>#VALUE!</v>
      </c>
      <c r="HE184" t="e">
        <f>AND('STERLING CATALOG - DRY '!C4109,"AAAAAD2+vdQ=")</f>
        <v>#VALUE!</v>
      </c>
      <c r="HF184" t="e">
        <f>AND('STERLING CATALOG - DRY '!D4109,"AAAAAD2+vdU=")</f>
        <v>#VALUE!</v>
      </c>
      <c r="HG184" t="e">
        <f>AND('STERLING CATALOG - DRY '!E4109,"AAAAAD2+vdY=")</f>
        <v>#VALUE!</v>
      </c>
      <c r="HH184" t="e">
        <f>AND('STERLING CATALOG - DRY '!F4109,"AAAAAD2+vdc=")</f>
        <v>#VALUE!</v>
      </c>
      <c r="HI184" t="e">
        <f>AND('STERLING CATALOG - DRY '!G4109,"AAAAAD2+vdg=")</f>
        <v>#VALUE!</v>
      </c>
      <c r="HJ184" t="e">
        <f>AND('STERLING CATALOG - DRY '!H4109,"AAAAAD2+vdk=")</f>
        <v>#VALUE!</v>
      </c>
      <c r="HK184" t="e">
        <f>AND('STERLING CATALOG - DRY '!I4109,"AAAAAD2+vdo=")</f>
        <v>#VALUE!</v>
      </c>
      <c r="HL184" t="e">
        <f>AND('STERLING CATALOG - DRY '!J4109,"AAAAAD2+vds=")</f>
        <v>#VALUE!</v>
      </c>
      <c r="HM184">
        <f>IF('STERLING CATALOG - DRY '!4110:4110,"AAAAAD2+vdw=",0)</f>
        <v>0</v>
      </c>
      <c r="HN184" t="e">
        <f>AND('STERLING CATALOG - DRY '!A4110,"AAAAAD2+vd0=")</f>
        <v>#VALUE!</v>
      </c>
      <c r="HO184" t="e">
        <f>AND('STERLING CATALOG - DRY '!B4110,"AAAAAD2+vd4=")</f>
        <v>#VALUE!</v>
      </c>
      <c r="HP184" t="e">
        <f>AND('STERLING CATALOG - DRY '!C4110,"AAAAAD2+vd8=")</f>
        <v>#VALUE!</v>
      </c>
      <c r="HQ184" t="e">
        <f>AND('STERLING CATALOG - DRY '!D4110,"AAAAAD2+veA=")</f>
        <v>#VALUE!</v>
      </c>
      <c r="HR184" t="e">
        <f>AND('STERLING CATALOG - DRY '!E4110,"AAAAAD2+veE=")</f>
        <v>#VALUE!</v>
      </c>
      <c r="HS184" t="e">
        <f>AND('STERLING CATALOG - DRY '!F4110,"AAAAAD2+veI=")</f>
        <v>#VALUE!</v>
      </c>
      <c r="HT184" t="e">
        <f>AND('STERLING CATALOG - DRY '!G4110,"AAAAAD2+veM=")</f>
        <v>#VALUE!</v>
      </c>
      <c r="HU184" t="e">
        <f>AND('STERLING CATALOG - DRY '!H4110,"AAAAAD2+veQ=")</f>
        <v>#VALUE!</v>
      </c>
      <c r="HV184" t="e">
        <f>AND('STERLING CATALOG - DRY '!I4110,"AAAAAD2+veU=")</f>
        <v>#VALUE!</v>
      </c>
      <c r="HW184" t="e">
        <f>AND('STERLING CATALOG - DRY '!J4110,"AAAAAD2+veY=")</f>
        <v>#VALUE!</v>
      </c>
      <c r="HX184">
        <f>IF('STERLING CATALOG - DRY '!4111:4111,"AAAAAD2+vec=",0)</f>
        <v>0</v>
      </c>
      <c r="HY184" t="e">
        <f>AND('STERLING CATALOG - DRY '!A4111,"AAAAAD2+veg=")</f>
        <v>#VALUE!</v>
      </c>
      <c r="HZ184" t="e">
        <f>AND('STERLING CATALOG - DRY '!B4111,"AAAAAD2+vek=")</f>
        <v>#VALUE!</v>
      </c>
      <c r="IA184" t="e">
        <f>AND('STERLING CATALOG - DRY '!C4111,"AAAAAD2+veo=")</f>
        <v>#VALUE!</v>
      </c>
      <c r="IB184" t="e">
        <f>AND('STERLING CATALOG - DRY '!D4111,"AAAAAD2+ves=")</f>
        <v>#VALUE!</v>
      </c>
      <c r="IC184" t="e">
        <f>AND('STERLING CATALOG - DRY '!E4111,"AAAAAD2+vew=")</f>
        <v>#VALUE!</v>
      </c>
      <c r="ID184" t="e">
        <f>AND('STERLING CATALOG - DRY '!F4111,"AAAAAD2+ve0=")</f>
        <v>#VALUE!</v>
      </c>
      <c r="IE184" t="e">
        <f>AND('STERLING CATALOG - DRY '!G4111,"AAAAAD2+ve4=")</f>
        <v>#VALUE!</v>
      </c>
      <c r="IF184" t="e">
        <f>AND('STERLING CATALOG - DRY '!H4111,"AAAAAD2+ve8=")</f>
        <v>#VALUE!</v>
      </c>
      <c r="IG184" t="e">
        <f>AND('STERLING CATALOG - DRY '!I4111,"AAAAAD2+vfA=")</f>
        <v>#VALUE!</v>
      </c>
      <c r="IH184" t="e">
        <f>AND('STERLING CATALOG - DRY '!J4111,"AAAAAD2+vfE=")</f>
        <v>#VALUE!</v>
      </c>
      <c r="II184">
        <f>IF('STERLING CATALOG - DRY '!4112:4112,"AAAAAD2+vfI=",0)</f>
        <v>0</v>
      </c>
      <c r="IJ184" t="e">
        <f>AND('STERLING CATALOG - DRY '!A4112,"AAAAAD2+vfM=")</f>
        <v>#VALUE!</v>
      </c>
      <c r="IK184" t="e">
        <f>AND('STERLING CATALOG - DRY '!B4112,"AAAAAD2+vfQ=")</f>
        <v>#VALUE!</v>
      </c>
      <c r="IL184" t="e">
        <f>AND('STERLING CATALOG - DRY '!C4112,"AAAAAD2+vfU=")</f>
        <v>#VALUE!</v>
      </c>
      <c r="IM184" t="e">
        <f>AND('STERLING CATALOG - DRY '!D4112,"AAAAAD2+vfY=")</f>
        <v>#VALUE!</v>
      </c>
      <c r="IN184" t="e">
        <f>AND('STERLING CATALOG - DRY '!E4112,"AAAAAD2+vfc=")</f>
        <v>#VALUE!</v>
      </c>
      <c r="IO184" t="e">
        <f>AND('STERLING CATALOG - DRY '!F4112,"AAAAAD2+vfg=")</f>
        <v>#VALUE!</v>
      </c>
      <c r="IP184" t="e">
        <f>AND('STERLING CATALOG - DRY '!G4112,"AAAAAD2+vfk=")</f>
        <v>#VALUE!</v>
      </c>
      <c r="IQ184" t="e">
        <f>AND('STERLING CATALOG - DRY '!H4112,"AAAAAD2+vfo=")</f>
        <v>#VALUE!</v>
      </c>
      <c r="IR184" t="e">
        <f>AND('STERLING CATALOG - DRY '!I4112,"AAAAAD2+vfs=")</f>
        <v>#VALUE!</v>
      </c>
      <c r="IS184" t="e">
        <f>AND('STERLING CATALOG - DRY '!J4112,"AAAAAD2+vfw=")</f>
        <v>#VALUE!</v>
      </c>
      <c r="IT184">
        <f>IF('STERLING CATALOG - DRY '!4113:4113,"AAAAAD2+vf0=",0)</f>
        <v>0</v>
      </c>
      <c r="IU184" t="e">
        <f>AND('STERLING CATALOG - DRY '!A4113,"AAAAAD2+vf4=")</f>
        <v>#VALUE!</v>
      </c>
      <c r="IV184" t="e">
        <f>AND('STERLING CATALOG - DRY '!B4113,"AAAAAD2+vf8=")</f>
        <v>#VALUE!</v>
      </c>
    </row>
    <row r="185" spans="1:256">
      <c r="A185" t="e">
        <f>AND('STERLING CATALOG - DRY '!C4113,"AAAAAE3x5AA=")</f>
        <v>#VALUE!</v>
      </c>
      <c r="B185" t="e">
        <f>AND('STERLING CATALOG - DRY '!D4113,"AAAAAE3x5AE=")</f>
        <v>#VALUE!</v>
      </c>
      <c r="C185" t="e">
        <f>AND('STERLING CATALOG - DRY '!E4113,"AAAAAE3x5AI=")</f>
        <v>#VALUE!</v>
      </c>
      <c r="D185" t="e">
        <f>AND('STERLING CATALOG - DRY '!F4113,"AAAAAE3x5AM=")</f>
        <v>#VALUE!</v>
      </c>
      <c r="E185" t="e">
        <f>AND('STERLING CATALOG - DRY '!G4113,"AAAAAE3x5AQ=")</f>
        <v>#VALUE!</v>
      </c>
      <c r="F185" t="e">
        <f>AND('STERLING CATALOG - DRY '!H4113,"AAAAAE3x5AU=")</f>
        <v>#VALUE!</v>
      </c>
      <c r="G185" t="e">
        <f>AND('STERLING CATALOG - DRY '!I4113,"AAAAAE3x5AY=")</f>
        <v>#VALUE!</v>
      </c>
      <c r="H185" t="e">
        <f>AND('STERLING CATALOG - DRY '!J4113,"AAAAAE3x5Ac=")</f>
        <v>#VALUE!</v>
      </c>
      <c r="I185" t="e">
        <f>IF('STERLING CATALOG - DRY '!4114:4114,"AAAAAE3x5Ag=",0)</f>
        <v>#VALUE!</v>
      </c>
      <c r="J185" t="e">
        <f>AND('STERLING CATALOG - DRY '!A4114,"AAAAAE3x5Ak=")</f>
        <v>#VALUE!</v>
      </c>
      <c r="K185" t="e">
        <f>AND('STERLING CATALOG - DRY '!B4114,"AAAAAE3x5Ao=")</f>
        <v>#VALUE!</v>
      </c>
      <c r="L185" t="e">
        <f>AND('STERLING CATALOG - DRY '!C4114,"AAAAAE3x5As=")</f>
        <v>#VALUE!</v>
      </c>
      <c r="M185" t="e">
        <f>AND('STERLING CATALOG - DRY '!D4114,"AAAAAE3x5Aw=")</f>
        <v>#VALUE!</v>
      </c>
      <c r="N185" t="e">
        <f>AND('STERLING CATALOG - DRY '!E4114,"AAAAAE3x5A0=")</f>
        <v>#VALUE!</v>
      </c>
      <c r="O185" t="e">
        <f>AND('STERLING CATALOG - DRY '!F4114,"AAAAAE3x5A4=")</f>
        <v>#VALUE!</v>
      </c>
      <c r="P185" t="e">
        <f>AND('STERLING CATALOG - DRY '!G4114,"AAAAAE3x5A8=")</f>
        <v>#VALUE!</v>
      </c>
      <c r="Q185" t="e">
        <f>AND('STERLING CATALOG - DRY '!H4114,"AAAAAE3x5BA=")</f>
        <v>#VALUE!</v>
      </c>
      <c r="R185" t="e">
        <f>AND('STERLING CATALOG - DRY '!I4114,"AAAAAE3x5BE=")</f>
        <v>#VALUE!</v>
      </c>
      <c r="S185" t="e">
        <f>AND('STERLING CATALOG - DRY '!J4114,"AAAAAE3x5BI=")</f>
        <v>#VALUE!</v>
      </c>
      <c r="T185">
        <f>IF('STERLING CATALOG - DRY '!4115:4115,"AAAAAE3x5BM=",0)</f>
        <v>0</v>
      </c>
      <c r="U185" t="e">
        <f>AND('STERLING CATALOG - DRY '!A4115,"AAAAAE3x5BQ=")</f>
        <v>#VALUE!</v>
      </c>
      <c r="V185" t="e">
        <f>AND('STERLING CATALOG - DRY '!B4115,"AAAAAE3x5BU=")</f>
        <v>#VALUE!</v>
      </c>
      <c r="W185" t="e">
        <f>AND('STERLING CATALOG - DRY '!C4115,"AAAAAE3x5BY=")</f>
        <v>#VALUE!</v>
      </c>
      <c r="X185" t="e">
        <f>AND('STERLING CATALOG - DRY '!D4115,"AAAAAE3x5Bc=")</f>
        <v>#VALUE!</v>
      </c>
      <c r="Y185" t="e">
        <f>AND('STERLING CATALOG - DRY '!E4115,"AAAAAE3x5Bg=")</f>
        <v>#VALUE!</v>
      </c>
      <c r="Z185" t="e">
        <f>AND('STERLING CATALOG - DRY '!F4115,"AAAAAE3x5Bk=")</f>
        <v>#VALUE!</v>
      </c>
      <c r="AA185" t="e">
        <f>AND('STERLING CATALOG - DRY '!G4115,"AAAAAE3x5Bo=")</f>
        <v>#VALUE!</v>
      </c>
      <c r="AB185" t="e">
        <f>AND('STERLING CATALOG - DRY '!H4115,"AAAAAE3x5Bs=")</f>
        <v>#VALUE!</v>
      </c>
      <c r="AC185" t="e">
        <f>AND('STERLING CATALOG - DRY '!I4115,"AAAAAE3x5Bw=")</f>
        <v>#VALUE!</v>
      </c>
      <c r="AD185" t="e">
        <f>AND('STERLING CATALOG - DRY '!J4115,"AAAAAE3x5B0=")</f>
        <v>#VALUE!</v>
      </c>
      <c r="AE185">
        <f>IF('STERLING CATALOG - DRY '!4116:4116,"AAAAAE3x5B4=",0)</f>
        <v>0</v>
      </c>
      <c r="AF185" t="e">
        <f>AND('STERLING CATALOG - DRY '!A4116,"AAAAAE3x5B8=")</f>
        <v>#VALUE!</v>
      </c>
      <c r="AG185" t="e">
        <f>AND('STERLING CATALOG - DRY '!B4116,"AAAAAE3x5CA=")</f>
        <v>#VALUE!</v>
      </c>
      <c r="AH185" t="e">
        <f>AND('STERLING CATALOG - DRY '!C4116,"AAAAAE3x5CE=")</f>
        <v>#VALUE!</v>
      </c>
      <c r="AI185" t="e">
        <f>AND('STERLING CATALOG - DRY '!D4116,"AAAAAE3x5CI=")</f>
        <v>#VALUE!</v>
      </c>
      <c r="AJ185" t="e">
        <f>AND('STERLING CATALOG - DRY '!E4116,"AAAAAE3x5CM=")</f>
        <v>#VALUE!</v>
      </c>
      <c r="AK185" t="e">
        <f>AND('STERLING CATALOG - DRY '!F4116,"AAAAAE3x5CQ=")</f>
        <v>#VALUE!</v>
      </c>
      <c r="AL185" t="e">
        <f>AND('STERLING CATALOG - DRY '!G4116,"AAAAAE3x5CU=")</f>
        <v>#VALUE!</v>
      </c>
      <c r="AM185" t="e">
        <f>AND('STERLING CATALOG - DRY '!H4116,"AAAAAE3x5CY=")</f>
        <v>#VALUE!</v>
      </c>
      <c r="AN185" t="e">
        <f>AND('STERLING CATALOG - DRY '!I4116,"AAAAAE3x5Cc=")</f>
        <v>#VALUE!</v>
      </c>
      <c r="AO185" t="e">
        <f>AND('STERLING CATALOG - DRY '!J4116,"AAAAAE3x5Cg=")</f>
        <v>#VALUE!</v>
      </c>
      <c r="AP185">
        <f>IF('STERLING CATALOG - DRY '!4117:4117,"AAAAAE3x5Ck=",0)</f>
        <v>0</v>
      </c>
      <c r="AQ185" t="e">
        <f>AND('STERLING CATALOG - DRY '!A4117,"AAAAAE3x5Co=")</f>
        <v>#VALUE!</v>
      </c>
      <c r="AR185" t="e">
        <f>AND('STERLING CATALOG - DRY '!B4117,"AAAAAE3x5Cs=")</f>
        <v>#VALUE!</v>
      </c>
      <c r="AS185" t="e">
        <f>AND('STERLING CATALOG - DRY '!C4117,"AAAAAE3x5Cw=")</f>
        <v>#VALUE!</v>
      </c>
      <c r="AT185" t="e">
        <f>AND('STERLING CATALOG - DRY '!D4117,"AAAAAE3x5C0=")</f>
        <v>#VALUE!</v>
      </c>
      <c r="AU185" t="e">
        <f>AND('STERLING CATALOG - DRY '!E4117,"AAAAAE3x5C4=")</f>
        <v>#VALUE!</v>
      </c>
      <c r="AV185" t="e">
        <f>AND('STERLING CATALOG - DRY '!F4117,"AAAAAE3x5C8=")</f>
        <v>#VALUE!</v>
      </c>
      <c r="AW185" t="e">
        <f>AND('STERLING CATALOG - DRY '!G4117,"AAAAAE3x5DA=")</f>
        <v>#VALUE!</v>
      </c>
      <c r="AX185" t="e">
        <f>AND('STERLING CATALOG - DRY '!H4117,"AAAAAE3x5DE=")</f>
        <v>#VALUE!</v>
      </c>
      <c r="AY185" t="e">
        <f>AND('STERLING CATALOG - DRY '!I4117,"AAAAAE3x5DI=")</f>
        <v>#VALUE!</v>
      </c>
      <c r="AZ185" t="e">
        <f>AND('STERLING CATALOG - DRY '!J4117,"AAAAAE3x5DM=")</f>
        <v>#VALUE!</v>
      </c>
      <c r="BA185">
        <f>IF('STERLING CATALOG - DRY '!4118:4118,"AAAAAE3x5DQ=",0)</f>
        <v>0</v>
      </c>
      <c r="BB185" t="e">
        <f>AND('STERLING CATALOG - DRY '!A4118,"AAAAAE3x5DU=")</f>
        <v>#VALUE!</v>
      </c>
      <c r="BC185" t="e">
        <f>AND('STERLING CATALOG - DRY '!B4118,"AAAAAE3x5DY=")</f>
        <v>#VALUE!</v>
      </c>
      <c r="BD185" t="e">
        <f>AND('STERLING CATALOG - DRY '!C4118,"AAAAAE3x5Dc=")</f>
        <v>#VALUE!</v>
      </c>
      <c r="BE185" t="e">
        <f>AND('STERLING CATALOG - DRY '!D4118,"AAAAAE3x5Dg=")</f>
        <v>#VALUE!</v>
      </c>
      <c r="BF185" t="e">
        <f>AND('STERLING CATALOG - DRY '!E4118,"AAAAAE3x5Dk=")</f>
        <v>#VALUE!</v>
      </c>
      <c r="BG185" t="e">
        <f>AND('STERLING CATALOG - DRY '!F4118,"AAAAAE3x5Do=")</f>
        <v>#VALUE!</v>
      </c>
      <c r="BH185" t="e">
        <f>AND('STERLING CATALOG - DRY '!G4118,"AAAAAE3x5Ds=")</f>
        <v>#VALUE!</v>
      </c>
      <c r="BI185" t="e">
        <f>AND('STERLING CATALOG - DRY '!H4118,"AAAAAE3x5Dw=")</f>
        <v>#VALUE!</v>
      </c>
      <c r="BJ185" t="e">
        <f>AND('STERLING CATALOG - DRY '!I4118,"AAAAAE3x5D0=")</f>
        <v>#VALUE!</v>
      </c>
      <c r="BK185" t="e">
        <f>AND('STERLING CATALOG - DRY '!J4118,"AAAAAE3x5D4=")</f>
        <v>#VALUE!</v>
      </c>
      <c r="BL185">
        <f>IF('STERLING CATALOG - DRY '!4119:4119,"AAAAAE3x5D8=",0)</f>
        <v>0</v>
      </c>
      <c r="BM185" t="e">
        <f>AND('STERLING CATALOG - DRY '!A4119,"AAAAAE3x5EA=")</f>
        <v>#VALUE!</v>
      </c>
      <c r="BN185" t="e">
        <f>AND('STERLING CATALOG - DRY '!B4119,"AAAAAE3x5EE=")</f>
        <v>#VALUE!</v>
      </c>
      <c r="BO185" t="e">
        <f>AND('STERLING CATALOG - DRY '!C4119,"AAAAAE3x5EI=")</f>
        <v>#VALUE!</v>
      </c>
      <c r="BP185" t="e">
        <f>AND('STERLING CATALOG - DRY '!D4119,"AAAAAE3x5EM=")</f>
        <v>#VALUE!</v>
      </c>
      <c r="BQ185" t="e">
        <f>AND('STERLING CATALOG - DRY '!E4119,"AAAAAE3x5EQ=")</f>
        <v>#VALUE!</v>
      </c>
      <c r="BR185" t="e">
        <f>AND('STERLING CATALOG - DRY '!F4119,"AAAAAE3x5EU=")</f>
        <v>#VALUE!</v>
      </c>
      <c r="BS185" t="e">
        <f>AND('STERLING CATALOG - DRY '!G4119,"AAAAAE3x5EY=")</f>
        <v>#VALUE!</v>
      </c>
      <c r="BT185" t="e">
        <f>AND('STERLING CATALOG - DRY '!H4119,"AAAAAE3x5Ec=")</f>
        <v>#VALUE!</v>
      </c>
      <c r="BU185" t="e">
        <f>AND('STERLING CATALOG - DRY '!I4119,"AAAAAE3x5Eg=")</f>
        <v>#VALUE!</v>
      </c>
      <c r="BV185" t="e">
        <f>AND('STERLING CATALOG - DRY '!J4119,"AAAAAE3x5Ek=")</f>
        <v>#VALUE!</v>
      </c>
      <c r="BW185">
        <f>IF('STERLING CATALOG - DRY '!4120:4120,"AAAAAE3x5Eo=",0)</f>
        <v>0</v>
      </c>
      <c r="BX185" t="e">
        <f>AND('STERLING CATALOG - DRY '!A4120,"AAAAAE3x5Es=")</f>
        <v>#VALUE!</v>
      </c>
      <c r="BY185" t="e">
        <f>AND('STERLING CATALOG - DRY '!B4120,"AAAAAE3x5Ew=")</f>
        <v>#VALUE!</v>
      </c>
      <c r="BZ185" t="e">
        <f>AND('STERLING CATALOG - DRY '!C4120,"AAAAAE3x5E0=")</f>
        <v>#VALUE!</v>
      </c>
      <c r="CA185" t="e">
        <f>AND('STERLING CATALOG - DRY '!D4120,"AAAAAE3x5E4=")</f>
        <v>#VALUE!</v>
      </c>
      <c r="CB185" t="e">
        <f>AND('STERLING CATALOG - DRY '!E4120,"AAAAAE3x5E8=")</f>
        <v>#VALUE!</v>
      </c>
      <c r="CC185" t="e">
        <f>AND('STERLING CATALOG - DRY '!F4120,"AAAAAE3x5FA=")</f>
        <v>#VALUE!</v>
      </c>
      <c r="CD185" t="e">
        <f>AND('STERLING CATALOG - DRY '!G4120,"AAAAAE3x5FE=")</f>
        <v>#VALUE!</v>
      </c>
      <c r="CE185" t="e">
        <f>AND('STERLING CATALOG - DRY '!H4120,"AAAAAE3x5FI=")</f>
        <v>#VALUE!</v>
      </c>
      <c r="CF185" t="e">
        <f>AND('STERLING CATALOG - DRY '!I4120,"AAAAAE3x5FM=")</f>
        <v>#VALUE!</v>
      </c>
      <c r="CG185" t="e">
        <f>AND('STERLING CATALOG - DRY '!J4120,"AAAAAE3x5FQ=")</f>
        <v>#VALUE!</v>
      </c>
      <c r="CH185">
        <f>IF('STERLING CATALOG - DRY '!4121:4121,"AAAAAE3x5FU=",0)</f>
        <v>0</v>
      </c>
      <c r="CI185" t="e">
        <f>AND('STERLING CATALOG - DRY '!A4121,"AAAAAE3x5FY=")</f>
        <v>#VALUE!</v>
      </c>
      <c r="CJ185" t="e">
        <f>AND('STERLING CATALOG - DRY '!B4121,"AAAAAE3x5Fc=")</f>
        <v>#VALUE!</v>
      </c>
      <c r="CK185" t="e">
        <f>AND('STERLING CATALOG - DRY '!C4121,"AAAAAE3x5Fg=")</f>
        <v>#VALUE!</v>
      </c>
      <c r="CL185" t="e">
        <f>AND('STERLING CATALOG - DRY '!D4121,"AAAAAE3x5Fk=")</f>
        <v>#VALUE!</v>
      </c>
      <c r="CM185" t="e">
        <f>AND('STERLING CATALOG - DRY '!E4121,"AAAAAE3x5Fo=")</f>
        <v>#VALUE!</v>
      </c>
      <c r="CN185" t="e">
        <f>AND('STERLING CATALOG - DRY '!F4121,"AAAAAE3x5Fs=")</f>
        <v>#VALUE!</v>
      </c>
      <c r="CO185" t="e">
        <f>AND('STERLING CATALOG - DRY '!G4121,"AAAAAE3x5Fw=")</f>
        <v>#VALUE!</v>
      </c>
      <c r="CP185" t="e">
        <f>AND('STERLING CATALOG - DRY '!H4121,"AAAAAE3x5F0=")</f>
        <v>#VALUE!</v>
      </c>
      <c r="CQ185" t="e">
        <f>AND('STERLING CATALOG - DRY '!I4121,"AAAAAE3x5F4=")</f>
        <v>#VALUE!</v>
      </c>
      <c r="CR185" t="e">
        <f>AND('STERLING CATALOG - DRY '!J4121,"AAAAAE3x5F8=")</f>
        <v>#VALUE!</v>
      </c>
      <c r="CS185">
        <f>IF('STERLING CATALOG - DRY '!4122:4122,"AAAAAE3x5GA=",0)</f>
        <v>0</v>
      </c>
      <c r="CT185" t="e">
        <f>AND('STERLING CATALOG - DRY '!A4122,"AAAAAE3x5GE=")</f>
        <v>#VALUE!</v>
      </c>
      <c r="CU185" t="e">
        <f>AND('STERLING CATALOG - DRY '!B4122,"AAAAAE3x5GI=")</f>
        <v>#VALUE!</v>
      </c>
      <c r="CV185" t="e">
        <f>AND('STERLING CATALOG - DRY '!C4122,"AAAAAE3x5GM=")</f>
        <v>#VALUE!</v>
      </c>
      <c r="CW185" t="e">
        <f>AND('STERLING CATALOG - DRY '!D4122,"AAAAAE3x5GQ=")</f>
        <v>#VALUE!</v>
      </c>
      <c r="CX185" t="e">
        <f>AND('STERLING CATALOG - DRY '!E4122,"AAAAAE3x5GU=")</f>
        <v>#VALUE!</v>
      </c>
      <c r="CY185" t="e">
        <f>AND('STERLING CATALOG - DRY '!F4122,"AAAAAE3x5GY=")</f>
        <v>#VALUE!</v>
      </c>
      <c r="CZ185" t="e">
        <f>AND('STERLING CATALOG - DRY '!G4122,"AAAAAE3x5Gc=")</f>
        <v>#VALUE!</v>
      </c>
      <c r="DA185" t="e">
        <f>AND('STERLING CATALOG - DRY '!H4122,"AAAAAE3x5Gg=")</f>
        <v>#VALUE!</v>
      </c>
      <c r="DB185" t="e">
        <f>AND('STERLING CATALOG - DRY '!I4122,"AAAAAE3x5Gk=")</f>
        <v>#VALUE!</v>
      </c>
      <c r="DC185" t="e">
        <f>AND('STERLING CATALOG - DRY '!J4122,"AAAAAE3x5Go=")</f>
        <v>#VALUE!</v>
      </c>
      <c r="DD185">
        <f>IF('STERLING CATALOG - DRY '!4123:4123,"AAAAAE3x5Gs=",0)</f>
        <v>0</v>
      </c>
      <c r="DE185" t="e">
        <f>AND('STERLING CATALOG - DRY '!A4123,"AAAAAE3x5Gw=")</f>
        <v>#VALUE!</v>
      </c>
      <c r="DF185" t="e">
        <f>AND('STERLING CATALOG - DRY '!B4123,"AAAAAE3x5G0=")</f>
        <v>#VALUE!</v>
      </c>
      <c r="DG185" t="e">
        <f>AND('STERLING CATALOG - DRY '!C4123,"AAAAAE3x5G4=")</f>
        <v>#VALUE!</v>
      </c>
      <c r="DH185" t="e">
        <f>AND('STERLING CATALOG - DRY '!D4123,"AAAAAE3x5G8=")</f>
        <v>#VALUE!</v>
      </c>
      <c r="DI185" t="e">
        <f>AND('STERLING CATALOG - DRY '!E4123,"AAAAAE3x5HA=")</f>
        <v>#VALUE!</v>
      </c>
      <c r="DJ185" t="e">
        <f>AND('STERLING CATALOG - DRY '!F4123,"AAAAAE3x5HE=")</f>
        <v>#VALUE!</v>
      </c>
      <c r="DK185" t="e">
        <f>AND('STERLING CATALOG - DRY '!G4123,"AAAAAE3x5HI=")</f>
        <v>#VALUE!</v>
      </c>
      <c r="DL185" t="e">
        <f>AND('STERLING CATALOG - DRY '!H4123,"AAAAAE3x5HM=")</f>
        <v>#VALUE!</v>
      </c>
      <c r="DM185" t="e">
        <f>AND('STERLING CATALOG - DRY '!I4123,"AAAAAE3x5HQ=")</f>
        <v>#VALUE!</v>
      </c>
      <c r="DN185" t="e">
        <f>AND('STERLING CATALOG - DRY '!J4123,"AAAAAE3x5HU=")</f>
        <v>#VALUE!</v>
      </c>
      <c r="DO185">
        <f>IF('STERLING CATALOG - DRY '!4124:4124,"AAAAAE3x5HY=",0)</f>
        <v>0</v>
      </c>
      <c r="DP185" t="e">
        <f>AND('STERLING CATALOG - DRY '!A4124,"AAAAAE3x5Hc=")</f>
        <v>#VALUE!</v>
      </c>
      <c r="DQ185" t="e">
        <f>AND('STERLING CATALOG - DRY '!B4124,"AAAAAE3x5Hg=")</f>
        <v>#VALUE!</v>
      </c>
      <c r="DR185" t="e">
        <f>AND('STERLING CATALOG - DRY '!C4124,"AAAAAE3x5Hk=")</f>
        <v>#VALUE!</v>
      </c>
      <c r="DS185" t="e">
        <f>AND('STERLING CATALOG - DRY '!D4124,"AAAAAE3x5Ho=")</f>
        <v>#VALUE!</v>
      </c>
      <c r="DT185" t="e">
        <f>AND('STERLING CATALOG - DRY '!E4124,"AAAAAE3x5Hs=")</f>
        <v>#VALUE!</v>
      </c>
      <c r="DU185" t="e">
        <f>AND('STERLING CATALOG - DRY '!F4124,"AAAAAE3x5Hw=")</f>
        <v>#VALUE!</v>
      </c>
      <c r="DV185" t="e">
        <f>AND('STERLING CATALOG - DRY '!G4124,"AAAAAE3x5H0=")</f>
        <v>#VALUE!</v>
      </c>
      <c r="DW185" t="e">
        <f>AND('STERLING CATALOG - DRY '!H4124,"AAAAAE3x5H4=")</f>
        <v>#VALUE!</v>
      </c>
      <c r="DX185" t="e">
        <f>AND('STERLING CATALOG - DRY '!I4124,"AAAAAE3x5H8=")</f>
        <v>#VALUE!</v>
      </c>
      <c r="DY185" t="e">
        <f>AND('STERLING CATALOG - DRY '!J4124,"AAAAAE3x5IA=")</f>
        <v>#VALUE!</v>
      </c>
      <c r="DZ185">
        <f>IF('STERLING CATALOG - DRY '!4125:4125,"AAAAAE3x5IE=",0)</f>
        <v>0</v>
      </c>
      <c r="EA185" t="e">
        <f>AND('STERLING CATALOG - DRY '!A4125,"AAAAAE3x5II=")</f>
        <v>#VALUE!</v>
      </c>
      <c r="EB185" t="e">
        <f>AND('STERLING CATALOG - DRY '!B4125,"AAAAAE3x5IM=")</f>
        <v>#VALUE!</v>
      </c>
      <c r="EC185" t="e">
        <f>AND('STERLING CATALOG - DRY '!C4125,"AAAAAE3x5IQ=")</f>
        <v>#VALUE!</v>
      </c>
      <c r="ED185" t="e">
        <f>AND('STERLING CATALOG - DRY '!D4125,"AAAAAE3x5IU=")</f>
        <v>#VALUE!</v>
      </c>
      <c r="EE185" t="e">
        <f>AND('STERLING CATALOG - DRY '!E4125,"AAAAAE3x5IY=")</f>
        <v>#VALUE!</v>
      </c>
      <c r="EF185" t="e">
        <f>AND('STERLING CATALOG - DRY '!F4125,"AAAAAE3x5Ic=")</f>
        <v>#VALUE!</v>
      </c>
      <c r="EG185" t="e">
        <f>AND('STERLING CATALOG - DRY '!G4125,"AAAAAE3x5Ig=")</f>
        <v>#VALUE!</v>
      </c>
      <c r="EH185" t="e">
        <f>AND('STERLING CATALOG - DRY '!H4125,"AAAAAE3x5Ik=")</f>
        <v>#VALUE!</v>
      </c>
      <c r="EI185" t="e">
        <f>AND('STERLING CATALOG - DRY '!I4125,"AAAAAE3x5Io=")</f>
        <v>#VALUE!</v>
      </c>
      <c r="EJ185" t="e">
        <f>AND('STERLING CATALOG - DRY '!J4125,"AAAAAE3x5Is=")</f>
        <v>#VALUE!</v>
      </c>
      <c r="EK185">
        <f>IF('STERLING CATALOG - DRY '!4126:4126,"AAAAAE3x5Iw=",0)</f>
        <v>0</v>
      </c>
      <c r="EL185" t="e">
        <f>AND('STERLING CATALOG - DRY '!A4126,"AAAAAE3x5I0=")</f>
        <v>#VALUE!</v>
      </c>
      <c r="EM185" t="e">
        <f>AND('STERLING CATALOG - DRY '!B4126,"AAAAAE3x5I4=")</f>
        <v>#VALUE!</v>
      </c>
      <c r="EN185" t="e">
        <f>AND('STERLING CATALOG - DRY '!C4126,"AAAAAE3x5I8=")</f>
        <v>#VALUE!</v>
      </c>
      <c r="EO185" t="e">
        <f>AND('STERLING CATALOG - DRY '!D4126,"AAAAAE3x5JA=")</f>
        <v>#VALUE!</v>
      </c>
      <c r="EP185" t="e">
        <f>AND('STERLING CATALOG - DRY '!E4126,"AAAAAE3x5JE=")</f>
        <v>#VALUE!</v>
      </c>
      <c r="EQ185" t="e">
        <f>AND('STERLING CATALOG - DRY '!F4126,"AAAAAE3x5JI=")</f>
        <v>#VALUE!</v>
      </c>
      <c r="ER185" t="e">
        <f>AND('STERLING CATALOG - DRY '!G4126,"AAAAAE3x5JM=")</f>
        <v>#VALUE!</v>
      </c>
      <c r="ES185" t="e">
        <f>AND('STERLING CATALOG - DRY '!H4126,"AAAAAE3x5JQ=")</f>
        <v>#VALUE!</v>
      </c>
      <c r="ET185" t="e">
        <f>AND('STERLING CATALOG - DRY '!I4126,"AAAAAE3x5JU=")</f>
        <v>#VALUE!</v>
      </c>
      <c r="EU185" t="e">
        <f>AND('STERLING CATALOG - DRY '!J4126,"AAAAAE3x5JY=")</f>
        <v>#VALUE!</v>
      </c>
      <c r="EV185">
        <f>IF('STERLING CATALOG - DRY '!4127:4127,"AAAAAE3x5Jc=",0)</f>
        <v>0</v>
      </c>
      <c r="EW185" t="e">
        <f>AND('STERLING CATALOG - DRY '!A4127,"AAAAAE3x5Jg=")</f>
        <v>#VALUE!</v>
      </c>
      <c r="EX185" t="e">
        <f>AND('STERLING CATALOG - DRY '!B4127,"AAAAAE3x5Jk=")</f>
        <v>#VALUE!</v>
      </c>
      <c r="EY185" t="e">
        <f>AND('STERLING CATALOG - DRY '!C4127,"AAAAAE3x5Jo=")</f>
        <v>#VALUE!</v>
      </c>
      <c r="EZ185" t="e">
        <f>AND('STERLING CATALOG - DRY '!D4127,"AAAAAE3x5Js=")</f>
        <v>#VALUE!</v>
      </c>
      <c r="FA185" t="e">
        <f>AND('STERLING CATALOG - DRY '!E4127,"AAAAAE3x5Jw=")</f>
        <v>#VALUE!</v>
      </c>
      <c r="FB185" t="e">
        <f>AND('STERLING CATALOG - DRY '!F4127,"AAAAAE3x5J0=")</f>
        <v>#VALUE!</v>
      </c>
      <c r="FC185" t="e">
        <f>AND('STERLING CATALOG - DRY '!G4127,"AAAAAE3x5J4=")</f>
        <v>#VALUE!</v>
      </c>
      <c r="FD185" t="e">
        <f>AND('STERLING CATALOG - DRY '!H4127,"AAAAAE3x5J8=")</f>
        <v>#VALUE!</v>
      </c>
      <c r="FE185" t="e">
        <f>AND('STERLING CATALOG - DRY '!I4127,"AAAAAE3x5KA=")</f>
        <v>#VALUE!</v>
      </c>
      <c r="FF185" t="e">
        <f>AND('STERLING CATALOG - DRY '!J4127,"AAAAAE3x5KE=")</f>
        <v>#VALUE!</v>
      </c>
      <c r="FG185">
        <f>IF('STERLING CATALOG - DRY '!4128:4128,"AAAAAE3x5KI=",0)</f>
        <v>0</v>
      </c>
      <c r="FH185" t="e">
        <f>AND('STERLING CATALOG - DRY '!A4128,"AAAAAE3x5KM=")</f>
        <v>#VALUE!</v>
      </c>
      <c r="FI185" t="e">
        <f>AND('STERLING CATALOG - DRY '!B4128,"AAAAAE3x5KQ=")</f>
        <v>#VALUE!</v>
      </c>
      <c r="FJ185" t="e">
        <f>AND('STERLING CATALOG - DRY '!C4128,"AAAAAE3x5KU=")</f>
        <v>#VALUE!</v>
      </c>
      <c r="FK185" t="e">
        <f>AND('STERLING CATALOG - DRY '!D4128,"AAAAAE3x5KY=")</f>
        <v>#VALUE!</v>
      </c>
      <c r="FL185" t="e">
        <f>AND('STERLING CATALOG - DRY '!E4128,"AAAAAE3x5Kc=")</f>
        <v>#VALUE!</v>
      </c>
      <c r="FM185" t="e">
        <f>AND('STERLING CATALOG - DRY '!F4128,"AAAAAE3x5Kg=")</f>
        <v>#VALUE!</v>
      </c>
      <c r="FN185" t="e">
        <f>AND('STERLING CATALOG - DRY '!G4128,"AAAAAE3x5Kk=")</f>
        <v>#VALUE!</v>
      </c>
      <c r="FO185" t="e">
        <f>AND('STERLING CATALOG - DRY '!H4128,"AAAAAE3x5Ko=")</f>
        <v>#VALUE!</v>
      </c>
      <c r="FP185" t="e">
        <f>AND('STERLING CATALOG - DRY '!I4128,"AAAAAE3x5Ks=")</f>
        <v>#VALUE!</v>
      </c>
      <c r="FQ185" t="e">
        <f>AND('STERLING CATALOG - DRY '!J4128,"AAAAAE3x5Kw=")</f>
        <v>#VALUE!</v>
      </c>
      <c r="FR185">
        <f>IF('STERLING CATALOG - DRY '!4129:4129,"AAAAAE3x5K0=",0)</f>
        <v>0</v>
      </c>
      <c r="FS185" t="e">
        <f>AND('STERLING CATALOG - DRY '!A4129,"AAAAAE3x5K4=")</f>
        <v>#VALUE!</v>
      </c>
      <c r="FT185" t="e">
        <f>AND('STERLING CATALOG - DRY '!B4129,"AAAAAE3x5K8=")</f>
        <v>#VALUE!</v>
      </c>
      <c r="FU185" t="e">
        <f>AND('STERLING CATALOG - DRY '!C4129,"AAAAAE3x5LA=")</f>
        <v>#VALUE!</v>
      </c>
      <c r="FV185" t="e">
        <f>AND('STERLING CATALOG - DRY '!D4129,"AAAAAE3x5LE=")</f>
        <v>#VALUE!</v>
      </c>
      <c r="FW185" t="e">
        <f>AND('STERLING CATALOG - DRY '!E4129,"AAAAAE3x5LI=")</f>
        <v>#VALUE!</v>
      </c>
      <c r="FX185" t="e">
        <f>AND('STERLING CATALOG - DRY '!F4129,"AAAAAE3x5LM=")</f>
        <v>#VALUE!</v>
      </c>
      <c r="FY185" t="e">
        <f>AND('STERLING CATALOG - DRY '!G4129,"AAAAAE3x5LQ=")</f>
        <v>#VALUE!</v>
      </c>
      <c r="FZ185" t="e">
        <f>AND('STERLING CATALOG - DRY '!H4129,"AAAAAE3x5LU=")</f>
        <v>#VALUE!</v>
      </c>
      <c r="GA185" t="e">
        <f>AND('STERLING CATALOG - DRY '!I4129,"AAAAAE3x5LY=")</f>
        <v>#VALUE!</v>
      </c>
      <c r="GB185" t="e">
        <f>AND('STERLING CATALOG - DRY '!J4129,"AAAAAE3x5Lc=")</f>
        <v>#VALUE!</v>
      </c>
      <c r="GC185">
        <f>IF('STERLING CATALOG - DRY '!4130:4130,"AAAAAE3x5Lg=",0)</f>
        <v>0</v>
      </c>
      <c r="GD185" t="e">
        <f>AND('STERLING CATALOG - DRY '!A4130,"AAAAAE3x5Lk=")</f>
        <v>#VALUE!</v>
      </c>
      <c r="GE185" t="e">
        <f>AND('STERLING CATALOG - DRY '!B4130,"AAAAAE3x5Lo=")</f>
        <v>#VALUE!</v>
      </c>
      <c r="GF185" t="e">
        <f>AND('STERLING CATALOG - DRY '!C4130,"AAAAAE3x5Ls=")</f>
        <v>#VALUE!</v>
      </c>
      <c r="GG185" t="e">
        <f>AND('STERLING CATALOG - DRY '!D4130,"AAAAAE3x5Lw=")</f>
        <v>#VALUE!</v>
      </c>
      <c r="GH185" t="e">
        <f>AND('STERLING CATALOG - DRY '!E4130,"AAAAAE3x5L0=")</f>
        <v>#VALUE!</v>
      </c>
      <c r="GI185" t="e">
        <f>AND('STERLING CATALOG - DRY '!F4130,"AAAAAE3x5L4=")</f>
        <v>#VALUE!</v>
      </c>
      <c r="GJ185" t="e">
        <f>AND('STERLING CATALOG - DRY '!G4130,"AAAAAE3x5L8=")</f>
        <v>#VALUE!</v>
      </c>
      <c r="GK185" t="e">
        <f>AND('STERLING CATALOG - DRY '!H4130,"AAAAAE3x5MA=")</f>
        <v>#VALUE!</v>
      </c>
      <c r="GL185" t="e">
        <f>AND('STERLING CATALOG - DRY '!I4130,"AAAAAE3x5ME=")</f>
        <v>#VALUE!</v>
      </c>
      <c r="GM185" t="e">
        <f>AND('STERLING CATALOG - DRY '!J4130,"AAAAAE3x5MI=")</f>
        <v>#VALUE!</v>
      </c>
      <c r="GN185">
        <f>IF('STERLING CATALOG - DRY '!4131:4131,"AAAAAE3x5MM=",0)</f>
        <v>0</v>
      </c>
      <c r="GO185" t="e">
        <f>AND('STERLING CATALOG - DRY '!A4131,"AAAAAE3x5MQ=")</f>
        <v>#VALUE!</v>
      </c>
      <c r="GP185" t="e">
        <f>AND('STERLING CATALOG - DRY '!B4131,"AAAAAE3x5MU=")</f>
        <v>#VALUE!</v>
      </c>
      <c r="GQ185" t="e">
        <f>AND('STERLING CATALOG - DRY '!C4131,"AAAAAE3x5MY=")</f>
        <v>#VALUE!</v>
      </c>
      <c r="GR185" t="e">
        <f>AND('STERLING CATALOG - DRY '!D4131,"AAAAAE3x5Mc=")</f>
        <v>#VALUE!</v>
      </c>
      <c r="GS185" t="e">
        <f>AND('STERLING CATALOG - DRY '!E4131,"AAAAAE3x5Mg=")</f>
        <v>#VALUE!</v>
      </c>
      <c r="GT185" t="e">
        <f>AND('STERLING CATALOG - DRY '!F4131,"AAAAAE3x5Mk=")</f>
        <v>#VALUE!</v>
      </c>
      <c r="GU185" t="e">
        <f>AND('STERLING CATALOG - DRY '!G4131,"AAAAAE3x5Mo=")</f>
        <v>#VALUE!</v>
      </c>
      <c r="GV185" t="e">
        <f>AND('STERLING CATALOG - DRY '!H4131,"AAAAAE3x5Ms=")</f>
        <v>#VALUE!</v>
      </c>
      <c r="GW185" t="e">
        <f>AND('STERLING CATALOG - DRY '!I4131,"AAAAAE3x5Mw=")</f>
        <v>#VALUE!</v>
      </c>
      <c r="GX185" t="e">
        <f>AND('STERLING CATALOG - DRY '!J4131,"AAAAAE3x5M0=")</f>
        <v>#VALUE!</v>
      </c>
      <c r="GY185">
        <f>IF('STERLING CATALOG - DRY '!4132:4132,"AAAAAE3x5M4=",0)</f>
        <v>0</v>
      </c>
      <c r="GZ185" t="e">
        <f>AND('STERLING CATALOG - DRY '!A4132,"AAAAAE3x5M8=")</f>
        <v>#VALUE!</v>
      </c>
      <c r="HA185" t="e">
        <f>AND('STERLING CATALOG - DRY '!B4132,"AAAAAE3x5NA=")</f>
        <v>#VALUE!</v>
      </c>
      <c r="HB185" t="e">
        <f>AND('STERLING CATALOG - DRY '!C4132,"AAAAAE3x5NE=")</f>
        <v>#VALUE!</v>
      </c>
      <c r="HC185" t="e">
        <f>AND('STERLING CATALOG - DRY '!D4132,"AAAAAE3x5NI=")</f>
        <v>#VALUE!</v>
      </c>
      <c r="HD185" t="e">
        <f>AND('STERLING CATALOG - DRY '!E4132,"AAAAAE3x5NM=")</f>
        <v>#VALUE!</v>
      </c>
      <c r="HE185" t="e">
        <f>AND('STERLING CATALOG - DRY '!F4132,"AAAAAE3x5NQ=")</f>
        <v>#VALUE!</v>
      </c>
      <c r="HF185" t="e">
        <f>AND('STERLING CATALOG - DRY '!G4132,"AAAAAE3x5NU=")</f>
        <v>#VALUE!</v>
      </c>
      <c r="HG185" t="e">
        <f>AND('STERLING CATALOG - DRY '!H4132,"AAAAAE3x5NY=")</f>
        <v>#VALUE!</v>
      </c>
      <c r="HH185" t="e">
        <f>AND('STERLING CATALOG - DRY '!I4132,"AAAAAE3x5Nc=")</f>
        <v>#VALUE!</v>
      </c>
      <c r="HI185" t="e">
        <f>AND('STERLING CATALOG - DRY '!J4132,"AAAAAE3x5Ng=")</f>
        <v>#VALUE!</v>
      </c>
      <c r="HJ185">
        <f>IF('STERLING CATALOG - DRY '!4133:4133,"AAAAAE3x5Nk=",0)</f>
        <v>0</v>
      </c>
      <c r="HK185" t="e">
        <f>AND('STERLING CATALOG - DRY '!A4133,"AAAAAE3x5No=")</f>
        <v>#VALUE!</v>
      </c>
      <c r="HL185" t="e">
        <f>AND('STERLING CATALOG - DRY '!B4133,"AAAAAE3x5Ns=")</f>
        <v>#VALUE!</v>
      </c>
      <c r="HM185" t="e">
        <f>AND('STERLING CATALOG - DRY '!C4133,"AAAAAE3x5Nw=")</f>
        <v>#VALUE!</v>
      </c>
      <c r="HN185" t="e">
        <f>AND('STERLING CATALOG - DRY '!D4133,"AAAAAE3x5N0=")</f>
        <v>#VALUE!</v>
      </c>
      <c r="HO185" t="e">
        <f>AND('STERLING CATALOG - DRY '!E4133,"AAAAAE3x5N4=")</f>
        <v>#VALUE!</v>
      </c>
      <c r="HP185" t="e">
        <f>AND('STERLING CATALOG - DRY '!F4133,"AAAAAE3x5N8=")</f>
        <v>#VALUE!</v>
      </c>
      <c r="HQ185" t="e">
        <f>AND('STERLING CATALOG - DRY '!G4133,"AAAAAE3x5OA=")</f>
        <v>#VALUE!</v>
      </c>
      <c r="HR185" t="e">
        <f>AND('STERLING CATALOG - DRY '!H4133,"AAAAAE3x5OE=")</f>
        <v>#VALUE!</v>
      </c>
      <c r="HS185" t="e">
        <f>AND('STERLING CATALOG - DRY '!I4133,"AAAAAE3x5OI=")</f>
        <v>#VALUE!</v>
      </c>
      <c r="HT185" t="e">
        <f>AND('STERLING CATALOG - DRY '!J4133,"AAAAAE3x5OM=")</f>
        <v>#VALUE!</v>
      </c>
      <c r="HU185">
        <f>IF('STERLING CATALOG - DRY '!4134:4134,"AAAAAE3x5OQ=",0)</f>
        <v>0</v>
      </c>
      <c r="HV185" t="e">
        <f>AND('STERLING CATALOG - DRY '!A4134,"AAAAAE3x5OU=")</f>
        <v>#VALUE!</v>
      </c>
      <c r="HW185" t="e">
        <f>AND('STERLING CATALOG - DRY '!B4134,"AAAAAE3x5OY=")</f>
        <v>#VALUE!</v>
      </c>
      <c r="HX185" t="e">
        <f>AND('STERLING CATALOG - DRY '!C4134,"AAAAAE3x5Oc=")</f>
        <v>#VALUE!</v>
      </c>
      <c r="HY185" t="e">
        <f>AND('STERLING CATALOG - DRY '!D4134,"AAAAAE3x5Og=")</f>
        <v>#VALUE!</v>
      </c>
      <c r="HZ185" t="e">
        <f>AND('STERLING CATALOG - DRY '!E4134,"AAAAAE3x5Ok=")</f>
        <v>#VALUE!</v>
      </c>
      <c r="IA185" t="e">
        <f>AND('STERLING CATALOG - DRY '!F4134,"AAAAAE3x5Oo=")</f>
        <v>#VALUE!</v>
      </c>
      <c r="IB185" t="e">
        <f>AND('STERLING CATALOG - DRY '!G4134,"AAAAAE3x5Os=")</f>
        <v>#VALUE!</v>
      </c>
      <c r="IC185" t="e">
        <f>AND('STERLING CATALOG - DRY '!H4134,"AAAAAE3x5Ow=")</f>
        <v>#VALUE!</v>
      </c>
      <c r="ID185" t="e">
        <f>AND('STERLING CATALOG - DRY '!I4134,"AAAAAE3x5O0=")</f>
        <v>#VALUE!</v>
      </c>
      <c r="IE185" t="e">
        <f>AND('STERLING CATALOG - DRY '!J4134,"AAAAAE3x5O4=")</f>
        <v>#VALUE!</v>
      </c>
      <c r="IF185">
        <f>IF('STERLING CATALOG - DRY '!4135:4135,"AAAAAE3x5O8=",0)</f>
        <v>0</v>
      </c>
      <c r="IG185" t="e">
        <f>AND('STERLING CATALOG - DRY '!A4135,"AAAAAE3x5PA=")</f>
        <v>#VALUE!</v>
      </c>
      <c r="IH185" t="e">
        <f>AND('STERLING CATALOG - DRY '!B4135,"AAAAAE3x5PE=")</f>
        <v>#VALUE!</v>
      </c>
      <c r="II185" t="e">
        <f>AND('STERLING CATALOG - DRY '!C4135,"AAAAAE3x5PI=")</f>
        <v>#VALUE!</v>
      </c>
      <c r="IJ185" t="e">
        <f>AND('STERLING CATALOG - DRY '!D4135,"AAAAAE3x5PM=")</f>
        <v>#VALUE!</v>
      </c>
      <c r="IK185" t="e">
        <f>AND('STERLING CATALOG - DRY '!E4135,"AAAAAE3x5PQ=")</f>
        <v>#VALUE!</v>
      </c>
      <c r="IL185" t="e">
        <f>AND('STERLING CATALOG - DRY '!F4135,"AAAAAE3x5PU=")</f>
        <v>#VALUE!</v>
      </c>
      <c r="IM185" t="e">
        <f>AND('STERLING CATALOG - DRY '!G4135,"AAAAAE3x5PY=")</f>
        <v>#VALUE!</v>
      </c>
      <c r="IN185" t="e">
        <f>AND('STERLING CATALOG - DRY '!H4135,"AAAAAE3x5Pc=")</f>
        <v>#VALUE!</v>
      </c>
      <c r="IO185" t="e">
        <f>AND('STERLING CATALOG - DRY '!I4135,"AAAAAE3x5Pg=")</f>
        <v>#VALUE!</v>
      </c>
      <c r="IP185" t="e">
        <f>AND('STERLING CATALOG - DRY '!J4135,"AAAAAE3x5Pk=")</f>
        <v>#VALUE!</v>
      </c>
      <c r="IQ185">
        <f>IF('STERLING CATALOG - DRY '!4136:4136,"AAAAAE3x5Po=",0)</f>
        <v>0</v>
      </c>
      <c r="IR185" t="e">
        <f>AND('STERLING CATALOG - DRY '!A4136,"AAAAAE3x5Ps=")</f>
        <v>#VALUE!</v>
      </c>
      <c r="IS185" t="e">
        <f>AND('STERLING CATALOG - DRY '!B4136,"AAAAAE3x5Pw=")</f>
        <v>#VALUE!</v>
      </c>
      <c r="IT185" t="e">
        <f>AND('STERLING CATALOG - DRY '!C4136,"AAAAAE3x5P0=")</f>
        <v>#VALUE!</v>
      </c>
      <c r="IU185" t="e">
        <f>AND('STERLING CATALOG - DRY '!D4136,"AAAAAE3x5P4=")</f>
        <v>#VALUE!</v>
      </c>
      <c r="IV185" t="e">
        <f>AND('STERLING CATALOG - DRY '!E4136,"AAAAAE3x5P8=")</f>
        <v>#VALUE!</v>
      </c>
    </row>
    <row r="186" spans="1:256">
      <c r="A186" t="e">
        <f>AND('STERLING CATALOG - DRY '!F4136,"AAAAAG192gA=")</f>
        <v>#VALUE!</v>
      </c>
      <c r="B186" t="e">
        <f>AND('STERLING CATALOG - DRY '!G4136,"AAAAAG192gE=")</f>
        <v>#VALUE!</v>
      </c>
      <c r="C186" t="e">
        <f>AND('STERLING CATALOG - DRY '!H4136,"AAAAAG192gI=")</f>
        <v>#VALUE!</v>
      </c>
      <c r="D186" t="e">
        <f>AND('STERLING CATALOG - DRY '!I4136,"AAAAAG192gM=")</f>
        <v>#VALUE!</v>
      </c>
      <c r="E186" t="e">
        <f>AND('STERLING CATALOG - DRY '!J4136,"AAAAAG192gQ=")</f>
        <v>#VALUE!</v>
      </c>
      <c r="F186" t="str">
        <f>IF('STERLING CATALOG - DRY '!4137:4137,"AAAAAG192gU=",0)</f>
        <v>AAAAAG192gU=</v>
      </c>
      <c r="G186" t="e">
        <f>AND('STERLING CATALOG - DRY '!A4137,"AAAAAG192gY=")</f>
        <v>#VALUE!</v>
      </c>
      <c r="H186" t="e">
        <f>AND('STERLING CATALOG - DRY '!B4137,"AAAAAG192gc=")</f>
        <v>#VALUE!</v>
      </c>
      <c r="I186" t="e">
        <f>AND('STERLING CATALOG - DRY '!C4137,"AAAAAG192gg=")</f>
        <v>#VALUE!</v>
      </c>
      <c r="J186" t="e">
        <f>AND('STERLING CATALOG - DRY '!D4137,"AAAAAG192gk=")</f>
        <v>#VALUE!</v>
      </c>
      <c r="K186" t="e">
        <f>AND('STERLING CATALOG - DRY '!E4137,"AAAAAG192go=")</f>
        <v>#VALUE!</v>
      </c>
      <c r="L186" t="e">
        <f>AND('STERLING CATALOG - DRY '!F4137,"AAAAAG192gs=")</f>
        <v>#VALUE!</v>
      </c>
      <c r="M186" t="e">
        <f>AND('STERLING CATALOG - DRY '!G4137,"AAAAAG192gw=")</f>
        <v>#VALUE!</v>
      </c>
      <c r="N186" t="e">
        <f>AND('STERLING CATALOG - DRY '!H4137,"AAAAAG192g0=")</f>
        <v>#VALUE!</v>
      </c>
      <c r="O186" t="e">
        <f>AND('STERLING CATALOG - DRY '!I4137,"AAAAAG192g4=")</f>
        <v>#VALUE!</v>
      </c>
      <c r="P186" t="e">
        <f>AND('STERLING CATALOG - DRY '!J4137,"AAAAAG192g8=")</f>
        <v>#VALUE!</v>
      </c>
      <c r="Q186">
        <f>IF('STERLING CATALOG - DRY '!4138:4138,"AAAAAG192hA=",0)</f>
        <v>0</v>
      </c>
      <c r="R186" t="e">
        <f>AND('STERLING CATALOG - DRY '!A4138,"AAAAAG192hE=")</f>
        <v>#VALUE!</v>
      </c>
      <c r="S186" t="e">
        <f>AND('STERLING CATALOG - DRY '!B4138,"AAAAAG192hI=")</f>
        <v>#VALUE!</v>
      </c>
      <c r="T186" t="e">
        <f>AND('STERLING CATALOG - DRY '!C4138,"AAAAAG192hM=")</f>
        <v>#VALUE!</v>
      </c>
      <c r="U186" t="e">
        <f>AND('STERLING CATALOG - DRY '!D4138,"AAAAAG192hQ=")</f>
        <v>#VALUE!</v>
      </c>
      <c r="V186" t="e">
        <f>AND('STERLING CATALOG - DRY '!E4138,"AAAAAG192hU=")</f>
        <v>#VALUE!</v>
      </c>
      <c r="W186" t="e">
        <f>AND('STERLING CATALOG - DRY '!F4138,"AAAAAG192hY=")</f>
        <v>#VALUE!</v>
      </c>
      <c r="X186" t="e">
        <f>AND('STERLING CATALOG - DRY '!G4138,"AAAAAG192hc=")</f>
        <v>#VALUE!</v>
      </c>
      <c r="Y186" t="e">
        <f>AND('STERLING CATALOG - DRY '!H4138,"AAAAAG192hg=")</f>
        <v>#VALUE!</v>
      </c>
      <c r="Z186" t="e">
        <f>AND('STERLING CATALOG - DRY '!I4138,"AAAAAG192hk=")</f>
        <v>#VALUE!</v>
      </c>
      <c r="AA186" t="e">
        <f>AND('STERLING CATALOG - DRY '!J4138,"AAAAAG192ho=")</f>
        <v>#VALUE!</v>
      </c>
      <c r="AB186">
        <f>IF('STERLING CATALOG - DRY '!4139:4139,"AAAAAG192hs=",0)</f>
        <v>0</v>
      </c>
      <c r="AC186" t="e">
        <f>AND('STERLING CATALOG - DRY '!A4139,"AAAAAG192hw=")</f>
        <v>#VALUE!</v>
      </c>
      <c r="AD186" t="e">
        <f>AND('STERLING CATALOG - DRY '!B4139,"AAAAAG192h0=")</f>
        <v>#VALUE!</v>
      </c>
      <c r="AE186" t="e">
        <f>AND('STERLING CATALOG - DRY '!C4139,"AAAAAG192h4=")</f>
        <v>#VALUE!</v>
      </c>
      <c r="AF186" t="e">
        <f>AND('STERLING CATALOG - DRY '!D4139,"AAAAAG192h8=")</f>
        <v>#VALUE!</v>
      </c>
      <c r="AG186" t="e">
        <f>AND('STERLING CATALOG - DRY '!E4139,"AAAAAG192iA=")</f>
        <v>#VALUE!</v>
      </c>
      <c r="AH186" t="e">
        <f>AND('STERLING CATALOG - DRY '!F4139,"AAAAAG192iE=")</f>
        <v>#VALUE!</v>
      </c>
      <c r="AI186" t="e">
        <f>AND('STERLING CATALOG - DRY '!G4139,"AAAAAG192iI=")</f>
        <v>#VALUE!</v>
      </c>
      <c r="AJ186" t="e">
        <f>AND('STERLING CATALOG - DRY '!H4139,"AAAAAG192iM=")</f>
        <v>#VALUE!</v>
      </c>
      <c r="AK186" t="e">
        <f>AND('STERLING CATALOG - DRY '!I4139,"AAAAAG192iQ=")</f>
        <v>#VALUE!</v>
      </c>
      <c r="AL186" t="e">
        <f>AND('STERLING CATALOG - DRY '!J4139,"AAAAAG192iU=")</f>
        <v>#VALUE!</v>
      </c>
      <c r="AM186">
        <f>IF('STERLING CATALOG - DRY '!4140:4140,"AAAAAG192iY=",0)</f>
        <v>0</v>
      </c>
      <c r="AN186" t="e">
        <f>AND('STERLING CATALOG - DRY '!A4140,"AAAAAG192ic=")</f>
        <v>#VALUE!</v>
      </c>
      <c r="AO186" t="e">
        <f>AND('STERLING CATALOG - DRY '!B4140,"AAAAAG192ig=")</f>
        <v>#VALUE!</v>
      </c>
      <c r="AP186" t="e">
        <f>AND('STERLING CATALOG - DRY '!C4140,"AAAAAG192ik=")</f>
        <v>#VALUE!</v>
      </c>
      <c r="AQ186" t="e">
        <f>AND('STERLING CATALOG - DRY '!D4140,"AAAAAG192io=")</f>
        <v>#VALUE!</v>
      </c>
      <c r="AR186" t="e">
        <f>AND('STERLING CATALOG - DRY '!E4140,"AAAAAG192is=")</f>
        <v>#VALUE!</v>
      </c>
      <c r="AS186" t="e">
        <f>AND('STERLING CATALOG - DRY '!F4140,"AAAAAG192iw=")</f>
        <v>#VALUE!</v>
      </c>
      <c r="AT186" t="e">
        <f>AND('STERLING CATALOG - DRY '!G4140,"AAAAAG192i0=")</f>
        <v>#VALUE!</v>
      </c>
      <c r="AU186" t="e">
        <f>AND('STERLING CATALOG - DRY '!H4140,"AAAAAG192i4=")</f>
        <v>#VALUE!</v>
      </c>
      <c r="AV186" t="e">
        <f>AND('STERLING CATALOG - DRY '!I4140,"AAAAAG192i8=")</f>
        <v>#VALUE!</v>
      </c>
      <c r="AW186" t="e">
        <f>AND('STERLING CATALOG - DRY '!J4140,"AAAAAG192jA=")</f>
        <v>#VALUE!</v>
      </c>
      <c r="AX186">
        <f>IF('STERLING CATALOG - DRY '!4141:4141,"AAAAAG192jE=",0)</f>
        <v>0</v>
      </c>
      <c r="AY186" t="e">
        <f>AND('STERLING CATALOG - DRY '!A4141,"AAAAAG192jI=")</f>
        <v>#VALUE!</v>
      </c>
      <c r="AZ186" t="e">
        <f>AND('STERLING CATALOG - DRY '!B4141,"AAAAAG192jM=")</f>
        <v>#VALUE!</v>
      </c>
      <c r="BA186" t="e">
        <f>AND('STERLING CATALOG - DRY '!C4141,"AAAAAG192jQ=")</f>
        <v>#VALUE!</v>
      </c>
      <c r="BB186" t="e">
        <f>AND('STERLING CATALOG - DRY '!D4141,"AAAAAG192jU=")</f>
        <v>#VALUE!</v>
      </c>
      <c r="BC186" t="e">
        <f>AND('STERLING CATALOG - DRY '!E4141,"AAAAAG192jY=")</f>
        <v>#VALUE!</v>
      </c>
      <c r="BD186" t="e">
        <f>AND('STERLING CATALOG - DRY '!F4141,"AAAAAG192jc=")</f>
        <v>#VALUE!</v>
      </c>
      <c r="BE186" t="e">
        <f>AND('STERLING CATALOG - DRY '!G4141,"AAAAAG192jg=")</f>
        <v>#VALUE!</v>
      </c>
      <c r="BF186" t="e">
        <f>AND('STERLING CATALOG - DRY '!H4141,"AAAAAG192jk=")</f>
        <v>#VALUE!</v>
      </c>
      <c r="BG186" t="e">
        <f>AND('STERLING CATALOG - DRY '!I4141,"AAAAAG192jo=")</f>
        <v>#VALUE!</v>
      </c>
      <c r="BH186" t="e">
        <f>AND('STERLING CATALOG - DRY '!J4141,"AAAAAG192js=")</f>
        <v>#VALUE!</v>
      </c>
      <c r="BI186">
        <f>IF('STERLING CATALOG - DRY '!4142:4142,"AAAAAG192jw=",0)</f>
        <v>0</v>
      </c>
      <c r="BJ186" t="e">
        <f>AND('STERLING CATALOG - DRY '!A4142,"AAAAAG192j0=")</f>
        <v>#VALUE!</v>
      </c>
      <c r="BK186" t="e">
        <f>AND('STERLING CATALOG - DRY '!B4142,"AAAAAG192j4=")</f>
        <v>#VALUE!</v>
      </c>
      <c r="BL186" t="e">
        <f>AND('STERLING CATALOG - DRY '!C4142,"AAAAAG192j8=")</f>
        <v>#VALUE!</v>
      </c>
      <c r="BM186" t="e">
        <f>AND('STERLING CATALOG - DRY '!D4142,"AAAAAG192kA=")</f>
        <v>#VALUE!</v>
      </c>
      <c r="BN186" t="e">
        <f>AND('STERLING CATALOG - DRY '!E4142,"AAAAAG192kE=")</f>
        <v>#VALUE!</v>
      </c>
      <c r="BO186" t="e">
        <f>AND('STERLING CATALOG - DRY '!F4142,"AAAAAG192kI=")</f>
        <v>#VALUE!</v>
      </c>
      <c r="BP186" t="e">
        <f>AND('STERLING CATALOG - DRY '!G4142,"AAAAAG192kM=")</f>
        <v>#VALUE!</v>
      </c>
      <c r="BQ186" t="e">
        <f>AND('STERLING CATALOG - DRY '!H4142,"AAAAAG192kQ=")</f>
        <v>#VALUE!</v>
      </c>
      <c r="BR186" t="e">
        <f>AND('STERLING CATALOG - DRY '!I4142,"AAAAAG192kU=")</f>
        <v>#VALUE!</v>
      </c>
      <c r="BS186" t="e">
        <f>AND('STERLING CATALOG - DRY '!J4142,"AAAAAG192kY=")</f>
        <v>#VALUE!</v>
      </c>
      <c r="BT186">
        <f>IF('STERLING CATALOG - DRY '!4143:4143,"AAAAAG192kc=",0)</f>
        <v>0</v>
      </c>
      <c r="BU186" t="e">
        <f>AND('STERLING CATALOG - DRY '!A4143,"AAAAAG192kg=")</f>
        <v>#VALUE!</v>
      </c>
      <c r="BV186" t="e">
        <f>AND('STERLING CATALOG - DRY '!B4143,"AAAAAG192kk=")</f>
        <v>#VALUE!</v>
      </c>
      <c r="BW186" t="e">
        <f>AND('STERLING CATALOG - DRY '!C4143,"AAAAAG192ko=")</f>
        <v>#VALUE!</v>
      </c>
      <c r="BX186" t="e">
        <f>AND('STERLING CATALOG - DRY '!D4143,"AAAAAG192ks=")</f>
        <v>#VALUE!</v>
      </c>
      <c r="BY186" t="e">
        <f>AND('STERLING CATALOG - DRY '!E4143,"AAAAAG192kw=")</f>
        <v>#VALUE!</v>
      </c>
      <c r="BZ186" t="e">
        <f>AND('STERLING CATALOG - DRY '!F4143,"AAAAAG192k0=")</f>
        <v>#VALUE!</v>
      </c>
      <c r="CA186" t="e">
        <f>AND('STERLING CATALOG - DRY '!G4143,"AAAAAG192k4=")</f>
        <v>#VALUE!</v>
      </c>
      <c r="CB186" t="e">
        <f>AND('STERLING CATALOG - DRY '!H4143,"AAAAAG192k8=")</f>
        <v>#VALUE!</v>
      </c>
      <c r="CC186" t="e">
        <f>AND('STERLING CATALOG - DRY '!I4143,"AAAAAG192lA=")</f>
        <v>#VALUE!</v>
      </c>
      <c r="CD186" t="e">
        <f>AND('STERLING CATALOG - DRY '!J4143,"AAAAAG192lE=")</f>
        <v>#VALUE!</v>
      </c>
      <c r="CE186">
        <f>IF('STERLING CATALOG - DRY '!4144:4144,"AAAAAG192lI=",0)</f>
        <v>0</v>
      </c>
      <c r="CF186" t="e">
        <f>AND('STERLING CATALOG - DRY '!A4144,"AAAAAG192lM=")</f>
        <v>#VALUE!</v>
      </c>
      <c r="CG186" t="e">
        <f>AND('STERLING CATALOG - DRY '!B4144,"AAAAAG192lQ=")</f>
        <v>#VALUE!</v>
      </c>
      <c r="CH186" t="e">
        <f>AND('STERLING CATALOG - DRY '!C4144,"AAAAAG192lU=")</f>
        <v>#VALUE!</v>
      </c>
      <c r="CI186" t="e">
        <f>AND('STERLING CATALOG - DRY '!D4144,"AAAAAG192lY=")</f>
        <v>#VALUE!</v>
      </c>
      <c r="CJ186" t="e">
        <f>AND('STERLING CATALOG - DRY '!E4144,"AAAAAG192lc=")</f>
        <v>#VALUE!</v>
      </c>
      <c r="CK186" t="e">
        <f>AND('STERLING CATALOG - DRY '!F4144,"AAAAAG192lg=")</f>
        <v>#VALUE!</v>
      </c>
      <c r="CL186" t="e">
        <f>AND('STERLING CATALOG - DRY '!G4144,"AAAAAG192lk=")</f>
        <v>#VALUE!</v>
      </c>
      <c r="CM186" t="e">
        <f>AND('STERLING CATALOG - DRY '!H4144,"AAAAAG192lo=")</f>
        <v>#VALUE!</v>
      </c>
      <c r="CN186" t="e">
        <f>AND('STERLING CATALOG - DRY '!I4144,"AAAAAG192ls=")</f>
        <v>#VALUE!</v>
      </c>
      <c r="CO186" t="e">
        <f>AND('STERLING CATALOG - DRY '!J4144,"AAAAAG192lw=")</f>
        <v>#VALUE!</v>
      </c>
      <c r="CP186">
        <f>IF('STERLING CATALOG - DRY '!4145:4145,"AAAAAG192l0=",0)</f>
        <v>0</v>
      </c>
      <c r="CQ186" t="e">
        <f>AND('STERLING CATALOG - DRY '!A4145,"AAAAAG192l4=")</f>
        <v>#VALUE!</v>
      </c>
      <c r="CR186" t="e">
        <f>AND('STERLING CATALOG - DRY '!B4145,"AAAAAG192l8=")</f>
        <v>#VALUE!</v>
      </c>
      <c r="CS186" t="e">
        <f>AND('STERLING CATALOG - DRY '!C4145,"AAAAAG192mA=")</f>
        <v>#VALUE!</v>
      </c>
      <c r="CT186" t="e">
        <f>AND('STERLING CATALOG - DRY '!D4145,"AAAAAG192mE=")</f>
        <v>#VALUE!</v>
      </c>
      <c r="CU186" t="e">
        <f>AND('STERLING CATALOG - DRY '!E4145,"AAAAAG192mI=")</f>
        <v>#VALUE!</v>
      </c>
      <c r="CV186" t="e">
        <f>AND('STERLING CATALOG - DRY '!F4145,"AAAAAG192mM=")</f>
        <v>#VALUE!</v>
      </c>
      <c r="CW186" t="e">
        <f>AND('STERLING CATALOG - DRY '!G4145,"AAAAAG192mQ=")</f>
        <v>#VALUE!</v>
      </c>
      <c r="CX186" t="e">
        <f>AND('STERLING CATALOG - DRY '!H4145,"AAAAAG192mU=")</f>
        <v>#VALUE!</v>
      </c>
      <c r="CY186" t="e">
        <f>AND('STERLING CATALOG - DRY '!I4145,"AAAAAG192mY=")</f>
        <v>#VALUE!</v>
      </c>
      <c r="CZ186" t="e">
        <f>AND('STERLING CATALOG - DRY '!J4145,"AAAAAG192mc=")</f>
        <v>#VALUE!</v>
      </c>
      <c r="DA186">
        <f>IF('STERLING CATALOG - DRY '!4146:4146,"AAAAAG192mg=",0)</f>
        <v>0</v>
      </c>
      <c r="DB186" t="e">
        <f>AND('STERLING CATALOG - DRY '!A4146,"AAAAAG192mk=")</f>
        <v>#VALUE!</v>
      </c>
      <c r="DC186" t="e">
        <f>AND('STERLING CATALOG - DRY '!B4146,"AAAAAG192mo=")</f>
        <v>#VALUE!</v>
      </c>
      <c r="DD186" t="e">
        <f>AND('STERLING CATALOG - DRY '!C4146,"AAAAAG192ms=")</f>
        <v>#VALUE!</v>
      </c>
      <c r="DE186" t="e">
        <f>AND('STERLING CATALOG - DRY '!D4146,"AAAAAG192mw=")</f>
        <v>#VALUE!</v>
      </c>
      <c r="DF186" t="e">
        <f>AND('STERLING CATALOG - DRY '!E4146,"AAAAAG192m0=")</f>
        <v>#VALUE!</v>
      </c>
      <c r="DG186" t="e">
        <f>AND('STERLING CATALOG - DRY '!F4146,"AAAAAG192m4=")</f>
        <v>#VALUE!</v>
      </c>
      <c r="DH186" t="e">
        <f>AND('STERLING CATALOG - DRY '!G4146,"AAAAAG192m8=")</f>
        <v>#VALUE!</v>
      </c>
      <c r="DI186" t="e">
        <f>AND('STERLING CATALOG - DRY '!H4146,"AAAAAG192nA=")</f>
        <v>#VALUE!</v>
      </c>
      <c r="DJ186" t="e">
        <f>AND('STERLING CATALOG - DRY '!I4146,"AAAAAG192nE=")</f>
        <v>#VALUE!</v>
      </c>
      <c r="DK186" t="e">
        <f>AND('STERLING CATALOG - DRY '!J4146,"AAAAAG192nI=")</f>
        <v>#VALUE!</v>
      </c>
      <c r="DL186">
        <f>IF('STERLING CATALOG - DRY '!4147:4147,"AAAAAG192nM=",0)</f>
        <v>0</v>
      </c>
      <c r="DM186" t="e">
        <f>AND('STERLING CATALOG - DRY '!A4147,"AAAAAG192nQ=")</f>
        <v>#VALUE!</v>
      </c>
      <c r="DN186" t="e">
        <f>AND('STERLING CATALOG - DRY '!B4147,"AAAAAG192nU=")</f>
        <v>#VALUE!</v>
      </c>
      <c r="DO186" t="e">
        <f>AND('STERLING CATALOG - DRY '!C4147,"AAAAAG192nY=")</f>
        <v>#VALUE!</v>
      </c>
      <c r="DP186" t="e">
        <f>AND('STERLING CATALOG - DRY '!D4147,"AAAAAG192nc=")</f>
        <v>#VALUE!</v>
      </c>
      <c r="DQ186" t="e">
        <f>AND('STERLING CATALOG - DRY '!E4147,"AAAAAG192ng=")</f>
        <v>#VALUE!</v>
      </c>
      <c r="DR186" t="e">
        <f>AND('STERLING CATALOG - DRY '!F4147,"AAAAAG192nk=")</f>
        <v>#VALUE!</v>
      </c>
      <c r="DS186" t="e">
        <f>AND('STERLING CATALOG - DRY '!G4147,"AAAAAG192no=")</f>
        <v>#VALUE!</v>
      </c>
      <c r="DT186" t="e">
        <f>AND('STERLING CATALOG - DRY '!H4147,"AAAAAG192ns=")</f>
        <v>#VALUE!</v>
      </c>
      <c r="DU186" t="e">
        <f>AND('STERLING CATALOG - DRY '!I4147,"AAAAAG192nw=")</f>
        <v>#VALUE!</v>
      </c>
      <c r="DV186" t="e">
        <f>AND('STERLING CATALOG - DRY '!J4147,"AAAAAG192n0=")</f>
        <v>#VALUE!</v>
      </c>
      <c r="DW186">
        <f>IF('STERLING CATALOG - DRY '!4148:4148,"AAAAAG192n4=",0)</f>
        <v>0</v>
      </c>
      <c r="DX186" t="e">
        <f>AND('STERLING CATALOG - DRY '!A4148,"AAAAAG192n8=")</f>
        <v>#VALUE!</v>
      </c>
      <c r="DY186" t="e">
        <f>AND('STERLING CATALOG - DRY '!B4148,"AAAAAG192oA=")</f>
        <v>#VALUE!</v>
      </c>
      <c r="DZ186" t="e">
        <f>AND('STERLING CATALOG - DRY '!C4148,"AAAAAG192oE=")</f>
        <v>#VALUE!</v>
      </c>
      <c r="EA186" t="e">
        <f>AND('STERLING CATALOG - DRY '!D4148,"AAAAAG192oI=")</f>
        <v>#VALUE!</v>
      </c>
      <c r="EB186" t="e">
        <f>AND('STERLING CATALOG - DRY '!E4148,"AAAAAG192oM=")</f>
        <v>#VALUE!</v>
      </c>
      <c r="EC186" t="e">
        <f>AND('STERLING CATALOG - DRY '!F4148,"AAAAAG192oQ=")</f>
        <v>#VALUE!</v>
      </c>
      <c r="ED186" t="e">
        <f>AND('STERLING CATALOG - DRY '!G4148,"AAAAAG192oU=")</f>
        <v>#VALUE!</v>
      </c>
      <c r="EE186" t="e">
        <f>AND('STERLING CATALOG - DRY '!H4148,"AAAAAG192oY=")</f>
        <v>#VALUE!</v>
      </c>
      <c r="EF186" t="e">
        <f>AND('STERLING CATALOG - DRY '!I4148,"AAAAAG192oc=")</f>
        <v>#VALUE!</v>
      </c>
      <c r="EG186" t="e">
        <f>AND('STERLING CATALOG - DRY '!J4148,"AAAAAG192og=")</f>
        <v>#VALUE!</v>
      </c>
      <c r="EH186">
        <f>IF('STERLING CATALOG - DRY '!4149:4149,"AAAAAG192ok=",0)</f>
        <v>0</v>
      </c>
      <c r="EI186" t="e">
        <f>AND('STERLING CATALOG - DRY '!A4149,"AAAAAG192oo=")</f>
        <v>#VALUE!</v>
      </c>
      <c r="EJ186" t="e">
        <f>AND('STERLING CATALOG - DRY '!B4149,"AAAAAG192os=")</f>
        <v>#VALUE!</v>
      </c>
      <c r="EK186" t="e">
        <f>AND('STERLING CATALOG - DRY '!C4149,"AAAAAG192ow=")</f>
        <v>#VALUE!</v>
      </c>
      <c r="EL186" t="e">
        <f>AND('STERLING CATALOG - DRY '!D4149,"AAAAAG192o0=")</f>
        <v>#VALUE!</v>
      </c>
      <c r="EM186" t="e">
        <f>AND('STERLING CATALOG - DRY '!E4149,"AAAAAG192o4=")</f>
        <v>#VALUE!</v>
      </c>
      <c r="EN186" t="e">
        <f>AND('STERLING CATALOG - DRY '!F4149,"AAAAAG192o8=")</f>
        <v>#VALUE!</v>
      </c>
      <c r="EO186" t="e">
        <f>AND('STERLING CATALOG - DRY '!G4149,"AAAAAG192pA=")</f>
        <v>#VALUE!</v>
      </c>
      <c r="EP186" t="e">
        <f>AND('STERLING CATALOG - DRY '!H4149,"AAAAAG192pE=")</f>
        <v>#VALUE!</v>
      </c>
      <c r="EQ186" t="e">
        <f>AND('STERLING CATALOG - DRY '!I4149,"AAAAAG192pI=")</f>
        <v>#VALUE!</v>
      </c>
      <c r="ER186" t="e">
        <f>AND('STERLING CATALOG - DRY '!J4149,"AAAAAG192pM=")</f>
        <v>#VALUE!</v>
      </c>
      <c r="ES186">
        <f>IF('STERLING CATALOG - DRY '!4150:4150,"AAAAAG192pQ=",0)</f>
        <v>0</v>
      </c>
      <c r="ET186" t="e">
        <f>AND('STERLING CATALOG - DRY '!A4150,"AAAAAG192pU=")</f>
        <v>#VALUE!</v>
      </c>
      <c r="EU186" t="e">
        <f>AND('STERLING CATALOG - DRY '!B4150,"AAAAAG192pY=")</f>
        <v>#VALUE!</v>
      </c>
      <c r="EV186" t="e">
        <f>AND('STERLING CATALOG - DRY '!C4150,"AAAAAG192pc=")</f>
        <v>#VALUE!</v>
      </c>
      <c r="EW186" t="e">
        <f>AND('STERLING CATALOG - DRY '!D4150,"AAAAAG192pg=")</f>
        <v>#VALUE!</v>
      </c>
      <c r="EX186" t="e">
        <f>AND('STERLING CATALOG - DRY '!E4150,"AAAAAG192pk=")</f>
        <v>#VALUE!</v>
      </c>
      <c r="EY186" t="e">
        <f>AND('STERLING CATALOG - DRY '!F4150,"AAAAAG192po=")</f>
        <v>#VALUE!</v>
      </c>
      <c r="EZ186" t="e">
        <f>AND('STERLING CATALOG - DRY '!G4150,"AAAAAG192ps=")</f>
        <v>#VALUE!</v>
      </c>
      <c r="FA186" t="e">
        <f>AND('STERLING CATALOG - DRY '!H4150,"AAAAAG192pw=")</f>
        <v>#VALUE!</v>
      </c>
      <c r="FB186" t="e">
        <f>AND('STERLING CATALOG - DRY '!I4150,"AAAAAG192p0=")</f>
        <v>#VALUE!</v>
      </c>
      <c r="FC186" t="e">
        <f>AND('STERLING CATALOG - DRY '!J4150,"AAAAAG192p4=")</f>
        <v>#VALUE!</v>
      </c>
      <c r="FD186">
        <f>IF('STERLING CATALOG - DRY '!4151:4151,"AAAAAG192p8=",0)</f>
        <v>0</v>
      </c>
      <c r="FE186" t="e">
        <f>AND('STERLING CATALOG - DRY '!A4151,"AAAAAG192qA=")</f>
        <v>#VALUE!</v>
      </c>
      <c r="FF186" t="e">
        <f>AND('STERLING CATALOG - DRY '!B4151,"AAAAAG192qE=")</f>
        <v>#VALUE!</v>
      </c>
      <c r="FG186" t="e">
        <f>AND('STERLING CATALOG - DRY '!C4151,"AAAAAG192qI=")</f>
        <v>#VALUE!</v>
      </c>
      <c r="FH186" t="e">
        <f>AND('STERLING CATALOG - DRY '!D4151,"AAAAAG192qM=")</f>
        <v>#VALUE!</v>
      </c>
      <c r="FI186" t="e">
        <f>AND('STERLING CATALOG - DRY '!E4151,"AAAAAG192qQ=")</f>
        <v>#VALUE!</v>
      </c>
      <c r="FJ186" t="e">
        <f>AND('STERLING CATALOG - DRY '!F4151,"AAAAAG192qU=")</f>
        <v>#VALUE!</v>
      </c>
      <c r="FK186" t="e">
        <f>AND('STERLING CATALOG - DRY '!G4151,"AAAAAG192qY=")</f>
        <v>#VALUE!</v>
      </c>
      <c r="FL186" t="e">
        <f>AND('STERLING CATALOG - DRY '!H4151,"AAAAAG192qc=")</f>
        <v>#VALUE!</v>
      </c>
      <c r="FM186" t="e">
        <f>AND('STERLING CATALOG - DRY '!I4151,"AAAAAG192qg=")</f>
        <v>#VALUE!</v>
      </c>
      <c r="FN186" t="e">
        <f>AND('STERLING CATALOG - DRY '!J4151,"AAAAAG192qk=")</f>
        <v>#VALUE!</v>
      </c>
      <c r="FO186">
        <f>IF('STERLING CATALOG - DRY '!4152:4152,"AAAAAG192qo=",0)</f>
        <v>0</v>
      </c>
      <c r="FP186" t="e">
        <f>AND('STERLING CATALOG - DRY '!A4152,"AAAAAG192qs=")</f>
        <v>#VALUE!</v>
      </c>
      <c r="FQ186" t="e">
        <f>AND('STERLING CATALOG - DRY '!B4152,"AAAAAG192qw=")</f>
        <v>#VALUE!</v>
      </c>
      <c r="FR186" t="e">
        <f>AND('STERLING CATALOG - DRY '!C4152,"AAAAAG192q0=")</f>
        <v>#VALUE!</v>
      </c>
      <c r="FS186" t="e">
        <f>AND('STERLING CATALOG - DRY '!D4152,"AAAAAG192q4=")</f>
        <v>#VALUE!</v>
      </c>
      <c r="FT186" t="e">
        <f>AND('STERLING CATALOG - DRY '!E4152,"AAAAAG192q8=")</f>
        <v>#VALUE!</v>
      </c>
      <c r="FU186" t="e">
        <f>AND('STERLING CATALOG - DRY '!F4152,"AAAAAG192rA=")</f>
        <v>#VALUE!</v>
      </c>
      <c r="FV186" t="e">
        <f>AND('STERLING CATALOG - DRY '!G4152,"AAAAAG192rE=")</f>
        <v>#VALUE!</v>
      </c>
      <c r="FW186" t="e">
        <f>AND('STERLING CATALOG - DRY '!H4152,"AAAAAG192rI=")</f>
        <v>#VALUE!</v>
      </c>
      <c r="FX186" t="e">
        <f>AND('STERLING CATALOG - DRY '!I4152,"AAAAAG192rM=")</f>
        <v>#VALUE!</v>
      </c>
      <c r="FY186" t="e">
        <f>AND('STERLING CATALOG - DRY '!J4152,"AAAAAG192rQ=")</f>
        <v>#VALUE!</v>
      </c>
      <c r="FZ186">
        <f>IF('STERLING CATALOG - DRY '!4153:4153,"AAAAAG192rU=",0)</f>
        <v>0</v>
      </c>
      <c r="GA186" t="e">
        <f>AND('STERLING CATALOG - DRY '!A4153,"AAAAAG192rY=")</f>
        <v>#VALUE!</v>
      </c>
      <c r="GB186" t="e">
        <f>AND('STERLING CATALOG - DRY '!B4153,"AAAAAG192rc=")</f>
        <v>#VALUE!</v>
      </c>
      <c r="GC186" t="e">
        <f>AND('STERLING CATALOG - DRY '!C4153,"AAAAAG192rg=")</f>
        <v>#VALUE!</v>
      </c>
      <c r="GD186" t="e">
        <f>AND('STERLING CATALOG - DRY '!D4153,"AAAAAG192rk=")</f>
        <v>#VALUE!</v>
      </c>
      <c r="GE186" t="e">
        <f>AND('STERLING CATALOG - DRY '!E4153,"AAAAAG192ro=")</f>
        <v>#VALUE!</v>
      </c>
      <c r="GF186" t="e">
        <f>AND('STERLING CATALOG - DRY '!F4153,"AAAAAG192rs=")</f>
        <v>#VALUE!</v>
      </c>
      <c r="GG186" t="e">
        <f>AND('STERLING CATALOG - DRY '!G4153,"AAAAAG192rw=")</f>
        <v>#VALUE!</v>
      </c>
      <c r="GH186" t="e">
        <f>AND('STERLING CATALOG - DRY '!H4153,"AAAAAG192r0=")</f>
        <v>#VALUE!</v>
      </c>
      <c r="GI186" t="e">
        <f>AND('STERLING CATALOG - DRY '!I4153,"AAAAAG192r4=")</f>
        <v>#VALUE!</v>
      </c>
      <c r="GJ186" t="e">
        <f>AND('STERLING CATALOG - DRY '!J4153,"AAAAAG192r8=")</f>
        <v>#VALUE!</v>
      </c>
      <c r="GK186">
        <f>IF('STERLING CATALOG - DRY '!4154:4154,"AAAAAG192sA=",0)</f>
        <v>0</v>
      </c>
      <c r="GL186" t="e">
        <f>AND('STERLING CATALOG - DRY '!A4154,"AAAAAG192sE=")</f>
        <v>#VALUE!</v>
      </c>
      <c r="GM186" t="e">
        <f>AND('STERLING CATALOG - DRY '!B4154,"AAAAAG192sI=")</f>
        <v>#VALUE!</v>
      </c>
      <c r="GN186" t="e">
        <f>AND('STERLING CATALOG - DRY '!C4154,"AAAAAG192sM=")</f>
        <v>#VALUE!</v>
      </c>
      <c r="GO186" t="e">
        <f>AND('STERLING CATALOG - DRY '!D4154,"AAAAAG192sQ=")</f>
        <v>#VALUE!</v>
      </c>
      <c r="GP186" t="e">
        <f>AND('STERLING CATALOG - DRY '!E4154,"AAAAAG192sU=")</f>
        <v>#VALUE!</v>
      </c>
      <c r="GQ186" t="e">
        <f>AND('STERLING CATALOG - DRY '!F4154,"AAAAAG192sY=")</f>
        <v>#VALUE!</v>
      </c>
      <c r="GR186" t="e">
        <f>AND('STERLING CATALOG - DRY '!G4154,"AAAAAG192sc=")</f>
        <v>#VALUE!</v>
      </c>
      <c r="GS186" t="e">
        <f>AND('STERLING CATALOG - DRY '!H4154,"AAAAAG192sg=")</f>
        <v>#VALUE!</v>
      </c>
      <c r="GT186" t="e">
        <f>AND('STERLING CATALOG - DRY '!I4154,"AAAAAG192sk=")</f>
        <v>#VALUE!</v>
      </c>
      <c r="GU186" t="e">
        <f>AND('STERLING CATALOG - DRY '!J4154,"AAAAAG192so=")</f>
        <v>#VALUE!</v>
      </c>
      <c r="GV186">
        <f>IF('STERLING CATALOG - DRY '!4155:4155,"AAAAAG192ss=",0)</f>
        <v>0</v>
      </c>
      <c r="GW186" t="e">
        <f>AND('STERLING CATALOG - DRY '!A4155,"AAAAAG192sw=")</f>
        <v>#VALUE!</v>
      </c>
      <c r="GX186" t="e">
        <f>AND('STERLING CATALOG - DRY '!B4155,"AAAAAG192s0=")</f>
        <v>#VALUE!</v>
      </c>
      <c r="GY186" t="e">
        <f>AND('STERLING CATALOG - DRY '!C4155,"AAAAAG192s4=")</f>
        <v>#VALUE!</v>
      </c>
      <c r="GZ186" t="e">
        <f>AND('STERLING CATALOG - DRY '!D4155,"AAAAAG192s8=")</f>
        <v>#VALUE!</v>
      </c>
      <c r="HA186" t="e">
        <f>AND('STERLING CATALOG - DRY '!E4155,"AAAAAG192tA=")</f>
        <v>#VALUE!</v>
      </c>
      <c r="HB186" t="e">
        <f>AND('STERLING CATALOG - DRY '!F4155,"AAAAAG192tE=")</f>
        <v>#VALUE!</v>
      </c>
      <c r="HC186" t="e">
        <f>AND('STERLING CATALOG - DRY '!G4155,"AAAAAG192tI=")</f>
        <v>#VALUE!</v>
      </c>
      <c r="HD186" t="e">
        <f>AND('STERLING CATALOG - DRY '!H4155,"AAAAAG192tM=")</f>
        <v>#VALUE!</v>
      </c>
      <c r="HE186" t="e">
        <f>AND('STERLING CATALOG - DRY '!I4155,"AAAAAG192tQ=")</f>
        <v>#VALUE!</v>
      </c>
      <c r="HF186" t="e">
        <f>AND('STERLING CATALOG - DRY '!J4155,"AAAAAG192tU=")</f>
        <v>#VALUE!</v>
      </c>
      <c r="HG186">
        <f>IF('STERLING CATALOG - DRY '!4156:4156,"AAAAAG192tY=",0)</f>
        <v>0</v>
      </c>
      <c r="HH186" t="e">
        <f>AND('STERLING CATALOG - DRY '!A4156,"AAAAAG192tc=")</f>
        <v>#VALUE!</v>
      </c>
      <c r="HI186" t="e">
        <f>AND('STERLING CATALOG - DRY '!B4156,"AAAAAG192tg=")</f>
        <v>#VALUE!</v>
      </c>
      <c r="HJ186" t="e">
        <f>AND('STERLING CATALOG - DRY '!C4156,"AAAAAG192tk=")</f>
        <v>#VALUE!</v>
      </c>
      <c r="HK186" t="e">
        <f>AND('STERLING CATALOG - DRY '!D4156,"AAAAAG192to=")</f>
        <v>#VALUE!</v>
      </c>
      <c r="HL186" t="e">
        <f>AND('STERLING CATALOG - DRY '!E4156,"AAAAAG192ts=")</f>
        <v>#VALUE!</v>
      </c>
      <c r="HM186" t="e">
        <f>AND('STERLING CATALOG - DRY '!F4156,"AAAAAG192tw=")</f>
        <v>#VALUE!</v>
      </c>
      <c r="HN186" t="e">
        <f>AND('STERLING CATALOG - DRY '!G4156,"AAAAAG192t0=")</f>
        <v>#VALUE!</v>
      </c>
      <c r="HO186" t="e">
        <f>AND('STERLING CATALOG - DRY '!H4156,"AAAAAG192t4=")</f>
        <v>#VALUE!</v>
      </c>
      <c r="HP186" t="e">
        <f>AND('STERLING CATALOG - DRY '!I4156,"AAAAAG192t8=")</f>
        <v>#VALUE!</v>
      </c>
      <c r="HQ186" t="e">
        <f>AND('STERLING CATALOG - DRY '!J4156,"AAAAAG192uA=")</f>
        <v>#VALUE!</v>
      </c>
      <c r="HR186">
        <f>IF('STERLING CATALOG - DRY '!4157:4157,"AAAAAG192uE=",0)</f>
        <v>0</v>
      </c>
      <c r="HS186" t="e">
        <f>AND('STERLING CATALOG - DRY '!A4157,"AAAAAG192uI=")</f>
        <v>#VALUE!</v>
      </c>
      <c r="HT186" t="e">
        <f>AND('STERLING CATALOG - DRY '!B4157,"AAAAAG192uM=")</f>
        <v>#VALUE!</v>
      </c>
      <c r="HU186" t="e">
        <f>AND('STERLING CATALOG - DRY '!C4157,"AAAAAG192uQ=")</f>
        <v>#VALUE!</v>
      </c>
      <c r="HV186" t="e">
        <f>AND('STERLING CATALOG - DRY '!D4157,"AAAAAG192uU=")</f>
        <v>#VALUE!</v>
      </c>
      <c r="HW186" t="e">
        <f>AND('STERLING CATALOG - DRY '!E4157,"AAAAAG192uY=")</f>
        <v>#VALUE!</v>
      </c>
      <c r="HX186" t="e">
        <f>AND('STERLING CATALOG - DRY '!F4157,"AAAAAG192uc=")</f>
        <v>#VALUE!</v>
      </c>
      <c r="HY186" t="e">
        <f>AND('STERLING CATALOG - DRY '!G4157,"AAAAAG192ug=")</f>
        <v>#VALUE!</v>
      </c>
      <c r="HZ186" t="e">
        <f>AND('STERLING CATALOG - DRY '!H4157,"AAAAAG192uk=")</f>
        <v>#VALUE!</v>
      </c>
      <c r="IA186" t="e">
        <f>AND('STERLING CATALOG - DRY '!I4157,"AAAAAG192uo=")</f>
        <v>#VALUE!</v>
      </c>
      <c r="IB186" t="e">
        <f>AND('STERLING CATALOG - DRY '!J4157,"AAAAAG192us=")</f>
        <v>#VALUE!</v>
      </c>
      <c r="IC186">
        <f>IF('STERLING CATALOG - DRY '!4158:4158,"AAAAAG192uw=",0)</f>
        <v>0</v>
      </c>
      <c r="ID186" t="e">
        <f>AND('STERLING CATALOG - DRY '!A4158,"AAAAAG192u0=")</f>
        <v>#VALUE!</v>
      </c>
      <c r="IE186" t="e">
        <f>AND('STERLING CATALOG - DRY '!B4158,"AAAAAG192u4=")</f>
        <v>#VALUE!</v>
      </c>
      <c r="IF186" t="e">
        <f>AND('STERLING CATALOG - DRY '!C4158,"AAAAAG192u8=")</f>
        <v>#VALUE!</v>
      </c>
      <c r="IG186" t="e">
        <f>AND('STERLING CATALOG - DRY '!D4158,"AAAAAG192vA=")</f>
        <v>#VALUE!</v>
      </c>
      <c r="IH186" t="e">
        <f>AND('STERLING CATALOG - DRY '!E4158,"AAAAAG192vE=")</f>
        <v>#VALUE!</v>
      </c>
      <c r="II186" t="e">
        <f>AND('STERLING CATALOG - DRY '!F4158,"AAAAAG192vI=")</f>
        <v>#VALUE!</v>
      </c>
      <c r="IJ186" t="e">
        <f>AND('STERLING CATALOG - DRY '!G4158,"AAAAAG192vM=")</f>
        <v>#VALUE!</v>
      </c>
      <c r="IK186" t="e">
        <f>AND('STERLING CATALOG - DRY '!H4158,"AAAAAG192vQ=")</f>
        <v>#VALUE!</v>
      </c>
      <c r="IL186" t="e">
        <f>AND('STERLING CATALOG - DRY '!I4158,"AAAAAG192vU=")</f>
        <v>#VALUE!</v>
      </c>
      <c r="IM186" t="e">
        <f>AND('STERLING CATALOG - DRY '!J4158,"AAAAAG192vY=")</f>
        <v>#VALUE!</v>
      </c>
      <c r="IN186">
        <f>IF('STERLING CATALOG - DRY '!4159:4159,"AAAAAG192vc=",0)</f>
        <v>0</v>
      </c>
      <c r="IO186" t="e">
        <f>AND('STERLING CATALOG - DRY '!A4159,"AAAAAG192vg=")</f>
        <v>#VALUE!</v>
      </c>
      <c r="IP186" t="e">
        <f>AND('STERLING CATALOG - DRY '!B4159,"AAAAAG192vk=")</f>
        <v>#VALUE!</v>
      </c>
      <c r="IQ186" t="e">
        <f>AND('STERLING CATALOG - DRY '!C4159,"AAAAAG192vo=")</f>
        <v>#VALUE!</v>
      </c>
      <c r="IR186" t="e">
        <f>AND('STERLING CATALOG - DRY '!D4159,"AAAAAG192vs=")</f>
        <v>#VALUE!</v>
      </c>
      <c r="IS186" t="e">
        <f>AND('STERLING CATALOG - DRY '!E4159,"AAAAAG192vw=")</f>
        <v>#VALUE!</v>
      </c>
      <c r="IT186" t="e">
        <f>AND('STERLING CATALOG - DRY '!F4159,"AAAAAG192v0=")</f>
        <v>#VALUE!</v>
      </c>
      <c r="IU186" t="e">
        <f>AND('STERLING CATALOG - DRY '!G4159,"AAAAAG192v4=")</f>
        <v>#VALUE!</v>
      </c>
      <c r="IV186" t="e">
        <f>AND('STERLING CATALOG - DRY '!H4159,"AAAAAG192v8=")</f>
        <v>#VALUE!</v>
      </c>
    </row>
    <row r="187" spans="1:256">
      <c r="A187" t="e">
        <f>AND('STERLING CATALOG - DRY '!I4159,"AAAAAH1bvwA=")</f>
        <v>#VALUE!</v>
      </c>
      <c r="B187" t="e">
        <f>AND('STERLING CATALOG - DRY '!J4159,"AAAAAH1bvwE=")</f>
        <v>#VALUE!</v>
      </c>
      <c r="C187" t="str">
        <f>IF('STERLING CATALOG - DRY '!4160:4160,"AAAAAH1bvwI=",0)</f>
        <v>AAAAAH1bvwI=</v>
      </c>
      <c r="D187" t="e">
        <f>AND('STERLING CATALOG - DRY '!A4160,"AAAAAH1bvwM=")</f>
        <v>#VALUE!</v>
      </c>
      <c r="E187" t="e">
        <f>AND('STERLING CATALOG - DRY '!B4160,"AAAAAH1bvwQ=")</f>
        <v>#VALUE!</v>
      </c>
      <c r="F187" t="e">
        <f>AND('STERLING CATALOG - DRY '!C4160,"AAAAAH1bvwU=")</f>
        <v>#VALUE!</v>
      </c>
      <c r="G187" t="e">
        <f>AND('STERLING CATALOG - DRY '!D4160,"AAAAAH1bvwY=")</f>
        <v>#VALUE!</v>
      </c>
      <c r="H187" t="e">
        <f>AND('STERLING CATALOG - DRY '!E4160,"AAAAAH1bvwc=")</f>
        <v>#VALUE!</v>
      </c>
      <c r="I187" t="e">
        <f>AND('STERLING CATALOG - DRY '!F4160,"AAAAAH1bvwg=")</f>
        <v>#VALUE!</v>
      </c>
      <c r="J187" t="e">
        <f>AND('STERLING CATALOG - DRY '!G4160,"AAAAAH1bvwk=")</f>
        <v>#VALUE!</v>
      </c>
      <c r="K187" t="e">
        <f>AND('STERLING CATALOG - DRY '!H4160,"AAAAAH1bvwo=")</f>
        <v>#VALUE!</v>
      </c>
      <c r="L187" t="e">
        <f>AND('STERLING CATALOG - DRY '!I4160,"AAAAAH1bvws=")</f>
        <v>#VALUE!</v>
      </c>
      <c r="M187" t="e">
        <f>AND('STERLING CATALOG - DRY '!J4160,"AAAAAH1bvww=")</f>
        <v>#VALUE!</v>
      </c>
      <c r="N187">
        <f>IF('STERLING CATALOG - DRY '!4161:4161,"AAAAAH1bvw0=",0)</f>
        <v>0</v>
      </c>
      <c r="O187" t="e">
        <f>AND('STERLING CATALOG - DRY '!A4161,"AAAAAH1bvw4=")</f>
        <v>#VALUE!</v>
      </c>
      <c r="P187" t="e">
        <f>AND('STERLING CATALOG - DRY '!B4161,"AAAAAH1bvw8=")</f>
        <v>#VALUE!</v>
      </c>
      <c r="Q187" t="e">
        <f>AND('STERLING CATALOG - DRY '!C4161,"AAAAAH1bvxA=")</f>
        <v>#VALUE!</v>
      </c>
      <c r="R187" t="e">
        <f>AND('STERLING CATALOG - DRY '!D4161,"AAAAAH1bvxE=")</f>
        <v>#VALUE!</v>
      </c>
      <c r="S187" t="e">
        <f>AND('STERLING CATALOG - DRY '!E4161,"AAAAAH1bvxI=")</f>
        <v>#VALUE!</v>
      </c>
      <c r="T187" t="e">
        <f>AND('STERLING CATALOG - DRY '!F4161,"AAAAAH1bvxM=")</f>
        <v>#VALUE!</v>
      </c>
      <c r="U187" t="e">
        <f>AND('STERLING CATALOG - DRY '!G4161,"AAAAAH1bvxQ=")</f>
        <v>#VALUE!</v>
      </c>
      <c r="V187" t="e">
        <f>AND('STERLING CATALOG - DRY '!H4161,"AAAAAH1bvxU=")</f>
        <v>#VALUE!</v>
      </c>
      <c r="W187" t="e">
        <f>AND('STERLING CATALOG - DRY '!I4161,"AAAAAH1bvxY=")</f>
        <v>#VALUE!</v>
      </c>
      <c r="X187" t="e">
        <f>AND('STERLING CATALOG - DRY '!J4161,"AAAAAH1bvxc=")</f>
        <v>#VALUE!</v>
      </c>
      <c r="Y187">
        <f>IF('STERLING CATALOG - DRY '!4162:4162,"AAAAAH1bvxg=",0)</f>
        <v>0</v>
      </c>
      <c r="Z187" t="e">
        <f>AND('STERLING CATALOG - DRY '!A4162,"AAAAAH1bvxk=")</f>
        <v>#VALUE!</v>
      </c>
      <c r="AA187" t="e">
        <f>AND('STERLING CATALOG - DRY '!B4162,"AAAAAH1bvxo=")</f>
        <v>#VALUE!</v>
      </c>
      <c r="AB187" t="e">
        <f>AND('STERLING CATALOG - DRY '!C4162,"AAAAAH1bvxs=")</f>
        <v>#VALUE!</v>
      </c>
      <c r="AC187" t="e">
        <f>AND('STERLING CATALOG - DRY '!D4162,"AAAAAH1bvxw=")</f>
        <v>#VALUE!</v>
      </c>
      <c r="AD187" t="e">
        <f>AND('STERLING CATALOG - DRY '!E4162,"AAAAAH1bvx0=")</f>
        <v>#VALUE!</v>
      </c>
      <c r="AE187" t="e">
        <f>AND('STERLING CATALOG - DRY '!F4162,"AAAAAH1bvx4=")</f>
        <v>#VALUE!</v>
      </c>
      <c r="AF187" t="e">
        <f>AND('STERLING CATALOG - DRY '!G4162,"AAAAAH1bvx8=")</f>
        <v>#VALUE!</v>
      </c>
      <c r="AG187" t="e">
        <f>AND('STERLING CATALOG - DRY '!H4162,"AAAAAH1bvyA=")</f>
        <v>#VALUE!</v>
      </c>
      <c r="AH187" t="e">
        <f>AND('STERLING CATALOG - DRY '!I4162,"AAAAAH1bvyE=")</f>
        <v>#VALUE!</v>
      </c>
      <c r="AI187" t="e">
        <f>AND('STERLING CATALOG - DRY '!J4162,"AAAAAH1bvyI=")</f>
        <v>#VALUE!</v>
      </c>
      <c r="AJ187">
        <f>IF('STERLING CATALOG - DRY '!4163:4163,"AAAAAH1bvyM=",0)</f>
        <v>0</v>
      </c>
      <c r="AK187" t="e">
        <f>AND('STERLING CATALOG - DRY '!A4163,"AAAAAH1bvyQ=")</f>
        <v>#VALUE!</v>
      </c>
      <c r="AL187" t="e">
        <f>AND('STERLING CATALOG - DRY '!B4163,"AAAAAH1bvyU=")</f>
        <v>#VALUE!</v>
      </c>
      <c r="AM187" t="e">
        <f>AND('STERLING CATALOG - DRY '!C4163,"AAAAAH1bvyY=")</f>
        <v>#VALUE!</v>
      </c>
      <c r="AN187" t="e">
        <f>AND('STERLING CATALOG - DRY '!D4163,"AAAAAH1bvyc=")</f>
        <v>#VALUE!</v>
      </c>
      <c r="AO187" t="e">
        <f>AND('STERLING CATALOG - DRY '!E4163,"AAAAAH1bvyg=")</f>
        <v>#VALUE!</v>
      </c>
      <c r="AP187" t="e">
        <f>AND('STERLING CATALOG - DRY '!F4163,"AAAAAH1bvyk=")</f>
        <v>#VALUE!</v>
      </c>
      <c r="AQ187" t="e">
        <f>AND('STERLING CATALOG - DRY '!G4163,"AAAAAH1bvyo=")</f>
        <v>#VALUE!</v>
      </c>
      <c r="AR187" t="e">
        <f>AND('STERLING CATALOG - DRY '!H4163,"AAAAAH1bvys=")</f>
        <v>#VALUE!</v>
      </c>
      <c r="AS187" t="e">
        <f>AND('STERLING CATALOG - DRY '!I4163,"AAAAAH1bvyw=")</f>
        <v>#VALUE!</v>
      </c>
      <c r="AT187" t="e">
        <f>AND('STERLING CATALOG - DRY '!J4163,"AAAAAH1bvy0=")</f>
        <v>#VALUE!</v>
      </c>
      <c r="AU187">
        <f>IF('STERLING CATALOG - DRY '!4164:4164,"AAAAAH1bvy4=",0)</f>
        <v>0</v>
      </c>
      <c r="AV187" t="e">
        <f>AND('STERLING CATALOG - DRY '!A4164,"AAAAAH1bvy8=")</f>
        <v>#VALUE!</v>
      </c>
      <c r="AW187" t="e">
        <f>AND('STERLING CATALOG - DRY '!B4164,"AAAAAH1bvzA=")</f>
        <v>#VALUE!</v>
      </c>
      <c r="AX187" t="e">
        <f>AND('STERLING CATALOG - DRY '!C4164,"AAAAAH1bvzE=")</f>
        <v>#VALUE!</v>
      </c>
      <c r="AY187" t="e">
        <f>AND('STERLING CATALOG - DRY '!D4164,"AAAAAH1bvzI=")</f>
        <v>#VALUE!</v>
      </c>
      <c r="AZ187" t="e">
        <f>AND('STERLING CATALOG - DRY '!E4164,"AAAAAH1bvzM=")</f>
        <v>#VALUE!</v>
      </c>
      <c r="BA187" t="e">
        <f>AND('STERLING CATALOG - DRY '!F4164,"AAAAAH1bvzQ=")</f>
        <v>#VALUE!</v>
      </c>
      <c r="BB187" t="e">
        <f>AND('STERLING CATALOG - DRY '!G4164,"AAAAAH1bvzU=")</f>
        <v>#VALUE!</v>
      </c>
      <c r="BC187" t="e">
        <f>AND('STERLING CATALOG - DRY '!H4164,"AAAAAH1bvzY=")</f>
        <v>#VALUE!</v>
      </c>
      <c r="BD187" t="e">
        <f>AND('STERLING CATALOG - DRY '!I4164,"AAAAAH1bvzc=")</f>
        <v>#VALUE!</v>
      </c>
      <c r="BE187" t="e">
        <f>AND('STERLING CATALOG - DRY '!J4164,"AAAAAH1bvzg=")</f>
        <v>#VALUE!</v>
      </c>
      <c r="BF187">
        <f>IF('STERLING CATALOG - DRY '!4165:4165,"AAAAAH1bvzk=",0)</f>
        <v>0</v>
      </c>
      <c r="BG187" t="e">
        <f>AND('STERLING CATALOG - DRY '!A4165,"AAAAAH1bvzo=")</f>
        <v>#VALUE!</v>
      </c>
      <c r="BH187" t="e">
        <f>AND('STERLING CATALOG - DRY '!B4165,"AAAAAH1bvzs=")</f>
        <v>#VALUE!</v>
      </c>
      <c r="BI187" t="e">
        <f>AND('STERLING CATALOG - DRY '!C4165,"AAAAAH1bvzw=")</f>
        <v>#VALUE!</v>
      </c>
      <c r="BJ187" t="e">
        <f>AND('STERLING CATALOG - DRY '!D4165,"AAAAAH1bvz0=")</f>
        <v>#VALUE!</v>
      </c>
      <c r="BK187" t="e">
        <f>AND('STERLING CATALOG - DRY '!E4165,"AAAAAH1bvz4=")</f>
        <v>#VALUE!</v>
      </c>
      <c r="BL187" t="e">
        <f>AND('STERLING CATALOG - DRY '!F4165,"AAAAAH1bvz8=")</f>
        <v>#VALUE!</v>
      </c>
      <c r="BM187" t="e">
        <f>AND('STERLING CATALOG - DRY '!G4165,"AAAAAH1bv0A=")</f>
        <v>#VALUE!</v>
      </c>
      <c r="BN187" t="e">
        <f>AND('STERLING CATALOG - DRY '!H4165,"AAAAAH1bv0E=")</f>
        <v>#VALUE!</v>
      </c>
      <c r="BO187" t="e">
        <f>AND('STERLING CATALOG - DRY '!I4165,"AAAAAH1bv0I=")</f>
        <v>#VALUE!</v>
      </c>
      <c r="BP187" t="e">
        <f>AND('STERLING CATALOG - DRY '!J4165,"AAAAAH1bv0M=")</f>
        <v>#VALUE!</v>
      </c>
      <c r="BQ187">
        <f>IF('STERLING CATALOG - DRY '!4166:4166,"AAAAAH1bv0Q=",0)</f>
        <v>0</v>
      </c>
      <c r="BR187" t="e">
        <f>AND('STERLING CATALOG - DRY '!A4166,"AAAAAH1bv0U=")</f>
        <v>#VALUE!</v>
      </c>
      <c r="BS187" t="e">
        <f>AND('STERLING CATALOG - DRY '!B4166,"AAAAAH1bv0Y=")</f>
        <v>#VALUE!</v>
      </c>
      <c r="BT187" t="e">
        <f>AND('STERLING CATALOG - DRY '!C4166,"AAAAAH1bv0c=")</f>
        <v>#VALUE!</v>
      </c>
      <c r="BU187" t="e">
        <f>AND('STERLING CATALOG - DRY '!D4166,"AAAAAH1bv0g=")</f>
        <v>#VALUE!</v>
      </c>
      <c r="BV187" t="e">
        <f>AND('STERLING CATALOG - DRY '!E4166,"AAAAAH1bv0k=")</f>
        <v>#VALUE!</v>
      </c>
      <c r="BW187" t="e">
        <f>AND('STERLING CATALOG - DRY '!F4166,"AAAAAH1bv0o=")</f>
        <v>#VALUE!</v>
      </c>
      <c r="BX187" t="e">
        <f>AND('STERLING CATALOG - DRY '!G4166,"AAAAAH1bv0s=")</f>
        <v>#VALUE!</v>
      </c>
      <c r="BY187" t="e">
        <f>AND('STERLING CATALOG - DRY '!H4166,"AAAAAH1bv0w=")</f>
        <v>#VALUE!</v>
      </c>
      <c r="BZ187" t="e">
        <f>AND('STERLING CATALOG - DRY '!I4166,"AAAAAH1bv00=")</f>
        <v>#VALUE!</v>
      </c>
      <c r="CA187" t="e">
        <f>AND('STERLING CATALOG - DRY '!J4166,"AAAAAH1bv04=")</f>
        <v>#VALUE!</v>
      </c>
      <c r="CB187">
        <f>IF('STERLING CATALOG - DRY '!4167:4167,"AAAAAH1bv08=",0)</f>
        <v>0</v>
      </c>
      <c r="CC187" t="e">
        <f>AND('STERLING CATALOG - DRY '!A4167,"AAAAAH1bv1A=")</f>
        <v>#VALUE!</v>
      </c>
      <c r="CD187" t="e">
        <f>AND('STERLING CATALOG - DRY '!B4167,"AAAAAH1bv1E=")</f>
        <v>#VALUE!</v>
      </c>
      <c r="CE187" t="e">
        <f>AND('STERLING CATALOG - DRY '!C4167,"AAAAAH1bv1I=")</f>
        <v>#VALUE!</v>
      </c>
      <c r="CF187" t="e">
        <f>AND('STERLING CATALOG - DRY '!D4167,"AAAAAH1bv1M=")</f>
        <v>#VALUE!</v>
      </c>
      <c r="CG187" t="e">
        <f>AND('STERLING CATALOG - DRY '!E4167,"AAAAAH1bv1Q=")</f>
        <v>#VALUE!</v>
      </c>
      <c r="CH187" t="e">
        <f>AND('STERLING CATALOG - DRY '!F4167,"AAAAAH1bv1U=")</f>
        <v>#VALUE!</v>
      </c>
      <c r="CI187" t="e">
        <f>AND('STERLING CATALOG - DRY '!G4167,"AAAAAH1bv1Y=")</f>
        <v>#VALUE!</v>
      </c>
      <c r="CJ187" t="e">
        <f>AND('STERLING CATALOG - DRY '!H4167,"AAAAAH1bv1c=")</f>
        <v>#VALUE!</v>
      </c>
      <c r="CK187" t="e">
        <f>AND('STERLING CATALOG - DRY '!I4167,"AAAAAH1bv1g=")</f>
        <v>#VALUE!</v>
      </c>
      <c r="CL187" t="e">
        <f>AND('STERLING CATALOG - DRY '!J4167,"AAAAAH1bv1k=")</f>
        <v>#VALUE!</v>
      </c>
      <c r="CM187">
        <f>IF('STERLING CATALOG - DRY '!4168:4168,"AAAAAH1bv1o=",0)</f>
        <v>0</v>
      </c>
      <c r="CN187" t="e">
        <f>AND('STERLING CATALOG - DRY '!A4168,"AAAAAH1bv1s=")</f>
        <v>#VALUE!</v>
      </c>
      <c r="CO187" t="e">
        <f>AND('STERLING CATALOG - DRY '!B4168,"AAAAAH1bv1w=")</f>
        <v>#VALUE!</v>
      </c>
      <c r="CP187" t="e">
        <f>AND('STERLING CATALOG - DRY '!C4168,"AAAAAH1bv10=")</f>
        <v>#VALUE!</v>
      </c>
      <c r="CQ187" t="e">
        <f>AND('STERLING CATALOG - DRY '!D4168,"AAAAAH1bv14=")</f>
        <v>#VALUE!</v>
      </c>
      <c r="CR187" t="e">
        <f>AND('STERLING CATALOG - DRY '!E4168,"AAAAAH1bv18=")</f>
        <v>#VALUE!</v>
      </c>
      <c r="CS187" t="e">
        <f>AND('STERLING CATALOG - DRY '!F4168,"AAAAAH1bv2A=")</f>
        <v>#VALUE!</v>
      </c>
      <c r="CT187" t="e">
        <f>AND('STERLING CATALOG - DRY '!G4168,"AAAAAH1bv2E=")</f>
        <v>#VALUE!</v>
      </c>
      <c r="CU187" t="e">
        <f>AND('STERLING CATALOG - DRY '!H4168,"AAAAAH1bv2I=")</f>
        <v>#VALUE!</v>
      </c>
      <c r="CV187" t="e">
        <f>AND('STERLING CATALOG - DRY '!I4168,"AAAAAH1bv2M=")</f>
        <v>#VALUE!</v>
      </c>
      <c r="CW187" t="e">
        <f>AND('STERLING CATALOG - DRY '!J4168,"AAAAAH1bv2Q=")</f>
        <v>#VALUE!</v>
      </c>
      <c r="CX187">
        <f>IF('STERLING CATALOG - DRY '!4169:4169,"AAAAAH1bv2U=",0)</f>
        <v>0</v>
      </c>
      <c r="CY187" t="e">
        <f>AND('STERLING CATALOG - DRY '!A4169,"AAAAAH1bv2Y=")</f>
        <v>#VALUE!</v>
      </c>
      <c r="CZ187" t="e">
        <f>AND('STERLING CATALOG - DRY '!B4169,"AAAAAH1bv2c=")</f>
        <v>#VALUE!</v>
      </c>
      <c r="DA187" t="e">
        <f>AND('STERLING CATALOG - DRY '!C4169,"AAAAAH1bv2g=")</f>
        <v>#VALUE!</v>
      </c>
      <c r="DB187" t="e">
        <f>AND('STERLING CATALOG - DRY '!D4169,"AAAAAH1bv2k=")</f>
        <v>#VALUE!</v>
      </c>
      <c r="DC187" t="e">
        <f>AND('STERLING CATALOG - DRY '!E4169,"AAAAAH1bv2o=")</f>
        <v>#VALUE!</v>
      </c>
      <c r="DD187" t="e">
        <f>AND('STERLING CATALOG - DRY '!F4169,"AAAAAH1bv2s=")</f>
        <v>#VALUE!</v>
      </c>
      <c r="DE187" t="e">
        <f>AND('STERLING CATALOG - DRY '!G4169,"AAAAAH1bv2w=")</f>
        <v>#VALUE!</v>
      </c>
      <c r="DF187" t="e">
        <f>AND('STERLING CATALOG - DRY '!H4169,"AAAAAH1bv20=")</f>
        <v>#VALUE!</v>
      </c>
      <c r="DG187" t="e">
        <f>AND('STERLING CATALOG - DRY '!I4169,"AAAAAH1bv24=")</f>
        <v>#VALUE!</v>
      </c>
      <c r="DH187" t="e">
        <f>AND('STERLING CATALOG - DRY '!J4169,"AAAAAH1bv28=")</f>
        <v>#VALUE!</v>
      </c>
      <c r="DI187">
        <f>IF('STERLING CATALOG - DRY '!4170:4170,"AAAAAH1bv3A=",0)</f>
        <v>0</v>
      </c>
      <c r="DJ187" t="e">
        <f>AND('STERLING CATALOG - DRY '!A4170,"AAAAAH1bv3E=")</f>
        <v>#VALUE!</v>
      </c>
      <c r="DK187" t="e">
        <f>AND('STERLING CATALOG - DRY '!B4170,"AAAAAH1bv3I=")</f>
        <v>#VALUE!</v>
      </c>
      <c r="DL187" t="e">
        <f>AND('STERLING CATALOG - DRY '!C4170,"AAAAAH1bv3M=")</f>
        <v>#VALUE!</v>
      </c>
      <c r="DM187" t="e">
        <f>AND('STERLING CATALOG - DRY '!D4170,"AAAAAH1bv3Q=")</f>
        <v>#VALUE!</v>
      </c>
      <c r="DN187" t="e">
        <f>AND('STERLING CATALOG - DRY '!E4170,"AAAAAH1bv3U=")</f>
        <v>#VALUE!</v>
      </c>
      <c r="DO187" t="e">
        <f>AND('STERLING CATALOG - DRY '!F4170,"AAAAAH1bv3Y=")</f>
        <v>#VALUE!</v>
      </c>
      <c r="DP187" t="e">
        <f>AND('STERLING CATALOG - DRY '!G4170,"AAAAAH1bv3c=")</f>
        <v>#VALUE!</v>
      </c>
      <c r="DQ187" t="e">
        <f>AND('STERLING CATALOG - DRY '!H4170,"AAAAAH1bv3g=")</f>
        <v>#VALUE!</v>
      </c>
      <c r="DR187" t="e">
        <f>AND('STERLING CATALOG - DRY '!I4170,"AAAAAH1bv3k=")</f>
        <v>#VALUE!</v>
      </c>
      <c r="DS187" t="e">
        <f>AND('STERLING CATALOG - DRY '!J4170,"AAAAAH1bv3o=")</f>
        <v>#VALUE!</v>
      </c>
      <c r="DT187">
        <f>IF('STERLING CATALOG - DRY '!4171:4171,"AAAAAH1bv3s=",0)</f>
        <v>0</v>
      </c>
      <c r="DU187" t="e">
        <f>AND('STERLING CATALOG - DRY '!A4171,"AAAAAH1bv3w=")</f>
        <v>#VALUE!</v>
      </c>
      <c r="DV187" t="e">
        <f>AND('STERLING CATALOG - DRY '!B4171,"AAAAAH1bv30=")</f>
        <v>#VALUE!</v>
      </c>
      <c r="DW187" t="e">
        <f>AND('STERLING CATALOG - DRY '!C4171,"AAAAAH1bv34=")</f>
        <v>#VALUE!</v>
      </c>
      <c r="DX187" t="e">
        <f>AND('STERLING CATALOG - DRY '!D4171,"AAAAAH1bv38=")</f>
        <v>#VALUE!</v>
      </c>
      <c r="DY187" t="e">
        <f>AND('STERLING CATALOG - DRY '!E4171,"AAAAAH1bv4A=")</f>
        <v>#VALUE!</v>
      </c>
      <c r="DZ187" t="e">
        <f>AND('STERLING CATALOG - DRY '!F4171,"AAAAAH1bv4E=")</f>
        <v>#VALUE!</v>
      </c>
      <c r="EA187" t="e">
        <f>AND('STERLING CATALOG - DRY '!G4171,"AAAAAH1bv4I=")</f>
        <v>#VALUE!</v>
      </c>
      <c r="EB187" t="e">
        <f>AND('STERLING CATALOG - DRY '!H4171,"AAAAAH1bv4M=")</f>
        <v>#VALUE!</v>
      </c>
      <c r="EC187" t="e">
        <f>AND('STERLING CATALOG - DRY '!I4171,"AAAAAH1bv4Q=")</f>
        <v>#VALUE!</v>
      </c>
      <c r="ED187" t="e">
        <f>AND('STERLING CATALOG - DRY '!J4171,"AAAAAH1bv4U=")</f>
        <v>#VALUE!</v>
      </c>
      <c r="EE187">
        <f>IF('STERLING CATALOG - DRY '!4172:4172,"AAAAAH1bv4Y=",0)</f>
        <v>0</v>
      </c>
      <c r="EF187" t="e">
        <f>AND('STERLING CATALOG - DRY '!A4172,"AAAAAH1bv4c=")</f>
        <v>#VALUE!</v>
      </c>
      <c r="EG187" t="e">
        <f>AND('STERLING CATALOG - DRY '!B4172,"AAAAAH1bv4g=")</f>
        <v>#VALUE!</v>
      </c>
      <c r="EH187" t="e">
        <f>AND('STERLING CATALOG - DRY '!C4172,"AAAAAH1bv4k=")</f>
        <v>#VALUE!</v>
      </c>
      <c r="EI187" t="e">
        <f>AND('STERLING CATALOG - DRY '!D4172,"AAAAAH1bv4o=")</f>
        <v>#VALUE!</v>
      </c>
      <c r="EJ187" t="e">
        <f>AND('STERLING CATALOG - DRY '!E4172,"AAAAAH1bv4s=")</f>
        <v>#VALUE!</v>
      </c>
      <c r="EK187" t="e">
        <f>AND('STERLING CATALOG - DRY '!F4172,"AAAAAH1bv4w=")</f>
        <v>#VALUE!</v>
      </c>
      <c r="EL187" t="e">
        <f>AND('STERLING CATALOG - DRY '!G4172,"AAAAAH1bv40=")</f>
        <v>#VALUE!</v>
      </c>
      <c r="EM187" t="e">
        <f>AND('STERLING CATALOG - DRY '!H4172,"AAAAAH1bv44=")</f>
        <v>#VALUE!</v>
      </c>
      <c r="EN187" t="e">
        <f>AND('STERLING CATALOG - DRY '!I4172,"AAAAAH1bv48=")</f>
        <v>#VALUE!</v>
      </c>
      <c r="EO187" t="e">
        <f>AND('STERLING CATALOG - DRY '!J4172,"AAAAAH1bv5A=")</f>
        <v>#VALUE!</v>
      </c>
      <c r="EP187">
        <f>IF('STERLING CATALOG - DRY '!4173:4173,"AAAAAH1bv5E=",0)</f>
        <v>0</v>
      </c>
      <c r="EQ187" t="e">
        <f>AND('STERLING CATALOG - DRY '!A4173,"AAAAAH1bv5I=")</f>
        <v>#VALUE!</v>
      </c>
      <c r="ER187" t="e">
        <f>AND('STERLING CATALOG - DRY '!B4173,"AAAAAH1bv5M=")</f>
        <v>#VALUE!</v>
      </c>
      <c r="ES187" t="e">
        <f>AND('STERLING CATALOG - DRY '!C4173,"AAAAAH1bv5Q=")</f>
        <v>#VALUE!</v>
      </c>
      <c r="ET187" t="e">
        <f>AND('STERLING CATALOG - DRY '!D4173,"AAAAAH1bv5U=")</f>
        <v>#VALUE!</v>
      </c>
      <c r="EU187" t="e">
        <f>AND('STERLING CATALOG - DRY '!E4173,"AAAAAH1bv5Y=")</f>
        <v>#VALUE!</v>
      </c>
      <c r="EV187" t="e">
        <f>AND('STERLING CATALOG - DRY '!F4173,"AAAAAH1bv5c=")</f>
        <v>#VALUE!</v>
      </c>
      <c r="EW187" t="e">
        <f>AND('STERLING CATALOG - DRY '!G4173,"AAAAAH1bv5g=")</f>
        <v>#VALUE!</v>
      </c>
      <c r="EX187" t="e">
        <f>AND('STERLING CATALOG - DRY '!H4173,"AAAAAH1bv5k=")</f>
        <v>#VALUE!</v>
      </c>
      <c r="EY187" t="e">
        <f>AND('STERLING CATALOG - DRY '!I4173,"AAAAAH1bv5o=")</f>
        <v>#VALUE!</v>
      </c>
      <c r="EZ187" t="e">
        <f>AND('STERLING CATALOG - DRY '!J4173,"AAAAAH1bv5s=")</f>
        <v>#VALUE!</v>
      </c>
      <c r="FA187">
        <f>IF('STERLING CATALOG - DRY '!4174:4174,"AAAAAH1bv5w=",0)</f>
        <v>0</v>
      </c>
      <c r="FB187" t="e">
        <f>AND('STERLING CATALOG - DRY '!A4174,"AAAAAH1bv50=")</f>
        <v>#VALUE!</v>
      </c>
      <c r="FC187" t="e">
        <f>AND('STERLING CATALOG - DRY '!B4174,"AAAAAH1bv54=")</f>
        <v>#VALUE!</v>
      </c>
      <c r="FD187" t="e">
        <f>AND('STERLING CATALOG - DRY '!C4174,"AAAAAH1bv58=")</f>
        <v>#VALUE!</v>
      </c>
      <c r="FE187" t="e">
        <f>AND('STERLING CATALOG - DRY '!D4174,"AAAAAH1bv6A=")</f>
        <v>#VALUE!</v>
      </c>
      <c r="FF187" t="e">
        <f>AND('STERLING CATALOG - DRY '!E4174,"AAAAAH1bv6E=")</f>
        <v>#VALUE!</v>
      </c>
      <c r="FG187" t="e">
        <f>AND('STERLING CATALOG - DRY '!F4174,"AAAAAH1bv6I=")</f>
        <v>#VALUE!</v>
      </c>
      <c r="FH187" t="e">
        <f>AND('STERLING CATALOG - DRY '!G4174,"AAAAAH1bv6M=")</f>
        <v>#VALUE!</v>
      </c>
      <c r="FI187" t="e">
        <f>AND('STERLING CATALOG - DRY '!H4174,"AAAAAH1bv6Q=")</f>
        <v>#VALUE!</v>
      </c>
      <c r="FJ187" t="e">
        <f>AND('STERLING CATALOG - DRY '!I4174,"AAAAAH1bv6U=")</f>
        <v>#VALUE!</v>
      </c>
      <c r="FK187" t="e">
        <f>AND('STERLING CATALOG - DRY '!J4174,"AAAAAH1bv6Y=")</f>
        <v>#VALUE!</v>
      </c>
      <c r="FL187">
        <f>IF('STERLING CATALOG - DRY '!4175:4175,"AAAAAH1bv6c=",0)</f>
        <v>0</v>
      </c>
      <c r="FM187" t="e">
        <f>AND('STERLING CATALOG - DRY '!A4175,"AAAAAH1bv6g=")</f>
        <v>#VALUE!</v>
      </c>
      <c r="FN187" t="e">
        <f>AND('STERLING CATALOG - DRY '!B4175,"AAAAAH1bv6k=")</f>
        <v>#VALUE!</v>
      </c>
      <c r="FO187" t="e">
        <f>AND('STERLING CATALOG - DRY '!C4175,"AAAAAH1bv6o=")</f>
        <v>#VALUE!</v>
      </c>
      <c r="FP187" t="e">
        <f>AND('STERLING CATALOG - DRY '!D4175,"AAAAAH1bv6s=")</f>
        <v>#VALUE!</v>
      </c>
      <c r="FQ187" t="e">
        <f>AND('STERLING CATALOG - DRY '!E4175,"AAAAAH1bv6w=")</f>
        <v>#VALUE!</v>
      </c>
      <c r="FR187" t="e">
        <f>AND('STERLING CATALOG - DRY '!F4175,"AAAAAH1bv60=")</f>
        <v>#VALUE!</v>
      </c>
      <c r="FS187" t="e">
        <f>AND('STERLING CATALOG - DRY '!G4175,"AAAAAH1bv64=")</f>
        <v>#VALUE!</v>
      </c>
      <c r="FT187" t="e">
        <f>AND('STERLING CATALOG - DRY '!H4175,"AAAAAH1bv68=")</f>
        <v>#VALUE!</v>
      </c>
      <c r="FU187" t="e">
        <f>AND('STERLING CATALOG - DRY '!I4175,"AAAAAH1bv7A=")</f>
        <v>#VALUE!</v>
      </c>
      <c r="FV187" t="e">
        <f>AND('STERLING CATALOG - DRY '!J4175,"AAAAAH1bv7E=")</f>
        <v>#VALUE!</v>
      </c>
      <c r="FW187">
        <f>IF('STERLING CATALOG - DRY '!4176:4176,"AAAAAH1bv7I=",0)</f>
        <v>0</v>
      </c>
      <c r="FX187" t="e">
        <f>AND('STERLING CATALOG - DRY '!A4176,"AAAAAH1bv7M=")</f>
        <v>#VALUE!</v>
      </c>
      <c r="FY187" t="e">
        <f>AND('STERLING CATALOG - DRY '!B4176,"AAAAAH1bv7Q=")</f>
        <v>#VALUE!</v>
      </c>
      <c r="FZ187" t="e">
        <f>AND('STERLING CATALOG - DRY '!C4176,"AAAAAH1bv7U=")</f>
        <v>#VALUE!</v>
      </c>
      <c r="GA187" t="e">
        <f>AND('STERLING CATALOG - DRY '!D4176,"AAAAAH1bv7Y=")</f>
        <v>#VALUE!</v>
      </c>
      <c r="GB187" t="e">
        <f>AND('STERLING CATALOG - DRY '!E4176,"AAAAAH1bv7c=")</f>
        <v>#VALUE!</v>
      </c>
      <c r="GC187" t="e">
        <f>AND('STERLING CATALOG - DRY '!F4176,"AAAAAH1bv7g=")</f>
        <v>#VALUE!</v>
      </c>
      <c r="GD187" t="e">
        <f>AND('STERLING CATALOG - DRY '!G4176,"AAAAAH1bv7k=")</f>
        <v>#VALUE!</v>
      </c>
      <c r="GE187" t="e">
        <f>AND('STERLING CATALOG - DRY '!H4176,"AAAAAH1bv7o=")</f>
        <v>#VALUE!</v>
      </c>
      <c r="GF187" t="e">
        <f>AND('STERLING CATALOG - DRY '!I4176,"AAAAAH1bv7s=")</f>
        <v>#VALUE!</v>
      </c>
      <c r="GG187" t="e">
        <f>AND('STERLING CATALOG - DRY '!J4176,"AAAAAH1bv7w=")</f>
        <v>#VALUE!</v>
      </c>
      <c r="GH187">
        <f>IF('STERLING CATALOG - DRY '!4177:4177,"AAAAAH1bv70=",0)</f>
        <v>0</v>
      </c>
      <c r="GI187" t="e">
        <f>AND('STERLING CATALOG - DRY '!A4177,"AAAAAH1bv74=")</f>
        <v>#VALUE!</v>
      </c>
      <c r="GJ187" t="e">
        <f>AND('STERLING CATALOG - DRY '!B4177,"AAAAAH1bv78=")</f>
        <v>#VALUE!</v>
      </c>
      <c r="GK187" t="e">
        <f>AND('STERLING CATALOG - DRY '!C4177,"AAAAAH1bv8A=")</f>
        <v>#VALUE!</v>
      </c>
      <c r="GL187" t="e">
        <f>AND('STERLING CATALOG - DRY '!D4177,"AAAAAH1bv8E=")</f>
        <v>#VALUE!</v>
      </c>
      <c r="GM187" t="e">
        <f>AND('STERLING CATALOG - DRY '!E4177,"AAAAAH1bv8I=")</f>
        <v>#VALUE!</v>
      </c>
      <c r="GN187" t="e">
        <f>AND('STERLING CATALOG - DRY '!F4177,"AAAAAH1bv8M=")</f>
        <v>#VALUE!</v>
      </c>
      <c r="GO187" t="e">
        <f>AND('STERLING CATALOG - DRY '!G4177,"AAAAAH1bv8Q=")</f>
        <v>#VALUE!</v>
      </c>
      <c r="GP187" t="e">
        <f>AND('STERLING CATALOG - DRY '!H4177,"AAAAAH1bv8U=")</f>
        <v>#VALUE!</v>
      </c>
      <c r="GQ187" t="e">
        <f>AND('STERLING CATALOG - DRY '!I4177,"AAAAAH1bv8Y=")</f>
        <v>#VALUE!</v>
      </c>
      <c r="GR187" t="e">
        <f>AND('STERLING CATALOG - DRY '!J4177,"AAAAAH1bv8c=")</f>
        <v>#VALUE!</v>
      </c>
      <c r="GS187">
        <f>IF('STERLING CATALOG - DRY '!4178:4178,"AAAAAH1bv8g=",0)</f>
        <v>0</v>
      </c>
      <c r="GT187" t="e">
        <f>AND('STERLING CATALOG - DRY '!A4178,"AAAAAH1bv8k=")</f>
        <v>#VALUE!</v>
      </c>
      <c r="GU187" t="e">
        <f>AND('STERLING CATALOG - DRY '!B4178,"AAAAAH1bv8o=")</f>
        <v>#VALUE!</v>
      </c>
      <c r="GV187" t="e">
        <f>AND('STERLING CATALOG - DRY '!C4178,"AAAAAH1bv8s=")</f>
        <v>#VALUE!</v>
      </c>
      <c r="GW187" t="e">
        <f>AND('STERLING CATALOG - DRY '!D4178,"AAAAAH1bv8w=")</f>
        <v>#VALUE!</v>
      </c>
      <c r="GX187" t="e">
        <f>AND('STERLING CATALOG - DRY '!E4178,"AAAAAH1bv80=")</f>
        <v>#VALUE!</v>
      </c>
      <c r="GY187" t="e">
        <f>AND('STERLING CATALOG - DRY '!F4178,"AAAAAH1bv84=")</f>
        <v>#VALUE!</v>
      </c>
      <c r="GZ187" t="e">
        <f>AND('STERLING CATALOG - DRY '!G4178,"AAAAAH1bv88=")</f>
        <v>#VALUE!</v>
      </c>
      <c r="HA187" t="e">
        <f>AND('STERLING CATALOG - DRY '!H4178,"AAAAAH1bv9A=")</f>
        <v>#VALUE!</v>
      </c>
      <c r="HB187" t="e">
        <f>AND('STERLING CATALOG - DRY '!I4178,"AAAAAH1bv9E=")</f>
        <v>#VALUE!</v>
      </c>
      <c r="HC187" t="e">
        <f>AND('STERLING CATALOG - DRY '!J4178,"AAAAAH1bv9I=")</f>
        <v>#VALUE!</v>
      </c>
      <c r="HD187">
        <f>IF('STERLING CATALOG - DRY '!4179:4179,"AAAAAH1bv9M=",0)</f>
        <v>0</v>
      </c>
      <c r="HE187" t="e">
        <f>AND('STERLING CATALOG - DRY '!A4179,"AAAAAH1bv9Q=")</f>
        <v>#VALUE!</v>
      </c>
      <c r="HF187" t="e">
        <f>AND('STERLING CATALOG - DRY '!B4179,"AAAAAH1bv9U=")</f>
        <v>#VALUE!</v>
      </c>
      <c r="HG187" t="e">
        <f>AND('STERLING CATALOG - DRY '!C4179,"AAAAAH1bv9Y=")</f>
        <v>#VALUE!</v>
      </c>
      <c r="HH187" t="e">
        <f>AND('STERLING CATALOG - DRY '!D4179,"AAAAAH1bv9c=")</f>
        <v>#VALUE!</v>
      </c>
      <c r="HI187" t="e">
        <f>AND('STERLING CATALOG - DRY '!E4179,"AAAAAH1bv9g=")</f>
        <v>#VALUE!</v>
      </c>
      <c r="HJ187" t="e">
        <f>AND('STERLING CATALOG - DRY '!F4179,"AAAAAH1bv9k=")</f>
        <v>#VALUE!</v>
      </c>
      <c r="HK187" t="e">
        <f>AND('STERLING CATALOG - DRY '!G4179,"AAAAAH1bv9o=")</f>
        <v>#VALUE!</v>
      </c>
      <c r="HL187" t="e">
        <f>AND('STERLING CATALOG - DRY '!H4179,"AAAAAH1bv9s=")</f>
        <v>#VALUE!</v>
      </c>
      <c r="HM187" t="e">
        <f>AND('STERLING CATALOG - DRY '!I4179,"AAAAAH1bv9w=")</f>
        <v>#VALUE!</v>
      </c>
      <c r="HN187" t="e">
        <f>AND('STERLING CATALOG - DRY '!J4179,"AAAAAH1bv90=")</f>
        <v>#VALUE!</v>
      </c>
      <c r="HO187">
        <f>IF('STERLING CATALOG - DRY '!4180:4180,"AAAAAH1bv94=",0)</f>
        <v>0</v>
      </c>
      <c r="HP187" t="e">
        <f>AND('STERLING CATALOG - DRY '!A4180,"AAAAAH1bv98=")</f>
        <v>#VALUE!</v>
      </c>
      <c r="HQ187" t="e">
        <f>AND('STERLING CATALOG - DRY '!B4180,"AAAAAH1bv+A=")</f>
        <v>#VALUE!</v>
      </c>
      <c r="HR187" t="e">
        <f>AND('STERLING CATALOG - DRY '!C4180,"AAAAAH1bv+E=")</f>
        <v>#VALUE!</v>
      </c>
      <c r="HS187" t="e">
        <f>AND('STERLING CATALOG - DRY '!D4180,"AAAAAH1bv+I=")</f>
        <v>#VALUE!</v>
      </c>
      <c r="HT187" t="e">
        <f>AND('STERLING CATALOG - DRY '!E4180,"AAAAAH1bv+M=")</f>
        <v>#VALUE!</v>
      </c>
      <c r="HU187" t="e">
        <f>AND('STERLING CATALOG - DRY '!F4180,"AAAAAH1bv+Q=")</f>
        <v>#VALUE!</v>
      </c>
      <c r="HV187" t="e">
        <f>AND('STERLING CATALOG - DRY '!G4180,"AAAAAH1bv+U=")</f>
        <v>#VALUE!</v>
      </c>
      <c r="HW187" t="e">
        <f>AND('STERLING CATALOG - DRY '!H4180,"AAAAAH1bv+Y=")</f>
        <v>#VALUE!</v>
      </c>
      <c r="HX187" t="e">
        <f>AND('STERLING CATALOG - DRY '!I4180,"AAAAAH1bv+c=")</f>
        <v>#VALUE!</v>
      </c>
      <c r="HY187" t="e">
        <f>AND('STERLING CATALOG - DRY '!J4180,"AAAAAH1bv+g=")</f>
        <v>#VALUE!</v>
      </c>
      <c r="HZ187">
        <f>IF('STERLING CATALOG - DRY '!4181:4181,"AAAAAH1bv+k=",0)</f>
        <v>0</v>
      </c>
      <c r="IA187" t="e">
        <f>AND('STERLING CATALOG - DRY '!A4181,"AAAAAH1bv+o=")</f>
        <v>#VALUE!</v>
      </c>
      <c r="IB187" t="e">
        <f>AND('STERLING CATALOG - DRY '!B4181,"AAAAAH1bv+s=")</f>
        <v>#VALUE!</v>
      </c>
      <c r="IC187" t="e">
        <f>AND('STERLING CATALOG - DRY '!C4181,"AAAAAH1bv+w=")</f>
        <v>#VALUE!</v>
      </c>
      <c r="ID187" t="e">
        <f>AND('STERLING CATALOG - DRY '!D4181,"AAAAAH1bv+0=")</f>
        <v>#VALUE!</v>
      </c>
      <c r="IE187" t="e">
        <f>AND('STERLING CATALOG - DRY '!E4181,"AAAAAH1bv+4=")</f>
        <v>#VALUE!</v>
      </c>
      <c r="IF187" t="e">
        <f>AND('STERLING CATALOG - DRY '!F4181,"AAAAAH1bv+8=")</f>
        <v>#VALUE!</v>
      </c>
      <c r="IG187" t="e">
        <f>AND('STERLING CATALOG - DRY '!G4181,"AAAAAH1bv/A=")</f>
        <v>#VALUE!</v>
      </c>
      <c r="IH187" t="e">
        <f>AND('STERLING CATALOG - DRY '!H4181,"AAAAAH1bv/E=")</f>
        <v>#VALUE!</v>
      </c>
      <c r="II187" t="e">
        <f>AND('STERLING CATALOG - DRY '!I4181,"AAAAAH1bv/I=")</f>
        <v>#VALUE!</v>
      </c>
      <c r="IJ187" t="e">
        <f>AND('STERLING CATALOG - DRY '!J4181,"AAAAAH1bv/M=")</f>
        <v>#VALUE!</v>
      </c>
      <c r="IK187">
        <f>IF('STERLING CATALOG - DRY '!4182:4182,"AAAAAH1bv/Q=",0)</f>
        <v>0</v>
      </c>
      <c r="IL187" t="e">
        <f>AND('STERLING CATALOG - DRY '!A4182,"AAAAAH1bv/U=")</f>
        <v>#VALUE!</v>
      </c>
      <c r="IM187" t="e">
        <f>AND('STERLING CATALOG - DRY '!B4182,"AAAAAH1bv/Y=")</f>
        <v>#VALUE!</v>
      </c>
      <c r="IN187" t="e">
        <f>AND('STERLING CATALOG - DRY '!C4182,"AAAAAH1bv/c=")</f>
        <v>#VALUE!</v>
      </c>
      <c r="IO187" t="e">
        <f>AND('STERLING CATALOG - DRY '!D4182,"AAAAAH1bv/g=")</f>
        <v>#VALUE!</v>
      </c>
      <c r="IP187" t="e">
        <f>AND('STERLING CATALOG - DRY '!E4182,"AAAAAH1bv/k=")</f>
        <v>#VALUE!</v>
      </c>
      <c r="IQ187" t="e">
        <f>AND('STERLING CATALOG - DRY '!F4182,"AAAAAH1bv/o=")</f>
        <v>#VALUE!</v>
      </c>
      <c r="IR187" t="e">
        <f>AND('STERLING CATALOG - DRY '!G4182,"AAAAAH1bv/s=")</f>
        <v>#VALUE!</v>
      </c>
      <c r="IS187" t="e">
        <f>AND('STERLING CATALOG - DRY '!H4182,"AAAAAH1bv/w=")</f>
        <v>#VALUE!</v>
      </c>
      <c r="IT187" t="e">
        <f>AND('STERLING CATALOG - DRY '!I4182,"AAAAAH1bv/0=")</f>
        <v>#VALUE!</v>
      </c>
      <c r="IU187" t="e">
        <f>AND('STERLING CATALOG - DRY '!J4182,"AAAAAH1bv/4=")</f>
        <v>#VALUE!</v>
      </c>
      <c r="IV187">
        <f>IF('STERLING CATALOG - DRY '!4183:4183,"AAAAAH1bv/8=",0)</f>
        <v>0</v>
      </c>
    </row>
    <row r="188" spans="1:256">
      <c r="A188" t="e">
        <f>AND('STERLING CATALOG - DRY '!A4183,"AAAAAD//7QA=")</f>
        <v>#VALUE!</v>
      </c>
      <c r="B188" t="e">
        <f>AND('STERLING CATALOG - DRY '!B4183,"AAAAAD//7QE=")</f>
        <v>#VALUE!</v>
      </c>
      <c r="C188" t="e">
        <f>AND('STERLING CATALOG - DRY '!C4183,"AAAAAD//7QI=")</f>
        <v>#VALUE!</v>
      </c>
      <c r="D188" t="e">
        <f>AND('STERLING CATALOG - DRY '!D4183,"AAAAAD//7QM=")</f>
        <v>#VALUE!</v>
      </c>
      <c r="E188" t="e">
        <f>AND('STERLING CATALOG - DRY '!E4183,"AAAAAD//7QQ=")</f>
        <v>#VALUE!</v>
      </c>
      <c r="F188" t="e">
        <f>AND('STERLING CATALOG - DRY '!F4183,"AAAAAD//7QU=")</f>
        <v>#VALUE!</v>
      </c>
      <c r="G188" t="e">
        <f>AND('STERLING CATALOG - DRY '!G4183,"AAAAAD//7QY=")</f>
        <v>#VALUE!</v>
      </c>
      <c r="H188" t="e">
        <f>AND('STERLING CATALOG - DRY '!H4183,"AAAAAD//7Qc=")</f>
        <v>#VALUE!</v>
      </c>
      <c r="I188" t="e">
        <f>AND('STERLING CATALOG - DRY '!I4183,"AAAAAD//7Qg=")</f>
        <v>#VALUE!</v>
      </c>
      <c r="J188" t="e">
        <f>AND('STERLING CATALOG - DRY '!J4183,"AAAAAD//7Qk=")</f>
        <v>#VALUE!</v>
      </c>
      <c r="K188">
        <f>IF('STERLING CATALOG - DRY '!4184:4184,"AAAAAD//7Qo=",0)</f>
        <v>0</v>
      </c>
      <c r="L188" t="e">
        <f>AND('STERLING CATALOG - DRY '!A4184,"AAAAAD//7Qs=")</f>
        <v>#VALUE!</v>
      </c>
      <c r="M188" t="e">
        <f>AND('STERLING CATALOG - DRY '!B4184,"AAAAAD//7Qw=")</f>
        <v>#VALUE!</v>
      </c>
      <c r="N188" t="e">
        <f>AND('STERLING CATALOG - DRY '!C4184,"AAAAAD//7Q0=")</f>
        <v>#VALUE!</v>
      </c>
      <c r="O188" t="e">
        <f>AND('STERLING CATALOG - DRY '!D4184,"AAAAAD//7Q4=")</f>
        <v>#VALUE!</v>
      </c>
      <c r="P188" t="e">
        <f>AND('STERLING CATALOG - DRY '!E4184,"AAAAAD//7Q8=")</f>
        <v>#VALUE!</v>
      </c>
      <c r="Q188" t="e">
        <f>AND('STERLING CATALOG - DRY '!F4184,"AAAAAD//7RA=")</f>
        <v>#VALUE!</v>
      </c>
      <c r="R188" t="e">
        <f>AND('STERLING CATALOG - DRY '!G4184,"AAAAAD//7RE=")</f>
        <v>#VALUE!</v>
      </c>
      <c r="S188" t="e">
        <f>AND('STERLING CATALOG - DRY '!H4184,"AAAAAD//7RI=")</f>
        <v>#VALUE!</v>
      </c>
      <c r="T188" t="e">
        <f>AND('STERLING CATALOG - DRY '!I4184,"AAAAAD//7RM=")</f>
        <v>#VALUE!</v>
      </c>
      <c r="U188" t="e">
        <f>AND('STERLING CATALOG - DRY '!J4184,"AAAAAD//7RQ=")</f>
        <v>#VALUE!</v>
      </c>
      <c r="V188">
        <f>IF('STERLING CATALOG - DRY '!4185:4185,"AAAAAD//7RU=",0)</f>
        <v>0</v>
      </c>
      <c r="W188" t="e">
        <f>AND('STERLING CATALOG - DRY '!A4185,"AAAAAD//7RY=")</f>
        <v>#VALUE!</v>
      </c>
      <c r="X188" t="e">
        <f>AND('STERLING CATALOG - DRY '!B4185,"AAAAAD//7Rc=")</f>
        <v>#VALUE!</v>
      </c>
      <c r="Y188" t="e">
        <f>AND('STERLING CATALOG - DRY '!C4185,"AAAAAD//7Rg=")</f>
        <v>#VALUE!</v>
      </c>
      <c r="Z188" t="e">
        <f>AND('STERLING CATALOG - DRY '!D4185,"AAAAAD//7Rk=")</f>
        <v>#VALUE!</v>
      </c>
      <c r="AA188" t="e">
        <f>AND('STERLING CATALOG - DRY '!E4185,"AAAAAD//7Ro=")</f>
        <v>#VALUE!</v>
      </c>
      <c r="AB188" t="e">
        <f>AND('STERLING CATALOG - DRY '!F4185,"AAAAAD//7Rs=")</f>
        <v>#VALUE!</v>
      </c>
      <c r="AC188" t="e">
        <f>AND('STERLING CATALOG - DRY '!G4185,"AAAAAD//7Rw=")</f>
        <v>#VALUE!</v>
      </c>
      <c r="AD188" t="e">
        <f>AND('STERLING CATALOG - DRY '!H4185,"AAAAAD//7R0=")</f>
        <v>#VALUE!</v>
      </c>
      <c r="AE188" t="e">
        <f>AND('STERLING CATALOG - DRY '!I4185,"AAAAAD//7R4=")</f>
        <v>#VALUE!</v>
      </c>
      <c r="AF188" t="e">
        <f>AND('STERLING CATALOG - DRY '!J4185,"AAAAAD//7R8=")</f>
        <v>#VALUE!</v>
      </c>
      <c r="AG188">
        <f>IF('STERLING CATALOG - DRY '!4186:4186,"AAAAAD//7SA=",0)</f>
        <v>0</v>
      </c>
      <c r="AH188" t="e">
        <f>AND('STERLING CATALOG - DRY '!A4186,"AAAAAD//7SE=")</f>
        <v>#VALUE!</v>
      </c>
      <c r="AI188" t="e">
        <f>AND('STERLING CATALOG - DRY '!B4186,"AAAAAD//7SI=")</f>
        <v>#VALUE!</v>
      </c>
      <c r="AJ188" t="e">
        <f>AND('STERLING CATALOG - DRY '!C4186,"AAAAAD//7SM=")</f>
        <v>#VALUE!</v>
      </c>
      <c r="AK188" t="e">
        <f>AND('STERLING CATALOG - DRY '!D4186,"AAAAAD//7SQ=")</f>
        <v>#VALUE!</v>
      </c>
      <c r="AL188" t="e">
        <f>AND('STERLING CATALOG - DRY '!E4186,"AAAAAD//7SU=")</f>
        <v>#VALUE!</v>
      </c>
      <c r="AM188" t="e">
        <f>AND('STERLING CATALOG - DRY '!F4186,"AAAAAD//7SY=")</f>
        <v>#VALUE!</v>
      </c>
      <c r="AN188" t="e">
        <f>AND('STERLING CATALOG - DRY '!G4186,"AAAAAD//7Sc=")</f>
        <v>#VALUE!</v>
      </c>
      <c r="AO188" t="e">
        <f>AND('STERLING CATALOG - DRY '!H4186,"AAAAAD//7Sg=")</f>
        <v>#VALUE!</v>
      </c>
      <c r="AP188" t="e">
        <f>AND('STERLING CATALOG - DRY '!I4186,"AAAAAD//7Sk=")</f>
        <v>#VALUE!</v>
      </c>
      <c r="AQ188" t="e">
        <f>AND('STERLING CATALOG - DRY '!J4186,"AAAAAD//7So=")</f>
        <v>#VALUE!</v>
      </c>
      <c r="AR188">
        <f>IF('STERLING CATALOG - DRY '!4187:4187,"AAAAAD//7Ss=",0)</f>
        <v>0</v>
      </c>
      <c r="AS188" t="e">
        <f>AND('STERLING CATALOG - DRY '!A4187,"AAAAAD//7Sw=")</f>
        <v>#VALUE!</v>
      </c>
      <c r="AT188" t="e">
        <f>AND('STERLING CATALOG - DRY '!B4187,"AAAAAD//7S0=")</f>
        <v>#VALUE!</v>
      </c>
      <c r="AU188" t="e">
        <f>AND('STERLING CATALOG - DRY '!C4187,"AAAAAD//7S4=")</f>
        <v>#VALUE!</v>
      </c>
      <c r="AV188" t="e">
        <f>AND('STERLING CATALOG - DRY '!D4187,"AAAAAD//7S8=")</f>
        <v>#VALUE!</v>
      </c>
      <c r="AW188" t="e">
        <f>AND('STERLING CATALOG - DRY '!E4187,"AAAAAD//7TA=")</f>
        <v>#VALUE!</v>
      </c>
      <c r="AX188" t="e">
        <f>AND('STERLING CATALOG - DRY '!F4187,"AAAAAD//7TE=")</f>
        <v>#VALUE!</v>
      </c>
      <c r="AY188" t="e">
        <f>AND('STERLING CATALOG - DRY '!G4187,"AAAAAD//7TI=")</f>
        <v>#VALUE!</v>
      </c>
      <c r="AZ188" t="e">
        <f>AND('STERLING CATALOG - DRY '!H4187,"AAAAAD//7TM=")</f>
        <v>#VALUE!</v>
      </c>
      <c r="BA188" t="e">
        <f>AND('STERLING CATALOG - DRY '!I4187,"AAAAAD//7TQ=")</f>
        <v>#VALUE!</v>
      </c>
      <c r="BB188" t="e">
        <f>AND('STERLING CATALOG - DRY '!J4187,"AAAAAD//7TU=")</f>
        <v>#VALUE!</v>
      </c>
      <c r="BC188">
        <f>IF('STERLING CATALOG - DRY '!4188:4188,"AAAAAD//7TY=",0)</f>
        <v>0</v>
      </c>
      <c r="BD188" t="e">
        <f>AND('STERLING CATALOG - DRY '!A4188,"AAAAAD//7Tc=")</f>
        <v>#VALUE!</v>
      </c>
      <c r="BE188" t="e">
        <f>AND('STERLING CATALOG - DRY '!B4188,"AAAAAD//7Tg=")</f>
        <v>#VALUE!</v>
      </c>
      <c r="BF188" t="e">
        <f>AND('STERLING CATALOG - DRY '!C4188,"AAAAAD//7Tk=")</f>
        <v>#VALUE!</v>
      </c>
      <c r="BG188" t="e">
        <f>AND('STERLING CATALOG - DRY '!D4188,"AAAAAD//7To=")</f>
        <v>#VALUE!</v>
      </c>
      <c r="BH188" t="e">
        <f>AND('STERLING CATALOG - DRY '!E4188,"AAAAAD//7Ts=")</f>
        <v>#VALUE!</v>
      </c>
      <c r="BI188" t="e">
        <f>AND('STERLING CATALOG - DRY '!F4188,"AAAAAD//7Tw=")</f>
        <v>#VALUE!</v>
      </c>
      <c r="BJ188" t="e">
        <f>AND('STERLING CATALOG - DRY '!G4188,"AAAAAD//7T0=")</f>
        <v>#VALUE!</v>
      </c>
      <c r="BK188" t="e">
        <f>AND('STERLING CATALOG - DRY '!H4188,"AAAAAD//7T4=")</f>
        <v>#VALUE!</v>
      </c>
      <c r="BL188" t="e">
        <f>AND('STERLING CATALOG - DRY '!I4188,"AAAAAD//7T8=")</f>
        <v>#VALUE!</v>
      </c>
      <c r="BM188" t="e">
        <f>AND('STERLING CATALOG - DRY '!J4188,"AAAAAD//7UA=")</f>
        <v>#VALUE!</v>
      </c>
      <c r="BN188">
        <f>IF('STERLING CATALOG - DRY '!4189:4189,"AAAAAD//7UE=",0)</f>
        <v>0</v>
      </c>
      <c r="BO188" t="e">
        <f>AND('STERLING CATALOG - DRY '!A4189,"AAAAAD//7UI=")</f>
        <v>#VALUE!</v>
      </c>
      <c r="BP188" t="e">
        <f>AND('STERLING CATALOG - DRY '!B4189,"AAAAAD//7UM=")</f>
        <v>#VALUE!</v>
      </c>
      <c r="BQ188" t="e">
        <f>AND('STERLING CATALOG - DRY '!C4189,"AAAAAD//7UQ=")</f>
        <v>#VALUE!</v>
      </c>
      <c r="BR188" t="e">
        <f>AND('STERLING CATALOG - DRY '!D4189,"AAAAAD//7UU=")</f>
        <v>#VALUE!</v>
      </c>
      <c r="BS188" t="e">
        <f>AND('STERLING CATALOG - DRY '!E4189,"AAAAAD//7UY=")</f>
        <v>#VALUE!</v>
      </c>
      <c r="BT188" t="e">
        <f>AND('STERLING CATALOG - DRY '!F4189,"AAAAAD//7Uc=")</f>
        <v>#VALUE!</v>
      </c>
      <c r="BU188" t="e">
        <f>AND('STERLING CATALOG - DRY '!G4189,"AAAAAD//7Ug=")</f>
        <v>#VALUE!</v>
      </c>
      <c r="BV188" t="e">
        <f>AND('STERLING CATALOG - DRY '!H4189,"AAAAAD//7Uk=")</f>
        <v>#VALUE!</v>
      </c>
      <c r="BW188" t="e">
        <f>AND('STERLING CATALOG - DRY '!I4189,"AAAAAD//7Uo=")</f>
        <v>#VALUE!</v>
      </c>
      <c r="BX188" t="e">
        <f>AND('STERLING CATALOG - DRY '!J4189,"AAAAAD//7Us=")</f>
        <v>#VALUE!</v>
      </c>
      <c r="BY188">
        <f>IF('STERLING CATALOG - DRY '!4190:4190,"AAAAAD//7Uw=",0)</f>
        <v>0</v>
      </c>
      <c r="BZ188" t="e">
        <f>AND('STERLING CATALOG - DRY '!A4190,"AAAAAD//7U0=")</f>
        <v>#VALUE!</v>
      </c>
      <c r="CA188" t="e">
        <f>AND('STERLING CATALOG - DRY '!B4190,"AAAAAD//7U4=")</f>
        <v>#VALUE!</v>
      </c>
      <c r="CB188" t="e">
        <f>AND('STERLING CATALOG - DRY '!C4190,"AAAAAD//7U8=")</f>
        <v>#VALUE!</v>
      </c>
      <c r="CC188" t="e">
        <f>AND('STERLING CATALOG - DRY '!D4190,"AAAAAD//7VA=")</f>
        <v>#VALUE!</v>
      </c>
      <c r="CD188" t="e">
        <f>AND('STERLING CATALOG - DRY '!E4190,"AAAAAD//7VE=")</f>
        <v>#VALUE!</v>
      </c>
      <c r="CE188" t="e">
        <f>AND('STERLING CATALOG - DRY '!F4190,"AAAAAD//7VI=")</f>
        <v>#VALUE!</v>
      </c>
      <c r="CF188" t="e">
        <f>AND('STERLING CATALOG - DRY '!G4190,"AAAAAD//7VM=")</f>
        <v>#VALUE!</v>
      </c>
      <c r="CG188" t="e">
        <f>AND('STERLING CATALOG - DRY '!H4190,"AAAAAD//7VQ=")</f>
        <v>#VALUE!</v>
      </c>
      <c r="CH188" t="e">
        <f>AND('STERLING CATALOG - DRY '!I4190,"AAAAAD//7VU=")</f>
        <v>#VALUE!</v>
      </c>
      <c r="CI188" t="e">
        <f>AND('STERLING CATALOG - DRY '!J4190,"AAAAAD//7VY=")</f>
        <v>#VALUE!</v>
      </c>
      <c r="CJ188">
        <f>IF('STERLING CATALOG - DRY '!4191:4191,"AAAAAD//7Vc=",0)</f>
        <v>0</v>
      </c>
      <c r="CK188" t="e">
        <f>AND('STERLING CATALOG - DRY '!A4191,"AAAAAD//7Vg=")</f>
        <v>#VALUE!</v>
      </c>
      <c r="CL188" t="e">
        <f>AND('STERLING CATALOG - DRY '!B4191,"AAAAAD//7Vk=")</f>
        <v>#VALUE!</v>
      </c>
      <c r="CM188" t="e">
        <f>AND('STERLING CATALOG - DRY '!C4191,"AAAAAD//7Vo=")</f>
        <v>#VALUE!</v>
      </c>
      <c r="CN188" t="e">
        <f>AND('STERLING CATALOG - DRY '!D4191,"AAAAAD//7Vs=")</f>
        <v>#VALUE!</v>
      </c>
      <c r="CO188" t="e">
        <f>AND('STERLING CATALOG - DRY '!E4191,"AAAAAD//7Vw=")</f>
        <v>#VALUE!</v>
      </c>
      <c r="CP188" t="e">
        <f>AND('STERLING CATALOG - DRY '!F4191,"AAAAAD//7V0=")</f>
        <v>#VALUE!</v>
      </c>
      <c r="CQ188" t="e">
        <f>AND('STERLING CATALOG - DRY '!G4191,"AAAAAD//7V4=")</f>
        <v>#VALUE!</v>
      </c>
      <c r="CR188" t="e">
        <f>AND('STERLING CATALOG - DRY '!H4191,"AAAAAD//7V8=")</f>
        <v>#VALUE!</v>
      </c>
      <c r="CS188" t="e">
        <f>AND('STERLING CATALOG - DRY '!I4191,"AAAAAD//7WA=")</f>
        <v>#VALUE!</v>
      </c>
      <c r="CT188" t="e">
        <f>AND('STERLING CATALOG - DRY '!J4191,"AAAAAD//7WE=")</f>
        <v>#VALUE!</v>
      </c>
      <c r="CU188">
        <f>IF('STERLING CATALOG - DRY '!4192:4192,"AAAAAD//7WI=",0)</f>
        <v>0</v>
      </c>
      <c r="CV188" t="e">
        <f>AND('STERLING CATALOG - DRY '!A4192,"AAAAAD//7WM=")</f>
        <v>#VALUE!</v>
      </c>
      <c r="CW188" t="e">
        <f>AND('STERLING CATALOG - DRY '!B4192,"AAAAAD//7WQ=")</f>
        <v>#VALUE!</v>
      </c>
      <c r="CX188" t="e">
        <f>AND('STERLING CATALOG - DRY '!C4192,"AAAAAD//7WU=")</f>
        <v>#VALUE!</v>
      </c>
      <c r="CY188" t="e">
        <f>AND('STERLING CATALOG - DRY '!D4192,"AAAAAD//7WY=")</f>
        <v>#VALUE!</v>
      </c>
      <c r="CZ188" t="e">
        <f>AND('STERLING CATALOG - DRY '!E4192,"AAAAAD//7Wc=")</f>
        <v>#VALUE!</v>
      </c>
      <c r="DA188" t="e">
        <f>AND('STERLING CATALOG - DRY '!F4192,"AAAAAD//7Wg=")</f>
        <v>#VALUE!</v>
      </c>
      <c r="DB188" t="e">
        <f>AND('STERLING CATALOG - DRY '!G4192,"AAAAAD//7Wk=")</f>
        <v>#VALUE!</v>
      </c>
      <c r="DC188" t="e">
        <f>AND('STERLING CATALOG - DRY '!H4192,"AAAAAD//7Wo=")</f>
        <v>#VALUE!</v>
      </c>
      <c r="DD188" t="e">
        <f>AND('STERLING CATALOG - DRY '!I4192,"AAAAAD//7Ws=")</f>
        <v>#VALUE!</v>
      </c>
      <c r="DE188" t="e">
        <f>AND('STERLING CATALOG - DRY '!J4192,"AAAAAD//7Ww=")</f>
        <v>#VALUE!</v>
      </c>
      <c r="DF188">
        <f>IF('STERLING CATALOG - DRY '!4193:4193,"AAAAAD//7W0=",0)</f>
        <v>0</v>
      </c>
      <c r="DG188" t="e">
        <f>AND('STERLING CATALOG - DRY '!A4193,"AAAAAD//7W4=")</f>
        <v>#VALUE!</v>
      </c>
      <c r="DH188" t="e">
        <f>AND('STERLING CATALOG - DRY '!B4193,"AAAAAD//7W8=")</f>
        <v>#VALUE!</v>
      </c>
      <c r="DI188" t="e">
        <f>AND('STERLING CATALOG - DRY '!C4193,"AAAAAD//7XA=")</f>
        <v>#VALUE!</v>
      </c>
      <c r="DJ188" t="e">
        <f>AND('STERLING CATALOG - DRY '!D4193,"AAAAAD//7XE=")</f>
        <v>#VALUE!</v>
      </c>
      <c r="DK188" t="e">
        <f>AND('STERLING CATALOG - DRY '!E4193,"AAAAAD//7XI=")</f>
        <v>#VALUE!</v>
      </c>
      <c r="DL188" t="e">
        <f>AND('STERLING CATALOG - DRY '!F4193,"AAAAAD//7XM=")</f>
        <v>#VALUE!</v>
      </c>
      <c r="DM188" t="e">
        <f>AND('STERLING CATALOG - DRY '!G4193,"AAAAAD//7XQ=")</f>
        <v>#VALUE!</v>
      </c>
      <c r="DN188" t="e">
        <f>AND('STERLING CATALOG - DRY '!H4193,"AAAAAD//7XU=")</f>
        <v>#VALUE!</v>
      </c>
      <c r="DO188" t="e">
        <f>AND('STERLING CATALOG - DRY '!I4193,"AAAAAD//7XY=")</f>
        <v>#VALUE!</v>
      </c>
      <c r="DP188" t="e">
        <f>AND('STERLING CATALOG - DRY '!J4193,"AAAAAD//7Xc=")</f>
        <v>#VALUE!</v>
      </c>
      <c r="DQ188">
        <f>IF('STERLING CATALOG - DRY '!4194:4194,"AAAAAD//7Xg=",0)</f>
        <v>0</v>
      </c>
      <c r="DR188" t="e">
        <f>AND('STERLING CATALOG - DRY '!A4194,"AAAAAD//7Xk=")</f>
        <v>#VALUE!</v>
      </c>
      <c r="DS188" t="e">
        <f>AND('STERLING CATALOG - DRY '!B4194,"AAAAAD//7Xo=")</f>
        <v>#VALUE!</v>
      </c>
      <c r="DT188" t="e">
        <f>AND('STERLING CATALOG - DRY '!C4194,"AAAAAD//7Xs=")</f>
        <v>#VALUE!</v>
      </c>
      <c r="DU188" t="e">
        <f>AND('STERLING CATALOG - DRY '!D4194,"AAAAAD//7Xw=")</f>
        <v>#VALUE!</v>
      </c>
      <c r="DV188" t="e">
        <f>AND('STERLING CATALOG - DRY '!E4194,"AAAAAD//7X0=")</f>
        <v>#VALUE!</v>
      </c>
      <c r="DW188" t="e">
        <f>AND('STERLING CATALOG - DRY '!F4194,"AAAAAD//7X4=")</f>
        <v>#VALUE!</v>
      </c>
      <c r="DX188" t="e">
        <f>AND('STERLING CATALOG - DRY '!G4194,"AAAAAD//7X8=")</f>
        <v>#VALUE!</v>
      </c>
      <c r="DY188" t="e">
        <f>AND('STERLING CATALOG - DRY '!H4194,"AAAAAD//7YA=")</f>
        <v>#VALUE!</v>
      </c>
      <c r="DZ188" t="e">
        <f>AND('STERLING CATALOG - DRY '!I4194,"AAAAAD//7YE=")</f>
        <v>#VALUE!</v>
      </c>
      <c r="EA188" t="e">
        <f>AND('STERLING CATALOG - DRY '!J4194,"AAAAAD//7YI=")</f>
        <v>#VALUE!</v>
      </c>
      <c r="EB188">
        <f>IF('STERLING CATALOG - DRY '!4195:4195,"AAAAAD//7YM=",0)</f>
        <v>0</v>
      </c>
      <c r="EC188" t="e">
        <f>AND('STERLING CATALOG - DRY '!A4195,"AAAAAD//7YQ=")</f>
        <v>#VALUE!</v>
      </c>
      <c r="ED188" t="e">
        <f>AND('STERLING CATALOG - DRY '!B4195,"AAAAAD//7YU=")</f>
        <v>#VALUE!</v>
      </c>
      <c r="EE188" t="e">
        <f>AND('STERLING CATALOG - DRY '!C4195,"AAAAAD//7YY=")</f>
        <v>#VALUE!</v>
      </c>
      <c r="EF188" t="e">
        <f>AND('STERLING CATALOG - DRY '!D4195,"AAAAAD//7Yc=")</f>
        <v>#VALUE!</v>
      </c>
      <c r="EG188" t="e">
        <f>AND('STERLING CATALOG - DRY '!E4195,"AAAAAD//7Yg=")</f>
        <v>#VALUE!</v>
      </c>
      <c r="EH188" t="e">
        <f>AND('STERLING CATALOG - DRY '!F4195,"AAAAAD//7Yk=")</f>
        <v>#VALUE!</v>
      </c>
      <c r="EI188" t="e">
        <f>AND('STERLING CATALOG - DRY '!G4195,"AAAAAD//7Yo=")</f>
        <v>#VALUE!</v>
      </c>
      <c r="EJ188" t="e">
        <f>AND('STERLING CATALOG - DRY '!H4195,"AAAAAD//7Ys=")</f>
        <v>#VALUE!</v>
      </c>
      <c r="EK188" t="e">
        <f>AND('STERLING CATALOG - DRY '!I4195,"AAAAAD//7Yw=")</f>
        <v>#VALUE!</v>
      </c>
      <c r="EL188" t="e">
        <f>AND('STERLING CATALOG - DRY '!J4195,"AAAAAD//7Y0=")</f>
        <v>#VALUE!</v>
      </c>
      <c r="EM188">
        <f>IF('STERLING CATALOG - DRY '!4196:4196,"AAAAAD//7Y4=",0)</f>
        <v>0</v>
      </c>
      <c r="EN188" t="e">
        <f>AND('STERLING CATALOG - DRY '!A4196,"AAAAAD//7Y8=")</f>
        <v>#VALUE!</v>
      </c>
      <c r="EO188" t="e">
        <f>AND('STERLING CATALOG - DRY '!B4196,"AAAAAD//7ZA=")</f>
        <v>#VALUE!</v>
      </c>
      <c r="EP188" t="e">
        <f>AND('STERLING CATALOG - DRY '!C4196,"AAAAAD//7ZE=")</f>
        <v>#VALUE!</v>
      </c>
      <c r="EQ188" t="e">
        <f>AND('STERLING CATALOG - DRY '!D4196,"AAAAAD//7ZI=")</f>
        <v>#VALUE!</v>
      </c>
      <c r="ER188" t="e">
        <f>AND('STERLING CATALOG - DRY '!E4196,"AAAAAD//7ZM=")</f>
        <v>#VALUE!</v>
      </c>
      <c r="ES188" t="e">
        <f>AND('STERLING CATALOG - DRY '!F4196,"AAAAAD//7ZQ=")</f>
        <v>#VALUE!</v>
      </c>
      <c r="ET188" t="e">
        <f>AND('STERLING CATALOG - DRY '!G4196,"AAAAAD//7ZU=")</f>
        <v>#VALUE!</v>
      </c>
      <c r="EU188" t="e">
        <f>AND('STERLING CATALOG - DRY '!H4196,"AAAAAD//7ZY=")</f>
        <v>#VALUE!</v>
      </c>
      <c r="EV188" t="e">
        <f>AND('STERLING CATALOG - DRY '!I4196,"AAAAAD//7Zc=")</f>
        <v>#VALUE!</v>
      </c>
      <c r="EW188" t="e">
        <f>AND('STERLING CATALOG - DRY '!J4196,"AAAAAD//7Zg=")</f>
        <v>#VALUE!</v>
      </c>
      <c r="EX188">
        <f>IF('STERLING CATALOG - DRY '!4197:4197,"AAAAAD//7Zk=",0)</f>
        <v>0</v>
      </c>
      <c r="EY188" t="e">
        <f>AND('STERLING CATALOG - DRY '!A4197,"AAAAAD//7Zo=")</f>
        <v>#VALUE!</v>
      </c>
      <c r="EZ188" t="e">
        <f>AND('STERLING CATALOG - DRY '!B4197,"AAAAAD//7Zs=")</f>
        <v>#VALUE!</v>
      </c>
      <c r="FA188" t="e">
        <f>AND('STERLING CATALOG - DRY '!C4197,"AAAAAD//7Zw=")</f>
        <v>#VALUE!</v>
      </c>
      <c r="FB188" t="e">
        <f>AND('STERLING CATALOG - DRY '!D4197,"AAAAAD//7Z0=")</f>
        <v>#VALUE!</v>
      </c>
      <c r="FC188" t="e">
        <f>AND('STERLING CATALOG - DRY '!E4197,"AAAAAD//7Z4=")</f>
        <v>#VALUE!</v>
      </c>
      <c r="FD188" t="e">
        <f>AND('STERLING CATALOG - DRY '!F4197,"AAAAAD//7Z8=")</f>
        <v>#VALUE!</v>
      </c>
      <c r="FE188" t="e">
        <f>AND('STERLING CATALOG - DRY '!G4197,"AAAAAD//7aA=")</f>
        <v>#VALUE!</v>
      </c>
      <c r="FF188" t="e">
        <f>AND('STERLING CATALOG - DRY '!H4197,"AAAAAD//7aE=")</f>
        <v>#VALUE!</v>
      </c>
      <c r="FG188" t="e">
        <f>AND('STERLING CATALOG - DRY '!I4197,"AAAAAD//7aI=")</f>
        <v>#VALUE!</v>
      </c>
      <c r="FH188" t="e">
        <f>AND('STERLING CATALOG - DRY '!J4197,"AAAAAD//7aM=")</f>
        <v>#VALUE!</v>
      </c>
      <c r="FI188">
        <f>IF('STERLING CATALOG - DRY '!4198:4198,"AAAAAD//7aQ=",0)</f>
        <v>0</v>
      </c>
      <c r="FJ188" t="e">
        <f>AND('STERLING CATALOG - DRY '!A4198,"AAAAAD//7aU=")</f>
        <v>#VALUE!</v>
      </c>
      <c r="FK188" t="e">
        <f>AND('STERLING CATALOG - DRY '!B4198,"AAAAAD//7aY=")</f>
        <v>#VALUE!</v>
      </c>
      <c r="FL188" t="e">
        <f>AND('STERLING CATALOG - DRY '!C4198,"AAAAAD//7ac=")</f>
        <v>#VALUE!</v>
      </c>
      <c r="FM188" t="e">
        <f>AND('STERLING CATALOG - DRY '!D4198,"AAAAAD//7ag=")</f>
        <v>#VALUE!</v>
      </c>
      <c r="FN188" t="e">
        <f>AND('STERLING CATALOG - DRY '!E4198,"AAAAAD//7ak=")</f>
        <v>#VALUE!</v>
      </c>
      <c r="FO188" t="e">
        <f>AND('STERLING CATALOG - DRY '!F4198,"AAAAAD//7ao=")</f>
        <v>#VALUE!</v>
      </c>
      <c r="FP188" t="e">
        <f>AND('STERLING CATALOG - DRY '!G4198,"AAAAAD//7as=")</f>
        <v>#VALUE!</v>
      </c>
      <c r="FQ188" t="e">
        <f>AND('STERLING CATALOG - DRY '!H4198,"AAAAAD//7aw=")</f>
        <v>#VALUE!</v>
      </c>
      <c r="FR188" t="e">
        <f>AND('STERLING CATALOG - DRY '!I4198,"AAAAAD//7a0=")</f>
        <v>#VALUE!</v>
      </c>
      <c r="FS188" t="e">
        <f>AND('STERLING CATALOG - DRY '!J4198,"AAAAAD//7a4=")</f>
        <v>#VALUE!</v>
      </c>
      <c r="FT188">
        <f>IF('STERLING CATALOG - DRY '!4199:4199,"AAAAAD//7a8=",0)</f>
        <v>0</v>
      </c>
      <c r="FU188" t="e">
        <f>AND('STERLING CATALOG - DRY '!A4199,"AAAAAD//7bA=")</f>
        <v>#VALUE!</v>
      </c>
      <c r="FV188" t="e">
        <f>AND('STERLING CATALOG - DRY '!B4199,"AAAAAD//7bE=")</f>
        <v>#VALUE!</v>
      </c>
      <c r="FW188" t="e">
        <f>AND('STERLING CATALOG - DRY '!C4199,"AAAAAD//7bI=")</f>
        <v>#VALUE!</v>
      </c>
      <c r="FX188" t="e">
        <f>AND('STERLING CATALOG - DRY '!D4199,"AAAAAD//7bM=")</f>
        <v>#VALUE!</v>
      </c>
      <c r="FY188" t="e">
        <f>AND('STERLING CATALOG - DRY '!E4199,"AAAAAD//7bQ=")</f>
        <v>#VALUE!</v>
      </c>
      <c r="FZ188" t="e">
        <f>AND('STERLING CATALOG - DRY '!F4199,"AAAAAD//7bU=")</f>
        <v>#VALUE!</v>
      </c>
      <c r="GA188" t="e">
        <f>AND('STERLING CATALOG - DRY '!G4199,"AAAAAD//7bY=")</f>
        <v>#VALUE!</v>
      </c>
      <c r="GB188" t="e">
        <f>AND('STERLING CATALOG - DRY '!H4199,"AAAAAD//7bc=")</f>
        <v>#VALUE!</v>
      </c>
      <c r="GC188" t="e">
        <f>AND('STERLING CATALOG - DRY '!I4199,"AAAAAD//7bg=")</f>
        <v>#VALUE!</v>
      </c>
      <c r="GD188" t="e">
        <f>AND('STERLING CATALOG - DRY '!J4199,"AAAAAD//7bk=")</f>
        <v>#VALUE!</v>
      </c>
      <c r="GE188">
        <f>IF('STERLING CATALOG - DRY '!4200:4200,"AAAAAD//7bo=",0)</f>
        <v>0</v>
      </c>
      <c r="GF188" t="e">
        <f>AND('STERLING CATALOG - DRY '!A4200,"AAAAAD//7bs=")</f>
        <v>#VALUE!</v>
      </c>
      <c r="GG188" t="e">
        <f>AND('STERLING CATALOG - DRY '!B4200,"AAAAAD//7bw=")</f>
        <v>#VALUE!</v>
      </c>
      <c r="GH188" t="e">
        <f>AND('STERLING CATALOG - DRY '!C4200,"AAAAAD//7b0=")</f>
        <v>#VALUE!</v>
      </c>
      <c r="GI188" t="e">
        <f>AND('STERLING CATALOG - DRY '!D4200,"AAAAAD//7b4=")</f>
        <v>#VALUE!</v>
      </c>
      <c r="GJ188" t="e">
        <f>AND('STERLING CATALOG - DRY '!E4200,"AAAAAD//7b8=")</f>
        <v>#VALUE!</v>
      </c>
      <c r="GK188" t="e">
        <f>AND('STERLING CATALOG - DRY '!F4200,"AAAAAD//7cA=")</f>
        <v>#VALUE!</v>
      </c>
      <c r="GL188" t="e">
        <f>AND('STERLING CATALOG - DRY '!G4200,"AAAAAD//7cE=")</f>
        <v>#VALUE!</v>
      </c>
      <c r="GM188" t="e">
        <f>AND('STERLING CATALOG - DRY '!H4200,"AAAAAD//7cI=")</f>
        <v>#VALUE!</v>
      </c>
      <c r="GN188" t="e">
        <f>AND('STERLING CATALOG - DRY '!I4200,"AAAAAD//7cM=")</f>
        <v>#VALUE!</v>
      </c>
      <c r="GO188" t="e">
        <f>AND('STERLING CATALOG - DRY '!J4200,"AAAAAD//7cQ=")</f>
        <v>#VALUE!</v>
      </c>
      <c r="GP188">
        <f>IF('STERLING CATALOG - DRY '!4201:4201,"AAAAAD//7cU=",0)</f>
        <v>0</v>
      </c>
      <c r="GQ188" t="e">
        <f>AND('STERLING CATALOG - DRY '!A4201,"AAAAAD//7cY=")</f>
        <v>#VALUE!</v>
      </c>
      <c r="GR188" t="e">
        <f>AND('STERLING CATALOG - DRY '!B4201,"AAAAAD//7cc=")</f>
        <v>#VALUE!</v>
      </c>
      <c r="GS188" t="e">
        <f>AND('STERLING CATALOG - DRY '!C4201,"AAAAAD//7cg=")</f>
        <v>#VALUE!</v>
      </c>
      <c r="GT188" t="e">
        <f>AND('STERLING CATALOG - DRY '!D4201,"AAAAAD//7ck=")</f>
        <v>#VALUE!</v>
      </c>
      <c r="GU188" t="e">
        <f>AND('STERLING CATALOG - DRY '!E4201,"AAAAAD//7co=")</f>
        <v>#VALUE!</v>
      </c>
      <c r="GV188" t="e">
        <f>AND('STERLING CATALOG - DRY '!F4201,"AAAAAD//7cs=")</f>
        <v>#VALUE!</v>
      </c>
      <c r="GW188" t="e">
        <f>AND('STERLING CATALOG - DRY '!G4201,"AAAAAD//7cw=")</f>
        <v>#VALUE!</v>
      </c>
      <c r="GX188" t="e">
        <f>AND('STERLING CATALOG - DRY '!H4201,"AAAAAD//7c0=")</f>
        <v>#VALUE!</v>
      </c>
      <c r="GY188" t="e">
        <f>AND('STERLING CATALOG - DRY '!I4201,"AAAAAD//7c4=")</f>
        <v>#VALUE!</v>
      </c>
      <c r="GZ188" t="e">
        <f>AND('STERLING CATALOG - DRY '!J4201,"AAAAAD//7c8=")</f>
        <v>#VALUE!</v>
      </c>
      <c r="HA188">
        <f>IF('STERLING CATALOG - DRY '!4202:4202,"AAAAAD//7dA=",0)</f>
        <v>0</v>
      </c>
      <c r="HB188" t="e">
        <f>AND('STERLING CATALOG - DRY '!A4202,"AAAAAD//7dE=")</f>
        <v>#VALUE!</v>
      </c>
      <c r="HC188" t="e">
        <f>AND('STERLING CATALOG - DRY '!B4202,"AAAAAD//7dI=")</f>
        <v>#VALUE!</v>
      </c>
      <c r="HD188" t="e">
        <f>AND('STERLING CATALOG - DRY '!C4202,"AAAAAD//7dM=")</f>
        <v>#VALUE!</v>
      </c>
      <c r="HE188" t="e">
        <f>AND('STERLING CATALOG - DRY '!D4202,"AAAAAD//7dQ=")</f>
        <v>#VALUE!</v>
      </c>
      <c r="HF188" t="e">
        <f>AND('STERLING CATALOG - DRY '!E4202,"AAAAAD//7dU=")</f>
        <v>#VALUE!</v>
      </c>
      <c r="HG188" t="e">
        <f>AND('STERLING CATALOG - DRY '!F4202,"AAAAAD//7dY=")</f>
        <v>#VALUE!</v>
      </c>
      <c r="HH188" t="e">
        <f>AND('STERLING CATALOG - DRY '!G4202,"AAAAAD//7dc=")</f>
        <v>#VALUE!</v>
      </c>
      <c r="HI188" t="e">
        <f>AND('STERLING CATALOG - DRY '!H4202,"AAAAAD//7dg=")</f>
        <v>#VALUE!</v>
      </c>
      <c r="HJ188" t="e">
        <f>AND('STERLING CATALOG - DRY '!I4202,"AAAAAD//7dk=")</f>
        <v>#VALUE!</v>
      </c>
      <c r="HK188" t="e">
        <f>AND('STERLING CATALOG - DRY '!J4202,"AAAAAD//7do=")</f>
        <v>#VALUE!</v>
      </c>
      <c r="HL188">
        <f>IF('STERLING CATALOG - DRY '!4203:4203,"AAAAAD//7ds=",0)</f>
        <v>0</v>
      </c>
      <c r="HM188" t="e">
        <f>AND('STERLING CATALOG - DRY '!A4203,"AAAAAD//7dw=")</f>
        <v>#VALUE!</v>
      </c>
      <c r="HN188" t="e">
        <f>AND('STERLING CATALOG - DRY '!B4203,"AAAAAD//7d0=")</f>
        <v>#VALUE!</v>
      </c>
      <c r="HO188" t="e">
        <f>AND('STERLING CATALOG - DRY '!C4203,"AAAAAD//7d4=")</f>
        <v>#VALUE!</v>
      </c>
      <c r="HP188" t="e">
        <f>AND('STERLING CATALOG - DRY '!D4203,"AAAAAD//7d8=")</f>
        <v>#VALUE!</v>
      </c>
      <c r="HQ188" t="e">
        <f>AND('STERLING CATALOG - DRY '!E4203,"AAAAAD//7eA=")</f>
        <v>#VALUE!</v>
      </c>
      <c r="HR188" t="e">
        <f>AND('STERLING CATALOG - DRY '!F4203,"AAAAAD//7eE=")</f>
        <v>#VALUE!</v>
      </c>
      <c r="HS188" t="e">
        <f>AND('STERLING CATALOG - DRY '!G4203,"AAAAAD//7eI=")</f>
        <v>#VALUE!</v>
      </c>
      <c r="HT188" t="e">
        <f>AND('STERLING CATALOG - DRY '!H4203,"AAAAAD//7eM=")</f>
        <v>#VALUE!</v>
      </c>
      <c r="HU188" t="e">
        <f>AND('STERLING CATALOG - DRY '!I4203,"AAAAAD//7eQ=")</f>
        <v>#VALUE!</v>
      </c>
      <c r="HV188" t="e">
        <f>AND('STERLING CATALOG - DRY '!J4203,"AAAAAD//7eU=")</f>
        <v>#VALUE!</v>
      </c>
      <c r="HW188">
        <f>IF('STERLING CATALOG - DRY '!4204:4204,"AAAAAD//7eY=",0)</f>
        <v>0</v>
      </c>
      <c r="HX188" t="e">
        <f>AND('STERLING CATALOG - DRY '!A4204,"AAAAAD//7ec=")</f>
        <v>#VALUE!</v>
      </c>
      <c r="HY188" t="e">
        <f>AND('STERLING CATALOG - DRY '!B4204,"AAAAAD//7eg=")</f>
        <v>#VALUE!</v>
      </c>
      <c r="HZ188" t="e">
        <f>AND('STERLING CATALOG - DRY '!C4204,"AAAAAD//7ek=")</f>
        <v>#VALUE!</v>
      </c>
      <c r="IA188" t="e">
        <f>AND('STERLING CATALOG - DRY '!D4204,"AAAAAD//7eo=")</f>
        <v>#VALUE!</v>
      </c>
      <c r="IB188" t="e">
        <f>AND('STERLING CATALOG - DRY '!E4204,"AAAAAD//7es=")</f>
        <v>#VALUE!</v>
      </c>
      <c r="IC188" t="e">
        <f>AND('STERLING CATALOG - DRY '!F4204,"AAAAAD//7ew=")</f>
        <v>#VALUE!</v>
      </c>
      <c r="ID188" t="e">
        <f>AND('STERLING CATALOG - DRY '!G4204,"AAAAAD//7e0=")</f>
        <v>#VALUE!</v>
      </c>
      <c r="IE188" t="e">
        <f>AND('STERLING CATALOG - DRY '!H4204,"AAAAAD//7e4=")</f>
        <v>#VALUE!</v>
      </c>
      <c r="IF188" t="e">
        <f>AND('STERLING CATALOG - DRY '!I4204,"AAAAAD//7e8=")</f>
        <v>#VALUE!</v>
      </c>
      <c r="IG188" t="e">
        <f>AND('STERLING CATALOG - DRY '!J4204,"AAAAAD//7fA=")</f>
        <v>#VALUE!</v>
      </c>
      <c r="IH188">
        <f>IF('STERLING CATALOG - DRY '!4205:4205,"AAAAAD//7fE=",0)</f>
        <v>0</v>
      </c>
      <c r="II188" t="e">
        <f>AND('STERLING CATALOG - DRY '!A4205,"AAAAAD//7fI=")</f>
        <v>#VALUE!</v>
      </c>
      <c r="IJ188" t="e">
        <f>AND('STERLING CATALOG - DRY '!B4205,"AAAAAD//7fM=")</f>
        <v>#VALUE!</v>
      </c>
      <c r="IK188" t="e">
        <f>AND('STERLING CATALOG - DRY '!C4205,"AAAAAD//7fQ=")</f>
        <v>#VALUE!</v>
      </c>
      <c r="IL188" t="e">
        <f>AND('STERLING CATALOG - DRY '!D4205,"AAAAAD//7fU=")</f>
        <v>#VALUE!</v>
      </c>
      <c r="IM188" t="e">
        <f>AND('STERLING CATALOG - DRY '!E4205,"AAAAAD//7fY=")</f>
        <v>#VALUE!</v>
      </c>
      <c r="IN188" t="e">
        <f>AND('STERLING CATALOG - DRY '!F4205,"AAAAAD//7fc=")</f>
        <v>#VALUE!</v>
      </c>
      <c r="IO188" t="e">
        <f>AND('STERLING CATALOG - DRY '!G4205,"AAAAAD//7fg=")</f>
        <v>#VALUE!</v>
      </c>
      <c r="IP188" t="e">
        <f>AND('STERLING CATALOG - DRY '!H4205,"AAAAAD//7fk=")</f>
        <v>#VALUE!</v>
      </c>
      <c r="IQ188" t="e">
        <f>AND('STERLING CATALOG - DRY '!I4205,"AAAAAD//7fo=")</f>
        <v>#VALUE!</v>
      </c>
      <c r="IR188" t="e">
        <f>AND('STERLING CATALOG - DRY '!J4205,"AAAAAD//7fs=")</f>
        <v>#VALUE!</v>
      </c>
      <c r="IS188">
        <f>IF('STERLING CATALOG - DRY '!4206:4206,"AAAAAD//7fw=",0)</f>
        <v>0</v>
      </c>
      <c r="IT188" t="e">
        <f>AND('STERLING CATALOG - DRY '!A4206,"AAAAAD//7f0=")</f>
        <v>#VALUE!</v>
      </c>
      <c r="IU188" t="e">
        <f>AND('STERLING CATALOG - DRY '!B4206,"AAAAAD//7f4=")</f>
        <v>#VALUE!</v>
      </c>
      <c r="IV188" t="e">
        <f>AND('STERLING CATALOG - DRY '!C4206,"AAAAAD//7f8=")</f>
        <v>#VALUE!</v>
      </c>
    </row>
    <row r="189" spans="1:256">
      <c r="A189" t="e">
        <f>AND('STERLING CATALOG - DRY '!D4206,"AAAAAHvm9gA=")</f>
        <v>#VALUE!</v>
      </c>
      <c r="B189" t="e">
        <f>AND('STERLING CATALOG - DRY '!E4206,"AAAAAHvm9gE=")</f>
        <v>#VALUE!</v>
      </c>
      <c r="C189" t="e">
        <f>AND('STERLING CATALOG - DRY '!F4206,"AAAAAHvm9gI=")</f>
        <v>#VALUE!</v>
      </c>
      <c r="D189" t="e">
        <f>AND('STERLING CATALOG - DRY '!G4206,"AAAAAHvm9gM=")</f>
        <v>#VALUE!</v>
      </c>
      <c r="E189" t="e">
        <f>AND('STERLING CATALOG - DRY '!H4206,"AAAAAHvm9gQ=")</f>
        <v>#VALUE!</v>
      </c>
      <c r="F189" t="e">
        <f>AND('STERLING CATALOG - DRY '!I4206,"AAAAAHvm9gU=")</f>
        <v>#VALUE!</v>
      </c>
      <c r="G189" t="e">
        <f>AND('STERLING CATALOG - DRY '!J4206,"AAAAAHvm9gY=")</f>
        <v>#VALUE!</v>
      </c>
      <c r="H189" t="str">
        <f>IF('STERLING CATALOG - DRY '!4207:4207,"AAAAAHvm9gc=",0)</f>
        <v>AAAAAHvm9gc=</v>
      </c>
      <c r="I189" t="e">
        <f>AND('STERLING CATALOG - DRY '!A4207,"AAAAAHvm9gg=")</f>
        <v>#VALUE!</v>
      </c>
      <c r="J189" t="e">
        <f>AND('STERLING CATALOG - DRY '!B4207,"AAAAAHvm9gk=")</f>
        <v>#VALUE!</v>
      </c>
      <c r="K189" t="e">
        <f>AND('STERLING CATALOG - DRY '!C4207,"AAAAAHvm9go=")</f>
        <v>#VALUE!</v>
      </c>
      <c r="L189" t="e">
        <f>AND('STERLING CATALOG - DRY '!D4207,"AAAAAHvm9gs=")</f>
        <v>#VALUE!</v>
      </c>
      <c r="M189" t="e">
        <f>AND('STERLING CATALOG - DRY '!E4207,"AAAAAHvm9gw=")</f>
        <v>#VALUE!</v>
      </c>
      <c r="N189" t="e">
        <f>AND('STERLING CATALOG - DRY '!F4207,"AAAAAHvm9g0=")</f>
        <v>#VALUE!</v>
      </c>
      <c r="O189" t="e">
        <f>AND('STERLING CATALOG - DRY '!G4207,"AAAAAHvm9g4=")</f>
        <v>#VALUE!</v>
      </c>
      <c r="P189" t="e">
        <f>AND('STERLING CATALOG - DRY '!H4207,"AAAAAHvm9g8=")</f>
        <v>#VALUE!</v>
      </c>
      <c r="Q189" t="e">
        <f>AND('STERLING CATALOG - DRY '!I4207,"AAAAAHvm9hA=")</f>
        <v>#VALUE!</v>
      </c>
      <c r="R189" t="e">
        <f>AND('STERLING CATALOG - DRY '!J4207,"AAAAAHvm9hE=")</f>
        <v>#VALUE!</v>
      </c>
      <c r="S189">
        <f>IF('STERLING CATALOG - DRY '!4208:4208,"AAAAAHvm9hI=",0)</f>
        <v>0</v>
      </c>
      <c r="T189" t="e">
        <f>AND('STERLING CATALOG - DRY '!A4208,"AAAAAHvm9hM=")</f>
        <v>#VALUE!</v>
      </c>
      <c r="U189" t="e">
        <f>AND('STERLING CATALOG - DRY '!B4208,"AAAAAHvm9hQ=")</f>
        <v>#VALUE!</v>
      </c>
      <c r="V189" t="e">
        <f>AND('STERLING CATALOG - DRY '!C4208,"AAAAAHvm9hU=")</f>
        <v>#VALUE!</v>
      </c>
      <c r="W189" t="e">
        <f>AND('STERLING CATALOG - DRY '!D4208,"AAAAAHvm9hY=")</f>
        <v>#VALUE!</v>
      </c>
      <c r="X189" t="e">
        <f>AND('STERLING CATALOG - DRY '!E4208,"AAAAAHvm9hc=")</f>
        <v>#VALUE!</v>
      </c>
      <c r="Y189" t="e">
        <f>AND('STERLING CATALOG - DRY '!F4208,"AAAAAHvm9hg=")</f>
        <v>#VALUE!</v>
      </c>
      <c r="Z189" t="e">
        <f>AND('STERLING CATALOG - DRY '!G4208,"AAAAAHvm9hk=")</f>
        <v>#VALUE!</v>
      </c>
      <c r="AA189" t="e">
        <f>AND('STERLING CATALOG - DRY '!H4208,"AAAAAHvm9ho=")</f>
        <v>#VALUE!</v>
      </c>
      <c r="AB189" t="e">
        <f>AND('STERLING CATALOG - DRY '!I4208,"AAAAAHvm9hs=")</f>
        <v>#VALUE!</v>
      </c>
      <c r="AC189" t="e">
        <f>AND('STERLING CATALOG - DRY '!J4208,"AAAAAHvm9hw=")</f>
        <v>#VALUE!</v>
      </c>
      <c r="AD189">
        <f>IF('STERLING CATALOG - DRY '!4209:4209,"AAAAAHvm9h0=",0)</f>
        <v>0</v>
      </c>
      <c r="AE189" t="e">
        <f>AND('STERLING CATALOG - DRY '!A4209,"AAAAAHvm9h4=")</f>
        <v>#VALUE!</v>
      </c>
      <c r="AF189" t="e">
        <f>AND('STERLING CATALOG - DRY '!B4209,"AAAAAHvm9h8=")</f>
        <v>#VALUE!</v>
      </c>
      <c r="AG189" t="e">
        <f>AND('STERLING CATALOG - DRY '!C4209,"AAAAAHvm9iA=")</f>
        <v>#VALUE!</v>
      </c>
      <c r="AH189" t="e">
        <f>AND('STERLING CATALOG - DRY '!D4209,"AAAAAHvm9iE=")</f>
        <v>#VALUE!</v>
      </c>
      <c r="AI189" t="e">
        <f>AND('STERLING CATALOG - DRY '!E4209,"AAAAAHvm9iI=")</f>
        <v>#VALUE!</v>
      </c>
      <c r="AJ189" t="e">
        <f>AND('STERLING CATALOG - DRY '!F4209,"AAAAAHvm9iM=")</f>
        <v>#VALUE!</v>
      </c>
      <c r="AK189" t="e">
        <f>AND('STERLING CATALOG - DRY '!G4209,"AAAAAHvm9iQ=")</f>
        <v>#VALUE!</v>
      </c>
      <c r="AL189" t="e">
        <f>AND('STERLING CATALOG - DRY '!H4209,"AAAAAHvm9iU=")</f>
        <v>#VALUE!</v>
      </c>
      <c r="AM189" t="e">
        <f>AND('STERLING CATALOG - DRY '!I4209,"AAAAAHvm9iY=")</f>
        <v>#VALUE!</v>
      </c>
      <c r="AN189" t="e">
        <f>AND('STERLING CATALOG - DRY '!J4209,"AAAAAHvm9ic=")</f>
        <v>#VALUE!</v>
      </c>
      <c r="AO189">
        <f>IF('STERLING CATALOG - DRY '!4210:4210,"AAAAAHvm9ig=",0)</f>
        <v>0</v>
      </c>
      <c r="AP189" t="e">
        <f>AND('STERLING CATALOG - DRY '!A4210,"AAAAAHvm9ik=")</f>
        <v>#VALUE!</v>
      </c>
      <c r="AQ189" t="e">
        <f>AND('STERLING CATALOG - DRY '!B4210,"AAAAAHvm9io=")</f>
        <v>#VALUE!</v>
      </c>
      <c r="AR189" t="e">
        <f>AND('STERLING CATALOG - DRY '!C4210,"AAAAAHvm9is=")</f>
        <v>#VALUE!</v>
      </c>
      <c r="AS189" t="e">
        <f>AND('STERLING CATALOG - DRY '!D4210,"AAAAAHvm9iw=")</f>
        <v>#VALUE!</v>
      </c>
      <c r="AT189" t="e">
        <f>AND('STERLING CATALOG - DRY '!E4210,"AAAAAHvm9i0=")</f>
        <v>#VALUE!</v>
      </c>
      <c r="AU189" t="e">
        <f>AND('STERLING CATALOG - DRY '!F4210,"AAAAAHvm9i4=")</f>
        <v>#VALUE!</v>
      </c>
      <c r="AV189" t="e">
        <f>AND('STERLING CATALOG - DRY '!G4210,"AAAAAHvm9i8=")</f>
        <v>#VALUE!</v>
      </c>
      <c r="AW189" t="e">
        <f>AND('STERLING CATALOG - DRY '!H4210,"AAAAAHvm9jA=")</f>
        <v>#VALUE!</v>
      </c>
      <c r="AX189" t="e">
        <f>AND('STERLING CATALOG - DRY '!I4210,"AAAAAHvm9jE=")</f>
        <v>#VALUE!</v>
      </c>
      <c r="AY189" t="e">
        <f>AND('STERLING CATALOG - DRY '!J4210,"AAAAAHvm9jI=")</f>
        <v>#VALUE!</v>
      </c>
      <c r="AZ189">
        <f>IF('STERLING CATALOG - DRY '!4211:4211,"AAAAAHvm9jM=",0)</f>
        <v>0</v>
      </c>
      <c r="BA189" t="e">
        <f>AND('STERLING CATALOG - DRY '!A4211,"AAAAAHvm9jQ=")</f>
        <v>#VALUE!</v>
      </c>
      <c r="BB189" t="e">
        <f>AND('STERLING CATALOG - DRY '!B4211,"AAAAAHvm9jU=")</f>
        <v>#VALUE!</v>
      </c>
      <c r="BC189" t="e">
        <f>AND('STERLING CATALOG - DRY '!C4211,"AAAAAHvm9jY=")</f>
        <v>#VALUE!</v>
      </c>
      <c r="BD189" t="e">
        <f>AND('STERLING CATALOG - DRY '!D4211,"AAAAAHvm9jc=")</f>
        <v>#VALUE!</v>
      </c>
      <c r="BE189" t="e">
        <f>AND('STERLING CATALOG - DRY '!E4211,"AAAAAHvm9jg=")</f>
        <v>#VALUE!</v>
      </c>
      <c r="BF189" t="e">
        <f>AND('STERLING CATALOG - DRY '!F4211,"AAAAAHvm9jk=")</f>
        <v>#VALUE!</v>
      </c>
      <c r="BG189" t="e">
        <f>AND('STERLING CATALOG - DRY '!G4211,"AAAAAHvm9jo=")</f>
        <v>#VALUE!</v>
      </c>
      <c r="BH189" t="e">
        <f>AND('STERLING CATALOG - DRY '!H4211,"AAAAAHvm9js=")</f>
        <v>#VALUE!</v>
      </c>
      <c r="BI189" t="e">
        <f>AND('STERLING CATALOG - DRY '!I4211,"AAAAAHvm9jw=")</f>
        <v>#VALUE!</v>
      </c>
      <c r="BJ189" t="e">
        <f>AND('STERLING CATALOG - DRY '!J4211,"AAAAAHvm9j0=")</f>
        <v>#VALUE!</v>
      </c>
      <c r="BK189">
        <f>IF('STERLING CATALOG - DRY '!4212:4212,"AAAAAHvm9j4=",0)</f>
        <v>0</v>
      </c>
      <c r="BL189" t="e">
        <f>AND('STERLING CATALOG - DRY '!A4212,"AAAAAHvm9j8=")</f>
        <v>#VALUE!</v>
      </c>
      <c r="BM189" t="e">
        <f>AND('STERLING CATALOG - DRY '!B4212,"AAAAAHvm9kA=")</f>
        <v>#VALUE!</v>
      </c>
      <c r="BN189" t="e">
        <f>AND('STERLING CATALOG - DRY '!C4212,"AAAAAHvm9kE=")</f>
        <v>#VALUE!</v>
      </c>
      <c r="BO189" t="e">
        <f>AND('STERLING CATALOG - DRY '!D4212,"AAAAAHvm9kI=")</f>
        <v>#VALUE!</v>
      </c>
      <c r="BP189" t="e">
        <f>AND('STERLING CATALOG - DRY '!E4212,"AAAAAHvm9kM=")</f>
        <v>#VALUE!</v>
      </c>
      <c r="BQ189" t="e">
        <f>AND('STERLING CATALOG - DRY '!F4212,"AAAAAHvm9kQ=")</f>
        <v>#VALUE!</v>
      </c>
      <c r="BR189" t="e">
        <f>AND('STERLING CATALOG - DRY '!G4212,"AAAAAHvm9kU=")</f>
        <v>#VALUE!</v>
      </c>
      <c r="BS189" t="e">
        <f>AND('STERLING CATALOG - DRY '!H4212,"AAAAAHvm9kY=")</f>
        <v>#VALUE!</v>
      </c>
      <c r="BT189" t="e">
        <f>AND('STERLING CATALOG - DRY '!I4212,"AAAAAHvm9kc=")</f>
        <v>#VALUE!</v>
      </c>
      <c r="BU189" t="e">
        <f>AND('STERLING CATALOG - DRY '!J4212,"AAAAAHvm9kg=")</f>
        <v>#VALUE!</v>
      </c>
      <c r="BV189">
        <f>IF('STERLING CATALOG - DRY '!4213:4213,"AAAAAHvm9kk=",0)</f>
        <v>0</v>
      </c>
      <c r="BW189" t="e">
        <f>AND('STERLING CATALOG - DRY '!A4213,"AAAAAHvm9ko=")</f>
        <v>#VALUE!</v>
      </c>
      <c r="BX189" t="e">
        <f>AND('STERLING CATALOG - DRY '!B4213,"AAAAAHvm9ks=")</f>
        <v>#VALUE!</v>
      </c>
      <c r="BY189" t="e">
        <f>AND('STERLING CATALOG - DRY '!C4213,"AAAAAHvm9kw=")</f>
        <v>#VALUE!</v>
      </c>
      <c r="BZ189" t="e">
        <f>AND('STERLING CATALOG - DRY '!D4213,"AAAAAHvm9k0=")</f>
        <v>#VALUE!</v>
      </c>
      <c r="CA189" t="e">
        <f>AND('STERLING CATALOG - DRY '!E4213,"AAAAAHvm9k4=")</f>
        <v>#VALUE!</v>
      </c>
      <c r="CB189" t="e">
        <f>AND('STERLING CATALOG - DRY '!F4213,"AAAAAHvm9k8=")</f>
        <v>#VALUE!</v>
      </c>
      <c r="CC189" t="e">
        <f>AND('STERLING CATALOG - DRY '!G4213,"AAAAAHvm9lA=")</f>
        <v>#VALUE!</v>
      </c>
      <c r="CD189" t="e">
        <f>AND('STERLING CATALOG - DRY '!H4213,"AAAAAHvm9lE=")</f>
        <v>#VALUE!</v>
      </c>
      <c r="CE189" t="e">
        <f>AND('STERLING CATALOG - DRY '!I4213,"AAAAAHvm9lI=")</f>
        <v>#VALUE!</v>
      </c>
      <c r="CF189" t="e">
        <f>AND('STERLING CATALOG - DRY '!J4213,"AAAAAHvm9lM=")</f>
        <v>#VALUE!</v>
      </c>
      <c r="CG189">
        <f>IF('STERLING CATALOG - DRY '!4214:4214,"AAAAAHvm9lQ=",0)</f>
        <v>0</v>
      </c>
      <c r="CH189" t="e">
        <f>AND('STERLING CATALOG - DRY '!A4214,"AAAAAHvm9lU=")</f>
        <v>#VALUE!</v>
      </c>
      <c r="CI189" t="e">
        <f>AND('STERLING CATALOG - DRY '!B4214,"AAAAAHvm9lY=")</f>
        <v>#VALUE!</v>
      </c>
      <c r="CJ189" t="e">
        <f>AND('STERLING CATALOG - DRY '!C4214,"AAAAAHvm9lc=")</f>
        <v>#VALUE!</v>
      </c>
      <c r="CK189" t="e">
        <f>AND('STERLING CATALOG - DRY '!D4214,"AAAAAHvm9lg=")</f>
        <v>#VALUE!</v>
      </c>
      <c r="CL189" t="e">
        <f>AND('STERLING CATALOG - DRY '!E4214,"AAAAAHvm9lk=")</f>
        <v>#VALUE!</v>
      </c>
      <c r="CM189" t="e">
        <f>AND('STERLING CATALOG - DRY '!F4214,"AAAAAHvm9lo=")</f>
        <v>#VALUE!</v>
      </c>
      <c r="CN189" t="e">
        <f>AND('STERLING CATALOG - DRY '!G4214,"AAAAAHvm9ls=")</f>
        <v>#VALUE!</v>
      </c>
      <c r="CO189" t="e">
        <f>AND('STERLING CATALOG - DRY '!H4214,"AAAAAHvm9lw=")</f>
        <v>#VALUE!</v>
      </c>
      <c r="CP189" t="e">
        <f>AND('STERLING CATALOG - DRY '!I4214,"AAAAAHvm9l0=")</f>
        <v>#VALUE!</v>
      </c>
      <c r="CQ189" t="e">
        <f>AND('STERLING CATALOG - DRY '!J4214,"AAAAAHvm9l4=")</f>
        <v>#VALUE!</v>
      </c>
      <c r="CR189">
        <f>IF('STERLING CATALOG - DRY '!4215:4215,"AAAAAHvm9l8=",0)</f>
        <v>0</v>
      </c>
      <c r="CS189" t="e">
        <f>AND('STERLING CATALOG - DRY '!A4215,"AAAAAHvm9mA=")</f>
        <v>#VALUE!</v>
      </c>
      <c r="CT189" t="e">
        <f>AND('STERLING CATALOG - DRY '!B4215,"AAAAAHvm9mE=")</f>
        <v>#VALUE!</v>
      </c>
      <c r="CU189" t="e">
        <f>AND('STERLING CATALOG - DRY '!C4215,"AAAAAHvm9mI=")</f>
        <v>#VALUE!</v>
      </c>
      <c r="CV189" t="e">
        <f>AND('STERLING CATALOG - DRY '!D4215,"AAAAAHvm9mM=")</f>
        <v>#VALUE!</v>
      </c>
      <c r="CW189" t="e">
        <f>AND('STERLING CATALOG - DRY '!E4215,"AAAAAHvm9mQ=")</f>
        <v>#VALUE!</v>
      </c>
      <c r="CX189" t="e">
        <f>AND('STERLING CATALOG - DRY '!F4215,"AAAAAHvm9mU=")</f>
        <v>#VALUE!</v>
      </c>
      <c r="CY189" t="e">
        <f>AND('STERLING CATALOG - DRY '!G4215,"AAAAAHvm9mY=")</f>
        <v>#VALUE!</v>
      </c>
      <c r="CZ189" t="e">
        <f>AND('STERLING CATALOG - DRY '!H4215,"AAAAAHvm9mc=")</f>
        <v>#VALUE!</v>
      </c>
      <c r="DA189" t="e">
        <f>AND('STERLING CATALOG - DRY '!I4215,"AAAAAHvm9mg=")</f>
        <v>#VALUE!</v>
      </c>
      <c r="DB189" t="e">
        <f>AND('STERLING CATALOG - DRY '!J4215,"AAAAAHvm9mk=")</f>
        <v>#VALUE!</v>
      </c>
      <c r="DC189">
        <f>IF('STERLING CATALOG - DRY '!4216:4216,"AAAAAHvm9mo=",0)</f>
        <v>0</v>
      </c>
      <c r="DD189" t="e">
        <f>AND('STERLING CATALOG - DRY '!A4216,"AAAAAHvm9ms=")</f>
        <v>#VALUE!</v>
      </c>
      <c r="DE189" t="e">
        <f>AND('STERLING CATALOG - DRY '!B4216,"AAAAAHvm9mw=")</f>
        <v>#VALUE!</v>
      </c>
      <c r="DF189" t="e">
        <f>AND('STERLING CATALOG - DRY '!C4216,"AAAAAHvm9m0=")</f>
        <v>#VALUE!</v>
      </c>
      <c r="DG189" t="e">
        <f>AND('STERLING CATALOG - DRY '!D4216,"AAAAAHvm9m4=")</f>
        <v>#VALUE!</v>
      </c>
      <c r="DH189" t="e">
        <f>AND('STERLING CATALOG - DRY '!E4216,"AAAAAHvm9m8=")</f>
        <v>#VALUE!</v>
      </c>
      <c r="DI189" t="e">
        <f>AND('STERLING CATALOG - DRY '!F4216,"AAAAAHvm9nA=")</f>
        <v>#VALUE!</v>
      </c>
      <c r="DJ189" t="e">
        <f>AND('STERLING CATALOG - DRY '!G4216,"AAAAAHvm9nE=")</f>
        <v>#VALUE!</v>
      </c>
      <c r="DK189" t="e">
        <f>AND('STERLING CATALOG - DRY '!H4216,"AAAAAHvm9nI=")</f>
        <v>#VALUE!</v>
      </c>
      <c r="DL189" t="e">
        <f>AND('STERLING CATALOG - DRY '!I4216,"AAAAAHvm9nM=")</f>
        <v>#VALUE!</v>
      </c>
      <c r="DM189" t="e">
        <f>AND('STERLING CATALOG - DRY '!J4216,"AAAAAHvm9nQ=")</f>
        <v>#VALUE!</v>
      </c>
      <c r="DN189">
        <f>IF('STERLING CATALOG - DRY '!4217:4217,"AAAAAHvm9nU=",0)</f>
        <v>0</v>
      </c>
      <c r="DO189" t="e">
        <f>AND('STERLING CATALOG - DRY '!A4217,"AAAAAHvm9nY=")</f>
        <v>#VALUE!</v>
      </c>
      <c r="DP189" t="e">
        <f>AND('STERLING CATALOG - DRY '!B4217,"AAAAAHvm9nc=")</f>
        <v>#VALUE!</v>
      </c>
      <c r="DQ189" t="e">
        <f>AND('STERLING CATALOG - DRY '!C4217,"AAAAAHvm9ng=")</f>
        <v>#VALUE!</v>
      </c>
      <c r="DR189" t="e">
        <f>AND('STERLING CATALOG - DRY '!D4217,"AAAAAHvm9nk=")</f>
        <v>#VALUE!</v>
      </c>
      <c r="DS189" t="e">
        <f>AND('STERLING CATALOG - DRY '!E4217,"AAAAAHvm9no=")</f>
        <v>#VALUE!</v>
      </c>
      <c r="DT189" t="e">
        <f>AND('STERLING CATALOG - DRY '!F4217,"AAAAAHvm9ns=")</f>
        <v>#VALUE!</v>
      </c>
      <c r="DU189" t="e">
        <f>AND('STERLING CATALOG - DRY '!G4217,"AAAAAHvm9nw=")</f>
        <v>#VALUE!</v>
      </c>
      <c r="DV189" t="e">
        <f>AND('STERLING CATALOG - DRY '!H4217,"AAAAAHvm9n0=")</f>
        <v>#VALUE!</v>
      </c>
      <c r="DW189" t="e">
        <f>AND('STERLING CATALOG - DRY '!I4217,"AAAAAHvm9n4=")</f>
        <v>#VALUE!</v>
      </c>
      <c r="DX189" t="e">
        <f>AND('STERLING CATALOG - DRY '!J4217,"AAAAAHvm9n8=")</f>
        <v>#VALUE!</v>
      </c>
      <c r="DY189">
        <f>IF('STERLING CATALOG - DRY '!4218:4218,"AAAAAHvm9oA=",0)</f>
        <v>0</v>
      </c>
      <c r="DZ189" t="e">
        <f>AND('STERLING CATALOG - DRY '!A4218,"AAAAAHvm9oE=")</f>
        <v>#VALUE!</v>
      </c>
      <c r="EA189" t="e">
        <f>AND('STERLING CATALOG - DRY '!B4218,"AAAAAHvm9oI=")</f>
        <v>#VALUE!</v>
      </c>
      <c r="EB189" t="e">
        <f>AND('STERLING CATALOG - DRY '!C4218,"AAAAAHvm9oM=")</f>
        <v>#VALUE!</v>
      </c>
      <c r="EC189" t="e">
        <f>AND('STERLING CATALOG - DRY '!D4218,"AAAAAHvm9oQ=")</f>
        <v>#VALUE!</v>
      </c>
      <c r="ED189" t="e">
        <f>AND('STERLING CATALOG - DRY '!E4218,"AAAAAHvm9oU=")</f>
        <v>#VALUE!</v>
      </c>
      <c r="EE189" t="e">
        <f>AND('STERLING CATALOG - DRY '!F4218,"AAAAAHvm9oY=")</f>
        <v>#VALUE!</v>
      </c>
      <c r="EF189" t="e">
        <f>AND('STERLING CATALOG - DRY '!G4218,"AAAAAHvm9oc=")</f>
        <v>#VALUE!</v>
      </c>
      <c r="EG189" t="e">
        <f>AND('STERLING CATALOG - DRY '!H4218,"AAAAAHvm9og=")</f>
        <v>#VALUE!</v>
      </c>
      <c r="EH189" t="e">
        <f>AND('STERLING CATALOG - DRY '!I4218,"AAAAAHvm9ok=")</f>
        <v>#VALUE!</v>
      </c>
      <c r="EI189" t="e">
        <f>AND('STERLING CATALOG - DRY '!J4218,"AAAAAHvm9oo=")</f>
        <v>#VALUE!</v>
      </c>
      <c r="EJ189">
        <f>IF('STERLING CATALOG - DRY '!4219:4219,"AAAAAHvm9os=",0)</f>
        <v>0</v>
      </c>
      <c r="EK189" t="e">
        <f>AND('STERLING CATALOG - DRY '!A4219,"AAAAAHvm9ow=")</f>
        <v>#VALUE!</v>
      </c>
      <c r="EL189" t="e">
        <f>AND('STERLING CATALOG - DRY '!B4219,"AAAAAHvm9o0=")</f>
        <v>#VALUE!</v>
      </c>
      <c r="EM189" t="e">
        <f>AND('STERLING CATALOG - DRY '!C4219,"AAAAAHvm9o4=")</f>
        <v>#VALUE!</v>
      </c>
      <c r="EN189" t="e">
        <f>AND('STERLING CATALOG - DRY '!D4219,"AAAAAHvm9o8=")</f>
        <v>#VALUE!</v>
      </c>
      <c r="EO189" t="e">
        <f>AND('STERLING CATALOG - DRY '!E4219,"AAAAAHvm9pA=")</f>
        <v>#VALUE!</v>
      </c>
      <c r="EP189" t="e">
        <f>AND('STERLING CATALOG - DRY '!F4219,"AAAAAHvm9pE=")</f>
        <v>#VALUE!</v>
      </c>
      <c r="EQ189" t="e">
        <f>AND('STERLING CATALOG - DRY '!G4219,"AAAAAHvm9pI=")</f>
        <v>#VALUE!</v>
      </c>
      <c r="ER189" t="e">
        <f>AND('STERLING CATALOG - DRY '!H4219,"AAAAAHvm9pM=")</f>
        <v>#VALUE!</v>
      </c>
      <c r="ES189" t="e">
        <f>AND('STERLING CATALOG - DRY '!I4219,"AAAAAHvm9pQ=")</f>
        <v>#VALUE!</v>
      </c>
      <c r="ET189" t="e">
        <f>AND('STERLING CATALOG - DRY '!J4219,"AAAAAHvm9pU=")</f>
        <v>#VALUE!</v>
      </c>
      <c r="EU189">
        <f>IF('STERLING CATALOG - DRY '!4220:4220,"AAAAAHvm9pY=",0)</f>
        <v>0</v>
      </c>
      <c r="EV189" t="e">
        <f>AND('STERLING CATALOG - DRY '!A4220,"AAAAAHvm9pc=")</f>
        <v>#VALUE!</v>
      </c>
      <c r="EW189" t="e">
        <f>AND('STERLING CATALOG - DRY '!B4220,"AAAAAHvm9pg=")</f>
        <v>#VALUE!</v>
      </c>
      <c r="EX189" t="e">
        <f>AND('STERLING CATALOG - DRY '!C4220,"AAAAAHvm9pk=")</f>
        <v>#VALUE!</v>
      </c>
      <c r="EY189" t="e">
        <f>AND('STERLING CATALOG - DRY '!D4220,"AAAAAHvm9po=")</f>
        <v>#VALUE!</v>
      </c>
      <c r="EZ189" t="e">
        <f>AND('STERLING CATALOG - DRY '!E4220,"AAAAAHvm9ps=")</f>
        <v>#VALUE!</v>
      </c>
      <c r="FA189" t="e">
        <f>AND('STERLING CATALOG - DRY '!F4220,"AAAAAHvm9pw=")</f>
        <v>#VALUE!</v>
      </c>
      <c r="FB189" t="e">
        <f>AND('STERLING CATALOG - DRY '!G4220,"AAAAAHvm9p0=")</f>
        <v>#VALUE!</v>
      </c>
      <c r="FC189" t="e">
        <f>AND('STERLING CATALOG - DRY '!H4220,"AAAAAHvm9p4=")</f>
        <v>#VALUE!</v>
      </c>
      <c r="FD189" t="e">
        <f>AND('STERLING CATALOG - DRY '!I4220,"AAAAAHvm9p8=")</f>
        <v>#VALUE!</v>
      </c>
      <c r="FE189" t="e">
        <f>AND('STERLING CATALOG - DRY '!J4220,"AAAAAHvm9qA=")</f>
        <v>#VALUE!</v>
      </c>
      <c r="FF189">
        <f>IF('STERLING CATALOG - DRY '!4221:4221,"AAAAAHvm9qE=",0)</f>
        <v>0</v>
      </c>
      <c r="FG189" t="e">
        <f>AND('STERLING CATALOG - DRY '!A4221,"AAAAAHvm9qI=")</f>
        <v>#VALUE!</v>
      </c>
      <c r="FH189" t="e">
        <f>AND('STERLING CATALOG - DRY '!B4221,"AAAAAHvm9qM=")</f>
        <v>#VALUE!</v>
      </c>
      <c r="FI189" t="e">
        <f>AND('STERLING CATALOG - DRY '!C4221,"AAAAAHvm9qQ=")</f>
        <v>#VALUE!</v>
      </c>
      <c r="FJ189" t="e">
        <f>AND('STERLING CATALOG - DRY '!D4221,"AAAAAHvm9qU=")</f>
        <v>#VALUE!</v>
      </c>
      <c r="FK189" t="e">
        <f>AND('STERLING CATALOG - DRY '!E4221,"AAAAAHvm9qY=")</f>
        <v>#VALUE!</v>
      </c>
      <c r="FL189" t="e">
        <f>AND('STERLING CATALOG - DRY '!F4221,"AAAAAHvm9qc=")</f>
        <v>#VALUE!</v>
      </c>
      <c r="FM189" t="e">
        <f>AND('STERLING CATALOG - DRY '!G4221,"AAAAAHvm9qg=")</f>
        <v>#VALUE!</v>
      </c>
      <c r="FN189" t="e">
        <f>AND('STERLING CATALOG - DRY '!H4221,"AAAAAHvm9qk=")</f>
        <v>#VALUE!</v>
      </c>
      <c r="FO189" t="e">
        <f>AND('STERLING CATALOG - DRY '!I4221,"AAAAAHvm9qo=")</f>
        <v>#VALUE!</v>
      </c>
      <c r="FP189" t="e">
        <f>AND('STERLING CATALOG - DRY '!J4221,"AAAAAHvm9qs=")</f>
        <v>#VALUE!</v>
      </c>
      <c r="FQ189">
        <f>IF('STERLING CATALOG - DRY '!4222:4222,"AAAAAHvm9qw=",0)</f>
        <v>0</v>
      </c>
      <c r="FR189" t="e">
        <f>AND('STERLING CATALOG - DRY '!A4222,"AAAAAHvm9q0=")</f>
        <v>#VALUE!</v>
      </c>
      <c r="FS189" t="e">
        <f>AND('STERLING CATALOG - DRY '!B4222,"AAAAAHvm9q4=")</f>
        <v>#VALUE!</v>
      </c>
      <c r="FT189" t="e">
        <f>AND('STERLING CATALOG - DRY '!C4222,"AAAAAHvm9q8=")</f>
        <v>#VALUE!</v>
      </c>
      <c r="FU189" t="e">
        <f>AND('STERLING CATALOG - DRY '!D4222,"AAAAAHvm9rA=")</f>
        <v>#VALUE!</v>
      </c>
      <c r="FV189" t="e">
        <f>AND('STERLING CATALOG - DRY '!E4222,"AAAAAHvm9rE=")</f>
        <v>#VALUE!</v>
      </c>
      <c r="FW189" t="e">
        <f>AND('STERLING CATALOG - DRY '!F4222,"AAAAAHvm9rI=")</f>
        <v>#VALUE!</v>
      </c>
      <c r="FX189" t="e">
        <f>AND('STERLING CATALOG - DRY '!G4222,"AAAAAHvm9rM=")</f>
        <v>#VALUE!</v>
      </c>
      <c r="FY189" t="e">
        <f>AND('STERLING CATALOG - DRY '!H4222,"AAAAAHvm9rQ=")</f>
        <v>#VALUE!</v>
      </c>
      <c r="FZ189" t="e">
        <f>AND('STERLING CATALOG - DRY '!I4222,"AAAAAHvm9rU=")</f>
        <v>#VALUE!</v>
      </c>
      <c r="GA189" t="e">
        <f>AND('STERLING CATALOG - DRY '!J4222,"AAAAAHvm9rY=")</f>
        <v>#VALUE!</v>
      </c>
      <c r="GB189">
        <f>IF('STERLING CATALOG - DRY '!4223:4223,"AAAAAHvm9rc=",0)</f>
        <v>0</v>
      </c>
      <c r="GC189" t="e">
        <f>AND('STERLING CATALOG - DRY '!A4223,"AAAAAHvm9rg=")</f>
        <v>#VALUE!</v>
      </c>
      <c r="GD189" t="e">
        <f>AND('STERLING CATALOG - DRY '!B4223,"AAAAAHvm9rk=")</f>
        <v>#VALUE!</v>
      </c>
      <c r="GE189" t="e">
        <f>AND('STERLING CATALOG - DRY '!C4223,"AAAAAHvm9ro=")</f>
        <v>#VALUE!</v>
      </c>
      <c r="GF189" t="e">
        <f>AND('STERLING CATALOG - DRY '!D4223,"AAAAAHvm9rs=")</f>
        <v>#VALUE!</v>
      </c>
      <c r="GG189" t="e">
        <f>AND('STERLING CATALOG - DRY '!E4223,"AAAAAHvm9rw=")</f>
        <v>#VALUE!</v>
      </c>
      <c r="GH189" t="e">
        <f>AND('STERLING CATALOG - DRY '!F4223,"AAAAAHvm9r0=")</f>
        <v>#VALUE!</v>
      </c>
      <c r="GI189" t="e">
        <f>AND('STERLING CATALOG - DRY '!G4223,"AAAAAHvm9r4=")</f>
        <v>#VALUE!</v>
      </c>
      <c r="GJ189" t="e">
        <f>AND('STERLING CATALOG - DRY '!H4223,"AAAAAHvm9r8=")</f>
        <v>#VALUE!</v>
      </c>
      <c r="GK189" t="e">
        <f>AND('STERLING CATALOG - DRY '!I4223,"AAAAAHvm9sA=")</f>
        <v>#VALUE!</v>
      </c>
      <c r="GL189" t="e">
        <f>AND('STERLING CATALOG - DRY '!J4223,"AAAAAHvm9sE=")</f>
        <v>#VALUE!</v>
      </c>
      <c r="GM189">
        <f>IF('STERLING CATALOG - DRY '!4224:4224,"AAAAAHvm9sI=",0)</f>
        <v>0</v>
      </c>
      <c r="GN189" t="e">
        <f>AND('STERLING CATALOG - DRY '!A4224,"AAAAAHvm9sM=")</f>
        <v>#VALUE!</v>
      </c>
      <c r="GO189" t="e">
        <f>AND('STERLING CATALOG - DRY '!B4224,"AAAAAHvm9sQ=")</f>
        <v>#VALUE!</v>
      </c>
      <c r="GP189" t="e">
        <f>AND('STERLING CATALOG - DRY '!C4224,"AAAAAHvm9sU=")</f>
        <v>#VALUE!</v>
      </c>
      <c r="GQ189" t="e">
        <f>AND('STERLING CATALOG - DRY '!D4224,"AAAAAHvm9sY=")</f>
        <v>#VALUE!</v>
      </c>
      <c r="GR189" t="e">
        <f>AND('STERLING CATALOG - DRY '!E4224,"AAAAAHvm9sc=")</f>
        <v>#VALUE!</v>
      </c>
      <c r="GS189" t="e">
        <f>AND('STERLING CATALOG - DRY '!F4224,"AAAAAHvm9sg=")</f>
        <v>#VALUE!</v>
      </c>
      <c r="GT189" t="e">
        <f>AND('STERLING CATALOG - DRY '!G4224,"AAAAAHvm9sk=")</f>
        <v>#VALUE!</v>
      </c>
      <c r="GU189" t="e">
        <f>AND('STERLING CATALOG - DRY '!H4224,"AAAAAHvm9so=")</f>
        <v>#VALUE!</v>
      </c>
      <c r="GV189" t="e">
        <f>AND('STERLING CATALOG - DRY '!I4224,"AAAAAHvm9ss=")</f>
        <v>#VALUE!</v>
      </c>
      <c r="GW189" t="e">
        <f>AND('STERLING CATALOG - DRY '!J4224,"AAAAAHvm9sw=")</f>
        <v>#VALUE!</v>
      </c>
      <c r="GX189">
        <f>IF('STERLING CATALOG - DRY '!4225:4225,"AAAAAHvm9s0=",0)</f>
        <v>0</v>
      </c>
      <c r="GY189" t="e">
        <f>AND('STERLING CATALOG - DRY '!A4225,"AAAAAHvm9s4=")</f>
        <v>#VALUE!</v>
      </c>
      <c r="GZ189" t="e">
        <f>AND('STERLING CATALOG - DRY '!B4225,"AAAAAHvm9s8=")</f>
        <v>#VALUE!</v>
      </c>
      <c r="HA189" t="e">
        <f>AND('STERLING CATALOG - DRY '!C4225,"AAAAAHvm9tA=")</f>
        <v>#VALUE!</v>
      </c>
      <c r="HB189" t="e">
        <f>AND('STERLING CATALOG - DRY '!D4225,"AAAAAHvm9tE=")</f>
        <v>#VALUE!</v>
      </c>
      <c r="HC189" t="e">
        <f>AND('STERLING CATALOG - DRY '!E4225,"AAAAAHvm9tI=")</f>
        <v>#VALUE!</v>
      </c>
      <c r="HD189" t="e">
        <f>AND('STERLING CATALOG - DRY '!F4225,"AAAAAHvm9tM=")</f>
        <v>#VALUE!</v>
      </c>
      <c r="HE189" t="e">
        <f>AND('STERLING CATALOG - DRY '!G4225,"AAAAAHvm9tQ=")</f>
        <v>#VALUE!</v>
      </c>
      <c r="HF189" t="e">
        <f>AND('STERLING CATALOG - DRY '!H4225,"AAAAAHvm9tU=")</f>
        <v>#VALUE!</v>
      </c>
      <c r="HG189" t="e">
        <f>AND('STERLING CATALOG - DRY '!I4225,"AAAAAHvm9tY=")</f>
        <v>#VALUE!</v>
      </c>
      <c r="HH189" t="e">
        <f>AND('STERLING CATALOG - DRY '!J4225,"AAAAAHvm9tc=")</f>
        <v>#VALUE!</v>
      </c>
      <c r="HI189">
        <f>IF('STERLING CATALOG - DRY '!4226:4226,"AAAAAHvm9tg=",0)</f>
        <v>0</v>
      </c>
      <c r="HJ189" t="e">
        <f>AND('STERLING CATALOG - DRY '!A4226,"AAAAAHvm9tk=")</f>
        <v>#VALUE!</v>
      </c>
      <c r="HK189" t="e">
        <f>AND('STERLING CATALOG - DRY '!B4226,"AAAAAHvm9to=")</f>
        <v>#VALUE!</v>
      </c>
      <c r="HL189" t="e">
        <f>AND('STERLING CATALOG - DRY '!C4226,"AAAAAHvm9ts=")</f>
        <v>#VALUE!</v>
      </c>
      <c r="HM189" t="e">
        <f>AND('STERLING CATALOG - DRY '!D4226,"AAAAAHvm9tw=")</f>
        <v>#VALUE!</v>
      </c>
      <c r="HN189" t="e">
        <f>AND('STERLING CATALOG - DRY '!E4226,"AAAAAHvm9t0=")</f>
        <v>#VALUE!</v>
      </c>
      <c r="HO189" t="e">
        <f>AND('STERLING CATALOG - DRY '!F4226,"AAAAAHvm9t4=")</f>
        <v>#VALUE!</v>
      </c>
      <c r="HP189" t="e">
        <f>AND('STERLING CATALOG - DRY '!G4226,"AAAAAHvm9t8=")</f>
        <v>#VALUE!</v>
      </c>
      <c r="HQ189" t="e">
        <f>AND('STERLING CATALOG - DRY '!H4226,"AAAAAHvm9uA=")</f>
        <v>#VALUE!</v>
      </c>
      <c r="HR189" t="e">
        <f>AND('STERLING CATALOG - DRY '!I4226,"AAAAAHvm9uE=")</f>
        <v>#VALUE!</v>
      </c>
      <c r="HS189" t="e">
        <f>AND('STERLING CATALOG - DRY '!J4226,"AAAAAHvm9uI=")</f>
        <v>#VALUE!</v>
      </c>
      <c r="HT189">
        <f>IF('STERLING CATALOG - DRY '!4227:4227,"AAAAAHvm9uM=",0)</f>
        <v>0</v>
      </c>
      <c r="HU189" t="e">
        <f>AND('STERLING CATALOG - DRY '!A4227,"AAAAAHvm9uQ=")</f>
        <v>#VALUE!</v>
      </c>
      <c r="HV189" t="e">
        <f>AND('STERLING CATALOG - DRY '!B4227,"AAAAAHvm9uU=")</f>
        <v>#VALUE!</v>
      </c>
      <c r="HW189" t="e">
        <f>AND('STERLING CATALOG - DRY '!C4227,"AAAAAHvm9uY=")</f>
        <v>#VALUE!</v>
      </c>
      <c r="HX189" t="e">
        <f>AND('STERLING CATALOG - DRY '!D4227,"AAAAAHvm9uc=")</f>
        <v>#VALUE!</v>
      </c>
      <c r="HY189" t="e">
        <f>AND('STERLING CATALOG - DRY '!E4227,"AAAAAHvm9ug=")</f>
        <v>#VALUE!</v>
      </c>
      <c r="HZ189" t="e">
        <f>AND('STERLING CATALOG - DRY '!F4227,"AAAAAHvm9uk=")</f>
        <v>#VALUE!</v>
      </c>
      <c r="IA189" t="e">
        <f>AND('STERLING CATALOG - DRY '!G4227,"AAAAAHvm9uo=")</f>
        <v>#VALUE!</v>
      </c>
      <c r="IB189" t="e">
        <f>AND('STERLING CATALOG - DRY '!H4227,"AAAAAHvm9us=")</f>
        <v>#VALUE!</v>
      </c>
      <c r="IC189" t="e">
        <f>AND('STERLING CATALOG - DRY '!I4227,"AAAAAHvm9uw=")</f>
        <v>#VALUE!</v>
      </c>
      <c r="ID189" t="e">
        <f>AND('STERLING CATALOG - DRY '!J4227,"AAAAAHvm9u0=")</f>
        <v>#VALUE!</v>
      </c>
      <c r="IE189">
        <f>IF('STERLING CATALOG - DRY '!4228:4228,"AAAAAHvm9u4=",0)</f>
        <v>0</v>
      </c>
      <c r="IF189" t="e">
        <f>AND('STERLING CATALOG - DRY '!A4228,"AAAAAHvm9u8=")</f>
        <v>#VALUE!</v>
      </c>
      <c r="IG189" t="e">
        <f>AND('STERLING CATALOG - DRY '!B4228,"AAAAAHvm9vA=")</f>
        <v>#VALUE!</v>
      </c>
      <c r="IH189" t="e">
        <f>AND('STERLING CATALOG - DRY '!C4228,"AAAAAHvm9vE=")</f>
        <v>#VALUE!</v>
      </c>
      <c r="II189" t="e">
        <f>AND('STERLING CATALOG - DRY '!D4228,"AAAAAHvm9vI=")</f>
        <v>#VALUE!</v>
      </c>
      <c r="IJ189" t="e">
        <f>AND('STERLING CATALOG - DRY '!E4228,"AAAAAHvm9vM=")</f>
        <v>#VALUE!</v>
      </c>
      <c r="IK189" t="e">
        <f>AND('STERLING CATALOG - DRY '!F4228,"AAAAAHvm9vQ=")</f>
        <v>#VALUE!</v>
      </c>
      <c r="IL189" t="e">
        <f>AND('STERLING CATALOG - DRY '!G4228,"AAAAAHvm9vU=")</f>
        <v>#VALUE!</v>
      </c>
      <c r="IM189" t="e">
        <f>AND('STERLING CATALOG - DRY '!H4228,"AAAAAHvm9vY=")</f>
        <v>#VALUE!</v>
      </c>
      <c r="IN189" t="e">
        <f>AND('STERLING CATALOG - DRY '!I4228,"AAAAAHvm9vc=")</f>
        <v>#VALUE!</v>
      </c>
      <c r="IO189" t="e">
        <f>AND('STERLING CATALOG - DRY '!J4228,"AAAAAHvm9vg=")</f>
        <v>#VALUE!</v>
      </c>
      <c r="IP189">
        <f>IF('STERLING CATALOG - DRY '!4229:4229,"AAAAAHvm9vk=",0)</f>
        <v>0</v>
      </c>
      <c r="IQ189" t="e">
        <f>AND('STERLING CATALOG - DRY '!A4229,"AAAAAHvm9vo=")</f>
        <v>#VALUE!</v>
      </c>
      <c r="IR189" t="e">
        <f>AND('STERLING CATALOG - DRY '!B4229,"AAAAAHvm9vs=")</f>
        <v>#VALUE!</v>
      </c>
      <c r="IS189" t="e">
        <f>AND('STERLING CATALOG - DRY '!C4229,"AAAAAHvm9vw=")</f>
        <v>#VALUE!</v>
      </c>
      <c r="IT189" t="e">
        <f>AND('STERLING CATALOG - DRY '!D4229,"AAAAAHvm9v0=")</f>
        <v>#VALUE!</v>
      </c>
      <c r="IU189" t="e">
        <f>AND('STERLING CATALOG - DRY '!E4229,"AAAAAHvm9v4=")</f>
        <v>#VALUE!</v>
      </c>
      <c r="IV189" t="e">
        <f>AND('STERLING CATALOG - DRY '!F4229,"AAAAAHvm9v8=")</f>
        <v>#VALUE!</v>
      </c>
    </row>
    <row r="190" spans="1:256">
      <c r="A190" t="e">
        <f>AND('STERLING CATALOG - DRY '!G4229,"AAAAAHb3vwA=")</f>
        <v>#VALUE!</v>
      </c>
      <c r="B190" t="e">
        <f>AND('STERLING CATALOG - DRY '!H4229,"AAAAAHb3vwE=")</f>
        <v>#VALUE!</v>
      </c>
      <c r="C190" t="e">
        <f>AND('STERLING CATALOG - DRY '!I4229,"AAAAAHb3vwI=")</f>
        <v>#VALUE!</v>
      </c>
      <c r="D190" t="e">
        <f>AND('STERLING CATALOG - DRY '!J4229,"AAAAAHb3vwM=")</f>
        <v>#VALUE!</v>
      </c>
      <c r="E190" t="e">
        <f>IF('STERLING CATALOG - DRY '!4230:4230,"AAAAAHb3vwQ=",0)</f>
        <v>#VALUE!</v>
      </c>
      <c r="F190" t="e">
        <f>AND('STERLING CATALOG - DRY '!A4230,"AAAAAHb3vwU=")</f>
        <v>#VALUE!</v>
      </c>
      <c r="G190" t="e">
        <f>AND('STERLING CATALOG - DRY '!B4230,"AAAAAHb3vwY=")</f>
        <v>#VALUE!</v>
      </c>
      <c r="H190" t="e">
        <f>AND('STERLING CATALOG - DRY '!C4230,"AAAAAHb3vwc=")</f>
        <v>#VALUE!</v>
      </c>
      <c r="I190" t="e">
        <f>AND('STERLING CATALOG - DRY '!D4230,"AAAAAHb3vwg=")</f>
        <v>#VALUE!</v>
      </c>
      <c r="J190" t="e">
        <f>AND('STERLING CATALOG - DRY '!E4230,"AAAAAHb3vwk=")</f>
        <v>#VALUE!</v>
      </c>
      <c r="K190" t="e">
        <f>AND('STERLING CATALOG - DRY '!F4230,"AAAAAHb3vwo=")</f>
        <v>#VALUE!</v>
      </c>
      <c r="L190" t="e">
        <f>AND('STERLING CATALOG - DRY '!G4230,"AAAAAHb3vws=")</f>
        <v>#VALUE!</v>
      </c>
      <c r="M190" t="e">
        <f>AND('STERLING CATALOG - DRY '!H4230,"AAAAAHb3vww=")</f>
        <v>#VALUE!</v>
      </c>
      <c r="N190" t="e">
        <f>AND('STERLING CATALOG - DRY '!I4230,"AAAAAHb3vw0=")</f>
        <v>#VALUE!</v>
      </c>
      <c r="O190" t="e">
        <f>AND('STERLING CATALOG - DRY '!J4230,"AAAAAHb3vw4=")</f>
        <v>#VALUE!</v>
      </c>
      <c r="P190">
        <f>IF('STERLING CATALOG - DRY '!4231:4231,"AAAAAHb3vw8=",0)</f>
        <v>0</v>
      </c>
      <c r="Q190" t="e">
        <f>AND('STERLING CATALOG - DRY '!A4231,"AAAAAHb3vxA=")</f>
        <v>#VALUE!</v>
      </c>
      <c r="R190" t="e">
        <f>AND('STERLING CATALOG - DRY '!B4231,"AAAAAHb3vxE=")</f>
        <v>#VALUE!</v>
      </c>
      <c r="S190" t="e">
        <f>AND('STERLING CATALOG - DRY '!C4231,"AAAAAHb3vxI=")</f>
        <v>#VALUE!</v>
      </c>
      <c r="T190" t="e">
        <f>AND('STERLING CATALOG - DRY '!D4231,"AAAAAHb3vxM=")</f>
        <v>#VALUE!</v>
      </c>
      <c r="U190" t="e">
        <f>AND('STERLING CATALOG - DRY '!E4231,"AAAAAHb3vxQ=")</f>
        <v>#VALUE!</v>
      </c>
      <c r="V190" t="e">
        <f>AND('STERLING CATALOG - DRY '!F4231,"AAAAAHb3vxU=")</f>
        <v>#VALUE!</v>
      </c>
      <c r="W190" t="e">
        <f>AND('STERLING CATALOG - DRY '!G4231,"AAAAAHb3vxY=")</f>
        <v>#VALUE!</v>
      </c>
      <c r="X190" t="e">
        <f>AND('STERLING CATALOG - DRY '!H4231,"AAAAAHb3vxc=")</f>
        <v>#VALUE!</v>
      </c>
      <c r="Y190" t="e">
        <f>AND('STERLING CATALOG - DRY '!I4231,"AAAAAHb3vxg=")</f>
        <v>#VALUE!</v>
      </c>
      <c r="Z190" t="e">
        <f>AND('STERLING CATALOG - DRY '!J4231,"AAAAAHb3vxk=")</f>
        <v>#VALUE!</v>
      </c>
      <c r="AA190">
        <f>IF('STERLING CATALOG - DRY '!4232:4232,"AAAAAHb3vxo=",0)</f>
        <v>0</v>
      </c>
      <c r="AB190" t="e">
        <f>AND('STERLING CATALOG - DRY '!A4232,"AAAAAHb3vxs=")</f>
        <v>#VALUE!</v>
      </c>
      <c r="AC190" t="e">
        <f>AND('STERLING CATALOG - DRY '!B4232,"AAAAAHb3vxw=")</f>
        <v>#VALUE!</v>
      </c>
      <c r="AD190" t="e">
        <f>AND('STERLING CATALOG - DRY '!C4232,"AAAAAHb3vx0=")</f>
        <v>#VALUE!</v>
      </c>
      <c r="AE190" t="e">
        <f>AND('STERLING CATALOG - DRY '!D4232,"AAAAAHb3vx4=")</f>
        <v>#VALUE!</v>
      </c>
      <c r="AF190" t="e">
        <f>AND('STERLING CATALOG - DRY '!E4232,"AAAAAHb3vx8=")</f>
        <v>#VALUE!</v>
      </c>
      <c r="AG190" t="e">
        <f>AND('STERLING CATALOG - DRY '!F4232,"AAAAAHb3vyA=")</f>
        <v>#VALUE!</v>
      </c>
      <c r="AH190" t="e">
        <f>AND('STERLING CATALOG - DRY '!G4232,"AAAAAHb3vyE=")</f>
        <v>#VALUE!</v>
      </c>
      <c r="AI190" t="e">
        <f>AND('STERLING CATALOG - DRY '!H4232,"AAAAAHb3vyI=")</f>
        <v>#VALUE!</v>
      </c>
      <c r="AJ190" t="e">
        <f>AND('STERLING CATALOG - DRY '!I4232,"AAAAAHb3vyM=")</f>
        <v>#VALUE!</v>
      </c>
      <c r="AK190" t="e">
        <f>AND('STERLING CATALOG - DRY '!J4232,"AAAAAHb3vyQ=")</f>
        <v>#VALUE!</v>
      </c>
      <c r="AL190">
        <f>IF('STERLING CATALOG - DRY '!4233:4233,"AAAAAHb3vyU=",0)</f>
        <v>0</v>
      </c>
      <c r="AM190" t="e">
        <f>AND('STERLING CATALOG - DRY '!A4233,"AAAAAHb3vyY=")</f>
        <v>#VALUE!</v>
      </c>
      <c r="AN190" t="e">
        <f>AND('STERLING CATALOG - DRY '!B4233,"AAAAAHb3vyc=")</f>
        <v>#VALUE!</v>
      </c>
      <c r="AO190" t="e">
        <f>AND('STERLING CATALOG - DRY '!C4233,"AAAAAHb3vyg=")</f>
        <v>#VALUE!</v>
      </c>
      <c r="AP190" t="e">
        <f>AND('STERLING CATALOG - DRY '!D4233,"AAAAAHb3vyk=")</f>
        <v>#VALUE!</v>
      </c>
      <c r="AQ190" t="e">
        <f>AND('STERLING CATALOG - DRY '!E4233,"AAAAAHb3vyo=")</f>
        <v>#VALUE!</v>
      </c>
      <c r="AR190" t="e">
        <f>AND('STERLING CATALOG - DRY '!F4233,"AAAAAHb3vys=")</f>
        <v>#VALUE!</v>
      </c>
      <c r="AS190" t="e">
        <f>AND('STERLING CATALOG - DRY '!G4233,"AAAAAHb3vyw=")</f>
        <v>#VALUE!</v>
      </c>
      <c r="AT190" t="e">
        <f>AND('STERLING CATALOG - DRY '!H4233,"AAAAAHb3vy0=")</f>
        <v>#VALUE!</v>
      </c>
      <c r="AU190" t="e">
        <f>AND('STERLING CATALOG - DRY '!I4233,"AAAAAHb3vy4=")</f>
        <v>#VALUE!</v>
      </c>
      <c r="AV190" t="e">
        <f>AND('STERLING CATALOG - DRY '!J4233,"AAAAAHb3vy8=")</f>
        <v>#VALUE!</v>
      </c>
      <c r="AW190">
        <f>IF('STERLING CATALOG - DRY '!4234:4234,"AAAAAHb3vzA=",0)</f>
        <v>0</v>
      </c>
      <c r="AX190" t="e">
        <f>AND('STERLING CATALOG - DRY '!A4234,"AAAAAHb3vzE=")</f>
        <v>#VALUE!</v>
      </c>
      <c r="AY190" t="e">
        <f>AND('STERLING CATALOG - DRY '!B4234,"AAAAAHb3vzI=")</f>
        <v>#VALUE!</v>
      </c>
      <c r="AZ190" t="e">
        <f>AND('STERLING CATALOG - DRY '!C4234,"AAAAAHb3vzM=")</f>
        <v>#VALUE!</v>
      </c>
      <c r="BA190" t="e">
        <f>AND('STERLING CATALOG - DRY '!D4234,"AAAAAHb3vzQ=")</f>
        <v>#VALUE!</v>
      </c>
      <c r="BB190" t="e">
        <f>AND('STERLING CATALOG - DRY '!E4234,"AAAAAHb3vzU=")</f>
        <v>#VALUE!</v>
      </c>
      <c r="BC190" t="e">
        <f>AND('STERLING CATALOG - DRY '!F4234,"AAAAAHb3vzY=")</f>
        <v>#VALUE!</v>
      </c>
      <c r="BD190" t="e">
        <f>AND('STERLING CATALOG - DRY '!G4234,"AAAAAHb3vzc=")</f>
        <v>#VALUE!</v>
      </c>
      <c r="BE190" t="e">
        <f>AND('STERLING CATALOG - DRY '!H4234,"AAAAAHb3vzg=")</f>
        <v>#VALUE!</v>
      </c>
      <c r="BF190" t="e">
        <f>AND('STERLING CATALOG - DRY '!I4234,"AAAAAHb3vzk=")</f>
        <v>#VALUE!</v>
      </c>
      <c r="BG190" t="e">
        <f>AND('STERLING CATALOG - DRY '!J4234,"AAAAAHb3vzo=")</f>
        <v>#VALUE!</v>
      </c>
      <c r="BH190">
        <f>IF('STERLING CATALOG - DRY '!4235:4235,"AAAAAHb3vzs=",0)</f>
        <v>0</v>
      </c>
      <c r="BI190" t="e">
        <f>AND('STERLING CATALOG - DRY '!A4235,"AAAAAHb3vzw=")</f>
        <v>#VALUE!</v>
      </c>
      <c r="BJ190" t="e">
        <f>AND('STERLING CATALOG - DRY '!B4235,"AAAAAHb3vz0=")</f>
        <v>#VALUE!</v>
      </c>
      <c r="BK190" t="e">
        <f>AND('STERLING CATALOG - DRY '!C4235,"AAAAAHb3vz4=")</f>
        <v>#VALUE!</v>
      </c>
      <c r="BL190" t="e">
        <f>AND('STERLING CATALOG - DRY '!D4235,"AAAAAHb3vz8=")</f>
        <v>#VALUE!</v>
      </c>
      <c r="BM190" t="e">
        <f>AND('STERLING CATALOG - DRY '!E4235,"AAAAAHb3v0A=")</f>
        <v>#VALUE!</v>
      </c>
      <c r="BN190" t="e">
        <f>AND('STERLING CATALOG - DRY '!F4235,"AAAAAHb3v0E=")</f>
        <v>#VALUE!</v>
      </c>
      <c r="BO190" t="e">
        <f>AND('STERLING CATALOG - DRY '!G4235,"AAAAAHb3v0I=")</f>
        <v>#VALUE!</v>
      </c>
      <c r="BP190" t="e">
        <f>AND('STERLING CATALOG - DRY '!H4235,"AAAAAHb3v0M=")</f>
        <v>#VALUE!</v>
      </c>
      <c r="BQ190" t="e">
        <f>AND('STERLING CATALOG - DRY '!I4235,"AAAAAHb3v0Q=")</f>
        <v>#VALUE!</v>
      </c>
      <c r="BR190" t="e">
        <f>AND('STERLING CATALOG - DRY '!J4235,"AAAAAHb3v0U=")</f>
        <v>#VALUE!</v>
      </c>
      <c r="BS190">
        <f>IF('STERLING CATALOG - DRY '!4236:4236,"AAAAAHb3v0Y=",0)</f>
        <v>0</v>
      </c>
      <c r="BT190" t="e">
        <f>AND('STERLING CATALOG - DRY '!A4236,"AAAAAHb3v0c=")</f>
        <v>#VALUE!</v>
      </c>
      <c r="BU190" t="e">
        <f>AND('STERLING CATALOG - DRY '!B4236,"AAAAAHb3v0g=")</f>
        <v>#VALUE!</v>
      </c>
      <c r="BV190" t="e">
        <f>AND('STERLING CATALOG - DRY '!C4236,"AAAAAHb3v0k=")</f>
        <v>#VALUE!</v>
      </c>
      <c r="BW190" t="e">
        <f>AND('STERLING CATALOG - DRY '!D4236,"AAAAAHb3v0o=")</f>
        <v>#VALUE!</v>
      </c>
      <c r="BX190" t="e">
        <f>AND('STERLING CATALOG - DRY '!E4236,"AAAAAHb3v0s=")</f>
        <v>#VALUE!</v>
      </c>
      <c r="BY190" t="e">
        <f>AND('STERLING CATALOG - DRY '!F4236,"AAAAAHb3v0w=")</f>
        <v>#VALUE!</v>
      </c>
      <c r="BZ190" t="e">
        <f>AND('STERLING CATALOG - DRY '!G4236,"AAAAAHb3v00=")</f>
        <v>#VALUE!</v>
      </c>
      <c r="CA190" t="e">
        <f>AND('STERLING CATALOG - DRY '!H4236,"AAAAAHb3v04=")</f>
        <v>#VALUE!</v>
      </c>
      <c r="CB190" t="e">
        <f>AND('STERLING CATALOG - DRY '!I4236,"AAAAAHb3v08=")</f>
        <v>#VALUE!</v>
      </c>
      <c r="CC190" t="e">
        <f>AND('STERLING CATALOG - DRY '!J4236,"AAAAAHb3v1A=")</f>
        <v>#VALUE!</v>
      </c>
      <c r="CD190">
        <f>IF('STERLING CATALOG - DRY '!4237:4237,"AAAAAHb3v1E=",0)</f>
        <v>0</v>
      </c>
      <c r="CE190" t="e">
        <f>AND('STERLING CATALOG - DRY '!A4237,"AAAAAHb3v1I=")</f>
        <v>#VALUE!</v>
      </c>
      <c r="CF190" t="e">
        <f>AND('STERLING CATALOG - DRY '!B4237,"AAAAAHb3v1M=")</f>
        <v>#VALUE!</v>
      </c>
      <c r="CG190" t="e">
        <f>AND('STERLING CATALOG - DRY '!C4237,"AAAAAHb3v1Q=")</f>
        <v>#VALUE!</v>
      </c>
      <c r="CH190" t="e">
        <f>AND('STERLING CATALOG - DRY '!D4237,"AAAAAHb3v1U=")</f>
        <v>#VALUE!</v>
      </c>
      <c r="CI190" t="e">
        <f>AND('STERLING CATALOG - DRY '!E4237,"AAAAAHb3v1Y=")</f>
        <v>#VALUE!</v>
      </c>
      <c r="CJ190" t="e">
        <f>AND('STERLING CATALOG - DRY '!F4237,"AAAAAHb3v1c=")</f>
        <v>#VALUE!</v>
      </c>
      <c r="CK190" t="e">
        <f>AND('STERLING CATALOG - DRY '!G4237,"AAAAAHb3v1g=")</f>
        <v>#VALUE!</v>
      </c>
      <c r="CL190" t="e">
        <f>AND('STERLING CATALOG - DRY '!H4237,"AAAAAHb3v1k=")</f>
        <v>#VALUE!</v>
      </c>
      <c r="CM190" t="e">
        <f>AND('STERLING CATALOG - DRY '!I4237,"AAAAAHb3v1o=")</f>
        <v>#VALUE!</v>
      </c>
      <c r="CN190" t="e">
        <f>AND('STERLING CATALOG - DRY '!J4237,"AAAAAHb3v1s=")</f>
        <v>#VALUE!</v>
      </c>
      <c r="CO190">
        <f>IF('STERLING CATALOG - DRY '!4238:4238,"AAAAAHb3v1w=",0)</f>
        <v>0</v>
      </c>
      <c r="CP190" t="e">
        <f>AND('STERLING CATALOG - DRY '!A4238,"AAAAAHb3v10=")</f>
        <v>#VALUE!</v>
      </c>
      <c r="CQ190" t="e">
        <f>AND('STERLING CATALOG - DRY '!B4238,"AAAAAHb3v14=")</f>
        <v>#VALUE!</v>
      </c>
      <c r="CR190" t="e">
        <f>AND('STERLING CATALOG - DRY '!C4238,"AAAAAHb3v18=")</f>
        <v>#VALUE!</v>
      </c>
      <c r="CS190" t="e">
        <f>AND('STERLING CATALOG - DRY '!D4238,"AAAAAHb3v2A=")</f>
        <v>#VALUE!</v>
      </c>
      <c r="CT190" t="e">
        <f>AND('STERLING CATALOG - DRY '!E4238,"AAAAAHb3v2E=")</f>
        <v>#VALUE!</v>
      </c>
      <c r="CU190" t="e">
        <f>AND('STERLING CATALOG - DRY '!F4238,"AAAAAHb3v2I=")</f>
        <v>#VALUE!</v>
      </c>
      <c r="CV190" t="e">
        <f>AND('STERLING CATALOG - DRY '!G4238,"AAAAAHb3v2M=")</f>
        <v>#VALUE!</v>
      </c>
      <c r="CW190" t="e">
        <f>AND('STERLING CATALOG - DRY '!H4238,"AAAAAHb3v2Q=")</f>
        <v>#VALUE!</v>
      </c>
      <c r="CX190" t="e">
        <f>AND('STERLING CATALOG - DRY '!I4238,"AAAAAHb3v2U=")</f>
        <v>#VALUE!</v>
      </c>
      <c r="CY190" t="e">
        <f>AND('STERLING CATALOG - DRY '!J4238,"AAAAAHb3v2Y=")</f>
        <v>#VALUE!</v>
      </c>
      <c r="CZ190">
        <f>IF('STERLING CATALOG - DRY '!4239:4239,"AAAAAHb3v2c=",0)</f>
        <v>0</v>
      </c>
      <c r="DA190" t="e">
        <f>AND('STERLING CATALOG - DRY '!A4239,"AAAAAHb3v2g=")</f>
        <v>#VALUE!</v>
      </c>
      <c r="DB190" t="e">
        <f>AND('STERLING CATALOG - DRY '!B4239,"AAAAAHb3v2k=")</f>
        <v>#VALUE!</v>
      </c>
      <c r="DC190" t="e">
        <f>AND('STERLING CATALOG - DRY '!C4239,"AAAAAHb3v2o=")</f>
        <v>#VALUE!</v>
      </c>
      <c r="DD190" t="e">
        <f>AND('STERLING CATALOG - DRY '!D4239,"AAAAAHb3v2s=")</f>
        <v>#VALUE!</v>
      </c>
      <c r="DE190" t="e">
        <f>AND('STERLING CATALOG - DRY '!E4239,"AAAAAHb3v2w=")</f>
        <v>#VALUE!</v>
      </c>
      <c r="DF190" t="e">
        <f>AND('STERLING CATALOG - DRY '!F4239,"AAAAAHb3v20=")</f>
        <v>#VALUE!</v>
      </c>
      <c r="DG190" t="e">
        <f>AND('STERLING CATALOG - DRY '!G4239,"AAAAAHb3v24=")</f>
        <v>#VALUE!</v>
      </c>
      <c r="DH190" t="e">
        <f>AND('STERLING CATALOG - DRY '!H4239,"AAAAAHb3v28=")</f>
        <v>#VALUE!</v>
      </c>
      <c r="DI190" t="e">
        <f>AND('STERLING CATALOG - DRY '!I4239,"AAAAAHb3v3A=")</f>
        <v>#VALUE!</v>
      </c>
      <c r="DJ190" t="e">
        <f>AND('STERLING CATALOG - DRY '!J4239,"AAAAAHb3v3E=")</f>
        <v>#VALUE!</v>
      </c>
      <c r="DK190">
        <f>IF('STERLING CATALOG - DRY '!4240:4240,"AAAAAHb3v3I=",0)</f>
        <v>0</v>
      </c>
      <c r="DL190" t="e">
        <f>AND('STERLING CATALOG - DRY '!A4240,"AAAAAHb3v3M=")</f>
        <v>#VALUE!</v>
      </c>
      <c r="DM190" t="e">
        <f>AND('STERLING CATALOG - DRY '!B4240,"AAAAAHb3v3Q=")</f>
        <v>#VALUE!</v>
      </c>
      <c r="DN190" t="e">
        <f>AND('STERLING CATALOG - DRY '!C4240,"AAAAAHb3v3U=")</f>
        <v>#VALUE!</v>
      </c>
      <c r="DO190" t="e">
        <f>AND('STERLING CATALOG - DRY '!D4240,"AAAAAHb3v3Y=")</f>
        <v>#VALUE!</v>
      </c>
      <c r="DP190" t="e">
        <f>AND('STERLING CATALOG - DRY '!E4240,"AAAAAHb3v3c=")</f>
        <v>#VALUE!</v>
      </c>
      <c r="DQ190" t="e">
        <f>AND('STERLING CATALOG - DRY '!F4240,"AAAAAHb3v3g=")</f>
        <v>#VALUE!</v>
      </c>
      <c r="DR190" t="e">
        <f>AND('STERLING CATALOG - DRY '!G4240,"AAAAAHb3v3k=")</f>
        <v>#VALUE!</v>
      </c>
      <c r="DS190" t="e">
        <f>AND('STERLING CATALOG - DRY '!H4240,"AAAAAHb3v3o=")</f>
        <v>#VALUE!</v>
      </c>
      <c r="DT190" t="e">
        <f>AND('STERLING CATALOG - DRY '!I4240,"AAAAAHb3v3s=")</f>
        <v>#VALUE!</v>
      </c>
      <c r="DU190" t="e">
        <f>AND('STERLING CATALOG - DRY '!J4240,"AAAAAHb3v3w=")</f>
        <v>#VALUE!</v>
      </c>
      <c r="DV190">
        <f>IF('STERLING CATALOG - DRY '!4241:4241,"AAAAAHb3v30=",0)</f>
        <v>0</v>
      </c>
      <c r="DW190" t="e">
        <f>AND('STERLING CATALOG - DRY '!A4241,"AAAAAHb3v34=")</f>
        <v>#VALUE!</v>
      </c>
      <c r="DX190" t="e">
        <f>AND('STERLING CATALOG - DRY '!B4241,"AAAAAHb3v38=")</f>
        <v>#VALUE!</v>
      </c>
      <c r="DY190" t="e">
        <f>AND('STERLING CATALOG - DRY '!C4241,"AAAAAHb3v4A=")</f>
        <v>#VALUE!</v>
      </c>
      <c r="DZ190" t="e">
        <f>AND('STERLING CATALOG - DRY '!D4241,"AAAAAHb3v4E=")</f>
        <v>#VALUE!</v>
      </c>
      <c r="EA190" t="e">
        <f>AND('STERLING CATALOG - DRY '!E4241,"AAAAAHb3v4I=")</f>
        <v>#VALUE!</v>
      </c>
      <c r="EB190" t="e">
        <f>AND('STERLING CATALOG - DRY '!F4241,"AAAAAHb3v4M=")</f>
        <v>#VALUE!</v>
      </c>
      <c r="EC190" t="e">
        <f>AND('STERLING CATALOG - DRY '!G4241,"AAAAAHb3v4Q=")</f>
        <v>#VALUE!</v>
      </c>
      <c r="ED190" t="e">
        <f>AND('STERLING CATALOG - DRY '!H4241,"AAAAAHb3v4U=")</f>
        <v>#VALUE!</v>
      </c>
      <c r="EE190" t="e">
        <f>AND('STERLING CATALOG - DRY '!I4241,"AAAAAHb3v4Y=")</f>
        <v>#VALUE!</v>
      </c>
      <c r="EF190" t="e">
        <f>AND('STERLING CATALOG - DRY '!J4241,"AAAAAHb3v4c=")</f>
        <v>#VALUE!</v>
      </c>
      <c r="EG190">
        <f>IF('STERLING CATALOG - DRY '!4242:4242,"AAAAAHb3v4g=",0)</f>
        <v>0</v>
      </c>
      <c r="EH190" t="e">
        <f>AND('STERLING CATALOG - DRY '!A4242,"AAAAAHb3v4k=")</f>
        <v>#VALUE!</v>
      </c>
      <c r="EI190" t="e">
        <f>AND('STERLING CATALOG - DRY '!B4242,"AAAAAHb3v4o=")</f>
        <v>#VALUE!</v>
      </c>
      <c r="EJ190" t="e">
        <f>AND('STERLING CATALOG - DRY '!C4242,"AAAAAHb3v4s=")</f>
        <v>#VALUE!</v>
      </c>
      <c r="EK190" t="e">
        <f>AND('STERLING CATALOG - DRY '!D4242,"AAAAAHb3v4w=")</f>
        <v>#VALUE!</v>
      </c>
      <c r="EL190" t="e">
        <f>AND('STERLING CATALOG - DRY '!E4242,"AAAAAHb3v40=")</f>
        <v>#VALUE!</v>
      </c>
      <c r="EM190" t="e">
        <f>AND('STERLING CATALOG - DRY '!F4242,"AAAAAHb3v44=")</f>
        <v>#VALUE!</v>
      </c>
      <c r="EN190" t="e">
        <f>AND('STERLING CATALOG - DRY '!G4242,"AAAAAHb3v48=")</f>
        <v>#VALUE!</v>
      </c>
      <c r="EO190" t="e">
        <f>AND('STERLING CATALOG - DRY '!H4242,"AAAAAHb3v5A=")</f>
        <v>#VALUE!</v>
      </c>
      <c r="EP190" t="e">
        <f>AND('STERLING CATALOG - DRY '!I4242,"AAAAAHb3v5E=")</f>
        <v>#VALUE!</v>
      </c>
      <c r="EQ190" t="e">
        <f>AND('STERLING CATALOG - DRY '!J4242,"AAAAAHb3v5I=")</f>
        <v>#VALUE!</v>
      </c>
      <c r="ER190">
        <f>IF('STERLING CATALOG - DRY '!4243:4243,"AAAAAHb3v5M=",0)</f>
        <v>0</v>
      </c>
      <c r="ES190" t="e">
        <f>AND('STERLING CATALOG - DRY '!A4243,"AAAAAHb3v5Q=")</f>
        <v>#VALUE!</v>
      </c>
      <c r="ET190" t="e">
        <f>AND('STERLING CATALOG - DRY '!B4243,"AAAAAHb3v5U=")</f>
        <v>#VALUE!</v>
      </c>
      <c r="EU190" t="e">
        <f>AND('STERLING CATALOG - DRY '!C4243,"AAAAAHb3v5Y=")</f>
        <v>#VALUE!</v>
      </c>
      <c r="EV190" t="e">
        <f>AND('STERLING CATALOG - DRY '!D4243,"AAAAAHb3v5c=")</f>
        <v>#VALUE!</v>
      </c>
      <c r="EW190" t="e">
        <f>AND('STERLING CATALOG - DRY '!E4243,"AAAAAHb3v5g=")</f>
        <v>#VALUE!</v>
      </c>
      <c r="EX190" t="e">
        <f>AND('STERLING CATALOG - DRY '!F4243,"AAAAAHb3v5k=")</f>
        <v>#VALUE!</v>
      </c>
      <c r="EY190" t="e">
        <f>AND('STERLING CATALOG - DRY '!G4243,"AAAAAHb3v5o=")</f>
        <v>#VALUE!</v>
      </c>
      <c r="EZ190" t="e">
        <f>AND('STERLING CATALOG - DRY '!H4243,"AAAAAHb3v5s=")</f>
        <v>#VALUE!</v>
      </c>
      <c r="FA190" t="e">
        <f>AND('STERLING CATALOG - DRY '!I4243,"AAAAAHb3v5w=")</f>
        <v>#VALUE!</v>
      </c>
      <c r="FB190" t="e">
        <f>AND('STERLING CATALOG - DRY '!J4243,"AAAAAHb3v50=")</f>
        <v>#VALUE!</v>
      </c>
      <c r="FC190">
        <f>IF('STERLING CATALOG - DRY '!4244:4244,"AAAAAHb3v54=",0)</f>
        <v>0</v>
      </c>
      <c r="FD190" t="e">
        <f>AND('STERLING CATALOG - DRY '!A4244,"AAAAAHb3v58=")</f>
        <v>#VALUE!</v>
      </c>
      <c r="FE190" t="e">
        <f>AND('STERLING CATALOG - DRY '!B4244,"AAAAAHb3v6A=")</f>
        <v>#VALUE!</v>
      </c>
      <c r="FF190" t="e">
        <f>AND('STERLING CATALOG - DRY '!C4244,"AAAAAHb3v6E=")</f>
        <v>#VALUE!</v>
      </c>
      <c r="FG190" t="e">
        <f>AND('STERLING CATALOG - DRY '!D4244,"AAAAAHb3v6I=")</f>
        <v>#VALUE!</v>
      </c>
      <c r="FH190" t="e">
        <f>AND('STERLING CATALOG - DRY '!E4244,"AAAAAHb3v6M=")</f>
        <v>#VALUE!</v>
      </c>
      <c r="FI190" t="e">
        <f>AND('STERLING CATALOG - DRY '!F4244,"AAAAAHb3v6Q=")</f>
        <v>#VALUE!</v>
      </c>
      <c r="FJ190" t="e">
        <f>AND('STERLING CATALOG - DRY '!G4244,"AAAAAHb3v6U=")</f>
        <v>#VALUE!</v>
      </c>
      <c r="FK190" t="e">
        <f>AND('STERLING CATALOG - DRY '!H4244,"AAAAAHb3v6Y=")</f>
        <v>#VALUE!</v>
      </c>
      <c r="FL190" t="e">
        <f>AND('STERLING CATALOG - DRY '!I4244,"AAAAAHb3v6c=")</f>
        <v>#VALUE!</v>
      </c>
      <c r="FM190" t="e">
        <f>AND('STERLING CATALOG - DRY '!J4244,"AAAAAHb3v6g=")</f>
        <v>#VALUE!</v>
      </c>
      <c r="FN190">
        <f>IF('STERLING CATALOG - DRY '!4245:4245,"AAAAAHb3v6k=",0)</f>
        <v>0</v>
      </c>
      <c r="FO190" t="e">
        <f>AND('STERLING CATALOG - DRY '!A4245,"AAAAAHb3v6o=")</f>
        <v>#VALUE!</v>
      </c>
      <c r="FP190" t="e">
        <f>AND('STERLING CATALOG - DRY '!B4245,"AAAAAHb3v6s=")</f>
        <v>#VALUE!</v>
      </c>
      <c r="FQ190" t="e">
        <f>AND('STERLING CATALOG - DRY '!C4245,"AAAAAHb3v6w=")</f>
        <v>#VALUE!</v>
      </c>
      <c r="FR190" t="e">
        <f>AND('STERLING CATALOG - DRY '!D4245,"AAAAAHb3v60=")</f>
        <v>#VALUE!</v>
      </c>
      <c r="FS190" t="e">
        <f>AND('STERLING CATALOG - DRY '!E4245,"AAAAAHb3v64=")</f>
        <v>#VALUE!</v>
      </c>
      <c r="FT190" t="e">
        <f>AND('STERLING CATALOG - DRY '!F4245,"AAAAAHb3v68=")</f>
        <v>#VALUE!</v>
      </c>
      <c r="FU190" t="e">
        <f>AND('STERLING CATALOG - DRY '!G4245,"AAAAAHb3v7A=")</f>
        <v>#VALUE!</v>
      </c>
      <c r="FV190" t="e">
        <f>AND('STERLING CATALOG - DRY '!H4245,"AAAAAHb3v7E=")</f>
        <v>#VALUE!</v>
      </c>
      <c r="FW190" t="e">
        <f>AND('STERLING CATALOG - DRY '!I4245,"AAAAAHb3v7I=")</f>
        <v>#VALUE!</v>
      </c>
      <c r="FX190" t="e">
        <f>AND('STERLING CATALOG - DRY '!J4245,"AAAAAHb3v7M=")</f>
        <v>#VALUE!</v>
      </c>
      <c r="FY190">
        <f>IF('STERLING CATALOG - DRY '!4246:4246,"AAAAAHb3v7Q=",0)</f>
        <v>0</v>
      </c>
      <c r="FZ190" t="e">
        <f>AND('STERLING CATALOG - DRY '!A4246,"AAAAAHb3v7U=")</f>
        <v>#VALUE!</v>
      </c>
      <c r="GA190" t="e">
        <f>AND('STERLING CATALOG - DRY '!B4246,"AAAAAHb3v7Y=")</f>
        <v>#VALUE!</v>
      </c>
      <c r="GB190" t="e">
        <f>AND('STERLING CATALOG - DRY '!C4246,"AAAAAHb3v7c=")</f>
        <v>#VALUE!</v>
      </c>
      <c r="GC190" t="e">
        <f>AND('STERLING CATALOG - DRY '!D4246,"AAAAAHb3v7g=")</f>
        <v>#VALUE!</v>
      </c>
      <c r="GD190" t="e">
        <f>AND('STERLING CATALOG - DRY '!E4246,"AAAAAHb3v7k=")</f>
        <v>#VALUE!</v>
      </c>
      <c r="GE190" t="e">
        <f>AND('STERLING CATALOG - DRY '!F4246,"AAAAAHb3v7o=")</f>
        <v>#VALUE!</v>
      </c>
      <c r="GF190" t="e">
        <f>AND('STERLING CATALOG - DRY '!G4246,"AAAAAHb3v7s=")</f>
        <v>#VALUE!</v>
      </c>
      <c r="GG190" t="e">
        <f>AND('STERLING CATALOG - DRY '!H4246,"AAAAAHb3v7w=")</f>
        <v>#VALUE!</v>
      </c>
      <c r="GH190" t="e">
        <f>AND('STERLING CATALOG - DRY '!I4246,"AAAAAHb3v70=")</f>
        <v>#VALUE!</v>
      </c>
      <c r="GI190" t="e">
        <f>AND('STERLING CATALOG - DRY '!J4246,"AAAAAHb3v74=")</f>
        <v>#VALUE!</v>
      </c>
      <c r="GJ190">
        <f>IF('STERLING CATALOG - DRY '!4247:4247,"AAAAAHb3v78=",0)</f>
        <v>0</v>
      </c>
      <c r="GK190" t="e">
        <f>AND('STERLING CATALOG - DRY '!A4247,"AAAAAHb3v8A=")</f>
        <v>#VALUE!</v>
      </c>
      <c r="GL190" t="e">
        <f>AND('STERLING CATALOG - DRY '!B4247,"AAAAAHb3v8E=")</f>
        <v>#VALUE!</v>
      </c>
      <c r="GM190" t="e">
        <f>AND('STERLING CATALOG - DRY '!C4247,"AAAAAHb3v8I=")</f>
        <v>#VALUE!</v>
      </c>
      <c r="GN190" t="e">
        <f>AND('STERLING CATALOG - DRY '!D4247,"AAAAAHb3v8M=")</f>
        <v>#VALUE!</v>
      </c>
      <c r="GO190" t="e">
        <f>AND('STERLING CATALOG - DRY '!E4247,"AAAAAHb3v8Q=")</f>
        <v>#VALUE!</v>
      </c>
      <c r="GP190" t="e">
        <f>AND('STERLING CATALOG - DRY '!F4247,"AAAAAHb3v8U=")</f>
        <v>#VALUE!</v>
      </c>
      <c r="GQ190" t="e">
        <f>AND('STERLING CATALOG - DRY '!G4247,"AAAAAHb3v8Y=")</f>
        <v>#VALUE!</v>
      </c>
      <c r="GR190" t="e">
        <f>AND('STERLING CATALOG - DRY '!H4247,"AAAAAHb3v8c=")</f>
        <v>#VALUE!</v>
      </c>
      <c r="GS190" t="e">
        <f>AND('STERLING CATALOG - DRY '!I4247,"AAAAAHb3v8g=")</f>
        <v>#VALUE!</v>
      </c>
      <c r="GT190" t="e">
        <f>AND('STERLING CATALOG - DRY '!J4247,"AAAAAHb3v8k=")</f>
        <v>#VALUE!</v>
      </c>
      <c r="GU190">
        <f>IF('STERLING CATALOG - DRY '!4248:4248,"AAAAAHb3v8o=",0)</f>
        <v>0</v>
      </c>
      <c r="GV190" t="e">
        <f>AND('STERLING CATALOG - DRY '!A4248,"AAAAAHb3v8s=")</f>
        <v>#VALUE!</v>
      </c>
      <c r="GW190" t="e">
        <f>AND('STERLING CATALOG - DRY '!B4248,"AAAAAHb3v8w=")</f>
        <v>#VALUE!</v>
      </c>
      <c r="GX190" t="e">
        <f>AND('STERLING CATALOG - DRY '!C4248,"AAAAAHb3v80=")</f>
        <v>#VALUE!</v>
      </c>
      <c r="GY190" t="e">
        <f>AND('STERLING CATALOG - DRY '!D4248,"AAAAAHb3v84=")</f>
        <v>#VALUE!</v>
      </c>
      <c r="GZ190" t="e">
        <f>AND('STERLING CATALOG - DRY '!E4248,"AAAAAHb3v88=")</f>
        <v>#VALUE!</v>
      </c>
      <c r="HA190" t="e">
        <f>AND('STERLING CATALOG - DRY '!F4248,"AAAAAHb3v9A=")</f>
        <v>#VALUE!</v>
      </c>
      <c r="HB190" t="e">
        <f>AND('STERLING CATALOG - DRY '!G4248,"AAAAAHb3v9E=")</f>
        <v>#VALUE!</v>
      </c>
      <c r="HC190" t="e">
        <f>AND('STERLING CATALOG - DRY '!H4248,"AAAAAHb3v9I=")</f>
        <v>#VALUE!</v>
      </c>
      <c r="HD190" t="e">
        <f>AND('STERLING CATALOG - DRY '!I4248,"AAAAAHb3v9M=")</f>
        <v>#VALUE!</v>
      </c>
      <c r="HE190" t="e">
        <f>AND('STERLING CATALOG - DRY '!J4248,"AAAAAHb3v9Q=")</f>
        <v>#VALUE!</v>
      </c>
      <c r="HF190">
        <f>IF('STERLING CATALOG - DRY '!4249:4249,"AAAAAHb3v9U=",0)</f>
        <v>0</v>
      </c>
      <c r="HG190" t="e">
        <f>AND('STERLING CATALOG - DRY '!A4249,"AAAAAHb3v9Y=")</f>
        <v>#VALUE!</v>
      </c>
      <c r="HH190" t="e">
        <f>AND('STERLING CATALOG - DRY '!B4249,"AAAAAHb3v9c=")</f>
        <v>#VALUE!</v>
      </c>
      <c r="HI190" t="e">
        <f>AND('STERLING CATALOG - DRY '!C4249,"AAAAAHb3v9g=")</f>
        <v>#VALUE!</v>
      </c>
      <c r="HJ190" t="e">
        <f>AND('STERLING CATALOG - DRY '!D4249,"AAAAAHb3v9k=")</f>
        <v>#VALUE!</v>
      </c>
      <c r="HK190" t="e">
        <f>AND('STERLING CATALOG - DRY '!E4249,"AAAAAHb3v9o=")</f>
        <v>#VALUE!</v>
      </c>
      <c r="HL190" t="e">
        <f>AND('STERLING CATALOG - DRY '!F4249,"AAAAAHb3v9s=")</f>
        <v>#VALUE!</v>
      </c>
      <c r="HM190" t="e">
        <f>AND('STERLING CATALOG - DRY '!G4249,"AAAAAHb3v9w=")</f>
        <v>#VALUE!</v>
      </c>
      <c r="HN190" t="e">
        <f>AND('STERLING CATALOG - DRY '!H4249,"AAAAAHb3v90=")</f>
        <v>#VALUE!</v>
      </c>
      <c r="HO190" t="e">
        <f>AND('STERLING CATALOG - DRY '!I4249,"AAAAAHb3v94=")</f>
        <v>#VALUE!</v>
      </c>
      <c r="HP190" t="e">
        <f>AND('STERLING CATALOG - DRY '!J4249,"AAAAAHb3v98=")</f>
        <v>#VALUE!</v>
      </c>
      <c r="HQ190">
        <f>IF('STERLING CATALOG - DRY '!4250:4250,"AAAAAHb3v+A=",0)</f>
        <v>0</v>
      </c>
      <c r="HR190" t="e">
        <f>AND('STERLING CATALOG - DRY '!A4250,"AAAAAHb3v+E=")</f>
        <v>#VALUE!</v>
      </c>
      <c r="HS190" t="e">
        <f>AND('STERLING CATALOG - DRY '!B4250,"AAAAAHb3v+I=")</f>
        <v>#VALUE!</v>
      </c>
      <c r="HT190" t="e">
        <f>AND('STERLING CATALOG - DRY '!C4250,"AAAAAHb3v+M=")</f>
        <v>#VALUE!</v>
      </c>
      <c r="HU190" t="e">
        <f>AND('STERLING CATALOG - DRY '!D4250,"AAAAAHb3v+Q=")</f>
        <v>#VALUE!</v>
      </c>
      <c r="HV190" t="e">
        <f>AND('STERLING CATALOG - DRY '!E4250,"AAAAAHb3v+U=")</f>
        <v>#VALUE!</v>
      </c>
      <c r="HW190" t="e">
        <f>AND('STERLING CATALOG - DRY '!F4250,"AAAAAHb3v+Y=")</f>
        <v>#VALUE!</v>
      </c>
      <c r="HX190" t="e">
        <f>AND('STERLING CATALOG - DRY '!G4250,"AAAAAHb3v+c=")</f>
        <v>#VALUE!</v>
      </c>
      <c r="HY190" t="e">
        <f>AND('STERLING CATALOG - DRY '!H4250,"AAAAAHb3v+g=")</f>
        <v>#VALUE!</v>
      </c>
      <c r="HZ190" t="e">
        <f>AND('STERLING CATALOG - DRY '!I4250,"AAAAAHb3v+k=")</f>
        <v>#VALUE!</v>
      </c>
      <c r="IA190" t="e">
        <f>AND('STERLING CATALOG - DRY '!J4250,"AAAAAHb3v+o=")</f>
        <v>#VALUE!</v>
      </c>
      <c r="IB190">
        <f>IF('STERLING CATALOG - DRY '!4251:4251,"AAAAAHb3v+s=",0)</f>
        <v>0</v>
      </c>
      <c r="IC190" t="e">
        <f>AND('STERLING CATALOG - DRY '!A4251,"AAAAAHb3v+w=")</f>
        <v>#VALUE!</v>
      </c>
      <c r="ID190" t="e">
        <f>AND('STERLING CATALOG - DRY '!B4251,"AAAAAHb3v+0=")</f>
        <v>#VALUE!</v>
      </c>
      <c r="IE190" t="e">
        <f>AND('STERLING CATALOG - DRY '!C4251,"AAAAAHb3v+4=")</f>
        <v>#VALUE!</v>
      </c>
      <c r="IF190" t="e">
        <f>AND('STERLING CATALOG - DRY '!D4251,"AAAAAHb3v+8=")</f>
        <v>#VALUE!</v>
      </c>
      <c r="IG190" t="e">
        <f>AND('STERLING CATALOG - DRY '!E4251,"AAAAAHb3v/A=")</f>
        <v>#VALUE!</v>
      </c>
      <c r="IH190" t="e">
        <f>AND('STERLING CATALOG - DRY '!F4251,"AAAAAHb3v/E=")</f>
        <v>#VALUE!</v>
      </c>
      <c r="II190" t="e">
        <f>AND('STERLING CATALOG - DRY '!G4251,"AAAAAHb3v/I=")</f>
        <v>#VALUE!</v>
      </c>
      <c r="IJ190" t="e">
        <f>AND('STERLING CATALOG - DRY '!H4251,"AAAAAHb3v/M=")</f>
        <v>#VALUE!</v>
      </c>
      <c r="IK190" t="e">
        <f>AND('STERLING CATALOG - DRY '!I4251,"AAAAAHb3v/Q=")</f>
        <v>#VALUE!</v>
      </c>
      <c r="IL190" t="e">
        <f>AND('STERLING CATALOG - DRY '!J4251,"AAAAAHb3v/U=")</f>
        <v>#VALUE!</v>
      </c>
      <c r="IM190">
        <f>IF('STERLING CATALOG - DRY '!4252:4252,"AAAAAHb3v/Y=",0)</f>
        <v>0</v>
      </c>
      <c r="IN190" t="e">
        <f>AND('STERLING CATALOG - DRY '!A4252,"AAAAAHb3v/c=")</f>
        <v>#VALUE!</v>
      </c>
      <c r="IO190" t="e">
        <f>AND('STERLING CATALOG - DRY '!B4252,"AAAAAHb3v/g=")</f>
        <v>#VALUE!</v>
      </c>
      <c r="IP190" t="e">
        <f>AND('STERLING CATALOG - DRY '!C4252,"AAAAAHb3v/k=")</f>
        <v>#VALUE!</v>
      </c>
      <c r="IQ190" t="e">
        <f>AND('STERLING CATALOG - DRY '!D4252,"AAAAAHb3v/o=")</f>
        <v>#VALUE!</v>
      </c>
      <c r="IR190" t="e">
        <f>AND('STERLING CATALOG - DRY '!E4252,"AAAAAHb3v/s=")</f>
        <v>#VALUE!</v>
      </c>
      <c r="IS190" t="e">
        <f>AND('STERLING CATALOG - DRY '!F4252,"AAAAAHb3v/w=")</f>
        <v>#VALUE!</v>
      </c>
      <c r="IT190" t="e">
        <f>AND('STERLING CATALOG - DRY '!G4252,"AAAAAHb3v/0=")</f>
        <v>#VALUE!</v>
      </c>
      <c r="IU190" t="e">
        <f>AND('STERLING CATALOG - DRY '!H4252,"AAAAAHb3v/4=")</f>
        <v>#VALUE!</v>
      </c>
      <c r="IV190" t="e">
        <f>AND('STERLING CATALOG - DRY '!I4252,"AAAAAHb3v/8=")</f>
        <v>#VALUE!</v>
      </c>
    </row>
    <row r="191" spans="1:256">
      <c r="A191" t="e">
        <f>AND('STERLING CATALOG - DRY '!J4252,"AAAAAG//3wA=")</f>
        <v>#VALUE!</v>
      </c>
      <c r="B191" t="str">
        <f>IF('STERLING CATALOG - DRY '!4253:4253,"AAAAAG//3wE=",0)</f>
        <v>AAAAAG//3wE=</v>
      </c>
      <c r="C191" t="e">
        <f>AND('STERLING CATALOG - DRY '!A4253,"AAAAAG//3wI=")</f>
        <v>#VALUE!</v>
      </c>
      <c r="D191" t="e">
        <f>AND('STERLING CATALOG - DRY '!B4253,"AAAAAG//3wM=")</f>
        <v>#VALUE!</v>
      </c>
      <c r="E191" t="e">
        <f>AND('STERLING CATALOG - DRY '!C4253,"AAAAAG//3wQ=")</f>
        <v>#VALUE!</v>
      </c>
      <c r="F191" t="e">
        <f>AND('STERLING CATALOG - DRY '!D4253,"AAAAAG//3wU=")</f>
        <v>#VALUE!</v>
      </c>
      <c r="G191" t="e">
        <f>AND('STERLING CATALOG - DRY '!E4253,"AAAAAG//3wY=")</f>
        <v>#VALUE!</v>
      </c>
      <c r="H191" t="e">
        <f>AND('STERLING CATALOG - DRY '!F4253,"AAAAAG//3wc=")</f>
        <v>#VALUE!</v>
      </c>
      <c r="I191" t="e">
        <f>AND('STERLING CATALOG - DRY '!G4253,"AAAAAG//3wg=")</f>
        <v>#VALUE!</v>
      </c>
      <c r="J191" t="e">
        <f>AND('STERLING CATALOG - DRY '!H4253,"AAAAAG//3wk=")</f>
        <v>#VALUE!</v>
      </c>
      <c r="K191" t="e">
        <f>AND('STERLING CATALOG - DRY '!I4253,"AAAAAG//3wo=")</f>
        <v>#VALUE!</v>
      </c>
      <c r="L191" t="e">
        <f>AND('STERLING CATALOG - DRY '!J4253,"AAAAAG//3ws=")</f>
        <v>#VALUE!</v>
      </c>
      <c r="M191">
        <f>IF('STERLING CATALOG - DRY '!4254:4254,"AAAAAG//3ww=",0)</f>
        <v>0</v>
      </c>
      <c r="N191" t="e">
        <f>AND('STERLING CATALOG - DRY '!A4254,"AAAAAG//3w0=")</f>
        <v>#VALUE!</v>
      </c>
      <c r="O191" t="e">
        <f>AND('STERLING CATALOG - DRY '!B4254,"AAAAAG//3w4=")</f>
        <v>#VALUE!</v>
      </c>
      <c r="P191" t="e">
        <f>AND('STERLING CATALOG - DRY '!C4254,"AAAAAG//3w8=")</f>
        <v>#VALUE!</v>
      </c>
      <c r="Q191" t="e">
        <f>AND('STERLING CATALOG - DRY '!D4254,"AAAAAG//3xA=")</f>
        <v>#VALUE!</v>
      </c>
      <c r="R191" t="e">
        <f>AND('STERLING CATALOG - DRY '!E4254,"AAAAAG//3xE=")</f>
        <v>#VALUE!</v>
      </c>
      <c r="S191" t="e">
        <f>AND('STERLING CATALOG - DRY '!F4254,"AAAAAG//3xI=")</f>
        <v>#VALUE!</v>
      </c>
      <c r="T191" t="e">
        <f>AND('STERLING CATALOG - DRY '!G4254,"AAAAAG//3xM=")</f>
        <v>#VALUE!</v>
      </c>
      <c r="U191" t="e">
        <f>AND('STERLING CATALOG - DRY '!H4254,"AAAAAG//3xQ=")</f>
        <v>#VALUE!</v>
      </c>
      <c r="V191" t="e">
        <f>AND('STERLING CATALOG - DRY '!I4254,"AAAAAG//3xU=")</f>
        <v>#VALUE!</v>
      </c>
      <c r="W191" t="e">
        <f>AND('STERLING CATALOG - DRY '!J4254,"AAAAAG//3xY=")</f>
        <v>#VALUE!</v>
      </c>
      <c r="X191">
        <f>IF('STERLING CATALOG - DRY '!4255:4255,"AAAAAG//3xc=",0)</f>
        <v>0</v>
      </c>
      <c r="Y191" t="e">
        <f>AND('STERLING CATALOG - DRY '!A4255,"AAAAAG//3xg=")</f>
        <v>#VALUE!</v>
      </c>
      <c r="Z191" t="e">
        <f>AND('STERLING CATALOG - DRY '!B4255,"AAAAAG//3xk=")</f>
        <v>#VALUE!</v>
      </c>
      <c r="AA191" t="e">
        <f>AND('STERLING CATALOG - DRY '!C4255,"AAAAAG//3xo=")</f>
        <v>#VALUE!</v>
      </c>
      <c r="AB191" t="e">
        <f>AND('STERLING CATALOG - DRY '!D4255,"AAAAAG//3xs=")</f>
        <v>#VALUE!</v>
      </c>
      <c r="AC191" t="e">
        <f>AND('STERLING CATALOG - DRY '!E4255,"AAAAAG//3xw=")</f>
        <v>#VALUE!</v>
      </c>
      <c r="AD191" t="e">
        <f>AND('STERLING CATALOG - DRY '!F4255,"AAAAAG//3x0=")</f>
        <v>#VALUE!</v>
      </c>
      <c r="AE191" t="e">
        <f>AND('STERLING CATALOG - DRY '!G4255,"AAAAAG//3x4=")</f>
        <v>#VALUE!</v>
      </c>
      <c r="AF191" t="e">
        <f>AND('STERLING CATALOG - DRY '!H4255,"AAAAAG//3x8=")</f>
        <v>#VALUE!</v>
      </c>
      <c r="AG191" t="e">
        <f>AND('STERLING CATALOG - DRY '!I4255,"AAAAAG//3yA=")</f>
        <v>#VALUE!</v>
      </c>
      <c r="AH191" t="e">
        <f>AND('STERLING CATALOG - DRY '!J4255,"AAAAAG//3yE=")</f>
        <v>#VALUE!</v>
      </c>
      <c r="AI191">
        <f>IF('STERLING CATALOG - DRY '!4256:4256,"AAAAAG//3yI=",0)</f>
        <v>0</v>
      </c>
      <c r="AJ191" t="e">
        <f>AND('STERLING CATALOG - DRY '!A4256,"AAAAAG//3yM=")</f>
        <v>#VALUE!</v>
      </c>
      <c r="AK191" t="e">
        <f>AND('STERLING CATALOG - DRY '!B4256,"AAAAAG//3yQ=")</f>
        <v>#VALUE!</v>
      </c>
      <c r="AL191" t="e">
        <f>AND('STERLING CATALOG - DRY '!C4256,"AAAAAG//3yU=")</f>
        <v>#VALUE!</v>
      </c>
      <c r="AM191" t="e">
        <f>AND('STERLING CATALOG - DRY '!D4256,"AAAAAG//3yY=")</f>
        <v>#VALUE!</v>
      </c>
      <c r="AN191" t="e">
        <f>AND('STERLING CATALOG - DRY '!E4256,"AAAAAG//3yc=")</f>
        <v>#VALUE!</v>
      </c>
      <c r="AO191" t="e">
        <f>AND('STERLING CATALOG - DRY '!F4256,"AAAAAG//3yg=")</f>
        <v>#VALUE!</v>
      </c>
      <c r="AP191" t="e">
        <f>AND('STERLING CATALOG - DRY '!G4256,"AAAAAG//3yk=")</f>
        <v>#VALUE!</v>
      </c>
      <c r="AQ191" t="e">
        <f>AND('STERLING CATALOG - DRY '!H4256,"AAAAAG//3yo=")</f>
        <v>#VALUE!</v>
      </c>
      <c r="AR191" t="e">
        <f>AND('STERLING CATALOG - DRY '!I4256,"AAAAAG//3ys=")</f>
        <v>#VALUE!</v>
      </c>
      <c r="AS191" t="e">
        <f>AND('STERLING CATALOG - DRY '!J4256,"AAAAAG//3yw=")</f>
        <v>#VALUE!</v>
      </c>
      <c r="AT191">
        <f>IF('STERLING CATALOG - DRY '!4257:4257,"AAAAAG//3y0=",0)</f>
        <v>0</v>
      </c>
      <c r="AU191" t="e">
        <f>AND('STERLING CATALOG - DRY '!A4257,"AAAAAG//3y4=")</f>
        <v>#VALUE!</v>
      </c>
      <c r="AV191" t="e">
        <f>AND('STERLING CATALOG - DRY '!B4257,"AAAAAG//3y8=")</f>
        <v>#VALUE!</v>
      </c>
      <c r="AW191" t="e">
        <f>AND('STERLING CATALOG - DRY '!C4257,"AAAAAG//3zA=")</f>
        <v>#VALUE!</v>
      </c>
      <c r="AX191" t="e">
        <f>AND('STERLING CATALOG - DRY '!D4257,"AAAAAG//3zE=")</f>
        <v>#VALUE!</v>
      </c>
      <c r="AY191" t="e">
        <f>AND('STERLING CATALOG - DRY '!E4257,"AAAAAG//3zI=")</f>
        <v>#VALUE!</v>
      </c>
      <c r="AZ191" t="e">
        <f>AND('STERLING CATALOG - DRY '!F4257,"AAAAAG//3zM=")</f>
        <v>#VALUE!</v>
      </c>
      <c r="BA191" t="e">
        <f>AND('STERLING CATALOG - DRY '!G4257,"AAAAAG//3zQ=")</f>
        <v>#VALUE!</v>
      </c>
      <c r="BB191" t="e">
        <f>AND('STERLING CATALOG - DRY '!H4257,"AAAAAG//3zU=")</f>
        <v>#VALUE!</v>
      </c>
      <c r="BC191" t="e">
        <f>AND('STERLING CATALOG - DRY '!I4257,"AAAAAG//3zY=")</f>
        <v>#VALUE!</v>
      </c>
      <c r="BD191" t="e">
        <f>AND('STERLING CATALOG - DRY '!J4257,"AAAAAG//3zc=")</f>
        <v>#VALUE!</v>
      </c>
      <c r="BE191">
        <f>IF('STERLING CATALOG - DRY '!4258:4258,"AAAAAG//3zg=",0)</f>
        <v>0</v>
      </c>
      <c r="BF191" t="e">
        <f>AND('STERLING CATALOG - DRY '!A4258,"AAAAAG//3zk=")</f>
        <v>#VALUE!</v>
      </c>
      <c r="BG191" t="e">
        <f>AND('STERLING CATALOG - DRY '!B4258,"AAAAAG//3zo=")</f>
        <v>#VALUE!</v>
      </c>
      <c r="BH191" t="e">
        <f>AND('STERLING CATALOG - DRY '!C4258,"AAAAAG//3zs=")</f>
        <v>#VALUE!</v>
      </c>
      <c r="BI191" t="e">
        <f>AND('STERLING CATALOG - DRY '!D4258,"AAAAAG//3zw=")</f>
        <v>#VALUE!</v>
      </c>
      <c r="BJ191" t="e">
        <f>AND('STERLING CATALOG - DRY '!E4258,"AAAAAG//3z0=")</f>
        <v>#VALUE!</v>
      </c>
      <c r="BK191" t="e">
        <f>AND('STERLING CATALOG - DRY '!F4258,"AAAAAG//3z4=")</f>
        <v>#VALUE!</v>
      </c>
      <c r="BL191" t="e">
        <f>AND('STERLING CATALOG - DRY '!G4258,"AAAAAG//3z8=")</f>
        <v>#VALUE!</v>
      </c>
      <c r="BM191" t="e">
        <f>AND('STERLING CATALOG - DRY '!H4258,"AAAAAG//30A=")</f>
        <v>#VALUE!</v>
      </c>
      <c r="BN191" t="e">
        <f>AND('STERLING CATALOG - DRY '!I4258,"AAAAAG//30E=")</f>
        <v>#VALUE!</v>
      </c>
      <c r="BO191" t="e">
        <f>AND('STERLING CATALOG - DRY '!J4258,"AAAAAG//30I=")</f>
        <v>#VALUE!</v>
      </c>
      <c r="BP191">
        <f>IF('STERLING CATALOG - DRY '!4259:4259,"AAAAAG//30M=",0)</f>
        <v>0</v>
      </c>
      <c r="BQ191" t="e">
        <f>AND('STERLING CATALOG - DRY '!A4259,"AAAAAG//30Q=")</f>
        <v>#VALUE!</v>
      </c>
      <c r="BR191" t="e">
        <f>AND('STERLING CATALOG - DRY '!B4259,"AAAAAG//30U=")</f>
        <v>#VALUE!</v>
      </c>
      <c r="BS191" t="e">
        <f>AND('STERLING CATALOG - DRY '!C4259,"AAAAAG//30Y=")</f>
        <v>#VALUE!</v>
      </c>
      <c r="BT191" t="e">
        <f>AND('STERLING CATALOG - DRY '!D4259,"AAAAAG//30c=")</f>
        <v>#VALUE!</v>
      </c>
      <c r="BU191" t="e">
        <f>AND('STERLING CATALOG - DRY '!E4259,"AAAAAG//30g=")</f>
        <v>#VALUE!</v>
      </c>
      <c r="BV191" t="e">
        <f>AND('STERLING CATALOG - DRY '!F4259,"AAAAAG//30k=")</f>
        <v>#VALUE!</v>
      </c>
      <c r="BW191" t="e">
        <f>AND('STERLING CATALOG - DRY '!G4259,"AAAAAG//30o=")</f>
        <v>#VALUE!</v>
      </c>
      <c r="BX191" t="e">
        <f>AND('STERLING CATALOG - DRY '!H4259,"AAAAAG//30s=")</f>
        <v>#VALUE!</v>
      </c>
      <c r="BY191" t="e">
        <f>AND('STERLING CATALOG - DRY '!I4259,"AAAAAG//30w=")</f>
        <v>#VALUE!</v>
      </c>
      <c r="BZ191" t="e">
        <f>AND('STERLING CATALOG - DRY '!J4259,"AAAAAG//300=")</f>
        <v>#VALUE!</v>
      </c>
      <c r="CA191">
        <f>IF('STERLING CATALOG - DRY '!4260:4260,"AAAAAG//304=",0)</f>
        <v>0</v>
      </c>
      <c r="CB191" t="e">
        <f>AND('STERLING CATALOG - DRY '!A4260,"AAAAAG//308=")</f>
        <v>#VALUE!</v>
      </c>
      <c r="CC191" t="e">
        <f>AND('STERLING CATALOG - DRY '!B4260,"AAAAAG//31A=")</f>
        <v>#VALUE!</v>
      </c>
      <c r="CD191" t="e">
        <f>AND('STERLING CATALOG - DRY '!C4260,"AAAAAG//31E=")</f>
        <v>#VALUE!</v>
      </c>
      <c r="CE191" t="e">
        <f>AND('STERLING CATALOG - DRY '!D4260,"AAAAAG//31I=")</f>
        <v>#VALUE!</v>
      </c>
      <c r="CF191" t="e">
        <f>AND('STERLING CATALOG - DRY '!E4260,"AAAAAG//31M=")</f>
        <v>#VALUE!</v>
      </c>
      <c r="CG191" t="e">
        <f>AND('STERLING CATALOG - DRY '!F4260,"AAAAAG//31Q=")</f>
        <v>#VALUE!</v>
      </c>
      <c r="CH191" t="e">
        <f>AND('STERLING CATALOG - DRY '!G4260,"AAAAAG//31U=")</f>
        <v>#VALUE!</v>
      </c>
      <c r="CI191" t="e">
        <f>AND('STERLING CATALOG - DRY '!H4260,"AAAAAG//31Y=")</f>
        <v>#VALUE!</v>
      </c>
      <c r="CJ191" t="e">
        <f>AND('STERLING CATALOG - DRY '!I4260,"AAAAAG//31c=")</f>
        <v>#VALUE!</v>
      </c>
      <c r="CK191" t="e">
        <f>AND('STERLING CATALOG - DRY '!J4260,"AAAAAG//31g=")</f>
        <v>#VALUE!</v>
      </c>
      <c r="CL191">
        <f>IF('STERLING CATALOG - DRY '!4261:4261,"AAAAAG//31k=",0)</f>
        <v>0</v>
      </c>
      <c r="CM191" t="e">
        <f>AND('STERLING CATALOG - DRY '!A4261,"AAAAAG//31o=")</f>
        <v>#VALUE!</v>
      </c>
      <c r="CN191" t="e">
        <f>AND('STERLING CATALOG - DRY '!B4261,"AAAAAG//31s=")</f>
        <v>#VALUE!</v>
      </c>
      <c r="CO191" t="e">
        <f>AND('STERLING CATALOG - DRY '!C4261,"AAAAAG//31w=")</f>
        <v>#VALUE!</v>
      </c>
      <c r="CP191" t="e">
        <f>AND('STERLING CATALOG - DRY '!D4261,"AAAAAG//310=")</f>
        <v>#VALUE!</v>
      </c>
      <c r="CQ191" t="e">
        <f>AND('STERLING CATALOG - DRY '!E4261,"AAAAAG//314=")</f>
        <v>#VALUE!</v>
      </c>
      <c r="CR191" t="e">
        <f>AND('STERLING CATALOG - DRY '!F4261,"AAAAAG//318=")</f>
        <v>#VALUE!</v>
      </c>
      <c r="CS191" t="e">
        <f>AND('STERLING CATALOG - DRY '!G4261,"AAAAAG//32A=")</f>
        <v>#VALUE!</v>
      </c>
      <c r="CT191" t="e">
        <f>AND('STERLING CATALOG - DRY '!H4261,"AAAAAG//32E=")</f>
        <v>#VALUE!</v>
      </c>
      <c r="CU191" t="e">
        <f>AND('STERLING CATALOG - DRY '!I4261,"AAAAAG//32I=")</f>
        <v>#VALUE!</v>
      </c>
      <c r="CV191" t="e">
        <f>AND('STERLING CATALOG - DRY '!J4261,"AAAAAG//32M=")</f>
        <v>#VALUE!</v>
      </c>
      <c r="CW191">
        <f>IF('STERLING CATALOG - DRY '!4262:4262,"AAAAAG//32Q=",0)</f>
        <v>0</v>
      </c>
      <c r="CX191" t="e">
        <f>AND('STERLING CATALOG - DRY '!A4262,"AAAAAG//32U=")</f>
        <v>#VALUE!</v>
      </c>
      <c r="CY191" t="e">
        <f>AND('STERLING CATALOG - DRY '!B4262,"AAAAAG//32Y=")</f>
        <v>#VALUE!</v>
      </c>
      <c r="CZ191" t="e">
        <f>AND('STERLING CATALOG - DRY '!C4262,"AAAAAG//32c=")</f>
        <v>#VALUE!</v>
      </c>
      <c r="DA191" t="e">
        <f>AND('STERLING CATALOG - DRY '!D4262,"AAAAAG//32g=")</f>
        <v>#VALUE!</v>
      </c>
      <c r="DB191" t="e">
        <f>AND('STERLING CATALOG - DRY '!E4262,"AAAAAG//32k=")</f>
        <v>#VALUE!</v>
      </c>
      <c r="DC191" t="e">
        <f>AND('STERLING CATALOG - DRY '!F4262,"AAAAAG//32o=")</f>
        <v>#VALUE!</v>
      </c>
      <c r="DD191" t="e">
        <f>AND('STERLING CATALOG - DRY '!G4262,"AAAAAG//32s=")</f>
        <v>#VALUE!</v>
      </c>
      <c r="DE191" t="e">
        <f>AND('STERLING CATALOG - DRY '!H4262,"AAAAAG//32w=")</f>
        <v>#VALUE!</v>
      </c>
      <c r="DF191" t="e">
        <f>AND('STERLING CATALOG - DRY '!I4262,"AAAAAG//320=")</f>
        <v>#VALUE!</v>
      </c>
      <c r="DG191" t="e">
        <f>AND('STERLING CATALOG - DRY '!J4262,"AAAAAG//324=")</f>
        <v>#VALUE!</v>
      </c>
      <c r="DH191">
        <f>IF('STERLING CATALOG - DRY '!4263:4263,"AAAAAG//328=",0)</f>
        <v>0</v>
      </c>
      <c r="DI191" t="e">
        <f>AND('STERLING CATALOG - DRY '!A4263,"AAAAAG//33A=")</f>
        <v>#VALUE!</v>
      </c>
      <c r="DJ191" t="e">
        <f>AND('STERLING CATALOG - DRY '!B4263,"AAAAAG//33E=")</f>
        <v>#VALUE!</v>
      </c>
      <c r="DK191" t="e">
        <f>AND('STERLING CATALOG - DRY '!C4263,"AAAAAG//33I=")</f>
        <v>#VALUE!</v>
      </c>
      <c r="DL191" t="e">
        <f>AND('STERLING CATALOG - DRY '!D4263,"AAAAAG//33M=")</f>
        <v>#VALUE!</v>
      </c>
      <c r="DM191" t="e">
        <f>AND('STERLING CATALOG - DRY '!E4263,"AAAAAG//33Q=")</f>
        <v>#VALUE!</v>
      </c>
      <c r="DN191" t="e">
        <f>AND('STERLING CATALOG - DRY '!F4263,"AAAAAG//33U=")</f>
        <v>#VALUE!</v>
      </c>
      <c r="DO191" t="e">
        <f>AND('STERLING CATALOG - DRY '!G4263,"AAAAAG//33Y=")</f>
        <v>#VALUE!</v>
      </c>
      <c r="DP191" t="e">
        <f>AND('STERLING CATALOG - DRY '!H4263,"AAAAAG//33c=")</f>
        <v>#VALUE!</v>
      </c>
      <c r="DQ191" t="e">
        <f>AND('STERLING CATALOG - DRY '!I4263,"AAAAAG//33g=")</f>
        <v>#VALUE!</v>
      </c>
      <c r="DR191" t="e">
        <f>AND('STERLING CATALOG - DRY '!J4263,"AAAAAG//33k=")</f>
        <v>#VALUE!</v>
      </c>
      <c r="DS191">
        <f>IF('STERLING CATALOG - DRY '!4264:4264,"AAAAAG//33o=",0)</f>
        <v>0</v>
      </c>
      <c r="DT191" t="e">
        <f>AND('STERLING CATALOG - DRY '!A4264,"AAAAAG//33s=")</f>
        <v>#VALUE!</v>
      </c>
      <c r="DU191" t="e">
        <f>AND('STERLING CATALOG - DRY '!B4264,"AAAAAG//33w=")</f>
        <v>#VALUE!</v>
      </c>
      <c r="DV191" t="e">
        <f>AND('STERLING CATALOG - DRY '!C4264,"AAAAAG//330=")</f>
        <v>#VALUE!</v>
      </c>
      <c r="DW191" t="e">
        <f>AND('STERLING CATALOG - DRY '!D4264,"AAAAAG//334=")</f>
        <v>#VALUE!</v>
      </c>
      <c r="DX191" t="e">
        <f>AND('STERLING CATALOG - DRY '!E4264,"AAAAAG//338=")</f>
        <v>#VALUE!</v>
      </c>
      <c r="DY191" t="e">
        <f>AND('STERLING CATALOG - DRY '!F4264,"AAAAAG//34A=")</f>
        <v>#VALUE!</v>
      </c>
      <c r="DZ191" t="e">
        <f>AND('STERLING CATALOG - DRY '!G4264,"AAAAAG//34E=")</f>
        <v>#VALUE!</v>
      </c>
      <c r="EA191" t="e">
        <f>AND('STERLING CATALOG - DRY '!H4264,"AAAAAG//34I=")</f>
        <v>#VALUE!</v>
      </c>
      <c r="EB191" t="e">
        <f>AND('STERLING CATALOG - DRY '!I4264,"AAAAAG//34M=")</f>
        <v>#VALUE!</v>
      </c>
      <c r="EC191" t="e">
        <f>AND('STERLING CATALOG - DRY '!J4264,"AAAAAG//34Q=")</f>
        <v>#VALUE!</v>
      </c>
      <c r="ED191">
        <f>IF('STERLING CATALOG - DRY '!4265:4265,"AAAAAG//34U=",0)</f>
        <v>0</v>
      </c>
      <c r="EE191" t="e">
        <f>AND('STERLING CATALOG - DRY '!A4265,"AAAAAG//34Y=")</f>
        <v>#VALUE!</v>
      </c>
      <c r="EF191" t="e">
        <f>AND('STERLING CATALOG - DRY '!B4265,"AAAAAG//34c=")</f>
        <v>#VALUE!</v>
      </c>
      <c r="EG191" t="e">
        <f>AND('STERLING CATALOG - DRY '!C4265,"AAAAAG//34g=")</f>
        <v>#VALUE!</v>
      </c>
      <c r="EH191" t="e">
        <f>AND('STERLING CATALOG - DRY '!D4265,"AAAAAG//34k=")</f>
        <v>#VALUE!</v>
      </c>
      <c r="EI191" t="e">
        <f>AND('STERLING CATALOG - DRY '!E4265,"AAAAAG//34o=")</f>
        <v>#VALUE!</v>
      </c>
      <c r="EJ191" t="e">
        <f>AND('STERLING CATALOG - DRY '!F4265,"AAAAAG//34s=")</f>
        <v>#VALUE!</v>
      </c>
      <c r="EK191" t="e">
        <f>AND('STERLING CATALOG - DRY '!G4265,"AAAAAG//34w=")</f>
        <v>#VALUE!</v>
      </c>
      <c r="EL191" t="e">
        <f>AND('STERLING CATALOG - DRY '!H4265,"AAAAAG//340=")</f>
        <v>#VALUE!</v>
      </c>
      <c r="EM191" t="e">
        <f>AND('STERLING CATALOG - DRY '!I4265,"AAAAAG//344=")</f>
        <v>#VALUE!</v>
      </c>
      <c r="EN191" t="e">
        <f>AND('STERLING CATALOG - DRY '!J4265,"AAAAAG//348=")</f>
        <v>#VALUE!</v>
      </c>
      <c r="EO191">
        <f>IF('STERLING CATALOG - DRY '!4266:4266,"AAAAAG//35A=",0)</f>
        <v>0</v>
      </c>
      <c r="EP191" t="e">
        <f>AND('STERLING CATALOG - DRY '!A4266,"AAAAAG//35E=")</f>
        <v>#VALUE!</v>
      </c>
      <c r="EQ191" t="e">
        <f>AND('STERLING CATALOG - DRY '!B4266,"AAAAAG//35I=")</f>
        <v>#VALUE!</v>
      </c>
      <c r="ER191" t="e">
        <f>AND('STERLING CATALOG - DRY '!C4266,"AAAAAG//35M=")</f>
        <v>#VALUE!</v>
      </c>
      <c r="ES191" t="e">
        <f>AND('STERLING CATALOG - DRY '!D4266,"AAAAAG//35Q=")</f>
        <v>#VALUE!</v>
      </c>
      <c r="ET191" t="e">
        <f>AND('STERLING CATALOG - DRY '!E4266,"AAAAAG//35U=")</f>
        <v>#VALUE!</v>
      </c>
      <c r="EU191" t="e">
        <f>AND('STERLING CATALOG - DRY '!F4266,"AAAAAG//35Y=")</f>
        <v>#VALUE!</v>
      </c>
      <c r="EV191" t="e">
        <f>AND('STERLING CATALOG - DRY '!G4266,"AAAAAG//35c=")</f>
        <v>#VALUE!</v>
      </c>
      <c r="EW191" t="e">
        <f>AND('STERLING CATALOG - DRY '!H4266,"AAAAAG//35g=")</f>
        <v>#VALUE!</v>
      </c>
      <c r="EX191" t="e">
        <f>AND('STERLING CATALOG - DRY '!I4266,"AAAAAG//35k=")</f>
        <v>#VALUE!</v>
      </c>
      <c r="EY191" t="e">
        <f>AND('STERLING CATALOG - DRY '!J4266,"AAAAAG//35o=")</f>
        <v>#VALUE!</v>
      </c>
      <c r="EZ191">
        <f>IF('STERLING CATALOG - DRY '!4267:4267,"AAAAAG//35s=",0)</f>
        <v>0</v>
      </c>
      <c r="FA191" t="e">
        <f>AND('STERLING CATALOG - DRY '!A4267,"AAAAAG//35w=")</f>
        <v>#VALUE!</v>
      </c>
      <c r="FB191" t="e">
        <f>AND('STERLING CATALOG - DRY '!B4267,"AAAAAG//350=")</f>
        <v>#VALUE!</v>
      </c>
      <c r="FC191" t="e">
        <f>AND('STERLING CATALOG - DRY '!C4267,"AAAAAG//354=")</f>
        <v>#VALUE!</v>
      </c>
      <c r="FD191" t="e">
        <f>AND('STERLING CATALOG - DRY '!D4267,"AAAAAG//358=")</f>
        <v>#VALUE!</v>
      </c>
      <c r="FE191" t="e">
        <f>AND('STERLING CATALOG - DRY '!E4267,"AAAAAG//36A=")</f>
        <v>#VALUE!</v>
      </c>
      <c r="FF191" t="e">
        <f>AND('STERLING CATALOG - DRY '!F4267,"AAAAAG//36E=")</f>
        <v>#VALUE!</v>
      </c>
      <c r="FG191" t="e">
        <f>AND('STERLING CATALOG - DRY '!G4267,"AAAAAG//36I=")</f>
        <v>#VALUE!</v>
      </c>
      <c r="FH191" t="e">
        <f>AND('STERLING CATALOG - DRY '!H4267,"AAAAAG//36M=")</f>
        <v>#VALUE!</v>
      </c>
      <c r="FI191" t="e">
        <f>AND('STERLING CATALOG - DRY '!I4267,"AAAAAG//36Q=")</f>
        <v>#VALUE!</v>
      </c>
      <c r="FJ191" t="e">
        <f>AND('STERLING CATALOG - DRY '!J4267,"AAAAAG//36U=")</f>
        <v>#VALUE!</v>
      </c>
      <c r="FK191">
        <f>IF('STERLING CATALOG - DRY '!4268:4268,"AAAAAG//36Y=",0)</f>
        <v>0</v>
      </c>
      <c r="FL191" t="e">
        <f>AND('STERLING CATALOG - DRY '!A4268,"AAAAAG//36c=")</f>
        <v>#VALUE!</v>
      </c>
      <c r="FM191" t="e">
        <f>AND('STERLING CATALOG - DRY '!B4268,"AAAAAG//36g=")</f>
        <v>#VALUE!</v>
      </c>
      <c r="FN191" t="e">
        <f>AND('STERLING CATALOG - DRY '!C4268,"AAAAAG//36k=")</f>
        <v>#VALUE!</v>
      </c>
      <c r="FO191" t="e">
        <f>AND('STERLING CATALOG - DRY '!D4268,"AAAAAG//36o=")</f>
        <v>#VALUE!</v>
      </c>
      <c r="FP191" t="e">
        <f>AND('STERLING CATALOG - DRY '!E4268,"AAAAAG//36s=")</f>
        <v>#VALUE!</v>
      </c>
      <c r="FQ191" t="e">
        <f>AND('STERLING CATALOG - DRY '!F4268,"AAAAAG//36w=")</f>
        <v>#VALUE!</v>
      </c>
      <c r="FR191" t="e">
        <f>AND('STERLING CATALOG - DRY '!G4268,"AAAAAG//360=")</f>
        <v>#VALUE!</v>
      </c>
      <c r="FS191" t="e">
        <f>AND('STERLING CATALOG - DRY '!H4268,"AAAAAG//364=")</f>
        <v>#VALUE!</v>
      </c>
      <c r="FT191" t="e">
        <f>AND('STERLING CATALOG - DRY '!I4268,"AAAAAG//368=")</f>
        <v>#VALUE!</v>
      </c>
      <c r="FU191" t="e">
        <f>AND('STERLING CATALOG - DRY '!J4268,"AAAAAG//37A=")</f>
        <v>#VALUE!</v>
      </c>
      <c r="FV191">
        <f>IF('STERLING CATALOG - DRY '!4269:4269,"AAAAAG//37E=",0)</f>
        <v>0</v>
      </c>
      <c r="FW191" t="e">
        <f>AND('STERLING CATALOG - DRY '!A4269,"AAAAAG//37I=")</f>
        <v>#VALUE!</v>
      </c>
      <c r="FX191" t="e">
        <f>AND('STERLING CATALOG - DRY '!B4269,"AAAAAG//37M=")</f>
        <v>#VALUE!</v>
      </c>
      <c r="FY191" t="e">
        <f>AND('STERLING CATALOG - DRY '!C4269,"AAAAAG//37Q=")</f>
        <v>#VALUE!</v>
      </c>
      <c r="FZ191" t="e">
        <f>AND('STERLING CATALOG - DRY '!D4269,"AAAAAG//37U=")</f>
        <v>#VALUE!</v>
      </c>
      <c r="GA191" t="e">
        <f>AND('STERLING CATALOG - DRY '!E4269,"AAAAAG//37Y=")</f>
        <v>#VALUE!</v>
      </c>
      <c r="GB191" t="e">
        <f>AND('STERLING CATALOG - DRY '!F4269,"AAAAAG//37c=")</f>
        <v>#VALUE!</v>
      </c>
      <c r="GC191" t="e">
        <f>AND('STERLING CATALOG - DRY '!G4269,"AAAAAG//37g=")</f>
        <v>#VALUE!</v>
      </c>
      <c r="GD191" t="e">
        <f>AND('STERLING CATALOG - DRY '!H4269,"AAAAAG//37k=")</f>
        <v>#VALUE!</v>
      </c>
      <c r="GE191" t="e">
        <f>AND('STERLING CATALOG - DRY '!I4269,"AAAAAG//37o=")</f>
        <v>#VALUE!</v>
      </c>
      <c r="GF191" t="e">
        <f>AND('STERLING CATALOG - DRY '!J4269,"AAAAAG//37s=")</f>
        <v>#VALUE!</v>
      </c>
      <c r="GG191">
        <f>IF('STERLING CATALOG - DRY '!4270:4270,"AAAAAG//37w=",0)</f>
        <v>0</v>
      </c>
      <c r="GH191" t="e">
        <f>AND('STERLING CATALOG - DRY '!A4270,"AAAAAG//370=")</f>
        <v>#VALUE!</v>
      </c>
      <c r="GI191" t="e">
        <f>AND('STERLING CATALOG - DRY '!B4270,"AAAAAG//374=")</f>
        <v>#VALUE!</v>
      </c>
      <c r="GJ191" t="e">
        <f>AND('STERLING CATALOG - DRY '!C4270,"AAAAAG//378=")</f>
        <v>#VALUE!</v>
      </c>
      <c r="GK191" t="e">
        <f>AND('STERLING CATALOG - DRY '!D4270,"AAAAAG//38A=")</f>
        <v>#VALUE!</v>
      </c>
      <c r="GL191" t="e">
        <f>AND('STERLING CATALOG - DRY '!E4270,"AAAAAG//38E=")</f>
        <v>#VALUE!</v>
      </c>
      <c r="GM191" t="e">
        <f>AND('STERLING CATALOG - DRY '!F4270,"AAAAAG//38I=")</f>
        <v>#VALUE!</v>
      </c>
      <c r="GN191" t="e">
        <f>AND('STERLING CATALOG - DRY '!G4270,"AAAAAG//38M=")</f>
        <v>#VALUE!</v>
      </c>
      <c r="GO191" t="e">
        <f>AND('STERLING CATALOG - DRY '!H4270,"AAAAAG//38Q=")</f>
        <v>#VALUE!</v>
      </c>
      <c r="GP191" t="e">
        <f>AND('STERLING CATALOG - DRY '!I4270,"AAAAAG//38U=")</f>
        <v>#VALUE!</v>
      </c>
      <c r="GQ191" t="e">
        <f>AND('STERLING CATALOG - DRY '!J4270,"AAAAAG//38Y=")</f>
        <v>#VALUE!</v>
      </c>
      <c r="GR191">
        <f>IF('STERLING CATALOG - DRY '!4271:4271,"AAAAAG//38c=",0)</f>
        <v>0</v>
      </c>
      <c r="GS191" t="e">
        <f>AND('STERLING CATALOG - DRY '!A4271,"AAAAAG//38g=")</f>
        <v>#VALUE!</v>
      </c>
      <c r="GT191" t="e">
        <f>AND('STERLING CATALOG - DRY '!B4271,"AAAAAG//38k=")</f>
        <v>#VALUE!</v>
      </c>
      <c r="GU191" t="e">
        <f>AND('STERLING CATALOG - DRY '!C4271,"AAAAAG//38o=")</f>
        <v>#VALUE!</v>
      </c>
      <c r="GV191" t="e">
        <f>AND('STERLING CATALOG - DRY '!D4271,"AAAAAG//38s=")</f>
        <v>#VALUE!</v>
      </c>
      <c r="GW191" t="e">
        <f>AND('STERLING CATALOG - DRY '!E4271,"AAAAAG//38w=")</f>
        <v>#VALUE!</v>
      </c>
      <c r="GX191" t="e">
        <f>AND('STERLING CATALOG - DRY '!F4271,"AAAAAG//380=")</f>
        <v>#VALUE!</v>
      </c>
      <c r="GY191" t="e">
        <f>AND('STERLING CATALOG - DRY '!G4271,"AAAAAG//384=")</f>
        <v>#VALUE!</v>
      </c>
      <c r="GZ191" t="e">
        <f>AND('STERLING CATALOG - DRY '!H4271,"AAAAAG//388=")</f>
        <v>#VALUE!</v>
      </c>
      <c r="HA191" t="e">
        <f>AND('STERLING CATALOG - DRY '!I4271,"AAAAAG//39A=")</f>
        <v>#VALUE!</v>
      </c>
      <c r="HB191" t="e">
        <f>AND('STERLING CATALOG - DRY '!J4271,"AAAAAG//39E=")</f>
        <v>#VALUE!</v>
      </c>
      <c r="HC191">
        <f>IF('STERLING CATALOG - DRY '!4272:4272,"AAAAAG//39I=",0)</f>
        <v>0</v>
      </c>
      <c r="HD191" t="e">
        <f>AND('STERLING CATALOG - DRY '!A4272,"AAAAAG//39M=")</f>
        <v>#VALUE!</v>
      </c>
      <c r="HE191" t="e">
        <f>AND('STERLING CATALOG - DRY '!B4272,"AAAAAG//39Q=")</f>
        <v>#VALUE!</v>
      </c>
      <c r="HF191" t="e">
        <f>AND('STERLING CATALOG - DRY '!C4272,"AAAAAG//39U=")</f>
        <v>#VALUE!</v>
      </c>
      <c r="HG191" t="e">
        <f>AND('STERLING CATALOG - DRY '!D4272,"AAAAAG//39Y=")</f>
        <v>#VALUE!</v>
      </c>
      <c r="HH191" t="e">
        <f>AND('STERLING CATALOG - DRY '!E4272,"AAAAAG//39c=")</f>
        <v>#VALUE!</v>
      </c>
      <c r="HI191" t="e">
        <f>AND('STERLING CATALOG - DRY '!F4272,"AAAAAG//39g=")</f>
        <v>#VALUE!</v>
      </c>
      <c r="HJ191" t="e">
        <f>AND('STERLING CATALOG - DRY '!G4272,"AAAAAG//39k=")</f>
        <v>#VALUE!</v>
      </c>
      <c r="HK191" t="e">
        <f>AND('STERLING CATALOG - DRY '!H4272,"AAAAAG//39o=")</f>
        <v>#VALUE!</v>
      </c>
      <c r="HL191" t="e">
        <f>AND('STERLING CATALOG - DRY '!I4272,"AAAAAG//39s=")</f>
        <v>#VALUE!</v>
      </c>
      <c r="HM191" t="e">
        <f>AND('STERLING CATALOG - DRY '!J4272,"AAAAAG//39w=")</f>
        <v>#VALUE!</v>
      </c>
      <c r="HN191">
        <f>IF('STERLING CATALOG - DRY '!4273:4273,"AAAAAG//390=",0)</f>
        <v>0</v>
      </c>
      <c r="HO191" t="e">
        <f>AND('STERLING CATALOG - DRY '!A4273,"AAAAAG//394=")</f>
        <v>#VALUE!</v>
      </c>
      <c r="HP191" t="e">
        <f>AND('STERLING CATALOG - DRY '!B4273,"AAAAAG//398=")</f>
        <v>#VALUE!</v>
      </c>
      <c r="HQ191" t="e">
        <f>AND('STERLING CATALOG - DRY '!C4273,"AAAAAG//3+A=")</f>
        <v>#VALUE!</v>
      </c>
      <c r="HR191" t="e">
        <f>AND('STERLING CATALOG - DRY '!D4273,"AAAAAG//3+E=")</f>
        <v>#VALUE!</v>
      </c>
      <c r="HS191" t="e">
        <f>AND('STERLING CATALOG - DRY '!E4273,"AAAAAG//3+I=")</f>
        <v>#VALUE!</v>
      </c>
      <c r="HT191" t="e">
        <f>AND('STERLING CATALOG - DRY '!F4273,"AAAAAG//3+M=")</f>
        <v>#VALUE!</v>
      </c>
      <c r="HU191" t="e">
        <f>AND('STERLING CATALOG - DRY '!G4273,"AAAAAG//3+Q=")</f>
        <v>#VALUE!</v>
      </c>
      <c r="HV191" t="e">
        <f>AND('STERLING CATALOG - DRY '!H4273,"AAAAAG//3+U=")</f>
        <v>#VALUE!</v>
      </c>
      <c r="HW191" t="e">
        <f>AND('STERLING CATALOG - DRY '!I4273,"AAAAAG//3+Y=")</f>
        <v>#VALUE!</v>
      </c>
      <c r="HX191" t="e">
        <f>AND('STERLING CATALOG - DRY '!J4273,"AAAAAG//3+c=")</f>
        <v>#VALUE!</v>
      </c>
      <c r="HY191">
        <f>IF('STERLING CATALOG - DRY '!4274:4274,"AAAAAG//3+g=",0)</f>
        <v>0</v>
      </c>
      <c r="HZ191" t="e">
        <f>AND('STERLING CATALOG - DRY '!A4274,"AAAAAG//3+k=")</f>
        <v>#VALUE!</v>
      </c>
      <c r="IA191" t="e">
        <f>AND('STERLING CATALOG - DRY '!B4274,"AAAAAG//3+o=")</f>
        <v>#VALUE!</v>
      </c>
      <c r="IB191" t="e">
        <f>AND('STERLING CATALOG - DRY '!C4274,"AAAAAG//3+s=")</f>
        <v>#VALUE!</v>
      </c>
      <c r="IC191" t="e">
        <f>AND('STERLING CATALOG - DRY '!D4274,"AAAAAG//3+w=")</f>
        <v>#VALUE!</v>
      </c>
      <c r="ID191" t="e">
        <f>AND('STERLING CATALOG - DRY '!E4274,"AAAAAG//3+0=")</f>
        <v>#VALUE!</v>
      </c>
      <c r="IE191" t="e">
        <f>AND('STERLING CATALOG - DRY '!F4274,"AAAAAG//3+4=")</f>
        <v>#VALUE!</v>
      </c>
      <c r="IF191" t="e">
        <f>AND('STERLING CATALOG - DRY '!G4274,"AAAAAG//3+8=")</f>
        <v>#VALUE!</v>
      </c>
      <c r="IG191" t="e">
        <f>AND('STERLING CATALOG - DRY '!H4274,"AAAAAG//3/A=")</f>
        <v>#VALUE!</v>
      </c>
      <c r="IH191" t="e">
        <f>AND('STERLING CATALOG - DRY '!I4274,"AAAAAG//3/E=")</f>
        <v>#VALUE!</v>
      </c>
      <c r="II191" t="e">
        <f>AND('STERLING CATALOG - DRY '!J4274,"AAAAAG//3/I=")</f>
        <v>#VALUE!</v>
      </c>
      <c r="IJ191">
        <f>IF('STERLING CATALOG - DRY '!4275:4275,"AAAAAG//3/M=",0)</f>
        <v>0</v>
      </c>
      <c r="IK191" t="e">
        <f>AND('STERLING CATALOG - DRY '!A4275,"AAAAAG//3/Q=")</f>
        <v>#VALUE!</v>
      </c>
      <c r="IL191" t="e">
        <f>AND('STERLING CATALOG - DRY '!B4275,"AAAAAG//3/U=")</f>
        <v>#VALUE!</v>
      </c>
      <c r="IM191" t="e">
        <f>AND('STERLING CATALOG - DRY '!C4275,"AAAAAG//3/Y=")</f>
        <v>#VALUE!</v>
      </c>
      <c r="IN191" t="e">
        <f>AND('STERLING CATALOG - DRY '!D4275,"AAAAAG//3/c=")</f>
        <v>#VALUE!</v>
      </c>
      <c r="IO191" t="e">
        <f>AND('STERLING CATALOG - DRY '!E4275,"AAAAAG//3/g=")</f>
        <v>#VALUE!</v>
      </c>
      <c r="IP191" t="e">
        <f>AND('STERLING CATALOG - DRY '!F4275,"AAAAAG//3/k=")</f>
        <v>#VALUE!</v>
      </c>
      <c r="IQ191" t="e">
        <f>AND('STERLING CATALOG - DRY '!G4275,"AAAAAG//3/o=")</f>
        <v>#VALUE!</v>
      </c>
      <c r="IR191" t="e">
        <f>AND('STERLING CATALOG - DRY '!H4275,"AAAAAG//3/s=")</f>
        <v>#VALUE!</v>
      </c>
      <c r="IS191" t="e">
        <f>AND('STERLING CATALOG - DRY '!I4275,"AAAAAG//3/w=")</f>
        <v>#VALUE!</v>
      </c>
      <c r="IT191" t="e">
        <f>AND('STERLING CATALOG - DRY '!J4275,"AAAAAG//3/0=")</f>
        <v>#VALUE!</v>
      </c>
      <c r="IU191">
        <f>IF('STERLING CATALOG - DRY '!4276:4276,"AAAAAG//3/4=",0)</f>
        <v>0</v>
      </c>
      <c r="IV191" t="e">
        <f>AND('STERLING CATALOG - DRY '!A4276,"AAAAAG//3/8=")</f>
        <v>#VALUE!</v>
      </c>
    </row>
    <row r="192" spans="1:256">
      <c r="A192" t="e">
        <f>AND('STERLING CATALOG - DRY '!B4276,"AAAAAHM/3QA=")</f>
        <v>#VALUE!</v>
      </c>
      <c r="B192" t="e">
        <f>AND('STERLING CATALOG - DRY '!C4276,"AAAAAHM/3QE=")</f>
        <v>#VALUE!</v>
      </c>
      <c r="C192" t="e">
        <f>AND('STERLING CATALOG - DRY '!D4276,"AAAAAHM/3QI=")</f>
        <v>#VALUE!</v>
      </c>
      <c r="D192" t="e">
        <f>AND('STERLING CATALOG - DRY '!E4276,"AAAAAHM/3QM=")</f>
        <v>#VALUE!</v>
      </c>
      <c r="E192" t="e">
        <f>AND('STERLING CATALOG - DRY '!F4276,"AAAAAHM/3QQ=")</f>
        <v>#VALUE!</v>
      </c>
      <c r="F192" t="e">
        <f>AND('STERLING CATALOG - DRY '!G4276,"AAAAAHM/3QU=")</f>
        <v>#VALUE!</v>
      </c>
      <c r="G192" t="e">
        <f>AND('STERLING CATALOG - DRY '!H4276,"AAAAAHM/3QY=")</f>
        <v>#VALUE!</v>
      </c>
      <c r="H192" t="e">
        <f>AND('STERLING CATALOG - DRY '!I4276,"AAAAAHM/3Qc=")</f>
        <v>#VALUE!</v>
      </c>
      <c r="I192" t="e">
        <f>AND('STERLING CATALOG - DRY '!J4276,"AAAAAHM/3Qg=")</f>
        <v>#VALUE!</v>
      </c>
      <c r="J192" t="e">
        <f>IF('STERLING CATALOG - DRY '!4277:4277,"AAAAAHM/3Qk=",0)</f>
        <v>#VALUE!</v>
      </c>
      <c r="K192" t="e">
        <f>AND('STERLING CATALOG - DRY '!A4277,"AAAAAHM/3Qo=")</f>
        <v>#VALUE!</v>
      </c>
      <c r="L192" t="e">
        <f>AND('STERLING CATALOG - DRY '!B4277,"AAAAAHM/3Qs=")</f>
        <v>#VALUE!</v>
      </c>
      <c r="M192" t="e">
        <f>AND('STERLING CATALOG - DRY '!C4277,"AAAAAHM/3Qw=")</f>
        <v>#VALUE!</v>
      </c>
      <c r="N192" t="e">
        <f>AND('STERLING CATALOG - DRY '!D4277,"AAAAAHM/3Q0=")</f>
        <v>#VALUE!</v>
      </c>
      <c r="O192" t="e">
        <f>AND('STERLING CATALOG - DRY '!E4277,"AAAAAHM/3Q4=")</f>
        <v>#VALUE!</v>
      </c>
      <c r="P192" t="e">
        <f>AND('STERLING CATALOG - DRY '!F4277,"AAAAAHM/3Q8=")</f>
        <v>#VALUE!</v>
      </c>
      <c r="Q192" t="e">
        <f>AND('STERLING CATALOG - DRY '!G4277,"AAAAAHM/3RA=")</f>
        <v>#VALUE!</v>
      </c>
      <c r="R192" t="e">
        <f>AND('STERLING CATALOG - DRY '!H4277,"AAAAAHM/3RE=")</f>
        <v>#VALUE!</v>
      </c>
      <c r="S192" t="e">
        <f>AND('STERLING CATALOG - DRY '!I4277,"AAAAAHM/3RI=")</f>
        <v>#VALUE!</v>
      </c>
      <c r="T192" t="e">
        <f>AND('STERLING CATALOG - DRY '!J4277,"AAAAAHM/3RM=")</f>
        <v>#VALUE!</v>
      </c>
      <c r="U192">
        <f>IF('STERLING CATALOG - DRY '!4278:4278,"AAAAAHM/3RQ=",0)</f>
        <v>0</v>
      </c>
      <c r="V192" t="e">
        <f>AND('STERLING CATALOG - DRY '!A4278,"AAAAAHM/3RU=")</f>
        <v>#VALUE!</v>
      </c>
      <c r="W192" t="e">
        <f>AND('STERLING CATALOG - DRY '!B4278,"AAAAAHM/3RY=")</f>
        <v>#VALUE!</v>
      </c>
      <c r="X192" t="e">
        <f>AND('STERLING CATALOG - DRY '!C4278,"AAAAAHM/3Rc=")</f>
        <v>#VALUE!</v>
      </c>
      <c r="Y192" t="e">
        <f>AND('STERLING CATALOG - DRY '!D4278,"AAAAAHM/3Rg=")</f>
        <v>#VALUE!</v>
      </c>
      <c r="Z192" t="e">
        <f>AND('STERLING CATALOG - DRY '!E4278,"AAAAAHM/3Rk=")</f>
        <v>#VALUE!</v>
      </c>
      <c r="AA192" t="e">
        <f>AND('STERLING CATALOG - DRY '!F4278,"AAAAAHM/3Ro=")</f>
        <v>#VALUE!</v>
      </c>
      <c r="AB192" t="e">
        <f>AND('STERLING CATALOG - DRY '!G4278,"AAAAAHM/3Rs=")</f>
        <v>#VALUE!</v>
      </c>
      <c r="AC192" t="e">
        <f>AND('STERLING CATALOG - DRY '!H4278,"AAAAAHM/3Rw=")</f>
        <v>#VALUE!</v>
      </c>
      <c r="AD192" t="e">
        <f>AND('STERLING CATALOG - DRY '!I4278,"AAAAAHM/3R0=")</f>
        <v>#VALUE!</v>
      </c>
      <c r="AE192" t="e">
        <f>AND('STERLING CATALOG - DRY '!J4278,"AAAAAHM/3R4=")</f>
        <v>#VALUE!</v>
      </c>
      <c r="AF192">
        <f>IF('STERLING CATALOG - DRY '!4279:4279,"AAAAAHM/3R8=",0)</f>
        <v>0</v>
      </c>
      <c r="AG192" t="e">
        <f>AND('STERLING CATALOG - DRY '!A4279,"AAAAAHM/3SA=")</f>
        <v>#VALUE!</v>
      </c>
      <c r="AH192" t="e">
        <f>AND('STERLING CATALOG - DRY '!B4279,"AAAAAHM/3SE=")</f>
        <v>#VALUE!</v>
      </c>
      <c r="AI192" t="e">
        <f>AND('STERLING CATALOG - DRY '!C4279,"AAAAAHM/3SI=")</f>
        <v>#VALUE!</v>
      </c>
      <c r="AJ192" t="e">
        <f>AND('STERLING CATALOG - DRY '!D4279,"AAAAAHM/3SM=")</f>
        <v>#VALUE!</v>
      </c>
      <c r="AK192" t="e">
        <f>AND('STERLING CATALOG - DRY '!E4279,"AAAAAHM/3SQ=")</f>
        <v>#VALUE!</v>
      </c>
      <c r="AL192" t="e">
        <f>AND('STERLING CATALOG - DRY '!F4279,"AAAAAHM/3SU=")</f>
        <v>#VALUE!</v>
      </c>
      <c r="AM192" t="e">
        <f>AND('STERLING CATALOG - DRY '!G4279,"AAAAAHM/3SY=")</f>
        <v>#VALUE!</v>
      </c>
      <c r="AN192" t="e">
        <f>AND('STERLING CATALOG - DRY '!H4279,"AAAAAHM/3Sc=")</f>
        <v>#VALUE!</v>
      </c>
      <c r="AO192" t="e">
        <f>AND('STERLING CATALOG - DRY '!I4279,"AAAAAHM/3Sg=")</f>
        <v>#VALUE!</v>
      </c>
      <c r="AP192" t="e">
        <f>AND('STERLING CATALOG - DRY '!J4279,"AAAAAHM/3Sk=")</f>
        <v>#VALUE!</v>
      </c>
      <c r="AQ192">
        <f>IF('STERLING CATALOG - DRY '!4280:4280,"AAAAAHM/3So=",0)</f>
        <v>0</v>
      </c>
      <c r="AR192" t="e">
        <f>AND('STERLING CATALOG - DRY '!A4280,"AAAAAHM/3Ss=")</f>
        <v>#VALUE!</v>
      </c>
      <c r="AS192" t="e">
        <f>AND('STERLING CATALOG - DRY '!B4280,"AAAAAHM/3Sw=")</f>
        <v>#VALUE!</v>
      </c>
      <c r="AT192" t="e">
        <f>AND('STERLING CATALOG - DRY '!C4280,"AAAAAHM/3S0=")</f>
        <v>#VALUE!</v>
      </c>
      <c r="AU192" t="e">
        <f>AND('STERLING CATALOG - DRY '!D4280,"AAAAAHM/3S4=")</f>
        <v>#VALUE!</v>
      </c>
      <c r="AV192" t="e">
        <f>AND('STERLING CATALOG - DRY '!E4280,"AAAAAHM/3S8=")</f>
        <v>#VALUE!</v>
      </c>
      <c r="AW192" t="e">
        <f>AND('STERLING CATALOG - DRY '!F4280,"AAAAAHM/3TA=")</f>
        <v>#VALUE!</v>
      </c>
      <c r="AX192" t="e">
        <f>AND('STERLING CATALOG - DRY '!G4280,"AAAAAHM/3TE=")</f>
        <v>#VALUE!</v>
      </c>
      <c r="AY192" t="e">
        <f>AND('STERLING CATALOG - DRY '!H4280,"AAAAAHM/3TI=")</f>
        <v>#VALUE!</v>
      </c>
      <c r="AZ192" t="e">
        <f>AND('STERLING CATALOG - DRY '!I4280,"AAAAAHM/3TM=")</f>
        <v>#VALUE!</v>
      </c>
      <c r="BA192" t="e">
        <f>AND('STERLING CATALOG - DRY '!J4280,"AAAAAHM/3TQ=")</f>
        <v>#VALUE!</v>
      </c>
      <c r="BB192">
        <f>IF('STERLING CATALOG - DRY '!4281:4281,"AAAAAHM/3TU=",0)</f>
        <v>0</v>
      </c>
      <c r="BC192" t="e">
        <f>AND('STERLING CATALOG - DRY '!A4281,"AAAAAHM/3TY=")</f>
        <v>#VALUE!</v>
      </c>
      <c r="BD192" t="e">
        <f>AND('STERLING CATALOG - DRY '!B4281,"AAAAAHM/3Tc=")</f>
        <v>#VALUE!</v>
      </c>
      <c r="BE192" t="e">
        <f>AND('STERLING CATALOG - DRY '!C4281,"AAAAAHM/3Tg=")</f>
        <v>#VALUE!</v>
      </c>
      <c r="BF192" t="e">
        <f>AND('STERLING CATALOG - DRY '!D4281,"AAAAAHM/3Tk=")</f>
        <v>#VALUE!</v>
      </c>
      <c r="BG192" t="e">
        <f>AND('STERLING CATALOG - DRY '!E4281,"AAAAAHM/3To=")</f>
        <v>#VALUE!</v>
      </c>
      <c r="BH192" t="e">
        <f>AND('STERLING CATALOG - DRY '!F4281,"AAAAAHM/3Ts=")</f>
        <v>#VALUE!</v>
      </c>
      <c r="BI192" t="e">
        <f>AND('STERLING CATALOG - DRY '!G4281,"AAAAAHM/3Tw=")</f>
        <v>#VALUE!</v>
      </c>
      <c r="BJ192" t="e">
        <f>AND('STERLING CATALOG - DRY '!H4281,"AAAAAHM/3T0=")</f>
        <v>#VALUE!</v>
      </c>
      <c r="BK192" t="e">
        <f>AND('STERLING CATALOG - DRY '!I4281,"AAAAAHM/3T4=")</f>
        <v>#VALUE!</v>
      </c>
      <c r="BL192" t="e">
        <f>AND('STERLING CATALOG - DRY '!J4281,"AAAAAHM/3T8=")</f>
        <v>#VALUE!</v>
      </c>
      <c r="BM192">
        <f>IF('STERLING CATALOG - DRY '!4282:4282,"AAAAAHM/3UA=",0)</f>
        <v>0</v>
      </c>
      <c r="BN192" t="e">
        <f>AND('STERLING CATALOG - DRY '!A4282,"AAAAAHM/3UE=")</f>
        <v>#VALUE!</v>
      </c>
      <c r="BO192" t="e">
        <f>AND('STERLING CATALOG - DRY '!B4282,"AAAAAHM/3UI=")</f>
        <v>#VALUE!</v>
      </c>
      <c r="BP192" t="e">
        <f>AND('STERLING CATALOG - DRY '!C4282,"AAAAAHM/3UM=")</f>
        <v>#VALUE!</v>
      </c>
      <c r="BQ192" t="e">
        <f>AND('STERLING CATALOG - DRY '!D4282,"AAAAAHM/3UQ=")</f>
        <v>#VALUE!</v>
      </c>
      <c r="BR192" t="e">
        <f>AND('STERLING CATALOG - DRY '!E4282,"AAAAAHM/3UU=")</f>
        <v>#VALUE!</v>
      </c>
      <c r="BS192" t="e">
        <f>AND('STERLING CATALOG - DRY '!F4282,"AAAAAHM/3UY=")</f>
        <v>#VALUE!</v>
      </c>
      <c r="BT192" t="e">
        <f>AND('STERLING CATALOG - DRY '!G4282,"AAAAAHM/3Uc=")</f>
        <v>#VALUE!</v>
      </c>
      <c r="BU192" t="e">
        <f>AND('STERLING CATALOG - DRY '!H4282,"AAAAAHM/3Ug=")</f>
        <v>#VALUE!</v>
      </c>
      <c r="BV192" t="e">
        <f>AND('STERLING CATALOG - DRY '!I4282,"AAAAAHM/3Uk=")</f>
        <v>#VALUE!</v>
      </c>
      <c r="BW192" t="e">
        <f>AND('STERLING CATALOG - DRY '!J4282,"AAAAAHM/3Uo=")</f>
        <v>#VALUE!</v>
      </c>
      <c r="BX192">
        <f>IF('STERLING CATALOG - DRY '!4283:4283,"AAAAAHM/3Us=",0)</f>
        <v>0</v>
      </c>
      <c r="BY192" t="e">
        <f>AND('STERLING CATALOG - DRY '!A4283,"AAAAAHM/3Uw=")</f>
        <v>#VALUE!</v>
      </c>
      <c r="BZ192" t="e">
        <f>AND('STERLING CATALOG - DRY '!B4283,"AAAAAHM/3U0=")</f>
        <v>#VALUE!</v>
      </c>
      <c r="CA192" t="e">
        <f>AND('STERLING CATALOG - DRY '!C4283,"AAAAAHM/3U4=")</f>
        <v>#VALUE!</v>
      </c>
      <c r="CB192" t="e">
        <f>AND('STERLING CATALOG - DRY '!D4283,"AAAAAHM/3U8=")</f>
        <v>#VALUE!</v>
      </c>
      <c r="CC192" t="e">
        <f>AND('STERLING CATALOG - DRY '!E4283,"AAAAAHM/3VA=")</f>
        <v>#VALUE!</v>
      </c>
      <c r="CD192" t="e">
        <f>AND('STERLING CATALOG - DRY '!F4283,"AAAAAHM/3VE=")</f>
        <v>#VALUE!</v>
      </c>
      <c r="CE192" t="e">
        <f>AND('STERLING CATALOG - DRY '!G4283,"AAAAAHM/3VI=")</f>
        <v>#VALUE!</v>
      </c>
      <c r="CF192" t="e">
        <f>AND('STERLING CATALOG - DRY '!H4283,"AAAAAHM/3VM=")</f>
        <v>#VALUE!</v>
      </c>
      <c r="CG192" t="e">
        <f>AND('STERLING CATALOG - DRY '!I4283,"AAAAAHM/3VQ=")</f>
        <v>#VALUE!</v>
      </c>
      <c r="CH192" t="e">
        <f>AND('STERLING CATALOG - DRY '!J4283,"AAAAAHM/3VU=")</f>
        <v>#VALUE!</v>
      </c>
      <c r="CI192">
        <f>IF('STERLING CATALOG - DRY '!4284:4284,"AAAAAHM/3VY=",0)</f>
        <v>0</v>
      </c>
      <c r="CJ192" t="e">
        <f>AND('STERLING CATALOG - DRY '!A4284,"AAAAAHM/3Vc=")</f>
        <v>#VALUE!</v>
      </c>
      <c r="CK192" t="e">
        <f>AND('STERLING CATALOG - DRY '!B4284,"AAAAAHM/3Vg=")</f>
        <v>#VALUE!</v>
      </c>
      <c r="CL192" t="e">
        <f>AND('STERLING CATALOG - DRY '!C4284,"AAAAAHM/3Vk=")</f>
        <v>#VALUE!</v>
      </c>
      <c r="CM192" t="e">
        <f>AND('STERLING CATALOG - DRY '!D4284,"AAAAAHM/3Vo=")</f>
        <v>#VALUE!</v>
      </c>
      <c r="CN192" t="e">
        <f>AND('STERLING CATALOG - DRY '!E4284,"AAAAAHM/3Vs=")</f>
        <v>#VALUE!</v>
      </c>
      <c r="CO192" t="e">
        <f>AND('STERLING CATALOG - DRY '!F4284,"AAAAAHM/3Vw=")</f>
        <v>#VALUE!</v>
      </c>
      <c r="CP192" t="e">
        <f>AND('STERLING CATALOG - DRY '!G4284,"AAAAAHM/3V0=")</f>
        <v>#VALUE!</v>
      </c>
      <c r="CQ192" t="e">
        <f>AND('STERLING CATALOG - DRY '!H4284,"AAAAAHM/3V4=")</f>
        <v>#VALUE!</v>
      </c>
      <c r="CR192" t="e">
        <f>AND('STERLING CATALOG - DRY '!I4284,"AAAAAHM/3V8=")</f>
        <v>#VALUE!</v>
      </c>
      <c r="CS192" t="e">
        <f>AND('STERLING CATALOG - DRY '!J4284,"AAAAAHM/3WA=")</f>
        <v>#VALUE!</v>
      </c>
      <c r="CT192">
        <f>IF('STERLING CATALOG - DRY '!4285:4285,"AAAAAHM/3WE=",0)</f>
        <v>0</v>
      </c>
      <c r="CU192" t="e">
        <f>AND('STERLING CATALOG - DRY '!A4285,"AAAAAHM/3WI=")</f>
        <v>#VALUE!</v>
      </c>
      <c r="CV192" t="e">
        <f>AND('STERLING CATALOG - DRY '!B4285,"AAAAAHM/3WM=")</f>
        <v>#VALUE!</v>
      </c>
      <c r="CW192" t="e">
        <f>AND('STERLING CATALOG - DRY '!C4285,"AAAAAHM/3WQ=")</f>
        <v>#VALUE!</v>
      </c>
      <c r="CX192" t="e">
        <f>AND('STERLING CATALOG - DRY '!D4285,"AAAAAHM/3WU=")</f>
        <v>#VALUE!</v>
      </c>
      <c r="CY192" t="e">
        <f>AND('STERLING CATALOG - DRY '!E4285,"AAAAAHM/3WY=")</f>
        <v>#VALUE!</v>
      </c>
      <c r="CZ192" t="e">
        <f>AND('STERLING CATALOG - DRY '!F4285,"AAAAAHM/3Wc=")</f>
        <v>#VALUE!</v>
      </c>
      <c r="DA192" t="e">
        <f>AND('STERLING CATALOG - DRY '!G4285,"AAAAAHM/3Wg=")</f>
        <v>#VALUE!</v>
      </c>
      <c r="DB192" t="e">
        <f>AND('STERLING CATALOG - DRY '!H4285,"AAAAAHM/3Wk=")</f>
        <v>#VALUE!</v>
      </c>
      <c r="DC192" t="e">
        <f>AND('STERLING CATALOG - DRY '!I4285,"AAAAAHM/3Wo=")</f>
        <v>#VALUE!</v>
      </c>
      <c r="DD192" t="e">
        <f>AND('STERLING CATALOG - DRY '!J4285,"AAAAAHM/3Ws=")</f>
        <v>#VALUE!</v>
      </c>
      <c r="DE192">
        <f>IF('STERLING CATALOG - DRY '!4286:4286,"AAAAAHM/3Ww=",0)</f>
        <v>0</v>
      </c>
      <c r="DF192" t="e">
        <f>AND('STERLING CATALOG - DRY '!A4286,"AAAAAHM/3W0=")</f>
        <v>#VALUE!</v>
      </c>
      <c r="DG192" t="e">
        <f>AND('STERLING CATALOG - DRY '!B4286,"AAAAAHM/3W4=")</f>
        <v>#VALUE!</v>
      </c>
      <c r="DH192" t="e">
        <f>AND('STERLING CATALOG - DRY '!C4286,"AAAAAHM/3W8=")</f>
        <v>#VALUE!</v>
      </c>
      <c r="DI192" t="e">
        <f>AND('STERLING CATALOG - DRY '!D4286,"AAAAAHM/3XA=")</f>
        <v>#VALUE!</v>
      </c>
      <c r="DJ192" t="e">
        <f>AND('STERLING CATALOG - DRY '!E4286,"AAAAAHM/3XE=")</f>
        <v>#VALUE!</v>
      </c>
      <c r="DK192" t="e">
        <f>AND('STERLING CATALOG - DRY '!F4286,"AAAAAHM/3XI=")</f>
        <v>#VALUE!</v>
      </c>
      <c r="DL192" t="e">
        <f>AND('STERLING CATALOG - DRY '!G4286,"AAAAAHM/3XM=")</f>
        <v>#VALUE!</v>
      </c>
      <c r="DM192" t="e">
        <f>AND('STERLING CATALOG - DRY '!H4286,"AAAAAHM/3XQ=")</f>
        <v>#VALUE!</v>
      </c>
      <c r="DN192" t="e">
        <f>AND('STERLING CATALOG - DRY '!I4286,"AAAAAHM/3XU=")</f>
        <v>#VALUE!</v>
      </c>
      <c r="DO192" t="e">
        <f>AND('STERLING CATALOG - DRY '!J4286,"AAAAAHM/3XY=")</f>
        <v>#VALUE!</v>
      </c>
      <c r="DP192">
        <f>IF('STERLING CATALOG - DRY '!4287:4287,"AAAAAHM/3Xc=",0)</f>
        <v>0</v>
      </c>
      <c r="DQ192" t="e">
        <f>AND('STERLING CATALOG - DRY '!A4287,"AAAAAHM/3Xg=")</f>
        <v>#VALUE!</v>
      </c>
      <c r="DR192" t="e">
        <f>AND('STERLING CATALOG - DRY '!B4287,"AAAAAHM/3Xk=")</f>
        <v>#VALUE!</v>
      </c>
      <c r="DS192" t="e">
        <f>AND('STERLING CATALOG - DRY '!C4287,"AAAAAHM/3Xo=")</f>
        <v>#VALUE!</v>
      </c>
      <c r="DT192" t="e">
        <f>AND('STERLING CATALOG - DRY '!D4287,"AAAAAHM/3Xs=")</f>
        <v>#VALUE!</v>
      </c>
      <c r="DU192" t="e">
        <f>AND('STERLING CATALOG - DRY '!E4287,"AAAAAHM/3Xw=")</f>
        <v>#VALUE!</v>
      </c>
      <c r="DV192" t="e">
        <f>AND('STERLING CATALOG - DRY '!F4287,"AAAAAHM/3X0=")</f>
        <v>#VALUE!</v>
      </c>
      <c r="DW192" t="e">
        <f>AND('STERLING CATALOG - DRY '!G4287,"AAAAAHM/3X4=")</f>
        <v>#VALUE!</v>
      </c>
      <c r="DX192" t="e">
        <f>AND('STERLING CATALOG - DRY '!H4287,"AAAAAHM/3X8=")</f>
        <v>#VALUE!</v>
      </c>
      <c r="DY192" t="e">
        <f>AND('STERLING CATALOG - DRY '!I4287,"AAAAAHM/3YA=")</f>
        <v>#VALUE!</v>
      </c>
      <c r="DZ192" t="e">
        <f>AND('STERLING CATALOG - DRY '!J4287,"AAAAAHM/3YE=")</f>
        <v>#VALUE!</v>
      </c>
      <c r="EA192">
        <f>IF('STERLING CATALOG - DRY '!4288:4288,"AAAAAHM/3YI=",0)</f>
        <v>0</v>
      </c>
      <c r="EB192" t="e">
        <f>AND('STERLING CATALOG - DRY '!A4288,"AAAAAHM/3YM=")</f>
        <v>#VALUE!</v>
      </c>
      <c r="EC192" t="e">
        <f>AND('STERLING CATALOG - DRY '!B4288,"AAAAAHM/3YQ=")</f>
        <v>#VALUE!</v>
      </c>
      <c r="ED192" t="e">
        <f>AND('STERLING CATALOG - DRY '!C4288,"AAAAAHM/3YU=")</f>
        <v>#VALUE!</v>
      </c>
      <c r="EE192" t="e">
        <f>AND('STERLING CATALOG - DRY '!D4288,"AAAAAHM/3YY=")</f>
        <v>#VALUE!</v>
      </c>
      <c r="EF192" t="e">
        <f>AND('STERLING CATALOG - DRY '!E4288,"AAAAAHM/3Yc=")</f>
        <v>#VALUE!</v>
      </c>
      <c r="EG192" t="e">
        <f>AND('STERLING CATALOG - DRY '!F4288,"AAAAAHM/3Yg=")</f>
        <v>#VALUE!</v>
      </c>
      <c r="EH192" t="e">
        <f>AND('STERLING CATALOG - DRY '!G4288,"AAAAAHM/3Yk=")</f>
        <v>#VALUE!</v>
      </c>
      <c r="EI192" t="e">
        <f>AND('STERLING CATALOG - DRY '!H4288,"AAAAAHM/3Yo=")</f>
        <v>#VALUE!</v>
      </c>
      <c r="EJ192" t="e">
        <f>AND('STERLING CATALOG - DRY '!I4288,"AAAAAHM/3Ys=")</f>
        <v>#VALUE!</v>
      </c>
      <c r="EK192" t="e">
        <f>AND('STERLING CATALOG - DRY '!J4288,"AAAAAHM/3Yw=")</f>
        <v>#VALUE!</v>
      </c>
      <c r="EL192">
        <f>IF('STERLING CATALOG - DRY '!4289:4289,"AAAAAHM/3Y0=",0)</f>
        <v>0</v>
      </c>
      <c r="EM192" t="e">
        <f>AND('STERLING CATALOG - DRY '!A4289,"AAAAAHM/3Y4=")</f>
        <v>#VALUE!</v>
      </c>
      <c r="EN192" t="e">
        <f>AND('STERLING CATALOG - DRY '!B4289,"AAAAAHM/3Y8=")</f>
        <v>#VALUE!</v>
      </c>
      <c r="EO192" t="e">
        <f>AND('STERLING CATALOG - DRY '!C4289,"AAAAAHM/3ZA=")</f>
        <v>#VALUE!</v>
      </c>
      <c r="EP192" t="e">
        <f>AND('STERLING CATALOG - DRY '!D4289,"AAAAAHM/3ZE=")</f>
        <v>#VALUE!</v>
      </c>
      <c r="EQ192" t="e">
        <f>AND('STERLING CATALOG - DRY '!E4289,"AAAAAHM/3ZI=")</f>
        <v>#VALUE!</v>
      </c>
      <c r="ER192" t="e">
        <f>AND('STERLING CATALOG - DRY '!F4289,"AAAAAHM/3ZM=")</f>
        <v>#VALUE!</v>
      </c>
      <c r="ES192" t="e">
        <f>AND('STERLING CATALOG - DRY '!G4289,"AAAAAHM/3ZQ=")</f>
        <v>#VALUE!</v>
      </c>
      <c r="ET192" t="e">
        <f>AND('STERLING CATALOG - DRY '!H4289,"AAAAAHM/3ZU=")</f>
        <v>#VALUE!</v>
      </c>
      <c r="EU192" t="e">
        <f>AND('STERLING CATALOG - DRY '!I4289,"AAAAAHM/3ZY=")</f>
        <v>#VALUE!</v>
      </c>
      <c r="EV192" t="e">
        <f>AND('STERLING CATALOG - DRY '!J4289,"AAAAAHM/3Zc=")</f>
        <v>#VALUE!</v>
      </c>
      <c r="EW192">
        <f>IF('STERLING CATALOG - DRY '!4290:4290,"AAAAAHM/3Zg=",0)</f>
        <v>0</v>
      </c>
      <c r="EX192" t="e">
        <f>AND('STERLING CATALOG - DRY '!A4290,"AAAAAHM/3Zk=")</f>
        <v>#VALUE!</v>
      </c>
      <c r="EY192" t="e">
        <f>AND('STERLING CATALOG - DRY '!B4290,"AAAAAHM/3Zo=")</f>
        <v>#VALUE!</v>
      </c>
      <c r="EZ192" t="e">
        <f>AND('STERLING CATALOG - DRY '!C4290,"AAAAAHM/3Zs=")</f>
        <v>#VALUE!</v>
      </c>
      <c r="FA192" t="e">
        <f>AND('STERLING CATALOG - DRY '!D4290,"AAAAAHM/3Zw=")</f>
        <v>#VALUE!</v>
      </c>
      <c r="FB192" t="e">
        <f>AND('STERLING CATALOG - DRY '!E4290,"AAAAAHM/3Z0=")</f>
        <v>#VALUE!</v>
      </c>
      <c r="FC192" t="e">
        <f>AND('STERLING CATALOG - DRY '!F4290,"AAAAAHM/3Z4=")</f>
        <v>#VALUE!</v>
      </c>
      <c r="FD192" t="e">
        <f>AND('STERLING CATALOG - DRY '!G4290,"AAAAAHM/3Z8=")</f>
        <v>#VALUE!</v>
      </c>
      <c r="FE192" t="e">
        <f>AND('STERLING CATALOG - DRY '!H4290,"AAAAAHM/3aA=")</f>
        <v>#VALUE!</v>
      </c>
      <c r="FF192" t="e">
        <f>AND('STERLING CATALOG - DRY '!I4290,"AAAAAHM/3aE=")</f>
        <v>#VALUE!</v>
      </c>
      <c r="FG192" t="e">
        <f>AND('STERLING CATALOG - DRY '!J4290,"AAAAAHM/3aI=")</f>
        <v>#VALUE!</v>
      </c>
      <c r="FH192">
        <f>IF('STERLING CATALOG - DRY '!4291:4291,"AAAAAHM/3aM=",0)</f>
        <v>0</v>
      </c>
      <c r="FI192" t="e">
        <f>AND('STERLING CATALOG - DRY '!A4291,"AAAAAHM/3aQ=")</f>
        <v>#VALUE!</v>
      </c>
      <c r="FJ192" t="e">
        <f>AND('STERLING CATALOG - DRY '!B4291,"AAAAAHM/3aU=")</f>
        <v>#VALUE!</v>
      </c>
      <c r="FK192" t="e">
        <f>AND('STERLING CATALOG - DRY '!C4291,"AAAAAHM/3aY=")</f>
        <v>#VALUE!</v>
      </c>
      <c r="FL192" t="e">
        <f>AND('STERLING CATALOG - DRY '!D4291,"AAAAAHM/3ac=")</f>
        <v>#VALUE!</v>
      </c>
      <c r="FM192" t="e">
        <f>AND('STERLING CATALOG - DRY '!E4291,"AAAAAHM/3ag=")</f>
        <v>#VALUE!</v>
      </c>
      <c r="FN192" t="e">
        <f>AND('STERLING CATALOG - DRY '!F4291,"AAAAAHM/3ak=")</f>
        <v>#VALUE!</v>
      </c>
      <c r="FO192" t="e">
        <f>AND('STERLING CATALOG - DRY '!G4291,"AAAAAHM/3ao=")</f>
        <v>#VALUE!</v>
      </c>
      <c r="FP192" t="e">
        <f>AND('STERLING CATALOG - DRY '!H4291,"AAAAAHM/3as=")</f>
        <v>#VALUE!</v>
      </c>
      <c r="FQ192" t="e">
        <f>AND('STERLING CATALOG - DRY '!I4291,"AAAAAHM/3aw=")</f>
        <v>#VALUE!</v>
      </c>
      <c r="FR192" t="e">
        <f>AND('STERLING CATALOG - DRY '!J4291,"AAAAAHM/3a0=")</f>
        <v>#VALUE!</v>
      </c>
      <c r="FS192">
        <f>IF('STERLING CATALOG - DRY '!4292:4292,"AAAAAHM/3a4=",0)</f>
        <v>0</v>
      </c>
      <c r="FT192" t="e">
        <f>AND('STERLING CATALOG - DRY '!A4292,"AAAAAHM/3a8=")</f>
        <v>#VALUE!</v>
      </c>
      <c r="FU192" t="e">
        <f>AND('STERLING CATALOG - DRY '!B4292,"AAAAAHM/3bA=")</f>
        <v>#VALUE!</v>
      </c>
      <c r="FV192" t="e">
        <f>AND('STERLING CATALOG - DRY '!C4292,"AAAAAHM/3bE=")</f>
        <v>#VALUE!</v>
      </c>
      <c r="FW192" t="e">
        <f>AND('STERLING CATALOG - DRY '!D4292,"AAAAAHM/3bI=")</f>
        <v>#VALUE!</v>
      </c>
      <c r="FX192" t="e">
        <f>AND('STERLING CATALOG - DRY '!E4292,"AAAAAHM/3bM=")</f>
        <v>#VALUE!</v>
      </c>
      <c r="FY192" t="e">
        <f>AND('STERLING CATALOG - DRY '!F4292,"AAAAAHM/3bQ=")</f>
        <v>#VALUE!</v>
      </c>
      <c r="FZ192" t="e">
        <f>AND('STERLING CATALOG - DRY '!G4292,"AAAAAHM/3bU=")</f>
        <v>#VALUE!</v>
      </c>
      <c r="GA192" t="e">
        <f>AND('STERLING CATALOG - DRY '!H4292,"AAAAAHM/3bY=")</f>
        <v>#VALUE!</v>
      </c>
      <c r="GB192" t="e">
        <f>AND('STERLING CATALOG - DRY '!I4292,"AAAAAHM/3bc=")</f>
        <v>#VALUE!</v>
      </c>
      <c r="GC192" t="e">
        <f>AND('STERLING CATALOG - DRY '!J4292,"AAAAAHM/3bg=")</f>
        <v>#VALUE!</v>
      </c>
      <c r="GD192">
        <f>IF('STERLING CATALOG - DRY '!4293:4293,"AAAAAHM/3bk=",0)</f>
        <v>0</v>
      </c>
      <c r="GE192" t="e">
        <f>AND('STERLING CATALOG - DRY '!A4293,"AAAAAHM/3bo=")</f>
        <v>#VALUE!</v>
      </c>
      <c r="GF192" t="e">
        <f>AND('STERLING CATALOG - DRY '!B4293,"AAAAAHM/3bs=")</f>
        <v>#VALUE!</v>
      </c>
      <c r="GG192" t="e">
        <f>AND('STERLING CATALOG - DRY '!C4293,"AAAAAHM/3bw=")</f>
        <v>#VALUE!</v>
      </c>
      <c r="GH192" t="e">
        <f>AND('STERLING CATALOG - DRY '!D4293,"AAAAAHM/3b0=")</f>
        <v>#VALUE!</v>
      </c>
      <c r="GI192" t="e">
        <f>AND('STERLING CATALOG - DRY '!E4293,"AAAAAHM/3b4=")</f>
        <v>#VALUE!</v>
      </c>
      <c r="GJ192" t="e">
        <f>AND('STERLING CATALOG - DRY '!F4293,"AAAAAHM/3b8=")</f>
        <v>#VALUE!</v>
      </c>
      <c r="GK192" t="e">
        <f>AND('STERLING CATALOG - DRY '!G4293,"AAAAAHM/3cA=")</f>
        <v>#VALUE!</v>
      </c>
      <c r="GL192" t="e">
        <f>AND('STERLING CATALOG - DRY '!H4293,"AAAAAHM/3cE=")</f>
        <v>#VALUE!</v>
      </c>
      <c r="GM192" t="e">
        <f>AND('STERLING CATALOG - DRY '!I4293,"AAAAAHM/3cI=")</f>
        <v>#VALUE!</v>
      </c>
      <c r="GN192" t="e">
        <f>AND('STERLING CATALOG - DRY '!J4293,"AAAAAHM/3cM=")</f>
        <v>#VALUE!</v>
      </c>
      <c r="GO192">
        <f>IF('STERLING CATALOG - DRY '!4294:4294,"AAAAAHM/3cQ=",0)</f>
        <v>0</v>
      </c>
      <c r="GP192" t="e">
        <f>AND('STERLING CATALOG - DRY '!A4294,"AAAAAHM/3cU=")</f>
        <v>#VALUE!</v>
      </c>
      <c r="GQ192" t="e">
        <f>AND('STERLING CATALOG - DRY '!B4294,"AAAAAHM/3cY=")</f>
        <v>#VALUE!</v>
      </c>
      <c r="GR192" t="e">
        <f>AND('STERLING CATALOG - DRY '!C4294,"AAAAAHM/3cc=")</f>
        <v>#VALUE!</v>
      </c>
      <c r="GS192" t="e">
        <f>AND('STERLING CATALOG - DRY '!D4294,"AAAAAHM/3cg=")</f>
        <v>#VALUE!</v>
      </c>
      <c r="GT192" t="e">
        <f>AND('STERLING CATALOG - DRY '!E4294,"AAAAAHM/3ck=")</f>
        <v>#VALUE!</v>
      </c>
      <c r="GU192" t="e">
        <f>AND('STERLING CATALOG - DRY '!F4294,"AAAAAHM/3co=")</f>
        <v>#VALUE!</v>
      </c>
      <c r="GV192" t="e">
        <f>AND('STERLING CATALOG - DRY '!G4294,"AAAAAHM/3cs=")</f>
        <v>#VALUE!</v>
      </c>
      <c r="GW192" t="e">
        <f>AND('STERLING CATALOG - DRY '!H4294,"AAAAAHM/3cw=")</f>
        <v>#VALUE!</v>
      </c>
      <c r="GX192" t="e">
        <f>AND('STERLING CATALOG - DRY '!I4294,"AAAAAHM/3c0=")</f>
        <v>#VALUE!</v>
      </c>
      <c r="GY192" t="e">
        <f>AND('STERLING CATALOG - DRY '!J4294,"AAAAAHM/3c4=")</f>
        <v>#VALUE!</v>
      </c>
      <c r="GZ192">
        <f>IF('STERLING CATALOG - DRY '!4295:4295,"AAAAAHM/3c8=",0)</f>
        <v>0</v>
      </c>
      <c r="HA192" t="e">
        <f>AND('STERLING CATALOG - DRY '!A4295,"AAAAAHM/3dA=")</f>
        <v>#VALUE!</v>
      </c>
      <c r="HB192" t="e">
        <f>AND('STERLING CATALOG - DRY '!B4295,"AAAAAHM/3dE=")</f>
        <v>#VALUE!</v>
      </c>
      <c r="HC192" t="e">
        <f>AND('STERLING CATALOG - DRY '!C4295,"AAAAAHM/3dI=")</f>
        <v>#VALUE!</v>
      </c>
      <c r="HD192" t="e">
        <f>AND('STERLING CATALOG - DRY '!D4295,"AAAAAHM/3dM=")</f>
        <v>#VALUE!</v>
      </c>
      <c r="HE192" t="e">
        <f>AND('STERLING CATALOG - DRY '!E4295,"AAAAAHM/3dQ=")</f>
        <v>#VALUE!</v>
      </c>
      <c r="HF192" t="e">
        <f>AND('STERLING CATALOG - DRY '!F4295,"AAAAAHM/3dU=")</f>
        <v>#VALUE!</v>
      </c>
      <c r="HG192" t="e">
        <f>AND('STERLING CATALOG - DRY '!G4295,"AAAAAHM/3dY=")</f>
        <v>#VALUE!</v>
      </c>
      <c r="HH192" t="e">
        <f>AND('STERLING CATALOG - DRY '!H4295,"AAAAAHM/3dc=")</f>
        <v>#VALUE!</v>
      </c>
      <c r="HI192" t="e">
        <f>AND('STERLING CATALOG - DRY '!I4295,"AAAAAHM/3dg=")</f>
        <v>#VALUE!</v>
      </c>
      <c r="HJ192" t="e">
        <f>AND('STERLING CATALOG - DRY '!J4295,"AAAAAHM/3dk=")</f>
        <v>#VALUE!</v>
      </c>
      <c r="HK192">
        <f>IF('STERLING CATALOG - DRY '!4296:4296,"AAAAAHM/3do=",0)</f>
        <v>0</v>
      </c>
      <c r="HL192" t="e">
        <f>AND('STERLING CATALOG - DRY '!A4296,"AAAAAHM/3ds=")</f>
        <v>#VALUE!</v>
      </c>
      <c r="HM192" t="e">
        <f>AND('STERLING CATALOG - DRY '!B4296,"AAAAAHM/3dw=")</f>
        <v>#VALUE!</v>
      </c>
      <c r="HN192" t="e">
        <f>AND('STERLING CATALOG - DRY '!C4296,"AAAAAHM/3d0=")</f>
        <v>#VALUE!</v>
      </c>
      <c r="HO192" t="e">
        <f>AND('STERLING CATALOG - DRY '!D4296,"AAAAAHM/3d4=")</f>
        <v>#VALUE!</v>
      </c>
      <c r="HP192" t="e">
        <f>AND('STERLING CATALOG - DRY '!E4296,"AAAAAHM/3d8=")</f>
        <v>#VALUE!</v>
      </c>
      <c r="HQ192" t="e">
        <f>AND('STERLING CATALOG - DRY '!F4296,"AAAAAHM/3eA=")</f>
        <v>#VALUE!</v>
      </c>
      <c r="HR192" t="e">
        <f>AND('STERLING CATALOG - DRY '!G4296,"AAAAAHM/3eE=")</f>
        <v>#VALUE!</v>
      </c>
      <c r="HS192" t="e">
        <f>AND('STERLING CATALOG - DRY '!H4296,"AAAAAHM/3eI=")</f>
        <v>#VALUE!</v>
      </c>
      <c r="HT192" t="e">
        <f>AND('STERLING CATALOG - DRY '!I4296,"AAAAAHM/3eM=")</f>
        <v>#VALUE!</v>
      </c>
      <c r="HU192" t="e">
        <f>AND('STERLING CATALOG - DRY '!J4296,"AAAAAHM/3eQ=")</f>
        <v>#VALUE!</v>
      </c>
      <c r="HV192">
        <f>IF('STERLING CATALOG - DRY '!4297:4297,"AAAAAHM/3eU=",0)</f>
        <v>0</v>
      </c>
      <c r="HW192" t="e">
        <f>AND('STERLING CATALOG - DRY '!A4297,"AAAAAHM/3eY=")</f>
        <v>#VALUE!</v>
      </c>
      <c r="HX192" t="e">
        <f>AND('STERLING CATALOG - DRY '!B4297,"AAAAAHM/3ec=")</f>
        <v>#VALUE!</v>
      </c>
      <c r="HY192" t="e">
        <f>AND('STERLING CATALOG - DRY '!C4297,"AAAAAHM/3eg=")</f>
        <v>#VALUE!</v>
      </c>
      <c r="HZ192" t="e">
        <f>AND('STERLING CATALOG - DRY '!D4297,"AAAAAHM/3ek=")</f>
        <v>#VALUE!</v>
      </c>
      <c r="IA192" t="e">
        <f>AND('STERLING CATALOG - DRY '!E4297,"AAAAAHM/3eo=")</f>
        <v>#VALUE!</v>
      </c>
      <c r="IB192" t="e">
        <f>AND('STERLING CATALOG - DRY '!F4297,"AAAAAHM/3es=")</f>
        <v>#VALUE!</v>
      </c>
      <c r="IC192" t="e">
        <f>AND('STERLING CATALOG - DRY '!G4297,"AAAAAHM/3ew=")</f>
        <v>#VALUE!</v>
      </c>
      <c r="ID192" t="e">
        <f>AND('STERLING CATALOG - DRY '!H4297,"AAAAAHM/3e0=")</f>
        <v>#VALUE!</v>
      </c>
      <c r="IE192" t="e">
        <f>AND('STERLING CATALOG - DRY '!I4297,"AAAAAHM/3e4=")</f>
        <v>#VALUE!</v>
      </c>
      <c r="IF192" t="e">
        <f>AND('STERLING CATALOG - DRY '!J4297,"AAAAAHM/3e8=")</f>
        <v>#VALUE!</v>
      </c>
      <c r="IG192">
        <f>IF('STERLING CATALOG - DRY '!4298:4298,"AAAAAHM/3fA=",0)</f>
        <v>0</v>
      </c>
      <c r="IH192" t="e">
        <f>AND('STERLING CATALOG - DRY '!A4298,"AAAAAHM/3fE=")</f>
        <v>#VALUE!</v>
      </c>
      <c r="II192" t="e">
        <f>AND('STERLING CATALOG - DRY '!B4298,"AAAAAHM/3fI=")</f>
        <v>#VALUE!</v>
      </c>
      <c r="IJ192" t="e">
        <f>AND('STERLING CATALOG - DRY '!C4298,"AAAAAHM/3fM=")</f>
        <v>#VALUE!</v>
      </c>
      <c r="IK192" t="e">
        <f>AND('STERLING CATALOG - DRY '!D4298,"AAAAAHM/3fQ=")</f>
        <v>#VALUE!</v>
      </c>
      <c r="IL192" t="e">
        <f>AND('STERLING CATALOG - DRY '!E4298,"AAAAAHM/3fU=")</f>
        <v>#VALUE!</v>
      </c>
      <c r="IM192" t="e">
        <f>AND('STERLING CATALOG - DRY '!F4298,"AAAAAHM/3fY=")</f>
        <v>#VALUE!</v>
      </c>
      <c r="IN192" t="e">
        <f>AND('STERLING CATALOG - DRY '!G4298,"AAAAAHM/3fc=")</f>
        <v>#VALUE!</v>
      </c>
      <c r="IO192" t="e">
        <f>AND('STERLING CATALOG - DRY '!H4298,"AAAAAHM/3fg=")</f>
        <v>#VALUE!</v>
      </c>
      <c r="IP192" t="e">
        <f>AND('STERLING CATALOG - DRY '!I4298,"AAAAAHM/3fk=")</f>
        <v>#VALUE!</v>
      </c>
      <c r="IQ192" t="e">
        <f>AND('STERLING CATALOG - DRY '!J4298,"AAAAAHM/3fo=")</f>
        <v>#VALUE!</v>
      </c>
      <c r="IR192">
        <f>IF('STERLING CATALOG - DRY '!4299:4299,"AAAAAHM/3fs=",0)</f>
        <v>0</v>
      </c>
      <c r="IS192" t="e">
        <f>AND('STERLING CATALOG - DRY '!A4299,"AAAAAHM/3fw=")</f>
        <v>#VALUE!</v>
      </c>
      <c r="IT192" t="e">
        <f>AND('STERLING CATALOG - DRY '!B4299,"AAAAAHM/3f0=")</f>
        <v>#VALUE!</v>
      </c>
      <c r="IU192" t="e">
        <f>AND('STERLING CATALOG - DRY '!C4299,"AAAAAHM/3f4=")</f>
        <v>#VALUE!</v>
      </c>
      <c r="IV192" t="e">
        <f>AND('STERLING CATALOG - DRY '!D4299,"AAAAAHM/3f8=")</f>
        <v>#VALUE!</v>
      </c>
    </row>
    <row r="193" spans="1:256">
      <c r="A193" t="e">
        <f>AND('STERLING CATALOG - DRY '!E4299,"AAAAAGP+4wA=")</f>
        <v>#VALUE!</v>
      </c>
      <c r="B193" t="e">
        <f>AND('STERLING CATALOG - DRY '!F4299,"AAAAAGP+4wE=")</f>
        <v>#VALUE!</v>
      </c>
      <c r="C193" t="e">
        <f>AND('STERLING CATALOG - DRY '!G4299,"AAAAAGP+4wI=")</f>
        <v>#VALUE!</v>
      </c>
      <c r="D193" t="e">
        <f>AND('STERLING CATALOG - DRY '!H4299,"AAAAAGP+4wM=")</f>
        <v>#VALUE!</v>
      </c>
      <c r="E193" t="e">
        <f>AND('STERLING CATALOG - DRY '!I4299,"AAAAAGP+4wQ=")</f>
        <v>#VALUE!</v>
      </c>
      <c r="F193" t="e">
        <f>AND('STERLING CATALOG - DRY '!J4299,"AAAAAGP+4wU=")</f>
        <v>#VALUE!</v>
      </c>
      <c r="G193" t="e">
        <f>IF('STERLING CATALOG - DRY '!4300:4300,"AAAAAGP+4wY=",0)</f>
        <v>#VALUE!</v>
      </c>
      <c r="H193" t="e">
        <f>AND('STERLING CATALOG - DRY '!A4300,"AAAAAGP+4wc=")</f>
        <v>#VALUE!</v>
      </c>
      <c r="I193" t="e">
        <f>AND('STERLING CATALOG - DRY '!B4300,"AAAAAGP+4wg=")</f>
        <v>#VALUE!</v>
      </c>
      <c r="J193" t="e">
        <f>AND('STERLING CATALOG - DRY '!C4300,"AAAAAGP+4wk=")</f>
        <v>#VALUE!</v>
      </c>
      <c r="K193" t="e">
        <f>AND('STERLING CATALOG - DRY '!D4300,"AAAAAGP+4wo=")</f>
        <v>#VALUE!</v>
      </c>
      <c r="L193" t="e">
        <f>AND('STERLING CATALOG - DRY '!E4300,"AAAAAGP+4ws=")</f>
        <v>#VALUE!</v>
      </c>
      <c r="M193" t="e">
        <f>AND('STERLING CATALOG - DRY '!F4300,"AAAAAGP+4ww=")</f>
        <v>#VALUE!</v>
      </c>
      <c r="N193" t="e">
        <f>AND('STERLING CATALOG - DRY '!G4300,"AAAAAGP+4w0=")</f>
        <v>#VALUE!</v>
      </c>
      <c r="O193" t="e">
        <f>AND('STERLING CATALOG - DRY '!H4300,"AAAAAGP+4w4=")</f>
        <v>#VALUE!</v>
      </c>
      <c r="P193" t="e">
        <f>AND('STERLING CATALOG - DRY '!I4300,"AAAAAGP+4w8=")</f>
        <v>#VALUE!</v>
      </c>
      <c r="Q193" t="e">
        <f>AND('STERLING CATALOG - DRY '!J4300,"AAAAAGP+4xA=")</f>
        <v>#VALUE!</v>
      </c>
      <c r="R193">
        <f>IF('STERLING CATALOG - DRY '!4301:4301,"AAAAAGP+4xE=",0)</f>
        <v>0</v>
      </c>
      <c r="S193" t="e">
        <f>AND('STERLING CATALOG - DRY '!A4301,"AAAAAGP+4xI=")</f>
        <v>#VALUE!</v>
      </c>
      <c r="T193" t="e">
        <f>AND('STERLING CATALOG - DRY '!B4301,"AAAAAGP+4xM=")</f>
        <v>#VALUE!</v>
      </c>
      <c r="U193" t="e">
        <f>AND('STERLING CATALOG - DRY '!C4301,"AAAAAGP+4xQ=")</f>
        <v>#VALUE!</v>
      </c>
      <c r="V193" t="e">
        <f>AND('STERLING CATALOG - DRY '!D4301,"AAAAAGP+4xU=")</f>
        <v>#VALUE!</v>
      </c>
      <c r="W193" t="e">
        <f>AND('STERLING CATALOG - DRY '!E4301,"AAAAAGP+4xY=")</f>
        <v>#VALUE!</v>
      </c>
      <c r="X193" t="e">
        <f>AND('STERLING CATALOG - DRY '!F4301,"AAAAAGP+4xc=")</f>
        <v>#VALUE!</v>
      </c>
      <c r="Y193" t="e">
        <f>AND('STERLING CATALOG - DRY '!G4301,"AAAAAGP+4xg=")</f>
        <v>#VALUE!</v>
      </c>
      <c r="Z193" t="e">
        <f>AND('STERLING CATALOG - DRY '!H4301,"AAAAAGP+4xk=")</f>
        <v>#VALUE!</v>
      </c>
      <c r="AA193" t="e">
        <f>AND('STERLING CATALOG - DRY '!I4301,"AAAAAGP+4xo=")</f>
        <v>#VALUE!</v>
      </c>
      <c r="AB193" t="e">
        <f>AND('STERLING CATALOG - DRY '!J4301,"AAAAAGP+4xs=")</f>
        <v>#VALUE!</v>
      </c>
      <c r="AC193">
        <f>IF('STERLING CATALOG - DRY '!4302:4302,"AAAAAGP+4xw=",0)</f>
        <v>0</v>
      </c>
      <c r="AD193" t="e">
        <f>AND('STERLING CATALOG - DRY '!A4302,"AAAAAGP+4x0=")</f>
        <v>#VALUE!</v>
      </c>
      <c r="AE193" t="e">
        <f>AND('STERLING CATALOG - DRY '!B4302,"AAAAAGP+4x4=")</f>
        <v>#VALUE!</v>
      </c>
      <c r="AF193" t="e">
        <f>AND('STERLING CATALOG - DRY '!C4302,"AAAAAGP+4x8=")</f>
        <v>#VALUE!</v>
      </c>
      <c r="AG193" t="e">
        <f>AND('STERLING CATALOG - DRY '!D4302,"AAAAAGP+4yA=")</f>
        <v>#VALUE!</v>
      </c>
      <c r="AH193" t="e">
        <f>AND('STERLING CATALOG - DRY '!E4302,"AAAAAGP+4yE=")</f>
        <v>#VALUE!</v>
      </c>
      <c r="AI193" t="e">
        <f>AND('STERLING CATALOG - DRY '!F4302,"AAAAAGP+4yI=")</f>
        <v>#VALUE!</v>
      </c>
      <c r="AJ193" t="e">
        <f>AND('STERLING CATALOG - DRY '!G4302,"AAAAAGP+4yM=")</f>
        <v>#VALUE!</v>
      </c>
      <c r="AK193" t="e">
        <f>AND('STERLING CATALOG - DRY '!H4302,"AAAAAGP+4yQ=")</f>
        <v>#VALUE!</v>
      </c>
      <c r="AL193" t="e">
        <f>AND('STERLING CATALOG - DRY '!I4302,"AAAAAGP+4yU=")</f>
        <v>#VALUE!</v>
      </c>
      <c r="AM193" t="e">
        <f>AND('STERLING CATALOG - DRY '!J4302,"AAAAAGP+4yY=")</f>
        <v>#VALUE!</v>
      </c>
      <c r="AN193">
        <f>IF('STERLING CATALOG - DRY '!4303:4303,"AAAAAGP+4yc=",0)</f>
        <v>0</v>
      </c>
      <c r="AO193" t="e">
        <f>AND('STERLING CATALOG - DRY '!A4303,"AAAAAGP+4yg=")</f>
        <v>#VALUE!</v>
      </c>
      <c r="AP193" t="e">
        <f>AND('STERLING CATALOG - DRY '!B4303,"AAAAAGP+4yk=")</f>
        <v>#VALUE!</v>
      </c>
      <c r="AQ193" t="e">
        <f>AND('STERLING CATALOG - DRY '!C4303,"AAAAAGP+4yo=")</f>
        <v>#VALUE!</v>
      </c>
      <c r="AR193" t="e">
        <f>AND('STERLING CATALOG - DRY '!D4303,"AAAAAGP+4ys=")</f>
        <v>#VALUE!</v>
      </c>
      <c r="AS193" t="e">
        <f>AND('STERLING CATALOG - DRY '!E4303,"AAAAAGP+4yw=")</f>
        <v>#VALUE!</v>
      </c>
      <c r="AT193" t="e">
        <f>AND('STERLING CATALOG - DRY '!F4303,"AAAAAGP+4y0=")</f>
        <v>#VALUE!</v>
      </c>
      <c r="AU193" t="e">
        <f>AND('STERLING CATALOG - DRY '!G4303,"AAAAAGP+4y4=")</f>
        <v>#VALUE!</v>
      </c>
      <c r="AV193" t="e">
        <f>AND('STERLING CATALOG - DRY '!H4303,"AAAAAGP+4y8=")</f>
        <v>#VALUE!</v>
      </c>
      <c r="AW193" t="e">
        <f>AND('STERLING CATALOG - DRY '!I4303,"AAAAAGP+4zA=")</f>
        <v>#VALUE!</v>
      </c>
      <c r="AX193" t="e">
        <f>AND('STERLING CATALOG - DRY '!J4303,"AAAAAGP+4zE=")</f>
        <v>#VALUE!</v>
      </c>
      <c r="AY193">
        <f>IF('STERLING CATALOG - DRY '!4304:4304,"AAAAAGP+4zI=",0)</f>
        <v>0</v>
      </c>
      <c r="AZ193" t="e">
        <f>AND('STERLING CATALOG - DRY '!A4304,"AAAAAGP+4zM=")</f>
        <v>#VALUE!</v>
      </c>
      <c r="BA193" t="e">
        <f>AND('STERLING CATALOG - DRY '!B4304,"AAAAAGP+4zQ=")</f>
        <v>#VALUE!</v>
      </c>
      <c r="BB193" t="e">
        <f>AND('STERLING CATALOG - DRY '!C4304,"AAAAAGP+4zU=")</f>
        <v>#VALUE!</v>
      </c>
      <c r="BC193" t="e">
        <f>AND('STERLING CATALOG - DRY '!D4304,"AAAAAGP+4zY=")</f>
        <v>#VALUE!</v>
      </c>
      <c r="BD193" t="e">
        <f>AND('STERLING CATALOG - DRY '!E4304,"AAAAAGP+4zc=")</f>
        <v>#VALUE!</v>
      </c>
      <c r="BE193" t="e">
        <f>AND('STERLING CATALOG - DRY '!F4304,"AAAAAGP+4zg=")</f>
        <v>#VALUE!</v>
      </c>
      <c r="BF193" t="e">
        <f>AND('STERLING CATALOG - DRY '!G4304,"AAAAAGP+4zk=")</f>
        <v>#VALUE!</v>
      </c>
      <c r="BG193" t="e">
        <f>AND('STERLING CATALOG - DRY '!H4304,"AAAAAGP+4zo=")</f>
        <v>#VALUE!</v>
      </c>
      <c r="BH193" t="e">
        <f>AND('STERLING CATALOG - DRY '!I4304,"AAAAAGP+4zs=")</f>
        <v>#VALUE!</v>
      </c>
      <c r="BI193" t="e">
        <f>AND('STERLING CATALOG - DRY '!J4304,"AAAAAGP+4zw=")</f>
        <v>#VALUE!</v>
      </c>
      <c r="BJ193">
        <f>IF('STERLING CATALOG - DRY '!4305:4305,"AAAAAGP+4z0=",0)</f>
        <v>0</v>
      </c>
      <c r="BK193" t="e">
        <f>AND('STERLING CATALOG - DRY '!A4305,"AAAAAGP+4z4=")</f>
        <v>#VALUE!</v>
      </c>
      <c r="BL193" t="e">
        <f>AND('STERLING CATALOG - DRY '!B4305,"AAAAAGP+4z8=")</f>
        <v>#VALUE!</v>
      </c>
      <c r="BM193" t="e">
        <f>AND('STERLING CATALOG - DRY '!C4305,"AAAAAGP+40A=")</f>
        <v>#VALUE!</v>
      </c>
      <c r="BN193" t="e">
        <f>AND('STERLING CATALOG - DRY '!D4305,"AAAAAGP+40E=")</f>
        <v>#VALUE!</v>
      </c>
      <c r="BO193" t="e">
        <f>AND('STERLING CATALOG - DRY '!E4305,"AAAAAGP+40I=")</f>
        <v>#VALUE!</v>
      </c>
      <c r="BP193" t="e">
        <f>AND('STERLING CATALOG - DRY '!F4305,"AAAAAGP+40M=")</f>
        <v>#VALUE!</v>
      </c>
      <c r="BQ193" t="e">
        <f>AND('STERLING CATALOG - DRY '!G4305,"AAAAAGP+40Q=")</f>
        <v>#VALUE!</v>
      </c>
      <c r="BR193" t="e">
        <f>AND('STERLING CATALOG - DRY '!H4305,"AAAAAGP+40U=")</f>
        <v>#VALUE!</v>
      </c>
      <c r="BS193" t="e">
        <f>AND('STERLING CATALOG - DRY '!I4305,"AAAAAGP+40Y=")</f>
        <v>#VALUE!</v>
      </c>
      <c r="BT193" t="e">
        <f>AND('STERLING CATALOG - DRY '!J4305,"AAAAAGP+40c=")</f>
        <v>#VALUE!</v>
      </c>
      <c r="BU193">
        <f>IF('STERLING CATALOG - DRY '!4306:4306,"AAAAAGP+40g=",0)</f>
        <v>0</v>
      </c>
      <c r="BV193" t="e">
        <f>AND('STERLING CATALOG - DRY '!A4306,"AAAAAGP+40k=")</f>
        <v>#VALUE!</v>
      </c>
      <c r="BW193" t="e">
        <f>AND('STERLING CATALOG - DRY '!B4306,"AAAAAGP+40o=")</f>
        <v>#VALUE!</v>
      </c>
      <c r="BX193" t="e">
        <f>AND('STERLING CATALOG - DRY '!C4306,"AAAAAGP+40s=")</f>
        <v>#VALUE!</v>
      </c>
      <c r="BY193" t="e">
        <f>AND('STERLING CATALOG - DRY '!D4306,"AAAAAGP+40w=")</f>
        <v>#VALUE!</v>
      </c>
      <c r="BZ193" t="e">
        <f>AND('STERLING CATALOG - DRY '!E4306,"AAAAAGP+400=")</f>
        <v>#VALUE!</v>
      </c>
      <c r="CA193" t="e">
        <f>AND('STERLING CATALOG - DRY '!F4306,"AAAAAGP+404=")</f>
        <v>#VALUE!</v>
      </c>
      <c r="CB193" t="e">
        <f>AND('STERLING CATALOG - DRY '!G4306,"AAAAAGP+408=")</f>
        <v>#VALUE!</v>
      </c>
      <c r="CC193" t="e">
        <f>AND('STERLING CATALOG - DRY '!H4306,"AAAAAGP+41A=")</f>
        <v>#VALUE!</v>
      </c>
      <c r="CD193" t="e">
        <f>AND('STERLING CATALOG - DRY '!I4306,"AAAAAGP+41E=")</f>
        <v>#VALUE!</v>
      </c>
      <c r="CE193" t="e">
        <f>AND('STERLING CATALOG - DRY '!J4306,"AAAAAGP+41I=")</f>
        <v>#VALUE!</v>
      </c>
      <c r="CF193">
        <f>IF('STERLING CATALOG - DRY '!4307:4307,"AAAAAGP+41M=",0)</f>
        <v>0</v>
      </c>
      <c r="CG193" t="e">
        <f>AND('STERLING CATALOG - DRY '!A4307,"AAAAAGP+41Q=")</f>
        <v>#VALUE!</v>
      </c>
      <c r="CH193" t="e">
        <f>AND('STERLING CATALOG - DRY '!B4307,"AAAAAGP+41U=")</f>
        <v>#VALUE!</v>
      </c>
      <c r="CI193" t="e">
        <f>AND('STERLING CATALOG - DRY '!C4307,"AAAAAGP+41Y=")</f>
        <v>#VALUE!</v>
      </c>
      <c r="CJ193" t="e">
        <f>AND('STERLING CATALOG - DRY '!D4307,"AAAAAGP+41c=")</f>
        <v>#VALUE!</v>
      </c>
      <c r="CK193" t="e">
        <f>AND('STERLING CATALOG - DRY '!E4307,"AAAAAGP+41g=")</f>
        <v>#VALUE!</v>
      </c>
      <c r="CL193" t="e">
        <f>AND('STERLING CATALOG - DRY '!F4307,"AAAAAGP+41k=")</f>
        <v>#VALUE!</v>
      </c>
      <c r="CM193" t="e">
        <f>AND('STERLING CATALOG - DRY '!G4307,"AAAAAGP+41o=")</f>
        <v>#VALUE!</v>
      </c>
      <c r="CN193" t="e">
        <f>AND('STERLING CATALOG - DRY '!H4307,"AAAAAGP+41s=")</f>
        <v>#VALUE!</v>
      </c>
      <c r="CO193" t="e">
        <f>AND('STERLING CATALOG - DRY '!I4307,"AAAAAGP+41w=")</f>
        <v>#VALUE!</v>
      </c>
      <c r="CP193" t="e">
        <f>AND('STERLING CATALOG - DRY '!J4307,"AAAAAGP+410=")</f>
        <v>#VALUE!</v>
      </c>
      <c r="CQ193">
        <f>IF('STERLING CATALOG - DRY '!4308:4308,"AAAAAGP+414=",0)</f>
        <v>0</v>
      </c>
      <c r="CR193" t="e">
        <f>AND('STERLING CATALOG - DRY '!A4308,"AAAAAGP+418=")</f>
        <v>#VALUE!</v>
      </c>
      <c r="CS193" t="e">
        <f>AND('STERLING CATALOG - DRY '!B4308,"AAAAAGP+42A=")</f>
        <v>#VALUE!</v>
      </c>
      <c r="CT193" t="e">
        <f>AND('STERLING CATALOG - DRY '!C4308,"AAAAAGP+42E=")</f>
        <v>#VALUE!</v>
      </c>
      <c r="CU193" t="e">
        <f>AND('STERLING CATALOG - DRY '!D4308,"AAAAAGP+42I=")</f>
        <v>#VALUE!</v>
      </c>
      <c r="CV193" t="e">
        <f>AND('STERLING CATALOG - DRY '!E4308,"AAAAAGP+42M=")</f>
        <v>#VALUE!</v>
      </c>
      <c r="CW193" t="e">
        <f>AND('STERLING CATALOG - DRY '!F4308,"AAAAAGP+42Q=")</f>
        <v>#VALUE!</v>
      </c>
      <c r="CX193" t="e">
        <f>AND('STERLING CATALOG - DRY '!G4308,"AAAAAGP+42U=")</f>
        <v>#VALUE!</v>
      </c>
      <c r="CY193" t="e">
        <f>AND('STERLING CATALOG - DRY '!H4308,"AAAAAGP+42Y=")</f>
        <v>#VALUE!</v>
      </c>
      <c r="CZ193" t="e">
        <f>AND('STERLING CATALOG - DRY '!I4308,"AAAAAGP+42c=")</f>
        <v>#VALUE!</v>
      </c>
      <c r="DA193" t="e">
        <f>AND('STERLING CATALOG - DRY '!J4308,"AAAAAGP+42g=")</f>
        <v>#VALUE!</v>
      </c>
      <c r="DB193">
        <f>IF('STERLING CATALOG - DRY '!4309:4309,"AAAAAGP+42k=",0)</f>
        <v>0</v>
      </c>
      <c r="DC193" t="e">
        <f>AND('STERLING CATALOG - DRY '!A4309,"AAAAAGP+42o=")</f>
        <v>#VALUE!</v>
      </c>
      <c r="DD193" t="e">
        <f>AND('STERLING CATALOG - DRY '!B4309,"AAAAAGP+42s=")</f>
        <v>#VALUE!</v>
      </c>
      <c r="DE193" t="e">
        <f>AND('STERLING CATALOG - DRY '!C4309,"AAAAAGP+42w=")</f>
        <v>#VALUE!</v>
      </c>
      <c r="DF193" t="e">
        <f>AND('STERLING CATALOG - DRY '!D4309,"AAAAAGP+420=")</f>
        <v>#VALUE!</v>
      </c>
      <c r="DG193" t="e">
        <f>AND('STERLING CATALOG - DRY '!E4309,"AAAAAGP+424=")</f>
        <v>#VALUE!</v>
      </c>
      <c r="DH193" t="e">
        <f>AND('STERLING CATALOG - DRY '!F4309,"AAAAAGP+428=")</f>
        <v>#VALUE!</v>
      </c>
      <c r="DI193" t="e">
        <f>AND('STERLING CATALOG - DRY '!G4309,"AAAAAGP+43A=")</f>
        <v>#VALUE!</v>
      </c>
      <c r="DJ193" t="e">
        <f>AND('STERLING CATALOG - DRY '!H4309,"AAAAAGP+43E=")</f>
        <v>#VALUE!</v>
      </c>
      <c r="DK193" t="e">
        <f>AND('STERLING CATALOG - DRY '!I4309,"AAAAAGP+43I=")</f>
        <v>#VALUE!</v>
      </c>
      <c r="DL193" t="e">
        <f>AND('STERLING CATALOG - DRY '!J4309,"AAAAAGP+43M=")</f>
        <v>#VALUE!</v>
      </c>
      <c r="DM193">
        <f>IF('STERLING CATALOG - DRY '!4310:4310,"AAAAAGP+43Q=",0)</f>
        <v>0</v>
      </c>
      <c r="DN193" t="e">
        <f>AND('STERLING CATALOG - DRY '!A4310,"AAAAAGP+43U=")</f>
        <v>#VALUE!</v>
      </c>
      <c r="DO193" t="e">
        <f>AND('STERLING CATALOG - DRY '!B4310,"AAAAAGP+43Y=")</f>
        <v>#VALUE!</v>
      </c>
      <c r="DP193" t="e">
        <f>AND('STERLING CATALOG - DRY '!C4310,"AAAAAGP+43c=")</f>
        <v>#VALUE!</v>
      </c>
      <c r="DQ193" t="e">
        <f>AND('STERLING CATALOG - DRY '!D4310,"AAAAAGP+43g=")</f>
        <v>#VALUE!</v>
      </c>
      <c r="DR193" t="e">
        <f>AND('STERLING CATALOG - DRY '!E4310,"AAAAAGP+43k=")</f>
        <v>#VALUE!</v>
      </c>
      <c r="DS193" t="e">
        <f>AND('STERLING CATALOG - DRY '!F4310,"AAAAAGP+43o=")</f>
        <v>#VALUE!</v>
      </c>
      <c r="DT193" t="e">
        <f>AND('STERLING CATALOG - DRY '!G4310,"AAAAAGP+43s=")</f>
        <v>#VALUE!</v>
      </c>
      <c r="DU193" t="e">
        <f>AND('STERLING CATALOG - DRY '!H4310,"AAAAAGP+43w=")</f>
        <v>#VALUE!</v>
      </c>
      <c r="DV193" t="e">
        <f>AND('STERLING CATALOG - DRY '!I4310,"AAAAAGP+430=")</f>
        <v>#VALUE!</v>
      </c>
      <c r="DW193" t="e">
        <f>AND('STERLING CATALOG - DRY '!J4310,"AAAAAGP+434=")</f>
        <v>#VALUE!</v>
      </c>
      <c r="DX193">
        <f>IF('STERLING CATALOG - DRY '!4311:4311,"AAAAAGP+438=",0)</f>
        <v>0</v>
      </c>
      <c r="DY193" t="e">
        <f>AND('STERLING CATALOG - DRY '!A4311,"AAAAAGP+44A=")</f>
        <v>#VALUE!</v>
      </c>
      <c r="DZ193" t="e">
        <f>AND('STERLING CATALOG - DRY '!B4311,"AAAAAGP+44E=")</f>
        <v>#VALUE!</v>
      </c>
      <c r="EA193" t="e">
        <f>AND('STERLING CATALOG - DRY '!C4311,"AAAAAGP+44I=")</f>
        <v>#VALUE!</v>
      </c>
      <c r="EB193" t="e">
        <f>AND('STERLING CATALOG - DRY '!D4311,"AAAAAGP+44M=")</f>
        <v>#VALUE!</v>
      </c>
      <c r="EC193" t="e">
        <f>AND('STERLING CATALOG - DRY '!E4311,"AAAAAGP+44Q=")</f>
        <v>#VALUE!</v>
      </c>
      <c r="ED193" t="e">
        <f>AND('STERLING CATALOG - DRY '!F4311,"AAAAAGP+44U=")</f>
        <v>#VALUE!</v>
      </c>
      <c r="EE193" t="e">
        <f>AND('STERLING CATALOG - DRY '!G4311,"AAAAAGP+44Y=")</f>
        <v>#VALUE!</v>
      </c>
      <c r="EF193" t="e">
        <f>AND('STERLING CATALOG - DRY '!H4311,"AAAAAGP+44c=")</f>
        <v>#VALUE!</v>
      </c>
      <c r="EG193" t="e">
        <f>AND('STERLING CATALOG - DRY '!I4311,"AAAAAGP+44g=")</f>
        <v>#VALUE!</v>
      </c>
      <c r="EH193" t="e">
        <f>AND('STERLING CATALOG - DRY '!J4311,"AAAAAGP+44k=")</f>
        <v>#VALUE!</v>
      </c>
      <c r="EI193">
        <f>IF('STERLING CATALOG - DRY '!4312:4312,"AAAAAGP+44o=",0)</f>
        <v>0</v>
      </c>
      <c r="EJ193" t="e">
        <f>AND('STERLING CATALOG - DRY '!A4312,"AAAAAGP+44s=")</f>
        <v>#VALUE!</v>
      </c>
      <c r="EK193" t="e">
        <f>AND('STERLING CATALOG - DRY '!B4312,"AAAAAGP+44w=")</f>
        <v>#VALUE!</v>
      </c>
      <c r="EL193" t="e">
        <f>AND('STERLING CATALOG - DRY '!C4312,"AAAAAGP+440=")</f>
        <v>#VALUE!</v>
      </c>
      <c r="EM193" t="e">
        <f>AND('STERLING CATALOG - DRY '!D4312,"AAAAAGP+444=")</f>
        <v>#VALUE!</v>
      </c>
      <c r="EN193" t="e">
        <f>AND('STERLING CATALOG - DRY '!E4312,"AAAAAGP+448=")</f>
        <v>#VALUE!</v>
      </c>
      <c r="EO193" t="e">
        <f>AND('STERLING CATALOG - DRY '!F4312,"AAAAAGP+45A=")</f>
        <v>#VALUE!</v>
      </c>
      <c r="EP193" t="e">
        <f>AND('STERLING CATALOG - DRY '!G4312,"AAAAAGP+45E=")</f>
        <v>#VALUE!</v>
      </c>
      <c r="EQ193" t="e">
        <f>AND('STERLING CATALOG - DRY '!H4312,"AAAAAGP+45I=")</f>
        <v>#VALUE!</v>
      </c>
      <c r="ER193" t="e">
        <f>AND('STERLING CATALOG - DRY '!I4312,"AAAAAGP+45M=")</f>
        <v>#VALUE!</v>
      </c>
      <c r="ES193" t="e">
        <f>AND('STERLING CATALOG - DRY '!J4312,"AAAAAGP+45Q=")</f>
        <v>#VALUE!</v>
      </c>
      <c r="ET193">
        <f>IF('STERLING CATALOG - DRY '!4313:4313,"AAAAAGP+45U=",0)</f>
        <v>0</v>
      </c>
      <c r="EU193" t="e">
        <f>AND('STERLING CATALOG - DRY '!A4313,"AAAAAGP+45Y=")</f>
        <v>#VALUE!</v>
      </c>
      <c r="EV193" t="e">
        <f>AND('STERLING CATALOG - DRY '!B4313,"AAAAAGP+45c=")</f>
        <v>#VALUE!</v>
      </c>
      <c r="EW193" t="e">
        <f>AND('STERLING CATALOG - DRY '!C4313,"AAAAAGP+45g=")</f>
        <v>#VALUE!</v>
      </c>
      <c r="EX193" t="e">
        <f>AND('STERLING CATALOG - DRY '!D4313,"AAAAAGP+45k=")</f>
        <v>#VALUE!</v>
      </c>
      <c r="EY193" t="e">
        <f>AND('STERLING CATALOG - DRY '!E4313,"AAAAAGP+45o=")</f>
        <v>#VALUE!</v>
      </c>
      <c r="EZ193" t="e">
        <f>AND('STERLING CATALOG - DRY '!F4313,"AAAAAGP+45s=")</f>
        <v>#VALUE!</v>
      </c>
      <c r="FA193" t="e">
        <f>AND('STERLING CATALOG - DRY '!G4313,"AAAAAGP+45w=")</f>
        <v>#VALUE!</v>
      </c>
      <c r="FB193" t="e">
        <f>AND('STERLING CATALOG - DRY '!H4313,"AAAAAGP+450=")</f>
        <v>#VALUE!</v>
      </c>
      <c r="FC193" t="e">
        <f>AND('STERLING CATALOG - DRY '!I4313,"AAAAAGP+454=")</f>
        <v>#VALUE!</v>
      </c>
      <c r="FD193" t="e">
        <f>AND('STERLING CATALOG - DRY '!J4313,"AAAAAGP+458=")</f>
        <v>#VALUE!</v>
      </c>
      <c r="FE193">
        <f>IF('STERLING CATALOG - DRY '!4314:4314,"AAAAAGP+46A=",0)</f>
        <v>0</v>
      </c>
      <c r="FF193" t="e">
        <f>AND('STERLING CATALOG - DRY '!A4314,"AAAAAGP+46E=")</f>
        <v>#VALUE!</v>
      </c>
      <c r="FG193" t="e">
        <f>AND('STERLING CATALOG - DRY '!B4314,"AAAAAGP+46I=")</f>
        <v>#VALUE!</v>
      </c>
      <c r="FH193" t="e">
        <f>AND('STERLING CATALOG - DRY '!C4314,"AAAAAGP+46M=")</f>
        <v>#VALUE!</v>
      </c>
      <c r="FI193" t="e">
        <f>AND('STERLING CATALOG - DRY '!D4314,"AAAAAGP+46Q=")</f>
        <v>#VALUE!</v>
      </c>
      <c r="FJ193" t="e">
        <f>AND('STERLING CATALOG - DRY '!E4314,"AAAAAGP+46U=")</f>
        <v>#VALUE!</v>
      </c>
      <c r="FK193" t="e">
        <f>AND('STERLING CATALOG - DRY '!F4314,"AAAAAGP+46Y=")</f>
        <v>#VALUE!</v>
      </c>
      <c r="FL193" t="e">
        <f>AND('STERLING CATALOG - DRY '!G4314,"AAAAAGP+46c=")</f>
        <v>#VALUE!</v>
      </c>
      <c r="FM193" t="e">
        <f>AND('STERLING CATALOG - DRY '!H4314,"AAAAAGP+46g=")</f>
        <v>#VALUE!</v>
      </c>
      <c r="FN193" t="e">
        <f>AND('STERLING CATALOG - DRY '!I4314,"AAAAAGP+46k=")</f>
        <v>#VALUE!</v>
      </c>
      <c r="FO193" t="e">
        <f>AND('STERLING CATALOG - DRY '!J4314,"AAAAAGP+46o=")</f>
        <v>#VALUE!</v>
      </c>
      <c r="FP193">
        <f>IF('STERLING CATALOG - DRY '!4315:4315,"AAAAAGP+46s=",0)</f>
        <v>0</v>
      </c>
      <c r="FQ193" t="e">
        <f>AND('STERLING CATALOG - DRY '!A4315,"AAAAAGP+46w=")</f>
        <v>#VALUE!</v>
      </c>
      <c r="FR193" t="e">
        <f>AND('STERLING CATALOG - DRY '!B4315,"AAAAAGP+460=")</f>
        <v>#VALUE!</v>
      </c>
      <c r="FS193" t="e">
        <f>AND('STERLING CATALOG - DRY '!C4315,"AAAAAGP+464=")</f>
        <v>#VALUE!</v>
      </c>
      <c r="FT193" t="e">
        <f>AND('STERLING CATALOG - DRY '!D4315,"AAAAAGP+468=")</f>
        <v>#VALUE!</v>
      </c>
      <c r="FU193" t="e">
        <f>AND('STERLING CATALOG - DRY '!E4315,"AAAAAGP+47A=")</f>
        <v>#VALUE!</v>
      </c>
      <c r="FV193" t="e">
        <f>AND('STERLING CATALOG - DRY '!F4315,"AAAAAGP+47E=")</f>
        <v>#VALUE!</v>
      </c>
      <c r="FW193" t="e">
        <f>AND('STERLING CATALOG - DRY '!G4315,"AAAAAGP+47I=")</f>
        <v>#VALUE!</v>
      </c>
      <c r="FX193" t="e">
        <f>AND('STERLING CATALOG - DRY '!H4315,"AAAAAGP+47M=")</f>
        <v>#VALUE!</v>
      </c>
      <c r="FY193" t="e">
        <f>AND('STERLING CATALOG - DRY '!I4315,"AAAAAGP+47Q=")</f>
        <v>#VALUE!</v>
      </c>
      <c r="FZ193" t="e">
        <f>AND('STERLING CATALOG - DRY '!J4315,"AAAAAGP+47U=")</f>
        <v>#VALUE!</v>
      </c>
      <c r="GA193">
        <f>IF('STERLING CATALOG - DRY '!4316:4316,"AAAAAGP+47Y=",0)</f>
        <v>0</v>
      </c>
      <c r="GB193" t="e">
        <f>AND('STERLING CATALOG - DRY '!A4316,"AAAAAGP+47c=")</f>
        <v>#VALUE!</v>
      </c>
      <c r="GC193" t="e">
        <f>AND('STERLING CATALOG - DRY '!B4316,"AAAAAGP+47g=")</f>
        <v>#VALUE!</v>
      </c>
      <c r="GD193" t="e">
        <f>AND('STERLING CATALOG - DRY '!C4316,"AAAAAGP+47k=")</f>
        <v>#VALUE!</v>
      </c>
      <c r="GE193" t="e">
        <f>AND('STERLING CATALOG - DRY '!D4316,"AAAAAGP+47o=")</f>
        <v>#VALUE!</v>
      </c>
      <c r="GF193" t="e">
        <f>AND('STERLING CATALOG - DRY '!E4316,"AAAAAGP+47s=")</f>
        <v>#VALUE!</v>
      </c>
      <c r="GG193" t="e">
        <f>AND('STERLING CATALOG - DRY '!F4316,"AAAAAGP+47w=")</f>
        <v>#VALUE!</v>
      </c>
      <c r="GH193" t="e">
        <f>AND('STERLING CATALOG - DRY '!G4316,"AAAAAGP+470=")</f>
        <v>#VALUE!</v>
      </c>
      <c r="GI193" t="e">
        <f>AND('STERLING CATALOG - DRY '!H4316,"AAAAAGP+474=")</f>
        <v>#VALUE!</v>
      </c>
      <c r="GJ193" t="e">
        <f>AND('STERLING CATALOG - DRY '!I4316,"AAAAAGP+478=")</f>
        <v>#VALUE!</v>
      </c>
      <c r="GK193" t="e">
        <f>AND('STERLING CATALOG - DRY '!J4316,"AAAAAGP+48A=")</f>
        <v>#VALUE!</v>
      </c>
      <c r="GL193">
        <f>IF('STERLING CATALOG - DRY '!4317:4317,"AAAAAGP+48E=",0)</f>
        <v>0</v>
      </c>
      <c r="GM193" t="e">
        <f>AND('STERLING CATALOG - DRY '!A4317,"AAAAAGP+48I=")</f>
        <v>#VALUE!</v>
      </c>
      <c r="GN193" t="e">
        <f>AND('STERLING CATALOG - DRY '!B4317,"AAAAAGP+48M=")</f>
        <v>#VALUE!</v>
      </c>
      <c r="GO193" t="e">
        <f>AND('STERLING CATALOG - DRY '!C4317,"AAAAAGP+48Q=")</f>
        <v>#VALUE!</v>
      </c>
      <c r="GP193" t="e">
        <f>AND('STERLING CATALOG - DRY '!D4317,"AAAAAGP+48U=")</f>
        <v>#VALUE!</v>
      </c>
      <c r="GQ193" t="e">
        <f>AND('STERLING CATALOG - DRY '!E4317,"AAAAAGP+48Y=")</f>
        <v>#VALUE!</v>
      </c>
      <c r="GR193" t="e">
        <f>AND('STERLING CATALOG - DRY '!F4317,"AAAAAGP+48c=")</f>
        <v>#VALUE!</v>
      </c>
      <c r="GS193" t="e">
        <f>AND('STERLING CATALOG - DRY '!G4317,"AAAAAGP+48g=")</f>
        <v>#VALUE!</v>
      </c>
      <c r="GT193" t="e">
        <f>AND('STERLING CATALOG - DRY '!H4317,"AAAAAGP+48k=")</f>
        <v>#VALUE!</v>
      </c>
      <c r="GU193" t="e">
        <f>AND('STERLING CATALOG - DRY '!I4317,"AAAAAGP+48o=")</f>
        <v>#VALUE!</v>
      </c>
      <c r="GV193" t="e">
        <f>AND('STERLING CATALOG - DRY '!J4317,"AAAAAGP+48s=")</f>
        <v>#VALUE!</v>
      </c>
      <c r="GW193">
        <f>IF('STERLING CATALOG - DRY '!4318:4318,"AAAAAGP+48w=",0)</f>
        <v>0</v>
      </c>
      <c r="GX193" t="e">
        <f>AND('STERLING CATALOG - DRY '!A4318,"AAAAAGP+480=")</f>
        <v>#VALUE!</v>
      </c>
      <c r="GY193" t="e">
        <f>AND('STERLING CATALOG - DRY '!B4318,"AAAAAGP+484=")</f>
        <v>#VALUE!</v>
      </c>
      <c r="GZ193" t="e">
        <f>AND('STERLING CATALOG - DRY '!C4318,"AAAAAGP+488=")</f>
        <v>#VALUE!</v>
      </c>
      <c r="HA193" t="e">
        <f>AND('STERLING CATALOG - DRY '!D4318,"AAAAAGP+49A=")</f>
        <v>#VALUE!</v>
      </c>
      <c r="HB193" t="e">
        <f>AND('STERLING CATALOG - DRY '!E4318,"AAAAAGP+49E=")</f>
        <v>#VALUE!</v>
      </c>
      <c r="HC193" t="e">
        <f>AND('STERLING CATALOG - DRY '!F4318,"AAAAAGP+49I=")</f>
        <v>#VALUE!</v>
      </c>
      <c r="HD193" t="e">
        <f>AND('STERLING CATALOG - DRY '!G4318,"AAAAAGP+49M=")</f>
        <v>#VALUE!</v>
      </c>
      <c r="HE193" t="e">
        <f>AND('STERLING CATALOG - DRY '!H4318,"AAAAAGP+49Q=")</f>
        <v>#VALUE!</v>
      </c>
      <c r="HF193" t="e">
        <f>AND('STERLING CATALOG - DRY '!I4318,"AAAAAGP+49U=")</f>
        <v>#VALUE!</v>
      </c>
      <c r="HG193" t="e">
        <f>AND('STERLING CATALOG - DRY '!J4318,"AAAAAGP+49Y=")</f>
        <v>#VALUE!</v>
      </c>
      <c r="HH193">
        <f>IF('STERLING CATALOG - DRY '!4319:4319,"AAAAAGP+49c=",0)</f>
        <v>0</v>
      </c>
      <c r="HI193" t="e">
        <f>AND('STERLING CATALOG - DRY '!A4319,"AAAAAGP+49g=")</f>
        <v>#VALUE!</v>
      </c>
      <c r="HJ193" t="e">
        <f>AND('STERLING CATALOG - DRY '!B4319,"AAAAAGP+49k=")</f>
        <v>#VALUE!</v>
      </c>
      <c r="HK193" t="e">
        <f>AND('STERLING CATALOG - DRY '!C4319,"AAAAAGP+49o=")</f>
        <v>#VALUE!</v>
      </c>
      <c r="HL193" t="e">
        <f>AND('STERLING CATALOG - DRY '!D4319,"AAAAAGP+49s=")</f>
        <v>#VALUE!</v>
      </c>
      <c r="HM193" t="e">
        <f>AND('STERLING CATALOG - DRY '!E4319,"AAAAAGP+49w=")</f>
        <v>#VALUE!</v>
      </c>
      <c r="HN193" t="e">
        <f>AND('STERLING CATALOG - DRY '!F4319,"AAAAAGP+490=")</f>
        <v>#VALUE!</v>
      </c>
      <c r="HO193" t="e">
        <f>AND('STERLING CATALOG - DRY '!G4319,"AAAAAGP+494=")</f>
        <v>#VALUE!</v>
      </c>
      <c r="HP193" t="e">
        <f>AND('STERLING CATALOG - DRY '!H4319,"AAAAAGP+498=")</f>
        <v>#VALUE!</v>
      </c>
      <c r="HQ193" t="e">
        <f>AND('STERLING CATALOG - DRY '!I4319,"AAAAAGP+4+A=")</f>
        <v>#VALUE!</v>
      </c>
      <c r="HR193" t="e">
        <f>AND('STERLING CATALOG - DRY '!J4319,"AAAAAGP+4+E=")</f>
        <v>#VALUE!</v>
      </c>
      <c r="HS193">
        <f>IF('STERLING CATALOG - DRY '!4320:4320,"AAAAAGP+4+I=",0)</f>
        <v>0</v>
      </c>
      <c r="HT193" t="e">
        <f>AND('STERLING CATALOG - DRY '!A4320,"AAAAAGP+4+M=")</f>
        <v>#VALUE!</v>
      </c>
      <c r="HU193" t="e">
        <f>AND('STERLING CATALOG - DRY '!B4320,"AAAAAGP+4+Q=")</f>
        <v>#VALUE!</v>
      </c>
      <c r="HV193" t="e">
        <f>AND('STERLING CATALOG - DRY '!C4320,"AAAAAGP+4+U=")</f>
        <v>#VALUE!</v>
      </c>
      <c r="HW193" t="e">
        <f>AND('STERLING CATALOG - DRY '!D4320,"AAAAAGP+4+Y=")</f>
        <v>#VALUE!</v>
      </c>
      <c r="HX193" t="e">
        <f>AND('STERLING CATALOG - DRY '!E4320,"AAAAAGP+4+c=")</f>
        <v>#VALUE!</v>
      </c>
      <c r="HY193" t="e">
        <f>AND('STERLING CATALOG - DRY '!F4320,"AAAAAGP+4+g=")</f>
        <v>#VALUE!</v>
      </c>
      <c r="HZ193" t="e">
        <f>AND('STERLING CATALOG - DRY '!G4320,"AAAAAGP+4+k=")</f>
        <v>#VALUE!</v>
      </c>
      <c r="IA193" t="e">
        <f>AND('STERLING CATALOG - DRY '!H4320,"AAAAAGP+4+o=")</f>
        <v>#VALUE!</v>
      </c>
      <c r="IB193" t="e">
        <f>AND('STERLING CATALOG - DRY '!I4320,"AAAAAGP+4+s=")</f>
        <v>#VALUE!</v>
      </c>
      <c r="IC193" t="e">
        <f>AND('STERLING CATALOG - DRY '!J4320,"AAAAAGP+4+w=")</f>
        <v>#VALUE!</v>
      </c>
      <c r="ID193">
        <f>IF('STERLING CATALOG - DRY '!4321:4321,"AAAAAGP+4+0=",0)</f>
        <v>0</v>
      </c>
      <c r="IE193" t="e">
        <f>AND('STERLING CATALOG - DRY '!A4321,"AAAAAGP+4+4=")</f>
        <v>#VALUE!</v>
      </c>
      <c r="IF193" t="e">
        <f>AND('STERLING CATALOG - DRY '!B4321,"AAAAAGP+4+8=")</f>
        <v>#VALUE!</v>
      </c>
      <c r="IG193" t="e">
        <f>AND('STERLING CATALOG - DRY '!C4321,"AAAAAGP+4/A=")</f>
        <v>#VALUE!</v>
      </c>
      <c r="IH193" t="e">
        <f>AND('STERLING CATALOG - DRY '!D4321,"AAAAAGP+4/E=")</f>
        <v>#VALUE!</v>
      </c>
      <c r="II193" t="e">
        <f>AND('STERLING CATALOG - DRY '!E4321,"AAAAAGP+4/I=")</f>
        <v>#VALUE!</v>
      </c>
      <c r="IJ193" t="e">
        <f>AND('STERLING CATALOG - DRY '!F4321,"AAAAAGP+4/M=")</f>
        <v>#VALUE!</v>
      </c>
      <c r="IK193" t="e">
        <f>AND('STERLING CATALOG - DRY '!G4321,"AAAAAGP+4/Q=")</f>
        <v>#VALUE!</v>
      </c>
      <c r="IL193" t="e">
        <f>AND('STERLING CATALOG - DRY '!H4321,"AAAAAGP+4/U=")</f>
        <v>#VALUE!</v>
      </c>
      <c r="IM193" t="e">
        <f>AND('STERLING CATALOG - DRY '!I4321,"AAAAAGP+4/Y=")</f>
        <v>#VALUE!</v>
      </c>
      <c r="IN193" t="e">
        <f>AND('STERLING CATALOG - DRY '!J4321,"AAAAAGP+4/c=")</f>
        <v>#VALUE!</v>
      </c>
      <c r="IO193">
        <f>IF('STERLING CATALOG - DRY '!4322:4322,"AAAAAGP+4/g=",0)</f>
        <v>0</v>
      </c>
      <c r="IP193" t="e">
        <f>AND('STERLING CATALOG - DRY '!A4322,"AAAAAGP+4/k=")</f>
        <v>#VALUE!</v>
      </c>
      <c r="IQ193" t="e">
        <f>AND('STERLING CATALOG - DRY '!B4322,"AAAAAGP+4/o=")</f>
        <v>#VALUE!</v>
      </c>
      <c r="IR193" t="e">
        <f>AND('STERLING CATALOG - DRY '!C4322,"AAAAAGP+4/s=")</f>
        <v>#VALUE!</v>
      </c>
      <c r="IS193" t="e">
        <f>AND('STERLING CATALOG - DRY '!D4322,"AAAAAGP+4/w=")</f>
        <v>#VALUE!</v>
      </c>
      <c r="IT193" t="e">
        <f>AND('STERLING CATALOG - DRY '!E4322,"AAAAAGP+4/0=")</f>
        <v>#VALUE!</v>
      </c>
      <c r="IU193" t="e">
        <f>AND('STERLING CATALOG - DRY '!F4322,"AAAAAGP+4/4=")</f>
        <v>#VALUE!</v>
      </c>
      <c r="IV193" t="e">
        <f>AND('STERLING CATALOG - DRY '!G4322,"AAAAAGP+4/8=")</f>
        <v>#VALUE!</v>
      </c>
    </row>
    <row r="194" spans="1:256">
      <c r="A194" t="e">
        <f>AND('STERLING CATALOG - DRY '!H4322,"AAAAAG//QwA=")</f>
        <v>#VALUE!</v>
      </c>
      <c r="B194" t="e">
        <f>AND('STERLING CATALOG - DRY '!I4322,"AAAAAG//QwE=")</f>
        <v>#VALUE!</v>
      </c>
      <c r="C194" t="e">
        <f>AND('STERLING CATALOG - DRY '!J4322,"AAAAAG//QwI=")</f>
        <v>#VALUE!</v>
      </c>
      <c r="D194" t="e">
        <f>IF('STERLING CATALOG - DRY '!4323:4323,"AAAAAG//QwM=",0)</f>
        <v>#VALUE!</v>
      </c>
      <c r="E194" t="e">
        <f>AND('STERLING CATALOG - DRY '!A4323,"AAAAAG//QwQ=")</f>
        <v>#VALUE!</v>
      </c>
      <c r="F194" t="e">
        <f>AND('STERLING CATALOG - DRY '!B4323,"AAAAAG//QwU=")</f>
        <v>#VALUE!</v>
      </c>
      <c r="G194" t="e">
        <f>AND('STERLING CATALOG - DRY '!C4323,"AAAAAG//QwY=")</f>
        <v>#VALUE!</v>
      </c>
      <c r="H194" t="e">
        <f>AND('STERLING CATALOG - DRY '!D4323,"AAAAAG//Qwc=")</f>
        <v>#VALUE!</v>
      </c>
      <c r="I194" t="e">
        <f>AND('STERLING CATALOG - DRY '!E4323,"AAAAAG//Qwg=")</f>
        <v>#VALUE!</v>
      </c>
      <c r="J194" t="e">
        <f>AND('STERLING CATALOG - DRY '!F4323,"AAAAAG//Qwk=")</f>
        <v>#VALUE!</v>
      </c>
      <c r="K194" t="e">
        <f>AND('STERLING CATALOG - DRY '!G4323,"AAAAAG//Qwo=")</f>
        <v>#VALUE!</v>
      </c>
      <c r="L194" t="e">
        <f>AND('STERLING CATALOG - DRY '!H4323,"AAAAAG//Qws=")</f>
        <v>#VALUE!</v>
      </c>
      <c r="M194" t="e">
        <f>AND('STERLING CATALOG - DRY '!I4323,"AAAAAG//Qww=")</f>
        <v>#VALUE!</v>
      </c>
      <c r="N194" t="e">
        <f>AND('STERLING CATALOG - DRY '!J4323,"AAAAAG//Qw0=")</f>
        <v>#VALUE!</v>
      </c>
      <c r="O194">
        <f>IF('STERLING CATALOG - DRY '!4324:4324,"AAAAAG//Qw4=",0)</f>
        <v>0</v>
      </c>
      <c r="P194" t="e">
        <f>AND('STERLING CATALOG - DRY '!A4324,"AAAAAG//Qw8=")</f>
        <v>#VALUE!</v>
      </c>
      <c r="Q194" t="e">
        <f>AND('STERLING CATALOG - DRY '!B4324,"AAAAAG//QxA=")</f>
        <v>#VALUE!</v>
      </c>
      <c r="R194" t="e">
        <f>AND('STERLING CATALOG - DRY '!C4324,"AAAAAG//QxE=")</f>
        <v>#VALUE!</v>
      </c>
      <c r="S194" t="e">
        <f>AND('STERLING CATALOG - DRY '!D4324,"AAAAAG//QxI=")</f>
        <v>#VALUE!</v>
      </c>
      <c r="T194" t="e">
        <f>AND('STERLING CATALOG - DRY '!E4324,"AAAAAG//QxM=")</f>
        <v>#VALUE!</v>
      </c>
      <c r="U194" t="e">
        <f>AND('STERLING CATALOG - DRY '!F4324,"AAAAAG//QxQ=")</f>
        <v>#VALUE!</v>
      </c>
      <c r="V194" t="e">
        <f>AND('STERLING CATALOG - DRY '!G4324,"AAAAAG//QxU=")</f>
        <v>#VALUE!</v>
      </c>
      <c r="W194" t="e">
        <f>AND('STERLING CATALOG - DRY '!H4324,"AAAAAG//QxY=")</f>
        <v>#VALUE!</v>
      </c>
      <c r="X194" t="e">
        <f>AND('STERLING CATALOG - DRY '!I4324,"AAAAAG//Qxc=")</f>
        <v>#VALUE!</v>
      </c>
      <c r="Y194" t="e">
        <f>AND('STERLING CATALOG - DRY '!J4324,"AAAAAG//Qxg=")</f>
        <v>#VALUE!</v>
      </c>
      <c r="Z194">
        <f>IF('STERLING CATALOG - DRY '!4325:4325,"AAAAAG//Qxk=",0)</f>
        <v>0</v>
      </c>
      <c r="AA194" t="e">
        <f>AND('STERLING CATALOG - DRY '!A4325,"AAAAAG//Qxo=")</f>
        <v>#VALUE!</v>
      </c>
      <c r="AB194" t="e">
        <f>AND('STERLING CATALOG - DRY '!B4325,"AAAAAG//Qxs=")</f>
        <v>#VALUE!</v>
      </c>
      <c r="AC194" t="e">
        <f>AND('STERLING CATALOG - DRY '!C4325,"AAAAAG//Qxw=")</f>
        <v>#VALUE!</v>
      </c>
      <c r="AD194" t="e">
        <f>AND('STERLING CATALOG - DRY '!D4325,"AAAAAG//Qx0=")</f>
        <v>#VALUE!</v>
      </c>
      <c r="AE194" t="e">
        <f>AND('STERLING CATALOG - DRY '!E4325,"AAAAAG//Qx4=")</f>
        <v>#VALUE!</v>
      </c>
      <c r="AF194" t="e">
        <f>AND('STERLING CATALOG - DRY '!F4325,"AAAAAG//Qx8=")</f>
        <v>#VALUE!</v>
      </c>
      <c r="AG194" t="e">
        <f>AND('STERLING CATALOG - DRY '!G4325,"AAAAAG//QyA=")</f>
        <v>#VALUE!</v>
      </c>
      <c r="AH194" t="e">
        <f>AND('STERLING CATALOG - DRY '!H4325,"AAAAAG//QyE=")</f>
        <v>#VALUE!</v>
      </c>
      <c r="AI194" t="e">
        <f>AND('STERLING CATALOG - DRY '!I4325,"AAAAAG//QyI=")</f>
        <v>#VALUE!</v>
      </c>
      <c r="AJ194" t="e">
        <f>AND('STERLING CATALOG - DRY '!J4325,"AAAAAG//QyM=")</f>
        <v>#VALUE!</v>
      </c>
      <c r="AK194">
        <f>IF('STERLING CATALOG - DRY '!4326:4326,"AAAAAG//QyQ=",0)</f>
        <v>0</v>
      </c>
      <c r="AL194" t="e">
        <f>AND('STERLING CATALOG - DRY '!A4326,"AAAAAG//QyU=")</f>
        <v>#VALUE!</v>
      </c>
      <c r="AM194" t="e">
        <f>AND('STERLING CATALOG - DRY '!B4326,"AAAAAG//QyY=")</f>
        <v>#VALUE!</v>
      </c>
      <c r="AN194" t="e">
        <f>AND('STERLING CATALOG - DRY '!C4326,"AAAAAG//Qyc=")</f>
        <v>#VALUE!</v>
      </c>
      <c r="AO194" t="e">
        <f>AND('STERLING CATALOG - DRY '!D4326,"AAAAAG//Qyg=")</f>
        <v>#VALUE!</v>
      </c>
      <c r="AP194" t="e">
        <f>AND('STERLING CATALOG - DRY '!E4326,"AAAAAG//Qyk=")</f>
        <v>#VALUE!</v>
      </c>
      <c r="AQ194" t="e">
        <f>AND('STERLING CATALOG - DRY '!F4326,"AAAAAG//Qyo=")</f>
        <v>#VALUE!</v>
      </c>
      <c r="AR194" t="e">
        <f>AND('STERLING CATALOG - DRY '!G4326,"AAAAAG//Qys=")</f>
        <v>#VALUE!</v>
      </c>
      <c r="AS194" t="e">
        <f>AND('STERLING CATALOG - DRY '!H4326,"AAAAAG//Qyw=")</f>
        <v>#VALUE!</v>
      </c>
      <c r="AT194" t="e">
        <f>AND('STERLING CATALOG - DRY '!I4326,"AAAAAG//Qy0=")</f>
        <v>#VALUE!</v>
      </c>
      <c r="AU194" t="e">
        <f>AND('STERLING CATALOG - DRY '!J4326,"AAAAAG//Qy4=")</f>
        <v>#VALUE!</v>
      </c>
      <c r="AV194">
        <f>IF('STERLING CATALOG - DRY '!4327:4327,"AAAAAG//Qy8=",0)</f>
        <v>0</v>
      </c>
      <c r="AW194" t="e">
        <f>AND('STERLING CATALOG - DRY '!A4327,"AAAAAG//QzA=")</f>
        <v>#VALUE!</v>
      </c>
      <c r="AX194" t="e">
        <f>AND('STERLING CATALOG - DRY '!B4327,"AAAAAG//QzE=")</f>
        <v>#VALUE!</v>
      </c>
      <c r="AY194" t="e">
        <f>AND('STERLING CATALOG - DRY '!C4327,"AAAAAG//QzI=")</f>
        <v>#VALUE!</v>
      </c>
      <c r="AZ194" t="e">
        <f>AND('STERLING CATALOG - DRY '!D4327,"AAAAAG//QzM=")</f>
        <v>#VALUE!</v>
      </c>
      <c r="BA194" t="e">
        <f>AND('STERLING CATALOG - DRY '!E4327,"AAAAAG//QzQ=")</f>
        <v>#VALUE!</v>
      </c>
      <c r="BB194" t="e">
        <f>AND('STERLING CATALOG - DRY '!F4327,"AAAAAG//QzU=")</f>
        <v>#VALUE!</v>
      </c>
      <c r="BC194" t="e">
        <f>AND('STERLING CATALOG - DRY '!G4327,"AAAAAG//QzY=")</f>
        <v>#VALUE!</v>
      </c>
      <c r="BD194" t="e">
        <f>AND('STERLING CATALOG - DRY '!H4327,"AAAAAG//Qzc=")</f>
        <v>#VALUE!</v>
      </c>
      <c r="BE194" t="e">
        <f>AND('STERLING CATALOG - DRY '!I4327,"AAAAAG//Qzg=")</f>
        <v>#VALUE!</v>
      </c>
      <c r="BF194" t="e">
        <f>AND('STERLING CATALOG - DRY '!J4327,"AAAAAG//Qzk=")</f>
        <v>#VALUE!</v>
      </c>
      <c r="BG194">
        <f>IF('STERLING CATALOG - DRY '!4328:4328,"AAAAAG//Qzo=",0)</f>
        <v>0</v>
      </c>
      <c r="BH194" t="e">
        <f>AND('STERLING CATALOG - DRY '!A4328,"AAAAAG//Qzs=")</f>
        <v>#VALUE!</v>
      </c>
      <c r="BI194" t="e">
        <f>AND('STERLING CATALOG - DRY '!B4328,"AAAAAG//Qzw=")</f>
        <v>#VALUE!</v>
      </c>
      <c r="BJ194" t="e">
        <f>AND('STERLING CATALOG - DRY '!C4328,"AAAAAG//Qz0=")</f>
        <v>#VALUE!</v>
      </c>
      <c r="BK194" t="e">
        <f>AND('STERLING CATALOG - DRY '!D4328,"AAAAAG//Qz4=")</f>
        <v>#VALUE!</v>
      </c>
      <c r="BL194" t="e">
        <f>AND('STERLING CATALOG - DRY '!E4328,"AAAAAG//Qz8=")</f>
        <v>#VALUE!</v>
      </c>
      <c r="BM194" t="e">
        <f>AND('STERLING CATALOG - DRY '!F4328,"AAAAAG//Q0A=")</f>
        <v>#VALUE!</v>
      </c>
      <c r="BN194" t="e">
        <f>AND('STERLING CATALOG - DRY '!G4328,"AAAAAG//Q0E=")</f>
        <v>#VALUE!</v>
      </c>
      <c r="BO194" t="e">
        <f>AND('STERLING CATALOG - DRY '!H4328,"AAAAAG//Q0I=")</f>
        <v>#VALUE!</v>
      </c>
      <c r="BP194" t="e">
        <f>AND('STERLING CATALOG - DRY '!I4328,"AAAAAG//Q0M=")</f>
        <v>#VALUE!</v>
      </c>
      <c r="BQ194" t="e">
        <f>AND('STERLING CATALOG - DRY '!J4328,"AAAAAG//Q0Q=")</f>
        <v>#VALUE!</v>
      </c>
      <c r="BR194">
        <f>IF('STERLING CATALOG - DRY '!4329:4329,"AAAAAG//Q0U=",0)</f>
        <v>0</v>
      </c>
      <c r="BS194" t="e">
        <f>AND('STERLING CATALOG - DRY '!A4329,"AAAAAG//Q0Y=")</f>
        <v>#VALUE!</v>
      </c>
      <c r="BT194" t="e">
        <f>AND('STERLING CATALOG - DRY '!B4329,"AAAAAG//Q0c=")</f>
        <v>#VALUE!</v>
      </c>
      <c r="BU194" t="e">
        <f>AND('STERLING CATALOG - DRY '!C4329,"AAAAAG//Q0g=")</f>
        <v>#VALUE!</v>
      </c>
      <c r="BV194" t="e">
        <f>AND('STERLING CATALOG - DRY '!D4329,"AAAAAG//Q0k=")</f>
        <v>#VALUE!</v>
      </c>
      <c r="BW194" t="e">
        <f>AND('STERLING CATALOG - DRY '!E4329,"AAAAAG//Q0o=")</f>
        <v>#VALUE!</v>
      </c>
      <c r="BX194" t="e">
        <f>AND('STERLING CATALOG - DRY '!F4329,"AAAAAG//Q0s=")</f>
        <v>#VALUE!</v>
      </c>
      <c r="BY194" t="e">
        <f>AND('STERLING CATALOG - DRY '!G4329,"AAAAAG//Q0w=")</f>
        <v>#VALUE!</v>
      </c>
      <c r="BZ194" t="e">
        <f>AND('STERLING CATALOG - DRY '!H4329,"AAAAAG//Q00=")</f>
        <v>#VALUE!</v>
      </c>
      <c r="CA194" t="e">
        <f>AND('STERLING CATALOG - DRY '!I4329,"AAAAAG//Q04=")</f>
        <v>#VALUE!</v>
      </c>
      <c r="CB194" t="e">
        <f>AND('STERLING CATALOG - DRY '!J4329,"AAAAAG//Q08=")</f>
        <v>#VALUE!</v>
      </c>
      <c r="CC194">
        <f>IF('STERLING CATALOG - DRY '!4330:4330,"AAAAAG//Q1A=",0)</f>
        <v>0</v>
      </c>
      <c r="CD194" t="e">
        <f>AND('STERLING CATALOG - DRY '!A4330,"AAAAAG//Q1E=")</f>
        <v>#VALUE!</v>
      </c>
      <c r="CE194" t="e">
        <f>AND('STERLING CATALOG - DRY '!B4330,"AAAAAG//Q1I=")</f>
        <v>#VALUE!</v>
      </c>
      <c r="CF194" t="e">
        <f>AND('STERLING CATALOG - DRY '!C4330,"AAAAAG//Q1M=")</f>
        <v>#VALUE!</v>
      </c>
      <c r="CG194" t="e">
        <f>AND('STERLING CATALOG - DRY '!D4330,"AAAAAG//Q1Q=")</f>
        <v>#VALUE!</v>
      </c>
      <c r="CH194" t="e">
        <f>AND('STERLING CATALOG - DRY '!E4330,"AAAAAG//Q1U=")</f>
        <v>#VALUE!</v>
      </c>
      <c r="CI194" t="e">
        <f>AND('STERLING CATALOG - DRY '!F4330,"AAAAAG//Q1Y=")</f>
        <v>#VALUE!</v>
      </c>
      <c r="CJ194" t="e">
        <f>AND('STERLING CATALOG - DRY '!G4330,"AAAAAG//Q1c=")</f>
        <v>#VALUE!</v>
      </c>
      <c r="CK194" t="e">
        <f>AND('STERLING CATALOG - DRY '!H4330,"AAAAAG//Q1g=")</f>
        <v>#VALUE!</v>
      </c>
      <c r="CL194" t="e">
        <f>AND('STERLING CATALOG - DRY '!I4330,"AAAAAG//Q1k=")</f>
        <v>#VALUE!</v>
      </c>
      <c r="CM194" t="e">
        <f>AND('STERLING CATALOG - DRY '!J4330,"AAAAAG//Q1o=")</f>
        <v>#VALUE!</v>
      </c>
      <c r="CN194">
        <f>IF('STERLING CATALOG - DRY '!4331:4331,"AAAAAG//Q1s=",0)</f>
        <v>0</v>
      </c>
      <c r="CO194" t="e">
        <f>AND('STERLING CATALOG - DRY '!A4331,"AAAAAG//Q1w=")</f>
        <v>#VALUE!</v>
      </c>
      <c r="CP194" t="e">
        <f>AND('STERLING CATALOG - DRY '!B4331,"AAAAAG//Q10=")</f>
        <v>#VALUE!</v>
      </c>
      <c r="CQ194" t="e">
        <f>AND('STERLING CATALOG - DRY '!C4331,"AAAAAG//Q14=")</f>
        <v>#VALUE!</v>
      </c>
      <c r="CR194" t="e">
        <f>AND('STERLING CATALOG - DRY '!D4331,"AAAAAG//Q18=")</f>
        <v>#VALUE!</v>
      </c>
      <c r="CS194" t="e">
        <f>AND('STERLING CATALOG - DRY '!E4331,"AAAAAG//Q2A=")</f>
        <v>#VALUE!</v>
      </c>
      <c r="CT194" t="e">
        <f>AND('STERLING CATALOG - DRY '!F4331,"AAAAAG//Q2E=")</f>
        <v>#VALUE!</v>
      </c>
      <c r="CU194" t="e">
        <f>AND('STERLING CATALOG - DRY '!G4331,"AAAAAG//Q2I=")</f>
        <v>#VALUE!</v>
      </c>
      <c r="CV194" t="e">
        <f>AND('STERLING CATALOG - DRY '!H4331,"AAAAAG//Q2M=")</f>
        <v>#VALUE!</v>
      </c>
      <c r="CW194" t="e">
        <f>AND('STERLING CATALOG - DRY '!I4331,"AAAAAG//Q2Q=")</f>
        <v>#VALUE!</v>
      </c>
      <c r="CX194" t="e">
        <f>AND('STERLING CATALOG - DRY '!J4331,"AAAAAG//Q2U=")</f>
        <v>#VALUE!</v>
      </c>
      <c r="CY194">
        <f>IF('STERLING CATALOG - DRY '!4332:4332,"AAAAAG//Q2Y=",0)</f>
        <v>0</v>
      </c>
      <c r="CZ194" t="e">
        <f>AND('STERLING CATALOG - DRY '!A4332,"AAAAAG//Q2c=")</f>
        <v>#VALUE!</v>
      </c>
      <c r="DA194" t="e">
        <f>AND('STERLING CATALOG - DRY '!B4332,"AAAAAG//Q2g=")</f>
        <v>#VALUE!</v>
      </c>
      <c r="DB194" t="e">
        <f>AND('STERLING CATALOG - DRY '!C4332,"AAAAAG//Q2k=")</f>
        <v>#VALUE!</v>
      </c>
      <c r="DC194" t="e">
        <f>AND('STERLING CATALOG - DRY '!D4332,"AAAAAG//Q2o=")</f>
        <v>#VALUE!</v>
      </c>
      <c r="DD194" t="e">
        <f>AND('STERLING CATALOG - DRY '!E4332,"AAAAAG//Q2s=")</f>
        <v>#VALUE!</v>
      </c>
      <c r="DE194" t="e">
        <f>AND('STERLING CATALOG - DRY '!F4332,"AAAAAG//Q2w=")</f>
        <v>#VALUE!</v>
      </c>
      <c r="DF194" t="e">
        <f>AND('STERLING CATALOG - DRY '!G4332,"AAAAAG//Q20=")</f>
        <v>#VALUE!</v>
      </c>
      <c r="DG194" t="e">
        <f>AND('STERLING CATALOG - DRY '!H4332,"AAAAAG//Q24=")</f>
        <v>#VALUE!</v>
      </c>
      <c r="DH194" t="e">
        <f>AND('STERLING CATALOG - DRY '!I4332,"AAAAAG//Q28=")</f>
        <v>#VALUE!</v>
      </c>
      <c r="DI194" t="e">
        <f>AND('STERLING CATALOG - DRY '!J4332,"AAAAAG//Q3A=")</f>
        <v>#VALUE!</v>
      </c>
      <c r="DJ194">
        <f>IF('STERLING CATALOG - DRY '!4333:4333,"AAAAAG//Q3E=",0)</f>
        <v>0</v>
      </c>
      <c r="DK194" t="e">
        <f>AND('STERLING CATALOG - DRY '!A4333,"AAAAAG//Q3I=")</f>
        <v>#VALUE!</v>
      </c>
      <c r="DL194" t="e">
        <f>AND('STERLING CATALOG - DRY '!B4333,"AAAAAG//Q3M=")</f>
        <v>#VALUE!</v>
      </c>
      <c r="DM194" t="e">
        <f>AND('STERLING CATALOG - DRY '!C4333,"AAAAAG//Q3Q=")</f>
        <v>#VALUE!</v>
      </c>
      <c r="DN194" t="e">
        <f>AND('STERLING CATALOG - DRY '!D4333,"AAAAAG//Q3U=")</f>
        <v>#VALUE!</v>
      </c>
      <c r="DO194" t="e">
        <f>AND('STERLING CATALOG - DRY '!E4333,"AAAAAG//Q3Y=")</f>
        <v>#VALUE!</v>
      </c>
      <c r="DP194" t="e">
        <f>AND('STERLING CATALOG - DRY '!F4333,"AAAAAG//Q3c=")</f>
        <v>#VALUE!</v>
      </c>
      <c r="DQ194" t="e">
        <f>AND('STERLING CATALOG - DRY '!G4333,"AAAAAG//Q3g=")</f>
        <v>#VALUE!</v>
      </c>
      <c r="DR194" t="e">
        <f>AND('STERLING CATALOG - DRY '!H4333,"AAAAAG//Q3k=")</f>
        <v>#VALUE!</v>
      </c>
      <c r="DS194" t="e">
        <f>AND('STERLING CATALOG - DRY '!I4333,"AAAAAG//Q3o=")</f>
        <v>#VALUE!</v>
      </c>
      <c r="DT194" t="e">
        <f>AND('STERLING CATALOG - DRY '!J4333,"AAAAAG//Q3s=")</f>
        <v>#VALUE!</v>
      </c>
      <c r="DU194">
        <f>IF('STERLING CATALOG - DRY '!4334:4334,"AAAAAG//Q3w=",0)</f>
        <v>0</v>
      </c>
      <c r="DV194" t="e">
        <f>AND('STERLING CATALOG - DRY '!A4334,"AAAAAG//Q30=")</f>
        <v>#VALUE!</v>
      </c>
      <c r="DW194" t="e">
        <f>AND('STERLING CATALOG - DRY '!B4334,"AAAAAG//Q34=")</f>
        <v>#VALUE!</v>
      </c>
      <c r="DX194" t="e">
        <f>AND('STERLING CATALOG - DRY '!C4334,"AAAAAG//Q38=")</f>
        <v>#VALUE!</v>
      </c>
      <c r="DY194" t="e">
        <f>AND('STERLING CATALOG - DRY '!D4334,"AAAAAG//Q4A=")</f>
        <v>#VALUE!</v>
      </c>
      <c r="DZ194" t="e">
        <f>AND('STERLING CATALOG - DRY '!E4334,"AAAAAG//Q4E=")</f>
        <v>#VALUE!</v>
      </c>
      <c r="EA194" t="e">
        <f>AND('STERLING CATALOG - DRY '!F4334,"AAAAAG//Q4I=")</f>
        <v>#VALUE!</v>
      </c>
      <c r="EB194" t="e">
        <f>AND('STERLING CATALOG - DRY '!G4334,"AAAAAG//Q4M=")</f>
        <v>#VALUE!</v>
      </c>
      <c r="EC194" t="e">
        <f>AND('STERLING CATALOG - DRY '!H4334,"AAAAAG//Q4Q=")</f>
        <v>#VALUE!</v>
      </c>
      <c r="ED194" t="e">
        <f>AND('STERLING CATALOG - DRY '!I4334,"AAAAAG//Q4U=")</f>
        <v>#VALUE!</v>
      </c>
      <c r="EE194" t="e">
        <f>AND('STERLING CATALOG - DRY '!J4334,"AAAAAG//Q4Y=")</f>
        <v>#VALUE!</v>
      </c>
      <c r="EF194">
        <f>IF('STERLING CATALOG - DRY '!4335:4335,"AAAAAG//Q4c=",0)</f>
        <v>0</v>
      </c>
      <c r="EG194" t="e">
        <f>AND('STERLING CATALOG - DRY '!A4335,"AAAAAG//Q4g=")</f>
        <v>#VALUE!</v>
      </c>
      <c r="EH194" t="e">
        <f>AND('STERLING CATALOG - DRY '!B4335,"AAAAAG//Q4k=")</f>
        <v>#VALUE!</v>
      </c>
      <c r="EI194" t="e">
        <f>AND('STERLING CATALOG - DRY '!C4335,"AAAAAG//Q4o=")</f>
        <v>#VALUE!</v>
      </c>
      <c r="EJ194" t="e">
        <f>AND('STERLING CATALOG - DRY '!D4335,"AAAAAG//Q4s=")</f>
        <v>#VALUE!</v>
      </c>
      <c r="EK194" t="e">
        <f>AND('STERLING CATALOG - DRY '!E4335,"AAAAAG//Q4w=")</f>
        <v>#VALUE!</v>
      </c>
      <c r="EL194" t="e">
        <f>AND('STERLING CATALOG - DRY '!F4335,"AAAAAG//Q40=")</f>
        <v>#VALUE!</v>
      </c>
      <c r="EM194" t="e">
        <f>AND('STERLING CATALOG - DRY '!G4335,"AAAAAG//Q44=")</f>
        <v>#VALUE!</v>
      </c>
      <c r="EN194" t="e">
        <f>AND('STERLING CATALOG - DRY '!H4335,"AAAAAG//Q48=")</f>
        <v>#VALUE!</v>
      </c>
      <c r="EO194" t="e">
        <f>AND('STERLING CATALOG - DRY '!I4335,"AAAAAG//Q5A=")</f>
        <v>#VALUE!</v>
      </c>
      <c r="EP194" t="e">
        <f>AND('STERLING CATALOG - DRY '!J4335,"AAAAAG//Q5E=")</f>
        <v>#VALUE!</v>
      </c>
      <c r="EQ194">
        <f>IF('STERLING CATALOG - DRY '!4336:4336,"AAAAAG//Q5I=",0)</f>
        <v>0</v>
      </c>
      <c r="ER194" t="e">
        <f>AND('STERLING CATALOG - DRY '!A4336,"AAAAAG//Q5M=")</f>
        <v>#VALUE!</v>
      </c>
      <c r="ES194" t="e">
        <f>AND('STERLING CATALOG - DRY '!B4336,"AAAAAG//Q5Q=")</f>
        <v>#VALUE!</v>
      </c>
      <c r="ET194" t="e">
        <f>AND('STERLING CATALOG - DRY '!C4336,"AAAAAG//Q5U=")</f>
        <v>#VALUE!</v>
      </c>
      <c r="EU194" t="e">
        <f>AND('STERLING CATALOG - DRY '!D4336,"AAAAAG//Q5Y=")</f>
        <v>#VALUE!</v>
      </c>
      <c r="EV194" t="e">
        <f>AND('STERLING CATALOG - DRY '!E4336,"AAAAAG//Q5c=")</f>
        <v>#VALUE!</v>
      </c>
      <c r="EW194" t="e">
        <f>AND('STERLING CATALOG - DRY '!F4336,"AAAAAG//Q5g=")</f>
        <v>#VALUE!</v>
      </c>
      <c r="EX194" t="e">
        <f>AND('STERLING CATALOG - DRY '!G4336,"AAAAAG//Q5k=")</f>
        <v>#VALUE!</v>
      </c>
      <c r="EY194" t="e">
        <f>AND('STERLING CATALOG - DRY '!H4336,"AAAAAG//Q5o=")</f>
        <v>#VALUE!</v>
      </c>
      <c r="EZ194" t="e">
        <f>AND('STERLING CATALOG - DRY '!I4336,"AAAAAG//Q5s=")</f>
        <v>#VALUE!</v>
      </c>
      <c r="FA194" t="e">
        <f>AND('STERLING CATALOG - DRY '!J4336,"AAAAAG//Q5w=")</f>
        <v>#VALUE!</v>
      </c>
      <c r="FB194">
        <f>IF('STERLING CATALOG - DRY '!4337:4337,"AAAAAG//Q50=",0)</f>
        <v>0</v>
      </c>
      <c r="FC194" t="e">
        <f>AND('STERLING CATALOG - DRY '!A4337,"AAAAAG//Q54=")</f>
        <v>#VALUE!</v>
      </c>
      <c r="FD194" t="e">
        <f>AND('STERLING CATALOG - DRY '!B4337,"AAAAAG//Q58=")</f>
        <v>#VALUE!</v>
      </c>
      <c r="FE194" t="e">
        <f>AND('STERLING CATALOG - DRY '!C4337,"AAAAAG//Q6A=")</f>
        <v>#VALUE!</v>
      </c>
      <c r="FF194" t="e">
        <f>AND('STERLING CATALOG - DRY '!D4337,"AAAAAG//Q6E=")</f>
        <v>#VALUE!</v>
      </c>
      <c r="FG194" t="e">
        <f>AND('STERLING CATALOG - DRY '!E4337,"AAAAAG//Q6I=")</f>
        <v>#VALUE!</v>
      </c>
      <c r="FH194" t="e">
        <f>AND('STERLING CATALOG - DRY '!F4337,"AAAAAG//Q6M=")</f>
        <v>#VALUE!</v>
      </c>
      <c r="FI194" t="e">
        <f>AND('STERLING CATALOG - DRY '!G4337,"AAAAAG//Q6Q=")</f>
        <v>#VALUE!</v>
      </c>
      <c r="FJ194" t="e">
        <f>AND('STERLING CATALOG - DRY '!H4337,"AAAAAG//Q6U=")</f>
        <v>#VALUE!</v>
      </c>
      <c r="FK194" t="e">
        <f>AND('STERLING CATALOG - DRY '!I4337,"AAAAAG//Q6Y=")</f>
        <v>#VALUE!</v>
      </c>
      <c r="FL194" t="e">
        <f>AND('STERLING CATALOG - DRY '!J4337,"AAAAAG//Q6c=")</f>
        <v>#VALUE!</v>
      </c>
      <c r="FM194">
        <f>IF('STERLING CATALOG - DRY '!4338:4338,"AAAAAG//Q6g=",0)</f>
        <v>0</v>
      </c>
      <c r="FN194" t="e">
        <f>AND('STERLING CATALOG - DRY '!A4338,"AAAAAG//Q6k=")</f>
        <v>#VALUE!</v>
      </c>
      <c r="FO194" t="e">
        <f>AND('STERLING CATALOG - DRY '!B4338,"AAAAAG//Q6o=")</f>
        <v>#VALUE!</v>
      </c>
      <c r="FP194" t="e">
        <f>AND('STERLING CATALOG - DRY '!C4338,"AAAAAG//Q6s=")</f>
        <v>#VALUE!</v>
      </c>
      <c r="FQ194" t="e">
        <f>AND('STERLING CATALOG - DRY '!D4338,"AAAAAG//Q6w=")</f>
        <v>#VALUE!</v>
      </c>
      <c r="FR194" t="e">
        <f>AND('STERLING CATALOG - DRY '!E4338,"AAAAAG//Q60=")</f>
        <v>#VALUE!</v>
      </c>
      <c r="FS194" t="e">
        <f>AND('STERLING CATALOG - DRY '!F4338,"AAAAAG//Q64=")</f>
        <v>#VALUE!</v>
      </c>
      <c r="FT194" t="e">
        <f>AND('STERLING CATALOG - DRY '!G4338,"AAAAAG//Q68=")</f>
        <v>#VALUE!</v>
      </c>
      <c r="FU194" t="e">
        <f>AND('STERLING CATALOG - DRY '!H4338,"AAAAAG//Q7A=")</f>
        <v>#VALUE!</v>
      </c>
      <c r="FV194" t="e">
        <f>AND('STERLING CATALOG - DRY '!I4338,"AAAAAG//Q7E=")</f>
        <v>#VALUE!</v>
      </c>
      <c r="FW194" t="e">
        <f>AND('STERLING CATALOG - DRY '!J4338,"AAAAAG//Q7I=")</f>
        <v>#VALUE!</v>
      </c>
      <c r="FX194">
        <f>IF('STERLING CATALOG - DRY '!4339:4339,"AAAAAG//Q7M=",0)</f>
        <v>0</v>
      </c>
      <c r="FY194" t="e">
        <f>AND('STERLING CATALOG - DRY '!A4339,"AAAAAG//Q7Q=")</f>
        <v>#VALUE!</v>
      </c>
      <c r="FZ194" t="e">
        <f>AND('STERLING CATALOG - DRY '!B4339,"AAAAAG//Q7U=")</f>
        <v>#VALUE!</v>
      </c>
      <c r="GA194" t="e">
        <f>AND('STERLING CATALOG - DRY '!C4339,"AAAAAG//Q7Y=")</f>
        <v>#VALUE!</v>
      </c>
      <c r="GB194" t="e">
        <f>AND('STERLING CATALOG - DRY '!D4339,"AAAAAG//Q7c=")</f>
        <v>#VALUE!</v>
      </c>
      <c r="GC194" t="e">
        <f>AND('STERLING CATALOG - DRY '!E4339,"AAAAAG//Q7g=")</f>
        <v>#VALUE!</v>
      </c>
      <c r="GD194" t="e">
        <f>AND('STERLING CATALOG - DRY '!F4339,"AAAAAG//Q7k=")</f>
        <v>#VALUE!</v>
      </c>
      <c r="GE194" t="e">
        <f>AND('STERLING CATALOG - DRY '!G4339,"AAAAAG//Q7o=")</f>
        <v>#VALUE!</v>
      </c>
      <c r="GF194" t="e">
        <f>AND('STERLING CATALOG - DRY '!H4339,"AAAAAG//Q7s=")</f>
        <v>#VALUE!</v>
      </c>
      <c r="GG194" t="e">
        <f>AND('STERLING CATALOG - DRY '!I4339,"AAAAAG//Q7w=")</f>
        <v>#VALUE!</v>
      </c>
      <c r="GH194" t="e">
        <f>AND('STERLING CATALOG - DRY '!J4339,"AAAAAG//Q70=")</f>
        <v>#VALUE!</v>
      </c>
      <c r="GI194">
        <f>IF('STERLING CATALOG - DRY '!4340:4340,"AAAAAG//Q74=",0)</f>
        <v>0</v>
      </c>
      <c r="GJ194" t="e">
        <f>AND('STERLING CATALOG - DRY '!A4340,"AAAAAG//Q78=")</f>
        <v>#VALUE!</v>
      </c>
      <c r="GK194" t="e">
        <f>AND('STERLING CATALOG - DRY '!B4340,"AAAAAG//Q8A=")</f>
        <v>#VALUE!</v>
      </c>
      <c r="GL194" t="e">
        <f>AND('STERLING CATALOG - DRY '!C4340,"AAAAAG//Q8E=")</f>
        <v>#VALUE!</v>
      </c>
      <c r="GM194" t="e">
        <f>AND('STERLING CATALOG - DRY '!D4340,"AAAAAG//Q8I=")</f>
        <v>#VALUE!</v>
      </c>
      <c r="GN194" t="e">
        <f>AND('STERLING CATALOG - DRY '!E4340,"AAAAAG//Q8M=")</f>
        <v>#VALUE!</v>
      </c>
      <c r="GO194" t="e">
        <f>AND('STERLING CATALOG - DRY '!F4340,"AAAAAG//Q8Q=")</f>
        <v>#VALUE!</v>
      </c>
      <c r="GP194" t="e">
        <f>AND('STERLING CATALOG - DRY '!G4340,"AAAAAG//Q8U=")</f>
        <v>#VALUE!</v>
      </c>
      <c r="GQ194" t="e">
        <f>AND('STERLING CATALOG - DRY '!H4340,"AAAAAG//Q8Y=")</f>
        <v>#VALUE!</v>
      </c>
      <c r="GR194" t="e">
        <f>AND('STERLING CATALOG - DRY '!I4340,"AAAAAG//Q8c=")</f>
        <v>#VALUE!</v>
      </c>
      <c r="GS194" t="e">
        <f>AND('STERLING CATALOG - DRY '!J4340,"AAAAAG//Q8g=")</f>
        <v>#VALUE!</v>
      </c>
      <c r="GT194">
        <f>IF('STERLING CATALOG - DRY '!4341:4341,"AAAAAG//Q8k=",0)</f>
        <v>0</v>
      </c>
      <c r="GU194" t="e">
        <f>AND('STERLING CATALOG - DRY '!A4341,"AAAAAG//Q8o=")</f>
        <v>#VALUE!</v>
      </c>
      <c r="GV194" t="e">
        <f>AND('STERLING CATALOG - DRY '!B4341,"AAAAAG//Q8s=")</f>
        <v>#VALUE!</v>
      </c>
      <c r="GW194" t="e">
        <f>AND('STERLING CATALOG - DRY '!C4341,"AAAAAG//Q8w=")</f>
        <v>#VALUE!</v>
      </c>
      <c r="GX194" t="e">
        <f>AND('STERLING CATALOG - DRY '!D4341,"AAAAAG//Q80=")</f>
        <v>#VALUE!</v>
      </c>
      <c r="GY194" t="e">
        <f>AND('STERLING CATALOG - DRY '!E4341,"AAAAAG//Q84=")</f>
        <v>#VALUE!</v>
      </c>
      <c r="GZ194" t="e">
        <f>AND('STERLING CATALOG - DRY '!F4341,"AAAAAG//Q88=")</f>
        <v>#VALUE!</v>
      </c>
      <c r="HA194" t="e">
        <f>AND('STERLING CATALOG - DRY '!G4341,"AAAAAG//Q9A=")</f>
        <v>#VALUE!</v>
      </c>
      <c r="HB194" t="e">
        <f>AND('STERLING CATALOG - DRY '!H4341,"AAAAAG//Q9E=")</f>
        <v>#VALUE!</v>
      </c>
      <c r="HC194" t="e">
        <f>AND('STERLING CATALOG - DRY '!I4341,"AAAAAG//Q9I=")</f>
        <v>#VALUE!</v>
      </c>
      <c r="HD194" t="e">
        <f>AND('STERLING CATALOG - DRY '!J4341,"AAAAAG//Q9M=")</f>
        <v>#VALUE!</v>
      </c>
      <c r="HE194">
        <f>IF('STERLING CATALOG - DRY '!4342:4342,"AAAAAG//Q9Q=",0)</f>
        <v>0</v>
      </c>
      <c r="HF194" t="e">
        <f>AND('STERLING CATALOG - DRY '!A4342,"AAAAAG//Q9U=")</f>
        <v>#VALUE!</v>
      </c>
      <c r="HG194" t="e">
        <f>AND('STERLING CATALOG - DRY '!B4342,"AAAAAG//Q9Y=")</f>
        <v>#VALUE!</v>
      </c>
      <c r="HH194" t="e">
        <f>AND('STERLING CATALOG - DRY '!C4342,"AAAAAG//Q9c=")</f>
        <v>#VALUE!</v>
      </c>
      <c r="HI194" t="e">
        <f>AND('STERLING CATALOG - DRY '!D4342,"AAAAAG//Q9g=")</f>
        <v>#VALUE!</v>
      </c>
      <c r="HJ194" t="e">
        <f>AND('STERLING CATALOG - DRY '!E4342,"AAAAAG//Q9k=")</f>
        <v>#VALUE!</v>
      </c>
      <c r="HK194" t="e">
        <f>AND('STERLING CATALOG - DRY '!F4342,"AAAAAG//Q9o=")</f>
        <v>#VALUE!</v>
      </c>
      <c r="HL194" t="e">
        <f>AND('STERLING CATALOG - DRY '!G4342,"AAAAAG//Q9s=")</f>
        <v>#VALUE!</v>
      </c>
      <c r="HM194" t="e">
        <f>AND('STERLING CATALOG - DRY '!H4342,"AAAAAG//Q9w=")</f>
        <v>#VALUE!</v>
      </c>
      <c r="HN194" t="e">
        <f>AND('STERLING CATALOG - DRY '!I4342,"AAAAAG//Q90=")</f>
        <v>#VALUE!</v>
      </c>
      <c r="HO194" t="e">
        <f>AND('STERLING CATALOG - DRY '!J4342,"AAAAAG//Q94=")</f>
        <v>#VALUE!</v>
      </c>
      <c r="HP194">
        <f>IF('STERLING CATALOG - DRY '!4343:4343,"AAAAAG//Q98=",0)</f>
        <v>0</v>
      </c>
      <c r="HQ194" t="e">
        <f>AND('STERLING CATALOG - DRY '!A4343,"AAAAAG//Q+A=")</f>
        <v>#VALUE!</v>
      </c>
      <c r="HR194" t="e">
        <f>AND('STERLING CATALOG - DRY '!B4343,"AAAAAG//Q+E=")</f>
        <v>#VALUE!</v>
      </c>
      <c r="HS194" t="e">
        <f>AND('STERLING CATALOG - DRY '!C4343,"AAAAAG//Q+I=")</f>
        <v>#VALUE!</v>
      </c>
      <c r="HT194" t="e">
        <f>AND('STERLING CATALOG - DRY '!D4343,"AAAAAG//Q+M=")</f>
        <v>#VALUE!</v>
      </c>
      <c r="HU194" t="e">
        <f>AND('STERLING CATALOG - DRY '!E4343,"AAAAAG//Q+Q=")</f>
        <v>#VALUE!</v>
      </c>
      <c r="HV194" t="e">
        <f>AND('STERLING CATALOG - DRY '!F4343,"AAAAAG//Q+U=")</f>
        <v>#VALUE!</v>
      </c>
      <c r="HW194" t="e">
        <f>AND('STERLING CATALOG - DRY '!G4343,"AAAAAG//Q+Y=")</f>
        <v>#VALUE!</v>
      </c>
      <c r="HX194" t="e">
        <f>AND('STERLING CATALOG - DRY '!H4343,"AAAAAG//Q+c=")</f>
        <v>#VALUE!</v>
      </c>
      <c r="HY194" t="e">
        <f>AND('STERLING CATALOG - DRY '!I4343,"AAAAAG//Q+g=")</f>
        <v>#VALUE!</v>
      </c>
      <c r="HZ194" t="e">
        <f>AND('STERLING CATALOG - DRY '!J4343,"AAAAAG//Q+k=")</f>
        <v>#VALUE!</v>
      </c>
      <c r="IA194">
        <f>IF('STERLING CATALOG - DRY '!4344:4344,"AAAAAG//Q+o=",0)</f>
        <v>0</v>
      </c>
      <c r="IB194" t="e">
        <f>AND('STERLING CATALOG - DRY '!A4344,"AAAAAG//Q+s=")</f>
        <v>#VALUE!</v>
      </c>
      <c r="IC194" t="e">
        <f>AND('STERLING CATALOG - DRY '!B4344,"AAAAAG//Q+w=")</f>
        <v>#VALUE!</v>
      </c>
      <c r="ID194" t="e">
        <f>AND('STERLING CATALOG - DRY '!C4344,"AAAAAG//Q+0=")</f>
        <v>#VALUE!</v>
      </c>
      <c r="IE194" t="e">
        <f>AND('STERLING CATALOG - DRY '!D4344,"AAAAAG//Q+4=")</f>
        <v>#VALUE!</v>
      </c>
      <c r="IF194" t="e">
        <f>AND('STERLING CATALOG - DRY '!E4344,"AAAAAG//Q+8=")</f>
        <v>#VALUE!</v>
      </c>
      <c r="IG194" t="e">
        <f>AND('STERLING CATALOG - DRY '!F4344,"AAAAAG//Q/A=")</f>
        <v>#VALUE!</v>
      </c>
      <c r="IH194" t="e">
        <f>AND('STERLING CATALOG - DRY '!G4344,"AAAAAG//Q/E=")</f>
        <v>#VALUE!</v>
      </c>
      <c r="II194" t="e">
        <f>AND('STERLING CATALOG - DRY '!H4344,"AAAAAG//Q/I=")</f>
        <v>#VALUE!</v>
      </c>
      <c r="IJ194" t="e">
        <f>AND('STERLING CATALOG - DRY '!I4344,"AAAAAG//Q/M=")</f>
        <v>#VALUE!</v>
      </c>
      <c r="IK194" t="e">
        <f>AND('STERLING CATALOG - DRY '!J4344,"AAAAAG//Q/Q=")</f>
        <v>#VALUE!</v>
      </c>
      <c r="IL194">
        <f>IF('STERLING CATALOG - DRY '!4345:4345,"AAAAAG//Q/U=",0)</f>
        <v>0</v>
      </c>
      <c r="IM194" t="e">
        <f>AND('STERLING CATALOG - DRY '!A4345,"AAAAAG//Q/Y=")</f>
        <v>#VALUE!</v>
      </c>
      <c r="IN194" t="e">
        <f>AND('STERLING CATALOG - DRY '!B4345,"AAAAAG//Q/c=")</f>
        <v>#VALUE!</v>
      </c>
      <c r="IO194" t="e">
        <f>AND('STERLING CATALOG - DRY '!C4345,"AAAAAG//Q/g=")</f>
        <v>#VALUE!</v>
      </c>
      <c r="IP194" t="e">
        <f>AND('STERLING CATALOG - DRY '!D4345,"AAAAAG//Q/k=")</f>
        <v>#VALUE!</v>
      </c>
      <c r="IQ194" t="e">
        <f>AND('STERLING CATALOG - DRY '!E4345,"AAAAAG//Q/o=")</f>
        <v>#VALUE!</v>
      </c>
      <c r="IR194" t="e">
        <f>AND('STERLING CATALOG - DRY '!F4345,"AAAAAG//Q/s=")</f>
        <v>#VALUE!</v>
      </c>
      <c r="IS194" t="e">
        <f>AND('STERLING CATALOG - DRY '!G4345,"AAAAAG//Q/w=")</f>
        <v>#VALUE!</v>
      </c>
      <c r="IT194" t="e">
        <f>AND('STERLING CATALOG - DRY '!H4345,"AAAAAG//Q/0=")</f>
        <v>#VALUE!</v>
      </c>
      <c r="IU194" t="e">
        <f>AND('STERLING CATALOG - DRY '!I4345,"AAAAAG//Q/4=")</f>
        <v>#VALUE!</v>
      </c>
      <c r="IV194" t="e">
        <f>AND('STERLING CATALOG - DRY '!J4345,"AAAAAG//Q/8=")</f>
        <v>#VALUE!</v>
      </c>
    </row>
    <row r="195" spans="1:256">
      <c r="A195" t="str">
        <f>IF('STERLING CATALOG - DRY '!4346:4346,"AAAAAH3v/gA=",0)</f>
        <v>AAAAAH3v/gA=</v>
      </c>
      <c r="B195" t="e">
        <f>AND('STERLING CATALOG - DRY '!A4346,"AAAAAH3v/gE=")</f>
        <v>#VALUE!</v>
      </c>
      <c r="C195" t="e">
        <f>AND('STERLING CATALOG - DRY '!B4346,"AAAAAH3v/gI=")</f>
        <v>#VALUE!</v>
      </c>
      <c r="D195" t="e">
        <f>AND('STERLING CATALOG - DRY '!C4346,"AAAAAH3v/gM=")</f>
        <v>#VALUE!</v>
      </c>
      <c r="E195" t="e">
        <f>AND('STERLING CATALOG - DRY '!D4346,"AAAAAH3v/gQ=")</f>
        <v>#VALUE!</v>
      </c>
      <c r="F195" t="e">
        <f>AND('STERLING CATALOG - DRY '!E4346,"AAAAAH3v/gU=")</f>
        <v>#VALUE!</v>
      </c>
      <c r="G195" t="e">
        <f>AND('STERLING CATALOG - DRY '!F4346,"AAAAAH3v/gY=")</f>
        <v>#VALUE!</v>
      </c>
      <c r="H195" t="e">
        <f>AND('STERLING CATALOG - DRY '!G4346,"AAAAAH3v/gc=")</f>
        <v>#VALUE!</v>
      </c>
      <c r="I195" t="e">
        <f>AND('STERLING CATALOG - DRY '!H4346,"AAAAAH3v/gg=")</f>
        <v>#VALUE!</v>
      </c>
      <c r="J195" t="e">
        <f>AND('STERLING CATALOG - DRY '!I4346,"AAAAAH3v/gk=")</f>
        <v>#VALUE!</v>
      </c>
      <c r="K195" t="e">
        <f>AND('STERLING CATALOG - DRY '!J4346,"AAAAAH3v/go=")</f>
        <v>#VALUE!</v>
      </c>
      <c r="L195">
        <f>IF('STERLING CATALOG - DRY '!4347:4347,"AAAAAH3v/gs=",0)</f>
        <v>0</v>
      </c>
      <c r="M195" t="e">
        <f>AND('STERLING CATALOG - DRY '!A4347,"AAAAAH3v/gw=")</f>
        <v>#VALUE!</v>
      </c>
      <c r="N195" t="e">
        <f>AND('STERLING CATALOG - DRY '!B4347,"AAAAAH3v/g0=")</f>
        <v>#VALUE!</v>
      </c>
      <c r="O195" t="e">
        <f>AND('STERLING CATALOG - DRY '!C4347,"AAAAAH3v/g4=")</f>
        <v>#VALUE!</v>
      </c>
      <c r="P195" t="e">
        <f>AND('STERLING CATALOG - DRY '!D4347,"AAAAAH3v/g8=")</f>
        <v>#VALUE!</v>
      </c>
      <c r="Q195" t="e">
        <f>AND('STERLING CATALOG - DRY '!E4347,"AAAAAH3v/hA=")</f>
        <v>#VALUE!</v>
      </c>
      <c r="R195" t="e">
        <f>AND('STERLING CATALOG - DRY '!F4347,"AAAAAH3v/hE=")</f>
        <v>#VALUE!</v>
      </c>
      <c r="S195" t="e">
        <f>AND('STERLING CATALOG - DRY '!G4347,"AAAAAH3v/hI=")</f>
        <v>#VALUE!</v>
      </c>
      <c r="T195" t="e">
        <f>AND('STERLING CATALOG - DRY '!H4347,"AAAAAH3v/hM=")</f>
        <v>#VALUE!</v>
      </c>
      <c r="U195" t="e">
        <f>AND('STERLING CATALOG - DRY '!I4347,"AAAAAH3v/hQ=")</f>
        <v>#VALUE!</v>
      </c>
      <c r="V195" t="e">
        <f>AND('STERLING CATALOG - DRY '!J4347,"AAAAAH3v/hU=")</f>
        <v>#VALUE!</v>
      </c>
      <c r="W195">
        <f>IF('STERLING CATALOG - DRY '!4348:4348,"AAAAAH3v/hY=",0)</f>
        <v>0</v>
      </c>
      <c r="X195" t="e">
        <f>AND('STERLING CATALOG - DRY '!A4348,"AAAAAH3v/hc=")</f>
        <v>#VALUE!</v>
      </c>
      <c r="Y195" t="e">
        <f>AND('STERLING CATALOG - DRY '!B4348,"AAAAAH3v/hg=")</f>
        <v>#VALUE!</v>
      </c>
      <c r="Z195" t="e">
        <f>AND('STERLING CATALOG - DRY '!C4348,"AAAAAH3v/hk=")</f>
        <v>#VALUE!</v>
      </c>
      <c r="AA195" t="e">
        <f>AND('STERLING CATALOG - DRY '!D4348,"AAAAAH3v/ho=")</f>
        <v>#VALUE!</v>
      </c>
      <c r="AB195" t="e">
        <f>AND('STERLING CATALOG - DRY '!E4348,"AAAAAH3v/hs=")</f>
        <v>#VALUE!</v>
      </c>
      <c r="AC195" t="e">
        <f>AND('STERLING CATALOG - DRY '!F4348,"AAAAAH3v/hw=")</f>
        <v>#VALUE!</v>
      </c>
      <c r="AD195" t="e">
        <f>AND('STERLING CATALOG - DRY '!G4348,"AAAAAH3v/h0=")</f>
        <v>#VALUE!</v>
      </c>
      <c r="AE195" t="e">
        <f>AND('STERLING CATALOG - DRY '!H4348,"AAAAAH3v/h4=")</f>
        <v>#VALUE!</v>
      </c>
      <c r="AF195" t="e">
        <f>AND('STERLING CATALOG - DRY '!I4348,"AAAAAH3v/h8=")</f>
        <v>#VALUE!</v>
      </c>
      <c r="AG195" t="e">
        <f>AND('STERLING CATALOG - DRY '!J4348,"AAAAAH3v/iA=")</f>
        <v>#VALUE!</v>
      </c>
      <c r="AH195">
        <f>IF('STERLING CATALOG - DRY '!4349:4349,"AAAAAH3v/iE=",0)</f>
        <v>0</v>
      </c>
      <c r="AI195" t="e">
        <f>AND('STERLING CATALOG - DRY '!A4349,"AAAAAH3v/iI=")</f>
        <v>#VALUE!</v>
      </c>
      <c r="AJ195" t="e">
        <f>AND('STERLING CATALOG - DRY '!B4349,"AAAAAH3v/iM=")</f>
        <v>#VALUE!</v>
      </c>
      <c r="AK195" t="e">
        <f>AND('STERLING CATALOG - DRY '!C4349,"AAAAAH3v/iQ=")</f>
        <v>#VALUE!</v>
      </c>
      <c r="AL195" t="e">
        <f>AND('STERLING CATALOG - DRY '!D4349,"AAAAAH3v/iU=")</f>
        <v>#VALUE!</v>
      </c>
      <c r="AM195" t="e">
        <f>AND('STERLING CATALOG - DRY '!E4349,"AAAAAH3v/iY=")</f>
        <v>#VALUE!</v>
      </c>
      <c r="AN195" t="e">
        <f>AND('STERLING CATALOG - DRY '!F4349,"AAAAAH3v/ic=")</f>
        <v>#VALUE!</v>
      </c>
      <c r="AO195" t="e">
        <f>AND('STERLING CATALOG - DRY '!G4349,"AAAAAH3v/ig=")</f>
        <v>#VALUE!</v>
      </c>
      <c r="AP195" t="e">
        <f>AND('STERLING CATALOG - DRY '!H4349,"AAAAAH3v/ik=")</f>
        <v>#VALUE!</v>
      </c>
      <c r="AQ195" t="e">
        <f>AND('STERLING CATALOG - DRY '!I4349,"AAAAAH3v/io=")</f>
        <v>#VALUE!</v>
      </c>
      <c r="AR195" t="e">
        <f>AND('STERLING CATALOG - DRY '!J4349,"AAAAAH3v/is=")</f>
        <v>#VALUE!</v>
      </c>
      <c r="AS195">
        <f>IF('STERLING CATALOG - DRY '!4350:4350,"AAAAAH3v/iw=",0)</f>
        <v>0</v>
      </c>
      <c r="AT195" t="e">
        <f>AND('STERLING CATALOG - DRY '!A4350,"AAAAAH3v/i0=")</f>
        <v>#VALUE!</v>
      </c>
      <c r="AU195" t="e">
        <f>AND('STERLING CATALOG - DRY '!B4350,"AAAAAH3v/i4=")</f>
        <v>#VALUE!</v>
      </c>
      <c r="AV195" t="e">
        <f>AND('STERLING CATALOG - DRY '!C4350,"AAAAAH3v/i8=")</f>
        <v>#VALUE!</v>
      </c>
      <c r="AW195" t="e">
        <f>AND('STERLING CATALOG - DRY '!D4350,"AAAAAH3v/jA=")</f>
        <v>#VALUE!</v>
      </c>
      <c r="AX195" t="e">
        <f>AND('STERLING CATALOG - DRY '!E4350,"AAAAAH3v/jE=")</f>
        <v>#VALUE!</v>
      </c>
      <c r="AY195" t="e">
        <f>AND('STERLING CATALOG - DRY '!F4350,"AAAAAH3v/jI=")</f>
        <v>#VALUE!</v>
      </c>
      <c r="AZ195" t="e">
        <f>AND('STERLING CATALOG - DRY '!G4350,"AAAAAH3v/jM=")</f>
        <v>#VALUE!</v>
      </c>
      <c r="BA195" t="e">
        <f>AND('STERLING CATALOG - DRY '!H4350,"AAAAAH3v/jQ=")</f>
        <v>#VALUE!</v>
      </c>
      <c r="BB195" t="e">
        <f>AND('STERLING CATALOG - DRY '!I4350,"AAAAAH3v/jU=")</f>
        <v>#VALUE!</v>
      </c>
      <c r="BC195" t="e">
        <f>AND('STERLING CATALOG - DRY '!J4350,"AAAAAH3v/jY=")</f>
        <v>#VALUE!</v>
      </c>
      <c r="BD195">
        <f>IF('STERLING CATALOG - DRY '!4351:4351,"AAAAAH3v/jc=",0)</f>
        <v>0</v>
      </c>
      <c r="BE195" t="e">
        <f>AND('STERLING CATALOG - DRY '!A4351,"AAAAAH3v/jg=")</f>
        <v>#VALUE!</v>
      </c>
      <c r="BF195" t="e">
        <f>AND('STERLING CATALOG - DRY '!B4351,"AAAAAH3v/jk=")</f>
        <v>#VALUE!</v>
      </c>
      <c r="BG195" t="e">
        <f>AND('STERLING CATALOG - DRY '!C4351,"AAAAAH3v/jo=")</f>
        <v>#VALUE!</v>
      </c>
      <c r="BH195" t="e">
        <f>AND('STERLING CATALOG - DRY '!D4351,"AAAAAH3v/js=")</f>
        <v>#VALUE!</v>
      </c>
      <c r="BI195" t="e">
        <f>AND('STERLING CATALOG - DRY '!E4351,"AAAAAH3v/jw=")</f>
        <v>#VALUE!</v>
      </c>
      <c r="BJ195" t="e">
        <f>AND('STERLING CATALOG - DRY '!F4351,"AAAAAH3v/j0=")</f>
        <v>#VALUE!</v>
      </c>
      <c r="BK195" t="e">
        <f>AND('STERLING CATALOG - DRY '!G4351,"AAAAAH3v/j4=")</f>
        <v>#VALUE!</v>
      </c>
      <c r="BL195" t="e">
        <f>AND('STERLING CATALOG - DRY '!H4351,"AAAAAH3v/j8=")</f>
        <v>#VALUE!</v>
      </c>
      <c r="BM195" t="e">
        <f>AND('STERLING CATALOG - DRY '!I4351,"AAAAAH3v/kA=")</f>
        <v>#VALUE!</v>
      </c>
      <c r="BN195" t="e">
        <f>AND('STERLING CATALOG - DRY '!J4351,"AAAAAH3v/kE=")</f>
        <v>#VALUE!</v>
      </c>
      <c r="BO195">
        <f>IF('STERLING CATALOG - DRY '!4352:4352,"AAAAAH3v/kI=",0)</f>
        <v>0</v>
      </c>
      <c r="BP195" t="e">
        <f>AND('STERLING CATALOG - DRY '!A4352,"AAAAAH3v/kM=")</f>
        <v>#VALUE!</v>
      </c>
      <c r="BQ195" t="e">
        <f>AND('STERLING CATALOG - DRY '!B4352,"AAAAAH3v/kQ=")</f>
        <v>#VALUE!</v>
      </c>
      <c r="BR195" t="e">
        <f>AND('STERLING CATALOG - DRY '!C4352,"AAAAAH3v/kU=")</f>
        <v>#VALUE!</v>
      </c>
      <c r="BS195" t="e">
        <f>AND('STERLING CATALOG - DRY '!D4352,"AAAAAH3v/kY=")</f>
        <v>#VALUE!</v>
      </c>
      <c r="BT195" t="e">
        <f>AND('STERLING CATALOG - DRY '!E4352,"AAAAAH3v/kc=")</f>
        <v>#VALUE!</v>
      </c>
      <c r="BU195" t="e">
        <f>AND('STERLING CATALOG - DRY '!F4352,"AAAAAH3v/kg=")</f>
        <v>#VALUE!</v>
      </c>
      <c r="BV195" t="e">
        <f>AND('STERLING CATALOG - DRY '!G4352,"AAAAAH3v/kk=")</f>
        <v>#VALUE!</v>
      </c>
      <c r="BW195" t="e">
        <f>AND('STERLING CATALOG - DRY '!H4352,"AAAAAH3v/ko=")</f>
        <v>#VALUE!</v>
      </c>
      <c r="BX195" t="e">
        <f>AND('STERLING CATALOG - DRY '!I4352,"AAAAAH3v/ks=")</f>
        <v>#VALUE!</v>
      </c>
      <c r="BY195" t="e">
        <f>AND('STERLING CATALOG - DRY '!J4352,"AAAAAH3v/kw=")</f>
        <v>#VALUE!</v>
      </c>
      <c r="BZ195">
        <f>IF('STERLING CATALOG - DRY '!4353:4353,"AAAAAH3v/k0=",0)</f>
        <v>0</v>
      </c>
      <c r="CA195" t="e">
        <f>AND('STERLING CATALOG - DRY '!A4353,"AAAAAH3v/k4=")</f>
        <v>#VALUE!</v>
      </c>
      <c r="CB195" t="e">
        <f>AND('STERLING CATALOG - DRY '!B4353,"AAAAAH3v/k8=")</f>
        <v>#VALUE!</v>
      </c>
      <c r="CC195" t="e">
        <f>AND('STERLING CATALOG - DRY '!C4353,"AAAAAH3v/lA=")</f>
        <v>#VALUE!</v>
      </c>
      <c r="CD195" t="e">
        <f>AND('STERLING CATALOG - DRY '!D4353,"AAAAAH3v/lE=")</f>
        <v>#VALUE!</v>
      </c>
      <c r="CE195" t="e">
        <f>AND('STERLING CATALOG - DRY '!E4353,"AAAAAH3v/lI=")</f>
        <v>#VALUE!</v>
      </c>
      <c r="CF195" t="e">
        <f>AND('STERLING CATALOG - DRY '!F4353,"AAAAAH3v/lM=")</f>
        <v>#VALUE!</v>
      </c>
      <c r="CG195" t="e">
        <f>AND('STERLING CATALOG - DRY '!G4353,"AAAAAH3v/lQ=")</f>
        <v>#VALUE!</v>
      </c>
      <c r="CH195" t="e">
        <f>AND('STERLING CATALOG - DRY '!H4353,"AAAAAH3v/lU=")</f>
        <v>#VALUE!</v>
      </c>
      <c r="CI195" t="e">
        <f>AND('STERLING CATALOG - DRY '!I4353,"AAAAAH3v/lY=")</f>
        <v>#VALUE!</v>
      </c>
      <c r="CJ195" t="e">
        <f>AND('STERLING CATALOG - DRY '!J4353,"AAAAAH3v/lc=")</f>
        <v>#VALUE!</v>
      </c>
      <c r="CK195">
        <f>IF('STERLING CATALOG - DRY '!4354:4354,"AAAAAH3v/lg=",0)</f>
        <v>0</v>
      </c>
      <c r="CL195" t="e">
        <f>AND('STERLING CATALOG - DRY '!A4354,"AAAAAH3v/lk=")</f>
        <v>#VALUE!</v>
      </c>
      <c r="CM195" t="e">
        <f>AND('STERLING CATALOG - DRY '!B4354,"AAAAAH3v/lo=")</f>
        <v>#VALUE!</v>
      </c>
      <c r="CN195" t="e">
        <f>AND('STERLING CATALOG - DRY '!C4354,"AAAAAH3v/ls=")</f>
        <v>#VALUE!</v>
      </c>
      <c r="CO195" t="e">
        <f>AND('STERLING CATALOG - DRY '!D4354,"AAAAAH3v/lw=")</f>
        <v>#VALUE!</v>
      </c>
      <c r="CP195" t="e">
        <f>AND('STERLING CATALOG - DRY '!E4354,"AAAAAH3v/l0=")</f>
        <v>#VALUE!</v>
      </c>
      <c r="CQ195" t="e">
        <f>AND('STERLING CATALOG - DRY '!F4354,"AAAAAH3v/l4=")</f>
        <v>#VALUE!</v>
      </c>
      <c r="CR195" t="e">
        <f>AND('STERLING CATALOG - DRY '!G4354,"AAAAAH3v/l8=")</f>
        <v>#VALUE!</v>
      </c>
      <c r="CS195" t="e">
        <f>AND('STERLING CATALOG - DRY '!H4354,"AAAAAH3v/mA=")</f>
        <v>#VALUE!</v>
      </c>
      <c r="CT195" t="e">
        <f>AND('STERLING CATALOG - DRY '!I4354,"AAAAAH3v/mE=")</f>
        <v>#VALUE!</v>
      </c>
      <c r="CU195" t="e">
        <f>AND('STERLING CATALOG - DRY '!J4354,"AAAAAH3v/mI=")</f>
        <v>#VALUE!</v>
      </c>
      <c r="CV195">
        <f>IF('STERLING CATALOG - DRY '!4355:4355,"AAAAAH3v/mM=",0)</f>
        <v>0</v>
      </c>
      <c r="CW195" t="e">
        <f>AND('STERLING CATALOG - DRY '!A4355,"AAAAAH3v/mQ=")</f>
        <v>#VALUE!</v>
      </c>
      <c r="CX195" t="e">
        <f>AND('STERLING CATALOG - DRY '!B4355,"AAAAAH3v/mU=")</f>
        <v>#VALUE!</v>
      </c>
      <c r="CY195" t="e">
        <f>AND('STERLING CATALOG - DRY '!C4355,"AAAAAH3v/mY=")</f>
        <v>#VALUE!</v>
      </c>
      <c r="CZ195" t="e">
        <f>AND('STERLING CATALOG - DRY '!D4355,"AAAAAH3v/mc=")</f>
        <v>#VALUE!</v>
      </c>
      <c r="DA195" t="e">
        <f>AND('STERLING CATALOG - DRY '!E4355,"AAAAAH3v/mg=")</f>
        <v>#VALUE!</v>
      </c>
      <c r="DB195" t="e">
        <f>AND('STERLING CATALOG - DRY '!F4355,"AAAAAH3v/mk=")</f>
        <v>#VALUE!</v>
      </c>
      <c r="DC195" t="e">
        <f>AND('STERLING CATALOG - DRY '!G4355,"AAAAAH3v/mo=")</f>
        <v>#VALUE!</v>
      </c>
      <c r="DD195" t="e">
        <f>AND('STERLING CATALOG - DRY '!H4355,"AAAAAH3v/ms=")</f>
        <v>#VALUE!</v>
      </c>
      <c r="DE195" t="e">
        <f>AND('STERLING CATALOG - DRY '!I4355,"AAAAAH3v/mw=")</f>
        <v>#VALUE!</v>
      </c>
      <c r="DF195" t="e">
        <f>AND('STERLING CATALOG - DRY '!J4355,"AAAAAH3v/m0=")</f>
        <v>#VALUE!</v>
      </c>
      <c r="DG195">
        <f>IF('STERLING CATALOG - DRY '!4356:4356,"AAAAAH3v/m4=",0)</f>
        <v>0</v>
      </c>
      <c r="DH195" t="e">
        <f>AND('STERLING CATALOG - DRY '!A4356,"AAAAAH3v/m8=")</f>
        <v>#VALUE!</v>
      </c>
      <c r="DI195" t="e">
        <f>AND('STERLING CATALOG - DRY '!B4356,"AAAAAH3v/nA=")</f>
        <v>#VALUE!</v>
      </c>
      <c r="DJ195" t="e">
        <f>AND('STERLING CATALOG - DRY '!C4356,"AAAAAH3v/nE=")</f>
        <v>#VALUE!</v>
      </c>
      <c r="DK195" t="e">
        <f>AND('STERLING CATALOG - DRY '!D4356,"AAAAAH3v/nI=")</f>
        <v>#VALUE!</v>
      </c>
      <c r="DL195" t="e">
        <f>AND('STERLING CATALOG - DRY '!E4356,"AAAAAH3v/nM=")</f>
        <v>#VALUE!</v>
      </c>
      <c r="DM195" t="e">
        <f>AND('STERLING CATALOG - DRY '!F4356,"AAAAAH3v/nQ=")</f>
        <v>#VALUE!</v>
      </c>
      <c r="DN195" t="e">
        <f>AND('STERLING CATALOG - DRY '!G4356,"AAAAAH3v/nU=")</f>
        <v>#VALUE!</v>
      </c>
      <c r="DO195" t="e">
        <f>AND('STERLING CATALOG - DRY '!H4356,"AAAAAH3v/nY=")</f>
        <v>#VALUE!</v>
      </c>
      <c r="DP195" t="e">
        <f>AND('STERLING CATALOG - DRY '!I4356,"AAAAAH3v/nc=")</f>
        <v>#VALUE!</v>
      </c>
      <c r="DQ195" t="e">
        <f>AND('STERLING CATALOG - DRY '!J4356,"AAAAAH3v/ng=")</f>
        <v>#VALUE!</v>
      </c>
      <c r="DR195">
        <f>IF('STERLING CATALOG - DRY '!4357:4357,"AAAAAH3v/nk=",0)</f>
        <v>0</v>
      </c>
      <c r="DS195" t="e">
        <f>AND('STERLING CATALOG - DRY '!A4357,"AAAAAH3v/no=")</f>
        <v>#VALUE!</v>
      </c>
      <c r="DT195" t="e">
        <f>AND('STERLING CATALOG - DRY '!B4357,"AAAAAH3v/ns=")</f>
        <v>#VALUE!</v>
      </c>
      <c r="DU195" t="e">
        <f>AND('STERLING CATALOG - DRY '!C4357,"AAAAAH3v/nw=")</f>
        <v>#VALUE!</v>
      </c>
      <c r="DV195" t="e">
        <f>AND('STERLING CATALOG - DRY '!D4357,"AAAAAH3v/n0=")</f>
        <v>#VALUE!</v>
      </c>
      <c r="DW195" t="e">
        <f>AND('STERLING CATALOG - DRY '!E4357,"AAAAAH3v/n4=")</f>
        <v>#VALUE!</v>
      </c>
      <c r="DX195" t="e">
        <f>AND('STERLING CATALOG - DRY '!F4357,"AAAAAH3v/n8=")</f>
        <v>#VALUE!</v>
      </c>
      <c r="DY195" t="e">
        <f>AND('STERLING CATALOG - DRY '!G4357,"AAAAAH3v/oA=")</f>
        <v>#VALUE!</v>
      </c>
      <c r="DZ195" t="e">
        <f>AND('STERLING CATALOG - DRY '!H4357,"AAAAAH3v/oE=")</f>
        <v>#VALUE!</v>
      </c>
      <c r="EA195" t="e">
        <f>AND('STERLING CATALOG - DRY '!I4357,"AAAAAH3v/oI=")</f>
        <v>#VALUE!</v>
      </c>
      <c r="EB195" t="e">
        <f>AND('STERLING CATALOG - DRY '!J4357,"AAAAAH3v/oM=")</f>
        <v>#VALUE!</v>
      </c>
      <c r="EC195">
        <f>IF('STERLING CATALOG - DRY '!4358:4358,"AAAAAH3v/oQ=",0)</f>
        <v>0</v>
      </c>
      <c r="ED195" t="e">
        <f>AND('STERLING CATALOG - DRY '!A4358,"AAAAAH3v/oU=")</f>
        <v>#VALUE!</v>
      </c>
      <c r="EE195" t="e">
        <f>AND('STERLING CATALOG - DRY '!B4358,"AAAAAH3v/oY=")</f>
        <v>#VALUE!</v>
      </c>
      <c r="EF195" t="e">
        <f>AND('STERLING CATALOG - DRY '!C4358,"AAAAAH3v/oc=")</f>
        <v>#VALUE!</v>
      </c>
      <c r="EG195" t="e">
        <f>AND('STERLING CATALOG - DRY '!D4358,"AAAAAH3v/og=")</f>
        <v>#VALUE!</v>
      </c>
      <c r="EH195" t="e">
        <f>AND('STERLING CATALOG - DRY '!E4358,"AAAAAH3v/ok=")</f>
        <v>#VALUE!</v>
      </c>
      <c r="EI195" t="e">
        <f>AND('STERLING CATALOG - DRY '!F4358,"AAAAAH3v/oo=")</f>
        <v>#VALUE!</v>
      </c>
      <c r="EJ195" t="e">
        <f>AND('STERLING CATALOG - DRY '!G4358,"AAAAAH3v/os=")</f>
        <v>#VALUE!</v>
      </c>
      <c r="EK195" t="e">
        <f>AND('STERLING CATALOG - DRY '!H4358,"AAAAAH3v/ow=")</f>
        <v>#VALUE!</v>
      </c>
      <c r="EL195" t="e">
        <f>AND('STERLING CATALOG - DRY '!I4358,"AAAAAH3v/o0=")</f>
        <v>#VALUE!</v>
      </c>
      <c r="EM195" t="e">
        <f>AND('STERLING CATALOG - DRY '!J4358,"AAAAAH3v/o4=")</f>
        <v>#VALUE!</v>
      </c>
      <c r="EN195">
        <f>IF('STERLING CATALOG - DRY '!4359:4359,"AAAAAH3v/o8=",0)</f>
        <v>0</v>
      </c>
      <c r="EO195" t="e">
        <f>AND('STERLING CATALOG - DRY '!A4359,"AAAAAH3v/pA=")</f>
        <v>#VALUE!</v>
      </c>
      <c r="EP195" t="e">
        <f>AND('STERLING CATALOG - DRY '!B4359,"AAAAAH3v/pE=")</f>
        <v>#VALUE!</v>
      </c>
      <c r="EQ195" t="e">
        <f>AND('STERLING CATALOG - DRY '!C4359,"AAAAAH3v/pI=")</f>
        <v>#VALUE!</v>
      </c>
      <c r="ER195" t="e">
        <f>AND('STERLING CATALOG - DRY '!D4359,"AAAAAH3v/pM=")</f>
        <v>#VALUE!</v>
      </c>
      <c r="ES195" t="e">
        <f>AND('STERLING CATALOG - DRY '!E4359,"AAAAAH3v/pQ=")</f>
        <v>#VALUE!</v>
      </c>
      <c r="ET195" t="e">
        <f>AND('STERLING CATALOG - DRY '!F4359,"AAAAAH3v/pU=")</f>
        <v>#VALUE!</v>
      </c>
      <c r="EU195" t="e">
        <f>AND('STERLING CATALOG - DRY '!G4359,"AAAAAH3v/pY=")</f>
        <v>#VALUE!</v>
      </c>
      <c r="EV195" t="e">
        <f>AND('STERLING CATALOG - DRY '!H4359,"AAAAAH3v/pc=")</f>
        <v>#VALUE!</v>
      </c>
      <c r="EW195" t="e">
        <f>AND('STERLING CATALOG - DRY '!I4359,"AAAAAH3v/pg=")</f>
        <v>#VALUE!</v>
      </c>
      <c r="EX195" t="e">
        <f>AND('STERLING CATALOG - DRY '!J4359,"AAAAAH3v/pk=")</f>
        <v>#VALUE!</v>
      </c>
      <c r="EY195">
        <f>IF('STERLING CATALOG - DRY '!4360:4360,"AAAAAH3v/po=",0)</f>
        <v>0</v>
      </c>
      <c r="EZ195" t="e">
        <f>AND('STERLING CATALOG - DRY '!A4360,"AAAAAH3v/ps=")</f>
        <v>#VALUE!</v>
      </c>
      <c r="FA195" t="e">
        <f>AND('STERLING CATALOG - DRY '!B4360,"AAAAAH3v/pw=")</f>
        <v>#VALUE!</v>
      </c>
      <c r="FB195" t="e">
        <f>AND('STERLING CATALOG - DRY '!C4360,"AAAAAH3v/p0=")</f>
        <v>#VALUE!</v>
      </c>
      <c r="FC195" t="e">
        <f>AND('STERLING CATALOG - DRY '!D4360,"AAAAAH3v/p4=")</f>
        <v>#VALUE!</v>
      </c>
      <c r="FD195" t="e">
        <f>AND('STERLING CATALOG - DRY '!E4360,"AAAAAH3v/p8=")</f>
        <v>#VALUE!</v>
      </c>
      <c r="FE195" t="e">
        <f>AND('STERLING CATALOG - DRY '!F4360,"AAAAAH3v/qA=")</f>
        <v>#VALUE!</v>
      </c>
      <c r="FF195" t="e">
        <f>AND('STERLING CATALOG - DRY '!G4360,"AAAAAH3v/qE=")</f>
        <v>#VALUE!</v>
      </c>
      <c r="FG195" t="e">
        <f>AND('STERLING CATALOG - DRY '!H4360,"AAAAAH3v/qI=")</f>
        <v>#VALUE!</v>
      </c>
      <c r="FH195" t="e">
        <f>AND('STERLING CATALOG - DRY '!I4360,"AAAAAH3v/qM=")</f>
        <v>#VALUE!</v>
      </c>
      <c r="FI195" t="e">
        <f>AND('STERLING CATALOG - DRY '!J4360,"AAAAAH3v/qQ=")</f>
        <v>#VALUE!</v>
      </c>
      <c r="FJ195">
        <f>IF('STERLING CATALOG - DRY '!4361:4361,"AAAAAH3v/qU=",0)</f>
        <v>0</v>
      </c>
      <c r="FK195" t="e">
        <f>AND('STERLING CATALOG - DRY '!A4361,"AAAAAH3v/qY=")</f>
        <v>#VALUE!</v>
      </c>
      <c r="FL195" t="e">
        <f>AND('STERLING CATALOG - DRY '!B4361,"AAAAAH3v/qc=")</f>
        <v>#VALUE!</v>
      </c>
      <c r="FM195" t="e">
        <f>AND('STERLING CATALOG - DRY '!C4361,"AAAAAH3v/qg=")</f>
        <v>#VALUE!</v>
      </c>
      <c r="FN195" t="e">
        <f>AND('STERLING CATALOG - DRY '!D4361,"AAAAAH3v/qk=")</f>
        <v>#VALUE!</v>
      </c>
      <c r="FO195" t="e">
        <f>AND('STERLING CATALOG - DRY '!E4361,"AAAAAH3v/qo=")</f>
        <v>#VALUE!</v>
      </c>
      <c r="FP195" t="e">
        <f>AND('STERLING CATALOG - DRY '!F4361,"AAAAAH3v/qs=")</f>
        <v>#VALUE!</v>
      </c>
      <c r="FQ195" t="e">
        <f>AND('STERLING CATALOG - DRY '!G4361,"AAAAAH3v/qw=")</f>
        <v>#VALUE!</v>
      </c>
      <c r="FR195" t="e">
        <f>AND('STERLING CATALOG - DRY '!H4361,"AAAAAH3v/q0=")</f>
        <v>#VALUE!</v>
      </c>
      <c r="FS195" t="e">
        <f>AND('STERLING CATALOG - DRY '!I4361,"AAAAAH3v/q4=")</f>
        <v>#VALUE!</v>
      </c>
      <c r="FT195" t="e">
        <f>AND('STERLING CATALOG - DRY '!J4361,"AAAAAH3v/q8=")</f>
        <v>#VALUE!</v>
      </c>
      <c r="FU195">
        <f>IF('STERLING CATALOG - DRY '!4362:4362,"AAAAAH3v/rA=",0)</f>
        <v>0</v>
      </c>
      <c r="FV195" t="e">
        <f>AND('STERLING CATALOG - DRY '!A4362,"AAAAAH3v/rE=")</f>
        <v>#VALUE!</v>
      </c>
      <c r="FW195" t="e">
        <f>AND('STERLING CATALOG - DRY '!B4362,"AAAAAH3v/rI=")</f>
        <v>#VALUE!</v>
      </c>
      <c r="FX195" t="e">
        <f>AND('STERLING CATALOG - DRY '!C4362,"AAAAAH3v/rM=")</f>
        <v>#VALUE!</v>
      </c>
      <c r="FY195" t="e">
        <f>AND('STERLING CATALOG - DRY '!D4362,"AAAAAH3v/rQ=")</f>
        <v>#VALUE!</v>
      </c>
      <c r="FZ195" t="e">
        <f>AND('STERLING CATALOG - DRY '!E4362,"AAAAAH3v/rU=")</f>
        <v>#VALUE!</v>
      </c>
      <c r="GA195" t="e">
        <f>AND('STERLING CATALOG - DRY '!F4362,"AAAAAH3v/rY=")</f>
        <v>#VALUE!</v>
      </c>
      <c r="GB195" t="e">
        <f>AND('STERLING CATALOG - DRY '!G4362,"AAAAAH3v/rc=")</f>
        <v>#VALUE!</v>
      </c>
      <c r="GC195" t="e">
        <f>AND('STERLING CATALOG - DRY '!H4362,"AAAAAH3v/rg=")</f>
        <v>#VALUE!</v>
      </c>
      <c r="GD195" t="e">
        <f>AND('STERLING CATALOG - DRY '!I4362,"AAAAAH3v/rk=")</f>
        <v>#VALUE!</v>
      </c>
      <c r="GE195" t="e">
        <f>AND('STERLING CATALOG - DRY '!J4362,"AAAAAH3v/ro=")</f>
        <v>#VALUE!</v>
      </c>
      <c r="GF195">
        <f>IF('STERLING CATALOG - DRY '!4363:4363,"AAAAAH3v/rs=",0)</f>
        <v>0</v>
      </c>
      <c r="GG195" t="e">
        <f>AND('STERLING CATALOG - DRY '!A4363,"AAAAAH3v/rw=")</f>
        <v>#VALUE!</v>
      </c>
      <c r="GH195" t="e">
        <f>AND('STERLING CATALOG - DRY '!B4363,"AAAAAH3v/r0=")</f>
        <v>#VALUE!</v>
      </c>
      <c r="GI195" t="e">
        <f>AND('STERLING CATALOG - DRY '!C4363,"AAAAAH3v/r4=")</f>
        <v>#VALUE!</v>
      </c>
      <c r="GJ195" t="e">
        <f>AND('STERLING CATALOG - DRY '!D4363,"AAAAAH3v/r8=")</f>
        <v>#VALUE!</v>
      </c>
      <c r="GK195" t="e">
        <f>AND('STERLING CATALOG - DRY '!E4363,"AAAAAH3v/sA=")</f>
        <v>#VALUE!</v>
      </c>
      <c r="GL195" t="e">
        <f>AND('STERLING CATALOG - DRY '!F4363,"AAAAAH3v/sE=")</f>
        <v>#VALUE!</v>
      </c>
      <c r="GM195" t="e">
        <f>AND('STERLING CATALOG - DRY '!G4363,"AAAAAH3v/sI=")</f>
        <v>#VALUE!</v>
      </c>
      <c r="GN195" t="e">
        <f>AND('STERLING CATALOG - DRY '!H4363,"AAAAAH3v/sM=")</f>
        <v>#VALUE!</v>
      </c>
      <c r="GO195" t="e">
        <f>AND('STERLING CATALOG - DRY '!I4363,"AAAAAH3v/sQ=")</f>
        <v>#VALUE!</v>
      </c>
      <c r="GP195" t="e">
        <f>AND('STERLING CATALOG - DRY '!J4363,"AAAAAH3v/sU=")</f>
        <v>#VALUE!</v>
      </c>
      <c r="GQ195">
        <f>IF('STERLING CATALOG - DRY '!4364:4364,"AAAAAH3v/sY=",0)</f>
        <v>0</v>
      </c>
      <c r="GR195" t="e">
        <f>AND('STERLING CATALOG - DRY '!A4364,"AAAAAH3v/sc=")</f>
        <v>#VALUE!</v>
      </c>
      <c r="GS195" t="e">
        <f>AND('STERLING CATALOG - DRY '!B4364,"AAAAAH3v/sg=")</f>
        <v>#VALUE!</v>
      </c>
      <c r="GT195" t="e">
        <f>AND('STERLING CATALOG - DRY '!C4364,"AAAAAH3v/sk=")</f>
        <v>#VALUE!</v>
      </c>
      <c r="GU195" t="e">
        <f>AND('STERLING CATALOG - DRY '!D4364,"AAAAAH3v/so=")</f>
        <v>#VALUE!</v>
      </c>
      <c r="GV195" t="e">
        <f>AND('STERLING CATALOG - DRY '!E4364,"AAAAAH3v/ss=")</f>
        <v>#VALUE!</v>
      </c>
      <c r="GW195" t="e">
        <f>AND('STERLING CATALOG - DRY '!F4364,"AAAAAH3v/sw=")</f>
        <v>#VALUE!</v>
      </c>
      <c r="GX195" t="e">
        <f>AND('STERLING CATALOG - DRY '!G4364,"AAAAAH3v/s0=")</f>
        <v>#VALUE!</v>
      </c>
      <c r="GY195" t="e">
        <f>AND('STERLING CATALOG - DRY '!H4364,"AAAAAH3v/s4=")</f>
        <v>#VALUE!</v>
      </c>
      <c r="GZ195" t="e">
        <f>AND('STERLING CATALOG - DRY '!I4364,"AAAAAH3v/s8=")</f>
        <v>#VALUE!</v>
      </c>
      <c r="HA195" t="e">
        <f>AND('STERLING CATALOG - DRY '!J4364,"AAAAAH3v/tA=")</f>
        <v>#VALUE!</v>
      </c>
      <c r="HB195">
        <f>IF('STERLING CATALOG - DRY '!4365:4365,"AAAAAH3v/tE=",0)</f>
        <v>0</v>
      </c>
      <c r="HC195" t="e">
        <f>AND('STERLING CATALOG - DRY '!A4365,"AAAAAH3v/tI=")</f>
        <v>#VALUE!</v>
      </c>
      <c r="HD195" t="e">
        <f>AND('STERLING CATALOG - DRY '!B4365,"AAAAAH3v/tM=")</f>
        <v>#VALUE!</v>
      </c>
      <c r="HE195" t="e">
        <f>AND('STERLING CATALOG - DRY '!C4365,"AAAAAH3v/tQ=")</f>
        <v>#VALUE!</v>
      </c>
      <c r="HF195" t="e">
        <f>AND('STERLING CATALOG - DRY '!D4365,"AAAAAH3v/tU=")</f>
        <v>#VALUE!</v>
      </c>
      <c r="HG195" t="e">
        <f>AND('STERLING CATALOG - DRY '!E4365,"AAAAAH3v/tY=")</f>
        <v>#VALUE!</v>
      </c>
      <c r="HH195" t="e">
        <f>AND('STERLING CATALOG - DRY '!F4365,"AAAAAH3v/tc=")</f>
        <v>#VALUE!</v>
      </c>
      <c r="HI195" t="e">
        <f>AND('STERLING CATALOG - DRY '!G4365,"AAAAAH3v/tg=")</f>
        <v>#VALUE!</v>
      </c>
      <c r="HJ195" t="e">
        <f>AND('STERLING CATALOG - DRY '!H4365,"AAAAAH3v/tk=")</f>
        <v>#VALUE!</v>
      </c>
      <c r="HK195" t="e">
        <f>AND('STERLING CATALOG - DRY '!I4365,"AAAAAH3v/to=")</f>
        <v>#VALUE!</v>
      </c>
      <c r="HL195" t="e">
        <f>AND('STERLING CATALOG - DRY '!J4365,"AAAAAH3v/ts=")</f>
        <v>#VALUE!</v>
      </c>
      <c r="HM195">
        <f>IF('STERLING CATALOG - DRY '!4366:4366,"AAAAAH3v/tw=",0)</f>
        <v>0</v>
      </c>
      <c r="HN195" t="e">
        <f>AND('STERLING CATALOG - DRY '!A4366,"AAAAAH3v/t0=")</f>
        <v>#VALUE!</v>
      </c>
      <c r="HO195" t="e">
        <f>AND('STERLING CATALOG - DRY '!B4366,"AAAAAH3v/t4=")</f>
        <v>#VALUE!</v>
      </c>
      <c r="HP195" t="e">
        <f>AND('STERLING CATALOG - DRY '!C4366,"AAAAAH3v/t8=")</f>
        <v>#VALUE!</v>
      </c>
      <c r="HQ195" t="e">
        <f>AND('STERLING CATALOG - DRY '!D4366,"AAAAAH3v/uA=")</f>
        <v>#VALUE!</v>
      </c>
      <c r="HR195" t="e">
        <f>AND('STERLING CATALOG - DRY '!E4366,"AAAAAH3v/uE=")</f>
        <v>#VALUE!</v>
      </c>
      <c r="HS195" t="e">
        <f>AND('STERLING CATALOG - DRY '!F4366,"AAAAAH3v/uI=")</f>
        <v>#VALUE!</v>
      </c>
      <c r="HT195" t="e">
        <f>AND('STERLING CATALOG - DRY '!G4366,"AAAAAH3v/uM=")</f>
        <v>#VALUE!</v>
      </c>
      <c r="HU195" t="e">
        <f>AND('STERLING CATALOG - DRY '!H4366,"AAAAAH3v/uQ=")</f>
        <v>#VALUE!</v>
      </c>
      <c r="HV195" t="e">
        <f>AND('STERLING CATALOG - DRY '!I4366,"AAAAAH3v/uU=")</f>
        <v>#VALUE!</v>
      </c>
      <c r="HW195" t="e">
        <f>AND('STERLING CATALOG - DRY '!J4366,"AAAAAH3v/uY=")</f>
        <v>#VALUE!</v>
      </c>
      <c r="HX195">
        <f>IF('STERLING CATALOG - DRY '!4367:4367,"AAAAAH3v/uc=",0)</f>
        <v>0</v>
      </c>
      <c r="HY195" t="e">
        <f>AND('STERLING CATALOG - DRY '!A4367,"AAAAAH3v/ug=")</f>
        <v>#VALUE!</v>
      </c>
      <c r="HZ195" t="e">
        <f>AND('STERLING CATALOG - DRY '!B4367,"AAAAAH3v/uk=")</f>
        <v>#VALUE!</v>
      </c>
      <c r="IA195" t="e">
        <f>AND('STERLING CATALOG - DRY '!C4367,"AAAAAH3v/uo=")</f>
        <v>#VALUE!</v>
      </c>
      <c r="IB195" t="e">
        <f>AND('STERLING CATALOG - DRY '!D4367,"AAAAAH3v/us=")</f>
        <v>#VALUE!</v>
      </c>
      <c r="IC195" t="e">
        <f>AND('STERLING CATALOG - DRY '!E4367,"AAAAAH3v/uw=")</f>
        <v>#VALUE!</v>
      </c>
      <c r="ID195" t="e">
        <f>AND('STERLING CATALOG - DRY '!F4367,"AAAAAH3v/u0=")</f>
        <v>#VALUE!</v>
      </c>
      <c r="IE195" t="e">
        <f>AND('STERLING CATALOG - DRY '!G4367,"AAAAAH3v/u4=")</f>
        <v>#VALUE!</v>
      </c>
      <c r="IF195" t="e">
        <f>AND('STERLING CATALOG - DRY '!H4367,"AAAAAH3v/u8=")</f>
        <v>#VALUE!</v>
      </c>
      <c r="IG195" t="e">
        <f>AND('STERLING CATALOG - DRY '!I4367,"AAAAAH3v/vA=")</f>
        <v>#VALUE!</v>
      </c>
      <c r="IH195" t="e">
        <f>AND('STERLING CATALOG - DRY '!J4367,"AAAAAH3v/vE=")</f>
        <v>#VALUE!</v>
      </c>
      <c r="II195">
        <f>IF('STERLING CATALOG - DRY '!4368:4368,"AAAAAH3v/vI=",0)</f>
        <v>0</v>
      </c>
      <c r="IJ195" t="e">
        <f>AND('STERLING CATALOG - DRY '!A4368,"AAAAAH3v/vM=")</f>
        <v>#VALUE!</v>
      </c>
      <c r="IK195" t="e">
        <f>AND('STERLING CATALOG - DRY '!B4368,"AAAAAH3v/vQ=")</f>
        <v>#VALUE!</v>
      </c>
      <c r="IL195" t="e">
        <f>AND('STERLING CATALOG - DRY '!C4368,"AAAAAH3v/vU=")</f>
        <v>#VALUE!</v>
      </c>
      <c r="IM195" t="e">
        <f>AND('STERLING CATALOG - DRY '!D4368,"AAAAAH3v/vY=")</f>
        <v>#VALUE!</v>
      </c>
      <c r="IN195" t="e">
        <f>AND('STERLING CATALOG - DRY '!E4368,"AAAAAH3v/vc=")</f>
        <v>#VALUE!</v>
      </c>
      <c r="IO195" t="e">
        <f>AND('STERLING CATALOG - DRY '!F4368,"AAAAAH3v/vg=")</f>
        <v>#VALUE!</v>
      </c>
      <c r="IP195" t="e">
        <f>AND('STERLING CATALOG - DRY '!G4368,"AAAAAH3v/vk=")</f>
        <v>#VALUE!</v>
      </c>
      <c r="IQ195" t="e">
        <f>AND('STERLING CATALOG - DRY '!H4368,"AAAAAH3v/vo=")</f>
        <v>#VALUE!</v>
      </c>
      <c r="IR195" t="e">
        <f>AND('STERLING CATALOG - DRY '!I4368,"AAAAAH3v/vs=")</f>
        <v>#VALUE!</v>
      </c>
      <c r="IS195" t="e">
        <f>AND('STERLING CATALOG - DRY '!J4368,"AAAAAH3v/vw=")</f>
        <v>#VALUE!</v>
      </c>
      <c r="IT195">
        <f>IF('STERLING CATALOG - DRY '!4369:4369,"AAAAAH3v/v0=",0)</f>
        <v>0</v>
      </c>
      <c r="IU195" t="e">
        <f>AND('STERLING CATALOG - DRY '!A4369,"AAAAAH3v/v4=")</f>
        <v>#VALUE!</v>
      </c>
      <c r="IV195" t="e">
        <f>AND('STERLING CATALOG - DRY '!B4369,"AAAAAH3v/v8=")</f>
        <v>#VALUE!</v>
      </c>
    </row>
    <row r="196" spans="1:256">
      <c r="A196" t="e">
        <f>AND('STERLING CATALOG - DRY '!C4369,"AAAAAH73pgA=")</f>
        <v>#VALUE!</v>
      </c>
      <c r="B196" t="e">
        <f>AND('STERLING CATALOG - DRY '!D4369,"AAAAAH73pgE=")</f>
        <v>#VALUE!</v>
      </c>
      <c r="C196" t="e">
        <f>AND('STERLING CATALOG - DRY '!E4369,"AAAAAH73pgI=")</f>
        <v>#VALUE!</v>
      </c>
      <c r="D196" t="e">
        <f>AND('STERLING CATALOG - DRY '!F4369,"AAAAAH73pgM=")</f>
        <v>#VALUE!</v>
      </c>
      <c r="E196" t="e">
        <f>AND('STERLING CATALOG - DRY '!G4369,"AAAAAH73pgQ=")</f>
        <v>#VALUE!</v>
      </c>
      <c r="F196" t="e">
        <f>AND('STERLING CATALOG - DRY '!H4369,"AAAAAH73pgU=")</f>
        <v>#VALUE!</v>
      </c>
      <c r="G196" t="e">
        <f>AND('STERLING CATALOG - DRY '!I4369,"AAAAAH73pgY=")</f>
        <v>#VALUE!</v>
      </c>
      <c r="H196" t="e">
        <f>AND('STERLING CATALOG - DRY '!J4369,"AAAAAH73pgc=")</f>
        <v>#VALUE!</v>
      </c>
      <c r="I196">
        <f>IF('STERLING CATALOG - DRY '!4370:4370,"AAAAAH73pgg=",0)</f>
        <v>0</v>
      </c>
      <c r="J196" t="e">
        <f>AND('STERLING CATALOG - DRY '!A4370,"AAAAAH73pgk=")</f>
        <v>#VALUE!</v>
      </c>
      <c r="K196" t="e">
        <f>AND('STERLING CATALOG - DRY '!B4370,"AAAAAH73pgo=")</f>
        <v>#VALUE!</v>
      </c>
      <c r="L196" t="e">
        <f>AND('STERLING CATALOG - DRY '!C4370,"AAAAAH73pgs=")</f>
        <v>#VALUE!</v>
      </c>
      <c r="M196" t="e">
        <f>AND('STERLING CATALOG - DRY '!D4370,"AAAAAH73pgw=")</f>
        <v>#VALUE!</v>
      </c>
      <c r="N196" t="e">
        <f>AND('STERLING CATALOG - DRY '!E4370,"AAAAAH73pg0=")</f>
        <v>#VALUE!</v>
      </c>
      <c r="O196" t="e">
        <f>AND('STERLING CATALOG - DRY '!F4370,"AAAAAH73pg4=")</f>
        <v>#VALUE!</v>
      </c>
      <c r="P196" t="e">
        <f>AND('STERLING CATALOG - DRY '!G4370,"AAAAAH73pg8=")</f>
        <v>#VALUE!</v>
      </c>
      <c r="Q196" t="e">
        <f>AND('STERLING CATALOG - DRY '!H4370,"AAAAAH73phA=")</f>
        <v>#VALUE!</v>
      </c>
      <c r="R196" t="e">
        <f>AND('STERLING CATALOG - DRY '!I4370,"AAAAAH73phE=")</f>
        <v>#VALUE!</v>
      </c>
      <c r="S196" t="e">
        <f>AND('STERLING CATALOG - DRY '!J4370,"AAAAAH73phI=")</f>
        <v>#VALUE!</v>
      </c>
      <c r="T196">
        <f>IF('STERLING CATALOG - DRY '!4371:4371,"AAAAAH73phM=",0)</f>
        <v>0</v>
      </c>
      <c r="U196" t="e">
        <f>AND('STERLING CATALOG - DRY '!A4371,"AAAAAH73phQ=")</f>
        <v>#VALUE!</v>
      </c>
      <c r="V196" t="e">
        <f>AND('STERLING CATALOG - DRY '!B4371,"AAAAAH73phU=")</f>
        <v>#VALUE!</v>
      </c>
      <c r="W196" t="e">
        <f>AND('STERLING CATALOG - DRY '!C4371,"AAAAAH73phY=")</f>
        <v>#VALUE!</v>
      </c>
      <c r="X196" t="e">
        <f>AND('STERLING CATALOG - DRY '!D4371,"AAAAAH73phc=")</f>
        <v>#VALUE!</v>
      </c>
      <c r="Y196" t="e">
        <f>AND('STERLING CATALOG - DRY '!E4371,"AAAAAH73phg=")</f>
        <v>#VALUE!</v>
      </c>
      <c r="Z196" t="e">
        <f>AND('STERLING CATALOG - DRY '!F4371,"AAAAAH73phk=")</f>
        <v>#VALUE!</v>
      </c>
      <c r="AA196" t="e">
        <f>AND('STERLING CATALOG - DRY '!G4371,"AAAAAH73pho=")</f>
        <v>#VALUE!</v>
      </c>
      <c r="AB196" t="e">
        <f>AND('STERLING CATALOG - DRY '!H4371,"AAAAAH73phs=")</f>
        <v>#VALUE!</v>
      </c>
      <c r="AC196" t="e">
        <f>AND('STERLING CATALOG - DRY '!I4371,"AAAAAH73phw=")</f>
        <v>#VALUE!</v>
      </c>
      <c r="AD196" t="e">
        <f>AND('STERLING CATALOG - DRY '!J4371,"AAAAAH73ph0=")</f>
        <v>#VALUE!</v>
      </c>
      <c r="AE196">
        <f>IF('STERLING CATALOG - DRY '!4372:4372,"AAAAAH73ph4=",0)</f>
        <v>0</v>
      </c>
      <c r="AF196" t="e">
        <f>AND('STERLING CATALOG - DRY '!A4372,"AAAAAH73ph8=")</f>
        <v>#VALUE!</v>
      </c>
      <c r="AG196" t="e">
        <f>AND('STERLING CATALOG - DRY '!B4372,"AAAAAH73piA=")</f>
        <v>#VALUE!</v>
      </c>
      <c r="AH196" t="e">
        <f>AND('STERLING CATALOG - DRY '!C4372,"AAAAAH73piE=")</f>
        <v>#VALUE!</v>
      </c>
      <c r="AI196" t="e">
        <f>AND('STERLING CATALOG - DRY '!D4372,"AAAAAH73piI=")</f>
        <v>#VALUE!</v>
      </c>
      <c r="AJ196" t="e">
        <f>AND('STERLING CATALOG - DRY '!E4372,"AAAAAH73piM=")</f>
        <v>#VALUE!</v>
      </c>
      <c r="AK196" t="e">
        <f>AND('STERLING CATALOG - DRY '!F4372,"AAAAAH73piQ=")</f>
        <v>#VALUE!</v>
      </c>
      <c r="AL196" t="e">
        <f>AND('STERLING CATALOG - DRY '!G4372,"AAAAAH73piU=")</f>
        <v>#VALUE!</v>
      </c>
      <c r="AM196" t="e">
        <f>AND('STERLING CATALOG - DRY '!H4372,"AAAAAH73piY=")</f>
        <v>#VALUE!</v>
      </c>
      <c r="AN196" t="e">
        <f>AND('STERLING CATALOG - DRY '!I4372,"AAAAAH73pic=")</f>
        <v>#VALUE!</v>
      </c>
      <c r="AO196" t="e">
        <f>AND('STERLING CATALOG - DRY '!J4372,"AAAAAH73pig=")</f>
        <v>#VALUE!</v>
      </c>
      <c r="AP196">
        <f>IF('STERLING CATALOG - DRY '!4373:4373,"AAAAAH73pik=",0)</f>
        <v>0</v>
      </c>
      <c r="AQ196" t="e">
        <f>AND('STERLING CATALOG - DRY '!A4373,"AAAAAH73pio=")</f>
        <v>#VALUE!</v>
      </c>
      <c r="AR196" t="e">
        <f>AND('STERLING CATALOG - DRY '!B4373,"AAAAAH73pis=")</f>
        <v>#VALUE!</v>
      </c>
      <c r="AS196" t="e">
        <f>AND('STERLING CATALOG - DRY '!C4373,"AAAAAH73piw=")</f>
        <v>#VALUE!</v>
      </c>
      <c r="AT196" t="e">
        <f>AND('STERLING CATALOG - DRY '!D4373,"AAAAAH73pi0=")</f>
        <v>#VALUE!</v>
      </c>
      <c r="AU196" t="e">
        <f>AND('STERLING CATALOG - DRY '!E4373,"AAAAAH73pi4=")</f>
        <v>#VALUE!</v>
      </c>
      <c r="AV196" t="e">
        <f>AND('STERLING CATALOG - DRY '!F4373,"AAAAAH73pi8=")</f>
        <v>#VALUE!</v>
      </c>
      <c r="AW196" t="e">
        <f>AND('STERLING CATALOG - DRY '!G4373,"AAAAAH73pjA=")</f>
        <v>#VALUE!</v>
      </c>
      <c r="AX196" t="e">
        <f>AND('STERLING CATALOG - DRY '!H4373,"AAAAAH73pjE=")</f>
        <v>#VALUE!</v>
      </c>
      <c r="AY196" t="e">
        <f>AND('STERLING CATALOG - DRY '!I4373,"AAAAAH73pjI=")</f>
        <v>#VALUE!</v>
      </c>
      <c r="AZ196" t="e">
        <f>AND('STERLING CATALOG - DRY '!J4373,"AAAAAH73pjM=")</f>
        <v>#VALUE!</v>
      </c>
      <c r="BA196">
        <f>IF('STERLING CATALOG - DRY '!4374:4374,"AAAAAH73pjQ=",0)</f>
        <v>0</v>
      </c>
      <c r="BB196" t="e">
        <f>AND('STERLING CATALOG - DRY '!A4374,"AAAAAH73pjU=")</f>
        <v>#VALUE!</v>
      </c>
      <c r="BC196" t="e">
        <f>AND('STERLING CATALOG - DRY '!B4374,"AAAAAH73pjY=")</f>
        <v>#VALUE!</v>
      </c>
      <c r="BD196" t="e">
        <f>AND('STERLING CATALOG - DRY '!C4374,"AAAAAH73pjc=")</f>
        <v>#VALUE!</v>
      </c>
      <c r="BE196" t="e">
        <f>AND('STERLING CATALOG - DRY '!D4374,"AAAAAH73pjg=")</f>
        <v>#VALUE!</v>
      </c>
      <c r="BF196" t="e">
        <f>AND('STERLING CATALOG - DRY '!E4374,"AAAAAH73pjk=")</f>
        <v>#VALUE!</v>
      </c>
      <c r="BG196" t="e">
        <f>AND('STERLING CATALOG - DRY '!F4374,"AAAAAH73pjo=")</f>
        <v>#VALUE!</v>
      </c>
      <c r="BH196" t="e">
        <f>AND('STERLING CATALOG - DRY '!G4374,"AAAAAH73pjs=")</f>
        <v>#VALUE!</v>
      </c>
      <c r="BI196" t="e">
        <f>AND('STERLING CATALOG - DRY '!H4374,"AAAAAH73pjw=")</f>
        <v>#VALUE!</v>
      </c>
      <c r="BJ196" t="e">
        <f>AND('STERLING CATALOG - DRY '!I4374,"AAAAAH73pj0=")</f>
        <v>#VALUE!</v>
      </c>
      <c r="BK196" t="e">
        <f>AND('STERLING CATALOG - DRY '!J4374,"AAAAAH73pj4=")</f>
        <v>#VALUE!</v>
      </c>
      <c r="BL196">
        <f>IF('STERLING CATALOG - DRY '!4375:4375,"AAAAAH73pj8=",0)</f>
        <v>0</v>
      </c>
      <c r="BM196" t="e">
        <f>AND('STERLING CATALOG - DRY '!A4375,"AAAAAH73pkA=")</f>
        <v>#VALUE!</v>
      </c>
      <c r="BN196" t="e">
        <f>AND('STERLING CATALOG - DRY '!B4375,"AAAAAH73pkE=")</f>
        <v>#VALUE!</v>
      </c>
      <c r="BO196" t="e">
        <f>AND('STERLING CATALOG - DRY '!C4375,"AAAAAH73pkI=")</f>
        <v>#VALUE!</v>
      </c>
      <c r="BP196" t="e">
        <f>AND('STERLING CATALOG - DRY '!D4375,"AAAAAH73pkM=")</f>
        <v>#VALUE!</v>
      </c>
      <c r="BQ196" t="e">
        <f>AND('STERLING CATALOG - DRY '!E4375,"AAAAAH73pkQ=")</f>
        <v>#VALUE!</v>
      </c>
      <c r="BR196" t="e">
        <f>AND('STERLING CATALOG - DRY '!F4375,"AAAAAH73pkU=")</f>
        <v>#VALUE!</v>
      </c>
      <c r="BS196" t="e">
        <f>AND('STERLING CATALOG - DRY '!G4375,"AAAAAH73pkY=")</f>
        <v>#VALUE!</v>
      </c>
      <c r="BT196" t="e">
        <f>AND('STERLING CATALOG - DRY '!H4375,"AAAAAH73pkc=")</f>
        <v>#VALUE!</v>
      </c>
      <c r="BU196" t="e">
        <f>AND('STERLING CATALOG - DRY '!I4375,"AAAAAH73pkg=")</f>
        <v>#VALUE!</v>
      </c>
      <c r="BV196" t="e">
        <f>AND('STERLING CATALOG - DRY '!J4375,"AAAAAH73pkk=")</f>
        <v>#VALUE!</v>
      </c>
      <c r="BW196">
        <f>IF('STERLING CATALOG - DRY '!4376:4376,"AAAAAH73pko=",0)</f>
        <v>0</v>
      </c>
      <c r="BX196" t="e">
        <f>AND('STERLING CATALOG - DRY '!A4376,"AAAAAH73pks=")</f>
        <v>#VALUE!</v>
      </c>
      <c r="BY196" t="e">
        <f>AND('STERLING CATALOG - DRY '!B4376,"AAAAAH73pkw=")</f>
        <v>#VALUE!</v>
      </c>
      <c r="BZ196" t="e">
        <f>AND('STERLING CATALOG - DRY '!C4376,"AAAAAH73pk0=")</f>
        <v>#VALUE!</v>
      </c>
      <c r="CA196" t="e">
        <f>AND('STERLING CATALOG - DRY '!D4376,"AAAAAH73pk4=")</f>
        <v>#VALUE!</v>
      </c>
      <c r="CB196" t="e">
        <f>AND('STERLING CATALOG - DRY '!E4376,"AAAAAH73pk8=")</f>
        <v>#VALUE!</v>
      </c>
      <c r="CC196" t="e">
        <f>AND('STERLING CATALOG - DRY '!F4376,"AAAAAH73plA=")</f>
        <v>#VALUE!</v>
      </c>
      <c r="CD196" t="e">
        <f>AND('STERLING CATALOG - DRY '!G4376,"AAAAAH73plE=")</f>
        <v>#VALUE!</v>
      </c>
      <c r="CE196" t="e">
        <f>AND('STERLING CATALOG - DRY '!H4376,"AAAAAH73plI=")</f>
        <v>#VALUE!</v>
      </c>
      <c r="CF196" t="e">
        <f>AND('STERLING CATALOG - DRY '!I4376,"AAAAAH73plM=")</f>
        <v>#VALUE!</v>
      </c>
      <c r="CG196" t="e">
        <f>AND('STERLING CATALOG - DRY '!J4376,"AAAAAH73plQ=")</f>
        <v>#VALUE!</v>
      </c>
      <c r="CH196">
        <f>IF('STERLING CATALOG - DRY '!4377:4377,"AAAAAH73plU=",0)</f>
        <v>0</v>
      </c>
      <c r="CI196" t="e">
        <f>AND('STERLING CATALOG - DRY '!A4377,"AAAAAH73plY=")</f>
        <v>#VALUE!</v>
      </c>
      <c r="CJ196" t="e">
        <f>AND('STERLING CATALOG - DRY '!B4377,"AAAAAH73plc=")</f>
        <v>#VALUE!</v>
      </c>
      <c r="CK196" t="e">
        <f>AND('STERLING CATALOG - DRY '!C4377,"AAAAAH73plg=")</f>
        <v>#VALUE!</v>
      </c>
      <c r="CL196" t="e">
        <f>AND('STERLING CATALOG - DRY '!D4377,"AAAAAH73plk=")</f>
        <v>#VALUE!</v>
      </c>
      <c r="CM196" t="e">
        <f>AND('STERLING CATALOG - DRY '!E4377,"AAAAAH73plo=")</f>
        <v>#VALUE!</v>
      </c>
      <c r="CN196" t="e">
        <f>AND('STERLING CATALOG - DRY '!F4377,"AAAAAH73pls=")</f>
        <v>#VALUE!</v>
      </c>
      <c r="CO196" t="e">
        <f>AND('STERLING CATALOG - DRY '!G4377,"AAAAAH73plw=")</f>
        <v>#VALUE!</v>
      </c>
      <c r="CP196" t="e">
        <f>AND('STERLING CATALOG - DRY '!H4377,"AAAAAH73pl0=")</f>
        <v>#VALUE!</v>
      </c>
      <c r="CQ196" t="e">
        <f>AND('STERLING CATALOG - DRY '!I4377,"AAAAAH73pl4=")</f>
        <v>#VALUE!</v>
      </c>
      <c r="CR196" t="e">
        <f>AND('STERLING CATALOG - DRY '!J4377,"AAAAAH73pl8=")</f>
        <v>#VALUE!</v>
      </c>
      <c r="CS196">
        <f>IF('STERLING CATALOG - DRY '!4378:4378,"AAAAAH73pmA=",0)</f>
        <v>0</v>
      </c>
      <c r="CT196" t="e">
        <f>AND('STERLING CATALOG - DRY '!A4378,"AAAAAH73pmE=")</f>
        <v>#VALUE!</v>
      </c>
      <c r="CU196" t="e">
        <f>AND('STERLING CATALOG - DRY '!B4378,"AAAAAH73pmI=")</f>
        <v>#VALUE!</v>
      </c>
      <c r="CV196" t="e">
        <f>AND('STERLING CATALOG - DRY '!C4378,"AAAAAH73pmM=")</f>
        <v>#VALUE!</v>
      </c>
      <c r="CW196" t="e">
        <f>AND('STERLING CATALOG - DRY '!D4378,"AAAAAH73pmQ=")</f>
        <v>#VALUE!</v>
      </c>
      <c r="CX196" t="e">
        <f>AND('STERLING CATALOG - DRY '!E4378,"AAAAAH73pmU=")</f>
        <v>#VALUE!</v>
      </c>
      <c r="CY196" t="e">
        <f>AND('STERLING CATALOG - DRY '!F4378,"AAAAAH73pmY=")</f>
        <v>#VALUE!</v>
      </c>
      <c r="CZ196" t="e">
        <f>AND('STERLING CATALOG - DRY '!G4378,"AAAAAH73pmc=")</f>
        <v>#VALUE!</v>
      </c>
      <c r="DA196" t="e">
        <f>AND('STERLING CATALOG - DRY '!H4378,"AAAAAH73pmg=")</f>
        <v>#VALUE!</v>
      </c>
      <c r="DB196" t="e">
        <f>AND('STERLING CATALOG - DRY '!I4378,"AAAAAH73pmk=")</f>
        <v>#VALUE!</v>
      </c>
      <c r="DC196" t="e">
        <f>AND('STERLING CATALOG - DRY '!J4378,"AAAAAH73pmo=")</f>
        <v>#VALUE!</v>
      </c>
      <c r="DD196">
        <f>IF('STERLING CATALOG - DRY '!4379:4379,"AAAAAH73pms=",0)</f>
        <v>0</v>
      </c>
      <c r="DE196" t="e">
        <f>AND('STERLING CATALOG - DRY '!A4379,"AAAAAH73pmw=")</f>
        <v>#VALUE!</v>
      </c>
      <c r="DF196" t="e">
        <f>AND('STERLING CATALOG - DRY '!B4379,"AAAAAH73pm0=")</f>
        <v>#VALUE!</v>
      </c>
      <c r="DG196" t="e">
        <f>AND('STERLING CATALOG - DRY '!C4379,"AAAAAH73pm4=")</f>
        <v>#VALUE!</v>
      </c>
      <c r="DH196" t="e">
        <f>AND('STERLING CATALOG - DRY '!D4379,"AAAAAH73pm8=")</f>
        <v>#VALUE!</v>
      </c>
      <c r="DI196" t="e">
        <f>AND('STERLING CATALOG - DRY '!E4379,"AAAAAH73pnA=")</f>
        <v>#VALUE!</v>
      </c>
      <c r="DJ196" t="e">
        <f>AND('STERLING CATALOG - DRY '!F4379,"AAAAAH73pnE=")</f>
        <v>#VALUE!</v>
      </c>
      <c r="DK196" t="e">
        <f>AND('STERLING CATALOG - DRY '!G4379,"AAAAAH73pnI=")</f>
        <v>#VALUE!</v>
      </c>
      <c r="DL196" t="e">
        <f>AND('STERLING CATALOG - DRY '!H4379,"AAAAAH73pnM=")</f>
        <v>#VALUE!</v>
      </c>
      <c r="DM196" t="e">
        <f>AND('STERLING CATALOG - DRY '!I4379,"AAAAAH73pnQ=")</f>
        <v>#VALUE!</v>
      </c>
      <c r="DN196" t="e">
        <f>AND('STERLING CATALOG - DRY '!J4379,"AAAAAH73pnU=")</f>
        <v>#VALUE!</v>
      </c>
      <c r="DO196">
        <f>IF('STERLING CATALOG - DRY '!4380:4380,"AAAAAH73pnY=",0)</f>
        <v>0</v>
      </c>
      <c r="DP196" t="e">
        <f>AND('STERLING CATALOG - DRY '!A4380,"AAAAAH73pnc=")</f>
        <v>#VALUE!</v>
      </c>
      <c r="DQ196" t="e">
        <f>AND('STERLING CATALOG - DRY '!B4380,"AAAAAH73png=")</f>
        <v>#VALUE!</v>
      </c>
      <c r="DR196" t="e">
        <f>AND('STERLING CATALOG - DRY '!C4380,"AAAAAH73pnk=")</f>
        <v>#VALUE!</v>
      </c>
      <c r="DS196" t="e">
        <f>AND('STERLING CATALOG - DRY '!D4380,"AAAAAH73pno=")</f>
        <v>#VALUE!</v>
      </c>
      <c r="DT196" t="e">
        <f>AND('STERLING CATALOG - DRY '!E4380,"AAAAAH73pns=")</f>
        <v>#VALUE!</v>
      </c>
      <c r="DU196" t="e">
        <f>AND('STERLING CATALOG - DRY '!F4380,"AAAAAH73pnw=")</f>
        <v>#VALUE!</v>
      </c>
      <c r="DV196" t="e">
        <f>AND('STERLING CATALOG - DRY '!G4380,"AAAAAH73pn0=")</f>
        <v>#VALUE!</v>
      </c>
      <c r="DW196" t="e">
        <f>AND('STERLING CATALOG - DRY '!H4380,"AAAAAH73pn4=")</f>
        <v>#VALUE!</v>
      </c>
      <c r="DX196" t="e">
        <f>AND('STERLING CATALOG - DRY '!I4380,"AAAAAH73pn8=")</f>
        <v>#VALUE!</v>
      </c>
      <c r="DY196" t="e">
        <f>AND('STERLING CATALOG - DRY '!J4380,"AAAAAH73poA=")</f>
        <v>#VALUE!</v>
      </c>
      <c r="DZ196">
        <f>IF('STERLING CATALOG - DRY '!4381:4381,"AAAAAH73poE=",0)</f>
        <v>0</v>
      </c>
      <c r="EA196" t="e">
        <f>AND('STERLING CATALOG - DRY '!A4381,"AAAAAH73poI=")</f>
        <v>#VALUE!</v>
      </c>
      <c r="EB196" t="e">
        <f>AND('STERLING CATALOG - DRY '!B4381,"AAAAAH73poM=")</f>
        <v>#VALUE!</v>
      </c>
      <c r="EC196" t="e">
        <f>AND('STERLING CATALOG - DRY '!C4381,"AAAAAH73poQ=")</f>
        <v>#VALUE!</v>
      </c>
      <c r="ED196" t="e">
        <f>AND('STERLING CATALOG - DRY '!D4381,"AAAAAH73poU=")</f>
        <v>#VALUE!</v>
      </c>
      <c r="EE196" t="e">
        <f>AND('STERLING CATALOG - DRY '!E4381,"AAAAAH73poY=")</f>
        <v>#VALUE!</v>
      </c>
      <c r="EF196" t="e">
        <f>AND('STERLING CATALOG - DRY '!F4381,"AAAAAH73poc=")</f>
        <v>#VALUE!</v>
      </c>
      <c r="EG196" t="e">
        <f>AND('STERLING CATALOG - DRY '!G4381,"AAAAAH73pog=")</f>
        <v>#VALUE!</v>
      </c>
      <c r="EH196" t="e">
        <f>AND('STERLING CATALOG - DRY '!H4381,"AAAAAH73pok=")</f>
        <v>#VALUE!</v>
      </c>
      <c r="EI196" t="e">
        <f>AND('STERLING CATALOG - DRY '!I4381,"AAAAAH73poo=")</f>
        <v>#VALUE!</v>
      </c>
      <c r="EJ196" t="e">
        <f>AND('STERLING CATALOG - DRY '!J4381,"AAAAAH73pos=")</f>
        <v>#VALUE!</v>
      </c>
      <c r="EK196">
        <f>IF('STERLING CATALOG - DRY '!4382:4382,"AAAAAH73pow=",0)</f>
        <v>0</v>
      </c>
      <c r="EL196" t="e">
        <f>AND('STERLING CATALOG - DRY '!A4382,"AAAAAH73po0=")</f>
        <v>#VALUE!</v>
      </c>
      <c r="EM196" t="e">
        <f>AND('STERLING CATALOG - DRY '!B4382,"AAAAAH73po4=")</f>
        <v>#VALUE!</v>
      </c>
      <c r="EN196" t="e">
        <f>AND('STERLING CATALOG - DRY '!C4382,"AAAAAH73po8=")</f>
        <v>#VALUE!</v>
      </c>
      <c r="EO196" t="e">
        <f>AND('STERLING CATALOG - DRY '!D4382,"AAAAAH73ppA=")</f>
        <v>#VALUE!</v>
      </c>
      <c r="EP196" t="e">
        <f>AND('STERLING CATALOG - DRY '!E4382,"AAAAAH73ppE=")</f>
        <v>#VALUE!</v>
      </c>
      <c r="EQ196" t="e">
        <f>AND('STERLING CATALOG - DRY '!F4382,"AAAAAH73ppI=")</f>
        <v>#VALUE!</v>
      </c>
      <c r="ER196" t="e">
        <f>AND('STERLING CATALOG - DRY '!G4382,"AAAAAH73ppM=")</f>
        <v>#VALUE!</v>
      </c>
      <c r="ES196" t="e">
        <f>AND('STERLING CATALOG - DRY '!H4382,"AAAAAH73ppQ=")</f>
        <v>#VALUE!</v>
      </c>
      <c r="ET196" t="e">
        <f>AND('STERLING CATALOG - DRY '!I4382,"AAAAAH73ppU=")</f>
        <v>#VALUE!</v>
      </c>
      <c r="EU196" t="e">
        <f>AND('STERLING CATALOG - DRY '!J4382,"AAAAAH73ppY=")</f>
        <v>#VALUE!</v>
      </c>
      <c r="EV196">
        <f>IF('STERLING CATALOG - DRY '!4383:4383,"AAAAAH73ppc=",0)</f>
        <v>0</v>
      </c>
      <c r="EW196" t="e">
        <f>AND('STERLING CATALOG - DRY '!A4383,"AAAAAH73ppg=")</f>
        <v>#VALUE!</v>
      </c>
      <c r="EX196" t="e">
        <f>AND('STERLING CATALOG - DRY '!B4383,"AAAAAH73ppk=")</f>
        <v>#VALUE!</v>
      </c>
      <c r="EY196" t="e">
        <f>AND('STERLING CATALOG - DRY '!C4383,"AAAAAH73ppo=")</f>
        <v>#VALUE!</v>
      </c>
      <c r="EZ196" t="e">
        <f>AND('STERLING CATALOG - DRY '!D4383,"AAAAAH73pps=")</f>
        <v>#VALUE!</v>
      </c>
      <c r="FA196" t="e">
        <f>AND('STERLING CATALOG - DRY '!E4383,"AAAAAH73ppw=")</f>
        <v>#VALUE!</v>
      </c>
      <c r="FB196" t="e">
        <f>AND('STERLING CATALOG - DRY '!F4383,"AAAAAH73pp0=")</f>
        <v>#VALUE!</v>
      </c>
      <c r="FC196" t="e">
        <f>AND('STERLING CATALOG - DRY '!G4383,"AAAAAH73pp4=")</f>
        <v>#VALUE!</v>
      </c>
      <c r="FD196" t="e">
        <f>AND('STERLING CATALOG - DRY '!H4383,"AAAAAH73pp8=")</f>
        <v>#VALUE!</v>
      </c>
      <c r="FE196" t="e">
        <f>AND('STERLING CATALOG - DRY '!I4383,"AAAAAH73pqA=")</f>
        <v>#VALUE!</v>
      </c>
      <c r="FF196" t="e">
        <f>AND('STERLING CATALOG - DRY '!J4383,"AAAAAH73pqE=")</f>
        <v>#VALUE!</v>
      </c>
      <c r="FG196">
        <f>IF('STERLING CATALOG - DRY '!4384:4384,"AAAAAH73pqI=",0)</f>
        <v>0</v>
      </c>
      <c r="FH196" t="e">
        <f>AND('STERLING CATALOG - DRY '!A4384,"AAAAAH73pqM=")</f>
        <v>#VALUE!</v>
      </c>
      <c r="FI196" t="e">
        <f>AND('STERLING CATALOG - DRY '!B4384,"AAAAAH73pqQ=")</f>
        <v>#VALUE!</v>
      </c>
      <c r="FJ196" t="e">
        <f>AND('STERLING CATALOG - DRY '!C4384,"AAAAAH73pqU=")</f>
        <v>#VALUE!</v>
      </c>
      <c r="FK196" t="e">
        <f>AND('STERLING CATALOG - DRY '!D4384,"AAAAAH73pqY=")</f>
        <v>#VALUE!</v>
      </c>
      <c r="FL196" t="e">
        <f>AND('STERLING CATALOG - DRY '!E4384,"AAAAAH73pqc=")</f>
        <v>#VALUE!</v>
      </c>
      <c r="FM196" t="e">
        <f>AND('STERLING CATALOG - DRY '!F4384,"AAAAAH73pqg=")</f>
        <v>#VALUE!</v>
      </c>
      <c r="FN196" t="e">
        <f>AND('STERLING CATALOG - DRY '!G4384,"AAAAAH73pqk=")</f>
        <v>#VALUE!</v>
      </c>
      <c r="FO196" t="e">
        <f>AND('STERLING CATALOG - DRY '!H4384,"AAAAAH73pqo=")</f>
        <v>#VALUE!</v>
      </c>
      <c r="FP196" t="e">
        <f>AND('STERLING CATALOG - DRY '!I4384,"AAAAAH73pqs=")</f>
        <v>#VALUE!</v>
      </c>
      <c r="FQ196" t="e">
        <f>AND('STERLING CATALOG - DRY '!J4384,"AAAAAH73pqw=")</f>
        <v>#VALUE!</v>
      </c>
      <c r="FR196">
        <f>IF('STERLING CATALOG - DRY '!4385:4385,"AAAAAH73pq0=",0)</f>
        <v>0</v>
      </c>
      <c r="FS196" t="e">
        <f>AND('STERLING CATALOG - DRY '!A4385,"AAAAAH73pq4=")</f>
        <v>#VALUE!</v>
      </c>
      <c r="FT196" t="e">
        <f>AND('STERLING CATALOG - DRY '!B4385,"AAAAAH73pq8=")</f>
        <v>#VALUE!</v>
      </c>
      <c r="FU196" t="e">
        <f>AND('STERLING CATALOG - DRY '!C4385,"AAAAAH73prA=")</f>
        <v>#VALUE!</v>
      </c>
      <c r="FV196" t="e">
        <f>AND('STERLING CATALOG - DRY '!D4385,"AAAAAH73prE=")</f>
        <v>#VALUE!</v>
      </c>
      <c r="FW196" t="e">
        <f>AND('STERLING CATALOG - DRY '!E4385,"AAAAAH73prI=")</f>
        <v>#VALUE!</v>
      </c>
      <c r="FX196" t="e">
        <f>AND('STERLING CATALOG - DRY '!F4385,"AAAAAH73prM=")</f>
        <v>#VALUE!</v>
      </c>
      <c r="FY196" t="e">
        <f>AND('STERLING CATALOG - DRY '!G4385,"AAAAAH73prQ=")</f>
        <v>#VALUE!</v>
      </c>
      <c r="FZ196" t="e">
        <f>AND('STERLING CATALOG - DRY '!H4385,"AAAAAH73prU=")</f>
        <v>#VALUE!</v>
      </c>
      <c r="GA196" t="e">
        <f>AND('STERLING CATALOG - DRY '!I4385,"AAAAAH73prY=")</f>
        <v>#VALUE!</v>
      </c>
      <c r="GB196" t="e">
        <f>AND('STERLING CATALOG - DRY '!J4385,"AAAAAH73prc=")</f>
        <v>#VALUE!</v>
      </c>
      <c r="GC196">
        <f>IF('STERLING CATALOG - DRY '!4386:4386,"AAAAAH73prg=",0)</f>
        <v>0</v>
      </c>
      <c r="GD196" t="e">
        <f>AND('STERLING CATALOG - DRY '!A4386,"AAAAAH73prk=")</f>
        <v>#VALUE!</v>
      </c>
      <c r="GE196" t="e">
        <f>AND('STERLING CATALOG - DRY '!B4386,"AAAAAH73pro=")</f>
        <v>#VALUE!</v>
      </c>
      <c r="GF196" t="e">
        <f>AND('STERLING CATALOG - DRY '!C4386,"AAAAAH73prs=")</f>
        <v>#VALUE!</v>
      </c>
      <c r="GG196" t="e">
        <f>AND('STERLING CATALOG - DRY '!D4386,"AAAAAH73prw=")</f>
        <v>#VALUE!</v>
      </c>
      <c r="GH196" t="e">
        <f>AND('STERLING CATALOG - DRY '!E4386,"AAAAAH73pr0=")</f>
        <v>#VALUE!</v>
      </c>
      <c r="GI196" t="e">
        <f>AND('STERLING CATALOG - DRY '!F4386,"AAAAAH73pr4=")</f>
        <v>#VALUE!</v>
      </c>
      <c r="GJ196" t="e">
        <f>AND('STERLING CATALOG - DRY '!G4386,"AAAAAH73pr8=")</f>
        <v>#VALUE!</v>
      </c>
      <c r="GK196" t="e">
        <f>AND('STERLING CATALOG - DRY '!H4386,"AAAAAH73psA=")</f>
        <v>#VALUE!</v>
      </c>
      <c r="GL196" t="e">
        <f>AND('STERLING CATALOG - DRY '!I4386,"AAAAAH73psE=")</f>
        <v>#VALUE!</v>
      </c>
      <c r="GM196" t="e">
        <f>AND('STERLING CATALOG - DRY '!J4386,"AAAAAH73psI=")</f>
        <v>#VALUE!</v>
      </c>
      <c r="GN196">
        <f>IF('STERLING CATALOG - DRY '!4387:4387,"AAAAAH73psM=",0)</f>
        <v>0</v>
      </c>
      <c r="GO196" t="e">
        <f>AND('STERLING CATALOG - DRY '!A4387,"AAAAAH73psQ=")</f>
        <v>#VALUE!</v>
      </c>
      <c r="GP196" t="e">
        <f>AND('STERLING CATALOG - DRY '!B4387,"AAAAAH73psU=")</f>
        <v>#VALUE!</v>
      </c>
      <c r="GQ196" t="e">
        <f>AND('STERLING CATALOG - DRY '!C4387,"AAAAAH73psY=")</f>
        <v>#VALUE!</v>
      </c>
      <c r="GR196" t="e">
        <f>AND('STERLING CATALOG - DRY '!D4387,"AAAAAH73psc=")</f>
        <v>#VALUE!</v>
      </c>
      <c r="GS196" t="e">
        <f>AND('STERLING CATALOG - DRY '!E4387,"AAAAAH73psg=")</f>
        <v>#VALUE!</v>
      </c>
      <c r="GT196" t="e">
        <f>AND('STERLING CATALOG - DRY '!F4387,"AAAAAH73psk=")</f>
        <v>#VALUE!</v>
      </c>
      <c r="GU196" t="e">
        <f>AND('STERLING CATALOG - DRY '!G4387,"AAAAAH73pso=")</f>
        <v>#VALUE!</v>
      </c>
      <c r="GV196" t="e">
        <f>AND('STERLING CATALOG - DRY '!H4387,"AAAAAH73pss=")</f>
        <v>#VALUE!</v>
      </c>
      <c r="GW196" t="e">
        <f>AND('STERLING CATALOG - DRY '!I4387,"AAAAAH73psw=")</f>
        <v>#VALUE!</v>
      </c>
      <c r="GX196" t="e">
        <f>AND('STERLING CATALOG - DRY '!J4387,"AAAAAH73ps0=")</f>
        <v>#VALUE!</v>
      </c>
      <c r="GY196">
        <f>IF('STERLING CATALOG - DRY '!4388:4388,"AAAAAH73ps4=",0)</f>
        <v>0</v>
      </c>
      <c r="GZ196" t="e">
        <f>AND('STERLING CATALOG - DRY '!A4388,"AAAAAH73ps8=")</f>
        <v>#VALUE!</v>
      </c>
      <c r="HA196" t="e">
        <f>AND('STERLING CATALOG - DRY '!B4388,"AAAAAH73ptA=")</f>
        <v>#VALUE!</v>
      </c>
      <c r="HB196" t="e">
        <f>AND('STERLING CATALOG - DRY '!C4388,"AAAAAH73ptE=")</f>
        <v>#VALUE!</v>
      </c>
      <c r="HC196" t="e">
        <f>AND('STERLING CATALOG - DRY '!D4388,"AAAAAH73ptI=")</f>
        <v>#VALUE!</v>
      </c>
      <c r="HD196" t="e">
        <f>AND('STERLING CATALOG - DRY '!E4388,"AAAAAH73ptM=")</f>
        <v>#VALUE!</v>
      </c>
      <c r="HE196" t="e">
        <f>AND('STERLING CATALOG - DRY '!F4388,"AAAAAH73ptQ=")</f>
        <v>#VALUE!</v>
      </c>
      <c r="HF196" t="e">
        <f>AND('STERLING CATALOG - DRY '!G4388,"AAAAAH73ptU=")</f>
        <v>#VALUE!</v>
      </c>
      <c r="HG196" t="e">
        <f>AND('STERLING CATALOG - DRY '!H4388,"AAAAAH73ptY=")</f>
        <v>#VALUE!</v>
      </c>
      <c r="HH196" t="e">
        <f>AND('STERLING CATALOG - DRY '!I4388,"AAAAAH73ptc=")</f>
        <v>#VALUE!</v>
      </c>
      <c r="HI196" t="e">
        <f>AND('STERLING CATALOG - DRY '!J4388,"AAAAAH73ptg=")</f>
        <v>#VALUE!</v>
      </c>
      <c r="HJ196">
        <f>IF('STERLING CATALOG - DRY '!4389:4389,"AAAAAH73ptk=",0)</f>
        <v>0</v>
      </c>
      <c r="HK196" t="e">
        <f>AND('STERLING CATALOG - DRY '!A4389,"AAAAAH73pto=")</f>
        <v>#VALUE!</v>
      </c>
      <c r="HL196" t="e">
        <f>AND('STERLING CATALOG - DRY '!B4389,"AAAAAH73pts=")</f>
        <v>#VALUE!</v>
      </c>
      <c r="HM196" t="e">
        <f>AND('STERLING CATALOG - DRY '!C4389,"AAAAAH73ptw=")</f>
        <v>#VALUE!</v>
      </c>
      <c r="HN196" t="e">
        <f>AND('STERLING CATALOG - DRY '!D4389,"AAAAAH73pt0=")</f>
        <v>#VALUE!</v>
      </c>
      <c r="HO196" t="e">
        <f>AND('STERLING CATALOG - DRY '!E4389,"AAAAAH73pt4=")</f>
        <v>#VALUE!</v>
      </c>
      <c r="HP196" t="e">
        <f>AND('STERLING CATALOG - DRY '!F4389,"AAAAAH73pt8=")</f>
        <v>#VALUE!</v>
      </c>
      <c r="HQ196" t="e">
        <f>AND('STERLING CATALOG - DRY '!G4389,"AAAAAH73puA=")</f>
        <v>#VALUE!</v>
      </c>
      <c r="HR196" t="e">
        <f>AND('STERLING CATALOG - DRY '!H4389,"AAAAAH73puE=")</f>
        <v>#VALUE!</v>
      </c>
      <c r="HS196" t="e">
        <f>AND('STERLING CATALOG - DRY '!I4389,"AAAAAH73puI=")</f>
        <v>#VALUE!</v>
      </c>
      <c r="HT196" t="e">
        <f>AND('STERLING CATALOG - DRY '!J4389,"AAAAAH73puM=")</f>
        <v>#VALUE!</v>
      </c>
      <c r="HU196">
        <f>IF('STERLING CATALOG - DRY '!4390:4390,"AAAAAH73puQ=",0)</f>
        <v>0</v>
      </c>
      <c r="HV196" t="e">
        <f>AND('STERLING CATALOG - DRY '!A4390,"AAAAAH73puU=")</f>
        <v>#VALUE!</v>
      </c>
      <c r="HW196" t="e">
        <f>AND('STERLING CATALOG - DRY '!B4390,"AAAAAH73puY=")</f>
        <v>#VALUE!</v>
      </c>
      <c r="HX196" t="e">
        <f>AND('STERLING CATALOG - DRY '!C4390,"AAAAAH73puc=")</f>
        <v>#VALUE!</v>
      </c>
      <c r="HY196" t="e">
        <f>AND('STERLING CATALOG - DRY '!D4390,"AAAAAH73pug=")</f>
        <v>#VALUE!</v>
      </c>
      <c r="HZ196" t="e">
        <f>AND('STERLING CATALOG - DRY '!E4390,"AAAAAH73puk=")</f>
        <v>#VALUE!</v>
      </c>
      <c r="IA196" t="e">
        <f>AND('STERLING CATALOG - DRY '!F4390,"AAAAAH73puo=")</f>
        <v>#VALUE!</v>
      </c>
      <c r="IB196" t="e">
        <f>AND('STERLING CATALOG - DRY '!G4390,"AAAAAH73pus=")</f>
        <v>#VALUE!</v>
      </c>
      <c r="IC196" t="e">
        <f>AND('STERLING CATALOG - DRY '!H4390,"AAAAAH73puw=")</f>
        <v>#VALUE!</v>
      </c>
      <c r="ID196" t="e">
        <f>AND('STERLING CATALOG - DRY '!I4390,"AAAAAH73pu0=")</f>
        <v>#VALUE!</v>
      </c>
      <c r="IE196" t="e">
        <f>AND('STERLING CATALOG - DRY '!J4390,"AAAAAH73pu4=")</f>
        <v>#VALUE!</v>
      </c>
      <c r="IF196">
        <f>IF('STERLING CATALOG - DRY '!4391:4391,"AAAAAH73pu8=",0)</f>
        <v>0</v>
      </c>
      <c r="IG196" t="e">
        <f>AND('STERLING CATALOG - DRY '!A4391,"AAAAAH73pvA=")</f>
        <v>#VALUE!</v>
      </c>
      <c r="IH196" t="e">
        <f>AND('STERLING CATALOG - DRY '!B4391,"AAAAAH73pvE=")</f>
        <v>#VALUE!</v>
      </c>
      <c r="II196" t="e">
        <f>AND('STERLING CATALOG - DRY '!C4391,"AAAAAH73pvI=")</f>
        <v>#VALUE!</v>
      </c>
      <c r="IJ196" t="e">
        <f>AND('STERLING CATALOG - DRY '!D4391,"AAAAAH73pvM=")</f>
        <v>#VALUE!</v>
      </c>
      <c r="IK196" t="e">
        <f>AND('STERLING CATALOG - DRY '!E4391,"AAAAAH73pvQ=")</f>
        <v>#VALUE!</v>
      </c>
      <c r="IL196" t="e">
        <f>AND('STERLING CATALOG - DRY '!F4391,"AAAAAH73pvU=")</f>
        <v>#VALUE!</v>
      </c>
      <c r="IM196" t="e">
        <f>AND('STERLING CATALOG - DRY '!G4391,"AAAAAH73pvY=")</f>
        <v>#VALUE!</v>
      </c>
      <c r="IN196" t="e">
        <f>AND('STERLING CATALOG - DRY '!H4391,"AAAAAH73pvc=")</f>
        <v>#VALUE!</v>
      </c>
      <c r="IO196" t="e">
        <f>AND('STERLING CATALOG - DRY '!I4391,"AAAAAH73pvg=")</f>
        <v>#VALUE!</v>
      </c>
      <c r="IP196" t="e">
        <f>AND('STERLING CATALOG - DRY '!J4391,"AAAAAH73pvk=")</f>
        <v>#VALUE!</v>
      </c>
      <c r="IQ196">
        <f>IF('STERLING CATALOG - DRY '!4392:4392,"AAAAAH73pvo=",0)</f>
        <v>0</v>
      </c>
      <c r="IR196" t="e">
        <f>AND('STERLING CATALOG - DRY '!A4392,"AAAAAH73pvs=")</f>
        <v>#VALUE!</v>
      </c>
      <c r="IS196" t="e">
        <f>AND('STERLING CATALOG - DRY '!B4392,"AAAAAH73pvw=")</f>
        <v>#VALUE!</v>
      </c>
      <c r="IT196" t="e">
        <f>AND('STERLING CATALOG - DRY '!C4392,"AAAAAH73pv0=")</f>
        <v>#VALUE!</v>
      </c>
      <c r="IU196" t="e">
        <f>AND('STERLING CATALOG - DRY '!D4392,"AAAAAH73pv4=")</f>
        <v>#VALUE!</v>
      </c>
      <c r="IV196" t="e">
        <f>AND('STERLING CATALOG - DRY '!E4392,"AAAAAH73pv8=")</f>
        <v>#VALUE!</v>
      </c>
    </row>
    <row r="197" spans="1:256">
      <c r="A197" t="e">
        <f>AND('STERLING CATALOG - DRY '!F4392,"AAAAAD9x2wA=")</f>
        <v>#VALUE!</v>
      </c>
      <c r="B197" t="e">
        <f>AND('STERLING CATALOG - DRY '!G4392,"AAAAAD9x2wE=")</f>
        <v>#VALUE!</v>
      </c>
      <c r="C197" t="e">
        <f>AND('STERLING CATALOG - DRY '!H4392,"AAAAAD9x2wI=")</f>
        <v>#VALUE!</v>
      </c>
      <c r="D197" t="e">
        <f>AND('STERLING CATALOG - DRY '!I4392,"AAAAAD9x2wM=")</f>
        <v>#VALUE!</v>
      </c>
      <c r="E197" t="e">
        <f>AND('STERLING CATALOG - DRY '!J4392,"AAAAAD9x2wQ=")</f>
        <v>#VALUE!</v>
      </c>
      <c r="F197" t="str">
        <f>IF('STERLING CATALOG - DRY '!4393:4393,"AAAAAD9x2wU=",0)</f>
        <v>AAAAAD9x2wU=</v>
      </c>
      <c r="G197" t="e">
        <f>AND('STERLING CATALOG - DRY '!A4393,"AAAAAD9x2wY=")</f>
        <v>#VALUE!</v>
      </c>
      <c r="H197" t="e">
        <f>AND('STERLING CATALOG - DRY '!B4393,"AAAAAD9x2wc=")</f>
        <v>#VALUE!</v>
      </c>
      <c r="I197" t="e">
        <f>AND('STERLING CATALOG - DRY '!C4393,"AAAAAD9x2wg=")</f>
        <v>#VALUE!</v>
      </c>
      <c r="J197" t="e">
        <f>AND('STERLING CATALOG - DRY '!D4393,"AAAAAD9x2wk=")</f>
        <v>#VALUE!</v>
      </c>
      <c r="K197" t="e">
        <f>AND('STERLING CATALOG - DRY '!E4393,"AAAAAD9x2wo=")</f>
        <v>#VALUE!</v>
      </c>
      <c r="L197" t="e">
        <f>AND('STERLING CATALOG - DRY '!F4393,"AAAAAD9x2ws=")</f>
        <v>#VALUE!</v>
      </c>
      <c r="M197" t="e">
        <f>AND('STERLING CATALOG - DRY '!G4393,"AAAAAD9x2ww=")</f>
        <v>#VALUE!</v>
      </c>
      <c r="N197" t="e">
        <f>AND('STERLING CATALOG - DRY '!H4393,"AAAAAD9x2w0=")</f>
        <v>#VALUE!</v>
      </c>
      <c r="O197" t="e">
        <f>AND('STERLING CATALOG - DRY '!I4393,"AAAAAD9x2w4=")</f>
        <v>#VALUE!</v>
      </c>
      <c r="P197" t="e">
        <f>AND('STERLING CATALOG - DRY '!J4393,"AAAAAD9x2w8=")</f>
        <v>#VALUE!</v>
      </c>
      <c r="Q197">
        <f>IF('STERLING CATALOG - DRY '!4394:4394,"AAAAAD9x2xA=",0)</f>
        <v>0</v>
      </c>
      <c r="R197" t="e">
        <f>AND('STERLING CATALOG - DRY '!A4394,"AAAAAD9x2xE=")</f>
        <v>#VALUE!</v>
      </c>
      <c r="S197" t="e">
        <f>AND('STERLING CATALOG - DRY '!B4394,"AAAAAD9x2xI=")</f>
        <v>#VALUE!</v>
      </c>
      <c r="T197" t="e">
        <f>AND('STERLING CATALOG - DRY '!C4394,"AAAAAD9x2xM=")</f>
        <v>#VALUE!</v>
      </c>
      <c r="U197" t="e">
        <f>AND('STERLING CATALOG - DRY '!D4394,"AAAAAD9x2xQ=")</f>
        <v>#VALUE!</v>
      </c>
      <c r="V197" t="e">
        <f>AND('STERLING CATALOG - DRY '!E4394,"AAAAAD9x2xU=")</f>
        <v>#VALUE!</v>
      </c>
      <c r="W197" t="e">
        <f>AND('STERLING CATALOG - DRY '!F4394,"AAAAAD9x2xY=")</f>
        <v>#VALUE!</v>
      </c>
      <c r="X197" t="e">
        <f>AND('STERLING CATALOG - DRY '!G4394,"AAAAAD9x2xc=")</f>
        <v>#VALUE!</v>
      </c>
      <c r="Y197" t="e">
        <f>AND('STERLING CATALOG - DRY '!H4394,"AAAAAD9x2xg=")</f>
        <v>#VALUE!</v>
      </c>
      <c r="Z197" t="e">
        <f>AND('STERLING CATALOG - DRY '!I4394,"AAAAAD9x2xk=")</f>
        <v>#VALUE!</v>
      </c>
      <c r="AA197" t="e">
        <f>AND('STERLING CATALOG - DRY '!J4394,"AAAAAD9x2xo=")</f>
        <v>#VALUE!</v>
      </c>
      <c r="AB197">
        <f>IF('STERLING CATALOG - DRY '!4395:4395,"AAAAAD9x2xs=",0)</f>
        <v>0</v>
      </c>
      <c r="AC197" t="e">
        <f>AND('STERLING CATALOG - DRY '!A4395,"AAAAAD9x2xw=")</f>
        <v>#VALUE!</v>
      </c>
      <c r="AD197" t="e">
        <f>AND('STERLING CATALOG - DRY '!B4395,"AAAAAD9x2x0=")</f>
        <v>#VALUE!</v>
      </c>
      <c r="AE197" t="e">
        <f>AND('STERLING CATALOG - DRY '!C4395,"AAAAAD9x2x4=")</f>
        <v>#VALUE!</v>
      </c>
      <c r="AF197" t="e">
        <f>AND('STERLING CATALOG - DRY '!D4395,"AAAAAD9x2x8=")</f>
        <v>#VALUE!</v>
      </c>
      <c r="AG197" t="e">
        <f>AND('STERLING CATALOG - DRY '!E4395,"AAAAAD9x2yA=")</f>
        <v>#VALUE!</v>
      </c>
      <c r="AH197" t="e">
        <f>AND('STERLING CATALOG - DRY '!F4395,"AAAAAD9x2yE=")</f>
        <v>#VALUE!</v>
      </c>
      <c r="AI197" t="e">
        <f>AND('STERLING CATALOG - DRY '!G4395,"AAAAAD9x2yI=")</f>
        <v>#VALUE!</v>
      </c>
      <c r="AJ197" t="e">
        <f>AND('STERLING CATALOG - DRY '!H4395,"AAAAAD9x2yM=")</f>
        <v>#VALUE!</v>
      </c>
      <c r="AK197" t="e">
        <f>AND('STERLING CATALOG - DRY '!I4395,"AAAAAD9x2yQ=")</f>
        <v>#VALUE!</v>
      </c>
      <c r="AL197" t="e">
        <f>AND('STERLING CATALOG - DRY '!J4395,"AAAAAD9x2yU=")</f>
        <v>#VALUE!</v>
      </c>
      <c r="AM197">
        <f>IF('STERLING CATALOG - DRY '!4396:4396,"AAAAAD9x2yY=",0)</f>
        <v>0</v>
      </c>
      <c r="AN197" t="e">
        <f>AND('STERLING CATALOG - DRY '!A4396,"AAAAAD9x2yc=")</f>
        <v>#VALUE!</v>
      </c>
      <c r="AO197" t="e">
        <f>AND('STERLING CATALOG - DRY '!B4396,"AAAAAD9x2yg=")</f>
        <v>#VALUE!</v>
      </c>
      <c r="AP197" t="e">
        <f>AND('STERLING CATALOG - DRY '!C4396,"AAAAAD9x2yk=")</f>
        <v>#VALUE!</v>
      </c>
      <c r="AQ197" t="e">
        <f>AND('STERLING CATALOG - DRY '!D4396,"AAAAAD9x2yo=")</f>
        <v>#VALUE!</v>
      </c>
      <c r="AR197" t="e">
        <f>AND('STERLING CATALOG - DRY '!E4396,"AAAAAD9x2ys=")</f>
        <v>#VALUE!</v>
      </c>
      <c r="AS197" t="e">
        <f>AND('STERLING CATALOG - DRY '!F4396,"AAAAAD9x2yw=")</f>
        <v>#VALUE!</v>
      </c>
      <c r="AT197" t="e">
        <f>AND('STERLING CATALOG - DRY '!G4396,"AAAAAD9x2y0=")</f>
        <v>#VALUE!</v>
      </c>
      <c r="AU197" t="e">
        <f>AND('STERLING CATALOG - DRY '!H4396,"AAAAAD9x2y4=")</f>
        <v>#VALUE!</v>
      </c>
      <c r="AV197" t="e">
        <f>AND('STERLING CATALOG - DRY '!I4396,"AAAAAD9x2y8=")</f>
        <v>#VALUE!</v>
      </c>
      <c r="AW197" t="e">
        <f>AND('STERLING CATALOG - DRY '!J4396,"AAAAAD9x2zA=")</f>
        <v>#VALUE!</v>
      </c>
      <c r="AX197">
        <f>IF('STERLING CATALOG - DRY '!4397:4397,"AAAAAD9x2zE=",0)</f>
        <v>0</v>
      </c>
      <c r="AY197" t="e">
        <f>AND('STERLING CATALOG - DRY '!A4397,"AAAAAD9x2zI=")</f>
        <v>#VALUE!</v>
      </c>
      <c r="AZ197" t="e">
        <f>AND('STERLING CATALOG - DRY '!B4397,"AAAAAD9x2zM=")</f>
        <v>#VALUE!</v>
      </c>
      <c r="BA197" t="e">
        <f>AND('STERLING CATALOG - DRY '!C4397,"AAAAAD9x2zQ=")</f>
        <v>#VALUE!</v>
      </c>
      <c r="BB197" t="e">
        <f>AND('STERLING CATALOG - DRY '!D4397,"AAAAAD9x2zU=")</f>
        <v>#VALUE!</v>
      </c>
      <c r="BC197" t="e">
        <f>AND('STERLING CATALOG - DRY '!E4397,"AAAAAD9x2zY=")</f>
        <v>#VALUE!</v>
      </c>
      <c r="BD197" t="e">
        <f>AND('STERLING CATALOG - DRY '!F4397,"AAAAAD9x2zc=")</f>
        <v>#VALUE!</v>
      </c>
      <c r="BE197" t="e">
        <f>AND('STERLING CATALOG - DRY '!G4397,"AAAAAD9x2zg=")</f>
        <v>#VALUE!</v>
      </c>
      <c r="BF197" t="e">
        <f>AND('STERLING CATALOG - DRY '!H4397,"AAAAAD9x2zk=")</f>
        <v>#VALUE!</v>
      </c>
      <c r="BG197" t="e">
        <f>AND('STERLING CATALOG - DRY '!I4397,"AAAAAD9x2zo=")</f>
        <v>#VALUE!</v>
      </c>
      <c r="BH197" t="e">
        <f>AND('STERLING CATALOG - DRY '!J4397,"AAAAAD9x2zs=")</f>
        <v>#VALUE!</v>
      </c>
      <c r="BI197">
        <f>IF('STERLING CATALOG - DRY '!4398:4398,"AAAAAD9x2zw=",0)</f>
        <v>0</v>
      </c>
      <c r="BJ197" t="e">
        <f>AND('STERLING CATALOG - DRY '!A4398,"AAAAAD9x2z0=")</f>
        <v>#VALUE!</v>
      </c>
      <c r="BK197" t="e">
        <f>AND('STERLING CATALOG - DRY '!B4398,"AAAAAD9x2z4=")</f>
        <v>#VALUE!</v>
      </c>
      <c r="BL197" t="e">
        <f>AND('STERLING CATALOG - DRY '!C4398,"AAAAAD9x2z8=")</f>
        <v>#VALUE!</v>
      </c>
      <c r="BM197" t="e">
        <f>AND('STERLING CATALOG - DRY '!D4398,"AAAAAD9x20A=")</f>
        <v>#VALUE!</v>
      </c>
      <c r="BN197" t="e">
        <f>AND('STERLING CATALOG - DRY '!E4398,"AAAAAD9x20E=")</f>
        <v>#VALUE!</v>
      </c>
      <c r="BO197" t="e">
        <f>AND('STERLING CATALOG - DRY '!F4398,"AAAAAD9x20I=")</f>
        <v>#VALUE!</v>
      </c>
      <c r="BP197" t="e">
        <f>AND('STERLING CATALOG - DRY '!G4398,"AAAAAD9x20M=")</f>
        <v>#VALUE!</v>
      </c>
      <c r="BQ197" t="e">
        <f>AND('STERLING CATALOG - DRY '!H4398,"AAAAAD9x20Q=")</f>
        <v>#VALUE!</v>
      </c>
      <c r="BR197" t="e">
        <f>AND('STERLING CATALOG - DRY '!I4398,"AAAAAD9x20U=")</f>
        <v>#VALUE!</v>
      </c>
      <c r="BS197" t="e">
        <f>AND('STERLING CATALOG - DRY '!J4398,"AAAAAD9x20Y=")</f>
        <v>#VALUE!</v>
      </c>
      <c r="BT197">
        <f>IF('STERLING CATALOG - DRY '!4399:4399,"AAAAAD9x20c=",0)</f>
        <v>0</v>
      </c>
      <c r="BU197" t="e">
        <f>AND('STERLING CATALOG - DRY '!A4399,"AAAAAD9x20g=")</f>
        <v>#VALUE!</v>
      </c>
      <c r="BV197" t="e">
        <f>AND('STERLING CATALOG - DRY '!B4399,"AAAAAD9x20k=")</f>
        <v>#VALUE!</v>
      </c>
      <c r="BW197" t="e">
        <f>AND('STERLING CATALOG - DRY '!C4399,"AAAAAD9x20o=")</f>
        <v>#VALUE!</v>
      </c>
      <c r="BX197" t="e">
        <f>AND('STERLING CATALOG - DRY '!D4399,"AAAAAD9x20s=")</f>
        <v>#VALUE!</v>
      </c>
      <c r="BY197" t="e">
        <f>AND('STERLING CATALOG - DRY '!E4399,"AAAAAD9x20w=")</f>
        <v>#VALUE!</v>
      </c>
      <c r="BZ197" t="e">
        <f>AND('STERLING CATALOG - DRY '!F4399,"AAAAAD9x200=")</f>
        <v>#VALUE!</v>
      </c>
      <c r="CA197" t="e">
        <f>AND('STERLING CATALOG - DRY '!G4399,"AAAAAD9x204=")</f>
        <v>#VALUE!</v>
      </c>
      <c r="CB197" t="e">
        <f>AND('STERLING CATALOG - DRY '!H4399,"AAAAAD9x208=")</f>
        <v>#VALUE!</v>
      </c>
      <c r="CC197" t="e">
        <f>AND('STERLING CATALOG - DRY '!I4399,"AAAAAD9x21A=")</f>
        <v>#VALUE!</v>
      </c>
      <c r="CD197" t="e">
        <f>AND('STERLING CATALOG - DRY '!J4399,"AAAAAD9x21E=")</f>
        <v>#VALUE!</v>
      </c>
      <c r="CE197">
        <f>IF('STERLING CATALOG - DRY '!4400:4400,"AAAAAD9x21I=",0)</f>
        <v>0</v>
      </c>
      <c r="CF197" t="e">
        <f>AND('STERLING CATALOG - DRY '!A4400,"AAAAAD9x21M=")</f>
        <v>#VALUE!</v>
      </c>
      <c r="CG197" t="e">
        <f>AND('STERLING CATALOG - DRY '!B4400,"AAAAAD9x21Q=")</f>
        <v>#VALUE!</v>
      </c>
      <c r="CH197" t="e">
        <f>AND('STERLING CATALOG - DRY '!C4400,"AAAAAD9x21U=")</f>
        <v>#VALUE!</v>
      </c>
      <c r="CI197" t="e">
        <f>AND('STERLING CATALOG - DRY '!D4400,"AAAAAD9x21Y=")</f>
        <v>#VALUE!</v>
      </c>
      <c r="CJ197" t="e">
        <f>AND('STERLING CATALOG - DRY '!E4400,"AAAAAD9x21c=")</f>
        <v>#VALUE!</v>
      </c>
      <c r="CK197" t="e">
        <f>AND('STERLING CATALOG - DRY '!F4400,"AAAAAD9x21g=")</f>
        <v>#VALUE!</v>
      </c>
      <c r="CL197" t="e">
        <f>AND('STERLING CATALOG - DRY '!G4400,"AAAAAD9x21k=")</f>
        <v>#VALUE!</v>
      </c>
      <c r="CM197" t="e">
        <f>AND('STERLING CATALOG - DRY '!H4400,"AAAAAD9x21o=")</f>
        <v>#VALUE!</v>
      </c>
      <c r="CN197" t="e">
        <f>AND('STERLING CATALOG - DRY '!I4400,"AAAAAD9x21s=")</f>
        <v>#VALUE!</v>
      </c>
      <c r="CO197" t="e">
        <f>AND('STERLING CATALOG - DRY '!J4400,"AAAAAD9x21w=")</f>
        <v>#VALUE!</v>
      </c>
      <c r="CP197">
        <f>IF('STERLING CATALOG - DRY '!4401:4401,"AAAAAD9x210=",0)</f>
        <v>0</v>
      </c>
      <c r="CQ197" t="e">
        <f>AND('STERLING CATALOG - DRY '!A4401,"AAAAAD9x214=")</f>
        <v>#VALUE!</v>
      </c>
      <c r="CR197" t="e">
        <f>AND('STERLING CATALOG - DRY '!B4401,"AAAAAD9x218=")</f>
        <v>#VALUE!</v>
      </c>
      <c r="CS197" t="e">
        <f>AND('STERLING CATALOG - DRY '!C4401,"AAAAAD9x22A=")</f>
        <v>#VALUE!</v>
      </c>
      <c r="CT197" t="e">
        <f>AND('STERLING CATALOG - DRY '!D4401,"AAAAAD9x22E=")</f>
        <v>#VALUE!</v>
      </c>
      <c r="CU197" t="e">
        <f>AND('STERLING CATALOG - DRY '!E4401,"AAAAAD9x22I=")</f>
        <v>#VALUE!</v>
      </c>
      <c r="CV197" t="e">
        <f>AND('STERLING CATALOG - DRY '!F4401,"AAAAAD9x22M=")</f>
        <v>#VALUE!</v>
      </c>
      <c r="CW197" t="e">
        <f>AND('STERLING CATALOG - DRY '!G4401,"AAAAAD9x22Q=")</f>
        <v>#VALUE!</v>
      </c>
      <c r="CX197" t="e">
        <f>AND('STERLING CATALOG - DRY '!H4401,"AAAAAD9x22U=")</f>
        <v>#VALUE!</v>
      </c>
      <c r="CY197" t="e">
        <f>AND('STERLING CATALOG - DRY '!I4401,"AAAAAD9x22Y=")</f>
        <v>#VALUE!</v>
      </c>
      <c r="CZ197" t="e">
        <f>AND('STERLING CATALOG - DRY '!J4401,"AAAAAD9x22c=")</f>
        <v>#VALUE!</v>
      </c>
      <c r="DA197">
        <f>IF('STERLING CATALOG - DRY '!4402:4402,"AAAAAD9x22g=",0)</f>
        <v>0</v>
      </c>
      <c r="DB197" t="e">
        <f>AND('STERLING CATALOG - DRY '!A4402,"AAAAAD9x22k=")</f>
        <v>#VALUE!</v>
      </c>
      <c r="DC197" t="e">
        <f>AND('STERLING CATALOG - DRY '!B4402,"AAAAAD9x22o=")</f>
        <v>#VALUE!</v>
      </c>
      <c r="DD197" t="e">
        <f>AND('STERLING CATALOG - DRY '!C4402,"AAAAAD9x22s=")</f>
        <v>#VALUE!</v>
      </c>
      <c r="DE197" t="e">
        <f>AND('STERLING CATALOG - DRY '!D4402,"AAAAAD9x22w=")</f>
        <v>#VALUE!</v>
      </c>
      <c r="DF197" t="e">
        <f>AND('STERLING CATALOG - DRY '!E4402,"AAAAAD9x220=")</f>
        <v>#VALUE!</v>
      </c>
      <c r="DG197" t="e">
        <f>AND('STERLING CATALOG - DRY '!F4402,"AAAAAD9x224=")</f>
        <v>#VALUE!</v>
      </c>
      <c r="DH197" t="e">
        <f>AND('STERLING CATALOG - DRY '!G4402,"AAAAAD9x228=")</f>
        <v>#VALUE!</v>
      </c>
      <c r="DI197" t="e">
        <f>AND('STERLING CATALOG - DRY '!H4402,"AAAAAD9x23A=")</f>
        <v>#VALUE!</v>
      </c>
      <c r="DJ197" t="e">
        <f>AND('STERLING CATALOG - DRY '!I4402,"AAAAAD9x23E=")</f>
        <v>#VALUE!</v>
      </c>
      <c r="DK197" t="e">
        <f>AND('STERLING CATALOG - DRY '!J4402,"AAAAAD9x23I=")</f>
        <v>#VALUE!</v>
      </c>
      <c r="DL197">
        <f>IF('STERLING CATALOG - DRY '!4403:4403,"AAAAAD9x23M=",0)</f>
        <v>0</v>
      </c>
      <c r="DM197" t="e">
        <f>AND('STERLING CATALOG - DRY '!A4403,"AAAAAD9x23Q=")</f>
        <v>#VALUE!</v>
      </c>
      <c r="DN197" t="e">
        <f>AND('STERLING CATALOG - DRY '!B4403,"AAAAAD9x23U=")</f>
        <v>#VALUE!</v>
      </c>
      <c r="DO197" t="e">
        <f>AND('STERLING CATALOG - DRY '!C4403,"AAAAAD9x23Y=")</f>
        <v>#VALUE!</v>
      </c>
      <c r="DP197" t="e">
        <f>AND('STERLING CATALOG - DRY '!D4403,"AAAAAD9x23c=")</f>
        <v>#VALUE!</v>
      </c>
      <c r="DQ197" t="e">
        <f>AND('STERLING CATALOG - DRY '!E4403,"AAAAAD9x23g=")</f>
        <v>#VALUE!</v>
      </c>
      <c r="DR197" t="e">
        <f>AND('STERLING CATALOG - DRY '!F4403,"AAAAAD9x23k=")</f>
        <v>#VALUE!</v>
      </c>
      <c r="DS197" t="e">
        <f>AND('STERLING CATALOG - DRY '!G4403,"AAAAAD9x23o=")</f>
        <v>#VALUE!</v>
      </c>
      <c r="DT197" t="e">
        <f>AND('STERLING CATALOG - DRY '!H4403,"AAAAAD9x23s=")</f>
        <v>#VALUE!</v>
      </c>
      <c r="DU197" t="e">
        <f>AND('STERLING CATALOG - DRY '!I4403,"AAAAAD9x23w=")</f>
        <v>#VALUE!</v>
      </c>
      <c r="DV197" t="e">
        <f>AND('STERLING CATALOG - DRY '!J4403,"AAAAAD9x230=")</f>
        <v>#VALUE!</v>
      </c>
      <c r="DW197">
        <f>IF('STERLING CATALOG - DRY '!4404:4404,"AAAAAD9x234=",0)</f>
        <v>0</v>
      </c>
      <c r="DX197" t="e">
        <f>AND('STERLING CATALOG - DRY '!A4404,"AAAAAD9x238=")</f>
        <v>#VALUE!</v>
      </c>
      <c r="DY197" t="e">
        <f>AND('STERLING CATALOG - DRY '!B4404,"AAAAAD9x24A=")</f>
        <v>#VALUE!</v>
      </c>
      <c r="DZ197" t="e">
        <f>AND('STERLING CATALOG - DRY '!C4404,"AAAAAD9x24E=")</f>
        <v>#VALUE!</v>
      </c>
      <c r="EA197" t="e">
        <f>AND('STERLING CATALOG - DRY '!D4404,"AAAAAD9x24I=")</f>
        <v>#VALUE!</v>
      </c>
      <c r="EB197" t="e">
        <f>AND('STERLING CATALOG - DRY '!E4404,"AAAAAD9x24M=")</f>
        <v>#VALUE!</v>
      </c>
      <c r="EC197" t="e">
        <f>AND('STERLING CATALOG - DRY '!F4404,"AAAAAD9x24Q=")</f>
        <v>#VALUE!</v>
      </c>
      <c r="ED197" t="e">
        <f>AND('STERLING CATALOG - DRY '!G4404,"AAAAAD9x24U=")</f>
        <v>#VALUE!</v>
      </c>
      <c r="EE197" t="e">
        <f>AND('STERLING CATALOG - DRY '!H4404,"AAAAAD9x24Y=")</f>
        <v>#VALUE!</v>
      </c>
      <c r="EF197" t="e">
        <f>AND('STERLING CATALOG - DRY '!I4404,"AAAAAD9x24c=")</f>
        <v>#VALUE!</v>
      </c>
      <c r="EG197" t="e">
        <f>AND('STERLING CATALOG - DRY '!J4404,"AAAAAD9x24g=")</f>
        <v>#VALUE!</v>
      </c>
      <c r="EH197">
        <f>IF('STERLING CATALOG - DRY '!4405:4405,"AAAAAD9x24k=",0)</f>
        <v>0</v>
      </c>
      <c r="EI197" t="e">
        <f>AND('STERLING CATALOG - DRY '!A4405,"AAAAAD9x24o=")</f>
        <v>#VALUE!</v>
      </c>
      <c r="EJ197" t="e">
        <f>AND('STERLING CATALOG - DRY '!B4405,"AAAAAD9x24s=")</f>
        <v>#VALUE!</v>
      </c>
      <c r="EK197" t="e">
        <f>AND('STERLING CATALOG - DRY '!C4405,"AAAAAD9x24w=")</f>
        <v>#VALUE!</v>
      </c>
      <c r="EL197" t="e">
        <f>AND('STERLING CATALOG - DRY '!D4405,"AAAAAD9x240=")</f>
        <v>#VALUE!</v>
      </c>
      <c r="EM197" t="e">
        <f>AND('STERLING CATALOG - DRY '!E4405,"AAAAAD9x244=")</f>
        <v>#VALUE!</v>
      </c>
      <c r="EN197" t="e">
        <f>AND('STERLING CATALOG - DRY '!F4405,"AAAAAD9x248=")</f>
        <v>#VALUE!</v>
      </c>
      <c r="EO197" t="e">
        <f>AND('STERLING CATALOG - DRY '!G4405,"AAAAAD9x25A=")</f>
        <v>#VALUE!</v>
      </c>
      <c r="EP197" t="e">
        <f>AND('STERLING CATALOG - DRY '!H4405,"AAAAAD9x25E=")</f>
        <v>#VALUE!</v>
      </c>
      <c r="EQ197" t="e">
        <f>AND('STERLING CATALOG - DRY '!I4405,"AAAAAD9x25I=")</f>
        <v>#VALUE!</v>
      </c>
      <c r="ER197" t="e">
        <f>AND('STERLING CATALOG - DRY '!J4405,"AAAAAD9x25M=")</f>
        <v>#VALUE!</v>
      </c>
      <c r="ES197">
        <f>IF('STERLING CATALOG - DRY '!4406:4406,"AAAAAD9x25Q=",0)</f>
        <v>0</v>
      </c>
      <c r="ET197" t="e">
        <f>AND('STERLING CATALOG - DRY '!A4406,"AAAAAD9x25U=")</f>
        <v>#VALUE!</v>
      </c>
      <c r="EU197" t="e">
        <f>AND('STERLING CATALOG - DRY '!B4406,"AAAAAD9x25Y=")</f>
        <v>#VALUE!</v>
      </c>
      <c r="EV197" t="e">
        <f>AND('STERLING CATALOG - DRY '!C4406,"AAAAAD9x25c=")</f>
        <v>#VALUE!</v>
      </c>
      <c r="EW197" t="e">
        <f>AND('STERLING CATALOG - DRY '!D4406,"AAAAAD9x25g=")</f>
        <v>#VALUE!</v>
      </c>
      <c r="EX197" t="e">
        <f>AND('STERLING CATALOG - DRY '!E4406,"AAAAAD9x25k=")</f>
        <v>#VALUE!</v>
      </c>
      <c r="EY197" t="e">
        <f>AND('STERLING CATALOG - DRY '!F4406,"AAAAAD9x25o=")</f>
        <v>#VALUE!</v>
      </c>
      <c r="EZ197" t="e">
        <f>AND('STERLING CATALOG - DRY '!G4406,"AAAAAD9x25s=")</f>
        <v>#VALUE!</v>
      </c>
      <c r="FA197" t="e">
        <f>AND('STERLING CATALOG - DRY '!H4406,"AAAAAD9x25w=")</f>
        <v>#VALUE!</v>
      </c>
      <c r="FB197" t="e">
        <f>AND('STERLING CATALOG - DRY '!I4406,"AAAAAD9x250=")</f>
        <v>#VALUE!</v>
      </c>
      <c r="FC197" t="e">
        <f>AND('STERLING CATALOG - DRY '!J4406,"AAAAAD9x254=")</f>
        <v>#VALUE!</v>
      </c>
      <c r="FD197">
        <f>IF('STERLING CATALOG - DRY '!4407:4407,"AAAAAD9x258=",0)</f>
        <v>0</v>
      </c>
      <c r="FE197" t="e">
        <f>AND('STERLING CATALOG - DRY '!A4407,"AAAAAD9x26A=")</f>
        <v>#VALUE!</v>
      </c>
      <c r="FF197" t="e">
        <f>AND('STERLING CATALOG - DRY '!B4407,"AAAAAD9x26E=")</f>
        <v>#VALUE!</v>
      </c>
      <c r="FG197" t="e">
        <f>AND('STERLING CATALOG - DRY '!C4407,"AAAAAD9x26I=")</f>
        <v>#VALUE!</v>
      </c>
      <c r="FH197" t="e">
        <f>AND('STERLING CATALOG - DRY '!D4407,"AAAAAD9x26M=")</f>
        <v>#VALUE!</v>
      </c>
      <c r="FI197" t="e">
        <f>AND('STERLING CATALOG - DRY '!E4407,"AAAAAD9x26Q=")</f>
        <v>#VALUE!</v>
      </c>
      <c r="FJ197" t="e">
        <f>AND('STERLING CATALOG - DRY '!F4407,"AAAAAD9x26U=")</f>
        <v>#VALUE!</v>
      </c>
      <c r="FK197" t="e">
        <f>AND('STERLING CATALOG - DRY '!G4407,"AAAAAD9x26Y=")</f>
        <v>#VALUE!</v>
      </c>
      <c r="FL197" t="e">
        <f>AND('STERLING CATALOG - DRY '!H4407,"AAAAAD9x26c=")</f>
        <v>#VALUE!</v>
      </c>
      <c r="FM197" t="e">
        <f>AND('STERLING CATALOG - DRY '!I4407,"AAAAAD9x26g=")</f>
        <v>#VALUE!</v>
      </c>
      <c r="FN197" t="e">
        <f>AND('STERLING CATALOG - DRY '!J4407,"AAAAAD9x26k=")</f>
        <v>#VALUE!</v>
      </c>
      <c r="FO197">
        <f>IF('STERLING CATALOG - DRY '!4408:4408,"AAAAAD9x26o=",0)</f>
        <v>0</v>
      </c>
      <c r="FP197" t="e">
        <f>AND('STERLING CATALOG - DRY '!A4408,"AAAAAD9x26s=")</f>
        <v>#VALUE!</v>
      </c>
      <c r="FQ197" t="e">
        <f>AND('STERLING CATALOG - DRY '!B4408,"AAAAAD9x26w=")</f>
        <v>#VALUE!</v>
      </c>
      <c r="FR197" t="e">
        <f>AND('STERLING CATALOG - DRY '!C4408,"AAAAAD9x260=")</f>
        <v>#VALUE!</v>
      </c>
      <c r="FS197" t="e">
        <f>AND('STERLING CATALOG - DRY '!D4408,"AAAAAD9x264=")</f>
        <v>#VALUE!</v>
      </c>
      <c r="FT197" t="e">
        <f>AND('STERLING CATALOG - DRY '!E4408,"AAAAAD9x268=")</f>
        <v>#VALUE!</v>
      </c>
      <c r="FU197" t="e">
        <f>AND('STERLING CATALOG - DRY '!F4408,"AAAAAD9x27A=")</f>
        <v>#VALUE!</v>
      </c>
      <c r="FV197" t="e">
        <f>AND('STERLING CATALOG - DRY '!G4408,"AAAAAD9x27E=")</f>
        <v>#VALUE!</v>
      </c>
      <c r="FW197" t="e">
        <f>AND('STERLING CATALOG - DRY '!H4408,"AAAAAD9x27I=")</f>
        <v>#VALUE!</v>
      </c>
      <c r="FX197" t="e">
        <f>AND('STERLING CATALOG - DRY '!I4408,"AAAAAD9x27M=")</f>
        <v>#VALUE!</v>
      </c>
      <c r="FY197" t="e">
        <f>AND('STERLING CATALOG - DRY '!J4408,"AAAAAD9x27Q=")</f>
        <v>#VALUE!</v>
      </c>
      <c r="FZ197">
        <f>IF('STERLING CATALOG - DRY '!4409:4409,"AAAAAD9x27U=",0)</f>
        <v>0</v>
      </c>
      <c r="GA197" t="e">
        <f>AND('STERLING CATALOG - DRY '!A4409,"AAAAAD9x27Y=")</f>
        <v>#VALUE!</v>
      </c>
      <c r="GB197" t="e">
        <f>AND('STERLING CATALOG - DRY '!B4409,"AAAAAD9x27c=")</f>
        <v>#VALUE!</v>
      </c>
      <c r="GC197" t="e">
        <f>AND('STERLING CATALOG - DRY '!C4409,"AAAAAD9x27g=")</f>
        <v>#VALUE!</v>
      </c>
      <c r="GD197" t="e">
        <f>AND('STERLING CATALOG - DRY '!D4409,"AAAAAD9x27k=")</f>
        <v>#VALUE!</v>
      </c>
      <c r="GE197" t="e">
        <f>AND('STERLING CATALOG - DRY '!E4409,"AAAAAD9x27o=")</f>
        <v>#VALUE!</v>
      </c>
      <c r="GF197" t="e">
        <f>AND('STERLING CATALOG - DRY '!F4409,"AAAAAD9x27s=")</f>
        <v>#VALUE!</v>
      </c>
      <c r="GG197" t="e">
        <f>AND('STERLING CATALOG - DRY '!G4409,"AAAAAD9x27w=")</f>
        <v>#VALUE!</v>
      </c>
      <c r="GH197" t="e">
        <f>AND('STERLING CATALOG - DRY '!H4409,"AAAAAD9x270=")</f>
        <v>#VALUE!</v>
      </c>
      <c r="GI197" t="e">
        <f>AND('STERLING CATALOG - DRY '!I4409,"AAAAAD9x274=")</f>
        <v>#VALUE!</v>
      </c>
      <c r="GJ197" t="e">
        <f>AND('STERLING CATALOG - DRY '!J4409,"AAAAAD9x278=")</f>
        <v>#VALUE!</v>
      </c>
      <c r="GK197">
        <f>IF('STERLING CATALOG - DRY '!4410:4410,"AAAAAD9x28A=",0)</f>
        <v>0</v>
      </c>
      <c r="GL197" t="e">
        <f>AND('STERLING CATALOG - DRY '!A4410,"AAAAAD9x28E=")</f>
        <v>#VALUE!</v>
      </c>
      <c r="GM197" t="e">
        <f>AND('STERLING CATALOG - DRY '!B4410,"AAAAAD9x28I=")</f>
        <v>#VALUE!</v>
      </c>
      <c r="GN197" t="e">
        <f>AND('STERLING CATALOG - DRY '!C4410,"AAAAAD9x28M=")</f>
        <v>#VALUE!</v>
      </c>
      <c r="GO197" t="e">
        <f>AND('STERLING CATALOG - DRY '!D4410,"AAAAAD9x28Q=")</f>
        <v>#VALUE!</v>
      </c>
      <c r="GP197" t="e">
        <f>AND('STERLING CATALOG - DRY '!E4410,"AAAAAD9x28U=")</f>
        <v>#VALUE!</v>
      </c>
      <c r="GQ197" t="e">
        <f>AND('STERLING CATALOG - DRY '!F4410,"AAAAAD9x28Y=")</f>
        <v>#VALUE!</v>
      </c>
      <c r="GR197" t="e">
        <f>AND('STERLING CATALOG - DRY '!G4410,"AAAAAD9x28c=")</f>
        <v>#VALUE!</v>
      </c>
      <c r="GS197" t="e">
        <f>AND('STERLING CATALOG - DRY '!H4410,"AAAAAD9x28g=")</f>
        <v>#VALUE!</v>
      </c>
      <c r="GT197" t="e">
        <f>AND('STERLING CATALOG - DRY '!I4410,"AAAAAD9x28k=")</f>
        <v>#VALUE!</v>
      </c>
      <c r="GU197" t="e">
        <f>AND('STERLING CATALOG - DRY '!J4410,"AAAAAD9x28o=")</f>
        <v>#VALUE!</v>
      </c>
      <c r="GV197">
        <f>IF('STERLING CATALOG - DRY '!4411:4411,"AAAAAD9x28s=",0)</f>
        <v>0</v>
      </c>
      <c r="GW197" t="e">
        <f>AND('STERLING CATALOG - DRY '!A4411,"AAAAAD9x28w=")</f>
        <v>#VALUE!</v>
      </c>
      <c r="GX197" t="e">
        <f>AND('STERLING CATALOG - DRY '!B4411,"AAAAAD9x280=")</f>
        <v>#VALUE!</v>
      </c>
      <c r="GY197" t="e">
        <f>AND('STERLING CATALOG - DRY '!C4411,"AAAAAD9x284=")</f>
        <v>#VALUE!</v>
      </c>
      <c r="GZ197" t="e">
        <f>AND('STERLING CATALOG - DRY '!D4411,"AAAAAD9x288=")</f>
        <v>#VALUE!</v>
      </c>
      <c r="HA197" t="e">
        <f>AND('STERLING CATALOG - DRY '!E4411,"AAAAAD9x29A=")</f>
        <v>#VALUE!</v>
      </c>
      <c r="HB197" t="e">
        <f>AND('STERLING CATALOG - DRY '!F4411,"AAAAAD9x29E=")</f>
        <v>#VALUE!</v>
      </c>
      <c r="HC197" t="e">
        <f>AND('STERLING CATALOG - DRY '!G4411,"AAAAAD9x29I=")</f>
        <v>#VALUE!</v>
      </c>
      <c r="HD197" t="e">
        <f>AND('STERLING CATALOG - DRY '!H4411,"AAAAAD9x29M=")</f>
        <v>#VALUE!</v>
      </c>
      <c r="HE197" t="e">
        <f>AND('STERLING CATALOG - DRY '!I4411,"AAAAAD9x29Q=")</f>
        <v>#VALUE!</v>
      </c>
      <c r="HF197" t="e">
        <f>AND('STERLING CATALOG - DRY '!J4411,"AAAAAD9x29U=")</f>
        <v>#VALUE!</v>
      </c>
      <c r="HG197">
        <f>IF('STERLING CATALOG - DRY '!4412:4412,"AAAAAD9x29Y=",0)</f>
        <v>0</v>
      </c>
      <c r="HH197" t="e">
        <f>AND('STERLING CATALOG - DRY '!A4412,"AAAAAD9x29c=")</f>
        <v>#VALUE!</v>
      </c>
      <c r="HI197" t="e">
        <f>AND('STERLING CATALOG - DRY '!B4412,"AAAAAD9x29g=")</f>
        <v>#VALUE!</v>
      </c>
      <c r="HJ197" t="e">
        <f>AND('STERLING CATALOG - DRY '!C4412,"AAAAAD9x29k=")</f>
        <v>#VALUE!</v>
      </c>
      <c r="HK197" t="e">
        <f>AND('STERLING CATALOG - DRY '!D4412,"AAAAAD9x29o=")</f>
        <v>#VALUE!</v>
      </c>
      <c r="HL197" t="e">
        <f>AND('STERLING CATALOG - DRY '!E4412,"AAAAAD9x29s=")</f>
        <v>#VALUE!</v>
      </c>
      <c r="HM197" t="e">
        <f>AND('STERLING CATALOG - DRY '!F4412,"AAAAAD9x29w=")</f>
        <v>#VALUE!</v>
      </c>
      <c r="HN197" t="e">
        <f>AND('STERLING CATALOG - DRY '!G4412,"AAAAAD9x290=")</f>
        <v>#VALUE!</v>
      </c>
      <c r="HO197" t="e">
        <f>AND('STERLING CATALOG - DRY '!H4412,"AAAAAD9x294=")</f>
        <v>#VALUE!</v>
      </c>
      <c r="HP197" t="e">
        <f>AND('STERLING CATALOG - DRY '!I4412,"AAAAAD9x298=")</f>
        <v>#VALUE!</v>
      </c>
      <c r="HQ197" t="e">
        <f>AND('STERLING CATALOG - DRY '!J4412,"AAAAAD9x2+A=")</f>
        <v>#VALUE!</v>
      </c>
      <c r="HR197">
        <f>IF('STERLING CATALOG - DRY '!4413:4413,"AAAAAD9x2+E=",0)</f>
        <v>0</v>
      </c>
      <c r="HS197" t="e">
        <f>AND('STERLING CATALOG - DRY '!A4413,"AAAAAD9x2+I=")</f>
        <v>#VALUE!</v>
      </c>
      <c r="HT197" t="e">
        <f>AND('STERLING CATALOG - DRY '!B4413,"AAAAAD9x2+M=")</f>
        <v>#VALUE!</v>
      </c>
      <c r="HU197" t="e">
        <f>AND('STERLING CATALOG - DRY '!C4413,"AAAAAD9x2+Q=")</f>
        <v>#VALUE!</v>
      </c>
      <c r="HV197" t="e">
        <f>AND('STERLING CATALOG - DRY '!D4413,"AAAAAD9x2+U=")</f>
        <v>#VALUE!</v>
      </c>
      <c r="HW197" t="e">
        <f>AND('STERLING CATALOG - DRY '!E4413,"AAAAAD9x2+Y=")</f>
        <v>#VALUE!</v>
      </c>
      <c r="HX197" t="e">
        <f>AND('STERLING CATALOG - DRY '!F4413,"AAAAAD9x2+c=")</f>
        <v>#VALUE!</v>
      </c>
      <c r="HY197" t="e">
        <f>AND('STERLING CATALOG - DRY '!G4413,"AAAAAD9x2+g=")</f>
        <v>#VALUE!</v>
      </c>
      <c r="HZ197" t="e">
        <f>AND('STERLING CATALOG - DRY '!H4413,"AAAAAD9x2+k=")</f>
        <v>#VALUE!</v>
      </c>
      <c r="IA197" t="e">
        <f>AND('STERLING CATALOG - DRY '!I4413,"AAAAAD9x2+o=")</f>
        <v>#VALUE!</v>
      </c>
      <c r="IB197" t="e">
        <f>AND('STERLING CATALOG - DRY '!J4413,"AAAAAD9x2+s=")</f>
        <v>#VALUE!</v>
      </c>
      <c r="IC197">
        <f>IF('STERLING CATALOG - DRY '!4414:4414,"AAAAAD9x2+w=",0)</f>
        <v>0</v>
      </c>
      <c r="ID197" t="e">
        <f>AND('STERLING CATALOG - DRY '!A4414,"AAAAAD9x2+0=")</f>
        <v>#VALUE!</v>
      </c>
      <c r="IE197" t="e">
        <f>AND('STERLING CATALOG - DRY '!B4414,"AAAAAD9x2+4=")</f>
        <v>#VALUE!</v>
      </c>
      <c r="IF197" t="e">
        <f>AND('STERLING CATALOG - DRY '!C4414,"AAAAAD9x2+8=")</f>
        <v>#VALUE!</v>
      </c>
      <c r="IG197" t="e">
        <f>AND('STERLING CATALOG - DRY '!D4414,"AAAAAD9x2/A=")</f>
        <v>#VALUE!</v>
      </c>
      <c r="IH197" t="e">
        <f>AND('STERLING CATALOG - DRY '!E4414,"AAAAAD9x2/E=")</f>
        <v>#VALUE!</v>
      </c>
      <c r="II197" t="e">
        <f>AND('STERLING CATALOG - DRY '!F4414,"AAAAAD9x2/I=")</f>
        <v>#VALUE!</v>
      </c>
      <c r="IJ197" t="e">
        <f>AND('STERLING CATALOG - DRY '!G4414,"AAAAAD9x2/M=")</f>
        <v>#VALUE!</v>
      </c>
      <c r="IK197" t="e">
        <f>AND('STERLING CATALOG - DRY '!H4414,"AAAAAD9x2/Q=")</f>
        <v>#VALUE!</v>
      </c>
      <c r="IL197" t="e">
        <f>AND('STERLING CATALOG - DRY '!I4414,"AAAAAD9x2/U=")</f>
        <v>#VALUE!</v>
      </c>
      <c r="IM197" t="e">
        <f>AND('STERLING CATALOG - DRY '!J4414,"AAAAAD9x2/Y=")</f>
        <v>#VALUE!</v>
      </c>
      <c r="IN197">
        <f>IF('STERLING CATALOG - DRY '!4415:4415,"AAAAAD9x2/c=",0)</f>
        <v>0</v>
      </c>
      <c r="IO197" t="e">
        <f>AND('STERLING CATALOG - DRY '!A4415,"AAAAAD9x2/g=")</f>
        <v>#VALUE!</v>
      </c>
      <c r="IP197" t="e">
        <f>AND('STERLING CATALOG - DRY '!B4415,"AAAAAD9x2/k=")</f>
        <v>#VALUE!</v>
      </c>
      <c r="IQ197" t="e">
        <f>AND('STERLING CATALOG - DRY '!C4415,"AAAAAD9x2/o=")</f>
        <v>#VALUE!</v>
      </c>
      <c r="IR197" t="e">
        <f>AND('STERLING CATALOG - DRY '!D4415,"AAAAAD9x2/s=")</f>
        <v>#VALUE!</v>
      </c>
      <c r="IS197" t="e">
        <f>AND('STERLING CATALOG - DRY '!E4415,"AAAAAD9x2/w=")</f>
        <v>#VALUE!</v>
      </c>
      <c r="IT197" t="e">
        <f>AND('STERLING CATALOG - DRY '!F4415,"AAAAAD9x2/0=")</f>
        <v>#VALUE!</v>
      </c>
      <c r="IU197" t="e">
        <f>AND('STERLING CATALOG - DRY '!G4415,"AAAAAD9x2/4=")</f>
        <v>#VALUE!</v>
      </c>
      <c r="IV197" t="e">
        <f>AND('STERLING CATALOG - DRY '!H4415,"AAAAAD9x2/8=")</f>
        <v>#VALUE!</v>
      </c>
    </row>
    <row r="198" spans="1:256">
      <c r="A198" t="e">
        <f>AND('STERLING CATALOG - DRY '!I4415,"AAAAAG9v5wA=")</f>
        <v>#VALUE!</v>
      </c>
      <c r="B198" t="e">
        <f>AND('STERLING CATALOG - DRY '!J4415,"AAAAAG9v5wE=")</f>
        <v>#VALUE!</v>
      </c>
      <c r="C198" t="str">
        <f>IF('STERLING CATALOG - DRY '!4416:4416,"AAAAAG9v5wI=",0)</f>
        <v>AAAAAG9v5wI=</v>
      </c>
      <c r="D198" t="e">
        <f>AND('STERLING CATALOG - DRY '!A4416,"AAAAAG9v5wM=")</f>
        <v>#VALUE!</v>
      </c>
      <c r="E198" t="e">
        <f>AND('STERLING CATALOG - DRY '!B4416,"AAAAAG9v5wQ=")</f>
        <v>#VALUE!</v>
      </c>
      <c r="F198" t="e">
        <f>AND('STERLING CATALOG - DRY '!C4416,"AAAAAG9v5wU=")</f>
        <v>#VALUE!</v>
      </c>
      <c r="G198" t="e">
        <f>AND('STERLING CATALOG - DRY '!D4416,"AAAAAG9v5wY=")</f>
        <v>#VALUE!</v>
      </c>
      <c r="H198" t="e">
        <f>AND('STERLING CATALOG - DRY '!E4416,"AAAAAG9v5wc=")</f>
        <v>#VALUE!</v>
      </c>
      <c r="I198" t="e">
        <f>AND('STERLING CATALOG - DRY '!F4416,"AAAAAG9v5wg=")</f>
        <v>#VALUE!</v>
      </c>
      <c r="J198" t="e">
        <f>AND('STERLING CATALOG - DRY '!G4416,"AAAAAG9v5wk=")</f>
        <v>#VALUE!</v>
      </c>
      <c r="K198" t="e">
        <f>AND('STERLING CATALOG - DRY '!H4416,"AAAAAG9v5wo=")</f>
        <v>#VALUE!</v>
      </c>
      <c r="L198" t="e">
        <f>AND('STERLING CATALOG - DRY '!I4416,"AAAAAG9v5ws=")</f>
        <v>#VALUE!</v>
      </c>
      <c r="M198" t="e">
        <f>AND('STERLING CATALOG - DRY '!J4416,"AAAAAG9v5ww=")</f>
        <v>#VALUE!</v>
      </c>
      <c r="N198">
        <f>IF('STERLING CATALOG - DRY '!4417:4417,"AAAAAG9v5w0=",0)</f>
        <v>0</v>
      </c>
      <c r="O198" t="e">
        <f>AND('STERLING CATALOG - DRY '!A4417,"AAAAAG9v5w4=")</f>
        <v>#VALUE!</v>
      </c>
      <c r="P198" t="e">
        <f>AND('STERLING CATALOG - DRY '!B4417,"AAAAAG9v5w8=")</f>
        <v>#VALUE!</v>
      </c>
      <c r="Q198" t="e">
        <f>AND('STERLING CATALOG - DRY '!C4417,"AAAAAG9v5xA=")</f>
        <v>#VALUE!</v>
      </c>
      <c r="R198" t="e">
        <f>AND('STERLING CATALOG - DRY '!D4417,"AAAAAG9v5xE=")</f>
        <v>#VALUE!</v>
      </c>
      <c r="S198" t="e">
        <f>AND('STERLING CATALOG - DRY '!E4417,"AAAAAG9v5xI=")</f>
        <v>#VALUE!</v>
      </c>
      <c r="T198" t="e">
        <f>AND('STERLING CATALOG - DRY '!F4417,"AAAAAG9v5xM=")</f>
        <v>#VALUE!</v>
      </c>
      <c r="U198" t="e">
        <f>AND('STERLING CATALOG - DRY '!G4417,"AAAAAG9v5xQ=")</f>
        <v>#VALUE!</v>
      </c>
      <c r="V198" t="e">
        <f>AND('STERLING CATALOG - DRY '!H4417,"AAAAAG9v5xU=")</f>
        <v>#VALUE!</v>
      </c>
      <c r="W198" t="e">
        <f>AND('STERLING CATALOG - DRY '!I4417,"AAAAAG9v5xY=")</f>
        <v>#VALUE!</v>
      </c>
      <c r="X198" t="e">
        <f>AND('STERLING CATALOG - DRY '!J4417,"AAAAAG9v5xc=")</f>
        <v>#VALUE!</v>
      </c>
      <c r="Y198">
        <f>IF('STERLING CATALOG - DRY '!4418:4418,"AAAAAG9v5xg=",0)</f>
        <v>0</v>
      </c>
      <c r="Z198" t="e">
        <f>AND('STERLING CATALOG - DRY '!A4418,"AAAAAG9v5xk=")</f>
        <v>#VALUE!</v>
      </c>
      <c r="AA198" t="e">
        <f>AND('STERLING CATALOG - DRY '!B4418,"AAAAAG9v5xo=")</f>
        <v>#VALUE!</v>
      </c>
      <c r="AB198" t="e">
        <f>AND('STERLING CATALOG - DRY '!C4418,"AAAAAG9v5xs=")</f>
        <v>#VALUE!</v>
      </c>
      <c r="AC198" t="e">
        <f>AND('STERLING CATALOG - DRY '!D4418,"AAAAAG9v5xw=")</f>
        <v>#VALUE!</v>
      </c>
      <c r="AD198" t="e">
        <f>AND('STERLING CATALOG - DRY '!E4418,"AAAAAG9v5x0=")</f>
        <v>#VALUE!</v>
      </c>
      <c r="AE198" t="e">
        <f>AND('STERLING CATALOG - DRY '!F4418,"AAAAAG9v5x4=")</f>
        <v>#VALUE!</v>
      </c>
      <c r="AF198" t="e">
        <f>AND('STERLING CATALOG - DRY '!G4418,"AAAAAG9v5x8=")</f>
        <v>#VALUE!</v>
      </c>
      <c r="AG198" t="e">
        <f>AND('STERLING CATALOG - DRY '!H4418,"AAAAAG9v5yA=")</f>
        <v>#VALUE!</v>
      </c>
      <c r="AH198" t="e">
        <f>AND('STERLING CATALOG - DRY '!I4418,"AAAAAG9v5yE=")</f>
        <v>#VALUE!</v>
      </c>
      <c r="AI198" t="e">
        <f>AND('STERLING CATALOG - DRY '!J4418,"AAAAAG9v5yI=")</f>
        <v>#VALUE!</v>
      </c>
      <c r="AJ198">
        <f>IF('STERLING CATALOG - DRY '!4419:4419,"AAAAAG9v5yM=",0)</f>
        <v>0</v>
      </c>
      <c r="AK198" t="e">
        <f>AND('STERLING CATALOG - DRY '!A4419,"AAAAAG9v5yQ=")</f>
        <v>#VALUE!</v>
      </c>
      <c r="AL198" t="e">
        <f>AND('STERLING CATALOG - DRY '!B4419,"AAAAAG9v5yU=")</f>
        <v>#VALUE!</v>
      </c>
      <c r="AM198" t="e">
        <f>AND('STERLING CATALOG - DRY '!C4419,"AAAAAG9v5yY=")</f>
        <v>#VALUE!</v>
      </c>
      <c r="AN198" t="e">
        <f>AND('STERLING CATALOG - DRY '!D4419,"AAAAAG9v5yc=")</f>
        <v>#VALUE!</v>
      </c>
      <c r="AO198" t="e">
        <f>AND('STERLING CATALOG - DRY '!E4419,"AAAAAG9v5yg=")</f>
        <v>#VALUE!</v>
      </c>
      <c r="AP198" t="e">
        <f>AND('STERLING CATALOG - DRY '!F4419,"AAAAAG9v5yk=")</f>
        <v>#VALUE!</v>
      </c>
      <c r="AQ198" t="e">
        <f>AND('STERLING CATALOG - DRY '!G4419,"AAAAAG9v5yo=")</f>
        <v>#VALUE!</v>
      </c>
      <c r="AR198" t="e">
        <f>AND('STERLING CATALOG - DRY '!H4419,"AAAAAG9v5ys=")</f>
        <v>#VALUE!</v>
      </c>
      <c r="AS198" t="e">
        <f>AND('STERLING CATALOG - DRY '!I4419,"AAAAAG9v5yw=")</f>
        <v>#VALUE!</v>
      </c>
      <c r="AT198" t="e">
        <f>AND('STERLING CATALOG - DRY '!J4419,"AAAAAG9v5y0=")</f>
        <v>#VALUE!</v>
      </c>
      <c r="AU198">
        <f>IF('STERLING CATALOG - DRY '!4420:4420,"AAAAAG9v5y4=",0)</f>
        <v>0</v>
      </c>
      <c r="AV198" t="e">
        <f>AND('STERLING CATALOG - DRY '!A4420,"AAAAAG9v5y8=")</f>
        <v>#VALUE!</v>
      </c>
      <c r="AW198" t="e">
        <f>AND('STERLING CATALOG - DRY '!B4420,"AAAAAG9v5zA=")</f>
        <v>#VALUE!</v>
      </c>
      <c r="AX198" t="e">
        <f>AND('STERLING CATALOG - DRY '!C4420,"AAAAAG9v5zE=")</f>
        <v>#VALUE!</v>
      </c>
      <c r="AY198" t="e">
        <f>AND('STERLING CATALOG - DRY '!D4420,"AAAAAG9v5zI=")</f>
        <v>#VALUE!</v>
      </c>
      <c r="AZ198" t="e">
        <f>AND('STERLING CATALOG - DRY '!E4420,"AAAAAG9v5zM=")</f>
        <v>#VALUE!</v>
      </c>
      <c r="BA198" t="e">
        <f>AND('STERLING CATALOG - DRY '!F4420,"AAAAAG9v5zQ=")</f>
        <v>#VALUE!</v>
      </c>
      <c r="BB198" t="e">
        <f>AND('STERLING CATALOG - DRY '!G4420,"AAAAAG9v5zU=")</f>
        <v>#VALUE!</v>
      </c>
      <c r="BC198" t="e">
        <f>AND('STERLING CATALOG - DRY '!H4420,"AAAAAG9v5zY=")</f>
        <v>#VALUE!</v>
      </c>
      <c r="BD198" t="e">
        <f>AND('STERLING CATALOG - DRY '!I4420,"AAAAAG9v5zc=")</f>
        <v>#VALUE!</v>
      </c>
      <c r="BE198" t="e">
        <f>AND('STERLING CATALOG - DRY '!J4420,"AAAAAG9v5zg=")</f>
        <v>#VALUE!</v>
      </c>
      <c r="BF198">
        <f>IF('STERLING CATALOG - DRY '!4421:4421,"AAAAAG9v5zk=",0)</f>
        <v>0</v>
      </c>
      <c r="BG198" t="e">
        <f>AND('STERLING CATALOG - DRY '!A4421,"AAAAAG9v5zo=")</f>
        <v>#VALUE!</v>
      </c>
      <c r="BH198" t="e">
        <f>AND('STERLING CATALOG - DRY '!B4421,"AAAAAG9v5zs=")</f>
        <v>#VALUE!</v>
      </c>
      <c r="BI198" t="e">
        <f>AND('STERLING CATALOG - DRY '!C4421,"AAAAAG9v5zw=")</f>
        <v>#VALUE!</v>
      </c>
      <c r="BJ198" t="e">
        <f>AND('STERLING CATALOG - DRY '!D4421,"AAAAAG9v5z0=")</f>
        <v>#VALUE!</v>
      </c>
      <c r="BK198" t="e">
        <f>AND('STERLING CATALOG - DRY '!E4421,"AAAAAG9v5z4=")</f>
        <v>#VALUE!</v>
      </c>
      <c r="BL198" t="e">
        <f>AND('STERLING CATALOG - DRY '!F4421,"AAAAAG9v5z8=")</f>
        <v>#VALUE!</v>
      </c>
      <c r="BM198" t="e">
        <f>AND('STERLING CATALOG - DRY '!G4421,"AAAAAG9v50A=")</f>
        <v>#VALUE!</v>
      </c>
      <c r="BN198" t="e">
        <f>AND('STERLING CATALOG - DRY '!H4421,"AAAAAG9v50E=")</f>
        <v>#VALUE!</v>
      </c>
      <c r="BO198" t="e">
        <f>AND('STERLING CATALOG - DRY '!I4421,"AAAAAG9v50I=")</f>
        <v>#VALUE!</v>
      </c>
      <c r="BP198" t="e">
        <f>AND('STERLING CATALOG - DRY '!J4421,"AAAAAG9v50M=")</f>
        <v>#VALUE!</v>
      </c>
      <c r="BQ198">
        <f>IF('STERLING CATALOG - DRY '!4422:4422,"AAAAAG9v50Q=",0)</f>
        <v>0</v>
      </c>
      <c r="BR198" t="e">
        <f>AND('STERLING CATALOG - DRY '!A4422,"AAAAAG9v50U=")</f>
        <v>#VALUE!</v>
      </c>
      <c r="BS198" t="e">
        <f>AND('STERLING CATALOG - DRY '!B4422,"AAAAAG9v50Y=")</f>
        <v>#VALUE!</v>
      </c>
      <c r="BT198" t="e">
        <f>AND('STERLING CATALOG - DRY '!C4422,"AAAAAG9v50c=")</f>
        <v>#VALUE!</v>
      </c>
      <c r="BU198" t="e">
        <f>AND('STERLING CATALOG - DRY '!D4422,"AAAAAG9v50g=")</f>
        <v>#VALUE!</v>
      </c>
      <c r="BV198" t="e">
        <f>AND('STERLING CATALOG - DRY '!E4422,"AAAAAG9v50k=")</f>
        <v>#VALUE!</v>
      </c>
      <c r="BW198" t="e">
        <f>AND('STERLING CATALOG - DRY '!F4422,"AAAAAG9v50o=")</f>
        <v>#VALUE!</v>
      </c>
      <c r="BX198" t="e">
        <f>AND('STERLING CATALOG - DRY '!G4422,"AAAAAG9v50s=")</f>
        <v>#VALUE!</v>
      </c>
      <c r="BY198" t="e">
        <f>AND('STERLING CATALOG - DRY '!H4422,"AAAAAG9v50w=")</f>
        <v>#VALUE!</v>
      </c>
      <c r="BZ198" t="e">
        <f>AND('STERLING CATALOG - DRY '!I4422,"AAAAAG9v500=")</f>
        <v>#VALUE!</v>
      </c>
      <c r="CA198" t="e">
        <f>AND('STERLING CATALOG - DRY '!J4422,"AAAAAG9v504=")</f>
        <v>#VALUE!</v>
      </c>
      <c r="CB198">
        <f>IF('STERLING CATALOG - DRY '!4423:4423,"AAAAAG9v508=",0)</f>
        <v>0</v>
      </c>
      <c r="CC198" t="e">
        <f>AND('STERLING CATALOG - DRY '!A4423,"AAAAAG9v51A=")</f>
        <v>#VALUE!</v>
      </c>
      <c r="CD198" t="e">
        <f>AND('STERLING CATALOG - DRY '!B4423,"AAAAAG9v51E=")</f>
        <v>#VALUE!</v>
      </c>
      <c r="CE198" t="e">
        <f>AND('STERLING CATALOG - DRY '!C4423,"AAAAAG9v51I=")</f>
        <v>#VALUE!</v>
      </c>
      <c r="CF198" t="e">
        <f>AND('STERLING CATALOG - DRY '!D4423,"AAAAAG9v51M=")</f>
        <v>#VALUE!</v>
      </c>
      <c r="CG198" t="e">
        <f>AND('STERLING CATALOG - DRY '!E4423,"AAAAAG9v51Q=")</f>
        <v>#VALUE!</v>
      </c>
      <c r="CH198" t="e">
        <f>AND('STERLING CATALOG - DRY '!F4423,"AAAAAG9v51U=")</f>
        <v>#VALUE!</v>
      </c>
      <c r="CI198" t="e">
        <f>AND('STERLING CATALOG - DRY '!G4423,"AAAAAG9v51Y=")</f>
        <v>#VALUE!</v>
      </c>
      <c r="CJ198" t="e">
        <f>AND('STERLING CATALOG - DRY '!H4423,"AAAAAG9v51c=")</f>
        <v>#VALUE!</v>
      </c>
      <c r="CK198" t="e">
        <f>AND('STERLING CATALOG - DRY '!I4423,"AAAAAG9v51g=")</f>
        <v>#VALUE!</v>
      </c>
      <c r="CL198" t="e">
        <f>AND('STERLING CATALOG - DRY '!J4423,"AAAAAG9v51k=")</f>
        <v>#VALUE!</v>
      </c>
      <c r="CM198">
        <f>IF('STERLING CATALOG - DRY '!4424:4424,"AAAAAG9v51o=",0)</f>
        <v>0</v>
      </c>
      <c r="CN198" t="e">
        <f>AND('STERLING CATALOG - DRY '!A4424,"AAAAAG9v51s=")</f>
        <v>#VALUE!</v>
      </c>
      <c r="CO198" t="e">
        <f>AND('STERLING CATALOG - DRY '!B4424,"AAAAAG9v51w=")</f>
        <v>#VALUE!</v>
      </c>
      <c r="CP198" t="e">
        <f>AND('STERLING CATALOG - DRY '!C4424,"AAAAAG9v510=")</f>
        <v>#VALUE!</v>
      </c>
      <c r="CQ198" t="e">
        <f>AND('STERLING CATALOG - DRY '!D4424,"AAAAAG9v514=")</f>
        <v>#VALUE!</v>
      </c>
      <c r="CR198" t="e">
        <f>AND('STERLING CATALOG - DRY '!E4424,"AAAAAG9v518=")</f>
        <v>#VALUE!</v>
      </c>
      <c r="CS198" t="e">
        <f>AND('STERLING CATALOG - DRY '!F4424,"AAAAAG9v52A=")</f>
        <v>#VALUE!</v>
      </c>
      <c r="CT198" t="e">
        <f>AND('STERLING CATALOG - DRY '!G4424,"AAAAAG9v52E=")</f>
        <v>#VALUE!</v>
      </c>
      <c r="CU198" t="e">
        <f>AND('STERLING CATALOG - DRY '!H4424,"AAAAAG9v52I=")</f>
        <v>#VALUE!</v>
      </c>
      <c r="CV198" t="e">
        <f>AND('STERLING CATALOG - DRY '!I4424,"AAAAAG9v52M=")</f>
        <v>#VALUE!</v>
      </c>
      <c r="CW198" t="e">
        <f>AND('STERLING CATALOG - DRY '!J4424,"AAAAAG9v52Q=")</f>
        <v>#VALUE!</v>
      </c>
      <c r="CX198">
        <f>IF('STERLING CATALOG - DRY '!4425:4425,"AAAAAG9v52U=",0)</f>
        <v>0</v>
      </c>
      <c r="CY198" t="e">
        <f>AND('STERLING CATALOG - DRY '!A4425,"AAAAAG9v52Y=")</f>
        <v>#VALUE!</v>
      </c>
      <c r="CZ198" t="e">
        <f>AND('STERLING CATALOG - DRY '!B4425,"AAAAAG9v52c=")</f>
        <v>#VALUE!</v>
      </c>
      <c r="DA198" t="e">
        <f>AND('STERLING CATALOG - DRY '!C4425,"AAAAAG9v52g=")</f>
        <v>#VALUE!</v>
      </c>
      <c r="DB198" t="e">
        <f>AND('STERLING CATALOG - DRY '!D4425,"AAAAAG9v52k=")</f>
        <v>#VALUE!</v>
      </c>
      <c r="DC198" t="e">
        <f>AND('STERLING CATALOG - DRY '!E4425,"AAAAAG9v52o=")</f>
        <v>#VALUE!</v>
      </c>
      <c r="DD198" t="e">
        <f>AND('STERLING CATALOG - DRY '!F4425,"AAAAAG9v52s=")</f>
        <v>#VALUE!</v>
      </c>
      <c r="DE198" t="e">
        <f>AND('STERLING CATALOG - DRY '!G4425,"AAAAAG9v52w=")</f>
        <v>#VALUE!</v>
      </c>
      <c r="DF198" t="e">
        <f>AND('STERLING CATALOG - DRY '!H4425,"AAAAAG9v520=")</f>
        <v>#VALUE!</v>
      </c>
      <c r="DG198" t="e">
        <f>AND('STERLING CATALOG - DRY '!I4425,"AAAAAG9v524=")</f>
        <v>#VALUE!</v>
      </c>
      <c r="DH198" t="e">
        <f>AND('STERLING CATALOG - DRY '!J4425,"AAAAAG9v528=")</f>
        <v>#VALUE!</v>
      </c>
      <c r="DI198">
        <f>IF('STERLING CATALOG - DRY '!4426:4426,"AAAAAG9v53A=",0)</f>
        <v>0</v>
      </c>
      <c r="DJ198" t="e">
        <f>AND('STERLING CATALOG - DRY '!A4426,"AAAAAG9v53E=")</f>
        <v>#VALUE!</v>
      </c>
      <c r="DK198" t="e">
        <f>AND('STERLING CATALOG - DRY '!B4426,"AAAAAG9v53I=")</f>
        <v>#VALUE!</v>
      </c>
      <c r="DL198" t="e">
        <f>AND('STERLING CATALOG - DRY '!C4426,"AAAAAG9v53M=")</f>
        <v>#VALUE!</v>
      </c>
      <c r="DM198" t="e">
        <f>AND('STERLING CATALOG - DRY '!D4426,"AAAAAG9v53Q=")</f>
        <v>#VALUE!</v>
      </c>
      <c r="DN198" t="e">
        <f>AND('STERLING CATALOG - DRY '!E4426,"AAAAAG9v53U=")</f>
        <v>#VALUE!</v>
      </c>
      <c r="DO198" t="e">
        <f>AND('STERLING CATALOG - DRY '!F4426,"AAAAAG9v53Y=")</f>
        <v>#VALUE!</v>
      </c>
      <c r="DP198" t="e">
        <f>AND('STERLING CATALOG - DRY '!G4426,"AAAAAG9v53c=")</f>
        <v>#VALUE!</v>
      </c>
      <c r="DQ198" t="e">
        <f>AND('STERLING CATALOG - DRY '!H4426,"AAAAAG9v53g=")</f>
        <v>#VALUE!</v>
      </c>
      <c r="DR198" t="e">
        <f>AND('STERLING CATALOG - DRY '!I4426,"AAAAAG9v53k=")</f>
        <v>#VALUE!</v>
      </c>
      <c r="DS198" t="e">
        <f>AND('STERLING CATALOG - DRY '!J4426,"AAAAAG9v53o=")</f>
        <v>#VALUE!</v>
      </c>
      <c r="DT198">
        <f>IF('STERLING CATALOG - DRY '!4427:4427,"AAAAAG9v53s=",0)</f>
        <v>0</v>
      </c>
      <c r="DU198" t="e">
        <f>AND('STERLING CATALOG - DRY '!A4427,"AAAAAG9v53w=")</f>
        <v>#VALUE!</v>
      </c>
      <c r="DV198" t="e">
        <f>AND('STERLING CATALOG - DRY '!B4427,"AAAAAG9v530=")</f>
        <v>#VALUE!</v>
      </c>
      <c r="DW198" t="e">
        <f>AND('STERLING CATALOG - DRY '!C4427,"AAAAAG9v534=")</f>
        <v>#VALUE!</v>
      </c>
      <c r="DX198" t="e">
        <f>AND('STERLING CATALOG - DRY '!D4427,"AAAAAG9v538=")</f>
        <v>#VALUE!</v>
      </c>
      <c r="DY198" t="e">
        <f>AND('STERLING CATALOG - DRY '!E4427,"AAAAAG9v54A=")</f>
        <v>#VALUE!</v>
      </c>
      <c r="DZ198" t="e">
        <f>AND('STERLING CATALOG - DRY '!F4427,"AAAAAG9v54E=")</f>
        <v>#VALUE!</v>
      </c>
      <c r="EA198" t="e">
        <f>AND('STERLING CATALOG - DRY '!G4427,"AAAAAG9v54I=")</f>
        <v>#VALUE!</v>
      </c>
      <c r="EB198" t="e">
        <f>AND('STERLING CATALOG - DRY '!H4427,"AAAAAG9v54M=")</f>
        <v>#VALUE!</v>
      </c>
      <c r="EC198" t="e">
        <f>AND('STERLING CATALOG - DRY '!I4427,"AAAAAG9v54Q=")</f>
        <v>#VALUE!</v>
      </c>
      <c r="ED198" t="e">
        <f>AND('STERLING CATALOG - DRY '!J4427,"AAAAAG9v54U=")</f>
        <v>#VALUE!</v>
      </c>
      <c r="EE198">
        <f>IF('STERLING CATALOG - DRY '!4428:4428,"AAAAAG9v54Y=",0)</f>
        <v>0</v>
      </c>
      <c r="EF198" t="e">
        <f>AND('STERLING CATALOG - DRY '!A4428,"AAAAAG9v54c=")</f>
        <v>#VALUE!</v>
      </c>
      <c r="EG198" t="e">
        <f>AND('STERLING CATALOG - DRY '!B4428,"AAAAAG9v54g=")</f>
        <v>#VALUE!</v>
      </c>
      <c r="EH198" t="e">
        <f>AND('STERLING CATALOG - DRY '!C4428,"AAAAAG9v54k=")</f>
        <v>#VALUE!</v>
      </c>
      <c r="EI198" t="e">
        <f>AND('STERLING CATALOG - DRY '!D4428,"AAAAAG9v54o=")</f>
        <v>#VALUE!</v>
      </c>
      <c r="EJ198" t="e">
        <f>AND('STERLING CATALOG - DRY '!E4428,"AAAAAG9v54s=")</f>
        <v>#VALUE!</v>
      </c>
      <c r="EK198" t="e">
        <f>AND('STERLING CATALOG - DRY '!F4428,"AAAAAG9v54w=")</f>
        <v>#VALUE!</v>
      </c>
      <c r="EL198" t="e">
        <f>AND('STERLING CATALOG - DRY '!G4428,"AAAAAG9v540=")</f>
        <v>#VALUE!</v>
      </c>
      <c r="EM198" t="e">
        <f>AND('STERLING CATALOG - DRY '!H4428,"AAAAAG9v544=")</f>
        <v>#VALUE!</v>
      </c>
      <c r="EN198" t="e">
        <f>AND('STERLING CATALOG - DRY '!I4428,"AAAAAG9v548=")</f>
        <v>#VALUE!</v>
      </c>
      <c r="EO198" t="e">
        <f>AND('STERLING CATALOG - DRY '!J4428,"AAAAAG9v55A=")</f>
        <v>#VALUE!</v>
      </c>
      <c r="EP198">
        <f>IF('STERLING CATALOG - DRY '!4429:4429,"AAAAAG9v55E=",0)</f>
        <v>0</v>
      </c>
      <c r="EQ198" t="e">
        <f>AND('STERLING CATALOG - DRY '!A4429,"AAAAAG9v55I=")</f>
        <v>#VALUE!</v>
      </c>
      <c r="ER198" t="e">
        <f>AND('STERLING CATALOG - DRY '!B4429,"AAAAAG9v55M=")</f>
        <v>#VALUE!</v>
      </c>
      <c r="ES198" t="e">
        <f>AND('STERLING CATALOG - DRY '!C4429,"AAAAAG9v55Q=")</f>
        <v>#VALUE!</v>
      </c>
      <c r="ET198" t="e">
        <f>AND('STERLING CATALOG - DRY '!D4429,"AAAAAG9v55U=")</f>
        <v>#VALUE!</v>
      </c>
      <c r="EU198" t="e">
        <f>AND('STERLING CATALOG - DRY '!E4429,"AAAAAG9v55Y=")</f>
        <v>#VALUE!</v>
      </c>
      <c r="EV198" t="e">
        <f>AND('STERLING CATALOG - DRY '!F4429,"AAAAAG9v55c=")</f>
        <v>#VALUE!</v>
      </c>
      <c r="EW198" t="e">
        <f>AND('STERLING CATALOG - DRY '!G4429,"AAAAAG9v55g=")</f>
        <v>#VALUE!</v>
      </c>
      <c r="EX198" t="e">
        <f>AND('STERLING CATALOG - DRY '!H4429,"AAAAAG9v55k=")</f>
        <v>#VALUE!</v>
      </c>
      <c r="EY198" t="e">
        <f>AND('STERLING CATALOG - DRY '!I4429,"AAAAAG9v55o=")</f>
        <v>#VALUE!</v>
      </c>
      <c r="EZ198" t="e">
        <f>AND('STERLING CATALOG - DRY '!J4429,"AAAAAG9v55s=")</f>
        <v>#VALUE!</v>
      </c>
      <c r="FA198">
        <f>IF('STERLING CATALOG - DRY '!4430:4430,"AAAAAG9v55w=",0)</f>
        <v>0</v>
      </c>
      <c r="FB198" t="e">
        <f>AND('STERLING CATALOG - DRY '!A4430,"AAAAAG9v550=")</f>
        <v>#VALUE!</v>
      </c>
      <c r="FC198" t="e">
        <f>AND('STERLING CATALOG - DRY '!B4430,"AAAAAG9v554=")</f>
        <v>#VALUE!</v>
      </c>
      <c r="FD198" t="e">
        <f>AND('STERLING CATALOG - DRY '!C4430,"AAAAAG9v558=")</f>
        <v>#VALUE!</v>
      </c>
      <c r="FE198" t="e">
        <f>AND('STERLING CATALOG - DRY '!D4430,"AAAAAG9v56A=")</f>
        <v>#VALUE!</v>
      </c>
      <c r="FF198" t="e">
        <f>AND('STERLING CATALOG - DRY '!E4430,"AAAAAG9v56E=")</f>
        <v>#VALUE!</v>
      </c>
      <c r="FG198" t="e">
        <f>AND('STERLING CATALOG - DRY '!F4430,"AAAAAG9v56I=")</f>
        <v>#VALUE!</v>
      </c>
      <c r="FH198" t="e">
        <f>AND('STERLING CATALOG - DRY '!G4430,"AAAAAG9v56M=")</f>
        <v>#VALUE!</v>
      </c>
      <c r="FI198" t="e">
        <f>AND('STERLING CATALOG - DRY '!H4430,"AAAAAG9v56Q=")</f>
        <v>#VALUE!</v>
      </c>
      <c r="FJ198" t="e">
        <f>AND('STERLING CATALOG - DRY '!I4430,"AAAAAG9v56U=")</f>
        <v>#VALUE!</v>
      </c>
      <c r="FK198" t="e">
        <f>AND('STERLING CATALOG - DRY '!J4430,"AAAAAG9v56Y=")</f>
        <v>#VALUE!</v>
      </c>
      <c r="FL198">
        <f>IF('STERLING CATALOG - DRY '!4431:4431,"AAAAAG9v56c=",0)</f>
        <v>0</v>
      </c>
      <c r="FM198" t="e">
        <f>AND('STERLING CATALOG - DRY '!A4431,"AAAAAG9v56g=")</f>
        <v>#VALUE!</v>
      </c>
      <c r="FN198" t="e">
        <f>AND('STERLING CATALOG - DRY '!B4431,"AAAAAG9v56k=")</f>
        <v>#VALUE!</v>
      </c>
      <c r="FO198" t="e">
        <f>AND('STERLING CATALOG - DRY '!C4431,"AAAAAG9v56o=")</f>
        <v>#VALUE!</v>
      </c>
      <c r="FP198" t="e">
        <f>AND('STERLING CATALOG - DRY '!D4431,"AAAAAG9v56s=")</f>
        <v>#VALUE!</v>
      </c>
      <c r="FQ198" t="e">
        <f>AND('STERLING CATALOG - DRY '!E4431,"AAAAAG9v56w=")</f>
        <v>#VALUE!</v>
      </c>
      <c r="FR198" t="e">
        <f>AND('STERLING CATALOG - DRY '!F4431,"AAAAAG9v560=")</f>
        <v>#VALUE!</v>
      </c>
      <c r="FS198" t="e">
        <f>AND('STERLING CATALOG - DRY '!G4431,"AAAAAG9v564=")</f>
        <v>#VALUE!</v>
      </c>
      <c r="FT198" t="e">
        <f>AND('STERLING CATALOG - DRY '!H4431,"AAAAAG9v568=")</f>
        <v>#VALUE!</v>
      </c>
      <c r="FU198" t="e">
        <f>AND('STERLING CATALOG - DRY '!I4431,"AAAAAG9v57A=")</f>
        <v>#VALUE!</v>
      </c>
      <c r="FV198" t="e">
        <f>AND('STERLING CATALOG - DRY '!J4431,"AAAAAG9v57E=")</f>
        <v>#VALUE!</v>
      </c>
      <c r="FW198">
        <f>IF('STERLING CATALOG - DRY '!4432:4432,"AAAAAG9v57I=",0)</f>
        <v>0</v>
      </c>
      <c r="FX198" t="e">
        <f>AND('STERLING CATALOG - DRY '!A4432,"AAAAAG9v57M=")</f>
        <v>#VALUE!</v>
      </c>
      <c r="FY198" t="e">
        <f>AND('STERLING CATALOG - DRY '!B4432,"AAAAAG9v57Q=")</f>
        <v>#VALUE!</v>
      </c>
      <c r="FZ198" t="e">
        <f>AND('STERLING CATALOG - DRY '!C4432,"AAAAAG9v57U=")</f>
        <v>#VALUE!</v>
      </c>
      <c r="GA198" t="e">
        <f>AND('STERLING CATALOG - DRY '!D4432,"AAAAAG9v57Y=")</f>
        <v>#VALUE!</v>
      </c>
      <c r="GB198" t="e">
        <f>AND('STERLING CATALOG - DRY '!E4432,"AAAAAG9v57c=")</f>
        <v>#VALUE!</v>
      </c>
      <c r="GC198" t="e">
        <f>AND('STERLING CATALOG - DRY '!F4432,"AAAAAG9v57g=")</f>
        <v>#VALUE!</v>
      </c>
      <c r="GD198" t="e">
        <f>AND('STERLING CATALOG - DRY '!G4432,"AAAAAG9v57k=")</f>
        <v>#VALUE!</v>
      </c>
      <c r="GE198" t="e">
        <f>AND('STERLING CATALOG - DRY '!H4432,"AAAAAG9v57o=")</f>
        <v>#VALUE!</v>
      </c>
      <c r="GF198" t="e">
        <f>AND('STERLING CATALOG - DRY '!I4432,"AAAAAG9v57s=")</f>
        <v>#VALUE!</v>
      </c>
      <c r="GG198" t="e">
        <f>AND('STERLING CATALOG - DRY '!J4432,"AAAAAG9v57w=")</f>
        <v>#VALUE!</v>
      </c>
      <c r="GH198">
        <f>IF('STERLING CATALOG - DRY '!4433:4433,"AAAAAG9v570=",0)</f>
        <v>0</v>
      </c>
      <c r="GI198" t="e">
        <f>AND('STERLING CATALOG - DRY '!A4433,"AAAAAG9v574=")</f>
        <v>#VALUE!</v>
      </c>
      <c r="GJ198" t="e">
        <f>AND('STERLING CATALOG - DRY '!B4433,"AAAAAG9v578=")</f>
        <v>#VALUE!</v>
      </c>
      <c r="GK198" t="e">
        <f>AND('STERLING CATALOG - DRY '!C4433,"AAAAAG9v58A=")</f>
        <v>#VALUE!</v>
      </c>
      <c r="GL198" t="e">
        <f>AND('STERLING CATALOG - DRY '!D4433,"AAAAAG9v58E=")</f>
        <v>#VALUE!</v>
      </c>
      <c r="GM198" t="e">
        <f>AND('STERLING CATALOG - DRY '!E4433,"AAAAAG9v58I=")</f>
        <v>#VALUE!</v>
      </c>
      <c r="GN198" t="e">
        <f>AND('STERLING CATALOG - DRY '!F4433,"AAAAAG9v58M=")</f>
        <v>#VALUE!</v>
      </c>
      <c r="GO198" t="e">
        <f>AND('STERLING CATALOG - DRY '!G4433,"AAAAAG9v58Q=")</f>
        <v>#VALUE!</v>
      </c>
      <c r="GP198" t="e">
        <f>AND('STERLING CATALOG - DRY '!H4433,"AAAAAG9v58U=")</f>
        <v>#VALUE!</v>
      </c>
      <c r="GQ198" t="e">
        <f>AND('STERLING CATALOG - DRY '!I4433,"AAAAAG9v58Y=")</f>
        <v>#VALUE!</v>
      </c>
      <c r="GR198" t="e">
        <f>AND('STERLING CATALOG - DRY '!J4433,"AAAAAG9v58c=")</f>
        <v>#VALUE!</v>
      </c>
      <c r="GS198">
        <f>IF('STERLING CATALOG - DRY '!4434:4434,"AAAAAG9v58g=",0)</f>
        <v>0</v>
      </c>
      <c r="GT198" t="e">
        <f>AND('STERLING CATALOG - DRY '!A4434,"AAAAAG9v58k=")</f>
        <v>#VALUE!</v>
      </c>
      <c r="GU198" t="e">
        <f>AND('STERLING CATALOG - DRY '!B4434,"AAAAAG9v58o=")</f>
        <v>#VALUE!</v>
      </c>
      <c r="GV198" t="e">
        <f>AND('STERLING CATALOG - DRY '!C4434,"AAAAAG9v58s=")</f>
        <v>#VALUE!</v>
      </c>
      <c r="GW198" t="e">
        <f>AND('STERLING CATALOG - DRY '!D4434,"AAAAAG9v58w=")</f>
        <v>#VALUE!</v>
      </c>
      <c r="GX198" t="e">
        <f>AND('STERLING CATALOG - DRY '!E4434,"AAAAAG9v580=")</f>
        <v>#VALUE!</v>
      </c>
      <c r="GY198" t="e">
        <f>AND('STERLING CATALOG - DRY '!F4434,"AAAAAG9v584=")</f>
        <v>#VALUE!</v>
      </c>
      <c r="GZ198" t="e">
        <f>AND('STERLING CATALOG - DRY '!G4434,"AAAAAG9v588=")</f>
        <v>#VALUE!</v>
      </c>
      <c r="HA198" t="e">
        <f>AND('STERLING CATALOG - DRY '!H4434,"AAAAAG9v59A=")</f>
        <v>#VALUE!</v>
      </c>
      <c r="HB198" t="e">
        <f>AND('STERLING CATALOG - DRY '!I4434,"AAAAAG9v59E=")</f>
        <v>#VALUE!</v>
      </c>
      <c r="HC198" t="e">
        <f>AND('STERLING CATALOG - DRY '!J4434,"AAAAAG9v59I=")</f>
        <v>#VALUE!</v>
      </c>
      <c r="HD198">
        <f>IF('STERLING CATALOG - DRY '!4435:4435,"AAAAAG9v59M=",0)</f>
        <v>0</v>
      </c>
      <c r="HE198" t="e">
        <f>AND('STERLING CATALOG - DRY '!A4435,"AAAAAG9v59Q=")</f>
        <v>#VALUE!</v>
      </c>
      <c r="HF198" t="e">
        <f>AND('STERLING CATALOG - DRY '!B4435,"AAAAAG9v59U=")</f>
        <v>#VALUE!</v>
      </c>
      <c r="HG198" t="e">
        <f>AND('STERLING CATALOG - DRY '!C4435,"AAAAAG9v59Y=")</f>
        <v>#VALUE!</v>
      </c>
      <c r="HH198" t="e">
        <f>AND('STERLING CATALOG - DRY '!D4435,"AAAAAG9v59c=")</f>
        <v>#VALUE!</v>
      </c>
      <c r="HI198" t="e">
        <f>AND('STERLING CATALOG - DRY '!E4435,"AAAAAG9v59g=")</f>
        <v>#VALUE!</v>
      </c>
      <c r="HJ198" t="e">
        <f>AND('STERLING CATALOG - DRY '!F4435,"AAAAAG9v59k=")</f>
        <v>#VALUE!</v>
      </c>
      <c r="HK198" t="e">
        <f>AND('STERLING CATALOG - DRY '!G4435,"AAAAAG9v59o=")</f>
        <v>#VALUE!</v>
      </c>
      <c r="HL198" t="e">
        <f>AND('STERLING CATALOG - DRY '!H4435,"AAAAAG9v59s=")</f>
        <v>#VALUE!</v>
      </c>
      <c r="HM198" t="e">
        <f>AND('STERLING CATALOG - DRY '!I4435,"AAAAAG9v59w=")</f>
        <v>#VALUE!</v>
      </c>
      <c r="HN198" t="e">
        <f>AND('STERLING CATALOG - DRY '!J4435,"AAAAAG9v590=")</f>
        <v>#VALUE!</v>
      </c>
      <c r="HO198">
        <f>IF('STERLING CATALOG - DRY '!4436:4436,"AAAAAG9v594=",0)</f>
        <v>0</v>
      </c>
      <c r="HP198" t="e">
        <f>AND('STERLING CATALOG - DRY '!A4436,"AAAAAG9v598=")</f>
        <v>#VALUE!</v>
      </c>
      <c r="HQ198" t="e">
        <f>AND('STERLING CATALOG - DRY '!B4436,"AAAAAG9v5+A=")</f>
        <v>#VALUE!</v>
      </c>
      <c r="HR198" t="e">
        <f>AND('STERLING CATALOG - DRY '!C4436,"AAAAAG9v5+E=")</f>
        <v>#VALUE!</v>
      </c>
      <c r="HS198" t="e">
        <f>AND('STERLING CATALOG - DRY '!D4436,"AAAAAG9v5+I=")</f>
        <v>#VALUE!</v>
      </c>
      <c r="HT198" t="e">
        <f>AND('STERLING CATALOG - DRY '!E4436,"AAAAAG9v5+M=")</f>
        <v>#VALUE!</v>
      </c>
      <c r="HU198" t="e">
        <f>AND('STERLING CATALOG - DRY '!F4436,"AAAAAG9v5+Q=")</f>
        <v>#VALUE!</v>
      </c>
      <c r="HV198" t="e">
        <f>AND('STERLING CATALOG - DRY '!G4436,"AAAAAG9v5+U=")</f>
        <v>#VALUE!</v>
      </c>
      <c r="HW198" t="e">
        <f>AND('STERLING CATALOG - DRY '!H4436,"AAAAAG9v5+Y=")</f>
        <v>#VALUE!</v>
      </c>
      <c r="HX198" t="e">
        <f>AND('STERLING CATALOG - DRY '!I4436,"AAAAAG9v5+c=")</f>
        <v>#VALUE!</v>
      </c>
      <c r="HY198" t="e">
        <f>AND('STERLING CATALOG - DRY '!J4436,"AAAAAG9v5+g=")</f>
        <v>#VALUE!</v>
      </c>
      <c r="HZ198">
        <f>IF('STERLING CATALOG - DRY '!4437:4437,"AAAAAG9v5+k=",0)</f>
        <v>0</v>
      </c>
      <c r="IA198" t="e">
        <f>AND('STERLING CATALOG - DRY '!A4437,"AAAAAG9v5+o=")</f>
        <v>#VALUE!</v>
      </c>
      <c r="IB198" t="e">
        <f>AND('STERLING CATALOG - DRY '!B4437,"AAAAAG9v5+s=")</f>
        <v>#VALUE!</v>
      </c>
      <c r="IC198" t="e">
        <f>AND('STERLING CATALOG - DRY '!C4437,"AAAAAG9v5+w=")</f>
        <v>#VALUE!</v>
      </c>
      <c r="ID198" t="e">
        <f>AND('STERLING CATALOG - DRY '!D4437,"AAAAAG9v5+0=")</f>
        <v>#VALUE!</v>
      </c>
      <c r="IE198" t="e">
        <f>AND('STERLING CATALOG - DRY '!E4437,"AAAAAG9v5+4=")</f>
        <v>#VALUE!</v>
      </c>
      <c r="IF198" t="e">
        <f>AND('STERLING CATALOG - DRY '!F4437,"AAAAAG9v5+8=")</f>
        <v>#VALUE!</v>
      </c>
      <c r="IG198" t="e">
        <f>AND('STERLING CATALOG - DRY '!G4437,"AAAAAG9v5/A=")</f>
        <v>#VALUE!</v>
      </c>
      <c r="IH198" t="e">
        <f>AND('STERLING CATALOG - DRY '!H4437,"AAAAAG9v5/E=")</f>
        <v>#VALUE!</v>
      </c>
      <c r="II198" t="e">
        <f>AND('STERLING CATALOG - DRY '!I4437,"AAAAAG9v5/I=")</f>
        <v>#VALUE!</v>
      </c>
      <c r="IJ198" t="e">
        <f>AND('STERLING CATALOG - DRY '!J4437,"AAAAAG9v5/M=")</f>
        <v>#VALUE!</v>
      </c>
      <c r="IK198">
        <f>IF('STERLING CATALOG - DRY '!4438:4438,"AAAAAG9v5/Q=",0)</f>
        <v>0</v>
      </c>
      <c r="IL198" t="e">
        <f>AND('STERLING CATALOG - DRY '!A4438,"AAAAAG9v5/U=")</f>
        <v>#VALUE!</v>
      </c>
      <c r="IM198" t="e">
        <f>AND('STERLING CATALOG - DRY '!B4438,"AAAAAG9v5/Y=")</f>
        <v>#VALUE!</v>
      </c>
      <c r="IN198" t="e">
        <f>AND('STERLING CATALOG - DRY '!C4438,"AAAAAG9v5/c=")</f>
        <v>#VALUE!</v>
      </c>
      <c r="IO198" t="e">
        <f>AND('STERLING CATALOG - DRY '!D4438,"AAAAAG9v5/g=")</f>
        <v>#VALUE!</v>
      </c>
      <c r="IP198" t="e">
        <f>AND('STERLING CATALOG - DRY '!E4438,"AAAAAG9v5/k=")</f>
        <v>#VALUE!</v>
      </c>
      <c r="IQ198" t="e">
        <f>AND('STERLING CATALOG - DRY '!F4438,"AAAAAG9v5/o=")</f>
        <v>#VALUE!</v>
      </c>
      <c r="IR198" t="e">
        <f>AND('STERLING CATALOG - DRY '!G4438,"AAAAAG9v5/s=")</f>
        <v>#VALUE!</v>
      </c>
      <c r="IS198" t="e">
        <f>AND('STERLING CATALOG - DRY '!H4438,"AAAAAG9v5/w=")</f>
        <v>#VALUE!</v>
      </c>
      <c r="IT198" t="e">
        <f>AND('STERLING CATALOG - DRY '!I4438,"AAAAAG9v5/0=")</f>
        <v>#VALUE!</v>
      </c>
      <c r="IU198" t="e">
        <f>AND('STERLING CATALOG - DRY '!J4438,"AAAAAG9v5/4=")</f>
        <v>#VALUE!</v>
      </c>
      <c r="IV198">
        <f>IF('STERLING CATALOG - DRY '!4439:4439,"AAAAAG9v5/8=",0)</f>
        <v>0</v>
      </c>
    </row>
    <row r="199" spans="1:256">
      <c r="A199" t="e">
        <f>AND('STERLING CATALOG - DRY '!A4439,"AAAAAEXf7QA=")</f>
        <v>#VALUE!</v>
      </c>
      <c r="B199" t="e">
        <f>AND('STERLING CATALOG - DRY '!B4439,"AAAAAEXf7QE=")</f>
        <v>#VALUE!</v>
      </c>
      <c r="C199" t="e">
        <f>AND('STERLING CATALOG - DRY '!C4439,"AAAAAEXf7QI=")</f>
        <v>#VALUE!</v>
      </c>
      <c r="D199" t="e">
        <f>AND('STERLING CATALOG - DRY '!D4439,"AAAAAEXf7QM=")</f>
        <v>#VALUE!</v>
      </c>
      <c r="E199" t="e">
        <f>AND('STERLING CATALOG - DRY '!E4439,"AAAAAEXf7QQ=")</f>
        <v>#VALUE!</v>
      </c>
      <c r="F199" t="e">
        <f>AND('STERLING CATALOG - DRY '!F4439,"AAAAAEXf7QU=")</f>
        <v>#VALUE!</v>
      </c>
      <c r="G199" t="e">
        <f>AND('STERLING CATALOG - DRY '!G4439,"AAAAAEXf7QY=")</f>
        <v>#VALUE!</v>
      </c>
      <c r="H199" t="e">
        <f>AND('STERLING CATALOG - DRY '!H4439,"AAAAAEXf7Qc=")</f>
        <v>#VALUE!</v>
      </c>
      <c r="I199" t="e">
        <f>AND('STERLING CATALOG - DRY '!I4439,"AAAAAEXf7Qg=")</f>
        <v>#VALUE!</v>
      </c>
      <c r="J199" t="e">
        <f>AND('STERLING CATALOG - DRY '!J4439,"AAAAAEXf7Qk=")</f>
        <v>#VALUE!</v>
      </c>
      <c r="K199">
        <f>IF('STERLING CATALOG - DRY '!4440:4440,"AAAAAEXf7Qo=",0)</f>
        <v>0</v>
      </c>
      <c r="L199" t="e">
        <f>AND('STERLING CATALOG - DRY '!A4440,"AAAAAEXf7Qs=")</f>
        <v>#VALUE!</v>
      </c>
      <c r="M199" t="e">
        <f>AND('STERLING CATALOG - DRY '!B4440,"AAAAAEXf7Qw=")</f>
        <v>#VALUE!</v>
      </c>
      <c r="N199" t="e">
        <f>AND('STERLING CATALOG - DRY '!C4440,"AAAAAEXf7Q0=")</f>
        <v>#VALUE!</v>
      </c>
      <c r="O199" t="e">
        <f>AND('STERLING CATALOG - DRY '!D4440,"AAAAAEXf7Q4=")</f>
        <v>#VALUE!</v>
      </c>
      <c r="P199" t="e">
        <f>AND('STERLING CATALOG - DRY '!E4440,"AAAAAEXf7Q8=")</f>
        <v>#VALUE!</v>
      </c>
      <c r="Q199" t="e">
        <f>AND('STERLING CATALOG - DRY '!F4440,"AAAAAEXf7RA=")</f>
        <v>#VALUE!</v>
      </c>
      <c r="R199" t="e">
        <f>AND('STERLING CATALOG - DRY '!G4440,"AAAAAEXf7RE=")</f>
        <v>#VALUE!</v>
      </c>
      <c r="S199" t="e">
        <f>AND('STERLING CATALOG - DRY '!H4440,"AAAAAEXf7RI=")</f>
        <v>#VALUE!</v>
      </c>
      <c r="T199" t="e">
        <f>AND('STERLING CATALOG - DRY '!I4440,"AAAAAEXf7RM=")</f>
        <v>#VALUE!</v>
      </c>
      <c r="U199" t="e">
        <f>AND('STERLING CATALOG - DRY '!J4440,"AAAAAEXf7RQ=")</f>
        <v>#VALUE!</v>
      </c>
      <c r="V199">
        <f>IF('STERLING CATALOG - DRY '!4441:4441,"AAAAAEXf7RU=",0)</f>
        <v>0</v>
      </c>
      <c r="W199" t="e">
        <f>AND('STERLING CATALOG - DRY '!A4441,"AAAAAEXf7RY=")</f>
        <v>#VALUE!</v>
      </c>
      <c r="X199" t="e">
        <f>AND('STERLING CATALOG - DRY '!B4441,"AAAAAEXf7Rc=")</f>
        <v>#VALUE!</v>
      </c>
      <c r="Y199" t="e">
        <f>AND('STERLING CATALOG - DRY '!C4441,"AAAAAEXf7Rg=")</f>
        <v>#VALUE!</v>
      </c>
      <c r="Z199" t="e">
        <f>AND('STERLING CATALOG - DRY '!D4441,"AAAAAEXf7Rk=")</f>
        <v>#VALUE!</v>
      </c>
      <c r="AA199" t="e">
        <f>AND('STERLING CATALOG - DRY '!E4441,"AAAAAEXf7Ro=")</f>
        <v>#VALUE!</v>
      </c>
      <c r="AB199" t="e">
        <f>AND('STERLING CATALOG - DRY '!F4441,"AAAAAEXf7Rs=")</f>
        <v>#VALUE!</v>
      </c>
      <c r="AC199" t="e">
        <f>AND('STERLING CATALOG - DRY '!G4441,"AAAAAEXf7Rw=")</f>
        <v>#VALUE!</v>
      </c>
      <c r="AD199" t="e">
        <f>AND('STERLING CATALOG - DRY '!H4441,"AAAAAEXf7R0=")</f>
        <v>#VALUE!</v>
      </c>
      <c r="AE199" t="e">
        <f>AND('STERLING CATALOG - DRY '!I4441,"AAAAAEXf7R4=")</f>
        <v>#VALUE!</v>
      </c>
      <c r="AF199" t="e">
        <f>AND('STERLING CATALOG - DRY '!J4441,"AAAAAEXf7R8=")</f>
        <v>#VALUE!</v>
      </c>
      <c r="AG199">
        <f>IF('STERLING CATALOG - DRY '!4442:4442,"AAAAAEXf7SA=",0)</f>
        <v>0</v>
      </c>
      <c r="AH199" t="e">
        <f>AND('STERLING CATALOG - DRY '!A4442,"AAAAAEXf7SE=")</f>
        <v>#VALUE!</v>
      </c>
      <c r="AI199" t="e">
        <f>AND('STERLING CATALOG - DRY '!B4442,"AAAAAEXf7SI=")</f>
        <v>#VALUE!</v>
      </c>
      <c r="AJ199" t="e">
        <f>AND('STERLING CATALOG - DRY '!C4442,"AAAAAEXf7SM=")</f>
        <v>#VALUE!</v>
      </c>
      <c r="AK199" t="e">
        <f>AND('STERLING CATALOG - DRY '!D4442,"AAAAAEXf7SQ=")</f>
        <v>#VALUE!</v>
      </c>
      <c r="AL199" t="e">
        <f>AND('STERLING CATALOG - DRY '!E4442,"AAAAAEXf7SU=")</f>
        <v>#VALUE!</v>
      </c>
      <c r="AM199" t="e">
        <f>AND('STERLING CATALOG - DRY '!F4442,"AAAAAEXf7SY=")</f>
        <v>#VALUE!</v>
      </c>
      <c r="AN199" t="e">
        <f>AND('STERLING CATALOG - DRY '!G4442,"AAAAAEXf7Sc=")</f>
        <v>#VALUE!</v>
      </c>
      <c r="AO199" t="e">
        <f>AND('STERLING CATALOG - DRY '!H4442,"AAAAAEXf7Sg=")</f>
        <v>#VALUE!</v>
      </c>
      <c r="AP199" t="e">
        <f>AND('STERLING CATALOG - DRY '!I4442,"AAAAAEXf7Sk=")</f>
        <v>#VALUE!</v>
      </c>
      <c r="AQ199" t="e">
        <f>AND('STERLING CATALOG - DRY '!J4442,"AAAAAEXf7So=")</f>
        <v>#VALUE!</v>
      </c>
      <c r="AR199">
        <f>IF('STERLING CATALOG - DRY '!4443:4443,"AAAAAEXf7Ss=",0)</f>
        <v>0</v>
      </c>
      <c r="AS199" t="e">
        <f>AND('STERLING CATALOG - DRY '!A4443,"AAAAAEXf7Sw=")</f>
        <v>#VALUE!</v>
      </c>
      <c r="AT199" t="e">
        <f>AND('STERLING CATALOG - DRY '!B4443,"AAAAAEXf7S0=")</f>
        <v>#VALUE!</v>
      </c>
      <c r="AU199" t="e">
        <f>AND('STERLING CATALOG - DRY '!C4443,"AAAAAEXf7S4=")</f>
        <v>#VALUE!</v>
      </c>
      <c r="AV199" t="e">
        <f>AND('STERLING CATALOG - DRY '!D4443,"AAAAAEXf7S8=")</f>
        <v>#VALUE!</v>
      </c>
      <c r="AW199" t="e">
        <f>AND('STERLING CATALOG - DRY '!E4443,"AAAAAEXf7TA=")</f>
        <v>#VALUE!</v>
      </c>
      <c r="AX199" t="e">
        <f>AND('STERLING CATALOG - DRY '!F4443,"AAAAAEXf7TE=")</f>
        <v>#VALUE!</v>
      </c>
      <c r="AY199" t="e">
        <f>AND('STERLING CATALOG - DRY '!G4443,"AAAAAEXf7TI=")</f>
        <v>#VALUE!</v>
      </c>
      <c r="AZ199" t="e">
        <f>AND('STERLING CATALOG - DRY '!H4443,"AAAAAEXf7TM=")</f>
        <v>#VALUE!</v>
      </c>
      <c r="BA199" t="e">
        <f>AND('STERLING CATALOG - DRY '!I4443,"AAAAAEXf7TQ=")</f>
        <v>#VALUE!</v>
      </c>
      <c r="BB199" t="e">
        <f>AND('STERLING CATALOG - DRY '!J4443,"AAAAAEXf7TU=")</f>
        <v>#VALUE!</v>
      </c>
      <c r="BC199">
        <f>IF('STERLING CATALOG - DRY '!4444:4444,"AAAAAEXf7TY=",0)</f>
        <v>0</v>
      </c>
      <c r="BD199" t="e">
        <f>AND('STERLING CATALOG - DRY '!A4444,"AAAAAEXf7Tc=")</f>
        <v>#VALUE!</v>
      </c>
      <c r="BE199" t="e">
        <f>AND('STERLING CATALOG - DRY '!B4444,"AAAAAEXf7Tg=")</f>
        <v>#VALUE!</v>
      </c>
      <c r="BF199" t="e">
        <f>AND('STERLING CATALOG - DRY '!C4444,"AAAAAEXf7Tk=")</f>
        <v>#VALUE!</v>
      </c>
      <c r="BG199" t="e">
        <f>AND('STERLING CATALOG - DRY '!D4444,"AAAAAEXf7To=")</f>
        <v>#VALUE!</v>
      </c>
      <c r="BH199" t="e">
        <f>AND('STERLING CATALOG - DRY '!E4444,"AAAAAEXf7Ts=")</f>
        <v>#VALUE!</v>
      </c>
      <c r="BI199" t="e">
        <f>AND('STERLING CATALOG - DRY '!F4444,"AAAAAEXf7Tw=")</f>
        <v>#VALUE!</v>
      </c>
      <c r="BJ199" t="e">
        <f>AND('STERLING CATALOG - DRY '!G4444,"AAAAAEXf7T0=")</f>
        <v>#VALUE!</v>
      </c>
      <c r="BK199" t="e">
        <f>AND('STERLING CATALOG - DRY '!H4444,"AAAAAEXf7T4=")</f>
        <v>#VALUE!</v>
      </c>
      <c r="BL199" t="e">
        <f>AND('STERLING CATALOG - DRY '!I4444,"AAAAAEXf7T8=")</f>
        <v>#VALUE!</v>
      </c>
      <c r="BM199" t="e">
        <f>AND('STERLING CATALOG - DRY '!J4444,"AAAAAEXf7UA=")</f>
        <v>#VALUE!</v>
      </c>
      <c r="BN199">
        <f>IF('STERLING CATALOG - DRY '!4445:4445,"AAAAAEXf7UE=",0)</f>
        <v>0</v>
      </c>
      <c r="BO199" t="e">
        <f>AND('STERLING CATALOG - DRY '!A4445,"AAAAAEXf7UI=")</f>
        <v>#VALUE!</v>
      </c>
      <c r="BP199" t="e">
        <f>AND('STERLING CATALOG - DRY '!B4445,"AAAAAEXf7UM=")</f>
        <v>#VALUE!</v>
      </c>
      <c r="BQ199" t="e">
        <f>AND('STERLING CATALOG - DRY '!C4445,"AAAAAEXf7UQ=")</f>
        <v>#VALUE!</v>
      </c>
      <c r="BR199" t="e">
        <f>AND('STERLING CATALOG - DRY '!D4445,"AAAAAEXf7UU=")</f>
        <v>#VALUE!</v>
      </c>
      <c r="BS199" t="e">
        <f>AND('STERLING CATALOG - DRY '!E4445,"AAAAAEXf7UY=")</f>
        <v>#VALUE!</v>
      </c>
      <c r="BT199" t="e">
        <f>AND('STERLING CATALOG - DRY '!F4445,"AAAAAEXf7Uc=")</f>
        <v>#VALUE!</v>
      </c>
      <c r="BU199" t="e">
        <f>AND('STERLING CATALOG - DRY '!G4445,"AAAAAEXf7Ug=")</f>
        <v>#VALUE!</v>
      </c>
      <c r="BV199" t="e">
        <f>AND('STERLING CATALOG - DRY '!H4445,"AAAAAEXf7Uk=")</f>
        <v>#VALUE!</v>
      </c>
      <c r="BW199" t="e">
        <f>AND('STERLING CATALOG - DRY '!I4445,"AAAAAEXf7Uo=")</f>
        <v>#VALUE!</v>
      </c>
      <c r="BX199" t="e">
        <f>AND('STERLING CATALOG - DRY '!J4445,"AAAAAEXf7Us=")</f>
        <v>#VALUE!</v>
      </c>
      <c r="BY199">
        <f>IF('STERLING CATALOG - DRY '!4446:4446,"AAAAAEXf7Uw=",0)</f>
        <v>0</v>
      </c>
      <c r="BZ199" t="e">
        <f>AND('STERLING CATALOG - DRY '!A4446,"AAAAAEXf7U0=")</f>
        <v>#VALUE!</v>
      </c>
      <c r="CA199" t="e">
        <f>AND('STERLING CATALOG - DRY '!B4446,"AAAAAEXf7U4=")</f>
        <v>#VALUE!</v>
      </c>
      <c r="CB199" t="e">
        <f>AND('STERLING CATALOG - DRY '!C4446,"AAAAAEXf7U8=")</f>
        <v>#VALUE!</v>
      </c>
      <c r="CC199" t="e">
        <f>AND('STERLING CATALOG - DRY '!D4446,"AAAAAEXf7VA=")</f>
        <v>#VALUE!</v>
      </c>
      <c r="CD199" t="e">
        <f>AND('STERLING CATALOG - DRY '!E4446,"AAAAAEXf7VE=")</f>
        <v>#VALUE!</v>
      </c>
      <c r="CE199" t="e">
        <f>AND('STERLING CATALOG - DRY '!F4446,"AAAAAEXf7VI=")</f>
        <v>#VALUE!</v>
      </c>
      <c r="CF199" t="e">
        <f>AND('STERLING CATALOG - DRY '!G4446,"AAAAAEXf7VM=")</f>
        <v>#VALUE!</v>
      </c>
      <c r="CG199" t="e">
        <f>AND('STERLING CATALOG - DRY '!H4446,"AAAAAEXf7VQ=")</f>
        <v>#VALUE!</v>
      </c>
      <c r="CH199" t="e">
        <f>AND('STERLING CATALOG - DRY '!I4446,"AAAAAEXf7VU=")</f>
        <v>#VALUE!</v>
      </c>
      <c r="CI199" t="e">
        <f>AND('STERLING CATALOG - DRY '!J4446,"AAAAAEXf7VY=")</f>
        <v>#VALUE!</v>
      </c>
      <c r="CJ199">
        <f>IF('STERLING CATALOG - DRY '!4447:4447,"AAAAAEXf7Vc=",0)</f>
        <v>0</v>
      </c>
      <c r="CK199" t="e">
        <f>AND('STERLING CATALOG - DRY '!A4447,"AAAAAEXf7Vg=")</f>
        <v>#VALUE!</v>
      </c>
      <c r="CL199" t="e">
        <f>AND('STERLING CATALOG - DRY '!B4447,"AAAAAEXf7Vk=")</f>
        <v>#VALUE!</v>
      </c>
      <c r="CM199" t="e">
        <f>AND('STERLING CATALOG - DRY '!C4447,"AAAAAEXf7Vo=")</f>
        <v>#VALUE!</v>
      </c>
      <c r="CN199" t="e">
        <f>AND('STERLING CATALOG - DRY '!D4447,"AAAAAEXf7Vs=")</f>
        <v>#VALUE!</v>
      </c>
      <c r="CO199" t="e">
        <f>AND('STERLING CATALOG - DRY '!E4447,"AAAAAEXf7Vw=")</f>
        <v>#VALUE!</v>
      </c>
      <c r="CP199" t="e">
        <f>AND('STERLING CATALOG - DRY '!F4447,"AAAAAEXf7V0=")</f>
        <v>#VALUE!</v>
      </c>
      <c r="CQ199" t="e">
        <f>AND('STERLING CATALOG - DRY '!G4447,"AAAAAEXf7V4=")</f>
        <v>#VALUE!</v>
      </c>
      <c r="CR199" t="e">
        <f>AND('STERLING CATALOG - DRY '!H4447,"AAAAAEXf7V8=")</f>
        <v>#VALUE!</v>
      </c>
      <c r="CS199" t="e">
        <f>AND('STERLING CATALOG - DRY '!I4447,"AAAAAEXf7WA=")</f>
        <v>#VALUE!</v>
      </c>
      <c r="CT199" t="e">
        <f>AND('STERLING CATALOG - DRY '!J4447,"AAAAAEXf7WE=")</f>
        <v>#VALUE!</v>
      </c>
      <c r="CU199">
        <f>IF('STERLING CATALOG - DRY '!4448:4448,"AAAAAEXf7WI=",0)</f>
        <v>0</v>
      </c>
      <c r="CV199" t="e">
        <f>AND('STERLING CATALOG - DRY '!A4448,"AAAAAEXf7WM=")</f>
        <v>#VALUE!</v>
      </c>
      <c r="CW199" t="e">
        <f>AND('STERLING CATALOG - DRY '!B4448,"AAAAAEXf7WQ=")</f>
        <v>#VALUE!</v>
      </c>
      <c r="CX199" t="e">
        <f>AND('STERLING CATALOG - DRY '!C4448,"AAAAAEXf7WU=")</f>
        <v>#VALUE!</v>
      </c>
      <c r="CY199" t="e">
        <f>AND('STERLING CATALOG - DRY '!D4448,"AAAAAEXf7WY=")</f>
        <v>#VALUE!</v>
      </c>
      <c r="CZ199" t="e">
        <f>AND('STERLING CATALOG - DRY '!E4448,"AAAAAEXf7Wc=")</f>
        <v>#VALUE!</v>
      </c>
      <c r="DA199" t="e">
        <f>AND('STERLING CATALOG - DRY '!F4448,"AAAAAEXf7Wg=")</f>
        <v>#VALUE!</v>
      </c>
      <c r="DB199" t="e">
        <f>AND('STERLING CATALOG - DRY '!G4448,"AAAAAEXf7Wk=")</f>
        <v>#VALUE!</v>
      </c>
      <c r="DC199" t="e">
        <f>AND('STERLING CATALOG - DRY '!H4448,"AAAAAEXf7Wo=")</f>
        <v>#VALUE!</v>
      </c>
      <c r="DD199" t="e">
        <f>AND('STERLING CATALOG - DRY '!I4448,"AAAAAEXf7Ws=")</f>
        <v>#VALUE!</v>
      </c>
      <c r="DE199" t="e">
        <f>AND('STERLING CATALOG - DRY '!J4448,"AAAAAEXf7Ww=")</f>
        <v>#VALUE!</v>
      </c>
      <c r="DF199">
        <f>IF('STERLING CATALOG - DRY '!4449:4449,"AAAAAEXf7W0=",0)</f>
        <v>0</v>
      </c>
      <c r="DG199" t="e">
        <f>AND('STERLING CATALOG - DRY '!A4449,"AAAAAEXf7W4=")</f>
        <v>#VALUE!</v>
      </c>
      <c r="DH199" t="e">
        <f>AND('STERLING CATALOG - DRY '!B4449,"AAAAAEXf7W8=")</f>
        <v>#VALUE!</v>
      </c>
      <c r="DI199" t="e">
        <f>AND('STERLING CATALOG - DRY '!C4449,"AAAAAEXf7XA=")</f>
        <v>#VALUE!</v>
      </c>
      <c r="DJ199" t="e">
        <f>AND('STERLING CATALOG - DRY '!D4449,"AAAAAEXf7XE=")</f>
        <v>#VALUE!</v>
      </c>
      <c r="DK199" t="e">
        <f>AND('STERLING CATALOG - DRY '!E4449,"AAAAAEXf7XI=")</f>
        <v>#VALUE!</v>
      </c>
      <c r="DL199" t="e">
        <f>AND('STERLING CATALOG - DRY '!F4449,"AAAAAEXf7XM=")</f>
        <v>#VALUE!</v>
      </c>
      <c r="DM199" t="e">
        <f>AND('STERLING CATALOG - DRY '!G4449,"AAAAAEXf7XQ=")</f>
        <v>#VALUE!</v>
      </c>
      <c r="DN199" t="e">
        <f>AND('STERLING CATALOG - DRY '!H4449,"AAAAAEXf7XU=")</f>
        <v>#VALUE!</v>
      </c>
      <c r="DO199" t="e">
        <f>AND('STERLING CATALOG - DRY '!I4449,"AAAAAEXf7XY=")</f>
        <v>#VALUE!</v>
      </c>
      <c r="DP199" t="e">
        <f>AND('STERLING CATALOG - DRY '!J4449,"AAAAAEXf7Xc=")</f>
        <v>#VALUE!</v>
      </c>
      <c r="DQ199">
        <f>IF('STERLING CATALOG - DRY '!4450:4450,"AAAAAEXf7Xg=",0)</f>
        <v>0</v>
      </c>
      <c r="DR199" t="e">
        <f>AND('STERLING CATALOG - DRY '!A4450,"AAAAAEXf7Xk=")</f>
        <v>#VALUE!</v>
      </c>
      <c r="DS199" t="e">
        <f>AND('STERLING CATALOG - DRY '!B4450,"AAAAAEXf7Xo=")</f>
        <v>#VALUE!</v>
      </c>
      <c r="DT199" t="e">
        <f>AND('STERLING CATALOG - DRY '!C4450,"AAAAAEXf7Xs=")</f>
        <v>#VALUE!</v>
      </c>
      <c r="DU199" t="e">
        <f>AND('STERLING CATALOG - DRY '!D4450,"AAAAAEXf7Xw=")</f>
        <v>#VALUE!</v>
      </c>
      <c r="DV199" t="e">
        <f>AND('STERLING CATALOG - DRY '!E4450,"AAAAAEXf7X0=")</f>
        <v>#VALUE!</v>
      </c>
      <c r="DW199" t="e">
        <f>AND('STERLING CATALOG - DRY '!F4450,"AAAAAEXf7X4=")</f>
        <v>#VALUE!</v>
      </c>
      <c r="DX199" t="e">
        <f>AND('STERLING CATALOG - DRY '!G4450,"AAAAAEXf7X8=")</f>
        <v>#VALUE!</v>
      </c>
      <c r="DY199" t="e">
        <f>AND('STERLING CATALOG - DRY '!H4450,"AAAAAEXf7YA=")</f>
        <v>#VALUE!</v>
      </c>
      <c r="DZ199" t="e">
        <f>AND('STERLING CATALOG - DRY '!I4450,"AAAAAEXf7YE=")</f>
        <v>#VALUE!</v>
      </c>
      <c r="EA199" t="e">
        <f>AND('STERLING CATALOG - DRY '!J4450,"AAAAAEXf7YI=")</f>
        <v>#VALUE!</v>
      </c>
      <c r="EB199">
        <f>IF('STERLING CATALOG - DRY '!4451:4451,"AAAAAEXf7YM=",0)</f>
        <v>0</v>
      </c>
      <c r="EC199" t="e">
        <f>AND('STERLING CATALOG - DRY '!A4451,"AAAAAEXf7YQ=")</f>
        <v>#VALUE!</v>
      </c>
      <c r="ED199" t="e">
        <f>AND('STERLING CATALOG - DRY '!B4451,"AAAAAEXf7YU=")</f>
        <v>#VALUE!</v>
      </c>
      <c r="EE199" t="e">
        <f>AND('STERLING CATALOG - DRY '!C4451,"AAAAAEXf7YY=")</f>
        <v>#VALUE!</v>
      </c>
      <c r="EF199" t="e">
        <f>AND('STERLING CATALOG - DRY '!D4451,"AAAAAEXf7Yc=")</f>
        <v>#VALUE!</v>
      </c>
      <c r="EG199" t="e">
        <f>AND('STERLING CATALOG - DRY '!E4451,"AAAAAEXf7Yg=")</f>
        <v>#VALUE!</v>
      </c>
      <c r="EH199" t="e">
        <f>AND('STERLING CATALOG - DRY '!F4451,"AAAAAEXf7Yk=")</f>
        <v>#VALUE!</v>
      </c>
      <c r="EI199" t="e">
        <f>AND('STERLING CATALOG - DRY '!G4451,"AAAAAEXf7Yo=")</f>
        <v>#VALUE!</v>
      </c>
      <c r="EJ199" t="e">
        <f>AND('STERLING CATALOG - DRY '!H4451,"AAAAAEXf7Ys=")</f>
        <v>#VALUE!</v>
      </c>
      <c r="EK199" t="e">
        <f>AND('STERLING CATALOG - DRY '!I4451,"AAAAAEXf7Yw=")</f>
        <v>#VALUE!</v>
      </c>
      <c r="EL199" t="e">
        <f>AND('STERLING CATALOG - DRY '!J4451,"AAAAAEXf7Y0=")</f>
        <v>#VALUE!</v>
      </c>
      <c r="EM199">
        <f>IF('STERLING CATALOG - DRY '!4452:4452,"AAAAAEXf7Y4=",0)</f>
        <v>0</v>
      </c>
      <c r="EN199" t="e">
        <f>AND('STERLING CATALOG - DRY '!A4452,"AAAAAEXf7Y8=")</f>
        <v>#VALUE!</v>
      </c>
      <c r="EO199" t="e">
        <f>AND('STERLING CATALOG - DRY '!B4452,"AAAAAEXf7ZA=")</f>
        <v>#VALUE!</v>
      </c>
      <c r="EP199" t="e">
        <f>AND('STERLING CATALOG - DRY '!C4452,"AAAAAEXf7ZE=")</f>
        <v>#VALUE!</v>
      </c>
      <c r="EQ199" t="e">
        <f>AND('STERLING CATALOG - DRY '!D4452,"AAAAAEXf7ZI=")</f>
        <v>#VALUE!</v>
      </c>
      <c r="ER199" t="e">
        <f>AND('STERLING CATALOG - DRY '!E4452,"AAAAAEXf7ZM=")</f>
        <v>#VALUE!</v>
      </c>
      <c r="ES199" t="e">
        <f>AND('STERLING CATALOG - DRY '!F4452,"AAAAAEXf7ZQ=")</f>
        <v>#VALUE!</v>
      </c>
      <c r="ET199" t="e">
        <f>AND('STERLING CATALOG - DRY '!G4452,"AAAAAEXf7ZU=")</f>
        <v>#VALUE!</v>
      </c>
      <c r="EU199" t="e">
        <f>AND('STERLING CATALOG - DRY '!H4452,"AAAAAEXf7ZY=")</f>
        <v>#VALUE!</v>
      </c>
      <c r="EV199" t="e">
        <f>AND('STERLING CATALOG - DRY '!I4452,"AAAAAEXf7Zc=")</f>
        <v>#VALUE!</v>
      </c>
      <c r="EW199" t="e">
        <f>AND('STERLING CATALOG - DRY '!J4452,"AAAAAEXf7Zg=")</f>
        <v>#VALUE!</v>
      </c>
      <c r="EX199">
        <f>IF('STERLING CATALOG - DRY '!4453:4453,"AAAAAEXf7Zk=",0)</f>
        <v>0</v>
      </c>
      <c r="EY199" t="e">
        <f>AND('STERLING CATALOG - DRY '!A4453,"AAAAAEXf7Zo=")</f>
        <v>#VALUE!</v>
      </c>
      <c r="EZ199" t="e">
        <f>AND('STERLING CATALOG - DRY '!B4453,"AAAAAEXf7Zs=")</f>
        <v>#VALUE!</v>
      </c>
      <c r="FA199" t="e">
        <f>AND('STERLING CATALOG - DRY '!C4453,"AAAAAEXf7Zw=")</f>
        <v>#VALUE!</v>
      </c>
      <c r="FB199" t="e">
        <f>AND('STERLING CATALOG - DRY '!D4453,"AAAAAEXf7Z0=")</f>
        <v>#VALUE!</v>
      </c>
      <c r="FC199" t="e">
        <f>AND('STERLING CATALOG - DRY '!E4453,"AAAAAEXf7Z4=")</f>
        <v>#VALUE!</v>
      </c>
      <c r="FD199" t="e">
        <f>AND('STERLING CATALOG - DRY '!F4453,"AAAAAEXf7Z8=")</f>
        <v>#VALUE!</v>
      </c>
      <c r="FE199" t="e">
        <f>AND('STERLING CATALOG - DRY '!G4453,"AAAAAEXf7aA=")</f>
        <v>#VALUE!</v>
      </c>
      <c r="FF199" t="e">
        <f>AND('STERLING CATALOG - DRY '!H4453,"AAAAAEXf7aE=")</f>
        <v>#VALUE!</v>
      </c>
      <c r="FG199" t="e">
        <f>AND('STERLING CATALOG - DRY '!I4453,"AAAAAEXf7aI=")</f>
        <v>#VALUE!</v>
      </c>
      <c r="FH199" t="e">
        <f>AND('STERLING CATALOG - DRY '!J4453,"AAAAAEXf7aM=")</f>
        <v>#VALUE!</v>
      </c>
      <c r="FI199">
        <f>IF('STERLING CATALOG - DRY '!4454:4454,"AAAAAEXf7aQ=",0)</f>
        <v>0</v>
      </c>
      <c r="FJ199" t="e">
        <f>AND('STERLING CATALOG - DRY '!A4454,"AAAAAEXf7aU=")</f>
        <v>#VALUE!</v>
      </c>
      <c r="FK199" t="e">
        <f>AND('STERLING CATALOG - DRY '!B4454,"AAAAAEXf7aY=")</f>
        <v>#VALUE!</v>
      </c>
      <c r="FL199" t="e">
        <f>AND('STERLING CATALOG - DRY '!C4454,"AAAAAEXf7ac=")</f>
        <v>#VALUE!</v>
      </c>
      <c r="FM199" t="e">
        <f>AND('STERLING CATALOG - DRY '!D4454,"AAAAAEXf7ag=")</f>
        <v>#VALUE!</v>
      </c>
      <c r="FN199" t="e">
        <f>AND('STERLING CATALOG - DRY '!E4454,"AAAAAEXf7ak=")</f>
        <v>#VALUE!</v>
      </c>
      <c r="FO199" t="e">
        <f>AND('STERLING CATALOG - DRY '!F4454,"AAAAAEXf7ao=")</f>
        <v>#VALUE!</v>
      </c>
      <c r="FP199" t="e">
        <f>AND('STERLING CATALOG - DRY '!G4454,"AAAAAEXf7as=")</f>
        <v>#VALUE!</v>
      </c>
      <c r="FQ199" t="e">
        <f>AND('STERLING CATALOG - DRY '!H4454,"AAAAAEXf7aw=")</f>
        <v>#VALUE!</v>
      </c>
      <c r="FR199" t="e">
        <f>AND('STERLING CATALOG - DRY '!I4454,"AAAAAEXf7a0=")</f>
        <v>#VALUE!</v>
      </c>
      <c r="FS199" t="e">
        <f>AND('STERLING CATALOG - DRY '!J4454,"AAAAAEXf7a4=")</f>
        <v>#VALUE!</v>
      </c>
      <c r="FT199">
        <f>IF('STERLING CATALOG - DRY '!4455:4455,"AAAAAEXf7a8=",0)</f>
        <v>0</v>
      </c>
      <c r="FU199" t="e">
        <f>AND('STERLING CATALOG - DRY '!A4455,"AAAAAEXf7bA=")</f>
        <v>#VALUE!</v>
      </c>
      <c r="FV199" t="e">
        <f>AND('STERLING CATALOG - DRY '!B4455,"AAAAAEXf7bE=")</f>
        <v>#VALUE!</v>
      </c>
      <c r="FW199" t="e">
        <f>AND('STERLING CATALOG - DRY '!C4455,"AAAAAEXf7bI=")</f>
        <v>#VALUE!</v>
      </c>
      <c r="FX199" t="e">
        <f>AND('STERLING CATALOG - DRY '!D4455,"AAAAAEXf7bM=")</f>
        <v>#VALUE!</v>
      </c>
      <c r="FY199" t="e">
        <f>AND('STERLING CATALOG - DRY '!E4455,"AAAAAEXf7bQ=")</f>
        <v>#VALUE!</v>
      </c>
      <c r="FZ199" t="e">
        <f>AND('STERLING CATALOG - DRY '!F4455,"AAAAAEXf7bU=")</f>
        <v>#VALUE!</v>
      </c>
      <c r="GA199" t="e">
        <f>AND('STERLING CATALOG - DRY '!G4455,"AAAAAEXf7bY=")</f>
        <v>#VALUE!</v>
      </c>
      <c r="GB199" t="e">
        <f>AND('STERLING CATALOG - DRY '!H4455,"AAAAAEXf7bc=")</f>
        <v>#VALUE!</v>
      </c>
      <c r="GC199" t="e">
        <f>AND('STERLING CATALOG - DRY '!I4455,"AAAAAEXf7bg=")</f>
        <v>#VALUE!</v>
      </c>
      <c r="GD199" t="e">
        <f>AND('STERLING CATALOG - DRY '!J4455,"AAAAAEXf7bk=")</f>
        <v>#VALUE!</v>
      </c>
      <c r="GE199">
        <f>IF('STERLING CATALOG - DRY '!4456:4456,"AAAAAEXf7bo=",0)</f>
        <v>0</v>
      </c>
      <c r="GF199" t="e">
        <f>AND('STERLING CATALOG - DRY '!A4456,"AAAAAEXf7bs=")</f>
        <v>#VALUE!</v>
      </c>
      <c r="GG199" t="e">
        <f>AND('STERLING CATALOG - DRY '!B4456,"AAAAAEXf7bw=")</f>
        <v>#VALUE!</v>
      </c>
      <c r="GH199" t="e">
        <f>AND('STERLING CATALOG - DRY '!C4456,"AAAAAEXf7b0=")</f>
        <v>#VALUE!</v>
      </c>
      <c r="GI199" t="e">
        <f>AND('STERLING CATALOG - DRY '!D4456,"AAAAAEXf7b4=")</f>
        <v>#VALUE!</v>
      </c>
      <c r="GJ199" t="e">
        <f>AND('STERLING CATALOG - DRY '!E4456,"AAAAAEXf7b8=")</f>
        <v>#VALUE!</v>
      </c>
      <c r="GK199" t="e">
        <f>AND('STERLING CATALOG - DRY '!F4456,"AAAAAEXf7cA=")</f>
        <v>#VALUE!</v>
      </c>
      <c r="GL199" t="e">
        <f>AND('STERLING CATALOG - DRY '!G4456,"AAAAAEXf7cE=")</f>
        <v>#VALUE!</v>
      </c>
      <c r="GM199" t="e">
        <f>AND('STERLING CATALOG - DRY '!H4456,"AAAAAEXf7cI=")</f>
        <v>#VALUE!</v>
      </c>
      <c r="GN199" t="e">
        <f>AND('STERLING CATALOG - DRY '!I4456,"AAAAAEXf7cM=")</f>
        <v>#VALUE!</v>
      </c>
      <c r="GO199" t="e">
        <f>AND('STERLING CATALOG - DRY '!J4456,"AAAAAEXf7cQ=")</f>
        <v>#VALUE!</v>
      </c>
      <c r="GP199">
        <f>IF('STERLING CATALOG - DRY '!4457:4457,"AAAAAEXf7cU=",0)</f>
        <v>0</v>
      </c>
      <c r="GQ199" t="e">
        <f>AND('STERLING CATALOG - DRY '!A4457,"AAAAAEXf7cY=")</f>
        <v>#VALUE!</v>
      </c>
      <c r="GR199" t="e">
        <f>AND('STERLING CATALOG - DRY '!B4457,"AAAAAEXf7cc=")</f>
        <v>#VALUE!</v>
      </c>
      <c r="GS199" t="e">
        <f>AND('STERLING CATALOG - DRY '!C4457,"AAAAAEXf7cg=")</f>
        <v>#VALUE!</v>
      </c>
      <c r="GT199" t="e">
        <f>AND('STERLING CATALOG - DRY '!D4457,"AAAAAEXf7ck=")</f>
        <v>#VALUE!</v>
      </c>
      <c r="GU199" t="e">
        <f>AND('STERLING CATALOG - DRY '!E4457,"AAAAAEXf7co=")</f>
        <v>#VALUE!</v>
      </c>
      <c r="GV199" t="e">
        <f>AND('STERLING CATALOG - DRY '!F4457,"AAAAAEXf7cs=")</f>
        <v>#VALUE!</v>
      </c>
      <c r="GW199" t="e">
        <f>AND('STERLING CATALOG - DRY '!G4457,"AAAAAEXf7cw=")</f>
        <v>#VALUE!</v>
      </c>
      <c r="GX199" t="e">
        <f>AND('STERLING CATALOG - DRY '!H4457,"AAAAAEXf7c0=")</f>
        <v>#VALUE!</v>
      </c>
      <c r="GY199" t="e">
        <f>AND('STERLING CATALOG - DRY '!I4457,"AAAAAEXf7c4=")</f>
        <v>#VALUE!</v>
      </c>
      <c r="GZ199" t="e">
        <f>AND('STERLING CATALOG - DRY '!J4457,"AAAAAEXf7c8=")</f>
        <v>#VALUE!</v>
      </c>
      <c r="HA199">
        <f>IF('STERLING CATALOG - DRY '!4458:4458,"AAAAAEXf7dA=",0)</f>
        <v>0</v>
      </c>
      <c r="HB199" t="e">
        <f>AND('STERLING CATALOG - DRY '!A4458,"AAAAAEXf7dE=")</f>
        <v>#VALUE!</v>
      </c>
      <c r="HC199" t="e">
        <f>AND('STERLING CATALOG - DRY '!B4458,"AAAAAEXf7dI=")</f>
        <v>#VALUE!</v>
      </c>
      <c r="HD199" t="e">
        <f>AND('STERLING CATALOG - DRY '!C4458,"AAAAAEXf7dM=")</f>
        <v>#VALUE!</v>
      </c>
      <c r="HE199" t="e">
        <f>AND('STERLING CATALOG - DRY '!D4458,"AAAAAEXf7dQ=")</f>
        <v>#VALUE!</v>
      </c>
      <c r="HF199" t="e">
        <f>AND('STERLING CATALOG - DRY '!E4458,"AAAAAEXf7dU=")</f>
        <v>#VALUE!</v>
      </c>
      <c r="HG199" t="e">
        <f>AND('STERLING CATALOG - DRY '!F4458,"AAAAAEXf7dY=")</f>
        <v>#VALUE!</v>
      </c>
      <c r="HH199" t="e">
        <f>AND('STERLING CATALOG - DRY '!G4458,"AAAAAEXf7dc=")</f>
        <v>#VALUE!</v>
      </c>
      <c r="HI199" t="e">
        <f>AND('STERLING CATALOG - DRY '!H4458,"AAAAAEXf7dg=")</f>
        <v>#VALUE!</v>
      </c>
      <c r="HJ199" t="e">
        <f>AND('STERLING CATALOG - DRY '!I4458,"AAAAAEXf7dk=")</f>
        <v>#VALUE!</v>
      </c>
      <c r="HK199" t="e">
        <f>AND('STERLING CATALOG - DRY '!J4458,"AAAAAEXf7do=")</f>
        <v>#VALUE!</v>
      </c>
      <c r="HL199">
        <f>IF('STERLING CATALOG - DRY '!4459:4459,"AAAAAEXf7ds=",0)</f>
        <v>0</v>
      </c>
      <c r="HM199" t="e">
        <f>AND('STERLING CATALOG - DRY '!A4459,"AAAAAEXf7dw=")</f>
        <v>#VALUE!</v>
      </c>
      <c r="HN199" t="e">
        <f>AND('STERLING CATALOG - DRY '!B4459,"AAAAAEXf7d0=")</f>
        <v>#VALUE!</v>
      </c>
      <c r="HO199" t="e">
        <f>AND('STERLING CATALOG - DRY '!C4459,"AAAAAEXf7d4=")</f>
        <v>#VALUE!</v>
      </c>
      <c r="HP199" t="e">
        <f>AND('STERLING CATALOG - DRY '!D4459,"AAAAAEXf7d8=")</f>
        <v>#VALUE!</v>
      </c>
      <c r="HQ199" t="e">
        <f>AND('STERLING CATALOG - DRY '!E4459,"AAAAAEXf7eA=")</f>
        <v>#VALUE!</v>
      </c>
      <c r="HR199" t="e">
        <f>AND('STERLING CATALOG - DRY '!F4459,"AAAAAEXf7eE=")</f>
        <v>#VALUE!</v>
      </c>
      <c r="HS199" t="e">
        <f>AND('STERLING CATALOG - DRY '!G4459,"AAAAAEXf7eI=")</f>
        <v>#VALUE!</v>
      </c>
      <c r="HT199" t="e">
        <f>AND('STERLING CATALOG - DRY '!H4459,"AAAAAEXf7eM=")</f>
        <v>#VALUE!</v>
      </c>
      <c r="HU199" t="e">
        <f>AND('STERLING CATALOG - DRY '!I4459,"AAAAAEXf7eQ=")</f>
        <v>#VALUE!</v>
      </c>
      <c r="HV199" t="e">
        <f>AND('STERLING CATALOG - DRY '!J4459,"AAAAAEXf7eU=")</f>
        <v>#VALUE!</v>
      </c>
      <c r="HW199">
        <f>IF('STERLING CATALOG - DRY '!4460:4460,"AAAAAEXf7eY=",0)</f>
        <v>0</v>
      </c>
      <c r="HX199" t="e">
        <f>AND('STERLING CATALOG - DRY '!A4460,"AAAAAEXf7ec=")</f>
        <v>#VALUE!</v>
      </c>
      <c r="HY199" t="e">
        <f>AND('STERLING CATALOG - DRY '!B4460,"AAAAAEXf7eg=")</f>
        <v>#VALUE!</v>
      </c>
      <c r="HZ199" t="e">
        <f>AND('STERLING CATALOG - DRY '!C4460,"AAAAAEXf7ek=")</f>
        <v>#VALUE!</v>
      </c>
      <c r="IA199" t="e">
        <f>AND('STERLING CATALOG - DRY '!D4460,"AAAAAEXf7eo=")</f>
        <v>#VALUE!</v>
      </c>
      <c r="IB199" t="e">
        <f>AND('STERLING CATALOG - DRY '!E4460,"AAAAAEXf7es=")</f>
        <v>#VALUE!</v>
      </c>
      <c r="IC199" t="e">
        <f>AND('STERLING CATALOG - DRY '!F4460,"AAAAAEXf7ew=")</f>
        <v>#VALUE!</v>
      </c>
      <c r="ID199" t="e">
        <f>AND('STERLING CATALOG - DRY '!G4460,"AAAAAEXf7e0=")</f>
        <v>#VALUE!</v>
      </c>
      <c r="IE199" t="e">
        <f>AND('STERLING CATALOG - DRY '!H4460,"AAAAAEXf7e4=")</f>
        <v>#VALUE!</v>
      </c>
      <c r="IF199" t="e">
        <f>AND('STERLING CATALOG - DRY '!I4460,"AAAAAEXf7e8=")</f>
        <v>#VALUE!</v>
      </c>
      <c r="IG199" t="e">
        <f>AND('STERLING CATALOG - DRY '!J4460,"AAAAAEXf7fA=")</f>
        <v>#VALUE!</v>
      </c>
      <c r="IH199">
        <f>IF('STERLING CATALOG - DRY '!4461:4461,"AAAAAEXf7fE=",0)</f>
        <v>0</v>
      </c>
      <c r="II199" t="e">
        <f>AND('STERLING CATALOG - DRY '!A4461,"AAAAAEXf7fI=")</f>
        <v>#VALUE!</v>
      </c>
      <c r="IJ199" t="e">
        <f>AND('STERLING CATALOG - DRY '!B4461,"AAAAAEXf7fM=")</f>
        <v>#VALUE!</v>
      </c>
      <c r="IK199" t="e">
        <f>AND('STERLING CATALOG - DRY '!C4461,"AAAAAEXf7fQ=")</f>
        <v>#VALUE!</v>
      </c>
      <c r="IL199" t="e">
        <f>AND('STERLING CATALOG - DRY '!D4461,"AAAAAEXf7fU=")</f>
        <v>#VALUE!</v>
      </c>
      <c r="IM199" t="e">
        <f>AND('STERLING CATALOG - DRY '!E4461,"AAAAAEXf7fY=")</f>
        <v>#VALUE!</v>
      </c>
      <c r="IN199" t="e">
        <f>AND('STERLING CATALOG - DRY '!F4461,"AAAAAEXf7fc=")</f>
        <v>#VALUE!</v>
      </c>
      <c r="IO199" t="e">
        <f>AND('STERLING CATALOG - DRY '!G4461,"AAAAAEXf7fg=")</f>
        <v>#VALUE!</v>
      </c>
      <c r="IP199" t="e">
        <f>AND('STERLING CATALOG - DRY '!H4461,"AAAAAEXf7fk=")</f>
        <v>#VALUE!</v>
      </c>
      <c r="IQ199" t="e">
        <f>AND('STERLING CATALOG - DRY '!I4461,"AAAAAEXf7fo=")</f>
        <v>#VALUE!</v>
      </c>
      <c r="IR199" t="e">
        <f>AND('STERLING CATALOG - DRY '!J4461,"AAAAAEXf7fs=")</f>
        <v>#VALUE!</v>
      </c>
      <c r="IS199">
        <f>IF('STERLING CATALOG - DRY '!4462:4462,"AAAAAEXf7fw=",0)</f>
        <v>0</v>
      </c>
      <c r="IT199" t="e">
        <f>AND('STERLING CATALOG - DRY '!A4462,"AAAAAEXf7f0=")</f>
        <v>#VALUE!</v>
      </c>
      <c r="IU199" t="e">
        <f>AND('STERLING CATALOG - DRY '!B4462,"AAAAAEXf7f4=")</f>
        <v>#VALUE!</v>
      </c>
      <c r="IV199" t="e">
        <f>AND('STERLING CATALOG - DRY '!C4462,"AAAAAEXf7f8=")</f>
        <v>#VALUE!</v>
      </c>
    </row>
    <row r="200" spans="1:256">
      <c r="A200" t="e">
        <f>AND('STERLING CATALOG - DRY '!D4462,"AAAAAHl76wA=")</f>
        <v>#VALUE!</v>
      </c>
      <c r="B200" t="e">
        <f>AND('STERLING CATALOG - DRY '!E4462,"AAAAAHl76wE=")</f>
        <v>#VALUE!</v>
      </c>
      <c r="C200" t="e">
        <f>AND('STERLING CATALOG - DRY '!F4462,"AAAAAHl76wI=")</f>
        <v>#VALUE!</v>
      </c>
      <c r="D200" t="e">
        <f>AND('STERLING CATALOG - DRY '!G4462,"AAAAAHl76wM=")</f>
        <v>#VALUE!</v>
      </c>
      <c r="E200" t="e">
        <f>AND('STERLING CATALOG - DRY '!H4462,"AAAAAHl76wQ=")</f>
        <v>#VALUE!</v>
      </c>
      <c r="F200" t="e">
        <f>AND('STERLING CATALOG - DRY '!I4462,"AAAAAHl76wU=")</f>
        <v>#VALUE!</v>
      </c>
      <c r="G200" t="e">
        <f>AND('STERLING CATALOG - DRY '!J4462,"AAAAAHl76wY=")</f>
        <v>#VALUE!</v>
      </c>
      <c r="H200" t="str">
        <f>IF('STERLING CATALOG - DRY '!4463:4463,"AAAAAHl76wc=",0)</f>
        <v>AAAAAHl76wc=</v>
      </c>
      <c r="I200" t="e">
        <f>AND('STERLING CATALOG - DRY '!A4463,"AAAAAHl76wg=")</f>
        <v>#VALUE!</v>
      </c>
      <c r="J200" t="e">
        <f>AND('STERLING CATALOG - DRY '!B4463,"AAAAAHl76wk=")</f>
        <v>#VALUE!</v>
      </c>
      <c r="K200" t="e">
        <f>AND('STERLING CATALOG - DRY '!C4463,"AAAAAHl76wo=")</f>
        <v>#VALUE!</v>
      </c>
      <c r="L200" t="e">
        <f>AND('STERLING CATALOG - DRY '!D4463,"AAAAAHl76ws=")</f>
        <v>#VALUE!</v>
      </c>
      <c r="M200" t="e">
        <f>AND('STERLING CATALOG - DRY '!E4463,"AAAAAHl76ww=")</f>
        <v>#VALUE!</v>
      </c>
      <c r="N200" t="e">
        <f>AND('STERLING CATALOG - DRY '!F4463,"AAAAAHl76w0=")</f>
        <v>#VALUE!</v>
      </c>
      <c r="O200" t="e">
        <f>AND('STERLING CATALOG - DRY '!G4463,"AAAAAHl76w4=")</f>
        <v>#VALUE!</v>
      </c>
      <c r="P200" t="e">
        <f>AND('STERLING CATALOG - DRY '!H4463,"AAAAAHl76w8=")</f>
        <v>#VALUE!</v>
      </c>
      <c r="Q200" t="e">
        <f>AND('STERLING CATALOG - DRY '!I4463,"AAAAAHl76xA=")</f>
        <v>#VALUE!</v>
      </c>
      <c r="R200" t="e">
        <f>AND('STERLING CATALOG - DRY '!J4463,"AAAAAHl76xE=")</f>
        <v>#VALUE!</v>
      </c>
      <c r="S200">
        <f>IF('STERLING CATALOG - DRY '!4464:4464,"AAAAAHl76xI=",0)</f>
        <v>0</v>
      </c>
      <c r="T200" t="e">
        <f>AND('STERLING CATALOG - DRY '!A4464,"AAAAAHl76xM=")</f>
        <v>#VALUE!</v>
      </c>
      <c r="U200" t="e">
        <f>AND('STERLING CATALOG - DRY '!B4464,"AAAAAHl76xQ=")</f>
        <v>#VALUE!</v>
      </c>
      <c r="V200" t="e">
        <f>AND('STERLING CATALOG - DRY '!C4464,"AAAAAHl76xU=")</f>
        <v>#VALUE!</v>
      </c>
      <c r="W200" t="e">
        <f>AND('STERLING CATALOG - DRY '!D4464,"AAAAAHl76xY=")</f>
        <v>#VALUE!</v>
      </c>
      <c r="X200" t="e">
        <f>AND('STERLING CATALOG - DRY '!E4464,"AAAAAHl76xc=")</f>
        <v>#VALUE!</v>
      </c>
      <c r="Y200" t="e">
        <f>AND('STERLING CATALOG - DRY '!F4464,"AAAAAHl76xg=")</f>
        <v>#VALUE!</v>
      </c>
      <c r="Z200" t="e">
        <f>AND('STERLING CATALOG - DRY '!G4464,"AAAAAHl76xk=")</f>
        <v>#VALUE!</v>
      </c>
      <c r="AA200" t="e">
        <f>AND('STERLING CATALOG - DRY '!H4464,"AAAAAHl76xo=")</f>
        <v>#VALUE!</v>
      </c>
      <c r="AB200" t="e">
        <f>AND('STERLING CATALOG - DRY '!I4464,"AAAAAHl76xs=")</f>
        <v>#VALUE!</v>
      </c>
      <c r="AC200" t="e">
        <f>AND('STERLING CATALOG - DRY '!J4464,"AAAAAHl76xw=")</f>
        <v>#VALUE!</v>
      </c>
      <c r="AD200">
        <f>IF('STERLING CATALOG - DRY '!4465:4465,"AAAAAHl76x0=",0)</f>
        <v>0</v>
      </c>
      <c r="AE200" t="e">
        <f>AND('STERLING CATALOG - DRY '!A4465,"AAAAAHl76x4=")</f>
        <v>#VALUE!</v>
      </c>
      <c r="AF200" t="e">
        <f>AND('STERLING CATALOG - DRY '!B4465,"AAAAAHl76x8=")</f>
        <v>#VALUE!</v>
      </c>
      <c r="AG200" t="e">
        <f>AND('STERLING CATALOG - DRY '!C4465,"AAAAAHl76yA=")</f>
        <v>#VALUE!</v>
      </c>
      <c r="AH200" t="e">
        <f>AND('STERLING CATALOG - DRY '!D4465,"AAAAAHl76yE=")</f>
        <v>#VALUE!</v>
      </c>
      <c r="AI200" t="e">
        <f>AND('STERLING CATALOG - DRY '!E4465,"AAAAAHl76yI=")</f>
        <v>#VALUE!</v>
      </c>
      <c r="AJ200" t="e">
        <f>AND('STERLING CATALOG - DRY '!F4465,"AAAAAHl76yM=")</f>
        <v>#VALUE!</v>
      </c>
      <c r="AK200" t="e">
        <f>AND('STERLING CATALOG - DRY '!G4465,"AAAAAHl76yQ=")</f>
        <v>#VALUE!</v>
      </c>
      <c r="AL200" t="e">
        <f>AND('STERLING CATALOG - DRY '!H4465,"AAAAAHl76yU=")</f>
        <v>#VALUE!</v>
      </c>
      <c r="AM200" t="e">
        <f>AND('STERLING CATALOG - DRY '!I4465,"AAAAAHl76yY=")</f>
        <v>#VALUE!</v>
      </c>
      <c r="AN200" t="e">
        <f>AND('STERLING CATALOG - DRY '!J4465,"AAAAAHl76yc=")</f>
        <v>#VALUE!</v>
      </c>
      <c r="AO200">
        <f>IF('STERLING CATALOG - DRY '!4466:4466,"AAAAAHl76yg=",0)</f>
        <v>0</v>
      </c>
      <c r="AP200" t="e">
        <f>AND('STERLING CATALOG - DRY '!A4466,"AAAAAHl76yk=")</f>
        <v>#VALUE!</v>
      </c>
      <c r="AQ200" t="e">
        <f>AND('STERLING CATALOG - DRY '!B4466,"AAAAAHl76yo=")</f>
        <v>#VALUE!</v>
      </c>
      <c r="AR200" t="e">
        <f>AND('STERLING CATALOG - DRY '!C4466,"AAAAAHl76ys=")</f>
        <v>#VALUE!</v>
      </c>
      <c r="AS200" t="e">
        <f>AND('STERLING CATALOG - DRY '!D4466,"AAAAAHl76yw=")</f>
        <v>#VALUE!</v>
      </c>
      <c r="AT200" t="e">
        <f>AND('STERLING CATALOG - DRY '!E4466,"AAAAAHl76y0=")</f>
        <v>#VALUE!</v>
      </c>
      <c r="AU200" t="e">
        <f>AND('STERLING CATALOG - DRY '!F4466,"AAAAAHl76y4=")</f>
        <v>#VALUE!</v>
      </c>
      <c r="AV200" t="e">
        <f>AND('STERLING CATALOG - DRY '!G4466,"AAAAAHl76y8=")</f>
        <v>#VALUE!</v>
      </c>
      <c r="AW200" t="e">
        <f>AND('STERLING CATALOG - DRY '!H4466,"AAAAAHl76zA=")</f>
        <v>#VALUE!</v>
      </c>
      <c r="AX200" t="e">
        <f>AND('STERLING CATALOG - DRY '!I4466,"AAAAAHl76zE=")</f>
        <v>#VALUE!</v>
      </c>
      <c r="AY200" t="e">
        <f>AND('STERLING CATALOG - DRY '!J4466,"AAAAAHl76zI=")</f>
        <v>#VALUE!</v>
      </c>
      <c r="AZ200">
        <f>IF('STERLING CATALOG - DRY '!4467:4467,"AAAAAHl76zM=",0)</f>
        <v>0</v>
      </c>
      <c r="BA200" t="e">
        <f>AND('STERLING CATALOG - DRY '!A4467,"AAAAAHl76zQ=")</f>
        <v>#VALUE!</v>
      </c>
      <c r="BB200" t="e">
        <f>AND('STERLING CATALOG - DRY '!B4467,"AAAAAHl76zU=")</f>
        <v>#VALUE!</v>
      </c>
      <c r="BC200" t="e">
        <f>AND('STERLING CATALOG - DRY '!C4467,"AAAAAHl76zY=")</f>
        <v>#VALUE!</v>
      </c>
      <c r="BD200" t="e">
        <f>AND('STERLING CATALOG - DRY '!D4467,"AAAAAHl76zc=")</f>
        <v>#VALUE!</v>
      </c>
      <c r="BE200" t="e">
        <f>AND('STERLING CATALOG - DRY '!E4467,"AAAAAHl76zg=")</f>
        <v>#VALUE!</v>
      </c>
      <c r="BF200" t="e">
        <f>AND('STERLING CATALOG - DRY '!F4467,"AAAAAHl76zk=")</f>
        <v>#VALUE!</v>
      </c>
      <c r="BG200" t="e">
        <f>AND('STERLING CATALOG - DRY '!G4467,"AAAAAHl76zo=")</f>
        <v>#VALUE!</v>
      </c>
      <c r="BH200" t="e">
        <f>AND('STERLING CATALOG - DRY '!H4467,"AAAAAHl76zs=")</f>
        <v>#VALUE!</v>
      </c>
      <c r="BI200" t="e">
        <f>AND('STERLING CATALOG - DRY '!I4467,"AAAAAHl76zw=")</f>
        <v>#VALUE!</v>
      </c>
      <c r="BJ200" t="e">
        <f>AND('STERLING CATALOG - DRY '!J4467,"AAAAAHl76z0=")</f>
        <v>#VALUE!</v>
      </c>
      <c r="BK200">
        <f>IF('STERLING CATALOG - DRY '!4468:4468,"AAAAAHl76z4=",0)</f>
        <v>0</v>
      </c>
      <c r="BL200" t="e">
        <f>AND('STERLING CATALOG - DRY '!A4468,"AAAAAHl76z8=")</f>
        <v>#VALUE!</v>
      </c>
      <c r="BM200" t="e">
        <f>AND('STERLING CATALOG - DRY '!B4468,"AAAAAHl760A=")</f>
        <v>#VALUE!</v>
      </c>
      <c r="BN200" t="e">
        <f>AND('STERLING CATALOG - DRY '!C4468,"AAAAAHl760E=")</f>
        <v>#VALUE!</v>
      </c>
      <c r="BO200" t="e">
        <f>AND('STERLING CATALOG - DRY '!D4468,"AAAAAHl760I=")</f>
        <v>#VALUE!</v>
      </c>
      <c r="BP200" t="e">
        <f>AND('STERLING CATALOG - DRY '!E4468,"AAAAAHl760M=")</f>
        <v>#VALUE!</v>
      </c>
      <c r="BQ200" t="e">
        <f>AND('STERLING CATALOG - DRY '!F4468,"AAAAAHl760Q=")</f>
        <v>#VALUE!</v>
      </c>
      <c r="BR200" t="e">
        <f>AND('STERLING CATALOG - DRY '!G4468,"AAAAAHl760U=")</f>
        <v>#VALUE!</v>
      </c>
      <c r="BS200" t="e">
        <f>AND('STERLING CATALOG - DRY '!H4468,"AAAAAHl760Y=")</f>
        <v>#VALUE!</v>
      </c>
      <c r="BT200" t="e">
        <f>AND('STERLING CATALOG - DRY '!I4468,"AAAAAHl760c=")</f>
        <v>#VALUE!</v>
      </c>
      <c r="BU200" t="e">
        <f>AND('STERLING CATALOG - DRY '!J4468,"AAAAAHl760g=")</f>
        <v>#VALUE!</v>
      </c>
      <c r="BV200">
        <f>IF('STERLING CATALOG - DRY '!4469:4469,"AAAAAHl760k=",0)</f>
        <v>0</v>
      </c>
      <c r="BW200" t="e">
        <f>AND('STERLING CATALOG - DRY '!A4469,"AAAAAHl760o=")</f>
        <v>#VALUE!</v>
      </c>
      <c r="BX200" t="e">
        <f>AND('STERLING CATALOG - DRY '!B4469,"AAAAAHl760s=")</f>
        <v>#VALUE!</v>
      </c>
      <c r="BY200" t="e">
        <f>AND('STERLING CATALOG - DRY '!C4469,"AAAAAHl760w=")</f>
        <v>#VALUE!</v>
      </c>
      <c r="BZ200" t="e">
        <f>AND('STERLING CATALOG - DRY '!D4469,"AAAAAHl7600=")</f>
        <v>#VALUE!</v>
      </c>
      <c r="CA200" t="e">
        <f>AND('STERLING CATALOG - DRY '!E4469,"AAAAAHl7604=")</f>
        <v>#VALUE!</v>
      </c>
      <c r="CB200" t="e">
        <f>AND('STERLING CATALOG - DRY '!F4469,"AAAAAHl7608=")</f>
        <v>#VALUE!</v>
      </c>
      <c r="CC200" t="e">
        <f>AND('STERLING CATALOG - DRY '!G4469,"AAAAAHl761A=")</f>
        <v>#VALUE!</v>
      </c>
      <c r="CD200" t="e">
        <f>AND('STERLING CATALOG - DRY '!H4469,"AAAAAHl761E=")</f>
        <v>#VALUE!</v>
      </c>
      <c r="CE200" t="e">
        <f>AND('STERLING CATALOG - DRY '!I4469,"AAAAAHl761I=")</f>
        <v>#VALUE!</v>
      </c>
      <c r="CF200" t="e">
        <f>AND('STERLING CATALOG - DRY '!J4469,"AAAAAHl761M=")</f>
        <v>#VALUE!</v>
      </c>
      <c r="CG200">
        <f>IF('STERLING CATALOG - DRY '!4470:4470,"AAAAAHl761Q=",0)</f>
        <v>0</v>
      </c>
      <c r="CH200" t="e">
        <f>AND('STERLING CATALOG - DRY '!A4470,"AAAAAHl761U=")</f>
        <v>#VALUE!</v>
      </c>
      <c r="CI200" t="e">
        <f>AND('STERLING CATALOG - DRY '!B4470,"AAAAAHl761Y=")</f>
        <v>#VALUE!</v>
      </c>
      <c r="CJ200" t="e">
        <f>AND('STERLING CATALOG - DRY '!C4470,"AAAAAHl761c=")</f>
        <v>#VALUE!</v>
      </c>
      <c r="CK200" t="e">
        <f>AND('STERLING CATALOG - DRY '!D4470,"AAAAAHl761g=")</f>
        <v>#VALUE!</v>
      </c>
      <c r="CL200" t="e">
        <f>AND('STERLING CATALOG - DRY '!E4470,"AAAAAHl761k=")</f>
        <v>#VALUE!</v>
      </c>
      <c r="CM200" t="e">
        <f>AND('STERLING CATALOG - DRY '!F4470,"AAAAAHl761o=")</f>
        <v>#VALUE!</v>
      </c>
      <c r="CN200" t="e">
        <f>AND('STERLING CATALOG - DRY '!G4470,"AAAAAHl761s=")</f>
        <v>#VALUE!</v>
      </c>
      <c r="CO200" t="e">
        <f>AND('STERLING CATALOG - DRY '!H4470,"AAAAAHl761w=")</f>
        <v>#VALUE!</v>
      </c>
      <c r="CP200" t="e">
        <f>AND('STERLING CATALOG - DRY '!I4470,"AAAAAHl7610=")</f>
        <v>#VALUE!</v>
      </c>
      <c r="CQ200" t="e">
        <f>AND('STERLING CATALOG - DRY '!J4470,"AAAAAHl7614=")</f>
        <v>#VALUE!</v>
      </c>
      <c r="CR200">
        <f>IF('STERLING CATALOG - DRY '!4471:4471,"AAAAAHl7618=",0)</f>
        <v>0</v>
      </c>
      <c r="CS200" t="e">
        <f>AND('STERLING CATALOG - DRY '!A4471,"AAAAAHl762A=")</f>
        <v>#VALUE!</v>
      </c>
      <c r="CT200" t="e">
        <f>AND('STERLING CATALOG - DRY '!B4471,"AAAAAHl762E=")</f>
        <v>#VALUE!</v>
      </c>
      <c r="CU200" t="e">
        <f>AND('STERLING CATALOG - DRY '!C4471,"AAAAAHl762I=")</f>
        <v>#VALUE!</v>
      </c>
      <c r="CV200" t="e">
        <f>AND('STERLING CATALOG - DRY '!D4471,"AAAAAHl762M=")</f>
        <v>#VALUE!</v>
      </c>
      <c r="CW200" t="e">
        <f>AND('STERLING CATALOG - DRY '!E4471,"AAAAAHl762Q=")</f>
        <v>#VALUE!</v>
      </c>
      <c r="CX200" t="e">
        <f>AND('STERLING CATALOG - DRY '!F4471,"AAAAAHl762U=")</f>
        <v>#VALUE!</v>
      </c>
      <c r="CY200" t="e">
        <f>AND('STERLING CATALOG - DRY '!G4471,"AAAAAHl762Y=")</f>
        <v>#VALUE!</v>
      </c>
      <c r="CZ200" t="e">
        <f>AND('STERLING CATALOG - DRY '!H4471,"AAAAAHl762c=")</f>
        <v>#VALUE!</v>
      </c>
      <c r="DA200" t="e">
        <f>AND('STERLING CATALOG - DRY '!I4471,"AAAAAHl762g=")</f>
        <v>#VALUE!</v>
      </c>
      <c r="DB200" t="e">
        <f>AND('STERLING CATALOG - DRY '!J4471,"AAAAAHl762k=")</f>
        <v>#VALUE!</v>
      </c>
      <c r="DC200">
        <f>IF('STERLING CATALOG - DRY '!4472:4472,"AAAAAHl762o=",0)</f>
        <v>0</v>
      </c>
      <c r="DD200" t="e">
        <f>AND('STERLING CATALOG - DRY '!A4472,"AAAAAHl762s=")</f>
        <v>#VALUE!</v>
      </c>
      <c r="DE200" t="e">
        <f>AND('STERLING CATALOG - DRY '!B4472,"AAAAAHl762w=")</f>
        <v>#VALUE!</v>
      </c>
      <c r="DF200" t="e">
        <f>AND('STERLING CATALOG - DRY '!C4472,"AAAAAHl7620=")</f>
        <v>#VALUE!</v>
      </c>
      <c r="DG200" t="e">
        <f>AND('STERLING CATALOG - DRY '!D4472,"AAAAAHl7624=")</f>
        <v>#VALUE!</v>
      </c>
      <c r="DH200" t="e">
        <f>AND('STERLING CATALOG - DRY '!E4472,"AAAAAHl7628=")</f>
        <v>#VALUE!</v>
      </c>
      <c r="DI200" t="e">
        <f>AND('STERLING CATALOG - DRY '!F4472,"AAAAAHl763A=")</f>
        <v>#VALUE!</v>
      </c>
      <c r="DJ200" t="e">
        <f>AND('STERLING CATALOG - DRY '!G4472,"AAAAAHl763E=")</f>
        <v>#VALUE!</v>
      </c>
      <c r="DK200" t="e">
        <f>AND('STERLING CATALOG - DRY '!H4472,"AAAAAHl763I=")</f>
        <v>#VALUE!</v>
      </c>
      <c r="DL200" t="e">
        <f>AND('STERLING CATALOG - DRY '!I4472,"AAAAAHl763M=")</f>
        <v>#VALUE!</v>
      </c>
      <c r="DM200" t="e">
        <f>AND('STERLING CATALOG - DRY '!J4472,"AAAAAHl763Q=")</f>
        <v>#VALUE!</v>
      </c>
      <c r="DN200">
        <f>IF('STERLING CATALOG - DRY '!4473:4473,"AAAAAHl763U=",0)</f>
        <v>0</v>
      </c>
      <c r="DO200" t="e">
        <f>AND('STERLING CATALOG - DRY '!A4473,"AAAAAHl763Y=")</f>
        <v>#VALUE!</v>
      </c>
      <c r="DP200" t="e">
        <f>AND('STERLING CATALOG - DRY '!B4473,"AAAAAHl763c=")</f>
        <v>#VALUE!</v>
      </c>
      <c r="DQ200" t="e">
        <f>AND('STERLING CATALOG - DRY '!C4473,"AAAAAHl763g=")</f>
        <v>#VALUE!</v>
      </c>
      <c r="DR200" t="e">
        <f>AND('STERLING CATALOG - DRY '!D4473,"AAAAAHl763k=")</f>
        <v>#VALUE!</v>
      </c>
      <c r="DS200" t="e">
        <f>AND('STERLING CATALOG - DRY '!E4473,"AAAAAHl763o=")</f>
        <v>#VALUE!</v>
      </c>
      <c r="DT200" t="e">
        <f>AND('STERLING CATALOG - DRY '!F4473,"AAAAAHl763s=")</f>
        <v>#VALUE!</v>
      </c>
      <c r="DU200" t="e">
        <f>AND('STERLING CATALOG - DRY '!G4473,"AAAAAHl763w=")</f>
        <v>#VALUE!</v>
      </c>
      <c r="DV200" t="e">
        <f>AND('STERLING CATALOG - DRY '!H4473,"AAAAAHl7630=")</f>
        <v>#VALUE!</v>
      </c>
      <c r="DW200" t="e">
        <f>AND('STERLING CATALOG - DRY '!I4473,"AAAAAHl7634=")</f>
        <v>#VALUE!</v>
      </c>
      <c r="DX200" t="e">
        <f>AND('STERLING CATALOG - DRY '!J4473,"AAAAAHl7638=")</f>
        <v>#VALUE!</v>
      </c>
      <c r="DY200">
        <f>IF('STERLING CATALOG - DRY '!4474:4474,"AAAAAHl764A=",0)</f>
        <v>0</v>
      </c>
      <c r="DZ200" t="e">
        <f>AND('STERLING CATALOG - DRY '!A4474,"AAAAAHl764E=")</f>
        <v>#VALUE!</v>
      </c>
      <c r="EA200" t="e">
        <f>AND('STERLING CATALOG - DRY '!B4474,"AAAAAHl764I=")</f>
        <v>#VALUE!</v>
      </c>
      <c r="EB200" t="e">
        <f>AND('STERLING CATALOG - DRY '!C4474,"AAAAAHl764M=")</f>
        <v>#VALUE!</v>
      </c>
      <c r="EC200" t="e">
        <f>AND('STERLING CATALOG - DRY '!D4474,"AAAAAHl764Q=")</f>
        <v>#VALUE!</v>
      </c>
      <c r="ED200" t="e">
        <f>AND('STERLING CATALOG - DRY '!E4474,"AAAAAHl764U=")</f>
        <v>#VALUE!</v>
      </c>
      <c r="EE200" t="e">
        <f>AND('STERLING CATALOG - DRY '!F4474,"AAAAAHl764Y=")</f>
        <v>#VALUE!</v>
      </c>
      <c r="EF200" t="e">
        <f>AND('STERLING CATALOG - DRY '!G4474,"AAAAAHl764c=")</f>
        <v>#VALUE!</v>
      </c>
      <c r="EG200" t="e">
        <f>AND('STERLING CATALOG - DRY '!H4474,"AAAAAHl764g=")</f>
        <v>#VALUE!</v>
      </c>
      <c r="EH200" t="e">
        <f>AND('STERLING CATALOG - DRY '!I4474,"AAAAAHl764k=")</f>
        <v>#VALUE!</v>
      </c>
      <c r="EI200" t="e">
        <f>AND('STERLING CATALOG - DRY '!J4474,"AAAAAHl764o=")</f>
        <v>#VALUE!</v>
      </c>
      <c r="EJ200">
        <f>IF('STERLING CATALOG - DRY '!4475:4475,"AAAAAHl764s=",0)</f>
        <v>0</v>
      </c>
      <c r="EK200" t="e">
        <f>AND('STERLING CATALOG - DRY '!A4475,"AAAAAHl764w=")</f>
        <v>#VALUE!</v>
      </c>
      <c r="EL200" t="e">
        <f>AND('STERLING CATALOG - DRY '!B4475,"AAAAAHl7640=")</f>
        <v>#VALUE!</v>
      </c>
      <c r="EM200" t="e">
        <f>AND('STERLING CATALOG - DRY '!C4475,"AAAAAHl7644=")</f>
        <v>#VALUE!</v>
      </c>
      <c r="EN200" t="e">
        <f>AND('STERLING CATALOG - DRY '!D4475,"AAAAAHl7648=")</f>
        <v>#VALUE!</v>
      </c>
      <c r="EO200" t="e">
        <f>AND('STERLING CATALOG - DRY '!E4475,"AAAAAHl765A=")</f>
        <v>#VALUE!</v>
      </c>
      <c r="EP200" t="e">
        <f>AND('STERLING CATALOG - DRY '!F4475,"AAAAAHl765E=")</f>
        <v>#VALUE!</v>
      </c>
      <c r="EQ200" t="e">
        <f>AND('STERLING CATALOG - DRY '!G4475,"AAAAAHl765I=")</f>
        <v>#VALUE!</v>
      </c>
      <c r="ER200" t="e">
        <f>AND('STERLING CATALOG - DRY '!H4475,"AAAAAHl765M=")</f>
        <v>#VALUE!</v>
      </c>
      <c r="ES200" t="e">
        <f>AND('STERLING CATALOG - DRY '!I4475,"AAAAAHl765Q=")</f>
        <v>#VALUE!</v>
      </c>
      <c r="ET200" t="e">
        <f>AND('STERLING CATALOG - DRY '!J4475,"AAAAAHl765U=")</f>
        <v>#VALUE!</v>
      </c>
      <c r="EU200">
        <f>IF('STERLING CATALOG - DRY '!4476:4476,"AAAAAHl765Y=",0)</f>
        <v>0</v>
      </c>
      <c r="EV200" t="e">
        <f>AND('STERLING CATALOG - DRY '!A4476,"AAAAAHl765c=")</f>
        <v>#VALUE!</v>
      </c>
      <c r="EW200" t="e">
        <f>AND('STERLING CATALOG - DRY '!B4476,"AAAAAHl765g=")</f>
        <v>#VALUE!</v>
      </c>
      <c r="EX200" t="e">
        <f>AND('STERLING CATALOG - DRY '!C4476,"AAAAAHl765k=")</f>
        <v>#VALUE!</v>
      </c>
      <c r="EY200" t="e">
        <f>AND('STERLING CATALOG - DRY '!D4476,"AAAAAHl765o=")</f>
        <v>#VALUE!</v>
      </c>
      <c r="EZ200" t="e">
        <f>AND('STERLING CATALOG - DRY '!E4476,"AAAAAHl765s=")</f>
        <v>#VALUE!</v>
      </c>
      <c r="FA200" t="e">
        <f>AND('STERLING CATALOG - DRY '!F4476,"AAAAAHl765w=")</f>
        <v>#VALUE!</v>
      </c>
      <c r="FB200" t="e">
        <f>AND('STERLING CATALOG - DRY '!G4476,"AAAAAHl7650=")</f>
        <v>#VALUE!</v>
      </c>
      <c r="FC200" t="e">
        <f>AND('STERLING CATALOG - DRY '!H4476,"AAAAAHl7654=")</f>
        <v>#VALUE!</v>
      </c>
      <c r="FD200" t="e">
        <f>AND('STERLING CATALOG - DRY '!I4476,"AAAAAHl7658=")</f>
        <v>#VALUE!</v>
      </c>
      <c r="FE200" t="e">
        <f>AND('STERLING CATALOG - DRY '!J4476,"AAAAAHl766A=")</f>
        <v>#VALUE!</v>
      </c>
      <c r="FF200">
        <f>IF('STERLING CATALOG - DRY '!4477:4477,"AAAAAHl766E=",0)</f>
        <v>0</v>
      </c>
      <c r="FG200" t="e">
        <f>AND('STERLING CATALOG - DRY '!A4477,"AAAAAHl766I=")</f>
        <v>#VALUE!</v>
      </c>
      <c r="FH200" t="e">
        <f>AND('STERLING CATALOG - DRY '!B4477,"AAAAAHl766M=")</f>
        <v>#VALUE!</v>
      </c>
      <c r="FI200" t="e">
        <f>AND('STERLING CATALOG - DRY '!C4477,"AAAAAHl766Q=")</f>
        <v>#VALUE!</v>
      </c>
      <c r="FJ200" t="e">
        <f>AND('STERLING CATALOG - DRY '!D4477,"AAAAAHl766U=")</f>
        <v>#VALUE!</v>
      </c>
      <c r="FK200" t="e">
        <f>AND('STERLING CATALOG - DRY '!E4477,"AAAAAHl766Y=")</f>
        <v>#VALUE!</v>
      </c>
      <c r="FL200" t="e">
        <f>AND('STERLING CATALOG - DRY '!F4477,"AAAAAHl766c=")</f>
        <v>#VALUE!</v>
      </c>
      <c r="FM200" t="e">
        <f>AND('STERLING CATALOG - DRY '!G4477,"AAAAAHl766g=")</f>
        <v>#VALUE!</v>
      </c>
      <c r="FN200" t="e">
        <f>AND('STERLING CATALOG - DRY '!H4477,"AAAAAHl766k=")</f>
        <v>#VALUE!</v>
      </c>
      <c r="FO200" t="e">
        <f>AND('STERLING CATALOG - DRY '!I4477,"AAAAAHl766o=")</f>
        <v>#VALUE!</v>
      </c>
      <c r="FP200" t="e">
        <f>AND('STERLING CATALOG - DRY '!J4477,"AAAAAHl766s=")</f>
        <v>#VALUE!</v>
      </c>
      <c r="FQ200">
        <f>IF('STERLING CATALOG - DRY '!4478:4478,"AAAAAHl766w=",0)</f>
        <v>0</v>
      </c>
      <c r="FR200" t="e">
        <f>AND('STERLING CATALOG - DRY '!A4478,"AAAAAHl7660=")</f>
        <v>#VALUE!</v>
      </c>
      <c r="FS200" t="e">
        <f>AND('STERLING CATALOG - DRY '!B4478,"AAAAAHl7664=")</f>
        <v>#VALUE!</v>
      </c>
      <c r="FT200" t="e">
        <f>AND('STERLING CATALOG - DRY '!C4478,"AAAAAHl7668=")</f>
        <v>#VALUE!</v>
      </c>
      <c r="FU200" t="e">
        <f>AND('STERLING CATALOG - DRY '!D4478,"AAAAAHl767A=")</f>
        <v>#VALUE!</v>
      </c>
      <c r="FV200" t="e">
        <f>AND('STERLING CATALOG - DRY '!E4478,"AAAAAHl767E=")</f>
        <v>#VALUE!</v>
      </c>
      <c r="FW200" t="e">
        <f>AND('STERLING CATALOG - DRY '!F4478,"AAAAAHl767I=")</f>
        <v>#VALUE!</v>
      </c>
      <c r="FX200" t="e">
        <f>AND('STERLING CATALOG - DRY '!G4478,"AAAAAHl767M=")</f>
        <v>#VALUE!</v>
      </c>
      <c r="FY200" t="e">
        <f>AND('STERLING CATALOG - DRY '!H4478,"AAAAAHl767Q=")</f>
        <v>#VALUE!</v>
      </c>
      <c r="FZ200" t="e">
        <f>AND('STERLING CATALOG - DRY '!I4478,"AAAAAHl767U=")</f>
        <v>#VALUE!</v>
      </c>
      <c r="GA200" t="e">
        <f>AND('STERLING CATALOG - DRY '!J4478,"AAAAAHl767Y=")</f>
        <v>#VALUE!</v>
      </c>
      <c r="GB200">
        <f>IF('STERLING CATALOG - DRY '!4479:4479,"AAAAAHl767c=",0)</f>
        <v>0</v>
      </c>
      <c r="GC200" t="e">
        <f>AND('STERLING CATALOG - DRY '!A4479,"AAAAAHl767g=")</f>
        <v>#VALUE!</v>
      </c>
      <c r="GD200" t="e">
        <f>AND('STERLING CATALOG - DRY '!B4479,"AAAAAHl767k=")</f>
        <v>#VALUE!</v>
      </c>
      <c r="GE200" t="e">
        <f>AND('STERLING CATALOG - DRY '!C4479,"AAAAAHl767o=")</f>
        <v>#VALUE!</v>
      </c>
      <c r="GF200" t="e">
        <f>AND('STERLING CATALOG - DRY '!D4479,"AAAAAHl767s=")</f>
        <v>#VALUE!</v>
      </c>
      <c r="GG200" t="e">
        <f>AND('STERLING CATALOG - DRY '!E4479,"AAAAAHl767w=")</f>
        <v>#VALUE!</v>
      </c>
      <c r="GH200" t="e">
        <f>AND('STERLING CATALOG - DRY '!F4479,"AAAAAHl7670=")</f>
        <v>#VALUE!</v>
      </c>
      <c r="GI200" t="e">
        <f>AND('STERLING CATALOG - DRY '!G4479,"AAAAAHl7674=")</f>
        <v>#VALUE!</v>
      </c>
      <c r="GJ200" t="e">
        <f>AND('STERLING CATALOG - DRY '!H4479,"AAAAAHl7678=")</f>
        <v>#VALUE!</v>
      </c>
      <c r="GK200" t="e">
        <f>AND('STERLING CATALOG - DRY '!I4479,"AAAAAHl768A=")</f>
        <v>#VALUE!</v>
      </c>
      <c r="GL200" t="e">
        <f>AND('STERLING CATALOG - DRY '!J4479,"AAAAAHl768E=")</f>
        <v>#VALUE!</v>
      </c>
      <c r="GM200">
        <f>IF('STERLING CATALOG - DRY '!4480:4480,"AAAAAHl768I=",0)</f>
        <v>0</v>
      </c>
      <c r="GN200" t="e">
        <f>AND('STERLING CATALOG - DRY '!A4480,"AAAAAHl768M=")</f>
        <v>#VALUE!</v>
      </c>
      <c r="GO200" t="e">
        <f>AND('STERLING CATALOG - DRY '!B4480,"AAAAAHl768Q=")</f>
        <v>#VALUE!</v>
      </c>
      <c r="GP200" t="e">
        <f>AND('STERLING CATALOG - DRY '!C4480,"AAAAAHl768U=")</f>
        <v>#VALUE!</v>
      </c>
      <c r="GQ200" t="e">
        <f>AND('STERLING CATALOG - DRY '!D4480,"AAAAAHl768Y=")</f>
        <v>#VALUE!</v>
      </c>
      <c r="GR200" t="e">
        <f>AND('STERLING CATALOG - DRY '!E4480,"AAAAAHl768c=")</f>
        <v>#VALUE!</v>
      </c>
      <c r="GS200" t="e">
        <f>AND('STERLING CATALOG - DRY '!F4480,"AAAAAHl768g=")</f>
        <v>#VALUE!</v>
      </c>
      <c r="GT200" t="e">
        <f>AND('STERLING CATALOG - DRY '!G4480,"AAAAAHl768k=")</f>
        <v>#VALUE!</v>
      </c>
      <c r="GU200" t="e">
        <f>AND('STERLING CATALOG - DRY '!H4480,"AAAAAHl768o=")</f>
        <v>#VALUE!</v>
      </c>
      <c r="GV200" t="e">
        <f>AND('STERLING CATALOG - DRY '!I4480,"AAAAAHl768s=")</f>
        <v>#VALUE!</v>
      </c>
      <c r="GW200" t="e">
        <f>AND('STERLING CATALOG - DRY '!J4480,"AAAAAHl768w=")</f>
        <v>#VALUE!</v>
      </c>
      <c r="GX200">
        <f>IF('STERLING CATALOG - DRY '!4481:4481,"AAAAAHl7680=",0)</f>
        <v>0</v>
      </c>
      <c r="GY200" t="e">
        <f>AND('STERLING CATALOG - DRY '!A4481,"AAAAAHl7684=")</f>
        <v>#VALUE!</v>
      </c>
      <c r="GZ200" t="e">
        <f>AND('STERLING CATALOG - DRY '!B4481,"AAAAAHl7688=")</f>
        <v>#VALUE!</v>
      </c>
      <c r="HA200" t="e">
        <f>AND('STERLING CATALOG - DRY '!C4481,"AAAAAHl769A=")</f>
        <v>#VALUE!</v>
      </c>
      <c r="HB200" t="e">
        <f>AND('STERLING CATALOG - DRY '!D4481,"AAAAAHl769E=")</f>
        <v>#VALUE!</v>
      </c>
      <c r="HC200" t="e">
        <f>AND('STERLING CATALOG - DRY '!E4481,"AAAAAHl769I=")</f>
        <v>#VALUE!</v>
      </c>
      <c r="HD200" t="e">
        <f>AND('STERLING CATALOG - DRY '!F4481,"AAAAAHl769M=")</f>
        <v>#VALUE!</v>
      </c>
      <c r="HE200" t="e">
        <f>AND('STERLING CATALOG - DRY '!G4481,"AAAAAHl769Q=")</f>
        <v>#VALUE!</v>
      </c>
      <c r="HF200" t="e">
        <f>AND('STERLING CATALOG - DRY '!H4481,"AAAAAHl769U=")</f>
        <v>#VALUE!</v>
      </c>
      <c r="HG200" t="e">
        <f>AND('STERLING CATALOG - DRY '!I4481,"AAAAAHl769Y=")</f>
        <v>#VALUE!</v>
      </c>
      <c r="HH200" t="e">
        <f>AND('STERLING CATALOG - DRY '!J4481,"AAAAAHl769c=")</f>
        <v>#VALUE!</v>
      </c>
      <c r="HI200">
        <f>IF('STERLING CATALOG - DRY '!4482:4482,"AAAAAHl769g=",0)</f>
        <v>0</v>
      </c>
      <c r="HJ200" t="e">
        <f>AND('STERLING CATALOG - DRY '!A4482,"AAAAAHl769k=")</f>
        <v>#VALUE!</v>
      </c>
      <c r="HK200" t="e">
        <f>AND('STERLING CATALOG - DRY '!B4482,"AAAAAHl769o=")</f>
        <v>#VALUE!</v>
      </c>
      <c r="HL200" t="e">
        <f>AND('STERLING CATALOG - DRY '!C4482,"AAAAAHl769s=")</f>
        <v>#VALUE!</v>
      </c>
      <c r="HM200" t="e">
        <f>AND('STERLING CATALOG - DRY '!D4482,"AAAAAHl769w=")</f>
        <v>#VALUE!</v>
      </c>
      <c r="HN200" t="e">
        <f>AND('STERLING CATALOG - DRY '!E4482,"AAAAAHl7690=")</f>
        <v>#VALUE!</v>
      </c>
      <c r="HO200" t="e">
        <f>AND('STERLING CATALOG - DRY '!F4482,"AAAAAHl7694=")</f>
        <v>#VALUE!</v>
      </c>
      <c r="HP200" t="e">
        <f>AND('STERLING CATALOG - DRY '!G4482,"AAAAAHl7698=")</f>
        <v>#VALUE!</v>
      </c>
      <c r="HQ200" t="e">
        <f>AND('STERLING CATALOG - DRY '!H4482,"AAAAAHl76+A=")</f>
        <v>#VALUE!</v>
      </c>
      <c r="HR200" t="e">
        <f>AND('STERLING CATALOG - DRY '!I4482,"AAAAAHl76+E=")</f>
        <v>#VALUE!</v>
      </c>
      <c r="HS200" t="e">
        <f>AND('STERLING CATALOG - DRY '!J4482,"AAAAAHl76+I=")</f>
        <v>#VALUE!</v>
      </c>
      <c r="HT200">
        <f>IF('STERLING CATALOG - DRY '!4483:4483,"AAAAAHl76+M=",0)</f>
        <v>0</v>
      </c>
      <c r="HU200" t="e">
        <f>AND('STERLING CATALOG - DRY '!A4483,"AAAAAHl76+Q=")</f>
        <v>#VALUE!</v>
      </c>
      <c r="HV200" t="e">
        <f>AND('STERLING CATALOG - DRY '!B4483,"AAAAAHl76+U=")</f>
        <v>#VALUE!</v>
      </c>
      <c r="HW200" t="e">
        <f>AND('STERLING CATALOG - DRY '!C4483,"AAAAAHl76+Y=")</f>
        <v>#VALUE!</v>
      </c>
      <c r="HX200" t="e">
        <f>AND('STERLING CATALOG - DRY '!D4483,"AAAAAHl76+c=")</f>
        <v>#VALUE!</v>
      </c>
      <c r="HY200" t="e">
        <f>AND('STERLING CATALOG - DRY '!E4483,"AAAAAHl76+g=")</f>
        <v>#VALUE!</v>
      </c>
      <c r="HZ200" t="e">
        <f>AND('STERLING CATALOG - DRY '!F4483,"AAAAAHl76+k=")</f>
        <v>#VALUE!</v>
      </c>
      <c r="IA200" t="e">
        <f>AND('STERLING CATALOG - DRY '!G4483,"AAAAAHl76+o=")</f>
        <v>#VALUE!</v>
      </c>
      <c r="IB200" t="e">
        <f>AND('STERLING CATALOG - DRY '!H4483,"AAAAAHl76+s=")</f>
        <v>#VALUE!</v>
      </c>
      <c r="IC200" t="e">
        <f>AND('STERLING CATALOG - DRY '!I4483,"AAAAAHl76+w=")</f>
        <v>#VALUE!</v>
      </c>
      <c r="ID200" t="e">
        <f>AND('STERLING CATALOG - DRY '!J4483,"AAAAAHl76+0=")</f>
        <v>#VALUE!</v>
      </c>
      <c r="IE200">
        <f>IF('STERLING CATALOG - DRY '!4484:4484,"AAAAAHl76+4=",0)</f>
        <v>0</v>
      </c>
      <c r="IF200" t="e">
        <f>AND('STERLING CATALOG - DRY '!A4484,"AAAAAHl76+8=")</f>
        <v>#VALUE!</v>
      </c>
      <c r="IG200" t="e">
        <f>AND('STERLING CATALOG - DRY '!B4484,"AAAAAHl76/A=")</f>
        <v>#VALUE!</v>
      </c>
      <c r="IH200" t="e">
        <f>AND('STERLING CATALOG - DRY '!C4484,"AAAAAHl76/E=")</f>
        <v>#VALUE!</v>
      </c>
      <c r="II200" t="e">
        <f>AND('STERLING CATALOG - DRY '!D4484,"AAAAAHl76/I=")</f>
        <v>#VALUE!</v>
      </c>
      <c r="IJ200" t="e">
        <f>AND('STERLING CATALOG - DRY '!E4484,"AAAAAHl76/M=")</f>
        <v>#VALUE!</v>
      </c>
      <c r="IK200" t="e">
        <f>AND('STERLING CATALOG - DRY '!F4484,"AAAAAHl76/Q=")</f>
        <v>#VALUE!</v>
      </c>
      <c r="IL200" t="e">
        <f>AND('STERLING CATALOG - DRY '!G4484,"AAAAAHl76/U=")</f>
        <v>#VALUE!</v>
      </c>
      <c r="IM200" t="e">
        <f>AND('STERLING CATALOG - DRY '!H4484,"AAAAAHl76/Y=")</f>
        <v>#VALUE!</v>
      </c>
      <c r="IN200" t="e">
        <f>AND('STERLING CATALOG - DRY '!I4484,"AAAAAHl76/c=")</f>
        <v>#VALUE!</v>
      </c>
      <c r="IO200" t="e">
        <f>AND('STERLING CATALOG - DRY '!J4484,"AAAAAHl76/g=")</f>
        <v>#VALUE!</v>
      </c>
      <c r="IP200">
        <f>IF('STERLING CATALOG - DRY '!4485:4485,"AAAAAHl76/k=",0)</f>
        <v>0</v>
      </c>
      <c r="IQ200" t="e">
        <f>AND('STERLING CATALOG - DRY '!A4485,"AAAAAHl76/o=")</f>
        <v>#VALUE!</v>
      </c>
      <c r="IR200" t="e">
        <f>AND('STERLING CATALOG - DRY '!B4485,"AAAAAHl76/s=")</f>
        <v>#VALUE!</v>
      </c>
      <c r="IS200" t="e">
        <f>AND('STERLING CATALOG - DRY '!C4485,"AAAAAHl76/w=")</f>
        <v>#VALUE!</v>
      </c>
      <c r="IT200" t="e">
        <f>AND('STERLING CATALOG - DRY '!D4485,"AAAAAHl76/0=")</f>
        <v>#VALUE!</v>
      </c>
      <c r="IU200" t="e">
        <f>AND('STERLING CATALOG - DRY '!E4485,"AAAAAHl76/4=")</f>
        <v>#VALUE!</v>
      </c>
      <c r="IV200" t="e">
        <f>AND('STERLING CATALOG - DRY '!F4485,"AAAAAHl76/8=")</f>
        <v>#VALUE!</v>
      </c>
    </row>
    <row r="201" spans="1:256">
      <c r="A201" t="e">
        <f>AND('STERLING CATALOG - DRY '!G4485,"AAAAAD7zxgA=")</f>
        <v>#VALUE!</v>
      </c>
      <c r="B201" t="e">
        <f>AND('STERLING CATALOG - DRY '!H4485,"AAAAAD7zxgE=")</f>
        <v>#VALUE!</v>
      </c>
      <c r="C201" t="e">
        <f>AND('STERLING CATALOG - DRY '!I4485,"AAAAAD7zxgI=")</f>
        <v>#VALUE!</v>
      </c>
      <c r="D201" t="e">
        <f>AND('STERLING CATALOG - DRY '!J4485,"AAAAAD7zxgM=")</f>
        <v>#VALUE!</v>
      </c>
      <c r="E201" t="e">
        <f>IF('STERLING CATALOG - DRY '!4486:4486,"AAAAAD7zxgQ=",0)</f>
        <v>#VALUE!</v>
      </c>
      <c r="F201" t="e">
        <f>AND('STERLING CATALOG - DRY '!A4486,"AAAAAD7zxgU=")</f>
        <v>#VALUE!</v>
      </c>
      <c r="G201" t="e">
        <f>AND('STERLING CATALOG - DRY '!B4486,"AAAAAD7zxgY=")</f>
        <v>#VALUE!</v>
      </c>
      <c r="H201" t="e">
        <f>AND('STERLING CATALOG - DRY '!C4486,"AAAAAD7zxgc=")</f>
        <v>#VALUE!</v>
      </c>
      <c r="I201" t="e">
        <f>AND('STERLING CATALOG - DRY '!D4486,"AAAAAD7zxgg=")</f>
        <v>#VALUE!</v>
      </c>
      <c r="J201" t="e">
        <f>AND('STERLING CATALOG - DRY '!E4486,"AAAAAD7zxgk=")</f>
        <v>#VALUE!</v>
      </c>
      <c r="K201" t="e">
        <f>AND('STERLING CATALOG - DRY '!F4486,"AAAAAD7zxgo=")</f>
        <v>#VALUE!</v>
      </c>
      <c r="L201" t="e">
        <f>AND('STERLING CATALOG - DRY '!G4486,"AAAAAD7zxgs=")</f>
        <v>#VALUE!</v>
      </c>
      <c r="M201" t="e">
        <f>AND('STERLING CATALOG - DRY '!H4486,"AAAAAD7zxgw=")</f>
        <v>#VALUE!</v>
      </c>
      <c r="N201" t="e">
        <f>AND('STERLING CATALOG - DRY '!I4486,"AAAAAD7zxg0=")</f>
        <v>#VALUE!</v>
      </c>
      <c r="O201" t="e">
        <f>AND('STERLING CATALOG - DRY '!J4486,"AAAAAD7zxg4=")</f>
        <v>#VALUE!</v>
      </c>
      <c r="P201">
        <f>IF('STERLING CATALOG - DRY '!4487:4487,"AAAAAD7zxg8=",0)</f>
        <v>0</v>
      </c>
      <c r="Q201" t="e">
        <f>AND('STERLING CATALOG - DRY '!A4487,"AAAAAD7zxhA=")</f>
        <v>#VALUE!</v>
      </c>
      <c r="R201" t="e">
        <f>AND('STERLING CATALOG - DRY '!B4487,"AAAAAD7zxhE=")</f>
        <v>#VALUE!</v>
      </c>
      <c r="S201" t="e">
        <f>AND('STERLING CATALOG - DRY '!C4487,"AAAAAD7zxhI=")</f>
        <v>#VALUE!</v>
      </c>
      <c r="T201" t="e">
        <f>AND('STERLING CATALOG - DRY '!D4487,"AAAAAD7zxhM=")</f>
        <v>#VALUE!</v>
      </c>
      <c r="U201" t="e">
        <f>AND('STERLING CATALOG - DRY '!E4487,"AAAAAD7zxhQ=")</f>
        <v>#VALUE!</v>
      </c>
      <c r="V201" t="e">
        <f>AND('STERLING CATALOG - DRY '!F4487,"AAAAAD7zxhU=")</f>
        <v>#VALUE!</v>
      </c>
      <c r="W201" t="e">
        <f>AND('STERLING CATALOG - DRY '!G4487,"AAAAAD7zxhY=")</f>
        <v>#VALUE!</v>
      </c>
      <c r="X201" t="e">
        <f>AND('STERLING CATALOG - DRY '!H4487,"AAAAAD7zxhc=")</f>
        <v>#VALUE!</v>
      </c>
      <c r="Y201" t="e">
        <f>AND('STERLING CATALOG - DRY '!I4487,"AAAAAD7zxhg=")</f>
        <v>#VALUE!</v>
      </c>
      <c r="Z201" t="e">
        <f>AND('STERLING CATALOG - DRY '!J4487,"AAAAAD7zxhk=")</f>
        <v>#VALUE!</v>
      </c>
      <c r="AA201">
        <f>IF('STERLING CATALOG - DRY '!4488:4488,"AAAAAD7zxho=",0)</f>
        <v>0</v>
      </c>
      <c r="AB201" t="e">
        <f>AND('STERLING CATALOG - DRY '!A4488,"AAAAAD7zxhs=")</f>
        <v>#VALUE!</v>
      </c>
      <c r="AC201" t="e">
        <f>AND('STERLING CATALOG - DRY '!B4488,"AAAAAD7zxhw=")</f>
        <v>#VALUE!</v>
      </c>
      <c r="AD201" t="e">
        <f>AND('STERLING CATALOG - DRY '!C4488,"AAAAAD7zxh0=")</f>
        <v>#VALUE!</v>
      </c>
      <c r="AE201" t="e">
        <f>AND('STERLING CATALOG - DRY '!D4488,"AAAAAD7zxh4=")</f>
        <v>#VALUE!</v>
      </c>
      <c r="AF201" t="e">
        <f>AND('STERLING CATALOG - DRY '!E4488,"AAAAAD7zxh8=")</f>
        <v>#VALUE!</v>
      </c>
      <c r="AG201" t="e">
        <f>AND('STERLING CATALOG - DRY '!F4488,"AAAAAD7zxiA=")</f>
        <v>#VALUE!</v>
      </c>
      <c r="AH201" t="e">
        <f>AND('STERLING CATALOG - DRY '!G4488,"AAAAAD7zxiE=")</f>
        <v>#VALUE!</v>
      </c>
      <c r="AI201" t="e">
        <f>AND('STERLING CATALOG - DRY '!H4488,"AAAAAD7zxiI=")</f>
        <v>#VALUE!</v>
      </c>
      <c r="AJ201" t="e">
        <f>AND('STERLING CATALOG - DRY '!I4488,"AAAAAD7zxiM=")</f>
        <v>#VALUE!</v>
      </c>
      <c r="AK201" t="e">
        <f>AND('STERLING CATALOG - DRY '!J4488,"AAAAAD7zxiQ=")</f>
        <v>#VALUE!</v>
      </c>
      <c r="AL201">
        <f>IF('STERLING CATALOG - DRY '!4489:4489,"AAAAAD7zxiU=",0)</f>
        <v>0</v>
      </c>
      <c r="AM201" t="e">
        <f>AND('STERLING CATALOG - DRY '!A4489,"AAAAAD7zxiY=")</f>
        <v>#VALUE!</v>
      </c>
      <c r="AN201" t="e">
        <f>AND('STERLING CATALOG - DRY '!B4489,"AAAAAD7zxic=")</f>
        <v>#VALUE!</v>
      </c>
      <c r="AO201" t="e">
        <f>AND('STERLING CATALOG - DRY '!C4489,"AAAAAD7zxig=")</f>
        <v>#VALUE!</v>
      </c>
      <c r="AP201" t="e">
        <f>AND('STERLING CATALOG - DRY '!D4489,"AAAAAD7zxik=")</f>
        <v>#VALUE!</v>
      </c>
      <c r="AQ201" t="e">
        <f>AND('STERLING CATALOG - DRY '!E4489,"AAAAAD7zxio=")</f>
        <v>#VALUE!</v>
      </c>
      <c r="AR201" t="e">
        <f>AND('STERLING CATALOG - DRY '!F4489,"AAAAAD7zxis=")</f>
        <v>#VALUE!</v>
      </c>
      <c r="AS201" t="e">
        <f>AND('STERLING CATALOG - DRY '!G4489,"AAAAAD7zxiw=")</f>
        <v>#VALUE!</v>
      </c>
      <c r="AT201" t="e">
        <f>AND('STERLING CATALOG - DRY '!H4489,"AAAAAD7zxi0=")</f>
        <v>#VALUE!</v>
      </c>
      <c r="AU201" t="e">
        <f>AND('STERLING CATALOG - DRY '!I4489,"AAAAAD7zxi4=")</f>
        <v>#VALUE!</v>
      </c>
      <c r="AV201" t="e">
        <f>AND('STERLING CATALOG - DRY '!J4489,"AAAAAD7zxi8=")</f>
        <v>#VALUE!</v>
      </c>
      <c r="AW201">
        <f>IF('STERLING CATALOG - DRY '!4490:4490,"AAAAAD7zxjA=",0)</f>
        <v>0</v>
      </c>
      <c r="AX201" t="e">
        <f>AND('STERLING CATALOG - DRY '!A4490,"AAAAAD7zxjE=")</f>
        <v>#VALUE!</v>
      </c>
      <c r="AY201" t="e">
        <f>AND('STERLING CATALOG - DRY '!B4490,"AAAAAD7zxjI=")</f>
        <v>#VALUE!</v>
      </c>
      <c r="AZ201" t="e">
        <f>AND('STERLING CATALOG - DRY '!C4490,"AAAAAD7zxjM=")</f>
        <v>#VALUE!</v>
      </c>
      <c r="BA201" t="e">
        <f>AND('STERLING CATALOG - DRY '!D4490,"AAAAAD7zxjQ=")</f>
        <v>#VALUE!</v>
      </c>
      <c r="BB201" t="e">
        <f>AND('STERLING CATALOG - DRY '!E4490,"AAAAAD7zxjU=")</f>
        <v>#VALUE!</v>
      </c>
      <c r="BC201" t="e">
        <f>AND('STERLING CATALOG - DRY '!F4490,"AAAAAD7zxjY=")</f>
        <v>#VALUE!</v>
      </c>
      <c r="BD201" t="e">
        <f>AND('STERLING CATALOG - DRY '!G4490,"AAAAAD7zxjc=")</f>
        <v>#VALUE!</v>
      </c>
      <c r="BE201" t="e">
        <f>AND('STERLING CATALOG - DRY '!H4490,"AAAAAD7zxjg=")</f>
        <v>#VALUE!</v>
      </c>
      <c r="BF201" t="e">
        <f>AND('STERLING CATALOG - DRY '!I4490,"AAAAAD7zxjk=")</f>
        <v>#VALUE!</v>
      </c>
      <c r="BG201" t="e">
        <f>AND('STERLING CATALOG - DRY '!J4490,"AAAAAD7zxjo=")</f>
        <v>#VALUE!</v>
      </c>
      <c r="BH201">
        <f>IF('STERLING CATALOG - DRY '!4491:4491,"AAAAAD7zxjs=",0)</f>
        <v>0</v>
      </c>
      <c r="BI201" t="e">
        <f>AND('STERLING CATALOG - DRY '!A4491,"AAAAAD7zxjw=")</f>
        <v>#VALUE!</v>
      </c>
      <c r="BJ201" t="e">
        <f>AND('STERLING CATALOG - DRY '!B4491,"AAAAAD7zxj0=")</f>
        <v>#VALUE!</v>
      </c>
      <c r="BK201" t="e">
        <f>AND('STERLING CATALOG - DRY '!C4491,"AAAAAD7zxj4=")</f>
        <v>#VALUE!</v>
      </c>
      <c r="BL201" t="e">
        <f>AND('STERLING CATALOG - DRY '!D4491,"AAAAAD7zxj8=")</f>
        <v>#VALUE!</v>
      </c>
      <c r="BM201" t="e">
        <f>AND('STERLING CATALOG - DRY '!E4491,"AAAAAD7zxkA=")</f>
        <v>#VALUE!</v>
      </c>
      <c r="BN201" t="e">
        <f>AND('STERLING CATALOG - DRY '!F4491,"AAAAAD7zxkE=")</f>
        <v>#VALUE!</v>
      </c>
      <c r="BO201" t="e">
        <f>AND('STERLING CATALOG - DRY '!G4491,"AAAAAD7zxkI=")</f>
        <v>#VALUE!</v>
      </c>
      <c r="BP201" t="e">
        <f>AND('STERLING CATALOG - DRY '!H4491,"AAAAAD7zxkM=")</f>
        <v>#VALUE!</v>
      </c>
      <c r="BQ201" t="e">
        <f>AND('STERLING CATALOG - DRY '!I4491,"AAAAAD7zxkQ=")</f>
        <v>#VALUE!</v>
      </c>
      <c r="BR201" t="e">
        <f>AND('STERLING CATALOG - DRY '!J4491,"AAAAAD7zxkU=")</f>
        <v>#VALUE!</v>
      </c>
      <c r="BS201">
        <f>IF('STERLING CATALOG - DRY '!4492:4492,"AAAAAD7zxkY=",0)</f>
        <v>0</v>
      </c>
      <c r="BT201" t="e">
        <f>AND('STERLING CATALOG - DRY '!A4492,"AAAAAD7zxkc=")</f>
        <v>#VALUE!</v>
      </c>
      <c r="BU201" t="e">
        <f>AND('STERLING CATALOG - DRY '!B4492,"AAAAAD7zxkg=")</f>
        <v>#VALUE!</v>
      </c>
      <c r="BV201" t="e">
        <f>AND('STERLING CATALOG - DRY '!C4492,"AAAAAD7zxkk=")</f>
        <v>#VALUE!</v>
      </c>
      <c r="BW201" t="e">
        <f>AND('STERLING CATALOG - DRY '!D4492,"AAAAAD7zxko=")</f>
        <v>#VALUE!</v>
      </c>
      <c r="BX201" t="e">
        <f>AND('STERLING CATALOG - DRY '!E4492,"AAAAAD7zxks=")</f>
        <v>#VALUE!</v>
      </c>
      <c r="BY201" t="e">
        <f>AND('STERLING CATALOG - DRY '!F4492,"AAAAAD7zxkw=")</f>
        <v>#VALUE!</v>
      </c>
      <c r="BZ201" t="e">
        <f>AND('STERLING CATALOG - DRY '!G4492,"AAAAAD7zxk0=")</f>
        <v>#VALUE!</v>
      </c>
      <c r="CA201" t="e">
        <f>AND('STERLING CATALOG - DRY '!H4492,"AAAAAD7zxk4=")</f>
        <v>#VALUE!</v>
      </c>
      <c r="CB201" t="e">
        <f>AND('STERLING CATALOG - DRY '!I4492,"AAAAAD7zxk8=")</f>
        <v>#VALUE!</v>
      </c>
      <c r="CC201" t="e">
        <f>AND('STERLING CATALOG - DRY '!J4492,"AAAAAD7zxlA=")</f>
        <v>#VALUE!</v>
      </c>
      <c r="CD201">
        <f>IF('STERLING CATALOG - DRY '!4493:4493,"AAAAAD7zxlE=",0)</f>
        <v>0</v>
      </c>
      <c r="CE201" t="e">
        <f>AND('STERLING CATALOG - DRY '!A4493,"AAAAAD7zxlI=")</f>
        <v>#VALUE!</v>
      </c>
      <c r="CF201" t="e">
        <f>AND('STERLING CATALOG - DRY '!B4493,"AAAAAD7zxlM=")</f>
        <v>#VALUE!</v>
      </c>
      <c r="CG201" t="e">
        <f>AND('STERLING CATALOG - DRY '!C4493,"AAAAAD7zxlQ=")</f>
        <v>#VALUE!</v>
      </c>
      <c r="CH201" t="e">
        <f>AND('STERLING CATALOG - DRY '!D4493,"AAAAAD7zxlU=")</f>
        <v>#VALUE!</v>
      </c>
      <c r="CI201" t="e">
        <f>AND('STERLING CATALOG - DRY '!E4493,"AAAAAD7zxlY=")</f>
        <v>#VALUE!</v>
      </c>
      <c r="CJ201" t="e">
        <f>AND('STERLING CATALOG - DRY '!F4493,"AAAAAD7zxlc=")</f>
        <v>#VALUE!</v>
      </c>
      <c r="CK201" t="e">
        <f>AND('STERLING CATALOG - DRY '!G4493,"AAAAAD7zxlg=")</f>
        <v>#VALUE!</v>
      </c>
      <c r="CL201" t="e">
        <f>AND('STERLING CATALOG - DRY '!H4493,"AAAAAD7zxlk=")</f>
        <v>#VALUE!</v>
      </c>
      <c r="CM201" t="e">
        <f>AND('STERLING CATALOG - DRY '!I4493,"AAAAAD7zxlo=")</f>
        <v>#VALUE!</v>
      </c>
      <c r="CN201" t="e">
        <f>AND('STERLING CATALOG - DRY '!J4493,"AAAAAD7zxls=")</f>
        <v>#VALUE!</v>
      </c>
      <c r="CO201">
        <f>IF('STERLING CATALOG - DRY '!4494:4494,"AAAAAD7zxlw=",0)</f>
        <v>0</v>
      </c>
      <c r="CP201" t="e">
        <f>AND('STERLING CATALOG - DRY '!A4494,"AAAAAD7zxl0=")</f>
        <v>#VALUE!</v>
      </c>
      <c r="CQ201" t="e">
        <f>AND('STERLING CATALOG - DRY '!B4494,"AAAAAD7zxl4=")</f>
        <v>#VALUE!</v>
      </c>
      <c r="CR201" t="e">
        <f>AND('STERLING CATALOG - DRY '!C4494,"AAAAAD7zxl8=")</f>
        <v>#VALUE!</v>
      </c>
      <c r="CS201" t="e">
        <f>AND('STERLING CATALOG - DRY '!D4494,"AAAAAD7zxmA=")</f>
        <v>#VALUE!</v>
      </c>
      <c r="CT201" t="e">
        <f>AND('STERLING CATALOG - DRY '!E4494,"AAAAAD7zxmE=")</f>
        <v>#VALUE!</v>
      </c>
      <c r="CU201" t="e">
        <f>AND('STERLING CATALOG - DRY '!F4494,"AAAAAD7zxmI=")</f>
        <v>#VALUE!</v>
      </c>
      <c r="CV201" t="e">
        <f>AND('STERLING CATALOG - DRY '!G4494,"AAAAAD7zxmM=")</f>
        <v>#VALUE!</v>
      </c>
      <c r="CW201" t="e">
        <f>AND('STERLING CATALOG - DRY '!H4494,"AAAAAD7zxmQ=")</f>
        <v>#VALUE!</v>
      </c>
      <c r="CX201" t="e">
        <f>AND('STERLING CATALOG - DRY '!I4494,"AAAAAD7zxmU=")</f>
        <v>#VALUE!</v>
      </c>
      <c r="CY201" t="e">
        <f>AND('STERLING CATALOG - DRY '!J4494,"AAAAAD7zxmY=")</f>
        <v>#VALUE!</v>
      </c>
      <c r="CZ201">
        <f>IF('STERLING CATALOG - DRY '!4495:4495,"AAAAAD7zxmc=",0)</f>
        <v>0</v>
      </c>
      <c r="DA201" t="e">
        <f>AND('STERLING CATALOG - DRY '!A4495,"AAAAAD7zxmg=")</f>
        <v>#VALUE!</v>
      </c>
      <c r="DB201" t="e">
        <f>AND('STERLING CATALOG - DRY '!B4495,"AAAAAD7zxmk=")</f>
        <v>#VALUE!</v>
      </c>
      <c r="DC201" t="e">
        <f>AND('STERLING CATALOG - DRY '!C4495,"AAAAAD7zxmo=")</f>
        <v>#VALUE!</v>
      </c>
      <c r="DD201" t="e">
        <f>AND('STERLING CATALOG - DRY '!D4495,"AAAAAD7zxms=")</f>
        <v>#VALUE!</v>
      </c>
      <c r="DE201" t="e">
        <f>AND('STERLING CATALOG - DRY '!E4495,"AAAAAD7zxmw=")</f>
        <v>#VALUE!</v>
      </c>
      <c r="DF201" t="e">
        <f>AND('STERLING CATALOG - DRY '!F4495,"AAAAAD7zxm0=")</f>
        <v>#VALUE!</v>
      </c>
      <c r="DG201" t="e">
        <f>AND('STERLING CATALOG - DRY '!G4495,"AAAAAD7zxm4=")</f>
        <v>#VALUE!</v>
      </c>
      <c r="DH201" t="e">
        <f>AND('STERLING CATALOG - DRY '!H4495,"AAAAAD7zxm8=")</f>
        <v>#VALUE!</v>
      </c>
      <c r="DI201" t="e">
        <f>AND('STERLING CATALOG - DRY '!I4495,"AAAAAD7zxnA=")</f>
        <v>#VALUE!</v>
      </c>
      <c r="DJ201" t="e">
        <f>AND('STERLING CATALOG - DRY '!J4495,"AAAAAD7zxnE=")</f>
        <v>#VALUE!</v>
      </c>
      <c r="DK201">
        <f>IF('STERLING CATALOG - DRY '!4496:4496,"AAAAAD7zxnI=",0)</f>
        <v>0</v>
      </c>
      <c r="DL201" t="e">
        <f>AND('STERLING CATALOG - DRY '!A4496,"AAAAAD7zxnM=")</f>
        <v>#VALUE!</v>
      </c>
      <c r="DM201" t="e">
        <f>AND('STERLING CATALOG - DRY '!B4496,"AAAAAD7zxnQ=")</f>
        <v>#VALUE!</v>
      </c>
      <c r="DN201" t="e">
        <f>AND('STERLING CATALOG - DRY '!C4496,"AAAAAD7zxnU=")</f>
        <v>#VALUE!</v>
      </c>
      <c r="DO201" t="e">
        <f>AND('STERLING CATALOG - DRY '!D4496,"AAAAAD7zxnY=")</f>
        <v>#VALUE!</v>
      </c>
      <c r="DP201" t="e">
        <f>AND('STERLING CATALOG - DRY '!E4496,"AAAAAD7zxnc=")</f>
        <v>#VALUE!</v>
      </c>
      <c r="DQ201" t="e">
        <f>AND('STERLING CATALOG - DRY '!F4496,"AAAAAD7zxng=")</f>
        <v>#VALUE!</v>
      </c>
      <c r="DR201" t="e">
        <f>AND('STERLING CATALOG - DRY '!G4496,"AAAAAD7zxnk=")</f>
        <v>#VALUE!</v>
      </c>
      <c r="DS201" t="e">
        <f>AND('STERLING CATALOG - DRY '!H4496,"AAAAAD7zxno=")</f>
        <v>#VALUE!</v>
      </c>
      <c r="DT201" t="e">
        <f>AND('STERLING CATALOG - DRY '!I4496,"AAAAAD7zxns=")</f>
        <v>#VALUE!</v>
      </c>
      <c r="DU201" t="e">
        <f>AND('STERLING CATALOG - DRY '!J4496,"AAAAAD7zxnw=")</f>
        <v>#VALUE!</v>
      </c>
      <c r="DV201">
        <f>IF('STERLING CATALOG - DRY '!4497:4497,"AAAAAD7zxn0=",0)</f>
        <v>0</v>
      </c>
      <c r="DW201" t="e">
        <f>AND('STERLING CATALOG - DRY '!A4497,"AAAAAD7zxn4=")</f>
        <v>#VALUE!</v>
      </c>
      <c r="DX201" t="e">
        <f>AND('STERLING CATALOG - DRY '!B4497,"AAAAAD7zxn8=")</f>
        <v>#VALUE!</v>
      </c>
      <c r="DY201" t="e">
        <f>AND('STERLING CATALOG - DRY '!C4497,"AAAAAD7zxoA=")</f>
        <v>#VALUE!</v>
      </c>
      <c r="DZ201" t="e">
        <f>AND('STERLING CATALOG - DRY '!D4497,"AAAAAD7zxoE=")</f>
        <v>#VALUE!</v>
      </c>
      <c r="EA201" t="e">
        <f>AND('STERLING CATALOG - DRY '!E4497,"AAAAAD7zxoI=")</f>
        <v>#VALUE!</v>
      </c>
      <c r="EB201" t="e">
        <f>AND('STERLING CATALOG - DRY '!F4497,"AAAAAD7zxoM=")</f>
        <v>#VALUE!</v>
      </c>
      <c r="EC201" t="e">
        <f>AND('STERLING CATALOG - DRY '!G4497,"AAAAAD7zxoQ=")</f>
        <v>#VALUE!</v>
      </c>
      <c r="ED201" t="e">
        <f>AND('STERLING CATALOG - DRY '!H4497,"AAAAAD7zxoU=")</f>
        <v>#VALUE!</v>
      </c>
      <c r="EE201" t="e">
        <f>AND('STERLING CATALOG - DRY '!I4497,"AAAAAD7zxoY=")</f>
        <v>#VALUE!</v>
      </c>
      <c r="EF201" t="e">
        <f>AND('STERLING CATALOG - DRY '!J4497,"AAAAAD7zxoc=")</f>
        <v>#VALUE!</v>
      </c>
      <c r="EG201">
        <f>IF('STERLING CATALOG - DRY '!4498:4498,"AAAAAD7zxog=",0)</f>
        <v>0</v>
      </c>
      <c r="EH201" t="e">
        <f>AND('STERLING CATALOG - DRY '!A4498,"AAAAAD7zxok=")</f>
        <v>#VALUE!</v>
      </c>
      <c r="EI201" t="e">
        <f>AND('STERLING CATALOG - DRY '!B4498,"AAAAAD7zxoo=")</f>
        <v>#VALUE!</v>
      </c>
      <c r="EJ201" t="e">
        <f>AND('STERLING CATALOG - DRY '!C4498,"AAAAAD7zxos=")</f>
        <v>#VALUE!</v>
      </c>
      <c r="EK201" t="e">
        <f>AND('STERLING CATALOG - DRY '!D4498,"AAAAAD7zxow=")</f>
        <v>#VALUE!</v>
      </c>
      <c r="EL201" t="e">
        <f>AND('STERLING CATALOG - DRY '!E4498,"AAAAAD7zxo0=")</f>
        <v>#VALUE!</v>
      </c>
      <c r="EM201" t="e">
        <f>AND('STERLING CATALOG - DRY '!F4498,"AAAAAD7zxo4=")</f>
        <v>#VALUE!</v>
      </c>
      <c r="EN201" t="e">
        <f>AND('STERLING CATALOG - DRY '!G4498,"AAAAAD7zxo8=")</f>
        <v>#VALUE!</v>
      </c>
      <c r="EO201" t="e">
        <f>AND('STERLING CATALOG - DRY '!H4498,"AAAAAD7zxpA=")</f>
        <v>#VALUE!</v>
      </c>
      <c r="EP201" t="e">
        <f>AND('STERLING CATALOG - DRY '!I4498,"AAAAAD7zxpE=")</f>
        <v>#VALUE!</v>
      </c>
      <c r="EQ201" t="e">
        <f>AND('STERLING CATALOG - DRY '!J4498,"AAAAAD7zxpI=")</f>
        <v>#VALUE!</v>
      </c>
      <c r="ER201">
        <f>IF('STERLING CATALOG - DRY '!4499:4499,"AAAAAD7zxpM=",0)</f>
        <v>0</v>
      </c>
      <c r="ES201" t="e">
        <f>AND('STERLING CATALOG - DRY '!A4499,"AAAAAD7zxpQ=")</f>
        <v>#VALUE!</v>
      </c>
      <c r="ET201" t="e">
        <f>AND('STERLING CATALOG - DRY '!B4499,"AAAAAD7zxpU=")</f>
        <v>#VALUE!</v>
      </c>
      <c r="EU201" t="e">
        <f>AND('STERLING CATALOG - DRY '!C4499,"AAAAAD7zxpY=")</f>
        <v>#VALUE!</v>
      </c>
      <c r="EV201" t="e">
        <f>AND('STERLING CATALOG - DRY '!D4499,"AAAAAD7zxpc=")</f>
        <v>#VALUE!</v>
      </c>
      <c r="EW201" t="e">
        <f>AND('STERLING CATALOG - DRY '!E4499,"AAAAAD7zxpg=")</f>
        <v>#VALUE!</v>
      </c>
      <c r="EX201" t="e">
        <f>AND('STERLING CATALOG - DRY '!F4499,"AAAAAD7zxpk=")</f>
        <v>#VALUE!</v>
      </c>
      <c r="EY201" t="e">
        <f>AND('STERLING CATALOG - DRY '!G4499,"AAAAAD7zxpo=")</f>
        <v>#VALUE!</v>
      </c>
      <c r="EZ201" t="e">
        <f>AND('STERLING CATALOG - DRY '!H4499,"AAAAAD7zxps=")</f>
        <v>#VALUE!</v>
      </c>
      <c r="FA201" t="e">
        <f>AND('STERLING CATALOG - DRY '!I4499,"AAAAAD7zxpw=")</f>
        <v>#VALUE!</v>
      </c>
      <c r="FB201" t="e">
        <f>AND('STERLING CATALOG - DRY '!J4499,"AAAAAD7zxp0=")</f>
        <v>#VALUE!</v>
      </c>
      <c r="FC201">
        <f>IF('STERLING CATALOG - DRY '!4500:4500,"AAAAAD7zxp4=",0)</f>
        <v>0</v>
      </c>
      <c r="FD201" t="e">
        <f>AND('STERLING CATALOG - DRY '!A4500,"AAAAAD7zxp8=")</f>
        <v>#VALUE!</v>
      </c>
      <c r="FE201" t="e">
        <f>AND('STERLING CATALOG - DRY '!B4500,"AAAAAD7zxqA=")</f>
        <v>#VALUE!</v>
      </c>
      <c r="FF201" t="e">
        <f>AND('STERLING CATALOG - DRY '!C4500,"AAAAAD7zxqE=")</f>
        <v>#VALUE!</v>
      </c>
      <c r="FG201" t="e">
        <f>AND('STERLING CATALOG - DRY '!D4500,"AAAAAD7zxqI=")</f>
        <v>#VALUE!</v>
      </c>
      <c r="FH201" t="e">
        <f>AND('STERLING CATALOG - DRY '!E4500,"AAAAAD7zxqM=")</f>
        <v>#VALUE!</v>
      </c>
      <c r="FI201" t="e">
        <f>AND('STERLING CATALOG - DRY '!F4500,"AAAAAD7zxqQ=")</f>
        <v>#VALUE!</v>
      </c>
      <c r="FJ201" t="e">
        <f>AND('STERLING CATALOG - DRY '!G4500,"AAAAAD7zxqU=")</f>
        <v>#VALUE!</v>
      </c>
      <c r="FK201" t="e">
        <f>AND('STERLING CATALOG - DRY '!H4500,"AAAAAD7zxqY=")</f>
        <v>#VALUE!</v>
      </c>
      <c r="FL201" t="e">
        <f>AND('STERLING CATALOG - DRY '!I4500,"AAAAAD7zxqc=")</f>
        <v>#VALUE!</v>
      </c>
      <c r="FM201" t="e">
        <f>AND('STERLING CATALOG - DRY '!J4500,"AAAAAD7zxqg=")</f>
        <v>#VALUE!</v>
      </c>
      <c r="FN201">
        <f>IF('STERLING CATALOG - DRY '!4501:4501,"AAAAAD7zxqk=",0)</f>
        <v>0</v>
      </c>
      <c r="FO201" t="e">
        <f>AND('STERLING CATALOG - DRY '!A4501,"AAAAAD7zxqo=")</f>
        <v>#VALUE!</v>
      </c>
      <c r="FP201" t="e">
        <f>AND('STERLING CATALOG - DRY '!B4501,"AAAAAD7zxqs=")</f>
        <v>#VALUE!</v>
      </c>
      <c r="FQ201" t="e">
        <f>AND('STERLING CATALOG - DRY '!C4501,"AAAAAD7zxqw=")</f>
        <v>#VALUE!</v>
      </c>
      <c r="FR201" t="e">
        <f>AND('STERLING CATALOG - DRY '!D4501,"AAAAAD7zxq0=")</f>
        <v>#VALUE!</v>
      </c>
      <c r="FS201" t="e">
        <f>AND('STERLING CATALOG - DRY '!E4501,"AAAAAD7zxq4=")</f>
        <v>#VALUE!</v>
      </c>
      <c r="FT201" t="e">
        <f>AND('STERLING CATALOG - DRY '!F4501,"AAAAAD7zxq8=")</f>
        <v>#VALUE!</v>
      </c>
      <c r="FU201" t="e">
        <f>AND('STERLING CATALOG - DRY '!G4501,"AAAAAD7zxrA=")</f>
        <v>#VALUE!</v>
      </c>
      <c r="FV201" t="e">
        <f>AND('STERLING CATALOG - DRY '!H4501,"AAAAAD7zxrE=")</f>
        <v>#VALUE!</v>
      </c>
      <c r="FW201" t="e">
        <f>AND('STERLING CATALOG - DRY '!I4501,"AAAAAD7zxrI=")</f>
        <v>#VALUE!</v>
      </c>
      <c r="FX201" t="e">
        <f>AND('STERLING CATALOG - DRY '!J4501,"AAAAAD7zxrM=")</f>
        <v>#VALUE!</v>
      </c>
      <c r="FY201">
        <f>IF('STERLING CATALOG - DRY '!4502:4502,"AAAAAD7zxrQ=",0)</f>
        <v>0</v>
      </c>
      <c r="FZ201" t="e">
        <f>AND('STERLING CATALOG - DRY '!A4502,"AAAAAD7zxrU=")</f>
        <v>#VALUE!</v>
      </c>
      <c r="GA201" t="e">
        <f>AND('STERLING CATALOG - DRY '!B4502,"AAAAAD7zxrY=")</f>
        <v>#VALUE!</v>
      </c>
      <c r="GB201" t="e">
        <f>AND('STERLING CATALOG - DRY '!C4502,"AAAAAD7zxrc=")</f>
        <v>#VALUE!</v>
      </c>
      <c r="GC201" t="e">
        <f>AND('STERLING CATALOG - DRY '!D4502,"AAAAAD7zxrg=")</f>
        <v>#VALUE!</v>
      </c>
      <c r="GD201" t="e">
        <f>AND('STERLING CATALOG - DRY '!E4502,"AAAAAD7zxrk=")</f>
        <v>#VALUE!</v>
      </c>
      <c r="GE201" t="e">
        <f>AND('STERLING CATALOG - DRY '!F4502,"AAAAAD7zxro=")</f>
        <v>#VALUE!</v>
      </c>
      <c r="GF201" t="e">
        <f>AND('STERLING CATALOG - DRY '!G4502,"AAAAAD7zxrs=")</f>
        <v>#VALUE!</v>
      </c>
      <c r="GG201" t="e">
        <f>AND('STERLING CATALOG - DRY '!H4502,"AAAAAD7zxrw=")</f>
        <v>#VALUE!</v>
      </c>
      <c r="GH201" t="e">
        <f>AND('STERLING CATALOG - DRY '!I4502,"AAAAAD7zxr0=")</f>
        <v>#VALUE!</v>
      </c>
      <c r="GI201" t="e">
        <f>AND('STERLING CATALOG - DRY '!J4502,"AAAAAD7zxr4=")</f>
        <v>#VALUE!</v>
      </c>
      <c r="GJ201">
        <f>IF('STERLING CATALOG - DRY '!4503:4503,"AAAAAD7zxr8=",0)</f>
        <v>0</v>
      </c>
      <c r="GK201" t="e">
        <f>AND('STERLING CATALOG - DRY '!A4503,"AAAAAD7zxsA=")</f>
        <v>#VALUE!</v>
      </c>
      <c r="GL201" t="e">
        <f>AND('STERLING CATALOG - DRY '!B4503,"AAAAAD7zxsE=")</f>
        <v>#VALUE!</v>
      </c>
      <c r="GM201" t="e">
        <f>AND('STERLING CATALOG - DRY '!C4503,"AAAAAD7zxsI=")</f>
        <v>#VALUE!</v>
      </c>
      <c r="GN201" t="e">
        <f>AND('STERLING CATALOG - DRY '!D4503,"AAAAAD7zxsM=")</f>
        <v>#VALUE!</v>
      </c>
      <c r="GO201" t="e">
        <f>AND('STERLING CATALOG - DRY '!E4503,"AAAAAD7zxsQ=")</f>
        <v>#VALUE!</v>
      </c>
      <c r="GP201" t="e">
        <f>AND('STERLING CATALOG - DRY '!F4503,"AAAAAD7zxsU=")</f>
        <v>#VALUE!</v>
      </c>
      <c r="GQ201" t="e">
        <f>AND('STERLING CATALOG - DRY '!G4503,"AAAAAD7zxsY=")</f>
        <v>#VALUE!</v>
      </c>
      <c r="GR201" t="e">
        <f>AND('STERLING CATALOG - DRY '!H4503,"AAAAAD7zxsc=")</f>
        <v>#VALUE!</v>
      </c>
      <c r="GS201" t="e">
        <f>AND('STERLING CATALOG - DRY '!I4503,"AAAAAD7zxsg=")</f>
        <v>#VALUE!</v>
      </c>
      <c r="GT201" t="e">
        <f>AND('STERLING CATALOG - DRY '!J4503,"AAAAAD7zxsk=")</f>
        <v>#VALUE!</v>
      </c>
      <c r="GU201">
        <f>IF('STERLING CATALOG - DRY '!4504:4504,"AAAAAD7zxso=",0)</f>
        <v>0</v>
      </c>
      <c r="GV201" t="e">
        <f>AND('STERLING CATALOG - DRY '!A4504,"AAAAAD7zxss=")</f>
        <v>#VALUE!</v>
      </c>
      <c r="GW201" t="e">
        <f>AND('STERLING CATALOG - DRY '!B4504,"AAAAAD7zxsw=")</f>
        <v>#VALUE!</v>
      </c>
      <c r="GX201" t="e">
        <f>AND('STERLING CATALOG - DRY '!C4504,"AAAAAD7zxs0=")</f>
        <v>#VALUE!</v>
      </c>
      <c r="GY201" t="e">
        <f>AND('STERLING CATALOG - DRY '!D4504,"AAAAAD7zxs4=")</f>
        <v>#VALUE!</v>
      </c>
      <c r="GZ201" t="e">
        <f>AND('STERLING CATALOG - DRY '!E4504,"AAAAAD7zxs8=")</f>
        <v>#VALUE!</v>
      </c>
      <c r="HA201" t="e">
        <f>AND('STERLING CATALOG - DRY '!F4504,"AAAAAD7zxtA=")</f>
        <v>#VALUE!</v>
      </c>
      <c r="HB201" t="e">
        <f>AND('STERLING CATALOG - DRY '!G4504,"AAAAAD7zxtE=")</f>
        <v>#VALUE!</v>
      </c>
      <c r="HC201" t="e">
        <f>AND('STERLING CATALOG - DRY '!H4504,"AAAAAD7zxtI=")</f>
        <v>#VALUE!</v>
      </c>
      <c r="HD201" t="e">
        <f>AND('STERLING CATALOG - DRY '!I4504,"AAAAAD7zxtM=")</f>
        <v>#VALUE!</v>
      </c>
      <c r="HE201" t="e">
        <f>AND('STERLING CATALOG - DRY '!J4504,"AAAAAD7zxtQ=")</f>
        <v>#VALUE!</v>
      </c>
      <c r="HF201">
        <f>IF('STERLING CATALOG - DRY '!4505:4505,"AAAAAD7zxtU=",0)</f>
        <v>0</v>
      </c>
      <c r="HG201" t="e">
        <f>AND('STERLING CATALOG - DRY '!A4505,"AAAAAD7zxtY=")</f>
        <v>#VALUE!</v>
      </c>
      <c r="HH201" t="e">
        <f>AND('STERLING CATALOG - DRY '!B4505,"AAAAAD7zxtc=")</f>
        <v>#VALUE!</v>
      </c>
      <c r="HI201" t="e">
        <f>AND('STERLING CATALOG - DRY '!C4505,"AAAAAD7zxtg=")</f>
        <v>#VALUE!</v>
      </c>
      <c r="HJ201" t="e">
        <f>AND('STERLING CATALOG - DRY '!D4505,"AAAAAD7zxtk=")</f>
        <v>#VALUE!</v>
      </c>
      <c r="HK201" t="e">
        <f>AND('STERLING CATALOG - DRY '!E4505,"AAAAAD7zxto=")</f>
        <v>#VALUE!</v>
      </c>
      <c r="HL201" t="e">
        <f>AND('STERLING CATALOG - DRY '!F4505,"AAAAAD7zxts=")</f>
        <v>#VALUE!</v>
      </c>
      <c r="HM201" t="e">
        <f>AND('STERLING CATALOG - DRY '!G4505,"AAAAAD7zxtw=")</f>
        <v>#VALUE!</v>
      </c>
      <c r="HN201" t="e">
        <f>AND('STERLING CATALOG - DRY '!H4505,"AAAAAD7zxt0=")</f>
        <v>#VALUE!</v>
      </c>
      <c r="HO201" t="e">
        <f>AND('STERLING CATALOG - DRY '!I4505,"AAAAAD7zxt4=")</f>
        <v>#VALUE!</v>
      </c>
      <c r="HP201" t="e">
        <f>AND('STERLING CATALOG - DRY '!J4505,"AAAAAD7zxt8=")</f>
        <v>#VALUE!</v>
      </c>
      <c r="HQ201">
        <f>IF('STERLING CATALOG - DRY '!4506:4506,"AAAAAD7zxuA=",0)</f>
        <v>0</v>
      </c>
      <c r="HR201" t="e">
        <f>AND('STERLING CATALOG - DRY '!A4506,"AAAAAD7zxuE=")</f>
        <v>#VALUE!</v>
      </c>
      <c r="HS201" t="e">
        <f>AND('STERLING CATALOG - DRY '!B4506,"AAAAAD7zxuI=")</f>
        <v>#VALUE!</v>
      </c>
      <c r="HT201" t="e">
        <f>AND('STERLING CATALOG - DRY '!C4506,"AAAAAD7zxuM=")</f>
        <v>#VALUE!</v>
      </c>
      <c r="HU201" t="e">
        <f>AND('STERLING CATALOG - DRY '!D4506,"AAAAAD7zxuQ=")</f>
        <v>#VALUE!</v>
      </c>
      <c r="HV201" t="e">
        <f>AND('STERLING CATALOG - DRY '!E4506,"AAAAAD7zxuU=")</f>
        <v>#VALUE!</v>
      </c>
      <c r="HW201" t="e">
        <f>AND('STERLING CATALOG - DRY '!F4506,"AAAAAD7zxuY=")</f>
        <v>#VALUE!</v>
      </c>
      <c r="HX201" t="e">
        <f>AND('STERLING CATALOG - DRY '!G4506,"AAAAAD7zxuc=")</f>
        <v>#VALUE!</v>
      </c>
      <c r="HY201" t="e">
        <f>AND('STERLING CATALOG - DRY '!H4506,"AAAAAD7zxug=")</f>
        <v>#VALUE!</v>
      </c>
      <c r="HZ201" t="e">
        <f>AND('STERLING CATALOG - DRY '!I4506,"AAAAAD7zxuk=")</f>
        <v>#VALUE!</v>
      </c>
      <c r="IA201" t="e">
        <f>AND('STERLING CATALOG - DRY '!J4506,"AAAAAD7zxuo=")</f>
        <v>#VALUE!</v>
      </c>
      <c r="IB201">
        <f>IF('STERLING CATALOG - DRY '!4507:4507,"AAAAAD7zxus=",0)</f>
        <v>0</v>
      </c>
      <c r="IC201" t="e">
        <f>AND('STERLING CATALOG - DRY '!A4507,"AAAAAD7zxuw=")</f>
        <v>#VALUE!</v>
      </c>
      <c r="ID201" t="e">
        <f>AND('STERLING CATALOG - DRY '!B4507,"AAAAAD7zxu0=")</f>
        <v>#VALUE!</v>
      </c>
      <c r="IE201" t="e">
        <f>AND('STERLING CATALOG - DRY '!C4507,"AAAAAD7zxu4=")</f>
        <v>#VALUE!</v>
      </c>
      <c r="IF201" t="e">
        <f>AND('STERLING CATALOG - DRY '!D4507,"AAAAAD7zxu8=")</f>
        <v>#VALUE!</v>
      </c>
      <c r="IG201" t="e">
        <f>AND('STERLING CATALOG - DRY '!E4507,"AAAAAD7zxvA=")</f>
        <v>#VALUE!</v>
      </c>
      <c r="IH201" t="e">
        <f>AND('STERLING CATALOG - DRY '!F4507,"AAAAAD7zxvE=")</f>
        <v>#VALUE!</v>
      </c>
      <c r="II201" t="e">
        <f>AND('STERLING CATALOG - DRY '!G4507,"AAAAAD7zxvI=")</f>
        <v>#VALUE!</v>
      </c>
      <c r="IJ201" t="e">
        <f>AND('STERLING CATALOG - DRY '!H4507,"AAAAAD7zxvM=")</f>
        <v>#VALUE!</v>
      </c>
      <c r="IK201" t="e">
        <f>AND('STERLING CATALOG - DRY '!I4507,"AAAAAD7zxvQ=")</f>
        <v>#VALUE!</v>
      </c>
      <c r="IL201" t="e">
        <f>AND('STERLING CATALOG - DRY '!J4507,"AAAAAD7zxvU=")</f>
        <v>#VALUE!</v>
      </c>
      <c r="IM201">
        <f>IF('STERLING CATALOG - DRY '!4508:4508,"AAAAAD7zxvY=",0)</f>
        <v>0</v>
      </c>
      <c r="IN201" t="e">
        <f>AND('STERLING CATALOG - DRY '!A4508,"AAAAAD7zxvc=")</f>
        <v>#VALUE!</v>
      </c>
      <c r="IO201" t="e">
        <f>AND('STERLING CATALOG - DRY '!B4508,"AAAAAD7zxvg=")</f>
        <v>#VALUE!</v>
      </c>
      <c r="IP201" t="e">
        <f>AND('STERLING CATALOG - DRY '!C4508,"AAAAAD7zxvk=")</f>
        <v>#VALUE!</v>
      </c>
      <c r="IQ201" t="e">
        <f>AND('STERLING CATALOG - DRY '!D4508,"AAAAAD7zxvo=")</f>
        <v>#VALUE!</v>
      </c>
      <c r="IR201" t="e">
        <f>AND('STERLING CATALOG - DRY '!E4508,"AAAAAD7zxvs=")</f>
        <v>#VALUE!</v>
      </c>
      <c r="IS201" t="e">
        <f>AND('STERLING CATALOG - DRY '!F4508,"AAAAAD7zxvw=")</f>
        <v>#VALUE!</v>
      </c>
      <c r="IT201" t="e">
        <f>AND('STERLING CATALOG - DRY '!G4508,"AAAAAD7zxv0=")</f>
        <v>#VALUE!</v>
      </c>
      <c r="IU201" t="e">
        <f>AND('STERLING CATALOG - DRY '!H4508,"AAAAAD7zxv4=")</f>
        <v>#VALUE!</v>
      </c>
      <c r="IV201" t="e">
        <f>AND('STERLING CATALOG - DRY '!I4508,"AAAAAD7zxv8=")</f>
        <v>#VALUE!</v>
      </c>
    </row>
    <row r="202" spans="1:256">
      <c r="A202" t="e">
        <f>AND('STERLING CATALOG - DRY '!J4508,"AAAAABvP/gA=")</f>
        <v>#VALUE!</v>
      </c>
      <c r="B202" t="str">
        <f>IF('STERLING CATALOG - DRY '!4509:4509,"AAAAABvP/gE=",0)</f>
        <v>AAAAABvP/gE=</v>
      </c>
      <c r="C202" t="e">
        <f>AND('STERLING CATALOG - DRY '!A4509,"AAAAABvP/gI=")</f>
        <v>#VALUE!</v>
      </c>
      <c r="D202" t="e">
        <f>AND('STERLING CATALOG - DRY '!B4509,"AAAAABvP/gM=")</f>
        <v>#VALUE!</v>
      </c>
      <c r="E202" t="e">
        <f>AND('STERLING CATALOG - DRY '!C4509,"AAAAABvP/gQ=")</f>
        <v>#VALUE!</v>
      </c>
      <c r="F202" t="e">
        <f>AND('STERLING CATALOG - DRY '!D4509,"AAAAABvP/gU=")</f>
        <v>#VALUE!</v>
      </c>
      <c r="G202" t="e">
        <f>AND('STERLING CATALOG - DRY '!E4509,"AAAAABvP/gY=")</f>
        <v>#VALUE!</v>
      </c>
      <c r="H202" t="e">
        <f>AND('STERLING CATALOG - DRY '!F4509,"AAAAABvP/gc=")</f>
        <v>#VALUE!</v>
      </c>
      <c r="I202" t="e">
        <f>AND('STERLING CATALOG - DRY '!G4509,"AAAAABvP/gg=")</f>
        <v>#VALUE!</v>
      </c>
      <c r="J202" t="e">
        <f>AND('STERLING CATALOG - DRY '!H4509,"AAAAABvP/gk=")</f>
        <v>#VALUE!</v>
      </c>
      <c r="K202" t="e">
        <f>AND('STERLING CATALOG - DRY '!I4509,"AAAAABvP/go=")</f>
        <v>#VALUE!</v>
      </c>
      <c r="L202" t="e">
        <f>AND('STERLING CATALOG - DRY '!J4509,"AAAAABvP/gs=")</f>
        <v>#VALUE!</v>
      </c>
      <c r="M202">
        <f>IF('STERLING CATALOG - DRY '!4510:4510,"AAAAABvP/gw=",0)</f>
        <v>0</v>
      </c>
      <c r="N202" t="e">
        <f>AND('STERLING CATALOG - DRY '!A4510,"AAAAABvP/g0=")</f>
        <v>#VALUE!</v>
      </c>
      <c r="O202" t="e">
        <f>AND('STERLING CATALOG - DRY '!B4510,"AAAAABvP/g4=")</f>
        <v>#VALUE!</v>
      </c>
      <c r="P202" t="e">
        <f>AND('STERLING CATALOG - DRY '!C4510,"AAAAABvP/g8=")</f>
        <v>#VALUE!</v>
      </c>
      <c r="Q202" t="e">
        <f>AND('STERLING CATALOG - DRY '!D4510,"AAAAABvP/hA=")</f>
        <v>#VALUE!</v>
      </c>
      <c r="R202" t="e">
        <f>AND('STERLING CATALOG - DRY '!E4510,"AAAAABvP/hE=")</f>
        <v>#VALUE!</v>
      </c>
      <c r="S202" t="e">
        <f>AND('STERLING CATALOG - DRY '!F4510,"AAAAABvP/hI=")</f>
        <v>#VALUE!</v>
      </c>
      <c r="T202" t="e">
        <f>AND('STERLING CATALOG - DRY '!G4510,"AAAAABvP/hM=")</f>
        <v>#VALUE!</v>
      </c>
      <c r="U202" t="e">
        <f>AND('STERLING CATALOG - DRY '!H4510,"AAAAABvP/hQ=")</f>
        <v>#VALUE!</v>
      </c>
      <c r="V202" t="e">
        <f>AND('STERLING CATALOG - DRY '!I4510,"AAAAABvP/hU=")</f>
        <v>#VALUE!</v>
      </c>
      <c r="W202" t="e">
        <f>AND('STERLING CATALOG - DRY '!J4510,"AAAAABvP/hY=")</f>
        <v>#VALUE!</v>
      </c>
      <c r="X202">
        <f>IF('STERLING CATALOG - DRY '!4511:4511,"AAAAABvP/hc=",0)</f>
        <v>0</v>
      </c>
      <c r="Y202" t="e">
        <f>AND('STERLING CATALOG - DRY '!A4511,"AAAAABvP/hg=")</f>
        <v>#VALUE!</v>
      </c>
      <c r="Z202" t="e">
        <f>AND('STERLING CATALOG - DRY '!B4511,"AAAAABvP/hk=")</f>
        <v>#VALUE!</v>
      </c>
      <c r="AA202" t="e">
        <f>AND('STERLING CATALOG - DRY '!C4511,"AAAAABvP/ho=")</f>
        <v>#VALUE!</v>
      </c>
      <c r="AB202" t="e">
        <f>AND('STERLING CATALOG - DRY '!D4511,"AAAAABvP/hs=")</f>
        <v>#VALUE!</v>
      </c>
      <c r="AC202" t="e">
        <f>AND('STERLING CATALOG - DRY '!E4511,"AAAAABvP/hw=")</f>
        <v>#VALUE!</v>
      </c>
      <c r="AD202" t="e">
        <f>AND('STERLING CATALOG - DRY '!F4511,"AAAAABvP/h0=")</f>
        <v>#VALUE!</v>
      </c>
      <c r="AE202" t="e">
        <f>AND('STERLING CATALOG - DRY '!G4511,"AAAAABvP/h4=")</f>
        <v>#VALUE!</v>
      </c>
      <c r="AF202" t="e">
        <f>AND('STERLING CATALOG - DRY '!H4511,"AAAAABvP/h8=")</f>
        <v>#VALUE!</v>
      </c>
      <c r="AG202" t="e">
        <f>AND('STERLING CATALOG - DRY '!I4511,"AAAAABvP/iA=")</f>
        <v>#VALUE!</v>
      </c>
      <c r="AH202" t="e">
        <f>AND('STERLING CATALOG - DRY '!J4511,"AAAAABvP/iE=")</f>
        <v>#VALUE!</v>
      </c>
      <c r="AI202">
        <f>IF('STERLING CATALOG - DRY '!4512:4512,"AAAAABvP/iI=",0)</f>
        <v>0</v>
      </c>
      <c r="AJ202" t="e">
        <f>AND('STERLING CATALOG - DRY '!A4512,"AAAAABvP/iM=")</f>
        <v>#VALUE!</v>
      </c>
      <c r="AK202" t="e">
        <f>AND('STERLING CATALOG - DRY '!B4512,"AAAAABvP/iQ=")</f>
        <v>#VALUE!</v>
      </c>
      <c r="AL202" t="e">
        <f>AND('STERLING CATALOG - DRY '!C4512,"AAAAABvP/iU=")</f>
        <v>#VALUE!</v>
      </c>
      <c r="AM202" t="e">
        <f>AND('STERLING CATALOG - DRY '!D4512,"AAAAABvP/iY=")</f>
        <v>#VALUE!</v>
      </c>
      <c r="AN202" t="e">
        <f>AND('STERLING CATALOG - DRY '!E4512,"AAAAABvP/ic=")</f>
        <v>#VALUE!</v>
      </c>
      <c r="AO202" t="e">
        <f>AND('STERLING CATALOG - DRY '!F4512,"AAAAABvP/ig=")</f>
        <v>#VALUE!</v>
      </c>
      <c r="AP202" t="e">
        <f>AND('STERLING CATALOG - DRY '!G4512,"AAAAABvP/ik=")</f>
        <v>#VALUE!</v>
      </c>
      <c r="AQ202" t="e">
        <f>AND('STERLING CATALOG - DRY '!H4512,"AAAAABvP/io=")</f>
        <v>#VALUE!</v>
      </c>
      <c r="AR202" t="e">
        <f>AND('STERLING CATALOG - DRY '!I4512,"AAAAABvP/is=")</f>
        <v>#VALUE!</v>
      </c>
      <c r="AS202" t="e">
        <f>AND('STERLING CATALOG - DRY '!J4512,"AAAAABvP/iw=")</f>
        <v>#VALUE!</v>
      </c>
      <c r="AT202">
        <f>IF('STERLING CATALOG - DRY '!4513:4513,"AAAAABvP/i0=",0)</f>
        <v>0</v>
      </c>
      <c r="AU202" t="e">
        <f>AND('STERLING CATALOG - DRY '!A4513,"AAAAABvP/i4=")</f>
        <v>#VALUE!</v>
      </c>
      <c r="AV202" t="e">
        <f>AND('STERLING CATALOG - DRY '!B4513,"AAAAABvP/i8=")</f>
        <v>#VALUE!</v>
      </c>
      <c r="AW202" t="e">
        <f>AND('STERLING CATALOG - DRY '!C4513,"AAAAABvP/jA=")</f>
        <v>#VALUE!</v>
      </c>
      <c r="AX202" t="e">
        <f>AND('STERLING CATALOG - DRY '!D4513,"AAAAABvP/jE=")</f>
        <v>#VALUE!</v>
      </c>
      <c r="AY202" t="e">
        <f>AND('STERLING CATALOG - DRY '!E4513,"AAAAABvP/jI=")</f>
        <v>#VALUE!</v>
      </c>
      <c r="AZ202" t="e">
        <f>AND('STERLING CATALOG - DRY '!F4513,"AAAAABvP/jM=")</f>
        <v>#VALUE!</v>
      </c>
      <c r="BA202" t="e">
        <f>AND('STERLING CATALOG - DRY '!G4513,"AAAAABvP/jQ=")</f>
        <v>#VALUE!</v>
      </c>
      <c r="BB202" t="e">
        <f>AND('STERLING CATALOG - DRY '!H4513,"AAAAABvP/jU=")</f>
        <v>#VALUE!</v>
      </c>
      <c r="BC202" t="e">
        <f>AND('STERLING CATALOG - DRY '!I4513,"AAAAABvP/jY=")</f>
        <v>#VALUE!</v>
      </c>
      <c r="BD202" t="e">
        <f>AND('STERLING CATALOG - DRY '!J4513,"AAAAABvP/jc=")</f>
        <v>#VALUE!</v>
      </c>
      <c r="BE202">
        <f>IF('STERLING CATALOG - DRY '!4514:4514,"AAAAABvP/jg=",0)</f>
        <v>0</v>
      </c>
      <c r="BF202" t="e">
        <f>AND('STERLING CATALOG - DRY '!A4514,"AAAAABvP/jk=")</f>
        <v>#VALUE!</v>
      </c>
      <c r="BG202" t="e">
        <f>AND('STERLING CATALOG - DRY '!B4514,"AAAAABvP/jo=")</f>
        <v>#VALUE!</v>
      </c>
      <c r="BH202" t="e">
        <f>AND('STERLING CATALOG - DRY '!C4514,"AAAAABvP/js=")</f>
        <v>#VALUE!</v>
      </c>
      <c r="BI202" t="e">
        <f>AND('STERLING CATALOG - DRY '!D4514,"AAAAABvP/jw=")</f>
        <v>#VALUE!</v>
      </c>
      <c r="BJ202" t="e">
        <f>AND('STERLING CATALOG - DRY '!E4514,"AAAAABvP/j0=")</f>
        <v>#VALUE!</v>
      </c>
      <c r="BK202" t="e">
        <f>AND('STERLING CATALOG - DRY '!F4514,"AAAAABvP/j4=")</f>
        <v>#VALUE!</v>
      </c>
      <c r="BL202" t="e">
        <f>AND('STERLING CATALOG - DRY '!G4514,"AAAAABvP/j8=")</f>
        <v>#VALUE!</v>
      </c>
      <c r="BM202" t="e">
        <f>AND('STERLING CATALOG - DRY '!H4514,"AAAAABvP/kA=")</f>
        <v>#VALUE!</v>
      </c>
      <c r="BN202" t="e">
        <f>AND('STERLING CATALOG - DRY '!I4514,"AAAAABvP/kE=")</f>
        <v>#VALUE!</v>
      </c>
      <c r="BO202" t="e">
        <f>AND('STERLING CATALOG - DRY '!J4514,"AAAAABvP/kI=")</f>
        <v>#VALUE!</v>
      </c>
      <c r="BP202">
        <f>IF('STERLING CATALOG - DRY '!4515:4515,"AAAAABvP/kM=",0)</f>
        <v>0</v>
      </c>
      <c r="BQ202" t="e">
        <f>AND('STERLING CATALOG - DRY '!A4515,"AAAAABvP/kQ=")</f>
        <v>#VALUE!</v>
      </c>
      <c r="BR202" t="e">
        <f>AND('STERLING CATALOG - DRY '!B4515,"AAAAABvP/kU=")</f>
        <v>#VALUE!</v>
      </c>
      <c r="BS202" t="e">
        <f>AND('STERLING CATALOG - DRY '!C4515,"AAAAABvP/kY=")</f>
        <v>#VALUE!</v>
      </c>
      <c r="BT202" t="e">
        <f>AND('STERLING CATALOG - DRY '!D4515,"AAAAABvP/kc=")</f>
        <v>#VALUE!</v>
      </c>
      <c r="BU202" t="e">
        <f>AND('STERLING CATALOG - DRY '!E4515,"AAAAABvP/kg=")</f>
        <v>#VALUE!</v>
      </c>
      <c r="BV202" t="e">
        <f>AND('STERLING CATALOG - DRY '!F4515,"AAAAABvP/kk=")</f>
        <v>#VALUE!</v>
      </c>
      <c r="BW202" t="e">
        <f>AND('STERLING CATALOG - DRY '!G4515,"AAAAABvP/ko=")</f>
        <v>#VALUE!</v>
      </c>
      <c r="BX202" t="e">
        <f>AND('STERLING CATALOG - DRY '!H4515,"AAAAABvP/ks=")</f>
        <v>#VALUE!</v>
      </c>
      <c r="BY202" t="e">
        <f>AND('STERLING CATALOG - DRY '!I4515,"AAAAABvP/kw=")</f>
        <v>#VALUE!</v>
      </c>
      <c r="BZ202" t="e">
        <f>AND('STERLING CATALOG - DRY '!J4515,"AAAAABvP/k0=")</f>
        <v>#VALUE!</v>
      </c>
      <c r="CA202">
        <f>IF('STERLING CATALOG - DRY '!4516:4516,"AAAAABvP/k4=",0)</f>
        <v>0</v>
      </c>
      <c r="CB202" t="e">
        <f>AND('STERLING CATALOG - DRY '!A4516,"AAAAABvP/k8=")</f>
        <v>#VALUE!</v>
      </c>
      <c r="CC202" t="e">
        <f>AND('STERLING CATALOG - DRY '!B4516,"AAAAABvP/lA=")</f>
        <v>#VALUE!</v>
      </c>
      <c r="CD202" t="e">
        <f>AND('STERLING CATALOG - DRY '!C4516,"AAAAABvP/lE=")</f>
        <v>#VALUE!</v>
      </c>
      <c r="CE202" t="e">
        <f>AND('STERLING CATALOG - DRY '!D4516,"AAAAABvP/lI=")</f>
        <v>#VALUE!</v>
      </c>
      <c r="CF202" t="e">
        <f>AND('STERLING CATALOG - DRY '!E4516,"AAAAABvP/lM=")</f>
        <v>#VALUE!</v>
      </c>
      <c r="CG202" t="e">
        <f>AND('STERLING CATALOG - DRY '!F4516,"AAAAABvP/lQ=")</f>
        <v>#VALUE!</v>
      </c>
      <c r="CH202" t="e">
        <f>AND('STERLING CATALOG - DRY '!G4516,"AAAAABvP/lU=")</f>
        <v>#VALUE!</v>
      </c>
      <c r="CI202" t="e">
        <f>AND('STERLING CATALOG - DRY '!H4516,"AAAAABvP/lY=")</f>
        <v>#VALUE!</v>
      </c>
      <c r="CJ202" t="e">
        <f>AND('STERLING CATALOG - DRY '!I4516,"AAAAABvP/lc=")</f>
        <v>#VALUE!</v>
      </c>
      <c r="CK202" t="e">
        <f>AND('STERLING CATALOG - DRY '!J4516,"AAAAABvP/lg=")</f>
        <v>#VALUE!</v>
      </c>
      <c r="CL202">
        <f>IF('STERLING CATALOG - DRY '!4517:4517,"AAAAABvP/lk=",0)</f>
        <v>0</v>
      </c>
      <c r="CM202" t="e">
        <f>AND('STERLING CATALOG - DRY '!A4517,"AAAAABvP/lo=")</f>
        <v>#VALUE!</v>
      </c>
      <c r="CN202" t="e">
        <f>AND('STERLING CATALOG - DRY '!B4517,"AAAAABvP/ls=")</f>
        <v>#VALUE!</v>
      </c>
      <c r="CO202" t="e">
        <f>AND('STERLING CATALOG - DRY '!C4517,"AAAAABvP/lw=")</f>
        <v>#VALUE!</v>
      </c>
      <c r="CP202" t="e">
        <f>AND('STERLING CATALOG - DRY '!D4517,"AAAAABvP/l0=")</f>
        <v>#VALUE!</v>
      </c>
      <c r="CQ202" t="e">
        <f>AND('STERLING CATALOG - DRY '!E4517,"AAAAABvP/l4=")</f>
        <v>#VALUE!</v>
      </c>
      <c r="CR202" t="e">
        <f>AND('STERLING CATALOG - DRY '!F4517,"AAAAABvP/l8=")</f>
        <v>#VALUE!</v>
      </c>
      <c r="CS202" t="e">
        <f>AND('STERLING CATALOG - DRY '!G4517,"AAAAABvP/mA=")</f>
        <v>#VALUE!</v>
      </c>
      <c r="CT202" t="e">
        <f>AND('STERLING CATALOG - DRY '!H4517,"AAAAABvP/mE=")</f>
        <v>#VALUE!</v>
      </c>
      <c r="CU202" t="e">
        <f>AND('STERLING CATALOG - DRY '!I4517,"AAAAABvP/mI=")</f>
        <v>#VALUE!</v>
      </c>
      <c r="CV202" t="e">
        <f>AND('STERLING CATALOG - DRY '!J4517,"AAAAABvP/mM=")</f>
        <v>#VALUE!</v>
      </c>
      <c r="CW202">
        <f>IF('STERLING CATALOG - DRY '!4518:4518,"AAAAABvP/mQ=",0)</f>
        <v>0</v>
      </c>
      <c r="CX202" t="e">
        <f>AND('STERLING CATALOG - DRY '!A4518,"AAAAABvP/mU=")</f>
        <v>#VALUE!</v>
      </c>
      <c r="CY202" t="e">
        <f>AND('STERLING CATALOG - DRY '!B4518,"AAAAABvP/mY=")</f>
        <v>#VALUE!</v>
      </c>
      <c r="CZ202" t="e">
        <f>AND('STERLING CATALOG - DRY '!C4518,"AAAAABvP/mc=")</f>
        <v>#VALUE!</v>
      </c>
      <c r="DA202" t="e">
        <f>AND('STERLING CATALOG - DRY '!D4518,"AAAAABvP/mg=")</f>
        <v>#VALUE!</v>
      </c>
      <c r="DB202" t="e">
        <f>AND('STERLING CATALOG - DRY '!E4518,"AAAAABvP/mk=")</f>
        <v>#VALUE!</v>
      </c>
      <c r="DC202" t="e">
        <f>AND('STERLING CATALOG - DRY '!F4518,"AAAAABvP/mo=")</f>
        <v>#VALUE!</v>
      </c>
      <c r="DD202" t="e">
        <f>AND('STERLING CATALOG - DRY '!G4518,"AAAAABvP/ms=")</f>
        <v>#VALUE!</v>
      </c>
      <c r="DE202" t="e">
        <f>AND('STERLING CATALOG - DRY '!H4518,"AAAAABvP/mw=")</f>
        <v>#VALUE!</v>
      </c>
      <c r="DF202" t="e">
        <f>AND('STERLING CATALOG - DRY '!I4518,"AAAAABvP/m0=")</f>
        <v>#VALUE!</v>
      </c>
      <c r="DG202" t="e">
        <f>AND('STERLING CATALOG - DRY '!J4518,"AAAAABvP/m4=")</f>
        <v>#VALUE!</v>
      </c>
      <c r="DH202">
        <f>IF('STERLING CATALOG - DRY '!4519:4519,"AAAAABvP/m8=",0)</f>
        <v>0</v>
      </c>
      <c r="DI202" t="e">
        <f>AND('STERLING CATALOG - DRY '!A4519,"AAAAABvP/nA=")</f>
        <v>#VALUE!</v>
      </c>
      <c r="DJ202" t="e">
        <f>AND('STERLING CATALOG - DRY '!B4519,"AAAAABvP/nE=")</f>
        <v>#VALUE!</v>
      </c>
      <c r="DK202" t="e">
        <f>AND('STERLING CATALOG - DRY '!C4519,"AAAAABvP/nI=")</f>
        <v>#VALUE!</v>
      </c>
      <c r="DL202" t="e">
        <f>AND('STERLING CATALOG - DRY '!D4519,"AAAAABvP/nM=")</f>
        <v>#VALUE!</v>
      </c>
      <c r="DM202" t="e">
        <f>AND('STERLING CATALOG - DRY '!E4519,"AAAAABvP/nQ=")</f>
        <v>#VALUE!</v>
      </c>
      <c r="DN202" t="e">
        <f>AND('STERLING CATALOG - DRY '!F4519,"AAAAABvP/nU=")</f>
        <v>#VALUE!</v>
      </c>
      <c r="DO202" t="e">
        <f>AND('STERLING CATALOG - DRY '!G4519,"AAAAABvP/nY=")</f>
        <v>#VALUE!</v>
      </c>
      <c r="DP202" t="e">
        <f>AND('STERLING CATALOG - DRY '!H4519,"AAAAABvP/nc=")</f>
        <v>#VALUE!</v>
      </c>
      <c r="DQ202" t="e">
        <f>AND('STERLING CATALOG - DRY '!I4519,"AAAAABvP/ng=")</f>
        <v>#VALUE!</v>
      </c>
      <c r="DR202" t="e">
        <f>AND('STERLING CATALOG - DRY '!J4519,"AAAAABvP/nk=")</f>
        <v>#VALUE!</v>
      </c>
      <c r="DS202">
        <f>IF('STERLING CATALOG - DRY '!4520:4520,"AAAAABvP/no=",0)</f>
        <v>0</v>
      </c>
      <c r="DT202" t="e">
        <f>AND('STERLING CATALOG - DRY '!A4520,"AAAAABvP/ns=")</f>
        <v>#VALUE!</v>
      </c>
      <c r="DU202" t="e">
        <f>AND('STERLING CATALOG - DRY '!B4520,"AAAAABvP/nw=")</f>
        <v>#VALUE!</v>
      </c>
      <c r="DV202" t="e">
        <f>AND('STERLING CATALOG - DRY '!C4520,"AAAAABvP/n0=")</f>
        <v>#VALUE!</v>
      </c>
      <c r="DW202" t="e">
        <f>AND('STERLING CATALOG - DRY '!D4520,"AAAAABvP/n4=")</f>
        <v>#VALUE!</v>
      </c>
      <c r="DX202" t="e">
        <f>AND('STERLING CATALOG - DRY '!E4520,"AAAAABvP/n8=")</f>
        <v>#VALUE!</v>
      </c>
      <c r="DY202" t="e">
        <f>AND('STERLING CATALOG - DRY '!F4520,"AAAAABvP/oA=")</f>
        <v>#VALUE!</v>
      </c>
      <c r="DZ202" t="e">
        <f>AND('STERLING CATALOG - DRY '!G4520,"AAAAABvP/oE=")</f>
        <v>#VALUE!</v>
      </c>
      <c r="EA202" t="e">
        <f>AND('STERLING CATALOG - DRY '!H4520,"AAAAABvP/oI=")</f>
        <v>#VALUE!</v>
      </c>
      <c r="EB202" t="e">
        <f>AND('STERLING CATALOG - DRY '!I4520,"AAAAABvP/oM=")</f>
        <v>#VALUE!</v>
      </c>
      <c r="EC202" t="e">
        <f>AND('STERLING CATALOG - DRY '!J4520,"AAAAABvP/oQ=")</f>
        <v>#VALUE!</v>
      </c>
      <c r="ED202">
        <f>IF('STERLING CATALOG - DRY '!4521:4521,"AAAAABvP/oU=",0)</f>
        <v>0</v>
      </c>
      <c r="EE202" t="e">
        <f>AND('STERLING CATALOG - DRY '!A4521,"AAAAABvP/oY=")</f>
        <v>#VALUE!</v>
      </c>
      <c r="EF202" t="e">
        <f>AND('STERLING CATALOG - DRY '!B4521,"AAAAABvP/oc=")</f>
        <v>#VALUE!</v>
      </c>
      <c r="EG202" t="e">
        <f>AND('STERLING CATALOG - DRY '!C4521,"AAAAABvP/og=")</f>
        <v>#VALUE!</v>
      </c>
      <c r="EH202" t="e">
        <f>AND('STERLING CATALOG - DRY '!D4521,"AAAAABvP/ok=")</f>
        <v>#VALUE!</v>
      </c>
      <c r="EI202" t="e">
        <f>AND('STERLING CATALOG - DRY '!E4521,"AAAAABvP/oo=")</f>
        <v>#VALUE!</v>
      </c>
      <c r="EJ202" t="e">
        <f>AND('STERLING CATALOG - DRY '!F4521,"AAAAABvP/os=")</f>
        <v>#VALUE!</v>
      </c>
      <c r="EK202" t="e">
        <f>AND('STERLING CATALOG - DRY '!G4521,"AAAAABvP/ow=")</f>
        <v>#VALUE!</v>
      </c>
      <c r="EL202" t="e">
        <f>AND('STERLING CATALOG - DRY '!H4521,"AAAAABvP/o0=")</f>
        <v>#VALUE!</v>
      </c>
      <c r="EM202" t="e">
        <f>AND('STERLING CATALOG - DRY '!I4521,"AAAAABvP/o4=")</f>
        <v>#VALUE!</v>
      </c>
      <c r="EN202" t="e">
        <f>AND('STERLING CATALOG - DRY '!J4521,"AAAAABvP/o8=")</f>
        <v>#VALUE!</v>
      </c>
      <c r="EO202">
        <f>IF('STERLING CATALOG - DRY '!4522:4522,"AAAAABvP/pA=",0)</f>
        <v>0</v>
      </c>
      <c r="EP202" t="e">
        <f>AND('STERLING CATALOG - DRY '!A4522,"AAAAABvP/pE=")</f>
        <v>#VALUE!</v>
      </c>
      <c r="EQ202" t="e">
        <f>AND('STERLING CATALOG - DRY '!B4522,"AAAAABvP/pI=")</f>
        <v>#VALUE!</v>
      </c>
      <c r="ER202" t="e">
        <f>AND('STERLING CATALOG - DRY '!C4522,"AAAAABvP/pM=")</f>
        <v>#VALUE!</v>
      </c>
      <c r="ES202" t="e">
        <f>AND('STERLING CATALOG - DRY '!D4522,"AAAAABvP/pQ=")</f>
        <v>#VALUE!</v>
      </c>
      <c r="ET202" t="e">
        <f>AND('STERLING CATALOG - DRY '!E4522,"AAAAABvP/pU=")</f>
        <v>#VALUE!</v>
      </c>
      <c r="EU202" t="e">
        <f>AND('STERLING CATALOG - DRY '!F4522,"AAAAABvP/pY=")</f>
        <v>#VALUE!</v>
      </c>
      <c r="EV202" t="e">
        <f>AND('STERLING CATALOG - DRY '!G4522,"AAAAABvP/pc=")</f>
        <v>#VALUE!</v>
      </c>
      <c r="EW202" t="e">
        <f>AND('STERLING CATALOG - DRY '!H4522,"AAAAABvP/pg=")</f>
        <v>#VALUE!</v>
      </c>
      <c r="EX202" t="e">
        <f>AND('STERLING CATALOG - DRY '!I4522,"AAAAABvP/pk=")</f>
        <v>#VALUE!</v>
      </c>
      <c r="EY202" t="e">
        <f>AND('STERLING CATALOG - DRY '!J4522,"AAAAABvP/po=")</f>
        <v>#VALUE!</v>
      </c>
      <c r="EZ202">
        <f>IF('STERLING CATALOG - DRY '!4523:4523,"AAAAABvP/ps=",0)</f>
        <v>0</v>
      </c>
      <c r="FA202" t="e">
        <f>AND('STERLING CATALOG - DRY '!A4523,"AAAAABvP/pw=")</f>
        <v>#VALUE!</v>
      </c>
      <c r="FB202" t="e">
        <f>AND('STERLING CATALOG - DRY '!B4523,"AAAAABvP/p0=")</f>
        <v>#VALUE!</v>
      </c>
      <c r="FC202" t="e">
        <f>AND('STERLING CATALOG - DRY '!C4523,"AAAAABvP/p4=")</f>
        <v>#VALUE!</v>
      </c>
      <c r="FD202" t="e">
        <f>AND('STERLING CATALOG - DRY '!D4523,"AAAAABvP/p8=")</f>
        <v>#VALUE!</v>
      </c>
      <c r="FE202" t="e">
        <f>AND('STERLING CATALOG - DRY '!E4523,"AAAAABvP/qA=")</f>
        <v>#VALUE!</v>
      </c>
      <c r="FF202" t="e">
        <f>AND('STERLING CATALOG - DRY '!F4523,"AAAAABvP/qE=")</f>
        <v>#VALUE!</v>
      </c>
      <c r="FG202" t="e">
        <f>AND('STERLING CATALOG - DRY '!G4523,"AAAAABvP/qI=")</f>
        <v>#VALUE!</v>
      </c>
      <c r="FH202" t="e">
        <f>AND('STERLING CATALOG - DRY '!H4523,"AAAAABvP/qM=")</f>
        <v>#VALUE!</v>
      </c>
      <c r="FI202" t="e">
        <f>AND('STERLING CATALOG - DRY '!I4523,"AAAAABvP/qQ=")</f>
        <v>#VALUE!</v>
      </c>
      <c r="FJ202" t="e">
        <f>AND('STERLING CATALOG - DRY '!J4523,"AAAAABvP/qU=")</f>
        <v>#VALUE!</v>
      </c>
      <c r="FK202">
        <f>IF('STERLING CATALOG - DRY '!4524:4524,"AAAAABvP/qY=",0)</f>
        <v>0</v>
      </c>
      <c r="FL202" t="e">
        <f>AND('STERLING CATALOG - DRY '!A4524,"AAAAABvP/qc=")</f>
        <v>#VALUE!</v>
      </c>
      <c r="FM202" t="e">
        <f>AND('STERLING CATALOG - DRY '!B4524,"AAAAABvP/qg=")</f>
        <v>#VALUE!</v>
      </c>
      <c r="FN202" t="e">
        <f>AND('STERLING CATALOG - DRY '!C4524,"AAAAABvP/qk=")</f>
        <v>#VALUE!</v>
      </c>
      <c r="FO202" t="e">
        <f>AND('STERLING CATALOG - DRY '!D4524,"AAAAABvP/qo=")</f>
        <v>#VALUE!</v>
      </c>
      <c r="FP202" t="e">
        <f>AND('STERLING CATALOG - DRY '!E4524,"AAAAABvP/qs=")</f>
        <v>#VALUE!</v>
      </c>
      <c r="FQ202" t="e">
        <f>AND('STERLING CATALOG - DRY '!F4524,"AAAAABvP/qw=")</f>
        <v>#VALUE!</v>
      </c>
      <c r="FR202" t="e">
        <f>AND('STERLING CATALOG - DRY '!G4524,"AAAAABvP/q0=")</f>
        <v>#VALUE!</v>
      </c>
      <c r="FS202" t="e">
        <f>AND('STERLING CATALOG - DRY '!H4524,"AAAAABvP/q4=")</f>
        <v>#VALUE!</v>
      </c>
      <c r="FT202" t="e">
        <f>AND('STERLING CATALOG - DRY '!I4524,"AAAAABvP/q8=")</f>
        <v>#VALUE!</v>
      </c>
      <c r="FU202" t="e">
        <f>AND('STERLING CATALOG - DRY '!J4524,"AAAAABvP/rA=")</f>
        <v>#VALUE!</v>
      </c>
      <c r="FV202">
        <f>IF('STERLING CATALOG - DRY '!4525:4525,"AAAAABvP/rE=",0)</f>
        <v>0</v>
      </c>
      <c r="FW202" t="e">
        <f>AND('STERLING CATALOG - DRY '!A4525,"AAAAABvP/rI=")</f>
        <v>#VALUE!</v>
      </c>
      <c r="FX202" t="e">
        <f>AND('STERLING CATALOG - DRY '!B4525,"AAAAABvP/rM=")</f>
        <v>#VALUE!</v>
      </c>
      <c r="FY202" t="e">
        <f>AND('STERLING CATALOG - DRY '!C4525,"AAAAABvP/rQ=")</f>
        <v>#VALUE!</v>
      </c>
      <c r="FZ202" t="e">
        <f>AND('STERLING CATALOG - DRY '!D4525,"AAAAABvP/rU=")</f>
        <v>#VALUE!</v>
      </c>
      <c r="GA202" t="e">
        <f>AND('STERLING CATALOG - DRY '!E4525,"AAAAABvP/rY=")</f>
        <v>#VALUE!</v>
      </c>
      <c r="GB202" t="e">
        <f>AND('STERLING CATALOG - DRY '!F4525,"AAAAABvP/rc=")</f>
        <v>#VALUE!</v>
      </c>
      <c r="GC202" t="e">
        <f>AND('STERLING CATALOG - DRY '!G4525,"AAAAABvP/rg=")</f>
        <v>#VALUE!</v>
      </c>
      <c r="GD202" t="e">
        <f>AND('STERLING CATALOG - DRY '!H4525,"AAAAABvP/rk=")</f>
        <v>#VALUE!</v>
      </c>
      <c r="GE202" t="e">
        <f>AND('STERLING CATALOG - DRY '!I4525,"AAAAABvP/ro=")</f>
        <v>#VALUE!</v>
      </c>
      <c r="GF202" t="e">
        <f>AND('STERLING CATALOG - DRY '!J4525,"AAAAABvP/rs=")</f>
        <v>#VALUE!</v>
      </c>
      <c r="GG202">
        <f>IF('STERLING CATALOG - DRY '!4526:4526,"AAAAABvP/rw=",0)</f>
        <v>0</v>
      </c>
      <c r="GH202" t="e">
        <f>AND('STERLING CATALOG - DRY '!A4526,"AAAAABvP/r0=")</f>
        <v>#VALUE!</v>
      </c>
      <c r="GI202" t="e">
        <f>AND('STERLING CATALOG - DRY '!B4526,"AAAAABvP/r4=")</f>
        <v>#VALUE!</v>
      </c>
      <c r="GJ202" t="e">
        <f>AND('STERLING CATALOG - DRY '!C4526,"AAAAABvP/r8=")</f>
        <v>#VALUE!</v>
      </c>
      <c r="GK202" t="e">
        <f>AND('STERLING CATALOG - DRY '!D4526,"AAAAABvP/sA=")</f>
        <v>#VALUE!</v>
      </c>
      <c r="GL202" t="e">
        <f>AND('STERLING CATALOG - DRY '!E4526,"AAAAABvP/sE=")</f>
        <v>#VALUE!</v>
      </c>
      <c r="GM202" t="e">
        <f>AND('STERLING CATALOG - DRY '!F4526,"AAAAABvP/sI=")</f>
        <v>#VALUE!</v>
      </c>
      <c r="GN202" t="e">
        <f>AND('STERLING CATALOG - DRY '!G4526,"AAAAABvP/sM=")</f>
        <v>#VALUE!</v>
      </c>
      <c r="GO202" t="e">
        <f>AND('STERLING CATALOG - DRY '!H4526,"AAAAABvP/sQ=")</f>
        <v>#VALUE!</v>
      </c>
      <c r="GP202" t="e">
        <f>AND('STERLING CATALOG - DRY '!I4526,"AAAAABvP/sU=")</f>
        <v>#VALUE!</v>
      </c>
      <c r="GQ202" t="e">
        <f>AND('STERLING CATALOG - DRY '!J4526,"AAAAABvP/sY=")</f>
        <v>#VALUE!</v>
      </c>
      <c r="GR202">
        <f>IF('STERLING CATALOG - DRY '!4527:4527,"AAAAABvP/sc=",0)</f>
        <v>0</v>
      </c>
      <c r="GS202" t="e">
        <f>AND('STERLING CATALOG - DRY '!A4527,"AAAAABvP/sg=")</f>
        <v>#VALUE!</v>
      </c>
      <c r="GT202" t="e">
        <f>AND('STERLING CATALOG - DRY '!B4527,"AAAAABvP/sk=")</f>
        <v>#VALUE!</v>
      </c>
      <c r="GU202" t="e">
        <f>AND('STERLING CATALOG - DRY '!C4527,"AAAAABvP/so=")</f>
        <v>#VALUE!</v>
      </c>
      <c r="GV202" t="e">
        <f>AND('STERLING CATALOG - DRY '!D4527,"AAAAABvP/ss=")</f>
        <v>#VALUE!</v>
      </c>
      <c r="GW202" t="e">
        <f>AND('STERLING CATALOG - DRY '!E4527,"AAAAABvP/sw=")</f>
        <v>#VALUE!</v>
      </c>
      <c r="GX202" t="e">
        <f>AND('STERLING CATALOG - DRY '!F4527,"AAAAABvP/s0=")</f>
        <v>#VALUE!</v>
      </c>
      <c r="GY202" t="e">
        <f>AND('STERLING CATALOG - DRY '!G4527,"AAAAABvP/s4=")</f>
        <v>#VALUE!</v>
      </c>
      <c r="GZ202" t="e">
        <f>AND('STERLING CATALOG - DRY '!H4527,"AAAAABvP/s8=")</f>
        <v>#VALUE!</v>
      </c>
      <c r="HA202" t="e">
        <f>AND('STERLING CATALOG - DRY '!I4527,"AAAAABvP/tA=")</f>
        <v>#VALUE!</v>
      </c>
      <c r="HB202" t="e">
        <f>AND('STERLING CATALOG - DRY '!J4527,"AAAAABvP/tE=")</f>
        <v>#VALUE!</v>
      </c>
      <c r="HC202">
        <f>IF('STERLING CATALOG - DRY '!4528:4528,"AAAAABvP/tI=",0)</f>
        <v>0</v>
      </c>
      <c r="HD202" t="e">
        <f>AND('STERLING CATALOG - DRY '!A4528,"AAAAABvP/tM=")</f>
        <v>#VALUE!</v>
      </c>
      <c r="HE202" t="e">
        <f>AND('STERLING CATALOG - DRY '!B4528,"AAAAABvP/tQ=")</f>
        <v>#VALUE!</v>
      </c>
      <c r="HF202" t="e">
        <f>AND('STERLING CATALOG - DRY '!C4528,"AAAAABvP/tU=")</f>
        <v>#VALUE!</v>
      </c>
      <c r="HG202" t="e">
        <f>AND('STERLING CATALOG - DRY '!D4528,"AAAAABvP/tY=")</f>
        <v>#VALUE!</v>
      </c>
      <c r="HH202" t="e">
        <f>AND('STERLING CATALOG - DRY '!E4528,"AAAAABvP/tc=")</f>
        <v>#VALUE!</v>
      </c>
      <c r="HI202" t="e">
        <f>AND('STERLING CATALOG - DRY '!F4528,"AAAAABvP/tg=")</f>
        <v>#VALUE!</v>
      </c>
      <c r="HJ202" t="e">
        <f>AND('STERLING CATALOG - DRY '!G4528,"AAAAABvP/tk=")</f>
        <v>#VALUE!</v>
      </c>
      <c r="HK202" t="e">
        <f>AND('STERLING CATALOG - DRY '!H4528,"AAAAABvP/to=")</f>
        <v>#VALUE!</v>
      </c>
      <c r="HL202" t="e">
        <f>AND('STERLING CATALOG - DRY '!I4528,"AAAAABvP/ts=")</f>
        <v>#VALUE!</v>
      </c>
      <c r="HM202" t="e">
        <f>AND('STERLING CATALOG - DRY '!J4528,"AAAAABvP/tw=")</f>
        <v>#VALUE!</v>
      </c>
      <c r="HN202">
        <f>IF('STERLING CATALOG - DRY '!4529:4529,"AAAAABvP/t0=",0)</f>
        <v>0</v>
      </c>
      <c r="HO202" t="e">
        <f>AND('STERLING CATALOG - DRY '!A4529,"AAAAABvP/t4=")</f>
        <v>#VALUE!</v>
      </c>
      <c r="HP202" t="e">
        <f>AND('STERLING CATALOG - DRY '!B4529,"AAAAABvP/t8=")</f>
        <v>#VALUE!</v>
      </c>
      <c r="HQ202" t="e">
        <f>AND('STERLING CATALOG - DRY '!C4529,"AAAAABvP/uA=")</f>
        <v>#VALUE!</v>
      </c>
      <c r="HR202" t="e">
        <f>AND('STERLING CATALOG - DRY '!D4529,"AAAAABvP/uE=")</f>
        <v>#VALUE!</v>
      </c>
      <c r="HS202" t="e">
        <f>AND('STERLING CATALOG - DRY '!E4529,"AAAAABvP/uI=")</f>
        <v>#VALUE!</v>
      </c>
      <c r="HT202" t="e">
        <f>AND('STERLING CATALOG - DRY '!F4529,"AAAAABvP/uM=")</f>
        <v>#VALUE!</v>
      </c>
      <c r="HU202" t="e">
        <f>AND('STERLING CATALOG - DRY '!G4529,"AAAAABvP/uQ=")</f>
        <v>#VALUE!</v>
      </c>
      <c r="HV202" t="e">
        <f>AND('STERLING CATALOG - DRY '!H4529,"AAAAABvP/uU=")</f>
        <v>#VALUE!</v>
      </c>
      <c r="HW202" t="e">
        <f>AND('STERLING CATALOG - DRY '!I4529,"AAAAABvP/uY=")</f>
        <v>#VALUE!</v>
      </c>
      <c r="HX202" t="e">
        <f>AND('STERLING CATALOG - DRY '!J4529,"AAAAABvP/uc=")</f>
        <v>#VALUE!</v>
      </c>
      <c r="HY202">
        <f>IF('STERLING CATALOG - DRY '!4530:4530,"AAAAABvP/ug=",0)</f>
        <v>0</v>
      </c>
      <c r="HZ202" t="e">
        <f>AND('STERLING CATALOG - DRY '!A4530,"AAAAABvP/uk=")</f>
        <v>#VALUE!</v>
      </c>
      <c r="IA202" t="e">
        <f>AND('STERLING CATALOG - DRY '!B4530,"AAAAABvP/uo=")</f>
        <v>#VALUE!</v>
      </c>
      <c r="IB202" t="e">
        <f>AND('STERLING CATALOG - DRY '!C4530,"AAAAABvP/us=")</f>
        <v>#VALUE!</v>
      </c>
      <c r="IC202" t="e">
        <f>AND('STERLING CATALOG - DRY '!D4530,"AAAAABvP/uw=")</f>
        <v>#VALUE!</v>
      </c>
      <c r="ID202" t="e">
        <f>AND('STERLING CATALOG - DRY '!E4530,"AAAAABvP/u0=")</f>
        <v>#VALUE!</v>
      </c>
      <c r="IE202" t="e">
        <f>AND('STERLING CATALOG - DRY '!F4530,"AAAAABvP/u4=")</f>
        <v>#VALUE!</v>
      </c>
      <c r="IF202" t="e">
        <f>AND('STERLING CATALOG - DRY '!G4530,"AAAAABvP/u8=")</f>
        <v>#VALUE!</v>
      </c>
      <c r="IG202" t="e">
        <f>AND('STERLING CATALOG - DRY '!H4530,"AAAAABvP/vA=")</f>
        <v>#VALUE!</v>
      </c>
      <c r="IH202" t="e">
        <f>AND('STERLING CATALOG - DRY '!I4530,"AAAAABvP/vE=")</f>
        <v>#VALUE!</v>
      </c>
      <c r="II202" t="e">
        <f>AND('STERLING CATALOG - DRY '!J4530,"AAAAABvP/vI=")</f>
        <v>#VALUE!</v>
      </c>
      <c r="IJ202">
        <f>IF('STERLING CATALOG - DRY '!4531:4531,"AAAAABvP/vM=",0)</f>
        <v>0</v>
      </c>
      <c r="IK202" t="e">
        <f>AND('STERLING CATALOG - DRY '!A4531,"AAAAABvP/vQ=")</f>
        <v>#VALUE!</v>
      </c>
      <c r="IL202" t="e">
        <f>AND('STERLING CATALOG - DRY '!B4531,"AAAAABvP/vU=")</f>
        <v>#VALUE!</v>
      </c>
      <c r="IM202" t="e">
        <f>AND('STERLING CATALOG - DRY '!C4531,"AAAAABvP/vY=")</f>
        <v>#VALUE!</v>
      </c>
      <c r="IN202" t="e">
        <f>AND('STERLING CATALOG - DRY '!D4531,"AAAAABvP/vc=")</f>
        <v>#VALUE!</v>
      </c>
      <c r="IO202" t="e">
        <f>AND('STERLING CATALOG - DRY '!E4531,"AAAAABvP/vg=")</f>
        <v>#VALUE!</v>
      </c>
      <c r="IP202" t="e">
        <f>AND('STERLING CATALOG - DRY '!F4531,"AAAAABvP/vk=")</f>
        <v>#VALUE!</v>
      </c>
      <c r="IQ202" t="e">
        <f>AND('STERLING CATALOG - DRY '!G4531,"AAAAABvP/vo=")</f>
        <v>#VALUE!</v>
      </c>
      <c r="IR202" t="e">
        <f>AND('STERLING CATALOG - DRY '!H4531,"AAAAABvP/vs=")</f>
        <v>#VALUE!</v>
      </c>
      <c r="IS202" t="e">
        <f>AND('STERLING CATALOG - DRY '!I4531,"AAAAABvP/vw=")</f>
        <v>#VALUE!</v>
      </c>
      <c r="IT202" t="e">
        <f>AND('STERLING CATALOG - DRY '!J4531,"AAAAABvP/v0=")</f>
        <v>#VALUE!</v>
      </c>
      <c r="IU202">
        <f>IF('STERLING CATALOG - DRY '!4532:4532,"AAAAABvP/v4=",0)</f>
        <v>0</v>
      </c>
      <c r="IV202" t="e">
        <f>AND('STERLING CATALOG - DRY '!A4532,"AAAAABvP/v8=")</f>
        <v>#VALUE!</v>
      </c>
    </row>
    <row r="203" spans="1:256">
      <c r="A203" t="e">
        <f>AND('STERLING CATALOG - DRY '!B4532,"AAAAAH/o+gA=")</f>
        <v>#VALUE!</v>
      </c>
      <c r="B203" t="e">
        <f>AND('STERLING CATALOG - DRY '!C4532,"AAAAAH/o+gE=")</f>
        <v>#VALUE!</v>
      </c>
      <c r="C203" t="e">
        <f>AND('STERLING CATALOG - DRY '!D4532,"AAAAAH/o+gI=")</f>
        <v>#VALUE!</v>
      </c>
      <c r="D203" t="e">
        <f>AND('STERLING CATALOG - DRY '!E4532,"AAAAAH/o+gM=")</f>
        <v>#VALUE!</v>
      </c>
      <c r="E203" t="e">
        <f>AND('STERLING CATALOG - DRY '!F4532,"AAAAAH/o+gQ=")</f>
        <v>#VALUE!</v>
      </c>
      <c r="F203" t="e">
        <f>AND('STERLING CATALOG - DRY '!G4532,"AAAAAH/o+gU=")</f>
        <v>#VALUE!</v>
      </c>
      <c r="G203" t="e">
        <f>AND('STERLING CATALOG - DRY '!H4532,"AAAAAH/o+gY=")</f>
        <v>#VALUE!</v>
      </c>
      <c r="H203" t="e">
        <f>AND('STERLING CATALOG - DRY '!I4532,"AAAAAH/o+gc=")</f>
        <v>#VALUE!</v>
      </c>
      <c r="I203" t="e">
        <f>AND('STERLING CATALOG - DRY '!J4532,"AAAAAH/o+gg=")</f>
        <v>#VALUE!</v>
      </c>
      <c r="J203" t="e">
        <f>IF('STERLING CATALOG - DRY '!4533:4533,"AAAAAH/o+gk=",0)</f>
        <v>#VALUE!</v>
      </c>
      <c r="K203" t="e">
        <f>AND('STERLING CATALOG - DRY '!A4533,"AAAAAH/o+go=")</f>
        <v>#VALUE!</v>
      </c>
      <c r="L203" t="e">
        <f>AND('STERLING CATALOG - DRY '!B4533,"AAAAAH/o+gs=")</f>
        <v>#VALUE!</v>
      </c>
      <c r="M203" t="e">
        <f>AND('STERLING CATALOG - DRY '!C4533,"AAAAAH/o+gw=")</f>
        <v>#VALUE!</v>
      </c>
      <c r="N203" t="e">
        <f>AND('STERLING CATALOG - DRY '!D4533,"AAAAAH/o+g0=")</f>
        <v>#VALUE!</v>
      </c>
      <c r="O203" t="e">
        <f>AND('STERLING CATALOG - DRY '!E4533,"AAAAAH/o+g4=")</f>
        <v>#VALUE!</v>
      </c>
      <c r="P203" t="e">
        <f>AND('STERLING CATALOG - DRY '!F4533,"AAAAAH/o+g8=")</f>
        <v>#VALUE!</v>
      </c>
      <c r="Q203" t="e">
        <f>AND('STERLING CATALOG - DRY '!G4533,"AAAAAH/o+hA=")</f>
        <v>#VALUE!</v>
      </c>
      <c r="R203" t="e">
        <f>AND('STERLING CATALOG - DRY '!H4533,"AAAAAH/o+hE=")</f>
        <v>#VALUE!</v>
      </c>
      <c r="S203" t="e">
        <f>AND('STERLING CATALOG - DRY '!I4533,"AAAAAH/o+hI=")</f>
        <v>#VALUE!</v>
      </c>
      <c r="T203" t="e">
        <f>AND('STERLING CATALOG - DRY '!J4533,"AAAAAH/o+hM=")</f>
        <v>#VALUE!</v>
      </c>
      <c r="U203">
        <f>IF('STERLING CATALOG - DRY '!4534:4534,"AAAAAH/o+hQ=",0)</f>
        <v>0</v>
      </c>
      <c r="V203" t="e">
        <f>AND('STERLING CATALOG - DRY '!A4534,"AAAAAH/o+hU=")</f>
        <v>#VALUE!</v>
      </c>
      <c r="W203" t="e">
        <f>AND('STERLING CATALOG - DRY '!B4534,"AAAAAH/o+hY=")</f>
        <v>#VALUE!</v>
      </c>
      <c r="X203" t="e">
        <f>AND('STERLING CATALOG - DRY '!C4534,"AAAAAH/o+hc=")</f>
        <v>#VALUE!</v>
      </c>
      <c r="Y203" t="e">
        <f>AND('STERLING CATALOG - DRY '!D4534,"AAAAAH/o+hg=")</f>
        <v>#VALUE!</v>
      </c>
      <c r="Z203" t="e">
        <f>AND('STERLING CATALOG - DRY '!E4534,"AAAAAH/o+hk=")</f>
        <v>#VALUE!</v>
      </c>
      <c r="AA203" t="e">
        <f>AND('STERLING CATALOG - DRY '!F4534,"AAAAAH/o+ho=")</f>
        <v>#VALUE!</v>
      </c>
      <c r="AB203" t="e">
        <f>AND('STERLING CATALOG - DRY '!G4534,"AAAAAH/o+hs=")</f>
        <v>#VALUE!</v>
      </c>
      <c r="AC203" t="e">
        <f>AND('STERLING CATALOG - DRY '!H4534,"AAAAAH/o+hw=")</f>
        <v>#VALUE!</v>
      </c>
      <c r="AD203" t="e">
        <f>AND('STERLING CATALOG - DRY '!I4534,"AAAAAH/o+h0=")</f>
        <v>#VALUE!</v>
      </c>
      <c r="AE203" t="e">
        <f>AND('STERLING CATALOG - DRY '!J4534,"AAAAAH/o+h4=")</f>
        <v>#VALUE!</v>
      </c>
      <c r="AF203">
        <f>IF('STERLING CATALOG - DRY '!4535:4535,"AAAAAH/o+h8=",0)</f>
        <v>0</v>
      </c>
      <c r="AG203" t="e">
        <f>AND('STERLING CATALOG - DRY '!A4535,"AAAAAH/o+iA=")</f>
        <v>#VALUE!</v>
      </c>
      <c r="AH203" t="e">
        <f>AND('STERLING CATALOG - DRY '!B4535,"AAAAAH/o+iE=")</f>
        <v>#VALUE!</v>
      </c>
      <c r="AI203" t="e">
        <f>AND('STERLING CATALOG - DRY '!C4535,"AAAAAH/o+iI=")</f>
        <v>#VALUE!</v>
      </c>
      <c r="AJ203" t="e">
        <f>AND('STERLING CATALOG - DRY '!D4535,"AAAAAH/o+iM=")</f>
        <v>#VALUE!</v>
      </c>
      <c r="AK203" t="e">
        <f>AND('STERLING CATALOG - DRY '!E4535,"AAAAAH/o+iQ=")</f>
        <v>#VALUE!</v>
      </c>
      <c r="AL203" t="e">
        <f>AND('STERLING CATALOG - DRY '!F4535,"AAAAAH/o+iU=")</f>
        <v>#VALUE!</v>
      </c>
      <c r="AM203" t="e">
        <f>AND('STERLING CATALOG - DRY '!G4535,"AAAAAH/o+iY=")</f>
        <v>#VALUE!</v>
      </c>
      <c r="AN203" t="e">
        <f>AND('STERLING CATALOG - DRY '!H4535,"AAAAAH/o+ic=")</f>
        <v>#VALUE!</v>
      </c>
      <c r="AO203" t="e">
        <f>AND('STERLING CATALOG - DRY '!I4535,"AAAAAH/o+ig=")</f>
        <v>#VALUE!</v>
      </c>
      <c r="AP203" t="e">
        <f>AND('STERLING CATALOG - DRY '!J4535,"AAAAAH/o+ik=")</f>
        <v>#VALUE!</v>
      </c>
      <c r="AQ203">
        <f>IF('STERLING CATALOG - DRY '!4536:4536,"AAAAAH/o+io=",0)</f>
        <v>0</v>
      </c>
      <c r="AR203" t="e">
        <f>AND('STERLING CATALOG - DRY '!A4536,"AAAAAH/o+is=")</f>
        <v>#VALUE!</v>
      </c>
      <c r="AS203" t="e">
        <f>AND('STERLING CATALOG - DRY '!B4536,"AAAAAH/o+iw=")</f>
        <v>#VALUE!</v>
      </c>
      <c r="AT203" t="e">
        <f>AND('STERLING CATALOG - DRY '!C4536,"AAAAAH/o+i0=")</f>
        <v>#VALUE!</v>
      </c>
      <c r="AU203" t="e">
        <f>AND('STERLING CATALOG - DRY '!D4536,"AAAAAH/o+i4=")</f>
        <v>#VALUE!</v>
      </c>
      <c r="AV203" t="e">
        <f>AND('STERLING CATALOG - DRY '!E4536,"AAAAAH/o+i8=")</f>
        <v>#VALUE!</v>
      </c>
      <c r="AW203" t="e">
        <f>AND('STERLING CATALOG - DRY '!F4536,"AAAAAH/o+jA=")</f>
        <v>#VALUE!</v>
      </c>
      <c r="AX203" t="e">
        <f>AND('STERLING CATALOG - DRY '!G4536,"AAAAAH/o+jE=")</f>
        <v>#VALUE!</v>
      </c>
      <c r="AY203" t="e">
        <f>AND('STERLING CATALOG - DRY '!H4536,"AAAAAH/o+jI=")</f>
        <v>#VALUE!</v>
      </c>
      <c r="AZ203" t="e">
        <f>AND('STERLING CATALOG - DRY '!I4536,"AAAAAH/o+jM=")</f>
        <v>#VALUE!</v>
      </c>
      <c r="BA203" t="e">
        <f>AND('STERLING CATALOG - DRY '!J4536,"AAAAAH/o+jQ=")</f>
        <v>#VALUE!</v>
      </c>
      <c r="BB203">
        <f>IF('STERLING CATALOG - DRY '!4537:4537,"AAAAAH/o+jU=",0)</f>
        <v>0</v>
      </c>
      <c r="BC203" t="e">
        <f>AND('STERLING CATALOG - DRY '!A4537,"AAAAAH/o+jY=")</f>
        <v>#VALUE!</v>
      </c>
      <c r="BD203" t="e">
        <f>AND('STERLING CATALOG - DRY '!B4537,"AAAAAH/o+jc=")</f>
        <v>#VALUE!</v>
      </c>
      <c r="BE203" t="e">
        <f>AND('STERLING CATALOG - DRY '!C4537,"AAAAAH/o+jg=")</f>
        <v>#VALUE!</v>
      </c>
      <c r="BF203" t="e">
        <f>AND('STERLING CATALOG - DRY '!D4537,"AAAAAH/o+jk=")</f>
        <v>#VALUE!</v>
      </c>
      <c r="BG203" t="e">
        <f>AND('STERLING CATALOG - DRY '!E4537,"AAAAAH/o+jo=")</f>
        <v>#VALUE!</v>
      </c>
      <c r="BH203" t="e">
        <f>AND('STERLING CATALOG - DRY '!F4537,"AAAAAH/o+js=")</f>
        <v>#VALUE!</v>
      </c>
      <c r="BI203" t="e">
        <f>AND('STERLING CATALOG - DRY '!G4537,"AAAAAH/o+jw=")</f>
        <v>#VALUE!</v>
      </c>
      <c r="BJ203" t="e">
        <f>AND('STERLING CATALOG - DRY '!H4537,"AAAAAH/o+j0=")</f>
        <v>#VALUE!</v>
      </c>
      <c r="BK203" t="e">
        <f>AND('STERLING CATALOG - DRY '!I4537,"AAAAAH/o+j4=")</f>
        <v>#VALUE!</v>
      </c>
      <c r="BL203" t="e">
        <f>AND('STERLING CATALOG - DRY '!J4537,"AAAAAH/o+j8=")</f>
        <v>#VALUE!</v>
      </c>
      <c r="BM203">
        <f>IF('STERLING CATALOG - DRY '!4538:4538,"AAAAAH/o+kA=",0)</f>
        <v>0</v>
      </c>
      <c r="BN203" t="e">
        <f>AND('STERLING CATALOG - DRY '!A4538,"AAAAAH/o+kE=")</f>
        <v>#VALUE!</v>
      </c>
      <c r="BO203" t="e">
        <f>AND('STERLING CATALOG - DRY '!B4538,"AAAAAH/o+kI=")</f>
        <v>#VALUE!</v>
      </c>
      <c r="BP203" t="e">
        <f>AND('STERLING CATALOG - DRY '!C4538,"AAAAAH/o+kM=")</f>
        <v>#VALUE!</v>
      </c>
      <c r="BQ203" t="e">
        <f>AND('STERLING CATALOG - DRY '!D4538,"AAAAAH/o+kQ=")</f>
        <v>#VALUE!</v>
      </c>
      <c r="BR203" t="e">
        <f>AND('STERLING CATALOG - DRY '!E4538,"AAAAAH/o+kU=")</f>
        <v>#VALUE!</v>
      </c>
      <c r="BS203" t="e">
        <f>AND('STERLING CATALOG - DRY '!F4538,"AAAAAH/o+kY=")</f>
        <v>#VALUE!</v>
      </c>
      <c r="BT203" t="e">
        <f>AND('STERLING CATALOG - DRY '!G4538,"AAAAAH/o+kc=")</f>
        <v>#VALUE!</v>
      </c>
      <c r="BU203" t="e">
        <f>AND('STERLING CATALOG - DRY '!H4538,"AAAAAH/o+kg=")</f>
        <v>#VALUE!</v>
      </c>
      <c r="BV203" t="e">
        <f>AND('STERLING CATALOG - DRY '!I4538,"AAAAAH/o+kk=")</f>
        <v>#VALUE!</v>
      </c>
      <c r="BW203" t="e">
        <f>AND('STERLING CATALOG - DRY '!J4538,"AAAAAH/o+ko=")</f>
        <v>#VALUE!</v>
      </c>
      <c r="BX203">
        <f>IF('STERLING CATALOG - DRY '!4539:4539,"AAAAAH/o+ks=",0)</f>
        <v>0</v>
      </c>
      <c r="BY203" t="e">
        <f>AND('STERLING CATALOG - DRY '!A4539,"AAAAAH/o+kw=")</f>
        <v>#VALUE!</v>
      </c>
      <c r="BZ203" t="e">
        <f>AND('STERLING CATALOG - DRY '!B4539,"AAAAAH/o+k0=")</f>
        <v>#VALUE!</v>
      </c>
      <c r="CA203" t="e">
        <f>AND('STERLING CATALOG - DRY '!C4539,"AAAAAH/o+k4=")</f>
        <v>#VALUE!</v>
      </c>
      <c r="CB203" t="e">
        <f>AND('STERLING CATALOG - DRY '!D4539,"AAAAAH/o+k8=")</f>
        <v>#VALUE!</v>
      </c>
      <c r="CC203" t="e">
        <f>AND('STERLING CATALOG - DRY '!E4539,"AAAAAH/o+lA=")</f>
        <v>#VALUE!</v>
      </c>
      <c r="CD203" t="e">
        <f>AND('STERLING CATALOG - DRY '!F4539,"AAAAAH/o+lE=")</f>
        <v>#VALUE!</v>
      </c>
      <c r="CE203" t="e">
        <f>AND('STERLING CATALOG - DRY '!G4539,"AAAAAH/o+lI=")</f>
        <v>#VALUE!</v>
      </c>
      <c r="CF203" t="e">
        <f>AND('STERLING CATALOG - DRY '!H4539,"AAAAAH/o+lM=")</f>
        <v>#VALUE!</v>
      </c>
      <c r="CG203" t="e">
        <f>AND('STERLING CATALOG - DRY '!I4539,"AAAAAH/o+lQ=")</f>
        <v>#VALUE!</v>
      </c>
      <c r="CH203" t="e">
        <f>AND('STERLING CATALOG - DRY '!J4539,"AAAAAH/o+lU=")</f>
        <v>#VALUE!</v>
      </c>
      <c r="CI203">
        <f>IF('STERLING CATALOG - DRY '!4540:4540,"AAAAAH/o+lY=",0)</f>
        <v>0</v>
      </c>
      <c r="CJ203" t="e">
        <f>AND('STERLING CATALOG - DRY '!A4540,"AAAAAH/o+lc=")</f>
        <v>#VALUE!</v>
      </c>
      <c r="CK203" t="e">
        <f>AND('STERLING CATALOG - DRY '!B4540,"AAAAAH/o+lg=")</f>
        <v>#VALUE!</v>
      </c>
      <c r="CL203" t="e">
        <f>AND('STERLING CATALOG - DRY '!C4540,"AAAAAH/o+lk=")</f>
        <v>#VALUE!</v>
      </c>
      <c r="CM203" t="e">
        <f>AND('STERLING CATALOG - DRY '!D4540,"AAAAAH/o+lo=")</f>
        <v>#VALUE!</v>
      </c>
      <c r="CN203" t="e">
        <f>AND('STERLING CATALOG - DRY '!E4540,"AAAAAH/o+ls=")</f>
        <v>#VALUE!</v>
      </c>
      <c r="CO203" t="e">
        <f>AND('STERLING CATALOG - DRY '!F4540,"AAAAAH/o+lw=")</f>
        <v>#VALUE!</v>
      </c>
      <c r="CP203" t="e">
        <f>AND('STERLING CATALOG - DRY '!G4540,"AAAAAH/o+l0=")</f>
        <v>#VALUE!</v>
      </c>
      <c r="CQ203" t="e">
        <f>AND('STERLING CATALOG - DRY '!H4540,"AAAAAH/o+l4=")</f>
        <v>#VALUE!</v>
      </c>
      <c r="CR203" t="e">
        <f>AND('STERLING CATALOG - DRY '!I4540,"AAAAAH/o+l8=")</f>
        <v>#VALUE!</v>
      </c>
      <c r="CS203" t="e">
        <f>AND('STERLING CATALOG - DRY '!J4540,"AAAAAH/o+mA=")</f>
        <v>#VALUE!</v>
      </c>
      <c r="CT203">
        <f>IF('STERLING CATALOG - DRY '!4541:4541,"AAAAAH/o+mE=",0)</f>
        <v>0</v>
      </c>
      <c r="CU203" t="e">
        <f>AND('STERLING CATALOG - DRY '!A4541,"AAAAAH/o+mI=")</f>
        <v>#VALUE!</v>
      </c>
      <c r="CV203" t="e">
        <f>AND('STERLING CATALOG - DRY '!B4541,"AAAAAH/o+mM=")</f>
        <v>#VALUE!</v>
      </c>
      <c r="CW203" t="e">
        <f>AND('STERLING CATALOG - DRY '!C4541,"AAAAAH/o+mQ=")</f>
        <v>#VALUE!</v>
      </c>
      <c r="CX203" t="e">
        <f>AND('STERLING CATALOG - DRY '!D4541,"AAAAAH/o+mU=")</f>
        <v>#VALUE!</v>
      </c>
      <c r="CY203" t="e">
        <f>AND('STERLING CATALOG - DRY '!E4541,"AAAAAH/o+mY=")</f>
        <v>#VALUE!</v>
      </c>
      <c r="CZ203" t="e">
        <f>AND('STERLING CATALOG - DRY '!F4541,"AAAAAH/o+mc=")</f>
        <v>#VALUE!</v>
      </c>
      <c r="DA203" t="e">
        <f>AND('STERLING CATALOG - DRY '!G4541,"AAAAAH/o+mg=")</f>
        <v>#VALUE!</v>
      </c>
      <c r="DB203" t="e">
        <f>AND('STERLING CATALOG - DRY '!H4541,"AAAAAH/o+mk=")</f>
        <v>#VALUE!</v>
      </c>
      <c r="DC203" t="e">
        <f>AND('STERLING CATALOG - DRY '!I4541,"AAAAAH/o+mo=")</f>
        <v>#VALUE!</v>
      </c>
      <c r="DD203" t="e">
        <f>AND('STERLING CATALOG - DRY '!J4541,"AAAAAH/o+ms=")</f>
        <v>#VALUE!</v>
      </c>
      <c r="DE203">
        <f>IF('STERLING CATALOG - DRY '!4542:4542,"AAAAAH/o+mw=",0)</f>
        <v>0</v>
      </c>
      <c r="DF203" t="e">
        <f>AND('STERLING CATALOG - DRY '!A4542,"AAAAAH/o+m0=")</f>
        <v>#VALUE!</v>
      </c>
      <c r="DG203" t="e">
        <f>AND('STERLING CATALOG - DRY '!B4542,"AAAAAH/o+m4=")</f>
        <v>#VALUE!</v>
      </c>
      <c r="DH203" t="e">
        <f>AND('STERLING CATALOG - DRY '!C4542,"AAAAAH/o+m8=")</f>
        <v>#VALUE!</v>
      </c>
      <c r="DI203" t="e">
        <f>AND('STERLING CATALOG - DRY '!D4542,"AAAAAH/o+nA=")</f>
        <v>#VALUE!</v>
      </c>
      <c r="DJ203" t="e">
        <f>AND('STERLING CATALOG - DRY '!E4542,"AAAAAH/o+nE=")</f>
        <v>#VALUE!</v>
      </c>
      <c r="DK203" t="e">
        <f>AND('STERLING CATALOG - DRY '!F4542,"AAAAAH/o+nI=")</f>
        <v>#VALUE!</v>
      </c>
      <c r="DL203" t="e">
        <f>AND('STERLING CATALOG - DRY '!G4542,"AAAAAH/o+nM=")</f>
        <v>#VALUE!</v>
      </c>
      <c r="DM203" t="e">
        <f>AND('STERLING CATALOG - DRY '!H4542,"AAAAAH/o+nQ=")</f>
        <v>#VALUE!</v>
      </c>
      <c r="DN203" t="e">
        <f>AND('STERLING CATALOG - DRY '!I4542,"AAAAAH/o+nU=")</f>
        <v>#VALUE!</v>
      </c>
      <c r="DO203" t="e">
        <f>AND('STERLING CATALOG - DRY '!J4542,"AAAAAH/o+nY=")</f>
        <v>#VALUE!</v>
      </c>
      <c r="DP203">
        <f>IF('STERLING CATALOG - DRY '!4543:4543,"AAAAAH/o+nc=",0)</f>
        <v>0</v>
      </c>
      <c r="DQ203" t="e">
        <f>AND('STERLING CATALOG - DRY '!A4543,"AAAAAH/o+ng=")</f>
        <v>#VALUE!</v>
      </c>
      <c r="DR203" t="e">
        <f>AND('STERLING CATALOG - DRY '!B4543,"AAAAAH/o+nk=")</f>
        <v>#VALUE!</v>
      </c>
      <c r="DS203" t="e">
        <f>AND('STERLING CATALOG - DRY '!C4543,"AAAAAH/o+no=")</f>
        <v>#VALUE!</v>
      </c>
      <c r="DT203" t="e">
        <f>AND('STERLING CATALOG - DRY '!D4543,"AAAAAH/o+ns=")</f>
        <v>#VALUE!</v>
      </c>
      <c r="DU203" t="e">
        <f>AND('STERLING CATALOG - DRY '!E4543,"AAAAAH/o+nw=")</f>
        <v>#VALUE!</v>
      </c>
      <c r="DV203" t="e">
        <f>AND('STERLING CATALOG - DRY '!F4543,"AAAAAH/o+n0=")</f>
        <v>#VALUE!</v>
      </c>
      <c r="DW203" t="e">
        <f>AND('STERLING CATALOG - DRY '!G4543,"AAAAAH/o+n4=")</f>
        <v>#VALUE!</v>
      </c>
      <c r="DX203" t="e">
        <f>AND('STERLING CATALOG - DRY '!H4543,"AAAAAH/o+n8=")</f>
        <v>#VALUE!</v>
      </c>
      <c r="DY203" t="e">
        <f>AND('STERLING CATALOG - DRY '!I4543,"AAAAAH/o+oA=")</f>
        <v>#VALUE!</v>
      </c>
      <c r="DZ203" t="e">
        <f>AND('STERLING CATALOG - DRY '!J4543,"AAAAAH/o+oE=")</f>
        <v>#VALUE!</v>
      </c>
      <c r="EA203">
        <f>IF('STERLING CATALOG - DRY '!4544:4544,"AAAAAH/o+oI=",0)</f>
        <v>0</v>
      </c>
      <c r="EB203" t="e">
        <f>AND('STERLING CATALOG - DRY '!A4544,"AAAAAH/o+oM=")</f>
        <v>#VALUE!</v>
      </c>
      <c r="EC203" t="e">
        <f>AND('STERLING CATALOG - DRY '!B4544,"AAAAAH/o+oQ=")</f>
        <v>#VALUE!</v>
      </c>
      <c r="ED203" t="e">
        <f>AND('STERLING CATALOG - DRY '!C4544,"AAAAAH/o+oU=")</f>
        <v>#VALUE!</v>
      </c>
      <c r="EE203" t="e">
        <f>AND('STERLING CATALOG - DRY '!D4544,"AAAAAH/o+oY=")</f>
        <v>#VALUE!</v>
      </c>
      <c r="EF203" t="e">
        <f>AND('STERLING CATALOG - DRY '!E4544,"AAAAAH/o+oc=")</f>
        <v>#VALUE!</v>
      </c>
      <c r="EG203" t="e">
        <f>AND('STERLING CATALOG - DRY '!F4544,"AAAAAH/o+og=")</f>
        <v>#VALUE!</v>
      </c>
      <c r="EH203" t="e">
        <f>AND('STERLING CATALOG - DRY '!G4544,"AAAAAH/o+ok=")</f>
        <v>#VALUE!</v>
      </c>
      <c r="EI203" t="e">
        <f>AND('STERLING CATALOG - DRY '!H4544,"AAAAAH/o+oo=")</f>
        <v>#VALUE!</v>
      </c>
      <c r="EJ203" t="e">
        <f>AND('STERLING CATALOG - DRY '!I4544,"AAAAAH/o+os=")</f>
        <v>#VALUE!</v>
      </c>
      <c r="EK203" t="e">
        <f>AND('STERLING CATALOG - DRY '!J4544,"AAAAAH/o+ow=")</f>
        <v>#VALUE!</v>
      </c>
      <c r="EL203">
        <f>IF('STERLING CATALOG - DRY '!4545:4545,"AAAAAH/o+o0=",0)</f>
        <v>0</v>
      </c>
      <c r="EM203" t="e">
        <f>AND('STERLING CATALOG - DRY '!A4545,"AAAAAH/o+o4=")</f>
        <v>#VALUE!</v>
      </c>
      <c r="EN203" t="e">
        <f>AND('STERLING CATALOG - DRY '!B4545,"AAAAAH/o+o8=")</f>
        <v>#VALUE!</v>
      </c>
      <c r="EO203" t="e">
        <f>AND('STERLING CATALOG - DRY '!C4545,"AAAAAH/o+pA=")</f>
        <v>#VALUE!</v>
      </c>
      <c r="EP203" t="e">
        <f>AND('STERLING CATALOG - DRY '!D4545,"AAAAAH/o+pE=")</f>
        <v>#VALUE!</v>
      </c>
      <c r="EQ203" t="e">
        <f>AND('STERLING CATALOG - DRY '!E4545,"AAAAAH/o+pI=")</f>
        <v>#VALUE!</v>
      </c>
      <c r="ER203" t="e">
        <f>AND('STERLING CATALOG - DRY '!F4545,"AAAAAH/o+pM=")</f>
        <v>#VALUE!</v>
      </c>
      <c r="ES203" t="e">
        <f>AND('STERLING CATALOG - DRY '!G4545,"AAAAAH/o+pQ=")</f>
        <v>#VALUE!</v>
      </c>
      <c r="ET203" t="e">
        <f>AND('STERLING CATALOG - DRY '!H4545,"AAAAAH/o+pU=")</f>
        <v>#VALUE!</v>
      </c>
      <c r="EU203" t="e">
        <f>AND('STERLING CATALOG - DRY '!I4545,"AAAAAH/o+pY=")</f>
        <v>#VALUE!</v>
      </c>
      <c r="EV203" t="e">
        <f>AND('STERLING CATALOG - DRY '!J4545,"AAAAAH/o+pc=")</f>
        <v>#VALUE!</v>
      </c>
      <c r="EW203">
        <f>IF('STERLING CATALOG - DRY '!4546:4546,"AAAAAH/o+pg=",0)</f>
        <v>0</v>
      </c>
      <c r="EX203" t="e">
        <f>AND('STERLING CATALOG - DRY '!A4546,"AAAAAH/o+pk=")</f>
        <v>#VALUE!</v>
      </c>
      <c r="EY203" t="e">
        <f>AND('STERLING CATALOG - DRY '!B4546,"AAAAAH/o+po=")</f>
        <v>#VALUE!</v>
      </c>
      <c r="EZ203" t="e">
        <f>AND('STERLING CATALOG - DRY '!C4546,"AAAAAH/o+ps=")</f>
        <v>#VALUE!</v>
      </c>
      <c r="FA203" t="e">
        <f>AND('STERLING CATALOG - DRY '!D4546,"AAAAAH/o+pw=")</f>
        <v>#VALUE!</v>
      </c>
      <c r="FB203" t="e">
        <f>AND('STERLING CATALOG - DRY '!E4546,"AAAAAH/o+p0=")</f>
        <v>#VALUE!</v>
      </c>
      <c r="FC203" t="e">
        <f>AND('STERLING CATALOG - DRY '!F4546,"AAAAAH/o+p4=")</f>
        <v>#VALUE!</v>
      </c>
      <c r="FD203" t="e">
        <f>AND('STERLING CATALOG - DRY '!G4546,"AAAAAH/o+p8=")</f>
        <v>#VALUE!</v>
      </c>
      <c r="FE203" t="e">
        <f>AND('STERLING CATALOG - DRY '!H4546,"AAAAAH/o+qA=")</f>
        <v>#VALUE!</v>
      </c>
      <c r="FF203" t="e">
        <f>AND('STERLING CATALOG - DRY '!I4546,"AAAAAH/o+qE=")</f>
        <v>#VALUE!</v>
      </c>
      <c r="FG203" t="e">
        <f>AND('STERLING CATALOG - DRY '!J4546,"AAAAAH/o+qI=")</f>
        <v>#VALUE!</v>
      </c>
      <c r="FH203">
        <f>IF('STERLING CATALOG - DRY '!4547:4547,"AAAAAH/o+qM=",0)</f>
        <v>0</v>
      </c>
      <c r="FI203" t="e">
        <f>AND('STERLING CATALOG - DRY '!A4547,"AAAAAH/o+qQ=")</f>
        <v>#VALUE!</v>
      </c>
      <c r="FJ203" t="e">
        <f>AND('STERLING CATALOG - DRY '!B4547,"AAAAAH/o+qU=")</f>
        <v>#VALUE!</v>
      </c>
      <c r="FK203" t="e">
        <f>AND('STERLING CATALOG - DRY '!C4547,"AAAAAH/o+qY=")</f>
        <v>#VALUE!</v>
      </c>
      <c r="FL203" t="e">
        <f>AND('STERLING CATALOG - DRY '!D4547,"AAAAAH/o+qc=")</f>
        <v>#VALUE!</v>
      </c>
      <c r="FM203" t="e">
        <f>AND('STERLING CATALOG - DRY '!E4547,"AAAAAH/o+qg=")</f>
        <v>#VALUE!</v>
      </c>
      <c r="FN203" t="e">
        <f>AND('STERLING CATALOG - DRY '!F4547,"AAAAAH/o+qk=")</f>
        <v>#VALUE!</v>
      </c>
      <c r="FO203" t="e">
        <f>AND('STERLING CATALOG - DRY '!G4547,"AAAAAH/o+qo=")</f>
        <v>#VALUE!</v>
      </c>
      <c r="FP203" t="e">
        <f>AND('STERLING CATALOG - DRY '!H4547,"AAAAAH/o+qs=")</f>
        <v>#VALUE!</v>
      </c>
      <c r="FQ203" t="e">
        <f>AND('STERLING CATALOG - DRY '!I4547,"AAAAAH/o+qw=")</f>
        <v>#VALUE!</v>
      </c>
      <c r="FR203" t="e">
        <f>AND('STERLING CATALOG - DRY '!J4547,"AAAAAH/o+q0=")</f>
        <v>#VALUE!</v>
      </c>
      <c r="FS203">
        <f>IF('STERLING CATALOG - DRY '!4548:4548,"AAAAAH/o+q4=",0)</f>
        <v>0</v>
      </c>
      <c r="FT203" t="e">
        <f>AND('STERLING CATALOG - DRY '!A4548,"AAAAAH/o+q8=")</f>
        <v>#VALUE!</v>
      </c>
      <c r="FU203" t="e">
        <f>AND('STERLING CATALOG - DRY '!B4548,"AAAAAH/o+rA=")</f>
        <v>#VALUE!</v>
      </c>
      <c r="FV203" t="e">
        <f>AND('STERLING CATALOG - DRY '!C4548,"AAAAAH/o+rE=")</f>
        <v>#VALUE!</v>
      </c>
      <c r="FW203" t="e">
        <f>AND('STERLING CATALOG - DRY '!D4548,"AAAAAH/o+rI=")</f>
        <v>#VALUE!</v>
      </c>
      <c r="FX203" t="e">
        <f>AND('STERLING CATALOG - DRY '!E4548,"AAAAAH/o+rM=")</f>
        <v>#VALUE!</v>
      </c>
      <c r="FY203" t="e">
        <f>AND('STERLING CATALOG - DRY '!F4548,"AAAAAH/o+rQ=")</f>
        <v>#VALUE!</v>
      </c>
      <c r="FZ203" t="e">
        <f>AND('STERLING CATALOG - DRY '!G4548,"AAAAAH/o+rU=")</f>
        <v>#VALUE!</v>
      </c>
      <c r="GA203" t="e">
        <f>AND('STERLING CATALOG - DRY '!H4548,"AAAAAH/o+rY=")</f>
        <v>#VALUE!</v>
      </c>
      <c r="GB203" t="e">
        <f>AND('STERLING CATALOG - DRY '!I4548,"AAAAAH/o+rc=")</f>
        <v>#VALUE!</v>
      </c>
      <c r="GC203" t="e">
        <f>AND('STERLING CATALOG - DRY '!J4548,"AAAAAH/o+rg=")</f>
        <v>#VALUE!</v>
      </c>
      <c r="GD203">
        <f>IF('STERLING CATALOG - DRY '!4549:4549,"AAAAAH/o+rk=",0)</f>
        <v>0</v>
      </c>
      <c r="GE203" t="e">
        <f>AND('STERLING CATALOG - DRY '!A4549,"AAAAAH/o+ro=")</f>
        <v>#VALUE!</v>
      </c>
      <c r="GF203" t="e">
        <f>AND('STERLING CATALOG - DRY '!B4549,"AAAAAH/o+rs=")</f>
        <v>#VALUE!</v>
      </c>
      <c r="GG203" t="e">
        <f>AND('STERLING CATALOG - DRY '!C4549,"AAAAAH/o+rw=")</f>
        <v>#VALUE!</v>
      </c>
      <c r="GH203" t="e">
        <f>AND('STERLING CATALOG - DRY '!D4549,"AAAAAH/o+r0=")</f>
        <v>#VALUE!</v>
      </c>
      <c r="GI203" t="e">
        <f>AND('STERLING CATALOG - DRY '!E4549,"AAAAAH/o+r4=")</f>
        <v>#VALUE!</v>
      </c>
      <c r="GJ203" t="e">
        <f>AND('STERLING CATALOG - DRY '!F4549,"AAAAAH/o+r8=")</f>
        <v>#VALUE!</v>
      </c>
      <c r="GK203" t="e">
        <f>AND('STERLING CATALOG - DRY '!G4549,"AAAAAH/o+sA=")</f>
        <v>#VALUE!</v>
      </c>
      <c r="GL203" t="e">
        <f>AND('STERLING CATALOG - DRY '!H4549,"AAAAAH/o+sE=")</f>
        <v>#VALUE!</v>
      </c>
      <c r="GM203" t="e">
        <f>AND('STERLING CATALOG - DRY '!I4549,"AAAAAH/o+sI=")</f>
        <v>#VALUE!</v>
      </c>
      <c r="GN203" t="e">
        <f>AND('STERLING CATALOG - DRY '!J4549,"AAAAAH/o+sM=")</f>
        <v>#VALUE!</v>
      </c>
      <c r="GO203">
        <f>IF('STERLING CATALOG - DRY '!4550:4550,"AAAAAH/o+sQ=",0)</f>
        <v>0</v>
      </c>
      <c r="GP203" t="e">
        <f>AND('STERLING CATALOG - DRY '!A4550,"AAAAAH/o+sU=")</f>
        <v>#VALUE!</v>
      </c>
      <c r="GQ203" t="e">
        <f>AND('STERLING CATALOG - DRY '!B4550,"AAAAAH/o+sY=")</f>
        <v>#VALUE!</v>
      </c>
      <c r="GR203" t="e">
        <f>AND('STERLING CATALOG - DRY '!C4550,"AAAAAH/o+sc=")</f>
        <v>#VALUE!</v>
      </c>
      <c r="GS203" t="e">
        <f>AND('STERLING CATALOG - DRY '!D4550,"AAAAAH/o+sg=")</f>
        <v>#VALUE!</v>
      </c>
      <c r="GT203" t="e">
        <f>AND('STERLING CATALOG - DRY '!E4550,"AAAAAH/o+sk=")</f>
        <v>#VALUE!</v>
      </c>
      <c r="GU203" t="e">
        <f>AND('STERLING CATALOG - DRY '!F4550,"AAAAAH/o+so=")</f>
        <v>#VALUE!</v>
      </c>
      <c r="GV203" t="e">
        <f>AND('STERLING CATALOG - DRY '!G4550,"AAAAAH/o+ss=")</f>
        <v>#VALUE!</v>
      </c>
      <c r="GW203" t="e">
        <f>AND('STERLING CATALOG - DRY '!H4550,"AAAAAH/o+sw=")</f>
        <v>#VALUE!</v>
      </c>
      <c r="GX203" t="e">
        <f>AND('STERLING CATALOG - DRY '!I4550,"AAAAAH/o+s0=")</f>
        <v>#VALUE!</v>
      </c>
      <c r="GY203" t="e">
        <f>AND('STERLING CATALOG - DRY '!J4550,"AAAAAH/o+s4=")</f>
        <v>#VALUE!</v>
      </c>
      <c r="GZ203">
        <f>IF('STERLING CATALOG - DRY '!4551:4551,"AAAAAH/o+s8=",0)</f>
        <v>0</v>
      </c>
      <c r="HA203" t="e">
        <f>AND('STERLING CATALOG - DRY '!A4551,"AAAAAH/o+tA=")</f>
        <v>#VALUE!</v>
      </c>
      <c r="HB203" t="e">
        <f>AND('STERLING CATALOG - DRY '!B4551,"AAAAAH/o+tE=")</f>
        <v>#VALUE!</v>
      </c>
      <c r="HC203" t="e">
        <f>AND('STERLING CATALOG - DRY '!C4551,"AAAAAH/o+tI=")</f>
        <v>#VALUE!</v>
      </c>
      <c r="HD203" t="e">
        <f>AND('STERLING CATALOG - DRY '!D4551,"AAAAAH/o+tM=")</f>
        <v>#VALUE!</v>
      </c>
      <c r="HE203" t="e">
        <f>AND('STERLING CATALOG - DRY '!E4551,"AAAAAH/o+tQ=")</f>
        <v>#VALUE!</v>
      </c>
      <c r="HF203" t="e">
        <f>AND('STERLING CATALOG - DRY '!F4551,"AAAAAH/o+tU=")</f>
        <v>#VALUE!</v>
      </c>
      <c r="HG203" t="e">
        <f>AND('STERLING CATALOG - DRY '!G4551,"AAAAAH/o+tY=")</f>
        <v>#VALUE!</v>
      </c>
      <c r="HH203" t="e">
        <f>AND('STERLING CATALOG - DRY '!H4551,"AAAAAH/o+tc=")</f>
        <v>#VALUE!</v>
      </c>
      <c r="HI203" t="e">
        <f>AND('STERLING CATALOG - DRY '!I4551,"AAAAAH/o+tg=")</f>
        <v>#VALUE!</v>
      </c>
      <c r="HJ203" t="e">
        <f>AND('STERLING CATALOG - DRY '!J4551,"AAAAAH/o+tk=")</f>
        <v>#VALUE!</v>
      </c>
      <c r="HK203">
        <f>IF('STERLING CATALOG - DRY '!4552:4552,"AAAAAH/o+to=",0)</f>
        <v>0</v>
      </c>
      <c r="HL203" t="e">
        <f>AND('STERLING CATALOG - DRY '!A4552,"AAAAAH/o+ts=")</f>
        <v>#VALUE!</v>
      </c>
      <c r="HM203" t="e">
        <f>AND('STERLING CATALOG - DRY '!B4552,"AAAAAH/o+tw=")</f>
        <v>#VALUE!</v>
      </c>
      <c r="HN203" t="e">
        <f>AND('STERLING CATALOG - DRY '!C4552,"AAAAAH/o+t0=")</f>
        <v>#VALUE!</v>
      </c>
      <c r="HO203" t="e">
        <f>AND('STERLING CATALOG - DRY '!D4552,"AAAAAH/o+t4=")</f>
        <v>#VALUE!</v>
      </c>
      <c r="HP203" t="e">
        <f>AND('STERLING CATALOG - DRY '!E4552,"AAAAAH/o+t8=")</f>
        <v>#VALUE!</v>
      </c>
      <c r="HQ203" t="e">
        <f>AND('STERLING CATALOG - DRY '!F4552,"AAAAAH/o+uA=")</f>
        <v>#VALUE!</v>
      </c>
      <c r="HR203" t="e">
        <f>AND('STERLING CATALOG - DRY '!G4552,"AAAAAH/o+uE=")</f>
        <v>#VALUE!</v>
      </c>
      <c r="HS203" t="e">
        <f>AND('STERLING CATALOG - DRY '!H4552,"AAAAAH/o+uI=")</f>
        <v>#VALUE!</v>
      </c>
      <c r="HT203" t="e">
        <f>AND('STERLING CATALOG - DRY '!I4552,"AAAAAH/o+uM=")</f>
        <v>#VALUE!</v>
      </c>
      <c r="HU203" t="e">
        <f>AND('STERLING CATALOG - DRY '!J4552,"AAAAAH/o+uQ=")</f>
        <v>#VALUE!</v>
      </c>
      <c r="HV203">
        <f>IF('STERLING CATALOG - DRY '!4553:4553,"AAAAAH/o+uU=",0)</f>
        <v>0</v>
      </c>
      <c r="HW203" t="e">
        <f>AND('STERLING CATALOG - DRY '!A4553,"AAAAAH/o+uY=")</f>
        <v>#VALUE!</v>
      </c>
      <c r="HX203" t="e">
        <f>AND('STERLING CATALOG - DRY '!B4553,"AAAAAH/o+uc=")</f>
        <v>#VALUE!</v>
      </c>
      <c r="HY203" t="e">
        <f>AND('STERLING CATALOG - DRY '!C4553,"AAAAAH/o+ug=")</f>
        <v>#VALUE!</v>
      </c>
      <c r="HZ203" t="e">
        <f>AND('STERLING CATALOG - DRY '!D4553,"AAAAAH/o+uk=")</f>
        <v>#VALUE!</v>
      </c>
      <c r="IA203" t="e">
        <f>AND('STERLING CATALOG - DRY '!E4553,"AAAAAH/o+uo=")</f>
        <v>#VALUE!</v>
      </c>
      <c r="IB203" t="e">
        <f>AND('STERLING CATALOG - DRY '!F4553,"AAAAAH/o+us=")</f>
        <v>#VALUE!</v>
      </c>
      <c r="IC203" t="e">
        <f>AND('STERLING CATALOG - DRY '!G4553,"AAAAAH/o+uw=")</f>
        <v>#VALUE!</v>
      </c>
      <c r="ID203" t="e">
        <f>AND('STERLING CATALOG - DRY '!H4553,"AAAAAH/o+u0=")</f>
        <v>#VALUE!</v>
      </c>
      <c r="IE203" t="e">
        <f>AND('STERLING CATALOG - DRY '!I4553,"AAAAAH/o+u4=")</f>
        <v>#VALUE!</v>
      </c>
      <c r="IF203" t="e">
        <f>AND('STERLING CATALOG - DRY '!J4553,"AAAAAH/o+u8=")</f>
        <v>#VALUE!</v>
      </c>
      <c r="IG203">
        <f>IF('STERLING CATALOG - DRY '!4554:4554,"AAAAAH/o+vA=",0)</f>
        <v>0</v>
      </c>
      <c r="IH203" t="e">
        <f>AND('STERLING CATALOG - DRY '!A4554,"AAAAAH/o+vE=")</f>
        <v>#VALUE!</v>
      </c>
      <c r="II203" t="e">
        <f>AND('STERLING CATALOG - DRY '!B4554,"AAAAAH/o+vI=")</f>
        <v>#VALUE!</v>
      </c>
      <c r="IJ203" t="e">
        <f>AND('STERLING CATALOG - DRY '!C4554,"AAAAAH/o+vM=")</f>
        <v>#VALUE!</v>
      </c>
      <c r="IK203" t="e">
        <f>AND('STERLING CATALOG - DRY '!D4554,"AAAAAH/o+vQ=")</f>
        <v>#VALUE!</v>
      </c>
      <c r="IL203" t="e">
        <f>AND('STERLING CATALOG - DRY '!E4554,"AAAAAH/o+vU=")</f>
        <v>#VALUE!</v>
      </c>
      <c r="IM203" t="e">
        <f>AND('STERLING CATALOG - DRY '!F4554,"AAAAAH/o+vY=")</f>
        <v>#VALUE!</v>
      </c>
      <c r="IN203" t="e">
        <f>AND('STERLING CATALOG - DRY '!G4554,"AAAAAH/o+vc=")</f>
        <v>#VALUE!</v>
      </c>
      <c r="IO203" t="e">
        <f>AND('STERLING CATALOG - DRY '!H4554,"AAAAAH/o+vg=")</f>
        <v>#VALUE!</v>
      </c>
      <c r="IP203" t="e">
        <f>AND('STERLING CATALOG - DRY '!I4554,"AAAAAH/o+vk=")</f>
        <v>#VALUE!</v>
      </c>
      <c r="IQ203" t="e">
        <f>AND('STERLING CATALOG - DRY '!J4554,"AAAAAH/o+vo=")</f>
        <v>#VALUE!</v>
      </c>
      <c r="IR203">
        <f>IF('STERLING CATALOG - DRY '!4555:4555,"AAAAAH/o+vs=",0)</f>
        <v>0</v>
      </c>
      <c r="IS203" t="e">
        <f>AND('STERLING CATALOG - DRY '!A4555,"AAAAAH/o+vw=")</f>
        <v>#VALUE!</v>
      </c>
      <c r="IT203" t="e">
        <f>AND('STERLING CATALOG - DRY '!B4555,"AAAAAH/o+v0=")</f>
        <v>#VALUE!</v>
      </c>
      <c r="IU203" t="e">
        <f>AND('STERLING CATALOG - DRY '!C4555,"AAAAAH/o+v4=")</f>
        <v>#VALUE!</v>
      </c>
      <c r="IV203" t="e">
        <f>AND('STERLING CATALOG - DRY '!D4555,"AAAAAH/o+v8=")</f>
        <v>#VALUE!</v>
      </c>
    </row>
    <row r="204" spans="1:256">
      <c r="A204" t="e">
        <f>AND('STERLING CATALOG - DRY '!E4555,"AAAAACfj/gA=")</f>
        <v>#VALUE!</v>
      </c>
      <c r="B204" t="e">
        <f>AND('STERLING CATALOG - DRY '!F4555,"AAAAACfj/gE=")</f>
        <v>#VALUE!</v>
      </c>
      <c r="C204" t="e">
        <f>AND('STERLING CATALOG - DRY '!G4555,"AAAAACfj/gI=")</f>
        <v>#VALUE!</v>
      </c>
      <c r="D204" t="e">
        <f>AND('STERLING CATALOG - DRY '!H4555,"AAAAACfj/gM=")</f>
        <v>#VALUE!</v>
      </c>
      <c r="E204" t="e">
        <f>AND('STERLING CATALOG - DRY '!I4555,"AAAAACfj/gQ=")</f>
        <v>#VALUE!</v>
      </c>
      <c r="F204" t="e">
        <f>AND('STERLING CATALOG - DRY '!J4555,"AAAAACfj/gU=")</f>
        <v>#VALUE!</v>
      </c>
      <c r="G204" t="str">
        <f>IF('STERLING CATALOG - DRY '!4556:4556,"AAAAACfj/gY=",0)</f>
        <v>AAAAACfj/gY=</v>
      </c>
      <c r="H204" t="e">
        <f>AND('STERLING CATALOG - DRY '!A4556,"AAAAACfj/gc=")</f>
        <v>#VALUE!</v>
      </c>
      <c r="I204" t="e">
        <f>AND('STERLING CATALOG - DRY '!B4556,"AAAAACfj/gg=")</f>
        <v>#VALUE!</v>
      </c>
      <c r="J204" t="e">
        <f>AND('STERLING CATALOG - DRY '!C4556,"AAAAACfj/gk=")</f>
        <v>#VALUE!</v>
      </c>
      <c r="K204" t="e">
        <f>AND('STERLING CATALOG - DRY '!D4556,"AAAAACfj/go=")</f>
        <v>#VALUE!</v>
      </c>
      <c r="L204" t="e">
        <f>AND('STERLING CATALOG - DRY '!E4556,"AAAAACfj/gs=")</f>
        <v>#VALUE!</v>
      </c>
      <c r="M204" t="e">
        <f>AND('STERLING CATALOG - DRY '!F4556,"AAAAACfj/gw=")</f>
        <v>#VALUE!</v>
      </c>
      <c r="N204" t="e">
        <f>AND('STERLING CATALOG - DRY '!G4556,"AAAAACfj/g0=")</f>
        <v>#VALUE!</v>
      </c>
      <c r="O204" t="e">
        <f>AND('STERLING CATALOG - DRY '!H4556,"AAAAACfj/g4=")</f>
        <v>#VALUE!</v>
      </c>
      <c r="P204" t="e">
        <f>AND('STERLING CATALOG - DRY '!I4556,"AAAAACfj/g8=")</f>
        <v>#VALUE!</v>
      </c>
      <c r="Q204" t="e">
        <f>AND('STERLING CATALOG - DRY '!J4556,"AAAAACfj/hA=")</f>
        <v>#VALUE!</v>
      </c>
      <c r="R204">
        <f>IF('STERLING CATALOG - DRY '!4557:4557,"AAAAACfj/hE=",0)</f>
        <v>0</v>
      </c>
      <c r="S204" t="e">
        <f>AND('STERLING CATALOG - DRY '!A4557,"AAAAACfj/hI=")</f>
        <v>#VALUE!</v>
      </c>
      <c r="T204" t="e">
        <f>AND('STERLING CATALOG - DRY '!B4557,"AAAAACfj/hM=")</f>
        <v>#VALUE!</v>
      </c>
      <c r="U204" t="e">
        <f>AND('STERLING CATALOG - DRY '!C4557,"AAAAACfj/hQ=")</f>
        <v>#VALUE!</v>
      </c>
      <c r="V204" t="e">
        <f>AND('STERLING CATALOG - DRY '!D4557,"AAAAACfj/hU=")</f>
        <v>#VALUE!</v>
      </c>
      <c r="W204" t="e">
        <f>AND('STERLING CATALOG - DRY '!E4557,"AAAAACfj/hY=")</f>
        <v>#VALUE!</v>
      </c>
      <c r="X204" t="e">
        <f>AND('STERLING CATALOG - DRY '!F4557,"AAAAACfj/hc=")</f>
        <v>#VALUE!</v>
      </c>
      <c r="Y204" t="e">
        <f>AND('STERLING CATALOG - DRY '!G4557,"AAAAACfj/hg=")</f>
        <v>#VALUE!</v>
      </c>
      <c r="Z204" t="e">
        <f>AND('STERLING CATALOG - DRY '!H4557,"AAAAACfj/hk=")</f>
        <v>#VALUE!</v>
      </c>
      <c r="AA204" t="e">
        <f>AND('STERLING CATALOG - DRY '!I4557,"AAAAACfj/ho=")</f>
        <v>#VALUE!</v>
      </c>
      <c r="AB204" t="e">
        <f>AND('STERLING CATALOG - DRY '!J4557,"AAAAACfj/hs=")</f>
        <v>#VALUE!</v>
      </c>
      <c r="AC204">
        <f>IF('STERLING CATALOG - DRY '!4558:4558,"AAAAACfj/hw=",0)</f>
        <v>0</v>
      </c>
      <c r="AD204" t="e">
        <f>AND('STERLING CATALOG - DRY '!A4558,"AAAAACfj/h0=")</f>
        <v>#VALUE!</v>
      </c>
      <c r="AE204" t="e">
        <f>AND('STERLING CATALOG - DRY '!B4558,"AAAAACfj/h4=")</f>
        <v>#VALUE!</v>
      </c>
      <c r="AF204" t="e">
        <f>AND('STERLING CATALOG - DRY '!C4558,"AAAAACfj/h8=")</f>
        <v>#VALUE!</v>
      </c>
      <c r="AG204" t="e">
        <f>AND('STERLING CATALOG - DRY '!D4558,"AAAAACfj/iA=")</f>
        <v>#VALUE!</v>
      </c>
      <c r="AH204" t="e">
        <f>AND('STERLING CATALOG - DRY '!E4558,"AAAAACfj/iE=")</f>
        <v>#VALUE!</v>
      </c>
      <c r="AI204" t="e">
        <f>AND('STERLING CATALOG - DRY '!F4558,"AAAAACfj/iI=")</f>
        <v>#VALUE!</v>
      </c>
      <c r="AJ204" t="e">
        <f>AND('STERLING CATALOG - DRY '!G4558,"AAAAACfj/iM=")</f>
        <v>#VALUE!</v>
      </c>
      <c r="AK204" t="e">
        <f>AND('STERLING CATALOG - DRY '!H4558,"AAAAACfj/iQ=")</f>
        <v>#VALUE!</v>
      </c>
      <c r="AL204" t="e">
        <f>AND('STERLING CATALOG - DRY '!I4558,"AAAAACfj/iU=")</f>
        <v>#VALUE!</v>
      </c>
      <c r="AM204" t="e">
        <f>AND('STERLING CATALOG - DRY '!J4558,"AAAAACfj/iY=")</f>
        <v>#VALUE!</v>
      </c>
      <c r="AN204">
        <f>IF('STERLING CATALOG - DRY '!4559:4559,"AAAAACfj/ic=",0)</f>
        <v>0</v>
      </c>
      <c r="AO204" t="e">
        <f>AND('STERLING CATALOG - DRY '!A4559,"AAAAACfj/ig=")</f>
        <v>#VALUE!</v>
      </c>
      <c r="AP204" t="e">
        <f>AND('STERLING CATALOG - DRY '!B4559,"AAAAACfj/ik=")</f>
        <v>#VALUE!</v>
      </c>
      <c r="AQ204" t="e">
        <f>AND('STERLING CATALOG - DRY '!C4559,"AAAAACfj/io=")</f>
        <v>#VALUE!</v>
      </c>
      <c r="AR204" t="e">
        <f>AND('STERLING CATALOG - DRY '!D4559,"AAAAACfj/is=")</f>
        <v>#VALUE!</v>
      </c>
      <c r="AS204" t="e">
        <f>AND('STERLING CATALOG - DRY '!E4559,"AAAAACfj/iw=")</f>
        <v>#VALUE!</v>
      </c>
      <c r="AT204" t="e">
        <f>AND('STERLING CATALOG - DRY '!F4559,"AAAAACfj/i0=")</f>
        <v>#VALUE!</v>
      </c>
      <c r="AU204" t="e">
        <f>AND('STERLING CATALOG - DRY '!G4559,"AAAAACfj/i4=")</f>
        <v>#VALUE!</v>
      </c>
      <c r="AV204" t="e">
        <f>AND('STERLING CATALOG - DRY '!H4559,"AAAAACfj/i8=")</f>
        <v>#VALUE!</v>
      </c>
      <c r="AW204" t="e">
        <f>AND('STERLING CATALOG - DRY '!I4559,"AAAAACfj/jA=")</f>
        <v>#VALUE!</v>
      </c>
      <c r="AX204" t="e">
        <f>AND('STERLING CATALOG - DRY '!J4559,"AAAAACfj/jE=")</f>
        <v>#VALUE!</v>
      </c>
      <c r="AY204">
        <f>IF('STERLING CATALOG - DRY '!4560:4560,"AAAAACfj/jI=",0)</f>
        <v>0</v>
      </c>
      <c r="AZ204" t="e">
        <f>AND('STERLING CATALOG - DRY '!A4560,"AAAAACfj/jM=")</f>
        <v>#VALUE!</v>
      </c>
      <c r="BA204" t="e">
        <f>AND('STERLING CATALOG - DRY '!B4560,"AAAAACfj/jQ=")</f>
        <v>#VALUE!</v>
      </c>
      <c r="BB204" t="e">
        <f>AND('STERLING CATALOG - DRY '!C4560,"AAAAACfj/jU=")</f>
        <v>#VALUE!</v>
      </c>
      <c r="BC204" t="e">
        <f>AND('STERLING CATALOG - DRY '!D4560,"AAAAACfj/jY=")</f>
        <v>#VALUE!</v>
      </c>
      <c r="BD204" t="e">
        <f>AND('STERLING CATALOG - DRY '!E4560,"AAAAACfj/jc=")</f>
        <v>#VALUE!</v>
      </c>
      <c r="BE204" t="e">
        <f>AND('STERLING CATALOG - DRY '!F4560,"AAAAACfj/jg=")</f>
        <v>#VALUE!</v>
      </c>
      <c r="BF204" t="e">
        <f>AND('STERLING CATALOG - DRY '!G4560,"AAAAACfj/jk=")</f>
        <v>#VALUE!</v>
      </c>
      <c r="BG204" t="e">
        <f>AND('STERLING CATALOG - DRY '!H4560,"AAAAACfj/jo=")</f>
        <v>#VALUE!</v>
      </c>
      <c r="BH204" t="e">
        <f>AND('STERLING CATALOG - DRY '!I4560,"AAAAACfj/js=")</f>
        <v>#VALUE!</v>
      </c>
      <c r="BI204" t="e">
        <f>AND('STERLING CATALOG - DRY '!J4560,"AAAAACfj/jw=")</f>
        <v>#VALUE!</v>
      </c>
      <c r="BJ204">
        <f>IF('STERLING CATALOG - DRY '!4561:4561,"AAAAACfj/j0=",0)</f>
        <v>0</v>
      </c>
      <c r="BK204" t="e">
        <f>AND('STERLING CATALOG - DRY '!A4561,"AAAAACfj/j4=")</f>
        <v>#VALUE!</v>
      </c>
      <c r="BL204" t="e">
        <f>AND('STERLING CATALOG - DRY '!B4561,"AAAAACfj/j8=")</f>
        <v>#VALUE!</v>
      </c>
      <c r="BM204" t="e">
        <f>AND('STERLING CATALOG - DRY '!C4561,"AAAAACfj/kA=")</f>
        <v>#VALUE!</v>
      </c>
      <c r="BN204" t="e">
        <f>AND('STERLING CATALOG - DRY '!D4561,"AAAAACfj/kE=")</f>
        <v>#VALUE!</v>
      </c>
      <c r="BO204" t="e">
        <f>AND('STERLING CATALOG - DRY '!E4561,"AAAAACfj/kI=")</f>
        <v>#VALUE!</v>
      </c>
      <c r="BP204" t="e">
        <f>AND('STERLING CATALOG - DRY '!F4561,"AAAAACfj/kM=")</f>
        <v>#VALUE!</v>
      </c>
      <c r="BQ204" t="e">
        <f>AND('STERLING CATALOG - DRY '!G4561,"AAAAACfj/kQ=")</f>
        <v>#VALUE!</v>
      </c>
      <c r="BR204" t="e">
        <f>AND('STERLING CATALOG - DRY '!H4561,"AAAAACfj/kU=")</f>
        <v>#VALUE!</v>
      </c>
      <c r="BS204" t="e">
        <f>AND('STERLING CATALOG - DRY '!I4561,"AAAAACfj/kY=")</f>
        <v>#VALUE!</v>
      </c>
      <c r="BT204" t="e">
        <f>AND('STERLING CATALOG - DRY '!J4561,"AAAAACfj/kc=")</f>
        <v>#VALUE!</v>
      </c>
      <c r="BU204">
        <f>IF('STERLING CATALOG - DRY '!4562:4562,"AAAAACfj/kg=",0)</f>
        <v>0</v>
      </c>
      <c r="BV204" t="e">
        <f>AND('STERLING CATALOG - DRY '!A4562,"AAAAACfj/kk=")</f>
        <v>#VALUE!</v>
      </c>
      <c r="BW204" t="e">
        <f>AND('STERLING CATALOG - DRY '!B4562,"AAAAACfj/ko=")</f>
        <v>#VALUE!</v>
      </c>
      <c r="BX204" t="e">
        <f>AND('STERLING CATALOG - DRY '!C4562,"AAAAACfj/ks=")</f>
        <v>#VALUE!</v>
      </c>
      <c r="BY204" t="e">
        <f>AND('STERLING CATALOG - DRY '!D4562,"AAAAACfj/kw=")</f>
        <v>#VALUE!</v>
      </c>
      <c r="BZ204" t="e">
        <f>AND('STERLING CATALOG - DRY '!E4562,"AAAAACfj/k0=")</f>
        <v>#VALUE!</v>
      </c>
      <c r="CA204" t="e">
        <f>AND('STERLING CATALOG - DRY '!F4562,"AAAAACfj/k4=")</f>
        <v>#VALUE!</v>
      </c>
      <c r="CB204" t="e">
        <f>AND('STERLING CATALOG - DRY '!G4562,"AAAAACfj/k8=")</f>
        <v>#VALUE!</v>
      </c>
      <c r="CC204" t="e">
        <f>AND('STERLING CATALOG - DRY '!H4562,"AAAAACfj/lA=")</f>
        <v>#VALUE!</v>
      </c>
      <c r="CD204" t="e">
        <f>AND('STERLING CATALOG - DRY '!I4562,"AAAAACfj/lE=")</f>
        <v>#VALUE!</v>
      </c>
      <c r="CE204" t="e">
        <f>AND('STERLING CATALOG - DRY '!J4562,"AAAAACfj/lI=")</f>
        <v>#VALUE!</v>
      </c>
      <c r="CF204">
        <f>IF('STERLING CATALOG - DRY '!4563:4563,"AAAAACfj/lM=",0)</f>
        <v>0</v>
      </c>
      <c r="CG204" t="e">
        <f>AND('STERLING CATALOG - DRY '!A4563,"AAAAACfj/lQ=")</f>
        <v>#VALUE!</v>
      </c>
      <c r="CH204" t="e">
        <f>AND('STERLING CATALOG - DRY '!B4563,"AAAAACfj/lU=")</f>
        <v>#VALUE!</v>
      </c>
      <c r="CI204" t="e">
        <f>AND('STERLING CATALOG - DRY '!C4563,"AAAAACfj/lY=")</f>
        <v>#VALUE!</v>
      </c>
      <c r="CJ204" t="e">
        <f>AND('STERLING CATALOG - DRY '!D4563,"AAAAACfj/lc=")</f>
        <v>#VALUE!</v>
      </c>
      <c r="CK204" t="e">
        <f>AND('STERLING CATALOG - DRY '!E4563,"AAAAACfj/lg=")</f>
        <v>#VALUE!</v>
      </c>
      <c r="CL204" t="e">
        <f>AND('STERLING CATALOG - DRY '!F4563,"AAAAACfj/lk=")</f>
        <v>#VALUE!</v>
      </c>
      <c r="CM204" t="e">
        <f>AND('STERLING CATALOG - DRY '!G4563,"AAAAACfj/lo=")</f>
        <v>#VALUE!</v>
      </c>
      <c r="CN204" t="e">
        <f>AND('STERLING CATALOG - DRY '!H4563,"AAAAACfj/ls=")</f>
        <v>#VALUE!</v>
      </c>
      <c r="CO204" t="e">
        <f>AND('STERLING CATALOG - DRY '!I4563,"AAAAACfj/lw=")</f>
        <v>#VALUE!</v>
      </c>
      <c r="CP204" t="e">
        <f>AND('STERLING CATALOG - DRY '!J4563,"AAAAACfj/l0=")</f>
        <v>#VALUE!</v>
      </c>
      <c r="CQ204">
        <f>IF('STERLING CATALOG - DRY '!4564:4564,"AAAAACfj/l4=",0)</f>
        <v>0</v>
      </c>
      <c r="CR204" t="e">
        <f>AND('STERLING CATALOG - DRY '!A4564,"AAAAACfj/l8=")</f>
        <v>#VALUE!</v>
      </c>
      <c r="CS204" t="e">
        <f>AND('STERLING CATALOG - DRY '!B4564,"AAAAACfj/mA=")</f>
        <v>#VALUE!</v>
      </c>
      <c r="CT204" t="e">
        <f>AND('STERLING CATALOG - DRY '!C4564,"AAAAACfj/mE=")</f>
        <v>#VALUE!</v>
      </c>
      <c r="CU204" t="e">
        <f>AND('STERLING CATALOG - DRY '!D4564,"AAAAACfj/mI=")</f>
        <v>#VALUE!</v>
      </c>
      <c r="CV204" t="e">
        <f>AND('STERLING CATALOG - DRY '!E4564,"AAAAACfj/mM=")</f>
        <v>#VALUE!</v>
      </c>
      <c r="CW204" t="e">
        <f>AND('STERLING CATALOG - DRY '!F4564,"AAAAACfj/mQ=")</f>
        <v>#VALUE!</v>
      </c>
      <c r="CX204" t="e">
        <f>AND('STERLING CATALOG - DRY '!G4564,"AAAAACfj/mU=")</f>
        <v>#VALUE!</v>
      </c>
      <c r="CY204" t="e">
        <f>AND('STERLING CATALOG - DRY '!H4564,"AAAAACfj/mY=")</f>
        <v>#VALUE!</v>
      </c>
      <c r="CZ204" t="e">
        <f>AND('STERLING CATALOG - DRY '!I4564,"AAAAACfj/mc=")</f>
        <v>#VALUE!</v>
      </c>
      <c r="DA204" t="e">
        <f>AND('STERLING CATALOG - DRY '!J4564,"AAAAACfj/mg=")</f>
        <v>#VALUE!</v>
      </c>
      <c r="DB204">
        <f>IF('STERLING CATALOG - DRY '!4565:4565,"AAAAACfj/mk=",0)</f>
        <v>0</v>
      </c>
      <c r="DC204" t="e">
        <f>AND('STERLING CATALOG - DRY '!A4565,"AAAAACfj/mo=")</f>
        <v>#VALUE!</v>
      </c>
      <c r="DD204" t="e">
        <f>AND('STERLING CATALOG - DRY '!B4565,"AAAAACfj/ms=")</f>
        <v>#VALUE!</v>
      </c>
      <c r="DE204" t="e">
        <f>AND('STERLING CATALOG - DRY '!C4565,"AAAAACfj/mw=")</f>
        <v>#VALUE!</v>
      </c>
      <c r="DF204" t="e">
        <f>AND('STERLING CATALOG - DRY '!D4565,"AAAAACfj/m0=")</f>
        <v>#VALUE!</v>
      </c>
      <c r="DG204" t="e">
        <f>AND('STERLING CATALOG - DRY '!E4565,"AAAAACfj/m4=")</f>
        <v>#VALUE!</v>
      </c>
      <c r="DH204" t="e">
        <f>AND('STERLING CATALOG - DRY '!F4565,"AAAAACfj/m8=")</f>
        <v>#VALUE!</v>
      </c>
      <c r="DI204" t="e">
        <f>AND('STERLING CATALOG - DRY '!G4565,"AAAAACfj/nA=")</f>
        <v>#VALUE!</v>
      </c>
      <c r="DJ204" t="e">
        <f>AND('STERLING CATALOG - DRY '!H4565,"AAAAACfj/nE=")</f>
        <v>#VALUE!</v>
      </c>
      <c r="DK204" t="e">
        <f>AND('STERLING CATALOG - DRY '!I4565,"AAAAACfj/nI=")</f>
        <v>#VALUE!</v>
      </c>
      <c r="DL204" t="e">
        <f>AND('STERLING CATALOG - DRY '!J4565,"AAAAACfj/nM=")</f>
        <v>#VALUE!</v>
      </c>
      <c r="DM204">
        <f>IF('STERLING CATALOG - DRY '!4566:4566,"AAAAACfj/nQ=",0)</f>
        <v>0</v>
      </c>
      <c r="DN204" t="e">
        <f>AND('STERLING CATALOG - DRY '!A4566,"AAAAACfj/nU=")</f>
        <v>#VALUE!</v>
      </c>
      <c r="DO204" t="e">
        <f>AND('STERLING CATALOG - DRY '!B4566,"AAAAACfj/nY=")</f>
        <v>#VALUE!</v>
      </c>
      <c r="DP204" t="e">
        <f>AND('STERLING CATALOG - DRY '!C4566,"AAAAACfj/nc=")</f>
        <v>#VALUE!</v>
      </c>
      <c r="DQ204" t="e">
        <f>AND('STERLING CATALOG - DRY '!D4566,"AAAAACfj/ng=")</f>
        <v>#VALUE!</v>
      </c>
      <c r="DR204" t="e">
        <f>AND('STERLING CATALOG - DRY '!E4566,"AAAAACfj/nk=")</f>
        <v>#VALUE!</v>
      </c>
      <c r="DS204" t="e">
        <f>AND('STERLING CATALOG - DRY '!F4566,"AAAAACfj/no=")</f>
        <v>#VALUE!</v>
      </c>
      <c r="DT204" t="e">
        <f>AND('STERLING CATALOG - DRY '!G4566,"AAAAACfj/ns=")</f>
        <v>#VALUE!</v>
      </c>
      <c r="DU204" t="e">
        <f>AND('STERLING CATALOG - DRY '!H4566,"AAAAACfj/nw=")</f>
        <v>#VALUE!</v>
      </c>
      <c r="DV204" t="e">
        <f>AND('STERLING CATALOG - DRY '!I4566,"AAAAACfj/n0=")</f>
        <v>#VALUE!</v>
      </c>
      <c r="DW204" t="e">
        <f>AND('STERLING CATALOG - DRY '!J4566,"AAAAACfj/n4=")</f>
        <v>#VALUE!</v>
      </c>
      <c r="DX204">
        <f>IF('STERLING CATALOG - DRY '!4567:4567,"AAAAACfj/n8=",0)</f>
        <v>0</v>
      </c>
      <c r="DY204" t="e">
        <f>AND('STERLING CATALOG - DRY '!A4567,"AAAAACfj/oA=")</f>
        <v>#VALUE!</v>
      </c>
      <c r="DZ204" t="e">
        <f>AND('STERLING CATALOG - DRY '!B4567,"AAAAACfj/oE=")</f>
        <v>#VALUE!</v>
      </c>
      <c r="EA204" t="e">
        <f>AND('STERLING CATALOG - DRY '!C4567,"AAAAACfj/oI=")</f>
        <v>#VALUE!</v>
      </c>
      <c r="EB204" t="e">
        <f>AND('STERLING CATALOG - DRY '!D4567,"AAAAACfj/oM=")</f>
        <v>#VALUE!</v>
      </c>
      <c r="EC204" t="e">
        <f>AND('STERLING CATALOG - DRY '!E4567,"AAAAACfj/oQ=")</f>
        <v>#VALUE!</v>
      </c>
      <c r="ED204" t="e">
        <f>AND('STERLING CATALOG - DRY '!F4567,"AAAAACfj/oU=")</f>
        <v>#VALUE!</v>
      </c>
      <c r="EE204" t="e">
        <f>AND('STERLING CATALOG - DRY '!G4567,"AAAAACfj/oY=")</f>
        <v>#VALUE!</v>
      </c>
      <c r="EF204" t="e">
        <f>AND('STERLING CATALOG - DRY '!H4567,"AAAAACfj/oc=")</f>
        <v>#VALUE!</v>
      </c>
      <c r="EG204" t="e">
        <f>AND('STERLING CATALOG - DRY '!I4567,"AAAAACfj/og=")</f>
        <v>#VALUE!</v>
      </c>
      <c r="EH204" t="e">
        <f>AND('STERLING CATALOG - DRY '!J4567,"AAAAACfj/ok=")</f>
        <v>#VALUE!</v>
      </c>
      <c r="EI204">
        <f>IF('STERLING CATALOG - DRY '!4568:4568,"AAAAACfj/oo=",0)</f>
        <v>0</v>
      </c>
      <c r="EJ204" t="e">
        <f>AND('STERLING CATALOG - DRY '!A4568,"AAAAACfj/os=")</f>
        <v>#VALUE!</v>
      </c>
      <c r="EK204" t="e">
        <f>AND('STERLING CATALOG - DRY '!B4568,"AAAAACfj/ow=")</f>
        <v>#VALUE!</v>
      </c>
      <c r="EL204" t="e">
        <f>AND('STERLING CATALOG - DRY '!C4568,"AAAAACfj/o0=")</f>
        <v>#VALUE!</v>
      </c>
      <c r="EM204" t="e">
        <f>AND('STERLING CATALOG - DRY '!D4568,"AAAAACfj/o4=")</f>
        <v>#VALUE!</v>
      </c>
      <c r="EN204" t="e">
        <f>AND('STERLING CATALOG - DRY '!E4568,"AAAAACfj/o8=")</f>
        <v>#VALUE!</v>
      </c>
      <c r="EO204" t="e">
        <f>AND('STERLING CATALOG - DRY '!F4568,"AAAAACfj/pA=")</f>
        <v>#VALUE!</v>
      </c>
      <c r="EP204" t="e">
        <f>AND('STERLING CATALOG - DRY '!G4568,"AAAAACfj/pE=")</f>
        <v>#VALUE!</v>
      </c>
      <c r="EQ204" t="e">
        <f>AND('STERLING CATALOG - DRY '!H4568,"AAAAACfj/pI=")</f>
        <v>#VALUE!</v>
      </c>
      <c r="ER204" t="e">
        <f>AND('STERLING CATALOG - DRY '!I4568,"AAAAACfj/pM=")</f>
        <v>#VALUE!</v>
      </c>
      <c r="ES204" t="e">
        <f>AND('STERLING CATALOG - DRY '!J4568,"AAAAACfj/pQ=")</f>
        <v>#VALUE!</v>
      </c>
      <c r="ET204">
        <f>IF('STERLING CATALOG - DRY '!4569:4569,"AAAAACfj/pU=",0)</f>
        <v>0</v>
      </c>
      <c r="EU204" t="e">
        <f>AND('STERLING CATALOG - DRY '!A4569,"AAAAACfj/pY=")</f>
        <v>#VALUE!</v>
      </c>
      <c r="EV204" t="e">
        <f>AND('STERLING CATALOG - DRY '!B4569,"AAAAACfj/pc=")</f>
        <v>#VALUE!</v>
      </c>
      <c r="EW204" t="e">
        <f>AND('STERLING CATALOG - DRY '!C4569,"AAAAACfj/pg=")</f>
        <v>#VALUE!</v>
      </c>
      <c r="EX204" t="e">
        <f>AND('STERLING CATALOG - DRY '!D4569,"AAAAACfj/pk=")</f>
        <v>#VALUE!</v>
      </c>
      <c r="EY204" t="e">
        <f>AND('STERLING CATALOG - DRY '!E4569,"AAAAACfj/po=")</f>
        <v>#VALUE!</v>
      </c>
      <c r="EZ204" t="e">
        <f>AND('STERLING CATALOG - DRY '!F4569,"AAAAACfj/ps=")</f>
        <v>#VALUE!</v>
      </c>
      <c r="FA204" t="e">
        <f>AND('STERLING CATALOG - DRY '!G4569,"AAAAACfj/pw=")</f>
        <v>#VALUE!</v>
      </c>
      <c r="FB204" t="e">
        <f>AND('STERLING CATALOG - DRY '!H4569,"AAAAACfj/p0=")</f>
        <v>#VALUE!</v>
      </c>
      <c r="FC204" t="e">
        <f>AND('STERLING CATALOG - DRY '!I4569,"AAAAACfj/p4=")</f>
        <v>#VALUE!</v>
      </c>
      <c r="FD204" t="e">
        <f>AND('STERLING CATALOG - DRY '!J4569,"AAAAACfj/p8=")</f>
        <v>#VALUE!</v>
      </c>
      <c r="FE204">
        <f>IF('STERLING CATALOG - DRY '!4570:4570,"AAAAACfj/qA=",0)</f>
        <v>0</v>
      </c>
      <c r="FF204" t="e">
        <f>AND('STERLING CATALOG - DRY '!A4570,"AAAAACfj/qE=")</f>
        <v>#VALUE!</v>
      </c>
      <c r="FG204" t="e">
        <f>AND('STERLING CATALOG - DRY '!B4570,"AAAAACfj/qI=")</f>
        <v>#VALUE!</v>
      </c>
      <c r="FH204" t="e">
        <f>AND('STERLING CATALOG - DRY '!C4570,"AAAAACfj/qM=")</f>
        <v>#VALUE!</v>
      </c>
      <c r="FI204" t="e">
        <f>AND('STERLING CATALOG - DRY '!D4570,"AAAAACfj/qQ=")</f>
        <v>#VALUE!</v>
      </c>
      <c r="FJ204" t="e">
        <f>AND('STERLING CATALOG - DRY '!E4570,"AAAAACfj/qU=")</f>
        <v>#VALUE!</v>
      </c>
      <c r="FK204" t="e">
        <f>AND('STERLING CATALOG - DRY '!F4570,"AAAAACfj/qY=")</f>
        <v>#VALUE!</v>
      </c>
      <c r="FL204" t="e">
        <f>AND('STERLING CATALOG - DRY '!G4570,"AAAAACfj/qc=")</f>
        <v>#VALUE!</v>
      </c>
      <c r="FM204" t="e">
        <f>AND('STERLING CATALOG - DRY '!H4570,"AAAAACfj/qg=")</f>
        <v>#VALUE!</v>
      </c>
      <c r="FN204" t="e">
        <f>AND('STERLING CATALOG - DRY '!I4570,"AAAAACfj/qk=")</f>
        <v>#VALUE!</v>
      </c>
      <c r="FO204" t="e">
        <f>AND('STERLING CATALOG - DRY '!J4570,"AAAAACfj/qo=")</f>
        <v>#VALUE!</v>
      </c>
      <c r="FP204">
        <f>IF('STERLING CATALOG - DRY '!4571:4571,"AAAAACfj/qs=",0)</f>
        <v>0</v>
      </c>
      <c r="FQ204" t="e">
        <f>AND('STERLING CATALOG - DRY '!A4571,"AAAAACfj/qw=")</f>
        <v>#VALUE!</v>
      </c>
      <c r="FR204" t="e">
        <f>AND('STERLING CATALOG - DRY '!B4571,"AAAAACfj/q0=")</f>
        <v>#VALUE!</v>
      </c>
      <c r="FS204" t="e">
        <f>AND('STERLING CATALOG - DRY '!C4571,"AAAAACfj/q4=")</f>
        <v>#VALUE!</v>
      </c>
      <c r="FT204" t="e">
        <f>AND('STERLING CATALOG - DRY '!D4571,"AAAAACfj/q8=")</f>
        <v>#VALUE!</v>
      </c>
      <c r="FU204" t="e">
        <f>AND('STERLING CATALOG - DRY '!E4571,"AAAAACfj/rA=")</f>
        <v>#VALUE!</v>
      </c>
      <c r="FV204" t="e">
        <f>AND('STERLING CATALOG - DRY '!F4571,"AAAAACfj/rE=")</f>
        <v>#VALUE!</v>
      </c>
      <c r="FW204" t="e">
        <f>AND('STERLING CATALOG - DRY '!G4571,"AAAAACfj/rI=")</f>
        <v>#VALUE!</v>
      </c>
      <c r="FX204" t="e">
        <f>AND('STERLING CATALOG - DRY '!H4571,"AAAAACfj/rM=")</f>
        <v>#VALUE!</v>
      </c>
      <c r="FY204" t="e">
        <f>AND('STERLING CATALOG - DRY '!I4571,"AAAAACfj/rQ=")</f>
        <v>#VALUE!</v>
      </c>
      <c r="FZ204" t="e">
        <f>AND('STERLING CATALOG - DRY '!J4571,"AAAAACfj/rU=")</f>
        <v>#VALUE!</v>
      </c>
      <c r="GA204">
        <f>IF('STERLING CATALOG - DRY '!4572:4572,"AAAAACfj/rY=",0)</f>
        <v>0</v>
      </c>
      <c r="GB204" t="e">
        <f>AND('STERLING CATALOG - DRY '!A4572,"AAAAACfj/rc=")</f>
        <v>#VALUE!</v>
      </c>
      <c r="GC204" t="e">
        <f>AND('STERLING CATALOG - DRY '!B4572,"AAAAACfj/rg=")</f>
        <v>#VALUE!</v>
      </c>
      <c r="GD204" t="e">
        <f>AND('STERLING CATALOG - DRY '!C4572,"AAAAACfj/rk=")</f>
        <v>#VALUE!</v>
      </c>
      <c r="GE204" t="e">
        <f>AND('STERLING CATALOG - DRY '!D4572,"AAAAACfj/ro=")</f>
        <v>#VALUE!</v>
      </c>
      <c r="GF204" t="e">
        <f>AND('STERLING CATALOG - DRY '!E4572,"AAAAACfj/rs=")</f>
        <v>#VALUE!</v>
      </c>
      <c r="GG204" t="e">
        <f>AND('STERLING CATALOG - DRY '!F4572,"AAAAACfj/rw=")</f>
        <v>#VALUE!</v>
      </c>
      <c r="GH204" t="e">
        <f>AND('STERLING CATALOG - DRY '!G4572,"AAAAACfj/r0=")</f>
        <v>#VALUE!</v>
      </c>
      <c r="GI204" t="e">
        <f>AND('STERLING CATALOG - DRY '!H4572,"AAAAACfj/r4=")</f>
        <v>#VALUE!</v>
      </c>
      <c r="GJ204" t="e">
        <f>AND('STERLING CATALOG - DRY '!I4572,"AAAAACfj/r8=")</f>
        <v>#VALUE!</v>
      </c>
      <c r="GK204" t="e">
        <f>AND('STERLING CATALOG - DRY '!J4572,"AAAAACfj/sA=")</f>
        <v>#VALUE!</v>
      </c>
      <c r="GL204">
        <f>IF('STERLING CATALOG - DRY '!4573:4573,"AAAAACfj/sE=",0)</f>
        <v>0</v>
      </c>
      <c r="GM204" t="e">
        <f>AND('STERLING CATALOG - DRY '!A4573,"AAAAACfj/sI=")</f>
        <v>#VALUE!</v>
      </c>
      <c r="GN204" t="e">
        <f>AND('STERLING CATALOG - DRY '!B4573,"AAAAACfj/sM=")</f>
        <v>#VALUE!</v>
      </c>
      <c r="GO204" t="e">
        <f>AND('STERLING CATALOG - DRY '!C4573,"AAAAACfj/sQ=")</f>
        <v>#VALUE!</v>
      </c>
      <c r="GP204" t="e">
        <f>AND('STERLING CATALOG - DRY '!D4573,"AAAAACfj/sU=")</f>
        <v>#VALUE!</v>
      </c>
      <c r="GQ204" t="e">
        <f>AND('STERLING CATALOG - DRY '!E4573,"AAAAACfj/sY=")</f>
        <v>#VALUE!</v>
      </c>
      <c r="GR204" t="e">
        <f>AND('STERLING CATALOG - DRY '!F4573,"AAAAACfj/sc=")</f>
        <v>#VALUE!</v>
      </c>
      <c r="GS204" t="e">
        <f>AND('STERLING CATALOG - DRY '!G4573,"AAAAACfj/sg=")</f>
        <v>#VALUE!</v>
      </c>
      <c r="GT204" t="e">
        <f>AND('STERLING CATALOG - DRY '!H4573,"AAAAACfj/sk=")</f>
        <v>#VALUE!</v>
      </c>
      <c r="GU204" t="e">
        <f>AND('STERLING CATALOG - DRY '!I4573,"AAAAACfj/so=")</f>
        <v>#VALUE!</v>
      </c>
      <c r="GV204" t="e">
        <f>AND('STERLING CATALOG - DRY '!J4573,"AAAAACfj/ss=")</f>
        <v>#VALUE!</v>
      </c>
      <c r="GW204">
        <f>IF('STERLING CATALOG - DRY '!4574:4574,"AAAAACfj/sw=",0)</f>
        <v>0</v>
      </c>
      <c r="GX204" t="e">
        <f>AND('STERLING CATALOG - DRY '!A4574,"AAAAACfj/s0=")</f>
        <v>#VALUE!</v>
      </c>
      <c r="GY204" t="e">
        <f>AND('STERLING CATALOG - DRY '!B4574,"AAAAACfj/s4=")</f>
        <v>#VALUE!</v>
      </c>
      <c r="GZ204" t="e">
        <f>AND('STERLING CATALOG - DRY '!C4574,"AAAAACfj/s8=")</f>
        <v>#VALUE!</v>
      </c>
      <c r="HA204" t="e">
        <f>AND('STERLING CATALOG - DRY '!D4574,"AAAAACfj/tA=")</f>
        <v>#VALUE!</v>
      </c>
      <c r="HB204" t="e">
        <f>AND('STERLING CATALOG - DRY '!E4574,"AAAAACfj/tE=")</f>
        <v>#VALUE!</v>
      </c>
      <c r="HC204" t="e">
        <f>AND('STERLING CATALOG - DRY '!F4574,"AAAAACfj/tI=")</f>
        <v>#VALUE!</v>
      </c>
      <c r="HD204" t="e">
        <f>AND('STERLING CATALOG - DRY '!G4574,"AAAAACfj/tM=")</f>
        <v>#VALUE!</v>
      </c>
      <c r="HE204" t="e">
        <f>AND('STERLING CATALOG - DRY '!H4574,"AAAAACfj/tQ=")</f>
        <v>#VALUE!</v>
      </c>
      <c r="HF204" t="e">
        <f>AND('STERLING CATALOG - DRY '!I4574,"AAAAACfj/tU=")</f>
        <v>#VALUE!</v>
      </c>
      <c r="HG204" t="e">
        <f>AND('STERLING CATALOG - DRY '!J4574,"AAAAACfj/tY=")</f>
        <v>#VALUE!</v>
      </c>
      <c r="HH204">
        <f>IF('STERLING CATALOG - DRY '!4575:4575,"AAAAACfj/tc=",0)</f>
        <v>0</v>
      </c>
      <c r="HI204" t="e">
        <f>AND('STERLING CATALOG - DRY '!A4575,"AAAAACfj/tg=")</f>
        <v>#VALUE!</v>
      </c>
      <c r="HJ204" t="e">
        <f>AND('STERLING CATALOG - DRY '!B4575,"AAAAACfj/tk=")</f>
        <v>#VALUE!</v>
      </c>
      <c r="HK204" t="e">
        <f>AND('STERLING CATALOG - DRY '!C4575,"AAAAACfj/to=")</f>
        <v>#VALUE!</v>
      </c>
      <c r="HL204" t="e">
        <f>AND('STERLING CATALOG - DRY '!D4575,"AAAAACfj/ts=")</f>
        <v>#VALUE!</v>
      </c>
      <c r="HM204" t="e">
        <f>AND('STERLING CATALOG - DRY '!E4575,"AAAAACfj/tw=")</f>
        <v>#VALUE!</v>
      </c>
      <c r="HN204" t="e">
        <f>AND('STERLING CATALOG - DRY '!F4575,"AAAAACfj/t0=")</f>
        <v>#VALUE!</v>
      </c>
      <c r="HO204" t="e">
        <f>AND('STERLING CATALOG - DRY '!G4575,"AAAAACfj/t4=")</f>
        <v>#VALUE!</v>
      </c>
      <c r="HP204" t="e">
        <f>AND('STERLING CATALOG - DRY '!H4575,"AAAAACfj/t8=")</f>
        <v>#VALUE!</v>
      </c>
      <c r="HQ204" t="e">
        <f>AND('STERLING CATALOG - DRY '!I4575,"AAAAACfj/uA=")</f>
        <v>#VALUE!</v>
      </c>
      <c r="HR204" t="e">
        <f>AND('STERLING CATALOG - DRY '!J4575,"AAAAACfj/uE=")</f>
        <v>#VALUE!</v>
      </c>
      <c r="HS204">
        <f>IF('STERLING CATALOG - DRY '!4576:4576,"AAAAACfj/uI=",0)</f>
        <v>0</v>
      </c>
      <c r="HT204" t="e">
        <f>AND('STERLING CATALOG - DRY '!A4576,"AAAAACfj/uM=")</f>
        <v>#VALUE!</v>
      </c>
      <c r="HU204" t="e">
        <f>AND('STERLING CATALOG - DRY '!B4576,"AAAAACfj/uQ=")</f>
        <v>#VALUE!</v>
      </c>
      <c r="HV204" t="e">
        <f>AND('STERLING CATALOG - DRY '!C4576,"AAAAACfj/uU=")</f>
        <v>#VALUE!</v>
      </c>
      <c r="HW204" t="e">
        <f>AND('STERLING CATALOG - DRY '!D4576,"AAAAACfj/uY=")</f>
        <v>#VALUE!</v>
      </c>
      <c r="HX204" t="e">
        <f>AND('STERLING CATALOG - DRY '!E4576,"AAAAACfj/uc=")</f>
        <v>#VALUE!</v>
      </c>
      <c r="HY204" t="e">
        <f>AND('STERLING CATALOG - DRY '!F4576,"AAAAACfj/ug=")</f>
        <v>#VALUE!</v>
      </c>
      <c r="HZ204" t="e">
        <f>AND('STERLING CATALOG - DRY '!G4576,"AAAAACfj/uk=")</f>
        <v>#VALUE!</v>
      </c>
      <c r="IA204" t="e">
        <f>AND('STERLING CATALOG - DRY '!H4576,"AAAAACfj/uo=")</f>
        <v>#VALUE!</v>
      </c>
      <c r="IB204" t="e">
        <f>AND('STERLING CATALOG - DRY '!I4576,"AAAAACfj/us=")</f>
        <v>#VALUE!</v>
      </c>
      <c r="IC204" t="e">
        <f>AND('STERLING CATALOG - DRY '!J4576,"AAAAACfj/uw=")</f>
        <v>#VALUE!</v>
      </c>
      <c r="ID204">
        <f>IF('STERLING CATALOG - DRY '!4577:4577,"AAAAACfj/u0=",0)</f>
        <v>0</v>
      </c>
      <c r="IE204" t="e">
        <f>AND('STERLING CATALOG - DRY '!A4577,"AAAAACfj/u4=")</f>
        <v>#VALUE!</v>
      </c>
      <c r="IF204" t="e">
        <f>AND('STERLING CATALOG - DRY '!B4577,"AAAAACfj/u8=")</f>
        <v>#VALUE!</v>
      </c>
      <c r="IG204" t="e">
        <f>AND('STERLING CATALOG - DRY '!C4577,"AAAAACfj/vA=")</f>
        <v>#VALUE!</v>
      </c>
      <c r="IH204" t="e">
        <f>AND('STERLING CATALOG - DRY '!D4577,"AAAAACfj/vE=")</f>
        <v>#VALUE!</v>
      </c>
      <c r="II204" t="e">
        <f>AND('STERLING CATALOG - DRY '!E4577,"AAAAACfj/vI=")</f>
        <v>#VALUE!</v>
      </c>
      <c r="IJ204" t="e">
        <f>AND('STERLING CATALOG - DRY '!F4577,"AAAAACfj/vM=")</f>
        <v>#VALUE!</v>
      </c>
      <c r="IK204" t="e">
        <f>AND('STERLING CATALOG - DRY '!G4577,"AAAAACfj/vQ=")</f>
        <v>#VALUE!</v>
      </c>
      <c r="IL204" t="e">
        <f>AND('STERLING CATALOG - DRY '!H4577,"AAAAACfj/vU=")</f>
        <v>#VALUE!</v>
      </c>
      <c r="IM204" t="e">
        <f>AND('STERLING CATALOG - DRY '!I4577,"AAAAACfj/vY=")</f>
        <v>#VALUE!</v>
      </c>
      <c r="IN204" t="e">
        <f>AND('STERLING CATALOG - DRY '!J4577,"AAAAACfj/vc=")</f>
        <v>#VALUE!</v>
      </c>
      <c r="IO204">
        <f>IF('STERLING CATALOG - DRY '!4578:4578,"AAAAACfj/vg=",0)</f>
        <v>0</v>
      </c>
      <c r="IP204" t="e">
        <f>AND('STERLING CATALOG - DRY '!A4578,"AAAAACfj/vk=")</f>
        <v>#VALUE!</v>
      </c>
      <c r="IQ204" t="e">
        <f>AND('STERLING CATALOG - DRY '!B4578,"AAAAACfj/vo=")</f>
        <v>#VALUE!</v>
      </c>
      <c r="IR204" t="e">
        <f>AND('STERLING CATALOG - DRY '!C4578,"AAAAACfj/vs=")</f>
        <v>#VALUE!</v>
      </c>
      <c r="IS204" t="e">
        <f>AND('STERLING CATALOG - DRY '!D4578,"AAAAACfj/vw=")</f>
        <v>#VALUE!</v>
      </c>
      <c r="IT204" t="e">
        <f>AND('STERLING CATALOG - DRY '!E4578,"AAAAACfj/v0=")</f>
        <v>#VALUE!</v>
      </c>
      <c r="IU204" t="e">
        <f>AND('STERLING CATALOG - DRY '!F4578,"AAAAACfj/v4=")</f>
        <v>#VALUE!</v>
      </c>
      <c r="IV204" t="e">
        <f>AND('STERLING CATALOG - DRY '!G4578,"AAAAACfj/v8=")</f>
        <v>#VALUE!</v>
      </c>
    </row>
    <row r="205" spans="1:256">
      <c r="A205" t="e">
        <f>AND('STERLING CATALOG - DRY '!H4578,"AAAAAF/PvQA=")</f>
        <v>#VALUE!</v>
      </c>
      <c r="B205" t="e">
        <f>AND('STERLING CATALOG - DRY '!I4578,"AAAAAF/PvQE=")</f>
        <v>#VALUE!</v>
      </c>
      <c r="C205" t="e">
        <f>AND('STERLING CATALOG - DRY '!J4578,"AAAAAF/PvQI=")</f>
        <v>#VALUE!</v>
      </c>
      <c r="D205" t="e">
        <f>IF('STERLING CATALOG - DRY '!4579:4579,"AAAAAF/PvQM=",0)</f>
        <v>#VALUE!</v>
      </c>
      <c r="E205" t="e">
        <f>AND('STERLING CATALOG - DRY '!A4579,"AAAAAF/PvQQ=")</f>
        <v>#VALUE!</v>
      </c>
      <c r="F205" t="e">
        <f>AND('STERLING CATALOG - DRY '!B4579,"AAAAAF/PvQU=")</f>
        <v>#VALUE!</v>
      </c>
      <c r="G205" t="e">
        <f>AND('STERLING CATALOG - DRY '!C4579,"AAAAAF/PvQY=")</f>
        <v>#VALUE!</v>
      </c>
      <c r="H205" t="e">
        <f>AND('STERLING CATALOG - DRY '!D4579,"AAAAAF/PvQc=")</f>
        <v>#VALUE!</v>
      </c>
      <c r="I205" t="e">
        <f>AND('STERLING CATALOG - DRY '!E4579,"AAAAAF/PvQg=")</f>
        <v>#VALUE!</v>
      </c>
      <c r="J205" t="e">
        <f>AND('STERLING CATALOG - DRY '!F4579,"AAAAAF/PvQk=")</f>
        <v>#VALUE!</v>
      </c>
      <c r="K205" t="e">
        <f>AND('STERLING CATALOG - DRY '!G4579,"AAAAAF/PvQo=")</f>
        <v>#VALUE!</v>
      </c>
      <c r="L205" t="e">
        <f>AND('STERLING CATALOG - DRY '!H4579,"AAAAAF/PvQs=")</f>
        <v>#VALUE!</v>
      </c>
      <c r="M205" t="e">
        <f>AND('STERLING CATALOG - DRY '!I4579,"AAAAAF/PvQw=")</f>
        <v>#VALUE!</v>
      </c>
      <c r="N205" t="e">
        <f>AND('STERLING CATALOG - DRY '!J4579,"AAAAAF/PvQ0=")</f>
        <v>#VALUE!</v>
      </c>
      <c r="O205">
        <f>IF('STERLING CATALOG - DRY '!4580:4580,"AAAAAF/PvQ4=",0)</f>
        <v>0</v>
      </c>
      <c r="P205" t="e">
        <f>AND('STERLING CATALOG - DRY '!A4580,"AAAAAF/PvQ8=")</f>
        <v>#VALUE!</v>
      </c>
      <c r="Q205" t="e">
        <f>AND('STERLING CATALOG - DRY '!B4580,"AAAAAF/PvRA=")</f>
        <v>#VALUE!</v>
      </c>
      <c r="R205" t="e">
        <f>AND('STERLING CATALOG - DRY '!C4580,"AAAAAF/PvRE=")</f>
        <v>#VALUE!</v>
      </c>
      <c r="S205" t="e">
        <f>AND('STERLING CATALOG - DRY '!D4580,"AAAAAF/PvRI=")</f>
        <v>#VALUE!</v>
      </c>
      <c r="T205" t="e">
        <f>AND('STERLING CATALOG - DRY '!E4580,"AAAAAF/PvRM=")</f>
        <v>#VALUE!</v>
      </c>
      <c r="U205" t="e">
        <f>AND('STERLING CATALOG - DRY '!F4580,"AAAAAF/PvRQ=")</f>
        <v>#VALUE!</v>
      </c>
      <c r="V205" t="e">
        <f>AND('STERLING CATALOG - DRY '!G4580,"AAAAAF/PvRU=")</f>
        <v>#VALUE!</v>
      </c>
      <c r="W205" t="e">
        <f>AND('STERLING CATALOG - DRY '!H4580,"AAAAAF/PvRY=")</f>
        <v>#VALUE!</v>
      </c>
      <c r="X205" t="e">
        <f>AND('STERLING CATALOG - DRY '!I4580,"AAAAAF/PvRc=")</f>
        <v>#VALUE!</v>
      </c>
      <c r="Y205" t="e">
        <f>AND('STERLING CATALOG - DRY '!J4580,"AAAAAF/PvRg=")</f>
        <v>#VALUE!</v>
      </c>
      <c r="Z205">
        <f>IF('STERLING CATALOG - DRY '!4581:4581,"AAAAAF/PvRk=",0)</f>
        <v>0</v>
      </c>
      <c r="AA205" t="e">
        <f>AND('STERLING CATALOG - DRY '!A4581,"AAAAAF/PvRo=")</f>
        <v>#VALUE!</v>
      </c>
      <c r="AB205" t="e">
        <f>AND('STERLING CATALOG - DRY '!B4581,"AAAAAF/PvRs=")</f>
        <v>#VALUE!</v>
      </c>
      <c r="AC205" t="e">
        <f>AND('STERLING CATALOG - DRY '!C4581,"AAAAAF/PvRw=")</f>
        <v>#VALUE!</v>
      </c>
      <c r="AD205" t="e">
        <f>AND('STERLING CATALOG - DRY '!D4581,"AAAAAF/PvR0=")</f>
        <v>#VALUE!</v>
      </c>
      <c r="AE205" t="e">
        <f>AND('STERLING CATALOG - DRY '!E4581,"AAAAAF/PvR4=")</f>
        <v>#VALUE!</v>
      </c>
      <c r="AF205" t="e">
        <f>AND('STERLING CATALOG - DRY '!F4581,"AAAAAF/PvR8=")</f>
        <v>#VALUE!</v>
      </c>
      <c r="AG205" t="e">
        <f>AND('STERLING CATALOG - DRY '!G4581,"AAAAAF/PvSA=")</f>
        <v>#VALUE!</v>
      </c>
      <c r="AH205" t="e">
        <f>AND('STERLING CATALOG - DRY '!H4581,"AAAAAF/PvSE=")</f>
        <v>#VALUE!</v>
      </c>
      <c r="AI205" t="e">
        <f>AND('STERLING CATALOG - DRY '!I4581,"AAAAAF/PvSI=")</f>
        <v>#VALUE!</v>
      </c>
      <c r="AJ205" t="e">
        <f>AND('STERLING CATALOG - DRY '!J4581,"AAAAAF/PvSM=")</f>
        <v>#VALUE!</v>
      </c>
      <c r="AK205">
        <f>IF('STERLING CATALOG - DRY '!4582:4582,"AAAAAF/PvSQ=",0)</f>
        <v>0</v>
      </c>
      <c r="AL205" t="e">
        <f>AND('STERLING CATALOG - DRY '!A4582,"AAAAAF/PvSU=")</f>
        <v>#VALUE!</v>
      </c>
      <c r="AM205" t="e">
        <f>AND('STERLING CATALOG - DRY '!B4582,"AAAAAF/PvSY=")</f>
        <v>#VALUE!</v>
      </c>
      <c r="AN205" t="e">
        <f>AND('STERLING CATALOG - DRY '!C4582,"AAAAAF/PvSc=")</f>
        <v>#VALUE!</v>
      </c>
      <c r="AO205" t="e">
        <f>AND('STERLING CATALOG - DRY '!D4582,"AAAAAF/PvSg=")</f>
        <v>#VALUE!</v>
      </c>
      <c r="AP205" t="e">
        <f>AND('STERLING CATALOG - DRY '!E4582,"AAAAAF/PvSk=")</f>
        <v>#VALUE!</v>
      </c>
      <c r="AQ205" t="e">
        <f>AND('STERLING CATALOG - DRY '!F4582,"AAAAAF/PvSo=")</f>
        <v>#VALUE!</v>
      </c>
      <c r="AR205" t="e">
        <f>AND('STERLING CATALOG - DRY '!G4582,"AAAAAF/PvSs=")</f>
        <v>#VALUE!</v>
      </c>
      <c r="AS205" t="e">
        <f>AND('STERLING CATALOG - DRY '!H4582,"AAAAAF/PvSw=")</f>
        <v>#VALUE!</v>
      </c>
      <c r="AT205" t="e">
        <f>AND('STERLING CATALOG - DRY '!I4582,"AAAAAF/PvS0=")</f>
        <v>#VALUE!</v>
      </c>
      <c r="AU205" t="e">
        <f>AND('STERLING CATALOG - DRY '!J4582,"AAAAAF/PvS4=")</f>
        <v>#VALUE!</v>
      </c>
      <c r="AV205">
        <f>IF('STERLING CATALOG - DRY '!4583:4583,"AAAAAF/PvS8=",0)</f>
        <v>0</v>
      </c>
      <c r="AW205" t="e">
        <f>AND('STERLING CATALOG - DRY '!A4583,"AAAAAF/PvTA=")</f>
        <v>#VALUE!</v>
      </c>
      <c r="AX205" t="e">
        <f>AND('STERLING CATALOG - DRY '!B4583,"AAAAAF/PvTE=")</f>
        <v>#VALUE!</v>
      </c>
      <c r="AY205" t="e">
        <f>AND('STERLING CATALOG - DRY '!C4583,"AAAAAF/PvTI=")</f>
        <v>#VALUE!</v>
      </c>
      <c r="AZ205" t="e">
        <f>AND('STERLING CATALOG - DRY '!D4583,"AAAAAF/PvTM=")</f>
        <v>#VALUE!</v>
      </c>
      <c r="BA205" t="e">
        <f>AND('STERLING CATALOG - DRY '!E4583,"AAAAAF/PvTQ=")</f>
        <v>#VALUE!</v>
      </c>
      <c r="BB205" t="e">
        <f>AND('STERLING CATALOG - DRY '!F4583,"AAAAAF/PvTU=")</f>
        <v>#VALUE!</v>
      </c>
      <c r="BC205" t="e">
        <f>AND('STERLING CATALOG - DRY '!G4583,"AAAAAF/PvTY=")</f>
        <v>#VALUE!</v>
      </c>
      <c r="BD205" t="e">
        <f>AND('STERLING CATALOG - DRY '!H4583,"AAAAAF/PvTc=")</f>
        <v>#VALUE!</v>
      </c>
      <c r="BE205" t="e">
        <f>AND('STERLING CATALOG - DRY '!I4583,"AAAAAF/PvTg=")</f>
        <v>#VALUE!</v>
      </c>
      <c r="BF205" t="e">
        <f>AND('STERLING CATALOG - DRY '!J4583,"AAAAAF/PvTk=")</f>
        <v>#VALUE!</v>
      </c>
      <c r="BG205">
        <f>IF('STERLING CATALOG - DRY '!4584:4584,"AAAAAF/PvTo=",0)</f>
        <v>0</v>
      </c>
      <c r="BH205" t="e">
        <f>AND('STERLING CATALOG - DRY '!A4584,"AAAAAF/PvTs=")</f>
        <v>#VALUE!</v>
      </c>
      <c r="BI205" t="e">
        <f>AND('STERLING CATALOG - DRY '!B4584,"AAAAAF/PvTw=")</f>
        <v>#VALUE!</v>
      </c>
      <c r="BJ205" t="e">
        <f>AND('STERLING CATALOG - DRY '!C4584,"AAAAAF/PvT0=")</f>
        <v>#VALUE!</v>
      </c>
      <c r="BK205" t="e">
        <f>AND('STERLING CATALOG - DRY '!D4584,"AAAAAF/PvT4=")</f>
        <v>#VALUE!</v>
      </c>
      <c r="BL205" t="e">
        <f>AND('STERLING CATALOG - DRY '!E4584,"AAAAAF/PvT8=")</f>
        <v>#VALUE!</v>
      </c>
      <c r="BM205" t="e">
        <f>AND('STERLING CATALOG - DRY '!F4584,"AAAAAF/PvUA=")</f>
        <v>#VALUE!</v>
      </c>
      <c r="BN205" t="e">
        <f>AND('STERLING CATALOG - DRY '!G4584,"AAAAAF/PvUE=")</f>
        <v>#VALUE!</v>
      </c>
      <c r="BO205" t="e">
        <f>AND('STERLING CATALOG - DRY '!H4584,"AAAAAF/PvUI=")</f>
        <v>#VALUE!</v>
      </c>
      <c r="BP205" t="e">
        <f>AND('STERLING CATALOG - DRY '!I4584,"AAAAAF/PvUM=")</f>
        <v>#VALUE!</v>
      </c>
      <c r="BQ205" t="e">
        <f>AND('STERLING CATALOG - DRY '!J4584,"AAAAAF/PvUQ=")</f>
        <v>#VALUE!</v>
      </c>
      <c r="BR205">
        <f>IF('STERLING CATALOG - DRY '!4585:4585,"AAAAAF/PvUU=",0)</f>
        <v>0</v>
      </c>
      <c r="BS205" t="e">
        <f>AND('STERLING CATALOG - DRY '!A4585,"AAAAAF/PvUY=")</f>
        <v>#VALUE!</v>
      </c>
      <c r="BT205" t="e">
        <f>AND('STERLING CATALOG - DRY '!B4585,"AAAAAF/PvUc=")</f>
        <v>#VALUE!</v>
      </c>
      <c r="BU205" t="e">
        <f>AND('STERLING CATALOG - DRY '!C4585,"AAAAAF/PvUg=")</f>
        <v>#VALUE!</v>
      </c>
      <c r="BV205" t="e">
        <f>AND('STERLING CATALOG - DRY '!D4585,"AAAAAF/PvUk=")</f>
        <v>#VALUE!</v>
      </c>
      <c r="BW205" t="e">
        <f>AND('STERLING CATALOG - DRY '!E4585,"AAAAAF/PvUo=")</f>
        <v>#VALUE!</v>
      </c>
      <c r="BX205" t="e">
        <f>AND('STERLING CATALOG - DRY '!F4585,"AAAAAF/PvUs=")</f>
        <v>#VALUE!</v>
      </c>
      <c r="BY205" t="e">
        <f>AND('STERLING CATALOG - DRY '!G4585,"AAAAAF/PvUw=")</f>
        <v>#VALUE!</v>
      </c>
      <c r="BZ205" t="e">
        <f>AND('STERLING CATALOG - DRY '!H4585,"AAAAAF/PvU0=")</f>
        <v>#VALUE!</v>
      </c>
      <c r="CA205" t="e">
        <f>AND('STERLING CATALOG - DRY '!I4585,"AAAAAF/PvU4=")</f>
        <v>#VALUE!</v>
      </c>
      <c r="CB205" t="e">
        <f>AND('STERLING CATALOG - DRY '!J4585,"AAAAAF/PvU8=")</f>
        <v>#VALUE!</v>
      </c>
      <c r="CC205">
        <f>IF('STERLING CATALOG - DRY '!4586:4586,"AAAAAF/PvVA=",0)</f>
        <v>0</v>
      </c>
      <c r="CD205" t="e">
        <f>AND('STERLING CATALOG - DRY '!A4586,"AAAAAF/PvVE=")</f>
        <v>#VALUE!</v>
      </c>
      <c r="CE205" t="e">
        <f>AND('STERLING CATALOG - DRY '!B4586,"AAAAAF/PvVI=")</f>
        <v>#VALUE!</v>
      </c>
      <c r="CF205" t="e">
        <f>AND('STERLING CATALOG - DRY '!C4586,"AAAAAF/PvVM=")</f>
        <v>#VALUE!</v>
      </c>
      <c r="CG205" t="e">
        <f>AND('STERLING CATALOG - DRY '!D4586,"AAAAAF/PvVQ=")</f>
        <v>#VALUE!</v>
      </c>
      <c r="CH205" t="e">
        <f>AND('STERLING CATALOG - DRY '!E4586,"AAAAAF/PvVU=")</f>
        <v>#VALUE!</v>
      </c>
      <c r="CI205" t="e">
        <f>AND('STERLING CATALOG - DRY '!F4586,"AAAAAF/PvVY=")</f>
        <v>#VALUE!</v>
      </c>
      <c r="CJ205" t="e">
        <f>AND('STERLING CATALOG - DRY '!G4586,"AAAAAF/PvVc=")</f>
        <v>#VALUE!</v>
      </c>
      <c r="CK205" t="e">
        <f>AND('STERLING CATALOG - DRY '!H4586,"AAAAAF/PvVg=")</f>
        <v>#VALUE!</v>
      </c>
      <c r="CL205" t="e">
        <f>AND('STERLING CATALOG - DRY '!I4586,"AAAAAF/PvVk=")</f>
        <v>#VALUE!</v>
      </c>
      <c r="CM205" t="e">
        <f>AND('STERLING CATALOG - DRY '!J4586,"AAAAAF/PvVo=")</f>
        <v>#VALUE!</v>
      </c>
      <c r="CN205">
        <f>IF('STERLING CATALOG - DRY '!4587:4587,"AAAAAF/PvVs=",0)</f>
        <v>0</v>
      </c>
      <c r="CO205" t="e">
        <f>AND('STERLING CATALOG - DRY '!A4587,"AAAAAF/PvVw=")</f>
        <v>#VALUE!</v>
      </c>
      <c r="CP205" t="e">
        <f>AND('STERLING CATALOG - DRY '!B4587,"AAAAAF/PvV0=")</f>
        <v>#VALUE!</v>
      </c>
      <c r="CQ205" t="e">
        <f>AND('STERLING CATALOG - DRY '!C4587,"AAAAAF/PvV4=")</f>
        <v>#VALUE!</v>
      </c>
      <c r="CR205" t="e">
        <f>AND('STERLING CATALOG - DRY '!D4587,"AAAAAF/PvV8=")</f>
        <v>#VALUE!</v>
      </c>
      <c r="CS205" t="e">
        <f>AND('STERLING CATALOG - DRY '!E4587,"AAAAAF/PvWA=")</f>
        <v>#VALUE!</v>
      </c>
      <c r="CT205" t="e">
        <f>AND('STERLING CATALOG - DRY '!F4587,"AAAAAF/PvWE=")</f>
        <v>#VALUE!</v>
      </c>
      <c r="CU205" t="e">
        <f>AND('STERLING CATALOG - DRY '!G4587,"AAAAAF/PvWI=")</f>
        <v>#VALUE!</v>
      </c>
      <c r="CV205" t="e">
        <f>AND('STERLING CATALOG - DRY '!H4587,"AAAAAF/PvWM=")</f>
        <v>#VALUE!</v>
      </c>
      <c r="CW205" t="e">
        <f>AND('STERLING CATALOG - DRY '!I4587,"AAAAAF/PvWQ=")</f>
        <v>#VALUE!</v>
      </c>
      <c r="CX205" t="e">
        <f>AND('STERLING CATALOG - DRY '!J4587,"AAAAAF/PvWU=")</f>
        <v>#VALUE!</v>
      </c>
      <c r="CY205">
        <f>IF('STERLING CATALOG - DRY '!4588:4588,"AAAAAF/PvWY=",0)</f>
        <v>0</v>
      </c>
      <c r="CZ205" t="e">
        <f>AND('STERLING CATALOG - DRY '!A4588,"AAAAAF/PvWc=")</f>
        <v>#VALUE!</v>
      </c>
      <c r="DA205" t="e">
        <f>AND('STERLING CATALOG - DRY '!B4588,"AAAAAF/PvWg=")</f>
        <v>#VALUE!</v>
      </c>
      <c r="DB205" t="e">
        <f>AND('STERLING CATALOG - DRY '!C4588,"AAAAAF/PvWk=")</f>
        <v>#VALUE!</v>
      </c>
      <c r="DC205" t="e">
        <f>AND('STERLING CATALOG - DRY '!D4588,"AAAAAF/PvWo=")</f>
        <v>#VALUE!</v>
      </c>
      <c r="DD205" t="e">
        <f>AND('STERLING CATALOG - DRY '!E4588,"AAAAAF/PvWs=")</f>
        <v>#VALUE!</v>
      </c>
      <c r="DE205" t="e">
        <f>AND('STERLING CATALOG - DRY '!F4588,"AAAAAF/PvWw=")</f>
        <v>#VALUE!</v>
      </c>
      <c r="DF205" t="e">
        <f>AND('STERLING CATALOG - DRY '!G4588,"AAAAAF/PvW0=")</f>
        <v>#VALUE!</v>
      </c>
      <c r="DG205" t="e">
        <f>AND('STERLING CATALOG - DRY '!H4588,"AAAAAF/PvW4=")</f>
        <v>#VALUE!</v>
      </c>
      <c r="DH205" t="e">
        <f>AND('STERLING CATALOG - DRY '!I4588,"AAAAAF/PvW8=")</f>
        <v>#VALUE!</v>
      </c>
      <c r="DI205" t="e">
        <f>AND('STERLING CATALOG - DRY '!J4588,"AAAAAF/PvXA=")</f>
        <v>#VALUE!</v>
      </c>
      <c r="DJ205">
        <f>IF('STERLING CATALOG - DRY '!4589:4589,"AAAAAF/PvXE=",0)</f>
        <v>0</v>
      </c>
      <c r="DK205" t="e">
        <f>AND('STERLING CATALOG - DRY '!A4589,"AAAAAF/PvXI=")</f>
        <v>#VALUE!</v>
      </c>
      <c r="DL205" t="e">
        <f>AND('STERLING CATALOG - DRY '!B4589,"AAAAAF/PvXM=")</f>
        <v>#VALUE!</v>
      </c>
      <c r="DM205" t="e">
        <f>AND('STERLING CATALOG - DRY '!C4589,"AAAAAF/PvXQ=")</f>
        <v>#VALUE!</v>
      </c>
      <c r="DN205" t="e">
        <f>AND('STERLING CATALOG - DRY '!D4589,"AAAAAF/PvXU=")</f>
        <v>#VALUE!</v>
      </c>
      <c r="DO205" t="e">
        <f>AND('STERLING CATALOG - DRY '!E4589,"AAAAAF/PvXY=")</f>
        <v>#VALUE!</v>
      </c>
      <c r="DP205" t="e">
        <f>AND('STERLING CATALOG - DRY '!F4589,"AAAAAF/PvXc=")</f>
        <v>#VALUE!</v>
      </c>
      <c r="DQ205" t="e">
        <f>AND('STERLING CATALOG - DRY '!G4589,"AAAAAF/PvXg=")</f>
        <v>#VALUE!</v>
      </c>
      <c r="DR205" t="e">
        <f>AND('STERLING CATALOG - DRY '!H4589,"AAAAAF/PvXk=")</f>
        <v>#VALUE!</v>
      </c>
      <c r="DS205" t="e">
        <f>AND('STERLING CATALOG - DRY '!I4589,"AAAAAF/PvXo=")</f>
        <v>#VALUE!</v>
      </c>
      <c r="DT205" t="e">
        <f>AND('STERLING CATALOG - DRY '!J4589,"AAAAAF/PvXs=")</f>
        <v>#VALUE!</v>
      </c>
      <c r="DU205">
        <f>IF('STERLING CATALOG - DRY '!4590:4590,"AAAAAF/PvXw=",0)</f>
        <v>0</v>
      </c>
      <c r="DV205" t="e">
        <f>AND('STERLING CATALOG - DRY '!A4590,"AAAAAF/PvX0=")</f>
        <v>#VALUE!</v>
      </c>
      <c r="DW205" t="e">
        <f>AND('STERLING CATALOG - DRY '!B4590,"AAAAAF/PvX4=")</f>
        <v>#VALUE!</v>
      </c>
      <c r="DX205" t="e">
        <f>AND('STERLING CATALOG - DRY '!C4590,"AAAAAF/PvX8=")</f>
        <v>#VALUE!</v>
      </c>
      <c r="DY205" t="e">
        <f>AND('STERLING CATALOG - DRY '!D4590,"AAAAAF/PvYA=")</f>
        <v>#VALUE!</v>
      </c>
      <c r="DZ205" t="e">
        <f>AND('STERLING CATALOG - DRY '!E4590,"AAAAAF/PvYE=")</f>
        <v>#VALUE!</v>
      </c>
      <c r="EA205" t="e">
        <f>AND('STERLING CATALOG - DRY '!F4590,"AAAAAF/PvYI=")</f>
        <v>#VALUE!</v>
      </c>
      <c r="EB205" t="e">
        <f>AND('STERLING CATALOG - DRY '!G4590,"AAAAAF/PvYM=")</f>
        <v>#VALUE!</v>
      </c>
      <c r="EC205" t="e">
        <f>AND('STERLING CATALOG - DRY '!H4590,"AAAAAF/PvYQ=")</f>
        <v>#VALUE!</v>
      </c>
      <c r="ED205" t="e">
        <f>AND('STERLING CATALOG - DRY '!I4590,"AAAAAF/PvYU=")</f>
        <v>#VALUE!</v>
      </c>
      <c r="EE205" t="e">
        <f>AND('STERLING CATALOG - DRY '!J4590,"AAAAAF/PvYY=")</f>
        <v>#VALUE!</v>
      </c>
      <c r="EF205">
        <f>IF('STERLING CATALOG - DRY '!4591:4591,"AAAAAF/PvYc=",0)</f>
        <v>0</v>
      </c>
      <c r="EG205" t="e">
        <f>AND('STERLING CATALOG - DRY '!A4591,"AAAAAF/PvYg=")</f>
        <v>#VALUE!</v>
      </c>
      <c r="EH205" t="e">
        <f>AND('STERLING CATALOG - DRY '!B4591,"AAAAAF/PvYk=")</f>
        <v>#VALUE!</v>
      </c>
      <c r="EI205" t="e">
        <f>AND('STERLING CATALOG - DRY '!C4591,"AAAAAF/PvYo=")</f>
        <v>#VALUE!</v>
      </c>
      <c r="EJ205" t="e">
        <f>AND('STERLING CATALOG - DRY '!D4591,"AAAAAF/PvYs=")</f>
        <v>#VALUE!</v>
      </c>
      <c r="EK205" t="e">
        <f>AND('STERLING CATALOG - DRY '!E4591,"AAAAAF/PvYw=")</f>
        <v>#VALUE!</v>
      </c>
      <c r="EL205" t="e">
        <f>AND('STERLING CATALOG - DRY '!F4591,"AAAAAF/PvY0=")</f>
        <v>#VALUE!</v>
      </c>
      <c r="EM205" t="e">
        <f>AND('STERLING CATALOG - DRY '!G4591,"AAAAAF/PvY4=")</f>
        <v>#VALUE!</v>
      </c>
      <c r="EN205" t="e">
        <f>AND('STERLING CATALOG - DRY '!H4591,"AAAAAF/PvY8=")</f>
        <v>#VALUE!</v>
      </c>
      <c r="EO205" t="e">
        <f>AND('STERLING CATALOG - DRY '!I4591,"AAAAAF/PvZA=")</f>
        <v>#VALUE!</v>
      </c>
      <c r="EP205" t="e">
        <f>AND('STERLING CATALOG - DRY '!J4591,"AAAAAF/PvZE=")</f>
        <v>#VALUE!</v>
      </c>
      <c r="EQ205">
        <f>IF('STERLING CATALOG - DRY '!4592:4592,"AAAAAF/PvZI=",0)</f>
        <v>0</v>
      </c>
      <c r="ER205" t="e">
        <f>AND('STERLING CATALOG - DRY '!A4592,"AAAAAF/PvZM=")</f>
        <v>#VALUE!</v>
      </c>
      <c r="ES205" t="e">
        <f>AND('STERLING CATALOG - DRY '!B4592,"AAAAAF/PvZQ=")</f>
        <v>#VALUE!</v>
      </c>
      <c r="ET205" t="e">
        <f>AND('STERLING CATALOG - DRY '!C4592,"AAAAAF/PvZU=")</f>
        <v>#VALUE!</v>
      </c>
      <c r="EU205" t="e">
        <f>AND('STERLING CATALOG - DRY '!D4592,"AAAAAF/PvZY=")</f>
        <v>#VALUE!</v>
      </c>
      <c r="EV205" t="e">
        <f>AND('STERLING CATALOG - DRY '!E4592,"AAAAAF/PvZc=")</f>
        <v>#VALUE!</v>
      </c>
      <c r="EW205" t="e">
        <f>AND('STERLING CATALOG - DRY '!F4592,"AAAAAF/PvZg=")</f>
        <v>#VALUE!</v>
      </c>
      <c r="EX205" t="e">
        <f>AND('STERLING CATALOG - DRY '!G4592,"AAAAAF/PvZk=")</f>
        <v>#VALUE!</v>
      </c>
      <c r="EY205" t="e">
        <f>AND('STERLING CATALOG - DRY '!H4592,"AAAAAF/PvZo=")</f>
        <v>#VALUE!</v>
      </c>
      <c r="EZ205" t="e">
        <f>AND('STERLING CATALOG - DRY '!I4592,"AAAAAF/PvZs=")</f>
        <v>#VALUE!</v>
      </c>
      <c r="FA205" t="e">
        <f>AND('STERLING CATALOG - DRY '!J4592,"AAAAAF/PvZw=")</f>
        <v>#VALUE!</v>
      </c>
      <c r="FB205">
        <f>IF('STERLING CATALOG - DRY '!4593:4593,"AAAAAF/PvZ0=",0)</f>
        <v>0</v>
      </c>
      <c r="FC205" t="e">
        <f>AND('STERLING CATALOG - DRY '!A4593,"AAAAAF/PvZ4=")</f>
        <v>#VALUE!</v>
      </c>
      <c r="FD205" t="e">
        <f>AND('STERLING CATALOG - DRY '!B4593,"AAAAAF/PvZ8=")</f>
        <v>#VALUE!</v>
      </c>
      <c r="FE205" t="e">
        <f>AND('STERLING CATALOG - DRY '!C4593,"AAAAAF/PvaA=")</f>
        <v>#VALUE!</v>
      </c>
      <c r="FF205" t="e">
        <f>AND('STERLING CATALOG - DRY '!D4593,"AAAAAF/PvaE=")</f>
        <v>#VALUE!</v>
      </c>
      <c r="FG205" t="e">
        <f>AND('STERLING CATALOG - DRY '!E4593,"AAAAAF/PvaI=")</f>
        <v>#VALUE!</v>
      </c>
      <c r="FH205" t="e">
        <f>AND('STERLING CATALOG - DRY '!F4593,"AAAAAF/PvaM=")</f>
        <v>#VALUE!</v>
      </c>
      <c r="FI205" t="e">
        <f>AND('STERLING CATALOG - DRY '!G4593,"AAAAAF/PvaQ=")</f>
        <v>#VALUE!</v>
      </c>
      <c r="FJ205" t="e">
        <f>AND('STERLING CATALOG - DRY '!H4593,"AAAAAF/PvaU=")</f>
        <v>#VALUE!</v>
      </c>
      <c r="FK205" t="e">
        <f>AND('STERLING CATALOG - DRY '!I4593,"AAAAAF/PvaY=")</f>
        <v>#VALUE!</v>
      </c>
      <c r="FL205" t="e">
        <f>AND('STERLING CATALOG - DRY '!J4593,"AAAAAF/Pvac=")</f>
        <v>#VALUE!</v>
      </c>
      <c r="FM205">
        <f>IF('STERLING CATALOG - DRY '!4594:4594,"AAAAAF/Pvag=",0)</f>
        <v>0</v>
      </c>
      <c r="FN205" t="e">
        <f>AND('STERLING CATALOG - DRY '!A4594,"AAAAAF/Pvak=")</f>
        <v>#VALUE!</v>
      </c>
      <c r="FO205" t="e">
        <f>AND('STERLING CATALOG - DRY '!B4594,"AAAAAF/Pvao=")</f>
        <v>#VALUE!</v>
      </c>
      <c r="FP205" t="e">
        <f>AND('STERLING CATALOG - DRY '!C4594,"AAAAAF/Pvas=")</f>
        <v>#VALUE!</v>
      </c>
      <c r="FQ205" t="e">
        <f>AND('STERLING CATALOG - DRY '!D4594,"AAAAAF/Pvaw=")</f>
        <v>#VALUE!</v>
      </c>
      <c r="FR205" t="e">
        <f>AND('STERLING CATALOG - DRY '!E4594,"AAAAAF/Pva0=")</f>
        <v>#VALUE!</v>
      </c>
      <c r="FS205" t="e">
        <f>AND('STERLING CATALOG - DRY '!F4594,"AAAAAF/Pva4=")</f>
        <v>#VALUE!</v>
      </c>
      <c r="FT205" t="e">
        <f>AND('STERLING CATALOG - DRY '!G4594,"AAAAAF/Pva8=")</f>
        <v>#VALUE!</v>
      </c>
      <c r="FU205" t="e">
        <f>AND('STERLING CATALOG - DRY '!H4594,"AAAAAF/PvbA=")</f>
        <v>#VALUE!</v>
      </c>
      <c r="FV205" t="e">
        <f>AND('STERLING CATALOG - DRY '!I4594,"AAAAAF/PvbE=")</f>
        <v>#VALUE!</v>
      </c>
      <c r="FW205" t="e">
        <f>AND('STERLING CATALOG - DRY '!J4594,"AAAAAF/PvbI=")</f>
        <v>#VALUE!</v>
      </c>
      <c r="FX205">
        <f>IF('STERLING CATALOG - DRY '!4595:4595,"AAAAAF/PvbM=",0)</f>
        <v>0</v>
      </c>
      <c r="FY205" t="e">
        <f>AND('STERLING CATALOG - DRY '!A4595,"AAAAAF/PvbQ=")</f>
        <v>#VALUE!</v>
      </c>
      <c r="FZ205" t="e">
        <f>AND('STERLING CATALOG - DRY '!B4595,"AAAAAF/PvbU=")</f>
        <v>#VALUE!</v>
      </c>
      <c r="GA205" t="e">
        <f>AND('STERLING CATALOG - DRY '!C4595,"AAAAAF/PvbY=")</f>
        <v>#VALUE!</v>
      </c>
      <c r="GB205" t="e">
        <f>AND('STERLING CATALOG - DRY '!D4595,"AAAAAF/Pvbc=")</f>
        <v>#VALUE!</v>
      </c>
      <c r="GC205" t="e">
        <f>AND('STERLING CATALOG - DRY '!E4595,"AAAAAF/Pvbg=")</f>
        <v>#VALUE!</v>
      </c>
      <c r="GD205" t="e">
        <f>AND('STERLING CATALOG - DRY '!F4595,"AAAAAF/Pvbk=")</f>
        <v>#VALUE!</v>
      </c>
      <c r="GE205" t="e">
        <f>AND('STERLING CATALOG - DRY '!G4595,"AAAAAF/Pvbo=")</f>
        <v>#VALUE!</v>
      </c>
      <c r="GF205" t="e">
        <f>AND('STERLING CATALOG - DRY '!H4595,"AAAAAF/Pvbs=")</f>
        <v>#VALUE!</v>
      </c>
      <c r="GG205" t="e">
        <f>AND('STERLING CATALOG - DRY '!I4595,"AAAAAF/Pvbw=")</f>
        <v>#VALUE!</v>
      </c>
      <c r="GH205" t="e">
        <f>AND('STERLING CATALOG - DRY '!J4595,"AAAAAF/Pvb0=")</f>
        <v>#VALUE!</v>
      </c>
      <c r="GI205">
        <f>IF('STERLING CATALOG - DRY '!4596:4596,"AAAAAF/Pvb4=",0)</f>
        <v>0</v>
      </c>
      <c r="GJ205" t="e">
        <f>AND('STERLING CATALOG - DRY '!A4596,"AAAAAF/Pvb8=")</f>
        <v>#VALUE!</v>
      </c>
      <c r="GK205" t="e">
        <f>AND('STERLING CATALOG - DRY '!B4596,"AAAAAF/PvcA=")</f>
        <v>#VALUE!</v>
      </c>
      <c r="GL205" t="e">
        <f>AND('STERLING CATALOG - DRY '!C4596,"AAAAAF/PvcE=")</f>
        <v>#VALUE!</v>
      </c>
      <c r="GM205" t="e">
        <f>AND('STERLING CATALOG - DRY '!D4596,"AAAAAF/PvcI=")</f>
        <v>#VALUE!</v>
      </c>
      <c r="GN205" t="e">
        <f>AND('STERLING CATALOG - DRY '!E4596,"AAAAAF/PvcM=")</f>
        <v>#VALUE!</v>
      </c>
      <c r="GO205" t="e">
        <f>AND('STERLING CATALOG - DRY '!F4596,"AAAAAF/PvcQ=")</f>
        <v>#VALUE!</v>
      </c>
      <c r="GP205" t="e">
        <f>AND('STERLING CATALOG - DRY '!G4596,"AAAAAF/PvcU=")</f>
        <v>#VALUE!</v>
      </c>
      <c r="GQ205" t="e">
        <f>AND('STERLING CATALOG - DRY '!H4596,"AAAAAF/PvcY=")</f>
        <v>#VALUE!</v>
      </c>
      <c r="GR205" t="e">
        <f>AND('STERLING CATALOG - DRY '!I4596,"AAAAAF/Pvcc=")</f>
        <v>#VALUE!</v>
      </c>
      <c r="GS205" t="e">
        <f>AND('STERLING CATALOG - DRY '!J4596,"AAAAAF/Pvcg=")</f>
        <v>#VALUE!</v>
      </c>
      <c r="GT205">
        <f>IF('STERLING CATALOG - DRY '!4597:4597,"AAAAAF/Pvck=",0)</f>
        <v>0</v>
      </c>
      <c r="GU205" t="e">
        <f>AND('STERLING CATALOG - DRY '!A4597,"AAAAAF/Pvco=")</f>
        <v>#VALUE!</v>
      </c>
      <c r="GV205" t="e">
        <f>AND('STERLING CATALOG - DRY '!B4597,"AAAAAF/Pvcs=")</f>
        <v>#VALUE!</v>
      </c>
      <c r="GW205" t="e">
        <f>AND('STERLING CATALOG - DRY '!C4597,"AAAAAF/Pvcw=")</f>
        <v>#VALUE!</v>
      </c>
      <c r="GX205" t="e">
        <f>AND('STERLING CATALOG - DRY '!D4597,"AAAAAF/Pvc0=")</f>
        <v>#VALUE!</v>
      </c>
      <c r="GY205" t="e">
        <f>AND('STERLING CATALOG - DRY '!E4597,"AAAAAF/Pvc4=")</f>
        <v>#VALUE!</v>
      </c>
      <c r="GZ205" t="e">
        <f>AND('STERLING CATALOG - DRY '!F4597,"AAAAAF/Pvc8=")</f>
        <v>#VALUE!</v>
      </c>
      <c r="HA205" t="e">
        <f>AND('STERLING CATALOG - DRY '!G4597,"AAAAAF/PvdA=")</f>
        <v>#VALUE!</v>
      </c>
      <c r="HB205" t="e">
        <f>AND('STERLING CATALOG - DRY '!H4597,"AAAAAF/PvdE=")</f>
        <v>#VALUE!</v>
      </c>
      <c r="HC205" t="e">
        <f>AND('STERLING CATALOG - DRY '!I4597,"AAAAAF/PvdI=")</f>
        <v>#VALUE!</v>
      </c>
      <c r="HD205" t="e">
        <f>AND('STERLING CATALOG - DRY '!J4597,"AAAAAF/PvdM=")</f>
        <v>#VALUE!</v>
      </c>
      <c r="HE205">
        <f>IF('STERLING CATALOG - DRY '!4598:4598,"AAAAAF/PvdQ=",0)</f>
        <v>0</v>
      </c>
      <c r="HF205" t="e">
        <f>AND('STERLING CATALOG - DRY '!A4598,"AAAAAF/PvdU=")</f>
        <v>#VALUE!</v>
      </c>
      <c r="HG205" t="e">
        <f>AND('STERLING CATALOG - DRY '!B4598,"AAAAAF/PvdY=")</f>
        <v>#VALUE!</v>
      </c>
      <c r="HH205" t="e">
        <f>AND('STERLING CATALOG - DRY '!C4598,"AAAAAF/Pvdc=")</f>
        <v>#VALUE!</v>
      </c>
      <c r="HI205" t="e">
        <f>AND('STERLING CATALOG - DRY '!D4598,"AAAAAF/Pvdg=")</f>
        <v>#VALUE!</v>
      </c>
      <c r="HJ205" t="e">
        <f>AND('STERLING CATALOG - DRY '!E4598,"AAAAAF/Pvdk=")</f>
        <v>#VALUE!</v>
      </c>
      <c r="HK205" t="e">
        <f>AND('STERLING CATALOG - DRY '!F4598,"AAAAAF/Pvdo=")</f>
        <v>#VALUE!</v>
      </c>
      <c r="HL205" t="e">
        <f>AND('STERLING CATALOG - DRY '!G4598,"AAAAAF/Pvds=")</f>
        <v>#VALUE!</v>
      </c>
      <c r="HM205" t="e">
        <f>AND('STERLING CATALOG - DRY '!H4598,"AAAAAF/Pvdw=")</f>
        <v>#VALUE!</v>
      </c>
      <c r="HN205" t="e">
        <f>AND('STERLING CATALOG - DRY '!I4598,"AAAAAF/Pvd0=")</f>
        <v>#VALUE!</v>
      </c>
      <c r="HO205" t="e">
        <f>AND('STERLING CATALOG - DRY '!J4598,"AAAAAF/Pvd4=")</f>
        <v>#VALUE!</v>
      </c>
      <c r="HP205">
        <f>IF('STERLING CATALOG - DRY '!4599:4599,"AAAAAF/Pvd8=",0)</f>
        <v>0</v>
      </c>
      <c r="HQ205" t="e">
        <f>AND('STERLING CATALOG - DRY '!A4599,"AAAAAF/PveA=")</f>
        <v>#VALUE!</v>
      </c>
      <c r="HR205" t="e">
        <f>AND('STERLING CATALOG - DRY '!B4599,"AAAAAF/PveE=")</f>
        <v>#VALUE!</v>
      </c>
      <c r="HS205" t="e">
        <f>AND('STERLING CATALOG - DRY '!C4599,"AAAAAF/PveI=")</f>
        <v>#VALUE!</v>
      </c>
      <c r="HT205" t="e">
        <f>AND('STERLING CATALOG - DRY '!D4599,"AAAAAF/PveM=")</f>
        <v>#VALUE!</v>
      </c>
      <c r="HU205" t="e">
        <f>AND('STERLING CATALOG - DRY '!E4599,"AAAAAF/PveQ=")</f>
        <v>#VALUE!</v>
      </c>
      <c r="HV205" t="e">
        <f>AND('STERLING CATALOG - DRY '!F4599,"AAAAAF/PveU=")</f>
        <v>#VALUE!</v>
      </c>
      <c r="HW205" t="e">
        <f>AND('STERLING CATALOG - DRY '!G4599,"AAAAAF/PveY=")</f>
        <v>#VALUE!</v>
      </c>
      <c r="HX205" t="e">
        <f>AND('STERLING CATALOG - DRY '!H4599,"AAAAAF/Pvec=")</f>
        <v>#VALUE!</v>
      </c>
      <c r="HY205" t="e">
        <f>AND('STERLING CATALOG - DRY '!I4599,"AAAAAF/Pveg=")</f>
        <v>#VALUE!</v>
      </c>
      <c r="HZ205" t="e">
        <f>AND('STERLING CATALOG - DRY '!J4599,"AAAAAF/Pvek=")</f>
        <v>#VALUE!</v>
      </c>
      <c r="IA205">
        <f>IF('STERLING CATALOG - DRY '!4600:4600,"AAAAAF/Pveo=",0)</f>
        <v>0</v>
      </c>
      <c r="IB205" t="e">
        <f>AND('STERLING CATALOG - DRY '!A4600,"AAAAAF/Pves=")</f>
        <v>#VALUE!</v>
      </c>
      <c r="IC205" t="e">
        <f>AND('STERLING CATALOG - DRY '!B4600,"AAAAAF/Pvew=")</f>
        <v>#VALUE!</v>
      </c>
      <c r="ID205" t="e">
        <f>AND('STERLING CATALOG - DRY '!C4600,"AAAAAF/Pve0=")</f>
        <v>#VALUE!</v>
      </c>
      <c r="IE205" t="e">
        <f>AND('STERLING CATALOG - DRY '!D4600,"AAAAAF/Pve4=")</f>
        <v>#VALUE!</v>
      </c>
      <c r="IF205" t="e">
        <f>AND('STERLING CATALOG - DRY '!E4600,"AAAAAF/Pve8=")</f>
        <v>#VALUE!</v>
      </c>
      <c r="IG205" t="e">
        <f>AND('STERLING CATALOG - DRY '!F4600,"AAAAAF/PvfA=")</f>
        <v>#VALUE!</v>
      </c>
      <c r="IH205" t="e">
        <f>AND('STERLING CATALOG - DRY '!G4600,"AAAAAF/PvfE=")</f>
        <v>#VALUE!</v>
      </c>
      <c r="II205" t="e">
        <f>AND('STERLING CATALOG - DRY '!H4600,"AAAAAF/PvfI=")</f>
        <v>#VALUE!</v>
      </c>
      <c r="IJ205" t="e">
        <f>AND('STERLING CATALOG - DRY '!I4600,"AAAAAF/PvfM=")</f>
        <v>#VALUE!</v>
      </c>
      <c r="IK205" t="e">
        <f>AND('STERLING CATALOG - DRY '!J4600,"AAAAAF/PvfQ=")</f>
        <v>#VALUE!</v>
      </c>
      <c r="IL205">
        <f>IF('STERLING CATALOG - DRY '!4601:4601,"AAAAAF/PvfU=",0)</f>
        <v>0</v>
      </c>
      <c r="IM205" t="e">
        <f>AND('STERLING CATALOG - DRY '!A4601,"AAAAAF/PvfY=")</f>
        <v>#VALUE!</v>
      </c>
      <c r="IN205" t="e">
        <f>AND('STERLING CATALOG - DRY '!B4601,"AAAAAF/Pvfc=")</f>
        <v>#VALUE!</v>
      </c>
      <c r="IO205" t="e">
        <f>AND('STERLING CATALOG - DRY '!C4601,"AAAAAF/Pvfg=")</f>
        <v>#VALUE!</v>
      </c>
      <c r="IP205" t="e">
        <f>AND('STERLING CATALOG - DRY '!D4601,"AAAAAF/Pvfk=")</f>
        <v>#VALUE!</v>
      </c>
      <c r="IQ205" t="e">
        <f>AND('STERLING CATALOG - DRY '!E4601,"AAAAAF/Pvfo=")</f>
        <v>#VALUE!</v>
      </c>
      <c r="IR205" t="e">
        <f>AND('STERLING CATALOG - DRY '!F4601,"AAAAAF/Pvfs=")</f>
        <v>#VALUE!</v>
      </c>
      <c r="IS205" t="e">
        <f>AND('STERLING CATALOG - DRY '!G4601,"AAAAAF/Pvfw=")</f>
        <v>#VALUE!</v>
      </c>
      <c r="IT205" t="e">
        <f>AND('STERLING CATALOG - DRY '!H4601,"AAAAAF/Pvf0=")</f>
        <v>#VALUE!</v>
      </c>
      <c r="IU205" t="e">
        <f>AND('STERLING CATALOG - DRY '!I4601,"AAAAAF/Pvf4=")</f>
        <v>#VALUE!</v>
      </c>
      <c r="IV205" t="e">
        <f>AND('STERLING CATALOG - DRY '!J4601,"AAAAAF/Pvf8=")</f>
        <v>#VALUE!</v>
      </c>
    </row>
    <row r="206" spans="1:256">
      <c r="A206" t="str">
        <f>IF('STERLING CATALOG - DRY '!4602:4602,"AAAAAHe/zwA=",0)</f>
        <v>AAAAAHe/zwA=</v>
      </c>
      <c r="B206" t="e">
        <f>AND('STERLING CATALOG - DRY '!A4602,"AAAAAHe/zwE=")</f>
        <v>#VALUE!</v>
      </c>
      <c r="C206" t="e">
        <f>AND('STERLING CATALOG - DRY '!B4602,"AAAAAHe/zwI=")</f>
        <v>#VALUE!</v>
      </c>
      <c r="D206" t="e">
        <f>AND('STERLING CATALOG - DRY '!C4602,"AAAAAHe/zwM=")</f>
        <v>#VALUE!</v>
      </c>
      <c r="E206" t="e">
        <f>AND('STERLING CATALOG - DRY '!D4602,"AAAAAHe/zwQ=")</f>
        <v>#VALUE!</v>
      </c>
      <c r="F206" t="e">
        <f>AND('STERLING CATALOG - DRY '!E4602,"AAAAAHe/zwU=")</f>
        <v>#VALUE!</v>
      </c>
      <c r="G206" t="e">
        <f>AND('STERLING CATALOG - DRY '!F4602,"AAAAAHe/zwY=")</f>
        <v>#VALUE!</v>
      </c>
      <c r="H206" t="e">
        <f>AND('STERLING CATALOG - DRY '!G4602,"AAAAAHe/zwc=")</f>
        <v>#VALUE!</v>
      </c>
      <c r="I206" t="e">
        <f>AND('STERLING CATALOG - DRY '!H4602,"AAAAAHe/zwg=")</f>
        <v>#VALUE!</v>
      </c>
      <c r="J206" t="e">
        <f>AND('STERLING CATALOG - DRY '!I4602,"AAAAAHe/zwk=")</f>
        <v>#VALUE!</v>
      </c>
      <c r="K206" t="e">
        <f>AND('STERLING CATALOG - DRY '!J4602,"AAAAAHe/zwo=")</f>
        <v>#VALUE!</v>
      </c>
      <c r="L206">
        <f>IF('STERLING CATALOG - DRY '!4603:4603,"AAAAAHe/zws=",0)</f>
        <v>0</v>
      </c>
      <c r="M206" t="e">
        <f>AND('STERLING CATALOG - DRY '!A4603,"AAAAAHe/zww=")</f>
        <v>#VALUE!</v>
      </c>
      <c r="N206" t="e">
        <f>AND('STERLING CATALOG - DRY '!B4603,"AAAAAHe/zw0=")</f>
        <v>#VALUE!</v>
      </c>
      <c r="O206" t="e">
        <f>AND('STERLING CATALOG - DRY '!C4603,"AAAAAHe/zw4=")</f>
        <v>#VALUE!</v>
      </c>
      <c r="P206" t="e">
        <f>AND('STERLING CATALOG - DRY '!D4603,"AAAAAHe/zw8=")</f>
        <v>#VALUE!</v>
      </c>
      <c r="Q206" t="e">
        <f>AND('STERLING CATALOG - DRY '!E4603,"AAAAAHe/zxA=")</f>
        <v>#VALUE!</v>
      </c>
      <c r="R206" t="e">
        <f>AND('STERLING CATALOG - DRY '!F4603,"AAAAAHe/zxE=")</f>
        <v>#VALUE!</v>
      </c>
      <c r="S206" t="e">
        <f>AND('STERLING CATALOG - DRY '!G4603,"AAAAAHe/zxI=")</f>
        <v>#VALUE!</v>
      </c>
      <c r="T206" t="e">
        <f>AND('STERLING CATALOG - DRY '!H4603,"AAAAAHe/zxM=")</f>
        <v>#VALUE!</v>
      </c>
      <c r="U206" t="e">
        <f>AND('STERLING CATALOG - DRY '!I4603,"AAAAAHe/zxQ=")</f>
        <v>#VALUE!</v>
      </c>
      <c r="V206" t="e">
        <f>AND('STERLING CATALOG - DRY '!J4603,"AAAAAHe/zxU=")</f>
        <v>#VALUE!</v>
      </c>
      <c r="W206">
        <f>IF('STERLING CATALOG - DRY '!4604:4604,"AAAAAHe/zxY=",0)</f>
        <v>0</v>
      </c>
      <c r="X206" t="e">
        <f>AND('STERLING CATALOG - DRY '!A4604,"AAAAAHe/zxc=")</f>
        <v>#VALUE!</v>
      </c>
      <c r="Y206" t="e">
        <f>AND('STERLING CATALOG - DRY '!B4604,"AAAAAHe/zxg=")</f>
        <v>#VALUE!</v>
      </c>
      <c r="Z206" t="e">
        <f>AND('STERLING CATALOG - DRY '!C4604,"AAAAAHe/zxk=")</f>
        <v>#VALUE!</v>
      </c>
      <c r="AA206" t="e">
        <f>AND('STERLING CATALOG - DRY '!D4604,"AAAAAHe/zxo=")</f>
        <v>#VALUE!</v>
      </c>
      <c r="AB206" t="e">
        <f>AND('STERLING CATALOG - DRY '!E4604,"AAAAAHe/zxs=")</f>
        <v>#VALUE!</v>
      </c>
      <c r="AC206" t="e">
        <f>AND('STERLING CATALOG - DRY '!F4604,"AAAAAHe/zxw=")</f>
        <v>#VALUE!</v>
      </c>
      <c r="AD206" t="e">
        <f>AND('STERLING CATALOG - DRY '!G4604,"AAAAAHe/zx0=")</f>
        <v>#VALUE!</v>
      </c>
      <c r="AE206" t="e">
        <f>AND('STERLING CATALOG - DRY '!H4604,"AAAAAHe/zx4=")</f>
        <v>#VALUE!</v>
      </c>
      <c r="AF206" t="e">
        <f>AND('STERLING CATALOG - DRY '!I4604,"AAAAAHe/zx8=")</f>
        <v>#VALUE!</v>
      </c>
      <c r="AG206" t="e">
        <f>AND('STERLING CATALOG - DRY '!J4604,"AAAAAHe/zyA=")</f>
        <v>#VALUE!</v>
      </c>
      <c r="AH206">
        <f>IF('STERLING CATALOG - DRY '!4605:4605,"AAAAAHe/zyE=",0)</f>
        <v>0</v>
      </c>
      <c r="AI206" t="e">
        <f>AND('STERLING CATALOG - DRY '!A4605,"AAAAAHe/zyI=")</f>
        <v>#VALUE!</v>
      </c>
      <c r="AJ206" t="e">
        <f>AND('STERLING CATALOG - DRY '!B4605,"AAAAAHe/zyM=")</f>
        <v>#VALUE!</v>
      </c>
      <c r="AK206" t="e">
        <f>AND('STERLING CATALOG - DRY '!C4605,"AAAAAHe/zyQ=")</f>
        <v>#VALUE!</v>
      </c>
      <c r="AL206" t="e">
        <f>AND('STERLING CATALOG - DRY '!D4605,"AAAAAHe/zyU=")</f>
        <v>#VALUE!</v>
      </c>
      <c r="AM206" t="e">
        <f>AND('STERLING CATALOG - DRY '!E4605,"AAAAAHe/zyY=")</f>
        <v>#VALUE!</v>
      </c>
      <c r="AN206" t="e">
        <f>AND('STERLING CATALOG - DRY '!F4605,"AAAAAHe/zyc=")</f>
        <v>#VALUE!</v>
      </c>
      <c r="AO206" t="e">
        <f>AND('STERLING CATALOG - DRY '!G4605,"AAAAAHe/zyg=")</f>
        <v>#VALUE!</v>
      </c>
      <c r="AP206" t="e">
        <f>AND('STERLING CATALOG - DRY '!H4605,"AAAAAHe/zyk=")</f>
        <v>#VALUE!</v>
      </c>
      <c r="AQ206" t="e">
        <f>AND('STERLING CATALOG - DRY '!I4605,"AAAAAHe/zyo=")</f>
        <v>#VALUE!</v>
      </c>
      <c r="AR206" t="e">
        <f>AND('STERLING CATALOG - DRY '!J4605,"AAAAAHe/zys=")</f>
        <v>#VALUE!</v>
      </c>
      <c r="AS206">
        <f>IF('STERLING CATALOG - DRY '!4606:4606,"AAAAAHe/zyw=",0)</f>
        <v>0</v>
      </c>
      <c r="AT206" t="e">
        <f>AND('STERLING CATALOG - DRY '!A4606,"AAAAAHe/zy0=")</f>
        <v>#VALUE!</v>
      </c>
      <c r="AU206" t="e">
        <f>AND('STERLING CATALOG - DRY '!B4606,"AAAAAHe/zy4=")</f>
        <v>#VALUE!</v>
      </c>
      <c r="AV206" t="e">
        <f>AND('STERLING CATALOG - DRY '!C4606,"AAAAAHe/zy8=")</f>
        <v>#VALUE!</v>
      </c>
      <c r="AW206" t="e">
        <f>AND('STERLING CATALOG - DRY '!D4606,"AAAAAHe/zzA=")</f>
        <v>#VALUE!</v>
      </c>
      <c r="AX206" t="e">
        <f>AND('STERLING CATALOG - DRY '!E4606,"AAAAAHe/zzE=")</f>
        <v>#VALUE!</v>
      </c>
      <c r="AY206" t="e">
        <f>AND('STERLING CATALOG - DRY '!F4606,"AAAAAHe/zzI=")</f>
        <v>#VALUE!</v>
      </c>
      <c r="AZ206" t="e">
        <f>AND('STERLING CATALOG - DRY '!G4606,"AAAAAHe/zzM=")</f>
        <v>#VALUE!</v>
      </c>
      <c r="BA206" t="e">
        <f>AND('STERLING CATALOG - DRY '!H4606,"AAAAAHe/zzQ=")</f>
        <v>#VALUE!</v>
      </c>
      <c r="BB206" t="e">
        <f>AND('STERLING CATALOG - DRY '!I4606,"AAAAAHe/zzU=")</f>
        <v>#VALUE!</v>
      </c>
      <c r="BC206" t="e">
        <f>AND('STERLING CATALOG - DRY '!J4606,"AAAAAHe/zzY=")</f>
        <v>#VALUE!</v>
      </c>
      <c r="BD206">
        <f>IF('STERLING CATALOG - DRY '!4607:4607,"AAAAAHe/zzc=",0)</f>
        <v>0</v>
      </c>
      <c r="BE206" t="e">
        <f>AND('STERLING CATALOG - DRY '!A4607,"AAAAAHe/zzg=")</f>
        <v>#VALUE!</v>
      </c>
      <c r="BF206" t="e">
        <f>AND('STERLING CATALOG - DRY '!B4607,"AAAAAHe/zzk=")</f>
        <v>#VALUE!</v>
      </c>
      <c r="BG206" t="e">
        <f>AND('STERLING CATALOG - DRY '!C4607,"AAAAAHe/zzo=")</f>
        <v>#VALUE!</v>
      </c>
      <c r="BH206" t="e">
        <f>AND('STERLING CATALOG - DRY '!D4607,"AAAAAHe/zzs=")</f>
        <v>#VALUE!</v>
      </c>
      <c r="BI206" t="e">
        <f>AND('STERLING CATALOG - DRY '!E4607,"AAAAAHe/zzw=")</f>
        <v>#VALUE!</v>
      </c>
      <c r="BJ206" t="e">
        <f>AND('STERLING CATALOG - DRY '!F4607,"AAAAAHe/zz0=")</f>
        <v>#VALUE!</v>
      </c>
      <c r="BK206" t="e">
        <f>AND('STERLING CATALOG - DRY '!G4607,"AAAAAHe/zz4=")</f>
        <v>#VALUE!</v>
      </c>
      <c r="BL206" t="e">
        <f>AND('STERLING CATALOG - DRY '!H4607,"AAAAAHe/zz8=")</f>
        <v>#VALUE!</v>
      </c>
      <c r="BM206" t="e">
        <f>AND('STERLING CATALOG - DRY '!I4607,"AAAAAHe/z0A=")</f>
        <v>#VALUE!</v>
      </c>
      <c r="BN206" t="e">
        <f>AND('STERLING CATALOG - DRY '!J4607,"AAAAAHe/z0E=")</f>
        <v>#VALUE!</v>
      </c>
      <c r="BO206">
        <f>IF('STERLING CATALOG - DRY '!4608:4608,"AAAAAHe/z0I=",0)</f>
        <v>0</v>
      </c>
      <c r="BP206" t="e">
        <f>AND('STERLING CATALOG - DRY '!A4608,"AAAAAHe/z0M=")</f>
        <v>#VALUE!</v>
      </c>
      <c r="BQ206" t="e">
        <f>AND('STERLING CATALOG - DRY '!B4608,"AAAAAHe/z0Q=")</f>
        <v>#VALUE!</v>
      </c>
      <c r="BR206" t="e">
        <f>AND('STERLING CATALOG - DRY '!C4608,"AAAAAHe/z0U=")</f>
        <v>#VALUE!</v>
      </c>
      <c r="BS206" t="e">
        <f>AND('STERLING CATALOG - DRY '!D4608,"AAAAAHe/z0Y=")</f>
        <v>#VALUE!</v>
      </c>
      <c r="BT206" t="e">
        <f>AND('STERLING CATALOG - DRY '!E4608,"AAAAAHe/z0c=")</f>
        <v>#VALUE!</v>
      </c>
      <c r="BU206" t="e">
        <f>AND('STERLING CATALOG - DRY '!F4608,"AAAAAHe/z0g=")</f>
        <v>#VALUE!</v>
      </c>
      <c r="BV206" t="e">
        <f>AND('STERLING CATALOG - DRY '!G4608,"AAAAAHe/z0k=")</f>
        <v>#VALUE!</v>
      </c>
      <c r="BW206" t="e">
        <f>AND('STERLING CATALOG - DRY '!H4608,"AAAAAHe/z0o=")</f>
        <v>#VALUE!</v>
      </c>
      <c r="BX206" t="e">
        <f>AND('STERLING CATALOG - DRY '!I4608,"AAAAAHe/z0s=")</f>
        <v>#VALUE!</v>
      </c>
      <c r="BY206" t="e">
        <f>AND('STERLING CATALOG - DRY '!J4608,"AAAAAHe/z0w=")</f>
        <v>#VALUE!</v>
      </c>
      <c r="BZ206">
        <f>IF('STERLING CATALOG - DRY '!4609:4609,"AAAAAHe/z00=",0)</f>
        <v>0</v>
      </c>
      <c r="CA206" t="e">
        <f>AND('STERLING CATALOG - DRY '!A4609,"AAAAAHe/z04=")</f>
        <v>#VALUE!</v>
      </c>
      <c r="CB206" t="e">
        <f>AND('STERLING CATALOG - DRY '!B4609,"AAAAAHe/z08=")</f>
        <v>#VALUE!</v>
      </c>
      <c r="CC206" t="e">
        <f>AND('STERLING CATALOG - DRY '!C4609,"AAAAAHe/z1A=")</f>
        <v>#VALUE!</v>
      </c>
      <c r="CD206" t="e">
        <f>AND('STERLING CATALOG - DRY '!D4609,"AAAAAHe/z1E=")</f>
        <v>#VALUE!</v>
      </c>
      <c r="CE206" t="e">
        <f>AND('STERLING CATALOG - DRY '!E4609,"AAAAAHe/z1I=")</f>
        <v>#VALUE!</v>
      </c>
      <c r="CF206" t="e">
        <f>AND('STERLING CATALOG - DRY '!F4609,"AAAAAHe/z1M=")</f>
        <v>#VALUE!</v>
      </c>
      <c r="CG206" t="e">
        <f>AND('STERLING CATALOG - DRY '!G4609,"AAAAAHe/z1Q=")</f>
        <v>#VALUE!</v>
      </c>
      <c r="CH206" t="e">
        <f>AND('STERLING CATALOG - DRY '!H4609,"AAAAAHe/z1U=")</f>
        <v>#VALUE!</v>
      </c>
      <c r="CI206" t="e">
        <f>AND('STERLING CATALOG - DRY '!I4609,"AAAAAHe/z1Y=")</f>
        <v>#VALUE!</v>
      </c>
      <c r="CJ206" t="e">
        <f>AND('STERLING CATALOG - DRY '!J4609,"AAAAAHe/z1c=")</f>
        <v>#VALUE!</v>
      </c>
      <c r="CK206">
        <f>IF('STERLING CATALOG - DRY '!4610:4610,"AAAAAHe/z1g=",0)</f>
        <v>0</v>
      </c>
      <c r="CL206" t="e">
        <f>AND('STERLING CATALOG - DRY '!A4610,"AAAAAHe/z1k=")</f>
        <v>#VALUE!</v>
      </c>
      <c r="CM206" t="e">
        <f>AND('STERLING CATALOG - DRY '!B4610,"AAAAAHe/z1o=")</f>
        <v>#VALUE!</v>
      </c>
      <c r="CN206" t="e">
        <f>AND('STERLING CATALOG - DRY '!C4610,"AAAAAHe/z1s=")</f>
        <v>#VALUE!</v>
      </c>
      <c r="CO206" t="e">
        <f>AND('STERLING CATALOG - DRY '!D4610,"AAAAAHe/z1w=")</f>
        <v>#VALUE!</v>
      </c>
      <c r="CP206" t="e">
        <f>AND('STERLING CATALOG - DRY '!E4610,"AAAAAHe/z10=")</f>
        <v>#VALUE!</v>
      </c>
      <c r="CQ206" t="e">
        <f>AND('STERLING CATALOG - DRY '!F4610,"AAAAAHe/z14=")</f>
        <v>#VALUE!</v>
      </c>
      <c r="CR206" t="e">
        <f>AND('STERLING CATALOG - DRY '!G4610,"AAAAAHe/z18=")</f>
        <v>#VALUE!</v>
      </c>
      <c r="CS206" t="e">
        <f>AND('STERLING CATALOG - DRY '!H4610,"AAAAAHe/z2A=")</f>
        <v>#VALUE!</v>
      </c>
      <c r="CT206" t="e">
        <f>AND('STERLING CATALOG - DRY '!I4610,"AAAAAHe/z2E=")</f>
        <v>#VALUE!</v>
      </c>
      <c r="CU206" t="e">
        <f>AND('STERLING CATALOG - DRY '!J4610,"AAAAAHe/z2I=")</f>
        <v>#VALUE!</v>
      </c>
      <c r="CV206">
        <f>IF('STERLING CATALOG - DRY '!4611:4611,"AAAAAHe/z2M=",0)</f>
        <v>0</v>
      </c>
      <c r="CW206" t="e">
        <f>AND('STERLING CATALOG - DRY '!A4611,"AAAAAHe/z2Q=")</f>
        <v>#VALUE!</v>
      </c>
      <c r="CX206" t="e">
        <f>AND('STERLING CATALOG - DRY '!B4611,"AAAAAHe/z2U=")</f>
        <v>#VALUE!</v>
      </c>
      <c r="CY206" t="e">
        <f>AND('STERLING CATALOG - DRY '!C4611,"AAAAAHe/z2Y=")</f>
        <v>#VALUE!</v>
      </c>
      <c r="CZ206" t="e">
        <f>AND('STERLING CATALOG - DRY '!D4611,"AAAAAHe/z2c=")</f>
        <v>#VALUE!</v>
      </c>
      <c r="DA206" t="e">
        <f>AND('STERLING CATALOG - DRY '!E4611,"AAAAAHe/z2g=")</f>
        <v>#VALUE!</v>
      </c>
      <c r="DB206" t="e">
        <f>AND('STERLING CATALOG - DRY '!F4611,"AAAAAHe/z2k=")</f>
        <v>#VALUE!</v>
      </c>
      <c r="DC206" t="e">
        <f>AND('STERLING CATALOG - DRY '!G4611,"AAAAAHe/z2o=")</f>
        <v>#VALUE!</v>
      </c>
      <c r="DD206" t="e">
        <f>AND('STERLING CATALOG - DRY '!H4611,"AAAAAHe/z2s=")</f>
        <v>#VALUE!</v>
      </c>
      <c r="DE206" t="e">
        <f>AND('STERLING CATALOG - DRY '!I4611,"AAAAAHe/z2w=")</f>
        <v>#VALUE!</v>
      </c>
      <c r="DF206" t="e">
        <f>AND('STERLING CATALOG - DRY '!J4611,"AAAAAHe/z20=")</f>
        <v>#VALUE!</v>
      </c>
      <c r="DG206">
        <f>IF('STERLING CATALOG - DRY '!4612:4612,"AAAAAHe/z24=",0)</f>
        <v>0</v>
      </c>
      <c r="DH206" t="e">
        <f>AND('STERLING CATALOG - DRY '!A4612,"AAAAAHe/z28=")</f>
        <v>#VALUE!</v>
      </c>
      <c r="DI206" t="e">
        <f>AND('STERLING CATALOG - DRY '!B4612,"AAAAAHe/z3A=")</f>
        <v>#VALUE!</v>
      </c>
      <c r="DJ206" t="e">
        <f>AND('STERLING CATALOG - DRY '!C4612,"AAAAAHe/z3E=")</f>
        <v>#VALUE!</v>
      </c>
      <c r="DK206" t="e">
        <f>AND('STERLING CATALOG - DRY '!D4612,"AAAAAHe/z3I=")</f>
        <v>#VALUE!</v>
      </c>
      <c r="DL206" t="e">
        <f>AND('STERLING CATALOG - DRY '!E4612,"AAAAAHe/z3M=")</f>
        <v>#VALUE!</v>
      </c>
      <c r="DM206" t="e">
        <f>AND('STERLING CATALOG - DRY '!F4612,"AAAAAHe/z3Q=")</f>
        <v>#VALUE!</v>
      </c>
      <c r="DN206" t="e">
        <f>AND('STERLING CATALOG - DRY '!G4612,"AAAAAHe/z3U=")</f>
        <v>#VALUE!</v>
      </c>
      <c r="DO206" t="e">
        <f>AND('STERLING CATALOG - DRY '!H4612,"AAAAAHe/z3Y=")</f>
        <v>#VALUE!</v>
      </c>
      <c r="DP206" t="e">
        <f>AND('STERLING CATALOG - DRY '!I4612,"AAAAAHe/z3c=")</f>
        <v>#VALUE!</v>
      </c>
      <c r="DQ206" t="e">
        <f>AND('STERLING CATALOG - DRY '!J4612,"AAAAAHe/z3g=")</f>
        <v>#VALUE!</v>
      </c>
      <c r="DR206">
        <f>IF('STERLING CATALOG - DRY '!4613:4613,"AAAAAHe/z3k=",0)</f>
        <v>0</v>
      </c>
      <c r="DS206" t="e">
        <f>AND('STERLING CATALOG - DRY '!A4613,"AAAAAHe/z3o=")</f>
        <v>#VALUE!</v>
      </c>
      <c r="DT206" t="e">
        <f>AND('STERLING CATALOG - DRY '!B4613,"AAAAAHe/z3s=")</f>
        <v>#VALUE!</v>
      </c>
      <c r="DU206" t="e">
        <f>AND('STERLING CATALOG - DRY '!C4613,"AAAAAHe/z3w=")</f>
        <v>#VALUE!</v>
      </c>
      <c r="DV206" t="e">
        <f>AND('STERLING CATALOG - DRY '!D4613,"AAAAAHe/z30=")</f>
        <v>#VALUE!</v>
      </c>
      <c r="DW206" t="e">
        <f>AND('STERLING CATALOG - DRY '!E4613,"AAAAAHe/z34=")</f>
        <v>#VALUE!</v>
      </c>
      <c r="DX206" t="e">
        <f>AND('STERLING CATALOG - DRY '!F4613,"AAAAAHe/z38=")</f>
        <v>#VALUE!</v>
      </c>
      <c r="DY206" t="e">
        <f>AND('STERLING CATALOG - DRY '!G4613,"AAAAAHe/z4A=")</f>
        <v>#VALUE!</v>
      </c>
      <c r="DZ206" t="e">
        <f>AND('STERLING CATALOG - DRY '!H4613,"AAAAAHe/z4E=")</f>
        <v>#VALUE!</v>
      </c>
      <c r="EA206" t="e">
        <f>AND('STERLING CATALOG - DRY '!I4613,"AAAAAHe/z4I=")</f>
        <v>#VALUE!</v>
      </c>
      <c r="EB206" t="e">
        <f>AND('STERLING CATALOG - DRY '!J4613,"AAAAAHe/z4M=")</f>
        <v>#VALUE!</v>
      </c>
      <c r="EC206">
        <f>IF('STERLING CATALOG - DRY '!4614:4614,"AAAAAHe/z4Q=",0)</f>
        <v>0</v>
      </c>
      <c r="ED206" t="e">
        <f>AND('STERLING CATALOG - DRY '!A4614,"AAAAAHe/z4U=")</f>
        <v>#VALUE!</v>
      </c>
      <c r="EE206" t="e">
        <f>AND('STERLING CATALOG - DRY '!B4614,"AAAAAHe/z4Y=")</f>
        <v>#VALUE!</v>
      </c>
      <c r="EF206" t="e">
        <f>AND('STERLING CATALOG - DRY '!C4614,"AAAAAHe/z4c=")</f>
        <v>#VALUE!</v>
      </c>
      <c r="EG206" t="e">
        <f>AND('STERLING CATALOG - DRY '!D4614,"AAAAAHe/z4g=")</f>
        <v>#VALUE!</v>
      </c>
      <c r="EH206" t="e">
        <f>AND('STERLING CATALOG - DRY '!E4614,"AAAAAHe/z4k=")</f>
        <v>#VALUE!</v>
      </c>
      <c r="EI206" t="e">
        <f>AND('STERLING CATALOG - DRY '!F4614,"AAAAAHe/z4o=")</f>
        <v>#VALUE!</v>
      </c>
      <c r="EJ206" t="e">
        <f>AND('STERLING CATALOG - DRY '!G4614,"AAAAAHe/z4s=")</f>
        <v>#VALUE!</v>
      </c>
      <c r="EK206" t="e">
        <f>AND('STERLING CATALOG - DRY '!H4614,"AAAAAHe/z4w=")</f>
        <v>#VALUE!</v>
      </c>
      <c r="EL206" t="e">
        <f>AND('STERLING CATALOG - DRY '!I4614,"AAAAAHe/z40=")</f>
        <v>#VALUE!</v>
      </c>
      <c r="EM206" t="e">
        <f>AND('STERLING CATALOG - DRY '!J4614,"AAAAAHe/z44=")</f>
        <v>#VALUE!</v>
      </c>
      <c r="EN206">
        <f>IF('STERLING CATALOG - DRY '!4615:4615,"AAAAAHe/z48=",0)</f>
        <v>0</v>
      </c>
      <c r="EO206" t="e">
        <f>AND('STERLING CATALOG - DRY '!A4615,"AAAAAHe/z5A=")</f>
        <v>#VALUE!</v>
      </c>
      <c r="EP206" t="e">
        <f>AND('STERLING CATALOG - DRY '!B4615,"AAAAAHe/z5E=")</f>
        <v>#VALUE!</v>
      </c>
      <c r="EQ206" t="e">
        <f>AND('STERLING CATALOG - DRY '!C4615,"AAAAAHe/z5I=")</f>
        <v>#VALUE!</v>
      </c>
      <c r="ER206" t="e">
        <f>AND('STERLING CATALOG - DRY '!D4615,"AAAAAHe/z5M=")</f>
        <v>#VALUE!</v>
      </c>
      <c r="ES206" t="e">
        <f>AND('STERLING CATALOG - DRY '!E4615,"AAAAAHe/z5Q=")</f>
        <v>#VALUE!</v>
      </c>
      <c r="ET206" t="e">
        <f>AND('STERLING CATALOG - DRY '!F4615,"AAAAAHe/z5U=")</f>
        <v>#VALUE!</v>
      </c>
      <c r="EU206" t="e">
        <f>AND('STERLING CATALOG - DRY '!G4615,"AAAAAHe/z5Y=")</f>
        <v>#VALUE!</v>
      </c>
      <c r="EV206" t="e">
        <f>AND('STERLING CATALOG - DRY '!H4615,"AAAAAHe/z5c=")</f>
        <v>#VALUE!</v>
      </c>
      <c r="EW206" t="e">
        <f>AND('STERLING CATALOG - DRY '!I4615,"AAAAAHe/z5g=")</f>
        <v>#VALUE!</v>
      </c>
      <c r="EX206" t="e">
        <f>AND('STERLING CATALOG - DRY '!J4615,"AAAAAHe/z5k=")</f>
        <v>#VALUE!</v>
      </c>
      <c r="EY206">
        <f>IF('STERLING CATALOG - DRY '!4616:4616,"AAAAAHe/z5o=",0)</f>
        <v>0</v>
      </c>
      <c r="EZ206" t="e">
        <f>AND('STERLING CATALOG - DRY '!A4616,"AAAAAHe/z5s=")</f>
        <v>#VALUE!</v>
      </c>
      <c r="FA206" t="e">
        <f>AND('STERLING CATALOG - DRY '!B4616,"AAAAAHe/z5w=")</f>
        <v>#VALUE!</v>
      </c>
      <c r="FB206" t="e">
        <f>AND('STERLING CATALOG - DRY '!C4616,"AAAAAHe/z50=")</f>
        <v>#VALUE!</v>
      </c>
      <c r="FC206" t="e">
        <f>AND('STERLING CATALOG - DRY '!D4616,"AAAAAHe/z54=")</f>
        <v>#VALUE!</v>
      </c>
      <c r="FD206" t="e">
        <f>AND('STERLING CATALOG - DRY '!E4616,"AAAAAHe/z58=")</f>
        <v>#VALUE!</v>
      </c>
      <c r="FE206" t="e">
        <f>AND('STERLING CATALOG - DRY '!F4616,"AAAAAHe/z6A=")</f>
        <v>#VALUE!</v>
      </c>
      <c r="FF206" t="e">
        <f>AND('STERLING CATALOG - DRY '!G4616,"AAAAAHe/z6E=")</f>
        <v>#VALUE!</v>
      </c>
      <c r="FG206" t="e">
        <f>AND('STERLING CATALOG - DRY '!H4616,"AAAAAHe/z6I=")</f>
        <v>#VALUE!</v>
      </c>
      <c r="FH206" t="e">
        <f>AND('STERLING CATALOG - DRY '!I4616,"AAAAAHe/z6M=")</f>
        <v>#VALUE!</v>
      </c>
      <c r="FI206" t="e">
        <f>AND('STERLING CATALOG - DRY '!J4616,"AAAAAHe/z6Q=")</f>
        <v>#VALUE!</v>
      </c>
      <c r="FJ206">
        <f>IF('STERLING CATALOG - DRY '!4617:4617,"AAAAAHe/z6U=",0)</f>
        <v>0</v>
      </c>
      <c r="FK206" t="e">
        <f>AND('STERLING CATALOG - DRY '!A4617,"AAAAAHe/z6Y=")</f>
        <v>#VALUE!</v>
      </c>
      <c r="FL206" t="e">
        <f>AND('STERLING CATALOG - DRY '!B4617,"AAAAAHe/z6c=")</f>
        <v>#VALUE!</v>
      </c>
      <c r="FM206" t="e">
        <f>AND('STERLING CATALOG - DRY '!C4617,"AAAAAHe/z6g=")</f>
        <v>#VALUE!</v>
      </c>
      <c r="FN206" t="e">
        <f>AND('STERLING CATALOG - DRY '!D4617,"AAAAAHe/z6k=")</f>
        <v>#VALUE!</v>
      </c>
      <c r="FO206" t="e">
        <f>AND('STERLING CATALOG - DRY '!E4617,"AAAAAHe/z6o=")</f>
        <v>#VALUE!</v>
      </c>
      <c r="FP206" t="e">
        <f>AND('STERLING CATALOG - DRY '!F4617,"AAAAAHe/z6s=")</f>
        <v>#VALUE!</v>
      </c>
      <c r="FQ206" t="e">
        <f>AND('STERLING CATALOG - DRY '!G4617,"AAAAAHe/z6w=")</f>
        <v>#VALUE!</v>
      </c>
      <c r="FR206" t="e">
        <f>AND('STERLING CATALOG - DRY '!H4617,"AAAAAHe/z60=")</f>
        <v>#VALUE!</v>
      </c>
      <c r="FS206" t="e">
        <f>AND('STERLING CATALOG - DRY '!I4617,"AAAAAHe/z64=")</f>
        <v>#VALUE!</v>
      </c>
      <c r="FT206" t="e">
        <f>AND('STERLING CATALOG - DRY '!J4617,"AAAAAHe/z68=")</f>
        <v>#VALUE!</v>
      </c>
      <c r="FU206">
        <f>IF('STERLING CATALOG - DRY '!4618:4618,"AAAAAHe/z7A=",0)</f>
        <v>0</v>
      </c>
      <c r="FV206" t="e">
        <f>AND('STERLING CATALOG - DRY '!A4618,"AAAAAHe/z7E=")</f>
        <v>#VALUE!</v>
      </c>
      <c r="FW206" t="e">
        <f>AND('STERLING CATALOG - DRY '!B4618,"AAAAAHe/z7I=")</f>
        <v>#VALUE!</v>
      </c>
      <c r="FX206" t="e">
        <f>AND('STERLING CATALOG - DRY '!C4618,"AAAAAHe/z7M=")</f>
        <v>#VALUE!</v>
      </c>
      <c r="FY206" t="e">
        <f>AND('STERLING CATALOG - DRY '!D4618,"AAAAAHe/z7Q=")</f>
        <v>#VALUE!</v>
      </c>
      <c r="FZ206" t="e">
        <f>AND('STERLING CATALOG - DRY '!E4618,"AAAAAHe/z7U=")</f>
        <v>#VALUE!</v>
      </c>
      <c r="GA206" t="e">
        <f>AND('STERLING CATALOG - DRY '!F4618,"AAAAAHe/z7Y=")</f>
        <v>#VALUE!</v>
      </c>
      <c r="GB206" t="e">
        <f>AND('STERLING CATALOG - DRY '!G4618,"AAAAAHe/z7c=")</f>
        <v>#VALUE!</v>
      </c>
      <c r="GC206" t="e">
        <f>AND('STERLING CATALOG - DRY '!H4618,"AAAAAHe/z7g=")</f>
        <v>#VALUE!</v>
      </c>
      <c r="GD206" t="e">
        <f>AND('STERLING CATALOG - DRY '!I4618,"AAAAAHe/z7k=")</f>
        <v>#VALUE!</v>
      </c>
      <c r="GE206" t="e">
        <f>AND('STERLING CATALOG - DRY '!J4618,"AAAAAHe/z7o=")</f>
        <v>#VALUE!</v>
      </c>
      <c r="GF206">
        <f>IF('STERLING CATALOG - DRY '!4619:4619,"AAAAAHe/z7s=",0)</f>
        <v>0</v>
      </c>
      <c r="GG206" t="e">
        <f>AND('STERLING CATALOG - DRY '!A4619,"AAAAAHe/z7w=")</f>
        <v>#VALUE!</v>
      </c>
      <c r="GH206" t="e">
        <f>AND('STERLING CATALOG - DRY '!B4619,"AAAAAHe/z70=")</f>
        <v>#VALUE!</v>
      </c>
      <c r="GI206" t="e">
        <f>AND('STERLING CATALOG - DRY '!C4619,"AAAAAHe/z74=")</f>
        <v>#VALUE!</v>
      </c>
      <c r="GJ206" t="e">
        <f>AND('STERLING CATALOG - DRY '!D4619,"AAAAAHe/z78=")</f>
        <v>#VALUE!</v>
      </c>
      <c r="GK206" t="e">
        <f>AND('STERLING CATALOG - DRY '!E4619,"AAAAAHe/z8A=")</f>
        <v>#VALUE!</v>
      </c>
      <c r="GL206" t="e">
        <f>AND('STERLING CATALOG - DRY '!F4619,"AAAAAHe/z8E=")</f>
        <v>#VALUE!</v>
      </c>
      <c r="GM206" t="e">
        <f>AND('STERLING CATALOG - DRY '!G4619,"AAAAAHe/z8I=")</f>
        <v>#VALUE!</v>
      </c>
      <c r="GN206" t="e">
        <f>AND('STERLING CATALOG - DRY '!H4619,"AAAAAHe/z8M=")</f>
        <v>#VALUE!</v>
      </c>
      <c r="GO206" t="e">
        <f>AND('STERLING CATALOG - DRY '!I4619,"AAAAAHe/z8Q=")</f>
        <v>#VALUE!</v>
      </c>
      <c r="GP206" t="e">
        <f>AND('STERLING CATALOG - DRY '!J4619,"AAAAAHe/z8U=")</f>
        <v>#VALUE!</v>
      </c>
      <c r="GQ206">
        <f>IF('STERLING CATALOG - DRY '!4620:4620,"AAAAAHe/z8Y=",0)</f>
        <v>0</v>
      </c>
      <c r="GR206" t="e">
        <f>AND('STERLING CATALOG - DRY '!A4620,"AAAAAHe/z8c=")</f>
        <v>#VALUE!</v>
      </c>
      <c r="GS206" t="e">
        <f>AND('STERLING CATALOG - DRY '!B4620,"AAAAAHe/z8g=")</f>
        <v>#VALUE!</v>
      </c>
      <c r="GT206" t="e">
        <f>AND('STERLING CATALOG - DRY '!C4620,"AAAAAHe/z8k=")</f>
        <v>#VALUE!</v>
      </c>
      <c r="GU206" t="e">
        <f>AND('STERLING CATALOG - DRY '!D4620,"AAAAAHe/z8o=")</f>
        <v>#VALUE!</v>
      </c>
      <c r="GV206" t="e">
        <f>AND('STERLING CATALOG - DRY '!E4620,"AAAAAHe/z8s=")</f>
        <v>#VALUE!</v>
      </c>
      <c r="GW206" t="e">
        <f>AND('STERLING CATALOG - DRY '!F4620,"AAAAAHe/z8w=")</f>
        <v>#VALUE!</v>
      </c>
      <c r="GX206" t="e">
        <f>AND('STERLING CATALOG - DRY '!G4620,"AAAAAHe/z80=")</f>
        <v>#VALUE!</v>
      </c>
      <c r="GY206" t="e">
        <f>AND('STERLING CATALOG - DRY '!H4620,"AAAAAHe/z84=")</f>
        <v>#VALUE!</v>
      </c>
      <c r="GZ206" t="e">
        <f>AND('STERLING CATALOG - DRY '!I4620,"AAAAAHe/z88=")</f>
        <v>#VALUE!</v>
      </c>
      <c r="HA206" t="e">
        <f>AND('STERLING CATALOG - DRY '!J4620,"AAAAAHe/z9A=")</f>
        <v>#VALUE!</v>
      </c>
      <c r="HB206">
        <f>IF('STERLING CATALOG - DRY '!4621:4621,"AAAAAHe/z9E=",0)</f>
        <v>0</v>
      </c>
      <c r="HC206" t="e">
        <f>AND('STERLING CATALOG - DRY '!A4621,"AAAAAHe/z9I=")</f>
        <v>#VALUE!</v>
      </c>
      <c r="HD206" t="e">
        <f>AND('STERLING CATALOG - DRY '!B4621,"AAAAAHe/z9M=")</f>
        <v>#VALUE!</v>
      </c>
      <c r="HE206" t="e">
        <f>AND('STERLING CATALOG - DRY '!C4621,"AAAAAHe/z9Q=")</f>
        <v>#VALUE!</v>
      </c>
      <c r="HF206" t="e">
        <f>AND('STERLING CATALOG - DRY '!D4621,"AAAAAHe/z9U=")</f>
        <v>#VALUE!</v>
      </c>
      <c r="HG206" t="e">
        <f>AND('STERLING CATALOG - DRY '!E4621,"AAAAAHe/z9Y=")</f>
        <v>#VALUE!</v>
      </c>
      <c r="HH206" t="e">
        <f>AND('STERLING CATALOG - DRY '!F4621,"AAAAAHe/z9c=")</f>
        <v>#VALUE!</v>
      </c>
      <c r="HI206" t="e">
        <f>AND('STERLING CATALOG - DRY '!G4621,"AAAAAHe/z9g=")</f>
        <v>#VALUE!</v>
      </c>
      <c r="HJ206" t="e">
        <f>AND('STERLING CATALOG - DRY '!H4621,"AAAAAHe/z9k=")</f>
        <v>#VALUE!</v>
      </c>
      <c r="HK206" t="e">
        <f>AND('STERLING CATALOG - DRY '!I4621,"AAAAAHe/z9o=")</f>
        <v>#VALUE!</v>
      </c>
      <c r="HL206" t="e">
        <f>AND('STERLING CATALOG - DRY '!J4621,"AAAAAHe/z9s=")</f>
        <v>#VALUE!</v>
      </c>
      <c r="HM206">
        <f>IF('STERLING CATALOG - DRY '!4622:4622,"AAAAAHe/z9w=",0)</f>
        <v>0</v>
      </c>
      <c r="HN206" t="e">
        <f>AND('STERLING CATALOG - DRY '!A4622,"AAAAAHe/z90=")</f>
        <v>#VALUE!</v>
      </c>
      <c r="HO206" t="e">
        <f>AND('STERLING CATALOG - DRY '!B4622,"AAAAAHe/z94=")</f>
        <v>#VALUE!</v>
      </c>
      <c r="HP206" t="e">
        <f>AND('STERLING CATALOG - DRY '!C4622,"AAAAAHe/z98=")</f>
        <v>#VALUE!</v>
      </c>
      <c r="HQ206" t="e">
        <f>AND('STERLING CATALOG - DRY '!D4622,"AAAAAHe/z+A=")</f>
        <v>#VALUE!</v>
      </c>
      <c r="HR206" t="e">
        <f>AND('STERLING CATALOG - DRY '!E4622,"AAAAAHe/z+E=")</f>
        <v>#VALUE!</v>
      </c>
      <c r="HS206" t="e">
        <f>AND('STERLING CATALOG - DRY '!F4622,"AAAAAHe/z+I=")</f>
        <v>#VALUE!</v>
      </c>
      <c r="HT206" t="e">
        <f>AND('STERLING CATALOG - DRY '!G4622,"AAAAAHe/z+M=")</f>
        <v>#VALUE!</v>
      </c>
      <c r="HU206" t="e">
        <f>AND('STERLING CATALOG - DRY '!H4622,"AAAAAHe/z+Q=")</f>
        <v>#VALUE!</v>
      </c>
      <c r="HV206" t="e">
        <f>AND('STERLING CATALOG - DRY '!I4622,"AAAAAHe/z+U=")</f>
        <v>#VALUE!</v>
      </c>
      <c r="HW206" t="e">
        <f>AND('STERLING CATALOG - DRY '!J4622,"AAAAAHe/z+Y=")</f>
        <v>#VALUE!</v>
      </c>
      <c r="HX206">
        <f>IF('STERLING CATALOG - DRY '!4623:4623,"AAAAAHe/z+c=",0)</f>
        <v>0</v>
      </c>
      <c r="HY206" t="e">
        <f>AND('STERLING CATALOG - DRY '!A4623,"AAAAAHe/z+g=")</f>
        <v>#VALUE!</v>
      </c>
      <c r="HZ206" t="e">
        <f>AND('STERLING CATALOG - DRY '!B4623,"AAAAAHe/z+k=")</f>
        <v>#VALUE!</v>
      </c>
      <c r="IA206" t="e">
        <f>AND('STERLING CATALOG - DRY '!C4623,"AAAAAHe/z+o=")</f>
        <v>#VALUE!</v>
      </c>
      <c r="IB206" t="e">
        <f>AND('STERLING CATALOG - DRY '!D4623,"AAAAAHe/z+s=")</f>
        <v>#VALUE!</v>
      </c>
      <c r="IC206" t="e">
        <f>AND('STERLING CATALOG - DRY '!E4623,"AAAAAHe/z+w=")</f>
        <v>#VALUE!</v>
      </c>
      <c r="ID206" t="e">
        <f>AND('STERLING CATALOG - DRY '!F4623,"AAAAAHe/z+0=")</f>
        <v>#VALUE!</v>
      </c>
      <c r="IE206" t="e">
        <f>AND('STERLING CATALOG - DRY '!G4623,"AAAAAHe/z+4=")</f>
        <v>#VALUE!</v>
      </c>
      <c r="IF206" t="e">
        <f>AND('STERLING CATALOG - DRY '!H4623,"AAAAAHe/z+8=")</f>
        <v>#VALUE!</v>
      </c>
      <c r="IG206" t="e">
        <f>AND('STERLING CATALOG - DRY '!I4623,"AAAAAHe/z/A=")</f>
        <v>#VALUE!</v>
      </c>
      <c r="IH206" t="e">
        <f>AND('STERLING CATALOG - DRY '!J4623,"AAAAAHe/z/E=")</f>
        <v>#VALUE!</v>
      </c>
      <c r="II206">
        <f>IF('STERLING CATALOG - DRY '!4624:4624,"AAAAAHe/z/I=",0)</f>
        <v>0</v>
      </c>
      <c r="IJ206" t="e">
        <f>AND('STERLING CATALOG - DRY '!A4624,"AAAAAHe/z/M=")</f>
        <v>#VALUE!</v>
      </c>
      <c r="IK206" t="e">
        <f>AND('STERLING CATALOG - DRY '!B4624,"AAAAAHe/z/Q=")</f>
        <v>#VALUE!</v>
      </c>
      <c r="IL206" t="e">
        <f>AND('STERLING CATALOG - DRY '!C4624,"AAAAAHe/z/U=")</f>
        <v>#VALUE!</v>
      </c>
      <c r="IM206" t="e">
        <f>AND('STERLING CATALOG - DRY '!D4624,"AAAAAHe/z/Y=")</f>
        <v>#VALUE!</v>
      </c>
      <c r="IN206" t="e">
        <f>AND('STERLING CATALOG - DRY '!E4624,"AAAAAHe/z/c=")</f>
        <v>#VALUE!</v>
      </c>
      <c r="IO206" t="e">
        <f>AND('STERLING CATALOG - DRY '!F4624,"AAAAAHe/z/g=")</f>
        <v>#VALUE!</v>
      </c>
      <c r="IP206" t="e">
        <f>AND('STERLING CATALOG - DRY '!G4624,"AAAAAHe/z/k=")</f>
        <v>#VALUE!</v>
      </c>
      <c r="IQ206" t="e">
        <f>AND('STERLING CATALOG - DRY '!H4624,"AAAAAHe/z/o=")</f>
        <v>#VALUE!</v>
      </c>
      <c r="IR206" t="e">
        <f>AND('STERLING CATALOG - DRY '!I4624,"AAAAAHe/z/s=")</f>
        <v>#VALUE!</v>
      </c>
      <c r="IS206" t="e">
        <f>AND('STERLING CATALOG - DRY '!J4624,"AAAAAHe/z/w=")</f>
        <v>#VALUE!</v>
      </c>
      <c r="IT206">
        <f>IF('STERLING CATALOG - DRY '!4625:4625,"AAAAAHe/z/0=",0)</f>
        <v>0</v>
      </c>
      <c r="IU206" t="e">
        <f>AND('STERLING CATALOG - DRY '!A4625,"AAAAAHe/z/4=")</f>
        <v>#VALUE!</v>
      </c>
      <c r="IV206" t="e">
        <f>AND('STERLING CATALOG - DRY '!B4625,"AAAAAHe/z/8=")</f>
        <v>#VALUE!</v>
      </c>
    </row>
    <row r="207" spans="1:256">
      <c r="A207" t="e">
        <f>AND('STERLING CATALOG - DRY '!C4625,"AAAAAD8++wA=")</f>
        <v>#VALUE!</v>
      </c>
      <c r="B207" t="e">
        <f>AND('STERLING CATALOG - DRY '!D4625,"AAAAAD8++wE=")</f>
        <v>#VALUE!</v>
      </c>
      <c r="C207" t="e">
        <f>AND('STERLING CATALOG - DRY '!E4625,"AAAAAD8++wI=")</f>
        <v>#VALUE!</v>
      </c>
      <c r="D207" t="e">
        <f>AND('STERLING CATALOG - DRY '!F4625,"AAAAAD8++wM=")</f>
        <v>#VALUE!</v>
      </c>
      <c r="E207" t="e">
        <f>AND('STERLING CATALOG - DRY '!G4625,"AAAAAD8++wQ=")</f>
        <v>#VALUE!</v>
      </c>
      <c r="F207" t="e">
        <f>AND('STERLING CATALOG - DRY '!H4625,"AAAAAD8++wU=")</f>
        <v>#VALUE!</v>
      </c>
      <c r="G207" t="e">
        <f>AND('STERLING CATALOG - DRY '!I4625,"AAAAAD8++wY=")</f>
        <v>#VALUE!</v>
      </c>
      <c r="H207" t="e">
        <f>AND('STERLING CATALOG - DRY '!J4625,"AAAAAD8++wc=")</f>
        <v>#VALUE!</v>
      </c>
      <c r="I207" t="e">
        <f>IF('STERLING CATALOG - DRY '!4626:4626,"AAAAAD8++wg=",0)</f>
        <v>#VALUE!</v>
      </c>
      <c r="J207" t="e">
        <f>AND('STERLING CATALOG - DRY '!A4626,"AAAAAD8++wk=")</f>
        <v>#VALUE!</v>
      </c>
      <c r="K207" t="e">
        <f>AND('STERLING CATALOG - DRY '!B4626,"AAAAAD8++wo=")</f>
        <v>#VALUE!</v>
      </c>
      <c r="L207" t="e">
        <f>AND('STERLING CATALOG - DRY '!C4626,"AAAAAD8++ws=")</f>
        <v>#VALUE!</v>
      </c>
      <c r="M207" t="e">
        <f>AND('STERLING CATALOG - DRY '!D4626,"AAAAAD8++ww=")</f>
        <v>#VALUE!</v>
      </c>
      <c r="N207" t="e">
        <f>AND('STERLING CATALOG - DRY '!E4626,"AAAAAD8++w0=")</f>
        <v>#VALUE!</v>
      </c>
      <c r="O207" t="e">
        <f>AND('STERLING CATALOG - DRY '!F4626,"AAAAAD8++w4=")</f>
        <v>#VALUE!</v>
      </c>
      <c r="P207" t="e">
        <f>AND('STERLING CATALOG - DRY '!G4626,"AAAAAD8++w8=")</f>
        <v>#VALUE!</v>
      </c>
      <c r="Q207" t="e">
        <f>AND('STERLING CATALOG - DRY '!H4626,"AAAAAD8++xA=")</f>
        <v>#VALUE!</v>
      </c>
      <c r="R207" t="e">
        <f>AND('STERLING CATALOG - DRY '!I4626,"AAAAAD8++xE=")</f>
        <v>#VALUE!</v>
      </c>
      <c r="S207" t="e">
        <f>AND('STERLING CATALOG - DRY '!J4626,"AAAAAD8++xI=")</f>
        <v>#VALUE!</v>
      </c>
      <c r="T207">
        <f>IF('STERLING CATALOG - DRY '!4627:4627,"AAAAAD8++xM=",0)</f>
        <v>0</v>
      </c>
      <c r="U207" t="e">
        <f>AND('STERLING CATALOG - DRY '!A4627,"AAAAAD8++xQ=")</f>
        <v>#VALUE!</v>
      </c>
      <c r="V207" t="e">
        <f>AND('STERLING CATALOG - DRY '!B4627,"AAAAAD8++xU=")</f>
        <v>#VALUE!</v>
      </c>
      <c r="W207" t="e">
        <f>AND('STERLING CATALOG - DRY '!C4627,"AAAAAD8++xY=")</f>
        <v>#VALUE!</v>
      </c>
      <c r="X207" t="e">
        <f>AND('STERLING CATALOG - DRY '!D4627,"AAAAAD8++xc=")</f>
        <v>#VALUE!</v>
      </c>
      <c r="Y207" t="e">
        <f>AND('STERLING CATALOG - DRY '!E4627,"AAAAAD8++xg=")</f>
        <v>#VALUE!</v>
      </c>
      <c r="Z207" t="e">
        <f>AND('STERLING CATALOG - DRY '!F4627,"AAAAAD8++xk=")</f>
        <v>#VALUE!</v>
      </c>
      <c r="AA207" t="e">
        <f>AND('STERLING CATALOG - DRY '!G4627,"AAAAAD8++xo=")</f>
        <v>#VALUE!</v>
      </c>
      <c r="AB207" t="e">
        <f>AND('STERLING CATALOG - DRY '!H4627,"AAAAAD8++xs=")</f>
        <v>#VALUE!</v>
      </c>
      <c r="AC207" t="e">
        <f>AND('STERLING CATALOG - DRY '!I4627,"AAAAAD8++xw=")</f>
        <v>#VALUE!</v>
      </c>
      <c r="AD207" t="e">
        <f>AND('STERLING CATALOG - DRY '!J4627,"AAAAAD8++x0=")</f>
        <v>#VALUE!</v>
      </c>
      <c r="AE207">
        <f>IF('STERLING CATALOG - DRY '!4628:4628,"AAAAAD8++x4=",0)</f>
        <v>0</v>
      </c>
      <c r="AF207" t="e">
        <f>AND('STERLING CATALOG - DRY '!A4628,"AAAAAD8++x8=")</f>
        <v>#VALUE!</v>
      </c>
      <c r="AG207" t="e">
        <f>AND('STERLING CATALOG - DRY '!B4628,"AAAAAD8++yA=")</f>
        <v>#VALUE!</v>
      </c>
      <c r="AH207" t="e">
        <f>AND('STERLING CATALOG - DRY '!C4628,"AAAAAD8++yE=")</f>
        <v>#VALUE!</v>
      </c>
      <c r="AI207" t="e">
        <f>AND('STERLING CATALOG - DRY '!D4628,"AAAAAD8++yI=")</f>
        <v>#VALUE!</v>
      </c>
      <c r="AJ207" t="e">
        <f>AND('STERLING CATALOG - DRY '!E4628,"AAAAAD8++yM=")</f>
        <v>#VALUE!</v>
      </c>
      <c r="AK207" t="e">
        <f>AND('STERLING CATALOG - DRY '!F4628,"AAAAAD8++yQ=")</f>
        <v>#VALUE!</v>
      </c>
      <c r="AL207" t="e">
        <f>AND('STERLING CATALOG - DRY '!G4628,"AAAAAD8++yU=")</f>
        <v>#VALUE!</v>
      </c>
      <c r="AM207" t="e">
        <f>AND('STERLING CATALOG - DRY '!H4628,"AAAAAD8++yY=")</f>
        <v>#VALUE!</v>
      </c>
      <c r="AN207" t="e">
        <f>AND('STERLING CATALOG - DRY '!I4628,"AAAAAD8++yc=")</f>
        <v>#VALUE!</v>
      </c>
      <c r="AO207" t="e">
        <f>AND('STERLING CATALOG - DRY '!J4628,"AAAAAD8++yg=")</f>
        <v>#VALUE!</v>
      </c>
      <c r="AP207">
        <f>IF('STERLING CATALOG - DRY '!4629:4629,"AAAAAD8++yk=",0)</f>
        <v>0</v>
      </c>
      <c r="AQ207" t="e">
        <f>AND('STERLING CATALOG - DRY '!A4629,"AAAAAD8++yo=")</f>
        <v>#VALUE!</v>
      </c>
      <c r="AR207" t="e">
        <f>AND('STERLING CATALOG - DRY '!B4629,"AAAAAD8++ys=")</f>
        <v>#VALUE!</v>
      </c>
      <c r="AS207" t="e">
        <f>AND('STERLING CATALOG - DRY '!C4629,"AAAAAD8++yw=")</f>
        <v>#VALUE!</v>
      </c>
      <c r="AT207" t="e">
        <f>AND('STERLING CATALOG - DRY '!D4629,"AAAAAD8++y0=")</f>
        <v>#VALUE!</v>
      </c>
      <c r="AU207" t="e">
        <f>AND('STERLING CATALOG - DRY '!E4629,"AAAAAD8++y4=")</f>
        <v>#VALUE!</v>
      </c>
      <c r="AV207" t="e">
        <f>AND('STERLING CATALOG - DRY '!F4629,"AAAAAD8++y8=")</f>
        <v>#VALUE!</v>
      </c>
      <c r="AW207" t="e">
        <f>AND('STERLING CATALOG - DRY '!G4629,"AAAAAD8++zA=")</f>
        <v>#VALUE!</v>
      </c>
      <c r="AX207" t="e">
        <f>AND('STERLING CATALOG - DRY '!H4629,"AAAAAD8++zE=")</f>
        <v>#VALUE!</v>
      </c>
      <c r="AY207" t="e">
        <f>AND('STERLING CATALOG - DRY '!I4629,"AAAAAD8++zI=")</f>
        <v>#VALUE!</v>
      </c>
      <c r="AZ207" t="e">
        <f>AND('STERLING CATALOG - DRY '!J4629,"AAAAAD8++zM=")</f>
        <v>#VALUE!</v>
      </c>
      <c r="BA207">
        <f>IF('STERLING CATALOG - DRY '!4630:4630,"AAAAAD8++zQ=",0)</f>
        <v>0</v>
      </c>
      <c r="BB207" t="e">
        <f>AND('STERLING CATALOG - DRY '!A4630,"AAAAAD8++zU=")</f>
        <v>#VALUE!</v>
      </c>
      <c r="BC207" t="e">
        <f>AND('STERLING CATALOG - DRY '!B4630,"AAAAAD8++zY=")</f>
        <v>#VALUE!</v>
      </c>
      <c r="BD207" t="e">
        <f>AND('STERLING CATALOG - DRY '!C4630,"AAAAAD8++zc=")</f>
        <v>#VALUE!</v>
      </c>
      <c r="BE207" t="e">
        <f>AND('STERLING CATALOG - DRY '!D4630,"AAAAAD8++zg=")</f>
        <v>#VALUE!</v>
      </c>
      <c r="BF207" t="e">
        <f>AND('STERLING CATALOG - DRY '!E4630,"AAAAAD8++zk=")</f>
        <v>#VALUE!</v>
      </c>
      <c r="BG207" t="e">
        <f>AND('STERLING CATALOG - DRY '!F4630,"AAAAAD8++zo=")</f>
        <v>#VALUE!</v>
      </c>
      <c r="BH207" t="e">
        <f>AND('STERLING CATALOG - DRY '!G4630,"AAAAAD8++zs=")</f>
        <v>#VALUE!</v>
      </c>
      <c r="BI207" t="e">
        <f>AND('STERLING CATALOG - DRY '!H4630,"AAAAAD8++zw=")</f>
        <v>#VALUE!</v>
      </c>
      <c r="BJ207" t="e">
        <f>AND('STERLING CATALOG - DRY '!I4630,"AAAAAD8++z0=")</f>
        <v>#VALUE!</v>
      </c>
      <c r="BK207" t="e">
        <f>AND('STERLING CATALOG - DRY '!J4630,"AAAAAD8++z4=")</f>
        <v>#VALUE!</v>
      </c>
      <c r="BL207">
        <f>IF('STERLING CATALOG - DRY '!4631:4631,"AAAAAD8++z8=",0)</f>
        <v>0</v>
      </c>
      <c r="BM207" t="e">
        <f>AND('STERLING CATALOG - DRY '!A4631,"AAAAAD8++0A=")</f>
        <v>#VALUE!</v>
      </c>
      <c r="BN207" t="e">
        <f>AND('STERLING CATALOG - DRY '!B4631,"AAAAAD8++0E=")</f>
        <v>#VALUE!</v>
      </c>
      <c r="BO207" t="e">
        <f>AND('STERLING CATALOG - DRY '!C4631,"AAAAAD8++0I=")</f>
        <v>#VALUE!</v>
      </c>
      <c r="BP207" t="e">
        <f>AND('STERLING CATALOG - DRY '!D4631,"AAAAAD8++0M=")</f>
        <v>#VALUE!</v>
      </c>
      <c r="BQ207" t="e">
        <f>AND('STERLING CATALOG - DRY '!E4631,"AAAAAD8++0Q=")</f>
        <v>#VALUE!</v>
      </c>
      <c r="BR207" t="e">
        <f>AND('STERLING CATALOG - DRY '!F4631,"AAAAAD8++0U=")</f>
        <v>#VALUE!</v>
      </c>
      <c r="BS207" t="e">
        <f>AND('STERLING CATALOG - DRY '!G4631,"AAAAAD8++0Y=")</f>
        <v>#VALUE!</v>
      </c>
      <c r="BT207" t="e">
        <f>AND('STERLING CATALOG - DRY '!H4631,"AAAAAD8++0c=")</f>
        <v>#VALUE!</v>
      </c>
      <c r="BU207" t="e">
        <f>AND('STERLING CATALOG - DRY '!I4631,"AAAAAD8++0g=")</f>
        <v>#VALUE!</v>
      </c>
      <c r="BV207" t="e">
        <f>AND('STERLING CATALOG - DRY '!J4631,"AAAAAD8++0k=")</f>
        <v>#VALUE!</v>
      </c>
      <c r="BW207">
        <f>IF('STERLING CATALOG - DRY '!4632:4632,"AAAAAD8++0o=",0)</f>
        <v>0</v>
      </c>
      <c r="BX207" t="e">
        <f>AND('STERLING CATALOG - DRY '!A4632,"AAAAAD8++0s=")</f>
        <v>#VALUE!</v>
      </c>
      <c r="BY207" t="e">
        <f>AND('STERLING CATALOG - DRY '!B4632,"AAAAAD8++0w=")</f>
        <v>#VALUE!</v>
      </c>
      <c r="BZ207" t="e">
        <f>AND('STERLING CATALOG - DRY '!C4632,"AAAAAD8++00=")</f>
        <v>#VALUE!</v>
      </c>
      <c r="CA207" t="e">
        <f>AND('STERLING CATALOG - DRY '!D4632,"AAAAAD8++04=")</f>
        <v>#VALUE!</v>
      </c>
      <c r="CB207" t="e">
        <f>AND('STERLING CATALOG - DRY '!E4632,"AAAAAD8++08=")</f>
        <v>#VALUE!</v>
      </c>
      <c r="CC207" t="e">
        <f>AND('STERLING CATALOG - DRY '!F4632,"AAAAAD8++1A=")</f>
        <v>#VALUE!</v>
      </c>
      <c r="CD207" t="e">
        <f>AND('STERLING CATALOG - DRY '!G4632,"AAAAAD8++1E=")</f>
        <v>#VALUE!</v>
      </c>
      <c r="CE207" t="e">
        <f>AND('STERLING CATALOG - DRY '!H4632,"AAAAAD8++1I=")</f>
        <v>#VALUE!</v>
      </c>
      <c r="CF207" t="e">
        <f>AND('STERLING CATALOG - DRY '!I4632,"AAAAAD8++1M=")</f>
        <v>#VALUE!</v>
      </c>
      <c r="CG207" t="e">
        <f>AND('STERLING CATALOG - DRY '!J4632,"AAAAAD8++1Q=")</f>
        <v>#VALUE!</v>
      </c>
      <c r="CH207">
        <f>IF('STERLING CATALOG - DRY '!4633:4633,"AAAAAD8++1U=",0)</f>
        <v>0</v>
      </c>
      <c r="CI207" t="e">
        <f>AND('STERLING CATALOG - DRY '!A4633,"AAAAAD8++1Y=")</f>
        <v>#VALUE!</v>
      </c>
      <c r="CJ207" t="e">
        <f>AND('STERLING CATALOG - DRY '!B4633,"AAAAAD8++1c=")</f>
        <v>#VALUE!</v>
      </c>
      <c r="CK207" t="e">
        <f>AND('STERLING CATALOG - DRY '!C4633,"AAAAAD8++1g=")</f>
        <v>#VALUE!</v>
      </c>
      <c r="CL207" t="e">
        <f>AND('STERLING CATALOG - DRY '!D4633,"AAAAAD8++1k=")</f>
        <v>#VALUE!</v>
      </c>
      <c r="CM207" t="e">
        <f>AND('STERLING CATALOG - DRY '!E4633,"AAAAAD8++1o=")</f>
        <v>#VALUE!</v>
      </c>
      <c r="CN207" t="e">
        <f>AND('STERLING CATALOG - DRY '!F4633,"AAAAAD8++1s=")</f>
        <v>#VALUE!</v>
      </c>
      <c r="CO207" t="e">
        <f>AND('STERLING CATALOG - DRY '!G4633,"AAAAAD8++1w=")</f>
        <v>#VALUE!</v>
      </c>
      <c r="CP207" t="e">
        <f>AND('STERLING CATALOG - DRY '!H4633,"AAAAAD8++10=")</f>
        <v>#VALUE!</v>
      </c>
      <c r="CQ207" t="e">
        <f>AND('STERLING CATALOG - DRY '!I4633,"AAAAAD8++14=")</f>
        <v>#VALUE!</v>
      </c>
      <c r="CR207" t="e">
        <f>AND('STERLING CATALOG - DRY '!J4633,"AAAAAD8++18=")</f>
        <v>#VALUE!</v>
      </c>
      <c r="CS207">
        <f>IF('STERLING CATALOG - DRY '!4634:4634,"AAAAAD8++2A=",0)</f>
        <v>0</v>
      </c>
      <c r="CT207" t="e">
        <f>AND('STERLING CATALOG - DRY '!A4634,"AAAAAD8++2E=")</f>
        <v>#VALUE!</v>
      </c>
      <c r="CU207" t="e">
        <f>AND('STERLING CATALOG - DRY '!B4634,"AAAAAD8++2I=")</f>
        <v>#VALUE!</v>
      </c>
      <c r="CV207" t="e">
        <f>AND('STERLING CATALOG - DRY '!C4634,"AAAAAD8++2M=")</f>
        <v>#VALUE!</v>
      </c>
      <c r="CW207" t="e">
        <f>AND('STERLING CATALOG - DRY '!D4634,"AAAAAD8++2Q=")</f>
        <v>#VALUE!</v>
      </c>
      <c r="CX207" t="e">
        <f>AND('STERLING CATALOG - DRY '!E4634,"AAAAAD8++2U=")</f>
        <v>#VALUE!</v>
      </c>
      <c r="CY207" t="e">
        <f>AND('STERLING CATALOG - DRY '!F4634,"AAAAAD8++2Y=")</f>
        <v>#VALUE!</v>
      </c>
      <c r="CZ207" t="e">
        <f>AND('STERLING CATALOG - DRY '!G4634,"AAAAAD8++2c=")</f>
        <v>#VALUE!</v>
      </c>
      <c r="DA207" t="e">
        <f>AND('STERLING CATALOG - DRY '!H4634,"AAAAAD8++2g=")</f>
        <v>#VALUE!</v>
      </c>
      <c r="DB207" t="e">
        <f>AND('STERLING CATALOG - DRY '!I4634,"AAAAAD8++2k=")</f>
        <v>#VALUE!</v>
      </c>
      <c r="DC207" t="e">
        <f>AND('STERLING CATALOG - DRY '!J4634,"AAAAAD8++2o=")</f>
        <v>#VALUE!</v>
      </c>
      <c r="DD207">
        <f>IF('STERLING CATALOG - DRY '!4635:4635,"AAAAAD8++2s=",0)</f>
        <v>0</v>
      </c>
      <c r="DE207" t="e">
        <f>AND('STERLING CATALOG - DRY '!A4635,"AAAAAD8++2w=")</f>
        <v>#VALUE!</v>
      </c>
      <c r="DF207" t="e">
        <f>AND('STERLING CATALOG - DRY '!B4635,"AAAAAD8++20=")</f>
        <v>#VALUE!</v>
      </c>
      <c r="DG207" t="e">
        <f>AND('STERLING CATALOG - DRY '!C4635,"AAAAAD8++24=")</f>
        <v>#VALUE!</v>
      </c>
      <c r="DH207" t="e">
        <f>AND('STERLING CATALOG - DRY '!D4635,"AAAAAD8++28=")</f>
        <v>#VALUE!</v>
      </c>
      <c r="DI207" t="e">
        <f>AND('STERLING CATALOG - DRY '!E4635,"AAAAAD8++3A=")</f>
        <v>#VALUE!</v>
      </c>
      <c r="DJ207" t="e">
        <f>AND('STERLING CATALOG - DRY '!F4635,"AAAAAD8++3E=")</f>
        <v>#VALUE!</v>
      </c>
      <c r="DK207" t="e">
        <f>AND('STERLING CATALOG - DRY '!G4635,"AAAAAD8++3I=")</f>
        <v>#VALUE!</v>
      </c>
      <c r="DL207" t="e">
        <f>AND('STERLING CATALOG - DRY '!H4635,"AAAAAD8++3M=")</f>
        <v>#VALUE!</v>
      </c>
      <c r="DM207" t="e">
        <f>AND('STERLING CATALOG - DRY '!I4635,"AAAAAD8++3Q=")</f>
        <v>#VALUE!</v>
      </c>
      <c r="DN207" t="e">
        <f>AND('STERLING CATALOG - DRY '!J4635,"AAAAAD8++3U=")</f>
        <v>#VALUE!</v>
      </c>
      <c r="DO207">
        <f>IF('STERLING CATALOG - DRY '!4636:4636,"AAAAAD8++3Y=",0)</f>
        <v>0</v>
      </c>
      <c r="DP207" t="e">
        <f>AND('STERLING CATALOG - DRY '!A4636,"AAAAAD8++3c=")</f>
        <v>#VALUE!</v>
      </c>
      <c r="DQ207" t="e">
        <f>AND('STERLING CATALOG - DRY '!B4636,"AAAAAD8++3g=")</f>
        <v>#VALUE!</v>
      </c>
      <c r="DR207" t="e">
        <f>AND('STERLING CATALOG - DRY '!C4636,"AAAAAD8++3k=")</f>
        <v>#VALUE!</v>
      </c>
      <c r="DS207" t="e">
        <f>AND('STERLING CATALOG - DRY '!D4636,"AAAAAD8++3o=")</f>
        <v>#VALUE!</v>
      </c>
      <c r="DT207" t="e">
        <f>AND('STERLING CATALOG - DRY '!E4636,"AAAAAD8++3s=")</f>
        <v>#VALUE!</v>
      </c>
      <c r="DU207" t="e">
        <f>AND('STERLING CATALOG - DRY '!F4636,"AAAAAD8++3w=")</f>
        <v>#VALUE!</v>
      </c>
      <c r="DV207" t="e">
        <f>AND('STERLING CATALOG - DRY '!G4636,"AAAAAD8++30=")</f>
        <v>#VALUE!</v>
      </c>
      <c r="DW207" t="e">
        <f>AND('STERLING CATALOG - DRY '!H4636,"AAAAAD8++34=")</f>
        <v>#VALUE!</v>
      </c>
      <c r="DX207" t="e">
        <f>AND('STERLING CATALOG - DRY '!I4636,"AAAAAD8++38=")</f>
        <v>#VALUE!</v>
      </c>
      <c r="DY207" t="e">
        <f>AND('STERLING CATALOG - DRY '!J4636,"AAAAAD8++4A=")</f>
        <v>#VALUE!</v>
      </c>
      <c r="DZ207">
        <f>IF('STERLING CATALOG - DRY '!4637:4637,"AAAAAD8++4E=",0)</f>
        <v>0</v>
      </c>
      <c r="EA207" t="e">
        <f>AND('STERLING CATALOG - DRY '!A4637,"AAAAAD8++4I=")</f>
        <v>#VALUE!</v>
      </c>
      <c r="EB207" t="e">
        <f>AND('STERLING CATALOG - DRY '!B4637,"AAAAAD8++4M=")</f>
        <v>#VALUE!</v>
      </c>
      <c r="EC207" t="e">
        <f>AND('STERLING CATALOG - DRY '!C4637,"AAAAAD8++4Q=")</f>
        <v>#VALUE!</v>
      </c>
      <c r="ED207" t="e">
        <f>AND('STERLING CATALOG - DRY '!D4637,"AAAAAD8++4U=")</f>
        <v>#VALUE!</v>
      </c>
      <c r="EE207" t="e">
        <f>AND('STERLING CATALOG - DRY '!E4637,"AAAAAD8++4Y=")</f>
        <v>#VALUE!</v>
      </c>
      <c r="EF207" t="e">
        <f>AND('STERLING CATALOG - DRY '!F4637,"AAAAAD8++4c=")</f>
        <v>#VALUE!</v>
      </c>
      <c r="EG207" t="e">
        <f>AND('STERLING CATALOG - DRY '!G4637,"AAAAAD8++4g=")</f>
        <v>#VALUE!</v>
      </c>
      <c r="EH207" t="e">
        <f>AND('STERLING CATALOG - DRY '!H4637,"AAAAAD8++4k=")</f>
        <v>#VALUE!</v>
      </c>
      <c r="EI207" t="e">
        <f>AND('STERLING CATALOG - DRY '!I4637,"AAAAAD8++4o=")</f>
        <v>#VALUE!</v>
      </c>
      <c r="EJ207" t="e">
        <f>AND('STERLING CATALOG - DRY '!J4637,"AAAAAD8++4s=")</f>
        <v>#VALUE!</v>
      </c>
      <c r="EK207">
        <f>IF('STERLING CATALOG - DRY '!4638:4638,"AAAAAD8++4w=",0)</f>
        <v>0</v>
      </c>
      <c r="EL207" t="e">
        <f>AND('STERLING CATALOG - DRY '!A4638,"AAAAAD8++40=")</f>
        <v>#VALUE!</v>
      </c>
      <c r="EM207" t="e">
        <f>AND('STERLING CATALOG - DRY '!B4638,"AAAAAD8++44=")</f>
        <v>#VALUE!</v>
      </c>
      <c r="EN207" t="e">
        <f>AND('STERLING CATALOG - DRY '!C4638,"AAAAAD8++48=")</f>
        <v>#VALUE!</v>
      </c>
      <c r="EO207" t="e">
        <f>AND('STERLING CATALOG - DRY '!D4638,"AAAAAD8++5A=")</f>
        <v>#VALUE!</v>
      </c>
      <c r="EP207" t="e">
        <f>AND('STERLING CATALOG - DRY '!E4638,"AAAAAD8++5E=")</f>
        <v>#VALUE!</v>
      </c>
      <c r="EQ207" t="e">
        <f>AND('STERLING CATALOG - DRY '!F4638,"AAAAAD8++5I=")</f>
        <v>#VALUE!</v>
      </c>
      <c r="ER207" t="e">
        <f>AND('STERLING CATALOG - DRY '!G4638,"AAAAAD8++5M=")</f>
        <v>#VALUE!</v>
      </c>
      <c r="ES207" t="e">
        <f>AND('STERLING CATALOG - DRY '!H4638,"AAAAAD8++5Q=")</f>
        <v>#VALUE!</v>
      </c>
      <c r="ET207" t="e">
        <f>AND('STERLING CATALOG - DRY '!I4638,"AAAAAD8++5U=")</f>
        <v>#VALUE!</v>
      </c>
      <c r="EU207" t="e">
        <f>AND('STERLING CATALOG - DRY '!J4638,"AAAAAD8++5Y=")</f>
        <v>#VALUE!</v>
      </c>
      <c r="EV207">
        <f>IF('STERLING CATALOG - DRY '!4639:4639,"AAAAAD8++5c=",0)</f>
        <v>0</v>
      </c>
      <c r="EW207" t="e">
        <f>AND('STERLING CATALOG - DRY '!A4639,"AAAAAD8++5g=")</f>
        <v>#VALUE!</v>
      </c>
      <c r="EX207" t="e">
        <f>AND('STERLING CATALOG - DRY '!B4639,"AAAAAD8++5k=")</f>
        <v>#VALUE!</v>
      </c>
      <c r="EY207" t="e">
        <f>AND('STERLING CATALOG - DRY '!C4639,"AAAAAD8++5o=")</f>
        <v>#VALUE!</v>
      </c>
      <c r="EZ207" t="e">
        <f>AND('STERLING CATALOG - DRY '!D4639,"AAAAAD8++5s=")</f>
        <v>#VALUE!</v>
      </c>
      <c r="FA207" t="e">
        <f>AND('STERLING CATALOG - DRY '!E4639,"AAAAAD8++5w=")</f>
        <v>#VALUE!</v>
      </c>
      <c r="FB207" t="e">
        <f>AND('STERLING CATALOG - DRY '!F4639,"AAAAAD8++50=")</f>
        <v>#VALUE!</v>
      </c>
      <c r="FC207" t="e">
        <f>AND('STERLING CATALOG - DRY '!G4639,"AAAAAD8++54=")</f>
        <v>#VALUE!</v>
      </c>
      <c r="FD207" t="e">
        <f>AND('STERLING CATALOG - DRY '!H4639,"AAAAAD8++58=")</f>
        <v>#VALUE!</v>
      </c>
      <c r="FE207" t="e">
        <f>AND('STERLING CATALOG - DRY '!I4639,"AAAAAD8++6A=")</f>
        <v>#VALUE!</v>
      </c>
      <c r="FF207" t="e">
        <f>AND('STERLING CATALOG - DRY '!J4639,"AAAAAD8++6E=")</f>
        <v>#VALUE!</v>
      </c>
      <c r="FG207">
        <f>IF('STERLING CATALOG - DRY '!4640:4640,"AAAAAD8++6I=",0)</f>
        <v>0</v>
      </c>
      <c r="FH207" t="e">
        <f>AND('STERLING CATALOG - DRY '!A4640,"AAAAAD8++6M=")</f>
        <v>#VALUE!</v>
      </c>
      <c r="FI207" t="e">
        <f>AND('STERLING CATALOG - DRY '!B4640,"AAAAAD8++6Q=")</f>
        <v>#VALUE!</v>
      </c>
      <c r="FJ207" t="e">
        <f>AND('STERLING CATALOG - DRY '!C4640,"AAAAAD8++6U=")</f>
        <v>#VALUE!</v>
      </c>
      <c r="FK207" t="e">
        <f>AND('STERLING CATALOG - DRY '!D4640,"AAAAAD8++6Y=")</f>
        <v>#VALUE!</v>
      </c>
      <c r="FL207" t="e">
        <f>AND('STERLING CATALOG - DRY '!E4640,"AAAAAD8++6c=")</f>
        <v>#VALUE!</v>
      </c>
      <c r="FM207" t="e">
        <f>AND('STERLING CATALOG - DRY '!F4640,"AAAAAD8++6g=")</f>
        <v>#VALUE!</v>
      </c>
      <c r="FN207" t="e">
        <f>AND('STERLING CATALOG - DRY '!G4640,"AAAAAD8++6k=")</f>
        <v>#VALUE!</v>
      </c>
      <c r="FO207" t="e">
        <f>AND('STERLING CATALOG - DRY '!H4640,"AAAAAD8++6o=")</f>
        <v>#VALUE!</v>
      </c>
      <c r="FP207" t="e">
        <f>AND('STERLING CATALOG - DRY '!I4640,"AAAAAD8++6s=")</f>
        <v>#VALUE!</v>
      </c>
      <c r="FQ207" t="e">
        <f>AND('STERLING CATALOG - DRY '!J4640,"AAAAAD8++6w=")</f>
        <v>#VALUE!</v>
      </c>
      <c r="FR207">
        <f>IF('STERLING CATALOG - DRY '!4641:4641,"AAAAAD8++60=",0)</f>
        <v>0</v>
      </c>
      <c r="FS207" t="e">
        <f>AND('STERLING CATALOG - DRY '!A4641,"AAAAAD8++64=")</f>
        <v>#VALUE!</v>
      </c>
      <c r="FT207" t="e">
        <f>AND('STERLING CATALOG - DRY '!B4641,"AAAAAD8++68=")</f>
        <v>#VALUE!</v>
      </c>
      <c r="FU207" t="e">
        <f>AND('STERLING CATALOG - DRY '!C4641,"AAAAAD8++7A=")</f>
        <v>#VALUE!</v>
      </c>
      <c r="FV207" t="e">
        <f>AND('STERLING CATALOG - DRY '!D4641,"AAAAAD8++7E=")</f>
        <v>#VALUE!</v>
      </c>
      <c r="FW207" t="e">
        <f>AND('STERLING CATALOG - DRY '!E4641,"AAAAAD8++7I=")</f>
        <v>#VALUE!</v>
      </c>
      <c r="FX207" t="e">
        <f>AND('STERLING CATALOG - DRY '!F4641,"AAAAAD8++7M=")</f>
        <v>#VALUE!</v>
      </c>
      <c r="FY207" t="e">
        <f>AND('STERLING CATALOG - DRY '!G4641,"AAAAAD8++7Q=")</f>
        <v>#VALUE!</v>
      </c>
      <c r="FZ207" t="e">
        <f>AND('STERLING CATALOG - DRY '!H4641,"AAAAAD8++7U=")</f>
        <v>#VALUE!</v>
      </c>
      <c r="GA207" t="e">
        <f>AND('STERLING CATALOG - DRY '!I4641,"AAAAAD8++7Y=")</f>
        <v>#VALUE!</v>
      </c>
      <c r="GB207" t="e">
        <f>AND('STERLING CATALOG - DRY '!J4641,"AAAAAD8++7c=")</f>
        <v>#VALUE!</v>
      </c>
      <c r="GC207">
        <f>IF('STERLING CATALOG - DRY '!4642:4642,"AAAAAD8++7g=",0)</f>
        <v>0</v>
      </c>
      <c r="GD207" t="e">
        <f>AND('STERLING CATALOG - DRY '!A4642,"AAAAAD8++7k=")</f>
        <v>#VALUE!</v>
      </c>
      <c r="GE207" t="e">
        <f>AND('STERLING CATALOG - DRY '!B4642,"AAAAAD8++7o=")</f>
        <v>#VALUE!</v>
      </c>
      <c r="GF207" t="e">
        <f>AND('STERLING CATALOG - DRY '!C4642,"AAAAAD8++7s=")</f>
        <v>#VALUE!</v>
      </c>
      <c r="GG207" t="e">
        <f>AND('STERLING CATALOG - DRY '!D4642,"AAAAAD8++7w=")</f>
        <v>#VALUE!</v>
      </c>
      <c r="GH207" t="e">
        <f>AND('STERLING CATALOG - DRY '!E4642,"AAAAAD8++70=")</f>
        <v>#VALUE!</v>
      </c>
      <c r="GI207" t="e">
        <f>AND('STERLING CATALOG - DRY '!F4642,"AAAAAD8++74=")</f>
        <v>#VALUE!</v>
      </c>
      <c r="GJ207" t="e">
        <f>AND('STERLING CATALOG - DRY '!G4642,"AAAAAD8++78=")</f>
        <v>#VALUE!</v>
      </c>
      <c r="GK207" t="e">
        <f>AND('STERLING CATALOG - DRY '!H4642,"AAAAAD8++8A=")</f>
        <v>#VALUE!</v>
      </c>
      <c r="GL207" t="e">
        <f>AND('STERLING CATALOG - DRY '!I4642,"AAAAAD8++8E=")</f>
        <v>#VALUE!</v>
      </c>
      <c r="GM207" t="e">
        <f>AND('STERLING CATALOG - DRY '!J4642,"AAAAAD8++8I=")</f>
        <v>#VALUE!</v>
      </c>
      <c r="GN207">
        <f>IF('STERLING CATALOG - DRY '!4643:4643,"AAAAAD8++8M=",0)</f>
        <v>0</v>
      </c>
      <c r="GO207" t="e">
        <f>AND('STERLING CATALOG - DRY '!A4643,"AAAAAD8++8Q=")</f>
        <v>#VALUE!</v>
      </c>
      <c r="GP207" t="e">
        <f>AND('STERLING CATALOG - DRY '!B4643,"AAAAAD8++8U=")</f>
        <v>#VALUE!</v>
      </c>
      <c r="GQ207" t="e">
        <f>AND('STERLING CATALOG - DRY '!C4643,"AAAAAD8++8Y=")</f>
        <v>#VALUE!</v>
      </c>
      <c r="GR207" t="e">
        <f>AND('STERLING CATALOG - DRY '!D4643,"AAAAAD8++8c=")</f>
        <v>#VALUE!</v>
      </c>
      <c r="GS207" t="e">
        <f>AND('STERLING CATALOG - DRY '!E4643,"AAAAAD8++8g=")</f>
        <v>#VALUE!</v>
      </c>
      <c r="GT207" t="e">
        <f>AND('STERLING CATALOG - DRY '!F4643,"AAAAAD8++8k=")</f>
        <v>#VALUE!</v>
      </c>
      <c r="GU207" t="e">
        <f>AND('STERLING CATALOG - DRY '!G4643,"AAAAAD8++8o=")</f>
        <v>#VALUE!</v>
      </c>
      <c r="GV207" t="e">
        <f>AND('STERLING CATALOG - DRY '!H4643,"AAAAAD8++8s=")</f>
        <v>#VALUE!</v>
      </c>
      <c r="GW207" t="e">
        <f>AND('STERLING CATALOG - DRY '!I4643,"AAAAAD8++8w=")</f>
        <v>#VALUE!</v>
      </c>
      <c r="GX207" t="e">
        <f>AND('STERLING CATALOG - DRY '!J4643,"AAAAAD8++80=")</f>
        <v>#VALUE!</v>
      </c>
      <c r="GY207">
        <f>IF('STERLING CATALOG - DRY '!4644:4644,"AAAAAD8++84=",0)</f>
        <v>0</v>
      </c>
      <c r="GZ207" t="e">
        <f>AND('STERLING CATALOG - DRY '!A4644,"AAAAAD8++88=")</f>
        <v>#VALUE!</v>
      </c>
      <c r="HA207" t="e">
        <f>AND('STERLING CATALOG - DRY '!B4644,"AAAAAD8++9A=")</f>
        <v>#VALUE!</v>
      </c>
      <c r="HB207" t="e">
        <f>AND('STERLING CATALOG - DRY '!C4644,"AAAAAD8++9E=")</f>
        <v>#VALUE!</v>
      </c>
      <c r="HC207" t="e">
        <f>AND('STERLING CATALOG - DRY '!D4644,"AAAAAD8++9I=")</f>
        <v>#VALUE!</v>
      </c>
      <c r="HD207" t="e">
        <f>AND('STERLING CATALOG - DRY '!E4644,"AAAAAD8++9M=")</f>
        <v>#VALUE!</v>
      </c>
      <c r="HE207" t="e">
        <f>AND('STERLING CATALOG - DRY '!F4644,"AAAAAD8++9Q=")</f>
        <v>#VALUE!</v>
      </c>
      <c r="HF207" t="e">
        <f>AND('STERLING CATALOG - DRY '!G4644,"AAAAAD8++9U=")</f>
        <v>#VALUE!</v>
      </c>
      <c r="HG207" t="e">
        <f>AND('STERLING CATALOG - DRY '!H4644,"AAAAAD8++9Y=")</f>
        <v>#VALUE!</v>
      </c>
      <c r="HH207" t="e">
        <f>AND('STERLING CATALOG - DRY '!I4644,"AAAAAD8++9c=")</f>
        <v>#VALUE!</v>
      </c>
      <c r="HI207" t="e">
        <f>AND('STERLING CATALOG - DRY '!J4644,"AAAAAD8++9g=")</f>
        <v>#VALUE!</v>
      </c>
      <c r="HJ207">
        <f>IF('STERLING CATALOG - DRY '!4645:4645,"AAAAAD8++9k=",0)</f>
        <v>0</v>
      </c>
      <c r="HK207" t="e">
        <f>AND('STERLING CATALOG - DRY '!A4645,"AAAAAD8++9o=")</f>
        <v>#VALUE!</v>
      </c>
      <c r="HL207" t="e">
        <f>AND('STERLING CATALOG - DRY '!B4645,"AAAAAD8++9s=")</f>
        <v>#VALUE!</v>
      </c>
      <c r="HM207" t="e">
        <f>AND('STERLING CATALOG - DRY '!C4645,"AAAAAD8++9w=")</f>
        <v>#VALUE!</v>
      </c>
      <c r="HN207" t="e">
        <f>AND('STERLING CATALOG - DRY '!D4645,"AAAAAD8++90=")</f>
        <v>#VALUE!</v>
      </c>
      <c r="HO207" t="e">
        <f>AND('STERLING CATALOG - DRY '!E4645,"AAAAAD8++94=")</f>
        <v>#VALUE!</v>
      </c>
      <c r="HP207" t="e">
        <f>AND('STERLING CATALOG - DRY '!F4645,"AAAAAD8++98=")</f>
        <v>#VALUE!</v>
      </c>
      <c r="HQ207" t="e">
        <f>AND('STERLING CATALOG - DRY '!G4645,"AAAAAD8+++A=")</f>
        <v>#VALUE!</v>
      </c>
      <c r="HR207" t="e">
        <f>AND('STERLING CATALOG - DRY '!H4645,"AAAAAD8+++E=")</f>
        <v>#VALUE!</v>
      </c>
      <c r="HS207" t="e">
        <f>AND('STERLING CATALOG - DRY '!I4645,"AAAAAD8+++I=")</f>
        <v>#VALUE!</v>
      </c>
      <c r="HT207" t="e">
        <f>AND('STERLING CATALOG - DRY '!J4645,"AAAAAD8+++M=")</f>
        <v>#VALUE!</v>
      </c>
      <c r="HU207">
        <f>IF('STERLING CATALOG - DRY '!4646:4646,"AAAAAD8+++Q=",0)</f>
        <v>0</v>
      </c>
      <c r="HV207" t="e">
        <f>AND('STERLING CATALOG - DRY '!A4646,"AAAAAD8+++U=")</f>
        <v>#VALUE!</v>
      </c>
      <c r="HW207" t="e">
        <f>AND('STERLING CATALOG - DRY '!B4646,"AAAAAD8+++Y=")</f>
        <v>#VALUE!</v>
      </c>
      <c r="HX207" t="e">
        <f>AND('STERLING CATALOG - DRY '!C4646,"AAAAAD8+++c=")</f>
        <v>#VALUE!</v>
      </c>
      <c r="HY207" t="e">
        <f>AND('STERLING CATALOG - DRY '!D4646,"AAAAAD8+++g=")</f>
        <v>#VALUE!</v>
      </c>
      <c r="HZ207" t="e">
        <f>AND('STERLING CATALOG - DRY '!E4646,"AAAAAD8+++k=")</f>
        <v>#VALUE!</v>
      </c>
      <c r="IA207" t="e">
        <f>AND('STERLING CATALOG - DRY '!F4646,"AAAAAD8+++o=")</f>
        <v>#VALUE!</v>
      </c>
      <c r="IB207" t="e">
        <f>AND('STERLING CATALOG - DRY '!G4646,"AAAAAD8+++s=")</f>
        <v>#VALUE!</v>
      </c>
      <c r="IC207" t="e">
        <f>AND('STERLING CATALOG - DRY '!H4646,"AAAAAD8+++w=")</f>
        <v>#VALUE!</v>
      </c>
      <c r="ID207" t="e">
        <f>AND('STERLING CATALOG - DRY '!I4646,"AAAAAD8+++0=")</f>
        <v>#VALUE!</v>
      </c>
      <c r="IE207" t="e">
        <f>AND('STERLING CATALOG - DRY '!J4646,"AAAAAD8+++4=")</f>
        <v>#VALUE!</v>
      </c>
      <c r="IF207">
        <f>IF('STERLING CATALOG - DRY '!4647:4647,"AAAAAD8+++8=",0)</f>
        <v>0</v>
      </c>
      <c r="IG207" t="e">
        <f>AND('STERLING CATALOG - DRY '!A4647,"AAAAAD8++/A=")</f>
        <v>#VALUE!</v>
      </c>
      <c r="IH207" t="e">
        <f>AND('STERLING CATALOG - DRY '!B4647,"AAAAAD8++/E=")</f>
        <v>#VALUE!</v>
      </c>
      <c r="II207" t="e">
        <f>AND('STERLING CATALOG - DRY '!C4647,"AAAAAD8++/I=")</f>
        <v>#VALUE!</v>
      </c>
      <c r="IJ207" t="e">
        <f>AND('STERLING CATALOG - DRY '!D4647,"AAAAAD8++/M=")</f>
        <v>#VALUE!</v>
      </c>
      <c r="IK207" t="e">
        <f>AND('STERLING CATALOG - DRY '!E4647,"AAAAAD8++/Q=")</f>
        <v>#VALUE!</v>
      </c>
      <c r="IL207" t="e">
        <f>AND('STERLING CATALOG - DRY '!F4647,"AAAAAD8++/U=")</f>
        <v>#VALUE!</v>
      </c>
      <c r="IM207" t="e">
        <f>AND('STERLING CATALOG - DRY '!G4647,"AAAAAD8++/Y=")</f>
        <v>#VALUE!</v>
      </c>
      <c r="IN207" t="e">
        <f>AND('STERLING CATALOG - DRY '!H4647,"AAAAAD8++/c=")</f>
        <v>#VALUE!</v>
      </c>
      <c r="IO207" t="e">
        <f>AND('STERLING CATALOG - DRY '!I4647,"AAAAAD8++/g=")</f>
        <v>#VALUE!</v>
      </c>
      <c r="IP207" t="e">
        <f>AND('STERLING CATALOG - DRY '!J4647,"AAAAAD8++/k=")</f>
        <v>#VALUE!</v>
      </c>
      <c r="IQ207">
        <f>IF('STERLING CATALOG - DRY '!4648:4648,"AAAAAD8++/o=",0)</f>
        <v>0</v>
      </c>
      <c r="IR207" t="e">
        <f>AND('STERLING CATALOG - DRY '!A4648,"AAAAAD8++/s=")</f>
        <v>#VALUE!</v>
      </c>
      <c r="IS207" t="e">
        <f>AND('STERLING CATALOG - DRY '!B4648,"AAAAAD8++/w=")</f>
        <v>#VALUE!</v>
      </c>
      <c r="IT207" t="e">
        <f>AND('STERLING CATALOG - DRY '!C4648,"AAAAAD8++/0=")</f>
        <v>#VALUE!</v>
      </c>
      <c r="IU207" t="e">
        <f>AND('STERLING CATALOG - DRY '!D4648,"AAAAAD8++/4=")</f>
        <v>#VALUE!</v>
      </c>
      <c r="IV207" t="e">
        <f>AND('STERLING CATALOG - DRY '!E4648,"AAAAAD8++/8=")</f>
        <v>#VALUE!</v>
      </c>
    </row>
    <row r="208" spans="1:256">
      <c r="A208" t="e">
        <f>AND('STERLING CATALOG - DRY '!F4648,"AAAAAG5t5wA=")</f>
        <v>#VALUE!</v>
      </c>
      <c r="B208" t="e">
        <f>AND('STERLING CATALOG - DRY '!G4648,"AAAAAG5t5wE=")</f>
        <v>#VALUE!</v>
      </c>
      <c r="C208" t="e">
        <f>AND('STERLING CATALOG - DRY '!H4648,"AAAAAG5t5wI=")</f>
        <v>#VALUE!</v>
      </c>
      <c r="D208" t="e">
        <f>AND('STERLING CATALOG - DRY '!I4648,"AAAAAG5t5wM=")</f>
        <v>#VALUE!</v>
      </c>
      <c r="E208" t="e">
        <f>AND('STERLING CATALOG - DRY '!J4648,"AAAAAG5t5wQ=")</f>
        <v>#VALUE!</v>
      </c>
      <c r="F208" t="e">
        <f>IF('STERLING CATALOG - DRY '!4649:4649,"AAAAAG5t5wU=",0)</f>
        <v>#VALUE!</v>
      </c>
      <c r="G208" t="e">
        <f>AND('STERLING CATALOG - DRY '!A4649,"AAAAAG5t5wY=")</f>
        <v>#VALUE!</v>
      </c>
      <c r="H208" t="e">
        <f>AND('STERLING CATALOG - DRY '!B4649,"AAAAAG5t5wc=")</f>
        <v>#VALUE!</v>
      </c>
      <c r="I208" t="e">
        <f>AND('STERLING CATALOG - DRY '!C4649,"AAAAAG5t5wg=")</f>
        <v>#VALUE!</v>
      </c>
      <c r="J208" t="e">
        <f>AND('STERLING CATALOG - DRY '!D4649,"AAAAAG5t5wk=")</f>
        <v>#VALUE!</v>
      </c>
      <c r="K208" t="e">
        <f>AND('STERLING CATALOG - DRY '!E4649,"AAAAAG5t5wo=")</f>
        <v>#VALUE!</v>
      </c>
      <c r="L208" t="e">
        <f>AND('STERLING CATALOG - DRY '!F4649,"AAAAAG5t5ws=")</f>
        <v>#VALUE!</v>
      </c>
      <c r="M208" t="e">
        <f>AND('STERLING CATALOG - DRY '!G4649,"AAAAAG5t5ww=")</f>
        <v>#VALUE!</v>
      </c>
      <c r="N208" t="e">
        <f>AND('STERLING CATALOG - DRY '!H4649,"AAAAAG5t5w0=")</f>
        <v>#VALUE!</v>
      </c>
      <c r="O208" t="e">
        <f>AND('STERLING CATALOG - DRY '!I4649,"AAAAAG5t5w4=")</f>
        <v>#VALUE!</v>
      </c>
      <c r="P208" t="e">
        <f>AND('STERLING CATALOG - DRY '!J4649,"AAAAAG5t5w8=")</f>
        <v>#VALUE!</v>
      </c>
      <c r="Q208">
        <f>IF('STERLING CATALOG - DRY '!4650:4650,"AAAAAG5t5xA=",0)</f>
        <v>0</v>
      </c>
      <c r="R208" t="e">
        <f>AND('STERLING CATALOG - DRY '!A4650,"AAAAAG5t5xE=")</f>
        <v>#VALUE!</v>
      </c>
      <c r="S208" t="e">
        <f>AND('STERLING CATALOG - DRY '!B4650,"AAAAAG5t5xI=")</f>
        <v>#VALUE!</v>
      </c>
      <c r="T208" t="e">
        <f>AND('STERLING CATALOG - DRY '!C4650,"AAAAAG5t5xM=")</f>
        <v>#VALUE!</v>
      </c>
      <c r="U208" t="e">
        <f>AND('STERLING CATALOG - DRY '!D4650,"AAAAAG5t5xQ=")</f>
        <v>#VALUE!</v>
      </c>
      <c r="V208" t="e">
        <f>AND('STERLING CATALOG - DRY '!E4650,"AAAAAG5t5xU=")</f>
        <v>#VALUE!</v>
      </c>
      <c r="W208" t="e">
        <f>AND('STERLING CATALOG - DRY '!F4650,"AAAAAG5t5xY=")</f>
        <v>#VALUE!</v>
      </c>
      <c r="X208" t="e">
        <f>AND('STERLING CATALOG - DRY '!G4650,"AAAAAG5t5xc=")</f>
        <v>#VALUE!</v>
      </c>
      <c r="Y208" t="e">
        <f>AND('STERLING CATALOG - DRY '!H4650,"AAAAAG5t5xg=")</f>
        <v>#VALUE!</v>
      </c>
      <c r="Z208" t="e">
        <f>AND('STERLING CATALOG - DRY '!I4650,"AAAAAG5t5xk=")</f>
        <v>#VALUE!</v>
      </c>
      <c r="AA208" t="e">
        <f>AND('STERLING CATALOG - DRY '!J4650,"AAAAAG5t5xo=")</f>
        <v>#VALUE!</v>
      </c>
      <c r="AB208">
        <f>IF('STERLING CATALOG - DRY '!4651:4651,"AAAAAG5t5xs=",0)</f>
        <v>0</v>
      </c>
      <c r="AC208" t="e">
        <f>AND('STERLING CATALOG - DRY '!A4651,"AAAAAG5t5xw=")</f>
        <v>#VALUE!</v>
      </c>
      <c r="AD208" t="e">
        <f>AND('STERLING CATALOG - DRY '!B4651,"AAAAAG5t5x0=")</f>
        <v>#VALUE!</v>
      </c>
      <c r="AE208" t="e">
        <f>AND('STERLING CATALOG - DRY '!C4651,"AAAAAG5t5x4=")</f>
        <v>#VALUE!</v>
      </c>
      <c r="AF208" t="e">
        <f>AND('STERLING CATALOG - DRY '!D4651,"AAAAAG5t5x8=")</f>
        <v>#VALUE!</v>
      </c>
      <c r="AG208" t="e">
        <f>AND('STERLING CATALOG - DRY '!E4651,"AAAAAG5t5yA=")</f>
        <v>#VALUE!</v>
      </c>
      <c r="AH208" t="e">
        <f>AND('STERLING CATALOG - DRY '!F4651,"AAAAAG5t5yE=")</f>
        <v>#VALUE!</v>
      </c>
      <c r="AI208" t="e">
        <f>AND('STERLING CATALOG - DRY '!G4651,"AAAAAG5t5yI=")</f>
        <v>#VALUE!</v>
      </c>
      <c r="AJ208" t="e">
        <f>AND('STERLING CATALOG - DRY '!H4651,"AAAAAG5t5yM=")</f>
        <v>#VALUE!</v>
      </c>
      <c r="AK208" t="e">
        <f>AND('STERLING CATALOG - DRY '!I4651,"AAAAAG5t5yQ=")</f>
        <v>#VALUE!</v>
      </c>
      <c r="AL208" t="e">
        <f>AND('STERLING CATALOG - DRY '!J4651,"AAAAAG5t5yU=")</f>
        <v>#VALUE!</v>
      </c>
      <c r="AM208">
        <f>IF('STERLING CATALOG - DRY '!4652:4652,"AAAAAG5t5yY=",0)</f>
        <v>0</v>
      </c>
      <c r="AN208" t="e">
        <f>AND('STERLING CATALOG - DRY '!A4652,"AAAAAG5t5yc=")</f>
        <v>#VALUE!</v>
      </c>
      <c r="AO208" t="e">
        <f>AND('STERLING CATALOG - DRY '!B4652,"AAAAAG5t5yg=")</f>
        <v>#VALUE!</v>
      </c>
      <c r="AP208" t="e">
        <f>AND('STERLING CATALOG - DRY '!C4652,"AAAAAG5t5yk=")</f>
        <v>#VALUE!</v>
      </c>
      <c r="AQ208" t="e">
        <f>AND('STERLING CATALOG - DRY '!D4652,"AAAAAG5t5yo=")</f>
        <v>#VALUE!</v>
      </c>
      <c r="AR208" t="e">
        <f>AND('STERLING CATALOG - DRY '!E4652,"AAAAAG5t5ys=")</f>
        <v>#VALUE!</v>
      </c>
      <c r="AS208" t="e">
        <f>AND('STERLING CATALOG - DRY '!F4652,"AAAAAG5t5yw=")</f>
        <v>#VALUE!</v>
      </c>
      <c r="AT208" t="e">
        <f>AND('STERLING CATALOG - DRY '!G4652,"AAAAAG5t5y0=")</f>
        <v>#VALUE!</v>
      </c>
      <c r="AU208" t="e">
        <f>AND('STERLING CATALOG - DRY '!H4652,"AAAAAG5t5y4=")</f>
        <v>#VALUE!</v>
      </c>
      <c r="AV208" t="e">
        <f>AND('STERLING CATALOG - DRY '!I4652,"AAAAAG5t5y8=")</f>
        <v>#VALUE!</v>
      </c>
      <c r="AW208" t="e">
        <f>AND('STERLING CATALOG - DRY '!J4652,"AAAAAG5t5zA=")</f>
        <v>#VALUE!</v>
      </c>
      <c r="AX208">
        <f>IF('STERLING CATALOG - DRY '!4653:4653,"AAAAAG5t5zE=",0)</f>
        <v>0</v>
      </c>
      <c r="AY208" t="e">
        <f>AND('STERLING CATALOG - DRY '!A4653,"AAAAAG5t5zI=")</f>
        <v>#VALUE!</v>
      </c>
      <c r="AZ208" t="e">
        <f>AND('STERLING CATALOG - DRY '!B4653,"AAAAAG5t5zM=")</f>
        <v>#VALUE!</v>
      </c>
      <c r="BA208" t="e">
        <f>AND('STERLING CATALOG - DRY '!C4653,"AAAAAG5t5zQ=")</f>
        <v>#VALUE!</v>
      </c>
      <c r="BB208" t="e">
        <f>AND('STERLING CATALOG - DRY '!D4653,"AAAAAG5t5zU=")</f>
        <v>#VALUE!</v>
      </c>
      <c r="BC208" t="e">
        <f>AND('STERLING CATALOG - DRY '!E4653,"AAAAAG5t5zY=")</f>
        <v>#VALUE!</v>
      </c>
      <c r="BD208" t="e">
        <f>AND('STERLING CATALOG - DRY '!F4653,"AAAAAG5t5zc=")</f>
        <v>#VALUE!</v>
      </c>
      <c r="BE208" t="e">
        <f>AND('STERLING CATALOG - DRY '!G4653,"AAAAAG5t5zg=")</f>
        <v>#VALUE!</v>
      </c>
      <c r="BF208" t="e">
        <f>AND('STERLING CATALOG - DRY '!H4653,"AAAAAG5t5zk=")</f>
        <v>#VALUE!</v>
      </c>
      <c r="BG208" t="e">
        <f>AND('STERLING CATALOG - DRY '!I4653,"AAAAAG5t5zo=")</f>
        <v>#VALUE!</v>
      </c>
      <c r="BH208" t="e">
        <f>AND('STERLING CATALOG - DRY '!J4653,"AAAAAG5t5zs=")</f>
        <v>#VALUE!</v>
      </c>
      <c r="BI208">
        <f>IF('STERLING CATALOG - DRY '!4654:4654,"AAAAAG5t5zw=",0)</f>
        <v>0</v>
      </c>
      <c r="BJ208" t="e">
        <f>AND('STERLING CATALOG - DRY '!A4654,"AAAAAG5t5z0=")</f>
        <v>#VALUE!</v>
      </c>
      <c r="BK208" t="e">
        <f>AND('STERLING CATALOG - DRY '!B4654,"AAAAAG5t5z4=")</f>
        <v>#VALUE!</v>
      </c>
      <c r="BL208" t="e">
        <f>AND('STERLING CATALOG - DRY '!C4654,"AAAAAG5t5z8=")</f>
        <v>#VALUE!</v>
      </c>
      <c r="BM208" t="e">
        <f>AND('STERLING CATALOG - DRY '!D4654,"AAAAAG5t50A=")</f>
        <v>#VALUE!</v>
      </c>
      <c r="BN208" t="e">
        <f>AND('STERLING CATALOG - DRY '!E4654,"AAAAAG5t50E=")</f>
        <v>#VALUE!</v>
      </c>
      <c r="BO208" t="e">
        <f>AND('STERLING CATALOG - DRY '!F4654,"AAAAAG5t50I=")</f>
        <v>#VALUE!</v>
      </c>
      <c r="BP208" t="e">
        <f>AND('STERLING CATALOG - DRY '!G4654,"AAAAAG5t50M=")</f>
        <v>#VALUE!</v>
      </c>
      <c r="BQ208" t="e">
        <f>AND('STERLING CATALOG - DRY '!H4654,"AAAAAG5t50Q=")</f>
        <v>#VALUE!</v>
      </c>
      <c r="BR208" t="e">
        <f>AND('STERLING CATALOG - DRY '!I4654,"AAAAAG5t50U=")</f>
        <v>#VALUE!</v>
      </c>
      <c r="BS208" t="e">
        <f>AND('STERLING CATALOG - DRY '!J4654,"AAAAAG5t50Y=")</f>
        <v>#VALUE!</v>
      </c>
      <c r="BT208">
        <f>IF('STERLING CATALOG - DRY '!4655:4655,"AAAAAG5t50c=",0)</f>
        <v>0</v>
      </c>
      <c r="BU208" t="e">
        <f>AND('STERLING CATALOG - DRY '!A4655,"AAAAAG5t50g=")</f>
        <v>#VALUE!</v>
      </c>
      <c r="BV208" t="e">
        <f>AND('STERLING CATALOG - DRY '!B4655,"AAAAAG5t50k=")</f>
        <v>#VALUE!</v>
      </c>
      <c r="BW208" t="e">
        <f>AND('STERLING CATALOG - DRY '!C4655,"AAAAAG5t50o=")</f>
        <v>#VALUE!</v>
      </c>
      <c r="BX208" t="e">
        <f>AND('STERLING CATALOG - DRY '!D4655,"AAAAAG5t50s=")</f>
        <v>#VALUE!</v>
      </c>
      <c r="BY208" t="e">
        <f>AND('STERLING CATALOG - DRY '!E4655,"AAAAAG5t50w=")</f>
        <v>#VALUE!</v>
      </c>
      <c r="BZ208" t="e">
        <f>AND('STERLING CATALOG - DRY '!F4655,"AAAAAG5t500=")</f>
        <v>#VALUE!</v>
      </c>
      <c r="CA208" t="e">
        <f>AND('STERLING CATALOG - DRY '!G4655,"AAAAAG5t504=")</f>
        <v>#VALUE!</v>
      </c>
      <c r="CB208" t="e">
        <f>AND('STERLING CATALOG - DRY '!H4655,"AAAAAG5t508=")</f>
        <v>#VALUE!</v>
      </c>
      <c r="CC208" t="e">
        <f>AND('STERLING CATALOG - DRY '!I4655,"AAAAAG5t51A=")</f>
        <v>#VALUE!</v>
      </c>
      <c r="CD208" t="e">
        <f>AND('STERLING CATALOG - DRY '!J4655,"AAAAAG5t51E=")</f>
        <v>#VALUE!</v>
      </c>
      <c r="CE208">
        <f>IF('STERLING CATALOG - DRY '!4656:4656,"AAAAAG5t51I=",0)</f>
        <v>0</v>
      </c>
      <c r="CF208" t="e">
        <f>AND('STERLING CATALOG - DRY '!A4656,"AAAAAG5t51M=")</f>
        <v>#VALUE!</v>
      </c>
      <c r="CG208" t="e">
        <f>AND('STERLING CATALOG - DRY '!B4656,"AAAAAG5t51Q=")</f>
        <v>#VALUE!</v>
      </c>
      <c r="CH208" t="e">
        <f>AND('STERLING CATALOG - DRY '!C4656,"AAAAAG5t51U=")</f>
        <v>#VALUE!</v>
      </c>
      <c r="CI208" t="e">
        <f>AND('STERLING CATALOG - DRY '!D4656,"AAAAAG5t51Y=")</f>
        <v>#VALUE!</v>
      </c>
      <c r="CJ208" t="e">
        <f>AND('STERLING CATALOG - DRY '!E4656,"AAAAAG5t51c=")</f>
        <v>#VALUE!</v>
      </c>
      <c r="CK208" t="e">
        <f>AND('STERLING CATALOG - DRY '!F4656,"AAAAAG5t51g=")</f>
        <v>#VALUE!</v>
      </c>
      <c r="CL208" t="e">
        <f>AND('STERLING CATALOG - DRY '!G4656,"AAAAAG5t51k=")</f>
        <v>#VALUE!</v>
      </c>
      <c r="CM208" t="e">
        <f>AND('STERLING CATALOG - DRY '!H4656,"AAAAAG5t51o=")</f>
        <v>#VALUE!</v>
      </c>
      <c r="CN208" t="e">
        <f>AND('STERLING CATALOG - DRY '!I4656,"AAAAAG5t51s=")</f>
        <v>#VALUE!</v>
      </c>
      <c r="CO208" t="e">
        <f>AND('STERLING CATALOG - DRY '!J4656,"AAAAAG5t51w=")</f>
        <v>#VALUE!</v>
      </c>
      <c r="CP208">
        <f>IF('STERLING CATALOG - DRY '!4657:4657,"AAAAAG5t510=",0)</f>
        <v>0</v>
      </c>
      <c r="CQ208" t="e">
        <f>AND('STERLING CATALOG - DRY '!A4657,"AAAAAG5t514=")</f>
        <v>#VALUE!</v>
      </c>
      <c r="CR208" t="e">
        <f>AND('STERLING CATALOG - DRY '!B4657,"AAAAAG5t518=")</f>
        <v>#VALUE!</v>
      </c>
      <c r="CS208" t="e">
        <f>AND('STERLING CATALOG - DRY '!C4657,"AAAAAG5t52A=")</f>
        <v>#VALUE!</v>
      </c>
      <c r="CT208" t="e">
        <f>AND('STERLING CATALOG - DRY '!D4657,"AAAAAG5t52E=")</f>
        <v>#VALUE!</v>
      </c>
      <c r="CU208" t="e">
        <f>AND('STERLING CATALOG - DRY '!E4657,"AAAAAG5t52I=")</f>
        <v>#VALUE!</v>
      </c>
      <c r="CV208" t="e">
        <f>AND('STERLING CATALOG - DRY '!F4657,"AAAAAG5t52M=")</f>
        <v>#VALUE!</v>
      </c>
      <c r="CW208" t="e">
        <f>AND('STERLING CATALOG - DRY '!G4657,"AAAAAG5t52Q=")</f>
        <v>#VALUE!</v>
      </c>
      <c r="CX208" t="e">
        <f>AND('STERLING CATALOG - DRY '!H4657,"AAAAAG5t52U=")</f>
        <v>#VALUE!</v>
      </c>
      <c r="CY208" t="e">
        <f>AND('STERLING CATALOG - DRY '!I4657,"AAAAAG5t52Y=")</f>
        <v>#VALUE!</v>
      </c>
      <c r="CZ208" t="e">
        <f>AND('STERLING CATALOG - DRY '!J4657,"AAAAAG5t52c=")</f>
        <v>#VALUE!</v>
      </c>
      <c r="DA208">
        <f>IF('STERLING CATALOG - DRY '!4658:4658,"AAAAAG5t52g=",0)</f>
        <v>0</v>
      </c>
      <c r="DB208" t="e">
        <f>AND('STERLING CATALOG - DRY '!A4658,"AAAAAG5t52k=")</f>
        <v>#VALUE!</v>
      </c>
      <c r="DC208" t="e">
        <f>AND('STERLING CATALOG - DRY '!B4658,"AAAAAG5t52o=")</f>
        <v>#VALUE!</v>
      </c>
      <c r="DD208" t="e">
        <f>AND('STERLING CATALOG - DRY '!C4658,"AAAAAG5t52s=")</f>
        <v>#VALUE!</v>
      </c>
      <c r="DE208" t="e">
        <f>AND('STERLING CATALOG - DRY '!D4658,"AAAAAG5t52w=")</f>
        <v>#VALUE!</v>
      </c>
      <c r="DF208" t="e">
        <f>AND('STERLING CATALOG - DRY '!E4658,"AAAAAG5t520=")</f>
        <v>#VALUE!</v>
      </c>
      <c r="DG208" t="e">
        <f>AND('STERLING CATALOG - DRY '!F4658,"AAAAAG5t524=")</f>
        <v>#VALUE!</v>
      </c>
      <c r="DH208" t="e">
        <f>AND('STERLING CATALOG - DRY '!G4658,"AAAAAG5t528=")</f>
        <v>#VALUE!</v>
      </c>
      <c r="DI208" t="e">
        <f>AND('STERLING CATALOG - DRY '!H4658,"AAAAAG5t53A=")</f>
        <v>#VALUE!</v>
      </c>
      <c r="DJ208" t="e">
        <f>AND('STERLING CATALOG - DRY '!I4658,"AAAAAG5t53E=")</f>
        <v>#VALUE!</v>
      </c>
      <c r="DK208" t="e">
        <f>AND('STERLING CATALOG - DRY '!J4658,"AAAAAG5t53I=")</f>
        <v>#VALUE!</v>
      </c>
      <c r="DL208">
        <f>IF('STERLING CATALOG - DRY '!4659:4659,"AAAAAG5t53M=",0)</f>
        <v>0</v>
      </c>
      <c r="DM208" t="e">
        <f>AND('STERLING CATALOG - DRY '!A4659,"AAAAAG5t53Q=")</f>
        <v>#VALUE!</v>
      </c>
      <c r="DN208" t="e">
        <f>AND('STERLING CATALOG - DRY '!B4659,"AAAAAG5t53U=")</f>
        <v>#VALUE!</v>
      </c>
      <c r="DO208" t="e">
        <f>AND('STERLING CATALOG - DRY '!C4659,"AAAAAG5t53Y=")</f>
        <v>#VALUE!</v>
      </c>
      <c r="DP208" t="e">
        <f>AND('STERLING CATALOG - DRY '!D4659,"AAAAAG5t53c=")</f>
        <v>#VALUE!</v>
      </c>
      <c r="DQ208" t="e">
        <f>AND('STERLING CATALOG - DRY '!E4659,"AAAAAG5t53g=")</f>
        <v>#VALUE!</v>
      </c>
      <c r="DR208" t="e">
        <f>AND('STERLING CATALOG - DRY '!F4659,"AAAAAG5t53k=")</f>
        <v>#VALUE!</v>
      </c>
      <c r="DS208" t="e">
        <f>AND('STERLING CATALOG - DRY '!G4659,"AAAAAG5t53o=")</f>
        <v>#VALUE!</v>
      </c>
      <c r="DT208" t="e">
        <f>AND('STERLING CATALOG - DRY '!H4659,"AAAAAG5t53s=")</f>
        <v>#VALUE!</v>
      </c>
      <c r="DU208" t="e">
        <f>AND('STERLING CATALOG - DRY '!I4659,"AAAAAG5t53w=")</f>
        <v>#VALUE!</v>
      </c>
      <c r="DV208" t="e">
        <f>AND('STERLING CATALOG - DRY '!J4659,"AAAAAG5t530=")</f>
        <v>#VALUE!</v>
      </c>
      <c r="DW208">
        <f>IF('STERLING CATALOG - DRY '!4660:4660,"AAAAAG5t534=",0)</f>
        <v>0</v>
      </c>
      <c r="DX208" t="e">
        <f>AND('STERLING CATALOG - DRY '!A4660,"AAAAAG5t538=")</f>
        <v>#VALUE!</v>
      </c>
      <c r="DY208" t="e">
        <f>AND('STERLING CATALOG - DRY '!B4660,"AAAAAG5t54A=")</f>
        <v>#VALUE!</v>
      </c>
      <c r="DZ208" t="e">
        <f>AND('STERLING CATALOG - DRY '!C4660,"AAAAAG5t54E=")</f>
        <v>#VALUE!</v>
      </c>
      <c r="EA208" t="e">
        <f>AND('STERLING CATALOG - DRY '!D4660,"AAAAAG5t54I=")</f>
        <v>#VALUE!</v>
      </c>
      <c r="EB208" t="e">
        <f>AND('STERLING CATALOG - DRY '!E4660,"AAAAAG5t54M=")</f>
        <v>#VALUE!</v>
      </c>
      <c r="EC208" t="e">
        <f>AND('STERLING CATALOG - DRY '!F4660,"AAAAAG5t54Q=")</f>
        <v>#VALUE!</v>
      </c>
      <c r="ED208" t="e">
        <f>AND('STERLING CATALOG - DRY '!G4660,"AAAAAG5t54U=")</f>
        <v>#VALUE!</v>
      </c>
      <c r="EE208" t="e">
        <f>AND('STERLING CATALOG - DRY '!H4660,"AAAAAG5t54Y=")</f>
        <v>#VALUE!</v>
      </c>
      <c r="EF208" t="e">
        <f>AND('STERLING CATALOG - DRY '!I4660,"AAAAAG5t54c=")</f>
        <v>#VALUE!</v>
      </c>
      <c r="EG208" t="e">
        <f>AND('STERLING CATALOG - DRY '!J4660,"AAAAAG5t54g=")</f>
        <v>#VALUE!</v>
      </c>
      <c r="EH208">
        <f>IF('STERLING CATALOG - DRY '!4661:4661,"AAAAAG5t54k=",0)</f>
        <v>0</v>
      </c>
      <c r="EI208" t="e">
        <f>AND('STERLING CATALOG - DRY '!A4661,"AAAAAG5t54o=")</f>
        <v>#VALUE!</v>
      </c>
      <c r="EJ208" t="e">
        <f>AND('STERLING CATALOG - DRY '!B4661,"AAAAAG5t54s=")</f>
        <v>#VALUE!</v>
      </c>
      <c r="EK208" t="e">
        <f>AND('STERLING CATALOG - DRY '!C4661,"AAAAAG5t54w=")</f>
        <v>#VALUE!</v>
      </c>
      <c r="EL208" t="e">
        <f>AND('STERLING CATALOG - DRY '!D4661,"AAAAAG5t540=")</f>
        <v>#VALUE!</v>
      </c>
      <c r="EM208" t="e">
        <f>AND('STERLING CATALOG - DRY '!E4661,"AAAAAG5t544=")</f>
        <v>#VALUE!</v>
      </c>
      <c r="EN208" t="e">
        <f>AND('STERLING CATALOG - DRY '!F4661,"AAAAAG5t548=")</f>
        <v>#VALUE!</v>
      </c>
      <c r="EO208" t="e">
        <f>AND('STERLING CATALOG - DRY '!G4661,"AAAAAG5t55A=")</f>
        <v>#VALUE!</v>
      </c>
      <c r="EP208" t="e">
        <f>AND('STERLING CATALOG - DRY '!H4661,"AAAAAG5t55E=")</f>
        <v>#VALUE!</v>
      </c>
      <c r="EQ208" t="e">
        <f>AND('STERLING CATALOG - DRY '!I4661,"AAAAAG5t55I=")</f>
        <v>#VALUE!</v>
      </c>
      <c r="ER208" t="e">
        <f>AND('STERLING CATALOG - DRY '!J4661,"AAAAAG5t55M=")</f>
        <v>#VALUE!</v>
      </c>
      <c r="ES208">
        <f>IF('STERLING CATALOG - DRY '!4662:4662,"AAAAAG5t55Q=",0)</f>
        <v>0</v>
      </c>
      <c r="ET208" t="e">
        <f>AND('STERLING CATALOG - DRY '!A4662,"AAAAAG5t55U=")</f>
        <v>#VALUE!</v>
      </c>
      <c r="EU208" t="e">
        <f>AND('STERLING CATALOG - DRY '!B4662,"AAAAAG5t55Y=")</f>
        <v>#VALUE!</v>
      </c>
      <c r="EV208" t="e">
        <f>AND('STERLING CATALOG - DRY '!C4662,"AAAAAG5t55c=")</f>
        <v>#VALUE!</v>
      </c>
      <c r="EW208" t="e">
        <f>AND('STERLING CATALOG - DRY '!D4662,"AAAAAG5t55g=")</f>
        <v>#VALUE!</v>
      </c>
      <c r="EX208" t="e">
        <f>AND('STERLING CATALOG - DRY '!E4662,"AAAAAG5t55k=")</f>
        <v>#VALUE!</v>
      </c>
      <c r="EY208" t="e">
        <f>AND('STERLING CATALOG - DRY '!F4662,"AAAAAG5t55o=")</f>
        <v>#VALUE!</v>
      </c>
      <c r="EZ208" t="e">
        <f>AND('STERLING CATALOG - DRY '!G4662,"AAAAAG5t55s=")</f>
        <v>#VALUE!</v>
      </c>
      <c r="FA208" t="e">
        <f>AND('STERLING CATALOG - DRY '!H4662,"AAAAAG5t55w=")</f>
        <v>#VALUE!</v>
      </c>
      <c r="FB208" t="e">
        <f>AND('STERLING CATALOG - DRY '!I4662,"AAAAAG5t550=")</f>
        <v>#VALUE!</v>
      </c>
      <c r="FC208" t="e">
        <f>AND('STERLING CATALOG - DRY '!J4662,"AAAAAG5t554=")</f>
        <v>#VALUE!</v>
      </c>
      <c r="FD208">
        <f>IF('STERLING CATALOG - DRY '!4663:4663,"AAAAAG5t558=",0)</f>
        <v>0</v>
      </c>
      <c r="FE208" t="e">
        <f>AND('STERLING CATALOG - DRY '!A4663,"AAAAAG5t56A=")</f>
        <v>#VALUE!</v>
      </c>
      <c r="FF208" t="e">
        <f>AND('STERLING CATALOG - DRY '!B4663,"AAAAAG5t56E=")</f>
        <v>#VALUE!</v>
      </c>
      <c r="FG208" t="e">
        <f>AND('STERLING CATALOG - DRY '!C4663,"AAAAAG5t56I=")</f>
        <v>#VALUE!</v>
      </c>
      <c r="FH208" t="e">
        <f>AND('STERLING CATALOG - DRY '!D4663,"AAAAAG5t56M=")</f>
        <v>#VALUE!</v>
      </c>
      <c r="FI208" t="e">
        <f>AND('STERLING CATALOG - DRY '!E4663,"AAAAAG5t56Q=")</f>
        <v>#VALUE!</v>
      </c>
      <c r="FJ208" t="e">
        <f>AND('STERLING CATALOG - DRY '!F4663,"AAAAAG5t56U=")</f>
        <v>#VALUE!</v>
      </c>
      <c r="FK208" t="e">
        <f>AND('STERLING CATALOG - DRY '!G4663,"AAAAAG5t56Y=")</f>
        <v>#VALUE!</v>
      </c>
      <c r="FL208" t="e">
        <f>AND('STERLING CATALOG - DRY '!H4663,"AAAAAG5t56c=")</f>
        <v>#VALUE!</v>
      </c>
      <c r="FM208" t="e">
        <f>AND('STERLING CATALOG - DRY '!I4663,"AAAAAG5t56g=")</f>
        <v>#VALUE!</v>
      </c>
      <c r="FN208" t="e">
        <f>AND('STERLING CATALOG - DRY '!J4663,"AAAAAG5t56k=")</f>
        <v>#VALUE!</v>
      </c>
      <c r="FO208">
        <f>IF('STERLING CATALOG - DRY '!4664:4664,"AAAAAG5t56o=",0)</f>
        <v>0</v>
      </c>
      <c r="FP208" t="e">
        <f>AND('STERLING CATALOG - DRY '!A4664,"AAAAAG5t56s=")</f>
        <v>#VALUE!</v>
      </c>
      <c r="FQ208" t="e">
        <f>AND('STERLING CATALOG - DRY '!B4664,"AAAAAG5t56w=")</f>
        <v>#VALUE!</v>
      </c>
      <c r="FR208" t="e">
        <f>AND('STERLING CATALOG - DRY '!C4664,"AAAAAG5t560=")</f>
        <v>#VALUE!</v>
      </c>
      <c r="FS208" t="e">
        <f>AND('STERLING CATALOG - DRY '!D4664,"AAAAAG5t564=")</f>
        <v>#VALUE!</v>
      </c>
      <c r="FT208" t="e">
        <f>AND('STERLING CATALOG - DRY '!E4664,"AAAAAG5t568=")</f>
        <v>#VALUE!</v>
      </c>
      <c r="FU208" t="e">
        <f>AND('STERLING CATALOG - DRY '!F4664,"AAAAAG5t57A=")</f>
        <v>#VALUE!</v>
      </c>
      <c r="FV208" t="e">
        <f>AND('STERLING CATALOG - DRY '!G4664,"AAAAAG5t57E=")</f>
        <v>#VALUE!</v>
      </c>
      <c r="FW208" t="e">
        <f>AND('STERLING CATALOG - DRY '!H4664,"AAAAAG5t57I=")</f>
        <v>#VALUE!</v>
      </c>
      <c r="FX208" t="e">
        <f>AND('STERLING CATALOG - DRY '!I4664,"AAAAAG5t57M=")</f>
        <v>#VALUE!</v>
      </c>
      <c r="FY208" t="e">
        <f>AND('STERLING CATALOG - DRY '!J4664,"AAAAAG5t57Q=")</f>
        <v>#VALUE!</v>
      </c>
      <c r="FZ208">
        <f>IF('STERLING CATALOG - DRY '!4665:4665,"AAAAAG5t57U=",0)</f>
        <v>0</v>
      </c>
      <c r="GA208" t="e">
        <f>AND('STERLING CATALOG - DRY '!A4665,"AAAAAG5t57Y=")</f>
        <v>#VALUE!</v>
      </c>
      <c r="GB208" t="e">
        <f>AND('STERLING CATALOG - DRY '!B4665,"AAAAAG5t57c=")</f>
        <v>#VALUE!</v>
      </c>
      <c r="GC208" t="e">
        <f>AND('STERLING CATALOG - DRY '!C4665,"AAAAAG5t57g=")</f>
        <v>#VALUE!</v>
      </c>
      <c r="GD208" t="e">
        <f>AND('STERLING CATALOG - DRY '!D4665,"AAAAAG5t57k=")</f>
        <v>#VALUE!</v>
      </c>
      <c r="GE208" t="e">
        <f>AND('STERLING CATALOG - DRY '!E4665,"AAAAAG5t57o=")</f>
        <v>#VALUE!</v>
      </c>
      <c r="GF208" t="e">
        <f>AND('STERLING CATALOG - DRY '!F4665,"AAAAAG5t57s=")</f>
        <v>#VALUE!</v>
      </c>
      <c r="GG208" t="e">
        <f>AND('STERLING CATALOG - DRY '!G4665,"AAAAAG5t57w=")</f>
        <v>#VALUE!</v>
      </c>
      <c r="GH208" t="e">
        <f>AND('STERLING CATALOG - DRY '!H4665,"AAAAAG5t570=")</f>
        <v>#VALUE!</v>
      </c>
      <c r="GI208" t="e">
        <f>AND('STERLING CATALOG - DRY '!I4665,"AAAAAG5t574=")</f>
        <v>#VALUE!</v>
      </c>
      <c r="GJ208" t="e">
        <f>AND('STERLING CATALOG - DRY '!J4665,"AAAAAG5t578=")</f>
        <v>#VALUE!</v>
      </c>
      <c r="GK208">
        <f>IF('STERLING CATALOG - DRY '!4666:4666,"AAAAAG5t58A=",0)</f>
        <v>0</v>
      </c>
      <c r="GL208" t="e">
        <f>AND('STERLING CATALOG - DRY '!A4666,"AAAAAG5t58E=")</f>
        <v>#VALUE!</v>
      </c>
      <c r="GM208" t="e">
        <f>AND('STERLING CATALOG - DRY '!B4666,"AAAAAG5t58I=")</f>
        <v>#VALUE!</v>
      </c>
      <c r="GN208" t="e">
        <f>AND('STERLING CATALOG - DRY '!C4666,"AAAAAG5t58M=")</f>
        <v>#VALUE!</v>
      </c>
      <c r="GO208" t="e">
        <f>AND('STERLING CATALOG - DRY '!D4666,"AAAAAG5t58Q=")</f>
        <v>#VALUE!</v>
      </c>
      <c r="GP208" t="e">
        <f>AND('STERLING CATALOG - DRY '!E4666,"AAAAAG5t58U=")</f>
        <v>#VALUE!</v>
      </c>
      <c r="GQ208" t="e">
        <f>AND('STERLING CATALOG - DRY '!F4666,"AAAAAG5t58Y=")</f>
        <v>#VALUE!</v>
      </c>
      <c r="GR208" t="e">
        <f>AND('STERLING CATALOG - DRY '!G4666,"AAAAAG5t58c=")</f>
        <v>#VALUE!</v>
      </c>
      <c r="GS208" t="e">
        <f>AND('STERLING CATALOG - DRY '!H4666,"AAAAAG5t58g=")</f>
        <v>#VALUE!</v>
      </c>
      <c r="GT208" t="e">
        <f>AND('STERLING CATALOG - DRY '!I4666,"AAAAAG5t58k=")</f>
        <v>#VALUE!</v>
      </c>
      <c r="GU208" t="e">
        <f>AND('STERLING CATALOG - DRY '!J4666,"AAAAAG5t58o=")</f>
        <v>#VALUE!</v>
      </c>
      <c r="GV208">
        <f>IF('STERLING CATALOG - DRY '!4667:4667,"AAAAAG5t58s=",0)</f>
        <v>0</v>
      </c>
      <c r="GW208" t="e">
        <f>AND('STERLING CATALOG - DRY '!A4667,"AAAAAG5t58w=")</f>
        <v>#VALUE!</v>
      </c>
      <c r="GX208" t="e">
        <f>AND('STERLING CATALOG - DRY '!B4667,"AAAAAG5t580=")</f>
        <v>#VALUE!</v>
      </c>
      <c r="GY208" t="e">
        <f>AND('STERLING CATALOG - DRY '!C4667,"AAAAAG5t584=")</f>
        <v>#VALUE!</v>
      </c>
      <c r="GZ208" t="e">
        <f>AND('STERLING CATALOG - DRY '!D4667,"AAAAAG5t588=")</f>
        <v>#VALUE!</v>
      </c>
      <c r="HA208" t="e">
        <f>AND('STERLING CATALOG - DRY '!E4667,"AAAAAG5t59A=")</f>
        <v>#VALUE!</v>
      </c>
      <c r="HB208" t="e">
        <f>AND('STERLING CATALOG - DRY '!F4667,"AAAAAG5t59E=")</f>
        <v>#VALUE!</v>
      </c>
      <c r="HC208" t="e">
        <f>AND('STERLING CATALOG - DRY '!G4667,"AAAAAG5t59I=")</f>
        <v>#VALUE!</v>
      </c>
      <c r="HD208" t="e">
        <f>AND('STERLING CATALOG - DRY '!H4667,"AAAAAG5t59M=")</f>
        <v>#VALUE!</v>
      </c>
      <c r="HE208" t="e">
        <f>AND('STERLING CATALOG - DRY '!I4667,"AAAAAG5t59Q=")</f>
        <v>#VALUE!</v>
      </c>
      <c r="HF208" t="e">
        <f>AND('STERLING CATALOG - DRY '!J4667,"AAAAAG5t59U=")</f>
        <v>#VALUE!</v>
      </c>
      <c r="HG208">
        <f>IF('STERLING CATALOG - DRY '!4668:4668,"AAAAAG5t59Y=",0)</f>
        <v>0</v>
      </c>
      <c r="HH208" t="e">
        <f>AND('STERLING CATALOG - DRY '!A4668,"AAAAAG5t59c=")</f>
        <v>#VALUE!</v>
      </c>
      <c r="HI208" t="e">
        <f>AND('STERLING CATALOG - DRY '!B4668,"AAAAAG5t59g=")</f>
        <v>#VALUE!</v>
      </c>
      <c r="HJ208" t="e">
        <f>AND('STERLING CATALOG - DRY '!C4668,"AAAAAG5t59k=")</f>
        <v>#VALUE!</v>
      </c>
      <c r="HK208" t="e">
        <f>AND('STERLING CATALOG - DRY '!D4668,"AAAAAG5t59o=")</f>
        <v>#VALUE!</v>
      </c>
      <c r="HL208" t="e">
        <f>AND('STERLING CATALOG - DRY '!E4668,"AAAAAG5t59s=")</f>
        <v>#VALUE!</v>
      </c>
      <c r="HM208" t="e">
        <f>AND('STERLING CATALOG - DRY '!F4668,"AAAAAG5t59w=")</f>
        <v>#VALUE!</v>
      </c>
      <c r="HN208" t="e">
        <f>AND('STERLING CATALOG - DRY '!G4668,"AAAAAG5t590=")</f>
        <v>#VALUE!</v>
      </c>
      <c r="HO208" t="e">
        <f>AND('STERLING CATALOG - DRY '!H4668,"AAAAAG5t594=")</f>
        <v>#VALUE!</v>
      </c>
      <c r="HP208" t="e">
        <f>AND('STERLING CATALOG - DRY '!I4668,"AAAAAG5t598=")</f>
        <v>#VALUE!</v>
      </c>
      <c r="HQ208" t="e">
        <f>AND('STERLING CATALOG - DRY '!J4668,"AAAAAG5t5+A=")</f>
        <v>#VALUE!</v>
      </c>
      <c r="HR208">
        <f>IF('STERLING CATALOG - DRY '!4669:4669,"AAAAAG5t5+E=",0)</f>
        <v>0</v>
      </c>
      <c r="HS208" t="e">
        <f>AND('STERLING CATALOG - DRY '!A4669,"AAAAAG5t5+I=")</f>
        <v>#VALUE!</v>
      </c>
      <c r="HT208" t="e">
        <f>AND('STERLING CATALOG - DRY '!B4669,"AAAAAG5t5+M=")</f>
        <v>#VALUE!</v>
      </c>
      <c r="HU208" t="e">
        <f>AND('STERLING CATALOG - DRY '!C4669,"AAAAAG5t5+Q=")</f>
        <v>#VALUE!</v>
      </c>
      <c r="HV208" t="e">
        <f>AND('STERLING CATALOG - DRY '!D4669,"AAAAAG5t5+U=")</f>
        <v>#VALUE!</v>
      </c>
      <c r="HW208" t="e">
        <f>AND('STERLING CATALOG - DRY '!E4669,"AAAAAG5t5+Y=")</f>
        <v>#VALUE!</v>
      </c>
      <c r="HX208" t="e">
        <f>AND('STERLING CATALOG - DRY '!F4669,"AAAAAG5t5+c=")</f>
        <v>#VALUE!</v>
      </c>
      <c r="HY208" t="e">
        <f>AND('STERLING CATALOG - DRY '!G4669,"AAAAAG5t5+g=")</f>
        <v>#VALUE!</v>
      </c>
      <c r="HZ208" t="e">
        <f>AND('STERLING CATALOG - DRY '!H4669,"AAAAAG5t5+k=")</f>
        <v>#VALUE!</v>
      </c>
      <c r="IA208" t="e">
        <f>AND('STERLING CATALOG - DRY '!I4669,"AAAAAG5t5+o=")</f>
        <v>#VALUE!</v>
      </c>
      <c r="IB208" t="e">
        <f>AND('STERLING CATALOG - DRY '!J4669,"AAAAAG5t5+s=")</f>
        <v>#VALUE!</v>
      </c>
      <c r="IC208">
        <f>IF('STERLING CATALOG - DRY '!4670:4670,"AAAAAG5t5+w=",0)</f>
        <v>0</v>
      </c>
      <c r="ID208" t="e">
        <f>AND('STERLING CATALOG - DRY '!A4670,"AAAAAG5t5+0=")</f>
        <v>#VALUE!</v>
      </c>
      <c r="IE208" t="e">
        <f>AND('STERLING CATALOG - DRY '!B4670,"AAAAAG5t5+4=")</f>
        <v>#VALUE!</v>
      </c>
      <c r="IF208" t="e">
        <f>AND('STERLING CATALOG - DRY '!C4670,"AAAAAG5t5+8=")</f>
        <v>#VALUE!</v>
      </c>
      <c r="IG208" t="e">
        <f>AND('STERLING CATALOG - DRY '!D4670,"AAAAAG5t5/A=")</f>
        <v>#VALUE!</v>
      </c>
      <c r="IH208" t="e">
        <f>AND('STERLING CATALOG - DRY '!E4670,"AAAAAG5t5/E=")</f>
        <v>#VALUE!</v>
      </c>
      <c r="II208" t="e">
        <f>AND('STERLING CATALOG - DRY '!F4670,"AAAAAG5t5/I=")</f>
        <v>#VALUE!</v>
      </c>
      <c r="IJ208" t="e">
        <f>AND('STERLING CATALOG - DRY '!G4670,"AAAAAG5t5/M=")</f>
        <v>#VALUE!</v>
      </c>
      <c r="IK208" t="e">
        <f>AND('STERLING CATALOG - DRY '!H4670,"AAAAAG5t5/Q=")</f>
        <v>#VALUE!</v>
      </c>
      <c r="IL208" t="e">
        <f>AND('STERLING CATALOG - DRY '!I4670,"AAAAAG5t5/U=")</f>
        <v>#VALUE!</v>
      </c>
      <c r="IM208" t="e">
        <f>AND('STERLING CATALOG - DRY '!J4670,"AAAAAG5t5/Y=")</f>
        <v>#VALUE!</v>
      </c>
      <c r="IN208">
        <f>IF('STERLING CATALOG - DRY '!4671:4671,"AAAAAG5t5/c=",0)</f>
        <v>0</v>
      </c>
      <c r="IO208" t="e">
        <f>AND('STERLING CATALOG - DRY '!A4671,"AAAAAG5t5/g=")</f>
        <v>#VALUE!</v>
      </c>
      <c r="IP208" t="e">
        <f>AND('STERLING CATALOG - DRY '!B4671,"AAAAAG5t5/k=")</f>
        <v>#VALUE!</v>
      </c>
      <c r="IQ208" t="e">
        <f>AND('STERLING CATALOG - DRY '!C4671,"AAAAAG5t5/o=")</f>
        <v>#VALUE!</v>
      </c>
      <c r="IR208" t="e">
        <f>AND('STERLING CATALOG - DRY '!D4671,"AAAAAG5t5/s=")</f>
        <v>#VALUE!</v>
      </c>
      <c r="IS208" t="e">
        <f>AND('STERLING CATALOG - DRY '!E4671,"AAAAAG5t5/w=")</f>
        <v>#VALUE!</v>
      </c>
      <c r="IT208" t="e">
        <f>AND('STERLING CATALOG - DRY '!F4671,"AAAAAG5t5/0=")</f>
        <v>#VALUE!</v>
      </c>
      <c r="IU208" t="e">
        <f>AND('STERLING CATALOG - DRY '!G4671,"AAAAAG5t5/4=")</f>
        <v>#VALUE!</v>
      </c>
      <c r="IV208" t="e">
        <f>AND('STERLING CATALOG - DRY '!H4671,"AAAAAG5t5/8=")</f>
        <v>#VALUE!</v>
      </c>
    </row>
    <row r="209" spans="1:256">
      <c r="A209" t="e">
        <f>AND('STERLING CATALOG - DRY '!I4671,"AAAAAG+/zgA=")</f>
        <v>#VALUE!</v>
      </c>
      <c r="B209" t="e">
        <f>AND('STERLING CATALOG - DRY '!J4671,"AAAAAG+/zgE=")</f>
        <v>#VALUE!</v>
      </c>
      <c r="C209" t="str">
        <f>IF('STERLING CATALOG - DRY '!4672:4672,"AAAAAG+/zgI=",0)</f>
        <v>AAAAAG+/zgI=</v>
      </c>
      <c r="D209" t="e">
        <f>AND('STERLING CATALOG - DRY '!A4672,"AAAAAG+/zgM=")</f>
        <v>#VALUE!</v>
      </c>
      <c r="E209" t="e">
        <f>AND('STERLING CATALOG - DRY '!B4672,"AAAAAG+/zgQ=")</f>
        <v>#VALUE!</v>
      </c>
      <c r="F209" t="e">
        <f>AND('STERLING CATALOG - DRY '!C4672,"AAAAAG+/zgU=")</f>
        <v>#VALUE!</v>
      </c>
      <c r="G209" t="e">
        <f>AND('STERLING CATALOG - DRY '!D4672,"AAAAAG+/zgY=")</f>
        <v>#VALUE!</v>
      </c>
      <c r="H209" t="e">
        <f>AND('STERLING CATALOG - DRY '!E4672,"AAAAAG+/zgc=")</f>
        <v>#VALUE!</v>
      </c>
      <c r="I209" t="e">
        <f>AND('STERLING CATALOG - DRY '!F4672,"AAAAAG+/zgg=")</f>
        <v>#VALUE!</v>
      </c>
      <c r="J209" t="e">
        <f>AND('STERLING CATALOG - DRY '!G4672,"AAAAAG+/zgk=")</f>
        <v>#VALUE!</v>
      </c>
      <c r="K209" t="e">
        <f>AND('STERLING CATALOG - DRY '!H4672,"AAAAAG+/zgo=")</f>
        <v>#VALUE!</v>
      </c>
      <c r="L209" t="e">
        <f>AND('STERLING CATALOG - DRY '!I4672,"AAAAAG+/zgs=")</f>
        <v>#VALUE!</v>
      </c>
      <c r="M209" t="e">
        <f>AND('STERLING CATALOG - DRY '!J4672,"AAAAAG+/zgw=")</f>
        <v>#VALUE!</v>
      </c>
      <c r="N209">
        <f>IF('STERLING CATALOG - DRY '!4673:4673,"AAAAAG+/zg0=",0)</f>
        <v>0</v>
      </c>
      <c r="O209" t="e">
        <f>AND('STERLING CATALOG - DRY '!A4673,"AAAAAG+/zg4=")</f>
        <v>#VALUE!</v>
      </c>
      <c r="P209" t="e">
        <f>AND('STERLING CATALOG - DRY '!B4673,"AAAAAG+/zg8=")</f>
        <v>#VALUE!</v>
      </c>
      <c r="Q209" t="e">
        <f>AND('STERLING CATALOG - DRY '!C4673,"AAAAAG+/zhA=")</f>
        <v>#VALUE!</v>
      </c>
      <c r="R209" t="e">
        <f>AND('STERLING CATALOG - DRY '!D4673,"AAAAAG+/zhE=")</f>
        <v>#VALUE!</v>
      </c>
      <c r="S209" t="e">
        <f>AND('STERLING CATALOG - DRY '!E4673,"AAAAAG+/zhI=")</f>
        <v>#VALUE!</v>
      </c>
      <c r="T209" t="e">
        <f>AND('STERLING CATALOG - DRY '!F4673,"AAAAAG+/zhM=")</f>
        <v>#VALUE!</v>
      </c>
      <c r="U209" t="e">
        <f>AND('STERLING CATALOG - DRY '!G4673,"AAAAAG+/zhQ=")</f>
        <v>#VALUE!</v>
      </c>
      <c r="V209" t="e">
        <f>AND('STERLING CATALOG - DRY '!H4673,"AAAAAG+/zhU=")</f>
        <v>#VALUE!</v>
      </c>
      <c r="W209" t="e">
        <f>AND('STERLING CATALOG - DRY '!I4673,"AAAAAG+/zhY=")</f>
        <v>#VALUE!</v>
      </c>
      <c r="X209" t="e">
        <f>AND('STERLING CATALOG - DRY '!J4673,"AAAAAG+/zhc=")</f>
        <v>#VALUE!</v>
      </c>
      <c r="Y209">
        <f>IF('STERLING CATALOG - DRY '!4674:4674,"AAAAAG+/zhg=",0)</f>
        <v>0</v>
      </c>
      <c r="Z209" t="e">
        <f>AND('STERLING CATALOG - DRY '!A4674,"AAAAAG+/zhk=")</f>
        <v>#VALUE!</v>
      </c>
      <c r="AA209" t="e">
        <f>AND('STERLING CATALOG - DRY '!B4674,"AAAAAG+/zho=")</f>
        <v>#VALUE!</v>
      </c>
      <c r="AB209" t="e">
        <f>AND('STERLING CATALOG - DRY '!C4674,"AAAAAG+/zhs=")</f>
        <v>#VALUE!</v>
      </c>
      <c r="AC209" t="e">
        <f>AND('STERLING CATALOG - DRY '!D4674,"AAAAAG+/zhw=")</f>
        <v>#VALUE!</v>
      </c>
      <c r="AD209" t="e">
        <f>AND('STERLING CATALOG - DRY '!E4674,"AAAAAG+/zh0=")</f>
        <v>#VALUE!</v>
      </c>
      <c r="AE209" t="e">
        <f>AND('STERLING CATALOG - DRY '!F4674,"AAAAAG+/zh4=")</f>
        <v>#VALUE!</v>
      </c>
      <c r="AF209" t="e">
        <f>AND('STERLING CATALOG - DRY '!G4674,"AAAAAG+/zh8=")</f>
        <v>#VALUE!</v>
      </c>
      <c r="AG209" t="e">
        <f>AND('STERLING CATALOG - DRY '!H4674,"AAAAAG+/ziA=")</f>
        <v>#VALUE!</v>
      </c>
      <c r="AH209" t="e">
        <f>AND('STERLING CATALOG - DRY '!I4674,"AAAAAG+/ziE=")</f>
        <v>#VALUE!</v>
      </c>
      <c r="AI209" t="e">
        <f>AND('STERLING CATALOG - DRY '!J4674,"AAAAAG+/ziI=")</f>
        <v>#VALUE!</v>
      </c>
      <c r="AJ209">
        <f>IF('STERLING CATALOG - DRY '!4675:4675,"AAAAAG+/ziM=",0)</f>
        <v>0</v>
      </c>
      <c r="AK209" t="e">
        <f>AND('STERLING CATALOG - DRY '!A4675,"AAAAAG+/ziQ=")</f>
        <v>#VALUE!</v>
      </c>
      <c r="AL209" t="e">
        <f>AND('STERLING CATALOG - DRY '!B4675,"AAAAAG+/ziU=")</f>
        <v>#VALUE!</v>
      </c>
      <c r="AM209" t="e">
        <f>AND('STERLING CATALOG - DRY '!C4675,"AAAAAG+/ziY=")</f>
        <v>#VALUE!</v>
      </c>
      <c r="AN209" t="e">
        <f>AND('STERLING CATALOG - DRY '!D4675,"AAAAAG+/zic=")</f>
        <v>#VALUE!</v>
      </c>
      <c r="AO209" t="e">
        <f>AND('STERLING CATALOG - DRY '!E4675,"AAAAAG+/zig=")</f>
        <v>#VALUE!</v>
      </c>
      <c r="AP209" t="e">
        <f>AND('STERLING CATALOG - DRY '!F4675,"AAAAAG+/zik=")</f>
        <v>#VALUE!</v>
      </c>
      <c r="AQ209" t="e">
        <f>AND('STERLING CATALOG - DRY '!G4675,"AAAAAG+/zio=")</f>
        <v>#VALUE!</v>
      </c>
      <c r="AR209" t="e">
        <f>AND('STERLING CATALOG - DRY '!H4675,"AAAAAG+/zis=")</f>
        <v>#VALUE!</v>
      </c>
      <c r="AS209" t="e">
        <f>AND('STERLING CATALOG - DRY '!I4675,"AAAAAG+/ziw=")</f>
        <v>#VALUE!</v>
      </c>
      <c r="AT209" t="e">
        <f>AND('STERLING CATALOG - DRY '!J4675,"AAAAAG+/zi0=")</f>
        <v>#VALUE!</v>
      </c>
      <c r="AU209">
        <f>IF('STERLING CATALOG - DRY '!4676:4676,"AAAAAG+/zi4=",0)</f>
        <v>0</v>
      </c>
      <c r="AV209" t="e">
        <f>AND('STERLING CATALOG - DRY '!A4676,"AAAAAG+/zi8=")</f>
        <v>#VALUE!</v>
      </c>
      <c r="AW209" t="e">
        <f>AND('STERLING CATALOG - DRY '!B4676,"AAAAAG+/zjA=")</f>
        <v>#VALUE!</v>
      </c>
      <c r="AX209" t="e">
        <f>AND('STERLING CATALOG - DRY '!C4676,"AAAAAG+/zjE=")</f>
        <v>#VALUE!</v>
      </c>
      <c r="AY209" t="e">
        <f>AND('STERLING CATALOG - DRY '!D4676,"AAAAAG+/zjI=")</f>
        <v>#VALUE!</v>
      </c>
      <c r="AZ209" t="e">
        <f>AND('STERLING CATALOG - DRY '!E4676,"AAAAAG+/zjM=")</f>
        <v>#VALUE!</v>
      </c>
      <c r="BA209" t="e">
        <f>AND('STERLING CATALOG - DRY '!F4676,"AAAAAG+/zjQ=")</f>
        <v>#VALUE!</v>
      </c>
      <c r="BB209" t="e">
        <f>AND('STERLING CATALOG - DRY '!G4676,"AAAAAG+/zjU=")</f>
        <v>#VALUE!</v>
      </c>
      <c r="BC209" t="e">
        <f>AND('STERLING CATALOG - DRY '!H4676,"AAAAAG+/zjY=")</f>
        <v>#VALUE!</v>
      </c>
      <c r="BD209" t="e">
        <f>AND('STERLING CATALOG - DRY '!I4676,"AAAAAG+/zjc=")</f>
        <v>#VALUE!</v>
      </c>
      <c r="BE209" t="e">
        <f>AND('STERLING CATALOG - DRY '!J4676,"AAAAAG+/zjg=")</f>
        <v>#VALUE!</v>
      </c>
      <c r="BF209">
        <f>IF('STERLING CATALOG - DRY '!4677:4677,"AAAAAG+/zjk=",0)</f>
        <v>0</v>
      </c>
      <c r="BG209" t="e">
        <f>AND('STERLING CATALOG - DRY '!A4677,"AAAAAG+/zjo=")</f>
        <v>#VALUE!</v>
      </c>
      <c r="BH209" t="e">
        <f>AND('STERLING CATALOG - DRY '!B4677,"AAAAAG+/zjs=")</f>
        <v>#VALUE!</v>
      </c>
      <c r="BI209" t="e">
        <f>AND('STERLING CATALOG - DRY '!C4677,"AAAAAG+/zjw=")</f>
        <v>#VALUE!</v>
      </c>
      <c r="BJ209" t="e">
        <f>AND('STERLING CATALOG - DRY '!D4677,"AAAAAG+/zj0=")</f>
        <v>#VALUE!</v>
      </c>
      <c r="BK209" t="e">
        <f>AND('STERLING CATALOG - DRY '!E4677,"AAAAAG+/zj4=")</f>
        <v>#VALUE!</v>
      </c>
      <c r="BL209" t="e">
        <f>AND('STERLING CATALOG - DRY '!F4677,"AAAAAG+/zj8=")</f>
        <v>#VALUE!</v>
      </c>
      <c r="BM209" t="e">
        <f>AND('STERLING CATALOG - DRY '!G4677,"AAAAAG+/zkA=")</f>
        <v>#VALUE!</v>
      </c>
      <c r="BN209" t="e">
        <f>AND('STERLING CATALOG - DRY '!H4677,"AAAAAG+/zkE=")</f>
        <v>#VALUE!</v>
      </c>
      <c r="BO209" t="e">
        <f>AND('STERLING CATALOG - DRY '!I4677,"AAAAAG+/zkI=")</f>
        <v>#VALUE!</v>
      </c>
      <c r="BP209" t="e">
        <f>AND('STERLING CATALOG - DRY '!J4677,"AAAAAG+/zkM=")</f>
        <v>#VALUE!</v>
      </c>
      <c r="BQ209">
        <f>IF('STERLING CATALOG - DRY '!4678:4678,"AAAAAG+/zkQ=",0)</f>
        <v>0</v>
      </c>
      <c r="BR209" t="e">
        <f>AND('STERLING CATALOG - DRY '!A4678,"AAAAAG+/zkU=")</f>
        <v>#VALUE!</v>
      </c>
      <c r="BS209" t="e">
        <f>AND('STERLING CATALOG - DRY '!B4678,"AAAAAG+/zkY=")</f>
        <v>#VALUE!</v>
      </c>
      <c r="BT209" t="e">
        <f>AND('STERLING CATALOG - DRY '!C4678,"AAAAAG+/zkc=")</f>
        <v>#VALUE!</v>
      </c>
      <c r="BU209" t="e">
        <f>AND('STERLING CATALOG - DRY '!D4678,"AAAAAG+/zkg=")</f>
        <v>#VALUE!</v>
      </c>
      <c r="BV209" t="e">
        <f>AND('STERLING CATALOG - DRY '!E4678,"AAAAAG+/zkk=")</f>
        <v>#VALUE!</v>
      </c>
      <c r="BW209" t="e">
        <f>AND('STERLING CATALOG - DRY '!F4678,"AAAAAG+/zko=")</f>
        <v>#VALUE!</v>
      </c>
      <c r="BX209" t="e">
        <f>AND('STERLING CATALOG - DRY '!G4678,"AAAAAG+/zks=")</f>
        <v>#VALUE!</v>
      </c>
      <c r="BY209" t="e">
        <f>AND('STERLING CATALOG - DRY '!H4678,"AAAAAG+/zkw=")</f>
        <v>#VALUE!</v>
      </c>
      <c r="BZ209" t="e">
        <f>AND('STERLING CATALOG - DRY '!I4678,"AAAAAG+/zk0=")</f>
        <v>#VALUE!</v>
      </c>
      <c r="CA209" t="e">
        <f>AND('STERLING CATALOG - DRY '!J4678,"AAAAAG+/zk4=")</f>
        <v>#VALUE!</v>
      </c>
      <c r="CB209">
        <f>IF('STERLING CATALOG - DRY '!4679:4679,"AAAAAG+/zk8=",0)</f>
        <v>0</v>
      </c>
      <c r="CC209" t="e">
        <f>AND('STERLING CATALOG - DRY '!A4679,"AAAAAG+/zlA=")</f>
        <v>#VALUE!</v>
      </c>
      <c r="CD209" t="e">
        <f>AND('STERLING CATALOG - DRY '!B4679,"AAAAAG+/zlE=")</f>
        <v>#VALUE!</v>
      </c>
      <c r="CE209" t="e">
        <f>AND('STERLING CATALOG - DRY '!C4679,"AAAAAG+/zlI=")</f>
        <v>#VALUE!</v>
      </c>
      <c r="CF209" t="e">
        <f>AND('STERLING CATALOG - DRY '!D4679,"AAAAAG+/zlM=")</f>
        <v>#VALUE!</v>
      </c>
      <c r="CG209" t="e">
        <f>AND('STERLING CATALOG - DRY '!E4679,"AAAAAG+/zlQ=")</f>
        <v>#VALUE!</v>
      </c>
      <c r="CH209" t="e">
        <f>AND('STERLING CATALOG - DRY '!F4679,"AAAAAG+/zlU=")</f>
        <v>#VALUE!</v>
      </c>
      <c r="CI209" t="e">
        <f>AND('STERLING CATALOG - DRY '!G4679,"AAAAAG+/zlY=")</f>
        <v>#VALUE!</v>
      </c>
      <c r="CJ209" t="e">
        <f>AND('STERLING CATALOG - DRY '!H4679,"AAAAAG+/zlc=")</f>
        <v>#VALUE!</v>
      </c>
      <c r="CK209" t="e">
        <f>AND('STERLING CATALOG - DRY '!I4679,"AAAAAG+/zlg=")</f>
        <v>#VALUE!</v>
      </c>
      <c r="CL209" t="e">
        <f>AND('STERLING CATALOG - DRY '!J4679,"AAAAAG+/zlk=")</f>
        <v>#VALUE!</v>
      </c>
      <c r="CM209">
        <f>IF('STERLING CATALOG - DRY '!4680:4680,"AAAAAG+/zlo=",0)</f>
        <v>0</v>
      </c>
      <c r="CN209" t="e">
        <f>AND('STERLING CATALOG - DRY '!A4680,"AAAAAG+/zls=")</f>
        <v>#VALUE!</v>
      </c>
      <c r="CO209" t="e">
        <f>AND('STERLING CATALOG - DRY '!B4680,"AAAAAG+/zlw=")</f>
        <v>#VALUE!</v>
      </c>
      <c r="CP209" t="e">
        <f>AND('STERLING CATALOG - DRY '!C4680,"AAAAAG+/zl0=")</f>
        <v>#VALUE!</v>
      </c>
      <c r="CQ209" t="e">
        <f>AND('STERLING CATALOG - DRY '!D4680,"AAAAAG+/zl4=")</f>
        <v>#VALUE!</v>
      </c>
      <c r="CR209" t="e">
        <f>AND('STERLING CATALOG - DRY '!E4680,"AAAAAG+/zl8=")</f>
        <v>#VALUE!</v>
      </c>
      <c r="CS209" t="e">
        <f>AND('STERLING CATALOG - DRY '!F4680,"AAAAAG+/zmA=")</f>
        <v>#VALUE!</v>
      </c>
      <c r="CT209" t="e">
        <f>AND('STERLING CATALOG - DRY '!G4680,"AAAAAG+/zmE=")</f>
        <v>#VALUE!</v>
      </c>
      <c r="CU209" t="e">
        <f>AND('STERLING CATALOG - DRY '!H4680,"AAAAAG+/zmI=")</f>
        <v>#VALUE!</v>
      </c>
      <c r="CV209" t="e">
        <f>AND('STERLING CATALOG - DRY '!I4680,"AAAAAG+/zmM=")</f>
        <v>#VALUE!</v>
      </c>
      <c r="CW209" t="e">
        <f>AND('STERLING CATALOG - DRY '!J4680,"AAAAAG+/zmQ=")</f>
        <v>#VALUE!</v>
      </c>
      <c r="CX209">
        <f>IF('STERLING CATALOG - DRY '!4681:4681,"AAAAAG+/zmU=",0)</f>
        <v>0</v>
      </c>
      <c r="CY209" t="e">
        <f>AND('STERLING CATALOG - DRY '!A4681,"AAAAAG+/zmY=")</f>
        <v>#VALUE!</v>
      </c>
      <c r="CZ209" t="e">
        <f>AND('STERLING CATALOG - DRY '!B4681,"AAAAAG+/zmc=")</f>
        <v>#VALUE!</v>
      </c>
      <c r="DA209" t="e">
        <f>AND('STERLING CATALOG - DRY '!C4681,"AAAAAG+/zmg=")</f>
        <v>#VALUE!</v>
      </c>
      <c r="DB209" t="e">
        <f>AND('STERLING CATALOG - DRY '!D4681,"AAAAAG+/zmk=")</f>
        <v>#VALUE!</v>
      </c>
      <c r="DC209" t="e">
        <f>AND('STERLING CATALOG - DRY '!E4681,"AAAAAG+/zmo=")</f>
        <v>#VALUE!</v>
      </c>
      <c r="DD209" t="e">
        <f>AND('STERLING CATALOG - DRY '!F4681,"AAAAAG+/zms=")</f>
        <v>#VALUE!</v>
      </c>
      <c r="DE209" t="e">
        <f>AND('STERLING CATALOG - DRY '!G4681,"AAAAAG+/zmw=")</f>
        <v>#VALUE!</v>
      </c>
      <c r="DF209" t="e">
        <f>AND('STERLING CATALOG - DRY '!H4681,"AAAAAG+/zm0=")</f>
        <v>#VALUE!</v>
      </c>
      <c r="DG209" t="e">
        <f>AND('STERLING CATALOG - DRY '!I4681,"AAAAAG+/zm4=")</f>
        <v>#VALUE!</v>
      </c>
      <c r="DH209" t="e">
        <f>AND('STERLING CATALOG - DRY '!J4681,"AAAAAG+/zm8=")</f>
        <v>#VALUE!</v>
      </c>
      <c r="DI209">
        <f>IF('STERLING CATALOG - DRY '!4682:4682,"AAAAAG+/znA=",0)</f>
        <v>0</v>
      </c>
      <c r="DJ209" t="e">
        <f>AND('STERLING CATALOG - DRY '!A4682,"AAAAAG+/znE=")</f>
        <v>#VALUE!</v>
      </c>
      <c r="DK209" t="e">
        <f>AND('STERLING CATALOG - DRY '!B4682,"AAAAAG+/znI=")</f>
        <v>#VALUE!</v>
      </c>
      <c r="DL209" t="e">
        <f>AND('STERLING CATALOG - DRY '!C4682,"AAAAAG+/znM=")</f>
        <v>#VALUE!</v>
      </c>
      <c r="DM209" t="e">
        <f>AND('STERLING CATALOG - DRY '!D4682,"AAAAAG+/znQ=")</f>
        <v>#VALUE!</v>
      </c>
      <c r="DN209" t="e">
        <f>AND('STERLING CATALOG - DRY '!E4682,"AAAAAG+/znU=")</f>
        <v>#VALUE!</v>
      </c>
      <c r="DO209" t="e">
        <f>AND('STERLING CATALOG - DRY '!F4682,"AAAAAG+/znY=")</f>
        <v>#VALUE!</v>
      </c>
      <c r="DP209" t="e">
        <f>AND('STERLING CATALOG - DRY '!G4682,"AAAAAG+/znc=")</f>
        <v>#VALUE!</v>
      </c>
      <c r="DQ209" t="e">
        <f>AND('STERLING CATALOG - DRY '!H4682,"AAAAAG+/zng=")</f>
        <v>#VALUE!</v>
      </c>
      <c r="DR209" t="e">
        <f>AND('STERLING CATALOG - DRY '!I4682,"AAAAAG+/znk=")</f>
        <v>#VALUE!</v>
      </c>
      <c r="DS209" t="e">
        <f>AND('STERLING CATALOG - DRY '!J4682,"AAAAAG+/zno=")</f>
        <v>#VALUE!</v>
      </c>
      <c r="DT209">
        <f>IF('STERLING CATALOG - DRY '!4683:4683,"AAAAAG+/zns=",0)</f>
        <v>0</v>
      </c>
      <c r="DU209" t="e">
        <f>AND('STERLING CATALOG - DRY '!A4683,"AAAAAG+/znw=")</f>
        <v>#VALUE!</v>
      </c>
      <c r="DV209" t="e">
        <f>AND('STERLING CATALOG - DRY '!B4683,"AAAAAG+/zn0=")</f>
        <v>#VALUE!</v>
      </c>
      <c r="DW209" t="e">
        <f>AND('STERLING CATALOG - DRY '!C4683,"AAAAAG+/zn4=")</f>
        <v>#VALUE!</v>
      </c>
      <c r="DX209" t="e">
        <f>AND('STERLING CATALOG - DRY '!D4683,"AAAAAG+/zn8=")</f>
        <v>#VALUE!</v>
      </c>
      <c r="DY209" t="e">
        <f>AND('STERLING CATALOG - DRY '!E4683,"AAAAAG+/zoA=")</f>
        <v>#VALUE!</v>
      </c>
      <c r="DZ209" t="e">
        <f>AND('STERLING CATALOG - DRY '!F4683,"AAAAAG+/zoE=")</f>
        <v>#VALUE!</v>
      </c>
      <c r="EA209" t="e">
        <f>AND('STERLING CATALOG - DRY '!G4683,"AAAAAG+/zoI=")</f>
        <v>#VALUE!</v>
      </c>
      <c r="EB209" t="e">
        <f>AND('STERLING CATALOG - DRY '!H4683,"AAAAAG+/zoM=")</f>
        <v>#VALUE!</v>
      </c>
      <c r="EC209" t="e">
        <f>AND('STERLING CATALOG - DRY '!I4683,"AAAAAG+/zoQ=")</f>
        <v>#VALUE!</v>
      </c>
      <c r="ED209" t="e">
        <f>AND('STERLING CATALOG - DRY '!J4683,"AAAAAG+/zoU=")</f>
        <v>#VALUE!</v>
      </c>
      <c r="EE209">
        <f>IF('STERLING CATALOG - DRY '!4684:4684,"AAAAAG+/zoY=",0)</f>
        <v>0</v>
      </c>
      <c r="EF209" t="e">
        <f>AND('STERLING CATALOG - DRY '!A4684,"AAAAAG+/zoc=")</f>
        <v>#VALUE!</v>
      </c>
      <c r="EG209" t="e">
        <f>AND('STERLING CATALOG - DRY '!B4684,"AAAAAG+/zog=")</f>
        <v>#VALUE!</v>
      </c>
      <c r="EH209" t="e">
        <f>AND('STERLING CATALOG - DRY '!C4684,"AAAAAG+/zok=")</f>
        <v>#VALUE!</v>
      </c>
      <c r="EI209" t="e">
        <f>AND('STERLING CATALOG - DRY '!D4684,"AAAAAG+/zoo=")</f>
        <v>#VALUE!</v>
      </c>
      <c r="EJ209" t="e">
        <f>AND('STERLING CATALOG - DRY '!E4684,"AAAAAG+/zos=")</f>
        <v>#VALUE!</v>
      </c>
      <c r="EK209" t="e">
        <f>AND('STERLING CATALOG - DRY '!F4684,"AAAAAG+/zow=")</f>
        <v>#VALUE!</v>
      </c>
      <c r="EL209" t="e">
        <f>AND('STERLING CATALOG - DRY '!G4684,"AAAAAG+/zo0=")</f>
        <v>#VALUE!</v>
      </c>
      <c r="EM209" t="e">
        <f>AND('STERLING CATALOG - DRY '!H4684,"AAAAAG+/zo4=")</f>
        <v>#VALUE!</v>
      </c>
      <c r="EN209" t="e">
        <f>AND('STERLING CATALOG - DRY '!I4684,"AAAAAG+/zo8=")</f>
        <v>#VALUE!</v>
      </c>
      <c r="EO209" t="e">
        <f>AND('STERLING CATALOG - DRY '!J4684,"AAAAAG+/zpA=")</f>
        <v>#VALUE!</v>
      </c>
      <c r="EP209">
        <f>IF('STERLING CATALOG - DRY '!4685:4685,"AAAAAG+/zpE=",0)</f>
        <v>0</v>
      </c>
      <c r="EQ209" t="e">
        <f>AND('STERLING CATALOG - DRY '!A4685,"AAAAAG+/zpI=")</f>
        <v>#VALUE!</v>
      </c>
      <c r="ER209" t="e">
        <f>AND('STERLING CATALOG - DRY '!B4685,"AAAAAG+/zpM=")</f>
        <v>#VALUE!</v>
      </c>
      <c r="ES209" t="e">
        <f>AND('STERLING CATALOG - DRY '!C4685,"AAAAAG+/zpQ=")</f>
        <v>#VALUE!</v>
      </c>
      <c r="ET209" t="e">
        <f>AND('STERLING CATALOG - DRY '!D4685,"AAAAAG+/zpU=")</f>
        <v>#VALUE!</v>
      </c>
      <c r="EU209" t="e">
        <f>AND('STERLING CATALOG - DRY '!E4685,"AAAAAG+/zpY=")</f>
        <v>#VALUE!</v>
      </c>
      <c r="EV209" t="e">
        <f>AND('STERLING CATALOG - DRY '!F4685,"AAAAAG+/zpc=")</f>
        <v>#VALUE!</v>
      </c>
      <c r="EW209" t="e">
        <f>AND('STERLING CATALOG - DRY '!G4685,"AAAAAG+/zpg=")</f>
        <v>#VALUE!</v>
      </c>
      <c r="EX209" t="e">
        <f>AND('STERLING CATALOG - DRY '!H4685,"AAAAAG+/zpk=")</f>
        <v>#VALUE!</v>
      </c>
      <c r="EY209" t="e">
        <f>AND('STERLING CATALOG - DRY '!I4685,"AAAAAG+/zpo=")</f>
        <v>#VALUE!</v>
      </c>
      <c r="EZ209" t="e">
        <f>AND('STERLING CATALOG - DRY '!J4685,"AAAAAG+/zps=")</f>
        <v>#VALUE!</v>
      </c>
      <c r="FA209">
        <f>IF('STERLING CATALOG - DRY '!4686:4686,"AAAAAG+/zpw=",0)</f>
        <v>0</v>
      </c>
      <c r="FB209" t="e">
        <f>AND('STERLING CATALOG - DRY '!A4686,"AAAAAG+/zp0=")</f>
        <v>#VALUE!</v>
      </c>
      <c r="FC209" t="e">
        <f>AND('STERLING CATALOG - DRY '!B4686,"AAAAAG+/zp4=")</f>
        <v>#VALUE!</v>
      </c>
      <c r="FD209" t="e">
        <f>AND('STERLING CATALOG - DRY '!C4686,"AAAAAG+/zp8=")</f>
        <v>#VALUE!</v>
      </c>
      <c r="FE209" t="e">
        <f>AND('STERLING CATALOG - DRY '!D4686,"AAAAAG+/zqA=")</f>
        <v>#VALUE!</v>
      </c>
      <c r="FF209" t="e">
        <f>AND('STERLING CATALOG - DRY '!E4686,"AAAAAG+/zqE=")</f>
        <v>#VALUE!</v>
      </c>
      <c r="FG209" t="e">
        <f>AND('STERLING CATALOG - DRY '!F4686,"AAAAAG+/zqI=")</f>
        <v>#VALUE!</v>
      </c>
      <c r="FH209" t="e">
        <f>AND('STERLING CATALOG - DRY '!G4686,"AAAAAG+/zqM=")</f>
        <v>#VALUE!</v>
      </c>
      <c r="FI209" t="e">
        <f>AND('STERLING CATALOG - DRY '!H4686,"AAAAAG+/zqQ=")</f>
        <v>#VALUE!</v>
      </c>
      <c r="FJ209" t="e">
        <f>AND('STERLING CATALOG - DRY '!I4686,"AAAAAG+/zqU=")</f>
        <v>#VALUE!</v>
      </c>
      <c r="FK209" t="e">
        <f>AND('STERLING CATALOG - DRY '!J4686,"AAAAAG+/zqY=")</f>
        <v>#VALUE!</v>
      </c>
      <c r="FL209">
        <f>IF('STERLING CATALOG - DRY '!4687:4687,"AAAAAG+/zqc=",0)</f>
        <v>0</v>
      </c>
      <c r="FM209" t="e">
        <f>AND('STERLING CATALOG - DRY '!A4687,"AAAAAG+/zqg=")</f>
        <v>#VALUE!</v>
      </c>
      <c r="FN209" t="e">
        <f>AND('STERLING CATALOG - DRY '!B4687,"AAAAAG+/zqk=")</f>
        <v>#VALUE!</v>
      </c>
      <c r="FO209" t="e">
        <f>AND('STERLING CATALOG - DRY '!C4687,"AAAAAG+/zqo=")</f>
        <v>#VALUE!</v>
      </c>
      <c r="FP209" t="e">
        <f>AND('STERLING CATALOG - DRY '!D4687,"AAAAAG+/zqs=")</f>
        <v>#VALUE!</v>
      </c>
      <c r="FQ209" t="e">
        <f>AND('STERLING CATALOG - DRY '!E4687,"AAAAAG+/zqw=")</f>
        <v>#VALUE!</v>
      </c>
      <c r="FR209" t="e">
        <f>AND('STERLING CATALOG - DRY '!F4687,"AAAAAG+/zq0=")</f>
        <v>#VALUE!</v>
      </c>
      <c r="FS209" t="e">
        <f>AND('STERLING CATALOG - DRY '!G4687,"AAAAAG+/zq4=")</f>
        <v>#VALUE!</v>
      </c>
      <c r="FT209" t="e">
        <f>AND('STERLING CATALOG - DRY '!H4687,"AAAAAG+/zq8=")</f>
        <v>#VALUE!</v>
      </c>
      <c r="FU209" t="e">
        <f>AND('STERLING CATALOG - DRY '!I4687,"AAAAAG+/zrA=")</f>
        <v>#VALUE!</v>
      </c>
      <c r="FV209" t="e">
        <f>AND('STERLING CATALOG - DRY '!J4687,"AAAAAG+/zrE=")</f>
        <v>#VALUE!</v>
      </c>
      <c r="FW209">
        <f>IF('STERLING CATALOG - DRY '!4688:4688,"AAAAAG+/zrI=",0)</f>
        <v>0</v>
      </c>
      <c r="FX209" t="e">
        <f>AND('STERLING CATALOG - DRY '!A4688,"AAAAAG+/zrM=")</f>
        <v>#VALUE!</v>
      </c>
      <c r="FY209" t="e">
        <f>AND('STERLING CATALOG - DRY '!B4688,"AAAAAG+/zrQ=")</f>
        <v>#VALUE!</v>
      </c>
      <c r="FZ209" t="e">
        <f>AND('STERLING CATALOG - DRY '!C4688,"AAAAAG+/zrU=")</f>
        <v>#VALUE!</v>
      </c>
      <c r="GA209" t="e">
        <f>AND('STERLING CATALOG - DRY '!D4688,"AAAAAG+/zrY=")</f>
        <v>#VALUE!</v>
      </c>
      <c r="GB209" t="e">
        <f>AND('STERLING CATALOG - DRY '!E4688,"AAAAAG+/zrc=")</f>
        <v>#VALUE!</v>
      </c>
      <c r="GC209" t="e">
        <f>AND('STERLING CATALOG - DRY '!F4688,"AAAAAG+/zrg=")</f>
        <v>#VALUE!</v>
      </c>
      <c r="GD209" t="e">
        <f>AND('STERLING CATALOG - DRY '!G4688,"AAAAAG+/zrk=")</f>
        <v>#VALUE!</v>
      </c>
      <c r="GE209" t="e">
        <f>AND('STERLING CATALOG - DRY '!H4688,"AAAAAG+/zro=")</f>
        <v>#VALUE!</v>
      </c>
      <c r="GF209" t="e">
        <f>AND('STERLING CATALOG - DRY '!I4688,"AAAAAG+/zrs=")</f>
        <v>#VALUE!</v>
      </c>
      <c r="GG209" t="e">
        <f>AND('STERLING CATALOG - DRY '!J4688,"AAAAAG+/zrw=")</f>
        <v>#VALUE!</v>
      </c>
      <c r="GH209">
        <f>IF('STERLING CATALOG - DRY '!4689:4689,"AAAAAG+/zr0=",0)</f>
        <v>0</v>
      </c>
      <c r="GI209" t="e">
        <f>AND('STERLING CATALOG - DRY '!A4689,"AAAAAG+/zr4=")</f>
        <v>#VALUE!</v>
      </c>
      <c r="GJ209" t="e">
        <f>AND('STERLING CATALOG - DRY '!B4689,"AAAAAG+/zr8=")</f>
        <v>#VALUE!</v>
      </c>
      <c r="GK209" t="e">
        <f>AND('STERLING CATALOG - DRY '!C4689,"AAAAAG+/zsA=")</f>
        <v>#VALUE!</v>
      </c>
      <c r="GL209" t="e">
        <f>AND('STERLING CATALOG - DRY '!D4689,"AAAAAG+/zsE=")</f>
        <v>#VALUE!</v>
      </c>
      <c r="GM209" t="e">
        <f>AND('STERLING CATALOG - DRY '!E4689,"AAAAAG+/zsI=")</f>
        <v>#VALUE!</v>
      </c>
      <c r="GN209" t="e">
        <f>AND('STERLING CATALOG - DRY '!F4689,"AAAAAG+/zsM=")</f>
        <v>#VALUE!</v>
      </c>
      <c r="GO209" t="e">
        <f>AND('STERLING CATALOG - DRY '!G4689,"AAAAAG+/zsQ=")</f>
        <v>#VALUE!</v>
      </c>
      <c r="GP209" t="e">
        <f>AND('STERLING CATALOG - DRY '!H4689,"AAAAAG+/zsU=")</f>
        <v>#VALUE!</v>
      </c>
      <c r="GQ209" t="e">
        <f>AND('STERLING CATALOG - DRY '!I4689,"AAAAAG+/zsY=")</f>
        <v>#VALUE!</v>
      </c>
      <c r="GR209" t="e">
        <f>AND('STERLING CATALOG - DRY '!J4689,"AAAAAG+/zsc=")</f>
        <v>#VALUE!</v>
      </c>
      <c r="GS209">
        <f>IF('STERLING CATALOG - DRY '!4690:4690,"AAAAAG+/zsg=",0)</f>
        <v>0</v>
      </c>
      <c r="GT209" t="e">
        <f>AND('STERLING CATALOG - DRY '!A4690,"AAAAAG+/zsk=")</f>
        <v>#VALUE!</v>
      </c>
      <c r="GU209" t="e">
        <f>AND('STERLING CATALOG - DRY '!B4690,"AAAAAG+/zso=")</f>
        <v>#VALUE!</v>
      </c>
      <c r="GV209" t="e">
        <f>AND('STERLING CATALOG - DRY '!C4690,"AAAAAG+/zss=")</f>
        <v>#VALUE!</v>
      </c>
      <c r="GW209" t="e">
        <f>AND('STERLING CATALOG - DRY '!D4690,"AAAAAG+/zsw=")</f>
        <v>#VALUE!</v>
      </c>
      <c r="GX209" t="e">
        <f>AND('STERLING CATALOG - DRY '!E4690,"AAAAAG+/zs0=")</f>
        <v>#VALUE!</v>
      </c>
      <c r="GY209" t="e">
        <f>AND('STERLING CATALOG - DRY '!F4690,"AAAAAG+/zs4=")</f>
        <v>#VALUE!</v>
      </c>
      <c r="GZ209" t="e">
        <f>AND('STERLING CATALOG - DRY '!G4690,"AAAAAG+/zs8=")</f>
        <v>#VALUE!</v>
      </c>
      <c r="HA209" t="e">
        <f>AND('STERLING CATALOG - DRY '!H4690,"AAAAAG+/ztA=")</f>
        <v>#VALUE!</v>
      </c>
      <c r="HB209" t="e">
        <f>AND('STERLING CATALOG - DRY '!I4690,"AAAAAG+/ztE=")</f>
        <v>#VALUE!</v>
      </c>
      <c r="HC209" t="e">
        <f>AND('STERLING CATALOG - DRY '!J4690,"AAAAAG+/ztI=")</f>
        <v>#VALUE!</v>
      </c>
      <c r="HD209">
        <f>IF('STERLING CATALOG - DRY '!4691:4691,"AAAAAG+/ztM=",0)</f>
        <v>0</v>
      </c>
      <c r="HE209" t="e">
        <f>AND('STERLING CATALOG - DRY '!A4691,"AAAAAG+/ztQ=")</f>
        <v>#VALUE!</v>
      </c>
      <c r="HF209" t="e">
        <f>AND('STERLING CATALOG - DRY '!B4691,"AAAAAG+/ztU=")</f>
        <v>#VALUE!</v>
      </c>
      <c r="HG209" t="e">
        <f>AND('STERLING CATALOG - DRY '!C4691,"AAAAAG+/ztY=")</f>
        <v>#VALUE!</v>
      </c>
      <c r="HH209" t="e">
        <f>AND('STERLING CATALOG - DRY '!D4691,"AAAAAG+/ztc=")</f>
        <v>#VALUE!</v>
      </c>
      <c r="HI209" t="e">
        <f>AND('STERLING CATALOG - DRY '!E4691,"AAAAAG+/ztg=")</f>
        <v>#VALUE!</v>
      </c>
      <c r="HJ209" t="e">
        <f>AND('STERLING CATALOG - DRY '!F4691,"AAAAAG+/ztk=")</f>
        <v>#VALUE!</v>
      </c>
      <c r="HK209" t="e">
        <f>AND('STERLING CATALOG - DRY '!G4691,"AAAAAG+/zto=")</f>
        <v>#VALUE!</v>
      </c>
      <c r="HL209" t="e">
        <f>AND('STERLING CATALOG - DRY '!H4691,"AAAAAG+/zts=")</f>
        <v>#VALUE!</v>
      </c>
      <c r="HM209" t="e">
        <f>AND('STERLING CATALOG - DRY '!I4691,"AAAAAG+/ztw=")</f>
        <v>#VALUE!</v>
      </c>
      <c r="HN209" t="e">
        <f>AND('STERLING CATALOG - DRY '!J4691,"AAAAAG+/zt0=")</f>
        <v>#VALUE!</v>
      </c>
      <c r="HO209">
        <f>IF('STERLING CATALOG - DRY '!4692:4692,"AAAAAG+/zt4=",0)</f>
        <v>0</v>
      </c>
      <c r="HP209" t="e">
        <f>AND('STERLING CATALOG - DRY '!A4692,"AAAAAG+/zt8=")</f>
        <v>#VALUE!</v>
      </c>
      <c r="HQ209" t="e">
        <f>AND('STERLING CATALOG - DRY '!B4692,"AAAAAG+/zuA=")</f>
        <v>#VALUE!</v>
      </c>
      <c r="HR209" t="e">
        <f>AND('STERLING CATALOG - DRY '!C4692,"AAAAAG+/zuE=")</f>
        <v>#VALUE!</v>
      </c>
      <c r="HS209" t="e">
        <f>AND('STERLING CATALOG - DRY '!D4692,"AAAAAG+/zuI=")</f>
        <v>#VALUE!</v>
      </c>
      <c r="HT209" t="e">
        <f>AND('STERLING CATALOG - DRY '!E4692,"AAAAAG+/zuM=")</f>
        <v>#VALUE!</v>
      </c>
      <c r="HU209" t="e">
        <f>AND('STERLING CATALOG - DRY '!F4692,"AAAAAG+/zuQ=")</f>
        <v>#VALUE!</v>
      </c>
      <c r="HV209" t="e">
        <f>AND('STERLING CATALOG - DRY '!G4692,"AAAAAG+/zuU=")</f>
        <v>#VALUE!</v>
      </c>
      <c r="HW209" t="e">
        <f>AND('STERLING CATALOG - DRY '!H4692,"AAAAAG+/zuY=")</f>
        <v>#VALUE!</v>
      </c>
      <c r="HX209" t="e">
        <f>AND('STERLING CATALOG - DRY '!I4692,"AAAAAG+/zuc=")</f>
        <v>#VALUE!</v>
      </c>
      <c r="HY209" t="e">
        <f>AND('STERLING CATALOG - DRY '!J4692,"AAAAAG+/zug=")</f>
        <v>#VALUE!</v>
      </c>
      <c r="HZ209">
        <f>IF('STERLING CATALOG - DRY '!4693:4693,"AAAAAG+/zuk=",0)</f>
        <v>0</v>
      </c>
      <c r="IA209" t="e">
        <f>AND('STERLING CATALOG - DRY '!A4693,"AAAAAG+/zuo=")</f>
        <v>#VALUE!</v>
      </c>
      <c r="IB209" t="e">
        <f>AND('STERLING CATALOG - DRY '!B4693,"AAAAAG+/zus=")</f>
        <v>#VALUE!</v>
      </c>
      <c r="IC209" t="e">
        <f>AND('STERLING CATALOG - DRY '!C4693,"AAAAAG+/zuw=")</f>
        <v>#VALUE!</v>
      </c>
      <c r="ID209" t="e">
        <f>AND('STERLING CATALOG - DRY '!D4693,"AAAAAG+/zu0=")</f>
        <v>#VALUE!</v>
      </c>
      <c r="IE209" t="e">
        <f>AND('STERLING CATALOG - DRY '!E4693,"AAAAAG+/zu4=")</f>
        <v>#VALUE!</v>
      </c>
      <c r="IF209" t="e">
        <f>AND('STERLING CATALOG - DRY '!F4693,"AAAAAG+/zu8=")</f>
        <v>#VALUE!</v>
      </c>
      <c r="IG209" t="e">
        <f>AND('STERLING CATALOG - DRY '!G4693,"AAAAAG+/zvA=")</f>
        <v>#VALUE!</v>
      </c>
      <c r="IH209" t="e">
        <f>AND('STERLING CATALOG - DRY '!H4693,"AAAAAG+/zvE=")</f>
        <v>#VALUE!</v>
      </c>
      <c r="II209" t="e">
        <f>AND('STERLING CATALOG - DRY '!I4693,"AAAAAG+/zvI=")</f>
        <v>#VALUE!</v>
      </c>
      <c r="IJ209" t="e">
        <f>AND('STERLING CATALOG - DRY '!J4693,"AAAAAG+/zvM=")</f>
        <v>#VALUE!</v>
      </c>
      <c r="IK209">
        <f>IF('STERLING CATALOG - DRY '!4694:4694,"AAAAAG+/zvQ=",0)</f>
        <v>0</v>
      </c>
      <c r="IL209" t="e">
        <f>AND('STERLING CATALOG - DRY '!A4694,"AAAAAG+/zvU=")</f>
        <v>#VALUE!</v>
      </c>
      <c r="IM209" t="e">
        <f>AND('STERLING CATALOG - DRY '!B4694,"AAAAAG+/zvY=")</f>
        <v>#VALUE!</v>
      </c>
      <c r="IN209" t="e">
        <f>AND('STERLING CATALOG - DRY '!C4694,"AAAAAG+/zvc=")</f>
        <v>#VALUE!</v>
      </c>
      <c r="IO209" t="e">
        <f>AND('STERLING CATALOG - DRY '!D4694,"AAAAAG+/zvg=")</f>
        <v>#VALUE!</v>
      </c>
      <c r="IP209" t="e">
        <f>AND('STERLING CATALOG - DRY '!E4694,"AAAAAG+/zvk=")</f>
        <v>#VALUE!</v>
      </c>
      <c r="IQ209" t="e">
        <f>AND('STERLING CATALOG - DRY '!F4694,"AAAAAG+/zvo=")</f>
        <v>#VALUE!</v>
      </c>
      <c r="IR209" t="e">
        <f>AND('STERLING CATALOG - DRY '!G4694,"AAAAAG+/zvs=")</f>
        <v>#VALUE!</v>
      </c>
      <c r="IS209" t="e">
        <f>AND('STERLING CATALOG - DRY '!H4694,"AAAAAG+/zvw=")</f>
        <v>#VALUE!</v>
      </c>
      <c r="IT209" t="e">
        <f>AND('STERLING CATALOG - DRY '!I4694,"AAAAAG+/zv0=")</f>
        <v>#VALUE!</v>
      </c>
      <c r="IU209" t="e">
        <f>AND('STERLING CATALOG - DRY '!J4694,"AAAAAG+/zv4=")</f>
        <v>#VALUE!</v>
      </c>
      <c r="IV209">
        <f>IF('STERLING CATALOG - DRY '!4695:4695,"AAAAAG+/zv8=",0)</f>
        <v>0</v>
      </c>
    </row>
    <row r="210" spans="1:256">
      <c r="A210" t="e">
        <f>AND('STERLING CATALOG - DRY '!A4695,"AAAAAH//xQA=")</f>
        <v>#VALUE!</v>
      </c>
      <c r="B210" t="e">
        <f>AND('STERLING CATALOG - DRY '!B4695,"AAAAAH//xQE=")</f>
        <v>#VALUE!</v>
      </c>
      <c r="C210" t="e">
        <f>AND('STERLING CATALOG - DRY '!C4695,"AAAAAH//xQI=")</f>
        <v>#VALUE!</v>
      </c>
      <c r="D210" t="e">
        <f>AND('STERLING CATALOG - DRY '!D4695,"AAAAAH//xQM=")</f>
        <v>#VALUE!</v>
      </c>
      <c r="E210" t="e">
        <f>AND('STERLING CATALOG - DRY '!E4695,"AAAAAH//xQQ=")</f>
        <v>#VALUE!</v>
      </c>
      <c r="F210" t="e">
        <f>AND('STERLING CATALOG - DRY '!F4695,"AAAAAH//xQU=")</f>
        <v>#VALUE!</v>
      </c>
      <c r="G210" t="e">
        <f>AND('STERLING CATALOG - DRY '!G4695,"AAAAAH//xQY=")</f>
        <v>#VALUE!</v>
      </c>
      <c r="H210" t="e">
        <f>AND('STERLING CATALOG - DRY '!H4695,"AAAAAH//xQc=")</f>
        <v>#VALUE!</v>
      </c>
      <c r="I210" t="e">
        <f>AND('STERLING CATALOG - DRY '!I4695,"AAAAAH//xQg=")</f>
        <v>#VALUE!</v>
      </c>
      <c r="J210" t="e">
        <f>AND('STERLING CATALOG - DRY '!J4695,"AAAAAH//xQk=")</f>
        <v>#VALUE!</v>
      </c>
      <c r="K210">
        <f>IF('STERLING CATALOG - DRY '!4696:4696,"AAAAAH//xQo=",0)</f>
        <v>0</v>
      </c>
      <c r="L210" t="e">
        <f>AND('STERLING CATALOG - DRY '!A4696,"AAAAAH//xQs=")</f>
        <v>#VALUE!</v>
      </c>
      <c r="M210" t="e">
        <f>AND('STERLING CATALOG - DRY '!B4696,"AAAAAH//xQw=")</f>
        <v>#VALUE!</v>
      </c>
      <c r="N210" t="e">
        <f>AND('STERLING CATALOG - DRY '!C4696,"AAAAAH//xQ0=")</f>
        <v>#VALUE!</v>
      </c>
      <c r="O210" t="e">
        <f>AND('STERLING CATALOG - DRY '!D4696,"AAAAAH//xQ4=")</f>
        <v>#VALUE!</v>
      </c>
      <c r="P210" t="e">
        <f>AND('STERLING CATALOG - DRY '!E4696,"AAAAAH//xQ8=")</f>
        <v>#VALUE!</v>
      </c>
      <c r="Q210" t="e">
        <f>AND('STERLING CATALOG - DRY '!F4696,"AAAAAH//xRA=")</f>
        <v>#VALUE!</v>
      </c>
      <c r="R210" t="e">
        <f>AND('STERLING CATALOG - DRY '!G4696,"AAAAAH//xRE=")</f>
        <v>#VALUE!</v>
      </c>
      <c r="S210" t="e">
        <f>AND('STERLING CATALOG - DRY '!H4696,"AAAAAH//xRI=")</f>
        <v>#VALUE!</v>
      </c>
      <c r="T210" t="e">
        <f>AND('STERLING CATALOG - DRY '!I4696,"AAAAAH//xRM=")</f>
        <v>#VALUE!</v>
      </c>
      <c r="U210" t="e">
        <f>AND('STERLING CATALOG - DRY '!J4696,"AAAAAH//xRQ=")</f>
        <v>#VALUE!</v>
      </c>
      <c r="V210">
        <f>IF('STERLING CATALOG - DRY '!4697:4697,"AAAAAH//xRU=",0)</f>
        <v>0</v>
      </c>
      <c r="W210" t="e">
        <f>AND('STERLING CATALOG - DRY '!A4697,"AAAAAH//xRY=")</f>
        <v>#VALUE!</v>
      </c>
      <c r="X210" t="e">
        <f>AND('STERLING CATALOG - DRY '!B4697,"AAAAAH//xRc=")</f>
        <v>#VALUE!</v>
      </c>
      <c r="Y210" t="e">
        <f>AND('STERLING CATALOG - DRY '!C4697,"AAAAAH//xRg=")</f>
        <v>#VALUE!</v>
      </c>
      <c r="Z210" t="e">
        <f>AND('STERLING CATALOG - DRY '!D4697,"AAAAAH//xRk=")</f>
        <v>#VALUE!</v>
      </c>
      <c r="AA210" t="e">
        <f>AND('STERLING CATALOG - DRY '!E4697,"AAAAAH//xRo=")</f>
        <v>#VALUE!</v>
      </c>
      <c r="AB210" t="e">
        <f>AND('STERLING CATALOG - DRY '!F4697,"AAAAAH//xRs=")</f>
        <v>#VALUE!</v>
      </c>
      <c r="AC210" t="e">
        <f>AND('STERLING CATALOG - DRY '!G4697,"AAAAAH//xRw=")</f>
        <v>#VALUE!</v>
      </c>
      <c r="AD210" t="e">
        <f>AND('STERLING CATALOG - DRY '!H4697,"AAAAAH//xR0=")</f>
        <v>#VALUE!</v>
      </c>
      <c r="AE210" t="e">
        <f>AND('STERLING CATALOG - DRY '!I4697,"AAAAAH//xR4=")</f>
        <v>#VALUE!</v>
      </c>
      <c r="AF210" t="e">
        <f>AND('STERLING CATALOG - DRY '!J4697,"AAAAAH//xR8=")</f>
        <v>#VALUE!</v>
      </c>
      <c r="AG210">
        <f>IF('STERLING CATALOG - DRY '!4698:4698,"AAAAAH//xSA=",0)</f>
        <v>0</v>
      </c>
      <c r="AH210" t="e">
        <f>AND('STERLING CATALOG - DRY '!A4698,"AAAAAH//xSE=")</f>
        <v>#VALUE!</v>
      </c>
      <c r="AI210" t="e">
        <f>AND('STERLING CATALOG - DRY '!B4698,"AAAAAH//xSI=")</f>
        <v>#VALUE!</v>
      </c>
      <c r="AJ210" t="e">
        <f>AND('STERLING CATALOG - DRY '!C4698,"AAAAAH//xSM=")</f>
        <v>#VALUE!</v>
      </c>
      <c r="AK210" t="e">
        <f>AND('STERLING CATALOG - DRY '!D4698,"AAAAAH//xSQ=")</f>
        <v>#VALUE!</v>
      </c>
      <c r="AL210" t="e">
        <f>AND('STERLING CATALOG - DRY '!E4698,"AAAAAH//xSU=")</f>
        <v>#VALUE!</v>
      </c>
      <c r="AM210" t="e">
        <f>AND('STERLING CATALOG - DRY '!F4698,"AAAAAH//xSY=")</f>
        <v>#VALUE!</v>
      </c>
      <c r="AN210" t="e">
        <f>AND('STERLING CATALOG - DRY '!G4698,"AAAAAH//xSc=")</f>
        <v>#VALUE!</v>
      </c>
      <c r="AO210" t="e">
        <f>AND('STERLING CATALOG - DRY '!H4698,"AAAAAH//xSg=")</f>
        <v>#VALUE!</v>
      </c>
      <c r="AP210" t="e">
        <f>AND('STERLING CATALOG - DRY '!I4698,"AAAAAH//xSk=")</f>
        <v>#VALUE!</v>
      </c>
      <c r="AQ210" t="e">
        <f>AND('STERLING CATALOG - DRY '!J4698,"AAAAAH//xSo=")</f>
        <v>#VALUE!</v>
      </c>
      <c r="AR210">
        <f>IF('STERLING CATALOG - DRY '!4699:4699,"AAAAAH//xSs=",0)</f>
        <v>0</v>
      </c>
      <c r="AS210" t="e">
        <f>AND('STERLING CATALOG - DRY '!A4699,"AAAAAH//xSw=")</f>
        <v>#VALUE!</v>
      </c>
      <c r="AT210" t="e">
        <f>AND('STERLING CATALOG - DRY '!B4699,"AAAAAH//xS0=")</f>
        <v>#VALUE!</v>
      </c>
      <c r="AU210" t="e">
        <f>AND('STERLING CATALOG - DRY '!C4699,"AAAAAH//xS4=")</f>
        <v>#VALUE!</v>
      </c>
      <c r="AV210" t="e">
        <f>AND('STERLING CATALOG - DRY '!D4699,"AAAAAH//xS8=")</f>
        <v>#VALUE!</v>
      </c>
      <c r="AW210" t="e">
        <f>AND('STERLING CATALOG - DRY '!E4699,"AAAAAH//xTA=")</f>
        <v>#VALUE!</v>
      </c>
      <c r="AX210" t="e">
        <f>AND('STERLING CATALOG - DRY '!F4699,"AAAAAH//xTE=")</f>
        <v>#VALUE!</v>
      </c>
      <c r="AY210" t="e">
        <f>AND('STERLING CATALOG - DRY '!G4699,"AAAAAH//xTI=")</f>
        <v>#VALUE!</v>
      </c>
      <c r="AZ210" t="e">
        <f>AND('STERLING CATALOG - DRY '!H4699,"AAAAAH//xTM=")</f>
        <v>#VALUE!</v>
      </c>
      <c r="BA210" t="e">
        <f>AND('STERLING CATALOG - DRY '!I4699,"AAAAAH//xTQ=")</f>
        <v>#VALUE!</v>
      </c>
      <c r="BB210" t="e">
        <f>AND('STERLING CATALOG - DRY '!J4699,"AAAAAH//xTU=")</f>
        <v>#VALUE!</v>
      </c>
      <c r="BC210">
        <f>IF('STERLING CATALOG - DRY '!4700:4700,"AAAAAH//xTY=",0)</f>
        <v>0</v>
      </c>
      <c r="BD210" t="e">
        <f>AND('STERLING CATALOG - DRY '!A4700,"AAAAAH//xTc=")</f>
        <v>#VALUE!</v>
      </c>
      <c r="BE210" t="e">
        <f>AND('STERLING CATALOG - DRY '!B4700,"AAAAAH//xTg=")</f>
        <v>#VALUE!</v>
      </c>
      <c r="BF210" t="e">
        <f>AND('STERLING CATALOG - DRY '!C4700,"AAAAAH//xTk=")</f>
        <v>#VALUE!</v>
      </c>
      <c r="BG210" t="e">
        <f>AND('STERLING CATALOG - DRY '!D4700,"AAAAAH//xTo=")</f>
        <v>#VALUE!</v>
      </c>
      <c r="BH210" t="e">
        <f>AND('STERLING CATALOG - DRY '!E4700,"AAAAAH//xTs=")</f>
        <v>#VALUE!</v>
      </c>
      <c r="BI210" t="e">
        <f>AND('STERLING CATALOG - DRY '!F4700,"AAAAAH//xTw=")</f>
        <v>#VALUE!</v>
      </c>
      <c r="BJ210" t="e">
        <f>AND('STERLING CATALOG - DRY '!G4700,"AAAAAH//xT0=")</f>
        <v>#VALUE!</v>
      </c>
      <c r="BK210" t="e">
        <f>AND('STERLING CATALOG - DRY '!H4700,"AAAAAH//xT4=")</f>
        <v>#VALUE!</v>
      </c>
      <c r="BL210" t="e">
        <f>AND('STERLING CATALOG - DRY '!I4700,"AAAAAH//xT8=")</f>
        <v>#VALUE!</v>
      </c>
      <c r="BM210" t="e">
        <f>AND('STERLING CATALOG - DRY '!J4700,"AAAAAH//xUA=")</f>
        <v>#VALUE!</v>
      </c>
      <c r="BN210">
        <f>IF('STERLING CATALOG - DRY '!4701:4701,"AAAAAH//xUE=",0)</f>
        <v>0</v>
      </c>
      <c r="BO210" t="e">
        <f>AND('STERLING CATALOG - DRY '!A4701,"AAAAAH//xUI=")</f>
        <v>#VALUE!</v>
      </c>
      <c r="BP210" t="e">
        <f>AND('STERLING CATALOG - DRY '!B4701,"AAAAAH//xUM=")</f>
        <v>#VALUE!</v>
      </c>
      <c r="BQ210" t="e">
        <f>AND('STERLING CATALOG - DRY '!C4701,"AAAAAH//xUQ=")</f>
        <v>#VALUE!</v>
      </c>
      <c r="BR210" t="e">
        <f>AND('STERLING CATALOG - DRY '!D4701,"AAAAAH//xUU=")</f>
        <v>#VALUE!</v>
      </c>
      <c r="BS210" t="e">
        <f>AND('STERLING CATALOG - DRY '!E4701,"AAAAAH//xUY=")</f>
        <v>#VALUE!</v>
      </c>
      <c r="BT210" t="e">
        <f>AND('STERLING CATALOG - DRY '!F4701,"AAAAAH//xUc=")</f>
        <v>#VALUE!</v>
      </c>
      <c r="BU210" t="e">
        <f>AND('STERLING CATALOG - DRY '!G4701,"AAAAAH//xUg=")</f>
        <v>#VALUE!</v>
      </c>
      <c r="BV210" t="e">
        <f>AND('STERLING CATALOG - DRY '!H4701,"AAAAAH//xUk=")</f>
        <v>#VALUE!</v>
      </c>
      <c r="BW210" t="e">
        <f>AND('STERLING CATALOG - DRY '!I4701,"AAAAAH//xUo=")</f>
        <v>#VALUE!</v>
      </c>
      <c r="BX210" t="e">
        <f>AND('STERLING CATALOG - DRY '!J4701,"AAAAAH//xUs=")</f>
        <v>#VALUE!</v>
      </c>
      <c r="BY210">
        <f>IF('STERLING CATALOG - DRY '!4702:4702,"AAAAAH//xUw=",0)</f>
        <v>0</v>
      </c>
      <c r="BZ210" t="e">
        <f>AND('STERLING CATALOG - DRY '!A4702,"AAAAAH//xU0=")</f>
        <v>#VALUE!</v>
      </c>
      <c r="CA210" t="e">
        <f>AND('STERLING CATALOG - DRY '!B4702,"AAAAAH//xU4=")</f>
        <v>#VALUE!</v>
      </c>
      <c r="CB210" t="e">
        <f>AND('STERLING CATALOG - DRY '!C4702,"AAAAAH//xU8=")</f>
        <v>#VALUE!</v>
      </c>
      <c r="CC210" t="e">
        <f>AND('STERLING CATALOG - DRY '!D4702,"AAAAAH//xVA=")</f>
        <v>#VALUE!</v>
      </c>
      <c r="CD210" t="e">
        <f>AND('STERLING CATALOG - DRY '!E4702,"AAAAAH//xVE=")</f>
        <v>#VALUE!</v>
      </c>
      <c r="CE210" t="e">
        <f>AND('STERLING CATALOG - DRY '!F4702,"AAAAAH//xVI=")</f>
        <v>#VALUE!</v>
      </c>
      <c r="CF210" t="e">
        <f>AND('STERLING CATALOG - DRY '!G4702,"AAAAAH//xVM=")</f>
        <v>#VALUE!</v>
      </c>
      <c r="CG210" t="e">
        <f>AND('STERLING CATALOG - DRY '!H4702,"AAAAAH//xVQ=")</f>
        <v>#VALUE!</v>
      </c>
      <c r="CH210" t="e">
        <f>AND('STERLING CATALOG - DRY '!I4702,"AAAAAH//xVU=")</f>
        <v>#VALUE!</v>
      </c>
      <c r="CI210" t="e">
        <f>AND('STERLING CATALOG - DRY '!J4702,"AAAAAH//xVY=")</f>
        <v>#VALUE!</v>
      </c>
      <c r="CJ210">
        <f>IF('STERLING CATALOG - DRY '!4703:4703,"AAAAAH//xVc=",0)</f>
        <v>0</v>
      </c>
      <c r="CK210" t="e">
        <f>AND('STERLING CATALOG - DRY '!A4703,"AAAAAH//xVg=")</f>
        <v>#VALUE!</v>
      </c>
      <c r="CL210" t="e">
        <f>AND('STERLING CATALOG - DRY '!B4703,"AAAAAH//xVk=")</f>
        <v>#VALUE!</v>
      </c>
      <c r="CM210" t="e">
        <f>AND('STERLING CATALOG - DRY '!C4703,"AAAAAH//xVo=")</f>
        <v>#VALUE!</v>
      </c>
      <c r="CN210" t="e">
        <f>AND('STERLING CATALOG - DRY '!D4703,"AAAAAH//xVs=")</f>
        <v>#VALUE!</v>
      </c>
      <c r="CO210" t="e">
        <f>AND('STERLING CATALOG - DRY '!E4703,"AAAAAH//xVw=")</f>
        <v>#VALUE!</v>
      </c>
      <c r="CP210" t="e">
        <f>AND('STERLING CATALOG - DRY '!F4703,"AAAAAH//xV0=")</f>
        <v>#VALUE!</v>
      </c>
      <c r="CQ210" t="e">
        <f>AND('STERLING CATALOG - DRY '!G4703,"AAAAAH//xV4=")</f>
        <v>#VALUE!</v>
      </c>
      <c r="CR210" t="e">
        <f>AND('STERLING CATALOG - DRY '!H4703,"AAAAAH//xV8=")</f>
        <v>#VALUE!</v>
      </c>
      <c r="CS210" t="e">
        <f>AND('STERLING CATALOG - DRY '!I4703,"AAAAAH//xWA=")</f>
        <v>#VALUE!</v>
      </c>
      <c r="CT210" t="e">
        <f>AND('STERLING CATALOG - DRY '!J4703,"AAAAAH//xWE=")</f>
        <v>#VALUE!</v>
      </c>
      <c r="CU210">
        <f>IF('STERLING CATALOG - DRY '!4704:4704,"AAAAAH//xWI=",0)</f>
        <v>0</v>
      </c>
      <c r="CV210" t="e">
        <f>AND('STERLING CATALOG - DRY '!A4704,"AAAAAH//xWM=")</f>
        <v>#VALUE!</v>
      </c>
      <c r="CW210" t="e">
        <f>AND('STERLING CATALOG - DRY '!B4704,"AAAAAH//xWQ=")</f>
        <v>#VALUE!</v>
      </c>
      <c r="CX210" t="e">
        <f>AND('STERLING CATALOG - DRY '!C4704,"AAAAAH//xWU=")</f>
        <v>#VALUE!</v>
      </c>
      <c r="CY210" t="e">
        <f>AND('STERLING CATALOG - DRY '!D4704,"AAAAAH//xWY=")</f>
        <v>#VALUE!</v>
      </c>
      <c r="CZ210" t="e">
        <f>AND('STERLING CATALOG - DRY '!E4704,"AAAAAH//xWc=")</f>
        <v>#VALUE!</v>
      </c>
      <c r="DA210" t="e">
        <f>AND('STERLING CATALOG - DRY '!F4704,"AAAAAH//xWg=")</f>
        <v>#VALUE!</v>
      </c>
      <c r="DB210" t="e">
        <f>AND('STERLING CATALOG - DRY '!G4704,"AAAAAH//xWk=")</f>
        <v>#VALUE!</v>
      </c>
      <c r="DC210" t="e">
        <f>AND('STERLING CATALOG - DRY '!H4704,"AAAAAH//xWo=")</f>
        <v>#VALUE!</v>
      </c>
      <c r="DD210" t="e">
        <f>AND('STERLING CATALOG - DRY '!I4704,"AAAAAH//xWs=")</f>
        <v>#VALUE!</v>
      </c>
      <c r="DE210" t="e">
        <f>AND('STERLING CATALOG - DRY '!J4704,"AAAAAH//xWw=")</f>
        <v>#VALUE!</v>
      </c>
      <c r="DF210">
        <f>IF('STERLING CATALOG - DRY '!4705:4705,"AAAAAH//xW0=",0)</f>
        <v>0</v>
      </c>
      <c r="DG210" t="e">
        <f>AND('STERLING CATALOG - DRY '!A4705,"AAAAAH//xW4=")</f>
        <v>#VALUE!</v>
      </c>
      <c r="DH210" t="e">
        <f>AND('STERLING CATALOG - DRY '!B4705,"AAAAAH//xW8=")</f>
        <v>#VALUE!</v>
      </c>
      <c r="DI210" t="e">
        <f>AND('STERLING CATALOG - DRY '!C4705,"AAAAAH//xXA=")</f>
        <v>#VALUE!</v>
      </c>
      <c r="DJ210" t="e">
        <f>AND('STERLING CATALOG - DRY '!D4705,"AAAAAH//xXE=")</f>
        <v>#VALUE!</v>
      </c>
      <c r="DK210" t="e">
        <f>AND('STERLING CATALOG - DRY '!E4705,"AAAAAH//xXI=")</f>
        <v>#VALUE!</v>
      </c>
      <c r="DL210" t="e">
        <f>AND('STERLING CATALOG - DRY '!F4705,"AAAAAH//xXM=")</f>
        <v>#VALUE!</v>
      </c>
      <c r="DM210" t="e">
        <f>AND('STERLING CATALOG - DRY '!G4705,"AAAAAH//xXQ=")</f>
        <v>#VALUE!</v>
      </c>
      <c r="DN210" t="e">
        <f>AND('STERLING CATALOG - DRY '!H4705,"AAAAAH//xXU=")</f>
        <v>#VALUE!</v>
      </c>
      <c r="DO210" t="e">
        <f>AND('STERLING CATALOG - DRY '!I4705,"AAAAAH//xXY=")</f>
        <v>#VALUE!</v>
      </c>
      <c r="DP210" t="e">
        <f>AND('STERLING CATALOG - DRY '!J4705,"AAAAAH//xXc=")</f>
        <v>#VALUE!</v>
      </c>
      <c r="DQ210">
        <f>IF('STERLING CATALOG - DRY '!4706:4706,"AAAAAH//xXg=",0)</f>
        <v>0</v>
      </c>
      <c r="DR210" t="e">
        <f>AND('STERLING CATALOG - DRY '!A4706,"AAAAAH//xXk=")</f>
        <v>#VALUE!</v>
      </c>
      <c r="DS210" t="e">
        <f>AND('STERLING CATALOG - DRY '!B4706,"AAAAAH//xXo=")</f>
        <v>#VALUE!</v>
      </c>
      <c r="DT210" t="e">
        <f>AND('STERLING CATALOG - DRY '!C4706,"AAAAAH//xXs=")</f>
        <v>#VALUE!</v>
      </c>
      <c r="DU210" t="e">
        <f>AND('STERLING CATALOG - DRY '!D4706,"AAAAAH//xXw=")</f>
        <v>#VALUE!</v>
      </c>
      <c r="DV210" t="e">
        <f>AND('STERLING CATALOG - DRY '!E4706,"AAAAAH//xX0=")</f>
        <v>#VALUE!</v>
      </c>
      <c r="DW210" t="e">
        <f>AND('STERLING CATALOG - DRY '!F4706,"AAAAAH//xX4=")</f>
        <v>#VALUE!</v>
      </c>
      <c r="DX210" t="e">
        <f>AND('STERLING CATALOG - DRY '!G4706,"AAAAAH//xX8=")</f>
        <v>#VALUE!</v>
      </c>
      <c r="DY210" t="e">
        <f>AND('STERLING CATALOG - DRY '!H4706,"AAAAAH//xYA=")</f>
        <v>#VALUE!</v>
      </c>
      <c r="DZ210" t="e">
        <f>AND('STERLING CATALOG - DRY '!I4706,"AAAAAH//xYE=")</f>
        <v>#VALUE!</v>
      </c>
      <c r="EA210" t="e">
        <f>AND('STERLING CATALOG - DRY '!J4706,"AAAAAH//xYI=")</f>
        <v>#VALUE!</v>
      </c>
      <c r="EB210">
        <f>IF('STERLING CATALOG - DRY '!4707:4707,"AAAAAH//xYM=",0)</f>
        <v>0</v>
      </c>
      <c r="EC210" t="e">
        <f>AND('STERLING CATALOG - DRY '!A4707,"AAAAAH//xYQ=")</f>
        <v>#VALUE!</v>
      </c>
      <c r="ED210" t="e">
        <f>AND('STERLING CATALOG - DRY '!B4707,"AAAAAH//xYU=")</f>
        <v>#VALUE!</v>
      </c>
      <c r="EE210" t="e">
        <f>AND('STERLING CATALOG - DRY '!C4707,"AAAAAH//xYY=")</f>
        <v>#VALUE!</v>
      </c>
      <c r="EF210" t="e">
        <f>AND('STERLING CATALOG - DRY '!D4707,"AAAAAH//xYc=")</f>
        <v>#VALUE!</v>
      </c>
      <c r="EG210" t="e">
        <f>AND('STERLING CATALOG - DRY '!E4707,"AAAAAH//xYg=")</f>
        <v>#VALUE!</v>
      </c>
      <c r="EH210" t="e">
        <f>AND('STERLING CATALOG - DRY '!F4707,"AAAAAH//xYk=")</f>
        <v>#VALUE!</v>
      </c>
      <c r="EI210" t="e">
        <f>AND('STERLING CATALOG - DRY '!G4707,"AAAAAH//xYo=")</f>
        <v>#VALUE!</v>
      </c>
      <c r="EJ210" t="e">
        <f>AND('STERLING CATALOG - DRY '!H4707,"AAAAAH//xYs=")</f>
        <v>#VALUE!</v>
      </c>
      <c r="EK210" t="e">
        <f>AND('STERLING CATALOG - DRY '!I4707,"AAAAAH//xYw=")</f>
        <v>#VALUE!</v>
      </c>
      <c r="EL210" t="e">
        <f>AND('STERLING CATALOG - DRY '!J4707,"AAAAAH//xY0=")</f>
        <v>#VALUE!</v>
      </c>
      <c r="EM210">
        <f>IF('STERLING CATALOG - DRY '!4708:4708,"AAAAAH//xY4=",0)</f>
        <v>0</v>
      </c>
      <c r="EN210" t="e">
        <f>AND('STERLING CATALOG - DRY '!A4708,"AAAAAH//xY8=")</f>
        <v>#VALUE!</v>
      </c>
      <c r="EO210" t="e">
        <f>AND('STERLING CATALOG - DRY '!B4708,"AAAAAH//xZA=")</f>
        <v>#VALUE!</v>
      </c>
      <c r="EP210" t="e">
        <f>AND('STERLING CATALOG - DRY '!C4708,"AAAAAH//xZE=")</f>
        <v>#VALUE!</v>
      </c>
      <c r="EQ210" t="e">
        <f>AND('STERLING CATALOG - DRY '!D4708,"AAAAAH//xZI=")</f>
        <v>#VALUE!</v>
      </c>
      <c r="ER210" t="e">
        <f>AND('STERLING CATALOG - DRY '!E4708,"AAAAAH//xZM=")</f>
        <v>#VALUE!</v>
      </c>
      <c r="ES210" t="e">
        <f>AND('STERLING CATALOG - DRY '!F4708,"AAAAAH//xZQ=")</f>
        <v>#VALUE!</v>
      </c>
      <c r="ET210" t="e">
        <f>AND('STERLING CATALOG - DRY '!G4708,"AAAAAH//xZU=")</f>
        <v>#VALUE!</v>
      </c>
      <c r="EU210" t="e">
        <f>AND('STERLING CATALOG - DRY '!H4708,"AAAAAH//xZY=")</f>
        <v>#VALUE!</v>
      </c>
      <c r="EV210" t="e">
        <f>AND('STERLING CATALOG - DRY '!I4708,"AAAAAH//xZc=")</f>
        <v>#VALUE!</v>
      </c>
      <c r="EW210" t="e">
        <f>AND('STERLING CATALOG - DRY '!J4708,"AAAAAH//xZg=")</f>
        <v>#VALUE!</v>
      </c>
      <c r="EX210">
        <f>IF('STERLING CATALOG - DRY '!4709:4709,"AAAAAH//xZk=",0)</f>
        <v>0</v>
      </c>
      <c r="EY210" t="e">
        <f>AND('STERLING CATALOG - DRY '!A4709,"AAAAAH//xZo=")</f>
        <v>#VALUE!</v>
      </c>
      <c r="EZ210" t="e">
        <f>AND('STERLING CATALOG - DRY '!B4709,"AAAAAH//xZs=")</f>
        <v>#VALUE!</v>
      </c>
      <c r="FA210" t="e">
        <f>AND('STERLING CATALOG - DRY '!C4709,"AAAAAH//xZw=")</f>
        <v>#VALUE!</v>
      </c>
      <c r="FB210" t="e">
        <f>AND('STERLING CATALOG - DRY '!D4709,"AAAAAH//xZ0=")</f>
        <v>#VALUE!</v>
      </c>
      <c r="FC210" t="e">
        <f>AND('STERLING CATALOG - DRY '!E4709,"AAAAAH//xZ4=")</f>
        <v>#VALUE!</v>
      </c>
      <c r="FD210" t="e">
        <f>AND('STERLING CATALOG - DRY '!F4709,"AAAAAH//xZ8=")</f>
        <v>#VALUE!</v>
      </c>
      <c r="FE210" t="e">
        <f>AND('STERLING CATALOG - DRY '!G4709,"AAAAAH//xaA=")</f>
        <v>#VALUE!</v>
      </c>
      <c r="FF210" t="e">
        <f>AND('STERLING CATALOG - DRY '!H4709,"AAAAAH//xaE=")</f>
        <v>#VALUE!</v>
      </c>
      <c r="FG210" t="e">
        <f>AND('STERLING CATALOG - DRY '!I4709,"AAAAAH//xaI=")</f>
        <v>#VALUE!</v>
      </c>
      <c r="FH210" t="e">
        <f>AND('STERLING CATALOG - DRY '!J4709,"AAAAAH//xaM=")</f>
        <v>#VALUE!</v>
      </c>
      <c r="FI210">
        <f>IF('STERLING CATALOG - DRY '!4710:4710,"AAAAAH//xaQ=",0)</f>
        <v>0</v>
      </c>
      <c r="FJ210" t="e">
        <f>AND('STERLING CATALOG - DRY '!A4710,"AAAAAH//xaU=")</f>
        <v>#VALUE!</v>
      </c>
      <c r="FK210" t="e">
        <f>AND('STERLING CATALOG - DRY '!B4710,"AAAAAH//xaY=")</f>
        <v>#VALUE!</v>
      </c>
      <c r="FL210" t="e">
        <f>AND('STERLING CATALOG - DRY '!C4710,"AAAAAH//xac=")</f>
        <v>#VALUE!</v>
      </c>
      <c r="FM210" t="e">
        <f>AND('STERLING CATALOG - DRY '!D4710,"AAAAAH//xag=")</f>
        <v>#VALUE!</v>
      </c>
      <c r="FN210" t="e">
        <f>AND('STERLING CATALOG - DRY '!E4710,"AAAAAH//xak=")</f>
        <v>#VALUE!</v>
      </c>
      <c r="FO210" t="e">
        <f>AND('STERLING CATALOG - DRY '!F4710,"AAAAAH//xao=")</f>
        <v>#VALUE!</v>
      </c>
      <c r="FP210" t="e">
        <f>AND('STERLING CATALOG - DRY '!G4710,"AAAAAH//xas=")</f>
        <v>#VALUE!</v>
      </c>
      <c r="FQ210" t="e">
        <f>AND('STERLING CATALOG - DRY '!H4710,"AAAAAH//xaw=")</f>
        <v>#VALUE!</v>
      </c>
      <c r="FR210" t="e">
        <f>AND('STERLING CATALOG - DRY '!I4710,"AAAAAH//xa0=")</f>
        <v>#VALUE!</v>
      </c>
      <c r="FS210" t="e">
        <f>AND('STERLING CATALOG - DRY '!J4710,"AAAAAH//xa4=")</f>
        <v>#VALUE!</v>
      </c>
      <c r="FT210">
        <f>IF('STERLING CATALOG - DRY '!4711:4711,"AAAAAH//xa8=",0)</f>
        <v>0</v>
      </c>
      <c r="FU210" t="e">
        <f>AND('STERLING CATALOG - DRY '!A4711,"AAAAAH//xbA=")</f>
        <v>#VALUE!</v>
      </c>
      <c r="FV210" t="e">
        <f>AND('STERLING CATALOG - DRY '!B4711,"AAAAAH//xbE=")</f>
        <v>#VALUE!</v>
      </c>
      <c r="FW210" t="e">
        <f>AND('STERLING CATALOG - DRY '!C4711,"AAAAAH//xbI=")</f>
        <v>#VALUE!</v>
      </c>
      <c r="FX210" t="e">
        <f>AND('STERLING CATALOG - DRY '!D4711,"AAAAAH//xbM=")</f>
        <v>#VALUE!</v>
      </c>
      <c r="FY210" t="e">
        <f>AND('STERLING CATALOG - DRY '!E4711,"AAAAAH//xbQ=")</f>
        <v>#VALUE!</v>
      </c>
      <c r="FZ210" t="e">
        <f>AND('STERLING CATALOG - DRY '!F4711,"AAAAAH//xbU=")</f>
        <v>#VALUE!</v>
      </c>
      <c r="GA210" t="e">
        <f>AND('STERLING CATALOG - DRY '!G4711,"AAAAAH//xbY=")</f>
        <v>#VALUE!</v>
      </c>
      <c r="GB210" t="e">
        <f>AND('STERLING CATALOG - DRY '!H4711,"AAAAAH//xbc=")</f>
        <v>#VALUE!</v>
      </c>
      <c r="GC210" t="e">
        <f>AND('STERLING CATALOG - DRY '!I4711,"AAAAAH//xbg=")</f>
        <v>#VALUE!</v>
      </c>
      <c r="GD210" t="e">
        <f>AND('STERLING CATALOG - DRY '!J4711,"AAAAAH//xbk=")</f>
        <v>#VALUE!</v>
      </c>
      <c r="GE210">
        <f>IF('STERLING CATALOG - DRY '!4712:4712,"AAAAAH//xbo=",0)</f>
        <v>0</v>
      </c>
      <c r="GF210" t="e">
        <f>AND('STERLING CATALOG - DRY '!A4712,"AAAAAH//xbs=")</f>
        <v>#VALUE!</v>
      </c>
      <c r="GG210" t="e">
        <f>AND('STERLING CATALOG - DRY '!B4712,"AAAAAH//xbw=")</f>
        <v>#VALUE!</v>
      </c>
      <c r="GH210" t="e">
        <f>AND('STERLING CATALOG - DRY '!C4712,"AAAAAH//xb0=")</f>
        <v>#VALUE!</v>
      </c>
      <c r="GI210" t="e">
        <f>AND('STERLING CATALOG - DRY '!D4712,"AAAAAH//xb4=")</f>
        <v>#VALUE!</v>
      </c>
      <c r="GJ210" t="e">
        <f>AND('STERLING CATALOG - DRY '!E4712,"AAAAAH//xb8=")</f>
        <v>#VALUE!</v>
      </c>
      <c r="GK210" t="e">
        <f>AND('STERLING CATALOG - DRY '!F4712,"AAAAAH//xcA=")</f>
        <v>#VALUE!</v>
      </c>
      <c r="GL210" t="e">
        <f>AND('STERLING CATALOG - DRY '!G4712,"AAAAAH//xcE=")</f>
        <v>#VALUE!</v>
      </c>
      <c r="GM210" t="e">
        <f>AND('STERLING CATALOG - DRY '!H4712,"AAAAAH//xcI=")</f>
        <v>#VALUE!</v>
      </c>
      <c r="GN210" t="e">
        <f>AND('STERLING CATALOG - DRY '!I4712,"AAAAAH//xcM=")</f>
        <v>#VALUE!</v>
      </c>
      <c r="GO210" t="e">
        <f>AND('STERLING CATALOG - DRY '!J4712,"AAAAAH//xcQ=")</f>
        <v>#VALUE!</v>
      </c>
      <c r="GP210">
        <f>IF('STERLING CATALOG - DRY '!4713:4713,"AAAAAH//xcU=",0)</f>
        <v>0</v>
      </c>
      <c r="GQ210" t="e">
        <f>AND('STERLING CATALOG - DRY '!A4713,"AAAAAH//xcY=")</f>
        <v>#VALUE!</v>
      </c>
      <c r="GR210" t="e">
        <f>AND('STERLING CATALOG - DRY '!B4713,"AAAAAH//xcc=")</f>
        <v>#VALUE!</v>
      </c>
      <c r="GS210" t="e">
        <f>AND('STERLING CATALOG - DRY '!C4713,"AAAAAH//xcg=")</f>
        <v>#VALUE!</v>
      </c>
      <c r="GT210" t="e">
        <f>AND('STERLING CATALOG - DRY '!D4713,"AAAAAH//xck=")</f>
        <v>#VALUE!</v>
      </c>
      <c r="GU210" t="e">
        <f>AND('STERLING CATALOG - DRY '!E4713,"AAAAAH//xco=")</f>
        <v>#VALUE!</v>
      </c>
      <c r="GV210" t="e">
        <f>AND('STERLING CATALOG - DRY '!F4713,"AAAAAH//xcs=")</f>
        <v>#VALUE!</v>
      </c>
      <c r="GW210" t="e">
        <f>AND('STERLING CATALOG - DRY '!G4713,"AAAAAH//xcw=")</f>
        <v>#VALUE!</v>
      </c>
      <c r="GX210" t="e">
        <f>AND('STERLING CATALOG - DRY '!H4713,"AAAAAH//xc0=")</f>
        <v>#VALUE!</v>
      </c>
      <c r="GY210" t="e">
        <f>AND('STERLING CATALOG - DRY '!I4713,"AAAAAH//xc4=")</f>
        <v>#VALUE!</v>
      </c>
      <c r="GZ210" t="e">
        <f>AND('STERLING CATALOG - DRY '!J4713,"AAAAAH//xc8=")</f>
        <v>#VALUE!</v>
      </c>
      <c r="HA210">
        <f>IF('STERLING CATALOG - DRY '!4714:4714,"AAAAAH//xdA=",0)</f>
        <v>0</v>
      </c>
      <c r="HB210" t="e">
        <f>AND('STERLING CATALOG - DRY '!A4714,"AAAAAH//xdE=")</f>
        <v>#VALUE!</v>
      </c>
      <c r="HC210" t="e">
        <f>AND('STERLING CATALOG - DRY '!B4714,"AAAAAH//xdI=")</f>
        <v>#VALUE!</v>
      </c>
      <c r="HD210" t="e">
        <f>AND('STERLING CATALOG - DRY '!C4714,"AAAAAH//xdM=")</f>
        <v>#VALUE!</v>
      </c>
      <c r="HE210" t="e">
        <f>AND('STERLING CATALOG - DRY '!D4714,"AAAAAH//xdQ=")</f>
        <v>#VALUE!</v>
      </c>
      <c r="HF210" t="e">
        <f>AND('STERLING CATALOG - DRY '!E4714,"AAAAAH//xdU=")</f>
        <v>#VALUE!</v>
      </c>
      <c r="HG210" t="e">
        <f>AND('STERLING CATALOG - DRY '!F4714,"AAAAAH//xdY=")</f>
        <v>#VALUE!</v>
      </c>
      <c r="HH210" t="e">
        <f>AND('STERLING CATALOG - DRY '!G4714,"AAAAAH//xdc=")</f>
        <v>#VALUE!</v>
      </c>
      <c r="HI210" t="e">
        <f>AND('STERLING CATALOG - DRY '!H4714,"AAAAAH//xdg=")</f>
        <v>#VALUE!</v>
      </c>
      <c r="HJ210" t="e">
        <f>AND('STERLING CATALOG - DRY '!I4714,"AAAAAH//xdk=")</f>
        <v>#VALUE!</v>
      </c>
      <c r="HK210" t="e">
        <f>AND('STERLING CATALOG - DRY '!J4714,"AAAAAH//xdo=")</f>
        <v>#VALUE!</v>
      </c>
      <c r="HL210">
        <f>IF('STERLING CATALOG - DRY '!4715:4715,"AAAAAH//xds=",0)</f>
        <v>0</v>
      </c>
      <c r="HM210" t="e">
        <f>AND('STERLING CATALOG - DRY '!A4715,"AAAAAH//xdw=")</f>
        <v>#VALUE!</v>
      </c>
      <c r="HN210" t="e">
        <f>AND('STERLING CATALOG - DRY '!B4715,"AAAAAH//xd0=")</f>
        <v>#VALUE!</v>
      </c>
      <c r="HO210" t="e">
        <f>AND('STERLING CATALOG - DRY '!C4715,"AAAAAH//xd4=")</f>
        <v>#VALUE!</v>
      </c>
      <c r="HP210" t="e">
        <f>AND('STERLING CATALOG - DRY '!D4715,"AAAAAH//xd8=")</f>
        <v>#VALUE!</v>
      </c>
      <c r="HQ210" t="e">
        <f>AND('STERLING CATALOG - DRY '!E4715,"AAAAAH//xeA=")</f>
        <v>#VALUE!</v>
      </c>
      <c r="HR210" t="e">
        <f>AND('STERLING CATALOG - DRY '!F4715,"AAAAAH//xeE=")</f>
        <v>#VALUE!</v>
      </c>
      <c r="HS210" t="e">
        <f>AND('STERLING CATALOG - DRY '!G4715,"AAAAAH//xeI=")</f>
        <v>#VALUE!</v>
      </c>
      <c r="HT210" t="e">
        <f>AND('STERLING CATALOG - DRY '!H4715,"AAAAAH//xeM=")</f>
        <v>#VALUE!</v>
      </c>
      <c r="HU210" t="e">
        <f>AND('STERLING CATALOG - DRY '!I4715,"AAAAAH//xeQ=")</f>
        <v>#VALUE!</v>
      </c>
      <c r="HV210" t="e">
        <f>AND('STERLING CATALOG - DRY '!J4715,"AAAAAH//xeU=")</f>
        <v>#VALUE!</v>
      </c>
      <c r="HW210">
        <f>IF('STERLING CATALOG - DRY '!4716:4716,"AAAAAH//xeY=",0)</f>
        <v>0</v>
      </c>
      <c r="HX210" t="e">
        <f>AND('STERLING CATALOG - DRY '!A4716,"AAAAAH//xec=")</f>
        <v>#VALUE!</v>
      </c>
      <c r="HY210" t="e">
        <f>AND('STERLING CATALOG - DRY '!B4716,"AAAAAH//xeg=")</f>
        <v>#VALUE!</v>
      </c>
      <c r="HZ210" t="e">
        <f>AND('STERLING CATALOG - DRY '!C4716,"AAAAAH//xek=")</f>
        <v>#VALUE!</v>
      </c>
      <c r="IA210" t="e">
        <f>AND('STERLING CATALOG - DRY '!D4716,"AAAAAH//xeo=")</f>
        <v>#VALUE!</v>
      </c>
      <c r="IB210" t="e">
        <f>AND('STERLING CATALOG - DRY '!E4716,"AAAAAH//xes=")</f>
        <v>#VALUE!</v>
      </c>
      <c r="IC210" t="e">
        <f>AND('STERLING CATALOG - DRY '!F4716,"AAAAAH//xew=")</f>
        <v>#VALUE!</v>
      </c>
      <c r="ID210" t="e">
        <f>AND('STERLING CATALOG - DRY '!G4716,"AAAAAH//xe0=")</f>
        <v>#VALUE!</v>
      </c>
      <c r="IE210" t="e">
        <f>AND('STERLING CATALOG - DRY '!H4716,"AAAAAH//xe4=")</f>
        <v>#VALUE!</v>
      </c>
      <c r="IF210" t="e">
        <f>AND('STERLING CATALOG - DRY '!I4716,"AAAAAH//xe8=")</f>
        <v>#VALUE!</v>
      </c>
      <c r="IG210" t="e">
        <f>AND('STERLING CATALOG - DRY '!J4716,"AAAAAH//xfA=")</f>
        <v>#VALUE!</v>
      </c>
      <c r="IH210">
        <f>IF('STERLING CATALOG - DRY '!4717:4717,"AAAAAH//xfE=",0)</f>
        <v>0</v>
      </c>
      <c r="II210" t="e">
        <f>AND('STERLING CATALOG - DRY '!A4717,"AAAAAH//xfI=")</f>
        <v>#VALUE!</v>
      </c>
      <c r="IJ210" t="e">
        <f>AND('STERLING CATALOG - DRY '!B4717,"AAAAAH//xfM=")</f>
        <v>#VALUE!</v>
      </c>
      <c r="IK210" t="e">
        <f>AND('STERLING CATALOG - DRY '!C4717,"AAAAAH//xfQ=")</f>
        <v>#VALUE!</v>
      </c>
      <c r="IL210" t="e">
        <f>AND('STERLING CATALOG - DRY '!D4717,"AAAAAH//xfU=")</f>
        <v>#VALUE!</v>
      </c>
      <c r="IM210" t="e">
        <f>AND('STERLING CATALOG - DRY '!E4717,"AAAAAH//xfY=")</f>
        <v>#VALUE!</v>
      </c>
      <c r="IN210" t="e">
        <f>AND('STERLING CATALOG - DRY '!F4717,"AAAAAH//xfc=")</f>
        <v>#VALUE!</v>
      </c>
      <c r="IO210" t="e">
        <f>AND('STERLING CATALOG - DRY '!G4717,"AAAAAH//xfg=")</f>
        <v>#VALUE!</v>
      </c>
      <c r="IP210" t="e">
        <f>AND('STERLING CATALOG - DRY '!H4717,"AAAAAH//xfk=")</f>
        <v>#VALUE!</v>
      </c>
      <c r="IQ210" t="e">
        <f>AND('STERLING CATALOG - DRY '!I4717,"AAAAAH//xfo=")</f>
        <v>#VALUE!</v>
      </c>
      <c r="IR210" t="e">
        <f>AND('STERLING CATALOG - DRY '!J4717,"AAAAAH//xfs=")</f>
        <v>#VALUE!</v>
      </c>
      <c r="IS210">
        <f>IF('STERLING CATALOG - DRY '!4718:4718,"AAAAAH//xfw=",0)</f>
        <v>0</v>
      </c>
      <c r="IT210" t="e">
        <f>AND('STERLING CATALOG - DRY '!A4718,"AAAAAH//xf0=")</f>
        <v>#VALUE!</v>
      </c>
      <c r="IU210" t="e">
        <f>AND('STERLING CATALOG - DRY '!B4718,"AAAAAH//xf4=")</f>
        <v>#VALUE!</v>
      </c>
      <c r="IV210" t="e">
        <f>AND('STERLING CATALOG - DRY '!C4718,"AAAAAH//xf8=")</f>
        <v>#VALUE!</v>
      </c>
    </row>
    <row r="211" spans="1:256">
      <c r="A211" t="e">
        <f>AND('STERLING CATALOG - DRY '!D4718,"AAAAAHv/XwA=")</f>
        <v>#VALUE!</v>
      </c>
      <c r="B211" t="e">
        <f>AND('STERLING CATALOG - DRY '!E4718,"AAAAAHv/XwE=")</f>
        <v>#VALUE!</v>
      </c>
      <c r="C211" t="e">
        <f>AND('STERLING CATALOG - DRY '!F4718,"AAAAAHv/XwI=")</f>
        <v>#VALUE!</v>
      </c>
      <c r="D211" t="e">
        <f>AND('STERLING CATALOG - DRY '!G4718,"AAAAAHv/XwM=")</f>
        <v>#VALUE!</v>
      </c>
      <c r="E211" t="e">
        <f>AND('STERLING CATALOG - DRY '!H4718,"AAAAAHv/XwQ=")</f>
        <v>#VALUE!</v>
      </c>
      <c r="F211" t="e">
        <f>AND('STERLING CATALOG - DRY '!I4718,"AAAAAHv/XwU=")</f>
        <v>#VALUE!</v>
      </c>
      <c r="G211" t="e">
        <f>AND('STERLING CATALOG - DRY '!J4718,"AAAAAHv/XwY=")</f>
        <v>#VALUE!</v>
      </c>
      <c r="H211" t="str">
        <f>IF('STERLING CATALOG - DRY '!4719:4719,"AAAAAHv/Xwc=",0)</f>
        <v>AAAAAHv/Xwc=</v>
      </c>
      <c r="I211" t="e">
        <f>AND('STERLING CATALOG - DRY '!A4719,"AAAAAHv/Xwg=")</f>
        <v>#VALUE!</v>
      </c>
      <c r="J211" t="e">
        <f>AND('STERLING CATALOG - DRY '!B4719,"AAAAAHv/Xwk=")</f>
        <v>#VALUE!</v>
      </c>
      <c r="K211" t="e">
        <f>AND('STERLING CATALOG - DRY '!C4719,"AAAAAHv/Xwo=")</f>
        <v>#VALUE!</v>
      </c>
      <c r="L211" t="e">
        <f>AND('STERLING CATALOG - DRY '!D4719,"AAAAAHv/Xws=")</f>
        <v>#VALUE!</v>
      </c>
      <c r="M211" t="e">
        <f>AND('STERLING CATALOG - DRY '!E4719,"AAAAAHv/Xww=")</f>
        <v>#VALUE!</v>
      </c>
      <c r="N211" t="e">
        <f>AND('STERLING CATALOG - DRY '!F4719,"AAAAAHv/Xw0=")</f>
        <v>#VALUE!</v>
      </c>
      <c r="O211" t="e">
        <f>AND('STERLING CATALOG - DRY '!G4719,"AAAAAHv/Xw4=")</f>
        <v>#VALUE!</v>
      </c>
      <c r="P211" t="e">
        <f>AND('STERLING CATALOG - DRY '!H4719,"AAAAAHv/Xw8=")</f>
        <v>#VALUE!</v>
      </c>
      <c r="Q211" t="e">
        <f>AND('STERLING CATALOG - DRY '!I4719,"AAAAAHv/XxA=")</f>
        <v>#VALUE!</v>
      </c>
      <c r="R211" t="e">
        <f>AND('STERLING CATALOG - DRY '!J4719,"AAAAAHv/XxE=")</f>
        <v>#VALUE!</v>
      </c>
      <c r="S211">
        <f>IF('STERLING CATALOG - DRY '!4720:4720,"AAAAAHv/XxI=",0)</f>
        <v>0</v>
      </c>
      <c r="T211" t="e">
        <f>AND('STERLING CATALOG - DRY '!A4720,"AAAAAHv/XxM=")</f>
        <v>#VALUE!</v>
      </c>
      <c r="U211" t="e">
        <f>AND('STERLING CATALOG - DRY '!B4720,"AAAAAHv/XxQ=")</f>
        <v>#VALUE!</v>
      </c>
      <c r="V211" t="e">
        <f>AND('STERLING CATALOG - DRY '!C4720,"AAAAAHv/XxU=")</f>
        <v>#VALUE!</v>
      </c>
      <c r="W211" t="e">
        <f>AND('STERLING CATALOG - DRY '!D4720,"AAAAAHv/XxY=")</f>
        <v>#VALUE!</v>
      </c>
      <c r="X211" t="e">
        <f>AND('STERLING CATALOG - DRY '!E4720,"AAAAAHv/Xxc=")</f>
        <v>#VALUE!</v>
      </c>
      <c r="Y211" t="e">
        <f>AND('STERLING CATALOG - DRY '!F4720,"AAAAAHv/Xxg=")</f>
        <v>#VALUE!</v>
      </c>
      <c r="Z211" t="e">
        <f>AND('STERLING CATALOG - DRY '!G4720,"AAAAAHv/Xxk=")</f>
        <v>#VALUE!</v>
      </c>
      <c r="AA211" t="e">
        <f>AND('STERLING CATALOG - DRY '!H4720,"AAAAAHv/Xxo=")</f>
        <v>#VALUE!</v>
      </c>
      <c r="AB211" t="e">
        <f>AND('STERLING CATALOG - DRY '!I4720,"AAAAAHv/Xxs=")</f>
        <v>#VALUE!</v>
      </c>
      <c r="AC211" t="e">
        <f>AND('STERLING CATALOG - DRY '!J4720,"AAAAAHv/Xxw=")</f>
        <v>#VALUE!</v>
      </c>
      <c r="AD211">
        <f>IF('STERLING CATALOG - DRY '!4721:4721,"AAAAAHv/Xx0=",0)</f>
        <v>0</v>
      </c>
      <c r="AE211" t="e">
        <f>AND('STERLING CATALOG - DRY '!A4721,"AAAAAHv/Xx4=")</f>
        <v>#VALUE!</v>
      </c>
      <c r="AF211" t="e">
        <f>AND('STERLING CATALOG - DRY '!B4721,"AAAAAHv/Xx8=")</f>
        <v>#VALUE!</v>
      </c>
      <c r="AG211" t="e">
        <f>AND('STERLING CATALOG - DRY '!C4721,"AAAAAHv/XyA=")</f>
        <v>#VALUE!</v>
      </c>
      <c r="AH211" t="e">
        <f>AND('STERLING CATALOG - DRY '!D4721,"AAAAAHv/XyE=")</f>
        <v>#VALUE!</v>
      </c>
      <c r="AI211" t="e">
        <f>AND('STERLING CATALOG - DRY '!E4721,"AAAAAHv/XyI=")</f>
        <v>#VALUE!</v>
      </c>
      <c r="AJ211" t="e">
        <f>AND('STERLING CATALOG - DRY '!F4721,"AAAAAHv/XyM=")</f>
        <v>#VALUE!</v>
      </c>
      <c r="AK211" t="e">
        <f>AND('STERLING CATALOG - DRY '!G4721,"AAAAAHv/XyQ=")</f>
        <v>#VALUE!</v>
      </c>
      <c r="AL211" t="e">
        <f>AND('STERLING CATALOG - DRY '!H4721,"AAAAAHv/XyU=")</f>
        <v>#VALUE!</v>
      </c>
      <c r="AM211" t="e">
        <f>AND('STERLING CATALOG - DRY '!I4721,"AAAAAHv/XyY=")</f>
        <v>#VALUE!</v>
      </c>
      <c r="AN211" t="e">
        <f>AND('STERLING CATALOG - DRY '!J4721,"AAAAAHv/Xyc=")</f>
        <v>#VALUE!</v>
      </c>
      <c r="AO211">
        <f>IF('STERLING CATALOG - DRY '!4722:4722,"AAAAAHv/Xyg=",0)</f>
        <v>0</v>
      </c>
      <c r="AP211" t="e">
        <f>AND('STERLING CATALOG - DRY '!A4722,"AAAAAHv/Xyk=")</f>
        <v>#VALUE!</v>
      </c>
      <c r="AQ211" t="e">
        <f>AND('STERLING CATALOG - DRY '!B4722,"AAAAAHv/Xyo=")</f>
        <v>#VALUE!</v>
      </c>
      <c r="AR211" t="e">
        <f>AND('STERLING CATALOG - DRY '!C4722,"AAAAAHv/Xys=")</f>
        <v>#VALUE!</v>
      </c>
      <c r="AS211" t="e">
        <f>AND('STERLING CATALOG - DRY '!D4722,"AAAAAHv/Xyw=")</f>
        <v>#VALUE!</v>
      </c>
      <c r="AT211" t="e">
        <f>AND('STERLING CATALOG - DRY '!E4722,"AAAAAHv/Xy0=")</f>
        <v>#VALUE!</v>
      </c>
      <c r="AU211" t="e">
        <f>AND('STERLING CATALOG - DRY '!F4722,"AAAAAHv/Xy4=")</f>
        <v>#VALUE!</v>
      </c>
      <c r="AV211" t="e">
        <f>AND('STERLING CATALOG - DRY '!G4722,"AAAAAHv/Xy8=")</f>
        <v>#VALUE!</v>
      </c>
      <c r="AW211" t="e">
        <f>AND('STERLING CATALOG - DRY '!H4722,"AAAAAHv/XzA=")</f>
        <v>#VALUE!</v>
      </c>
      <c r="AX211" t="e">
        <f>AND('STERLING CATALOG - DRY '!I4722,"AAAAAHv/XzE=")</f>
        <v>#VALUE!</v>
      </c>
      <c r="AY211" t="e">
        <f>AND('STERLING CATALOG - DRY '!J4722,"AAAAAHv/XzI=")</f>
        <v>#VALUE!</v>
      </c>
      <c r="AZ211">
        <f>IF('STERLING CATALOG - DRY '!4723:4723,"AAAAAHv/XzM=",0)</f>
        <v>0</v>
      </c>
      <c r="BA211" t="e">
        <f>AND('STERLING CATALOG - DRY '!A4723,"AAAAAHv/XzQ=")</f>
        <v>#VALUE!</v>
      </c>
      <c r="BB211" t="e">
        <f>AND('STERLING CATALOG - DRY '!B4723,"AAAAAHv/XzU=")</f>
        <v>#VALUE!</v>
      </c>
      <c r="BC211" t="e">
        <f>AND('STERLING CATALOG - DRY '!C4723,"AAAAAHv/XzY=")</f>
        <v>#VALUE!</v>
      </c>
      <c r="BD211" t="e">
        <f>AND('STERLING CATALOG - DRY '!D4723,"AAAAAHv/Xzc=")</f>
        <v>#VALUE!</v>
      </c>
      <c r="BE211" t="e">
        <f>AND('STERLING CATALOG - DRY '!E4723,"AAAAAHv/Xzg=")</f>
        <v>#VALUE!</v>
      </c>
      <c r="BF211" t="e">
        <f>AND('STERLING CATALOG - DRY '!F4723,"AAAAAHv/Xzk=")</f>
        <v>#VALUE!</v>
      </c>
      <c r="BG211" t="e">
        <f>AND('STERLING CATALOG - DRY '!G4723,"AAAAAHv/Xzo=")</f>
        <v>#VALUE!</v>
      </c>
      <c r="BH211" t="e">
        <f>AND('STERLING CATALOG - DRY '!H4723,"AAAAAHv/Xzs=")</f>
        <v>#VALUE!</v>
      </c>
      <c r="BI211" t="e">
        <f>AND('STERLING CATALOG - DRY '!I4723,"AAAAAHv/Xzw=")</f>
        <v>#VALUE!</v>
      </c>
      <c r="BJ211" t="e">
        <f>AND('STERLING CATALOG - DRY '!J4723,"AAAAAHv/Xz0=")</f>
        <v>#VALUE!</v>
      </c>
      <c r="BK211">
        <f>IF('STERLING CATALOG - DRY '!4724:4724,"AAAAAHv/Xz4=",0)</f>
        <v>0</v>
      </c>
      <c r="BL211" t="e">
        <f>AND('STERLING CATALOG - DRY '!A4724,"AAAAAHv/Xz8=")</f>
        <v>#VALUE!</v>
      </c>
      <c r="BM211" t="e">
        <f>AND('STERLING CATALOG - DRY '!B4724,"AAAAAHv/X0A=")</f>
        <v>#VALUE!</v>
      </c>
      <c r="BN211" t="e">
        <f>AND('STERLING CATALOG - DRY '!C4724,"AAAAAHv/X0E=")</f>
        <v>#VALUE!</v>
      </c>
      <c r="BO211" t="e">
        <f>AND('STERLING CATALOG - DRY '!D4724,"AAAAAHv/X0I=")</f>
        <v>#VALUE!</v>
      </c>
      <c r="BP211" t="e">
        <f>AND('STERLING CATALOG - DRY '!E4724,"AAAAAHv/X0M=")</f>
        <v>#VALUE!</v>
      </c>
      <c r="BQ211" t="e">
        <f>AND('STERLING CATALOG - DRY '!F4724,"AAAAAHv/X0Q=")</f>
        <v>#VALUE!</v>
      </c>
      <c r="BR211" t="e">
        <f>AND('STERLING CATALOG - DRY '!G4724,"AAAAAHv/X0U=")</f>
        <v>#VALUE!</v>
      </c>
      <c r="BS211" t="e">
        <f>AND('STERLING CATALOG - DRY '!H4724,"AAAAAHv/X0Y=")</f>
        <v>#VALUE!</v>
      </c>
      <c r="BT211" t="e">
        <f>AND('STERLING CATALOG - DRY '!I4724,"AAAAAHv/X0c=")</f>
        <v>#VALUE!</v>
      </c>
      <c r="BU211" t="e">
        <f>AND('STERLING CATALOG - DRY '!J4724,"AAAAAHv/X0g=")</f>
        <v>#VALUE!</v>
      </c>
      <c r="BV211">
        <f>IF('STERLING CATALOG - DRY '!4725:4725,"AAAAAHv/X0k=",0)</f>
        <v>0</v>
      </c>
      <c r="BW211" t="e">
        <f>AND('STERLING CATALOG - DRY '!A4725,"AAAAAHv/X0o=")</f>
        <v>#VALUE!</v>
      </c>
      <c r="BX211" t="e">
        <f>AND('STERLING CATALOG - DRY '!B4725,"AAAAAHv/X0s=")</f>
        <v>#VALUE!</v>
      </c>
      <c r="BY211" t="e">
        <f>AND('STERLING CATALOG - DRY '!C4725,"AAAAAHv/X0w=")</f>
        <v>#VALUE!</v>
      </c>
      <c r="BZ211" t="e">
        <f>AND('STERLING CATALOG - DRY '!D4725,"AAAAAHv/X00=")</f>
        <v>#VALUE!</v>
      </c>
      <c r="CA211" t="e">
        <f>AND('STERLING CATALOG - DRY '!E4725,"AAAAAHv/X04=")</f>
        <v>#VALUE!</v>
      </c>
      <c r="CB211" t="e">
        <f>AND('STERLING CATALOG - DRY '!F4725,"AAAAAHv/X08=")</f>
        <v>#VALUE!</v>
      </c>
      <c r="CC211" t="e">
        <f>AND('STERLING CATALOG - DRY '!G4725,"AAAAAHv/X1A=")</f>
        <v>#VALUE!</v>
      </c>
      <c r="CD211" t="e">
        <f>AND('STERLING CATALOG - DRY '!H4725,"AAAAAHv/X1E=")</f>
        <v>#VALUE!</v>
      </c>
      <c r="CE211" t="e">
        <f>AND('STERLING CATALOG - DRY '!I4725,"AAAAAHv/X1I=")</f>
        <v>#VALUE!</v>
      </c>
      <c r="CF211" t="e">
        <f>AND('STERLING CATALOG - DRY '!J4725,"AAAAAHv/X1M=")</f>
        <v>#VALUE!</v>
      </c>
      <c r="CG211">
        <f>IF('STERLING CATALOG - DRY '!4726:4726,"AAAAAHv/X1Q=",0)</f>
        <v>0</v>
      </c>
      <c r="CH211" t="e">
        <f>AND('STERLING CATALOG - DRY '!A4726,"AAAAAHv/X1U=")</f>
        <v>#VALUE!</v>
      </c>
      <c r="CI211" t="e">
        <f>AND('STERLING CATALOG - DRY '!B4726,"AAAAAHv/X1Y=")</f>
        <v>#VALUE!</v>
      </c>
      <c r="CJ211" t="e">
        <f>AND('STERLING CATALOG - DRY '!C4726,"AAAAAHv/X1c=")</f>
        <v>#VALUE!</v>
      </c>
      <c r="CK211" t="e">
        <f>AND('STERLING CATALOG - DRY '!D4726,"AAAAAHv/X1g=")</f>
        <v>#VALUE!</v>
      </c>
      <c r="CL211" t="e">
        <f>AND('STERLING CATALOG - DRY '!E4726,"AAAAAHv/X1k=")</f>
        <v>#VALUE!</v>
      </c>
      <c r="CM211" t="e">
        <f>AND('STERLING CATALOG - DRY '!F4726,"AAAAAHv/X1o=")</f>
        <v>#VALUE!</v>
      </c>
      <c r="CN211" t="e">
        <f>AND('STERLING CATALOG - DRY '!G4726,"AAAAAHv/X1s=")</f>
        <v>#VALUE!</v>
      </c>
      <c r="CO211" t="e">
        <f>AND('STERLING CATALOG - DRY '!H4726,"AAAAAHv/X1w=")</f>
        <v>#VALUE!</v>
      </c>
      <c r="CP211" t="e">
        <f>AND('STERLING CATALOG - DRY '!I4726,"AAAAAHv/X10=")</f>
        <v>#VALUE!</v>
      </c>
      <c r="CQ211" t="e">
        <f>AND('STERLING CATALOG - DRY '!J4726,"AAAAAHv/X14=")</f>
        <v>#VALUE!</v>
      </c>
      <c r="CR211">
        <f>IF('STERLING CATALOG - DRY '!4727:4727,"AAAAAHv/X18=",0)</f>
        <v>0</v>
      </c>
      <c r="CS211" t="e">
        <f>AND('STERLING CATALOG - DRY '!A4727,"AAAAAHv/X2A=")</f>
        <v>#VALUE!</v>
      </c>
      <c r="CT211" t="e">
        <f>AND('STERLING CATALOG - DRY '!B4727,"AAAAAHv/X2E=")</f>
        <v>#VALUE!</v>
      </c>
      <c r="CU211" t="e">
        <f>AND('STERLING CATALOG - DRY '!C4727,"AAAAAHv/X2I=")</f>
        <v>#VALUE!</v>
      </c>
      <c r="CV211" t="e">
        <f>AND('STERLING CATALOG - DRY '!D4727,"AAAAAHv/X2M=")</f>
        <v>#VALUE!</v>
      </c>
      <c r="CW211" t="e">
        <f>AND('STERLING CATALOG - DRY '!E4727,"AAAAAHv/X2Q=")</f>
        <v>#VALUE!</v>
      </c>
      <c r="CX211" t="e">
        <f>AND('STERLING CATALOG - DRY '!F4727,"AAAAAHv/X2U=")</f>
        <v>#VALUE!</v>
      </c>
      <c r="CY211" t="e">
        <f>AND('STERLING CATALOG - DRY '!G4727,"AAAAAHv/X2Y=")</f>
        <v>#VALUE!</v>
      </c>
      <c r="CZ211" t="e">
        <f>AND('STERLING CATALOG - DRY '!H4727,"AAAAAHv/X2c=")</f>
        <v>#VALUE!</v>
      </c>
      <c r="DA211" t="e">
        <f>AND('STERLING CATALOG - DRY '!I4727,"AAAAAHv/X2g=")</f>
        <v>#VALUE!</v>
      </c>
      <c r="DB211" t="e">
        <f>AND('STERLING CATALOG - DRY '!J4727,"AAAAAHv/X2k=")</f>
        <v>#VALUE!</v>
      </c>
      <c r="DC211">
        <f>IF('STERLING CATALOG - DRY '!4728:4728,"AAAAAHv/X2o=",0)</f>
        <v>0</v>
      </c>
      <c r="DD211" t="e">
        <f>AND('STERLING CATALOG - DRY '!A4728,"AAAAAHv/X2s=")</f>
        <v>#VALUE!</v>
      </c>
      <c r="DE211" t="e">
        <f>AND('STERLING CATALOG - DRY '!B4728,"AAAAAHv/X2w=")</f>
        <v>#VALUE!</v>
      </c>
      <c r="DF211" t="e">
        <f>AND('STERLING CATALOG - DRY '!C4728,"AAAAAHv/X20=")</f>
        <v>#VALUE!</v>
      </c>
      <c r="DG211" t="e">
        <f>AND('STERLING CATALOG - DRY '!D4728,"AAAAAHv/X24=")</f>
        <v>#VALUE!</v>
      </c>
      <c r="DH211" t="e">
        <f>AND('STERLING CATALOG - DRY '!E4728,"AAAAAHv/X28=")</f>
        <v>#VALUE!</v>
      </c>
      <c r="DI211" t="e">
        <f>AND('STERLING CATALOG - DRY '!F4728,"AAAAAHv/X3A=")</f>
        <v>#VALUE!</v>
      </c>
      <c r="DJ211" t="e">
        <f>AND('STERLING CATALOG - DRY '!G4728,"AAAAAHv/X3E=")</f>
        <v>#VALUE!</v>
      </c>
      <c r="DK211" t="e">
        <f>AND('STERLING CATALOG - DRY '!H4728,"AAAAAHv/X3I=")</f>
        <v>#VALUE!</v>
      </c>
      <c r="DL211" t="e">
        <f>AND('STERLING CATALOG - DRY '!I4728,"AAAAAHv/X3M=")</f>
        <v>#VALUE!</v>
      </c>
      <c r="DM211" t="e">
        <f>AND('STERLING CATALOG - DRY '!J4728,"AAAAAHv/X3Q=")</f>
        <v>#VALUE!</v>
      </c>
      <c r="DN211">
        <f>IF('STERLING CATALOG - DRY '!4729:4729,"AAAAAHv/X3U=",0)</f>
        <v>0</v>
      </c>
      <c r="DO211" t="e">
        <f>AND('STERLING CATALOG - DRY '!A4729,"AAAAAHv/X3Y=")</f>
        <v>#VALUE!</v>
      </c>
      <c r="DP211" t="e">
        <f>AND('STERLING CATALOG - DRY '!B4729,"AAAAAHv/X3c=")</f>
        <v>#VALUE!</v>
      </c>
      <c r="DQ211" t="e">
        <f>AND('STERLING CATALOG - DRY '!C4729,"AAAAAHv/X3g=")</f>
        <v>#VALUE!</v>
      </c>
      <c r="DR211" t="e">
        <f>AND('STERLING CATALOG - DRY '!D4729,"AAAAAHv/X3k=")</f>
        <v>#VALUE!</v>
      </c>
      <c r="DS211" t="e">
        <f>AND('STERLING CATALOG - DRY '!E4729,"AAAAAHv/X3o=")</f>
        <v>#VALUE!</v>
      </c>
      <c r="DT211" t="e">
        <f>AND('STERLING CATALOG - DRY '!F4729,"AAAAAHv/X3s=")</f>
        <v>#VALUE!</v>
      </c>
      <c r="DU211" t="e">
        <f>AND('STERLING CATALOG - DRY '!G4729,"AAAAAHv/X3w=")</f>
        <v>#VALUE!</v>
      </c>
      <c r="DV211" t="e">
        <f>AND('STERLING CATALOG - DRY '!H4729,"AAAAAHv/X30=")</f>
        <v>#VALUE!</v>
      </c>
      <c r="DW211" t="e">
        <f>AND('STERLING CATALOG - DRY '!I4729,"AAAAAHv/X34=")</f>
        <v>#VALUE!</v>
      </c>
      <c r="DX211" t="e">
        <f>AND('STERLING CATALOG - DRY '!J4729,"AAAAAHv/X38=")</f>
        <v>#VALUE!</v>
      </c>
      <c r="DY211">
        <f>IF('STERLING CATALOG - DRY '!4730:4730,"AAAAAHv/X4A=",0)</f>
        <v>0</v>
      </c>
      <c r="DZ211" t="e">
        <f>AND('STERLING CATALOG - DRY '!A4730,"AAAAAHv/X4E=")</f>
        <v>#VALUE!</v>
      </c>
      <c r="EA211" t="e">
        <f>AND('STERLING CATALOG - DRY '!B4730,"AAAAAHv/X4I=")</f>
        <v>#VALUE!</v>
      </c>
      <c r="EB211" t="e">
        <f>AND('STERLING CATALOG - DRY '!C4730,"AAAAAHv/X4M=")</f>
        <v>#VALUE!</v>
      </c>
      <c r="EC211" t="e">
        <f>AND('STERLING CATALOG - DRY '!D4730,"AAAAAHv/X4Q=")</f>
        <v>#VALUE!</v>
      </c>
      <c r="ED211" t="e">
        <f>AND('STERLING CATALOG - DRY '!E4730,"AAAAAHv/X4U=")</f>
        <v>#VALUE!</v>
      </c>
      <c r="EE211" t="e">
        <f>AND('STERLING CATALOG - DRY '!F4730,"AAAAAHv/X4Y=")</f>
        <v>#VALUE!</v>
      </c>
      <c r="EF211" t="e">
        <f>AND('STERLING CATALOG - DRY '!G4730,"AAAAAHv/X4c=")</f>
        <v>#VALUE!</v>
      </c>
      <c r="EG211" t="e">
        <f>AND('STERLING CATALOG - DRY '!H4730,"AAAAAHv/X4g=")</f>
        <v>#VALUE!</v>
      </c>
      <c r="EH211" t="e">
        <f>AND('STERLING CATALOG - DRY '!I4730,"AAAAAHv/X4k=")</f>
        <v>#VALUE!</v>
      </c>
      <c r="EI211" t="e">
        <f>AND('STERLING CATALOG - DRY '!J4730,"AAAAAHv/X4o=")</f>
        <v>#VALUE!</v>
      </c>
      <c r="EJ211">
        <f>IF('STERLING CATALOG - DRY '!4731:4731,"AAAAAHv/X4s=",0)</f>
        <v>0</v>
      </c>
      <c r="EK211" t="e">
        <f>AND('STERLING CATALOG - DRY '!A4731,"AAAAAHv/X4w=")</f>
        <v>#VALUE!</v>
      </c>
      <c r="EL211" t="e">
        <f>AND('STERLING CATALOG - DRY '!B4731,"AAAAAHv/X40=")</f>
        <v>#VALUE!</v>
      </c>
      <c r="EM211" t="e">
        <f>AND('STERLING CATALOG - DRY '!C4731,"AAAAAHv/X44=")</f>
        <v>#VALUE!</v>
      </c>
      <c r="EN211" t="e">
        <f>AND('STERLING CATALOG - DRY '!D4731,"AAAAAHv/X48=")</f>
        <v>#VALUE!</v>
      </c>
      <c r="EO211" t="e">
        <f>AND('STERLING CATALOG - DRY '!E4731,"AAAAAHv/X5A=")</f>
        <v>#VALUE!</v>
      </c>
      <c r="EP211" t="e">
        <f>AND('STERLING CATALOG - DRY '!F4731,"AAAAAHv/X5E=")</f>
        <v>#VALUE!</v>
      </c>
      <c r="EQ211" t="e">
        <f>AND('STERLING CATALOG - DRY '!G4731,"AAAAAHv/X5I=")</f>
        <v>#VALUE!</v>
      </c>
      <c r="ER211" t="e">
        <f>AND('STERLING CATALOG - DRY '!H4731,"AAAAAHv/X5M=")</f>
        <v>#VALUE!</v>
      </c>
      <c r="ES211" t="e">
        <f>AND('STERLING CATALOG - DRY '!I4731,"AAAAAHv/X5Q=")</f>
        <v>#VALUE!</v>
      </c>
      <c r="ET211" t="e">
        <f>AND('STERLING CATALOG - DRY '!J4731,"AAAAAHv/X5U=")</f>
        <v>#VALUE!</v>
      </c>
      <c r="EU211">
        <f>IF('STERLING CATALOG - DRY '!4732:4732,"AAAAAHv/X5Y=",0)</f>
        <v>0</v>
      </c>
      <c r="EV211" t="e">
        <f>AND('STERLING CATALOG - DRY '!A4732,"AAAAAHv/X5c=")</f>
        <v>#VALUE!</v>
      </c>
      <c r="EW211" t="e">
        <f>AND('STERLING CATALOG - DRY '!B4732,"AAAAAHv/X5g=")</f>
        <v>#VALUE!</v>
      </c>
      <c r="EX211" t="e">
        <f>AND('STERLING CATALOG - DRY '!C4732,"AAAAAHv/X5k=")</f>
        <v>#VALUE!</v>
      </c>
      <c r="EY211" t="e">
        <f>AND('STERLING CATALOG - DRY '!D4732,"AAAAAHv/X5o=")</f>
        <v>#VALUE!</v>
      </c>
      <c r="EZ211" t="e">
        <f>AND('STERLING CATALOG - DRY '!E4732,"AAAAAHv/X5s=")</f>
        <v>#VALUE!</v>
      </c>
      <c r="FA211" t="e">
        <f>AND('STERLING CATALOG - DRY '!F4732,"AAAAAHv/X5w=")</f>
        <v>#VALUE!</v>
      </c>
      <c r="FB211" t="e">
        <f>AND('STERLING CATALOG - DRY '!G4732,"AAAAAHv/X50=")</f>
        <v>#VALUE!</v>
      </c>
      <c r="FC211" t="e">
        <f>AND('STERLING CATALOG - DRY '!H4732,"AAAAAHv/X54=")</f>
        <v>#VALUE!</v>
      </c>
      <c r="FD211" t="e">
        <f>AND('STERLING CATALOG - DRY '!I4732,"AAAAAHv/X58=")</f>
        <v>#VALUE!</v>
      </c>
      <c r="FE211" t="e">
        <f>AND('STERLING CATALOG - DRY '!J4732,"AAAAAHv/X6A=")</f>
        <v>#VALUE!</v>
      </c>
      <c r="FF211">
        <f>IF('STERLING CATALOG - DRY '!4733:4733,"AAAAAHv/X6E=",0)</f>
        <v>0</v>
      </c>
      <c r="FG211" t="e">
        <f>AND('STERLING CATALOG - DRY '!A4733,"AAAAAHv/X6I=")</f>
        <v>#VALUE!</v>
      </c>
      <c r="FH211" t="e">
        <f>AND('STERLING CATALOG - DRY '!B4733,"AAAAAHv/X6M=")</f>
        <v>#VALUE!</v>
      </c>
      <c r="FI211" t="e">
        <f>AND('STERLING CATALOG - DRY '!C4733,"AAAAAHv/X6Q=")</f>
        <v>#VALUE!</v>
      </c>
      <c r="FJ211" t="e">
        <f>AND('STERLING CATALOG - DRY '!D4733,"AAAAAHv/X6U=")</f>
        <v>#VALUE!</v>
      </c>
      <c r="FK211" t="e">
        <f>AND('STERLING CATALOG - DRY '!E4733,"AAAAAHv/X6Y=")</f>
        <v>#VALUE!</v>
      </c>
      <c r="FL211" t="e">
        <f>AND('STERLING CATALOG - DRY '!F4733,"AAAAAHv/X6c=")</f>
        <v>#VALUE!</v>
      </c>
      <c r="FM211" t="e">
        <f>AND('STERLING CATALOG - DRY '!G4733,"AAAAAHv/X6g=")</f>
        <v>#VALUE!</v>
      </c>
      <c r="FN211" t="e">
        <f>AND('STERLING CATALOG - DRY '!H4733,"AAAAAHv/X6k=")</f>
        <v>#VALUE!</v>
      </c>
      <c r="FO211" t="e">
        <f>AND('STERLING CATALOG - DRY '!I4733,"AAAAAHv/X6o=")</f>
        <v>#VALUE!</v>
      </c>
      <c r="FP211" t="e">
        <f>AND('STERLING CATALOG - DRY '!J4733,"AAAAAHv/X6s=")</f>
        <v>#VALUE!</v>
      </c>
      <c r="FQ211">
        <f>IF('STERLING CATALOG - DRY '!4734:4734,"AAAAAHv/X6w=",0)</f>
        <v>0</v>
      </c>
      <c r="FR211" t="e">
        <f>AND('STERLING CATALOG - DRY '!A4734,"AAAAAHv/X60=")</f>
        <v>#VALUE!</v>
      </c>
      <c r="FS211" t="e">
        <f>AND('STERLING CATALOG - DRY '!B4734,"AAAAAHv/X64=")</f>
        <v>#VALUE!</v>
      </c>
      <c r="FT211" t="e">
        <f>AND('STERLING CATALOG - DRY '!C4734,"AAAAAHv/X68=")</f>
        <v>#VALUE!</v>
      </c>
      <c r="FU211" t="e">
        <f>AND('STERLING CATALOG - DRY '!D4734,"AAAAAHv/X7A=")</f>
        <v>#VALUE!</v>
      </c>
      <c r="FV211" t="e">
        <f>AND('STERLING CATALOG - DRY '!E4734,"AAAAAHv/X7E=")</f>
        <v>#VALUE!</v>
      </c>
      <c r="FW211" t="e">
        <f>AND('STERLING CATALOG - DRY '!F4734,"AAAAAHv/X7I=")</f>
        <v>#VALUE!</v>
      </c>
      <c r="FX211" t="e">
        <f>AND('STERLING CATALOG - DRY '!G4734,"AAAAAHv/X7M=")</f>
        <v>#VALUE!</v>
      </c>
      <c r="FY211" t="e">
        <f>AND('STERLING CATALOG - DRY '!H4734,"AAAAAHv/X7Q=")</f>
        <v>#VALUE!</v>
      </c>
      <c r="FZ211" t="e">
        <f>AND('STERLING CATALOG - DRY '!I4734,"AAAAAHv/X7U=")</f>
        <v>#VALUE!</v>
      </c>
      <c r="GA211" t="e">
        <f>AND('STERLING CATALOG - DRY '!J4734,"AAAAAHv/X7Y=")</f>
        <v>#VALUE!</v>
      </c>
      <c r="GB211">
        <f>IF('STERLING CATALOG - DRY '!4735:4735,"AAAAAHv/X7c=",0)</f>
        <v>0</v>
      </c>
      <c r="GC211" t="e">
        <f>AND('STERLING CATALOG - DRY '!A4735,"AAAAAHv/X7g=")</f>
        <v>#VALUE!</v>
      </c>
      <c r="GD211" t="e">
        <f>AND('STERLING CATALOG - DRY '!B4735,"AAAAAHv/X7k=")</f>
        <v>#VALUE!</v>
      </c>
      <c r="GE211" t="e">
        <f>AND('STERLING CATALOG - DRY '!C4735,"AAAAAHv/X7o=")</f>
        <v>#VALUE!</v>
      </c>
      <c r="GF211" t="e">
        <f>AND('STERLING CATALOG - DRY '!D4735,"AAAAAHv/X7s=")</f>
        <v>#VALUE!</v>
      </c>
      <c r="GG211" t="e">
        <f>AND('STERLING CATALOG - DRY '!E4735,"AAAAAHv/X7w=")</f>
        <v>#VALUE!</v>
      </c>
      <c r="GH211" t="e">
        <f>AND('STERLING CATALOG - DRY '!F4735,"AAAAAHv/X70=")</f>
        <v>#VALUE!</v>
      </c>
      <c r="GI211" t="e">
        <f>AND('STERLING CATALOG - DRY '!G4735,"AAAAAHv/X74=")</f>
        <v>#VALUE!</v>
      </c>
      <c r="GJ211" t="e">
        <f>AND('STERLING CATALOG - DRY '!H4735,"AAAAAHv/X78=")</f>
        <v>#VALUE!</v>
      </c>
      <c r="GK211" t="e">
        <f>AND('STERLING CATALOG - DRY '!I4735,"AAAAAHv/X8A=")</f>
        <v>#VALUE!</v>
      </c>
      <c r="GL211" t="e">
        <f>AND('STERLING CATALOG - DRY '!J4735,"AAAAAHv/X8E=")</f>
        <v>#VALUE!</v>
      </c>
      <c r="GM211">
        <f>IF('STERLING CATALOG - DRY '!4736:4736,"AAAAAHv/X8I=",0)</f>
        <v>0</v>
      </c>
      <c r="GN211" t="e">
        <f>AND('STERLING CATALOG - DRY '!A4736,"AAAAAHv/X8M=")</f>
        <v>#VALUE!</v>
      </c>
      <c r="GO211" t="e">
        <f>AND('STERLING CATALOG - DRY '!B4736,"AAAAAHv/X8Q=")</f>
        <v>#VALUE!</v>
      </c>
      <c r="GP211" t="e">
        <f>AND('STERLING CATALOG - DRY '!C4736,"AAAAAHv/X8U=")</f>
        <v>#VALUE!</v>
      </c>
      <c r="GQ211" t="e">
        <f>AND('STERLING CATALOG - DRY '!D4736,"AAAAAHv/X8Y=")</f>
        <v>#VALUE!</v>
      </c>
      <c r="GR211" t="e">
        <f>AND('STERLING CATALOG - DRY '!E4736,"AAAAAHv/X8c=")</f>
        <v>#VALUE!</v>
      </c>
      <c r="GS211" t="e">
        <f>AND('STERLING CATALOG - DRY '!F4736,"AAAAAHv/X8g=")</f>
        <v>#VALUE!</v>
      </c>
      <c r="GT211" t="e">
        <f>AND('STERLING CATALOG - DRY '!G4736,"AAAAAHv/X8k=")</f>
        <v>#VALUE!</v>
      </c>
      <c r="GU211" t="e">
        <f>AND('STERLING CATALOG - DRY '!H4736,"AAAAAHv/X8o=")</f>
        <v>#VALUE!</v>
      </c>
      <c r="GV211" t="e">
        <f>AND('STERLING CATALOG - DRY '!I4736,"AAAAAHv/X8s=")</f>
        <v>#VALUE!</v>
      </c>
      <c r="GW211" t="e">
        <f>AND('STERLING CATALOG - DRY '!J4736,"AAAAAHv/X8w=")</f>
        <v>#VALUE!</v>
      </c>
      <c r="GX211">
        <f>IF('STERLING CATALOG - DRY '!4737:4737,"AAAAAHv/X80=",0)</f>
        <v>0</v>
      </c>
      <c r="GY211" t="e">
        <f>AND('STERLING CATALOG - DRY '!A4737,"AAAAAHv/X84=")</f>
        <v>#VALUE!</v>
      </c>
      <c r="GZ211" t="e">
        <f>AND('STERLING CATALOG - DRY '!B4737,"AAAAAHv/X88=")</f>
        <v>#VALUE!</v>
      </c>
      <c r="HA211" t="e">
        <f>AND('STERLING CATALOG - DRY '!C4737,"AAAAAHv/X9A=")</f>
        <v>#VALUE!</v>
      </c>
      <c r="HB211" t="e">
        <f>AND('STERLING CATALOG - DRY '!D4737,"AAAAAHv/X9E=")</f>
        <v>#VALUE!</v>
      </c>
      <c r="HC211" t="e">
        <f>AND('STERLING CATALOG - DRY '!E4737,"AAAAAHv/X9I=")</f>
        <v>#VALUE!</v>
      </c>
      <c r="HD211" t="e">
        <f>AND('STERLING CATALOG - DRY '!F4737,"AAAAAHv/X9M=")</f>
        <v>#VALUE!</v>
      </c>
      <c r="HE211" t="e">
        <f>AND('STERLING CATALOG - DRY '!G4737,"AAAAAHv/X9Q=")</f>
        <v>#VALUE!</v>
      </c>
      <c r="HF211" t="e">
        <f>AND('STERLING CATALOG - DRY '!H4737,"AAAAAHv/X9U=")</f>
        <v>#VALUE!</v>
      </c>
      <c r="HG211" t="e">
        <f>AND('STERLING CATALOG - DRY '!I4737,"AAAAAHv/X9Y=")</f>
        <v>#VALUE!</v>
      </c>
      <c r="HH211" t="e">
        <f>AND('STERLING CATALOG - DRY '!J4737,"AAAAAHv/X9c=")</f>
        <v>#VALUE!</v>
      </c>
      <c r="HI211">
        <f>IF('STERLING CATALOG - DRY '!4738:4738,"AAAAAHv/X9g=",0)</f>
        <v>0</v>
      </c>
      <c r="HJ211" t="e">
        <f>AND('STERLING CATALOG - DRY '!A4738,"AAAAAHv/X9k=")</f>
        <v>#VALUE!</v>
      </c>
      <c r="HK211" t="e">
        <f>AND('STERLING CATALOG - DRY '!B4738,"AAAAAHv/X9o=")</f>
        <v>#VALUE!</v>
      </c>
      <c r="HL211" t="e">
        <f>AND('STERLING CATALOG - DRY '!C4738,"AAAAAHv/X9s=")</f>
        <v>#VALUE!</v>
      </c>
      <c r="HM211" t="e">
        <f>AND('STERLING CATALOG - DRY '!D4738,"AAAAAHv/X9w=")</f>
        <v>#VALUE!</v>
      </c>
      <c r="HN211" t="e">
        <f>AND('STERLING CATALOG - DRY '!E4738,"AAAAAHv/X90=")</f>
        <v>#VALUE!</v>
      </c>
      <c r="HO211" t="e">
        <f>AND('STERLING CATALOG - DRY '!F4738,"AAAAAHv/X94=")</f>
        <v>#VALUE!</v>
      </c>
      <c r="HP211" t="e">
        <f>AND('STERLING CATALOG - DRY '!G4738,"AAAAAHv/X98=")</f>
        <v>#VALUE!</v>
      </c>
      <c r="HQ211" t="e">
        <f>AND('STERLING CATALOG - DRY '!H4738,"AAAAAHv/X+A=")</f>
        <v>#VALUE!</v>
      </c>
      <c r="HR211" t="e">
        <f>AND('STERLING CATALOG - DRY '!I4738,"AAAAAHv/X+E=")</f>
        <v>#VALUE!</v>
      </c>
      <c r="HS211" t="e">
        <f>AND('STERLING CATALOG - DRY '!J4738,"AAAAAHv/X+I=")</f>
        <v>#VALUE!</v>
      </c>
      <c r="HT211">
        <f>IF('STERLING CATALOG - DRY '!4739:4739,"AAAAAHv/X+M=",0)</f>
        <v>0</v>
      </c>
      <c r="HU211" t="e">
        <f>AND('STERLING CATALOG - DRY '!A4739,"AAAAAHv/X+Q=")</f>
        <v>#VALUE!</v>
      </c>
      <c r="HV211" t="e">
        <f>AND('STERLING CATALOG - DRY '!B4739,"AAAAAHv/X+U=")</f>
        <v>#VALUE!</v>
      </c>
      <c r="HW211" t="e">
        <f>AND('STERLING CATALOG - DRY '!C4739,"AAAAAHv/X+Y=")</f>
        <v>#VALUE!</v>
      </c>
      <c r="HX211" t="e">
        <f>AND('STERLING CATALOG - DRY '!D4739,"AAAAAHv/X+c=")</f>
        <v>#VALUE!</v>
      </c>
      <c r="HY211" t="e">
        <f>AND('STERLING CATALOG - DRY '!E4739,"AAAAAHv/X+g=")</f>
        <v>#VALUE!</v>
      </c>
      <c r="HZ211" t="e">
        <f>AND('STERLING CATALOG - DRY '!F4739,"AAAAAHv/X+k=")</f>
        <v>#VALUE!</v>
      </c>
      <c r="IA211" t="e">
        <f>AND('STERLING CATALOG - DRY '!G4739,"AAAAAHv/X+o=")</f>
        <v>#VALUE!</v>
      </c>
      <c r="IB211" t="e">
        <f>AND('STERLING CATALOG - DRY '!H4739,"AAAAAHv/X+s=")</f>
        <v>#VALUE!</v>
      </c>
      <c r="IC211" t="e">
        <f>AND('STERLING CATALOG - DRY '!I4739,"AAAAAHv/X+w=")</f>
        <v>#VALUE!</v>
      </c>
      <c r="ID211" t="e">
        <f>AND('STERLING CATALOG - DRY '!J4739,"AAAAAHv/X+0=")</f>
        <v>#VALUE!</v>
      </c>
      <c r="IE211">
        <f>IF('STERLING CATALOG - DRY '!4740:4740,"AAAAAHv/X+4=",0)</f>
        <v>0</v>
      </c>
      <c r="IF211" t="e">
        <f>AND('STERLING CATALOG - DRY '!A4740,"AAAAAHv/X+8=")</f>
        <v>#VALUE!</v>
      </c>
      <c r="IG211" t="e">
        <f>AND('STERLING CATALOG - DRY '!B4740,"AAAAAHv/X/A=")</f>
        <v>#VALUE!</v>
      </c>
      <c r="IH211" t="e">
        <f>AND('STERLING CATALOG - DRY '!C4740,"AAAAAHv/X/E=")</f>
        <v>#VALUE!</v>
      </c>
      <c r="II211" t="e">
        <f>AND('STERLING CATALOG - DRY '!D4740,"AAAAAHv/X/I=")</f>
        <v>#VALUE!</v>
      </c>
      <c r="IJ211" t="e">
        <f>AND('STERLING CATALOG - DRY '!E4740,"AAAAAHv/X/M=")</f>
        <v>#VALUE!</v>
      </c>
      <c r="IK211" t="e">
        <f>AND('STERLING CATALOG - DRY '!F4740,"AAAAAHv/X/Q=")</f>
        <v>#VALUE!</v>
      </c>
      <c r="IL211" t="e">
        <f>AND('STERLING CATALOG - DRY '!G4740,"AAAAAHv/X/U=")</f>
        <v>#VALUE!</v>
      </c>
      <c r="IM211" t="e">
        <f>AND('STERLING CATALOG - DRY '!H4740,"AAAAAHv/X/Y=")</f>
        <v>#VALUE!</v>
      </c>
      <c r="IN211" t="e">
        <f>AND('STERLING CATALOG - DRY '!I4740,"AAAAAHv/X/c=")</f>
        <v>#VALUE!</v>
      </c>
      <c r="IO211" t="e">
        <f>AND('STERLING CATALOG - DRY '!J4740,"AAAAAHv/X/g=")</f>
        <v>#VALUE!</v>
      </c>
      <c r="IP211">
        <f>IF('STERLING CATALOG - DRY '!4741:4741,"AAAAAHv/X/k=",0)</f>
        <v>0</v>
      </c>
      <c r="IQ211" t="e">
        <f>AND('STERLING CATALOG - DRY '!A4741,"AAAAAHv/X/o=")</f>
        <v>#VALUE!</v>
      </c>
      <c r="IR211" t="e">
        <f>AND('STERLING CATALOG - DRY '!B4741,"AAAAAHv/X/s=")</f>
        <v>#VALUE!</v>
      </c>
      <c r="IS211" t="e">
        <f>AND('STERLING CATALOG - DRY '!C4741,"AAAAAHv/X/w=")</f>
        <v>#VALUE!</v>
      </c>
      <c r="IT211" t="e">
        <f>AND('STERLING CATALOG - DRY '!D4741,"AAAAAHv/X/0=")</f>
        <v>#VALUE!</v>
      </c>
      <c r="IU211" t="e">
        <f>AND('STERLING CATALOG - DRY '!E4741,"AAAAAHv/X/4=")</f>
        <v>#VALUE!</v>
      </c>
      <c r="IV211" t="e">
        <f>AND('STERLING CATALOG - DRY '!F4741,"AAAAAHv/X/8=")</f>
        <v>#VALUE!</v>
      </c>
    </row>
    <row r="212" spans="1:256">
      <c r="A212" t="e">
        <f>AND('STERLING CATALOG - DRY '!G4741,"AAAAAE/2uwA=")</f>
        <v>#VALUE!</v>
      </c>
      <c r="B212" t="e">
        <f>AND('STERLING CATALOG - DRY '!H4741,"AAAAAE/2uwE=")</f>
        <v>#VALUE!</v>
      </c>
      <c r="C212" t="e">
        <f>AND('STERLING CATALOG - DRY '!I4741,"AAAAAE/2uwI=")</f>
        <v>#VALUE!</v>
      </c>
      <c r="D212" t="e">
        <f>AND('STERLING CATALOG - DRY '!J4741,"AAAAAE/2uwM=")</f>
        <v>#VALUE!</v>
      </c>
      <c r="E212" t="e">
        <f>IF('STERLING CATALOG - DRY '!4742:4742,"AAAAAE/2uwQ=",0)</f>
        <v>#VALUE!</v>
      </c>
      <c r="F212" t="e">
        <f>AND('STERLING CATALOG - DRY '!A4742,"AAAAAE/2uwU=")</f>
        <v>#VALUE!</v>
      </c>
      <c r="G212" t="e">
        <f>AND('STERLING CATALOG - DRY '!B4742,"AAAAAE/2uwY=")</f>
        <v>#VALUE!</v>
      </c>
      <c r="H212" t="e">
        <f>AND('STERLING CATALOG - DRY '!C4742,"AAAAAE/2uwc=")</f>
        <v>#VALUE!</v>
      </c>
      <c r="I212" t="e">
        <f>AND('STERLING CATALOG - DRY '!D4742,"AAAAAE/2uwg=")</f>
        <v>#VALUE!</v>
      </c>
      <c r="J212" t="e">
        <f>AND('STERLING CATALOG - DRY '!E4742,"AAAAAE/2uwk=")</f>
        <v>#VALUE!</v>
      </c>
      <c r="K212" t="e">
        <f>AND('STERLING CATALOG - DRY '!F4742,"AAAAAE/2uwo=")</f>
        <v>#VALUE!</v>
      </c>
      <c r="L212" t="e">
        <f>AND('STERLING CATALOG - DRY '!G4742,"AAAAAE/2uws=")</f>
        <v>#VALUE!</v>
      </c>
      <c r="M212" t="e">
        <f>AND('STERLING CATALOG - DRY '!H4742,"AAAAAE/2uww=")</f>
        <v>#VALUE!</v>
      </c>
      <c r="N212" t="e">
        <f>AND('STERLING CATALOG - DRY '!I4742,"AAAAAE/2uw0=")</f>
        <v>#VALUE!</v>
      </c>
      <c r="O212" t="e">
        <f>AND('STERLING CATALOG - DRY '!J4742,"AAAAAE/2uw4=")</f>
        <v>#VALUE!</v>
      </c>
      <c r="P212">
        <f>IF('STERLING CATALOG - DRY '!4743:4743,"AAAAAE/2uw8=",0)</f>
        <v>0</v>
      </c>
      <c r="Q212" t="e">
        <f>AND('STERLING CATALOG - DRY '!A4743,"AAAAAE/2uxA=")</f>
        <v>#VALUE!</v>
      </c>
      <c r="R212" t="e">
        <f>AND('STERLING CATALOG - DRY '!B4743,"AAAAAE/2uxE=")</f>
        <v>#VALUE!</v>
      </c>
      <c r="S212" t="e">
        <f>AND('STERLING CATALOG - DRY '!C4743,"AAAAAE/2uxI=")</f>
        <v>#VALUE!</v>
      </c>
      <c r="T212" t="e">
        <f>AND('STERLING CATALOG - DRY '!D4743,"AAAAAE/2uxM=")</f>
        <v>#VALUE!</v>
      </c>
      <c r="U212" t="e">
        <f>AND('STERLING CATALOG - DRY '!E4743,"AAAAAE/2uxQ=")</f>
        <v>#VALUE!</v>
      </c>
      <c r="V212" t="e">
        <f>AND('STERLING CATALOG - DRY '!F4743,"AAAAAE/2uxU=")</f>
        <v>#VALUE!</v>
      </c>
      <c r="W212" t="e">
        <f>AND('STERLING CATALOG - DRY '!G4743,"AAAAAE/2uxY=")</f>
        <v>#VALUE!</v>
      </c>
      <c r="X212" t="e">
        <f>AND('STERLING CATALOG - DRY '!H4743,"AAAAAE/2uxc=")</f>
        <v>#VALUE!</v>
      </c>
      <c r="Y212" t="e">
        <f>AND('STERLING CATALOG - DRY '!I4743,"AAAAAE/2uxg=")</f>
        <v>#VALUE!</v>
      </c>
      <c r="Z212" t="e">
        <f>AND('STERLING CATALOG - DRY '!J4743,"AAAAAE/2uxk=")</f>
        <v>#VALUE!</v>
      </c>
      <c r="AA212">
        <f>IF('STERLING CATALOG - DRY '!4744:4744,"AAAAAE/2uxo=",0)</f>
        <v>0</v>
      </c>
      <c r="AB212" t="e">
        <f>AND('STERLING CATALOG - DRY '!A4744,"AAAAAE/2uxs=")</f>
        <v>#VALUE!</v>
      </c>
      <c r="AC212" t="e">
        <f>AND('STERLING CATALOG - DRY '!B4744,"AAAAAE/2uxw=")</f>
        <v>#VALUE!</v>
      </c>
      <c r="AD212" t="e">
        <f>AND('STERLING CATALOG - DRY '!C4744,"AAAAAE/2ux0=")</f>
        <v>#VALUE!</v>
      </c>
      <c r="AE212" t="e">
        <f>AND('STERLING CATALOG - DRY '!D4744,"AAAAAE/2ux4=")</f>
        <v>#VALUE!</v>
      </c>
      <c r="AF212" t="e">
        <f>AND('STERLING CATALOG - DRY '!E4744,"AAAAAE/2ux8=")</f>
        <v>#VALUE!</v>
      </c>
      <c r="AG212" t="e">
        <f>AND('STERLING CATALOG - DRY '!F4744,"AAAAAE/2uyA=")</f>
        <v>#VALUE!</v>
      </c>
      <c r="AH212" t="e">
        <f>AND('STERLING CATALOG - DRY '!G4744,"AAAAAE/2uyE=")</f>
        <v>#VALUE!</v>
      </c>
      <c r="AI212" t="e">
        <f>AND('STERLING CATALOG - DRY '!H4744,"AAAAAE/2uyI=")</f>
        <v>#VALUE!</v>
      </c>
      <c r="AJ212" t="e">
        <f>AND('STERLING CATALOG - DRY '!I4744,"AAAAAE/2uyM=")</f>
        <v>#VALUE!</v>
      </c>
      <c r="AK212" t="e">
        <f>AND('STERLING CATALOG - DRY '!J4744,"AAAAAE/2uyQ=")</f>
        <v>#VALUE!</v>
      </c>
      <c r="AL212">
        <f>IF('STERLING CATALOG - DRY '!4745:4745,"AAAAAE/2uyU=",0)</f>
        <v>0</v>
      </c>
      <c r="AM212" t="e">
        <f>AND('STERLING CATALOG - DRY '!A4745,"AAAAAE/2uyY=")</f>
        <v>#VALUE!</v>
      </c>
      <c r="AN212" t="e">
        <f>AND('STERLING CATALOG - DRY '!B4745,"AAAAAE/2uyc=")</f>
        <v>#VALUE!</v>
      </c>
      <c r="AO212" t="e">
        <f>AND('STERLING CATALOG - DRY '!C4745,"AAAAAE/2uyg=")</f>
        <v>#VALUE!</v>
      </c>
      <c r="AP212" t="e">
        <f>AND('STERLING CATALOG - DRY '!D4745,"AAAAAE/2uyk=")</f>
        <v>#VALUE!</v>
      </c>
      <c r="AQ212" t="e">
        <f>AND('STERLING CATALOG - DRY '!E4745,"AAAAAE/2uyo=")</f>
        <v>#VALUE!</v>
      </c>
      <c r="AR212" t="e">
        <f>AND('STERLING CATALOG - DRY '!F4745,"AAAAAE/2uys=")</f>
        <v>#VALUE!</v>
      </c>
      <c r="AS212" t="e">
        <f>AND('STERLING CATALOG - DRY '!G4745,"AAAAAE/2uyw=")</f>
        <v>#VALUE!</v>
      </c>
      <c r="AT212" t="e">
        <f>AND('STERLING CATALOG - DRY '!H4745,"AAAAAE/2uy0=")</f>
        <v>#VALUE!</v>
      </c>
      <c r="AU212" t="e">
        <f>AND('STERLING CATALOG - DRY '!I4745,"AAAAAE/2uy4=")</f>
        <v>#VALUE!</v>
      </c>
      <c r="AV212" t="e">
        <f>AND('STERLING CATALOG - DRY '!J4745,"AAAAAE/2uy8=")</f>
        <v>#VALUE!</v>
      </c>
      <c r="AW212">
        <f>IF('STERLING CATALOG - DRY '!4746:4746,"AAAAAE/2uzA=",0)</f>
        <v>0</v>
      </c>
      <c r="AX212" t="e">
        <f>AND('STERLING CATALOG - DRY '!A4746,"AAAAAE/2uzE=")</f>
        <v>#VALUE!</v>
      </c>
      <c r="AY212" t="e">
        <f>AND('STERLING CATALOG - DRY '!B4746,"AAAAAE/2uzI=")</f>
        <v>#VALUE!</v>
      </c>
      <c r="AZ212" t="e">
        <f>AND('STERLING CATALOG - DRY '!C4746,"AAAAAE/2uzM=")</f>
        <v>#VALUE!</v>
      </c>
      <c r="BA212" t="e">
        <f>AND('STERLING CATALOG - DRY '!D4746,"AAAAAE/2uzQ=")</f>
        <v>#VALUE!</v>
      </c>
      <c r="BB212" t="e">
        <f>AND('STERLING CATALOG - DRY '!E4746,"AAAAAE/2uzU=")</f>
        <v>#VALUE!</v>
      </c>
      <c r="BC212" t="e">
        <f>AND('STERLING CATALOG - DRY '!F4746,"AAAAAE/2uzY=")</f>
        <v>#VALUE!</v>
      </c>
      <c r="BD212" t="e">
        <f>AND('STERLING CATALOG - DRY '!G4746,"AAAAAE/2uzc=")</f>
        <v>#VALUE!</v>
      </c>
      <c r="BE212" t="e">
        <f>AND('STERLING CATALOG - DRY '!H4746,"AAAAAE/2uzg=")</f>
        <v>#VALUE!</v>
      </c>
      <c r="BF212" t="e">
        <f>AND('STERLING CATALOG - DRY '!I4746,"AAAAAE/2uzk=")</f>
        <v>#VALUE!</v>
      </c>
      <c r="BG212" t="e">
        <f>AND('STERLING CATALOG - DRY '!J4746,"AAAAAE/2uzo=")</f>
        <v>#VALUE!</v>
      </c>
      <c r="BH212">
        <f>IF('STERLING CATALOG - DRY '!4747:4747,"AAAAAE/2uzs=",0)</f>
        <v>0</v>
      </c>
      <c r="BI212" t="e">
        <f>AND('STERLING CATALOG - DRY '!A4747,"AAAAAE/2uzw=")</f>
        <v>#VALUE!</v>
      </c>
      <c r="BJ212" t="e">
        <f>AND('STERLING CATALOG - DRY '!B4747,"AAAAAE/2uz0=")</f>
        <v>#VALUE!</v>
      </c>
      <c r="BK212" t="e">
        <f>AND('STERLING CATALOG - DRY '!C4747,"AAAAAE/2uz4=")</f>
        <v>#VALUE!</v>
      </c>
      <c r="BL212" t="e">
        <f>AND('STERLING CATALOG - DRY '!D4747,"AAAAAE/2uz8=")</f>
        <v>#VALUE!</v>
      </c>
      <c r="BM212" t="e">
        <f>AND('STERLING CATALOG - DRY '!E4747,"AAAAAE/2u0A=")</f>
        <v>#VALUE!</v>
      </c>
      <c r="BN212" t="e">
        <f>AND('STERLING CATALOG - DRY '!F4747,"AAAAAE/2u0E=")</f>
        <v>#VALUE!</v>
      </c>
      <c r="BO212" t="e">
        <f>AND('STERLING CATALOG - DRY '!G4747,"AAAAAE/2u0I=")</f>
        <v>#VALUE!</v>
      </c>
      <c r="BP212" t="e">
        <f>AND('STERLING CATALOG - DRY '!H4747,"AAAAAE/2u0M=")</f>
        <v>#VALUE!</v>
      </c>
      <c r="BQ212" t="e">
        <f>AND('STERLING CATALOG - DRY '!I4747,"AAAAAE/2u0Q=")</f>
        <v>#VALUE!</v>
      </c>
      <c r="BR212" t="e">
        <f>AND('STERLING CATALOG - DRY '!J4747,"AAAAAE/2u0U=")</f>
        <v>#VALUE!</v>
      </c>
      <c r="BS212">
        <f>IF('STERLING CATALOG - DRY '!4748:4748,"AAAAAE/2u0Y=",0)</f>
        <v>0</v>
      </c>
      <c r="BT212" t="e">
        <f>AND('STERLING CATALOG - DRY '!A4748,"AAAAAE/2u0c=")</f>
        <v>#VALUE!</v>
      </c>
      <c r="BU212" t="e">
        <f>AND('STERLING CATALOG - DRY '!B4748,"AAAAAE/2u0g=")</f>
        <v>#VALUE!</v>
      </c>
      <c r="BV212" t="e">
        <f>AND('STERLING CATALOG - DRY '!C4748,"AAAAAE/2u0k=")</f>
        <v>#VALUE!</v>
      </c>
      <c r="BW212" t="e">
        <f>AND('STERLING CATALOG - DRY '!D4748,"AAAAAE/2u0o=")</f>
        <v>#VALUE!</v>
      </c>
      <c r="BX212" t="e">
        <f>AND('STERLING CATALOG - DRY '!E4748,"AAAAAE/2u0s=")</f>
        <v>#VALUE!</v>
      </c>
      <c r="BY212" t="e">
        <f>AND('STERLING CATALOG - DRY '!F4748,"AAAAAE/2u0w=")</f>
        <v>#VALUE!</v>
      </c>
      <c r="BZ212" t="e">
        <f>AND('STERLING CATALOG - DRY '!G4748,"AAAAAE/2u00=")</f>
        <v>#VALUE!</v>
      </c>
      <c r="CA212" t="e">
        <f>AND('STERLING CATALOG - DRY '!H4748,"AAAAAE/2u04=")</f>
        <v>#VALUE!</v>
      </c>
      <c r="CB212" t="e">
        <f>AND('STERLING CATALOG - DRY '!I4748,"AAAAAE/2u08=")</f>
        <v>#VALUE!</v>
      </c>
      <c r="CC212" t="e">
        <f>AND('STERLING CATALOG - DRY '!J4748,"AAAAAE/2u1A=")</f>
        <v>#VALUE!</v>
      </c>
      <c r="CD212">
        <f>IF('STERLING CATALOG - DRY '!4749:4749,"AAAAAE/2u1E=",0)</f>
        <v>0</v>
      </c>
      <c r="CE212" t="e">
        <f>AND('STERLING CATALOG - DRY '!A4749,"AAAAAE/2u1I=")</f>
        <v>#VALUE!</v>
      </c>
      <c r="CF212" t="e">
        <f>AND('STERLING CATALOG - DRY '!B4749,"AAAAAE/2u1M=")</f>
        <v>#VALUE!</v>
      </c>
      <c r="CG212" t="e">
        <f>AND('STERLING CATALOG - DRY '!C4749,"AAAAAE/2u1Q=")</f>
        <v>#VALUE!</v>
      </c>
      <c r="CH212" t="e">
        <f>AND('STERLING CATALOG - DRY '!D4749,"AAAAAE/2u1U=")</f>
        <v>#VALUE!</v>
      </c>
      <c r="CI212" t="e">
        <f>AND('STERLING CATALOG - DRY '!E4749,"AAAAAE/2u1Y=")</f>
        <v>#VALUE!</v>
      </c>
      <c r="CJ212" t="e">
        <f>AND('STERLING CATALOG - DRY '!F4749,"AAAAAE/2u1c=")</f>
        <v>#VALUE!</v>
      </c>
      <c r="CK212" t="e">
        <f>AND('STERLING CATALOG - DRY '!G4749,"AAAAAE/2u1g=")</f>
        <v>#VALUE!</v>
      </c>
      <c r="CL212" t="e">
        <f>AND('STERLING CATALOG - DRY '!H4749,"AAAAAE/2u1k=")</f>
        <v>#VALUE!</v>
      </c>
      <c r="CM212" t="e">
        <f>AND('STERLING CATALOG - DRY '!I4749,"AAAAAE/2u1o=")</f>
        <v>#VALUE!</v>
      </c>
      <c r="CN212" t="e">
        <f>AND('STERLING CATALOG - DRY '!J4749,"AAAAAE/2u1s=")</f>
        <v>#VALUE!</v>
      </c>
      <c r="CO212">
        <f>IF('STERLING CATALOG - DRY '!4750:4750,"AAAAAE/2u1w=",0)</f>
        <v>0</v>
      </c>
      <c r="CP212" t="e">
        <f>AND('STERLING CATALOG - DRY '!A4750,"AAAAAE/2u10=")</f>
        <v>#VALUE!</v>
      </c>
      <c r="CQ212" t="e">
        <f>AND('STERLING CATALOG - DRY '!B4750,"AAAAAE/2u14=")</f>
        <v>#VALUE!</v>
      </c>
      <c r="CR212" t="e">
        <f>AND('STERLING CATALOG - DRY '!C4750,"AAAAAE/2u18=")</f>
        <v>#VALUE!</v>
      </c>
      <c r="CS212" t="e">
        <f>AND('STERLING CATALOG - DRY '!D4750,"AAAAAE/2u2A=")</f>
        <v>#VALUE!</v>
      </c>
      <c r="CT212" t="e">
        <f>AND('STERLING CATALOG - DRY '!E4750,"AAAAAE/2u2E=")</f>
        <v>#VALUE!</v>
      </c>
      <c r="CU212" t="e">
        <f>AND('STERLING CATALOG - DRY '!F4750,"AAAAAE/2u2I=")</f>
        <v>#VALUE!</v>
      </c>
      <c r="CV212" t="e">
        <f>AND('STERLING CATALOG - DRY '!G4750,"AAAAAE/2u2M=")</f>
        <v>#VALUE!</v>
      </c>
      <c r="CW212" t="e">
        <f>AND('STERLING CATALOG - DRY '!H4750,"AAAAAE/2u2Q=")</f>
        <v>#VALUE!</v>
      </c>
      <c r="CX212" t="e">
        <f>AND('STERLING CATALOG - DRY '!I4750,"AAAAAE/2u2U=")</f>
        <v>#VALUE!</v>
      </c>
      <c r="CY212" t="e">
        <f>AND('STERLING CATALOG - DRY '!J4750,"AAAAAE/2u2Y=")</f>
        <v>#VALUE!</v>
      </c>
      <c r="CZ212">
        <f>IF('STERLING CATALOG - DRY '!4751:4751,"AAAAAE/2u2c=",0)</f>
        <v>0</v>
      </c>
      <c r="DA212" t="e">
        <f>AND('STERLING CATALOG - DRY '!A4751,"AAAAAE/2u2g=")</f>
        <v>#VALUE!</v>
      </c>
      <c r="DB212" t="e">
        <f>AND('STERLING CATALOG - DRY '!B4751,"AAAAAE/2u2k=")</f>
        <v>#VALUE!</v>
      </c>
      <c r="DC212" t="e">
        <f>AND('STERLING CATALOG - DRY '!C4751,"AAAAAE/2u2o=")</f>
        <v>#VALUE!</v>
      </c>
      <c r="DD212" t="e">
        <f>AND('STERLING CATALOG - DRY '!D4751,"AAAAAE/2u2s=")</f>
        <v>#VALUE!</v>
      </c>
      <c r="DE212" t="e">
        <f>AND('STERLING CATALOG - DRY '!E4751,"AAAAAE/2u2w=")</f>
        <v>#VALUE!</v>
      </c>
      <c r="DF212" t="e">
        <f>AND('STERLING CATALOG - DRY '!F4751,"AAAAAE/2u20=")</f>
        <v>#VALUE!</v>
      </c>
      <c r="DG212" t="e">
        <f>AND('STERLING CATALOG - DRY '!G4751,"AAAAAE/2u24=")</f>
        <v>#VALUE!</v>
      </c>
      <c r="DH212" t="e">
        <f>AND('STERLING CATALOG - DRY '!H4751,"AAAAAE/2u28=")</f>
        <v>#VALUE!</v>
      </c>
      <c r="DI212" t="e">
        <f>AND('STERLING CATALOG - DRY '!I4751,"AAAAAE/2u3A=")</f>
        <v>#VALUE!</v>
      </c>
      <c r="DJ212" t="e">
        <f>AND('STERLING CATALOG - DRY '!J4751,"AAAAAE/2u3E=")</f>
        <v>#VALUE!</v>
      </c>
      <c r="DK212">
        <f>IF('STERLING CATALOG - DRY '!4752:4752,"AAAAAE/2u3I=",0)</f>
        <v>0</v>
      </c>
      <c r="DL212" t="e">
        <f>AND('STERLING CATALOG - DRY '!A4752,"AAAAAE/2u3M=")</f>
        <v>#VALUE!</v>
      </c>
      <c r="DM212" t="e">
        <f>AND('STERLING CATALOG - DRY '!B4752,"AAAAAE/2u3Q=")</f>
        <v>#VALUE!</v>
      </c>
      <c r="DN212" t="e">
        <f>AND('STERLING CATALOG - DRY '!C4752,"AAAAAE/2u3U=")</f>
        <v>#VALUE!</v>
      </c>
      <c r="DO212" t="e">
        <f>AND('STERLING CATALOG - DRY '!D4752,"AAAAAE/2u3Y=")</f>
        <v>#VALUE!</v>
      </c>
      <c r="DP212" t="e">
        <f>AND('STERLING CATALOG - DRY '!E4752,"AAAAAE/2u3c=")</f>
        <v>#VALUE!</v>
      </c>
      <c r="DQ212" t="e">
        <f>AND('STERLING CATALOG - DRY '!F4752,"AAAAAE/2u3g=")</f>
        <v>#VALUE!</v>
      </c>
      <c r="DR212" t="e">
        <f>AND('STERLING CATALOG - DRY '!G4752,"AAAAAE/2u3k=")</f>
        <v>#VALUE!</v>
      </c>
      <c r="DS212" t="e">
        <f>AND('STERLING CATALOG - DRY '!H4752,"AAAAAE/2u3o=")</f>
        <v>#VALUE!</v>
      </c>
      <c r="DT212" t="e">
        <f>AND('STERLING CATALOG - DRY '!I4752,"AAAAAE/2u3s=")</f>
        <v>#VALUE!</v>
      </c>
      <c r="DU212" t="e">
        <f>AND('STERLING CATALOG - DRY '!J4752,"AAAAAE/2u3w=")</f>
        <v>#VALUE!</v>
      </c>
      <c r="DV212">
        <f>IF('STERLING CATALOG - DRY '!4753:4753,"AAAAAE/2u30=",0)</f>
        <v>0</v>
      </c>
      <c r="DW212" t="e">
        <f>AND('STERLING CATALOG - DRY '!A4753,"AAAAAE/2u34=")</f>
        <v>#VALUE!</v>
      </c>
      <c r="DX212" t="e">
        <f>AND('STERLING CATALOG - DRY '!B4753,"AAAAAE/2u38=")</f>
        <v>#VALUE!</v>
      </c>
      <c r="DY212" t="e">
        <f>AND('STERLING CATALOG - DRY '!C4753,"AAAAAE/2u4A=")</f>
        <v>#VALUE!</v>
      </c>
      <c r="DZ212" t="e">
        <f>AND('STERLING CATALOG - DRY '!D4753,"AAAAAE/2u4E=")</f>
        <v>#VALUE!</v>
      </c>
      <c r="EA212" t="e">
        <f>AND('STERLING CATALOG - DRY '!E4753,"AAAAAE/2u4I=")</f>
        <v>#VALUE!</v>
      </c>
      <c r="EB212" t="e">
        <f>AND('STERLING CATALOG - DRY '!F4753,"AAAAAE/2u4M=")</f>
        <v>#VALUE!</v>
      </c>
      <c r="EC212" t="e">
        <f>AND('STERLING CATALOG - DRY '!G4753,"AAAAAE/2u4Q=")</f>
        <v>#VALUE!</v>
      </c>
      <c r="ED212" t="e">
        <f>AND('STERLING CATALOG - DRY '!H4753,"AAAAAE/2u4U=")</f>
        <v>#VALUE!</v>
      </c>
      <c r="EE212" t="e">
        <f>AND('STERLING CATALOG - DRY '!I4753,"AAAAAE/2u4Y=")</f>
        <v>#VALUE!</v>
      </c>
      <c r="EF212" t="e">
        <f>AND('STERLING CATALOG - DRY '!J4753,"AAAAAE/2u4c=")</f>
        <v>#VALUE!</v>
      </c>
      <c r="EG212">
        <f>IF('STERLING CATALOG - DRY '!4754:4754,"AAAAAE/2u4g=",0)</f>
        <v>0</v>
      </c>
      <c r="EH212" t="e">
        <f>AND('STERLING CATALOG - DRY '!A4754,"AAAAAE/2u4k=")</f>
        <v>#VALUE!</v>
      </c>
      <c r="EI212" t="e">
        <f>AND('STERLING CATALOG - DRY '!B4754,"AAAAAE/2u4o=")</f>
        <v>#VALUE!</v>
      </c>
      <c r="EJ212" t="e">
        <f>AND('STERLING CATALOG - DRY '!C4754,"AAAAAE/2u4s=")</f>
        <v>#VALUE!</v>
      </c>
      <c r="EK212" t="e">
        <f>AND('STERLING CATALOG - DRY '!D4754,"AAAAAE/2u4w=")</f>
        <v>#VALUE!</v>
      </c>
      <c r="EL212" t="e">
        <f>AND('STERLING CATALOG - DRY '!E4754,"AAAAAE/2u40=")</f>
        <v>#VALUE!</v>
      </c>
      <c r="EM212" t="e">
        <f>AND('STERLING CATALOG - DRY '!F4754,"AAAAAE/2u44=")</f>
        <v>#VALUE!</v>
      </c>
      <c r="EN212" t="e">
        <f>AND('STERLING CATALOG - DRY '!G4754,"AAAAAE/2u48=")</f>
        <v>#VALUE!</v>
      </c>
      <c r="EO212" t="e">
        <f>AND('STERLING CATALOG - DRY '!H4754,"AAAAAE/2u5A=")</f>
        <v>#VALUE!</v>
      </c>
      <c r="EP212" t="e">
        <f>AND('STERLING CATALOG - DRY '!I4754,"AAAAAE/2u5E=")</f>
        <v>#VALUE!</v>
      </c>
      <c r="EQ212" t="e">
        <f>AND('STERLING CATALOG - DRY '!J4754,"AAAAAE/2u5I=")</f>
        <v>#VALUE!</v>
      </c>
      <c r="ER212">
        <f>IF('STERLING CATALOG - DRY '!4755:4755,"AAAAAE/2u5M=",0)</f>
        <v>0</v>
      </c>
      <c r="ES212" t="e">
        <f>AND('STERLING CATALOG - DRY '!A4755,"AAAAAE/2u5Q=")</f>
        <v>#VALUE!</v>
      </c>
      <c r="ET212" t="e">
        <f>AND('STERLING CATALOG - DRY '!B4755,"AAAAAE/2u5U=")</f>
        <v>#VALUE!</v>
      </c>
      <c r="EU212" t="e">
        <f>AND('STERLING CATALOG - DRY '!C4755,"AAAAAE/2u5Y=")</f>
        <v>#VALUE!</v>
      </c>
      <c r="EV212" t="e">
        <f>AND('STERLING CATALOG - DRY '!D4755,"AAAAAE/2u5c=")</f>
        <v>#VALUE!</v>
      </c>
      <c r="EW212" t="e">
        <f>AND('STERLING CATALOG - DRY '!E4755,"AAAAAE/2u5g=")</f>
        <v>#VALUE!</v>
      </c>
      <c r="EX212" t="e">
        <f>AND('STERLING CATALOG - DRY '!F4755,"AAAAAE/2u5k=")</f>
        <v>#VALUE!</v>
      </c>
      <c r="EY212" t="e">
        <f>AND('STERLING CATALOG - DRY '!G4755,"AAAAAE/2u5o=")</f>
        <v>#VALUE!</v>
      </c>
      <c r="EZ212" t="e">
        <f>AND('STERLING CATALOG - DRY '!H4755,"AAAAAE/2u5s=")</f>
        <v>#VALUE!</v>
      </c>
      <c r="FA212" t="e">
        <f>AND('STERLING CATALOG - DRY '!I4755,"AAAAAE/2u5w=")</f>
        <v>#VALUE!</v>
      </c>
      <c r="FB212" t="e">
        <f>AND('STERLING CATALOG - DRY '!J4755,"AAAAAE/2u50=")</f>
        <v>#VALUE!</v>
      </c>
      <c r="FC212">
        <f>IF('STERLING CATALOG - DRY '!4756:4756,"AAAAAE/2u54=",0)</f>
        <v>0</v>
      </c>
      <c r="FD212" t="e">
        <f>AND('STERLING CATALOG - DRY '!A4756,"AAAAAE/2u58=")</f>
        <v>#VALUE!</v>
      </c>
      <c r="FE212" t="e">
        <f>AND('STERLING CATALOG - DRY '!B4756,"AAAAAE/2u6A=")</f>
        <v>#VALUE!</v>
      </c>
      <c r="FF212" t="e">
        <f>AND('STERLING CATALOG - DRY '!C4756,"AAAAAE/2u6E=")</f>
        <v>#VALUE!</v>
      </c>
      <c r="FG212" t="e">
        <f>AND('STERLING CATALOG - DRY '!D4756,"AAAAAE/2u6I=")</f>
        <v>#VALUE!</v>
      </c>
      <c r="FH212" t="e">
        <f>AND('STERLING CATALOG - DRY '!E4756,"AAAAAE/2u6M=")</f>
        <v>#VALUE!</v>
      </c>
      <c r="FI212" t="e">
        <f>AND('STERLING CATALOG - DRY '!F4756,"AAAAAE/2u6Q=")</f>
        <v>#VALUE!</v>
      </c>
      <c r="FJ212" t="e">
        <f>AND('STERLING CATALOG - DRY '!G4756,"AAAAAE/2u6U=")</f>
        <v>#VALUE!</v>
      </c>
      <c r="FK212" t="e">
        <f>AND('STERLING CATALOG - DRY '!H4756,"AAAAAE/2u6Y=")</f>
        <v>#VALUE!</v>
      </c>
      <c r="FL212" t="e">
        <f>AND('STERLING CATALOG - DRY '!I4756,"AAAAAE/2u6c=")</f>
        <v>#VALUE!</v>
      </c>
      <c r="FM212" t="e">
        <f>AND('STERLING CATALOG - DRY '!J4756,"AAAAAE/2u6g=")</f>
        <v>#VALUE!</v>
      </c>
      <c r="FN212">
        <f>IF('STERLING CATALOG - DRY '!4757:4757,"AAAAAE/2u6k=",0)</f>
        <v>0</v>
      </c>
      <c r="FO212" t="e">
        <f>AND('STERLING CATALOG - DRY '!A4757,"AAAAAE/2u6o=")</f>
        <v>#VALUE!</v>
      </c>
      <c r="FP212" t="e">
        <f>AND('STERLING CATALOG - DRY '!B4757,"AAAAAE/2u6s=")</f>
        <v>#VALUE!</v>
      </c>
      <c r="FQ212" t="e">
        <f>AND('STERLING CATALOG - DRY '!C4757,"AAAAAE/2u6w=")</f>
        <v>#VALUE!</v>
      </c>
      <c r="FR212" t="e">
        <f>AND('STERLING CATALOG - DRY '!D4757,"AAAAAE/2u60=")</f>
        <v>#VALUE!</v>
      </c>
      <c r="FS212" t="e">
        <f>AND('STERLING CATALOG - DRY '!E4757,"AAAAAE/2u64=")</f>
        <v>#VALUE!</v>
      </c>
      <c r="FT212" t="e">
        <f>AND('STERLING CATALOG - DRY '!F4757,"AAAAAE/2u68=")</f>
        <v>#VALUE!</v>
      </c>
      <c r="FU212" t="e">
        <f>AND('STERLING CATALOG - DRY '!G4757,"AAAAAE/2u7A=")</f>
        <v>#VALUE!</v>
      </c>
      <c r="FV212" t="e">
        <f>AND('STERLING CATALOG - DRY '!H4757,"AAAAAE/2u7E=")</f>
        <v>#VALUE!</v>
      </c>
      <c r="FW212" t="e">
        <f>AND('STERLING CATALOG - DRY '!I4757,"AAAAAE/2u7I=")</f>
        <v>#VALUE!</v>
      </c>
      <c r="FX212" t="e">
        <f>AND('STERLING CATALOG - DRY '!J4757,"AAAAAE/2u7M=")</f>
        <v>#VALUE!</v>
      </c>
      <c r="FY212">
        <f>IF('STERLING CATALOG - DRY '!4758:4758,"AAAAAE/2u7Q=",0)</f>
        <v>0</v>
      </c>
      <c r="FZ212" t="e">
        <f>AND('STERLING CATALOG - DRY '!A4758,"AAAAAE/2u7U=")</f>
        <v>#VALUE!</v>
      </c>
      <c r="GA212" t="e">
        <f>AND('STERLING CATALOG - DRY '!B4758,"AAAAAE/2u7Y=")</f>
        <v>#VALUE!</v>
      </c>
      <c r="GB212" t="e">
        <f>AND('STERLING CATALOG - DRY '!C4758,"AAAAAE/2u7c=")</f>
        <v>#VALUE!</v>
      </c>
      <c r="GC212" t="e">
        <f>AND('STERLING CATALOG - DRY '!D4758,"AAAAAE/2u7g=")</f>
        <v>#VALUE!</v>
      </c>
      <c r="GD212" t="e">
        <f>AND('STERLING CATALOG - DRY '!E4758,"AAAAAE/2u7k=")</f>
        <v>#VALUE!</v>
      </c>
      <c r="GE212" t="e">
        <f>AND('STERLING CATALOG - DRY '!F4758,"AAAAAE/2u7o=")</f>
        <v>#VALUE!</v>
      </c>
      <c r="GF212" t="e">
        <f>AND('STERLING CATALOG - DRY '!G4758,"AAAAAE/2u7s=")</f>
        <v>#VALUE!</v>
      </c>
      <c r="GG212" t="e">
        <f>AND('STERLING CATALOG - DRY '!H4758,"AAAAAE/2u7w=")</f>
        <v>#VALUE!</v>
      </c>
      <c r="GH212" t="e">
        <f>AND('STERLING CATALOG - DRY '!I4758,"AAAAAE/2u70=")</f>
        <v>#VALUE!</v>
      </c>
      <c r="GI212" t="e">
        <f>AND('STERLING CATALOG - DRY '!J4758,"AAAAAE/2u74=")</f>
        <v>#VALUE!</v>
      </c>
      <c r="GJ212">
        <f>IF('STERLING CATALOG - DRY '!4759:4759,"AAAAAE/2u78=",0)</f>
        <v>0</v>
      </c>
      <c r="GK212" t="e">
        <f>AND('STERLING CATALOG - DRY '!A4759,"AAAAAE/2u8A=")</f>
        <v>#VALUE!</v>
      </c>
      <c r="GL212" t="e">
        <f>AND('STERLING CATALOG - DRY '!B4759,"AAAAAE/2u8E=")</f>
        <v>#VALUE!</v>
      </c>
      <c r="GM212" t="e">
        <f>AND('STERLING CATALOG - DRY '!C4759,"AAAAAE/2u8I=")</f>
        <v>#VALUE!</v>
      </c>
      <c r="GN212" t="e">
        <f>AND('STERLING CATALOG - DRY '!D4759,"AAAAAE/2u8M=")</f>
        <v>#VALUE!</v>
      </c>
      <c r="GO212" t="e">
        <f>AND('STERLING CATALOG - DRY '!E4759,"AAAAAE/2u8Q=")</f>
        <v>#VALUE!</v>
      </c>
      <c r="GP212" t="e">
        <f>AND('STERLING CATALOG - DRY '!F4759,"AAAAAE/2u8U=")</f>
        <v>#VALUE!</v>
      </c>
      <c r="GQ212" t="e">
        <f>AND('STERLING CATALOG - DRY '!G4759,"AAAAAE/2u8Y=")</f>
        <v>#VALUE!</v>
      </c>
      <c r="GR212" t="e">
        <f>AND('STERLING CATALOG - DRY '!H4759,"AAAAAE/2u8c=")</f>
        <v>#VALUE!</v>
      </c>
      <c r="GS212" t="e">
        <f>AND('STERLING CATALOG - DRY '!I4759,"AAAAAE/2u8g=")</f>
        <v>#VALUE!</v>
      </c>
      <c r="GT212" t="e">
        <f>AND('STERLING CATALOG - DRY '!J4759,"AAAAAE/2u8k=")</f>
        <v>#VALUE!</v>
      </c>
      <c r="GU212">
        <f>IF('STERLING CATALOG - DRY '!4760:4760,"AAAAAE/2u8o=",0)</f>
        <v>0</v>
      </c>
      <c r="GV212" t="e">
        <f>AND('STERLING CATALOG - DRY '!A4760,"AAAAAE/2u8s=")</f>
        <v>#VALUE!</v>
      </c>
      <c r="GW212" t="e">
        <f>AND('STERLING CATALOG - DRY '!B4760,"AAAAAE/2u8w=")</f>
        <v>#VALUE!</v>
      </c>
      <c r="GX212" t="e">
        <f>AND('STERLING CATALOG - DRY '!C4760,"AAAAAE/2u80=")</f>
        <v>#VALUE!</v>
      </c>
      <c r="GY212" t="e">
        <f>AND('STERLING CATALOG - DRY '!D4760,"AAAAAE/2u84=")</f>
        <v>#VALUE!</v>
      </c>
      <c r="GZ212" t="e">
        <f>AND('STERLING CATALOG - DRY '!E4760,"AAAAAE/2u88=")</f>
        <v>#VALUE!</v>
      </c>
      <c r="HA212" t="e">
        <f>AND('STERLING CATALOG - DRY '!F4760,"AAAAAE/2u9A=")</f>
        <v>#VALUE!</v>
      </c>
      <c r="HB212" t="e">
        <f>AND('STERLING CATALOG - DRY '!G4760,"AAAAAE/2u9E=")</f>
        <v>#VALUE!</v>
      </c>
      <c r="HC212" t="e">
        <f>AND('STERLING CATALOG - DRY '!H4760,"AAAAAE/2u9I=")</f>
        <v>#VALUE!</v>
      </c>
      <c r="HD212" t="e">
        <f>AND('STERLING CATALOG - DRY '!I4760,"AAAAAE/2u9M=")</f>
        <v>#VALUE!</v>
      </c>
      <c r="HE212" t="e">
        <f>AND('STERLING CATALOG - DRY '!J4760,"AAAAAE/2u9Q=")</f>
        <v>#VALUE!</v>
      </c>
      <c r="HF212">
        <f>IF('STERLING CATALOG - DRY '!4761:4761,"AAAAAE/2u9U=",0)</f>
        <v>0</v>
      </c>
      <c r="HG212" t="e">
        <f>AND('STERLING CATALOG - DRY '!A4761,"AAAAAE/2u9Y=")</f>
        <v>#VALUE!</v>
      </c>
      <c r="HH212" t="e">
        <f>AND('STERLING CATALOG - DRY '!B4761,"AAAAAE/2u9c=")</f>
        <v>#VALUE!</v>
      </c>
      <c r="HI212" t="e">
        <f>AND('STERLING CATALOG - DRY '!C4761,"AAAAAE/2u9g=")</f>
        <v>#VALUE!</v>
      </c>
      <c r="HJ212" t="e">
        <f>AND('STERLING CATALOG - DRY '!D4761,"AAAAAE/2u9k=")</f>
        <v>#VALUE!</v>
      </c>
      <c r="HK212" t="e">
        <f>AND('STERLING CATALOG - DRY '!E4761,"AAAAAE/2u9o=")</f>
        <v>#VALUE!</v>
      </c>
      <c r="HL212" t="e">
        <f>AND('STERLING CATALOG - DRY '!F4761,"AAAAAE/2u9s=")</f>
        <v>#VALUE!</v>
      </c>
      <c r="HM212" t="e">
        <f>AND('STERLING CATALOG - DRY '!G4761,"AAAAAE/2u9w=")</f>
        <v>#VALUE!</v>
      </c>
      <c r="HN212" t="e">
        <f>AND('STERLING CATALOG - DRY '!H4761,"AAAAAE/2u90=")</f>
        <v>#VALUE!</v>
      </c>
      <c r="HO212" t="e">
        <f>AND('STERLING CATALOG - DRY '!I4761,"AAAAAE/2u94=")</f>
        <v>#VALUE!</v>
      </c>
      <c r="HP212" t="e">
        <f>AND('STERLING CATALOG - DRY '!J4761,"AAAAAE/2u98=")</f>
        <v>#VALUE!</v>
      </c>
      <c r="HQ212">
        <f>IF('STERLING CATALOG - DRY '!4762:4762,"AAAAAE/2u+A=",0)</f>
        <v>0</v>
      </c>
      <c r="HR212" t="e">
        <f>AND('STERLING CATALOG - DRY '!A4762,"AAAAAE/2u+E=")</f>
        <v>#VALUE!</v>
      </c>
      <c r="HS212" t="e">
        <f>AND('STERLING CATALOG - DRY '!B4762,"AAAAAE/2u+I=")</f>
        <v>#VALUE!</v>
      </c>
      <c r="HT212" t="e">
        <f>AND('STERLING CATALOG - DRY '!C4762,"AAAAAE/2u+M=")</f>
        <v>#VALUE!</v>
      </c>
      <c r="HU212" t="e">
        <f>AND('STERLING CATALOG - DRY '!D4762,"AAAAAE/2u+Q=")</f>
        <v>#VALUE!</v>
      </c>
      <c r="HV212" t="e">
        <f>AND('STERLING CATALOG - DRY '!E4762,"AAAAAE/2u+U=")</f>
        <v>#VALUE!</v>
      </c>
      <c r="HW212" t="e">
        <f>AND('STERLING CATALOG - DRY '!F4762,"AAAAAE/2u+Y=")</f>
        <v>#VALUE!</v>
      </c>
      <c r="HX212" t="e">
        <f>AND('STERLING CATALOG - DRY '!G4762,"AAAAAE/2u+c=")</f>
        <v>#VALUE!</v>
      </c>
      <c r="HY212" t="e">
        <f>AND('STERLING CATALOG - DRY '!H4762,"AAAAAE/2u+g=")</f>
        <v>#VALUE!</v>
      </c>
      <c r="HZ212" t="e">
        <f>AND('STERLING CATALOG - DRY '!I4762,"AAAAAE/2u+k=")</f>
        <v>#VALUE!</v>
      </c>
      <c r="IA212" t="e">
        <f>AND('STERLING CATALOG - DRY '!J4762,"AAAAAE/2u+o=")</f>
        <v>#VALUE!</v>
      </c>
      <c r="IB212">
        <f>IF('STERLING CATALOG - DRY '!4763:4763,"AAAAAE/2u+s=",0)</f>
        <v>0</v>
      </c>
      <c r="IC212" t="e">
        <f>AND('STERLING CATALOG - DRY '!A4763,"AAAAAE/2u+w=")</f>
        <v>#VALUE!</v>
      </c>
      <c r="ID212" t="e">
        <f>AND('STERLING CATALOG - DRY '!B4763,"AAAAAE/2u+0=")</f>
        <v>#VALUE!</v>
      </c>
      <c r="IE212" t="e">
        <f>AND('STERLING CATALOG - DRY '!C4763,"AAAAAE/2u+4=")</f>
        <v>#VALUE!</v>
      </c>
      <c r="IF212" t="e">
        <f>AND('STERLING CATALOG - DRY '!D4763,"AAAAAE/2u+8=")</f>
        <v>#VALUE!</v>
      </c>
      <c r="IG212" t="e">
        <f>AND('STERLING CATALOG - DRY '!E4763,"AAAAAE/2u/A=")</f>
        <v>#VALUE!</v>
      </c>
      <c r="IH212" t="e">
        <f>AND('STERLING CATALOG - DRY '!F4763,"AAAAAE/2u/E=")</f>
        <v>#VALUE!</v>
      </c>
      <c r="II212" t="e">
        <f>AND('STERLING CATALOG - DRY '!G4763,"AAAAAE/2u/I=")</f>
        <v>#VALUE!</v>
      </c>
      <c r="IJ212" t="e">
        <f>AND('STERLING CATALOG - DRY '!H4763,"AAAAAE/2u/M=")</f>
        <v>#VALUE!</v>
      </c>
      <c r="IK212" t="e">
        <f>AND('STERLING CATALOG - DRY '!I4763,"AAAAAE/2u/Q=")</f>
        <v>#VALUE!</v>
      </c>
      <c r="IL212" t="e">
        <f>AND('STERLING CATALOG - DRY '!J4763,"AAAAAE/2u/U=")</f>
        <v>#VALUE!</v>
      </c>
      <c r="IM212">
        <f>IF('STERLING CATALOG - DRY '!4764:4764,"AAAAAE/2u/Y=",0)</f>
        <v>0</v>
      </c>
      <c r="IN212" t="e">
        <f>AND('STERLING CATALOG - DRY '!A4764,"AAAAAE/2u/c=")</f>
        <v>#VALUE!</v>
      </c>
      <c r="IO212" t="e">
        <f>AND('STERLING CATALOG - DRY '!B4764,"AAAAAE/2u/g=")</f>
        <v>#VALUE!</v>
      </c>
      <c r="IP212" t="e">
        <f>AND('STERLING CATALOG - DRY '!C4764,"AAAAAE/2u/k=")</f>
        <v>#VALUE!</v>
      </c>
      <c r="IQ212" t="e">
        <f>AND('STERLING CATALOG - DRY '!D4764,"AAAAAE/2u/o=")</f>
        <v>#VALUE!</v>
      </c>
      <c r="IR212" t="e">
        <f>AND('STERLING CATALOG - DRY '!E4764,"AAAAAE/2u/s=")</f>
        <v>#VALUE!</v>
      </c>
      <c r="IS212" t="e">
        <f>AND('STERLING CATALOG - DRY '!F4764,"AAAAAE/2u/w=")</f>
        <v>#VALUE!</v>
      </c>
      <c r="IT212" t="e">
        <f>AND('STERLING CATALOG - DRY '!G4764,"AAAAAE/2u/0=")</f>
        <v>#VALUE!</v>
      </c>
      <c r="IU212" t="e">
        <f>AND('STERLING CATALOG - DRY '!H4764,"AAAAAE/2u/4=")</f>
        <v>#VALUE!</v>
      </c>
      <c r="IV212" t="e">
        <f>AND('STERLING CATALOG - DRY '!I4764,"AAAAAE/2u/8=")</f>
        <v>#VALUE!</v>
      </c>
    </row>
    <row r="213" spans="1:256">
      <c r="A213" t="e">
        <f>AND('STERLING CATALOG - DRY '!J4764,"AAAAAA9//wA=")</f>
        <v>#VALUE!</v>
      </c>
      <c r="B213" t="str">
        <f>IF('STERLING CATALOG - DRY '!4765:4765,"AAAAAA9//wE=",0)</f>
        <v>AAAAAA9//wE=</v>
      </c>
      <c r="C213" t="e">
        <f>AND('STERLING CATALOG - DRY '!A4765,"AAAAAA9//wI=")</f>
        <v>#VALUE!</v>
      </c>
      <c r="D213" t="e">
        <f>AND('STERLING CATALOG - DRY '!B4765,"AAAAAA9//wM=")</f>
        <v>#VALUE!</v>
      </c>
      <c r="E213" t="e">
        <f>AND('STERLING CATALOG - DRY '!C4765,"AAAAAA9//wQ=")</f>
        <v>#VALUE!</v>
      </c>
      <c r="F213" t="e">
        <f>AND('STERLING CATALOG - DRY '!D4765,"AAAAAA9//wU=")</f>
        <v>#VALUE!</v>
      </c>
      <c r="G213" t="e">
        <f>AND('STERLING CATALOG - DRY '!E4765,"AAAAAA9//wY=")</f>
        <v>#VALUE!</v>
      </c>
      <c r="H213" t="e">
        <f>AND('STERLING CATALOG - DRY '!F4765,"AAAAAA9//wc=")</f>
        <v>#VALUE!</v>
      </c>
      <c r="I213" t="e">
        <f>AND('STERLING CATALOG - DRY '!G4765,"AAAAAA9//wg=")</f>
        <v>#VALUE!</v>
      </c>
      <c r="J213" t="e">
        <f>AND('STERLING CATALOG - DRY '!H4765,"AAAAAA9//wk=")</f>
        <v>#VALUE!</v>
      </c>
      <c r="K213" t="e">
        <f>AND('STERLING CATALOG - DRY '!I4765,"AAAAAA9//wo=")</f>
        <v>#VALUE!</v>
      </c>
      <c r="L213" t="e">
        <f>AND('STERLING CATALOG - DRY '!J4765,"AAAAAA9//ws=")</f>
        <v>#VALUE!</v>
      </c>
      <c r="M213">
        <f>IF('STERLING CATALOG - DRY '!4766:4766,"AAAAAA9//ww=",0)</f>
        <v>0</v>
      </c>
      <c r="N213" t="e">
        <f>AND('STERLING CATALOG - DRY '!A4766,"AAAAAA9//w0=")</f>
        <v>#VALUE!</v>
      </c>
      <c r="O213" t="e">
        <f>AND('STERLING CATALOG - DRY '!B4766,"AAAAAA9//w4=")</f>
        <v>#VALUE!</v>
      </c>
      <c r="P213" t="e">
        <f>AND('STERLING CATALOG - DRY '!C4766,"AAAAAA9//w8=")</f>
        <v>#VALUE!</v>
      </c>
      <c r="Q213" t="e">
        <f>AND('STERLING CATALOG - DRY '!D4766,"AAAAAA9//xA=")</f>
        <v>#VALUE!</v>
      </c>
      <c r="R213" t="e">
        <f>AND('STERLING CATALOG - DRY '!E4766,"AAAAAA9//xE=")</f>
        <v>#VALUE!</v>
      </c>
      <c r="S213" t="e">
        <f>AND('STERLING CATALOG - DRY '!F4766,"AAAAAA9//xI=")</f>
        <v>#VALUE!</v>
      </c>
      <c r="T213" t="e">
        <f>AND('STERLING CATALOG - DRY '!G4766,"AAAAAA9//xM=")</f>
        <v>#VALUE!</v>
      </c>
      <c r="U213" t="e">
        <f>AND('STERLING CATALOG - DRY '!H4766,"AAAAAA9//xQ=")</f>
        <v>#VALUE!</v>
      </c>
      <c r="V213" t="e">
        <f>AND('STERLING CATALOG - DRY '!I4766,"AAAAAA9//xU=")</f>
        <v>#VALUE!</v>
      </c>
      <c r="W213" t="e">
        <f>AND('STERLING CATALOG - DRY '!J4766,"AAAAAA9//xY=")</f>
        <v>#VALUE!</v>
      </c>
      <c r="X213">
        <f>IF('STERLING CATALOG - DRY '!4767:4767,"AAAAAA9//xc=",0)</f>
        <v>0</v>
      </c>
      <c r="Y213" t="e">
        <f>AND('STERLING CATALOG - DRY '!A4767,"AAAAAA9//xg=")</f>
        <v>#VALUE!</v>
      </c>
      <c r="Z213" t="e">
        <f>AND('STERLING CATALOG - DRY '!B4767,"AAAAAA9//xk=")</f>
        <v>#VALUE!</v>
      </c>
      <c r="AA213" t="e">
        <f>AND('STERLING CATALOG - DRY '!C4767,"AAAAAA9//xo=")</f>
        <v>#VALUE!</v>
      </c>
      <c r="AB213" t="e">
        <f>AND('STERLING CATALOG - DRY '!D4767,"AAAAAA9//xs=")</f>
        <v>#VALUE!</v>
      </c>
      <c r="AC213" t="e">
        <f>AND('STERLING CATALOG - DRY '!E4767,"AAAAAA9//xw=")</f>
        <v>#VALUE!</v>
      </c>
      <c r="AD213" t="e">
        <f>AND('STERLING CATALOG - DRY '!F4767,"AAAAAA9//x0=")</f>
        <v>#VALUE!</v>
      </c>
      <c r="AE213" t="e">
        <f>AND('STERLING CATALOG - DRY '!G4767,"AAAAAA9//x4=")</f>
        <v>#VALUE!</v>
      </c>
      <c r="AF213" t="e">
        <f>AND('STERLING CATALOG - DRY '!H4767,"AAAAAA9//x8=")</f>
        <v>#VALUE!</v>
      </c>
      <c r="AG213" t="e">
        <f>AND('STERLING CATALOG - DRY '!I4767,"AAAAAA9//yA=")</f>
        <v>#VALUE!</v>
      </c>
      <c r="AH213" t="e">
        <f>AND('STERLING CATALOG - DRY '!J4767,"AAAAAA9//yE=")</f>
        <v>#VALUE!</v>
      </c>
      <c r="AI213">
        <f>IF('STERLING CATALOG - DRY '!4768:4768,"AAAAAA9//yI=",0)</f>
        <v>0</v>
      </c>
      <c r="AJ213" t="e">
        <f>AND('STERLING CATALOG - DRY '!A4768,"AAAAAA9//yM=")</f>
        <v>#VALUE!</v>
      </c>
      <c r="AK213" t="e">
        <f>AND('STERLING CATALOG - DRY '!B4768,"AAAAAA9//yQ=")</f>
        <v>#VALUE!</v>
      </c>
      <c r="AL213" t="e">
        <f>AND('STERLING CATALOG - DRY '!C4768,"AAAAAA9//yU=")</f>
        <v>#VALUE!</v>
      </c>
      <c r="AM213" t="e">
        <f>AND('STERLING CATALOG - DRY '!D4768,"AAAAAA9//yY=")</f>
        <v>#VALUE!</v>
      </c>
      <c r="AN213" t="e">
        <f>AND('STERLING CATALOG - DRY '!E4768,"AAAAAA9//yc=")</f>
        <v>#VALUE!</v>
      </c>
      <c r="AO213" t="e">
        <f>AND('STERLING CATALOG - DRY '!F4768,"AAAAAA9//yg=")</f>
        <v>#VALUE!</v>
      </c>
      <c r="AP213" t="e">
        <f>AND('STERLING CATALOG - DRY '!G4768,"AAAAAA9//yk=")</f>
        <v>#VALUE!</v>
      </c>
      <c r="AQ213" t="e">
        <f>AND('STERLING CATALOG - DRY '!H4768,"AAAAAA9//yo=")</f>
        <v>#VALUE!</v>
      </c>
      <c r="AR213" t="e">
        <f>AND('STERLING CATALOG - DRY '!I4768,"AAAAAA9//ys=")</f>
        <v>#VALUE!</v>
      </c>
      <c r="AS213" t="e">
        <f>AND('STERLING CATALOG - DRY '!J4768,"AAAAAA9//yw=")</f>
        <v>#VALUE!</v>
      </c>
      <c r="AT213">
        <f>IF('STERLING CATALOG - DRY '!4769:4769,"AAAAAA9//y0=",0)</f>
        <v>0</v>
      </c>
      <c r="AU213" t="e">
        <f>AND('STERLING CATALOG - DRY '!A4769,"AAAAAA9//y4=")</f>
        <v>#VALUE!</v>
      </c>
      <c r="AV213" t="e">
        <f>AND('STERLING CATALOG - DRY '!B4769,"AAAAAA9//y8=")</f>
        <v>#VALUE!</v>
      </c>
      <c r="AW213" t="e">
        <f>AND('STERLING CATALOG - DRY '!C4769,"AAAAAA9//zA=")</f>
        <v>#VALUE!</v>
      </c>
      <c r="AX213" t="e">
        <f>AND('STERLING CATALOG - DRY '!D4769,"AAAAAA9//zE=")</f>
        <v>#VALUE!</v>
      </c>
      <c r="AY213" t="e">
        <f>AND('STERLING CATALOG - DRY '!E4769,"AAAAAA9//zI=")</f>
        <v>#VALUE!</v>
      </c>
      <c r="AZ213" t="e">
        <f>AND('STERLING CATALOG - DRY '!F4769,"AAAAAA9//zM=")</f>
        <v>#VALUE!</v>
      </c>
      <c r="BA213" t="e">
        <f>AND('STERLING CATALOG - DRY '!G4769,"AAAAAA9//zQ=")</f>
        <v>#VALUE!</v>
      </c>
      <c r="BB213" t="e">
        <f>AND('STERLING CATALOG - DRY '!H4769,"AAAAAA9//zU=")</f>
        <v>#VALUE!</v>
      </c>
      <c r="BC213" t="e">
        <f>AND('STERLING CATALOG - DRY '!I4769,"AAAAAA9//zY=")</f>
        <v>#VALUE!</v>
      </c>
      <c r="BD213" t="e">
        <f>AND('STERLING CATALOG - DRY '!J4769,"AAAAAA9//zc=")</f>
        <v>#VALUE!</v>
      </c>
      <c r="BE213">
        <f>IF('STERLING CATALOG - DRY '!4770:4770,"AAAAAA9//zg=",0)</f>
        <v>0</v>
      </c>
      <c r="BF213" t="e">
        <f>AND('STERLING CATALOG - DRY '!A4770,"AAAAAA9//zk=")</f>
        <v>#VALUE!</v>
      </c>
      <c r="BG213" t="e">
        <f>AND('STERLING CATALOG - DRY '!B4770,"AAAAAA9//zo=")</f>
        <v>#VALUE!</v>
      </c>
      <c r="BH213" t="e">
        <f>AND('STERLING CATALOG - DRY '!C4770,"AAAAAA9//zs=")</f>
        <v>#VALUE!</v>
      </c>
      <c r="BI213" t="e">
        <f>AND('STERLING CATALOG - DRY '!D4770,"AAAAAA9//zw=")</f>
        <v>#VALUE!</v>
      </c>
      <c r="BJ213" t="e">
        <f>AND('STERLING CATALOG - DRY '!E4770,"AAAAAA9//z0=")</f>
        <v>#VALUE!</v>
      </c>
      <c r="BK213" t="e">
        <f>AND('STERLING CATALOG - DRY '!F4770,"AAAAAA9//z4=")</f>
        <v>#VALUE!</v>
      </c>
      <c r="BL213" t="e">
        <f>AND('STERLING CATALOG - DRY '!G4770,"AAAAAA9//z8=")</f>
        <v>#VALUE!</v>
      </c>
      <c r="BM213" t="e">
        <f>AND('STERLING CATALOG - DRY '!H4770,"AAAAAA9//0A=")</f>
        <v>#VALUE!</v>
      </c>
      <c r="BN213" t="e">
        <f>AND('STERLING CATALOG - DRY '!I4770,"AAAAAA9//0E=")</f>
        <v>#VALUE!</v>
      </c>
      <c r="BO213" t="e">
        <f>AND('STERLING CATALOG - DRY '!J4770,"AAAAAA9//0I=")</f>
        <v>#VALUE!</v>
      </c>
      <c r="BP213">
        <f>IF('STERLING CATALOG - DRY '!4771:4771,"AAAAAA9//0M=",0)</f>
        <v>0</v>
      </c>
      <c r="BQ213" t="e">
        <f>AND('STERLING CATALOG - DRY '!A4771,"AAAAAA9//0Q=")</f>
        <v>#VALUE!</v>
      </c>
      <c r="BR213" t="e">
        <f>AND('STERLING CATALOG - DRY '!B4771,"AAAAAA9//0U=")</f>
        <v>#VALUE!</v>
      </c>
      <c r="BS213" t="e">
        <f>AND('STERLING CATALOG - DRY '!C4771,"AAAAAA9//0Y=")</f>
        <v>#VALUE!</v>
      </c>
      <c r="BT213" t="e">
        <f>AND('STERLING CATALOG - DRY '!D4771,"AAAAAA9//0c=")</f>
        <v>#VALUE!</v>
      </c>
      <c r="BU213" t="e">
        <f>AND('STERLING CATALOG - DRY '!E4771,"AAAAAA9//0g=")</f>
        <v>#VALUE!</v>
      </c>
      <c r="BV213" t="e">
        <f>AND('STERLING CATALOG - DRY '!F4771,"AAAAAA9//0k=")</f>
        <v>#VALUE!</v>
      </c>
      <c r="BW213" t="e">
        <f>AND('STERLING CATALOG - DRY '!G4771,"AAAAAA9//0o=")</f>
        <v>#VALUE!</v>
      </c>
      <c r="BX213" t="e">
        <f>AND('STERLING CATALOG - DRY '!H4771,"AAAAAA9//0s=")</f>
        <v>#VALUE!</v>
      </c>
      <c r="BY213" t="e">
        <f>AND('STERLING CATALOG - DRY '!I4771,"AAAAAA9//0w=")</f>
        <v>#VALUE!</v>
      </c>
      <c r="BZ213" t="e">
        <f>AND('STERLING CATALOG - DRY '!J4771,"AAAAAA9//00=")</f>
        <v>#VALUE!</v>
      </c>
      <c r="CA213">
        <f>IF('STERLING CATALOG - DRY '!4772:4772,"AAAAAA9//04=",0)</f>
        <v>0</v>
      </c>
      <c r="CB213" t="e">
        <f>AND('STERLING CATALOG - DRY '!A4772,"AAAAAA9//08=")</f>
        <v>#VALUE!</v>
      </c>
      <c r="CC213" t="e">
        <f>AND('STERLING CATALOG - DRY '!B4772,"AAAAAA9//1A=")</f>
        <v>#VALUE!</v>
      </c>
      <c r="CD213" t="e">
        <f>AND('STERLING CATALOG - DRY '!C4772,"AAAAAA9//1E=")</f>
        <v>#VALUE!</v>
      </c>
      <c r="CE213" t="e">
        <f>AND('STERLING CATALOG - DRY '!D4772,"AAAAAA9//1I=")</f>
        <v>#VALUE!</v>
      </c>
      <c r="CF213" t="e">
        <f>AND('STERLING CATALOG - DRY '!E4772,"AAAAAA9//1M=")</f>
        <v>#VALUE!</v>
      </c>
      <c r="CG213" t="e">
        <f>AND('STERLING CATALOG - DRY '!F4772,"AAAAAA9//1Q=")</f>
        <v>#VALUE!</v>
      </c>
      <c r="CH213" t="e">
        <f>AND('STERLING CATALOG - DRY '!G4772,"AAAAAA9//1U=")</f>
        <v>#VALUE!</v>
      </c>
      <c r="CI213" t="e">
        <f>AND('STERLING CATALOG - DRY '!H4772,"AAAAAA9//1Y=")</f>
        <v>#VALUE!</v>
      </c>
      <c r="CJ213" t="e">
        <f>AND('STERLING CATALOG - DRY '!I4772,"AAAAAA9//1c=")</f>
        <v>#VALUE!</v>
      </c>
      <c r="CK213" t="e">
        <f>AND('STERLING CATALOG - DRY '!J4772,"AAAAAA9//1g=")</f>
        <v>#VALUE!</v>
      </c>
      <c r="CL213">
        <f>IF('STERLING CATALOG - DRY '!4773:4773,"AAAAAA9//1k=",0)</f>
        <v>0</v>
      </c>
      <c r="CM213" t="e">
        <f>AND('STERLING CATALOG - DRY '!A4773,"AAAAAA9//1o=")</f>
        <v>#VALUE!</v>
      </c>
      <c r="CN213" t="e">
        <f>AND('STERLING CATALOG - DRY '!B4773,"AAAAAA9//1s=")</f>
        <v>#VALUE!</v>
      </c>
      <c r="CO213" t="e">
        <f>AND('STERLING CATALOG - DRY '!C4773,"AAAAAA9//1w=")</f>
        <v>#VALUE!</v>
      </c>
      <c r="CP213" t="e">
        <f>AND('STERLING CATALOG - DRY '!D4773,"AAAAAA9//10=")</f>
        <v>#VALUE!</v>
      </c>
      <c r="CQ213" t="e">
        <f>AND('STERLING CATALOG - DRY '!E4773,"AAAAAA9//14=")</f>
        <v>#VALUE!</v>
      </c>
      <c r="CR213" t="e">
        <f>AND('STERLING CATALOG - DRY '!F4773,"AAAAAA9//18=")</f>
        <v>#VALUE!</v>
      </c>
      <c r="CS213" t="e">
        <f>AND('STERLING CATALOG - DRY '!G4773,"AAAAAA9//2A=")</f>
        <v>#VALUE!</v>
      </c>
      <c r="CT213" t="e">
        <f>AND('STERLING CATALOG - DRY '!H4773,"AAAAAA9//2E=")</f>
        <v>#VALUE!</v>
      </c>
      <c r="CU213" t="e">
        <f>AND('STERLING CATALOG - DRY '!I4773,"AAAAAA9//2I=")</f>
        <v>#VALUE!</v>
      </c>
      <c r="CV213" t="e">
        <f>AND('STERLING CATALOG - DRY '!J4773,"AAAAAA9//2M=")</f>
        <v>#VALUE!</v>
      </c>
      <c r="CW213">
        <f>IF('STERLING CATALOG - DRY '!4774:4774,"AAAAAA9//2Q=",0)</f>
        <v>0</v>
      </c>
      <c r="CX213" t="e">
        <f>AND('STERLING CATALOG - DRY '!A4774,"AAAAAA9//2U=")</f>
        <v>#VALUE!</v>
      </c>
      <c r="CY213" t="e">
        <f>AND('STERLING CATALOG - DRY '!B4774,"AAAAAA9//2Y=")</f>
        <v>#VALUE!</v>
      </c>
      <c r="CZ213" t="e">
        <f>AND('STERLING CATALOG - DRY '!C4774,"AAAAAA9//2c=")</f>
        <v>#VALUE!</v>
      </c>
      <c r="DA213" t="e">
        <f>AND('STERLING CATALOG - DRY '!D4774,"AAAAAA9//2g=")</f>
        <v>#VALUE!</v>
      </c>
      <c r="DB213" t="e">
        <f>AND('STERLING CATALOG - DRY '!E4774,"AAAAAA9//2k=")</f>
        <v>#VALUE!</v>
      </c>
      <c r="DC213" t="e">
        <f>AND('STERLING CATALOG - DRY '!F4774,"AAAAAA9//2o=")</f>
        <v>#VALUE!</v>
      </c>
      <c r="DD213" t="e">
        <f>AND('STERLING CATALOG - DRY '!G4774,"AAAAAA9//2s=")</f>
        <v>#VALUE!</v>
      </c>
      <c r="DE213" t="e">
        <f>AND('STERLING CATALOG - DRY '!H4774,"AAAAAA9//2w=")</f>
        <v>#VALUE!</v>
      </c>
      <c r="DF213" t="e">
        <f>AND('STERLING CATALOG - DRY '!I4774,"AAAAAA9//20=")</f>
        <v>#VALUE!</v>
      </c>
      <c r="DG213" t="e">
        <f>AND('STERLING CATALOG - DRY '!J4774,"AAAAAA9//24=")</f>
        <v>#VALUE!</v>
      </c>
      <c r="DH213">
        <f>IF('STERLING CATALOG - DRY '!4775:4775,"AAAAAA9//28=",0)</f>
        <v>0</v>
      </c>
      <c r="DI213" t="e">
        <f>AND('STERLING CATALOG - DRY '!A4775,"AAAAAA9//3A=")</f>
        <v>#VALUE!</v>
      </c>
      <c r="DJ213" t="e">
        <f>AND('STERLING CATALOG - DRY '!B4775,"AAAAAA9//3E=")</f>
        <v>#VALUE!</v>
      </c>
      <c r="DK213" t="e">
        <f>AND('STERLING CATALOG - DRY '!C4775,"AAAAAA9//3I=")</f>
        <v>#VALUE!</v>
      </c>
      <c r="DL213" t="e">
        <f>AND('STERLING CATALOG - DRY '!D4775,"AAAAAA9//3M=")</f>
        <v>#VALUE!</v>
      </c>
      <c r="DM213" t="e">
        <f>AND('STERLING CATALOG - DRY '!E4775,"AAAAAA9//3Q=")</f>
        <v>#VALUE!</v>
      </c>
      <c r="DN213" t="e">
        <f>AND('STERLING CATALOG - DRY '!F4775,"AAAAAA9//3U=")</f>
        <v>#VALUE!</v>
      </c>
      <c r="DO213" t="e">
        <f>AND('STERLING CATALOG - DRY '!G4775,"AAAAAA9//3Y=")</f>
        <v>#VALUE!</v>
      </c>
      <c r="DP213" t="e">
        <f>AND('STERLING CATALOG - DRY '!H4775,"AAAAAA9//3c=")</f>
        <v>#VALUE!</v>
      </c>
      <c r="DQ213" t="e">
        <f>AND('STERLING CATALOG - DRY '!I4775,"AAAAAA9//3g=")</f>
        <v>#VALUE!</v>
      </c>
      <c r="DR213" t="e">
        <f>AND('STERLING CATALOG - DRY '!J4775,"AAAAAA9//3k=")</f>
        <v>#VALUE!</v>
      </c>
      <c r="DS213">
        <f>IF('STERLING CATALOG - DRY '!4776:4776,"AAAAAA9//3o=",0)</f>
        <v>0</v>
      </c>
      <c r="DT213" t="e">
        <f>AND('STERLING CATALOG - DRY '!A4776,"AAAAAA9//3s=")</f>
        <v>#VALUE!</v>
      </c>
      <c r="DU213" t="e">
        <f>AND('STERLING CATALOG - DRY '!B4776,"AAAAAA9//3w=")</f>
        <v>#VALUE!</v>
      </c>
      <c r="DV213" t="e">
        <f>AND('STERLING CATALOG - DRY '!C4776,"AAAAAA9//30=")</f>
        <v>#VALUE!</v>
      </c>
      <c r="DW213" t="e">
        <f>AND('STERLING CATALOG - DRY '!D4776,"AAAAAA9//34=")</f>
        <v>#VALUE!</v>
      </c>
      <c r="DX213" t="e">
        <f>AND('STERLING CATALOG - DRY '!E4776,"AAAAAA9//38=")</f>
        <v>#VALUE!</v>
      </c>
      <c r="DY213" t="e">
        <f>AND('STERLING CATALOG - DRY '!F4776,"AAAAAA9//4A=")</f>
        <v>#VALUE!</v>
      </c>
      <c r="DZ213" t="e">
        <f>AND('STERLING CATALOG - DRY '!G4776,"AAAAAA9//4E=")</f>
        <v>#VALUE!</v>
      </c>
      <c r="EA213" t="e">
        <f>AND('STERLING CATALOG - DRY '!H4776,"AAAAAA9//4I=")</f>
        <v>#VALUE!</v>
      </c>
      <c r="EB213" t="e">
        <f>AND('STERLING CATALOG - DRY '!I4776,"AAAAAA9//4M=")</f>
        <v>#VALUE!</v>
      </c>
      <c r="EC213" t="e">
        <f>AND('STERLING CATALOG - DRY '!J4776,"AAAAAA9//4Q=")</f>
        <v>#VALUE!</v>
      </c>
      <c r="ED213">
        <f>IF('STERLING CATALOG - DRY '!4777:4777,"AAAAAA9//4U=",0)</f>
        <v>0</v>
      </c>
      <c r="EE213" t="e">
        <f>AND('STERLING CATALOG - DRY '!A4777,"AAAAAA9//4Y=")</f>
        <v>#VALUE!</v>
      </c>
      <c r="EF213" t="e">
        <f>AND('STERLING CATALOG - DRY '!B4777,"AAAAAA9//4c=")</f>
        <v>#VALUE!</v>
      </c>
      <c r="EG213" t="e">
        <f>AND('STERLING CATALOG - DRY '!C4777,"AAAAAA9//4g=")</f>
        <v>#VALUE!</v>
      </c>
      <c r="EH213" t="e">
        <f>AND('STERLING CATALOG - DRY '!D4777,"AAAAAA9//4k=")</f>
        <v>#VALUE!</v>
      </c>
      <c r="EI213" t="e">
        <f>AND('STERLING CATALOG - DRY '!E4777,"AAAAAA9//4o=")</f>
        <v>#VALUE!</v>
      </c>
      <c r="EJ213" t="e">
        <f>AND('STERLING CATALOG - DRY '!F4777,"AAAAAA9//4s=")</f>
        <v>#VALUE!</v>
      </c>
      <c r="EK213" t="e">
        <f>AND('STERLING CATALOG - DRY '!G4777,"AAAAAA9//4w=")</f>
        <v>#VALUE!</v>
      </c>
      <c r="EL213" t="e">
        <f>AND('STERLING CATALOG - DRY '!H4777,"AAAAAA9//40=")</f>
        <v>#VALUE!</v>
      </c>
      <c r="EM213" t="e">
        <f>AND('STERLING CATALOG - DRY '!I4777,"AAAAAA9//44=")</f>
        <v>#VALUE!</v>
      </c>
      <c r="EN213" t="e">
        <f>AND('STERLING CATALOG - DRY '!J4777,"AAAAAA9//48=")</f>
        <v>#VALUE!</v>
      </c>
      <c r="EO213">
        <f>IF('STERLING CATALOG - DRY '!4778:4778,"AAAAAA9//5A=",0)</f>
        <v>0</v>
      </c>
      <c r="EP213" t="e">
        <f>AND('STERLING CATALOG - DRY '!A4778,"AAAAAA9//5E=")</f>
        <v>#VALUE!</v>
      </c>
      <c r="EQ213" t="e">
        <f>AND('STERLING CATALOG - DRY '!B4778,"AAAAAA9//5I=")</f>
        <v>#VALUE!</v>
      </c>
      <c r="ER213" t="e">
        <f>AND('STERLING CATALOG - DRY '!C4778,"AAAAAA9//5M=")</f>
        <v>#VALUE!</v>
      </c>
      <c r="ES213" t="e">
        <f>AND('STERLING CATALOG - DRY '!D4778,"AAAAAA9//5Q=")</f>
        <v>#VALUE!</v>
      </c>
      <c r="ET213" t="e">
        <f>AND('STERLING CATALOG - DRY '!E4778,"AAAAAA9//5U=")</f>
        <v>#VALUE!</v>
      </c>
      <c r="EU213" t="e">
        <f>AND('STERLING CATALOG - DRY '!F4778,"AAAAAA9//5Y=")</f>
        <v>#VALUE!</v>
      </c>
      <c r="EV213" t="e">
        <f>AND('STERLING CATALOG - DRY '!G4778,"AAAAAA9//5c=")</f>
        <v>#VALUE!</v>
      </c>
      <c r="EW213" t="e">
        <f>AND('STERLING CATALOG - DRY '!H4778,"AAAAAA9//5g=")</f>
        <v>#VALUE!</v>
      </c>
      <c r="EX213" t="e">
        <f>AND('STERLING CATALOG - DRY '!I4778,"AAAAAA9//5k=")</f>
        <v>#VALUE!</v>
      </c>
      <c r="EY213" t="e">
        <f>AND('STERLING CATALOG - DRY '!J4778,"AAAAAA9//5o=")</f>
        <v>#VALUE!</v>
      </c>
      <c r="EZ213">
        <f>IF('STERLING CATALOG - DRY '!4779:4779,"AAAAAA9//5s=",0)</f>
        <v>0</v>
      </c>
      <c r="FA213" t="e">
        <f>AND('STERLING CATALOG - DRY '!A4779,"AAAAAA9//5w=")</f>
        <v>#VALUE!</v>
      </c>
      <c r="FB213" t="e">
        <f>AND('STERLING CATALOG - DRY '!B4779,"AAAAAA9//50=")</f>
        <v>#VALUE!</v>
      </c>
      <c r="FC213" t="e">
        <f>AND('STERLING CATALOG - DRY '!C4779,"AAAAAA9//54=")</f>
        <v>#VALUE!</v>
      </c>
      <c r="FD213" t="e">
        <f>AND('STERLING CATALOG - DRY '!D4779,"AAAAAA9//58=")</f>
        <v>#VALUE!</v>
      </c>
      <c r="FE213" t="e">
        <f>AND('STERLING CATALOG - DRY '!E4779,"AAAAAA9//6A=")</f>
        <v>#VALUE!</v>
      </c>
      <c r="FF213" t="e">
        <f>AND('STERLING CATALOG - DRY '!F4779,"AAAAAA9//6E=")</f>
        <v>#VALUE!</v>
      </c>
      <c r="FG213" t="e">
        <f>AND('STERLING CATALOG - DRY '!G4779,"AAAAAA9//6I=")</f>
        <v>#VALUE!</v>
      </c>
      <c r="FH213" t="e">
        <f>AND('STERLING CATALOG - DRY '!H4779,"AAAAAA9//6M=")</f>
        <v>#VALUE!</v>
      </c>
      <c r="FI213" t="e">
        <f>AND('STERLING CATALOG - DRY '!I4779,"AAAAAA9//6Q=")</f>
        <v>#VALUE!</v>
      </c>
      <c r="FJ213" t="e">
        <f>AND('STERLING CATALOG - DRY '!J4779,"AAAAAA9//6U=")</f>
        <v>#VALUE!</v>
      </c>
      <c r="FK213">
        <f>IF('STERLING CATALOG - DRY '!4780:4780,"AAAAAA9//6Y=",0)</f>
        <v>0</v>
      </c>
      <c r="FL213" t="e">
        <f>AND('STERLING CATALOG - DRY '!A4780,"AAAAAA9//6c=")</f>
        <v>#VALUE!</v>
      </c>
      <c r="FM213" t="e">
        <f>AND('STERLING CATALOG - DRY '!B4780,"AAAAAA9//6g=")</f>
        <v>#VALUE!</v>
      </c>
      <c r="FN213" t="e">
        <f>AND('STERLING CATALOG - DRY '!C4780,"AAAAAA9//6k=")</f>
        <v>#VALUE!</v>
      </c>
      <c r="FO213" t="e">
        <f>AND('STERLING CATALOG - DRY '!D4780,"AAAAAA9//6o=")</f>
        <v>#VALUE!</v>
      </c>
      <c r="FP213" t="e">
        <f>AND('STERLING CATALOG - DRY '!E4780,"AAAAAA9//6s=")</f>
        <v>#VALUE!</v>
      </c>
      <c r="FQ213" t="e">
        <f>AND('STERLING CATALOG - DRY '!F4780,"AAAAAA9//6w=")</f>
        <v>#VALUE!</v>
      </c>
      <c r="FR213" t="e">
        <f>AND('STERLING CATALOG - DRY '!G4780,"AAAAAA9//60=")</f>
        <v>#VALUE!</v>
      </c>
      <c r="FS213" t="e">
        <f>AND('STERLING CATALOG - DRY '!H4780,"AAAAAA9//64=")</f>
        <v>#VALUE!</v>
      </c>
      <c r="FT213" t="e">
        <f>AND('STERLING CATALOG - DRY '!I4780,"AAAAAA9//68=")</f>
        <v>#VALUE!</v>
      </c>
      <c r="FU213" t="e">
        <f>AND('STERLING CATALOG - DRY '!J4780,"AAAAAA9//7A=")</f>
        <v>#VALUE!</v>
      </c>
      <c r="FV213">
        <f>IF('STERLING CATALOG - DRY '!4781:4781,"AAAAAA9//7E=",0)</f>
        <v>0</v>
      </c>
      <c r="FW213" t="e">
        <f>AND('STERLING CATALOG - DRY '!A4781,"AAAAAA9//7I=")</f>
        <v>#VALUE!</v>
      </c>
      <c r="FX213" t="e">
        <f>AND('STERLING CATALOG - DRY '!B4781,"AAAAAA9//7M=")</f>
        <v>#VALUE!</v>
      </c>
      <c r="FY213" t="e">
        <f>AND('STERLING CATALOG - DRY '!C4781,"AAAAAA9//7Q=")</f>
        <v>#VALUE!</v>
      </c>
      <c r="FZ213" t="e">
        <f>AND('STERLING CATALOG - DRY '!D4781,"AAAAAA9//7U=")</f>
        <v>#VALUE!</v>
      </c>
      <c r="GA213" t="e">
        <f>AND('STERLING CATALOG - DRY '!E4781,"AAAAAA9//7Y=")</f>
        <v>#VALUE!</v>
      </c>
      <c r="GB213" t="e">
        <f>AND('STERLING CATALOG - DRY '!F4781,"AAAAAA9//7c=")</f>
        <v>#VALUE!</v>
      </c>
      <c r="GC213" t="e">
        <f>AND('STERLING CATALOG - DRY '!G4781,"AAAAAA9//7g=")</f>
        <v>#VALUE!</v>
      </c>
      <c r="GD213" t="e">
        <f>AND('STERLING CATALOG - DRY '!H4781,"AAAAAA9//7k=")</f>
        <v>#VALUE!</v>
      </c>
      <c r="GE213" t="e">
        <f>AND('STERLING CATALOG - DRY '!I4781,"AAAAAA9//7o=")</f>
        <v>#VALUE!</v>
      </c>
      <c r="GF213" t="e">
        <f>AND('STERLING CATALOG - DRY '!J4781,"AAAAAA9//7s=")</f>
        <v>#VALUE!</v>
      </c>
      <c r="GG213">
        <f>IF('STERLING CATALOG - DRY '!4782:4782,"AAAAAA9//7w=",0)</f>
        <v>0</v>
      </c>
      <c r="GH213" t="e">
        <f>AND('STERLING CATALOG - DRY '!A4782,"AAAAAA9//70=")</f>
        <v>#VALUE!</v>
      </c>
      <c r="GI213" t="e">
        <f>AND('STERLING CATALOG - DRY '!B4782,"AAAAAA9//74=")</f>
        <v>#VALUE!</v>
      </c>
      <c r="GJ213" t="e">
        <f>AND('STERLING CATALOG - DRY '!C4782,"AAAAAA9//78=")</f>
        <v>#VALUE!</v>
      </c>
      <c r="GK213" t="e">
        <f>AND('STERLING CATALOG - DRY '!D4782,"AAAAAA9//8A=")</f>
        <v>#VALUE!</v>
      </c>
      <c r="GL213" t="e">
        <f>AND('STERLING CATALOG - DRY '!E4782,"AAAAAA9//8E=")</f>
        <v>#VALUE!</v>
      </c>
      <c r="GM213" t="e">
        <f>AND('STERLING CATALOG - DRY '!F4782,"AAAAAA9//8I=")</f>
        <v>#VALUE!</v>
      </c>
      <c r="GN213" t="e">
        <f>AND('STERLING CATALOG - DRY '!G4782,"AAAAAA9//8M=")</f>
        <v>#VALUE!</v>
      </c>
      <c r="GO213" t="e">
        <f>AND('STERLING CATALOG - DRY '!H4782,"AAAAAA9//8Q=")</f>
        <v>#VALUE!</v>
      </c>
      <c r="GP213" t="e">
        <f>AND('STERLING CATALOG - DRY '!I4782,"AAAAAA9//8U=")</f>
        <v>#VALUE!</v>
      </c>
      <c r="GQ213" t="e">
        <f>AND('STERLING CATALOG - DRY '!J4782,"AAAAAA9//8Y=")</f>
        <v>#VALUE!</v>
      </c>
      <c r="GR213">
        <f>IF('STERLING CATALOG - DRY '!4783:4783,"AAAAAA9//8c=",0)</f>
        <v>0</v>
      </c>
      <c r="GS213" t="e">
        <f>AND('STERLING CATALOG - DRY '!A4783,"AAAAAA9//8g=")</f>
        <v>#VALUE!</v>
      </c>
      <c r="GT213" t="e">
        <f>AND('STERLING CATALOG - DRY '!B4783,"AAAAAA9//8k=")</f>
        <v>#VALUE!</v>
      </c>
      <c r="GU213" t="e">
        <f>AND('STERLING CATALOG - DRY '!C4783,"AAAAAA9//8o=")</f>
        <v>#VALUE!</v>
      </c>
      <c r="GV213" t="e">
        <f>AND('STERLING CATALOG - DRY '!D4783,"AAAAAA9//8s=")</f>
        <v>#VALUE!</v>
      </c>
      <c r="GW213" t="e">
        <f>AND('STERLING CATALOG - DRY '!E4783,"AAAAAA9//8w=")</f>
        <v>#VALUE!</v>
      </c>
      <c r="GX213" t="e">
        <f>AND('STERLING CATALOG - DRY '!F4783,"AAAAAA9//80=")</f>
        <v>#VALUE!</v>
      </c>
      <c r="GY213" t="e">
        <f>AND('STERLING CATALOG - DRY '!G4783,"AAAAAA9//84=")</f>
        <v>#VALUE!</v>
      </c>
      <c r="GZ213" t="e">
        <f>AND('STERLING CATALOG - DRY '!H4783,"AAAAAA9//88=")</f>
        <v>#VALUE!</v>
      </c>
      <c r="HA213" t="e">
        <f>AND('STERLING CATALOG - DRY '!I4783,"AAAAAA9//9A=")</f>
        <v>#VALUE!</v>
      </c>
      <c r="HB213" t="e">
        <f>AND('STERLING CATALOG - DRY '!J4783,"AAAAAA9//9E=")</f>
        <v>#VALUE!</v>
      </c>
      <c r="HC213">
        <f>IF('STERLING CATALOG - DRY '!4784:4784,"AAAAAA9//9I=",0)</f>
        <v>0</v>
      </c>
      <c r="HD213" t="e">
        <f>AND('STERLING CATALOG - DRY '!A4784,"AAAAAA9//9M=")</f>
        <v>#VALUE!</v>
      </c>
      <c r="HE213" t="e">
        <f>AND('STERLING CATALOG - DRY '!B4784,"AAAAAA9//9Q=")</f>
        <v>#VALUE!</v>
      </c>
      <c r="HF213" t="e">
        <f>AND('STERLING CATALOG - DRY '!C4784,"AAAAAA9//9U=")</f>
        <v>#VALUE!</v>
      </c>
      <c r="HG213" t="e">
        <f>AND('STERLING CATALOG - DRY '!D4784,"AAAAAA9//9Y=")</f>
        <v>#VALUE!</v>
      </c>
      <c r="HH213" t="e">
        <f>AND('STERLING CATALOG - DRY '!E4784,"AAAAAA9//9c=")</f>
        <v>#VALUE!</v>
      </c>
      <c r="HI213" t="e">
        <f>AND('STERLING CATALOG - DRY '!F4784,"AAAAAA9//9g=")</f>
        <v>#VALUE!</v>
      </c>
      <c r="HJ213" t="e">
        <f>AND('STERLING CATALOG - DRY '!G4784,"AAAAAA9//9k=")</f>
        <v>#VALUE!</v>
      </c>
      <c r="HK213" t="e">
        <f>AND('STERLING CATALOG - DRY '!H4784,"AAAAAA9//9o=")</f>
        <v>#VALUE!</v>
      </c>
      <c r="HL213" t="e">
        <f>AND('STERLING CATALOG - DRY '!I4784,"AAAAAA9//9s=")</f>
        <v>#VALUE!</v>
      </c>
      <c r="HM213" t="e">
        <f>AND('STERLING CATALOG - DRY '!J4784,"AAAAAA9//9w=")</f>
        <v>#VALUE!</v>
      </c>
      <c r="HN213">
        <f>IF('STERLING CATALOG - DRY '!4785:4785,"AAAAAA9//90=",0)</f>
        <v>0</v>
      </c>
      <c r="HO213" t="e">
        <f>AND('STERLING CATALOG - DRY '!A4785,"AAAAAA9//94=")</f>
        <v>#VALUE!</v>
      </c>
      <c r="HP213" t="e">
        <f>AND('STERLING CATALOG - DRY '!B4785,"AAAAAA9//98=")</f>
        <v>#VALUE!</v>
      </c>
      <c r="HQ213" t="e">
        <f>AND('STERLING CATALOG - DRY '!C4785,"AAAAAA9//+A=")</f>
        <v>#VALUE!</v>
      </c>
      <c r="HR213" t="e">
        <f>AND('STERLING CATALOG - DRY '!D4785,"AAAAAA9//+E=")</f>
        <v>#VALUE!</v>
      </c>
      <c r="HS213" t="e">
        <f>AND('STERLING CATALOG - DRY '!E4785,"AAAAAA9//+I=")</f>
        <v>#VALUE!</v>
      </c>
      <c r="HT213" t="e">
        <f>AND('STERLING CATALOG - DRY '!F4785,"AAAAAA9//+M=")</f>
        <v>#VALUE!</v>
      </c>
      <c r="HU213" t="e">
        <f>AND('STERLING CATALOG - DRY '!G4785,"AAAAAA9//+Q=")</f>
        <v>#VALUE!</v>
      </c>
      <c r="HV213" t="e">
        <f>AND('STERLING CATALOG - DRY '!H4785,"AAAAAA9//+U=")</f>
        <v>#VALUE!</v>
      </c>
      <c r="HW213" t="e">
        <f>AND('STERLING CATALOG - DRY '!I4785,"AAAAAA9//+Y=")</f>
        <v>#VALUE!</v>
      </c>
      <c r="HX213" t="e">
        <f>AND('STERLING CATALOG - DRY '!J4785,"AAAAAA9//+c=")</f>
        <v>#VALUE!</v>
      </c>
      <c r="HY213">
        <f>IF('STERLING CATALOG - DRY '!4786:4786,"AAAAAA9//+g=",0)</f>
        <v>0</v>
      </c>
      <c r="HZ213" t="e">
        <f>AND('STERLING CATALOG - DRY '!A4786,"AAAAAA9//+k=")</f>
        <v>#VALUE!</v>
      </c>
      <c r="IA213" t="e">
        <f>AND('STERLING CATALOG - DRY '!B4786,"AAAAAA9//+o=")</f>
        <v>#VALUE!</v>
      </c>
      <c r="IB213" t="e">
        <f>AND('STERLING CATALOG - DRY '!C4786,"AAAAAA9//+s=")</f>
        <v>#VALUE!</v>
      </c>
      <c r="IC213" t="e">
        <f>AND('STERLING CATALOG - DRY '!D4786,"AAAAAA9//+w=")</f>
        <v>#VALUE!</v>
      </c>
      <c r="ID213" t="e">
        <f>AND('STERLING CATALOG - DRY '!E4786,"AAAAAA9//+0=")</f>
        <v>#VALUE!</v>
      </c>
      <c r="IE213" t="e">
        <f>AND('STERLING CATALOG - DRY '!F4786,"AAAAAA9//+4=")</f>
        <v>#VALUE!</v>
      </c>
      <c r="IF213" t="e">
        <f>AND('STERLING CATALOG - DRY '!G4786,"AAAAAA9//+8=")</f>
        <v>#VALUE!</v>
      </c>
      <c r="IG213" t="e">
        <f>AND('STERLING CATALOG - DRY '!H4786,"AAAAAA9///A=")</f>
        <v>#VALUE!</v>
      </c>
      <c r="IH213" t="e">
        <f>AND('STERLING CATALOG - DRY '!I4786,"AAAAAA9///E=")</f>
        <v>#VALUE!</v>
      </c>
      <c r="II213" t="e">
        <f>AND('STERLING CATALOG - DRY '!J4786,"AAAAAA9///I=")</f>
        <v>#VALUE!</v>
      </c>
      <c r="IJ213">
        <f>IF('STERLING CATALOG - DRY '!4787:4787,"AAAAAA9///M=",0)</f>
        <v>0</v>
      </c>
      <c r="IK213" t="e">
        <f>AND('STERLING CATALOG - DRY '!A4787,"AAAAAA9///Q=")</f>
        <v>#VALUE!</v>
      </c>
      <c r="IL213" t="e">
        <f>AND('STERLING CATALOG - DRY '!B4787,"AAAAAA9///U=")</f>
        <v>#VALUE!</v>
      </c>
      <c r="IM213" t="e">
        <f>AND('STERLING CATALOG - DRY '!C4787,"AAAAAA9///Y=")</f>
        <v>#VALUE!</v>
      </c>
      <c r="IN213" t="e">
        <f>AND('STERLING CATALOG - DRY '!D4787,"AAAAAA9///c=")</f>
        <v>#VALUE!</v>
      </c>
      <c r="IO213" t="e">
        <f>AND('STERLING CATALOG - DRY '!E4787,"AAAAAA9///g=")</f>
        <v>#VALUE!</v>
      </c>
      <c r="IP213" t="e">
        <f>AND('STERLING CATALOG - DRY '!F4787,"AAAAAA9///k=")</f>
        <v>#VALUE!</v>
      </c>
      <c r="IQ213" t="e">
        <f>AND('STERLING CATALOG - DRY '!G4787,"AAAAAA9///o=")</f>
        <v>#VALUE!</v>
      </c>
      <c r="IR213" t="e">
        <f>AND('STERLING CATALOG - DRY '!H4787,"AAAAAA9///s=")</f>
        <v>#VALUE!</v>
      </c>
      <c r="IS213" t="e">
        <f>AND('STERLING CATALOG - DRY '!I4787,"AAAAAA9///w=")</f>
        <v>#VALUE!</v>
      </c>
      <c r="IT213" t="e">
        <f>AND('STERLING CATALOG - DRY '!J4787,"AAAAAA9///0=")</f>
        <v>#VALUE!</v>
      </c>
      <c r="IU213">
        <f>IF('STERLING CATALOG - DRY '!4788:4788,"AAAAAA9///4=",0)</f>
        <v>0</v>
      </c>
      <c r="IV213" t="e">
        <f>AND('STERLING CATALOG - DRY '!A4788,"AAAAAA9///8=")</f>
        <v>#VALUE!</v>
      </c>
    </row>
    <row r="214" spans="1:256">
      <c r="A214" t="e">
        <f>AND('STERLING CATALOG - DRY '!B4788,"AAAAAGv5/AA=")</f>
        <v>#VALUE!</v>
      </c>
      <c r="B214" t="e">
        <f>AND('STERLING CATALOG - DRY '!C4788,"AAAAAGv5/AE=")</f>
        <v>#VALUE!</v>
      </c>
      <c r="C214" t="e">
        <f>AND('STERLING CATALOG - DRY '!D4788,"AAAAAGv5/AI=")</f>
        <v>#VALUE!</v>
      </c>
      <c r="D214" t="e">
        <f>AND('STERLING CATALOG - DRY '!E4788,"AAAAAGv5/AM=")</f>
        <v>#VALUE!</v>
      </c>
      <c r="E214" t="e">
        <f>AND('STERLING CATALOG - DRY '!F4788,"AAAAAGv5/AQ=")</f>
        <v>#VALUE!</v>
      </c>
      <c r="F214" t="e">
        <f>AND('STERLING CATALOG - DRY '!G4788,"AAAAAGv5/AU=")</f>
        <v>#VALUE!</v>
      </c>
      <c r="G214" t="e">
        <f>AND('STERLING CATALOG - DRY '!H4788,"AAAAAGv5/AY=")</f>
        <v>#VALUE!</v>
      </c>
      <c r="H214" t="e">
        <f>AND('STERLING CATALOG - DRY '!I4788,"AAAAAGv5/Ac=")</f>
        <v>#VALUE!</v>
      </c>
      <c r="I214" t="e">
        <f>AND('STERLING CATALOG - DRY '!J4788,"AAAAAGv5/Ag=")</f>
        <v>#VALUE!</v>
      </c>
      <c r="J214" t="e">
        <f>IF('STERLING CATALOG - DRY '!4789:4789,"AAAAAGv5/Ak=",0)</f>
        <v>#VALUE!</v>
      </c>
      <c r="K214" t="e">
        <f>AND('STERLING CATALOG - DRY '!A4789,"AAAAAGv5/Ao=")</f>
        <v>#VALUE!</v>
      </c>
      <c r="L214" t="e">
        <f>AND('STERLING CATALOG - DRY '!B4789,"AAAAAGv5/As=")</f>
        <v>#VALUE!</v>
      </c>
      <c r="M214" t="e">
        <f>AND('STERLING CATALOG - DRY '!C4789,"AAAAAGv5/Aw=")</f>
        <v>#VALUE!</v>
      </c>
      <c r="N214" t="e">
        <f>AND('STERLING CATALOG - DRY '!D4789,"AAAAAGv5/A0=")</f>
        <v>#VALUE!</v>
      </c>
      <c r="O214" t="e">
        <f>AND('STERLING CATALOG - DRY '!E4789,"AAAAAGv5/A4=")</f>
        <v>#VALUE!</v>
      </c>
      <c r="P214" t="e">
        <f>AND('STERLING CATALOG - DRY '!F4789,"AAAAAGv5/A8=")</f>
        <v>#VALUE!</v>
      </c>
      <c r="Q214" t="e">
        <f>AND('STERLING CATALOG - DRY '!G4789,"AAAAAGv5/BA=")</f>
        <v>#VALUE!</v>
      </c>
      <c r="R214" t="e">
        <f>AND('STERLING CATALOG - DRY '!H4789,"AAAAAGv5/BE=")</f>
        <v>#VALUE!</v>
      </c>
      <c r="S214" t="e">
        <f>AND('STERLING CATALOG - DRY '!I4789,"AAAAAGv5/BI=")</f>
        <v>#VALUE!</v>
      </c>
      <c r="T214" t="e">
        <f>AND('STERLING CATALOG - DRY '!J4789,"AAAAAGv5/BM=")</f>
        <v>#VALUE!</v>
      </c>
      <c r="U214">
        <f>IF('STERLING CATALOG - DRY '!4790:4790,"AAAAAGv5/BQ=",0)</f>
        <v>0</v>
      </c>
      <c r="V214" t="e">
        <f>AND('STERLING CATALOG - DRY '!A4790,"AAAAAGv5/BU=")</f>
        <v>#VALUE!</v>
      </c>
      <c r="W214" t="e">
        <f>AND('STERLING CATALOG - DRY '!B4790,"AAAAAGv5/BY=")</f>
        <v>#VALUE!</v>
      </c>
      <c r="X214" t="e">
        <f>AND('STERLING CATALOG - DRY '!C4790,"AAAAAGv5/Bc=")</f>
        <v>#VALUE!</v>
      </c>
      <c r="Y214" t="e">
        <f>AND('STERLING CATALOG - DRY '!D4790,"AAAAAGv5/Bg=")</f>
        <v>#VALUE!</v>
      </c>
      <c r="Z214" t="e">
        <f>AND('STERLING CATALOG - DRY '!E4790,"AAAAAGv5/Bk=")</f>
        <v>#VALUE!</v>
      </c>
      <c r="AA214" t="e">
        <f>AND('STERLING CATALOG - DRY '!F4790,"AAAAAGv5/Bo=")</f>
        <v>#VALUE!</v>
      </c>
      <c r="AB214" t="e">
        <f>AND('STERLING CATALOG - DRY '!G4790,"AAAAAGv5/Bs=")</f>
        <v>#VALUE!</v>
      </c>
      <c r="AC214" t="e">
        <f>AND('STERLING CATALOG - DRY '!H4790,"AAAAAGv5/Bw=")</f>
        <v>#VALUE!</v>
      </c>
      <c r="AD214" t="e">
        <f>AND('STERLING CATALOG - DRY '!I4790,"AAAAAGv5/B0=")</f>
        <v>#VALUE!</v>
      </c>
      <c r="AE214" t="e">
        <f>AND('STERLING CATALOG - DRY '!J4790,"AAAAAGv5/B4=")</f>
        <v>#VALUE!</v>
      </c>
      <c r="AF214">
        <f>IF('STERLING CATALOG - DRY '!4791:4791,"AAAAAGv5/B8=",0)</f>
        <v>0</v>
      </c>
      <c r="AG214" t="e">
        <f>AND('STERLING CATALOG - DRY '!A4791,"AAAAAGv5/CA=")</f>
        <v>#VALUE!</v>
      </c>
      <c r="AH214" t="e">
        <f>AND('STERLING CATALOG - DRY '!B4791,"AAAAAGv5/CE=")</f>
        <v>#VALUE!</v>
      </c>
      <c r="AI214" t="e">
        <f>AND('STERLING CATALOG - DRY '!C4791,"AAAAAGv5/CI=")</f>
        <v>#VALUE!</v>
      </c>
      <c r="AJ214" t="e">
        <f>AND('STERLING CATALOG - DRY '!D4791,"AAAAAGv5/CM=")</f>
        <v>#VALUE!</v>
      </c>
      <c r="AK214" t="e">
        <f>AND('STERLING CATALOG - DRY '!E4791,"AAAAAGv5/CQ=")</f>
        <v>#VALUE!</v>
      </c>
      <c r="AL214" t="e">
        <f>AND('STERLING CATALOG - DRY '!F4791,"AAAAAGv5/CU=")</f>
        <v>#VALUE!</v>
      </c>
      <c r="AM214" t="e">
        <f>AND('STERLING CATALOG - DRY '!G4791,"AAAAAGv5/CY=")</f>
        <v>#VALUE!</v>
      </c>
      <c r="AN214" t="e">
        <f>AND('STERLING CATALOG - DRY '!H4791,"AAAAAGv5/Cc=")</f>
        <v>#VALUE!</v>
      </c>
      <c r="AO214" t="e">
        <f>AND('STERLING CATALOG - DRY '!I4791,"AAAAAGv5/Cg=")</f>
        <v>#VALUE!</v>
      </c>
      <c r="AP214" t="e">
        <f>AND('STERLING CATALOG - DRY '!J4791,"AAAAAGv5/Ck=")</f>
        <v>#VALUE!</v>
      </c>
      <c r="AQ214">
        <f>IF('STERLING CATALOG - DRY '!4792:4792,"AAAAAGv5/Co=",0)</f>
        <v>0</v>
      </c>
      <c r="AR214" t="e">
        <f>AND('STERLING CATALOG - DRY '!A4792,"AAAAAGv5/Cs=")</f>
        <v>#VALUE!</v>
      </c>
      <c r="AS214" t="e">
        <f>AND('STERLING CATALOG - DRY '!B4792,"AAAAAGv5/Cw=")</f>
        <v>#VALUE!</v>
      </c>
      <c r="AT214" t="e">
        <f>AND('STERLING CATALOG - DRY '!C4792,"AAAAAGv5/C0=")</f>
        <v>#VALUE!</v>
      </c>
      <c r="AU214" t="e">
        <f>AND('STERLING CATALOG - DRY '!D4792,"AAAAAGv5/C4=")</f>
        <v>#VALUE!</v>
      </c>
      <c r="AV214" t="e">
        <f>AND('STERLING CATALOG - DRY '!E4792,"AAAAAGv5/C8=")</f>
        <v>#VALUE!</v>
      </c>
      <c r="AW214" t="e">
        <f>AND('STERLING CATALOG - DRY '!F4792,"AAAAAGv5/DA=")</f>
        <v>#VALUE!</v>
      </c>
      <c r="AX214" t="e">
        <f>AND('STERLING CATALOG - DRY '!G4792,"AAAAAGv5/DE=")</f>
        <v>#VALUE!</v>
      </c>
      <c r="AY214" t="e">
        <f>AND('STERLING CATALOG - DRY '!H4792,"AAAAAGv5/DI=")</f>
        <v>#VALUE!</v>
      </c>
      <c r="AZ214" t="e">
        <f>AND('STERLING CATALOG - DRY '!I4792,"AAAAAGv5/DM=")</f>
        <v>#VALUE!</v>
      </c>
      <c r="BA214" t="e">
        <f>AND('STERLING CATALOG - DRY '!J4792,"AAAAAGv5/DQ=")</f>
        <v>#VALUE!</v>
      </c>
      <c r="BB214">
        <f>IF('STERLING CATALOG - DRY '!4793:4793,"AAAAAGv5/DU=",0)</f>
        <v>0</v>
      </c>
      <c r="BC214" t="e">
        <f>AND('STERLING CATALOG - DRY '!A4793,"AAAAAGv5/DY=")</f>
        <v>#VALUE!</v>
      </c>
      <c r="BD214" t="e">
        <f>AND('STERLING CATALOG - DRY '!B4793,"AAAAAGv5/Dc=")</f>
        <v>#VALUE!</v>
      </c>
      <c r="BE214" t="e">
        <f>AND('STERLING CATALOG - DRY '!C4793,"AAAAAGv5/Dg=")</f>
        <v>#VALUE!</v>
      </c>
      <c r="BF214" t="e">
        <f>AND('STERLING CATALOG - DRY '!D4793,"AAAAAGv5/Dk=")</f>
        <v>#VALUE!</v>
      </c>
      <c r="BG214" t="e">
        <f>AND('STERLING CATALOG - DRY '!E4793,"AAAAAGv5/Do=")</f>
        <v>#VALUE!</v>
      </c>
      <c r="BH214" t="e">
        <f>AND('STERLING CATALOG - DRY '!F4793,"AAAAAGv5/Ds=")</f>
        <v>#VALUE!</v>
      </c>
      <c r="BI214" t="e">
        <f>AND('STERLING CATALOG - DRY '!G4793,"AAAAAGv5/Dw=")</f>
        <v>#VALUE!</v>
      </c>
      <c r="BJ214" t="e">
        <f>AND('STERLING CATALOG - DRY '!H4793,"AAAAAGv5/D0=")</f>
        <v>#VALUE!</v>
      </c>
      <c r="BK214" t="e">
        <f>AND('STERLING CATALOG - DRY '!I4793,"AAAAAGv5/D4=")</f>
        <v>#VALUE!</v>
      </c>
      <c r="BL214" t="e">
        <f>AND('STERLING CATALOG - DRY '!J4793,"AAAAAGv5/D8=")</f>
        <v>#VALUE!</v>
      </c>
      <c r="BM214">
        <f>IF('STERLING CATALOG - DRY '!4794:4794,"AAAAAGv5/EA=",0)</f>
        <v>0</v>
      </c>
      <c r="BN214" t="e">
        <f>AND('STERLING CATALOG - DRY '!A4794,"AAAAAGv5/EE=")</f>
        <v>#VALUE!</v>
      </c>
      <c r="BO214" t="e">
        <f>AND('STERLING CATALOG - DRY '!B4794,"AAAAAGv5/EI=")</f>
        <v>#VALUE!</v>
      </c>
      <c r="BP214" t="e">
        <f>AND('STERLING CATALOG - DRY '!C4794,"AAAAAGv5/EM=")</f>
        <v>#VALUE!</v>
      </c>
      <c r="BQ214" t="e">
        <f>AND('STERLING CATALOG - DRY '!D4794,"AAAAAGv5/EQ=")</f>
        <v>#VALUE!</v>
      </c>
      <c r="BR214" t="e">
        <f>AND('STERLING CATALOG - DRY '!E4794,"AAAAAGv5/EU=")</f>
        <v>#VALUE!</v>
      </c>
      <c r="BS214" t="e">
        <f>AND('STERLING CATALOG - DRY '!F4794,"AAAAAGv5/EY=")</f>
        <v>#VALUE!</v>
      </c>
      <c r="BT214" t="e">
        <f>AND('STERLING CATALOG - DRY '!G4794,"AAAAAGv5/Ec=")</f>
        <v>#VALUE!</v>
      </c>
      <c r="BU214" t="e">
        <f>AND('STERLING CATALOG - DRY '!H4794,"AAAAAGv5/Eg=")</f>
        <v>#VALUE!</v>
      </c>
      <c r="BV214" t="e">
        <f>AND('STERLING CATALOG - DRY '!I4794,"AAAAAGv5/Ek=")</f>
        <v>#VALUE!</v>
      </c>
      <c r="BW214" t="e">
        <f>AND('STERLING CATALOG - DRY '!J4794,"AAAAAGv5/Eo=")</f>
        <v>#VALUE!</v>
      </c>
      <c r="BX214">
        <f>IF('STERLING CATALOG - DRY '!4795:4795,"AAAAAGv5/Es=",0)</f>
        <v>0</v>
      </c>
      <c r="BY214" t="e">
        <f>AND('STERLING CATALOG - DRY '!A4795,"AAAAAGv5/Ew=")</f>
        <v>#VALUE!</v>
      </c>
      <c r="BZ214" t="e">
        <f>AND('STERLING CATALOG - DRY '!B4795,"AAAAAGv5/E0=")</f>
        <v>#VALUE!</v>
      </c>
      <c r="CA214" t="e">
        <f>AND('STERLING CATALOG - DRY '!C4795,"AAAAAGv5/E4=")</f>
        <v>#VALUE!</v>
      </c>
      <c r="CB214" t="e">
        <f>AND('STERLING CATALOG - DRY '!D4795,"AAAAAGv5/E8=")</f>
        <v>#VALUE!</v>
      </c>
      <c r="CC214" t="e">
        <f>AND('STERLING CATALOG - DRY '!E4795,"AAAAAGv5/FA=")</f>
        <v>#VALUE!</v>
      </c>
      <c r="CD214" t="e">
        <f>AND('STERLING CATALOG - DRY '!F4795,"AAAAAGv5/FE=")</f>
        <v>#VALUE!</v>
      </c>
      <c r="CE214" t="e">
        <f>AND('STERLING CATALOG - DRY '!G4795,"AAAAAGv5/FI=")</f>
        <v>#VALUE!</v>
      </c>
      <c r="CF214" t="e">
        <f>AND('STERLING CATALOG - DRY '!H4795,"AAAAAGv5/FM=")</f>
        <v>#VALUE!</v>
      </c>
      <c r="CG214" t="e">
        <f>AND('STERLING CATALOG - DRY '!I4795,"AAAAAGv5/FQ=")</f>
        <v>#VALUE!</v>
      </c>
      <c r="CH214" t="e">
        <f>AND('STERLING CATALOG - DRY '!J4795,"AAAAAGv5/FU=")</f>
        <v>#VALUE!</v>
      </c>
      <c r="CI214">
        <f>IF('STERLING CATALOG - DRY '!4796:4796,"AAAAAGv5/FY=",0)</f>
        <v>0</v>
      </c>
      <c r="CJ214" t="e">
        <f>AND('STERLING CATALOG - DRY '!A4796,"AAAAAGv5/Fc=")</f>
        <v>#VALUE!</v>
      </c>
      <c r="CK214" t="e">
        <f>AND('STERLING CATALOG - DRY '!B4796,"AAAAAGv5/Fg=")</f>
        <v>#VALUE!</v>
      </c>
      <c r="CL214" t="e">
        <f>AND('STERLING CATALOG - DRY '!C4796,"AAAAAGv5/Fk=")</f>
        <v>#VALUE!</v>
      </c>
      <c r="CM214" t="e">
        <f>AND('STERLING CATALOG - DRY '!D4796,"AAAAAGv5/Fo=")</f>
        <v>#VALUE!</v>
      </c>
      <c r="CN214" t="e">
        <f>AND('STERLING CATALOG - DRY '!E4796,"AAAAAGv5/Fs=")</f>
        <v>#VALUE!</v>
      </c>
      <c r="CO214" t="e">
        <f>AND('STERLING CATALOG - DRY '!F4796,"AAAAAGv5/Fw=")</f>
        <v>#VALUE!</v>
      </c>
      <c r="CP214" t="e">
        <f>AND('STERLING CATALOG - DRY '!G4796,"AAAAAGv5/F0=")</f>
        <v>#VALUE!</v>
      </c>
      <c r="CQ214" t="e">
        <f>AND('STERLING CATALOG - DRY '!H4796,"AAAAAGv5/F4=")</f>
        <v>#VALUE!</v>
      </c>
      <c r="CR214" t="e">
        <f>AND('STERLING CATALOG - DRY '!I4796,"AAAAAGv5/F8=")</f>
        <v>#VALUE!</v>
      </c>
      <c r="CS214" t="e">
        <f>AND('STERLING CATALOG - DRY '!J4796,"AAAAAGv5/GA=")</f>
        <v>#VALUE!</v>
      </c>
      <c r="CT214">
        <f>IF('STERLING CATALOG - DRY '!4797:4797,"AAAAAGv5/GE=",0)</f>
        <v>0</v>
      </c>
      <c r="CU214" t="e">
        <f>AND('STERLING CATALOG - DRY '!A4797,"AAAAAGv5/GI=")</f>
        <v>#VALUE!</v>
      </c>
      <c r="CV214" t="e">
        <f>AND('STERLING CATALOG - DRY '!B4797,"AAAAAGv5/GM=")</f>
        <v>#VALUE!</v>
      </c>
      <c r="CW214" t="e">
        <f>AND('STERLING CATALOG - DRY '!C4797,"AAAAAGv5/GQ=")</f>
        <v>#VALUE!</v>
      </c>
      <c r="CX214" t="e">
        <f>AND('STERLING CATALOG - DRY '!D4797,"AAAAAGv5/GU=")</f>
        <v>#VALUE!</v>
      </c>
      <c r="CY214" t="e">
        <f>AND('STERLING CATALOG - DRY '!E4797,"AAAAAGv5/GY=")</f>
        <v>#VALUE!</v>
      </c>
      <c r="CZ214" t="e">
        <f>AND('STERLING CATALOG - DRY '!F4797,"AAAAAGv5/Gc=")</f>
        <v>#VALUE!</v>
      </c>
      <c r="DA214" t="e">
        <f>AND('STERLING CATALOG - DRY '!G4797,"AAAAAGv5/Gg=")</f>
        <v>#VALUE!</v>
      </c>
      <c r="DB214" t="e">
        <f>AND('STERLING CATALOG - DRY '!H4797,"AAAAAGv5/Gk=")</f>
        <v>#VALUE!</v>
      </c>
      <c r="DC214" t="e">
        <f>AND('STERLING CATALOG - DRY '!I4797,"AAAAAGv5/Go=")</f>
        <v>#VALUE!</v>
      </c>
      <c r="DD214" t="e">
        <f>AND('STERLING CATALOG - DRY '!J4797,"AAAAAGv5/Gs=")</f>
        <v>#VALUE!</v>
      </c>
      <c r="DE214">
        <f>IF('STERLING CATALOG - DRY '!4798:4798,"AAAAAGv5/Gw=",0)</f>
        <v>0</v>
      </c>
      <c r="DF214" t="e">
        <f>AND('STERLING CATALOG - DRY '!A4798,"AAAAAGv5/G0=")</f>
        <v>#VALUE!</v>
      </c>
      <c r="DG214" t="e">
        <f>AND('STERLING CATALOG - DRY '!B4798,"AAAAAGv5/G4=")</f>
        <v>#VALUE!</v>
      </c>
      <c r="DH214" t="e">
        <f>AND('STERLING CATALOG - DRY '!C4798,"AAAAAGv5/G8=")</f>
        <v>#VALUE!</v>
      </c>
      <c r="DI214" t="e">
        <f>AND('STERLING CATALOG - DRY '!D4798,"AAAAAGv5/HA=")</f>
        <v>#VALUE!</v>
      </c>
      <c r="DJ214" t="e">
        <f>AND('STERLING CATALOG - DRY '!E4798,"AAAAAGv5/HE=")</f>
        <v>#VALUE!</v>
      </c>
      <c r="DK214" t="e">
        <f>AND('STERLING CATALOG - DRY '!F4798,"AAAAAGv5/HI=")</f>
        <v>#VALUE!</v>
      </c>
      <c r="DL214" t="e">
        <f>AND('STERLING CATALOG - DRY '!G4798,"AAAAAGv5/HM=")</f>
        <v>#VALUE!</v>
      </c>
      <c r="DM214" t="e">
        <f>AND('STERLING CATALOG - DRY '!H4798,"AAAAAGv5/HQ=")</f>
        <v>#VALUE!</v>
      </c>
      <c r="DN214" t="e">
        <f>AND('STERLING CATALOG - DRY '!I4798,"AAAAAGv5/HU=")</f>
        <v>#VALUE!</v>
      </c>
      <c r="DO214" t="e">
        <f>AND('STERLING CATALOG - DRY '!J4798,"AAAAAGv5/HY=")</f>
        <v>#VALUE!</v>
      </c>
      <c r="DP214">
        <f>IF('STERLING CATALOG - DRY '!4799:4799,"AAAAAGv5/Hc=",0)</f>
        <v>0</v>
      </c>
      <c r="DQ214" t="e">
        <f>AND('STERLING CATALOG - DRY '!A4799,"AAAAAGv5/Hg=")</f>
        <v>#VALUE!</v>
      </c>
      <c r="DR214" t="e">
        <f>AND('STERLING CATALOG - DRY '!B4799,"AAAAAGv5/Hk=")</f>
        <v>#VALUE!</v>
      </c>
      <c r="DS214" t="e">
        <f>AND('STERLING CATALOG - DRY '!C4799,"AAAAAGv5/Ho=")</f>
        <v>#VALUE!</v>
      </c>
      <c r="DT214" t="e">
        <f>AND('STERLING CATALOG - DRY '!D4799,"AAAAAGv5/Hs=")</f>
        <v>#VALUE!</v>
      </c>
      <c r="DU214" t="e">
        <f>AND('STERLING CATALOG - DRY '!E4799,"AAAAAGv5/Hw=")</f>
        <v>#VALUE!</v>
      </c>
      <c r="DV214" t="e">
        <f>AND('STERLING CATALOG - DRY '!F4799,"AAAAAGv5/H0=")</f>
        <v>#VALUE!</v>
      </c>
      <c r="DW214" t="e">
        <f>AND('STERLING CATALOG - DRY '!G4799,"AAAAAGv5/H4=")</f>
        <v>#VALUE!</v>
      </c>
      <c r="DX214" t="e">
        <f>AND('STERLING CATALOG - DRY '!H4799,"AAAAAGv5/H8=")</f>
        <v>#VALUE!</v>
      </c>
      <c r="DY214" t="e">
        <f>AND('STERLING CATALOG - DRY '!I4799,"AAAAAGv5/IA=")</f>
        <v>#VALUE!</v>
      </c>
      <c r="DZ214" t="e">
        <f>AND('STERLING CATALOG - DRY '!J4799,"AAAAAGv5/IE=")</f>
        <v>#VALUE!</v>
      </c>
      <c r="EA214">
        <f>IF('STERLING CATALOG - DRY '!4800:4800,"AAAAAGv5/II=",0)</f>
        <v>0</v>
      </c>
      <c r="EB214" t="e">
        <f>AND('STERLING CATALOG - DRY '!A4800,"AAAAAGv5/IM=")</f>
        <v>#VALUE!</v>
      </c>
      <c r="EC214" t="e">
        <f>AND('STERLING CATALOG - DRY '!B4800,"AAAAAGv5/IQ=")</f>
        <v>#VALUE!</v>
      </c>
      <c r="ED214" t="e">
        <f>AND('STERLING CATALOG - DRY '!C4800,"AAAAAGv5/IU=")</f>
        <v>#VALUE!</v>
      </c>
      <c r="EE214" t="e">
        <f>AND('STERLING CATALOG - DRY '!D4800,"AAAAAGv5/IY=")</f>
        <v>#VALUE!</v>
      </c>
      <c r="EF214" t="e">
        <f>AND('STERLING CATALOG - DRY '!E4800,"AAAAAGv5/Ic=")</f>
        <v>#VALUE!</v>
      </c>
      <c r="EG214" t="e">
        <f>AND('STERLING CATALOG - DRY '!F4800,"AAAAAGv5/Ig=")</f>
        <v>#VALUE!</v>
      </c>
      <c r="EH214" t="e">
        <f>AND('STERLING CATALOG - DRY '!G4800,"AAAAAGv5/Ik=")</f>
        <v>#VALUE!</v>
      </c>
      <c r="EI214" t="e">
        <f>AND('STERLING CATALOG - DRY '!H4800,"AAAAAGv5/Io=")</f>
        <v>#VALUE!</v>
      </c>
      <c r="EJ214" t="e">
        <f>AND('STERLING CATALOG - DRY '!I4800,"AAAAAGv5/Is=")</f>
        <v>#VALUE!</v>
      </c>
      <c r="EK214" t="e">
        <f>AND('STERLING CATALOG - DRY '!J4800,"AAAAAGv5/Iw=")</f>
        <v>#VALUE!</v>
      </c>
      <c r="EL214">
        <f>IF('STERLING CATALOG - DRY '!4801:4801,"AAAAAGv5/I0=",0)</f>
        <v>0</v>
      </c>
      <c r="EM214" t="e">
        <f>AND('STERLING CATALOG - DRY '!A4801,"AAAAAGv5/I4=")</f>
        <v>#VALUE!</v>
      </c>
      <c r="EN214" t="e">
        <f>AND('STERLING CATALOG - DRY '!B4801,"AAAAAGv5/I8=")</f>
        <v>#VALUE!</v>
      </c>
      <c r="EO214" t="e">
        <f>AND('STERLING CATALOG - DRY '!C4801,"AAAAAGv5/JA=")</f>
        <v>#VALUE!</v>
      </c>
      <c r="EP214" t="e">
        <f>AND('STERLING CATALOG - DRY '!D4801,"AAAAAGv5/JE=")</f>
        <v>#VALUE!</v>
      </c>
      <c r="EQ214" t="e">
        <f>AND('STERLING CATALOG - DRY '!E4801,"AAAAAGv5/JI=")</f>
        <v>#VALUE!</v>
      </c>
      <c r="ER214" t="e">
        <f>AND('STERLING CATALOG - DRY '!F4801,"AAAAAGv5/JM=")</f>
        <v>#VALUE!</v>
      </c>
      <c r="ES214" t="e">
        <f>AND('STERLING CATALOG - DRY '!G4801,"AAAAAGv5/JQ=")</f>
        <v>#VALUE!</v>
      </c>
      <c r="ET214" t="e">
        <f>AND('STERLING CATALOG - DRY '!H4801,"AAAAAGv5/JU=")</f>
        <v>#VALUE!</v>
      </c>
      <c r="EU214" t="e">
        <f>AND('STERLING CATALOG - DRY '!I4801,"AAAAAGv5/JY=")</f>
        <v>#VALUE!</v>
      </c>
      <c r="EV214" t="e">
        <f>AND('STERLING CATALOG - DRY '!J4801,"AAAAAGv5/Jc=")</f>
        <v>#VALUE!</v>
      </c>
      <c r="EW214">
        <f>IF('STERLING CATALOG - DRY '!4802:4802,"AAAAAGv5/Jg=",0)</f>
        <v>0</v>
      </c>
      <c r="EX214" t="e">
        <f>AND('STERLING CATALOG - DRY '!A4802,"AAAAAGv5/Jk=")</f>
        <v>#VALUE!</v>
      </c>
      <c r="EY214" t="e">
        <f>AND('STERLING CATALOG - DRY '!B4802,"AAAAAGv5/Jo=")</f>
        <v>#VALUE!</v>
      </c>
      <c r="EZ214" t="e">
        <f>AND('STERLING CATALOG - DRY '!C4802,"AAAAAGv5/Js=")</f>
        <v>#VALUE!</v>
      </c>
      <c r="FA214" t="e">
        <f>AND('STERLING CATALOG - DRY '!D4802,"AAAAAGv5/Jw=")</f>
        <v>#VALUE!</v>
      </c>
      <c r="FB214" t="e">
        <f>AND('STERLING CATALOG - DRY '!E4802,"AAAAAGv5/J0=")</f>
        <v>#VALUE!</v>
      </c>
      <c r="FC214" t="e">
        <f>AND('STERLING CATALOG - DRY '!F4802,"AAAAAGv5/J4=")</f>
        <v>#VALUE!</v>
      </c>
      <c r="FD214" t="e">
        <f>AND('STERLING CATALOG - DRY '!G4802,"AAAAAGv5/J8=")</f>
        <v>#VALUE!</v>
      </c>
      <c r="FE214" t="e">
        <f>AND('STERLING CATALOG - DRY '!H4802,"AAAAAGv5/KA=")</f>
        <v>#VALUE!</v>
      </c>
      <c r="FF214" t="e">
        <f>AND('STERLING CATALOG - DRY '!I4802,"AAAAAGv5/KE=")</f>
        <v>#VALUE!</v>
      </c>
      <c r="FG214" t="e">
        <f>AND('STERLING CATALOG - DRY '!J4802,"AAAAAGv5/KI=")</f>
        <v>#VALUE!</v>
      </c>
      <c r="FH214">
        <f>IF('STERLING CATALOG - DRY '!4803:4803,"AAAAAGv5/KM=",0)</f>
        <v>0</v>
      </c>
      <c r="FI214" t="e">
        <f>AND('STERLING CATALOG - DRY '!A4803,"AAAAAGv5/KQ=")</f>
        <v>#VALUE!</v>
      </c>
      <c r="FJ214" t="e">
        <f>AND('STERLING CATALOG - DRY '!B4803,"AAAAAGv5/KU=")</f>
        <v>#VALUE!</v>
      </c>
      <c r="FK214" t="e">
        <f>AND('STERLING CATALOG - DRY '!C4803,"AAAAAGv5/KY=")</f>
        <v>#VALUE!</v>
      </c>
      <c r="FL214" t="e">
        <f>AND('STERLING CATALOG - DRY '!D4803,"AAAAAGv5/Kc=")</f>
        <v>#VALUE!</v>
      </c>
      <c r="FM214" t="e">
        <f>AND('STERLING CATALOG - DRY '!E4803,"AAAAAGv5/Kg=")</f>
        <v>#VALUE!</v>
      </c>
      <c r="FN214" t="e">
        <f>AND('STERLING CATALOG - DRY '!F4803,"AAAAAGv5/Kk=")</f>
        <v>#VALUE!</v>
      </c>
      <c r="FO214" t="e">
        <f>AND('STERLING CATALOG - DRY '!G4803,"AAAAAGv5/Ko=")</f>
        <v>#VALUE!</v>
      </c>
      <c r="FP214" t="e">
        <f>AND('STERLING CATALOG - DRY '!H4803,"AAAAAGv5/Ks=")</f>
        <v>#VALUE!</v>
      </c>
      <c r="FQ214" t="e">
        <f>AND('STERLING CATALOG - DRY '!I4803,"AAAAAGv5/Kw=")</f>
        <v>#VALUE!</v>
      </c>
      <c r="FR214" t="e">
        <f>AND('STERLING CATALOG - DRY '!J4803,"AAAAAGv5/K0=")</f>
        <v>#VALUE!</v>
      </c>
      <c r="FS214">
        <f>IF('STERLING CATALOG - DRY '!4804:4804,"AAAAAGv5/K4=",0)</f>
        <v>0</v>
      </c>
      <c r="FT214" t="e">
        <f>AND('STERLING CATALOG - DRY '!A4804,"AAAAAGv5/K8=")</f>
        <v>#VALUE!</v>
      </c>
      <c r="FU214" t="e">
        <f>AND('STERLING CATALOG - DRY '!B4804,"AAAAAGv5/LA=")</f>
        <v>#VALUE!</v>
      </c>
      <c r="FV214" t="e">
        <f>AND('STERLING CATALOG - DRY '!C4804,"AAAAAGv5/LE=")</f>
        <v>#VALUE!</v>
      </c>
      <c r="FW214" t="e">
        <f>AND('STERLING CATALOG - DRY '!D4804,"AAAAAGv5/LI=")</f>
        <v>#VALUE!</v>
      </c>
      <c r="FX214" t="e">
        <f>AND('STERLING CATALOG - DRY '!E4804,"AAAAAGv5/LM=")</f>
        <v>#VALUE!</v>
      </c>
      <c r="FY214" t="e">
        <f>AND('STERLING CATALOG - DRY '!F4804,"AAAAAGv5/LQ=")</f>
        <v>#VALUE!</v>
      </c>
      <c r="FZ214" t="e">
        <f>AND('STERLING CATALOG - DRY '!G4804,"AAAAAGv5/LU=")</f>
        <v>#VALUE!</v>
      </c>
      <c r="GA214" t="e">
        <f>AND('STERLING CATALOG - DRY '!H4804,"AAAAAGv5/LY=")</f>
        <v>#VALUE!</v>
      </c>
      <c r="GB214" t="e">
        <f>AND('STERLING CATALOG - DRY '!I4804,"AAAAAGv5/Lc=")</f>
        <v>#VALUE!</v>
      </c>
      <c r="GC214" t="e">
        <f>AND('STERLING CATALOG - DRY '!J4804,"AAAAAGv5/Lg=")</f>
        <v>#VALUE!</v>
      </c>
      <c r="GD214">
        <f>IF('STERLING CATALOG - DRY '!4805:4805,"AAAAAGv5/Lk=",0)</f>
        <v>0</v>
      </c>
      <c r="GE214" t="e">
        <f>AND('STERLING CATALOG - DRY '!A4805,"AAAAAGv5/Lo=")</f>
        <v>#VALUE!</v>
      </c>
      <c r="GF214" t="e">
        <f>AND('STERLING CATALOG - DRY '!B4805,"AAAAAGv5/Ls=")</f>
        <v>#VALUE!</v>
      </c>
      <c r="GG214" t="e">
        <f>AND('STERLING CATALOG - DRY '!C4805,"AAAAAGv5/Lw=")</f>
        <v>#VALUE!</v>
      </c>
      <c r="GH214" t="e">
        <f>AND('STERLING CATALOG - DRY '!D4805,"AAAAAGv5/L0=")</f>
        <v>#VALUE!</v>
      </c>
      <c r="GI214" t="e">
        <f>AND('STERLING CATALOG - DRY '!E4805,"AAAAAGv5/L4=")</f>
        <v>#VALUE!</v>
      </c>
      <c r="GJ214" t="e">
        <f>AND('STERLING CATALOG - DRY '!F4805,"AAAAAGv5/L8=")</f>
        <v>#VALUE!</v>
      </c>
      <c r="GK214" t="e">
        <f>AND('STERLING CATALOG - DRY '!G4805,"AAAAAGv5/MA=")</f>
        <v>#VALUE!</v>
      </c>
      <c r="GL214" t="e">
        <f>AND('STERLING CATALOG - DRY '!H4805,"AAAAAGv5/ME=")</f>
        <v>#VALUE!</v>
      </c>
      <c r="GM214" t="e">
        <f>AND('STERLING CATALOG - DRY '!I4805,"AAAAAGv5/MI=")</f>
        <v>#VALUE!</v>
      </c>
      <c r="GN214" t="e">
        <f>AND('STERLING CATALOG - DRY '!J4805,"AAAAAGv5/MM=")</f>
        <v>#VALUE!</v>
      </c>
      <c r="GO214">
        <f>IF('STERLING CATALOG - DRY '!4806:4806,"AAAAAGv5/MQ=",0)</f>
        <v>0</v>
      </c>
      <c r="GP214" t="e">
        <f>AND('STERLING CATALOG - DRY '!A4806,"AAAAAGv5/MU=")</f>
        <v>#VALUE!</v>
      </c>
      <c r="GQ214" t="e">
        <f>AND('STERLING CATALOG - DRY '!B4806,"AAAAAGv5/MY=")</f>
        <v>#VALUE!</v>
      </c>
      <c r="GR214" t="e">
        <f>AND('STERLING CATALOG - DRY '!C4806,"AAAAAGv5/Mc=")</f>
        <v>#VALUE!</v>
      </c>
      <c r="GS214" t="e">
        <f>AND('STERLING CATALOG - DRY '!D4806,"AAAAAGv5/Mg=")</f>
        <v>#VALUE!</v>
      </c>
      <c r="GT214" t="e">
        <f>AND('STERLING CATALOG - DRY '!E4806,"AAAAAGv5/Mk=")</f>
        <v>#VALUE!</v>
      </c>
      <c r="GU214" t="e">
        <f>AND('STERLING CATALOG - DRY '!F4806,"AAAAAGv5/Mo=")</f>
        <v>#VALUE!</v>
      </c>
      <c r="GV214" t="e">
        <f>AND('STERLING CATALOG - DRY '!G4806,"AAAAAGv5/Ms=")</f>
        <v>#VALUE!</v>
      </c>
      <c r="GW214" t="e">
        <f>AND('STERLING CATALOG - DRY '!H4806,"AAAAAGv5/Mw=")</f>
        <v>#VALUE!</v>
      </c>
      <c r="GX214" t="e">
        <f>AND('STERLING CATALOG - DRY '!I4806,"AAAAAGv5/M0=")</f>
        <v>#VALUE!</v>
      </c>
      <c r="GY214" t="e">
        <f>AND('STERLING CATALOG - DRY '!J4806,"AAAAAGv5/M4=")</f>
        <v>#VALUE!</v>
      </c>
      <c r="GZ214">
        <f>IF('STERLING CATALOG - DRY '!4807:4807,"AAAAAGv5/M8=",0)</f>
        <v>0</v>
      </c>
      <c r="HA214" t="e">
        <f>AND('STERLING CATALOG - DRY '!A4807,"AAAAAGv5/NA=")</f>
        <v>#VALUE!</v>
      </c>
      <c r="HB214" t="e">
        <f>AND('STERLING CATALOG - DRY '!B4807,"AAAAAGv5/NE=")</f>
        <v>#VALUE!</v>
      </c>
      <c r="HC214" t="e">
        <f>AND('STERLING CATALOG - DRY '!C4807,"AAAAAGv5/NI=")</f>
        <v>#VALUE!</v>
      </c>
      <c r="HD214" t="e">
        <f>AND('STERLING CATALOG - DRY '!D4807,"AAAAAGv5/NM=")</f>
        <v>#VALUE!</v>
      </c>
      <c r="HE214" t="e">
        <f>AND('STERLING CATALOG - DRY '!E4807,"AAAAAGv5/NQ=")</f>
        <v>#VALUE!</v>
      </c>
      <c r="HF214" t="e">
        <f>AND('STERLING CATALOG - DRY '!F4807,"AAAAAGv5/NU=")</f>
        <v>#VALUE!</v>
      </c>
      <c r="HG214" t="e">
        <f>AND('STERLING CATALOG - DRY '!G4807,"AAAAAGv5/NY=")</f>
        <v>#VALUE!</v>
      </c>
      <c r="HH214" t="e">
        <f>AND('STERLING CATALOG - DRY '!H4807,"AAAAAGv5/Nc=")</f>
        <v>#VALUE!</v>
      </c>
      <c r="HI214" t="e">
        <f>AND('STERLING CATALOG - DRY '!I4807,"AAAAAGv5/Ng=")</f>
        <v>#VALUE!</v>
      </c>
      <c r="HJ214" t="e">
        <f>AND('STERLING CATALOG - DRY '!J4807,"AAAAAGv5/Nk=")</f>
        <v>#VALUE!</v>
      </c>
      <c r="HK214">
        <f>IF('STERLING CATALOG - DRY '!4808:4808,"AAAAAGv5/No=",0)</f>
        <v>0</v>
      </c>
      <c r="HL214" t="e">
        <f>AND('STERLING CATALOG - DRY '!A4808,"AAAAAGv5/Ns=")</f>
        <v>#VALUE!</v>
      </c>
      <c r="HM214" t="e">
        <f>AND('STERLING CATALOG - DRY '!B4808,"AAAAAGv5/Nw=")</f>
        <v>#VALUE!</v>
      </c>
      <c r="HN214" t="e">
        <f>AND('STERLING CATALOG - DRY '!C4808,"AAAAAGv5/N0=")</f>
        <v>#VALUE!</v>
      </c>
      <c r="HO214" t="e">
        <f>AND('STERLING CATALOG - DRY '!D4808,"AAAAAGv5/N4=")</f>
        <v>#VALUE!</v>
      </c>
      <c r="HP214" t="e">
        <f>AND('STERLING CATALOG - DRY '!E4808,"AAAAAGv5/N8=")</f>
        <v>#VALUE!</v>
      </c>
      <c r="HQ214" t="e">
        <f>AND('STERLING CATALOG - DRY '!F4808,"AAAAAGv5/OA=")</f>
        <v>#VALUE!</v>
      </c>
      <c r="HR214" t="e">
        <f>AND('STERLING CATALOG - DRY '!G4808,"AAAAAGv5/OE=")</f>
        <v>#VALUE!</v>
      </c>
      <c r="HS214" t="e">
        <f>AND('STERLING CATALOG - DRY '!H4808,"AAAAAGv5/OI=")</f>
        <v>#VALUE!</v>
      </c>
      <c r="HT214" t="e">
        <f>AND('STERLING CATALOG - DRY '!I4808,"AAAAAGv5/OM=")</f>
        <v>#VALUE!</v>
      </c>
      <c r="HU214" t="e">
        <f>AND('STERLING CATALOG - DRY '!J4808,"AAAAAGv5/OQ=")</f>
        <v>#VALUE!</v>
      </c>
      <c r="HV214">
        <f>IF('STERLING CATALOG - DRY '!4809:4809,"AAAAAGv5/OU=",0)</f>
        <v>0</v>
      </c>
      <c r="HW214" t="e">
        <f>AND('STERLING CATALOG - DRY '!A4809,"AAAAAGv5/OY=")</f>
        <v>#VALUE!</v>
      </c>
      <c r="HX214" t="e">
        <f>AND('STERLING CATALOG - DRY '!B4809,"AAAAAGv5/Oc=")</f>
        <v>#VALUE!</v>
      </c>
      <c r="HY214" t="e">
        <f>AND('STERLING CATALOG - DRY '!C4809,"AAAAAGv5/Og=")</f>
        <v>#VALUE!</v>
      </c>
      <c r="HZ214" t="e">
        <f>AND('STERLING CATALOG - DRY '!D4809,"AAAAAGv5/Ok=")</f>
        <v>#VALUE!</v>
      </c>
      <c r="IA214" t="e">
        <f>AND('STERLING CATALOG - DRY '!E4809,"AAAAAGv5/Oo=")</f>
        <v>#VALUE!</v>
      </c>
      <c r="IB214" t="e">
        <f>AND('STERLING CATALOG - DRY '!F4809,"AAAAAGv5/Os=")</f>
        <v>#VALUE!</v>
      </c>
      <c r="IC214" t="e">
        <f>AND('STERLING CATALOG - DRY '!G4809,"AAAAAGv5/Ow=")</f>
        <v>#VALUE!</v>
      </c>
      <c r="ID214" t="e">
        <f>AND('STERLING CATALOG - DRY '!H4809,"AAAAAGv5/O0=")</f>
        <v>#VALUE!</v>
      </c>
      <c r="IE214" t="e">
        <f>AND('STERLING CATALOG - DRY '!I4809,"AAAAAGv5/O4=")</f>
        <v>#VALUE!</v>
      </c>
      <c r="IF214" t="e">
        <f>AND('STERLING CATALOG - DRY '!J4809,"AAAAAGv5/O8=")</f>
        <v>#VALUE!</v>
      </c>
      <c r="IG214">
        <f>IF('STERLING CATALOG - DRY '!4810:4810,"AAAAAGv5/PA=",0)</f>
        <v>0</v>
      </c>
      <c r="IH214" t="e">
        <f>AND('STERLING CATALOG - DRY '!A4810,"AAAAAGv5/PE=")</f>
        <v>#VALUE!</v>
      </c>
      <c r="II214" t="e">
        <f>AND('STERLING CATALOG - DRY '!B4810,"AAAAAGv5/PI=")</f>
        <v>#VALUE!</v>
      </c>
      <c r="IJ214" t="e">
        <f>AND('STERLING CATALOG - DRY '!C4810,"AAAAAGv5/PM=")</f>
        <v>#VALUE!</v>
      </c>
      <c r="IK214" t="e">
        <f>AND('STERLING CATALOG - DRY '!D4810,"AAAAAGv5/PQ=")</f>
        <v>#VALUE!</v>
      </c>
      <c r="IL214" t="e">
        <f>AND('STERLING CATALOG - DRY '!E4810,"AAAAAGv5/PU=")</f>
        <v>#VALUE!</v>
      </c>
      <c r="IM214" t="e">
        <f>AND('STERLING CATALOG - DRY '!F4810,"AAAAAGv5/PY=")</f>
        <v>#VALUE!</v>
      </c>
      <c r="IN214" t="e">
        <f>AND('STERLING CATALOG - DRY '!G4810,"AAAAAGv5/Pc=")</f>
        <v>#VALUE!</v>
      </c>
      <c r="IO214" t="e">
        <f>AND('STERLING CATALOG - DRY '!H4810,"AAAAAGv5/Pg=")</f>
        <v>#VALUE!</v>
      </c>
      <c r="IP214" t="e">
        <f>AND('STERLING CATALOG - DRY '!I4810,"AAAAAGv5/Pk=")</f>
        <v>#VALUE!</v>
      </c>
      <c r="IQ214" t="e">
        <f>AND('STERLING CATALOG - DRY '!J4810,"AAAAAGv5/Po=")</f>
        <v>#VALUE!</v>
      </c>
      <c r="IR214">
        <f>IF('STERLING CATALOG - DRY '!4811:4811,"AAAAAGv5/Ps=",0)</f>
        <v>0</v>
      </c>
      <c r="IS214" t="e">
        <f>AND('STERLING CATALOG - DRY '!A4811,"AAAAAGv5/Pw=")</f>
        <v>#VALUE!</v>
      </c>
      <c r="IT214" t="e">
        <f>AND('STERLING CATALOG - DRY '!B4811,"AAAAAGv5/P0=")</f>
        <v>#VALUE!</v>
      </c>
      <c r="IU214" t="e">
        <f>AND('STERLING CATALOG - DRY '!C4811,"AAAAAGv5/P4=")</f>
        <v>#VALUE!</v>
      </c>
      <c r="IV214" t="e">
        <f>AND('STERLING CATALOG - DRY '!D4811,"AAAAAGv5/P8=")</f>
        <v>#VALUE!</v>
      </c>
    </row>
    <row r="215" spans="1:256">
      <c r="A215" t="e">
        <f>AND('STERLING CATALOG - DRY '!E4811,"AAAAADj7TwA=")</f>
        <v>#VALUE!</v>
      </c>
      <c r="B215" t="e">
        <f>AND('STERLING CATALOG - DRY '!F4811,"AAAAADj7TwE=")</f>
        <v>#VALUE!</v>
      </c>
      <c r="C215" t="e">
        <f>AND('STERLING CATALOG - DRY '!G4811,"AAAAADj7TwI=")</f>
        <v>#VALUE!</v>
      </c>
      <c r="D215" t="e">
        <f>AND('STERLING CATALOG - DRY '!H4811,"AAAAADj7TwM=")</f>
        <v>#VALUE!</v>
      </c>
      <c r="E215" t="e">
        <f>AND('STERLING CATALOG - DRY '!I4811,"AAAAADj7TwQ=")</f>
        <v>#VALUE!</v>
      </c>
      <c r="F215" t="e">
        <f>AND('STERLING CATALOG - DRY '!J4811,"AAAAADj7TwU=")</f>
        <v>#VALUE!</v>
      </c>
      <c r="G215" t="str">
        <f>IF('STERLING CATALOG - DRY '!4812:4812,"AAAAADj7TwY=",0)</f>
        <v>AAAAADj7TwY=</v>
      </c>
      <c r="H215" t="e">
        <f>AND('STERLING CATALOG - DRY '!A4812,"AAAAADj7Twc=")</f>
        <v>#VALUE!</v>
      </c>
      <c r="I215" t="e">
        <f>AND('STERLING CATALOG - DRY '!B4812,"AAAAADj7Twg=")</f>
        <v>#VALUE!</v>
      </c>
      <c r="J215" t="e">
        <f>AND('STERLING CATALOG - DRY '!C4812,"AAAAADj7Twk=")</f>
        <v>#VALUE!</v>
      </c>
      <c r="K215" t="e">
        <f>AND('STERLING CATALOG - DRY '!D4812,"AAAAADj7Two=")</f>
        <v>#VALUE!</v>
      </c>
      <c r="L215" t="e">
        <f>AND('STERLING CATALOG - DRY '!E4812,"AAAAADj7Tws=")</f>
        <v>#VALUE!</v>
      </c>
      <c r="M215" t="e">
        <f>AND('STERLING CATALOG - DRY '!F4812,"AAAAADj7Tww=")</f>
        <v>#VALUE!</v>
      </c>
      <c r="N215" t="e">
        <f>AND('STERLING CATALOG - DRY '!G4812,"AAAAADj7Tw0=")</f>
        <v>#VALUE!</v>
      </c>
      <c r="O215" t="e">
        <f>AND('STERLING CATALOG - DRY '!H4812,"AAAAADj7Tw4=")</f>
        <v>#VALUE!</v>
      </c>
      <c r="P215" t="e">
        <f>AND('STERLING CATALOG - DRY '!I4812,"AAAAADj7Tw8=")</f>
        <v>#VALUE!</v>
      </c>
      <c r="Q215" t="e">
        <f>AND('STERLING CATALOG - DRY '!J4812,"AAAAADj7TxA=")</f>
        <v>#VALUE!</v>
      </c>
      <c r="R215">
        <f>IF('STERLING CATALOG - DRY '!4813:4813,"AAAAADj7TxE=",0)</f>
        <v>0</v>
      </c>
      <c r="S215" t="e">
        <f>AND('STERLING CATALOG - DRY '!A4813,"AAAAADj7TxI=")</f>
        <v>#VALUE!</v>
      </c>
      <c r="T215" t="e">
        <f>AND('STERLING CATALOG - DRY '!B4813,"AAAAADj7TxM=")</f>
        <v>#VALUE!</v>
      </c>
      <c r="U215" t="e">
        <f>AND('STERLING CATALOG - DRY '!C4813,"AAAAADj7TxQ=")</f>
        <v>#VALUE!</v>
      </c>
      <c r="V215" t="e">
        <f>AND('STERLING CATALOG - DRY '!D4813,"AAAAADj7TxU=")</f>
        <v>#VALUE!</v>
      </c>
      <c r="W215" t="e">
        <f>AND('STERLING CATALOG - DRY '!E4813,"AAAAADj7TxY=")</f>
        <v>#VALUE!</v>
      </c>
      <c r="X215" t="e">
        <f>AND('STERLING CATALOG - DRY '!F4813,"AAAAADj7Txc=")</f>
        <v>#VALUE!</v>
      </c>
      <c r="Y215" t="e">
        <f>AND('STERLING CATALOG - DRY '!G4813,"AAAAADj7Txg=")</f>
        <v>#VALUE!</v>
      </c>
      <c r="Z215" t="e">
        <f>AND('STERLING CATALOG - DRY '!H4813,"AAAAADj7Txk=")</f>
        <v>#VALUE!</v>
      </c>
      <c r="AA215" t="e">
        <f>AND('STERLING CATALOG - DRY '!I4813,"AAAAADj7Txo=")</f>
        <v>#VALUE!</v>
      </c>
      <c r="AB215" t="e">
        <f>AND('STERLING CATALOG - DRY '!J4813,"AAAAADj7Txs=")</f>
        <v>#VALUE!</v>
      </c>
      <c r="AC215">
        <f>IF('STERLING CATALOG - DRY '!4814:4814,"AAAAADj7Txw=",0)</f>
        <v>0</v>
      </c>
      <c r="AD215" t="e">
        <f>AND('STERLING CATALOG - DRY '!A4814,"AAAAADj7Tx0=")</f>
        <v>#VALUE!</v>
      </c>
      <c r="AE215" t="e">
        <f>AND('STERLING CATALOG - DRY '!B4814,"AAAAADj7Tx4=")</f>
        <v>#VALUE!</v>
      </c>
      <c r="AF215" t="e">
        <f>AND('STERLING CATALOG - DRY '!C4814,"AAAAADj7Tx8=")</f>
        <v>#VALUE!</v>
      </c>
      <c r="AG215" t="e">
        <f>AND('STERLING CATALOG - DRY '!D4814,"AAAAADj7TyA=")</f>
        <v>#VALUE!</v>
      </c>
      <c r="AH215" t="e">
        <f>AND('STERLING CATALOG - DRY '!E4814,"AAAAADj7TyE=")</f>
        <v>#VALUE!</v>
      </c>
      <c r="AI215" t="e">
        <f>AND('STERLING CATALOG - DRY '!F4814,"AAAAADj7TyI=")</f>
        <v>#VALUE!</v>
      </c>
      <c r="AJ215" t="e">
        <f>AND('STERLING CATALOG - DRY '!G4814,"AAAAADj7TyM=")</f>
        <v>#VALUE!</v>
      </c>
      <c r="AK215" t="e">
        <f>AND('STERLING CATALOG - DRY '!H4814,"AAAAADj7TyQ=")</f>
        <v>#VALUE!</v>
      </c>
      <c r="AL215" t="e">
        <f>AND('STERLING CATALOG - DRY '!I4814,"AAAAADj7TyU=")</f>
        <v>#VALUE!</v>
      </c>
      <c r="AM215" t="e">
        <f>AND('STERLING CATALOG - DRY '!J4814,"AAAAADj7TyY=")</f>
        <v>#VALUE!</v>
      </c>
      <c r="AN215">
        <f>IF('STERLING CATALOG - DRY '!4815:4815,"AAAAADj7Tyc=",0)</f>
        <v>0</v>
      </c>
      <c r="AO215" t="e">
        <f>AND('STERLING CATALOG - DRY '!A4815,"AAAAADj7Tyg=")</f>
        <v>#VALUE!</v>
      </c>
      <c r="AP215" t="e">
        <f>AND('STERLING CATALOG - DRY '!B4815,"AAAAADj7Tyk=")</f>
        <v>#VALUE!</v>
      </c>
      <c r="AQ215" t="e">
        <f>AND('STERLING CATALOG - DRY '!C4815,"AAAAADj7Tyo=")</f>
        <v>#VALUE!</v>
      </c>
      <c r="AR215" t="e">
        <f>AND('STERLING CATALOG - DRY '!D4815,"AAAAADj7Tys=")</f>
        <v>#VALUE!</v>
      </c>
      <c r="AS215" t="e">
        <f>AND('STERLING CATALOG - DRY '!E4815,"AAAAADj7Tyw=")</f>
        <v>#VALUE!</v>
      </c>
      <c r="AT215" t="e">
        <f>AND('STERLING CATALOG - DRY '!F4815,"AAAAADj7Ty0=")</f>
        <v>#VALUE!</v>
      </c>
      <c r="AU215" t="e">
        <f>AND('STERLING CATALOG - DRY '!G4815,"AAAAADj7Ty4=")</f>
        <v>#VALUE!</v>
      </c>
      <c r="AV215" t="e">
        <f>AND('STERLING CATALOG - DRY '!H4815,"AAAAADj7Ty8=")</f>
        <v>#VALUE!</v>
      </c>
      <c r="AW215" t="e">
        <f>AND('STERLING CATALOG - DRY '!I4815,"AAAAADj7TzA=")</f>
        <v>#VALUE!</v>
      </c>
      <c r="AX215" t="e">
        <f>AND('STERLING CATALOG - DRY '!J4815,"AAAAADj7TzE=")</f>
        <v>#VALUE!</v>
      </c>
      <c r="AY215">
        <f>IF('STERLING CATALOG - DRY '!4816:4816,"AAAAADj7TzI=",0)</f>
        <v>0</v>
      </c>
      <c r="AZ215" t="e">
        <f>AND('STERLING CATALOG - DRY '!A4816,"AAAAADj7TzM=")</f>
        <v>#VALUE!</v>
      </c>
      <c r="BA215" t="e">
        <f>AND('STERLING CATALOG - DRY '!B4816,"AAAAADj7TzQ=")</f>
        <v>#VALUE!</v>
      </c>
      <c r="BB215" t="e">
        <f>AND('STERLING CATALOG - DRY '!C4816,"AAAAADj7TzU=")</f>
        <v>#VALUE!</v>
      </c>
      <c r="BC215" t="e">
        <f>AND('STERLING CATALOG - DRY '!D4816,"AAAAADj7TzY=")</f>
        <v>#VALUE!</v>
      </c>
      <c r="BD215" t="e">
        <f>AND('STERLING CATALOG - DRY '!E4816,"AAAAADj7Tzc=")</f>
        <v>#VALUE!</v>
      </c>
      <c r="BE215" t="e">
        <f>AND('STERLING CATALOG - DRY '!F4816,"AAAAADj7Tzg=")</f>
        <v>#VALUE!</v>
      </c>
      <c r="BF215" t="e">
        <f>AND('STERLING CATALOG - DRY '!G4816,"AAAAADj7Tzk=")</f>
        <v>#VALUE!</v>
      </c>
      <c r="BG215" t="e">
        <f>AND('STERLING CATALOG - DRY '!H4816,"AAAAADj7Tzo=")</f>
        <v>#VALUE!</v>
      </c>
      <c r="BH215" t="e">
        <f>AND('STERLING CATALOG - DRY '!I4816,"AAAAADj7Tzs=")</f>
        <v>#VALUE!</v>
      </c>
      <c r="BI215" t="e">
        <f>AND('STERLING CATALOG - DRY '!J4816,"AAAAADj7Tzw=")</f>
        <v>#VALUE!</v>
      </c>
      <c r="BJ215">
        <f>IF('STERLING CATALOG - DRY '!4817:4817,"AAAAADj7Tz0=",0)</f>
        <v>0</v>
      </c>
      <c r="BK215" t="e">
        <f>AND('STERLING CATALOG - DRY '!A4817,"AAAAADj7Tz4=")</f>
        <v>#VALUE!</v>
      </c>
      <c r="BL215" t="e">
        <f>AND('STERLING CATALOG - DRY '!B4817,"AAAAADj7Tz8=")</f>
        <v>#VALUE!</v>
      </c>
      <c r="BM215" t="e">
        <f>AND('STERLING CATALOG - DRY '!C4817,"AAAAADj7T0A=")</f>
        <v>#VALUE!</v>
      </c>
      <c r="BN215" t="e">
        <f>AND('STERLING CATALOG - DRY '!D4817,"AAAAADj7T0E=")</f>
        <v>#VALUE!</v>
      </c>
      <c r="BO215" t="e">
        <f>AND('STERLING CATALOG - DRY '!E4817,"AAAAADj7T0I=")</f>
        <v>#VALUE!</v>
      </c>
      <c r="BP215" t="e">
        <f>AND('STERLING CATALOG - DRY '!F4817,"AAAAADj7T0M=")</f>
        <v>#VALUE!</v>
      </c>
      <c r="BQ215" t="e">
        <f>AND('STERLING CATALOG - DRY '!G4817,"AAAAADj7T0Q=")</f>
        <v>#VALUE!</v>
      </c>
      <c r="BR215" t="e">
        <f>AND('STERLING CATALOG - DRY '!H4817,"AAAAADj7T0U=")</f>
        <v>#VALUE!</v>
      </c>
      <c r="BS215" t="e">
        <f>AND('STERLING CATALOG - DRY '!I4817,"AAAAADj7T0Y=")</f>
        <v>#VALUE!</v>
      </c>
      <c r="BT215" t="e">
        <f>AND('STERLING CATALOG - DRY '!J4817,"AAAAADj7T0c=")</f>
        <v>#VALUE!</v>
      </c>
      <c r="BU215">
        <f>IF('STERLING CATALOG - DRY '!4818:4818,"AAAAADj7T0g=",0)</f>
        <v>0</v>
      </c>
      <c r="BV215" t="e">
        <f>AND('STERLING CATALOG - DRY '!A4818,"AAAAADj7T0k=")</f>
        <v>#VALUE!</v>
      </c>
      <c r="BW215" t="e">
        <f>AND('STERLING CATALOG - DRY '!B4818,"AAAAADj7T0o=")</f>
        <v>#VALUE!</v>
      </c>
      <c r="BX215" t="e">
        <f>AND('STERLING CATALOG - DRY '!C4818,"AAAAADj7T0s=")</f>
        <v>#VALUE!</v>
      </c>
      <c r="BY215" t="e">
        <f>AND('STERLING CATALOG - DRY '!D4818,"AAAAADj7T0w=")</f>
        <v>#VALUE!</v>
      </c>
      <c r="BZ215" t="e">
        <f>AND('STERLING CATALOG - DRY '!E4818,"AAAAADj7T00=")</f>
        <v>#VALUE!</v>
      </c>
      <c r="CA215" t="e">
        <f>AND('STERLING CATALOG - DRY '!F4818,"AAAAADj7T04=")</f>
        <v>#VALUE!</v>
      </c>
      <c r="CB215" t="e">
        <f>AND('STERLING CATALOG - DRY '!G4818,"AAAAADj7T08=")</f>
        <v>#VALUE!</v>
      </c>
      <c r="CC215" t="e">
        <f>AND('STERLING CATALOG - DRY '!H4818,"AAAAADj7T1A=")</f>
        <v>#VALUE!</v>
      </c>
      <c r="CD215" t="e">
        <f>AND('STERLING CATALOG - DRY '!I4818,"AAAAADj7T1E=")</f>
        <v>#VALUE!</v>
      </c>
      <c r="CE215" t="e">
        <f>AND('STERLING CATALOG - DRY '!J4818,"AAAAADj7T1I=")</f>
        <v>#VALUE!</v>
      </c>
      <c r="CF215">
        <f>IF('STERLING CATALOG - DRY '!4819:4819,"AAAAADj7T1M=",0)</f>
        <v>0</v>
      </c>
      <c r="CG215" t="e">
        <f>AND('STERLING CATALOG - DRY '!A4819,"AAAAADj7T1Q=")</f>
        <v>#VALUE!</v>
      </c>
      <c r="CH215" t="e">
        <f>AND('STERLING CATALOG - DRY '!B4819,"AAAAADj7T1U=")</f>
        <v>#VALUE!</v>
      </c>
      <c r="CI215" t="e">
        <f>AND('STERLING CATALOG - DRY '!C4819,"AAAAADj7T1Y=")</f>
        <v>#VALUE!</v>
      </c>
      <c r="CJ215" t="e">
        <f>AND('STERLING CATALOG - DRY '!D4819,"AAAAADj7T1c=")</f>
        <v>#VALUE!</v>
      </c>
      <c r="CK215" t="e">
        <f>AND('STERLING CATALOG - DRY '!E4819,"AAAAADj7T1g=")</f>
        <v>#VALUE!</v>
      </c>
      <c r="CL215" t="e">
        <f>AND('STERLING CATALOG - DRY '!F4819,"AAAAADj7T1k=")</f>
        <v>#VALUE!</v>
      </c>
      <c r="CM215" t="e">
        <f>AND('STERLING CATALOG - DRY '!G4819,"AAAAADj7T1o=")</f>
        <v>#VALUE!</v>
      </c>
      <c r="CN215" t="e">
        <f>AND('STERLING CATALOG - DRY '!H4819,"AAAAADj7T1s=")</f>
        <v>#VALUE!</v>
      </c>
      <c r="CO215" t="e">
        <f>AND('STERLING CATALOG - DRY '!I4819,"AAAAADj7T1w=")</f>
        <v>#VALUE!</v>
      </c>
      <c r="CP215" t="e">
        <f>AND('STERLING CATALOG - DRY '!J4819,"AAAAADj7T10=")</f>
        <v>#VALUE!</v>
      </c>
      <c r="CQ215">
        <f>IF('STERLING CATALOG - DRY '!4820:4820,"AAAAADj7T14=",0)</f>
        <v>0</v>
      </c>
      <c r="CR215" t="e">
        <f>AND('STERLING CATALOG - DRY '!A4820,"AAAAADj7T18=")</f>
        <v>#VALUE!</v>
      </c>
      <c r="CS215" t="e">
        <f>AND('STERLING CATALOG - DRY '!B4820,"AAAAADj7T2A=")</f>
        <v>#VALUE!</v>
      </c>
      <c r="CT215" t="e">
        <f>AND('STERLING CATALOG - DRY '!C4820,"AAAAADj7T2E=")</f>
        <v>#VALUE!</v>
      </c>
      <c r="CU215" t="e">
        <f>AND('STERLING CATALOG - DRY '!D4820,"AAAAADj7T2I=")</f>
        <v>#VALUE!</v>
      </c>
      <c r="CV215" t="e">
        <f>AND('STERLING CATALOG - DRY '!E4820,"AAAAADj7T2M=")</f>
        <v>#VALUE!</v>
      </c>
      <c r="CW215" t="e">
        <f>AND('STERLING CATALOG - DRY '!F4820,"AAAAADj7T2Q=")</f>
        <v>#VALUE!</v>
      </c>
      <c r="CX215" t="e">
        <f>AND('STERLING CATALOG - DRY '!G4820,"AAAAADj7T2U=")</f>
        <v>#VALUE!</v>
      </c>
      <c r="CY215" t="e">
        <f>AND('STERLING CATALOG - DRY '!H4820,"AAAAADj7T2Y=")</f>
        <v>#VALUE!</v>
      </c>
      <c r="CZ215" t="e">
        <f>AND('STERLING CATALOG - DRY '!I4820,"AAAAADj7T2c=")</f>
        <v>#VALUE!</v>
      </c>
      <c r="DA215" t="e">
        <f>AND('STERLING CATALOG - DRY '!J4820,"AAAAADj7T2g=")</f>
        <v>#VALUE!</v>
      </c>
      <c r="DB215">
        <f>IF('STERLING CATALOG - DRY '!4821:4821,"AAAAADj7T2k=",0)</f>
        <v>0</v>
      </c>
      <c r="DC215" t="e">
        <f>AND('STERLING CATALOG - DRY '!A4821,"AAAAADj7T2o=")</f>
        <v>#VALUE!</v>
      </c>
      <c r="DD215" t="e">
        <f>AND('STERLING CATALOG - DRY '!B4821,"AAAAADj7T2s=")</f>
        <v>#VALUE!</v>
      </c>
      <c r="DE215" t="e">
        <f>AND('STERLING CATALOG - DRY '!C4821,"AAAAADj7T2w=")</f>
        <v>#VALUE!</v>
      </c>
      <c r="DF215" t="e">
        <f>AND('STERLING CATALOG - DRY '!D4821,"AAAAADj7T20=")</f>
        <v>#VALUE!</v>
      </c>
      <c r="DG215" t="e">
        <f>AND('STERLING CATALOG - DRY '!E4821,"AAAAADj7T24=")</f>
        <v>#VALUE!</v>
      </c>
      <c r="DH215" t="e">
        <f>AND('STERLING CATALOG - DRY '!F4821,"AAAAADj7T28=")</f>
        <v>#VALUE!</v>
      </c>
      <c r="DI215" t="e">
        <f>AND('STERLING CATALOG - DRY '!G4821,"AAAAADj7T3A=")</f>
        <v>#VALUE!</v>
      </c>
      <c r="DJ215" t="e">
        <f>AND('STERLING CATALOG - DRY '!H4821,"AAAAADj7T3E=")</f>
        <v>#VALUE!</v>
      </c>
      <c r="DK215" t="e">
        <f>AND('STERLING CATALOG - DRY '!I4821,"AAAAADj7T3I=")</f>
        <v>#VALUE!</v>
      </c>
      <c r="DL215" t="e">
        <f>AND('STERLING CATALOG - DRY '!J4821,"AAAAADj7T3M=")</f>
        <v>#VALUE!</v>
      </c>
      <c r="DM215">
        <f>IF('STERLING CATALOG - DRY '!4822:4822,"AAAAADj7T3Q=",0)</f>
        <v>0</v>
      </c>
      <c r="DN215" t="e">
        <f>AND('STERLING CATALOG - DRY '!A4822,"AAAAADj7T3U=")</f>
        <v>#VALUE!</v>
      </c>
      <c r="DO215" t="e">
        <f>AND('STERLING CATALOG - DRY '!B4822,"AAAAADj7T3Y=")</f>
        <v>#VALUE!</v>
      </c>
      <c r="DP215" t="e">
        <f>AND('STERLING CATALOG - DRY '!C4822,"AAAAADj7T3c=")</f>
        <v>#VALUE!</v>
      </c>
      <c r="DQ215" t="e">
        <f>AND('STERLING CATALOG - DRY '!D4822,"AAAAADj7T3g=")</f>
        <v>#VALUE!</v>
      </c>
      <c r="DR215" t="e">
        <f>AND('STERLING CATALOG - DRY '!E4822,"AAAAADj7T3k=")</f>
        <v>#VALUE!</v>
      </c>
      <c r="DS215" t="e">
        <f>AND('STERLING CATALOG - DRY '!F4822,"AAAAADj7T3o=")</f>
        <v>#VALUE!</v>
      </c>
      <c r="DT215" t="e">
        <f>AND('STERLING CATALOG - DRY '!G4822,"AAAAADj7T3s=")</f>
        <v>#VALUE!</v>
      </c>
      <c r="DU215" t="e">
        <f>AND('STERLING CATALOG - DRY '!H4822,"AAAAADj7T3w=")</f>
        <v>#VALUE!</v>
      </c>
      <c r="DV215" t="e">
        <f>AND('STERLING CATALOG - DRY '!I4822,"AAAAADj7T30=")</f>
        <v>#VALUE!</v>
      </c>
      <c r="DW215" t="e">
        <f>AND('STERLING CATALOG - DRY '!J4822,"AAAAADj7T34=")</f>
        <v>#VALUE!</v>
      </c>
      <c r="DX215">
        <f>IF('STERLING CATALOG - DRY '!4823:4823,"AAAAADj7T38=",0)</f>
        <v>0</v>
      </c>
      <c r="DY215" t="e">
        <f>AND('STERLING CATALOG - DRY '!A4823,"AAAAADj7T4A=")</f>
        <v>#VALUE!</v>
      </c>
      <c r="DZ215" t="e">
        <f>AND('STERLING CATALOG - DRY '!B4823,"AAAAADj7T4E=")</f>
        <v>#VALUE!</v>
      </c>
      <c r="EA215" t="e">
        <f>AND('STERLING CATALOG - DRY '!C4823,"AAAAADj7T4I=")</f>
        <v>#VALUE!</v>
      </c>
      <c r="EB215" t="e">
        <f>AND('STERLING CATALOG - DRY '!D4823,"AAAAADj7T4M=")</f>
        <v>#VALUE!</v>
      </c>
      <c r="EC215" t="e">
        <f>AND('STERLING CATALOG - DRY '!E4823,"AAAAADj7T4Q=")</f>
        <v>#VALUE!</v>
      </c>
      <c r="ED215" t="e">
        <f>AND('STERLING CATALOG - DRY '!F4823,"AAAAADj7T4U=")</f>
        <v>#VALUE!</v>
      </c>
      <c r="EE215" t="e">
        <f>AND('STERLING CATALOG - DRY '!G4823,"AAAAADj7T4Y=")</f>
        <v>#VALUE!</v>
      </c>
      <c r="EF215" t="e">
        <f>AND('STERLING CATALOG - DRY '!H4823,"AAAAADj7T4c=")</f>
        <v>#VALUE!</v>
      </c>
      <c r="EG215" t="e">
        <f>AND('STERLING CATALOG - DRY '!I4823,"AAAAADj7T4g=")</f>
        <v>#VALUE!</v>
      </c>
      <c r="EH215" t="e">
        <f>AND('STERLING CATALOG - DRY '!J4823,"AAAAADj7T4k=")</f>
        <v>#VALUE!</v>
      </c>
      <c r="EI215">
        <f>IF('STERLING CATALOG - DRY '!4824:4824,"AAAAADj7T4o=",0)</f>
        <v>0</v>
      </c>
      <c r="EJ215" t="e">
        <f>AND('STERLING CATALOG - DRY '!A4824,"AAAAADj7T4s=")</f>
        <v>#VALUE!</v>
      </c>
      <c r="EK215" t="e">
        <f>AND('STERLING CATALOG - DRY '!B4824,"AAAAADj7T4w=")</f>
        <v>#VALUE!</v>
      </c>
      <c r="EL215" t="e">
        <f>AND('STERLING CATALOG - DRY '!C4824,"AAAAADj7T40=")</f>
        <v>#VALUE!</v>
      </c>
      <c r="EM215" t="e">
        <f>AND('STERLING CATALOG - DRY '!D4824,"AAAAADj7T44=")</f>
        <v>#VALUE!</v>
      </c>
      <c r="EN215" t="e">
        <f>AND('STERLING CATALOG - DRY '!E4824,"AAAAADj7T48=")</f>
        <v>#VALUE!</v>
      </c>
      <c r="EO215" t="e">
        <f>AND('STERLING CATALOG - DRY '!F4824,"AAAAADj7T5A=")</f>
        <v>#VALUE!</v>
      </c>
      <c r="EP215" t="e">
        <f>AND('STERLING CATALOG - DRY '!G4824,"AAAAADj7T5E=")</f>
        <v>#VALUE!</v>
      </c>
      <c r="EQ215" t="e">
        <f>AND('STERLING CATALOG - DRY '!H4824,"AAAAADj7T5I=")</f>
        <v>#VALUE!</v>
      </c>
      <c r="ER215" t="e">
        <f>AND('STERLING CATALOG - DRY '!I4824,"AAAAADj7T5M=")</f>
        <v>#VALUE!</v>
      </c>
      <c r="ES215" t="e">
        <f>AND('STERLING CATALOG - DRY '!J4824,"AAAAADj7T5Q=")</f>
        <v>#VALUE!</v>
      </c>
      <c r="ET215">
        <f>IF('STERLING CATALOG - DRY '!4825:4825,"AAAAADj7T5U=",0)</f>
        <v>0</v>
      </c>
      <c r="EU215" t="e">
        <f>AND('STERLING CATALOG - DRY '!A4825,"AAAAADj7T5Y=")</f>
        <v>#VALUE!</v>
      </c>
      <c r="EV215" t="e">
        <f>AND('STERLING CATALOG - DRY '!B4825,"AAAAADj7T5c=")</f>
        <v>#VALUE!</v>
      </c>
      <c r="EW215" t="e">
        <f>AND('STERLING CATALOG - DRY '!C4825,"AAAAADj7T5g=")</f>
        <v>#VALUE!</v>
      </c>
      <c r="EX215" t="e">
        <f>AND('STERLING CATALOG - DRY '!D4825,"AAAAADj7T5k=")</f>
        <v>#VALUE!</v>
      </c>
      <c r="EY215" t="e">
        <f>AND('STERLING CATALOG - DRY '!E4825,"AAAAADj7T5o=")</f>
        <v>#VALUE!</v>
      </c>
      <c r="EZ215" t="e">
        <f>AND('STERLING CATALOG - DRY '!F4825,"AAAAADj7T5s=")</f>
        <v>#VALUE!</v>
      </c>
      <c r="FA215" t="e">
        <f>AND('STERLING CATALOG - DRY '!G4825,"AAAAADj7T5w=")</f>
        <v>#VALUE!</v>
      </c>
      <c r="FB215" t="e">
        <f>AND('STERLING CATALOG - DRY '!H4825,"AAAAADj7T50=")</f>
        <v>#VALUE!</v>
      </c>
      <c r="FC215" t="e">
        <f>AND('STERLING CATALOG - DRY '!I4825,"AAAAADj7T54=")</f>
        <v>#VALUE!</v>
      </c>
      <c r="FD215" t="e">
        <f>AND('STERLING CATALOG - DRY '!J4825,"AAAAADj7T58=")</f>
        <v>#VALUE!</v>
      </c>
      <c r="FE215">
        <f>IF('STERLING CATALOG - DRY '!4826:4826,"AAAAADj7T6A=",0)</f>
        <v>0</v>
      </c>
      <c r="FF215" t="e">
        <f>AND('STERLING CATALOG - DRY '!A4826,"AAAAADj7T6E=")</f>
        <v>#VALUE!</v>
      </c>
      <c r="FG215" t="e">
        <f>AND('STERLING CATALOG - DRY '!B4826,"AAAAADj7T6I=")</f>
        <v>#VALUE!</v>
      </c>
      <c r="FH215" t="e">
        <f>AND('STERLING CATALOG - DRY '!C4826,"AAAAADj7T6M=")</f>
        <v>#VALUE!</v>
      </c>
      <c r="FI215" t="e">
        <f>AND('STERLING CATALOG - DRY '!D4826,"AAAAADj7T6Q=")</f>
        <v>#VALUE!</v>
      </c>
      <c r="FJ215" t="e">
        <f>AND('STERLING CATALOG - DRY '!E4826,"AAAAADj7T6U=")</f>
        <v>#VALUE!</v>
      </c>
      <c r="FK215" t="e">
        <f>AND('STERLING CATALOG - DRY '!F4826,"AAAAADj7T6Y=")</f>
        <v>#VALUE!</v>
      </c>
      <c r="FL215" t="e">
        <f>AND('STERLING CATALOG - DRY '!G4826,"AAAAADj7T6c=")</f>
        <v>#VALUE!</v>
      </c>
      <c r="FM215" t="e">
        <f>AND('STERLING CATALOG - DRY '!H4826,"AAAAADj7T6g=")</f>
        <v>#VALUE!</v>
      </c>
      <c r="FN215" t="e">
        <f>AND('STERLING CATALOG - DRY '!I4826,"AAAAADj7T6k=")</f>
        <v>#VALUE!</v>
      </c>
      <c r="FO215" t="e">
        <f>AND('STERLING CATALOG - DRY '!J4826,"AAAAADj7T6o=")</f>
        <v>#VALUE!</v>
      </c>
      <c r="FP215">
        <f>IF('STERLING CATALOG - DRY '!4827:4827,"AAAAADj7T6s=",0)</f>
        <v>0</v>
      </c>
      <c r="FQ215" t="e">
        <f>AND('STERLING CATALOG - DRY '!A4827,"AAAAADj7T6w=")</f>
        <v>#VALUE!</v>
      </c>
      <c r="FR215" t="e">
        <f>AND('STERLING CATALOG - DRY '!B4827,"AAAAADj7T60=")</f>
        <v>#VALUE!</v>
      </c>
      <c r="FS215" t="e">
        <f>AND('STERLING CATALOG - DRY '!C4827,"AAAAADj7T64=")</f>
        <v>#VALUE!</v>
      </c>
      <c r="FT215" t="e">
        <f>AND('STERLING CATALOG - DRY '!D4827,"AAAAADj7T68=")</f>
        <v>#VALUE!</v>
      </c>
      <c r="FU215" t="e">
        <f>AND('STERLING CATALOG - DRY '!E4827,"AAAAADj7T7A=")</f>
        <v>#VALUE!</v>
      </c>
      <c r="FV215" t="e">
        <f>AND('STERLING CATALOG - DRY '!F4827,"AAAAADj7T7E=")</f>
        <v>#VALUE!</v>
      </c>
      <c r="FW215" t="e">
        <f>AND('STERLING CATALOG - DRY '!G4827,"AAAAADj7T7I=")</f>
        <v>#VALUE!</v>
      </c>
      <c r="FX215" t="e">
        <f>AND('STERLING CATALOG - DRY '!H4827,"AAAAADj7T7M=")</f>
        <v>#VALUE!</v>
      </c>
      <c r="FY215" t="e">
        <f>AND('STERLING CATALOG - DRY '!I4827,"AAAAADj7T7Q=")</f>
        <v>#VALUE!</v>
      </c>
      <c r="FZ215" t="e">
        <f>AND('STERLING CATALOG - DRY '!J4827,"AAAAADj7T7U=")</f>
        <v>#VALUE!</v>
      </c>
      <c r="GA215">
        <f>IF('STERLING CATALOG - DRY '!4828:4828,"AAAAADj7T7Y=",0)</f>
        <v>0</v>
      </c>
      <c r="GB215" t="e">
        <f>AND('STERLING CATALOG - DRY '!A4828,"AAAAADj7T7c=")</f>
        <v>#VALUE!</v>
      </c>
      <c r="GC215" t="e">
        <f>AND('STERLING CATALOG - DRY '!B4828,"AAAAADj7T7g=")</f>
        <v>#VALUE!</v>
      </c>
      <c r="GD215" t="e">
        <f>AND('STERLING CATALOG - DRY '!C4828,"AAAAADj7T7k=")</f>
        <v>#VALUE!</v>
      </c>
      <c r="GE215" t="e">
        <f>AND('STERLING CATALOG - DRY '!D4828,"AAAAADj7T7o=")</f>
        <v>#VALUE!</v>
      </c>
      <c r="GF215" t="e">
        <f>AND('STERLING CATALOG - DRY '!E4828,"AAAAADj7T7s=")</f>
        <v>#VALUE!</v>
      </c>
      <c r="GG215" t="e">
        <f>AND('STERLING CATALOG - DRY '!F4828,"AAAAADj7T7w=")</f>
        <v>#VALUE!</v>
      </c>
      <c r="GH215" t="e">
        <f>AND('STERLING CATALOG - DRY '!G4828,"AAAAADj7T70=")</f>
        <v>#VALUE!</v>
      </c>
      <c r="GI215" t="e">
        <f>AND('STERLING CATALOG - DRY '!H4828,"AAAAADj7T74=")</f>
        <v>#VALUE!</v>
      </c>
      <c r="GJ215" t="e">
        <f>AND('STERLING CATALOG - DRY '!I4828,"AAAAADj7T78=")</f>
        <v>#VALUE!</v>
      </c>
      <c r="GK215" t="e">
        <f>AND('STERLING CATALOG - DRY '!J4828,"AAAAADj7T8A=")</f>
        <v>#VALUE!</v>
      </c>
      <c r="GL215">
        <f>IF('STERLING CATALOG - DRY '!4829:4829,"AAAAADj7T8E=",0)</f>
        <v>0</v>
      </c>
      <c r="GM215" t="e">
        <f>AND('STERLING CATALOG - DRY '!A4829,"AAAAADj7T8I=")</f>
        <v>#VALUE!</v>
      </c>
      <c r="GN215" t="e">
        <f>AND('STERLING CATALOG - DRY '!B4829,"AAAAADj7T8M=")</f>
        <v>#VALUE!</v>
      </c>
      <c r="GO215" t="e">
        <f>AND('STERLING CATALOG - DRY '!C4829,"AAAAADj7T8Q=")</f>
        <v>#VALUE!</v>
      </c>
      <c r="GP215" t="e">
        <f>AND('STERLING CATALOG - DRY '!D4829,"AAAAADj7T8U=")</f>
        <v>#VALUE!</v>
      </c>
      <c r="GQ215" t="e">
        <f>AND('STERLING CATALOG - DRY '!E4829,"AAAAADj7T8Y=")</f>
        <v>#VALUE!</v>
      </c>
      <c r="GR215" t="e">
        <f>AND('STERLING CATALOG - DRY '!F4829,"AAAAADj7T8c=")</f>
        <v>#VALUE!</v>
      </c>
      <c r="GS215" t="e">
        <f>AND('STERLING CATALOG - DRY '!G4829,"AAAAADj7T8g=")</f>
        <v>#VALUE!</v>
      </c>
      <c r="GT215" t="e">
        <f>AND('STERLING CATALOG - DRY '!H4829,"AAAAADj7T8k=")</f>
        <v>#VALUE!</v>
      </c>
      <c r="GU215" t="e">
        <f>AND('STERLING CATALOG - DRY '!I4829,"AAAAADj7T8o=")</f>
        <v>#VALUE!</v>
      </c>
      <c r="GV215" t="e">
        <f>AND('STERLING CATALOG - DRY '!J4829,"AAAAADj7T8s=")</f>
        <v>#VALUE!</v>
      </c>
      <c r="GW215">
        <f>IF('STERLING CATALOG - DRY '!4830:4830,"AAAAADj7T8w=",0)</f>
        <v>0</v>
      </c>
      <c r="GX215" t="e">
        <f>AND('STERLING CATALOG - DRY '!A4830,"AAAAADj7T80=")</f>
        <v>#VALUE!</v>
      </c>
      <c r="GY215" t="e">
        <f>AND('STERLING CATALOG - DRY '!B4830,"AAAAADj7T84=")</f>
        <v>#VALUE!</v>
      </c>
      <c r="GZ215" t="e">
        <f>AND('STERLING CATALOG - DRY '!C4830,"AAAAADj7T88=")</f>
        <v>#VALUE!</v>
      </c>
      <c r="HA215" t="e">
        <f>AND('STERLING CATALOG - DRY '!D4830,"AAAAADj7T9A=")</f>
        <v>#VALUE!</v>
      </c>
      <c r="HB215" t="e">
        <f>AND('STERLING CATALOG - DRY '!E4830,"AAAAADj7T9E=")</f>
        <v>#VALUE!</v>
      </c>
      <c r="HC215" t="e">
        <f>AND('STERLING CATALOG - DRY '!F4830,"AAAAADj7T9I=")</f>
        <v>#VALUE!</v>
      </c>
      <c r="HD215" t="e">
        <f>AND('STERLING CATALOG - DRY '!G4830,"AAAAADj7T9M=")</f>
        <v>#VALUE!</v>
      </c>
      <c r="HE215" t="e">
        <f>AND('STERLING CATALOG - DRY '!H4830,"AAAAADj7T9Q=")</f>
        <v>#VALUE!</v>
      </c>
      <c r="HF215" t="e">
        <f>AND('STERLING CATALOG - DRY '!I4830,"AAAAADj7T9U=")</f>
        <v>#VALUE!</v>
      </c>
      <c r="HG215" t="e">
        <f>AND('STERLING CATALOG - DRY '!J4830,"AAAAADj7T9Y=")</f>
        <v>#VALUE!</v>
      </c>
      <c r="HH215">
        <f>IF('STERLING CATALOG - DRY '!4831:4831,"AAAAADj7T9c=",0)</f>
        <v>0</v>
      </c>
      <c r="HI215" t="e">
        <f>AND('STERLING CATALOG - DRY '!A4831,"AAAAADj7T9g=")</f>
        <v>#VALUE!</v>
      </c>
      <c r="HJ215" t="e">
        <f>AND('STERLING CATALOG - DRY '!B4831,"AAAAADj7T9k=")</f>
        <v>#VALUE!</v>
      </c>
      <c r="HK215" t="e">
        <f>AND('STERLING CATALOG - DRY '!C4831,"AAAAADj7T9o=")</f>
        <v>#VALUE!</v>
      </c>
      <c r="HL215" t="e">
        <f>AND('STERLING CATALOG - DRY '!D4831,"AAAAADj7T9s=")</f>
        <v>#VALUE!</v>
      </c>
      <c r="HM215" t="e">
        <f>AND('STERLING CATALOG - DRY '!E4831,"AAAAADj7T9w=")</f>
        <v>#VALUE!</v>
      </c>
      <c r="HN215" t="e">
        <f>AND('STERLING CATALOG - DRY '!F4831,"AAAAADj7T90=")</f>
        <v>#VALUE!</v>
      </c>
      <c r="HO215" t="e">
        <f>AND('STERLING CATALOG - DRY '!G4831,"AAAAADj7T94=")</f>
        <v>#VALUE!</v>
      </c>
      <c r="HP215" t="e">
        <f>AND('STERLING CATALOG - DRY '!H4831,"AAAAADj7T98=")</f>
        <v>#VALUE!</v>
      </c>
      <c r="HQ215" t="e">
        <f>AND('STERLING CATALOG - DRY '!I4831,"AAAAADj7T+A=")</f>
        <v>#VALUE!</v>
      </c>
      <c r="HR215" t="e">
        <f>AND('STERLING CATALOG - DRY '!J4831,"AAAAADj7T+E=")</f>
        <v>#VALUE!</v>
      </c>
      <c r="HS215">
        <f>IF('STERLING CATALOG - DRY '!4832:4832,"AAAAADj7T+I=",0)</f>
        <v>0</v>
      </c>
      <c r="HT215" t="e">
        <f>AND('STERLING CATALOG - DRY '!A4832,"AAAAADj7T+M=")</f>
        <v>#VALUE!</v>
      </c>
      <c r="HU215" t="e">
        <f>AND('STERLING CATALOG - DRY '!B4832,"AAAAADj7T+Q=")</f>
        <v>#VALUE!</v>
      </c>
      <c r="HV215" t="e">
        <f>AND('STERLING CATALOG - DRY '!C4832,"AAAAADj7T+U=")</f>
        <v>#VALUE!</v>
      </c>
      <c r="HW215" t="e">
        <f>AND('STERLING CATALOG - DRY '!D4832,"AAAAADj7T+Y=")</f>
        <v>#VALUE!</v>
      </c>
      <c r="HX215" t="e">
        <f>AND('STERLING CATALOG - DRY '!E4832,"AAAAADj7T+c=")</f>
        <v>#VALUE!</v>
      </c>
      <c r="HY215" t="e">
        <f>AND('STERLING CATALOG - DRY '!F4832,"AAAAADj7T+g=")</f>
        <v>#VALUE!</v>
      </c>
      <c r="HZ215" t="e">
        <f>AND('STERLING CATALOG - DRY '!G4832,"AAAAADj7T+k=")</f>
        <v>#VALUE!</v>
      </c>
      <c r="IA215" t="e">
        <f>AND('STERLING CATALOG - DRY '!H4832,"AAAAADj7T+o=")</f>
        <v>#VALUE!</v>
      </c>
      <c r="IB215" t="e">
        <f>AND('STERLING CATALOG - DRY '!I4832,"AAAAADj7T+s=")</f>
        <v>#VALUE!</v>
      </c>
      <c r="IC215" t="e">
        <f>AND('STERLING CATALOG - DRY '!J4832,"AAAAADj7T+w=")</f>
        <v>#VALUE!</v>
      </c>
      <c r="ID215">
        <f>IF('STERLING CATALOG - DRY '!4833:4833,"AAAAADj7T+0=",0)</f>
        <v>0</v>
      </c>
      <c r="IE215" t="e">
        <f>AND('STERLING CATALOG - DRY '!A4833,"AAAAADj7T+4=")</f>
        <v>#VALUE!</v>
      </c>
      <c r="IF215" t="e">
        <f>AND('STERLING CATALOG - DRY '!B4833,"AAAAADj7T+8=")</f>
        <v>#VALUE!</v>
      </c>
      <c r="IG215" t="e">
        <f>AND('STERLING CATALOG - DRY '!C4833,"AAAAADj7T/A=")</f>
        <v>#VALUE!</v>
      </c>
      <c r="IH215" t="e">
        <f>AND('STERLING CATALOG - DRY '!D4833,"AAAAADj7T/E=")</f>
        <v>#VALUE!</v>
      </c>
      <c r="II215" t="e">
        <f>AND('STERLING CATALOG - DRY '!E4833,"AAAAADj7T/I=")</f>
        <v>#VALUE!</v>
      </c>
      <c r="IJ215" t="e">
        <f>AND('STERLING CATALOG - DRY '!F4833,"AAAAADj7T/M=")</f>
        <v>#VALUE!</v>
      </c>
      <c r="IK215" t="e">
        <f>AND('STERLING CATALOG - DRY '!G4833,"AAAAADj7T/Q=")</f>
        <v>#VALUE!</v>
      </c>
      <c r="IL215" t="e">
        <f>AND('STERLING CATALOG - DRY '!H4833,"AAAAADj7T/U=")</f>
        <v>#VALUE!</v>
      </c>
      <c r="IM215" t="e">
        <f>AND('STERLING CATALOG - DRY '!I4833,"AAAAADj7T/Y=")</f>
        <v>#VALUE!</v>
      </c>
      <c r="IN215" t="e">
        <f>AND('STERLING CATALOG - DRY '!J4833,"AAAAADj7T/c=")</f>
        <v>#VALUE!</v>
      </c>
      <c r="IO215">
        <f>IF('STERLING CATALOG - DRY '!4834:4834,"AAAAADj7T/g=",0)</f>
        <v>0</v>
      </c>
      <c r="IP215" t="e">
        <f>AND('STERLING CATALOG - DRY '!A4834,"AAAAADj7T/k=")</f>
        <v>#VALUE!</v>
      </c>
      <c r="IQ215" t="e">
        <f>AND('STERLING CATALOG - DRY '!B4834,"AAAAADj7T/o=")</f>
        <v>#VALUE!</v>
      </c>
      <c r="IR215" t="e">
        <f>AND('STERLING CATALOG - DRY '!C4834,"AAAAADj7T/s=")</f>
        <v>#VALUE!</v>
      </c>
      <c r="IS215" t="e">
        <f>AND('STERLING CATALOG - DRY '!D4834,"AAAAADj7T/w=")</f>
        <v>#VALUE!</v>
      </c>
      <c r="IT215" t="e">
        <f>AND('STERLING CATALOG - DRY '!E4834,"AAAAADj7T/0=")</f>
        <v>#VALUE!</v>
      </c>
      <c r="IU215" t="e">
        <f>AND('STERLING CATALOG - DRY '!F4834,"AAAAADj7T/4=")</f>
        <v>#VALUE!</v>
      </c>
      <c r="IV215" t="e">
        <f>AND('STERLING CATALOG - DRY '!G4834,"AAAAADj7T/8=")</f>
        <v>#VALUE!</v>
      </c>
    </row>
    <row r="216" spans="1:256">
      <c r="A216" t="e">
        <f>AND('STERLING CATALOG - DRY '!H4834,"AAAAAHnt/wA=")</f>
        <v>#VALUE!</v>
      </c>
      <c r="B216" t="e">
        <f>AND('STERLING CATALOG - DRY '!I4834,"AAAAAHnt/wE=")</f>
        <v>#VALUE!</v>
      </c>
      <c r="C216" t="e">
        <f>AND('STERLING CATALOG - DRY '!J4834,"AAAAAHnt/wI=")</f>
        <v>#VALUE!</v>
      </c>
      <c r="D216" t="e">
        <f>IF('STERLING CATALOG - DRY '!4835:4835,"AAAAAHnt/wM=",0)</f>
        <v>#VALUE!</v>
      </c>
      <c r="E216" t="e">
        <f>AND('STERLING CATALOG - DRY '!A4835,"AAAAAHnt/wQ=")</f>
        <v>#VALUE!</v>
      </c>
      <c r="F216" t="e">
        <f>AND('STERLING CATALOG - DRY '!B4835,"AAAAAHnt/wU=")</f>
        <v>#VALUE!</v>
      </c>
      <c r="G216" t="e">
        <f>AND('STERLING CATALOG - DRY '!C4835,"AAAAAHnt/wY=")</f>
        <v>#VALUE!</v>
      </c>
      <c r="H216" t="e">
        <f>AND('STERLING CATALOG - DRY '!D4835,"AAAAAHnt/wc=")</f>
        <v>#VALUE!</v>
      </c>
      <c r="I216" t="e">
        <f>AND('STERLING CATALOG - DRY '!E4835,"AAAAAHnt/wg=")</f>
        <v>#VALUE!</v>
      </c>
      <c r="J216" t="e">
        <f>AND('STERLING CATALOG - DRY '!F4835,"AAAAAHnt/wk=")</f>
        <v>#VALUE!</v>
      </c>
      <c r="K216" t="e">
        <f>AND('STERLING CATALOG - DRY '!G4835,"AAAAAHnt/wo=")</f>
        <v>#VALUE!</v>
      </c>
      <c r="L216" t="e">
        <f>AND('STERLING CATALOG - DRY '!H4835,"AAAAAHnt/ws=")</f>
        <v>#VALUE!</v>
      </c>
      <c r="M216" t="e">
        <f>AND('STERLING CATALOG - DRY '!I4835,"AAAAAHnt/ww=")</f>
        <v>#VALUE!</v>
      </c>
      <c r="N216" t="e">
        <f>AND('STERLING CATALOG - DRY '!J4835,"AAAAAHnt/w0=")</f>
        <v>#VALUE!</v>
      </c>
      <c r="O216">
        <f>IF('STERLING CATALOG - DRY '!4836:4836,"AAAAAHnt/w4=",0)</f>
        <v>0</v>
      </c>
      <c r="P216" t="e">
        <f>AND('STERLING CATALOG - DRY '!A4836,"AAAAAHnt/w8=")</f>
        <v>#VALUE!</v>
      </c>
      <c r="Q216" t="e">
        <f>AND('STERLING CATALOG - DRY '!B4836,"AAAAAHnt/xA=")</f>
        <v>#VALUE!</v>
      </c>
      <c r="R216" t="e">
        <f>AND('STERLING CATALOG - DRY '!C4836,"AAAAAHnt/xE=")</f>
        <v>#VALUE!</v>
      </c>
      <c r="S216" t="e">
        <f>AND('STERLING CATALOG - DRY '!D4836,"AAAAAHnt/xI=")</f>
        <v>#VALUE!</v>
      </c>
      <c r="T216" t="e">
        <f>AND('STERLING CATALOG - DRY '!E4836,"AAAAAHnt/xM=")</f>
        <v>#VALUE!</v>
      </c>
      <c r="U216" t="e">
        <f>AND('STERLING CATALOG - DRY '!F4836,"AAAAAHnt/xQ=")</f>
        <v>#VALUE!</v>
      </c>
      <c r="V216" t="e">
        <f>AND('STERLING CATALOG - DRY '!G4836,"AAAAAHnt/xU=")</f>
        <v>#VALUE!</v>
      </c>
      <c r="W216" t="e">
        <f>AND('STERLING CATALOG - DRY '!H4836,"AAAAAHnt/xY=")</f>
        <v>#VALUE!</v>
      </c>
      <c r="X216" t="e">
        <f>AND('STERLING CATALOG - DRY '!I4836,"AAAAAHnt/xc=")</f>
        <v>#VALUE!</v>
      </c>
      <c r="Y216" t="e">
        <f>AND('STERLING CATALOG - DRY '!J4836,"AAAAAHnt/xg=")</f>
        <v>#VALUE!</v>
      </c>
      <c r="Z216">
        <f>IF('STERLING CATALOG - DRY '!4837:4837,"AAAAAHnt/xk=",0)</f>
        <v>0</v>
      </c>
      <c r="AA216" t="e">
        <f>AND('STERLING CATALOG - DRY '!A4837,"AAAAAHnt/xo=")</f>
        <v>#VALUE!</v>
      </c>
      <c r="AB216" t="e">
        <f>AND('STERLING CATALOG - DRY '!B4837,"AAAAAHnt/xs=")</f>
        <v>#VALUE!</v>
      </c>
      <c r="AC216" t="e">
        <f>AND('STERLING CATALOG - DRY '!C4837,"AAAAAHnt/xw=")</f>
        <v>#VALUE!</v>
      </c>
      <c r="AD216" t="e">
        <f>AND('STERLING CATALOG - DRY '!D4837,"AAAAAHnt/x0=")</f>
        <v>#VALUE!</v>
      </c>
      <c r="AE216" t="e">
        <f>AND('STERLING CATALOG - DRY '!E4837,"AAAAAHnt/x4=")</f>
        <v>#VALUE!</v>
      </c>
      <c r="AF216" t="e">
        <f>AND('STERLING CATALOG - DRY '!F4837,"AAAAAHnt/x8=")</f>
        <v>#VALUE!</v>
      </c>
      <c r="AG216" t="e">
        <f>AND('STERLING CATALOG - DRY '!G4837,"AAAAAHnt/yA=")</f>
        <v>#VALUE!</v>
      </c>
      <c r="AH216" t="e">
        <f>AND('STERLING CATALOG - DRY '!H4837,"AAAAAHnt/yE=")</f>
        <v>#VALUE!</v>
      </c>
      <c r="AI216" t="e">
        <f>AND('STERLING CATALOG - DRY '!I4837,"AAAAAHnt/yI=")</f>
        <v>#VALUE!</v>
      </c>
      <c r="AJ216" t="e">
        <f>AND('STERLING CATALOG - DRY '!J4837,"AAAAAHnt/yM=")</f>
        <v>#VALUE!</v>
      </c>
      <c r="AK216">
        <f>IF('STERLING CATALOG - DRY '!4838:4838,"AAAAAHnt/yQ=",0)</f>
        <v>0</v>
      </c>
      <c r="AL216" t="e">
        <f>AND('STERLING CATALOG - DRY '!A4838,"AAAAAHnt/yU=")</f>
        <v>#VALUE!</v>
      </c>
      <c r="AM216" t="e">
        <f>AND('STERLING CATALOG - DRY '!B4838,"AAAAAHnt/yY=")</f>
        <v>#VALUE!</v>
      </c>
      <c r="AN216" t="e">
        <f>AND('STERLING CATALOG - DRY '!C4838,"AAAAAHnt/yc=")</f>
        <v>#VALUE!</v>
      </c>
      <c r="AO216" t="e">
        <f>AND('STERLING CATALOG - DRY '!D4838,"AAAAAHnt/yg=")</f>
        <v>#VALUE!</v>
      </c>
      <c r="AP216" t="e">
        <f>AND('STERLING CATALOG - DRY '!E4838,"AAAAAHnt/yk=")</f>
        <v>#VALUE!</v>
      </c>
      <c r="AQ216" t="e">
        <f>AND('STERLING CATALOG - DRY '!F4838,"AAAAAHnt/yo=")</f>
        <v>#VALUE!</v>
      </c>
      <c r="AR216" t="e">
        <f>AND('STERLING CATALOG - DRY '!G4838,"AAAAAHnt/ys=")</f>
        <v>#VALUE!</v>
      </c>
      <c r="AS216" t="e">
        <f>AND('STERLING CATALOG - DRY '!H4838,"AAAAAHnt/yw=")</f>
        <v>#VALUE!</v>
      </c>
      <c r="AT216" t="e">
        <f>AND('STERLING CATALOG - DRY '!I4838,"AAAAAHnt/y0=")</f>
        <v>#VALUE!</v>
      </c>
      <c r="AU216" t="e">
        <f>AND('STERLING CATALOG - DRY '!J4838,"AAAAAHnt/y4=")</f>
        <v>#VALUE!</v>
      </c>
      <c r="AV216">
        <f>IF('STERLING CATALOG - DRY '!4839:4839,"AAAAAHnt/y8=",0)</f>
        <v>0</v>
      </c>
      <c r="AW216" t="e">
        <f>AND('STERLING CATALOG - DRY '!A4839,"AAAAAHnt/zA=")</f>
        <v>#VALUE!</v>
      </c>
      <c r="AX216" t="e">
        <f>AND('STERLING CATALOG - DRY '!B4839,"AAAAAHnt/zE=")</f>
        <v>#VALUE!</v>
      </c>
      <c r="AY216" t="e">
        <f>AND('STERLING CATALOG - DRY '!C4839,"AAAAAHnt/zI=")</f>
        <v>#VALUE!</v>
      </c>
      <c r="AZ216" t="e">
        <f>AND('STERLING CATALOG - DRY '!D4839,"AAAAAHnt/zM=")</f>
        <v>#VALUE!</v>
      </c>
      <c r="BA216" t="e">
        <f>AND('STERLING CATALOG - DRY '!E4839,"AAAAAHnt/zQ=")</f>
        <v>#VALUE!</v>
      </c>
      <c r="BB216" t="e">
        <f>AND('STERLING CATALOG - DRY '!F4839,"AAAAAHnt/zU=")</f>
        <v>#VALUE!</v>
      </c>
      <c r="BC216" t="e">
        <f>AND('STERLING CATALOG - DRY '!G4839,"AAAAAHnt/zY=")</f>
        <v>#VALUE!</v>
      </c>
      <c r="BD216" t="e">
        <f>AND('STERLING CATALOG - DRY '!H4839,"AAAAAHnt/zc=")</f>
        <v>#VALUE!</v>
      </c>
      <c r="BE216" t="e">
        <f>AND('STERLING CATALOG - DRY '!I4839,"AAAAAHnt/zg=")</f>
        <v>#VALUE!</v>
      </c>
      <c r="BF216" t="e">
        <f>AND('STERLING CATALOG - DRY '!J4839,"AAAAAHnt/zk=")</f>
        <v>#VALUE!</v>
      </c>
      <c r="BG216">
        <f>IF('STERLING CATALOG - DRY '!4840:4840,"AAAAAHnt/zo=",0)</f>
        <v>0</v>
      </c>
      <c r="BH216" t="e">
        <f>AND('STERLING CATALOG - DRY '!A4840,"AAAAAHnt/zs=")</f>
        <v>#VALUE!</v>
      </c>
      <c r="BI216" t="e">
        <f>AND('STERLING CATALOG - DRY '!B4840,"AAAAAHnt/zw=")</f>
        <v>#VALUE!</v>
      </c>
      <c r="BJ216" t="e">
        <f>AND('STERLING CATALOG - DRY '!C4840,"AAAAAHnt/z0=")</f>
        <v>#VALUE!</v>
      </c>
      <c r="BK216" t="e">
        <f>AND('STERLING CATALOG - DRY '!D4840,"AAAAAHnt/z4=")</f>
        <v>#VALUE!</v>
      </c>
      <c r="BL216" t="e">
        <f>AND('STERLING CATALOG - DRY '!E4840,"AAAAAHnt/z8=")</f>
        <v>#VALUE!</v>
      </c>
      <c r="BM216" t="e">
        <f>AND('STERLING CATALOG - DRY '!F4840,"AAAAAHnt/0A=")</f>
        <v>#VALUE!</v>
      </c>
      <c r="BN216" t="e">
        <f>AND('STERLING CATALOG - DRY '!G4840,"AAAAAHnt/0E=")</f>
        <v>#VALUE!</v>
      </c>
      <c r="BO216" t="e">
        <f>AND('STERLING CATALOG - DRY '!H4840,"AAAAAHnt/0I=")</f>
        <v>#VALUE!</v>
      </c>
      <c r="BP216" t="e">
        <f>AND('STERLING CATALOG - DRY '!I4840,"AAAAAHnt/0M=")</f>
        <v>#VALUE!</v>
      </c>
      <c r="BQ216" t="e">
        <f>AND('STERLING CATALOG - DRY '!J4840,"AAAAAHnt/0Q=")</f>
        <v>#VALUE!</v>
      </c>
      <c r="BR216">
        <f>IF('STERLING CATALOG - DRY '!4841:4841,"AAAAAHnt/0U=",0)</f>
        <v>0</v>
      </c>
      <c r="BS216" t="e">
        <f>AND('STERLING CATALOG - DRY '!A4841,"AAAAAHnt/0Y=")</f>
        <v>#VALUE!</v>
      </c>
      <c r="BT216" t="e">
        <f>AND('STERLING CATALOG - DRY '!B4841,"AAAAAHnt/0c=")</f>
        <v>#VALUE!</v>
      </c>
      <c r="BU216" t="e">
        <f>AND('STERLING CATALOG - DRY '!C4841,"AAAAAHnt/0g=")</f>
        <v>#VALUE!</v>
      </c>
      <c r="BV216" t="e">
        <f>AND('STERLING CATALOG - DRY '!D4841,"AAAAAHnt/0k=")</f>
        <v>#VALUE!</v>
      </c>
      <c r="BW216" t="e">
        <f>AND('STERLING CATALOG - DRY '!E4841,"AAAAAHnt/0o=")</f>
        <v>#VALUE!</v>
      </c>
      <c r="BX216" t="e">
        <f>AND('STERLING CATALOG - DRY '!F4841,"AAAAAHnt/0s=")</f>
        <v>#VALUE!</v>
      </c>
      <c r="BY216" t="e">
        <f>AND('STERLING CATALOG - DRY '!G4841,"AAAAAHnt/0w=")</f>
        <v>#VALUE!</v>
      </c>
      <c r="BZ216" t="e">
        <f>AND('STERLING CATALOG - DRY '!H4841,"AAAAAHnt/00=")</f>
        <v>#VALUE!</v>
      </c>
      <c r="CA216" t="e">
        <f>AND('STERLING CATALOG - DRY '!I4841,"AAAAAHnt/04=")</f>
        <v>#VALUE!</v>
      </c>
      <c r="CB216" t="e">
        <f>AND('STERLING CATALOG - DRY '!J4841,"AAAAAHnt/08=")</f>
        <v>#VALUE!</v>
      </c>
      <c r="CC216">
        <f>IF('STERLING CATALOG - DRY '!4842:4842,"AAAAAHnt/1A=",0)</f>
        <v>0</v>
      </c>
      <c r="CD216" t="e">
        <f>AND('STERLING CATALOG - DRY '!A4842,"AAAAAHnt/1E=")</f>
        <v>#VALUE!</v>
      </c>
      <c r="CE216" t="e">
        <f>AND('STERLING CATALOG - DRY '!B4842,"AAAAAHnt/1I=")</f>
        <v>#VALUE!</v>
      </c>
      <c r="CF216" t="e">
        <f>AND('STERLING CATALOG - DRY '!C4842,"AAAAAHnt/1M=")</f>
        <v>#VALUE!</v>
      </c>
      <c r="CG216" t="e">
        <f>AND('STERLING CATALOG - DRY '!D4842,"AAAAAHnt/1Q=")</f>
        <v>#VALUE!</v>
      </c>
      <c r="CH216" t="e">
        <f>AND('STERLING CATALOG - DRY '!E4842,"AAAAAHnt/1U=")</f>
        <v>#VALUE!</v>
      </c>
      <c r="CI216" t="e">
        <f>AND('STERLING CATALOG - DRY '!F4842,"AAAAAHnt/1Y=")</f>
        <v>#VALUE!</v>
      </c>
      <c r="CJ216" t="e">
        <f>AND('STERLING CATALOG - DRY '!G4842,"AAAAAHnt/1c=")</f>
        <v>#VALUE!</v>
      </c>
      <c r="CK216" t="e">
        <f>AND('STERLING CATALOG - DRY '!H4842,"AAAAAHnt/1g=")</f>
        <v>#VALUE!</v>
      </c>
      <c r="CL216" t="e">
        <f>AND('STERLING CATALOG - DRY '!I4842,"AAAAAHnt/1k=")</f>
        <v>#VALUE!</v>
      </c>
      <c r="CM216" t="e">
        <f>AND('STERLING CATALOG - DRY '!J4842,"AAAAAHnt/1o=")</f>
        <v>#VALUE!</v>
      </c>
      <c r="CN216">
        <f>IF('STERLING CATALOG - DRY '!4843:4843,"AAAAAHnt/1s=",0)</f>
        <v>0</v>
      </c>
      <c r="CO216" t="e">
        <f>AND('STERLING CATALOG - DRY '!A4843,"AAAAAHnt/1w=")</f>
        <v>#VALUE!</v>
      </c>
      <c r="CP216" t="e">
        <f>AND('STERLING CATALOG - DRY '!B4843,"AAAAAHnt/10=")</f>
        <v>#VALUE!</v>
      </c>
      <c r="CQ216" t="e">
        <f>AND('STERLING CATALOG - DRY '!C4843,"AAAAAHnt/14=")</f>
        <v>#VALUE!</v>
      </c>
      <c r="CR216" t="e">
        <f>AND('STERLING CATALOG - DRY '!D4843,"AAAAAHnt/18=")</f>
        <v>#VALUE!</v>
      </c>
      <c r="CS216" t="e">
        <f>AND('STERLING CATALOG - DRY '!E4843,"AAAAAHnt/2A=")</f>
        <v>#VALUE!</v>
      </c>
      <c r="CT216" t="e">
        <f>AND('STERLING CATALOG - DRY '!F4843,"AAAAAHnt/2E=")</f>
        <v>#VALUE!</v>
      </c>
      <c r="CU216" t="e">
        <f>AND('STERLING CATALOG - DRY '!G4843,"AAAAAHnt/2I=")</f>
        <v>#VALUE!</v>
      </c>
      <c r="CV216" t="e">
        <f>AND('STERLING CATALOG - DRY '!H4843,"AAAAAHnt/2M=")</f>
        <v>#VALUE!</v>
      </c>
      <c r="CW216" t="e">
        <f>AND('STERLING CATALOG - DRY '!I4843,"AAAAAHnt/2Q=")</f>
        <v>#VALUE!</v>
      </c>
      <c r="CX216" t="e">
        <f>AND('STERLING CATALOG - DRY '!J4843,"AAAAAHnt/2U=")</f>
        <v>#VALUE!</v>
      </c>
      <c r="CY216">
        <f>IF('STERLING CATALOG - DRY '!4844:4844,"AAAAAHnt/2Y=",0)</f>
        <v>0</v>
      </c>
      <c r="CZ216" t="e">
        <f>AND('STERLING CATALOG - DRY '!A4844,"AAAAAHnt/2c=")</f>
        <v>#VALUE!</v>
      </c>
      <c r="DA216" t="e">
        <f>AND('STERLING CATALOG - DRY '!B4844,"AAAAAHnt/2g=")</f>
        <v>#VALUE!</v>
      </c>
      <c r="DB216" t="e">
        <f>AND('STERLING CATALOG - DRY '!C4844,"AAAAAHnt/2k=")</f>
        <v>#VALUE!</v>
      </c>
      <c r="DC216" t="e">
        <f>AND('STERLING CATALOG - DRY '!D4844,"AAAAAHnt/2o=")</f>
        <v>#VALUE!</v>
      </c>
      <c r="DD216" t="e">
        <f>AND('STERLING CATALOG - DRY '!E4844,"AAAAAHnt/2s=")</f>
        <v>#VALUE!</v>
      </c>
      <c r="DE216" t="e">
        <f>AND('STERLING CATALOG - DRY '!F4844,"AAAAAHnt/2w=")</f>
        <v>#VALUE!</v>
      </c>
      <c r="DF216" t="e">
        <f>AND('STERLING CATALOG - DRY '!G4844,"AAAAAHnt/20=")</f>
        <v>#VALUE!</v>
      </c>
      <c r="DG216" t="e">
        <f>AND('STERLING CATALOG - DRY '!H4844,"AAAAAHnt/24=")</f>
        <v>#VALUE!</v>
      </c>
      <c r="DH216" t="e">
        <f>AND('STERLING CATALOG - DRY '!I4844,"AAAAAHnt/28=")</f>
        <v>#VALUE!</v>
      </c>
      <c r="DI216" t="e">
        <f>AND('STERLING CATALOG - DRY '!J4844,"AAAAAHnt/3A=")</f>
        <v>#VALUE!</v>
      </c>
      <c r="DJ216">
        <f>IF('STERLING CATALOG - DRY '!4845:4845,"AAAAAHnt/3E=",0)</f>
        <v>0</v>
      </c>
      <c r="DK216" t="e">
        <f>AND('STERLING CATALOG - DRY '!A4845,"AAAAAHnt/3I=")</f>
        <v>#VALUE!</v>
      </c>
      <c r="DL216" t="e">
        <f>AND('STERLING CATALOG - DRY '!B4845,"AAAAAHnt/3M=")</f>
        <v>#VALUE!</v>
      </c>
      <c r="DM216" t="e">
        <f>AND('STERLING CATALOG - DRY '!C4845,"AAAAAHnt/3Q=")</f>
        <v>#VALUE!</v>
      </c>
      <c r="DN216" t="e">
        <f>AND('STERLING CATALOG - DRY '!D4845,"AAAAAHnt/3U=")</f>
        <v>#VALUE!</v>
      </c>
      <c r="DO216" t="e">
        <f>AND('STERLING CATALOG - DRY '!E4845,"AAAAAHnt/3Y=")</f>
        <v>#VALUE!</v>
      </c>
      <c r="DP216" t="e">
        <f>AND('STERLING CATALOG - DRY '!F4845,"AAAAAHnt/3c=")</f>
        <v>#VALUE!</v>
      </c>
      <c r="DQ216" t="e">
        <f>AND('STERLING CATALOG - DRY '!G4845,"AAAAAHnt/3g=")</f>
        <v>#VALUE!</v>
      </c>
      <c r="DR216" t="e">
        <f>AND('STERLING CATALOG - DRY '!H4845,"AAAAAHnt/3k=")</f>
        <v>#VALUE!</v>
      </c>
      <c r="DS216" t="e">
        <f>AND('STERLING CATALOG - DRY '!I4845,"AAAAAHnt/3o=")</f>
        <v>#VALUE!</v>
      </c>
      <c r="DT216" t="e">
        <f>AND('STERLING CATALOG - DRY '!J4845,"AAAAAHnt/3s=")</f>
        <v>#VALUE!</v>
      </c>
      <c r="DU216">
        <f>IF('STERLING CATALOG - DRY '!4846:4846,"AAAAAHnt/3w=",0)</f>
        <v>0</v>
      </c>
      <c r="DV216" t="e">
        <f>AND('STERLING CATALOG - DRY '!A4846,"AAAAAHnt/30=")</f>
        <v>#VALUE!</v>
      </c>
      <c r="DW216" t="e">
        <f>AND('STERLING CATALOG - DRY '!B4846,"AAAAAHnt/34=")</f>
        <v>#VALUE!</v>
      </c>
      <c r="DX216" t="e">
        <f>AND('STERLING CATALOG - DRY '!C4846,"AAAAAHnt/38=")</f>
        <v>#VALUE!</v>
      </c>
      <c r="DY216" t="e">
        <f>AND('STERLING CATALOG - DRY '!D4846,"AAAAAHnt/4A=")</f>
        <v>#VALUE!</v>
      </c>
      <c r="DZ216" t="e">
        <f>AND('STERLING CATALOG - DRY '!E4846,"AAAAAHnt/4E=")</f>
        <v>#VALUE!</v>
      </c>
      <c r="EA216" t="e">
        <f>AND('STERLING CATALOG - DRY '!F4846,"AAAAAHnt/4I=")</f>
        <v>#VALUE!</v>
      </c>
      <c r="EB216" t="e">
        <f>AND('STERLING CATALOG - DRY '!G4846,"AAAAAHnt/4M=")</f>
        <v>#VALUE!</v>
      </c>
      <c r="EC216" t="e">
        <f>AND('STERLING CATALOG - DRY '!H4846,"AAAAAHnt/4Q=")</f>
        <v>#VALUE!</v>
      </c>
      <c r="ED216" t="e">
        <f>AND('STERLING CATALOG - DRY '!I4846,"AAAAAHnt/4U=")</f>
        <v>#VALUE!</v>
      </c>
      <c r="EE216" t="e">
        <f>AND('STERLING CATALOG - DRY '!J4846,"AAAAAHnt/4Y=")</f>
        <v>#VALUE!</v>
      </c>
      <c r="EF216">
        <f>IF('STERLING CATALOG - DRY '!4847:4847,"AAAAAHnt/4c=",0)</f>
        <v>0</v>
      </c>
      <c r="EG216" t="e">
        <f>AND('STERLING CATALOG - DRY '!A4847,"AAAAAHnt/4g=")</f>
        <v>#VALUE!</v>
      </c>
      <c r="EH216" t="e">
        <f>AND('STERLING CATALOG - DRY '!B4847,"AAAAAHnt/4k=")</f>
        <v>#VALUE!</v>
      </c>
      <c r="EI216" t="e">
        <f>AND('STERLING CATALOG - DRY '!C4847,"AAAAAHnt/4o=")</f>
        <v>#VALUE!</v>
      </c>
      <c r="EJ216" t="e">
        <f>AND('STERLING CATALOG - DRY '!D4847,"AAAAAHnt/4s=")</f>
        <v>#VALUE!</v>
      </c>
      <c r="EK216" t="e">
        <f>AND('STERLING CATALOG - DRY '!E4847,"AAAAAHnt/4w=")</f>
        <v>#VALUE!</v>
      </c>
      <c r="EL216" t="e">
        <f>AND('STERLING CATALOG - DRY '!F4847,"AAAAAHnt/40=")</f>
        <v>#VALUE!</v>
      </c>
      <c r="EM216" t="e">
        <f>AND('STERLING CATALOG - DRY '!G4847,"AAAAAHnt/44=")</f>
        <v>#VALUE!</v>
      </c>
      <c r="EN216" t="e">
        <f>AND('STERLING CATALOG - DRY '!H4847,"AAAAAHnt/48=")</f>
        <v>#VALUE!</v>
      </c>
      <c r="EO216" t="e">
        <f>AND('STERLING CATALOG - DRY '!I4847,"AAAAAHnt/5A=")</f>
        <v>#VALUE!</v>
      </c>
      <c r="EP216" t="e">
        <f>AND('STERLING CATALOG - DRY '!J4847,"AAAAAHnt/5E=")</f>
        <v>#VALUE!</v>
      </c>
      <c r="EQ216">
        <f>IF('STERLING CATALOG - DRY '!4848:4848,"AAAAAHnt/5I=",0)</f>
        <v>0</v>
      </c>
      <c r="ER216" t="e">
        <f>AND('STERLING CATALOG - DRY '!A4848,"AAAAAHnt/5M=")</f>
        <v>#VALUE!</v>
      </c>
      <c r="ES216" t="e">
        <f>AND('STERLING CATALOG - DRY '!B4848,"AAAAAHnt/5Q=")</f>
        <v>#VALUE!</v>
      </c>
      <c r="ET216" t="e">
        <f>AND('STERLING CATALOG - DRY '!C4848,"AAAAAHnt/5U=")</f>
        <v>#VALUE!</v>
      </c>
      <c r="EU216" t="e">
        <f>AND('STERLING CATALOG - DRY '!D4848,"AAAAAHnt/5Y=")</f>
        <v>#VALUE!</v>
      </c>
      <c r="EV216" t="e">
        <f>AND('STERLING CATALOG - DRY '!E4848,"AAAAAHnt/5c=")</f>
        <v>#VALUE!</v>
      </c>
      <c r="EW216" t="e">
        <f>AND('STERLING CATALOG - DRY '!F4848,"AAAAAHnt/5g=")</f>
        <v>#VALUE!</v>
      </c>
      <c r="EX216" t="e">
        <f>AND('STERLING CATALOG - DRY '!G4848,"AAAAAHnt/5k=")</f>
        <v>#VALUE!</v>
      </c>
      <c r="EY216" t="e">
        <f>AND('STERLING CATALOG - DRY '!H4848,"AAAAAHnt/5o=")</f>
        <v>#VALUE!</v>
      </c>
      <c r="EZ216" t="e">
        <f>AND('STERLING CATALOG - DRY '!I4848,"AAAAAHnt/5s=")</f>
        <v>#VALUE!</v>
      </c>
      <c r="FA216" t="e">
        <f>AND('STERLING CATALOG - DRY '!J4848,"AAAAAHnt/5w=")</f>
        <v>#VALUE!</v>
      </c>
      <c r="FB216">
        <f>IF('STERLING CATALOG - DRY '!4849:4849,"AAAAAHnt/50=",0)</f>
        <v>0</v>
      </c>
      <c r="FC216" t="e">
        <f>AND('STERLING CATALOG - DRY '!A4849,"AAAAAHnt/54=")</f>
        <v>#VALUE!</v>
      </c>
      <c r="FD216" t="e">
        <f>AND('STERLING CATALOG - DRY '!B4849,"AAAAAHnt/58=")</f>
        <v>#VALUE!</v>
      </c>
      <c r="FE216" t="e">
        <f>AND('STERLING CATALOG - DRY '!C4849,"AAAAAHnt/6A=")</f>
        <v>#VALUE!</v>
      </c>
      <c r="FF216" t="e">
        <f>AND('STERLING CATALOG - DRY '!D4849,"AAAAAHnt/6E=")</f>
        <v>#VALUE!</v>
      </c>
      <c r="FG216" t="e">
        <f>AND('STERLING CATALOG - DRY '!E4849,"AAAAAHnt/6I=")</f>
        <v>#VALUE!</v>
      </c>
      <c r="FH216" t="e">
        <f>AND('STERLING CATALOG - DRY '!F4849,"AAAAAHnt/6M=")</f>
        <v>#VALUE!</v>
      </c>
      <c r="FI216" t="e">
        <f>AND('STERLING CATALOG - DRY '!G4849,"AAAAAHnt/6Q=")</f>
        <v>#VALUE!</v>
      </c>
      <c r="FJ216" t="e">
        <f>AND('STERLING CATALOG - DRY '!H4849,"AAAAAHnt/6U=")</f>
        <v>#VALUE!</v>
      </c>
      <c r="FK216" t="e">
        <f>AND('STERLING CATALOG - DRY '!I4849,"AAAAAHnt/6Y=")</f>
        <v>#VALUE!</v>
      </c>
      <c r="FL216" t="e">
        <f>AND('STERLING CATALOG - DRY '!J4849,"AAAAAHnt/6c=")</f>
        <v>#VALUE!</v>
      </c>
      <c r="FM216">
        <f>IF('STERLING CATALOG - DRY '!4850:4850,"AAAAAHnt/6g=",0)</f>
        <v>0</v>
      </c>
      <c r="FN216" t="e">
        <f>AND('STERLING CATALOG - DRY '!A4850,"AAAAAHnt/6k=")</f>
        <v>#VALUE!</v>
      </c>
      <c r="FO216" t="e">
        <f>AND('STERLING CATALOG - DRY '!B4850,"AAAAAHnt/6o=")</f>
        <v>#VALUE!</v>
      </c>
      <c r="FP216" t="e">
        <f>AND('STERLING CATALOG - DRY '!C4850,"AAAAAHnt/6s=")</f>
        <v>#VALUE!</v>
      </c>
      <c r="FQ216" t="e">
        <f>AND('STERLING CATALOG - DRY '!D4850,"AAAAAHnt/6w=")</f>
        <v>#VALUE!</v>
      </c>
      <c r="FR216" t="e">
        <f>AND('STERLING CATALOG - DRY '!E4850,"AAAAAHnt/60=")</f>
        <v>#VALUE!</v>
      </c>
      <c r="FS216" t="e">
        <f>AND('STERLING CATALOG - DRY '!F4850,"AAAAAHnt/64=")</f>
        <v>#VALUE!</v>
      </c>
      <c r="FT216" t="e">
        <f>AND('STERLING CATALOG - DRY '!G4850,"AAAAAHnt/68=")</f>
        <v>#VALUE!</v>
      </c>
      <c r="FU216" t="e">
        <f>AND('STERLING CATALOG - DRY '!H4850,"AAAAAHnt/7A=")</f>
        <v>#VALUE!</v>
      </c>
      <c r="FV216" t="e">
        <f>AND('STERLING CATALOG - DRY '!I4850,"AAAAAHnt/7E=")</f>
        <v>#VALUE!</v>
      </c>
      <c r="FW216" t="e">
        <f>AND('STERLING CATALOG - DRY '!J4850,"AAAAAHnt/7I=")</f>
        <v>#VALUE!</v>
      </c>
      <c r="FX216">
        <f>IF('STERLING CATALOG - DRY '!4851:4851,"AAAAAHnt/7M=",0)</f>
        <v>0</v>
      </c>
      <c r="FY216" t="e">
        <f>AND('STERLING CATALOG - DRY '!A4851,"AAAAAHnt/7Q=")</f>
        <v>#VALUE!</v>
      </c>
      <c r="FZ216" t="e">
        <f>AND('STERLING CATALOG - DRY '!B4851,"AAAAAHnt/7U=")</f>
        <v>#VALUE!</v>
      </c>
      <c r="GA216" t="e">
        <f>AND('STERLING CATALOG - DRY '!C4851,"AAAAAHnt/7Y=")</f>
        <v>#VALUE!</v>
      </c>
      <c r="GB216" t="e">
        <f>AND('STERLING CATALOG - DRY '!D4851,"AAAAAHnt/7c=")</f>
        <v>#VALUE!</v>
      </c>
      <c r="GC216" t="e">
        <f>AND('STERLING CATALOG - DRY '!E4851,"AAAAAHnt/7g=")</f>
        <v>#VALUE!</v>
      </c>
      <c r="GD216" t="e">
        <f>AND('STERLING CATALOG - DRY '!F4851,"AAAAAHnt/7k=")</f>
        <v>#VALUE!</v>
      </c>
      <c r="GE216" t="e">
        <f>AND('STERLING CATALOG - DRY '!G4851,"AAAAAHnt/7o=")</f>
        <v>#VALUE!</v>
      </c>
      <c r="GF216" t="e">
        <f>AND('STERLING CATALOG - DRY '!H4851,"AAAAAHnt/7s=")</f>
        <v>#VALUE!</v>
      </c>
      <c r="GG216" t="e">
        <f>AND('STERLING CATALOG - DRY '!I4851,"AAAAAHnt/7w=")</f>
        <v>#VALUE!</v>
      </c>
      <c r="GH216" t="e">
        <f>AND('STERLING CATALOG - DRY '!J4851,"AAAAAHnt/70=")</f>
        <v>#VALUE!</v>
      </c>
      <c r="GI216">
        <f>IF('STERLING CATALOG - DRY '!4852:4852,"AAAAAHnt/74=",0)</f>
        <v>0</v>
      </c>
      <c r="GJ216" t="e">
        <f>AND('STERLING CATALOG - DRY '!A4852,"AAAAAHnt/78=")</f>
        <v>#VALUE!</v>
      </c>
      <c r="GK216" t="e">
        <f>AND('STERLING CATALOG - DRY '!B4852,"AAAAAHnt/8A=")</f>
        <v>#VALUE!</v>
      </c>
      <c r="GL216" t="e">
        <f>AND('STERLING CATALOG - DRY '!C4852,"AAAAAHnt/8E=")</f>
        <v>#VALUE!</v>
      </c>
      <c r="GM216" t="e">
        <f>AND('STERLING CATALOG - DRY '!D4852,"AAAAAHnt/8I=")</f>
        <v>#VALUE!</v>
      </c>
      <c r="GN216" t="e">
        <f>AND('STERLING CATALOG - DRY '!E4852,"AAAAAHnt/8M=")</f>
        <v>#VALUE!</v>
      </c>
      <c r="GO216" t="e">
        <f>AND('STERLING CATALOG - DRY '!F4852,"AAAAAHnt/8Q=")</f>
        <v>#VALUE!</v>
      </c>
      <c r="GP216" t="e">
        <f>AND('STERLING CATALOG - DRY '!G4852,"AAAAAHnt/8U=")</f>
        <v>#VALUE!</v>
      </c>
      <c r="GQ216" t="e">
        <f>AND('STERLING CATALOG - DRY '!H4852,"AAAAAHnt/8Y=")</f>
        <v>#VALUE!</v>
      </c>
      <c r="GR216" t="e">
        <f>AND('STERLING CATALOG - DRY '!I4852,"AAAAAHnt/8c=")</f>
        <v>#VALUE!</v>
      </c>
      <c r="GS216" t="e">
        <f>AND('STERLING CATALOG - DRY '!J4852,"AAAAAHnt/8g=")</f>
        <v>#VALUE!</v>
      </c>
      <c r="GT216">
        <f>IF('STERLING CATALOG - DRY '!4853:4853,"AAAAAHnt/8k=",0)</f>
        <v>0</v>
      </c>
      <c r="GU216" t="e">
        <f>AND('STERLING CATALOG - DRY '!A4853,"AAAAAHnt/8o=")</f>
        <v>#VALUE!</v>
      </c>
      <c r="GV216" t="e">
        <f>AND('STERLING CATALOG - DRY '!B4853,"AAAAAHnt/8s=")</f>
        <v>#VALUE!</v>
      </c>
      <c r="GW216" t="e">
        <f>AND('STERLING CATALOG - DRY '!C4853,"AAAAAHnt/8w=")</f>
        <v>#VALUE!</v>
      </c>
      <c r="GX216" t="e">
        <f>AND('STERLING CATALOG - DRY '!D4853,"AAAAAHnt/80=")</f>
        <v>#VALUE!</v>
      </c>
      <c r="GY216" t="e">
        <f>AND('STERLING CATALOG - DRY '!E4853,"AAAAAHnt/84=")</f>
        <v>#VALUE!</v>
      </c>
      <c r="GZ216" t="e">
        <f>AND('STERLING CATALOG - DRY '!F4853,"AAAAAHnt/88=")</f>
        <v>#VALUE!</v>
      </c>
      <c r="HA216" t="e">
        <f>AND('STERLING CATALOG - DRY '!G4853,"AAAAAHnt/9A=")</f>
        <v>#VALUE!</v>
      </c>
      <c r="HB216" t="e">
        <f>AND('STERLING CATALOG - DRY '!H4853,"AAAAAHnt/9E=")</f>
        <v>#VALUE!</v>
      </c>
      <c r="HC216" t="e">
        <f>AND('STERLING CATALOG - DRY '!I4853,"AAAAAHnt/9I=")</f>
        <v>#VALUE!</v>
      </c>
      <c r="HD216" t="e">
        <f>AND('STERLING CATALOG - DRY '!J4853,"AAAAAHnt/9M=")</f>
        <v>#VALUE!</v>
      </c>
      <c r="HE216">
        <f>IF('STERLING CATALOG - DRY '!4854:4854,"AAAAAHnt/9Q=",0)</f>
        <v>0</v>
      </c>
      <c r="HF216" t="e">
        <f>AND('STERLING CATALOG - DRY '!A4854,"AAAAAHnt/9U=")</f>
        <v>#VALUE!</v>
      </c>
      <c r="HG216" t="e">
        <f>AND('STERLING CATALOG - DRY '!B4854,"AAAAAHnt/9Y=")</f>
        <v>#VALUE!</v>
      </c>
      <c r="HH216" t="e">
        <f>AND('STERLING CATALOG - DRY '!C4854,"AAAAAHnt/9c=")</f>
        <v>#VALUE!</v>
      </c>
      <c r="HI216" t="e">
        <f>AND('STERLING CATALOG - DRY '!D4854,"AAAAAHnt/9g=")</f>
        <v>#VALUE!</v>
      </c>
      <c r="HJ216" t="e">
        <f>AND('STERLING CATALOG - DRY '!E4854,"AAAAAHnt/9k=")</f>
        <v>#VALUE!</v>
      </c>
      <c r="HK216" t="e">
        <f>AND('STERLING CATALOG - DRY '!F4854,"AAAAAHnt/9o=")</f>
        <v>#VALUE!</v>
      </c>
      <c r="HL216" t="e">
        <f>AND('STERLING CATALOG - DRY '!G4854,"AAAAAHnt/9s=")</f>
        <v>#VALUE!</v>
      </c>
      <c r="HM216" t="e">
        <f>AND('STERLING CATALOG - DRY '!H4854,"AAAAAHnt/9w=")</f>
        <v>#VALUE!</v>
      </c>
      <c r="HN216" t="e">
        <f>AND('STERLING CATALOG - DRY '!I4854,"AAAAAHnt/90=")</f>
        <v>#VALUE!</v>
      </c>
      <c r="HO216" t="e">
        <f>AND('STERLING CATALOG - DRY '!J4854,"AAAAAHnt/94=")</f>
        <v>#VALUE!</v>
      </c>
      <c r="HP216">
        <f>IF('STERLING CATALOG - DRY '!4855:4855,"AAAAAHnt/98=",0)</f>
        <v>0</v>
      </c>
      <c r="HQ216" t="e">
        <f>AND('STERLING CATALOG - DRY '!A4855,"AAAAAHnt/+A=")</f>
        <v>#VALUE!</v>
      </c>
      <c r="HR216" t="e">
        <f>AND('STERLING CATALOG - DRY '!B4855,"AAAAAHnt/+E=")</f>
        <v>#VALUE!</v>
      </c>
      <c r="HS216" t="e">
        <f>AND('STERLING CATALOG - DRY '!C4855,"AAAAAHnt/+I=")</f>
        <v>#VALUE!</v>
      </c>
      <c r="HT216" t="e">
        <f>AND('STERLING CATALOG - DRY '!D4855,"AAAAAHnt/+M=")</f>
        <v>#VALUE!</v>
      </c>
      <c r="HU216" t="e">
        <f>AND('STERLING CATALOG - DRY '!E4855,"AAAAAHnt/+Q=")</f>
        <v>#VALUE!</v>
      </c>
      <c r="HV216" t="e">
        <f>AND('STERLING CATALOG - DRY '!F4855,"AAAAAHnt/+U=")</f>
        <v>#VALUE!</v>
      </c>
      <c r="HW216" t="e">
        <f>AND('STERLING CATALOG - DRY '!G4855,"AAAAAHnt/+Y=")</f>
        <v>#VALUE!</v>
      </c>
      <c r="HX216" t="e">
        <f>AND('STERLING CATALOG - DRY '!H4855,"AAAAAHnt/+c=")</f>
        <v>#VALUE!</v>
      </c>
      <c r="HY216" t="e">
        <f>AND('STERLING CATALOG - DRY '!I4855,"AAAAAHnt/+g=")</f>
        <v>#VALUE!</v>
      </c>
      <c r="HZ216" t="e">
        <f>AND('STERLING CATALOG - DRY '!J4855,"AAAAAHnt/+k=")</f>
        <v>#VALUE!</v>
      </c>
      <c r="IA216">
        <f>IF('STERLING CATALOG - DRY '!4856:4856,"AAAAAHnt/+o=",0)</f>
        <v>0</v>
      </c>
      <c r="IB216" t="e">
        <f>AND('STERLING CATALOG - DRY '!A4856,"AAAAAHnt/+s=")</f>
        <v>#VALUE!</v>
      </c>
      <c r="IC216" t="e">
        <f>AND('STERLING CATALOG - DRY '!B4856,"AAAAAHnt/+w=")</f>
        <v>#VALUE!</v>
      </c>
      <c r="ID216" t="e">
        <f>AND('STERLING CATALOG - DRY '!C4856,"AAAAAHnt/+0=")</f>
        <v>#VALUE!</v>
      </c>
      <c r="IE216" t="e">
        <f>AND('STERLING CATALOG - DRY '!D4856,"AAAAAHnt/+4=")</f>
        <v>#VALUE!</v>
      </c>
      <c r="IF216" t="e">
        <f>AND('STERLING CATALOG - DRY '!E4856,"AAAAAHnt/+8=")</f>
        <v>#VALUE!</v>
      </c>
      <c r="IG216" t="e">
        <f>AND('STERLING CATALOG - DRY '!F4856,"AAAAAHnt//A=")</f>
        <v>#VALUE!</v>
      </c>
      <c r="IH216" t="e">
        <f>AND('STERLING CATALOG - DRY '!G4856,"AAAAAHnt//E=")</f>
        <v>#VALUE!</v>
      </c>
      <c r="II216" t="e">
        <f>AND('STERLING CATALOG - DRY '!H4856,"AAAAAHnt//I=")</f>
        <v>#VALUE!</v>
      </c>
      <c r="IJ216" t="e">
        <f>AND('STERLING CATALOG - DRY '!I4856,"AAAAAHnt//M=")</f>
        <v>#VALUE!</v>
      </c>
      <c r="IK216" t="e">
        <f>AND('STERLING CATALOG - DRY '!J4856,"AAAAAHnt//Q=")</f>
        <v>#VALUE!</v>
      </c>
      <c r="IL216">
        <f>IF('STERLING CATALOG - DRY '!4857:4857,"AAAAAHnt//U=",0)</f>
        <v>0</v>
      </c>
      <c r="IM216" t="e">
        <f>AND('STERLING CATALOG - DRY '!A4857,"AAAAAHnt//Y=")</f>
        <v>#VALUE!</v>
      </c>
      <c r="IN216" t="e">
        <f>AND('STERLING CATALOG - DRY '!B4857,"AAAAAHnt//c=")</f>
        <v>#VALUE!</v>
      </c>
      <c r="IO216" t="e">
        <f>AND('STERLING CATALOG - DRY '!C4857,"AAAAAHnt//g=")</f>
        <v>#VALUE!</v>
      </c>
      <c r="IP216" t="e">
        <f>AND('STERLING CATALOG - DRY '!D4857,"AAAAAHnt//k=")</f>
        <v>#VALUE!</v>
      </c>
      <c r="IQ216" t="e">
        <f>AND('STERLING CATALOG - DRY '!E4857,"AAAAAHnt//o=")</f>
        <v>#VALUE!</v>
      </c>
      <c r="IR216" t="e">
        <f>AND('STERLING CATALOG - DRY '!F4857,"AAAAAHnt//s=")</f>
        <v>#VALUE!</v>
      </c>
      <c r="IS216" t="e">
        <f>AND('STERLING CATALOG - DRY '!G4857,"AAAAAHnt//w=")</f>
        <v>#VALUE!</v>
      </c>
      <c r="IT216" t="e">
        <f>AND('STERLING CATALOG - DRY '!H4857,"AAAAAHnt//0=")</f>
        <v>#VALUE!</v>
      </c>
      <c r="IU216" t="e">
        <f>AND('STERLING CATALOG - DRY '!I4857,"AAAAAHnt//4=")</f>
        <v>#VALUE!</v>
      </c>
      <c r="IV216" t="e">
        <f>AND('STERLING CATALOG - DRY '!J4857,"AAAAAHnt//8=")</f>
        <v>#VALUE!</v>
      </c>
    </row>
    <row r="217" spans="1:256">
      <c r="A217" t="str">
        <f>IF('STERLING CATALOG - DRY '!4858:4858,"AAAAAH9/NQA=",0)</f>
        <v>AAAAAH9/NQA=</v>
      </c>
      <c r="B217" t="e">
        <f>AND('STERLING CATALOG - DRY '!A4858,"AAAAAH9/NQE=")</f>
        <v>#VALUE!</v>
      </c>
      <c r="C217" t="e">
        <f>AND('STERLING CATALOG - DRY '!B4858,"AAAAAH9/NQI=")</f>
        <v>#VALUE!</v>
      </c>
      <c r="D217" t="e">
        <f>AND('STERLING CATALOG - DRY '!C4858,"AAAAAH9/NQM=")</f>
        <v>#VALUE!</v>
      </c>
      <c r="E217" t="e">
        <f>AND('STERLING CATALOG - DRY '!D4858,"AAAAAH9/NQQ=")</f>
        <v>#VALUE!</v>
      </c>
      <c r="F217" t="e">
        <f>AND('STERLING CATALOG - DRY '!E4858,"AAAAAH9/NQU=")</f>
        <v>#VALUE!</v>
      </c>
      <c r="G217" t="e">
        <f>AND('STERLING CATALOG - DRY '!F4858,"AAAAAH9/NQY=")</f>
        <v>#VALUE!</v>
      </c>
      <c r="H217" t="e">
        <f>AND('STERLING CATALOG - DRY '!G4858,"AAAAAH9/NQc=")</f>
        <v>#VALUE!</v>
      </c>
      <c r="I217" t="e">
        <f>AND('STERLING CATALOG - DRY '!H4858,"AAAAAH9/NQg=")</f>
        <v>#VALUE!</v>
      </c>
      <c r="J217" t="e">
        <f>AND('STERLING CATALOG - DRY '!I4858,"AAAAAH9/NQk=")</f>
        <v>#VALUE!</v>
      </c>
      <c r="K217" t="e">
        <f>AND('STERLING CATALOG - DRY '!J4858,"AAAAAH9/NQo=")</f>
        <v>#VALUE!</v>
      </c>
      <c r="L217">
        <f>IF('STERLING CATALOG - DRY '!4859:4859,"AAAAAH9/NQs=",0)</f>
        <v>0</v>
      </c>
      <c r="M217" t="e">
        <f>AND('STERLING CATALOG - DRY '!A4859,"AAAAAH9/NQw=")</f>
        <v>#VALUE!</v>
      </c>
      <c r="N217" t="e">
        <f>AND('STERLING CATALOG - DRY '!B4859,"AAAAAH9/NQ0=")</f>
        <v>#VALUE!</v>
      </c>
      <c r="O217" t="e">
        <f>AND('STERLING CATALOG - DRY '!C4859,"AAAAAH9/NQ4=")</f>
        <v>#VALUE!</v>
      </c>
      <c r="P217" t="e">
        <f>AND('STERLING CATALOG - DRY '!D4859,"AAAAAH9/NQ8=")</f>
        <v>#VALUE!</v>
      </c>
      <c r="Q217" t="e">
        <f>AND('STERLING CATALOG - DRY '!E4859,"AAAAAH9/NRA=")</f>
        <v>#VALUE!</v>
      </c>
      <c r="R217" t="e">
        <f>AND('STERLING CATALOG - DRY '!F4859,"AAAAAH9/NRE=")</f>
        <v>#VALUE!</v>
      </c>
      <c r="S217" t="e">
        <f>AND('STERLING CATALOG - DRY '!G4859,"AAAAAH9/NRI=")</f>
        <v>#VALUE!</v>
      </c>
      <c r="T217" t="e">
        <f>AND('STERLING CATALOG - DRY '!H4859,"AAAAAH9/NRM=")</f>
        <v>#VALUE!</v>
      </c>
      <c r="U217" t="e">
        <f>AND('STERLING CATALOG - DRY '!I4859,"AAAAAH9/NRQ=")</f>
        <v>#VALUE!</v>
      </c>
      <c r="V217" t="e">
        <f>AND('STERLING CATALOG - DRY '!J4859,"AAAAAH9/NRU=")</f>
        <v>#VALUE!</v>
      </c>
      <c r="W217">
        <f>IF('STERLING CATALOG - DRY '!4860:4860,"AAAAAH9/NRY=",0)</f>
        <v>0</v>
      </c>
      <c r="X217" t="e">
        <f>AND('STERLING CATALOG - DRY '!A4860,"AAAAAH9/NRc=")</f>
        <v>#VALUE!</v>
      </c>
      <c r="Y217" t="e">
        <f>AND('STERLING CATALOG - DRY '!B4860,"AAAAAH9/NRg=")</f>
        <v>#VALUE!</v>
      </c>
      <c r="Z217" t="e">
        <f>AND('STERLING CATALOG - DRY '!C4860,"AAAAAH9/NRk=")</f>
        <v>#VALUE!</v>
      </c>
      <c r="AA217" t="e">
        <f>AND('STERLING CATALOG - DRY '!D4860,"AAAAAH9/NRo=")</f>
        <v>#VALUE!</v>
      </c>
      <c r="AB217" t="e">
        <f>AND('STERLING CATALOG - DRY '!E4860,"AAAAAH9/NRs=")</f>
        <v>#VALUE!</v>
      </c>
      <c r="AC217" t="e">
        <f>AND('STERLING CATALOG - DRY '!F4860,"AAAAAH9/NRw=")</f>
        <v>#VALUE!</v>
      </c>
      <c r="AD217" t="e">
        <f>AND('STERLING CATALOG - DRY '!G4860,"AAAAAH9/NR0=")</f>
        <v>#VALUE!</v>
      </c>
      <c r="AE217" t="e">
        <f>AND('STERLING CATALOG - DRY '!H4860,"AAAAAH9/NR4=")</f>
        <v>#VALUE!</v>
      </c>
      <c r="AF217" t="e">
        <f>AND('STERLING CATALOG - DRY '!I4860,"AAAAAH9/NR8=")</f>
        <v>#VALUE!</v>
      </c>
      <c r="AG217" t="e">
        <f>AND('STERLING CATALOG - DRY '!J4860,"AAAAAH9/NSA=")</f>
        <v>#VALUE!</v>
      </c>
      <c r="AH217">
        <f>IF('STERLING CATALOG - DRY '!4861:4861,"AAAAAH9/NSE=",0)</f>
        <v>0</v>
      </c>
      <c r="AI217" t="e">
        <f>AND('STERLING CATALOG - DRY '!A4861,"AAAAAH9/NSI=")</f>
        <v>#VALUE!</v>
      </c>
      <c r="AJ217" t="e">
        <f>AND('STERLING CATALOG - DRY '!B4861,"AAAAAH9/NSM=")</f>
        <v>#VALUE!</v>
      </c>
      <c r="AK217" t="e">
        <f>AND('STERLING CATALOG - DRY '!C4861,"AAAAAH9/NSQ=")</f>
        <v>#VALUE!</v>
      </c>
      <c r="AL217" t="e">
        <f>AND('STERLING CATALOG - DRY '!D4861,"AAAAAH9/NSU=")</f>
        <v>#VALUE!</v>
      </c>
      <c r="AM217" t="e">
        <f>AND('STERLING CATALOG - DRY '!E4861,"AAAAAH9/NSY=")</f>
        <v>#VALUE!</v>
      </c>
      <c r="AN217" t="e">
        <f>AND('STERLING CATALOG - DRY '!F4861,"AAAAAH9/NSc=")</f>
        <v>#VALUE!</v>
      </c>
      <c r="AO217" t="e">
        <f>AND('STERLING CATALOG - DRY '!G4861,"AAAAAH9/NSg=")</f>
        <v>#VALUE!</v>
      </c>
      <c r="AP217" t="e">
        <f>AND('STERLING CATALOG - DRY '!H4861,"AAAAAH9/NSk=")</f>
        <v>#VALUE!</v>
      </c>
      <c r="AQ217" t="e">
        <f>AND('STERLING CATALOG - DRY '!I4861,"AAAAAH9/NSo=")</f>
        <v>#VALUE!</v>
      </c>
      <c r="AR217" t="e">
        <f>AND('STERLING CATALOG - DRY '!J4861,"AAAAAH9/NSs=")</f>
        <v>#VALUE!</v>
      </c>
      <c r="AS217">
        <f>IF('STERLING CATALOG - DRY '!4862:4862,"AAAAAH9/NSw=",0)</f>
        <v>0</v>
      </c>
      <c r="AT217" t="e">
        <f>AND('STERLING CATALOG - DRY '!A4862,"AAAAAH9/NS0=")</f>
        <v>#VALUE!</v>
      </c>
      <c r="AU217" t="e">
        <f>AND('STERLING CATALOG - DRY '!B4862,"AAAAAH9/NS4=")</f>
        <v>#VALUE!</v>
      </c>
      <c r="AV217" t="e">
        <f>AND('STERLING CATALOG - DRY '!C4862,"AAAAAH9/NS8=")</f>
        <v>#VALUE!</v>
      </c>
      <c r="AW217" t="e">
        <f>AND('STERLING CATALOG - DRY '!D4862,"AAAAAH9/NTA=")</f>
        <v>#VALUE!</v>
      </c>
      <c r="AX217" t="e">
        <f>AND('STERLING CATALOG - DRY '!E4862,"AAAAAH9/NTE=")</f>
        <v>#VALUE!</v>
      </c>
      <c r="AY217" t="e">
        <f>AND('STERLING CATALOG - DRY '!F4862,"AAAAAH9/NTI=")</f>
        <v>#VALUE!</v>
      </c>
      <c r="AZ217" t="e">
        <f>AND('STERLING CATALOG - DRY '!G4862,"AAAAAH9/NTM=")</f>
        <v>#VALUE!</v>
      </c>
      <c r="BA217" t="e">
        <f>AND('STERLING CATALOG - DRY '!H4862,"AAAAAH9/NTQ=")</f>
        <v>#VALUE!</v>
      </c>
      <c r="BB217" t="e">
        <f>AND('STERLING CATALOG - DRY '!I4862,"AAAAAH9/NTU=")</f>
        <v>#VALUE!</v>
      </c>
      <c r="BC217" t="e">
        <f>AND('STERLING CATALOG - DRY '!J4862,"AAAAAH9/NTY=")</f>
        <v>#VALUE!</v>
      </c>
      <c r="BD217">
        <f>IF('STERLING CATALOG - DRY '!4863:4863,"AAAAAH9/NTc=",0)</f>
        <v>0</v>
      </c>
      <c r="BE217" t="e">
        <f>AND('STERLING CATALOG - DRY '!A4863,"AAAAAH9/NTg=")</f>
        <v>#VALUE!</v>
      </c>
      <c r="BF217" t="e">
        <f>AND('STERLING CATALOG - DRY '!B4863,"AAAAAH9/NTk=")</f>
        <v>#VALUE!</v>
      </c>
      <c r="BG217" t="e">
        <f>AND('STERLING CATALOG - DRY '!C4863,"AAAAAH9/NTo=")</f>
        <v>#VALUE!</v>
      </c>
      <c r="BH217" t="e">
        <f>AND('STERLING CATALOG - DRY '!D4863,"AAAAAH9/NTs=")</f>
        <v>#VALUE!</v>
      </c>
      <c r="BI217" t="e">
        <f>AND('STERLING CATALOG - DRY '!E4863,"AAAAAH9/NTw=")</f>
        <v>#VALUE!</v>
      </c>
      <c r="BJ217" t="e">
        <f>AND('STERLING CATALOG - DRY '!F4863,"AAAAAH9/NT0=")</f>
        <v>#VALUE!</v>
      </c>
      <c r="BK217" t="e">
        <f>AND('STERLING CATALOG - DRY '!G4863,"AAAAAH9/NT4=")</f>
        <v>#VALUE!</v>
      </c>
      <c r="BL217" t="e">
        <f>AND('STERLING CATALOG - DRY '!H4863,"AAAAAH9/NT8=")</f>
        <v>#VALUE!</v>
      </c>
      <c r="BM217" t="e">
        <f>AND('STERLING CATALOG - DRY '!I4863,"AAAAAH9/NUA=")</f>
        <v>#VALUE!</v>
      </c>
      <c r="BN217" t="e">
        <f>AND('STERLING CATALOG - DRY '!J4863,"AAAAAH9/NUE=")</f>
        <v>#VALUE!</v>
      </c>
      <c r="BO217">
        <f>IF('STERLING CATALOG - DRY '!4864:4864,"AAAAAH9/NUI=",0)</f>
        <v>0</v>
      </c>
      <c r="BP217" t="e">
        <f>AND('STERLING CATALOG - DRY '!A4864,"AAAAAH9/NUM=")</f>
        <v>#VALUE!</v>
      </c>
      <c r="BQ217" t="e">
        <f>AND('STERLING CATALOG - DRY '!B4864,"AAAAAH9/NUQ=")</f>
        <v>#VALUE!</v>
      </c>
      <c r="BR217" t="e">
        <f>AND('STERLING CATALOG - DRY '!C4864,"AAAAAH9/NUU=")</f>
        <v>#VALUE!</v>
      </c>
      <c r="BS217" t="e">
        <f>AND('STERLING CATALOG - DRY '!D4864,"AAAAAH9/NUY=")</f>
        <v>#VALUE!</v>
      </c>
      <c r="BT217" t="e">
        <f>AND('STERLING CATALOG - DRY '!E4864,"AAAAAH9/NUc=")</f>
        <v>#VALUE!</v>
      </c>
      <c r="BU217" t="e">
        <f>AND('STERLING CATALOG - DRY '!F4864,"AAAAAH9/NUg=")</f>
        <v>#VALUE!</v>
      </c>
      <c r="BV217" t="e">
        <f>AND('STERLING CATALOG - DRY '!G4864,"AAAAAH9/NUk=")</f>
        <v>#VALUE!</v>
      </c>
      <c r="BW217" t="e">
        <f>AND('STERLING CATALOG - DRY '!H4864,"AAAAAH9/NUo=")</f>
        <v>#VALUE!</v>
      </c>
      <c r="BX217" t="e">
        <f>AND('STERLING CATALOG - DRY '!I4864,"AAAAAH9/NUs=")</f>
        <v>#VALUE!</v>
      </c>
      <c r="BY217" t="e">
        <f>AND('STERLING CATALOG - DRY '!J4864,"AAAAAH9/NUw=")</f>
        <v>#VALUE!</v>
      </c>
      <c r="BZ217">
        <f>IF('STERLING CATALOG - DRY '!4865:4865,"AAAAAH9/NU0=",0)</f>
        <v>0</v>
      </c>
      <c r="CA217" t="e">
        <f>AND('STERLING CATALOG - DRY '!A4865,"AAAAAH9/NU4=")</f>
        <v>#VALUE!</v>
      </c>
      <c r="CB217" t="e">
        <f>AND('STERLING CATALOG - DRY '!B4865,"AAAAAH9/NU8=")</f>
        <v>#VALUE!</v>
      </c>
      <c r="CC217" t="e">
        <f>AND('STERLING CATALOG - DRY '!C4865,"AAAAAH9/NVA=")</f>
        <v>#VALUE!</v>
      </c>
      <c r="CD217" t="e">
        <f>AND('STERLING CATALOG - DRY '!D4865,"AAAAAH9/NVE=")</f>
        <v>#VALUE!</v>
      </c>
      <c r="CE217" t="e">
        <f>AND('STERLING CATALOG - DRY '!E4865,"AAAAAH9/NVI=")</f>
        <v>#VALUE!</v>
      </c>
      <c r="CF217" t="e">
        <f>AND('STERLING CATALOG - DRY '!F4865,"AAAAAH9/NVM=")</f>
        <v>#VALUE!</v>
      </c>
      <c r="CG217" t="e">
        <f>AND('STERLING CATALOG - DRY '!G4865,"AAAAAH9/NVQ=")</f>
        <v>#VALUE!</v>
      </c>
      <c r="CH217" t="e">
        <f>AND('STERLING CATALOG - DRY '!H4865,"AAAAAH9/NVU=")</f>
        <v>#VALUE!</v>
      </c>
      <c r="CI217" t="e">
        <f>AND('STERLING CATALOG - DRY '!I4865,"AAAAAH9/NVY=")</f>
        <v>#VALUE!</v>
      </c>
      <c r="CJ217" t="e">
        <f>AND('STERLING CATALOG - DRY '!J4865,"AAAAAH9/NVc=")</f>
        <v>#VALUE!</v>
      </c>
      <c r="CK217">
        <f>IF('STERLING CATALOG - DRY '!4866:4866,"AAAAAH9/NVg=",0)</f>
        <v>0</v>
      </c>
      <c r="CL217" t="e">
        <f>AND('STERLING CATALOG - DRY '!A4866,"AAAAAH9/NVk=")</f>
        <v>#VALUE!</v>
      </c>
      <c r="CM217" t="e">
        <f>AND('STERLING CATALOG - DRY '!B4866,"AAAAAH9/NVo=")</f>
        <v>#VALUE!</v>
      </c>
      <c r="CN217" t="e">
        <f>AND('STERLING CATALOG - DRY '!C4866,"AAAAAH9/NVs=")</f>
        <v>#VALUE!</v>
      </c>
      <c r="CO217" t="e">
        <f>AND('STERLING CATALOG - DRY '!D4866,"AAAAAH9/NVw=")</f>
        <v>#VALUE!</v>
      </c>
      <c r="CP217" t="e">
        <f>AND('STERLING CATALOG - DRY '!E4866,"AAAAAH9/NV0=")</f>
        <v>#VALUE!</v>
      </c>
      <c r="CQ217" t="e">
        <f>AND('STERLING CATALOG - DRY '!F4866,"AAAAAH9/NV4=")</f>
        <v>#VALUE!</v>
      </c>
      <c r="CR217" t="e">
        <f>AND('STERLING CATALOG - DRY '!G4866,"AAAAAH9/NV8=")</f>
        <v>#VALUE!</v>
      </c>
      <c r="CS217" t="e">
        <f>AND('STERLING CATALOG - DRY '!H4866,"AAAAAH9/NWA=")</f>
        <v>#VALUE!</v>
      </c>
      <c r="CT217" t="e">
        <f>AND('STERLING CATALOG - DRY '!I4866,"AAAAAH9/NWE=")</f>
        <v>#VALUE!</v>
      </c>
      <c r="CU217" t="e">
        <f>AND('STERLING CATALOG - DRY '!J4866,"AAAAAH9/NWI=")</f>
        <v>#VALUE!</v>
      </c>
      <c r="CV217">
        <f>IF('STERLING CATALOG - DRY '!4867:4867,"AAAAAH9/NWM=",0)</f>
        <v>0</v>
      </c>
      <c r="CW217" t="e">
        <f>AND('STERLING CATALOG - DRY '!A4867,"AAAAAH9/NWQ=")</f>
        <v>#VALUE!</v>
      </c>
      <c r="CX217" t="e">
        <f>AND('STERLING CATALOG - DRY '!B4867,"AAAAAH9/NWU=")</f>
        <v>#VALUE!</v>
      </c>
      <c r="CY217" t="e">
        <f>AND('STERLING CATALOG - DRY '!C4867,"AAAAAH9/NWY=")</f>
        <v>#VALUE!</v>
      </c>
      <c r="CZ217" t="e">
        <f>AND('STERLING CATALOG - DRY '!D4867,"AAAAAH9/NWc=")</f>
        <v>#VALUE!</v>
      </c>
      <c r="DA217" t="e">
        <f>AND('STERLING CATALOG - DRY '!E4867,"AAAAAH9/NWg=")</f>
        <v>#VALUE!</v>
      </c>
      <c r="DB217" t="e">
        <f>AND('STERLING CATALOG - DRY '!F4867,"AAAAAH9/NWk=")</f>
        <v>#VALUE!</v>
      </c>
      <c r="DC217" t="e">
        <f>AND('STERLING CATALOG - DRY '!G4867,"AAAAAH9/NWo=")</f>
        <v>#VALUE!</v>
      </c>
      <c r="DD217" t="e">
        <f>AND('STERLING CATALOG - DRY '!H4867,"AAAAAH9/NWs=")</f>
        <v>#VALUE!</v>
      </c>
      <c r="DE217" t="e">
        <f>AND('STERLING CATALOG - DRY '!I4867,"AAAAAH9/NWw=")</f>
        <v>#VALUE!</v>
      </c>
      <c r="DF217" t="e">
        <f>AND('STERLING CATALOG - DRY '!J4867,"AAAAAH9/NW0=")</f>
        <v>#VALUE!</v>
      </c>
      <c r="DG217">
        <f>IF('STERLING CATALOG - DRY '!4868:4868,"AAAAAH9/NW4=",0)</f>
        <v>0</v>
      </c>
      <c r="DH217" t="e">
        <f>AND('STERLING CATALOG - DRY '!A4868,"AAAAAH9/NW8=")</f>
        <v>#VALUE!</v>
      </c>
      <c r="DI217" t="e">
        <f>AND('STERLING CATALOG - DRY '!B4868,"AAAAAH9/NXA=")</f>
        <v>#VALUE!</v>
      </c>
      <c r="DJ217" t="e">
        <f>AND('STERLING CATALOG - DRY '!C4868,"AAAAAH9/NXE=")</f>
        <v>#VALUE!</v>
      </c>
      <c r="DK217" t="e">
        <f>AND('STERLING CATALOG - DRY '!D4868,"AAAAAH9/NXI=")</f>
        <v>#VALUE!</v>
      </c>
      <c r="DL217" t="e">
        <f>AND('STERLING CATALOG - DRY '!E4868,"AAAAAH9/NXM=")</f>
        <v>#VALUE!</v>
      </c>
      <c r="DM217" t="e">
        <f>AND('STERLING CATALOG - DRY '!F4868,"AAAAAH9/NXQ=")</f>
        <v>#VALUE!</v>
      </c>
      <c r="DN217" t="e">
        <f>AND('STERLING CATALOG - DRY '!G4868,"AAAAAH9/NXU=")</f>
        <v>#VALUE!</v>
      </c>
      <c r="DO217" t="e">
        <f>AND('STERLING CATALOG - DRY '!H4868,"AAAAAH9/NXY=")</f>
        <v>#VALUE!</v>
      </c>
      <c r="DP217" t="e">
        <f>AND('STERLING CATALOG - DRY '!I4868,"AAAAAH9/NXc=")</f>
        <v>#VALUE!</v>
      </c>
      <c r="DQ217" t="e">
        <f>AND('STERLING CATALOG - DRY '!J4868,"AAAAAH9/NXg=")</f>
        <v>#VALUE!</v>
      </c>
      <c r="DR217">
        <f>IF('STERLING CATALOG - DRY '!4869:4869,"AAAAAH9/NXk=",0)</f>
        <v>0</v>
      </c>
      <c r="DS217" t="e">
        <f>AND('STERLING CATALOG - DRY '!A4869,"AAAAAH9/NXo=")</f>
        <v>#VALUE!</v>
      </c>
      <c r="DT217" t="e">
        <f>AND('STERLING CATALOG - DRY '!B4869,"AAAAAH9/NXs=")</f>
        <v>#VALUE!</v>
      </c>
      <c r="DU217" t="e">
        <f>AND('STERLING CATALOG - DRY '!C4869,"AAAAAH9/NXw=")</f>
        <v>#VALUE!</v>
      </c>
      <c r="DV217" t="e">
        <f>AND('STERLING CATALOG - DRY '!D4869,"AAAAAH9/NX0=")</f>
        <v>#VALUE!</v>
      </c>
      <c r="DW217" t="e">
        <f>AND('STERLING CATALOG - DRY '!E4869,"AAAAAH9/NX4=")</f>
        <v>#VALUE!</v>
      </c>
      <c r="DX217" t="e">
        <f>AND('STERLING CATALOG - DRY '!F4869,"AAAAAH9/NX8=")</f>
        <v>#VALUE!</v>
      </c>
      <c r="DY217" t="e">
        <f>AND('STERLING CATALOG - DRY '!G4869,"AAAAAH9/NYA=")</f>
        <v>#VALUE!</v>
      </c>
      <c r="DZ217" t="e">
        <f>AND('STERLING CATALOG - DRY '!H4869,"AAAAAH9/NYE=")</f>
        <v>#VALUE!</v>
      </c>
      <c r="EA217" t="e">
        <f>AND('STERLING CATALOG - DRY '!I4869,"AAAAAH9/NYI=")</f>
        <v>#VALUE!</v>
      </c>
      <c r="EB217" t="e">
        <f>AND('STERLING CATALOG - DRY '!J4869,"AAAAAH9/NYM=")</f>
        <v>#VALUE!</v>
      </c>
      <c r="EC217">
        <f>IF('STERLING CATALOG - DRY '!4870:4870,"AAAAAH9/NYQ=",0)</f>
        <v>0</v>
      </c>
      <c r="ED217" t="e">
        <f>AND('STERLING CATALOG - DRY '!A4870,"AAAAAH9/NYU=")</f>
        <v>#VALUE!</v>
      </c>
      <c r="EE217" t="e">
        <f>AND('STERLING CATALOG - DRY '!B4870,"AAAAAH9/NYY=")</f>
        <v>#VALUE!</v>
      </c>
      <c r="EF217" t="e">
        <f>AND('STERLING CATALOG - DRY '!C4870,"AAAAAH9/NYc=")</f>
        <v>#VALUE!</v>
      </c>
      <c r="EG217" t="e">
        <f>AND('STERLING CATALOG - DRY '!D4870,"AAAAAH9/NYg=")</f>
        <v>#VALUE!</v>
      </c>
      <c r="EH217" t="e">
        <f>AND('STERLING CATALOG - DRY '!E4870,"AAAAAH9/NYk=")</f>
        <v>#VALUE!</v>
      </c>
      <c r="EI217" t="e">
        <f>AND('STERLING CATALOG - DRY '!F4870,"AAAAAH9/NYo=")</f>
        <v>#VALUE!</v>
      </c>
      <c r="EJ217" t="e">
        <f>AND('STERLING CATALOG - DRY '!G4870,"AAAAAH9/NYs=")</f>
        <v>#VALUE!</v>
      </c>
      <c r="EK217" t="e">
        <f>AND('STERLING CATALOG - DRY '!H4870,"AAAAAH9/NYw=")</f>
        <v>#VALUE!</v>
      </c>
      <c r="EL217" t="e">
        <f>AND('STERLING CATALOG - DRY '!I4870,"AAAAAH9/NY0=")</f>
        <v>#VALUE!</v>
      </c>
      <c r="EM217" t="e">
        <f>AND('STERLING CATALOG - DRY '!J4870,"AAAAAH9/NY4=")</f>
        <v>#VALUE!</v>
      </c>
      <c r="EN217">
        <f>IF('STERLING CATALOG - DRY '!4871:4871,"AAAAAH9/NY8=",0)</f>
        <v>0</v>
      </c>
      <c r="EO217" t="e">
        <f>AND('STERLING CATALOG - DRY '!A4871,"AAAAAH9/NZA=")</f>
        <v>#VALUE!</v>
      </c>
      <c r="EP217" t="e">
        <f>AND('STERLING CATALOG - DRY '!B4871,"AAAAAH9/NZE=")</f>
        <v>#VALUE!</v>
      </c>
      <c r="EQ217" t="e">
        <f>AND('STERLING CATALOG - DRY '!C4871,"AAAAAH9/NZI=")</f>
        <v>#VALUE!</v>
      </c>
      <c r="ER217" t="e">
        <f>AND('STERLING CATALOG - DRY '!D4871,"AAAAAH9/NZM=")</f>
        <v>#VALUE!</v>
      </c>
      <c r="ES217" t="e">
        <f>AND('STERLING CATALOG - DRY '!E4871,"AAAAAH9/NZQ=")</f>
        <v>#VALUE!</v>
      </c>
      <c r="ET217" t="e">
        <f>AND('STERLING CATALOG - DRY '!F4871,"AAAAAH9/NZU=")</f>
        <v>#VALUE!</v>
      </c>
      <c r="EU217" t="e">
        <f>AND('STERLING CATALOG - DRY '!G4871,"AAAAAH9/NZY=")</f>
        <v>#VALUE!</v>
      </c>
      <c r="EV217" t="e">
        <f>AND('STERLING CATALOG - DRY '!H4871,"AAAAAH9/NZc=")</f>
        <v>#VALUE!</v>
      </c>
      <c r="EW217" t="e">
        <f>AND('STERLING CATALOG - DRY '!I4871,"AAAAAH9/NZg=")</f>
        <v>#VALUE!</v>
      </c>
      <c r="EX217" t="e">
        <f>AND('STERLING CATALOG - DRY '!J4871,"AAAAAH9/NZk=")</f>
        <v>#VALUE!</v>
      </c>
      <c r="EY217">
        <f>IF('STERLING CATALOG - DRY '!4872:4872,"AAAAAH9/NZo=",0)</f>
        <v>0</v>
      </c>
      <c r="EZ217" t="e">
        <f>AND('STERLING CATALOG - DRY '!A4872,"AAAAAH9/NZs=")</f>
        <v>#VALUE!</v>
      </c>
      <c r="FA217" t="e">
        <f>AND('STERLING CATALOG - DRY '!B4872,"AAAAAH9/NZw=")</f>
        <v>#VALUE!</v>
      </c>
      <c r="FB217" t="e">
        <f>AND('STERLING CATALOG - DRY '!C4872,"AAAAAH9/NZ0=")</f>
        <v>#VALUE!</v>
      </c>
      <c r="FC217" t="e">
        <f>AND('STERLING CATALOG - DRY '!D4872,"AAAAAH9/NZ4=")</f>
        <v>#VALUE!</v>
      </c>
      <c r="FD217" t="e">
        <f>AND('STERLING CATALOG - DRY '!E4872,"AAAAAH9/NZ8=")</f>
        <v>#VALUE!</v>
      </c>
      <c r="FE217" t="e">
        <f>AND('STERLING CATALOG - DRY '!F4872,"AAAAAH9/NaA=")</f>
        <v>#VALUE!</v>
      </c>
      <c r="FF217" t="e">
        <f>AND('STERLING CATALOG - DRY '!G4872,"AAAAAH9/NaE=")</f>
        <v>#VALUE!</v>
      </c>
      <c r="FG217" t="e">
        <f>AND('STERLING CATALOG - DRY '!H4872,"AAAAAH9/NaI=")</f>
        <v>#VALUE!</v>
      </c>
      <c r="FH217" t="e">
        <f>AND('STERLING CATALOG - DRY '!I4872,"AAAAAH9/NaM=")</f>
        <v>#VALUE!</v>
      </c>
      <c r="FI217" t="e">
        <f>AND('STERLING CATALOG - DRY '!J4872,"AAAAAH9/NaQ=")</f>
        <v>#VALUE!</v>
      </c>
      <c r="FJ217">
        <f>IF('STERLING CATALOG - DRY '!4873:4873,"AAAAAH9/NaU=",0)</f>
        <v>0</v>
      </c>
      <c r="FK217" t="e">
        <f>AND('STERLING CATALOG - DRY '!A4873,"AAAAAH9/NaY=")</f>
        <v>#VALUE!</v>
      </c>
      <c r="FL217" t="e">
        <f>AND('STERLING CATALOG - DRY '!B4873,"AAAAAH9/Nac=")</f>
        <v>#VALUE!</v>
      </c>
      <c r="FM217" t="e">
        <f>AND('STERLING CATALOG - DRY '!C4873,"AAAAAH9/Nag=")</f>
        <v>#VALUE!</v>
      </c>
      <c r="FN217" t="e">
        <f>AND('STERLING CATALOG - DRY '!D4873,"AAAAAH9/Nak=")</f>
        <v>#VALUE!</v>
      </c>
      <c r="FO217" t="e">
        <f>AND('STERLING CATALOG - DRY '!E4873,"AAAAAH9/Nao=")</f>
        <v>#VALUE!</v>
      </c>
      <c r="FP217" t="e">
        <f>AND('STERLING CATALOG - DRY '!F4873,"AAAAAH9/Nas=")</f>
        <v>#VALUE!</v>
      </c>
      <c r="FQ217" t="e">
        <f>AND('STERLING CATALOG - DRY '!G4873,"AAAAAH9/Naw=")</f>
        <v>#VALUE!</v>
      </c>
      <c r="FR217" t="e">
        <f>AND('STERLING CATALOG - DRY '!H4873,"AAAAAH9/Na0=")</f>
        <v>#VALUE!</v>
      </c>
      <c r="FS217" t="e">
        <f>AND('STERLING CATALOG - DRY '!I4873,"AAAAAH9/Na4=")</f>
        <v>#VALUE!</v>
      </c>
      <c r="FT217" t="e">
        <f>AND('STERLING CATALOG - DRY '!J4873,"AAAAAH9/Na8=")</f>
        <v>#VALUE!</v>
      </c>
      <c r="FU217">
        <f>IF('STERLING CATALOG - DRY '!4874:4874,"AAAAAH9/NbA=",0)</f>
        <v>0</v>
      </c>
      <c r="FV217" t="e">
        <f>AND('STERLING CATALOG - DRY '!A4874,"AAAAAH9/NbE=")</f>
        <v>#VALUE!</v>
      </c>
      <c r="FW217" t="e">
        <f>AND('STERLING CATALOG - DRY '!B4874,"AAAAAH9/NbI=")</f>
        <v>#VALUE!</v>
      </c>
      <c r="FX217" t="e">
        <f>AND('STERLING CATALOG - DRY '!C4874,"AAAAAH9/NbM=")</f>
        <v>#VALUE!</v>
      </c>
      <c r="FY217" t="e">
        <f>AND('STERLING CATALOG - DRY '!D4874,"AAAAAH9/NbQ=")</f>
        <v>#VALUE!</v>
      </c>
      <c r="FZ217" t="e">
        <f>AND('STERLING CATALOG - DRY '!E4874,"AAAAAH9/NbU=")</f>
        <v>#VALUE!</v>
      </c>
      <c r="GA217" t="e">
        <f>AND('STERLING CATALOG - DRY '!F4874,"AAAAAH9/NbY=")</f>
        <v>#VALUE!</v>
      </c>
      <c r="GB217" t="e">
        <f>AND('STERLING CATALOG - DRY '!G4874,"AAAAAH9/Nbc=")</f>
        <v>#VALUE!</v>
      </c>
      <c r="GC217" t="e">
        <f>AND('STERLING CATALOG - DRY '!H4874,"AAAAAH9/Nbg=")</f>
        <v>#VALUE!</v>
      </c>
      <c r="GD217" t="e">
        <f>AND('STERLING CATALOG - DRY '!I4874,"AAAAAH9/Nbk=")</f>
        <v>#VALUE!</v>
      </c>
      <c r="GE217" t="e">
        <f>AND('STERLING CATALOG - DRY '!J4874,"AAAAAH9/Nbo=")</f>
        <v>#VALUE!</v>
      </c>
      <c r="GF217">
        <f>IF('STERLING CATALOG - DRY '!4875:4875,"AAAAAH9/Nbs=",0)</f>
        <v>0</v>
      </c>
      <c r="GG217" t="e">
        <f>AND('STERLING CATALOG - DRY '!A4875,"AAAAAH9/Nbw=")</f>
        <v>#VALUE!</v>
      </c>
      <c r="GH217" t="e">
        <f>AND('STERLING CATALOG - DRY '!B4875,"AAAAAH9/Nb0=")</f>
        <v>#VALUE!</v>
      </c>
      <c r="GI217" t="e">
        <f>AND('STERLING CATALOG - DRY '!C4875,"AAAAAH9/Nb4=")</f>
        <v>#VALUE!</v>
      </c>
      <c r="GJ217" t="e">
        <f>AND('STERLING CATALOG - DRY '!D4875,"AAAAAH9/Nb8=")</f>
        <v>#VALUE!</v>
      </c>
      <c r="GK217" t="e">
        <f>AND('STERLING CATALOG - DRY '!E4875,"AAAAAH9/NcA=")</f>
        <v>#VALUE!</v>
      </c>
      <c r="GL217" t="e">
        <f>AND('STERLING CATALOG - DRY '!F4875,"AAAAAH9/NcE=")</f>
        <v>#VALUE!</v>
      </c>
      <c r="GM217" t="e">
        <f>AND('STERLING CATALOG - DRY '!G4875,"AAAAAH9/NcI=")</f>
        <v>#VALUE!</v>
      </c>
      <c r="GN217" t="e">
        <f>AND('STERLING CATALOG - DRY '!H4875,"AAAAAH9/NcM=")</f>
        <v>#VALUE!</v>
      </c>
      <c r="GO217" t="e">
        <f>AND('STERLING CATALOG - DRY '!I4875,"AAAAAH9/NcQ=")</f>
        <v>#VALUE!</v>
      </c>
      <c r="GP217" t="e">
        <f>AND('STERLING CATALOG - DRY '!J4875,"AAAAAH9/NcU=")</f>
        <v>#VALUE!</v>
      </c>
      <c r="GQ217">
        <f>IF('STERLING CATALOG - DRY '!4876:4876,"AAAAAH9/NcY=",0)</f>
        <v>0</v>
      </c>
      <c r="GR217" t="e">
        <f>AND('STERLING CATALOG - DRY '!A4876,"AAAAAH9/Ncc=")</f>
        <v>#VALUE!</v>
      </c>
      <c r="GS217" t="e">
        <f>AND('STERLING CATALOG - DRY '!B4876,"AAAAAH9/Ncg=")</f>
        <v>#VALUE!</v>
      </c>
      <c r="GT217" t="e">
        <f>AND('STERLING CATALOG - DRY '!C4876,"AAAAAH9/Nck=")</f>
        <v>#VALUE!</v>
      </c>
      <c r="GU217" t="e">
        <f>AND('STERLING CATALOG - DRY '!D4876,"AAAAAH9/Nco=")</f>
        <v>#VALUE!</v>
      </c>
      <c r="GV217" t="e">
        <f>AND('STERLING CATALOG - DRY '!E4876,"AAAAAH9/Ncs=")</f>
        <v>#VALUE!</v>
      </c>
      <c r="GW217" t="e">
        <f>AND('STERLING CATALOG - DRY '!F4876,"AAAAAH9/Ncw=")</f>
        <v>#VALUE!</v>
      </c>
      <c r="GX217" t="e">
        <f>AND('STERLING CATALOG - DRY '!G4876,"AAAAAH9/Nc0=")</f>
        <v>#VALUE!</v>
      </c>
      <c r="GY217" t="e">
        <f>AND('STERLING CATALOG - DRY '!H4876,"AAAAAH9/Nc4=")</f>
        <v>#VALUE!</v>
      </c>
      <c r="GZ217" t="e">
        <f>AND('STERLING CATALOG - DRY '!I4876,"AAAAAH9/Nc8=")</f>
        <v>#VALUE!</v>
      </c>
      <c r="HA217" t="e">
        <f>AND('STERLING CATALOG - DRY '!J4876,"AAAAAH9/NdA=")</f>
        <v>#VALUE!</v>
      </c>
      <c r="HB217">
        <f>IF('STERLING CATALOG - DRY '!4877:4877,"AAAAAH9/NdE=",0)</f>
        <v>0</v>
      </c>
      <c r="HC217" t="e">
        <f>AND('STERLING CATALOG - DRY '!A4877,"AAAAAH9/NdI=")</f>
        <v>#VALUE!</v>
      </c>
      <c r="HD217" t="e">
        <f>AND('STERLING CATALOG - DRY '!B4877,"AAAAAH9/NdM=")</f>
        <v>#VALUE!</v>
      </c>
      <c r="HE217" t="e">
        <f>AND('STERLING CATALOG - DRY '!C4877,"AAAAAH9/NdQ=")</f>
        <v>#VALUE!</v>
      </c>
      <c r="HF217" t="e">
        <f>AND('STERLING CATALOG - DRY '!D4877,"AAAAAH9/NdU=")</f>
        <v>#VALUE!</v>
      </c>
      <c r="HG217" t="e">
        <f>AND('STERLING CATALOG - DRY '!E4877,"AAAAAH9/NdY=")</f>
        <v>#VALUE!</v>
      </c>
      <c r="HH217" t="e">
        <f>AND('STERLING CATALOG - DRY '!F4877,"AAAAAH9/Ndc=")</f>
        <v>#VALUE!</v>
      </c>
      <c r="HI217" t="e">
        <f>AND('STERLING CATALOG - DRY '!G4877,"AAAAAH9/Ndg=")</f>
        <v>#VALUE!</v>
      </c>
      <c r="HJ217" t="e">
        <f>AND('STERLING CATALOG - DRY '!H4877,"AAAAAH9/Ndk=")</f>
        <v>#VALUE!</v>
      </c>
      <c r="HK217" t="e">
        <f>AND('STERLING CATALOG - DRY '!I4877,"AAAAAH9/Ndo=")</f>
        <v>#VALUE!</v>
      </c>
      <c r="HL217" t="e">
        <f>AND('STERLING CATALOG - DRY '!J4877,"AAAAAH9/Nds=")</f>
        <v>#VALUE!</v>
      </c>
      <c r="HM217">
        <f>IF('STERLING CATALOG - DRY '!4878:4878,"AAAAAH9/Ndw=",0)</f>
        <v>0</v>
      </c>
      <c r="HN217" t="e">
        <f>AND('STERLING CATALOG - DRY '!A4878,"AAAAAH9/Nd0=")</f>
        <v>#VALUE!</v>
      </c>
      <c r="HO217" t="e">
        <f>AND('STERLING CATALOG - DRY '!B4878,"AAAAAH9/Nd4=")</f>
        <v>#VALUE!</v>
      </c>
      <c r="HP217" t="e">
        <f>AND('STERLING CATALOG - DRY '!C4878,"AAAAAH9/Nd8=")</f>
        <v>#VALUE!</v>
      </c>
      <c r="HQ217" t="e">
        <f>AND('STERLING CATALOG - DRY '!D4878,"AAAAAH9/NeA=")</f>
        <v>#VALUE!</v>
      </c>
      <c r="HR217" t="e">
        <f>AND('STERLING CATALOG - DRY '!E4878,"AAAAAH9/NeE=")</f>
        <v>#VALUE!</v>
      </c>
      <c r="HS217" t="e">
        <f>AND('STERLING CATALOG - DRY '!F4878,"AAAAAH9/NeI=")</f>
        <v>#VALUE!</v>
      </c>
      <c r="HT217" t="e">
        <f>AND('STERLING CATALOG - DRY '!G4878,"AAAAAH9/NeM=")</f>
        <v>#VALUE!</v>
      </c>
      <c r="HU217" t="e">
        <f>AND('STERLING CATALOG - DRY '!H4878,"AAAAAH9/NeQ=")</f>
        <v>#VALUE!</v>
      </c>
      <c r="HV217" t="e">
        <f>AND('STERLING CATALOG - DRY '!I4878,"AAAAAH9/NeU=")</f>
        <v>#VALUE!</v>
      </c>
      <c r="HW217" t="e">
        <f>AND('STERLING CATALOG - DRY '!J4878,"AAAAAH9/NeY=")</f>
        <v>#VALUE!</v>
      </c>
      <c r="HX217">
        <f>IF('STERLING CATALOG - DRY '!4879:4879,"AAAAAH9/Nec=",0)</f>
        <v>0</v>
      </c>
      <c r="HY217" t="e">
        <f>AND('STERLING CATALOG - DRY '!A4879,"AAAAAH9/Neg=")</f>
        <v>#VALUE!</v>
      </c>
      <c r="HZ217" t="e">
        <f>AND('STERLING CATALOG - DRY '!B4879,"AAAAAH9/Nek=")</f>
        <v>#VALUE!</v>
      </c>
      <c r="IA217" t="e">
        <f>AND('STERLING CATALOG - DRY '!C4879,"AAAAAH9/Neo=")</f>
        <v>#VALUE!</v>
      </c>
      <c r="IB217" t="e">
        <f>AND('STERLING CATALOG - DRY '!D4879,"AAAAAH9/Nes=")</f>
        <v>#VALUE!</v>
      </c>
      <c r="IC217" t="e">
        <f>AND('STERLING CATALOG - DRY '!E4879,"AAAAAH9/New=")</f>
        <v>#VALUE!</v>
      </c>
      <c r="ID217" t="e">
        <f>AND('STERLING CATALOG - DRY '!F4879,"AAAAAH9/Ne0=")</f>
        <v>#VALUE!</v>
      </c>
      <c r="IE217" t="e">
        <f>AND('STERLING CATALOG - DRY '!G4879,"AAAAAH9/Ne4=")</f>
        <v>#VALUE!</v>
      </c>
      <c r="IF217" t="e">
        <f>AND('STERLING CATALOG - DRY '!H4879,"AAAAAH9/Ne8=")</f>
        <v>#VALUE!</v>
      </c>
      <c r="IG217" t="e">
        <f>AND('STERLING CATALOG - DRY '!I4879,"AAAAAH9/NfA=")</f>
        <v>#VALUE!</v>
      </c>
      <c r="IH217" t="e">
        <f>AND('STERLING CATALOG - DRY '!J4879,"AAAAAH9/NfE=")</f>
        <v>#VALUE!</v>
      </c>
      <c r="II217">
        <f>IF('STERLING CATALOG - DRY '!4880:4880,"AAAAAH9/NfI=",0)</f>
        <v>0</v>
      </c>
      <c r="IJ217" t="e">
        <f>AND('STERLING CATALOG - DRY '!A4880,"AAAAAH9/NfM=")</f>
        <v>#VALUE!</v>
      </c>
      <c r="IK217" t="e">
        <f>AND('STERLING CATALOG - DRY '!B4880,"AAAAAH9/NfQ=")</f>
        <v>#VALUE!</v>
      </c>
      <c r="IL217" t="e">
        <f>AND('STERLING CATALOG - DRY '!C4880,"AAAAAH9/NfU=")</f>
        <v>#VALUE!</v>
      </c>
      <c r="IM217" t="e">
        <f>AND('STERLING CATALOG - DRY '!D4880,"AAAAAH9/NfY=")</f>
        <v>#VALUE!</v>
      </c>
      <c r="IN217" t="e">
        <f>AND('STERLING CATALOG - DRY '!E4880,"AAAAAH9/Nfc=")</f>
        <v>#VALUE!</v>
      </c>
      <c r="IO217" t="e">
        <f>AND('STERLING CATALOG - DRY '!F4880,"AAAAAH9/Nfg=")</f>
        <v>#VALUE!</v>
      </c>
      <c r="IP217" t="e">
        <f>AND('STERLING CATALOG - DRY '!G4880,"AAAAAH9/Nfk=")</f>
        <v>#VALUE!</v>
      </c>
      <c r="IQ217" t="e">
        <f>AND('STERLING CATALOG - DRY '!H4880,"AAAAAH9/Nfo=")</f>
        <v>#VALUE!</v>
      </c>
      <c r="IR217" t="e">
        <f>AND('STERLING CATALOG - DRY '!I4880,"AAAAAH9/Nfs=")</f>
        <v>#VALUE!</v>
      </c>
      <c r="IS217" t="e">
        <f>AND('STERLING CATALOG - DRY '!J4880,"AAAAAH9/Nfw=")</f>
        <v>#VALUE!</v>
      </c>
      <c r="IT217">
        <f>IF('STERLING CATALOG - DRY '!4881:4881,"AAAAAH9/Nf0=",0)</f>
        <v>0</v>
      </c>
      <c r="IU217" t="e">
        <f>AND('STERLING CATALOG - DRY '!A4881,"AAAAAH9/Nf4=")</f>
        <v>#VALUE!</v>
      </c>
      <c r="IV217" t="e">
        <f>AND('STERLING CATALOG - DRY '!B4881,"AAAAAH9/Nf8=")</f>
        <v>#VALUE!</v>
      </c>
    </row>
    <row r="218" spans="1:256">
      <c r="A218" t="e">
        <f>AND('STERLING CATALOG - DRY '!C4881,"AAAAAH+7/wA=")</f>
        <v>#VALUE!</v>
      </c>
      <c r="B218" t="e">
        <f>AND('STERLING CATALOG - DRY '!D4881,"AAAAAH+7/wE=")</f>
        <v>#VALUE!</v>
      </c>
      <c r="C218" t="e">
        <f>AND('STERLING CATALOG - DRY '!E4881,"AAAAAH+7/wI=")</f>
        <v>#VALUE!</v>
      </c>
      <c r="D218" t="e">
        <f>AND('STERLING CATALOG - DRY '!F4881,"AAAAAH+7/wM=")</f>
        <v>#VALUE!</v>
      </c>
      <c r="E218" t="e">
        <f>AND('STERLING CATALOG - DRY '!G4881,"AAAAAH+7/wQ=")</f>
        <v>#VALUE!</v>
      </c>
      <c r="F218" t="e">
        <f>AND('STERLING CATALOG - DRY '!H4881,"AAAAAH+7/wU=")</f>
        <v>#VALUE!</v>
      </c>
      <c r="G218" t="e">
        <f>AND('STERLING CATALOG - DRY '!I4881,"AAAAAH+7/wY=")</f>
        <v>#VALUE!</v>
      </c>
      <c r="H218" t="e">
        <f>AND('STERLING CATALOG - DRY '!J4881,"AAAAAH+7/wc=")</f>
        <v>#VALUE!</v>
      </c>
      <c r="I218" t="e">
        <f>IF('STERLING CATALOG - DRY '!4882:4882,"AAAAAH+7/wg=",0)</f>
        <v>#VALUE!</v>
      </c>
      <c r="J218" t="e">
        <f>AND('STERLING CATALOG - DRY '!A4882,"AAAAAH+7/wk=")</f>
        <v>#VALUE!</v>
      </c>
      <c r="K218" t="e">
        <f>AND('STERLING CATALOG - DRY '!B4882,"AAAAAH+7/wo=")</f>
        <v>#VALUE!</v>
      </c>
      <c r="L218" t="e">
        <f>AND('STERLING CATALOG - DRY '!C4882,"AAAAAH+7/ws=")</f>
        <v>#VALUE!</v>
      </c>
      <c r="M218" t="e">
        <f>AND('STERLING CATALOG - DRY '!D4882,"AAAAAH+7/ww=")</f>
        <v>#VALUE!</v>
      </c>
      <c r="N218" t="e">
        <f>AND('STERLING CATALOG - DRY '!E4882,"AAAAAH+7/w0=")</f>
        <v>#VALUE!</v>
      </c>
      <c r="O218" t="e">
        <f>AND('STERLING CATALOG - DRY '!F4882,"AAAAAH+7/w4=")</f>
        <v>#VALUE!</v>
      </c>
      <c r="P218" t="e">
        <f>AND('STERLING CATALOG - DRY '!G4882,"AAAAAH+7/w8=")</f>
        <v>#VALUE!</v>
      </c>
      <c r="Q218" t="e">
        <f>AND('STERLING CATALOG - DRY '!H4882,"AAAAAH+7/xA=")</f>
        <v>#VALUE!</v>
      </c>
      <c r="R218" t="e">
        <f>AND('STERLING CATALOG - DRY '!I4882,"AAAAAH+7/xE=")</f>
        <v>#VALUE!</v>
      </c>
      <c r="S218" t="e">
        <f>AND('STERLING CATALOG - DRY '!J4882,"AAAAAH+7/xI=")</f>
        <v>#VALUE!</v>
      </c>
      <c r="T218">
        <f>IF('STERLING CATALOG - DRY '!4883:4883,"AAAAAH+7/xM=",0)</f>
        <v>0</v>
      </c>
      <c r="U218" t="e">
        <f>AND('STERLING CATALOG - DRY '!A4883,"AAAAAH+7/xQ=")</f>
        <v>#VALUE!</v>
      </c>
      <c r="V218" t="e">
        <f>AND('STERLING CATALOG - DRY '!B4883,"AAAAAH+7/xU=")</f>
        <v>#VALUE!</v>
      </c>
      <c r="W218" t="e">
        <f>AND('STERLING CATALOG - DRY '!C4883,"AAAAAH+7/xY=")</f>
        <v>#VALUE!</v>
      </c>
      <c r="X218" t="e">
        <f>AND('STERLING CATALOG - DRY '!D4883,"AAAAAH+7/xc=")</f>
        <v>#VALUE!</v>
      </c>
      <c r="Y218" t="e">
        <f>AND('STERLING CATALOG - DRY '!E4883,"AAAAAH+7/xg=")</f>
        <v>#VALUE!</v>
      </c>
      <c r="Z218" t="e">
        <f>AND('STERLING CATALOG - DRY '!F4883,"AAAAAH+7/xk=")</f>
        <v>#VALUE!</v>
      </c>
      <c r="AA218" t="e">
        <f>AND('STERLING CATALOG - DRY '!G4883,"AAAAAH+7/xo=")</f>
        <v>#VALUE!</v>
      </c>
      <c r="AB218" t="e">
        <f>AND('STERLING CATALOG - DRY '!H4883,"AAAAAH+7/xs=")</f>
        <v>#VALUE!</v>
      </c>
      <c r="AC218" t="e">
        <f>AND('STERLING CATALOG - DRY '!I4883,"AAAAAH+7/xw=")</f>
        <v>#VALUE!</v>
      </c>
      <c r="AD218" t="e">
        <f>AND('STERLING CATALOG - DRY '!J4883,"AAAAAH+7/x0=")</f>
        <v>#VALUE!</v>
      </c>
      <c r="AE218">
        <f>IF('STERLING CATALOG - DRY '!4884:4884,"AAAAAH+7/x4=",0)</f>
        <v>0</v>
      </c>
      <c r="AF218" t="e">
        <f>AND('STERLING CATALOG - DRY '!A4884,"AAAAAH+7/x8=")</f>
        <v>#VALUE!</v>
      </c>
      <c r="AG218" t="e">
        <f>AND('STERLING CATALOG - DRY '!B4884,"AAAAAH+7/yA=")</f>
        <v>#VALUE!</v>
      </c>
      <c r="AH218" t="e">
        <f>AND('STERLING CATALOG - DRY '!C4884,"AAAAAH+7/yE=")</f>
        <v>#VALUE!</v>
      </c>
      <c r="AI218" t="e">
        <f>AND('STERLING CATALOG - DRY '!D4884,"AAAAAH+7/yI=")</f>
        <v>#VALUE!</v>
      </c>
      <c r="AJ218" t="e">
        <f>AND('STERLING CATALOG - DRY '!E4884,"AAAAAH+7/yM=")</f>
        <v>#VALUE!</v>
      </c>
      <c r="AK218" t="e">
        <f>AND('STERLING CATALOG - DRY '!F4884,"AAAAAH+7/yQ=")</f>
        <v>#VALUE!</v>
      </c>
      <c r="AL218" t="e">
        <f>AND('STERLING CATALOG - DRY '!G4884,"AAAAAH+7/yU=")</f>
        <v>#VALUE!</v>
      </c>
      <c r="AM218" t="e">
        <f>AND('STERLING CATALOG - DRY '!H4884,"AAAAAH+7/yY=")</f>
        <v>#VALUE!</v>
      </c>
      <c r="AN218" t="e">
        <f>AND('STERLING CATALOG - DRY '!I4884,"AAAAAH+7/yc=")</f>
        <v>#VALUE!</v>
      </c>
      <c r="AO218" t="e">
        <f>AND('STERLING CATALOG - DRY '!J4884,"AAAAAH+7/yg=")</f>
        <v>#VALUE!</v>
      </c>
      <c r="AP218">
        <f>IF('STERLING CATALOG - DRY '!4885:4885,"AAAAAH+7/yk=",0)</f>
        <v>0</v>
      </c>
      <c r="AQ218" t="e">
        <f>AND('STERLING CATALOG - DRY '!A4885,"AAAAAH+7/yo=")</f>
        <v>#VALUE!</v>
      </c>
      <c r="AR218" t="e">
        <f>AND('STERLING CATALOG - DRY '!B4885,"AAAAAH+7/ys=")</f>
        <v>#VALUE!</v>
      </c>
      <c r="AS218" t="e">
        <f>AND('STERLING CATALOG - DRY '!C4885,"AAAAAH+7/yw=")</f>
        <v>#VALUE!</v>
      </c>
      <c r="AT218" t="e">
        <f>AND('STERLING CATALOG - DRY '!D4885,"AAAAAH+7/y0=")</f>
        <v>#VALUE!</v>
      </c>
      <c r="AU218" t="e">
        <f>AND('STERLING CATALOG - DRY '!E4885,"AAAAAH+7/y4=")</f>
        <v>#VALUE!</v>
      </c>
      <c r="AV218" t="e">
        <f>AND('STERLING CATALOG - DRY '!F4885,"AAAAAH+7/y8=")</f>
        <v>#VALUE!</v>
      </c>
      <c r="AW218" t="e">
        <f>AND('STERLING CATALOG - DRY '!G4885,"AAAAAH+7/zA=")</f>
        <v>#VALUE!</v>
      </c>
      <c r="AX218" t="e">
        <f>AND('STERLING CATALOG - DRY '!H4885,"AAAAAH+7/zE=")</f>
        <v>#VALUE!</v>
      </c>
      <c r="AY218" t="e">
        <f>AND('STERLING CATALOG - DRY '!I4885,"AAAAAH+7/zI=")</f>
        <v>#VALUE!</v>
      </c>
      <c r="AZ218" t="e">
        <f>AND('STERLING CATALOG - DRY '!J4885,"AAAAAH+7/zM=")</f>
        <v>#VALUE!</v>
      </c>
      <c r="BA218">
        <f>IF('STERLING CATALOG - DRY '!4886:4886,"AAAAAH+7/zQ=",0)</f>
        <v>0</v>
      </c>
      <c r="BB218" t="e">
        <f>AND('STERLING CATALOG - DRY '!A4886,"AAAAAH+7/zU=")</f>
        <v>#VALUE!</v>
      </c>
      <c r="BC218" t="e">
        <f>AND('STERLING CATALOG - DRY '!B4886,"AAAAAH+7/zY=")</f>
        <v>#VALUE!</v>
      </c>
      <c r="BD218" t="e">
        <f>AND('STERLING CATALOG - DRY '!C4886,"AAAAAH+7/zc=")</f>
        <v>#VALUE!</v>
      </c>
      <c r="BE218" t="e">
        <f>AND('STERLING CATALOG - DRY '!D4886,"AAAAAH+7/zg=")</f>
        <v>#VALUE!</v>
      </c>
      <c r="BF218" t="e">
        <f>AND('STERLING CATALOG - DRY '!E4886,"AAAAAH+7/zk=")</f>
        <v>#VALUE!</v>
      </c>
      <c r="BG218" t="e">
        <f>AND('STERLING CATALOG - DRY '!F4886,"AAAAAH+7/zo=")</f>
        <v>#VALUE!</v>
      </c>
      <c r="BH218" t="e">
        <f>AND('STERLING CATALOG - DRY '!G4886,"AAAAAH+7/zs=")</f>
        <v>#VALUE!</v>
      </c>
      <c r="BI218" t="e">
        <f>AND('STERLING CATALOG - DRY '!H4886,"AAAAAH+7/zw=")</f>
        <v>#VALUE!</v>
      </c>
      <c r="BJ218" t="e">
        <f>AND('STERLING CATALOG - DRY '!I4886,"AAAAAH+7/z0=")</f>
        <v>#VALUE!</v>
      </c>
      <c r="BK218" t="e">
        <f>AND('STERLING CATALOG - DRY '!J4886,"AAAAAH+7/z4=")</f>
        <v>#VALUE!</v>
      </c>
      <c r="BL218">
        <f>IF('STERLING CATALOG - DRY '!4887:4887,"AAAAAH+7/z8=",0)</f>
        <v>0</v>
      </c>
      <c r="BM218" t="e">
        <f>AND('STERLING CATALOG - DRY '!A4887,"AAAAAH+7/0A=")</f>
        <v>#VALUE!</v>
      </c>
      <c r="BN218" t="e">
        <f>AND('STERLING CATALOG - DRY '!B4887,"AAAAAH+7/0E=")</f>
        <v>#VALUE!</v>
      </c>
      <c r="BO218" t="e">
        <f>AND('STERLING CATALOG - DRY '!C4887,"AAAAAH+7/0I=")</f>
        <v>#VALUE!</v>
      </c>
      <c r="BP218" t="e">
        <f>AND('STERLING CATALOG - DRY '!D4887,"AAAAAH+7/0M=")</f>
        <v>#VALUE!</v>
      </c>
      <c r="BQ218" t="e">
        <f>AND('STERLING CATALOG - DRY '!E4887,"AAAAAH+7/0Q=")</f>
        <v>#VALUE!</v>
      </c>
      <c r="BR218" t="e">
        <f>AND('STERLING CATALOG - DRY '!F4887,"AAAAAH+7/0U=")</f>
        <v>#VALUE!</v>
      </c>
      <c r="BS218" t="e">
        <f>AND('STERLING CATALOG - DRY '!G4887,"AAAAAH+7/0Y=")</f>
        <v>#VALUE!</v>
      </c>
      <c r="BT218" t="e">
        <f>AND('STERLING CATALOG - DRY '!H4887,"AAAAAH+7/0c=")</f>
        <v>#VALUE!</v>
      </c>
      <c r="BU218" t="e">
        <f>AND('STERLING CATALOG - DRY '!I4887,"AAAAAH+7/0g=")</f>
        <v>#VALUE!</v>
      </c>
      <c r="BV218" t="e">
        <f>AND('STERLING CATALOG - DRY '!J4887,"AAAAAH+7/0k=")</f>
        <v>#VALUE!</v>
      </c>
      <c r="BW218">
        <f>IF('STERLING CATALOG - DRY '!4888:4888,"AAAAAH+7/0o=",0)</f>
        <v>0</v>
      </c>
      <c r="BX218" t="e">
        <f>AND('STERLING CATALOG - DRY '!A4888,"AAAAAH+7/0s=")</f>
        <v>#VALUE!</v>
      </c>
      <c r="BY218" t="e">
        <f>AND('STERLING CATALOG - DRY '!B4888,"AAAAAH+7/0w=")</f>
        <v>#VALUE!</v>
      </c>
      <c r="BZ218" t="e">
        <f>AND('STERLING CATALOG - DRY '!C4888,"AAAAAH+7/00=")</f>
        <v>#VALUE!</v>
      </c>
      <c r="CA218" t="e">
        <f>AND('STERLING CATALOG - DRY '!D4888,"AAAAAH+7/04=")</f>
        <v>#VALUE!</v>
      </c>
      <c r="CB218" t="e">
        <f>AND('STERLING CATALOG - DRY '!E4888,"AAAAAH+7/08=")</f>
        <v>#VALUE!</v>
      </c>
      <c r="CC218" t="e">
        <f>AND('STERLING CATALOG - DRY '!F4888,"AAAAAH+7/1A=")</f>
        <v>#VALUE!</v>
      </c>
      <c r="CD218" t="e">
        <f>AND('STERLING CATALOG - DRY '!G4888,"AAAAAH+7/1E=")</f>
        <v>#VALUE!</v>
      </c>
      <c r="CE218" t="e">
        <f>AND('STERLING CATALOG - DRY '!H4888,"AAAAAH+7/1I=")</f>
        <v>#VALUE!</v>
      </c>
      <c r="CF218" t="e">
        <f>AND('STERLING CATALOG - DRY '!I4888,"AAAAAH+7/1M=")</f>
        <v>#VALUE!</v>
      </c>
      <c r="CG218" t="e">
        <f>AND('STERLING CATALOG - DRY '!J4888,"AAAAAH+7/1Q=")</f>
        <v>#VALUE!</v>
      </c>
      <c r="CH218">
        <f>IF('STERLING CATALOG - DRY '!4889:4889,"AAAAAH+7/1U=",0)</f>
        <v>0</v>
      </c>
      <c r="CI218" t="e">
        <f>AND('STERLING CATALOG - DRY '!A4889,"AAAAAH+7/1Y=")</f>
        <v>#VALUE!</v>
      </c>
      <c r="CJ218" t="e">
        <f>AND('STERLING CATALOG - DRY '!B4889,"AAAAAH+7/1c=")</f>
        <v>#VALUE!</v>
      </c>
      <c r="CK218" t="e">
        <f>AND('STERLING CATALOG - DRY '!C4889,"AAAAAH+7/1g=")</f>
        <v>#VALUE!</v>
      </c>
      <c r="CL218" t="e">
        <f>AND('STERLING CATALOG - DRY '!D4889,"AAAAAH+7/1k=")</f>
        <v>#VALUE!</v>
      </c>
      <c r="CM218" t="e">
        <f>AND('STERLING CATALOG - DRY '!E4889,"AAAAAH+7/1o=")</f>
        <v>#VALUE!</v>
      </c>
      <c r="CN218" t="e">
        <f>AND('STERLING CATALOG - DRY '!F4889,"AAAAAH+7/1s=")</f>
        <v>#VALUE!</v>
      </c>
      <c r="CO218" t="e">
        <f>AND('STERLING CATALOG - DRY '!G4889,"AAAAAH+7/1w=")</f>
        <v>#VALUE!</v>
      </c>
      <c r="CP218" t="e">
        <f>AND('STERLING CATALOG - DRY '!H4889,"AAAAAH+7/10=")</f>
        <v>#VALUE!</v>
      </c>
      <c r="CQ218" t="e">
        <f>AND('STERLING CATALOG - DRY '!I4889,"AAAAAH+7/14=")</f>
        <v>#VALUE!</v>
      </c>
      <c r="CR218" t="e">
        <f>AND('STERLING CATALOG - DRY '!J4889,"AAAAAH+7/18=")</f>
        <v>#VALUE!</v>
      </c>
      <c r="CS218">
        <f>IF('STERLING CATALOG - DRY '!4890:4890,"AAAAAH+7/2A=",0)</f>
        <v>0</v>
      </c>
      <c r="CT218" t="e">
        <f>AND('STERLING CATALOG - DRY '!A4890,"AAAAAH+7/2E=")</f>
        <v>#VALUE!</v>
      </c>
      <c r="CU218" t="e">
        <f>AND('STERLING CATALOG - DRY '!B4890,"AAAAAH+7/2I=")</f>
        <v>#VALUE!</v>
      </c>
      <c r="CV218" t="e">
        <f>AND('STERLING CATALOG - DRY '!C4890,"AAAAAH+7/2M=")</f>
        <v>#VALUE!</v>
      </c>
      <c r="CW218" t="e">
        <f>AND('STERLING CATALOG - DRY '!D4890,"AAAAAH+7/2Q=")</f>
        <v>#VALUE!</v>
      </c>
      <c r="CX218" t="e">
        <f>AND('STERLING CATALOG - DRY '!E4890,"AAAAAH+7/2U=")</f>
        <v>#VALUE!</v>
      </c>
      <c r="CY218" t="e">
        <f>AND('STERLING CATALOG - DRY '!F4890,"AAAAAH+7/2Y=")</f>
        <v>#VALUE!</v>
      </c>
      <c r="CZ218" t="e">
        <f>AND('STERLING CATALOG - DRY '!G4890,"AAAAAH+7/2c=")</f>
        <v>#VALUE!</v>
      </c>
      <c r="DA218" t="e">
        <f>AND('STERLING CATALOG - DRY '!H4890,"AAAAAH+7/2g=")</f>
        <v>#VALUE!</v>
      </c>
      <c r="DB218" t="e">
        <f>AND('STERLING CATALOG - DRY '!I4890,"AAAAAH+7/2k=")</f>
        <v>#VALUE!</v>
      </c>
      <c r="DC218" t="e">
        <f>AND('STERLING CATALOG - DRY '!J4890,"AAAAAH+7/2o=")</f>
        <v>#VALUE!</v>
      </c>
      <c r="DD218">
        <f>IF('STERLING CATALOG - DRY '!4891:4891,"AAAAAH+7/2s=",0)</f>
        <v>0</v>
      </c>
      <c r="DE218" t="e">
        <f>AND('STERLING CATALOG - DRY '!A4891,"AAAAAH+7/2w=")</f>
        <v>#VALUE!</v>
      </c>
      <c r="DF218" t="e">
        <f>AND('STERLING CATALOG - DRY '!B4891,"AAAAAH+7/20=")</f>
        <v>#VALUE!</v>
      </c>
      <c r="DG218" t="e">
        <f>AND('STERLING CATALOG - DRY '!C4891,"AAAAAH+7/24=")</f>
        <v>#VALUE!</v>
      </c>
      <c r="DH218" t="e">
        <f>AND('STERLING CATALOG - DRY '!D4891,"AAAAAH+7/28=")</f>
        <v>#VALUE!</v>
      </c>
      <c r="DI218" t="e">
        <f>AND('STERLING CATALOG - DRY '!E4891,"AAAAAH+7/3A=")</f>
        <v>#VALUE!</v>
      </c>
      <c r="DJ218" t="e">
        <f>AND('STERLING CATALOG - DRY '!F4891,"AAAAAH+7/3E=")</f>
        <v>#VALUE!</v>
      </c>
      <c r="DK218" t="e">
        <f>AND('STERLING CATALOG - DRY '!G4891,"AAAAAH+7/3I=")</f>
        <v>#VALUE!</v>
      </c>
      <c r="DL218" t="e">
        <f>AND('STERLING CATALOG - DRY '!H4891,"AAAAAH+7/3M=")</f>
        <v>#VALUE!</v>
      </c>
      <c r="DM218" t="e">
        <f>AND('STERLING CATALOG - DRY '!I4891,"AAAAAH+7/3Q=")</f>
        <v>#VALUE!</v>
      </c>
      <c r="DN218" t="e">
        <f>AND('STERLING CATALOG - DRY '!J4891,"AAAAAH+7/3U=")</f>
        <v>#VALUE!</v>
      </c>
      <c r="DO218">
        <f>IF('STERLING CATALOG - DRY '!4892:4892,"AAAAAH+7/3Y=",0)</f>
        <v>0</v>
      </c>
      <c r="DP218" t="e">
        <f>AND('STERLING CATALOG - DRY '!A4892,"AAAAAH+7/3c=")</f>
        <v>#VALUE!</v>
      </c>
      <c r="DQ218" t="e">
        <f>AND('STERLING CATALOG - DRY '!B4892,"AAAAAH+7/3g=")</f>
        <v>#VALUE!</v>
      </c>
      <c r="DR218" t="e">
        <f>AND('STERLING CATALOG - DRY '!C4892,"AAAAAH+7/3k=")</f>
        <v>#VALUE!</v>
      </c>
      <c r="DS218" t="e">
        <f>AND('STERLING CATALOG - DRY '!D4892,"AAAAAH+7/3o=")</f>
        <v>#VALUE!</v>
      </c>
      <c r="DT218" t="e">
        <f>AND('STERLING CATALOG - DRY '!E4892,"AAAAAH+7/3s=")</f>
        <v>#VALUE!</v>
      </c>
      <c r="DU218" t="e">
        <f>AND('STERLING CATALOG - DRY '!F4892,"AAAAAH+7/3w=")</f>
        <v>#VALUE!</v>
      </c>
      <c r="DV218" t="e">
        <f>AND('STERLING CATALOG - DRY '!G4892,"AAAAAH+7/30=")</f>
        <v>#VALUE!</v>
      </c>
      <c r="DW218" t="e">
        <f>AND('STERLING CATALOG - DRY '!H4892,"AAAAAH+7/34=")</f>
        <v>#VALUE!</v>
      </c>
      <c r="DX218" t="e">
        <f>AND('STERLING CATALOG - DRY '!I4892,"AAAAAH+7/38=")</f>
        <v>#VALUE!</v>
      </c>
      <c r="DY218" t="e">
        <f>AND('STERLING CATALOG - DRY '!J4892,"AAAAAH+7/4A=")</f>
        <v>#VALUE!</v>
      </c>
      <c r="DZ218">
        <f>IF('STERLING CATALOG - DRY '!4893:4893,"AAAAAH+7/4E=",0)</f>
        <v>0</v>
      </c>
      <c r="EA218" t="e">
        <f>AND('STERLING CATALOG - DRY '!A4893,"AAAAAH+7/4I=")</f>
        <v>#VALUE!</v>
      </c>
      <c r="EB218" t="e">
        <f>AND('STERLING CATALOG - DRY '!B4893,"AAAAAH+7/4M=")</f>
        <v>#VALUE!</v>
      </c>
      <c r="EC218" t="e">
        <f>AND('STERLING CATALOG - DRY '!C4893,"AAAAAH+7/4Q=")</f>
        <v>#VALUE!</v>
      </c>
      <c r="ED218" t="e">
        <f>AND('STERLING CATALOG - DRY '!D4893,"AAAAAH+7/4U=")</f>
        <v>#VALUE!</v>
      </c>
      <c r="EE218" t="e">
        <f>AND('STERLING CATALOG - DRY '!E4893,"AAAAAH+7/4Y=")</f>
        <v>#VALUE!</v>
      </c>
      <c r="EF218" t="e">
        <f>AND('STERLING CATALOG - DRY '!F4893,"AAAAAH+7/4c=")</f>
        <v>#VALUE!</v>
      </c>
      <c r="EG218" t="e">
        <f>AND('STERLING CATALOG - DRY '!G4893,"AAAAAH+7/4g=")</f>
        <v>#VALUE!</v>
      </c>
      <c r="EH218" t="e">
        <f>AND('STERLING CATALOG - DRY '!H4893,"AAAAAH+7/4k=")</f>
        <v>#VALUE!</v>
      </c>
      <c r="EI218" t="e">
        <f>AND('STERLING CATALOG - DRY '!I4893,"AAAAAH+7/4o=")</f>
        <v>#VALUE!</v>
      </c>
      <c r="EJ218" t="e">
        <f>AND('STERLING CATALOG - DRY '!J4893,"AAAAAH+7/4s=")</f>
        <v>#VALUE!</v>
      </c>
      <c r="EK218">
        <f>IF('STERLING CATALOG - DRY '!4894:4894,"AAAAAH+7/4w=",0)</f>
        <v>0</v>
      </c>
      <c r="EL218" t="e">
        <f>AND('STERLING CATALOG - DRY '!A4894,"AAAAAH+7/40=")</f>
        <v>#VALUE!</v>
      </c>
      <c r="EM218" t="e">
        <f>AND('STERLING CATALOG - DRY '!B4894,"AAAAAH+7/44=")</f>
        <v>#VALUE!</v>
      </c>
      <c r="EN218" t="e">
        <f>AND('STERLING CATALOG - DRY '!C4894,"AAAAAH+7/48=")</f>
        <v>#VALUE!</v>
      </c>
      <c r="EO218" t="e">
        <f>AND('STERLING CATALOG - DRY '!D4894,"AAAAAH+7/5A=")</f>
        <v>#VALUE!</v>
      </c>
      <c r="EP218" t="e">
        <f>AND('STERLING CATALOG - DRY '!E4894,"AAAAAH+7/5E=")</f>
        <v>#VALUE!</v>
      </c>
      <c r="EQ218" t="e">
        <f>AND('STERLING CATALOG - DRY '!F4894,"AAAAAH+7/5I=")</f>
        <v>#VALUE!</v>
      </c>
      <c r="ER218" t="e">
        <f>AND('STERLING CATALOG - DRY '!G4894,"AAAAAH+7/5M=")</f>
        <v>#VALUE!</v>
      </c>
      <c r="ES218" t="e">
        <f>AND('STERLING CATALOG - DRY '!H4894,"AAAAAH+7/5Q=")</f>
        <v>#VALUE!</v>
      </c>
      <c r="ET218" t="e">
        <f>AND('STERLING CATALOG - DRY '!I4894,"AAAAAH+7/5U=")</f>
        <v>#VALUE!</v>
      </c>
      <c r="EU218" t="e">
        <f>AND('STERLING CATALOG - DRY '!J4894,"AAAAAH+7/5Y=")</f>
        <v>#VALUE!</v>
      </c>
      <c r="EV218">
        <f>IF('STERLING CATALOG - DRY '!4895:4895,"AAAAAH+7/5c=",0)</f>
        <v>0</v>
      </c>
      <c r="EW218" t="e">
        <f>AND('STERLING CATALOG - DRY '!A4895,"AAAAAH+7/5g=")</f>
        <v>#VALUE!</v>
      </c>
      <c r="EX218" t="e">
        <f>AND('STERLING CATALOG - DRY '!B4895,"AAAAAH+7/5k=")</f>
        <v>#VALUE!</v>
      </c>
      <c r="EY218" t="e">
        <f>AND('STERLING CATALOG - DRY '!C4895,"AAAAAH+7/5o=")</f>
        <v>#VALUE!</v>
      </c>
      <c r="EZ218" t="e">
        <f>AND('STERLING CATALOG - DRY '!D4895,"AAAAAH+7/5s=")</f>
        <v>#VALUE!</v>
      </c>
      <c r="FA218" t="e">
        <f>AND('STERLING CATALOG - DRY '!E4895,"AAAAAH+7/5w=")</f>
        <v>#VALUE!</v>
      </c>
      <c r="FB218" t="e">
        <f>AND('STERLING CATALOG - DRY '!F4895,"AAAAAH+7/50=")</f>
        <v>#VALUE!</v>
      </c>
      <c r="FC218" t="e">
        <f>AND('STERLING CATALOG - DRY '!G4895,"AAAAAH+7/54=")</f>
        <v>#VALUE!</v>
      </c>
      <c r="FD218" t="e">
        <f>AND('STERLING CATALOG - DRY '!H4895,"AAAAAH+7/58=")</f>
        <v>#VALUE!</v>
      </c>
      <c r="FE218" t="e">
        <f>AND('STERLING CATALOG - DRY '!I4895,"AAAAAH+7/6A=")</f>
        <v>#VALUE!</v>
      </c>
      <c r="FF218" t="e">
        <f>AND('STERLING CATALOG - DRY '!J4895,"AAAAAH+7/6E=")</f>
        <v>#VALUE!</v>
      </c>
      <c r="FG218">
        <f>IF('STERLING CATALOG - DRY '!4896:4896,"AAAAAH+7/6I=",0)</f>
        <v>0</v>
      </c>
      <c r="FH218" t="e">
        <f>AND('STERLING CATALOG - DRY '!A4896,"AAAAAH+7/6M=")</f>
        <v>#VALUE!</v>
      </c>
      <c r="FI218" t="e">
        <f>AND('STERLING CATALOG - DRY '!B4896,"AAAAAH+7/6Q=")</f>
        <v>#VALUE!</v>
      </c>
      <c r="FJ218" t="e">
        <f>AND('STERLING CATALOG - DRY '!C4896,"AAAAAH+7/6U=")</f>
        <v>#VALUE!</v>
      </c>
      <c r="FK218" t="e">
        <f>AND('STERLING CATALOG - DRY '!D4896,"AAAAAH+7/6Y=")</f>
        <v>#VALUE!</v>
      </c>
      <c r="FL218" t="e">
        <f>AND('STERLING CATALOG - DRY '!E4896,"AAAAAH+7/6c=")</f>
        <v>#VALUE!</v>
      </c>
      <c r="FM218" t="e">
        <f>AND('STERLING CATALOG - DRY '!F4896,"AAAAAH+7/6g=")</f>
        <v>#VALUE!</v>
      </c>
      <c r="FN218" t="e">
        <f>AND('STERLING CATALOG - DRY '!G4896,"AAAAAH+7/6k=")</f>
        <v>#VALUE!</v>
      </c>
      <c r="FO218" t="e">
        <f>AND('STERLING CATALOG - DRY '!H4896,"AAAAAH+7/6o=")</f>
        <v>#VALUE!</v>
      </c>
      <c r="FP218" t="e">
        <f>AND('STERLING CATALOG - DRY '!I4896,"AAAAAH+7/6s=")</f>
        <v>#VALUE!</v>
      </c>
      <c r="FQ218" t="e">
        <f>AND('STERLING CATALOG - DRY '!J4896,"AAAAAH+7/6w=")</f>
        <v>#VALUE!</v>
      </c>
      <c r="FR218">
        <f>IF('STERLING CATALOG - DRY '!4897:4897,"AAAAAH+7/60=",0)</f>
        <v>0</v>
      </c>
      <c r="FS218" t="e">
        <f>AND('STERLING CATALOG - DRY '!A4897,"AAAAAH+7/64=")</f>
        <v>#VALUE!</v>
      </c>
      <c r="FT218" t="e">
        <f>AND('STERLING CATALOG - DRY '!B4897,"AAAAAH+7/68=")</f>
        <v>#VALUE!</v>
      </c>
      <c r="FU218" t="e">
        <f>AND('STERLING CATALOG - DRY '!C4897,"AAAAAH+7/7A=")</f>
        <v>#VALUE!</v>
      </c>
      <c r="FV218" t="e">
        <f>AND('STERLING CATALOG - DRY '!D4897,"AAAAAH+7/7E=")</f>
        <v>#VALUE!</v>
      </c>
      <c r="FW218" t="e">
        <f>AND('STERLING CATALOG - DRY '!E4897,"AAAAAH+7/7I=")</f>
        <v>#VALUE!</v>
      </c>
      <c r="FX218" t="e">
        <f>AND('STERLING CATALOG - DRY '!F4897,"AAAAAH+7/7M=")</f>
        <v>#VALUE!</v>
      </c>
      <c r="FY218" t="e">
        <f>AND('STERLING CATALOG - DRY '!G4897,"AAAAAH+7/7Q=")</f>
        <v>#VALUE!</v>
      </c>
      <c r="FZ218" t="e">
        <f>AND('STERLING CATALOG - DRY '!H4897,"AAAAAH+7/7U=")</f>
        <v>#VALUE!</v>
      </c>
      <c r="GA218" t="e">
        <f>AND('STERLING CATALOG - DRY '!I4897,"AAAAAH+7/7Y=")</f>
        <v>#VALUE!</v>
      </c>
      <c r="GB218" t="e">
        <f>AND('STERLING CATALOG - DRY '!J4897,"AAAAAH+7/7c=")</f>
        <v>#VALUE!</v>
      </c>
      <c r="GC218">
        <f>IF('STERLING CATALOG - DRY '!4898:4898,"AAAAAH+7/7g=",0)</f>
        <v>0</v>
      </c>
      <c r="GD218" t="e">
        <f>AND('STERLING CATALOG - DRY '!A4898,"AAAAAH+7/7k=")</f>
        <v>#VALUE!</v>
      </c>
      <c r="GE218" t="e">
        <f>AND('STERLING CATALOG - DRY '!B4898,"AAAAAH+7/7o=")</f>
        <v>#VALUE!</v>
      </c>
      <c r="GF218" t="e">
        <f>AND('STERLING CATALOG - DRY '!C4898,"AAAAAH+7/7s=")</f>
        <v>#VALUE!</v>
      </c>
      <c r="GG218" t="e">
        <f>AND('STERLING CATALOG - DRY '!D4898,"AAAAAH+7/7w=")</f>
        <v>#VALUE!</v>
      </c>
      <c r="GH218" t="e">
        <f>AND('STERLING CATALOG - DRY '!E4898,"AAAAAH+7/70=")</f>
        <v>#VALUE!</v>
      </c>
      <c r="GI218" t="e">
        <f>AND('STERLING CATALOG - DRY '!F4898,"AAAAAH+7/74=")</f>
        <v>#VALUE!</v>
      </c>
      <c r="GJ218" t="e">
        <f>AND('STERLING CATALOG - DRY '!G4898,"AAAAAH+7/78=")</f>
        <v>#VALUE!</v>
      </c>
      <c r="GK218" t="e">
        <f>AND('STERLING CATALOG - DRY '!H4898,"AAAAAH+7/8A=")</f>
        <v>#VALUE!</v>
      </c>
      <c r="GL218" t="e">
        <f>AND('STERLING CATALOG - DRY '!I4898,"AAAAAH+7/8E=")</f>
        <v>#VALUE!</v>
      </c>
      <c r="GM218" t="e">
        <f>AND('STERLING CATALOG - DRY '!J4898,"AAAAAH+7/8I=")</f>
        <v>#VALUE!</v>
      </c>
      <c r="GN218">
        <f>IF('STERLING CATALOG - DRY '!4899:4899,"AAAAAH+7/8M=",0)</f>
        <v>0</v>
      </c>
      <c r="GO218" t="e">
        <f>AND('STERLING CATALOG - DRY '!A4899,"AAAAAH+7/8Q=")</f>
        <v>#VALUE!</v>
      </c>
      <c r="GP218" t="e">
        <f>AND('STERLING CATALOG - DRY '!B4899,"AAAAAH+7/8U=")</f>
        <v>#VALUE!</v>
      </c>
      <c r="GQ218" t="e">
        <f>AND('STERLING CATALOG - DRY '!C4899,"AAAAAH+7/8Y=")</f>
        <v>#VALUE!</v>
      </c>
      <c r="GR218" t="e">
        <f>AND('STERLING CATALOG - DRY '!D4899,"AAAAAH+7/8c=")</f>
        <v>#VALUE!</v>
      </c>
      <c r="GS218" t="e">
        <f>AND('STERLING CATALOG - DRY '!E4899,"AAAAAH+7/8g=")</f>
        <v>#VALUE!</v>
      </c>
      <c r="GT218" t="e">
        <f>AND('STERLING CATALOG - DRY '!F4899,"AAAAAH+7/8k=")</f>
        <v>#VALUE!</v>
      </c>
      <c r="GU218" t="e">
        <f>AND('STERLING CATALOG - DRY '!G4899,"AAAAAH+7/8o=")</f>
        <v>#VALUE!</v>
      </c>
      <c r="GV218" t="e">
        <f>AND('STERLING CATALOG - DRY '!H4899,"AAAAAH+7/8s=")</f>
        <v>#VALUE!</v>
      </c>
      <c r="GW218" t="e">
        <f>AND('STERLING CATALOG - DRY '!I4899,"AAAAAH+7/8w=")</f>
        <v>#VALUE!</v>
      </c>
      <c r="GX218" t="e">
        <f>AND('STERLING CATALOG - DRY '!J4899,"AAAAAH+7/80=")</f>
        <v>#VALUE!</v>
      </c>
      <c r="GY218">
        <f>IF('STERLING CATALOG - DRY '!4900:4900,"AAAAAH+7/84=",0)</f>
        <v>0</v>
      </c>
      <c r="GZ218" t="e">
        <f>AND('STERLING CATALOG - DRY '!A4900,"AAAAAH+7/88=")</f>
        <v>#VALUE!</v>
      </c>
      <c r="HA218" t="e">
        <f>AND('STERLING CATALOG - DRY '!B4900,"AAAAAH+7/9A=")</f>
        <v>#VALUE!</v>
      </c>
      <c r="HB218" t="e">
        <f>AND('STERLING CATALOG - DRY '!C4900,"AAAAAH+7/9E=")</f>
        <v>#VALUE!</v>
      </c>
      <c r="HC218" t="e">
        <f>AND('STERLING CATALOG - DRY '!D4900,"AAAAAH+7/9I=")</f>
        <v>#VALUE!</v>
      </c>
      <c r="HD218" t="e">
        <f>AND('STERLING CATALOG - DRY '!E4900,"AAAAAH+7/9M=")</f>
        <v>#VALUE!</v>
      </c>
      <c r="HE218" t="e">
        <f>AND('STERLING CATALOG - DRY '!F4900,"AAAAAH+7/9Q=")</f>
        <v>#VALUE!</v>
      </c>
      <c r="HF218" t="e">
        <f>AND('STERLING CATALOG - DRY '!G4900,"AAAAAH+7/9U=")</f>
        <v>#VALUE!</v>
      </c>
      <c r="HG218" t="e">
        <f>AND('STERLING CATALOG - DRY '!H4900,"AAAAAH+7/9Y=")</f>
        <v>#VALUE!</v>
      </c>
      <c r="HH218" t="e">
        <f>AND('STERLING CATALOG - DRY '!I4900,"AAAAAH+7/9c=")</f>
        <v>#VALUE!</v>
      </c>
      <c r="HI218" t="e">
        <f>AND('STERLING CATALOG - DRY '!J4900,"AAAAAH+7/9g=")</f>
        <v>#VALUE!</v>
      </c>
      <c r="HJ218">
        <f>IF('STERLING CATALOG - DRY '!4901:4901,"AAAAAH+7/9k=",0)</f>
        <v>0</v>
      </c>
      <c r="HK218" t="e">
        <f>AND('STERLING CATALOG - DRY '!A4901,"AAAAAH+7/9o=")</f>
        <v>#VALUE!</v>
      </c>
      <c r="HL218" t="e">
        <f>AND('STERLING CATALOG - DRY '!B4901,"AAAAAH+7/9s=")</f>
        <v>#VALUE!</v>
      </c>
      <c r="HM218" t="e">
        <f>AND('STERLING CATALOG - DRY '!C4901,"AAAAAH+7/9w=")</f>
        <v>#VALUE!</v>
      </c>
      <c r="HN218" t="e">
        <f>AND('STERLING CATALOG - DRY '!D4901,"AAAAAH+7/90=")</f>
        <v>#VALUE!</v>
      </c>
      <c r="HO218" t="e">
        <f>AND('STERLING CATALOG - DRY '!E4901,"AAAAAH+7/94=")</f>
        <v>#VALUE!</v>
      </c>
      <c r="HP218" t="e">
        <f>AND('STERLING CATALOG - DRY '!F4901,"AAAAAH+7/98=")</f>
        <v>#VALUE!</v>
      </c>
      <c r="HQ218" t="e">
        <f>AND('STERLING CATALOG - DRY '!G4901,"AAAAAH+7/+A=")</f>
        <v>#VALUE!</v>
      </c>
      <c r="HR218" t="e">
        <f>AND('STERLING CATALOG - DRY '!H4901,"AAAAAH+7/+E=")</f>
        <v>#VALUE!</v>
      </c>
      <c r="HS218" t="e">
        <f>AND('STERLING CATALOG - DRY '!I4901,"AAAAAH+7/+I=")</f>
        <v>#VALUE!</v>
      </c>
      <c r="HT218" t="e">
        <f>AND('STERLING CATALOG - DRY '!J4901,"AAAAAH+7/+M=")</f>
        <v>#VALUE!</v>
      </c>
      <c r="HU218">
        <f>IF('STERLING CATALOG - DRY '!4902:4902,"AAAAAH+7/+Q=",0)</f>
        <v>0</v>
      </c>
      <c r="HV218" t="e">
        <f>AND('STERLING CATALOG - DRY '!A4902,"AAAAAH+7/+U=")</f>
        <v>#VALUE!</v>
      </c>
      <c r="HW218" t="e">
        <f>AND('STERLING CATALOG - DRY '!B4902,"AAAAAH+7/+Y=")</f>
        <v>#VALUE!</v>
      </c>
      <c r="HX218" t="e">
        <f>AND('STERLING CATALOG - DRY '!C4902,"AAAAAH+7/+c=")</f>
        <v>#VALUE!</v>
      </c>
      <c r="HY218" t="e">
        <f>AND('STERLING CATALOG - DRY '!D4902,"AAAAAH+7/+g=")</f>
        <v>#VALUE!</v>
      </c>
      <c r="HZ218" t="e">
        <f>AND('STERLING CATALOG - DRY '!E4902,"AAAAAH+7/+k=")</f>
        <v>#VALUE!</v>
      </c>
      <c r="IA218" t="e">
        <f>AND('STERLING CATALOG - DRY '!F4902,"AAAAAH+7/+o=")</f>
        <v>#VALUE!</v>
      </c>
      <c r="IB218" t="e">
        <f>AND('STERLING CATALOG - DRY '!G4902,"AAAAAH+7/+s=")</f>
        <v>#VALUE!</v>
      </c>
      <c r="IC218" t="e">
        <f>AND('STERLING CATALOG - DRY '!H4902,"AAAAAH+7/+w=")</f>
        <v>#VALUE!</v>
      </c>
      <c r="ID218" t="e">
        <f>AND('STERLING CATALOG - DRY '!I4902,"AAAAAH+7/+0=")</f>
        <v>#VALUE!</v>
      </c>
      <c r="IE218" t="e">
        <f>AND('STERLING CATALOG - DRY '!J4902,"AAAAAH+7/+4=")</f>
        <v>#VALUE!</v>
      </c>
      <c r="IF218">
        <f>IF('STERLING CATALOG - DRY '!4903:4903,"AAAAAH+7/+8=",0)</f>
        <v>0</v>
      </c>
      <c r="IG218" t="e">
        <f>AND('STERLING CATALOG - DRY '!A4903,"AAAAAH+7//A=")</f>
        <v>#VALUE!</v>
      </c>
      <c r="IH218" t="e">
        <f>AND('STERLING CATALOG - DRY '!B4903,"AAAAAH+7//E=")</f>
        <v>#VALUE!</v>
      </c>
      <c r="II218" t="e">
        <f>AND('STERLING CATALOG - DRY '!C4903,"AAAAAH+7//I=")</f>
        <v>#VALUE!</v>
      </c>
      <c r="IJ218" t="e">
        <f>AND('STERLING CATALOG - DRY '!D4903,"AAAAAH+7//M=")</f>
        <v>#VALUE!</v>
      </c>
      <c r="IK218" t="e">
        <f>AND('STERLING CATALOG - DRY '!E4903,"AAAAAH+7//Q=")</f>
        <v>#VALUE!</v>
      </c>
      <c r="IL218" t="e">
        <f>AND('STERLING CATALOG - DRY '!F4903,"AAAAAH+7//U=")</f>
        <v>#VALUE!</v>
      </c>
      <c r="IM218" t="e">
        <f>AND('STERLING CATALOG - DRY '!G4903,"AAAAAH+7//Y=")</f>
        <v>#VALUE!</v>
      </c>
      <c r="IN218" t="e">
        <f>AND('STERLING CATALOG - DRY '!H4903,"AAAAAH+7//c=")</f>
        <v>#VALUE!</v>
      </c>
      <c r="IO218" t="e">
        <f>AND('STERLING CATALOG - DRY '!I4903,"AAAAAH+7//g=")</f>
        <v>#VALUE!</v>
      </c>
      <c r="IP218" t="e">
        <f>AND('STERLING CATALOG - DRY '!J4903,"AAAAAH+7//k=")</f>
        <v>#VALUE!</v>
      </c>
      <c r="IQ218">
        <f>IF('STERLING CATALOG - DRY '!4904:4904,"AAAAAH+7//o=",0)</f>
        <v>0</v>
      </c>
      <c r="IR218" t="e">
        <f>AND('STERLING CATALOG - DRY '!A4904,"AAAAAH+7//s=")</f>
        <v>#VALUE!</v>
      </c>
      <c r="IS218" t="e">
        <f>AND('STERLING CATALOG - DRY '!B4904,"AAAAAH+7//w=")</f>
        <v>#VALUE!</v>
      </c>
      <c r="IT218" t="e">
        <f>AND('STERLING CATALOG - DRY '!C4904,"AAAAAH+7//0=")</f>
        <v>#VALUE!</v>
      </c>
      <c r="IU218" t="e">
        <f>AND('STERLING CATALOG - DRY '!D4904,"AAAAAH+7//4=")</f>
        <v>#VALUE!</v>
      </c>
      <c r="IV218" t="e">
        <f>AND('STERLING CATALOG - DRY '!E4904,"AAAAAH+7//8=")</f>
        <v>#VALUE!</v>
      </c>
    </row>
    <row r="219" spans="1:256">
      <c r="A219" t="e">
        <f>AND('STERLING CATALOG - DRY '!F4904,"AAAAAD1h9QA=")</f>
        <v>#VALUE!</v>
      </c>
      <c r="B219" t="e">
        <f>AND('STERLING CATALOG - DRY '!G4904,"AAAAAD1h9QE=")</f>
        <v>#VALUE!</v>
      </c>
      <c r="C219" t="e">
        <f>AND('STERLING CATALOG - DRY '!H4904,"AAAAAD1h9QI=")</f>
        <v>#VALUE!</v>
      </c>
      <c r="D219" t="e">
        <f>AND('STERLING CATALOG - DRY '!I4904,"AAAAAD1h9QM=")</f>
        <v>#VALUE!</v>
      </c>
      <c r="E219" t="e">
        <f>AND('STERLING CATALOG - DRY '!J4904,"AAAAAD1h9QQ=")</f>
        <v>#VALUE!</v>
      </c>
      <c r="F219" t="str">
        <f>IF('STERLING CATALOG - DRY '!4905:4905,"AAAAAD1h9QU=",0)</f>
        <v>AAAAAD1h9QU=</v>
      </c>
      <c r="G219" t="e">
        <f>AND('STERLING CATALOG - DRY '!A4905,"AAAAAD1h9QY=")</f>
        <v>#VALUE!</v>
      </c>
      <c r="H219" t="e">
        <f>AND('STERLING CATALOG - DRY '!B4905,"AAAAAD1h9Qc=")</f>
        <v>#VALUE!</v>
      </c>
      <c r="I219" t="e">
        <f>AND('STERLING CATALOG - DRY '!C4905,"AAAAAD1h9Qg=")</f>
        <v>#VALUE!</v>
      </c>
      <c r="J219" t="e">
        <f>AND('STERLING CATALOG - DRY '!D4905,"AAAAAD1h9Qk=")</f>
        <v>#VALUE!</v>
      </c>
      <c r="K219" t="e">
        <f>AND('STERLING CATALOG - DRY '!E4905,"AAAAAD1h9Qo=")</f>
        <v>#VALUE!</v>
      </c>
      <c r="L219" t="e">
        <f>AND('STERLING CATALOG - DRY '!F4905,"AAAAAD1h9Qs=")</f>
        <v>#VALUE!</v>
      </c>
      <c r="M219" t="e">
        <f>AND('STERLING CATALOG - DRY '!G4905,"AAAAAD1h9Qw=")</f>
        <v>#VALUE!</v>
      </c>
      <c r="N219" t="e">
        <f>AND('STERLING CATALOG - DRY '!H4905,"AAAAAD1h9Q0=")</f>
        <v>#VALUE!</v>
      </c>
      <c r="O219" t="e">
        <f>AND('STERLING CATALOG - DRY '!I4905,"AAAAAD1h9Q4=")</f>
        <v>#VALUE!</v>
      </c>
      <c r="P219" t="e">
        <f>AND('STERLING CATALOG - DRY '!J4905,"AAAAAD1h9Q8=")</f>
        <v>#VALUE!</v>
      </c>
      <c r="Q219">
        <f>IF('STERLING CATALOG - DRY '!4906:4906,"AAAAAD1h9RA=",0)</f>
        <v>0</v>
      </c>
      <c r="R219" t="e">
        <f>AND('STERLING CATALOG - DRY '!A4906,"AAAAAD1h9RE=")</f>
        <v>#VALUE!</v>
      </c>
      <c r="S219" t="e">
        <f>AND('STERLING CATALOG - DRY '!B4906,"AAAAAD1h9RI=")</f>
        <v>#VALUE!</v>
      </c>
      <c r="T219" t="e">
        <f>AND('STERLING CATALOG - DRY '!C4906,"AAAAAD1h9RM=")</f>
        <v>#VALUE!</v>
      </c>
      <c r="U219" t="e">
        <f>AND('STERLING CATALOG - DRY '!D4906,"AAAAAD1h9RQ=")</f>
        <v>#VALUE!</v>
      </c>
      <c r="V219" t="e">
        <f>AND('STERLING CATALOG - DRY '!E4906,"AAAAAD1h9RU=")</f>
        <v>#VALUE!</v>
      </c>
      <c r="W219" t="e">
        <f>AND('STERLING CATALOG - DRY '!F4906,"AAAAAD1h9RY=")</f>
        <v>#VALUE!</v>
      </c>
      <c r="X219" t="e">
        <f>AND('STERLING CATALOG - DRY '!G4906,"AAAAAD1h9Rc=")</f>
        <v>#VALUE!</v>
      </c>
      <c r="Y219" t="e">
        <f>AND('STERLING CATALOG - DRY '!H4906,"AAAAAD1h9Rg=")</f>
        <v>#VALUE!</v>
      </c>
      <c r="Z219" t="e">
        <f>AND('STERLING CATALOG - DRY '!I4906,"AAAAAD1h9Rk=")</f>
        <v>#VALUE!</v>
      </c>
      <c r="AA219" t="e">
        <f>AND('STERLING CATALOG - DRY '!J4906,"AAAAAD1h9Ro=")</f>
        <v>#VALUE!</v>
      </c>
      <c r="AB219">
        <f>IF('STERLING CATALOG - DRY '!4907:4907,"AAAAAD1h9Rs=",0)</f>
        <v>0</v>
      </c>
      <c r="AC219" t="e">
        <f>AND('STERLING CATALOG - DRY '!A4907,"AAAAAD1h9Rw=")</f>
        <v>#VALUE!</v>
      </c>
      <c r="AD219" t="e">
        <f>AND('STERLING CATALOG - DRY '!B4907,"AAAAAD1h9R0=")</f>
        <v>#VALUE!</v>
      </c>
      <c r="AE219" t="e">
        <f>AND('STERLING CATALOG - DRY '!C4907,"AAAAAD1h9R4=")</f>
        <v>#VALUE!</v>
      </c>
      <c r="AF219" t="e">
        <f>AND('STERLING CATALOG - DRY '!D4907,"AAAAAD1h9R8=")</f>
        <v>#VALUE!</v>
      </c>
      <c r="AG219" t="e">
        <f>AND('STERLING CATALOG - DRY '!E4907,"AAAAAD1h9SA=")</f>
        <v>#VALUE!</v>
      </c>
      <c r="AH219" t="e">
        <f>AND('STERLING CATALOG - DRY '!F4907,"AAAAAD1h9SE=")</f>
        <v>#VALUE!</v>
      </c>
      <c r="AI219" t="e">
        <f>AND('STERLING CATALOG - DRY '!G4907,"AAAAAD1h9SI=")</f>
        <v>#VALUE!</v>
      </c>
      <c r="AJ219" t="e">
        <f>AND('STERLING CATALOG - DRY '!H4907,"AAAAAD1h9SM=")</f>
        <v>#VALUE!</v>
      </c>
      <c r="AK219" t="e">
        <f>AND('STERLING CATALOG - DRY '!I4907,"AAAAAD1h9SQ=")</f>
        <v>#VALUE!</v>
      </c>
      <c r="AL219" t="e">
        <f>AND('STERLING CATALOG - DRY '!J4907,"AAAAAD1h9SU=")</f>
        <v>#VALUE!</v>
      </c>
      <c r="AM219">
        <f>IF('STERLING CATALOG - DRY '!4908:4908,"AAAAAD1h9SY=",0)</f>
        <v>0</v>
      </c>
      <c r="AN219" t="e">
        <f>AND('STERLING CATALOG - DRY '!A4908,"AAAAAD1h9Sc=")</f>
        <v>#VALUE!</v>
      </c>
      <c r="AO219" t="e">
        <f>AND('STERLING CATALOG - DRY '!B4908,"AAAAAD1h9Sg=")</f>
        <v>#VALUE!</v>
      </c>
      <c r="AP219" t="e">
        <f>AND('STERLING CATALOG - DRY '!C4908,"AAAAAD1h9Sk=")</f>
        <v>#VALUE!</v>
      </c>
      <c r="AQ219" t="e">
        <f>AND('STERLING CATALOG - DRY '!D4908,"AAAAAD1h9So=")</f>
        <v>#VALUE!</v>
      </c>
      <c r="AR219" t="e">
        <f>AND('STERLING CATALOG - DRY '!E4908,"AAAAAD1h9Ss=")</f>
        <v>#VALUE!</v>
      </c>
      <c r="AS219" t="e">
        <f>AND('STERLING CATALOG - DRY '!F4908,"AAAAAD1h9Sw=")</f>
        <v>#VALUE!</v>
      </c>
      <c r="AT219" t="e">
        <f>AND('STERLING CATALOG - DRY '!G4908,"AAAAAD1h9S0=")</f>
        <v>#VALUE!</v>
      </c>
      <c r="AU219" t="e">
        <f>AND('STERLING CATALOG - DRY '!H4908,"AAAAAD1h9S4=")</f>
        <v>#VALUE!</v>
      </c>
      <c r="AV219" t="e">
        <f>AND('STERLING CATALOG - DRY '!I4908,"AAAAAD1h9S8=")</f>
        <v>#VALUE!</v>
      </c>
      <c r="AW219" t="e">
        <f>AND('STERLING CATALOG - DRY '!J4908,"AAAAAD1h9TA=")</f>
        <v>#VALUE!</v>
      </c>
      <c r="AX219">
        <f>IF('STERLING CATALOG - DRY '!4909:4909,"AAAAAD1h9TE=",0)</f>
        <v>0</v>
      </c>
      <c r="AY219" t="e">
        <f>AND('STERLING CATALOG - DRY '!A4909,"AAAAAD1h9TI=")</f>
        <v>#VALUE!</v>
      </c>
      <c r="AZ219" t="e">
        <f>AND('STERLING CATALOG - DRY '!B4909,"AAAAAD1h9TM=")</f>
        <v>#VALUE!</v>
      </c>
      <c r="BA219" t="e">
        <f>AND('STERLING CATALOG - DRY '!C4909,"AAAAAD1h9TQ=")</f>
        <v>#VALUE!</v>
      </c>
      <c r="BB219" t="e">
        <f>AND('STERLING CATALOG - DRY '!D4909,"AAAAAD1h9TU=")</f>
        <v>#VALUE!</v>
      </c>
      <c r="BC219" t="e">
        <f>AND('STERLING CATALOG - DRY '!E4909,"AAAAAD1h9TY=")</f>
        <v>#VALUE!</v>
      </c>
      <c r="BD219" t="e">
        <f>AND('STERLING CATALOG - DRY '!F4909,"AAAAAD1h9Tc=")</f>
        <v>#VALUE!</v>
      </c>
      <c r="BE219" t="e">
        <f>AND('STERLING CATALOG - DRY '!G4909,"AAAAAD1h9Tg=")</f>
        <v>#VALUE!</v>
      </c>
      <c r="BF219" t="e">
        <f>AND('STERLING CATALOG - DRY '!H4909,"AAAAAD1h9Tk=")</f>
        <v>#VALUE!</v>
      </c>
      <c r="BG219" t="e">
        <f>AND('STERLING CATALOG - DRY '!I4909,"AAAAAD1h9To=")</f>
        <v>#VALUE!</v>
      </c>
      <c r="BH219" t="e">
        <f>AND('STERLING CATALOG - DRY '!J4909,"AAAAAD1h9Ts=")</f>
        <v>#VALUE!</v>
      </c>
      <c r="BI219">
        <f>IF('STERLING CATALOG - DRY '!4910:4910,"AAAAAD1h9Tw=",0)</f>
        <v>0</v>
      </c>
      <c r="BJ219" t="e">
        <f>AND('STERLING CATALOG - DRY '!A4910,"AAAAAD1h9T0=")</f>
        <v>#VALUE!</v>
      </c>
      <c r="BK219" t="e">
        <f>AND('STERLING CATALOG - DRY '!B4910,"AAAAAD1h9T4=")</f>
        <v>#VALUE!</v>
      </c>
      <c r="BL219" t="e">
        <f>AND('STERLING CATALOG - DRY '!C4910,"AAAAAD1h9T8=")</f>
        <v>#VALUE!</v>
      </c>
      <c r="BM219" t="e">
        <f>AND('STERLING CATALOG - DRY '!D4910,"AAAAAD1h9UA=")</f>
        <v>#VALUE!</v>
      </c>
      <c r="BN219" t="e">
        <f>AND('STERLING CATALOG - DRY '!E4910,"AAAAAD1h9UE=")</f>
        <v>#VALUE!</v>
      </c>
      <c r="BO219" t="e">
        <f>AND('STERLING CATALOG - DRY '!F4910,"AAAAAD1h9UI=")</f>
        <v>#VALUE!</v>
      </c>
      <c r="BP219" t="e">
        <f>AND('STERLING CATALOG - DRY '!G4910,"AAAAAD1h9UM=")</f>
        <v>#VALUE!</v>
      </c>
      <c r="BQ219" t="e">
        <f>AND('STERLING CATALOG - DRY '!H4910,"AAAAAD1h9UQ=")</f>
        <v>#VALUE!</v>
      </c>
      <c r="BR219" t="e">
        <f>AND('STERLING CATALOG - DRY '!I4910,"AAAAAD1h9UU=")</f>
        <v>#VALUE!</v>
      </c>
      <c r="BS219" t="e">
        <f>AND('STERLING CATALOG - DRY '!J4910,"AAAAAD1h9UY=")</f>
        <v>#VALUE!</v>
      </c>
      <c r="BT219">
        <f>IF('STERLING CATALOG - DRY '!4911:4911,"AAAAAD1h9Uc=",0)</f>
        <v>0</v>
      </c>
      <c r="BU219" t="e">
        <f>AND('STERLING CATALOG - DRY '!A4911,"AAAAAD1h9Ug=")</f>
        <v>#VALUE!</v>
      </c>
      <c r="BV219" t="e">
        <f>AND('STERLING CATALOG - DRY '!B4911,"AAAAAD1h9Uk=")</f>
        <v>#VALUE!</v>
      </c>
      <c r="BW219" t="e">
        <f>AND('STERLING CATALOG - DRY '!C4911,"AAAAAD1h9Uo=")</f>
        <v>#VALUE!</v>
      </c>
      <c r="BX219" t="e">
        <f>AND('STERLING CATALOG - DRY '!D4911,"AAAAAD1h9Us=")</f>
        <v>#VALUE!</v>
      </c>
      <c r="BY219" t="e">
        <f>AND('STERLING CATALOG - DRY '!E4911,"AAAAAD1h9Uw=")</f>
        <v>#VALUE!</v>
      </c>
      <c r="BZ219" t="e">
        <f>AND('STERLING CATALOG - DRY '!F4911,"AAAAAD1h9U0=")</f>
        <v>#VALUE!</v>
      </c>
      <c r="CA219" t="e">
        <f>AND('STERLING CATALOG - DRY '!G4911,"AAAAAD1h9U4=")</f>
        <v>#VALUE!</v>
      </c>
      <c r="CB219" t="e">
        <f>AND('STERLING CATALOG - DRY '!H4911,"AAAAAD1h9U8=")</f>
        <v>#VALUE!</v>
      </c>
      <c r="CC219" t="e">
        <f>AND('STERLING CATALOG - DRY '!I4911,"AAAAAD1h9VA=")</f>
        <v>#VALUE!</v>
      </c>
      <c r="CD219" t="e">
        <f>AND('STERLING CATALOG - DRY '!J4911,"AAAAAD1h9VE=")</f>
        <v>#VALUE!</v>
      </c>
      <c r="CE219">
        <f>IF('STERLING CATALOG - DRY '!4912:4912,"AAAAAD1h9VI=",0)</f>
        <v>0</v>
      </c>
      <c r="CF219" t="e">
        <f>AND('STERLING CATALOG - DRY '!A4912,"AAAAAD1h9VM=")</f>
        <v>#VALUE!</v>
      </c>
      <c r="CG219" t="e">
        <f>AND('STERLING CATALOG - DRY '!B4912,"AAAAAD1h9VQ=")</f>
        <v>#VALUE!</v>
      </c>
      <c r="CH219" t="e">
        <f>AND('STERLING CATALOG - DRY '!C4912,"AAAAAD1h9VU=")</f>
        <v>#VALUE!</v>
      </c>
      <c r="CI219" t="e">
        <f>AND('STERLING CATALOG - DRY '!D4912,"AAAAAD1h9VY=")</f>
        <v>#VALUE!</v>
      </c>
      <c r="CJ219" t="e">
        <f>AND('STERLING CATALOG - DRY '!E4912,"AAAAAD1h9Vc=")</f>
        <v>#VALUE!</v>
      </c>
      <c r="CK219" t="e">
        <f>AND('STERLING CATALOG - DRY '!F4912,"AAAAAD1h9Vg=")</f>
        <v>#VALUE!</v>
      </c>
      <c r="CL219" t="e">
        <f>AND('STERLING CATALOG - DRY '!G4912,"AAAAAD1h9Vk=")</f>
        <v>#VALUE!</v>
      </c>
      <c r="CM219" t="e">
        <f>AND('STERLING CATALOG - DRY '!H4912,"AAAAAD1h9Vo=")</f>
        <v>#VALUE!</v>
      </c>
      <c r="CN219" t="e">
        <f>AND('STERLING CATALOG - DRY '!I4912,"AAAAAD1h9Vs=")</f>
        <v>#VALUE!</v>
      </c>
      <c r="CO219" t="e">
        <f>AND('STERLING CATALOG - DRY '!J4912,"AAAAAD1h9Vw=")</f>
        <v>#VALUE!</v>
      </c>
      <c r="CP219">
        <f>IF('STERLING CATALOG - DRY '!4913:4913,"AAAAAD1h9V0=",0)</f>
        <v>0</v>
      </c>
      <c r="CQ219" t="e">
        <f>AND('STERLING CATALOG - DRY '!A4913,"AAAAAD1h9V4=")</f>
        <v>#VALUE!</v>
      </c>
      <c r="CR219" t="e">
        <f>AND('STERLING CATALOG - DRY '!B4913,"AAAAAD1h9V8=")</f>
        <v>#VALUE!</v>
      </c>
      <c r="CS219" t="e">
        <f>AND('STERLING CATALOG - DRY '!C4913,"AAAAAD1h9WA=")</f>
        <v>#VALUE!</v>
      </c>
      <c r="CT219" t="e">
        <f>AND('STERLING CATALOG - DRY '!D4913,"AAAAAD1h9WE=")</f>
        <v>#VALUE!</v>
      </c>
      <c r="CU219" t="e">
        <f>AND('STERLING CATALOG - DRY '!E4913,"AAAAAD1h9WI=")</f>
        <v>#VALUE!</v>
      </c>
      <c r="CV219" t="e">
        <f>AND('STERLING CATALOG - DRY '!F4913,"AAAAAD1h9WM=")</f>
        <v>#VALUE!</v>
      </c>
      <c r="CW219" t="e">
        <f>AND('STERLING CATALOG - DRY '!G4913,"AAAAAD1h9WQ=")</f>
        <v>#VALUE!</v>
      </c>
      <c r="CX219" t="e">
        <f>AND('STERLING CATALOG - DRY '!H4913,"AAAAAD1h9WU=")</f>
        <v>#VALUE!</v>
      </c>
      <c r="CY219" t="e">
        <f>AND('STERLING CATALOG - DRY '!I4913,"AAAAAD1h9WY=")</f>
        <v>#VALUE!</v>
      </c>
      <c r="CZ219" t="e">
        <f>AND('STERLING CATALOG - DRY '!J4913,"AAAAAD1h9Wc=")</f>
        <v>#VALUE!</v>
      </c>
      <c r="DA219">
        <f>IF('STERLING CATALOG - DRY '!4914:4914,"AAAAAD1h9Wg=",0)</f>
        <v>0</v>
      </c>
      <c r="DB219" t="e">
        <f>AND('STERLING CATALOG - DRY '!A4914,"AAAAAD1h9Wk=")</f>
        <v>#VALUE!</v>
      </c>
      <c r="DC219" t="e">
        <f>AND('STERLING CATALOG - DRY '!B4914,"AAAAAD1h9Wo=")</f>
        <v>#VALUE!</v>
      </c>
      <c r="DD219" t="e">
        <f>AND('STERLING CATALOG - DRY '!C4914,"AAAAAD1h9Ws=")</f>
        <v>#VALUE!</v>
      </c>
      <c r="DE219" t="e">
        <f>AND('STERLING CATALOG - DRY '!D4914,"AAAAAD1h9Ww=")</f>
        <v>#VALUE!</v>
      </c>
      <c r="DF219" t="e">
        <f>AND('STERLING CATALOG - DRY '!E4914,"AAAAAD1h9W0=")</f>
        <v>#VALUE!</v>
      </c>
      <c r="DG219" t="e">
        <f>AND('STERLING CATALOG - DRY '!F4914,"AAAAAD1h9W4=")</f>
        <v>#VALUE!</v>
      </c>
      <c r="DH219" t="e">
        <f>AND('STERLING CATALOG - DRY '!G4914,"AAAAAD1h9W8=")</f>
        <v>#VALUE!</v>
      </c>
      <c r="DI219" t="e">
        <f>AND('STERLING CATALOG - DRY '!H4914,"AAAAAD1h9XA=")</f>
        <v>#VALUE!</v>
      </c>
      <c r="DJ219" t="e">
        <f>AND('STERLING CATALOG - DRY '!I4914,"AAAAAD1h9XE=")</f>
        <v>#VALUE!</v>
      </c>
      <c r="DK219" t="e">
        <f>AND('STERLING CATALOG - DRY '!J4914,"AAAAAD1h9XI=")</f>
        <v>#VALUE!</v>
      </c>
      <c r="DL219">
        <f>IF('STERLING CATALOG - DRY '!4915:4915,"AAAAAD1h9XM=",0)</f>
        <v>0</v>
      </c>
      <c r="DM219" t="e">
        <f>AND('STERLING CATALOG - DRY '!A4915,"AAAAAD1h9XQ=")</f>
        <v>#VALUE!</v>
      </c>
      <c r="DN219" t="e">
        <f>AND('STERLING CATALOG - DRY '!B4915,"AAAAAD1h9XU=")</f>
        <v>#VALUE!</v>
      </c>
      <c r="DO219" t="e">
        <f>AND('STERLING CATALOG - DRY '!C4915,"AAAAAD1h9XY=")</f>
        <v>#VALUE!</v>
      </c>
      <c r="DP219" t="e">
        <f>AND('STERLING CATALOG - DRY '!D4915,"AAAAAD1h9Xc=")</f>
        <v>#VALUE!</v>
      </c>
      <c r="DQ219" t="e">
        <f>AND('STERLING CATALOG - DRY '!E4915,"AAAAAD1h9Xg=")</f>
        <v>#VALUE!</v>
      </c>
      <c r="DR219" t="e">
        <f>AND('STERLING CATALOG - DRY '!F4915,"AAAAAD1h9Xk=")</f>
        <v>#VALUE!</v>
      </c>
      <c r="DS219" t="e">
        <f>AND('STERLING CATALOG - DRY '!G4915,"AAAAAD1h9Xo=")</f>
        <v>#VALUE!</v>
      </c>
      <c r="DT219" t="e">
        <f>AND('STERLING CATALOG - DRY '!H4915,"AAAAAD1h9Xs=")</f>
        <v>#VALUE!</v>
      </c>
      <c r="DU219" t="e">
        <f>AND('STERLING CATALOG - DRY '!I4915,"AAAAAD1h9Xw=")</f>
        <v>#VALUE!</v>
      </c>
      <c r="DV219" t="e">
        <f>AND('STERLING CATALOG - DRY '!J4915,"AAAAAD1h9X0=")</f>
        <v>#VALUE!</v>
      </c>
      <c r="DW219">
        <f>IF('STERLING CATALOG - DRY '!4916:4916,"AAAAAD1h9X4=",0)</f>
        <v>0</v>
      </c>
      <c r="DX219" t="e">
        <f>AND('STERLING CATALOG - DRY '!A4916,"AAAAAD1h9X8=")</f>
        <v>#VALUE!</v>
      </c>
      <c r="DY219" t="e">
        <f>AND('STERLING CATALOG - DRY '!B4916,"AAAAAD1h9YA=")</f>
        <v>#VALUE!</v>
      </c>
      <c r="DZ219" t="e">
        <f>AND('STERLING CATALOG - DRY '!C4916,"AAAAAD1h9YE=")</f>
        <v>#VALUE!</v>
      </c>
      <c r="EA219" t="e">
        <f>AND('STERLING CATALOG - DRY '!D4916,"AAAAAD1h9YI=")</f>
        <v>#VALUE!</v>
      </c>
      <c r="EB219" t="e">
        <f>AND('STERLING CATALOG - DRY '!E4916,"AAAAAD1h9YM=")</f>
        <v>#VALUE!</v>
      </c>
      <c r="EC219" t="e">
        <f>AND('STERLING CATALOG - DRY '!F4916,"AAAAAD1h9YQ=")</f>
        <v>#VALUE!</v>
      </c>
      <c r="ED219" t="e">
        <f>AND('STERLING CATALOG - DRY '!G4916,"AAAAAD1h9YU=")</f>
        <v>#VALUE!</v>
      </c>
      <c r="EE219" t="e">
        <f>AND('STERLING CATALOG - DRY '!H4916,"AAAAAD1h9YY=")</f>
        <v>#VALUE!</v>
      </c>
      <c r="EF219" t="e">
        <f>AND('STERLING CATALOG - DRY '!I4916,"AAAAAD1h9Yc=")</f>
        <v>#VALUE!</v>
      </c>
      <c r="EG219" t="e">
        <f>AND('STERLING CATALOG - DRY '!J4916,"AAAAAD1h9Yg=")</f>
        <v>#VALUE!</v>
      </c>
      <c r="EH219">
        <f>IF('STERLING CATALOG - DRY '!4917:4917,"AAAAAD1h9Yk=",0)</f>
        <v>0</v>
      </c>
      <c r="EI219" t="e">
        <f>AND('STERLING CATALOG - DRY '!A4917,"AAAAAD1h9Yo=")</f>
        <v>#VALUE!</v>
      </c>
      <c r="EJ219" t="e">
        <f>AND('STERLING CATALOG - DRY '!B4917,"AAAAAD1h9Ys=")</f>
        <v>#VALUE!</v>
      </c>
      <c r="EK219" t="e">
        <f>AND('STERLING CATALOG - DRY '!C4917,"AAAAAD1h9Yw=")</f>
        <v>#VALUE!</v>
      </c>
      <c r="EL219" t="e">
        <f>AND('STERLING CATALOG - DRY '!D4917,"AAAAAD1h9Y0=")</f>
        <v>#VALUE!</v>
      </c>
      <c r="EM219" t="e">
        <f>AND('STERLING CATALOG - DRY '!E4917,"AAAAAD1h9Y4=")</f>
        <v>#VALUE!</v>
      </c>
      <c r="EN219" t="e">
        <f>AND('STERLING CATALOG - DRY '!F4917,"AAAAAD1h9Y8=")</f>
        <v>#VALUE!</v>
      </c>
      <c r="EO219" t="e">
        <f>AND('STERLING CATALOG - DRY '!G4917,"AAAAAD1h9ZA=")</f>
        <v>#VALUE!</v>
      </c>
      <c r="EP219" t="e">
        <f>AND('STERLING CATALOG - DRY '!H4917,"AAAAAD1h9ZE=")</f>
        <v>#VALUE!</v>
      </c>
      <c r="EQ219" t="e">
        <f>AND('STERLING CATALOG - DRY '!I4917,"AAAAAD1h9ZI=")</f>
        <v>#VALUE!</v>
      </c>
      <c r="ER219" t="e">
        <f>AND('STERLING CATALOG - DRY '!J4917,"AAAAAD1h9ZM=")</f>
        <v>#VALUE!</v>
      </c>
      <c r="ES219">
        <f>IF('STERLING CATALOG - DRY '!4918:4918,"AAAAAD1h9ZQ=",0)</f>
        <v>0</v>
      </c>
      <c r="ET219" t="e">
        <f>AND('STERLING CATALOG - DRY '!A4918,"AAAAAD1h9ZU=")</f>
        <v>#VALUE!</v>
      </c>
      <c r="EU219" t="e">
        <f>AND('STERLING CATALOG - DRY '!B4918,"AAAAAD1h9ZY=")</f>
        <v>#VALUE!</v>
      </c>
      <c r="EV219" t="e">
        <f>AND('STERLING CATALOG - DRY '!C4918,"AAAAAD1h9Zc=")</f>
        <v>#VALUE!</v>
      </c>
      <c r="EW219" t="e">
        <f>AND('STERLING CATALOG - DRY '!D4918,"AAAAAD1h9Zg=")</f>
        <v>#VALUE!</v>
      </c>
      <c r="EX219" t="e">
        <f>AND('STERLING CATALOG - DRY '!E4918,"AAAAAD1h9Zk=")</f>
        <v>#VALUE!</v>
      </c>
      <c r="EY219" t="e">
        <f>AND('STERLING CATALOG - DRY '!F4918,"AAAAAD1h9Zo=")</f>
        <v>#VALUE!</v>
      </c>
      <c r="EZ219" t="e">
        <f>AND('STERLING CATALOG - DRY '!G4918,"AAAAAD1h9Zs=")</f>
        <v>#VALUE!</v>
      </c>
      <c r="FA219" t="e">
        <f>AND('STERLING CATALOG - DRY '!H4918,"AAAAAD1h9Zw=")</f>
        <v>#VALUE!</v>
      </c>
      <c r="FB219" t="e">
        <f>AND('STERLING CATALOG - DRY '!I4918,"AAAAAD1h9Z0=")</f>
        <v>#VALUE!</v>
      </c>
      <c r="FC219" t="e">
        <f>AND('STERLING CATALOG - DRY '!J4918,"AAAAAD1h9Z4=")</f>
        <v>#VALUE!</v>
      </c>
      <c r="FD219">
        <f>IF('STERLING CATALOG - DRY '!4919:4919,"AAAAAD1h9Z8=",0)</f>
        <v>0</v>
      </c>
      <c r="FE219" t="e">
        <f>AND('STERLING CATALOG - DRY '!A4919,"AAAAAD1h9aA=")</f>
        <v>#VALUE!</v>
      </c>
      <c r="FF219" t="e">
        <f>AND('STERLING CATALOG - DRY '!B4919,"AAAAAD1h9aE=")</f>
        <v>#VALUE!</v>
      </c>
      <c r="FG219" t="e">
        <f>AND('STERLING CATALOG - DRY '!C4919,"AAAAAD1h9aI=")</f>
        <v>#VALUE!</v>
      </c>
      <c r="FH219" t="e">
        <f>AND('STERLING CATALOG - DRY '!D4919,"AAAAAD1h9aM=")</f>
        <v>#VALUE!</v>
      </c>
      <c r="FI219" t="e">
        <f>AND('STERLING CATALOG - DRY '!E4919,"AAAAAD1h9aQ=")</f>
        <v>#VALUE!</v>
      </c>
      <c r="FJ219" t="e">
        <f>AND('STERLING CATALOG - DRY '!F4919,"AAAAAD1h9aU=")</f>
        <v>#VALUE!</v>
      </c>
      <c r="FK219" t="e">
        <f>AND('STERLING CATALOG - DRY '!G4919,"AAAAAD1h9aY=")</f>
        <v>#VALUE!</v>
      </c>
      <c r="FL219" t="e">
        <f>AND('STERLING CATALOG - DRY '!H4919,"AAAAAD1h9ac=")</f>
        <v>#VALUE!</v>
      </c>
      <c r="FM219" t="e">
        <f>AND('STERLING CATALOG - DRY '!I4919,"AAAAAD1h9ag=")</f>
        <v>#VALUE!</v>
      </c>
      <c r="FN219" t="e">
        <f>AND('STERLING CATALOG - DRY '!J4919,"AAAAAD1h9ak=")</f>
        <v>#VALUE!</v>
      </c>
      <c r="FO219">
        <f>IF('STERLING CATALOG - DRY '!4920:4920,"AAAAAD1h9ao=",0)</f>
        <v>0</v>
      </c>
      <c r="FP219" t="e">
        <f>AND('STERLING CATALOG - DRY '!A4920,"AAAAAD1h9as=")</f>
        <v>#VALUE!</v>
      </c>
      <c r="FQ219" t="e">
        <f>AND('STERLING CATALOG - DRY '!B4920,"AAAAAD1h9aw=")</f>
        <v>#VALUE!</v>
      </c>
      <c r="FR219" t="e">
        <f>AND('STERLING CATALOG - DRY '!C4920,"AAAAAD1h9a0=")</f>
        <v>#VALUE!</v>
      </c>
      <c r="FS219" t="e">
        <f>AND('STERLING CATALOG - DRY '!D4920,"AAAAAD1h9a4=")</f>
        <v>#VALUE!</v>
      </c>
      <c r="FT219" t="e">
        <f>AND('STERLING CATALOG - DRY '!E4920,"AAAAAD1h9a8=")</f>
        <v>#VALUE!</v>
      </c>
      <c r="FU219" t="e">
        <f>AND('STERLING CATALOG - DRY '!F4920,"AAAAAD1h9bA=")</f>
        <v>#VALUE!</v>
      </c>
      <c r="FV219" t="e">
        <f>AND('STERLING CATALOG - DRY '!G4920,"AAAAAD1h9bE=")</f>
        <v>#VALUE!</v>
      </c>
      <c r="FW219" t="e">
        <f>AND('STERLING CATALOG - DRY '!H4920,"AAAAAD1h9bI=")</f>
        <v>#VALUE!</v>
      </c>
      <c r="FX219" t="e">
        <f>AND('STERLING CATALOG - DRY '!I4920,"AAAAAD1h9bM=")</f>
        <v>#VALUE!</v>
      </c>
      <c r="FY219" t="e">
        <f>AND('STERLING CATALOG - DRY '!J4920,"AAAAAD1h9bQ=")</f>
        <v>#VALUE!</v>
      </c>
      <c r="FZ219">
        <f>IF('STERLING CATALOG - DRY '!4921:4921,"AAAAAD1h9bU=",0)</f>
        <v>0</v>
      </c>
      <c r="GA219" t="e">
        <f>AND('STERLING CATALOG - DRY '!A4921,"AAAAAD1h9bY=")</f>
        <v>#VALUE!</v>
      </c>
      <c r="GB219" t="e">
        <f>AND('STERLING CATALOG - DRY '!B4921,"AAAAAD1h9bc=")</f>
        <v>#VALUE!</v>
      </c>
      <c r="GC219" t="e">
        <f>AND('STERLING CATALOG - DRY '!C4921,"AAAAAD1h9bg=")</f>
        <v>#VALUE!</v>
      </c>
      <c r="GD219" t="e">
        <f>AND('STERLING CATALOG - DRY '!D4921,"AAAAAD1h9bk=")</f>
        <v>#VALUE!</v>
      </c>
      <c r="GE219" t="e">
        <f>AND('STERLING CATALOG - DRY '!E4921,"AAAAAD1h9bo=")</f>
        <v>#VALUE!</v>
      </c>
      <c r="GF219" t="e">
        <f>AND('STERLING CATALOG - DRY '!F4921,"AAAAAD1h9bs=")</f>
        <v>#VALUE!</v>
      </c>
      <c r="GG219" t="e">
        <f>AND('STERLING CATALOG - DRY '!G4921,"AAAAAD1h9bw=")</f>
        <v>#VALUE!</v>
      </c>
      <c r="GH219" t="e">
        <f>AND('STERLING CATALOG - DRY '!H4921,"AAAAAD1h9b0=")</f>
        <v>#VALUE!</v>
      </c>
      <c r="GI219" t="e">
        <f>AND('STERLING CATALOG - DRY '!I4921,"AAAAAD1h9b4=")</f>
        <v>#VALUE!</v>
      </c>
      <c r="GJ219" t="e">
        <f>AND('STERLING CATALOG - DRY '!J4921,"AAAAAD1h9b8=")</f>
        <v>#VALUE!</v>
      </c>
      <c r="GK219">
        <f>IF('STERLING CATALOG - DRY '!4922:4922,"AAAAAD1h9cA=",0)</f>
        <v>0</v>
      </c>
      <c r="GL219" t="e">
        <f>AND('STERLING CATALOG - DRY '!A4922,"AAAAAD1h9cE=")</f>
        <v>#VALUE!</v>
      </c>
      <c r="GM219" t="e">
        <f>AND('STERLING CATALOG - DRY '!B4922,"AAAAAD1h9cI=")</f>
        <v>#VALUE!</v>
      </c>
      <c r="GN219" t="e">
        <f>AND('STERLING CATALOG - DRY '!C4922,"AAAAAD1h9cM=")</f>
        <v>#VALUE!</v>
      </c>
      <c r="GO219" t="e">
        <f>AND('STERLING CATALOG - DRY '!D4922,"AAAAAD1h9cQ=")</f>
        <v>#VALUE!</v>
      </c>
      <c r="GP219" t="e">
        <f>AND('STERLING CATALOG - DRY '!E4922,"AAAAAD1h9cU=")</f>
        <v>#VALUE!</v>
      </c>
      <c r="GQ219" t="e">
        <f>AND('STERLING CATALOG - DRY '!F4922,"AAAAAD1h9cY=")</f>
        <v>#VALUE!</v>
      </c>
      <c r="GR219" t="e">
        <f>AND('STERLING CATALOG - DRY '!G4922,"AAAAAD1h9cc=")</f>
        <v>#VALUE!</v>
      </c>
      <c r="GS219" t="e">
        <f>AND('STERLING CATALOG - DRY '!H4922,"AAAAAD1h9cg=")</f>
        <v>#VALUE!</v>
      </c>
      <c r="GT219" t="e">
        <f>AND('STERLING CATALOG - DRY '!I4922,"AAAAAD1h9ck=")</f>
        <v>#VALUE!</v>
      </c>
      <c r="GU219" t="e">
        <f>AND('STERLING CATALOG - DRY '!J4922,"AAAAAD1h9co=")</f>
        <v>#VALUE!</v>
      </c>
      <c r="GV219">
        <f>IF('STERLING CATALOG - DRY '!4923:4923,"AAAAAD1h9cs=",0)</f>
        <v>0</v>
      </c>
      <c r="GW219" t="e">
        <f>AND('STERLING CATALOG - DRY '!A4923,"AAAAAD1h9cw=")</f>
        <v>#VALUE!</v>
      </c>
      <c r="GX219" t="e">
        <f>AND('STERLING CATALOG - DRY '!B4923,"AAAAAD1h9c0=")</f>
        <v>#VALUE!</v>
      </c>
      <c r="GY219" t="e">
        <f>AND('STERLING CATALOG - DRY '!C4923,"AAAAAD1h9c4=")</f>
        <v>#VALUE!</v>
      </c>
      <c r="GZ219" t="e">
        <f>AND('STERLING CATALOG - DRY '!D4923,"AAAAAD1h9c8=")</f>
        <v>#VALUE!</v>
      </c>
      <c r="HA219" t="e">
        <f>AND('STERLING CATALOG - DRY '!E4923,"AAAAAD1h9dA=")</f>
        <v>#VALUE!</v>
      </c>
      <c r="HB219" t="e">
        <f>AND('STERLING CATALOG - DRY '!F4923,"AAAAAD1h9dE=")</f>
        <v>#VALUE!</v>
      </c>
      <c r="HC219" t="e">
        <f>AND('STERLING CATALOG - DRY '!G4923,"AAAAAD1h9dI=")</f>
        <v>#VALUE!</v>
      </c>
      <c r="HD219" t="e">
        <f>AND('STERLING CATALOG - DRY '!H4923,"AAAAAD1h9dM=")</f>
        <v>#VALUE!</v>
      </c>
      <c r="HE219" t="e">
        <f>AND('STERLING CATALOG - DRY '!I4923,"AAAAAD1h9dQ=")</f>
        <v>#VALUE!</v>
      </c>
      <c r="HF219" t="e">
        <f>AND('STERLING CATALOG - DRY '!J4923,"AAAAAD1h9dU=")</f>
        <v>#VALUE!</v>
      </c>
      <c r="HG219">
        <f>IF('STERLING CATALOG - DRY '!4924:4924,"AAAAAD1h9dY=",0)</f>
        <v>0</v>
      </c>
      <c r="HH219" t="e">
        <f>AND('STERLING CATALOG - DRY '!A4924,"AAAAAD1h9dc=")</f>
        <v>#VALUE!</v>
      </c>
      <c r="HI219" t="e">
        <f>AND('STERLING CATALOG - DRY '!B4924,"AAAAAD1h9dg=")</f>
        <v>#VALUE!</v>
      </c>
      <c r="HJ219" t="e">
        <f>AND('STERLING CATALOG - DRY '!C4924,"AAAAAD1h9dk=")</f>
        <v>#VALUE!</v>
      </c>
      <c r="HK219" t="e">
        <f>AND('STERLING CATALOG - DRY '!D4924,"AAAAAD1h9do=")</f>
        <v>#VALUE!</v>
      </c>
      <c r="HL219" t="e">
        <f>AND('STERLING CATALOG - DRY '!E4924,"AAAAAD1h9ds=")</f>
        <v>#VALUE!</v>
      </c>
      <c r="HM219" t="e">
        <f>AND('STERLING CATALOG - DRY '!F4924,"AAAAAD1h9dw=")</f>
        <v>#VALUE!</v>
      </c>
      <c r="HN219" t="e">
        <f>AND('STERLING CATALOG - DRY '!G4924,"AAAAAD1h9d0=")</f>
        <v>#VALUE!</v>
      </c>
      <c r="HO219" t="e">
        <f>AND('STERLING CATALOG - DRY '!H4924,"AAAAAD1h9d4=")</f>
        <v>#VALUE!</v>
      </c>
      <c r="HP219" t="e">
        <f>AND('STERLING CATALOG - DRY '!I4924,"AAAAAD1h9d8=")</f>
        <v>#VALUE!</v>
      </c>
      <c r="HQ219" t="e">
        <f>AND('STERLING CATALOG - DRY '!J4924,"AAAAAD1h9eA=")</f>
        <v>#VALUE!</v>
      </c>
      <c r="HR219">
        <f>IF('STERLING CATALOG - DRY '!4925:4925,"AAAAAD1h9eE=",0)</f>
        <v>0</v>
      </c>
      <c r="HS219" t="e">
        <f>AND('STERLING CATALOG - DRY '!A4925,"AAAAAD1h9eI=")</f>
        <v>#VALUE!</v>
      </c>
      <c r="HT219" t="e">
        <f>AND('STERLING CATALOG - DRY '!B4925,"AAAAAD1h9eM=")</f>
        <v>#VALUE!</v>
      </c>
      <c r="HU219" t="e">
        <f>AND('STERLING CATALOG - DRY '!C4925,"AAAAAD1h9eQ=")</f>
        <v>#VALUE!</v>
      </c>
      <c r="HV219" t="e">
        <f>AND('STERLING CATALOG - DRY '!D4925,"AAAAAD1h9eU=")</f>
        <v>#VALUE!</v>
      </c>
      <c r="HW219" t="e">
        <f>AND('STERLING CATALOG - DRY '!E4925,"AAAAAD1h9eY=")</f>
        <v>#VALUE!</v>
      </c>
      <c r="HX219" t="e">
        <f>AND('STERLING CATALOG - DRY '!F4925,"AAAAAD1h9ec=")</f>
        <v>#VALUE!</v>
      </c>
      <c r="HY219" t="e">
        <f>AND('STERLING CATALOG - DRY '!G4925,"AAAAAD1h9eg=")</f>
        <v>#VALUE!</v>
      </c>
      <c r="HZ219" t="e">
        <f>AND('STERLING CATALOG - DRY '!H4925,"AAAAAD1h9ek=")</f>
        <v>#VALUE!</v>
      </c>
      <c r="IA219" t="e">
        <f>AND('STERLING CATALOG - DRY '!I4925,"AAAAAD1h9eo=")</f>
        <v>#VALUE!</v>
      </c>
      <c r="IB219" t="e">
        <f>AND('STERLING CATALOG - DRY '!J4925,"AAAAAD1h9es=")</f>
        <v>#VALUE!</v>
      </c>
      <c r="IC219">
        <f>IF('STERLING CATALOG - DRY '!4926:4926,"AAAAAD1h9ew=",0)</f>
        <v>0</v>
      </c>
      <c r="ID219" t="e">
        <f>AND('STERLING CATALOG - DRY '!A4926,"AAAAAD1h9e0=")</f>
        <v>#VALUE!</v>
      </c>
      <c r="IE219" t="e">
        <f>AND('STERLING CATALOG - DRY '!B4926,"AAAAAD1h9e4=")</f>
        <v>#VALUE!</v>
      </c>
      <c r="IF219" t="e">
        <f>AND('STERLING CATALOG - DRY '!C4926,"AAAAAD1h9e8=")</f>
        <v>#VALUE!</v>
      </c>
      <c r="IG219" t="e">
        <f>AND('STERLING CATALOG - DRY '!D4926,"AAAAAD1h9fA=")</f>
        <v>#VALUE!</v>
      </c>
      <c r="IH219" t="e">
        <f>AND('STERLING CATALOG - DRY '!E4926,"AAAAAD1h9fE=")</f>
        <v>#VALUE!</v>
      </c>
      <c r="II219" t="e">
        <f>AND('STERLING CATALOG - DRY '!F4926,"AAAAAD1h9fI=")</f>
        <v>#VALUE!</v>
      </c>
      <c r="IJ219" t="e">
        <f>AND('STERLING CATALOG - DRY '!G4926,"AAAAAD1h9fM=")</f>
        <v>#VALUE!</v>
      </c>
      <c r="IK219" t="e">
        <f>AND('STERLING CATALOG - DRY '!H4926,"AAAAAD1h9fQ=")</f>
        <v>#VALUE!</v>
      </c>
      <c r="IL219" t="e">
        <f>AND('STERLING CATALOG - DRY '!I4926,"AAAAAD1h9fU=")</f>
        <v>#VALUE!</v>
      </c>
      <c r="IM219" t="e">
        <f>AND('STERLING CATALOG - DRY '!J4926,"AAAAAD1h9fY=")</f>
        <v>#VALUE!</v>
      </c>
      <c r="IN219">
        <f>IF('STERLING CATALOG - DRY '!4927:4927,"AAAAAD1h9fc=",0)</f>
        <v>0</v>
      </c>
      <c r="IO219" t="e">
        <f>AND('STERLING CATALOG - DRY '!A4927,"AAAAAD1h9fg=")</f>
        <v>#VALUE!</v>
      </c>
      <c r="IP219" t="e">
        <f>AND('STERLING CATALOG - DRY '!B4927,"AAAAAD1h9fk=")</f>
        <v>#VALUE!</v>
      </c>
      <c r="IQ219" t="e">
        <f>AND('STERLING CATALOG - DRY '!C4927,"AAAAAD1h9fo=")</f>
        <v>#VALUE!</v>
      </c>
      <c r="IR219" t="e">
        <f>AND('STERLING CATALOG - DRY '!D4927,"AAAAAD1h9fs=")</f>
        <v>#VALUE!</v>
      </c>
      <c r="IS219" t="e">
        <f>AND('STERLING CATALOG - DRY '!E4927,"AAAAAD1h9fw=")</f>
        <v>#VALUE!</v>
      </c>
      <c r="IT219" t="e">
        <f>AND('STERLING CATALOG - DRY '!F4927,"AAAAAD1h9f0=")</f>
        <v>#VALUE!</v>
      </c>
      <c r="IU219" t="e">
        <f>AND('STERLING CATALOG - DRY '!G4927,"AAAAAD1h9f4=")</f>
        <v>#VALUE!</v>
      </c>
      <c r="IV219" t="e">
        <f>AND('STERLING CATALOG - DRY '!H4927,"AAAAAD1h9f8=")</f>
        <v>#VALUE!</v>
      </c>
    </row>
    <row r="220" spans="1:256">
      <c r="A220" t="e">
        <f>AND('STERLING CATALOG - DRY '!I4927,"AAAAAF938gA=")</f>
        <v>#VALUE!</v>
      </c>
      <c r="B220" t="e">
        <f>AND('STERLING CATALOG - DRY '!J4927,"AAAAAF938gE=")</f>
        <v>#VALUE!</v>
      </c>
      <c r="C220" t="str">
        <f>IF('STERLING CATALOG - DRY '!4928:4928,"AAAAAF938gI=",0)</f>
        <v>AAAAAF938gI=</v>
      </c>
      <c r="D220" t="e">
        <f>AND('STERLING CATALOG - DRY '!A4928,"AAAAAF938gM=")</f>
        <v>#VALUE!</v>
      </c>
      <c r="E220" t="e">
        <f>AND('STERLING CATALOG - DRY '!B4928,"AAAAAF938gQ=")</f>
        <v>#VALUE!</v>
      </c>
      <c r="F220" t="e">
        <f>AND('STERLING CATALOG - DRY '!C4928,"AAAAAF938gU=")</f>
        <v>#VALUE!</v>
      </c>
      <c r="G220" t="e">
        <f>AND('STERLING CATALOG - DRY '!D4928,"AAAAAF938gY=")</f>
        <v>#VALUE!</v>
      </c>
      <c r="H220" t="e">
        <f>AND('STERLING CATALOG - DRY '!E4928,"AAAAAF938gc=")</f>
        <v>#VALUE!</v>
      </c>
      <c r="I220" t="e">
        <f>AND('STERLING CATALOG - DRY '!F4928,"AAAAAF938gg=")</f>
        <v>#VALUE!</v>
      </c>
      <c r="J220" t="e">
        <f>AND('STERLING CATALOG - DRY '!G4928,"AAAAAF938gk=")</f>
        <v>#VALUE!</v>
      </c>
      <c r="K220" t="e">
        <f>AND('STERLING CATALOG - DRY '!H4928,"AAAAAF938go=")</f>
        <v>#VALUE!</v>
      </c>
      <c r="L220" t="e">
        <f>AND('STERLING CATALOG - DRY '!I4928,"AAAAAF938gs=")</f>
        <v>#VALUE!</v>
      </c>
      <c r="M220" t="e">
        <f>AND('STERLING CATALOG - DRY '!J4928,"AAAAAF938gw=")</f>
        <v>#VALUE!</v>
      </c>
      <c r="N220">
        <f>IF('STERLING CATALOG - DRY '!4929:4929,"AAAAAF938g0=",0)</f>
        <v>0</v>
      </c>
      <c r="O220" t="e">
        <f>AND('STERLING CATALOG - DRY '!A4929,"AAAAAF938g4=")</f>
        <v>#VALUE!</v>
      </c>
      <c r="P220" t="e">
        <f>AND('STERLING CATALOG - DRY '!B4929,"AAAAAF938g8=")</f>
        <v>#VALUE!</v>
      </c>
      <c r="Q220" t="e">
        <f>AND('STERLING CATALOG - DRY '!C4929,"AAAAAF938hA=")</f>
        <v>#VALUE!</v>
      </c>
      <c r="R220" t="e">
        <f>AND('STERLING CATALOG - DRY '!D4929,"AAAAAF938hE=")</f>
        <v>#VALUE!</v>
      </c>
      <c r="S220" t="e">
        <f>AND('STERLING CATALOG - DRY '!E4929,"AAAAAF938hI=")</f>
        <v>#VALUE!</v>
      </c>
      <c r="T220" t="e">
        <f>AND('STERLING CATALOG - DRY '!F4929,"AAAAAF938hM=")</f>
        <v>#VALUE!</v>
      </c>
      <c r="U220" t="e">
        <f>AND('STERLING CATALOG - DRY '!G4929,"AAAAAF938hQ=")</f>
        <v>#VALUE!</v>
      </c>
      <c r="V220" t="e">
        <f>AND('STERLING CATALOG - DRY '!H4929,"AAAAAF938hU=")</f>
        <v>#VALUE!</v>
      </c>
      <c r="W220" t="e">
        <f>AND('STERLING CATALOG - DRY '!I4929,"AAAAAF938hY=")</f>
        <v>#VALUE!</v>
      </c>
      <c r="X220" t="e">
        <f>AND('STERLING CATALOG - DRY '!J4929,"AAAAAF938hc=")</f>
        <v>#VALUE!</v>
      </c>
      <c r="Y220">
        <f>IF('STERLING CATALOG - DRY '!4930:4930,"AAAAAF938hg=",0)</f>
        <v>0</v>
      </c>
      <c r="Z220" t="e">
        <f>AND('STERLING CATALOG - DRY '!A4930,"AAAAAF938hk=")</f>
        <v>#VALUE!</v>
      </c>
      <c r="AA220" t="e">
        <f>AND('STERLING CATALOG - DRY '!B4930,"AAAAAF938ho=")</f>
        <v>#VALUE!</v>
      </c>
      <c r="AB220" t="e">
        <f>AND('STERLING CATALOG - DRY '!C4930,"AAAAAF938hs=")</f>
        <v>#VALUE!</v>
      </c>
      <c r="AC220" t="e">
        <f>AND('STERLING CATALOG - DRY '!D4930,"AAAAAF938hw=")</f>
        <v>#VALUE!</v>
      </c>
      <c r="AD220" t="e">
        <f>AND('STERLING CATALOG - DRY '!E4930,"AAAAAF938h0=")</f>
        <v>#VALUE!</v>
      </c>
      <c r="AE220" t="e">
        <f>AND('STERLING CATALOG - DRY '!F4930,"AAAAAF938h4=")</f>
        <v>#VALUE!</v>
      </c>
      <c r="AF220" t="e">
        <f>AND('STERLING CATALOG - DRY '!G4930,"AAAAAF938h8=")</f>
        <v>#VALUE!</v>
      </c>
      <c r="AG220" t="e">
        <f>AND('STERLING CATALOG - DRY '!H4930,"AAAAAF938iA=")</f>
        <v>#VALUE!</v>
      </c>
      <c r="AH220" t="e">
        <f>AND('STERLING CATALOG - DRY '!I4930,"AAAAAF938iE=")</f>
        <v>#VALUE!</v>
      </c>
      <c r="AI220" t="e">
        <f>AND('STERLING CATALOG - DRY '!J4930,"AAAAAF938iI=")</f>
        <v>#VALUE!</v>
      </c>
      <c r="AJ220">
        <f>IF('STERLING CATALOG - DRY '!4931:4931,"AAAAAF938iM=",0)</f>
        <v>0</v>
      </c>
      <c r="AK220" t="e">
        <f>AND('STERLING CATALOG - DRY '!A4931,"AAAAAF938iQ=")</f>
        <v>#VALUE!</v>
      </c>
      <c r="AL220" t="e">
        <f>AND('STERLING CATALOG - DRY '!B4931,"AAAAAF938iU=")</f>
        <v>#VALUE!</v>
      </c>
      <c r="AM220" t="e">
        <f>AND('STERLING CATALOG - DRY '!C4931,"AAAAAF938iY=")</f>
        <v>#VALUE!</v>
      </c>
      <c r="AN220" t="e">
        <f>AND('STERLING CATALOG - DRY '!D4931,"AAAAAF938ic=")</f>
        <v>#VALUE!</v>
      </c>
      <c r="AO220" t="e">
        <f>AND('STERLING CATALOG - DRY '!E4931,"AAAAAF938ig=")</f>
        <v>#VALUE!</v>
      </c>
      <c r="AP220" t="e">
        <f>AND('STERLING CATALOG - DRY '!F4931,"AAAAAF938ik=")</f>
        <v>#VALUE!</v>
      </c>
      <c r="AQ220" t="e">
        <f>AND('STERLING CATALOG - DRY '!G4931,"AAAAAF938io=")</f>
        <v>#VALUE!</v>
      </c>
      <c r="AR220" t="e">
        <f>AND('STERLING CATALOG - DRY '!H4931,"AAAAAF938is=")</f>
        <v>#VALUE!</v>
      </c>
      <c r="AS220" t="e">
        <f>AND('STERLING CATALOG - DRY '!I4931,"AAAAAF938iw=")</f>
        <v>#VALUE!</v>
      </c>
      <c r="AT220" t="e">
        <f>AND('STERLING CATALOG - DRY '!J4931,"AAAAAF938i0=")</f>
        <v>#VALUE!</v>
      </c>
      <c r="AU220">
        <f>IF('STERLING CATALOG - DRY '!4932:4932,"AAAAAF938i4=",0)</f>
        <v>0</v>
      </c>
      <c r="AV220" t="e">
        <f>AND('STERLING CATALOG - DRY '!A4932,"AAAAAF938i8=")</f>
        <v>#VALUE!</v>
      </c>
      <c r="AW220" t="e">
        <f>AND('STERLING CATALOG - DRY '!B4932,"AAAAAF938jA=")</f>
        <v>#VALUE!</v>
      </c>
      <c r="AX220" t="e">
        <f>AND('STERLING CATALOG - DRY '!C4932,"AAAAAF938jE=")</f>
        <v>#VALUE!</v>
      </c>
      <c r="AY220" t="e">
        <f>AND('STERLING CATALOG - DRY '!D4932,"AAAAAF938jI=")</f>
        <v>#VALUE!</v>
      </c>
      <c r="AZ220" t="e">
        <f>AND('STERLING CATALOG - DRY '!E4932,"AAAAAF938jM=")</f>
        <v>#VALUE!</v>
      </c>
      <c r="BA220" t="e">
        <f>AND('STERLING CATALOG - DRY '!F4932,"AAAAAF938jQ=")</f>
        <v>#VALUE!</v>
      </c>
      <c r="BB220" t="e">
        <f>AND('STERLING CATALOG - DRY '!G4932,"AAAAAF938jU=")</f>
        <v>#VALUE!</v>
      </c>
      <c r="BC220" t="e">
        <f>AND('STERLING CATALOG - DRY '!H4932,"AAAAAF938jY=")</f>
        <v>#VALUE!</v>
      </c>
      <c r="BD220" t="e">
        <f>AND('STERLING CATALOG - DRY '!I4932,"AAAAAF938jc=")</f>
        <v>#VALUE!</v>
      </c>
      <c r="BE220" t="e">
        <f>AND('STERLING CATALOG - DRY '!J4932,"AAAAAF938jg=")</f>
        <v>#VALUE!</v>
      </c>
      <c r="BF220">
        <f>IF('STERLING CATALOG - DRY '!4933:4933,"AAAAAF938jk=",0)</f>
        <v>0</v>
      </c>
      <c r="BG220" t="e">
        <f>AND('STERLING CATALOG - DRY '!A4933,"AAAAAF938jo=")</f>
        <v>#VALUE!</v>
      </c>
      <c r="BH220" t="e">
        <f>AND('STERLING CATALOG - DRY '!B4933,"AAAAAF938js=")</f>
        <v>#VALUE!</v>
      </c>
      <c r="BI220" t="e">
        <f>AND('STERLING CATALOG - DRY '!C4933,"AAAAAF938jw=")</f>
        <v>#VALUE!</v>
      </c>
      <c r="BJ220" t="e">
        <f>AND('STERLING CATALOG - DRY '!D4933,"AAAAAF938j0=")</f>
        <v>#VALUE!</v>
      </c>
      <c r="BK220" t="e">
        <f>AND('STERLING CATALOG - DRY '!E4933,"AAAAAF938j4=")</f>
        <v>#VALUE!</v>
      </c>
      <c r="BL220" t="e">
        <f>AND('STERLING CATALOG - DRY '!F4933,"AAAAAF938j8=")</f>
        <v>#VALUE!</v>
      </c>
      <c r="BM220" t="e">
        <f>AND('STERLING CATALOG - DRY '!G4933,"AAAAAF938kA=")</f>
        <v>#VALUE!</v>
      </c>
      <c r="BN220" t="e">
        <f>AND('STERLING CATALOG - DRY '!H4933,"AAAAAF938kE=")</f>
        <v>#VALUE!</v>
      </c>
      <c r="BO220" t="e">
        <f>AND('STERLING CATALOG - DRY '!I4933,"AAAAAF938kI=")</f>
        <v>#VALUE!</v>
      </c>
      <c r="BP220" t="e">
        <f>AND('STERLING CATALOG - DRY '!J4933,"AAAAAF938kM=")</f>
        <v>#VALUE!</v>
      </c>
      <c r="BQ220">
        <f>IF('STERLING CATALOG - DRY '!4934:4934,"AAAAAF938kQ=",0)</f>
        <v>0</v>
      </c>
      <c r="BR220" t="e">
        <f>AND('STERLING CATALOG - DRY '!A4934,"AAAAAF938kU=")</f>
        <v>#VALUE!</v>
      </c>
      <c r="BS220" t="e">
        <f>AND('STERLING CATALOG - DRY '!B4934,"AAAAAF938kY=")</f>
        <v>#VALUE!</v>
      </c>
      <c r="BT220" t="e">
        <f>AND('STERLING CATALOG - DRY '!C4934,"AAAAAF938kc=")</f>
        <v>#VALUE!</v>
      </c>
      <c r="BU220" t="e">
        <f>AND('STERLING CATALOG - DRY '!D4934,"AAAAAF938kg=")</f>
        <v>#VALUE!</v>
      </c>
      <c r="BV220" t="e">
        <f>AND('STERLING CATALOG - DRY '!E4934,"AAAAAF938kk=")</f>
        <v>#VALUE!</v>
      </c>
      <c r="BW220" t="e">
        <f>AND('STERLING CATALOG - DRY '!F4934,"AAAAAF938ko=")</f>
        <v>#VALUE!</v>
      </c>
      <c r="BX220" t="e">
        <f>AND('STERLING CATALOG - DRY '!G4934,"AAAAAF938ks=")</f>
        <v>#VALUE!</v>
      </c>
      <c r="BY220" t="e">
        <f>AND('STERLING CATALOG - DRY '!H4934,"AAAAAF938kw=")</f>
        <v>#VALUE!</v>
      </c>
      <c r="BZ220" t="e">
        <f>AND('STERLING CATALOG - DRY '!I4934,"AAAAAF938k0=")</f>
        <v>#VALUE!</v>
      </c>
      <c r="CA220" t="e">
        <f>AND('STERLING CATALOG - DRY '!J4934,"AAAAAF938k4=")</f>
        <v>#VALUE!</v>
      </c>
      <c r="CB220">
        <f>IF('STERLING CATALOG - DRY '!4935:4935,"AAAAAF938k8=",0)</f>
        <v>0</v>
      </c>
      <c r="CC220" t="e">
        <f>AND('STERLING CATALOG - DRY '!A4935,"AAAAAF938lA=")</f>
        <v>#VALUE!</v>
      </c>
      <c r="CD220" t="e">
        <f>AND('STERLING CATALOG - DRY '!B4935,"AAAAAF938lE=")</f>
        <v>#VALUE!</v>
      </c>
      <c r="CE220" t="e">
        <f>AND('STERLING CATALOG - DRY '!C4935,"AAAAAF938lI=")</f>
        <v>#VALUE!</v>
      </c>
      <c r="CF220" t="e">
        <f>AND('STERLING CATALOG - DRY '!D4935,"AAAAAF938lM=")</f>
        <v>#VALUE!</v>
      </c>
      <c r="CG220" t="e">
        <f>AND('STERLING CATALOG - DRY '!E4935,"AAAAAF938lQ=")</f>
        <v>#VALUE!</v>
      </c>
      <c r="CH220" t="e">
        <f>AND('STERLING CATALOG - DRY '!F4935,"AAAAAF938lU=")</f>
        <v>#VALUE!</v>
      </c>
      <c r="CI220" t="e">
        <f>AND('STERLING CATALOG - DRY '!G4935,"AAAAAF938lY=")</f>
        <v>#VALUE!</v>
      </c>
      <c r="CJ220" t="e">
        <f>AND('STERLING CATALOG - DRY '!H4935,"AAAAAF938lc=")</f>
        <v>#VALUE!</v>
      </c>
      <c r="CK220" t="e">
        <f>AND('STERLING CATALOG - DRY '!I4935,"AAAAAF938lg=")</f>
        <v>#VALUE!</v>
      </c>
      <c r="CL220" t="e">
        <f>AND('STERLING CATALOG - DRY '!J4935,"AAAAAF938lk=")</f>
        <v>#VALUE!</v>
      </c>
      <c r="CM220">
        <f>IF('STERLING CATALOG - DRY '!4936:4936,"AAAAAF938lo=",0)</f>
        <v>0</v>
      </c>
      <c r="CN220" t="e">
        <f>AND('STERLING CATALOG - DRY '!A4936,"AAAAAF938ls=")</f>
        <v>#VALUE!</v>
      </c>
      <c r="CO220" t="e">
        <f>AND('STERLING CATALOG - DRY '!B4936,"AAAAAF938lw=")</f>
        <v>#VALUE!</v>
      </c>
      <c r="CP220" t="e">
        <f>AND('STERLING CATALOG - DRY '!C4936,"AAAAAF938l0=")</f>
        <v>#VALUE!</v>
      </c>
      <c r="CQ220" t="e">
        <f>AND('STERLING CATALOG - DRY '!D4936,"AAAAAF938l4=")</f>
        <v>#VALUE!</v>
      </c>
      <c r="CR220" t="e">
        <f>AND('STERLING CATALOG - DRY '!E4936,"AAAAAF938l8=")</f>
        <v>#VALUE!</v>
      </c>
      <c r="CS220" t="e">
        <f>AND('STERLING CATALOG - DRY '!F4936,"AAAAAF938mA=")</f>
        <v>#VALUE!</v>
      </c>
      <c r="CT220" t="e">
        <f>AND('STERLING CATALOG - DRY '!G4936,"AAAAAF938mE=")</f>
        <v>#VALUE!</v>
      </c>
      <c r="CU220" t="e">
        <f>AND('STERLING CATALOG - DRY '!H4936,"AAAAAF938mI=")</f>
        <v>#VALUE!</v>
      </c>
      <c r="CV220" t="e">
        <f>AND('STERLING CATALOG - DRY '!I4936,"AAAAAF938mM=")</f>
        <v>#VALUE!</v>
      </c>
      <c r="CW220" t="e">
        <f>AND('STERLING CATALOG - DRY '!J4936,"AAAAAF938mQ=")</f>
        <v>#VALUE!</v>
      </c>
      <c r="CX220">
        <f>IF('STERLING CATALOG - DRY '!4937:4937,"AAAAAF938mU=",0)</f>
        <v>0</v>
      </c>
      <c r="CY220" t="e">
        <f>AND('STERLING CATALOG - DRY '!A4937,"AAAAAF938mY=")</f>
        <v>#VALUE!</v>
      </c>
      <c r="CZ220" t="e">
        <f>AND('STERLING CATALOG - DRY '!B4937,"AAAAAF938mc=")</f>
        <v>#VALUE!</v>
      </c>
      <c r="DA220" t="e">
        <f>AND('STERLING CATALOG - DRY '!C4937,"AAAAAF938mg=")</f>
        <v>#VALUE!</v>
      </c>
      <c r="DB220" t="e">
        <f>AND('STERLING CATALOG - DRY '!D4937,"AAAAAF938mk=")</f>
        <v>#VALUE!</v>
      </c>
      <c r="DC220" t="e">
        <f>AND('STERLING CATALOG - DRY '!E4937,"AAAAAF938mo=")</f>
        <v>#VALUE!</v>
      </c>
      <c r="DD220" t="e">
        <f>AND('STERLING CATALOG - DRY '!F4937,"AAAAAF938ms=")</f>
        <v>#VALUE!</v>
      </c>
      <c r="DE220" t="e">
        <f>AND('STERLING CATALOG - DRY '!G4937,"AAAAAF938mw=")</f>
        <v>#VALUE!</v>
      </c>
      <c r="DF220" t="e">
        <f>AND('STERLING CATALOG - DRY '!H4937,"AAAAAF938m0=")</f>
        <v>#VALUE!</v>
      </c>
      <c r="DG220" t="e">
        <f>AND('STERLING CATALOG - DRY '!I4937,"AAAAAF938m4=")</f>
        <v>#VALUE!</v>
      </c>
      <c r="DH220" t="e">
        <f>AND('STERLING CATALOG - DRY '!J4937,"AAAAAF938m8=")</f>
        <v>#VALUE!</v>
      </c>
      <c r="DI220">
        <f>IF('STERLING CATALOG - DRY '!4938:4938,"AAAAAF938nA=",0)</f>
        <v>0</v>
      </c>
      <c r="DJ220" t="e">
        <f>AND('STERLING CATALOG - DRY '!A4938,"AAAAAF938nE=")</f>
        <v>#VALUE!</v>
      </c>
      <c r="DK220" t="e">
        <f>AND('STERLING CATALOG - DRY '!B4938,"AAAAAF938nI=")</f>
        <v>#VALUE!</v>
      </c>
      <c r="DL220" t="e">
        <f>AND('STERLING CATALOG - DRY '!C4938,"AAAAAF938nM=")</f>
        <v>#VALUE!</v>
      </c>
      <c r="DM220" t="e">
        <f>AND('STERLING CATALOG - DRY '!D4938,"AAAAAF938nQ=")</f>
        <v>#VALUE!</v>
      </c>
      <c r="DN220" t="e">
        <f>AND('STERLING CATALOG - DRY '!E4938,"AAAAAF938nU=")</f>
        <v>#VALUE!</v>
      </c>
      <c r="DO220" t="e">
        <f>AND('STERLING CATALOG - DRY '!F4938,"AAAAAF938nY=")</f>
        <v>#VALUE!</v>
      </c>
      <c r="DP220" t="e">
        <f>AND('STERLING CATALOG - DRY '!G4938,"AAAAAF938nc=")</f>
        <v>#VALUE!</v>
      </c>
      <c r="DQ220" t="e">
        <f>AND('STERLING CATALOG - DRY '!H4938,"AAAAAF938ng=")</f>
        <v>#VALUE!</v>
      </c>
      <c r="DR220" t="e">
        <f>AND('STERLING CATALOG - DRY '!I4938,"AAAAAF938nk=")</f>
        <v>#VALUE!</v>
      </c>
      <c r="DS220" t="e">
        <f>AND('STERLING CATALOG - DRY '!J4938,"AAAAAF938no=")</f>
        <v>#VALUE!</v>
      </c>
      <c r="DT220">
        <f>IF('STERLING CATALOG - DRY '!4939:4939,"AAAAAF938ns=",0)</f>
        <v>0</v>
      </c>
      <c r="DU220" t="e">
        <f>AND('STERLING CATALOG - DRY '!A4939,"AAAAAF938nw=")</f>
        <v>#VALUE!</v>
      </c>
      <c r="DV220" t="e">
        <f>AND('STERLING CATALOG - DRY '!B4939,"AAAAAF938n0=")</f>
        <v>#VALUE!</v>
      </c>
      <c r="DW220" t="e">
        <f>AND('STERLING CATALOG - DRY '!C4939,"AAAAAF938n4=")</f>
        <v>#VALUE!</v>
      </c>
      <c r="DX220" t="e">
        <f>AND('STERLING CATALOG - DRY '!D4939,"AAAAAF938n8=")</f>
        <v>#VALUE!</v>
      </c>
      <c r="DY220" t="e">
        <f>AND('STERLING CATALOG - DRY '!E4939,"AAAAAF938oA=")</f>
        <v>#VALUE!</v>
      </c>
      <c r="DZ220" t="e">
        <f>AND('STERLING CATALOG - DRY '!F4939,"AAAAAF938oE=")</f>
        <v>#VALUE!</v>
      </c>
      <c r="EA220" t="e">
        <f>AND('STERLING CATALOG - DRY '!G4939,"AAAAAF938oI=")</f>
        <v>#VALUE!</v>
      </c>
      <c r="EB220" t="e">
        <f>AND('STERLING CATALOG - DRY '!H4939,"AAAAAF938oM=")</f>
        <v>#VALUE!</v>
      </c>
      <c r="EC220" t="e">
        <f>AND('STERLING CATALOG - DRY '!I4939,"AAAAAF938oQ=")</f>
        <v>#VALUE!</v>
      </c>
      <c r="ED220" t="e">
        <f>AND('STERLING CATALOG - DRY '!J4939,"AAAAAF938oU=")</f>
        <v>#VALUE!</v>
      </c>
      <c r="EE220">
        <f>IF('STERLING CATALOG - DRY '!4940:4940,"AAAAAF938oY=",0)</f>
        <v>0</v>
      </c>
      <c r="EF220" t="e">
        <f>AND('STERLING CATALOG - DRY '!A4940,"AAAAAF938oc=")</f>
        <v>#VALUE!</v>
      </c>
      <c r="EG220" t="e">
        <f>AND('STERLING CATALOG - DRY '!B4940,"AAAAAF938og=")</f>
        <v>#VALUE!</v>
      </c>
      <c r="EH220" t="e">
        <f>AND('STERLING CATALOG - DRY '!C4940,"AAAAAF938ok=")</f>
        <v>#VALUE!</v>
      </c>
      <c r="EI220" t="e">
        <f>AND('STERLING CATALOG - DRY '!D4940,"AAAAAF938oo=")</f>
        <v>#VALUE!</v>
      </c>
      <c r="EJ220" t="e">
        <f>AND('STERLING CATALOG - DRY '!E4940,"AAAAAF938os=")</f>
        <v>#VALUE!</v>
      </c>
      <c r="EK220" t="e">
        <f>AND('STERLING CATALOG - DRY '!F4940,"AAAAAF938ow=")</f>
        <v>#VALUE!</v>
      </c>
      <c r="EL220" t="e">
        <f>AND('STERLING CATALOG - DRY '!G4940,"AAAAAF938o0=")</f>
        <v>#VALUE!</v>
      </c>
      <c r="EM220" t="e">
        <f>AND('STERLING CATALOG - DRY '!H4940,"AAAAAF938o4=")</f>
        <v>#VALUE!</v>
      </c>
      <c r="EN220" t="e">
        <f>AND('STERLING CATALOG - DRY '!I4940,"AAAAAF938o8=")</f>
        <v>#VALUE!</v>
      </c>
      <c r="EO220" t="e">
        <f>AND('STERLING CATALOG - DRY '!J4940,"AAAAAF938pA=")</f>
        <v>#VALUE!</v>
      </c>
      <c r="EP220">
        <f>IF('STERLING CATALOG - DRY '!4941:4941,"AAAAAF938pE=",0)</f>
        <v>0</v>
      </c>
      <c r="EQ220" t="e">
        <f>AND('STERLING CATALOG - DRY '!A4941,"AAAAAF938pI=")</f>
        <v>#VALUE!</v>
      </c>
      <c r="ER220" t="e">
        <f>AND('STERLING CATALOG - DRY '!B4941,"AAAAAF938pM=")</f>
        <v>#VALUE!</v>
      </c>
      <c r="ES220" t="e">
        <f>AND('STERLING CATALOG - DRY '!C4941,"AAAAAF938pQ=")</f>
        <v>#VALUE!</v>
      </c>
      <c r="ET220" t="e">
        <f>AND('STERLING CATALOG - DRY '!D4941,"AAAAAF938pU=")</f>
        <v>#VALUE!</v>
      </c>
      <c r="EU220" t="e">
        <f>AND('STERLING CATALOG - DRY '!E4941,"AAAAAF938pY=")</f>
        <v>#VALUE!</v>
      </c>
      <c r="EV220" t="e">
        <f>AND('STERLING CATALOG - DRY '!F4941,"AAAAAF938pc=")</f>
        <v>#VALUE!</v>
      </c>
      <c r="EW220" t="e">
        <f>AND('STERLING CATALOG - DRY '!G4941,"AAAAAF938pg=")</f>
        <v>#VALUE!</v>
      </c>
      <c r="EX220" t="e">
        <f>AND('STERLING CATALOG - DRY '!H4941,"AAAAAF938pk=")</f>
        <v>#VALUE!</v>
      </c>
      <c r="EY220" t="e">
        <f>AND('STERLING CATALOG - DRY '!I4941,"AAAAAF938po=")</f>
        <v>#VALUE!</v>
      </c>
      <c r="EZ220" t="e">
        <f>AND('STERLING CATALOG - DRY '!J4941,"AAAAAF938ps=")</f>
        <v>#VALUE!</v>
      </c>
      <c r="FA220">
        <f>IF('STERLING CATALOG - DRY '!4942:4942,"AAAAAF938pw=",0)</f>
        <v>0</v>
      </c>
      <c r="FB220" t="e">
        <f>AND('STERLING CATALOG - DRY '!A4942,"AAAAAF938p0=")</f>
        <v>#VALUE!</v>
      </c>
      <c r="FC220" t="e">
        <f>AND('STERLING CATALOG - DRY '!B4942,"AAAAAF938p4=")</f>
        <v>#VALUE!</v>
      </c>
      <c r="FD220" t="e">
        <f>AND('STERLING CATALOG - DRY '!C4942,"AAAAAF938p8=")</f>
        <v>#VALUE!</v>
      </c>
      <c r="FE220" t="e">
        <f>AND('STERLING CATALOG - DRY '!D4942,"AAAAAF938qA=")</f>
        <v>#VALUE!</v>
      </c>
      <c r="FF220" t="e">
        <f>AND('STERLING CATALOG - DRY '!E4942,"AAAAAF938qE=")</f>
        <v>#VALUE!</v>
      </c>
      <c r="FG220" t="e">
        <f>AND('STERLING CATALOG - DRY '!F4942,"AAAAAF938qI=")</f>
        <v>#VALUE!</v>
      </c>
      <c r="FH220" t="e">
        <f>AND('STERLING CATALOG - DRY '!G4942,"AAAAAF938qM=")</f>
        <v>#VALUE!</v>
      </c>
      <c r="FI220" t="e">
        <f>AND('STERLING CATALOG - DRY '!H4942,"AAAAAF938qQ=")</f>
        <v>#VALUE!</v>
      </c>
      <c r="FJ220" t="e">
        <f>AND('STERLING CATALOG - DRY '!I4942,"AAAAAF938qU=")</f>
        <v>#VALUE!</v>
      </c>
      <c r="FK220" t="e">
        <f>AND('STERLING CATALOG - DRY '!J4942,"AAAAAF938qY=")</f>
        <v>#VALUE!</v>
      </c>
      <c r="FL220">
        <f>IF('STERLING CATALOG - DRY '!4943:4943,"AAAAAF938qc=",0)</f>
        <v>0</v>
      </c>
      <c r="FM220" t="e">
        <f>AND('STERLING CATALOG - DRY '!A4943,"AAAAAF938qg=")</f>
        <v>#VALUE!</v>
      </c>
      <c r="FN220" t="e">
        <f>AND('STERLING CATALOG - DRY '!B4943,"AAAAAF938qk=")</f>
        <v>#VALUE!</v>
      </c>
      <c r="FO220" t="e">
        <f>AND('STERLING CATALOG - DRY '!C4943,"AAAAAF938qo=")</f>
        <v>#VALUE!</v>
      </c>
      <c r="FP220" t="e">
        <f>AND('STERLING CATALOG - DRY '!D4943,"AAAAAF938qs=")</f>
        <v>#VALUE!</v>
      </c>
      <c r="FQ220" t="e">
        <f>AND('STERLING CATALOG - DRY '!E4943,"AAAAAF938qw=")</f>
        <v>#VALUE!</v>
      </c>
      <c r="FR220" t="e">
        <f>AND('STERLING CATALOG - DRY '!F4943,"AAAAAF938q0=")</f>
        <v>#VALUE!</v>
      </c>
      <c r="FS220" t="e">
        <f>AND('STERLING CATALOG - DRY '!G4943,"AAAAAF938q4=")</f>
        <v>#VALUE!</v>
      </c>
      <c r="FT220" t="e">
        <f>AND('STERLING CATALOG - DRY '!H4943,"AAAAAF938q8=")</f>
        <v>#VALUE!</v>
      </c>
      <c r="FU220" t="e">
        <f>AND('STERLING CATALOG - DRY '!I4943,"AAAAAF938rA=")</f>
        <v>#VALUE!</v>
      </c>
      <c r="FV220" t="e">
        <f>AND('STERLING CATALOG - DRY '!J4943,"AAAAAF938rE=")</f>
        <v>#VALUE!</v>
      </c>
      <c r="FW220">
        <f>IF('STERLING CATALOG - DRY '!4944:4944,"AAAAAF938rI=",0)</f>
        <v>0</v>
      </c>
      <c r="FX220" t="e">
        <f>AND('STERLING CATALOG - DRY '!A4944,"AAAAAF938rM=")</f>
        <v>#VALUE!</v>
      </c>
      <c r="FY220" t="e">
        <f>AND('STERLING CATALOG - DRY '!B4944,"AAAAAF938rQ=")</f>
        <v>#VALUE!</v>
      </c>
      <c r="FZ220" t="e">
        <f>AND('STERLING CATALOG - DRY '!C4944,"AAAAAF938rU=")</f>
        <v>#VALUE!</v>
      </c>
      <c r="GA220" t="e">
        <f>AND('STERLING CATALOG - DRY '!D4944,"AAAAAF938rY=")</f>
        <v>#VALUE!</v>
      </c>
      <c r="GB220" t="e">
        <f>AND('STERLING CATALOG - DRY '!E4944,"AAAAAF938rc=")</f>
        <v>#VALUE!</v>
      </c>
      <c r="GC220" t="e">
        <f>AND('STERLING CATALOG - DRY '!F4944,"AAAAAF938rg=")</f>
        <v>#VALUE!</v>
      </c>
      <c r="GD220" t="e">
        <f>AND('STERLING CATALOG - DRY '!G4944,"AAAAAF938rk=")</f>
        <v>#VALUE!</v>
      </c>
      <c r="GE220" t="e">
        <f>AND('STERLING CATALOG - DRY '!H4944,"AAAAAF938ro=")</f>
        <v>#VALUE!</v>
      </c>
      <c r="GF220" t="e">
        <f>AND('STERLING CATALOG - DRY '!I4944,"AAAAAF938rs=")</f>
        <v>#VALUE!</v>
      </c>
      <c r="GG220" t="e">
        <f>AND('STERLING CATALOG - DRY '!J4944,"AAAAAF938rw=")</f>
        <v>#VALUE!</v>
      </c>
      <c r="GH220">
        <f>IF('STERLING CATALOG - DRY '!4945:4945,"AAAAAF938r0=",0)</f>
        <v>0</v>
      </c>
      <c r="GI220" t="e">
        <f>AND('STERLING CATALOG - DRY '!A4945,"AAAAAF938r4=")</f>
        <v>#VALUE!</v>
      </c>
      <c r="GJ220" t="e">
        <f>AND('STERLING CATALOG - DRY '!B4945,"AAAAAF938r8=")</f>
        <v>#VALUE!</v>
      </c>
      <c r="GK220" t="e">
        <f>AND('STERLING CATALOG - DRY '!C4945,"AAAAAF938sA=")</f>
        <v>#VALUE!</v>
      </c>
      <c r="GL220" t="e">
        <f>AND('STERLING CATALOG - DRY '!D4945,"AAAAAF938sE=")</f>
        <v>#VALUE!</v>
      </c>
      <c r="GM220" t="e">
        <f>AND('STERLING CATALOG - DRY '!E4945,"AAAAAF938sI=")</f>
        <v>#VALUE!</v>
      </c>
      <c r="GN220" t="e">
        <f>AND('STERLING CATALOG - DRY '!F4945,"AAAAAF938sM=")</f>
        <v>#VALUE!</v>
      </c>
      <c r="GO220" t="e">
        <f>AND('STERLING CATALOG - DRY '!G4945,"AAAAAF938sQ=")</f>
        <v>#VALUE!</v>
      </c>
      <c r="GP220" t="e">
        <f>AND('STERLING CATALOG - DRY '!H4945,"AAAAAF938sU=")</f>
        <v>#VALUE!</v>
      </c>
      <c r="GQ220" t="e">
        <f>AND('STERLING CATALOG - DRY '!I4945,"AAAAAF938sY=")</f>
        <v>#VALUE!</v>
      </c>
      <c r="GR220" t="e">
        <f>AND('STERLING CATALOG - DRY '!J4945,"AAAAAF938sc=")</f>
        <v>#VALUE!</v>
      </c>
      <c r="GS220">
        <f>IF('STERLING CATALOG - DRY '!4946:4946,"AAAAAF938sg=",0)</f>
        <v>0</v>
      </c>
      <c r="GT220" t="e">
        <f>AND('STERLING CATALOG - DRY '!A4946,"AAAAAF938sk=")</f>
        <v>#VALUE!</v>
      </c>
      <c r="GU220" t="e">
        <f>AND('STERLING CATALOG - DRY '!B4946,"AAAAAF938so=")</f>
        <v>#VALUE!</v>
      </c>
      <c r="GV220" t="e">
        <f>AND('STERLING CATALOG - DRY '!C4946,"AAAAAF938ss=")</f>
        <v>#VALUE!</v>
      </c>
      <c r="GW220" t="e">
        <f>AND('STERLING CATALOG - DRY '!D4946,"AAAAAF938sw=")</f>
        <v>#VALUE!</v>
      </c>
      <c r="GX220" t="e">
        <f>AND('STERLING CATALOG - DRY '!E4946,"AAAAAF938s0=")</f>
        <v>#VALUE!</v>
      </c>
      <c r="GY220" t="e">
        <f>AND('STERLING CATALOG - DRY '!F4946,"AAAAAF938s4=")</f>
        <v>#VALUE!</v>
      </c>
      <c r="GZ220" t="e">
        <f>AND('STERLING CATALOG - DRY '!G4946,"AAAAAF938s8=")</f>
        <v>#VALUE!</v>
      </c>
      <c r="HA220" t="e">
        <f>AND('STERLING CATALOG - DRY '!H4946,"AAAAAF938tA=")</f>
        <v>#VALUE!</v>
      </c>
      <c r="HB220" t="e">
        <f>AND('STERLING CATALOG - DRY '!I4946,"AAAAAF938tE=")</f>
        <v>#VALUE!</v>
      </c>
      <c r="HC220" t="e">
        <f>AND('STERLING CATALOG - DRY '!J4946,"AAAAAF938tI=")</f>
        <v>#VALUE!</v>
      </c>
      <c r="HD220">
        <f>IF('STERLING CATALOG - DRY '!4947:4947,"AAAAAF938tM=",0)</f>
        <v>0</v>
      </c>
      <c r="HE220" t="e">
        <f>AND('STERLING CATALOG - DRY '!A4947,"AAAAAF938tQ=")</f>
        <v>#VALUE!</v>
      </c>
      <c r="HF220" t="e">
        <f>AND('STERLING CATALOG - DRY '!B4947,"AAAAAF938tU=")</f>
        <v>#VALUE!</v>
      </c>
      <c r="HG220" t="e">
        <f>AND('STERLING CATALOG - DRY '!C4947,"AAAAAF938tY=")</f>
        <v>#VALUE!</v>
      </c>
      <c r="HH220" t="e">
        <f>AND('STERLING CATALOG - DRY '!D4947,"AAAAAF938tc=")</f>
        <v>#VALUE!</v>
      </c>
      <c r="HI220" t="e">
        <f>AND('STERLING CATALOG - DRY '!E4947,"AAAAAF938tg=")</f>
        <v>#VALUE!</v>
      </c>
      <c r="HJ220" t="e">
        <f>AND('STERLING CATALOG - DRY '!F4947,"AAAAAF938tk=")</f>
        <v>#VALUE!</v>
      </c>
      <c r="HK220" t="e">
        <f>AND('STERLING CATALOG - DRY '!G4947,"AAAAAF938to=")</f>
        <v>#VALUE!</v>
      </c>
      <c r="HL220" t="e">
        <f>AND('STERLING CATALOG - DRY '!H4947,"AAAAAF938ts=")</f>
        <v>#VALUE!</v>
      </c>
      <c r="HM220" t="e">
        <f>AND('STERLING CATALOG - DRY '!I4947,"AAAAAF938tw=")</f>
        <v>#VALUE!</v>
      </c>
      <c r="HN220" t="e">
        <f>AND('STERLING CATALOG - DRY '!J4947,"AAAAAF938t0=")</f>
        <v>#VALUE!</v>
      </c>
      <c r="HO220">
        <f>IF('STERLING CATALOG - DRY '!4948:4948,"AAAAAF938t4=",0)</f>
        <v>0</v>
      </c>
      <c r="HP220" t="e">
        <f>AND('STERLING CATALOG - DRY '!A4948,"AAAAAF938t8=")</f>
        <v>#VALUE!</v>
      </c>
      <c r="HQ220" t="e">
        <f>AND('STERLING CATALOG - DRY '!B4948,"AAAAAF938uA=")</f>
        <v>#VALUE!</v>
      </c>
      <c r="HR220" t="e">
        <f>AND('STERLING CATALOG - DRY '!C4948,"AAAAAF938uE=")</f>
        <v>#VALUE!</v>
      </c>
      <c r="HS220" t="e">
        <f>AND('STERLING CATALOG - DRY '!D4948,"AAAAAF938uI=")</f>
        <v>#VALUE!</v>
      </c>
      <c r="HT220" t="e">
        <f>AND('STERLING CATALOG - DRY '!E4948,"AAAAAF938uM=")</f>
        <v>#VALUE!</v>
      </c>
      <c r="HU220" t="e">
        <f>AND('STERLING CATALOG - DRY '!F4948,"AAAAAF938uQ=")</f>
        <v>#VALUE!</v>
      </c>
      <c r="HV220" t="e">
        <f>AND('STERLING CATALOG - DRY '!G4948,"AAAAAF938uU=")</f>
        <v>#VALUE!</v>
      </c>
      <c r="HW220" t="e">
        <f>AND('STERLING CATALOG - DRY '!H4948,"AAAAAF938uY=")</f>
        <v>#VALUE!</v>
      </c>
      <c r="HX220" t="e">
        <f>AND('STERLING CATALOG - DRY '!I4948,"AAAAAF938uc=")</f>
        <v>#VALUE!</v>
      </c>
      <c r="HY220" t="e">
        <f>AND('STERLING CATALOG - DRY '!J4948,"AAAAAF938ug=")</f>
        <v>#VALUE!</v>
      </c>
      <c r="HZ220">
        <f>IF('STERLING CATALOG - DRY '!4949:4949,"AAAAAF938uk=",0)</f>
        <v>0</v>
      </c>
      <c r="IA220" t="e">
        <f>AND('STERLING CATALOG - DRY '!A4949,"AAAAAF938uo=")</f>
        <v>#VALUE!</v>
      </c>
      <c r="IB220" t="e">
        <f>AND('STERLING CATALOG - DRY '!B4949,"AAAAAF938us=")</f>
        <v>#VALUE!</v>
      </c>
      <c r="IC220" t="e">
        <f>AND('STERLING CATALOG - DRY '!C4949,"AAAAAF938uw=")</f>
        <v>#VALUE!</v>
      </c>
      <c r="ID220" t="e">
        <f>AND('STERLING CATALOG - DRY '!D4949,"AAAAAF938u0=")</f>
        <v>#VALUE!</v>
      </c>
      <c r="IE220" t="e">
        <f>AND('STERLING CATALOG - DRY '!E4949,"AAAAAF938u4=")</f>
        <v>#VALUE!</v>
      </c>
      <c r="IF220" t="e">
        <f>AND('STERLING CATALOG - DRY '!F4949,"AAAAAF938u8=")</f>
        <v>#VALUE!</v>
      </c>
      <c r="IG220" t="e">
        <f>AND('STERLING CATALOG - DRY '!G4949,"AAAAAF938vA=")</f>
        <v>#VALUE!</v>
      </c>
      <c r="IH220" t="e">
        <f>AND('STERLING CATALOG - DRY '!H4949,"AAAAAF938vE=")</f>
        <v>#VALUE!</v>
      </c>
      <c r="II220" t="e">
        <f>AND('STERLING CATALOG - DRY '!I4949,"AAAAAF938vI=")</f>
        <v>#VALUE!</v>
      </c>
      <c r="IJ220" t="e">
        <f>AND('STERLING CATALOG - DRY '!J4949,"AAAAAF938vM=")</f>
        <v>#VALUE!</v>
      </c>
      <c r="IK220">
        <f>IF('STERLING CATALOG - DRY '!4950:4950,"AAAAAF938vQ=",0)</f>
        <v>0</v>
      </c>
      <c r="IL220" t="e">
        <f>AND('STERLING CATALOG - DRY '!A4950,"AAAAAF938vU=")</f>
        <v>#VALUE!</v>
      </c>
      <c r="IM220" t="e">
        <f>AND('STERLING CATALOG - DRY '!B4950,"AAAAAF938vY=")</f>
        <v>#VALUE!</v>
      </c>
      <c r="IN220" t="e">
        <f>AND('STERLING CATALOG - DRY '!C4950,"AAAAAF938vc=")</f>
        <v>#VALUE!</v>
      </c>
      <c r="IO220" t="e">
        <f>AND('STERLING CATALOG - DRY '!D4950,"AAAAAF938vg=")</f>
        <v>#VALUE!</v>
      </c>
      <c r="IP220" t="e">
        <f>AND('STERLING CATALOG - DRY '!E4950,"AAAAAF938vk=")</f>
        <v>#VALUE!</v>
      </c>
      <c r="IQ220" t="e">
        <f>AND('STERLING CATALOG - DRY '!F4950,"AAAAAF938vo=")</f>
        <v>#VALUE!</v>
      </c>
      <c r="IR220" t="e">
        <f>AND('STERLING CATALOG - DRY '!G4950,"AAAAAF938vs=")</f>
        <v>#VALUE!</v>
      </c>
      <c r="IS220" t="e">
        <f>AND('STERLING CATALOG - DRY '!H4950,"AAAAAF938vw=")</f>
        <v>#VALUE!</v>
      </c>
      <c r="IT220" t="e">
        <f>AND('STERLING CATALOG - DRY '!I4950,"AAAAAF938v0=")</f>
        <v>#VALUE!</v>
      </c>
      <c r="IU220" t="e">
        <f>AND('STERLING CATALOG - DRY '!J4950,"AAAAAF938v4=")</f>
        <v>#VALUE!</v>
      </c>
      <c r="IV220">
        <f>IF('STERLING CATALOG - DRY '!4951:4951,"AAAAAF938v8=",0)</f>
        <v>0</v>
      </c>
    </row>
    <row r="221" spans="1:256">
      <c r="A221" t="e">
        <f>AND('STERLING CATALOG - DRY '!A4951,"AAAAAD7b3gA=")</f>
        <v>#VALUE!</v>
      </c>
      <c r="B221" t="e">
        <f>AND('STERLING CATALOG - DRY '!B4951,"AAAAAD7b3gE=")</f>
        <v>#VALUE!</v>
      </c>
      <c r="C221" t="e">
        <f>AND('STERLING CATALOG - DRY '!C4951,"AAAAAD7b3gI=")</f>
        <v>#VALUE!</v>
      </c>
      <c r="D221" t="e">
        <f>AND('STERLING CATALOG - DRY '!D4951,"AAAAAD7b3gM=")</f>
        <v>#VALUE!</v>
      </c>
      <c r="E221" t="e">
        <f>AND('STERLING CATALOG - DRY '!E4951,"AAAAAD7b3gQ=")</f>
        <v>#VALUE!</v>
      </c>
      <c r="F221" t="e">
        <f>AND('STERLING CATALOG - DRY '!F4951,"AAAAAD7b3gU=")</f>
        <v>#VALUE!</v>
      </c>
      <c r="G221" t="e">
        <f>AND('STERLING CATALOG - DRY '!G4951,"AAAAAD7b3gY=")</f>
        <v>#VALUE!</v>
      </c>
      <c r="H221" t="e">
        <f>AND('STERLING CATALOG - DRY '!H4951,"AAAAAD7b3gc=")</f>
        <v>#VALUE!</v>
      </c>
      <c r="I221" t="e">
        <f>AND('STERLING CATALOG - DRY '!I4951,"AAAAAD7b3gg=")</f>
        <v>#VALUE!</v>
      </c>
      <c r="J221" t="e">
        <f>AND('STERLING CATALOG - DRY '!J4951,"AAAAAD7b3gk=")</f>
        <v>#VALUE!</v>
      </c>
      <c r="K221">
        <f>IF('STERLING CATALOG - DRY '!4952:4952,"AAAAAD7b3go=",0)</f>
        <v>0</v>
      </c>
      <c r="L221" t="e">
        <f>AND('STERLING CATALOG - DRY '!A4952,"AAAAAD7b3gs=")</f>
        <v>#VALUE!</v>
      </c>
      <c r="M221" t="e">
        <f>AND('STERLING CATALOG - DRY '!B4952,"AAAAAD7b3gw=")</f>
        <v>#VALUE!</v>
      </c>
      <c r="N221" t="e">
        <f>AND('STERLING CATALOG - DRY '!C4952,"AAAAAD7b3g0=")</f>
        <v>#VALUE!</v>
      </c>
      <c r="O221" t="e">
        <f>AND('STERLING CATALOG - DRY '!D4952,"AAAAAD7b3g4=")</f>
        <v>#VALUE!</v>
      </c>
      <c r="P221" t="e">
        <f>AND('STERLING CATALOG - DRY '!E4952,"AAAAAD7b3g8=")</f>
        <v>#VALUE!</v>
      </c>
      <c r="Q221" t="e">
        <f>AND('STERLING CATALOG - DRY '!F4952,"AAAAAD7b3hA=")</f>
        <v>#VALUE!</v>
      </c>
      <c r="R221" t="e">
        <f>AND('STERLING CATALOG - DRY '!G4952,"AAAAAD7b3hE=")</f>
        <v>#VALUE!</v>
      </c>
      <c r="S221" t="e">
        <f>AND('STERLING CATALOG - DRY '!H4952,"AAAAAD7b3hI=")</f>
        <v>#VALUE!</v>
      </c>
      <c r="T221" t="e">
        <f>AND('STERLING CATALOG - DRY '!I4952,"AAAAAD7b3hM=")</f>
        <v>#VALUE!</v>
      </c>
      <c r="U221" t="e">
        <f>AND('STERLING CATALOG - DRY '!J4952,"AAAAAD7b3hQ=")</f>
        <v>#VALUE!</v>
      </c>
      <c r="V221">
        <f>IF('STERLING CATALOG - DRY '!4953:4953,"AAAAAD7b3hU=",0)</f>
        <v>0</v>
      </c>
      <c r="W221" t="e">
        <f>AND('STERLING CATALOG - DRY '!A4953,"AAAAAD7b3hY=")</f>
        <v>#VALUE!</v>
      </c>
      <c r="X221" t="e">
        <f>AND('STERLING CATALOG - DRY '!B4953,"AAAAAD7b3hc=")</f>
        <v>#VALUE!</v>
      </c>
      <c r="Y221" t="e">
        <f>AND('STERLING CATALOG - DRY '!C4953,"AAAAAD7b3hg=")</f>
        <v>#VALUE!</v>
      </c>
      <c r="Z221" t="e">
        <f>AND('STERLING CATALOG - DRY '!D4953,"AAAAAD7b3hk=")</f>
        <v>#VALUE!</v>
      </c>
      <c r="AA221" t="e">
        <f>AND('STERLING CATALOG - DRY '!E4953,"AAAAAD7b3ho=")</f>
        <v>#VALUE!</v>
      </c>
      <c r="AB221" t="e">
        <f>AND('STERLING CATALOG - DRY '!F4953,"AAAAAD7b3hs=")</f>
        <v>#VALUE!</v>
      </c>
      <c r="AC221" t="e">
        <f>AND('STERLING CATALOG - DRY '!G4953,"AAAAAD7b3hw=")</f>
        <v>#VALUE!</v>
      </c>
      <c r="AD221" t="e">
        <f>AND('STERLING CATALOG - DRY '!H4953,"AAAAAD7b3h0=")</f>
        <v>#VALUE!</v>
      </c>
      <c r="AE221" t="e">
        <f>AND('STERLING CATALOG - DRY '!I4953,"AAAAAD7b3h4=")</f>
        <v>#VALUE!</v>
      </c>
      <c r="AF221" t="e">
        <f>AND('STERLING CATALOG - DRY '!J4953,"AAAAAD7b3h8=")</f>
        <v>#VALUE!</v>
      </c>
      <c r="AG221">
        <f>IF('STERLING CATALOG - DRY '!4954:4954,"AAAAAD7b3iA=",0)</f>
        <v>0</v>
      </c>
      <c r="AH221" t="e">
        <f>AND('STERLING CATALOG - DRY '!A4954,"AAAAAD7b3iE=")</f>
        <v>#VALUE!</v>
      </c>
      <c r="AI221" t="e">
        <f>AND('STERLING CATALOG - DRY '!B4954,"AAAAAD7b3iI=")</f>
        <v>#VALUE!</v>
      </c>
      <c r="AJ221" t="e">
        <f>AND('STERLING CATALOG - DRY '!C4954,"AAAAAD7b3iM=")</f>
        <v>#VALUE!</v>
      </c>
      <c r="AK221" t="e">
        <f>AND('STERLING CATALOG - DRY '!D4954,"AAAAAD7b3iQ=")</f>
        <v>#VALUE!</v>
      </c>
      <c r="AL221" t="e">
        <f>AND('STERLING CATALOG - DRY '!E4954,"AAAAAD7b3iU=")</f>
        <v>#VALUE!</v>
      </c>
      <c r="AM221" t="e">
        <f>AND('STERLING CATALOG - DRY '!F4954,"AAAAAD7b3iY=")</f>
        <v>#VALUE!</v>
      </c>
      <c r="AN221" t="e">
        <f>AND('STERLING CATALOG - DRY '!G4954,"AAAAAD7b3ic=")</f>
        <v>#VALUE!</v>
      </c>
      <c r="AO221" t="e">
        <f>AND('STERLING CATALOG - DRY '!H4954,"AAAAAD7b3ig=")</f>
        <v>#VALUE!</v>
      </c>
      <c r="AP221" t="e">
        <f>AND('STERLING CATALOG - DRY '!I4954,"AAAAAD7b3ik=")</f>
        <v>#VALUE!</v>
      </c>
      <c r="AQ221" t="e">
        <f>AND('STERLING CATALOG - DRY '!J4954,"AAAAAD7b3io=")</f>
        <v>#VALUE!</v>
      </c>
      <c r="AR221">
        <f>IF('STERLING CATALOG - DRY '!4955:4955,"AAAAAD7b3is=",0)</f>
        <v>0</v>
      </c>
      <c r="AS221" t="e">
        <f>AND('STERLING CATALOG - DRY '!A4955,"AAAAAD7b3iw=")</f>
        <v>#VALUE!</v>
      </c>
      <c r="AT221" t="e">
        <f>AND('STERLING CATALOG - DRY '!B4955,"AAAAAD7b3i0=")</f>
        <v>#VALUE!</v>
      </c>
      <c r="AU221" t="e">
        <f>AND('STERLING CATALOG - DRY '!C4955,"AAAAAD7b3i4=")</f>
        <v>#VALUE!</v>
      </c>
      <c r="AV221" t="e">
        <f>AND('STERLING CATALOG - DRY '!D4955,"AAAAAD7b3i8=")</f>
        <v>#VALUE!</v>
      </c>
      <c r="AW221" t="e">
        <f>AND('STERLING CATALOG - DRY '!E4955,"AAAAAD7b3jA=")</f>
        <v>#VALUE!</v>
      </c>
      <c r="AX221" t="e">
        <f>AND('STERLING CATALOG - DRY '!F4955,"AAAAAD7b3jE=")</f>
        <v>#VALUE!</v>
      </c>
      <c r="AY221" t="e">
        <f>AND('STERLING CATALOG - DRY '!G4955,"AAAAAD7b3jI=")</f>
        <v>#VALUE!</v>
      </c>
      <c r="AZ221" t="e">
        <f>AND('STERLING CATALOG - DRY '!H4955,"AAAAAD7b3jM=")</f>
        <v>#VALUE!</v>
      </c>
      <c r="BA221" t="e">
        <f>AND('STERLING CATALOG - DRY '!I4955,"AAAAAD7b3jQ=")</f>
        <v>#VALUE!</v>
      </c>
      <c r="BB221" t="e">
        <f>AND('STERLING CATALOG - DRY '!J4955,"AAAAAD7b3jU=")</f>
        <v>#VALUE!</v>
      </c>
      <c r="BC221">
        <f>IF('STERLING CATALOG - DRY '!4956:4956,"AAAAAD7b3jY=",0)</f>
        <v>0</v>
      </c>
      <c r="BD221" t="e">
        <f>AND('STERLING CATALOG - DRY '!A4956,"AAAAAD7b3jc=")</f>
        <v>#VALUE!</v>
      </c>
      <c r="BE221" t="e">
        <f>AND('STERLING CATALOG - DRY '!B4956,"AAAAAD7b3jg=")</f>
        <v>#VALUE!</v>
      </c>
      <c r="BF221" t="e">
        <f>AND('STERLING CATALOG - DRY '!C4956,"AAAAAD7b3jk=")</f>
        <v>#VALUE!</v>
      </c>
      <c r="BG221" t="e">
        <f>AND('STERLING CATALOG - DRY '!D4956,"AAAAAD7b3jo=")</f>
        <v>#VALUE!</v>
      </c>
      <c r="BH221" t="e">
        <f>AND('STERLING CATALOG - DRY '!E4956,"AAAAAD7b3js=")</f>
        <v>#VALUE!</v>
      </c>
      <c r="BI221" t="e">
        <f>AND('STERLING CATALOG - DRY '!F4956,"AAAAAD7b3jw=")</f>
        <v>#VALUE!</v>
      </c>
      <c r="BJ221" t="e">
        <f>AND('STERLING CATALOG - DRY '!G4956,"AAAAAD7b3j0=")</f>
        <v>#VALUE!</v>
      </c>
      <c r="BK221" t="e">
        <f>AND('STERLING CATALOG - DRY '!H4956,"AAAAAD7b3j4=")</f>
        <v>#VALUE!</v>
      </c>
      <c r="BL221" t="e">
        <f>AND('STERLING CATALOG - DRY '!I4956,"AAAAAD7b3j8=")</f>
        <v>#VALUE!</v>
      </c>
      <c r="BM221" t="e">
        <f>AND('STERLING CATALOG - DRY '!J4956,"AAAAAD7b3kA=")</f>
        <v>#VALUE!</v>
      </c>
      <c r="BN221">
        <f>IF('STERLING CATALOG - DRY '!4957:4957,"AAAAAD7b3kE=",0)</f>
        <v>0</v>
      </c>
      <c r="BO221" t="e">
        <f>AND('STERLING CATALOG - DRY '!A4957,"AAAAAD7b3kI=")</f>
        <v>#VALUE!</v>
      </c>
      <c r="BP221" t="e">
        <f>AND('STERLING CATALOG - DRY '!B4957,"AAAAAD7b3kM=")</f>
        <v>#VALUE!</v>
      </c>
      <c r="BQ221" t="e">
        <f>AND('STERLING CATALOG - DRY '!C4957,"AAAAAD7b3kQ=")</f>
        <v>#VALUE!</v>
      </c>
      <c r="BR221" t="e">
        <f>AND('STERLING CATALOG - DRY '!D4957,"AAAAAD7b3kU=")</f>
        <v>#VALUE!</v>
      </c>
      <c r="BS221" t="e">
        <f>AND('STERLING CATALOG - DRY '!E4957,"AAAAAD7b3kY=")</f>
        <v>#VALUE!</v>
      </c>
      <c r="BT221" t="e">
        <f>AND('STERLING CATALOG - DRY '!F4957,"AAAAAD7b3kc=")</f>
        <v>#VALUE!</v>
      </c>
      <c r="BU221" t="e">
        <f>AND('STERLING CATALOG - DRY '!G4957,"AAAAAD7b3kg=")</f>
        <v>#VALUE!</v>
      </c>
      <c r="BV221" t="e">
        <f>AND('STERLING CATALOG - DRY '!H4957,"AAAAAD7b3kk=")</f>
        <v>#VALUE!</v>
      </c>
      <c r="BW221" t="e">
        <f>AND('STERLING CATALOG - DRY '!I4957,"AAAAAD7b3ko=")</f>
        <v>#VALUE!</v>
      </c>
      <c r="BX221" t="e">
        <f>AND('STERLING CATALOG - DRY '!J4957,"AAAAAD7b3ks=")</f>
        <v>#VALUE!</v>
      </c>
      <c r="BY221">
        <f>IF('STERLING CATALOG - DRY '!4958:4958,"AAAAAD7b3kw=",0)</f>
        <v>0</v>
      </c>
      <c r="BZ221" t="e">
        <f>AND('STERLING CATALOG - DRY '!A4958,"AAAAAD7b3k0=")</f>
        <v>#VALUE!</v>
      </c>
      <c r="CA221" t="e">
        <f>AND('STERLING CATALOG - DRY '!B4958,"AAAAAD7b3k4=")</f>
        <v>#VALUE!</v>
      </c>
      <c r="CB221" t="e">
        <f>AND('STERLING CATALOG - DRY '!C4958,"AAAAAD7b3k8=")</f>
        <v>#VALUE!</v>
      </c>
      <c r="CC221" t="e">
        <f>AND('STERLING CATALOG - DRY '!D4958,"AAAAAD7b3lA=")</f>
        <v>#VALUE!</v>
      </c>
      <c r="CD221" t="e">
        <f>AND('STERLING CATALOG - DRY '!E4958,"AAAAAD7b3lE=")</f>
        <v>#VALUE!</v>
      </c>
      <c r="CE221" t="e">
        <f>AND('STERLING CATALOG - DRY '!F4958,"AAAAAD7b3lI=")</f>
        <v>#VALUE!</v>
      </c>
      <c r="CF221" t="e">
        <f>AND('STERLING CATALOG - DRY '!G4958,"AAAAAD7b3lM=")</f>
        <v>#VALUE!</v>
      </c>
      <c r="CG221" t="e">
        <f>AND('STERLING CATALOG - DRY '!H4958,"AAAAAD7b3lQ=")</f>
        <v>#VALUE!</v>
      </c>
      <c r="CH221" t="e">
        <f>AND('STERLING CATALOG - DRY '!I4958,"AAAAAD7b3lU=")</f>
        <v>#VALUE!</v>
      </c>
      <c r="CI221" t="e">
        <f>AND('STERLING CATALOG - DRY '!J4958,"AAAAAD7b3lY=")</f>
        <v>#VALUE!</v>
      </c>
      <c r="CJ221">
        <f>IF('STERLING CATALOG - DRY '!4959:4959,"AAAAAD7b3lc=",0)</f>
        <v>0</v>
      </c>
      <c r="CK221" t="e">
        <f>AND('STERLING CATALOG - DRY '!A4959,"AAAAAD7b3lg=")</f>
        <v>#VALUE!</v>
      </c>
      <c r="CL221" t="e">
        <f>AND('STERLING CATALOG - DRY '!B4959,"AAAAAD7b3lk=")</f>
        <v>#VALUE!</v>
      </c>
      <c r="CM221" t="e">
        <f>AND('STERLING CATALOG - DRY '!C4959,"AAAAAD7b3lo=")</f>
        <v>#VALUE!</v>
      </c>
      <c r="CN221" t="e">
        <f>AND('STERLING CATALOG - DRY '!D4959,"AAAAAD7b3ls=")</f>
        <v>#VALUE!</v>
      </c>
      <c r="CO221" t="e">
        <f>AND('STERLING CATALOG - DRY '!E4959,"AAAAAD7b3lw=")</f>
        <v>#VALUE!</v>
      </c>
      <c r="CP221" t="e">
        <f>AND('STERLING CATALOG - DRY '!F4959,"AAAAAD7b3l0=")</f>
        <v>#VALUE!</v>
      </c>
      <c r="CQ221" t="e">
        <f>AND('STERLING CATALOG - DRY '!G4959,"AAAAAD7b3l4=")</f>
        <v>#VALUE!</v>
      </c>
      <c r="CR221" t="e">
        <f>AND('STERLING CATALOG - DRY '!H4959,"AAAAAD7b3l8=")</f>
        <v>#VALUE!</v>
      </c>
      <c r="CS221" t="e">
        <f>AND('STERLING CATALOG - DRY '!I4959,"AAAAAD7b3mA=")</f>
        <v>#VALUE!</v>
      </c>
      <c r="CT221" t="e">
        <f>AND('STERLING CATALOG - DRY '!J4959,"AAAAAD7b3mE=")</f>
        <v>#VALUE!</v>
      </c>
      <c r="CU221">
        <f>IF('STERLING CATALOG - DRY '!4960:4960,"AAAAAD7b3mI=",0)</f>
        <v>0</v>
      </c>
      <c r="CV221" t="e">
        <f>AND('STERLING CATALOG - DRY '!A4960,"AAAAAD7b3mM=")</f>
        <v>#VALUE!</v>
      </c>
      <c r="CW221" t="e">
        <f>AND('STERLING CATALOG - DRY '!B4960,"AAAAAD7b3mQ=")</f>
        <v>#VALUE!</v>
      </c>
      <c r="CX221" t="e">
        <f>AND('STERLING CATALOG - DRY '!C4960,"AAAAAD7b3mU=")</f>
        <v>#VALUE!</v>
      </c>
      <c r="CY221" t="e">
        <f>AND('STERLING CATALOG - DRY '!D4960,"AAAAAD7b3mY=")</f>
        <v>#VALUE!</v>
      </c>
      <c r="CZ221" t="e">
        <f>AND('STERLING CATALOG - DRY '!E4960,"AAAAAD7b3mc=")</f>
        <v>#VALUE!</v>
      </c>
      <c r="DA221" t="e">
        <f>AND('STERLING CATALOG - DRY '!F4960,"AAAAAD7b3mg=")</f>
        <v>#VALUE!</v>
      </c>
      <c r="DB221" t="e">
        <f>AND('STERLING CATALOG - DRY '!G4960,"AAAAAD7b3mk=")</f>
        <v>#VALUE!</v>
      </c>
      <c r="DC221" t="e">
        <f>AND('STERLING CATALOG - DRY '!H4960,"AAAAAD7b3mo=")</f>
        <v>#VALUE!</v>
      </c>
      <c r="DD221" t="e">
        <f>AND('STERLING CATALOG - DRY '!I4960,"AAAAAD7b3ms=")</f>
        <v>#VALUE!</v>
      </c>
      <c r="DE221" t="e">
        <f>AND('STERLING CATALOG - DRY '!J4960,"AAAAAD7b3mw=")</f>
        <v>#VALUE!</v>
      </c>
      <c r="DF221">
        <f>IF('STERLING CATALOG - DRY '!4961:4961,"AAAAAD7b3m0=",0)</f>
        <v>0</v>
      </c>
      <c r="DG221" t="e">
        <f>AND('STERLING CATALOG - DRY '!A4961,"AAAAAD7b3m4=")</f>
        <v>#VALUE!</v>
      </c>
      <c r="DH221" t="e">
        <f>AND('STERLING CATALOG - DRY '!B4961,"AAAAAD7b3m8=")</f>
        <v>#VALUE!</v>
      </c>
      <c r="DI221" t="e">
        <f>AND('STERLING CATALOG - DRY '!C4961,"AAAAAD7b3nA=")</f>
        <v>#VALUE!</v>
      </c>
      <c r="DJ221" t="e">
        <f>AND('STERLING CATALOG - DRY '!D4961,"AAAAAD7b3nE=")</f>
        <v>#VALUE!</v>
      </c>
      <c r="DK221" t="e">
        <f>AND('STERLING CATALOG - DRY '!E4961,"AAAAAD7b3nI=")</f>
        <v>#VALUE!</v>
      </c>
      <c r="DL221" t="e">
        <f>AND('STERLING CATALOG - DRY '!F4961,"AAAAAD7b3nM=")</f>
        <v>#VALUE!</v>
      </c>
      <c r="DM221" t="e">
        <f>AND('STERLING CATALOG - DRY '!G4961,"AAAAAD7b3nQ=")</f>
        <v>#VALUE!</v>
      </c>
      <c r="DN221" t="e">
        <f>AND('STERLING CATALOG - DRY '!H4961,"AAAAAD7b3nU=")</f>
        <v>#VALUE!</v>
      </c>
      <c r="DO221" t="e">
        <f>AND('STERLING CATALOG - DRY '!I4961,"AAAAAD7b3nY=")</f>
        <v>#VALUE!</v>
      </c>
      <c r="DP221" t="e">
        <f>AND('STERLING CATALOG - DRY '!J4961,"AAAAAD7b3nc=")</f>
        <v>#VALUE!</v>
      </c>
      <c r="DQ221">
        <f>IF('STERLING CATALOG - DRY '!4962:4962,"AAAAAD7b3ng=",0)</f>
        <v>0</v>
      </c>
      <c r="DR221" t="e">
        <f>AND('STERLING CATALOG - DRY '!A4962,"AAAAAD7b3nk=")</f>
        <v>#VALUE!</v>
      </c>
      <c r="DS221" t="e">
        <f>AND('STERLING CATALOG - DRY '!B4962,"AAAAAD7b3no=")</f>
        <v>#VALUE!</v>
      </c>
      <c r="DT221" t="e">
        <f>AND('STERLING CATALOG - DRY '!C4962,"AAAAAD7b3ns=")</f>
        <v>#VALUE!</v>
      </c>
      <c r="DU221" t="e">
        <f>AND('STERLING CATALOG - DRY '!D4962,"AAAAAD7b3nw=")</f>
        <v>#VALUE!</v>
      </c>
      <c r="DV221" t="e">
        <f>AND('STERLING CATALOG - DRY '!E4962,"AAAAAD7b3n0=")</f>
        <v>#VALUE!</v>
      </c>
      <c r="DW221" t="e">
        <f>AND('STERLING CATALOG - DRY '!F4962,"AAAAAD7b3n4=")</f>
        <v>#VALUE!</v>
      </c>
      <c r="DX221" t="e">
        <f>AND('STERLING CATALOG - DRY '!G4962,"AAAAAD7b3n8=")</f>
        <v>#VALUE!</v>
      </c>
      <c r="DY221" t="e">
        <f>AND('STERLING CATALOG - DRY '!H4962,"AAAAAD7b3oA=")</f>
        <v>#VALUE!</v>
      </c>
      <c r="DZ221" t="e">
        <f>AND('STERLING CATALOG - DRY '!I4962,"AAAAAD7b3oE=")</f>
        <v>#VALUE!</v>
      </c>
      <c r="EA221" t="e">
        <f>AND('STERLING CATALOG - DRY '!J4962,"AAAAAD7b3oI=")</f>
        <v>#VALUE!</v>
      </c>
      <c r="EB221">
        <f>IF('STERLING CATALOG - DRY '!4963:4963,"AAAAAD7b3oM=",0)</f>
        <v>0</v>
      </c>
      <c r="EC221" t="e">
        <f>AND('STERLING CATALOG - DRY '!A4963,"AAAAAD7b3oQ=")</f>
        <v>#VALUE!</v>
      </c>
      <c r="ED221" t="e">
        <f>AND('STERLING CATALOG - DRY '!B4963,"AAAAAD7b3oU=")</f>
        <v>#VALUE!</v>
      </c>
      <c r="EE221" t="e">
        <f>AND('STERLING CATALOG - DRY '!C4963,"AAAAAD7b3oY=")</f>
        <v>#VALUE!</v>
      </c>
      <c r="EF221" t="e">
        <f>AND('STERLING CATALOG - DRY '!D4963,"AAAAAD7b3oc=")</f>
        <v>#VALUE!</v>
      </c>
      <c r="EG221" t="e">
        <f>AND('STERLING CATALOG - DRY '!E4963,"AAAAAD7b3og=")</f>
        <v>#VALUE!</v>
      </c>
      <c r="EH221" t="e">
        <f>AND('STERLING CATALOG - DRY '!F4963,"AAAAAD7b3ok=")</f>
        <v>#VALUE!</v>
      </c>
      <c r="EI221" t="e">
        <f>AND('STERLING CATALOG - DRY '!G4963,"AAAAAD7b3oo=")</f>
        <v>#VALUE!</v>
      </c>
      <c r="EJ221" t="e">
        <f>AND('STERLING CATALOG - DRY '!H4963,"AAAAAD7b3os=")</f>
        <v>#VALUE!</v>
      </c>
      <c r="EK221" t="e">
        <f>AND('STERLING CATALOG - DRY '!I4963,"AAAAAD7b3ow=")</f>
        <v>#VALUE!</v>
      </c>
      <c r="EL221" t="e">
        <f>AND('STERLING CATALOG - DRY '!J4963,"AAAAAD7b3o0=")</f>
        <v>#VALUE!</v>
      </c>
      <c r="EM221">
        <f>IF('STERLING CATALOG - DRY '!4964:4964,"AAAAAD7b3o4=",0)</f>
        <v>0</v>
      </c>
      <c r="EN221" t="e">
        <f>AND('STERLING CATALOG - DRY '!A4964,"AAAAAD7b3o8=")</f>
        <v>#VALUE!</v>
      </c>
      <c r="EO221" t="e">
        <f>AND('STERLING CATALOG - DRY '!B4964,"AAAAAD7b3pA=")</f>
        <v>#VALUE!</v>
      </c>
      <c r="EP221" t="e">
        <f>AND('STERLING CATALOG - DRY '!C4964,"AAAAAD7b3pE=")</f>
        <v>#VALUE!</v>
      </c>
      <c r="EQ221" t="e">
        <f>AND('STERLING CATALOG - DRY '!D4964,"AAAAAD7b3pI=")</f>
        <v>#VALUE!</v>
      </c>
      <c r="ER221" t="e">
        <f>AND('STERLING CATALOG - DRY '!E4964,"AAAAAD7b3pM=")</f>
        <v>#VALUE!</v>
      </c>
      <c r="ES221" t="e">
        <f>AND('STERLING CATALOG - DRY '!F4964,"AAAAAD7b3pQ=")</f>
        <v>#VALUE!</v>
      </c>
      <c r="ET221" t="e">
        <f>AND('STERLING CATALOG - DRY '!G4964,"AAAAAD7b3pU=")</f>
        <v>#VALUE!</v>
      </c>
      <c r="EU221" t="e">
        <f>AND('STERLING CATALOG - DRY '!H4964,"AAAAAD7b3pY=")</f>
        <v>#VALUE!</v>
      </c>
      <c r="EV221" t="e">
        <f>AND('STERLING CATALOG - DRY '!I4964,"AAAAAD7b3pc=")</f>
        <v>#VALUE!</v>
      </c>
      <c r="EW221" t="e">
        <f>AND('STERLING CATALOG - DRY '!J4964,"AAAAAD7b3pg=")</f>
        <v>#VALUE!</v>
      </c>
      <c r="EX221">
        <f>IF('STERLING CATALOG - DRY '!4965:4965,"AAAAAD7b3pk=",0)</f>
        <v>0</v>
      </c>
      <c r="EY221" t="e">
        <f>AND('STERLING CATALOG - DRY '!A4965,"AAAAAD7b3po=")</f>
        <v>#VALUE!</v>
      </c>
      <c r="EZ221" t="e">
        <f>AND('STERLING CATALOG - DRY '!B4965,"AAAAAD7b3ps=")</f>
        <v>#VALUE!</v>
      </c>
      <c r="FA221" t="e">
        <f>AND('STERLING CATALOG - DRY '!C4965,"AAAAAD7b3pw=")</f>
        <v>#VALUE!</v>
      </c>
      <c r="FB221" t="e">
        <f>AND('STERLING CATALOG - DRY '!D4965,"AAAAAD7b3p0=")</f>
        <v>#VALUE!</v>
      </c>
      <c r="FC221" t="e">
        <f>AND('STERLING CATALOG - DRY '!E4965,"AAAAAD7b3p4=")</f>
        <v>#VALUE!</v>
      </c>
      <c r="FD221" t="e">
        <f>AND('STERLING CATALOG - DRY '!F4965,"AAAAAD7b3p8=")</f>
        <v>#VALUE!</v>
      </c>
      <c r="FE221" t="e">
        <f>AND('STERLING CATALOG - DRY '!G4965,"AAAAAD7b3qA=")</f>
        <v>#VALUE!</v>
      </c>
      <c r="FF221" t="e">
        <f>AND('STERLING CATALOG - DRY '!H4965,"AAAAAD7b3qE=")</f>
        <v>#VALUE!</v>
      </c>
      <c r="FG221" t="e">
        <f>AND('STERLING CATALOG - DRY '!I4965,"AAAAAD7b3qI=")</f>
        <v>#VALUE!</v>
      </c>
      <c r="FH221" t="e">
        <f>AND('STERLING CATALOG - DRY '!J4965,"AAAAAD7b3qM=")</f>
        <v>#VALUE!</v>
      </c>
      <c r="FI221">
        <f>IF('STERLING CATALOG - DRY '!4966:4966,"AAAAAD7b3qQ=",0)</f>
        <v>0</v>
      </c>
      <c r="FJ221" t="e">
        <f>AND('STERLING CATALOG - DRY '!A4966,"AAAAAD7b3qU=")</f>
        <v>#VALUE!</v>
      </c>
      <c r="FK221" t="e">
        <f>AND('STERLING CATALOG - DRY '!B4966,"AAAAAD7b3qY=")</f>
        <v>#VALUE!</v>
      </c>
      <c r="FL221" t="e">
        <f>AND('STERLING CATALOG - DRY '!C4966,"AAAAAD7b3qc=")</f>
        <v>#VALUE!</v>
      </c>
      <c r="FM221" t="e">
        <f>AND('STERLING CATALOG - DRY '!D4966,"AAAAAD7b3qg=")</f>
        <v>#VALUE!</v>
      </c>
      <c r="FN221" t="e">
        <f>AND('STERLING CATALOG - DRY '!E4966,"AAAAAD7b3qk=")</f>
        <v>#VALUE!</v>
      </c>
      <c r="FO221" t="e">
        <f>AND('STERLING CATALOG - DRY '!F4966,"AAAAAD7b3qo=")</f>
        <v>#VALUE!</v>
      </c>
      <c r="FP221" t="e">
        <f>AND('STERLING CATALOG - DRY '!G4966,"AAAAAD7b3qs=")</f>
        <v>#VALUE!</v>
      </c>
      <c r="FQ221" t="e">
        <f>AND('STERLING CATALOG - DRY '!H4966,"AAAAAD7b3qw=")</f>
        <v>#VALUE!</v>
      </c>
      <c r="FR221" t="e">
        <f>AND('STERLING CATALOG - DRY '!I4966,"AAAAAD7b3q0=")</f>
        <v>#VALUE!</v>
      </c>
      <c r="FS221" t="e">
        <f>AND('STERLING CATALOG - DRY '!J4966,"AAAAAD7b3q4=")</f>
        <v>#VALUE!</v>
      </c>
      <c r="FT221">
        <f>IF('STERLING CATALOG - DRY '!4967:4967,"AAAAAD7b3q8=",0)</f>
        <v>0</v>
      </c>
      <c r="FU221" t="e">
        <f>AND('STERLING CATALOG - DRY '!A4967,"AAAAAD7b3rA=")</f>
        <v>#VALUE!</v>
      </c>
      <c r="FV221" t="e">
        <f>AND('STERLING CATALOG - DRY '!B4967,"AAAAAD7b3rE=")</f>
        <v>#VALUE!</v>
      </c>
      <c r="FW221" t="e">
        <f>AND('STERLING CATALOG - DRY '!C4967,"AAAAAD7b3rI=")</f>
        <v>#VALUE!</v>
      </c>
      <c r="FX221" t="e">
        <f>AND('STERLING CATALOG - DRY '!D4967,"AAAAAD7b3rM=")</f>
        <v>#VALUE!</v>
      </c>
      <c r="FY221" t="e">
        <f>AND('STERLING CATALOG - DRY '!E4967,"AAAAAD7b3rQ=")</f>
        <v>#VALUE!</v>
      </c>
      <c r="FZ221" t="e">
        <f>AND('STERLING CATALOG - DRY '!F4967,"AAAAAD7b3rU=")</f>
        <v>#VALUE!</v>
      </c>
      <c r="GA221" t="e">
        <f>AND('STERLING CATALOG - DRY '!G4967,"AAAAAD7b3rY=")</f>
        <v>#VALUE!</v>
      </c>
      <c r="GB221" t="e">
        <f>AND('STERLING CATALOG - DRY '!H4967,"AAAAAD7b3rc=")</f>
        <v>#VALUE!</v>
      </c>
      <c r="GC221" t="e">
        <f>AND('STERLING CATALOG - DRY '!I4967,"AAAAAD7b3rg=")</f>
        <v>#VALUE!</v>
      </c>
      <c r="GD221" t="e">
        <f>AND('STERLING CATALOG - DRY '!J4967,"AAAAAD7b3rk=")</f>
        <v>#VALUE!</v>
      </c>
      <c r="GE221">
        <f>IF('STERLING CATALOG - DRY '!4968:4968,"AAAAAD7b3ro=",0)</f>
        <v>0</v>
      </c>
      <c r="GF221" t="e">
        <f>AND('STERLING CATALOG - DRY '!A4968,"AAAAAD7b3rs=")</f>
        <v>#VALUE!</v>
      </c>
      <c r="GG221" t="e">
        <f>AND('STERLING CATALOG - DRY '!B4968,"AAAAAD7b3rw=")</f>
        <v>#VALUE!</v>
      </c>
      <c r="GH221" t="e">
        <f>AND('STERLING CATALOG - DRY '!C4968,"AAAAAD7b3r0=")</f>
        <v>#VALUE!</v>
      </c>
      <c r="GI221" t="e">
        <f>AND('STERLING CATALOG - DRY '!D4968,"AAAAAD7b3r4=")</f>
        <v>#VALUE!</v>
      </c>
      <c r="GJ221" t="e">
        <f>AND('STERLING CATALOG - DRY '!E4968,"AAAAAD7b3r8=")</f>
        <v>#VALUE!</v>
      </c>
      <c r="GK221" t="e">
        <f>AND('STERLING CATALOG - DRY '!F4968,"AAAAAD7b3sA=")</f>
        <v>#VALUE!</v>
      </c>
      <c r="GL221" t="e">
        <f>AND('STERLING CATALOG - DRY '!G4968,"AAAAAD7b3sE=")</f>
        <v>#VALUE!</v>
      </c>
      <c r="GM221" t="e">
        <f>AND('STERLING CATALOG - DRY '!H4968,"AAAAAD7b3sI=")</f>
        <v>#VALUE!</v>
      </c>
      <c r="GN221" t="e">
        <f>AND('STERLING CATALOG - DRY '!I4968,"AAAAAD7b3sM=")</f>
        <v>#VALUE!</v>
      </c>
      <c r="GO221" t="e">
        <f>AND('STERLING CATALOG - DRY '!J4968,"AAAAAD7b3sQ=")</f>
        <v>#VALUE!</v>
      </c>
      <c r="GP221">
        <f>IF('STERLING CATALOG - DRY '!4969:4969,"AAAAAD7b3sU=",0)</f>
        <v>0</v>
      </c>
      <c r="GQ221" t="e">
        <f>AND('STERLING CATALOG - DRY '!A4969,"AAAAAD7b3sY=")</f>
        <v>#VALUE!</v>
      </c>
      <c r="GR221" t="e">
        <f>AND('STERLING CATALOG - DRY '!B4969,"AAAAAD7b3sc=")</f>
        <v>#VALUE!</v>
      </c>
      <c r="GS221" t="e">
        <f>AND('STERLING CATALOG - DRY '!C4969,"AAAAAD7b3sg=")</f>
        <v>#VALUE!</v>
      </c>
      <c r="GT221" t="e">
        <f>AND('STERLING CATALOG - DRY '!D4969,"AAAAAD7b3sk=")</f>
        <v>#VALUE!</v>
      </c>
      <c r="GU221" t="e">
        <f>AND('STERLING CATALOG - DRY '!E4969,"AAAAAD7b3so=")</f>
        <v>#VALUE!</v>
      </c>
      <c r="GV221" t="e">
        <f>AND('STERLING CATALOG - DRY '!F4969,"AAAAAD7b3ss=")</f>
        <v>#VALUE!</v>
      </c>
      <c r="GW221" t="e">
        <f>AND('STERLING CATALOG - DRY '!G4969,"AAAAAD7b3sw=")</f>
        <v>#VALUE!</v>
      </c>
      <c r="GX221" t="e">
        <f>AND('STERLING CATALOG - DRY '!H4969,"AAAAAD7b3s0=")</f>
        <v>#VALUE!</v>
      </c>
      <c r="GY221" t="e">
        <f>AND('STERLING CATALOG - DRY '!I4969,"AAAAAD7b3s4=")</f>
        <v>#VALUE!</v>
      </c>
      <c r="GZ221" t="e">
        <f>AND('STERLING CATALOG - DRY '!J4969,"AAAAAD7b3s8=")</f>
        <v>#VALUE!</v>
      </c>
      <c r="HA221">
        <f>IF('STERLING CATALOG - DRY '!4970:4970,"AAAAAD7b3tA=",0)</f>
        <v>0</v>
      </c>
      <c r="HB221" t="e">
        <f>AND('STERLING CATALOG - DRY '!A4970,"AAAAAD7b3tE=")</f>
        <v>#VALUE!</v>
      </c>
      <c r="HC221" t="e">
        <f>AND('STERLING CATALOG - DRY '!B4970,"AAAAAD7b3tI=")</f>
        <v>#VALUE!</v>
      </c>
      <c r="HD221" t="e">
        <f>AND('STERLING CATALOG - DRY '!C4970,"AAAAAD7b3tM=")</f>
        <v>#VALUE!</v>
      </c>
      <c r="HE221" t="e">
        <f>AND('STERLING CATALOG - DRY '!D4970,"AAAAAD7b3tQ=")</f>
        <v>#VALUE!</v>
      </c>
      <c r="HF221" t="e">
        <f>AND('STERLING CATALOG - DRY '!E4970,"AAAAAD7b3tU=")</f>
        <v>#VALUE!</v>
      </c>
      <c r="HG221" t="e">
        <f>AND('STERLING CATALOG - DRY '!F4970,"AAAAAD7b3tY=")</f>
        <v>#VALUE!</v>
      </c>
      <c r="HH221" t="e">
        <f>AND('STERLING CATALOG - DRY '!G4970,"AAAAAD7b3tc=")</f>
        <v>#VALUE!</v>
      </c>
      <c r="HI221" t="e">
        <f>AND('STERLING CATALOG - DRY '!H4970,"AAAAAD7b3tg=")</f>
        <v>#VALUE!</v>
      </c>
      <c r="HJ221" t="e">
        <f>AND('STERLING CATALOG - DRY '!I4970,"AAAAAD7b3tk=")</f>
        <v>#VALUE!</v>
      </c>
      <c r="HK221" t="e">
        <f>AND('STERLING CATALOG - DRY '!J4970,"AAAAAD7b3to=")</f>
        <v>#VALUE!</v>
      </c>
      <c r="HL221">
        <f>IF('STERLING CATALOG - DRY '!4971:4971,"AAAAAD7b3ts=",0)</f>
        <v>0</v>
      </c>
      <c r="HM221" t="e">
        <f>AND('STERLING CATALOG - DRY '!A4971,"AAAAAD7b3tw=")</f>
        <v>#VALUE!</v>
      </c>
      <c r="HN221" t="e">
        <f>AND('STERLING CATALOG - DRY '!B4971,"AAAAAD7b3t0=")</f>
        <v>#VALUE!</v>
      </c>
      <c r="HO221" t="e">
        <f>AND('STERLING CATALOG - DRY '!C4971,"AAAAAD7b3t4=")</f>
        <v>#VALUE!</v>
      </c>
      <c r="HP221" t="e">
        <f>AND('STERLING CATALOG - DRY '!D4971,"AAAAAD7b3t8=")</f>
        <v>#VALUE!</v>
      </c>
      <c r="HQ221" t="e">
        <f>AND('STERLING CATALOG - DRY '!E4971,"AAAAAD7b3uA=")</f>
        <v>#VALUE!</v>
      </c>
      <c r="HR221" t="e">
        <f>AND('STERLING CATALOG - DRY '!F4971,"AAAAAD7b3uE=")</f>
        <v>#VALUE!</v>
      </c>
      <c r="HS221" t="e">
        <f>AND('STERLING CATALOG - DRY '!G4971,"AAAAAD7b3uI=")</f>
        <v>#VALUE!</v>
      </c>
      <c r="HT221" t="e">
        <f>AND('STERLING CATALOG - DRY '!H4971,"AAAAAD7b3uM=")</f>
        <v>#VALUE!</v>
      </c>
      <c r="HU221" t="e">
        <f>AND('STERLING CATALOG - DRY '!I4971,"AAAAAD7b3uQ=")</f>
        <v>#VALUE!</v>
      </c>
      <c r="HV221" t="e">
        <f>AND('STERLING CATALOG - DRY '!J4971,"AAAAAD7b3uU=")</f>
        <v>#VALUE!</v>
      </c>
      <c r="HW221">
        <f>IF('STERLING CATALOG - DRY '!4972:4972,"AAAAAD7b3uY=",0)</f>
        <v>0</v>
      </c>
      <c r="HX221" t="e">
        <f>AND('STERLING CATALOG - DRY '!A4972,"AAAAAD7b3uc=")</f>
        <v>#VALUE!</v>
      </c>
      <c r="HY221" t="e">
        <f>AND('STERLING CATALOG - DRY '!B4972,"AAAAAD7b3ug=")</f>
        <v>#VALUE!</v>
      </c>
      <c r="HZ221" t="e">
        <f>AND('STERLING CATALOG - DRY '!C4972,"AAAAAD7b3uk=")</f>
        <v>#VALUE!</v>
      </c>
      <c r="IA221" t="e">
        <f>AND('STERLING CATALOG - DRY '!D4972,"AAAAAD7b3uo=")</f>
        <v>#VALUE!</v>
      </c>
      <c r="IB221" t="e">
        <f>AND('STERLING CATALOG - DRY '!E4972,"AAAAAD7b3us=")</f>
        <v>#VALUE!</v>
      </c>
      <c r="IC221" t="e">
        <f>AND('STERLING CATALOG - DRY '!F4972,"AAAAAD7b3uw=")</f>
        <v>#VALUE!</v>
      </c>
      <c r="ID221" t="e">
        <f>AND('STERLING CATALOG - DRY '!G4972,"AAAAAD7b3u0=")</f>
        <v>#VALUE!</v>
      </c>
      <c r="IE221" t="e">
        <f>AND('STERLING CATALOG - DRY '!H4972,"AAAAAD7b3u4=")</f>
        <v>#VALUE!</v>
      </c>
      <c r="IF221" t="e">
        <f>AND('STERLING CATALOG - DRY '!I4972,"AAAAAD7b3u8=")</f>
        <v>#VALUE!</v>
      </c>
      <c r="IG221" t="e">
        <f>AND('STERLING CATALOG - DRY '!J4972,"AAAAAD7b3vA=")</f>
        <v>#VALUE!</v>
      </c>
      <c r="IH221">
        <f>IF('STERLING CATALOG - DRY '!4973:4973,"AAAAAD7b3vE=",0)</f>
        <v>0</v>
      </c>
      <c r="II221" t="e">
        <f>AND('STERLING CATALOG - DRY '!A4973,"AAAAAD7b3vI=")</f>
        <v>#VALUE!</v>
      </c>
      <c r="IJ221" t="e">
        <f>AND('STERLING CATALOG - DRY '!B4973,"AAAAAD7b3vM=")</f>
        <v>#VALUE!</v>
      </c>
      <c r="IK221" t="e">
        <f>AND('STERLING CATALOG - DRY '!C4973,"AAAAAD7b3vQ=")</f>
        <v>#VALUE!</v>
      </c>
      <c r="IL221" t="e">
        <f>AND('STERLING CATALOG - DRY '!D4973,"AAAAAD7b3vU=")</f>
        <v>#VALUE!</v>
      </c>
      <c r="IM221" t="e">
        <f>AND('STERLING CATALOG - DRY '!E4973,"AAAAAD7b3vY=")</f>
        <v>#VALUE!</v>
      </c>
      <c r="IN221" t="e">
        <f>AND('STERLING CATALOG - DRY '!F4973,"AAAAAD7b3vc=")</f>
        <v>#VALUE!</v>
      </c>
      <c r="IO221" t="e">
        <f>AND('STERLING CATALOG - DRY '!G4973,"AAAAAD7b3vg=")</f>
        <v>#VALUE!</v>
      </c>
      <c r="IP221" t="e">
        <f>AND('STERLING CATALOG - DRY '!H4973,"AAAAAD7b3vk=")</f>
        <v>#VALUE!</v>
      </c>
      <c r="IQ221" t="e">
        <f>AND('STERLING CATALOG - DRY '!I4973,"AAAAAD7b3vo=")</f>
        <v>#VALUE!</v>
      </c>
      <c r="IR221" t="e">
        <f>AND('STERLING CATALOG - DRY '!J4973,"AAAAAD7b3vs=")</f>
        <v>#VALUE!</v>
      </c>
      <c r="IS221">
        <f>IF('STERLING CATALOG - DRY '!4974:4974,"AAAAAD7b3vw=",0)</f>
        <v>0</v>
      </c>
      <c r="IT221" t="e">
        <f>AND('STERLING CATALOG - DRY '!A4974,"AAAAAD7b3v0=")</f>
        <v>#VALUE!</v>
      </c>
      <c r="IU221" t="e">
        <f>AND('STERLING CATALOG - DRY '!B4974,"AAAAAD7b3v4=")</f>
        <v>#VALUE!</v>
      </c>
      <c r="IV221" t="e">
        <f>AND('STERLING CATALOG - DRY '!C4974,"AAAAAD7b3v8=")</f>
        <v>#VALUE!</v>
      </c>
    </row>
    <row r="222" spans="1:256">
      <c r="A222" t="e">
        <f>AND('STERLING CATALOG - DRY '!D4974,"AAAAAF///gA=")</f>
        <v>#VALUE!</v>
      </c>
      <c r="B222" t="e">
        <f>AND('STERLING CATALOG - DRY '!E4974,"AAAAAF///gE=")</f>
        <v>#VALUE!</v>
      </c>
      <c r="C222" t="e">
        <f>AND('STERLING CATALOG - DRY '!F4974,"AAAAAF///gI=")</f>
        <v>#VALUE!</v>
      </c>
      <c r="D222" t="e">
        <f>AND('STERLING CATALOG - DRY '!G4974,"AAAAAF///gM=")</f>
        <v>#VALUE!</v>
      </c>
      <c r="E222" t="e">
        <f>AND('STERLING CATALOG - DRY '!H4974,"AAAAAF///gQ=")</f>
        <v>#VALUE!</v>
      </c>
      <c r="F222" t="e">
        <f>AND('STERLING CATALOG - DRY '!I4974,"AAAAAF///gU=")</f>
        <v>#VALUE!</v>
      </c>
      <c r="G222" t="e">
        <f>AND('STERLING CATALOG - DRY '!J4974,"AAAAAF///gY=")</f>
        <v>#VALUE!</v>
      </c>
      <c r="H222" t="str">
        <f>IF('STERLING CATALOG - DRY '!4975:4975,"AAAAAF///gc=",0)</f>
        <v>AAAAAF///gc=</v>
      </c>
      <c r="I222" t="e">
        <f>AND('STERLING CATALOG - DRY '!A4975,"AAAAAF///gg=")</f>
        <v>#VALUE!</v>
      </c>
      <c r="J222" t="e">
        <f>AND('STERLING CATALOG - DRY '!B4975,"AAAAAF///gk=")</f>
        <v>#VALUE!</v>
      </c>
      <c r="K222" t="e">
        <f>AND('STERLING CATALOG - DRY '!C4975,"AAAAAF///go=")</f>
        <v>#VALUE!</v>
      </c>
      <c r="L222" t="e">
        <f>AND('STERLING CATALOG - DRY '!D4975,"AAAAAF///gs=")</f>
        <v>#VALUE!</v>
      </c>
      <c r="M222" t="e">
        <f>AND('STERLING CATALOG - DRY '!E4975,"AAAAAF///gw=")</f>
        <v>#VALUE!</v>
      </c>
      <c r="N222" t="e">
        <f>AND('STERLING CATALOG - DRY '!F4975,"AAAAAF///g0=")</f>
        <v>#VALUE!</v>
      </c>
      <c r="O222" t="e">
        <f>AND('STERLING CATALOG - DRY '!G4975,"AAAAAF///g4=")</f>
        <v>#VALUE!</v>
      </c>
      <c r="P222" t="e">
        <f>AND('STERLING CATALOG - DRY '!H4975,"AAAAAF///g8=")</f>
        <v>#VALUE!</v>
      </c>
      <c r="Q222" t="e">
        <f>AND('STERLING CATALOG - DRY '!I4975,"AAAAAF///hA=")</f>
        <v>#VALUE!</v>
      </c>
      <c r="R222" t="e">
        <f>AND('STERLING CATALOG - DRY '!J4975,"AAAAAF///hE=")</f>
        <v>#VALUE!</v>
      </c>
      <c r="S222">
        <f>IF('STERLING CATALOG - DRY '!4976:4976,"AAAAAF///hI=",0)</f>
        <v>0</v>
      </c>
      <c r="T222" t="e">
        <f>AND('STERLING CATALOG - DRY '!A4976,"AAAAAF///hM=")</f>
        <v>#VALUE!</v>
      </c>
      <c r="U222" t="e">
        <f>AND('STERLING CATALOG - DRY '!B4976,"AAAAAF///hQ=")</f>
        <v>#VALUE!</v>
      </c>
      <c r="V222" t="e">
        <f>AND('STERLING CATALOG - DRY '!C4976,"AAAAAF///hU=")</f>
        <v>#VALUE!</v>
      </c>
      <c r="W222" t="e">
        <f>AND('STERLING CATALOG - DRY '!D4976,"AAAAAF///hY=")</f>
        <v>#VALUE!</v>
      </c>
      <c r="X222" t="e">
        <f>AND('STERLING CATALOG - DRY '!E4976,"AAAAAF///hc=")</f>
        <v>#VALUE!</v>
      </c>
      <c r="Y222" t="e">
        <f>AND('STERLING CATALOG - DRY '!F4976,"AAAAAF///hg=")</f>
        <v>#VALUE!</v>
      </c>
      <c r="Z222" t="e">
        <f>AND('STERLING CATALOG - DRY '!G4976,"AAAAAF///hk=")</f>
        <v>#VALUE!</v>
      </c>
      <c r="AA222" t="e">
        <f>AND('STERLING CATALOG - DRY '!H4976,"AAAAAF///ho=")</f>
        <v>#VALUE!</v>
      </c>
      <c r="AB222" t="e">
        <f>AND('STERLING CATALOG - DRY '!I4976,"AAAAAF///hs=")</f>
        <v>#VALUE!</v>
      </c>
      <c r="AC222" t="e">
        <f>AND('STERLING CATALOG - DRY '!J4976,"AAAAAF///hw=")</f>
        <v>#VALUE!</v>
      </c>
      <c r="AD222">
        <f>IF('STERLING CATALOG - DRY '!4977:4977,"AAAAAF///h0=",0)</f>
        <v>0</v>
      </c>
      <c r="AE222" t="e">
        <f>AND('STERLING CATALOG - DRY '!A4977,"AAAAAF///h4=")</f>
        <v>#VALUE!</v>
      </c>
      <c r="AF222" t="e">
        <f>AND('STERLING CATALOG - DRY '!B4977,"AAAAAF///h8=")</f>
        <v>#VALUE!</v>
      </c>
      <c r="AG222" t="e">
        <f>AND('STERLING CATALOG - DRY '!C4977,"AAAAAF///iA=")</f>
        <v>#VALUE!</v>
      </c>
      <c r="AH222" t="e">
        <f>AND('STERLING CATALOG - DRY '!D4977,"AAAAAF///iE=")</f>
        <v>#VALUE!</v>
      </c>
      <c r="AI222" t="e">
        <f>AND('STERLING CATALOG - DRY '!E4977,"AAAAAF///iI=")</f>
        <v>#VALUE!</v>
      </c>
      <c r="AJ222" t="e">
        <f>AND('STERLING CATALOG - DRY '!F4977,"AAAAAF///iM=")</f>
        <v>#VALUE!</v>
      </c>
      <c r="AK222" t="e">
        <f>AND('STERLING CATALOG - DRY '!G4977,"AAAAAF///iQ=")</f>
        <v>#VALUE!</v>
      </c>
      <c r="AL222" t="e">
        <f>AND('STERLING CATALOG - DRY '!H4977,"AAAAAF///iU=")</f>
        <v>#VALUE!</v>
      </c>
      <c r="AM222" t="e">
        <f>AND('STERLING CATALOG - DRY '!I4977,"AAAAAF///iY=")</f>
        <v>#VALUE!</v>
      </c>
      <c r="AN222" t="e">
        <f>AND('STERLING CATALOG - DRY '!J4977,"AAAAAF///ic=")</f>
        <v>#VALUE!</v>
      </c>
      <c r="AO222">
        <f>IF('STERLING CATALOG - DRY '!4978:4978,"AAAAAF///ig=",0)</f>
        <v>0</v>
      </c>
      <c r="AP222" t="e">
        <f>AND('STERLING CATALOG - DRY '!A4978,"AAAAAF///ik=")</f>
        <v>#VALUE!</v>
      </c>
      <c r="AQ222" t="e">
        <f>AND('STERLING CATALOG - DRY '!B4978,"AAAAAF///io=")</f>
        <v>#VALUE!</v>
      </c>
      <c r="AR222" t="e">
        <f>AND('STERLING CATALOG - DRY '!C4978,"AAAAAF///is=")</f>
        <v>#VALUE!</v>
      </c>
      <c r="AS222" t="e">
        <f>AND('STERLING CATALOG - DRY '!D4978,"AAAAAF///iw=")</f>
        <v>#VALUE!</v>
      </c>
      <c r="AT222" t="e">
        <f>AND('STERLING CATALOG - DRY '!E4978,"AAAAAF///i0=")</f>
        <v>#VALUE!</v>
      </c>
      <c r="AU222" t="e">
        <f>AND('STERLING CATALOG - DRY '!F4978,"AAAAAF///i4=")</f>
        <v>#VALUE!</v>
      </c>
      <c r="AV222" t="e">
        <f>AND('STERLING CATALOG - DRY '!G4978,"AAAAAF///i8=")</f>
        <v>#VALUE!</v>
      </c>
      <c r="AW222" t="e">
        <f>AND('STERLING CATALOG - DRY '!H4978,"AAAAAF///jA=")</f>
        <v>#VALUE!</v>
      </c>
      <c r="AX222" t="e">
        <f>AND('STERLING CATALOG - DRY '!I4978,"AAAAAF///jE=")</f>
        <v>#VALUE!</v>
      </c>
      <c r="AY222" t="e">
        <f>AND('STERLING CATALOG - DRY '!J4978,"AAAAAF///jI=")</f>
        <v>#VALUE!</v>
      </c>
      <c r="AZ222">
        <f>IF('STERLING CATALOG - DRY '!4979:4979,"AAAAAF///jM=",0)</f>
        <v>0</v>
      </c>
      <c r="BA222" t="e">
        <f>AND('STERLING CATALOG - DRY '!A4979,"AAAAAF///jQ=")</f>
        <v>#VALUE!</v>
      </c>
      <c r="BB222" t="e">
        <f>AND('STERLING CATALOG - DRY '!B4979,"AAAAAF///jU=")</f>
        <v>#VALUE!</v>
      </c>
      <c r="BC222" t="e">
        <f>AND('STERLING CATALOG - DRY '!C4979,"AAAAAF///jY=")</f>
        <v>#VALUE!</v>
      </c>
      <c r="BD222" t="e">
        <f>AND('STERLING CATALOG - DRY '!D4979,"AAAAAF///jc=")</f>
        <v>#VALUE!</v>
      </c>
      <c r="BE222" t="e">
        <f>AND('STERLING CATALOG - DRY '!E4979,"AAAAAF///jg=")</f>
        <v>#VALUE!</v>
      </c>
      <c r="BF222" t="e">
        <f>AND('STERLING CATALOG - DRY '!F4979,"AAAAAF///jk=")</f>
        <v>#VALUE!</v>
      </c>
      <c r="BG222" t="e">
        <f>AND('STERLING CATALOG - DRY '!G4979,"AAAAAF///jo=")</f>
        <v>#VALUE!</v>
      </c>
      <c r="BH222" t="e">
        <f>AND('STERLING CATALOG - DRY '!H4979,"AAAAAF///js=")</f>
        <v>#VALUE!</v>
      </c>
      <c r="BI222" t="e">
        <f>AND('STERLING CATALOG - DRY '!I4979,"AAAAAF///jw=")</f>
        <v>#VALUE!</v>
      </c>
      <c r="BJ222" t="e">
        <f>AND('STERLING CATALOG - DRY '!J4979,"AAAAAF///j0=")</f>
        <v>#VALUE!</v>
      </c>
      <c r="BK222">
        <f>IF('STERLING CATALOG - DRY '!4980:4980,"AAAAAF///j4=",0)</f>
        <v>0</v>
      </c>
      <c r="BL222" t="e">
        <f>AND('STERLING CATALOG - DRY '!A4980,"AAAAAF///j8=")</f>
        <v>#VALUE!</v>
      </c>
      <c r="BM222" t="e">
        <f>AND('STERLING CATALOG - DRY '!B4980,"AAAAAF///kA=")</f>
        <v>#VALUE!</v>
      </c>
      <c r="BN222" t="e">
        <f>AND('STERLING CATALOG - DRY '!C4980,"AAAAAF///kE=")</f>
        <v>#VALUE!</v>
      </c>
      <c r="BO222" t="e">
        <f>AND('STERLING CATALOG - DRY '!D4980,"AAAAAF///kI=")</f>
        <v>#VALUE!</v>
      </c>
      <c r="BP222" t="e">
        <f>AND('STERLING CATALOG - DRY '!E4980,"AAAAAF///kM=")</f>
        <v>#VALUE!</v>
      </c>
      <c r="BQ222" t="e">
        <f>AND('STERLING CATALOG - DRY '!F4980,"AAAAAF///kQ=")</f>
        <v>#VALUE!</v>
      </c>
      <c r="BR222" t="e">
        <f>AND('STERLING CATALOG - DRY '!G4980,"AAAAAF///kU=")</f>
        <v>#VALUE!</v>
      </c>
      <c r="BS222" t="e">
        <f>AND('STERLING CATALOG - DRY '!H4980,"AAAAAF///kY=")</f>
        <v>#VALUE!</v>
      </c>
      <c r="BT222" t="e">
        <f>AND('STERLING CATALOG - DRY '!I4980,"AAAAAF///kc=")</f>
        <v>#VALUE!</v>
      </c>
      <c r="BU222" t="e">
        <f>AND('STERLING CATALOG - DRY '!J4980,"AAAAAF///kg=")</f>
        <v>#VALUE!</v>
      </c>
      <c r="BV222">
        <f>IF('STERLING CATALOG - DRY '!4981:4981,"AAAAAF///kk=",0)</f>
        <v>0</v>
      </c>
      <c r="BW222" t="e">
        <f>AND('STERLING CATALOG - DRY '!A4981,"AAAAAF///ko=")</f>
        <v>#VALUE!</v>
      </c>
      <c r="BX222" t="e">
        <f>AND('STERLING CATALOG - DRY '!B4981,"AAAAAF///ks=")</f>
        <v>#VALUE!</v>
      </c>
      <c r="BY222" t="e">
        <f>AND('STERLING CATALOG - DRY '!C4981,"AAAAAF///kw=")</f>
        <v>#VALUE!</v>
      </c>
      <c r="BZ222" t="e">
        <f>AND('STERLING CATALOG - DRY '!D4981,"AAAAAF///k0=")</f>
        <v>#VALUE!</v>
      </c>
      <c r="CA222" t="e">
        <f>AND('STERLING CATALOG - DRY '!E4981,"AAAAAF///k4=")</f>
        <v>#VALUE!</v>
      </c>
      <c r="CB222" t="e">
        <f>AND('STERLING CATALOG - DRY '!F4981,"AAAAAF///k8=")</f>
        <v>#VALUE!</v>
      </c>
      <c r="CC222" t="e">
        <f>AND('STERLING CATALOG - DRY '!G4981,"AAAAAF///lA=")</f>
        <v>#VALUE!</v>
      </c>
      <c r="CD222" t="e">
        <f>AND('STERLING CATALOG - DRY '!H4981,"AAAAAF///lE=")</f>
        <v>#VALUE!</v>
      </c>
      <c r="CE222" t="e">
        <f>AND('STERLING CATALOG - DRY '!I4981,"AAAAAF///lI=")</f>
        <v>#VALUE!</v>
      </c>
      <c r="CF222" t="e">
        <f>AND('STERLING CATALOG - DRY '!J4981,"AAAAAF///lM=")</f>
        <v>#VALUE!</v>
      </c>
      <c r="CG222">
        <f>IF('STERLING CATALOG - DRY '!4982:4982,"AAAAAF///lQ=",0)</f>
        <v>0</v>
      </c>
      <c r="CH222" t="e">
        <f>AND('STERLING CATALOG - DRY '!A4982,"AAAAAF///lU=")</f>
        <v>#VALUE!</v>
      </c>
      <c r="CI222" t="e">
        <f>AND('STERLING CATALOG - DRY '!B4982,"AAAAAF///lY=")</f>
        <v>#VALUE!</v>
      </c>
      <c r="CJ222" t="e">
        <f>AND('STERLING CATALOG - DRY '!C4982,"AAAAAF///lc=")</f>
        <v>#VALUE!</v>
      </c>
      <c r="CK222" t="e">
        <f>AND('STERLING CATALOG - DRY '!D4982,"AAAAAF///lg=")</f>
        <v>#VALUE!</v>
      </c>
      <c r="CL222" t="e">
        <f>AND('STERLING CATALOG - DRY '!E4982,"AAAAAF///lk=")</f>
        <v>#VALUE!</v>
      </c>
      <c r="CM222" t="e">
        <f>AND('STERLING CATALOG - DRY '!F4982,"AAAAAF///lo=")</f>
        <v>#VALUE!</v>
      </c>
      <c r="CN222" t="e">
        <f>AND('STERLING CATALOG - DRY '!G4982,"AAAAAF///ls=")</f>
        <v>#VALUE!</v>
      </c>
      <c r="CO222" t="e">
        <f>AND('STERLING CATALOG - DRY '!H4982,"AAAAAF///lw=")</f>
        <v>#VALUE!</v>
      </c>
      <c r="CP222" t="e">
        <f>AND('STERLING CATALOG - DRY '!I4982,"AAAAAF///l0=")</f>
        <v>#VALUE!</v>
      </c>
      <c r="CQ222" t="e">
        <f>AND('STERLING CATALOG - DRY '!J4982,"AAAAAF///l4=")</f>
        <v>#VALUE!</v>
      </c>
      <c r="CR222">
        <f>IF('STERLING CATALOG - DRY '!4983:4983,"AAAAAF///l8=",0)</f>
        <v>0</v>
      </c>
      <c r="CS222" t="e">
        <f>AND('STERLING CATALOG - DRY '!A4983,"AAAAAF///mA=")</f>
        <v>#VALUE!</v>
      </c>
      <c r="CT222" t="e">
        <f>AND('STERLING CATALOG - DRY '!B4983,"AAAAAF///mE=")</f>
        <v>#VALUE!</v>
      </c>
      <c r="CU222" t="e">
        <f>AND('STERLING CATALOG - DRY '!C4983,"AAAAAF///mI=")</f>
        <v>#VALUE!</v>
      </c>
      <c r="CV222" t="e">
        <f>AND('STERLING CATALOG - DRY '!D4983,"AAAAAF///mM=")</f>
        <v>#VALUE!</v>
      </c>
      <c r="CW222" t="e">
        <f>AND('STERLING CATALOG - DRY '!E4983,"AAAAAF///mQ=")</f>
        <v>#VALUE!</v>
      </c>
      <c r="CX222" t="e">
        <f>AND('STERLING CATALOG - DRY '!F4983,"AAAAAF///mU=")</f>
        <v>#VALUE!</v>
      </c>
      <c r="CY222" t="e">
        <f>AND('STERLING CATALOG - DRY '!G4983,"AAAAAF///mY=")</f>
        <v>#VALUE!</v>
      </c>
      <c r="CZ222" t="e">
        <f>AND('STERLING CATALOG - DRY '!H4983,"AAAAAF///mc=")</f>
        <v>#VALUE!</v>
      </c>
      <c r="DA222" t="e">
        <f>AND('STERLING CATALOG - DRY '!I4983,"AAAAAF///mg=")</f>
        <v>#VALUE!</v>
      </c>
      <c r="DB222" t="e">
        <f>AND('STERLING CATALOG - DRY '!J4983,"AAAAAF///mk=")</f>
        <v>#VALUE!</v>
      </c>
      <c r="DC222">
        <f>IF('STERLING CATALOG - DRY '!4984:4984,"AAAAAF///mo=",0)</f>
        <v>0</v>
      </c>
      <c r="DD222" t="e">
        <f>AND('STERLING CATALOG - DRY '!A4984,"AAAAAF///ms=")</f>
        <v>#VALUE!</v>
      </c>
      <c r="DE222" t="e">
        <f>AND('STERLING CATALOG - DRY '!B4984,"AAAAAF///mw=")</f>
        <v>#VALUE!</v>
      </c>
      <c r="DF222" t="e">
        <f>AND('STERLING CATALOG - DRY '!C4984,"AAAAAF///m0=")</f>
        <v>#VALUE!</v>
      </c>
      <c r="DG222" t="e">
        <f>AND('STERLING CATALOG - DRY '!D4984,"AAAAAF///m4=")</f>
        <v>#VALUE!</v>
      </c>
      <c r="DH222" t="e">
        <f>AND('STERLING CATALOG - DRY '!E4984,"AAAAAF///m8=")</f>
        <v>#VALUE!</v>
      </c>
      <c r="DI222" t="e">
        <f>AND('STERLING CATALOG - DRY '!F4984,"AAAAAF///nA=")</f>
        <v>#VALUE!</v>
      </c>
      <c r="DJ222" t="e">
        <f>AND('STERLING CATALOG - DRY '!G4984,"AAAAAF///nE=")</f>
        <v>#VALUE!</v>
      </c>
      <c r="DK222" t="e">
        <f>AND('STERLING CATALOG - DRY '!H4984,"AAAAAF///nI=")</f>
        <v>#VALUE!</v>
      </c>
      <c r="DL222" t="e">
        <f>AND('STERLING CATALOG - DRY '!I4984,"AAAAAF///nM=")</f>
        <v>#VALUE!</v>
      </c>
      <c r="DM222" t="e">
        <f>AND('STERLING CATALOG - DRY '!J4984,"AAAAAF///nQ=")</f>
        <v>#VALUE!</v>
      </c>
      <c r="DN222">
        <f>IF('STERLING CATALOG - DRY '!4985:4985,"AAAAAF///nU=",0)</f>
        <v>0</v>
      </c>
      <c r="DO222" t="e">
        <f>AND('STERLING CATALOG - DRY '!A4985,"AAAAAF///nY=")</f>
        <v>#VALUE!</v>
      </c>
      <c r="DP222" t="e">
        <f>AND('STERLING CATALOG - DRY '!B4985,"AAAAAF///nc=")</f>
        <v>#VALUE!</v>
      </c>
      <c r="DQ222" t="e">
        <f>AND('STERLING CATALOG - DRY '!C4985,"AAAAAF///ng=")</f>
        <v>#VALUE!</v>
      </c>
      <c r="DR222" t="e">
        <f>AND('STERLING CATALOG - DRY '!D4985,"AAAAAF///nk=")</f>
        <v>#VALUE!</v>
      </c>
      <c r="DS222" t="e">
        <f>AND('STERLING CATALOG - DRY '!E4985,"AAAAAF///no=")</f>
        <v>#VALUE!</v>
      </c>
      <c r="DT222" t="e">
        <f>AND('STERLING CATALOG - DRY '!F4985,"AAAAAF///ns=")</f>
        <v>#VALUE!</v>
      </c>
      <c r="DU222" t="e">
        <f>AND('STERLING CATALOG - DRY '!G4985,"AAAAAF///nw=")</f>
        <v>#VALUE!</v>
      </c>
      <c r="DV222" t="e">
        <f>AND('STERLING CATALOG - DRY '!H4985,"AAAAAF///n0=")</f>
        <v>#VALUE!</v>
      </c>
      <c r="DW222" t="e">
        <f>AND('STERLING CATALOG - DRY '!I4985,"AAAAAF///n4=")</f>
        <v>#VALUE!</v>
      </c>
      <c r="DX222" t="e">
        <f>AND('STERLING CATALOG - DRY '!J4985,"AAAAAF///n8=")</f>
        <v>#VALUE!</v>
      </c>
      <c r="DY222">
        <f>IF('STERLING CATALOG - DRY '!4986:4986,"AAAAAF///oA=",0)</f>
        <v>0</v>
      </c>
      <c r="DZ222" t="e">
        <f>AND('STERLING CATALOG - DRY '!A4986,"AAAAAF///oE=")</f>
        <v>#VALUE!</v>
      </c>
      <c r="EA222" t="e">
        <f>AND('STERLING CATALOG - DRY '!B4986,"AAAAAF///oI=")</f>
        <v>#VALUE!</v>
      </c>
      <c r="EB222" t="e">
        <f>AND('STERLING CATALOG - DRY '!C4986,"AAAAAF///oM=")</f>
        <v>#VALUE!</v>
      </c>
      <c r="EC222" t="e">
        <f>AND('STERLING CATALOG - DRY '!D4986,"AAAAAF///oQ=")</f>
        <v>#VALUE!</v>
      </c>
      <c r="ED222" t="e">
        <f>AND('STERLING CATALOG - DRY '!E4986,"AAAAAF///oU=")</f>
        <v>#VALUE!</v>
      </c>
      <c r="EE222" t="e">
        <f>AND('STERLING CATALOG - DRY '!F4986,"AAAAAF///oY=")</f>
        <v>#VALUE!</v>
      </c>
      <c r="EF222" t="e">
        <f>AND('STERLING CATALOG - DRY '!G4986,"AAAAAF///oc=")</f>
        <v>#VALUE!</v>
      </c>
      <c r="EG222" t="e">
        <f>AND('STERLING CATALOG - DRY '!H4986,"AAAAAF///og=")</f>
        <v>#VALUE!</v>
      </c>
      <c r="EH222" t="e">
        <f>AND('STERLING CATALOG - DRY '!I4986,"AAAAAF///ok=")</f>
        <v>#VALUE!</v>
      </c>
      <c r="EI222" t="e">
        <f>AND('STERLING CATALOG - DRY '!J4986,"AAAAAF///oo=")</f>
        <v>#VALUE!</v>
      </c>
      <c r="EJ222">
        <f>IF('STERLING CATALOG - DRY '!4987:4987,"AAAAAF///os=",0)</f>
        <v>0</v>
      </c>
      <c r="EK222" t="e">
        <f>AND('STERLING CATALOG - DRY '!A4987,"AAAAAF///ow=")</f>
        <v>#VALUE!</v>
      </c>
      <c r="EL222" t="e">
        <f>AND('STERLING CATALOG - DRY '!B4987,"AAAAAF///o0=")</f>
        <v>#VALUE!</v>
      </c>
      <c r="EM222" t="e">
        <f>AND('STERLING CATALOG - DRY '!C4987,"AAAAAF///o4=")</f>
        <v>#VALUE!</v>
      </c>
      <c r="EN222" t="e">
        <f>AND('STERLING CATALOG - DRY '!D4987,"AAAAAF///o8=")</f>
        <v>#VALUE!</v>
      </c>
      <c r="EO222" t="e">
        <f>AND('STERLING CATALOG - DRY '!E4987,"AAAAAF///pA=")</f>
        <v>#VALUE!</v>
      </c>
      <c r="EP222" t="e">
        <f>AND('STERLING CATALOG - DRY '!F4987,"AAAAAF///pE=")</f>
        <v>#VALUE!</v>
      </c>
      <c r="EQ222" t="e">
        <f>AND('STERLING CATALOG - DRY '!G4987,"AAAAAF///pI=")</f>
        <v>#VALUE!</v>
      </c>
      <c r="ER222" t="e">
        <f>AND('STERLING CATALOG - DRY '!H4987,"AAAAAF///pM=")</f>
        <v>#VALUE!</v>
      </c>
      <c r="ES222" t="e">
        <f>AND('STERLING CATALOG - DRY '!I4987,"AAAAAF///pQ=")</f>
        <v>#VALUE!</v>
      </c>
      <c r="ET222" t="e">
        <f>AND('STERLING CATALOG - DRY '!J4987,"AAAAAF///pU=")</f>
        <v>#VALUE!</v>
      </c>
      <c r="EU222">
        <f>IF('STERLING CATALOG - DRY '!4988:4988,"AAAAAF///pY=",0)</f>
        <v>0</v>
      </c>
      <c r="EV222" t="e">
        <f>AND('STERLING CATALOG - DRY '!A4988,"AAAAAF///pc=")</f>
        <v>#VALUE!</v>
      </c>
      <c r="EW222" t="e">
        <f>AND('STERLING CATALOG - DRY '!B4988,"AAAAAF///pg=")</f>
        <v>#VALUE!</v>
      </c>
      <c r="EX222" t="e">
        <f>AND('STERLING CATALOG - DRY '!C4988,"AAAAAF///pk=")</f>
        <v>#VALUE!</v>
      </c>
      <c r="EY222" t="e">
        <f>AND('STERLING CATALOG - DRY '!D4988,"AAAAAF///po=")</f>
        <v>#VALUE!</v>
      </c>
      <c r="EZ222" t="e">
        <f>AND('STERLING CATALOG - DRY '!E4988,"AAAAAF///ps=")</f>
        <v>#VALUE!</v>
      </c>
      <c r="FA222" t="e">
        <f>AND('STERLING CATALOG - DRY '!F4988,"AAAAAF///pw=")</f>
        <v>#VALUE!</v>
      </c>
      <c r="FB222" t="e">
        <f>AND('STERLING CATALOG - DRY '!G4988,"AAAAAF///p0=")</f>
        <v>#VALUE!</v>
      </c>
      <c r="FC222" t="e">
        <f>AND('STERLING CATALOG - DRY '!H4988,"AAAAAF///p4=")</f>
        <v>#VALUE!</v>
      </c>
      <c r="FD222" t="e">
        <f>AND('STERLING CATALOG - DRY '!I4988,"AAAAAF///p8=")</f>
        <v>#VALUE!</v>
      </c>
      <c r="FE222" t="e">
        <f>AND('STERLING CATALOG - DRY '!J4988,"AAAAAF///qA=")</f>
        <v>#VALUE!</v>
      </c>
      <c r="FF222">
        <f>IF('STERLING CATALOG - DRY '!4989:4989,"AAAAAF///qE=",0)</f>
        <v>0</v>
      </c>
      <c r="FG222" t="e">
        <f>AND('STERLING CATALOG - DRY '!A4989,"AAAAAF///qI=")</f>
        <v>#VALUE!</v>
      </c>
      <c r="FH222" t="e">
        <f>AND('STERLING CATALOG - DRY '!B4989,"AAAAAF///qM=")</f>
        <v>#VALUE!</v>
      </c>
      <c r="FI222" t="e">
        <f>AND('STERLING CATALOG - DRY '!C4989,"AAAAAF///qQ=")</f>
        <v>#VALUE!</v>
      </c>
      <c r="FJ222" t="e">
        <f>AND('STERLING CATALOG - DRY '!D4989,"AAAAAF///qU=")</f>
        <v>#VALUE!</v>
      </c>
      <c r="FK222" t="e">
        <f>AND('STERLING CATALOG - DRY '!E4989,"AAAAAF///qY=")</f>
        <v>#VALUE!</v>
      </c>
      <c r="FL222" t="e">
        <f>AND('STERLING CATALOG - DRY '!F4989,"AAAAAF///qc=")</f>
        <v>#VALUE!</v>
      </c>
      <c r="FM222" t="e">
        <f>AND('STERLING CATALOG - DRY '!G4989,"AAAAAF///qg=")</f>
        <v>#VALUE!</v>
      </c>
      <c r="FN222" t="e">
        <f>AND('STERLING CATALOG - DRY '!H4989,"AAAAAF///qk=")</f>
        <v>#VALUE!</v>
      </c>
      <c r="FO222" t="e">
        <f>AND('STERLING CATALOG - DRY '!I4989,"AAAAAF///qo=")</f>
        <v>#VALUE!</v>
      </c>
      <c r="FP222" t="e">
        <f>AND('STERLING CATALOG - DRY '!J4989,"AAAAAF///qs=")</f>
        <v>#VALUE!</v>
      </c>
      <c r="FQ222">
        <f>IF('STERLING CATALOG - DRY '!4990:4990,"AAAAAF///qw=",0)</f>
        <v>0</v>
      </c>
      <c r="FR222" t="e">
        <f>AND('STERLING CATALOG - DRY '!A4990,"AAAAAF///q0=")</f>
        <v>#VALUE!</v>
      </c>
      <c r="FS222" t="e">
        <f>AND('STERLING CATALOG - DRY '!B4990,"AAAAAF///q4=")</f>
        <v>#VALUE!</v>
      </c>
      <c r="FT222" t="e">
        <f>AND('STERLING CATALOG - DRY '!C4990,"AAAAAF///q8=")</f>
        <v>#VALUE!</v>
      </c>
      <c r="FU222" t="e">
        <f>AND('STERLING CATALOG - DRY '!D4990,"AAAAAF///rA=")</f>
        <v>#VALUE!</v>
      </c>
      <c r="FV222" t="e">
        <f>AND('STERLING CATALOG - DRY '!E4990,"AAAAAF///rE=")</f>
        <v>#VALUE!</v>
      </c>
      <c r="FW222" t="e">
        <f>AND('STERLING CATALOG - DRY '!F4990,"AAAAAF///rI=")</f>
        <v>#VALUE!</v>
      </c>
      <c r="FX222" t="e">
        <f>AND('STERLING CATALOG - DRY '!G4990,"AAAAAF///rM=")</f>
        <v>#VALUE!</v>
      </c>
      <c r="FY222" t="e">
        <f>AND('STERLING CATALOG - DRY '!H4990,"AAAAAF///rQ=")</f>
        <v>#VALUE!</v>
      </c>
      <c r="FZ222" t="e">
        <f>AND('STERLING CATALOG - DRY '!I4990,"AAAAAF///rU=")</f>
        <v>#VALUE!</v>
      </c>
      <c r="GA222" t="e">
        <f>AND('STERLING CATALOG - DRY '!J4990,"AAAAAF///rY=")</f>
        <v>#VALUE!</v>
      </c>
      <c r="GB222">
        <f>IF('STERLING CATALOG - DRY '!4991:4991,"AAAAAF///rc=",0)</f>
        <v>0</v>
      </c>
      <c r="GC222" t="e">
        <f>AND('STERLING CATALOG - DRY '!A4991,"AAAAAF///rg=")</f>
        <v>#VALUE!</v>
      </c>
      <c r="GD222" t="e">
        <f>AND('STERLING CATALOG - DRY '!B4991,"AAAAAF///rk=")</f>
        <v>#VALUE!</v>
      </c>
      <c r="GE222" t="e">
        <f>AND('STERLING CATALOG - DRY '!C4991,"AAAAAF///ro=")</f>
        <v>#VALUE!</v>
      </c>
      <c r="GF222" t="e">
        <f>AND('STERLING CATALOG - DRY '!D4991,"AAAAAF///rs=")</f>
        <v>#VALUE!</v>
      </c>
      <c r="GG222" t="e">
        <f>AND('STERLING CATALOG - DRY '!E4991,"AAAAAF///rw=")</f>
        <v>#VALUE!</v>
      </c>
      <c r="GH222" t="e">
        <f>AND('STERLING CATALOG - DRY '!F4991,"AAAAAF///r0=")</f>
        <v>#VALUE!</v>
      </c>
      <c r="GI222" t="e">
        <f>AND('STERLING CATALOG - DRY '!G4991,"AAAAAF///r4=")</f>
        <v>#VALUE!</v>
      </c>
      <c r="GJ222" t="e">
        <f>AND('STERLING CATALOG - DRY '!H4991,"AAAAAF///r8=")</f>
        <v>#VALUE!</v>
      </c>
      <c r="GK222" t="e">
        <f>AND('STERLING CATALOG - DRY '!I4991,"AAAAAF///sA=")</f>
        <v>#VALUE!</v>
      </c>
      <c r="GL222" t="e">
        <f>AND('STERLING CATALOG - DRY '!J4991,"AAAAAF///sE=")</f>
        <v>#VALUE!</v>
      </c>
      <c r="GM222">
        <f>IF('STERLING CATALOG - DRY '!4992:4992,"AAAAAF///sI=",0)</f>
        <v>0</v>
      </c>
      <c r="GN222" t="e">
        <f>AND('STERLING CATALOG - DRY '!A4992,"AAAAAF///sM=")</f>
        <v>#VALUE!</v>
      </c>
      <c r="GO222" t="e">
        <f>AND('STERLING CATALOG - DRY '!B4992,"AAAAAF///sQ=")</f>
        <v>#VALUE!</v>
      </c>
      <c r="GP222" t="e">
        <f>AND('STERLING CATALOG - DRY '!C4992,"AAAAAF///sU=")</f>
        <v>#VALUE!</v>
      </c>
      <c r="GQ222" t="e">
        <f>AND('STERLING CATALOG - DRY '!D4992,"AAAAAF///sY=")</f>
        <v>#VALUE!</v>
      </c>
      <c r="GR222" t="e">
        <f>AND('STERLING CATALOG - DRY '!E4992,"AAAAAF///sc=")</f>
        <v>#VALUE!</v>
      </c>
      <c r="GS222" t="e">
        <f>AND('STERLING CATALOG - DRY '!F4992,"AAAAAF///sg=")</f>
        <v>#VALUE!</v>
      </c>
      <c r="GT222" t="e">
        <f>AND('STERLING CATALOG - DRY '!G4992,"AAAAAF///sk=")</f>
        <v>#VALUE!</v>
      </c>
      <c r="GU222" t="e">
        <f>AND('STERLING CATALOG - DRY '!H4992,"AAAAAF///so=")</f>
        <v>#VALUE!</v>
      </c>
      <c r="GV222" t="e">
        <f>AND('STERLING CATALOG - DRY '!I4992,"AAAAAF///ss=")</f>
        <v>#VALUE!</v>
      </c>
      <c r="GW222" t="e">
        <f>AND('STERLING CATALOG - DRY '!J4992,"AAAAAF///sw=")</f>
        <v>#VALUE!</v>
      </c>
      <c r="GX222">
        <f>IF('STERLING CATALOG - DRY '!4993:4993,"AAAAAF///s0=",0)</f>
        <v>0</v>
      </c>
      <c r="GY222" t="e">
        <f>AND('STERLING CATALOG - DRY '!A4993,"AAAAAF///s4=")</f>
        <v>#VALUE!</v>
      </c>
      <c r="GZ222" t="e">
        <f>AND('STERLING CATALOG - DRY '!B4993,"AAAAAF///s8=")</f>
        <v>#VALUE!</v>
      </c>
      <c r="HA222" t="e">
        <f>AND('STERLING CATALOG - DRY '!C4993,"AAAAAF///tA=")</f>
        <v>#VALUE!</v>
      </c>
      <c r="HB222" t="e">
        <f>AND('STERLING CATALOG - DRY '!D4993,"AAAAAF///tE=")</f>
        <v>#VALUE!</v>
      </c>
      <c r="HC222" t="e">
        <f>AND('STERLING CATALOG - DRY '!E4993,"AAAAAF///tI=")</f>
        <v>#VALUE!</v>
      </c>
      <c r="HD222" t="e">
        <f>AND('STERLING CATALOG - DRY '!F4993,"AAAAAF///tM=")</f>
        <v>#VALUE!</v>
      </c>
      <c r="HE222" t="e">
        <f>AND('STERLING CATALOG - DRY '!G4993,"AAAAAF///tQ=")</f>
        <v>#VALUE!</v>
      </c>
      <c r="HF222" t="e">
        <f>AND('STERLING CATALOG - DRY '!H4993,"AAAAAF///tU=")</f>
        <v>#VALUE!</v>
      </c>
      <c r="HG222" t="e">
        <f>AND('STERLING CATALOG - DRY '!I4993,"AAAAAF///tY=")</f>
        <v>#VALUE!</v>
      </c>
      <c r="HH222" t="e">
        <f>AND('STERLING CATALOG - DRY '!J4993,"AAAAAF///tc=")</f>
        <v>#VALUE!</v>
      </c>
      <c r="HI222">
        <f>IF('STERLING CATALOG - DRY '!4994:4994,"AAAAAF///tg=",0)</f>
        <v>0</v>
      </c>
      <c r="HJ222" t="e">
        <f>AND('STERLING CATALOG - DRY '!A4994,"AAAAAF///tk=")</f>
        <v>#VALUE!</v>
      </c>
      <c r="HK222" t="e">
        <f>AND('STERLING CATALOG - DRY '!B4994,"AAAAAF///to=")</f>
        <v>#VALUE!</v>
      </c>
      <c r="HL222" t="e">
        <f>AND('STERLING CATALOG - DRY '!C4994,"AAAAAF///ts=")</f>
        <v>#VALUE!</v>
      </c>
      <c r="HM222" t="e">
        <f>AND('STERLING CATALOG - DRY '!D4994,"AAAAAF///tw=")</f>
        <v>#VALUE!</v>
      </c>
      <c r="HN222" t="e">
        <f>AND('STERLING CATALOG - DRY '!E4994,"AAAAAF///t0=")</f>
        <v>#VALUE!</v>
      </c>
      <c r="HO222" t="e">
        <f>AND('STERLING CATALOG - DRY '!F4994,"AAAAAF///t4=")</f>
        <v>#VALUE!</v>
      </c>
      <c r="HP222" t="e">
        <f>AND('STERLING CATALOG - DRY '!G4994,"AAAAAF///t8=")</f>
        <v>#VALUE!</v>
      </c>
      <c r="HQ222" t="e">
        <f>AND('STERLING CATALOG - DRY '!H4994,"AAAAAF///uA=")</f>
        <v>#VALUE!</v>
      </c>
      <c r="HR222" t="e">
        <f>AND('STERLING CATALOG - DRY '!I4994,"AAAAAF///uE=")</f>
        <v>#VALUE!</v>
      </c>
      <c r="HS222" t="e">
        <f>AND('STERLING CATALOG - DRY '!J4994,"AAAAAF///uI=")</f>
        <v>#VALUE!</v>
      </c>
      <c r="HT222">
        <f>IF('STERLING CATALOG - DRY '!4995:4995,"AAAAAF///uM=",0)</f>
        <v>0</v>
      </c>
      <c r="HU222" t="e">
        <f>AND('STERLING CATALOG - DRY '!A4995,"AAAAAF///uQ=")</f>
        <v>#VALUE!</v>
      </c>
      <c r="HV222" t="e">
        <f>AND('STERLING CATALOG - DRY '!B4995,"AAAAAF///uU=")</f>
        <v>#VALUE!</v>
      </c>
      <c r="HW222" t="e">
        <f>AND('STERLING CATALOG - DRY '!C4995,"AAAAAF///uY=")</f>
        <v>#VALUE!</v>
      </c>
      <c r="HX222" t="e">
        <f>AND('STERLING CATALOG - DRY '!D4995,"AAAAAF///uc=")</f>
        <v>#VALUE!</v>
      </c>
      <c r="HY222" t="e">
        <f>AND('STERLING CATALOG - DRY '!E4995,"AAAAAF///ug=")</f>
        <v>#VALUE!</v>
      </c>
      <c r="HZ222" t="e">
        <f>AND('STERLING CATALOG - DRY '!F4995,"AAAAAF///uk=")</f>
        <v>#VALUE!</v>
      </c>
      <c r="IA222" t="e">
        <f>AND('STERLING CATALOG - DRY '!G4995,"AAAAAF///uo=")</f>
        <v>#VALUE!</v>
      </c>
      <c r="IB222" t="e">
        <f>AND('STERLING CATALOG - DRY '!H4995,"AAAAAF///us=")</f>
        <v>#VALUE!</v>
      </c>
      <c r="IC222" t="e">
        <f>AND('STERLING CATALOG - DRY '!I4995,"AAAAAF///uw=")</f>
        <v>#VALUE!</v>
      </c>
      <c r="ID222" t="e">
        <f>AND('STERLING CATALOG - DRY '!J4995,"AAAAAF///u0=")</f>
        <v>#VALUE!</v>
      </c>
      <c r="IE222">
        <f>IF('STERLING CATALOG - DRY '!4996:4996,"AAAAAF///u4=",0)</f>
        <v>0</v>
      </c>
      <c r="IF222" t="e">
        <f>AND('STERLING CATALOG - DRY '!A4996,"AAAAAF///u8=")</f>
        <v>#VALUE!</v>
      </c>
      <c r="IG222" t="e">
        <f>AND('STERLING CATALOG - DRY '!B4996,"AAAAAF///vA=")</f>
        <v>#VALUE!</v>
      </c>
      <c r="IH222" t="e">
        <f>AND('STERLING CATALOG - DRY '!C4996,"AAAAAF///vE=")</f>
        <v>#VALUE!</v>
      </c>
      <c r="II222" t="e">
        <f>AND('STERLING CATALOG - DRY '!D4996,"AAAAAF///vI=")</f>
        <v>#VALUE!</v>
      </c>
      <c r="IJ222" t="e">
        <f>AND('STERLING CATALOG - DRY '!E4996,"AAAAAF///vM=")</f>
        <v>#VALUE!</v>
      </c>
      <c r="IK222" t="e">
        <f>AND('STERLING CATALOG - DRY '!F4996,"AAAAAF///vQ=")</f>
        <v>#VALUE!</v>
      </c>
      <c r="IL222" t="e">
        <f>AND('STERLING CATALOG - DRY '!G4996,"AAAAAF///vU=")</f>
        <v>#VALUE!</v>
      </c>
      <c r="IM222" t="e">
        <f>AND('STERLING CATALOG - DRY '!H4996,"AAAAAF///vY=")</f>
        <v>#VALUE!</v>
      </c>
      <c r="IN222" t="e">
        <f>AND('STERLING CATALOG - DRY '!I4996,"AAAAAF///vc=")</f>
        <v>#VALUE!</v>
      </c>
      <c r="IO222" t="e">
        <f>AND('STERLING CATALOG - DRY '!J4996,"AAAAAF///vg=")</f>
        <v>#VALUE!</v>
      </c>
      <c r="IP222">
        <f>IF('STERLING CATALOG - DRY '!4997:4997,"AAAAAF///vk=",0)</f>
        <v>0</v>
      </c>
      <c r="IQ222" t="e">
        <f>AND('STERLING CATALOG - DRY '!A4997,"AAAAAF///vo=")</f>
        <v>#VALUE!</v>
      </c>
      <c r="IR222" t="e">
        <f>AND('STERLING CATALOG - DRY '!B4997,"AAAAAF///vs=")</f>
        <v>#VALUE!</v>
      </c>
      <c r="IS222" t="e">
        <f>AND('STERLING CATALOG - DRY '!C4997,"AAAAAF///vw=")</f>
        <v>#VALUE!</v>
      </c>
      <c r="IT222" t="e">
        <f>AND('STERLING CATALOG - DRY '!D4997,"AAAAAF///v0=")</f>
        <v>#VALUE!</v>
      </c>
      <c r="IU222" t="e">
        <f>AND('STERLING CATALOG - DRY '!E4997,"AAAAAF///v4=")</f>
        <v>#VALUE!</v>
      </c>
      <c r="IV222" t="e">
        <f>AND('STERLING CATALOG - DRY '!F4997,"AAAAAF///v8=")</f>
        <v>#VALUE!</v>
      </c>
    </row>
    <row r="223" spans="1:256">
      <c r="A223" t="e">
        <f>AND('STERLING CATALOG - DRY '!G4997,"AAAAADuv2wA=")</f>
        <v>#VALUE!</v>
      </c>
      <c r="B223" t="e">
        <f>AND('STERLING CATALOG - DRY '!H4997,"AAAAADuv2wE=")</f>
        <v>#VALUE!</v>
      </c>
      <c r="C223" t="e">
        <f>AND('STERLING CATALOG - DRY '!I4997,"AAAAADuv2wI=")</f>
        <v>#VALUE!</v>
      </c>
      <c r="D223" t="e">
        <f>AND('STERLING CATALOG - DRY '!J4997,"AAAAADuv2wM=")</f>
        <v>#VALUE!</v>
      </c>
      <c r="E223" t="e">
        <f>IF('STERLING CATALOG - DRY '!4998:4998,"AAAAADuv2wQ=",0)</f>
        <v>#VALUE!</v>
      </c>
      <c r="F223" t="e">
        <f>AND('STERLING CATALOG - DRY '!A4998,"AAAAADuv2wU=")</f>
        <v>#VALUE!</v>
      </c>
      <c r="G223" t="e">
        <f>AND('STERLING CATALOG - DRY '!B4998,"AAAAADuv2wY=")</f>
        <v>#VALUE!</v>
      </c>
      <c r="H223" t="e">
        <f>AND('STERLING CATALOG - DRY '!C4998,"AAAAADuv2wc=")</f>
        <v>#VALUE!</v>
      </c>
      <c r="I223" t="e">
        <f>AND('STERLING CATALOG - DRY '!D4998,"AAAAADuv2wg=")</f>
        <v>#VALUE!</v>
      </c>
      <c r="J223" t="e">
        <f>AND('STERLING CATALOG - DRY '!E4998,"AAAAADuv2wk=")</f>
        <v>#VALUE!</v>
      </c>
      <c r="K223" t="e">
        <f>AND('STERLING CATALOG - DRY '!F4998,"AAAAADuv2wo=")</f>
        <v>#VALUE!</v>
      </c>
      <c r="L223" t="e">
        <f>AND('STERLING CATALOG - DRY '!G4998,"AAAAADuv2ws=")</f>
        <v>#VALUE!</v>
      </c>
      <c r="M223" t="e">
        <f>AND('STERLING CATALOG - DRY '!H4998,"AAAAADuv2ww=")</f>
        <v>#VALUE!</v>
      </c>
      <c r="N223" t="e">
        <f>AND('STERLING CATALOG - DRY '!I4998,"AAAAADuv2w0=")</f>
        <v>#VALUE!</v>
      </c>
      <c r="O223" t="e">
        <f>AND('STERLING CATALOG - DRY '!J4998,"AAAAADuv2w4=")</f>
        <v>#VALUE!</v>
      </c>
      <c r="P223">
        <f>IF('STERLING CATALOG - DRY '!4999:4999,"AAAAADuv2w8=",0)</f>
        <v>0</v>
      </c>
      <c r="Q223" t="e">
        <f>AND('STERLING CATALOG - DRY '!A4999,"AAAAADuv2xA=")</f>
        <v>#VALUE!</v>
      </c>
      <c r="R223" t="e">
        <f>AND('STERLING CATALOG - DRY '!B4999,"AAAAADuv2xE=")</f>
        <v>#VALUE!</v>
      </c>
      <c r="S223" t="e">
        <f>AND('STERLING CATALOG - DRY '!C4999,"AAAAADuv2xI=")</f>
        <v>#VALUE!</v>
      </c>
      <c r="T223" t="e">
        <f>AND('STERLING CATALOG - DRY '!D4999,"AAAAADuv2xM=")</f>
        <v>#VALUE!</v>
      </c>
      <c r="U223" t="e">
        <f>AND('STERLING CATALOG - DRY '!E4999,"AAAAADuv2xQ=")</f>
        <v>#VALUE!</v>
      </c>
      <c r="V223" t="e">
        <f>AND('STERLING CATALOG - DRY '!F4999,"AAAAADuv2xU=")</f>
        <v>#VALUE!</v>
      </c>
      <c r="W223" t="e">
        <f>AND('STERLING CATALOG - DRY '!G4999,"AAAAADuv2xY=")</f>
        <v>#VALUE!</v>
      </c>
      <c r="X223" t="e">
        <f>AND('STERLING CATALOG - DRY '!H4999,"AAAAADuv2xc=")</f>
        <v>#VALUE!</v>
      </c>
      <c r="Y223" t="e">
        <f>AND('STERLING CATALOG - DRY '!I4999,"AAAAADuv2xg=")</f>
        <v>#VALUE!</v>
      </c>
      <c r="Z223" t="e">
        <f>AND('STERLING CATALOG - DRY '!J4999,"AAAAADuv2xk=")</f>
        <v>#VALUE!</v>
      </c>
      <c r="AA223">
        <f>IF('STERLING CATALOG - DRY '!5000:5000,"AAAAADuv2xo=",0)</f>
        <v>0</v>
      </c>
      <c r="AB223" t="e">
        <f>AND('STERLING CATALOG - DRY '!A5000,"AAAAADuv2xs=")</f>
        <v>#VALUE!</v>
      </c>
      <c r="AC223" t="e">
        <f>AND('STERLING CATALOG - DRY '!B5000,"AAAAADuv2xw=")</f>
        <v>#VALUE!</v>
      </c>
      <c r="AD223" t="e">
        <f>AND('STERLING CATALOG - DRY '!C5000,"AAAAADuv2x0=")</f>
        <v>#VALUE!</v>
      </c>
      <c r="AE223" t="e">
        <f>AND('STERLING CATALOG - DRY '!D5000,"AAAAADuv2x4=")</f>
        <v>#VALUE!</v>
      </c>
      <c r="AF223" t="e">
        <f>AND('STERLING CATALOG - DRY '!E5000,"AAAAADuv2x8=")</f>
        <v>#VALUE!</v>
      </c>
      <c r="AG223" t="e">
        <f>AND('STERLING CATALOG - DRY '!F5000,"AAAAADuv2yA=")</f>
        <v>#VALUE!</v>
      </c>
      <c r="AH223" t="e">
        <f>AND('STERLING CATALOG - DRY '!G5000,"AAAAADuv2yE=")</f>
        <v>#VALUE!</v>
      </c>
      <c r="AI223" t="e">
        <f>AND('STERLING CATALOG - DRY '!H5000,"AAAAADuv2yI=")</f>
        <v>#VALUE!</v>
      </c>
      <c r="AJ223" t="e">
        <f>AND('STERLING CATALOG - DRY '!I5000,"AAAAADuv2yM=")</f>
        <v>#VALUE!</v>
      </c>
      <c r="AK223" t="e">
        <f>AND('STERLING CATALOG - DRY '!J5000,"AAAAADuv2yQ=")</f>
        <v>#VALUE!</v>
      </c>
      <c r="AL223">
        <f>IF('STERLING CATALOG - DRY '!5001:5001,"AAAAADuv2yU=",0)</f>
        <v>0</v>
      </c>
      <c r="AM223" t="e">
        <f>AND('STERLING CATALOG - DRY '!A5001,"AAAAADuv2yY=")</f>
        <v>#VALUE!</v>
      </c>
      <c r="AN223" t="e">
        <f>AND('STERLING CATALOG - DRY '!B5001,"AAAAADuv2yc=")</f>
        <v>#VALUE!</v>
      </c>
      <c r="AO223" t="e">
        <f>AND('STERLING CATALOG - DRY '!C5001,"AAAAADuv2yg=")</f>
        <v>#VALUE!</v>
      </c>
      <c r="AP223" t="e">
        <f>AND('STERLING CATALOG - DRY '!D5001,"AAAAADuv2yk=")</f>
        <v>#VALUE!</v>
      </c>
      <c r="AQ223" t="e">
        <f>AND('STERLING CATALOG - DRY '!E5001,"AAAAADuv2yo=")</f>
        <v>#VALUE!</v>
      </c>
      <c r="AR223" t="e">
        <f>AND('STERLING CATALOG - DRY '!F5001,"AAAAADuv2ys=")</f>
        <v>#VALUE!</v>
      </c>
      <c r="AS223" t="e">
        <f>AND('STERLING CATALOG - DRY '!G5001,"AAAAADuv2yw=")</f>
        <v>#VALUE!</v>
      </c>
      <c r="AT223" t="e">
        <f>AND('STERLING CATALOG - DRY '!H5001,"AAAAADuv2y0=")</f>
        <v>#VALUE!</v>
      </c>
      <c r="AU223" t="e">
        <f>AND('STERLING CATALOG - DRY '!I5001,"AAAAADuv2y4=")</f>
        <v>#VALUE!</v>
      </c>
      <c r="AV223" t="e">
        <f>AND('STERLING CATALOG - DRY '!J5001,"AAAAADuv2y8=")</f>
        <v>#VALUE!</v>
      </c>
      <c r="AW223">
        <f>IF('STERLING CATALOG - DRY '!5002:5002,"AAAAADuv2zA=",0)</f>
        <v>0</v>
      </c>
      <c r="AX223" t="e">
        <f>AND('STERLING CATALOG - DRY '!A5002,"AAAAADuv2zE=")</f>
        <v>#VALUE!</v>
      </c>
      <c r="AY223" t="e">
        <f>AND('STERLING CATALOG - DRY '!B5002,"AAAAADuv2zI=")</f>
        <v>#VALUE!</v>
      </c>
      <c r="AZ223" t="e">
        <f>AND('STERLING CATALOG - DRY '!C5002,"AAAAADuv2zM=")</f>
        <v>#VALUE!</v>
      </c>
      <c r="BA223" t="e">
        <f>AND('STERLING CATALOG - DRY '!D5002,"AAAAADuv2zQ=")</f>
        <v>#VALUE!</v>
      </c>
      <c r="BB223" t="e">
        <f>AND('STERLING CATALOG - DRY '!E5002,"AAAAADuv2zU=")</f>
        <v>#VALUE!</v>
      </c>
      <c r="BC223" t="e">
        <f>AND('STERLING CATALOG - DRY '!F5002,"AAAAADuv2zY=")</f>
        <v>#VALUE!</v>
      </c>
      <c r="BD223" t="e">
        <f>AND('STERLING CATALOG - DRY '!G5002,"AAAAADuv2zc=")</f>
        <v>#VALUE!</v>
      </c>
      <c r="BE223" t="e">
        <f>AND('STERLING CATALOG - DRY '!H5002,"AAAAADuv2zg=")</f>
        <v>#VALUE!</v>
      </c>
      <c r="BF223" t="e">
        <f>AND('STERLING CATALOG - DRY '!I5002,"AAAAADuv2zk=")</f>
        <v>#VALUE!</v>
      </c>
      <c r="BG223" t="e">
        <f>AND('STERLING CATALOG - DRY '!J5002,"AAAAADuv2zo=")</f>
        <v>#VALUE!</v>
      </c>
      <c r="BH223">
        <f>IF('STERLING CATALOG - DRY '!5003:5003,"AAAAADuv2zs=",0)</f>
        <v>0</v>
      </c>
      <c r="BI223" t="e">
        <f>AND('STERLING CATALOG - DRY '!A5003,"AAAAADuv2zw=")</f>
        <v>#VALUE!</v>
      </c>
      <c r="BJ223" t="e">
        <f>AND('STERLING CATALOG - DRY '!B5003,"AAAAADuv2z0=")</f>
        <v>#VALUE!</v>
      </c>
      <c r="BK223" t="e">
        <f>AND('STERLING CATALOG - DRY '!C5003,"AAAAADuv2z4=")</f>
        <v>#VALUE!</v>
      </c>
      <c r="BL223" t="e">
        <f>AND('STERLING CATALOG - DRY '!D5003,"AAAAADuv2z8=")</f>
        <v>#VALUE!</v>
      </c>
      <c r="BM223" t="e">
        <f>AND('STERLING CATALOG - DRY '!E5003,"AAAAADuv20A=")</f>
        <v>#VALUE!</v>
      </c>
      <c r="BN223" t="e">
        <f>AND('STERLING CATALOG - DRY '!F5003,"AAAAADuv20E=")</f>
        <v>#VALUE!</v>
      </c>
      <c r="BO223" t="e">
        <f>AND('STERLING CATALOG - DRY '!G5003,"AAAAADuv20I=")</f>
        <v>#VALUE!</v>
      </c>
      <c r="BP223" t="e">
        <f>AND('STERLING CATALOG - DRY '!H5003,"AAAAADuv20M=")</f>
        <v>#VALUE!</v>
      </c>
      <c r="BQ223" t="e">
        <f>AND('STERLING CATALOG - DRY '!I5003,"AAAAADuv20Q=")</f>
        <v>#VALUE!</v>
      </c>
      <c r="BR223" t="e">
        <f>AND('STERLING CATALOG - DRY '!J5003,"AAAAADuv20U=")</f>
        <v>#VALUE!</v>
      </c>
      <c r="BS223">
        <f>IF('STERLING CATALOG - DRY '!5004:5004,"AAAAADuv20Y=",0)</f>
        <v>0</v>
      </c>
      <c r="BT223" t="e">
        <f>AND('STERLING CATALOG - DRY '!A5004,"AAAAADuv20c=")</f>
        <v>#VALUE!</v>
      </c>
      <c r="BU223" t="e">
        <f>AND('STERLING CATALOG - DRY '!B5004,"AAAAADuv20g=")</f>
        <v>#VALUE!</v>
      </c>
      <c r="BV223" t="e">
        <f>AND('STERLING CATALOG - DRY '!C5004,"AAAAADuv20k=")</f>
        <v>#VALUE!</v>
      </c>
      <c r="BW223" t="e">
        <f>AND('STERLING CATALOG - DRY '!D5004,"AAAAADuv20o=")</f>
        <v>#VALUE!</v>
      </c>
      <c r="BX223" t="e">
        <f>AND('STERLING CATALOG - DRY '!E5004,"AAAAADuv20s=")</f>
        <v>#VALUE!</v>
      </c>
      <c r="BY223" t="e">
        <f>AND('STERLING CATALOG - DRY '!F5004,"AAAAADuv20w=")</f>
        <v>#VALUE!</v>
      </c>
      <c r="BZ223" t="e">
        <f>AND('STERLING CATALOG - DRY '!G5004,"AAAAADuv200=")</f>
        <v>#VALUE!</v>
      </c>
      <c r="CA223" t="e">
        <f>AND('STERLING CATALOG - DRY '!H5004,"AAAAADuv204=")</f>
        <v>#VALUE!</v>
      </c>
      <c r="CB223" t="e">
        <f>AND('STERLING CATALOG - DRY '!I5004,"AAAAADuv208=")</f>
        <v>#VALUE!</v>
      </c>
      <c r="CC223" t="e">
        <f>AND('STERLING CATALOG - DRY '!J5004,"AAAAADuv21A=")</f>
        <v>#VALUE!</v>
      </c>
      <c r="CD223">
        <f>IF('STERLING CATALOG - DRY '!5005:5005,"AAAAADuv21E=",0)</f>
        <v>0</v>
      </c>
      <c r="CE223" t="e">
        <f>AND('STERLING CATALOG - DRY '!A5005,"AAAAADuv21I=")</f>
        <v>#VALUE!</v>
      </c>
      <c r="CF223" t="e">
        <f>AND('STERLING CATALOG - DRY '!B5005,"AAAAADuv21M=")</f>
        <v>#VALUE!</v>
      </c>
      <c r="CG223" t="e">
        <f>AND('STERLING CATALOG - DRY '!C5005,"AAAAADuv21Q=")</f>
        <v>#VALUE!</v>
      </c>
      <c r="CH223" t="e">
        <f>AND('STERLING CATALOG - DRY '!D5005,"AAAAADuv21U=")</f>
        <v>#VALUE!</v>
      </c>
      <c r="CI223" t="e">
        <f>AND('STERLING CATALOG - DRY '!E5005,"AAAAADuv21Y=")</f>
        <v>#VALUE!</v>
      </c>
      <c r="CJ223" t="e">
        <f>AND('STERLING CATALOG - DRY '!F5005,"AAAAADuv21c=")</f>
        <v>#VALUE!</v>
      </c>
      <c r="CK223" t="e">
        <f>AND('STERLING CATALOG - DRY '!G5005,"AAAAADuv21g=")</f>
        <v>#VALUE!</v>
      </c>
      <c r="CL223" t="e">
        <f>AND('STERLING CATALOG - DRY '!H5005,"AAAAADuv21k=")</f>
        <v>#VALUE!</v>
      </c>
      <c r="CM223" t="e">
        <f>AND('STERLING CATALOG - DRY '!I5005,"AAAAADuv21o=")</f>
        <v>#VALUE!</v>
      </c>
      <c r="CN223" t="e">
        <f>AND('STERLING CATALOG - DRY '!J5005,"AAAAADuv21s=")</f>
        <v>#VALUE!</v>
      </c>
      <c r="CO223">
        <f>IF('STERLING CATALOG - DRY '!5006:5006,"AAAAADuv21w=",0)</f>
        <v>0</v>
      </c>
      <c r="CP223" t="e">
        <f>AND('STERLING CATALOG - DRY '!A5006,"AAAAADuv210=")</f>
        <v>#VALUE!</v>
      </c>
      <c r="CQ223" t="e">
        <f>AND('STERLING CATALOG - DRY '!B5006,"AAAAADuv214=")</f>
        <v>#VALUE!</v>
      </c>
      <c r="CR223" t="e">
        <f>AND('STERLING CATALOG - DRY '!C5006,"AAAAADuv218=")</f>
        <v>#VALUE!</v>
      </c>
      <c r="CS223" t="e">
        <f>AND('STERLING CATALOG - DRY '!D5006,"AAAAADuv22A=")</f>
        <v>#VALUE!</v>
      </c>
      <c r="CT223" t="e">
        <f>AND('STERLING CATALOG - DRY '!E5006,"AAAAADuv22E=")</f>
        <v>#VALUE!</v>
      </c>
      <c r="CU223" t="e">
        <f>AND('STERLING CATALOG - DRY '!F5006,"AAAAADuv22I=")</f>
        <v>#VALUE!</v>
      </c>
      <c r="CV223" t="e">
        <f>AND('STERLING CATALOG - DRY '!G5006,"AAAAADuv22M=")</f>
        <v>#VALUE!</v>
      </c>
      <c r="CW223" t="e">
        <f>AND('STERLING CATALOG - DRY '!H5006,"AAAAADuv22Q=")</f>
        <v>#VALUE!</v>
      </c>
      <c r="CX223" t="e">
        <f>AND('STERLING CATALOG - DRY '!I5006,"AAAAADuv22U=")</f>
        <v>#VALUE!</v>
      </c>
      <c r="CY223" t="e">
        <f>AND('STERLING CATALOG - DRY '!J5006,"AAAAADuv22Y=")</f>
        <v>#VALUE!</v>
      </c>
      <c r="CZ223">
        <f>IF('STERLING CATALOG - DRY '!5007:5007,"AAAAADuv22c=",0)</f>
        <v>0</v>
      </c>
      <c r="DA223" t="e">
        <f>AND('STERLING CATALOG - DRY '!A5007,"AAAAADuv22g=")</f>
        <v>#VALUE!</v>
      </c>
      <c r="DB223" t="e">
        <f>AND('STERLING CATALOG - DRY '!B5007,"AAAAADuv22k=")</f>
        <v>#VALUE!</v>
      </c>
      <c r="DC223" t="e">
        <f>AND('STERLING CATALOG - DRY '!C5007,"AAAAADuv22o=")</f>
        <v>#VALUE!</v>
      </c>
      <c r="DD223" t="e">
        <f>AND('STERLING CATALOG - DRY '!D5007,"AAAAADuv22s=")</f>
        <v>#VALUE!</v>
      </c>
      <c r="DE223" t="e">
        <f>AND('STERLING CATALOG - DRY '!E5007,"AAAAADuv22w=")</f>
        <v>#VALUE!</v>
      </c>
      <c r="DF223" t="e">
        <f>AND('STERLING CATALOG - DRY '!F5007,"AAAAADuv220=")</f>
        <v>#VALUE!</v>
      </c>
      <c r="DG223" t="e">
        <f>AND('STERLING CATALOG - DRY '!G5007,"AAAAADuv224=")</f>
        <v>#VALUE!</v>
      </c>
      <c r="DH223" t="e">
        <f>AND('STERLING CATALOG - DRY '!H5007,"AAAAADuv228=")</f>
        <v>#VALUE!</v>
      </c>
      <c r="DI223" t="e">
        <f>AND('STERLING CATALOG - DRY '!I5007,"AAAAADuv23A=")</f>
        <v>#VALUE!</v>
      </c>
      <c r="DJ223" t="e">
        <f>AND('STERLING CATALOG - DRY '!J5007,"AAAAADuv23E=")</f>
        <v>#VALUE!</v>
      </c>
      <c r="DK223">
        <f>IF('STERLING CATALOG - DRY '!5008:5008,"AAAAADuv23I=",0)</f>
        <v>0</v>
      </c>
      <c r="DL223" t="e">
        <f>AND('STERLING CATALOG - DRY '!A5008,"AAAAADuv23M=")</f>
        <v>#VALUE!</v>
      </c>
      <c r="DM223" t="e">
        <f>AND('STERLING CATALOG - DRY '!B5008,"AAAAADuv23Q=")</f>
        <v>#VALUE!</v>
      </c>
      <c r="DN223" t="e">
        <f>AND('STERLING CATALOG - DRY '!C5008,"AAAAADuv23U=")</f>
        <v>#VALUE!</v>
      </c>
      <c r="DO223" t="e">
        <f>AND('STERLING CATALOG - DRY '!D5008,"AAAAADuv23Y=")</f>
        <v>#VALUE!</v>
      </c>
      <c r="DP223" t="e">
        <f>AND('STERLING CATALOG - DRY '!E5008,"AAAAADuv23c=")</f>
        <v>#VALUE!</v>
      </c>
      <c r="DQ223" t="e">
        <f>AND('STERLING CATALOG - DRY '!F5008,"AAAAADuv23g=")</f>
        <v>#VALUE!</v>
      </c>
      <c r="DR223" t="e">
        <f>AND('STERLING CATALOG - DRY '!G5008,"AAAAADuv23k=")</f>
        <v>#VALUE!</v>
      </c>
      <c r="DS223" t="e">
        <f>AND('STERLING CATALOG - DRY '!H5008,"AAAAADuv23o=")</f>
        <v>#VALUE!</v>
      </c>
      <c r="DT223" t="e">
        <f>AND('STERLING CATALOG - DRY '!I5008,"AAAAADuv23s=")</f>
        <v>#VALUE!</v>
      </c>
      <c r="DU223" t="e">
        <f>AND('STERLING CATALOG - DRY '!J5008,"AAAAADuv23w=")</f>
        <v>#VALUE!</v>
      </c>
      <c r="DV223">
        <f>IF('STERLING CATALOG - DRY '!5009:5009,"AAAAADuv230=",0)</f>
        <v>0</v>
      </c>
      <c r="DW223" t="e">
        <f>AND('STERLING CATALOG - DRY '!A5009,"AAAAADuv234=")</f>
        <v>#VALUE!</v>
      </c>
      <c r="DX223" t="e">
        <f>AND('STERLING CATALOG - DRY '!B5009,"AAAAADuv238=")</f>
        <v>#VALUE!</v>
      </c>
      <c r="DY223" t="e">
        <f>AND('STERLING CATALOG - DRY '!C5009,"AAAAADuv24A=")</f>
        <v>#VALUE!</v>
      </c>
      <c r="DZ223" t="e">
        <f>AND('STERLING CATALOG - DRY '!D5009,"AAAAADuv24E=")</f>
        <v>#VALUE!</v>
      </c>
      <c r="EA223" t="e">
        <f>AND('STERLING CATALOG - DRY '!E5009,"AAAAADuv24I=")</f>
        <v>#VALUE!</v>
      </c>
      <c r="EB223" t="e">
        <f>AND('STERLING CATALOG - DRY '!F5009,"AAAAADuv24M=")</f>
        <v>#VALUE!</v>
      </c>
      <c r="EC223" t="e">
        <f>AND('STERLING CATALOG - DRY '!G5009,"AAAAADuv24Q=")</f>
        <v>#VALUE!</v>
      </c>
      <c r="ED223" t="e">
        <f>AND('STERLING CATALOG - DRY '!H5009,"AAAAADuv24U=")</f>
        <v>#VALUE!</v>
      </c>
      <c r="EE223" t="e">
        <f>AND('STERLING CATALOG - DRY '!I5009,"AAAAADuv24Y=")</f>
        <v>#VALUE!</v>
      </c>
      <c r="EF223" t="e">
        <f>AND('STERLING CATALOG - DRY '!J5009,"AAAAADuv24c=")</f>
        <v>#VALUE!</v>
      </c>
      <c r="EG223">
        <f>IF('STERLING CATALOG - DRY '!5010:5010,"AAAAADuv24g=",0)</f>
        <v>0</v>
      </c>
      <c r="EH223" t="e">
        <f>AND('STERLING CATALOG - DRY '!A5010,"AAAAADuv24k=")</f>
        <v>#VALUE!</v>
      </c>
      <c r="EI223" t="e">
        <f>AND('STERLING CATALOG - DRY '!B5010,"AAAAADuv24o=")</f>
        <v>#VALUE!</v>
      </c>
      <c r="EJ223" t="e">
        <f>AND('STERLING CATALOG - DRY '!C5010,"AAAAADuv24s=")</f>
        <v>#VALUE!</v>
      </c>
      <c r="EK223" t="e">
        <f>AND('STERLING CATALOG - DRY '!D5010,"AAAAADuv24w=")</f>
        <v>#VALUE!</v>
      </c>
      <c r="EL223" t="e">
        <f>AND('STERLING CATALOG - DRY '!E5010,"AAAAADuv240=")</f>
        <v>#VALUE!</v>
      </c>
      <c r="EM223" t="e">
        <f>AND('STERLING CATALOG - DRY '!F5010,"AAAAADuv244=")</f>
        <v>#VALUE!</v>
      </c>
      <c r="EN223" t="e">
        <f>AND('STERLING CATALOG - DRY '!G5010,"AAAAADuv248=")</f>
        <v>#VALUE!</v>
      </c>
      <c r="EO223" t="e">
        <f>AND('STERLING CATALOG - DRY '!H5010,"AAAAADuv25A=")</f>
        <v>#VALUE!</v>
      </c>
      <c r="EP223" t="e">
        <f>AND('STERLING CATALOG - DRY '!I5010,"AAAAADuv25E=")</f>
        <v>#VALUE!</v>
      </c>
      <c r="EQ223" t="e">
        <f>AND('STERLING CATALOG - DRY '!J5010,"AAAAADuv25I=")</f>
        <v>#VALUE!</v>
      </c>
      <c r="ER223">
        <f>IF('STERLING CATALOG - DRY '!5011:5011,"AAAAADuv25M=",0)</f>
        <v>0</v>
      </c>
      <c r="ES223" t="e">
        <f>AND('STERLING CATALOG - DRY '!A5011,"AAAAADuv25Q=")</f>
        <v>#VALUE!</v>
      </c>
      <c r="ET223" t="e">
        <f>AND('STERLING CATALOG - DRY '!B5011,"AAAAADuv25U=")</f>
        <v>#VALUE!</v>
      </c>
      <c r="EU223" t="e">
        <f>AND('STERLING CATALOG - DRY '!C5011,"AAAAADuv25Y=")</f>
        <v>#VALUE!</v>
      </c>
      <c r="EV223" t="e">
        <f>AND('STERLING CATALOG - DRY '!D5011,"AAAAADuv25c=")</f>
        <v>#VALUE!</v>
      </c>
      <c r="EW223" t="e">
        <f>AND('STERLING CATALOG - DRY '!E5011,"AAAAADuv25g=")</f>
        <v>#VALUE!</v>
      </c>
      <c r="EX223" t="e">
        <f>AND('STERLING CATALOG - DRY '!F5011,"AAAAADuv25k=")</f>
        <v>#VALUE!</v>
      </c>
      <c r="EY223" t="e">
        <f>AND('STERLING CATALOG - DRY '!G5011,"AAAAADuv25o=")</f>
        <v>#VALUE!</v>
      </c>
      <c r="EZ223" t="e">
        <f>AND('STERLING CATALOG - DRY '!H5011,"AAAAADuv25s=")</f>
        <v>#VALUE!</v>
      </c>
      <c r="FA223" t="e">
        <f>AND('STERLING CATALOG - DRY '!I5011,"AAAAADuv25w=")</f>
        <v>#VALUE!</v>
      </c>
      <c r="FB223" t="e">
        <f>AND('STERLING CATALOG - DRY '!J5011,"AAAAADuv250=")</f>
        <v>#VALUE!</v>
      </c>
      <c r="FC223">
        <f>IF('STERLING CATALOG - DRY '!5012:5012,"AAAAADuv254=",0)</f>
        <v>0</v>
      </c>
      <c r="FD223" t="e">
        <f>AND('STERLING CATALOG - DRY '!A5012,"AAAAADuv258=")</f>
        <v>#VALUE!</v>
      </c>
      <c r="FE223" t="e">
        <f>AND('STERLING CATALOG - DRY '!B5012,"AAAAADuv26A=")</f>
        <v>#VALUE!</v>
      </c>
      <c r="FF223" t="e">
        <f>AND('STERLING CATALOG - DRY '!C5012,"AAAAADuv26E=")</f>
        <v>#VALUE!</v>
      </c>
      <c r="FG223" t="e">
        <f>AND('STERLING CATALOG - DRY '!D5012,"AAAAADuv26I=")</f>
        <v>#VALUE!</v>
      </c>
      <c r="FH223" t="e">
        <f>AND('STERLING CATALOG - DRY '!E5012,"AAAAADuv26M=")</f>
        <v>#VALUE!</v>
      </c>
      <c r="FI223" t="e">
        <f>AND('STERLING CATALOG - DRY '!F5012,"AAAAADuv26Q=")</f>
        <v>#VALUE!</v>
      </c>
      <c r="FJ223" t="e">
        <f>AND('STERLING CATALOG - DRY '!G5012,"AAAAADuv26U=")</f>
        <v>#VALUE!</v>
      </c>
      <c r="FK223" t="e">
        <f>AND('STERLING CATALOG - DRY '!H5012,"AAAAADuv26Y=")</f>
        <v>#VALUE!</v>
      </c>
      <c r="FL223" t="e">
        <f>AND('STERLING CATALOG - DRY '!I5012,"AAAAADuv26c=")</f>
        <v>#VALUE!</v>
      </c>
      <c r="FM223" t="e">
        <f>AND('STERLING CATALOG - DRY '!J5012,"AAAAADuv26g=")</f>
        <v>#VALUE!</v>
      </c>
      <c r="FN223">
        <f>IF('STERLING CATALOG - DRY '!5013:5013,"AAAAADuv26k=",0)</f>
        <v>0</v>
      </c>
      <c r="FO223" t="e">
        <f>AND('STERLING CATALOG - DRY '!A5013,"AAAAADuv26o=")</f>
        <v>#VALUE!</v>
      </c>
      <c r="FP223" t="e">
        <f>AND('STERLING CATALOG - DRY '!B5013,"AAAAADuv26s=")</f>
        <v>#VALUE!</v>
      </c>
      <c r="FQ223" t="e">
        <f>AND('STERLING CATALOG - DRY '!C5013,"AAAAADuv26w=")</f>
        <v>#VALUE!</v>
      </c>
      <c r="FR223" t="e">
        <f>AND('STERLING CATALOG - DRY '!D5013,"AAAAADuv260=")</f>
        <v>#VALUE!</v>
      </c>
      <c r="FS223" t="e">
        <f>AND('STERLING CATALOG - DRY '!E5013,"AAAAADuv264=")</f>
        <v>#VALUE!</v>
      </c>
      <c r="FT223" t="e">
        <f>AND('STERLING CATALOG - DRY '!F5013,"AAAAADuv268=")</f>
        <v>#VALUE!</v>
      </c>
      <c r="FU223" t="e">
        <f>AND('STERLING CATALOG - DRY '!G5013,"AAAAADuv27A=")</f>
        <v>#VALUE!</v>
      </c>
      <c r="FV223" t="e">
        <f>AND('STERLING CATALOG - DRY '!H5013,"AAAAADuv27E=")</f>
        <v>#VALUE!</v>
      </c>
      <c r="FW223" t="e">
        <f>AND('STERLING CATALOG - DRY '!I5013,"AAAAADuv27I=")</f>
        <v>#VALUE!</v>
      </c>
      <c r="FX223" t="e">
        <f>AND('STERLING CATALOG - DRY '!J5013,"AAAAADuv27M=")</f>
        <v>#VALUE!</v>
      </c>
      <c r="FY223">
        <f>IF('STERLING CATALOG - DRY '!5014:5014,"AAAAADuv27Q=",0)</f>
        <v>0</v>
      </c>
      <c r="FZ223" t="e">
        <f>AND('STERLING CATALOG - DRY '!A5014,"AAAAADuv27U=")</f>
        <v>#VALUE!</v>
      </c>
      <c r="GA223" t="e">
        <f>AND('STERLING CATALOG - DRY '!B5014,"AAAAADuv27Y=")</f>
        <v>#VALUE!</v>
      </c>
      <c r="GB223" t="e">
        <f>AND('STERLING CATALOG - DRY '!C5014,"AAAAADuv27c=")</f>
        <v>#VALUE!</v>
      </c>
      <c r="GC223" t="e">
        <f>AND('STERLING CATALOG - DRY '!D5014,"AAAAADuv27g=")</f>
        <v>#VALUE!</v>
      </c>
      <c r="GD223" t="e">
        <f>AND('STERLING CATALOG - DRY '!E5014,"AAAAADuv27k=")</f>
        <v>#VALUE!</v>
      </c>
      <c r="GE223" t="e">
        <f>AND('STERLING CATALOG - DRY '!F5014,"AAAAADuv27o=")</f>
        <v>#VALUE!</v>
      </c>
      <c r="GF223" t="e">
        <f>AND('STERLING CATALOG - DRY '!G5014,"AAAAADuv27s=")</f>
        <v>#VALUE!</v>
      </c>
      <c r="GG223" t="e">
        <f>AND('STERLING CATALOG - DRY '!H5014,"AAAAADuv27w=")</f>
        <v>#VALUE!</v>
      </c>
      <c r="GH223" t="e">
        <f>AND('STERLING CATALOG - DRY '!I5014,"AAAAADuv270=")</f>
        <v>#VALUE!</v>
      </c>
      <c r="GI223" t="e">
        <f>AND('STERLING CATALOG - DRY '!J5014,"AAAAADuv274=")</f>
        <v>#VALUE!</v>
      </c>
      <c r="GJ223">
        <f>IF('STERLING CATALOG - DRY '!5015:5015,"AAAAADuv278=",0)</f>
        <v>0</v>
      </c>
      <c r="GK223" t="e">
        <f>AND('STERLING CATALOG - DRY '!A5015,"AAAAADuv28A=")</f>
        <v>#VALUE!</v>
      </c>
      <c r="GL223" t="e">
        <f>AND('STERLING CATALOG - DRY '!B5015,"AAAAADuv28E=")</f>
        <v>#VALUE!</v>
      </c>
      <c r="GM223" t="e">
        <f>AND('STERLING CATALOG - DRY '!C5015,"AAAAADuv28I=")</f>
        <v>#VALUE!</v>
      </c>
      <c r="GN223" t="e">
        <f>AND('STERLING CATALOG - DRY '!D5015,"AAAAADuv28M=")</f>
        <v>#VALUE!</v>
      </c>
      <c r="GO223" t="e">
        <f>AND('STERLING CATALOG - DRY '!E5015,"AAAAADuv28Q=")</f>
        <v>#VALUE!</v>
      </c>
      <c r="GP223" t="e">
        <f>AND('STERLING CATALOG - DRY '!F5015,"AAAAADuv28U=")</f>
        <v>#VALUE!</v>
      </c>
      <c r="GQ223" t="e">
        <f>AND('STERLING CATALOG - DRY '!G5015,"AAAAADuv28Y=")</f>
        <v>#VALUE!</v>
      </c>
      <c r="GR223" t="e">
        <f>AND('STERLING CATALOG - DRY '!H5015,"AAAAADuv28c=")</f>
        <v>#VALUE!</v>
      </c>
      <c r="GS223" t="e">
        <f>AND('STERLING CATALOG - DRY '!I5015,"AAAAADuv28g=")</f>
        <v>#VALUE!</v>
      </c>
      <c r="GT223" t="e">
        <f>AND('STERLING CATALOG - DRY '!J5015,"AAAAADuv28k=")</f>
        <v>#VALUE!</v>
      </c>
      <c r="GU223">
        <f>IF('STERLING CATALOG - DRY '!5016:5016,"AAAAADuv28o=",0)</f>
        <v>0</v>
      </c>
      <c r="GV223" t="e">
        <f>AND('STERLING CATALOG - DRY '!A5016,"AAAAADuv28s=")</f>
        <v>#VALUE!</v>
      </c>
      <c r="GW223" t="e">
        <f>AND('STERLING CATALOG - DRY '!B5016,"AAAAADuv28w=")</f>
        <v>#VALUE!</v>
      </c>
      <c r="GX223" t="e">
        <f>AND('STERLING CATALOG - DRY '!C5016,"AAAAADuv280=")</f>
        <v>#VALUE!</v>
      </c>
      <c r="GY223" t="e">
        <f>AND('STERLING CATALOG - DRY '!D5016,"AAAAADuv284=")</f>
        <v>#VALUE!</v>
      </c>
      <c r="GZ223" t="e">
        <f>AND('STERLING CATALOG - DRY '!E5016,"AAAAADuv288=")</f>
        <v>#VALUE!</v>
      </c>
      <c r="HA223" t="e">
        <f>AND('STERLING CATALOG - DRY '!F5016,"AAAAADuv29A=")</f>
        <v>#VALUE!</v>
      </c>
      <c r="HB223" t="e">
        <f>AND('STERLING CATALOG - DRY '!G5016,"AAAAADuv29E=")</f>
        <v>#VALUE!</v>
      </c>
      <c r="HC223" t="e">
        <f>AND('STERLING CATALOG - DRY '!H5016,"AAAAADuv29I=")</f>
        <v>#VALUE!</v>
      </c>
      <c r="HD223" t="e">
        <f>AND('STERLING CATALOG - DRY '!I5016,"AAAAADuv29M=")</f>
        <v>#VALUE!</v>
      </c>
      <c r="HE223" t="e">
        <f>AND('STERLING CATALOG - DRY '!J5016,"AAAAADuv29Q=")</f>
        <v>#VALUE!</v>
      </c>
      <c r="HF223">
        <f>IF('STERLING CATALOG - DRY '!5017:5017,"AAAAADuv29U=",0)</f>
        <v>0</v>
      </c>
      <c r="HG223" t="e">
        <f>AND('STERLING CATALOG - DRY '!A5017,"AAAAADuv29Y=")</f>
        <v>#VALUE!</v>
      </c>
      <c r="HH223" t="e">
        <f>AND('STERLING CATALOG - DRY '!B5017,"AAAAADuv29c=")</f>
        <v>#VALUE!</v>
      </c>
      <c r="HI223" t="e">
        <f>AND('STERLING CATALOG - DRY '!C5017,"AAAAADuv29g=")</f>
        <v>#VALUE!</v>
      </c>
      <c r="HJ223" t="e">
        <f>AND('STERLING CATALOG - DRY '!D5017,"AAAAADuv29k=")</f>
        <v>#VALUE!</v>
      </c>
      <c r="HK223" t="e">
        <f>AND('STERLING CATALOG - DRY '!E5017,"AAAAADuv29o=")</f>
        <v>#VALUE!</v>
      </c>
      <c r="HL223" t="e">
        <f>AND('STERLING CATALOG - DRY '!F5017,"AAAAADuv29s=")</f>
        <v>#VALUE!</v>
      </c>
      <c r="HM223" t="e">
        <f>AND('STERLING CATALOG - DRY '!G5017,"AAAAADuv29w=")</f>
        <v>#VALUE!</v>
      </c>
      <c r="HN223" t="e">
        <f>AND('STERLING CATALOG - DRY '!H5017,"AAAAADuv290=")</f>
        <v>#VALUE!</v>
      </c>
      <c r="HO223" t="e">
        <f>AND('STERLING CATALOG - DRY '!I5017,"AAAAADuv294=")</f>
        <v>#VALUE!</v>
      </c>
      <c r="HP223" t="e">
        <f>AND('STERLING CATALOG - DRY '!J5017,"AAAAADuv298=")</f>
        <v>#VALUE!</v>
      </c>
      <c r="HQ223">
        <f>IF('STERLING CATALOG - DRY '!5018:5018,"AAAAADuv2+A=",0)</f>
        <v>0</v>
      </c>
      <c r="HR223" t="e">
        <f>AND('STERLING CATALOG - DRY '!A5018,"AAAAADuv2+E=")</f>
        <v>#VALUE!</v>
      </c>
      <c r="HS223" t="e">
        <f>AND('STERLING CATALOG - DRY '!B5018,"AAAAADuv2+I=")</f>
        <v>#VALUE!</v>
      </c>
      <c r="HT223" t="e">
        <f>AND('STERLING CATALOG - DRY '!C5018,"AAAAADuv2+M=")</f>
        <v>#VALUE!</v>
      </c>
      <c r="HU223" t="e">
        <f>AND('STERLING CATALOG - DRY '!D5018,"AAAAADuv2+Q=")</f>
        <v>#VALUE!</v>
      </c>
      <c r="HV223" t="e">
        <f>AND('STERLING CATALOG - DRY '!E5018,"AAAAADuv2+U=")</f>
        <v>#VALUE!</v>
      </c>
      <c r="HW223" t="e">
        <f>AND('STERLING CATALOG - DRY '!F5018,"AAAAADuv2+Y=")</f>
        <v>#VALUE!</v>
      </c>
      <c r="HX223" t="e">
        <f>AND('STERLING CATALOG - DRY '!G5018,"AAAAADuv2+c=")</f>
        <v>#VALUE!</v>
      </c>
      <c r="HY223" t="e">
        <f>AND('STERLING CATALOG - DRY '!H5018,"AAAAADuv2+g=")</f>
        <v>#VALUE!</v>
      </c>
      <c r="HZ223" t="e">
        <f>AND('STERLING CATALOG - DRY '!I5018,"AAAAADuv2+k=")</f>
        <v>#VALUE!</v>
      </c>
      <c r="IA223" t="e">
        <f>AND('STERLING CATALOG - DRY '!J5018,"AAAAADuv2+o=")</f>
        <v>#VALUE!</v>
      </c>
      <c r="IB223">
        <f>IF('STERLING CATALOG - DRY '!5019:5019,"AAAAADuv2+s=",0)</f>
        <v>0</v>
      </c>
      <c r="IC223" t="e">
        <f>AND('STERLING CATALOG - DRY '!A5019,"AAAAADuv2+w=")</f>
        <v>#VALUE!</v>
      </c>
      <c r="ID223" t="e">
        <f>AND('STERLING CATALOG - DRY '!B5019,"AAAAADuv2+0=")</f>
        <v>#VALUE!</v>
      </c>
      <c r="IE223" t="e">
        <f>AND('STERLING CATALOG - DRY '!C5019,"AAAAADuv2+4=")</f>
        <v>#VALUE!</v>
      </c>
      <c r="IF223" t="e">
        <f>AND('STERLING CATALOG - DRY '!D5019,"AAAAADuv2+8=")</f>
        <v>#VALUE!</v>
      </c>
      <c r="IG223" t="e">
        <f>AND('STERLING CATALOG - DRY '!E5019,"AAAAADuv2/A=")</f>
        <v>#VALUE!</v>
      </c>
      <c r="IH223" t="e">
        <f>AND('STERLING CATALOG - DRY '!F5019,"AAAAADuv2/E=")</f>
        <v>#VALUE!</v>
      </c>
      <c r="II223" t="e">
        <f>AND('STERLING CATALOG - DRY '!G5019,"AAAAADuv2/I=")</f>
        <v>#VALUE!</v>
      </c>
      <c r="IJ223" t="e">
        <f>AND('STERLING CATALOG - DRY '!H5019,"AAAAADuv2/M=")</f>
        <v>#VALUE!</v>
      </c>
      <c r="IK223" t="e">
        <f>AND('STERLING CATALOG - DRY '!I5019,"AAAAADuv2/Q=")</f>
        <v>#VALUE!</v>
      </c>
      <c r="IL223" t="e">
        <f>AND('STERLING CATALOG - DRY '!J5019,"AAAAADuv2/U=")</f>
        <v>#VALUE!</v>
      </c>
      <c r="IM223">
        <f>IF('STERLING CATALOG - DRY '!5020:5020,"AAAAADuv2/Y=",0)</f>
        <v>0</v>
      </c>
      <c r="IN223" t="e">
        <f>AND('STERLING CATALOG - DRY '!A5020,"AAAAADuv2/c=")</f>
        <v>#VALUE!</v>
      </c>
      <c r="IO223" t="e">
        <f>AND('STERLING CATALOG - DRY '!B5020,"AAAAADuv2/g=")</f>
        <v>#VALUE!</v>
      </c>
      <c r="IP223" t="e">
        <f>AND('STERLING CATALOG - DRY '!C5020,"AAAAADuv2/k=")</f>
        <v>#VALUE!</v>
      </c>
      <c r="IQ223" t="e">
        <f>AND('STERLING CATALOG - DRY '!D5020,"AAAAADuv2/o=")</f>
        <v>#VALUE!</v>
      </c>
      <c r="IR223" t="e">
        <f>AND('STERLING CATALOG - DRY '!E5020,"AAAAADuv2/s=")</f>
        <v>#VALUE!</v>
      </c>
      <c r="IS223" t="e">
        <f>AND('STERLING CATALOG - DRY '!F5020,"AAAAADuv2/w=")</f>
        <v>#VALUE!</v>
      </c>
      <c r="IT223" t="e">
        <f>AND('STERLING CATALOG - DRY '!G5020,"AAAAADuv2/0=")</f>
        <v>#VALUE!</v>
      </c>
      <c r="IU223" t="e">
        <f>AND('STERLING CATALOG - DRY '!H5020,"AAAAADuv2/4=")</f>
        <v>#VALUE!</v>
      </c>
      <c r="IV223" t="e">
        <f>AND('STERLING CATALOG - DRY '!I5020,"AAAAADuv2/8=")</f>
        <v>#VALUE!</v>
      </c>
    </row>
    <row r="224" spans="1:256">
      <c r="A224" t="e">
        <f>AND('STERLING CATALOG - DRY '!J5020,"AAAAAF1e4QA=")</f>
        <v>#VALUE!</v>
      </c>
      <c r="B224" t="str">
        <f>IF('STERLING CATALOG - DRY '!5021:5021,"AAAAAF1e4QE=",0)</f>
        <v>AAAAAF1e4QE=</v>
      </c>
      <c r="C224" t="e">
        <f>AND('STERLING CATALOG - DRY '!A5021,"AAAAAF1e4QI=")</f>
        <v>#VALUE!</v>
      </c>
      <c r="D224" t="e">
        <f>AND('STERLING CATALOG - DRY '!B5021,"AAAAAF1e4QM=")</f>
        <v>#VALUE!</v>
      </c>
      <c r="E224" t="e">
        <f>AND('STERLING CATALOG - DRY '!C5021,"AAAAAF1e4QQ=")</f>
        <v>#VALUE!</v>
      </c>
      <c r="F224" t="e">
        <f>AND('STERLING CATALOG - DRY '!D5021,"AAAAAF1e4QU=")</f>
        <v>#VALUE!</v>
      </c>
      <c r="G224" t="e">
        <f>AND('STERLING CATALOG - DRY '!E5021,"AAAAAF1e4QY=")</f>
        <v>#VALUE!</v>
      </c>
      <c r="H224" t="e">
        <f>AND('STERLING CATALOG - DRY '!F5021,"AAAAAF1e4Qc=")</f>
        <v>#VALUE!</v>
      </c>
      <c r="I224" t="e">
        <f>AND('STERLING CATALOG - DRY '!G5021,"AAAAAF1e4Qg=")</f>
        <v>#VALUE!</v>
      </c>
      <c r="J224" t="e">
        <f>AND('STERLING CATALOG - DRY '!H5021,"AAAAAF1e4Qk=")</f>
        <v>#VALUE!</v>
      </c>
      <c r="K224" t="e">
        <f>AND('STERLING CATALOG - DRY '!I5021,"AAAAAF1e4Qo=")</f>
        <v>#VALUE!</v>
      </c>
      <c r="L224" t="e">
        <f>AND('STERLING CATALOG - DRY '!J5021,"AAAAAF1e4Qs=")</f>
        <v>#VALUE!</v>
      </c>
      <c r="M224">
        <f>IF('STERLING CATALOG - DRY '!5022:5022,"AAAAAF1e4Qw=",0)</f>
        <v>0</v>
      </c>
      <c r="N224" t="e">
        <f>AND('STERLING CATALOG - DRY '!A5022,"AAAAAF1e4Q0=")</f>
        <v>#VALUE!</v>
      </c>
      <c r="O224" t="e">
        <f>AND('STERLING CATALOG - DRY '!B5022,"AAAAAF1e4Q4=")</f>
        <v>#VALUE!</v>
      </c>
      <c r="P224" t="e">
        <f>AND('STERLING CATALOG - DRY '!C5022,"AAAAAF1e4Q8=")</f>
        <v>#VALUE!</v>
      </c>
      <c r="Q224" t="e">
        <f>AND('STERLING CATALOG - DRY '!D5022,"AAAAAF1e4RA=")</f>
        <v>#VALUE!</v>
      </c>
      <c r="R224" t="e">
        <f>AND('STERLING CATALOG - DRY '!E5022,"AAAAAF1e4RE=")</f>
        <v>#VALUE!</v>
      </c>
      <c r="S224" t="e">
        <f>AND('STERLING CATALOG - DRY '!F5022,"AAAAAF1e4RI=")</f>
        <v>#VALUE!</v>
      </c>
      <c r="T224" t="e">
        <f>AND('STERLING CATALOG - DRY '!G5022,"AAAAAF1e4RM=")</f>
        <v>#VALUE!</v>
      </c>
      <c r="U224" t="e">
        <f>AND('STERLING CATALOG - DRY '!H5022,"AAAAAF1e4RQ=")</f>
        <v>#VALUE!</v>
      </c>
      <c r="V224" t="e">
        <f>AND('STERLING CATALOG - DRY '!I5022,"AAAAAF1e4RU=")</f>
        <v>#VALUE!</v>
      </c>
      <c r="W224" t="e">
        <f>AND('STERLING CATALOG - DRY '!J5022,"AAAAAF1e4RY=")</f>
        <v>#VALUE!</v>
      </c>
      <c r="X224">
        <f>IF('STERLING CATALOG - DRY '!5023:5023,"AAAAAF1e4Rc=",0)</f>
        <v>0</v>
      </c>
      <c r="Y224" t="e">
        <f>AND('STERLING CATALOG - DRY '!A5023,"AAAAAF1e4Rg=")</f>
        <v>#VALUE!</v>
      </c>
      <c r="Z224" t="e">
        <f>AND('STERLING CATALOG - DRY '!B5023,"AAAAAF1e4Rk=")</f>
        <v>#VALUE!</v>
      </c>
      <c r="AA224" t="e">
        <f>AND('STERLING CATALOG - DRY '!C5023,"AAAAAF1e4Ro=")</f>
        <v>#VALUE!</v>
      </c>
      <c r="AB224" t="e">
        <f>AND('STERLING CATALOG - DRY '!D5023,"AAAAAF1e4Rs=")</f>
        <v>#VALUE!</v>
      </c>
      <c r="AC224" t="e">
        <f>AND('STERLING CATALOG - DRY '!E5023,"AAAAAF1e4Rw=")</f>
        <v>#VALUE!</v>
      </c>
      <c r="AD224" t="e">
        <f>AND('STERLING CATALOG - DRY '!F5023,"AAAAAF1e4R0=")</f>
        <v>#VALUE!</v>
      </c>
      <c r="AE224" t="e">
        <f>AND('STERLING CATALOG - DRY '!G5023,"AAAAAF1e4R4=")</f>
        <v>#VALUE!</v>
      </c>
      <c r="AF224" t="e">
        <f>AND('STERLING CATALOG - DRY '!H5023,"AAAAAF1e4R8=")</f>
        <v>#VALUE!</v>
      </c>
      <c r="AG224" t="e">
        <f>AND('STERLING CATALOG - DRY '!I5023,"AAAAAF1e4SA=")</f>
        <v>#VALUE!</v>
      </c>
      <c r="AH224" t="e">
        <f>AND('STERLING CATALOG - DRY '!J5023,"AAAAAF1e4SE=")</f>
        <v>#VALUE!</v>
      </c>
      <c r="AI224">
        <f>IF('STERLING CATALOG - DRY '!5024:5024,"AAAAAF1e4SI=",0)</f>
        <v>0</v>
      </c>
      <c r="AJ224" t="e">
        <f>AND('STERLING CATALOG - DRY '!A5024,"AAAAAF1e4SM=")</f>
        <v>#VALUE!</v>
      </c>
      <c r="AK224" t="e">
        <f>AND('STERLING CATALOG - DRY '!B5024,"AAAAAF1e4SQ=")</f>
        <v>#VALUE!</v>
      </c>
      <c r="AL224" t="e">
        <f>AND('STERLING CATALOG - DRY '!C5024,"AAAAAF1e4SU=")</f>
        <v>#VALUE!</v>
      </c>
      <c r="AM224" t="e">
        <f>AND('STERLING CATALOG - DRY '!D5024,"AAAAAF1e4SY=")</f>
        <v>#VALUE!</v>
      </c>
      <c r="AN224" t="e">
        <f>AND('STERLING CATALOG - DRY '!E5024,"AAAAAF1e4Sc=")</f>
        <v>#VALUE!</v>
      </c>
      <c r="AO224" t="e">
        <f>AND('STERLING CATALOG - DRY '!F5024,"AAAAAF1e4Sg=")</f>
        <v>#VALUE!</v>
      </c>
      <c r="AP224" t="e">
        <f>AND('STERLING CATALOG - DRY '!G5024,"AAAAAF1e4Sk=")</f>
        <v>#VALUE!</v>
      </c>
      <c r="AQ224" t="e">
        <f>AND('STERLING CATALOG - DRY '!H5024,"AAAAAF1e4So=")</f>
        <v>#VALUE!</v>
      </c>
      <c r="AR224" t="e">
        <f>AND('STERLING CATALOG - DRY '!I5024,"AAAAAF1e4Ss=")</f>
        <v>#VALUE!</v>
      </c>
      <c r="AS224" t="e">
        <f>AND('STERLING CATALOG - DRY '!J5024,"AAAAAF1e4Sw=")</f>
        <v>#VALUE!</v>
      </c>
      <c r="AT224">
        <f>IF('STERLING CATALOG - DRY '!5025:5025,"AAAAAF1e4S0=",0)</f>
        <v>0</v>
      </c>
      <c r="AU224" t="e">
        <f>AND('STERLING CATALOG - DRY '!A5025,"AAAAAF1e4S4=")</f>
        <v>#VALUE!</v>
      </c>
      <c r="AV224" t="e">
        <f>AND('STERLING CATALOG - DRY '!B5025,"AAAAAF1e4S8=")</f>
        <v>#VALUE!</v>
      </c>
      <c r="AW224" t="e">
        <f>AND('STERLING CATALOG - DRY '!C5025,"AAAAAF1e4TA=")</f>
        <v>#VALUE!</v>
      </c>
      <c r="AX224" t="e">
        <f>AND('STERLING CATALOG - DRY '!D5025,"AAAAAF1e4TE=")</f>
        <v>#VALUE!</v>
      </c>
      <c r="AY224" t="e">
        <f>AND('STERLING CATALOG - DRY '!E5025,"AAAAAF1e4TI=")</f>
        <v>#VALUE!</v>
      </c>
      <c r="AZ224" t="e">
        <f>AND('STERLING CATALOG - DRY '!F5025,"AAAAAF1e4TM=")</f>
        <v>#VALUE!</v>
      </c>
      <c r="BA224" t="e">
        <f>AND('STERLING CATALOG - DRY '!G5025,"AAAAAF1e4TQ=")</f>
        <v>#VALUE!</v>
      </c>
      <c r="BB224" t="e">
        <f>AND('STERLING CATALOG - DRY '!H5025,"AAAAAF1e4TU=")</f>
        <v>#VALUE!</v>
      </c>
      <c r="BC224" t="e">
        <f>AND('STERLING CATALOG - DRY '!I5025,"AAAAAF1e4TY=")</f>
        <v>#VALUE!</v>
      </c>
      <c r="BD224" t="e">
        <f>AND('STERLING CATALOG - DRY '!J5025,"AAAAAF1e4Tc=")</f>
        <v>#VALUE!</v>
      </c>
      <c r="BE224">
        <f>IF('STERLING CATALOG - DRY '!5026:5026,"AAAAAF1e4Tg=",0)</f>
        <v>0</v>
      </c>
      <c r="BF224" t="e">
        <f>AND('STERLING CATALOG - DRY '!A5026,"AAAAAF1e4Tk=")</f>
        <v>#VALUE!</v>
      </c>
      <c r="BG224" t="e">
        <f>AND('STERLING CATALOG - DRY '!B5026,"AAAAAF1e4To=")</f>
        <v>#VALUE!</v>
      </c>
      <c r="BH224" t="e">
        <f>AND('STERLING CATALOG - DRY '!C5026,"AAAAAF1e4Ts=")</f>
        <v>#VALUE!</v>
      </c>
      <c r="BI224" t="e">
        <f>AND('STERLING CATALOG - DRY '!D5026,"AAAAAF1e4Tw=")</f>
        <v>#VALUE!</v>
      </c>
      <c r="BJ224" t="e">
        <f>AND('STERLING CATALOG - DRY '!E5026,"AAAAAF1e4T0=")</f>
        <v>#VALUE!</v>
      </c>
      <c r="BK224" t="e">
        <f>AND('STERLING CATALOG - DRY '!F5026,"AAAAAF1e4T4=")</f>
        <v>#VALUE!</v>
      </c>
      <c r="BL224" t="e">
        <f>AND('STERLING CATALOG - DRY '!G5026,"AAAAAF1e4T8=")</f>
        <v>#VALUE!</v>
      </c>
      <c r="BM224" t="e">
        <f>AND('STERLING CATALOG - DRY '!H5026,"AAAAAF1e4UA=")</f>
        <v>#VALUE!</v>
      </c>
      <c r="BN224" t="e">
        <f>AND('STERLING CATALOG - DRY '!I5026,"AAAAAF1e4UE=")</f>
        <v>#VALUE!</v>
      </c>
      <c r="BO224" t="e">
        <f>AND('STERLING CATALOG - DRY '!J5026,"AAAAAF1e4UI=")</f>
        <v>#VALUE!</v>
      </c>
      <c r="BP224">
        <f>IF('STERLING CATALOG - DRY '!5027:5027,"AAAAAF1e4UM=",0)</f>
        <v>0</v>
      </c>
      <c r="BQ224" t="e">
        <f>AND('STERLING CATALOG - DRY '!A5027,"AAAAAF1e4UQ=")</f>
        <v>#VALUE!</v>
      </c>
      <c r="BR224" t="e">
        <f>AND('STERLING CATALOG - DRY '!B5027,"AAAAAF1e4UU=")</f>
        <v>#VALUE!</v>
      </c>
      <c r="BS224" t="e">
        <f>AND('STERLING CATALOG - DRY '!C5027,"AAAAAF1e4UY=")</f>
        <v>#VALUE!</v>
      </c>
      <c r="BT224" t="e">
        <f>AND('STERLING CATALOG - DRY '!D5027,"AAAAAF1e4Uc=")</f>
        <v>#VALUE!</v>
      </c>
      <c r="BU224" t="e">
        <f>AND('STERLING CATALOG - DRY '!E5027,"AAAAAF1e4Ug=")</f>
        <v>#VALUE!</v>
      </c>
      <c r="BV224" t="e">
        <f>AND('STERLING CATALOG - DRY '!F5027,"AAAAAF1e4Uk=")</f>
        <v>#VALUE!</v>
      </c>
      <c r="BW224" t="e">
        <f>AND('STERLING CATALOG - DRY '!G5027,"AAAAAF1e4Uo=")</f>
        <v>#VALUE!</v>
      </c>
      <c r="BX224" t="e">
        <f>AND('STERLING CATALOG - DRY '!H5027,"AAAAAF1e4Us=")</f>
        <v>#VALUE!</v>
      </c>
      <c r="BY224" t="e">
        <f>AND('STERLING CATALOG - DRY '!I5027,"AAAAAF1e4Uw=")</f>
        <v>#VALUE!</v>
      </c>
      <c r="BZ224" t="e">
        <f>AND('STERLING CATALOG - DRY '!J5027,"AAAAAF1e4U0=")</f>
        <v>#VALUE!</v>
      </c>
      <c r="CA224">
        <f>IF('STERLING CATALOG - DRY '!5028:5028,"AAAAAF1e4U4=",0)</f>
        <v>0</v>
      </c>
      <c r="CB224" t="e">
        <f>AND('STERLING CATALOG - DRY '!A5028,"AAAAAF1e4U8=")</f>
        <v>#VALUE!</v>
      </c>
      <c r="CC224" t="e">
        <f>AND('STERLING CATALOG - DRY '!B5028,"AAAAAF1e4VA=")</f>
        <v>#VALUE!</v>
      </c>
      <c r="CD224" t="e">
        <f>AND('STERLING CATALOG - DRY '!C5028,"AAAAAF1e4VE=")</f>
        <v>#VALUE!</v>
      </c>
      <c r="CE224" t="e">
        <f>AND('STERLING CATALOG - DRY '!D5028,"AAAAAF1e4VI=")</f>
        <v>#VALUE!</v>
      </c>
      <c r="CF224" t="e">
        <f>AND('STERLING CATALOG - DRY '!E5028,"AAAAAF1e4VM=")</f>
        <v>#VALUE!</v>
      </c>
      <c r="CG224" t="e">
        <f>AND('STERLING CATALOG - DRY '!F5028,"AAAAAF1e4VQ=")</f>
        <v>#VALUE!</v>
      </c>
      <c r="CH224" t="e">
        <f>AND('STERLING CATALOG - DRY '!G5028,"AAAAAF1e4VU=")</f>
        <v>#VALUE!</v>
      </c>
      <c r="CI224" t="e">
        <f>AND('STERLING CATALOG - DRY '!H5028,"AAAAAF1e4VY=")</f>
        <v>#VALUE!</v>
      </c>
      <c r="CJ224" t="e">
        <f>AND('STERLING CATALOG - DRY '!I5028,"AAAAAF1e4Vc=")</f>
        <v>#VALUE!</v>
      </c>
      <c r="CK224" t="e">
        <f>AND('STERLING CATALOG - DRY '!J5028,"AAAAAF1e4Vg=")</f>
        <v>#VALUE!</v>
      </c>
      <c r="CL224">
        <f>IF('STERLING CATALOG - DRY '!5029:5029,"AAAAAF1e4Vk=",0)</f>
        <v>0</v>
      </c>
      <c r="CM224" t="e">
        <f>AND('STERLING CATALOG - DRY '!A5029,"AAAAAF1e4Vo=")</f>
        <v>#VALUE!</v>
      </c>
      <c r="CN224" t="e">
        <f>AND('STERLING CATALOG - DRY '!B5029,"AAAAAF1e4Vs=")</f>
        <v>#VALUE!</v>
      </c>
      <c r="CO224" t="e">
        <f>AND('STERLING CATALOG - DRY '!C5029,"AAAAAF1e4Vw=")</f>
        <v>#VALUE!</v>
      </c>
      <c r="CP224" t="e">
        <f>AND('STERLING CATALOG - DRY '!D5029,"AAAAAF1e4V0=")</f>
        <v>#VALUE!</v>
      </c>
      <c r="CQ224" t="e">
        <f>AND('STERLING CATALOG - DRY '!E5029,"AAAAAF1e4V4=")</f>
        <v>#VALUE!</v>
      </c>
      <c r="CR224" t="e">
        <f>AND('STERLING CATALOG - DRY '!F5029,"AAAAAF1e4V8=")</f>
        <v>#VALUE!</v>
      </c>
      <c r="CS224" t="e">
        <f>AND('STERLING CATALOG - DRY '!G5029,"AAAAAF1e4WA=")</f>
        <v>#VALUE!</v>
      </c>
      <c r="CT224" t="e">
        <f>AND('STERLING CATALOG - DRY '!H5029,"AAAAAF1e4WE=")</f>
        <v>#VALUE!</v>
      </c>
      <c r="CU224" t="e">
        <f>AND('STERLING CATALOG - DRY '!I5029,"AAAAAF1e4WI=")</f>
        <v>#VALUE!</v>
      </c>
      <c r="CV224" t="e">
        <f>AND('STERLING CATALOG - DRY '!J5029,"AAAAAF1e4WM=")</f>
        <v>#VALUE!</v>
      </c>
      <c r="CW224">
        <f>IF('STERLING CATALOG - DRY '!5030:5030,"AAAAAF1e4WQ=",0)</f>
        <v>0</v>
      </c>
      <c r="CX224" t="e">
        <f>AND('STERLING CATALOG - DRY '!A5030,"AAAAAF1e4WU=")</f>
        <v>#VALUE!</v>
      </c>
      <c r="CY224" t="e">
        <f>AND('STERLING CATALOG - DRY '!B5030,"AAAAAF1e4WY=")</f>
        <v>#VALUE!</v>
      </c>
      <c r="CZ224" t="e">
        <f>AND('STERLING CATALOG - DRY '!C5030,"AAAAAF1e4Wc=")</f>
        <v>#VALUE!</v>
      </c>
      <c r="DA224" t="e">
        <f>AND('STERLING CATALOG - DRY '!D5030,"AAAAAF1e4Wg=")</f>
        <v>#VALUE!</v>
      </c>
      <c r="DB224" t="e">
        <f>AND('STERLING CATALOG - DRY '!E5030,"AAAAAF1e4Wk=")</f>
        <v>#VALUE!</v>
      </c>
      <c r="DC224" t="e">
        <f>AND('STERLING CATALOG - DRY '!F5030,"AAAAAF1e4Wo=")</f>
        <v>#VALUE!</v>
      </c>
      <c r="DD224" t="e">
        <f>AND('STERLING CATALOG - DRY '!G5030,"AAAAAF1e4Ws=")</f>
        <v>#VALUE!</v>
      </c>
      <c r="DE224" t="e">
        <f>AND('STERLING CATALOG - DRY '!H5030,"AAAAAF1e4Ww=")</f>
        <v>#VALUE!</v>
      </c>
      <c r="DF224" t="e">
        <f>AND('STERLING CATALOG - DRY '!I5030,"AAAAAF1e4W0=")</f>
        <v>#VALUE!</v>
      </c>
      <c r="DG224" t="e">
        <f>AND('STERLING CATALOG - DRY '!J5030,"AAAAAF1e4W4=")</f>
        <v>#VALUE!</v>
      </c>
      <c r="DH224">
        <f>IF('STERLING CATALOG - DRY '!5031:5031,"AAAAAF1e4W8=",0)</f>
        <v>0</v>
      </c>
      <c r="DI224" t="e">
        <f>AND('STERLING CATALOG - DRY '!A5031,"AAAAAF1e4XA=")</f>
        <v>#VALUE!</v>
      </c>
      <c r="DJ224" t="e">
        <f>AND('STERLING CATALOG - DRY '!B5031,"AAAAAF1e4XE=")</f>
        <v>#VALUE!</v>
      </c>
      <c r="DK224" t="e">
        <f>AND('STERLING CATALOG - DRY '!C5031,"AAAAAF1e4XI=")</f>
        <v>#VALUE!</v>
      </c>
      <c r="DL224" t="e">
        <f>AND('STERLING CATALOG - DRY '!D5031,"AAAAAF1e4XM=")</f>
        <v>#VALUE!</v>
      </c>
      <c r="DM224" t="e">
        <f>AND('STERLING CATALOG - DRY '!E5031,"AAAAAF1e4XQ=")</f>
        <v>#VALUE!</v>
      </c>
      <c r="DN224" t="e">
        <f>AND('STERLING CATALOG - DRY '!F5031,"AAAAAF1e4XU=")</f>
        <v>#VALUE!</v>
      </c>
      <c r="DO224" t="e">
        <f>AND('STERLING CATALOG - DRY '!G5031,"AAAAAF1e4XY=")</f>
        <v>#VALUE!</v>
      </c>
      <c r="DP224" t="e">
        <f>AND('STERLING CATALOG - DRY '!H5031,"AAAAAF1e4Xc=")</f>
        <v>#VALUE!</v>
      </c>
      <c r="DQ224" t="e">
        <f>AND('STERLING CATALOG - DRY '!I5031,"AAAAAF1e4Xg=")</f>
        <v>#VALUE!</v>
      </c>
      <c r="DR224" t="e">
        <f>AND('STERLING CATALOG - DRY '!J5031,"AAAAAF1e4Xk=")</f>
        <v>#VALUE!</v>
      </c>
      <c r="DS224">
        <f>IF('STERLING CATALOG - DRY '!5032:5032,"AAAAAF1e4Xo=",0)</f>
        <v>0</v>
      </c>
      <c r="DT224" t="e">
        <f>AND('STERLING CATALOG - DRY '!A5032,"AAAAAF1e4Xs=")</f>
        <v>#VALUE!</v>
      </c>
      <c r="DU224" t="e">
        <f>AND('STERLING CATALOG - DRY '!B5032,"AAAAAF1e4Xw=")</f>
        <v>#VALUE!</v>
      </c>
      <c r="DV224" t="e">
        <f>AND('STERLING CATALOG - DRY '!C5032,"AAAAAF1e4X0=")</f>
        <v>#VALUE!</v>
      </c>
      <c r="DW224" t="e">
        <f>AND('STERLING CATALOG - DRY '!D5032,"AAAAAF1e4X4=")</f>
        <v>#VALUE!</v>
      </c>
      <c r="DX224" t="e">
        <f>AND('STERLING CATALOG - DRY '!E5032,"AAAAAF1e4X8=")</f>
        <v>#VALUE!</v>
      </c>
      <c r="DY224" t="e">
        <f>AND('STERLING CATALOG - DRY '!F5032,"AAAAAF1e4YA=")</f>
        <v>#VALUE!</v>
      </c>
      <c r="DZ224" t="e">
        <f>AND('STERLING CATALOG - DRY '!G5032,"AAAAAF1e4YE=")</f>
        <v>#VALUE!</v>
      </c>
      <c r="EA224" t="e">
        <f>AND('STERLING CATALOG - DRY '!H5032,"AAAAAF1e4YI=")</f>
        <v>#VALUE!</v>
      </c>
      <c r="EB224" t="e">
        <f>AND('STERLING CATALOG - DRY '!I5032,"AAAAAF1e4YM=")</f>
        <v>#VALUE!</v>
      </c>
      <c r="EC224" t="e">
        <f>AND('STERLING CATALOG - DRY '!J5032,"AAAAAF1e4YQ=")</f>
        <v>#VALUE!</v>
      </c>
      <c r="ED224">
        <f>IF('STERLING CATALOG - DRY '!5033:5033,"AAAAAF1e4YU=",0)</f>
        <v>0</v>
      </c>
      <c r="EE224" t="e">
        <f>AND('STERLING CATALOG - DRY '!A5033,"AAAAAF1e4YY=")</f>
        <v>#VALUE!</v>
      </c>
      <c r="EF224" t="e">
        <f>AND('STERLING CATALOG - DRY '!B5033,"AAAAAF1e4Yc=")</f>
        <v>#VALUE!</v>
      </c>
      <c r="EG224" t="e">
        <f>AND('STERLING CATALOG - DRY '!C5033,"AAAAAF1e4Yg=")</f>
        <v>#VALUE!</v>
      </c>
      <c r="EH224" t="e">
        <f>AND('STERLING CATALOG - DRY '!D5033,"AAAAAF1e4Yk=")</f>
        <v>#VALUE!</v>
      </c>
      <c r="EI224" t="e">
        <f>AND('STERLING CATALOG - DRY '!E5033,"AAAAAF1e4Yo=")</f>
        <v>#VALUE!</v>
      </c>
      <c r="EJ224" t="e">
        <f>AND('STERLING CATALOG - DRY '!F5033,"AAAAAF1e4Ys=")</f>
        <v>#VALUE!</v>
      </c>
      <c r="EK224" t="e">
        <f>AND('STERLING CATALOG - DRY '!G5033,"AAAAAF1e4Yw=")</f>
        <v>#VALUE!</v>
      </c>
      <c r="EL224" t="e">
        <f>AND('STERLING CATALOG - DRY '!H5033,"AAAAAF1e4Y0=")</f>
        <v>#VALUE!</v>
      </c>
      <c r="EM224" t="e">
        <f>AND('STERLING CATALOG - DRY '!I5033,"AAAAAF1e4Y4=")</f>
        <v>#VALUE!</v>
      </c>
      <c r="EN224" t="e">
        <f>AND('STERLING CATALOG - DRY '!J5033,"AAAAAF1e4Y8=")</f>
        <v>#VALUE!</v>
      </c>
      <c r="EO224">
        <f>IF('STERLING CATALOG - DRY '!5034:5034,"AAAAAF1e4ZA=",0)</f>
        <v>0</v>
      </c>
      <c r="EP224" t="e">
        <f>AND('STERLING CATALOG - DRY '!A5034,"AAAAAF1e4ZE=")</f>
        <v>#VALUE!</v>
      </c>
      <c r="EQ224" t="e">
        <f>AND('STERLING CATALOG - DRY '!B5034,"AAAAAF1e4ZI=")</f>
        <v>#VALUE!</v>
      </c>
      <c r="ER224" t="e">
        <f>AND('STERLING CATALOG - DRY '!C5034,"AAAAAF1e4ZM=")</f>
        <v>#VALUE!</v>
      </c>
      <c r="ES224" t="e">
        <f>AND('STERLING CATALOG - DRY '!D5034,"AAAAAF1e4ZQ=")</f>
        <v>#VALUE!</v>
      </c>
      <c r="ET224" t="e">
        <f>AND('STERLING CATALOG - DRY '!E5034,"AAAAAF1e4ZU=")</f>
        <v>#VALUE!</v>
      </c>
      <c r="EU224" t="e">
        <f>AND('STERLING CATALOG - DRY '!F5034,"AAAAAF1e4ZY=")</f>
        <v>#VALUE!</v>
      </c>
      <c r="EV224" t="e">
        <f>AND('STERLING CATALOG - DRY '!G5034,"AAAAAF1e4Zc=")</f>
        <v>#VALUE!</v>
      </c>
      <c r="EW224" t="e">
        <f>AND('STERLING CATALOG - DRY '!H5034,"AAAAAF1e4Zg=")</f>
        <v>#VALUE!</v>
      </c>
      <c r="EX224" t="e">
        <f>AND('STERLING CATALOG - DRY '!I5034,"AAAAAF1e4Zk=")</f>
        <v>#VALUE!</v>
      </c>
      <c r="EY224" t="e">
        <f>AND('STERLING CATALOG - DRY '!J5034,"AAAAAF1e4Zo=")</f>
        <v>#VALUE!</v>
      </c>
      <c r="EZ224">
        <f>IF('STERLING CATALOG - DRY '!5035:5035,"AAAAAF1e4Zs=",0)</f>
        <v>0</v>
      </c>
      <c r="FA224" t="e">
        <f>AND('STERLING CATALOG - DRY '!A5035,"AAAAAF1e4Zw=")</f>
        <v>#VALUE!</v>
      </c>
      <c r="FB224" t="e">
        <f>AND('STERLING CATALOG - DRY '!B5035,"AAAAAF1e4Z0=")</f>
        <v>#VALUE!</v>
      </c>
      <c r="FC224" t="e">
        <f>AND('STERLING CATALOG - DRY '!C5035,"AAAAAF1e4Z4=")</f>
        <v>#VALUE!</v>
      </c>
      <c r="FD224" t="e">
        <f>AND('STERLING CATALOG - DRY '!D5035,"AAAAAF1e4Z8=")</f>
        <v>#VALUE!</v>
      </c>
      <c r="FE224" t="e">
        <f>AND('STERLING CATALOG - DRY '!E5035,"AAAAAF1e4aA=")</f>
        <v>#VALUE!</v>
      </c>
      <c r="FF224" t="e">
        <f>AND('STERLING CATALOG - DRY '!F5035,"AAAAAF1e4aE=")</f>
        <v>#VALUE!</v>
      </c>
      <c r="FG224" t="e">
        <f>AND('STERLING CATALOG - DRY '!G5035,"AAAAAF1e4aI=")</f>
        <v>#VALUE!</v>
      </c>
      <c r="FH224" t="e">
        <f>AND('STERLING CATALOG - DRY '!H5035,"AAAAAF1e4aM=")</f>
        <v>#VALUE!</v>
      </c>
      <c r="FI224" t="e">
        <f>AND('STERLING CATALOG - DRY '!I5035,"AAAAAF1e4aQ=")</f>
        <v>#VALUE!</v>
      </c>
      <c r="FJ224" t="e">
        <f>AND('STERLING CATALOG - DRY '!J5035,"AAAAAF1e4aU=")</f>
        <v>#VALUE!</v>
      </c>
      <c r="FK224">
        <f>IF('STERLING CATALOG - DRY '!5036:5036,"AAAAAF1e4aY=",0)</f>
        <v>0</v>
      </c>
      <c r="FL224" t="e">
        <f>AND('STERLING CATALOG - DRY '!A5036,"AAAAAF1e4ac=")</f>
        <v>#VALUE!</v>
      </c>
      <c r="FM224" t="e">
        <f>AND('STERLING CATALOG - DRY '!B5036,"AAAAAF1e4ag=")</f>
        <v>#VALUE!</v>
      </c>
      <c r="FN224" t="e">
        <f>AND('STERLING CATALOG - DRY '!C5036,"AAAAAF1e4ak=")</f>
        <v>#VALUE!</v>
      </c>
      <c r="FO224" t="e">
        <f>AND('STERLING CATALOG - DRY '!D5036,"AAAAAF1e4ao=")</f>
        <v>#VALUE!</v>
      </c>
      <c r="FP224" t="e">
        <f>AND('STERLING CATALOG - DRY '!E5036,"AAAAAF1e4as=")</f>
        <v>#VALUE!</v>
      </c>
      <c r="FQ224" t="e">
        <f>AND('STERLING CATALOG - DRY '!F5036,"AAAAAF1e4aw=")</f>
        <v>#VALUE!</v>
      </c>
      <c r="FR224" t="e">
        <f>AND('STERLING CATALOG - DRY '!G5036,"AAAAAF1e4a0=")</f>
        <v>#VALUE!</v>
      </c>
      <c r="FS224" t="e">
        <f>AND('STERLING CATALOG - DRY '!H5036,"AAAAAF1e4a4=")</f>
        <v>#VALUE!</v>
      </c>
      <c r="FT224" t="e">
        <f>AND('STERLING CATALOG - DRY '!I5036,"AAAAAF1e4a8=")</f>
        <v>#VALUE!</v>
      </c>
      <c r="FU224" t="e">
        <f>AND('STERLING CATALOG - DRY '!J5036,"AAAAAF1e4bA=")</f>
        <v>#VALUE!</v>
      </c>
      <c r="FV224">
        <f>IF('STERLING CATALOG - DRY '!5037:5037,"AAAAAF1e4bE=",0)</f>
        <v>0</v>
      </c>
      <c r="FW224" t="e">
        <f>AND('STERLING CATALOG - DRY '!A5037,"AAAAAF1e4bI=")</f>
        <v>#VALUE!</v>
      </c>
      <c r="FX224" t="e">
        <f>AND('STERLING CATALOG - DRY '!B5037,"AAAAAF1e4bM=")</f>
        <v>#VALUE!</v>
      </c>
      <c r="FY224" t="e">
        <f>AND('STERLING CATALOG - DRY '!C5037,"AAAAAF1e4bQ=")</f>
        <v>#VALUE!</v>
      </c>
      <c r="FZ224" t="e">
        <f>AND('STERLING CATALOG - DRY '!D5037,"AAAAAF1e4bU=")</f>
        <v>#VALUE!</v>
      </c>
      <c r="GA224" t="e">
        <f>AND('STERLING CATALOG - DRY '!E5037,"AAAAAF1e4bY=")</f>
        <v>#VALUE!</v>
      </c>
      <c r="GB224" t="e">
        <f>AND('STERLING CATALOG - DRY '!F5037,"AAAAAF1e4bc=")</f>
        <v>#VALUE!</v>
      </c>
      <c r="GC224" t="e">
        <f>AND('STERLING CATALOG - DRY '!G5037,"AAAAAF1e4bg=")</f>
        <v>#VALUE!</v>
      </c>
      <c r="GD224" t="e">
        <f>AND('STERLING CATALOG - DRY '!H5037,"AAAAAF1e4bk=")</f>
        <v>#VALUE!</v>
      </c>
      <c r="GE224" t="e">
        <f>AND('STERLING CATALOG - DRY '!I5037,"AAAAAF1e4bo=")</f>
        <v>#VALUE!</v>
      </c>
      <c r="GF224" t="e">
        <f>AND('STERLING CATALOG - DRY '!J5037,"AAAAAF1e4bs=")</f>
        <v>#VALUE!</v>
      </c>
      <c r="GG224">
        <f>IF('STERLING CATALOG - DRY '!5038:5038,"AAAAAF1e4bw=",0)</f>
        <v>0</v>
      </c>
      <c r="GH224" t="e">
        <f>AND('STERLING CATALOG - DRY '!A5038,"AAAAAF1e4b0=")</f>
        <v>#VALUE!</v>
      </c>
      <c r="GI224" t="e">
        <f>AND('STERLING CATALOG - DRY '!B5038,"AAAAAF1e4b4=")</f>
        <v>#VALUE!</v>
      </c>
      <c r="GJ224" t="e">
        <f>AND('STERLING CATALOG - DRY '!C5038,"AAAAAF1e4b8=")</f>
        <v>#VALUE!</v>
      </c>
      <c r="GK224" t="e">
        <f>AND('STERLING CATALOG - DRY '!D5038,"AAAAAF1e4cA=")</f>
        <v>#VALUE!</v>
      </c>
      <c r="GL224" t="e">
        <f>AND('STERLING CATALOG - DRY '!E5038,"AAAAAF1e4cE=")</f>
        <v>#VALUE!</v>
      </c>
      <c r="GM224" t="e">
        <f>AND('STERLING CATALOG - DRY '!F5038,"AAAAAF1e4cI=")</f>
        <v>#VALUE!</v>
      </c>
      <c r="GN224" t="e">
        <f>AND('STERLING CATALOG - DRY '!G5038,"AAAAAF1e4cM=")</f>
        <v>#VALUE!</v>
      </c>
      <c r="GO224" t="e">
        <f>AND('STERLING CATALOG - DRY '!H5038,"AAAAAF1e4cQ=")</f>
        <v>#VALUE!</v>
      </c>
      <c r="GP224" t="e">
        <f>AND('STERLING CATALOG - DRY '!I5038,"AAAAAF1e4cU=")</f>
        <v>#VALUE!</v>
      </c>
      <c r="GQ224" t="e">
        <f>AND('STERLING CATALOG - DRY '!J5038,"AAAAAF1e4cY=")</f>
        <v>#VALUE!</v>
      </c>
      <c r="GR224">
        <f>IF('STERLING CATALOG - DRY '!5039:5039,"AAAAAF1e4cc=",0)</f>
        <v>0</v>
      </c>
      <c r="GS224" t="e">
        <f>AND('STERLING CATALOG - DRY '!A5039,"AAAAAF1e4cg=")</f>
        <v>#VALUE!</v>
      </c>
      <c r="GT224" t="e">
        <f>AND('STERLING CATALOG - DRY '!B5039,"AAAAAF1e4ck=")</f>
        <v>#VALUE!</v>
      </c>
      <c r="GU224" t="e">
        <f>AND('STERLING CATALOG - DRY '!C5039,"AAAAAF1e4co=")</f>
        <v>#VALUE!</v>
      </c>
      <c r="GV224" t="e">
        <f>AND('STERLING CATALOG - DRY '!D5039,"AAAAAF1e4cs=")</f>
        <v>#VALUE!</v>
      </c>
      <c r="GW224" t="e">
        <f>AND('STERLING CATALOG - DRY '!E5039,"AAAAAF1e4cw=")</f>
        <v>#VALUE!</v>
      </c>
      <c r="GX224" t="e">
        <f>AND('STERLING CATALOG - DRY '!F5039,"AAAAAF1e4c0=")</f>
        <v>#VALUE!</v>
      </c>
      <c r="GY224" t="e">
        <f>AND('STERLING CATALOG - DRY '!G5039,"AAAAAF1e4c4=")</f>
        <v>#VALUE!</v>
      </c>
      <c r="GZ224" t="e">
        <f>AND('STERLING CATALOG - DRY '!H5039,"AAAAAF1e4c8=")</f>
        <v>#VALUE!</v>
      </c>
      <c r="HA224" t="e">
        <f>AND('STERLING CATALOG - DRY '!I5039,"AAAAAF1e4dA=")</f>
        <v>#VALUE!</v>
      </c>
      <c r="HB224" t="e">
        <f>AND('STERLING CATALOG - DRY '!J5039,"AAAAAF1e4dE=")</f>
        <v>#VALUE!</v>
      </c>
      <c r="HC224">
        <f>IF('STERLING CATALOG - DRY '!5040:5040,"AAAAAF1e4dI=",0)</f>
        <v>0</v>
      </c>
      <c r="HD224" t="e">
        <f>AND('STERLING CATALOG - DRY '!A5040,"AAAAAF1e4dM=")</f>
        <v>#VALUE!</v>
      </c>
      <c r="HE224" t="e">
        <f>AND('STERLING CATALOG - DRY '!B5040,"AAAAAF1e4dQ=")</f>
        <v>#VALUE!</v>
      </c>
      <c r="HF224" t="e">
        <f>AND('STERLING CATALOG - DRY '!C5040,"AAAAAF1e4dU=")</f>
        <v>#VALUE!</v>
      </c>
      <c r="HG224" t="e">
        <f>AND('STERLING CATALOG - DRY '!D5040,"AAAAAF1e4dY=")</f>
        <v>#VALUE!</v>
      </c>
      <c r="HH224" t="e">
        <f>AND('STERLING CATALOG - DRY '!E5040,"AAAAAF1e4dc=")</f>
        <v>#VALUE!</v>
      </c>
      <c r="HI224" t="e">
        <f>AND('STERLING CATALOG - DRY '!F5040,"AAAAAF1e4dg=")</f>
        <v>#VALUE!</v>
      </c>
      <c r="HJ224" t="e">
        <f>AND('STERLING CATALOG - DRY '!G5040,"AAAAAF1e4dk=")</f>
        <v>#VALUE!</v>
      </c>
      <c r="HK224" t="e">
        <f>AND('STERLING CATALOG - DRY '!H5040,"AAAAAF1e4do=")</f>
        <v>#VALUE!</v>
      </c>
      <c r="HL224" t="e">
        <f>AND('STERLING CATALOG - DRY '!I5040,"AAAAAF1e4ds=")</f>
        <v>#VALUE!</v>
      </c>
      <c r="HM224" t="e">
        <f>AND('STERLING CATALOG - DRY '!J5040,"AAAAAF1e4dw=")</f>
        <v>#VALUE!</v>
      </c>
      <c r="HN224">
        <f>IF('STERLING CATALOG - DRY '!5041:5041,"AAAAAF1e4d0=",0)</f>
        <v>0</v>
      </c>
      <c r="HO224" t="e">
        <f>AND('STERLING CATALOG - DRY '!A5041,"AAAAAF1e4d4=")</f>
        <v>#VALUE!</v>
      </c>
      <c r="HP224" t="e">
        <f>AND('STERLING CATALOG - DRY '!B5041,"AAAAAF1e4d8=")</f>
        <v>#VALUE!</v>
      </c>
      <c r="HQ224" t="e">
        <f>AND('STERLING CATALOG - DRY '!C5041,"AAAAAF1e4eA=")</f>
        <v>#VALUE!</v>
      </c>
      <c r="HR224" t="e">
        <f>AND('STERLING CATALOG - DRY '!D5041,"AAAAAF1e4eE=")</f>
        <v>#VALUE!</v>
      </c>
      <c r="HS224" t="e">
        <f>AND('STERLING CATALOG - DRY '!E5041,"AAAAAF1e4eI=")</f>
        <v>#VALUE!</v>
      </c>
      <c r="HT224" t="e">
        <f>AND('STERLING CATALOG - DRY '!F5041,"AAAAAF1e4eM=")</f>
        <v>#VALUE!</v>
      </c>
      <c r="HU224" t="e">
        <f>AND('STERLING CATALOG - DRY '!G5041,"AAAAAF1e4eQ=")</f>
        <v>#VALUE!</v>
      </c>
      <c r="HV224" t="e">
        <f>AND('STERLING CATALOG - DRY '!H5041,"AAAAAF1e4eU=")</f>
        <v>#VALUE!</v>
      </c>
      <c r="HW224" t="e">
        <f>AND('STERLING CATALOG - DRY '!I5041,"AAAAAF1e4eY=")</f>
        <v>#VALUE!</v>
      </c>
      <c r="HX224" t="e">
        <f>AND('STERLING CATALOG - DRY '!J5041,"AAAAAF1e4ec=")</f>
        <v>#VALUE!</v>
      </c>
      <c r="HY224">
        <f>IF('STERLING CATALOG - DRY '!5042:5042,"AAAAAF1e4eg=",0)</f>
        <v>0</v>
      </c>
      <c r="HZ224" t="e">
        <f>AND('STERLING CATALOG - DRY '!A5042,"AAAAAF1e4ek=")</f>
        <v>#VALUE!</v>
      </c>
      <c r="IA224" t="e">
        <f>AND('STERLING CATALOG - DRY '!B5042,"AAAAAF1e4eo=")</f>
        <v>#VALUE!</v>
      </c>
      <c r="IB224" t="e">
        <f>AND('STERLING CATALOG - DRY '!C5042,"AAAAAF1e4es=")</f>
        <v>#VALUE!</v>
      </c>
      <c r="IC224" t="e">
        <f>AND('STERLING CATALOG - DRY '!D5042,"AAAAAF1e4ew=")</f>
        <v>#VALUE!</v>
      </c>
      <c r="ID224" t="e">
        <f>AND('STERLING CATALOG - DRY '!E5042,"AAAAAF1e4e0=")</f>
        <v>#VALUE!</v>
      </c>
      <c r="IE224" t="e">
        <f>AND('STERLING CATALOG - DRY '!F5042,"AAAAAF1e4e4=")</f>
        <v>#VALUE!</v>
      </c>
      <c r="IF224" t="e">
        <f>AND('STERLING CATALOG - DRY '!G5042,"AAAAAF1e4e8=")</f>
        <v>#VALUE!</v>
      </c>
      <c r="IG224" t="e">
        <f>AND('STERLING CATALOG - DRY '!H5042,"AAAAAF1e4fA=")</f>
        <v>#VALUE!</v>
      </c>
      <c r="IH224" t="e">
        <f>AND('STERLING CATALOG - DRY '!I5042,"AAAAAF1e4fE=")</f>
        <v>#VALUE!</v>
      </c>
      <c r="II224" t="e">
        <f>AND('STERLING CATALOG - DRY '!J5042,"AAAAAF1e4fI=")</f>
        <v>#VALUE!</v>
      </c>
      <c r="IJ224">
        <f>IF('STERLING CATALOG - DRY '!5043:5043,"AAAAAF1e4fM=",0)</f>
        <v>0</v>
      </c>
      <c r="IK224" t="e">
        <f>AND('STERLING CATALOG - DRY '!A5043,"AAAAAF1e4fQ=")</f>
        <v>#VALUE!</v>
      </c>
      <c r="IL224" t="e">
        <f>AND('STERLING CATALOG - DRY '!B5043,"AAAAAF1e4fU=")</f>
        <v>#VALUE!</v>
      </c>
      <c r="IM224" t="e">
        <f>AND('STERLING CATALOG - DRY '!C5043,"AAAAAF1e4fY=")</f>
        <v>#VALUE!</v>
      </c>
      <c r="IN224" t="e">
        <f>AND('STERLING CATALOG - DRY '!D5043,"AAAAAF1e4fc=")</f>
        <v>#VALUE!</v>
      </c>
      <c r="IO224" t="e">
        <f>AND('STERLING CATALOG - DRY '!E5043,"AAAAAF1e4fg=")</f>
        <v>#VALUE!</v>
      </c>
      <c r="IP224" t="e">
        <f>AND('STERLING CATALOG - DRY '!F5043,"AAAAAF1e4fk=")</f>
        <v>#VALUE!</v>
      </c>
      <c r="IQ224" t="e">
        <f>AND('STERLING CATALOG - DRY '!G5043,"AAAAAF1e4fo=")</f>
        <v>#VALUE!</v>
      </c>
      <c r="IR224" t="e">
        <f>AND('STERLING CATALOG - DRY '!H5043,"AAAAAF1e4fs=")</f>
        <v>#VALUE!</v>
      </c>
      <c r="IS224" t="e">
        <f>AND('STERLING CATALOG - DRY '!I5043,"AAAAAF1e4fw=")</f>
        <v>#VALUE!</v>
      </c>
      <c r="IT224" t="e">
        <f>AND('STERLING CATALOG - DRY '!J5043,"AAAAAF1e4f0=")</f>
        <v>#VALUE!</v>
      </c>
      <c r="IU224">
        <f>IF('STERLING CATALOG - DRY '!5044:5044,"AAAAAF1e4f4=",0)</f>
        <v>0</v>
      </c>
      <c r="IV224" t="e">
        <f>AND('STERLING CATALOG - DRY '!A5044,"AAAAAF1e4f8=")</f>
        <v>#VALUE!</v>
      </c>
    </row>
    <row r="225" spans="1:256">
      <c r="A225" t="e">
        <f>AND('STERLING CATALOG - DRY '!B5044,"AAAAAF9f/gA=")</f>
        <v>#VALUE!</v>
      </c>
      <c r="B225" t="e">
        <f>AND('STERLING CATALOG - DRY '!C5044,"AAAAAF9f/gE=")</f>
        <v>#VALUE!</v>
      </c>
      <c r="C225" t="e">
        <f>AND('STERLING CATALOG - DRY '!D5044,"AAAAAF9f/gI=")</f>
        <v>#VALUE!</v>
      </c>
      <c r="D225" t="e">
        <f>AND('STERLING CATALOG - DRY '!E5044,"AAAAAF9f/gM=")</f>
        <v>#VALUE!</v>
      </c>
      <c r="E225" t="e">
        <f>AND('STERLING CATALOG - DRY '!F5044,"AAAAAF9f/gQ=")</f>
        <v>#VALUE!</v>
      </c>
      <c r="F225" t="e">
        <f>AND('STERLING CATALOG - DRY '!G5044,"AAAAAF9f/gU=")</f>
        <v>#VALUE!</v>
      </c>
      <c r="G225" t="e">
        <f>AND('STERLING CATALOG - DRY '!H5044,"AAAAAF9f/gY=")</f>
        <v>#VALUE!</v>
      </c>
      <c r="H225" t="e">
        <f>AND('STERLING CATALOG - DRY '!I5044,"AAAAAF9f/gc=")</f>
        <v>#VALUE!</v>
      </c>
      <c r="I225" t="e">
        <f>AND('STERLING CATALOG - DRY '!J5044,"AAAAAF9f/gg=")</f>
        <v>#VALUE!</v>
      </c>
      <c r="J225" t="e">
        <f>IF('STERLING CATALOG - DRY '!5045:5045,"AAAAAF9f/gk=",0)</f>
        <v>#VALUE!</v>
      </c>
      <c r="K225" t="e">
        <f>AND('STERLING CATALOG - DRY '!A5045,"AAAAAF9f/go=")</f>
        <v>#VALUE!</v>
      </c>
      <c r="L225" t="e">
        <f>AND('STERLING CATALOG - DRY '!B5045,"AAAAAF9f/gs=")</f>
        <v>#VALUE!</v>
      </c>
      <c r="M225" t="e">
        <f>AND('STERLING CATALOG - DRY '!C5045,"AAAAAF9f/gw=")</f>
        <v>#VALUE!</v>
      </c>
      <c r="N225" t="e">
        <f>AND('STERLING CATALOG - DRY '!D5045,"AAAAAF9f/g0=")</f>
        <v>#VALUE!</v>
      </c>
      <c r="O225" t="e">
        <f>AND('STERLING CATALOG - DRY '!E5045,"AAAAAF9f/g4=")</f>
        <v>#VALUE!</v>
      </c>
      <c r="P225" t="e">
        <f>AND('STERLING CATALOG - DRY '!F5045,"AAAAAF9f/g8=")</f>
        <v>#VALUE!</v>
      </c>
      <c r="Q225" t="e">
        <f>AND('STERLING CATALOG - DRY '!G5045,"AAAAAF9f/hA=")</f>
        <v>#VALUE!</v>
      </c>
      <c r="R225" t="e">
        <f>AND('STERLING CATALOG - DRY '!H5045,"AAAAAF9f/hE=")</f>
        <v>#VALUE!</v>
      </c>
      <c r="S225" t="e">
        <f>AND('STERLING CATALOG - DRY '!I5045,"AAAAAF9f/hI=")</f>
        <v>#VALUE!</v>
      </c>
      <c r="T225" t="e">
        <f>AND('STERLING CATALOG - DRY '!J5045,"AAAAAF9f/hM=")</f>
        <v>#VALUE!</v>
      </c>
      <c r="U225">
        <f>IF('STERLING CATALOG - DRY '!5046:5046,"AAAAAF9f/hQ=",0)</f>
        <v>0</v>
      </c>
      <c r="V225" t="e">
        <f>AND('STERLING CATALOG - DRY '!A5046,"AAAAAF9f/hU=")</f>
        <v>#VALUE!</v>
      </c>
      <c r="W225" t="e">
        <f>AND('STERLING CATALOG - DRY '!B5046,"AAAAAF9f/hY=")</f>
        <v>#VALUE!</v>
      </c>
      <c r="X225" t="e">
        <f>AND('STERLING CATALOG - DRY '!C5046,"AAAAAF9f/hc=")</f>
        <v>#VALUE!</v>
      </c>
      <c r="Y225" t="e">
        <f>AND('STERLING CATALOG - DRY '!D5046,"AAAAAF9f/hg=")</f>
        <v>#VALUE!</v>
      </c>
      <c r="Z225" t="e">
        <f>AND('STERLING CATALOG - DRY '!E5046,"AAAAAF9f/hk=")</f>
        <v>#VALUE!</v>
      </c>
      <c r="AA225" t="e">
        <f>AND('STERLING CATALOG - DRY '!F5046,"AAAAAF9f/ho=")</f>
        <v>#VALUE!</v>
      </c>
      <c r="AB225" t="e">
        <f>AND('STERLING CATALOG - DRY '!G5046,"AAAAAF9f/hs=")</f>
        <v>#VALUE!</v>
      </c>
      <c r="AC225" t="e">
        <f>AND('STERLING CATALOG - DRY '!H5046,"AAAAAF9f/hw=")</f>
        <v>#VALUE!</v>
      </c>
      <c r="AD225" t="e">
        <f>AND('STERLING CATALOG - DRY '!I5046,"AAAAAF9f/h0=")</f>
        <v>#VALUE!</v>
      </c>
      <c r="AE225" t="e">
        <f>AND('STERLING CATALOG - DRY '!J5046,"AAAAAF9f/h4=")</f>
        <v>#VALUE!</v>
      </c>
      <c r="AF225">
        <f>IF('STERLING CATALOG - DRY '!5047:5047,"AAAAAF9f/h8=",0)</f>
        <v>0</v>
      </c>
      <c r="AG225" t="e">
        <f>AND('STERLING CATALOG - DRY '!A5047,"AAAAAF9f/iA=")</f>
        <v>#VALUE!</v>
      </c>
      <c r="AH225" t="e">
        <f>AND('STERLING CATALOG - DRY '!B5047,"AAAAAF9f/iE=")</f>
        <v>#VALUE!</v>
      </c>
      <c r="AI225" t="e">
        <f>AND('STERLING CATALOG - DRY '!C5047,"AAAAAF9f/iI=")</f>
        <v>#VALUE!</v>
      </c>
      <c r="AJ225" t="e">
        <f>AND('STERLING CATALOG - DRY '!D5047,"AAAAAF9f/iM=")</f>
        <v>#VALUE!</v>
      </c>
      <c r="AK225" t="e">
        <f>AND('STERLING CATALOG - DRY '!E5047,"AAAAAF9f/iQ=")</f>
        <v>#VALUE!</v>
      </c>
      <c r="AL225" t="e">
        <f>AND('STERLING CATALOG - DRY '!F5047,"AAAAAF9f/iU=")</f>
        <v>#VALUE!</v>
      </c>
      <c r="AM225" t="e">
        <f>AND('STERLING CATALOG - DRY '!G5047,"AAAAAF9f/iY=")</f>
        <v>#VALUE!</v>
      </c>
      <c r="AN225" t="e">
        <f>AND('STERLING CATALOG - DRY '!H5047,"AAAAAF9f/ic=")</f>
        <v>#VALUE!</v>
      </c>
      <c r="AO225" t="e">
        <f>AND('STERLING CATALOG - DRY '!I5047,"AAAAAF9f/ig=")</f>
        <v>#VALUE!</v>
      </c>
      <c r="AP225" t="e">
        <f>AND('STERLING CATALOG - DRY '!J5047,"AAAAAF9f/ik=")</f>
        <v>#VALUE!</v>
      </c>
      <c r="AQ225">
        <f>IF('STERLING CATALOG - DRY '!5048:5048,"AAAAAF9f/io=",0)</f>
        <v>0</v>
      </c>
      <c r="AR225" t="e">
        <f>AND('STERLING CATALOG - DRY '!A5048,"AAAAAF9f/is=")</f>
        <v>#VALUE!</v>
      </c>
      <c r="AS225" t="e">
        <f>AND('STERLING CATALOG - DRY '!B5048,"AAAAAF9f/iw=")</f>
        <v>#VALUE!</v>
      </c>
      <c r="AT225" t="e">
        <f>AND('STERLING CATALOG - DRY '!C5048,"AAAAAF9f/i0=")</f>
        <v>#VALUE!</v>
      </c>
      <c r="AU225" t="e">
        <f>AND('STERLING CATALOG - DRY '!D5048,"AAAAAF9f/i4=")</f>
        <v>#VALUE!</v>
      </c>
      <c r="AV225" t="e">
        <f>AND('STERLING CATALOG - DRY '!E5048,"AAAAAF9f/i8=")</f>
        <v>#VALUE!</v>
      </c>
      <c r="AW225" t="e">
        <f>AND('STERLING CATALOG - DRY '!F5048,"AAAAAF9f/jA=")</f>
        <v>#VALUE!</v>
      </c>
      <c r="AX225" t="e">
        <f>AND('STERLING CATALOG - DRY '!G5048,"AAAAAF9f/jE=")</f>
        <v>#VALUE!</v>
      </c>
      <c r="AY225" t="e">
        <f>AND('STERLING CATALOG - DRY '!H5048,"AAAAAF9f/jI=")</f>
        <v>#VALUE!</v>
      </c>
      <c r="AZ225" t="e">
        <f>AND('STERLING CATALOG - DRY '!I5048,"AAAAAF9f/jM=")</f>
        <v>#VALUE!</v>
      </c>
      <c r="BA225" t="e">
        <f>AND('STERLING CATALOG - DRY '!J5048,"AAAAAF9f/jQ=")</f>
        <v>#VALUE!</v>
      </c>
      <c r="BB225">
        <f>IF('STERLING CATALOG - DRY '!5049:5049,"AAAAAF9f/jU=",0)</f>
        <v>0</v>
      </c>
      <c r="BC225" t="e">
        <f>AND('STERLING CATALOG - DRY '!A5049,"AAAAAF9f/jY=")</f>
        <v>#VALUE!</v>
      </c>
      <c r="BD225" t="e">
        <f>AND('STERLING CATALOG - DRY '!B5049,"AAAAAF9f/jc=")</f>
        <v>#VALUE!</v>
      </c>
      <c r="BE225" t="e">
        <f>AND('STERLING CATALOG - DRY '!C5049,"AAAAAF9f/jg=")</f>
        <v>#VALUE!</v>
      </c>
      <c r="BF225" t="e">
        <f>AND('STERLING CATALOG - DRY '!D5049,"AAAAAF9f/jk=")</f>
        <v>#VALUE!</v>
      </c>
      <c r="BG225" t="e">
        <f>AND('STERLING CATALOG - DRY '!E5049,"AAAAAF9f/jo=")</f>
        <v>#VALUE!</v>
      </c>
      <c r="BH225" t="e">
        <f>AND('STERLING CATALOG - DRY '!F5049,"AAAAAF9f/js=")</f>
        <v>#VALUE!</v>
      </c>
      <c r="BI225" t="e">
        <f>AND('STERLING CATALOG - DRY '!G5049,"AAAAAF9f/jw=")</f>
        <v>#VALUE!</v>
      </c>
      <c r="BJ225" t="e">
        <f>AND('STERLING CATALOG - DRY '!H5049,"AAAAAF9f/j0=")</f>
        <v>#VALUE!</v>
      </c>
      <c r="BK225" t="e">
        <f>AND('STERLING CATALOG - DRY '!I5049,"AAAAAF9f/j4=")</f>
        <v>#VALUE!</v>
      </c>
      <c r="BL225" t="e">
        <f>AND('STERLING CATALOG - DRY '!J5049,"AAAAAF9f/j8=")</f>
        <v>#VALUE!</v>
      </c>
      <c r="BM225">
        <f>IF('STERLING CATALOG - DRY '!5050:5050,"AAAAAF9f/kA=",0)</f>
        <v>0</v>
      </c>
      <c r="BN225" t="e">
        <f>AND('STERLING CATALOG - DRY '!A5050,"AAAAAF9f/kE=")</f>
        <v>#VALUE!</v>
      </c>
      <c r="BO225" t="e">
        <f>AND('STERLING CATALOG - DRY '!B5050,"AAAAAF9f/kI=")</f>
        <v>#VALUE!</v>
      </c>
      <c r="BP225" t="e">
        <f>AND('STERLING CATALOG - DRY '!C5050,"AAAAAF9f/kM=")</f>
        <v>#VALUE!</v>
      </c>
      <c r="BQ225" t="e">
        <f>AND('STERLING CATALOG - DRY '!D5050,"AAAAAF9f/kQ=")</f>
        <v>#VALUE!</v>
      </c>
      <c r="BR225" t="e">
        <f>AND('STERLING CATALOG - DRY '!E5050,"AAAAAF9f/kU=")</f>
        <v>#VALUE!</v>
      </c>
      <c r="BS225" t="e">
        <f>AND('STERLING CATALOG - DRY '!F5050,"AAAAAF9f/kY=")</f>
        <v>#VALUE!</v>
      </c>
      <c r="BT225" t="e">
        <f>AND('STERLING CATALOG - DRY '!G5050,"AAAAAF9f/kc=")</f>
        <v>#VALUE!</v>
      </c>
      <c r="BU225" t="e">
        <f>AND('STERLING CATALOG - DRY '!H5050,"AAAAAF9f/kg=")</f>
        <v>#VALUE!</v>
      </c>
      <c r="BV225" t="e">
        <f>AND('STERLING CATALOG - DRY '!I5050,"AAAAAF9f/kk=")</f>
        <v>#VALUE!</v>
      </c>
      <c r="BW225" t="e">
        <f>AND('STERLING CATALOG - DRY '!J5050,"AAAAAF9f/ko=")</f>
        <v>#VALUE!</v>
      </c>
      <c r="BX225">
        <f>IF('STERLING CATALOG - DRY '!5051:5051,"AAAAAF9f/ks=",0)</f>
        <v>0</v>
      </c>
      <c r="BY225" t="e">
        <f>AND('STERLING CATALOG - DRY '!A5051,"AAAAAF9f/kw=")</f>
        <v>#VALUE!</v>
      </c>
      <c r="BZ225" t="e">
        <f>AND('STERLING CATALOG - DRY '!B5051,"AAAAAF9f/k0=")</f>
        <v>#VALUE!</v>
      </c>
      <c r="CA225" t="e">
        <f>AND('STERLING CATALOG - DRY '!C5051,"AAAAAF9f/k4=")</f>
        <v>#VALUE!</v>
      </c>
      <c r="CB225" t="e">
        <f>AND('STERLING CATALOG - DRY '!D5051,"AAAAAF9f/k8=")</f>
        <v>#VALUE!</v>
      </c>
      <c r="CC225" t="e">
        <f>AND('STERLING CATALOG - DRY '!E5051,"AAAAAF9f/lA=")</f>
        <v>#VALUE!</v>
      </c>
      <c r="CD225" t="e">
        <f>AND('STERLING CATALOG - DRY '!F5051,"AAAAAF9f/lE=")</f>
        <v>#VALUE!</v>
      </c>
      <c r="CE225" t="e">
        <f>AND('STERLING CATALOG - DRY '!G5051,"AAAAAF9f/lI=")</f>
        <v>#VALUE!</v>
      </c>
      <c r="CF225" t="e">
        <f>AND('STERLING CATALOG - DRY '!H5051,"AAAAAF9f/lM=")</f>
        <v>#VALUE!</v>
      </c>
      <c r="CG225" t="e">
        <f>AND('STERLING CATALOG - DRY '!I5051,"AAAAAF9f/lQ=")</f>
        <v>#VALUE!</v>
      </c>
      <c r="CH225" t="e">
        <f>AND('STERLING CATALOG - DRY '!J5051,"AAAAAF9f/lU=")</f>
        <v>#VALUE!</v>
      </c>
      <c r="CI225">
        <f>IF('STERLING CATALOG - DRY '!5052:5052,"AAAAAF9f/lY=",0)</f>
        <v>0</v>
      </c>
      <c r="CJ225" t="e">
        <f>AND('STERLING CATALOG - DRY '!A5052,"AAAAAF9f/lc=")</f>
        <v>#VALUE!</v>
      </c>
      <c r="CK225" t="e">
        <f>AND('STERLING CATALOG - DRY '!B5052,"AAAAAF9f/lg=")</f>
        <v>#VALUE!</v>
      </c>
      <c r="CL225" t="e">
        <f>AND('STERLING CATALOG - DRY '!C5052,"AAAAAF9f/lk=")</f>
        <v>#VALUE!</v>
      </c>
      <c r="CM225" t="e">
        <f>AND('STERLING CATALOG - DRY '!D5052,"AAAAAF9f/lo=")</f>
        <v>#VALUE!</v>
      </c>
      <c r="CN225" t="e">
        <f>AND('STERLING CATALOG - DRY '!E5052,"AAAAAF9f/ls=")</f>
        <v>#VALUE!</v>
      </c>
      <c r="CO225" t="e">
        <f>AND('STERLING CATALOG - DRY '!F5052,"AAAAAF9f/lw=")</f>
        <v>#VALUE!</v>
      </c>
      <c r="CP225" t="e">
        <f>AND('STERLING CATALOG - DRY '!G5052,"AAAAAF9f/l0=")</f>
        <v>#VALUE!</v>
      </c>
      <c r="CQ225" t="e">
        <f>AND('STERLING CATALOG - DRY '!H5052,"AAAAAF9f/l4=")</f>
        <v>#VALUE!</v>
      </c>
      <c r="CR225" t="e">
        <f>AND('STERLING CATALOG - DRY '!I5052,"AAAAAF9f/l8=")</f>
        <v>#VALUE!</v>
      </c>
      <c r="CS225" t="e">
        <f>AND('STERLING CATALOG - DRY '!J5052,"AAAAAF9f/mA=")</f>
        <v>#VALUE!</v>
      </c>
      <c r="CT225">
        <f>IF('STERLING CATALOG - DRY '!5053:5053,"AAAAAF9f/mE=",0)</f>
        <v>0</v>
      </c>
      <c r="CU225" t="e">
        <f>AND('STERLING CATALOG - DRY '!A5053,"AAAAAF9f/mI=")</f>
        <v>#VALUE!</v>
      </c>
      <c r="CV225" t="e">
        <f>AND('STERLING CATALOG - DRY '!B5053,"AAAAAF9f/mM=")</f>
        <v>#VALUE!</v>
      </c>
      <c r="CW225" t="e">
        <f>AND('STERLING CATALOG - DRY '!C5053,"AAAAAF9f/mQ=")</f>
        <v>#VALUE!</v>
      </c>
      <c r="CX225" t="e">
        <f>AND('STERLING CATALOG - DRY '!D5053,"AAAAAF9f/mU=")</f>
        <v>#VALUE!</v>
      </c>
      <c r="CY225" t="e">
        <f>AND('STERLING CATALOG - DRY '!E5053,"AAAAAF9f/mY=")</f>
        <v>#VALUE!</v>
      </c>
      <c r="CZ225" t="e">
        <f>AND('STERLING CATALOG - DRY '!F5053,"AAAAAF9f/mc=")</f>
        <v>#VALUE!</v>
      </c>
      <c r="DA225" t="e">
        <f>AND('STERLING CATALOG - DRY '!G5053,"AAAAAF9f/mg=")</f>
        <v>#VALUE!</v>
      </c>
      <c r="DB225" t="e">
        <f>AND('STERLING CATALOG - DRY '!H5053,"AAAAAF9f/mk=")</f>
        <v>#VALUE!</v>
      </c>
      <c r="DC225" t="e">
        <f>AND('STERLING CATALOG - DRY '!I5053,"AAAAAF9f/mo=")</f>
        <v>#VALUE!</v>
      </c>
      <c r="DD225" t="e">
        <f>AND('STERLING CATALOG - DRY '!J5053,"AAAAAF9f/ms=")</f>
        <v>#VALUE!</v>
      </c>
      <c r="DE225">
        <f>IF('STERLING CATALOG - DRY '!5054:5054,"AAAAAF9f/mw=",0)</f>
        <v>0</v>
      </c>
      <c r="DF225" t="e">
        <f>AND('STERLING CATALOG - DRY '!A5054,"AAAAAF9f/m0=")</f>
        <v>#VALUE!</v>
      </c>
      <c r="DG225" t="e">
        <f>AND('STERLING CATALOG - DRY '!B5054,"AAAAAF9f/m4=")</f>
        <v>#VALUE!</v>
      </c>
      <c r="DH225" t="e">
        <f>AND('STERLING CATALOG - DRY '!C5054,"AAAAAF9f/m8=")</f>
        <v>#VALUE!</v>
      </c>
      <c r="DI225" t="e">
        <f>AND('STERLING CATALOG - DRY '!D5054,"AAAAAF9f/nA=")</f>
        <v>#VALUE!</v>
      </c>
      <c r="DJ225" t="e">
        <f>AND('STERLING CATALOG - DRY '!E5054,"AAAAAF9f/nE=")</f>
        <v>#VALUE!</v>
      </c>
      <c r="DK225" t="e">
        <f>AND('STERLING CATALOG - DRY '!F5054,"AAAAAF9f/nI=")</f>
        <v>#VALUE!</v>
      </c>
      <c r="DL225" t="e">
        <f>AND('STERLING CATALOG - DRY '!G5054,"AAAAAF9f/nM=")</f>
        <v>#VALUE!</v>
      </c>
      <c r="DM225" t="e">
        <f>AND('STERLING CATALOG - DRY '!H5054,"AAAAAF9f/nQ=")</f>
        <v>#VALUE!</v>
      </c>
      <c r="DN225" t="e">
        <f>AND('STERLING CATALOG - DRY '!I5054,"AAAAAF9f/nU=")</f>
        <v>#VALUE!</v>
      </c>
      <c r="DO225" t="e">
        <f>AND('STERLING CATALOG - DRY '!J5054,"AAAAAF9f/nY=")</f>
        <v>#VALUE!</v>
      </c>
      <c r="DP225">
        <f>IF('STERLING CATALOG - DRY '!5055:5055,"AAAAAF9f/nc=",0)</f>
        <v>0</v>
      </c>
      <c r="DQ225" t="e">
        <f>AND('STERLING CATALOG - DRY '!A5055,"AAAAAF9f/ng=")</f>
        <v>#VALUE!</v>
      </c>
      <c r="DR225" t="e">
        <f>AND('STERLING CATALOG - DRY '!B5055,"AAAAAF9f/nk=")</f>
        <v>#VALUE!</v>
      </c>
      <c r="DS225" t="e">
        <f>AND('STERLING CATALOG - DRY '!C5055,"AAAAAF9f/no=")</f>
        <v>#VALUE!</v>
      </c>
      <c r="DT225" t="e">
        <f>AND('STERLING CATALOG - DRY '!D5055,"AAAAAF9f/ns=")</f>
        <v>#VALUE!</v>
      </c>
      <c r="DU225" t="e">
        <f>AND('STERLING CATALOG - DRY '!E5055,"AAAAAF9f/nw=")</f>
        <v>#VALUE!</v>
      </c>
      <c r="DV225" t="e">
        <f>AND('STERLING CATALOG - DRY '!F5055,"AAAAAF9f/n0=")</f>
        <v>#VALUE!</v>
      </c>
      <c r="DW225" t="e">
        <f>AND('STERLING CATALOG - DRY '!G5055,"AAAAAF9f/n4=")</f>
        <v>#VALUE!</v>
      </c>
      <c r="DX225" t="e">
        <f>AND('STERLING CATALOG - DRY '!H5055,"AAAAAF9f/n8=")</f>
        <v>#VALUE!</v>
      </c>
      <c r="DY225" t="e">
        <f>AND('STERLING CATALOG - DRY '!I5055,"AAAAAF9f/oA=")</f>
        <v>#VALUE!</v>
      </c>
      <c r="DZ225" t="e">
        <f>AND('STERLING CATALOG - DRY '!J5055,"AAAAAF9f/oE=")</f>
        <v>#VALUE!</v>
      </c>
      <c r="EA225">
        <f>IF('STERLING CATALOG - DRY '!5056:5056,"AAAAAF9f/oI=",0)</f>
        <v>0</v>
      </c>
      <c r="EB225" t="e">
        <f>AND('STERLING CATALOG - DRY '!A5056,"AAAAAF9f/oM=")</f>
        <v>#VALUE!</v>
      </c>
      <c r="EC225" t="e">
        <f>AND('STERLING CATALOG - DRY '!B5056,"AAAAAF9f/oQ=")</f>
        <v>#VALUE!</v>
      </c>
      <c r="ED225" t="e">
        <f>AND('STERLING CATALOG - DRY '!C5056,"AAAAAF9f/oU=")</f>
        <v>#VALUE!</v>
      </c>
      <c r="EE225" t="e">
        <f>AND('STERLING CATALOG - DRY '!D5056,"AAAAAF9f/oY=")</f>
        <v>#VALUE!</v>
      </c>
      <c r="EF225" t="e">
        <f>AND('STERLING CATALOG - DRY '!E5056,"AAAAAF9f/oc=")</f>
        <v>#VALUE!</v>
      </c>
      <c r="EG225" t="e">
        <f>AND('STERLING CATALOG - DRY '!F5056,"AAAAAF9f/og=")</f>
        <v>#VALUE!</v>
      </c>
      <c r="EH225" t="e">
        <f>AND('STERLING CATALOG - DRY '!G5056,"AAAAAF9f/ok=")</f>
        <v>#VALUE!</v>
      </c>
      <c r="EI225" t="e">
        <f>AND('STERLING CATALOG - DRY '!H5056,"AAAAAF9f/oo=")</f>
        <v>#VALUE!</v>
      </c>
      <c r="EJ225" t="e">
        <f>AND('STERLING CATALOG - DRY '!I5056,"AAAAAF9f/os=")</f>
        <v>#VALUE!</v>
      </c>
      <c r="EK225" t="e">
        <f>AND('STERLING CATALOG - DRY '!J5056,"AAAAAF9f/ow=")</f>
        <v>#VALUE!</v>
      </c>
      <c r="EL225">
        <f>IF('STERLING CATALOG - DRY '!5057:5057,"AAAAAF9f/o0=",0)</f>
        <v>0</v>
      </c>
      <c r="EM225" t="e">
        <f>AND('STERLING CATALOG - DRY '!A5057,"AAAAAF9f/o4=")</f>
        <v>#VALUE!</v>
      </c>
      <c r="EN225" t="e">
        <f>AND('STERLING CATALOG - DRY '!B5057,"AAAAAF9f/o8=")</f>
        <v>#VALUE!</v>
      </c>
      <c r="EO225" t="e">
        <f>AND('STERLING CATALOG - DRY '!C5057,"AAAAAF9f/pA=")</f>
        <v>#VALUE!</v>
      </c>
      <c r="EP225" t="e">
        <f>AND('STERLING CATALOG - DRY '!D5057,"AAAAAF9f/pE=")</f>
        <v>#VALUE!</v>
      </c>
      <c r="EQ225" t="e">
        <f>AND('STERLING CATALOG - DRY '!E5057,"AAAAAF9f/pI=")</f>
        <v>#VALUE!</v>
      </c>
      <c r="ER225" t="e">
        <f>AND('STERLING CATALOG - DRY '!F5057,"AAAAAF9f/pM=")</f>
        <v>#VALUE!</v>
      </c>
      <c r="ES225" t="e">
        <f>AND('STERLING CATALOG - DRY '!G5057,"AAAAAF9f/pQ=")</f>
        <v>#VALUE!</v>
      </c>
      <c r="ET225" t="e">
        <f>AND('STERLING CATALOG - DRY '!H5057,"AAAAAF9f/pU=")</f>
        <v>#VALUE!</v>
      </c>
      <c r="EU225" t="e">
        <f>AND('STERLING CATALOG - DRY '!I5057,"AAAAAF9f/pY=")</f>
        <v>#VALUE!</v>
      </c>
      <c r="EV225" t="e">
        <f>AND('STERLING CATALOG - DRY '!J5057,"AAAAAF9f/pc=")</f>
        <v>#VALUE!</v>
      </c>
      <c r="EW225">
        <f>IF('STERLING CATALOG - DRY '!5058:5058,"AAAAAF9f/pg=",0)</f>
        <v>0</v>
      </c>
      <c r="EX225" t="e">
        <f>AND('STERLING CATALOG - DRY '!A5058,"AAAAAF9f/pk=")</f>
        <v>#VALUE!</v>
      </c>
      <c r="EY225" t="e">
        <f>AND('STERLING CATALOG - DRY '!B5058,"AAAAAF9f/po=")</f>
        <v>#VALUE!</v>
      </c>
      <c r="EZ225" t="e">
        <f>AND('STERLING CATALOG - DRY '!C5058,"AAAAAF9f/ps=")</f>
        <v>#VALUE!</v>
      </c>
      <c r="FA225" t="e">
        <f>AND('STERLING CATALOG - DRY '!D5058,"AAAAAF9f/pw=")</f>
        <v>#VALUE!</v>
      </c>
      <c r="FB225" t="e">
        <f>AND('STERLING CATALOG - DRY '!E5058,"AAAAAF9f/p0=")</f>
        <v>#VALUE!</v>
      </c>
      <c r="FC225" t="e">
        <f>AND('STERLING CATALOG - DRY '!F5058,"AAAAAF9f/p4=")</f>
        <v>#VALUE!</v>
      </c>
      <c r="FD225" t="e">
        <f>AND('STERLING CATALOG - DRY '!G5058,"AAAAAF9f/p8=")</f>
        <v>#VALUE!</v>
      </c>
      <c r="FE225" t="e">
        <f>AND('STERLING CATALOG - DRY '!H5058,"AAAAAF9f/qA=")</f>
        <v>#VALUE!</v>
      </c>
      <c r="FF225" t="e">
        <f>AND('STERLING CATALOG - DRY '!I5058,"AAAAAF9f/qE=")</f>
        <v>#VALUE!</v>
      </c>
      <c r="FG225" t="e">
        <f>AND('STERLING CATALOG - DRY '!J5058,"AAAAAF9f/qI=")</f>
        <v>#VALUE!</v>
      </c>
      <c r="FH225">
        <f>IF('STERLING CATALOG - DRY '!5059:5059,"AAAAAF9f/qM=",0)</f>
        <v>0</v>
      </c>
      <c r="FI225" t="e">
        <f>AND('STERLING CATALOG - DRY '!A5059,"AAAAAF9f/qQ=")</f>
        <v>#VALUE!</v>
      </c>
      <c r="FJ225" t="e">
        <f>AND('STERLING CATALOG - DRY '!B5059,"AAAAAF9f/qU=")</f>
        <v>#VALUE!</v>
      </c>
      <c r="FK225" t="e">
        <f>AND('STERLING CATALOG - DRY '!C5059,"AAAAAF9f/qY=")</f>
        <v>#VALUE!</v>
      </c>
      <c r="FL225" t="e">
        <f>AND('STERLING CATALOG - DRY '!D5059,"AAAAAF9f/qc=")</f>
        <v>#VALUE!</v>
      </c>
      <c r="FM225" t="e">
        <f>AND('STERLING CATALOG - DRY '!E5059,"AAAAAF9f/qg=")</f>
        <v>#VALUE!</v>
      </c>
      <c r="FN225" t="e">
        <f>AND('STERLING CATALOG - DRY '!F5059,"AAAAAF9f/qk=")</f>
        <v>#VALUE!</v>
      </c>
      <c r="FO225" t="e">
        <f>AND('STERLING CATALOG - DRY '!G5059,"AAAAAF9f/qo=")</f>
        <v>#VALUE!</v>
      </c>
      <c r="FP225" t="e">
        <f>AND('STERLING CATALOG - DRY '!H5059,"AAAAAF9f/qs=")</f>
        <v>#VALUE!</v>
      </c>
      <c r="FQ225" t="e">
        <f>AND('STERLING CATALOG - DRY '!I5059,"AAAAAF9f/qw=")</f>
        <v>#VALUE!</v>
      </c>
      <c r="FR225" t="e">
        <f>AND('STERLING CATALOG - DRY '!J5059,"AAAAAF9f/q0=")</f>
        <v>#VALUE!</v>
      </c>
      <c r="FS225">
        <f>IF('STERLING CATALOG - DRY '!5060:5060,"AAAAAF9f/q4=",0)</f>
        <v>0</v>
      </c>
      <c r="FT225" t="e">
        <f>AND('STERLING CATALOG - DRY '!A5060,"AAAAAF9f/q8=")</f>
        <v>#VALUE!</v>
      </c>
      <c r="FU225" t="e">
        <f>AND('STERLING CATALOG - DRY '!B5060,"AAAAAF9f/rA=")</f>
        <v>#VALUE!</v>
      </c>
      <c r="FV225" t="e">
        <f>AND('STERLING CATALOG - DRY '!C5060,"AAAAAF9f/rE=")</f>
        <v>#VALUE!</v>
      </c>
      <c r="FW225" t="e">
        <f>AND('STERLING CATALOG - DRY '!D5060,"AAAAAF9f/rI=")</f>
        <v>#VALUE!</v>
      </c>
      <c r="FX225" t="e">
        <f>AND('STERLING CATALOG - DRY '!E5060,"AAAAAF9f/rM=")</f>
        <v>#VALUE!</v>
      </c>
      <c r="FY225" t="e">
        <f>AND('STERLING CATALOG - DRY '!F5060,"AAAAAF9f/rQ=")</f>
        <v>#VALUE!</v>
      </c>
      <c r="FZ225" t="e">
        <f>AND('STERLING CATALOG - DRY '!G5060,"AAAAAF9f/rU=")</f>
        <v>#VALUE!</v>
      </c>
      <c r="GA225" t="e">
        <f>AND('STERLING CATALOG - DRY '!H5060,"AAAAAF9f/rY=")</f>
        <v>#VALUE!</v>
      </c>
      <c r="GB225" t="e">
        <f>AND('STERLING CATALOG - DRY '!I5060,"AAAAAF9f/rc=")</f>
        <v>#VALUE!</v>
      </c>
      <c r="GC225" t="e">
        <f>AND('STERLING CATALOG - DRY '!J5060,"AAAAAF9f/rg=")</f>
        <v>#VALUE!</v>
      </c>
      <c r="GD225">
        <f>IF('STERLING CATALOG - DRY '!5061:5061,"AAAAAF9f/rk=",0)</f>
        <v>0</v>
      </c>
      <c r="GE225" t="e">
        <f>AND('STERLING CATALOG - DRY '!A5061,"AAAAAF9f/ro=")</f>
        <v>#VALUE!</v>
      </c>
      <c r="GF225" t="e">
        <f>AND('STERLING CATALOG - DRY '!B5061,"AAAAAF9f/rs=")</f>
        <v>#VALUE!</v>
      </c>
      <c r="GG225" t="e">
        <f>AND('STERLING CATALOG - DRY '!C5061,"AAAAAF9f/rw=")</f>
        <v>#VALUE!</v>
      </c>
      <c r="GH225" t="e">
        <f>AND('STERLING CATALOG - DRY '!D5061,"AAAAAF9f/r0=")</f>
        <v>#VALUE!</v>
      </c>
      <c r="GI225" t="e">
        <f>AND('STERLING CATALOG - DRY '!E5061,"AAAAAF9f/r4=")</f>
        <v>#VALUE!</v>
      </c>
      <c r="GJ225" t="e">
        <f>AND('STERLING CATALOG - DRY '!F5061,"AAAAAF9f/r8=")</f>
        <v>#VALUE!</v>
      </c>
      <c r="GK225" t="e">
        <f>AND('STERLING CATALOG - DRY '!G5061,"AAAAAF9f/sA=")</f>
        <v>#VALUE!</v>
      </c>
      <c r="GL225" t="e">
        <f>AND('STERLING CATALOG - DRY '!H5061,"AAAAAF9f/sE=")</f>
        <v>#VALUE!</v>
      </c>
      <c r="GM225" t="e">
        <f>AND('STERLING CATALOG - DRY '!I5061,"AAAAAF9f/sI=")</f>
        <v>#VALUE!</v>
      </c>
      <c r="GN225" t="e">
        <f>AND('STERLING CATALOG - DRY '!J5061,"AAAAAF9f/sM=")</f>
        <v>#VALUE!</v>
      </c>
      <c r="GO225">
        <f>IF('STERLING CATALOG - DRY '!5062:5062,"AAAAAF9f/sQ=",0)</f>
        <v>0</v>
      </c>
      <c r="GP225" t="e">
        <f>AND('STERLING CATALOG - DRY '!A5062,"AAAAAF9f/sU=")</f>
        <v>#VALUE!</v>
      </c>
      <c r="GQ225" t="e">
        <f>AND('STERLING CATALOG - DRY '!B5062,"AAAAAF9f/sY=")</f>
        <v>#VALUE!</v>
      </c>
      <c r="GR225" t="e">
        <f>AND('STERLING CATALOG - DRY '!C5062,"AAAAAF9f/sc=")</f>
        <v>#VALUE!</v>
      </c>
      <c r="GS225" t="e">
        <f>AND('STERLING CATALOG - DRY '!D5062,"AAAAAF9f/sg=")</f>
        <v>#VALUE!</v>
      </c>
      <c r="GT225" t="e">
        <f>AND('STERLING CATALOG - DRY '!E5062,"AAAAAF9f/sk=")</f>
        <v>#VALUE!</v>
      </c>
      <c r="GU225" t="e">
        <f>AND('STERLING CATALOG - DRY '!F5062,"AAAAAF9f/so=")</f>
        <v>#VALUE!</v>
      </c>
      <c r="GV225" t="e">
        <f>AND('STERLING CATALOG - DRY '!G5062,"AAAAAF9f/ss=")</f>
        <v>#VALUE!</v>
      </c>
      <c r="GW225" t="e">
        <f>AND('STERLING CATALOG - DRY '!H5062,"AAAAAF9f/sw=")</f>
        <v>#VALUE!</v>
      </c>
      <c r="GX225" t="e">
        <f>AND('STERLING CATALOG - DRY '!I5062,"AAAAAF9f/s0=")</f>
        <v>#VALUE!</v>
      </c>
      <c r="GY225" t="e">
        <f>AND('STERLING CATALOG - DRY '!J5062,"AAAAAF9f/s4=")</f>
        <v>#VALUE!</v>
      </c>
      <c r="GZ225">
        <f>IF('STERLING CATALOG - DRY '!5063:5063,"AAAAAF9f/s8=",0)</f>
        <v>0</v>
      </c>
      <c r="HA225" t="e">
        <f>AND('STERLING CATALOG - DRY '!A5063,"AAAAAF9f/tA=")</f>
        <v>#VALUE!</v>
      </c>
      <c r="HB225" t="e">
        <f>AND('STERLING CATALOG - DRY '!B5063,"AAAAAF9f/tE=")</f>
        <v>#VALUE!</v>
      </c>
      <c r="HC225" t="e">
        <f>AND('STERLING CATALOG - DRY '!C5063,"AAAAAF9f/tI=")</f>
        <v>#VALUE!</v>
      </c>
      <c r="HD225" t="e">
        <f>AND('STERLING CATALOG - DRY '!D5063,"AAAAAF9f/tM=")</f>
        <v>#VALUE!</v>
      </c>
      <c r="HE225" t="e">
        <f>AND('STERLING CATALOG - DRY '!E5063,"AAAAAF9f/tQ=")</f>
        <v>#VALUE!</v>
      </c>
      <c r="HF225" t="e">
        <f>AND('STERLING CATALOG - DRY '!F5063,"AAAAAF9f/tU=")</f>
        <v>#VALUE!</v>
      </c>
      <c r="HG225" t="e">
        <f>AND('STERLING CATALOG - DRY '!G5063,"AAAAAF9f/tY=")</f>
        <v>#VALUE!</v>
      </c>
      <c r="HH225" t="e">
        <f>AND('STERLING CATALOG - DRY '!H5063,"AAAAAF9f/tc=")</f>
        <v>#VALUE!</v>
      </c>
      <c r="HI225" t="e">
        <f>AND('STERLING CATALOG - DRY '!I5063,"AAAAAF9f/tg=")</f>
        <v>#VALUE!</v>
      </c>
      <c r="HJ225" t="e">
        <f>AND('STERLING CATALOG - DRY '!J5063,"AAAAAF9f/tk=")</f>
        <v>#VALUE!</v>
      </c>
      <c r="HK225">
        <f>IF('STERLING CATALOG - DRY '!5064:5064,"AAAAAF9f/to=",0)</f>
        <v>0</v>
      </c>
      <c r="HL225" t="e">
        <f>AND('STERLING CATALOG - DRY '!A5064,"AAAAAF9f/ts=")</f>
        <v>#VALUE!</v>
      </c>
      <c r="HM225" t="e">
        <f>AND('STERLING CATALOG - DRY '!B5064,"AAAAAF9f/tw=")</f>
        <v>#VALUE!</v>
      </c>
      <c r="HN225" t="e">
        <f>AND('STERLING CATALOG - DRY '!C5064,"AAAAAF9f/t0=")</f>
        <v>#VALUE!</v>
      </c>
      <c r="HO225" t="e">
        <f>AND('STERLING CATALOG - DRY '!D5064,"AAAAAF9f/t4=")</f>
        <v>#VALUE!</v>
      </c>
      <c r="HP225" t="e">
        <f>AND('STERLING CATALOG - DRY '!E5064,"AAAAAF9f/t8=")</f>
        <v>#VALUE!</v>
      </c>
      <c r="HQ225" t="e">
        <f>AND('STERLING CATALOG - DRY '!F5064,"AAAAAF9f/uA=")</f>
        <v>#VALUE!</v>
      </c>
      <c r="HR225" t="e">
        <f>AND('STERLING CATALOG - DRY '!G5064,"AAAAAF9f/uE=")</f>
        <v>#VALUE!</v>
      </c>
      <c r="HS225" t="e">
        <f>AND('STERLING CATALOG - DRY '!H5064,"AAAAAF9f/uI=")</f>
        <v>#VALUE!</v>
      </c>
      <c r="HT225" t="e">
        <f>AND('STERLING CATALOG - DRY '!I5064,"AAAAAF9f/uM=")</f>
        <v>#VALUE!</v>
      </c>
      <c r="HU225" t="e">
        <f>AND('STERLING CATALOG - DRY '!J5064,"AAAAAF9f/uQ=")</f>
        <v>#VALUE!</v>
      </c>
      <c r="HV225">
        <f>IF('STERLING CATALOG - DRY '!5065:5065,"AAAAAF9f/uU=",0)</f>
        <v>0</v>
      </c>
      <c r="HW225" t="e">
        <f>AND('STERLING CATALOG - DRY '!A5065,"AAAAAF9f/uY=")</f>
        <v>#VALUE!</v>
      </c>
      <c r="HX225" t="e">
        <f>AND('STERLING CATALOG - DRY '!B5065,"AAAAAF9f/uc=")</f>
        <v>#VALUE!</v>
      </c>
      <c r="HY225" t="e">
        <f>AND('STERLING CATALOG - DRY '!C5065,"AAAAAF9f/ug=")</f>
        <v>#VALUE!</v>
      </c>
      <c r="HZ225" t="e">
        <f>AND('STERLING CATALOG - DRY '!D5065,"AAAAAF9f/uk=")</f>
        <v>#VALUE!</v>
      </c>
      <c r="IA225" t="e">
        <f>AND('STERLING CATALOG - DRY '!E5065,"AAAAAF9f/uo=")</f>
        <v>#VALUE!</v>
      </c>
      <c r="IB225" t="e">
        <f>AND('STERLING CATALOG - DRY '!F5065,"AAAAAF9f/us=")</f>
        <v>#VALUE!</v>
      </c>
      <c r="IC225" t="e">
        <f>AND('STERLING CATALOG - DRY '!G5065,"AAAAAF9f/uw=")</f>
        <v>#VALUE!</v>
      </c>
      <c r="ID225" t="e">
        <f>AND('STERLING CATALOG - DRY '!H5065,"AAAAAF9f/u0=")</f>
        <v>#VALUE!</v>
      </c>
      <c r="IE225" t="e">
        <f>AND('STERLING CATALOG - DRY '!I5065,"AAAAAF9f/u4=")</f>
        <v>#VALUE!</v>
      </c>
      <c r="IF225" t="e">
        <f>AND('STERLING CATALOG - DRY '!J5065,"AAAAAF9f/u8=")</f>
        <v>#VALUE!</v>
      </c>
      <c r="IG225">
        <f>IF('STERLING CATALOG - DRY '!5066:5066,"AAAAAF9f/vA=",0)</f>
        <v>0</v>
      </c>
      <c r="IH225" t="e">
        <f>AND('STERLING CATALOG - DRY '!A5066,"AAAAAF9f/vE=")</f>
        <v>#VALUE!</v>
      </c>
      <c r="II225" t="e">
        <f>AND('STERLING CATALOG - DRY '!B5066,"AAAAAF9f/vI=")</f>
        <v>#VALUE!</v>
      </c>
      <c r="IJ225" t="e">
        <f>AND('STERLING CATALOG - DRY '!C5066,"AAAAAF9f/vM=")</f>
        <v>#VALUE!</v>
      </c>
      <c r="IK225" t="e">
        <f>AND('STERLING CATALOG - DRY '!D5066,"AAAAAF9f/vQ=")</f>
        <v>#VALUE!</v>
      </c>
      <c r="IL225" t="e">
        <f>AND('STERLING CATALOG - DRY '!E5066,"AAAAAF9f/vU=")</f>
        <v>#VALUE!</v>
      </c>
      <c r="IM225" t="e">
        <f>AND('STERLING CATALOG - DRY '!F5066,"AAAAAF9f/vY=")</f>
        <v>#VALUE!</v>
      </c>
      <c r="IN225" t="e">
        <f>AND('STERLING CATALOG - DRY '!G5066,"AAAAAF9f/vc=")</f>
        <v>#VALUE!</v>
      </c>
      <c r="IO225" t="e">
        <f>AND('STERLING CATALOG - DRY '!H5066,"AAAAAF9f/vg=")</f>
        <v>#VALUE!</v>
      </c>
      <c r="IP225" t="e">
        <f>AND('STERLING CATALOG - DRY '!I5066,"AAAAAF9f/vk=")</f>
        <v>#VALUE!</v>
      </c>
      <c r="IQ225" t="e">
        <f>AND('STERLING CATALOG - DRY '!J5066,"AAAAAF9f/vo=")</f>
        <v>#VALUE!</v>
      </c>
      <c r="IR225">
        <f>IF('STERLING CATALOG - DRY '!5067:5067,"AAAAAF9f/vs=",0)</f>
        <v>0</v>
      </c>
      <c r="IS225" t="e">
        <f>AND('STERLING CATALOG - DRY '!A5067,"AAAAAF9f/vw=")</f>
        <v>#VALUE!</v>
      </c>
      <c r="IT225" t="e">
        <f>AND('STERLING CATALOG - DRY '!B5067,"AAAAAF9f/v0=")</f>
        <v>#VALUE!</v>
      </c>
      <c r="IU225" t="e">
        <f>AND('STERLING CATALOG - DRY '!C5067,"AAAAAF9f/v4=")</f>
        <v>#VALUE!</v>
      </c>
      <c r="IV225" t="e">
        <f>AND('STERLING CATALOG - DRY '!D5067,"AAAAAF9f/v8=")</f>
        <v>#VALUE!</v>
      </c>
    </row>
    <row r="226" spans="1:256">
      <c r="A226" t="e">
        <f>AND('STERLING CATALOG - DRY '!E5067,"AAAAAHT/HwA=")</f>
        <v>#VALUE!</v>
      </c>
      <c r="B226" t="e">
        <f>AND('STERLING CATALOG - DRY '!F5067,"AAAAAHT/HwE=")</f>
        <v>#VALUE!</v>
      </c>
      <c r="C226" t="e">
        <f>AND('STERLING CATALOG - DRY '!G5067,"AAAAAHT/HwI=")</f>
        <v>#VALUE!</v>
      </c>
      <c r="D226" t="e">
        <f>AND('STERLING CATALOG - DRY '!H5067,"AAAAAHT/HwM=")</f>
        <v>#VALUE!</v>
      </c>
      <c r="E226" t="e">
        <f>AND('STERLING CATALOG - DRY '!I5067,"AAAAAHT/HwQ=")</f>
        <v>#VALUE!</v>
      </c>
      <c r="F226" t="e">
        <f>AND('STERLING CATALOG - DRY '!J5067,"AAAAAHT/HwU=")</f>
        <v>#VALUE!</v>
      </c>
      <c r="G226" t="str">
        <f>IF('STERLING CATALOG - DRY '!5068:5068,"AAAAAHT/HwY=",0)</f>
        <v>AAAAAHT/HwY=</v>
      </c>
      <c r="H226" t="e">
        <f>AND('STERLING CATALOG - DRY '!A5068,"AAAAAHT/Hwc=")</f>
        <v>#VALUE!</v>
      </c>
      <c r="I226" t="e">
        <f>AND('STERLING CATALOG - DRY '!B5068,"AAAAAHT/Hwg=")</f>
        <v>#VALUE!</v>
      </c>
      <c r="J226" t="e">
        <f>AND('STERLING CATALOG - DRY '!C5068,"AAAAAHT/Hwk=")</f>
        <v>#VALUE!</v>
      </c>
      <c r="K226" t="e">
        <f>AND('STERLING CATALOG - DRY '!D5068,"AAAAAHT/Hwo=")</f>
        <v>#VALUE!</v>
      </c>
      <c r="L226" t="e">
        <f>AND('STERLING CATALOG - DRY '!E5068,"AAAAAHT/Hws=")</f>
        <v>#VALUE!</v>
      </c>
      <c r="M226" t="e">
        <f>AND('STERLING CATALOG - DRY '!F5068,"AAAAAHT/Hww=")</f>
        <v>#VALUE!</v>
      </c>
      <c r="N226" t="e">
        <f>AND('STERLING CATALOG - DRY '!G5068,"AAAAAHT/Hw0=")</f>
        <v>#VALUE!</v>
      </c>
      <c r="O226" t="e">
        <f>AND('STERLING CATALOG - DRY '!H5068,"AAAAAHT/Hw4=")</f>
        <v>#VALUE!</v>
      </c>
      <c r="P226" t="e">
        <f>AND('STERLING CATALOG - DRY '!I5068,"AAAAAHT/Hw8=")</f>
        <v>#VALUE!</v>
      </c>
      <c r="Q226" t="e">
        <f>AND('STERLING CATALOG - DRY '!J5068,"AAAAAHT/HxA=")</f>
        <v>#VALUE!</v>
      </c>
      <c r="R226">
        <f>IF('STERLING CATALOG - DRY '!5069:5069,"AAAAAHT/HxE=",0)</f>
        <v>0</v>
      </c>
      <c r="S226" t="e">
        <f>AND('STERLING CATALOG - DRY '!A5069,"AAAAAHT/HxI=")</f>
        <v>#VALUE!</v>
      </c>
      <c r="T226" t="e">
        <f>AND('STERLING CATALOG - DRY '!B5069,"AAAAAHT/HxM=")</f>
        <v>#VALUE!</v>
      </c>
      <c r="U226" t="e">
        <f>AND('STERLING CATALOG - DRY '!C5069,"AAAAAHT/HxQ=")</f>
        <v>#VALUE!</v>
      </c>
      <c r="V226" t="e">
        <f>AND('STERLING CATALOG - DRY '!D5069,"AAAAAHT/HxU=")</f>
        <v>#VALUE!</v>
      </c>
      <c r="W226" t="e">
        <f>AND('STERLING CATALOG - DRY '!E5069,"AAAAAHT/HxY=")</f>
        <v>#VALUE!</v>
      </c>
      <c r="X226" t="e">
        <f>AND('STERLING CATALOG - DRY '!F5069,"AAAAAHT/Hxc=")</f>
        <v>#VALUE!</v>
      </c>
      <c r="Y226" t="e">
        <f>AND('STERLING CATALOG - DRY '!G5069,"AAAAAHT/Hxg=")</f>
        <v>#VALUE!</v>
      </c>
      <c r="Z226" t="e">
        <f>AND('STERLING CATALOG - DRY '!H5069,"AAAAAHT/Hxk=")</f>
        <v>#VALUE!</v>
      </c>
      <c r="AA226" t="e">
        <f>AND('STERLING CATALOG - DRY '!I5069,"AAAAAHT/Hxo=")</f>
        <v>#VALUE!</v>
      </c>
      <c r="AB226" t="e">
        <f>AND('STERLING CATALOG - DRY '!J5069,"AAAAAHT/Hxs=")</f>
        <v>#VALUE!</v>
      </c>
      <c r="AC226">
        <f>IF('STERLING CATALOG - DRY '!5070:5070,"AAAAAHT/Hxw=",0)</f>
        <v>0</v>
      </c>
      <c r="AD226" t="e">
        <f>AND('STERLING CATALOG - DRY '!A5070,"AAAAAHT/Hx0=")</f>
        <v>#VALUE!</v>
      </c>
      <c r="AE226" t="e">
        <f>AND('STERLING CATALOG - DRY '!B5070,"AAAAAHT/Hx4=")</f>
        <v>#VALUE!</v>
      </c>
      <c r="AF226" t="e">
        <f>AND('STERLING CATALOG - DRY '!C5070,"AAAAAHT/Hx8=")</f>
        <v>#VALUE!</v>
      </c>
      <c r="AG226" t="e">
        <f>AND('STERLING CATALOG - DRY '!D5070,"AAAAAHT/HyA=")</f>
        <v>#VALUE!</v>
      </c>
      <c r="AH226" t="e">
        <f>AND('STERLING CATALOG - DRY '!E5070,"AAAAAHT/HyE=")</f>
        <v>#VALUE!</v>
      </c>
      <c r="AI226" t="e">
        <f>AND('STERLING CATALOG - DRY '!F5070,"AAAAAHT/HyI=")</f>
        <v>#VALUE!</v>
      </c>
      <c r="AJ226" t="e">
        <f>AND('STERLING CATALOG - DRY '!G5070,"AAAAAHT/HyM=")</f>
        <v>#VALUE!</v>
      </c>
      <c r="AK226" t="e">
        <f>AND('STERLING CATALOG - DRY '!H5070,"AAAAAHT/HyQ=")</f>
        <v>#VALUE!</v>
      </c>
      <c r="AL226" t="e">
        <f>AND('STERLING CATALOG - DRY '!I5070,"AAAAAHT/HyU=")</f>
        <v>#VALUE!</v>
      </c>
      <c r="AM226" t="e">
        <f>AND('STERLING CATALOG - DRY '!J5070,"AAAAAHT/HyY=")</f>
        <v>#VALUE!</v>
      </c>
      <c r="AN226">
        <f>IF('STERLING CATALOG - DRY '!5071:5071,"AAAAAHT/Hyc=",0)</f>
        <v>0</v>
      </c>
      <c r="AO226" t="e">
        <f>AND('STERLING CATALOG - DRY '!A5071,"AAAAAHT/Hyg=")</f>
        <v>#VALUE!</v>
      </c>
      <c r="AP226" t="e">
        <f>AND('STERLING CATALOG - DRY '!B5071,"AAAAAHT/Hyk=")</f>
        <v>#VALUE!</v>
      </c>
      <c r="AQ226" t="e">
        <f>AND('STERLING CATALOG - DRY '!C5071,"AAAAAHT/Hyo=")</f>
        <v>#VALUE!</v>
      </c>
      <c r="AR226" t="e">
        <f>AND('STERLING CATALOG - DRY '!D5071,"AAAAAHT/Hys=")</f>
        <v>#VALUE!</v>
      </c>
      <c r="AS226" t="e">
        <f>AND('STERLING CATALOG - DRY '!E5071,"AAAAAHT/Hyw=")</f>
        <v>#VALUE!</v>
      </c>
      <c r="AT226" t="e">
        <f>AND('STERLING CATALOG - DRY '!F5071,"AAAAAHT/Hy0=")</f>
        <v>#VALUE!</v>
      </c>
      <c r="AU226" t="e">
        <f>AND('STERLING CATALOG - DRY '!G5071,"AAAAAHT/Hy4=")</f>
        <v>#VALUE!</v>
      </c>
      <c r="AV226" t="e">
        <f>AND('STERLING CATALOG - DRY '!H5071,"AAAAAHT/Hy8=")</f>
        <v>#VALUE!</v>
      </c>
      <c r="AW226" t="e">
        <f>AND('STERLING CATALOG - DRY '!I5071,"AAAAAHT/HzA=")</f>
        <v>#VALUE!</v>
      </c>
      <c r="AX226" t="e">
        <f>AND('STERLING CATALOG - DRY '!J5071,"AAAAAHT/HzE=")</f>
        <v>#VALUE!</v>
      </c>
      <c r="AY226">
        <f>IF('STERLING CATALOG - DRY '!5072:5072,"AAAAAHT/HzI=",0)</f>
        <v>0</v>
      </c>
      <c r="AZ226" t="e">
        <f>AND('STERLING CATALOG - DRY '!A5072,"AAAAAHT/HzM=")</f>
        <v>#VALUE!</v>
      </c>
      <c r="BA226" t="e">
        <f>AND('STERLING CATALOG - DRY '!B5072,"AAAAAHT/HzQ=")</f>
        <v>#VALUE!</v>
      </c>
      <c r="BB226" t="e">
        <f>AND('STERLING CATALOG - DRY '!C5072,"AAAAAHT/HzU=")</f>
        <v>#VALUE!</v>
      </c>
      <c r="BC226" t="e">
        <f>AND('STERLING CATALOG - DRY '!D5072,"AAAAAHT/HzY=")</f>
        <v>#VALUE!</v>
      </c>
      <c r="BD226" t="e">
        <f>AND('STERLING CATALOG - DRY '!E5072,"AAAAAHT/Hzc=")</f>
        <v>#VALUE!</v>
      </c>
      <c r="BE226" t="e">
        <f>AND('STERLING CATALOG - DRY '!F5072,"AAAAAHT/Hzg=")</f>
        <v>#VALUE!</v>
      </c>
      <c r="BF226" t="e">
        <f>AND('STERLING CATALOG - DRY '!G5072,"AAAAAHT/Hzk=")</f>
        <v>#VALUE!</v>
      </c>
      <c r="BG226" t="e">
        <f>AND('STERLING CATALOG - DRY '!H5072,"AAAAAHT/Hzo=")</f>
        <v>#VALUE!</v>
      </c>
      <c r="BH226" t="e">
        <f>AND('STERLING CATALOG - DRY '!I5072,"AAAAAHT/Hzs=")</f>
        <v>#VALUE!</v>
      </c>
      <c r="BI226" t="e">
        <f>AND('STERLING CATALOG - DRY '!J5072,"AAAAAHT/Hzw=")</f>
        <v>#VALUE!</v>
      </c>
      <c r="BJ226">
        <f>IF('STERLING CATALOG - DRY '!5073:5073,"AAAAAHT/Hz0=",0)</f>
        <v>0</v>
      </c>
      <c r="BK226" t="e">
        <f>AND('STERLING CATALOG - DRY '!A5073,"AAAAAHT/Hz4=")</f>
        <v>#VALUE!</v>
      </c>
      <c r="BL226" t="e">
        <f>AND('STERLING CATALOG - DRY '!B5073,"AAAAAHT/Hz8=")</f>
        <v>#VALUE!</v>
      </c>
      <c r="BM226" t="e">
        <f>AND('STERLING CATALOG - DRY '!C5073,"AAAAAHT/H0A=")</f>
        <v>#VALUE!</v>
      </c>
      <c r="BN226" t="e">
        <f>AND('STERLING CATALOG - DRY '!D5073,"AAAAAHT/H0E=")</f>
        <v>#VALUE!</v>
      </c>
      <c r="BO226" t="e">
        <f>AND('STERLING CATALOG - DRY '!E5073,"AAAAAHT/H0I=")</f>
        <v>#VALUE!</v>
      </c>
      <c r="BP226" t="e">
        <f>AND('STERLING CATALOG - DRY '!F5073,"AAAAAHT/H0M=")</f>
        <v>#VALUE!</v>
      </c>
      <c r="BQ226" t="e">
        <f>AND('STERLING CATALOG - DRY '!G5073,"AAAAAHT/H0Q=")</f>
        <v>#VALUE!</v>
      </c>
      <c r="BR226" t="e">
        <f>AND('STERLING CATALOG - DRY '!H5073,"AAAAAHT/H0U=")</f>
        <v>#VALUE!</v>
      </c>
      <c r="BS226" t="e">
        <f>AND('STERLING CATALOG - DRY '!I5073,"AAAAAHT/H0Y=")</f>
        <v>#VALUE!</v>
      </c>
      <c r="BT226" t="e">
        <f>AND('STERLING CATALOG - DRY '!J5073,"AAAAAHT/H0c=")</f>
        <v>#VALUE!</v>
      </c>
      <c r="BU226">
        <f>IF('STERLING CATALOG - DRY '!5074:5074,"AAAAAHT/H0g=",0)</f>
        <v>0</v>
      </c>
      <c r="BV226" t="e">
        <f>AND('STERLING CATALOG - DRY '!A5074,"AAAAAHT/H0k=")</f>
        <v>#VALUE!</v>
      </c>
      <c r="BW226" t="e">
        <f>AND('STERLING CATALOG - DRY '!B5074,"AAAAAHT/H0o=")</f>
        <v>#VALUE!</v>
      </c>
      <c r="BX226" t="e">
        <f>AND('STERLING CATALOG - DRY '!C5074,"AAAAAHT/H0s=")</f>
        <v>#VALUE!</v>
      </c>
      <c r="BY226" t="e">
        <f>AND('STERLING CATALOG - DRY '!D5074,"AAAAAHT/H0w=")</f>
        <v>#VALUE!</v>
      </c>
      <c r="BZ226" t="e">
        <f>AND('STERLING CATALOG - DRY '!E5074,"AAAAAHT/H00=")</f>
        <v>#VALUE!</v>
      </c>
      <c r="CA226" t="e">
        <f>AND('STERLING CATALOG - DRY '!F5074,"AAAAAHT/H04=")</f>
        <v>#VALUE!</v>
      </c>
      <c r="CB226" t="e">
        <f>AND('STERLING CATALOG - DRY '!G5074,"AAAAAHT/H08=")</f>
        <v>#VALUE!</v>
      </c>
      <c r="CC226" t="e">
        <f>AND('STERLING CATALOG - DRY '!H5074,"AAAAAHT/H1A=")</f>
        <v>#VALUE!</v>
      </c>
      <c r="CD226" t="e">
        <f>AND('STERLING CATALOG - DRY '!I5074,"AAAAAHT/H1E=")</f>
        <v>#VALUE!</v>
      </c>
      <c r="CE226" t="e">
        <f>AND('STERLING CATALOG - DRY '!J5074,"AAAAAHT/H1I=")</f>
        <v>#VALUE!</v>
      </c>
      <c r="CF226">
        <f>IF('STERLING CATALOG - DRY '!5075:5075,"AAAAAHT/H1M=",0)</f>
        <v>0</v>
      </c>
      <c r="CG226" t="e">
        <f>AND('STERLING CATALOG - DRY '!A5075,"AAAAAHT/H1Q=")</f>
        <v>#VALUE!</v>
      </c>
      <c r="CH226" t="e">
        <f>AND('STERLING CATALOG - DRY '!B5075,"AAAAAHT/H1U=")</f>
        <v>#VALUE!</v>
      </c>
      <c r="CI226" t="e">
        <f>AND('STERLING CATALOG - DRY '!C5075,"AAAAAHT/H1Y=")</f>
        <v>#VALUE!</v>
      </c>
      <c r="CJ226" t="e">
        <f>AND('STERLING CATALOG - DRY '!D5075,"AAAAAHT/H1c=")</f>
        <v>#VALUE!</v>
      </c>
      <c r="CK226" t="e">
        <f>AND('STERLING CATALOG - DRY '!E5075,"AAAAAHT/H1g=")</f>
        <v>#VALUE!</v>
      </c>
      <c r="CL226" t="e">
        <f>AND('STERLING CATALOG - DRY '!F5075,"AAAAAHT/H1k=")</f>
        <v>#VALUE!</v>
      </c>
      <c r="CM226" t="e">
        <f>AND('STERLING CATALOG - DRY '!G5075,"AAAAAHT/H1o=")</f>
        <v>#VALUE!</v>
      </c>
      <c r="CN226" t="e">
        <f>AND('STERLING CATALOG - DRY '!H5075,"AAAAAHT/H1s=")</f>
        <v>#VALUE!</v>
      </c>
      <c r="CO226" t="e">
        <f>AND('STERLING CATALOG - DRY '!I5075,"AAAAAHT/H1w=")</f>
        <v>#VALUE!</v>
      </c>
      <c r="CP226" t="e">
        <f>AND('STERLING CATALOG - DRY '!J5075,"AAAAAHT/H10=")</f>
        <v>#VALUE!</v>
      </c>
      <c r="CQ226">
        <f>IF('STERLING CATALOG - DRY '!5076:5076,"AAAAAHT/H14=",0)</f>
        <v>0</v>
      </c>
      <c r="CR226" t="e">
        <f>AND('STERLING CATALOG - DRY '!A5076,"AAAAAHT/H18=")</f>
        <v>#VALUE!</v>
      </c>
      <c r="CS226" t="e">
        <f>AND('STERLING CATALOG - DRY '!B5076,"AAAAAHT/H2A=")</f>
        <v>#VALUE!</v>
      </c>
      <c r="CT226" t="e">
        <f>AND('STERLING CATALOG - DRY '!C5076,"AAAAAHT/H2E=")</f>
        <v>#VALUE!</v>
      </c>
      <c r="CU226" t="e">
        <f>AND('STERLING CATALOG - DRY '!D5076,"AAAAAHT/H2I=")</f>
        <v>#VALUE!</v>
      </c>
      <c r="CV226" t="e">
        <f>AND('STERLING CATALOG - DRY '!E5076,"AAAAAHT/H2M=")</f>
        <v>#VALUE!</v>
      </c>
      <c r="CW226" t="e">
        <f>AND('STERLING CATALOG - DRY '!F5076,"AAAAAHT/H2Q=")</f>
        <v>#VALUE!</v>
      </c>
      <c r="CX226" t="e">
        <f>AND('STERLING CATALOG - DRY '!G5076,"AAAAAHT/H2U=")</f>
        <v>#VALUE!</v>
      </c>
      <c r="CY226" t="e">
        <f>AND('STERLING CATALOG - DRY '!H5076,"AAAAAHT/H2Y=")</f>
        <v>#VALUE!</v>
      </c>
      <c r="CZ226" t="e">
        <f>AND('STERLING CATALOG - DRY '!I5076,"AAAAAHT/H2c=")</f>
        <v>#VALUE!</v>
      </c>
      <c r="DA226" t="e">
        <f>AND('STERLING CATALOG - DRY '!J5076,"AAAAAHT/H2g=")</f>
        <v>#VALUE!</v>
      </c>
      <c r="DB226">
        <f>IF('STERLING CATALOG - DRY '!5077:5077,"AAAAAHT/H2k=",0)</f>
        <v>0</v>
      </c>
      <c r="DC226" t="e">
        <f>AND('STERLING CATALOG - DRY '!A5077,"AAAAAHT/H2o=")</f>
        <v>#VALUE!</v>
      </c>
      <c r="DD226" t="e">
        <f>AND('STERLING CATALOG - DRY '!B5077,"AAAAAHT/H2s=")</f>
        <v>#VALUE!</v>
      </c>
      <c r="DE226" t="e">
        <f>AND('STERLING CATALOG - DRY '!C5077,"AAAAAHT/H2w=")</f>
        <v>#VALUE!</v>
      </c>
      <c r="DF226" t="e">
        <f>AND('STERLING CATALOG - DRY '!D5077,"AAAAAHT/H20=")</f>
        <v>#VALUE!</v>
      </c>
      <c r="DG226" t="e">
        <f>AND('STERLING CATALOG - DRY '!E5077,"AAAAAHT/H24=")</f>
        <v>#VALUE!</v>
      </c>
      <c r="DH226" t="e">
        <f>AND('STERLING CATALOG - DRY '!F5077,"AAAAAHT/H28=")</f>
        <v>#VALUE!</v>
      </c>
      <c r="DI226" t="e">
        <f>AND('STERLING CATALOG - DRY '!G5077,"AAAAAHT/H3A=")</f>
        <v>#VALUE!</v>
      </c>
      <c r="DJ226" t="e">
        <f>AND('STERLING CATALOG - DRY '!H5077,"AAAAAHT/H3E=")</f>
        <v>#VALUE!</v>
      </c>
      <c r="DK226" t="e">
        <f>AND('STERLING CATALOG - DRY '!I5077,"AAAAAHT/H3I=")</f>
        <v>#VALUE!</v>
      </c>
      <c r="DL226" t="e">
        <f>AND('STERLING CATALOG - DRY '!J5077,"AAAAAHT/H3M=")</f>
        <v>#VALUE!</v>
      </c>
      <c r="DM226">
        <f>IF('STERLING CATALOG - DRY '!5078:5078,"AAAAAHT/H3Q=",0)</f>
        <v>0</v>
      </c>
      <c r="DN226" t="e">
        <f>AND('STERLING CATALOG - DRY '!A5078,"AAAAAHT/H3U=")</f>
        <v>#VALUE!</v>
      </c>
      <c r="DO226" t="e">
        <f>AND('STERLING CATALOG - DRY '!B5078,"AAAAAHT/H3Y=")</f>
        <v>#VALUE!</v>
      </c>
      <c r="DP226" t="e">
        <f>AND('STERLING CATALOG - DRY '!C5078,"AAAAAHT/H3c=")</f>
        <v>#VALUE!</v>
      </c>
      <c r="DQ226" t="e">
        <f>AND('STERLING CATALOG - DRY '!D5078,"AAAAAHT/H3g=")</f>
        <v>#VALUE!</v>
      </c>
      <c r="DR226" t="e">
        <f>AND('STERLING CATALOG - DRY '!E5078,"AAAAAHT/H3k=")</f>
        <v>#VALUE!</v>
      </c>
      <c r="DS226" t="e">
        <f>AND('STERLING CATALOG - DRY '!F5078,"AAAAAHT/H3o=")</f>
        <v>#VALUE!</v>
      </c>
      <c r="DT226" t="e">
        <f>AND('STERLING CATALOG - DRY '!G5078,"AAAAAHT/H3s=")</f>
        <v>#VALUE!</v>
      </c>
      <c r="DU226" t="e">
        <f>AND('STERLING CATALOG - DRY '!H5078,"AAAAAHT/H3w=")</f>
        <v>#VALUE!</v>
      </c>
      <c r="DV226" t="e">
        <f>AND('STERLING CATALOG - DRY '!I5078,"AAAAAHT/H30=")</f>
        <v>#VALUE!</v>
      </c>
      <c r="DW226" t="e">
        <f>AND('STERLING CATALOG - DRY '!J5078,"AAAAAHT/H34=")</f>
        <v>#VALUE!</v>
      </c>
      <c r="DX226">
        <f>IF('STERLING CATALOG - DRY '!5079:5079,"AAAAAHT/H38=",0)</f>
        <v>0</v>
      </c>
      <c r="DY226" t="e">
        <f>AND('STERLING CATALOG - DRY '!A5079,"AAAAAHT/H4A=")</f>
        <v>#VALUE!</v>
      </c>
      <c r="DZ226" t="e">
        <f>AND('STERLING CATALOG - DRY '!B5079,"AAAAAHT/H4E=")</f>
        <v>#VALUE!</v>
      </c>
      <c r="EA226" t="e">
        <f>AND('STERLING CATALOG - DRY '!C5079,"AAAAAHT/H4I=")</f>
        <v>#VALUE!</v>
      </c>
      <c r="EB226" t="e">
        <f>AND('STERLING CATALOG - DRY '!D5079,"AAAAAHT/H4M=")</f>
        <v>#VALUE!</v>
      </c>
      <c r="EC226" t="e">
        <f>AND('STERLING CATALOG - DRY '!E5079,"AAAAAHT/H4Q=")</f>
        <v>#VALUE!</v>
      </c>
      <c r="ED226" t="e">
        <f>AND('STERLING CATALOG - DRY '!F5079,"AAAAAHT/H4U=")</f>
        <v>#VALUE!</v>
      </c>
      <c r="EE226" t="e">
        <f>AND('STERLING CATALOG - DRY '!G5079,"AAAAAHT/H4Y=")</f>
        <v>#VALUE!</v>
      </c>
      <c r="EF226" t="e">
        <f>AND('STERLING CATALOG - DRY '!H5079,"AAAAAHT/H4c=")</f>
        <v>#VALUE!</v>
      </c>
      <c r="EG226" t="e">
        <f>AND('STERLING CATALOG - DRY '!I5079,"AAAAAHT/H4g=")</f>
        <v>#VALUE!</v>
      </c>
      <c r="EH226" t="e">
        <f>AND('STERLING CATALOG - DRY '!J5079,"AAAAAHT/H4k=")</f>
        <v>#VALUE!</v>
      </c>
      <c r="EI226">
        <f>IF('STERLING CATALOG - DRY '!5080:5080,"AAAAAHT/H4o=",0)</f>
        <v>0</v>
      </c>
      <c r="EJ226" t="e">
        <f>AND('STERLING CATALOG - DRY '!A5080,"AAAAAHT/H4s=")</f>
        <v>#VALUE!</v>
      </c>
      <c r="EK226" t="e">
        <f>AND('STERLING CATALOG - DRY '!B5080,"AAAAAHT/H4w=")</f>
        <v>#VALUE!</v>
      </c>
      <c r="EL226" t="e">
        <f>AND('STERLING CATALOG - DRY '!C5080,"AAAAAHT/H40=")</f>
        <v>#VALUE!</v>
      </c>
      <c r="EM226" t="e">
        <f>AND('STERLING CATALOG - DRY '!D5080,"AAAAAHT/H44=")</f>
        <v>#VALUE!</v>
      </c>
      <c r="EN226" t="e">
        <f>AND('STERLING CATALOG - DRY '!E5080,"AAAAAHT/H48=")</f>
        <v>#VALUE!</v>
      </c>
      <c r="EO226" t="e">
        <f>AND('STERLING CATALOG - DRY '!F5080,"AAAAAHT/H5A=")</f>
        <v>#VALUE!</v>
      </c>
      <c r="EP226" t="e">
        <f>AND('STERLING CATALOG - DRY '!G5080,"AAAAAHT/H5E=")</f>
        <v>#VALUE!</v>
      </c>
      <c r="EQ226" t="e">
        <f>AND('STERLING CATALOG - DRY '!H5080,"AAAAAHT/H5I=")</f>
        <v>#VALUE!</v>
      </c>
      <c r="ER226" t="e">
        <f>AND('STERLING CATALOG - DRY '!I5080,"AAAAAHT/H5M=")</f>
        <v>#VALUE!</v>
      </c>
      <c r="ES226" t="e">
        <f>AND('STERLING CATALOG - DRY '!J5080,"AAAAAHT/H5Q=")</f>
        <v>#VALUE!</v>
      </c>
      <c r="ET226">
        <f>IF('STERLING CATALOG - DRY '!5081:5081,"AAAAAHT/H5U=",0)</f>
        <v>0</v>
      </c>
      <c r="EU226" t="e">
        <f>AND('STERLING CATALOG - DRY '!A5081,"AAAAAHT/H5Y=")</f>
        <v>#VALUE!</v>
      </c>
      <c r="EV226" t="e">
        <f>AND('STERLING CATALOG - DRY '!B5081,"AAAAAHT/H5c=")</f>
        <v>#VALUE!</v>
      </c>
      <c r="EW226" t="e">
        <f>AND('STERLING CATALOG - DRY '!C5081,"AAAAAHT/H5g=")</f>
        <v>#VALUE!</v>
      </c>
      <c r="EX226" t="e">
        <f>AND('STERLING CATALOG - DRY '!D5081,"AAAAAHT/H5k=")</f>
        <v>#VALUE!</v>
      </c>
      <c r="EY226" t="e">
        <f>AND('STERLING CATALOG - DRY '!E5081,"AAAAAHT/H5o=")</f>
        <v>#VALUE!</v>
      </c>
      <c r="EZ226" t="e">
        <f>AND('STERLING CATALOG - DRY '!F5081,"AAAAAHT/H5s=")</f>
        <v>#VALUE!</v>
      </c>
      <c r="FA226" t="e">
        <f>AND('STERLING CATALOG - DRY '!G5081,"AAAAAHT/H5w=")</f>
        <v>#VALUE!</v>
      </c>
      <c r="FB226" t="e">
        <f>AND('STERLING CATALOG - DRY '!H5081,"AAAAAHT/H50=")</f>
        <v>#VALUE!</v>
      </c>
      <c r="FC226" t="e">
        <f>AND('STERLING CATALOG - DRY '!I5081,"AAAAAHT/H54=")</f>
        <v>#VALUE!</v>
      </c>
      <c r="FD226" t="e">
        <f>AND('STERLING CATALOG - DRY '!J5081,"AAAAAHT/H58=")</f>
        <v>#VALUE!</v>
      </c>
      <c r="FE226">
        <f>IF('STERLING CATALOG - DRY '!5082:5082,"AAAAAHT/H6A=",0)</f>
        <v>0</v>
      </c>
      <c r="FF226" t="e">
        <f>AND('STERLING CATALOG - DRY '!A5082,"AAAAAHT/H6E=")</f>
        <v>#VALUE!</v>
      </c>
      <c r="FG226" t="e">
        <f>AND('STERLING CATALOG - DRY '!B5082,"AAAAAHT/H6I=")</f>
        <v>#VALUE!</v>
      </c>
      <c r="FH226" t="e">
        <f>AND('STERLING CATALOG - DRY '!C5082,"AAAAAHT/H6M=")</f>
        <v>#VALUE!</v>
      </c>
      <c r="FI226" t="e">
        <f>AND('STERLING CATALOG - DRY '!D5082,"AAAAAHT/H6Q=")</f>
        <v>#VALUE!</v>
      </c>
      <c r="FJ226" t="e">
        <f>AND('STERLING CATALOG - DRY '!E5082,"AAAAAHT/H6U=")</f>
        <v>#VALUE!</v>
      </c>
      <c r="FK226" t="e">
        <f>AND('STERLING CATALOG - DRY '!F5082,"AAAAAHT/H6Y=")</f>
        <v>#VALUE!</v>
      </c>
      <c r="FL226" t="e">
        <f>AND('STERLING CATALOG - DRY '!G5082,"AAAAAHT/H6c=")</f>
        <v>#VALUE!</v>
      </c>
      <c r="FM226" t="e">
        <f>AND('STERLING CATALOG - DRY '!H5082,"AAAAAHT/H6g=")</f>
        <v>#VALUE!</v>
      </c>
      <c r="FN226" t="e">
        <f>AND('STERLING CATALOG - DRY '!I5082,"AAAAAHT/H6k=")</f>
        <v>#VALUE!</v>
      </c>
      <c r="FO226" t="e">
        <f>AND('STERLING CATALOG - DRY '!J5082,"AAAAAHT/H6o=")</f>
        <v>#VALUE!</v>
      </c>
      <c r="FP226">
        <f>IF('STERLING CATALOG - DRY '!5083:5083,"AAAAAHT/H6s=",0)</f>
        <v>0</v>
      </c>
      <c r="FQ226" t="e">
        <f>AND('STERLING CATALOG - DRY '!A5083,"AAAAAHT/H6w=")</f>
        <v>#VALUE!</v>
      </c>
      <c r="FR226" t="e">
        <f>AND('STERLING CATALOG - DRY '!B5083,"AAAAAHT/H60=")</f>
        <v>#VALUE!</v>
      </c>
      <c r="FS226" t="e">
        <f>AND('STERLING CATALOG - DRY '!C5083,"AAAAAHT/H64=")</f>
        <v>#VALUE!</v>
      </c>
      <c r="FT226" t="e">
        <f>AND('STERLING CATALOG - DRY '!D5083,"AAAAAHT/H68=")</f>
        <v>#VALUE!</v>
      </c>
      <c r="FU226" t="e">
        <f>AND('STERLING CATALOG - DRY '!E5083,"AAAAAHT/H7A=")</f>
        <v>#VALUE!</v>
      </c>
      <c r="FV226" t="e">
        <f>AND('STERLING CATALOG - DRY '!F5083,"AAAAAHT/H7E=")</f>
        <v>#VALUE!</v>
      </c>
      <c r="FW226" t="e">
        <f>AND('STERLING CATALOG - DRY '!G5083,"AAAAAHT/H7I=")</f>
        <v>#VALUE!</v>
      </c>
      <c r="FX226" t="e">
        <f>AND('STERLING CATALOG - DRY '!H5083,"AAAAAHT/H7M=")</f>
        <v>#VALUE!</v>
      </c>
      <c r="FY226" t="e">
        <f>AND('STERLING CATALOG - DRY '!I5083,"AAAAAHT/H7Q=")</f>
        <v>#VALUE!</v>
      </c>
      <c r="FZ226" t="e">
        <f>AND('STERLING CATALOG - DRY '!J5083,"AAAAAHT/H7U=")</f>
        <v>#VALUE!</v>
      </c>
      <c r="GA226">
        <f>IF('STERLING CATALOG - DRY '!5084:5084,"AAAAAHT/H7Y=",0)</f>
        <v>0</v>
      </c>
      <c r="GB226" t="e">
        <f>AND('STERLING CATALOG - DRY '!A5084,"AAAAAHT/H7c=")</f>
        <v>#VALUE!</v>
      </c>
      <c r="GC226" t="e">
        <f>AND('STERLING CATALOG - DRY '!B5084,"AAAAAHT/H7g=")</f>
        <v>#VALUE!</v>
      </c>
      <c r="GD226" t="e">
        <f>AND('STERLING CATALOG - DRY '!C5084,"AAAAAHT/H7k=")</f>
        <v>#VALUE!</v>
      </c>
      <c r="GE226" t="e">
        <f>AND('STERLING CATALOG - DRY '!D5084,"AAAAAHT/H7o=")</f>
        <v>#VALUE!</v>
      </c>
      <c r="GF226" t="e">
        <f>AND('STERLING CATALOG - DRY '!E5084,"AAAAAHT/H7s=")</f>
        <v>#VALUE!</v>
      </c>
      <c r="GG226" t="e">
        <f>AND('STERLING CATALOG - DRY '!F5084,"AAAAAHT/H7w=")</f>
        <v>#VALUE!</v>
      </c>
      <c r="GH226" t="e">
        <f>AND('STERLING CATALOG - DRY '!G5084,"AAAAAHT/H70=")</f>
        <v>#VALUE!</v>
      </c>
      <c r="GI226" t="e">
        <f>AND('STERLING CATALOG - DRY '!H5084,"AAAAAHT/H74=")</f>
        <v>#VALUE!</v>
      </c>
      <c r="GJ226" t="e">
        <f>AND('STERLING CATALOG - DRY '!I5084,"AAAAAHT/H78=")</f>
        <v>#VALUE!</v>
      </c>
      <c r="GK226" t="e">
        <f>AND('STERLING CATALOG - DRY '!J5084,"AAAAAHT/H8A=")</f>
        <v>#VALUE!</v>
      </c>
      <c r="GL226">
        <f>IF('STERLING CATALOG - DRY '!5085:5085,"AAAAAHT/H8E=",0)</f>
        <v>0</v>
      </c>
      <c r="GM226" t="e">
        <f>AND('STERLING CATALOG - DRY '!A5085,"AAAAAHT/H8I=")</f>
        <v>#VALUE!</v>
      </c>
      <c r="GN226" t="e">
        <f>AND('STERLING CATALOG - DRY '!B5085,"AAAAAHT/H8M=")</f>
        <v>#VALUE!</v>
      </c>
      <c r="GO226" t="e">
        <f>AND('STERLING CATALOG - DRY '!C5085,"AAAAAHT/H8Q=")</f>
        <v>#VALUE!</v>
      </c>
      <c r="GP226" t="e">
        <f>AND('STERLING CATALOG - DRY '!D5085,"AAAAAHT/H8U=")</f>
        <v>#VALUE!</v>
      </c>
      <c r="GQ226" t="e">
        <f>AND('STERLING CATALOG - DRY '!E5085,"AAAAAHT/H8Y=")</f>
        <v>#VALUE!</v>
      </c>
      <c r="GR226" t="e">
        <f>AND('STERLING CATALOG - DRY '!F5085,"AAAAAHT/H8c=")</f>
        <v>#VALUE!</v>
      </c>
      <c r="GS226" t="e">
        <f>AND('STERLING CATALOG - DRY '!G5085,"AAAAAHT/H8g=")</f>
        <v>#VALUE!</v>
      </c>
      <c r="GT226" t="e">
        <f>AND('STERLING CATALOG - DRY '!H5085,"AAAAAHT/H8k=")</f>
        <v>#VALUE!</v>
      </c>
      <c r="GU226" t="e">
        <f>AND('STERLING CATALOG - DRY '!I5085,"AAAAAHT/H8o=")</f>
        <v>#VALUE!</v>
      </c>
      <c r="GV226" t="e">
        <f>AND('STERLING CATALOG - DRY '!J5085,"AAAAAHT/H8s=")</f>
        <v>#VALUE!</v>
      </c>
      <c r="GW226">
        <f>IF('STERLING CATALOG - DRY '!5086:5086,"AAAAAHT/H8w=",0)</f>
        <v>0</v>
      </c>
      <c r="GX226" t="e">
        <f>AND('STERLING CATALOG - DRY '!A5086,"AAAAAHT/H80=")</f>
        <v>#VALUE!</v>
      </c>
      <c r="GY226" t="e">
        <f>AND('STERLING CATALOG - DRY '!B5086,"AAAAAHT/H84=")</f>
        <v>#VALUE!</v>
      </c>
      <c r="GZ226" t="e">
        <f>AND('STERLING CATALOG - DRY '!C5086,"AAAAAHT/H88=")</f>
        <v>#VALUE!</v>
      </c>
      <c r="HA226" t="e">
        <f>AND('STERLING CATALOG - DRY '!D5086,"AAAAAHT/H9A=")</f>
        <v>#VALUE!</v>
      </c>
      <c r="HB226" t="e">
        <f>AND('STERLING CATALOG - DRY '!E5086,"AAAAAHT/H9E=")</f>
        <v>#VALUE!</v>
      </c>
      <c r="HC226" t="e">
        <f>AND('STERLING CATALOG - DRY '!F5086,"AAAAAHT/H9I=")</f>
        <v>#VALUE!</v>
      </c>
      <c r="HD226" t="e">
        <f>AND('STERLING CATALOG - DRY '!G5086,"AAAAAHT/H9M=")</f>
        <v>#VALUE!</v>
      </c>
      <c r="HE226" t="e">
        <f>AND('STERLING CATALOG - DRY '!H5086,"AAAAAHT/H9Q=")</f>
        <v>#VALUE!</v>
      </c>
      <c r="HF226" t="e">
        <f>AND('STERLING CATALOG - DRY '!I5086,"AAAAAHT/H9U=")</f>
        <v>#VALUE!</v>
      </c>
      <c r="HG226" t="e">
        <f>AND('STERLING CATALOG - DRY '!J5086,"AAAAAHT/H9Y=")</f>
        <v>#VALUE!</v>
      </c>
      <c r="HH226">
        <f>IF('STERLING CATALOG - DRY '!5087:5087,"AAAAAHT/H9c=",0)</f>
        <v>0</v>
      </c>
      <c r="HI226" t="e">
        <f>AND('STERLING CATALOG - DRY '!A5087,"AAAAAHT/H9g=")</f>
        <v>#VALUE!</v>
      </c>
      <c r="HJ226" t="e">
        <f>AND('STERLING CATALOG - DRY '!B5087,"AAAAAHT/H9k=")</f>
        <v>#VALUE!</v>
      </c>
      <c r="HK226" t="e">
        <f>AND('STERLING CATALOG - DRY '!C5087,"AAAAAHT/H9o=")</f>
        <v>#VALUE!</v>
      </c>
      <c r="HL226" t="e">
        <f>AND('STERLING CATALOG - DRY '!D5087,"AAAAAHT/H9s=")</f>
        <v>#VALUE!</v>
      </c>
      <c r="HM226" t="e">
        <f>AND('STERLING CATALOG - DRY '!E5087,"AAAAAHT/H9w=")</f>
        <v>#VALUE!</v>
      </c>
      <c r="HN226" t="e">
        <f>AND('STERLING CATALOG - DRY '!F5087,"AAAAAHT/H90=")</f>
        <v>#VALUE!</v>
      </c>
      <c r="HO226" t="e">
        <f>AND('STERLING CATALOG - DRY '!G5087,"AAAAAHT/H94=")</f>
        <v>#VALUE!</v>
      </c>
      <c r="HP226" t="e">
        <f>AND('STERLING CATALOG - DRY '!H5087,"AAAAAHT/H98=")</f>
        <v>#VALUE!</v>
      </c>
      <c r="HQ226" t="e">
        <f>AND('STERLING CATALOG - DRY '!I5087,"AAAAAHT/H+A=")</f>
        <v>#VALUE!</v>
      </c>
      <c r="HR226" t="e">
        <f>AND('STERLING CATALOG - DRY '!J5087,"AAAAAHT/H+E=")</f>
        <v>#VALUE!</v>
      </c>
      <c r="HS226">
        <f>IF('STERLING CATALOG - DRY '!5088:5088,"AAAAAHT/H+I=",0)</f>
        <v>0</v>
      </c>
      <c r="HT226" t="e">
        <f>AND('STERLING CATALOG - DRY '!A5088,"AAAAAHT/H+M=")</f>
        <v>#VALUE!</v>
      </c>
      <c r="HU226" t="e">
        <f>AND('STERLING CATALOG - DRY '!B5088,"AAAAAHT/H+Q=")</f>
        <v>#VALUE!</v>
      </c>
      <c r="HV226" t="e">
        <f>AND('STERLING CATALOG - DRY '!C5088,"AAAAAHT/H+U=")</f>
        <v>#VALUE!</v>
      </c>
      <c r="HW226" t="e">
        <f>AND('STERLING CATALOG - DRY '!D5088,"AAAAAHT/H+Y=")</f>
        <v>#VALUE!</v>
      </c>
      <c r="HX226" t="e">
        <f>AND('STERLING CATALOG - DRY '!E5088,"AAAAAHT/H+c=")</f>
        <v>#VALUE!</v>
      </c>
      <c r="HY226" t="e">
        <f>AND('STERLING CATALOG - DRY '!F5088,"AAAAAHT/H+g=")</f>
        <v>#VALUE!</v>
      </c>
      <c r="HZ226" t="e">
        <f>AND('STERLING CATALOG - DRY '!G5088,"AAAAAHT/H+k=")</f>
        <v>#VALUE!</v>
      </c>
      <c r="IA226" t="e">
        <f>AND('STERLING CATALOG - DRY '!H5088,"AAAAAHT/H+o=")</f>
        <v>#VALUE!</v>
      </c>
      <c r="IB226" t="e">
        <f>AND('STERLING CATALOG - DRY '!I5088,"AAAAAHT/H+s=")</f>
        <v>#VALUE!</v>
      </c>
      <c r="IC226" t="e">
        <f>AND('STERLING CATALOG - DRY '!J5088,"AAAAAHT/H+w=")</f>
        <v>#VALUE!</v>
      </c>
      <c r="ID226">
        <f>IF('STERLING CATALOG - DRY '!5089:5089,"AAAAAHT/H+0=",0)</f>
        <v>0</v>
      </c>
      <c r="IE226" t="e">
        <f>AND('STERLING CATALOG - DRY '!A5089,"AAAAAHT/H+4=")</f>
        <v>#VALUE!</v>
      </c>
      <c r="IF226" t="e">
        <f>AND('STERLING CATALOG - DRY '!B5089,"AAAAAHT/H+8=")</f>
        <v>#VALUE!</v>
      </c>
      <c r="IG226" t="e">
        <f>AND('STERLING CATALOG - DRY '!C5089,"AAAAAHT/H/A=")</f>
        <v>#VALUE!</v>
      </c>
      <c r="IH226" t="e">
        <f>AND('STERLING CATALOG - DRY '!D5089,"AAAAAHT/H/E=")</f>
        <v>#VALUE!</v>
      </c>
      <c r="II226" t="e">
        <f>AND('STERLING CATALOG - DRY '!E5089,"AAAAAHT/H/I=")</f>
        <v>#VALUE!</v>
      </c>
      <c r="IJ226" t="e">
        <f>AND('STERLING CATALOG - DRY '!F5089,"AAAAAHT/H/M=")</f>
        <v>#VALUE!</v>
      </c>
      <c r="IK226" t="e">
        <f>AND('STERLING CATALOG - DRY '!G5089,"AAAAAHT/H/Q=")</f>
        <v>#VALUE!</v>
      </c>
      <c r="IL226" t="e">
        <f>AND('STERLING CATALOG - DRY '!H5089,"AAAAAHT/H/U=")</f>
        <v>#VALUE!</v>
      </c>
      <c r="IM226" t="e">
        <f>AND('STERLING CATALOG - DRY '!I5089,"AAAAAHT/H/Y=")</f>
        <v>#VALUE!</v>
      </c>
      <c r="IN226" t="e">
        <f>AND('STERLING CATALOG - DRY '!J5089,"AAAAAHT/H/c=")</f>
        <v>#VALUE!</v>
      </c>
      <c r="IO226">
        <f>IF('STERLING CATALOG - DRY '!5090:5090,"AAAAAHT/H/g=",0)</f>
        <v>0</v>
      </c>
      <c r="IP226" t="e">
        <f>AND('STERLING CATALOG - DRY '!A5090,"AAAAAHT/H/k=")</f>
        <v>#VALUE!</v>
      </c>
      <c r="IQ226" t="e">
        <f>AND('STERLING CATALOG - DRY '!B5090,"AAAAAHT/H/o=")</f>
        <v>#VALUE!</v>
      </c>
      <c r="IR226" t="e">
        <f>AND('STERLING CATALOG - DRY '!C5090,"AAAAAHT/H/s=")</f>
        <v>#VALUE!</v>
      </c>
      <c r="IS226" t="e">
        <f>AND('STERLING CATALOG - DRY '!D5090,"AAAAAHT/H/w=")</f>
        <v>#VALUE!</v>
      </c>
      <c r="IT226" t="e">
        <f>AND('STERLING CATALOG - DRY '!E5090,"AAAAAHT/H/0=")</f>
        <v>#VALUE!</v>
      </c>
      <c r="IU226" t="e">
        <f>AND('STERLING CATALOG - DRY '!F5090,"AAAAAHT/H/4=")</f>
        <v>#VALUE!</v>
      </c>
      <c r="IV226" t="e">
        <f>AND('STERLING CATALOG - DRY '!G5090,"AAAAAHT/H/8=")</f>
        <v>#VALUE!</v>
      </c>
    </row>
    <row r="227" spans="1:256">
      <c r="A227" t="e">
        <f>AND('STERLING CATALOG - DRY '!H5090,"AAAAAFvT3AA=")</f>
        <v>#VALUE!</v>
      </c>
      <c r="B227" t="e">
        <f>AND('STERLING CATALOG - DRY '!I5090,"AAAAAFvT3AE=")</f>
        <v>#VALUE!</v>
      </c>
      <c r="C227" t="e">
        <f>AND('STERLING CATALOG - DRY '!J5090,"AAAAAFvT3AI=")</f>
        <v>#VALUE!</v>
      </c>
      <c r="D227" t="e">
        <f>IF('STERLING CATALOG - DRY '!5091:5091,"AAAAAFvT3AM=",0)</f>
        <v>#VALUE!</v>
      </c>
      <c r="E227" t="e">
        <f>AND('STERLING CATALOG - DRY '!A5091,"AAAAAFvT3AQ=")</f>
        <v>#VALUE!</v>
      </c>
      <c r="F227" t="e">
        <f>AND('STERLING CATALOG - DRY '!B5091,"AAAAAFvT3AU=")</f>
        <v>#VALUE!</v>
      </c>
      <c r="G227" t="e">
        <f>AND('STERLING CATALOG - DRY '!C5091,"AAAAAFvT3AY=")</f>
        <v>#VALUE!</v>
      </c>
      <c r="H227" t="e">
        <f>AND('STERLING CATALOG - DRY '!D5091,"AAAAAFvT3Ac=")</f>
        <v>#VALUE!</v>
      </c>
      <c r="I227" t="e">
        <f>AND('STERLING CATALOG - DRY '!E5091,"AAAAAFvT3Ag=")</f>
        <v>#VALUE!</v>
      </c>
      <c r="J227" t="e">
        <f>AND('STERLING CATALOG - DRY '!F5091,"AAAAAFvT3Ak=")</f>
        <v>#VALUE!</v>
      </c>
      <c r="K227" t="e">
        <f>AND('STERLING CATALOG - DRY '!G5091,"AAAAAFvT3Ao=")</f>
        <v>#VALUE!</v>
      </c>
      <c r="L227" t="e">
        <f>AND('STERLING CATALOG - DRY '!H5091,"AAAAAFvT3As=")</f>
        <v>#VALUE!</v>
      </c>
      <c r="M227" t="e">
        <f>AND('STERLING CATALOG - DRY '!I5091,"AAAAAFvT3Aw=")</f>
        <v>#VALUE!</v>
      </c>
      <c r="N227" t="e">
        <f>AND('STERLING CATALOG - DRY '!J5091,"AAAAAFvT3A0=")</f>
        <v>#VALUE!</v>
      </c>
      <c r="O227">
        <f>IF('STERLING CATALOG - DRY '!5092:5092,"AAAAAFvT3A4=",0)</f>
        <v>0</v>
      </c>
      <c r="P227" t="e">
        <f>AND('STERLING CATALOG - DRY '!A5092,"AAAAAFvT3A8=")</f>
        <v>#VALUE!</v>
      </c>
      <c r="Q227" t="e">
        <f>AND('STERLING CATALOG - DRY '!B5092,"AAAAAFvT3BA=")</f>
        <v>#VALUE!</v>
      </c>
      <c r="R227" t="e">
        <f>AND('STERLING CATALOG - DRY '!C5092,"AAAAAFvT3BE=")</f>
        <v>#VALUE!</v>
      </c>
      <c r="S227" t="e">
        <f>AND('STERLING CATALOG - DRY '!D5092,"AAAAAFvT3BI=")</f>
        <v>#VALUE!</v>
      </c>
      <c r="T227" t="e">
        <f>AND('STERLING CATALOG - DRY '!E5092,"AAAAAFvT3BM=")</f>
        <v>#VALUE!</v>
      </c>
      <c r="U227" t="e">
        <f>AND('STERLING CATALOG - DRY '!F5092,"AAAAAFvT3BQ=")</f>
        <v>#VALUE!</v>
      </c>
      <c r="V227" t="e">
        <f>AND('STERLING CATALOG - DRY '!G5092,"AAAAAFvT3BU=")</f>
        <v>#VALUE!</v>
      </c>
      <c r="W227" t="e">
        <f>AND('STERLING CATALOG - DRY '!H5092,"AAAAAFvT3BY=")</f>
        <v>#VALUE!</v>
      </c>
      <c r="X227" t="e">
        <f>AND('STERLING CATALOG - DRY '!I5092,"AAAAAFvT3Bc=")</f>
        <v>#VALUE!</v>
      </c>
      <c r="Y227" t="e">
        <f>AND('STERLING CATALOG - DRY '!J5092,"AAAAAFvT3Bg=")</f>
        <v>#VALUE!</v>
      </c>
      <c r="Z227">
        <f>IF('STERLING CATALOG - DRY '!5093:5093,"AAAAAFvT3Bk=",0)</f>
        <v>0</v>
      </c>
      <c r="AA227" t="e">
        <f>AND('STERLING CATALOG - DRY '!A5093,"AAAAAFvT3Bo=")</f>
        <v>#VALUE!</v>
      </c>
      <c r="AB227" t="e">
        <f>AND('STERLING CATALOG - DRY '!B5093,"AAAAAFvT3Bs=")</f>
        <v>#VALUE!</v>
      </c>
      <c r="AC227" t="e">
        <f>AND('STERLING CATALOG - DRY '!C5093,"AAAAAFvT3Bw=")</f>
        <v>#VALUE!</v>
      </c>
      <c r="AD227" t="e">
        <f>AND('STERLING CATALOG - DRY '!D5093,"AAAAAFvT3B0=")</f>
        <v>#VALUE!</v>
      </c>
      <c r="AE227" t="e">
        <f>AND('STERLING CATALOG - DRY '!E5093,"AAAAAFvT3B4=")</f>
        <v>#VALUE!</v>
      </c>
      <c r="AF227" t="e">
        <f>AND('STERLING CATALOG - DRY '!F5093,"AAAAAFvT3B8=")</f>
        <v>#VALUE!</v>
      </c>
      <c r="AG227" t="e">
        <f>AND('STERLING CATALOG - DRY '!G5093,"AAAAAFvT3CA=")</f>
        <v>#VALUE!</v>
      </c>
      <c r="AH227" t="e">
        <f>AND('STERLING CATALOG - DRY '!H5093,"AAAAAFvT3CE=")</f>
        <v>#VALUE!</v>
      </c>
      <c r="AI227" t="e">
        <f>AND('STERLING CATALOG - DRY '!I5093,"AAAAAFvT3CI=")</f>
        <v>#VALUE!</v>
      </c>
      <c r="AJ227" t="e">
        <f>AND('STERLING CATALOG - DRY '!J5093,"AAAAAFvT3CM=")</f>
        <v>#VALUE!</v>
      </c>
      <c r="AK227">
        <f>IF('STERLING CATALOG - DRY '!5094:5094,"AAAAAFvT3CQ=",0)</f>
        <v>0</v>
      </c>
      <c r="AL227" t="e">
        <f>AND('STERLING CATALOG - DRY '!A5094,"AAAAAFvT3CU=")</f>
        <v>#VALUE!</v>
      </c>
      <c r="AM227" t="e">
        <f>AND('STERLING CATALOG - DRY '!B5094,"AAAAAFvT3CY=")</f>
        <v>#VALUE!</v>
      </c>
      <c r="AN227" t="e">
        <f>AND('STERLING CATALOG - DRY '!C5094,"AAAAAFvT3Cc=")</f>
        <v>#VALUE!</v>
      </c>
      <c r="AO227" t="e">
        <f>AND('STERLING CATALOG - DRY '!D5094,"AAAAAFvT3Cg=")</f>
        <v>#VALUE!</v>
      </c>
      <c r="AP227" t="e">
        <f>AND('STERLING CATALOG - DRY '!E5094,"AAAAAFvT3Ck=")</f>
        <v>#VALUE!</v>
      </c>
      <c r="AQ227" t="e">
        <f>AND('STERLING CATALOG - DRY '!F5094,"AAAAAFvT3Co=")</f>
        <v>#VALUE!</v>
      </c>
      <c r="AR227" t="e">
        <f>AND('STERLING CATALOG - DRY '!G5094,"AAAAAFvT3Cs=")</f>
        <v>#VALUE!</v>
      </c>
      <c r="AS227" t="e">
        <f>AND('STERLING CATALOG - DRY '!H5094,"AAAAAFvT3Cw=")</f>
        <v>#VALUE!</v>
      </c>
      <c r="AT227" t="e">
        <f>AND('STERLING CATALOG - DRY '!I5094,"AAAAAFvT3C0=")</f>
        <v>#VALUE!</v>
      </c>
      <c r="AU227" t="e">
        <f>AND('STERLING CATALOG - DRY '!J5094,"AAAAAFvT3C4=")</f>
        <v>#VALUE!</v>
      </c>
      <c r="AV227">
        <f>IF('STERLING CATALOG - DRY '!5095:5095,"AAAAAFvT3C8=",0)</f>
        <v>0</v>
      </c>
      <c r="AW227" t="e">
        <f>AND('STERLING CATALOG - DRY '!A5095,"AAAAAFvT3DA=")</f>
        <v>#VALUE!</v>
      </c>
      <c r="AX227" t="e">
        <f>AND('STERLING CATALOG - DRY '!B5095,"AAAAAFvT3DE=")</f>
        <v>#VALUE!</v>
      </c>
      <c r="AY227" t="e">
        <f>AND('STERLING CATALOG - DRY '!C5095,"AAAAAFvT3DI=")</f>
        <v>#VALUE!</v>
      </c>
      <c r="AZ227" t="e">
        <f>AND('STERLING CATALOG - DRY '!D5095,"AAAAAFvT3DM=")</f>
        <v>#VALUE!</v>
      </c>
      <c r="BA227" t="e">
        <f>AND('STERLING CATALOG - DRY '!E5095,"AAAAAFvT3DQ=")</f>
        <v>#VALUE!</v>
      </c>
      <c r="BB227" t="e">
        <f>AND('STERLING CATALOG - DRY '!F5095,"AAAAAFvT3DU=")</f>
        <v>#VALUE!</v>
      </c>
      <c r="BC227" t="e">
        <f>AND('STERLING CATALOG - DRY '!G5095,"AAAAAFvT3DY=")</f>
        <v>#VALUE!</v>
      </c>
      <c r="BD227" t="e">
        <f>AND('STERLING CATALOG - DRY '!H5095,"AAAAAFvT3Dc=")</f>
        <v>#VALUE!</v>
      </c>
      <c r="BE227" t="e">
        <f>AND('STERLING CATALOG - DRY '!I5095,"AAAAAFvT3Dg=")</f>
        <v>#VALUE!</v>
      </c>
      <c r="BF227" t="e">
        <f>AND('STERLING CATALOG - DRY '!J5095,"AAAAAFvT3Dk=")</f>
        <v>#VALUE!</v>
      </c>
      <c r="BG227">
        <f>IF('STERLING CATALOG - DRY '!5096:5096,"AAAAAFvT3Do=",0)</f>
        <v>0</v>
      </c>
      <c r="BH227" t="e">
        <f>AND('STERLING CATALOG - DRY '!A5096,"AAAAAFvT3Ds=")</f>
        <v>#VALUE!</v>
      </c>
      <c r="BI227" t="e">
        <f>AND('STERLING CATALOG - DRY '!B5096,"AAAAAFvT3Dw=")</f>
        <v>#VALUE!</v>
      </c>
      <c r="BJ227" t="e">
        <f>AND('STERLING CATALOG - DRY '!C5096,"AAAAAFvT3D0=")</f>
        <v>#VALUE!</v>
      </c>
      <c r="BK227" t="e">
        <f>AND('STERLING CATALOG - DRY '!D5096,"AAAAAFvT3D4=")</f>
        <v>#VALUE!</v>
      </c>
      <c r="BL227" t="e">
        <f>AND('STERLING CATALOG - DRY '!E5096,"AAAAAFvT3D8=")</f>
        <v>#VALUE!</v>
      </c>
      <c r="BM227" t="e">
        <f>AND('STERLING CATALOG - DRY '!F5096,"AAAAAFvT3EA=")</f>
        <v>#VALUE!</v>
      </c>
      <c r="BN227" t="e">
        <f>AND('STERLING CATALOG - DRY '!G5096,"AAAAAFvT3EE=")</f>
        <v>#VALUE!</v>
      </c>
      <c r="BO227" t="e">
        <f>AND('STERLING CATALOG - DRY '!H5096,"AAAAAFvT3EI=")</f>
        <v>#VALUE!</v>
      </c>
      <c r="BP227" t="e">
        <f>AND('STERLING CATALOG - DRY '!I5096,"AAAAAFvT3EM=")</f>
        <v>#VALUE!</v>
      </c>
      <c r="BQ227" t="e">
        <f>AND('STERLING CATALOG - DRY '!J5096,"AAAAAFvT3EQ=")</f>
        <v>#VALUE!</v>
      </c>
      <c r="BR227">
        <f>IF('STERLING CATALOG - DRY '!5097:5097,"AAAAAFvT3EU=",0)</f>
        <v>0</v>
      </c>
      <c r="BS227" t="e">
        <f>AND('STERLING CATALOG - DRY '!A5097,"AAAAAFvT3EY=")</f>
        <v>#VALUE!</v>
      </c>
      <c r="BT227" t="e">
        <f>AND('STERLING CATALOG - DRY '!B5097,"AAAAAFvT3Ec=")</f>
        <v>#VALUE!</v>
      </c>
      <c r="BU227" t="e">
        <f>AND('STERLING CATALOG - DRY '!C5097,"AAAAAFvT3Eg=")</f>
        <v>#VALUE!</v>
      </c>
      <c r="BV227" t="e">
        <f>AND('STERLING CATALOG - DRY '!D5097,"AAAAAFvT3Ek=")</f>
        <v>#VALUE!</v>
      </c>
      <c r="BW227" t="e">
        <f>AND('STERLING CATALOG - DRY '!E5097,"AAAAAFvT3Eo=")</f>
        <v>#VALUE!</v>
      </c>
      <c r="BX227" t="e">
        <f>AND('STERLING CATALOG - DRY '!F5097,"AAAAAFvT3Es=")</f>
        <v>#VALUE!</v>
      </c>
      <c r="BY227" t="e">
        <f>AND('STERLING CATALOG - DRY '!G5097,"AAAAAFvT3Ew=")</f>
        <v>#VALUE!</v>
      </c>
      <c r="BZ227" t="e">
        <f>AND('STERLING CATALOG - DRY '!H5097,"AAAAAFvT3E0=")</f>
        <v>#VALUE!</v>
      </c>
      <c r="CA227" t="e">
        <f>AND('STERLING CATALOG - DRY '!I5097,"AAAAAFvT3E4=")</f>
        <v>#VALUE!</v>
      </c>
      <c r="CB227" t="e">
        <f>AND('STERLING CATALOG - DRY '!J5097,"AAAAAFvT3E8=")</f>
        <v>#VALUE!</v>
      </c>
      <c r="CC227">
        <f>IF('STERLING CATALOG - DRY '!5098:5098,"AAAAAFvT3FA=",0)</f>
        <v>0</v>
      </c>
      <c r="CD227" t="e">
        <f>AND('STERLING CATALOG - DRY '!A5098,"AAAAAFvT3FE=")</f>
        <v>#VALUE!</v>
      </c>
      <c r="CE227" t="e">
        <f>AND('STERLING CATALOG - DRY '!B5098,"AAAAAFvT3FI=")</f>
        <v>#VALUE!</v>
      </c>
      <c r="CF227" t="e">
        <f>AND('STERLING CATALOG - DRY '!C5098,"AAAAAFvT3FM=")</f>
        <v>#VALUE!</v>
      </c>
      <c r="CG227" t="e">
        <f>AND('STERLING CATALOG - DRY '!D5098,"AAAAAFvT3FQ=")</f>
        <v>#VALUE!</v>
      </c>
      <c r="CH227" t="e">
        <f>AND('STERLING CATALOG - DRY '!E5098,"AAAAAFvT3FU=")</f>
        <v>#VALUE!</v>
      </c>
      <c r="CI227" t="e">
        <f>AND('STERLING CATALOG - DRY '!F5098,"AAAAAFvT3FY=")</f>
        <v>#VALUE!</v>
      </c>
      <c r="CJ227" t="e">
        <f>AND('STERLING CATALOG - DRY '!G5098,"AAAAAFvT3Fc=")</f>
        <v>#VALUE!</v>
      </c>
      <c r="CK227" t="e">
        <f>AND('STERLING CATALOG - DRY '!H5098,"AAAAAFvT3Fg=")</f>
        <v>#VALUE!</v>
      </c>
      <c r="CL227" t="e">
        <f>AND('STERLING CATALOG - DRY '!I5098,"AAAAAFvT3Fk=")</f>
        <v>#VALUE!</v>
      </c>
      <c r="CM227" t="e">
        <f>AND('STERLING CATALOG - DRY '!J5098,"AAAAAFvT3Fo=")</f>
        <v>#VALUE!</v>
      </c>
      <c r="CN227">
        <f>IF('STERLING CATALOG - DRY '!5099:5099,"AAAAAFvT3Fs=",0)</f>
        <v>0</v>
      </c>
      <c r="CO227" t="e">
        <f>AND('STERLING CATALOG - DRY '!A5099,"AAAAAFvT3Fw=")</f>
        <v>#VALUE!</v>
      </c>
      <c r="CP227" t="e">
        <f>AND('STERLING CATALOG - DRY '!B5099,"AAAAAFvT3F0=")</f>
        <v>#VALUE!</v>
      </c>
      <c r="CQ227" t="e">
        <f>AND('STERLING CATALOG - DRY '!C5099,"AAAAAFvT3F4=")</f>
        <v>#VALUE!</v>
      </c>
      <c r="CR227" t="e">
        <f>AND('STERLING CATALOG - DRY '!D5099,"AAAAAFvT3F8=")</f>
        <v>#VALUE!</v>
      </c>
      <c r="CS227" t="e">
        <f>AND('STERLING CATALOG - DRY '!E5099,"AAAAAFvT3GA=")</f>
        <v>#VALUE!</v>
      </c>
      <c r="CT227" t="e">
        <f>AND('STERLING CATALOG - DRY '!F5099,"AAAAAFvT3GE=")</f>
        <v>#VALUE!</v>
      </c>
      <c r="CU227" t="e">
        <f>AND('STERLING CATALOG - DRY '!G5099,"AAAAAFvT3GI=")</f>
        <v>#VALUE!</v>
      </c>
      <c r="CV227" t="e">
        <f>AND('STERLING CATALOG - DRY '!H5099,"AAAAAFvT3GM=")</f>
        <v>#VALUE!</v>
      </c>
      <c r="CW227" t="e">
        <f>AND('STERLING CATALOG - DRY '!I5099,"AAAAAFvT3GQ=")</f>
        <v>#VALUE!</v>
      </c>
      <c r="CX227" t="e">
        <f>AND('STERLING CATALOG - DRY '!J5099,"AAAAAFvT3GU=")</f>
        <v>#VALUE!</v>
      </c>
      <c r="CY227">
        <f>IF('STERLING CATALOG - DRY '!5100:5100,"AAAAAFvT3GY=",0)</f>
        <v>0</v>
      </c>
      <c r="CZ227" t="e">
        <f>AND('STERLING CATALOG - DRY '!A5100,"AAAAAFvT3Gc=")</f>
        <v>#VALUE!</v>
      </c>
      <c r="DA227" t="e">
        <f>AND('STERLING CATALOG - DRY '!B5100,"AAAAAFvT3Gg=")</f>
        <v>#VALUE!</v>
      </c>
      <c r="DB227" t="e">
        <f>AND('STERLING CATALOG - DRY '!C5100,"AAAAAFvT3Gk=")</f>
        <v>#VALUE!</v>
      </c>
      <c r="DC227" t="e">
        <f>AND('STERLING CATALOG - DRY '!D5100,"AAAAAFvT3Go=")</f>
        <v>#VALUE!</v>
      </c>
      <c r="DD227" t="e">
        <f>AND('STERLING CATALOG - DRY '!E5100,"AAAAAFvT3Gs=")</f>
        <v>#VALUE!</v>
      </c>
      <c r="DE227" t="e">
        <f>AND('STERLING CATALOG - DRY '!F5100,"AAAAAFvT3Gw=")</f>
        <v>#VALUE!</v>
      </c>
      <c r="DF227" t="e">
        <f>AND('STERLING CATALOG - DRY '!G5100,"AAAAAFvT3G0=")</f>
        <v>#VALUE!</v>
      </c>
      <c r="DG227" t="e">
        <f>AND('STERLING CATALOG - DRY '!H5100,"AAAAAFvT3G4=")</f>
        <v>#VALUE!</v>
      </c>
      <c r="DH227" t="e">
        <f>AND('STERLING CATALOG - DRY '!I5100,"AAAAAFvT3G8=")</f>
        <v>#VALUE!</v>
      </c>
      <c r="DI227" t="e">
        <f>AND('STERLING CATALOG - DRY '!J5100,"AAAAAFvT3HA=")</f>
        <v>#VALUE!</v>
      </c>
      <c r="DJ227">
        <f>IF('STERLING CATALOG - DRY '!5101:5101,"AAAAAFvT3HE=",0)</f>
        <v>0</v>
      </c>
      <c r="DK227" t="e">
        <f>AND('STERLING CATALOG - DRY '!A5101,"AAAAAFvT3HI=")</f>
        <v>#VALUE!</v>
      </c>
      <c r="DL227" t="e">
        <f>AND('STERLING CATALOG - DRY '!B5101,"AAAAAFvT3HM=")</f>
        <v>#VALUE!</v>
      </c>
      <c r="DM227" t="e">
        <f>AND('STERLING CATALOG - DRY '!C5101,"AAAAAFvT3HQ=")</f>
        <v>#VALUE!</v>
      </c>
      <c r="DN227" t="e">
        <f>AND('STERLING CATALOG - DRY '!D5101,"AAAAAFvT3HU=")</f>
        <v>#VALUE!</v>
      </c>
      <c r="DO227" t="e">
        <f>AND('STERLING CATALOG - DRY '!E5101,"AAAAAFvT3HY=")</f>
        <v>#VALUE!</v>
      </c>
      <c r="DP227" t="e">
        <f>AND('STERLING CATALOG - DRY '!F5101,"AAAAAFvT3Hc=")</f>
        <v>#VALUE!</v>
      </c>
      <c r="DQ227" t="e">
        <f>AND('STERLING CATALOG - DRY '!G5101,"AAAAAFvT3Hg=")</f>
        <v>#VALUE!</v>
      </c>
      <c r="DR227" t="e">
        <f>AND('STERLING CATALOG - DRY '!H5101,"AAAAAFvT3Hk=")</f>
        <v>#VALUE!</v>
      </c>
      <c r="DS227" t="e">
        <f>AND('STERLING CATALOG - DRY '!I5101,"AAAAAFvT3Ho=")</f>
        <v>#VALUE!</v>
      </c>
      <c r="DT227" t="e">
        <f>AND('STERLING CATALOG - DRY '!J5101,"AAAAAFvT3Hs=")</f>
        <v>#VALUE!</v>
      </c>
      <c r="DU227">
        <f>IF('STERLING CATALOG - DRY '!5102:5102,"AAAAAFvT3Hw=",0)</f>
        <v>0</v>
      </c>
      <c r="DV227" t="e">
        <f>AND('STERLING CATALOG - DRY '!A5102,"AAAAAFvT3H0=")</f>
        <v>#VALUE!</v>
      </c>
      <c r="DW227" t="e">
        <f>AND('STERLING CATALOG - DRY '!B5102,"AAAAAFvT3H4=")</f>
        <v>#VALUE!</v>
      </c>
      <c r="DX227" t="e">
        <f>AND('STERLING CATALOG - DRY '!C5102,"AAAAAFvT3H8=")</f>
        <v>#VALUE!</v>
      </c>
      <c r="DY227" t="e">
        <f>AND('STERLING CATALOG - DRY '!D5102,"AAAAAFvT3IA=")</f>
        <v>#VALUE!</v>
      </c>
      <c r="DZ227" t="e">
        <f>AND('STERLING CATALOG - DRY '!E5102,"AAAAAFvT3IE=")</f>
        <v>#VALUE!</v>
      </c>
      <c r="EA227" t="e">
        <f>AND('STERLING CATALOG - DRY '!F5102,"AAAAAFvT3II=")</f>
        <v>#VALUE!</v>
      </c>
      <c r="EB227" t="e">
        <f>AND('STERLING CATALOG - DRY '!G5102,"AAAAAFvT3IM=")</f>
        <v>#VALUE!</v>
      </c>
      <c r="EC227" t="e">
        <f>AND('STERLING CATALOG - DRY '!H5102,"AAAAAFvT3IQ=")</f>
        <v>#VALUE!</v>
      </c>
      <c r="ED227" t="e">
        <f>AND('STERLING CATALOG - DRY '!I5102,"AAAAAFvT3IU=")</f>
        <v>#VALUE!</v>
      </c>
      <c r="EE227" t="e">
        <f>AND('STERLING CATALOG - DRY '!J5102,"AAAAAFvT3IY=")</f>
        <v>#VALUE!</v>
      </c>
      <c r="EF227">
        <f>IF('STERLING CATALOG - DRY '!5103:5103,"AAAAAFvT3Ic=",0)</f>
        <v>0</v>
      </c>
      <c r="EG227" t="e">
        <f>AND('STERLING CATALOG - DRY '!A5103,"AAAAAFvT3Ig=")</f>
        <v>#VALUE!</v>
      </c>
      <c r="EH227" t="e">
        <f>AND('STERLING CATALOG - DRY '!B5103,"AAAAAFvT3Ik=")</f>
        <v>#VALUE!</v>
      </c>
      <c r="EI227" t="e">
        <f>AND('STERLING CATALOG - DRY '!C5103,"AAAAAFvT3Io=")</f>
        <v>#VALUE!</v>
      </c>
      <c r="EJ227" t="e">
        <f>AND('STERLING CATALOG - DRY '!D5103,"AAAAAFvT3Is=")</f>
        <v>#VALUE!</v>
      </c>
      <c r="EK227" t="e">
        <f>AND('STERLING CATALOG - DRY '!E5103,"AAAAAFvT3Iw=")</f>
        <v>#VALUE!</v>
      </c>
      <c r="EL227" t="e">
        <f>AND('STERLING CATALOG - DRY '!F5103,"AAAAAFvT3I0=")</f>
        <v>#VALUE!</v>
      </c>
      <c r="EM227" t="e">
        <f>AND('STERLING CATALOG - DRY '!G5103,"AAAAAFvT3I4=")</f>
        <v>#VALUE!</v>
      </c>
      <c r="EN227" t="e">
        <f>AND('STERLING CATALOG - DRY '!H5103,"AAAAAFvT3I8=")</f>
        <v>#VALUE!</v>
      </c>
      <c r="EO227" t="e">
        <f>AND('STERLING CATALOG - DRY '!I5103,"AAAAAFvT3JA=")</f>
        <v>#VALUE!</v>
      </c>
      <c r="EP227" t="e">
        <f>AND('STERLING CATALOG - DRY '!J5103,"AAAAAFvT3JE=")</f>
        <v>#VALUE!</v>
      </c>
      <c r="EQ227">
        <f>IF('STERLING CATALOG - DRY '!5104:5104,"AAAAAFvT3JI=",0)</f>
        <v>0</v>
      </c>
      <c r="ER227" t="e">
        <f>AND('STERLING CATALOG - DRY '!A5104,"AAAAAFvT3JM=")</f>
        <v>#VALUE!</v>
      </c>
      <c r="ES227" t="e">
        <f>AND('STERLING CATALOG - DRY '!B5104,"AAAAAFvT3JQ=")</f>
        <v>#VALUE!</v>
      </c>
      <c r="ET227" t="e">
        <f>AND('STERLING CATALOG - DRY '!C5104,"AAAAAFvT3JU=")</f>
        <v>#VALUE!</v>
      </c>
      <c r="EU227" t="e">
        <f>AND('STERLING CATALOG - DRY '!D5104,"AAAAAFvT3JY=")</f>
        <v>#VALUE!</v>
      </c>
      <c r="EV227" t="e">
        <f>AND('STERLING CATALOG - DRY '!E5104,"AAAAAFvT3Jc=")</f>
        <v>#VALUE!</v>
      </c>
      <c r="EW227" t="e">
        <f>AND('STERLING CATALOG - DRY '!F5104,"AAAAAFvT3Jg=")</f>
        <v>#VALUE!</v>
      </c>
      <c r="EX227" t="e">
        <f>AND('STERLING CATALOG - DRY '!G5104,"AAAAAFvT3Jk=")</f>
        <v>#VALUE!</v>
      </c>
      <c r="EY227" t="e">
        <f>AND('STERLING CATALOG - DRY '!H5104,"AAAAAFvT3Jo=")</f>
        <v>#VALUE!</v>
      </c>
      <c r="EZ227" t="e">
        <f>AND('STERLING CATALOG - DRY '!I5104,"AAAAAFvT3Js=")</f>
        <v>#VALUE!</v>
      </c>
      <c r="FA227" t="e">
        <f>AND('STERLING CATALOG - DRY '!J5104,"AAAAAFvT3Jw=")</f>
        <v>#VALUE!</v>
      </c>
      <c r="FB227">
        <f>IF('STERLING CATALOG - DRY '!5105:5105,"AAAAAFvT3J0=",0)</f>
        <v>0</v>
      </c>
      <c r="FC227" t="e">
        <f>AND('STERLING CATALOG - DRY '!A5105,"AAAAAFvT3J4=")</f>
        <v>#VALUE!</v>
      </c>
      <c r="FD227" t="e">
        <f>AND('STERLING CATALOG - DRY '!B5105,"AAAAAFvT3J8=")</f>
        <v>#VALUE!</v>
      </c>
      <c r="FE227" t="e">
        <f>AND('STERLING CATALOG - DRY '!C5105,"AAAAAFvT3KA=")</f>
        <v>#VALUE!</v>
      </c>
      <c r="FF227" t="e">
        <f>AND('STERLING CATALOG - DRY '!D5105,"AAAAAFvT3KE=")</f>
        <v>#VALUE!</v>
      </c>
      <c r="FG227" t="e">
        <f>AND('STERLING CATALOG - DRY '!E5105,"AAAAAFvT3KI=")</f>
        <v>#VALUE!</v>
      </c>
      <c r="FH227" t="e">
        <f>AND('STERLING CATALOG - DRY '!F5105,"AAAAAFvT3KM=")</f>
        <v>#VALUE!</v>
      </c>
      <c r="FI227" t="e">
        <f>AND('STERLING CATALOG - DRY '!G5105,"AAAAAFvT3KQ=")</f>
        <v>#VALUE!</v>
      </c>
      <c r="FJ227" t="e">
        <f>AND('STERLING CATALOG - DRY '!H5105,"AAAAAFvT3KU=")</f>
        <v>#VALUE!</v>
      </c>
      <c r="FK227" t="e">
        <f>AND('STERLING CATALOG - DRY '!I5105,"AAAAAFvT3KY=")</f>
        <v>#VALUE!</v>
      </c>
      <c r="FL227" t="e">
        <f>AND('STERLING CATALOG - DRY '!J5105,"AAAAAFvT3Kc=")</f>
        <v>#VALUE!</v>
      </c>
      <c r="FM227">
        <f>IF('STERLING CATALOG - DRY '!5106:5106,"AAAAAFvT3Kg=",0)</f>
        <v>0</v>
      </c>
      <c r="FN227" t="e">
        <f>AND('STERLING CATALOG - DRY '!A5106,"AAAAAFvT3Kk=")</f>
        <v>#VALUE!</v>
      </c>
      <c r="FO227" t="e">
        <f>AND('STERLING CATALOG - DRY '!B5106,"AAAAAFvT3Ko=")</f>
        <v>#VALUE!</v>
      </c>
      <c r="FP227" t="e">
        <f>AND('STERLING CATALOG - DRY '!C5106,"AAAAAFvT3Ks=")</f>
        <v>#VALUE!</v>
      </c>
      <c r="FQ227" t="e">
        <f>AND('STERLING CATALOG - DRY '!D5106,"AAAAAFvT3Kw=")</f>
        <v>#VALUE!</v>
      </c>
      <c r="FR227" t="e">
        <f>AND('STERLING CATALOG - DRY '!E5106,"AAAAAFvT3K0=")</f>
        <v>#VALUE!</v>
      </c>
      <c r="FS227" t="e">
        <f>AND('STERLING CATALOG - DRY '!F5106,"AAAAAFvT3K4=")</f>
        <v>#VALUE!</v>
      </c>
      <c r="FT227" t="e">
        <f>AND('STERLING CATALOG - DRY '!G5106,"AAAAAFvT3K8=")</f>
        <v>#VALUE!</v>
      </c>
      <c r="FU227" t="e">
        <f>AND('STERLING CATALOG - DRY '!H5106,"AAAAAFvT3LA=")</f>
        <v>#VALUE!</v>
      </c>
      <c r="FV227" t="e">
        <f>AND('STERLING CATALOG - DRY '!I5106,"AAAAAFvT3LE=")</f>
        <v>#VALUE!</v>
      </c>
      <c r="FW227" t="e">
        <f>AND('STERLING CATALOG - DRY '!J5106,"AAAAAFvT3LI=")</f>
        <v>#VALUE!</v>
      </c>
      <c r="FX227">
        <f>IF('STERLING CATALOG - DRY '!5107:5107,"AAAAAFvT3LM=",0)</f>
        <v>0</v>
      </c>
      <c r="FY227" t="e">
        <f>AND('STERLING CATALOG - DRY '!A5107,"AAAAAFvT3LQ=")</f>
        <v>#VALUE!</v>
      </c>
      <c r="FZ227" t="e">
        <f>AND('STERLING CATALOG - DRY '!B5107,"AAAAAFvT3LU=")</f>
        <v>#VALUE!</v>
      </c>
      <c r="GA227" t="e">
        <f>AND('STERLING CATALOG - DRY '!C5107,"AAAAAFvT3LY=")</f>
        <v>#VALUE!</v>
      </c>
      <c r="GB227" t="e">
        <f>AND('STERLING CATALOG - DRY '!D5107,"AAAAAFvT3Lc=")</f>
        <v>#VALUE!</v>
      </c>
      <c r="GC227" t="e">
        <f>AND('STERLING CATALOG - DRY '!E5107,"AAAAAFvT3Lg=")</f>
        <v>#VALUE!</v>
      </c>
      <c r="GD227" t="e">
        <f>AND('STERLING CATALOG - DRY '!F5107,"AAAAAFvT3Lk=")</f>
        <v>#VALUE!</v>
      </c>
      <c r="GE227" t="e">
        <f>AND('STERLING CATALOG - DRY '!G5107,"AAAAAFvT3Lo=")</f>
        <v>#VALUE!</v>
      </c>
      <c r="GF227" t="e">
        <f>AND('STERLING CATALOG - DRY '!H5107,"AAAAAFvT3Ls=")</f>
        <v>#VALUE!</v>
      </c>
      <c r="GG227" t="e">
        <f>AND('STERLING CATALOG - DRY '!I5107,"AAAAAFvT3Lw=")</f>
        <v>#VALUE!</v>
      </c>
      <c r="GH227" t="e">
        <f>AND('STERLING CATALOG - DRY '!J5107,"AAAAAFvT3L0=")</f>
        <v>#VALUE!</v>
      </c>
      <c r="GI227">
        <f>IF('STERLING CATALOG - DRY '!5108:5108,"AAAAAFvT3L4=",0)</f>
        <v>0</v>
      </c>
      <c r="GJ227" t="e">
        <f>AND('STERLING CATALOG - DRY '!A5108,"AAAAAFvT3L8=")</f>
        <v>#VALUE!</v>
      </c>
      <c r="GK227" t="e">
        <f>AND('STERLING CATALOG - DRY '!B5108,"AAAAAFvT3MA=")</f>
        <v>#VALUE!</v>
      </c>
      <c r="GL227" t="e">
        <f>AND('STERLING CATALOG - DRY '!C5108,"AAAAAFvT3ME=")</f>
        <v>#VALUE!</v>
      </c>
      <c r="GM227" t="e">
        <f>AND('STERLING CATALOG - DRY '!D5108,"AAAAAFvT3MI=")</f>
        <v>#VALUE!</v>
      </c>
      <c r="GN227" t="e">
        <f>AND('STERLING CATALOG - DRY '!E5108,"AAAAAFvT3MM=")</f>
        <v>#VALUE!</v>
      </c>
      <c r="GO227" t="e">
        <f>AND('STERLING CATALOG - DRY '!F5108,"AAAAAFvT3MQ=")</f>
        <v>#VALUE!</v>
      </c>
      <c r="GP227" t="e">
        <f>AND('STERLING CATALOG - DRY '!G5108,"AAAAAFvT3MU=")</f>
        <v>#VALUE!</v>
      </c>
      <c r="GQ227" t="e">
        <f>AND('STERLING CATALOG - DRY '!H5108,"AAAAAFvT3MY=")</f>
        <v>#VALUE!</v>
      </c>
      <c r="GR227" t="e">
        <f>AND('STERLING CATALOG - DRY '!I5108,"AAAAAFvT3Mc=")</f>
        <v>#VALUE!</v>
      </c>
      <c r="GS227" t="e">
        <f>AND('STERLING CATALOG - DRY '!J5108,"AAAAAFvT3Mg=")</f>
        <v>#VALUE!</v>
      </c>
      <c r="GT227">
        <f>IF('STERLING CATALOG - DRY '!5109:5109,"AAAAAFvT3Mk=",0)</f>
        <v>0</v>
      </c>
      <c r="GU227" t="e">
        <f>AND('STERLING CATALOG - DRY '!A5109,"AAAAAFvT3Mo=")</f>
        <v>#VALUE!</v>
      </c>
      <c r="GV227" t="e">
        <f>AND('STERLING CATALOG - DRY '!B5109,"AAAAAFvT3Ms=")</f>
        <v>#VALUE!</v>
      </c>
      <c r="GW227" t="e">
        <f>AND('STERLING CATALOG - DRY '!C5109,"AAAAAFvT3Mw=")</f>
        <v>#VALUE!</v>
      </c>
      <c r="GX227" t="e">
        <f>AND('STERLING CATALOG - DRY '!D5109,"AAAAAFvT3M0=")</f>
        <v>#VALUE!</v>
      </c>
      <c r="GY227" t="e">
        <f>AND('STERLING CATALOG - DRY '!E5109,"AAAAAFvT3M4=")</f>
        <v>#VALUE!</v>
      </c>
      <c r="GZ227" t="e">
        <f>AND('STERLING CATALOG - DRY '!F5109,"AAAAAFvT3M8=")</f>
        <v>#VALUE!</v>
      </c>
      <c r="HA227" t="e">
        <f>AND('STERLING CATALOG - DRY '!G5109,"AAAAAFvT3NA=")</f>
        <v>#VALUE!</v>
      </c>
      <c r="HB227" t="e">
        <f>AND('STERLING CATALOG - DRY '!H5109,"AAAAAFvT3NE=")</f>
        <v>#VALUE!</v>
      </c>
      <c r="HC227" t="e">
        <f>AND('STERLING CATALOG - DRY '!I5109,"AAAAAFvT3NI=")</f>
        <v>#VALUE!</v>
      </c>
      <c r="HD227" t="e">
        <f>AND('STERLING CATALOG - DRY '!J5109,"AAAAAFvT3NM=")</f>
        <v>#VALUE!</v>
      </c>
      <c r="HE227">
        <f>IF('STERLING CATALOG - DRY '!5110:5110,"AAAAAFvT3NQ=",0)</f>
        <v>0</v>
      </c>
      <c r="HF227" t="e">
        <f>AND('STERLING CATALOG - DRY '!A5110,"AAAAAFvT3NU=")</f>
        <v>#VALUE!</v>
      </c>
      <c r="HG227" t="e">
        <f>AND('STERLING CATALOG - DRY '!B5110,"AAAAAFvT3NY=")</f>
        <v>#VALUE!</v>
      </c>
      <c r="HH227" t="e">
        <f>AND('STERLING CATALOG - DRY '!C5110,"AAAAAFvT3Nc=")</f>
        <v>#VALUE!</v>
      </c>
      <c r="HI227" t="e">
        <f>AND('STERLING CATALOG - DRY '!D5110,"AAAAAFvT3Ng=")</f>
        <v>#VALUE!</v>
      </c>
      <c r="HJ227" t="e">
        <f>AND('STERLING CATALOG - DRY '!E5110,"AAAAAFvT3Nk=")</f>
        <v>#VALUE!</v>
      </c>
      <c r="HK227" t="e">
        <f>AND('STERLING CATALOG - DRY '!F5110,"AAAAAFvT3No=")</f>
        <v>#VALUE!</v>
      </c>
      <c r="HL227" t="e">
        <f>AND('STERLING CATALOG - DRY '!G5110,"AAAAAFvT3Ns=")</f>
        <v>#VALUE!</v>
      </c>
      <c r="HM227" t="e">
        <f>AND('STERLING CATALOG - DRY '!H5110,"AAAAAFvT3Nw=")</f>
        <v>#VALUE!</v>
      </c>
      <c r="HN227" t="e">
        <f>AND('STERLING CATALOG - DRY '!I5110,"AAAAAFvT3N0=")</f>
        <v>#VALUE!</v>
      </c>
      <c r="HO227" t="e">
        <f>AND('STERLING CATALOG - DRY '!J5110,"AAAAAFvT3N4=")</f>
        <v>#VALUE!</v>
      </c>
      <c r="HP227">
        <f>IF('STERLING CATALOG - DRY '!5111:5111,"AAAAAFvT3N8=",0)</f>
        <v>0</v>
      </c>
      <c r="HQ227" t="e">
        <f>AND('STERLING CATALOG - DRY '!A5111,"AAAAAFvT3OA=")</f>
        <v>#VALUE!</v>
      </c>
      <c r="HR227" t="e">
        <f>AND('STERLING CATALOG - DRY '!B5111,"AAAAAFvT3OE=")</f>
        <v>#VALUE!</v>
      </c>
      <c r="HS227" t="e">
        <f>AND('STERLING CATALOG - DRY '!C5111,"AAAAAFvT3OI=")</f>
        <v>#VALUE!</v>
      </c>
      <c r="HT227" t="e">
        <f>AND('STERLING CATALOG - DRY '!D5111,"AAAAAFvT3OM=")</f>
        <v>#VALUE!</v>
      </c>
      <c r="HU227" t="e">
        <f>AND('STERLING CATALOG - DRY '!E5111,"AAAAAFvT3OQ=")</f>
        <v>#VALUE!</v>
      </c>
      <c r="HV227" t="e">
        <f>AND('STERLING CATALOG - DRY '!F5111,"AAAAAFvT3OU=")</f>
        <v>#VALUE!</v>
      </c>
      <c r="HW227" t="e">
        <f>AND('STERLING CATALOG - DRY '!G5111,"AAAAAFvT3OY=")</f>
        <v>#VALUE!</v>
      </c>
      <c r="HX227" t="e">
        <f>AND('STERLING CATALOG - DRY '!H5111,"AAAAAFvT3Oc=")</f>
        <v>#VALUE!</v>
      </c>
      <c r="HY227" t="e">
        <f>AND('STERLING CATALOG - DRY '!I5111,"AAAAAFvT3Og=")</f>
        <v>#VALUE!</v>
      </c>
      <c r="HZ227" t="e">
        <f>AND('STERLING CATALOG - DRY '!J5111,"AAAAAFvT3Ok=")</f>
        <v>#VALUE!</v>
      </c>
      <c r="IA227">
        <f>IF('STERLING CATALOG - DRY '!5112:5112,"AAAAAFvT3Oo=",0)</f>
        <v>0</v>
      </c>
      <c r="IB227" t="e">
        <f>AND('STERLING CATALOG - DRY '!A5112,"AAAAAFvT3Os=")</f>
        <v>#VALUE!</v>
      </c>
      <c r="IC227" t="e">
        <f>AND('STERLING CATALOG - DRY '!B5112,"AAAAAFvT3Ow=")</f>
        <v>#VALUE!</v>
      </c>
      <c r="ID227" t="e">
        <f>AND('STERLING CATALOG - DRY '!C5112,"AAAAAFvT3O0=")</f>
        <v>#VALUE!</v>
      </c>
      <c r="IE227" t="e">
        <f>AND('STERLING CATALOG - DRY '!D5112,"AAAAAFvT3O4=")</f>
        <v>#VALUE!</v>
      </c>
      <c r="IF227" t="e">
        <f>AND('STERLING CATALOG - DRY '!E5112,"AAAAAFvT3O8=")</f>
        <v>#VALUE!</v>
      </c>
      <c r="IG227" t="e">
        <f>AND('STERLING CATALOG - DRY '!F5112,"AAAAAFvT3PA=")</f>
        <v>#VALUE!</v>
      </c>
      <c r="IH227" t="e">
        <f>AND('STERLING CATALOG - DRY '!G5112,"AAAAAFvT3PE=")</f>
        <v>#VALUE!</v>
      </c>
      <c r="II227" t="e">
        <f>AND('STERLING CATALOG - DRY '!H5112,"AAAAAFvT3PI=")</f>
        <v>#VALUE!</v>
      </c>
      <c r="IJ227" t="e">
        <f>AND('STERLING CATALOG - DRY '!I5112,"AAAAAFvT3PM=")</f>
        <v>#VALUE!</v>
      </c>
      <c r="IK227" t="e">
        <f>AND('STERLING CATALOG - DRY '!J5112,"AAAAAFvT3PQ=")</f>
        <v>#VALUE!</v>
      </c>
      <c r="IL227">
        <f>IF('STERLING CATALOG - DRY '!5113:5113,"AAAAAFvT3PU=",0)</f>
        <v>0</v>
      </c>
      <c r="IM227" t="e">
        <f>AND('STERLING CATALOG - DRY '!A5113,"AAAAAFvT3PY=")</f>
        <v>#VALUE!</v>
      </c>
      <c r="IN227" t="e">
        <f>AND('STERLING CATALOG - DRY '!B5113,"AAAAAFvT3Pc=")</f>
        <v>#VALUE!</v>
      </c>
      <c r="IO227" t="e">
        <f>AND('STERLING CATALOG - DRY '!C5113,"AAAAAFvT3Pg=")</f>
        <v>#VALUE!</v>
      </c>
      <c r="IP227" t="e">
        <f>AND('STERLING CATALOG - DRY '!D5113,"AAAAAFvT3Pk=")</f>
        <v>#VALUE!</v>
      </c>
      <c r="IQ227" t="e">
        <f>AND('STERLING CATALOG - DRY '!E5113,"AAAAAFvT3Po=")</f>
        <v>#VALUE!</v>
      </c>
      <c r="IR227" t="e">
        <f>AND('STERLING CATALOG - DRY '!F5113,"AAAAAFvT3Ps=")</f>
        <v>#VALUE!</v>
      </c>
      <c r="IS227" t="e">
        <f>AND('STERLING CATALOG - DRY '!G5113,"AAAAAFvT3Pw=")</f>
        <v>#VALUE!</v>
      </c>
      <c r="IT227" t="e">
        <f>AND('STERLING CATALOG - DRY '!H5113,"AAAAAFvT3P0=")</f>
        <v>#VALUE!</v>
      </c>
      <c r="IU227" t="e">
        <f>AND('STERLING CATALOG - DRY '!I5113,"AAAAAFvT3P4=")</f>
        <v>#VALUE!</v>
      </c>
      <c r="IV227" t="e">
        <f>AND('STERLING CATALOG - DRY '!J5113,"AAAAAFvT3P8=")</f>
        <v>#VALUE!</v>
      </c>
    </row>
    <row r="228" spans="1:256">
      <c r="A228" t="str">
        <f>IF('STERLING CATALOG - DRY '!5114:5114,"AAAAAG/2/wA=",0)</f>
        <v>AAAAAG/2/wA=</v>
      </c>
      <c r="B228" t="e">
        <f>AND('STERLING CATALOG - DRY '!A5114,"AAAAAG/2/wE=")</f>
        <v>#VALUE!</v>
      </c>
      <c r="C228" t="e">
        <f>AND('STERLING CATALOG - DRY '!B5114,"AAAAAG/2/wI=")</f>
        <v>#VALUE!</v>
      </c>
      <c r="D228" t="e">
        <f>AND('STERLING CATALOG - DRY '!C5114,"AAAAAG/2/wM=")</f>
        <v>#VALUE!</v>
      </c>
      <c r="E228" t="e">
        <f>AND('STERLING CATALOG - DRY '!D5114,"AAAAAG/2/wQ=")</f>
        <v>#VALUE!</v>
      </c>
      <c r="F228" t="e">
        <f>AND('STERLING CATALOG - DRY '!E5114,"AAAAAG/2/wU=")</f>
        <v>#VALUE!</v>
      </c>
      <c r="G228" t="e">
        <f>AND('STERLING CATALOG - DRY '!F5114,"AAAAAG/2/wY=")</f>
        <v>#VALUE!</v>
      </c>
      <c r="H228" t="e">
        <f>AND('STERLING CATALOG - DRY '!G5114,"AAAAAG/2/wc=")</f>
        <v>#VALUE!</v>
      </c>
      <c r="I228" t="e">
        <f>AND('STERLING CATALOG - DRY '!H5114,"AAAAAG/2/wg=")</f>
        <v>#VALUE!</v>
      </c>
      <c r="J228" t="e">
        <f>AND('STERLING CATALOG - DRY '!I5114,"AAAAAG/2/wk=")</f>
        <v>#VALUE!</v>
      </c>
      <c r="K228" t="e">
        <f>AND('STERLING CATALOG - DRY '!J5114,"AAAAAG/2/wo=")</f>
        <v>#VALUE!</v>
      </c>
      <c r="L228">
        <f>IF('STERLING CATALOG - DRY '!5115:5115,"AAAAAG/2/ws=",0)</f>
        <v>0</v>
      </c>
      <c r="M228" t="e">
        <f>AND('STERLING CATALOG - DRY '!A5115,"AAAAAG/2/ww=")</f>
        <v>#VALUE!</v>
      </c>
      <c r="N228" t="e">
        <f>AND('STERLING CATALOG - DRY '!B5115,"AAAAAG/2/w0=")</f>
        <v>#VALUE!</v>
      </c>
      <c r="O228" t="e">
        <f>AND('STERLING CATALOG - DRY '!C5115,"AAAAAG/2/w4=")</f>
        <v>#VALUE!</v>
      </c>
      <c r="P228" t="e">
        <f>AND('STERLING CATALOG - DRY '!D5115,"AAAAAG/2/w8=")</f>
        <v>#VALUE!</v>
      </c>
      <c r="Q228" t="e">
        <f>AND('STERLING CATALOG - DRY '!E5115,"AAAAAG/2/xA=")</f>
        <v>#VALUE!</v>
      </c>
      <c r="R228" t="e">
        <f>AND('STERLING CATALOG - DRY '!F5115,"AAAAAG/2/xE=")</f>
        <v>#VALUE!</v>
      </c>
      <c r="S228" t="e">
        <f>AND('STERLING CATALOG - DRY '!G5115,"AAAAAG/2/xI=")</f>
        <v>#VALUE!</v>
      </c>
      <c r="T228" t="e">
        <f>AND('STERLING CATALOG - DRY '!H5115,"AAAAAG/2/xM=")</f>
        <v>#VALUE!</v>
      </c>
      <c r="U228" t="e">
        <f>AND('STERLING CATALOG - DRY '!I5115,"AAAAAG/2/xQ=")</f>
        <v>#VALUE!</v>
      </c>
      <c r="V228" t="e">
        <f>AND('STERLING CATALOG - DRY '!J5115,"AAAAAG/2/xU=")</f>
        <v>#VALUE!</v>
      </c>
      <c r="W228">
        <f>IF('STERLING CATALOG - DRY '!5116:5116,"AAAAAG/2/xY=",0)</f>
        <v>0</v>
      </c>
      <c r="X228" t="e">
        <f>AND('STERLING CATALOG - DRY '!A5116,"AAAAAG/2/xc=")</f>
        <v>#VALUE!</v>
      </c>
      <c r="Y228" t="e">
        <f>AND('STERLING CATALOG - DRY '!B5116,"AAAAAG/2/xg=")</f>
        <v>#VALUE!</v>
      </c>
      <c r="Z228" t="e">
        <f>AND('STERLING CATALOG - DRY '!C5116,"AAAAAG/2/xk=")</f>
        <v>#VALUE!</v>
      </c>
      <c r="AA228" t="e">
        <f>AND('STERLING CATALOG - DRY '!D5116,"AAAAAG/2/xo=")</f>
        <v>#VALUE!</v>
      </c>
      <c r="AB228" t="e">
        <f>AND('STERLING CATALOG - DRY '!E5116,"AAAAAG/2/xs=")</f>
        <v>#VALUE!</v>
      </c>
      <c r="AC228" t="e">
        <f>AND('STERLING CATALOG - DRY '!F5116,"AAAAAG/2/xw=")</f>
        <v>#VALUE!</v>
      </c>
      <c r="AD228" t="e">
        <f>AND('STERLING CATALOG - DRY '!G5116,"AAAAAG/2/x0=")</f>
        <v>#VALUE!</v>
      </c>
      <c r="AE228" t="e">
        <f>AND('STERLING CATALOG - DRY '!H5116,"AAAAAG/2/x4=")</f>
        <v>#VALUE!</v>
      </c>
      <c r="AF228" t="e">
        <f>AND('STERLING CATALOG - DRY '!I5116,"AAAAAG/2/x8=")</f>
        <v>#VALUE!</v>
      </c>
      <c r="AG228" t="e">
        <f>AND('STERLING CATALOG - DRY '!J5116,"AAAAAG/2/yA=")</f>
        <v>#VALUE!</v>
      </c>
      <c r="AH228">
        <f>IF('STERLING CATALOG - DRY '!5117:5117,"AAAAAG/2/yE=",0)</f>
        <v>0</v>
      </c>
      <c r="AI228" t="e">
        <f>AND('STERLING CATALOG - DRY '!A5117,"AAAAAG/2/yI=")</f>
        <v>#VALUE!</v>
      </c>
      <c r="AJ228" t="e">
        <f>AND('STERLING CATALOG - DRY '!B5117,"AAAAAG/2/yM=")</f>
        <v>#VALUE!</v>
      </c>
      <c r="AK228" t="e">
        <f>AND('STERLING CATALOG - DRY '!C5117,"AAAAAG/2/yQ=")</f>
        <v>#VALUE!</v>
      </c>
      <c r="AL228" t="e">
        <f>AND('STERLING CATALOG - DRY '!D5117,"AAAAAG/2/yU=")</f>
        <v>#VALUE!</v>
      </c>
      <c r="AM228" t="e">
        <f>AND('STERLING CATALOG - DRY '!E5117,"AAAAAG/2/yY=")</f>
        <v>#VALUE!</v>
      </c>
      <c r="AN228" t="e">
        <f>AND('STERLING CATALOG - DRY '!F5117,"AAAAAG/2/yc=")</f>
        <v>#VALUE!</v>
      </c>
      <c r="AO228" t="e">
        <f>AND('STERLING CATALOG - DRY '!G5117,"AAAAAG/2/yg=")</f>
        <v>#VALUE!</v>
      </c>
      <c r="AP228" t="e">
        <f>AND('STERLING CATALOG - DRY '!H5117,"AAAAAG/2/yk=")</f>
        <v>#VALUE!</v>
      </c>
      <c r="AQ228" t="e">
        <f>AND('STERLING CATALOG - DRY '!I5117,"AAAAAG/2/yo=")</f>
        <v>#VALUE!</v>
      </c>
      <c r="AR228" t="e">
        <f>AND('STERLING CATALOG - DRY '!J5117,"AAAAAG/2/ys=")</f>
        <v>#VALUE!</v>
      </c>
      <c r="AS228">
        <f>IF('STERLING CATALOG - DRY '!5118:5118,"AAAAAG/2/yw=",0)</f>
        <v>0</v>
      </c>
      <c r="AT228" t="e">
        <f>AND('STERLING CATALOG - DRY '!A5118,"AAAAAG/2/y0=")</f>
        <v>#VALUE!</v>
      </c>
      <c r="AU228" t="e">
        <f>AND('STERLING CATALOG - DRY '!B5118,"AAAAAG/2/y4=")</f>
        <v>#VALUE!</v>
      </c>
      <c r="AV228" t="e">
        <f>AND('STERLING CATALOG - DRY '!C5118,"AAAAAG/2/y8=")</f>
        <v>#VALUE!</v>
      </c>
      <c r="AW228" t="e">
        <f>AND('STERLING CATALOG - DRY '!D5118,"AAAAAG/2/zA=")</f>
        <v>#VALUE!</v>
      </c>
      <c r="AX228" t="e">
        <f>AND('STERLING CATALOG - DRY '!E5118,"AAAAAG/2/zE=")</f>
        <v>#VALUE!</v>
      </c>
      <c r="AY228" t="e">
        <f>AND('STERLING CATALOG - DRY '!F5118,"AAAAAG/2/zI=")</f>
        <v>#VALUE!</v>
      </c>
      <c r="AZ228" t="e">
        <f>AND('STERLING CATALOG - DRY '!G5118,"AAAAAG/2/zM=")</f>
        <v>#VALUE!</v>
      </c>
      <c r="BA228" t="e">
        <f>AND('STERLING CATALOG - DRY '!H5118,"AAAAAG/2/zQ=")</f>
        <v>#VALUE!</v>
      </c>
      <c r="BB228" t="e">
        <f>AND('STERLING CATALOG - DRY '!I5118,"AAAAAG/2/zU=")</f>
        <v>#VALUE!</v>
      </c>
      <c r="BC228" t="e">
        <f>AND('STERLING CATALOG - DRY '!J5118,"AAAAAG/2/zY=")</f>
        <v>#VALUE!</v>
      </c>
      <c r="BD228">
        <f>IF('STERLING CATALOG - DRY '!5119:5119,"AAAAAG/2/zc=",0)</f>
        <v>0</v>
      </c>
      <c r="BE228" t="e">
        <f>AND('STERLING CATALOG - DRY '!A5119,"AAAAAG/2/zg=")</f>
        <v>#VALUE!</v>
      </c>
      <c r="BF228" t="e">
        <f>AND('STERLING CATALOG - DRY '!B5119,"AAAAAG/2/zk=")</f>
        <v>#VALUE!</v>
      </c>
      <c r="BG228" t="e">
        <f>AND('STERLING CATALOG - DRY '!C5119,"AAAAAG/2/zo=")</f>
        <v>#VALUE!</v>
      </c>
      <c r="BH228" t="e">
        <f>AND('STERLING CATALOG - DRY '!D5119,"AAAAAG/2/zs=")</f>
        <v>#VALUE!</v>
      </c>
      <c r="BI228" t="e">
        <f>AND('STERLING CATALOG - DRY '!E5119,"AAAAAG/2/zw=")</f>
        <v>#VALUE!</v>
      </c>
      <c r="BJ228" t="e">
        <f>AND('STERLING CATALOG - DRY '!F5119,"AAAAAG/2/z0=")</f>
        <v>#VALUE!</v>
      </c>
      <c r="BK228" t="e">
        <f>AND('STERLING CATALOG - DRY '!G5119,"AAAAAG/2/z4=")</f>
        <v>#VALUE!</v>
      </c>
      <c r="BL228" t="e">
        <f>AND('STERLING CATALOG - DRY '!H5119,"AAAAAG/2/z8=")</f>
        <v>#VALUE!</v>
      </c>
      <c r="BM228" t="e">
        <f>AND('STERLING CATALOG - DRY '!I5119,"AAAAAG/2/0A=")</f>
        <v>#VALUE!</v>
      </c>
      <c r="BN228" t="e">
        <f>AND('STERLING CATALOG - DRY '!J5119,"AAAAAG/2/0E=")</f>
        <v>#VALUE!</v>
      </c>
      <c r="BO228">
        <f>IF('STERLING CATALOG - DRY '!5120:5120,"AAAAAG/2/0I=",0)</f>
        <v>0</v>
      </c>
      <c r="BP228" t="e">
        <f>AND('STERLING CATALOG - DRY '!A5120,"AAAAAG/2/0M=")</f>
        <v>#VALUE!</v>
      </c>
      <c r="BQ228" t="e">
        <f>AND('STERLING CATALOG - DRY '!B5120,"AAAAAG/2/0Q=")</f>
        <v>#VALUE!</v>
      </c>
      <c r="BR228" t="e">
        <f>AND('STERLING CATALOG - DRY '!C5120,"AAAAAG/2/0U=")</f>
        <v>#VALUE!</v>
      </c>
      <c r="BS228" t="e">
        <f>AND('STERLING CATALOG - DRY '!D5120,"AAAAAG/2/0Y=")</f>
        <v>#VALUE!</v>
      </c>
      <c r="BT228" t="e">
        <f>AND('STERLING CATALOG - DRY '!E5120,"AAAAAG/2/0c=")</f>
        <v>#VALUE!</v>
      </c>
      <c r="BU228" t="e">
        <f>AND('STERLING CATALOG - DRY '!F5120,"AAAAAG/2/0g=")</f>
        <v>#VALUE!</v>
      </c>
      <c r="BV228" t="e">
        <f>AND('STERLING CATALOG - DRY '!G5120,"AAAAAG/2/0k=")</f>
        <v>#VALUE!</v>
      </c>
      <c r="BW228" t="e">
        <f>AND('STERLING CATALOG - DRY '!H5120,"AAAAAG/2/0o=")</f>
        <v>#VALUE!</v>
      </c>
      <c r="BX228" t="e">
        <f>AND('STERLING CATALOG - DRY '!I5120,"AAAAAG/2/0s=")</f>
        <v>#VALUE!</v>
      </c>
      <c r="BY228" t="e">
        <f>AND('STERLING CATALOG - DRY '!J5120,"AAAAAG/2/0w=")</f>
        <v>#VALUE!</v>
      </c>
      <c r="BZ228">
        <f>IF('STERLING CATALOG - DRY '!5121:5121,"AAAAAG/2/00=",0)</f>
        <v>0</v>
      </c>
      <c r="CA228" t="e">
        <f>AND('STERLING CATALOG - DRY '!A5121,"AAAAAG/2/04=")</f>
        <v>#VALUE!</v>
      </c>
      <c r="CB228" t="e">
        <f>AND('STERLING CATALOG - DRY '!B5121,"AAAAAG/2/08=")</f>
        <v>#VALUE!</v>
      </c>
      <c r="CC228" t="e">
        <f>AND('STERLING CATALOG - DRY '!C5121,"AAAAAG/2/1A=")</f>
        <v>#VALUE!</v>
      </c>
      <c r="CD228" t="e">
        <f>AND('STERLING CATALOG - DRY '!D5121,"AAAAAG/2/1E=")</f>
        <v>#VALUE!</v>
      </c>
      <c r="CE228" t="e">
        <f>AND('STERLING CATALOG - DRY '!E5121,"AAAAAG/2/1I=")</f>
        <v>#VALUE!</v>
      </c>
      <c r="CF228" t="e">
        <f>AND('STERLING CATALOG - DRY '!F5121,"AAAAAG/2/1M=")</f>
        <v>#VALUE!</v>
      </c>
      <c r="CG228" t="e">
        <f>AND('STERLING CATALOG - DRY '!G5121,"AAAAAG/2/1Q=")</f>
        <v>#VALUE!</v>
      </c>
      <c r="CH228" t="e">
        <f>AND('STERLING CATALOG - DRY '!H5121,"AAAAAG/2/1U=")</f>
        <v>#VALUE!</v>
      </c>
      <c r="CI228" t="e">
        <f>AND('STERLING CATALOG - DRY '!I5121,"AAAAAG/2/1Y=")</f>
        <v>#VALUE!</v>
      </c>
      <c r="CJ228" t="e">
        <f>AND('STERLING CATALOG - DRY '!J5121,"AAAAAG/2/1c=")</f>
        <v>#VALUE!</v>
      </c>
      <c r="CK228">
        <f>IF('STERLING CATALOG - DRY '!5122:5122,"AAAAAG/2/1g=",0)</f>
        <v>0</v>
      </c>
      <c r="CL228" t="e">
        <f>AND('STERLING CATALOG - DRY '!A5122,"AAAAAG/2/1k=")</f>
        <v>#VALUE!</v>
      </c>
      <c r="CM228" t="e">
        <f>AND('STERLING CATALOG - DRY '!B5122,"AAAAAG/2/1o=")</f>
        <v>#VALUE!</v>
      </c>
      <c r="CN228" t="e">
        <f>AND('STERLING CATALOG - DRY '!C5122,"AAAAAG/2/1s=")</f>
        <v>#VALUE!</v>
      </c>
      <c r="CO228" t="e">
        <f>AND('STERLING CATALOG - DRY '!D5122,"AAAAAG/2/1w=")</f>
        <v>#VALUE!</v>
      </c>
      <c r="CP228" t="e">
        <f>AND('STERLING CATALOG - DRY '!E5122,"AAAAAG/2/10=")</f>
        <v>#VALUE!</v>
      </c>
      <c r="CQ228" t="e">
        <f>AND('STERLING CATALOG - DRY '!F5122,"AAAAAG/2/14=")</f>
        <v>#VALUE!</v>
      </c>
      <c r="CR228" t="e">
        <f>AND('STERLING CATALOG - DRY '!G5122,"AAAAAG/2/18=")</f>
        <v>#VALUE!</v>
      </c>
      <c r="CS228" t="e">
        <f>AND('STERLING CATALOG - DRY '!H5122,"AAAAAG/2/2A=")</f>
        <v>#VALUE!</v>
      </c>
      <c r="CT228" t="e">
        <f>AND('STERLING CATALOG - DRY '!I5122,"AAAAAG/2/2E=")</f>
        <v>#VALUE!</v>
      </c>
      <c r="CU228" t="e">
        <f>AND('STERLING CATALOG - DRY '!J5122,"AAAAAG/2/2I=")</f>
        <v>#VALUE!</v>
      </c>
      <c r="CV228">
        <f>IF('STERLING CATALOG - DRY '!5123:5123,"AAAAAG/2/2M=",0)</f>
        <v>0</v>
      </c>
      <c r="CW228" t="e">
        <f>AND('STERLING CATALOG - DRY '!A5123,"AAAAAG/2/2Q=")</f>
        <v>#VALUE!</v>
      </c>
      <c r="CX228" t="e">
        <f>AND('STERLING CATALOG - DRY '!B5123,"AAAAAG/2/2U=")</f>
        <v>#VALUE!</v>
      </c>
      <c r="CY228" t="e">
        <f>AND('STERLING CATALOG - DRY '!C5123,"AAAAAG/2/2Y=")</f>
        <v>#VALUE!</v>
      </c>
      <c r="CZ228" t="e">
        <f>AND('STERLING CATALOG - DRY '!D5123,"AAAAAG/2/2c=")</f>
        <v>#VALUE!</v>
      </c>
      <c r="DA228" t="e">
        <f>AND('STERLING CATALOG - DRY '!E5123,"AAAAAG/2/2g=")</f>
        <v>#VALUE!</v>
      </c>
      <c r="DB228" t="e">
        <f>AND('STERLING CATALOG - DRY '!F5123,"AAAAAG/2/2k=")</f>
        <v>#VALUE!</v>
      </c>
      <c r="DC228" t="e">
        <f>AND('STERLING CATALOG - DRY '!G5123,"AAAAAG/2/2o=")</f>
        <v>#VALUE!</v>
      </c>
      <c r="DD228" t="e">
        <f>AND('STERLING CATALOG - DRY '!H5123,"AAAAAG/2/2s=")</f>
        <v>#VALUE!</v>
      </c>
      <c r="DE228" t="e">
        <f>AND('STERLING CATALOG - DRY '!I5123,"AAAAAG/2/2w=")</f>
        <v>#VALUE!</v>
      </c>
      <c r="DF228" t="e">
        <f>AND('STERLING CATALOG - DRY '!J5123,"AAAAAG/2/20=")</f>
        <v>#VALUE!</v>
      </c>
      <c r="DG228">
        <f>IF('STERLING CATALOG - DRY '!5124:5124,"AAAAAG/2/24=",0)</f>
        <v>0</v>
      </c>
      <c r="DH228" t="e">
        <f>AND('STERLING CATALOG - DRY '!A5124,"AAAAAG/2/28=")</f>
        <v>#VALUE!</v>
      </c>
      <c r="DI228" t="e">
        <f>AND('STERLING CATALOG - DRY '!B5124,"AAAAAG/2/3A=")</f>
        <v>#VALUE!</v>
      </c>
      <c r="DJ228" t="e">
        <f>AND('STERLING CATALOG - DRY '!C5124,"AAAAAG/2/3E=")</f>
        <v>#VALUE!</v>
      </c>
      <c r="DK228" t="e">
        <f>AND('STERLING CATALOG - DRY '!D5124,"AAAAAG/2/3I=")</f>
        <v>#VALUE!</v>
      </c>
      <c r="DL228" t="e">
        <f>AND('STERLING CATALOG - DRY '!E5124,"AAAAAG/2/3M=")</f>
        <v>#VALUE!</v>
      </c>
      <c r="DM228" t="e">
        <f>AND('STERLING CATALOG - DRY '!F5124,"AAAAAG/2/3Q=")</f>
        <v>#VALUE!</v>
      </c>
      <c r="DN228" t="e">
        <f>AND('STERLING CATALOG - DRY '!G5124,"AAAAAG/2/3U=")</f>
        <v>#VALUE!</v>
      </c>
      <c r="DO228" t="e">
        <f>AND('STERLING CATALOG - DRY '!H5124,"AAAAAG/2/3Y=")</f>
        <v>#VALUE!</v>
      </c>
      <c r="DP228" t="e">
        <f>AND('STERLING CATALOG - DRY '!I5124,"AAAAAG/2/3c=")</f>
        <v>#VALUE!</v>
      </c>
      <c r="DQ228" t="e">
        <f>AND('STERLING CATALOG - DRY '!J5124,"AAAAAG/2/3g=")</f>
        <v>#VALUE!</v>
      </c>
      <c r="DR228">
        <f>IF('STERLING CATALOG - DRY '!5125:5125,"AAAAAG/2/3k=",0)</f>
        <v>0</v>
      </c>
      <c r="DS228" t="e">
        <f>AND('STERLING CATALOG - DRY '!A5125,"AAAAAG/2/3o=")</f>
        <v>#VALUE!</v>
      </c>
      <c r="DT228" t="e">
        <f>AND('STERLING CATALOG - DRY '!B5125,"AAAAAG/2/3s=")</f>
        <v>#VALUE!</v>
      </c>
      <c r="DU228" t="e">
        <f>AND('STERLING CATALOG - DRY '!C5125,"AAAAAG/2/3w=")</f>
        <v>#VALUE!</v>
      </c>
      <c r="DV228" t="e">
        <f>AND('STERLING CATALOG - DRY '!D5125,"AAAAAG/2/30=")</f>
        <v>#VALUE!</v>
      </c>
      <c r="DW228" t="e">
        <f>AND('STERLING CATALOG - DRY '!E5125,"AAAAAG/2/34=")</f>
        <v>#VALUE!</v>
      </c>
      <c r="DX228" t="e">
        <f>AND('STERLING CATALOG - DRY '!F5125,"AAAAAG/2/38=")</f>
        <v>#VALUE!</v>
      </c>
      <c r="DY228" t="e">
        <f>AND('STERLING CATALOG - DRY '!G5125,"AAAAAG/2/4A=")</f>
        <v>#VALUE!</v>
      </c>
      <c r="DZ228" t="e">
        <f>AND('STERLING CATALOG - DRY '!H5125,"AAAAAG/2/4E=")</f>
        <v>#VALUE!</v>
      </c>
      <c r="EA228" t="e">
        <f>AND('STERLING CATALOG - DRY '!I5125,"AAAAAG/2/4I=")</f>
        <v>#VALUE!</v>
      </c>
      <c r="EB228" t="e">
        <f>AND('STERLING CATALOG - DRY '!J5125,"AAAAAG/2/4M=")</f>
        <v>#VALUE!</v>
      </c>
      <c r="EC228">
        <f>IF('STERLING CATALOG - DRY '!5126:5126,"AAAAAG/2/4Q=",0)</f>
        <v>0</v>
      </c>
      <c r="ED228" t="e">
        <f>AND('STERLING CATALOG - DRY '!A5126,"AAAAAG/2/4U=")</f>
        <v>#VALUE!</v>
      </c>
      <c r="EE228" t="e">
        <f>AND('STERLING CATALOG - DRY '!B5126,"AAAAAG/2/4Y=")</f>
        <v>#VALUE!</v>
      </c>
      <c r="EF228" t="e">
        <f>AND('STERLING CATALOG - DRY '!C5126,"AAAAAG/2/4c=")</f>
        <v>#VALUE!</v>
      </c>
      <c r="EG228" t="e">
        <f>AND('STERLING CATALOG - DRY '!D5126,"AAAAAG/2/4g=")</f>
        <v>#VALUE!</v>
      </c>
      <c r="EH228" t="e">
        <f>AND('STERLING CATALOG - DRY '!E5126,"AAAAAG/2/4k=")</f>
        <v>#VALUE!</v>
      </c>
      <c r="EI228" t="e">
        <f>AND('STERLING CATALOG - DRY '!F5126,"AAAAAG/2/4o=")</f>
        <v>#VALUE!</v>
      </c>
      <c r="EJ228" t="e">
        <f>AND('STERLING CATALOG - DRY '!G5126,"AAAAAG/2/4s=")</f>
        <v>#VALUE!</v>
      </c>
      <c r="EK228" t="e">
        <f>AND('STERLING CATALOG - DRY '!H5126,"AAAAAG/2/4w=")</f>
        <v>#VALUE!</v>
      </c>
      <c r="EL228" t="e">
        <f>AND('STERLING CATALOG - DRY '!I5126,"AAAAAG/2/40=")</f>
        <v>#VALUE!</v>
      </c>
      <c r="EM228" t="e">
        <f>AND('STERLING CATALOG - DRY '!J5126,"AAAAAG/2/44=")</f>
        <v>#VALUE!</v>
      </c>
      <c r="EN228">
        <f>IF('STERLING CATALOG - DRY '!5127:5127,"AAAAAG/2/48=",0)</f>
        <v>0</v>
      </c>
      <c r="EO228" t="e">
        <f>AND('STERLING CATALOG - DRY '!A5127,"AAAAAG/2/5A=")</f>
        <v>#VALUE!</v>
      </c>
      <c r="EP228" t="e">
        <f>AND('STERLING CATALOG - DRY '!B5127,"AAAAAG/2/5E=")</f>
        <v>#VALUE!</v>
      </c>
      <c r="EQ228" t="e">
        <f>AND('STERLING CATALOG - DRY '!C5127,"AAAAAG/2/5I=")</f>
        <v>#VALUE!</v>
      </c>
      <c r="ER228" t="e">
        <f>AND('STERLING CATALOG - DRY '!D5127,"AAAAAG/2/5M=")</f>
        <v>#VALUE!</v>
      </c>
      <c r="ES228" t="e">
        <f>AND('STERLING CATALOG - DRY '!E5127,"AAAAAG/2/5Q=")</f>
        <v>#VALUE!</v>
      </c>
      <c r="ET228" t="e">
        <f>AND('STERLING CATALOG - DRY '!F5127,"AAAAAG/2/5U=")</f>
        <v>#VALUE!</v>
      </c>
      <c r="EU228" t="e">
        <f>AND('STERLING CATALOG - DRY '!G5127,"AAAAAG/2/5Y=")</f>
        <v>#VALUE!</v>
      </c>
      <c r="EV228" t="e">
        <f>AND('STERLING CATALOG - DRY '!H5127,"AAAAAG/2/5c=")</f>
        <v>#VALUE!</v>
      </c>
      <c r="EW228" t="e">
        <f>AND('STERLING CATALOG - DRY '!I5127,"AAAAAG/2/5g=")</f>
        <v>#VALUE!</v>
      </c>
      <c r="EX228" t="e">
        <f>AND('STERLING CATALOG - DRY '!J5127,"AAAAAG/2/5k=")</f>
        <v>#VALUE!</v>
      </c>
      <c r="EY228">
        <f>IF('STERLING CATALOG - DRY '!5128:5128,"AAAAAG/2/5o=",0)</f>
        <v>0</v>
      </c>
      <c r="EZ228" t="e">
        <f>AND('STERLING CATALOG - DRY '!A5128,"AAAAAG/2/5s=")</f>
        <v>#VALUE!</v>
      </c>
      <c r="FA228" t="e">
        <f>AND('STERLING CATALOG - DRY '!B5128,"AAAAAG/2/5w=")</f>
        <v>#VALUE!</v>
      </c>
      <c r="FB228" t="e">
        <f>AND('STERLING CATALOG - DRY '!C5128,"AAAAAG/2/50=")</f>
        <v>#VALUE!</v>
      </c>
      <c r="FC228" t="e">
        <f>AND('STERLING CATALOG - DRY '!D5128,"AAAAAG/2/54=")</f>
        <v>#VALUE!</v>
      </c>
      <c r="FD228" t="e">
        <f>AND('STERLING CATALOG - DRY '!E5128,"AAAAAG/2/58=")</f>
        <v>#VALUE!</v>
      </c>
      <c r="FE228" t="e">
        <f>AND('STERLING CATALOG - DRY '!F5128,"AAAAAG/2/6A=")</f>
        <v>#VALUE!</v>
      </c>
      <c r="FF228" t="e">
        <f>AND('STERLING CATALOG - DRY '!G5128,"AAAAAG/2/6E=")</f>
        <v>#VALUE!</v>
      </c>
      <c r="FG228" t="e">
        <f>AND('STERLING CATALOG - DRY '!H5128,"AAAAAG/2/6I=")</f>
        <v>#VALUE!</v>
      </c>
      <c r="FH228" t="e">
        <f>AND('STERLING CATALOG - DRY '!I5128,"AAAAAG/2/6M=")</f>
        <v>#VALUE!</v>
      </c>
      <c r="FI228" t="e">
        <f>AND('STERLING CATALOG - DRY '!J5128,"AAAAAG/2/6Q=")</f>
        <v>#VALUE!</v>
      </c>
      <c r="FJ228">
        <f>IF('STERLING CATALOG - DRY '!5129:5129,"AAAAAG/2/6U=",0)</f>
        <v>0</v>
      </c>
      <c r="FK228" t="e">
        <f>AND('STERLING CATALOG - DRY '!A5129,"AAAAAG/2/6Y=")</f>
        <v>#VALUE!</v>
      </c>
      <c r="FL228" t="e">
        <f>AND('STERLING CATALOG - DRY '!B5129,"AAAAAG/2/6c=")</f>
        <v>#VALUE!</v>
      </c>
      <c r="FM228" t="e">
        <f>AND('STERLING CATALOG - DRY '!C5129,"AAAAAG/2/6g=")</f>
        <v>#VALUE!</v>
      </c>
      <c r="FN228" t="e">
        <f>AND('STERLING CATALOG - DRY '!D5129,"AAAAAG/2/6k=")</f>
        <v>#VALUE!</v>
      </c>
      <c r="FO228" t="e">
        <f>AND('STERLING CATALOG - DRY '!E5129,"AAAAAG/2/6o=")</f>
        <v>#VALUE!</v>
      </c>
      <c r="FP228" t="e">
        <f>AND('STERLING CATALOG - DRY '!F5129,"AAAAAG/2/6s=")</f>
        <v>#VALUE!</v>
      </c>
      <c r="FQ228" t="e">
        <f>AND('STERLING CATALOG - DRY '!G5129,"AAAAAG/2/6w=")</f>
        <v>#VALUE!</v>
      </c>
      <c r="FR228" t="e">
        <f>AND('STERLING CATALOG - DRY '!H5129,"AAAAAG/2/60=")</f>
        <v>#VALUE!</v>
      </c>
      <c r="FS228" t="e">
        <f>AND('STERLING CATALOG - DRY '!I5129,"AAAAAG/2/64=")</f>
        <v>#VALUE!</v>
      </c>
      <c r="FT228" t="e">
        <f>AND('STERLING CATALOG - DRY '!J5129,"AAAAAG/2/68=")</f>
        <v>#VALUE!</v>
      </c>
      <c r="FU228">
        <f>IF('STERLING CATALOG - DRY '!5130:5130,"AAAAAG/2/7A=",0)</f>
        <v>0</v>
      </c>
      <c r="FV228" t="e">
        <f>AND('STERLING CATALOG - DRY '!A5130,"AAAAAG/2/7E=")</f>
        <v>#VALUE!</v>
      </c>
      <c r="FW228" t="e">
        <f>AND('STERLING CATALOG - DRY '!B5130,"AAAAAG/2/7I=")</f>
        <v>#VALUE!</v>
      </c>
      <c r="FX228" t="e">
        <f>AND('STERLING CATALOG - DRY '!C5130,"AAAAAG/2/7M=")</f>
        <v>#VALUE!</v>
      </c>
      <c r="FY228" t="e">
        <f>AND('STERLING CATALOG - DRY '!D5130,"AAAAAG/2/7Q=")</f>
        <v>#VALUE!</v>
      </c>
      <c r="FZ228" t="e">
        <f>AND('STERLING CATALOG - DRY '!E5130,"AAAAAG/2/7U=")</f>
        <v>#VALUE!</v>
      </c>
      <c r="GA228" t="e">
        <f>AND('STERLING CATALOG - DRY '!F5130,"AAAAAG/2/7Y=")</f>
        <v>#VALUE!</v>
      </c>
      <c r="GB228" t="e">
        <f>AND('STERLING CATALOG - DRY '!G5130,"AAAAAG/2/7c=")</f>
        <v>#VALUE!</v>
      </c>
      <c r="GC228" t="e">
        <f>AND('STERLING CATALOG - DRY '!H5130,"AAAAAG/2/7g=")</f>
        <v>#VALUE!</v>
      </c>
      <c r="GD228" t="e">
        <f>AND('STERLING CATALOG - DRY '!I5130,"AAAAAG/2/7k=")</f>
        <v>#VALUE!</v>
      </c>
      <c r="GE228" t="e">
        <f>AND('STERLING CATALOG - DRY '!J5130,"AAAAAG/2/7o=")</f>
        <v>#VALUE!</v>
      </c>
      <c r="GF228">
        <f>IF('STERLING CATALOG - DRY '!5131:5131,"AAAAAG/2/7s=",0)</f>
        <v>0</v>
      </c>
      <c r="GG228" t="e">
        <f>AND('STERLING CATALOG - DRY '!A5131,"AAAAAG/2/7w=")</f>
        <v>#VALUE!</v>
      </c>
      <c r="GH228" t="e">
        <f>AND('STERLING CATALOG - DRY '!B5131,"AAAAAG/2/70=")</f>
        <v>#VALUE!</v>
      </c>
      <c r="GI228" t="e">
        <f>AND('STERLING CATALOG - DRY '!C5131,"AAAAAG/2/74=")</f>
        <v>#VALUE!</v>
      </c>
      <c r="GJ228" t="e">
        <f>AND('STERLING CATALOG - DRY '!D5131,"AAAAAG/2/78=")</f>
        <v>#VALUE!</v>
      </c>
      <c r="GK228" t="e">
        <f>AND('STERLING CATALOG - DRY '!E5131,"AAAAAG/2/8A=")</f>
        <v>#VALUE!</v>
      </c>
      <c r="GL228" t="e">
        <f>AND('STERLING CATALOG - DRY '!F5131,"AAAAAG/2/8E=")</f>
        <v>#VALUE!</v>
      </c>
      <c r="GM228" t="e">
        <f>AND('STERLING CATALOG - DRY '!G5131,"AAAAAG/2/8I=")</f>
        <v>#VALUE!</v>
      </c>
      <c r="GN228" t="e">
        <f>AND('STERLING CATALOG - DRY '!H5131,"AAAAAG/2/8M=")</f>
        <v>#VALUE!</v>
      </c>
      <c r="GO228" t="e">
        <f>AND('STERLING CATALOG - DRY '!I5131,"AAAAAG/2/8Q=")</f>
        <v>#VALUE!</v>
      </c>
      <c r="GP228" t="e">
        <f>AND('STERLING CATALOG - DRY '!J5131,"AAAAAG/2/8U=")</f>
        <v>#VALUE!</v>
      </c>
      <c r="GQ228">
        <f>IF('STERLING CATALOG - DRY '!5132:5132,"AAAAAG/2/8Y=",0)</f>
        <v>0</v>
      </c>
      <c r="GR228" t="e">
        <f>AND('STERLING CATALOG - DRY '!A5132,"AAAAAG/2/8c=")</f>
        <v>#VALUE!</v>
      </c>
      <c r="GS228" t="e">
        <f>AND('STERLING CATALOG - DRY '!B5132,"AAAAAG/2/8g=")</f>
        <v>#VALUE!</v>
      </c>
      <c r="GT228" t="e">
        <f>AND('STERLING CATALOG - DRY '!C5132,"AAAAAG/2/8k=")</f>
        <v>#VALUE!</v>
      </c>
      <c r="GU228" t="e">
        <f>AND('STERLING CATALOG - DRY '!D5132,"AAAAAG/2/8o=")</f>
        <v>#VALUE!</v>
      </c>
      <c r="GV228" t="e">
        <f>AND('STERLING CATALOG - DRY '!E5132,"AAAAAG/2/8s=")</f>
        <v>#VALUE!</v>
      </c>
      <c r="GW228" t="e">
        <f>AND('STERLING CATALOG - DRY '!F5132,"AAAAAG/2/8w=")</f>
        <v>#VALUE!</v>
      </c>
      <c r="GX228" t="e">
        <f>AND('STERLING CATALOG - DRY '!G5132,"AAAAAG/2/80=")</f>
        <v>#VALUE!</v>
      </c>
      <c r="GY228" t="e">
        <f>AND('STERLING CATALOG - DRY '!H5132,"AAAAAG/2/84=")</f>
        <v>#VALUE!</v>
      </c>
      <c r="GZ228" t="e">
        <f>AND('STERLING CATALOG - DRY '!I5132,"AAAAAG/2/88=")</f>
        <v>#VALUE!</v>
      </c>
      <c r="HA228" t="e">
        <f>AND('STERLING CATALOG - DRY '!J5132,"AAAAAG/2/9A=")</f>
        <v>#VALUE!</v>
      </c>
      <c r="HB228">
        <f>IF('STERLING CATALOG - DRY '!5133:5133,"AAAAAG/2/9E=",0)</f>
        <v>0</v>
      </c>
      <c r="HC228" t="e">
        <f>AND('STERLING CATALOG - DRY '!A5133,"AAAAAG/2/9I=")</f>
        <v>#VALUE!</v>
      </c>
      <c r="HD228" t="e">
        <f>AND('STERLING CATALOG - DRY '!B5133,"AAAAAG/2/9M=")</f>
        <v>#VALUE!</v>
      </c>
      <c r="HE228" t="e">
        <f>AND('STERLING CATALOG - DRY '!C5133,"AAAAAG/2/9Q=")</f>
        <v>#VALUE!</v>
      </c>
      <c r="HF228" t="e">
        <f>AND('STERLING CATALOG - DRY '!D5133,"AAAAAG/2/9U=")</f>
        <v>#VALUE!</v>
      </c>
      <c r="HG228" t="e">
        <f>AND('STERLING CATALOG - DRY '!E5133,"AAAAAG/2/9Y=")</f>
        <v>#VALUE!</v>
      </c>
      <c r="HH228" t="e">
        <f>AND('STERLING CATALOG - DRY '!F5133,"AAAAAG/2/9c=")</f>
        <v>#VALUE!</v>
      </c>
      <c r="HI228" t="e">
        <f>AND('STERLING CATALOG - DRY '!G5133,"AAAAAG/2/9g=")</f>
        <v>#VALUE!</v>
      </c>
      <c r="HJ228" t="e">
        <f>AND('STERLING CATALOG - DRY '!H5133,"AAAAAG/2/9k=")</f>
        <v>#VALUE!</v>
      </c>
      <c r="HK228" t="e">
        <f>AND('STERLING CATALOG - DRY '!I5133,"AAAAAG/2/9o=")</f>
        <v>#VALUE!</v>
      </c>
      <c r="HL228" t="e">
        <f>AND('STERLING CATALOG - DRY '!J5133,"AAAAAG/2/9s=")</f>
        <v>#VALUE!</v>
      </c>
      <c r="HM228">
        <f>IF('STERLING CATALOG - DRY '!5134:5134,"AAAAAG/2/9w=",0)</f>
        <v>0</v>
      </c>
      <c r="HN228" t="e">
        <f>AND('STERLING CATALOG - DRY '!A5134,"AAAAAG/2/90=")</f>
        <v>#VALUE!</v>
      </c>
      <c r="HO228" t="e">
        <f>AND('STERLING CATALOG - DRY '!B5134,"AAAAAG/2/94=")</f>
        <v>#VALUE!</v>
      </c>
      <c r="HP228" t="e">
        <f>AND('STERLING CATALOG - DRY '!C5134,"AAAAAG/2/98=")</f>
        <v>#VALUE!</v>
      </c>
      <c r="HQ228" t="e">
        <f>AND('STERLING CATALOG - DRY '!D5134,"AAAAAG/2/+A=")</f>
        <v>#VALUE!</v>
      </c>
      <c r="HR228" t="e">
        <f>AND('STERLING CATALOG - DRY '!E5134,"AAAAAG/2/+E=")</f>
        <v>#VALUE!</v>
      </c>
      <c r="HS228" t="e">
        <f>AND('STERLING CATALOG - DRY '!F5134,"AAAAAG/2/+I=")</f>
        <v>#VALUE!</v>
      </c>
      <c r="HT228" t="e">
        <f>AND('STERLING CATALOG - DRY '!G5134,"AAAAAG/2/+M=")</f>
        <v>#VALUE!</v>
      </c>
      <c r="HU228" t="e">
        <f>AND('STERLING CATALOG - DRY '!H5134,"AAAAAG/2/+Q=")</f>
        <v>#VALUE!</v>
      </c>
      <c r="HV228" t="e">
        <f>AND('STERLING CATALOG - DRY '!I5134,"AAAAAG/2/+U=")</f>
        <v>#VALUE!</v>
      </c>
      <c r="HW228" t="e">
        <f>AND('STERLING CATALOG - DRY '!J5134,"AAAAAG/2/+Y=")</f>
        <v>#VALUE!</v>
      </c>
      <c r="HX228">
        <f>IF('STERLING CATALOG - DRY '!5135:5135,"AAAAAG/2/+c=",0)</f>
        <v>0</v>
      </c>
      <c r="HY228" t="e">
        <f>AND('STERLING CATALOG - DRY '!A5135,"AAAAAG/2/+g=")</f>
        <v>#VALUE!</v>
      </c>
      <c r="HZ228" t="e">
        <f>AND('STERLING CATALOG - DRY '!B5135,"AAAAAG/2/+k=")</f>
        <v>#VALUE!</v>
      </c>
      <c r="IA228" t="e">
        <f>AND('STERLING CATALOG - DRY '!C5135,"AAAAAG/2/+o=")</f>
        <v>#VALUE!</v>
      </c>
      <c r="IB228" t="e">
        <f>AND('STERLING CATALOG - DRY '!D5135,"AAAAAG/2/+s=")</f>
        <v>#VALUE!</v>
      </c>
      <c r="IC228" t="e">
        <f>AND('STERLING CATALOG - DRY '!E5135,"AAAAAG/2/+w=")</f>
        <v>#VALUE!</v>
      </c>
      <c r="ID228" t="e">
        <f>AND('STERLING CATALOG - DRY '!F5135,"AAAAAG/2/+0=")</f>
        <v>#VALUE!</v>
      </c>
      <c r="IE228" t="e">
        <f>AND('STERLING CATALOG - DRY '!G5135,"AAAAAG/2/+4=")</f>
        <v>#VALUE!</v>
      </c>
      <c r="IF228" t="e">
        <f>AND('STERLING CATALOG - DRY '!H5135,"AAAAAG/2/+8=")</f>
        <v>#VALUE!</v>
      </c>
      <c r="IG228" t="e">
        <f>AND('STERLING CATALOG - DRY '!I5135,"AAAAAG/2//A=")</f>
        <v>#VALUE!</v>
      </c>
      <c r="IH228" t="e">
        <f>AND('STERLING CATALOG - DRY '!J5135,"AAAAAG/2//E=")</f>
        <v>#VALUE!</v>
      </c>
      <c r="II228">
        <f>IF('STERLING CATALOG - DRY '!5136:5136,"AAAAAG/2//I=",0)</f>
        <v>0</v>
      </c>
      <c r="IJ228" t="e">
        <f>AND('STERLING CATALOG - DRY '!A5136,"AAAAAG/2//M=")</f>
        <v>#VALUE!</v>
      </c>
      <c r="IK228" t="e">
        <f>AND('STERLING CATALOG - DRY '!B5136,"AAAAAG/2//Q=")</f>
        <v>#VALUE!</v>
      </c>
      <c r="IL228" t="e">
        <f>AND('STERLING CATALOG - DRY '!C5136,"AAAAAG/2//U=")</f>
        <v>#VALUE!</v>
      </c>
      <c r="IM228" t="e">
        <f>AND('STERLING CATALOG - DRY '!D5136,"AAAAAG/2//Y=")</f>
        <v>#VALUE!</v>
      </c>
      <c r="IN228" t="e">
        <f>AND('STERLING CATALOG - DRY '!E5136,"AAAAAG/2//c=")</f>
        <v>#VALUE!</v>
      </c>
      <c r="IO228" t="e">
        <f>AND('STERLING CATALOG - DRY '!F5136,"AAAAAG/2//g=")</f>
        <v>#VALUE!</v>
      </c>
      <c r="IP228" t="e">
        <f>AND('STERLING CATALOG - DRY '!G5136,"AAAAAG/2//k=")</f>
        <v>#VALUE!</v>
      </c>
      <c r="IQ228" t="e">
        <f>AND('STERLING CATALOG - DRY '!H5136,"AAAAAG/2//o=")</f>
        <v>#VALUE!</v>
      </c>
      <c r="IR228" t="e">
        <f>AND('STERLING CATALOG - DRY '!I5136,"AAAAAG/2//s=")</f>
        <v>#VALUE!</v>
      </c>
      <c r="IS228" t="e">
        <f>AND('STERLING CATALOG - DRY '!J5136,"AAAAAG/2//w=")</f>
        <v>#VALUE!</v>
      </c>
      <c r="IT228">
        <f>IF('STERLING CATALOG - DRY '!5137:5137,"AAAAAG/2//0=",0)</f>
        <v>0</v>
      </c>
      <c r="IU228" t="e">
        <f>AND('STERLING CATALOG - DRY '!A5137,"AAAAAG/2//4=")</f>
        <v>#VALUE!</v>
      </c>
      <c r="IV228" t="e">
        <f>AND('STERLING CATALOG - DRY '!B5137,"AAAAAG/2//8=")</f>
        <v>#VALUE!</v>
      </c>
    </row>
    <row r="229" spans="1:256">
      <c r="A229" t="e">
        <f>AND('STERLING CATALOG - DRY '!C5137,"AAAAAFe/fQA=")</f>
        <v>#VALUE!</v>
      </c>
      <c r="B229" t="e">
        <f>AND('STERLING CATALOG - DRY '!D5137,"AAAAAFe/fQE=")</f>
        <v>#VALUE!</v>
      </c>
      <c r="C229" t="e">
        <f>AND('STERLING CATALOG - DRY '!E5137,"AAAAAFe/fQI=")</f>
        <v>#VALUE!</v>
      </c>
      <c r="D229" t="e">
        <f>AND('STERLING CATALOG - DRY '!F5137,"AAAAAFe/fQM=")</f>
        <v>#VALUE!</v>
      </c>
      <c r="E229" t="e">
        <f>AND('STERLING CATALOG - DRY '!G5137,"AAAAAFe/fQQ=")</f>
        <v>#VALUE!</v>
      </c>
      <c r="F229" t="e">
        <f>AND('STERLING CATALOG - DRY '!H5137,"AAAAAFe/fQU=")</f>
        <v>#VALUE!</v>
      </c>
      <c r="G229" t="e">
        <f>AND('STERLING CATALOG - DRY '!I5137,"AAAAAFe/fQY=")</f>
        <v>#VALUE!</v>
      </c>
      <c r="H229" t="e">
        <f>AND('STERLING CATALOG - DRY '!J5137,"AAAAAFe/fQc=")</f>
        <v>#VALUE!</v>
      </c>
      <c r="I229" t="e">
        <f>IF('STERLING CATALOG - DRY '!5138:5138,"AAAAAFe/fQg=",0)</f>
        <v>#VALUE!</v>
      </c>
      <c r="J229" t="e">
        <f>AND('STERLING CATALOG - DRY '!A5138,"AAAAAFe/fQk=")</f>
        <v>#VALUE!</v>
      </c>
      <c r="K229" t="e">
        <f>AND('STERLING CATALOG - DRY '!B5138,"AAAAAFe/fQo=")</f>
        <v>#VALUE!</v>
      </c>
      <c r="L229" t="e">
        <f>AND('STERLING CATALOG - DRY '!C5138,"AAAAAFe/fQs=")</f>
        <v>#VALUE!</v>
      </c>
      <c r="M229" t="e">
        <f>AND('STERLING CATALOG - DRY '!D5138,"AAAAAFe/fQw=")</f>
        <v>#VALUE!</v>
      </c>
      <c r="N229" t="e">
        <f>AND('STERLING CATALOG - DRY '!E5138,"AAAAAFe/fQ0=")</f>
        <v>#VALUE!</v>
      </c>
      <c r="O229" t="e">
        <f>AND('STERLING CATALOG - DRY '!F5138,"AAAAAFe/fQ4=")</f>
        <v>#VALUE!</v>
      </c>
      <c r="P229" t="e">
        <f>AND('STERLING CATALOG - DRY '!G5138,"AAAAAFe/fQ8=")</f>
        <v>#VALUE!</v>
      </c>
      <c r="Q229" t="e">
        <f>AND('STERLING CATALOG - DRY '!H5138,"AAAAAFe/fRA=")</f>
        <v>#VALUE!</v>
      </c>
      <c r="R229" t="e">
        <f>AND('STERLING CATALOG - DRY '!I5138,"AAAAAFe/fRE=")</f>
        <v>#VALUE!</v>
      </c>
      <c r="S229" t="e">
        <f>AND('STERLING CATALOG - DRY '!J5138,"AAAAAFe/fRI=")</f>
        <v>#VALUE!</v>
      </c>
      <c r="T229">
        <f>IF('STERLING CATALOG - DRY '!5139:5139,"AAAAAFe/fRM=",0)</f>
        <v>0</v>
      </c>
      <c r="U229" t="e">
        <f>AND('STERLING CATALOG - DRY '!A5139,"AAAAAFe/fRQ=")</f>
        <v>#VALUE!</v>
      </c>
      <c r="V229" t="e">
        <f>AND('STERLING CATALOG - DRY '!B5139,"AAAAAFe/fRU=")</f>
        <v>#VALUE!</v>
      </c>
      <c r="W229" t="e">
        <f>AND('STERLING CATALOG - DRY '!C5139,"AAAAAFe/fRY=")</f>
        <v>#VALUE!</v>
      </c>
      <c r="X229" t="e">
        <f>AND('STERLING CATALOG - DRY '!D5139,"AAAAAFe/fRc=")</f>
        <v>#VALUE!</v>
      </c>
      <c r="Y229" t="e">
        <f>AND('STERLING CATALOG - DRY '!E5139,"AAAAAFe/fRg=")</f>
        <v>#VALUE!</v>
      </c>
      <c r="Z229" t="e">
        <f>AND('STERLING CATALOG - DRY '!F5139,"AAAAAFe/fRk=")</f>
        <v>#VALUE!</v>
      </c>
      <c r="AA229" t="e">
        <f>AND('STERLING CATALOG - DRY '!G5139,"AAAAAFe/fRo=")</f>
        <v>#VALUE!</v>
      </c>
      <c r="AB229" t="e">
        <f>AND('STERLING CATALOG - DRY '!H5139,"AAAAAFe/fRs=")</f>
        <v>#VALUE!</v>
      </c>
      <c r="AC229" t="e">
        <f>AND('STERLING CATALOG - DRY '!I5139,"AAAAAFe/fRw=")</f>
        <v>#VALUE!</v>
      </c>
      <c r="AD229" t="e">
        <f>AND('STERLING CATALOG - DRY '!J5139,"AAAAAFe/fR0=")</f>
        <v>#VALUE!</v>
      </c>
      <c r="AE229">
        <f>IF('STERLING CATALOG - DRY '!5140:5140,"AAAAAFe/fR4=",0)</f>
        <v>0</v>
      </c>
      <c r="AF229" t="e">
        <f>AND('STERLING CATALOG - DRY '!A5140,"AAAAAFe/fR8=")</f>
        <v>#VALUE!</v>
      </c>
      <c r="AG229" t="e">
        <f>AND('STERLING CATALOG - DRY '!B5140,"AAAAAFe/fSA=")</f>
        <v>#VALUE!</v>
      </c>
      <c r="AH229" t="e">
        <f>AND('STERLING CATALOG - DRY '!C5140,"AAAAAFe/fSE=")</f>
        <v>#VALUE!</v>
      </c>
      <c r="AI229" t="e">
        <f>AND('STERLING CATALOG - DRY '!D5140,"AAAAAFe/fSI=")</f>
        <v>#VALUE!</v>
      </c>
      <c r="AJ229" t="e">
        <f>AND('STERLING CATALOG - DRY '!E5140,"AAAAAFe/fSM=")</f>
        <v>#VALUE!</v>
      </c>
      <c r="AK229" t="e">
        <f>AND('STERLING CATALOG - DRY '!F5140,"AAAAAFe/fSQ=")</f>
        <v>#VALUE!</v>
      </c>
      <c r="AL229" t="e">
        <f>AND('STERLING CATALOG - DRY '!G5140,"AAAAAFe/fSU=")</f>
        <v>#VALUE!</v>
      </c>
      <c r="AM229" t="e">
        <f>AND('STERLING CATALOG - DRY '!H5140,"AAAAAFe/fSY=")</f>
        <v>#VALUE!</v>
      </c>
      <c r="AN229" t="e">
        <f>AND('STERLING CATALOG - DRY '!I5140,"AAAAAFe/fSc=")</f>
        <v>#VALUE!</v>
      </c>
      <c r="AO229" t="e">
        <f>AND('STERLING CATALOG - DRY '!J5140,"AAAAAFe/fSg=")</f>
        <v>#VALUE!</v>
      </c>
      <c r="AP229">
        <f>IF('STERLING CATALOG - DRY '!5141:5141,"AAAAAFe/fSk=",0)</f>
        <v>0</v>
      </c>
      <c r="AQ229" t="e">
        <f>AND('STERLING CATALOG - DRY '!A5141,"AAAAAFe/fSo=")</f>
        <v>#VALUE!</v>
      </c>
      <c r="AR229" t="e">
        <f>AND('STERLING CATALOG - DRY '!B5141,"AAAAAFe/fSs=")</f>
        <v>#VALUE!</v>
      </c>
      <c r="AS229" t="e">
        <f>AND('STERLING CATALOG - DRY '!C5141,"AAAAAFe/fSw=")</f>
        <v>#VALUE!</v>
      </c>
      <c r="AT229" t="e">
        <f>AND('STERLING CATALOG - DRY '!D5141,"AAAAAFe/fS0=")</f>
        <v>#VALUE!</v>
      </c>
      <c r="AU229" t="e">
        <f>AND('STERLING CATALOG - DRY '!E5141,"AAAAAFe/fS4=")</f>
        <v>#VALUE!</v>
      </c>
      <c r="AV229" t="e">
        <f>AND('STERLING CATALOG - DRY '!F5141,"AAAAAFe/fS8=")</f>
        <v>#VALUE!</v>
      </c>
      <c r="AW229" t="e">
        <f>AND('STERLING CATALOG - DRY '!G5141,"AAAAAFe/fTA=")</f>
        <v>#VALUE!</v>
      </c>
      <c r="AX229" t="e">
        <f>AND('STERLING CATALOG - DRY '!H5141,"AAAAAFe/fTE=")</f>
        <v>#VALUE!</v>
      </c>
      <c r="AY229" t="e">
        <f>AND('STERLING CATALOG - DRY '!I5141,"AAAAAFe/fTI=")</f>
        <v>#VALUE!</v>
      </c>
      <c r="AZ229" t="e">
        <f>AND('STERLING CATALOG - DRY '!J5141,"AAAAAFe/fTM=")</f>
        <v>#VALUE!</v>
      </c>
      <c r="BA229">
        <f>IF('STERLING CATALOG - DRY '!5142:5142,"AAAAAFe/fTQ=",0)</f>
        <v>0</v>
      </c>
      <c r="BB229" t="e">
        <f>AND('STERLING CATALOG - DRY '!A5142,"AAAAAFe/fTU=")</f>
        <v>#VALUE!</v>
      </c>
      <c r="BC229" t="e">
        <f>AND('STERLING CATALOG - DRY '!B5142,"AAAAAFe/fTY=")</f>
        <v>#VALUE!</v>
      </c>
      <c r="BD229" t="e">
        <f>AND('STERLING CATALOG - DRY '!C5142,"AAAAAFe/fTc=")</f>
        <v>#VALUE!</v>
      </c>
      <c r="BE229" t="e">
        <f>AND('STERLING CATALOG - DRY '!D5142,"AAAAAFe/fTg=")</f>
        <v>#VALUE!</v>
      </c>
      <c r="BF229" t="e">
        <f>AND('STERLING CATALOG - DRY '!E5142,"AAAAAFe/fTk=")</f>
        <v>#VALUE!</v>
      </c>
      <c r="BG229" t="e">
        <f>AND('STERLING CATALOG - DRY '!F5142,"AAAAAFe/fTo=")</f>
        <v>#VALUE!</v>
      </c>
      <c r="BH229" t="e">
        <f>AND('STERLING CATALOG - DRY '!G5142,"AAAAAFe/fTs=")</f>
        <v>#VALUE!</v>
      </c>
      <c r="BI229" t="e">
        <f>AND('STERLING CATALOG - DRY '!H5142,"AAAAAFe/fTw=")</f>
        <v>#VALUE!</v>
      </c>
      <c r="BJ229" t="e">
        <f>AND('STERLING CATALOG - DRY '!I5142,"AAAAAFe/fT0=")</f>
        <v>#VALUE!</v>
      </c>
      <c r="BK229" t="e">
        <f>AND('STERLING CATALOG - DRY '!J5142,"AAAAAFe/fT4=")</f>
        <v>#VALUE!</v>
      </c>
      <c r="BL229">
        <f>IF('STERLING CATALOG - DRY '!5143:5143,"AAAAAFe/fT8=",0)</f>
        <v>0</v>
      </c>
      <c r="BM229" t="e">
        <f>AND('STERLING CATALOG - DRY '!A5143,"AAAAAFe/fUA=")</f>
        <v>#VALUE!</v>
      </c>
      <c r="BN229" t="e">
        <f>AND('STERLING CATALOG - DRY '!B5143,"AAAAAFe/fUE=")</f>
        <v>#VALUE!</v>
      </c>
      <c r="BO229" t="e">
        <f>AND('STERLING CATALOG - DRY '!C5143,"AAAAAFe/fUI=")</f>
        <v>#VALUE!</v>
      </c>
      <c r="BP229" t="e">
        <f>AND('STERLING CATALOG - DRY '!D5143,"AAAAAFe/fUM=")</f>
        <v>#VALUE!</v>
      </c>
      <c r="BQ229" t="e">
        <f>AND('STERLING CATALOG - DRY '!E5143,"AAAAAFe/fUQ=")</f>
        <v>#VALUE!</v>
      </c>
      <c r="BR229" t="e">
        <f>AND('STERLING CATALOG - DRY '!F5143,"AAAAAFe/fUU=")</f>
        <v>#VALUE!</v>
      </c>
      <c r="BS229" t="e">
        <f>AND('STERLING CATALOG - DRY '!G5143,"AAAAAFe/fUY=")</f>
        <v>#VALUE!</v>
      </c>
      <c r="BT229" t="e">
        <f>AND('STERLING CATALOG - DRY '!H5143,"AAAAAFe/fUc=")</f>
        <v>#VALUE!</v>
      </c>
      <c r="BU229" t="e">
        <f>AND('STERLING CATALOG - DRY '!I5143,"AAAAAFe/fUg=")</f>
        <v>#VALUE!</v>
      </c>
      <c r="BV229" t="e">
        <f>AND('STERLING CATALOG - DRY '!J5143,"AAAAAFe/fUk=")</f>
        <v>#VALUE!</v>
      </c>
      <c r="BW229">
        <f>IF('STERLING CATALOG - DRY '!5144:5144,"AAAAAFe/fUo=",0)</f>
        <v>0</v>
      </c>
      <c r="BX229" t="e">
        <f>AND('STERLING CATALOG - DRY '!A5144,"AAAAAFe/fUs=")</f>
        <v>#VALUE!</v>
      </c>
      <c r="BY229" t="e">
        <f>AND('STERLING CATALOG - DRY '!B5144,"AAAAAFe/fUw=")</f>
        <v>#VALUE!</v>
      </c>
      <c r="BZ229" t="e">
        <f>AND('STERLING CATALOG - DRY '!C5144,"AAAAAFe/fU0=")</f>
        <v>#VALUE!</v>
      </c>
      <c r="CA229" t="e">
        <f>AND('STERLING CATALOG - DRY '!D5144,"AAAAAFe/fU4=")</f>
        <v>#VALUE!</v>
      </c>
      <c r="CB229" t="e">
        <f>AND('STERLING CATALOG - DRY '!E5144,"AAAAAFe/fU8=")</f>
        <v>#VALUE!</v>
      </c>
      <c r="CC229" t="e">
        <f>AND('STERLING CATALOG - DRY '!F5144,"AAAAAFe/fVA=")</f>
        <v>#VALUE!</v>
      </c>
      <c r="CD229" t="e">
        <f>AND('STERLING CATALOG - DRY '!G5144,"AAAAAFe/fVE=")</f>
        <v>#VALUE!</v>
      </c>
      <c r="CE229" t="e">
        <f>AND('STERLING CATALOG - DRY '!H5144,"AAAAAFe/fVI=")</f>
        <v>#VALUE!</v>
      </c>
      <c r="CF229" t="e">
        <f>AND('STERLING CATALOG - DRY '!I5144,"AAAAAFe/fVM=")</f>
        <v>#VALUE!</v>
      </c>
      <c r="CG229" t="e">
        <f>AND('STERLING CATALOG - DRY '!J5144,"AAAAAFe/fVQ=")</f>
        <v>#VALUE!</v>
      </c>
      <c r="CH229">
        <f>IF('STERLING CATALOG - DRY '!5145:5145,"AAAAAFe/fVU=",0)</f>
        <v>0</v>
      </c>
      <c r="CI229" t="e">
        <f>AND('STERLING CATALOG - DRY '!A5145,"AAAAAFe/fVY=")</f>
        <v>#VALUE!</v>
      </c>
      <c r="CJ229" t="e">
        <f>AND('STERLING CATALOG - DRY '!B5145,"AAAAAFe/fVc=")</f>
        <v>#VALUE!</v>
      </c>
      <c r="CK229" t="e">
        <f>AND('STERLING CATALOG - DRY '!C5145,"AAAAAFe/fVg=")</f>
        <v>#VALUE!</v>
      </c>
      <c r="CL229" t="e">
        <f>AND('STERLING CATALOG - DRY '!D5145,"AAAAAFe/fVk=")</f>
        <v>#VALUE!</v>
      </c>
      <c r="CM229" t="e">
        <f>AND('STERLING CATALOG - DRY '!E5145,"AAAAAFe/fVo=")</f>
        <v>#VALUE!</v>
      </c>
      <c r="CN229" t="e">
        <f>AND('STERLING CATALOG - DRY '!F5145,"AAAAAFe/fVs=")</f>
        <v>#VALUE!</v>
      </c>
      <c r="CO229" t="e">
        <f>AND('STERLING CATALOG - DRY '!G5145,"AAAAAFe/fVw=")</f>
        <v>#VALUE!</v>
      </c>
      <c r="CP229" t="e">
        <f>AND('STERLING CATALOG - DRY '!H5145,"AAAAAFe/fV0=")</f>
        <v>#VALUE!</v>
      </c>
      <c r="CQ229" t="e">
        <f>AND('STERLING CATALOG - DRY '!I5145,"AAAAAFe/fV4=")</f>
        <v>#VALUE!</v>
      </c>
      <c r="CR229" t="e">
        <f>AND('STERLING CATALOG - DRY '!J5145,"AAAAAFe/fV8=")</f>
        <v>#VALUE!</v>
      </c>
      <c r="CS229">
        <f>IF('STERLING CATALOG - DRY '!5146:5146,"AAAAAFe/fWA=",0)</f>
        <v>0</v>
      </c>
      <c r="CT229" t="e">
        <f>AND('STERLING CATALOG - DRY '!A5146,"AAAAAFe/fWE=")</f>
        <v>#VALUE!</v>
      </c>
      <c r="CU229" t="e">
        <f>AND('STERLING CATALOG - DRY '!B5146,"AAAAAFe/fWI=")</f>
        <v>#VALUE!</v>
      </c>
      <c r="CV229" t="e">
        <f>AND('STERLING CATALOG - DRY '!C5146,"AAAAAFe/fWM=")</f>
        <v>#VALUE!</v>
      </c>
      <c r="CW229" t="e">
        <f>AND('STERLING CATALOG - DRY '!D5146,"AAAAAFe/fWQ=")</f>
        <v>#VALUE!</v>
      </c>
      <c r="CX229" t="e">
        <f>AND('STERLING CATALOG - DRY '!E5146,"AAAAAFe/fWU=")</f>
        <v>#VALUE!</v>
      </c>
      <c r="CY229" t="e">
        <f>AND('STERLING CATALOG - DRY '!F5146,"AAAAAFe/fWY=")</f>
        <v>#VALUE!</v>
      </c>
      <c r="CZ229" t="e">
        <f>AND('STERLING CATALOG - DRY '!G5146,"AAAAAFe/fWc=")</f>
        <v>#VALUE!</v>
      </c>
      <c r="DA229" t="e">
        <f>AND('STERLING CATALOG - DRY '!H5146,"AAAAAFe/fWg=")</f>
        <v>#VALUE!</v>
      </c>
      <c r="DB229" t="e">
        <f>AND('STERLING CATALOG - DRY '!I5146,"AAAAAFe/fWk=")</f>
        <v>#VALUE!</v>
      </c>
      <c r="DC229" t="e">
        <f>AND('STERLING CATALOG - DRY '!J5146,"AAAAAFe/fWo=")</f>
        <v>#VALUE!</v>
      </c>
      <c r="DD229">
        <f>IF('STERLING CATALOG - DRY '!5147:5147,"AAAAAFe/fWs=",0)</f>
        <v>0</v>
      </c>
      <c r="DE229" t="e">
        <f>AND('STERLING CATALOG - DRY '!A5147,"AAAAAFe/fWw=")</f>
        <v>#VALUE!</v>
      </c>
      <c r="DF229" t="e">
        <f>AND('STERLING CATALOG - DRY '!B5147,"AAAAAFe/fW0=")</f>
        <v>#VALUE!</v>
      </c>
      <c r="DG229" t="e">
        <f>AND('STERLING CATALOG - DRY '!C5147,"AAAAAFe/fW4=")</f>
        <v>#VALUE!</v>
      </c>
      <c r="DH229" t="e">
        <f>AND('STERLING CATALOG - DRY '!D5147,"AAAAAFe/fW8=")</f>
        <v>#VALUE!</v>
      </c>
      <c r="DI229" t="e">
        <f>AND('STERLING CATALOG - DRY '!E5147,"AAAAAFe/fXA=")</f>
        <v>#VALUE!</v>
      </c>
      <c r="DJ229" t="e">
        <f>AND('STERLING CATALOG - DRY '!F5147,"AAAAAFe/fXE=")</f>
        <v>#VALUE!</v>
      </c>
      <c r="DK229" t="e">
        <f>AND('STERLING CATALOG - DRY '!G5147,"AAAAAFe/fXI=")</f>
        <v>#VALUE!</v>
      </c>
      <c r="DL229" t="e">
        <f>AND('STERLING CATALOG - DRY '!H5147,"AAAAAFe/fXM=")</f>
        <v>#VALUE!</v>
      </c>
      <c r="DM229" t="e">
        <f>AND('STERLING CATALOG - DRY '!I5147,"AAAAAFe/fXQ=")</f>
        <v>#VALUE!</v>
      </c>
      <c r="DN229" t="e">
        <f>AND('STERLING CATALOG - DRY '!J5147,"AAAAAFe/fXU=")</f>
        <v>#VALUE!</v>
      </c>
      <c r="DO229">
        <f>IF('STERLING CATALOG - DRY '!5148:5148,"AAAAAFe/fXY=",0)</f>
        <v>0</v>
      </c>
      <c r="DP229" t="e">
        <f>AND('STERLING CATALOG - DRY '!A5148,"AAAAAFe/fXc=")</f>
        <v>#VALUE!</v>
      </c>
      <c r="DQ229" t="e">
        <f>AND('STERLING CATALOG - DRY '!B5148,"AAAAAFe/fXg=")</f>
        <v>#VALUE!</v>
      </c>
      <c r="DR229" t="e">
        <f>AND('STERLING CATALOG - DRY '!C5148,"AAAAAFe/fXk=")</f>
        <v>#VALUE!</v>
      </c>
      <c r="DS229" t="e">
        <f>AND('STERLING CATALOG - DRY '!D5148,"AAAAAFe/fXo=")</f>
        <v>#VALUE!</v>
      </c>
      <c r="DT229" t="e">
        <f>AND('STERLING CATALOG - DRY '!E5148,"AAAAAFe/fXs=")</f>
        <v>#VALUE!</v>
      </c>
      <c r="DU229" t="e">
        <f>AND('STERLING CATALOG - DRY '!F5148,"AAAAAFe/fXw=")</f>
        <v>#VALUE!</v>
      </c>
      <c r="DV229" t="e">
        <f>AND('STERLING CATALOG - DRY '!G5148,"AAAAAFe/fX0=")</f>
        <v>#VALUE!</v>
      </c>
      <c r="DW229" t="e">
        <f>AND('STERLING CATALOG - DRY '!H5148,"AAAAAFe/fX4=")</f>
        <v>#VALUE!</v>
      </c>
      <c r="DX229" t="e">
        <f>AND('STERLING CATALOG - DRY '!I5148,"AAAAAFe/fX8=")</f>
        <v>#VALUE!</v>
      </c>
      <c r="DY229" t="e">
        <f>AND('STERLING CATALOG - DRY '!J5148,"AAAAAFe/fYA=")</f>
        <v>#VALUE!</v>
      </c>
      <c r="DZ229">
        <f>IF('STERLING CATALOG - DRY '!5149:5149,"AAAAAFe/fYE=",0)</f>
        <v>0</v>
      </c>
      <c r="EA229" t="e">
        <f>AND('STERLING CATALOG - DRY '!A5149,"AAAAAFe/fYI=")</f>
        <v>#VALUE!</v>
      </c>
      <c r="EB229" t="e">
        <f>AND('STERLING CATALOG - DRY '!B5149,"AAAAAFe/fYM=")</f>
        <v>#VALUE!</v>
      </c>
      <c r="EC229" t="e">
        <f>AND('STERLING CATALOG - DRY '!C5149,"AAAAAFe/fYQ=")</f>
        <v>#VALUE!</v>
      </c>
      <c r="ED229" t="e">
        <f>AND('STERLING CATALOG - DRY '!D5149,"AAAAAFe/fYU=")</f>
        <v>#VALUE!</v>
      </c>
      <c r="EE229" t="e">
        <f>AND('STERLING CATALOG - DRY '!E5149,"AAAAAFe/fYY=")</f>
        <v>#VALUE!</v>
      </c>
      <c r="EF229" t="e">
        <f>AND('STERLING CATALOG - DRY '!F5149,"AAAAAFe/fYc=")</f>
        <v>#VALUE!</v>
      </c>
      <c r="EG229" t="e">
        <f>AND('STERLING CATALOG - DRY '!G5149,"AAAAAFe/fYg=")</f>
        <v>#VALUE!</v>
      </c>
      <c r="EH229" t="e">
        <f>AND('STERLING CATALOG - DRY '!H5149,"AAAAAFe/fYk=")</f>
        <v>#VALUE!</v>
      </c>
      <c r="EI229" t="e">
        <f>AND('STERLING CATALOG - DRY '!I5149,"AAAAAFe/fYo=")</f>
        <v>#VALUE!</v>
      </c>
      <c r="EJ229" t="e">
        <f>AND('STERLING CATALOG - DRY '!J5149,"AAAAAFe/fYs=")</f>
        <v>#VALUE!</v>
      </c>
      <c r="EK229">
        <f>IF('STERLING CATALOG - DRY '!5150:5150,"AAAAAFe/fYw=",0)</f>
        <v>0</v>
      </c>
      <c r="EL229" t="e">
        <f>AND('STERLING CATALOG - DRY '!A5150,"AAAAAFe/fY0=")</f>
        <v>#VALUE!</v>
      </c>
      <c r="EM229" t="e">
        <f>AND('STERLING CATALOG - DRY '!B5150,"AAAAAFe/fY4=")</f>
        <v>#VALUE!</v>
      </c>
      <c r="EN229" t="e">
        <f>AND('STERLING CATALOG - DRY '!C5150,"AAAAAFe/fY8=")</f>
        <v>#VALUE!</v>
      </c>
      <c r="EO229" t="e">
        <f>AND('STERLING CATALOG - DRY '!D5150,"AAAAAFe/fZA=")</f>
        <v>#VALUE!</v>
      </c>
      <c r="EP229" t="e">
        <f>AND('STERLING CATALOG - DRY '!E5150,"AAAAAFe/fZE=")</f>
        <v>#VALUE!</v>
      </c>
      <c r="EQ229" t="e">
        <f>AND('STERLING CATALOG - DRY '!F5150,"AAAAAFe/fZI=")</f>
        <v>#VALUE!</v>
      </c>
      <c r="ER229" t="e">
        <f>AND('STERLING CATALOG - DRY '!G5150,"AAAAAFe/fZM=")</f>
        <v>#VALUE!</v>
      </c>
      <c r="ES229" t="e">
        <f>AND('STERLING CATALOG - DRY '!H5150,"AAAAAFe/fZQ=")</f>
        <v>#VALUE!</v>
      </c>
      <c r="ET229" t="e">
        <f>AND('STERLING CATALOG - DRY '!I5150,"AAAAAFe/fZU=")</f>
        <v>#VALUE!</v>
      </c>
      <c r="EU229" t="e">
        <f>AND('STERLING CATALOG - DRY '!J5150,"AAAAAFe/fZY=")</f>
        <v>#VALUE!</v>
      </c>
      <c r="EV229">
        <f>IF('STERLING CATALOG - DRY '!5151:5151,"AAAAAFe/fZc=",0)</f>
        <v>0</v>
      </c>
      <c r="EW229" t="e">
        <f>AND('STERLING CATALOG - DRY '!A5151,"AAAAAFe/fZg=")</f>
        <v>#VALUE!</v>
      </c>
      <c r="EX229" t="e">
        <f>AND('STERLING CATALOG - DRY '!B5151,"AAAAAFe/fZk=")</f>
        <v>#VALUE!</v>
      </c>
      <c r="EY229" t="e">
        <f>AND('STERLING CATALOG - DRY '!C5151,"AAAAAFe/fZo=")</f>
        <v>#VALUE!</v>
      </c>
      <c r="EZ229" t="e">
        <f>AND('STERLING CATALOG - DRY '!D5151,"AAAAAFe/fZs=")</f>
        <v>#VALUE!</v>
      </c>
      <c r="FA229" t="e">
        <f>AND('STERLING CATALOG - DRY '!E5151,"AAAAAFe/fZw=")</f>
        <v>#VALUE!</v>
      </c>
      <c r="FB229" t="e">
        <f>AND('STERLING CATALOG - DRY '!F5151,"AAAAAFe/fZ0=")</f>
        <v>#VALUE!</v>
      </c>
      <c r="FC229" t="e">
        <f>AND('STERLING CATALOG - DRY '!G5151,"AAAAAFe/fZ4=")</f>
        <v>#VALUE!</v>
      </c>
      <c r="FD229" t="e">
        <f>AND('STERLING CATALOG - DRY '!H5151,"AAAAAFe/fZ8=")</f>
        <v>#VALUE!</v>
      </c>
      <c r="FE229" t="e">
        <f>AND('STERLING CATALOG - DRY '!I5151,"AAAAAFe/faA=")</f>
        <v>#VALUE!</v>
      </c>
      <c r="FF229" t="e">
        <f>AND('STERLING CATALOG - DRY '!J5151,"AAAAAFe/faE=")</f>
        <v>#VALUE!</v>
      </c>
      <c r="FG229">
        <f>IF('STERLING CATALOG - DRY '!5152:5152,"AAAAAFe/faI=",0)</f>
        <v>0</v>
      </c>
      <c r="FH229" t="e">
        <f>AND('STERLING CATALOG - DRY '!A5152,"AAAAAFe/faM=")</f>
        <v>#VALUE!</v>
      </c>
      <c r="FI229" t="e">
        <f>AND('STERLING CATALOG - DRY '!B5152,"AAAAAFe/faQ=")</f>
        <v>#VALUE!</v>
      </c>
      <c r="FJ229" t="e">
        <f>AND('STERLING CATALOG - DRY '!C5152,"AAAAAFe/faU=")</f>
        <v>#VALUE!</v>
      </c>
      <c r="FK229" t="e">
        <f>AND('STERLING CATALOG - DRY '!D5152,"AAAAAFe/faY=")</f>
        <v>#VALUE!</v>
      </c>
      <c r="FL229" t="e">
        <f>AND('STERLING CATALOG - DRY '!E5152,"AAAAAFe/fac=")</f>
        <v>#VALUE!</v>
      </c>
      <c r="FM229" t="e">
        <f>AND('STERLING CATALOG - DRY '!F5152,"AAAAAFe/fag=")</f>
        <v>#VALUE!</v>
      </c>
      <c r="FN229" t="e">
        <f>AND('STERLING CATALOG - DRY '!G5152,"AAAAAFe/fak=")</f>
        <v>#VALUE!</v>
      </c>
      <c r="FO229" t="e">
        <f>AND('STERLING CATALOG - DRY '!H5152,"AAAAAFe/fao=")</f>
        <v>#VALUE!</v>
      </c>
      <c r="FP229" t="e">
        <f>AND('STERLING CATALOG - DRY '!I5152,"AAAAAFe/fas=")</f>
        <v>#VALUE!</v>
      </c>
      <c r="FQ229" t="e">
        <f>AND('STERLING CATALOG - DRY '!J5152,"AAAAAFe/faw=")</f>
        <v>#VALUE!</v>
      </c>
      <c r="FR229">
        <f>IF('STERLING CATALOG - DRY '!5153:5153,"AAAAAFe/fa0=",0)</f>
        <v>0</v>
      </c>
      <c r="FS229" t="e">
        <f>AND('STERLING CATALOG - DRY '!A5153,"AAAAAFe/fa4=")</f>
        <v>#VALUE!</v>
      </c>
      <c r="FT229" t="e">
        <f>AND('STERLING CATALOG - DRY '!B5153,"AAAAAFe/fa8=")</f>
        <v>#VALUE!</v>
      </c>
      <c r="FU229" t="e">
        <f>AND('STERLING CATALOG - DRY '!C5153,"AAAAAFe/fbA=")</f>
        <v>#VALUE!</v>
      </c>
      <c r="FV229" t="e">
        <f>AND('STERLING CATALOG - DRY '!D5153,"AAAAAFe/fbE=")</f>
        <v>#VALUE!</v>
      </c>
      <c r="FW229" t="e">
        <f>AND('STERLING CATALOG - DRY '!E5153,"AAAAAFe/fbI=")</f>
        <v>#VALUE!</v>
      </c>
      <c r="FX229" t="e">
        <f>AND('STERLING CATALOG - DRY '!F5153,"AAAAAFe/fbM=")</f>
        <v>#VALUE!</v>
      </c>
      <c r="FY229" t="e">
        <f>AND('STERLING CATALOG - DRY '!G5153,"AAAAAFe/fbQ=")</f>
        <v>#VALUE!</v>
      </c>
      <c r="FZ229" t="e">
        <f>AND('STERLING CATALOG - DRY '!H5153,"AAAAAFe/fbU=")</f>
        <v>#VALUE!</v>
      </c>
      <c r="GA229" t="e">
        <f>AND('STERLING CATALOG - DRY '!I5153,"AAAAAFe/fbY=")</f>
        <v>#VALUE!</v>
      </c>
      <c r="GB229" t="e">
        <f>AND('STERLING CATALOG - DRY '!J5153,"AAAAAFe/fbc=")</f>
        <v>#VALUE!</v>
      </c>
      <c r="GC229">
        <f>IF('STERLING CATALOG - DRY '!5154:5154,"AAAAAFe/fbg=",0)</f>
        <v>0</v>
      </c>
      <c r="GD229" t="e">
        <f>AND('STERLING CATALOG - DRY '!A5154,"AAAAAFe/fbk=")</f>
        <v>#VALUE!</v>
      </c>
      <c r="GE229" t="e">
        <f>AND('STERLING CATALOG - DRY '!B5154,"AAAAAFe/fbo=")</f>
        <v>#VALUE!</v>
      </c>
      <c r="GF229" t="e">
        <f>AND('STERLING CATALOG - DRY '!C5154,"AAAAAFe/fbs=")</f>
        <v>#VALUE!</v>
      </c>
      <c r="GG229" t="e">
        <f>AND('STERLING CATALOG - DRY '!D5154,"AAAAAFe/fbw=")</f>
        <v>#VALUE!</v>
      </c>
      <c r="GH229" t="e">
        <f>AND('STERLING CATALOG - DRY '!E5154,"AAAAAFe/fb0=")</f>
        <v>#VALUE!</v>
      </c>
      <c r="GI229" t="e">
        <f>AND('STERLING CATALOG - DRY '!F5154,"AAAAAFe/fb4=")</f>
        <v>#VALUE!</v>
      </c>
      <c r="GJ229" t="e">
        <f>AND('STERLING CATALOG - DRY '!G5154,"AAAAAFe/fb8=")</f>
        <v>#VALUE!</v>
      </c>
      <c r="GK229" t="e">
        <f>AND('STERLING CATALOG - DRY '!H5154,"AAAAAFe/fcA=")</f>
        <v>#VALUE!</v>
      </c>
      <c r="GL229" t="e">
        <f>AND('STERLING CATALOG - DRY '!I5154,"AAAAAFe/fcE=")</f>
        <v>#VALUE!</v>
      </c>
      <c r="GM229" t="e">
        <f>AND('STERLING CATALOG - DRY '!J5154,"AAAAAFe/fcI=")</f>
        <v>#VALUE!</v>
      </c>
      <c r="GN229">
        <f>IF('STERLING CATALOG - DRY '!5155:5155,"AAAAAFe/fcM=",0)</f>
        <v>0</v>
      </c>
      <c r="GO229" t="e">
        <f>AND('STERLING CATALOG - DRY '!A5155,"AAAAAFe/fcQ=")</f>
        <v>#VALUE!</v>
      </c>
      <c r="GP229" t="e">
        <f>AND('STERLING CATALOG - DRY '!B5155,"AAAAAFe/fcU=")</f>
        <v>#VALUE!</v>
      </c>
      <c r="GQ229" t="e">
        <f>AND('STERLING CATALOG - DRY '!C5155,"AAAAAFe/fcY=")</f>
        <v>#VALUE!</v>
      </c>
      <c r="GR229" t="e">
        <f>AND('STERLING CATALOG - DRY '!D5155,"AAAAAFe/fcc=")</f>
        <v>#VALUE!</v>
      </c>
      <c r="GS229" t="e">
        <f>AND('STERLING CATALOG - DRY '!E5155,"AAAAAFe/fcg=")</f>
        <v>#VALUE!</v>
      </c>
      <c r="GT229" t="e">
        <f>AND('STERLING CATALOG - DRY '!F5155,"AAAAAFe/fck=")</f>
        <v>#VALUE!</v>
      </c>
      <c r="GU229" t="e">
        <f>AND('STERLING CATALOG - DRY '!G5155,"AAAAAFe/fco=")</f>
        <v>#VALUE!</v>
      </c>
      <c r="GV229" t="e">
        <f>AND('STERLING CATALOG - DRY '!H5155,"AAAAAFe/fcs=")</f>
        <v>#VALUE!</v>
      </c>
      <c r="GW229" t="e">
        <f>AND('STERLING CATALOG - DRY '!I5155,"AAAAAFe/fcw=")</f>
        <v>#VALUE!</v>
      </c>
      <c r="GX229" t="e">
        <f>AND('STERLING CATALOG - DRY '!J5155,"AAAAAFe/fc0=")</f>
        <v>#VALUE!</v>
      </c>
      <c r="GY229">
        <f>IF('STERLING CATALOG - DRY '!5156:5156,"AAAAAFe/fc4=",0)</f>
        <v>0</v>
      </c>
      <c r="GZ229" t="e">
        <f>AND('STERLING CATALOG - DRY '!A5156,"AAAAAFe/fc8=")</f>
        <v>#VALUE!</v>
      </c>
      <c r="HA229" t="e">
        <f>AND('STERLING CATALOG - DRY '!B5156,"AAAAAFe/fdA=")</f>
        <v>#VALUE!</v>
      </c>
      <c r="HB229" t="e">
        <f>AND('STERLING CATALOG - DRY '!C5156,"AAAAAFe/fdE=")</f>
        <v>#VALUE!</v>
      </c>
      <c r="HC229" t="e">
        <f>AND('STERLING CATALOG - DRY '!D5156,"AAAAAFe/fdI=")</f>
        <v>#VALUE!</v>
      </c>
      <c r="HD229" t="e">
        <f>AND('STERLING CATALOG - DRY '!E5156,"AAAAAFe/fdM=")</f>
        <v>#VALUE!</v>
      </c>
      <c r="HE229" t="e">
        <f>AND('STERLING CATALOG - DRY '!F5156,"AAAAAFe/fdQ=")</f>
        <v>#VALUE!</v>
      </c>
      <c r="HF229" t="e">
        <f>AND('STERLING CATALOG - DRY '!G5156,"AAAAAFe/fdU=")</f>
        <v>#VALUE!</v>
      </c>
      <c r="HG229" t="e">
        <f>AND('STERLING CATALOG - DRY '!H5156,"AAAAAFe/fdY=")</f>
        <v>#VALUE!</v>
      </c>
      <c r="HH229" t="e">
        <f>AND('STERLING CATALOG - DRY '!I5156,"AAAAAFe/fdc=")</f>
        <v>#VALUE!</v>
      </c>
      <c r="HI229" t="e">
        <f>AND('STERLING CATALOG - DRY '!J5156,"AAAAAFe/fdg=")</f>
        <v>#VALUE!</v>
      </c>
      <c r="HJ229">
        <f>IF('STERLING CATALOG - DRY '!5157:5157,"AAAAAFe/fdk=",0)</f>
        <v>0</v>
      </c>
      <c r="HK229" t="e">
        <f>AND('STERLING CATALOG - DRY '!A5157,"AAAAAFe/fdo=")</f>
        <v>#VALUE!</v>
      </c>
      <c r="HL229" t="e">
        <f>AND('STERLING CATALOG - DRY '!B5157,"AAAAAFe/fds=")</f>
        <v>#VALUE!</v>
      </c>
      <c r="HM229" t="e">
        <f>AND('STERLING CATALOG - DRY '!C5157,"AAAAAFe/fdw=")</f>
        <v>#VALUE!</v>
      </c>
      <c r="HN229" t="e">
        <f>AND('STERLING CATALOG - DRY '!D5157,"AAAAAFe/fd0=")</f>
        <v>#VALUE!</v>
      </c>
      <c r="HO229" t="e">
        <f>AND('STERLING CATALOG - DRY '!E5157,"AAAAAFe/fd4=")</f>
        <v>#VALUE!</v>
      </c>
      <c r="HP229" t="e">
        <f>AND('STERLING CATALOG - DRY '!F5157,"AAAAAFe/fd8=")</f>
        <v>#VALUE!</v>
      </c>
      <c r="HQ229" t="e">
        <f>AND('STERLING CATALOG - DRY '!G5157,"AAAAAFe/feA=")</f>
        <v>#VALUE!</v>
      </c>
      <c r="HR229" t="e">
        <f>AND('STERLING CATALOG - DRY '!H5157,"AAAAAFe/feE=")</f>
        <v>#VALUE!</v>
      </c>
      <c r="HS229" t="e">
        <f>AND('STERLING CATALOG - DRY '!I5157,"AAAAAFe/feI=")</f>
        <v>#VALUE!</v>
      </c>
      <c r="HT229" t="e">
        <f>AND('STERLING CATALOG - DRY '!J5157,"AAAAAFe/feM=")</f>
        <v>#VALUE!</v>
      </c>
      <c r="HU229">
        <f>IF('STERLING CATALOG - DRY '!5158:5158,"AAAAAFe/feQ=",0)</f>
        <v>0</v>
      </c>
      <c r="HV229" t="e">
        <f>AND('STERLING CATALOG - DRY '!A5158,"AAAAAFe/feU=")</f>
        <v>#VALUE!</v>
      </c>
      <c r="HW229" t="e">
        <f>AND('STERLING CATALOG - DRY '!B5158,"AAAAAFe/feY=")</f>
        <v>#VALUE!</v>
      </c>
      <c r="HX229" t="e">
        <f>AND('STERLING CATALOG - DRY '!C5158,"AAAAAFe/fec=")</f>
        <v>#VALUE!</v>
      </c>
      <c r="HY229" t="e">
        <f>AND('STERLING CATALOG - DRY '!D5158,"AAAAAFe/feg=")</f>
        <v>#VALUE!</v>
      </c>
      <c r="HZ229" t="e">
        <f>AND('STERLING CATALOG - DRY '!E5158,"AAAAAFe/fek=")</f>
        <v>#VALUE!</v>
      </c>
      <c r="IA229" t="e">
        <f>AND('STERLING CATALOG - DRY '!F5158,"AAAAAFe/feo=")</f>
        <v>#VALUE!</v>
      </c>
      <c r="IB229" t="e">
        <f>AND('STERLING CATALOG - DRY '!G5158,"AAAAAFe/fes=")</f>
        <v>#VALUE!</v>
      </c>
      <c r="IC229" t="e">
        <f>AND('STERLING CATALOG - DRY '!H5158,"AAAAAFe/few=")</f>
        <v>#VALUE!</v>
      </c>
      <c r="ID229" t="e">
        <f>AND('STERLING CATALOG - DRY '!I5158,"AAAAAFe/fe0=")</f>
        <v>#VALUE!</v>
      </c>
      <c r="IE229" t="e">
        <f>AND('STERLING CATALOG - DRY '!J5158,"AAAAAFe/fe4=")</f>
        <v>#VALUE!</v>
      </c>
      <c r="IF229">
        <f>IF('STERLING CATALOG - DRY '!5159:5159,"AAAAAFe/fe8=",0)</f>
        <v>0</v>
      </c>
      <c r="IG229" t="e">
        <f>AND('STERLING CATALOG - DRY '!A5159,"AAAAAFe/ffA=")</f>
        <v>#VALUE!</v>
      </c>
      <c r="IH229" t="e">
        <f>AND('STERLING CATALOG - DRY '!B5159,"AAAAAFe/ffE=")</f>
        <v>#VALUE!</v>
      </c>
      <c r="II229" t="e">
        <f>AND('STERLING CATALOG - DRY '!C5159,"AAAAAFe/ffI=")</f>
        <v>#VALUE!</v>
      </c>
      <c r="IJ229" t="e">
        <f>AND('STERLING CATALOG - DRY '!D5159,"AAAAAFe/ffM=")</f>
        <v>#VALUE!</v>
      </c>
      <c r="IK229" t="e">
        <f>AND('STERLING CATALOG - DRY '!E5159,"AAAAAFe/ffQ=")</f>
        <v>#VALUE!</v>
      </c>
      <c r="IL229" t="e">
        <f>AND('STERLING CATALOG - DRY '!F5159,"AAAAAFe/ffU=")</f>
        <v>#VALUE!</v>
      </c>
      <c r="IM229" t="e">
        <f>AND('STERLING CATALOG - DRY '!G5159,"AAAAAFe/ffY=")</f>
        <v>#VALUE!</v>
      </c>
      <c r="IN229" t="e">
        <f>AND('STERLING CATALOG - DRY '!H5159,"AAAAAFe/ffc=")</f>
        <v>#VALUE!</v>
      </c>
      <c r="IO229" t="e">
        <f>AND('STERLING CATALOG - DRY '!I5159,"AAAAAFe/ffg=")</f>
        <v>#VALUE!</v>
      </c>
      <c r="IP229" t="e">
        <f>AND('STERLING CATALOG - DRY '!J5159,"AAAAAFe/ffk=")</f>
        <v>#VALUE!</v>
      </c>
      <c r="IQ229">
        <f>IF('STERLING CATALOG - DRY '!5160:5160,"AAAAAFe/ffo=",0)</f>
        <v>0</v>
      </c>
      <c r="IR229" t="e">
        <f>AND('STERLING CATALOG - DRY '!A5160,"AAAAAFe/ffs=")</f>
        <v>#VALUE!</v>
      </c>
      <c r="IS229" t="e">
        <f>AND('STERLING CATALOG - DRY '!B5160,"AAAAAFe/ffw=")</f>
        <v>#VALUE!</v>
      </c>
      <c r="IT229" t="e">
        <f>AND('STERLING CATALOG - DRY '!C5160,"AAAAAFe/ff0=")</f>
        <v>#VALUE!</v>
      </c>
      <c r="IU229" t="e">
        <f>AND('STERLING CATALOG - DRY '!D5160,"AAAAAFe/ff4=")</f>
        <v>#VALUE!</v>
      </c>
      <c r="IV229" t="e">
        <f>AND('STERLING CATALOG - DRY '!E5160,"AAAAAFe/ff8=")</f>
        <v>#VALUE!</v>
      </c>
    </row>
    <row r="230" spans="1:256">
      <c r="A230" t="e">
        <f>AND('STERLING CATALOG - DRY '!F5160,"AAAAAG+L/wA=")</f>
        <v>#VALUE!</v>
      </c>
      <c r="B230" t="e">
        <f>AND('STERLING CATALOG - DRY '!G5160,"AAAAAG+L/wE=")</f>
        <v>#VALUE!</v>
      </c>
      <c r="C230" t="e">
        <f>AND('STERLING CATALOG - DRY '!H5160,"AAAAAG+L/wI=")</f>
        <v>#VALUE!</v>
      </c>
      <c r="D230" t="e">
        <f>AND('STERLING CATALOG - DRY '!I5160,"AAAAAG+L/wM=")</f>
        <v>#VALUE!</v>
      </c>
      <c r="E230" t="e">
        <f>AND('STERLING CATALOG - DRY '!J5160,"AAAAAG+L/wQ=")</f>
        <v>#VALUE!</v>
      </c>
      <c r="F230" t="str">
        <f>IF('STERLING CATALOG - DRY '!5161:5161,"AAAAAG+L/wU=",0)</f>
        <v>AAAAAG+L/wU=</v>
      </c>
      <c r="G230" t="e">
        <f>AND('STERLING CATALOG - DRY '!A5161,"AAAAAG+L/wY=")</f>
        <v>#VALUE!</v>
      </c>
      <c r="H230" t="e">
        <f>AND('STERLING CATALOG - DRY '!B5161,"AAAAAG+L/wc=")</f>
        <v>#VALUE!</v>
      </c>
      <c r="I230" t="e">
        <f>AND('STERLING CATALOG - DRY '!C5161,"AAAAAG+L/wg=")</f>
        <v>#VALUE!</v>
      </c>
      <c r="J230" t="e">
        <f>AND('STERLING CATALOG - DRY '!D5161,"AAAAAG+L/wk=")</f>
        <v>#VALUE!</v>
      </c>
      <c r="K230" t="e">
        <f>AND('STERLING CATALOG - DRY '!E5161,"AAAAAG+L/wo=")</f>
        <v>#VALUE!</v>
      </c>
      <c r="L230" t="e">
        <f>AND('STERLING CATALOG - DRY '!F5161,"AAAAAG+L/ws=")</f>
        <v>#VALUE!</v>
      </c>
      <c r="M230" t="e">
        <f>AND('STERLING CATALOG - DRY '!G5161,"AAAAAG+L/ww=")</f>
        <v>#VALUE!</v>
      </c>
      <c r="N230" t="e">
        <f>AND('STERLING CATALOG - DRY '!H5161,"AAAAAG+L/w0=")</f>
        <v>#VALUE!</v>
      </c>
      <c r="O230" t="e">
        <f>AND('STERLING CATALOG - DRY '!I5161,"AAAAAG+L/w4=")</f>
        <v>#VALUE!</v>
      </c>
      <c r="P230" t="e">
        <f>AND('STERLING CATALOG - DRY '!J5161,"AAAAAG+L/w8=")</f>
        <v>#VALUE!</v>
      </c>
      <c r="Q230">
        <f>IF('STERLING CATALOG - DRY '!5162:5162,"AAAAAG+L/xA=",0)</f>
        <v>0</v>
      </c>
      <c r="R230" t="e">
        <f>AND('STERLING CATALOG - DRY '!A5162,"AAAAAG+L/xE=")</f>
        <v>#VALUE!</v>
      </c>
      <c r="S230" t="e">
        <f>AND('STERLING CATALOG - DRY '!B5162,"AAAAAG+L/xI=")</f>
        <v>#VALUE!</v>
      </c>
      <c r="T230" t="e">
        <f>AND('STERLING CATALOG - DRY '!C5162,"AAAAAG+L/xM=")</f>
        <v>#VALUE!</v>
      </c>
      <c r="U230" t="e">
        <f>AND('STERLING CATALOG - DRY '!D5162,"AAAAAG+L/xQ=")</f>
        <v>#VALUE!</v>
      </c>
      <c r="V230" t="e">
        <f>AND('STERLING CATALOG - DRY '!E5162,"AAAAAG+L/xU=")</f>
        <v>#VALUE!</v>
      </c>
      <c r="W230" t="e">
        <f>AND('STERLING CATALOG - DRY '!F5162,"AAAAAG+L/xY=")</f>
        <v>#VALUE!</v>
      </c>
      <c r="X230" t="e">
        <f>AND('STERLING CATALOG - DRY '!G5162,"AAAAAG+L/xc=")</f>
        <v>#VALUE!</v>
      </c>
      <c r="Y230" t="e">
        <f>AND('STERLING CATALOG - DRY '!H5162,"AAAAAG+L/xg=")</f>
        <v>#VALUE!</v>
      </c>
      <c r="Z230" t="e">
        <f>AND('STERLING CATALOG - DRY '!I5162,"AAAAAG+L/xk=")</f>
        <v>#VALUE!</v>
      </c>
      <c r="AA230" t="e">
        <f>AND('STERLING CATALOG - DRY '!J5162,"AAAAAG+L/xo=")</f>
        <v>#VALUE!</v>
      </c>
      <c r="AB230">
        <f>IF('STERLING CATALOG - DRY '!5163:5163,"AAAAAG+L/xs=",0)</f>
        <v>0</v>
      </c>
      <c r="AC230" t="e">
        <f>AND('STERLING CATALOG - DRY '!A5163,"AAAAAG+L/xw=")</f>
        <v>#VALUE!</v>
      </c>
      <c r="AD230" t="e">
        <f>AND('STERLING CATALOG - DRY '!B5163,"AAAAAG+L/x0=")</f>
        <v>#VALUE!</v>
      </c>
      <c r="AE230" t="e">
        <f>AND('STERLING CATALOG - DRY '!C5163,"AAAAAG+L/x4=")</f>
        <v>#VALUE!</v>
      </c>
      <c r="AF230" t="e">
        <f>AND('STERLING CATALOG - DRY '!D5163,"AAAAAG+L/x8=")</f>
        <v>#VALUE!</v>
      </c>
      <c r="AG230" t="e">
        <f>AND('STERLING CATALOG - DRY '!E5163,"AAAAAG+L/yA=")</f>
        <v>#VALUE!</v>
      </c>
      <c r="AH230" t="e">
        <f>AND('STERLING CATALOG - DRY '!F5163,"AAAAAG+L/yE=")</f>
        <v>#VALUE!</v>
      </c>
      <c r="AI230" t="e">
        <f>AND('STERLING CATALOG - DRY '!G5163,"AAAAAG+L/yI=")</f>
        <v>#VALUE!</v>
      </c>
      <c r="AJ230" t="e">
        <f>AND('STERLING CATALOG - DRY '!H5163,"AAAAAG+L/yM=")</f>
        <v>#VALUE!</v>
      </c>
      <c r="AK230" t="e">
        <f>AND('STERLING CATALOG - DRY '!I5163,"AAAAAG+L/yQ=")</f>
        <v>#VALUE!</v>
      </c>
      <c r="AL230" t="e">
        <f>AND('STERLING CATALOG - DRY '!J5163,"AAAAAG+L/yU=")</f>
        <v>#VALUE!</v>
      </c>
      <c r="AM230">
        <f>IF('STERLING CATALOG - DRY '!5164:5164,"AAAAAG+L/yY=",0)</f>
        <v>0</v>
      </c>
      <c r="AN230" t="e">
        <f>AND('STERLING CATALOG - DRY '!A5164,"AAAAAG+L/yc=")</f>
        <v>#VALUE!</v>
      </c>
      <c r="AO230" t="e">
        <f>AND('STERLING CATALOG - DRY '!B5164,"AAAAAG+L/yg=")</f>
        <v>#VALUE!</v>
      </c>
      <c r="AP230" t="e">
        <f>AND('STERLING CATALOG - DRY '!C5164,"AAAAAG+L/yk=")</f>
        <v>#VALUE!</v>
      </c>
      <c r="AQ230" t="e">
        <f>AND('STERLING CATALOG - DRY '!D5164,"AAAAAG+L/yo=")</f>
        <v>#VALUE!</v>
      </c>
      <c r="AR230" t="e">
        <f>AND('STERLING CATALOG - DRY '!E5164,"AAAAAG+L/ys=")</f>
        <v>#VALUE!</v>
      </c>
      <c r="AS230" t="e">
        <f>AND('STERLING CATALOG - DRY '!F5164,"AAAAAG+L/yw=")</f>
        <v>#VALUE!</v>
      </c>
      <c r="AT230" t="e">
        <f>AND('STERLING CATALOG - DRY '!G5164,"AAAAAG+L/y0=")</f>
        <v>#VALUE!</v>
      </c>
      <c r="AU230" t="e">
        <f>AND('STERLING CATALOG - DRY '!H5164,"AAAAAG+L/y4=")</f>
        <v>#VALUE!</v>
      </c>
      <c r="AV230" t="e">
        <f>AND('STERLING CATALOG - DRY '!I5164,"AAAAAG+L/y8=")</f>
        <v>#VALUE!</v>
      </c>
      <c r="AW230" t="e">
        <f>AND('STERLING CATALOG - DRY '!J5164,"AAAAAG+L/zA=")</f>
        <v>#VALUE!</v>
      </c>
      <c r="AX230">
        <f>IF('STERLING CATALOG - DRY '!5165:5165,"AAAAAG+L/zE=",0)</f>
        <v>0</v>
      </c>
      <c r="AY230" t="e">
        <f>AND('STERLING CATALOG - DRY '!A5165,"AAAAAG+L/zI=")</f>
        <v>#VALUE!</v>
      </c>
      <c r="AZ230" t="e">
        <f>AND('STERLING CATALOG - DRY '!B5165,"AAAAAG+L/zM=")</f>
        <v>#VALUE!</v>
      </c>
      <c r="BA230" t="e">
        <f>AND('STERLING CATALOG - DRY '!C5165,"AAAAAG+L/zQ=")</f>
        <v>#VALUE!</v>
      </c>
      <c r="BB230" t="e">
        <f>AND('STERLING CATALOG - DRY '!D5165,"AAAAAG+L/zU=")</f>
        <v>#VALUE!</v>
      </c>
      <c r="BC230" t="e">
        <f>AND('STERLING CATALOG - DRY '!E5165,"AAAAAG+L/zY=")</f>
        <v>#VALUE!</v>
      </c>
      <c r="BD230" t="e">
        <f>AND('STERLING CATALOG - DRY '!F5165,"AAAAAG+L/zc=")</f>
        <v>#VALUE!</v>
      </c>
      <c r="BE230" t="e">
        <f>AND('STERLING CATALOG - DRY '!G5165,"AAAAAG+L/zg=")</f>
        <v>#VALUE!</v>
      </c>
      <c r="BF230" t="e">
        <f>AND('STERLING CATALOG - DRY '!H5165,"AAAAAG+L/zk=")</f>
        <v>#VALUE!</v>
      </c>
      <c r="BG230" t="e">
        <f>AND('STERLING CATALOG - DRY '!I5165,"AAAAAG+L/zo=")</f>
        <v>#VALUE!</v>
      </c>
      <c r="BH230" t="e">
        <f>AND('STERLING CATALOG - DRY '!J5165,"AAAAAG+L/zs=")</f>
        <v>#VALUE!</v>
      </c>
      <c r="BI230">
        <f>IF('STERLING CATALOG - DRY '!5166:5166,"AAAAAG+L/zw=",0)</f>
        <v>0</v>
      </c>
      <c r="BJ230" t="e">
        <f>AND('STERLING CATALOG - DRY '!A5166,"AAAAAG+L/z0=")</f>
        <v>#VALUE!</v>
      </c>
      <c r="BK230" t="e">
        <f>AND('STERLING CATALOG - DRY '!B5166,"AAAAAG+L/z4=")</f>
        <v>#VALUE!</v>
      </c>
      <c r="BL230" t="e">
        <f>AND('STERLING CATALOG - DRY '!C5166,"AAAAAG+L/z8=")</f>
        <v>#VALUE!</v>
      </c>
      <c r="BM230" t="e">
        <f>AND('STERLING CATALOG - DRY '!D5166,"AAAAAG+L/0A=")</f>
        <v>#VALUE!</v>
      </c>
      <c r="BN230" t="e">
        <f>AND('STERLING CATALOG - DRY '!E5166,"AAAAAG+L/0E=")</f>
        <v>#VALUE!</v>
      </c>
      <c r="BO230" t="e">
        <f>AND('STERLING CATALOG - DRY '!F5166,"AAAAAG+L/0I=")</f>
        <v>#VALUE!</v>
      </c>
      <c r="BP230" t="e">
        <f>AND('STERLING CATALOG - DRY '!G5166,"AAAAAG+L/0M=")</f>
        <v>#VALUE!</v>
      </c>
      <c r="BQ230" t="e">
        <f>AND('STERLING CATALOG - DRY '!H5166,"AAAAAG+L/0Q=")</f>
        <v>#VALUE!</v>
      </c>
      <c r="BR230" t="e">
        <f>AND('STERLING CATALOG - DRY '!I5166,"AAAAAG+L/0U=")</f>
        <v>#VALUE!</v>
      </c>
      <c r="BS230" t="e">
        <f>AND('STERLING CATALOG - DRY '!J5166,"AAAAAG+L/0Y=")</f>
        <v>#VALUE!</v>
      </c>
      <c r="BT230">
        <f>IF('STERLING CATALOG - DRY '!5167:5167,"AAAAAG+L/0c=",0)</f>
        <v>0</v>
      </c>
      <c r="BU230" t="e">
        <f>AND('STERLING CATALOG - DRY '!A5167,"AAAAAG+L/0g=")</f>
        <v>#VALUE!</v>
      </c>
      <c r="BV230" t="e">
        <f>AND('STERLING CATALOG - DRY '!B5167,"AAAAAG+L/0k=")</f>
        <v>#VALUE!</v>
      </c>
      <c r="BW230" t="e">
        <f>AND('STERLING CATALOG - DRY '!C5167,"AAAAAG+L/0o=")</f>
        <v>#VALUE!</v>
      </c>
      <c r="BX230" t="e">
        <f>AND('STERLING CATALOG - DRY '!D5167,"AAAAAG+L/0s=")</f>
        <v>#VALUE!</v>
      </c>
      <c r="BY230" t="e">
        <f>AND('STERLING CATALOG - DRY '!E5167,"AAAAAG+L/0w=")</f>
        <v>#VALUE!</v>
      </c>
      <c r="BZ230" t="e">
        <f>AND('STERLING CATALOG - DRY '!F5167,"AAAAAG+L/00=")</f>
        <v>#VALUE!</v>
      </c>
      <c r="CA230" t="e">
        <f>AND('STERLING CATALOG - DRY '!G5167,"AAAAAG+L/04=")</f>
        <v>#VALUE!</v>
      </c>
      <c r="CB230" t="e">
        <f>AND('STERLING CATALOG - DRY '!H5167,"AAAAAG+L/08=")</f>
        <v>#VALUE!</v>
      </c>
      <c r="CC230" t="e">
        <f>AND('STERLING CATALOG - DRY '!I5167,"AAAAAG+L/1A=")</f>
        <v>#VALUE!</v>
      </c>
      <c r="CD230" t="e">
        <f>AND('STERLING CATALOG - DRY '!J5167,"AAAAAG+L/1E=")</f>
        <v>#VALUE!</v>
      </c>
      <c r="CE230">
        <f>IF('STERLING CATALOG - DRY '!5168:5168,"AAAAAG+L/1I=",0)</f>
        <v>0</v>
      </c>
      <c r="CF230" t="e">
        <f>AND('STERLING CATALOG - DRY '!A5168,"AAAAAG+L/1M=")</f>
        <v>#VALUE!</v>
      </c>
      <c r="CG230" t="e">
        <f>AND('STERLING CATALOG - DRY '!B5168,"AAAAAG+L/1Q=")</f>
        <v>#VALUE!</v>
      </c>
      <c r="CH230" t="e">
        <f>AND('STERLING CATALOG - DRY '!C5168,"AAAAAG+L/1U=")</f>
        <v>#VALUE!</v>
      </c>
      <c r="CI230" t="e">
        <f>AND('STERLING CATALOG - DRY '!D5168,"AAAAAG+L/1Y=")</f>
        <v>#VALUE!</v>
      </c>
      <c r="CJ230" t="e">
        <f>AND('STERLING CATALOG - DRY '!E5168,"AAAAAG+L/1c=")</f>
        <v>#VALUE!</v>
      </c>
      <c r="CK230" t="e">
        <f>AND('STERLING CATALOG - DRY '!F5168,"AAAAAG+L/1g=")</f>
        <v>#VALUE!</v>
      </c>
      <c r="CL230" t="e">
        <f>AND('STERLING CATALOG - DRY '!G5168,"AAAAAG+L/1k=")</f>
        <v>#VALUE!</v>
      </c>
      <c r="CM230" t="e">
        <f>AND('STERLING CATALOG - DRY '!H5168,"AAAAAG+L/1o=")</f>
        <v>#VALUE!</v>
      </c>
      <c r="CN230" t="e">
        <f>AND('STERLING CATALOG - DRY '!I5168,"AAAAAG+L/1s=")</f>
        <v>#VALUE!</v>
      </c>
      <c r="CO230" t="e">
        <f>AND('STERLING CATALOG - DRY '!J5168,"AAAAAG+L/1w=")</f>
        <v>#VALUE!</v>
      </c>
      <c r="CP230">
        <f>IF('STERLING CATALOG - DRY '!5169:5169,"AAAAAG+L/10=",0)</f>
        <v>0</v>
      </c>
      <c r="CQ230" t="e">
        <f>AND('STERLING CATALOG - DRY '!A5169,"AAAAAG+L/14=")</f>
        <v>#VALUE!</v>
      </c>
      <c r="CR230" t="e">
        <f>AND('STERLING CATALOG - DRY '!B5169,"AAAAAG+L/18=")</f>
        <v>#VALUE!</v>
      </c>
      <c r="CS230" t="e">
        <f>AND('STERLING CATALOG - DRY '!C5169,"AAAAAG+L/2A=")</f>
        <v>#VALUE!</v>
      </c>
      <c r="CT230" t="e">
        <f>AND('STERLING CATALOG - DRY '!D5169,"AAAAAG+L/2E=")</f>
        <v>#VALUE!</v>
      </c>
      <c r="CU230" t="e">
        <f>AND('STERLING CATALOG - DRY '!E5169,"AAAAAG+L/2I=")</f>
        <v>#VALUE!</v>
      </c>
      <c r="CV230" t="e">
        <f>AND('STERLING CATALOG - DRY '!F5169,"AAAAAG+L/2M=")</f>
        <v>#VALUE!</v>
      </c>
      <c r="CW230" t="e">
        <f>AND('STERLING CATALOG - DRY '!G5169,"AAAAAG+L/2Q=")</f>
        <v>#VALUE!</v>
      </c>
      <c r="CX230" t="e">
        <f>AND('STERLING CATALOG - DRY '!H5169,"AAAAAG+L/2U=")</f>
        <v>#VALUE!</v>
      </c>
      <c r="CY230" t="e">
        <f>AND('STERLING CATALOG - DRY '!I5169,"AAAAAG+L/2Y=")</f>
        <v>#VALUE!</v>
      </c>
      <c r="CZ230" t="e">
        <f>AND('STERLING CATALOG - DRY '!J5169,"AAAAAG+L/2c=")</f>
        <v>#VALUE!</v>
      </c>
      <c r="DA230">
        <f>IF('STERLING CATALOG - DRY '!5170:5170,"AAAAAG+L/2g=",0)</f>
        <v>0</v>
      </c>
      <c r="DB230" t="e">
        <f>AND('STERLING CATALOG - DRY '!A5170,"AAAAAG+L/2k=")</f>
        <v>#VALUE!</v>
      </c>
      <c r="DC230" t="e">
        <f>AND('STERLING CATALOG - DRY '!B5170,"AAAAAG+L/2o=")</f>
        <v>#VALUE!</v>
      </c>
      <c r="DD230" t="e">
        <f>AND('STERLING CATALOG - DRY '!C5170,"AAAAAG+L/2s=")</f>
        <v>#VALUE!</v>
      </c>
      <c r="DE230" t="e">
        <f>AND('STERLING CATALOG - DRY '!D5170,"AAAAAG+L/2w=")</f>
        <v>#VALUE!</v>
      </c>
      <c r="DF230" t="e">
        <f>AND('STERLING CATALOG - DRY '!E5170,"AAAAAG+L/20=")</f>
        <v>#VALUE!</v>
      </c>
      <c r="DG230" t="e">
        <f>AND('STERLING CATALOG - DRY '!F5170,"AAAAAG+L/24=")</f>
        <v>#VALUE!</v>
      </c>
      <c r="DH230" t="e">
        <f>AND('STERLING CATALOG - DRY '!G5170,"AAAAAG+L/28=")</f>
        <v>#VALUE!</v>
      </c>
      <c r="DI230" t="e">
        <f>AND('STERLING CATALOG - DRY '!H5170,"AAAAAG+L/3A=")</f>
        <v>#VALUE!</v>
      </c>
      <c r="DJ230" t="e">
        <f>AND('STERLING CATALOG - DRY '!I5170,"AAAAAG+L/3E=")</f>
        <v>#VALUE!</v>
      </c>
      <c r="DK230" t="e">
        <f>AND('STERLING CATALOG - DRY '!J5170,"AAAAAG+L/3I=")</f>
        <v>#VALUE!</v>
      </c>
      <c r="DL230">
        <f>IF('STERLING CATALOG - DRY '!5171:5171,"AAAAAG+L/3M=",0)</f>
        <v>0</v>
      </c>
      <c r="DM230" t="e">
        <f>AND('STERLING CATALOG - DRY '!A5171,"AAAAAG+L/3Q=")</f>
        <v>#VALUE!</v>
      </c>
      <c r="DN230" t="e">
        <f>AND('STERLING CATALOG - DRY '!B5171,"AAAAAG+L/3U=")</f>
        <v>#VALUE!</v>
      </c>
      <c r="DO230" t="e">
        <f>AND('STERLING CATALOG - DRY '!C5171,"AAAAAG+L/3Y=")</f>
        <v>#VALUE!</v>
      </c>
      <c r="DP230" t="e">
        <f>AND('STERLING CATALOG - DRY '!D5171,"AAAAAG+L/3c=")</f>
        <v>#VALUE!</v>
      </c>
      <c r="DQ230" t="e">
        <f>AND('STERLING CATALOG - DRY '!E5171,"AAAAAG+L/3g=")</f>
        <v>#VALUE!</v>
      </c>
      <c r="DR230" t="e">
        <f>AND('STERLING CATALOG - DRY '!F5171,"AAAAAG+L/3k=")</f>
        <v>#VALUE!</v>
      </c>
      <c r="DS230" t="e">
        <f>AND('STERLING CATALOG - DRY '!G5171,"AAAAAG+L/3o=")</f>
        <v>#VALUE!</v>
      </c>
      <c r="DT230" t="e">
        <f>AND('STERLING CATALOG - DRY '!H5171,"AAAAAG+L/3s=")</f>
        <v>#VALUE!</v>
      </c>
      <c r="DU230" t="e">
        <f>AND('STERLING CATALOG - DRY '!I5171,"AAAAAG+L/3w=")</f>
        <v>#VALUE!</v>
      </c>
      <c r="DV230" t="e">
        <f>AND('STERLING CATALOG - DRY '!J5171,"AAAAAG+L/30=")</f>
        <v>#VALUE!</v>
      </c>
      <c r="DW230">
        <f>IF('STERLING CATALOG - DRY '!5172:5172,"AAAAAG+L/34=",0)</f>
        <v>0</v>
      </c>
      <c r="DX230" t="e">
        <f>AND('STERLING CATALOG - DRY '!A5172,"AAAAAG+L/38=")</f>
        <v>#VALUE!</v>
      </c>
      <c r="DY230" t="e">
        <f>AND('STERLING CATALOG - DRY '!B5172,"AAAAAG+L/4A=")</f>
        <v>#VALUE!</v>
      </c>
      <c r="DZ230" t="e">
        <f>AND('STERLING CATALOG - DRY '!C5172,"AAAAAG+L/4E=")</f>
        <v>#VALUE!</v>
      </c>
      <c r="EA230" t="e">
        <f>AND('STERLING CATALOG - DRY '!D5172,"AAAAAG+L/4I=")</f>
        <v>#VALUE!</v>
      </c>
      <c r="EB230" t="e">
        <f>AND('STERLING CATALOG - DRY '!E5172,"AAAAAG+L/4M=")</f>
        <v>#VALUE!</v>
      </c>
      <c r="EC230" t="e">
        <f>AND('STERLING CATALOG - DRY '!F5172,"AAAAAG+L/4Q=")</f>
        <v>#VALUE!</v>
      </c>
      <c r="ED230" t="e">
        <f>AND('STERLING CATALOG - DRY '!G5172,"AAAAAG+L/4U=")</f>
        <v>#VALUE!</v>
      </c>
      <c r="EE230" t="e">
        <f>AND('STERLING CATALOG - DRY '!H5172,"AAAAAG+L/4Y=")</f>
        <v>#VALUE!</v>
      </c>
      <c r="EF230" t="e">
        <f>AND('STERLING CATALOG - DRY '!I5172,"AAAAAG+L/4c=")</f>
        <v>#VALUE!</v>
      </c>
      <c r="EG230" t="e">
        <f>AND('STERLING CATALOG - DRY '!J5172,"AAAAAG+L/4g=")</f>
        <v>#VALUE!</v>
      </c>
      <c r="EH230">
        <f>IF('STERLING CATALOG - DRY '!5173:5173,"AAAAAG+L/4k=",0)</f>
        <v>0</v>
      </c>
      <c r="EI230" t="e">
        <f>AND('STERLING CATALOG - DRY '!A5173,"AAAAAG+L/4o=")</f>
        <v>#VALUE!</v>
      </c>
      <c r="EJ230" t="e">
        <f>AND('STERLING CATALOG - DRY '!B5173,"AAAAAG+L/4s=")</f>
        <v>#VALUE!</v>
      </c>
      <c r="EK230" t="e">
        <f>AND('STERLING CATALOG - DRY '!C5173,"AAAAAG+L/4w=")</f>
        <v>#VALUE!</v>
      </c>
      <c r="EL230" t="e">
        <f>AND('STERLING CATALOG - DRY '!D5173,"AAAAAG+L/40=")</f>
        <v>#VALUE!</v>
      </c>
      <c r="EM230" t="e">
        <f>AND('STERLING CATALOG - DRY '!E5173,"AAAAAG+L/44=")</f>
        <v>#VALUE!</v>
      </c>
      <c r="EN230" t="e">
        <f>AND('STERLING CATALOG - DRY '!F5173,"AAAAAG+L/48=")</f>
        <v>#VALUE!</v>
      </c>
      <c r="EO230" t="e">
        <f>AND('STERLING CATALOG - DRY '!G5173,"AAAAAG+L/5A=")</f>
        <v>#VALUE!</v>
      </c>
      <c r="EP230" t="e">
        <f>AND('STERLING CATALOG - DRY '!H5173,"AAAAAG+L/5E=")</f>
        <v>#VALUE!</v>
      </c>
      <c r="EQ230" t="e">
        <f>AND('STERLING CATALOG - DRY '!I5173,"AAAAAG+L/5I=")</f>
        <v>#VALUE!</v>
      </c>
      <c r="ER230" t="e">
        <f>AND('STERLING CATALOG - DRY '!J5173,"AAAAAG+L/5M=")</f>
        <v>#VALUE!</v>
      </c>
      <c r="ES230">
        <f>IF('STERLING CATALOG - DRY '!5174:5174,"AAAAAG+L/5Q=",0)</f>
        <v>0</v>
      </c>
      <c r="ET230" t="e">
        <f>AND('STERLING CATALOG - DRY '!A5174,"AAAAAG+L/5U=")</f>
        <v>#VALUE!</v>
      </c>
      <c r="EU230" t="e">
        <f>AND('STERLING CATALOG - DRY '!B5174,"AAAAAG+L/5Y=")</f>
        <v>#VALUE!</v>
      </c>
      <c r="EV230" t="e">
        <f>AND('STERLING CATALOG - DRY '!C5174,"AAAAAG+L/5c=")</f>
        <v>#VALUE!</v>
      </c>
      <c r="EW230" t="e">
        <f>AND('STERLING CATALOG - DRY '!D5174,"AAAAAG+L/5g=")</f>
        <v>#VALUE!</v>
      </c>
      <c r="EX230" t="e">
        <f>AND('STERLING CATALOG - DRY '!E5174,"AAAAAG+L/5k=")</f>
        <v>#VALUE!</v>
      </c>
      <c r="EY230" t="e">
        <f>AND('STERLING CATALOG - DRY '!F5174,"AAAAAG+L/5o=")</f>
        <v>#VALUE!</v>
      </c>
      <c r="EZ230" t="e">
        <f>AND('STERLING CATALOG - DRY '!G5174,"AAAAAG+L/5s=")</f>
        <v>#VALUE!</v>
      </c>
      <c r="FA230" t="e">
        <f>AND('STERLING CATALOG - DRY '!H5174,"AAAAAG+L/5w=")</f>
        <v>#VALUE!</v>
      </c>
      <c r="FB230" t="e">
        <f>AND('STERLING CATALOG - DRY '!I5174,"AAAAAG+L/50=")</f>
        <v>#VALUE!</v>
      </c>
      <c r="FC230" t="e">
        <f>AND('STERLING CATALOG - DRY '!J5174,"AAAAAG+L/54=")</f>
        <v>#VALUE!</v>
      </c>
      <c r="FD230">
        <f>IF('STERLING CATALOG - DRY '!5175:5175,"AAAAAG+L/58=",0)</f>
        <v>0</v>
      </c>
      <c r="FE230" t="e">
        <f>AND('STERLING CATALOG - DRY '!A5175,"AAAAAG+L/6A=")</f>
        <v>#VALUE!</v>
      </c>
      <c r="FF230" t="e">
        <f>AND('STERLING CATALOG - DRY '!B5175,"AAAAAG+L/6E=")</f>
        <v>#VALUE!</v>
      </c>
      <c r="FG230" t="e">
        <f>AND('STERLING CATALOG - DRY '!C5175,"AAAAAG+L/6I=")</f>
        <v>#VALUE!</v>
      </c>
      <c r="FH230" t="e">
        <f>AND('STERLING CATALOG - DRY '!D5175,"AAAAAG+L/6M=")</f>
        <v>#VALUE!</v>
      </c>
      <c r="FI230" t="e">
        <f>AND('STERLING CATALOG - DRY '!E5175,"AAAAAG+L/6Q=")</f>
        <v>#VALUE!</v>
      </c>
      <c r="FJ230" t="e">
        <f>AND('STERLING CATALOG - DRY '!F5175,"AAAAAG+L/6U=")</f>
        <v>#VALUE!</v>
      </c>
      <c r="FK230" t="e">
        <f>AND('STERLING CATALOG - DRY '!G5175,"AAAAAG+L/6Y=")</f>
        <v>#VALUE!</v>
      </c>
      <c r="FL230" t="e">
        <f>AND('STERLING CATALOG - DRY '!H5175,"AAAAAG+L/6c=")</f>
        <v>#VALUE!</v>
      </c>
      <c r="FM230" t="e">
        <f>AND('STERLING CATALOG - DRY '!I5175,"AAAAAG+L/6g=")</f>
        <v>#VALUE!</v>
      </c>
      <c r="FN230" t="e">
        <f>AND('STERLING CATALOG - DRY '!J5175,"AAAAAG+L/6k=")</f>
        <v>#VALUE!</v>
      </c>
      <c r="FO230">
        <f>IF('STERLING CATALOG - DRY '!5176:5176,"AAAAAG+L/6o=",0)</f>
        <v>0</v>
      </c>
      <c r="FP230" t="e">
        <f>AND('STERLING CATALOG - DRY '!A5176,"AAAAAG+L/6s=")</f>
        <v>#VALUE!</v>
      </c>
      <c r="FQ230" t="e">
        <f>AND('STERLING CATALOG - DRY '!B5176,"AAAAAG+L/6w=")</f>
        <v>#VALUE!</v>
      </c>
      <c r="FR230" t="e">
        <f>AND('STERLING CATALOG - DRY '!C5176,"AAAAAG+L/60=")</f>
        <v>#VALUE!</v>
      </c>
      <c r="FS230" t="e">
        <f>AND('STERLING CATALOG - DRY '!D5176,"AAAAAG+L/64=")</f>
        <v>#VALUE!</v>
      </c>
      <c r="FT230" t="e">
        <f>AND('STERLING CATALOG - DRY '!E5176,"AAAAAG+L/68=")</f>
        <v>#VALUE!</v>
      </c>
      <c r="FU230" t="e">
        <f>AND('STERLING CATALOG - DRY '!F5176,"AAAAAG+L/7A=")</f>
        <v>#VALUE!</v>
      </c>
      <c r="FV230" t="e">
        <f>AND('STERLING CATALOG - DRY '!G5176,"AAAAAG+L/7E=")</f>
        <v>#VALUE!</v>
      </c>
      <c r="FW230" t="e">
        <f>AND('STERLING CATALOG - DRY '!H5176,"AAAAAG+L/7I=")</f>
        <v>#VALUE!</v>
      </c>
      <c r="FX230" t="e">
        <f>AND('STERLING CATALOG - DRY '!I5176,"AAAAAG+L/7M=")</f>
        <v>#VALUE!</v>
      </c>
      <c r="FY230" t="e">
        <f>AND('STERLING CATALOG - DRY '!J5176,"AAAAAG+L/7Q=")</f>
        <v>#VALUE!</v>
      </c>
      <c r="FZ230">
        <f>IF('STERLING CATALOG - DRY '!5177:5177,"AAAAAG+L/7U=",0)</f>
        <v>0</v>
      </c>
      <c r="GA230" t="e">
        <f>AND('STERLING CATALOG - DRY '!A5177,"AAAAAG+L/7Y=")</f>
        <v>#VALUE!</v>
      </c>
      <c r="GB230" t="e">
        <f>AND('STERLING CATALOG - DRY '!B5177,"AAAAAG+L/7c=")</f>
        <v>#VALUE!</v>
      </c>
      <c r="GC230" t="e">
        <f>AND('STERLING CATALOG - DRY '!C5177,"AAAAAG+L/7g=")</f>
        <v>#VALUE!</v>
      </c>
      <c r="GD230" t="e">
        <f>AND('STERLING CATALOG - DRY '!D5177,"AAAAAG+L/7k=")</f>
        <v>#VALUE!</v>
      </c>
      <c r="GE230" t="e">
        <f>AND('STERLING CATALOG - DRY '!E5177,"AAAAAG+L/7o=")</f>
        <v>#VALUE!</v>
      </c>
      <c r="GF230" t="e">
        <f>AND('STERLING CATALOG - DRY '!F5177,"AAAAAG+L/7s=")</f>
        <v>#VALUE!</v>
      </c>
      <c r="GG230" t="e">
        <f>AND('STERLING CATALOG - DRY '!G5177,"AAAAAG+L/7w=")</f>
        <v>#VALUE!</v>
      </c>
      <c r="GH230" t="e">
        <f>AND('STERLING CATALOG - DRY '!H5177,"AAAAAG+L/70=")</f>
        <v>#VALUE!</v>
      </c>
      <c r="GI230" t="e">
        <f>AND('STERLING CATALOG - DRY '!I5177,"AAAAAG+L/74=")</f>
        <v>#VALUE!</v>
      </c>
      <c r="GJ230" t="e">
        <f>AND('STERLING CATALOG - DRY '!J5177,"AAAAAG+L/78=")</f>
        <v>#VALUE!</v>
      </c>
      <c r="GK230">
        <f>IF('STERLING CATALOG - DRY '!5178:5178,"AAAAAG+L/8A=",0)</f>
        <v>0</v>
      </c>
      <c r="GL230" t="e">
        <f>AND('STERLING CATALOG - DRY '!A5178,"AAAAAG+L/8E=")</f>
        <v>#VALUE!</v>
      </c>
      <c r="GM230" t="e">
        <f>AND('STERLING CATALOG - DRY '!B5178,"AAAAAG+L/8I=")</f>
        <v>#VALUE!</v>
      </c>
      <c r="GN230" t="e">
        <f>AND('STERLING CATALOG - DRY '!C5178,"AAAAAG+L/8M=")</f>
        <v>#VALUE!</v>
      </c>
      <c r="GO230" t="e">
        <f>AND('STERLING CATALOG - DRY '!D5178,"AAAAAG+L/8Q=")</f>
        <v>#VALUE!</v>
      </c>
      <c r="GP230" t="e">
        <f>AND('STERLING CATALOG - DRY '!E5178,"AAAAAG+L/8U=")</f>
        <v>#VALUE!</v>
      </c>
      <c r="GQ230" t="e">
        <f>AND('STERLING CATALOG - DRY '!F5178,"AAAAAG+L/8Y=")</f>
        <v>#VALUE!</v>
      </c>
      <c r="GR230" t="e">
        <f>AND('STERLING CATALOG - DRY '!G5178,"AAAAAG+L/8c=")</f>
        <v>#VALUE!</v>
      </c>
      <c r="GS230" t="e">
        <f>AND('STERLING CATALOG - DRY '!H5178,"AAAAAG+L/8g=")</f>
        <v>#VALUE!</v>
      </c>
      <c r="GT230" t="e">
        <f>AND('STERLING CATALOG - DRY '!I5178,"AAAAAG+L/8k=")</f>
        <v>#VALUE!</v>
      </c>
      <c r="GU230" t="e">
        <f>AND('STERLING CATALOG - DRY '!J5178,"AAAAAG+L/8o=")</f>
        <v>#VALUE!</v>
      </c>
      <c r="GV230">
        <f>IF('STERLING CATALOG - DRY '!5179:5179,"AAAAAG+L/8s=",0)</f>
        <v>0</v>
      </c>
      <c r="GW230" t="e">
        <f>AND('STERLING CATALOG - DRY '!A5179,"AAAAAG+L/8w=")</f>
        <v>#VALUE!</v>
      </c>
      <c r="GX230" t="e">
        <f>AND('STERLING CATALOG - DRY '!B5179,"AAAAAG+L/80=")</f>
        <v>#VALUE!</v>
      </c>
      <c r="GY230" t="e">
        <f>AND('STERLING CATALOG - DRY '!C5179,"AAAAAG+L/84=")</f>
        <v>#VALUE!</v>
      </c>
      <c r="GZ230" t="e">
        <f>AND('STERLING CATALOG - DRY '!D5179,"AAAAAG+L/88=")</f>
        <v>#VALUE!</v>
      </c>
      <c r="HA230" t="e">
        <f>AND('STERLING CATALOG - DRY '!E5179,"AAAAAG+L/9A=")</f>
        <v>#VALUE!</v>
      </c>
      <c r="HB230" t="e">
        <f>AND('STERLING CATALOG - DRY '!F5179,"AAAAAG+L/9E=")</f>
        <v>#VALUE!</v>
      </c>
      <c r="HC230" t="e">
        <f>AND('STERLING CATALOG - DRY '!G5179,"AAAAAG+L/9I=")</f>
        <v>#VALUE!</v>
      </c>
      <c r="HD230" t="e">
        <f>AND('STERLING CATALOG - DRY '!H5179,"AAAAAG+L/9M=")</f>
        <v>#VALUE!</v>
      </c>
      <c r="HE230" t="e">
        <f>AND('STERLING CATALOG - DRY '!I5179,"AAAAAG+L/9Q=")</f>
        <v>#VALUE!</v>
      </c>
      <c r="HF230" t="e">
        <f>AND('STERLING CATALOG - DRY '!J5179,"AAAAAG+L/9U=")</f>
        <v>#VALUE!</v>
      </c>
      <c r="HG230">
        <f>IF('STERLING CATALOG - DRY '!5180:5180,"AAAAAG+L/9Y=",0)</f>
        <v>0</v>
      </c>
      <c r="HH230" t="e">
        <f>AND('STERLING CATALOG - DRY '!A5180,"AAAAAG+L/9c=")</f>
        <v>#VALUE!</v>
      </c>
      <c r="HI230" t="e">
        <f>AND('STERLING CATALOG - DRY '!B5180,"AAAAAG+L/9g=")</f>
        <v>#VALUE!</v>
      </c>
      <c r="HJ230" t="e">
        <f>AND('STERLING CATALOG - DRY '!C5180,"AAAAAG+L/9k=")</f>
        <v>#VALUE!</v>
      </c>
      <c r="HK230" t="e">
        <f>AND('STERLING CATALOG - DRY '!D5180,"AAAAAG+L/9o=")</f>
        <v>#VALUE!</v>
      </c>
      <c r="HL230" t="e">
        <f>AND('STERLING CATALOG - DRY '!E5180,"AAAAAG+L/9s=")</f>
        <v>#VALUE!</v>
      </c>
      <c r="HM230" t="e">
        <f>AND('STERLING CATALOG - DRY '!F5180,"AAAAAG+L/9w=")</f>
        <v>#VALUE!</v>
      </c>
      <c r="HN230" t="e">
        <f>AND('STERLING CATALOG - DRY '!G5180,"AAAAAG+L/90=")</f>
        <v>#VALUE!</v>
      </c>
      <c r="HO230" t="e">
        <f>AND('STERLING CATALOG - DRY '!H5180,"AAAAAG+L/94=")</f>
        <v>#VALUE!</v>
      </c>
      <c r="HP230" t="e">
        <f>AND('STERLING CATALOG - DRY '!I5180,"AAAAAG+L/98=")</f>
        <v>#VALUE!</v>
      </c>
      <c r="HQ230" t="e">
        <f>AND('STERLING CATALOG - DRY '!J5180,"AAAAAG+L/+A=")</f>
        <v>#VALUE!</v>
      </c>
      <c r="HR230">
        <f>IF('STERLING CATALOG - DRY '!5181:5181,"AAAAAG+L/+E=",0)</f>
        <v>0</v>
      </c>
      <c r="HS230" t="e">
        <f>AND('STERLING CATALOG - DRY '!A5181,"AAAAAG+L/+I=")</f>
        <v>#VALUE!</v>
      </c>
      <c r="HT230" t="e">
        <f>AND('STERLING CATALOG - DRY '!B5181,"AAAAAG+L/+M=")</f>
        <v>#VALUE!</v>
      </c>
      <c r="HU230" t="e">
        <f>AND('STERLING CATALOG - DRY '!C5181,"AAAAAG+L/+Q=")</f>
        <v>#VALUE!</v>
      </c>
      <c r="HV230" t="e">
        <f>AND('STERLING CATALOG - DRY '!D5181,"AAAAAG+L/+U=")</f>
        <v>#VALUE!</v>
      </c>
      <c r="HW230" t="e">
        <f>AND('STERLING CATALOG - DRY '!E5181,"AAAAAG+L/+Y=")</f>
        <v>#VALUE!</v>
      </c>
      <c r="HX230" t="e">
        <f>AND('STERLING CATALOG - DRY '!F5181,"AAAAAG+L/+c=")</f>
        <v>#VALUE!</v>
      </c>
      <c r="HY230" t="e">
        <f>AND('STERLING CATALOG - DRY '!G5181,"AAAAAG+L/+g=")</f>
        <v>#VALUE!</v>
      </c>
      <c r="HZ230" t="e">
        <f>AND('STERLING CATALOG - DRY '!H5181,"AAAAAG+L/+k=")</f>
        <v>#VALUE!</v>
      </c>
      <c r="IA230" t="e">
        <f>AND('STERLING CATALOG - DRY '!I5181,"AAAAAG+L/+o=")</f>
        <v>#VALUE!</v>
      </c>
      <c r="IB230" t="e">
        <f>AND('STERLING CATALOG - DRY '!J5181,"AAAAAG+L/+s=")</f>
        <v>#VALUE!</v>
      </c>
      <c r="IC230">
        <f>IF('STERLING CATALOG - DRY '!5182:5182,"AAAAAG+L/+w=",0)</f>
        <v>0</v>
      </c>
      <c r="ID230" t="e">
        <f>AND('STERLING CATALOG - DRY '!A5182,"AAAAAG+L/+0=")</f>
        <v>#VALUE!</v>
      </c>
      <c r="IE230" t="e">
        <f>AND('STERLING CATALOG - DRY '!B5182,"AAAAAG+L/+4=")</f>
        <v>#VALUE!</v>
      </c>
      <c r="IF230" t="e">
        <f>AND('STERLING CATALOG - DRY '!C5182,"AAAAAG+L/+8=")</f>
        <v>#VALUE!</v>
      </c>
      <c r="IG230" t="e">
        <f>AND('STERLING CATALOG - DRY '!D5182,"AAAAAG+L//A=")</f>
        <v>#VALUE!</v>
      </c>
      <c r="IH230" t="e">
        <f>AND('STERLING CATALOG - DRY '!E5182,"AAAAAG+L//E=")</f>
        <v>#VALUE!</v>
      </c>
      <c r="II230" t="e">
        <f>AND('STERLING CATALOG - DRY '!F5182,"AAAAAG+L//I=")</f>
        <v>#VALUE!</v>
      </c>
      <c r="IJ230" t="e">
        <f>AND('STERLING CATALOG - DRY '!G5182,"AAAAAG+L//M=")</f>
        <v>#VALUE!</v>
      </c>
      <c r="IK230" t="e">
        <f>AND('STERLING CATALOG - DRY '!H5182,"AAAAAG+L//Q=")</f>
        <v>#VALUE!</v>
      </c>
      <c r="IL230" t="e">
        <f>AND('STERLING CATALOG - DRY '!I5182,"AAAAAG+L//U=")</f>
        <v>#VALUE!</v>
      </c>
      <c r="IM230" t="e">
        <f>AND('STERLING CATALOG - DRY '!J5182,"AAAAAG+L//Y=")</f>
        <v>#VALUE!</v>
      </c>
      <c r="IN230">
        <f>IF('STERLING CATALOG - DRY '!5183:5183,"AAAAAG+L//c=",0)</f>
        <v>0</v>
      </c>
      <c r="IO230" t="e">
        <f>AND('STERLING CATALOG - DRY '!A5183,"AAAAAG+L//g=")</f>
        <v>#VALUE!</v>
      </c>
      <c r="IP230" t="e">
        <f>AND('STERLING CATALOG - DRY '!B5183,"AAAAAG+L//k=")</f>
        <v>#VALUE!</v>
      </c>
      <c r="IQ230" t="e">
        <f>AND('STERLING CATALOG - DRY '!C5183,"AAAAAG+L//o=")</f>
        <v>#VALUE!</v>
      </c>
      <c r="IR230" t="e">
        <f>AND('STERLING CATALOG - DRY '!D5183,"AAAAAG+L//s=")</f>
        <v>#VALUE!</v>
      </c>
      <c r="IS230" t="e">
        <f>AND('STERLING CATALOG - DRY '!E5183,"AAAAAG+L//w=")</f>
        <v>#VALUE!</v>
      </c>
      <c r="IT230" t="e">
        <f>AND('STERLING CATALOG - DRY '!F5183,"AAAAAG+L//0=")</f>
        <v>#VALUE!</v>
      </c>
      <c r="IU230" t="e">
        <f>AND('STERLING CATALOG - DRY '!G5183,"AAAAAG+L//4=")</f>
        <v>#VALUE!</v>
      </c>
      <c r="IV230" t="e">
        <f>AND('STERLING CATALOG - DRY '!H5183,"AAAAAG+L//8=")</f>
        <v>#VALUE!</v>
      </c>
    </row>
    <row r="231" spans="1:256">
      <c r="A231" t="e">
        <f>AND('STERLING CATALOG - DRY '!I5183,"AAAAAH7v3wA=")</f>
        <v>#VALUE!</v>
      </c>
      <c r="B231" t="e">
        <f>AND('STERLING CATALOG - DRY '!J5183,"AAAAAH7v3wE=")</f>
        <v>#VALUE!</v>
      </c>
      <c r="C231" t="str">
        <f>IF('STERLING CATALOG - DRY '!5184:5184,"AAAAAH7v3wI=",0)</f>
        <v>AAAAAH7v3wI=</v>
      </c>
      <c r="D231" t="e">
        <f>AND('STERLING CATALOG - DRY '!A5184,"AAAAAH7v3wM=")</f>
        <v>#VALUE!</v>
      </c>
      <c r="E231" t="e">
        <f>AND('STERLING CATALOG - DRY '!B5184,"AAAAAH7v3wQ=")</f>
        <v>#VALUE!</v>
      </c>
      <c r="F231" t="e">
        <f>AND('STERLING CATALOG - DRY '!C5184,"AAAAAH7v3wU=")</f>
        <v>#VALUE!</v>
      </c>
      <c r="G231" t="e">
        <f>AND('STERLING CATALOG - DRY '!D5184,"AAAAAH7v3wY=")</f>
        <v>#VALUE!</v>
      </c>
      <c r="H231" t="e">
        <f>AND('STERLING CATALOG - DRY '!E5184,"AAAAAH7v3wc=")</f>
        <v>#VALUE!</v>
      </c>
      <c r="I231" t="e">
        <f>AND('STERLING CATALOG - DRY '!F5184,"AAAAAH7v3wg=")</f>
        <v>#VALUE!</v>
      </c>
      <c r="J231" t="e">
        <f>AND('STERLING CATALOG - DRY '!G5184,"AAAAAH7v3wk=")</f>
        <v>#VALUE!</v>
      </c>
      <c r="K231" t="e">
        <f>AND('STERLING CATALOG - DRY '!H5184,"AAAAAH7v3wo=")</f>
        <v>#VALUE!</v>
      </c>
      <c r="L231" t="e">
        <f>AND('STERLING CATALOG - DRY '!I5184,"AAAAAH7v3ws=")</f>
        <v>#VALUE!</v>
      </c>
      <c r="M231" t="e">
        <f>AND('STERLING CATALOG - DRY '!J5184,"AAAAAH7v3ww=")</f>
        <v>#VALUE!</v>
      </c>
      <c r="N231">
        <f>IF('STERLING CATALOG - DRY '!5185:5185,"AAAAAH7v3w0=",0)</f>
        <v>0</v>
      </c>
      <c r="O231" t="e">
        <f>AND('STERLING CATALOG - DRY '!A5185,"AAAAAH7v3w4=")</f>
        <v>#VALUE!</v>
      </c>
      <c r="P231" t="e">
        <f>AND('STERLING CATALOG - DRY '!B5185,"AAAAAH7v3w8=")</f>
        <v>#VALUE!</v>
      </c>
      <c r="Q231" t="e">
        <f>AND('STERLING CATALOG - DRY '!C5185,"AAAAAH7v3xA=")</f>
        <v>#VALUE!</v>
      </c>
      <c r="R231" t="e">
        <f>AND('STERLING CATALOG - DRY '!D5185,"AAAAAH7v3xE=")</f>
        <v>#VALUE!</v>
      </c>
      <c r="S231" t="e">
        <f>AND('STERLING CATALOG - DRY '!E5185,"AAAAAH7v3xI=")</f>
        <v>#VALUE!</v>
      </c>
      <c r="T231" t="e">
        <f>AND('STERLING CATALOG - DRY '!F5185,"AAAAAH7v3xM=")</f>
        <v>#VALUE!</v>
      </c>
      <c r="U231" t="e">
        <f>AND('STERLING CATALOG - DRY '!G5185,"AAAAAH7v3xQ=")</f>
        <v>#VALUE!</v>
      </c>
      <c r="V231" t="e">
        <f>AND('STERLING CATALOG - DRY '!H5185,"AAAAAH7v3xU=")</f>
        <v>#VALUE!</v>
      </c>
      <c r="W231" t="e">
        <f>AND('STERLING CATALOG - DRY '!I5185,"AAAAAH7v3xY=")</f>
        <v>#VALUE!</v>
      </c>
      <c r="X231" t="e">
        <f>AND('STERLING CATALOG - DRY '!J5185,"AAAAAH7v3xc=")</f>
        <v>#VALUE!</v>
      </c>
      <c r="Y231">
        <f>IF('STERLING CATALOG - DRY '!5186:5186,"AAAAAH7v3xg=",0)</f>
        <v>0</v>
      </c>
      <c r="Z231" t="e">
        <f>AND('STERLING CATALOG - DRY '!A5186,"AAAAAH7v3xk=")</f>
        <v>#VALUE!</v>
      </c>
      <c r="AA231" t="e">
        <f>AND('STERLING CATALOG - DRY '!B5186,"AAAAAH7v3xo=")</f>
        <v>#VALUE!</v>
      </c>
      <c r="AB231" t="e">
        <f>AND('STERLING CATALOG - DRY '!C5186,"AAAAAH7v3xs=")</f>
        <v>#VALUE!</v>
      </c>
      <c r="AC231" t="e">
        <f>AND('STERLING CATALOG - DRY '!D5186,"AAAAAH7v3xw=")</f>
        <v>#VALUE!</v>
      </c>
      <c r="AD231" t="e">
        <f>AND('STERLING CATALOG - DRY '!E5186,"AAAAAH7v3x0=")</f>
        <v>#VALUE!</v>
      </c>
      <c r="AE231" t="e">
        <f>AND('STERLING CATALOG - DRY '!F5186,"AAAAAH7v3x4=")</f>
        <v>#VALUE!</v>
      </c>
      <c r="AF231" t="e">
        <f>AND('STERLING CATALOG - DRY '!G5186,"AAAAAH7v3x8=")</f>
        <v>#VALUE!</v>
      </c>
      <c r="AG231" t="e">
        <f>AND('STERLING CATALOG - DRY '!H5186,"AAAAAH7v3yA=")</f>
        <v>#VALUE!</v>
      </c>
      <c r="AH231" t="e">
        <f>AND('STERLING CATALOG - DRY '!I5186,"AAAAAH7v3yE=")</f>
        <v>#VALUE!</v>
      </c>
      <c r="AI231" t="e">
        <f>AND('STERLING CATALOG - DRY '!J5186,"AAAAAH7v3yI=")</f>
        <v>#VALUE!</v>
      </c>
      <c r="AJ231">
        <f>IF('STERLING CATALOG - DRY '!5187:5187,"AAAAAH7v3yM=",0)</f>
        <v>0</v>
      </c>
      <c r="AK231" t="e">
        <f>AND('STERLING CATALOG - DRY '!A5187,"AAAAAH7v3yQ=")</f>
        <v>#VALUE!</v>
      </c>
      <c r="AL231" t="e">
        <f>AND('STERLING CATALOG - DRY '!B5187,"AAAAAH7v3yU=")</f>
        <v>#VALUE!</v>
      </c>
      <c r="AM231" t="e">
        <f>AND('STERLING CATALOG - DRY '!C5187,"AAAAAH7v3yY=")</f>
        <v>#VALUE!</v>
      </c>
      <c r="AN231" t="e">
        <f>AND('STERLING CATALOG - DRY '!D5187,"AAAAAH7v3yc=")</f>
        <v>#VALUE!</v>
      </c>
      <c r="AO231" t="e">
        <f>AND('STERLING CATALOG - DRY '!E5187,"AAAAAH7v3yg=")</f>
        <v>#VALUE!</v>
      </c>
      <c r="AP231" t="e">
        <f>AND('STERLING CATALOG - DRY '!F5187,"AAAAAH7v3yk=")</f>
        <v>#VALUE!</v>
      </c>
      <c r="AQ231" t="e">
        <f>AND('STERLING CATALOG - DRY '!G5187,"AAAAAH7v3yo=")</f>
        <v>#VALUE!</v>
      </c>
      <c r="AR231" t="e">
        <f>AND('STERLING CATALOG - DRY '!H5187,"AAAAAH7v3ys=")</f>
        <v>#VALUE!</v>
      </c>
      <c r="AS231" t="e">
        <f>AND('STERLING CATALOG - DRY '!I5187,"AAAAAH7v3yw=")</f>
        <v>#VALUE!</v>
      </c>
      <c r="AT231" t="e">
        <f>AND('STERLING CATALOG - DRY '!J5187,"AAAAAH7v3y0=")</f>
        <v>#VALUE!</v>
      </c>
      <c r="AU231">
        <f>IF('STERLING CATALOG - DRY '!5188:5188,"AAAAAH7v3y4=",0)</f>
        <v>0</v>
      </c>
      <c r="AV231" t="e">
        <f>AND('STERLING CATALOG - DRY '!A5188,"AAAAAH7v3y8=")</f>
        <v>#VALUE!</v>
      </c>
      <c r="AW231" t="e">
        <f>AND('STERLING CATALOG - DRY '!B5188,"AAAAAH7v3zA=")</f>
        <v>#VALUE!</v>
      </c>
      <c r="AX231" t="e">
        <f>AND('STERLING CATALOG - DRY '!C5188,"AAAAAH7v3zE=")</f>
        <v>#VALUE!</v>
      </c>
      <c r="AY231" t="e">
        <f>AND('STERLING CATALOG - DRY '!D5188,"AAAAAH7v3zI=")</f>
        <v>#VALUE!</v>
      </c>
      <c r="AZ231" t="e">
        <f>AND('STERLING CATALOG - DRY '!E5188,"AAAAAH7v3zM=")</f>
        <v>#VALUE!</v>
      </c>
      <c r="BA231" t="e">
        <f>AND('STERLING CATALOG - DRY '!F5188,"AAAAAH7v3zQ=")</f>
        <v>#VALUE!</v>
      </c>
      <c r="BB231" t="e">
        <f>AND('STERLING CATALOG - DRY '!G5188,"AAAAAH7v3zU=")</f>
        <v>#VALUE!</v>
      </c>
      <c r="BC231" t="e">
        <f>AND('STERLING CATALOG - DRY '!H5188,"AAAAAH7v3zY=")</f>
        <v>#VALUE!</v>
      </c>
      <c r="BD231" t="e">
        <f>AND('STERLING CATALOG - DRY '!I5188,"AAAAAH7v3zc=")</f>
        <v>#VALUE!</v>
      </c>
      <c r="BE231" t="e">
        <f>AND('STERLING CATALOG - DRY '!J5188,"AAAAAH7v3zg=")</f>
        <v>#VALUE!</v>
      </c>
      <c r="BF231">
        <f>IF('STERLING CATALOG - DRY '!5189:5189,"AAAAAH7v3zk=",0)</f>
        <v>0</v>
      </c>
      <c r="BG231" t="e">
        <f>AND('STERLING CATALOG - DRY '!A5189,"AAAAAH7v3zo=")</f>
        <v>#VALUE!</v>
      </c>
      <c r="BH231" t="e">
        <f>AND('STERLING CATALOG - DRY '!B5189,"AAAAAH7v3zs=")</f>
        <v>#VALUE!</v>
      </c>
      <c r="BI231" t="e">
        <f>AND('STERLING CATALOG - DRY '!C5189,"AAAAAH7v3zw=")</f>
        <v>#VALUE!</v>
      </c>
      <c r="BJ231" t="e">
        <f>AND('STERLING CATALOG - DRY '!D5189,"AAAAAH7v3z0=")</f>
        <v>#VALUE!</v>
      </c>
      <c r="BK231" t="e">
        <f>AND('STERLING CATALOG - DRY '!E5189,"AAAAAH7v3z4=")</f>
        <v>#VALUE!</v>
      </c>
      <c r="BL231" t="e">
        <f>AND('STERLING CATALOG - DRY '!F5189,"AAAAAH7v3z8=")</f>
        <v>#VALUE!</v>
      </c>
      <c r="BM231" t="e">
        <f>AND('STERLING CATALOG - DRY '!G5189,"AAAAAH7v30A=")</f>
        <v>#VALUE!</v>
      </c>
      <c r="BN231" t="e">
        <f>AND('STERLING CATALOG - DRY '!H5189,"AAAAAH7v30E=")</f>
        <v>#VALUE!</v>
      </c>
      <c r="BO231" t="e">
        <f>AND('STERLING CATALOG - DRY '!I5189,"AAAAAH7v30I=")</f>
        <v>#VALUE!</v>
      </c>
      <c r="BP231" t="e">
        <f>AND('STERLING CATALOG - DRY '!J5189,"AAAAAH7v30M=")</f>
        <v>#VALUE!</v>
      </c>
      <c r="BQ231">
        <f>IF('STERLING CATALOG - DRY '!5190:5190,"AAAAAH7v30Q=",0)</f>
        <v>0</v>
      </c>
      <c r="BR231" t="e">
        <f>AND('STERLING CATALOG - DRY '!A5190,"AAAAAH7v30U=")</f>
        <v>#VALUE!</v>
      </c>
      <c r="BS231" t="e">
        <f>AND('STERLING CATALOG - DRY '!B5190,"AAAAAH7v30Y=")</f>
        <v>#VALUE!</v>
      </c>
      <c r="BT231" t="e">
        <f>AND('STERLING CATALOG - DRY '!C5190,"AAAAAH7v30c=")</f>
        <v>#VALUE!</v>
      </c>
      <c r="BU231" t="e">
        <f>AND('STERLING CATALOG - DRY '!D5190,"AAAAAH7v30g=")</f>
        <v>#VALUE!</v>
      </c>
      <c r="BV231" t="e">
        <f>AND('STERLING CATALOG - DRY '!E5190,"AAAAAH7v30k=")</f>
        <v>#VALUE!</v>
      </c>
      <c r="BW231" t="e">
        <f>AND('STERLING CATALOG - DRY '!F5190,"AAAAAH7v30o=")</f>
        <v>#VALUE!</v>
      </c>
      <c r="BX231" t="e">
        <f>AND('STERLING CATALOG - DRY '!G5190,"AAAAAH7v30s=")</f>
        <v>#VALUE!</v>
      </c>
      <c r="BY231" t="e">
        <f>AND('STERLING CATALOG - DRY '!H5190,"AAAAAH7v30w=")</f>
        <v>#VALUE!</v>
      </c>
      <c r="BZ231" t="e">
        <f>AND('STERLING CATALOG - DRY '!I5190,"AAAAAH7v300=")</f>
        <v>#VALUE!</v>
      </c>
      <c r="CA231" t="e">
        <f>AND('STERLING CATALOG - DRY '!J5190,"AAAAAH7v304=")</f>
        <v>#VALUE!</v>
      </c>
      <c r="CB231">
        <f>IF('STERLING CATALOG - DRY '!5191:5191,"AAAAAH7v308=",0)</f>
        <v>0</v>
      </c>
      <c r="CC231" t="e">
        <f>AND('STERLING CATALOG - DRY '!A5191,"AAAAAH7v31A=")</f>
        <v>#VALUE!</v>
      </c>
      <c r="CD231" t="e">
        <f>AND('STERLING CATALOG - DRY '!B5191,"AAAAAH7v31E=")</f>
        <v>#VALUE!</v>
      </c>
      <c r="CE231" t="e">
        <f>AND('STERLING CATALOG - DRY '!C5191,"AAAAAH7v31I=")</f>
        <v>#VALUE!</v>
      </c>
      <c r="CF231" t="e">
        <f>AND('STERLING CATALOG - DRY '!D5191,"AAAAAH7v31M=")</f>
        <v>#VALUE!</v>
      </c>
      <c r="CG231" t="e">
        <f>AND('STERLING CATALOG - DRY '!E5191,"AAAAAH7v31Q=")</f>
        <v>#VALUE!</v>
      </c>
      <c r="CH231" t="e">
        <f>AND('STERLING CATALOG - DRY '!F5191,"AAAAAH7v31U=")</f>
        <v>#VALUE!</v>
      </c>
      <c r="CI231" t="e">
        <f>AND('STERLING CATALOG - DRY '!G5191,"AAAAAH7v31Y=")</f>
        <v>#VALUE!</v>
      </c>
      <c r="CJ231" t="e">
        <f>AND('STERLING CATALOG - DRY '!H5191,"AAAAAH7v31c=")</f>
        <v>#VALUE!</v>
      </c>
      <c r="CK231" t="e">
        <f>AND('STERLING CATALOG - DRY '!I5191,"AAAAAH7v31g=")</f>
        <v>#VALUE!</v>
      </c>
      <c r="CL231" t="e">
        <f>AND('STERLING CATALOG - DRY '!J5191,"AAAAAH7v31k=")</f>
        <v>#VALUE!</v>
      </c>
      <c r="CM231">
        <f>IF('STERLING CATALOG - DRY '!5192:5192,"AAAAAH7v31o=",0)</f>
        <v>0</v>
      </c>
      <c r="CN231" t="e">
        <f>AND('STERLING CATALOG - DRY '!A5192,"AAAAAH7v31s=")</f>
        <v>#VALUE!</v>
      </c>
      <c r="CO231" t="e">
        <f>AND('STERLING CATALOG - DRY '!B5192,"AAAAAH7v31w=")</f>
        <v>#VALUE!</v>
      </c>
      <c r="CP231" t="e">
        <f>AND('STERLING CATALOG - DRY '!C5192,"AAAAAH7v310=")</f>
        <v>#VALUE!</v>
      </c>
      <c r="CQ231" t="e">
        <f>AND('STERLING CATALOG - DRY '!D5192,"AAAAAH7v314=")</f>
        <v>#VALUE!</v>
      </c>
      <c r="CR231" t="e">
        <f>AND('STERLING CATALOG - DRY '!E5192,"AAAAAH7v318=")</f>
        <v>#VALUE!</v>
      </c>
      <c r="CS231" t="e">
        <f>AND('STERLING CATALOG - DRY '!F5192,"AAAAAH7v32A=")</f>
        <v>#VALUE!</v>
      </c>
      <c r="CT231" t="e">
        <f>AND('STERLING CATALOG - DRY '!G5192,"AAAAAH7v32E=")</f>
        <v>#VALUE!</v>
      </c>
      <c r="CU231" t="e">
        <f>AND('STERLING CATALOG - DRY '!H5192,"AAAAAH7v32I=")</f>
        <v>#VALUE!</v>
      </c>
      <c r="CV231" t="e">
        <f>AND('STERLING CATALOG - DRY '!I5192,"AAAAAH7v32M=")</f>
        <v>#VALUE!</v>
      </c>
      <c r="CW231" t="e">
        <f>AND('STERLING CATALOG - DRY '!J5192,"AAAAAH7v32Q=")</f>
        <v>#VALUE!</v>
      </c>
      <c r="CX231">
        <f>IF('STERLING CATALOG - DRY '!5193:5193,"AAAAAH7v32U=",0)</f>
        <v>0</v>
      </c>
      <c r="CY231" t="e">
        <f>AND('STERLING CATALOG - DRY '!A5193,"AAAAAH7v32Y=")</f>
        <v>#VALUE!</v>
      </c>
      <c r="CZ231" t="e">
        <f>AND('STERLING CATALOG - DRY '!B5193,"AAAAAH7v32c=")</f>
        <v>#VALUE!</v>
      </c>
      <c r="DA231" t="e">
        <f>AND('STERLING CATALOG - DRY '!C5193,"AAAAAH7v32g=")</f>
        <v>#VALUE!</v>
      </c>
      <c r="DB231" t="e">
        <f>AND('STERLING CATALOG - DRY '!D5193,"AAAAAH7v32k=")</f>
        <v>#VALUE!</v>
      </c>
      <c r="DC231" t="e">
        <f>AND('STERLING CATALOG - DRY '!E5193,"AAAAAH7v32o=")</f>
        <v>#VALUE!</v>
      </c>
      <c r="DD231" t="e">
        <f>AND('STERLING CATALOG - DRY '!F5193,"AAAAAH7v32s=")</f>
        <v>#VALUE!</v>
      </c>
      <c r="DE231" t="e">
        <f>AND('STERLING CATALOG - DRY '!G5193,"AAAAAH7v32w=")</f>
        <v>#VALUE!</v>
      </c>
      <c r="DF231" t="e">
        <f>AND('STERLING CATALOG - DRY '!H5193,"AAAAAH7v320=")</f>
        <v>#VALUE!</v>
      </c>
      <c r="DG231" t="e">
        <f>AND('STERLING CATALOG - DRY '!I5193,"AAAAAH7v324=")</f>
        <v>#VALUE!</v>
      </c>
      <c r="DH231" t="e">
        <f>AND('STERLING CATALOG - DRY '!J5193,"AAAAAH7v328=")</f>
        <v>#VALUE!</v>
      </c>
      <c r="DI231">
        <f>IF('STERLING CATALOG - DRY '!5194:5194,"AAAAAH7v33A=",0)</f>
        <v>0</v>
      </c>
      <c r="DJ231" t="e">
        <f>AND('STERLING CATALOG - DRY '!A5194,"AAAAAH7v33E=")</f>
        <v>#VALUE!</v>
      </c>
      <c r="DK231" t="e">
        <f>AND('STERLING CATALOG - DRY '!B5194,"AAAAAH7v33I=")</f>
        <v>#VALUE!</v>
      </c>
      <c r="DL231" t="e">
        <f>AND('STERLING CATALOG - DRY '!C5194,"AAAAAH7v33M=")</f>
        <v>#VALUE!</v>
      </c>
      <c r="DM231" t="e">
        <f>AND('STERLING CATALOG - DRY '!D5194,"AAAAAH7v33Q=")</f>
        <v>#VALUE!</v>
      </c>
      <c r="DN231" t="e">
        <f>AND('STERLING CATALOG - DRY '!E5194,"AAAAAH7v33U=")</f>
        <v>#VALUE!</v>
      </c>
      <c r="DO231" t="e">
        <f>AND('STERLING CATALOG - DRY '!F5194,"AAAAAH7v33Y=")</f>
        <v>#VALUE!</v>
      </c>
      <c r="DP231" t="e">
        <f>AND('STERLING CATALOG - DRY '!G5194,"AAAAAH7v33c=")</f>
        <v>#VALUE!</v>
      </c>
      <c r="DQ231" t="e">
        <f>AND('STERLING CATALOG - DRY '!H5194,"AAAAAH7v33g=")</f>
        <v>#VALUE!</v>
      </c>
      <c r="DR231" t="e">
        <f>AND('STERLING CATALOG - DRY '!I5194,"AAAAAH7v33k=")</f>
        <v>#VALUE!</v>
      </c>
      <c r="DS231" t="e">
        <f>AND('STERLING CATALOG - DRY '!J5194,"AAAAAH7v33o=")</f>
        <v>#VALUE!</v>
      </c>
      <c r="DT231">
        <f>IF('STERLING CATALOG - DRY '!5195:5195,"AAAAAH7v33s=",0)</f>
        <v>0</v>
      </c>
      <c r="DU231" t="e">
        <f>AND('STERLING CATALOG - DRY '!A5195,"AAAAAH7v33w=")</f>
        <v>#VALUE!</v>
      </c>
      <c r="DV231" t="e">
        <f>AND('STERLING CATALOG - DRY '!B5195,"AAAAAH7v330=")</f>
        <v>#VALUE!</v>
      </c>
      <c r="DW231" t="e">
        <f>AND('STERLING CATALOG - DRY '!C5195,"AAAAAH7v334=")</f>
        <v>#VALUE!</v>
      </c>
      <c r="DX231" t="e">
        <f>AND('STERLING CATALOG - DRY '!D5195,"AAAAAH7v338=")</f>
        <v>#VALUE!</v>
      </c>
      <c r="DY231" t="e">
        <f>AND('STERLING CATALOG - DRY '!E5195,"AAAAAH7v34A=")</f>
        <v>#VALUE!</v>
      </c>
      <c r="DZ231" t="e">
        <f>AND('STERLING CATALOG - DRY '!F5195,"AAAAAH7v34E=")</f>
        <v>#VALUE!</v>
      </c>
      <c r="EA231" t="e">
        <f>AND('STERLING CATALOG - DRY '!G5195,"AAAAAH7v34I=")</f>
        <v>#VALUE!</v>
      </c>
      <c r="EB231" t="e">
        <f>AND('STERLING CATALOG - DRY '!H5195,"AAAAAH7v34M=")</f>
        <v>#VALUE!</v>
      </c>
      <c r="EC231" t="e">
        <f>AND('STERLING CATALOG - DRY '!I5195,"AAAAAH7v34Q=")</f>
        <v>#VALUE!</v>
      </c>
      <c r="ED231" t="e">
        <f>AND('STERLING CATALOG - DRY '!J5195,"AAAAAH7v34U=")</f>
        <v>#VALUE!</v>
      </c>
      <c r="EE231">
        <f>IF('STERLING CATALOG - DRY '!5196:5196,"AAAAAH7v34Y=",0)</f>
        <v>0</v>
      </c>
      <c r="EF231" t="e">
        <f>AND('STERLING CATALOG - DRY '!A5196,"AAAAAH7v34c=")</f>
        <v>#VALUE!</v>
      </c>
      <c r="EG231" t="e">
        <f>AND('STERLING CATALOG - DRY '!B5196,"AAAAAH7v34g=")</f>
        <v>#VALUE!</v>
      </c>
      <c r="EH231" t="e">
        <f>AND('STERLING CATALOG - DRY '!C5196,"AAAAAH7v34k=")</f>
        <v>#VALUE!</v>
      </c>
      <c r="EI231" t="e">
        <f>AND('STERLING CATALOG - DRY '!D5196,"AAAAAH7v34o=")</f>
        <v>#VALUE!</v>
      </c>
      <c r="EJ231" t="e">
        <f>AND('STERLING CATALOG - DRY '!E5196,"AAAAAH7v34s=")</f>
        <v>#VALUE!</v>
      </c>
      <c r="EK231" t="e">
        <f>AND('STERLING CATALOG - DRY '!F5196,"AAAAAH7v34w=")</f>
        <v>#VALUE!</v>
      </c>
      <c r="EL231" t="e">
        <f>AND('STERLING CATALOG - DRY '!G5196,"AAAAAH7v340=")</f>
        <v>#VALUE!</v>
      </c>
      <c r="EM231" t="e">
        <f>AND('STERLING CATALOG - DRY '!H5196,"AAAAAH7v344=")</f>
        <v>#VALUE!</v>
      </c>
      <c r="EN231" t="e">
        <f>AND('STERLING CATALOG - DRY '!I5196,"AAAAAH7v348=")</f>
        <v>#VALUE!</v>
      </c>
      <c r="EO231" t="e">
        <f>AND('STERLING CATALOG - DRY '!J5196,"AAAAAH7v35A=")</f>
        <v>#VALUE!</v>
      </c>
      <c r="EP231">
        <f>IF('STERLING CATALOG - DRY '!5197:5197,"AAAAAH7v35E=",0)</f>
        <v>0</v>
      </c>
      <c r="EQ231" t="e">
        <f>AND('STERLING CATALOG - DRY '!A5197,"AAAAAH7v35I=")</f>
        <v>#VALUE!</v>
      </c>
      <c r="ER231" t="e">
        <f>AND('STERLING CATALOG - DRY '!B5197,"AAAAAH7v35M=")</f>
        <v>#VALUE!</v>
      </c>
      <c r="ES231" t="e">
        <f>AND('STERLING CATALOG - DRY '!C5197,"AAAAAH7v35Q=")</f>
        <v>#VALUE!</v>
      </c>
      <c r="ET231" t="e">
        <f>AND('STERLING CATALOG - DRY '!D5197,"AAAAAH7v35U=")</f>
        <v>#VALUE!</v>
      </c>
      <c r="EU231" t="e">
        <f>AND('STERLING CATALOG - DRY '!E5197,"AAAAAH7v35Y=")</f>
        <v>#VALUE!</v>
      </c>
      <c r="EV231" t="e">
        <f>AND('STERLING CATALOG - DRY '!F5197,"AAAAAH7v35c=")</f>
        <v>#VALUE!</v>
      </c>
      <c r="EW231" t="e">
        <f>AND('STERLING CATALOG - DRY '!G5197,"AAAAAH7v35g=")</f>
        <v>#VALUE!</v>
      </c>
      <c r="EX231" t="e">
        <f>AND('STERLING CATALOG - DRY '!H5197,"AAAAAH7v35k=")</f>
        <v>#VALUE!</v>
      </c>
      <c r="EY231" t="e">
        <f>AND('STERLING CATALOG - DRY '!I5197,"AAAAAH7v35o=")</f>
        <v>#VALUE!</v>
      </c>
      <c r="EZ231" t="e">
        <f>AND('STERLING CATALOG - DRY '!J5197,"AAAAAH7v35s=")</f>
        <v>#VALUE!</v>
      </c>
      <c r="FA231">
        <f>IF('STERLING CATALOG - DRY '!5198:5198,"AAAAAH7v35w=",0)</f>
        <v>0</v>
      </c>
      <c r="FB231" t="e">
        <f>AND('STERLING CATALOG - DRY '!A5198,"AAAAAH7v350=")</f>
        <v>#VALUE!</v>
      </c>
      <c r="FC231" t="e">
        <f>AND('STERLING CATALOG - DRY '!B5198,"AAAAAH7v354=")</f>
        <v>#VALUE!</v>
      </c>
      <c r="FD231" t="e">
        <f>AND('STERLING CATALOG - DRY '!C5198,"AAAAAH7v358=")</f>
        <v>#VALUE!</v>
      </c>
      <c r="FE231" t="e">
        <f>AND('STERLING CATALOG - DRY '!D5198,"AAAAAH7v36A=")</f>
        <v>#VALUE!</v>
      </c>
      <c r="FF231" t="e">
        <f>AND('STERLING CATALOG - DRY '!E5198,"AAAAAH7v36E=")</f>
        <v>#VALUE!</v>
      </c>
      <c r="FG231" t="e">
        <f>AND('STERLING CATALOG - DRY '!F5198,"AAAAAH7v36I=")</f>
        <v>#VALUE!</v>
      </c>
      <c r="FH231" t="e">
        <f>AND('STERLING CATALOG - DRY '!G5198,"AAAAAH7v36M=")</f>
        <v>#VALUE!</v>
      </c>
      <c r="FI231" t="e">
        <f>AND('STERLING CATALOG - DRY '!H5198,"AAAAAH7v36Q=")</f>
        <v>#VALUE!</v>
      </c>
      <c r="FJ231" t="e">
        <f>AND('STERLING CATALOG - DRY '!I5198,"AAAAAH7v36U=")</f>
        <v>#VALUE!</v>
      </c>
      <c r="FK231" t="e">
        <f>AND('STERLING CATALOG - DRY '!J5198,"AAAAAH7v36Y=")</f>
        <v>#VALUE!</v>
      </c>
      <c r="FL231">
        <f>IF('STERLING CATALOG - DRY '!5199:5199,"AAAAAH7v36c=",0)</f>
        <v>0</v>
      </c>
      <c r="FM231" t="e">
        <f>AND('STERLING CATALOG - DRY '!A5199,"AAAAAH7v36g=")</f>
        <v>#VALUE!</v>
      </c>
      <c r="FN231" t="e">
        <f>AND('STERLING CATALOG - DRY '!B5199,"AAAAAH7v36k=")</f>
        <v>#VALUE!</v>
      </c>
      <c r="FO231" t="e">
        <f>AND('STERLING CATALOG - DRY '!C5199,"AAAAAH7v36o=")</f>
        <v>#VALUE!</v>
      </c>
      <c r="FP231" t="e">
        <f>AND('STERLING CATALOG - DRY '!D5199,"AAAAAH7v36s=")</f>
        <v>#VALUE!</v>
      </c>
      <c r="FQ231" t="e">
        <f>AND('STERLING CATALOG - DRY '!E5199,"AAAAAH7v36w=")</f>
        <v>#VALUE!</v>
      </c>
      <c r="FR231" t="e">
        <f>AND('STERLING CATALOG - DRY '!F5199,"AAAAAH7v360=")</f>
        <v>#VALUE!</v>
      </c>
      <c r="FS231" t="e">
        <f>AND('STERLING CATALOG - DRY '!G5199,"AAAAAH7v364=")</f>
        <v>#VALUE!</v>
      </c>
      <c r="FT231" t="e">
        <f>AND('STERLING CATALOG - DRY '!H5199,"AAAAAH7v368=")</f>
        <v>#VALUE!</v>
      </c>
      <c r="FU231" t="e">
        <f>AND('STERLING CATALOG - DRY '!I5199,"AAAAAH7v37A=")</f>
        <v>#VALUE!</v>
      </c>
      <c r="FV231" t="e">
        <f>AND('STERLING CATALOG - DRY '!J5199,"AAAAAH7v37E=")</f>
        <v>#VALUE!</v>
      </c>
      <c r="FW231">
        <f>IF('STERLING CATALOG - DRY '!5200:5200,"AAAAAH7v37I=",0)</f>
        <v>0</v>
      </c>
      <c r="FX231" t="e">
        <f>AND('STERLING CATALOG - DRY '!A5200,"AAAAAH7v37M=")</f>
        <v>#VALUE!</v>
      </c>
      <c r="FY231" t="e">
        <f>AND('STERLING CATALOG - DRY '!B5200,"AAAAAH7v37Q=")</f>
        <v>#VALUE!</v>
      </c>
      <c r="FZ231" t="e">
        <f>AND('STERLING CATALOG - DRY '!C5200,"AAAAAH7v37U=")</f>
        <v>#VALUE!</v>
      </c>
      <c r="GA231" t="e">
        <f>AND('STERLING CATALOG - DRY '!D5200,"AAAAAH7v37Y=")</f>
        <v>#VALUE!</v>
      </c>
      <c r="GB231" t="e">
        <f>AND('STERLING CATALOG - DRY '!E5200,"AAAAAH7v37c=")</f>
        <v>#VALUE!</v>
      </c>
      <c r="GC231" t="e">
        <f>AND('STERLING CATALOG - DRY '!F5200,"AAAAAH7v37g=")</f>
        <v>#VALUE!</v>
      </c>
      <c r="GD231" t="e">
        <f>AND('STERLING CATALOG - DRY '!G5200,"AAAAAH7v37k=")</f>
        <v>#VALUE!</v>
      </c>
      <c r="GE231" t="e">
        <f>AND('STERLING CATALOG - DRY '!H5200,"AAAAAH7v37o=")</f>
        <v>#VALUE!</v>
      </c>
      <c r="GF231" t="e">
        <f>AND('STERLING CATALOG - DRY '!I5200,"AAAAAH7v37s=")</f>
        <v>#VALUE!</v>
      </c>
      <c r="GG231" t="e">
        <f>AND('STERLING CATALOG - DRY '!J5200,"AAAAAH7v37w=")</f>
        <v>#VALUE!</v>
      </c>
      <c r="GH231">
        <f>IF('STERLING CATALOG - DRY '!5201:5201,"AAAAAH7v370=",0)</f>
        <v>0</v>
      </c>
      <c r="GI231" t="e">
        <f>AND('STERLING CATALOG - DRY '!A5201,"AAAAAH7v374=")</f>
        <v>#VALUE!</v>
      </c>
      <c r="GJ231" t="e">
        <f>AND('STERLING CATALOG - DRY '!B5201,"AAAAAH7v378=")</f>
        <v>#VALUE!</v>
      </c>
      <c r="GK231" t="e">
        <f>AND('STERLING CATALOG - DRY '!C5201,"AAAAAH7v38A=")</f>
        <v>#VALUE!</v>
      </c>
      <c r="GL231" t="e">
        <f>AND('STERLING CATALOG - DRY '!D5201,"AAAAAH7v38E=")</f>
        <v>#VALUE!</v>
      </c>
      <c r="GM231" t="e">
        <f>AND('STERLING CATALOG - DRY '!E5201,"AAAAAH7v38I=")</f>
        <v>#VALUE!</v>
      </c>
      <c r="GN231" t="e">
        <f>AND('STERLING CATALOG - DRY '!F5201,"AAAAAH7v38M=")</f>
        <v>#VALUE!</v>
      </c>
      <c r="GO231" t="e">
        <f>AND('STERLING CATALOG - DRY '!G5201,"AAAAAH7v38Q=")</f>
        <v>#VALUE!</v>
      </c>
      <c r="GP231" t="e">
        <f>AND('STERLING CATALOG - DRY '!H5201,"AAAAAH7v38U=")</f>
        <v>#VALUE!</v>
      </c>
      <c r="GQ231" t="e">
        <f>AND('STERLING CATALOG - DRY '!I5201,"AAAAAH7v38Y=")</f>
        <v>#VALUE!</v>
      </c>
      <c r="GR231" t="e">
        <f>AND('STERLING CATALOG - DRY '!J5201,"AAAAAH7v38c=")</f>
        <v>#VALUE!</v>
      </c>
      <c r="GS231">
        <f>IF('STERLING CATALOG - DRY '!5202:5202,"AAAAAH7v38g=",0)</f>
        <v>0</v>
      </c>
      <c r="GT231" t="e">
        <f>AND('STERLING CATALOG - DRY '!A5202,"AAAAAH7v38k=")</f>
        <v>#VALUE!</v>
      </c>
      <c r="GU231" t="e">
        <f>AND('STERLING CATALOG - DRY '!B5202,"AAAAAH7v38o=")</f>
        <v>#VALUE!</v>
      </c>
      <c r="GV231" t="e">
        <f>AND('STERLING CATALOG - DRY '!C5202,"AAAAAH7v38s=")</f>
        <v>#VALUE!</v>
      </c>
      <c r="GW231" t="e">
        <f>AND('STERLING CATALOG - DRY '!D5202,"AAAAAH7v38w=")</f>
        <v>#VALUE!</v>
      </c>
      <c r="GX231" t="e">
        <f>AND('STERLING CATALOG - DRY '!E5202,"AAAAAH7v380=")</f>
        <v>#VALUE!</v>
      </c>
      <c r="GY231" t="e">
        <f>AND('STERLING CATALOG - DRY '!F5202,"AAAAAH7v384=")</f>
        <v>#VALUE!</v>
      </c>
      <c r="GZ231" t="e">
        <f>AND('STERLING CATALOG - DRY '!G5202,"AAAAAH7v388=")</f>
        <v>#VALUE!</v>
      </c>
      <c r="HA231" t="e">
        <f>AND('STERLING CATALOG - DRY '!H5202,"AAAAAH7v39A=")</f>
        <v>#VALUE!</v>
      </c>
      <c r="HB231" t="e">
        <f>AND('STERLING CATALOG - DRY '!I5202,"AAAAAH7v39E=")</f>
        <v>#VALUE!</v>
      </c>
      <c r="HC231" t="e">
        <f>AND('STERLING CATALOG - DRY '!J5202,"AAAAAH7v39I=")</f>
        <v>#VALUE!</v>
      </c>
      <c r="HD231">
        <f>IF('STERLING CATALOG - DRY '!5203:5203,"AAAAAH7v39M=",0)</f>
        <v>0</v>
      </c>
      <c r="HE231" t="e">
        <f>AND('STERLING CATALOG - DRY '!A5203,"AAAAAH7v39Q=")</f>
        <v>#VALUE!</v>
      </c>
      <c r="HF231" t="e">
        <f>AND('STERLING CATALOG - DRY '!B5203,"AAAAAH7v39U=")</f>
        <v>#VALUE!</v>
      </c>
      <c r="HG231" t="e">
        <f>AND('STERLING CATALOG - DRY '!C5203,"AAAAAH7v39Y=")</f>
        <v>#VALUE!</v>
      </c>
      <c r="HH231" t="e">
        <f>AND('STERLING CATALOG - DRY '!D5203,"AAAAAH7v39c=")</f>
        <v>#VALUE!</v>
      </c>
      <c r="HI231" t="e">
        <f>AND('STERLING CATALOG - DRY '!E5203,"AAAAAH7v39g=")</f>
        <v>#VALUE!</v>
      </c>
      <c r="HJ231" t="e">
        <f>AND('STERLING CATALOG - DRY '!F5203,"AAAAAH7v39k=")</f>
        <v>#VALUE!</v>
      </c>
      <c r="HK231" t="e">
        <f>AND('STERLING CATALOG - DRY '!G5203,"AAAAAH7v39o=")</f>
        <v>#VALUE!</v>
      </c>
      <c r="HL231" t="e">
        <f>AND('STERLING CATALOG - DRY '!H5203,"AAAAAH7v39s=")</f>
        <v>#VALUE!</v>
      </c>
      <c r="HM231" t="e">
        <f>AND('STERLING CATALOG - DRY '!I5203,"AAAAAH7v39w=")</f>
        <v>#VALUE!</v>
      </c>
      <c r="HN231" t="e">
        <f>AND('STERLING CATALOG - DRY '!J5203,"AAAAAH7v390=")</f>
        <v>#VALUE!</v>
      </c>
      <c r="HO231">
        <f>IF('STERLING CATALOG - DRY '!5204:5204,"AAAAAH7v394=",0)</f>
        <v>0</v>
      </c>
      <c r="HP231" t="e">
        <f>AND('STERLING CATALOG - DRY '!A5204,"AAAAAH7v398=")</f>
        <v>#VALUE!</v>
      </c>
      <c r="HQ231" t="e">
        <f>AND('STERLING CATALOG - DRY '!B5204,"AAAAAH7v3+A=")</f>
        <v>#VALUE!</v>
      </c>
      <c r="HR231" t="e">
        <f>AND('STERLING CATALOG - DRY '!C5204,"AAAAAH7v3+E=")</f>
        <v>#VALUE!</v>
      </c>
      <c r="HS231" t="e">
        <f>AND('STERLING CATALOG - DRY '!D5204,"AAAAAH7v3+I=")</f>
        <v>#VALUE!</v>
      </c>
      <c r="HT231" t="e">
        <f>AND('STERLING CATALOG - DRY '!E5204,"AAAAAH7v3+M=")</f>
        <v>#VALUE!</v>
      </c>
      <c r="HU231" t="e">
        <f>AND('STERLING CATALOG - DRY '!F5204,"AAAAAH7v3+Q=")</f>
        <v>#VALUE!</v>
      </c>
      <c r="HV231" t="e">
        <f>AND('STERLING CATALOG - DRY '!G5204,"AAAAAH7v3+U=")</f>
        <v>#VALUE!</v>
      </c>
      <c r="HW231" t="e">
        <f>AND('STERLING CATALOG - DRY '!H5204,"AAAAAH7v3+Y=")</f>
        <v>#VALUE!</v>
      </c>
      <c r="HX231" t="e">
        <f>AND('STERLING CATALOG - DRY '!I5204,"AAAAAH7v3+c=")</f>
        <v>#VALUE!</v>
      </c>
      <c r="HY231" t="e">
        <f>AND('STERLING CATALOG - DRY '!J5204,"AAAAAH7v3+g=")</f>
        <v>#VALUE!</v>
      </c>
      <c r="HZ231">
        <f>IF('STERLING CATALOG - DRY '!5205:5205,"AAAAAH7v3+k=",0)</f>
        <v>0</v>
      </c>
      <c r="IA231" t="e">
        <f>AND('STERLING CATALOG - DRY '!A5205,"AAAAAH7v3+o=")</f>
        <v>#VALUE!</v>
      </c>
      <c r="IB231" t="e">
        <f>AND('STERLING CATALOG - DRY '!B5205,"AAAAAH7v3+s=")</f>
        <v>#VALUE!</v>
      </c>
      <c r="IC231" t="e">
        <f>AND('STERLING CATALOG - DRY '!C5205,"AAAAAH7v3+w=")</f>
        <v>#VALUE!</v>
      </c>
      <c r="ID231" t="e">
        <f>AND('STERLING CATALOG - DRY '!D5205,"AAAAAH7v3+0=")</f>
        <v>#VALUE!</v>
      </c>
      <c r="IE231" t="e">
        <f>AND('STERLING CATALOG - DRY '!E5205,"AAAAAH7v3+4=")</f>
        <v>#VALUE!</v>
      </c>
      <c r="IF231" t="e">
        <f>AND('STERLING CATALOG - DRY '!F5205,"AAAAAH7v3+8=")</f>
        <v>#VALUE!</v>
      </c>
      <c r="IG231" t="e">
        <f>AND('STERLING CATALOG - DRY '!G5205,"AAAAAH7v3/A=")</f>
        <v>#VALUE!</v>
      </c>
      <c r="IH231" t="e">
        <f>AND('STERLING CATALOG - DRY '!H5205,"AAAAAH7v3/E=")</f>
        <v>#VALUE!</v>
      </c>
      <c r="II231" t="e">
        <f>AND('STERLING CATALOG - DRY '!I5205,"AAAAAH7v3/I=")</f>
        <v>#VALUE!</v>
      </c>
      <c r="IJ231" t="e">
        <f>AND('STERLING CATALOG - DRY '!J5205,"AAAAAH7v3/M=")</f>
        <v>#VALUE!</v>
      </c>
      <c r="IK231">
        <f>IF('STERLING CATALOG - DRY '!5206:5206,"AAAAAH7v3/Q=",0)</f>
        <v>0</v>
      </c>
      <c r="IL231" t="e">
        <f>AND('STERLING CATALOG - DRY '!A5206,"AAAAAH7v3/U=")</f>
        <v>#VALUE!</v>
      </c>
      <c r="IM231" t="e">
        <f>AND('STERLING CATALOG - DRY '!B5206,"AAAAAH7v3/Y=")</f>
        <v>#VALUE!</v>
      </c>
      <c r="IN231" t="e">
        <f>AND('STERLING CATALOG - DRY '!C5206,"AAAAAH7v3/c=")</f>
        <v>#VALUE!</v>
      </c>
      <c r="IO231" t="e">
        <f>AND('STERLING CATALOG - DRY '!D5206,"AAAAAH7v3/g=")</f>
        <v>#VALUE!</v>
      </c>
      <c r="IP231" t="e">
        <f>AND('STERLING CATALOG - DRY '!E5206,"AAAAAH7v3/k=")</f>
        <v>#VALUE!</v>
      </c>
      <c r="IQ231" t="e">
        <f>AND('STERLING CATALOG - DRY '!F5206,"AAAAAH7v3/o=")</f>
        <v>#VALUE!</v>
      </c>
      <c r="IR231" t="e">
        <f>AND('STERLING CATALOG - DRY '!G5206,"AAAAAH7v3/s=")</f>
        <v>#VALUE!</v>
      </c>
      <c r="IS231" t="e">
        <f>AND('STERLING CATALOG - DRY '!H5206,"AAAAAH7v3/w=")</f>
        <v>#VALUE!</v>
      </c>
      <c r="IT231" t="e">
        <f>AND('STERLING CATALOG - DRY '!I5206,"AAAAAH7v3/0=")</f>
        <v>#VALUE!</v>
      </c>
      <c r="IU231" t="e">
        <f>AND('STERLING CATALOG - DRY '!J5206,"AAAAAH7v3/4=")</f>
        <v>#VALUE!</v>
      </c>
      <c r="IV231">
        <f>IF('STERLING CATALOG - DRY '!5207:5207,"AAAAAH7v3/8=",0)</f>
        <v>0</v>
      </c>
    </row>
    <row r="232" spans="1:256">
      <c r="A232" t="e">
        <f>AND('STERLING CATALOG - DRY '!A5207,"AAAAACcvqwA=")</f>
        <v>#VALUE!</v>
      </c>
      <c r="B232" t="e">
        <f>AND('STERLING CATALOG - DRY '!B5207,"AAAAACcvqwE=")</f>
        <v>#VALUE!</v>
      </c>
      <c r="C232" t="e">
        <f>AND('STERLING CATALOG - DRY '!C5207,"AAAAACcvqwI=")</f>
        <v>#VALUE!</v>
      </c>
      <c r="D232" t="e">
        <f>AND('STERLING CATALOG - DRY '!D5207,"AAAAACcvqwM=")</f>
        <v>#VALUE!</v>
      </c>
      <c r="E232" t="e">
        <f>AND('STERLING CATALOG - DRY '!E5207,"AAAAACcvqwQ=")</f>
        <v>#VALUE!</v>
      </c>
      <c r="F232" t="e">
        <f>AND('STERLING CATALOG - DRY '!F5207,"AAAAACcvqwU=")</f>
        <v>#VALUE!</v>
      </c>
      <c r="G232" t="e">
        <f>AND('STERLING CATALOG - DRY '!G5207,"AAAAACcvqwY=")</f>
        <v>#VALUE!</v>
      </c>
      <c r="H232" t="e">
        <f>AND('STERLING CATALOG - DRY '!H5207,"AAAAACcvqwc=")</f>
        <v>#VALUE!</v>
      </c>
      <c r="I232" t="e">
        <f>AND('STERLING CATALOG - DRY '!I5207,"AAAAACcvqwg=")</f>
        <v>#VALUE!</v>
      </c>
      <c r="J232" t="e">
        <f>AND('STERLING CATALOG - DRY '!J5207,"AAAAACcvqwk=")</f>
        <v>#VALUE!</v>
      </c>
      <c r="K232">
        <f>IF('STERLING CATALOG - DRY '!5208:5208,"AAAAACcvqwo=",0)</f>
        <v>0</v>
      </c>
      <c r="L232" t="e">
        <f>AND('STERLING CATALOG - DRY '!A5208,"AAAAACcvqws=")</f>
        <v>#VALUE!</v>
      </c>
      <c r="M232" t="e">
        <f>AND('STERLING CATALOG - DRY '!B5208,"AAAAACcvqww=")</f>
        <v>#VALUE!</v>
      </c>
      <c r="N232" t="e">
        <f>AND('STERLING CATALOG - DRY '!C5208,"AAAAACcvqw0=")</f>
        <v>#VALUE!</v>
      </c>
      <c r="O232" t="e">
        <f>AND('STERLING CATALOG - DRY '!D5208,"AAAAACcvqw4=")</f>
        <v>#VALUE!</v>
      </c>
      <c r="P232" t="e">
        <f>AND('STERLING CATALOG - DRY '!E5208,"AAAAACcvqw8=")</f>
        <v>#VALUE!</v>
      </c>
      <c r="Q232" t="e">
        <f>AND('STERLING CATALOG - DRY '!F5208,"AAAAACcvqxA=")</f>
        <v>#VALUE!</v>
      </c>
      <c r="R232" t="e">
        <f>AND('STERLING CATALOG - DRY '!G5208,"AAAAACcvqxE=")</f>
        <v>#VALUE!</v>
      </c>
      <c r="S232" t="e">
        <f>AND('STERLING CATALOG - DRY '!H5208,"AAAAACcvqxI=")</f>
        <v>#VALUE!</v>
      </c>
      <c r="T232" t="e">
        <f>AND('STERLING CATALOG - DRY '!I5208,"AAAAACcvqxM=")</f>
        <v>#VALUE!</v>
      </c>
      <c r="U232" t="e">
        <f>AND('STERLING CATALOG - DRY '!J5208,"AAAAACcvqxQ=")</f>
        <v>#VALUE!</v>
      </c>
      <c r="V232">
        <f>IF('STERLING CATALOG - DRY '!5209:5209,"AAAAACcvqxU=",0)</f>
        <v>0</v>
      </c>
      <c r="W232" t="e">
        <f>AND('STERLING CATALOG - DRY '!A5209,"AAAAACcvqxY=")</f>
        <v>#VALUE!</v>
      </c>
      <c r="X232" t="e">
        <f>AND('STERLING CATALOG - DRY '!B5209,"AAAAACcvqxc=")</f>
        <v>#VALUE!</v>
      </c>
      <c r="Y232" t="e">
        <f>AND('STERLING CATALOG - DRY '!C5209,"AAAAACcvqxg=")</f>
        <v>#VALUE!</v>
      </c>
      <c r="Z232" t="e">
        <f>AND('STERLING CATALOG - DRY '!D5209,"AAAAACcvqxk=")</f>
        <v>#VALUE!</v>
      </c>
      <c r="AA232" t="e">
        <f>AND('STERLING CATALOG - DRY '!E5209,"AAAAACcvqxo=")</f>
        <v>#VALUE!</v>
      </c>
      <c r="AB232" t="e">
        <f>AND('STERLING CATALOG - DRY '!F5209,"AAAAACcvqxs=")</f>
        <v>#VALUE!</v>
      </c>
      <c r="AC232" t="e">
        <f>AND('STERLING CATALOG - DRY '!G5209,"AAAAACcvqxw=")</f>
        <v>#VALUE!</v>
      </c>
      <c r="AD232" t="e">
        <f>AND('STERLING CATALOG - DRY '!H5209,"AAAAACcvqx0=")</f>
        <v>#VALUE!</v>
      </c>
      <c r="AE232" t="e">
        <f>AND('STERLING CATALOG - DRY '!I5209,"AAAAACcvqx4=")</f>
        <v>#VALUE!</v>
      </c>
      <c r="AF232" t="e">
        <f>AND('STERLING CATALOG - DRY '!J5209,"AAAAACcvqx8=")</f>
        <v>#VALUE!</v>
      </c>
      <c r="AG232">
        <f>IF('STERLING CATALOG - DRY '!5210:5210,"AAAAACcvqyA=",0)</f>
        <v>0</v>
      </c>
      <c r="AH232" t="e">
        <f>AND('STERLING CATALOG - DRY '!A5210,"AAAAACcvqyE=")</f>
        <v>#VALUE!</v>
      </c>
      <c r="AI232" t="e">
        <f>AND('STERLING CATALOG - DRY '!B5210,"AAAAACcvqyI=")</f>
        <v>#VALUE!</v>
      </c>
      <c r="AJ232" t="e">
        <f>AND('STERLING CATALOG - DRY '!C5210,"AAAAACcvqyM=")</f>
        <v>#VALUE!</v>
      </c>
      <c r="AK232" t="e">
        <f>AND('STERLING CATALOG - DRY '!D5210,"AAAAACcvqyQ=")</f>
        <v>#VALUE!</v>
      </c>
      <c r="AL232" t="e">
        <f>AND('STERLING CATALOG - DRY '!E5210,"AAAAACcvqyU=")</f>
        <v>#VALUE!</v>
      </c>
      <c r="AM232" t="e">
        <f>AND('STERLING CATALOG - DRY '!F5210,"AAAAACcvqyY=")</f>
        <v>#VALUE!</v>
      </c>
      <c r="AN232" t="e">
        <f>AND('STERLING CATALOG - DRY '!G5210,"AAAAACcvqyc=")</f>
        <v>#VALUE!</v>
      </c>
      <c r="AO232" t="e">
        <f>AND('STERLING CATALOG - DRY '!H5210,"AAAAACcvqyg=")</f>
        <v>#VALUE!</v>
      </c>
      <c r="AP232" t="e">
        <f>AND('STERLING CATALOG - DRY '!I5210,"AAAAACcvqyk=")</f>
        <v>#VALUE!</v>
      </c>
      <c r="AQ232" t="e">
        <f>AND('STERLING CATALOG - DRY '!J5210,"AAAAACcvqyo=")</f>
        <v>#VALUE!</v>
      </c>
      <c r="AR232">
        <f>IF('STERLING CATALOG - DRY '!5211:5211,"AAAAACcvqys=",0)</f>
        <v>0</v>
      </c>
      <c r="AS232" t="e">
        <f>AND('STERLING CATALOG - DRY '!A5211,"AAAAACcvqyw=")</f>
        <v>#VALUE!</v>
      </c>
      <c r="AT232" t="e">
        <f>AND('STERLING CATALOG - DRY '!B5211,"AAAAACcvqy0=")</f>
        <v>#VALUE!</v>
      </c>
      <c r="AU232" t="e">
        <f>AND('STERLING CATALOG - DRY '!C5211,"AAAAACcvqy4=")</f>
        <v>#VALUE!</v>
      </c>
      <c r="AV232" t="e">
        <f>AND('STERLING CATALOG - DRY '!D5211,"AAAAACcvqy8=")</f>
        <v>#VALUE!</v>
      </c>
      <c r="AW232" t="e">
        <f>AND('STERLING CATALOG - DRY '!E5211,"AAAAACcvqzA=")</f>
        <v>#VALUE!</v>
      </c>
      <c r="AX232" t="e">
        <f>AND('STERLING CATALOG - DRY '!F5211,"AAAAACcvqzE=")</f>
        <v>#VALUE!</v>
      </c>
      <c r="AY232" t="e">
        <f>AND('STERLING CATALOG - DRY '!G5211,"AAAAACcvqzI=")</f>
        <v>#VALUE!</v>
      </c>
      <c r="AZ232" t="e">
        <f>AND('STERLING CATALOG - DRY '!H5211,"AAAAACcvqzM=")</f>
        <v>#VALUE!</v>
      </c>
      <c r="BA232" t="e">
        <f>AND('STERLING CATALOG - DRY '!I5211,"AAAAACcvqzQ=")</f>
        <v>#VALUE!</v>
      </c>
      <c r="BB232" t="e">
        <f>AND('STERLING CATALOG - DRY '!J5211,"AAAAACcvqzU=")</f>
        <v>#VALUE!</v>
      </c>
      <c r="BC232">
        <f>IF('STERLING CATALOG - DRY '!5212:5212,"AAAAACcvqzY=",0)</f>
        <v>0</v>
      </c>
      <c r="BD232" t="e">
        <f>AND('STERLING CATALOG - DRY '!A5212,"AAAAACcvqzc=")</f>
        <v>#VALUE!</v>
      </c>
      <c r="BE232" t="e">
        <f>AND('STERLING CATALOG - DRY '!B5212,"AAAAACcvqzg=")</f>
        <v>#VALUE!</v>
      </c>
      <c r="BF232" t="e">
        <f>AND('STERLING CATALOG - DRY '!C5212,"AAAAACcvqzk=")</f>
        <v>#VALUE!</v>
      </c>
      <c r="BG232" t="e">
        <f>AND('STERLING CATALOG - DRY '!D5212,"AAAAACcvqzo=")</f>
        <v>#VALUE!</v>
      </c>
      <c r="BH232" t="e">
        <f>AND('STERLING CATALOG - DRY '!E5212,"AAAAACcvqzs=")</f>
        <v>#VALUE!</v>
      </c>
      <c r="BI232" t="e">
        <f>AND('STERLING CATALOG - DRY '!F5212,"AAAAACcvqzw=")</f>
        <v>#VALUE!</v>
      </c>
      <c r="BJ232" t="e">
        <f>AND('STERLING CATALOG - DRY '!G5212,"AAAAACcvqz0=")</f>
        <v>#VALUE!</v>
      </c>
      <c r="BK232" t="e">
        <f>AND('STERLING CATALOG - DRY '!H5212,"AAAAACcvqz4=")</f>
        <v>#VALUE!</v>
      </c>
      <c r="BL232" t="e">
        <f>AND('STERLING CATALOG - DRY '!I5212,"AAAAACcvqz8=")</f>
        <v>#VALUE!</v>
      </c>
      <c r="BM232" t="e">
        <f>AND('STERLING CATALOG - DRY '!J5212,"AAAAACcvq0A=")</f>
        <v>#VALUE!</v>
      </c>
      <c r="BN232">
        <f>IF('STERLING CATALOG - DRY '!5213:5213,"AAAAACcvq0E=",0)</f>
        <v>0</v>
      </c>
      <c r="BO232" t="e">
        <f>AND('STERLING CATALOG - DRY '!A5213,"AAAAACcvq0I=")</f>
        <v>#VALUE!</v>
      </c>
      <c r="BP232" t="e">
        <f>AND('STERLING CATALOG - DRY '!B5213,"AAAAACcvq0M=")</f>
        <v>#VALUE!</v>
      </c>
      <c r="BQ232" t="e">
        <f>AND('STERLING CATALOG - DRY '!C5213,"AAAAACcvq0Q=")</f>
        <v>#VALUE!</v>
      </c>
      <c r="BR232" t="e">
        <f>AND('STERLING CATALOG - DRY '!D5213,"AAAAACcvq0U=")</f>
        <v>#VALUE!</v>
      </c>
      <c r="BS232" t="e">
        <f>AND('STERLING CATALOG - DRY '!E5213,"AAAAACcvq0Y=")</f>
        <v>#VALUE!</v>
      </c>
      <c r="BT232" t="e">
        <f>AND('STERLING CATALOG - DRY '!F5213,"AAAAACcvq0c=")</f>
        <v>#VALUE!</v>
      </c>
      <c r="BU232" t="e">
        <f>AND('STERLING CATALOG - DRY '!G5213,"AAAAACcvq0g=")</f>
        <v>#VALUE!</v>
      </c>
      <c r="BV232" t="e">
        <f>AND('STERLING CATALOG - DRY '!H5213,"AAAAACcvq0k=")</f>
        <v>#VALUE!</v>
      </c>
      <c r="BW232" t="e">
        <f>AND('STERLING CATALOG - DRY '!I5213,"AAAAACcvq0o=")</f>
        <v>#VALUE!</v>
      </c>
      <c r="BX232" t="e">
        <f>AND('STERLING CATALOG - DRY '!J5213,"AAAAACcvq0s=")</f>
        <v>#VALUE!</v>
      </c>
      <c r="BY232">
        <f>IF('STERLING CATALOG - DRY '!5214:5214,"AAAAACcvq0w=",0)</f>
        <v>0</v>
      </c>
      <c r="BZ232" t="e">
        <f>AND('STERLING CATALOG - DRY '!A5214,"AAAAACcvq00=")</f>
        <v>#VALUE!</v>
      </c>
      <c r="CA232" t="e">
        <f>AND('STERLING CATALOG - DRY '!B5214,"AAAAACcvq04=")</f>
        <v>#VALUE!</v>
      </c>
      <c r="CB232" t="e">
        <f>AND('STERLING CATALOG - DRY '!C5214,"AAAAACcvq08=")</f>
        <v>#VALUE!</v>
      </c>
      <c r="CC232" t="e">
        <f>AND('STERLING CATALOG - DRY '!D5214,"AAAAACcvq1A=")</f>
        <v>#VALUE!</v>
      </c>
      <c r="CD232" t="e">
        <f>AND('STERLING CATALOG - DRY '!E5214,"AAAAACcvq1E=")</f>
        <v>#VALUE!</v>
      </c>
      <c r="CE232" t="e">
        <f>AND('STERLING CATALOG - DRY '!F5214,"AAAAACcvq1I=")</f>
        <v>#VALUE!</v>
      </c>
      <c r="CF232" t="e">
        <f>AND('STERLING CATALOG - DRY '!G5214,"AAAAACcvq1M=")</f>
        <v>#VALUE!</v>
      </c>
      <c r="CG232" t="e">
        <f>AND('STERLING CATALOG - DRY '!H5214,"AAAAACcvq1Q=")</f>
        <v>#VALUE!</v>
      </c>
      <c r="CH232" t="e">
        <f>AND('STERLING CATALOG - DRY '!I5214,"AAAAACcvq1U=")</f>
        <v>#VALUE!</v>
      </c>
      <c r="CI232" t="e">
        <f>AND('STERLING CATALOG - DRY '!J5214,"AAAAACcvq1Y=")</f>
        <v>#VALUE!</v>
      </c>
      <c r="CJ232">
        <f>IF('STERLING CATALOG - DRY '!5215:5215,"AAAAACcvq1c=",0)</f>
        <v>0</v>
      </c>
      <c r="CK232" t="e">
        <f>AND('STERLING CATALOG - DRY '!A5215,"AAAAACcvq1g=")</f>
        <v>#VALUE!</v>
      </c>
      <c r="CL232" t="e">
        <f>AND('STERLING CATALOG - DRY '!B5215,"AAAAACcvq1k=")</f>
        <v>#VALUE!</v>
      </c>
      <c r="CM232" t="e">
        <f>AND('STERLING CATALOG - DRY '!C5215,"AAAAACcvq1o=")</f>
        <v>#VALUE!</v>
      </c>
      <c r="CN232" t="e">
        <f>AND('STERLING CATALOG - DRY '!D5215,"AAAAACcvq1s=")</f>
        <v>#VALUE!</v>
      </c>
      <c r="CO232" t="e">
        <f>AND('STERLING CATALOG - DRY '!E5215,"AAAAACcvq1w=")</f>
        <v>#VALUE!</v>
      </c>
      <c r="CP232" t="e">
        <f>AND('STERLING CATALOG - DRY '!F5215,"AAAAACcvq10=")</f>
        <v>#VALUE!</v>
      </c>
      <c r="CQ232" t="e">
        <f>AND('STERLING CATALOG - DRY '!G5215,"AAAAACcvq14=")</f>
        <v>#VALUE!</v>
      </c>
      <c r="CR232" t="e">
        <f>AND('STERLING CATALOG - DRY '!H5215,"AAAAACcvq18=")</f>
        <v>#VALUE!</v>
      </c>
      <c r="CS232" t="e">
        <f>AND('STERLING CATALOG - DRY '!I5215,"AAAAACcvq2A=")</f>
        <v>#VALUE!</v>
      </c>
      <c r="CT232" t="e">
        <f>AND('STERLING CATALOG - DRY '!J5215,"AAAAACcvq2E=")</f>
        <v>#VALUE!</v>
      </c>
      <c r="CU232">
        <f>IF('STERLING CATALOG - DRY '!5216:5216,"AAAAACcvq2I=",0)</f>
        <v>0</v>
      </c>
      <c r="CV232" t="e">
        <f>AND('STERLING CATALOG - DRY '!A5216,"AAAAACcvq2M=")</f>
        <v>#VALUE!</v>
      </c>
      <c r="CW232" t="e">
        <f>AND('STERLING CATALOG - DRY '!B5216,"AAAAACcvq2Q=")</f>
        <v>#VALUE!</v>
      </c>
      <c r="CX232" t="e">
        <f>AND('STERLING CATALOG - DRY '!C5216,"AAAAACcvq2U=")</f>
        <v>#VALUE!</v>
      </c>
      <c r="CY232" t="e">
        <f>AND('STERLING CATALOG - DRY '!D5216,"AAAAACcvq2Y=")</f>
        <v>#VALUE!</v>
      </c>
      <c r="CZ232" t="e">
        <f>AND('STERLING CATALOG - DRY '!E5216,"AAAAACcvq2c=")</f>
        <v>#VALUE!</v>
      </c>
      <c r="DA232" t="e">
        <f>AND('STERLING CATALOG - DRY '!F5216,"AAAAACcvq2g=")</f>
        <v>#VALUE!</v>
      </c>
      <c r="DB232" t="e">
        <f>AND('STERLING CATALOG - DRY '!G5216,"AAAAACcvq2k=")</f>
        <v>#VALUE!</v>
      </c>
      <c r="DC232" t="e">
        <f>AND('STERLING CATALOG - DRY '!H5216,"AAAAACcvq2o=")</f>
        <v>#VALUE!</v>
      </c>
      <c r="DD232" t="e">
        <f>AND('STERLING CATALOG - DRY '!I5216,"AAAAACcvq2s=")</f>
        <v>#VALUE!</v>
      </c>
      <c r="DE232" t="e">
        <f>AND('STERLING CATALOG - DRY '!J5216,"AAAAACcvq2w=")</f>
        <v>#VALUE!</v>
      </c>
      <c r="DF232">
        <f>IF('STERLING CATALOG - DRY '!5217:5217,"AAAAACcvq20=",0)</f>
        <v>0</v>
      </c>
      <c r="DG232" t="e">
        <f>AND('STERLING CATALOG - DRY '!A5217,"AAAAACcvq24=")</f>
        <v>#VALUE!</v>
      </c>
      <c r="DH232" t="e">
        <f>AND('STERLING CATALOG - DRY '!B5217,"AAAAACcvq28=")</f>
        <v>#VALUE!</v>
      </c>
      <c r="DI232" t="e">
        <f>AND('STERLING CATALOG - DRY '!C5217,"AAAAACcvq3A=")</f>
        <v>#VALUE!</v>
      </c>
      <c r="DJ232" t="e">
        <f>AND('STERLING CATALOG - DRY '!D5217,"AAAAACcvq3E=")</f>
        <v>#VALUE!</v>
      </c>
      <c r="DK232" t="e">
        <f>AND('STERLING CATALOG - DRY '!E5217,"AAAAACcvq3I=")</f>
        <v>#VALUE!</v>
      </c>
      <c r="DL232" t="e">
        <f>AND('STERLING CATALOG - DRY '!F5217,"AAAAACcvq3M=")</f>
        <v>#VALUE!</v>
      </c>
      <c r="DM232" t="e">
        <f>AND('STERLING CATALOG - DRY '!G5217,"AAAAACcvq3Q=")</f>
        <v>#VALUE!</v>
      </c>
      <c r="DN232" t="e">
        <f>AND('STERLING CATALOG - DRY '!H5217,"AAAAACcvq3U=")</f>
        <v>#VALUE!</v>
      </c>
      <c r="DO232" t="e">
        <f>AND('STERLING CATALOG - DRY '!I5217,"AAAAACcvq3Y=")</f>
        <v>#VALUE!</v>
      </c>
      <c r="DP232" t="e">
        <f>AND('STERLING CATALOG - DRY '!J5217,"AAAAACcvq3c=")</f>
        <v>#VALUE!</v>
      </c>
      <c r="DQ232">
        <f>IF('STERLING CATALOG - DRY '!5218:5218,"AAAAACcvq3g=",0)</f>
        <v>0</v>
      </c>
      <c r="DR232" t="e">
        <f>AND('STERLING CATALOG - DRY '!A5218,"AAAAACcvq3k=")</f>
        <v>#VALUE!</v>
      </c>
      <c r="DS232" t="e">
        <f>AND('STERLING CATALOG - DRY '!B5218,"AAAAACcvq3o=")</f>
        <v>#VALUE!</v>
      </c>
      <c r="DT232" t="e">
        <f>AND('STERLING CATALOG - DRY '!C5218,"AAAAACcvq3s=")</f>
        <v>#VALUE!</v>
      </c>
      <c r="DU232" t="e">
        <f>AND('STERLING CATALOG - DRY '!D5218,"AAAAACcvq3w=")</f>
        <v>#VALUE!</v>
      </c>
      <c r="DV232" t="e">
        <f>AND('STERLING CATALOG - DRY '!E5218,"AAAAACcvq30=")</f>
        <v>#VALUE!</v>
      </c>
      <c r="DW232" t="e">
        <f>AND('STERLING CATALOG - DRY '!F5218,"AAAAACcvq34=")</f>
        <v>#VALUE!</v>
      </c>
      <c r="DX232" t="e">
        <f>AND('STERLING CATALOG - DRY '!G5218,"AAAAACcvq38=")</f>
        <v>#VALUE!</v>
      </c>
      <c r="DY232" t="e">
        <f>AND('STERLING CATALOG - DRY '!H5218,"AAAAACcvq4A=")</f>
        <v>#VALUE!</v>
      </c>
      <c r="DZ232" t="e">
        <f>AND('STERLING CATALOG - DRY '!I5218,"AAAAACcvq4E=")</f>
        <v>#VALUE!</v>
      </c>
      <c r="EA232" t="e">
        <f>AND('STERLING CATALOG - DRY '!J5218,"AAAAACcvq4I=")</f>
        <v>#VALUE!</v>
      </c>
      <c r="EB232">
        <f>IF('STERLING CATALOG - DRY '!5219:5219,"AAAAACcvq4M=",0)</f>
        <v>0</v>
      </c>
      <c r="EC232" t="e">
        <f>AND('STERLING CATALOG - DRY '!A5219,"AAAAACcvq4Q=")</f>
        <v>#VALUE!</v>
      </c>
      <c r="ED232" t="e">
        <f>AND('STERLING CATALOG - DRY '!B5219,"AAAAACcvq4U=")</f>
        <v>#VALUE!</v>
      </c>
      <c r="EE232" t="e">
        <f>AND('STERLING CATALOG - DRY '!C5219,"AAAAACcvq4Y=")</f>
        <v>#VALUE!</v>
      </c>
      <c r="EF232" t="e">
        <f>AND('STERLING CATALOG - DRY '!D5219,"AAAAACcvq4c=")</f>
        <v>#VALUE!</v>
      </c>
      <c r="EG232" t="e">
        <f>AND('STERLING CATALOG - DRY '!E5219,"AAAAACcvq4g=")</f>
        <v>#VALUE!</v>
      </c>
      <c r="EH232" t="e">
        <f>AND('STERLING CATALOG - DRY '!F5219,"AAAAACcvq4k=")</f>
        <v>#VALUE!</v>
      </c>
      <c r="EI232" t="e">
        <f>AND('STERLING CATALOG - DRY '!G5219,"AAAAACcvq4o=")</f>
        <v>#VALUE!</v>
      </c>
      <c r="EJ232" t="e">
        <f>AND('STERLING CATALOG - DRY '!H5219,"AAAAACcvq4s=")</f>
        <v>#VALUE!</v>
      </c>
      <c r="EK232" t="e">
        <f>AND('STERLING CATALOG - DRY '!I5219,"AAAAACcvq4w=")</f>
        <v>#VALUE!</v>
      </c>
      <c r="EL232" t="e">
        <f>AND('STERLING CATALOG - DRY '!J5219,"AAAAACcvq40=")</f>
        <v>#VALUE!</v>
      </c>
      <c r="EM232">
        <f>IF('STERLING CATALOG - DRY '!5220:5220,"AAAAACcvq44=",0)</f>
        <v>0</v>
      </c>
      <c r="EN232" t="e">
        <f>AND('STERLING CATALOG - DRY '!A5220,"AAAAACcvq48=")</f>
        <v>#VALUE!</v>
      </c>
      <c r="EO232" t="e">
        <f>AND('STERLING CATALOG - DRY '!B5220,"AAAAACcvq5A=")</f>
        <v>#VALUE!</v>
      </c>
      <c r="EP232" t="e">
        <f>AND('STERLING CATALOG - DRY '!C5220,"AAAAACcvq5E=")</f>
        <v>#VALUE!</v>
      </c>
      <c r="EQ232" t="e">
        <f>AND('STERLING CATALOG - DRY '!D5220,"AAAAACcvq5I=")</f>
        <v>#VALUE!</v>
      </c>
      <c r="ER232" t="e">
        <f>AND('STERLING CATALOG - DRY '!E5220,"AAAAACcvq5M=")</f>
        <v>#VALUE!</v>
      </c>
      <c r="ES232" t="e">
        <f>AND('STERLING CATALOG - DRY '!F5220,"AAAAACcvq5Q=")</f>
        <v>#VALUE!</v>
      </c>
      <c r="ET232" t="e">
        <f>AND('STERLING CATALOG - DRY '!G5220,"AAAAACcvq5U=")</f>
        <v>#VALUE!</v>
      </c>
      <c r="EU232" t="e">
        <f>AND('STERLING CATALOG - DRY '!H5220,"AAAAACcvq5Y=")</f>
        <v>#VALUE!</v>
      </c>
      <c r="EV232" t="e">
        <f>AND('STERLING CATALOG - DRY '!I5220,"AAAAACcvq5c=")</f>
        <v>#VALUE!</v>
      </c>
      <c r="EW232" t="e">
        <f>AND('STERLING CATALOG - DRY '!J5220,"AAAAACcvq5g=")</f>
        <v>#VALUE!</v>
      </c>
      <c r="EX232">
        <f>IF('STERLING CATALOG - DRY '!5221:5221,"AAAAACcvq5k=",0)</f>
        <v>0</v>
      </c>
      <c r="EY232" t="e">
        <f>AND('STERLING CATALOG - DRY '!A5221,"AAAAACcvq5o=")</f>
        <v>#VALUE!</v>
      </c>
      <c r="EZ232" t="e">
        <f>AND('STERLING CATALOG - DRY '!B5221,"AAAAACcvq5s=")</f>
        <v>#VALUE!</v>
      </c>
      <c r="FA232" t="e">
        <f>AND('STERLING CATALOG - DRY '!C5221,"AAAAACcvq5w=")</f>
        <v>#VALUE!</v>
      </c>
      <c r="FB232" t="e">
        <f>AND('STERLING CATALOG - DRY '!D5221,"AAAAACcvq50=")</f>
        <v>#VALUE!</v>
      </c>
      <c r="FC232" t="e">
        <f>AND('STERLING CATALOG - DRY '!E5221,"AAAAACcvq54=")</f>
        <v>#VALUE!</v>
      </c>
      <c r="FD232" t="e">
        <f>AND('STERLING CATALOG - DRY '!F5221,"AAAAACcvq58=")</f>
        <v>#VALUE!</v>
      </c>
      <c r="FE232" t="e">
        <f>AND('STERLING CATALOG - DRY '!G5221,"AAAAACcvq6A=")</f>
        <v>#VALUE!</v>
      </c>
      <c r="FF232" t="e">
        <f>AND('STERLING CATALOG - DRY '!H5221,"AAAAACcvq6E=")</f>
        <v>#VALUE!</v>
      </c>
      <c r="FG232" t="e">
        <f>AND('STERLING CATALOG - DRY '!I5221,"AAAAACcvq6I=")</f>
        <v>#VALUE!</v>
      </c>
      <c r="FH232" t="e">
        <f>AND('STERLING CATALOG - DRY '!J5221,"AAAAACcvq6M=")</f>
        <v>#VALUE!</v>
      </c>
      <c r="FI232">
        <f>IF('STERLING CATALOG - DRY '!5222:5222,"AAAAACcvq6Q=",0)</f>
        <v>0</v>
      </c>
      <c r="FJ232" t="e">
        <f>AND('STERLING CATALOG - DRY '!A5222,"AAAAACcvq6U=")</f>
        <v>#VALUE!</v>
      </c>
      <c r="FK232" t="e">
        <f>AND('STERLING CATALOG - DRY '!B5222,"AAAAACcvq6Y=")</f>
        <v>#VALUE!</v>
      </c>
      <c r="FL232" t="e">
        <f>AND('STERLING CATALOG - DRY '!C5222,"AAAAACcvq6c=")</f>
        <v>#VALUE!</v>
      </c>
      <c r="FM232" t="e">
        <f>AND('STERLING CATALOG - DRY '!D5222,"AAAAACcvq6g=")</f>
        <v>#VALUE!</v>
      </c>
      <c r="FN232" t="e">
        <f>AND('STERLING CATALOG - DRY '!E5222,"AAAAACcvq6k=")</f>
        <v>#VALUE!</v>
      </c>
      <c r="FO232" t="e">
        <f>AND('STERLING CATALOG - DRY '!F5222,"AAAAACcvq6o=")</f>
        <v>#VALUE!</v>
      </c>
      <c r="FP232" t="e">
        <f>AND('STERLING CATALOG - DRY '!G5222,"AAAAACcvq6s=")</f>
        <v>#VALUE!</v>
      </c>
      <c r="FQ232" t="e">
        <f>AND('STERLING CATALOG - DRY '!H5222,"AAAAACcvq6w=")</f>
        <v>#VALUE!</v>
      </c>
      <c r="FR232" t="e">
        <f>AND('STERLING CATALOG - DRY '!I5222,"AAAAACcvq60=")</f>
        <v>#VALUE!</v>
      </c>
      <c r="FS232" t="e">
        <f>AND('STERLING CATALOG - DRY '!J5222,"AAAAACcvq64=")</f>
        <v>#VALUE!</v>
      </c>
      <c r="FT232">
        <f>IF('STERLING CATALOG - DRY '!5223:5223,"AAAAACcvq68=",0)</f>
        <v>0</v>
      </c>
      <c r="FU232" t="e">
        <f>AND('STERLING CATALOG - DRY '!A5223,"AAAAACcvq7A=")</f>
        <v>#VALUE!</v>
      </c>
      <c r="FV232" t="e">
        <f>AND('STERLING CATALOG - DRY '!B5223,"AAAAACcvq7E=")</f>
        <v>#VALUE!</v>
      </c>
      <c r="FW232" t="e">
        <f>AND('STERLING CATALOG - DRY '!C5223,"AAAAACcvq7I=")</f>
        <v>#VALUE!</v>
      </c>
      <c r="FX232" t="e">
        <f>AND('STERLING CATALOG - DRY '!D5223,"AAAAACcvq7M=")</f>
        <v>#VALUE!</v>
      </c>
      <c r="FY232" t="e">
        <f>AND('STERLING CATALOG - DRY '!E5223,"AAAAACcvq7Q=")</f>
        <v>#VALUE!</v>
      </c>
      <c r="FZ232" t="e">
        <f>AND('STERLING CATALOG - DRY '!F5223,"AAAAACcvq7U=")</f>
        <v>#VALUE!</v>
      </c>
      <c r="GA232" t="e">
        <f>AND('STERLING CATALOG - DRY '!G5223,"AAAAACcvq7Y=")</f>
        <v>#VALUE!</v>
      </c>
      <c r="GB232" t="e">
        <f>AND('STERLING CATALOG - DRY '!H5223,"AAAAACcvq7c=")</f>
        <v>#VALUE!</v>
      </c>
      <c r="GC232" t="e">
        <f>AND('STERLING CATALOG - DRY '!I5223,"AAAAACcvq7g=")</f>
        <v>#VALUE!</v>
      </c>
      <c r="GD232" t="e">
        <f>AND('STERLING CATALOG - DRY '!J5223,"AAAAACcvq7k=")</f>
        <v>#VALUE!</v>
      </c>
      <c r="GE232">
        <f>IF('STERLING CATALOG - DRY '!5224:5224,"AAAAACcvq7o=",0)</f>
        <v>0</v>
      </c>
      <c r="GF232" t="e">
        <f>AND('STERLING CATALOG - DRY '!A5224,"AAAAACcvq7s=")</f>
        <v>#VALUE!</v>
      </c>
      <c r="GG232" t="e">
        <f>AND('STERLING CATALOG - DRY '!B5224,"AAAAACcvq7w=")</f>
        <v>#VALUE!</v>
      </c>
      <c r="GH232" t="e">
        <f>AND('STERLING CATALOG - DRY '!C5224,"AAAAACcvq70=")</f>
        <v>#VALUE!</v>
      </c>
      <c r="GI232" t="e">
        <f>AND('STERLING CATALOG - DRY '!D5224,"AAAAACcvq74=")</f>
        <v>#VALUE!</v>
      </c>
      <c r="GJ232" t="e">
        <f>AND('STERLING CATALOG - DRY '!E5224,"AAAAACcvq78=")</f>
        <v>#VALUE!</v>
      </c>
      <c r="GK232" t="e">
        <f>AND('STERLING CATALOG - DRY '!F5224,"AAAAACcvq8A=")</f>
        <v>#VALUE!</v>
      </c>
      <c r="GL232" t="e">
        <f>AND('STERLING CATALOG - DRY '!G5224,"AAAAACcvq8E=")</f>
        <v>#VALUE!</v>
      </c>
      <c r="GM232" t="e">
        <f>AND('STERLING CATALOG - DRY '!H5224,"AAAAACcvq8I=")</f>
        <v>#VALUE!</v>
      </c>
      <c r="GN232" t="e">
        <f>AND('STERLING CATALOG - DRY '!I5224,"AAAAACcvq8M=")</f>
        <v>#VALUE!</v>
      </c>
      <c r="GO232" t="e">
        <f>AND('STERLING CATALOG - DRY '!J5224,"AAAAACcvq8Q=")</f>
        <v>#VALUE!</v>
      </c>
      <c r="GP232">
        <f>IF('STERLING CATALOG - DRY '!5225:5225,"AAAAACcvq8U=",0)</f>
        <v>0</v>
      </c>
      <c r="GQ232" t="e">
        <f>AND('STERLING CATALOG - DRY '!A5225,"AAAAACcvq8Y=")</f>
        <v>#VALUE!</v>
      </c>
      <c r="GR232" t="e">
        <f>AND('STERLING CATALOG - DRY '!B5225,"AAAAACcvq8c=")</f>
        <v>#VALUE!</v>
      </c>
      <c r="GS232" t="e">
        <f>AND('STERLING CATALOG - DRY '!C5225,"AAAAACcvq8g=")</f>
        <v>#VALUE!</v>
      </c>
      <c r="GT232" t="e">
        <f>AND('STERLING CATALOG - DRY '!D5225,"AAAAACcvq8k=")</f>
        <v>#VALUE!</v>
      </c>
      <c r="GU232" t="e">
        <f>AND('STERLING CATALOG - DRY '!E5225,"AAAAACcvq8o=")</f>
        <v>#VALUE!</v>
      </c>
      <c r="GV232" t="e">
        <f>AND('STERLING CATALOG - DRY '!F5225,"AAAAACcvq8s=")</f>
        <v>#VALUE!</v>
      </c>
      <c r="GW232" t="e">
        <f>AND('STERLING CATALOG - DRY '!G5225,"AAAAACcvq8w=")</f>
        <v>#VALUE!</v>
      </c>
      <c r="GX232" t="e">
        <f>AND('STERLING CATALOG - DRY '!H5225,"AAAAACcvq80=")</f>
        <v>#VALUE!</v>
      </c>
      <c r="GY232" t="e">
        <f>AND('STERLING CATALOG - DRY '!I5225,"AAAAACcvq84=")</f>
        <v>#VALUE!</v>
      </c>
      <c r="GZ232" t="e">
        <f>AND('STERLING CATALOG - DRY '!J5225,"AAAAACcvq88=")</f>
        <v>#VALUE!</v>
      </c>
      <c r="HA232">
        <f>IF('STERLING CATALOG - DRY '!5226:5226,"AAAAACcvq9A=",0)</f>
        <v>0</v>
      </c>
      <c r="HB232" t="e">
        <f>AND('STERLING CATALOG - DRY '!A5226,"AAAAACcvq9E=")</f>
        <v>#VALUE!</v>
      </c>
      <c r="HC232" t="e">
        <f>AND('STERLING CATALOG - DRY '!B5226,"AAAAACcvq9I=")</f>
        <v>#VALUE!</v>
      </c>
      <c r="HD232" t="e">
        <f>AND('STERLING CATALOG - DRY '!C5226,"AAAAACcvq9M=")</f>
        <v>#VALUE!</v>
      </c>
      <c r="HE232" t="e">
        <f>AND('STERLING CATALOG - DRY '!D5226,"AAAAACcvq9Q=")</f>
        <v>#VALUE!</v>
      </c>
      <c r="HF232" t="e">
        <f>AND('STERLING CATALOG - DRY '!E5226,"AAAAACcvq9U=")</f>
        <v>#VALUE!</v>
      </c>
      <c r="HG232" t="e">
        <f>AND('STERLING CATALOG - DRY '!F5226,"AAAAACcvq9Y=")</f>
        <v>#VALUE!</v>
      </c>
      <c r="HH232" t="e">
        <f>AND('STERLING CATALOG - DRY '!G5226,"AAAAACcvq9c=")</f>
        <v>#VALUE!</v>
      </c>
      <c r="HI232" t="e">
        <f>AND('STERLING CATALOG - DRY '!H5226,"AAAAACcvq9g=")</f>
        <v>#VALUE!</v>
      </c>
      <c r="HJ232" t="e">
        <f>AND('STERLING CATALOG - DRY '!I5226,"AAAAACcvq9k=")</f>
        <v>#VALUE!</v>
      </c>
      <c r="HK232" t="e">
        <f>AND('STERLING CATALOG - DRY '!J5226,"AAAAACcvq9o=")</f>
        <v>#VALUE!</v>
      </c>
      <c r="HL232">
        <f>IF('STERLING CATALOG - DRY '!5227:5227,"AAAAACcvq9s=",0)</f>
        <v>0</v>
      </c>
      <c r="HM232" t="e">
        <f>AND('STERLING CATALOG - DRY '!A5227,"AAAAACcvq9w=")</f>
        <v>#VALUE!</v>
      </c>
      <c r="HN232" t="e">
        <f>AND('STERLING CATALOG - DRY '!B5227,"AAAAACcvq90=")</f>
        <v>#VALUE!</v>
      </c>
      <c r="HO232" t="e">
        <f>AND('STERLING CATALOG - DRY '!C5227,"AAAAACcvq94=")</f>
        <v>#VALUE!</v>
      </c>
      <c r="HP232" t="e">
        <f>AND('STERLING CATALOG - DRY '!D5227,"AAAAACcvq98=")</f>
        <v>#VALUE!</v>
      </c>
      <c r="HQ232" t="e">
        <f>AND('STERLING CATALOG - DRY '!E5227,"AAAAACcvq+A=")</f>
        <v>#VALUE!</v>
      </c>
      <c r="HR232" t="e">
        <f>AND('STERLING CATALOG - DRY '!F5227,"AAAAACcvq+E=")</f>
        <v>#VALUE!</v>
      </c>
      <c r="HS232" t="e">
        <f>AND('STERLING CATALOG - DRY '!G5227,"AAAAACcvq+I=")</f>
        <v>#VALUE!</v>
      </c>
      <c r="HT232" t="e">
        <f>AND('STERLING CATALOG - DRY '!H5227,"AAAAACcvq+M=")</f>
        <v>#VALUE!</v>
      </c>
      <c r="HU232" t="e">
        <f>AND('STERLING CATALOG - DRY '!I5227,"AAAAACcvq+Q=")</f>
        <v>#VALUE!</v>
      </c>
      <c r="HV232" t="e">
        <f>AND('STERLING CATALOG - DRY '!J5227,"AAAAACcvq+U=")</f>
        <v>#VALUE!</v>
      </c>
      <c r="HW232">
        <f>IF('STERLING CATALOG - DRY '!5228:5228,"AAAAACcvq+Y=",0)</f>
        <v>0</v>
      </c>
      <c r="HX232" t="e">
        <f>AND('STERLING CATALOG - DRY '!A5228,"AAAAACcvq+c=")</f>
        <v>#VALUE!</v>
      </c>
      <c r="HY232" t="e">
        <f>AND('STERLING CATALOG - DRY '!B5228,"AAAAACcvq+g=")</f>
        <v>#VALUE!</v>
      </c>
      <c r="HZ232" t="e">
        <f>AND('STERLING CATALOG - DRY '!C5228,"AAAAACcvq+k=")</f>
        <v>#VALUE!</v>
      </c>
      <c r="IA232" t="e">
        <f>AND('STERLING CATALOG - DRY '!D5228,"AAAAACcvq+o=")</f>
        <v>#VALUE!</v>
      </c>
      <c r="IB232" t="e">
        <f>AND('STERLING CATALOG - DRY '!E5228,"AAAAACcvq+s=")</f>
        <v>#VALUE!</v>
      </c>
      <c r="IC232" t="e">
        <f>AND('STERLING CATALOG - DRY '!F5228,"AAAAACcvq+w=")</f>
        <v>#VALUE!</v>
      </c>
      <c r="ID232" t="e">
        <f>AND('STERLING CATALOG - DRY '!G5228,"AAAAACcvq+0=")</f>
        <v>#VALUE!</v>
      </c>
      <c r="IE232" t="e">
        <f>AND('STERLING CATALOG - DRY '!H5228,"AAAAACcvq+4=")</f>
        <v>#VALUE!</v>
      </c>
      <c r="IF232" t="e">
        <f>AND('STERLING CATALOG - DRY '!I5228,"AAAAACcvq+8=")</f>
        <v>#VALUE!</v>
      </c>
      <c r="IG232" t="e">
        <f>AND('STERLING CATALOG - DRY '!J5228,"AAAAACcvq/A=")</f>
        <v>#VALUE!</v>
      </c>
      <c r="IH232">
        <f>IF('STERLING CATALOG - DRY '!5229:5229,"AAAAACcvq/E=",0)</f>
        <v>0</v>
      </c>
      <c r="II232" t="e">
        <f>AND('STERLING CATALOG - DRY '!A5229,"AAAAACcvq/I=")</f>
        <v>#VALUE!</v>
      </c>
      <c r="IJ232" t="e">
        <f>AND('STERLING CATALOG - DRY '!B5229,"AAAAACcvq/M=")</f>
        <v>#VALUE!</v>
      </c>
      <c r="IK232" t="e">
        <f>AND('STERLING CATALOG - DRY '!C5229,"AAAAACcvq/Q=")</f>
        <v>#VALUE!</v>
      </c>
      <c r="IL232" t="e">
        <f>AND('STERLING CATALOG - DRY '!D5229,"AAAAACcvq/U=")</f>
        <v>#VALUE!</v>
      </c>
      <c r="IM232" t="e">
        <f>AND('STERLING CATALOG - DRY '!E5229,"AAAAACcvq/Y=")</f>
        <v>#VALUE!</v>
      </c>
      <c r="IN232" t="e">
        <f>AND('STERLING CATALOG - DRY '!F5229,"AAAAACcvq/c=")</f>
        <v>#VALUE!</v>
      </c>
      <c r="IO232" t="e">
        <f>AND('STERLING CATALOG - DRY '!G5229,"AAAAACcvq/g=")</f>
        <v>#VALUE!</v>
      </c>
      <c r="IP232" t="e">
        <f>AND('STERLING CATALOG - DRY '!H5229,"AAAAACcvq/k=")</f>
        <v>#VALUE!</v>
      </c>
      <c r="IQ232" t="e">
        <f>AND('STERLING CATALOG - DRY '!I5229,"AAAAACcvq/o=")</f>
        <v>#VALUE!</v>
      </c>
      <c r="IR232" t="e">
        <f>AND('STERLING CATALOG - DRY '!J5229,"AAAAACcvq/s=")</f>
        <v>#VALUE!</v>
      </c>
      <c r="IS232">
        <f>IF('STERLING CATALOG - DRY '!5230:5230,"AAAAACcvq/w=",0)</f>
        <v>0</v>
      </c>
      <c r="IT232" t="e">
        <f>AND('STERLING CATALOG - DRY '!A5230,"AAAAACcvq/0=")</f>
        <v>#VALUE!</v>
      </c>
      <c r="IU232" t="e">
        <f>AND('STERLING CATALOG - DRY '!B5230,"AAAAACcvq/4=")</f>
        <v>#VALUE!</v>
      </c>
      <c r="IV232" t="e">
        <f>AND('STERLING CATALOG - DRY '!C5230,"AAAAACcvq/8=")</f>
        <v>#VALUE!</v>
      </c>
    </row>
    <row r="233" spans="1:256">
      <c r="A233" t="e">
        <f>AND('STERLING CATALOG - DRY '!D5230,"AAAAAHxdfgA=")</f>
        <v>#VALUE!</v>
      </c>
      <c r="B233" t="e">
        <f>AND('STERLING CATALOG - DRY '!E5230,"AAAAAHxdfgE=")</f>
        <v>#VALUE!</v>
      </c>
      <c r="C233" t="e">
        <f>AND('STERLING CATALOG - DRY '!F5230,"AAAAAHxdfgI=")</f>
        <v>#VALUE!</v>
      </c>
      <c r="D233" t="e">
        <f>AND('STERLING CATALOG - DRY '!G5230,"AAAAAHxdfgM=")</f>
        <v>#VALUE!</v>
      </c>
      <c r="E233" t="e">
        <f>AND('STERLING CATALOG - DRY '!H5230,"AAAAAHxdfgQ=")</f>
        <v>#VALUE!</v>
      </c>
      <c r="F233" t="e">
        <f>AND('STERLING CATALOG - DRY '!I5230,"AAAAAHxdfgU=")</f>
        <v>#VALUE!</v>
      </c>
      <c r="G233" t="e">
        <f>AND('STERLING CATALOG - DRY '!J5230,"AAAAAHxdfgY=")</f>
        <v>#VALUE!</v>
      </c>
      <c r="H233" t="e">
        <f>IF('STERLING CATALOG - DRY '!5231:5231,"AAAAAHxdfgc=",0)</f>
        <v>#VALUE!</v>
      </c>
      <c r="I233" t="e">
        <f>AND('STERLING CATALOG - DRY '!A5231,"AAAAAHxdfgg=")</f>
        <v>#VALUE!</v>
      </c>
      <c r="J233" t="e">
        <f>AND('STERLING CATALOG - DRY '!B5231,"AAAAAHxdfgk=")</f>
        <v>#VALUE!</v>
      </c>
      <c r="K233" t="e">
        <f>AND('STERLING CATALOG - DRY '!C5231,"AAAAAHxdfgo=")</f>
        <v>#VALUE!</v>
      </c>
      <c r="L233" t="e">
        <f>AND('STERLING CATALOG - DRY '!D5231,"AAAAAHxdfgs=")</f>
        <v>#VALUE!</v>
      </c>
      <c r="M233" t="e">
        <f>AND('STERLING CATALOG - DRY '!E5231,"AAAAAHxdfgw=")</f>
        <v>#VALUE!</v>
      </c>
      <c r="N233" t="e">
        <f>AND('STERLING CATALOG - DRY '!F5231,"AAAAAHxdfg0=")</f>
        <v>#VALUE!</v>
      </c>
      <c r="O233" t="e">
        <f>AND('STERLING CATALOG - DRY '!G5231,"AAAAAHxdfg4=")</f>
        <v>#VALUE!</v>
      </c>
      <c r="P233" t="e">
        <f>AND('STERLING CATALOG - DRY '!H5231,"AAAAAHxdfg8=")</f>
        <v>#VALUE!</v>
      </c>
      <c r="Q233" t="e">
        <f>AND('STERLING CATALOG - DRY '!I5231,"AAAAAHxdfhA=")</f>
        <v>#VALUE!</v>
      </c>
      <c r="R233" t="e">
        <f>AND('STERLING CATALOG - DRY '!J5231,"AAAAAHxdfhE=")</f>
        <v>#VALUE!</v>
      </c>
      <c r="S233">
        <f>IF('STERLING CATALOG - DRY '!5232:5232,"AAAAAHxdfhI=",0)</f>
        <v>0</v>
      </c>
      <c r="T233" t="e">
        <f>AND('STERLING CATALOG - DRY '!A5232,"AAAAAHxdfhM=")</f>
        <v>#VALUE!</v>
      </c>
      <c r="U233" t="e">
        <f>AND('STERLING CATALOG - DRY '!B5232,"AAAAAHxdfhQ=")</f>
        <v>#VALUE!</v>
      </c>
      <c r="V233" t="e">
        <f>AND('STERLING CATALOG - DRY '!C5232,"AAAAAHxdfhU=")</f>
        <v>#VALUE!</v>
      </c>
      <c r="W233" t="e">
        <f>AND('STERLING CATALOG - DRY '!D5232,"AAAAAHxdfhY=")</f>
        <v>#VALUE!</v>
      </c>
      <c r="X233" t="e">
        <f>AND('STERLING CATALOG - DRY '!E5232,"AAAAAHxdfhc=")</f>
        <v>#VALUE!</v>
      </c>
      <c r="Y233" t="e">
        <f>AND('STERLING CATALOG - DRY '!F5232,"AAAAAHxdfhg=")</f>
        <v>#VALUE!</v>
      </c>
      <c r="Z233" t="e">
        <f>AND('STERLING CATALOG - DRY '!G5232,"AAAAAHxdfhk=")</f>
        <v>#VALUE!</v>
      </c>
      <c r="AA233" t="e">
        <f>AND('STERLING CATALOG - DRY '!H5232,"AAAAAHxdfho=")</f>
        <v>#VALUE!</v>
      </c>
      <c r="AB233" t="e">
        <f>AND('STERLING CATALOG - DRY '!I5232,"AAAAAHxdfhs=")</f>
        <v>#VALUE!</v>
      </c>
      <c r="AC233" t="e">
        <f>AND('STERLING CATALOG - DRY '!J5232,"AAAAAHxdfhw=")</f>
        <v>#VALUE!</v>
      </c>
      <c r="AD233">
        <f>IF('STERLING CATALOG - DRY '!5233:5233,"AAAAAHxdfh0=",0)</f>
        <v>0</v>
      </c>
      <c r="AE233" t="e">
        <f>AND('STERLING CATALOG - DRY '!A5233,"AAAAAHxdfh4=")</f>
        <v>#VALUE!</v>
      </c>
      <c r="AF233" t="e">
        <f>AND('STERLING CATALOG - DRY '!B5233,"AAAAAHxdfh8=")</f>
        <v>#VALUE!</v>
      </c>
      <c r="AG233" t="e">
        <f>AND('STERLING CATALOG - DRY '!C5233,"AAAAAHxdfiA=")</f>
        <v>#VALUE!</v>
      </c>
      <c r="AH233" t="e">
        <f>AND('STERLING CATALOG - DRY '!D5233,"AAAAAHxdfiE=")</f>
        <v>#VALUE!</v>
      </c>
      <c r="AI233" t="e">
        <f>AND('STERLING CATALOG - DRY '!E5233,"AAAAAHxdfiI=")</f>
        <v>#VALUE!</v>
      </c>
      <c r="AJ233" t="e">
        <f>AND('STERLING CATALOG - DRY '!F5233,"AAAAAHxdfiM=")</f>
        <v>#VALUE!</v>
      </c>
      <c r="AK233" t="e">
        <f>AND('STERLING CATALOG - DRY '!G5233,"AAAAAHxdfiQ=")</f>
        <v>#VALUE!</v>
      </c>
      <c r="AL233" t="e">
        <f>AND('STERLING CATALOG - DRY '!H5233,"AAAAAHxdfiU=")</f>
        <v>#VALUE!</v>
      </c>
      <c r="AM233" t="e">
        <f>AND('STERLING CATALOG - DRY '!I5233,"AAAAAHxdfiY=")</f>
        <v>#VALUE!</v>
      </c>
      <c r="AN233" t="e">
        <f>AND('STERLING CATALOG - DRY '!J5233,"AAAAAHxdfic=")</f>
        <v>#VALUE!</v>
      </c>
      <c r="AO233">
        <f>IF('STERLING CATALOG - DRY '!5234:5234,"AAAAAHxdfig=",0)</f>
        <v>0</v>
      </c>
      <c r="AP233" t="e">
        <f>AND('STERLING CATALOG - DRY '!A5234,"AAAAAHxdfik=")</f>
        <v>#VALUE!</v>
      </c>
      <c r="AQ233" t="e">
        <f>AND('STERLING CATALOG - DRY '!B5234,"AAAAAHxdfio=")</f>
        <v>#VALUE!</v>
      </c>
      <c r="AR233" t="e">
        <f>AND('STERLING CATALOG - DRY '!C5234,"AAAAAHxdfis=")</f>
        <v>#VALUE!</v>
      </c>
      <c r="AS233" t="e">
        <f>AND('STERLING CATALOG - DRY '!D5234,"AAAAAHxdfiw=")</f>
        <v>#VALUE!</v>
      </c>
      <c r="AT233" t="e">
        <f>AND('STERLING CATALOG - DRY '!E5234,"AAAAAHxdfi0=")</f>
        <v>#VALUE!</v>
      </c>
      <c r="AU233" t="e">
        <f>AND('STERLING CATALOG - DRY '!F5234,"AAAAAHxdfi4=")</f>
        <v>#VALUE!</v>
      </c>
      <c r="AV233" t="e">
        <f>AND('STERLING CATALOG - DRY '!G5234,"AAAAAHxdfi8=")</f>
        <v>#VALUE!</v>
      </c>
      <c r="AW233" t="e">
        <f>AND('STERLING CATALOG - DRY '!H5234,"AAAAAHxdfjA=")</f>
        <v>#VALUE!</v>
      </c>
      <c r="AX233" t="e">
        <f>AND('STERLING CATALOG - DRY '!I5234,"AAAAAHxdfjE=")</f>
        <v>#VALUE!</v>
      </c>
      <c r="AY233" t="e">
        <f>AND('STERLING CATALOG - DRY '!J5234,"AAAAAHxdfjI=")</f>
        <v>#VALUE!</v>
      </c>
      <c r="AZ233">
        <f>IF('STERLING CATALOG - DRY '!5235:5235,"AAAAAHxdfjM=",0)</f>
        <v>0</v>
      </c>
      <c r="BA233" t="e">
        <f>AND('STERLING CATALOG - DRY '!A5235,"AAAAAHxdfjQ=")</f>
        <v>#VALUE!</v>
      </c>
      <c r="BB233" t="e">
        <f>AND('STERLING CATALOG - DRY '!B5235,"AAAAAHxdfjU=")</f>
        <v>#VALUE!</v>
      </c>
      <c r="BC233" t="e">
        <f>AND('STERLING CATALOG - DRY '!C5235,"AAAAAHxdfjY=")</f>
        <v>#VALUE!</v>
      </c>
      <c r="BD233" t="e">
        <f>AND('STERLING CATALOG - DRY '!D5235,"AAAAAHxdfjc=")</f>
        <v>#VALUE!</v>
      </c>
      <c r="BE233" t="e">
        <f>AND('STERLING CATALOG - DRY '!E5235,"AAAAAHxdfjg=")</f>
        <v>#VALUE!</v>
      </c>
      <c r="BF233" t="e">
        <f>AND('STERLING CATALOG - DRY '!F5235,"AAAAAHxdfjk=")</f>
        <v>#VALUE!</v>
      </c>
      <c r="BG233" t="e">
        <f>AND('STERLING CATALOG - DRY '!G5235,"AAAAAHxdfjo=")</f>
        <v>#VALUE!</v>
      </c>
      <c r="BH233" t="e">
        <f>AND('STERLING CATALOG - DRY '!H5235,"AAAAAHxdfjs=")</f>
        <v>#VALUE!</v>
      </c>
      <c r="BI233" t="e">
        <f>AND('STERLING CATALOG - DRY '!I5235,"AAAAAHxdfjw=")</f>
        <v>#VALUE!</v>
      </c>
      <c r="BJ233" t="e">
        <f>AND('STERLING CATALOG - DRY '!J5235,"AAAAAHxdfj0=")</f>
        <v>#VALUE!</v>
      </c>
      <c r="BK233">
        <f>IF('STERLING CATALOG - DRY '!5236:5236,"AAAAAHxdfj4=",0)</f>
        <v>0</v>
      </c>
      <c r="BL233" t="e">
        <f>AND('STERLING CATALOG - DRY '!A5236,"AAAAAHxdfj8=")</f>
        <v>#VALUE!</v>
      </c>
      <c r="BM233" t="e">
        <f>AND('STERLING CATALOG - DRY '!B5236,"AAAAAHxdfkA=")</f>
        <v>#VALUE!</v>
      </c>
      <c r="BN233" t="e">
        <f>AND('STERLING CATALOG - DRY '!C5236,"AAAAAHxdfkE=")</f>
        <v>#VALUE!</v>
      </c>
      <c r="BO233" t="e">
        <f>AND('STERLING CATALOG - DRY '!D5236,"AAAAAHxdfkI=")</f>
        <v>#VALUE!</v>
      </c>
      <c r="BP233" t="e">
        <f>AND('STERLING CATALOG - DRY '!E5236,"AAAAAHxdfkM=")</f>
        <v>#VALUE!</v>
      </c>
      <c r="BQ233" t="e">
        <f>AND('STERLING CATALOG - DRY '!F5236,"AAAAAHxdfkQ=")</f>
        <v>#VALUE!</v>
      </c>
      <c r="BR233" t="e">
        <f>AND('STERLING CATALOG - DRY '!G5236,"AAAAAHxdfkU=")</f>
        <v>#VALUE!</v>
      </c>
      <c r="BS233" t="e">
        <f>AND('STERLING CATALOG - DRY '!H5236,"AAAAAHxdfkY=")</f>
        <v>#VALUE!</v>
      </c>
      <c r="BT233" t="e">
        <f>AND('STERLING CATALOG - DRY '!I5236,"AAAAAHxdfkc=")</f>
        <v>#VALUE!</v>
      </c>
      <c r="BU233" t="e">
        <f>AND('STERLING CATALOG - DRY '!J5236,"AAAAAHxdfkg=")</f>
        <v>#VALUE!</v>
      </c>
      <c r="BV233">
        <f>IF('STERLING CATALOG - DRY '!5237:5237,"AAAAAHxdfkk=",0)</f>
        <v>0</v>
      </c>
      <c r="BW233" t="e">
        <f>AND('STERLING CATALOG - DRY '!A5237,"AAAAAHxdfko=")</f>
        <v>#VALUE!</v>
      </c>
      <c r="BX233" t="e">
        <f>AND('STERLING CATALOG - DRY '!B5237,"AAAAAHxdfks=")</f>
        <v>#VALUE!</v>
      </c>
      <c r="BY233" t="e">
        <f>AND('STERLING CATALOG - DRY '!C5237,"AAAAAHxdfkw=")</f>
        <v>#VALUE!</v>
      </c>
      <c r="BZ233" t="e">
        <f>AND('STERLING CATALOG - DRY '!D5237,"AAAAAHxdfk0=")</f>
        <v>#VALUE!</v>
      </c>
      <c r="CA233" t="e">
        <f>AND('STERLING CATALOG - DRY '!E5237,"AAAAAHxdfk4=")</f>
        <v>#VALUE!</v>
      </c>
      <c r="CB233" t="e">
        <f>AND('STERLING CATALOG - DRY '!F5237,"AAAAAHxdfk8=")</f>
        <v>#VALUE!</v>
      </c>
      <c r="CC233" t="e">
        <f>AND('STERLING CATALOG - DRY '!G5237,"AAAAAHxdflA=")</f>
        <v>#VALUE!</v>
      </c>
      <c r="CD233" t="e">
        <f>AND('STERLING CATALOG - DRY '!H5237,"AAAAAHxdflE=")</f>
        <v>#VALUE!</v>
      </c>
      <c r="CE233" t="e">
        <f>AND('STERLING CATALOG - DRY '!I5237,"AAAAAHxdflI=")</f>
        <v>#VALUE!</v>
      </c>
      <c r="CF233" t="e">
        <f>AND('STERLING CATALOG - DRY '!J5237,"AAAAAHxdflM=")</f>
        <v>#VALUE!</v>
      </c>
      <c r="CG233">
        <f>IF('STERLING CATALOG - DRY '!5238:5238,"AAAAAHxdflQ=",0)</f>
        <v>0</v>
      </c>
      <c r="CH233" t="e">
        <f>AND('STERLING CATALOG - DRY '!A5238,"AAAAAHxdflU=")</f>
        <v>#VALUE!</v>
      </c>
      <c r="CI233" t="e">
        <f>AND('STERLING CATALOG - DRY '!B5238,"AAAAAHxdflY=")</f>
        <v>#VALUE!</v>
      </c>
      <c r="CJ233" t="e">
        <f>AND('STERLING CATALOG - DRY '!C5238,"AAAAAHxdflc=")</f>
        <v>#VALUE!</v>
      </c>
      <c r="CK233" t="e">
        <f>AND('STERLING CATALOG - DRY '!D5238,"AAAAAHxdflg=")</f>
        <v>#VALUE!</v>
      </c>
      <c r="CL233" t="e">
        <f>AND('STERLING CATALOG - DRY '!E5238,"AAAAAHxdflk=")</f>
        <v>#VALUE!</v>
      </c>
      <c r="CM233" t="e">
        <f>AND('STERLING CATALOG - DRY '!F5238,"AAAAAHxdflo=")</f>
        <v>#VALUE!</v>
      </c>
      <c r="CN233" t="e">
        <f>AND('STERLING CATALOG - DRY '!G5238,"AAAAAHxdfls=")</f>
        <v>#VALUE!</v>
      </c>
      <c r="CO233" t="e">
        <f>AND('STERLING CATALOG - DRY '!H5238,"AAAAAHxdflw=")</f>
        <v>#VALUE!</v>
      </c>
      <c r="CP233" t="e">
        <f>AND('STERLING CATALOG - DRY '!I5238,"AAAAAHxdfl0=")</f>
        <v>#VALUE!</v>
      </c>
      <c r="CQ233" t="e">
        <f>AND('STERLING CATALOG - DRY '!J5238,"AAAAAHxdfl4=")</f>
        <v>#VALUE!</v>
      </c>
      <c r="CR233">
        <f>IF('STERLING CATALOG - DRY '!5239:5239,"AAAAAHxdfl8=",0)</f>
        <v>0</v>
      </c>
      <c r="CS233" t="e">
        <f>AND('STERLING CATALOG - DRY '!A5239,"AAAAAHxdfmA=")</f>
        <v>#VALUE!</v>
      </c>
      <c r="CT233" t="e">
        <f>AND('STERLING CATALOG - DRY '!B5239,"AAAAAHxdfmE=")</f>
        <v>#VALUE!</v>
      </c>
      <c r="CU233" t="e">
        <f>AND('STERLING CATALOG - DRY '!C5239,"AAAAAHxdfmI=")</f>
        <v>#VALUE!</v>
      </c>
      <c r="CV233" t="e">
        <f>AND('STERLING CATALOG - DRY '!D5239,"AAAAAHxdfmM=")</f>
        <v>#VALUE!</v>
      </c>
      <c r="CW233" t="e">
        <f>AND('STERLING CATALOG - DRY '!E5239,"AAAAAHxdfmQ=")</f>
        <v>#VALUE!</v>
      </c>
      <c r="CX233" t="e">
        <f>AND('STERLING CATALOG - DRY '!F5239,"AAAAAHxdfmU=")</f>
        <v>#VALUE!</v>
      </c>
      <c r="CY233" t="e">
        <f>AND('STERLING CATALOG - DRY '!G5239,"AAAAAHxdfmY=")</f>
        <v>#VALUE!</v>
      </c>
      <c r="CZ233" t="e">
        <f>AND('STERLING CATALOG - DRY '!H5239,"AAAAAHxdfmc=")</f>
        <v>#VALUE!</v>
      </c>
      <c r="DA233" t="e">
        <f>AND('STERLING CATALOG - DRY '!I5239,"AAAAAHxdfmg=")</f>
        <v>#VALUE!</v>
      </c>
      <c r="DB233" t="e">
        <f>AND('STERLING CATALOG - DRY '!J5239,"AAAAAHxdfmk=")</f>
        <v>#VALUE!</v>
      </c>
      <c r="DC233">
        <f>IF('STERLING CATALOG - DRY '!5240:5240,"AAAAAHxdfmo=",0)</f>
        <v>0</v>
      </c>
      <c r="DD233" t="e">
        <f>AND('STERLING CATALOG - DRY '!A5240,"AAAAAHxdfms=")</f>
        <v>#VALUE!</v>
      </c>
      <c r="DE233" t="e">
        <f>AND('STERLING CATALOG - DRY '!B5240,"AAAAAHxdfmw=")</f>
        <v>#VALUE!</v>
      </c>
      <c r="DF233" t="e">
        <f>AND('STERLING CATALOG - DRY '!C5240,"AAAAAHxdfm0=")</f>
        <v>#VALUE!</v>
      </c>
      <c r="DG233" t="e">
        <f>AND('STERLING CATALOG - DRY '!D5240,"AAAAAHxdfm4=")</f>
        <v>#VALUE!</v>
      </c>
      <c r="DH233" t="e">
        <f>AND('STERLING CATALOG - DRY '!E5240,"AAAAAHxdfm8=")</f>
        <v>#VALUE!</v>
      </c>
      <c r="DI233" t="e">
        <f>AND('STERLING CATALOG - DRY '!F5240,"AAAAAHxdfnA=")</f>
        <v>#VALUE!</v>
      </c>
      <c r="DJ233" t="e">
        <f>AND('STERLING CATALOG - DRY '!G5240,"AAAAAHxdfnE=")</f>
        <v>#VALUE!</v>
      </c>
      <c r="DK233" t="e">
        <f>AND('STERLING CATALOG - DRY '!H5240,"AAAAAHxdfnI=")</f>
        <v>#VALUE!</v>
      </c>
      <c r="DL233" t="e">
        <f>AND('STERLING CATALOG - DRY '!I5240,"AAAAAHxdfnM=")</f>
        <v>#VALUE!</v>
      </c>
      <c r="DM233" t="e">
        <f>AND('STERLING CATALOG - DRY '!J5240,"AAAAAHxdfnQ=")</f>
        <v>#VALUE!</v>
      </c>
      <c r="DN233">
        <f>IF('STERLING CATALOG - DRY '!5241:5241,"AAAAAHxdfnU=",0)</f>
        <v>0</v>
      </c>
      <c r="DO233" t="e">
        <f>AND('STERLING CATALOG - DRY '!A5241,"AAAAAHxdfnY=")</f>
        <v>#VALUE!</v>
      </c>
      <c r="DP233" t="e">
        <f>AND('STERLING CATALOG - DRY '!B5241,"AAAAAHxdfnc=")</f>
        <v>#VALUE!</v>
      </c>
      <c r="DQ233" t="e">
        <f>AND('STERLING CATALOG - DRY '!C5241,"AAAAAHxdfng=")</f>
        <v>#VALUE!</v>
      </c>
      <c r="DR233" t="e">
        <f>AND('STERLING CATALOG - DRY '!D5241,"AAAAAHxdfnk=")</f>
        <v>#VALUE!</v>
      </c>
      <c r="DS233" t="e">
        <f>AND('STERLING CATALOG - DRY '!E5241,"AAAAAHxdfno=")</f>
        <v>#VALUE!</v>
      </c>
      <c r="DT233" t="e">
        <f>AND('STERLING CATALOG - DRY '!F5241,"AAAAAHxdfns=")</f>
        <v>#VALUE!</v>
      </c>
      <c r="DU233" t="e">
        <f>AND('STERLING CATALOG - DRY '!G5241,"AAAAAHxdfnw=")</f>
        <v>#VALUE!</v>
      </c>
      <c r="DV233" t="e">
        <f>AND('STERLING CATALOG - DRY '!H5241,"AAAAAHxdfn0=")</f>
        <v>#VALUE!</v>
      </c>
      <c r="DW233" t="e">
        <f>AND('STERLING CATALOG - DRY '!I5241,"AAAAAHxdfn4=")</f>
        <v>#VALUE!</v>
      </c>
      <c r="DX233" t="e">
        <f>AND('STERLING CATALOG - DRY '!J5241,"AAAAAHxdfn8=")</f>
        <v>#VALUE!</v>
      </c>
      <c r="DY233">
        <f>IF('STERLING CATALOG - DRY '!5242:5242,"AAAAAHxdfoA=",0)</f>
        <v>0</v>
      </c>
      <c r="DZ233" t="e">
        <f>AND('STERLING CATALOG - DRY '!A5242,"AAAAAHxdfoE=")</f>
        <v>#VALUE!</v>
      </c>
      <c r="EA233" t="e">
        <f>AND('STERLING CATALOG - DRY '!B5242,"AAAAAHxdfoI=")</f>
        <v>#VALUE!</v>
      </c>
      <c r="EB233" t="e">
        <f>AND('STERLING CATALOG - DRY '!C5242,"AAAAAHxdfoM=")</f>
        <v>#VALUE!</v>
      </c>
      <c r="EC233" t="e">
        <f>AND('STERLING CATALOG - DRY '!D5242,"AAAAAHxdfoQ=")</f>
        <v>#VALUE!</v>
      </c>
      <c r="ED233" t="e">
        <f>AND('STERLING CATALOG - DRY '!E5242,"AAAAAHxdfoU=")</f>
        <v>#VALUE!</v>
      </c>
      <c r="EE233" t="e">
        <f>AND('STERLING CATALOG - DRY '!F5242,"AAAAAHxdfoY=")</f>
        <v>#VALUE!</v>
      </c>
      <c r="EF233" t="e">
        <f>AND('STERLING CATALOG - DRY '!G5242,"AAAAAHxdfoc=")</f>
        <v>#VALUE!</v>
      </c>
      <c r="EG233" t="e">
        <f>AND('STERLING CATALOG - DRY '!H5242,"AAAAAHxdfog=")</f>
        <v>#VALUE!</v>
      </c>
      <c r="EH233" t="e">
        <f>AND('STERLING CATALOG - DRY '!I5242,"AAAAAHxdfok=")</f>
        <v>#VALUE!</v>
      </c>
      <c r="EI233" t="e">
        <f>AND('STERLING CATALOG - DRY '!J5242,"AAAAAHxdfoo=")</f>
        <v>#VALUE!</v>
      </c>
      <c r="EJ233">
        <f>IF('STERLING CATALOG - DRY '!5243:5243,"AAAAAHxdfos=",0)</f>
        <v>0</v>
      </c>
      <c r="EK233" t="e">
        <f>AND('STERLING CATALOG - DRY '!A5243,"AAAAAHxdfow=")</f>
        <v>#VALUE!</v>
      </c>
      <c r="EL233" t="e">
        <f>AND('STERLING CATALOG - DRY '!B5243,"AAAAAHxdfo0=")</f>
        <v>#VALUE!</v>
      </c>
      <c r="EM233" t="e">
        <f>AND('STERLING CATALOG - DRY '!C5243,"AAAAAHxdfo4=")</f>
        <v>#VALUE!</v>
      </c>
      <c r="EN233" t="e">
        <f>AND('STERLING CATALOG - DRY '!D5243,"AAAAAHxdfo8=")</f>
        <v>#VALUE!</v>
      </c>
      <c r="EO233" t="e">
        <f>AND('STERLING CATALOG - DRY '!E5243,"AAAAAHxdfpA=")</f>
        <v>#VALUE!</v>
      </c>
      <c r="EP233" t="e">
        <f>AND('STERLING CATALOG - DRY '!F5243,"AAAAAHxdfpE=")</f>
        <v>#VALUE!</v>
      </c>
      <c r="EQ233" t="e">
        <f>AND('STERLING CATALOG - DRY '!G5243,"AAAAAHxdfpI=")</f>
        <v>#VALUE!</v>
      </c>
      <c r="ER233" t="e">
        <f>AND('STERLING CATALOG - DRY '!H5243,"AAAAAHxdfpM=")</f>
        <v>#VALUE!</v>
      </c>
      <c r="ES233" t="e">
        <f>AND('STERLING CATALOG - DRY '!I5243,"AAAAAHxdfpQ=")</f>
        <v>#VALUE!</v>
      </c>
      <c r="ET233" t="e">
        <f>AND('STERLING CATALOG - DRY '!J5243,"AAAAAHxdfpU=")</f>
        <v>#VALUE!</v>
      </c>
      <c r="EU233">
        <f>IF('STERLING CATALOG - DRY '!5244:5244,"AAAAAHxdfpY=",0)</f>
        <v>0</v>
      </c>
      <c r="EV233" t="e">
        <f>AND('STERLING CATALOG - DRY '!A5244,"AAAAAHxdfpc=")</f>
        <v>#VALUE!</v>
      </c>
      <c r="EW233" t="e">
        <f>AND('STERLING CATALOG - DRY '!B5244,"AAAAAHxdfpg=")</f>
        <v>#VALUE!</v>
      </c>
      <c r="EX233" t="e">
        <f>AND('STERLING CATALOG - DRY '!C5244,"AAAAAHxdfpk=")</f>
        <v>#VALUE!</v>
      </c>
      <c r="EY233" t="e">
        <f>AND('STERLING CATALOG - DRY '!D5244,"AAAAAHxdfpo=")</f>
        <v>#VALUE!</v>
      </c>
      <c r="EZ233" t="e">
        <f>AND('STERLING CATALOG - DRY '!E5244,"AAAAAHxdfps=")</f>
        <v>#VALUE!</v>
      </c>
      <c r="FA233" t="e">
        <f>AND('STERLING CATALOG - DRY '!F5244,"AAAAAHxdfpw=")</f>
        <v>#VALUE!</v>
      </c>
      <c r="FB233" t="e">
        <f>AND('STERLING CATALOG - DRY '!G5244,"AAAAAHxdfp0=")</f>
        <v>#VALUE!</v>
      </c>
      <c r="FC233" t="e">
        <f>AND('STERLING CATALOG - DRY '!H5244,"AAAAAHxdfp4=")</f>
        <v>#VALUE!</v>
      </c>
      <c r="FD233" t="e">
        <f>AND('STERLING CATALOG - DRY '!I5244,"AAAAAHxdfp8=")</f>
        <v>#VALUE!</v>
      </c>
      <c r="FE233" t="e">
        <f>AND('STERLING CATALOG - DRY '!J5244,"AAAAAHxdfqA=")</f>
        <v>#VALUE!</v>
      </c>
      <c r="FF233">
        <f>IF('STERLING CATALOG - DRY '!5245:5245,"AAAAAHxdfqE=",0)</f>
        <v>0</v>
      </c>
      <c r="FG233" t="e">
        <f>AND('STERLING CATALOG - DRY '!A5245,"AAAAAHxdfqI=")</f>
        <v>#VALUE!</v>
      </c>
      <c r="FH233" t="e">
        <f>AND('STERLING CATALOG - DRY '!B5245,"AAAAAHxdfqM=")</f>
        <v>#VALUE!</v>
      </c>
      <c r="FI233" t="e">
        <f>AND('STERLING CATALOG - DRY '!C5245,"AAAAAHxdfqQ=")</f>
        <v>#VALUE!</v>
      </c>
      <c r="FJ233" t="e">
        <f>AND('STERLING CATALOG - DRY '!D5245,"AAAAAHxdfqU=")</f>
        <v>#VALUE!</v>
      </c>
      <c r="FK233" t="e">
        <f>AND('STERLING CATALOG - DRY '!E5245,"AAAAAHxdfqY=")</f>
        <v>#VALUE!</v>
      </c>
      <c r="FL233" t="e">
        <f>AND('STERLING CATALOG - DRY '!F5245,"AAAAAHxdfqc=")</f>
        <v>#VALUE!</v>
      </c>
      <c r="FM233" t="e">
        <f>AND('STERLING CATALOG - DRY '!G5245,"AAAAAHxdfqg=")</f>
        <v>#VALUE!</v>
      </c>
      <c r="FN233" t="e">
        <f>AND('STERLING CATALOG - DRY '!H5245,"AAAAAHxdfqk=")</f>
        <v>#VALUE!</v>
      </c>
      <c r="FO233" t="e">
        <f>AND('STERLING CATALOG - DRY '!I5245,"AAAAAHxdfqo=")</f>
        <v>#VALUE!</v>
      </c>
      <c r="FP233" t="e">
        <f>AND('STERLING CATALOG - DRY '!J5245,"AAAAAHxdfqs=")</f>
        <v>#VALUE!</v>
      </c>
      <c r="FQ233">
        <f>IF('STERLING CATALOG - DRY '!5246:5246,"AAAAAHxdfqw=",0)</f>
        <v>0</v>
      </c>
      <c r="FR233" t="e">
        <f>AND('STERLING CATALOG - DRY '!A5246,"AAAAAHxdfq0=")</f>
        <v>#VALUE!</v>
      </c>
      <c r="FS233" t="e">
        <f>AND('STERLING CATALOG - DRY '!B5246,"AAAAAHxdfq4=")</f>
        <v>#VALUE!</v>
      </c>
      <c r="FT233" t="e">
        <f>AND('STERLING CATALOG - DRY '!C5246,"AAAAAHxdfq8=")</f>
        <v>#VALUE!</v>
      </c>
      <c r="FU233" t="e">
        <f>AND('STERLING CATALOG - DRY '!D5246,"AAAAAHxdfrA=")</f>
        <v>#VALUE!</v>
      </c>
      <c r="FV233" t="e">
        <f>AND('STERLING CATALOG - DRY '!E5246,"AAAAAHxdfrE=")</f>
        <v>#VALUE!</v>
      </c>
      <c r="FW233" t="e">
        <f>AND('STERLING CATALOG - DRY '!F5246,"AAAAAHxdfrI=")</f>
        <v>#VALUE!</v>
      </c>
      <c r="FX233" t="e">
        <f>AND('STERLING CATALOG - DRY '!G5246,"AAAAAHxdfrM=")</f>
        <v>#VALUE!</v>
      </c>
      <c r="FY233" t="e">
        <f>AND('STERLING CATALOG - DRY '!H5246,"AAAAAHxdfrQ=")</f>
        <v>#VALUE!</v>
      </c>
      <c r="FZ233" t="e">
        <f>AND('STERLING CATALOG - DRY '!I5246,"AAAAAHxdfrU=")</f>
        <v>#VALUE!</v>
      </c>
      <c r="GA233" t="e">
        <f>AND('STERLING CATALOG - DRY '!J5246,"AAAAAHxdfrY=")</f>
        <v>#VALUE!</v>
      </c>
      <c r="GB233">
        <f>IF('STERLING CATALOG - DRY '!5247:5247,"AAAAAHxdfrc=",0)</f>
        <v>0</v>
      </c>
      <c r="GC233" t="e">
        <f>AND('STERLING CATALOG - DRY '!A5247,"AAAAAHxdfrg=")</f>
        <v>#VALUE!</v>
      </c>
      <c r="GD233" t="e">
        <f>AND('STERLING CATALOG - DRY '!B5247,"AAAAAHxdfrk=")</f>
        <v>#VALUE!</v>
      </c>
      <c r="GE233" t="e">
        <f>AND('STERLING CATALOG - DRY '!C5247,"AAAAAHxdfro=")</f>
        <v>#VALUE!</v>
      </c>
      <c r="GF233" t="e">
        <f>AND('STERLING CATALOG - DRY '!D5247,"AAAAAHxdfrs=")</f>
        <v>#VALUE!</v>
      </c>
      <c r="GG233" t="e">
        <f>AND('STERLING CATALOG - DRY '!E5247,"AAAAAHxdfrw=")</f>
        <v>#VALUE!</v>
      </c>
      <c r="GH233" t="e">
        <f>AND('STERLING CATALOG - DRY '!F5247,"AAAAAHxdfr0=")</f>
        <v>#VALUE!</v>
      </c>
      <c r="GI233" t="e">
        <f>AND('STERLING CATALOG - DRY '!G5247,"AAAAAHxdfr4=")</f>
        <v>#VALUE!</v>
      </c>
      <c r="GJ233" t="e">
        <f>AND('STERLING CATALOG - DRY '!H5247,"AAAAAHxdfr8=")</f>
        <v>#VALUE!</v>
      </c>
      <c r="GK233" t="e">
        <f>AND('STERLING CATALOG - DRY '!I5247,"AAAAAHxdfsA=")</f>
        <v>#VALUE!</v>
      </c>
      <c r="GL233" t="e">
        <f>AND('STERLING CATALOG - DRY '!J5247,"AAAAAHxdfsE=")</f>
        <v>#VALUE!</v>
      </c>
      <c r="GM233">
        <f>IF('STERLING CATALOG - DRY '!5248:5248,"AAAAAHxdfsI=",0)</f>
        <v>0</v>
      </c>
      <c r="GN233" t="e">
        <f>AND('STERLING CATALOG - DRY '!A5248,"AAAAAHxdfsM=")</f>
        <v>#VALUE!</v>
      </c>
      <c r="GO233" t="e">
        <f>AND('STERLING CATALOG - DRY '!B5248,"AAAAAHxdfsQ=")</f>
        <v>#VALUE!</v>
      </c>
      <c r="GP233" t="e">
        <f>AND('STERLING CATALOG - DRY '!C5248,"AAAAAHxdfsU=")</f>
        <v>#VALUE!</v>
      </c>
      <c r="GQ233" t="e">
        <f>AND('STERLING CATALOG - DRY '!D5248,"AAAAAHxdfsY=")</f>
        <v>#VALUE!</v>
      </c>
      <c r="GR233" t="e">
        <f>AND('STERLING CATALOG - DRY '!E5248,"AAAAAHxdfsc=")</f>
        <v>#VALUE!</v>
      </c>
      <c r="GS233" t="e">
        <f>AND('STERLING CATALOG - DRY '!F5248,"AAAAAHxdfsg=")</f>
        <v>#VALUE!</v>
      </c>
      <c r="GT233" t="e">
        <f>AND('STERLING CATALOG - DRY '!G5248,"AAAAAHxdfsk=")</f>
        <v>#VALUE!</v>
      </c>
      <c r="GU233" t="e">
        <f>AND('STERLING CATALOG - DRY '!H5248,"AAAAAHxdfso=")</f>
        <v>#VALUE!</v>
      </c>
      <c r="GV233" t="e">
        <f>AND('STERLING CATALOG - DRY '!I5248,"AAAAAHxdfss=")</f>
        <v>#VALUE!</v>
      </c>
      <c r="GW233" t="e">
        <f>AND('STERLING CATALOG - DRY '!J5248,"AAAAAHxdfsw=")</f>
        <v>#VALUE!</v>
      </c>
      <c r="GX233">
        <f>IF('STERLING CATALOG - DRY '!5249:5249,"AAAAAHxdfs0=",0)</f>
        <v>0</v>
      </c>
      <c r="GY233" t="e">
        <f>AND('STERLING CATALOG - DRY '!A5249,"AAAAAHxdfs4=")</f>
        <v>#VALUE!</v>
      </c>
      <c r="GZ233" t="e">
        <f>AND('STERLING CATALOG - DRY '!B5249,"AAAAAHxdfs8=")</f>
        <v>#VALUE!</v>
      </c>
      <c r="HA233" t="e">
        <f>AND('STERLING CATALOG - DRY '!C5249,"AAAAAHxdftA=")</f>
        <v>#VALUE!</v>
      </c>
      <c r="HB233" t="e">
        <f>AND('STERLING CATALOG - DRY '!D5249,"AAAAAHxdftE=")</f>
        <v>#VALUE!</v>
      </c>
      <c r="HC233" t="e">
        <f>AND('STERLING CATALOG - DRY '!E5249,"AAAAAHxdftI=")</f>
        <v>#VALUE!</v>
      </c>
      <c r="HD233" t="e">
        <f>AND('STERLING CATALOG - DRY '!F5249,"AAAAAHxdftM=")</f>
        <v>#VALUE!</v>
      </c>
      <c r="HE233" t="e">
        <f>AND('STERLING CATALOG - DRY '!G5249,"AAAAAHxdftQ=")</f>
        <v>#VALUE!</v>
      </c>
      <c r="HF233" t="e">
        <f>AND('STERLING CATALOG - DRY '!H5249,"AAAAAHxdftU=")</f>
        <v>#VALUE!</v>
      </c>
      <c r="HG233" t="e">
        <f>AND('STERLING CATALOG - DRY '!I5249,"AAAAAHxdftY=")</f>
        <v>#VALUE!</v>
      </c>
      <c r="HH233" t="e">
        <f>AND('STERLING CATALOG - DRY '!J5249,"AAAAAHxdftc=")</f>
        <v>#VALUE!</v>
      </c>
      <c r="HI233">
        <f>IF('STERLING CATALOG - DRY '!5250:5250,"AAAAAHxdftg=",0)</f>
        <v>0</v>
      </c>
      <c r="HJ233" t="e">
        <f>AND('STERLING CATALOG - DRY '!A5250,"AAAAAHxdftk=")</f>
        <v>#VALUE!</v>
      </c>
      <c r="HK233" t="e">
        <f>AND('STERLING CATALOG - DRY '!B5250,"AAAAAHxdfto=")</f>
        <v>#VALUE!</v>
      </c>
      <c r="HL233" t="e">
        <f>AND('STERLING CATALOG - DRY '!C5250,"AAAAAHxdfts=")</f>
        <v>#VALUE!</v>
      </c>
      <c r="HM233" t="e">
        <f>AND('STERLING CATALOG - DRY '!D5250,"AAAAAHxdftw=")</f>
        <v>#VALUE!</v>
      </c>
      <c r="HN233" t="e">
        <f>AND('STERLING CATALOG - DRY '!E5250,"AAAAAHxdft0=")</f>
        <v>#VALUE!</v>
      </c>
      <c r="HO233" t="e">
        <f>AND('STERLING CATALOG - DRY '!F5250,"AAAAAHxdft4=")</f>
        <v>#VALUE!</v>
      </c>
      <c r="HP233" t="e">
        <f>AND('STERLING CATALOG - DRY '!G5250,"AAAAAHxdft8=")</f>
        <v>#VALUE!</v>
      </c>
      <c r="HQ233" t="e">
        <f>AND('STERLING CATALOG - DRY '!H5250,"AAAAAHxdfuA=")</f>
        <v>#VALUE!</v>
      </c>
      <c r="HR233" t="e">
        <f>AND('STERLING CATALOG - DRY '!I5250,"AAAAAHxdfuE=")</f>
        <v>#VALUE!</v>
      </c>
      <c r="HS233" t="e">
        <f>AND('STERLING CATALOG - DRY '!J5250,"AAAAAHxdfuI=")</f>
        <v>#VALUE!</v>
      </c>
      <c r="HT233">
        <f>IF('STERLING CATALOG - DRY '!5251:5251,"AAAAAHxdfuM=",0)</f>
        <v>0</v>
      </c>
      <c r="HU233" t="e">
        <f>AND('STERLING CATALOG - DRY '!A5251,"AAAAAHxdfuQ=")</f>
        <v>#VALUE!</v>
      </c>
      <c r="HV233" t="e">
        <f>AND('STERLING CATALOG - DRY '!B5251,"AAAAAHxdfuU=")</f>
        <v>#VALUE!</v>
      </c>
      <c r="HW233" t="e">
        <f>AND('STERLING CATALOG - DRY '!C5251,"AAAAAHxdfuY=")</f>
        <v>#VALUE!</v>
      </c>
      <c r="HX233" t="e">
        <f>AND('STERLING CATALOG - DRY '!D5251,"AAAAAHxdfuc=")</f>
        <v>#VALUE!</v>
      </c>
      <c r="HY233" t="e">
        <f>AND('STERLING CATALOG - DRY '!E5251,"AAAAAHxdfug=")</f>
        <v>#VALUE!</v>
      </c>
      <c r="HZ233" t="e">
        <f>AND('STERLING CATALOG - DRY '!F5251,"AAAAAHxdfuk=")</f>
        <v>#VALUE!</v>
      </c>
      <c r="IA233" t="e">
        <f>AND('STERLING CATALOG - DRY '!G5251,"AAAAAHxdfuo=")</f>
        <v>#VALUE!</v>
      </c>
      <c r="IB233" t="e">
        <f>AND('STERLING CATALOG - DRY '!H5251,"AAAAAHxdfus=")</f>
        <v>#VALUE!</v>
      </c>
      <c r="IC233" t="e">
        <f>AND('STERLING CATALOG - DRY '!I5251,"AAAAAHxdfuw=")</f>
        <v>#VALUE!</v>
      </c>
      <c r="ID233" t="e">
        <f>AND('STERLING CATALOG - DRY '!J5251,"AAAAAHxdfu0=")</f>
        <v>#VALUE!</v>
      </c>
      <c r="IE233">
        <f>IF('STERLING CATALOG - DRY '!5252:5252,"AAAAAHxdfu4=",0)</f>
        <v>0</v>
      </c>
      <c r="IF233" t="e">
        <f>AND('STERLING CATALOG - DRY '!A5252,"AAAAAHxdfu8=")</f>
        <v>#VALUE!</v>
      </c>
      <c r="IG233" t="e">
        <f>AND('STERLING CATALOG - DRY '!B5252,"AAAAAHxdfvA=")</f>
        <v>#VALUE!</v>
      </c>
      <c r="IH233" t="e">
        <f>AND('STERLING CATALOG - DRY '!C5252,"AAAAAHxdfvE=")</f>
        <v>#VALUE!</v>
      </c>
      <c r="II233" t="e">
        <f>AND('STERLING CATALOG - DRY '!D5252,"AAAAAHxdfvI=")</f>
        <v>#VALUE!</v>
      </c>
      <c r="IJ233" t="e">
        <f>AND('STERLING CATALOG - DRY '!E5252,"AAAAAHxdfvM=")</f>
        <v>#VALUE!</v>
      </c>
      <c r="IK233" t="e">
        <f>AND('STERLING CATALOG - DRY '!F5252,"AAAAAHxdfvQ=")</f>
        <v>#VALUE!</v>
      </c>
      <c r="IL233" t="e">
        <f>AND('STERLING CATALOG - DRY '!G5252,"AAAAAHxdfvU=")</f>
        <v>#VALUE!</v>
      </c>
      <c r="IM233" t="e">
        <f>AND('STERLING CATALOG - DRY '!H5252,"AAAAAHxdfvY=")</f>
        <v>#VALUE!</v>
      </c>
      <c r="IN233" t="e">
        <f>AND('STERLING CATALOG - DRY '!I5252,"AAAAAHxdfvc=")</f>
        <v>#VALUE!</v>
      </c>
      <c r="IO233" t="e">
        <f>AND('STERLING CATALOG - DRY '!J5252,"AAAAAHxdfvg=")</f>
        <v>#VALUE!</v>
      </c>
      <c r="IP233">
        <f>IF('STERLING CATALOG - DRY '!5253:5253,"AAAAAHxdfvk=",0)</f>
        <v>0</v>
      </c>
      <c r="IQ233" t="e">
        <f>AND('STERLING CATALOG - DRY '!A5253,"AAAAAHxdfvo=")</f>
        <v>#VALUE!</v>
      </c>
      <c r="IR233" t="e">
        <f>AND('STERLING CATALOG - DRY '!B5253,"AAAAAHxdfvs=")</f>
        <v>#VALUE!</v>
      </c>
      <c r="IS233" t="e">
        <f>AND('STERLING CATALOG - DRY '!C5253,"AAAAAHxdfvw=")</f>
        <v>#VALUE!</v>
      </c>
      <c r="IT233" t="e">
        <f>AND('STERLING CATALOG - DRY '!D5253,"AAAAAHxdfv0=")</f>
        <v>#VALUE!</v>
      </c>
      <c r="IU233" t="e">
        <f>AND('STERLING CATALOG - DRY '!E5253,"AAAAAHxdfv4=")</f>
        <v>#VALUE!</v>
      </c>
      <c r="IV233" t="e">
        <f>AND('STERLING CATALOG - DRY '!F5253,"AAAAAHxdfv8=")</f>
        <v>#VALUE!</v>
      </c>
    </row>
    <row r="234" spans="1:256">
      <c r="A234" t="e">
        <f>AND('STERLING CATALOG - DRY '!G5253,"AAAAAC+5vwA=")</f>
        <v>#VALUE!</v>
      </c>
      <c r="B234" t="e">
        <f>AND('STERLING CATALOG - DRY '!H5253,"AAAAAC+5vwE=")</f>
        <v>#VALUE!</v>
      </c>
      <c r="C234" t="e">
        <f>AND('STERLING CATALOG - DRY '!I5253,"AAAAAC+5vwI=")</f>
        <v>#VALUE!</v>
      </c>
      <c r="D234" t="e">
        <f>AND('STERLING CATALOG - DRY '!J5253,"AAAAAC+5vwM=")</f>
        <v>#VALUE!</v>
      </c>
      <c r="E234" t="e">
        <f>IF('STERLING CATALOG - DRY '!5254:5254,"AAAAAC+5vwQ=",0)</f>
        <v>#VALUE!</v>
      </c>
      <c r="F234" t="e">
        <f>AND('STERLING CATALOG - DRY '!A5254,"AAAAAC+5vwU=")</f>
        <v>#VALUE!</v>
      </c>
      <c r="G234" t="e">
        <f>AND('STERLING CATALOG - DRY '!B5254,"AAAAAC+5vwY=")</f>
        <v>#VALUE!</v>
      </c>
      <c r="H234" t="e">
        <f>AND('STERLING CATALOG - DRY '!C5254,"AAAAAC+5vwc=")</f>
        <v>#VALUE!</v>
      </c>
      <c r="I234" t="e">
        <f>AND('STERLING CATALOG - DRY '!D5254,"AAAAAC+5vwg=")</f>
        <v>#VALUE!</v>
      </c>
      <c r="J234" t="e">
        <f>AND('STERLING CATALOG - DRY '!E5254,"AAAAAC+5vwk=")</f>
        <v>#VALUE!</v>
      </c>
      <c r="K234" t="e">
        <f>AND('STERLING CATALOG - DRY '!F5254,"AAAAAC+5vwo=")</f>
        <v>#VALUE!</v>
      </c>
      <c r="L234" t="e">
        <f>AND('STERLING CATALOG - DRY '!G5254,"AAAAAC+5vws=")</f>
        <v>#VALUE!</v>
      </c>
      <c r="M234" t="e">
        <f>AND('STERLING CATALOG - DRY '!H5254,"AAAAAC+5vww=")</f>
        <v>#VALUE!</v>
      </c>
      <c r="N234" t="e">
        <f>AND('STERLING CATALOG - DRY '!I5254,"AAAAAC+5vw0=")</f>
        <v>#VALUE!</v>
      </c>
      <c r="O234" t="e">
        <f>AND('STERLING CATALOG - DRY '!J5254,"AAAAAC+5vw4=")</f>
        <v>#VALUE!</v>
      </c>
      <c r="P234">
        <f>IF('STERLING CATALOG - DRY '!5255:5255,"AAAAAC+5vw8=",0)</f>
        <v>0</v>
      </c>
      <c r="Q234" t="e">
        <f>AND('STERLING CATALOG - DRY '!A5255,"AAAAAC+5vxA=")</f>
        <v>#VALUE!</v>
      </c>
      <c r="R234" t="e">
        <f>AND('STERLING CATALOG - DRY '!B5255,"AAAAAC+5vxE=")</f>
        <v>#VALUE!</v>
      </c>
      <c r="S234" t="e">
        <f>AND('STERLING CATALOG - DRY '!C5255,"AAAAAC+5vxI=")</f>
        <v>#VALUE!</v>
      </c>
      <c r="T234" t="e">
        <f>AND('STERLING CATALOG - DRY '!D5255,"AAAAAC+5vxM=")</f>
        <v>#VALUE!</v>
      </c>
      <c r="U234" t="e">
        <f>AND('STERLING CATALOG - DRY '!E5255,"AAAAAC+5vxQ=")</f>
        <v>#VALUE!</v>
      </c>
      <c r="V234" t="e">
        <f>AND('STERLING CATALOG - DRY '!F5255,"AAAAAC+5vxU=")</f>
        <v>#VALUE!</v>
      </c>
      <c r="W234" t="e">
        <f>AND('STERLING CATALOG - DRY '!G5255,"AAAAAC+5vxY=")</f>
        <v>#VALUE!</v>
      </c>
      <c r="X234" t="e">
        <f>AND('STERLING CATALOG - DRY '!H5255,"AAAAAC+5vxc=")</f>
        <v>#VALUE!</v>
      </c>
      <c r="Y234" t="e">
        <f>AND('STERLING CATALOG - DRY '!I5255,"AAAAAC+5vxg=")</f>
        <v>#VALUE!</v>
      </c>
      <c r="Z234" t="e">
        <f>AND('STERLING CATALOG - DRY '!J5255,"AAAAAC+5vxk=")</f>
        <v>#VALUE!</v>
      </c>
      <c r="AA234">
        <f>IF('STERLING CATALOG - DRY '!5256:5256,"AAAAAC+5vxo=",0)</f>
        <v>0</v>
      </c>
      <c r="AB234" t="e">
        <f>AND('STERLING CATALOG - DRY '!A5256,"AAAAAC+5vxs=")</f>
        <v>#VALUE!</v>
      </c>
      <c r="AC234" t="e">
        <f>AND('STERLING CATALOG - DRY '!B5256,"AAAAAC+5vxw=")</f>
        <v>#VALUE!</v>
      </c>
      <c r="AD234" t="e">
        <f>AND('STERLING CATALOG - DRY '!C5256,"AAAAAC+5vx0=")</f>
        <v>#VALUE!</v>
      </c>
      <c r="AE234" t="e">
        <f>AND('STERLING CATALOG - DRY '!D5256,"AAAAAC+5vx4=")</f>
        <v>#VALUE!</v>
      </c>
      <c r="AF234" t="e">
        <f>AND('STERLING CATALOG - DRY '!E5256,"AAAAAC+5vx8=")</f>
        <v>#VALUE!</v>
      </c>
      <c r="AG234" t="e">
        <f>AND('STERLING CATALOG - DRY '!F5256,"AAAAAC+5vyA=")</f>
        <v>#VALUE!</v>
      </c>
      <c r="AH234" t="e">
        <f>AND('STERLING CATALOG - DRY '!G5256,"AAAAAC+5vyE=")</f>
        <v>#VALUE!</v>
      </c>
      <c r="AI234" t="e">
        <f>AND('STERLING CATALOG - DRY '!H5256,"AAAAAC+5vyI=")</f>
        <v>#VALUE!</v>
      </c>
      <c r="AJ234" t="e">
        <f>AND('STERLING CATALOG - DRY '!I5256,"AAAAAC+5vyM=")</f>
        <v>#VALUE!</v>
      </c>
      <c r="AK234" t="e">
        <f>AND('STERLING CATALOG - DRY '!J5256,"AAAAAC+5vyQ=")</f>
        <v>#VALUE!</v>
      </c>
      <c r="AL234">
        <f>IF('STERLING CATALOG - DRY '!5257:5257,"AAAAAC+5vyU=",0)</f>
        <v>0</v>
      </c>
      <c r="AM234" t="e">
        <f>AND('STERLING CATALOG - DRY '!A5257,"AAAAAC+5vyY=")</f>
        <v>#VALUE!</v>
      </c>
      <c r="AN234" t="e">
        <f>AND('STERLING CATALOG - DRY '!B5257,"AAAAAC+5vyc=")</f>
        <v>#VALUE!</v>
      </c>
      <c r="AO234" t="e">
        <f>AND('STERLING CATALOG - DRY '!C5257,"AAAAAC+5vyg=")</f>
        <v>#VALUE!</v>
      </c>
      <c r="AP234" t="e">
        <f>AND('STERLING CATALOG - DRY '!D5257,"AAAAAC+5vyk=")</f>
        <v>#VALUE!</v>
      </c>
      <c r="AQ234" t="e">
        <f>AND('STERLING CATALOG - DRY '!E5257,"AAAAAC+5vyo=")</f>
        <v>#VALUE!</v>
      </c>
      <c r="AR234" t="e">
        <f>AND('STERLING CATALOG - DRY '!F5257,"AAAAAC+5vys=")</f>
        <v>#VALUE!</v>
      </c>
      <c r="AS234" t="e">
        <f>AND('STERLING CATALOG - DRY '!G5257,"AAAAAC+5vyw=")</f>
        <v>#VALUE!</v>
      </c>
      <c r="AT234" t="e">
        <f>AND('STERLING CATALOG - DRY '!H5257,"AAAAAC+5vy0=")</f>
        <v>#VALUE!</v>
      </c>
      <c r="AU234" t="e">
        <f>AND('STERLING CATALOG - DRY '!I5257,"AAAAAC+5vy4=")</f>
        <v>#VALUE!</v>
      </c>
      <c r="AV234" t="e">
        <f>AND('STERLING CATALOG - DRY '!J5257,"AAAAAC+5vy8=")</f>
        <v>#VALUE!</v>
      </c>
      <c r="AW234">
        <f>IF('STERLING CATALOG - DRY '!5258:5258,"AAAAAC+5vzA=",0)</f>
        <v>0</v>
      </c>
      <c r="AX234" t="e">
        <f>AND('STERLING CATALOG - DRY '!A5258,"AAAAAC+5vzE=")</f>
        <v>#VALUE!</v>
      </c>
      <c r="AY234" t="e">
        <f>AND('STERLING CATALOG - DRY '!B5258,"AAAAAC+5vzI=")</f>
        <v>#VALUE!</v>
      </c>
      <c r="AZ234" t="e">
        <f>AND('STERLING CATALOG - DRY '!C5258,"AAAAAC+5vzM=")</f>
        <v>#VALUE!</v>
      </c>
      <c r="BA234" t="e">
        <f>AND('STERLING CATALOG - DRY '!D5258,"AAAAAC+5vzQ=")</f>
        <v>#VALUE!</v>
      </c>
      <c r="BB234" t="e">
        <f>AND('STERLING CATALOG - DRY '!E5258,"AAAAAC+5vzU=")</f>
        <v>#VALUE!</v>
      </c>
      <c r="BC234" t="e">
        <f>AND('STERLING CATALOG - DRY '!F5258,"AAAAAC+5vzY=")</f>
        <v>#VALUE!</v>
      </c>
      <c r="BD234" t="e">
        <f>AND('STERLING CATALOG - DRY '!G5258,"AAAAAC+5vzc=")</f>
        <v>#VALUE!</v>
      </c>
      <c r="BE234" t="e">
        <f>AND('STERLING CATALOG - DRY '!H5258,"AAAAAC+5vzg=")</f>
        <v>#VALUE!</v>
      </c>
      <c r="BF234" t="e">
        <f>AND('STERLING CATALOG - DRY '!I5258,"AAAAAC+5vzk=")</f>
        <v>#VALUE!</v>
      </c>
      <c r="BG234" t="e">
        <f>AND('STERLING CATALOG - DRY '!J5258,"AAAAAC+5vzo=")</f>
        <v>#VALUE!</v>
      </c>
      <c r="BH234">
        <f>IF('STERLING CATALOG - DRY '!5259:5259,"AAAAAC+5vzs=",0)</f>
        <v>0</v>
      </c>
      <c r="BI234" t="e">
        <f>AND('STERLING CATALOG - DRY '!A5259,"AAAAAC+5vzw=")</f>
        <v>#VALUE!</v>
      </c>
      <c r="BJ234" t="e">
        <f>AND('STERLING CATALOG - DRY '!B5259,"AAAAAC+5vz0=")</f>
        <v>#VALUE!</v>
      </c>
      <c r="BK234" t="e">
        <f>AND('STERLING CATALOG - DRY '!C5259,"AAAAAC+5vz4=")</f>
        <v>#VALUE!</v>
      </c>
      <c r="BL234" t="e">
        <f>AND('STERLING CATALOG - DRY '!D5259,"AAAAAC+5vz8=")</f>
        <v>#VALUE!</v>
      </c>
      <c r="BM234" t="e">
        <f>AND('STERLING CATALOG - DRY '!E5259,"AAAAAC+5v0A=")</f>
        <v>#VALUE!</v>
      </c>
      <c r="BN234" t="e">
        <f>AND('STERLING CATALOG - DRY '!F5259,"AAAAAC+5v0E=")</f>
        <v>#VALUE!</v>
      </c>
      <c r="BO234" t="e">
        <f>AND('STERLING CATALOG - DRY '!G5259,"AAAAAC+5v0I=")</f>
        <v>#VALUE!</v>
      </c>
      <c r="BP234" t="e">
        <f>AND('STERLING CATALOG - DRY '!H5259,"AAAAAC+5v0M=")</f>
        <v>#VALUE!</v>
      </c>
      <c r="BQ234" t="e">
        <f>AND('STERLING CATALOG - DRY '!I5259,"AAAAAC+5v0Q=")</f>
        <v>#VALUE!</v>
      </c>
      <c r="BR234" t="e">
        <f>AND('STERLING CATALOG - DRY '!J5259,"AAAAAC+5v0U=")</f>
        <v>#VALUE!</v>
      </c>
      <c r="BS234">
        <f>IF('STERLING CATALOG - DRY '!5260:5260,"AAAAAC+5v0Y=",0)</f>
        <v>0</v>
      </c>
      <c r="BT234" t="e">
        <f>AND('STERLING CATALOG - DRY '!A5260,"AAAAAC+5v0c=")</f>
        <v>#VALUE!</v>
      </c>
      <c r="BU234" t="e">
        <f>AND('STERLING CATALOG - DRY '!B5260,"AAAAAC+5v0g=")</f>
        <v>#VALUE!</v>
      </c>
      <c r="BV234" t="e">
        <f>AND('STERLING CATALOG - DRY '!C5260,"AAAAAC+5v0k=")</f>
        <v>#VALUE!</v>
      </c>
      <c r="BW234" t="e">
        <f>AND('STERLING CATALOG - DRY '!D5260,"AAAAAC+5v0o=")</f>
        <v>#VALUE!</v>
      </c>
      <c r="BX234" t="e">
        <f>AND('STERLING CATALOG - DRY '!E5260,"AAAAAC+5v0s=")</f>
        <v>#VALUE!</v>
      </c>
      <c r="BY234" t="e">
        <f>AND('STERLING CATALOG - DRY '!F5260,"AAAAAC+5v0w=")</f>
        <v>#VALUE!</v>
      </c>
      <c r="BZ234" t="e">
        <f>AND('STERLING CATALOG - DRY '!G5260,"AAAAAC+5v00=")</f>
        <v>#VALUE!</v>
      </c>
      <c r="CA234" t="e">
        <f>AND('STERLING CATALOG - DRY '!H5260,"AAAAAC+5v04=")</f>
        <v>#VALUE!</v>
      </c>
      <c r="CB234" t="e">
        <f>AND('STERLING CATALOG - DRY '!I5260,"AAAAAC+5v08=")</f>
        <v>#VALUE!</v>
      </c>
      <c r="CC234" t="e">
        <f>AND('STERLING CATALOG - DRY '!J5260,"AAAAAC+5v1A=")</f>
        <v>#VALUE!</v>
      </c>
      <c r="CD234">
        <f>IF('STERLING CATALOG - DRY '!5261:5261,"AAAAAC+5v1E=",0)</f>
        <v>0</v>
      </c>
      <c r="CE234" t="e">
        <f>AND('STERLING CATALOG - DRY '!A5261,"AAAAAC+5v1I=")</f>
        <v>#VALUE!</v>
      </c>
      <c r="CF234" t="e">
        <f>AND('STERLING CATALOG - DRY '!B5261,"AAAAAC+5v1M=")</f>
        <v>#VALUE!</v>
      </c>
      <c r="CG234" t="e">
        <f>AND('STERLING CATALOG - DRY '!C5261,"AAAAAC+5v1Q=")</f>
        <v>#VALUE!</v>
      </c>
      <c r="CH234" t="e">
        <f>AND('STERLING CATALOG - DRY '!D5261,"AAAAAC+5v1U=")</f>
        <v>#VALUE!</v>
      </c>
      <c r="CI234" t="e">
        <f>AND('STERLING CATALOG - DRY '!E5261,"AAAAAC+5v1Y=")</f>
        <v>#VALUE!</v>
      </c>
      <c r="CJ234" t="e">
        <f>AND('STERLING CATALOG - DRY '!F5261,"AAAAAC+5v1c=")</f>
        <v>#VALUE!</v>
      </c>
      <c r="CK234" t="e">
        <f>AND('STERLING CATALOG - DRY '!G5261,"AAAAAC+5v1g=")</f>
        <v>#VALUE!</v>
      </c>
      <c r="CL234" t="e">
        <f>AND('STERLING CATALOG - DRY '!H5261,"AAAAAC+5v1k=")</f>
        <v>#VALUE!</v>
      </c>
      <c r="CM234" t="e">
        <f>AND('STERLING CATALOG - DRY '!I5261,"AAAAAC+5v1o=")</f>
        <v>#VALUE!</v>
      </c>
      <c r="CN234" t="e">
        <f>AND('STERLING CATALOG - DRY '!J5261,"AAAAAC+5v1s=")</f>
        <v>#VALUE!</v>
      </c>
      <c r="CO234">
        <f>IF('STERLING CATALOG - DRY '!5262:5262,"AAAAAC+5v1w=",0)</f>
        <v>0</v>
      </c>
      <c r="CP234" t="e">
        <f>AND('STERLING CATALOG - DRY '!A5262,"AAAAAC+5v10=")</f>
        <v>#VALUE!</v>
      </c>
      <c r="CQ234" t="e">
        <f>AND('STERLING CATALOG - DRY '!B5262,"AAAAAC+5v14=")</f>
        <v>#VALUE!</v>
      </c>
      <c r="CR234" t="e">
        <f>AND('STERLING CATALOG - DRY '!C5262,"AAAAAC+5v18=")</f>
        <v>#VALUE!</v>
      </c>
      <c r="CS234" t="e">
        <f>AND('STERLING CATALOG - DRY '!D5262,"AAAAAC+5v2A=")</f>
        <v>#VALUE!</v>
      </c>
      <c r="CT234" t="e">
        <f>AND('STERLING CATALOG - DRY '!E5262,"AAAAAC+5v2E=")</f>
        <v>#VALUE!</v>
      </c>
      <c r="CU234" t="e">
        <f>AND('STERLING CATALOG - DRY '!F5262,"AAAAAC+5v2I=")</f>
        <v>#VALUE!</v>
      </c>
      <c r="CV234" t="e">
        <f>AND('STERLING CATALOG - DRY '!G5262,"AAAAAC+5v2M=")</f>
        <v>#VALUE!</v>
      </c>
      <c r="CW234" t="e">
        <f>AND('STERLING CATALOG - DRY '!H5262,"AAAAAC+5v2Q=")</f>
        <v>#VALUE!</v>
      </c>
      <c r="CX234" t="e">
        <f>AND('STERLING CATALOG - DRY '!I5262,"AAAAAC+5v2U=")</f>
        <v>#VALUE!</v>
      </c>
      <c r="CY234" t="e">
        <f>AND('STERLING CATALOG - DRY '!J5262,"AAAAAC+5v2Y=")</f>
        <v>#VALUE!</v>
      </c>
      <c r="CZ234">
        <f>IF('STERLING CATALOG - DRY '!5263:5263,"AAAAAC+5v2c=",0)</f>
        <v>0</v>
      </c>
      <c r="DA234" t="e">
        <f>AND('STERLING CATALOG - DRY '!A5263,"AAAAAC+5v2g=")</f>
        <v>#VALUE!</v>
      </c>
      <c r="DB234" t="e">
        <f>AND('STERLING CATALOG - DRY '!B5263,"AAAAAC+5v2k=")</f>
        <v>#VALUE!</v>
      </c>
      <c r="DC234" t="e">
        <f>AND('STERLING CATALOG - DRY '!C5263,"AAAAAC+5v2o=")</f>
        <v>#VALUE!</v>
      </c>
      <c r="DD234" t="e">
        <f>AND('STERLING CATALOG - DRY '!D5263,"AAAAAC+5v2s=")</f>
        <v>#VALUE!</v>
      </c>
      <c r="DE234" t="e">
        <f>AND('STERLING CATALOG - DRY '!E5263,"AAAAAC+5v2w=")</f>
        <v>#VALUE!</v>
      </c>
      <c r="DF234" t="e">
        <f>AND('STERLING CATALOG - DRY '!F5263,"AAAAAC+5v20=")</f>
        <v>#VALUE!</v>
      </c>
      <c r="DG234" t="e">
        <f>AND('STERLING CATALOG - DRY '!G5263,"AAAAAC+5v24=")</f>
        <v>#VALUE!</v>
      </c>
      <c r="DH234" t="e">
        <f>AND('STERLING CATALOG - DRY '!H5263,"AAAAAC+5v28=")</f>
        <v>#VALUE!</v>
      </c>
      <c r="DI234" t="e">
        <f>AND('STERLING CATALOG - DRY '!I5263,"AAAAAC+5v3A=")</f>
        <v>#VALUE!</v>
      </c>
      <c r="DJ234" t="e">
        <f>AND('STERLING CATALOG - DRY '!J5263,"AAAAAC+5v3E=")</f>
        <v>#VALUE!</v>
      </c>
      <c r="DK234">
        <f>IF('STERLING CATALOG - DRY '!5264:5264,"AAAAAC+5v3I=",0)</f>
        <v>0</v>
      </c>
      <c r="DL234" t="e">
        <f>AND('STERLING CATALOG - DRY '!A5264,"AAAAAC+5v3M=")</f>
        <v>#VALUE!</v>
      </c>
      <c r="DM234" t="e">
        <f>AND('STERLING CATALOG - DRY '!B5264,"AAAAAC+5v3Q=")</f>
        <v>#VALUE!</v>
      </c>
      <c r="DN234" t="e">
        <f>AND('STERLING CATALOG - DRY '!C5264,"AAAAAC+5v3U=")</f>
        <v>#VALUE!</v>
      </c>
      <c r="DO234" t="e">
        <f>AND('STERLING CATALOG - DRY '!D5264,"AAAAAC+5v3Y=")</f>
        <v>#VALUE!</v>
      </c>
      <c r="DP234" t="e">
        <f>AND('STERLING CATALOG - DRY '!E5264,"AAAAAC+5v3c=")</f>
        <v>#VALUE!</v>
      </c>
      <c r="DQ234" t="e">
        <f>AND('STERLING CATALOG - DRY '!F5264,"AAAAAC+5v3g=")</f>
        <v>#VALUE!</v>
      </c>
      <c r="DR234" t="e">
        <f>AND('STERLING CATALOG - DRY '!G5264,"AAAAAC+5v3k=")</f>
        <v>#VALUE!</v>
      </c>
      <c r="DS234" t="e">
        <f>AND('STERLING CATALOG - DRY '!H5264,"AAAAAC+5v3o=")</f>
        <v>#VALUE!</v>
      </c>
      <c r="DT234" t="e">
        <f>AND('STERLING CATALOG - DRY '!I5264,"AAAAAC+5v3s=")</f>
        <v>#VALUE!</v>
      </c>
      <c r="DU234" t="e">
        <f>AND('STERLING CATALOG - DRY '!J5264,"AAAAAC+5v3w=")</f>
        <v>#VALUE!</v>
      </c>
      <c r="DV234">
        <f>IF('STERLING CATALOG - DRY '!5265:5265,"AAAAAC+5v30=",0)</f>
        <v>0</v>
      </c>
      <c r="DW234" t="e">
        <f>AND('STERLING CATALOG - DRY '!A5265,"AAAAAC+5v34=")</f>
        <v>#VALUE!</v>
      </c>
      <c r="DX234" t="e">
        <f>AND('STERLING CATALOG - DRY '!B5265,"AAAAAC+5v38=")</f>
        <v>#VALUE!</v>
      </c>
      <c r="DY234" t="e">
        <f>AND('STERLING CATALOG - DRY '!C5265,"AAAAAC+5v4A=")</f>
        <v>#VALUE!</v>
      </c>
      <c r="DZ234" t="e">
        <f>AND('STERLING CATALOG - DRY '!D5265,"AAAAAC+5v4E=")</f>
        <v>#VALUE!</v>
      </c>
      <c r="EA234" t="e">
        <f>AND('STERLING CATALOG - DRY '!E5265,"AAAAAC+5v4I=")</f>
        <v>#VALUE!</v>
      </c>
      <c r="EB234" t="e">
        <f>AND('STERLING CATALOG - DRY '!F5265,"AAAAAC+5v4M=")</f>
        <v>#VALUE!</v>
      </c>
      <c r="EC234" t="e">
        <f>AND('STERLING CATALOG - DRY '!G5265,"AAAAAC+5v4Q=")</f>
        <v>#VALUE!</v>
      </c>
      <c r="ED234" t="e">
        <f>AND('STERLING CATALOG - DRY '!H5265,"AAAAAC+5v4U=")</f>
        <v>#VALUE!</v>
      </c>
      <c r="EE234" t="e">
        <f>AND('STERLING CATALOG - DRY '!I5265,"AAAAAC+5v4Y=")</f>
        <v>#VALUE!</v>
      </c>
      <c r="EF234" t="e">
        <f>AND('STERLING CATALOG - DRY '!J5265,"AAAAAC+5v4c=")</f>
        <v>#VALUE!</v>
      </c>
      <c r="EG234">
        <f>IF('STERLING CATALOG - DRY '!5266:5266,"AAAAAC+5v4g=",0)</f>
        <v>0</v>
      </c>
      <c r="EH234" t="e">
        <f>AND('STERLING CATALOG - DRY '!A5266,"AAAAAC+5v4k=")</f>
        <v>#VALUE!</v>
      </c>
      <c r="EI234" t="e">
        <f>AND('STERLING CATALOG - DRY '!B5266,"AAAAAC+5v4o=")</f>
        <v>#VALUE!</v>
      </c>
      <c r="EJ234" t="e">
        <f>AND('STERLING CATALOG - DRY '!C5266,"AAAAAC+5v4s=")</f>
        <v>#VALUE!</v>
      </c>
      <c r="EK234" t="e">
        <f>AND('STERLING CATALOG - DRY '!D5266,"AAAAAC+5v4w=")</f>
        <v>#VALUE!</v>
      </c>
      <c r="EL234" t="e">
        <f>AND('STERLING CATALOG - DRY '!E5266,"AAAAAC+5v40=")</f>
        <v>#VALUE!</v>
      </c>
      <c r="EM234" t="e">
        <f>AND('STERLING CATALOG - DRY '!F5266,"AAAAAC+5v44=")</f>
        <v>#VALUE!</v>
      </c>
      <c r="EN234" t="e">
        <f>AND('STERLING CATALOG - DRY '!G5266,"AAAAAC+5v48=")</f>
        <v>#VALUE!</v>
      </c>
      <c r="EO234" t="e">
        <f>AND('STERLING CATALOG - DRY '!H5266,"AAAAAC+5v5A=")</f>
        <v>#VALUE!</v>
      </c>
      <c r="EP234" t="e">
        <f>AND('STERLING CATALOG - DRY '!I5266,"AAAAAC+5v5E=")</f>
        <v>#VALUE!</v>
      </c>
      <c r="EQ234" t="e">
        <f>AND('STERLING CATALOG - DRY '!J5266,"AAAAAC+5v5I=")</f>
        <v>#VALUE!</v>
      </c>
      <c r="ER234">
        <f>IF('STERLING CATALOG - DRY '!5267:5267,"AAAAAC+5v5M=",0)</f>
        <v>0</v>
      </c>
      <c r="ES234" t="e">
        <f>AND('STERLING CATALOG - DRY '!A5267,"AAAAAC+5v5Q=")</f>
        <v>#VALUE!</v>
      </c>
      <c r="ET234" t="e">
        <f>AND('STERLING CATALOG - DRY '!B5267,"AAAAAC+5v5U=")</f>
        <v>#VALUE!</v>
      </c>
      <c r="EU234" t="e">
        <f>AND('STERLING CATALOG - DRY '!C5267,"AAAAAC+5v5Y=")</f>
        <v>#VALUE!</v>
      </c>
      <c r="EV234" t="e">
        <f>AND('STERLING CATALOG - DRY '!D5267,"AAAAAC+5v5c=")</f>
        <v>#VALUE!</v>
      </c>
      <c r="EW234" t="e">
        <f>AND('STERLING CATALOG - DRY '!E5267,"AAAAAC+5v5g=")</f>
        <v>#VALUE!</v>
      </c>
      <c r="EX234" t="e">
        <f>AND('STERLING CATALOG - DRY '!F5267,"AAAAAC+5v5k=")</f>
        <v>#VALUE!</v>
      </c>
      <c r="EY234" t="e">
        <f>AND('STERLING CATALOG - DRY '!G5267,"AAAAAC+5v5o=")</f>
        <v>#VALUE!</v>
      </c>
      <c r="EZ234" t="e">
        <f>AND('STERLING CATALOG - DRY '!H5267,"AAAAAC+5v5s=")</f>
        <v>#VALUE!</v>
      </c>
      <c r="FA234" t="e">
        <f>AND('STERLING CATALOG - DRY '!I5267,"AAAAAC+5v5w=")</f>
        <v>#VALUE!</v>
      </c>
      <c r="FB234" t="e">
        <f>AND('STERLING CATALOG - DRY '!J5267,"AAAAAC+5v50=")</f>
        <v>#VALUE!</v>
      </c>
      <c r="FC234">
        <f>IF('STERLING CATALOG - DRY '!5268:5268,"AAAAAC+5v54=",0)</f>
        <v>0</v>
      </c>
      <c r="FD234" t="e">
        <f>AND('STERLING CATALOG - DRY '!A5268,"AAAAAC+5v58=")</f>
        <v>#VALUE!</v>
      </c>
      <c r="FE234" t="e">
        <f>AND('STERLING CATALOG - DRY '!B5268,"AAAAAC+5v6A=")</f>
        <v>#VALUE!</v>
      </c>
      <c r="FF234" t="e">
        <f>AND('STERLING CATALOG - DRY '!C5268,"AAAAAC+5v6E=")</f>
        <v>#VALUE!</v>
      </c>
      <c r="FG234" t="e">
        <f>AND('STERLING CATALOG - DRY '!D5268,"AAAAAC+5v6I=")</f>
        <v>#VALUE!</v>
      </c>
      <c r="FH234" t="e">
        <f>AND('STERLING CATALOG - DRY '!E5268,"AAAAAC+5v6M=")</f>
        <v>#VALUE!</v>
      </c>
      <c r="FI234" t="e">
        <f>AND('STERLING CATALOG - DRY '!F5268,"AAAAAC+5v6Q=")</f>
        <v>#VALUE!</v>
      </c>
      <c r="FJ234" t="e">
        <f>AND('STERLING CATALOG - DRY '!G5268,"AAAAAC+5v6U=")</f>
        <v>#VALUE!</v>
      </c>
      <c r="FK234" t="e">
        <f>AND('STERLING CATALOG - DRY '!H5268,"AAAAAC+5v6Y=")</f>
        <v>#VALUE!</v>
      </c>
      <c r="FL234" t="e">
        <f>AND('STERLING CATALOG - DRY '!I5268,"AAAAAC+5v6c=")</f>
        <v>#VALUE!</v>
      </c>
      <c r="FM234" t="e">
        <f>AND('STERLING CATALOG - DRY '!J5268,"AAAAAC+5v6g=")</f>
        <v>#VALUE!</v>
      </c>
      <c r="FN234">
        <f>IF('STERLING CATALOG - DRY '!5269:5269,"AAAAAC+5v6k=",0)</f>
        <v>0</v>
      </c>
      <c r="FO234" t="e">
        <f>AND('STERLING CATALOG - DRY '!A5269,"AAAAAC+5v6o=")</f>
        <v>#VALUE!</v>
      </c>
      <c r="FP234" t="e">
        <f>AND('STERLING CATALOG - DRY '!B5269,"AAAAAC+5v6s=")</f>
        <v>#VALUE!</v>
      </c>
      <c r="FQ234" t="e">
        <f>AND('STERLING CATALOG - DRY '!C5269,"AAAAAC+5v6w=")</f>
        <v>#VALUE!</v>
      </c>
      <c r="FR234" t="e">
        <f>AND('STERLING CATALOG - DRY '!D5269,"AAAAAC+5v60=")</f>
        <v>#VALUE!</v>
      </c>
      <c r="FS234" t="e">
        <f>AND('STERLING CATALOG - DRY '!E5269,"AAAAAC+5v64=")</f>
        <v>#VALUE!</v>
      </c>
      <c r="FT234" t="e">
        <f>AND('STERLING CATALOG - DRY '!F5269,"AAAAAC+5v68=")</f>
        <v>#VALUE!</v>
      </c>
      <c r="FU234" t="e">
        <f>AND('STERLING CATALOG - DRY '!G5269,"AAAAAC+5v7A=")</f>
        <v>#VALUE!</v>
      </c>
      <c r="FV234" t="e">
        <f>AND('STERLING CATALOG - DRY '!H5269,"AAAAAC+5v7E=")</f>
        <v>#VALUE!</v>
      </c>
      <c r="FW234" t="e">
        <f>AND('STERLING CATALOG - DRY '!I5269,"AAAAAC+5v7I=")</f>
        <v>#VALUE!</v>
      </c>
      <c r="FX234" t="e">
        <f>AND('STERLING CATALOG - DRY '!J5269,"AAAAAC+5v7M=")</f>
        <v>#VALUE!</v>
      </c>
      <c r="FY234">
        <f>IF('STERLING CATALOG - DRY '!5270:5270,"AAAAAC+5v7Q=",0)</f>
        <v>0</v>
      </c>
      <c r="FZ234" t="e">
        <f>AND('STERLING CATALOG - DRY '!A5270,"AAAAAC+5v7U=")</f>
        <v>#VALUE!</v>
      </c>
      <c r="GA234" t="e">
        <f>AND('STERLING CATALOG - DRY '!B5270,"AAAAAC+5v7Y=")</f>
        <v>#VALUE!</v>
      </c>
      <c r="GB234" t="e">
        <f>AND('STERLING CATALOG - DRY '!C5270,"AAAAAC+5v7c=")</f>
        <v>#VALUE!</v>
      </c>
      <c r="GC234" t="e">
        <f>AND('STERLING CATALOG - DRY '!D5270,"AAAAAC+5v7g=")</f>
        <v>#VALUE!</v>
      </c>
      <c r="GD234" t="e">
        <f>AND('STERLING CATALOG - DRY '!E5270,"AAAAAC+5v7k=")</f>
        <v>#VALUE!</v>
      </c>
      <c r="GE234" t="e">
        <f>AND('STERLING CATALOG - DRY '!F5270,"AAAAAC+5v7o=")</f>
        <v>#VALUE!</v>
      </c>
      <c r="GF234" t="e">
        <f>AND('STERLING CATALOG - DRY '!G5270,"AAAAAC+5v7s=")</f>
        <v>#VALUE!</v>
      </c>
      <c r="GG234" t="e">
        <f>AND('STERLING CATALOG - DRY '!H5270,"AAAAAC+5v7w=")</f>
        <v>#VALUE!</v>
      </c>
      <c r="GH234" t="e">
        <f>AND('STERLING CATALOG - DRY '!I5270,"AAAAAC+5v70=")</f>
        <v>#VALUE!</v>
      </c>
      <c r="GI234" t="e">
        <f>AND('STERLING CATALOG - DRY '!J5270,"AAAAAC+5v74=")</f>
        <v>#VALUE!</v>
      </c>
      <c r="GJ234">
        <f>IF('STERLING CATALOG - DRY '!5271:5271,"AAAAAC+5v78=",0)</f>
        <v>0</v>
      </c>
      <c r="GK234" t="e">
        <f>AND('STERLING CATALOG - DRY '!A5271,"AAAAAC+5v8A=")</f>
        <v>#VALUE!</v>
      </c>
      <c r="GL234" t="e">
        <f>AND('STERLING CATALOG - DRY '!B5271,"AAAAAC+5v8E=")</f>
        <v>#VALUE!</v>
      </c>
      <c r="GM234" t="e">
        <f>AND('STERLING CATALOG - DRY '!C5271,"AAAAAC+5v8I=")</f>
        <v>#VALUE!</v>
      </c>
      <c r="GN234" t="e">
        <f>AND('STERLING CATALOG - DRY '!D5271,"AAAAAC+5v8M=")</f>
        <v>#VALUE!</v>
      </c>
      <c r="GO234" t="e">
        <f>AND('STERLING CATALOG - DRY '!E5271,"AAAAAC+5v8Q=")</f>
        <v>#VALUE!</v>
      </c>
      <c r="GP234" t="e">
        <f>AND('STERLING CATALOG - DRY '!F5271,"AAAAAC+5v8U=")</f>
        <v>#VALUE!</v>
      </c>
      <c r="GQ234" t="e">
        <f>AND('STERLING CATALOG - DRY '!G5271,"AAAAAC+5v8Y=")</f>
        <v>#VALUE!</v>
      </c>
      <c r="GR234" t="e">
        <f>AND('STERLING CATALOG - DRY '!H5271,"AAAAAC+5v8c=")</f>
        <v>#VALUE!</v>
      </c>
      <c r="GS234" t="e">
        <f>AND('STERLING CATALOG - DRY '!I5271,"AAAAAC+5v8g=")</f>
        <v>#VALUE!</v>
      </c>
      <c r="GT234" t="e">
        <f>AND('STERLING CATALOG - DRY '!J5271,"AAAAAC+5v8k=")</f>
        <v>#VALUE!</v>
      </c>
      <c r="GU234">
        <f>IF('STERLING CATALOG - DRY '!5272:5272,"AAAAAC+5v8o=",0)</f>
        <v>0</v>
      </c>
      <c r="GV234" t="e">
        <f>AND('STERLING CATALOG - DRY '!A5272,"AAAAAC+5v8s=")</f>
        <v>#VALUE!</v>
      </c>
      <c r="GW234" t="e">
        <f>AND('STERLING CATALOG - DRY '!B5272,"AAAAAC+5v8w=")</f>
        <v>#VALUE!</v>
      </c>
      <c r="GX234" t="e">
        <f>AND('STERLING CATALOG - DRY '!C5272,"AAAAAC+5v80=")</f>
        <v>#VALUE!</v>
      </c>
      <c r="GY234" t="e">
        <f>AND('STERLING CATALOG - DRY '!D5272,"AAAAAC+5v84=")</f>
        <v>#VALUE!</v>
      </c>
      <c r="GZ234" t="e">
        <f>AND('STERLING CATALOG - DRY '!E5272,"AAAAAC+5v88=")</f>
        <v>#VALUE!</v>
      </c>
      <c r="HA234" t="e">
        <f>AND('STERLING CATALOG - DRY '!F5272,"AAAAAC+5v9A=")</f>
        <v>#VALUE!</v>
      </c>
      <c r="HB234" t="e">
        <f>AND('STERLING CATALOG - DRY '!G5272,"AAAAAC+5v9E=")</f>
        <v>#VALUE!</v>
      </c>
      <c r="HC234" t="e">
        <f>AND('STERLING CATALOG - DRY '!H5272,"AAAAAC+5v9I=")</f>
        <v>#VALUE!</v>
      </c>
      <c r="HD234" t="e">
        <f>AND('STERLING CATALOG - DRY '!I5272,"AAAAAC+5v9M=")</f>
        <v>#VALUE!</v>
      </c>
      <c r="HE234" t="e">
        <f>AND('STERLING CATALOG - DRY '!J5272,"AAAAAC+5v9Q=")</f>
        <v>#VALUE!</v>
      </c>
      <c r="HF234">
        <f>IF('STERLING CATALOG - DRY '!5273:5273,"AAAAAC+5v9U=",0)</f>
        <v>0</v>
      </c>
      <c r="HG234" t="e">
        <f>AND('STERLING CATALOG - DRY '!A5273,"AAAAAC+5v9Y=")</f>
        <v>#VALUE!</v>
      </c>
      <c r="HH234" t="e">
        <f>AND('STERLING CATALOG - DRY '!B5273,"AAAAAC+5v9c=")</f>
        <v>#VALUE!</v>
      </c>
      <c r="HI234" t="e">
        <f>AND('STERLING CATALOG - DRY '!C5273,"AAAAAC+5v9g=")</f>
        <v>#VALUE!</v>
      </c>
      <c r="HJ234" t="e">
        <f>AND('STERLING CATALOG - DRY '!D5273,"AAAAAC+5v9k=")</f>
        <v>#VALUE!</v>
      </c>
      <c r="HK234" t="e">
        <f>AND('STERLING CATALOG - DRY '!E5273,"AAAAAC+5v9o=")</f>
        <v>#VALUE!</v>
      </c>
      <c r="HL234" t="e">
        <f>AND('STERLING CATALOG - DRY '!F5273,"AAAAAC+5v9s=")</f>
        <v>#VALUE!</v>
      </c>
      <c r="HM234" t="e">
        <f>AND('STERLING CATALOG - DRY '!G5273,"AAAAAC+5v9w=")</f>
        <v>#VALUE!</v>
      </c>
      <c r="HN234" t="e">
        <f>AND('STERLING CATALOG - DRY '!H5273,"AAAAAC+5v90=")</f>
        <v>#VALUE!</v>
      </c>
      <c r="HO234" t="e">
        <f>AND('STERLING CATALOG - DRY '!I5273,"AAAAAC+5v94=")</f>
        <v>#VALUE!</v>
      </c>
      <c r="HP234" t="e">
        <f>AND('STERLING CATALOG - DRY '!J5273,"AAAAAC+5v98=")</f>
        <v>#VALUE!</v>
      </c>
      <c r="HQ234">
        <f>IF('STERLING CATALOG - DRY '!5274:5274,"AAAAAC+5v+A=",0)</f>
        <v>0</v>
      </c>
      <c r="HR234" t="e">
        <f>AND('STERLING CATALOG - DRY '!A5274,"AAAAAC+5v+E=")</f>
        <v>#VALUE!</v>
      </c>
      <c r="HS234" t="e">
        <f>AND('STERLING CATALOG - DRY '!B5274,"AAAAAC+5v+I=")</f>
        <v>#VALUE!</v>
      </c>
      <c r="HT234" t="e">
        <f>AND('STERLING CATALOG - DRY '!C5274,"AAAAAC+5v+M=")</f>
        <v>#VALUE!</v>
      </c>
      <c r="HU234" t="e">
        <f>AND('STERLING CATALOG - DRY '!D5274,"AAAAAC+5v+Q=")</f>
        <v>#VALUE!</v>
      </c>
      <c r="HV234" t="e">
        <f>AND('STERLING CATALOG - DRY '!E5274,"AAAAAC+5v+U=")</f>
        <v>#VALUE!</v>
      </c>
      <c r="HW234" t="e">
        <f>AND('STERLING CATALOG - DRY '!F5274,"AAAAAC+5v+Y=")</f>
        <v>#VALUE!</v>
      </c>
      <c r="HX234" t="e">
        <f>AND('STERLING CATALOG - DRY '!G5274,"AAAAAC+5v+c=")</f>
        <v>#VALUE!</v>
      </c>
      <c r="HY234" t="e">
        <f>AND('STERLING CATALOG - DRY '!H5274,"AAAAAC+5v+g=")</f>
        <v>#VALUE!</v>
      </c>
      <c r="HZ234" t="e">
        <f>AND('STERLING CATALOG - DRY '!I5274,"AAAAAC+5v+k=")</f>
        <v>#VALUE!</v>
      </c>
      <c r="IA234" t="e">
        <f>AND('STERLING CATALOG - DRY '!J5274,"AAAAAC+5v+o=")</f>
        <v>#VALUE!</v>
      </c>
      <c r="IB234">
        <f>IF('STERLING CATALOG - DRY '!5275:5275,"AAAAAC+5v+s=",0)</f>
        <v>0</v>
      </c>
      <c r="IC234" t="e">
        <f>AND('STERLING CATALOG - DRY '!A5275,"AAAAAC+5v+w=")</f>
        <v>#VALUE!</v>
      </c>
      <c r="ID234" t="e">
        <f>AND('STERLING CATALOG - DRY '!B5275,"AAAAAC+5v+0=")</f>
        <v>#VALUE!</v>
      </c>
      <c r="IE234" t="e">
        <f>AND('STERLING CATALOG - DRY '!C5275,"AAAAAC+5v+4=")</f>
        <v>#VALUE!</v>
      </c>
      <c r="IF234" t="e">
        <f>AND('STERLING CATALOG - DRY '!D5275,"AAAAAC+5v+8=")</f>
        <v>#VALUE!</v>
      </c>
      <c r="IG234" t="e">
        <f>AND('STERLING CATALOG - DRY '!E5275,"AAAAAC+5v/A=")</f>
        <v>#VALUE!</v>
      </c>
      <c r="IH234" t="e">
        <f>AND('STERLING CATALOG - DRY '!F5275,"AAAAAC+5v/E=")</f>
        <v>#VALUE!</v>
      </c>
      <c r="II234" t="e">
        <f>AND('STERLING CATALOG - DRY '!G5275,"AAAAAC+5v/I=")</f>
        <v>#VALUE!</v>
      </c>
      <c r="IJ234" t="e">
        <f>AND('STERLING CATALOG - DRY '!H5275,"AAAAAC+5v/M=")</f>
        <v>#VALUE!</v>
      </c>
      <c r="IK234" t="e">
        <f>AND('STERLING CATALOG - DRY '!I5275,"AAAAAC+5v/Q=")</f>
        <v>#VALUE!</v>
      </c>
      <c r="IL234" t="e">
        <f>AND('STERLING CATALOG - DRY '!J5275,"AAAAAC+5v/U=")</f>
        <v>#VALUE!</v>
      </c>
      <c r="IM234">
        <f>IF('STERLING CATALOG - DRY '!5276:5276,"AAAAAC+5v/Y=",0)</f>
        <v>0</v>
      </c>
      <c r="IN234" t="e">
        <f>AND('STERLING CATALOG - DRY '!A5276,"AAAAAC+5v/c=")</f>
        <v>#VALUE!</v>
      </c>
      <c r="IO234" t="e">
        <f>AND('STERLING CATALOG - DRY '!B5276,"AAAAAC+5v/g=")</f>
        <v>#VALUE!</v>
      </c>
      <c r="IP234" t="e">
        <f>AND('STERLING CATALOG - DRY '!C5276,"AAAAAC+5v/k=")</f>
        <v>#VALUE!</v>
      </c>
      <c r="IQ234" t="e">
        <f>AND('STERLING CATALOG - DRY '!D5276,"AAAAAC+5v/o=")</f>
        <v>#VALUE!</v>
      </c>
      <c r="IR234" t="e">
        <f>AND('STERLING CATALOG - DRY '!E5276,"AAAAAC+5v/s=")</f>
        <v>#VALUE!</v>
      </c>
      <c r="IS234" t="e">
        <f>AND('STERLING CATALOG - DRY '!F5276,"AAAAAC+5v/w=")</f>
        <v>#VALUE!</v>
      </c>
      <c r="IT234" t="e">
        <f>AND('STERLING CATALOG - DRY '!G5276,"AAAAAC+5v/0=")</f>
        <v>#VALUE!</v>
      </c>
      <c r="IU234" t="e">
        <f>AND('STERLING CATALOG - DRY '!H5276,"AAAAAC+5v/4=")</f>
        <v>#VALUE!</v>
      </c>
      <c r="IV234" t="e">
        <f>AND('STERLING CATALOG - DRY '!I5276,"AAAAAC+5v/8=")</f>
        <v>#VALUE!</v>
      </c>
    </row>
    <row r="235" spans="1:256">
      <c r="A235" t="e">
        <f>AND('STERLING CATALOG - DRY '!J5276,"AAAAAH/zWwA=")</f>
        <v>#VALUE!</v>
      </c>
      <c r="B235" t="str">
        <f>IF('STERLING CATALOG - DRY '!5277:5277,"AAAAAH/zWwE=",0)</f>
        <v>AAAAAH/zWwE=</v>
      </c>
      <c r="C235" t="e">
        <f>AND('STERLING CATALOG - DRY '!A5277,"AAAAAH/zWwI=")</f>
        <v>#VALUE!</v>
      </c>
      <c r="D235" t="e">
        <f>AND('STERLING CATALOG - DRY '!B5277,"AAAAAH/zWwM=")</f>
        <v>#VALUE!</v>
      </c>
      <c r="E235" t="e">
        <f>AND('STERLING CATALOG - DRY '!C5277,"AAAAAH/zWwQ=")</f>
        <v>#VALUE!</v>
      </c>
      <c r="F235" t="e">
        <f>AND('STERLING CATALOG - DRY '!D5277,"AAAAAH/zWwU=")</f>
        <v>#VALUE!</v>
      </c>
      <c r="G235" t="e">
        <f>AND('STERLING CATALOG - DRY '!E5277,"AAAAAH/zWwY=")</f>
        <v>#VALUE!</v>
      </c>
      <c r="H235" t="e">
        <f>AND('STERLING CATALOG - DRY '!F5277,"AAAAAH/zWwc=")</f>
        <v>#VALUE!</v>
      </c>
      <c r="I235" t="e">
        <f>AND('STERLING CATALOG - DRY '!G5277,"AAAAAH/zWwg=")</f>
        <v>#VALUE!</v>
      </c>
      <c r="J235" t="e">
        <f>AND('STERLING CATALOG - DRY '!H5277,"AAAAAH/zWwk=")</f>
        <v>#VALUE!</v>
      </c>
      <c r="K235" t="e">
        <f>AND('STERLING CATALOG - DRY '!I5277,"AAAAAH/zWwo=")</f>
        <v>#VALUE!</v>
      </c>
      <c r="L235" t="e">
        <f>AND('STERLING CATALOG - DRY '!J5277,"AAAAAH/zWws=")</f>
        <v>#VALUE!</v>
      </c>
      <c r="M235">
        <f>IF('STERLING CATALOG - DRY '!5278:5278,"AAAAAH/zWww=",0)</f>
        <v>0</v>
      </c>
      <c r="N235" t="e">
        <f>AND('STERLING CATALOG - DRY '!A5278,"AAAAAH/zWw0=")</f>
        <v>#VALUE!</v>
      </c>
      <c r="O235" t="e">
        <f>AND('STERLING CATALOG - DRY '!B5278,"AAAAAH/zWw4=")</f>
        <v>#VALUE!</v>
      </c>
      <c r="P235" t="e">
        <f>AND('STERLING CATALOG - DRY '!C5278,"AAAAAH/zWw8=")</f>
        <v>#VALUE!</v>
      </c>
      <c r="Q235" t="e">
        <f>AND('STERLING CATALOG - DRY '!D5278,"AAAAAH/zWxA=")</f>
        <v>#VALUE!</v>
      </c>
      <c r="R235" t="e">
        <f>AND('STERLING CATALOG - DRY '!E5278,"AAAAAH/zWxE=")</f>
        <v>#VALUE!</v>
      </c>
      <c r="S235" t="e">
        <f>AND('STERLING CATALOG - DRY '!F5278,"AAAAAH/zWxI=")</f>
        <v>#VALUE!</v>
      </c>
      <c r="T235" t="e">
        <f>AND('STERLING CATALOG - DRY '!G5278,"AAAAAH/zWxM=")</f>
        <v>#VALUE!</v>
      </c>
      <c r="U235" t="e">
        <f>AND('STERLING CATALOG - DRY '!H5278,"AAAAAH/zWxQ=")</f>
        <v>#VALUE!</v>
      </c>
      <c r="V235" t="e">
        <f>AND('STERLING CATALOG - DRY '!I5278,"AAAAAH/zWxU=")</f>
        <v>#VALUE!</v>
      </c>
      <c r="W235" t="e">
        <f>AND('STERLING CATALOG - DRY '!J5278,"AAAAAH/zWxY=")</f>
        <v>#VALUE!</v>
      </c>
      <c r="X235">
        <f>IF('STERLING CATALOG - DRY '!5279:5279,"AAAAAH/zWxc=",0)</f>
        <v>0</v>
      </c>
      <c r="Y235" t="e">
        <f>AND('STERLING CATALOG - DRY '!A5279,"AAAAAH/zWxg=")</f>
        <v>#VALUE!</v>
      </c>
      <c r="Z235" t="e">
        <f>AND('STERLING CATALOG - DRY '!B5279,"AAAAAH/zWxk=")</f>
        <v>#VALUE!</v>
      </c>
      <c r="AA235" t="e">
        <f>AND('STERLING CATALOG - DRY '!C5279,"AAAAAH/zWxo=")</f>
        <v>#VALUE!</v>
      </c>
      <c r="AB235" t="e">
        <f>AND('STERLING CATALOG - DRY '!D5279,"AAAAAH/zWxs=")</f>
        <v>#VALUE!</v>
      </c>
      <c r="AC235" t="e">
        <f>AND('STERLING CATALOG - DRY '!E5279,"AAAAAH/zWxw=")</f>
        <v>#VALUE!</v>
      </c>
      <c r="AD235" t="e">
        <f>AND('STERLING CATALOG - DRY '!F5279,"AAAAAH/zWx0=")</f>
        <v>#VALUE!</v>
      </c>
      <c r="AE235" t="e">
        <f>AND('STERLING CATALOG - DRY '!G5279,"AAAAAH/zWx4=")</f>
        <v>#VALUE!</v>
      </c>
      <c r="AF235" t="e">
        <f>AND('STERLING CATALOG - DRY '!H5279,"AAAAAH/zWx8=")</f>
        <v>#VALUE!</v>
      </c>
      <c r="AG235" t="e">
        <f>AND('STERLING CATALOG - DRY '!I5279,"AAAAAH/zWyA=")</f>
        <v>#VALUE!</v>
      </c>
      <c r="AH235" t="e">
        <f>AND('STERLING CATALOG - DRY '!J5279,"AAAAAH/zWyE=")</f>
        <v>#VALUE!</v>
      </c>
      <c r="AI235">
        <f>IF('STERLING CATALOG - DRY '!5280:5280,"AAAAAH/zWyI=",0)</f>
        <v>0</v>
      </c>
      <c r="AJ235" t="e">
        <f>AND('STERLING CATALOG - DRY '!A5280,"AAAAAH/zWyM=")</f>
        <v>#VALUE!</v>
      </c>
      <c r="AK235" t="e">
        <f>AND('STERLING CATALOG - DRY '!B5280,"AAAAAH/zWyQ=")</f>
        <v>#VALUE!</v>
      </c>
      <c r="AL235" t="e">
        <f>AND('STERLING CATALOG - DRY '!C5280,"AAAAAH/zWyU=")</f>
        <v>#VALUE!</v>
      </c>
      <c r="AM235" t="e">
        <f>AND('STERLING CATALOG - DRY '!D5280,"AAAAAH/zWyY=")</f>
        <v>#VALUE!</v>
      </c>
      <c r="AN235" t="e">
        <f>AND('STERLING CATALOG - DRY '!E5280,"AAAAAH/zWyc=")</f>
        <v>#VALUE!</v>
      </c>
      <c r="AO235" t="e">
        <f>AND('STERLING CATALOG - DRY '!F5280,"AAAAAH/zWyg=")</f>
        <v>#VALUE!</v>
      </c>
      <c r="AP235" t="e">
        <f>AND('STERLING CATALOG - DRY '!G5280,"AAAAAH/zWyk=")</f>
        <v>#VALUE!</v>
      </c>
      <c r="AQ235" t="e">
        <f>AND('STERLING CATALOG - DRY '!H5280,"AAAAAH/zWyo=")</f>
        <v>#VALUE!</v>
      </c>
      <c r="AR235" t="e">
        <f>AND('STERLING CATALOG - DRY '!I5280,"AAAAAH/zWys=")</f>
        <v>#VALUE!</v>
      </c>
      <c r="AS235" t="e">
        <f>AND('STERLING CATALOG - DRY '!J5280,"AAAAAH/zWyw=")</f>
        <v>#VALUE!</v>
      </c>
      <c r="AT235">
        <f>IF('STERLING CATALOG - DRY '!5281:5281,"AAAAAH/zWy0=",0)</f>
        <v>0</v>
      </c>
      <c r="AU235" t="e">
        <f>AND('STERLING CATALOG - DRY '!A5281,"AAAAAH/zWy4=")</f>
        <v>#VALUE!</v>
      </c>
      <c r="AV235" t="e">
        <f>AND('STERLING CATALOG - DRY '!B5281,"AAAAAH/zWy8=")</f>
        <v>#VALUE!</v>
      </c>
      <c r="AW235" t="e">
        <f>AND('STERLING CATALOG - DRY '!C5281,"AAAAAH/zWzA=")</f>
        <v>#VALUE!</v>
      </c>
      <c r="AX235" t="e">
        <f>AND('STERLING CATALOG - DRY '!D5281,"AAAAAH/zWzE=")</f>
        <v>#VALUE!</v>
      </c>
      <c r="AY235" t="e">
        <f>AND('STERLING CATALOG - DRY '!E5281,"AAAAAH/zWzI=")</f>
        <v>#VALUE!</v>
      </c>
      <c r="AZ235" t="e">
        <f>AND('STERLING CATALOG - DRY '!F5281,"AAAAAH/zWzM=")</f>
        <v>#VALUE!</v>
      </c>
      <c r="BA235" t="e">
        <f>AND('STERLING CATALOG - DRY '!G5281,"AAAAAH/zWzQ=")</f>
        <v>#VALUE!</v>
      </c>
      <c r="BB235" t="e">
        <f>AND('STERLING CATALOG - DRY '!H5281,"AAAAAH/zWzU=")</f>
        <v>#VALUE!</v>
      </c>
      <c r="BC235" t="e">
        <f>AND('STERLING CATALOG - DRY '!I5281,"AAAAAH/zWzY=")</f>
        <v>#VALUE!</v>
      </c>
      <c r="BD235" t="e">
        <f>AND('STERLING CATALOG - DRY '!J5281,"AAAAAH/zWzc=")</f>
        <v>#VALUE!</v>
      </c>
      <c r="BE235">
        <f>IF('STERLING CATALOG - DRY '!5282:5282,"AAAAAH/zWzg=",0)</f>
        <v>0</v>
      </c>
      <c r="BF235" t="e">
        <f>AND('STERLING CATALOG - DRY '!A5282,"AAAAAH/zWzk=")</f>
        <v>#VALUE!</v>
      </c>
      <c r="BG235" t="e">
        <f>AND('STERLING CATALOG - DRY '!B5282,"AAAAAH/zWzo=")</f>
        <v>#VALUE!</v>
      </c>
      <c r="BH235" t="e">
        <f>AND('STERLING CATALOG - DRY '!C5282,"AAAAAH/zWzs=")</f>
        <v>#VALUE!</v>
      </c>
      <c r="BI235" t="e">
        <f>AND('STERLING CATALOG - DRY '!D5282,"AAAAAH/zWzw=")</f>
        <v>#VALUE!</v>
      </c>
      <c r="BJ235" t="e">
        <f>AND('STERLING CATALOG - DRY '!E5282,"AAAAAH/zWz0=")</f>
        <v>#VALUE!</v>
      </c>
      <c r="BK235" t="e">
        <f>AND('STERLING CATALOG - DRY '!F5282,"AAAAAH/zWz4=")</f>
        <v>#VALUE!</v>
      </c>
      <c r="BL235" t="e">
        <f>AND('STERLING CATALOG - DRY '!G5282,"AAAAAH/zWz8=")</f>
        <v>#VALUE!</v>
      </c>
      <c r="BM235" t="e">
        <f>AND('STERLING CATALOG - DRY '!H5282,"AAAAAH/zW0A=")</f>
        <v>#VALUE!</v>
      </c>
      <c r="BN235" t="e">
        <f>AND('STERLING CATALOG - DRY '!I5282,"AAAAAH/zW0E=")</f>
        <v>#VALUE!</v>
      </c>
      <c r="BO235" t="e">
        <f>AND('STERLING CATALOG - DRY '!J5282,"AAAAAH/zW0I=")</f>
        <v>#VALUE!</v>
      </c>
      <c r="BP235">
        <f>IF('STERLING CATALOG - DRY '!5283:5283,"AAAAAH/zW0M=",0)</f>
        <v>0</v>
      </c>
      <c r="BQ235" t="e">
        <f>AND('STERLING CATALOG - DRY '!A5283,"AAAAAH/zW0Q=")</f>
        <v>#VALUE!</v>
      </c>
      <c r="BR235" t="e">
        <f>AND('STERLING CATALOG - DRY '!B5283,"AAAAAH/zW0U=")</f>
        <v>#VALUE!</v>
      </c>
      <c r="BS235" t="e">
        <f>AND('STERLING CATALOG - DRY '!C5283,"AAAAAH/zW0Y=")</f>
        <v>#VALUE!</v>
      </c>
      <c r="BT235" t="e">
        <f>AND('STERLING CATALOG - DRY '!D5283,"AAAAAH/zW0c=")</f>
        <v>#VALUE!</v>
      </c>
      <c r="BU235" t="e">
        <f>AND('STERLING CATALOG - DRY '!E5283,"AAAAAH/zW0g=")</f>
        <v>#VALUE!</v>
      </c>
      <c r="BV235" t="e">
        <f>AND('STERLING CATALOG - DRY '!F5283,"AAAAAH/zW0k=")</f>
        <v>#VALUE!</v>
      </c>
      <c r="BW235" t="e">
        <f>AND('STERLING CATALOG - DRY '!G5283,"AAAAAH/zW0o=")</f>
        <v>#VALUE!</v>
      </c>
      <c r="BX235" t="e">
        <f>AND('STERLING CATALOG - DRY '!H5283,"AAAAAH/zW0s=")</f>
        <v>#VALUE!</v>
      </c>
      <c r="BY235" t="e">
        <f>AND('STERLING CATALOG - DRY '!I5283,"AAAAAH/zW0w=")</f>
        <v>#VALUE!</v>
      </c>
      <c r="BZ235" t="e">
        <f>AND('STERLING CATALOG - DRY '!J5283,"AAAAAH/zW00=")</f>
        <v>#VALUE!</v>
      </c>
      <c r="CA235">
        <f>IF('STERLING CATALOG - DRY '!5284:5284,"AAAAAH/zW04=",0)</f>
        <v>0</v>
      </c>
      <c r="CB235" t="e">
        <f>AND('STERLING CATALOG - DRY '!A5284,"AAAAAH/zW08=")</f>
        <v>#VALUE!</v>
      </c>
      <c r="CC235" t="e">
        <f>AND('STERLING CATALOG - DRY '!B5284,"AAAAAH/zW1A=")</f>
        <v>#VALUE!</v>
      </c>
      <c r="CD235" t="e">
        <f>AND('STERLING CATALOG - DRY '!C5284,"AAAAAH/zW1E=")</f>
        <v>#VALUE!</v>
      </c>
      <c r="CE235" t="e">
        <f>AND('STERLING CATALOG - DRY '!D5284,"AAAAAH/zW1I=")</f>
        <v>#VALUE!</v>
      </c>
      <c r="CF235" t="e">
        <f>AND('STERLING CATALOG - DRY '!E5284,"AAAAAH/zW1M=")</f>
        <v>#VALUE!</v>
      </c>
      <c r="CG235" t="e">
        <f>AND('STERLING CATALOG - DRY '!F5284,"AAAAAH/zW1Q=")</f>
        <v>#VALUE!</v>
      </c>
      <c r="CH235" t="e">
        <f>AND('STERLING CATALOG - DRY '!G5284,"AAAAAH/zW1U=")</f>
        <v>#VALUE!</v>
      </c>
      <c r="CI235" t="e">
        <f>AND('STERLING CATALOG - DRY '!H5284,"AAAAAH/zW1Y=")</f>
        <v>#VALUE!</v>
      </c>
      <c r="CJ235" t="e">
        <f>AND('STERLING CATALOG - DRY '!I5284,"AAAAAH/zW1c=")</f>
        <v>#VALUE!</v>
      </c>
      <c r="CK235" t="e">
        <f>AND('STERLING CATALOG - DRY '!J5284,"AAAAAH/zW1g=")</f>
        <v>#VALUE!</v>
      </c>
      <c r="CL235">
        <f>IF('STERLING CATALOG - DRY '!5285:5285,"AAAAAH/zW1k=",0)</f>
        <v>0</v>
      </c>
      <c r="CM235" t="e">
        <f>AND('STERLING CATALOG - DRY '!A5285,"AAAAAH/zW1o=")</f>
        <v>#VALUE!</v>
      </c>
      <c r="CN235" t="e">
        <f>AND('STERLING CATALOG - DRY '!B5285,"AAAAAH/zW1s=")</f>
        <v>#VALUE!</v>
      </c>
      <c r="CO235" t="e">
        <f>AND('STERLING CATALOG - DRY '!C5285,"AAAAAH/zW1w=")</f>
        <v>#VALUE!</v>
      </c>
      <c r="CP235" t="e">
        <f>AND('STERLING CATALOG - DRY '!D5285,"AAAAAH/zW10=")</f>
        <v>#VALUE!</v>
      </c>
      <c r="CQ235" t="e">
        <f>AND('STERLING CATALOG - DRY '!E5285,"AAAAAH/zW14=")</f>
        <v>#VALUE!</v>
      </c>
      <c r="CR235" t="e">
        <f>AND('STERLING CATALOG - DRY '!F5285,"AAAAAH/zW18=")</f>
        <v>#VALUE!</v>
      </c>
      <c r="CS235" t="e">
        <f>AND('STERLING CATALOG - DRY '!G5285,"AAAAAH/zW2A=")</f>
        <v>#VALUE!</v>
      </c>
      <c r="CT235" t="e">
        <f>AND('STERLING CATALOG - DRY '!H5285,"AAAAAH/zW2E=")</f>
        <v>#VALUE!</v>
      </c>
      <c r="CU235" t="e">
        <f>AND('STERLING CATALOG - DRY '!I5285,"AAAAAH/zW2I=")</f>
        <v>#VALUE!</v>
      </c>
      <c r="CV235" t="e">
        <f>AND('STERLING CATALOG - DRY '!J5285,"AAAAAH/zW2M=")</f>
        <v>#VALUE!</v>
      </c>
      <c r="CW235">
        <f>IF('STERLING CATALOG - DRY '!5286:5286,"AAAAAH/zW2Q=",0)</f>
        <v>0</v>
      </c>
      <c r="CX235" t="e">
        <f>AND('STERLING CATALOG - DRY '!A5286,"AAAAAH/zW2U=")</f>
        <v>#VALUE!</v>
      </c>
      <c r="CY235" t="e">
        <f>AND('STERLING CATALOG - DRY '!B5286,"AAAAAH/zW2Y=")</f>
        <v>#VALUE!</v>
      </c>
      <c r="CZ235" t="e">
        <f>AND('STERLING CATALOG - DRY '!C5286,"AAAAAH/zW2c=")</f>
        <v>#VALUE!</v>
      </c>
      <c r="DA235" t="e">
        <f>AND('STERLING CATALOG - DRY '!D5286,"AAAAAH/zW2g=")</f>
        <v>#VALUE!</v>
      </c>
      <c r="DB235" t="e">
        <f>AND('STERLING CATALOG - DRY '!E5286,"AAAAAH/zW2k=")</f>
        <v>#VALUE!</v>
      </c>
      <c r="DC235" t="e">
        <f>AND('STERLING CATALOG - DRY '!F5286,"AAAAAH/zW2o=")</f>
        <v>#VALUE!</v>
      </c>
      <c r="DD235" t="e">
        <f>AND('STERLING CATALOG - DRY '!G5286,"AAAAAH/zW2s=")</f>
        <v>#VALUE!</v>
      </c>
      <c r="DE235" t="e">
        <f>AND('STERLING CATALOG - DRY '!H5286,"AAAAAH/zW2w=")</f>
        <v>#VALUE!</v>
      </c>
      <c r="DF235" t="e">
        <f>AND('STERLING CATALOG - DRY '!I5286,"AAAAAH/zW20=")</f>
        <v>#VALUE!</v>
      </c>
      <c r="DG235" t="e">
        <f>AND('STERLING CATALOG - DRY '!J5286,"AAAAAH/zW24=")</f>
        <v>#VALUE!</v>
      </c>
      <c r="DH235">
        <f>IF('STERLING CATALOG - DRY '!5287:5287,"AAAAAH/zW28=",0)</f>
        <v>0</v>
      </c>
      <c r="DI235" t="e">
        <f>AND('STERLING CATALOG - DRY '!A5287,"AAAAAH/zW3A=")</f>
        <v>#VALUE!</v>
      </c>
      <c r="DJ235" t="e">
        <f>AND('STERLING CATALOG - DRY '!B5287,"AAAAAH/zW3E=")</f>
        <v>#VALUE!</v>
      </c>
      <c r="DK235" t="e">
        <f>AND('STERLING CATALOG - DRY '!C5287,"AAAAAH/zW3I=")</f>
        <v>#VALUE!</v>
      </c>
      <c r="DL235" t="e">
        <f>AND('STERLING CATALOG - DRY '!D5287,"AAAAAH/zW3M=")</f>
        <v>#VALUE!</v>
      </c>
      <c r="DM235" t="e">
        <f>AND('STERLING CATALOG - DRY '!E5287,"AAAAAH/zW3Q=")</f>
        <v>#VALUE!</v>
      </c>
      <c r="DN235" t="e">
        <f>AND('STERLING CATALOG - DRY '!F5287,"AAAAAH/zW3U=")</f>
        <v>#VALUE!</v>
      </c>
      <c r="DO235" t="e">
        <f>AND('STERLING CATALOG - DRY '!G5287,"AAAAAH/zW3Y=")</f>
        <v>#VALUE!</v>
      </c>
      <c r="DP235" t="e">
        <f>AND('STERLING CATALOG - DRY '!H5287,"AAAAAH/zW3c=")</f>
        <v>#VALUE!</v>
      </c>
      <c r="DQ235" t="e">
        <f>AND('STERLING CATALOG - DRY '!I5287,"AAAAAH/zW3g=")</f>
        <v>#VALUE!</v>
      </c>
      <c r="DR235" t="e">
        <f>AND('STERLING CATALOG - DRY '!J5287,"AAAAAH/zW3k=")</f>
        <v>#VALUE!</v>
      </c>
      <c r="DS235">
        <f>IF('STERLING CATALOG - DRY '!5288:5288,"AAAAAH/zW3o=",0)</f>
        <v>0</v>
      </c>
      <c r="DT235" t="e">
        <f>AND('STERLING CATALOG - DRY '!A5288,"AAAAAH/zW3s=")</f>
        <v>#VALUE!</v>
      </c>
      <c r="DU235" t="e">
        <f>AND('STERLING CATALOG - DRY '!B5288,"AAAAAH/zW3w=")</f>
        <v>#VALUE!</v>
      </c>
      <c r="DV235" t="e">
        <f>AND('STERLING CATALOG - DRY '!C5288,"AAAAAH/zW30=")</f>
        <v>#VALUE!</v>
      </c>
      <c r="DW235" t="e">
        <f>AND('STERLING CATALOG - DRY '!D5288,"AAAAAH/zW34=")</f>
        <v>#VALUE!</v>
      </c>
      <c r="DX235" t="e">
        <f>AND('STERLING CATALOG - DRY '!E5288,"AAAAAH/zW38=")</f>
        <v>#VALUE!</v>
      </c>
      <c r="DY235" t="e">
        <f>AND('STERLING CATALOG - DRY '!F5288,"AAAAAH/zW4A=")</f>
        <v>#VALUE!</v>
      </c>
      <c r="DZ235" t="e">
        <f>AND('STERLING CATALOG - DRY '!G5288,"AAAAAH/zW4E=")</f>
        <v>#VALUE!</v>
      </c>
      <c r="EA235" t="e">
        <f>AND('STERLING CATALOG - DRY '!H5288,"AAAAAH/zW4I=")</f>
        <v>#VALUE!</v>
      </c>
      <c r="EB235" t="e">
        <f>AND('STERLING CATALOG - DRY '!I5288,"AAAAAH/zW4M=")</f>
        <v>#VALUE!</v>
      </c>
      <c r="EC235" t="e">
        <f>AND('STERLING CATALOG - DRY '!J5288,"AAAAAH/zW4Q=")</f>
        <v>#VALUE!</v>
      </c>
      <c r="ED235">
        <f>IF('STERLING CATALOG - DRY '!5289:5289,"AAAAAH/zW4U=",0)</f>
        <v>0</v>
      </c>
      <c r="EE235" t="e">
        <f>AND('STERLING CATALOG - DRY '!A5289,"AAAAAH/zW4Y=")</f>
        <v>#VALUE!</v>
      </c>
      <c r="EF235" t="e">
        <f>AND('STERLING CATALOG - DRY '!B5289,"AAAAAH/zW4c=")</f>
        <v>#VALUE!</v>
      </c>
      <c r="EG235" t="e">
        <f>AND('STERLING CATALOG - DRY '!C5289,"AAAAAH/zW4g=")</f>
        <v>#VALUE!</v>
      </c>
      <c r="EH235" t="e">
        <f>AND('STERLING CATALOG - DRY '!D5289,"AAAAAH/zW4k=")</f>
        <v>#VALUE!</v>
      </c>
      <c r="EI235" t="e">
        <f>AND('STERLING CATALOG - DRY '!E5289,"AAAAAH/zW4o=")</f>
        <v>#VALUE!</v>
      </c>
      <c r="EJ235" t="e">
        <f>AND('STERLING CATALOG - DRY '!F5289,"AAAAAH/zW4s=")</f>
        <v>#VALUE!</v>
      </c>
      <c r="EK235" t="e">
        <f>AND('STERLING CATALOG - DRY '!G5289,"AAAAAH/zW4w=")</f>
        <v>#VALUE!</v>
      </c>
      <c r="EL235" t="e">
        <f>AND('STERLING CATALOG - DRY '!H5289,"AAAAAH/zW40=")</f>
        <v>#VALUE!</v>
      </c>
      <c r="EM235" t="e">
        <f>AND('STERLING CATALOG - DRY '!I5289,"AAAAAH/zW44=")</f>
        <v>#VALUE!</v>
      </c>
      <c r="EN235" t="e">
        <f>AND('STERLING CATALOG - DRY '!J5289,"AAAAAH/zW48=")</f>
        <v>#VALUE!</v>
      </c>
      <c r="EO235">
        <f>IF('STERLING CATALOG - DRY '!5290:5290,"AAAAAH/zW5A=",0)</f>
        <v>0</v>
      </c>
      <c r="EP235" t="e">
        <f>AND('STERLING CATALOG - DRY '!A5290,"AAAAAH/zW5E=")</f>
        <v>#VALUE!</v>
      </c>
      <c r="EQ235" t="e">
        <f>AND('STERLING CATALOG - DRY '!B5290,"AAAAAH/zW5I=")</f>
        <v>#VALUE!</v>
      </c>
      <c r="ER235" t="e">
        <f>AND('STERLING CATALOG - DRY '!C5290,"AAAAAH/zW5M=")</f>
        <v>#VALUE!</v>
      </c>
      <c r="ES235" t="e">
        <f>AND('STERLING CATALOG - DRY '!D5290,"AAAAAH/zW5Q=")</f>
        <v>#VALUE!</v>
      </c>
      <c r="ET235" t="e">
        <f>AND('STERLING CATALOG - DRY '!E5290,"AAAAAH/zW5U=")</f>
        <v>#VALUE!</v>
      </c>
      <c r="EU235" t="e">
        <f>AND('STERLING CATALOG - DRY '!F5290,"AAAAAH/zW5Y=")</f>
        <v>#VALUE!</v>
      </c>
      <c r="EV235" t="e">
        <f>AND('STERLING CATALOG - DRY '!G5290,"AAAAAH/zW5c=")</f>
        <v>#VALUE!</v>
      </c>
      <c r="EW235" t="e">
        <f>AND('STERLING CATALOG - DRY '!H5290,"AAAAAH/zW5g=")</f>
        <v>#VALUE!</v>
      </c>
      <c r="EX235" t="e">
        <f>AND('STERLING CATALOG - DRY '!I5290,"AAAAAH/zW5k=")</f>
        <v>#VALUE!</v>
      </c>
      <c r="EY235" t="e">
        <f>AND('STERLING CATALOG - DRY '!J5290,"AAAAAH/zW5o=")</f>
        <v>#VALUE!</v>
      </c>
      <c r="EZ235">
        <f>IF('STERLING CATALOG - DRY '!5291:5291,"AAAAAH/zW5s=",0)</f>
        <v>0</v>
      </c>
      <c r="FA235" t="e">
        <f>AND('STERLING CATALOG - DRY '!A5291,"AAAAAH/zW5w=")</f>
        <v>#VALUE!</v>
      </c>
      <c r="FB235" t="e">
        <f>AND('STERLING CATALOG - DRY '!B5291,"AAAAAH/zW50=")</f>
        <v>#VALUE!</v>
      </c>
      <c r="FC235" t="e">
        <f>AND('STERLING CATALOG - DRY '!C5291,"AAAAAH/zW54=")</f>
        <v>#VALUE!</v>
      </c>
      <c r="FD235" t="e">
        <f>AND('STERLING CATALOG - DRY '!D5291,"AAAAAH/zW58=")</f>
        <v>#VALUE!</v>
      </c>
      <c r="FE235" t="e">
        <f>AND('STERLING CATALOG - DRY '!E5291,"AAAAAH/zW6A=")</f>
        <v>#VALUE!</v>
      </c>
      <c r="FF235" t="e">
        <f>AND('STERLING CATALOG - DRY '!F5291,"AAAAAH/zW6E=")</f>
        <v>#VALUE!</v>
      </c>
      <c r="FG235" t="e">
        <f>AND('STERLING CATALOG - DRY '!G5291,"AAAAAH/zW6I=")</f>
        <v>#VALUE!</v>
      </c>
      <c r="FH235" t="e">
        <f>AND('STERLING CATALOG - DRY '!H5291,"AAAAAH/zW6M=")</f>
        <v>#VALUE!</v>
      </c>
      <c r="FI235" t="e">
        <f>AND('STERLING CATALOG - DRY '!I5291,"AAAAAH/zW6Q=")</f>
        <v>#VALUE!</v>
      </c>
      <c r="FJ235" t="e">
        <f>AND('STERLING CATALOG - DRY '!J5291,"AAAAAH/zW6U=")</f>
        <v>#VALUE!</v>
      </c>
      <c r="FK235">
        <f>IF('STERLING CATALOG - DRY '!5292:5292,"AAAAAH/zW6Y=",0)</f>
        <v>0</v>
      </c>
      <c r="FL235" t="e">
        <f>AND('STERLING CATALOG - DRY '!A5292,"AAAAAH/zW6c=")</f>
        <v>#VALUE!</v>
      </c>
      <c r="FM235" t="e">
        <f>AND('STERLING CATALOG - DRY '!B5292,"AAAAAH/zW6g=")</f>
        <v>#VALUE!</v>
      </c>
      <c r="FN235" t="e">
        <f>AND('STERLING CATALOG - DRY '!C5292,"AAAAAH/zW6k=")</f>
        <v>#VALUE!</v>
      </c>
      <c r="FO235" t="e">
        <f>AND('STERLING CATALOG - DRY '!D5292,"AAAAAH/zW6o=")</f>
        <v>#VALUE!</v>
      </c>
      <c r="FP235" t="e">
        <f>AND('STERLING CATALOG - DRY '!E5292,"AAAAAH/zW6s=")</f>
        <v>#VALUE!</v>
      </c>
      <c r="FQ235" t="e">
        <f>AND('STERLING CATALOG - DRY '!F5292,"AAAAAH/zW6w=")</f>
        <v>#VALUE!</v>
      </c>
      <c r="FR235" t="e">
        <f>AND('STERLING CATALOG - DRY '!G5292,"AAAAAH/zW60=")</f>
        <v>#VALUE!</v>
      </c>
      <c r="FS235" t="e">
        <f>AND('STERLING CATALOG - DRY '!H5292,"AAAAAH/zW64=")</f>
        <v>#VALUE!</v>
      </c>
      <c r="FT235" t="e">
        <f>AND('STERLING CATALOG - DRY '!I5292,"AAAAAH/zW68=")</f>
        <v>#VALUE!</v>
      </c>
      <c r="FU235" t="e">
        <f>AND('STERLING CATALOG - DRY '!J5292,"AAAAAH/zW7A=")</f>
        <v>#VALUE!</v>
      </c>
      <c r="FV235">
        <f>IF('STERLING CATALOG - DRY '!5293:5293,"AAAAAH/zW7E=",0)</f>
        <v>0</v>
      </c>
      <c r="FW235" t="e">
        <f>AND('STERLING CATALOG - DRY '!A5293,"AAAAAH/zW7I=")</f>
        <v>#VALUE!</v>
      </c>
      <c r="FX235" t="e">
        <f>AND('STERLING CATALOG - DRY '!B5293,"AAAAAH/zW7M=")</f>
        <v>#VALUE!</v>
      </c>
      <c r="FY235" t="e">
        <f>AND('STERLING CATALOG - DRY '!C5293,"AAAAAH/zW7Q=")</f>
        <v>#VALUE!</v>
      </c>
      <c r="FZ235" t="e">
        <f>AND('STERLING CATALOG - DRY '!D5293,"AAAAAH/zW7U=")</f>
        <v>#VALUE!</v>
      </c>
      <c r="GA235" t="e">
        <f>AND('STERLING CATALOG - DRY '!E5293,"AAAAAH/zW7Y=")</f>
        <v>#VALUE!</v>
      </c>
      <c r="GB235" t="e">
        <f>AND('STERLING CATALOG - DRY '!F5293,"AAAAAH/zW7c=")</f>
        <v>#VALUE!</v>
      </c>
      <c r="GC235" t="e">
        <f>AND('STERLING CATALOG - DRY '!G5293,"AAAAAH/zW7g=")</f>
        <v>#VALUE!</v>
      </c>
      <c r="GD235" t="e">
        <f>AND('STERLING CATALOG - DRY '!H5293,"AAAAAH/zW7k=")</f>
        <v>#VALUE!</v>
      </c>
      <c r="GE235" t="e">
        <f>AND('STERLING CATALOG - DRY '!I5293,"AAAAAH/zW7o=")</f>
        <v>#VALUE!</v>
      </c>
      <c r="GF235" t="e">
        <f>AND('STERLING CATALOG - DRY '!J5293,"AAAAAH/zW7s=")</f>
        <v>#VALUE!</v>
      </c>
      <c r="GG235">
        <f>IF('STERLING CATALOG - DRY '!5294:5294,"AAAAAH/zW7w=",0)</f>
        <v>0</v>
      </c>
      <c r="GH235" t="e">
        <f>AND('STERLING CATALOG - DRY '!A5294,"AAAAAH/zW70=")</f>
        <v>#VALUE!</v>
      </c>
      <c r="GI235" t="e">
        <f>AND('STERLING CATALOG - DRY '!B5294,"AAAAAH/zW74=")</f>
        <v>#VALUE!</v>
      </c>
      <c r="GJ235" t="e">
        <f>AND('STERLING CATALOG - DRY '!C5294,"AAAAAH/zW78=")</f>
        <v>#VALUE!</v>
      </c>
      <c r="GK235" t="e">
        <f>AND('STERLING CATALOG - DRY '!D5294,"AAAAAH/zW8A=")</f>
        <v>#VALUE!</v>
      </c>
      <c r="GL235" t="e">
        <f>AND('STERLING CATALOG - DRY '!E5294,"AAAAAH/zW8E=")</f>
        <v>#VALUE!</v>
      </c>
      <c r="GM235" t="e">
        <f>AND('STERLING CATALOG - DRY '!F5294,"AAAAAH/zW8I=")</f>
        <v>#VALUE!</v>
      </c>
      <c r="GN235" t="e">
        <f>AND('STERLING CATALOG - DRY '!G5294,"AAAAAH/zW8M=")</f>
        <v>#VALUE!</v>
      </c>
      <c r="GO235" t="e">
        <f>AND('STERLING CATALOG - DRY '!H5294,"AAAAAH/zW8Q=")</f>
        <v>#VALUE!</v>
      </c>
      <c r="GP235" t="e">
        <f>AND('STERLING CATALOG - DRY '!I5294,"AAAAAH/zW8U=")</f>
        <v>#VALUE!</v>
      </c>
      <c r="GQ235" t="e">
        <f>AND('STERLING CATALOG - DRY '!J5294,"AAAAAH/zW8Y=")</f>
        <v>#VALUE!</v>
      </c>
      <c r="GR235">
        <f>IF('STERLING CATALOG - DRY '!5295:5295,"AAAAAH/zW8c=",0)</f>
        <v>0</v>
      </c>
      <c r="GS235" t="e">
        <f>AND('STERLING CATALOG - DRY '!A5295,"AAAAAH/zW8g=")</f>
        <v>#VALUE!</v>
      </c>
      <c r="GT235" t="e">
        <f>AND('STERLING CATALOG - DRY '!B5295,"AAAAAH/zW8k=")</f>
        <v>#VALUE!</v>
      </c>
      <c r="GU235" t="e">
        <f>AND('STERLING CATALOG - DRY '!C5295,"AAAAAH/zW8o=")</f>
        <v>#VALUE!</v>
      </c>
      <c r="GV235" t="e">
        <f>AND('STERLING CATALOG - DRY '!D5295,"AAAAAH/zW8s=")</f>
        <v>#VALUE!</v>
      </c>
      <c r="GW235" t="e">
        <f>AND('STERLING CATALOG - DRY '!E5295,"AAAAAH/zW8w=")</f>
        <v>#VALUE!</v>
      </c>
      <c r="GX235" t="e">
        <f>AND('STERLING CATALOG - DRY '!F5295,"AAAAAH/zW80=")</f>
        <v>#VALUE!</v>
      </c>
      <c r="GY235" t="e">
        <f>AND('STERLING CATALOG - DRY '!G5295,"AAAAAH/zW84=")</f>
        <v>#VALUE!</v>
      </c>
      <c r="GZ235" t="e">
        <f>AND('STERLING CATALOG - DRY '!H5295,"AAAAAH/zW88=")</f>
        <v>#VALUE!</v>
      </c>
      <c r="HA235" t="e">
        <f>AND('STERLING CATALOG - DRY '!I5295,"AAAAAH/zW9A=")</f>
        <v>#VALUE!</v>
      </c>
      <c r="HB235" t="e">
        <f>AND('STERLING CATALOG - DRY '!J5295,"AAAAAH/zW9E=")</f>
        <v>#VALUE!</v>
      </c>
      <c r="HC235">
        <f>IF('STERLING CATALOG - DRY '!5296:5296,"AAAAAH/zW9I=",0)</f>
        <v>0</v>
      </c>
      <c r="HD235" t="e">
        <f>AND('STERLING CATALOG - DRY '!A5296,"AAAAAH/zW9M=")</f>
        <v>#VALUE!</v>
      </c>
      <c r="HE235" t="e">
        <f>AND('STERLING CATALOG - DRY '!B5296,"AAAAAH/zW9Q=")</f>
        <v>#VALUE!</v>
      </c>
      <c r="HF235" t="e">
        <f>AND('STERLING CATALOG - DRY '!C5296,"AAAAAH/zW9U=")</f>
        <v>#VALUE!</v>
      </c>
      <c r="HG235" t="e">
        <f>AND('STERLING CATALOG - DRY '!D5296,"AAAAAH/zW9Y=")</f>
        <v>#VALUE!</v>
      </c>
      <c r="HH235" t="e">
        <f>AND('STERLING CATALOG - DRY '!E5296,"AAAAAH/zW9c=")</f>
        <v>#VALUE!</v>
      </c>
      <c r="HI235" t="e">
        <f>AND('STERLING CATALOG - DRY '!F5296,"AAAAAH/zW9g=")</f>
        <v>#VALUE!</v>
      </c>
      <c r="HJ235" t="e">
        <f>AND('STERLING CATALOG - DRY '!G5296,"AAAAAH/zW9k=")</f>
        <v>#VALUE!</v>
      </c>
      <c r="HK235" t="e">
        <f>AND('STERLING CATALOG - DRY '!H5296,"AAAAAH/zW9o=")</f>
        <v>#VALUE!</v>
      </c>
      <c r="HL235" t="e">
        <f>AND('STERLING CATALOG - DRY '!I5296,"AAAAAH/zW9s=")</f>
        <v>#VALUE!</v>
      </c>
      <c r="HM235" t="e">
        <f>AND('STERLING CATALOG - DRY '!J5296,"AAAAAH/zW9w=")</f>
        <v>#VALUE!</v>
      </c>
      <c r="HN235">
        <f>IF('STERLING CATALOG - DRY '!5297:5297,"AAAAAH/zW90=",0)</f>
        <v>0</v>
      </c>
      <c r="HO235" t="e">
        <f>AND('STERLING CATALOG - DRY '!A5297,"AAAAAH/zW94=")</f>
        <v>#VALUE!</v>
      </c>
      <c r="HP235" t="e">
        <f>AND('STERLING CATALOG - DRY '!B5297,"AAAAAH/zW98=")</f>
        <v>#VALUE!</v>
      </c>
      <c r="HQ235" t="e">
        <f>AND('STERLING CATALOG - DRY '!C5297,"AAAAAH/zW+A=")</f>
        <v>#VALUE!</v>
      </c>
      <c r="HR235" t="e">
        <f>AND('STERLING CATALOG - DRY '!D5297,"AAAAAH/zW+E=")</f>
        <v>#VALUE!</v>
      </c>
      <c r="HS235" t="e">
        <f>AND('STERLING CATALOG - DRY '!E5297,"AAAAAH/zW+I=")</f>
        <v>#VALUE!</v>
      </c>
      <c r="HT235" t="e">
        <f>AND('STERLING CATALOG - DRY '!F5297,"AAAAAH/zW+M=")</f>
        <v>#VALUE!</v>
      </c>
      <c r="HU235" t="e">
        <f>AND('STERLING CATALOG - DRY '!G5297,"AAAAAH/zW+Q=")</f>
        <v>#VALUE!</v>
      </c>
      <c r="HV235" t="e">
        <f>AND('STERLING CATALOG - DRY '!H5297,"AAAAAH/zW+U=")</f>
        <v>#VALUE!</v>
      </c>
      <c r="HW235" t="e">
        <f>AND('STERLING CATALOG - DRY '!I5297,"AAAAAH/zW+Y=")</f>
        <v>#VALUE!</v>
      </c>
      <c r="HX235" t="e">
        <f>AND('STERLING CATALOG - DRY '!J5297,"AAAAAH/zW+c=")</f>
        <v>#VALUE!</v>
      </c>
      <c r="HY235">
        <f>IF('STERLING CATALOG - DRY '!5298:5298,"AAAAAH/zW+g=",0)</f>
        <v>0</v>
      </c>
      <c r="HZ235" t="e">
        <f>AND('STERLING CATALOG - DRY '!A5298,"AAAAAH/zW+k=")</f>
        <v>#VALUE!</v>
      </c>
      <c r="IA235" t="e">
        <f>AND('STERLING CATALOG - DRY '!B5298,"AAAAAH/zW+o=")</f>
        <v>#VALUE!</v>
      </c>
      <c r="IB235" t="e">
        <f>AND('STERLING CATALOG - DRY '!C5298,"AAAAAH/zW+s=")</f>
        <v>#VALUE!</v>
      </c>
      <c r="IC235" t="e">
        <f>AND('STERLING CATALOG - DRY '!D5298,"AAAAAH/zW+w=")</f>
        <v>#VALUE!</v>
      </c>
      <c r="ID235" t="e">
        <f>AND('STERLING CATALOG - DRY '!E5298,"AAAAAH/zW+0=")</f>
        <v>#VALUE!</v>
      </c>
      <c r="IE235" t="e">
        <f>AND('STERLING CATALOG - DRY '!F5298,"AAAAAH/zW+4=")</f>
        <v>#VALUE!</v>
      </c>
      <c r="IF235" t="e">
        <f>AND('STERLING CATALOG - DRY '!G5298,"AAAAAH/zW+8=")</f>
        <v>#VALUE!</v>
      </c>
      <c r="IG235" t="e">
        <f>AND('STERLING CATALOG - DRY '!H5298,"AAAAAH/zW/A=")</f>
        <v>#VALUE!</v>
      </c>
      <c r="IH235" t="e">
        <f>AND('STERLING CATALOG - DRY '!I5298,"AAAAAH/zW/E=")</f>
        <v>#VALUE!</v>
      </c>
      <c r="II235" t="e">
        <f>AND('STERLING CATALOG - DRY '!J5298,"AAAAAH/zW/I=")</f>
        <v>#VALUE!</v>
      </c>
      <c r="IJ235">
        <f>IF('STERLING CATALOG - DRY '!5299:5299,"AAAAAH/zW/M=",0)</f>
        <v>0</v>
      </c>
      <c r="IK235" t="e">
        <f>AND('STERLING CATALOG - DRY '!A5299,"AAAAAH/zW/Q=")</f>
        <v>#VALUE!</v>
      </c>
      <c r="IL235" t="e">
        <f>AND('STERLING CATALOG - DRY '!B5299,"AAAAAH/zW/U=")</f>
        <v>#VALUE!</v>
      </c>
      <c r="IM235" t="e">
        <f>AND('STERLING CATALOG - DRY '!C5299,"AAAAAH/zW/Y=")</f>
        <v>#VALUE!</v>
      </c>
      <c r="IN235" t="e">
        <f>AND('STERLING CATALOG - DRY '!D5299,"AAAAAH/zW/c=")</f>
        <v>#VALUE!</v>
      </c>
      <c r="IO235" t="e">
        <f>AND('STERLING CATALOG - DRY '!E5299,"AAAAAH/zW/g=")</f>
        <v>#VALUE!</v>
      </c>
      <c r="IP235" t="e">
        <f>AND('STERLING CATALOG - DRY '!F5299,"AAAAAH/zW/k=")</f>
        <v>#VALUE!</v>
      </c>
      <c r="IQ235" t="e">
        <f>AND('STERLING CATALOG - DRY '!G5299,"AAAAAH/zW/o=")</f>
        <v>#VALUE!</v>
      </c>
      <c r="IR235" t="e">
        <f>AND('STERLING CATALOG - DRY '!H5299,"AAAAAH/zW/s=")</f>
        <v>#VALUE!</v>
      </c>
      <c r="IS235" t="e">
        <f>AND('STERLING CATALOG - DRY '!I5299,"AAAAAH/zW/w=")</f>
        <v>#VALUE!</v>
      </c>
      <c r="IT235" t="e">
        <f>AND('STERLING CATALOG - DRY '!J5299,"AAAAAH/zW/0=")</f>
        <v>#VALUE!</v>
      </c>
      <c r="IU235">
        <f>IF('STERLING CATALOG - DRY '!5300:5300,"AAAAAH/zW/4=",0)</f>
        <v>0</v>
      </c>
      <c r="IV235" t="e">
        <f>AND('STERLING CATALOG - DRY '!A5300,"AAAAAH/zW/8=")</f>
        <v>#VALUE!</v>
      </c>
    </row>
    <row r="236" spans="1:256">
      <c r="A236" t="e">
        <f>AND('STERLING CATALOG - DRY '!B5300,"AAAAAHtr9gA=")</f>
        <v>#VALUE!</v>
      </c>
      <c r="B236" t="e">
        <f>AND('STERLING CATALOG - DRY '!C5300,"AAAAAHtr9gE=")</f>
        <v>#VALUE!</v>
      </c>
      <c r="C236" t="e">
        <f>AND('STERLING CATALOG - DRY '!D5300,"AAAAAHtr9gI=")</f>
        <v>#VALUE!</v>
      </c>
      <c r="D236" t="e">
        <f>AND('STERLING CATALOG - DRY '!E5300,"AAAAAHtr9gM=")</f>
        <v>#VALUE!</v>
      </c>
      <c r="E236" t="e">
        <f>AND('STERLING CATALOG - DRY '!F5300,"AAAAAHtr9gQ=")</f>
        <v>#VALUE!</v>
      </c>
      <c r="F236" t="e">
        <f>AND('STERLING CATALOG - DRY '!G5300,"AAAAAHtr9gU=")</f>
        <v>#VALUE!</v>
      </c>
      <c r="G236" t="e">
        <f>AND('STERLING CATALOG - DRY '!H5300,"AAAAAHtr9gY=")</f>
        <v>#VALUE!</v>
      </c>
      <c r="H236" t="e">
        <f>AND('STERLING CATALOG - DRY '!I5300,"AAAAAHtr9gc=")</f>
        <v>#VALUE!</v>
      </c>
      <c r="I236" t="e">
        <f>AND('STERLING CATALOG - DRY '!J5300,"AAAAAHtr9gg=")</f>
        <v>#VALUE!</v>
      </c>
      <c r="J236" t="e">
        <f>IF('STERLING CATALOG - DRY '!5301:5301,"AAAAAHtr9gk=",0)</f>
        <v>#VALUE!</v>
      </c>
      <c r="K236" t="e">
        <f>AND('STERLING CATALOG - DRY '!A5301,"AAAAAHtr9go=")</f>
        <v>#VALUE!</v>
      </c>
      <c r="L236" t="e">
        <f>AND('STERLING CATALOG - DRY '!B5301,"AAAAAHtr9gs=")</f>
        <v>#VALUE!</v>
      </c>
      <c r="M236" t="e">
        <f>AND('STERLING CATALOG - DRY '!C5301,"AAAAAHtr9gw=")</f>
        <v>#VALUE!</v>
      </c>
      <c r="N236" t="e">
        <f>AND('STERLING CATALOG - DRY '!D5301,"AAAAAHtr9g0=")</f>
        <v>#VALUE!</v>
      </c>
      <c r="O236" t="e">
        <f>AND('STERLING CATALOG - DRY '!E5301,"AAAAAHtr9g4=")</f>
        <v>#VALUE!</v>
      </c>
      <c r="P236" t="e">
        <f>AND('STERLING CATALOG - DRY '!F5301,"AAAAAHtr9g8=")</f>
        <v>#VALUE!</v>
      </c>
      <c r="Q236" t="e">
        <f>AND('STERLING CATALOG - DRY '!G5301,"AAAAAHtr9hA=")</f>
        <v>#VALUE!</v>
      </c>
      <c r="R236" t="e">
        <f>AND('STERLING CATALOG - DRY '!H5301,"AAAAAHtr9hE=")</f>
        <v>#VALUE!</v>
      </c>
      <c r="S236" t="e">
        <f>AND('STERLING CATALOG - DRY '!I5301,"AAAAAHtr9hI=")</f>
        <v>#VALUE!</v>
      </c>
      <c r="T236" t="e">
        <f>AND('STERLING CATALOG - DRY '!J5301,"AAAAAHtr9hM=")</f>
        <v>#VALUE!</v>
      </c>
      <c r="U236">
        <f>IF('STERLING CATALOG - DRY '!5302:5302,"AAAAAHtr9hQ=",0)</f>
        <v>0</v>
      </c>
      <c r="V236" t="e">
        <f>AND('STERLING CATALOG - DRY '!A5302,"AAAAAHtr9hU=")</f>
        <v>#VALUE!</v>
      </c>
      <c r="W236" t="e">
        <f>AND('STERLING CATALOG - DRY '!B5302,"AAAAAHtr9hY=")</f>
        <v>#VALUE!</v>
      </c>
      <c r="X236" t="e">
        <f>AND('STERLING CATALOG - DRY '!C5302,"AAAAAHtr9hc=")</f>
        <v>#VALUE!</v>
      </c>
      <c r="Y236" t="e">
        <f>AND('STERLING CATALOG - DRY '!D5302,"AAAAAHtr9hg=")</f>
        <v>#VALUE!</v>
      </c>
      <c r="Z236" t="e">
        <f>AND('STERLING CATALOG - DRY '!E5302,"AAAAAHtr9hk=")</f>
        <v>#VALUE!</v>
      </c>
      <c r="AA236" t="e">
        <f>AND('STERLING CATALOG - DRY '!F5302,"AAAAAHtr9ho=")</f>
        <v>#VALUE!</v>
      </c>
      <c r="AB236" t="e">
        <f>AND('STERLING CATALOG - DRY '!G5302,"AAAAAHtr9hs=")</f>
        <v>#VALUE!</v>
      </c>
      <c r="AC236" t="e">
        <f>AND('STERLING CATALOG - DRY '!H5302,"AAAAAHtr9hw=")</f>
        <v>#VALUE!</v>
      </c>
      <c r="AD236" t="e">
        <f>AND('STERLING CATALOG - DRY '!I5302,"AAAAAHtr9h0=")</f>
        <v>#VALUE!</v>
      </c>
      <c r="AE236" t="e">
        <f>AND('STERLING CATALOG - DRY '!J5302,"AAAAAHtr9h4=")</f>
        <v>#VALUE!</v>
      </c>
      <c r="AF236">
        <f>IF('STERLING CATALOG - DRY '!5303:5303,"AAAAAHtr9h8=",0)</f>
        <v>0</v>
      </c>
      <c r="AG236" t="e">
        <f>AND('STERLING CATALOG - DRY '!A5303,"AAAAAHtr9iA=")</f>
        <v>#VALUE!</v>
      </c>
      <c r="AH236" t="e">
        <f>AND('STERLING CATALOG - DRY '!B5303,"AAAAAHtr9iE=")</f>
        <v>#VALUE!</v>
      </c>
      <c r="AI236" t="e">
        <f>AND('STERLING CATALOG - DRY '!C5303,"AAAAAHtr9iI=")</f>
        <v>#VALUE!</v>
      </c>
      <c r="AJ236" t="e">
        <f>AND('STERLING CATALOG - DRY '!D5303,"AAAAAHtr9iM=")</f>
        <v>#VALUE!</v>
      </c>
      <c r="AK236" t="e">
        <f>AND('STERLING CATALOG - DRY '!E5303,"AAAAAHtr9iQ=")</f>
        <v>#VALUE!</v>
      </c>
      <c r="AL236" t="e">
        <f>AND('STERLING CATALOG - DRY '!F5303,"AAAAAHtr9iU=")</f>
        <v>#VALUE!</v>
      </c>
      <c r="AM236" t="e">
        <f>AND('STERLING CATALOG - DRY '!G5303,"AAAAAHtr9iY=")</f>
        <v>#VALUE!</v>
      </c>
      <c r="AN236" t="e">
        <f>AND('STERLING CATALOG - DRY '!H5303,"AAAAAHtr9ic=")</f>
        <v>#VALUE!</v>
      </c>
      <c r="AO236" t="e">
        <f>AND('STERLING CATALOG - DRY '!I5303,"AAAAAHtr9ig=")</f>
        <v>#VALUE!</v>
      </c>
      <c r="AP236" t="e">
        <f>AND('STERLING CATALOG - DRY '!J5303,"AAAAAHtr9ik=")</f>
        <v>#VALUE!</v>
      </c>
      <c r="AQ236">
        <f>IF('STERLING CATALOG - DRY '!5304:5304,"AAAAAHtr9io=",0)</f>
        <v>0</v>
      </c>
      <c r="AR236" t="e">
        <f>AND('STERLING CATALOG - DRY '!A5304,"AAAAAHtr9is=")</f>
        <v>#VALUE!</v>
      </c>
      <c r="AS236" t="e">
        <f>AND('STERLING CATALOG - DRY '!B5304,"AAAAAHtr9iw=")</f>
        <v>#VALUE!</v>
      </c>
      <c r="AT236" t="e">
        <f>AND('STERLING CATALOG - DRY '!C5304,"AAAAAHtr9i0=")</f>
        <v>#VALUE!</v>
      </c>
      <c r="AU236" t="e">
        <f>AND('STERLING CATALOG - DRY '!D5304,"AAAAAHtr9i4=")</f>
        <v>#VALUE!</v>
      </c>
      <c r="AV236" t="e">
        <f>AND('STERLING CATALOG - DRY '!E5304,"AAAAAHtr9i8=")</f>
        <v>#VALUE!</v>
      </c>
      <c r="AW236" t="e">
        <f>AND('STERLING CATALOG - DRY '!F5304,"AAAAAHtr9jA=")</f>
        <v>#VALUE!</v>
      </c>
      <c r="AX236" t="e">
        <f>AND('STERLING CATALOG - DRY '!G5304,"AAAAAHtr9jE=")</f>
        <v>#VALUE!</v>
      </c>
      <c r="AY236" t="e">
        <f>AND('STERLING CATALOG - DRY '!H5304,"AAAAAHtr9jI=")</f>
        <v>#VALUE!</v>
      </c>
      <c r="AZ236" t="e">
        <f>AND('STERLING CATALOG - DRY '!I5304,"AAAAAHtr9jM=")</f>
        <v>#VALUE!</v>
      </c>
      <c r="BA236" t="e">
        <f>AND('STERLING CATALOG - DRY '!J5304,"AAAAAHtr9jQ=")</f>
        <v>#VALUE!</v>
      </c>
      <c r="BB236">
        <f>IF('STERLING CATALOG - DRY '!5305:5305,"AAAAAHtr9jU=",0)</f>
        <v>0</v>
      </c>
      <c r="BC236" t="e">
        <f>AND('STERLING CATALOG - DRY '!A5305,"AAAAAHtr9jY=")</f>
        <v>#VALUE!</v>
      </c>
      <c r="BD236" t="e">
        <f>AND('STERLING CATALOG - DRY '!B5305,"AAAAAHtr9jc=")</f>
        <v>#VALUE!</v>
      </c>
      <c r="BE236" t="e">
        <f>AND('STERLING CATALOG - DRY '!C5305,"AAAAAHtr9jg=")</f>
        <v>#VALUE!</v>
      </c>
      <c r="BF236" t="e">
        <f>AND('STERLING CATALOG - DRY '!D5305,"AAAAAHtr9jk=")</f>
        <v>#VALUE!</v>
      </c>
      <c r="BG236" t="e">
        <f>AND('STERLING CATALOG - DRY '!E5305,"AAAAAHtr9jo=")</f>
        <v>#VALUE!</v>
      </c>
      <c r="BH236" t="e">
        <f>AND('STERLING CATALOG - DRY '!F5305,"AAAAAHtr9js=")</f>
        <v>#VALUE!</v>
      </c>
      <c r="BI236" t="e">
        <f>AND('STERLING CATALOG - DRY '!G5305,"AAAAAHtr9jw=")</f>
        <v>#VALUE!</v>
      </c>
      <c r="BJ236" t="e">
        <f>AND('STERLING CATALOG - DRY '!H5305,"AAAAAHtr9j0=")</f>
        <v>#VALUE!</v>
      </c>
      <c r="BK236" t="e">
        <f>AND('STERLING CATALOG - DRY '!I5305,"AAAAAHtr9j4=")</f>
        <v>#VALUE!</v>
      </c>
      <c r="BL236" t="e">
        <f>AND('STERLING CATALOG - DRY '!J5305,"AAAAAHtr9j8=")</f>
        <v>#VALUE!</v>
      </c>
      <c r="BM236">
        <f>IF('STERLING CATALOG - DRY '!5306:5306,"AAAAAHtr9kA=",0)</f>
        <v>0</v>
      </c>
      <c r="BN236" t="e">
        <f>AND('STERLING CATALOG - DRY '!A5306,"AAAAAHtr9kE=")</f>
        <v>#VALUE!</v>
      </c>
      <c r="BO236" t="e">
        <f>AND('STERLING CATALOG - DRY '!B5306,"AAAAAHtr9kI=")</f>
        <v>#VALUE!</v>
      </c>
      <c r="BP236" t="e">
        <f>AND('STERLING CATALOG - DRY '!C5306,"AAAAAHtr9kM=")</f>
        <v>#VALUE!</v>
      </c>
      <c r="BQ236" t="e">
        <f>AND('STERLING CATALOG - DRY '!D5306,"AAAAAHtr9kQ=")</f>
        <v>#VALUE!</v>
      </c>
      <c r="BR236" t="e">
        <f>AND('STERLING CATALOG - DRY '!E5306,"AAAAAHtr9kU=")</f>
        <v>#VALUE!</v>
      </c>
      <c r="BS236" t="e">
        <f>AND('STERLING CATALOG - DRY '!F5306,"AAAAAHtr9kY=")</f>
        <v>#VALUE!</v>
      </c>
      <c r="BT236" t="e">
        <f>AND('STERLING CATALOG - DRY '!G5306,"AAAAAHtr9kc=")</f>
        <v>#VALUE!</v>
      </c>
      <c r="BU236" t="e">
        <f>AND('STERLING CATALOG - DRY '!H5306,"AAAAAHtr9kg=")</f>
        <v>#VALUE!</v>
      </c>
      <c r="BV236" t="e">
        <f>AND('STERLING CATALOG - DRY '!I5306,"AAAAAHtr9kk=")</f>
        <v>#VALUE!</v>
      </c>
      <c r="BW236" t="e">
        <f>AND('STERLING CATALOG - DRY '!J5306,"AAAAAHtr9ko=")</f>
        <v>#VALUE!</v>
      </c>
      <c r="BX236">
        <f>IF('STERLING CATALOG - DRY '!5307:5307,"AAAAAHtr9ks=",0)</f>
        <v>0</v>
      </c>
      <c r="BY236" t="e">
        <f>AND('STERLING CATALOG - DRY '!A5307,"AAAAAHtr9kw=")</f>
        <v>#VALUE!</v>
      </c>
      <c r="BZ236" t="e">
        <f>AND('STERLING CATALOG - DRY '!B5307,"AAAAAHtr9k0=")</f>
        <v>#VALUE!</v>
      </c>
      <c r="CA236" t="e">
        <f>AND('STERLING CATALOG - DRY '!C5307,"AAAAAHtr9k4=")</f>
        <v>#VALUE!</v>
      </c>
      <c r="CB236" t="e">
        <f>AND('STERLING CATALOG - DRY '!D5307,"AAAAAHtr9k8=")</f>
        <v>#VALUE!</v>
      </c>
      <c r="CC236" t="e">
        <f>AND('STERLING CATALOG - DRY '!E5307,"AAAAAHtr9lA=")</f>
        <v>#VALUE!</v>
      </c>
      <c r="CD236" t="e">
        <f>AND('STERLING CATALOG - DRY '!F5307,"AAAAAHtr9lE=")</f>
        <v>#VALUE!</v>
      </c>
      <c r="CE236" t="e">
        <f>AND('STERLING CATALOG - DRY '!G5307,"AAAAAHtr9lI=")</f>
        <v>#VALUE!</v>
      </c>
      <c r="CF236" t="e">
        <f>AND('STERLING CATALOG - DRY '!H5307,"AAAAAHtr9lM=")</f>
        <v>#VALUE!</v>
      </c>
      <c r="CG236" t="e">
        <f>AND('STERLING CATALOG - DRY '!I5307,"AAAAAHtr9lQ=")</f>
        <v>#VALUE!</v>
      </c>
      <c r="CH236" t="e">
        <f>AND('STERLING CATALOG - DRY '!J5307,"AAAAAHtr9lU=")</f>
        <v>#VALUE!</v>
      </c>
      <c r="CI236">
        <f>IF('STERLING CATALOG - DRY '!5308:5308,"AAAAAHtr9lY=",0)</f>
        <v>0</v>
      </c>
      <c r="CJ236" t="e">
        <f>AND('STERLING CATALOG - DRY '!A5308,"AAAAAHtr9lc=")</f>
        <v>#VALUE!</v>
      </c>
      <c r="CK236" t="e">
        <f>AND('STERLING CATALOG - DRY '!B5308,"AAAAAHtr9lg=")</f>
        <v>#VALUE!</v>
      </c>
      <c r="CL236" t="e">
        <f>AND('STERLING CATALOG - DRY '!C5308,"AAAAAHtr9lk=")</f>
        <v>#VALUE!</v>
      </c>
      <c r="CM236" t="e">
        <f>AND('STERLING CATALOG - DRY '!D5308,"AAAAAHtr9lo=")</f>
        <v>#VALUE!</v>
      </c>
      <c r="CN236" t="e">
        <f>AND('STERLING CATALOG - DRY '!E5308,"AAAAAHtr9ls=")</f>
        <v>#VALUE!</v>
      </c>
      <c r="CO236" t="e">
        <f>AND('STERLING CATALOG - DRY '!F5308,"AAAAAHtr9lw=")</f>
        <v>#VALUE!</v>
      </c>
      <c r="CP236" t="e">
        <f>AND('STERLING CATALOG - DRY '!G5308,"AAAAAHtr9l0=")</f>
        <v>#VALUE!</v>
      </c>
      <c r="CQ236" t="e">
        <f>AND('STERLING CATALOG - DRY '!H5308,"AAAAAHtr9l4=")</f>
        <v>#VALUE!</v>
      </c>
      <c r="CR236" t="e">
        <f>AND('STERLING CATALOG - DRY '!I5308,"AAAAAHtr9l8=")</f>
        <v>#VALUE!</v>
      </c>
      <c r="CS236" t="e">
        <f>AND('STERLING CATALOG - DRY '!J5308,"AAAAAHtr9mA=")</f>
        <v>#VALUE!</v>
      </c>
      <c r="CT236">
        <f>IF('STERLING CATALOG - DRY '!5309:5309,"AAAAAHtr9mE=",0)</f>
        <v>0</v>
      </c>
      <c r="CU236" t="e">
        <f>AND('STERLING CATALOG - DRY '!A5309,"AAAAAHtr9mI=")</f>
        <v>#VALUE!</v>
      </c>
      <c r="CV236" t="e">
        <f>AND('STERLING CATALOG - DRY '!B5309,"AAAAAHtr9mM=")</f>
        <v>#VALUE!</v>
      </c>
      <c r="CW236" t="e">
        <f>AND('STERLING CATALOG - DRY '!C5309,"AAAAAHtr9mQ=")</f>
        <v>#VALUE!</v>
      </c>
      <c r="CX236" t="e">
        <f>AND('STERLING CATALOG - DRY '!D5309,"AAAAAHtr9mU=")</f>
        <v>#VALUE!</v>
      </c>
      <c r="CY236" t="e">
        <f>AND('STERLING CATALOG - DRY '!E5309,"AAAAAHtr9mY=")</f>
        <v>#VALUE!</v>
      </c>
      <c r="CZ236" t="e">
        <f>AND('STERLING CATALOG - DRY '!F5309,"AAAAAHtr9mc=")</f>
        <v>#VALUE!</v>
      </c>
      <c r="DA236" t="e">
        <f>AND('STERLING CATALOG - DRY '!G5309,"AAAAAHtr9mg=")</f>
        <v>#VALUE!</v>
      </c>
      <c r="DB236" t="e">
        <f>AND('STERLING CATALOG - DRY '!H5309,"AAAAAHtr9mk=")</f>
        <v>#VALUE!</v>
      </c>
      <c r="DC236" t="e">
        <f>AND('STERLING CATALOG - DRY '!I5309,"AAAAAHtr9mo=")</f>
        <v>#VALUE!</v>
      </c>
      <c r="DD236" t="e">
        <f>AND('STERLING CATALOG - DRY '!J5309,"AAAAAHtr9ms=")</f>
        <v>#VALUE!</v>
      </c>
      <c r="DE236">
        <f>IF('STERLING CATALOG - DRY '!5310:5310,"AAAAAHtr9mw=",0)</f>
        <v>0</v>
      </c>
      <c r="DF236" t="e">
        <f>AND('STERLING CATALOG - DRY '!A5310,"AAAAAHtr9m0=")</f>
        <v>#VALUE!</v>
      </c>
      <c r="DG236" t="e">
        <f>AND('STERLING CATALOG - DRY '!B5310,"AAAAAHtr9m4=")</f>
        <v>#VALUE!</v>
      </c>
      <c r="DH236" t="e">
        <f>AND('STERLING CATALOG - DRY '!C5310,"AAAAAHtr9m8=")</f>
        <v>#VALUE!</v>
      </c>
      <c r="DI236" t="e">
        <f>AND('STERLING CATALOG - DRY '!D5310,"AAAAAHtr9nA=")</f>
        <v>#VALUE!</v>
      </c>
      <c r="DJ236" t="e">
        <f>AND('STERLING CATALOG - DRY '!E5310,"AAAAAHtr9nE=")</f>
        <v>#VALUE!</v>
      </c>
      <c r="DK236" t="e">
        <f>AND('STERLING CATALOG - DRY '!F5310,"AAAAAHtr9nI=")</f>
        <v>#VALUE!</v>
      </c>
      <c r="DL236" t="e">
        <f>AND('STERLING CATALOG - DRY '!G5310,"AAAAAHtr9nM=")</f>
        <v>#VALUE!</v>
      </c>
      <c r="DM236" t="e">
        <f>AND('STERLING CATALOG - DRY '!H5310,"AAAAAHtr9nQ=")</f>
        <v>#VALUE!</v>
      </c>
      <c r="DN236" t="e">
        <f>AND('STERLING CATALOG - DRY '!I5310,"AAAAAHtr9nU=")</f>
        <v>#VALUE!</v>
      </c>
      <c r="DO236" t="e">
        <f>AND('STERLING CATALOG - DRY '!J5310,"AAAAAHtr9nY=")</f>
        <v>#VALUE!</v>
      </c>
      <c r="DP236">
        <f>IF('STERLING CATALOG - DRY '!5311:5311,"AAAAAHtr9nc=",0)</f>
        <v>0</v>
      </c>
      <c r="DQ236" t="e">
        <f>AND('STERLING CATALOG - DRY '!A5311,"AAAAAHtr9ng=")</f>
        <v>#VALUE!</v>
      </c>
      <c r="DR236" t="e">
        <f>AND('STERLING CATALOG - DRY '!B5311,"AAAAAHtr9nk=")</f>
        <v>#VALUE!</v>
      </c>
      <c r="DS236" t="e">
        <f>AND('STERLING CATALOG - DRY '!C5311,"AAAAAHtr9no=")</f>
        <v>#VALUE!</v>
      </c>
      <c r="DT236" t="e">
        <f>AND('STERLING CATALOG - DRY '!D5311,"AAAAAHtr9ns=")</f>
        <v>#VALUE!</v>
      </c>
      <c r="DU236" t="e">
        <f>AND('STERLING CATALOG - DRY '!E5311,"AAAAAHtr9nw=")</f>
        <v>#VALUE!</v>
      </c>
      <c r="DV236" t="e">
        <f>AND('STERLING CATALOG - DRY '!F5311,"AAAAAHtr9n0=")</f>
        <v>#VALUE!</v>
      </c>
      <c r="DW236" t="e">
        <f>AND('STERLING CATALOG - DRY '!G5311,"AAAAAHtr9n4=")</f>
        <v>#VALUE!</v>
      </c>
      <c r="DX236" t="e">
        <f>AND('STERLING CATALOG - DRY '!H5311,"AAAAAHtr9n8=")</f>
        <v>#VALUE!</v>
      </c>
      <c r="DY236" t="e">
        <f>AND('STERLING CATALOG - DRY '!I5311,"AAAAAHtr9oA=")</f>
        <v>#VALUE!</v>
      </c>
      <c r="DZ236" t="e">
        <f>AND('STERLING CATALOG - DRY '!J5311,"AAAAAHtr9oE=")</f>
        <v>#VALUE!</v>
      </c>
      <c r="EA236">
        <f>IF('STERLING CATALOG - DRY '!5312:5312,"AAAAAHtr9oI=",0)</f>
        <v>0</v>
      </c>
      <c r="EB236" t="e">
        <f>AND('STERLING CATALOG - DRY '!A5312,"AAAAAHtr9oM=")</f>
        <v>#VALUE!</v>
      </c>
      <c r="EC236" t="e">
        <f>AND('STERLING CATALOG - DRY '!B5312,"AAAAAHtr9oQ=")</f>
        <v>#VALUE!</v>
      </c>
      <c r="ED236" t="e">
        <f>AND('STERLING CATALOG - DRY '!C5312,"AAAAAHtr9oU=")</f>
        <v>#VALUE!</v>
      </c>
      <c r="EE236" t="e">
        <f>AND('STERLING CATALOG - DRY '!D5312,"AAAAAHtr9oY=")</f>
        <v>#VALUE!</v>
      </c>
      <c r="EF236" t="e">
        <f>AND('STERLING CATALOG - DRY '!E5312,"AAAAAHtr9oc=")</f>
        <v>#VALUE!</v>
      </c>
      <c r="EG236" t="e">
        <f>AND('STERLING CATALOG - DRY '!F5312,"AAAAAHtr9og=")</f>
        <v>#VALUE!</v>
      </c>
      <c r="EH236" t="e">
        <f>AND('STERLING CATALOG - DRY '!G5312,"AAAAAHtr9ok=")</f>
        <v>#VALUE!</v>
      </c>
      <c r="EI236" t="e">
        <f>AND('STERLING CATALOG - DRY '!H5312,"AAAAAHtr9oo=")</f>
        <v>#VALUE!</v>
      </c>
      <c r="EJ236" t="e">
        <f>AND('STERLING CATALOG - DRY '!I5312,"AAAAAHtr9os=")</f>
        <v>#VALUE!</v>
      </c>
      <c r="EK236" t="e">
        <f>AND('STERLING CATALOG - DRY '!J5312,"AAAAAHtr9ow=")</f>
        <v>#VALUE!</v>
      </c>
      <c r="EL236">
        <f>IF('STERLING CATALOG - DRY '!5313:5313,"AAAAAHtr9o0=",0)</f>
        <v>0</v>
      </c>
      <c r="EM236" t="e">
        <f>AND('STERLING CATALOG - DRY '!A5313,"AAAAAHtr9o4=")</f>
        <v>#VALUE!</v>
      </c>
      <c r="EN236" t="e">
        <f>AND('STERLING CATALOG - DRY '!B5313,"AAAAAHtr9o8=")</f>
        <v>#VALUE!</v>
      </c>
      <c r="EO236" t="e">
        <f>AND('STERLING CATALOG - DRY '!C5313,"AAAAAHtr9pA=")</f>
        <v>#VALUE!</v>
      </c>
      <c r="EP236" t="e">
        <f>AND('STERLING CATALOG - DRY '!D5313,"AAAAAHtr9pE=")</f>
        <v>#VALUE!</v>
      </c>
      <c r="EQ236" t="e">
        <f>AND('STERLING CATALOG - DRY '!E5313,"AAAAAHtr9pI=")</f>
        <v>#VALUE!</v>
      </c>
      <c r="ER236" t="e">
        <f>AND('STERLING CATALOG - DRY '!F5313,"AAAAAHtr9pM=")</f>
        <v>#VALUE!</v>
      </c>
      <c r="ES236" t="e">
        <f>AND('STERLING CATALOG - DRY '!G5313,"AAAAAHtr9pQ=")</f>
        <v>#VALUE!</v>
      </c>
      <c r="ET236" t="e">
        <f>AND('STERLING CATALOG - DRY '!H5313,"AAAAAHtr9pU=")</f>
        <v>#VALUE!</v>
      </c>
      <c r="EU236" t="e">
        <f>AND('STERLING CATALOG - DRY '!I5313,"AAAAAHtr9pY=")</f>
        <v>#VALUE!</v>
      </c>
      <c r="EV236" t="e">
        <f>AND('STERLING CATALOG - DRY '!J5313,"AAAAAHtr9pc=")</f>
        <v>#VALUE!</v>
      </c>
      <c r="EW236">
        <f>IF('STERLING CATALOG - DRY '!5314:5314,"AAAAAHtr9pg=",0)</f>
        <v>0</v>
      </c>
      <c r="EX236" t="e">
        <f>AND('STERLING CATALOG - DRY '!A5314,"AAAAAHtr9pk=")</f>
        <v>#VALUE!</v>
      </c>
      <c r="EY236" t="e">
        <f>AND('STERLING CATALOG - DRY '!B5314,"AAAAAHtr9po=")</f>
        <v>#VALUE!</v>
      </c>
      <c r="EZ236" t="e">
        <f>AND('STERLING CATALOG - DRY '!C5314,"AAAAAHtr9ps=")</f>
        <v>#VALUE!</v>
      </c>
      <c r="FA236" t="e">
        <f>AND('STERLING CATALOG - DRY '!D5314,"AAAAAHtr9pw=")</f>
        <v>#VALUE!</v>
      </c>
      <c r="FB236" t="e">
        <f>AND('STERLING CATALOG - DRY '!E5314,"AAAAAHtr9p0=")</f>
        <v>#VALUE!</v>
      </c>
      <c r="FC236" t="e">
        <f>AND('STERLING CATALOG - DRY '!F5314,"AAAAAHtr9p4=")</f>
        <v>#VALUE!</v>
      </c>
      <c r="FD236" t="e">
        <f>AND('STERLING CATALOG - DRY '!G5314,"AAAAAHtr9p8=")</f>
        <v>#VALUE!</v>
      </c>
      <c r="FE236" t="e">
        <f>AND('STERLING CATALOG - DRY '!H5314,"AAAAAHtr9qA=")</f>
        <v>#VALUE!</v>
      </c>
      <c r="FF236" t="e">
        <f>AND('STERLING CATALOG - DRY '!I5314,"AAAAAHtr9qE=")</f>
        <v>#VALUE!</v>
      </c>
      <c r="FG236" t="e">
        <f>AND('STERLING CATALOG - DRY '!J5314,"AAAAAHtr9qI=")</f>
        <v>#VALUE!</v>
      </c>
      <c r="FH236">
        <f>IF('STERLING CATALOG - DRY '!5315:5315,"AAAAAHtr9qM=",0)</f>
        <v>0</v>
      </c>
      <c r="FI236" t="e">
        <f>AND('STERLING CATALOG - DRY '!A5315,"AAAAAHtr9qQ=")</f>
        <v>#VALUE!</v>
      </c>
      <c r="FJ236" t="e">
        <f>AND('STERLING CATALOG - DRY '!B5315,"AAAAAHtr9qU=")</f>
        <v>#VALUE!</v>
      </c>
      <c r="FK236" t="e">
        <f>AND('STERLING CATALOG - DRY '!C5315,"AAAAAHtr9qY=")</f>
        <v>#VALUE!</v>
      </c>
      <c r="FL236" t="e">
        <f>AND('STERLING CATALOG - DRY '!D5315,"AAAAAHtr9qc=")</f>
        <v>#VALUE!</v>
      </c>
      <c r="FM236" t="e">
        <f>AND('STERLING CATALOG - DRY '!E5315,"AAAAAHtr9qg=")</f>
        <v>#VALUE!</v>
      </c>
      <c r="FN236" t="e">
        <f>AND('STERLING CATALOG - DRY '!F5315,"AAAAAHtr9qk=")</f>
        <v>#VALUE!</v>
      </c>
      <c r="FO236" t="e">
        <f>AND('STERLING CATALOG - DRY '!G5315,"AAAAAHtr9qo=")</f>
        <v>#VALUE!</v>
      </c>
      <c r="FP236" t="e">
        <f>AND('STERLING CATALOG - DRY '!H5315,"AAAAAHtr9qs=")</f>
        <v>#VALUE!</v>
      </c>
      <c r="FQ236" t="e">
        <f>AND('STERLING CATALOG - DRY '!I5315,"AAAAAHtr9qw=")</f>
        <v>#VALUE!</v>
      </c>
      <c r="FR236" t="e">
        <f>AND('STERLING CATALOG - DRY '!J5315,"AAAAAHtr9q0=")</f>
        <v>#VALUE!</v>
      </c>
      <c r="FS236">
        <f>IF('STERLING CATALOG - DRY '!5316:5316,"AAAAAHtr9q4=",0)</f>
        <v>0</v>
      </c>
      <c r="FT236" t="e">
        <f>AND('STERLING CATALOG - DRY '!A5316,"AAAAAHtr9q8=")</f>
        <v>#VALUE!</v>
      </c>
      <c r="FU236" t="e">
        <f>AND('STERLING CATALOG - DRY '!B5316,"AAAAAHtr9rA=")</f>
        <v>#VALUE!</v>
      </c>
      <c r="FV236" t="e">
        <f>AND('STERLING CATALOG - DRY '!C5316,"AAAAAHtr9rE=")</f>
        <v>#VALUE!</v>
      </c>
      <c r="FW236" t="e">
        <f>AND('STERLING CATALOG - DRY '!D5316,"AAAAAHtr9rI=")</f>
        <v>#VALUE!</v>
      </c>
      <c r="FX236" t="e">
        <f>AND('STERLING CATALOG - DRY '!E5316,"AAAAAHtr9rM=")</f>
        <v>#VALUE!</v>
      </c>
      <c r="FY236" t="e">
        <f>AND('STERLING CATALOG - DRY '!F5316,"AAAAAHtr9rQ=")</f>
        <v>#VALUE!</v>
      </c>
      <c r="FZ236" t="e">
        <f>AND('STERLING CATALOG - DRY '!G5316,"AAAAAHtr9rU=")</f>
        <v>#VALUE!</v>
      </c>
      <c r="GA236" t="e">
        <f>AND('STERLING CATALOG - DRY '!H5316,"AAAAAHtr9rY=")</f>
        <v>#VALUE!</v>
      </c>
      <c r="GB236" t="e">
        <f>AND('STERLING CATALOG - DRY '!I5316,"AAAAAHtr9rc=")</f>
        <v>#VALUE!</v>
      </c>
      <c r="GC236" t="e">
        <f>AND('STERLING CATALOG - DRY '!J5316,"AAAAAHtr9rg=")</f>
        <v>#VALUE!</v>
      </c>
      <c r="GD236">
        <f>IF('STERLING CATALOG - DRY '!5317:5317,"AAAAAHtr9rk=",0)</f>
        <v>0</v>
      </c>
      <c r="GE236" t="e">
        <f>AND('STERLING CATALOG - DRY '!A5317,"AAAAAHtr9ro=")</f>
        <v>#VALUE!</v>
      </c>
      <c r="GF236" t="e">
        <f>AND('STERLING CATALOG - DRY '!B5317,"AAAAAHtr9rs=")</f>
        <v>#VALUE!</v>
      </c>
      <c r="GG236" t="e">
        <f>AND('STERLING CATALOG - DRY '!C5317,"AAAAAHtr9rw=")</f>
        <v>#VALUE!</v>
      </c>
      <c r="GH236" t="e">
        <f>AND('STERLING CATALOG - DRY '!D5317,"AAAAAHtr9r0=")</f>
        <v>#VALUE!</v>
      </c>
      <c r="GI236" t="e">
        <f>AND('STERLING CATALOG - DRY '!E5317,"AAAAAHtr9r4=")</f>
        <v>#VALUE!</v>
      </c>
      <c r="GJ236" t="e">
        <f>AND('STERLING CATALOG - DRY '!F5317,"AAAAAHtr9r8=")</f>
        <v>#VALUE!</v>
      </c>
      <c r="GK236" t="e">
        <f>AND('STERLING CATALOG - DRY '!G5317,"AAAAAHtr9sA=")</f>
        <v>#VALUE!</v>
      </c>
      <c r="GL236" t="e">
        <f>AND('STERLING CATALOG - DRY '!H5317,"AAAAAHtr9sE=")</f>
        <v>#VALUE!</v>
      </c>
      <c r="GM236" t="e">
        <f>AND('STERLING CATALOG - DRY '!I5317,"AAAAAHtr9sI=")</f>
        <v>#VALUE!</v>
      </c>
      <c r="GN236" t="e">
        <f>AND('STERLING CATALOG - DRY '!J5317,"AAAAAHtr9sM=")</f>
        <v>#VALUE!</v>
      </c>
      <c r="GO236">
        <f>IF('STERLING CATALOG - DRY '!5318:5318,"AAAAAHtr9sQ=",0)</f>
        <v>0</v>
      </c>
      <c r="GP236" t="e">
        <f>AND('STERLING CATALOG - DRY '!A5318,"AAAAAHtr9sU=")</f>
        <v>#VALUE!</v>
      </c>
      <c r="GQ236" t="e">
        <f>AND('STERLING CATALOG - DRY '!B5318,"AAAAAHtr9sY=")</f>
        <v>#VALUE!</v>
      </c>
      <c r="GR236" t="e">
        <f>AND('STERLING CATALOG - DRY '!C5318,"AAAAAHtr9sc=")</f>
        <v>#VALUE!</v>
      </c>
      <c r="GS236" t="e">
        <f>AND('STERLING CATALOG - DRY '!D5318,"AAAAAHtr9sg=")</f>
        <v>#VALUE!</v>
      </c>
      <c r="GT236" t="e">
        <f>AND('STERLING CATALOG - DRY '!E5318,"AAAAAHtr9sk=")</f>
        <v>#VALUE!</v>
      </c>
      <c r="GU236" t="e">
        <f>AND('STERLING CATALOG - DRY '!F5318,"AAAAAHtr9so=")</f>
        <v>#VALUE!</v>
      </c>
      <c r="GV236" t="e">
        <f>AND('STERLING CATALOG - DRY '!G5318,"AAAAAHtr9ss=")</f>
        <v>#VALUE!</v>
      </c>
      <c r="GW236" t="e">
        <f>AND('STERLING CATALOG - DRY '!H5318,"AAAAAHtr9sw=")</f>
        <v>#VALUE!</v>
      </c>
      <c r="GX236" t="e">
        <f>AND('STERLING CATALOG - DRY '!I5318,"AAAAAHtr9s0=")</f>
        <v>#VALUE!</v>
      </c>
      <c r="GY236" t="e">
        <f>AND('STERLING CATALOG - DRY '!J5318,"AAAAAHtr9s4=")</f>
        <v>#VALUE!</v>
      </c>
      <c r="GZ236">
        <f>IF('STERLING CATALOG - DRY '!5319:5319,"AAAAAHtr9s8=",0)</f>
        <v>0</v>
      </c>
      <c r="HA236" t="e">
        <f>AND('STERLING CATALOG - DRY '!A5319,"AAAAAHtr9tA=")</f>
        <v>#VALUE!</v>
      </c>
      <c r="HB236" t="e">
        <f>AND('STERLING CATALOG - DRY '!B5319,"AAAAAHtr9tE=")</f>
        <v>#VALUE!</v>
      </c>
      <c r="HC236" t="e">
        <f>AND('STERLING CATALOG - DRY '!C5319,"AAAAAHtr9tI=")</f>
        <v>#VALUE!</v>
      </c>
      <c r="HD236" t="e">
        <f>AND('STERLING CATALOG - DRY '!D5319,"AAAAAHtr9tM=")</f>
        <v>#VALUE!</v>
      </c>
      <c r="HE236" t="e">
        <f>AND('STERLING CATALOG - DRY '!E5319,"AAAAAHtr9tQ=")</f>
        <v>#VALUE!</v>
      </c>
      <c r="HF236" t="e">
        <f>AND('STERLING CATALOG - DRY '!F5319,"AAAAAHtr9tU=")</f>
        <v>#VALUE!</v>
      </c>
      <c r="HG236" t="e">
        <f>AND('STERLING CATALOG - DRY '!G5319,"AAAAAHtr9tY=")</f>
        <v>#VALUE!</v>
      </c>
      <c r="HH236" t="e">
        <f>AND('STERLING CATALOG - DRY '!H5319,"AAAAAHtr9tc=")</f>
        <v>#VALUE!</v>
      </c>
      <c r="HI236" t="e">
        <f>AND('STERLING CATALOG - DRY '!I5319,"AAAAAHtr9tg=")</f>
        <v>#VALUE!</v>
      </c>
      <c r="HJ236" t="e">
        <f>AND('STERLING CATALOG - DRY '!J5319,"AAAAAHtr9tk=")</f>
        <v>#VALUE!</v>
      </c>
      <c r="HK236">
        <f>IF('STERLING CATALOG - DRY '!5320:5320,"AAAAAHtr9to=",0)</f>
        <v>0</v>
      </c>
      <c r="HL236" t="e">
        <f>AND('STERLING CATALOG - DRY '!A5320,"AAAAAHtr9ts=")</f>
        <v>#VALUE!</v>
      </c>
      <c r="HM236" t="e">
        <f>AND('STERLING CATALOG - DRY '!B5320,"AAAAAHtr9tw=")</f>
        <v>#VALUE!</v>
      </c>
      <c r="HN236" t="e">
        <f>AND('STERLING CATALOG - DRY '!C5320,"AAAAAHtr9t0=")</f>
        <v>#VALUE!</v>
      </c>
      <c r="HO236" t="e">
        <f>AND('STERLING CATALOG - DRY '!D5320,"AAAAAHtr9t4=")</f>
        <v>#VALUE!</v>
      </c>
      <c r="HP236" t="e">
        <f>AND('STERLING CATALOG - DRY '!E5320,"AAAAAHtr9t8=")</f>
        <v>#VALUE!</v>
      </c>
      <c r="HQ236" t="e">
        <f>AND('STERLING CATALOG - DRY '!F5320,"AAAAAHtr9uA=")</f>
        <v>#VALUE!</v>
      </c>
      <c r="HR236" t="e">
        <f>AND('STERLING CATALOG - DRY '!G5320,"AAAAAHtr9uE=")</f>
        <v>#VALUE!</v>
      </c>
      <c r="HS236" t="e">
        <f>AND('STERLING CATALOG - DRY '!H5320,"AAAAAHtr9uI=")</f>
        <v>#VALUE!</v>
      </c>
      <c r="HT236" t="e">
        <f>AND('STERLING CATALOG - DRY '!I5320,"AAAAAHtr9uM=")</f>
        <v>#VALUE!</v>
      </c>
      <c r="HU236" t="e">
        <f>AND('STERLING CATALOG - DRY '!J5320,"AAAAAHtr9uQ=")</f>
        <v>#VALUE!</v>
      </c>
      <c r="HV236">
        <f>IF('STERLING CATALOG - DRY '!5321:5321,"AAAAAHtr9uU=",0)</f>
        <v>0</v>
      </c>
      <c r="HW236" t="e">
        <f>AND('STERLING CATALOG - DRY '!A5321,"AAAAAHtr9uY=")</f>
        <v>#VALUE!</v>
      </c>
      <c r="HX236" t="e">
        <f>AND('STERLING CATALOG - DRY '!B5321,"AAAAAHtr9uc=")</f>
        <v>#VALUE!</v>
      </c>
      <c r="HY236" t="e">
        <f>AND('STERLING CATALOG - DRY '!C5321,"AAAAAHtr9ug=")</f>
        <v>#VALUE!</v>
      </c>
      <c r="HZ236" t="e">
        <f>AND('STERLING CATALOG - DRY '!D5321,"AAAAAHtr9uk=")</f>
        <v>#VALUE!</v>
      </c>
      <c r="IA236" t="e">
        <f>AND('STERLING CATALOG - DRY '!E5321,"AAAAAHtr9uo=")</f>
        <v>#VALUE!</v>
      </c>
      <c r="IB236" t="e">
        <f>AND('STERLING CATALOG - DRY '!F5321,"AAAAAHtr9us=")</f>
        <v>#VALUE!</v>
      </c>
      <c r="IC236" t="e">
        <f>AND('STERLING CATALOG - DRY '!G5321,"AAAAAHtr9uw=")</f>
        <v>#VALUE!</v>
      </c>
      <c r="ID236" t="e">
        <f>AND('STERLING CATALOG - DRY '!H5321,"AAAAAHtr9u0=")</f>
        <v>#VALUE!</v>
      </c>
      <c r="IE236" t="e">
        <f>AND('STERLING CATALOG - DRY '!I5321,"AAAAAHtr9u4=")</f>
        <v>#VALUE!</v>
      </c>
      <c r="IF236" t="e">
        <f>AND('STERLING CATALOG - DRY '!J5321,"AAAAAHtr9u8=")</f>
        <v>#VALUE!</v>
      </c>
      <c r="IG236">
        <f>IF('STERLING CATALOG - DRY '!5322:5322,"AAAAAHtr9vA=",0)</f>
        <v>0</v>
      </c>
      <c r="IH236" t="e">
        <f>AND('STERLING CATALOG - DRY '!A5322,"AAAAAHtr9vE=")</f>
        <v>#VALUE!</v>
      </c>
      <c r="II236" t="e">
        <f>AND('STERLING CATALOG - DRY '!B5322,"AAAAAHtr9vI=")</f>
        <v>#VALUE!</v>
      </c>
      <c r="IJ236" t="e">
        <f>AND('STERLING CATALOG - DRY '!C5322,"AAAAAHtr9vM=")</f>
        <v>#VALUE!</v>
      </c>
      <c r="IK236" t="e">
        <f>AND('STERLING CATALOG - DRY '!D5322,"AAAAAHtr9vQ=")</f>
        <v>#VALUE!</v>
      </c>
      <c r="IL236" t="e">
        <f>AND('STERLING CATALOG - DRY '!E5322,"AAAAAHtr9vU=")</f>
        <v>#VALUE!</v>
      </c>
      <c r="IM236" t="e">
        <f>AND('STERLING CATALOG - DRY '!F5322,"AAAAAHtr9vY=")</f>
        <v>#VALUE!</v>
      </c>
      <c r="IN236" t="e">
        <f>AND('STERLING CATALOG - DRY '!G5322,"AAAAAHtr9vc=")</f>
        <v>#VALUE!</v>
      </c>
      <c r="IO236" t="e">
        <f>AND('STERLING CATALOG - DRY '!H5322,"AAAAAHtr9vg=")</f>
        <v>#VALUE!</v>
      </c>
      <c r="IP236" t="e">
        <f>AND('STERLING CATALOG - DRY '!I5322,"AAAAAHtr9vk=")</f>
        <v>#VALUE!</v>
      </c>
      <c r="IQ236" t="e">
        <f>AND('STERLING CATALOG - DRY '!J5322,"AAAAAHtr9vo=")</f>
        <v>#VALUE!</v>
      </c>
      <c r="IR236">
        <f>IF('STERLING CATALOG - DRY '!5323:5323,"AAAAAHtr9vs=",0)</f>
        <v>0</v>
      </c>
      <c r="IS236" t="e">
        <f>AND('STERLING CATALOG - DRY '!A5323,"AAAAAHtr9vw=")</f>
        <v>#VALUE!</v>
      </c>
      <c r="IT236" t="e">
        <f>AND('STERLING CATALOG - DRY '!B5323,"AAAAAHtr9v0=")</f>
        <v>#VALUE!</v>
      </c>
      <c r="IU236" t="e">
        <f>AND('STERLING CATALOG - DRY '!C5323,"AAAAAHtr9v4=")</f>
        <v>#VALUE!</v>
      </c>
      <c r="IV236" t="e">
        <f>AND('STERLING CATALOG - DRY '!D5323,"AAAAAHtr9v8=")</f>
        <v>#VALUE!</v>
      </c>
    </row>
    <row r="237" spans="1:256">
      <c r="A237" t="e">
        <f>AND('STERLING CATALOG - DRY '!E5323,"AAAAAHv1/wA=")</f>
        <v>#VALUE!</v>
      </c>
      <c r="B237" t="e">
        <f>AND('STERLING CATALOG - DRY '!F5323,"AAAAAHv1/wE=")</f>
        <v>#VALUE!</v>
      </c>
      <c r="C237" t="e">
        <f>AND('STERLING CATALOG - DRY '!G5323,"AAAAAHv1/wI=")</f>
        <v>#VALUE!</v>
      </c>
      <c r="D237" t="e">
        <f>AND('STERLING CATALOG - DRY '!H5323,"AAAAAHv1/wM=")</f>
        <v>#VALUE!</v>
      </c>
      <c r="E237" t="e">
        <f>AND('STERLING CATALOG - DRY '!I5323,"AAAAAHv1/wQ=")</f>
        <v>#VALUE!</v>
      </c>
      <c r="F237" t="e">
        <f>AND('STERLING CATALOG - DRY '!J5323,"AAAAAHv1/wU=")</f>
        <v>#VALUE!</v>
      </c>
      <c r="G237" t="str">
        <f>IF('STERLING CATALOG - DRY '!5324:5324,"AAAAAHv1/wY=",0)</f>
        <v>AAAAAHv1/wY=</v>
      </c>
      <c r="H237" t="e">
        <f>AND('STERLING CATALOG - DRY '!A5324,"AAAAAHv1/wc=")</f>
        <v>#VALUE!</v>
      </c>
      <c r="I237" t="e">
        <f>AND('STERLING CATALOG - DRY '!B5324,"AAAAAHv1/wg=")</f>
        <v>#VALUE!</v>
      </c>
      <c r="J237" t="e">
        <f>AND('STERLING CATALOG - DRY '!C5324,"AAAAAHv1/wk=")</f>
        <v>#VALUE!</v>
      </c>
      <c r="K237" t="e">
        <f>AND('STERLING CATALOG - DRY '!D5324,"AAAAAHv1/wo=")</f>
        <v>#VALUE!</v>
      </c>
      <c r="L237" t="e">
        <f>AND('STERLING CATALOG - DRY '!E5324,"AAAAAHv1/ws=")</f>
        <v>#VALUE!</v>
      </c>
      <c r="M237" t="e">
        <f>AND('STERLING CATALOG - DRY '!F5324,"AAAAAHv1/ww=")</f>
        <v>#VALUE!</v>
      </c>
      <c r="N237" t="e">
        <f>AND('STERLING CATALOG - DRY '!G5324,"AAAAAHv1/w0=")</f>
        <v>#VALUE!</v>
      </c>
      <c r="O237" t="e">
        <f>AND('STERLING CATALOG - DRY '!H5324,"AAAAAHv1/w4=")</f>
        <v>#VALUE!</v>
      </c>
      <c r="P237" t="e">
        <f>AND('STERLING CATALOG - DRY '!I5324,"AAAAAHv1/w8=")</f>
        <v>#VALUE!</v>
      </c>
      <c r="Q237" t="e">
        <f>AND('STERLING CATALOG - DRY '!J5324,"AAAAAHv1/xA=")</f>
        <v>#VALUE!</v>
      </c>
      <c r="R237">
        <f>IF('STERLING CATALOG - DRY '!5325:5325,"AAAAAHv1/xE=",0)</f>
        <v>0</v>
      </c>
      <c r="S237" t="e">
        <f>AND('STERLING CATALOG - DRY '!A5325,"AAAAAHv1/xI=")</f>
        <v>#VALUE!</v>
      </c>
      <c r="T237" t="e">
        <f>AND('STERLING CATALOG - DRY '!B5325,"AAAAAHv1/xM=")</f>
        <v>#VALUE!</v>
      </c>
      <c r="U237" t="e">
        <f>AND('STERLING CATALOG - DRY '!C5325,"AAAAAHv1/xQ=")</f>
        <v>#VALUE!</v>
      </c>
      <c r="V237" t="e">
        <f>AND('STERLING CATALOG - DRY '!D5325,"AAAAAHv1/xU=")</f>
        <v>#VALUE!</v>
      </c>
      <c r="W237" t="e">
        <f>AND('STERLING CATALOG - DRY '!E5325,"AAAAAHv1/xY=")</f>
        <v>#VALUE!</v>
      </c>
      <c r="X237" t="e">
        <f>AND('STERLING CATALOG - DRY '!F5325,"AAAAAHv1/xc=")</f>
        <v>#VALUE!</v>
      </c>
      <c r="Y237" t="e">
        <f>AND('STERLING CATALOG - DRY '!G5325,"AAAAAHv1/xg=")</f>
        <v>#VALUE!</v>
      </c>
      <c r="Z237" t="e">
        <f>AND('STERLING CATALOG - DRY '!H5325,"AAAAAHv1/xk=")</f>
        <v>#VALUE!</v>
      </c>
      <c r="AA237" t="e">
        <f>AND('STERLING CATALOG - DRY '!I5325,"AAAAAHv1/xo=")</f>
        <v>#VALUE!</v>
      </c>
      <c r="AB237" t="e">
        <f>AND('STERLING CATALOG - DRY '!J5325,"AAAAAHv1/xs=")</f>
        <v>#VALUE!</v>
      </c>
      <c r="AC237">
        <f>IF('STERLING CATALOG - DRY '!5326:5326,"AAAAAHv1/xw=",0)</f>
        <v>0</v>
      </c>
      <c r="AD237" t="e">
        <f>AND('STERLING CATALOG - DRY '!A5326,"AAAAAHv1/x0=")</f>
        <v>#VALUE!</v>
      </c>
      <c r="AE237" t="e">
        <f>AND('STERLING CATALOG - DRY '!B5326,"AAAAAHv1/x4=")</f>
        <v>#VALUE!</v>
      </c>
      <c r="AF237" t="e">
        <f>AND('STERLING CATALOG - DRY '!C5326,"AAAAAHv1/x8=")</f>
        <v>#VALUE!</v>
      </c>
      <c r="AG237" t="e">
        <f>AND('STERLING CATALOG - DRY '!D5326,"AAAAAHv1/yA=")</f>
        <v>#VALUE!</v>
      </c>
      <c r="AH237" t="e">
        <f>AND('STERLING CATALOG - DRY '!E5326,"AAAAAHv1/yE=")</f>
        <v>#VALUE!</v>
      </c>
      <c r="AI237" t="e">
        <f>AND('STERLING CATALOG - DRY '!F5326,"AAAAAHv1/yI=")</f>
        <v>#VALUE!</v>
      </c>
      <c r="AJ237" t="e">
        <f>AND('STERLING CATALOG - DRY '!G5326,"AAAAAHv1/yM=")</f>
        <v>#VALUE!</v>
      </c>
      <c r="AK237" t="e">
        <f>AND('STERLING CATALOG - DRY '!H5326,"AAAAAHv1/yQ=")</f>
        <v>#VALUE!</v>
      </c>
      <c r="AL237" t="e">
        <f>AND('STERLING CATALOG - DRY '!I5326,"AAAAAHv1/yU=")</f>
        <v>#VALUE!</v>
      </c>
      <c r="AM237" t="e">
        <f>AND('STERLING CATALOG - DRY '!J5326,"AAAAAHv1/yY=")</f>
        <v>#VALUE!</v>
      </c>
      <c r="AN237">
        <f>IF('STERLING CATALOG - DRY '!5327:5327,"AAAAAHv1/yc=",0)</f>
        <v>0</v>
      </c>
      <c r="AO237" t="e">
        <f>AND('STERLING CATALOG - DRY '!A5327,"AAAAAHv1/yg=")</f>
        <v>#VALUE!</v>
      </c>
      <c r="AP237" t="e">
        <f>AND('STERLING CATALOG - DRY '!B5327,"AAAAAHv1/yk=")</f>
        <v>#VALUE!</v>
      </c>
      <c r="AQ237" t="e">
        <f>AND('STERLING CATALOG - DRY '!C5327,"AAAAAHv1/yo=")</f>
        <v>#VALUE!</v>
      </c>
      <c r="AR237" t="e">
        <f>AND('STERLING CATALOG - DRY '!D5327,"AAAAAHv1/ys=")</f>
        <v>#VALUE!</v>
      </c>
      <c r="AS237" t="e">
        <f>AND('STERLING CATALOG - DRY '!E5327,"AAAAAHv1/yw=")</f>
        <v>#VALUE!</v>
      </c>
      <c r="AT237" t="e">
        <f>AND('STERLING CATALOG - DRY '!F5327,"AAAAAHv1/y0=")</f>
        <v>#VALUE!</v>
      </c>
      <c r="AU237" t="e">
        <f>AND('STERLING CATALOG - DRY '!G5327,"AAAAAHv1/y4=")</f>
        <v>#VALUE!</v>
      </c>
      <c r="AV237" t="e">
        <f>AND('STERLING CATALOG - DRY '!H5327,"AAAAAHv1/y8=")</f>
        <v>#VALUE!</v>
      </c>
      <c r="AW237" t="e">
        <f>AND('STERLING CATALOG - DRY '!I5327,"AAAAAHv1/zA=")</f>
        <v>#VALUE!</v>
      </c>
      <c r="AX237" t="e">
        <f>AND('STERLING CATALOG - DRY '!J5327,"AAAAAHv1/zE=")</f>
        <v>#VALUE!</v>
      </c>
      <c r="AY237">
        <f>IF('STERLING CATALOG - DRY '!5328:5328,"AAAAAHv1/zI=",0)</f>
        <v>0</v>
      </c>
      <c r="AZ237" t="e">
        <f>AND('STERLING CATALOG - DRY '!A5328,"AAAAAHv1/zM=")</f>
        <v>#VALUE!</v>
      </c>
      <c r="BA237" t="e">
        <f>AND('STERLING CATALOG - DRY '!B5328,"AAAAAHv1/zQ=")</f>
        <v>#VALUE!</v>
      </c>
      <c r="BB237" t="e">
        <f>AND('STERLING CATALOG - DRY '!C5328,"AAAAAHv1/zU=")</f>
        <v>#VALUE!</v>
      </c>
      <c r="BC237" t="e">
        <f>AND('STERLING CATALOG - DRY '!D5328,"AAAAAHv1/zY=")</f>
        <v>#VALUE!</v>
      </c>
      <c r="BD237" t="e">
        <f>AND('STERLING CATALOG - DRY '!E5328,"AAAAAHv1/zc=")</f>
        <v>#VALUE!</v>
      </c>
      <c r="BE237" t="e">
        <f>AND('STERLING CATALOG - DRY '!F5328,"AAAAAHv1/zg=")</f>
        <v>#VALUE!</v>
      </c>
      <c r="BF237" t="e">
        <f>AND('STERLING CATALOG - DRY '!G5328,"AAAAAHv1/zk=")</f>
        <v>#VALUE!</v>
      </c>
      <c r="BG237" t="e">
        <f>AND('STERLING CATALOG - DRY '!H5328,"AAAAAHv1/zo=")</f>
        <v>#VALUE!</v>
      </c>
      <c r="BH237" t="e">
        <f>AND('STERLING CATALOG - DRY '!I5328,"AAAAAHv1/zs=")</f>
        <v>#VALUE!</v>
      </c>
      <c r="BI237" t="e">
        <f>AND('STERLING CATALOG - DRY '!J5328,"AAAAAHv1/zw=")</f>
        <v>#VALUE!</v>
      </c>
      <c r="BJ237">
        <f>IF('STERLING CATALOG - DRY '!5329:5329,"AAAAAHv1/z0=",0)</f>
        <v>0</v>
      </c>
      <c r="BK237" t="e">
        <f>AND('STERLING CATALOG - DRY '!A5329,"AAAAAHv1/z4=")</f>
        <v>#VALUE!</v>
      </c>
      <c r="BL237" t="e">
        <f>AND('STERLING CATALOG - DRY '!B5329,"AAAAAHv1/z8=")</f>
        <v>#VALUE!</v>
      </c>
      <c r="BM237" t="e">
        <f>AND('STERLING CATALOG - DRY '!C5329,"AAAAAHv1/0A=")</f>
        <v>#VALUE!</v>
      </c>
      <c r="BN237" t="e">
        <f>AND('STERLING CATALOG - DRY '!D5329,"AAAAAHv1/0E=")</f>
        <v>#VALUE!</v>
      </c>
      <c r="BO237" t="e">
        <f>AND('STERLING CATALOG - DRY '!E5329,"AAAAAHv1/0I=")</f>
        <v>#VALUE!</v>
      </c>
      <c r="BP237" t="e">
        <f>AND('STERLING CATALOG - DRY '!F5329,"AAAAAHv1/0M=")</f>
        <v>#VALUE!</v>
      </c>
      <c r="BQ237" t="e">
        <f>AND('STERLING CATALOG - DRY '!G5329,"AAAAAHv1/0Q=")</f>
        <v>#VALUE!</v>
      </c>
      <c r="BR237" t="e">
        <f>AND('STERLING CATALOG - DRY '!H5329,"AAAAAHv1/0U=")</f>
        <v>#VALUE!</v>
      </c>
      <c r="BS237" t="e">
        <f>AND('STERLING CATALOG - DRY '!I5329,"AAAAAHv1/0Y=")</f>
        <v>#VALUE!</v>
      </c>
      <c r="BT237" t="e">
        <f>AND('STERLING CATALOG - DRY '!J5329,"AAAAAHv1/0c=")</f>
        <v>#VALUE!</v>
      </c>
      <c r="BU237">
        <f>IF('STERLING CATALOG - DRY '!5330:5330,"AAAAAHv1/0g=",0)</f>
        <v>0</v>
      </c>
      <c r="BV237" t="e">
        <f>AND('STERLING CATALOG - DRY '!A5330,"AAAAAHv1/0k=")</f>
        <v>#VALUE!</v>
      </c>
      <c r="BW237" t="e">
        <f>AND('STERLING CATALOG - DRY '!B5330,"AAAAAHv1/0o=")</f>
        <v>#VALUE!</v>
      </c>
      <c r="BX237" t="e">
        <f>AND('STERLING CATALOG - DRY '!C5330,"AAAAAHv1/0s=")</f>
        <v>#VALUE!</v>
      </c>
      <c r="BY237" t="e">
        <f>AND('STERLING CATALOG - DRY '!D5330,"AAAAAHv1/0w=")</f>
        <v>#VALUE!</v>
      </c>
      <c r="BZ237" t="e">
        <f>AND('STERLING CATALOG - DRY '!E5330,"AAAAAHv1/00=")</f>
        <v>#VALUE!</v>
      </c>
      <c r="CA237" t="e">
        <f>AND('STERLING CATALOG - DRY '!F5330,"AAAAAHv1/04=")</f>
        <v>#VALUE!</v>
      </c>
      <c r="CB237" t="e">
        <f>AND('STERLING CATALOG - DRY '!G5330,"AAAAAHv1/08=")</f>
        <v>#VALUE!</v>
      </c>
      <c r="CC237" t="e">
        <f>AND('STERLING CATALOG - DRY '!H5330,"AAAAAHv1/1A=")</f>
        <v>#VALUE!</v>
      </c>
      <c r="CD237" t="e">
        <f>AND('STERLING CATALOG - DRY '!I5330,"AAAAAHv1/1E=")</f>
        <v>#VALUE!</v>
      </c>
      <c r="CE237" t="e">
        <f>AND('STERLING CATALOG - DRY '!J5330,"AAAAAHv1/1I=")</f>
        <v>#VALUE!</v>
      </c>
      <c r="CF237">
        <f>IF('STERLING CATALOG - DRY '!5331:5331,"AAAAAHv1/1M=",0)</f>
        <v>0</v>
      </c>
      <c r="CG237" t="e">
        <f>AND('STERLING CATALOG - DRY '!A5331,"AAAAAHv1/1Q=")</f>
        <v>#VALUE!</v>
      </c>
      <c r="CH237" t="e">
        <f>AND('STERLING CATALOG - DRY '!B5331,"AAAAAHv1/1U=")</f>
        <v>#VALUE!</v>
      </c>
      <c r="CI237" t="e">
        <f>AND('STERLING CATALOG - DRY '!C5331,"AAAAAHv1/1Y=")</f>
        <v>#VALUE!</v>
      </c>
      <c r="CJ237" t="e">
        <f>AND('STERLING CATALOG - DRY '!D5331,"AAAAAHv1/1c=")</f>
        <v>#VALUE!</v>
      </c>
      <c r="CK237" t="e">
        <f>AND('STERLING CATALOG - DRY '!E5331,"AAAAAHv1/1g=")</f>
        <v>#VALUE!</v>
      </c>
      <c r="CL237" t="e">
        <f>AND('STERLING CATALOG - DRY '!F5331,"AAAAAHv1/1k=")</f>
        <v>#VALUE!</v>
      </c>
      <c r="CM237" t="e">
        <f>AND('STERLING CATALOG - DRY '!G5331,"AAAAAHv1/1o=")</f>
        <v>#VALUE!</v>
      </c>
      <c r="CN237" t="e">
        <f>AND('STERLING CATALOG - DRY '!H5331,"AAAAAHv1/1s=")</f>
        <v>#VALUE!</v>
      </c>
      <c r="CO237" t="e">
        <f>AND('STERLING CATALOG - DRY '!I5331,"AAAAAHv1/1w=")</f>
        <v>#VALUE!</v>
      </c>
      <c r="CP237" t="e">
        <f>AND('STERLING CATALOG - DRY '!J5331,"AAAAAHv1/10=")</f>
        <v>#VALUE!</v>
      </c>
      <c r="CQ237">
        <f>IF('STERLING CATALOG - DRY '!5332:5332,"AAAAAHv1/14=",0)</f>
        <v>0</v>
      </c>
      <c r="CR237" t="e">
        <f>AND('STERLING CATALOG - DRY '!A5332,"AAAAAHv1/18=")</f>
        <v>#VALUE!</v>
      </c>
      <c r="CS237" t="e">
        <f>AND('STERLING CATALOG - DRY '!B5332,"AAAAAHv1/2A=")</f>
        <v>#VALUE!</v>
      </c>
      <c r="CT237" t="e">
        <f>AND('STERLING CATALOG - DRY '!C5332,"AAAAAHv1/2E=")</f>
        <v>#VALUE!</v>
      </c>
      <c r="CU237" t="e">
        <f>AND('STERLING CATALOG - DRY '!D5332,"AAAAAHv1/2I=")</f>
        <v>#VALUE!</v>
      </c>
      <c r="CV237" t="e">
        <f>AND('STERLING CATALOG - DRY '!E5332,"AAAAAHv1/2M=")</f>
        <v>#VALUE!</v>
      </c>
      <c r="CW237" t="e">
        <f>AND('STERLING CATALOG - DRY '!F5332,"AAAAAHv1/2Q=")</f>
        <v>#VALUE!</v>
      </c>
      <c r="CX237" t="e">
        <f>AND('STERLING CATALOG - DRY '!G5332,"AAAAAHv1/2U=")</f>
        <v>#VALUE!</v>
      </c>
      <c r="CY237" t="e">
        <f>AND('STERLING CATALOG - DRY '!H5332,"AAAAAHv1/2Y=")</f>
        <v>#VALUE!</v>
      </c>
      <c r="CZ237" t="e">
        <f>AND('STERLING CATALOG - DRY '!I5332,"AAAAAHv1/2c=")</f>
        <v>#VALUE!</v>
      </c>
      <c r="DA237" t="e">
        <f>AND('STERLING CATALOG - DRY '!J5332,"AAAAAHv1/2g=")</f>
        <v>#VALUE!</v>
      </c>
      <c r="DB237">
        <f>IF('STERLING CATALOG - DRY '!5333:5333,"AAAAAHv1/2k=",0)</f>
        <v>0</v>
      </c>
      <c r="DC237" t="e">
        <f>AND('STERLING CATALOG - DRY '!A5333,"AAAAAHv1/2o=")</f>
        <v>#VALUE!</v>
      </c>
      <c r="DD237" t="e">
        <f>AND('STERLING CATALOG - DRY '!B5333,"AAAAAHv1/2s=")</f>
        <v>#VALUE!</v>
      </c>
      <c r="DE237" t="e">
        <f>AND('STERLING CATALOG - DRY '!C5333,"AAAAAHv1/2w=")</f>
        <v>#VALUE!</v>
      </c>
      <c r="DF237" t="e">
        <f>AND('STERLING CATALOG - DRY '!D5333,"AAAAAHv1/20=")</f>
        <v>#VALUE!</v>
      </c>
      <c r="DG237" t="e">
        <f>AND('STERLING CATALOG - DRY '!E5333,"AAAAAHv1/24=")</f>
        <v>#VALUE!</v>
      </c>
      <c r="DH237" t="e">
        <f>AND('STERLING CATALOG - DRY '!F5333,"AAAAAHv1/28=")</f>
        <v>#VALUE!</v>
      </c>
      <c r="DI237" t="e">
        <f>AND('STERLING CATALOG - DRY '!G5333,"AAAAAHv1/3A=")</f>
        <v>#VALUE!</v>
      </c>
      <c r="DJ237" t="e">
        <f>AND('STERLING CATALOG - DRY '!H5333,"AAAAAHv1/3E=")</f>
        <v>#VALUE!</v>
      </c>
      <c r="DK237" t="e">
        <f>AND('STERLING CATALOG - DRY '!I5333,"AAAAAHv1/3I=")</f>
        <v>#VALUE!</v>
      </c>
      <c r="DL237" t="e">
        <f>AND('STERLING CATALOG - DRY '!J5333,"AAAAAHv1/3M=")</f>
        <v>#VALUE!</v>
      </c>
      <c r="DM237">
        <f>IF('STERLING CATALOG - DRY '!5334:5334,"AAAAAHv1/3Q=",0)</f>
        <v>0</v>
      </c>
      <c r="DN237" t="e">
        <f>AND('STERLING CATALOG - DRY '!A5334,"AAAAAHv1/3U=")</f>
        <v>#VALUE!</v>
      </c>
      <c r="DO237" t="e">
        <f>AND('STERLING CATALOG - DRY '!B5334,"AAAAAHv1/3Y=")</f>
        <v>#VALUE!</v>
      </c>
      <c r="DP237" t="e">
        <f>AND('STERLING CATALOG - DRY '!C5334,"AAAAAHv1/3c=")</f>
        <v>#VALUE!</v>
      </c>
      <c r="DQ237" t="e">
        <f>AND('STERLING CATALOG - DRY '!D5334,"AAAAAHv1/3g=")</f>
        <v>#VALUE!</v>
      </c>
      <c r="DR237" t="e">
        <f>AND('STERLING CATALOG - DRY '!E5334,"AAAAAHv1/3k=")</f>
        <v>#VALUE!</v>
      </c>
      <c r="DS237" t="e">
        <f>AND('STERLING CATALOG - DRY '!F5334,"AAAAAHv1/3o=")</f>
        <v>#VALUE!</v>
      </c>
      <c r="DT237" t="e">
        <f>AND('STERLING CATALOG - DRY '!G5334,"AAAAAHv1/3s=")</f>
        <v>#VALUE!</v>
      </c>
      <c r="DU237" t="e">
        <f>AND('STERLING CATALOG - DRY '!H5334,"AAAAAHv1/3w=")</f>
        <v>#VALUE!</v>
      </c>
      <c r="DV237" t="e">
        <f>AND('STERLING CATALOG - DRY '!I5334,"AAAAAHv1/30=")</f>
        <v>#VALUE!</v>
      </c>
      <c r="DW237" t="e">
        <f>AND('STERLING CATALOG - DRY '!J5334,"AAAAAHv1/34=")</f>
        <v>#VALUE!</v>
      </c>
      <c r="DX237">
        <f>IF('STERLING CATALOG - DRY '!5335:5335,"AAAAAHv1/38=",0)</f>
        <v>0</v>
      </c>
      <c r="DY237" t="e">
        <f>AND('STERLING CATALOG - DRY '!A5335,"AAAAAHv1/4A=")</f>
        <v>#VALUE!</v>
      </c>
      <c r="DZ237" t="e">
        <f>AND('STERLING CATALOG - DRY '!B5335,"AAAAAHv1/4E=")</f>
        <v>#VALUE!</v>
      </c>
      <c r="EA237" t="e">
        <f>AND('STERLING CATALOG - DRY '!C5335,"AAAAAHv1/4I=")</f>
        <v>#VALUE!</v>
      </c>
      <c r="EB237" t="e">
        <f>AND('STERLING CATALOG - DRY '!D5335,"AAAAAHv1/4M=")</f>
        <v>#VALUE!</v>
      </c>
      <c r="EC237" t="e">
        <f>AND('STERLING CATALOG - DRY '!E5335,"AAAAAHv1/4Q=")</f>
        <v>#VALUE!</v>
      </c>
      <c r="ED237" t="e">
        <f>AND('STERLING CATALOG - DRY '!F5335,"AAAAAHv1/4U=")</f>
        <v>#VALUE!</v>
      </c>
      <c r="EE237" t="e">
        <f>AND('STERLING CATALOG - DRY '!G5335,"AAAAAHv1/4Y=")</f>
        <v>#VALUE!</v>
      </c>
      <c r="EF237" t="e">
        <f>AND('STERLING CATALOG - DRY '!H5335,"AAAAAHv1/4c=")</f>
        <v>#VALUE!</v>
      </c>
      <c r="EG237" t="e">
        <f>AND('STERLING CATALOG - DRY '!I5335,"AAAAAHv1/4g=")</f>
        <v>#VALUE!</v>
      </c>
      <c r="EH237" t="e">
        <f>AND('STERLING CATALOG - DRY '!J5335,"AAAAAHv1/4k=")</f>
        <v>#VALUE!</v>
      </c>
      <c r="EI237">
        <f>IF('STERLING CATALOG - DRY '!5336:5336,"AAAAAHv1/4o=",0)</f>
        <v>0</v>
      </c>
      <c r="EJ237" t="e">
        <f>AND('STERLING CATALOG - DRY '!A5336,"AAAAAHv1/4s=")</f>
        <v>#VALUE!</v>
      </c>
      <c r="EK237" t="e">
        <f>AND('STERLING CATALOG - DRY '!B5336,"AAAAAHv1/4w=")</f>
        <v>#VALUE!</v>
      </c>
      <c r="EL237" t="e">
        <f>AND('STERLING CATALOG - DRY '!C5336,"AAAAAHv1/40=")</f>
        <v>#VALUE!</v>
      </c>
      <c r="EM237" t="e">
        <f>AND('STERLING CATALOG - DRY '!D5336,"AAAAAHv1/44=")</f>
        <v>#VALUE!</v>
      </c>
      <c r="EN237" t="e">
        <f>AND('STERLING CATALOG - DRY '!E5336,"AAAAAHv1/48=")</f>
        <v>#VALUE!</v>
      </c>
      <c r="EO237" t="e">
        <f>AND('STERLING CATALOG - DRY '!F5336,"AAAAAHv1/5A=")</f>
        <v>#VALUE!</v>
      </c>
      <c r="EP237" t="e">
        <f>AND('STERLING CATALOG - DRY '!G5336,"AAAAAHv1/5E=")</f>
        <v>#VALUE!</v>
      </c>
      <c r="EQ237" t="e">
        <f>AND('STERLING CATALOG - DRY '!H5336,"AAAAAHv1/5I=")</f>
        <v>#VALUE!</v>
      </c>
      <c r="ER237" t="e">
        <f>AND('STERLING CATALOG - DRY '!I5336,"AAAAAHv1/5M=")</f>
        <v>#VALUE!</v>
      </c>
      <c r="ES237" t="e">
        <f>AND('STERLING CATALOG - DRY '!J5336,"AAAAAHv1/5Q=")</f>
        <v>#VALUE!</v>
      </c>
      <c r="ET237">
        <f>IF('STERLING CATALOG - DRY '!5337:5337,"AAAAAHv1/5U=",0)</f>
        <v>0</v>
      </c>
      <c r="EU237" t="e">
        <f>AND('STERLING CATALOG - DRY '!A5337,"AAAAAHv1/5Y=")</f>
        <v>#VALUE!</v>
      </c>
      <c r="EV237" t="e">
        <f>AND('STERLING CATALOG - DRY '!B5337,"AAAAAHv1/5c=")</f>
        <v>#VALUE!</v>
      </c>
      <c r="EW237" t="e">
        <f>AND('STERLING CATALOG - DRY '!C5337,"AAAAAHv1/5g=")</f>
        <v>#VALUE!</v>
      </c>
      <c r="EX237" t="e">
        <f>AND('STERLING CATALOG - DRY '!D5337,"AAAAAHv1/5k=")</f>
        <v>#VALUE!</v>
      </c>
      <c r="EY237" t="e">
        <f>AND('STERLING CATALOG - DRY '!E5337,"AAAAAHv1/5o=")</f>
        <v>#VALUE!</v>
      </c>
      <c r="EZ237" t="e">
        <f>AND('STERLING CATALOG - DRY '!F5337,"AAAAAHv1/5s=")</f>
        <v>#VALUE!</v>
      </c>
      <c r="FA237" t="e">
        <f>AND('STERLING CATALOG - DRY '!G5337,"AAAAAHv1/5w=")</f>
        <v>#VALUE!</v>
      </c>
      <c r="FB237" t="e">
        <f>AND('STERLING CATALOG - DRY '!H5337,"AAAAAHv1/50=")</f>
        <v>#VALUE!</v>
      </c>
      <c r="FC237" t="e">
        <f>AND('STERLING CATALOG - DRY '!I5337,"AAAAAHv1/54=")</f>
        <v>#VALUE!</v>
      </c>
      <c r="FD237" t="e">
        <f>AND('STERLING CATALOG - DRY '!J5337,"AAAAAHv1/58=")</f>
        <v>#VALUE!</v>
      </c>
      <c r="FE237">
        <f>IF('STERLING CATALOG - DRY '!5338:5338,"AAAAAHv1/6A=",0)</f>
        <v>0</v>
      </c>
      <c r="FF237" t="e">
        <f>AND('STERLING CATALOG - DRY '!A5338,"AAAAAHv1/6E=")</f>
        <v>#VALUE!</v>
      </c>
      <c r="FG237" t="e">
        <f>AND('STERLING CATALOG - DRY '!B5338,"AAAAAHv1/6I=")</f>
        <v>#VALUE!</v>
      </c>
      <c r="FH237" t="e">
        <f>AND('STERLING CATALOG - DRY '!C5338,"AAAAAHv1/6M=")</f>
        <v>#VALUE!</v>
      </c>
      <c r="FI237" t="e">
        <f>AND('STERLING CATALOG - DRY '!D5338,"AAAAAHv1/6Q=")</f>
        <v>#VALUE!</v>
      </c>
      <c r="FJ237" t="e">
        <f>AND('STERLING CATALOG - DRY '!E5338,"AAAAAHv1/6U=")</f>
        <v>#VALUE!</v>
      </c>
      <c r="FK237" t="e">
        <f>AND('STERLING CATALOG - DRY '!F5338,"AAAAAHv1/6Y=")</f>
        <v>#VALUE!</v>
      </c>
      <c r="FL237" t="e">
        <f>AND('STERLING CATALOG - DRY '!G5338,"AAAAAHv1/6c=")</f>
        <v>#VALUE!</v>
      </c>
      <c r="FM237" t="e">
        <f>AND('STERLING CATALOG - DRY '!H5338,"AAAAAHv1/6g=")</f>
        <v>#VALUE!</v>
      </c>
      <c r="FN237" t="e">
        <f>AND('STERLING CATALOG - DRY '!I5338,"AAAAAHv1/6k=")</f>
        <v>#VALUE!</v>
      </c>
      <c r="FO237" t="e">
        <f>AND('STERLING CATALOG - DRY '!J5338,"AAAAAHv1/6o=")</f>
        <v>#VALUE!</v>
      </c>
      <c r="FP237">
        <f>IF('STERLING CATALOG - DRY '!5339:5339,"AAAAAHv1/6s=",0)</f>
        <v>0</v>
      </c>
      <c r="FQ237" t="e">
        <f>AND('STERLING CATALOG - DRY '!A5339,"AAAAAHv1/6w=")</f>
        <v>#VALUE!</v>
      </c>
      <c r="FR237" t="e">
        <f>AND('STERLING CATALOG - DRY '!B5339,"AAAAAHv1/60=")</f>
        <v>#VALUE!</v>
      </c>
      <c r="FS237" t="e">
        <f>AND('STERLING CATALOG - DRY '!C5339,"AAAAAHv1/64=")</f>
        <v>#VALUE!</v>
      </c>
      <c r="FT237" t="e">
        <f>AND('STERLING CATALOG - DRY '!D5339,"AAAAAHv1/68=")</f>
        <v>#VALUE!</v>
      </c>
      <c r="FU237" t="e">
        <f>AND('STERLING CATALOG - DRY '!E5339,"AAAAAHv1/7A=")</f>
        <v>#VALUE!</v>
      </c>
      <c r="FV237" t="e">
        <f>AND('STERLING CATALOG - DRY '!F5339,"AAAAAHv1/7E=")</f>
        <v>#VALUE!</v>
      </c>
      <c r="FW237" t="e">
        <f>AND('STERLING CATALOG - DRY '!G5339,"AAAAAHv1/7I=")</f>
        <v>#VALUE!</v>
      </c>
      <c r="FX237" t="e">
        <f>AND('STERLING CATALOG - DRY '!H5339,"AAAAAHv1/7M=")</f>
        <v>#VALUE!</v>
      </c>
      <c r="FY237" t="e">
        <f>AND('STERLING CATALOG - DRY '!I5339,"AAAAAHv1/7Q=")</f>
        <v>#VALUE!</v>
      </c>
      <c r="FZ237" t="e">
        <f>AND('STERLING CATALOG - DRY '!J5339,"AAAAAHv1/7U=")</f>
        <v>#VALUE!</v>
      </c>
      <c r="GA237">
        <f>IF('STERLING CATALOG - DRY '!5340:5340,"AAAAAHv1/7Y=",0)</f>
        <v>0</v>
      </c>
      <c r="GB237" t="e">
        <f>AND('STERLING CATALOG - DRY '!A5340,"AAAAAHv1/7c=")</f>
        <v>#VALUE!</v>
      </c>
      <c r="GC237" t="e">
        <f>AND('STERLING CATALOG - DRY '!B5340,"AAAAAHv1/7g=")</f>
        <v>#VALUE!</v>
      </c>
      <c r="GD237" t="e">
        <f>AND('STERLING CATALOG - DRY '!C5340,"AAAAAHv1/7k=")</f>
        <v>#VALUE!</v>
      </c>
      <c r="GE237" t="e">
        <f>AND('STERLING CATALOG - DRY '!D5340,"AAAAAHv1/7o=")</f>
        <v>#VALUE!</v>
      </c>
      <c r="GF237" t="e">
        <f>AND('STERLING CATALOG - DRY '!E5340,"AAAAAHv1/7s=")</f>
        <v>#VALUE!</v>
      </c>
      <c r="GG237" t="e">
        <f>AND('STERLING CATALOG - DRY '!F5340,"AAAAAHv1/7w=")</f>
        <v>#VALUE!</v>
      </c>
      <c r="GH237" t="e">
        <f>AND('STERLING CATALOG - DRY '!G5340,"AAAAAHv1/70=")</f>
        <v>#VALUE!</v>
      </c>
      <c r="GI237" t="e">
        <f>AND('STERLING CATALOG - DRY '!H5340,"AAAAAHv1/74=")</f>
        <v>#VALUE!</v>
      </c>
      <c r="GJ237" t="e">
        <f>AND('STERLING CATALOG - DRY '!I5340,"AAAAAHv1/78=")</f>
        <v>#VALUE!</v>
      </c>
      <c r="GK237" t="e">
        <f>AND('STERLING CATALOG - DRY '!J5340,"AAAAAHv1/8A=")</f>
        <v>#VALUE!</v>
      </c>
      <c r="GL237">
        <f>IF('STERLING CATALOG - DRY '!5341:5341,"AAAAAHv1/8E=",0)</f>
        <v>0</v>
      </c>
      <c r="GM237" t="e">
        <f>AND('STERLING CATALOG - DRY '!A5341,"AAAAAHv1/8I=")</f>
        <v>#VALUE!</v>
      </c>
      <c r="GN237" t="e">
        <f>AND('STERLING CATALOG - DRY '!B5341,"AAAAAHv1/8M=")</f>
        <v>#VALUE!</v>
      </c>
      <c r="GO237" t="e">
        <f>AND('STERLING CATALOG - DRY '!C5341,"AAAAAHv1/8Q=")</f>
        <v>#VALUE!</v>
      </c>
      <c r="GP237" t="e">
        <f>AND('STERLING CATALOG - DRY '!D5341,"AAAAAHv1/8U=")</f>
        <v>#VALUE!</v>
      </c>
      <c r="GQ237" t="e">
        <f>AND('STERLING CATALOG - DRY '!E5341,"AAAAAHv1/8Y=")</f>
        <v>#VALUE!</v>
      </c>
      <c r="GR237" t="e">
        <f>AND('STERLING CATALOG - DRY '!F5341,"AAAAAHv1/8c=")</f>
        <v>#VALUE!</v>
      </c>
      <c r="GS237" t="e">
        <f>AND('STERLING CATALOG - DRY '!G5341,"AAAAAHv1/8g=")</f>
        <v>#VALUE!</v>
      </c>
      <c r="GT237" t="e">
        <f>AND('STERLING CATALOG - DRY '!H5341,"AAAAAHv1/8k=")</f>
        <v>#VALUE!</v>
      </c>
      <c r="GU237" t="e">
        <f>AND('STERLING CATALOG - DRY '!I5341,"AAAAAHv1/8o=")</f>
        <v>#VALUE!</v>
      </c>
      <c r="GV237" t="e">
        <f>AND('STERLING CATALOG - DRY '!J5341,"AAAAAHv1/8s=")</f>
        <v>#VALUE!</v>
      </c>
      <c r="GW237">
        <f>IF('STERLING CATALOG - DRY '!5342:5342,"AAAAAHv1/8w=",0)</f>
        <v>0</v>
      </c>
      <c r="GX237" t="e">
        <f>AND('STERLING CATALOG - DRY '!A5342,"AAAAAHv1/80=")</f>
        <v>#VALUE!</v>
      </c>
      <c r="GY237" t="e">
        <f>AND('STERLING CATALOG - DRY '!B5342,"AAAAAHv1/84=")</f>
        <v>#VALUE!</v>
      </c>
      <c r="GZ237" t="e">
        <f>AND('STERLING CATALOG - DRY '!C5342,"AAAAAHv1/88=")</f>
        <v>#VALUE!</v>
      </c>
      <c r="HA237" t="e">
        <f>AND('STERLING CATALOG - DRY '!D5342,"AAAAAHv1/9A=")</f>
        <v>#VALUE!</v>
      </c>
      <c r="HB237" t="e">
        <f>AND('STERLING CATALOG - DRY '!E5342,"AAAAAHv1/9E=")</f>
        <v>#VALUE!</v>
      </c>
      <c r="HC237" t="e">
        <f>AND('STERLING CATALOG - DRY '!F5342,"AAAAAHv1/9I=")</f>
        <v>#VALUE!</v>
      </c>
      <c r="HD237" t="e">
        <f>AND('STERLING CATALOG - DRY '!G5342,"AAAAAHv1/9M=")</f>
        <v>#VALUE!</v>
      </c>
      <c r="HE237" t="e">
        <f>AND('STERLING CATALOG - DRY '!H5342,"AAAAAHv1/9Q=")</f>
        <v>#VALUE!</v>
      </c>
      <c r="HF237" t="e">
        <f>AND('STERLING CATALOG - DRY '!I5342,"AAAAAHv1/9U=")</f>
        <v>#VALUE!</v>
      </c>
      <c r="HG237" t="e">
        <f>AND('STERLING CATALOG - DRY '!J5342,"AAAAAHv1/9Y=")</f>
        <v>#VALUE!</v>
      </c>
      <c r="HH237">
        <f>IF('STERLING CATALOG - DRY '!5343:5343,"AAAAAHv1/9c=",0)</f>
        <v>0</v>
      </c>
      <c r="HI237" t="e">
        <f>AND('STERLING CATALOG - DRY '!A5343,"AAAAAHv1/9g=")</f>
        <v>#VALUE!</v>
      </c>
      <c r="HJ237" t="e">
        <f>AND('STERLING CATALOG - DRY '!B5343,"AAAAAHv1/9k=")</f>
        <v>#VALUE!</v>
      </c>
      <c r="HK237" t="e">
        <f>AND('STERLING CATALOG - DRY '!C5343,"AAAAAHv1/9o=")</f>
        <v>#VALUE!</v>
      </c>
      <c r="HL237" t="e">
        <f>AND('STERLING CATALOG - DRY '!D5343,"AAAAAHv1/9s=")</f>
        <v>#VALUE!</v>
      </c>
      <c r="HM237" t="e">
        <f>AND('STERLING CATALOG - DRY '!E5343,"AAAAAHv1/9w=")</f>
        <v>#VALUE!</v>
      </c>
      <c r="HN237" t="e">
        <f>AND('STERLING CATALOG - DRY '!F5343,"AAAAAHv1/90=")</f>
        <v>#VALUE!</v>
      </c>
      <c r="HO237" t="e">
        <f>AND('STERLING CATALOG - DRY '!G5343,"AAAAAHv1/94=")</f>
        <v>#VALUE!</v>
      </c>
      <c r="HP237" t="e">
        <f>AND('STERLING CATALOG - DRY '!H5343,"AAAAAHv1/98=")</f>
        <v>#VALUE!</v>
      </c>
      <c r="HQ237" t="e">
        <f>AND('STERLING CATALOG - DRY '!I5343,"AAAAAHv1/+A=")</f>
        <v>#VALUE!</v>
      </c>
      <c r="HR237" t="e">
        <f>AND('STERLING CATALOG - DRY '!J5343,"AAAAAHv1/+E=")</f>
        <v>#VALUE!</v>
      </c>
      <c r="HS237">
        <f>IF('STERLING CATALOG - DRY '!5344:5344,"AAAAAHv1/+I=",0)</f>
        <v>0</v>
      </c>
      <c r="HT237" t="e">
        <f>AND('STERLING CATALOG - DRY '!A5344,"AAAAAHv1/+M=")</f>
        <v>#VALUE!</v>
      </c>
      <c r="HU237" t="e">
        <f>AND('STERLING CATALOG - DRY '!B5344,"AAAAAHv1/+Q=")</f>
        <v>#VALUE!</v>
      </c>
      <c r="HV237" t="e">
        <f>AND('STERLING CATALOG - DRY '!C5344,"AAAAAHv1/+U=")</f>
        <v>#VALUE!</v>
      </c>
      <c r="HW237" t="e">
        <f>AND('STERLING CATALOG - DRY '!D5344,"AAAAAHv1/+Y=")</f>
        <v>#VALUE!</v>
      </c>
      <c r="HX237" t="e">
        <f>AND('STERLING CATALOG - DRY '!E5344,"AAAAAHv1/+c=")</f>
        <v>#VALUE!</v>
      </c>
      <c r="HY237" t="e">
        <f>AND('STERLING CATALOG - DRY '!F5344,"AAAAAHv1/+g=")</f>
        <v>#VALUE!</v>
      </c>
      <c r="HZ237" t="e">
        <f>AND('STERLING CATALOG - DRY '!G5344,"AAAAAHv1/+k=")</f>
        <v>#VALUE!</v>
      </c>
      <c r="IA237" t="e">
        <f>AND('STERLING CATALOG - DRY '!H5344,"AAAAAHv1/+o=")</f>
        <v>#VALUE!</v>
      </c>
      <c r="IB237" t="e">
        <f>AND('STERLING CATALOG - DRY '!I5344,"AAAAAHv1/+s=")</f>
        <v>#VALUE!</v>
      </c>
      <c r="IC237" t="e">
        <f>AND('STERLING CATALOG - DRY '!J5344,"AAAAAHv1/+w=")</f>
        <v>#VALUE!</v>
      </c>
      <c r="ID237">
        <f>IF('STERLING CATALOG - DRY '!5345:5345,"AAAAAHv1/+0=",0)</f>
        <v>0</v>
      </c>
      <c r="IE237" t="e">
        <f>AND('STERLING CATALOG - DRY '!A5345,"AAAAAHv1/+4=")</f>
        <v>#VALUE!</v>
      </c>
      <c r="IF237" t="e">
        <f>AND('STERLING CATALOG - DRY '!B5345,"AAAAAHv1/+8=")</f>
        <v>#VALUE!</v>
      </c>
      <c r="IG237" t="e">
        <f>AND('STERLING CATALOG - DRY '!C5345,"AAAAAHv1//A=")</f>
        <v>#VALUE!</v>
      </c>
      <c r="IH237" t="e">
        <f>AND('STERLING CATALOG - DRY '!D5345,"AAAAAHv1//E=")</f>
        <v>#VALUE!</v>
      </c>
      <c r="II237" t="e">
        <f>AND('STERLING CATALOG - DRY '!E5345,"AAAAAHv1//I=")</f>
        <v>#VALUE!</v>
      </c>
      <c r="IJ237" t="e">
        <f>AND('STERLING CATALOG - DRY '!F5345,"AAAAAHv1//M=")</f>
        <v>#VALUE!</v>
      </c>
      <c r="IK237" t="e">
        <f>AND('STERLING CATALOG - DRY '!G5345,"AAAAAHv1//Q=")</f>
        <v>#VALUE!</v>
      </c>
      <c r="IL237" t="e">
        <f>AND('STERLING CATALOG - DRY '!H5345,"AAAAAHv1//U=")</f>
        <v>#VALUE!</v>
      </c>
      <c r="IM237" t="e">
        <f>AND('STERLING CATALOG - DRY '!I5345,"AAAAAHv1//Y=")</f>
        <v>#VALUE!</v>
      </c>
      <c r="IN237" t="e">
        <f>AND('STERLING CATALOG - DRY '!J5345,"AAAAAHv1//c=")</f>
        <v>#VALUE!</v>
      </c>
      <c r="IO237">
        <f>IF('STERLING CATALOG - DRY '!5346:5346,"AAAAAHv1//g=",0)</f>
        <v>0</v>
      </c>
      <c r="IP237" t="e">
        <f>AND('STERLING CATALOG - DRY '!A5346,"AAAAAHv1//k=")</f>
        <v>#VALUE!</v>
      </c>
      <c r="IQ237" t="e">
        <f>AND('STERLING CATALOG - DRY '!B5346,"AAAAAHv1//o=")</f>
        <v>#VALUE!</v>
      </c>
      <c r="IR237" t="e">
        <f>AND('STERLING CATALOG - DRY '!C5346,"AAAAAHv1//s=")</f>
        <v>#VALUE!</v>
      </c>
      <c r="IS237" t="e">
        <f>AND('STERLING CATALOG - DRY '!D5346,"AAAAAHv1//w=")</f>
        <v>#VALUE!</v>
      </c>
      <c r="IT237" t="e">
        <f>AND('STERLING CATALOG - DRY '!E5346,"AAAAAHv1//0=")</f>
        <v>#VALUE!</v>
      </c>
      <c r="IU237" t="e">
        <f>AND('STERLING CATALOG - DRY '!F5346,"AAAAAHv1//4=")</f>
        <v>#VALUE!</v>
      </c>
      <c r="IV237" t="e">
        <f>AND('STERLING CATALOG - DRY '!G5346,"AAAAAHv1//8=")</f>
        <v>#VALUE!</v>
      </c>
    </row>
    <row r="238" spans="1:256">
      <c r="A238" t="e">
        <f>AND('STERLING CATALOG - DRY '!H5346,"AAAAAH//+gA=")</f>
        <v>#VALUE!</v>
      </c>
      <c r="B238" t="e">
        <f>AND('STERLING CATALOG - DRY '!I5346,"AAAAAH//+gE=")</f>
        <v>#VALUE!</v>
      </c>
      <c r="C238" t="e">
        <f>AND('STERLING CATALOG - DRY '!J5346,"AAAAAH//+gI=")</f>
        <v>#VALUE!</v>
      </c>
      <c r="D238" t="e">
        <f>IF('STERLING CATALOG - DRY '!5347:5347,"AAAAAH//+gM=",0)</f>
        <v>#VALUE!</v>
      </c>
      <c r="E238" t="e">
        <f>AND('STERLING CATALOG - DRY '!A5347,"AAAAAH//+gQ=")</f>
        <v>#VALUE!</v>
      </c>
      <c r="F238" t="e">
        <f>AND('STERLING CATALOG - DRY '!B5347,"AAAAAH//+gU=")</f>
        <v>#VALUE!</v>
      </c>
      <c r="G238" t="e">
        <f>AND('STERLING CATALOG - DRY '!C5347,"AAAAAH//+gY=")</f>
        <v>#VALUE!</v>
      </c>
      <c r="H238" t="e">
        <f>AND('STERLING CATALOG - DRY '!D5347,"AAAAAH//+gc=")</f>
        <v>#VALUE!</v>
      </c>
      <c r="I238" t="e">
        <f>AND('STERLING CATALOG - DRY '!E5347,"AAAAAH//+gg=")</f>
        <v>#VALUE!</v>
      </c>
      <c r="J238" t="e">
        <f>AND('STERLING CATALOG - DRY '!F5347,"AAAAAH//+gk=")</f>
        <v>#VALUE!</v>
      </c>
      <c r="K238" t="e">
        <f>AND('STERLING CATALOG - DRY '!G5347,"AAAAAH//+go=")</f>
        <v>#VALUE!</v>
      </c>
      <c r="L238" t="e">
        <f>AND('STERLING CATALOG - DRY '!H5347,"AAAAAH//+gs=")</f>
        <v>#VALUE!</v>
      </c>
      <c r="M238" t="e">
        <f>AND('STERLING CATALOG - DRY '!I5347,"AAAAAH//+gw=")</f>
        <v>#VALUE!</v>
      </c>
      <c r="N238" t="e">
        <f>AND('STERLING CATALOG - DRY '!J5347,"AAAAAH//+g0=")</f>
        <v>#VALUE!</v>
      </c>
      <c r="O238">
        <f>IF('STERLING CATALOG - DRY '!5348:5348,"AAAAAH//+g4=",0)</f>
        <v>0</v>
      </c>
      <c r="P238" t="e">
        <f>AND('STERLING CATALOG - DRY '!A5348,"AAAAAH//+g8=")</f>
        <v>#VALUE!</v>
      </c>
      <c r="Q238" t="e">
        <f>AND('STERLING CATALOG - DRY '!B5348,"AAAAAH//+hA=")</f>
        <v>#VALUE!</v>
      </c>
      <c r="R238" t="e">
        <f>AND('STERLING CATALOG - DRY '!C5348,"AAAAAH//+hE=")</f>
        <v>#VALUE!</v>
      </c>
      <c r="S238" t="e">
        <f>AND('STERLING CATALOG - DRY '!D5348,"AAAAAH//+hI=")</f>
        <v>#VALUE!</v>
      </c>
      <c r="T238" t="e">
        <f>AND('STERLING CATALOG - DRY '!E5348,"AAAAAH//+hM=")</f>
        <v>#VALUE!</v>
      </c>
      <c r="U238" t="e">
        <f>AND('STERLING CATALOG - DRY '!F5348,"AAAAAH//+hQ=")</f>
        <v>#VALUE!</v>
      </c>
      <c r="V238" t="e">
        <f>AND('STERLING CATALOG - DRY '!G5348,"AAAAAH//+hU=")</f>
        <v>#VALUE!</v>
      </c>
      <c r="W238" t="e">
        <f>AND('STERLING CATALOG - DRY '!H5348,"AAAAAH//+hY=")</f>
        <v>#VALUE!</v>
      </c>
      <c r="X238" t="e">
        <f>AND('STERLING CATALOG - DRY '!I5348,"AAAAAH//+hc=")</f>
        <v>#VALUE!</v>
      </c>
      <c r="Y238" t="e">
        <f>AND('STERLING CATALOG - DRY '!J5348,"AAAAAH//+hg=")</f>
        <v>#VALUE!</v>
      </c>
      <c r="Z238">
        <f>IF('STERLING CATALOG - DRY '!5349:5349,"AAAAAH//+hk=",0)</f>
        <v>0</v>
      </c>
      <c r="AA238" t="e">
        <f>AND('STERLING CATALOG - DRY '!A5349,"AAAAAH//+ho=")</f>
        <v>#VALUE!</v>
      </c>
      <c r="AB238" t="e">
        <f>AND('STERLING CATALOG - DRY '!B5349,"AAAAAH//+hs=")</f>
        <v>#VALUE!</v>
      </c>
      <c r="AC238" t="e">
        <f>AND('STERLING CATALOG - DRY '!C5349,"AAAAAH//+hw=")</f>
        <v>#VALUE!</v>
      </c>
      <c r="AD238" t="e">
        <f>AND('STERLING CATALOG - DRY '!D5349,"AAAAAH//+h0=")</f>
        <v>#VALUE!</v>
      </c>
      <c r="AE238" t="e">
        <f>AND('STERLING CATALOG - DRY '!E5349,"AAAAAH//+h4=")</f>
        <v>#VALUE!</v>
      </c>
      <c r="AF238" t="e">
        <f>AND('STERLING CATALOG - DRY '!F5349,"AAAAAH//+h8=")</f>
        <v>#VALUE!</v>
      </c>
      <c r="AG238" t="e">
        <f>AND('STERLING CATALOG - DRY '!G5349,"AAAAAH//+iA=")</f>
        <v>#VALUE!</v>
      </c>
      <c r="AH238" t="e">
        <f>AND('STERLING CATALOG - DRY '!H5349,"AAAAAH//+iE=")</f>
        <v>#VALUE!</v>
      </c>
      <c r="AI238" t="e">
        <f>AND('STERLING CATALOG - DRY '!I5349,"AAAAAH//+iI=")</f>
        <v>#VALUE!</v>
      </c>
      <c r="AJ238" t="e">
        <f>AND('STERLING CATALOG - DRY '!J5349,"AAAAAH//+iM=")</f>
        <v>#VALUE!</v>
      </c>
      <c r="AK238">
        <f>IF('STERLING CATALOG - DRY '!5350:5350,"AAAAAH//+iQ=",0)</f>
        <v>0</v>
      </c>
      <c r="AL238" t="e">
        <f>AND('STERLING CATALOG - DRY '!A5350,"AAAAAH//+iU=")</f>
        <v>#VALUE!</v>
      </c>
      <c r="AM238" t="e">
        <f>AND('STERLING CATALOG - DRY '!B5350,"AAAAAH//+iY=")</f>
        <v>#VALUE!</v>
      </c>
      <c r="AN238" t="e">
        <f>AND('STERLING CATALOG - DRY '!C5350,"AAAAAH//+ic=")</f>
        <v>#VALUE!</v>
      </c>
      <c r="AO238" t="e">
        <f>AND('STERLING CATALOG - DRY '!D5350,"AAAAAH//+ig=")</f>
        <v>#VALUE!</v>
      </c>
      <c r="AP238" t="e">
        <f>AND('STERLING CATALOG - DRY '!E5350,"AAAAAH//+ik=")</f>
        <v>#VALUE!</v>
      </c>
      <c r="AQ238" t="e">
        <f>AND('STERLING CATALOG - DRY '!F5350,"AAAAAH//+io=")</f>
        <v>#VALUE!</v>
      </c>
      <c r="AR238" t="e">
        <f>AND('STERLING CATALOG - DRY '!G5350,"AAAAAH//+is=")</f>
        <v>#VALUE!</v>
      </c>
      <c r="AS238" t="e">
        <f>AND('STERLING CATALOG - DRY '!H5350,"AAAAAH//+iw=")</f>
        <v>#VALUE!</v>
      </c>
      <c r="AT238" t="e">
        <f>AND('STERLING CATALOG - DRY '!I5350,"AAAAAH//+i0=")</f>
        <v>#VALUE!</v>
      </c>
      <c r="AU238" t="e">
        <f>AND('STERLING CATALOG - DRY '!J5350,"AAAAAH//+i4=")</f>
        <v>#VALUE!</v>
      </c>
      <c r="AV238">
        <f>IF('STERLING CATALOG - DRY '!5351:5351,"AAAAAH//+i8=",0)</f>
        <v>0</v>
      </c>
      <c r="AW238" t="e">
        <f>AND('STERLING CATALOG - DRY '!A5351,"AAAAAH//+jA=")</f>
        <v>#VALUE!</v>
      </c>
      <c r="AX238" t="e">
        <f>AND('STERLING CATALOG - DRY '!B5351,"AAAAAH//+jE=")</f>
        <v>#VALUE!</v>
      </c>
      <c r="AY238" t="e">
        <f>AND('STERLING CATALOG - DRY '!C5351,"AAAAAH//+jI=")</f>
        <v>#VALUE!</v>
      </c>
      <c r="AZ238" t="e">
        <f>AND('STERLING CATALOG - DRY '!D5351,"AAAAAH//+jM=")</f>
        <v>#VALUE!</v>
      </c>
      <c r="BA238" t="e">
        <f>AND('STERLING CATALOG - DRY '!E5351,"AAAAAH//+jQ=")</f>
        <v>#VALUE!</v>
      </c>
      <c r="BB238" t="e">
        <f>AND('STERLING CATALOG - DRY '!F5351,"AAAAAH//+jU=")</f>
        <v>#VALUE!</v>
      </c>
      <c r="BC238" t="e">
        <f>AND('STERLING CATALOG - DRY '!G5351,"AAAAAH//+jY=")</f>
        <v>#VALUE!</v>
      </c>
      <c r="BD238" t="e">
        <f>AND('STERLING CATALOG - DRY '!H5351,"AAAAAH//+jc=")</f>
        <v>#VALUE!</v>
      </c>
      <c r="BE238" t="e">
        <f>AND('STERLING CATALOG - DRY '!I5351,"AAAAAH//+jg=")</f>
        <v>#VALUE!</v>
      </c>
      <c r="BF238" t="e">
        <f>AND('STERLING CATALOG - DRY '!J5351,"AAAAAH//+jk=")</f>
        <v>#VALUE!</v>
      </c>
      <c r="BG238">
        <f>IF('STERLING CATALOG - DRY '!5352:5352,"AAAAAH//+jo=",0)</f>
        <v>0</v>
      </c>
      <c r="BH238" t="e">
        <f>AND('STERLING CATALOG - DRY '!A5352,"AAAAAH//+js=")</f>
        <v>#VALUE!</v>
      </c>
      <c r="BI238" t="e">
        <f>AND('STERLING CATALOG - DRY '!B5352,"AAAAAH//+jw=")</f>
        <v>#VALUE!</v>
      </c>
      <c r="BJ238" t="e">
        <f>AND('STERLING CATALOG - DRY '!C5352,"AAAAAH//+j0=")</f>
        <v>#VALUE!</v>
      </c>
      <c r="BK238" t="e">
        <f>AND('STERLING CATALOG - DRY '!D5352,"AAAAAH//+j4=")</f>
        <v>#VALUE!</v>
      </c>
      <c r="BL238" t="e">
        <f>AND('STERLING CATALOG - DRY '!E5352,"AAAAAH//+j8=")</f>
        <v>#VALUE!</v>
      </c>
      <c r="BM238" t="e">
        <f>AND('STERLING CATALOG - DRY '!F5352,"AAAAAH//+kA=")</f>
        <v>#VALUE!</v>
      </c>
      <c r="BN238" t="e">
        <f>AND('STERLING CATALOG - DRY '!G5352,"AAAAAH//+kE=")</f>
        <v>#VALUE!</v>
      </c>
      <c r="BO238" t="e">
        <f>AND('STERLING CATALOG - DRY '!H5352,"AAAAAH//+kI=")</f>
        <v>#VALUE!</v>
      </c>
      <c r="BP238" t="e">
        <f>AND('STERLING CATALOG - DRY '!I5352,"AAAAAH//+kM=")</f>
        <v>#VALUE!</v>
      </c>
      <c r="BQ238" t="e">
        <f>AND('STERLING CATALOG - DRY '!J5352,"AAAAAH//+kQ=")</f>
        <v>#VALUE!</v>
      </c>
      <c r="BR238">
        <f>IF('STERLING CATALOG - DRY '!5353:5353,"AAAAAH//+kU=",0)</f>
        <v>0</v>
      </c>
      <c r="BS238" t="e">
        <f>AND('STERLING CATALOG - DRY '!A5353,"AAAAAH//+kY=")</f>
        <v>#VALUE!</v>
      </c>
      <c r="BT238" t="e">
        <f>AND('STERLING CATALOG - DRY '!B5353,"AAAAAH//+kc=")</f>
        <v>#VALUE!</v>
      </c>
      <c r="BU238" t="e">
        <f>AND('STERLING CATALOG - DRY '!C5353,"AAAAAH//+kg=")</f>
        <v>#VALUE!</v>
      </c>
      <c r="BV238" t="e">
        <f>AND('STERLING CATALOG - DRY '!D5353,"AAAAAH//+kk=")</f>
        <v>#VALUE!</v>
      </c>
      <c r="BW238" t="e">
        <f>AND('STERLING CATALOG - DRY '!E5353,"AAAAAH//+ko=")</f>
        <v>#VALUE!</v>
      </c>
      <c r="BX238" t="e">
        <f>AND('STERLING CATALOG - DRY '!F5353,"AAAAAH//+ks=")</f>
        <v>#VALUE!</v>
      </c>
      <c r="BY238" t="e">
        <f>AND('STERLING CATALOG - DRY '!G5353,"AAAAAH//+kw=")</f>
        <v>#VALUE!</v>
      </c>
      <c r="BZ238" t="e">
        <f>AND('STERLING CATALOG - DRY '!H5353,"AAAAAH//+k0=")</f>
        <v>#VALUE!</v>
      </c>
      <c r="CA238" t="e">
        <f>AND('STERLING CATALOG - DRY '!I5353,"AAAAAH//+k4=")</f>
        <v>#VALUE!</v>
      </c>
      <c r="CB238" t="e">
        <f>AND('STERLING CATALOG - DRY '!J5353,"AAAAAH//+k8=")</f>
        <v>#VALUE!</v>
      </c>
      <c r="CC238">
        <f>IF('STERLING CATALOG - DRY '!5354:5354,"AAAAAH//+lA=",0)</f>
        <v>0</v>
      </c>
      <c r="CD238" t="e">
        <f>AND('STERLING CATALOG - DRY '!A5354,"AAAAAH//+lE=")</f>
        <v>#VALUE!</v>
      </c>
      <c r="CE238" t="e">
        <f>AND('STERLING CATALOG - DRY '!B5354,"AAAAAH//+lI=")</f>
        <v>#VALUE!</v>
      </c>
      <c r="CF238" t="e">
        <f>AND('STERLING CATALOG - DRY '!C5354,"AAAAAH//+lM=")</f>
        <v>#VALUE!</v>
      </c>
      <c r="CG238" t="e">
        <f>AND('STERLING CATALOG - DRY '!D5354,"AAAAAH//+lQ=")</f>
        <v>#VALUE!</v>
      </c>
      <c r="CH238" t="e">
        <f>AND('STERLING CATALOG - DRY '!E5354,"AAAAAH//+lU=")</f>
        <v>#VALUE!</v>
      </c>
      <c r="CI238" t="e">
        <f>AND('STERLING CATALOG - DRY '!F5354,"AAAAAH//+lY=")</f>
        <v>#VALUE!</v>
      </c>
      <c r="CJ238" t="e">
        <f>AND('STERLING CATALOG - DRY '!G5354,"AAAAAH//+lc=")</f>
        <v>#VALUE!</v>
      </c>
      <c r="CK238" t="e">
        <f>AND('STERLING CATALOG - DRY '!H5354,"AAAAAH//+lg=")</f>
        <v>#VALUE!</v>
      </c>
      <c r="CL238" t="e">
        <f>AND('STERLING CATALOG - DRY '!I5354,"AAAAAH//+lk=")</f>
        <v>#VALUE!</v>
      </c>
      <c r="CM238" t="e">
        <f>AND('STERLING CATALOG - DRY '!J5354,"AAAAAH//+lo=")</f>
        <v>#VALUE!</v>
      </c>
      <c r="CN238">
        <f>IF('STERLING CATALOG - DRY '!5355:5355,"AAAAAH//+ls=",0)</f>
        <v>0</v>
      </c>
      <c r="CO238" t="e">
        <f>AND('STERLING CATALOG - DRY '!A5355,"AAAAAH//+lw=")</f>
        <v>#VALUE!</v>
      </c>
      <c r="CP238" t="e">
        <f>AND('STERLING CATALOG - DRY '!B5355,"AAAAAH//+l0=")</f>
        <v>#VALUE!</v>
      </c>
      <c r="CQ238" t="e">
        <f>AND('STERLING CATALOG - DRY '!C5355,"AAAAAH//+l4=")</f>
        <v>#VALUE!</v>
      </c>
      <c r="CR238" t="e">
        <f>AND('STERLING CATALOG - DRY '!D5355,"AAAAAH//+l8=")</f>
        <v>#VALUE!</v>
      </c>
      <c r="CS238" t="e">
        <f>AND('STERLING CATALOG - DRY '!E5355,"AAAAAH//+mA=")</f>
        <v>#VALUE!</v>
      </c>
      <c r="CT238" t="e">
        <f>AND('STERLING CATALOG - DRY '!F5355,"AAAAAH//+mE=")</f>
        <v>#VALUE!</v>
      </c>
      <c r="CU238" t="e">
        <f>AND('STERLING CATALOG - DRY '!G5355,"AAAAAH//+mI=")</f>
        <v>#VALUE!</v>
      </c>
      <c r="CV238" t="e">
        <f>AND('STERLING CATALOG - DRY '!H5355,"AAAAAH//+mM=")</f>
        <v>#VALUE!</v>
      </c>
      <c r="CW238" t="e">
        <f>AND('STERLING CATALOG - DRY '!I5355,"AAAAAH//+mQ=")</f>
        <v>#VALUE!</v>
      </c>
      <c r="CX238" t="e">
        <f>AND('STERLING CATALOG - DRY '!J5355,"AAAAAH//+mU=")</f>
        <v>#VALUE!</v>
      </c>
      <c r="CY238">
        <f>IF('STERLING CATALOG - DRY '!5356:5356,"AAAAAH//+mY=",0)</f>
        <v>0</v>
      </c>
      <c r="CZ238" t="e">
        <f>AND('STERLING CATALOG - DRY '!A5356,"AAAAAH//+mc=")</f>
        <v>#VALUE!</v>
      </c>
      <c r="DA238" t="e">
        <f>AND('STERLING CATALOG - DRY '!B5356,"AAAAAH//+mg=")</f>
        <v>#VALUE!</v>
      </c>
      <c r="DB238" t="e">
        <f>AND('STERLING CATALOG - DRY '!C5356,"AAAAAH//+mk=")</f>
        <v>#VALUE!</v>
      </c>
      <c r="DC238" t="e">
        <f>AND('STERLING CATALOG - DRY '!D5356,"AAAAAH//+mo=")</f>
        <v>#VALUE!</v>
      </c>
      <c r="DD238" t="e">
        <f>AND('STERLING CATALOG - DRY '!E5356,"AAAAAH//+ms=")</f>
        <v>#VALUE!</v>
      </c>
      <c r="DE238" t="e">
        <f>AND('STERLING CATALOG - DRY '!F5356,"AAAAAH//+mw=")</f>
        <v>#VALUE!</v>
      </c>
      <c r="DF238" t="e">
        <f>AND('STERLING CATALOG - DRY '!G5356,"AAAAAH//+m0=")</f>
        <v>#VALUE!</v>
      </c>
      <c r="DG238" t="e">
        <f>AND('STERLING CATALOG - DRY '!H5356,"AAAAAH//+m4=")</f>
        <v>#VALUE!</v>
      </c>
      <c r="DH238" t="e">
        <f>AND('STERLING CATALOG - DRY '!I5356,"AAAAAH//+m8=")</f>
        <v>#VALUE!</v>
      </c>
      <c r="DI238" t="e">
        <f>AND('STERLING CATALOG - DRY '!J5356,"AAAAAH//+nA=")</f>
        <v>#VALUE!</v>
      </c>
      <c r="DJ238">
        <f>IF('STERLING CATALOG - DRY '!5357:5357,"AAAAAH//+nE=",0)</f>
        <v>0</v>
      </c>
      <c r="DK238" t="e">
        <f>AND('STERLING CATALOG - DRY '!A5357,"AAAAAH//+nI=")</f>
        <v>#VALUE!</v>
      </c>
      <c r="DL238" t="e">
        <f>AND('STERLING CATALOG - DRY '!B5357,"AAAAAH//+nM=")</f>
        <v>#VALUE!</v>
      </c>
      <c r="DM238" t="e">
        <f>AND('STERLING CATALOG - DRY '!C5357,"AAAAAH//+nQ=")</f>
        <v>#VALUE!</v>
      </c>
      <c r="DN238" t="e">
        <f>AND('STERLING CATALOG - DRY '!D5357,"AAAAAH//+nU=")</f>
        <v>#VALUE!</v>
      </c>
      <c r="DO238" t="e">
        <f>AND('STERLING CATALOG - DRY '!E5357,"AAAAAH//+nY=")</f>
        <v>#VALUE!</v>
      </c>
      <c r="DP238" t="e">
        <f>AND('STERLING CATALOG - DRY '!F5357,"AAAAAH//+nc=")</f>
        <v>#VALUE!</v>
      </c>
      <c r="DQ238" t="e">
        <f>AND('STERLING CATALOG - DRY '!G5357,"AAAAAH//+ng=")</f>
        <v>#VALUE!</v>
      </c>
      <c r="DR238" t="e">
        <f>AND('STERLING CATALOG - DRY '!H5357,"AAAAAH//+nk=")</f>
        <v>#VALUE!</v>
      </c>
      <c r="DS238" t="e">
        <f>AND('STERLING CATALOG - DRY '!I5357,"AAAAAH//+no=")</f>
        <v>#VALUE!</v>
      </c>
      <c r="DT238" t="e">
        <f>AND('STERLING CATALOG - DRY '!J5357,"AAAAAH//+ns=")</f>
        <v>#VALUE!</v>
      </c>
      <c r="DU238">
        <f>IF('STERLING CATALOG - DRY '!5358:5358,"AAAAAH//+nw=",0)</f>
        <v>0</v>
      </c>
      <c r="DV238" t="e">
        <f>AND('STERLING CATALOG - DRY '!A5358,"AAAAAH//+n0=")</f>
        <v>#VALUE!</v>
      </c>
      <c r="DW238" t="e">
        <f>AND('STERLING CATALOG - DRY '!B5358,"AAAAAH//+n4=")</f>
        <v>#VALUE!</v>
      </c>
      <c r="DX238" t="e">
        <f>AND('STERLING CATALOG - DRY '!C5358,"AAAAAH//+n8=")</f>
        <v>#VALUE!</v>
      </c>
      <c r="DY238" t="e">
        <f>AND('STERLING CATALOG - DRY '!D5358,"AAAAAH//+oA=")</f>
        <v>#VALUE!</v>
      </c>
      <c r="DZ238" t="e">
        <f>AND('STERLING CATALOG - DRY '!E5358,"AAAAAH//+oE=")</f>
        <v>#VALUE!</v>
      </c>
      <c r="EA238" t="e">
        <f>AND('STERLING CATALOG - DRY '!F5358,"AAAAAH//+oI=")</f>
        <v>#VALUE!</v>
      </c>
      <c r="EB238" t="e">
        <f>AND('STERLING CATALOG - DRY '!G5358,"AAAAAH//+oM=")</f>
        <v>#VALUE!</v>
      </c>
      <c r="EC238" t="e">
        <f>AND('STERLING CATALOG - DRY '!H5358,"AAAAAH//+oQ=")</f>
        <v>#VALUE!</v>
      </c>
      <c r="ED238" t="e">
        <f>AND('STERLING CATALOG - DRY '!I5358,"AAAAAH//+oU=")</f>
        <v>#VALUE!</v>
      </c>
      <c r="EE238" t="e">
        <f>AND('STERLING CATALOG - DRY '!J5358,"AAAAAH//+oY=")</f>
        <v>#VALUE!</v>
      </c>
      <c r="EF238">
        <f>IF('STERLING CATALOG - DRY '!5359:5359,"AAAAAH//+oc=",0)</f>
        <v>0</v>
      </c>
      <c r="EG238" t="e">
        <f>AND('STERLING CATALOG - DRY '!A5359,"AAAAAH//+og=")</f>
        <v>#VALUE!</v>
      </c>
      <c r="EH238" t="e">
        <f>AND('STERLING CATALOG - DRY '!B5359,"AAAAAH//+ok=")</f>
        <v>#VALUE!</v>
      </c>
      <c r="EI238" t="e">
        <f>AND('STERLING CATALOG - DRY '!C5359,"AAAAAH//+oo=")</f>
        <v>#VALUE!</v>
      </c>
      <c r="EJ238" t="e">
        <f>AND('STERLING CATALOG - DRY '!D5359,"AAAAAH//+os=")</f>
        <v>#VALUE!</v>
      </c>
      <c r="EK238" t="e">
        <f>AND('STERLING CATALOG - DRY '!E5359,"AAAAAH//+ow=")</f>
        <v>#VALUE!</v>
      </c>
      <c r="EL238" t="e">
        <f>AND('STERLING CATALOG - DRY '!F5359,"AAAAAH//+o0=")</f>
        <v>#VALUE!</v>
      </c>
      <c r="EM238" t="e">
        <f>AND('STERLING CATALOG - DRY '!G5359,"AAAAAH//+o4=")</f>
        <v>#VALUE!</v>
      </c>
      <c r="EN238" t="e">
        <f>AND('STERLING CATALOG - DRY '!H5359,"AAAAAH//+o8=")</f>
        <v>#VALUE!</v>
      </c>
      <c r="EO238" t="e">
        <f>AND('STERLING CATALOG - DRY '!I5359,"AAAAAH//+pA=")</f>
        <v>#VALUE!</v>
      </c>
      <c r="EP238" t="e">
        <f>AND('STERLING CATALOG - DRY '!J5359,"AAAAAH//+pE=")</f>
        <v>#VALUE!</v>
      </c>
      <c r="EQ238">
        <f>IF('STERLING CATALOG - DRY '!5360:5360,"AAAAAH//+pI=",0)</f>
        <v>0</v>
      </c>
      <c r="ER238" t="e">
        <f>AND('STERLING CATALOG - DRY '!A5360,"AAAAAH//+pM=")</f>
        <v>#VALUE!</v>
      </c>
      <c r="ES238" t="e">
        <f>AND('STERLING CATALOG - DRY '!B5360,"AAAAAH//+pQ=")</f>
        <v>#VALUE!</v>
      </c>
      <c r="ET238" t="e">
        <f>AND('STERLING CATALOG - DRY '!C5360,"AAAAAH//+pU=")</f>
        <v>#VALUE!</v>
      </c>
      <c r="EU238" t="e">
        <f>AND('STERLING CATALOG - DRY '!D5360,"AAAAAH//+pY=")</f>
        <v>#VALUE!</v>
      </c>
      <c r="EV238" t="e">
        <f>AND('STERLING CATALOG - DRY '!E5360,"AAAAAH//+pc=")</f>
        <v>#VALUE!</v>
      </c>
      <c r="EW238" t="e">
        <f>AND('STERLING CATALOG - DRY '!F5360,"AAAAAH//+pg=")</f>
        <v>#VALUE!</v>
      </c>
      <c r="EX238" t="e">
        <f>AND('STERLING CATALOG - DRY '!G5360,"AAAAAH//+pk=")</f>
        <v>#VALUE!</v>
      </c>
      <c r="EY238" t="e">
        <f>AND('STERLING CATALOG - DRY '!H5360,"AAAAAH//+po=")</f>
        <v>#VALUE!</v>
      </c>
      <c r="EZ238" t="e">
        <f>AND('STERLING CATALOG - DRY '!I5360,"AAAAAH//+ps=")</f>
        <v>#VALUE!</v>
      </c>
      <c r="FA238" t="e">
        <f>AND('STERLING CATALOG - DRY '!J5360,"AAAAAH//+pw=")</f>
        <v>#VALUE!</v>
      </c>
      <c r="FB238">
        <f>IF('STERLING CATALOG - DRY '!5361:5361,"AAAAAH//+p0=",0)</f>
        <v>0</v>
      </c>
      <c r="FC238" t="e">
        <f>AND('STERLING CATALOG - DRY '!A5361,"AAAAAH//+p4=")</f>
        <v>#VALUE!</v>
      </c>
      <c r="FD238" t="e">
        <f>AND('STERLING CATALOG - DRY '!B5361,"AAAAAH//+p8=")</f>
        <v>#VALUE!</v>
      </c>
      <c r="FE238" t="e">
        <f>AND('STERLING CATALOG - DRY '!C5361,"AAAAAH//+qA=")</f>
        <v>#VALUE!</v>
      </c>
      <c r="FF238" t="e">
        <f>AND('STERLING CATALOG - DRY '!D5361,"AAAAAH//+qE=")</f>
        <v>#VALUE!</v>
      </c>
      <c r="FG238" t="e">
        <f>AND('STERLING CATALOG - DRY '!E5361,"AAAAAH//+qI=")</f>
        <v>#VALUE!</v>
      </c>
      <c r="FH238" t="e">
        <f>AND('STERLING CATALOG - DRY '!F5361,"AAAAAH//+qM=")</f>
        <v>#VALUE!</v>
      </c>
      <c r="FI238" t="e">
        <f>AND('STERLING CATALOG - DRY '!G5361,"AAAAAH//+qQ=")</f>
        <v>#VALUE!</v>
      </c>
      <c r="FJ238" t="e">
        <f>AND('STERLING CATALOG - DRY '!H5361,"AAAAAH//+qU=")</f>
        <v>#VALUE!</v>
      </c>
      <c r="FK238" t="e">
        <f>AND('STERLING CATALOG - DRY '!I5361,"AAAAAH//+qY=")</f>
        <v>#VALUE!</v>
      </c>
      <c r="FL238" t="e">
        <f>AND('STERLING CATALOG - DRY '!J5361,"AAAAAH//+qc=")</f>
        <v>#VALUE!</v>
      </c>
      <c r="FM238">
        <f>IF('STERLING CATALOG - DRY '!5362:5362,"AAAAAH//+qg=",0)</f>
        <v>0</v>
      </c>
      <c r="FN238" t="e">
        <f>AND('STERLING CATALOG - DRY '!A5362,"AAAAAH//+qk=")</f>
        <v>#VALUE!</v>
      </c>
      <c r="FO238" t="e">
        <f>AND('STERLING CATALOG - DRY '!B5362,"AAAAAH//+qo=")</f>
        <v>#VALUE!</v>
      </c>
      <c r="FP238" t="e">
        <f>AND('STERLING CATALOG - DRY '!C5362,"AAAAAH//+qs=")</f>
        <v>#VALUE!</v>
      </c>
      <c r="FQ238" t="e">
        <f>AND('STERLING CATALOG - DRY '!D5362,"AAAAAH//+qw=")</f>
        <v>#VALUE!</v>
      </c>
      <c r="FR238" t="e">
        <f>AND('STERLING CATALOG - DRY '!E5362,"AAAAAH//+q0=")</f>
        <v>#VALUE!</v>
      </c>
      <c r="FS238" t="e">
        <f>AND('STERLING CATALOG - DRY '!F5362,"AAAAAH//+q4=")</f>
        <v>#VALUE!</v>
      </c>
      <c r="FT238" t="e">
        <f>AND('STERLING CATALOG - DRY '!G5362,"AAAAAH//+q8=")</f>
        <v>#VALUE!</v>
      </c>
      <c r="FU238" t="e">
        <f>AND('STERLING CATALOG - DRY '!H5362,"AAAAAH//+rA=")</f>
        <v>#VALUE!</v>
      </c>
      <c r="FV238" t="e">
        <f>AND('STERLING CATALOG - DRY '!I5362,"AAAAAH//+rE=")</f>
        <v>#VALUE!</v>
      </c>
      <c r="FW238" t="e">
        <f>AND('STERLING CATALOG - DRY '!J5362,"AAAAAH//+rI=")</f>
        <v>#VALUE!</v>
      </c>
      <c r="FX238">
        <f>IF('STERLING CATALOG - DRY '!5363:5363,"AAAAAH//+rM=",0)</f>
        <v>0</v>
      </c>
      <c r="FY238" t="e">
        <f>AND('STERLING CATALOG - DRY '!A5363,"AAAAAH//+rQ=")</f>
        <v>#VALUE!</v>
      </c>
      <c r="FZ238" t="e">
        <f>AND('STERLING CATALOG - DRY '!B5363,"AAAAAH//+rU=")</f>
        <v>#VALUE!</v>
      </c>
      <c r="GA238" t="e">
        <f>AND('STERLING CATALOG - DRY '!C5363,"AAAAAH//+rY=")</f>
        <v>#VALUE!</v>
      </c>
      <c r="GB238" t="e">
        <f>AND('STERLING CATALOG - DRY '!D5363,"AAAAAH//+rc=")</f>
        <v>#VALUE!</v>
      </c>
      <c r="GC238" t="e">
        <f>AND('STERLING CATALOG - DRY '!E5363,"AAAAAH//+rg=")</f>
        <v>#VALUE!</v>
      </c>
      <c r="GD238" t="e">
        <f>AND('STERLING CATALOG - DRY '!F5363,"AAAAAH//+rk=")</f>
        <v>#VALUE!</v>
      </c>
      <c r="GE238" t="e">
        <f>AND('STERLING CATALOG - DRY '!G5363,"AAAAAH//+ro=")</f>
        <v>#VALUE!</v>
      </c>
      <c r="GF238" t="e">
        <f>AND('STERLING CATALOG - DRY '!H5363,"AAAAAH//+rs=")</f>
        <v>#VALUE!</v>
      </c>
      <c r="GG238" t="e">
        <f>AND('STERLING CATALOG - DRY '!I5363,"AAAAAH//+rw=")</f>
        <v>#VALUE!</v>
      </c>
      <c r="GH238" t="e">
        <f>AND('STERLING CATALOG - DRY '!J5363,"AAAAAH//+r0=")</f>
        <v>#VALUE!</v>
      </c>
      <c r="GI238">
        <f>IF('STERLING CATALOG - DRY '!5364:5364,"AAAAAH//+r4=",0)</f>
        <v>0</v>
      </c>
      <c r="GJ238" t="e">
        <f>AND('STERLING CATALOG - DRY '!A5364,"AAAAAH//+r8=")</f>
        <v>#VALUE!</v>
      </c>
      <c r="GK238" t="e">
        <f>AND('STERLING CATALOG - DRY '!B5364,"AAAAAH//+sA=")</f>
        <v>#VALUE!</v>
      </c>
      <c r="GL238" t="e">
        <f>AND('STERLING CATALOG - DRY '!C5364,"AAAAAH//+sE=")</f>
        <v>#VALUE!</v>
      </c>
      <c r="GM238" t="e">
        <f>AND('STERLING CATALOG - DRY '!D5364,"AAAAAH//+sI=")</f>
        <v>#VALUE!</v>
      </c>
      <c r="GN238" t="e">
        <f>AND('STERLING CATALOG - DRY '!E5364,"AAAAAH//+sM=")</f>
        <v>#VALUE!</v>
      </c>
      <c r="GO238" t="e">
        <f>AND('STERLING CATALOG - DRY '!F5364,"AAAAAH//+sQ=")</f>
        <v>#VALUE!</v>
      </c>
      <c r="GP238" t="e">
        <f>AND('STERLING CATALOG - DRY '!G5364,"AAAAAH//+sU=")</f>
        <v>#VALUE!</v>
      </c>
      <c r="GQ238" t="e">
        <f>AND('STERLING CATALOG - DRY '!H5364,"AAAAAH//+sY=")</f>
        <v>#VALUE!</v>
      </c>
      <c r="GR238" t="e">
        <f>AND('STERLING CATALOG - DRY '!I5364,"AAAAAH//+sc=")</f>
        <v>#VALUE!</v>
      </c>
      <c r="GS238" t="e">
        <f>AND('STERLING CATALOG - DRY '!J5364,"AAAAAH//+sg=")</f>
        <v>#VALUE!</v>
      </c>
      <c r="GT238">
        <f>IF('STERLING CATALOG - DRY '!5365:5365,"AAAAAH//+sk=",0)</f>
        <v>0</v>
      </c>
      <c r="GU238" t="e">
        <f>AND('STERLING CATALOG - DRY '!A5365,"AAAAAH//+so=")</f>
        <v>#VALUE!</v>
      </c>
      <c r="GV238" t="e">
        <f>AND('STERLING CATALOG - DRY '!B5365,"AAAAAH//+ss=")</f>
        <v>#VALUE!</v>
      </c>
      <c r="GW238" t="e">
        <f>AND('STERLING CATALOG - DRY '!C5365,"AAAAAH//+sw=")</f>
        <v>#VALUE!</v>
      </c>
      <c r="GX238" t="e">
        <f>AND('STERLING CATALOG - DRY '!D5365,"AAAAAH//+s0=")</f>
        <v>#VALUE!</v>
      </c>
      <c r="GY238" t="e">
        <f>AND('STERLING CATALOG - DRY '!E5365,"AAAAAH//+s4=")</f>
        <v>#VALUE!</v>
      </c>
      <c r="GZ238" t="e">
        <f>AND('STERLING CATALOG - DRY '!F5365,"AAAAAH//+s8=")</f>
        <v>#VALUE!</v>
      </c>
      <c r="HA238" t="e">
        <f>AND('STERLING CATALOG - DRY '!G5365,"AAAAAH//+tA=")</f>
        <v>#VALUE!</v>
      </c>
      <c r="HB238" t="e">
        <f>AND('STERLING CATALOG - DRY '!H5365,"AAAAAH//+tE=")</f>
        <v>#VALUE!</v>
      </c>
      <c r="HC238" t="e">
        <f>AND('STERLING CATALOG - DRY '!I5365,"AAAAAH//+tI=")</f>
        <v>#VALUE!</v>
      </c>
      <c r="HD238" t="e">
        <f>AND('STERLING CATALOG - DRY '!J5365,"AAAAAH//+tM=")</f>
        <v>#VALUE!</v>
      </c>
      <c r="HE238">
        <f>IF('STERLING CATALOG - DRY '!5366:5366,"AAAAAH//+tQ=",0)</f>
        <v>0</v>
      </c>
      <c r="HF238" t="e">
        <f>AND('STERLING CATALOG - DRY '!A5366,"AAAAAH//+tU=")</f>
        <v>#VALUE!</v>
      </c>
      <c r="HG238" t="e">
        <f>AND('STERLING CATALOG - DRY '!B5366,"AAAAAH//+tY=")</f>
        <v>#VALUE!</v>
      </c>
      <c r="HH238" t="e">
        <f>AND('STERLING CATALOG - DRY '!C5366,"AAAAAH//+tc=")</f>
        <v>#VALUE!</v>
      </c>
      <c r="HI238" t="e">
        <f>AND('STERLING CATALOG - DRY '!D5366,"AAAAAH//+tg=")</f>
        <v>#VALUE!</v>
      </c>
      <c r="HJ238" t="e">
        <f>AND('STERLING CATALOG - DRY '!E5366,"AAAAAH//+tk=")</f>
        <v>#VALUE!</v>
      </c>
      <c r="HK238" t="e">
        <f>AND('STERLING CATALOG - DRY '!F5366,"AAAAAH//+to=")</f>
        <v>#VALUE!</v>
      </c>
      <c r="HL238" t="e">
        <f>AND('STERLING CATALOG - DRY '!G5366,"AAAAAH//+ts=")</f>
        <v>#VALUE!</v>
      </c>
      <c r="HM238" t="e">
        <f>AND('STERLING CATALOG - DRY '!H5366,"AAAAAH//+tw=")</f>
        <v>#VALUE!</v>
      </c>
      <c r="HN238" t="e">
        <f>AND('STERLING CATALOG - DRY '!I5366,"AAAAAH//+t0=")</f>
        <v>#VALUE!</v>
      </c>
      <c r="HO238" t="e">
        <f>AND('STERLING CATALOG - DRY '!J5366,"AAAAAH//+t4=")</f>
        <v>#VALUE!</v>
      </c>
      <c r="HP238">
        <f>IF('STERLING CATALOG - DRY '!5367:5367,"AAAAAH//+t8=",0)</f>
        <v>0</v>
      </c>
      <c r="HQ238" t="e">
        <f>AND('STERLING CATALOG - DRY '!A5367,"AAAAAH//+uA=")</f>
        <v>#VALUE!</v>
      </c>
      <c r="HR238" t="e">
        <f>AND('STERLING CATALOG - DRY '!B5367,"AAAAAH//+uE=")</f>
        <v>#VALUE!</v>
      </c>
      <c r="HS238" t="e">
        <f>AND('STERLING CATALOG - DRY '!C5367,"AAAAAH//+uI=")</f>
        <v>#VALUE!</v>
      </c>
      <c r="HT238" t="e">
        <f>AND('STERLING CATALOG - DRY '!D5367,"AAAAAH//+uM=")</f>
        <v>#VALUE!</v>
      </c>
      <c r="HU238" t="e">
        <f>AND('STERLING CATALOG - DRY '!E5367,"AAAAAH//+uQ=")</f>
        <v>#VALUE!</v>
      </c>
      <c r="HV238" t="e">
        <f>AND('STERLING CATALOG - DRY '!F5367,"AAAAAH//+uU=")</f>
        <v>#VALUE!</v>
      </c>
      <c r="HW238" t="e">
        <f>AND('STERLING CATALOG - DRY '!G5367,"AAAAAH//+uY=")</f>
        <v>#VALUE!</v>
      </c>
      <c r="HX238" t="e">
        <f>AND('STERLING CATALOG - DRY '!H5367,"AAAAAH//+uc=")</f>
        <v>#VALUE!</v>
      </c>
      <c r="HY238" t="e">
        <f>AND('STERLING CATALOG - DRY '!I5367,"AAAAAH//+ug=")</f>
        <v>#VALUE!</v>
      </c>
      <c r="HZ238" t="e">
        <f>AND('STERLING CATALOG - DRY '!J5367,"AAAAAH//+uk=")</f>
        <v>#VALUE!</v>
      </c>
      <c r="IA238">
        <f>IF('STERLING CATALOG - DRY '!5368:5368,"AAAAAH//+uo=",0)</f>
        <v>0</v>
      </c>
      <c r="IB238" t="e">
        <f>AND('STERLING CATALOG - DRY '!A5368,"AAAAAH//+us=")</f>
        <v>#VALUE!</v>
      </c>
      <c r="IC238" t="e">
        <f>AND('STERLING CATALOG - DRY '!B5368,"AAAAAH//+uw=")</f>
        <v>#VALUE!</v>
      </c>
      <c r="ID238" t="e">
        <f>AND('STERLING CATALOG - DRY '!C5368,"AAAAAH//+u0=")</f>
        <v>#VALUE!</v>
      </c>
      <c r="IE238" t="e">
        <f>AND('STERLING CATALOG - DRY '!D5368,"AAAAAH//+u4=")</f>
        <v>#VALUE!</v>
      </c>
      <c r="IF238" t="e">
        <f>AND('STERLING CATALOG - DRY '!E5368,"AAAAAH//+u8=")</f>
        <v>#VALUE!</v>
      </c>
      <c r="IG238" t="e">
        <f>AND('STERLING CATALOG - DRY '!F5368,"AAAAAH//+vA=")</f>
        <v>#VALUE!</v>
      </c>
      <c r="IH238" t="e">
        <f>AND('STERLING CATALOG - DRY '!G5368,"AAAAAH//+vE=")</f>
        <v>#VALUE!</v>
      </c>
      <c r="II238" t="e">
        <f>AND('STERLING CATALOG - DRY '!H5368,"AAAAAH//+vI=")</f>
        <v>#VALUE!</v>
      </c>
      <c r="IJ238" t="e">
        <f>AND('STERLING CATALOG - DRY '!I5368,"AAAAAH//+vM=")</f>
        <v>#VALUE!</v>
      </c>
      <c r="IK238" t="e">
        <f>AND('STERLING CATALOG - DRY '!J5368,"AAAAAH//+vQ=")</f>
        <v>#VALUE!</v>
      </c>
      <c r="IL238">
        <f>IF('STERLING CATALOG - DRY '!5369:5369,"AAAAAH//+vU=",0)</f>
        <v>0</v>
      </c>
      <c r="IM238" t="e">
        <f>AND('STERLING CATALOG - DRY '!A5369,"AAAAAH//+vY=")</f>
        <v>#VALUE!</v>
      </c>
      <c r="IN238" t="e">
        <f>AND('STERLING CATALOG - DRY '!B5369,"AAAAAH//+vc=")</f>
        <v>#VALUE!</v>
      </c>
      <c r="IO238" t="e">
        <f>AND('STERLING CATALOG - DRY '!C5369,"AAAAAH//+vg=")</f>
        <v>#VALUE!</v>
      </c>
      <c r="IP238" t="e">
        <f>AND('STERLING CATALOG - DRY '!D5369,"AAAAAH//+vk=")</f>
        <v>#VALUE!</v>
      </c>
      <c r="IQ238" t="e">
        <f>AND('STERLING CATALOG - DRY '!E5369,"AAAAAH//+vo=")</f>
        <v>#VALUE!</v>
      </c>
      <c r="IR238" t="e">
        <f>AND('STERLING CATALOG - DRY '!F5369,"AAAAAH//+vs=")</f>
        <v>#VALUE!</v>
      </c>
      <c r="IS238" t="e">
        <f>AND('STERLING CATALOG - DRY '!G5369,"AAAAAH//+vw=")</f>
        <v>#VALUE!</v>
      </c>
      <c r="IT238" t="e">
        <f>AND('STERLING CATALOG - DRY '!H5369,"AAAAAH//+v0=")</f>
        <v>#VALUE!</v>
      </c>
      <c r="IU238" t="e">
        <f>AND('STERLING CATALOG - DRY '!I5369,"AAAAAH//+v4=")</f>
        <v>#VALUE!</v>
      </c>
      <c r="IV238" t="e">
        <f>AND('STERLING CATALOG - DRY '!J5369,"AAAAAH//+v8=")</f>
        <v>#VALUE!</v>
      </c>
    </row>
    <row r="239" spans="1:256">
      <c r="A239" t="str">
        <f>IF('STERLING CATALOG - DRY '!5370:5370,"AAAAAH6/5wA=",0)</f>
        <v>AAAAAH6/5wA=</v>
      </c>
      <c r="B239" t="e">
        <f>AND('STERLING CATALOG - DRY '!A5370,"AAAAAH6/5wE=")</f>
        <v>#VALUE!</v>
      </c>
      <c r="C239" t="e">
        <f>AND('STERLING CATALOG - DRY '!B5370,"AAAAAH6/5wI=")</f>
        <v>#VALUE!</v>
      </c>
      <c r="D239" t="e">
        <f>AND('STERLING CATALOG - DRY '!C5370,"AAAAAH6/5wM=")</f>
        <v>#VALUE!</v>
      </c>
      <c r="E239" t="e">
        <f>AND('STERLING CATALOG - DRY '!D5370,"AAAAAH6/5wQ=")</f>
        <v>#VALUE!</v>
      </c>
      <c r="F239" t="e">
        <f>AND('STERLING CATALOG - DRY '!E5370,"AAAAAH6/5wU=")</f>
        <v>#VALUE!</v>
      </c>
      <c r="G239" t="e">
        <f>AND('STERLING CATALOG - DRY '!F5370,"AAAAAH6/5wY=")</f>
        <v>#VALUE!</v>
      </c>
      <c r="H239" t="e">
        <f>AND('STERLING CATALOG - DRY '!G5370,"AAAAAH6/5wc=")</f>
        <v>#VALUE!</v>
      </c>
      <c r="I239" t="e">
        <f>AND('STERLING CATALOG - DRY '!H5370,"AAAAAH6/5wg=")</f>
        <v>#VALUE!</v>
      </c>
      <c r="J239" t="e">
        <f>AND('STERLING CATALOG - DRY '!I5370,"AAAAAH6/5wk=")</f>
        <v>#VALUE!</v>
      </c>
      <c r="K239" t="e">
        <f>AND('STERLING CATALOG - DRY '!J5370,"AAAAAH6/5wo=")</f>
        <v>#VALUE!</v>
      </c>
      <c r="L239">
        <f>IF('STERLING CATALOG - DRY '!5371:5371,"AAAAAH6/5ws=",0)</f>
        <v>0</v>
      </c>
      <c r="M239" t="e">
        <f>AND('STERLING CATALOG - DRY '!A5371,"AAAAAH6/5ww=")</f>
        <v>#VALUE!</v>
      </c>
      <c r="N239" t="e">
        <f>AND('STERLING CATALOG - DRY '!B5371,"AAAAAH6/5w0=")</f>
        <v>#VALUE!</v>
      </c>
      <c r="O239" t="e">
        <f>AND('STERLING CATALOG - DRY '!C5371,"AAAAAH6/5w4=")</f>
        <v>#VALUE!</v>
      </c>
      <c r="P239" t="e">
        <f>AND('STERLING CATALOG - DRY '!D5371,"AAAAAH6/5w8=")</f>
        <v>#VALUE!</v>
      </c>
      <c r="Q239" t="e">
        <f>AND('STERLING CATALOG - DRY '!E5371,"AAAAAH6/5xA=")</f>
        <v>#VALUE!</v>
      </c>
      <c r="R239" t="e">
        <f>AND('STERLING CATALOG - DRY '!F5371,"AAAAAH6/5xE=")</f>
        <v>#VALUE!</v>
      </c>
      <c r="S239" t="e">
        <f>AND('STERLING CATALOG - DRY '!G5371,"AAAAAH6/5xI=")</f>
        <v>#VALUE!</v>
      </c>
      <c r="T239" t="e">
        <f>AND('STERLING CATALOG - DRY '!H5371,"AAAAAH6/5xM=")</f>
        <v>#VALUE!</v>
      </c>
      <c r="U239" t="e">
        <f>AND('STERLING CATALOG - DRY '!I5371,"AAAAAH6/5xQ=")</f>
        <v>#VALUE!</v>
      </c>
      <c r="V239" t="e">
        <f>AND('STERLING CATALOG - DRY '!J5371,"AAAAAH6/5xU=")</f>
        <v>#VALUE!</v>
      </c>
      <c r="W239">
        <f>IF('STERLING CATALOG - DRY '!5372:5372,"AAAAAH6/5xY=",0)</f>
        <v>0</v>
      </c>
      <c r="X239" t="e">
        <f>AND('STERLING CATALOG - DRY '!A5372,"AAAAAH6/5xc=")</f>
        <v>#VALUE!</v>
      </c>
      <c r="Y239" t="e">
        <f>AND('STERLING CATALOG - DRY '!B5372,"AAAAAH6/5xg=")</f>
        <v>#VALUE!</v>
      </c>
      <c r="Z239" t="e">
        <f>AND('STERLING CATALOG - DRY '!C5372,"AAAAAH6/5xk=")</f>
        <v>#VALUE!</v>
      </c>
      <c r="AA239" t="e">
        <f>AND('STERLING CATALOG - DRY '!D5372,"AAAAAH6/5xo=")</f>
        <v>#VALUE!</v>
      </c>
      <c r="AB239" t="e">
        <f>AND('STERLING CATALOG - DRY '!E5372,"AAAAAH6/5xs=")</f>
        <v>#VALUE!</v>
      </c>
      <c r="AC239" t="e">
        <f>AND('STERLING CATALOG - DRY '!F5372,"AAAAAH6/5xw=")</f>
        <v>#VALUE!</v>
      </c>
      <c r="AD239" t="e">
        <f>AND('STERLING CATALOG - DRY '!G5372,"AAAAAH6/5x0=")</f>
        <v>#VALUE!</v>
      </c>
      <c r="AE239" t="e">
        <f>AND('STERLING CATALOG - DRY '!H5372,"AAAAAH6/5x4=")</f>
        <v>#VALUE!</v>
      </c>
      <c r="AF239" t="e">
        <f>AND('STERLING CATALOG - DRY '!I5372,"AAAAAH6/5x8=")</f>
        <v>#VALUE!</v>
      </c>
      <c r="AG239" t="e">
        <f>AND('STERLING CATALOG - DRY '!J5372,"AAAAAH6/5yA=")</f>
        <v>#VALUE!</v>
      </c>
      <c r="AH239">
        <f>IF('STERLING CATALOG - DRY '!5373:5373,"AAAAAH6/5yE=",0)</f>
        <v>0</v>
      </c>
      <c r="AI239" t="e">
        <f>AND('STERLING CATALOG - DRY '!A5373,"AAAAAH6/5yI=")</f>
        <v>#VALUE!</v>
      </c>
      <c r="AJ239" t="e">
        <f>AND('STERLING CATALOG - DRY '!B5373,"AAAAAH6/5yM=")</f>
        <v>#VALUE!</v>
      </c>
      <c r="AK239" t="e">
        <f>AND('STERLING CATALOG - DRY '!C5373,"AAAAAH6/5yQ=")</f>
        <v>#VALUE!</v>
      </c>
      <c r="AL239" t="e">
        <f>AND('STERLING CATALOG - DRY '!D5373,"AAAAAH6/5yU=")</f>
        <v>#VALUE!</v>
      </c>
      <c r="AM239" t="e">
        <f>AND('STERLING CATALOG - DRY '!E5373,"AAAAAH6/5yY=")</f>
        <v>#VALUE!</v>
      </c>
      <c r="AN239" t="e">
        <f>AND('STERLING CATALOG - DRY '!F5373,"AAAAAH6/5yc=")</f>
        <v>#VALUE!</v>
      </c>
      <c r="AO239" t="e">
        <f>AND('STERLING CATALOG - DRY '!G5373,"AAAAAH6/5yg=")</f>
        <v>#VALUE!</v>
      </c>
      <c r="AP239" t="e">
        <f>AND('STERLING CATALOG - DRY '!H5373,"AAAAAH6/5yk=")</f>
        <v>#VALUE!</v>
      </c>
      <c r="AQ239" t="e">
        <f>AND('STERLING CATALOG - DRY '!I5373,"AAAAAH6/5yo=")</f>
        <v>#VALUE!</v>
      </c>
      <c r="AR239" t="e">
        <f>AND('STERLING CATALOG - DRY '!J5373,"AAAAAH6/5ys=")</f>
        <v>#VALUE!</v>
      </c>
      <c r="AS239">
        <f>IF('STERLING CATALOG - DRY '!5374:5374,"AAAAAH6/5yw=",0)</f>
        <v>0</v>
      </c>
      <c r="AT239" t="e">
        <f>AND('STERLING CATALOG - DRY '!A5374,"AAAAAH6/5y0=")</f>
        <v>#VALUE!</v>
      </c>
      <c r="AU239" t="e">
        <f>AND('STERLING CATALOG - DRY '!B5374,"AAAAAH6/5y4=")</f>
        <v>#VALUE!</v>
      </c>
      <c r="AV239" t="e">
        <f>AND('STERLING CATALOG - DRY '!C5374,"AAAAAH6/5y8=")</f>
        <v>#VALUE!</v>
      </c>
      <c r="AW239" t="e">
        <f>AND('STERLING CATALOG - DRY '!D5374,"AAAAAH6/5zA=")</f>
        <v>#VALUE!</v>
      </c>
      <c r="AX239" t="e">
        <f>AND('STERLING CATALOG - DRY '!E5374,"AAAAAH6/5zE=")</f>
        <v>#VALUE!</v>
      </c>
      <c r="AY239" t="e">
        <f>AND('STERLING CATALOG - DRY '!F5374,"AAAAAH6/5zI=")</f>
        <v>#VALUE!</v>
      </c>
      <c r="AZ239" t="e">
        <f>AND('STERLING CATALOG - DRY '!G5374,"AAAAAH6/5zM=")</f>
        <v>#VALUE!</v>
      </c>
      <c r="BA239" t="e">
        <f>AND('STERLING CATALOG - DRY '!H5374,"AAAAAH6/5zQ=")</f>
        <v>#VALUE!</v>
      </c>
      <c r="BB239" t="e">
        <f>AND('STERLING CATALOG - DRY '!I5374,"AAAAAH6/5zU=")</f>
        <v>#VALUE!</v>
      </c>
      <c r="BC239" t="e">
        <f>AND('STERLING CATALOG - DRY '!J5374,"AAAAAH6/5zY=")</f>
        <v>#VALUE!</v>
      </c>
      <c r="BD239">
        <f>IF('STERLING CATALOG - DRY '!5375:5375,"AAAAAH6/5zc=",0)</f>
        <v>0</v>
      </c>
      <c r="BE239" t="e">
        <f>AND('STERLING CATALOG - DRY '!A5375,"AAAAAH6/5zg=")</f>
        <v>#VALUE!</v>
      </c>
      <c r="BF239" t="e">
        <f>AND('STERLING CATALOG - DRY '!B5375,"AAAAAH6/5zk=")</f>
        <v>#VALUE!</v>
      </c>
      <c r="BG239" t="e">
        <f>AND('STERLING CATALOG - DRY '!C5375,"AAAAAH6/5zo=")</f>
        <v>#VALUE!</v>
      </c>
      <c r="BH239" t="e">
        <f>AND('STERLING CATALOG - DRY '!D5375,"AAAAAH6/5zs=")</f>
        <v>#VALUE!</v>
      </c>
      <c r="BI239" t="e">
        <f>AND('STERLING CATALOG - DRY '!E5375,"AAAAAH6/5zw=")</f>
        <v>#VALUE!</v>
      </c>
      <c r="BJ239" t="e">
        <f>AND('STERLING CATALOG - DRY '!F5375,"AAAAAH6/5z0=")</f>
        <v>#VALUE!</v>
      </c>
      <c r="BK239" t="e">
        <f>AND('STERLING CATALOG - DRY '!G5375,"AAAAAH6/5z4=")</f>
        <v>#VALUE!</v>
      </c>
      <c r="BL239" t="e">
        <f>AND('STERLING CATALOG - DRY '!H5375,"AAAAAH6/5z8=")</f>
        <v>#VALUE!</v>
      </c>
      <c r="BM239" t="e">
        <f>AND('STERLING CATALOG - DRY '!I5375,"AAAAAH6/50A=")</f>
        <v>#VALUE!</v>
      </c>
      <c r="BN239" t="e">
        <f>AND('STERLING CATALOG - DRY '!J5375,"AAAAAH6/50E=")</f>
        <v>#VALUE!</v>
      </c>
      <c r="BO239">
        <f>IF('STERLING CATALOG - DRY '!5376:5376,"AAAAAH6/50I=",0)</f>
        <v>0</v>
      </c>
      <c r="BP239" t="e">
        <f>AND('STERLING CATALOG - DRY '!A5376,"AAAAAH6/50M=")</f>
        <v>#VALUE!</v>
      </c>
      <c r="BQ239" t="e">
        <f>AND('STERLING CATALOG - DRY '!B5376,"AAAAAH6/50Q=")</f>
        <v>#VALUE!</v>
      </c>
      <c r="BR239" t="e">
        <f>AND('STERLING CATALOG - DRY '!C5376,"AAAAAH6/50U=")</f>
        <v>#VALUE!</v>
      </c>
      <c r="BS239" t="e">
        <f>AND('STERLING CATALOG - DRY '!D5376,"AAAAAH6/50Y=")</f>
        <v>#VALUE!</v>
      </c>
      <c r="BT239" t="e">
        <f>AND('STERLING CATALOG - DRY '!E5376,"AAAAAH6/50c=")</f>
        <v>#VALUE!</v>
      </c>
      <c r="BU239" t="e">
        <f>AND('STERLING CATALOG - DRY '!F5376,"AAAAAH6/50g=")</f>
        <v>#VALUE!</v>
      </c>
      <c r="BV239" t="e">
        <f>AND('STERLING CATALOG - DRY '!G5376,"AAAAAH6/50k=")</f>
        <v>#VALUE!</v>
      </c>
      <c r="BW239" t="e">
        <f>AND('STERLING CATALOG - DRY '!H5376,"AAAAAH6/50o=")</f>
        <v>#VALUE!</v>
      </c>
      <c r="BX239" t="e">
        <f>AND('STERLING CATALOG - DRY '!I5376,"AAAAAH6/50s=")</f>
        <v>#VALUE!</v>
      </c>
      <c r="BY239" t="e">
        <f>AND('STERLING CATALOG - DRY '!J5376,"AAAAAH6/50w=")</f>
        <v>#VALUE!</v>
      </c>
      <c r="BZ239">
        <f>IF('STERLING CATALOG - DRY '!5377:5377,"AAAAAH6/500=",0)</f>
        <v>0</v>
      </c>
      <c r="CA239" t="e">
        <f>AND('STERLING CATALOG - DRY '!A5377,"AAAAAH6/504=")</f>
        <v>#VALUE!</v>
      </c>
      <c r="CB239" t="e">
        <f>AND('STERLING CATALOG - DRY '!B5377,"AAAAAH6/508=")</f>
        <v>#VALUE!</v>
      </c>
      <c r="CC239" t="e">
        <f>AND('STERLING CATALOG - DRY '!C5377,"AAAAAH6/51A=")</f>
        <v>#VALUE!</v>
      </c>
      <c r="CD239" t="e">
        <f>AND('STERLING CATALOG - DRY '!D5377,"AAAAAH6/51E=")</f>
        <v>#VALUE!</v>
      </c>
      <c r="CE239" t="e">
        <f>AND('STERLING CATALOG - DRY '!E5377,"AAAAAH6/51I=")</f>
        <v>#VALUE!</v>
      </c>
      <c r="CF239" t="e">
        <f>AND('STERLING CATALOG - DRY '!F5377,"AAAAAH6/51M=")</f>
        <v>#VALUE!</v>
      </c>
      <c r="CG239" t="e">
        <f>AND('STERLING CATALOG - DRY '!G5377,"AAAAAH6/51Q=")</f>
        <v>#VALUE!</v>
      </c>
      <c r="CH239" t="e">
        <f>AND('STERLING CATALOG - DRY '!H5377,"AAAAAH6/51U=")</f>
        <v>#VALUE!</v>
      </c>
      <c r="CI239" t="e">
        <f>AND('STERLING CATALOG - DRY '!I5377,"AAAAAH6/51Y=")</f>
        <v>#VALUE!</v>
      </c>
      <c r="CJ239" t="e">
        <f>AND('STERLING CATALOG - DRY '!J5377,"AAAAAH6/51c=")</f>
        <v>#VALUE!</v>
      </c>
      <c r="CK239">
        <f>IF('STERLING CATALOG - DRY '!5378:5378,"AAAAAH6/51g=",0)</f>
        <v>0</v>
      </c>
      <c r="CL239" t="e">
        <f>AND('STERLING CATALOG - DRY '!A5378,"AAAAAH6/51k=")</f>
        <v>#VALUE!</v>
      </c>
      <c r="CM239" t="e">
        <f>AND('STERLING CATALOG - DRY '!B5378,"AAAAAH6/51o=")</f>
        <v>#VALUE!</v>
      </c>
      <c r="CN239" t="e">
        <f>AND('STERLING CATALOG - DRY '!C5378,"AAAAAH6/51s=")</f>
        <v>#VALUE!</v>
      </c>
      <c r="CO239" t="e">
        <f>AND('STERLING CATALOG - DRY '!D5378,"AAAAAH6/51w=")</f>
        <v>#VALUE!</v>
      </c>
      <c r="CP239" t="e">
        <f>AND('STERLING CATALOG - DRY '!E5378,"AAAAAH6/510=")</f>
        <v>#VALUE!</v>
      </c>
      <c r="CQ239" t="e">
        <f>AND('STERLING CATALOG - DRY '!F5378,"AAAAAH6/514=")</f>
        <v>#VALUE!</v>
      </c>
      <c r="CR239" t="e">
        <f>AND('STERLING CATALOG - DRY '!G5378,"AAAAAH6/518=")</f>
        <v>#VALUE!</v>
      </c>
      <c r="CS239" t="e">
        <f>AND('STERLING CATALOG - DRY '!H5378,"AAAAAH6/52A=")</f>
        <v>#VALUE!</v>
      </c>
      <c r="CT239" t="e">
        <f>AND('STERLING CATALOG - DRY '!I5378,"AAAAAH6/52E=")</f>
        <v>#VALUE!</v>
      </c>
      <c r="CU239" t="e">
        <f>AND('STERLING CATALOG - DRY '!J5378,"AAAAAH6/52I=")</f>
        <v>#VALUE!</v>
      </c>
      <c r="CV239">
        <f>IF('STERLING CATALOG - DRY '!5379:5379,"AAAAAH6/52M=",0)</f>
        <v>0</v>
      </c>
      <c r="CW239" t="e">
        <f>AND('STERLING CATALOG - DRY '!A5379,"AAAAAH6/52Q=")</f>
        <v>#VALUE!</v>
      </c>
      <c r="CX239" t="e">
        <f>AND('STERLING CATALOG - DRY '!B5379,"AAAAAH6/52U=")</f>
        <v>#VALUE!</v>
      </c>
      <c r="CY239" t="e">
        <f>AND('STERLING CATALOG - DRY '!C5379,"AAAAAH6/52Y=")</f>
        <v>#VALUE!</v>
      </c>
      <c r="CZ239" t="e">
        <f>AND('STERLING CATALOG - DRY '!D5379,"AAAAAH6/52c=")</f>
        <v>#VALUE!</v>
      </c>
      <c r="DA239" t="e">
        <f>AND('STERLING CATALOG - DRY '!E5379,"AAAAAH6/52g=")</f>
        <v>#VALUE!</v>
      </c>
      <c r="DB239" t="e">
        <f>AND('STERLING CATALOG - DRY '!F5379,"AAAAAH6/52k=")</f>
        <v>#VALUE!</v>
      </c>
      <c r="DC239" t="e">
        <f>AND('STERLING CATALOG - DRY '!G5379,"AAAAAH6/52o=")</f>
        <v>#VALUE!</v>
      </c>
      <c r="DD239" t="e">
        <f>AND('STERLING CATALOG - DRY '!H5379,"AAAAAH6/52s=")</f>
        <v>#VALUE!</v>
      </c>
      <c r="DE239" t="e">
        <f>AND('STERLING CATALOG - DRY '!I5379,"AAAAAH6/52w=")</f>
        <v>#VALUE!</v>
      </c>
      <c r="DF239" t="e">
        <f>AND('STERLING CATALOG - DRY '!J5379,"AAAAAH6/520=")</f>
        <v>#VALUE!</v>
      </c>
      <c r="DG239">
        <f>IF('STERLING CATALOG - DRY '!5380:5380,"AAAAAH6/524=",0)</f>
        <v>0</v>
      </c>
      <c r="DH239" t="e">
        <f>AND('STERLING CATALOG - DRY '!A5380,"AAAAAH6/528=")</f>
        <v>#VALUE!</v>
      </c>
      <c r="DI239" t="e">
        <f>AND('STERLING CATALOG - DRY '!B5380,"AAAAAH6/53A=")</f>
        <v>#VALUE!</v>
      </c>
      <c r="DJ239" t="e">
        <f>AND('STERLING CATALOG - DRY '!C5380,"AAAAAH6/53E=")</f>
        <v>#VALUE!</v>
      </c>
      <c r="DK239" t="e">
        <f>AND('STERLING CATALOG - DRY '!D5380,"AAAAAH6/53I=")</f>
        <v>#VALUE!</v>
      </c>
      <c r="DL239" t="e">
        <f>AND('STERLING CATALOG - DRY '!E5380,"AAAAAH6/53M=")</f>
        <v>#VALUE!</v>
      </c>
      <c r="DM239" t="e">
        <f>AND('STERLING CATALOG - DRY '!F5380,"AAAAAH6/53Q=")</f>
        <v>#VALUE!</v>
      </c>
      <c r="DN239" t="e">
        <f>AND('STERLING CATALOG - DRY '!G5380,"AAAAAH6/53U=")</f>
        <v>#VALUE!</v>
      </c>
      <c r="DO239" t="e">
        <f>AND('STERLING CATALOG - DRY '!H5380,"AAAAAH6/53Y=")</f>
        <v>#VALUE!</v>
      </c>
      <c r="DP239" t="e">
        <f>AND('STERLING CATALOG - DRY '!I5380,"AAAAAH6/53c=")</f>
        <v>#VALUE!</v>
      </c>
      <c r="DQ239" t="e">
        <f>AND('STERLING CATALOG - DRY '!J5380,"AAAAAH6/53g=")</f>
        <v>#VALUE!</v>
      </c>
      <c r="DR239">
        <f>IF('STERLING CATALOG - DRY '!5381:5381,"AAAAAH6/53k=",0)</f>
        <v>0</v>
      </c>
      <c r="DS239" t="e">
        <f>AND('STERLING CATALOG - DRY '!A5381,"AAAAAH6/53o=")</f>
        <v>#VALUE!</v>
      </c>
      <c r="DT239" t="e">
        <f>AND('STERLING CATALOG - DRY '!B5381,"AAAAAH6/53s=")</f>
        <v>#VALUE!</v>
      </c>
      <c r="DU239" t="e">
        <f>AND('STERLING CATALOG - DRY '!C5381,"AAAAAH6/53w=")</f>
        <v>#VALUE!</v>
      </c>
      <c r="DV239" t="e">
        <f>AND('STERLING CATALOG - DRY '!D5381,"AAAAAH6/530=")</f>
        <v>#VALUE!</v>
      </c>
      <c r="DW239" t="e">
        <f>AND('STERLING CATALOG - DRY '!E5381,"AAAAAH6/534=")</f>
        <v>#VALUE!</v>
      </c>
      <c r="DX239" t="e">
        <f>AND('STERLING CATALOG - DRY '!F5381,"AAAAAH6/538=")</f>
        <v>#VALUE!</v>
      </c>
      <c r="DY239" t="e">
        <f>AND('STERLING CATALOG - DRY '!G5381,"AAAAAH6/54A=")</f>
        <v>#VALUE!</v>
      </c>
      <c r="DZ239" t="e">
        <f>AND('STERLING CATALOG - DRY '!H5381,"AAAAAH6/54E=")</f>
        <v>#VALUE!</v>
      </c>
      <c r="EA239" t="e">
        <f>AND('STERLING CATALOG - DRY '!I5381,"AAAAAH6/54I=")</f>
        <v>#VALUE!</v>
      </c>
      <c r="EB239" t="e">
        <f>AND('STERLING CATALOG - DRY '!J5381,"AAAAAH6/54M=")</f>
        <v>#VALUE!</v>
      </c>
      <c r="EC239">
        <f>IF('STERLING CATALOG - DRY '!5382:5382,"AAAAAH6/54Q=",0)</f>
        <v>0</v>
      </c>
      <c r="ED239" t="e">
        <f>AND('STERLING CATALOG - DRY '!A5382,"AAAAAH6/54U=")</f>
        <v>#VALUE!</v>
      </c>
      <c r="EE239" t="e">
        <f>AND('STERLING CATALOG - DRY '!B5382,"AAAAAH6/54Y=")</f>
        <v>#VALUE!</v>
      </c>
      <c r="EF239" t="e">
        <f>AND('STERLING CATALOG - DRY '!C5382,"AAAAAH6/54c=")</f>
        <v>#VALUE!</v>
      </c>
      <c r="EG239" t="e">
        <f>AND('STERLING CATALOG - DRY '!D5382,"AAAAAH6/54g=")</f>
        <v>#VALUE!</v>
      </c>
      <c r="EH239" t="e">
        <f>AND('STERLING CATALOG - DRY '!E5382,"AAAAAH6/54k=")</f>
        <v>#VALUE!</v>
      </c>
      <c r="EI239" t="e">
        <f>AND('STERLING CATALOG - DRY '!F5382,"AAAAAH6/54o=")</f>
        <v>#VALUE!</v>
      </c>
      <c r="EJ239" t="e">
        <f>AND('STERLING CATALOG - DRY '!G5382,"AAAAAH6/54s=")</f>
        <v>#VALUE!</v>
      </c>
      <c r="EK239" t="e">
        <f>AND('STERLING CATALOG - DRY '!H5382,"AAAAAH6/54w=")</f>
        <v>#VALUE!</v>
      </c>
      <c r="EL239" t="e">
        <f>AND('STERLING CATALOG - DRY '!I5382,"AAAAAH6/540=")</f>
        <v>#VALUE!</v>
      </c>
      <c r="EM239" t="e">
        <f>AND('STERLING CATALOG - DRY '!J5382,"AAAAAH6/544=")</f>
        <v>#VALUE!</v>
      </c>
      <c r="EN239">
        <f>IF('STERLING CATALOG - DRY '!5383:5383,"AAAAAH6/548=",0)</f>
        <v>0</v>
      </c>
      <c r="EO239" t="e">
        <f>AND('STERLING CATALOG - DRY '!A5383,"AAAAAH6/55A=")</f>
        <v>#VALUE!</v>
      </c>
      <c r="EP239" t="e">
        <f>AND('STERLING CATALOG - DRY '!B5383,"AAAAAH6/55E=")</f>
        <v>#VALUE!</v>
      </c>
      <c r="EQ239" t="e">
        <f>AND('STERLING CATALOG - DRY '!C5383,"AAAAAH6/55I=")</f>
        <v>#VALUE!</v>
      </c>
      <c r="ER239" t="e">
        <f>AND('STERLING CATALOG - DRY '!D5383,"AAAAAH6/55M=")</f>
        <v>#VALUE!</v>
      </c>
      <c r="ES239" t="e">
        <f>AND('STERLING CATALOG - DRY '!E5383,"AAAAAH6/55Q=")</f>
        <v>#VALUE!</v>
      </c>
      <c r="ET239" t="e">
        <f>AND('STERLING CATALOG - DRY '!F5383,"AAAAAH6/55U=")</f>
        <v>#VALUE!</v>
      </c>
      <c r="EU239" t="e">
        <f>AND('STERLING CATALOG - DRY '!G5383,"AAAAAH6/55Y=")</f>
        <v>#VALUE!</v>
      </c>
      <c r="EV239" t="e">
        <f>AND('STERLING CATALOG - DRY '!H5383,"AAAAAH6/55c=")</f>
        <v>#VALUE!</v>
      </c>
      <c r="EW239" t="e">
        <f>AND('STERLING CATALOG - DRY '!I5383,"AAAAAH6/55g=")</f>
        <v>#VALUE!</v>
      </c>
      <c r="EX239" t="e">
        <f>AND('STERLING CATALOG - DRY '!J5383,"AAAAAH6/55k=")</f>
        <v>#VALUE!</v>
      </c>
      <c r="EY239">
        <f>IF('STERLING CATALOG - DRY '!5384:5384,"AAAAAH6/55o=",0)</f>
        <v>0</v>
      </c>
      <c r="EZ239" t="e">
        <f>AND('STERLING CATALOG - DRY '!A5384,"AAAAAH6/55s=")</f>
        <v>#VALUE!</v>
      </c>
      <c r="FA239" t="e">
        <f>AND('STERLING CATALOG - DRY '!B5384,"AAAAAH6/55w=")</f>
        <v>#VALUE!</v>
      </c>
      <c r="FB239" t="e">
        <f>AND('STERLING CATALOG - DRY '!C5384,"AAAAAH6/550=")</f>
        <v>#VALUE!</v>
      </c>
      <c r="FC239" t="e">
        <f>AND('STERLING CATALOG - DRY '!D5384,"AAAAAH6/554=")</f>
        <v>#VALUE!</v>
      </c>
      <c r="FD239" t="e">
        <f>AND('STERLING CATALOG - DRY '!E5384,"AAAAAH6/558=")</f>
        <v>#VALUE!</v>
      </c>
      <c r="FE239" t="e">
        <f>AND('STERLING CATALOG - DRY '!F5384,"AAAAAH6/56A=")</f>
        <v>#VALUE!</v>
      </c>
      <c r="FF239" t="e">
        <f>AND('STERLING CATALOG - DRY '!G5384,"AAAAAH6/56E=")</f>
        <v>#VALUE!</v>
      </c>
      <c r="FG239" t="e">
        <f>AND('STERLING CATALOG - DRY '!H5384,"AAAAAH6/56I=")</f>
        <v>#VALUE!</v>
      </c>
      <c r="FH239" t="e">
        <f>AND('STERLING CATALOG - DRY '!I5384,"AAAAAH6/56M=")</f>
        <v>#VALUE!</v>
      </c>
      <c r="FI239" t="e">
        <f>AND('STERLING CATALOG - DRY '!J5384,"AAAAAH6/56Q=")</f>
        <v>#VALUE!</v>
      </c>
      <c r="FJ239">
        <f>IF('STERLING CATALOG - DRY '!5385:5385,"AAAAAH6/56U=",0)</f>
        <v>0</v>
      </c>
      <c r="FK239" t="e">
        <f>AND('STERLING CATALOG - DRY '!A5385,"AAAAAH6/56Y=")</f>
        <v>#VALUE!</v>
      </c>
      <c r="FL239" t="e">
        <f>AND('STERLING CATALOG - DRY '!B5385,"AAAAAH6/56c=")</f>
        <v>#VALUE!</v>
      </c>
      <c r="FM239" t="e">
        <f>AND('STERLING CATALOG - DRY '!C5385,"AAAAAH6/56g=")</f>
        <v>#VALUE!</v>
      </c>
      <c r="FN239" t="e">
        <f>AND('STERLING CATALOG - DRY '!D5385,"AAAAAH6/56k=")</f>
        <v>#VALUE!</v>
      </c>
      <c r="FO239" t="e">
        <f>AND('STERLING CATALOG - DRY '!E5385,"AAAAAH6/56o=")</f>
        <v>#VALUE!</v>
      </c>
      <c r="FP239" t="e">
        <f>AND('STERLING CATALOG - DRY '!F5385,"AAAAAH6/56s=")</f>
        <v>#VALUE!</v>
      </c>
      <c r="FQ239" t="e">
        <f>AND('STERLING CATALOG - DRY '!G5385,"AAAAAH6/56w=")</f>
        <v>#VALUE!</v>
      </c>
      <c r="FR239" t="e">
        <f>AND('STERLING CATALOG - DRY '!H5385,"AAAAAH6/560=")</f>
        <v>#VALUE!</v>
      </c>
      <c r="FS239" t="e">
        <f>AND('STERLING CATALOG - DRY '!I5385,"AAAAAH6/564=")</f>
        <v>#VALUE!</v>
      </c>
      <c r="FT239" t="e">
        <f>AND('STERLING CATALOG - DRY '!J5385,"AAAAAH6/568=")</f>
        <v>#VALUE!</v>
      </c>
      <c r="FU239">
        <f>IF('STERLING CATALOG - DRY '!5386:5386,"AAAAAH6/57A=",0)</f>
        <v>0</v>
      </c>
      <c r="FV239" t="e">
        <f>AND('STERLING CATALOG - DRY '!A5386,"AAAAAH6/57E=")</f>
        <v>#VALUE!</v>
      </c>
      <c r="FW239" t="e">
        <f>AND('STERLING CATALOG - DRY '!B5386,"AAAAAH6/57I=")</f>
        <v>#VALUE!</v>
      </c>
      <c r="FX239" t="e">
        <f>AND('STERLING CATALOG - DRY '!C5386,"AAAAAH6/57M=")</f>
        <v>#VALUE!</v>
      </c>
      <c r="FY239" t="e">
        <f>AND('STERLING CATALOG - DRY '!D5386,"AAAAAH6/57Q=")</f>
        <v>#VALUE!</v>
      </c>
      <c r="FZ239" t="e">
        <f>AND('STERLING CATALOG - DRY '!E5386,"AAAAAH6/57U=")</f>
        <v>#VALUE!</v>
      </c>
      <c r="GA239" t="e">
        <f>AND('STERLING CATALOG - DRY '!F5386,"AAAAAH6/57Y=")</f>
        <v>#VALUE!</v>
      </c>
      <c r="GB239" t="e">
        <f>AND('STERLING CATALOG - DRY '!G5386,"AAAAAH6/57c=")</f>
        <v>#VALUE!</v>
      </c>
      <c r="GC239" t="e">
        <f>AND('STERLING CATALOG - DRY '!H5386,"AAAAAH6/57g=")</f>
        <v>#VALUE!</v>
      </c>
      <c r="GD239" t="e">
        <f>AND('STERLING CATALOG - DRY '!I5386,"AAAAAH6/57k=")</f>
        <v>#VALUE!</v>
      </c>
      <c r="GE239" t="e">
        <f>AND('STERLING CATALOG - DRY '!J5386,"AAAAAH6/57o=")</f>
        <v>#VALUE!</v>
      </c>
      <c r="GF239">
        <f>IF('STERLING CATALOG - DRY '!5387:5387,"AAAAAH6/57s=",0)</f>
        <v>0</v>
      </c>
      <c r="GG239" t="e">
        <f>AND('STERLING CATALOG - DRY '!A5387,"AAAAAH6/57w=")</f>
        <v>#VALUE!</v>
      </c>
      <c r="GH239" t="e">
        <f>AND('STERLING CATALOG - DRY '!B5387,"AAAAAH6/570=")</f>
        <v>#VALUE!</v>
      </c>
      <c r="GI239" t="e">
        <f>AND('STERLING CATALOG - DRY '!C5387,"AAAAAH6/574=")</f>
        <v>#VALUE!</v>
      </c>
      <c r="GJ239" t="e">
        <f>AND('STERLING CATALOG - DRY '!D5387,"AAAAAH6/578=")</f>
        <v>#VALUE!</v>
      </c>
      <c r="GK239" t="e">
        <f>AND('STERLING CATALOG - DRY '!E5387,"AAAAAH6/58A=")</f>
        <v>#VALUE!</v>
      </c>
      <c r="GL239" t="e">
        <f>AND('STERLING CATALOG - DRY '!F5387,"AAAAAH6/58E=")</f>
        <v>#VALUE!</v>
      </c>
      <c r="GM239" t="e">
        <f>AND('STERLING CATALOG - DRY '!G5387,"AAAAAH6/58I=")</f>
        <v>#VALUE!</v>
      </c>
      <c r="GN239" t="e">
        <f>AND('STERLING CATALOG - DRY '!H5387,"AAAAAH6/58M=")</f>
        <v>#VALUE!</v>
      </c>
      <c r="GO239" t="e">
        <f>AND('STERLING CATALOG - DRY '!I5387,"AAAAAH6/58Q=")</f>
        <v>#VALUE!</v>
      </c>
      <c r="GP239" t="e">
        <f>AND('STERLING CATALOG - DRY '!J5387,"AAAAAH6/58U=")</f>
        <v>#VALUE!</v>
      </c>
      <c r="GQ239">
        <f>IF('STERLING CATALOG - DRY '!5388:5388,"AAAAAH6/58Y=",0)</f>
        <v>0</v>
      </c>
      <c r="GR239" t="e">
        <f>AND('STERLING CATALOG - DRY '!A5388,"AAAAAH6/58c=")</f>
        <v>#VALUE!</v>
      </c>
      <c r="GS239" t="e">
        <f>AND('STERLING CATALOG - DRY '!B5388,"AAAAAH6/58g=")</f>
        <v>#VALUE!</v>
      </c>
      <c r="GT239" t="e">
        <f>AND('STERLING CATALOG - DRY '!C5388,"AAAAAH6/58k=")</f>
        <v>#VALUE!</v>
      </c>
      <c r="GU239" t="e">
        <f>AND('STERLING CATALOG - DRY '!D5388,"AAAAAH6/58o=")</f>
        <v>#VALUE!</v>
      </c>
      <c r="GV239" t="e">
        <f>AND('STERLING CATALOG - DRY '!E5388,"AAAAAH6/58s=")</f>
        <v>#VALUE!</v>
      </c>
      <c r="GW239" t="e">
        <f>AND('STERLING CATALOG - DRY '!F5388,"AAAAAH6/58w=")</f>
        <v>#VALUE!</v>
      </c>
      <c r="GX239" t="e">
        <f>AND('STERLING CATALOG - DRY '!G5388,"AAAAAH6/580=")</f>
        <v>#VALUE!</v>
      </c>
      <c r="GY239" t="e">
        <f>AND('STERLING CATALOG - DRY '!H5388,"AAAAAH6/584=")</f>
        <v>#VALUE!</v>
      </c>
      <c r="GZ239" t="e">
        <f>AND('STERLING CATALOG - DRY '!I5388,"AAAAAH6/588=")</f>
        <v>#VALUE!</v>
      </c>
      <c r="HA239" t="e">
        <f>AND('STERLING CATALOG - DRY '!J5388,"AAAAAH6/59A=")</f>
        <v>#VALUE!</v>
      </c>
      <c r="HB239">
        <f>IF('STERLING CATALOG - DRY '!5389:5389,"AAAAAH6/59E=",0)</f>
        <v>0</v>
      </c>
      <c r="HC239" t="e">
        <f>AND('STERLING CATALOG - DRY '!A5389,"AAAAAH6/59I=")</f>
        <v>#VALUE!</v>
      </c>
      <c r="HD239" t="e">
        <f>AND('STERLING CATALOG - DRY '!B5389,"AAAAAH6/59M=")</f>
        <v>#VALUE!</v>
      </c>
      <c r="HE239" t="e">
        <f>AND('STERLING CATALOG - DRY '!C5389,"AAAAAH6/59Q=")</f>
        <v>#VALUE!</v>
      </c>
      <c r="HF239" t="e">
        <f>AND('STERLING CATALOG - DRY '!D5389,"AAAAAH6/59U=")</f>
        <v>#VALUE!</v>
      </c>
      <c r="HG239" t="e">
        <f>AND('STERLING CATALOG - DRY '!E5389,"AAAAAH6/59Y=")</f>
        <v>#VALUE!</v>
      </c>
      <c r="HH239" t="e">
        <f>AND('STERLING CATALOG - DRY '!F5389,"AAAAAH6/59c=")</f>
        <v>#VALUE!</v>
      </c>
      <c r="HI239" t="e">
        <f>AND('STERLING CATALOG - DRY '!G5389,"AAAAAH6/59g=")</f>
        <v>#VALUE!</v>
      </c>
      <c r="HJ239" t="e">
        <f>AND('STERLING CATALOG - DRY '!H5389,"AAAAAH6/59k=")</f>
        <v>#VALUE!</v>
      </c>
      <c r="HK239" t="e">
        <f>AND('STERLING CATALOG - DRY '!I5389,"AAAAAH6/59o=")</f>
        <v>#VALUE!</v>
      </c>
      <c r="HL239" t="e">
        <f>AND('STERLING CATALOG - DRY '!J5389,"AAAAAH6/59s=")</f>
        <v>#VALUE!</v>
      </c>
      <c r="HM239">
        <f>IF('STERLING CATALOG - DRY '!5390:5390,"AAAAAH6/59w=",0)</f>
        <v>0</v>
      </c>
      <c r="HN239" t="e">
        <f>AND('STERLING CATALOG - DRY '!A5390,"AAAAAH6/590=")</f>
        <v>#VALUE!</v>
      </c>
      <c r="HO239" t="e">
        <f>AND('STERLING CATALOG - DRY '!B5390,"AAAAAH6/594=")</f>
        <v>#VALUE!</v>
      </c>
      <c r="HP239" t="e">
        <f>AND('STERLING CATALOG - DRY '!C5390,"AAAAAH6/598=")</f>
        <v>#VALUE!</v>
      </c>
      <c r="HQ239" t="e">
        <f>AND('STERLING CATALOG - DRY '!D5390,"AAAAAH6/5+A=")</f>
        <v>#VALUE!</v>
      </c>
      <c r="HR239" t="e">
        <f>AND('STERLING CATALOG - DRY '!E5390,"AAAAAH6/5+E=")</f>
        <v>#VALUE!</v>
      </c>
      <c r="HS239" t="e">
        <f>AND('STERLING CATALOG - DRY '!F5390,"AAAAAH6/5+I=")</f>
        <v>#VALUE!</v>
      </c>
      <c r="HT239" t="e">
        <f>AND('STERLING CATALOG - DRY '!G5390,"AAAAAH6/5+M=")</f>
        <v>#VALUE!</v>
      </c>
      <c r="HU239" t="e">
        <f>AND('STERLING CATALOG - DRY '!H5390,"AAAAAH6/5+Q=")</f>
        <v>#VALUE!</v>
      </c>
      <c r="HV239" t="e">
        <f>AND('STERLING CATALOG - DRY '!I5390,"AAAAAH6/5+U=")</f>
        <v>#VALUE!</v>
      </c>
      <c r="HW239" t="e">
        <f>AND('STERLING CATALOG - DRY '!J5390,"AAAAAH6/5+Y=")</f>
        <v>#VALUE!</v>
      </c>
      <c r="HX239">
        <f>IF('STERLING CATALOG - DRY '!5391:5391,"AAAAAH6/5+c=",0)</f>
        <v>0</v>
      </c>
      <c r="HY239" t="e">
        <f>AND('STERLING CATALOG - DRY '!A5391,"AAAAAH6/5+g=")</f>
        <v>#VALUE!</v>
      </c>
      <c r="HZ239" t="e">
        <f>AND('STERLING CATALOG - DRY '!B5391,"AAAAAH6/5+k=")</f>
        <v>#VALUE!</v>
      </c>
      <c r="IA239" t="e">
        <f>AND('STERLING CATALOG - DRY '!C5391,"AAAAAH6/5+o=")</f>
        <v>#VALUE!</v>
      </c>
      <c r="IB239" t="e">
        <f>AND('STERLING CATALOG - DRY '!D5391,"AAAAAH6/5+s=")</f>
        <v>#VALUE!</v>
      </c>
      <c r="IC239" t="e">
        <f>AND('STERLING CATALOG - DRY '!E5391,"AAAAAH6/5+w=")</f>
        <v>#VALUE!</v>
      </c>
      <c r="ID239" t="e">
        <f>AND('STERLING CATALOG - DRY '!F5391,"AAAAAH6/5+0=")</f>
        <v>#VALUE!</v>
      </c>
      <c r="IE239" t="e">
        <f>AND('STERLING CATALOG - DRY '!G5391,"AAAAAH6/5+4=")</f>
        <v>#VALUE!</v>
      </c>
      <c r="IF239" t="e">
        <f>AND('STERLING CATALOG - DRY '!H5391,"AAAAAH6/5+8=")</f>
        <v>#VALUE!</v>
      </c>
      <c r="IG239" t="e">
        <f>AND('STERLING CATALOG - DRY '!I5391,"AAAAAH6/5/A=")</f>
        <v>#VALUE!</v>
      </c>
      <c r="IH239" t="e">
        <f>AND('STERLING CATALOG - DRY '!J5391,"AAAAAH6/5/E=")</f>
        <v>#VALUE!</v>
      </c>
      <c r="II239">
        <f>IF('STERLING CATALOG - DRY '!5392:5392,"AAAAAH6/5/I=",0)</f>
        <v>0</v>
      </c>
      <c r="IJ239" t="e">
        <f>AND('STERLING CATALOG - DRY '!A5392,"AAAAAH6/5/M=")</f>
        <v>#VALUE!</v>
      </c>
      <c r="IK239" t="e">
        <f>AND('STERLING CATALOG - DRY '!B5392,"AAAAAH6/5/Q=")</f>
        <v>#VALUE!</v>
      </c>
      <c r="IL239" t="e">
        <f>AND('STERLING CATALOG - DRY '!C5392,"AAAAAH6/5/U=")</f>
        <v>#VALUE!</v>
      </c>
      <c r="IM239" t="e">
        <f>AND('STERLING CATALOG - DRY '!D5392,"AAAAAH6/5/Y=")</f>
        <v>#VALUE!</v>
      </c>
      <c r="IN239" t="e">
        <f>AND('STERLING CATALOG - DRY '!E5392,"AAAAAH6/5/c=")</f>
        <v>#VALUE!</v>
      </c>
      <c r="IO239" t="e">
        <f>AND('STERLING CATALOG - DRY '!F5392,"AAAAAH6/5/g=")</f>
        <v>#VALUE!</v>
      </c>
      <c r="IP239" t="e">
        <f>AND('STERLING CATALOG - DRY '!G5392,"AAAAAH6/5/k=")</f>
        <v>#VALUE!</v>
      </c>
      <c r="IQ239" t="e">
        <f>AND('STERLING CATALOG - DRY '!H5392,"AAAAAH6/5/o=")</f>
        <v>#VALUE!</v>
      </c>
      <c r="IR239" t="e">
        <f>AND('STERLING CATALOG - DRY '!I5392,"AAAAAH6/5/s=")</f>
        <v>#VALUE!</v>
      </c>
      <c r="IS239" t="e">
        <f>AND('STERLING CATALOG - DRY '!J5392,"AAAAAH6/5/w=")</f>
        <v>#VALUE!</v>
      </c>
      <c r="IT239">
        <f>IF('STERLING CATALOG - DRY '!5393:5393,"AAAAAH6/5/0=",0)</f>
        <v>0</v>
      </c>
      <c r="IU239" t="e">
        <f>AND('STERLING CATALOG - DRY '!A5393,"AAAAAH6/5/4=")</f>
        <v>#VALUE!</v>
      </c>
      <c r="IV239" t="e">
        <f>AND('STERLING CATALOG - DRY '!B5393,"AAAAAH6/5/8=")</f>
        <v>#VALUE!</v>
      </c>
    </row>
    <row r="240" spans="1:256">
      <c r="A240" t="e">
        <f>AND('STERLING CATALOG - DRY '!C5393,"AAAAAH9LfwA=")</f>
        <v>#VALUE!</v>
      </c>
      <c r="B240" t="e">
        <f>AND('STERLING CATALOG - DRY '!D5393,"AAAAAH9LfwE=")</f>
        <v>#VALUE!</v>
      </c>
      <c r="C240" t="e">
        <f>AND('STERLING CATALOG - DRY '!E5393,"AAAAAH9LfwI=")</f>
        <v>#VALUE!</v>
      </c>
      <c r="D240" t="e">
        <f>AND('STERLING CATALOG - DRY '!F5393,"AAAAAH9LfwM=")</f>
        <v>#VALUE!</v>
      </c>
      <c r="E240" t="e">
        <f>AND('STERLING CATALOG - DRY '!G5393,"AAAAAH9LfwQ=")</f>
        <v>#VALUE!</v>
      </c>
      <c r="F240" t="e">
        <f>AND('STERLING CATALOG - DRY '!H5393,"AAAAAH9LfwU=")</f>
        <v>#VALUE!</v>
      </c>
      <c r="G240" t="e">
        <f>AND('STERLING CATALOG - DRY '!I5393,"AAAAAH9LfwY=")</f>
        <v>#VALUE!</v>
      </c>
      <c r="H240" t="e">
        <f>AND('STERLING CATALOG - DRY '!J5393,"AAAAAH9Lfwc=")</f>
        <v>#VALUE!</v>
      </c>
      <c r="I240" t="e">
        <f>IF('STERLING CATALOG - DRY '!5394:5394,"AAAAAH9Lfwg=",0)</f>
        <v>#VALUE!</v>
      </c>
      <c r="J240" t="e">
        <f>AND('STERLING CATALOG - DRY '!A5394,"AAAAAH9Lfwk=")</f>
        <v>#VALUE!</v>
      </c>
      <c r="K240" t="e">
        <f>AND('STERLING CATALOG - DRY '!B5394,"AAAAAH9Lfwo=")</f>
        <v>#VALUE!</v>
      </c>
      <c r="L240" t="e">
        <f>AND('STERLING CATALOG - DRY '!C5394,"AAAAAH9Lfws=")</f>
        <v>#VALUE!</v>
      </c>
      <c r="M240" t="e">
        <f>AND('STERLING CATALOG - DRY '!D5394,"AAAAAH9Lfww=")</f>
        <v>#VALUE!</v>
      </c>
      <c r="N240" t="e">
        <f>AND('STERLING CATALOG - DRY '!E5394,"AAAAAH9Lfw0=")</f>
        <v>#VALUE!</v>
      </c>
      <c r="O240" t="e">
        <f>AND('STERLING CATALOG - DRY '!F5394,"AAAAAH9Lfw4=")</f>
        <v>#VALUE!</v>
      </c>
      <c r="P240" t="e">
        <f>AND('STERLING CATALOG - DRY '!G5394,"AAAAAH9Lfw8=")</f>
        <v>#VALUE!</v>
      </c>
      <c r="Q240" t="e">
        <f>AND('STERLING CATALOG - DRY '!H5394,"AAAAAH9LfxA=")</f>
        <v>#VALUE!</v>
      </c>
      <c r="R240" t="e">
        <f>AND('STERLING CATALOG - DRY '!I5394,"AAAAAH9LfxE=")</f>
        <v>#VALUE!</v>
      </c>
      <c r="S240" t="e">
        <f>AND('STERLING CATALOG - DRY '!J5394,"AAAAAH9LfxI=")</f>
        <v>#VALUE!</v>
      </c>
      <c r="T240">
        <f>IF('STERLING CATALOG - DRY '!5395:5395,"AAAAAH9LfxM=",0)</f>
        <v>0</v>
      </c>
      <c r="U240" t="e">
        <f>AND('STERLING CATALOG - DRY '!A5395,"AAAAAH9LfxQ=")</f>
        <v>#VALUE!</v>
      </c>
      <c r="V240" t="e">
        <f>AND('STERLING CATALOG - DRY '!B5395,"AAAAAH9LfxU=")</f>
        <v>#VALUE!</v>
      </c>
      <c r="W240" t="e">
        <f>AND('STERLING CATALOG - DRY '!C5395,"AAAAAH9LfxY=")</f>
        <v>#VALUE!</v>
      </c>
      <c r="X240" t="e">
        <f>AND('STERLING CATALOG - DRY '!D5395,"AAAAAH9Lfxc=")</f>
        <v>#VALUE!</v>
      </c>
      <c r="Y240" t="e">
        <f>AND('STERLING CATALOG - DRY '!E5395,"AAAAAH9Lfxg=")</f>
        <v>#VALUE!</v>
      </c>
      <c r="Z240" t="e">
        <f>AND('STERLING CATALOG - DRY '!F5395,"AAAAAH9Lfxk=")</f>
        <v>#VALUE!</v>
      </c>
      <c r="AA240" t="e">
        <f>AND('STERLING CATALOG - DRY '!G5395,"AAAAAH9Lfxo=")</f>
        <v>#VALUE!</v>
      </c>
      <c r="AB240" t="e">
        <f>AND('STERLING CATALOG - DRY '!H5395,"AAAAAH9Lfxs=")</f>
        <v>#VALUE!</v>
      </c>
      <c r="AC240" t="e">
        <f>AND('STERLING CATALOG - DRY '!I5395,"AAAAAH9Lfxw=")</f>
        <v>#VALUE!</v>
      </c>
      <c r="AD240" t="e">
        <f>AND('STERLING CATALOG - DRY '!J5395,"AAAAAH9Lfx0=")</f>
        <v>#VALUE!</v>
      </c>
      <c r="AE240">
        <f>IF('STERLING CATALOG - DRY '!5396:5396,"AAAAAH9Lfx4=",0)</f>
        <v>0</v>
      </c>
      <c r="AF240" t="e">
        <f>AND('STERLING CATALOG - DRY '!A5396,"AAAAAH9Lfx8=")</f>
        <v>#VALUE!</v>
      </c>
      <c r="AG240" t="e">
        <f>AND('STERLING CATALOG - DRY '!B5396,"AAAAAH9LfyA=")</f>
        <v>#VALUE!</v>
      </c>
      <c r="AH240" t="e">
        <f>AND('STERLING CATALOG - DRY '!C5396,"AAAAAH9LfyE=")</f>
        <v>#VALUE!</v>
      </c>
      <c r="AI240" t="e">
        <f>AND('STERLING CATALOG - DRY '!D5396,"AAAAAH9LfyI=")</f>
        <v>#VALUE!</v>
      </c>
      <c r="AJ240" t="e">
        <f>AND('STERLING CATALOG - DRY '!E5396,"AAAAAH9LfyM=")</f>
        <v>#VALUE!</v>
      </c>
      <c r="AK240" t="e">
        <f>AND('STERLING CATALOG - DRY '!F5396,"AAAAAH9LfyQ=")</f>
        <v>#VALUE!</v>
      </c>
      <c r="AL240" t="e">
        <f>AND('STERLING CATALOG - DRY '!G5396,"AAAAAH9LfyU=")</f>
        <v>#VALUE!</v>
      </c>
      <c r="AM240" t="e">
        <f>AND('STERLING CATALOG - DRY '!H5396,"AAAAAH9LfyY=")</f>
        <v>#VALUE!</v>
      </c>
      <c r="AN240" t="e">
        <f>AND('STERLING CATALOG - DRY '!I5396,"AAAAAH9Lfyc=")</f>
        <v>#VALUE!</v>
      </c>
      <c r="AO240" t="e">
        <f>AND('STERLING CATALOG - DRY '!J5396,"AAAAAH9Lfyg=")</f>
        <v>#VALUE!</v>
      </c>
      <c r="AP240">
        <f>IF('STERLING CATALOG - DRY '!5397:5397,"AAAAAH9Lfyk=",0)</f>
        <v>0</v>
      </c>
      <c r="AQ240" t="e">
        <f>AND('STERLING CATALOG - DRY '!A5397,"AAAAAH9Lfyo=")</f>
        <v>#VALUE!</v>
      </c>
      <c r="AR240" t="e">
        <f>AND('STERLING CATALOG - DRY '!B5397,"AAAAAH9Lfys=")</f>
        <v>#VALUE!</v>
      </c>
      <c r="AS240" t="e">
        <f>AND('STERLING CATALOG - DRY '!C5397,"AAAAAH9Lfyw=")</f>
        <v>#VALUE!</v>
      </c>
      <c r="AT240" t="e">
        <f>AND('STERLING CATALOG - DRY '!D5397,"AAAAAH9Lfy0=")</f>
        <v>#VALUE!</v>
      </c>
      <c r="AU240" t="e">
        <f>AND('STERLING CATALOG - DRY '!E5397,"AAAAAH9Lfy4=")</f>
        <v>#VALUE!</v>
      </c>
      <c r="AV240" t="e">
        <f>AND('STERLING CATALOG - DRY '!F5397,"AAAAAH9Lfy8=")</f>
        <v>#VALUE!</v>
      </c>
      <c r="AW240" t="e">
        <f>AND('STERLING CATALOG - DRY '!G5397,"AAAAAH9LfzA=")</f>
        <v>#VALUE!</v>
      </c>
      <c r="AX240" t="e">
        <f>AND('STERLING CATALOG - DRY '!H5397,"AAAAAH9LfzE=")</f>
        <v>#VALUE!</v>
      </c>
      <c r="AY240" t="e">
        <f>AND('STERLING CATALOG - DRY '!I5397,"AAAAAH9LfzI=")</f>
        <v>#VALUE!</v>
      </c>
      <c r="AZ240" t="e">
        <f>AND('STERLING CATALOG - DRY '!J5397,"AAAAAH9LfzM=")</f>
        <v>#VALUE!</v>
      </c>
      <c r="BA240">
        <f>IF('STERLING CATALOG - DRY '!5398:5398,"AAAAAH9LfzQ=",0)</f>
        <v>0</v>
      </c>
      <c r="BB240" t="e">
        <f>AND('STERLING CATALOG - DRY '!A5398,"AAAAAH9LfzU=")</f>
        <v>#VALUE!</v>
      </c>
      <c r="BC240" t="e">
        <f>AND('STERLING CATALOG - DRY '!B5398,"AAAAAH9LfzY=")</f>
        <v>#VALUE!</v>
      </c>
      <c r="BD240" t="e">
        <f>AND('STERLING CATALOG - DRY '!C5398,"AAAAAH9Lfzc=")</f>
        <v>#VALUE!</v>
      </c>
      <c r="BE240" t="e">
        <f>AND('STERLING CATALOG - DRY '!D5398,"AAAAAH9Lfzg=")</f>
        <v>#VALUE!</v>
      </c>
      <c r="BF240" t="e">
        <f>AND('STERLING CATALOG - DRY '!E5398,"AAAAAH9Lfzk=")</f>
        <v>#VALUE!</v>
      </c>
      <c r="BG240" t="e">
        <f>AND('STERLING CATALOG - DRY '!F5398,"AAAAAH9Lfzo=")</f>
        <v>#VALUE!</v>
      </c>
      <c r="BH240" t="e">
        <f>AND('STERLING CATALOG - DRY '!G5398,"AAAAAH9Lfzs=")</f>
        <v>#VALUE!</v>
      </c>
      <c r="BI240" t="e">
        <f>AND('STERLING CATALOG - DRY '!H5398,"AAAAAH9Lfzw=")</f>
        <v>#VALUE!</v>
      </c>
      <c r="BJ240" t="e">
        <f>AND('STERLING CATALOG - DRY '!I5398,"AAAAAH9Lfz0=")</f>
        <v>#VALUE!</v>
      </c>
      <c r="BK240" t="e">
        <f>AND('STERLING CATALOG - DRY '!J5398,"AAAAAH9Lfz4=")</f>
        <v>#VALUE!</v>
      </c>
      <c r="BL240">
        <f>IF('STERLING CATALOG - DRY '!5399:5399,"AAAAAH9Lfz8=",0)</f>
        <v>0</v>
      </c>
      <c r="BM240" t="e">
        <f>AND('STERLING CATALOG - DRY '!A5399,"AAAAAH9Lf0A=")</f>
        <v>#VALUE!</v>
      </c>
      <c r="BN240" t="e">
        <f>AND('STERLING CATALOG - DRY '!B5399,"AAAAAH9Lf0E=")</f>
        <v>#VALUE!</v>
      </c>
      <c r="BO240" t="e">
        <f>AND('STERLING CATALOG - DRY '!C5399,"AAAAAH9Lf0I=")</f>
        <v>#VALUE!</v>
      </c>
      <c r="BP240" t="e">
        <f>AND('STERLING CATALOG - DRY '!D5399,"AAAAAH9Lf0M=")</f>
        <v>#VALUE!</v>
      </c>
      <c r="BQ240" t="e">
        <f>AND('STERLING CATALOG - DRY '!E5399,"AAAAAH9Lf0Q=")</f>
        <v>#VALUE!</v>
      </c>
      <c r="BR240" t="e">
        <f>AND('STERLING CATALOG - DRY '!F5399,"AAAAAH9Lf0U=")</f>
        <v>#VALUE!</v>
      </c>
      <c r="BS240" t="e">
        <f>AND('STERLING CATALOG - DRY '!G5399,"AAAAAH9Lf0Y=")</f>
        <v>#VALUE!</v>
      </c>
      <c r="BT240" t="e">
        <f>AND('STERLING CATALOG - DRY '!H5399,"AAAAAH9Lf0c=")</f>
        <v>#VALUE!</v>
      </c>
      <c r="BU240" t="e">
        <f>AND('STERLING CATALOG - DRY '!I5399,"AAAAAH9Lf0g=")</f>
        <v>#VALUE!</v>
      </c>
      <c r="BV240" t="e">
        <f>AND('STERLING CATALOG - DRY '!J5399,"AAAAAH9Lf0k=")</f>
        <v>#VALUE!</v>
      </c>
      <c r="BW240">
        <f>IF('STERLING CATALOG - DRY '!5400:5400,"AAAAAH9Lf0o=",0)</f>
        <v>0</v>
      </c>
      <c r="BX240" t="e">
        <f>AND('STERLING CATALOG - DRY '!A5400,"AAAAAH9Lf0s=")</f>
        <v>#VALUE!</v>
      </c>
      <c r="BY240" t="e">
        <f>AND('STERLING CATALOG - DRY '!B5400,"AAAAAH9Lf0w=")</f>
        <v>#VALUE!</v>
      </c>
      <c r="BZ240" t="e">
        <f>AND('STERLING CATALOG - DRY '!C5400,"AAAAAH9Lf00=")</f>
        <v>#VALUE!</v>
      </c>
      <c r="CA240" t="e">
        <f>AND('STERLING CATALOG - DRY '!D5400,"AAAAAH9Lf04=")</f>
        <v>#VALUE!</v>
      </c>
      <c r="CB240" t="e">
        <f>AND('STERLING CATALOG - DRY '!E5400,"AAAAAH9Lf08=")</f>
        <v>#VALUE!</v>
      </c>
      <c r="CC240" t="e">
        <f>AND('STERLING CATALOG - DRY '!F5400,"AAAAAH9Lf1A=")</f>
        <v>#VALUE!</v>
      </c>
      <c r="CD240" t="e">
        <f>AND('STERLING CATALOG - DRY '!G5400,"AAAAAH9Lf1E=")</f>
        <v>#VALUE!</v>
      </c>
      <c r="CE240" t="e">
        <f>AND('STERLING CATALOG - DRY '!H5400,"AAAAAH9Lf1I=")</f>
        <v>#VALUE!</v>
      </c>
      <c r="CF240" t="e">
        <f>AND('STERLING CATALOG - DRY '!I5400,"AAAAAH9Lf1M=")</f>
        <v>#VALUE!</v>
      </c>
      <c r="CG240" t="e">
        <f>AND('STERLING CATALOG - DRY '!J5400,"AAAAAH9Lf1Q=")</f>
        <v>#VALUE!</v>
      </c>
      <c r="CH240">
        <f>IF('STERLING CATALOG - DRY '!5401:5401,"AAAAAH9Lf1U=",0)</f>
        <v>0</v>
      </c>
      <c r="CI240" t="e">
        <f>AND('STERLING CATALOG - DRY '!A5401,"AAAAAH9Lf1Y=")</f>
        <v>#VALUE!</v>
      </c>
      <c r="CJ240" t="e">
        <f>AND('STERLING CATALOG - DRY '!B5401,"AAAAAH9Lf1c=")</f>
        <v>#VALUE!</v>
      </c>
      <c r="CK240" t="e">
        <f>AND('STERLING CATALOG - DRY '!C5401,"AAAAAH9Lf1g=")</f>
        <v>#VALUE!</v>
      </c>
      <c r="CL240" t="e">
        <f>AND('STERLING CATALOG - DRY '!D5401,"AAAAAH9Lf1k=")</f>
        <v>#VALUE!</v>
      </c>
      <c r="CM240" t="e">
        <f>AND('STERLING CATALOG - DRY '!E5401,"AAAAAH9Lf1o=")</f>
        <v>#VALUE!</v>
      </c>
      <c r="CN240" t="e">
        <f>AND('STERLING CATALOG - DRY '!F5401,"AAAAAH9Lf1s=")</f>
        <v>#VALUE!</v>
      </c>
      <c r="CO240" t="e">
        <f>AND('STERLING CATALOG - DRY '!G5401,"AAAAAH9Lf1w=")</f>
        <v>#VALUE!</v>
      </c>
      <c r="CP240" t="e">
        <f>AND('STERLING CATALOG - DRY '!H5401,"AAAAAH9Lf10=")</f>
        <v>#VALUE!</v>
      </c>
      <c r="CQ240" t="e">
        <f>AND('STERLING CATALOG - DRY '!I5401,"AAAAAH9Lf14=")</f>
        <v>#VALUE!</v>
      </c>
      <c r="CR240" t="e">
        <f>AND('STERLING CATALOG - DRY '!J5401,"AAAAAH9Lf18=")</f>
        <v>#VALUE!</v>
      </c>
      <c r="CS240">
        <f>IF('STERLING CATALOG - DRY '!5402:5402,"AAAAAH9Lf2A=",0)</f>
        <v>0</v>
      </c>
      <c r="CT240" t="e">
        <f>AND('STERLING CATALOG - DRY '!A5402,"AAAAAH9Lf2E=")</f>
        <v>#VALUE!</v>
      </c>
      <c r="CU240" t="e">
        <f>AND('STERLING CATALOG - DRY '!B5402,"AAAAAH9Lf2I=")</f>
        <v>#VALUE!</v>
      </c>
      <c r="CV240" t="e">
        <f>AND('STERLING CATALOG - DRY '!C5402,"AAAAAH9Lf2M=")</f>
        <v>#VALUE!</v>
      </c>
      <c r="CW240" t="e">
        <f>AND('STERLING CATALOG - DRY '!D5402,"AAAAAH9Lf2Q=")</f>
        <v>#VALUE!</v>
      </c>
      <c r="CX240" t="e">
        <f>AND('STERLING CATALOG - DRY '!E5402,"AAAAAH9Lf2U=")</f>
        <v>#VALUE!</v>
      </c>
      <c r="CY240" t="e">
        <f>AND('STERLING CATALOG - DRY '!F5402,"AAAAAH9Lf2Y=")</f>
        <v>#VALUE!</v>
      </c>
      <c r="CZ240" t="e">
        <f>AND('STERLING CATALOG - DRY '!G5402,"AAAAAH9Lf2c=")</f>
        <v>#VALUE!</v>
      </c>
      <c r="DA240" t="e">
        <f>AND('STERLING CATALOG - DRY '!H5402,"AAAAAH9Lf2g=")</f>
        <v>#VALUE!</v>
      </c>
      <c r="DB240" t="e">
        <f>AND('STERLING CATALOG - DRY '!I5402,"AAAAAH9Lf2k=")</f>
        <v>#VALUE!</v>
      </c>
      <c r="DC240" t="e">
        <f>AND('STERLING CATALOG - DRY '!J5402,"AAAAAH9Lf2o=")</f>
        <v>#VALUE!</v>
      </c>
      <c r="DD240">
        <f>IF('STERLING CATALOG - DRY '!5403:5403,"AAAAAH9Lf2s=",0)</f>
        <v>0</v>
      </c>
      <c r="DE240" t="e">
        <f>AND('STERLING CATALOG - DRY '!A5403,"AAAAAH9Lf2w=")</f>
        <v>#VALUE!</v>
      </c>
      <c r="DF240" t="e">
        <f>AND('STERLING CATALOG - DRY '!B5403,"AAAAAH9Lf20=")</f>
        <v>#VALUE!</v>
      </c>
      <c r="DG240" t="e">
        <f>AND('STERLING CATALOG - DRY '!C5403,"AAAAAH9Lf24=")</f>
        <v>#VALUE!</v>
      </c>
      <c r="DH240" t="e">
        <f>AND('STERLING CATALOG - DRY '!D5403,"AAAAAH9Lf28=")</f>
        <v>#VALUE!</v>
      </c>
      <c r="DI240" t="e">
        <f>AND('STERLING CATALOG - DRY '!E5403,"AAAAAH9Lf3A=")</f>
        <v>#VALUE!</v>
      </c>
      <c r="DJ240" t="e">
        <f>AND('STERLING CATALOG - DRY '!F5403,"AAAAAH9Lf3E=")</f>
        <v>#VALUE!</v>
      </c>
      <c r="DK240" t="e">
        <f>AND('STERLING CATALOG - DRY '!G5403,"AAAAAH9Lf3I=")</f>
        <v>#VALUE!</v>
      </c>
      <c r="DL240" t="e">
        <f>AND('STERLING CATALOG - DRY '!H5403,"AAAAAH9Lf3M=")</f>
        <v>#VALUE!</v>
      </c>
      <c r="DM240" t="e">
        <f>AND('STERLING CATALOG - DRY '!I5403,"AAAAAH9Lf3Q=")</f>
        <v>#VALUE!</v>
      </c>
      <c r="DN240" t="e">
        <f>AND('STERLING CATALOG - DRY '!J5403,"AAAAAH9Lf3U=")</f>
        <v>#VALUE!</v>
      </c>
      <c r="DO240">
        <f>IF('STERLING CATALOG - DRY '!5404:5404,"AAAAAH9Lf3Y=",0)</f>
        <v>0</v>
      </c>
      <c r="DP240" t="e">
        <f>AND('STERLING CATALOG - DRY '!A5404,"AAAAAH9Lf3c=")</f>
        <v>#VALUE!</v>
      </c>
      <c r="DQ240" t="e">
        <f>AND('STERLING CATALOG - DRY '!B5404,"AAAAAH9Lf3g=")</f>
        <v>#VALUE!</v>
      </c>
      <c r="DR240" t="e">
        <f>AND('STERLING CATALOG - DRY '!C5404,"AAAAAH9Lf3k=")</f>
        <v>#VALUE!</v>
      </c>
      <c r="DS240" t="e">
        <f>AND('STERLING CATALOG - DRY '!D5404,"AAAAAH9Lf3o=")</f>
        <v>#VALUE!</v>
      </c>
      <c r="DT240" t="e">
        <f>AND('STERLING CATALOG - DRY '!E5404,"AAAAAH9Lf3s=")</f>
        <v>#VALUE!</v>
      </c>
      <c r="DU240" t="e">
        <f>AND('STERLING CATALOG - DRY '!F5404,"AAAAAH9Lf3w=")</f>
        <v>#VALUE!</v>
      </c>
      <c r="DV240" t="e">
        <f>AND('STERLING CATALOG - DRY '!G5404,"AAAAAH9Lf30=")</f>
        <v>#VALUE!</v>
      </c>
      <c r="DW240" t="e">
        <f>AND('STERLING CATALOG - DRY '!H5404,"AAAAAH9Lf34=")</f>
        <v>#VALUE!</v>
      </c>
      <c r="DX240" t="e">
        <f>AND('STERLING CATALOG - DRY '!I5404,"AAAAAH9Lf38=")</f>
        <v>#VALUE!</v>
      </c>
      <c r="DY240" t="e">
        <f>AND('STERLING CATALOG - DRY '!J5404,"AAAAAH9Lf4A=")</f>
        <v>#VALUE!</v>
      </c>
      <c r="DZ240">
        <f>IF('STERLING CATALOG - DRY '!5405:5405,"AAAAAH9Lf4E=",0)</f>
        <v>0</v>
      </c>
      <c r="EA240" t="e">
        <f>AND('STERLING CATALOG - DRY '!A5405,"AAAAAH9Lf4I=")</f>
        <v>#VALUE!</v>
      </c>
      <c r="EB240" t="e">
        <f>AND('STERLING CATALOG - DRY '!B5405,"AAAAAH9Lf4M=")</f>
        <v>#VALUE!</v>
      </c>
      <c r="EC240" t="e">
        <f>AND('STERLING CATALOG - DRY '!C5405,"AAAAAH9Lf4Q=")</f>
        <v>#VALUE!</v>
      </c>
      <c r="ED240" t="e">
        <f>AND('STERLING CATALOG - DRY '!D5405,"AAAAAH9Lf4U=")</f>
        <v>#VALUE!</v>
      </c>
      <c r="EE240" t="e">
        <f>AND('STERLING CATALOG - DRY '!E5405,"AAAAAH9Lf4Y=")</f>
        <v>#VALUE!</v>
      </c>
      <c r="EF240" t="e">
        <f>AND('STERLING CATALOG - DRY '!F5405,"AAAAAH9Lf4c=")</f>
        <v>#VALUE!</v>
      </c>
      <c r="EG240" t="e">
        <f>AND('STERLING CATALOG - DRY '!G5405,"AAAAAH9Lf4g=")</f>
        <v>#VALUE!</v>
      </c>
      <c r="EH240" t="e">
        <f>AND('STERLING CATALOG - DRY '!H5405,"AAAAAH9Lf4k=")</f>
        <v>#VALUE!</v>
      </c>
      <c r="EI240" t="e">
        <f>AND('STERLING CATALOG - DRY '!I5405,"AAAAAH9Lf4o=")</f>
        <v>#VALUE!</v>
      </c>
      <c r="EJ240" t="e">
        <f>AND('STERLING CATALOG - DRY '!J5405,"AAAAAH9Lf4s=")</f>
        <v>#VALUE!</v>
      </c>
      <c r="EK240">
        <f>IF('STERLING CATALOG - DRY '!5406:5406,"AAAAAH9Lf4w=",0)</f>
        <v>0</v>
      </c>
      <c r="EL240" t="e">
        <f>AND('STERLING CATALOG - DRY '!A5406,"AAAAAH9Lf40=")</f>
        <v>#VALUE!</v>
      </c>
      <c r="EM240" t="e">
        <f>AND('STERLING CATALOG - DRY '!B5406,"AAAAAH9Lf44=")</f>
        <v>#VALUE!</v>
      </c>
      <c r="EN240" t="e">
        <f>AND('STERLING CATALOG - DRY '!C5406,"AAAAAH9Lf48=")</f>
        <v>#VALUE!</v>
      </c>
      <c r="EO240" t="e">
        <f>AND('STERLING CATALOG - DRY '!D5406,"AAAAAH9Lf5A=")</f>
        <v>#VALUE!</v>
      </c>
      <c r="EP240" t="e">
        <f>AND('STERLING CATALOG - DRY '!E5406,"AAAAAH9Lf5E=")</f>
        <v>#VALUE!</v>
      </c>
      <c r="EQ240" t="e">
        <f>AND('STERLING CATALOG - DRY '!F5406,"AAAAAH9Lf5I=")</f>
        <v>#VALUE!</v>
      </c>
      <c r="ER240" t="e">
        <f>AND('STERLING CATALOG - DRY '!G5406,"AAAAAH9Lf5M=")</f>
        <v>#VALUE!</v>
      </c>
      <c r="ES240" t="e">
        <f>AND('STERLING CATALOG - DRY '!H5406,"AAAAAH9Lf5Q=")</f>
        <v>#VALUE!</v>
      </c>
      <c r="ET240" t="e">
        <f>AND('STERLING CATALOG - DRY '!I5406,"AAAAAH9Lf5U=")</f>
        <v>#VALUE!</v>
      </c>
      <c r="EU240" t="e">
        <f>AND('STERLING CATALOG - DRY '!J5406,"AAAAAH9Lf5Y=")</f>
        <v>#VALUE!</v>
      </c>
      <c r="EV240">
        <f>IF('STERLING CATALOG - DRY '!5407:5407,"AAAAAH9Lf5c=",0)</f>
        <v>0</v>
      </c>
      <c r="EW240" t="e">
        <f>AND('STERLING CATALOG - DRY '!A5407,"AAAAAH9Lf5g=")</f>
        <v>#VALUE!</v>
      </c>
      <c r="EX240" t="e">
        <f>AND('STERLING CATALOG - DRY '!B5407,"AAAAAH9Lf5k=")</f>
        <v>#VALUE!</v>
      </c>
      <c r="EY240" t="e">
        <f>AND('STERLING CATALOG - DRY '!C5407,"AAAAAH9Lf5o=")</f>
        <v>#VALUE!</v>
      </c>
      <c r="EZ240" t="e">
        <f>AND('STERLING CATALOG - DRY '!D5407,"AAAAAH9Lf5s=")</f>
        <v>#VALUE!</v>
      </c>
      <c r="FA240" t="e">
        <f>AND('STERLING CATALOG - DRY '!E5407,"AAAAAH9Lf5w=")</f>
        <v>#VALUE!</v>
      </c>
      <c r="FB240" t="e">
        <f>AND('STERLING CATALOG - DRY '!F5407,"AAAAAH9Lf50=")</f>
        <v>#VALUE!</v>
      </c>
      <c r="FC240" t="e">
        <f>AND('STERLING CATALOG - DRY '!G5407,"AAAAAH9Lf54=")</f>
        <v>#VALUE!</v>
      </c>
      <c r="FD240" t="e">
        <f>AND('STERLING CATALOG - DRY '!H5407,"AAAAAH9Lf58=")</f>
        <v>#VALUE!</v>
      </c>
      <c r="FE240" t="e">
        <f>AND('STERLING CATALOG - DRY '!I5407,"AAAAAH9Lf6A=")</f>
        <v>#VALUE!</v>
      </c>
      <c r="FF240" t="e">
        <f>AND('STERLING CATALOG - DRY '!J5407,"AAAAAH9Lf6E=")</f>
        <v>#VALUE!</v>
      </c>
      <c r="FG240">
        <f>IF('STERLING CATALOG - DRY '!5408:5408,"AAAAAH9Lf6I=",0)</f>
        <v>0</v>
      </c>
      <c r="FH240" t="e">
        <f>AND('STERLING CATALOG - DRY '!A5408,"AAAAAH9Lf6M=")</f>
        <v>#VALUE!</v>
      </c>
      <c r="FI240" t="e">
        <f>AND('STERLING CATALOG - DRY '!B5408,"AAAAAH9Lf6Q=")</f>
        <v>#VALUE!</v>
      </c>
      <c r="FJ240" t="e">
        <f>AND('STERLING CATALOG - DRY '!C5408,"AAAAAH9Lf6U=")</f>
        <v>#VALUE!</v>
      </c>
      <c r="FK240" t="e">
        <f>AND('STERLING CATALOG - DRY '!D5408,"AAAAAH9Lf6Y=")</f>
        <v>#VALUE!</v>
      </c>
      <c r="FL240" t="e">
        <f>AND('STERLING CATALOG - DRY '!E5408,"AAAAAH9Lf6c=")</f>
        <v>#VALUE!</v>
      </c>
      <c r="FM240" t="e">
        <f>AND('STERLING CATALOG - DRY '!F5408,"AAAAAH9Lf6g=")</f>
        <v>#VALUE!</v>
      </c>
      <c r="FN240" t="e">
        <f>AND('STERLING CATALOG - DRY '!G5408,"AAAAAH9Lf6k=")</f>
        <v>#VALUE!</v>
      </c>
      <c r="FO240" t="e">
        <f>AND('STERLING CATALOG - DRY '!H5408,"AAAAAH9Lf6o=")</f>
        <v>#VALUE!</v>
      </c>
      <c r="FP240" t="e">
        <f>AND('STERLING CATALOG - DRY '!I5408,"AAAAAH9Lf6s=")</f>
        <v>#VALUE!</v>
      </c>
      <c r="FQ240" t="e">
        <f>AND('STERLING CATALOG - DRY '!J5408,"AAAAAH9Lf6w=")</f>
        <v>#VALUE!</v>
      </c>
      <c r="FR240">
        <f>IF('STERLING CATALOG - DRY '!5409:5409,"AAAAAH9Lf60=",0)</f>
        <v>0</v>
      </c>
      <c r="FS240" t="e">
        <f>AND('STERLING CATALOG - DRY '!A5409,"AAAAAH9Lf64=")</f>
        <v>#VALUE!</v>
      </c>
      <c r="FT240" t="e">
        <f>AND('STERLING CATALOG - DRY '!B5409,"AAAAAH9Lf68=")</f>
        <v>#VALUE!</v>
      </c>
      <c r="FU240" t="e">
        <f>AND('STERLING CATALOG - DRY '!C5409,"AAAAAH9Lf7A=")</f>
        <v>#VALUE!</v>
      </c>
      <c r="FV240" t="e">
        <f>AND('STERLING CATALOG - DRY '!D5409,"AAAAAH9Lf7E=")</f>
        <v>#VALUE!</v>
      </c>
      <c r="FW240" t="e">
        <f>AND('STERLING CATALOG - DRY '!E5409,"AAAAAH9Lf7I=")</f>
        <v>#VALUE!</v>
      </c>
      <c r="FX240" t="e">
        <f>AND('STERLING CATALOG - DRY '!F5409,"AAAAAH9Lf7M=")</f>
        <v>#VALUE!</v>
      </c>
      <c r="FY240" t="e">
        <f>AND('STERLING CATALOG - DRY '!G5409,"AAAAAH9Lf7Q=")</f>
        <v>#VALUE!</v>
      </c>
      <c r="FZ240" t="e">
        <f>AND('STERLING CATALOG - DRY '!H5409,"AAAAAH9Lf7U=")</f>
        <v>#VALUE!</v>
      </c>
      <c r="GA240" t="e">
        <f>AND('STERLING CATALOG - DRY '!I5409,"AAAAAH9Lf7Y=")</f>
        <v>#VALUE!</v>
      </c>
      <c r="GB240" t="e">
        <f>AND('STERLING CATALOG - DRY '!J5409,"AAAAAH9Lf7c=")</f>
        <v>#VALUE!</v>
      </c>
      <c r="GC240">
        <f>IF('STERLING CATALOG - DRY '!5410:5410,"AAAAAH9Lf7g=",0)</f>
        <v>0</v>
      </c>
      <c r="GD240" t="e">
        <f>AND('STERLING CATALOG - DRY '!A5410,"AAAAAH9Lf7k=")</f>
        <v>#VALUE!</v>
      </c>
      <c r="GE240" t="e">
        <f>AND('STERLING CATALOG - DRY '!B5410,"AAAAAH9Lf7o=")</f>
        <v>#VALUE!</v>
      </c>
      <c r="GF240" t="e">
        <f>AND('STERLING CATALOG - DRY '!C5410,"AAAAAH9Lf7s=")</f>
        <v>#VALUE!</v>
      </c>
      <c r="GG240" t="e">
        <f>AND('STERLING CATALOG - DRY '!D5410,"AAAAAH9Lf7w=")</f>
        <v>#VALUE!</v>
      </c>
      <c r="GH240" t="e">
        <f>AND('STERLING CATALOG - DRY '!E5410,"AAAAAH9Lf70=")</f>
        <v>#VALUE!</v>
      </c>
      <c r="GI240" t="e">
        <f>AND('STERLING CATALOG - DRY '!F5410,"AAAAAH9Lf74=")</f>
        <v>#VALUE!</v>
      </c>
      <c r="GJ240" t="e">
        <f>AND('STERLING CATALOG - DRY '!G5410,"AAAAAH9Lf78=")</f>
        <v>#VALUE!</v>
      </c>
      <c r="GK240" t="e">
        <f>AND('STERLING CATALOG - DRY '!H5410,"AAAAAH9Lf8A=")</f>
        <v>#VALUE!</v>
      </c>
      <c r="GL240" t="e">
        <f>AND('STERLING CATALOG - DRY '!I5410,"AAAAAH9Lf8E=")</f>
        <v>#VALUE!</v>
      </c>
      <c r="GM240" t="e">
        <f>AND('STERLING CATALOG - DRY '!J5410,"AAAAAH9Lf8I=")</f>
        <v>#VALUE!</v>
      </c>
      <c r="GN240">
        <f>IF('STERLING CATALOG - DRY '!5411:5411,"AAAAAH9Lf8M=",0)</f>
        <v>0</v>
      </c>
      <c r="GO240" t="e">
        <f>AND('STERLING CATALOG - DRY '!A5411,"AAAAAH9Lf8Q=")</f>
        <v>#VALUE!</v>
      </c>
      <c r="GP240" t="e">
        <f>AND('STERLING CATALOG - DRY '!B5411,"AAAAAH9Lf8U=")</f>
        <v>#VALUE!</v>
      </c>
      <c r="GQ240" t="e">
        <f>AND('STERLING CATALOG - DRY '!C5411,"AAAAAH9Lf8Y=")</f>
        <v>#VALUE!</v>
      </c>
      <c r="GR240" t="e">
        <f>AND('STERLING CATALOG - DRY '!D5411,"AAAAAH9Lf8c=")</f>
        <v>#VALUE!</v>
      </c>
      <c r="GS240" t="e">
        <f>AND('STERLING CATALOG - DRY '!E5411,"AAAAAH9Lf8g=")</f>
        <v>#VALUE!</v>
      </c>
      <c r="GT240" t="e">
        <f>AND('STERLING CATALOG - DRY '!F5411,"AAAAAH9Lf8k=")</f>
        <v>#VALUE!</v>
      </c>
      <c r="GU240" t="e">
        <f>AND('STERLING CATALOG - DRY '!G5411,"AAAAAH9Lf8o=")</f>
        <v>#VALUE!</v>
      </c>
      <c r="GV240" t="e">
        <f>AND('STERLING CATALOG - DRY '!H5411,"AAAAAH9Lf8s=")</f>
        <v>#VALUE!</v>
      </c>
      <c r="GW240" t="e">
        <f>AND('STERLING CATALOG - DRY '!I5411,"AAAAAH9Lf8w=")</f>
        <v>#VALUE!</v>
      </c>
      <c r="GX240" t="e">
        <f>AND('STERLING CATALOG - DRY '!J5411,"AAAAAH9Lf80=")</f>
        <v>#VALUE!</v>
      </c>
      <c r="GY240">
        <f>IF('STERLING CATALOG - DRY '!5412:5412,"AAAAAH9Lf84=",0)</f>
        <v>0</v>
      </c>
      <c r="GZ240" t="e">
        <f>AND('STERLING CATALOG - DRY '!A5412,"AAAAAH9Lf88=")</f>
        <v>#VALUE!</v>
      </c>
      <c r="HA240" t="e">
        <f>AND('STERLING CATALOG - DRY '!B5412,"AAAAAH9Lf9A=")</f>
        <v>#VALUE!</v>
      </c>
      <c r="HB240" t="e">
        <f>AND('STERLING CATALOG - DRY '!C5412,"AAAAAH9Lf9E=")</f>
        <v>#VALUE!</v>
      </c>
      <c r="HC240" t="e">
        <f>AND('STERLING CATALOG - DRY '!D5412,"AAAAAH9Lf9I=")</f>
        <v>#VALUE!</v>
      </c>
      <c r="HD240" t="e">
        <f>AND('STERLING CATALOG - DRY '!E5412,"AAAAAH9Lf9M=")</f>
        <v>#VALUE!</v>
      </c>
      <c r="HE240" t="e">
        <f>AND('STERLING CATALOG - DRY '!F5412,"AAAAAH9Lf9Q=")</f>
        <v>#VALUE!</v>
      </c>
      <c r="HF240" t="e">
        <f>AND('STERLING CATALOG - DRY '!G5412,"AAAAAH9Lf9U=")</f>
        <v>#VALUE!</v>
      </c>
      <c r="HG240" t="e">
        <f>AND('STERLING CATALOG - DRY '!H5412,"AAAAAH9Lf9Y=")</f>
        <v>#VALUE!</v>
      </c>
      <c r="HH240" t="e">
        <f>AND('STERLING CATALOG - DRY '!I5412,"AAAAAH9Lf9c=")</f>
        <v>#VALUE!</v>
      </c>
      <c r="HI240" t="e">
        <f>AND('STERLING CATALOG - DRY '!J5412,"AAAAAH9Lf9g=")</f>
        <v>#VALUE!</v>
      </c>
      <c r="HJ240">
        <f>IF('STERLING CATALOG - DRY '!5413:5413,"AAAAAH9Lf9k=",0)</f>
        <v>0</v>
      </c>
      <c r="HK240" t="e">
        <f>AND('STERLING CATALOG - DRY '!A5413,"AAAAAH9Lf9o=")</f>
        <v>#VALUE!</v>
      </c>
      <c r="HL240" t="e">
        <f>AND('STERLING CATALOG - DRY '!B5413,"AAAAAH9Lf9s=")</f>
        <v>#VALUE!</v>
      </c>
      <c r="HM240" t="e">
        <f>AND('STERLING CATALOG - DRY '!C5413,"AAAAAH9Lf9w=")</f>
        <v>#VALUE!</v>
      </c>
      <c r="HN240" t="e">
        <f>AND('STERLING CATALOG - DRY '!D5413,"AAAAAH9Lf90=")</f>
        <v>#VALUE!</v>
      </c>
      <c r="HO240" t="e">
        <f>AND('STERLING CATALOG - DRY '!E5413,"AAAAAH9Lf94=")</f>
        <v>#VALUE!</v>
      </c>
      <c r="HP240" t="e">
        <f>AND('STERLING CATALOG - DRY '!F5413,"AAAAAH9Lf98=")</f>
        <v>#VALUE!</v>
      </c>
      <c r="HQ240" t="e">
        <f>AND('STERLING CATALOG - DRY '!G5413,"AAAAAH9Lf+A=")</f>
        <v>#VALUE!</v>
      </c>
      <c r="HR240" t="e">
        <f>AND('STERLING CATALOG - DRY '!H5413,"AAAAAH9Lf+E=")</f>
        <v>#VALUE!</v>
      </c>
      <c r="HS240" t="e">
        <f>AND('STERLING CATALOG - DRY '!I5413,"AAAAAH9Lf+I=")</f>
        <v>#VALUE!</v>
      </c>
      <c r="HT240" t="e">
        <f>AND('STERLING CATALOG - DRY '!J5413,"AAAAAH9Lf+M=")</f>
        <v>#VALUE!</v>
      </c>
      <c r="HU240">
        <f>IF('STERLING CATALOG - DRY '!5414:5414,"AAAAAH9Lf+Q=",0)</f>
        <v>0</v>
      </c>
      <c r="HV240" t="e">
        <f>AND('STERLING CATALOG - DRY '!A5414,"AAAAAH9Lf+U=")</f>
        <v>#VALUE!</v>
      </c>
      <c r="HW240" t="e">
        <f>AND('STERLING CATALOG - DRY '!B5414,"AAAAAH9Lf+Y=")</f>
        <v>#VALUE!</v>
      </c>
      <c r="HX240" t="e">
        <f>AND('STERLING CATALOG - DRY '!C5414,"AAAAAH9Lf+c=")</f>
        <v>#VALUE!</v>
      </c>
      <c r="HY240" t="e">
        <f>AND('STERLING CATALOG - DRY '!D5414,"AAAAAH9Lf+g=")</f>
        <v>#VALUE!</v>
      </c>
      <c r="HZ240" t="e">
        <f>AND('STERLING CATALOG - DRY '!E5414,"AAAAAH9Lf+k=")</f>
        <v>#VALUE!</v>
      </c>
      <c r="IA240" t="e">
        <f>AND('STERLING CATALOG - DRY '!F5414,"AAAAAH9Lf+o=")</f>
        <v>#VALUE!</v>
      </c>
      <c r="IB240" t="e">
        <f>AND('STERLING CATALOG - DRY '!G5414,"AAAAAH9Lf+s=")</f>
        <v>#VALUE!</v>
      </c>
      <c r="IC240" t="e">
        <f>AND('STERLING CATALOG - DRY '!H5414,"AAAAAH9Lf+w=")</f>
        <v>#VALUE!</v>
      </c>
      <c r="ID240" t="e">
        <f>AND('STERLING CATALOG - DRY '!I5414,"AAAAAH9Lf+0=")</f>
        <v>#VALUE!</v>
      </c>
      <c r="IE240" t="e">
        <f>AND('STERLING CATALOG - DRY '!J5414,"AAAAAH9Lf+4=")</f>
        <v>#VALUE!</v>
      </c>
      <c r="IF240">
        <f>IF('STERLING CATALOG - DRY '!5415:5415,"AAAAAH9Lf+8=",0)</f>
        <v>0</v>
      </c>
      <c r="IG240" t="e">
        <f>AND('STERLING CATALOG - DRY '!A5415,"AAAAAH9Lf/A=")</f>
        <v>#VALUE!</v>
      </c>
      <c r="IH240" t="e">
        <f>AND('STERLING CATALOG - DRY '!B5415,"AAAAAH9Lf/E=")</f>
        <v>#VALUE!</v>
      </c>
      <c r="II240" t="e">
        <f>AND('STERLING CATALOG - DRY '!C5415,"AAAAAH9Lf/I=")</f>
        <v>#VALUE!</v>
      </c>
      <c r="IJ240" t="e">
        <f>AND('STERLING CATALOG - DRY '!D5415,"AAAAAH9Lf/M=")</f>
        <v>#VALUE!</v>
      </c>
      <c r="IK240" t="e">
        <f>AND('STERLING CATALOG - DRY '!E5415,"AAAAAH9Lf/Q=")</f>
        <v>#VALUE!</v>
      </c>
      <c r="IL240" t="e">
        <f>AND('STERLING CATALOG - DRY '!F5415,"AAAAAH9Lf/U=")</f>
        <v>#VALUE!</v>
      </c>
      <c r="IM240" t="e">
        <f>AND('STERLING CATALOG - DRY '!G5415,"AAAAAH9Lf/Y=")</f>
        <v>#VALUE!</v>
      </c>
      <c r="IN240" t="e">
        <f>AND('STERLING CATALOG - DRY '!H5415,"AAAAAH9Lf/c=")</f>
        <v>#VALUE!</v>
      </c>
      <c r="IO240" t="e">
        <f>AND('STERLING CATALOG - DRY '!I5415,"AAAAAH9Lf/g=")</f>
        <v>#VALUE!</v>
      </c>
      <c r="IP240" t="e">
        <f>AND('STERLING CATALOG - DRY '!J5415,"AAAAAH9Lf/k=")</f>
        <v>#VALUE!</v>
      </c>
      <c r="IQ240">
        <f>IF('STERLING CATALOG - DRY '!5416:5416,"AAAAAH9Lf/o=",0)</f>
        <v>0</v>
      </c>
      <c r="IR240" t="e">
        <f>AND('STERLING CATALOG - DRY '!A5416,"AAAAAH9Lf/s=")</f>
        <v>#VALUE!</v>
      </c>
      <c r="IS240" t="e">
        <f>AND('STERLING CATALOG - DRY '!B5416,"AAAAAH9Lf/w=")</f>
        <v>#VALUE!</v>
      </c>
      <c r="IT240" t="e">
        <f>AND('STERLING CATALOG - DRY '!C5416,"AAAAAH9Lf/0=")</f>
        <v>#VALUE!</v>
      </c>
      <c r="IU240" t="e">
        <f>AND('STERLING CATALOG - DRY '!D5416,"AAAAAH9Lf/4=")</f>
        <v>#VALUE!</v>
      </c>
      <c r="IV240" t="e">
        <f>AND('STERLING CATALOG - DRY '!E5416,"AAAAAH9Lf/8=")</f>
        <v>#VALUE!</v>
      </c>
    </row>
    <row r="241" spans="1:256">
      <c r="A241" t="e">
        <f>AND('STERLING CATALOG - DRY '!F5416,"AAAAAE+u1gA=")</f>
        <v>#VALUE!</v>
      </c>
      <c r="B241" t="e">
        <f>AND('STERLING CATALOG - DRY '!G5416,"AAAAAE+u1gE=")</f>
        <v>#VALUE!</v>
      </c>
      <c r="C241" t="e">
        <f>AND('STERLING CATALOG - DRY '!H5416,"AAAAAE+u1gI=")</f>
        <v>#VALUE!</v>
      </c>
      <c r="D241" t="e">
        <f>AND('STERLING CATALOG - DRY '!I5416,"AAAAAE+u1gM=")</f>
        <v>#VALUE!</v>
      </c>
      <c r="E241" t="e">
        <f>AND('STERLING CATALOG - DRY '!J5416,"AAAAAE+u1gQ=")</f>
        <v>#VALUE!</v>
      </c>
      <c r="F241" t="str">
        <f>IF('STERLING CATALOG - DRY '!5417:5417,"AAAAAE+u1gU=",0)</f>
        <v>AAAAAE+u1gU=</v>
      </c>
      <c r="G241" t="e">
        <f>AND('STERLING CATALOG - DRY '!A5417,"AAAAAE+u1gY=")</f>
        <v>#VALUE!</v>
      </c>
      <c r="H241" t="e">
        <f>AND('STERLING CATALOG - DRY '!B5417,"AAAAAE+u1gc=")</f>
        <v>#VALUE!</v>
      </c>
      <c r="I241" t="e">
        <f>AND('STERLING CATALOG - DRY '!C5417,"AAAAAE+u1gg=")</f>
        <v>#VALUE!</v>
      </c>
      <c r="J241" t="e">
        <f>AND('STERLING CATALOG - DRY '!D5417,"AAAAAE+u1gk=")</f>
        <v>#VALUE!</v>
      </c>
      <c r="K241" t="e">
        <f>AND('STERLING CATALOG - DRY '!E5417,"AAAAAE+u1go=")</f>
        <v>#VALUE!</v>
      </c>
      <c r="L241" t="e">
        <f>AND('STERLING CATALOG - DRY '!F5417,"AAAAAE+u1gs=")</f>
        <v>#VALUE!</v>
      </c>
      <c r="M241" t="e">
        <f>AND('STERLING CATALOG - DRY '!G5417,"AAAAAE+u1gw=")</f>
        <v>#VALUE!</v>
      </c>
      <c r="N241" t="e">
        <f>AND('STERLING CATALOG - DRY '!H5417,"AAAAAE+u1g0=")</f>
        <v>#VALUE!</v>
      </c>
      <c r="O241" t="e">
        <f>AND('STERLING CATALOG - DRY '!I5417,"AAAAAE+u1g4=")</f>
        <v>#VALUE!</v>
      </c>
      <c r="P241" t="e">
        <f>AND('STERLING CATALOG - DRY '!J5417,"AAAAAE+u1g8=")</f>
        <v>#VALUE!</v>
      </c>
      <c r="Q241">
        <f>IF('STERLING CATALOG - DRY '!5418:5418,"AAAAAE+u1hA=",0)</f>
        <v>0</v>
      </c>
      <c r="R241" t="e">
        <f>AND('STERLING CATALOG - DRY '!A5418,"AAAAAE+u1hE=")</f>
        <v>#VALUE!</v>
      </c>
      <c r="S241" t="e">
        <f>AND('STERLING CATALOG - DRY '!B5418,"AAAAAE+u1hI=")</f>
        <v>#VALUE!</v>
      </c>
      <c r="T241" t="e">
        <f>AND('STERLING CATALOG - DRY '!C5418,"AAAAAE+u1hM=")</f>
        <v>#VALUE!</v>
      </c>
      <c r="U241" t="e">
        <f>AND('STERLING CATALOG - DRY '!D5418,"AAAAAE+u1hQ=")</f>
        <v>#VALUE!</v>
      </c>
      <c r="V241" t="e">
        <f>AND('STERLING CATALOG - DRY '!E5418,"AAAAAE+u1hU=")</f>
        <v>#VALUE!</v>
      </c>
      <c r="W241" t="e">
        <f>AND('STERLING CATALOG - DRY '!F5418,"AAAAAE+u1hY=")</f>
        <v>#VALUE!</v>
      </c>
      <c r="X241" t="e">
        <f>AND('STERLING CATALOG - DRY '!G5418,"AAAAAE+u1hc=")</f>
        <v>#VALUE!</v>
      </c>
      <c r="Y241" t="e">
        <f>AND('STERLING CATALOG - DRY '!H5418,"AAAAAE+u1hg=")</f>
        <v>#VALUE!</v>
      </c>
      <c r="Z241" t="e">
        <f>AND('STERLING CATALOG - DRY '!I5418,"AAAAAE+u1hk=")</f>
        <v>#VALUE!</v>
      </c>
      <c r="AA241" t="e">
        <f>AND('STERLING CATALOG - DRY '!J5418,"AAAAAE+u1ho=")</f>
        <v>#VALUE!</v>
      </c>
      <c r="AB241">
        <f>IF('STERLING CATALOG - DRY '!5419:5419,"AAAAAE+u1hs=",0)</f>
        <v>0</v>
      </c>
      <c r="AC241" t="e">
        <f>AND('STERLING CATALOG - DRY '!A5419,"AAAAAE+u1hw=")</f>
        <v>#VALUE!</v>
      </c>
      <c r="AD241" t="e">
        <f>AND('STERLING CATALOG - DRY '!B5419,"AAAAAE+u1h0=")</f>
        <v>#VALUE!</v>
      </c>
      <c r="AE241" t="e">
        <f>AND('STERLING CATALOG - DRY '!C5419,"AAAAAE+u1h4=")</f>
        <v>#VALUE!</v>
      </c>
      <c r="AF241" t="e">
        <f>AND('STERLING CATALOG - DRY '!D5419,"AAAAAE+u1h8=")</f>
        <v>#VALUE!</v>
      </c>
      <c r="AG241" t="e">
        <f>AND('STERLING CATALOG - DRY '!E5419,"AAAAAE+u1iA=")</f>
        <v>#VALUE!</v>
      </c>
      <c r="AH241" t="e">
        <f>AND('STERLING CATALOG - DRY '!F5419,"AAAAAE+u1iE=")</f>
        <v>#VALUE!</v>
      </c>
      <c r="AI241" t="e">
        <f>AND('STERLING CATALOG - DRY '!G5419,"AAAAAE+u1iI=")</f>
        <v>#VALUE!</v>
      </c>
      <c r="AJ241" t="e">
        <f>AND('STERLING CATALOG - DRY '!H5419,"AAAAAE+u1iM=")</f>
        <v>#VALUE!</v>
      </c>
      <c r="AK241" t="e">
        <f>AND('STERLING CATALOG - DRY '!I5419,"AAAAAE+u1iQ=")</f>
        <v>#VALUE!</v>
      </c>
      <c r="AL241" t="e">
        <f>AND('STERLING CATALOG - DRY '!J5419,"AAAAAE+u1iU=")</f>
        <v>#VALUE!</v>
      </c>
      <c r="AM241">
        <f>IF('STERLING CATALOG - DRY '!5420:5420,"AAAAAE+u1iY=",0)</f>
        <v>0</v>
      </c>
      <c r="AN241" t="e">
        <f>AND('STERLING CATALOG - DRY '!A5420,"AAAAAE+u1ic=")</f>
        <v>#VALUE!</v>
      </c>
      <c r="AO241" t="e">
        <f>AND('STERLING CATALOG - DRY '!B5420,"AAAAAE+u1ig=")</f>
        <v>#VALUE!</v>
      </c>
      <c r="AP241" t="e">
        <f>AND('STERLING CATALOG - DRY '!C5420,"AAAAAE+u1ik=")</f>
        <v>#VALUE!</v>
      </c>
      <c r="AQ241" t="e">
        <f>AND('STERLING CATALOG - DRY '!D5420,"AAAAAE+u1io=")</f>
        <v>#VALUE!</v>
      </c>
      <c r="AR241" t="e">
        <f>AND('STERLING CATALOG - DRY '!E5420,"AAAAAE+u1is=")</f>
        <v>#VALUE!</v>
      </c>
      <c r="AS241" t="e">
        <f>AND('STERLING CATALOG - DRY '!F5420,"AAAAAE+u1iw=")</f>
        <v>#VALUE!</v>
      </c>
      <c r="AT241" t="e">
        <f>AND('STERLING CATALOG - DRY '!G5420,"AAAAAE+u1i0=")</f>
        <v>#VALUE!</v>
      </c>
      <c r="AU241" t="e">
        <f>AND('STERLING CATALOG - DRY '!H5420,"AAAAAE+u1i4=")</f>
        <v>#VALUE!</v>
      </c>
      <c r="AV241" t="e">
        <f>AND('STERLING CATALOG - DRY '!I5420,"AAAAAE+u1i8=")</f>
        <v>#VALUE!</v>
      </c>
      <c r="AW241" t="e">
        <f>AND('STERLING CATALOG - DRY '!J5420,"AAAAAE+u1jA=")</f>
        <v>#VALUE!</v>
      </c>
      <c r="AX241">
        <f>IF('STERLING CATALOG - DRY '!5421:5421,"AAAAAE+u1jE=",0)</f>
        <v>0</v>
      </c>
      <c r="AY241" t="e">
        <f>AND('STERLING CATALOG - DRY '!A5421,"AAAAAE+u1jI=")</f>
        <v>#VALUE!</v>
      </c>
      <c r="AZ241" t="e">
        <f>AND('STERLING CATALOG - DRY '!B5421,"AAAAAE+u1jM=")</f>
        <v>#VALUE!</v>
      </c>
      <c r="BA241" t="e">
        <f>AND('STERLING CATALOG - DRY '!C5421,"AAAAAE+u1jQ=")</f>
        <v>#VALUE!</v>
      </c>
      <c r="BB241" t="e">
        <f>AND('STERLING CATALOG - DRY '!D5421,"AAAAAE+u1jU=")</f>
        <v>#VALUE!</v>
      </c>
      <c r="BC241" t="e">
        <f>AND('STERLING CATALOG - DRY '!E5421,"AAAAAE+u1jY=")</f>
        <v>#VALUE!</v>
      </c>
      <c r="BD241" t="e">
        <f>AND('STERLING CATALOG - DRY '!F5421,"AAAAAE+u1jc=")</f>
        <v>#VALUE!</v>
      </c>
      <c r="BE241" t="e">
        <f>AND('STERLING CATALOG - DRY '!G5421,"AAAAAE+u1jg=")</f>
        <v>#VALUE!</v>
      </c>
      <c r="BF241" t="e">
        <f>AND('STERLING CATALOG - DRY '!H5421,"AAAAAE+u1jk=")</f>
        <v>#VALUE!</v>
      </c>
      <c r="BG241" t="e">
        <f>AND('STERLING CATALOG - DRY '!I5421,"AAAAAE+u1jo=")</f>
        <v>#VALUE!</v>
      </c>
      <c r="BH241" t="e">
        <f>AND('STERLING CATALOG - DRY '!J5421,"AAAAAE+u1js=")</f>
        <v>#VALUE!</v>
      </c>
      <c r="BI241">
        <f>IF('STERLING CATALOG - DRY '!5422:5422,"AAAAAE+u1jw=",0)</f>
        <v>0</v>
      </c>
      <c r="BJ241" t="e">
        <f>AND('STERLING CATALOG - DRY '!A5422,"AAAAAE+u1j0=")</f>
        <v>#VALUE!</v>
      </c>
      <c r="BK241" t="e">
        <f>AND('STERLING CATALOG - DRY '!B5422,"AAAAAE+u1j4=")</f>
        <v>#VALUE!</v>
      </c>
      <c r="BL241" t="e">
        <f>AND('STERLING CATALOG - DRY '!C5422,"AAAAAE+u1j8=")</f>
        <v>#VALUE!</v>
      </c>
      <c r="BM241" t="e">
        <f>AND('STERLING CATALOG - DRY '!D5422,"AAAAAE+u1kA=")</f>
        <v>#VALUE!</v>
      </c>
      <c r="BN241" t="e">
        <f>AND('STERLING CATALOG - DRY '!E5422,"AAAAAE+u1kE=")</f>
        <v>#VALUE!</v>
      </c>
      <c r="BO241" t="e">
        <f>AND('STERLING CATALOG - DRY '!F5422,"AAAAAE+u1kI=")</f>
        <v>#VALUE!</v>
      </c>
      <c r="BP241" t="e">
        <f>AND('STERLING CATALOG - DRY '!G5422,"AAAAAE+u1kM=")</f>
        <v>#VALUE!</v>
      </c>
      <c r="BQ241" t="e">
        <f>AND('STERLING CATALOG - DRY '!H5422,"AAAAAE+u1kQ=")</f>
        <v>#VALUE!</v>
      </c>
      <c r="BR241" t="e">
        <f>AND('STERLING CATALOG - DRY '!I5422,"AAAAAE+u1kU=")</f>
        <v>#VALUE!</v>
      </c>
      <c r="BS241" t="e">
        <f>AND('STERLING CATALOG - DRY '!J5422,"AAAAAE+u1kY=")</f>
        <v>#VALUE!</v>
      </c>
      <c r="BT241">
        <f>IF('STERLING CATALOG - DRY '!5423:5423,"AAAAAE+u1kc=",0)</f>
        <v>0</v>
      </c>
      <c r="BU241" t="e">
        <f>AND('STERLING CATALOG - DRY '!A5423,"AAAAAE+u1kg=")</f>
        <v>#VALUE!</v>
      </c>
      <c r="BV241" t="e">
        <f>AND('STERLING CATALOG - DRY '!B5423,"AAAAAE+u1kk=")</f>
        <v>#VALUE!</v>
      </c>
      <c r="BW241" t="e">
        <f>AND('STERLING CATALOG - DRY '!C5423,"AAAAAE+u1ko=")</f>
        <v>#VALUE!</v>
      </c>
      <c r="BX241" t="e">
        <f>AND('STERLING CATALOG - DRY '!D5423,"AAAAAE+u1ks=")</f>
        <v>#VALUE!</v>
      </c>
      <c r="BY241" t="e">
        <f>AND('STERLING CATALOG - DRY '!E5423,"AAAAAE+u1kw=")</f>
        <v>#VALUE!</v>
      </c>
      <c r="BZ241" t="e">
        <f>AND('STERLING CATALOG - DRY '!F5423,"AAAAAE+u1k0=")</f>
        <v>#VALUE!</v>
      </c>
      <c r="CA241" t="e">
        <f>AND('STERLING CATALOG - DRY '!G5423,"AAAAAE+u1k4=")</f>
        <v>#VALUE!</v>
      </c>
      <c r="CB241" t="e">
        <f>AND('STERLING CATALOG - DRY '!H5423,"AAAAAE+u1k8=")</f>
        <v>#VALUE!</v>
      </c>
      <c r="CC241" t="e">
        <f>AND('STERLING CATALOG - DRY '!I5423,"AAAAAE+u1lA=")</f>
        <v>#VALUE!</v>
      </c>
      <c r="CD241" t="e">
        <f>AND('STERLING CATALOG - DRY '!J5423,"AAAAAE+u1lE=")</f>
        <v>#VALUE!</v>
      </c>
      <c r="CE241">
        <f>IF('STERLING CATALOG - DRY '!5424:5424,"AAAAAE+u1lI=",0)</f>
        <v>0</v>
      </c>
      <c r="CF241" t="e">
        <f>AND('STERLING CATALOG - DRY '!A5424,"AAAAAE+u1lM=")</f>
        <v>#VALUE!</v>
      </c>
      <c r="CG241" t="e">
        <f>AND('STERLING CATALOG - DRY '!B5424,"AAAAAE+u1lQ=")</f>
        <v>#VALUE!</v>
      </c>
      <c r="CH241" t="e">
        <f>AND('STERLING CATALOG - DRY '!C5424,"AAAAAE+u1lU=")</f>
        <v>#VALUE!</v>
      </c>
      <c r="CI241" t="e">
        <f>AND('STERLING CATALOG - DRY '!D5424,"AAAAAE+u1lY=")</f>
        <v>#VALUE!</v>
      </c>
      <c r="CJ241" t="e">
        <f>AND('STERLING CATALOG - DRY '!E5424,"AAAAAE+u1lc=")</f>
        <v>#VALUE!</v>
      </c>
      <c r="CK241" t="e">
        <f>AND('STERLING CATALOG - DRY '!F5424,"AAAAAE+u1lg=")</f>
        <v>#VALUE!</v>
      </c>
      <c r="CL241" t="e">
        <f>AND('STERLING CATALOG - DRY '!G5424,"AAAAAE+u1lk=")</f>
        <v>#VALUE!</v>
      </c>
      <c r="CM241" t="e">
        <f>AND('STERLING CATALOG - DRY '!H5424,"AAAAAE+u1lo=")</f>
        <v>#VALUE!</v>
      </c>
      <c r="CN241" t="e">
        <f>AND('STERLING CATALOG - DRY '!I5424,"AAAAAE+u1ls=")</f>
        <v>#VALUE!</v>
      </c>
      <c r="CO241" t="e">
        <f>AND('STERLING CATALOG - DRY '!J5424,"AAAAAE+u1lw=")</f>
        <v>#VALUE!</v>
      </c>
      <c r="CP241">
        <f>IF('STERLING CATALOG - DRY '!5425:5425,"AAAAAE+u1l0=",0)</f>
        <v>0</v>
      </c>
      <c r="CQ241" t="e">
        <f>AND('STERLING CATALOG - DRY '!A5425,"AAAAAE+u1l4=")</f>
        <v>#VALUE!</v>
      </c>
      <c r="CR241" t="e">
        <f>AND('STERLING CATALOG - DRY '!B5425,"AAAAAE+u1l8=")</f>
        <v>#VALUE!</v>
      </c>
      <c r="CS241" t="e">
        <f>AND('STERLING CATALOG - DRY '!C5425,"AAAAAE+u1mA=")</f>
        <v>#VALUE!</v>
      </c>
      <c r="CT241" t="e">
        <f>AND('STERLING CATALOG - DRY '!D5425,"AAAAAE+u1mE=")</f>
        <v>#VALUE!</v>
      </c>
      <c r="CU241" t="e">
        <f>AND('STERLING CATALOG - DRY '!E5425,"AAAAAE+u1mI=")</f>
        <v>#VALUE!</v>
      </c>
      <c r="CV241" t="e">
        <f>AND('STERLING CATALOG - DRY '!F5425,"AAAAAE+u1mM=")</f>
        <v>#VALUE!</v>
      </c>
      <c r="CW241" t="e">
        <f>AND('STERLING CATALOG - DRY '!G5425,"AAAAAE+u1mQ=")</f>
        <v>#VALUE!</v>
      </c>
      <c r="CX241" t="e">
        <f>AND('STERLING CATALOG - DRY '!H5425,"AAAAAE+u1mU=")</f>
        <v>#VALUE!</v>
      </c>
      <c r="CY241" t="e">
        <f>AND('STERLING CATALOG - DRY '!I5425,"AAAAAE+u1mY=")</f>
        <v>#VALUE!</v>
      </c>
      <c r="CZ241" t="e">
        <f>AND('STERLING CATALOG - DRY '!J5425,"AAAAAE+u1mc=")</f>
        <v>#VALUE!</v>
      </c>
      <c r="DA241">
        <f>IF('STERLING CATALOG - DRY '!5426:5426,"AAAAAE+u1mg=",0)</f>
        <v>0</v>
      </c>
      <c r="DB241" t="e">
        <f>AND('STERLING CATALOG - DRY '!A5426,"AAAAAE+u1mk=")</f>
        <v>#VALUE!</v>
      </c>
      <c r="DC241" t="e">
        <f>AND('STERLING CATALOG - DRY '!B5426,"AAAAAE+u1mo=")</f>
        <v>#VALUE!</v>
      </c>
      <c r="DD241" t="e">
        <f>AND('STERLING CATALOG - DRY '!C5426,"AAAAAE+u1ms=")</f>
        <v>#VALUE!</v>
      </c>
      <c r="DE241" t="e">
        <f>AND('STERLING CATALOG - DRY '!D5426,"AAAAAE+u1mw=")</f>
        <v>#VALUE!</v>
      </c>
      <c r="DF241" t="e">
        <f>AND('STERLING CATALOG - DRY '!E5426,"AAAAAE+u1m0=")</f>
        <v>#VALUE!</v>
      </c>
      <c r="DG241" t="e">
        <f>AND('STERLING CATALOG - DRY '!F5426,"AAAAAE+u1m4=")</f>
        <v>#VALUE!</v>
      </c>
      <c r="DH241" t="e">
        <f>AND('STERLING CATALOG - DRY '!G5426,"AAAAAE+u1m8=")</f>
        <v>#VALUE!</v>
      </c>
      <c r="DI241" t="e">
        <f>AND('STERLING CATALOG - DRY '!H5426,"AAAAAE+u1nA=")</f>
        <v>#VALUE!</v>
      </c>
      <c r="DJ241" t="e">
        <f>AND('STERLING CATALOG - DRY '!I5426,"AAAAAE+u1nE=")</f>
        <v>#VALUE!</v>
      </c>
      <c r="DK241" t="e">
        <f>AND('STERLING CATALOG - DRY '!J5426,"AAAAAE+u1nI=")</f>
        <v>#VALUE!</v>
      </c>
      <c r="DL241">
        <f>IF('STERLING CATALOG - DRY '!5427:5427,"AAAAAE+u1nM=",0)</f>
        <v>0</v>
      </c>
      <c r="DM241" t="e">
        <f>AND('STERLING CATALOG - DRY '!A5427,"AAAAAE+u1nQ=")</f>
        <v>#VALUE!</v>
      </c>
      <c r="DN241" t="e">
        <f>AND('STERLING CATALOG - DRY '!B5427,"AAAAAE+u1nU=")</f>
        <v>#VALUE!</v>
      </c>
      <c r="DO241" t="e">
        <f>AND('STERLING CATALOG - DRY '!C5427,"AAAAAE+u1nY=")</f>
        <v>#VALUE!</v>
      </c>
      <c r="DP241" t="e">
        <f>AND('STERLING CATALOG - DRY '!D5427,"AAAAAE+u1nc=")</f>
        <v>#VALUE!</v>
      </c>
      <c r="DQ241" t="e">
        <f>AND('STERLING CATALOG - DRY '!E5427,"AAAAAE+u1ng=")</f>
        <v>#VALUE!</v>
      </c>
      <c r="DR241" t="e">
        <f>AND('STERLING CATALOG - DRY '!F5427,"AAAAAE+u1nk=")</f>
        <v>#VALUE!</v>
      </c>
      <c r="DS241" t="e">
        <f>AND('STERLING CATALOG - DRY '!G5427,"AAAAAE+u1no=")</f>
        <v>#VALUE!</v>
      </c>
      <c r="DT241" t="e">
        <f>AND('STERLING CATALOG - DRY '!H5427,"AAAAAE+u1ns=")</f>
        <v>#VALUE!</v>
      </c>
      <c r="DU241" t="e">
        <f>AND('STERLING CATALOG - DRY '!I5427,"AAAAAE+u1nw=")</f>
        <v>#VALUE!</v>
      </c>
      <c r="DV241" t="e">
        <f>AND('STERLING CATALOG - DRY '!J5427,"AAAAAE+u1n0=")</f>
        <v>#VALUE!</v>
      </c>
      <c r="DW241">
        <f>IF('STERLING CATALOG - DRY '!5428:5428,"AAAAAE+u1n4=",0)</f>
        <v>0</v>
      </c>
      <c r="DX241" t="e">
        <f>AND('STERLING CATALOG - DRY '!A5428,"AAAAAE+u1n8=")</f>
        <v>#VALUE!</v>
      </c>
      <c r="DY241" t="e">
        <f>AND('STERLING CATALOG - DRY '!B5428,"AAAAAE+u1oA=")</f>
        <v>#VALUE!</v>
      </c>
      <c r="DZ241" t="e">
        <f>AND('STERLING CATALOG - DRY '!C5428,"AAAAAE+u1oE=")</f>
        <v>#VALUE!</v>
      </c>
      <c r="EA241" t="e">
        <f>AND('STERLING CATALOG - DRY '!D5428,"AAAAAE+u1oI=")</f>
        <v>#VALUE!</v>
      </c>
      <c r="EB241" t="e">
        <f>AND('STERLING CATALOG - DRY '!E5428,"AAAAAE+u1oM=")</f>
        <v>#VALUE!</v>
      </c>
      <c r="EC241" t="e">
        <f>AND('STERLING CATALOG - DRY '!F5428,"AAAAAE+u1oQ=")</f>
        <v>#VALUE!</v>
      </c>
      <c r="ED241" t="e">
        <f>AND('STERLING CATALOG - DRY '!G5428,"AAAAAE+u1oU=")</f>
        <v>#VALUE!</v>
      </c>
      <c r="EE241" t="e">
        <f>AND('STERLING CATALOG - DRY '!H5428,"AAAAAE+u1oY=")</f>
        <v>#VALUE!</v>
      </c>
      <c r="EF241" t="e">
        <f>AND('STERLING CATALOG - DRY '!I5428,"AAAAAE+u1oc=")</f>
        <v>#VALUE!</v>
      </c>
      <c r="EG241" t="e">
        <f>AND('STERLING CATALOG - DRY '!J5428,"AAAAAE+u1og=")</f>
        <v>#VALUE!</v>
      </c>
      <c r="EH241">
        <f>IF('STERLING CATALOG - DRY '!5429:5429,"AAAAAE+u1ok=",0)</f>
        <v>0</v>
      </c>
      <c r="EI241" t="e">
        <f>AND('STERLING CATALOG - DRY '!A5429,"AAAAAE+u1oo=")</f>
        <v>#VALUE!</v>
      </c>
      <c r="EJ241" t="e">
        <f>AND('STERLING CATALOG - DRY '!B5429,"AAAAAE+u1os=")</f>
        <v>#VALUE!</v>
      </c>
      <c r="EK241" t="e">
        <f>AND('STERLING CATALOG - DRY '!C5429,"AAAAAE+u1ow=")</f>
        <v>#VALUE!</v>
      </c>
      <c r="EL241" t="e">
        <f>AND('STERLING CATALOG - DRY '!D5429,"AAAAAE+u1o0=")</f>
        <v>#VALUE!</v>
      </c>
      <c r="EM241" t="e">
        <f>AND('STERLING CATALOG - DRY '!E5429,"AAAAAE+u1o4=")</f>
        <v>#VALUE!</v>
      </c>
      <c r="EN241" t="e">
        <f>AND('STERLING CATALOG - DRY '!F5429,"AAAAAE+u1o8=")</f>
        <v>#VALUE!</v>
      </c>
      <c r="EO241" t="e">
        <f>AND('STERLING CATALOG - DRY '!G5429,"AAAAAE+u1pA=")</f>
        <v>#VALUE!</v>
      </c>
      <c r="EP241" t="e">
        <f>AND('STERLING CATALOG - DRY '!H5429,"AAAAAE+u1pE=")</f>
        <v>#VALUE!</v>
      </c>
      <c r="EQ241" t="e">
        <f>AND('STERLING CATALOG - DRY '!I5429,"AAAAAE+u1pI=")</f>
        <v>#VALUE!</v>
      </c>
      <c r="ER241" t="e">
        <f>AND('STERLING CATALOG - DRY '!J5429,"AAAAAE+u1pM=")</f>
        <v>#VALUE!</v>
      </c>
      <c r="ES241">
        <f>IF('STERLING CATALOG - DRY '!5430:5430,"AAAAAE+u1pQ=",0)</f>
        <v>0</v>
      </c>
      <c r="ET241" t="e">
        <f>AND('STERLING CATALOG - DRY '!A5430,"AAAAAE+u1pU=")</f>
        <v>#VALUE!</v>
      </c>
      <c r="EU241" t="e">
        <f>AND('STERLING CATALOG - DRY '!B5430,"AAAAAE+u1pY=")</f>
        <v>#VALUE!</v>
      </c>
      <c r="EV241" t="e">
        <f>AND('STERLING CATALOG - DRY '!C5430,"AAAAAE+u1pc=")</f>
        <v>#VALUE!</v>
      </c>
      <c r="EW241" t="e">
        <f>AND('STERLING CATALOG - DRY '!D5430,"AAAAAE+u1pg=")</f>
        <v>#VALUE!</v>
      </c>
      <c r="EX241" t="e">
        <f>AND('STERLING CATALOG - DRY '!E5430,"AAAAAE+u1pk=")</f>
        <v>#VALUE!</v>
      </c>
      <c r="EY241" t="e">
        <f>AND('STERLING CATALOG - DRY '!F5430,"AAAAAE+u1po=")</f>
        <v>#VALUE!</v>
      </c>
      <c r="EZ241" t="e">
        <f>AND('STERLING CATALOG - DRY '!G5430,"AAAAAE+u1ps=")</f>
        <v>#VALUE!</v>
      </c>
      <c r="FA241" t="e">
        <f>AND('STERLING CATALOG - DRY '!H5430,"AAAAAE+u1pw=")</f>
        <v>#VALUE!</v>
      </c>
      <c r="FB241" t="e">
        <f>AND('STERLING CATALOG - DRY '!I5430,"AAAAAE+u1p0=")</f>
        <v>#VALUE!</v>
      </c>
      <c r="FC241" t="e">
        <f>AND('STERLING CATALOG - DRY '!J5430,"AAAAAE+u1p4=")</f>
        <v>#VALUE!</v>
      </c>
      <c r="FD241">
        <f>IF('STERLING CATALOG - DRY '!5431:5431,"AAAAAE+u1p8=",0)</f>
        <v>0</v>
      </c>
      <c r="FE241" t="e">
        <f>AND('STERLING CATALOG - DRY '!A5431,"AAAAAE+u1qA=")</f>
        <v>#VALUE!</v>
      </c>
      <c r="FF241" t="e">
        <f>AND('STERLING CATALOG - DRY '!B5431,"AAAAAE+u1qE=")</f>
        <v>#VALUE!</v>
      </c>
      <c r="FG241" t="e">
        <f>AND('STERLING CATALOG - DRY '!C5431,"AAAAAE+u1qI=")</f>
        <v>#VALUE!</v>
      </c>
      <c r="FH241" t="e">
        <f>AND('STERLING CATALOG - DRY '!D5431,"AAAAAE+u1qM=")</f>
        <v>#VALUE!</v>
      </c>
      <c r="FI241" t="e">
        <f>AND('STERLING CATALOG - DRY '!E5431,"AAAAAE+u1qQ=")</f>
        <v>#VALUE!</v>
      </c>
      <c r="FJ241" t="e">
        <f>AND('STERLING CATALOG - DRY '!F5431,"AAAAAE+u1qU=")</f>
        <v>#VALUE!</v>
      </c>
      <c r="FK241" t="e">
        <f>AND('STERLING CATALOG - DRY '!G5431,"AAAAAE+u1qY=")</f>
        <v>#VALUE!</v>
      </c>
      <c r="FL241" t="e">
        <f>AND('STERLING CATALOG - DRY '!H5431,"AAAAAE+u1qc=")</f>
        <v>#VALUE!</v>
      </c>
      <c r="FM241" t="e">
        <f>AND('STERLING CATALOG - DRY '!I5431,"AAAAAE+u1qg=")</f>
        <v>#VALUE!</v>
      </c>
      <c r="FN241" t="e">
        <f>AND('STERLING CATALOG - DRY '!J5431,"AAAAAE+u1qk=")</f>
        <v>#VALUE!</v>
      </c>
      <c r="FO241">
        <f>IF('STERLING CATALOG - DRY '!5432:5432,"AAAAAE+u1qo=",0)</f>
        <v>0</v>
      </c>
      <c r="FP241" t="e">
        <f>AND('STERLING CATALOG - DRY '!A5432,"AAAAAE+u1qs=")</f>
        <v>#VALUE!</v>
      </c>
      <c r="FQ241" t="e">
        <f>AND('STERLING CATALOG - DRY '!B5432,"AAAAAE+u1qw=")</f>
        <v>#VALUE!</v>
      </c>
      <c r="FR241" t="e">
        <f>AND('STERLING CATALOG - DRY '!C5432,"AAAAAE+u1q0=")</f>
        <v>#VALUE!</v>
      </c>
      <c r="FS241" t="e">
        <f>AND('STERLING CATALOG - DRY '!D5432,"AAAAAE+u1q4=")</f>
        <v>#VALUE!</v>
      </c>
      <c r="FT241" t="e">
        <f>AND('STERLING CATALOG - DRY '!E5432,"AAAAAE+u1q8=")</f>
        <v>#VALUE!</v>
      </c>
      <c r="FU241" t="e">
        <f>AND('STERLING CATALOG - DRY '!F5432,"AAAAAE+u1rA=")</f>
        <v>#VALUE!</v>
      </c>
      <c r="FV241" t="e">
        <f>AND('STERLING CATALOG - DRY '!G5432,"AAAAAE+u1rE=")</f>
        <v>#VALUE!</v>
      </c>
      <c r="FW241" t="e">
        <f>AND('STERLING CATALOG - DRY '!H5432,"AAAAAE+u1rI=")</f>
        <v>#VALUE!</v>
      </c>
      <c r="FX241" t="e">
        <f>AND('STERLING CATALOG - DRY '!I5432,"AAAAAE+u1rM=")</f>
        <v>#VALUE!</v>
      </c>
      <c r="FY241" t="e">
        <f>AND('STERLING CATALOG - DRY '!J5432,"AAAAAE+u1rQ=")</f>
        <v>#VALUE!</v>
      </c>
      <c r="FZ241">
        <f>IF('STERLING CATALOG - DRY '!5433:5433,"AAAAAE+u1rU=",0)</f>
        <v>0</v>
      </c>
      <c r="GA241" t="e">
        <f>AND('STERLING CATALOG - DRY '!A5433,"AAAAAE+u1rY=")</f>
        <v>#VALUE!</v>
      </c>
      <c r="GB241" t="e">
        <f>AND('STERLING CATALOG - DRY '!B5433,"AAAAAE+u1rc=")</f>
        <v>#VALUE!</v>
      </c>
      <c r="GC241" t="e">
        <f>AND('STERLING CATALOG - DRY '!C5433,"AAAAAE+u1rg=")</f>
        <v>#VALUE!</v>
      </c>
      <c r="GD241" t="e">
        <f>AND('STERLING CATALOG - DRY '!D5433,"AAAAAE+u1rk=")</f>
        <v>#VALUE!</v>
      </c>
      <c r="GE241" t="e">
        <f>AND('STERLING CATALOG - DRY '!E5433,"AAAAAE+u1ro=")</f>
        <v>#VALUE!</v>
      </c>
      <c r="GF241" t="e">
        <f>AND('STERLING CATALOG - DRY '!F5433,"AAAAAE+u1rs=")</f>
        <v>#VALUE!</v>
      </c>
      <c r="GG241" t="e">
        <f>AND('STERLING CATALOG - DRY '!G5433,"AAAAAE+u1rw=")</f>
        <v>#VALUE!</v>
      </c>
      <c r="GH241" t="e">
        <f>AND('STERLING CATALOG - DRY '!H5433,"AAAAAE+u1r0=")</f>
        <v>#VALUE!</v>
      </c>
      <c r="GI241" t="e">
        <f>AND('STERLING CATALOG - DRY '!I5433,"AAAAAE+u1r4=")</f>
        <v>#VALUE!</v>
      </c>
      <c r="GJ241" t="e">
        <f>AND('STERLING CATALOG - DRY '!J5433,"AAAAAE+u1r8=")</f>
        <v>#VALUE!</v>
      </c>
      <c r="GK241">
        <f>IF('STERLING CATALOG - DRY '!5434:5434,"AAAAAE+u1sA=",0)</f>
        <v>0</v>
      </c>
      <c r="GL241" t="e">
        <f>AND('STERLING CATALOG - DRY '!A5434,"AAAAAE+u1sE=")</f>
        <v>#VALUE!</v>
      </c>
      <c r="GM241" t="e">
        <f>AND('STERLING CATALOG - DRY '!B5434,"AAAAAE+u1sI=")</f>
        <v>#VALUE!</v>
      </c>
      <c r="GN241" t="e">
        <f>AND('STERLING CATALOG - DRY '!C5434,"AAAAAE+u1sM=")</f>
        <v>#VALUE!</v>
      </c>
      <c r="GO241" t="e">
        <f>AND('STERLING CATALOG - DRY '!D5434,"AAAAAE+u1sQ=")</f>
        <v>#VALUE!</v>
      </c>
      <c r="GP241" t="e">
        <f>AND('STERLING CATALOG - DRY '!E5434,"AAAAAE+u1sU=")</f>
        <v>#VALUE!</v>
      </c>
      <c r="GQ241" t="e">
        <f>AND('STERLING CATALOG - DRY '!F5434,"AAAAAE+u1sY=")</f>
        <v>#VALUE!</v>
      </c>
      <c r="GR241" t="e">
        <f>AND('STERLING CATALOG - DRY '!G5434,"AAAAAE+u1sc=")</f>
        <v>#VALUE!</v>
      </c>
      <c r="GS241" t="e">
        <f>AND('STERLING CATALOG - DRY '!H5434,"AAAAAE+u1sg=")</f>
        <v>#VALUE!</v>
      </c>
      <c r="GT241" t="e">
        <f>AND('STERLING CATALOG - DRY '!I5434,"AAAAAE+u1sk=")</f>
        <v>#VALUE!</v>
      </c>
      <c r="GU241" t="e">
        <f>AND('STERLING CATALOG - DRY '!J5434,"AAAAAE+u1so=")</f>
        <v>#VALUE!</v>
      </c>
      <c r="GV241">
        <f>IF('STERLING CATALOG - DRY '!5435:5435,"AAAAAE+u1ss=",0)</f>
        <v>0</v>
      </c>
      <c r="GW241" t="e">
        <f>AND('STERLING CATALOG - DRY '!A5435,"AAAAAE+u1sw=")</f>
        <v>#VALUE!</v>
      </c>
      <c r="GX241" t="e">
        <f>AND('STERLING CATALOG - DRY '!B5435,"AAAAAE+u1s0=")</f>
        <v>#VALUE!</v>
      </c>
      <c r="GY241" t="e">
        <f>AND('STERLING CATALOG - DRY '!C5435,"AAAAAE+u1s4=")</f>
        <v>#VALUE!</v>
      </c>
      <c r="GZ241" t="e">
        <f>AND('STERLING CATALOG - DRY '!D5435,"AAAAAE+u1s8=")</f>
        <v>#VALUE!</v>
      </c>
      <c r="HA241" t="e">
        <f>AND('STERLING CATALOG - DRY '!E5435,"AAAAAE+u1tA=")</f>
        <v>#VALUE!</v>
      </c>
      <c r="HB241" t="e">
        <f>AND('STERLING CATALOG - DRY '!F5435,"AAAAAE+u1tE=")</f>
        <v>#VALUE!</v>
      </c>
      <c r="HC241" t="e">
        <f>AND('STERLING CATALOG - DRY '!G5435,"AAAAAE+u1tI=")</f>
        <v>#VALUE!</v>
      </c>
      <c r="HD241" t="e">
        <f>AND('STERLING CATALOG - DRY '!H5435,"AAAAAE+u1tM=")</f>
        <v>#VALUE!</v>
      </c>
      <c r="HE241" t="e">
        <f>AND('STERLING CATALOG - DRY '!I5435,"AAAAAE+u1tQ=")</f>
        <v>#VALUE!</v>
      </c>
      <c r="HF241" t="e">
        <f>AND('STERLING CATALOG - DRY '!J5435,"AAAAAE+u1tU=")</f>
        <v>#VALUE!</v>
      </c>
      <c r="HG241">
        <f>IF('STERLING CATALOG - DRY '!5436:5436,"AAAAAE+u1tY=",0)</f>
        <v>0</v>
      </c>
      <c r="HH241" t="e">
        <f>AND('STERLING CATALOG - DRY '!A5436,"AAAAAE+u1tc=")</f>
        <v>#VALUE!</v>
      </c>
      <c r="HI241" t="e">
        <f>AND('STERLING CATALOG - DRY '!B5436,"AAAAAE+u1tg=")</f>
        <v>#VALUE!</v>
      </c>
      <c r="HJ241" t="e">
        <f>AND('STERLING CATALOG - DRY '!C5436,"AAAAAE+u1tk=")</f>
        <v>#VALUE!</v>
      </c>
      <c r="HK241" t="e">
        <f>AND('STERLING CATALOG - DRY '!D5436,"AAAAAE+u1to=")</f>
        <v>#VALUE!</v>
      </c>
      <c r="HL241" t="e">
        <f>AND('STERLING CATALOG - DRY '!E5436,"AAAAAE+u1ts=")</f>
        <v>#VALUE!</v>
      </c>
      <c r="HM241" t="e">
        <f>AND('STERLING CATALOG - DRY '!F5436,"AAAAAE+u1tw=")</f>
        <v>#VALUE!</v>
      </c>
      <c r="HN241" t="e">
        <f>AND('STERLING CATALOG - DRY '!G5436,"AAAAAE+u1t0=")</f>
        <v>#VALUE!</v>
      </c>
      <c r="HO241" t="e">
        <f>AND('STERLING CATALOG - DRY '!H5436,"AAAAAE+u1t4=")</f>
        <v>#VALUE!</v>
      </c>
      <c r="HP241" t="e">
        <f>AND('STERLING CATALOG - DRY '!I5436,"AAAAAE+u1t8=")</f>
        <v>#VALUE!</v>
      </c>
      <c r="HQ241" t="e">
        <f>AND('STERLING CATALOG - DRY '!J5436,"AAAAAE+u1uA=")</f>
        <v>#VALUE!</v>
      </c>
      <c r="HR241">
        <f>IF('STERLING CATALOG - DRY '!5437:5437,"AAAAAE+u1uE=",0)</f>
        <v>0</v>
      </c>
      <c r="HS241" t="e">
        <f>AND('STERLING CATALOG - DRY '!A5437,"AAAAAE+u1uI=")</f>
        <v>#VALUE!</v>
      </c>
      <c r="HT241" t="e">
        <f>AND('STERLING CATALOG - DRY '!B5437,"AAAAAE+u1uM=")</f>
        <v>#VALUE!</v>
      </c>
      <c r="HU241" t="e">
        <f>AND('STERLING CATALOG - DRY '!C5437,"AAAAAE+u1uQ=")</f>
        <v>#VALUE!</v>
      </c>
      <c r="HV241" t="e">
        <f>AND('STERLING CATALOG - DRY '!D5437,"AAAAAE+u1uU=")</f>
        <v>#VALUE!</v>
      </c>
      <c r="HW241" t="e">
        <f>AND('STERLING CATALOG - DRY '!E5437,"AAAAAE+u1uY=")</f>
        <v>#VALUE!</v>
      </c>
      <c r="HX241" t="e">
        <f>AND('STERLING CATALOG - DRY '!F5437,"AAAAAE+u1uc=")</f>
        <v>#VALUE!</v>
      </c>
      <c r="HY241" t="e">
        <f>AND('STERLING CATALOG - DRY '!G5437,"AAAAAE+u1ug=")</f>
        <v>#VALUE!</v>
      </c>
      <c r="HZ241" t="e">
        <f>AND('STERLING CATALOG - DRY '!H5437,"AAAAAE+u1uk=")</f>
        <v>#VALUE!</v>
      </c>
      <c r="IA241" t="e">
        <f>AND('STERLING CATALOG - DRY '!I5437,"AAAAAE+u1uo=")</f>
        <v>#VALUE!</v>
      </c>
      <c r="IB241" t="e">
        <f>AND('STERLING CATALOG - DRY '!J5437,"AAAAAE+u1us=")</f>
        <v>#VALUE!</v>
      </c>
      <c r="IC241">
        <f>IF('STERLING CATALOG - DRY '!5438:5438,"AAAAAE+u1uw=",0)</f>
        <v>0</v>
      </c>
      <c r="ID241" t="e">
        <f>AND('STERLING CATALOG - DRY '!A5438,"AAAAAE+u1u0=")</f>
        <v>#VALUE!</v>
      </c>
      <c r="IE241" t="e">
        <f>AND('STERLING CATALOG - DRY '!B5438,"AAAAAE+u1u4=")</f>
        <v>#VALUE!</v>
      </c>
      <c r="IF241" t="e">
        <f>AND('STERLING CATALOG - DRY '!C5438,"AAAAAE+u1u8=")</f>
        <v>#VALUE!</v>
      </c>
      <c r="IG241" t="e">
        <f>AND('STERLING CATALOG - DRY '!D5438,"AAAAAE+u1vA=")</f>
        <v>#VALUE!</v>
      </c>
      <c r="IH241" t="e">
        <f>AND('STERLING CATALOG - DRY '!E5438,"AAAAAE+u1vE=")</f>
        <v>#VALUE!</v>
      </c>
      <c r="II241" t="e">
        <f>AND('STERLING CATALOG - DRY '!F5438,"AAAAAE+u1vI=")</f>
        <v>#VALUE!</v>
      </c>
      <c r="IJ241" t="e">
        <f>AND('STERLING CATALOG - DRY '!G5438,"AAAAAE+u1vM=")</f>
        <v>#VALUE!</v>
      </c>
      <c r="IK241" t="e">
        <f>AND('STERLING CATALOG - DRY '!H5438,"AAAAAE+u1vQ=")</f>
        <v>#VALUE!</v>
      </c>
      <c r="IL241" t="e">
        <f>AND('STERLING CATALOG - DRY '!I5438,"AAAAAE+u1vU=")</f>
        <v>#VALUE!</v>
      </c>
      <c r="IM241" t="e">
        <f>AND('STERLING CATALOG - DRY '!J5438,"AAAAAE+u1vY=")</f>
        <v>#VALUE!</v>
      </c>
      <c r="IN241">
        <f>IF('STERLING CATALOG - DRY '!5439:5439,"AAAAAE+u1vc=",0)</f>
        <v>0</v>
      </c>
      <c r="IO241" t="e">
        <f>AND('STERLING CATALOG - DRY '!A5439,"AAAAAE+u1vg=")</f>
        <v>#VALUE!</v>
      </c>
      <c r="IP241" t="e">
        <f>AND('STERLING CATALOG - DRY '!B5439,"AAAAAE+u1vk=")</f>
        <v>#VALUE!</v>
      </c>
      <c r="IQ241" t="e">
        <f>AND('STERLING CATALOG - DRY '!C5439,"AAAAAE+u1vo=")</f>
        <v>#VALUE!</v>
      </c>
      <c r="IR241" t="e">
        <f>AND('STERLING CATALOG - DRY '!D5439,"AAAAAE+u1vs=")</f>
        <v>#VALUE!</v>
      </c>
      <c r="IS241" t="e">
        <f>AND('STERLING CATALOG - DRY '!E5439,"AAAAAE+u1vw=")</f>
        <v>#VALUE!</v>
      </c>
      <c r="IT241" t="e">
        <f>AND('STERLING CATALOG - DRY '!F5439,"AAAAAE+u1v0=")</f>
        <v>#VALUE!</v>
      </c>
      <c r="IU241" t="e">
        <f>AND('STERLING CATALOG - DRY '!G5439,"AAAAAE+u1v4=")</f>
        <v>#VALUE!</v>
      </c>
      <c r="IV241" t="e">
        <f>AND('STERLING CATALOG - DRY '!H5439,"AAAAAE+u1v8=")</f>
        <v>#VALUE!</v>
      </c>
    </row>
    <row r="242" spans="1:256">
      <c r="A242" t="e">
        <f>AND('STERLING CATALOG - DRY '!I5439,"AAAAAHbr/wA=")</f>
        <v>#VALUE!</v>
      </c>
      <c r="B242" t="e">
        <f>AND('STERLING CATALOG - DRY '!J5439,"AAAAAHbr/wE=")</f>
        <v>#VALUE!</v>
      </c>
      <c r="C242" t="str">
        <f>IF('STERLING CATALOG - DRY '!5440:5440,"AAAAAHbr/wI=",0)</f>
        <v>AAAAAHbr/wI=</v>
      </c>
      <c r="D242" t="e">
        <f>AND('STERLING CATALOG - DRY '!A5440,"AAAAAHbr/wM=")</f>
        <v>#VALUE!</v>
      </c>
      <c r="E242" t="e">
        <f>AND('STERLING CATALOG - DRY '!B5440,"AAAAAHbr/wQ=")</f>
        <v>#VALUE!</v>
      </c>
      <c r="F242" t="e">
        <f>AND('STERLING CATALOG - DRY '!C5440,"AAAAAHbr/wU=")</f>
        <v>#VALUE!</v>
      </c>
      <c r="G242" t="e">
        <f>AND('STERLING CATALOG - DRY '!D5440,"AAAAAHbr/wY=")</f>
        <v>#VALUE!</v>
      </c>
      <c r="H242" t="e">
        <f>AND('STERLING CATALOG - DRY '!E5440,"AAAAAHbr/wc=")</f>
        <v>#VALUE!</v>
      </c>
      <c r="I242" t="e">
        <f>AND('STERLING CATALOG - DRY '!F5440,"AAAAAHbr/wg=")</f>
        <v>#VALUE!</v>
      </c>
      <c r="J242" t="e">
        <f>AND('STERLING CATALOG - DRY '!G5440,"AAAAAHbr/wk=")</f>
        <v>#VALUE!</v>
      </c>
      <c r="K242" t="e">
        <f>AND('STERLING CATALOG - DRY '!H5440,"AAAAAHbr/wo=")</f>
        <v>#VALUE!</v>
      </c>
      <c r="L242" t="e">
        <f>AND('STERLING CATALOG - DRY '!I5440,"AAAAAHbr/ws=")</f>
        <v>#VALUE!</v>
      </c>
      <c r="M242" t="e">
        <f>AND('STERLING CATALOG - DRY '!J5440,"AAAAAHbr/ww=")</f>
        <v>#VALUE!</v>
      </c>
      <c r="N242">
        <f>IF('STERLING CATALOG - DRY '!5441:5441,"AAAAAHbr/w0=",0)</f>
        <v>0</v>
      </c>
      <c r="O242" t="e">
        <f>AND('STERLING CATALOG - DRY '!A5441,"AAAAAHbr/w4=")</f>
        <v>#VALUE!</v>
      </c>
      <c r="P242" t="e">
        <f>AND('STERLING CATALOG - DRY '!B5441,"AAAAAHbr/w8=")</f>
        <v>#VALUE!</v>
      </c>
      <c r="Q242" t="e">
        <f>AND('STERLING CATALOG - DRY '!C5441,"AAAAAHbr/xA=")</f>
        <v>#VALUE!</v>
      </c>
      <c r="R242" t="e">
        <f>AND('STERLING CATALOG - DRY '!D5441,"AAAAAHbr/xE=")</f>
        <v>#VALUE!</v>
      </c>
      <c r="S242" t="e">
        <f>AND('STERLING CATALOG - DRY '!E5441,"AAAAAHbr/xI=")</f>
        <v>#VALUE!</v>
      </c>
      <c r="T242" t="e">
        <f>AND('STERLING CATALOG - DRY '!F5441,"AAAAAHbr/xM=")</f>
        <v>#VALUE!</v>
      </c>
      <c r="U242" t="e">
        <f>AND('STERLING CATALOG - DRY '!G5441,"AAAAAHbr/xQ=")</f>
        <v>#VALUE!</v>
      </c>
      <c r="V242" t="e">
        <f>AND('STERLING CATALOG - DRY '!H5441,"AAAAAHbr/xU=")</f>
        <v>#VALUE!</v>
      </c>
      <c r="W242" t="e">
        <f>AND('STERLING CATALOG - DRY '!I5441,"AAAAAHbr/xY=")</f>
        <v>#VALUE!</v>
      </c>
      <c r="X242" t="e">
        <f>AND('STERLING CATALOG - DRY '!J5441,"AAAAAHbr/xc=")</f>
        <v>#VALUE!</v>
      </c>
      <c r="Y242">
        <f>IF('STERLING CATALOG - DRY '!5442:5442,"AAAAAHbr/xg=",0)</f>
        <v>0</v>
      </c>
      <c r="Z242" t="e">
        <f>AND('STERLING CATALOG - DRY '!A5442,"AAAAAHbr/xk=")</f>
        <v>#VALUE!</v>
      </c>
      <c r="AA242" t="e">
        <f>AND('STERLING CATALOG - DRY '!B5442,"AAAAAHbr/xo=")</f>
        <v>#VALUE!</v>
      </c>
      <c r="AB242" t="e">
        <f>AND('STERLING CATALOG - DRY '!C5442,"AAAAAHbr/xs=")</f>
        <v>#VALUE!</v>
      </c>
      <c r="AC242" t="e">
        <f>AND('STERLING CATALOG - DRY '!D5442,"AAAAAHbr/xw=")</f>
        <v>#VALUE!</v>
      </c>
      <c r="AD242" t="e">
        <f>AND('STERLING CATALOG - DRY '!E5442,"AAAAAHbr/x0=")</f>
        <v>#VALUE!</v>
      </c>
      <c r="AE242" t="e">
        <f>AND('STERLING CATALOG - DRY '!F5442,"AAAAAHbr/x4=")</f>
        <v>#VALUE!</v>
      </c>
      <c r="AF242" t="e">
        <f>AND('STERLING CATALOG - DRY '!G5442,"AAAAAHbr/x8=")</f>
        <v>#VALUE!</v>
      </c>
      <c r="AG242" t="e">
        <f>AND('STERLING CATALOG - DRY '!H5442,"AAAAAHbr/yA=")</f>
        <v>#VALUE!</v>
      </c>
      <c r="AH242" t="e">
        <f>AND('STERLING CATALOG - DRY '!I5442,"AAAAAHbr/yE=")</f>
        <v>#VALUE!</v>
      </c>
      <c r="AI242" t="e">
        <f>AND('STERLING CATALOG - DRY '!J5442,"AAAAAHbr/yI=")</f>
        <v>#VALUE!</v>
      </c>
      <c r="AJ242">
        <f>IF('STERLING CATALOG - DRY '!5443:5443,"AAAAAHbr/yM=",0)</f>
        <v>0</v>
      </c>
      <c r="AK242" t="e">
        <f>AND('STERLING CATALOG - DRY '!A5443,"AAAAAHbr/yQ=")</f>
        <v>#VALUE!</v>
      </c>
      <c r="AL242" t="e">
        <f>AND('STERLING CATALOG - DRY '!B5443,"AAAAAHbr/yU=")</f>
        <v>#VALUE!</v>
      </c>
      <c r="AM242" t="e">
        <f>AND('STERLING CATALOG - DRY '!C5443,"AAAAAHbr/yY=")</f>
        <v>#VALUE!</v>
      </c>
      <c r="AN242" t="e">
        <f>AND('STERLING CATALOG - DRY '!D5443,"AAAAAHbr/yc=")</f>
        <v>#VALUE!</v>
      </c>
      <c r="AO242" t="e">
        <f>AND('STERLING CATALOG - DRY '!E5443,"AAAAAHbr/yg=")</f>
        <v>#VALUE!</v>
      </c>
      <c r="AP242" t="e">
        <f>AND('STERLING CATALOG - DRY '!F5443,"AAAAAHbr/yk=")</f>
        <v>#VALUE!</v>
      </c>
      <c r="AQ242" t="e">
        <f>AND('STERLING CATALOG - DRY '!G5443,"AAAAAHbr/yo=")</f>
        <v>#VALUE!</v>
      </c>
      <c r="AR242" t="e">
        <f>AND('STERLING CATALOG - DRY '!H5443,"AAAAAHbr/ys=")</f>
        <v>#VALUE!</v>
      </c>
      <c r="AS242" t="e">
        <f>AND('STERLING CATALOG - DRY '!I5443,"AAAAAHbr/yw=")</f>
        <v>#VALUE!</v>
      </c>
      <c r="AT242" t="e">
        <f>AND('STERLING CATALOG - DRY '!J5443,"AAAAAHbr/y0=")</f>
        <v>#VALUE!</v>
      </c>
      <c r="AU242">
        <f>IF('STERLING CATALOG - DRY '!5444:5444,"AAAAAHbr/y4=",0)</f>
        <v>0</v>
      </c>
      <c r="AV242" t="e">
        <f>AND('STERLING CATALOG - DRY '!A5444,"AAAAAHbr/y8=")</f>
        <v>#VALUE!</v>
      </c>
      <c r="AW242" t="e">
        <f>AND('STERLING CATALOG - DRY '!B5444,"AAAAAHbr/zA=")</f>
        <v>#VALUE!</v>
      </c>
      <c r="AX242" t="e">
        <f>AND('STERLING CATALOG - DRY '!C5444,"AAAAAHbr/zE=")</f>
        <v>#VALUE!</v>
      </c>
      <c r="AY242" t="e">
        <f>AND('STERLING CATALOG - DRY '!D5444,"AAAAAHbr/zI=")</f>
        <v>#VALUE!</v>
      </c>
      <c r="AZ242" t="e">
        <f>AND('STERLING CATALOG - DRY '!E5444,"AAAAAHbr/zM=")</f>
        <v>#VALUE!</v>
      </c>
      <c r="BA242" t="e">
        <f>AND('STERLING CATALOG - DRY '!F5444,"AAAAAHbr/zQ=")</f>
        <v>#VALUE!</v>
      </c>
      <c r="BB242" t="e">
        <f>AND('STERLING CATALOG - DRY '!G5444,"AAAAAHbr/zU=")</f>
        <v>#VALUE!</v>
      </c>
      <c r="BC242" t="e">
        <f>AND('STERLING CATALOG - DRY '!H5444,"AAAAAHbr/zY=")</f>
        <v>#VALUE!</v>
      </c>
      <c r="BD242" t="e">
        <f>AND('STERLING CATALOG - DRY '!I5444,"AAAAAHbr/zc=")</f>
        <v>#VALUE!</v>
      </c>
      <c r="BE242" t="e">
        <f>AND('STERLING CATALOG - DRY '!J5444,"AAAAAHbr/zg=")</f>
        <v>#VALUE!</v>
      </c>
      <c r="BF242">
        <f>IF('STERLING CATALOG - DRY '!5445:5445,"AAAAAHbr/zk=",0)</f>
        <v>0</v>
      </c>
      <c r="BG242" t="e">
        <f>AND('STERLING CATALOG - DRY '!A5445,"AAAAAHbr/zo=")</f>
        <v>#VALUE!</v>
      </c>
      <c r="BH242" t="e">
        <f>AND('STERLING CATALOG - DRY '!B5445,"AAAAAHbr/zs=")</f>
        <v>#VALUE!</v>
      </c>
      <c r="BI242" t="e">
        <f>AND('STERLING CATALOG - DRY '!C5445,"AAAAAHbr/zw=")</f>
        <v>#VALUE!</v>
      </c>
      <c r="BJ242" t="e">
        <f>AND('STERLING CATALOG - DRY '!D5445,"AAAAAHbr/z0=")</f>
        <v>#VALUE!</v>
      </c>
      <c r="BK242" t="e">
        <f>AND('STERLING CATALOG - DRY '!E5445,"AAAAAHbr/z4=")</f>
        <v>#VALUE!</v>
      </c>
      <c r="BL242" t="e">
        <f>AND('STERLING CATALOG - DRY '!F5445,"AAAAAHbr/z8=")</f>
        <v>#VALUE!</v>
      </c>
      <c r="BM242" t="e">
        <f>AND('STERLING CATALOG - DRY '!G5445,"AAAAAHbr/0A=")</f>
        <v>#VALUE!</v>
      </c>
      <c r="BN242" t="e">
        <f>AND('STERLING CATALOG - DRY '!H5445,"AAAAAHbr/0E=")</f>
        <v>#VALUE!</v>
      </c>
      <c r="BO242" t="e">
        <f>AND('STERLING CATALOG - DRY '!I5445,"AAAAAHbr/0I=")</f>
        <v>#VALUE!</v>
      </c>
      <c r="BP242" t="e">
        <f>AND('STERLING CATALOG - DRY '!J5445,"AAAAAHbr/0M=")</f>
        <v>#VALUE!</v>
      </c>
      <c r="BQ242">
        <f>IF('STERLING CATALOG - DRY '!5446:5446,"AAAAAHbr/0Q=",0)</f>
        <v>0</v>
      </c>
      <c r="BR242" t="e">
        <f>AND('STERLING CATALOG - DRY '!A5446,"AAAAAHbr/0U=")</f>
        <v>#VALUE!</v>
      </c>
      <c r="BS242" t="e">
        <f>AND('STERLING CATALOG - DRY '!B5446,"AAAAAHbr/0Y=")</f>
        <v>#VALUE!</v>
      </c>
      <c r="BT242" t="e">
        <f>AND('STERLING CATALOG - DRY '!C5446,"AAAAAHbr/0c=")</f>
        <v>#VALUE!</v>
      </c>
      <c r="BU242" t="e">
        <f>AND('STERLING CATALOG - DRY '!D5446,"AAAAAHbr/0g=")</f>
        <v>#VALUE!</v>
      </c>
      <c r="BV242" t="e">
        <f>AND('STERLING CATALOG - DRY '!E5446,"AAAAAHbr/0k=")</f>
        <v>#VALUE!</v>
      </c>
      <c r="BW242" t="e">
        <f>AND('STERLING CATALOG - DRY '!F5446,"AAAAAHbr/0o=")</f>
        <v>#VALUE!</v>
      </c>
      <c r="BX242" t="e">
        <f>AND('STERLING CATALOG - DRY '!G5446,"AAAAAHbr/0s=")</f>
        <v>#VALUE!</v>
      </c>
      <c r="BY242" t="e">
        <f>AND('STERLING CATALOG - DRY '!H5446,"AAAAAHbr/0w=")</f>
        <v>#VALUE!</v>
      </c>
      <c r="BZ242" t="e">
        <f>AND('STERLING CATALOG - DRY '!I5446,"AAAAAHbr/00=")</f>
        <v>#VALUE!</v>
      </c>
      <c r="CA242" t="e">
        <f>AND('STERLING CATALOG - DRY '!J5446,"AAAAAHbr/04=")</f>
        <v>#VALUE!</v>
      </c>
      <c r="CB242">
        <f>IF('STERLING CATALOG - DRY '!5447:5447,"AAAAAHbr/08=",0)</f>
        <v>0</v>
      </c>
      <c r="CC242" t="e">
        <f>AND('STERLING CATALOG - DRY '!A5447,"AAAAAHbr/1A=")</f>
        <v>#VALUE!</v>
      </c>
      <c r="CD242" t="e">
        <f>AND('STERLING CATALOG - DRY '!B5447,"AAAAAHbr/1E=")</f>
        <v>#VALUE!</v>
      </c>
      <c r="CE242" t="e">
        <f>AND('STERLING CATALOG - DRY '!C5447,"AAAAAHbr/1I=")</f>
        <v>#VALUE!</v>
      </c>
      <c r="CF242" t="e">
        <f>AND('STERLING CATALOG - DRY '!D5447,"AAAAAHbr/1M=")</f>
        <v>#VALUE!</v>
      </c>
      <c r="CG242" t="e">
        <f>AND('STERLING CATALOG - DRY '!E5447,"AAAAAHbr/1Q=")</f>
        <v>#VALUE!</v>
      </c>
      <c r="CH242" t="e">
        <f>AND('STERLING CATALOG - DRY '!F5447,"AAAAAHbr/1U=")</f>
        <v>#VALUE!</v>
      </c>
      <c r="CI242" t="e">
        <f>AND('STERLING CATALOG - DRY '!G5447,"AAAAAHbr/1Y=")</f>
        <v>#VALUE!</v>
      </c>
      <c r="CJ242" t="e">
        <f>AND('STERLING CATALOG - DRY '!H5447,"AAAAAHbr/1c=")</f>
        <v>#VALUE!</v>
      </c>
      <c r="CK242" t="e">
        <f>AND('STERLING CATALOG - DRY '!I5447,"AAAAAHbr/1g=")</f>
        <v>#VALUE!</v>
      </c>
      <c r="CL242" t="e">
        <f>AND('STERLING CATALOG - DRY '!J5447,"AAAAAHbr/1k=")</f>
        <v>#VALUE!</v>
      </c>
      <c r="CM242">
        <f>IF('STERLING CATALOG - DRY '!5448:5448,"AAAAAHbr/1o=",0)</f>
        <v>0</v>
      </c>
      <c r="CN242" t="e">
        <f>AND('STERLING CATALOG - DRY '!A5448,"AAAAAHbr/1s=")</f>
        <v>#VALUE!</v>
      </c>
      <c r="CO242" t="e">
        <f>AND('STERLING CATALOG - DRY '!B5448,"AAAAAHbr/1w=")</f>
        <v>#VALUE!</v>
      </c>
      <c r="CP242" t="e">
        <f>AND('STERLING CATALOG - DRY '!C5448,"AAAAAHbr/10=")</f>
        <v>#VALUE!</v>
      </c>
      <c r="CQ242" t="e">
        <f>AND('STERLING CATALOG - DRY '!D5448,"AAAAAHbr/14=")</f>
        <v>#VALUE!</v>
      </c>
      <c r="CR242" t="e">
        <f>AND('STERLING CATALOG - DRY '!E5448,"AAAAAHbr/18=")</f>
        <v>#VALUE!</v>
      </c>
      <c r="CS242" t="e">
        <f>AND('STERLING CATALOG - DRY '!F5448,"AAAAAHbr/2A=")</f>
        <v>#VALUE!</v>
      </c>
      <c r="CT242" t="e">
        <f>AND('STERLING CATALOG - DRY '!G5448,"AAAAAHbr/2E=")</f>
        <v>#VALUE!</v>
      </c>
      <c r="CU242" t="e">
        <f>AND('STERLING CATALOG - DRY '!H5448,"AAAAAHbr/2I=")</f>
        <v>#VALUE!</v>
      </c>
      <c r="CV242" t="e">
        <f>AND('STERLING CATALOG - DRY '!I5448,"AAAAAHbr/2M=")</f>
        <v>#VALUE!</v>
      </c>
      <c r="CW242" t="e">
        <f>AND('STERLING CATALOG - DRY '!J5448,"AAAAAHbr/2Q=")</f>
        <v>#VALUE!</v>
      </c>
      <c r="CX242">
        <f>IF('STERLING CATALOG - DRY '!5449:5449,"AAAAAHbr/2U=",0)</f>
        <v>0</v>
      </c>
      <c r="CY242" t="e">
        <f>AND('STERLING CATALOG - DRY '!A5449,"AAAAAHbr/2Y=")</f>
        <v>#VALUE!</v>
      </c>
      <c r="CZ242" t="e">
        <f>AND('STERLING CATALOG - DRY '!B5449,"AAAAAHbr/2c=")</f>
        <v>#VALUE!</v>
      </c>
      <c r="DA242" t="e">
        <f>AND('STERLING CATALOG - DRY '!C5449,"AAAAAHbr/2g=")</f>
        <v>#VALUE!</v>
      </c>
      <c r="DB242" t="e">
        <f>AND('STERLING CATALOG - DRY '!D5449,"AAAAAHbr/2k=")</f>
        <v>#VALUE!</v>
      </c>
      <c r="DC242" t="e">
        <f>AND('STERLING CATALOG - DRY '!E5449,"AAAAAHbr/2o=")</f>
        <v>#VALUE!</v>
      </c>
      <c r="DD242" t="e">
        <f>AND('STERLING CATALOG - DRY '!F5449,"AAAAAHbr/2s=")</f>
        <v>#VALUE!</v>
      </c>
      <c r="DE242" t="e">
        <f>AND('STERLING CATALOG - DRY '!G5449,"AAAAAHbr/2w=")</f>
        <v>#VALUE!</v>
      </c>
      <c r="DF242" t="e">
        <f>AND('STERLING CATALOG - DRY '!H5449,"AAAAAHbr/20=")</f>
        <v>#VALUE!</v>
      </c>
      <c r="DG242" t="e">
        <f>AND('STERLING CATALOG - DRY '!I5449,"AAAAAHbr/24=")</f>
        <v>#VALUE!</v>
      </c>
      <c r="DH242" t="e">
        <f>AND('STERLING CATALOG - DRY '!J5449,"AAAAAHbr/28=")</f>
        <v>#VALUE!</v>
      </c>
      <c r="DI242">
        <f>IF('STERLING CATALOG - DRY '!5450:5450,"AAAAAHbr/3A=",0)</f>
        <v>0</v>
      </c>
      <c r="DJ242" t="e">
        <f>AND('STERLING CATALOG - DRY '!A5450,"AAAAAHbr/3E=")</f>
        <v>#VALUE!</v>
      </c>
      <c r="DK242" t="e">
        <f>AND('STERLING CATALOG - DRY '!B5450,"AAAAAHbr/3I=")</f>
        <v>#VALUE!</v>
      </c>
      <c r="DL242" t="e">
        <f>AND('STERLING CATALOG - DRY '!C5450,"AAAAAHbr/3M=")</f>
        <v>#VALUE!</v>
      </c>
      <c r="DM242" t="e">
        <f>AND('STERLING CATALOG - DRY '!D5450,"AAAAAHbr/3Q=")</f>
        <v>#VALUE!</v>
      </c>
      <c r="DN242" t="e">
        <f>AND('STERLING CATALOG - DRY '!E5450,"AAAAAHbr/3U=")</f>
        <v>#VALUE!</v>
      </c>
      <c r="DO242" t="e">
        <f>AND('STERLING CATALOG - DRY '!F5450,"AAAAAHbr/3Y=")</f>
        <v>#VALUE!</v>
      </c>
      <c r="DP242" t="e">
        <f>AND('STERLING CATALOG - DRY '!G5450,"AAAAAHbr/3c=")</f>
        <v>#VALUE!</v>
      </c>
      <c r="DQ242" t="e">
        <f>AND('STERLING CATALOG - DRY '!H5450,"AAAAAHbr/3g=")</f>
        <v>#VALUE!</v>
      </c>
      <c r="DR242" t="e">
        <f>AND('STERLING CATALOG - DRY '!I5450,"AAAAAHbr/3k=")</f>
        <v>#VALUE!</v>
      </c>
      <c r="DS242" t="e">
        <f>AND('STERLING CATALOG - DRY '!J5450,"AAAAAHbr/3o=")</f>
        <v>#VALUE!</v>
      </c>
      <c r="DT242">
        <f>IF('STERLING CATALOG - DRY '!5451:5451,"AAAAAHbr/3s=",0)</f>
        <v>0</v>
      </c>
      <c r="DU242" t="e">
        <f>AND('STERLING CATALOG - DRY '!A5451,"AAAAAHbr/3w=")</f>
        <v>#VALUE!</v>
      </c>
      <c r="DV242" t="e">
        <f>AND('STERLING CATALOG - DRY '!B5451,"AAAAAHbr/30=")</f>
        <v>#VALUE!</v>
      </c>
      <c r="DW242" t="e">
        <f>AND('STERLING CATALOG - DRY '!C5451,"AAAAAHbr/34=")</f>
        <v>#VALUE!</v>
      </c>
      <c r="DX242" t="e">
        <f>AND('STERLING CATALOG - DRY '!D5451,"AAAAAHbr/38=")</f>
        <v>#VALUE!</v>
      </c>
      <c r="DY242" t="e">
        <f>AND('STERLING CATALOG - DRY '!E5451,"AAAAAHbr/4A=")</f>
        <v>#VALUE!</v>
      </c>
      <c r="DZ242" t="e">
        <f>AND('STERLING CATALOG - DRY '!F5451,"AAAAAHbr/4E=")</f>
        <v>#VALUE!</v>
      </c>
      <c r="EA242" t="e">
        <f>AND('STERLING CATALOG - DRY '!G5451,"AAAAAHbr/4I=")</f>
        <v>#VALUE!</v>
      </c>
      <c r="EB242" t="e">
        <f>AND('STERLING CATALOG - DRY '!H5451,"AAAAAHbr/4M=")</f>
        <v>#VALUE!</v>
      </c>
      <c r="EC242" t="e">
        <f>AND('STERLING CATALOG - DRY '!I5451,"AAAAAHbr/4Q=")</f>
        <v>#VALUE!</v>
      </c>
      <c r="ED242" t="e">
        <f>AND('STERLING CATALOG - DRY '!J5451,"AAAAAHbr/4U=")</f>
        <v>#VALUE!</v>
      </c>
      <c r="EE242">
        <f>IF('STERLING CATALOG - DRY '!5452:5452,"AAAAAHbr/4Y=",0)</f>
        <v>0</v>
      </c>
      <c r="EF242" t="e">
        <f>AND('STERLING CATALOG - DRY '!A5452,"AAAAAHbr/4c=")</f>
        <v>#VALUE!</v>
      </c>
      <c r="EG242" t="e">
        <f>AND('STERLING CATALOG - DRY '!B5452,"AAAAAHbr/4g=")</f>
        <v>#VALUE!</v>
      </c>
      <c r="EH242" t="e">
        <f>AND('STERLING CATALOG - DRY '!C5452,"AAAAAHbr/4k=")</f>
        <v>#VALUE!</v>
      </c>
      <c r="EI242" t="e">
        <f>AND('STERLING CATALOG - DRY '!D5452,"AAAAAHbr/4o=")</f>
        <v>#VALUE!</v>
      </c>
      <c r="EJ242" t="e">
        <f>AND('STERLING CATALOG - DRY '!E5452,"AAAAAHbr/4s=")</f>
        <v>#VALUE!</v>
      </c>
      <c r="EK242" t="e">
        <f>AND('STERLING CATALOG - DRY '!F5452,"AAAAAHbr/4w=")</f>
        <v>#VALUE!</v>
      </c>
      <c r="EL242" t="e">
        <f>AND('STERLING CATALOG - DRY '!G5452,"AAAAAHbr/40=")</f>
        <v>#VALUE!</v>
      </c>
      <c r="EM242" t="e">
        <f>AND('STERLING CATALOG - DRY '!H5452,"AAAAAHbr/44=")</f>
        <v>#VALUE!</v>
      </c>
      <c r="EN242" t="e">
        <f>AND('STERLING CATALOG - DRY '!I5452,"AAAAAHbr/48=")</f>
        <v>#VALUE!</v>
      </c>
      <c r="EO242" t="e">
        <f>AND('STERLING CATALOG - DRY '!J5452,"AAAAAHbr/5A=")</f>
        <v>#VALUE!</v>
      </c>
      <c r="EP242">
        <f>IF('STERLING CATALOG - DRY '!5453:5453,"AAAAAHbr/5E=",0)</f>
        <v>0</v>
      </c>
      <c r="EQ242" t="e">
        <f>AND('STERLING CATALOG - DRY '!A5453,"AAAAAHbr/5I=")</f>
        <v>#VALUE!</v>
      </c>
      <c r="ER242" t="e">
        <f>AND('STERLING CATALOG - DRY '!B5453,"AAAAAHbr/5M=")</f>
        <v>#VALUE!</v>
      </c>
      <c r="ES242" t="e">
        <f>AND('STERLING CATALOG - DRY '!C5453,"AAAAAHbr/5Q=")</f>
        <v>#VALUE!</v>
      </c>
      <c r="ET242" t="e">
        <f>AND('STERLING CATALOG - DRY '!D5453,"AAAAAHbr/5U=")</f>
        <v>#VALUE!</v>
      </c>
      <c r="EU242" t="e">
        <f>AND('STERLING CATALOG - DRY '!E5453,"AAAAAHbr/5Y=")</f>
        <v>#VALUE!</v>
      </c>
      <c r="EV242" t="e">
        <f>AND('STERLING CATALOG - DRY '!F5453,"AAAAAHbr/5c=")</f>
        <v>#VALUE!</v>
      </c>
      <c r="EW242" t="e">
        <f>AND('STERLING CATALOG - DRY '!G5453,"AAAAAHbr/5g=")</f>
        <v>#VALUE!</v>
      </c>
      <c r="EX242" t="e">
        <f>AND('STERLING CATALOG - DRY '!H5453,"AAAAAHbr/5k=")</f>
        <v>#VALUE!</v>
      </c>
      <c r="EY242" t="e">
        <f>AND('STERLING CATALOG - DRY '!I5453,"AAAAAHbr/5o=")</f>
        <v>#VALUE!</v>
      </c>
      <c r="EZ242" t="e">
        <f>AND('STERLING CATALOG - DRY '!J5453,"AAAAAHbr/5s=")</f>
        <v>#VALUE!</v>
      </c>
      <c r="FA242">
        <f>IF('STERLING CATALOG - DRY '!5454:5454,"AAAAAHbr/5w=",0)</f>
        <v>0</v>
      </c>
      <c r="FB242" t="e">
        <f>AND('STERLING CATALOG - DRY '!A5454,"AAAAAHbr/50=")</f>
        <v>#VALUE!</v>
      </c>
      <c r="FC242" t="e">
        <f>AND('STERLING CATALOG - DRY '!B5454,"AAAAAHbr/54=")</f>
        <v>#VALUE!</v>
      </c>
      <c r="FD242" t="e">
        <f>AND('STERLING CATALOG - DRY '!C5454,"AAAAAHbr/58=")</f>
        <v>#VALUE!</v>
      </c>
      <c r="FE242" t="e">
        <f>AND('STERLING CATALOG - DRY '!D5454,"AAAAAHbr/6A=")</f>
        <v>#VALUE!</v>
      </c>
      <c r="FF242" t="e">
        <f>AND('STERLING CATALOG - DRY '!E5454,"AAAAAHbr/6E=")</f>
        <v>#VALUE!</v>
      </c>
      <c r="FG242" t="e">
        <f>AND('STERLING CATALOG - DRY '!F5454,"AAAAAHbr/6I=")</f>
        <v>#VALUE!</v>
      </c>
      <c r="FH242" t="e">
        <f>AND('STERLING CATALOG - DRY '!G5454,"AAAAAHbr/6M=")</f>
        <v>#VALUE!</v>
      </c>
      <c r="FI242" t="e">
        <f>AND('STERLING CATALOG - DRY '!H5454,"AAAAAHbr/6Q=")</f>
        <v>#VALUE!</v>
      </c>
      <c r="FJ242" t="e">
        <f>AND('STERLING CATALOG - DRY '!I5454,"AAAAAHbr/6U=")</f>
        <v>#VALUE!</v>
      </c>
      <c r="FK242" t="e">
        <f>AND('STERLING CATALOG - DRY '!J5454,"AAAAAHbr/6Y=")</f>
        <v>#VALUE!</v>
      </c>
      <c r="FL242">
        <f>IF('STERLING CATALOG - DRY '!5455:5455,"AAAAAHbr/6c=",0)</f>
        <v>0</v>
      </c>
      <c r="FM242" t="e">
        <f>AND('STERLING CATALOG - DRY '!A5455,"AAAAAHbr/6g=")</f>
        <v>#VALUE!</v>
      </c>
      <c r="FN242" t="e">
        <f>AND('STERLING CATALOG - DRY '!B5455,"AAAAAHbr/6k=")</f>
        <v>#VALUE!</v>
      </c>
      <c r="FO242" t="e">
        <f>AND('STERLING CATALOG - DRY '!C5455,"AAAAAHbr/6o=")</f>
        <v>#VALUE!</v>
      </c>
      <c r="FP242" t="e">
        <f>AND('STERLING CATALOG - DRY '!D5455,"AAAAAHbr/6s=")</f>
        <v>#VALUE!</v>
      </c>
      <c r="FQ242" t="e">
        <f>AND('STERLING CATALOG - DRY '!E5455,"AAAAAHbr/6w=")</f>
        <v>#VALUE!</v>
      </c>
      <c r="FR242" t="e">
        <f>AND('STERLING CATALOG - DRY '!F5455,"AAAAAHbr/60=")</f>
        <v>#VALUE!</v>
      </c>
      <c r="FS242" t="e">
        <f>AND('STERLING CATALOG - DRY '!G5455,"AAAAAHbr/64=")</f>
        <v>#VALUE!</v>
      </c>
      <c r="FT242" t="e">
        <f>AND('STERLING CATALOG - DRY '!H5455,"AAAAAHbr/68=")</f>
        <v>#VALUE!</v>
      </c>
      <c r="FU242" t="e">
        <f>AND('STERLING CATALOG - DRY '!I5455,"AAAAAHbr/7A=")</f>
        <v>#VALUE!</v>
      </c>
      <c r="FV242" t="e">
        <f>AND('STERLING CATALOG - DRY '!J5455,"AAAAAHbr/7E=")</f>
        <v>#VALUE!</v>
      </c>
      <c r="FW242">
        <f>IF('STERLING CATALOG - DRY '!5456:5456,"AAAAAHbr/7I=",0)</f>
        <v>0</v>
      </c>
      <c r="FX242" t="e">
        <f>AND('STERLING CATALOG - DRY '!A5456,"AAAAAHbr/7M=")</f>
        <v>#VALUE!</v>
      </c>
      <c r="FY242" t="e">
        <f>AND('STERLING CATALOG - DRY '!B5456,"AAAAAHbr/7Q=")</f>
        <v>#VALUE!</v>
      </c>
      <c r="FZ242" t="e">
        <f>AND('STERLING CATALOG - DRY '!C5456,"AAAAAHbr/7U=")</f>
        <v>#VALUE!</v>
      </c>
      <c r="GA242" t="e">
        <f>AND('STERLING CATALOG - DRY '!D5456,"AAAAAHbr/7Y=")</f>
        <v>#VALUE!</v>
      </c>
      <c r="GB242" t="e">
        <f>AND('STERLING CATALOG - DRY '!E5456,"AAAAAHbr/7c=")</f>
        <v>#VALUE!</v>
      </c>
      <c r="GC242" t="e">
        <f>AND('STERLING CATALOG - DRY '!F5456,"AAAAAHbr/7g=")</f>
        <v>#VALUE!</v>
      </c>
      <c r="GD242" t="e">
        <f>AND('STERLING CATALOG - DRY '!G5456,"AAAAAHbr/7k=")</f>
        <v>#VALUE!</v>
      </c>
      <c r="GE242" t="e">
        <f>AND('STERLING CATALOG - DRY '!H5456,"AAAAAHbr/7o=")</f>
        <v>#VALUE!</v>
      </c>
      <c r="GF242" t="e">
        <f>AND('STERLING CATALOG - DRY '!I5456,"AAAAAHbr/7s=")</f>
        <v>#VALUE!</v>
      </c>
      <c r="GG242" t="e">
        <f>AND('STERLING CATALOG - DRY '!J5456,"AAAAAHbr/7w=")</f>
        <v>#VALUE!</v>
      </c>
      <c r="GH242">
        <f>IF('STERLING CATALOG - DRY '!5457:5457,"AAAAAHbr/70=",0)</f>
        <v>0</v>
      </c>
      <c r="GI242" t="e">
        <f>AND('STERLING CATALOG - DRY '!A5457,"AAAAAHbr/74=")</f>
        <v>#VALUE!</v>
      </c>
      <c r="GJ242" t="e">
        <f>AND('STERLING CATALOG - DRY '!B5457,"AAAAAHbr/78=")</f>
        <v>#VALUE!</v>
      </c>
      <c r="GK242" t="e">
        <f>AND('STERLING CATALOG - DRY '!C5457,"AAAAAHbr/8A=")</f>
        <v>#VALUE!</v>
      </c>
      <c r="GL242" t="e">
        <f>AND('STERLING CATALOG - DRY '!D5457,"AAAAAHbr/8E=")</f>
        <v>#VALUE!</v>
      </c>
      <c r="GM242" t="e">
        <f>AND('STERLING CATALOG - DRY '!E5457,"AAAAAHbr/8I=")</f>
        <v>#VALUE!</v>
      </c>
      <c r="GN242" t="e">
        <f>AND('STERLING CATALOG - DRY '!F5457,"AAAAAHbr/8M=")</f>
        <v>#VALUE!</v>
      </c>
      <c r="GO242" t="e">
        <f>AND('STERLING CATALOG - DRY '!G5457,"AAAAAHbr/8Q=")</f>
        <v>#VALUE!</v>
      </c>
      <c r="GP242" t="e">
        <f>AND('STERLING CATALOG - DRY '!H5457,"AAAAAHbr/8U=")</f>
        <v>#VALUE!</v>
      </c>
      <c r="GQ242" t="e">
        <f>AND('STERLING CATALOG - DRY '!I5457,"AAAAAHbr/8Y=")</f>
        <v>#VALUE!</v>
      </c>
      <c r="GR242" t="e">
        <f>AND('STERLING CATALOG - DRY '!J5457,"AAAAAHbr/8c=")</f>
        <v>#VALUE!</v>
      </c>
      <c r="GS242">
        <f>IF('STERLING CATALOG - DRY '!5458:5458,"AAAAAHbr/8g=",0)</f>
        <v>0</v>
      </c>
      <c r="GT242" t="e">
        <f>AND('STERLING CATALOG - DRY '!A5458,"AAAAAHbr/8k=")</f>
        <v>#VALUE!</v>
      </c>
      <c r="GU242" t="e">
        <f>AND('STERLING CATALOG - DRY '!B5458,"AAAAAHbr/8o=")</f>
        <v>#VALUE!</v>
      </c>
      <c r="GV242" t="e">
        <f>AND('STERLING CATALOG - DRY '!C5458,"AAAAAHbr/8s=")</f>
        <v>#VALUE!</v>
      </c>
      <c r="GW242" t="e">
        <f>AND('STERLING CATALOG - DRY '!D5458,"AAAAAHbr/8w=")</f>
        <v>#VALUE!</v>
      </c>
      <c r="GX242" t="e">
        <f>AND('STERLING CATALOG - DRY '!E5458,"AAAAAHbr/80=")</f>
        <v>#VALUE!</v>
      </c>
      <c r="GY242" t="e">
        <f>AND('STERLING CATALOG - DRY '!F5458,"AAAAAHbr/84=")</f>
        <v>#VALUE!</v>
      </c>
      <c r="GZ242" t="e">
        <f>AND('STERLING CATALOG - DRY '!G5458,"AAAAAHbr/88=")</f>
        <v>#VALUE!</v>
      </c>
      <c r="HA242" t="e">
        <f>AND('STERLING CATALOG - DRY '!H5458,"AAAAAHbr/9A=")</f>
        <v>#VALUE!</v>
      </c>
      <c r="HB242" t="e">
        <f>AND('STERLING CATALOG - DRY '!I5458,"AAAAAHbr/9E=")</f>
        <v>#VALUE!</v>
      </c>
      <c r="HC242" t="e">
        <f>AND('STERLING CATALOG - DRY '!J5458,"AAAAAHbr/9I=")</f>
        <v>#VALUE!</v>
      </c>
      <c r="HD242">
        <f>IF('STERLING CATALOG - DRY '!5459:5459,"AAAAAHbr/9M=",0)</f>
        <v>0</v>
      </c>
      <c r="HE242" t="e">
        <f>AND('STERLING CATALOG - DRY '!A5459,"AAAAAHbr/9Q=")</f>
        <v>#VALUE!</v>
      </c>
      <c r="HF242" t="e">
        <f>AND('STERLING CATALOG - DRY '!B5459,"AAAAAHbr/9U=")</f>
        <v>#VALUE!</v>
      </c>
      <c r="HG242" t="e">
        <f>AND('STERLING CATALOG - DRY '!C5459,"AAAAAHbr/9Y=")</f>
        <v>#VALUE!</v>
      </c>
      <c r="HH242" t="e">
        <f>AND('STERLING CATALOG - DRY '!D5459,"AAAAAHbr/9c=")</f>
        <v>#VALUE!</v>
      </c>
      <c r="HI242" t="e">
        <f>AND('STERLING CATALOG - DRY '!E5459,"AAAAAHbr/9g=")</f>
        <v>#VALUE!</v>
      </c>
      <c r="HJ242" t="e">
        <f>AND('STERLING CATALOG - DRY '!F5459,"AAAAAHbr/9k=")</f>
        <v>#VALUE!</v>
      </c>
      <c r="HK242" t="e">
        <f>AND('STERLING CATALOG - DRY '!G5459,"AAAAAHbr/9o=")</f>
        <v>#VALUE!</v>
      </c>
      <c r="HL242" t="e">
        <f>AND('STERLING CATALOG - DRY '!H5459,"AAAAAHbr/9s=")</f>
        <v>#VALUE!</v>
      </c>
      <c r="HM242" t="e">
        <f>AND('STERLING CATALOG - DRY '!I5459,"AAAAAHbr/9w=")</f>
        <v>#VALUE!</v>
      </c>
      <c r="HN242" t="e">
        <f>AND('STERLING CATALOG - DRY '!J5459,"AAAAAHbr/90=")</f>
        <v>#VALUE!</v>
      </c>
      <c r="HO242">
        <f>IF('STERLING CATALOG - DRY '!5460:5460,"AAAAAHbr/94=",0)</f>
        <v>0</v>
      </c>
      <c r="HP242" t="e">
        <f>AND('STERLING CATALOG - DRY '!A5460,"AAAAAHbr/98=")</f>
        <v>#VALUE!</v>
      </c>
      <c r="HQ242" t="e">
        <f>AND('STERLING CATALOG - DRY '!B5460,"AAAAAHbr/+A=")</f>
        <v>#VALUE!</v>
      </c>
      <c r="HR242" t="e">
        <f>AND('STERLING CATALOG - DRY '!C5460,"AAAAAHbr/+E=")</f>
        <v>#VALUE!</v>
      </c>
      <c r="HS242" t="e">
        <f>AND('STERLING CATALOG - DRY '!D5460,"AAAAAHbr/+I=")</f>
        <v>#VALUE!</v>
      </c>
      <c r="HT242" t="e">
        <f>AND('STERLING CATALOG - DRY '!E5460,"AAAAAHbr/+M=")</f>
        <v>#VALUE!</v>
      </c>
      <c r="HU242" t="e">
        <f>AND('STERLING CATALOG - DRY '!F5460,"AAAAAHbr/+Q=")</f>
        <v>#VALUE!</v>
      </c>
      <c r="HV242" t="e">
        <f>AND('STERLING CATALOG - DRY '!G5460,"AAAAAHbr/+U=")</f>
        <v>#VALUE!</v>
      </c>
      <c r="HW242" t="e">
        <f>AND('STERLING CATALOG - DRY '!H5460,"AAAAAHbr/+Y=")</f>
        <v>#VALUE!</v>
      </c>
      <c r="HX242" t="e">
        <f>AND('STERLING CATALOG - DRY '!I5460,"AAAAAHbr/+c=")</f>
        <v>#VALUE!</v>
      </c>
      <c r="HY242" t="e">
        <f>AND('STERLING CATALOG - DRY '!J5460,"AAAAAHbr/+g=")</f>
        <v>#VALUE!</v>
      </c>
      <c r="HZ242">
        <f>IF('STERLING CATALOG - DRY '!5461:5461,"AAAAAHbr/+k=",0)</f>
        <v>0</v>
      </c>
      <c r="IA242" t="e">
        <f>AND('STERLING CATALOG - DRY '!A5461,"AAAAAHbr/+o=")</f>
        <v>#VALUE!</v>
      </c>
      <c r="IB242" t="e">
        <f>AND('STERLING CATALOG - DRY '!B5461,"AAAAAHbr/+s=")</f>
        <v>#VALUE!</v>
      </c>
      <c r="IC242" t="e">
        <f>AND('STERLING CATALOG - DRY '!C5461,"AAAAAHbr/+w=")</f>
        <v>#VALUE!</v>
      </c>
      <c r="ID242" t="e">
        <f>AND('STERLING CATALOG - DRY '!D5461,"AAAAAHbr/+0=")</f>
        <v>#VALUE!</v>
      </c>
      <c r="IE242" t="e">
        <f>AND('STERLING CATALOG - DRY '!E5461,"AAAAAHbr/+4=")</f>
        <v>#VALUE!</v>
      </c>
      <c r="IF242" t="e">
        <f>AND('STERLING CATALOG - DRY '!F5461,"AAAAAHbr/+8=")</f>
        <v>#VALUE!</v>
      </c>
      <c r="IG242" t="e">
        <f>AND('STERLING CATALOG - DRY '!G5461,"AAAAAHbr//A=")</f>
        <v>#VALUE!</v>
      </c>
      <c r="IH242" t="e">
        <f>AND('STERLING CATALOG - DRY '!H5461,"AAAAAHbr//E=")</f>
        <v>#VALUE!</v>
      </c>
      <c r="II242" t="e">
        <f>AND('STERLING CATALOG - DRY '!I5461,"AAAAAHbr//I=")</f>
        <v>#VALUE!</v>
      </c>
      <c r="IJ242" t="e">
        <f>AND('STERLING CATALOG - DRY '!J5461,"AAAAAHbr//M=")</f>
        <v>#VALUE!</v>
      </c>
      <c r="IK242">
        <f>IF('STERLING CATALOG - DRY '!5462:5462,"AAAAAHbr//Q=",0)</f>
        <v>0</v>
      </c>
      <c r="IL242" t="e">
        <f>AND('STERLING CATALOG - DRY '!A5462,"AAAAAHbr//U=")</f>
        <v>#VALUE!</v>
      </c>
      <c r="IM242" t="e">
        <f>AND('STERLING CATALOG - DRY '!B5462,"AAAAAHbr//Y=")</f>
        <v>#VALUE!</v>
      </c>
      <c r="IN242" t="e">
        <f>AND('STERLING CATALOG - DRY '!C5462,"AAAAAHbr//c=")</f>
        <v>#VALUE!</v>
      </c>
      <c r="IO242" t="e">
        <f>AND('STERLING CATALOG - DRY '!D5462,"AAAAAHbr//g=")</f>
        <v>#VALUE!</v>
      </c>
      <c r="IP242" t="e">
        <f>AND('STERLING CATALOG - DRY '!E5462,"AAAAAHbr//k=")</f>
        <v>#VALUE!</v>
      </c>
      <c r="IQ242" t="e">
        <f>AND('STERLING CATALOG - DRY '!F5462,"AAAAAHbr//o=")</f>
        <v>#VALUE!</v>
      </c>
      <c r="IR242" t="e">
        <f>AND('STERLING CATALOG - DRY '!G5462,"AAAAAHbr//s=")</f>
        <v>#VALUE!</v>
      </c>
      <c r="IS242" t="e">
        <f>AND('STERLING CATALOG - DRY '!H5462,"AAAAAHbr//w=")</f>
        <v>#VALUE!</v>
      </c>
      <c r="IT242" t="e">
        <f>AND('STERLING CATALOG - DRY '!I5462,"AAAAAHbr//0=")</f>
        <v>#VALUE!</v>
      </c>
      <c r="IU242" t="e">
        <f>AND('STERLING CATALOG - DRY '!J5462,"AAAAAHbr//4=")</f>
        <v>#VALUE!</v>
      </c>
      <c r="IV242">
        <f>IF('STERLING CATALOG - DRY '!5463:5463,"AAAAAHbr//8=",0)</f>
        <v>0</v>
      </c>
    </row>
    <row r="243" spans="1:256">
      <c r="A243" t="e">
        <f>AND('STERLING CATALOG - DRY '!A5463,"AAAAAF/o7wA=")</f>
        <v>#VALUE!</v>
      </c>
      <c r="B243" t="e">
        <f>AND('STERLING CATALOG - DRY '!B5463,"AAAAAF/o7wE=")</f>
        <v>#VALUE!</v>
      </c>
      <c r="C243" t="e">
        <f>AND('STERLING CATALOG - DRY '!C5463,"AAAAAF/o7wI=")</f>
        <v>#VALUE!</v>
      </c>
      <c r="D243" t="e">
        <f>AND('STERLING CATALOG - DRY '!D5463,"AAAAAF/o7wM=")</f>
        <v>#VALUE!</v>
      </c>
      <c r="E243" t="e">
        <f>AND('STERLING CATALOG - DRY '!E5463,"AAAAAF/o7wQ=")</f>
        <v>#VALUE!</v>
      </c>
      <c r="F243" t="e">
        <f>AND('STERLING CATALOG - DRY '!F5463,"AAAAAF/o7wU=")</f>
        <v>#VALUE!</v>
      </c>
      <c r="G243" t="e">
        <f>AND('STERLING CATALOG - DRY '!G5463,"AAAAAF/o7wY=")</f>
        <v>#VALUE!</v>
      </c>
      <c r="H243" t="e">
        <f>AND('STERLING CATALOG - DRY '!H5463,"AAAAAF/o7wc=")</f>
        <v>#VALUE!</v>
      </c>
      <c r="I243" t="e">
        <f>AND('STERLING CATALOG - DRY '!I5463,"AAAAAF/o7wg=")</f>
        <v>#VALUE!</v>
      </c>
      <c r="J243" t="e">
        <f>AND('STERLING CATALOG - DRY '!J5463,"AAAAAF/o7wk=")</f>
        <v>#VALUE!</v>
      </c>
      <c r="K243">
        <f>IF('STERLING CATALOG - DRY '!5464:5464,"AAAAAF/o7wo=",0)</f>
        <v>0</v>
      </c>
      <c r="L243" t="e">
        <f>AND('STERLING CATALOG - DRY '!A5464,"AAAAAF/o7ws=")</f>
        <v>#VALUE!</v>
      </c>
      <c r="M243" t="e">
        <f>AND('STERLING CATALOG - DRY '!B5464,"AAAAAF/o7ww=")</f>
        <v>#VALUE!</v>
      </c>
      <c r="N243" t="e">
        <f>AND('STERLING CATALOG - DRY '!C5464,"AAAAAF/o7w0=")</f>
        <v>#VALUE!</v>
      </c>
      <c r="O243" t="e">
        <f>AND('STERLING CATALOG - DRY '!D5464,"AAAAAF/o7w4=")</f>
        <v>#VALUE!</v>
      </c>
      <c r="P243" t="e">
        <f>AND('STERLING CATALOG - DRY '!E5464,"AAAAAF/o7w8=")</f>
        <v>#VALUE!</v>
      </c>
      <c r="Q243" t="e">
        <f>AND('STERLING CATALOG - DRY '!F5464,"AAAAAF/o7xA=")</f>
        <v>#VALUE!</v>
      </c>
      <c r="R243" t="e">
        <f>AND('STERLING CATALOG - DRY '!G5464,"AAAAAF/o7xE=")</f>
        <v>#VALUE!</v>
      </c>
      <c r="S243" t="e">
        <f>AND('STERLING CATALOG - DRY '!H5464,"AAAAAF/o7xI=")</f>
        <v>#VALUE!</v>
      </c>
      <c r="T243" t="e">
        <f>AND('STERLING CATALOG - DRY '!I5464,"AAAAAF/o7xM=")</f>
        <v>#VALUE!</v>
      </c>
      <c r="U243" t="e">
        <f>AND('STERLING CATALOG - DRY '!J5464,"AAAAAF/o7xQ=")</f>
        <v>#VALUE!</v>
      </c>
      <c r="V243">
        <f>IF('STERLING CATALOG - DRY '!5465:5465,"AAAAAF/o7xU=",0)</f>
        <v>0</v>
      </c>
      <c r="W243" t="e">
        <f>AND('STERLING CATALOG - DRY '!A5465,"AAAAAF/o7xY=")</f>
        <v>#VALUE!</v>
      </c>
      <c r="X243" t="e">
        <f>AND('STERLING CATALOG - DRY '!B5465,"AAAAAF/o7xc=")</f>
        <v>#VALUE!</v>
      </c>
      <c r="Y243" t="e">
        <f>AND('STERLING CATALOG - DRY '!C5465,"AAAAAF/o7xg=")</f>
        <v>#VALUE!</v>
      </c>
      <c r="Z243" t="e">
        <f>AND('STERLING CATALOG - DRY '!D5465,"AAAAAF/o7xk=")</f>
        <v>#VALUE!</v>
      </c>
      <c r="AA243" t="e">
        <f>AND('STERLING CATALOG - DRY '!E5465,"AAAAAF/o7xo=")</f>
        <v>#VALUE!</v>
      </c>
      <c r="AB243" t="e">
        <f>AND('STERLING CATALOG - DRY '!F5465,"AAAAAF/o7xs=")</f>
        <v>#VALUE!</v>
      </c>
      <c r="AC243" t="e">
        <f>AND('STERLING CATALOG - DRY '!G5465,"AAAAAF/o7xw=")</f>
        <v>#VALUE!</v>
      </c>
      <c r="AD243" t="e">
        <f>AND('STERLING CATALOG - DRY '!H5465,"AAAAAF/o7x0=")</f>
        <v>#VALUE!</v>
      </c>
      <c r="AE243" t="e">
        <f>AND('STERLING CATALOG - DRY '!I5465,"AAAAAF/o7x4=")</f>
        <v>#VALUE!</v>
      </c>
      <c r="AF243" t="e">
        <f>AND('STERLING CATALOG - DRY '!J5465,"AAAAAF/o7x8=")</f>
        <v>#VALUE!</v>
      </c>
      <c r="AG243">
        <f>IF('STERLING CATALOG - DRY '!5466:5466,"AAAAAF/o7yA=",0)</f>
        <v>0</v>
      </c>
      <c r="AH243" t="e">
        <f>AND('STERLING CATALOG - DRY '!A5466,"AAAAAF/o7yE=")</f>
        <v>#VALUE!</v>
      </c>
      <c r="AI243" t="e">
        <f>AND('STERLING CATALOG - DRY '!B5466,"AAAAAF/o7yI=")</f>
        <v>#VALUE!</v>
      </c>
      <c r="AJ243" t="e">
        <f>AND('STERLING CATALOG - DRY '!C5466,"AAAAAF/o7yM=")</f>
        <v>#VALUE!</v>
      </c>
      <c r="AK243" t="e">
        <f>AND('STERLING CATALOG - DRY '!D5466,"AAAAAF/o7yQ=")</f>
        <v>#VALUE!</v>
      </c>
      <c r="AL243" t="e">
        <f>AND('STERLING CATALOG - DRY '!E5466,"AAAAAF/o7yU=")</f>
        <v>#VALUE!</v>
      </c>
      <c r="AM243" t="e">
        <f>AND('STERLING CATALOG - DRY '!F5466,"AAAAAF/o7yY=")</f>
        <v>#VALUE!</v>
      </c>
      <c r="AN243" t="e">
        <f>AND('STERLING CATALOG - DRY '!G5466,"AAAAAF/o7yc=")</f>
        <v>#VALUE!</v>
      </c>
      <c r="AO243" t="e">
        <f>AND('STERLING CATALOG - DRY '!H5466,"AAAAAF/o7yg=")</f>
        <v>#VALUE!</v>
      </c>
      <c r="AP243" t="e">
        <f>AND('STERLING CATALOG - DRY '!I5466,"AAAAAF/o7yk=")</f>
        <v>#VALUE!</v>
      </c>
      <c r="AQ243" t="e">
        <f>AND('STERLING CATALOG - DRY '!J5466,"AAAAAF/o7yo=")</f>
        <v>#VALUE!</v>
      </c>
      <c r="AR243">
        <f>IF('STERLING CATALOG - DRY '!5467:5467,"AAAAAF/o7ys=",0)</f>
        <v>0</v>
      </c>
      <c r="AS243" t="e">
        <f>AND('STERLING CATALOG - DRY '!A5467,"AAAAAF/o7yw=")</f>
        <v>#VALUE!</v>
      </c>
      <c r="AT243" t="e">
        <f>AND('STERLING CATALOG - DRY '!B5467,"AAAAAF/o7y0=")</f>
        <v>#VALUE!</v>
      </c>
      <c r="AU243" t="e">
        <f>AND('STERLING CATALOG - DRY '!C5467,"AAAAAF/o7y4=")</f>
        <v>#VALUE!</v>
      </c>
      <c r="AV243" t="e">
        <f>AND('STERLING CATALOG - DRY '!D5467,"AAAAAF/o7y8=")</f>
        <v>#VALUE!</v>
      </c>
      <c r="AW243" t="e">
        <f>AND('STERLING CATALOG - DRY '!E5467,"AAAAAF/o7zA=")</f>
        <v>#VALUE!</v>
      </c>
      <c r="AX243" t="e">
        <f>AND('STERLING CATALOG - DRY '!F5467,"AAAAAF/o7zE=")</f>
        <v>#VALUE!</v>
      </c>
      <c r="AY243" t="e">
        <f>AND('STERLING CATALOG - DRY '!G5467,"AAAAAF/o7zI=")</f>
        <v>#VALUE!</v>
      </c>
      <c r="AZ243" t="e">
        <f>AND('STERLING CATALOG - DRY '!H5467,"AAAAAF/o7zM=")</f>
        <v>#VALUE!</v>
      </c>
      <c r="BA243" t="e">
        <f>AND('STERLING CATALOG - DRY '!I5467,"AAAAAF/o7zQ=")</f>
        <v>#VALUE!</v>
      </c>
      <c r="BB243" t="e">
        <f>AND('STERLING CATALOG - DRY '!J5467,"AAAAAF/o7zU=")</f>
        <v>#VALUE!</v>
      </c>
      <c r="BC243">
        <f>IF('STERLING CATALOG - DRY '!5468:5468,"AAAAAF/o7zY=",0)</f>
        <v>0</v>
      </c>
      <c r="BD243" t="e">
        <f>AND('STERLING CATALOG - DRY '!A5468,"AAAAAF/o7zc=")</f>
        <v>#VALUE!</v>
      </c>
      <c r="BE243" t="e">
        <f>AND('STERLING CATALOG - DRY '!B5468,"AAAAAF/o7zg=")</f>
        <v>#VALUE!</v>
      </c>
      <c r="BF243" t="e">
        <f>AND('STERLING CATALOG - DRY '!C5468,"AAAAAF/o7zk=")</f>
        <v>#VALUE!</v>
      </c>
      <c r="BG243" t="e">
        <f>AND('STERLING CATALOG - DRY '!D5468,"AAAAAF/o7zo=")</f>
        <v>#VALUE!</v>
      </c>
      <c r="BH243" t="e">
        <f>AND('STERLING CATALOG - DRY '!E5468,"AAAAAF/o7zs=")</f>
        <v>#VALUE!</v>
      </c>
      <c r="BI243" t="e">
        <f>AND('STERLING CATALOG - DRY '!F5468,"AAAAAF/o7zw=")</f>
        <v>#VALUE!</v>
      </c>
      <c r="BJ243" t="e">
        <f>AND('STERLING CATALOG - DRY '!G5468,"AAAAAF/o7z0=")</f>
        <v>#VALUE!</v>
      </c>
      <c r="BK243" t="e">
        <f>AND('STERLING CATALOG - DRY '!H5468,"AAAAAF/o7z4=")</f>
        <v>#VALUE!</v>
      </c>
      <c r="BL243" t="e">
        <f>AND('STERLING CATALOG - DRY '!I5468,"AAAAAF/o7z8=")</f>
        <v>#VALUE!</v>
      </c>
      <c r="BM243" t="e">
        <f>AND('STERLING CATALOG - DRY '!J5468,"AAAAAF/o70A=")</f>
        <v>#VALUE!</v>
      </c>
      <c r="BN243">
        <f>IF('STERLING CATALOG - DRY '!5469:5469,"AAAAAF/o70E=",0)</f>
        <v>0</v>
      </c>
      <c r="BO243" t="e">
        <f>AND('STERLING CATALOG - DRY '!A5469,"AAAAAF/o70I=")</f>
        <v>#VALUE!</v>
      </c>
      <c r="BP243" t="e">
        <f>AND('STERLING CATALOG - DRY '!B5469,"AAAAAF/o70M=")</f>
        <v>#VALUE!</v>
      </c>
      <c r="BQ243" t="e">
        <f>AND('STERLING CATALOG - DRY '!C5469,"AAAAAF/o70Q=")</f>
        <v>#VALUE!</v>
      </c>
      <c r="BR243" t="e">
        <f>AND('STERLING CATALOG - DRY '!D5469,"AAAAAF/o70U=")</f>
        <v>#VALUE!</v>
      </c>
      <c r="BS243" t="e">
        <f>AND('STERLING CATALOG - DRY '!E5469,"AAAAAF/o70Y=")</f>
        <v>#VALUE!</v>
      </c>
      <c r="BT243" t="e">
        <f>AND('STERLING CATALOG - DRY '!F5469,"AAAAAF/o70c=")</f>
        <v>#VALUE!</v>
      </c>
      <c r="BU243" t="e">
        <f>AND('STERLING CATALOG - DRY '!G5469,"AAAAAF/o70g=")</f>
        <v>#VALUE!</v>
      </c>
      <c r="BV243" t="e">
        <f>AND('STERLING CATALOG - DRY '!H5469,"AAAAAF/o70k=")</f>
        <v>#VALUE!</v>
      </c>
      <c r="BW243" t="e">
        <f>AND('STERLING CATALOG - DRY '!I5469,"AAAAAF/o70o=")</f>
        <v>#VALUE!</v>
      </c>
      <c r="BX243" t="e">
        <f>AND('STERLING CATALOG - DRY '!J5469,"AAAAAF/o70s=")</f>
        <v>#VALUE!</v>
      </c>
      <c r="BY243">
        <f>IF('STERLING CATALOG - DRY '!5470:5470,"AAAAAF/o70w=",0)</f>
        <v>0</v>
      </c>
      <c r="BZ243" t="e">
        <f>AND('STERLING CATALOG - DRY '!A5470,"AAAAAF/o700=")</f>
        <v>#VALUE!</v>
      </c>
      <c r="CA243" t="e">
        <f>AND('STERLING CATALOG - DRY '!B5470,"AAAAAF/o704=")</f>
        <v>#VALUE!</v>
      </c>
      <c r="CB243" t="e">
        <f>AND('STERLING CATALOG - DRY '!C5470,"AAAAAF/o708=")</f>
        <v>#VALUE!</v>
      </c>
      <c r="CC243" t="e">
        <f>AND('STERLING CATALOG - DRY '!D5470,"AAAAAF/o71A=")</f>
        <v>#VALUE!</v>
      </c>
      <c r="CD243" t="e">
        <f>AND('STERLING CATALOG - DRY '!E5470,"AAAAAF/o71E=")</f>
        <v>#VALUE!</v>
      </c>
      <c r="CE243" t="e">
        <f>AND('STERLING CATALOG - DRY '!F5470,"AAAAAF/o71I=")</f>
        <v>#VALUE!</v>
      </c>
      <c r="CF243" t="e">
        <f>AND('STERLING CATALOG - DRY '!G5470,"AAAAAF/o71M=")</f>
        <v>#VALUE!</v>
      </c>
      <c r="CG243" t="e">
        <f>AND('STERLING CATALOG - DRY '!H5470,"AAAAAF/o71Q=")</f>
        <v>#VALUE!</v>
      </c>
      <c r="CH243" t="e">
        <f>AND('STERLING CATALOG - DRY '!I5470,"AAAAAF/o71U=")</f>
        <v>#VALUE!</v>
      </c>
      <c r="CI243" t="e">
        <f>AND('STERLING CATALOG - DRY '!J5470,"AAAAAF/o71Y=")</f>
        <v>#VALUE!</v>
      </c>
      <c r="CJ243">
        <f>IF('STERLING CATALOG - DRY '!5471:5471,"AAAAAF/o71c=",0)</f>
        <v>0</v>
      </c>
      <c r="CK243" t="e">
        <f>AND('STERLING CATALOG - DRY '!A5471,"AAAAAF/o71g=")</f>
        <v>#VALUE!</v>
      </c>
      <c r="CL243" t="e">
        <f>AND('STERLING CATALOG - DRY '!B5471,"AAAAAF/o71k=")</f>
        <v>#VALUE!</v>
      </c>
      <c r="CM243" t="e">
        <f>AND('STERLING CATALOG - DRY '!C5471,"AAAAAF/o71o=")</f>
        <v>#VALUE!</v>
      </c>
      <c r="CN243" t="e">
        <f>AND('STERLING CATALOG - DRY '!D5471,"AAAAAF/o71s=")</f>
        <v>#VALUE!</v>
      </c>
      <c r="CO243" t="e">
        <f>AND('STERLING CATALOG - DRY '!E5471,"AAAAAF/o71w=")</f>
        <v>#VALUE!</v>
      </c>
      <c r="CP243" t="e">
        <f>AND('STERLING CATALOG - DRY '!F5471,"AAAAAF/o710=")</f>
        <v>#VALUE!</v>
      </c>
      <c r="CQ243" t="e">
        <f>AND('STERLING CATALOG - DRY '!G5471,"AAAAAF/o714=")</f>
        <v>#VALUE!</v>
      </c>
      <c r="CR243" t="e">
        <f>AND('STERLING CATALOG - DRY '!H5471,"AAAAAF/o718=")</f>
        <v>#VALUE!</v>
      </c>
      <c r="CS243" t="e">
        <f>AND('STERLING CATALOG - DRY '!I5471,"AAAAAF/o72A=")</f>
        <v>#VALUE!</v>
      </c>
      <c r="CT243" t="e">
        <f>AND('STERLING CATALOG - DRY '!J5471,"AAAAAF/o72E=")</f>
        <v>#VALUE!</v>
      </c>
      <c r="CU243">
        <f>IF('STERLING CATALOG - DRY '!5472:5472,"AAAAAF/o72I=",0)</f>
        <v>0</v>
      </c>
      <c r="CV243" t="e">
        <f>AND('STERLING CATALOG - DRY '!A5472,"AAAAAF/o72M=")</f>
        <v>#VALUE!</v>
      </c>
      <c r="CW243" t="e">
        <f>AND('STERLING CATALOG - DRY '!B5472,"AAAAAF/o72Q=")</f>
        <v>#VALUE!</v>
      </c>
      <c r="CX243" t="e">
        <f>AND('STERLING CATALOG - DRY '!C5472,"AAAAAF/o72U=")</f>
        <v>#VALUE!</v>
      </c>
      <c r="CY243" t="e">
        <f>AND('STERLING CATALOG - DRY '!D5472,"AAAAAF/o72Y=")</f>
        <v>#VALUE!</v>
      </c>
      <c r="CZ243" t="e">
        <f>AND('STERLING CATALOG - DRY '!E5472,"AAAAAF/o72c=")</f>
        <v>#VALUE!</v>
      </c>
      <c r="DA243" t="e">
        <f>AND('STERLING CATALOG - DRY '!F5472,"AAAAAF/o72g=")</f>
        <v>#VALUE!</v>
      </c>
      <c r="DB243" t="e">
        <f>AND('STERLING CATALOG - DRY '!G5472,"AAAAAF/o72k=")</f>
        <v>#VALUE!</v>
      </c>
      <c r="DC243" t="e">
        <f>AND('STERLING CATALOG - DRY '!H5472,"AAAAAF/o72o=")</f>
        <v>#VALUE!</v>
      </c>
      <c r="DD243" t="e">
        <f>AND('STERLING CATALOG - DRY '!I5472,"AAAAAF/o72s=")</f>
        <v>#VALUE!</v>
      </c>
      <c r="DE243" t="e">
        <f>AND('STERLING CATALOG - DRY '!J5472,"AAAAAF/o72w=")</f>
        <v>#VALUE!</v>
      </c>
      <c r="DF243">
        <f>IF('STERLING CATALOG - DRY '!5473:5473,"AAAAAF/o720=",0)</f>
        <v>0</v>
      </c>
      <c r="DG243" t="e">
        <f>AND('STERLING CATALOG - DRY '!A5473,"AAAAAF/o724=")</f>
        <v>#VALUE!</v>
      </c>
      <c r="DH243" t="e">
        <f>AND('STERLING CATALOG - DRY '!B5473,"AAAAAF/o728=")</f>
        <v>#VALUE!</v>
      </c>
      <c r="DI243" t="e">
        <f>AND('STERLING CATALOG - DRY '!C5473,"AAAAAF/o73A=")</f>
        <v>#VALUE!</v>
      </c>
      <c r="DJ243" t="e">
        <f>AND('STERLING CATALOG - DRY '!D5473,"AAAAAF/o73E=")</f>
        <v>#VALUE!</v>
      </c>
      <c r="DK243" t="e">
        <f>AND('STERLING CATALOG - DRY '!E5473,"AAAAAF/o73I=")</f>
        <v>#VALUE!</v>
      </c>
      <c r="DL243" t="e">
        <f>AND('STERLING CATALOG - DRY '!F5473,"AAAAAF/o73M=")</f>
        <v>#VALUE!</v>
      </c>
      <c r="DM243" t="e">
        <f>AND('STERLING CATALOG - DRY '!G5473,"AAAAAF/o73Q=")</f>
        <v>#VALUE!</v>
      </c>
      <c r="DN243" t="e">
        <f>AND('STERLING CATALOG - DRY '!H5473,"AAAAAF/o73U=")</f>
        <v>#VALUE!</v>
      </c>
      <c r="DO243" t="e">
        <f>AND('STERLING CATALOG - DRY '!I5473,"AAAAAF/o73Y=")</f>
        <v>#VALUE!</v>
      </c>
      <c r="DP243" t="e">
        <f>AND('STERLING CATALOG - DRY '!J5473,"AAAAAF/o73c=")</f>
        <v>#VALUE!</v>
      </c>
      <c r="DQ243">
        <f>IF('STERLING CATALOG - DRY '!5474:5474,"AAAAAF/o73g=",0)</f>
        <v>0</v>
      </c>
      <c r="DR243" t="e">
        <f>AND('STERLING CATALOG - DRY '!A5474,"AAAAAF/o73k=")</f>
        <v>#VALUE!</v>
      </c>
      <c r="DS243" t="e">
        <f>AND('STERLING CATALOG - DRY '!B5474,"AAAAAF/o73o=")</f>
        <v>#VALUE!</v>
      </c>
      <c r="DT243" t="e">
        <f>AND('STERLING CATALOG - DRY '!C5474,"AAAAAF/o73s=")</f>
        <v>#VALUE!</v>
      </c>
      <c r="DU243" t="e">
        <f>AND('STERLING CATALOG - DRY '!D5474,"AAAAAF/o73w=")</f>
        <v>#VALUE!</v>
      </c>
      <c r="DV243" t="e">
        <f>AND('STERLING CATALOG - DRY '!E5474,"AAAAAF/o730=")</f>
        <v>#VALUE!</v>
      </c>
      <c r="DW243" t="e">
        <f>AND('STERLING CATALOG - DRY '!F5474,"AAAAAF/o734=")</f>
        <v>#VALUE!</v>
      </c>
      <c r="DX243" t="e">
        <f>AND('STERLING CATALOG - DRY '!G5474,"AAAAAF/o738=")</f>
        <v>#VALUE!</v>
      </c>
      <c r="DY243" t="e">
        <f>AND('STERLING CATALOG - DRY '!H5474,"AAAAAF/o74A=")</f>
        <v>#VALUE!</v>
      </c>
      <c r="DZ243" t="e">
        <f>AND('STERLING CATALOG - DRY '!I5474,"AAAAAF/o74E=")</f>
        <v>#VALUE!</v>
      </c>
      <c r="EA243" t="e">
        <f>AND('STERLING CATALOG - DRY '!J5474,"AAAAAF/o74I=")</f>
        <v>#VALUE!</v>
      </c>
      <c r="EB243">
        <f>IF('STERLING CATALOG - DRY '!5475:5475,"AAAAAF/o74M=",0)</f>
        <v>0</v>
      </c>
      <c r="EC243" t="e">
        <f>AND('STERLING CATALOG - DRY '!A5475,"AAAAAF/o74Q=")</f>
        <v>#VALUE!</v>
      </c>
      <c r="ED243" t="e">
        <f>AND('STERLING CATALOG - DRY '!B5475,"AAAAAF/o74U=")</f>
        <v>#VALUE!</v>
      </c>
      <c r="EE243" t="e">
        <f>AND('STERLING CATALOG - DRY '!C5475,"AAAAAF/o74Y=")</f>
        <v>#VALUE!</v>
      </c>
      <c r="EF243" t="e">
        <f>AND('STERLING CATALOG - DRY '!D5475,"AAAAAF/o74c=")</f>
        <v>#VALUE!</v>
      </c>
      <c r="EG243" t="e">
        <f>AND('STERLING CATALOG - DRY '!E5475,"AAAAAF/o74g=")</f>
        <v>#VALUE!</v>
      </c>
      <c r="EH243" t="e">
        <f>AND('STERLING CATALOG - DRY '!F5475,"AAAAAF/o74k=")</f>
        <v>#VALUE!</v>
      </c>
      <c r="EI243" t="e">
        <f>AND('STERLING CATALOG - DRY '!G5475,"AAAAAF/o74o=")</f>
        <v>#VALUE!</v>
      </c>
      <c r="EJ243" t="e">
        <f>AND('STERLING CATALOG - DRY '!H5475,"AAAAAF/o74s=")</f>
        <v>#VALUE!</v>
      </c>
      <c r="EK243" t="e">
        <f>AND('STERLING CATALOG - DRY '!I5475,"AAAAAF/o74w=")</f>
        <v>#VALUE!</v>
      </c>
      <c r="EL243" t="e">
        <f>AND('STERLING CATALOG - DRY '!J5475,"AAAAAF/o740=")</f>
        <v>#VALUE!</v>
      </c>
      <c r="EM243">
        <f>IF('STERLING CATALOG - DRY '!5476:5476,"AAAAAF/o744=",0)</f>
        <v>0</v>
      </c>
      <c r="EN243" t="e">
        <f>AND('STERLING CATALOG - DRY '!A5476,"AAAAAF/o748=")</f>
        <v>#VALUE!</v>
      </c>
      <c r="EO243" t="e">
        <f>AND('STERLING CATALOG - DRY '!B5476,"AAAAAF/o75A=")</f>
        <v>#VALUE!</v>
      </c>
      <c r="EP243" t="e">
        <f>AND('STERLING CATALOG - DRY '!C5476,"AAAAAF/o75E=")</f>
        <v>#VALUE!</v>
      </c>
      <c r="EQ243" t="e">
        <f>AND('STERLING CATALOG - DRY '!D5476,"AAAAAF/o75I=")</f>
        <v>#VALUE!</v>
      </c>
      <c r="ER243" t="e">
        <f>AND('STERLING CATALOG - DRY '!E5476,"AAAAAF/o75M=")</f>
        <v>#VALUE!</v>
      </c>
      <c r="ES243" t="e">
        <f>AND('STERLING CATALOG - DRY '!F5476,"AAAAAF/o75Q=")</f>
        <v>#VALUE!</v>
      </c>
      <c r="ET243" t="e">
        <f>AND('STERLING CATALOG - DRY '!G5476,"AAAAAF/o75U=")</f>
        <v>#VALUE!</v>
      </c>
      <c r="EU243" t="e">
        <f>AND('STERLING CATALOG - DRY '!H5476,"AAAAAF/o75Y=")</f>
        <v>#VALUE!</v>
      </c>
      <c r="EV243" t="e">
        <f>AND('STERLING CATALOG - DRY '!I5476,"AAAAAF/o75c=")</f>
        <v>#VALUE!</v>
      </c>
      <c r="EW243" t="e">
        <f>AND('STERLING CATALOG - DRY '!J5476,"AAAAAF/o75g=")</f>
        <v>#VALUE!</v>
      </c>
      <c r="EX243">
        <f>IF('STERLING CATALOG - DRY '!5477:5477,"AAAAAF/o75k=",0)</f>
        <v>0</v>
      </c>
      <c r="EY243" t="e">
        <f>AND('STERLING CATALOG - DRY '!A5477,"AAAAAF/o75o=")</f>
        <v>#VALUE!</v>
      </c>
      <c r="EZ243" t="e">
        <f>AND('STERLING CATALOG - DRY '!B5477,"AAAAAF/o75s=")</f>
        <v>#VALUE!</v>
      </c>
      <c r="FA243" t="e">
        <f>AND('STERLING CATALOG - DRY '!C5477,"AAAAAF/o75w=")</f>
        <v>#VALUE!</v>
      </c>
      <c r="FB243" t="e">
        <f>AND('STERLING CATALOG - DRY '!D5477,"AAAAAF/o750=")</f>
        <v>#VALUE!</v>
      </c>
      <c r="FC243" t="e">
        <f>AND('STERLING CATALOG - DRY '!E5477,"AAAAAF/o754=")</f>
        <v>#VALUE!</v>
      </c>
      <c r="FD243" t="e">
        <f>AND('STERLING CATALOG - DRY '!F5477,"AAAAAF/o758=")</f>
        <v>#VALUE!</v>
      </c>
      <c r="FE243" t="e">
        <f>AND('STERLING CATALOG - DRY '!G5477,"AAAAAF/o76A=")</f>
        <v>#VALUE!</v>
      </c>
      <c r="FF243" t="e">
        <f>AND('STERLING CATALOG - DRY '!H5477,"AAAAAF/o76E=")</f>
        <v>#VALUE!</v>
      </c>
      <c r="FG243" t="e">
        <f>AND('STERLING CATALOG - DRY '!I5477,"AAAAAF/o76I=")</f>
        <v>#VALUE!</v>
      </c>
      <c r="FH243" t="e">
        <f>AND('STERLING CATALOG - DRY '!J5477,"AAAAAF/o76M=")</f>
        <v>#VALUE!</v>
      </c>
      <c r="FI243">
        <f>IF('STERLING CATALOG - DRY '!5478:5478,"AAAAAF/o76Q=",0)</f>
        <v>0</v>
      </c>
      <c r="FJ243" t="e">
        <f>AND('STERLING CATALOG - DRY '!A5478,"AAAAAF/o76U=")</f>
        <v>#VALUE!</v>
      </c>
      <c r="FK243" t="e">
        <f>AND('STERLING CATALOG - DRY '!B5478,"AAAAAF/o76Y=")</f>
        <v>#VALUE!</v>
      </c>
      <c r="FL243" t="e">
        <f>AND('STERLING CATALOG - DRY '!C5478,"AAAAAF/o76c=")</f>
        <v>#VALUE!</v>
      </c>
      <c r="FM243" t="e">
        <f>AND('STERLING CATALOG - DRY '!D5478,"AAAAAF/o76g=")</f>
        <v>#VALUE!</v>
      </c>
      <c r="FN243" t="e">
        <f>AND('STERLING CATALOG - DRY '!E5478,"AAAAAF/o76k=")</f>
        <v>#VALUE!</v>
      </c>
      <c r="FO243" t="e">
        <f>AND('STERLING CATALOG - DRY '!F5478,"AAAAAF/o76o=")</f>
        <v>#VALUE!</v>
      </c>
      <c r="FP243" t="e">
        <f>AND('STERLING CATALOG - DRY '!G5478,"AAAAAF/o76s=")</f>
        <v>#VALUE!</v>
      </c>
      <c r="FQ243" t="e">
        <f>AND('STERLING CATALOG - DRY '!H5478,"AAAAAF/o76w=")</f>
        <v>#VALUE!</v>
      </c>
      <c r="FR243" t="e">
        <f>AND('STERLING CATALOG - DRY '!I5478,"AAAAAF/o760=")</f>
        <v>#VALUE!</v>
      </c>
      <c r="FS243" t="e">
        <f>AND('STERLING CATALOG - DRY '!J5478,"AAAAAF/o764=")</f>
        <v>#VALUE!</v>
      </c>
      <c r="FT243">
        <f>IF('STERLING CATALOG - DRY '!5479:5479,"AAAAAF/o768=",0)</f>
        <v>0</v>
      </c>
      <c r="FU243" t="e">
        <f>AND('STERLING CATALOG - DRY '!A5479,"AAAAAF/o77A=")</f>
        <v>#VALUE!</v>
      </c>
      <c r="FV243" t="e">
        <f>AND('STERLING CATALOG - DRY '!B5479,"AAAAAF/o77E=")</f>
        <v>#VALUE!</v>
      </c>
      <c r="FW243" t="e">
        <f>AND('STERLING CATALOG - DRY '!C5479,"AAAAAF/o77I=")</f>
        <v>#VALUE!</v>
      </c>
      <c r="FX243" t="e">
        <f>AND('STERLING CATALOG - DRY '!D5479,"AAAAAF/o77M=")</f>
        <v>#VALUE!</v>
      </c>
      <c r="FY243" t="e">
        <f>AND('STERLING CATALOG - DRY '!E5479,"AAAAAF/o77Q=")</f>
        <v>#VALUE!</v>
      </c>
      <c r="FZ243" t="e">
        <f>AND('STERLING CATALOG - DRY '!F5479,"AAAAAF/o77U=")</f>
        <v>#VALUE!</v>
      </c>
      <c r="GA243" t="e">
        <f>AND('STERLING CATALOG - DRY '!G5479,"AAAAAF/o77Y=")</f>
        <v>#VALUE!</v>
      </c>
      <c r="GB243" t="e">
        <f>AND('STERLING CATALOG - DRY '!H5479,"AAAAAF/o77c=")</f>
        <v>#VALUE!</v>
      </c>
      <c r="GC243" t="e">
        <f>AND('STERLING CATALOG - DRY '!I5479,"AAAAAF/o77g=")</f>
        <v>#VALUE!</v>
      </c>
      <c r="GD243" t="e">
        <f>AND('STERLING CATALOG - DRY '!J5479,"AAAAAF/o77k=")</f>
        <v>#VALUE!</v>
      </c>
      <c r="GE243">
        <f>IF('STERLING CATALOG - DRY '!5480:5480,"AAAAAF/o77o=",0)</f>
        <v>0</v>
      </c>
      <c r="GF243" t="e">
        <f>AND('STERLING CATALOG - DRY '!A5480,"AAAAAF/o77s=")</f>
        <v>#VALUE!</v>
      </c>
      <c r="GG243" t="e">
        <f>AND('STERLING CATALOG - DRY '!B5480,"AAAAAF/o77w=")</f>
        <v>#VALUE!</v>
      </c>
      <c r="GH243" t="e">
        <f>AND('STERLING CATALOG - DRY '!C5480,"AAAAAF/o770=")</f>
        <v>#VALUE!</v>
      </c>
      <c r="GI243" t="e">
        <f>AND('STERLING CATALOG - DRY '!D5480,"AAAAAF/o774=")</f>
        <v>#VALUE!</v>
      </c>
      <c r="GJ243" t="e">
        <f>AND('STERLING CATALOG - DRY '!E5480,"AAAAAF/o778=")</f>
        <v>#VALUE!</v>
      </c>
      <c r="GK243" t="e">
        <f>AND('STERLING CATALOG - DRY '!F5480,"AAAAAF/o78A=")</f>
        <v>#VALUE!</v>
      </c>
      <c r="GL243" t="e">
        <f>AND('STERLING CATALOG - DRY '!G5480,"AAAAAF/o78E=")</f>
        <v>#VALUE!</v>
      </c>
      <c r="GM243" t="e">
        <f>AND('STERLING CATALOG - DRY '!H5480,"AAAAAF/o78I=")</f>
        <v>#VALUE!</v>
      </c>
      <c r="GN243" t="e">
        <f>AND('STERLING CATALOG - DRY '!I5480,"AAAAAF/o78M=")</f>
        <v>#VALUE!</v>
      </c>
      <c r="GO243" t="e">
        <f>AND('STERLING CATALOG - DRY '!J5480,"AAAAAF/o78Q=")</f>
        <v>#VALUE!</v>
      </c>
      <c r="GP243">
        <f>IF('STERLING CATALOG - DRY '!5481:5481,"AAAAAF/o78U=",0)</f>
        <v>0</v>
      </c>
      <c r="GQ243" t="e">
        <f>AND('STERLING CATALOG - DRY '!A5481,"AAAAAF/o78Y=")</f>
        <v>#VALUE!</v>
      </c>
      <c r="GR243" t="e">
        <f>AND('STERLING CATALOG - DRY '!B5481,"AAAAAF/o78c=")</f>
        <v>#VALUE!</v>
      </c>
      <c r="GS243" t="e">
        <f>AND('STERLING CATALOG - DRY '!C5481,"AAAAAF/o78g=")</f>
        <v>#VALUE!</v>
      </c>
      <c r="GT243" t="e">
        <f>AND('STERLING CATALOG - DRY '!D5481,"AAAAAF/o78k=")</f>
        <v>#VALUE!</v>
      </c>
      <c r="GU243" t="e">
        <f>AND('STERLING CATALOG - DRY '!E5481,"AAAAAF/o78o=")</f>
        <v>#VALUE!</v>
      </c>
      <c r="GV243" t="e">
        <f>AND('STERLING CATALOG - DRY '!F5481,"AAAAAF/o78s=")</f>
        <v>#VALUE!</v>
      </c>
      <c r="GW243" t="e">
        <f>AND('STERLING CATALOG - DRY '!G5481,"AAAAAF/o78w=")</f>
        <v>#VALUE!</v>
      </c>
      <c r="GX243" t="e">
        <f>AND('STERLING CATALOG - DRY '!H5481,"AAAAAF/o780=")</f>
        <v>#VALUE!</v>
      </c>
      <c r="GY243" t="e">
        <f>AND('STERLING CATALOG - DRY '!I5481,"AAAAAF/o784=")</f>
        <v>#VALUE!</v>
      </c>
      <c r="GZ243" t="e">
        <f>AND('STERLING CATALOG - DRY '!J5481,"AAAAAF/o788=")</f>
        <v>#VALUE!</v>
      </c>
      <c r="HA243">
        <f>IF('STERLING CATALOG - DRY '!5482:5482,"AAAAAF/o79A=",0)</f>
        <v>0</v>
      </c>
      <c r="HB243" t="e">
        <f>AND('STERLING CATALOG - DRY '!A5482,"AAAAAF/o79E=")</f>
        <v>#VALUE!</v>
      </c>
      <c r="HC243" t="e">
        <f>AND('STERLING CATALOG - DRY '!B5482,"AAAAAF/o79I=")</f>
        <v>#VALUE!</v>
      </c>
      <c r="HD243" t="e">
        <f>AND('STERLING CATALOG - DRY '!C5482,"AAAAAF/o79M=")</f>
        <v>#VALUE!</v>
      </c>
      <c r="HE243" t="e">
        <f>AND('STERLING CATALOG - DRY '!D5482,"AAAAAF/o79Q=")</f>
        <v>#VALUE!</v>
      </c>
      <c r="HF243" t="e">
        <f>AND('STERLING CATALOG - DRY '!E5482,"AAAAAF/o79U=")</f>
        <v>#VALUE!</v>
      </c>
      <c r="HG243" t="e">
        <f>AND('STERLING CATALOG - DRY '!F5482,"AAAAAF/o79Y=")</f>
        <v>#VALUE!</v>
      </c>
      <c r="HH243" t="e">
        <f>AND('STERLING CATALOG - DRY '!G5482,"AAAAAF/o79c=")</f>
        <v>#VALUE!</v>
      </c>
      <c r="HI243" t="e">
        <f>AND('STERLING CATALOG - DRY '!H5482,"AAAAAF/o79g=")</f>
        <v>#VALUE!</v>
      </c>
      <c r="HJ243" t="e">
        <f>AND('STERLING CATALOG - DRY '!I5482,"AAAAAF/o79k=")</f>
        <v>#VALUE!</v>
      </c>
      <c r="HK243" t="e">
        <f>AND('STERLING CATALOG - DRY '!J5482,"AAAAAF/o79o=")</f>
        <v>#VALUE!</v>
      </c>
      <c r="HL243">
        <f>IF('STERLING CATALOG - DRY '!5483:5483,"AAAAAF/o79s=",0)</f>
        <v>0</v>
      </c>
      <c r="HM243" t="e">
        <f>AND('STERLING CATALOG - DRY '!A5483,"AAAAAF/o79w=")</f>
        <v>#VALUE!</v>
      </c>
      <c r="HN243" t="e">
        <f>AND('STERLING CATALOG - DRY '!B5483,"AAAAAF/o790=")</f>
        <v>#VALUE!</v>
      </c>
      <c r="HO243" t="e">
        <f>AND('STERLING CATALOG - DRY '!C5483,"AAAAAF/o794=")</f>
        <v>#VALUE!</v>
      </c>
      <c r="HP243" t="e">
        <f>AND('STERLING CATALOG - DRY '!D5483,"AAAAAF/o798=")</f>
        <v>#VALUE!</v>
      </c>
      <c r="HQ243" t="e">
        <f>AND('STERLING CATALOG - DRY '!E5483,"AAAAAF/o7+A=")</f>
        <v>#VALUE!</v>
      </c>
      <c r="HR243" t="e">
        <f>AND('STERLING CATALOG - DRY '!F5483,"AAAAAF/o7+E=")</f>
        <v>#VALUE!</v>
      </c>
      <c r="HS243" t="e">
        <f>AND('STERLING CATALOG - DRY '!G5483,"AAAAAF/o7+I=")</f>
        <v>#VALUE!</v>
      </c>
      <c r="HT243" t="e">
        <f>AND('STERLING CATALOG - DRY '!H5483,"AAAAAF/o7+M=")</f>
        <v>#VALUE!</v>
      </c>
      <c r="HU243" t="e">
        <f>AND('STERLING CATALOG - DRY '!I5483,"AAAAAF/o7+Q=")</f>
        <v>#VALUE!</v>
      </c>
      <c r="HV243" t="e">
        <f>AND('STERLING CATALOG - DRY '!J5483,"AAAAAF/o7+U=")</f>
        <v>#VALUE!</v>
      </c>
      <c r="HW243">
        <f>IF('STERLING CATALOG - DRY '!5484:5484,"AAAAAF/o7+Y=",0)</f>
        <v>0</v>
      </c>
      <c r="HX243" t="e">
        <f>AND('STERLING CATALOG - DRY '!A5484,"AAAAAF/o7+c=")</f>
        <v>#VALUE!</v>
      </c>
      <c r="HY243" t="e">
        <f>AND('STERLING CATALOG - DRY '!B5484,"AAAAAF/o7+g=")</f>
        <v>#VALUE!</v>
      </c>
      <c r="HZ243" t="e">
        <f>AND('STERLING CATALOG - DRY '!C5484,"AAAAAF/o7+k=")</f>
        <v>#VALUE!</v>
      </c>
      <c r="IA243" t="e">
        <f>AND('STERLING CATALOG - DRY '!D5484,"AAAAAF/o7+o=")</f>
        <v>#VALUE!</v>
      </c>
      <c r="IB243" t="e">
        <f>AND('STERLING CATALOG - DRY '!E5484,"AAAAAF/o7+s=")</f>
        <v>#VALUE!</v>
      </c>
      <c r="IC243" t="e">
        <f>AND('STERLING CATALOG - DRY '!F5484,"AAAAAF/o7+w=")</f>
        <v>#VALUE!</v>
      </c>
      <c r="ID243" t="e">
        <f>AND('STERLING CATALOG - DRY '!G5484,"AAAAAF/o7+0=")</f>
        <v>#VALUE!</v>
      </c>
      <c r="IE243" t="e">
        <f>AND('STERLING CATALOG - DRY '!H5484,"AAAAAF/o7+4=")</f>
        <v>#VALUE!</v>
      </c>
      <c r="IF243" t="e">
        <f>AND('STERLING CATALOG - DRY '!I5484,"AAAAAF/o7+8=")</f>
        <v>#VALUE!</v>
      </c>
      <c r="IG243" t="e">
        <f>AND('STERLING CATALOG - DRY '!J5484,"AAAAAF/o7/A=")</f>
        <v>#VALUE!</v>
      </c>
      <c r="IH243">
        <f>IF('STERLING CATALOG - DRY '!5485:5485,"AAAAAF/o7/E=",0)</f>
        <v>0</v>
      </c>
      <c r="II243" t="e">
        <f>AND('STERLING CATALOG - DRY '!A5485,"AAAAAF/o7/I=")</f>
        <v>#VALUE!</v>
      </c>
      <c r="IJ243" t="e">
        <f>AND('STERLING CATALOG - DRY '!B5485,"AAAAAF/o7/M=")</f>
        <v>#VALUE!</v>
      </c>
      <c r="IK243" t="e">
        <f>AND('STERLING CATALOG - DRY '!C5485,"AAAAAF/o7/Q=")</f>
        <v>#VALUE!</v>
      </c>
      <c r="IL243" t="e">
        <f>AND('STERLING CATALOG - DRY '!D5485,"AAAAAF/o7/U=")</f>
        <v>#VALUE!</v>
      </c>
      <c r="IM243" t="e">
        <f>AND('STERLING CATALOG - DRY '!E5485,"AAAAAF/o7/Y=")</f>
        <v>#VALUE!</v>
      </c>
      <c r="IN243" t="e">
        <f>AND('STERLING CATALOG - DRY '!F5485,"AAAAAF/o7/c=")</f>
        <v>#VALUE!</v>
      </c>
      <c r="IO243" t="e">
        <f>AND('STERLING CATALOG - DRY '!G5485,"AAAAAF/o7/g=")</f>
        <v>#VALUE!</v>
      </c>
      <c r="IP243" t="e">
        <f>AND('STERLING CATALOG - DRY '!H5485,"AAAAAF/o7/k=")</f>
        <v>#VALUE!</v>
      </c>
      <c r="IQ243" t="e">
        <f>AND('STERLING CATALOG - DRY '!I5485,"AAAAAF/o7/o=")</f>
        <v>#VALUE!</v>
      </c>
      <c r="IR243" t="e">
        <f>AND('STERLING CATALOG - DRY '!J5485,"AAAAAF/o7/s=")</f>
        <v>#VALUE!</v>
      </c>
      <c r="IS243">
        <f>IF('STERLING CATALOG - DRY '!5486:5486,"AAAAAF/o7/w=",0)</f>
        <v>0</v>
      </c>
      <c r="IT243" t="e">
        <f>AND('STERLING CATALOG - DRY '!A5486,"AAAAAF/o7/0=")</f>
        <v>#VALUE!</v>
      </c>
      <c r="IU243" t="e">
        <f>AND('STERLING CATALOG - DRY '!B5486,"AAAAAF/o7/4=")</f>
        <v>#VALUE!</v>
      </c>
      <c r="IV243" t="e">
        <f>AND('STERLING CATALOG - DRY '!C5486,"AAAAAF/o7/8=")</f>
        <v>#VALUE!</v>
      </c>
    </row>
    <row r="244" spans="1:256">
      <c r="A244" t="e">
        <f>AND('STERLING CATALOG - DRY '!D5486,"AAAAAA/1dgA=")</f>
        <v>#VALUE!</v>
      </c>
      <c r="B244" t="e">
        <f>AND('STERLING CATALOG - DRY '!E5486,"AAAAAA/1dgE=")</f>
        <v>#VALUE!</v>
      </c>
      <c r="C244" t="e">
        <f>AND('STERLING CATALOG - DRY '!F5486,"AAAAAA/1dgI=")</f>
        <v>#VALUE!</v>
      </c>
      <c r="D244" t="e">
        <f>AND('STERLING CATALOG - DRY '!G5486,"AAAAAA/1dgM=")</f>
        <v>#VALUE!</v>
      </c>
      <c r="E244" t="e">
        <f>AND('STERLING CATALOG - DRY '!H5486,"AAAAAA/1dgQ=")</f>
        <v>#VALUE!</v>
      </c>
      <c r="F244" t="e">
        <f>AND('STERLING CATALOG - DRY '!I5486,"AAAAAA/1dgU=")</f>
        <v>#VALUE!</v>
      </c>
      <c r="G244" t="e">
        <f>AND('STERLING CATALOG - DRY '!J5486,"AAAAAA/1dgY=")</f>
        <v>#VALUE!</v>
      </c>
      <c r="H244" t="str">
        <f>IF('STERLING CATALOG - DRY '!5487:5487,"AAAAAA/1dgc=",0)</f>
        <v>AAAAAA/1dgc=</v>
      </c>
      <c r="I244" t="e">
        <f>AND('STERLING CATALOG - DRY '!A5487,"AAAAAA/1dgg=")</f>
        <v>#VALUE!</v>
      </c>
      <c r="J244" t="e">
        <f>AND('STERLING CATALOG - DRY '!B5487,"AAAAAA/1dgk=")</f>
        <v>#VALUE!</v>
      </c>
      <c r="K244" t="e">
        <f>AND('STERLING CATALOG - DRY '!C5487,"AAAAAA/1dgo=")</f>
        <v>#VALUE!</v>
      </c>
      <c r="L244" t="e">
        <f>AND('STERLING CATALOG - DRY '!D5487,"AAAAAA/1dgs=")</f>
        <v>#VALUE!</v>
      </c>
      <c r="M244" t="e">
        <f>AND('STERLING CATALOG - DRY '!E5487,"AAAAAA/1dgw=")</f>
        <v>#VALUE!</v>
      </c>
      <c r="N244" t="e">
        <f>AND('STERLING CATALOG - DRY '!F5487,"AAAAAA/1dg0=")</f>
        <v>#VALUE!</v>
      </c>
      <c r="O244" t="e">
        <f>AND('STERLING CATALOG - DRY '!G5487,"AAAAAA/1dg4=")</f>
        <v>#VALUE!</v>
      </c>
      <c r="P244" t="e">
        <f>AND('STERLING CATALOG - DRY '!H5487,"AAAAAA/1dg8=")</f>
        <v>#VALUE!</v>
      </c>
      <c r="Q244" t="e">
        <f>AND('STERLING CATALOG - DRY '!I5487,"AAAAAA/1dhA=")</f>
        <v>#VALUE!</v>
      </c>
      <c r="R244" t="e">
        <f>AND('STERLING CATALOG - DRY '!J5487,"AAAAAA/1dhE=")</f>
        <v>#VALUE!</v>
      </c>
      <c r="S244">
        <f>IF('STERLING CATALOG - DRY '!5488:5488,"AAAAAA/1dhI=",0)</f>
        <v>0</v>
      </c>
      <c r="T244" t="e">
        <f>AND('STERLING CATALOG - DRY '!A5488,"AAAAAA/1dhM=")</f>
        <v>#VALUE!</v>
      </c>
      <c r="U244" t="e">
        <f>AND('STERLING CATALOG - DRY '!B5488,"AAAAAA/1dhQ=")</f>
        <v>#VALUE!</v>
      </c>
      <c r="V244" t="e">
        <f>AND('STERLING CATALOG - DRY '!C5488,"AAAAAA/1dhU=")</f>
        <v>#VALUE!</v>
      </c>
      <c r="W244" t="e">
        <f>AND('STERLING CATALOG - DRY '!D5488,"AAAAAA/1dhY=")</f>
        <v>#VALUE!</v>
      </c>
      <c r="X244" t="e">
        <f>AND('STERLING CATALOG - DRY '!E5488,"AAAAAA/1dhc=")</f>
        <v>#VALUE!</v>
      </c>
      <c r="Y244" t="e">
        <f>AND('STERLING CATALOG - DRY '!F5488,"AAAAAA/1dhg=")</f>
        <v>#VALUE!</v>
      </c>
      <c r="Z244" t="e">
        <f>AND('STERLING CATALOG - DRY '!G5488,"AAAAAA/1dhk=")</f>
        <v>#VALUE!</v>
      </c>
      <c r="AA244" t="e">
        <f>AND('STERLING CATALOG - DRY '!H5488,"AAAAAA/1dho=")</f>
        <v>#VALUE!</v>
      </c>
      <c r="AB244" t="e">
        <f>AND('STERLING CATALOG - DRY '!I5488,"AAAAAA/1dhs=")</f>
        <v>#VALUE!</v>
      </c>
      <c r="AC244" t="e">
        <f>AND('STERLING CATALOG - DRY '!J5488,"AAAAAA/1dhw=")</f>
        <v>#VALUE!</v>
      </c>
      <c r="AD244">
        <f>IF('STERLING CATALOG - DRY '!5489:5489,"AAAAAA/1dh0=",0)</f>
        <v>0</v>
      </c>
      <c r="AE244" t="e">
        <f>AND('STERLING CATALOG - DRY '!A5489,"AAAAAA/1dh4=")</f>
        <v>#VALUE!</v>
      </c>
      <c r="AF244" t="e">
        <f>AND('STERLING CATALOG - DRY '!B5489,"AAAAAA/1dh8=")</f>
        <v>#VALUE!</v>
      </c>
      <c r="AG244" t="e">
        <f>AND('STERLING CATALOG - DRY '!C5489,"AAAAAA/1diA=")</f>
        <v>#VALUE!</v>
      </c>
      <c r="AH244" t="e">
        <f>AND('STERLING CATALOG - DRY '!D5489,"AAAAAA/1diE=")</f>
        <v>#VALUE!</v>
      </c>
      <c r="AI244" t="e">
        <f>AND('STERLING CATALOG - DRY '!E5489,"AAAAAA/1diI=")</f>
        <v>#VALUE!</v>
      </c>
      <c r="AJ244" t="e">
        <f>AND('STERLING CATALOG - DRY '!F5489,"AAAAAA/1diM=")</f>
        <v>#VALUE!</v>
      </c>
      <c r="AK244" t="e">
        <f>AND('STERLING CATALOG - DRY '!G5489,"AAAAAA/1diQ=")</f>
        <v>#VALUE!</v>
      </c>
      <c r="AL244" t="e">
        <f>AND('STERLING CATALOG - DRY '!H5489,"AAAAAA/1diU=")</f>
        <v>#VALUE!</v>
      </c>
      <c r="AM244" t="e">
        <f>AND('STERLING CATALOG - DRY '!I5489,"AAAAAA/1diY=")</f>
        <v>#VALUE!</v>
      </c>
      <c r="AN244" t="e">
        <f>AND('STERLING CATALOG - DRY '!J5489,"AAAAAA/1dic=")</f>
        <v>#VALUE!</v>
      </c>
      <c r="AO244">
        <f>IF('STERLING CATALOG - DRY '!5490:5490,"AAAAAA/1dig=",0)</f>
        <v>0</v>
      </c>
      <c r="AP244" t="e">
        <f>AND('STERLING CATALOG - DRY '!A5490,"AAAAAA/1dik=")</f>
        <v>#VALUE!</v>
      </c>
      <c r="AQ244" t="e">
        <f>AND('STERLING CATALOG - DRY '!B5490,"AAAAAA/1dio=")</f>
        <v>#VALUE!</v>
      </c>
      <c r="AR244" t="e">
        <f>AND('STERLING CATALOG - DRY '!C5490,"AAAAAA/1dis=")</f>
        <v>#VALUE!</v>
      </c>
      <c r="AS244" t="e">
        <f>AND('STERLING CATALOG - DRY '!D5490,"AAAAAA/1diw=")</f>
        <v>#VALUE!</v>
      </c>
      <c r="AT244" t="e">
        <f>AND('STERLING CATALOG - DRY '!E5490,"AAAAAA/1di0=")</f>
        <v>#VALUE!</v>
      </c>
      <c r="AU244" t="e">
        <f>AND('STERLING CATALOG - DRY '!F5490,"AAAAAA/1di4=")</f>
        <v>#VALUE!</v>
      </c>
      <c r="AV244" t="e">
        <f>AND('STERLING CATALOG - DRY '!G5490,"AAAAAA/1di8=")</f>
        <v>#VALUE!</v>
      </c>
      <c r="AW244" t="e">
        <f>AND('STERLING CATALOG - DRY '!H5490,"AAAAAA/1djA=")</f>
        <v>#VALUE!</v>
      </c>
      <c r="AX244" t="e">
        <f>AND('STERLING CATALOG - DRY '!I5490,"AAAAAA/1djE=")</f>
        <v>#VALUE!</v>
      </c>
      <c r="AY244" t="e">
        <f>AND('STERLING CATALOG - DRY '!J5490,"AAAAAA/1djI=")</f>
        <v>#VALUE!</v>
      </c>
      <c r="AZ244">
        <f>IF('STERLING CATALOG - DRY '!5491:5491,"AAAAAA/1djM=",0)</f>
        <v>0</v>
      </c>
      <c r="BA244" t="e">
        <f>AND('STERLING CATALOG - DRY '!A5491,"AAAAAA/1djQ=")</f>
        <v>#VALUE!</v>
      </c>
      <c r="BB244" t="e">
        <f>AND('STERLING CATALOG - DRY '!B5491,"AAAAAA/1djU=")</f>
        <v>#VALUE!</v>
      </c>
      <c r="BC244" t="e">
        <f>AND('STERLING CATALOG - DRY '!C5491,"AAAAAA/1djY=")</f>
        <v>#VALUE!</v>
      </c>
      <c r="BD244" t="e">
        <f>AND('STERLING CATALOG - DRY '!D5491,"AAAAAA/1djc=")</f>
        <v>#VALUE!</v>
      </c>
      <c r="BE244" t="e">
        <f>AND('STERLING CATALOG - DRY '!E5491,"AAAAAA/1djg=")</f>
        <v>#VALUE!</v>
      </c>
      <c r="BF244" t="e">
        <f>AND('STERLING CATALOG - DRY '!F5491,"AAAAAA/1djk=")</f>
        <v>#VALUE!</v>
      </c>
      <c r="BG244" t="e">
        <f>AND('STERLING CATALOG - DRY '!G5491,"AAAAAA/1djo=")</f>
        <v>#VALUE!</v>
      </c>
      <c r="BH244" t="e">
        <f>AND('STERLING CATALOG - DRY '!H5491,"AAAAAA/1djs=")</f>
        <v>#VALUE!</v>
      </c>
      <c r="BI244" t="e">
        <f>AND('STERLING CATALOG - DRY '!I5491,"AAAAAA/1djw=")</f>
        <v>#VALUE!</v>
      </c>
      <c r="BJ244" t="e">
        <f>AND('STERLING CATALOG - DRY '!J5491,"AAAAAA/1dj0=")</f>
        <v>#VALUE!</v>
      </c>
      <c r="BK244">
        <f>IF('STERLING CATALOG - DRY '!5492:5492,"AAAAAA/1dj4=",0)</f>
        <v>0</v>
      </c>
      <c r="BL244" t="e">
        <f>AND('STERLING CATALOG - DRY '!A5492,"AAAAAA/1dj8=")</f>
        <v>#VALUE!</v>
      </c>
      <c r="BM244" t="e">
        <f>AND('STERLING CATALOG - DRY '!B5492,"AAAAAA/1dkA=")</f>
        <v>#VALUE!</v>
      </c>
      <c r="BN244" t="e">
        <f>AND('STERLING CATALOG - DRY '!C5492,"AAAAAA/1dkE=")</f>
        <v>#VALUE!</v>
      </c>
      <c r="BO244" t="e">
        <f>AND('STERLING CATALOG - DRY '!D5492,"AAAAAA/1dkI=")</f>
        <v>#VALUE!</v>
      </c>
      <c r="BP244" t="e">
        <f>AND('STERLING CATALOG - DRY '!E5492,"AAAAAA/1dkM=")</f>
        <v>#VALUE!</v>
      </c>
      <c r="BQ244" t="e">
        <f>AND('STERLING CATALOG - DRY '!F5492,"AAAAAA/1dkQ=")</f>
        <v>#VALUE!</v>
      </c>
      <c r="BR244" t="e">
        <f>AND('STERLING CATALOG - DRY '!G5492,"AAAAAA/1dkU=")</f>
        <v>#VALUE!</v>
      </c>
      <c r="BS244" t="e">
        <f>AND('STERLING CATALOG - DRY '!H5492,"AAAAAA/1dkY=")</f>
        <v>#VALUE!</v>
      </c>
      <c r="BT244" t="e">
        <f>AND('STERLING CATALOG - DRY '!I5492,"AAAAAA/1dkc=")</f>
        <v>#VALUE!</v>
      </c>
      <c r="BU244" t="e">
        <f>AND('STERLING CATALOG - DRY '!J5492,"AAAAAA/1dkg=")</f>
        <v>#VALUE!</v>
      </c>
      <c r="BV244">
        <f>IF('STERLING CATALOG - DRY '!5493:5493,"AAAAAA/1dkk=",0)</f>
        <v>0</v>
      </c>
      <c r="BW244" t="e">
        <f>AND('STERLING CATALOG - DRY '!A5493,"AAAAAA/1dko=")</f>
        <v>#VALUE!</v>
      </c>
      <c r="BX244" t="e">
        <f>AND('STERLING CATALOG - DRY '!B5493,"AAAAAA/1dks=")</f>
        <v>#VALUE!</v>
      </c>
      <c r="BY244" t="e">
        <f>AND('STERLING CATALOG - DRY '!C5493,"AAAAAA/1dkw=")</f>
        <v>#VALUE!</v>
      </c>
      <c r="BZ244" t="e">
        <f>AND('STERLING CATALOG - DRY '!D5493,"AAAAAA/1dk0=")</f>
        <v>#VALUE!</v>
      </c>
      <c r="CA244" t="e">
        <f>AND('STERLING CATALOG - DRY '!E5493,"AAAAAA/1dk4=")</f>
        <v>#VALUE!</v>
      </c>
      <c r="CB244" t="e">
        <f>AND('STERLING CATALOG - DRY '!F5493,"AAAAAA/1dk8=")</f>
        <v>#VALUE!</v>
      </c>
      <c r="CC244" t="e">
        <f>AND('STERLING CATALOG - DRY '!G5493,"AAAAAA/1dlA=")</f>
        <v>#VALUE!</v>
      </c>
      <c r="CD244" t="e">
        <f>AND('STERLING CATALOG - DRY '!H5493,"AAAAAA/1dlE=")</f>
        <v>#VALUE!</v>
      </c>
      <c r="CE244" t="e">
        <f>AND('STERLING CATALOG - DRY '!I5493,"AAAAAA/1dlI=")</f>
        <v>#VALUE!</v>
      </c>
      <c r="CF244" t="e">
        <f>AND('STERLING CATALOG - DRY '!J5493,"AAAAAA/1dlM=")</f>
        <v>#VALUE!</v>
      </c>
      <c r="CG244">
        <f>IF('STERLING CATALOG - DRY '!5494:5494,"AAAAAA/1dlQ=",0)</f>
        <v>0</v>
      </c>
      <c r="CH244" t="e">
        <f>AND('STERLING CATALOG - DRY '!A5494,"AAAAAA/1dlU=")</f>
        <v>#VALUE!</v>
      </c>
      <c r="CI244" t="e">
        <f>AND('STERLING CATALOG - DRY '!B5494,"AAAAAA/1dlY=")</f>
        <v>#VALUE!</v>
      </c>
      <c r="CJ244" t="e">
        <f>AND('STERLING CATALOG - DRY '!C5494,"AAAAAA/1dlc=")</f>
        <v>#VALUE!</v>
      </c>
      <c r="CK244" t="e">
        <f>AND('STERLING CATALOG - DRY '!D5494,"AAAAAA/1dlg=")</f>
        <v>#VALUE!</v>
      </c>
      <c r="CL244" t="e">
        <f>AND('STERLING CATALOG - DRY '!E5494,"AAAAAA/1dlk=")</f>
        <v>#VALUE!</v>
      </c>
      <c r="CM244" t="e">
        <f>AND('STERLING CATALOG - DRY '!F5494,"AAAAAA/1dlo=")</f>
        <v>#VALUE!</v>
      </c>
      <c r="CN244" t="e">
        <f>AND('STERLING CATALOG - DRY '!G5494,"AAAAAA/1dls=")</f>
        <v>#VALUE!</v>
      </c>
      <c r="CO244" t="e">
        <f>AND('STERLING CATALOG - DRY '!H5494,"AAAAAA/1dlw=")</f>
        <v>#VALUE!</v>
      </c>
      <c r="CP244" t="e">
        <f>AND('STERLING CATALOG - DRY '!I5494,"AAAAAA/1dl0=")</f>
        <v>#VALUE!</v>
      </c>
      <c r="CQ244" t="e">
        <f>AND('STERLING CATALOG - DRY '!J5494,"AAAAAA/1dl4=")</f>
        <v>#VALUE!</v>
      </c>
      <c r="CR244">
        <f>IF('STERLING CATALOG - DRY '!5495:5495,"AAAAAA/1dl8=",0)</f>
        <v>0</v>
      </c>
      <c r="CS244" t="e">
        <f>AND('STERLING CATALOG - DRY '!A5495,"AAAAAA/1dmA=")</f>
        <v>#VALUE!</v>
      </c>
      <c r="CT244" t="e">
        <f>AND('STERLING CATALOG - DRY '!B5495,"AAAAAA/1dmE=")</f>
        <v>#VALUE!</v>
      </c>
      <c r="CU244" t="e">
        <f>AND('STERLING CATALOG - DRY '!C5495,"AAAAAA/1dmI=")</f>
        <v>#VALUE!</v>
      </c>
      <c r="CV244" t="e">
        <f>AND('STERLING CATALOG - DRY '!D5495,"AAAAAA/1dmM=")</f>
        <v>#VALUE!</v>
      </c>
      <c r="CW244" t="e">
        <f>AND('STERLING CATALOG - DRY '!E5495,"AAAAAA/1dmQ=")</f>
        <v>#VALUE!</v>
      </c>
      <c r="CX244">
        <f>IF('STERLING CATALOG - DRY '!5496:5496,"AAAAAA/1dmU=",0)</f>
        <v>0</v>
      </c>
      <c r="CY244" t="e">
        <f>AND('STERLING CATALOG - DRY '!A5496,"AAAAAA/1dmY=")</f>
        <v>#VALUE!</v>
      </c>
      <c r="CZ244" t="e">
        <f>AND('STERLING CATALOG - DRY '!B5496,"AAAAAA/1dmc=")</f>
        <v>#VALUE!</v>
      </c>
      <c r="DA244" t="e">
        <f>AND('STERLING CATALOG - DRY '!C5496,"AAAAAA/1dmg=")</f>
        <v>#VALUE!</v>
      </c>
      <c r="DB244" t="e">
        <f>AND('STERLING CATALOG - DRY '!D5496,"AAAAAA/1dmk=")</f>
        <v>#VALUE!</v>
      </c>
      <c r="DC244" t="e">
        <f>AND('STERLING CATALOG - DRY '!E5496,"AAAAAA/1dmo=")</f>
        <v>#VALUE!</v>
      </c>
      <c r="DD244">
        <f>IF('STERLING CATALOG - DRY '!5497:5497,"AAAAAA/1dms=",0)</f>
        <v>0</v>
      </c>
      <c r="DE244" t="e">
        <f>AND('STERLING CATALOG - DRY '!A5497,"AAAAAA/1dmw=")</f>
        <v>#VALUE!</v>
      </c>
      <c r="DF244" t="e">
        <f>AND('STERLING CATALOG - DRY '!B5497,"AAAAAA/1dm0=")</f>
        <v>#VALUE!</v>
      </c>
      <c r="DG244" t="e">
        <f>AND('STERLING CATALOG - DRY '!C5497,"AAAAAA/1dm4=")</f>
        <v>#VALUE!</v>
      </c>
      <c r="DH244" t="e">
        <f>AND('STERLING CATALOG - DRY '!D5497,"AAAAAA/1dm8=")</f>
        <v>#VALUE!</v>
      </c>
      <c r="DI244" t="e">
        <f>AND('STERLING CATALOG - DRY '!E5497,"AAAAAA/1dnA=")</f>
        <v>#VALUE!</v>
      </c>
      <c r="DJ244">
        <f>IF('STERLING CATALOG - DRY '!5498:5498,"AAAAAA/1dnE=",0)</f>
        <v>0</v>
      </c>
      <c r="DK244" t="e">
        <f>AND('STERLING CATALOG - DRY '!A5498,"AAAAAA/1dnI=")</f>
        <v>#VALUE!</v>
      </c>
      <c r="DL244" t="e">
        <f>AND('STERLING CATALOG - DRY '!B5498,"AAAAAA/1dnM=")</f>
        <v>#VALUE!</v>
      </c>
      <c r="DM244" t="e">
        <f>AND('STERLING CATALOG - DRY '!C5498,"AAAAAA/1dnQ=")</f>
        <v>#VALUE!</v>
      </c>
      <c r="DN244" t="e">
        <f>AND('STERLING CATALOG - DRY '!D5498,"AAAAAA/1dnU=")</f>
        <v>#VALUE!</v>
      </c>
      <c r="DO244" t="e">
        <f>AND('STERLING CATALOG - DRY '!E5498,"AAAAAA/1dnY=")</f>
        <v>#VALUE!</v>
      </c>
      <c r="DP244">
        <f>IF('STERLING CATALOG - DRY '!5499:5499,"AAAAAA/1dnc=",0)</f>
        <v>0</v>
      </c>
      <c r="DQ244" t="e">
        <f>AND('STERLING CATALOG - DRY '!A5499,"AAAAAA/1dng=")</f>
        <v>#VALUE!</v>
      </c>
      <c r="DR244" t="e">
        <f>AND('STERLING CATALOG - DRY '!B5499,"AAAAAA/1dnk=")</f>
        <v>#VALUE!</v>
      </c>
      <c r="DS244" t="e">
        <f>AND('STERLING CATALOG - DRY '!C5499,"AAAAAA/1dno=")</f>
        <v>#VALUE!</v>
      </c>
      <c r="DT244" t="e">
        <f>AND('STERLING CATALOG - DRY '!D5499,"AAAAAA/1dns=")</f>
        <v>#VALUE!</v>
      </c>
      <c r="DU244" t="e">
        <f>AND('STERLING CATALOG - DRY '!E5499,"AAAAAA/1dnw=")</f>
        <v>#VALUE!</v>
      </c>
      <c r="DV244">
        <f>IF('STERLING CATALOG - DRY '!5500:5500,"AAAAAA/1dn0=",0)</f>
        <v>0</v>
      </c>
      <c r="DW244" t="e">
        <f>AND('STERLING CATALOG - DRY '!A5500,"AAAAAA/1dn4=")</f>
        <v>#VALUE!</v>
      </c>
      <c r="DX244" t="e">
        <f>AND('STERLING CATALOG - DRY '!B5500,"AAAAAA/1dn8=")</f>
        <v>#VALUE!</v>
      </c>
      <c r="DY244" t="e">
        <f>AND('STERLING CATALOG - DRY '!C5500,"AAAAAA/1doA=")</f>
        <v>#VALUE!</v>
      </c>
      <c r="DZ244" t="e">
        <f>AND('STERLING CATALOG - DRY '!D5500,"AAAAAA/1doE=")</f>
        <v>#VALUE!</v>
      </c>
      <c r="EA244" t="e">
        <f>AND('STERLING CATALOG - DRY '!E5500,"AAAAAA/1doI=")</f>
        <v>#VALUE!</v>
      </c>
      <c r="EB244">
        <f>IF('STERLING CATALOG - DRY '!5501:5501,"AAAAAA/1doM=",0)</f>
        <v>0</v>
      </c>
      <c r="EC244" t="e">
        <f>AND('STERLING CATALOG - DRY '!A5501,"AAAAAA/1doQ=")</f>
        <v>#VALUE!</v>
      </c>
      <c r="ED244" t="e">
        <f>AND('STERLING CATALOG - DRY '!B5501,"AAAAAA/1doU=")</f>
        <v>#VALUE!</v>
      </c>
      <c r="EE244" t="e">
        <f>AND('STERLING CATALOG - DRY '!C5501,"AAAAAA/1doY=")</f>
        <v>#VALUE!</v>
      </c>
      <c r="EF244" t="e">
        <f>AND('STERLING CATALOG - DRY '!D5501,"AAAAAA/1doc=")</f>
        <v>#VALUE!</v>
      </c>
      <c r="EG244" t="e">
        <f>AND('STERLING CATALOG - DRY '!E5501,"AAAAAA/1dog=")</f>
        <v>#VALUE!</v>
      </c>
      <c r="EH244">
        <f>IF('STERLING CATALOG - DRY '!5502:5502,"AAAAAA/1dok=",0)</f>
        <v>0</v>
      </c>
      <c r="EI244" t="e">
        <f>AND('STERLING CATALOG - DRY '!A5502,"AAAAAA/1doo=")</f>
        <v>#VALUE!</v>
      </c>
      <c r="EJ244" t="e">
        <f>AND('STERLING CATALOG - DRY '!B5502,"AAAAAA/1dos=")</f>
        <v>#VALUE!</v>
      </c>
      <c r="EK244" t="e">
        <f>AND('STERLING CATALOG - DRY '!C5502,"AAAAAA/1dow=")</f>
        <v>#VALUE!</v>
      </c>
      <c r="EL244" t="e">
        <f>AND('STERLING CATALOG - DRY '!D5502,"AAAAAA/1do0=")</f>
        <v>#VALUE!</v>
      </c>
      <c r="EM244" t="e">
        <f>AND('STERLING CATALOG - DRY '!E5502,"AAAAAA/1do4=")</f>
        <v>#VALUE!</v>
      </c>
      <c r="EN244">
        <f>IF('STERLING CATALOG - DRY '!5503:5503,"AAAAAA/1do8=",0)</f>
        <v>0</v>
      </c>
      <c r="EO244" t="e">
        <f>AND('STERLING CATALOG - DRY '!A5503,"AAAAAA/1dpA=")</f>
        <v>#VALUE!</v>
      </c>
      <c r="EP244" t="e">
        <f>AND('STERLING CATALOG - DRY '!B5503,"AAAAAA/1dpE=")</f>
        <v>#VALUE!</v>
      </c>
      <c r="EQ244" t="e">
        <f>AND('STERLING CATALOG - DRY '!C5503,"AAAAAA/1dpI=")</f>
        <v>#VALUE!</v>
      </c>
      <c r="ER244" t="e">
        <f>AND('STERLING CATALOG - DRY '!D5503,"AAAAAA/1dpM=")</f>
        <v>#VALUE!</v>
      </c>
      <c r="ES244" t="e">
        <f>AND('STERLING CATALOG - DRY '!E5503,"AAAAAA/1dpQ=")</f>
        <v>#VALUE!</v>
      </c>
      <c r="ET244">
        <f>IF('STERLING CATALOG - DRY '!5504:5504,"AAAAAA/1dpU=",0)</f>
        <v>0</v>
      </c>
      <c r="EU244" t="e">
        <f>AND('STERLING CATALOG - DRY '!A5504,"AAAAAA/1dpY=")</f>
        <v>#VALUE!</v>
      </c>
      <c r="EV244" t="e">
        <f>AND('STERLING CATALOG - DRY '!B5504,"AAAAAA/1dpc=")</f>
        <v>#VALUE!</v>
      </c>
      <c r="EW244" t="e">
        <f>AND('STERLING CATALOG - DRY '!C5504,"AAAAAA/1dpg=")</f>
        <v>#VALUE!</v>
      </c>
      <c r="EX244" t="e">
        <f>AND('STERLING CATALOG - DRY '!D5504,"AAAAAA/1dpk=")</f>
        <v>#VALUE!</v>
      </c>
      <c r="EY244" t="e">
        <f>AND('STERLING CATALOG - DRY '!E5504,"AAAAAA/1dpo=")</f>
        <v>#VALUE!</v>
      </c>
      <c r="EZ244">
        <f>IF('STERLING CATALOG - DRY '!5505:5505,"AAAAAA/1dps=",0)</f>
        <v>0</v>
      </c>
      <c r="FA244" t="e">
        <f>AND('STERLING CATALOG - DRY '!A5505,"AAAAAA/1dpw=")</f>
        <v>#VALUE!</v>
      </c>
      <c r="FB244" t="e">
        <f>AND('STERLING CATALOG - DRY '!B5505,"AAAAAA/1dp0=")</f>
        <v>#VALUE!</v>
      </c>
      <c r="FC244" t="e">
        <f>AND('STERLING CATALOG - DRY '!C5505,"AAAAAA/1dp4=")</f>
        <v>#VALUE!</v>
      </c>
      <c r="FD244" t="e">
        <f>AND('STERLING CATALOG - DRY '!D5505,"AAAAAA/1dp8=")</f>
        <v>#VALUE!</v>
      </c>
      <c r="FE244" t="e">
        <f>AND('STERLING CATALOG - DRY '!E5505,"AAAAAA/1dqA=")</f>
        <v>#VALUE!</v>
      </c>
      <c r="FF244">
        <f>IF('STERLING CATALOG - DRY '!5506:5506,"AAAAAA/1dqE=",0)</f>
        <v>0</v>
      </c>
      <c r="FG244" t="e">
        <f>AND('STERLING CATALOG - DRY '!A5506,"AAAAAA/1dqI=")</f>
        <v>#VALUE!</v>
      </c>
      <c r="FH244" t="e">
        <f>AND('STERLING CATALOG - DRY '!B5506,"AAAAAA/1dqM=")</f>
        <v>#VALUE!</v>
      </c>
      <c r="FI244" t="e">
        <f>AND('STERLING CATALOG - DRY '!C5506,"AAAAAA/1dqQ=")</f>
        <v>#VALUE!</v>
      </c>
      <c r="FJ244" t="e">
        <f>AND('STERLING CATALOG - DRY '!D5506,"AAAAAA/1dqU=")</f>
        <v>#VALUE!</v>
      </c>
      <c r="FK244" t="e">
        <f>AND('STERLING CATALOG - DRY '!E5506,"AAAAAA/1dqY=")</f>
        <v>#VALUE!</v>
      </c>
      <c r="FL244">
        <f>IF('STERLING CATALOG - DRY '!5507:5507,"AAAAAA/1dqc=",0)</f>
        <v>0</v>
      </c>
      <c r="FM244" t="e">
        <f>AND('STERLING CATALOG - DRY '!A5507,"AAAAAA/1dqg=")</f>
        <v>#VALUE!</v>
      </c>
      <c r="FN244" t="e">
        <f>AND('STERLING CATALOG - DRY '!B5507,"AAAAAA/1dqk=")</f>
        <v>#VALUE!</v>
      </c>
      <c r="FO244" t="e">
        <f>AND('STERLING CATALOG - DRY '!C5507,"AAAAAA/1dqo=")</f>
        <v>#VALUE!</v>
      </c>
      <c r="FP244" t="e">
        <f>AND('STERLING CATALOG - DRY '!D5507,"AAAAAA/1dqs=")</f>
        <v>#VALUE!</v>
      </c>
      <c r="FQ244" t="e">
        <f>AND('STERLING CATALOG - DRY '!E5507,"AAAAAA/1dqw=")</f>
        <v>#VALUE!</v>
      </c>
      <c r="FR244">
        <f>IF('STERLING CATALOG - DRY '!5508:5508,"AAAAAA/1dq0=",0)</f>
        <v>0</v>
      </c>
      <c r="FS244" t="e">
        <f>AND('STERLING CATALOG - DRY '!A5508,"AAAAAA/1dq4=")</f>
        <v>#VALUE!</v>
      </c>
      <c r="FT244" t="e">
        <f>AND('STERLING CATALOG - DRY '!B5508,"AAAAAA/1dq8=")</f>
        <v>#VALUE!</v>
      </c>
      <c r="FU244" t="e">
        <f>AND('STERLING CATALOG - DRY '!C5508,"AAAAAA/1drA=")</f>
        <v>#VALUE!</v>
      </c>
      <c r="FV244" t="e">
        <f>AND('STERLING CATALOG - DRY '!D5508,"AAAAAA/1drE=")</f>
        <v>#VALUE!</v>
      </c>
      <c r="FW244" t="e">
        <f>AND('STERLING CATALOG - DRY '!E5508,"AAAAAA/1drI=")</f>
        <v>#VALUE!</v>
      </c>
      <c r="FX244">
        <f>IF('STERLING CATALOG - DRY '!5509:5509,"AAAAAA/1drM=",0)</f>
        <v>0</v>
      </c>
      <c r="FY244" t="e">
        <f>AND('STERLING CATALOG - DRY '!A5509,"AAAAAA/1drQ=")</f>
        <v>#VALUE!</v>
      </c>
      <c r="FZ244" t="e">
        <f>AND('STERLING CATALOG - DRY '!B5509,"AAAAAA/1drU=")</f>
        <v>#VALUE!</v>
      </c>
      <c r="GA244" t="e">
        <f>AND('STERLING CATALOG - DRY '!C5509,"AAAAAA/1drY=")</f>
        <v>#VALUE!</v>
      </c>
      <c r="GB244" t="e">
        <f>AND('STERLING CATALOG - DRY '!D5509,"AAAAAA/1drc=")</f>
        <v>#VALUE!</v>
      </c>
      <c r="GC244" t="e">
        <f>AND('STERLING CATALOG - DRY '!E5509,"AAAAAA/1drg=")</f>
        <v>#VALUE!</v>
      </c>
      <c r="GD244">
        <f>IF('STERLING CATALOG - DRY '!5510:5510,"AAAAAA/1drk=",0)</f>
        <v>0</v>
      </c>
      <c r="GE244" t="e">
        <f>AND('STERLING CATALOG - DRY '!A5510,"AAAAAA/1dro=")</f>
        <v>#VALUE!</v>
      </c>
      <c r="GF244" t="e">
        <f>AND('STERLING CATALOG - DRY '!B5510,"AAAAAA/1drs=")</f>
        <v>#VALUE!</v>
      </c>
      <c r="GG244" t="e">
        <f>AND('STERLING CATALOG - DRY '!C5510,"AAAAAA/1drw=")</f>
        <v>#VALUE!</v>
      </c>
      <c r="GH244" t="e">
        <f>AND('STERLING CATALOG - DRY '!D5510,"AAAAAA/1dr0=")</f>
        <v>#VALUE!</v>
      </c>
      <c r="GI244" t="e">
        <f>AND('STERLING CATALOG - DRY '!E5510,"AAAAAA/1dr4=")</f>
        <v>#VALUE!</v>
      </c>
      <c r="GJ244" t="str">
        <f>IF('STERLING CATALOG - DRY '!A:A,"AAAAAA/1dr8=",0)</f>
        <v>AAAAAA/1dr8=</v>
      </c>
      <c r="GK244" t="str">
        <f>IF('STERLING CATALOG - DRY '!B:B,"AAAAAA/1dsA=",0)</f>
        <v>AAAAAA/1dsA=</v>
      </c>
      <c r="GL244" t="str">
        <f>IF('STERLING CATALOG - DRY '!C:C,"AAAAAA/1dsE=",0)</f>
        <v>AAAAAA/1dsE=</v>
      </c>
      <c r="GM244" t="e">
        <f>IF('STERLING CATALOG - DRY '!D:D,"AAAAAA/1dsI=",0)</f>
        <v>#VALUE!</v>
      </c>
      <c r="GN244" t="e">
        <f>IF('STERLING CATALOG - DRY '!E:E,"AAAAAA/1dsM=",0)</f>
        <v>#VALUE!</v>
      </c>
      <c r="GO244" t="str">
        <f>IF('STERLING CATALOG - DRY '!F:F,"AAAAAA/1dsQ=",0)</f>
        <v>AAAAAA/1dsQ=</v>
      </c>
      <c r="GP244" t="str">
        <f>IF('STERLING CATALOG - DRY '!G:G,"AAAAAA/1dsU=",0)</f>
        <v>AAAAAA/1dsU=</v>
      </c>
      <c r="GQ244" t="str">
        <f>IF('STERLING CATALOG - DRY '!H:H,"AAAAAA/1dsY=",0)</f>
        <v>AAAAAA/1dsY=</v>
      </c>
      <c r="GR244" t="e">
        <f>IF('STERLING CATALOG - DRY '!I:I,"AAAAAA/1dsc=",0)</f>
        <v>#VALUE!</v>
      </c>
      <c r="GS244" t="e">
        <f>IF('STERLING CATALOG - DRY '!J:J,"AAAAAA/1dsg=",0)</f>
        <v>#VALUE!</v>
      </c>
      <c r="GT244">
        <f>IF('STERLING CATALOG - FZN &amp; CHILL'!1:1,"AAAAAA/1dsk=",0)</f>
        <v>0</v>
      </c>
      <c r="GU244" t="e">
        <f>AND('STERLING CATALOG - FZN &amp; CHILL'!A1,"AAAAAA/1dso=")</f>
        <v>#VALUE!</v>
      </c>
      <c r="GV244" t="e">
        <f>AND('STERLING CATALOG - FZN &amp; CHILL'!B1,"AAAAAA/1dss=")</f>
        <v>#VALUE!</v>
      </c>
      <c r="GW244" t="e">
        <f>AND('STERLING CATALOG - FZN &amp; CHILL'!C1,"AAAAAA/1dsw=")</f>
        <v>#VALUE!</v>
      </c>
      <c r="GX244" t="e">
        <f>AND('STERLING CATALOG - FZN &amp; CHILL'!D1,"AAAAAA/1ds0=")</f>
        <v>#VALUE!</v>
      </c>
      <c r="GY244" t="e">
        <f>AND('STERLING CATALOG - FZN &amp; CHILL'!E1,"AAAAAA/1ds4=")</f>
        <v>#VALUE!</v>
      </c>
      <c r="GZ244" t="e">
        <f>AND('STERLING CATALOG - FZN &amp; CHILL'!F1,"AAAAAA/1ds8=")</f>
        <v>#VALUE!</v>
      </c>
      <c r="HA244" t="e">
        <f>AND('STERLING CATALOG - FZN &amp; CHILL'!G1,"AAAAAA/1dtA=")</f>
        <v>#VALUE!</v>
      </c>
      <c r="HB244" t="e">
        <f>AND('STERLING CATALOG - FZN &amp; CHILL'!H1,"AAAAAA/1dtE=")</f>
        <v>#VALUE!</v>
      </c>
      <c r="HC244" t="e">
        <f>AND('STERLING CATALOG - FZN &amp; CHILL'!I1,"AAAAAA/1dtI=")</f>
        <v>#VALUE!</v>
      </c>
      <c r="HD244" t="e">
        <f>AND('STERLING CATALOG - FZN &amp; CHILL'!J1,"AAAAAA/1dtM=")</f>
        <v>#VALUE!</v>
      </c>
      <c r="HE244">
        <f>IF('STERLING CATALOG - FZN &amp; CHILL'!2:2,"AAAAAA/1dtQ=",0)</f>
        <v>0</v>
      </c>
      <c r="HF244" t="e">
        <f>AND('STERLING CATALOG - FZN &amp; CHILL'!A2,"AAAAAA/1dtU=")</f>
        <v>#VALUE!</v>
      </c>
      <c r="HG244" t="e">
        <f>AND('STERLING CATALOG - FZN &amp; CHILL'!B2,"AAAAAA/1dtY=")</f>
        <v>#VALUE!</v>
      </c>
      <c r="HH244" t="e">
        <f>AND('STERLING CATALOG - FZN &amp; CHILL'!C2,"AAAAAA/1dtc=")</f>
        <v>#VALUE!</v>
      </c>
      <c r="HI244" t="e">
        <f>AND('STERLING CATALOG - FZN &amp; CHILL'!D2,"AAAAAA/1dtg=")</f>
        <v>#VALUE!</v>
      </c>
      <c r="HJ244" t="e">
        <f>AND('STERLING CATALOG - FZN &amp; CHILL'!E2,"AAAAAA/1dtk=")</f>
        <v>#VALUE!</v>
      </c>
      <c r="HK244" t="e">
        <f>AND('STERLING CATALOG - FZN &amp; CHILL'!F2,"AAAAAA/1dto=")</f>
        <v>#VALUE!</v>
      </c>
      <c r="HL244" t="e">
        <f>AND('STERLING CATALOG - FZN &amp; CHILL'!G2,"AAAAAA/1dts=")</f>
        <v>#VALUE!</v>
      </c>
      <c r="HM244" t="e">
        <f>AND('STERLING CATALOG - FZN &amp; CHILL'!H2,"AAAAAA/1dtw=")</f>
        <v>#VALUE!</v>
      </c>
      <c r="HN244" t="e">
        <f>AND('STERLING CATALOG - FZN &amp; CHILL'!I2,"AAAAAA/1dt0=")</f>
        <v>#VALUE!</v>
      </c>
      <c r="HO244" t="e">
        <f>AND('STERLING CATALOG - FZN &amp; CHILL'!J2,"AAAAAA/1dt4=")</f>
        <v>#VALUE!</v>
      </c>
      <c r="HP244">
        <f>IF('STERLING CATALOG - FZN &amp; CHILL'!3:3,"AAAAAA/1dt8=",0)</f>
        <v>0</v>
      </c>
      <c r="HQ244" t="e">
        <f>AND('STERLING CATALOG - FZN &amp; CHILL'!A3,"AAAAAA/1duA=")</f>
        <v>#VALUE!</v>
      </c>
      <c r="HR244" t="e">
        <f>AND('STERLING CATALOG - FZN &amp; CHILL'!B3,"AAAAAA/1duE=")</f>
        <v>#VALUE!</v>
      </c>
      <c r="HS244" t="e">
        <f>AND('STERLING CATALOG - FZN &amp; CHILL'!C3,"AAAAAA/1duI=")</f>
        <v>#VALUE!</v>
      </c>
      <c r="HT244" t="e">
        <f>AND('STERLING CATALOG - FZN &amp; CHILL'!D3,"AAAAAA/1duM=")</f>
        <v>#VALUE!</v>
      </c>
      <c r="HU244" t="e">
        <f>AND('STERLING CATALOG - FZN &amp; CHILL'!E3,"AAAAAA/1duQ=")</f>
        <v>#VALUE!</v>
      </c>
      <c r="HV244" t="e">
        <f>AND('STERLING CATALOG - FZN &amp; CHILL'!F3,"AAAAAA/1duU=")</f>
        <v>#VALUE!</v>
      </c>
      <c r="HW244" t="e">
        <f>AND('STERLING CATALOG - FZN &amp; CHILL'!G3,"AAAAAA/1duY=")</f>
        <v>#VALUE!</v>
      </c>
      <c r="HX244" t="e">
        <f>AND('STERLING CATALOG - FZN &amp; CHILL'!H3,"AAAAAA/1duc=")</f>
        <v>#VALUE!</v>
      </c>
      <c r="HY244" t="e">
        <f>AND('STERLING CATALOG - FZN &amp; CHILL'!I3,"AAAAAA/1dug=")</f>
        <v>#VALUE!</v>
      </c>
      <c r="HZ244" t="e">
        <f>AND('STERLING CATALOG - FZN &amp; CHILL'!J3,"AAAAAA/1duk=")</f>
        <v>#VALUE!</v>
      </c>
      <c r="IA244">
        <f>IF('STERLING CATALOG - FZN &amp; CHILL'!4:4,"AAAAAA/1duo=",0)</f>
        <v>0</v>
      </c>
      <c r="IB244" t="e">
        <f>AND('STERLING CATALOG - FZN &amp; CHILL'!A4,"AAAAAA/1dus=")</f>
        <v>#VALUE!</v>
      </c>
      <c r="IC244" t="e">
        <f>AND('STERLING CATALOG - FZN &amp; CHILL'!B4,"AAAAAA/1duw=")</f>
        <v>#VALUE!</v>
      </c>
      <c r="ID244" t="e">
        <f>AND('STERLING CATALOG - FZN &amp; CHILL'!C4,"AAAAAA/1du0=")</f>
        <v>#VALUE!</v>
      </c>
      <c r="IE244" t="e">
        <f>AND('STERLING CATALOG - FZN &amp; CHILL'!D4,"AAAAAA/1du4=")</f>
        <v>#VALUE!</v>
      </c>
      <c r="IF244" t="e">
        <f>AND('STERLING CATALOG - FZN &amp; CHILL'!E4,"AAAAAA/1du8=")</f>
        <v>#VALUE!</v>
      </c>
      <c r="IG244" t="e">
        <f>AND('STERLING CATALOG - FZN &amp; CHILL'!F4,"AAAAAA/1dvA=")</f>
        <v>#VALUE!</v>
      </c>
      <c r="IH244" t="e">
        <f>AND('STERLING CATALOG - FZN &amp; CHILL'!G4,"AAAAAA/1dvE=")</f>
        <v>#VALUE!</v>
      </c>
      <c r="II244" t="e">
        <f>AND('STERLING CATALOG - FZN &amp; CHILL'!H4,"AAAAAA/1dvI=")</f>
        <v>#VALUE!</v>
      </c>
      <c r="IJ244" t="e">
        <f>AND('STERLING CATALOG - FZN &amp; CHILL'!I4,"AAAAAA/1dvM=")</f>
        <v>#VALUE!</v>
      </c>
      <c r="IK244" t="e">
        <f>AND('STERLING CATALOG - FZN &amp; CHILL'!J4,"AAAAAA/1dvQ=")</f>
        <v>#VALUE!</v>
      </c>
      <c r="IL244">
        <f>IF('STERLING CATALOG - FZN &amp; CHILL'!5:5,"AAAAAA/1dvU=",0)</f>
        <v>0</v>
      </c>
      <c r="IM244" t="e">
        <f>AND('STERLING CATALOG - FZN &amp; CHILL'!A5,"AAAAAA/1dvY=")</f>
        <v>#VALUE!</v>
      </c>
      <c r="IN244" t="e">
        <f>AND('STERLING CATALOG - FZN &amp; CHILL'!B5,"AAAAAA/1dvc=")</f>
        <v>#VALUE!</v>
      </c>
      <c r="IO244" t="e">
        <f>AND('STERLING CATALOG - FZN &amp; CHILL'!C5,"AAAAAA/1dvg=")</f>
        <v>#VALUE!</v>
      </c>
      <c r="IP244" t="e">
        <f>AND('STERLING CATALOG - FZN &amp; CHILL'!D5,"AAAAAA/1dvk=")</f>
        <v>#VALUE!</v>
      </c>
      <c r="IQ244" t="e">
        <f>AND('STERLING CATALOG - FZN &amp; CHILL'!E5,"AAAAAA/1dvo=")</f>
        <v>#VALUE!</v>
      </c>
      <c r="IR244" t="e">
        <f>AND('STERLING CATALOG - FZN &amp; CHILL'!F5,"AAAAAA/1dvs=")</f>
        <v>#VALUE!</v>
      </c>
      <c r="IS244" t="e">
        <f>AND('STERLING CATALOG - FZN &amp; CHILL'!G5,"AAAAAA/1dvw=")</f>
        <v>#VALUE!</v>
      </c>
      <c r="IT244" t="e">
        <f>AND('STERLING CATALOG - FZN &amp; CHILL'!H5,"AAAAAA/1dv0=")</f>
        <v>#VALUE!</v>
      </c>
      <c r="IU244" t="e">
        <f>AND('STERLING CATALOG - FZN &amp; CHILL'!I5,"AAAAAA/1dv4=")</f>
        <v>#VALUE!</v>
      </c>
      <c r="IV244" t="e">
        <f>AND('STERLING CATALOG - FZN &amp; CHILL'!J5,"AAAAAA/1dv8=")</f>
        <v>#VALUE!</v>
      </c>
    </row>
    <row r="245" spans="1:256">
      <c r="A245" t="str">
        <f>IF('STERLING CATALOG - FZN &amp; CHILL'!6:6,"AAAAAG2vjwA=",0)</f>
        <v>AAAAAG2vjwA=</v>
      </c>
      <c r="B245" t="e">
        <f>AND('STERLING CATALOG - FZN &amp; CHILL'!A6,"AAAAAG2vjwE=")</f>
        <v>#VALUE!</v>
      </c>
      <c r="C245" t="e">
        <f>AND('STERLING CATALOG - FZN &amp; CHILL'!B6,"AAAAAG2vjwI=")</f>
        <v>#VALUE!</v>
      </c>
      <c r="D245" t="e">
        <f>AND('STERLING CATALOG - FZN &amp; CHILL'!C6,"AAAAAG2vjwM=")</f>
        <v>#VALUE!</v>
      </c>
      <c r="E245" t="e">
        <f>AND('STERLING CATALOG - FZN &amp; CHILL'!D6,"AAAAAG2vjwQ=")</f>
        <v>#VALUE!</v>
      </c>
      <c r="F245" t="e">
        <f>AND('STERLING CATALOG - FZN &amp; CHILL'!E6,"AAAAAG2vjwU=")</f>
        <v>#VALUE!</v>
      </c>
      <c r="G245" t="e">
        <f>AND('STERLING CATALOG - FZN &amp; CHILL'!F6,"AAAAAG2vjwY=")</f>
        <v>#VALUE!</v>
      </c>
      <c r="H245" t="e">
        <f>AND('STERLING CATALOG - FZN &amp; CHILL'!G6,"AAAAAG2vjwc=")</f>
        <v>#VALUE!</v>
      </c>
      <c r="I245" t="e">
        <f>AND('STERLING CATALOG - FZN &amp; CHILL'!H6,"AAAAAG2vjwg=")</f>
        <v>#VALUE!</v>
      </c>
      <c r="J245" t="e">
        <f>AND('STERLING CATALOG - FZN &amp; CHILL'!I6,"AAAAAG2vjwk=")</f>
        <v>#VALUE!</v>
      </c>
      <c r="K245" t="e">
        <f>AND('STERLING CATALOG - FZN &amp; CHILL'!J6,"AAAAAG2vjwo=")</f>
        <v>#VALUE!</v>
      </c>
      <c r="L245">
        <f>IF('STERLING CATALOG - FZN &amp; CHILL'!7:7,"AAAAAG2vjws=",0)</f>
        <v>0</v>
      </c>
      <c r="M245" t="e">
        <f>AND('STERLING CATALOG - FZN &amp; CHILL'!A7,"AAAAAG2vjww=")</f>
        <v>#VALUE!</v>
      </c>
      <c r="N245" t="e">
        <f>AND('STERLING CATALOG - FZN &amp; CHILL'!B7,"AAAAAG2vjw0=")</f>
        <v>#VALUE!</v>
      </c>
      <c r="O245" t="e">
        <f>AND('STERLING CATALOG - FZN &amp; CHILL'!C7,"AAAAAG2vjw4=")</f>
        <v>#VALUE!</v>
      </c>
      <c r="P245" t="e">
        <f>AND('STERLING CATALOG - FZN &amp; CHILL'!D7,"AAAAAG2vjw8=")</f>
        <v>#VALUE!</v>
      </c>
      <c r="Q245" t="e">
        <f>AND('STERLING CATALOG - FZN &amp; CHILL'!E7,"AAAAAG2vjxA=")</f>
        <v>#VALUE!</v>
      </c>
      <c r="R245" t="e">
        <f>AND('STERLING CATALOG - FZN &amp; CHILL'!F7,"AAAAAG2vjxE=")</f>
        <v>#VALUE!</v>
      </c>
      <c r="S245" t="e">
        <f>AND('STERLING CATALOG - FZN &amp; CHILL'!G7,"AAAAAG2vjxI=")</f>
        <v>#VALUE!</v>
      </c>
      <c r="T245" t="e">
        <f>AND('STERLING CATALOG - FZN &amp; CHILL'!H7,"AAAAAG2vjxM=")</f>
        <v>#VALUE!</v>
      </c>
      <c r="U245" t="e">
        <f>AND('STERLING CATALOG - FZN &amp; CHILL'!I7,"AAAAAG2vjxQ=")</f>
        <v>#VALUE!</v>
      </c>
      <c r="V245" t="e">
        <f>AND('STERLING CATALOG - FZN &amp; CHILL'!J7,"AAAAAG2vjxU=")</f>
        <v>#VALUE!</v>
      </c>
      <c r="W245">
        <f>IF('STERLING CATALOG - FZN &amp; CHILL'!8:8,"AAAAAG2vjxY=",0)</f>
        <v>0</v>
      </c>
      <c r="X245" t="e">
        <f>AND('STERLING CATALOG - FZN &amp; CHILL'!A8,"AAAAAG2vjxc=")</f>
        <v>#VALUE!</v>
      </c>
      <c r="Y245" t="e">
        <f>AND('STERLING CATALOG - FZN &amp; CHILL'!B8,"AAAAAG2vjxg=")</f>
        <v>#VALUE!</v>
      </c>
      <c r="Z245" t="e">
        <f>AND('STERLING CATALOG - FZN &amp; CHILL'!C8,"AAAAAG2vjxk=")</f>
        <v>#VALUE!</v>
      </c>
      <c r="AA245" t="e">
        <f>AND('STERLING CATALOG - FZN &amp; CHILL'!D8,"AAAAAG2vjxo=")</f>
        <v>#VALUE!</v>
      </c>
      <c r="AB245" t="e">
        <f>AND('STERLING CATALOG - FZN &amp; CHILL'!E8,"AAAAAG2vjxs=")</f>
        <v>#VALUE!</v>
      </c>
      <c r="AC245" t="e">
        <f>AND('STERLING CATALOG - FZN &amp; CHILL'!F8,"AAAAAG2vjxw=")</f>
        <v>#VALUE!</v>
      </c>
      <c r="AD245" t="e">
        <f>AND('STERLING CATALOG - FZN &amp; CHILL'!G8,"AAAAAG2vjx0=")</f>
        <v>#VALUE!</v>
      </c>
      <c r="AE245" t="e">
        <f>AND('STERLING CATALOG - FZN &amp; CHILL'!H8,"AAAAAG2vjx4=")</f>
        <v>#VALUE!</v>
      </c>
      <c r="AF245" t="e">
        <f>AND('STERLING CATALOG - FZN &amp; CHILL'!I8,"AAAAAG2vjx8=")</f>
        <v>#VALUE!</v>
      </c>
      <c r="AG245" t="e">
        <f>AND('STERLING CATALOG - FZN &amp; CHILL'!J8,"AAAAAG2vjyA=")</f>
        <v>#VALUE!</v>
      </c>
      <c r="AH245">
        <f>IF('STERLING CATALOG - FZN &amp; CHILL'!9:9,"AAAAAG2vjyE=",0)</f>
        <v>0</v>
      </c>
      <c r="AI245" t="e">
        <f>AND('STERLING CATALOG - FZN &amp; CHILL'!A9,"AAAAAG2vjyI=")</f>
        <v>#VALUE!</v>
      </c>
      <c r="AJ245" t="e">
        <f>AND('STERLING CATALOG - FZN &amp; CHILL'!B9,"AAAAAG2vjyM=")</f>
        <v>#VALUE!</v>
      </c>
      <c r="AK245" t="e">
        <f>AND('STERLING CATALOG - FZN &amp; CHILL'!C9,"AAAAAG2vjyQ=")</f>
        <v>#VALUE!</v>
      </c>
      <c r="AL245" t="e">
        <f>AND('STERLING CATALOG - FZN &amp; CHILL'!D9,"AAAAAG2vjyU=")</f>
        <v>#VALUE!</v>
      </c>
      <c r="AM245" t="e">
        <f>AND('STERLING CATALOG - FZN &amp; CHILL'!E9,"AAAAAG2vjyY=")</f>
        <v>#VALUE!</v>
      </c>
      <c r="AN245" t="e">
        <f>AND('STERLING CATALOG - FZN &amp; CHILL'!F9,"AAAAAG2vjyc=")</f>
        <v>#VALUE!</v>
      </c>
      <c r="AO245" t="e">
        <f>AND('STERLING CATALOG - FZN &amp; CHILL'!G9,"AAAAAG2vjyg=")</f>
        <v>#VALUE!</v>
      </c>
      <c r="AP245" t="e">
        <f>AND('STERLING CATALOG - FZN &amp; CHILL'!H9,"AAAAAG2vjyk=")</f>
        <v>#VALUE!</v>
      </c>
      <c r="AQ245" t="e">
        <f>AND('STERLING CATALOG - FZN &amp; CHILL'!I9,"AAAAAG2vjyo=")</f>
        <v>#VALUE!</v>
      </c>
      <c r="AR245" t="e">
        <f>AND('STERLING CATALOG - FZN &amp; CHILL'!J9,"AAAAAG2vjys=")</f>
        <v>#VALUE!</v>
      </c>
      <c r="AS245">
        <f>IF('STERLING CATALOG - FZN &amp; CHILL'!10:10,"AAAAAG2vjyw=",0)</f>
        <v>0</v>
      </c>
      <c r="AT245" t="e">
        <f>AND('STERLING CATALOG - FZN &amp; CHILL'!A10,"AAAAAG2vjy0=")</f>
        <v>#VALUE!</v>
      </c>
      <c r="AU245" t="e">
        <f>AND('STERLING CATALOG - FZN &amp; CHILL'!B10,"AAAAAG2vjy4=")</f>
        <v>#VALUE!</v>
      </c>
      <c r="AV245" t="e">
        <f>AND('STERLING CATALOG - FZN &amp; CHILL'!C10,"AAAAAG2vjy8=")</f>
        <v>#VALUE!</v>
      </c>
      <c r="AW245" t="e">
        <f>AND('STERLING CATALOG - FZN &amp; CHILL'!D10,"AAAAAG2vjzA=")</f>
        <v>#VALUE!</v>
      </c>
      <c r="AX245" t="e">
        <f>AND('STERLING CATALOG - FZN &amp; CHILL'!E10,"AAAAAG2vjzE=")</f>
        <v>#VALUE!</v>
      </c>
      <c r="AY245" t="e">
        <f>AND('STERLING CATALOG - FZN &amp; CHILL'!F10,"AAAAAG2vjzI=")</f>
        <v>#VALUE!</v>
      </c>
      <c r="AZ245" t="e">
        <f>AND('STERLING CATALOG - FZN &amp; CHILL'!G10,"AAAAAG2vjzM=")</f>
        <v>#VALUE!</v>
      </c>
      <c r="BA245" t="e">
        <f>AND('STERLING CATALOG - FZN &amp; CHILL'!H10,"AAAAAG2vjzQ=")</f>
        <v>#VALUE!</v>
      </c>
      <c r="BB245" t="e">
        <f>AND('STERLING CATALOG - FZN &amp; CHILL'!I10,"AAAAAG2vjzU=")</f>
        <v>#VALUE!</v>
      </c>
      <c r="BC245" t="e">
        <f>AND('STERLING CATALOG - FZN &amp; CHILL'!J10,"AAAAAG2vjzY=")</f>
        <v>#VALUE!</v>
      </c>
      <c r="BD245">
        <f>IF('STERLING CATALOG - FZN &amp; CHILL'!11:11,"AAAAAG2vjzc=",0)</f>
        <v>0</v>
      </c>
      <c r="BE245" t="e">
        <f>AND('STERLING CATALOG - FZN &amp; CHILL'!A11,"AAAAAG2vjzg=")</f>
        <v>#VALUE!</v>
      </c>
      <c r="BF245" t="e">
        <f>AND('STERLING CATALOG - FZN &amp; CHILL'!B11,"AAAAAG2vjzk=")</f>
        <v>#VALUE!</v>
      </c>
      <c r="BG245" t="e">
        <f>AND('STERLING CATALOG - FZN &amp; CHILL'!C11,"AAAAAG2vjzo=")</f>
        <v>#VALUE!</v>
      </c>
      <c r="BH245" t="e">
        <f>AND('STERLING CATALOG - FZN &amp; CHILL'!D11,"AAAAAG2vjzs=")</f>
        <v>#VALUE!</v>
      </c>
      <c r="BI245" t="e">
        <f>AND('STERLING CATALOG - FZN &amp; CHILL'!E11,"AAAAAG2vjzw=")</f>
        <v>#VALUE!</v>
      </c>
      <c r="BJ245" t="e">
        <f>AND('STERLING CATALOG - FZN &amp; CHILL'!F11,"AAAAAG2vjz0=")</f>
        <v>#VALUE!</v>
      </c>
      <c r="BK245" t="e">
        <f>AND('STERLING CATALOG - FZN &amp; CHILL'!G11,"AAAAAG2vjz4=")</f>
        <v>#VALUE!</v>
      </c>
      <c r="BL245" t="e">
        <f>AND('STERLING CATALOG - FZN &amp; CHILL'!H11,"AAAAAG2vjz8=")</f>
        <v>#VALUE!</v>
      </c>
      <c r="BM245" t="e">
        <f>AND('STERLING CATALOG - FZN &amp; CHILL'!I11,"AAAAAG2vj0A=")</f>
        <v>#VALUE!</v>
      </c>
      <c r="BN245" t="e">
        <f>AND('STERLING CATALOG - FZN &amp; CHILL'!J11,"AAAAAG2vj0E=")</f>
        <v>#VALUE!</v>
      </c>
      <c r="BO245">
        <f>IF('STERLING CATALOG - FZN &amp; CHILL'!12:12,"AAAAAG2vj0I=",0)</f>
        <v>0</v>
      </c>
      <c r="BP245" t="e">
        <f>AND('STERLING CATALOG - FZN &amp; CHILL'!A12,"AAAAAG2vj0M=")</f>
        <v>#VALUE!</v>
      </c>
      <c r="BQ245" t="e">
        <f>AND('STERLING CATALOG - FZN &amp; CHILL'!B12,"AAAAAG2vj0Q=")</f>
        <v>#VALUE!</v>
      </c>
      <c r="BR245" t="e">
        <f>AND('STERLING CATALOG - FZN &amp; CHILL'!C12,"AAAAAG2vj0U=")</f>
        <v>#VALUE!</v>
      </c>
      <c r="BS245" t="e">
        <f>AND('STERLING CATALOG - FZN &amp; CHILL'!D12,"AAAAAG2vj0Y=")</f>
        <v>#VALUE!</v>
      </c>
      <c r="BT245" t="e">
        <f>AND('STERLING CATALOG - FZN &amp; CHILL'!E12,"AAAAAG2vj0c=")</f>
        <v>#VALUE!</v>
      </c>
      <c r="BU245" t="e">
        <f>AND('STERLING CATALOG - FZN &amp; CHILL'!F12,"AAAAAG2vj0g=")</f>
        <v>#VALUE!</v>
      </c>
      <c r="BV245" t="e">
        <f>AND('STERLING CATALOG - FZN &amp; CHILL'!G12,"AAAAAG2vj0k=")</f>
        <v>#VALUE!</v>
      </c>
      <c r="BW245" t="e">
        <f>AND('STERLING CATALOG - FZN &amp; CHILL'!H12,"AAAAAG2vj0o=")</f>
        <v>#VALUE!</v>
      </c>
      <c r="BX245" t="e">
        <f>AND('STERLING CATALOG - FZN &amp; CHILL'!I12,"AAAAAG2vj0s=")</f>
        <v>#VALUE!</v>
      </c>
      <c r="BY245" t="e">
        <f>AND('STERLING CATALOG - FZN &amp; CHILL'!J12,"AAAAAG2vj0w=")</f>
        <v>#VALUE!</v>
      </c>
      <c r="BZ245">
        <f>IF('STERLING CATALOG - FZN &amp; CHILL'!13:13,"AAAAAG2vj00=",0)</f>
        <v>0</v>
      </c>
      <c r="CA245" t="e">
        <f>AND('STERLING CATALOG - FZN &amp; CHILL'!A13,"AAAAAG2vj04=")</f>
        <v>#VALUE!</v>
      </c>
      <c r="CB245" t="e">
        <f>AND('STERLING CATALOG - FZN &amp; CHILL'!B13,"AAAAAG2vj08=")</f>
        <v>#VALUE!</v>
      </c>
      <c r="CC245" t="e">
        <f>AND('STERLING CATALOG - FZN &amp; CHILL'!C13,"AAAAAG2vj1A=")</f>
        <v>#VALUE!</v>
      </c>
      <c r="CD245" t="e">
        <f>AND('STERLING CATALOG - FZN &amp; CHILL'!D13,"AAAAAG2vj1E=")</f>
        <v>#VALUE!</v>
      </c>
      <c r="CE245" t="e">
        <f>AND('STERLING CATALOG - FZN &amp; CHILL'!E13,"AAAAAG2vj1I=")</f>
        <v>#VALUE!</v>
      </c>
      <c r="CF245" t="e">
        <f>AND('STERLING CATALOG - FZN &amp; CHILL'!F13,"AAAAAG2vj1M=")</f>
        <v>#VALUE!</v>
      </c>
      <c r="CG245" t="e">
        <f>AND('STERLING CATALOG - FZN &amp; CHILL'!G13,"AAAAAG2vj1Q=")</f>
        <v>#VALUE!</v>
      </c>
      <c r="CH245" t="e">
        <f>AND('STERLING CATALOG - FZN &amp; CHILL'!H13,"AAAAAG2vj1U=")</f>
        <v>#VALUE!</v>
      </c>
      <c r="CI245" t="e">
        <f>AND('STERLING CATALOG - FZN &amp; CHILL'!I13,"AAAAAG2vj1Y=")</f>
        <v>#VALUE!</v>
      </c>
      <c r="CJ245" t="e">
        <f>AND('STERLING CATALOG - FZN &amp; CHILL'!J13,"AAAAAG2vj1c=")</f>
        <v>#VALUE!</v>
      </c>
      <c r="CK245">
        <f>IF('STERLING CATALOG - FZN &amp; CHILL'!14:14,"AAAAAG2vj1g=",0)</f>
        <v>0</v>
      </c>
      <c r="CL245" t="e">
        <f>AND('STERLING CATALOG - FZN &amp; CHILL'!A14,"AAAAAG2vj1k=")</f>
        <v>#VALUE!</v>
      </c>
      <c r="CM245" t="e">
        <f>AND('STERLING CATALOG - FZN &amp; CHILL'!B14,"AAAAAG2vj1o=")</f>
        <v>#VALUE!</v>
      </c>
      <c r="CN245" t="e">
        <f>AND('STERLING CATALOG - FZN &amp; CHILL'!C14,"AAAAAG2vj1s=")</f>
        <v>#VALUE!</v>
      </c>
      <c r="CO245" t="e">
        <f>AND('STERLING CATALOG - FZN &amp; CHILL'!D14,"AAAAAG2vj1w=")</f>
        <v>#VALUE!</v>
      </c>
      <c r="CP245" t="e">
        <f>AND('STERLING CATALOG - FZN &amp; CHILL'!E14,"AAAAAG2vj10=")</f>
        <v>#VALUE!</v>
      </c>
      <c r="CQ245" t="e">
        <f>AND('STERLING CATALOG - FZN &amp; CHILL'!F14,"AAAAAG2vj14=")</f>
        <v>#VALUE!</v>
      </c>
      <c r="CR245" t="e">
        <f>AND('STERLING CATALOG - FZN &amp; CHILL'!G14,"AAAAAG2vj18=")</f>
        <v>#VALUE!</v>
      </c>
      <c r="CS245" t="e">
        <f>AND('STERLING CATALOG - FZN &amp; CHILL'!H14,"AAAAAG2vj2A=")</f>
        <v>#VALUE!</v>
      </c>
      <c r="CT245" t="e">
        <f>AND('STERLING CATALOG - FZN &amp; CHILL'!I14,"AAAAAG2vj2E=")</f>
        <v>#VALUE!</v>
      </c>
      <c r="CU245" t="e">
        <f>AND('STERLING CATALOG - FZN &amp; CHILL'!J14,"AAAAAG2vj2I=")</f>
        <v>#VALUE!</v>
      </c>
      <c r="CV245">
        <f>IF('STERLING CATALOG - FZN &amp; CHILL'!15:15,"AAAAAG2vj2M=",0)</f>
        <v>0</v>
      </c>
      <c r="CW245" t="e">
        <f>AND('STERLING CATALOG - FZN &amp; CHILL'!A15,"AAAAAG2vj2Q=")</f>
        <v>#VALUE!</v>
      </c>
      <c r="CX245" t="e">
        <f>AND('STERLING CATALOG - FZN &amp; CHILL'!B15,"AAAAAG2vj2U=")</f>
        <v>#VALUE!</v>
      </c>
      <c r="CY245" t="e">
        <f>AND('STERLING CATALOG - FZN &amp; CHILL'!C15,"AAAAAG2vj2Y=")</f>
        <v>#VALUE!</v>
      </c>
      <c r="CZ245" t="e">
        <f>AND('STERLING CATALOG - FZN &amp; CHILL'!D15,"AAAAAG2vj2c=")</f>
        <v>#VALUE!</v>
      </c>
      <c r="DA245" t="e">
        <f>AND('STERLING CATALOG - FZN &amp; CHILL'!E15,"AAAAAG2vj2g=")</f>
        <v>#VALUE!</v>
      </c>
      <c r="DB245" t="e">
        <f>AND('STERLING CATALOG - FZN &amp; CHILL'!F15,"AAAAAG2vj2k=")</f>
        <v>#VALUE!</v>
      </c>
      <c r="DC245" t="e">
        <f>AND('STERLING CATALOG - FZN &amp; CHILL'!G15,"AAAAAG2vj2o=")</f>
        <v>#VALUE!</v>
      </c>
      <c r="DD245" t="e">
        <f>AND('STERLING CATALOG - FZN &amp; CHILL'!H15,"AAAAAG2vj2s=")</f>
        <v>#VALUE!</v>
      </c>
      <c r="DE245" t="e">
        <f>AND('STERLING CATALOG - FZN &amp; CHILL'!I15,"AAAAAG2vj2w=")</f>
        <v>#VALUE!</v>
      </c>
      <c r="DF245" t="e">
        <f>AND('STERLING CATALOG - FZN &amp; CHILL'!J15,"AAAAAG2vj20=")</f>
        <v>#VALUE!</v>
      </c>
      <c r="DG245">
        <f>IF('STERLING CATALOG - FZN &amp; CHILL'!16:16,"AAAAAG2vj24=",0)</f>
        <v>0</v>
      </c>
      <c r="DH245" t="e">
        <f>AND('STERLING CATALOG - FZN &amp; CHILL'!A16,"AAAAAG2vj28=")</f>
        <v>#VALUE!</v>
      </c>
      <c r="DI245" t="e">
        <f>AND('STERLING CATALOG - FZN &amp; CHILL'!B16,"AAAAAG2vj3A=")</f>
        <v>#VALUE!</v>
      </c>
      <c r="DJ245" t="e">
        <f>AND('STERLING CATALOG - FZN &amp; CHILL'!C16,"AAAAAG2vj3E=")</f>
        <v>#VALUE!</v>
      </c>
      <c r="DK245" t="e">
        <f>AND('STERLING CATALOG - FZN &amp; CHILL'!D16,"AAAAAG2vj3I=")</f>
        <v>#VALUE!</v>
      </c>
      <c r="DL245" t="e">
        <f>AND('STERLING CATALOG - FZN &amp; CHILL'!E16,"AAAAAG2vj3M=")</f>
        <v>#VALUE!</v>
      </c>
      <c r="DM245" t="e">
        <f>AND('STERLING CATALOG - FZN &amp; CHILL'!F16,"AAAAAG2vj3Q=")</f>
        <v>#VALUE!</v>
      </c>
      <c r="DN245" t="e">
        <f>AND('STERLING CATALOG - FZN &amp; CHILL'!G16,"AAAAAG2vj3U=")</f>
        <v>#VALUE!</v>
      </c>
      <c r="DO245" t="e">
        <f>AND('STERLING CATALOG - FZN &amp; CHILL'!H16,"AAAAAG2vj3Y=")</f>
        <v>#VALUE!</v>
      </c>
      <c r="DP245" t="e">
        <f>AND('STERLING CATALOG - FZN &amp; CHILL'!I16,"AAAAAG2vj3c=")</f>
        <v>#VALUE!</v>
      </c>
      <c r="DQ245" t="e">
        <f>AND('STERLING CATALOG - FZN &amp; CHILL'!J16,"AAAAAG2vj3g=")</f>
        <v>#VALUE!</v>
      </c>
      <c r="DR245">
        <f>IF('STERLING CATALOG - FZN &amp; CHILL'!17:17,"AAAAAG2vj3k=",0)</f>
        <v>0</v>
      </c>
      <c r="DS245" t="e">
        <f>AND('STERLING CATALOG - FZN &amp; CHILL'!A17,"AAAAAG2vj3o=")</f>
        <v>#VALUE!</v>
      </c>
      <c r="DT245" t="e">
        <f>AND('STERLING CATALOG - FZN &amp; CHILL'!B17,"AAAAAG2vj3s=")</f>
        <v>#VALUE!</v>
      </c>
      <c r="DU245" t="e">
        <f>AND('STERLING CATALOG - FZN &amp; CHILL'!C17,"AAAAAG2vj3w=")</f>
        <v>#VALUE!</v>
      </c>
      <c r="DV245" t="e">
        <f>AND('STERLING CATALOG - FZN &amp; CHILL'!D17,"AAAAAG2vj30=")</f>
        <v>#VALUE!</v>
      </c>
      <c r="DW245" t="e">
        <f>AND('STERLING CATALOG - FZN &amp; CHILL'!E17,"AAAAAG2vj34=")</f>
        <v>#VALUE!</v>
      </c>
      <c r="DX245" t="e">
        <f>AND('STERLING CATALOG - FZN &amp; CHILL'!F17,"AAAAAG2vj38=")</f>
        <v>#VALUE!</v>
      </c>
      <c r="DY245" t="e">
        <f>AND('STERLING CATALOG - FZN &amp; CHILL'!G17,"AAAAAG2vj4A=")</f>
        <v>#VALUE!</v>
      </c>
      <c r="DZ245" t="e">
        <f>AND('STERLING CATALOG - FZN &amp; CHILL'!H17,"AAAAAG2vj4E=")</f>
        <v>#VALUE!</v>
      </c>
      <c r="EA245" t="e">
        <f>AND('STERLING CATALOG - FZN &amp; CHILL'!I17,"AAAAAG2vj4I=")</f>
        <v>#VALUE!</v>
      </c>
      <c r="EB245" t="e">
        <f>AND('STERLING CATALOG - FZN &amp; CHILL'!J17,"AAAAAG2vj4M=")</f>
        <v>#VALUE!</v>
      </c>
      <c r="EC245">
        <f>IF('STERLING CATALOG - FZN &amp; CHILL'!18:18,"AAAAAG2vj4Q=",0)</f>
        <v>0</v>
      </c>
      <c r="ED245" t="e">
        <f>AND('STERLING CATALOG - FZN &amp; CHILL'!A18,"AAAAAG2vj4U=")</f>
        <v>#VALUE!</v>
      </c>
      <c r="EE245" t="e">
        <f>AND('STERLING CATALOG - FZN &amp; CHILL'!B18,"AAAAAG2vj4Y=")</f>
        <v>#VALUE!</v>
      </c>
      <c r="EF245" t="e">
        <f>AND('STERLING CATALOG - FZN &amp; CHILL'!C18,"AAAAAG2vj4c=")</f>
        <v>#VALUE!</v>
      </c>
      <c r="EG245" t="e">
        <f>AND('STERLING CATALOG - FZN &amp; CHILL'!D18,"AAAAAG2vj4g=")</f>
        <v>#VALUE!</v>
      </c>
      <c r="EH245" t="e">
        <f>AND('STERLING CATALOG - FZN &amp; CHILL'!E18,"AAAAAG2vj4k=")</f>
        <v>#VALUE!</v>
      </c>
      <c r="EI245" t="e">
        <f>AND('STERLING CATALOG - FZN &amp; CHILL'!F18,"AAAAAG2vj4o=")</f>
        <v>#VALUE!</v>
      </c>
      <c r="EJ245" t="e">
        <f>AND('STERLING CATALOG - FZN &amp; CHILL'!G18,"AAAAAG2vj4s=")</f>
        <v>#VALUE!</v>
      </c>
      <c r="EK245" t="e">
        <f>AND('STERLING CATALOG - FZN &amp; CHILL'!H18,"AAAAAG2vj4w=")</f>
        <v>#VALUE!</v>
      </c>
      <c r="EL245" t="e">
        <f>AND('STERLING CATALOG - FZN &amp; CHILL'!I18,"AAAAAG2vj40=")</f>
        <v>#VALUE!</v>
      </c>
      <c r="EM245" t="e">
        <f>AND('STERLING CATALOG - FZN &amp; CHILL'!J18,"AAAAAG2vj44=")</f>
        <v>#VALUE!</v>
      </c>
      <c r="EN245">
        <f>IF('STERLING CATALOG - FZN &amp; CHILL'!19:19,"AAAAAG2vj48=",0)</f>
        <v>0</v>
      </c>
      <c r="EO245" t="e">
        <f>AND('STERLING CATALOG - FZN &amp; CHILL'!A19,"AAAAAG2vj5A=")</f>
        <v>#VALUE!</v>
      </c>
      <c r="EP245" t="e">
        <f>AND('STERLING CATALOG - FZN &amp; CHILL'!B19,"AAAAAG2vj5E=")</f>
        <v>#VALUE!</v>
      </c>
      <c r="EQ245" t="e">
        <f>AND('STERLING CATALOG - FZN &amp; CHILL'!C19,"AAAAAG2vj5I=")</f>
        <v>#VALUE!</v>
      </c>
      <c r="ER245" t="e">
        <f>AND('STERLING CATALOG - FZN &amp; CHILL'!D19,"AAAAAG2vj5M=")</f>
        <v>#VALUE!</v>
      </c>
      <c r="ES245" t="e">
        <f>AND('STERLING CATALOG - FZN &amp; CHILL'!E19,"AAAAAG2vj5Q=")</f>
        <v>#VALUE!</v>
      </c>
      <c r="ET245" t="e">
        <f>AND('STERLING CATALOG - FZN &amp; CHILL'!F19,"AAAAAG2vj5U=")</f>
        <v>#VALUE!</v>
      </c>
      <c r="EU245" t="e">
        <f>AND('STERLING CATALOG - FZN &amp; CHILL'!G19,"AAAAAG2vj5Y=")</f>
        <v>#VALUE!</v>
      </c>
      <c r="EV245" t="e">
        <f>AND('STERLING CATALOG - FZN &amp; CHILL'!H19,"AAAAAG2vj5c=")</f>
        <v>#VALUE!</v>
      </c>
      <c r="EW245" t="e">
        <f>AND('STERLING CATALOG - FZN &amp; CHILL'!I19,"AAAAAG2vj5g=")</f>
        <v>#VALUE!</v>
      </c>
      <c r="EX245" t="e">
        <f>AND('STERLING CATALOG - FZN &amp; CHILL'!J19,"AAAAAG2vj5k=")</f>
        <v>#VALUE!</v>
      </c>
      <c r="EY245">
        <f>IF('STERLING CATALOG - FZN &amp; CHILL'!20:20,"AAAAAG2vj5o=",0)</f>
        <v>0</v>
      </c>
      <c r="EZ245" t="e">
        <f>AND('STERLING CATALOG - FZN &amp; CHILL'!A20,"AAAAAG2vj5s=")</f>
        <v>#VALUE!</v>
      </c>
      <c r="FA245" t="e">
        <f>AND('STERLING CATALOG - FZN &amp; CHILL'!B20,"AAAAAG2vj5w=")</f>
        <v>#VALUE!</v>
      </c>
      <c r="FB245" t="e">
        <f>AND('STERLING CATALOG - FZN &amp; CHILL'!C20,"AAAAAG2vj50=")</f>
        <v>#VALUE!</v>
      </c>
      <c r="FC245" t="e">
        <f>AND('STERLING CATALOG - FZN &amp; CHILL'!D20,"AAAAAG2vj54=")</f>
        <v>#VALUE!</v>
      </c>
      <c r="FD245" t="e">
        <f>AND('STERLING CATALOG - FZN &amp; CHILL'!E20,"AAAAAG2vj58=")</f>
        <v>#VALUE!</v>
      </c>
      <c r="FE245" t="e">
        <f>AND('STERLING CATALOG - FZN &amp; CHILL'!F20,"AAAAAG2vj6A=")</f>
        <v>#VALUE!</v>
      </c>
      <c r="FF245" t="e">
        <f>AND('STERLING CATALOG - FZN &amp; CHILL'!G20,"AAAAAG2vj6E=")</f>
        <v>#VALUE!</v>
      </c>
      <c r="FG245" t="e">
        <f>AND('STERLING CATALOG - FZN &amp; CHILL'!H20,"AAAAAG2vj6I=")</f>
        <v>#VALUE!</v>
      </c>
      <c r="FH245" t="e">
        <f>AND('STERLING CATALOG - FZN &amp; CHILL'!I20,"AAAAAG2vj6M=")</f>
        <v>#VALUE!</v>
      </c>
      <c r="FI245" t="e">
        <f>AND('STERLING CATALOG - FZN &amp; CHILL'!J20,"AAAAAG2vj6Q=")</f>
        <v>#VALUE!</v>
      </c>
      <c r="FJ245">
        <f>IF('STERLING CATALOG - FZN &amp; CHILL'!21:21,"AAAAAG2vj6U=",0)</f>
        <v>0</v>
      </c>
      <c r="FK245" t="e">
        <f>AND('STERLING CATALOG - FZN &amp; CHILL'!A21,"AAAAAG2vj6Y=")</f>
        <v>#VALUE!</v>
      </c>
      <c r="FL245" t="e">
        <f>AND('STERLING CATALOG - FZN &amp; CHILL'!B21,"AAAAAG2vj6c=")</f>
        <v>#VALUE!</v>
      </c>
      <c r="FM245" t="e">
        <f>AND('STERLING CATALOG - FZN &amp; CHILL'!C21,"AAAAAG2vj6g=")</f>
        <v>#VALUE!</v>
      </c>
      <c r="FN245" t="e">
        <f>AND('STERLING CATALOG - FZN &amp; CHILL'!D21,"AAAAAG2vj6k=")</f>
        <v>#VALUE!</v>
      </c>
      <c r="FO245" t="e">
        <f>AND('STERLING CATALOG - FZN &amp; CHILL'!E21,"AAAAAG2vj6o=")</f>
        <v>#VALUE!</v>
      </c>
      <c r="FP245" t="e">
        <f>AND('STERLING CATALOG - FZN &amp; CHILL'!F21,"AAAAAG2vj6s=")</f>
        <v>#VALUE!</v>
      </c>
      <c r="FQ245" t="e">
        <f>AND('STERLING CATALOG - FZN &amp; CHILL'!G21,"AAAAAG2vj6w=")</f>
        <v>#VALUE!</v>
      </c>
      <c r="FR245" t="e">
        <f>AND('STERLING CATALOG - FZN &amp; CHILL'!H21,"AAAAAG2vj60=")</f>
        <v>#VALUE!</v>
      </c>
      <c r="FS245" t="e">
        <f>AND('STERLING CATALOG - FZN &amp; CHILL'!I21,"AAAAAG2vj64=")</f>
        <v>#VALUE!</v>
      </c>
      <c r="FT245" t="e">
        <f>AND('STERLING CATALOG - FZN &amp; CHILL'!J21,"AAAAAG2vj68=")</f>
        <v>#VALUE!</v>
      </c>
      <c r="FU245">
        <f>IF('STERLING CATALOG - FZN &amp; CHILL'!22:22,"AAAAAG2vj7A=",0)</f>
        <v>0</v>
      </c>
      <c r="FV245" t="e">
        <f>AND('STERLING CATALOG - FZN &amp; CHILL'!A22,"AAAAAG2vj7E=")</f>
        <v>#VALUE!</v>
      </c>
      <c r="FW245" t="e">
        <f>AND('STERLING CATALOG - FZN &amp; CHILL'!B22,"AAAAAG2vj7I=")</f>
        <v>#VALUE!</v>
      </c>
      <c r="FX245" t="e">
        <f>AND('STERLING CATALOG - FZN &amp; CHILL'!C22,"AAAAAG2vj7M=")</f>
        <v>#VALUE!</v>
      </c>
      <c r="FY245" t="e">
        <f>AND('STERLING CATALOG - FZN &amp; CHILL'!D22,"AAAAAG2vj7Q=")</f>
        <v>#VALUE!</v>
      </c>
      <c r="FZ245" t="e">
        <f>AND('STERLING CATALOG - FZN &amp; CHILL'!E22,"AAAAAG2vj7U=")</f>
        <v>#VALUE!</v>
      </c>
      <c r="GA245" t="e">
        <f>AND('STERLING CATALOG - FZN &amp; CHILL'!F22,"AAAAAG2vj7Y=")</f>
        <v>#VALUE!</v>
      </c>
      <c r="GB245" t="e">
        <f>AND('STERLING CATALOG - FZN &amp; CHILL'!G22,"AAAAAG2vj7c=")</f>
        <v>#VALUE!</v>
      </c>
      <c r="GC245" t="e">
        <f>AND('STERLING CATALOG - FZN &amp; CHILL'!H22,"AAAAAG2vj7g=")</f>
        <v>#VALUE!</v>
      </c>
      <c r="GD245" t="e">
        <f>AND('STERLING CATALOG - FZN &amp; CHILL'!I22,"AAAAAG2vj7k=")</f>
        <v>#VALUE!</v>
      </c>
      <c r="GE245" t="e">
        <f>AND('STERLING CATALOG - FZN &amp; CHILL'!J22,"AAAAAG2vj7o=")</f>
        <v>#VALUE!</v>
      </c>
      <c r="GF245">
        <f>IF('STERLING CATALOG - FZN &amp; CHILL'!23:23,"AAAAAG2vj7s=",0)</f>
        <v>0</v>
      </c>
      <c r="GG245" t="e">
        <f>AND('STERLING CATALOG - FZN &amp; CHILL'!A23,"AAAAAG2vj7w=")</f>
        <v>#VALUE!</v>
      </c>
      <c r="GH245" t="e">
        <f>AND('STERLING CATALOG - FZN &amp; CHILL'!B23,"AAAAAG2vj70=")</f>
        <v>#VALUE!</v>
      </c>
      <c r="GI245" t="e">
        <f>AND('STERLING CATALOG - FZN &amp; CHILL'!C23,"AAAAAG2vj74=")</f>
        <v>#VALUE!</v>
      </c>
      <c r="GJ245" t="e">
        <f>AND('STERLING CATALOG - FZN &amp; CHILL'!D23,"AAAAAG2vj78=")</f>
        <v>#VALUE!</v>
      </c>
      <c r="GK245" t="e">
        <f>AND('STERLING CATALOG - FZN &amp; CHILL'!E23,"AAAAAG2vj8A=")</f>
        <v>#VALUE!</v>
      </c>
      <c r="GL245" t="e">
        <f>AND('STERLING CATALOG - FZN &amp; CHILL'!F23,"AAAAAG2vj8E=")</f>
        <v>#VALUE!</v>
      </c>
      <c r="GM245" t="e">
        <f>AND('STERLING CATALOG - FZN &amp; CHILL'!G23,"AAAAAG2vj8I=")</f>
        <v>#VALUE!</v>
      </c>
      <c r="GN245" t="e">
        <f>AND('STERLING CATALOG - FZN &amp; CHILL'!H23,"AAAAAG2vj8M=")</f>
        <v>#VALUE!</v>
      </c>
      <c r="GO245" t="e">
        <f>AND('STERLING CATALOG - FZN &amp; CHILL'!I23,"AAAAAG2vj8Q=")</f>
        <v>#VALUE!</v>
      </c>
      <c r="GP245" t="e">
        <f>AND('STERLING CATALOG - FZN &amp; CHILL'!J23,"AAAAAG2vj8U=")</f>
        <v>#VALUE!</v>
      </c>
      <c r="GQ245">
        <f>IF('STERLING CATALOG - FZN &amp; CHILL'!24:24,"AAAAAG2vj8Y=",0)</f>
        <v>0</v>
      </c>
      <c r="GR245" t="e">
        <f>AND('STERLING CATALOG - FZN &amp; CHILL'!A24,"AAAAAG2vj8c=")</f>
        <v>#VALUE!</v>
      </c>
      <c r="GS245" t="e">
        <f>AND('STERLING CATALOG - FZN &amp; CHILL'!B24,"AAAAAG2vj8g=")</f>
        <v>#VALUE!</v>
      </c>
      <c r="GT245" t="e">
        <f>AND('STERLING CATALOG - FZN &amp; CHILL'!C24,"AAAAAG2vj8k=")</f>
        <v>#VALUE!</v>
      </c>
      <c r="GU245" t="e">
        <f>AND('STERLING CATALOG - FZN &amp; CHILL'!D24,"AAAAAG2vj8o=")</f>
        <v>#VALUE!</v>
      </c>
      <c r="GV245" t="e">
        <f>AND('STERLING CATALOG - FZN &amp; CHILL'!E24,"AAAAAG2vj8s=")</f>
        <v>#VALUE!</v>
      </c>
      <c r="GW245" t="e">
        <f>AND('STERLING CATALOG - FZN &amp; CHILL'!F24,"AAAAAG2vj8w=")</f>
        <v>#VALUE!</v>
      </c>
      <c r="GX245" t="e">
        <f>AND('STERLING CATALOG - FZN &amp; CHILL'!G24,"AAAAAG2vj80=")</f>
        <v>#VALUE!</v>
      </c>
      <c r="GY245" t="e">
        <f>AND('STERLING CATALOG - FZN &amp; CHILL'!H24,"AAAAAG2vj84=")</f>
        <v>#VALUE!</v>
      </c>
      <c r="GZ245" t="e">
        <f>AND('STERLING CATALOG - FZN &amp; CHILL'!I24,"AAAAAG2vj88=")</f>
        <v>#VALUE!</v>
      </c>
      <c r="HA245" t="e">
        <f>AND('STERLING CATALOG - FZN &amp; CHILL'!J24,"AAAAAG2vj9A=")</f>
        <v>#VALUE!</v>
      </c>
      <c r="HB245">
        <f>IF('STERLING CATALOG - FZN &amp; CHILL'!25:25,"AAAAAG2vj9E=",0)</f>
        <v>0</v>
      </c>
      <c r="HC245" t="e">
        <f>AND('STERLING CATALOG - FZN &amp; CHILL'!A25,"AAAAAG2vj9I=")</f>
        <v>#VALUE!</v>
      </c>
      <c r="HD245" t="e">
        <f>AND('STERLING CATALOG - FZN &amp; CHILL'!B25,"AAAAAG2vj9M=")</f>
        <v>#VALUE!</v>
      </c>
      <c r="HE245" t="e">
        <f>AND('STERLING CATALOG - FZN &amp; CHILL'!C25,"AAAAAG2vj9Q=")</f>
        <v>#VALUE!</v>
      </c>
      <c r="HF245" t="e">
        <f>AND('STERLING CATALOG - FZN &amp; CHILL'!D25,"AAAAAG2vj9U=")</f>
        <v>#VALUE!</v>
      </c>
      <c r="HG245" t="e">
        <f>AND('STERLING CATALOG - FZN &amp; CHILL'!E25,"AAAAAG2vj9Y=")</f>
        <v>#VALUE!</v>
      </c>
      <c r="HH245" t="e">
        <f>AND('STERLING CATALOG - FZN &amp; CHILL'!F25,"AAAAAG2vj9c=")</f>
        <v>#VALUE!</v>
      </c>
      <c r="HI245" t="e">
        <f>AND('STERLING CATALOG - FZN &amp; CHILL'!G25,"AAAAAG2vj9g=")</f>
        <v>#VALUE!</v>
      </c>
      <c r="HJ245" t="e">
        <f>AND('STERLING CATALOG - FZN &amp; CHILL'!H25,"AAAAAG2vj9k=")</f>
        <v>#VALUE!</v>
      </c>
      <c r="HK245" t="e">
        <f>AND('STERLING CATALOG - FZN &amp; CHILL'!I25,"AAAAAG2vj9o=")</f>
        <v>#VALUE!</v>
      </c>
      <c r="HL245" t="e">
        <f>AND('STERLING CATALOG - FZN &amp; CHILL'!J25,"AAAAAG2vj9s=")</f>
        <v>#VALUE!</v>
      </c>
      <c r="HM245">
        <f>IF('STERLING CATALOG - FZN &amp; CHILL'!26:26,"AAAAAG2vj9w=",0)</f>
        <v>0</v>
      </c>
      <c r="HN245" t="e">
        <f>AND('STERLING CATALOG - FZN &amp; CHILL'!A26,"AAAAAG2vj90=")</f>
        <v>#VALUE!</v>
      </c>
      <c r="HO245" t="e">
        <f>AND('STERLING CATALOG - FZN &amp; CHILL'!B26,"AAAAAG2vj94=")</f>
        <v>#VALUE!</v>
      </c>
      <c r="HP245" t="e">
        <f>AND('STERLING CATALOG - FZN &amp; CHILL'!C26,"AAAAAG2vj98=")</f>
        <v>#VALUE!</v>
      </c>
      <c r="HQ245" t="e">
        <f>AND('STERLING CATALOG - FZN &amp; CHILL'!D26,"AAAAAG2vj+A=")</f>
        <v>#VALUE!</v>
      </c>
      <c r="HR245" t="e">
        <f>AND('STERLING CATALOG - FZN &amp; CHILL'!E26,"AAAAAG2vj+E=")</f>
        <v>#VALUE!</v>
      </c>
      <c r="HS245" t="e">
        <f>AND('STERLING CATALOG - FZN &amp; CHILL'!F26,"AAAAAG2vj+I=")</f>
        <v>#VALUE!</v>
      </c>
      <c r="HT245" t="e">
        <f>AND('STERLING CATALOG - FZN &amp; CHILL'!G26,"AAAAAG2vj+M=")</f>
        <v>#VALUE!</v>
      </c>
      <c r="HU245" t="e">
        <f>AND('STERLING CATALOG - FZN &amp; CHILL'!H26,"AAAAAG2vj+Q=")</f>
        <v>#VALUE!</v>
      </c>
      <c r="HV245" t="e">
        <f>AND('STERLING CATALOG - FZN &amp; CHILL'!I26,"AAAAAG2vj+U=")</f>
        <v>#VALUE!</v>
      </c>
      <c r="HW245" t="e">
        <f>AND('STERLING CATALOG - FZN &amp; CHILL'!J26,"AAAAAG2vj+Y=")</f>
        <v>#VALUE!</v>
      </c>
      <c r="HX245">
        <f>IF('STERLING CATALOG - FZN &amp; CHILL'!27:27,"AAAAAG2vj+c=",0)</f>
        <v>0</v>
      </c>
      <c r="HY245" t="e">
        <f>AND('STERLING CATALOG - FZN &amp; CHILL'!A27,"AAAAAG2vj+g=")</f>
        <v>#VALUE!</v>
      </c>
      <c r="HZ245" t="e">
        <f>AND('STERLING CATALOG - FZN &amp; CHILL'!B27,"AAAAAG2vj+k=")</f>
        <v>#VALUE!</v>
      </c>
      <c r="IA245" t="e">
        <f>AND('STERLING CATALOG - FZN &amp; CHILL'!C27,"AAAAAG2vj+o=")</f>
        <v>#VALUE!</v>
      </c>
      <c r="IB245" t="e">
        <f>AND('STERLING CATALOG - FZN &amp; CHILL'!D27,"AAAAAG2vj+s=")</f>
        <v>#VALUE!</v>
      </c>
      <c r="IC245" t="e">
        <f>AND('STERLING CATALOG - FZN &amp; CHILL'!E27,"AAAAAG2vj+w=")</f>
        <v>#VALUE!</v>
      </c>
      <c r="ID245" t="e">
        <f>AND('STERLING CATALOG - FZN &amp; CHILL'!F27,"AAAAAG2vj+0=")</f>
        <v>#VALUE!</v>
      </c>
      <c r="IE245" t="e">
        <f>AND('STERLING CATALOG - FZN &amp; CHILL'!G27,"AAAAAG2vj+4=")</f>
        <v>#VALUE!</v>
      </c>
      <c r="IF245" t="e">
        <f>AND('STERLING CATALOG - FZN &amp; CHILL'!H27,"AAAAAG2vj+8=")</f>
        <v>#VALUE!</v>
      </c>
      <c r="IG245" t="e">
        <f>AND('STERLING CATALOG - FZN &amp; CHILL'!I27,"AAAAAG2vj/A=")</f>
        <v>#VALUE!</v>
      </c>
      <c r="IH245" t="e">
        <f>AND('STERLING CATALOG - FZN &amp; CHILL'!J27,"AAAAAG2vj/E=")</f>
        <v>#VALUE!</v>
      </c>
      <c r="II245">
        <f>IF('STERLING CATALOG - FZN &amp; CHILL'!28:28,"AAAAAG2vj/I=",0)</f>
        <v>0</v>
      </c>
      <c r="IJ245" t="e">
        <f>AND('STERLING CATALOG - FZN &amp; CHILL'!A28,"AAAAAG2vj/M=")</f>
        <v>#VALUE!</v>
      </c>
      <c r="IK245" t="e">
        <f>AND('STERLING CATALOG - FZN &amp; CHILL'!B28,"AAAAAG2vj/Q=")</f>
        <v>#VALUE!</v>
      </c>
      <c r="IL245" t="e">
        <f>AND('STERLING CATALOG - FZN &amp; CHILL'!C28,"AAAAAG2vj/U=")</f>
        <v>#VALUE!</v>
      </c>
      <c r="IM245" t="e">
        <f>AND('STERLING CATALOG - FZN &amp; CHILL'!D28,"AAAAAG2vj/Y=")</f>
        <v>#VALUE!</v>
      </c>
      <c r="IN245" t="e">
        <f>AND('STERLING CATALOG - FZN &amp; CHILL'!E28,"AAAAAG2vj/c=")</f>
        <v>#VALUE!</v>
      </c>
      <c r="IO245" t="e">
        <f>AND('STERLING CATALOG - FZN &amp; CHILL'!F28,"AAAAAG2vj/g=")</f>
        <v>#VALUE!</v>
      </c>
      <c r="IP245" t="e">
        <f>AND('STERLING CATALOG - FZN &amp; CHILL'!G28,"AAAAAG2vj/k=")</f>
        <v>#VALUE!</v>
      </c>
      <c r="IQ245" t="e">
        <f>AND('STERLING CATALOG - FZN &amp; CHILL'!H28,"AAAAAG2vj/o=")</f>
        <v>#VALUE!</v>
      </c>
      <c r="IR245" t="e">
        <f>AND('STERLING CATALOG - FZN &amp; CHILL'!I28,"AAAAAG2vj/s=")</f>
        <v>#VALUE!</v>
      </c>
      <c r="IS245" t="e">
        <f>AND('STERLING CATALOG - FZN &amp; CHILL'!J28,"AAAAAG2vj/w=")</f>
        <v>#VALUE!</v>
      </c>
      <c r="IT245">
        <f>IF('STERLING CATALOG - FZN &amp; CHILL'!29:29,"AAAAAG2vj/0=",0)</f>
        <v>0</v>
      </c>
      <c r="IU245" t="e">
        <f>AND('STERLING CATALOG - FZN &amp; CHILL'!A29,"AAAAAG2vj/4=")</f>
        <v>#VALUE!</v>
      </c>
      <c r="IV245" t="e">
        <f>AND('STERLING CATALOG - FZN &amp; CHILL'!B29,"AAAAAG2vj/8=")</f>
        <v>#VALUE!</v>
      </c>
    </row>
    <row r="246" spans="1:256">
      <c r="A246" t="e">
        <f>AND('STERLING CATALOG - FZN &amp; CHILL'!C29,"AAAAAFr91gA=")</f>
        <v>#VALUE!</v>
      </c>
      <c r="B246" t="e">
        <f>AND('STERLING CATALOG - FZN &amp; CHILL'!D29,"AAAAAFr91gE=")</f>
        <v>#VALUE!</v>
      </c>
      <c r="C246" t="e">
        <f>AND('STERLING CATALOG - FZN &amp; CHILL'!E29,"AAAAAFr91gI=")</f>
        <v>#VALUE!</v>
      </c>
      <c r="D246" t="e">
        <f>AND('STERLING CATALOG - FZN &amp; CHILL'!F29,"AAAAAFr91gM=")</f>
        <v>#VALUE!</v>
      </c>
      <c r="E246" t="e">
        <f>AND('STERLING CATALOG - FZN &amp; CHILL'!G29,"AAAAAFr91gQ=")</f>
        <v>#VALUE!</v>
      </c>
      <c r="F246" t="e">
        <f>AND('STERLING CATALOG - FZN &amp; CHILL'!H29,"AAAAAFr91gU=")</f>
        <v>#VALUE!</v>
      </c>
      <c r="G246" t="e">
        <f>AND('STERLING CATALOG - FZN &amp; CHILL'!I29,"AAAAAFr91gY=")</f>
        <v>#VALUE!</v>
      </c>
      <c r="H246" t="e">
        <f>AND('STERLING CATALOG - FZN &amp; CHILL'!J29,"AAAAAFr91gc=")</f>
        <v>#VALUE!</v>
      </c>
      <c r="I246" t="e">
        <f>IF('STERLING CATALOG - FZN &amp; CHILL'!30:30,"AAAAAFr91gg=",0)</f>
        <v>#VALUE!</v>
      </c>
      <c r="J246" t="e">
        <f>AND('STERLING CATALOG - FZN &amp; CHILL'!A30,"AAAAAFr91gk=")</f>
        <v>#VALUE!</v>
      </c>
      <c r="K246" t="e">
        <f>AND('STERLING CATALOG - FZN &amp; CHILL'!B30,"AAAAAFr91go=")</f>
        <v>#VALUE!</v>
      </c>
      <c r="L246" t="e">
        <f>AND('STERLING CATALOG - FZN &amp; CHILL'!C30,"AAAAAFr91gs=")</f>
        <v>#VALUE!</v>
      </c>
      <c r="M246" t="e">
        <f>AND('STERLING CATALOG - FZN &amp; CHILL'!D30,"AAAAAFr91gw=")</f>
        <v>#VALUE!</v>
      </c>
      <c r="N246" t="e">
        <f>AND('STERLING CATALOG - FZN &amp; CHILL'!E30,"AAAAAFr91g0=")</f>
        <v>#VALUE!</v>
      </c>
      <c r="O246" t="e">
        <f>AND('STERLING CATALOG - FZN &amp; CHILL'!F30,"AAAAAFr91g4=")</f>
        <v>#VALUE!</v>
      </c>
      <c r="P246" t="e">
        <f>AND('STERLING CATALOG - FZN &amp; CHILL'!G30,"AAAAAFr91g8=")</f>
        <v>#VALUE!</v>
      </c>
      <c r="Q246" t="e">
        <f>AND('STERLING CATALOG - FZN &amp; CHILL'!H30,"AAAAAFr91hA=")</f>
        <v>#VALUE!</v>
      </c>
      <c r="R246" t="e">
        <f>AND('STERLING CATALOG - FZN &amp; CHILL'!I30,"AAAAAFr91hE=")</f>
        <v>#VALUE!</v>
      </c>
      <c r="S246" t="e">
        <f>AND('STERLING CATALOG - FZN &amp; CHILL'!J30,"AAAAAFr91hI=")</f>
        <v>#VALUE!</v>
      </c>
      <c r="T246">
        <f>IF('STERLING CATALOG - FZN &amp; CHILL'!31:31,"AAAAAFr91hM=",0)</f>
        <v>0</v>
      </c>
      <c r="U246" t="e">
        <f>AND('STERLING CATALOG - FZN &amp; CHILL'!A31,"AAAAAFr91hQ=")</f>
        <v>#VALUE!</v>
      </c>
      <c r="V246" t="e">
        <f>AND('STERLING CATALOG - FZN &amp; CHILL'!B31,"AAAAAFr91hU=")</f>
        <v>#VALUE!</v>
      </c>
      <c r="W246" t="e">
        <f>AND('STERLING CATALOG - FZN &amp; CHILL'!C31,"AAAAAFr91hY=")</f>
        <v>#VALUE!</v>
      </c>
      <c r="X246" t="e">
        <f>AND('STERLING CATALOG - FZN &amp; CHILL'!D31,"AAAAAFr91hc=")</f>
        <v>#VALUE!</v>
      </c>
      <c r="Y246" t="e">
        <f>AND('STERLING CATALOG - FZN &amp; CHILL'!E31,"AAAAAFr91hg=")</f>
        <v>#VALUE!</v>
      </c>
      <c r="Z246" t="e">
        <f>AND('STERLING CATALOG - FZN &amp; CHILL'!F31,"AAAAAFr91hk=")</f>
        <v>#VALUE!</v>
      </c>
      <c r="AA246" t="e">
        <f>AND('STERLING CATALOG - FZN &amp; CHILL'!G31,"AAAAAFr91ho=")</f>
        <v>#VALUE!</v>
      </c>
      <c r="AB246" t="e">
        <f>AND('STERLING CATALOG - FZN &amp; CHILL'!H31,"AAAAAFr91hs=")</f>
        <v>#VALUE!</v>
      </c>
      <c r="AC246" t="e">
        <f>AND('STERLING CATALOG - FZN &amp; CHILL'!I31,"AAAAAFr91hw=")</f>
        <v>#VALUE!</v>
      </c>
      <c r="AD246" t="e">
        <f>AND('STERLING CATALOG - FZN &amp; CHILL'!J31,"AAAAAFr91h0=")</f>
        <v>#VALUE!</v>
      </c>
      <c r="AE246">
        <f>IF('STERLING CATALOG - FZN &amp; CHILL'!32:32,"AAAAAFr91h4=",0)</f>
        <v>0</v>
      </c>
      <c r="AF246" t="e">
        <f>AND('STERLING CATALOG - FZN &amp; CHILL'!A32,"AAAAAFr91h8=")</f>
        <v>#VALUE!</v>
      </c>
      <c r="AG246" t="e">
        <f>AND('STERLING CATALOG - FZN &amp; CHILL'!B32,"AAAAAFr91iA=")</f>
        <v>#VALUE!</v>
      </c>
      <c r="AH246" t="e">
        <f>AND('STERLING CATALOG - FZN &amp; CHILL'!C32,"AAAAAFr91iE=")</f>
        <v>#VALUE!</v>
      </c>
      <c r="AI246" t="e">
        <f>AND('STERLING CATALOG - FZN &amp; CHILL'!D32,"AAAAAFr91iI=")</f>
        <v>#VALUE!</v>
      </c>
      <c r="AJ246" t="e">
        <f>AND('STERLING CATALOG - FZN &amp; CHILL'!E32,"AAAAAFr91iM=")</f>
        <v>#VALUE!</v>
      </c>
      <c r="AK246" t="e">
        <f>AND('STERLING CATALOG - FZN &amp; CHILL'!F32,"AAAAAFr91iQ=")</f>
        <v>#VALUE!</v>
      </c>
      <c r="AL246" t="e">
        <f>AND('STERLING CATALOG - FZN &amp; CHILL'!G32,"AAAAAFr91iU=")</f>
        <v>#VALUE!</v>
      </c>
      <c r="AM246" t="e">
        <f>AND('STERLING CATALOG - FZN &amp; CHILL'!H32,"AAAAAFr91iY=")</f>
        <v>#VALUE!</v>
      </c>
      <c r="AN246" t="e">
        <f>AND('STERLING CATALOG - FZN &amp; CHILL'!I32,"AAAAAFr91ic=")</f>
        <v>#VALUE!</v>
      </c>
      <c r="AO246" t="e">
        <f>AND('STERLING CATALOG - FZN &amp; CHILL'!J32,"AAAAAFr91ig=")</f>
        <v>#VALUE!</v>
      </c>
      <c r="AP246">
        <f>IF('STERLING CATALOG - FZN &amp; CHILL'!33:33,"AAAAAFr91ik=",0)</f>
        <v>0</v>
      </c>
      <c r="AQ246" t="e">
        <f>AND('STERLING CATALOG - FZN &amp; CHILL'!A33,"AAAAAFr91io=")</f>
        <v>#VALUE!</v>
      </c>
      <c r="AR246" t="e">
        <f>AND('STERLING CATALOG - FZN &amp; CHILL'!B33,"AAAAAFr91is=")</f>
        <v>#VALUE!</v>
      </c>
      <c r="AS246" t="e">
        <f>AND('STERLING CATALOG - FZN &amp; CHILL'!C33,"AAAAAFr91iw=")</f>
        <v>#VALUE!</v>
      </c>
      <c r="AT246" t="e">
        <f>AND('STERLING CATALOG - FZN &amp; CHILL'!D33,"AAAAAFr91i0=")</f>
        <v>#VALUE!</v>
      </c>
      <c r="AU246" t="e">
        <f>AND('STERLING CATALOG - FZN &amp; CHILL'!E33,"AAAAAFr91i4=")</f>
        <v>#VALUE!</v>
      </c>
      <c r="AV246" t="e">
        <f>AND('STERLING CATALOG - FZN &amp; CHILL'!F33,"AAAAAFr91i8=")</f>
        <v>#VALUE!</v>
      </c>
      <c r="AW246" t="e">
        <f>AND('STERLING CATALOG - FZN &amp; CHILL'!G33,"AAAAAFr91jA=")</f>
        <v>#VALUE!</v>
      </c>
      <c r="AX246" t="e">
        <f>AND('STERLING CATALOG - FZN &amp; CHILL'!H33,"AAAAAFr91jE=")</f>
        <v>#VALUE!</v>
      </c>
      <c r="AY246" t="e">
        <f>AND('STERLING CATALOG - FZN &amp; CHILL'!I33,"AAAAAFr91jI=")</f>
        <v>#VALUE!</v>
      </c>
      <c r="AZ246" t="e">
        <f>AND('STERLING CATALOG - FZN &amp; CHILL'!J33,"AAAAAFr91jM=")</f>
        <v>#VALUE!</v>
      </c>
      <c r="BA246">
        <f>IF('STERLING CATALOG - FZN &amp; CHILL'!34:34,"AAAAAFr91jQ=",0)</f>
        <v>0</v>
      </c>
      <c r="BB246" t="e">
        <f>AND('STERLING CATALOG - FZN &amp; CHILL'!A34,"AAAAAFr91jU=")</f>
        <v>#VALUE!</v>
      </c>
      <c r="BC246" t="e">
        <f>AND('STERLING CATALOG - FZN &amp; CHILL'!B34,"AAAAAFr91jY=")</f>
        <v>#VALUE!</v>
      </c>
      <c r="BD246" t="e">
        <f>AND('STERLING CATALOG - FZN &amp; CHILL'!C34,"AAAAAFr91jc=")</f>
        <v>#VALUE!</v>
      </c>
      <c r="BE246" t="e">
        <f>AND('STERLING CATALOG - FZN &amp; CHILL'!D34,"AAAAAFr91jg=")</f>
        <v>#VALUE!</v>
      </c>
      <c r="BF246" t="e">
        <f>AND('STERLING CATALOG - FZN &amp; CHILL'!E34,"AAAAAFr91jk=")</f>
        <v>#VALUE!</v>
      </c>
      <c r="BG246" t="e">
        <f>AND('STERLING CATALOG - FZN &amp; CHILL'!F34,"AAAAAFr91jo=")</f>
        <v>#VALUE!</v>
      </c>
      <c r="BH246" t="e">
        <f>AND('STERLING CATALOG - FZN &amp; CHILL'!G34,"AAAAAFr91js=")</f>
        <v>#VALUE!</v>
      </c>
      <c r="BI246" t="e">
        <f>AND('STERLING CATALOG - FZN &amp; CHILL'!H34,"AAAAAFr91jw=")</f>
        <v>#VALUE!</v>
      </c>
      <c r="BJ246" t="e">
        <f>AND('STERLING CATALOG - FZN &amp; CHILL'!I34,"AAAAAFr91j0=")</f>
        <v>#VALUE!</v>
      </c>
      <c r="BK246" t="e">
        <f>AND('STERLING CATALOG - FZN &amp; CHILL'!J34,"AAAAAFr91j4=")</f>
        <v>#VALUE!</v>
      </c>
      <c r="BL246">
        <f>IF('STERLING CATALOG - FZN &amp; CHILL'!35:35,"AAAAAFr91j8=",0)</f>
        <v>0</v>
      </c>
      <c r="BM246" t="e">
        <f>AND('STERLING CATALOG - FZN &amp; CHILL'!A35,"AAAAAFr91kA=")</f>
        <v>#VALUE!</v>
      </c>
      <c r="BN246" t="e">
        <f>AND('STERLING CATALOG - FZN &amp; CHILL'!B35,"AAAAAFr91kE=")</f>
        <v>#VALUE!</v>
      </c>
      <c r="BO246" t="e">
        <f>AND('STERLING CATALOG - FZN &amp; CHILL'!C35,"AAAAAFr91kI=")</f>
        <v>#VALUE!</v>
      </c>
      <c r="BP246" t="e">
        <f>AND('STERLING CATALOG - FZN &amp; CHILL'!D35,"AAAAAFr91kM=")</f>
        <v>#VALUE!</v>
      </c>
      <c r="BQ246" t="e">
        <f>AND('STERLING CATALOG - FZN &amp; CHILL'!E35,"AAAAAFr91kQ=")</f>
        <v>#VALUE!</v>
      </c>
      <c r="BR246" t="e">
        <f>AND('STERLING CATALOG - FZN &amp; CHILL'!F35,"AAAAAFr91kU=")</f>
        <v>#VALUE!</v>
      </c>
      <c r="BS246" t="e">
        <f>AND('STERLING CATALOG - FZN &amp; CHILL'!G35,"AAAAAFr91kY=")</f>
        <v>#VALUE!</v>
      </c>
      <c r="BT246" t="e">
        <f>AND('STERLING CATALOG - FZN &amp; CHILL'!H35,"AAAAAFr91kc=")</f>
        <v>#VALUE!</v>
      </c>
      <c r="BU246" t="e">
        <f>AND('STERLING CATALOG - FZN &amp; CHILL'!I35,"AAAAAFr91kg=")</f>
        <v>#VALUE!</v>
      </c>
      <c r="BV246" t="e">
        <f>AND('STERLING CATALOG - FZN &amp; CHILL'!J35,"AAAAAFr91kk=")</f>
        <v>#VALUE!</v>
      </c>
      <c r="BW246">
        <f>IF('STERLING CATALOG - FZN &amp; CHILL'!36:36,"AAAAAFr91ko=",0)</f>
        <v>0</v>
      </c>
      <c r="BX246" t="e">
        <f>AND('STERLING CATALOG - FZN &amp; CHILL'!A36,"AAAAAFr91ks=")</f>
        <v>#VALUE!</v>
      </c>
      <c r="BY246" t="e">
        <f>AND('STERLING CATALOG - FZN &amp; CHILL'!B36,"AAAAAFr91kw=")</f>
        <v>#VALUE!</v>
      </c>
      <c r="BZ246" t="e">
        <f>AND('STERLING CATALOG - FZN &amp; CHILL'!C36,"AAAAAFr91k0=")</f>
        <v>#VALUE!</v>
      </c>
      <c r="CA246" t="e">
        <f>AND('STERLING CATALOG - FZN &amp; CHILL'!D36,"AAAAAFr91k4=")</f>
        <v>#VALUE!</v>
      </c>
      <c r="CB246" t="e">
        <f>AND('STERLING CATALOG - FZN &amp; CHILL'!E36,"AAAAAFr91k8=")</f>
        <v>#VALUE!</v>
      </c>
      <c r="CC246" t="e">
        <f>AND('STERLING CATALOG - FZN &amp; CHILL'!F36,"AAAAAFr91lA=")</f>
        <v>#VALUE!</v>
      </c>
      <c r="CD246" t="e">
        <f>AND('STERLING CATALOG - FZN &amp; CHILL'!G36,"AAAAAFr91lE=")</f>
        <v>#VALUE!</v>
      </c>
      <c r="CE246" t="e">
        <f>AND('STERLING CATALOG - FZN &amp; CHILL'!H36,"AAAAAFr91lI=")</f>
        <v>#VALUE!</v>
      </c>
      <c r="CF246" t="e">
        <f>AND('STERLING CATALOG - FZN &amp; CHILL'!I36,"AAAAAFr91lM=")</f>
        <v>#VALUE!</v>
      </c>
      <c r="CG246" t="e">
        <f>AND('STERLING CATALOG - FZN &amp; CHILL'!J36,"AAAAAFr91lQ=")</f>
        <v>#VALUE!</v>
      </c>
      <c r="CH246">
        <f>IF('STERLING CATALOG - FZN &amp; CHILL'!37:37,"AAAAAFr91lU=",0)</f>
        <v>0</v>
      </c>
      <c r="CI246" t="e">
        <f>AND('STERLING CATALOG - FZN &amp; CHILL'!A37,"AAAAAFr91lY=")</f>
        <v>#VALUE!</v>
      </c>
      <c r="CJ246" t="e">
        <f>AND('STERLING CATALOG - FZN &amp; CHILL'!B37,"AAAAAFr91lc=")</f>
        <v>#VALUE!</v>
      </c>
      <c r="CK246" t="e">
        <f>AND('STERLING CATALOG - FZN &amp; CHILL'!C37,"AAAAAFr91lg=")</f>
        <v>#VALUE!</v>
      </c>
      <c r="CL246" t="e">
        <f>AND('STERLING CATALOG - FZN &amp; CHILL'!D37,"AAAAAFr91lk=")</f>
        <v>#VALUE!</v>
      </c>
      <c r="CM246" t="e">
        <f>AND('STERLING CATALOG - FZN &amp; CHILL'!E37,"AAAAAFr91lo=")</f>
        <v>#VALUE!</v>
      </c>
      <c r="CN246" t="e">
        <f>AND('STERLING CATALOG - FZN &amp; CHILL'!F37,"AAAAAFr91ls=")</f>
        <v>#VALUE!</v>
      </c>
      <c r="CO246" t="e">
        <f>AND('STERLING CATALOG - FZN &amp; CHILL'!G37,"AAAAAFr91lw=")</f>
        <v>#VALUE!</v>
      </c>
      <c r="CP246" t="e">
        <f>AND('STERLING CATALOG - FZN &amp; CHILL'!H37,"AAAAAFr91l0=")</f>
        <v>#VALUE!</v>
      </c>
      <c r="CQ246" t="e">
        <f>AND('STERLING CATALOG - FZN &amp; CHILL'!I37,"AAAAAFr91l4=")</f>
        <v>#VALUE!</v>
      </c>
      <c r="CR246" t="e">
        <f>AND('STERLING CATALOG - FZN &amp; CHILL'!J37,"AAAAAFr91l8=")</f>
        <v>#VALUE!</v>
      </c>
      <c r="CS246">
        <f>IF('STERLING CATALOG - FZN &amp; CHILL'!38:38,"AAAAAFr91mA=",0)</f>
        <v>0</v>
      </c>
      <c r="CT246" t="e">
        <f>AND('STERLING CATALOG - FZN &amp; CHILL'!A38,"AAAAAFr91mE=")</f>
        <v>#VALUE!</v>
      </c>
      <c r="CU246" t="e">
        <f>AND('STERLING CATALOG - FZN &amp; CHILL'!B38,"AAAAAFr91mI=")</f>
        <v>#VALUE!</v>
      </c>
      <c r="CV246" t="e">
        <f>AND('STERLING CATALOG - FZN &amp; CHILL'!C38,"AAAAAFr91mM=")</f>
        <v>#VALUE!</v>
      </c>
      <c r="CW246" t="e">
        <f>AND('STERLING CATALOG - FZN &amp; CHILL'!D38,"AAAAAFr91mQ=")</f>
        <v>#VALUE!</v>
      </c>
      <c r="CX246" t="e">
        <f>AND('STERLING CATALOG - FZN &amp; CHILL'!E38,"AAAAAFr91mU=")</f>
        <v>#VALUE!</v>
      </c>
      <c r="CY246" t="e">
        <f>AND('STERLING CATALOG - FZN &amp; CHILL'!F38,"AAAAAFr91mY=")</f>
        <v>#VALUE!</v>
      </c>
      <c r="CZ246" t="e">
        <f>AND('STERLING CATALOG - FZN &amp; CHILL'!G38,"AAAAAFr91mc=")</f>
        <v>#VALUE!</v>
      </c>
      <c r="DA246" t="e">
        <f>AND('STERLING CATALOG - FZN &amp; CHILL'!H38,"AAAAAFr91mg=")</f>
        <v>#VALUE!</v>
      </c>
      <c r="DB246" t="e">
        <f>AND('STERLING CATALOG - FZN &amp; CHILL'!I38,"AAAAAFr91mk=")</f>
        <v>#VALUE!</v>
      </c>
      <c r="DC246" t="e">
        <f>AND('STERLING CATALOG - FZN &amp; CHILL'!J38,"AAAAAFr91mo=")</f>
        <v>#VALUE!</v>
      </c>
      <c r="DD246">
        <f>IF('STERLING CATALOG - FZN &amp; CHILL'!39:39,"AAAAAFr91ms=",0)</f>
        <v>0</v>
      </c>
      <c r="DE246" t="e">
        <f>AND('STERLING CATALOG - FZN &amp; CHILL'!A39,"AAAAAFr91mw=")</f>
        <v>#VALUE!</v>
      </c>
      <c r="DF246" t="e">
        <f>AND('STERLING CATALOG - FZN &amp; CHILL'!B39,"AAAAAFr91m0=")</f>
        <v>#VALUE!</v>
      </c>
      <c r="DG246" t="e">
        <f>AND('STERLING CATALOG - FZN &amp; CHILL'!C39,"AAAAAFr91m4=")</f>
        <v>#VALUE!</v>
      </c>
      <c r="DH246" t="e">
        <f>AND('STERLING CATALOG - FZN &amp; CHILL'!D39,"AAAAAFr91m8=")</f>
        <v>#VALUE!</v>
      </c>
      <c r="DI246" t="e">
        <f>AND('STERLING CATALOG - FZN &amp; CHILL'!E39,"AAAAAFr91nA=")</f>
        <v>#VALUE!</v>
      </c>
      <c r="DJ246" t="e">
        <f>AND('STERLING CATALOG - FZN &amp; CHILL'!F39,"AAAAAFr91nE=")</f>
        <v>#VALUE!</v>
      </c>
      <c r="DK246" t="e">
        <f>AND('STERLING CATALOG - FZN &amp; CHILL'!G39,"AAAAAFr91nI=")</f>
        <v>#VALUE!</v>
      </c>
      <c r="DL246" t="e">
        <f>AND('STERLING CATALOG - FZN &amp; CHILL'!H39,"AAAAAFr91nM=")</f>
        <v>#VALUE!</v>
      </c>
      <c r="DM246" t="e">
        <f>AND('STERLING CATALOG - FZN &amp; CHILL'!I39,"AAAAAFr91nQ=")</f>
        <v>#VALUE!</v>
      </c>
      <c r="DN246" t="e">
        <f>AND('STERLING CATALOG - FZN &amp; CHILL'!J39,"AAAAAFr91nU=")</f>
        <v>#VALUE!</v>
      </c>
      <c r="DO246">
        <f>IF('STERLING CATALOG - FZN &amp; CHILL'!40:40,"AAAAAFr91nY=",0)</f>
        <v>0</v>
      </c>
      <c r="DP246" t="e">
        <f>AND('STERLING CATALOG - FZN &amp; CHILL'!A40,"AAAAAFr91nc=")</f>
        <v>#VALUE!</v>
      </c>
      <c r="DQ246" t="e">
        <f>AND('STERLING CATALOG - FZN &amp; CHILL'!B40,"AAAAAFr91ng=")</f>
        <v>#VALUE!</v>
      </c>
      <c r="DR246" t="e">
        <f>AND('STERLING CATALOG - FZN &amp; CHILL'!C40,"AAAAAFr91nk=")</f>
        <v>#VALUE!</v>
      </c>
      <c r="DS246" t="e">
        <f>AND('STERLING CATALOG - FZN &amp; CHILL'!D40,"AAAAAFr91no=")</f>
        <v>#VALUE!</v>
      </c>
      <c r="DT246" t="e">
        <f>AND('STERLING CATALOG - FZN &amp; CHILL'!E40,"AAAAAFr91ns=")</f>
        <v>#VALUE!</v>
      </c>
      <c r="DU246" t="e">
        <f>AND('STERLING CATALOG - FZN &amp; CHILL'!F40,"AAAAAFr91nw=")</f>
        <v>#VALUE!</v>
      </c>
      <c r="DV246" t="e">
        <f>AND('STERLING CATALOG - FZN &amp; CHILL'!G40,"AAAAAFr91n0=")</f>
        <v>#VALUE!</v>
      </c>
      <c r="DW246" t="e">
        <f>AND('STERLING CATALOG - FZN &amp; CHILL'!H40,"AAAAAFr91n4=")</f>
        <v>#VALUE!</v>
      </c>
      <c r="DX246" t="e">
        <f>AND('STERLING CATALOG - FZN &amp; CHILL'!I40,"AAAAAFr91n8=")</f>
        <v>#VALUE!</v>
      </c>
      <c r="DY246" t="e">
        <f>AND('STERLING CATALOG - FZN &amp; CHILL'!J40,"AAAAAFr91oA=")</f>
        <v>#VALUE!</v>
      </c>
      <c r="DZ246">
        <f>IF('STERLING CATALOG - FZN &amp; CHILL'!41:41,"AAAAAFr91oE=",0)</f>
        <v>0</v>
      </c>
      <c r="EA246" t="e">
        <f>AND('STERLING CATALOG - FZN &amp; CHILL'!A41,"AAAAAFr91oI=")</f>
        <v>#VALUE!</v>
      </c>
      <c r="EB246" t="e">
        <f>AND('STERLING CATALOG - FZN &amp; CHILL'!B41,"AAAAAFr91oM=")</f>
        <v>#VALUE!</v>
      </c>
      <c r="EC246" t="e">
        <f>AND('STERLING CATALOG - FZN &amp; CHILL'!C41,"AAAAAFr91oQ=")</f>
        <v>#VALUE!</v>
      </c>
      <c r="ED246" t="e">
        <f>AND('STERLING CATALOG - FZN &amp; CHILL'!D41,"AAAAAFr91oU=")</f>
        <v>#VALUE!</v>
      </c>
      <c r="EE246" t="e">
        <f>AND('STERLING CATALOG - FZN &amp; CHILL'!E41,"AAAAAFr91oY=")</f>
        <v>#VALUE!</v>
      </c>
      <c r="EF246" t="e">
        <f>AND('STERLING CATALOG - FZN &amp; CHILL'!F41,"AAAAAFr91oc=")</f>
        <v>#VALUE!</v>
      </c>
      <c r="EG246" t="e">
        <f>AND('STERLING CATALOG - FZN &amp; CHILL'!G41,"AAAAAFr91og=")</f>
        <v>#VALUE!</v>
      </c>
      <c r="EH246" t="e">
        <f>AND('STERLING CATALOG - FZN &amp; CHILL'!H41,"AAAAAFr91ok=")</f>
        <v>#VALUE!</v>
      </c>
      <c r="EI246" t="e">
        <f>AND('STERLING CATALOG - FZN &amp; CHILL'!I41,"AAAAAFr91oo=")</f>
        <v>#VALUE!</v>
      </c>
      <c r="EJ246" t="e">
        <f>AND('STERLING CATALOG - FZN &amp; CHILL'!J41,"AAAAAFr91os=")</f>
        <v>#VALUE!</v>
      </c>
      <c r="EK246">
        <f>IF('STERLING CATALOG - FZN &amp; CHILL'!42:42,"AAAAAFr91ow=",0)</f>
        <v>0</v>
      </c>
      <c r="EL246" t="e">
        <f>AND('STERLING CATALOG - FZN &amp; CHILL'!A42,"AAAAAFr91o0=")</f>
        <v>#VALUE!</v>
      </c>
      <c r="EM246" t="e">
        <f>AND('STERLING CATALOG - FZN &amp; CHILL'!B42,"AAAAAFr91o4=")</f>
        <v>#VALUE!</v>
      </c>
      <c r="EN246" t="e">
        <f>AND('STERLING CATALOG - FZN &amp; CHILL'!C42,"AAAAAFr91o8=")</f>
        <v>#VALUE!</v>
      </c>
      <c r="EO246" t="e">
        <f>AND('STERLING CATALOG - FZN &amp; CHILL'!D42,"AAAAAFr91pA=")</f>
        <v>#VALUE!</v>
      </c>
      <c r="EP246" t="e">
        <f>AND('STERLING CATALOG - FZN &amp; CHILL'!E42,"AAAAAFr91pE=")</f>
        <v>#VALUE!</v>
      </c>
      <c r="EQ246" t="e">
        <f>AND('STERLING CATALOG - FZN &amp; CHILL'!F42,"AAAAAFr91pI=")</f>
        <v>#VALUE!</v>
      </c>
      <c r="ER246" t="e">
        <f>AND('STERLING CATALOG - FZN &amp; CHILL'!G42,"AAAAAFr91pM=")</f>
        <v>#VALUE!</v>
      </c>
      <c r="ES246" t="e">
        <f>AND('STERLING CATALOG - FZN &amp; CHILL'!H42,"AAAAAFr91pQ=")</f>
        <v>#VALUE!</v>
      </c>
      <c r="ET246" t="e">
        <f>AND('STERLING CATALOG - FZN &amp; CHILL'!I42,"AAAAAFr91pU=")</f>
        <v>#VALUE!</v>
      </c>
      <c r="EU246" t="e">
        <f>AND('STERLING CATALOG - FZN &amp; CHILL'!J42,"AAAAAFr91pY=")</f>
        <v>#VALUE!</v>
      </c>
      <c r="EV246">
        <f>IF('STERLING CATALOG - FZN &amp; CHILL'!43:43,"AAAAAFr91pc=",0)</f>
        <v>0</v>
      </c>
      <c r="EW246" t="e">
        <f>AND('STERLING CATALOG - FZN &amp; CHILL'!A43,"AAAAAFr91pg=")</f>
        <v>#VALUE!</v>
      </c>
      <c r="EX246" t="e">
        <f>AND('STERLING CATALOG - FZN &amp; CHILL'!B43,"AAAAAFr91pk=")</f>
        <v>#VALUE!</v>
      </c>
      <c r="EY246" t="e">
        <f>AND('STERLING CATALOG - FZN &amp; CHILL'!C43,"AAAAAFr91po=")</f>
        <v>#VALUE!</v>
      </c>
      <c r="EZ246" t="e">
        <f>AND('STERLING CATALOG - FZN &amp; CHILL'!D43,"AAAAAFr91ps=")</f>
        <v>#VALUE!</v>
      </c>
      <c r="FA246" t="e">
        <f>AND('STERLING CATALOG - FZN &amp; CHILL'!E43,"AAAAAFr91pw=")</f>
        <v>#VALUE!</v>
      </c>
      <c r="FB246" t="e">
        <f>AND('STERLING CATALOG - FZN &amp; CHILL'!F43,"AAAAAFr91p0=")</f>
        <v>#VALUE!</v>
      </c>
      <c r="FC246" t="e">
        <f>AND('STERLING CATALOG - FZN &amp; CHILL'!G43,"AAAAAFr91p4=")</f>
        <v>#VALUE!</v>
      </c>
      <c r="FD246" t="e">
        <f>AND('STERLING CATALOG - FZN &amp; CHILL'!H43,"AAAAAFr91p8=")</f>
        <v>#VALUE!</v>
      </c>
      <c r="FE246" t="e">
        <f>AND('STERLING CATALOG - FZN &amp; CHILL'!I43,"AAAAAFr91qA=")</f>
        <v>#VALUE!</v>
      </c>
      <c r="FF246" t="e">
        <f>AND('STERLING CATALOG - FZN &amp; CHILL'!J43,"AAAAAFr91qE=")</f>
        <v>#VALUE!</v>
      </c>
      <c r="FG246">
        <f>IF('STERLING CATALOG - FZN &amp; CHILL'!44:44,"AAAAAFr91qI=",0)</f>
        <v>0</v>
      </c>
      <c r="FH246" t="e">
        <f>AND('STERLING CATALOG - FZN &amp; CHILL'!A44,"AAAAAFr91qM=")</f>
        <v>#VALUE!</v>
      </c>
      <c r="FI246" t="e">
        <f>AND('STERLING CATALOG - FZN &amp; CHILL'!B44,"AAAAAFr91qQ=")</f>
        <v>#VALUE!</v>
      </c>
      <c r="FJ246" t="e">
        <f>AND('STERLING CATALOG - FZN &amp; CHILL'!C44,"AAAAAFr91qU=")</f>
        <v>#VALUE!</v>
      </c>
      <c r="FK246" t="e">
        <f>AND('STERLING CATALOG - FZN &amp; CHILL'!D44,"AAAAAFr91qY=")</f>
        <v>#VALUE!</v>
      </c>
      <c r="FL246" t="e">
        <f>AND('STERLING CATALOG - FZN &amp; CHILL'!E44,"AAAAAFr91qc=")</f>
        <v>#VALUE!</v>
      </c>
      <c r="FM246" t="e">
        <f>AND('STERLING CATALOG - FZN &amp; CHILL'!F44,"AAAAAFr91qg=")</f>
        <v>#VALUE!</v>
      </c>
      <c r="FN246" t="e">
        <f>AND('STERLING CATALOG - FZN &amp; CHILL'!G44,"AAAAAFr91qk=")</f>
        <v>#VALUE!</v>
      </c>
      <c r="FO246" t="e">
        <f>AND('STERLING CATALOG - FZN &amp; CHILL'!H44,"AAAAAFr91qo=")</f>
        <v>#VALUE!</v>
      </c>
      <c r="FP246" t="e">
        <f>AND('STERLING CATALOG - FZN &amp; CHILL'!I44,"AAAAAFr91qs=")</f>
        <v>#VALUE!</v>
      </c>
      <c r="FQ246" t="e">
        <f>AND('STERLING CATALOG - FZN &amp; CHILL'!J44,"AAAAAFr91qw=")</f>
        <v>#VALUE!</v>
      </c>
      <c r="FR246">
        <f>IF('STERLING CATALOG - FZN &amp; CHILL'!45:45,"AAAAAFr91q0=",0)</f>
        <v>0</v>
      </c>
      <c r="FS246" t="e">
        <f>AND('STERLING CATALOG - FZN &amp; CHILL'!A45,"AAAAAFr91q4=")</f>
        <v>#VALUE!</v>
      </c>
      <c r="FT246" t="e">
        <f>AND('STERLING CATALOG - FZN &amp; CHILL'!B45,"AAAAAFr91q8=")</f>
        <v>#VALUE!</v>
      </c>
      <c r="FU246" t="e">
        <f>AND('STERLING CATALOG - FZN &amp; CHILL'!C45,"AAAAAFr91rA=")</f>
        <v>#VALUE!</v>
      </c>
      <c r="FV246" t="e">
        <f>AND('STERLING CATALOG - FZN &amp; CHILL'!D45,"AAAAAFr91rE=")</f>
        <v>#VALUE!</v>
      </c>
      <c r="FW246" t="e">
        <f>AND('STERLING CATALOG - FZN &amp; CHILL'!E45,"AAAAAFr91rI=")</f>
        <v>#VALUE!</v>
      </c>
      <c r="FX246" t="e">
        <f>AND('STERLING CATALOG - FZN &amp; CHILL'!F45,"AAAAAFr91rM=")</f>
        <v>#VALUE!</v>
      </c>
      <c r="FY246" t="e">
        <f>AND('STERLING CATALOG - FZN &amp; CHILL'!G45,"AAAAAFr91rQ=")</f>
        <v>#VALUE!</v>
      </c>
      <c r="FZ246" t="e">
        <f>AND('STERLING CATALOG - FZN &amp; CHILL'!H45,"AAAAAFr91rU=")</f>
        <v>#VALUE!</v>
      </c>
      <c r="GA246" t="e">
        <f>AND('STERLING CATALOG - FZN &amp; CHILL'!I45,"AAAAAFr91rY=")</f>
        <v>#VALUE!</v>
      </c>
      <c r="GB246" t="e">
        <f>AND('STERLING CATALOG - FZN &amp; CHILL'!J45,"AAAAAFr91rc=")</f>
        <v>#VALUE!</v>
      </c>
      <c r="GC246">
        <f>IF('STERLING CATALOG - FZN &amp; CHILL'!46:46,"AAAAAFr91rg=",0)</f>
        <v>0</v>
      </c>
      <c r="GD246" t="e">
        <f>AND('STERLING CATALOG - FZN &amp; CHILL'!A46,"AAAAAFr91rk=")</f>
        <v>#VALUE!</v>
      </c>
      <c r="GE246" t="e">
        <f>AND('STERLING CATALOG - FZN &amp; CHILL'!B46,"AAAAAFr91ro=")</f>
        <v>#VALUE!</v>
      </c>
      <c r="GF246" t="e">
        <f>AND('STERLING CATALOG - FZN &amp; CHILL'!C46,"AAAAAFr91rs=")</f>
        <v>#VALUE!</v>
      </c>
      <c r="GG246" t="e">
        <f>AND('STERLING CATALOG - FZN &amp; CHILL'!D46,"AAAAAFr91rw=")</f>
        <v>#VALUE!</v>
      </c>
      <c r="GH246" t="e">
        <f>AND('STERLING CATALOG - FZN &amp; CHILL'!E46,"AAAAAFr91r0=")</f>
        <v>#VALUE!</v>
      </c>
      <c r="GI246" t="e">
        <f>AND('STERLING CATALOG - FZN &amp; CHILL'!F46,"AAAAAFr91r4=")</f>
        <v>#VALUE!</v>
      </c>
      <c r="GJ246" t="e">
        <f>AND('STERLING CATALOG - FZN &amp; CHILL'!G46,"AAAAAFr91r8=")</f>
        <v>#VALUE!</v>
      </c>
      <c r="GK246" t="e">
        <f>AND('STERLING CATALOG - FZN &amp; CHILL'!H46,"AAAAAFr91sA=")</f>
        <v>#VALUE!</v>
      </c>
      <c r="GL246" t="e">
        <f>AND('STERLING CATALOG - FZN &amp; CHILL'!I46,"AAAAAFr91sE=")</f>
        <v>#VALUE!</v>
      </c>
      <c r="GM246" t="e">
        <f>AND('STERLING CATALOG - FZN &amp; CHILL'!J46,"AAAAAFr91sI=")</f>
        <v>#VALUE!</v>
      </c>
      <c r="GN246">
        <f>IF('STERLING CATALOG - FZN &amp; CHILL'!47:47,"AAAAAFr91sM=",0)</f>
        <v>0</v>
      </c>
      <c r="GO246" t="e">
        <f>AND('STERLING CATALOG - FZN &amp; CHILL'!A47,"AAAAAFr91sQ=")</f>
        <v>#VALUE!</v>
      </c>
      <c r="GP246" t="e">
        <f>AND('STERLING CATALOG - FZN &amp; CHILL'!B47,"AAAAAFr91sU=")</f>
        <v>#VALUE!</v>
      </c>
      <c r="GQ246" t="e">
        <f>AND('STERLING CATALOG - FZN &amp; CHILL'!C47,"AAAAAFr91sY=")</f>
        <v>#VALUE!</v>
      </c>
      <c r="GR246" t="e">
        <f>AND('STERLING CATALOG - FZN &amp; CHILL'!D47,"AAAAAFr91sc=")</f>
        <v>#VALUE!</v>
      </c>
      <c r="GS246" t="e">
        <f>AND('STERLING CATALOG - FZN &amp; CHILL'!E47,"AAAAAFr91sg=")</f>
        <v>#VALUE!</v>
      </c>
      <c r="GT246" t="e">
        <f>AND('STERLING CATALOG - FZN &amp; CHILL'!F47,"AAAAAFr91sk=")</f>
        <v>#VALUE!</v>
      </c>
      <c r="GU246" t="e">
        <f>AND('STERLING CATALOG - FZN &amp; CHILL'!G47,"AAAAAFr91so=")</f>
        <v>#VALUE!</v>
      </c>
      <c r="GV246" t="e">
        <f>AND('STERLING CATALOG - FZN &amp; CHILL'!H47,"AAAAAFr91ss=")</f>
        <v>#VALUE!</v>
      </c>
      <c r="GW246" t="e">
        <f>AND('STERLING CATALOG - FZN &amp; CHILL'!I47,"AAAAAFr91sw=")</f>
        <v>#VALUE!</v>
      </c>
      <c r="GX246" t="e">
        <f>AND('STERLING CATALOG - FZN &amp; CHILL'!J47,"AAAAAFr91s0=")</f>
        <v>#VALUE!</v>
      </c>
      <c r="GY246">
        <f>IF('STERLING CATALOG - FZN &amp; CHILL'!48:48,"AAAAAFr91s4=",0)</f>
        <v>0</v>
      </c>
      <c r="GZ246" t="e">
        <f>AND('STERLING CATALOG - FZN &amp; CHILL'!A48,"AAAAAFr91s8=")</f>
        <v>#VALUE!</v>
      </c>
      <c r="HA246" t="e">
        <f>AND('STERLING CATALOG - FZN &amp; CHILL'!B48,"AAAAAFr91tA=")</f>
        <v>#VALUE!</v>
      </c>
      <c r="HB246" t="e">
        <f>AND('STERLING CATALOG - FZN &amp; CHILL'!C48,"AAAAAFr91tE=")</f>
        <v>#VALUE!</v>
      </c>
      <c r="HC246" t="e">
        <f>AND('STERLING CATALOG - FZN &amp; CHILL'!D48,"AAAAAFr91tI=")</f>
        <v>#VALUE!</v>
      </c>
      <c r="HD246" t="e">
        <f>AND('STERLING CATALOG - FZN &amp; CHILL'!E48,"AAAAAFr91tM=")</f>
        <v>#VALUE!</v>
      </c>
      <c r="HE246" t="e">
        <f>AND('STERLING CATALOG - FZN &amp; CHILL'!F48,"AAAAAFr91tQ=")</f>
        <v>#VALUE!</v>
      </c>
      <c r="HF246" t="e">
        <f>AND('STERLING CATALOG - FZN &amp; CHILL'!G48,"AAAAAFr91tU=")</f>
        <v>#VALUE!</v>
      </c>
      <c r="HG246" t="e">
        <f>AND('STERLING CATALOG - FZN &amp; CHILL'!H48,"AAAAAFr91tY=")</f>
        <v>#VALUE!</v>
      </c>
      <c r="HH246" t="e">
        <f>AND('STERLING CATALOG - FZN &amp; CHILL'!I48,"AAAAAFr91tc=")</f>
        <v>#VALUE!</v>
      </c>
      <c r="HI246" t="e">
        <f>AND('STERLING CATALOG - FZN &amp; CHILL'!J48,"AAAAAFr91tg=")</f>
        <v>#VALUE!</v>
      </c>
      <c r="HJ246">
        <f>IF('STERLING CATALOG - FZN &amp; CHILL'!49:49,"AAAAAFr91tk=",0)</f>
        <v>0</v>
      </c>
      <c r="HK246" t="e">
        <f>AND('STERLING CATALOG - FZN &amp; CHILL'!A49,"AAAAAFr91to=")</f>
        <v>#VALUE!</v>
      </c>
      <c r="HL246" t="e">
        <f>AND('STERLING CATALOG - FZN &amp; CHILL'!B49,"AAAAAFr91ts=")</f>
        <v>#VALUE!</v>
      </c>
      <c r="HM246" t="e">
        <f>AND('STERLING CATALOG - FZN &amp; CHILL'!C49,"AAAAAFr91tw=")</f>
        <v>#VALUE!</v>
      </c>
      <c r="HN246" t="e">
        <f>AND('STERLING CATALOG - FZN &amp; CHILL'!D49,"AAAAAFr91t0=")</f>
        <v>#VALUE!</v>
      </c>
      <c r="HO246" t="e">
        <f>AND('STERLING CATALOG - FZN &amp; CHILL'!E49,"AAAAAFr91t4=")</f>
        <v>#VALUE!</v>
      </c>
      <c r="HP246" t="e">
        <f>AND('STERLING CATALOG - FZN &amp; CHILL'!F49,"AAAAAFr91t8=")</f>
        <v>#VALUE!</v>
      </c>
      <c r="HQ246" t="e">
        <f>AND('STERLING CATALOG - FZN &amp; CHILL'!G49,"AAAAAFr91uA=")</f>
        <v>#VALUE!</v>
      </c>
      <c r="HR246" t="e">
        <f>AND('STERLING CATALOG - FZN &amp; CHILL'!H49,"AAAAAFr91uE=")</f>
        <v>#VALUE!</v>
      </c>
      <c r="HS246" t="e">
        <f>AND('STERLING CATALOG - FZN &amp; CHILL'!I49,"AAAAAFr91uI=")</f>
        <v>#VALUE!</v>
      </c>
      <c r="HT246" t="e">
        <f>AND('STERLING CATALOG - FZN &amp; CHILL'!J49,"AAAAAFr91uM=")</f>
        <v>#VALUE!</v>
      </c>
      <c r="HU246">
        <f>IF('STERLING CATALOG - FZN &amp; CHILL'!50:50,"AAAAAFr91uQ=",0)</f>
        <v>0</v>
      </c>
      <c r="HV246" t="e">
        <f>AND('STERLING CATALOG - FZN &amp; CHILL'!A50,"AAAAAFr91uU=")</f>
        <v>#VALUE!</v>
      </c>
      <c r="HW246" t="e">
        <f>AND('STERLING CATALOG - FZN &amp; CHILL'!B50,"AAAAAFr91uY=")</f>
        <v>#VALUE!</v>
      </c>
      <c r="HX246" t="e">
        <f>AND('STERLING CATALOG - FZN &amp; CHILL'!C50,"AAAAAFr91uc=")</f>
        <v>#VALUE!</v>
      </c>
      <c r="HY246" t="e">
        <f>AND('STERLING CATALOG - FZN &amp; CHILL'!D50,"AAAAAFr91ug=")</f>
        <v>#VALUE!</v>
      </c>
      <c r="HZ246" t="e">
        <f>AND('STERLING CATALOG - FZN &amp; CHILL'!E50,"AAAAAFr91uk=")</f>
        <v>#VALUE!</v>
      </c>
      <c r="IA246" t="e">
        <f>AND('STERLING CATALOG - FZN &amp; CHILL'!F50,"AAAAAFr91uo=")</f>
        <v>#VALUE!</v>
      </c>
      <c r="IB246" t="e">
        <f>AND('STERLING CATALOG - FZN &amp; CHILL'!G50,"AAAAAFr91us=")</f>
        <v>#VALUE!</v>
      </c>
      <c r="IC246" t="e">
        <f>AND('STERLING CATALOG - FZN &amp; CHILL'!H50,"AAAAAFr91uw=")</f>
        <v>#VALUE!</v>
      </c>
      <c r="ID246" t="e">
        <f>AND('STERLING CATALOG - FZN &amp; CHILL'!I50,"AAAAAFr91u0=")</f>
        <v>#VALUE!</v>
      </c>
      <c r="IE246" t="e">
        <f>AND('STERLING CATALOG - FZN &amp; CHILL'!J50,"AAAAAFr91u4=")</f>
        <v>#VALUE!</v>
      </c>
      <c r="IF246">
        <f>IF('STERLING CATALOG - FZN &amp; CHILL'!51:51,"AAAAAFr91u8=",0)</f>
        <v>0</v>
      </c>
      <c r="IG246" t="e">
        <f>AND('STERLING CATALOG - FZN &amp; CHILL'!A51,"AAAAAFr91vA=")</f>
        <v>#VALUE!</v>
      </c>
      <c r="IH246" t="e">
        <f>AND('STERLING CATALOG - FZN &amp; CHILL'!B51,"AAAAAFr91vE=")</f>
        <v>#VALUE!</v>
      </c>
      <c r="II246" t="e">
        <f>AND('STERLING CATALOG - FZN &amp; CHILL'!C51,"AAAAAFr91vI=")</f>
        <v>#VALUE!</v>
      </c>
      <c r="IJ246" t="e">
        <f>AND('STERLING CATALOG - FZN &amp; CHILL'!D51,"AAAAAFr91vM=")</f>
        <v>#VALUE!</v>
      </c>
      <c r="IK246" t="e">
        <f>AND('STERLING CATALOG - FZN &amp; CHILL'!E51,"AAAAAFr91vQ=")</f>
        <v>#VALUE!</v>
      </c>
      <c r="IL246" t="e">
        <f>AND('STERLING CATALOG - FZN &amp; CHILL'!F51,"AAAAAFr91vU=")</f>
        <v>#VALUE!</v>
      </c>
      <c r="IM246" t="e">
        <f>AND('STERLING CATALOG - FZN &amp; CHILL'!G51,"AAAAAFr91vY=")</f>
        <v>#VALUE!</v>
      </c>
      <c r="IN246" t="e">
        <f>AND('STERLING CATALOG - FZN &amp; CHILL'!H51,"AAAAAFr91vc=")</f>
        <v>#VALUE!</v>
      </c>
      <c r="IO246" t="e">
        <f>AND('STERLING CATALOG - FZN &amp; CHILL'!I51,"AAAAAFr91vg=")</f>
        <v>#VALUE!</v>
      </c>
      <c r="IP246" t="e">
        <f>AND('STERLING CATALOG - FZN &amp; CHILL'!J51,"AAAAAFr91vk=")</f>
        <v>#VALUE!</v>
      </c>
      <c r="IQ246">
        <f>IF('STERLING CATALOG - FZN &amp; CHILL'!52:52,"AAAAAFr91vo=",0)</f>
        <v>0</v>
      </c>
      <c r="IR246" t="e">
        <f>AND('STERLING CATALOG - FZN &amp; CHILL'!A52,"AAAAAFr91vs=")</f>
        <v>#VALUE!</v>
      </c>
      <c r="IS246" t="e">
        <f>AND('STERLING CATALOG - FZN &amp; CHILL'!B52,"AAAAAFr91vw=")</f>
        <v>#VALUE!</v>
      </c>
      <c r="IT246" t="e">
        <f>AND('STERLING CATALOG - FZN &amp; CHILL'!C52,"AAAAAFr91v0=")</f>
        <v>#VALUE!</v>
      </c>
      <c r="IU246" t="e">
        <f>AND('STERLING CATALOG - FZN &amp; CHILL'!D52,"AAAAAFr91v4=")</f>
        <v>#VALUE!</v>
      </c>
      <c r="IV246" t="e">
        <f>AND('STERLING CATALOG - FZN &amp; CHILL'!E52,"AAAAAFr91v8=")</f>
        <v>#VALUE!</v>
      </c>
    </row>
    <row r="247" spans="1:256">
      <c r="A247" t="e">
        <f>AND('STERLING CATALOG - FZN &amp; CHILL'!F52,"AAAAAGz3vwA=")</f>
        <v>#VALUE!</v>
      </c>
      <c r="B247" t="e">
        <f>AND('STERLING CATALOG - FZN &amp; CHILL'!G52,"AAAAAGz3vwE=")</f>
        <v>#VALUE!</v>
      </c>
      <c r="C247" t="e">
        <f>AND('STERLING CATALOG - FZN &amp; CHILL'!H52,"AAAAAGz3vwI=")</f>
        <v>#VALUE!</v>
      </c>
      <c r="D247" t="e">
        <f>AND('STERLING CATALOG - FZN &amp; CHILL'!I52,"AAAAAGz3vwM=")</f>
        <v>#VALUE!</v>
      </c>
      <c r="E247" t="e">
        <f>AND('STERLING CATALOG - FZN &amp; CHILL'!J52,"AAAAAGz3vwQ=")</f>
        <v>#VALUE!</v>
      </c>
      <c r="F247" t="str">
        <f>IF('STERLING CATALOG - FZN &amp; CHILL'!53:53,"AAAAAGz3vwU=",0)</f>
        <v>AAAAAGz3vwU=</v>
      </c>
      <c r="G247" t="e">
        <f>AND('STERLING CATALOG - FZN &amp; CHILL'!A53,"AAAAAGz3vwY=")</f>
        <v>#VALUE!</v>
      </c>
      <c r="H247" t="e">
        <f>AND('STERLING CATALOG - FZN &amp; CHILL'!B53,"AAAAAGz3vwc=")</f>
        <v>#VALUE!</v>
      </c>
      <c r="I247" t="e">
        <f>AND('STERLING CATALOG - FZN &amp; CHILL'!C53,"AAAAAGz3vwg=")</f>
        <v>#VALUE!</v>
      </c>
      <c r="J247" t="e">
        <f>AND('STERLING CATALOG - FZN &amp; CHILL'!D53,"AAAAAGz3vwk=")</f>
        <v>#VALUE!</v>
      </c>
      <c r="K247" t="e">
        <f>AND('STERLING CATALOG - FZN &amp; CHILL'!E53,"AAAAAGz3vwo=")</f>
        <v>#VALUE!</v>
      </c>
      <c r="L247" t="e">
        <f>AND('STERLING CATALOG - FZN &amp; CHILL'!F53,"AAAAAGz3vws=")</f>
        <v>#VALUE!</v>
      </c>
      <c r="M247" t="e">
        <f>AND('STERLING CATALOG - FZN &amp; CHILL'!G53,"AAAAAGz3vww=")</f>
        <v>#VALUE!</v>
      </c>
      <c r="N247" t="e">
        <f>AND('STERLING CATALOG - FZN &amp; CHILL'!H53,"AAAAAGz3vw0=")</f>
        <v>#VALUE!</v>
      </c>
      <c r="O247" t="e">
        <f>AND('STERLING CATALOG - FZN &amp; CHILL'!I53,"AAAAAGz3vw4=")</f>
        <v>#VALUE!</v>
      </c>
      <c r="P247" t="e">
        <f>AND('STERLING CATALOG - FZN &amp; CHILL'!J53,"AAAAAGz3vw8=")</f>
        <v>#VALUE!</v>
      </c>
      <c r="Q247">
        <f>IF('STERLING CATALOG - FZN &amp; CHILL'!54:54,"AAAAAGz3vxA=",0)</f>
        <v>0</v>
      </c>
      <c r="R247" t="e">
        <f>AND('STERLING CATALOG - FZN &amp; CHILL'!A54,"AAAAAGz3vxE=")</f>
        <v>#VALUE!</v>
      </c>
      <c r="S247" t="e">
        <f>AND('STERLING CATALOG - FZN &amp; CHILL'!B54,"AAAAAGz3vxI=")</f>
        <v>#VALUE!</v>
      </c>
      <c r="T247" t="e">
        <f>AND('STERLING CATALOG - FZN &amp; CHILL'!C54,"AAAAAGz3vxM=")</f>
        <v>#VALUE!</v>
      </c>
      <c r="U247" t="e">
        <f>AND('STERLING CATALOG - FZN &amp; CHILL'!D54,"AAAAAGz3vxQ=")</f>
        <v>#VALUE!</v>
      </c>
      <c r="V247" t="e">
        <f>AND('STERLING CATALOG - FZN &amp; CHILL'!E54,"AAAAAGz3vxU=")</f>
        <v>#VALUE!</v>
      </c>
      <c r="W247" t="e">
        <f>AND('STERLING CATALOG - FZN &amp; CHILL'!F54,"AAAAAGz3vxY=")</f>
        <v>#VALUE!</v>
      </c>
      <c r="X247" t="e">
        <f>AND('STERLING CATALOG - FZN &amp; CHILL'!G54,"AAAAAGz3vxc=")</f>
        <v>#VALUE!</v>
      </c>
      <c r="Y247" t="e">
        <f>AND('STERLING CATALOG - FZN &amp; CHILL'!H54,"AAAAAGz3vxg=")</f>
        <v>#VALUE!</v>
      </c>
      <c r="Z247" t="e">
        <f>AND('STERLING CATALOG - FZN &amp; CHILL'!I54,"AAAAAGz3vxk=")</f>
        <v>#VALUE!</v>
      </c>
      <c r="AA247" t="e">
        <f>AND('STERLING CATALOG - FZN &amp; CHILL'!J54,"AAAAAGz3vxo=")</f>
        <v>#VALUE!</v>
      </c>
      <c r="AB247">
        <f>IF('STERLING CATALOG - FZN &amp; CHILL'!55:55,"AAAAAGz3vxs=",0)</f>
        <v>0</v>
      </c>
      <c r="AC247" t="e">
        <f>AND('STERLING CATALOG - FZN &amp; CHILL'!A55,"AAAAAGz3vxw=")</f>
        <v>#VALUE!</v>
      </c>
      <c r="AD247" t="e">
        <f>AND('STERLING CATALOG - FZN &amp; CHILL'!B55,"AAAAAGz3vx0=")</f>
        <v>#VALUE!</v>
      </c>
      <c r="AE247" t="e">
        <f>AND('STERLING CATALOG - FZN &amp; CHILL'!C55,"AAAAAGz3vx4=")</f>
        <v>#VALUE!</v>
      </c>
      <c r="AF247" t="e">
        <f>AND('STERLING CATALOG - FZN &amp; CHILL'!D55,"AAAAAGz3vx8=")</f>
        <v>#VALUE!</v>
      </c>
      <c r="AG247" t="e">
        <f>AND('STERLING CATALOG - FZN &amp; CHILL'!E55,"AAAAAGz3vyA=")</f>
        <v>#VALUE!</v>
      </c>
      <c r="AH247" t="e">
        <f>AND('STERLING CATALOG - FZN &amp; CHILL'!F55,"AAAAAGz3vyE=")</f>
        <v>#VALUE!</v>
      </c>
      <c r="AI247" t="e">
        <f>AND('STERLING CATALOG - FZN &amp; CHILL'!G55,"AAAAAGz3vyI=")</f>
        <v>#VALUE!</v>
      </c>
      <c r="AJ247" t="e">
        <f>AND('STERLING CATALOG - FZN &amp; CHILL'!H55,"AAAAAGz3vyM=")</f>
        <v>#VALUE!</v>
      </c>
      <c r="AK247" t="e">
        <f>AND('STERLING CATALOG - FZN &amp; CHILL'!I55,"AAAAAGz3vyQ=")</f>
        <v>#VALUE!</v>
      </c>
      <c r="AL247" t="e">
        <f>AND('STERLING CATALOG - FZN &amp; CHILL'!J55,"AAAAAGz3vyU=")</f>
        <v>#VALUE!</v>
      </c>
      <c r="AM247">
        <f>IF('STERLING CATALOG - FZN &amp; CHILL'!56:56,"AAAAAGz3vyY=",0)</f>
        <v>0</v>
      </c>
      <c r="AN247" t="e">
        <f>AND('STERLING CATALOG - FZN &amp; CHILL'!A56,"AAAAAGz3vyc=")</f>
        <v>#VALUE!</v>
      </c>
      <c r="AO247" t="e">
        <f>AND('STERLING CATALOG - FZN &amp; CHILL'!B56,"AAAAAGz3vyg=")</f>
        <v>#VALUE!</v>
      </c>
      <c r="AP247" t="e">
        <f>AND('STERLING CATALOG - FZN &amp; CHILL'!C56,"AAAAAGz3vyk=")</f>
        <v>#VALUE!</v>
      </c>
      <c r="AQ247" t="e">
        <f>AND('STERLING CATALOG - FZN &amp; CHILL'!D56,"AAAAAGz3vyo=")</f>
        <v>#VALUE!</v>
      </c>
      <c r="AR247" t="e">
        <f>AND('STERLING CATALOG - FZN &amp; CHILL'!E56,"AAAAAGz3vys=")</f>
        <v>#VALUE!</v>
      </c>
      <c r="AS247" t="e">
        <f>AND('STERLING CATALOG - FZN &amp; CHILL'!F56,"AAAAAGz3vyw=")</f>
        <v>#VALUE!</v>
      </c>
      <c r="AT247" t="e">
        <f>AND('STERLING CATALOG - FZN &amp; CHILL'!G56,"AAAAAGz3vy0=")</f>
        <v>#VALUE!</v>
      </c>
      <c r="AU247" t="e">
        <f>AND('STERLING CATALOG - FZN &amp; CHILL'!H56,"AAAAAGz3vy4=")</f>
        <v>#VALUE!</v>
      </c>
      <c r="AV247" t="e">
        <f>AND('STERLING CATALOG - FZN &amp; CHILL'!I56,"AAAAAGz3vy8=")</f>
        <v>#VALUE!</v>
      </c>
      <c r="AW247" t="e">
        <f>AND('STERLING CATALOG - FZN &amp; CHILL'!J56,"AAAAAGz3vzA=")</f>
        <v>#VALUE!</v>
      </c>
      <c r="AX247">
        <f>IF('STERLING CATALOG - FZN &amp; CHILL'!57:57,"AAAAAGz3vzE=",0)</f>
        <v>0</v>
      </c>
      <c r="AY247" t="e">
        <f>AND('STERLING CATALOG - FZN &amp; CHILL'!A57,"AAAAAGz3vzI=")</f>
        <v>#VALUE!</v>
      </c>
      <c r="AZ247" t="e">
        <f>AND('STERLING CATALOG - FZN &amp; CHILL'!B57,"AAAAAGz3vzM=")</f>
        <v>#VALUE!</v>
      </c>
      <c r="BA247" t="e">
        <f>AND('STERLING CATALOG - FZN &amp; CHILL'!C57,"AAAAAGz3vzQ=")</f>
        <v>#VALUE!</v>
      </c>
      <c r="BB247" t="e">
        <f>AND('STERLING CATALOG - FZN &amp; CHILL'!D57,"AAAAAGz3vzU=")</f>
        <v>#VALUE!</v>
      </c>
      <c r="BC247" t="e">
        <f>AND('STERLING CATALOG - FZN &amp; CHILL'!E57,"AAAAAGz3vzY=")</f>
        <v>#VALUE!</v>
      </c>
      <c r="BD247" t="e">
        <f>AND('STERLING CATALOG - FZN &amp; CHILL'!F57,"AAAAAGz3vzc=")</f>
        <v>#VALUE!</v>
      </c>
      <c r="BE247" t="e">
        <f>AND('STERLING CATALOG - FZN &amp; CHILL'!G57,"AAAAAGz3vzg=")</f>
        <v>#VALUE!</v>
      </c>
      <c r="BF247" t="e">
        <f>AND('STERLING CATALOG - FZN &amp; CHILL'!H57,"AAAAAGz3vzk=")</f>
        <v>#VALUE!</v>
      </c>
      <c r="BG247" t="e">
        <f>AND('STERLING CATALOG - FZN &amp; CHILL'!I57,"AAAAAGz3vzo=")</f>
        <v>#VALUE!</v>
      </c>
      <c r="BH247" t="e">
        <f>AND('STERLING CATALOG - FZN &amp; CHILL'!J57,"AAAAAGz3vzs=")</f>
        <v>#VALUE!</v>
      </c>
      <c r="BI247">
        <f>IF('STERLING CATALOG - FZN &amp; CHILL'!58:58,"AAAAAGz3vzw=",0)</f>
        <v>0</v>
      </c>
      <c r="BJ247" t="e">
        <f>AND('STERLING CATALOG - FZN &amp; CHILL'!A58,"AAAAAGz3vz0=")</f>
        <v>#VALUE!</v>
      </c>
      <c r="BK247" t="e">
        <f>AND('STERLING CATALOG - FZN &amp; CHILL'!B58,"AAAAAGz3vz4=")</f>
        <v>#VALUE!</v>
      </c>
      <c r="BL247" t="e">
        <f>AND('STERLING CATALOG - FZN &amp; CHILL'!C58,"AAAAAGz3vz8=")</f>
        <v>#VALUE!</v>
      </c>
      <c r="BM247" t="e">
        <f>AND('STERLING CATALOG - FZN &amp; CHILL'!D58,"AAAAAGz3v0A=")</f>
        <v>#VALUE!</v>
      </c>
      <c r="BN247" t="e">
        <f>AND('STERLING CATALOG - FZN &amp; CHILL'!E58,"AAAAAGz3v0E=")</f>
        <v>#VALUE!</v>
      </c>
      <c r="BO247" t="e">
        <f>AND('STERLING CATALOG - FZN &amp; CHILL'!F58,"AAAAAGz3v0I=")</f>
        <v>#VALUE!</v>
      </c>
      <c r="BP247" t="e">
        <f>AND('STERLING CATALOG - FZN &amp; CHILL'!G58,"AAAAAGz3v0M=")</f>
        <v>#VALUE!</v>
      </c>
      <c r="BQ247" t="e">
        <f>AND('STERLING CATALOG - FZN &amp; CHILL'!H58,"AAAAAGz3v0Q=")</f>
        <v>#VALUE!</v>
      </c>
      <c r="BR247" t="e">
        <f>AND('STERLING CATALOG - FZN &amp; CHILL'!I58,"AAAAAGz3v0U=")</f>
        <v>#VALUE!</v>
      </c>
      <c r="BS247" t="e">
        <f>AND('STERLING CATALOG - FZN &amp; CHILL'!J58,"AAAAAGz3v0Y=")</f>
        <v>#VALUE!</v>
      </c>
      <c r="BT247">
        <f>IF('STERLING CATALOG - FZN &amp; CHILL'!59:59,"AAAAAGz3v0c=",0)</f>
        <v>0</v>
      </c>
      <c r="BU247" t="e">
        <f>AND('STERLING CATALOG - FZN &amp; CHILL'!A59,"AAAAAGz3v0g=")</f>
        <v>#VALUE!</v>
      </c>
      <c r="BV247" t="e">
        <f>AND('STERLING CATALOG - FZN &amp; CHILL'!B59,"AAAAAGz3v0k=")</f>
        <v>#VALUE!</v>
      </c>
      <c r="BW247" t="e">
        <f>AND('STERLING CATALOG - FZN &amp; CHILL'!C59,"AAAAAGz3v0o=")</f>
        <v>#VALUE!</v>
      </c>
      <c r="BX247" t="e">
        <f>AND('STERLING CATALOG - FZN &amp; CHILL'!D59,"AAAAAGz3v0s=")</f>
        <v>#VALUE!</v>
      </c>
      <c r="BY247" t="e">
        <f>AND('STERLING CATALOG - FZN &amp; CHILL'!E59,"AAAAAGz3v0w=")</f>
        <v>#VALUE!</v>
      </c>
      <c r="BZ247" t="e">
        <f>AND('STERLING CATALOG - FZN &amp; CHILL'!F59,"AAAAAGz3v00=")</f>
        <v>#VALUE!</v>
      </c>
      <c r="CA247" t="e">
        <f>AND('STERLING CATALOG - FZN &amp; CHILL'!G59,"AAAAAGz3v04=")</f>
        <v>#VALUE!</v>
      </c>
      <c r="CB247" t="e">
        <f>AND('STERLING CATALOG - FZN &amp; CHILL'!H59,"AAAAAGz3v08=")</f>
        <v>#VALUE!</v>
      </c>
      <c r="CC247" t="e">
        <f>AND('STERLING CATALOG - FZN &amp; CHILL'!I59,"AAAAAGz3v1A=")</f>
        <v>#VALUE!</v>
      </c>
      <c r="CD247" t="e">
        <f>AND('STERLING CATALOG - FZN &amp; CHILL'!J59,"AAAAAGz3v1E=")</f>
        <v>#VALUE!</v>
      </c>
      <c r="CE247">
        <f>IF('STERLING CATALOG - FZN &amp; CHILL'!60:60,"AAAAAGz3v1I=",0)</f>
        <v>0</v>
      </c>
      <c r="CF247" t="e">
        <f>AND('STERLING CATALOG - FZN &amp; CHILL'!A60,"AAAAAGz3v1M=")</f>
        <v>#VALUE!</v>
      </c>
      <c r="CG247" t="e">
        <f>AND('STERLING CATALOG - FZN &amp; CHILL'!B60,"AAAAAGz3v1Q=")</f>
        <v>#VALUE!</v>
      </c>
      <c r="CH247" t="e">
        <f>AND('STERLING CATALOG - FZN &amp; CHILL'!C60,"AAAAAGz3v1U=")</f>
        <v>#VALUE!</v>
      </c>
      <c r="CI247" t="e">
        <f>AND('STERLING CATALOG - FZN &amp; CHILL'!D60,"AAAAAGz3v1Y=")</f>
        <v>#VALUE!</v>
      </c>
      <c r="CJ247" t="e">
        <f>AND('STERLING CATALOG - FZN &amp; CHILL'!E60,"AAAAAGz3v1c=")</f>
        <v>#VALUE!</v>
      </c>
      <c r="CK247" t="e">
        <f>AND('STERLING CATALOG - FZN &amp; CHILL'!F60,"AAAAAGz3v1g=")</f>
        <v>#VALUE!</v>
      </c>
      <c r="CL247" t="e">
        <f>AND('STERLING CATALOG - FZN &amp; CHILL'!G60,"AAAAAGz3v1k=")</f>
        <v>#VALUE!</v>
      </c>
      <c r="CM247" t="e">
        <f>AND('STERLING CATALOG - FZN &amp; CHILL'!H60,"AAAAAGz3v1o=")</f>
        <v>#VALUE!</v>
      </c>
      <c r="CN247" t="e">
        <f>AND('STERLING CATALOG - FZN &amp; CHILL'!I60,"AAAAAGz3v1s=")</f>
        <v>#VALUE!</v>
      </c>
      <c r="CO247" t="e">
        <f>AND('STERLING CATALOG - FZN &amp; CHILL'!J60,"AAAAAGz3v1w=")</f>
        <v>#VALUE!</v>
      </c>
      <c r="CP247">
        <f>IF('STERLING CATALOG - FZN &amp; CHILL'!61:61,"AAAAAGz3v10=",0)</f>
        <v>0</v>
      </c>
      <c r="CQ247" t="e">
        <f>AND('STERLING CATALOG - FZN &amp; CHILL'!A61,"AAAAAGz3v14=")</f>
        <v>#VALUE!</v>
      </c>
      <c r="CR247" t="e">
        <f>AND('STERLING CATALOG - FZN &amp; CHILL'!B61,"AAAAAGz3v18=")</f>
        <v>#VALUE!</v>
      </c>
      <c r="CS247" t="e">
        <f>AND('STERLING CATALOG - FZN &amp; CHILL'!C61,"AAAAAGz3v2A=")</f>
        <v>#VALUE!</v>
      </c>
      <c r="CT247" t="e">
        <f>AND('STERLING CATALOG - FZN &amp; CHILL'!D61,"AAAAAGz3v2E=")</f>
        <v>#VALUE!</v>
      </c>
      <c r="CU247" t="e">
        <f>AND('STERLING CATALOG - FZN &amp; CHILL'!E61,"AAAAAGz3v2I=")</f>
        <v>#VALUE!</v>
      </c>
      <c r="CV247" t="e">
        <f>AND('STERLING CATALOG - FZN &amp; CHILL'!F61,"AAAAAGz3v2M=")</f>
        <v>#VALUE!</v>
      </c>
      <c r="CW247" t="e">
        <f>AND('STERLING CATALOG - FZN &amp; CHILL'!G61,"AAAAAGz3v2Q=")</f>
        <v>#VALUE!</v>
      </c>
      <c r="CX247" t="e">
        <f>AND('STERLING CATALOG - FZN &amp; CHILL'!H61,"AAAAAGz3v2U=")</f>
        <v>#VALUE!</v>
      </c>
      <c r="CY247" t="e">
        <f>AND('STERLING CATALOG - FZN &amp; CHILL'!I61,"AAAAAGz3v2Y=")</f>
        <v>#VALUE!</v>
      </c>
      <c r="CZ247" t="e">
        <f>AND('STERLING CATALOG - FZN &amp; CHILL'!J61,"AAAAAGz3v2c=")</f>
        <v>#VALUE!</v>
      </c>
      <c r="DA247">
        <f>IF('STERLING CATALOG - FZN &amp; CHILL'!62:62,"AAAAAGz3v2g=",0)</f>
        <v>0</v>
      </c>
      <c r="DB247" t="e">
        <f>AND('STERLING CATALOG - FZN &amp; CHILL'!A62,"AAAAAGz3v2k=")</f>
        <v>#VALUE!</v>
      </c>
      <c r="DC247" t="e">
        <f>AND('STERLING CATALOG - FZN &amp; CHILL'!B62,"AAAAAGz3v2o=")</f>
        <v>#VALUE!</v>
      </c>
      <c r="DD247" t="e">
        <f>AND('STERLING CATALOG - FZN &amp; CHILL'!C62,"AAAAAGz3v2s=")</f>
        <v>#VALUE!</v>
      </c>
      <c r="DE247" t="e">
        <f>AND('STERLING CATALOG - FZN &amp; CHILL'!D62,"AAAAAGz3v2w=")</f>
        <v>#VALUE!</v>
      </c>
      <c r="DF247" t="e">
        <f>AND('STERLING CATALOG - FZN &amp; CHILL'!E62,"AAAAAGz3v20=")</f>
        <v>#VALUE!</v>
      </c>
      <c r="DG247" t="e">
        <f>AND('STERLING CATALOG - FZN &amp; CHILL'!F62,"AAAAAGz3v24=")</f>
        <v>#VALUE!</v>
      </c>
      <c r="DH247" t="e">
        <f>AND('STERLING CATALOG - FZN &amp; CHILL'!G62,"AAAAAGz3v28=")</f>
        <v>#VALUE!</v>
      </c>
      <c r="DI247" t="e">
        <f>AND('STERLING CATALOG - FZN &amp; CHILL'!H62,"AAAAAGz3v3A=")</f>
        <v>#VALUE!</v>
      </c>
      <c r="DJ247" t="e">
        <f>AND('STERLING CATALOG - FZN &amp; CHILL'!I62,"AAAAAGz3v3E=")</f>
        <v>#VALUE!</v>
      </c>
      <c r="DK247" t="e">
        <f>AND('STERLING CATALOG - FZN &amp; CHILL'!J62,"AAAAAGz3v3I=")</f>
        <v>#VALUE!</v>
      </c>
      <c r="DL247">
        <f>IF('STERLING CATALOG - FZN &amp; CHILL'!63:63,"AAAAAGz3v3M=",0)</f>
        <v>0</v>
      </c>
      <c r="DM247" t="e">
        <f>AND('STERLING CATALOG - FZN &amp; CHILL'!A63,"AAAAAGz3v3Q=")</f>
        <v>#VALUE!</v>
      </c>
      <c r="DN247" t="e">
        <f>AND('STERLING CATALOG - FZN &amp; CHILL'!B63,"AAAAAGz3v3U=")</f>
        <v>#VALUE!</v>
      </c>
      <c r="DO247" t="e">
        <f>AND('STERLING CATALOG - FZN &amp; CHILL'!C63,"AAAAAGz3v3Y=")</f>
        <v>#VALUE!</v>
      </c>
      <c r="DP247" t="e">
        <f>AND('STERLING CATALOG - FZN &amp; CHILL'!D63,"AAAAAGz3v3c=")</f>
        <v>#VALUE!</v>
      </c>
      <c r="DQ247" t="e">
        <f>AND('STERLING CATALOG - FZN &amp; CHILL'!E63,"AAAAAGz3v3g=")</f>
        <v>#VALUE!</v>
      </c>
      <c r="DR247" t="e">
        <f>AND('STERLING CATALOG - FZN &amp; CHILL'!F63,"AAAAAGz3v3k=")</f>
        <v>#VALUE!</v>
      </c>
      <c r="DS247" t="e">
        <f>AND('STERLING CATALOG - FZN &amp; CHILL'!G63,"AAAAAGz3v3o=")</f>
        <v>#VALUE!</v>
      </c>
      <c r="DT247" t="e">
        <f>AND('STERLING CATALOG - FZN &amp; CHILL'!H63,"AAAAAGz3v3s=")</f>
        <v>#VALUE!</v>
      </c>
      <c r="DU247" t="e">
        <f>AND('STERLING CATALOG - FZN &amp; CHILL'!I63,"AAAAAGz3v3w=")</f>
        <v>#VALUE!</v>
      </c>
      <c r="DV247" t="e">
        <f>AND('STERLING CATALOG - FZN &amp; CHILL'!J63,"AAAAAGz3v30=")</f>
        <v>#VALUE!</v>
      </c>
      <c r="DW247">
        <f>IF('STERLING CATALOG - FZN &amp; CHILL'!64:64,"AAAAAGz3v34=",0)</f>
        <v>0</v>
      </c>
      <c r="DX247" t="e">
        <f>AND('STERLING CATALOG - FZN &amp; CHILL'!A64,"AAAAAGz3v38=")</f>
        <v>#VALUE!</v>
      </c>
      <c r="DY247" t="e">
        <f>AND('STERLING CATALOG - FZN &amp; CHILL'!B64,"AAAAAGz3v4A=")</f>
        <v>#VALUE!</v>
      </c>
      <c r="DZ247" t="e">
        <f>AND('STERLING CATALOG - FZN &amp; CHILL'!C64,"AAAAAGz3v4E=")</f>
        <v>#VALUE!</v>
      </c>
      <c r="EA247" t="e">
        <f>AND('STERLING CATALOG - FZN &amp; CHILL'!D64,"AAAAAGz3v4I=")</f>
        <v>#VALUE!</v>
      </c>
      <c r="EB247" t="e">
        <f>AND('STERLING CATALOG - FZN &amp; CHILL'!E64,"AAAAAGz3v4M=")</f>
        <v>#VALUE!</v>
      </c>
      <c r="EC247" t="e">
        <f>AND('STERLING CATALOG - FZN &amp; CHILL'!F64,"AAAAAGz3v4Q=")</f>
        <v>#VALUE!</v>
      </c>
      <c r="ED247" t="e">
        <f>AND('STERLING CATALOG - FZN &amp; CHILL'!G64,"AAAAAGz3v4U=")</f>
        <v>#VALUE!</v>
      </c>
      <c r="EE247" t="e">
        <f>AND('STERLING CATALOG - FZN &amp; CHILL'!H64,"AAAAAGz3v4Y=")</f>
        <v>#VALUE!</v>
      </c>
      <c r="EF247" t="e">
        <f>AND('STERLING CATALOG - FZN &amp; CHILL'!I64,"AAAAAGz3v4c=")</f>
        <v>#VALUE!</v>
      </c>
      <c r="EG247" t="e">
        <f>AND('STERLING CATALOG - FZN &amp; CHILL'!J64,"AAAAAGz3v4g=")</f>
        <v>#VALUE!</v>
      </c>
      <c r="EH247">
        <f>IF('STERLING CATALOG - FZN &amp; CHILL'!65:65,"AAAAAGz3v4k=",0)</f>
        <v>0</v>
      </c>
      <c r="EI247" t="e">
        <f>AND('STERLING CATALOG - FZN &amp; CHILL'!A65,"AAAAAGz3v4o=")</f>
        <v>#VALUE!</v>
      </c>
      <c r="EJ247" t="e">
        <f>AND('STERLING CATALOG - FZN &amp; CHILL'!B65,"AAAAAGz3v4s=")</f>
        <v>#VALUE!</v>
      </c>
      <c r="EK247" t="e">
        <f>AND('STERLING CATALOG - FZN &amp; CHILL'!C65,"AAAAAGz3v4w=")</f>
        <v>#VALUE!</v>
      </c>
      <c r="EL247" t="e">
        <f>AND('STERLING CATALOG - FZN &amp; CHILL'!D65,"AAAAAGz3v40=")</f>
        <v>#VALUE!</v>
      </c>
      <c r="EM247" t="e">
        <f>AND('STERLING CATALOG - FZN &amp; CHILL'!E65,"AAAAAGz3v44=")</f>
        <v>#VALUE!</v>
      </c>
      <c r="EN247" t="e">
        <f>AND('STERLING CATALOG - FZN &amp; CHILL'!F65,"AAAAAGz3v48=")</f>
        <v>#VALUE!</v>
      </c>
      <c r="EO247" t="e">
        <f>AND('STERLING CATALOG - FZN &amp; CHILL'!G65,"AAAAAGz3v5A=")</f>
        <v>#VALUE!</v>
      </c>
      <c r="EP247" t="e">
        <f>AND('STERLING CATALOG - FZN &amp; CHILL'!H65,"AAAAAGz3v5E=")</f>
        <v>#VALUE!</v>
      </c>
      <c r="EQ247" t="e">
        <f>AND('STERLING CATALOG - FZN &amp; CHILL'!I65,"AAAAAGz3v5I=")</f>
        <v>#VALUE!</v>
      </c>
      <c r="ER247" t="e">
        <f>AND('STERLING CATALOG - FZN &amp; CHILL'!J65,"AAAAAGz3v5M=")</f>
        <v>#VALUE!</v>
      </c>
      <c r="ES247">
        <f>IF('STERLING CATALOG - FZN &amp; CHILL'!66:66,"AAAAAGz3v5Q=",0)</f>
        <v>0</v>
      </c>
      <c r="ET247" t="e">
        <f>AND('STERLING CATALOG - FZN &amp; CHILL'!A66,"AAAAAGz3v5U=")</f>
        <v>#VALUE!</v>
      </c>
      <c r="EU247" t="e">
        <f>AND('STERLING CATALOG - FZN &amp; CHILL'!B66,"AAAAAGz3v5Y=")</f>
        <v>#VALUE!</v>
      </c>
      <c r="EV247" t="e">
        <f>AND('STERLING CATALOG - FZN &amp; CHILL'!C66,"AAAAAGz3v5c=")</f>
        <v>#VALUE!</v>
      </c>
      <c r="EW247" t="e">
        <f>AND('STERLING CATALOG - FZN &amp; CHILL'!D66,"AAAAAGz3v5g=")</f>
        <v>#VALUE!</v>
      </c>
      <c r="EX247" t="e">
        <f>AND('STERLING CATALOG - FZN &amp; CHILL'!E66,"AAAAAGz3v5k=")</f>
        <v>#VALUE!</v>
      </c>
      <c r="EY247" t="e">
        <f>AND('STERLING CATALOG - FZN &amp; CHILL'!F66,"AAAAAGz3v5o=")</f>
        <v>#VALUE!</v>
      </c>
      <c r="EZ247" t="e">
        <f>AND('STERLING CATALOG - FZN &amp; CHILL'!G66,"AAAAAGz3v5s=")</f>
        <v>#VALUE!</v>
      </c>
      <c r="FA247" t="e">
        <f>AND('STERLING CATALOG - FZN &amp; CHILL'!H66,"AAAAAGz3v5w=")</f>
        <v>#VALUE!</v>
      </c>
      <c r="FB247" t="e">
        <f>AND('STERLING CATALOG - FZN &amp; CHILL'!I66,"AAAAAGz3v50=")</f>
        <v>#VALUE!</v>
      </c>
      <c r="FC247" t="e">
        <f>AND('STERLING CATALOG - FZN &amp; CHILL'!J66,"AAAAAGz3v54=")</f>
        <v>#VALUE!</v>
      </c>
      <c r="FD247">
        <f>IF('STERLING CATALOG - FZN &amp; CHILL'!67:67,"AAAAAGz3v58=",0)</f>
        <v>0</v>
      </c>
      <c r="FE247" t="e">
        <f>AND('STERLING CATALOG - FZN &amp; CHILL'!A67,"AAAAAGz3v6A=")</f>
        <v>#VALUE!</v>
      </c>
      <c r="FF247" t="e">
        <f>AND('STERLING CATALOG - FZN &amp; CHILL'!B67,"AAAAAGz3v6E=")</f>
        <v>#VALUE!</v>
      </c>
      <c r="FG247" t="e">
        <f>AND('STERLING CATALOG - FZN &amp; CHILL'!C67,"AAAAAGz3v6I=")</f>
        <v>#VALUE!</v>
      </c>
      <c r="FH247" t="e">
        <f>AND('STERLING CATALOG - FZN &amp; CHILL'!D67,"AAAAAGz3v6M=")</f>
        <v>#VALUE!</v>
      </c>
      <c r="FI247" t="e">
        <f>AND('STERLING CATALOG - FZN &amp; CHILL'!E67,"AAAAAGz3v6Q=")</f>
        <v>#VALUE!</v>
      </c>
      <c r="FJ247" t="e">
        <f>AND('STERLING CATALOG - FZN &amp; CHILL'!F67,"AAAAAGz3v6U=")</f>
        <v>#VALUE!</v>
      </c>
      <c r="FK247" t="e">
        <f>AND('STERLING CATALOG - FZN &amp; CHILL'!G67,"AAAAAGz3v6Y=")</f>
        <v>#VALUE!</v>
      </c>
      <c r="FL247" t="e">
        <f>AND('STERLING CATALOG - FZN &amp; CHILL'!H67,"AAAAAGz3v6c=")</f>
        <v>#VALUE!</v>
      </c>
      <c r="FM247" t="e">
        <f>AND('STERLING CATALOG - FZN &amp; CHILL'!I67,"AAAAAGz3v6g=")</f>
        <v>#VALUE!</v>
      </c>
      <c r="FN247" t="e">
        <f>AND('STERLING CATALOG - FZN &amp; CHILL'!J67,"AAAAAGz3v6k=")</f>
        <v>#VALUE!</v>
      </c>
      <c r="FO247">
        <f>IF('STERLING CATALOG - FZN &amp; CHILL'!68:68,"AAAAAGz3v6o=",0)</f>
        <v>0</v>
      </c>
      <c r="FP247" t="e">
        <f>AND('STERLING CATALOG - FZN &amp; CHILL'!A68,"AAAAAGz3v6s=")</f>
        <v>#VALUE!</v>
      </c>
      <c r="FQ247" t="e">
        <f>AND('STERLING CATALOG - FZN &amp; CHILL'!B68,"AAAAAGz3v6w=")</f>
        <v>#VALUE!</v>
      </c>
      <c r="FR247" t="e">
        <f>AND('STERLING CATALOG - FZN &amp; CHILL'!C68,"AAAAAGz3v60=")</f>
        <v>#VALUE!</v>
      </c>
      <c r="FS247" t="e">
        <f>AND('STERLING CATALOG - FZN &amp; CHILL'!D68,"AAAAAGz3v64=")</f>
        <v>#VALUE!</v>
      </c>
      <c r="FT247" t="e">
        <f>AND('STERLING CATALOG - FZN &amp; CHILL'!E68,"AAAAAGz3v68=")</f>
        <v>#VALUE!</v>
      </c>
      <c r="FU247" t="e">
        <f>AND('STERLING CATALOG - FZN &amp; CHILL'!F68,"AAAAAGz3v7A=")</f>
        <v>#VALUE!</v>
      </c>
      <c r="FV247" t="e">
        <f>AND('STERLING CATALOG - FZN &amp; CHILL'!G68,"AAAAAGz3v7E=")</f>
        <v>#VALUE!</v>
      </c>
      <c r="FW247" t="e">
        <f>AND('STERLING CATALOG - FZN &amp; CHILL'!H68,"AAAAAGz3v7I=")</f>
        <v>#VALUE!</v>
      </c>
      <c r="FX247" t="e">
        <f>AND('STERLING CATALOG - FZN &amp; CHILL'!I68,"AAAAAGz3v7M=")</f>
        <v>#VALUE!</v>
      </c>
      <c r="FY247" t="e">
        <f>AND('STERLING CATALOG - FZN &amp; CHILL'!J68,"AAAAAGz3v7Q=")</f>
        <v>#VALUE!</v>
      </c>
      <c r="FZ247">
        <f>IF('STERLING CATALOG - FZN &amp; CHILL'!69:69,"AAAAAGz3v7U=",0)</f>
        <v>0</v>
      </c>
      <c r="GA247" t="e">
        <f>AND('STERLING CATALOG - FZN &amp; CHILL'!A69,"AAAAAGz3v7Y=")</f>
        <v>#VALUE!</v>
      </c>
      <c r="GB247" t="e">
        <f>AND('STERLING CATALOG - FZN &amp; CHILL'!B69,"AAAAAGz3v7c=")</f>
        <v>#VALUE!</v>
      </c>
      <c r="GC247" t="e">
        <f>AND('STERLING CATALOG - FZN &amp; CHILL'!C69,"AAAAAGz3v7g=")</f>
        <v>#VALUE!</v>
      </c>
      <c r="GD247" t="e">
        <f>AND('STERLING CATALOG - FZN &amp; CHILL'!D69,"AAAAAGz3v7k=")</f>
        <v>#VALUE!</v>
      </c>
      <c r="GE247" t="e">
        <f>AND('STERLING CATALOG - FZN &amp; CHILL'!E69,"AAAAAGz3v7o=")</f>
        <v>#VALUE!</v>
      </c>
      <c r="GF247" t="e">
        <f>AND('STERLING CATALOG - FZN &amp; CHILL'!F69,"AAAAAGz3v7s=")</f>
        <v>#VALUE!</v>
      </c>
      <c r="GG247" t="e">
        <f>AND('STERLING CATALOG - FZN &amp; CHILL'!G69,"AAAAAGz3v7w=")</f>
        <v>#VALUE!</v>
      </c>
      <c r="GH247" t="e">
        <f>AND('STERLING CATALOG - FZN &amp; CHILL'!H69,"AAAAAGz3v70=")</f>
        <v>#VALUE!</v>
      </c>
      <c r="GI247" t="e">
        <f>AND('STERLING CATALOG - FZN &amp; CHILL'!I69,"AAAAAGz3v74=")</f>
        <v>#VALUE!</v>
      </c>
      <c r="GJ247" t="e">
        <f>AND('STERLING CATALOG - FZN &amp; CHILL'!J69,"AAAAAGz3v78=")</f>
        <v>#VALUE!</v>
      </c>
      <c r="GK247">
        <f>IF('STERLING CATALOG - FZN &amp; CHILL'!70:70,"AAAAAGz3v8A=",0)</f>
        <v>0</v>
      </c>
      <c r="GL247" t="e">
        <f>AND('STERLING CATALOG - FZN &amp; CHILL'!A70,"AAAAAGz3v8E=")</f>
        <v>#VALUE!</v>
      </c>
      <c r="GM247" t="e">
        <f>AND('STERLING CATALOG - FZN &amp; CHILL'!B70,"AAAAAGz3v8I=")</f>
        <v>#VALUE!</v>
      </c>
      <c r="GN247" t="e">
        <f>AND('STERLING CATALOG - FZN &amp; CHILL'!C70,"AAAAAGz3v8M=")</f>
        <v>#VALUE!</v>
      </c>
      <c r="GO247" t="e">
        <f>AND('STERLING CATALOG - FZN &amp; CHILL'!D70,"AAAAAGz3v8Q=")</f>
        <v>#VALUE!</v>
      </c>
      <c r="GP247" t="e">
        <f>AND('STERLING CATALOG - FZN &amp; CHILL'!E70,"AAAAAGz3v8U=")</f>
        <v>#VALUE!</v>
      </c>
      <c r="GQ247" t="e">
        <f>AND('STERLING CATALOG - FZN &amp; CHILL'!F70,"AAAAAGz3v8Y=")</f>
        <v>#VALUE!</v>
      </c>
      <c r="GR247" t="e">
        <f>AND('STERLING CATALOG - FZN &amp; CHILL'!G70,"AAAAAGz3v8c=")</f>
        <v>#VALUE!</v>
      </c>
      <c r="GS247" t="e">
        <f>AND('STERLING CATALOG - FZN &amp; CHILL'!H70,"AAAAAGz3v8g=")</f>
        <v>#VALUE!</v>
      </c>
      <c r="GT247" t="e">
        <f>AND('STERLING CATALOG - FZN &amp; CHILL'!I70,"AAAAAGz3v8k=")</f>
        <v>#VALUE!</v>
      </c>
      <c r="GU247" t="e">
        <f>AND('STERLING CATALOG - FZN &amp; CHILL'!J70,"AAAAAGz3v8o=")</f>
        <v>#VALUE!</v>
      </c>
      <c r="GV247">
        <f>IF('STERLING CATALOG - FZN &amp; CHILL'!71:71,"AAAAAGz3v8s=",0)</f>
        <v>0</v>
      </c>
      <c r="GW247" t="e">
        <f>AND('STERLING CATALOG - FZN &amp; CHILL'!A71,"AAAAAGz3v8w=")</f>
        <v>#VALUE!</v>
      </c>
      <c r="GX247" t="e">
        <f>AND('STERLING CATALOG - FZN &amp; CHILL'!B71,"AAAAAGz3v80=")</f>
        <v>#VALUE!</v>
      </c>
      <c r="GY247" t="e">
        <f>AND('STERLING CATALOG - FZN &amp; CHILL'!C71,"AAAAAGz3v84=")</f>
        <v>#VALUE!</v>
      </c>
      <c r="GZ247" t="e">
        <f>AND('STERLING CATALOG - FZN &amp; CHILL'!D71,"AAAAAGz3v88=")</f>
        <v>#VALUE!</v>
      </c>
      <c r="HA247" t="e">
        <f>AND('STERLING CATALOG - FZN &amp; CHILL'!E71,"AAAAAGz3v9A=")</f>
        <v>#VALUE!</v>
      </c>
      <c r="HB247" t="e">
        <f>AND('STERLING CATALOG - FZN &amp; CHILL'!F71,"AAAAAGz3v9E=")</f>
        <v>#VALUE!</v>
      </c>
      <c r="HC247" t="e">
        <f>AND('STERLING CATALOG - FZN &amp; CHILL'!G71,"AAAAAGz3v9I=")</f>
        <v>#VALUE!</v>
      </c>
      <c r="HD247" t="e">
        <f>AND('STERLING CATALOG - FZN &amp; CHILL'!H71,"AAAAAGz3v9M=")</f>
        <v>#VALUE!</v>
      </c>
      <c r="HE247" t="e">
        <f>AND('STERLING CATALOG - FZN &amp; CHILL'!I71,"AAAAAGz3v9Q=")</f>
        <v>#VALUE!</v>
      </c>
      <c r="HF247" t="e">
        <f>AND('STERLING CATALOG - FZN &amp; CHILL'!J71,"AAAAAGz3v9U=")</f>
        <v>#VALUE!</v>
      </c>
      <c r="HG247">
        <f>IF('STERLING CATALOG - FZN &amp; CHILL'!72:72,"AAAAAGz3v9Y=",0)</f>
        <v>0</v>
      </c>
      <c r="HH247" t="e">
        <f>AND('STERLING CATALOG - FZN &amp; CHILL'!A72,"AAAAAGz3v9c=")</f>
        <v>#VALUE!</v>
      </c>
      <c r="HI247" t="e">
        <f>AND('STERLING CATALOG - FZN &amp; CHILL'!B72,"AAAAAGz3v9g=")</f>
        <v>#VALUE!</v>
      </c>
      <c r="HJ247" t="e">
        <f>AND('STERLING CATALOG - FZN &amp; CHILL'!C72,"AAAAAGz3v9k=")</f>
        <v>#VALUE!</v>
      </c>
      <c r="HK247" t="e">
        <f>AND('STERLING CATALOG - FZN &amp; CHILL'!D72,"AAAAAGz3v9o=")</f>
        <v>#VALUE!</v>
      </c>
      <c r="HL247" t="e">
        <f>AND('STERLING CATALOG - FZN &amp; CHILL'!E72,"AAAAAGz3v9s=")</f>
        <v>#VALUE!</v>
      </c>
      <c r="HM247" t="e">
        <f>AND('STERLING CATALOG - FZN &amp; CHILL'!F72,"AAAAAGz3v9w=")</f>
        <v>#VALUE!</v>
      </c>
      <c r="HN247" t="e">
        <f>AND('STERLING CATALOG - FZN &amp; CHILL'!G72,"AAAAAGz3v90=")</f>
        <v>#VALUE!</v>
      </c>
      <c r="HO247" t="e">
        <f>AND('STERLING CATALOG - FZN &amp; CHILL'!H72,"AAAAAGz3v94=")</f>
        <v>#VALUE!</v>
      </c>
      <c r="HP247" t="e">
        <f>AND('STERLING CATALOG - FZN &amp; CHILL'!I72,"AAAAAGz3v98=")</f>
        <v>#VALUE!</v>
      </c>
      <c r="HQ247" t="e">
        <f>AND('STERLING CATALOG - FZN &amp; CHILL'!J72,"AAAAAGz3v+A=")</f>
        <v>#VALUE!</v>
      </c>
      <c r="HR247">
        <f>IF('STERLING CATALOG - FZN &amp; CHILL'!73:73,"AAAAAGz3v+E=",0)</f>
        <v>0</v>
      </c>
      <c r="HS247" t="e">
        <f>AND('STERLING CATALOG - FZN &amp; CHILL'!A73,"AAAAAGz3v+I=")</f>
        <v>#VALUE!</v>
      </c>
      <c r="HT247" t="e">
        <f>AND('STERLING CATALOG - FZN &amp; CHILL'!B73,"AAAAAGz3v+M=")</f>
        <v>#VALUE!</v>
      </c>
      <c r="HU247" t="e">
        <f>AND('STERLING CATALOG - FZN &amp; CHILL'!C73,"AAAAAGz3v+Q=")</f>
        <v>#VALUE!</v>
      </c>
      <c r="HV247" t="e">
        <f>AND('STERLING CATALOG - FZN &amp; CHILL'!D73,"AAAAAGz3v+U=")</f>
        <v>#VALUE!</v>
      </c>
      <c r="HW247" t="e">
        <f>AND('STERLING CATALOG - FZN &amp; CHILL'!E73,"AAAAAGz3v+Y=")</f>
        <v>#VALUE!</v>
      </c>
      <c r="HX247" t="e">
        <f>AND('STERLING CATALOG - FZN &amp; CHILL'!F73,"AAAAAGz3v+c=")</f>
        <v>#VALUE!</v>
      </c>
      <c r="HY247" t="e">
        <f>AND('STERLING CATALOG - FZN &amp; CHILL'!G73,"AAAAAGz3v+g=")</f>
        <v>#VALUE!</v>
      </c>
      <c r="HZ247" t="e">
        <f>AND('STERLING CATALOG - FZN &amp; CHILL'!H73,"AAAAAGz3v+k=")</f>
        <v>#VALUE!</v>
      </c>
      <c r="IA247" t="e">
        <f>AND('STERLING CATALOG - FZN &amp; CHILL'!I73,"AAAAAGz3v+o=")</f>
        <v>#VALUE!</v>
      </c>
      <c r="IB247" t="e">
        <f>AND('STERLING CATALOG - FZN &amp; CHILL'!J73,"AAAAAGz3v+s=")</f>
        <v>#VALUE!</v>
      </c>
      <c r="IC247">
        <f>IF('STERLING CATALOG - FZN &amp; CHILL'!74:74,"AAAAAGz3v+w=",0)</f>
        <v>0</v>
      </c>
      <c r="ID247" t="e">
        <f>AND('STERLING CATALOG - FZN &amp; CHILL'!A74,"AAAAAGz3v+0=")</f>
        <v>#VALUE!</v>
      </c>
      <c r="IE247" t="e">
        <f>AND('STERLING CATALOG - FZN &amp; CHILL'!B74,"AAAAAGz3v+4=")</f>
        <v>#VALUE!</v>
      </c>
      <c r="IF247" t="e">
        <f>AND('STERLING CATALOG - FZN &amp; CHILL'!C74,"AAAAAGz3v+8=")</f>
        <v>#VALUE!</v>
      </c>
      <c r="IG247" t="e">
        <f>AND('STERLING CATALOG - FZN &amp; CHILL'!D74,"AAAAAGz3v/A=")</f>
        <v>#VALUE!</v>
      </c>
      <c r="IH247" t="e">
        <f>AND('STERLING CATALOG - FZN &amp; CHILL'!E74,"AAAAAGz3v/E=")</f>
        <v>#VALUE!</v>
      </c>
      <c r="II247" t="e">
        <f>AND('STERLING CATALOG - FZN &amp; CHILL'!F74,"AAAAAGz3v/I=")</f>
        <v>#VALUE!</v>
      </c>
      <c r="IJ247" t="e">
        <f>AND('STERLING CATALOG - FZN &amp; CHILL'!G74,"AAAAAGz3v/M=")</f>
        <v>#VALUE!</v>
      </c>
      <c r="IK247" t="e">
        <f>AND('STERLING CATALOG - FZN &amp; CHILL'!H74,"AAAAAGz3v/Q=")</f>
        <v>#VALUE!</v>
      </c>
      <c r="IL247" t="e">
        <f>AND('STERLING CATALOG - FZN &amp; CHILL'!I74,"AAAAAGz3v/U=")</f>
        <v>#VALUE!</v>
      </c>
      <c r="IM247" t="e">
        <f>AND('STERLING CATALOG - FZN &amp; CHILL'!J74,"AAAAAGz3v/Y=")</f>
        <v>#VALUE!</v>
      </c>
      <c r="IN247">
        <f>IF('STERLING CATALOG - FZN &amp; CHILL'!75:75,"AAAAAGz3v/c=",0)</f>
        <v>0</v>
      </c>
      <c r="IO247" t="e">
        <f>AND('STERLING CATALOG - FZN &amp; CHILL'!A75,"AAAAAGz3v/g=")</f>
        <v>#VALUE!</v>
      </c>
      <c r="IP247" t="e">
        <f>AND('STERLING CATALOG - FZN &amp; CHILL'!B75,"AAAAAGz3v/k=")</f>
        <v>#VALUE!</v>
      </c>
      <c r="IQ247" t="e">
        <f>AND('STERLING CATALOG - FZN &amp; CHILL'!C75,"AAAAAGz3v/o=")</f>
        <v>#VALUE!</v>
      </c>
      <c r="IR247" t="e">
        <f>AND('STERLING CATALOG - FZN &amp; CHILL'!D75,"AAAAAGz3v/s=")</f>
        <v>#VALUE!</v>
      </c>
      <c r="IS247" t="e">
        <f>AND('STERLING CATALOG - FZN &amp; CHILL'!E75,"AAAAAGz3v/w=")</f>
        <v>#VALUE!</v>
      </c>
      <c r="IT247" t="e">
        <f>AND('STERLING CATALOG - FZN &amp; CHILL'!F75,"AAAAAGz3v/0=")</f>
        <v>#VALUE!</v>
      </c>
      <c r="IU247" t="e">
        <f>AND('STERLING CATALOG - FZN &amp; CHILL'!G75,"AAAAAGz3v/4=")</f>
        <v>#VALUE!</v>
      </c>
      <c r="IV247" t="e">
        <f>AND('STERLING CATALOG - FZN &amp; CHILL'!H75,"AAAAAGz3v/8=")</f>
        <v>#VALUE!</v>
      </c>
    </row>
    <row r="248" spans="1:256">
      <c r="A248" t="e">
        <f>AND('STERLING CATALOG - FZN &amp; CHILL'!I75,"AAAAAFw/uwA=")</f>
        <v>#VALUE!</v>
      </c>
      <c r="B248" t="e">
        <f>AND('STERLING CATALOG - FZN &amp; CHILL'!J75,"AAAAAFw/uwE=")</f>
        <v>#VALUE!</v>
      </c>
      <c r="C248" t="str">
        <f>IF('STERLING CATALOG - FZN &amp; CHILL'!76:76,"AAAAAFw/uwI=",0)</f>
        <v>AAAAAFw/uwI=</v>
      </c>
      <c r="D248" t="e">
        <f>AND('STERLING CATALOG - FZN &amp; CHILL'!A76,"AAAAAFw/uwM=")</f>
        <v>#VALUE!</v>
      </c>
      <c r="E248" t="e">
        <f>AND('STERLING CATALOG - FZN &amp; CHILL'!B76,"AAAAAFw/uwQ=")</f>
        <v>#VALUE!</v>
      </c>
      <c r="F248" t="e">
        <f>AND('STERLING CATALOG - FZN &amp; CHILL'!C76,"AAAAAFw/uwU=")</f>
        <v>#VALUE!</v>
      </c>
      <c r="G248" t="e">
        <f>AND('STERLING CATALOG - FZN &amp; CHILL'!D76,"AAAAAFw/uwY=")</f>
        <v>#VALUE!</v>
      </c>
      <c r="H248" t="e">
        <f>AND('STERLING CATALOG - FZN &amp; CHILL'!E76,"AAAAAFw/uwc=")</f>
        <v>#VALUE!</v>
      </c>
      <c r="I248" t="e">
        <f>AND('STERLING CATALOG - FZN &amp; CHILL'!F76,"AAAAAFw/uwg=")</f>
        <v>#VALUE!</v>
      </c>
      <c r="J248" t="e">
        <f>AND('STERLING CATALOG - FZN &amp; CHILL'!G76,"AAAAAFw/uwk=")</f>
        <v>#VALUE!</v>
      </c>
      <c r="K248" t="e">
        <f>AND('STERLING CATALOG - FZN &amp; CHILL'!H76,"AAAAAFw/uwo=")</f>
        <v>#VALUE!</v>
      </c>
      <c r="L248" t="e">
        <f>AND('STERLING CATALOG - FZN &amp; CHILL'!I76,"AAAAAFw/uws=")</f>
        <v>#VALUE!</v>
      </c>
      <c r="M248" t="e">
        <f>AND('STERLING CATALOG - FZN &amp; CHILL'!J76,"AAAAAFw/uww=")</f>
        <v>#VALUE!</v>
      </c>
      <c r="N248">
        <f>IF('STERLING CATALOG - FZN &amp; CHILL'!77:77,"AAAAAFw/uw0=",0)</f>
        <v>0</v>
      </c>
      <c r="O248" t="e">
        <f>AND('STERLING CATALOG - FZN &amp; CHILL'!A77,"AAAAAFw/uw4=")</f>
        <v>#VALUE!</v>
      </c>
      <c r="P248" t="e">
        <f>AND('STERLING CATALOG - FZN &amp; CHILL'!B77,"AAAAAFw/uw8=")</f>
        <v>#VALUE!</v>
      </c>
      <c r="Q248" t="e">
        <f>AND('STERLING CATALOG - FZN &amp; CHILL'!C77,"AAAAAFw/uxA=")</f>
        <v>#VALUE!</v>
      </c>
      <c r="R248" t="e">
        <f>AND('STERLING CATALOG - FZN &amp; CHILL'!D77,"AAAAAFw/uxE=")</f>
        <v>#VALUE!</v>
      </c>
      <c r="S248" t="e">
        <f>AND('STERLING CATALOG - FZN &amp; CHILL'!E77,"AAAAAFw/uxI=")</f>
        <v>#VALUE!</v>
      </c>
      <c r="T248" t="e">
        <f>AND('STERLING CATALOG - FZN &amp; CHILL'!F77,"AAAAAFw/uxM=")</f>
        <v>#VALUE!</v>
      </c>
      <c r="U248" t="e">
        <f>AND('STERLING CATALOG - FZN &amp; CHILL'!G77,"AAAAAFw/uxQ=")</f>
        <v>#VALUE!</v>
      </c>
      <c r="V248" t="e">
        <f>AND('STERLING CATALOG - FZN &amp; CHILL'!H77,"AAAAAFw/uxU=")</f>
        <v>#VALUE!</v>
      </c>
      <c r="W248" t="e">
        <f>AND('STERLING CATALOG - FZN &amp; CHILL'!I77,"AAAAAFw/uxY=")</f>
        <v>#VALUE!</v>
      </c>
      <c r="X248" t="e">
        <f>AND('STERLING CATALOG - FZN &amp; CHILL'!J77,"AAAAAFw/uxc=")</f>
        <v>#VALUE!</v>
      </c>
      <c r="Y248">
        <f>IF('STERLING CATALOG - FZN &amp; CHILL'!78:78,"AAAAAFw/uxg=",0)</f>
        <v>0</v>
      </c>
      <c r="Z248" t="e">
        <f>AND('STERLING CATALOG - FZN &amp; CHILL'!A78,"AAAAAFw/uxk=")</f>
        <v>#VALUE!</v>
      </c>
      <c r="AA248" t="e">
        <f>AND('STERLING CATALOG - FZN &amp; CHILL'!B78,"AAAAAFw/uxo=")</f>
        <v>#VALUE!</v>
      </c>
      <c r="AB248" t="e">
        <f>AND('STERLING CATALOG - FZN &amp; CHILL'!C78,"AAAAAFw/uxs=")</f>
        <v>#VALUE!</v>
      </c>
      <c r="AC248" t="e">
        <f>AND('STERLING CATALOG - FZN &amp; CHILL'!D78,"AAAAAFw/uxw=")</f>
        <v>#VALUE!</v>
      </c>
      <c r="AD248" t="e">
        <f>AND('STERLING CATALOG - FZN &amp; CHILL'!E78,"AAAAAFw/ux0=")</f>
        <v>#VALUE!</v>
      </c>
      <c r="AE248" t="e">
        <f>AND('STERLING CATALOG - FZN &amp; CHILL'!F78,"AAAAAFw/ux4=")</f>
        <v>#VALUE!</v>
      </c>
      <c r="AF248" t="e">
        <f>AND('STERLING CATALOG - FZN &amp; CHILL'!G78,"AAAAAFw/ux8=")</f>
        <v>#VALUE!</v>
      </c>
      <c r="AG248" t="e">
        <f>AND('STERLING CATALOG - FZN &amp; CHILL'!H78,"AAAAAFw/uyA=")</f>
        <v>#VALUE!</v>
      </c>
      <c r="AH248" t="e">
        <f>AND('STERLING CATALOG - FZN &amp; CHILL'!I78,"AAAAAFw/uyE=")</f>
        <v>#VALUE!</v>
      </c>
      <c r="AI248" t="e">
        <f>AND('STERLING CATALOG - FZN &amp; CHILL'!J78,"AAAAAFw/uyI=")</f>
        <v>#VALUE!</v>
      </c>
      <c r="AJ248">
        <f>IF('STERLING CATALOG - FZN &amp; CHILL'!79:79,"AAAAAFw/uyM=",0)</f>
        <v>0</v>
      </c>
      <c r="AK248" t="e">
        <f>AND('STERLING CATALOG - FZN &amp; CHILL'!A79,"AAAAAFw/uyQ=")</f>
        <v>#VALUE!</v>
      </c>
      <c r="AL248" t="e">
        <f>AND('STERLING CATALOG - FZN &amp; CHILL'!B79,"AAAAAFw/uyU=")</f>
        <v>#VALUE!</v>
      </c>
      <c r="AM248" t="e">
        <f>AND('STERLING CATALOG - FZN &amp; CHILL'!C79,"AAAAAFw/uyY=")</f>
        <v>#VALUE!</v>
      </c>
      <c r="AN248" t="e">
        <f>AND('STERLING CATALOG - FZN &amp; CHILL'!D79,"AAAAAFw/uyc=")</f>
        <v>#VALUE!</v>
      </c>
      <c r="AO248" t="e">
        <f>AND('STERLING CATALOG - FZN &amp; CHILL'!E79,"AAAAAFw/uyg=")</f>
        <v>#VALUE!</v>
      </c>
      <c r="AP248" t="e">
        <f>AND('STERLING CATALOG - FZN &amp; CHILL'!F79,"AAAAAFw/uyk=")</f>
        <v>#VALUE!</v>
      </c>
      <c r="AQ248" t="e">
        <f>AND('STERLING CATALOG - FZN &amp; CHILL'!G79,"AAAAAFw/uyo=")</f>
        <v>#VALUE!</v>
      </c>
      <c r="AR248" t="e">
        <f>AND('STERLING CATALOG - FZN &amp; CHILL'!H79,"AAAAAFw/uys=")</f>
        <v>#VALUE!</v>
      </c>
      <c r="AS248" t="e">
        <f>AND('STERLING CATALOG - FZN &amp; CHILL'!I79,"AAAAAFw/uyw=")</f>
        <v>#VALUE!</v>
      </c>
      <c r="AT248" t="e">
        <f>AND('STERLING CATALOG - FZN &amp; CHILL'!J79,"AAAAAFw/uy0=")</f>
        <v>#VALUE!</v>
      </c>
      <c r="AU248">
        <f>IF('STERLING CATALOG - FZN &amp; CHILL'!80:80,"AAAAAFw/uy4=",0)</f>
        <v>0</v>
      </c>
      <c r="AV248" t="e">
        <f>AND('STERLING CATALOG - FZN &amp; CHILL'!A80,"AAAAAFw/uy8=")</f>
        <v>#VALUE!</v>
      </c>
      <c r="AW248" t="e">
        <f>AND('STERLING CATALOG - FZN &amp; CHILL'!B80,"AAAAAFw/uzA=")</f>
        <v>#VALUE!</v>
      </c>
      <c r="AX248" t="e">
        <f>AND('STERLING CATALOG - FZN &amp; CHILL'!C80,"AAAAAFw/uzE=")</f>
        <v>#VALUE!</v>
      </c>
      <c r="AY248" t="e">
        <f>AND('STERLING CATALOG - FZN &amp; CHILL'!D80,"AAAAAFw/uzI=")</f>
        <v>#VALUE!</v>
      </c>
      <c r="AZ248" t="e">
        <f>AND('STERLING CATALOG - FZN &amp; CHILL'!E80,"AAAAAFw/uzM=")</f>
        <v>#VALUE!</v>
      </c>
      <c r="BA248" t="e">
        <f>AND('STERLING CATALOG - FZN &amp; CHILL'!F80,"AAAAAFw/uzQ=")</f>
        <v>#VALUE!</v>
      </c>
      <c r="BB248" t="e">
        <f>AND('STERLING CATALOG - FZN &amp; CHILL'!G80,"AAAAAFw/uzU=")</f>
        <v>#VALUE!</v>
      </c>
      <c r="BC248" t="e">
        <f>AND('STERLING CATALOG - FZN &amp; CHILL'!H80,"AAAAAFw/uzY=")</f>
        <v>#VALUE!</v>
      </c>
      <c r="BD248" t="e">
        <f>AND('STERLING CATALOG - FZN &amp; CHILL'!I80,"AAAAAFw/uzc=")</f>
        <v>#VALUE!</v>
      </c>
      <c r="BE248" t="e">
        <f>AND('STERLING CATALOG - FZN &amp; CHILL'!J80,"AAAAAFw/uzg=")</f>
        <v>#VALUE!</v>
      </c>
      <c r="BF248">
        <f>IF('STERLING CATALOG - FZN &amp; CHILL'!81:81,"AAAAAFw/uzk=",0)</f>
        <v>0</v>
      </c>
      <c r="BG248" t="e">
        <f>AND('STERLING CATALOG - FZN &amp; CHILL'!A81,"AAAAAFw/uzo=")</f>
        <v>#VALUE!</v>
      </c>
      <c r="BH248" t="e">
        <f>AND('STERLING CATALOG - FZN &amp; CHILL'!B81,"AAAAAFw/uzs=")</f>
        <v>#VALUE!</v>
      </c>
      <c r="BI248" t="e">
        <f>AND('STERLING CATALOG - FZN &amp; CHILL'!C81,"AAAAAFw/uzw=")</f>
        <v>#VALUE!</v>
      </c>
      <c r="BJ248" t="e">
        <f>AND('STERLING CATALOG - FZN &amp; CHILL'!D81,"AAAAAFw/uz0=")</f>
        <v>#VALUE!</v>
      </c>
      <c r="BK248" t="e">
        <f>AND('STERLING CATALOG - FZN &amp; CHILL'!E81,"AAAAAFw/uz4=")</f>
        <v>#VALUE!</v>
      </c>
      <c r="BL248" t="e">
        <f>AND('STERLING CATALOG - FZN &amp; CHILL'!F81,"AAAAAFw/uz8=")</f>
        <v>#VALUE!</v>
      </c>
      <c r="BM248" t="e">
        <f>AND('STERLING CATALOG - FZN &amp; CHILL'!G81,"AAAAAFw/u0A=")</f>
        <v>#VALUE!</v>
      </c>
      <c r="BN248" t="e">
        <f>AND('STERLING CATALOG - FZN &amp; CHILL'!H81,"AAAAAFw/u0E=")</f>
        <v>#VALUE!</v>
      </c>
      <c r="BO248" t="e">
        <f>AND('STERLING CATALOG - FZN &amp; CHILL'!I81,"AAAAAFw/u0I=")</f>
        <v>#VALUE!</v>
      </c>
      <c r="BP248" t="e">
        <f>AND('STERLING CATALOG - FZN &amp; CHILL'!J81,"AAAAAFw/u0M=")</f>
        <v>#VALUE!</v>
      </c>
      <c r="BQ248">
        <f>IF('STERLING CATALOG - FZN &amp; CHILL'!82:82,"AAAAAFw/u0Q=",0)</f>
        <v>0</v>
      </c>
      <c r="BR248" t="e">
        <f>AND('STERLING CATALOG - FZN &amp; CHILL'!A82,"AAAAAFw/u0U=")</f>
        <v>#VALUE!</v>
      </c>
      <c r="BS248" t="e">
        <f>AND('STERLING CATALOG - FZN &amp; CHILL'!B82,"AAAAAFw/u0Y=")</f>
        <v>#VALUE!</v>
      </c>
      <c r="BT248" t="e">
        <f>AND('STERLING CATALOG - FZN &amp; CHILL'!C82,"AAAAAFw/u0c=")</f>
        <v>#VALUE!</v>
      </c>
      <c r="BU248" t="e">
        <f>AND('STERLING CATALOG - FZN &amp; CHILL'!D82,"AAAAAFw/u0g=")</f>
        <v>#VALUE!</v>
      </c>
      <c r="BV248" t="e">
        <f>AND('STERLING CATALOG - FZN &amp; CHILL'!E82,"AAAAAFw/u0k=")</f>
        <v>#VALUE!</v>
      </c>
      <c r="BW248" t="e">
        <f>AND('STERLING CATALOG - FZN &amp; CHILL'!F82,"AAAAAFw/u0o=")</f>
        <v>#VALUE!</v>
      </c>
      <c r="BX248" t="e">
        <f>AND('STERLING CATALOG - FZN &amp; CHILL'!G82,"AAAAAFw/u0s=")</f>
        <v>#VALUE!</v>
      </c>
      <c r="BY248" t="e">
        <f>AND('STERLING CATALOG - FZN &amp; CHILL'!H82,"AAAAAFw/u0w=")</f>
        <v>#VALUE!</v>
      </c>
      <c r="BZ248" t="e">
        <f>AND('STERLING CATALOG - FZN &amp; CHILL'!I82,"AAAAAFw/u00=")</f>
        <v>#VALUE!</v>
      </c>
      <c r="CA248" t="e">
        <f>AND('STERLING CATALOG - FZN &amp; CHILL'!J82,"AAAAAFw/u04=")</f>
        <v>#VALUE!</v>
      </c>
      <c r="CB248">
        <f>IF('STERLING CATALOG - FZN &amp; CHILL'!83:83,"AAAAAFw/u08=",0)</f>
        <v>0</v>
      </c>
      <c r="CC248" t="e">
        <f>AND('STERLING CATALOG - FZN &amp; CHILL'!A83,"AAAAAFw/u1A=")</f>
        <v>#VALUE!</v>
      </c>
      <c r="CD248" t="e">
        <f>AND('STERLING CATALOG - FZN &amp; CHILL'!B83,"AAAAAFw/u1E=")</f>
        <v>#VALUE!</v>
      </c>
      <c r="CE248" t="e">
        <f>AND('STERLING CATALOG - FZN &amp; CHILL'!C83,"AAAAAFw/u1I=")</f>
        <v>#VALUE!</v>
      </c>
      <c r="CF248" t="e">
        <f>AND('STERLING CATALOG - FZN &amp; CHILL'!D83,"AAAAAFw/u1M=")</f>
        <v>#VALUE!</v>
      </c>
      <c r="CG248" t="e">
        <f>AND('STERLING CATALOG - FZN &amp; CHILL'!E83,"AAAAAFw/u1Q=")</f>
        <v>#VALUE!</v>
      </c>
      <c r="CH248" t="e">
        <f>AND('STERLING CATALOG - FZN &amp; CHILL'!F83,"AAAAAFw/u1U=")</f>
        <v>#VALUE!</v>
      </c>
      <c r="CI248" t="e">
        <f>AND('STERLING CATALOG - FZN &amp; CHILL'!G83,"AAAAAFw/u1Y=")</f>
        <v>#VALUE!</v>
      </c>
      <c r="CJ248" t="e">
        <f>AND('STERLING CATALOG - FZN &amp; CHILL'!H83,"AAAAAFw/u1c=")</f>
        <v>#VALUE!</v>
      </c>
      <c r="CK248" t="e">
        <f>AND('STERLING CATALOG - FZN &amp; CHILL'!I83,"AAAAAFw/u1g=")</f>
        <v>#VALUE!</v>
      </c>
      <c r="CL248" t="e">
        <f>AND('STERLING CATALOG - FZN &amp; CHILL'!J83,"AAAAAFw/u1k=")</f>
        <v>#VALUE!</v>
      </c>
      <c r="CM248">
        <f>IF('STERLING CATALOG - FZN &amp; CHILL'!84:84,"AAAAAFw/u1o=",0)</f>
        <v>0</v>
      </c>
      <c r="CN248" t="e">
        <f>AND('STERLING CATALOG - FZN &amp; CHILL'!A84,"AAAAAFw/u1s=")</f>
        <v>#VALUE!</v>
      </c>
      <c r="CO248" t="e">
        <f>AND('STERLING CATALOG - FZN &amp; CHILL'!B84,"AAAAAFw/u1w=")</f>
        <v>#VALUE!</v>
      </c>
      <c r="CP248" t="e">
        <f>AND('STERLING CATALOG - FZN &amp; CHILL'!C84,"AAAAAFw/u10=")</f>
        <v>#VALUE!</v>
      </c>
      <c r="CQ248" t="e">
        <f>AND('STERLING CATALOG - FZN &amp; CHILL'!D84,"AAAAAFw/u14=")</f>
        <v>#VALUE!</v>
      </c>
      <c r="CR248" t="e">
        <f>AND('STERLING CATALOG - FZN &amp; CHILL'!E84,"AAAAAFw/u18=")</f>
        <v>#VALUE!</v>
      </c>
      <c r="CS248" t="e">
        <f>AND('STERLING CATALOG - FZN &amp; CHILL'!F84,"AAAAAFw/u2A=")</f>
        <v>#VALUE!</v>
      </c>
      <c r="CT248" t="e">
        <f>AND('STERLING CATALOG - FZN &amp; CHILL'!G84,"AAAAAFw/u2E=")</f>
        <v>#VALUE!</v>
      </c>
      <c r="CU248" t="e">
        <f>AND('STERLING CATALOG - FZN &amp; CHILL'!H84,"AAAAAFw/u2I=")</f>
        <v>#VALUE!</v>
      </c>
      <c r="CV248" t="e">
        <f>AND('STERLING CATALOG - FZN &amp; CHILL'!I84,"AAAAAFw/u2M=")</f>
        <v>#VALUE!</v>
      </c>
      <c r="CW248" t="e">
        <f>AND('STERLING CATALOG - FZN &amp; CHILL'!J84,"AAAAAFw/u2Q=")</f>
        <v>#VALUE!</v>
      </c>
      <c r="CX248">
        <f>IF('STERLING CATALOG - FZN &amp; CHILL'!85:85,"AAAAAFw/u2U=",0)</f>
        <v>0</v>
      </c>
      <c r="CY248" t="e">
        <f>AND('STERLING CATALOG - FZN &amp; CHILL'!A85,"AAAAAFw/u2Y=")</f>
        <v>#VALUE!</v>
      </c>
      <c r="CZ248" t="e">
        <f>AND('STERLING CATALOG - FZN &amp; CHILL'!B85,"AAAAAFw/u2c=")</f>
        <v>#VALUE!</v>
      </c>
      <c r="DA248" t="e">
        <f>AND('STERLING CATALOG - FZN &amp; CHILL'!C85,"AAAAAFw/u2g=")</f>
        <v>#VALUE!</v>
      </c>
      <c r="DB248" t="e">
        <f>AND('STERLING CATALOG - FZN &amp; CHILL'!D85,"AAAAAFw/u2k=")</f>
        <v>#VALUE!</v>
      </c>
      <c r="DC248" t="e">
        <f>AND('STERLING CATALOG - FZN &amp; CHILL'!E85,"AAAAAFw/u2o=")</f>
        <v>#VALUE!</v>
      </c>
      <c r="DD248" t="e">
        <f>AND('STERLING CATALOG - FZN &amp; CHILL'!F85,"AAAAAFw/u2s=")</f>
        <v>#VALUE!</v>
      </c>
      <c r="DE248" t="e">
        <f>AND('STERLING CATALOG - FZN &amp; CHILL'!G85,"AAAAAFw/u2w=")</f>
        <v>#VALUE!</v>
      </c>
      <c r="DF248" t="e">
        <f>AND('STERLING CATALOG - FZN &amp; CHILL'!H85,"AAAAAFw/u20=")</f>
        <v>#VALUE!</v>
      </c>
      <c r="DG248" t="e">
        <f>AND('STERLING CATALOG - FZN &amp; CHILL'!I85,"AAAAAFw/u24=")</f>
        <v>#VALUE!</v>
      </c>
      <c r="DH248" t="e">
        <f>AND('STERLING CATALOG - FZN &amp; CHILL'!J85,"AAAAAFw/u28=")</f>
        <v>#VALUE!</v>
      </c>
      <c r="DI248">
        <f>IF('STERLING CATALOG - FZN &amp; CHILL'!86:86,"AAAAAFw/u3A=",0)</f>
        <v>0</v>
      </c>
      <c r="DJ248" t="e">
        <f>AND('STERLING CATALOG - FZN &amp; CHILL'!A86,"AAAAAFw/u3E=")</f>
        <v>#VALUE!</v>
      </c>
      <c r="DK248" t="e">
        <f>AND('STERLING CATALOG - FZN &amp; CHILL'!B86,"AAAAAFw/u3I=")</f>
        <v>#VALUE!</v>
      </c>
      <c r="DL248" t="e">
        <f>AND('STERLING CATALOG - FZN &amp; CHILL'!C86,"AAAAAFw/u3M=")</f>
        <v>#VALUE!</v>
      </c>
      <c r="DM248" t="e">
        <f>AND('STERLING CATALOG - FZN &amp; CHILL'!D86,"AAAAAFw/u3Q=")</f>
        <v>#VALUE!</v>
      </c>
      <c r="DN248" t="e">
        <f>AND('STERLING CATALOG - FZN &amp; CHILL'!E86,"AAAAAFw/u3U=")</f>
        <v>#VALUE!</v>
      </c>
      <c r="DO248" t="e">
        <f>AND('STERLING CATALOG - FZN &amp; CHILL'!F86,"AAAAAFw/u3Y=")</f>
        <v>#VALUE!</v>
      </c>
      <c r="DP248" t="e">
        <f>AND('STERLING CATALOG - FZN &amp; CHILL'!G86,"AAAAAFw/u3c=")</f>
        <v>#VALUE!</v>
      </c>
      <c r="DQ248" t="e">
        <f>AND('STERLING CATALOG - FZN &amp; CHILL'!H86,"AAAAAFw/u3g=")</f>
        <v>#VALUE!</v>
      </c>
      <c r="DR248" t="e">
        <f>AND('STERLING CATALOG - FZN &amp; CHILL'!I86,"AAAAAFw/u3k=")</f>
        <v>#VALUE!</v>
      </c>
      <c r="DS248" t="e">
        <f>AND('STERLING CATALOG - FZN &amp; CHILL'!J86,"AAAAAFw/u3o=")</f>
        <v>#VALUE!</v>
      </c>
      <c r="DT248">
        <f>IF('STERLING CATALOG - FZN &amp; CHILL'!87:87,"AAAAAFw/u3s=",0)</f>
        <v>0</v>
      </c>
      <c r="DU248" t="e">
        <f>AND('STERLING CATALOG - FZN &amp; CHILL'!A87,"AAAAAFw/u3w=")</f>
        <v>#VALUE!</v>
      </c>
      <c r="DV248" t="e">
        <f>AND('STERLING CATALOG - FZN &amp; CHILL'!B87,"AAAAAFw/u30=")</f>
        <v>#VALUE!</v>
      </c>
      <c r="DW248" t="e">
        <f>AND('STERLING CATALOG - FZN &amp; CHILL'!C87,"AAAAAFw/u34=")</f>
        <v>#VALUE!</v>
      </c>
      <c r="DX248" t="e">
        <f>AND('STERLING CATALOG - FZN &amp; CHILL'!D87,"AAAAAFw/u38=")</f>
        <v>#VALUE!</v>
      </c>
      <c r="DY248" t="e">
        <f>AND('STERLING CATALOG - FZN &amp; CHILL'!E87,"AAAAAFw/u4A=")</f>
        <v>#VALUE!</v>
      </c>
      <c r="DZ248" t="e">
        <f>AND('STERLING CATALOG - FZN &amp; CHILL'!F87,"AAAAAFw/u4E=")</f>
        <v>#VALUE!</v>
      </c>
      <c r="EA248" t="e">
        <f>AND('STERLING CATALOG - FZN &amp; CHILL'!G87,"AAAAAFw/u4I=")</f>
        <v>#VALUE!</v>
      </c>
      <c r="EB248" t="e">
        <f>AND('STERLING CATALOG - FZN &amp; CHILL'!H87,"AAAAAFw/u4M=")</f>
        <v>#VALUE!</v>
      </c>
      <c r="EC248" t="e">
        <f>AND('STERLING CATALOG - FZN &amp; CHILL'!I87,"AAAAAFw/u4Q=")</f>
        <v>#VALUE!</v>
      </c>
      <c r="ED248" t="e">
        <f>AND('STERLING CATALOG - FZN &amp; CHILL'!J87,"AAAAAFw/u4U=")</f>
        <v>#VALUE!</v>
      </c>
      <c r="EE248">
        <f>IF('STERLING CATALOG - FZN &amp; CHILL'!88:88,"AAAAAFw/u4Y=",0)</f>
        <v>0</v>
      </c>
      <c r="EF248" t="e">
        <f>AND('STERLING CATALOG - FZN &amp; CHILL'!A88,"AAAAAFw/u4c=")</f>
        <v>#VALUE!</v>
      </c>
      <c r="EG248" t="e">
        <f>AND('STERLING CATALOG - FZN &amp; CHILL'!B88,"AAAAAFw/u4g=")</f>
        <v>#VALUE!</v>
      </c>
      <c r="EH248" t="e">
        <f>AND('STERLING CATALOG - FZN &amp; CHILL'!C88,"AAAAAFw/u4k=")</f>
        <v>#VALUE!</v>
      </c>
      <c r="EI248" t="e">
        <f>AND('STERLING CATALOG - FZN &amp; CHILL'!D88,"AAAAAFw/u4o=")</f>
        <v>#VALUE!</v>
      </c>
      <c r="EJ248" t="e">
        <f>AND('STERLING CATALOG - FZN &amp; CHILL'!E88,"AAAAAFw/u4s=")</f>
        <v>#VALUE!</v>
      </c>
      <c r="EK248" t="e">
        <f>AND('STERLING CATALOG - FZN &amp; CHILL'!F88,"AAAAAFw/u4w=")</f>
        <v>#VALUE!</v>
      </c>
      <c r="EL248" t="e">
        <f>AND('STERLING CATALOG - FZN &amp; CHILL'!G88,"AAAAAFw/u40=")</f>
        <v>#VALUE!</v>
      </c>
      <c r="EM248" t="e">
        <f>AND('STERLING CATALOG - FZN &amp; CHILL'!H88,"AAAAAFw/u44=")</f>
        <v>#VALUE!</v>
      </c>
      <c r="EN248" t="e">
        <f>AND('STERLING CATALOG - FZN &amp; CHILL'!I88,"AAAAAFw/u48=")</f>
        <v>#VALUE!</v>
      </c>
      <c r="EO248" t="e">
        <f>AND('STERLING CATALOG - FZN &amp; CHILL'!J88,"AAAAAFw/u5A=")</f>
        <v>#VALUE!</v>
      </c>
      <c r="EP248">
        <f>IF('STERLING CATALOG - FZN &amp; CHILL'!89:89,"AAAAAFw/u5E=",0)</f>
        <v>0</v>
      </c>
      <c r="EQ248" t="e">
        <f>AND('STERLING CATALOG - FZN &amp; CHILL'!A89,"AAAAAFw/u5I=")</f>
        <v>#VALUE!</v>
      </c>
      <c r="ER248" t="e">
        <f>AND('STERLING CATALOG - FZN &amp; CHILL'!B89,"AAAAAFw/u5M=")</f>
        <v>#VALUE!</v>
      </c>
      <c r="ES248" t="e">
        <f>AND('STERLING CATALOG - FZN &amp; CHILL'!C89,"AAAAAFw/u5Q=")</f>
        <v>#VALUE!</v>
      </c>
      <c r="ET248" t="e">
        <f>AND('STERLING CATALOG - FZN &amp; CHILL'!D89,"AAAAAFw/u5U=")</f>
        <v>#VALUE!</v>
      </c>
      <c r="EU248" t="e">
        <f>AND('STERLING CATALOG - FZN &amp; CHILL'!E89,"AAAAAFw/u5Y=")</f>
        <v>#VALUE!</v>
      </c>
      <c r="EV248" t="e">
        <f>AND('STERLING CATALOG - FZN &amp; CHILL'!F89,"AAAAAFw/u5c=")</f>
        <v>#VALUE!</v>
      </c>
      <c r="EW248" t="e">
        <f>AND('STERLING CATALOG - FZN &amp; CHILL'!G89,"AAAAAFw/u5g=")</f>
        <v>#VALUE!</v>
      </c>
      <c r="EX248" t="e">
        <f>AND('STERLING CATALOG - FZN &amp; CHILL'!H89,"AAAAAFw/u5k=")</f>
        <v>#VALUE!</v>
      </c>
      <c r="EY248" t="e">
        <f>AND('STERLING CATALOG - FZN &amp; CHILL'!I89,"AAAAAFw/u5o=")</f>
        <v>#VALUE!</v>
      </c>
      <c r="EZ248" t="e">
        <f>AND('STERLING CATALOG - FZN &amp; CHILL'!J89,"AAAAAFw/u5s=")</f>
        <v>#VALUE!</v>
      </c>
      <c r="FA248">
        <f>IF('STERLING CATALOG - FZN &amp; CHILL'!90:90,"AAAAAFw/u5w=",0)</f>
        <v>0</v>
      </c>
      <c r="FB248" t="e">
        <f>AND('STERLING CATALOG - FZN &amp; CHILL'!A90,"AAAAAFw/u50=")</f>
        <v>#VALUE!</v>
      </c>
      <c r="FC248" t="e">
        <f>AND('STERLING CATALOG - FZN &amp; CHILL'!B90,"AAAAAFw/u54=")</f>
        <v>#VALUE!</v>
      </c>
      <c r="FD248" t="e">
        <f>AND('STERLING CATALOG - FZN &amp; CHILL'!C90,"AAAAAFw/u58=")</f>
        <v>#VALUE!</v>
      </c>
      <c r="FE248" t="e">
        <f>AND('STERLING CATALOG - FZN &amp; CHILL'!D90,"AAAAAFw/u6A=")</f>
        <v>#VALUE!</v>
      </c>
      <c r="FF248" t="e">
        <f>AND('STERLING CATALOG - FZN &amp; CHILL'!E90,"AAAAAFw/u6E=")</f>
        <v>#VALUE!</v>
      </c>
      <c r="FG248" t="e">
        <f>AND('STERLING CATALOG - FZN &amp; CHILL'!F90,"AAAAAFw/u6I=")</f>
        <v>#VALUE!</v>
      </c>
      <c r="FH248" t="e">
        <f>AND('STERLING CATALOG - FZN &amp; CHILL'!G90,"AAAAAFw/u6M=")</f>
        <v>#VALUE!</v>
      </c>
      <c r="FI248" t="e">
        <f>AND('STERLING CATALOG - FZN &amp; CHILL'!H90,"AAAAAFw/u6Q=")</f>
        <v>#VALUE!</v>
      </c>
      <c r="FJ248" t="e">
        <f>AND('STERLING CATALOG - FZN &amp; CHILL'!I90,"AAAAAFw/u6U=")</f>
        <v>#VALUE!</v>
      </c>
      <c r="FK248" t="e">
        <f>AND('STERLING CATALOG - FZN &amp; CHILL'!J90,"AAAAAFw/u6Y=")</f>
        <v>#VALUE!</v>
      </c>
      <c r="FL248">
        <f>IF('STERLING CATALOG - FZN &amp; CHILL'!91:91,"AAAAAFw/u6c=",0)</f>
        <v>0</v>
      </c>
      <c r="FM248" t="e">
        <f>AND('STERLING CATALOG - FZN &amp; CHILL'!A91,"AAAAAFw/u6g=")</f>
        <v>#VALUE!</v>
      </c>
      <c r="FN248" t="e">
        <f>AND('STERLING CATALOG - FZN &amp; CHILL'!B91,"AAAAAFw/u6k=")</f>
        <v>#VALUE!</v>
      </c>
      <c r="FO248" t="e">
        <f>AND('STERLING CATALOG - FZN &amp; CHILL'!C91,"AAAAAFw/u6o=")</f>
        <v>#VALUE!</v>
      </c>
      <c r="FP248" t="e">
        <f>AND('STERLING CATALOG - FZN &amp; CHILL'!D91,"AAAAAFw/u6s=")</f>
        <v>#VALUE!</v>
      </c>
      <c r="FQ248" t="e">
        <f>AND('STERLING CATALOG - FZN &amp; CHILL'!E91,"AAAAAFw/u6w=")</f>
        <v>#VALUE!</v>
      </c>
      <c r="FR248" t="e">
        <f>AND('STERLING CATALOG - FZN &amp; CHILL'!F91,"AAAAAFw/u60=")</f>
        <v>#VALUE!</v>
      </c>
      <c r="FS248" t="e">
        <f>AND('STERLING CATALOG - FZN &amp; CHILL'!G91,"AAAAAFw/u64=")</f>
        <v>#VALUE!</v>
      </c>
      <c r="FT248" t="e">
        <f>AND('STERLING CATALOG - FZN &amp; CHILL'!H91,"AAAAAFw/u68=")</f>
        <v>#VALUE!</v>
      </c>
      <c r="FU248" t="e">
        <f>AND('STERLING CATALOG - FZN &amp; CHILL'!I91,"AAAAAFw/u7A=")</f>
        <v>#VALUE!</v>
      </c>
      <c r="FV248" t="e">
        <f>AND('STERLING CATALOG - FZN &amp; CHILL'!J91,"AAAAAFw/u7E=")</f>
        <v>#VALUE!</v>
      </c>
      <c r="FW248">
        <f>IF('STERLING CATALOG - FZN &amp; CHILL'!92:92,"AAAAAFw/u7I=",0)</f>
        <v>0</v>
      </c>
      <c r="FX248" t="e">
        <f>AND('STERLING CATALOG - FZN &amp; CHILL'!A92,"AAAAAFw/u7M=")</f>
        <v>#VALUE!</v>
      </c>
      <c r="FY248" t="e">
        <f>AND('STERLING CATALOG - FZN &amp; CHILL'!B92,"AAAAAFw/u7Q=")</f>
        <v>#VALUE!</v>
      </c>
      <c r="FZ248" t="e">
        <f>AND('STERLING CATALOG - FZN &amp; CHILL'!C92,"AAAAAFw/u7U=")</f>
        <v>#VALUE!</v>
      </c>
      <c r="GA248" t="e">
        <f>AND('STERLING CATALOG - FZN &amp; CHILL'!D92,"AAAAAFw/u7Y=")</f>
        <v>#VALUE!</v>
      </c>
      <c r="GB248" t="e">
        <f>AND('STERLING CATALOG - FZN &amp; CHILL'!E92,"AAAAAFw/u7c=")</f>
        <v>#VALUE!</v>
      </c>
      <c r="GC248" t="e">
        <f>AND('STERLING CATALOG - FZN &amp; CHILL'!F92,"AAAAAFw/u7g=")</f>
        <v>#VALUE!</v>
      </c>
      <c r="GD248" t="e">
        <f>AND('STERLING CATALOG - FZN &amp; CHILL'!G92,"AAAAAFw/u7k=")</f>
        <v>#VALUE!</v>
      </c>
      <c r="GE248" t="e">
        <f>AND('STERLING CATALOG - FZN &amp; CHILL'!H92,"AAAAAFw/u7o=")</f>
        <v>#VALUE!</v>
      </c>
      <c r="GF248" t="e">
        <f>AND('STERLING CATALOG - FZN &amp; CHILL'!I92,"AAAAAFw/u7s=")</f>
        <v>#VALUE!</v>
      </c>
      <c r="GG248" t="e">
        <f>AND('STERLING CATALOG - FZN &amp; CHILL'!J92,"AAAAAFw/u7w=")</f>
        <v>#VALUE!</v>
      </c>
      <c r="GH248">
        <f>IF('STERLING CATALOG - FZN &amp; CHILL'!93:93,"AAAAAFw/u70=",0)</f>
        <v>0</v>
      </c>
      <c r="GI248" t="e">
        <f>AND('STERLING CATALOG - FZN &amp; CHILL'!A93,"AAAAAFw/u74=")</f>
        <v>#VALUE!</v>
      </c>
      <c r="GJ248" t="e">
        <f>AND('STERLING CATALOG - FZN &amp; CHILL'!B93,"AAAAAFw/u78=")</f>
        <v>#VALUE!</v>
      </c>
      <c r="GK248" t="e">
        <f>AND('STERLING CATALOG - FZN &amp; CHILL'!C93,"AAAAAFw/u8A=")</f>
        <v>#VALUE!</v>
      </c>
      <c r="GL248" t="e">
        <f>AND('STERLING CATALOG - FZN &amp; CHILL'!D93,"AAAAAFw/u8E=")</f>
        <v>#VALUE!</v>
      </c>
      <c r="GM248" t="e">
        <f>AND('STERLING CATALOG - FZN &amp; CHILL'!E93,"AAAAAFw/u8I=")</f>
        <v>#VALUE!</v>
      </c>
      <c r="GN248" t="e">
        <f>AND('STERLING CATALOG - FZN &amp; CHILL'!F93,"AAAAAFw/u8M=")</f>
        <v>#VALUE!</v>
      </c>
      <c r="GO248" t="e">
        <f>AND('STERLING CATALOG - FZN &amp; CHILL'!G93,"AAAAAFw/u8Q=")</f>
        <v>#VALUE!</v>
      </c>
      <c r="GP248" t="e">
        <f>AND('STERLING CATALOG - FZN &amp; CHILL'!H93,"AAAAAFw/u8U=")</f>
        <v>#VALUE!</v>
      </c>
      <c r="GQ248" t="e">
        <f>AND('STERLING CATALOG - FZN &amp; CHILL'!I93,"AAAAAFw/u8Y=")</f>
        <v>#VALUE!</v>
      </c>
      <c r="GR248" t="e">
        <f>AND('STERLING CATALOG - FZN &amp; CHILL'!J93,"AAAAAFw/u8c=")</f>
        <v>#VALUE!</v>
      </c>
      <c r="GS248">
        <f>IF('STERLING CATALOG - FZN &amp; CHILL'!94:94,"AAAAAFw/u8g=",0)</f>
        <v>0</v>
      </c>
      <c r="GT248" t="e">
        <f>AND('STERLING CATALOG - FZN &amp; CHILL'!A94,"AAAAAFw/u8k=")</f>
        <v>#VALUE!</v>
      </c>
      <c r="GU248" t="e">
        <f>AND('STERLING CATALOG - FZN &amp; CHILL'!B94,"AAAAAFw/u8o=")</f>
        <v>#VALUE!</v>
      </c>
      <c r="GV248" t="e">
        <f>AND('STERLING CATALOG - FZN &amp; CHILL'!C94,"AAAAAFw/u8s=")</f>
        <v>#VALUE!</v>
      </c>
      <c r="GW248" t="e">
        <f>AND('STERLING CATALOG - FZN &amp; CHILL'!D94,"AAAAAFw/u8w=")</f>
        <v>#VALUE!</v>
      </c>
      <c r="GX248" t="e">
        <f>AND('STERLING CATALOG - FZN &amp; CHILL'!E94,"AAAAAFw/u80=")</f>
        <v>#VALUE!</v>
      </c>
      <c r="GY248" t="e">
        <f>AND('STERLING CATALOG - FZN &amp; CHILL'!F94,"AAAAAFw/u84=")</f>
        <v>#VALUE!</v>
      </c>
      <c r="GZ248" t="e">
        <f>AND('STERLING CATALOG - FZN &amp; CHILL'!G94,"AAAAAFw/u88=")</f>
        <v>#VALUE!</v>
      </c>
      <c r="HA248" t="e">
        <f>AND('STERLING CATALOG - FZN &amp; CHILL'!H94,"AAAAAFw/u9A=")</f>
        <v>#VALUE!</v>
      </c>
      <c r="HB248" t="e">
        <f>AND('STERLING CATALOG - FZN &amp; CHILL'!I94,"AAAAAFw/u9E=")</f>
        <v>#VALUE!</v>
      </c>
      <c r="HC248" t="e">
        <f>AND('STERLING CATALOG - FZN &amp; CHILL'!J94,"AAAAAFw/u9I=")</f>
        <v>#VALUE!</v>
      </c>
      <c r="HD248">
        <f>IF('STERLING CATALOG - FZN &amp; CHILL'!95:95,"AAAAAFw/u9M=",0)</f>
        <v>0</v>
      </c>
      <c r="HE248" t="e">
        <f>AND('STERLING CATALOG - FZN &amp; CHILL'!A95,"AAAAAFw/u9Q=")</f>
        <v>#VALUE!</v>
      </c>
      <c r="HF248" t="e">
        <f>AND('STERLING CATALOG - FZN &amp; CHILL'!B95,"AAAAAFw/u9U=")</f>
        <v>#VALUE!</v>
      </c>
      <c r="HG248" t="e">
        <f>AND('STERLING CATALOG - FZN &amp; CHILL'!C95,"AAAAAFw/u9Y=")</f>
        <v>#VALUE!</v>
      </c>
      <c r="HH248" t="e">
        <f>AND('STERLING CATALOG - FZN &amp; CHILL'!D95,"AAAAAFw/u9c=")</f>
        <v>#VALUE!</v>
      </c>
      <c r="HI248" t="e">
        <f>AND('STERLING CATALOG - FZN &amp; CHILL'!E95,"AAAAAFw/u9g=")</f>
        <v>#VALUE!</v>
      </c>
      <c r="HJ248" t="e">
        <f>AND('STERLING CATALOG - FZN &amp; CHILL'!F95,"AAAAAFw/u9k=")</f>
        <v>#VALUE!</v>
      </c>
      <c r="HK248" t="e">
        <f>AND('STERLING CATALOG - FZN &amp; CHILL'!G95,"AAAAAFw/u9o=")</f>
        <v>#VALUE!</v>
      </c>
      <c r="HL248" t="e">
        <f>AND('STERLING CATALOG - FZN &amp; CHILL'!H95,"AAAAAFw/u9s=")</f>
        <v>#VALUE!</v>
      </c>
      <c r="HM248" t="e">
        <f>AND('STERLING CATALOG - FZN &amp; CHILL'!I95,"AAAAAFw/u9w=")</f>
        <v>#VALUE!</v>
      </c>
      <c r="HN248" t="e">
        <f>AND('STERLING CATALOG - FZN &amp; CHILL'!J95,"AAAAAFw/u90=")</f>
        <v>#VALUE!</v>
      </c>
      <c r="HO248">
        <f>IF('STERLING CATALOG - FZN &amp; CHILL'!96:96,"AAAAAFw/u94=",0)</f>
        <v>0</v>
      </c>
      <c r="HP248" t="e">
        <f>AND('STERLING CATALOG - FZN &amp; CHILL'!A96,"AAAAAFw/u98=")</f>
        <v>#VALUE!</v>
      </c>
      <c r="HQ248" t="e">
        <f>AND('STERLING CATALOG - FZN &amp; CHILL'!B96,"AAAAAFw/u+A=")</f>
        <v>#VALUE!</v>
      </c>
      <c r="HR248" t="e">
        <f>AND('STERLING CATALOG - FZN &amp; CHILL'!C96,"AAAAAFw/u+E=")</f>
        <v>#VALUE!</v>
      </c>
      <c r="HS248" t="e">
        <f>AND('STERLING CATALOG - FZN &amp; CHILL'!D96,"AAAAAFw/u+I=")</f>
        <v>#VALUE!</v>
      </c>
      <c r="HT248" t="e">
        <f>AND('STERLING CATALOG - FZN &amp; CHILL'!E96,"AAAAAFw/u+M=")</f>
        <v>#VALUE!</v>
      </c>
      <c r="HU248" t="e">
        <f>AND('STERLING CATALOG - FZN &amp; CHILL'!F96,"AAAAAFw/u+Q=")</f>
        <v>#VALUE!</v>
      </c>
      <c r="HV248" t="e">
        <f>AND('STERLING CATALOG - FZN &amp; CHILL'!G96,"AAAAAFw/u+U=")</f>
        <v>#VALUE!</v>
      </c>
      <c r="HW248" t="e">
        <f>AND('STERLING CATALOG - FZN &amp; CHILL'!H96,"AAAAAFw/u+Y=")</f>
        <v>#VALUE!</v>
      </c>
      <c r="HX248" t="e">
        <f>AND('STERLING CATALOG - FZN &amp; CHILL'!I96,"AAAAAFw/u+c=")</f>
        <v>#VALUE!</v>
      </c>
      <c r="HY248" t="e">
        <f>AND('STERLING CATALOG - FZN &amp; CHILL'!J96,"AAAAAFw/u+g=")</f>
        <v>#VALUE!</v>
      </c>
      <c r="HZ248">
        <f>IF('STERLING CATALOG - FZN &amp; CHILL'!97:97,"AAAAAFw/u+k=",0)</f>
        <v>0</v>
      </c>
      <c r="IA248" t="e">
        <f>AND('STERLING CATALOG - FZN &amp; CHILL'!A97,"AAAAAFw/u+o=")</f>
        <v>#VALUE!</v>
      </c>
      <c r="IB248" t="e">
        <f>AND('STERLING CATALOG - FZN &amp; CHILL'!B97,"AAAAAFw/u+s=")</f>
        <v>#VALUE!</v>
      </c>
      <c r="IC248" t="e">
        <f>AND('STERLING CATALOG - FZN &amp; CHILL'!C97,"AAAAAFw/u+w=")</f>
        <v>#VALUE!</v>
      </c>
      <c r="ID248" t="e">
        <f>AND('STERLING CATALOG - FZN &amp; CHILL'!D97,"AAAAAFw/u+0=")</f>
        <v>#VALUE!</v>
      </c>
      <c r="IE248" t="e">
        <f>AND('STERLING CATALOG - FZN &amp; CHILL'!E97,"AAAAAFw/u+4=")</f>
        <v>#VALUE!</v>
      </c>
      <c r="IF248" t="e">
        <f>AND('STERLING CATALOG - FZN &amp; CHILL'!F97,"AAAAAFw/u+8=")</f>
        <v>#VALUE!</v>
      </c>
      <c r="IG248" t="e">
        <f>AND('STERLING CATALOG - FZN &amp; CHILL'!G97,"AAAAAFw/u/A=")</f>
        <v>#VALUE!</v>
      </c>
      <c r="IH248" t="e">
        <f>AND('STERLING CATALOG - FZN &amp; CHILL'!H97,"AAAAAFw/u/E=")</f>
        <v>#VALUE!</v>
      </c>
      <c r="II248" t="e">
        <f>AND('STERLING CATALOG - FZN &amp; CHILL'!I97,"AAAAAFw/u/I=")</f>
        <v>#VALUE!</v>
      </c>
      <c r="IJ248" t="e">
        <f>AND('STERLING CATALOG - FZN &amp; CHILL'!J97,"AAAAAFw/u/M=")</f>
        <v>#VALUE!</v>
      </c>
      <c r="IK248">
        <f>IF('STERLING CATALOG - FZN &amp; CHILL'!98:98,"AAAAAFw/u/Q=",0)</f>
        <v>0</v>
      </c>
      <c r="IL248" t="e">
        <f>AND('STERLING CATALOG - FZN &amp; CHILL'!A98,"AAAAAFw/u/U=")</f>
        <v>#VALUE!</v>
      </c>
      <c r="IM248" t="e">
        <f>AND('STERLING CATALOG - FZN &amp; CHILL'!B98,"AAAAAFw/u/Y=")</f>
        <v>#VALUE!</v>
      </c>
      <c r="IN248" t="e">
        <f>AND('STERLING CATALOG - FZN &amp; CHILL'!C98,"AAAAAFw/u/c=")</f>
        <v>#VALUE!</v>
      </c>
      <c r="IO248" t="e">
        <f>AND('STERLING CATALOG - FZN &amp; CHILL'!D98,"AAAAAFw/u/g=")</f>
        <v>#VALUE!</v>
      </c>
      <c r="IP248" t="e">
        <f>AND('STERLING CATALOG - FZN &amp; CHILL'!E98,"AAAAAFw/u/k=")</f>
        <v>#VALUE!</v>
      </c>
      <c r="IQ248" t="e">
        <f>AND('STERLING CATALOG - FZN &amp; CHILL'!F98,"AAAAAFw/u/o=")</f>
        <v>#VALUE!</v>
      </c>
      <c r="IR248" t="e">
        <f>AND('STERLING CATALOG - FZN &amp; CHILL'!G98,"AAAAAFw/u/s=")</f>
        <v>#VALUE!</v>
      </c>
      <c r="IS248" t="e">
        <f>AND('STERLING CATALOG - FZN &amp; CHILL'!H98,"AAAAAFw/u/w=")</f>
        <v>#VALUE!</v>
      </c>
      <c r="IT248" t="e">
        <f>AND('STERLING CATALOG - FZN &amp; CHILL'!I98,"AAAAAFw/u/0=")</f>
        <v>#VALUE!</v>
      </c>
      <c r="IU248" t="e">
        <f>AND('STERLING CATALOG - FZN &amp; CHILL'!J98,"AAAAAFw/u/4=")</f>
        <v>#VALUE!</v>
      </c>
      <c r="IV248">
        <f>IF('STERLING CATALOG - FZN &amp; CHILL'!99:99,"AAAAAFw/u/8=",0)</f>
        <v>0</v>
      </c>
    </row>
    <row r="249" spans="1:256">
      <c r="A249" t="e">
        <f>AND('STERLING CATALOG - FZN &amp; CHILL'!A99,"AAAAAH33+wA=")</f>
        <v>#VALUE!</v>
      </c>
      <c r="B249" t="e">
        <f>AND('STERLING CATALOG - FZN &amp; CHILL'!B99,"AAAAAH33+wE=")</f>
        <v>#VALUE!</v>
      </c>
      <c r="C249" t="e">
        <f>AND('STERLING CATALOG - FZN &amp; CHILL'!C99,"AAAAAH33+wI=")</f>
        <v>#VALUE!</v>
      </c>
      <c r="D249" t="e">
        <f>AND('STERLING CATALOG - FZN &amp; CHILL'!D99,"AAAAAH33+wM=")</f>
        <v>#VALUE!</v>
      </c>
      <c r="E249" t="e">
        <f>AND('STERLING CATALOG - FZN &amp; CHILL'!E99,"AAAAAH33+wQ=")</f>
        <v>#VALUE!</v>
      </c>
      <c r="F249" t="e">
        <f>AND('STERLING CATALOG - FZN &amp; CHILL'!F99,"AAAAAH33+wU=")</f>
        <v>#VALUE!</v>
      </c>
      <c r="G249" t="e">
        <f>AND('STERLING CATALOG - FZN &amp; CHILL'!G99,"AAAAAH33+wY=")</f>
        <v>#VALUE!</v>
      </c>
      <c r="H249" t="e">
        <f>AND('STERLING CATALOG - FZN &amp; CHILL'!H99,"AAAAAH33+wc=")</f>
        <v>#VALUE!</v>
      </c>
      <c r="I249" t="e">
        <f>AND('STERLING CATALOG - FZN &amp; CHILL'!I99,"AAAAAH33+wg=")</f>
        <v>#VALUE!</v>
      </c>
      <c r="J249" t="e">
        <f>AND('STERLING CATALOG - FZN &amp; CHILL'!J99,"AAAAAH33+wk=")</f>
        <v>#VALUE!</v>
      </c>
      <c r="K249">
        <f>IF('STERLING CATALOG - FZN &amp; CHILL'!100:100,"AAAAAH33+wo=",0)</f>
        <v>0</v>
      </c>
      <c r="L249" t="e">
        <f>AND('STERLING CATALOG - FZN &amp; CHILL'!A100,"AAAAAH33+ws=")</f>
        <v>#VALUE!</v>
      </c>
      <c r="M249" t="e">
        <f>AND('STERLING CATALOG - FZN &amp; CHILL'!B100,"AAAAAH33+ww=")</f>
        <v>#VALUE!</v>
      </c>
      <c r="N249" t="e">
        <f>AND('STERLING CATALOG - FZN &amp; CHILL'!C100,"AAAAAH33+w0=")</f>
        <v>#VALUE!</v>
      </c>
      <c r="O249" t="e">
        <f>AND('STERLING CATALOG - FZN &amp; CHILL'!D100,"AAAAAH33+w4=")</f>
        <v>#VALUE!</v>
      </c>
      <c r="P249" t="e">
        <f>AND('STERLING CATALOG - FZN &amp; CHILL'!E100,"AAAAAH33+w8=")</f>
        <v>#VALUE!</v>
      </c>
      <c r="Q249" t="e">
        <f>AND('STERLING CATALOG - FZN &amp; CHILL'!F100,"AAAAAH33+xA=")</f>
        <v>#VALUE!</v>
      </c>
      <c r="R249" t="e">
        <f>AND('STERLING CATALOG - FZN &amp; CHILL'!G100,"AAAAAH33+xE=")</f>
        <v>#VALUE!</v>
      </c>
      <c r="S249" t="e">
        <f>AND('STERLING CATALOG - FZN &amp; CHILL'!H100,"AAAAAH33+xI=")</f>
        <v>#VALUE!</v>
      </c>
      <c r="T249" t="e">
        <f>AND('STERLING CATALOG - FZN &amp; CHILL'!I100,"AAAAAH33+xM=")</f>
        <v>#VALUE!</v>
      </c>
      <c r="U249" t="e">
        <f>AND('STERLING CATALOG - FZN &amp; CHILL'!J100,"AAAAAH33+xQ=")</f>
        <v>#VALUE!</v>
      </c>
      <c r="V249">
        <f>IF('STERLING CATALOG - FZN &amp; CHILL'!101:101,"AAAAAH33+xU=",0)</f>
        <v>0</v>
      </c>
      <c r="W249" t="e">
        <f>AND('STERLING CATALOG - FZN &amp; CHILL'!A101,"AAAAAH33+xY=")</f>
        <v>#VALUE!</v>
      </c>
      <c r="X249" t="e">
        <f>AND('STERLING CATALOG - FZN &amp; CHILL'!B101,"AAAAAH33+xc=")</f>
        <v>#VALUE!</v>
      </c>
      <c r="Y249" t="e">
        <f>AND('STERLING CATALOG - FZN &amp; CHILL'!C101,"AAAAAH33+xg=")</f>
        <v>#VALUE!</v>
      </c>
      <c r="Z249" t="e">
        <f>AND('STERLING CATALOG - FZN &amp; CHILL'!D101,"AAAAAH33+xk=")</f>
        <v>#VALUE!</v>
      </c>
      <c r="AA249" t="e">
        <f>AND('STERLING CATALOG - FZN &amp; CHILL'!E101,"AAAAAH33+xo=")</f>
        <v>#VALUE!</v>
      </c>
      <c r="AB249" t="e">
        <f>AND('STERLING CATALOG - FZN &amp; CHILL'!F101,"AAAAAH33+xs=")</f>
        <v>#VALUE!</v>
      </c>
      <c r="AC249" t="e">
        <f>AND('STERLING CATALOG - FZN &amp; CHILL'!G101,"AAAAAH33+xw=")</f>
        <v>#VALUE!</v>
      </c>
      <c r="AD249" t="e">
        <f>AND('STERLING CATALOG - FZN &amp; CHILL'!H101,"AAAAAH33+x0=")</f>
        <v>#VALUE!</v>
      </c>
      <c r="AE249" t="e">
        <f>AND('STERLING CATALOG - FZN &amp; CHILL'!I101,"AAAAAH33+x4=")</f>
        <v>#VALUE!</v>
      </c>
      <c r="AF249" t="e">
        <f>AND('STERLING CATALOG - FZN &amp; CHILL'!J101,"AAAAAH33+x8=")</f>
        <v>#VALUE!</v>
      </c>
      <c r="AG249">
        <f>IF('STERLING CATALOG - FZN &amp; CHILL'!102:102,"AAAAAH33+yA=",0)</f>
        <v>0</v>
      </c>
      <c r="AH249" t="e">
        <f>AND('STERLING CATALOG - FZN &amp; CHILL'!A102,"AAAAAH33+yE=")</f>
        <v>#VALUE!</v>
      </c>
      <c r="AI249" t="e">
        <f>AND('STERLING CATALOG - FZN &amp; CHILL'!B102,"AAAAAH33+yI=")</f>
        <v>#VALUE!</v>
      </c>
      <c r="AJ249" t="e">
        <f>AND('STERLING CATALOG - FZN &amp; CHILL'!C102,"AAAAAH33+yM=")</f>
        <v>#VALUE!</v>
      </c>
      <c r="AK249" t="e">
        <f>AND('STERLING CATALOG - FZN &amp; CHILL'!D102,"AAAAAH33+yQ=")</f>
        <v>#VALUE!</v>
      </c>
      <c r="AL249" t="e">
        <f>AND('STERLING CATALOG - FZN &amp; CHILL'!E102,"AAAAAH33+yU=")</f>
        <v>#VALUE!</v>
      </c>
      <c r="AM249" t="e">
        <f>AND('STERLING CATALOG - FZN &amp; CHILL'!F102,"AAAAAH33+yY=")</f>
        <v>#VALUE!</v>
      </c>
      <c r="AN249" t="e">
        <f>AND('STERLING CATALOG - FZN &amp; CHILL'!G102,"AAAAAH33+yc=")</f>
        <v>#VALUE!</v>
      </c>
      <c r="AO249" t="e">
        <f>AND('STERLING CATALOG - FZN &amp; CHILL'!H102,"AAAAAH33+yg=")</f>
        <v>#VALUE!</v>
      </c>
      <c r="AP249" t="e">
        <f>AND('STERLING CATALOG - FZN &amp; CHILL'!I102,"AAAAAH33+yk=")</f>
        <v>#VALUE!</v>
      </c>
      <c r="AQ249" t="e">
        <f>AND('STERLING CATALOG - FZN &amp; CHILL'!J102,"AAAAAH33+yo=")</f>
        <v>#VALUE!</v>
      </c>
      <c r="AR249">
        <f>IF('STERLING CATALOG - FZN &amp; CHILL'!103:103,"AAAAAH33+ys=",0)</f>
        <v>0</v>
      </c>
      <c r="AS249" t="e">
        <f>AND('STERLING CATALOG - FZN &amp; CHILL'!A103,"AAAAAH33+yw=")</f>
        <v>#VALUE!</v>
      </c>
      <c r="AT249" t="e">
        <f>AND('STERLING CATALOG - FZN &amp; CHILL'!B103,"AAAAAH33+y0=")</f>
        <v>#VALUE!</v>
      </c>
      <c r="AU249" t="e">
        <f>AND('STERLING CATALOG - FZN &amp; CHILL'!C103,"AAAAAH33+y4=")</f>
        <v>#VALUE!</v>
      </c>
      <c r="AV249" t="e">
        <f>AND('STERLING CATALOG - FZN &amp; CHILL'!D103,"AAAAAH33+y8=")</f>
        <v>#VALUE!</v>
      </c>
      <c r="AW249" t="e">
        <f>AND('STERLING CATALOG - FZN &amp; CHILL'!E103,"AAAAAH33+zA=")</f>
        <v>#VALUE!</v>
      </c>
      <c r="AX249" t="e">
        <f>AND('STERLING CATALOG - FZN &amp; CHILL'!F103,"AAAAAH33+zE=")</f>
        <v>#VALUE!</v>
      </c>
      <c r="AY249" t="e">
        <f>AND('STERLING CATALOG - FZN &amp; CHILL'!G103,"AAAAAH33+zI=")</f>
        <v>#VALUE!</v>
      </c>
      <c r="AZ249" t="e">
        <f>AND('STERLING CATALOG - FZN &amp; CHILL'!H103,"AAAAAH33+zM=")</f>
        <v>#VALUE!</v>
      </c>
      <c r="BA249" t="e">
        <f>AND('STERLING CATALOG - FZN &amp; CHILL'!I103,"AAAAAH33+zQ=")</f>
        <v>#VALUE!</v>
      </c>
      <c r="BB249" t="e">
        <f>AND('STERLING CATALOG - FZN &amp; CHILL'!J103,"AAAAAH33+zU=")</f>
        <v>#VALUE!</v>
      </c>
      <c r="BC249">
        <f>IF('STERLING CATALOG - FZN &amp; CHILL'!104:104,"AAAAAH33+zY=",0)</f>
        <v>0</v>
      </c>
      <c r="BD249" t="e">
        <f>AND('STERLING CATALOG - FZN &amp; CHILL'!A104,"AAAAAH33+zc=")</f>
        <v>#VALUE!</v>
      </c>
      <c r="BE249" t="e">
        <f>AND('STERLING CATALOG - FZN &amp; CHILL'!B104,"AAAAAH33+zg=")</f>
        <v>#VALUE!</v>
      </c>
      <c r="BF249" t="e">
        <f>AND('STERLING CATALOG - FZN &amp; CHILL'!C104,"AAAAAH33+zk=")</f>
        <v>#VALUE!</v>
      </c>
      <c r="BG249" t="e">
        <f>AND('STERLING CATALOG - FZN &amp; CHILL'!D104,"AAAAAH33+zo=")</f>
        <v>#VALUE!</v>
      </c>
      <c r="BH249" t="e">
        <f>AND('STERLING CATALOG - FZN &amp; CHILL'!E104,"AAAAAH33+zs=")</f>
        <v>#VALUE!</v>
      </c>
      <c r="BI249" t="e">
        <f>AND('STERLING CATALOG - FZN &amp; CHILL'!F104,"AAAAAH33+zw=")</f>
        <v>#VALUE!</v>
      </c>
      <c r="BJ249" t="e">
        <f>AND('STERLING CATALOG - FZN &amp; CHILL'!G104,"AAAAAH33+z0=")</f>
        <v>#VALUE!</v>
      </c>
      <c r="BK249" t="e">
        <f>AND('STERLING CATALOG - FZN &amp; CHILL'!H104,"AAAAAH33+z4=")</f>
        <v>#VALUE!</v>
      </c>
      <c r="BL249" t="e">
        <f>AND('STERLING CATALOG - FZN &amp; CHILL'!I104,"AAAAAH33+z8=")</f>
        <v>#VALUE!</v>
      </c>
      <c r="BM249" t="e">
        <f>AND('STERLING CATALOG - FZN &amp; CHILL'!J104,"AAAAAH33+0A=")</f>
        <v>#VALUE!</v>
      </c>
      <c r="BN249">
        <f>IF('STERLING CATALOG - FZN &amp; CHILL'!105:105,"AAAAAH33+0E=",0)</f>
        <v>0</v>
      </c>
      <c r="BO249" t="e">
        <f>AND('STERLING CATALOG - FZN &amp; CHILL'!A105,"AAAAAH33+0I=")</f>
        <v>#VALUE!</v>
      </c>
      <c r="BP249" t="e">
        <f>AND('STERLING CATALOG - FZN &amp; CHILL'!B105,"AAAAAH33+0M=")</f>
        <v>#VALUE!</v>
      </c>
      <c r="BQ249" t="e">
        <f>AND('STERLING CATALOG - FZN &amp; CHILL'!C105,"AAAAAH33+0Q=")</f>
        <v>#VALUE!</v>
      </c>
      <c r="BR249" t="e">
        <f>AND('STERLING CATALOG - FZN &amp; CHILL'!D105,"AAAAAH33+0U=")</f>
        <v>#VALUE!</v>
      </c>
      <c r="BS249" t="e">
        <f>AND('STERLING CATALOG - FZN &amp; CHILL'!E105,"AAAAAH33+0Y=")</f>
        <v>#VALUE!</v>
      </c>
      <c r="BT249" t="e">
        <f>AND('STERLING CATALOG - FZN &amp; CHILL'!F105,"AAAAAH33+0c=")</f>
        <v>#VALUE!</v>
      </c>
      <c r="BU249" t="e">
        <f>AND('STERLING CATALOG - FZN &amp; CHILL'!G105,"AAAAAH33+0g=")</f>
        <v>#VALUE!</v>
      </c>
      <c r="BV249" t="e">
        <f>AND('STERLING CATALOG - FZN &amp; CHILL'!H105,"AAAAAH33+0k=")</f>
        <v>#VALUE!</v>
      </c>
      <c r="BW249" t="e">
        <f>AND('STERLING CATALOG - FZN &amp; CHILL'!I105,"AAAAAH33+0o=")</f>
        <v>#VALUE!</v>
      </c>
      <c r="BX249" t="e">
        <f>AND('STERLING CATALOG - FZN &amp; CHILL'!J105,"AAAAAH33+0s=")</f>
        <v>#VALUE!</v>
      </c>
      <c r="BY249">
        <f>IF('STERLING CATALOG - FZN &amp; CHILL'!106:106,"AAAAAH33+0w=",0)</f>
        <v>0</v>
      </c>
      <c r="BZ249" t="e">
        <f>AND('STERLING CATALOG - FZN &amp; CHILL'!A106,"AAAAAH33+00=")</f>
        <v>#VALUE!</v>
      </c>
      <c r="CA249" t="e">
        <f>AND('STERLING CATALOG - FZN &amp; CHILL'!B106,"AAAAAH33+04=")</f>
        <v>#VALUE!</v>
      </c>
      <c r="CB249" t="e">
        <f>AND('STERLING CATALOG - FZN &amp; CHILL'!C106,"AAAAAH33+08=")</f>
        <v>#VALUE!</v>
      </c>
      <c r="CC249" t="e">
        <f>AND('STERLING CATALOG - FZN &amp; CHILL'!D106,"AAAAAH33+1A=")</f>
        <v>#VALUE!</v>
      </c>
      <c r="CD249" t="e">
        <f>AND('STERLING CATALOG - FZN &amp; CHILL'!E106,"AAAAAH33+1E=")</f>
        <v>#VALUE!</v>
      </c>
      <c r="CE249" t="e">
        <f>AND('STERLING CATALOG - FZN &amp; CHILL'!F106,"AAAAAH33+1I=")</f>
        <v>#VALUE!</v>
      </c>
      <c r="CF249" t="e">
        <f>AND('STERLING CATALOG - FZN &amp; CHILL'!G106,"AAAAAH33+1M=")</f>
        <v>#VALUE!</v>
      </c>
      <c r="CG249" t="e">
        <f>AND('STERLING CATALOG - FZN &amp; CHILL'!H106,"AAAAAH33+1Q=")</f>
        <v>#VALUE!</v>
      </c>
      <c r="CH249" t="e">
        <f>AND('STERLING CATALOG - FZN &amp; CHILL'!I106,"AAAAAH33+1U=")</f>
        <v>#VALUE!</v>
      </c>
      <c r="CI249" t="e">
        <f>AND('STERLING CATALOG - FZN &amp; CHILL'!J106,"AAAAAH33+1Y=")</f>
        <v>#VALUE!</v>
      </c>
      <c r="CJ249">
        <f>IF('STERLING CATALOG - FZN &amp; CHILL'!107:107,"AAAAAH33+1c=",0)</f>
        <v>0</v>
      </c>
      <c r="CK249" t="e">
        <f>AND('STERLING CATALOG - FZN &amp; CHILL'!A107,"AAAAAH33+1g=")</f>
        <v>#VALUE!</v>
      </c>
      <c r="CL249" t="e">
        <f>AND('STERLING CATALOG - FZN &amp; CHILL'!B107,"AAAAAH33+1k=")</f>
        <v>#VALUE!</v>
      </c>
      <c r="CM249" t="e">
        <f>AND('STERLING CATALOG - FZN &amp; CHILL'!C107,"AAAAAH33+1o=")</f>
        <v>#VALUE!</v>
      </c>
      <c r="CN249" t="e">
        <f>AND('STERLING CATALOG - FZN &amp; CHILL'!D107,"AAAAAH33+1s=")</f>
        <v>#VALUE!</v>
      </c>
      <c r="CO249" t="e">
        <f>AND('STERLING CATALOG - FZN &amp; CHILL'!E107,"AAAAAH33+1w=")</f>
        <v>#VALUE!</v>
      </c>
      <c r="CP249" t="e">
        <f>AND('STERLING CATALOG - FZN &amp; CHILL'!F107,"AAAAAH33+10=")</f>
        <v>#VALUE!</v>
      </c>
      <c r="CQ249" t="e">
        <f>AND('STERLING CATALOG - FZN &amp; CHILL'!G107,"AAAAAH33+14=")</f>
        <v>#VALUE!</v>
      </c>
      <c r="CR249" t="e">
        <f>AND('STERLING CATALOG - FZN &amp; CHILL'!H107,"AAAAAH33+18=")</f>
        <v>#VALUE!</v>
      </c>
      <c r="CS249" t="e">
        <f>AND('STERLING CATALOG - FZN &amp; CHILL'!I107,"AAAAAH33+2A=")</f>
        <v>#VALUE!</v>
      </c>
      <c r="CT249" t="e">
        <f>AND('STERLING CATALOG - FZN &amp; CHILL'!J107,"AAAAAH33+2E=")</f>
        <v>#VALUE!</v>
      </c>
      <c r="CU249">
        <f>IF('STERLING CATALOG - FZN &amp; CHILL'!108:108,"AAAAAH33+2I=",0)</f>
        <v>0</v>
      </c>
      <c r="CV249" t="e">
        <f>AND('STERLING CATALOG - FZN &amp; CHILL'!A108,"AAAAAH33+2M=")</f>
        <v>#VALUE!</v>
      </c>
      <c r="CW249" t="e">
        <f>AND('STERLING CATALOG - FZN &amp; CHILL'!B108,"AAAAAH33+2Q=")</f>
        <v>#VALUE!</v>
      </c>
      <c r="CX249" t="e">
        <f>AND('STERLING CATALOG - FZN &amp; CHILL'!C108,"AAAAAH33+2U=")</f>
        <v>#VALUE!</v>
      </c>
      <c r="CY249" t="e">
        <f>AND('STERLING CATALOG - FZN &amp; CHILL'!D108,"AAAAAH33+2Y=")</f>
        <v>#VALUE!</v>
      </c>
      <c r="CZ249" t="e">
        <f>AND('STERLING CATALOG - FZN &amp; CHILL'!E108,"AAAAAH33+2c=")</f>
        <v>#VALUE!</v>
      </c>
      <c r="DA249" t="e">
        <f>AND('STERLING CATALOG - FZN &amp; CHILL'!F108,"AAAAAH33+2g=")</f>
        <v>#VALUE!</v>
      </c>
      <c r="DB249" t="e">
        <f>AND('STERLING CATALOG - FZN &amp; CHILL'!G108,"AAAAAH33+2k=")</f>
        <v>#VALUE!</v>
      </c>
      <c r="DC249" t="e">
        <f>AND('STERLING CATALOG - FZN &amp; CHILL'!H108,"AAAAAH33+2o=")</f>
        <v>#VALUE!</v>
      </c>
      <c r="DD249" t="e">
        <f>AND('STERLING CATALOG - FZN &amp; CHILL'!I108,"AAAAAH33+2s=")</f>
        <v>#VALUE!</v>
      </c>
      <c r="DE249" t="e">
        <f>AND('STERLING CATALOG - FZN &amp; CHILL'!J108,"AAAAAH33+2w=")</f>
        <v>#VALUE!</v>
      </c>
      <c r="DF249">
        <f>IF('STERLING CATALOG - FZN &amp; CHILL'!109:109,"AAAAAH33+20=",0)</f>
        <v>0</v>
      </c>
      <c r="DG249" t="e">
        <f>AND('STERLING CATALOG - FZN &amp; CHILL'!A109,"AAAAAH33+24=")</f>
        <v>#VALUE!</v>
      </c>
      <c r="DH249" t="e">
        <f>AND('STERLING CATALOG - FZN &amp; CHILL'!B109,"AAAAAH33+28=")</f>
        <v>#VALUE!</v>
      </c>
      <c r="DI249" t="e">
        <f>AND('STERLING CATALOG - FZN &amp; CHILL'!C109,"AAAAAH33+3A=")</f>
        <v>#VALUE!</v>
      </c>
      <c r="DJ249" t="e">
        <f>AND('STERLING CATALOG - FZN &amp; CHILL'!D109,"AAAAAH33+3E=")</f>
        <v>#VALUE!</v>
      </c>
      <c r="DK249" t="e">
        <f>AND('STERLING CATALOG - FZN &amp; CHILL'!E109,"AAAAAH33+3I=")</f>
        <v>#VALUE!</v>
      </c>
      <c r="DL249" t="e">
        <f>AND('STERLING CATALOG - FZN &amp; CHILL'!F109,"AAAAAH33+3M=")</f>
        <v>#VALUE!</v>
      </c>
      <c r="DM249" t="e">
        <f>AND('STERLING CATALOG - FZN &amp; CHILL'!G109,"AAAAAH33+3Q=")</f>
        <v>#VALUE!</v>
      </c>
      <c r="DN249" t="e">
        <f>AND('STERLING CATALOG - FZN &amp; CHILL'!H109,"AAAAAH33+3U=")</f>
        <v>#VALUE!</v>
      </c>
      <c r="DO249" t="e">
        <f>AND('STERLING CATALOG - FZN &amp; CHILL'!I109,"AAAAAH33+3Y=")</f>
        <v>#VALUE!</v>
      </c>
      <c r="DP249" t="e">
        <f>AND('STERLING CATALOG - FZN &amp; CHILL'!J109,"AAAAAH33+3c=")</f>
        <v>#VALUE!</v>
      </c>
      <c r="DQ249">
        <f>IF('STERLING CATALOG - FZN &amp; CHILL'!110:110,"AAAAAH33+3g=",0)</f>
        <v>0</v>
      </c>
      <c r="DR249" t="e">
        <f>AND('STERLING CATALOG - FZN &amp; CHILL'!A110,"AAAAAH33+3k=")</f>
        <v>#VALUE!</v>
      </c>
      <c r="DS249" t="e">
        <f>AND('STERLING CATALOG - FZN &amp; CHILL'!B110,"AAAAAH33+3o=")</f>
        <v>#VALUE!</v>
      </c>
      <c r="DT249" t="e">
        <f>AND('STERLING CATALOG - FZN &amp; CHILL'!C110,"AAAAAH33+3s=")</f>
        <v>#VALUE!</v>
      </c>
      <c r="DU249" t="e">
        <f>AND('STERLING CATALOG - FZN &amp; CHILL'!D110,"AAAAAH33+3w=")</f>
        <v>#VALUE!</v>
      </c>
      <c r="DV249" t="e">
        <f>AND('STERLING CATALOG - FZN &amp; CHILL'!E110,"AAAAAH33+30=")</f>
        <v>#VALUE!</v>
      </c>
      <c r="DW249" t="e">
        <f>AND('STERLING CATALOG - FZN &amp; CHILL'!F110,"AAAAAH33+34=")</f>
        <v>#VALUE!</v>
      </c>
      <c r="DX249" t="e">
        <f>AND('STERLING CATALOG - FZN &amp; CHILL'!G110,"AAAAAH33+38=")</f>
        <v>#VALUE!</v>
      </c>
      <c r="DY249" t="e">
        <f>AND('STERLING CATALOG - FZN &amp; CHILL'!H110,"AAAAAH33+4A=")</f>
        <v>#VALUE!</v>
      </c>
      <c r="DZ249" t="e">
        <f>AND('STERLING CATALOG - FZN &amp; CHILL'!I110,"AAAAAH33+4E=")</f>
        <v>#VALUE!</v>
      </c>
      <c r="EA249" t="e">
        <f>AND('STERLING CATALOG - FZN &amp; CHILL'!J110,"AAAAAH33+4I=")</f>
        <v>#VALUE!</v>
      </c>
      <c r="EB249">
        <f>IF('STERLING CATALOG - FZN &amp; CHILL'!111:111,"AAAAAH33+4M=",0)</f>
        <v>0</v>
      </c>
      <c r="EC249" t="e">
        <f>AND('STERLING CATALOG - FZN &amp; CHILL'!A111,"AAAAAH33+4Q=")</f>
        <v>#VALUE!</v>
      </c>
      <c r="ED249" t="e">
        <f>AND('STERLING CATALOG - FZN &amp; CHILL'!B111,"AAAAAH33+4U=")</f>
        <v>#VALUE!</v>
      </c>
      <c r="EE249" t="e">
        <f>AND('STERLING CATALOG - FZN &amp; CHILL'!C111,"AAAAAH33+4Y=")</f>
        <v>#VALUE!</v>
      </c>
      <c r="EF249" t="e">
        <f>AND('STERLING CATALOG - FZN &amp; CHILL'!D111,"AAAAAH33+4c=")</f>
        <v>#VALUE!</v>
      </c>
      <c r="EG249" t="e">
        <f>AND('STERLING CATALOG - FZN &amp; CHILL'!E111,"AAAAAH33+4g=")</f>
        <v>#VALUE!</v>
      </c>
      <c r="EH249" t="e">
        <f>AND('STERLING CATALOG - FZN &amp; CHILL'!F111,"AAAAAH33+4k=")</f>
        <v>#VALUE!</v>
      </c>
      <c r="EI249" t="e">
        <f>AND('STERLING CATALOG - FZN &amp; CHILL'!G111,"AAAAAH33+4o=")</f>
        <v>#VALUE!</v>
      </c>
      <c r="EJ249" t="e">
        <f>AND('STERLING CATALOG - FZN &amp; CHILL'!H111,"AAAAAH33+4s=")</f>
        <v>#VALUE!</v>
      </c>
      <c r="EK249" t="e">
        <f>AND('STERLING CATALOG - FZN &amp; CHILL'!I111,"AAAAAH33+4w=")</f>
        <v>#VALUE!</v>
      </c>
      <c r="EL249" t="e">
        <f>AND('STERLING CATALOG - FZN &amp; CHILL'!J111,"AAAAAH33+40=")</f>
        <v>#VALUE!</v>
      </c>
      <c r="EM249">
        <f>IF('STERLING CATALOG - FZN &amp; CHILL'!112:112,"AAAAAH33+44=",0)</f>
        <v>0</v>
      </c>
      <c r="EN249" t="e">
        <f>AND('STERLING CATALOG - FZN &amp; CHILL'!A112,"AAAAAH33+48=")</f>
        <v>#VALUE!</v>
      </c>
      <c r="EO249" t="e">
        <f>AND('STERLING CATALOG - FZN &amp; CHILL'!B112,"AAAAAH33+5A=")</f>
        <v>#VALUE!</v>
      </c>
      <c r="EP249" t="e">
        <f>AND('STERLING CATALOG - FZN &amp; CHILL'!C112,"AAAAAH33+5E=")</f>
        <v>#VALUE!</v>
      </c>
      <c r="EQ249" t="e">
        <f>AND('STERLING CATALOG - FZN &amp; CHILL'!D112,"AAAAAH33+5I=")</f>
        <v>#VALUE!</v>
      </c>
      <c r="ER249" t="e">
        <f>AND('STERLING CATALOG - FZN &amp; CHILL'!E112,"AAAAAH33+5M=")</f>
        <v>#VALUE!</v>
      </c>
      <c r="ES249" t="e">
        <f>AND('STERLING CATALOG - FZN &amp; CHILL'!F112,"AAAAAH33+5Q=")</f>
        <v>#VALUE!</v>
      </c>
      <c r="ET249" t="e">
        <f>AND('STERLING CATALOG - FZN &amp; CHILL'!G112,"AAAAAH33+5U=")</f>
        <v>#VALUE!</v>
      </c>
      <c r="EU249" t="e">
        <f>AND('STERLING CATALOG - FZN &amp; CHILL'!H112,"AAAAAH33+5Y=")</f>
        <v>#VALUE!</v>
      </c>
      <c r="EV249" t="e">
        <f>AND('STERLING CATALOG - FZN &amp; CHILL'!I112,"AAAAAH33+5c=")</f>
        <v>#VALUE!</v>
      </c>
      <c r="EW249" t="e">
        <f>AND('STERLING CATALOG - FZN &amp; CHILL'!J112,"AAAAAH33+5g=")</f>
        <v>#VALUE!</v>
      </c>
      <c r="EX249">
        <f>IF('STERLING CATALOG - FZN &amp; CHILL'!113:113,"AAAAAH33+5k=",0)</f>
        <v>0</v>
      </c>
      <c r="EY249" t="e">
        <f>AND('STERLING CATALOG - FZN &amp; CHILL'!A113,"AAAAAH33+5o=")</f>
        <v>#VALUE!</v>
      </c>
      <c r="EZ249" t="e">
        <f>AND('STERLING CATALOG - FZN &amp; CHILL'!B113,"AAAAAH33+5s=")</f>
        <v>#VALUE!</v>
      </c>
      <c r="FA249" t="e">
        <f>AND('STERLING CATALOG - FZN &amp; CHILL'!C113,"AAAAAH33+5w=")</f>
        <v>#VALUE!</v>
      </c>
      <c r="FB249" t="e">
        <f>AND('STERLING CATALOG - FZN &amp; CHILL'!D113,"AAAAAH33+50=")</f>
        <v>#VALUE!</v>
      </c>
      <c r="FC249" t="e">
        <f>AND('STERLING CATALOG - FZN &amp; CHILL'!E113,"AAAAAH33+54=")</f>
        <v>#VALUE!</v>
      </c>
      <c r="FD249" t="e">
        <f>AND('STERLING CATALOG - FZN &amp; CHILL'!F113,"AAAAAH33+58=")</f>
        <v>#VALUE!</v>
      </c>
      <c r="FE249" t="e">
        <f>AND('STERLING CATALOG - FZN &amp; CHILL'!G113,"AAAAAH33+6A=")</f>
        <v>#VALUE!</v>
      </c>
      <c r="FF249" t="e">
        <f>AND('STERLING CATALOG - FZN &amp; CHILL'!H113,"AAAAAH33+6E=")</f>
        <v>#VALUE!</v>
      </c>
      <c r="FG249" t="e">
        <f>AND('STERLING CATALOG - FZN &amp; CHILL'!I113,"AAAAAH33+6I=")</f>
        <v>#VALUE!</v>
      </c>
      <c r="FH249" t="e">
        <f>AND('STERLING CATALOG - FZN &amp; CHILL'!J113,"AAAAAH33+6M=")</f>
        <v>#VALUE!</v>
      </c>
      <c r="FI249">
        <f>IF('STERLING CATALOG - FZN &amp; CHILL'!114:114,"AAAAAH33+6Q=",0)</f>
        <v>0</v>
      </c>
      <c r="FJ249" t="e">
        <f>AND('STERLING CATALOG - FZN &amp; CHILL'!A114,"AAAAAH33+6U=")</f>
        <v>#VALUE!</v>
      </c>
      <c r="FK249" t="e">
        <f>AND('STERLING CATALOG - FZN &amp; CHILL'!B114,"AAAAAH33+6Y=")</f>
        <v>#VALUE!</v>
      </c>
      <c r="FL249" t="e">
        <f>AND('STERLING CATALOG - FZN &amp; CHILL'!C114,"AAAAAH33+6c=")</f>
        <v>#VALUE!</v>
      </c>
      <c r="FM249" t="e">
        <f>AND('STERLING CATALOG - FZN &amp; CHILL'!D114,"AAAAAH33+6g=")</f>
        <v>#VALUE!</v>
      </c>
      <c r="FN249" t="e">
        <f>AND('STERLING CATALOG - FZN &amp; CHILL'!E114,"AAAAAH33+6k=")</f>
        <v>#VALUE!</v>
      </c>
      <c r="FO249" t="e">
        <f>AND('STERLING CATALOG - FZN &amp; CHILL'!F114,"AAAAAH33+6o=")</f>
        <v>#VALUE!</v>
      </c>
      <c r="FP249" t="e">
        <f>AND('STERLING CATALOG - FZN &amp; CHILL'!G114,"AAAAAH33+6s=")</f>
        <v>#VALUE!</v>
      </c>
      <c r="FQ249" t="e">
        <f>AND('STERLING CATALOG - FZN &amp; CHILL'!H114,"AAAAAH33+6w=")</f>
        <v>#VALUE!</v>
      </c>
      <c r="FR249" t="e">
        <f>AND('STERLING CATALOG - FZN &amp; CHILL'!I114,"AAAAAH33+60=")</f>
        <v>#VALUE!</v>
      </c>
      <c r="FS249" t="e">
        <f>AND('STERLING CATALOG - FZN &amp; CHILL'!J114,"AAAAAH33+64=")</f>
        <v>#VALUE!</v>
      </c>
      <c r="FT249">
        <f>IF('STERLING CATALOG - FZN &amp; CHILL'!115:115,"AAAAAH33+68=",0)</f>
        <v>0</v>
      </c>
      <c r="FU249" t="e">
        <f>AND('STERLING CATALOG - FZN &amp; CHILL'!A115,"AAAAAH33+7A=")</f>
        <v>#VALUE!</v>
      </c>
      <c r="FV249" t="e">
        <f>AND('STERLING CATALOG - FZN &amp; CHILL'!B115,"AAAAAH33+7E=")</f>
        <v>#VALUE!</v>
      </c>
      <c r="FW249" t="e">
        <f>AND('STERLING CATALOG - FZN &amp; CHILL'!C115,"AAAAAH33+7I=")</f>
        <v>#VALUE!</v>
      </c>
      <c r="FX249" t="e">
        <f>AND('STERLING CATALOG - FZN &amp; CHILL'!D115,"AAAAAH33+7M=")</f>
        <v>#VALUE!</v>
      </c>
      <c r="FY249" t="e">
        <f>AND('STERLING CATALOG - FZN &amp; CHILL'!E115,"AAAAAH33+7Q=")</f>
        <v>#VALUE!</v>
      </c>
      <c r="FZ249" t="e">
        <f>AND('STERLING CATALOG - FZN &amp; CHILL'!F115,"AAAAAH33+7U=")</f>
        <v>#VALUE!</v>
      </c>
      <c r="GA249" t="e">
        <f>AND('STERLING CATALOG - FZN &amp; CHILL'!G115,"AAAAAH33+7Y=")</f>
        <v>#VALUE!</v>
      </c>
      <c r="GB249" t="e">
        <f>AND('STERLING CATALOG - FZN &amp; CHILL'!H115,"AAAAAH33+7c=")</f>
        <v>#VALUE!</v>
      </c>
      <c r="GC249" t="e">
        <f>AND('STERLING CATALOG - FZN &amp; CHILL'!I115,"AAAAAH33+7g=")</f>
        <v>#VALUE!</v>
      </c>
      <c r="GD249" t="e">
        <f>AND('STERLING CATALOG - FZN &amp; CHILL'!J115,"AAAAAH33+7k=")</f>
        <v>#VALUE!</v>
      </c>
      <c r="GE249">
        <f>IF('STERLING CATALOG - FZN &amp; CHILL'!116:116,"AAAAAH33+7o=",0)</f>
        <v>0</v>
      </c>
      <c r="GF249" t="e">
        <f>AND('STERLING CATALOG - FZN &amp; CHILL'!A116,"AAAAAH33+7s=")</f>
        <v>#VALUE!</v>
      </c>
      <c r="GG249" t="e">
        <f>AND('STERLING CATALOG - FZN &amp; CHILL'!B116,"AAAAAH33+7w=")</f>
        <v>#VALUE!</v>
      </c>
      <c r="GH249" t="e">
        <f>AND('STERLING CATALOG - FZN &amp; CHILL'!C116,"AAAAAH33+70=")</f>
        <v>#VALUE!</v>
      </c>
      <c r="GI249" t="e">
        <f>AND('STERLING CATALOG - FZN &amp; CHILL'!D116,"AAAAAH33+74=")</f>
        <v>#VALUE!</v>
      </c>
      <c r="GJ249" t="e">
        <f>AND('STERLING CATALOG - FZN &amp; CHILL'!E116,"AAAAAH33+78=")</f>
        <v>#VALUE!</v>
      </c>
      <c r="GK249" t="e">
        <f>AND('STERLING CATALOG - FZN &amp; CHILL'!F116,"AAAAAH33+8A=")</f>
        <v>#VALUE!</v>
      </c>
      <c r="GL249" t="e">
        <f>AND('STERLING CATALOG - FZN &amp; CHILL'!G116,"AAAAAH33+8E=")</f>
        <v>#VALUE!</v>
      </c>
      <c r="GM249" t="e">
        <f>AND('STERLING CATALOG - FZN &amp; CHILL'!H116,"AAAAAH33+8I=")</f>
        <v>#VALUE!</v>
      </c>
      <c r="GN249" t="e">
        <f>AND('STERLING CATALOG - FZN &amp; CHILL'!I116,"AAAAAH33+8M=")</f>
        <v>#VALUE!</v>
      </c>
      <c r="GO249" t="e">
        <f>AND('STERLING CATALOG - FZN &amp; CHILL'!J116,"AAAAAH33+8Q=")</f>
        <v>#VALUE!</v>
      </c>
      <c r="GP249">
        <f>IF('STERLING CATALOG - FZN &amp; CHILL'!117:117,"AAAAAH33+8U=",0)</f>
        <v>0</v>
      </c>
      <c r="GQ249" t="e">
        <f>AND('STERLING CATALOG - FZN &amp; CHILL'!A117,"AAAAAH33+8Y=")</f>
        <v>#VALUE!</v>
      </c>
      <c r="GR249" t="e">
        <f>AND('STERLING CATALOG - FZN &amp; CHILL'!B117,"AAAAAH33+8c=")</f>
        <v>#VALUE!</v>
      </c>
      <c r="GS249" t="e">
        <f>AND('STERLING CATALOG - FZN &amp; CHILL'!C117,"AAAAAH33+8g=")</f>
        <v>#VALUE!</v>
      </c>
      <c r="GT249" t="e">
        <f>AND('STERLING CATALOG - FZN &amp; CHILL'!D117,"AAAAAH33+8k=")</f>
        <v>#VALUE!</v>
      </c>
      <c r="GU249" t="e">
        <f>AND('STERLING CATALOG - FZN &amp; CHILL'!E117,"AAAAAH33+8o=")</f>
        <v>#VALUE!</v>
      </c>
      <c r="GV249" t="e">
        <f>AND('STERLING CATALOG - FZN &amp; CHILL'!F117,"AAAAAH33+8s=")</f>
        <v>#VALUE!</v>
      </c>
      <c r="GW249" t="e">
        <f>AND('STERLING CATALOG - FZN &amp; CHILL'!G117,"AAAAAH33+8w=")</f>
        <v>#VALUE!</v>
      </c>
      <c r="GX249" t="e">
        <f>AND('STERLING CATALOG - FZN &amp; CHILL'!H117,"AAAAAH33+80=")</f>
        <v>#VALUE!</v>
      </c>
      <c r="GY249" t="e">
        <f>AND('STERLING CATALOG - FZN &amp; CHILL'!I117,"AAAAAH33+84=")</f>
        <v>#VALUE!</v>
      </c>
      <c r="GZ249" t="e">
        <f>AND('STERLING CATALOG - FZN &amp; CHILL'!J117,"AAAAAH33+88=")</f>
        <v>#VALUE!</v>
      </c>
      <c r="HA249">
        <f>IF('STERLING CATALOG - FZN &amp; CHILL'!118:118,"AAAAAH33+9A=",0)</f>
        <v>0</v>
      </c>
      <c r="HB249" t="e">
        <f>AND('STERLING CATALOG - FZN &amp; CHILL'!A118,"AAAAAH33+9E=")</f>
        <v>#VALUE!</v>
      </c>
      <c r="HC249" t="e">
        <f>AND('STERLING CATALOG - FZN &amp; CHILL'!B118,"AAAAAH33+9I=")</f>
        <v>#VALUE!</v>
      </c>
      <c r="HD249" t="e">
        <f>AND('STERLING CATALOG - FZN &amp; CHILL'!C118,"AAAAAH33+9M=")</f>
        <v>#VALUE!</v>
      </c>
      <c r="HE249" t="e">
        <f>AND('STERLING CATALOG - FZN &amp; CHILL'!D118,"AAAAAH33+9Q=")</f>
        <v>#VALUE!</v>
      </c>
      <c r="HF249" t="e">
        <f>AND('STERLING CATALOG - FZN &amp; CHILL'!E118,"AAAAAH33+9U=")</f>
        <v>#VALUE!</v>
      </c>
      <c r="HG249" t="e">
        <f>AND('STERLING CATALOG - FZN &amp; CHILL'!F118,"AAAAAH33+9Y=")</f>
        <v>#VALUE!</v>
      </c>
      <c r="HH249" t="e">
        <f>AND('STERLING CATALOG - FZN &amp; CHILL'!G118,"AAAAAH33+9c=")</f>
        <v>#VALUE!</v>
      </c>
      <c r="HI249" t="e">
        <f>AND('STERLING CATALOG - FZN &amp; CHILL'!H118,"AAAAAH33+9g=")</f>
        <v>#VALUE!</v>
      </c>
      <c r="HJ249" t="e">
        <f>AND('STERLING CATALOG - FZN &amp; CHILL'!I118,"AAAAAH33+9k=")</f>
        <v>#VALUE!</v>
      </c>
      <c r="HK249" t="e">
        <f>AND('STERLING CATALOG - FZN &amp; CHILL'!J118,"AAAAAH33+9o=")</f>
        <v>#VALUE!</v>
      </c>
      <c r="HL249">
        <f>IF('STERLING CATALOG - FZN &amp; CHILL'!119:119,"AAAAAH33+9s=",0)</f>
        <v>0</v>
      </c>
      <c r="HM249" t="e">
        <f>AND('STERLING CATALOG - FZN &amp; CHILL'!A119,"AAAAAH33+9w=")</f>
        <v>#VALUE!</v>
      </c>
      <c r="HN249" t="e">
        <f>AND('STERLING CATALOG - FZN &amp; CHILL'!B119,"AAAAAH33+90=")</f>
        <v>#VALUE!</v>
      </c>
      <c r="HO249" t="e">
        <f>AND('STERLING CATALOG - FZN &amp; CHILL'!C119,"AAAAAH33+94=")</f>
        <v>#VALUE!</v>
      </c>
      <c r="HP249" t="e">
        <f>AND('STERLING CATALOG - FZN &amp; CHILL'!D119,"AAAAAH33+98=")</f>
        <v>#VALUE!</v>
      </c>
      <c r="HQ249" t="e">
        <f>AND('STERLING CATALOG - FZN &amp; CHILL'!E119,"AAAAAH33++A=")</f>
        <v>#VALUE!</v>
      </c>
      <c r="HR249" t="e">
        <f>AND('STERLING CATALOG - FZN &amp; CHILL'!F119,"AAAAAH33++E=")</f>
        <v>#VALUE!</v>
      </c>
      <c r="HS249" t="e">
        <f>AND('STERLING CATALOG - FZN &amp; CHILL'!G119,"AAAAAH33++I=")</f>
        <v>#VALUE!</v>
      </c>
      <c r="HT249" t="e">
        <f>AND('STERLING CATALOG - FZN &amp; CHILL'!H119,"AAAAAH33++M=")</f>
        <v>#VALUE!</v>
      </c>
      <c r="HU249" t="e">
        <f>AND('STERLING CATALOG - FZN &amp; CHILL'!I119,"AAAAAH33++Q=")</f>
        <v>#VALUE!</v>
      </c>
      <c r="HV249" t="e">
        <f>AND('STERLING CATALOG - FZN &amp; CHILL'!J119,"AAAAAH33++U=")</f>
        <v>#VALUE!</v>
      </c>
      <c r="HW249">
        <f>IF('STERLING CATALOG - FZN &amp; CHILL'!120:120,"AAAAAH33++Y=",0)</f>
        <v>0</v>
      </c>
      <c r="HX249" t="e">
        <f>AND('STERLING CATALOG - FZN &amp; CHILL'!A120,"AAAAAH33++c=")</f>
        <v>#VALUE!</v>
      </c>
      <c r="HY249" t="e">
        <f>AND('STERLING CATALOG - FZN &amp; CHILL'!B120,"AAAAAH33++g=")</f>
        <v>#VALUE!</v>
      </c>
      <c r="HZ249" t="e">
        <f>AND('STERLING CATALOG - FZN &amp; CHILL'!C120,"AAAAAH33++k=")</f>
        <v>#VALUE!</v>
      </c>
      <c r="IA249" t="e">
        <f>AND('STERLING CATALOG - FZN &amp; CHILL'!D120,"AAAAAH33++o=")</f>
        <v>#VALUE!</v>
      </c>
      <c r="IB249" t="e">
        <f>AND('STERLING CATALOG - FZN &amp; CHILL'!E120,"AAAAAH33++s=")</f>
        <v>#VALUE!</v>
      </c>
      <c r="IC249" t="e">
        <f>AND('STERLING CATALOG - FZN &amp; CHILL'!F120,"AAAAAH33++w=")</f>
        <v>#VALUE!</v>
      </c>
      <c r="ID249" t="e">
        <f>AND('STERLING CATALOG - FZN &amp; CHILL'!G120,"AAAAAH33++0=")</f>
        <v>#VALUE!</v>
      </c>
      <c r="IE249" t="e">
        <f>AND('STERLING CATALOG - FZN &amp; CHILL'!H120,"AAAAAH33++4=")</f>
        <v>#VALUE!</v>
      </c>
      <c r="IF249" t="e">
        <f>AND('STERLING CATALOG - FZN &amp; CHILL'!I120,"AAAAAH33++8=")</f>
        <v>#VALUE!</v>
      </c>
      <c r="IG249" t="e">
        <f>AND('STERLING CATALOG - FZN &amp; CHILL'!J120,"AAAAAH33+/A=")</f>
        <v>#VALUE!</v>
      </c>
      <c r="IH249">
        <f>IF('STERLING CATALOG - FZN &amp; CHILL'!121:121,"AAAAAH33+/E=",0)</f>
        <v>0</v>
      </c>
      <c r="II249" t="e">
        <f>AND('STERLING CATALOG - FZN &amp; CHILL'!A121,"AAAAAH33+/I=")</f>
        <v>#VALUE!</v>
      </c>
      <c r="IJ249" t="e">
        <f>AND('STERLING CATALOG - FZN &amp; CHILL'!B121,"AAAAAH33+/M=")</f>
        <v>#VALUE!</v>
      </c>
      <c r="IK249" t="e">
        <f>AND('STERLING CATALOG - FZN &amp; CHILL'!C121,"AAAAAH33+/Q=")</f>
        <v>#VALUE!</v>
      </c>
      <c r="IL249" t="e">
        <f>AND('STERLING CATALOG - FZN &amp; CHILL'!D121,"AAAAAH33+/U=")</f>
        <v>#VALUE!</v>
      </c>
      <c r="IM249" t="e">
        <f>AND('STERLING CATALOG - FZN &amp; CHILL'!E121,"AAAAAH33+/Y=")</f>
        <v>#VALUE!</v>
      </c>
      <c r="IN249" t="e">
        <f>AND('STERLING CATALOG - FZN &amp; CHILL'!F121,"AAAAAH33+/c=")</f>
        <v>#VALUE!</v>
      </c>
      <c r="IO249" t="e">
        <f>AND('STERLING CATALOG - FZN &amp; CHILL'!G121,"AAAAAH33+/g=")</f>
        <v>#VALUE!</v>
      </c>
      <c r="IP249" t="e">
        <f>AND('STERLING CATALOG - FZN &amp; CHILL'!H121,"AAAAAH33+/k=")</f>
        <v>#VALUE!</v>
      </c>
      <c r="IQ249" t="e">
        <f>AND('STERLING CATALOG - FZN &amp; CHILL'!I121,"AAAAAH33+/o=")</f>
        <v>#VALUE!</v>
      </c>
      <c r="IR249" t="e">
        <f>AND('STERLING CATALOG - FZN &amp; CHILL'!J121,"AAAAAH33+/s=")</f>
        <v>#VALUE!</v>
      </c>
      <c r="IS249">
        <f>IF('STERLING CATALOG - FZN &amp; CHILL'!122:122,"AAAAAH33+/w=",0)</f>
        <v>0</v>
      </c>
      <c r="IT249" t="e">
        <f>AND('STERLING CATALOG - FZN &amp; CHILL'!A122,"AAAAAH33+/0=")</f>
        <v>#VALUE!</v>
      </c>
      <c r="IU249" t="e">
        <f>AND('STERLING CATALOG - FZN &amp; CHILL'!B122,"AAAAAH33+/4=")</f>
        <v>#VALUE!</v>
      </c>
      <c r="IV249" t="e">
        <f>AND('STERLING CATALOG - FZN &amp; CHILL'!C122,"AAAAAH33+/8=")</f>
        <v>#VALUE!</v>
      </c>
    </row>
    <row r="250" spans="1:256">
      <c r="A250" t="e">
        <f>AND('STERLING CATALOG - FZN &amp; CHILL'!D122,"AAAAAF/e/wA=")</f>
        <v>#VALUE!</v>
      </c>
      <c r="B250" t="e">
        <f>AND('STERLING CATALOG - FZN &amp; CHILL'!E122,"AAAAAF/e/wE=")</f>
        <v>#VALUE!</v>
      </c>
      <c r="C250" t="e">
        <f>AND('STERLING CATALOG - FZN &amp; CHILL'!F122,"AAAAAF/e/wI=")</f>
        <v>#VALUE!</v>
      </c>
      <c r="D250" t="e">
        <f>AND('STERLING CATALOG - FZN &amp; CHILL'!G122,"AAAAAF/e/wM=")</f>
        <v>#VALUE!</v>
      </c>
      <c r="E250" t="e">
        <f>AND('STERLING CATALOG - FZN &amp; CHILL'!H122,"AAAAAF/e/wQ=")</f>
        <v>#VALUE!</v>
      </c>
      <c r="F250" t="e">
        <f>AND('STERLING CATALOG - FZN &amp; CHILL'!I122,"AAAAAF/e/wU=")</f>
        <v>#VALUE!</v>
      </c>
      <c r="G250" t="e">
        <f>AND('STERLING CATALOG - FZN &amp; CHILL'!J122,"AAAAAF/e/wY=")</f>
        <v>#VALUE!</v>
      </c>
      <c r="H250" t="str">
        <f>IF('STERLING CATALOG - FZN &amp; CHILL'!123:123,"AAAAAF/e/wc=",0)</f>
        <v>AAAAAF/e/wc=</v>
      </c>
      <c r="I250" t="e">
        <f>AND('STERLING CATALOG - FZN &amp; CHILL'!A123,"AAAAAF/e/wg=")</f>
        <v>#VALUE!</v>
      </c>
      <c r="J250" t="e">
        <f>AND('STERLING CATALOG - FZN &amp; CHILL'!B123,"AAAAAF/e/wk=")</f>
        <v>#VALUE!</v>
      </c>
      <c r="K250" t="e">
        <f>AND('STERLING CATALOG - FZN &amp; CHILL'!C123,"AAAAAF/e/wo=")</f>
        <v>#VALUE!</v>
      </c>
      <c r="L250" t="e">
        <f>AND('STERLING CATALOG - FZN &amp; CHILL'!D123,"AAAAAF/e/ws=")</f>
        <v>#VALUE!</v>
      </c>
      <c r="M250" t="e">
        <f>AND('STERLING CATALOG - FZN &amp; CHILL'!E123,"AAAAAF/e/ww=")</f>
        <v>#VALUE!</v>
      </c>
      <c r="N250" t="e">
        <f>AND('STERLING CATALOG - FZN &amp; CHILL'!F123,"AAAAAF/e/w0=")</f>
        <v>#VALUE!</v>
      </c>
      <c r="O250" t="e">
        <f>AND('STERLING CATALOG - FZN &amp; CHILL'!G123,"AAAAAF/e/w4=")</f>
        <v>#VALUE!</v>
      </c>
      <c r="P250" t="e">
        <f>AND('STERLING CATALOG - FZN &amp; CHILL'!H123,"AAAAAF/e/w8=")</f>
        <v>#VALUE!</v>
      </c>
      <c r="Q250" t="e">
        <f>AND('STERLING CATALOG - FZN &amp; CHILL'!I123,"AAAAAF/e/xA=")</f>
        <v>#VALUE!</v>
      </c>
      <c r="R250" t="e">
        <f>AND('STERLING CATALOG - FZN &amp; CHILL'!J123,"AAAAAF/e/xE=")</f>
        <v>#VALUE!</v>
      </c>
      <c r="S250">
        <f>IF('STERLING CATALOG - FZN &amp; CHILL'!124:124,"AAAAAF/e/xI=",0)</f>
        <v>0</v>
      </c>
      <c r="T250" t="e">
        <f>AND('STERLING CATALOG - FZN &amp; CHILL'!A124,"AAAAAF/e/xM=")</f>
        <v>#VALUE!</v>
      </c>
      <c r="U250" t="e">
        <f>AND('STERLING CATALOG - FZN &amp; CHILL'!B124,"AAAAAF/e/xQ=")</f>
        <v>#VALUE!</v>
      </c>
      <c r="V250" t="e">
        <f>AND('STERLING CATALOG - FZN &amp; CHILL'!C124,"AAAAAF/e/xU=")</f>
        <v>#VALUE!</v>
      </c>
      <c r="W250" t="e">
        <f>AND('STERLING CATALOG - FZN &amp; CHILL'!D124,"AAAAAF/e/xY=")</f>
        <v>#VALUE!</v>
      </c>
      <c r="X250" t="e">
        <f>AND('STERLING CATALOG - FZN &amp; CHILL'!E124,"AAAAAF/e/xc=")</f>
        <v>#VALUE!</v>
      </c>
      <c r="Y250" t="e">
        <f>AND('STERLING CATALOG - FZN &amp; CHILL'!F124,"AAAAAF/e/xg=")</f>
        <v>#VALUE!</v>
      </c>
      <c r="Z250" t="e">
        <f>AND('STERLING CATALOG - FZN &amp; CHILL'!G124,"AAAAAF/e/xk=")</f>
        <v>#VALUE!</v>
      </c>
      <c r="AA250" t="e">
        <f>AND('STERLING CATALOG - FZN &amp; CHILL'!H124,"AAAAAF/e/xo=")</f>
        <v>#VALUE!</v>
      </c>
      <c r="AB250" t="e">
        <f>AND('STERLING CATALOG - FZN &amp; CHILL'!I124,"AAAAAF/e/xs=")</f>
        <v>#VALUE!</v>
      </c>
      <c r="AC250" t="e">
        <f>AND('STERLING CATALOG - FZN &amp; CHILL'!J124,"AAAAAF/e/xw=")</f>
        <v>#VALUE!</v>
      </c>
      <c r="AD250">
        <f>IF('STERLING CATALOG - FZN &amp; CHILL'!125:125,"AAAAAF/e/x0=",0)</f>
        <v>0</v>
      </c>
      <c r="AE250" t="e">
        <f>AND('STERLING CATALOG - FZN &amp; CHILL'!A125,"AAAAAF/e/x4=")</f>
        <v>#VALUE!</v>
      </c>
      <c r="AF250" t="e">
        <f>AND('STERLING CATALOG - FZN &amp; CHILL'!B125,"AAAAAF/e/x8=")</f>
        <v>#VALUE!</v>
      </c>
      <c r="AG250" t="e">
        <f>AND('STERLING CATALOG - FZN &amp; CHILL'!C125,"AAAAAF/e/yA=")</f>
        <v>#VALUE!</v>
      </c>
      <c r="AH250" t="e">
        <f>AND('STERLING CATALOG - FZN &amp; CHILL'!D125,"AAAAAF/e/yE=")</f>
        <v>#VALUE!</v>
      </c>
      <c r="AI250" t="e">
        <f>AND('STERLING CATALOG - FZN &amp; CHILL'!E125,"AAAAAF/e/yI=")</f>
        <v>#VALUE!</v>
      </c>
      <c r="AJ250" t="e">
        <f>AND('STERLING CATALOG - FZN &amp; CHILL'!F125,"AAAAAF/e/yM=")</f>
        <v>#VALUE!</v>
      </c>
      <c r="AK250" t="e">
        <f>AND('STERLING CATALOG - FZN &amp; CHILL'!G125,"AAAAAF/e/yQ=")</f>
        <v>#VALUE!</v>
      </c>
      <c r="AL250" t="e">
        <f>AND('STERLING CATALOG - FZN &amp; CHILL'!H125,"AAAAAF/e/yU=")</f>
        <v>#VALUE!</v>
      </c>
      <c r="AM250" t="e">
        <f>AND('STERLING CATALOG - FZN &amp; CHILL'!I125,"AAAAAF/e/yY=")</f>
        <v>#VALUE!</v>
      </c>
      <c r="AN250" t="e">
        <f>AND('STERLING CATALOG - FZN &amp; CHILL'!J125,"AAAAAF/e/yc=")</f>
        <v>#VALUE!</v>
      </c>
      <c r="AO250">
        <f>IF('STERLING CATALOG - FZN &amp; CHILL'!126:126,"AAAAAF/e/yg=",0)</f>
        <v>0</v>
      </c>
      <c r="AP250" t="e">
        <f>AND('STERLING CATALOG - FZN &amp; CHILL'!A126,"AAAAAF/e/yk=")</f>
        <v>#VALUE!</v>
      </c>
      <c r="AQ250" t="e">
        <f>AND('STERLING CATALOG - FZN &amp; CHILL'!B126,"AAAAAF/e/yo=")</f>
        <v>#VALUE!</v>
      </c>
      <c r="AR250" t="e">
        <f>AND('STERLING CATALOG - FZN &amp; CHILL'!C126,"AAAAAF/e/ys=")</f>
        <v>#VALUE!</v>
      </c>
      <c r="AS250" t="e">
        <f>AND('STERLING CATALOG - FZN &amp; CHILL'!D126,"AAAAAF/e/yw=")</f>
        <v>#VALUE!</v>
      </c>
      <c r="AT250" t="e">
        <f>AND('STERLING CATALOG - FZN &amp; CHILL'!E126,"AAAAAF/e/y0=")</f>
        <v>#VALUE!</v>
      </c>
      <c r="AU250" t="e">
        <f>AND('STERLING CATALOG - FZN &amp; CHILL'!F126,"AAAAAF/e/y4=")</f>
        <v>#VALUE!</v>
      </c>
      <c r="AV250" t="e">
        <f>AND('STERLING CATALOG - FZN &amp; CHILL'!G126,"AAAAAF/e/y8=")</f>
        <v>#VALUE!</v>
      </c>
      <c r="AW250" t="e">
        <f>AND('STERLING CATALOG - FZN &amp; CHILL'!H126,"AAAAAF/e/zA=")</f>
        <v>#VALUE!</v>
      </c>
      <c r="AX250" t="e">
        <f>AND('STERLING CATALOG - FZN &amp; CHILL'!I126,"AAAAAF/e/zE=")</f>
        <v>#VALUE!</v>
      </c>
      <c r="AY250" t="e">
        <f>AND('STERLING CATALOG - FZN &amp; CHILL'!J126,"AAAAAF/e/zI=")</f>
        <v>#VALUE!</v>
      </c>
      <c r="AZ250">
        <f>IF('STERLING CATALOG - FZN &amp; CHILL'!127:127,"AAAAAF/e/zM=",0)</f>
        <v>0</v>
      </c>
      <c r="BA250" t="e">
        <f>AND('STERLING CATALOG - FZN &amp; CHILL'!A127,"AAAAAF/e/zQ=")</f>
        <v>#VALUE!</v>
      </c>
      <c r="BB250" t="e">
        <f>AND('STERLING CATALOG - FZN &amp; CHILL'!B127,"AAAAAF/e/zU=")</f>
        <v>#VALUE!</v>
      </c>
      <c r="BC250" t="e">
        <f>AND('STERLING CATALOG - FZN &amp; CHILL'!C127,"AAAAAF/e/zY=")</f>
        <v>#VALUE!</v>
      </c>
      <c r="BD250" t="e">
        <f>AND('STERLING CATALOG - FZN &amp; CHILL'!D127,"AAAAAF/e/zc=")</f>
        <v>#VALUE!</v>
      </c>
      <c r="BE250" t="e">
        <f>AND('STERLING CATALOG - FZN &amp; CHILL'!E127,"AAAAAF/e/zg=")</f>
        <v>#VALUE!</v>
      </c>
      <c r="BF250" t="e">
        <f>AND('STERLING CATALOG - FZN &amp; CHILL'!F127,"AAAAAF/e/zk=")</f>
        <v>#VALUE!</v>
      </c>
      <c r="BG250" t="e">
        <f>AND('STERLING CATALOG - FZN &amp; CHILL'!G127,"AAAAAF/e/zo=")</f>
        <v>#VALUE!</v>
      </c>
      <c r="BH250" t="e">
        <f>AND('STERLING CATALOG - FZN &amp; CHILL'!H127,"AAAAAF/e/zs=")</f>
        <v>#VALUE!</v>
      </c>
      <c r="BI250" t="e">
        <f>AND('STERLING CATALOG - FZN &amp; CHILL'!I127,"AAAAAF/e/zw=")</f>
        <v>#VALUE!</v>
      </c>
      <c r="BJ250" t="e">
        <f>AND('STERLING CATALOG - FZN &amp; CHILL'!J127,"AAAAAF/e/z0=")</f>
        <v>#VALUE!</v>
      </c>
      <c r="BK250">
        <f>IF('STERLING CATALOG - FZN &amp; CHILL'!128:128,"AAAAAF/e/z4=",0)</f>
        <v>0</v>
      </c>
      <c r="BL250" t="e">
        <f>AND('STERLING CATALOG - FZN &amp; CHILL'!A128,"AAAAAF/e/z8=")</f>
        <v>#VALUE!</v>
      </c>
      <c r="BM250" t="e">
        <f>AND('STERLING CATALOG - FZN &amp; CHILL'!B128,"AAAAAF/e/0A=")</f>
        <v>#VALUE!</v>
      </c>
      <c r="BN250" t="e">
        <f>AND('STERLING CATALOG - FZN &amp; CHILL'!C128,"AAAAAF/e/0E=")</f>
        <v>#VALUE!</v>
      </c>
      <c r="BO250" t="e">
        <f>AND('STERLING CATALOG - FZN &amp; CHILL'!D128,"AAAAAF/e/0I=")</f>
        <v>#VALUE!</v>
      </c>
      <c r="BP250" t="e">
        <f>AND('STERLING CATALOG - FZN &amp; CHILL'!E128,"AAAAAF/e/0M=")</f>
        <v>#VALUE!</v>
      </c>
      <c r="BQ250" t="e">
        <f>AND('STERLING CATALOG - FZN &amp; CHILL'!F128,"AAAAAF/e/0Q=")</f>
        <v>#VALUE!</v>
      </c>
      <c r="BR250" t="e">
        <f>AND('STERLING CATALOG - FZN &amp; CHILL'!G128,"AAAAAF/e/0U=")</f>
        <v>#VALUE!</v>
      </c>
      <c r="BS250" t="e">
        <f>AND('STERLING CATALOG - FZN &amp; CHILL'!H128,"AAAAAF/e/0Y=")</f>
        <v>#VALUE!</v>
      </c>
      <c r="BT250" t="e">
        <f>AND('STERLING CATALOG - FZN &amp; CHILL'!I128,"AAAAAF/e/0c=")</f>
        <v>#VALUE!</v>
      </c>
      <c r="BU250" t="e">
        <f>AND('STERLING CATALOG - FZN &amp; CHILL'!J128,"AAAAAF/e/0g=")</f>
        <v>#VALUE!</v>
      </c>
      <c r="BV250">
        <f>IF('STERLING CATALOG - FZN &amp; CHILL'!129:129,"AAAAAF/e/0k=",0)</f>
        <v>0</v>
      </c>
      <c r="BW250" t="e">
        <f>AND('STERLING CATALOG - FZN &amp; CHILL'!A129,"AAAAAF/e/0o=")</f>
        <v>#VALUE!</v>
      </c>
      <c r="BX250" t="e">
        <f>AND('STERLING CATALOG - FZN &amp; CHILL'!B129,"AAAAAF/e/0s=")</f>
        <v>#VALUE!</v>
      </c>
      <c r="BY250" t="e">
        <f>AND('STERLING CATALOG - FZN &amp; CHILL'!C129,"AAAAAF/e/0w=")</f>
        <v>#VALUE!</v>
      </c>
      <c r="BZ250" t="e">
        <f>AND('STERLING CATALOG - FZN &amp; CHILL'!D129,"AAAAAF/e/00=")</f>
        <v>#VALUE!</v>
      </c>
      <c r="CA250" t="e">
        <f>AND('STERLING CATALOG - FZN &amp; CHILL'!E129,"AAAAAF/e/04=")</f>
        <v>#VALUE!</v>
      </c>
      <c r="CB250" t="e">
        <f>AND('STERLING CATALOG - FZN &amp; CHILL'!F129,"AAAAAF/e/08=")</f>
        <v>#VALUE!</v>
      </c>
      <c r="CC250" t="e">
        <f>AND('STERLING CATALOG - FZN &amp; CHILL'!G129,"AAAAAF/e/1A=")</f>
        <v>#VALUE!</v>
      </c>
      <c r="CD250" t="e">
        <f>AND('STERLING CATALOG - FZN &amp; CHILL'!H129,"AAAAAF/e/1E=")</f>
        <v>#VALUE!</v>
      </c>
      <c r="CE250" t="e">
        <f>AND('STERLING CATALOG - FZN &amp; CHILL'!I129,"AAAAAF/e/1I=")</f>
        <v>#VALUE!</v>
      </c>
      <c r="CF250" t="e">
        <f>AND('STERLING CATALOG - FZN &amp; CHILL'!J129,"AAAAAF/e/1M=")</f>
        <v>#VALUE!</v>
      </c>
      <c r="CG250">
        <f>IF('STERLING CATALOG - FZN &amp; CHILL'!130:130,"AAAAAF/e/1Q=",0)</f>
        <v>0</v>
      </c>
      <c r="CH250" t="e">
        <f>AND('STERLING CATALOG - FZN &amp; CHILL'!A130,"AAAAAF/e/1U=")</f>
        <v>#VALUE!</v>
      </c>
      <c r="CI250" t="e">
        <f>AND('STERLING CATALOG - FZN &amp; CHILL'!B130,"AAAAAF/e/1Y=")</f>
        <v>#VALUE!</v>
      </c>
      <c r="CJ250" t="e">
        <f>AND('STERLING CATALOG - FZN &amp; CHILL'!C130,"AAAAAF/e/1c=")</f>
        <v>#VALUE!</v>
      </c>
      <c r="CK250" t="e">
        <f>AND('STERLING CATALOG - FZN &amp; CHILL'!D130,"AAAAAF/e/1g=")</f>
        <v>#VALUE!</v>
      </c>
      <c r="CL250" t="e">
        <f>AND('STERLING CATALOG - FZN &amp; CHILL'!E130,"AAAAAF/e/1k=")</f>
        <v>#VALUE!</v>
      </c>
      <c r="CM250" t="e">
        <f>AND('STERLING CATALOG - FZN &amp; CHILL'!F130,"AAAAAF/e/1o=")</f>
        <v>#VALUE!</v>
      </c>
      <c r="CN250" t="e">
        <f>AND('STERLING CATALOG - FZN &amp; CHILL'!G130,"AAAAAF/e/1s=")</f>
        <v>#VALUE!</v>
      </c>
      <c r="CO250" t="e">
        <f>AND('STERLING CATALOG - FZN &amp; CHILL'!H130,"AAAAAF/e/1w=")</f>
        <v>#VALUE!</v>
      </c>
      <c r="CP250" t="e">
        <f>AND('STERLING CATALOG - FZN &amp; CHILL'!I130,"AAAAAF/e/10=")</f>
        <v>#VALUE!</v>
      </c>
      <c r="CQ250" t="e">
        <f>AND('STERLING CATALOG - FZN &amp; CHILL'!J130,"AAAAAF/e/14=")</f>
        <v>#VALUE!</v>
      </c>
      <c r="CR250">
        <f>IF('STERLING CATALOG - FZN &amp; CHILL'!131:131,"AAAAAF/e/18=",0)</f>
        <v>0</v>
      </c>
      <c r="CS250" t="e">
        <f>AND('STERLING CATALOG - FZN &amp; CHILL'!A131,"AAAAAF/e/2A=")</f>
        <v>#VALUE!</v>
      </c>
      <c r="CT250" t="e">
        <f>AND('STERLING CATALOG - FZN &amp; CHILL'!B131,"AAAAAF/e/2E=")</f>
        <v>#VALUE!</v>
      </c>
      <c r="CU250" t="e">
        <f>AND('STERLING CATALOG - FZN &amp; CHILL'!C131,"AAAAAF/e/2I=")</f>
        <v>#VALUE!</v>
      </c>
      <c r="CV250" t="e">
        <f>AND('STERLING CATALOG - FZN &amp; CHILL'!D131,"AAAAAF/e/2M=")</f>
        <v>#VALUE!</v>
      </c>
      <c r="CW250" t="e">
        <f>AND('STERLING CATALOG - FZN &amp; CHILL'!E131,"AAAAAF/e/2Q=")</f>
        <v>#VALUE!</v>
      </c>
      <c r="CX250" t="e">
        <f>AND('STERLING CATALOG - FZN &amp; CHILL'!F131,"AAAAAF/e/2U=")</f>
        <v>#VALUE!</v>
      </c>
      <c r="CY250" t="e">
        <f>AND('STERLING CATALOG - FZN &amp; CHILL'!G131,"AAAAAF/e/2Y=")</f>
        <v>#VALUE!</v>
      </c>
      <c r="CZ250" t="e">
        <f>AND('STERLING CATALOG - FZN &amp; CHILL'!H131,"AAAAAF/e/2c=")</f>
        <v>#VALUE!</v>
      </c>
      <c r="DA250" t="e">
        <f>AND('STERLING CATALOG - FZN &amp; CHILL'!I131,"AAAAAF/e/2g=")</f>
        <v>#VALUE!</v>
      </c>
      <c r="DB250" t="e">
        <f>AND('STERLING CATALOG - FZN &amp; CHILL'!J131,"AAAAAF/e/2k=")</f>
        <v>#VALUE!</v>
      </c>
      <c r="DC250">
        <f>IF('STERLING CATALOG - FZN &amp; CHILL'!132:132,"AAAAAF/e/2o=",0)</f>
        <v>0</v>
      </c>
      <c r="DD250" t="e">
        <f>AND('STERLING CATALOG - FZN &amp; CHILL'!A132,"AAAAAF/e/2s=")</f>
        <v>#VALUE!</v>
      </c>
      <c r="DE250" t="e">
        <f>AND('STERLING CATALOG - FZN &amp; CHILL'!B132,"AAAAAF/e/2w=")</f>
        <v>#VALUE!</v>
      </c>
      <c r="DF250" t="e">
        <f>AND('STERLING CATALOG - FZN &amp; CHILL'!C132,"AAAAAF/e/20=")</f>
        <v>#VALUE!</v>
      </c>
      <c r="DG250" t="e">
        <f>AND('STERLING CATALOG - FZN &amp; CHILL'!D132,"AAAAAF/e/24=")</f>
        <v>#VALUE!</v>
      </c>
      <c r="DH250" t="e">
        <f>AND('STERLING CATALOG - FZN &amp; CHILL'!E132,"AAAAAF/e/28=")</f>
        <v>#VALUE!</v>
      </c>
      <c r="DI250" t="e">
        <f>AND('STERLING CATALOG - FZN &amp; CHILL'!F132,"AAAAAF/e/3A=")</f>
        <v>#VALUE!</v>
      </c>
      <c r="DJ250" t="e">
        <f>AND('STERLING CATALOG - FZN &amp; CHILL'!G132,"AAAAAF/e/3E=")</f>
        <v>#VALUE!</v>
      </c>
      <c r="DK250" t="e">
        <f>AND('STERLING CATALOG - FZN &amp; CHILL'!H132,"AAAAAF/e/3I=")</f>
        <v>#VALUE!</v>
      </c>
      <c r="DL250" t="e">
        <f>AND('STERLING CATALOG - FZN &amp; CHILL'!I132,"AAAAAF/e/3M=")</f>
        <v>#VALUE!</v>
      </c>
      <c r="DM250" t="e">
        <f>AND('STERLING CATALOG - FZN &amp; CHILL'!J132,"AAAAAF/e/3Q=")</f>
        <v>#VALUE!</v>
      </c>
      <c r="DN250">
        <f>IF('STERLING CATALOG - FZN &amp; CHILL'!133:133,"AAAAAF/e/3U=",0)</f>
        <v>0</v>
      </c>
      <c r="DO250" t="e">
        <f>AND('STERLING CATALOG - FZN &amp; CHILL'!A133,"AAAAAF/e/3Y=")</f>
        <v>#VALUE!</v>
      </c>
      <c r="DP250" t="e">
        <f>AND('STERLING CATALOG - FZN &amp; CHILL'!B133,"AAAAAF/e/3c=")</f>
        <v>#VALUE!</v>
      </c>
      <c r="DQ250" t="e">
        <f>AND('STERLING CATALOG - FZN &amp; CHILL'!C133,"AAAAAF/e/3g=")</f>
        <v>#VALUE!</v>
      </c>
      <c r="DR250" t="e">
        <f>AND('STERLING CATALOG - FZN &amp; CHILL'!D133,"AAAAAF/e/3k=")</f>
        <v>#VALUE!</v>
      </c>
      <c r="DS250" t="e">
        <f>AND('STERLING CATALOG - FZN &amp; CHILL'!E133,"AAAAAF/e/3o=")</f>
        <v>#VALUE!</v>
      </c>
      <c r="DT250" t="e">
        <f>AND('STERLING CATALOG - FZN &amp; CHILL'!F133,"AAAAAF/e/3s=")</f>
        <v>#VALUE!</v>
      </c>
      <c r="DU250" t="e">
        <f>AND('STERLING CATALOG - FZN &amp; CHILL'!G133,"AAAAAF/e/3w=")</f>
        <v>#VALUE!</v>
      </c>
      <c r="DV250" t="e">
        <f>AND('STERLING CATALOG - FZN &amp; CHILL'!H133,"AAAAAF/e/30=")</f>
        <v>#VALUE!</v>
      </c>
      <c r="DW250" t="e">
        <f>AND('STERLING CATALOG - FZN &amp; CHILL'!I133,"AAAAAF/e/34=")</f>
        <v>#VALUE!</v>
      </c>
      <c r="DX250" t="e">
        <f>AND('STERLING CATALOG - FZN &amp; CHILL'!J133,"AAAAAF/e/38=")</f>
        <v>#VALUE!</v>
      </c>
      <c r="DY250">
        <f>IF('STERLING CATALOG - FZN &amp; CHILL'!134:134,"AAAAAF/e/4A=",0)</f>
        <v>0</v>
      </c>
      <c r="DZ250" t="e">
        <f>AND('STERLING CATALOG - FZN &amp; CHILL'!A134,"AAAAAF/e/4E=")</f>
        <v>#VALUE!</v>
      </c>
      <c r="EA250" t="e">
        <f>AND('STERLING CATALOG - FZN &amp; CHILL'!B134,"AAAAAF/e/4I=")</f>
        <v>#VALUE!</v>
      </c>
      <c r="EB250" t="e">
        <f>AND('STERLING CATALOG - FZN &amp; CHILL'!C134,"AAAAAF/e/4M=")</f>
        <v>#VALUE!</v>
      </c>
      <c r="EC250" t="e">
        <f>AND('STERLING CATALOG - FZN &amp; CHILL'!D134,"AAAAAF/e/4Q=")</f>
        <v>#VALUE!</v>
      </c>
      <c r="ED250" t="e">
        <f>AND('STERLING CATALOG - FZN &amp; CHILL'!E134,"AAAAAF/e/4U=")</f>
        <v>#VALUE!</v>
      </c>
      <c r="EE250" t="e">
        <f>AND('STERLING CATALOG - FZN &amp; CHILL'!F134,"AAAAAF/e/4Y=")</f>
        <v>#VALUE!</v>
      </c>
      <c r="EF250" t="e">
        <f>AND('STERLING CATALOG - FZN &amp; CHILL'!G134,"AAAAAF/e/4c=")</f>
        <v>#VALUE!</v>
      </c>
      <c r="EG250" t="e">
        <f>AND('STERLING CATALOG - FZN &amp; CHILL'!H134,"AAAAAF/e/4g=")</f>
        <v>#VALUE!</v>
      </c>
      <c r="EH250" t="e">
        <f>AND('STERLING CATALOG - FZN &amp; CHILL'!I134,"AAAAAF/e/4k=")</f>
        <v>#VALUE!</v>
      </c>
      <c r="EI250" t="e">
        <f>AND('STERLING CATALOG - FZN &amp; CHILL'!J134,"AAAAAF/e/4o=")</f>
        <v>#VALUE!</v>
      </c>
      <c r="EJ250">
        <f>IF('STERLING CATALOG - FZN &amp; CHILL'!135:135,"AAAAAF/e/4s=",0)</f>
        <v>0</v>
      </c>
      <c r="EK250" t="e">
        <f>AND('STERLING CATALOG - FZN &amp; CHILL'!A135,"AAAAAF/e/4w=")</f>
        <v>#VALUE!</v>
      </c>
      <c r="EL250" t="e">
        <f>AND('STERLING CATALOG - FZN &amp; CHILL'!B135,"AAAAAF/e/40=")</f>
        <v>#VALUE!</v>
      </c>
      <c r="EM250" t="e">
        <f>AND('STERLING CATALOG - FZN &amp; CHILL'!C135,"AAAAAF/e/44=")</f>
        <v>#VALUE!</v>
      </c>
      <c r="EN250" t="e">
        <f>AND('STERLING CATALOG - FZN &amp; CHILL'!D135,"AAAAAF/e/48=")</f>
        <v>#VALUE!</v>
      </c>
      <c r="EO250" t="e">
        <f>AND('STERLING CATALOG - FZN &amp; CHILL'!E135,"AAAAAF/e/5A=")</f>
        <v>#VALUE!</v>
      </c>
      <c r="EP250" t="e">
        <f>AND('STERLING CATALOG - FZN &amp; CHILL'!F135,"AAAAAF/e/5E=")</f>
        <v>#VALUE!</v>
      </c>
      <c r="EQ250" t="e">
        <f>AND('STERLING CATALOG - FZN &amp; CHILL'!G135,"AAAAAF/e/5I=")</f>
        <v>#VALUE!</v>
      </c>
      <c r="ER250" t="e">
        <f>AND('STERLING CATALOG - FZN &amp; CHILL'!H135,"AAAAAF/e/5M=")</f>
        <v>#VALUE!</v>
      </c>
      <c r="ES250" t="e">
        <f>AND('STERLING CATALOG - FZN &amp; CHILL'!I135,"AAAAAF/e/5Q=")</f>
        <v>#VALUE!</v>
      </c>
      <c r="ET250" t="e">
        <f>AND('STERLING CATALOG - FZN &amp; CHILL'!J135,"AAAAAF/e/5U=")</f>
        <v>#VALUE!</v>
      </c>
      <c r="EU250">
        <f>IF('STERLING CATALOG - FZN &amp; CHILL'!136:136,"AAAAAF/e/5Y=",0)</f>
        <v>0</v>
      </c>
      <c r="EV250" t="e">
        <f>AND('STERLING CATALOG - FZN &amp; CHILL'!A136,"AAAAAF/e/5c=")</f>
        <v>#VALUE!</v>
      </c>
      <c r="EW250" t="e">
        <f>AND('STERLING CATALOG - FZN &amp; CHILL'!B136,"AAAAAF/e/5g=")</f>
        <v>#VALUE!</v>
      </c>
      <c r="EX250" t="e">
        <f>AND('STERLING CATALOG - FZN &amp; CHILL'!C136,"AAAAAF/e/5k=")</f>
        <v>#VALUE!</v>
      </c>
      <c r="EY250" t="e">
        <f>AND('STERLING CATALOG - FZN &amp; CHILL'!D136,"AAAAAF/e/5o=")</f>
        <v>#VALUE!</v>
      </c>
      <c r="EZ250" t="e">
        <f>AND('STERLING CATALOG - FZN &amp; CHILL'!E136,"AAAAAF/e/5s=")</f>
        <v>#VALUE!</v>
      </c>
      <c r="FA250" t="e">
        <f>AND('STERLING CATALOG - FZN &amp; CHILL'!F136,"AAAAAF/e/5w=")</f>
        <v>#VALUE!</v>
      </c>
      <c r="FB250" t="e">
        <f>AND('STERLING CATALOG - FZN &amp; CHILL'!G136,"AAAAAF/e/50=")</f>
        <v>#VALUE!</v>
      </c>
      <c r="FC250" t="e">
        <f>AND('STERLING CATALOG - FZN &amp; CHILL'!H136,"AAAAAF/e/54=")</f>
        <v>#VALUE!</v>
      </c>
      <c r="FD250" t="e">
        <f>AND('STERLING CATALOG - FZN &amp; CHILL'!I136,"AAAAAF/e/58=")</f>
        <v>#VALUE!</v>
      </c>
      <c r="FE250" t="e">
        <f>AND('STERLING CATALOG - FZN &amp; CHILL'!J136,"AAAAAF/e/6A=")</f>
        <v>#VALUE!</v>
      </c>
      <c r="FF250">
        <f>IF('STERLING CATALOG - FZN &amp; CHILL'!137:137,"AAAAAF/e/6E=",0)</f>
        <v>0</v>
      </c>
      <c r="FG250" t="e">
        <f>AND('STERLING CATALOG - FZN &amp; CHILL'!A137,"AAAAAF/e/6I=")</f>
        <v>#VALUE!</v>
      </c>
      <c r="FH250" t="e">
        <f>AND('STERLING CATALOG - FZN &amp; CHILL'!B137,"AAAAAF/e/6M=")</f>
        <v>#VALUE!</v>
      </c>
      <c r="FI250" t="e">
        <f>AND('STERLING CATALOG - FZN &amp; CHILL'!C137,"AAAAAF/e/6Q=")</f>
        <v>#VALUE!</v>
      </c>
      <c r="FJ250" t="e">
        <f>AND('STERLING CATALOG - FZN &amp; CHILL'!D137,"AAAAAF/e/6U=")</f>
        <v>#VALUE!</v>
      </c>
      <c r="FK250" t="e">
        <f>AND('STERLING CATALOG - FZN &amp; CHILL'!E137,"AAAAAF/e/6Y=")</f>
        <v>#VALUE!</v>
      </c>
      <c r="FL250" t="e">
        <f>AND('STERLING CATALOG - FZN &amp; CHILL'!F137,"AAAAAF/e/6c=")</f>
        <v>#VALUE!</v>
      </c>
      <c r="FM250" t="e">
        <f>AND('STERLING CATALOG - FZN &amp; CHILL'!G137,"AAAAAF/e/6g=")</f>
        <v>#VALUE!</v>
      </c>
      <c r="FN250" t="e">
        <f>AND('STERLING CATALOG - FZN &amp; CHILL'!H137,"AAAAAF/e/6k=")</f>
        <v>#VALUE!</v>
      </c>
      <c r="FO250" t="e">
        <f>AND('STERLING CATALOG - FZN &amp; CHILL'!I137,"AAAAAF/e/6o=")</f>
        <v>#VALUE!</v>
      </c>
      <c r="FP250" t="e">
        <f>AND('STERLING CATALOG - FZN &amp; CHILL'!J137,"AAAAAF/e/6s=")</f>
        <v>#VALUE!</v>
      </c>
      <c r="FQ250">
        <f>IF('STERLING CATALOG - FZN &amp; CHILL'!138:138,"AAAAAF/e/6w=",0)</f>
        <v>0</v>
      </c>
      <c r="FR250" t="e">
        <f>AND('STERLING CATALOG - FZN &amp; CHILL'!A138,"AAAAAF/e/60=")</f>
        <v>#VALUE!</v>
      </c>
      <c r="FS250" t="e">
        <f>AND('STERLING CATALOG - FZN &amp; CHILL'!B138,"AAAAAF/e/64=")</f>
        <v>#VALUE!</v>
      </c>
      <c r="FT250" t="e">
        <f>AND('STERLING CATALOG - FZN &amp; CHILL'!C138,"AAAAAF/e/68=")</f>
        <v>#VALUE!</v>
      </c>
      <c r="FU250" t="e">
        <f>AND('STERLING CATALOG - FZN &amp; CHILL'!D138,"AAAAAF/e/7A=")</f>
        <v>#VALUE!</v>
      </c>
      <c r="FV250" t="e">
        <f>AND('STERLING CATALOG - FZN &amp; CHILL'!E138,"AAAAAF/e/7E=")</f>
        <v>#VALUE!</v>
      </c>
      <c r="FW250" t="e">
        <f>AND('STERLING CATALOG - FZN &amp; CHILL'!F138,"AAAAAF/e/7I=")</f>
        <v>#VALUE!</v>
      </c>
      <c r="FX250" t="e">
        <f>AND('STERLING CATALOG - FZN &amp; CHILL'!G138,"AAAAAF/e/7M=")</f>
        <v>#VALUE!</v>
      </c>
      <c r="FY250" t="e">
        <f>AND('STERLING CATALOG - FZN &amp; CHILL'!H138,"AAAAAF/e/7Q=")</f>
        <v>#VALUE!</v>
      </c>
      <c r="FZ250" t="e">
        <f>AND('STERLING CATALOG - FZN &amp; CHILL'!I138,"AAAAAF/e/7U=")</f>
        <v>#VALUE!</v>
      </c>
      <c r="GA250" t="e">
        <f>AND('STERLING CATALOG - FZN &amp; CHILL'!J138,"AAAAAF/e/7Y=")</f>
        <v>#VALUE!</v>
      </c>
      <c r="GB250">
        <f>IF('STERLING CATALOG - FZN &amp; CHILL'!139:139,"AAAAAF/e/7c=",0)</f>
        <v>0</v>
      </c>
      <c r="GC250" t="e">
        <f>AND('STERLING CATALOG - FZN &amp; CHILL'!A139,"AAAAAF/e/7g=")</f>
        <v>#VALUE!</v>
      </c>
      <c r="GD250" t="e">
        <f>AND('STERLING CATALOG - FZN &amp; CHILL'!B139,"AAAAAF/e/7k=")</f>
        <v>#VALUE!</v>
      </c>
      <c r="GE250" t="e">
        <f>AND('STERLING CATALOG - FZN &amp; CHILL'!C139,"AAAAAF/e/7o=")</f>
        <v>#VALUE!</v>
      </c>
      <c r="GF250" t="e">
        <f>AND('STERLING CATALOG - FZN &amp; CHILL'!D139,"AAAAAF/e/7s=")</f>
        <v>#VALUE!</v>
      </c>
      <c r="GG250" t="e">
        <f>AND('STERLING CATALOG - FZN &amp; CHILL'!E139,"AAAAAF/e/7w=")</f>
        <v>#VALUE!</v>
      </c>
      <c r="GH250" t="e">
        <f>AND('STERLING CATALOG - FZN &amp; CHILL'!F139,"AAAAAF/e/70=")</f>
        <v>#VALUE!</v>
      </c>
      <c r="GI250" t="e">
        <f>AND('STERLING CATALOG - FZN &amp; CHILL'!G139,"AAAAAF/e/74=")</f>
        <v>#VALUE!</v>
      </c>
      <c r="GJ250" t="e">
        <f>AND('STERLING CATALOG - FZN &amp; CHILL'!H139,"AAAAAF/e/78=")</f>
        <v>#VALUE!</v>
      </c>
      <c r="GK250" t="e">
        <f>AND('STERLING CATALOG - FZN &amp; CHILL'!I139,"AAAAAF/e/8A=")</f>
        <v>#VALUE!</v>
      </c>
      <c r="GL250" t="e">
        <f>AND('STERLING CATALOG - FZN &amp; CHILL'!J139,"AAAAAF/e/8E=")</f>
        <v>#VALUE!</v>
      </c>
      <c r="GM250">
        <f>IF('STERLING CATALOG - FZN &amp; CHILL'!140:140,"AAAAAF/e/8I=",0)</f>
        <v>0</v>
      </c>
      <c r="GN250" t="e">
        <f>AND('STERLING CATALOG - FZN &amp; CHILL'!A140,"AAAAAF/e/8M=")</f>
        <v>#VALUE!</v>
      </c>
      <c r="GO250" t="e">
        <f>AND('STERLING CATALOG - FZN &amp; CHILL'!B140,"AAAAAF/e/8Q=")</f>
        <v>#VALUE!</v>
      </c>
      <c r="GP250" t="e">
        <f>AND('STERLING CATALOG - FZN &amp; CHILL'!C140,"AAAAAF/e/8U=")</f>
        <v>#VALUE!</v>
      </c>
      <c r="GQ250" t="e">
        <f>AND('STERLING CATALOG - FZN &amp; CHILL'!D140,"AAAAAF/e/8Y=")</f>
        <v>#VALUE!</v>
      </c>
      <c r="GR250" t="e">
        <f>AND('STERLING CATALOG - FZN &amp; CHILL'!E140,"AAAAAF/e/8c=")</f>
        <v>#VALUE!</v>
      </c>
      <c r="GS250" t="e">
        <f>AND('STERLING CATALOG - FZN &amp; CHILL'!F140,"AAAAAF/e/8g=")</f>
        <v>#VALUE!</v>
      </c>
      <c r="GT250" t="e">
        <f>AND('STERLING CATALOG - FZN &amp; CHILL'!G140,"AAAAAF/e/8k=")</f>
        <v>#VALUE!</v>
      </c>
      <c r="GU250" t="e">
        <f>AND('STERLING CATALOG - FZN &amp; CHILL'!H140,"AAAAAF/e/8o=")</f>
        <v>#VALUE!</v>
      </c>
      <c r="GV250" t="e">
        <f>AND('STERLING CATALOG - FZN &amp; CHILL'!I140,"AAAAAF/e/8s=")</f>
        <v>#VALUE!</v>
      </c>
      <c r="GW250" t="e">
        <f>AND('STERLING CATALOG - FZN &amp; CHILL'!J140,"AAAAAF/e/8w=")</f>
        <v>#VALUE!</v>
      </c>
      <c r="GX250">
        <f>IF('STERLING CATALOG - FZN &amp; CHILL'!141:141,"AAAAAF/e/80=",0)</f>
        <v>0</v>
      </c>
      <c r="GY250" t="e">
        <f>AND('STERLING CATALOG - FZN &amp; CHILL'!A141,"AAAAAF/e/84=")</f>
        <v>#VALUE!</v>
      </c>
      <c r="GZ250" t="e">
        <f>AND('STERLING CATALOG - FZN &amp; CHILL'!B141,"AAAAAF/e/88=")</f>
        <v>#VALUE!</v>
      </c>
      <c r="HA250" t="e">
        <f>AND('STERLING CATALOG - FZN &amp; CHILL'!C141,"AAAAAF/e/9A=")</f>
        <v>#VALUE!</v>
      </c>
      <c r="HB250" t="e">
        <f>AND('STERLING CATALOG - FZN &amp; CHILL'!D141,"AAAAAF/e/9E=")</f>
        <v>#VALUE!</v>
      </c>
      <c r="HC250" t="e">
        <f>AND('STERLING CATALOG - FZN &amp; CHILL'!E141,"AAAAAF/e/9I=")</f>
        <v>#VALUE!</v>
      </c>
      <c r="HD250" t="e">
        <f>AND('STERLING CATALOG - FZN &amp; CHILL'!F141,"AAAAAF/e/9M=")</f>
        <v>#VALUE!</v>
      </c>
      <c r="HE250" t="e">
        <f>AND('STERLING CATALOG - FZN &amp; CHILL'!G141,"AAAAAF/e/9Q=")</f>
        <v>#VALUE!</v>
      </c>
      <c r="HF250" t="e">
        <f>AND('STERLING CATALOG - FZN &amp; CHILL'!H141,"AAAAAF/e/9U=")</f>
        <v>#VALUE!</v>
      </c>
      <c r="HG250" t="e">
        <f>AND('STERLING CATALOG - FZN &amp; CHILL'!I141,"AAAAAF/e/9Y=")</f>
        <v>#VALUE!</v>
      </c>
      <c r="HH250" t="e">
        <f>AND('STERLING CATALOG - FZN &amp; CHILL'!J141,"AAAAAF/e/9c=")</f>
        <v>#VALUE!</v>
      </c>
      <c r="HI250">
        <f>IF('STERLING CATALOG - FZN &amp; CHILL'!142:142,"AAAAAF/e/9g=",0)</f>
        <v>0</v>
      </c>
      <c r="HJ250" t="e">
        <f>AND('STERLING CATALOG - FZN &amp; CHILL'!A142,"AAAAAF/e/9k=")</f>
        <v>#VALUE!</v>
      </c>
      <c r="HK250" t="e">
        <f>AND('STERLING CATALOG - FZN &amp; CHILL'!B142,"AAAAAF/e/9o=")</f>
        <v>#VALUE!</v>
      </c>
      <c r="HL250" t="e">
        <f>AND('STERLING CATALOG - FZN &amp; CHILL'!C142,"AAAAAF/e/9s=")</f>
        <v>#VALUE!</v>
      </c>
      <c r="HM250" t="e">
        <f>AND('STERLING CATALOG - FZN &amp; CHILL'!D142,"AAAAAF/e/9w=")</f>
        <v>#VALUE!</v>
      </c>
      <c r="HN250" t="e">
        <f>AND('STERLING CATALOG - FZN &amp; CHILL'!E142,"AAAAAF/e/90=")</f>
        <v>#VALUE!</v>
      </c>
      <c r="HO250" t="e">
        <f>AND('STERLING CATALOG - FZN &amp; CHILL'!F142,"AAAAAF/e/94=")</f>
        <v>#VALUE!</v>
      </c>
      <c r="HP250" t="e">
        <f>AND('STERLING CATALOG - FZN &amp; CHILL'!G142,"AAAAAF/e/98=")</f>
        <v>#VALUE!</v>
      </c>
      <c r="HQ250" t="e">
        <f>AND('STERLING CATALOG - FZN &amp; CHILL'!H142,"AAAAAF/e/+A=")</f>
        <v>#VALUE!</v>
      </c>
      <c r="HR250" t="e">
        <f>AND('STERLING CATALOG - FZN &amp; CHILL'!I142,"AAAAAF/e/+E=")</f>
        <v>#VALUE!</v>
      </c>
      <c r="HS250" t="e">
        <f>AND('STERLING CATALOG - FZN &amp; CHILL'!J142,"AAAAAF/e/+I=")</f>
        <v>#VALUE!</v>
      </c>
      <c r="HT250">
        <f>IF('STERLING CATALOG - FZN &amp; CHILL'!143:143,"AAAAAF/e/+M=",0)</f>
        <v>0</v>
      </c>
      <c r="HU250" t="e">
        <f>AND('STERLING CATALOG - FZN &amp; CHILL'!A143,"AAAAAF/e/+Q=")</f>
        <v>#VALUE!</v>
      </c>
      <c r="HV250" t="e">
        <f>AND('STERLING CATALOG - FZN &amp; CHILL'!B143,"AAAAAF/e/+U=")</f>
        <v>#VALUE!</v>
      </c>
      <c r="HW250" t="e">
        <f>AND('STERLING CATALOG - FZN &amp; CHILL'!C143,"AAAAAF/e/+Y=")</f>
        <v>#VALUE!</v>
      </c>
      <c r="HX250" t="e">
        <f>AND('STERLING CATALOG - FZN &amp; CHILL'!D143,"AAAAAF/e/+c=")</f>
        <v>#VALUE!</v>
      </c>
      <c r="HY250" t="e">
        <f>AND('STERLING CATALOG - FZN &amp; CHILL'!E143,"AAAAAF/e/+g=")</f>
        <v>#VALUE!</v>
      </c>
      <c r="HZ250" t="e">
        <f>AND('STERLING CATALOG - FZN &amp; CHILL'!F143,"AAAAAF/e/+k=")</f>
        <v>#VALUE!</v>
      </c>
      <c r="IA250" t="e">
        <f>AND('STERLING CATALOG - FZN &amp; CHILL'!G143,"AAAAAF/e/+o=")</f>
        <v>#VALUE!</v>
      </c>
      <c r="IB250" t="e">
        <f>AND('STERLING CATALOG - FZN &amp; CHILL'!H143,"AAAAAF/e/+s=")</f>
        <v>#VALUE!</v>
      </c>
      <c r="IC250" t="e">
        <f>AND('STERLING CATALOG - FZN &amp; CHILL'!I143,"AAAAAF/e/+w=")</f>
        <v>#VALUE!</v>
      </c>
      <c r="ID250" t="e">
        <f>AND('STERLING CATALOG - FZN &amp; CHILL'!J143,"AAAAAF/e/+0=")</f>
        <v>#VALUE!</v>
      </c>
      <c r="IE250">
        <f>IF('STERLING CATALOG - FZN &amp; CHILL'!144:144,"AAAAAF/e/+4=",0)</f>
        <v>0</v>
      </c>
      <c r="IF250" t="e">
        <f>AND('STERLING CATALOG - FZN &amp; CHILL'!A144,"AAAAAF/e/+8=")</f>
        <v>#VALUE!</v>
      </c>
      <c r="IG250" t="e">
        <f>AND('STERLING CATALOG - FZN &amp; CHILL'!B144,"AAAAAF/e//A=")</f>
        <v>#VALUE!</v>
      </c>
      <c r="IH250" t="e">
        <f>AND('STERLING CATALOG - FZN &amp; CHILL'!C144,"AAAAAF/e//E=")</f>
        <v>#VALUE!</v>
      </c>
      <c r="II250" t="e">
        <f>AND('STERLING CATALOG - FZN &amp; CHILL'!D144,"AAAAAF/e//I=")</f>
        <v>#VALUE!</v>
      </c>
      <c r="IJ250" t="e">
        <f>AND('STERLING CATALOG - FZN &amp; CHILL'!E144,"AAAAAF/e//M=")</f>
        <v>#VALUE!</v>
      </c>
      <c r="IK250" t="e">
        <f>AND('STERLING CATALOG - FZN &amp; CHILL'!F144,"AAAAAF/e//Q=")</f>
        <v>#VALUE!</v>
      </c>
      <c r="IL250" t="e">
        <f>AND('STERLING CATALOG - FZN &amp; CHILL'!G144,"AAAAAF/e//U=")</f>
        <v>#VALUE!</v>
      </c>
      <c r="IM250" t="e">
        <f>AND('STERLING CATALOG - FZN &amp; CHILL'!H144,"AAAAAF/e//Y=")</f>
        <v>#VALUE!</v>
      </c>
      <c r="IN250" t="e">
        <f>AND('STERLING CATALOG - FZN &amp; CHILL'!I144,"AAAAAF/e//c=")</f>
        <v>#VALUE!</v>
      </c>
      <c r="IO250" t="e">
        <f>AND('STERLING CATALOG - FZN &amp; CHILL'!J144,"AAAAAF/e//g=")</f>
        <v>#VALUE!</v>
      </c>
      <c r="IP250">
        <f>IF('STERLING CATALOG - FZN &amp; CHILL'!145:145,"AAAAAF/e//k=",0)</f>
        <v>0</v>
      </c>
      <c r="IQ250" t="e">
        <f>AND('STERLING CATALOG - FZN &amp; CHILL'!A145,"AAAAAF/e//o=")</f>
        <v>#VALUE!</v>
      </c>
      <c r="IR250" t="e">
        <f>AND('STERLING CATALOG - FZN &amp; CHILL'!B145,"AAAAAF/e//s=")</f>
        <v>#VALUE!</v>
      </c>
      <c r="IS250" t="e">
        <f>AND('STERLING CATALOG - FZN &amp; CHILL'!C145,"AAAAAF/e//w=")</f>
        <v>#VALUE!</v>
      </c>
      <c r="IT250" t="e">
        <f>AND('STERLING CATALOG - FZN &amp; CHILL'!D145,"AAAAAF/e//0=")</f>
        <v>#VALUE!</v>
      </c>
      <c r="IU250" t="e">
        <f>AND('STERLING CATALOG - FZN &amp; CHILL'!E145,"AAAAAF/e//4=")</f>
        <v>#VALUE!</v>
      </c>
      <c r="IV250" t="e">
        <f>AND('STERLING CATALOG - FZN &amp; CHILL'!F145,"AAAAAF/e//8=")</f>
        <v>#VALUE!</v>
      </c>
    </row>
    <row r="251" spans="1:256">
      <c r="A251" t="e">
        <f>AND('STERLING CATALOG - FZN &amp; CHILL'!G145,"AAAAADnv3wA=")</f>
        <v>#VALUE!</v>
      </c>
      <c r="B251" t="e">
        <f>AND('STERLING CATALOG - FZN &amp; CHILL'!H145,"AAAAADnv3wE=")</f>
        <v>#VALUE!</v>
      </c>
      <c r="C251" t="e">
        <f>AND('STERLING CATALOG - FZN &amp; CHILL'!I145,"AAAAADnv3wI=")</f>
        <v>#VALUE!</v>
      </c>
      <c r="D251" t="e">
        <f>AND('STERLING CATALOG - FZN &amp; CHILL'!J145,"AAAAADnv3wM=")</f>
        <v>#VALUE!</v>
      </c>
      <c r="E251" t="e">
        <f>IF('STERLING CATALOG - FZN &amp; CHILL'!146:146,"AAAAADnv3wQ=",0)</f>
        <v>#VALUE!</v>
      </c>
      <c r="F251" t="e">
        <f>AND('STERLING CATALOG - FZN &amp; CHILL'!A146,"AAAAADnv3wU=")</f>
        <v>#VALUE!</v>
      </c>
      <c r="G251" t="e">
        <f>AND('STERLING CATALOG - FZN &amp; CHILL'!B146,"AAAAADnv3wY=")</f>
        <v>#VALUE!</v>
      </c>
      <c r="H251" t="e">
        <f>AND('STERLING CATALOG - FZN &amp; CHILL'!C146,"AAAAADnv3wc=")</f>
        <v>#VALUE!</v>
      </c>
      <c r="I251" t="e">
        <f>AND('STERLING CATALOG - FZN &amp; CHILL'!D146,"AAAAADnv3wg=")</f>
        <v>#VALUE!</v>
      </c>
      <c r="J251" t="e">
        <f>AND('STERLING CATALOG - FZN &amp; CHILL'!E146,"AAAAADnv3wk=")</f>
        <v>#VALUE!</v>
      </c>
      <c r="K251" t="e">
        <f>AND('STERLING CATALOG - FZN &amp; CHILL'!F146,"AAAAADnv3wo=")</f>
        <v>#VALUE!</v>
      </c>
      <c r="L251" t="e">
        <f>AND('STERLING CATALOG - FZN &amp; CHILL'!G146,"AAAAADnv3ws=")</f>
        <v>#VALUE!</v>
      </c>
      <c r="M251" t="e">
        <f>AND('STERLING CATALOG - FZN &amp; CHILL'!H146,"AAAAADnv3ww=")</f>
        <v>#VALUE!</v>
      </c>
      <c r="N251" t="e">
        <f>AND('STERLING CATALOG - FZN &amp; CHILL'!I146,"AAAAADnv3w0=")</f>
        <v>#VALUE!</v>
      </c>
      <c r="O251" t="e">
        <f>AND('STERLING CATALOG - FZN &amp; CHILL'!J146,"AAAAADnv3w4=")</f>
        <v>#VALUE!</v>
      </c>
      <c r="P251">
        <f>IF('STERLING CATALOG - FZN &amp; CHILL'!147:147,"AAAAADnv3w8=",0)</f>
        <v>0</v>
      </c>
      <c r="Q251" t="e">
        <f>AND('STERLING CATALOG - FZN &amp; CHILL'!A147,"AAAAADnv3xA=")</f>
        <v>#VALUE!</v>
      </c>
      <c r="R251" t="e">
        <f>AND('STERLING CATALOG - FZN &amp; CHILL'!B147,"AAAAADnv3xE=")</f>
        <v>#VALUE!</v>
      </c>
      <c r="S251" t="e">
        <f>AND('STERLING CATALOG - FZN &amp; CHILL'!C147,"AAAAADnv3xI=")</f>
        <v>#VALUE!</v>
      </c>
      <c r="T251" t="e">
        <f>AND('STERLING CATALOG - FZN &amp; CHILL'!D147,"AAAAADnv3xM=")</f>
        <v>#VALUE!</v>
      </c>
      <c r="U251" t="e">
        <f>AND('STERLING CATALOG - FZN &amp; CHILL'!E147,"AAAAADnv3xQ=")</f>
        <v>#VALUE!</v>
      </c>
      <c r="V251" t="e">
        <f>AND('STERLING CATALOG - FZN &amp; CHILL'!F147,"AAAAADnv3xU=")</f>
        <v>#VALUE!</v>
      </c>
      <c r="W251" t="e">
        <f>AND('STERLING CATALOG - FZN &amp; CHILL'!G147,"AAAAADnv3xY=")</f>
        <v>#VALUE!</v>
      </c>
      <c r="X251" t="e">
        <f>AND('STERLING CATALOG - FZN &amp; CHILL'!H147,"AAAAADnv3xc=")</f>
        <v>#VALUE!</v>
      </c>
      <c r="Y251" t="e">
        <f>AND('STERLING CATALOG - FZN &amp; CHILL'!I147,"AAAAADnv3xg=")</f>
        <v>#VALUE!</v>
      </c>
      <c r="Z251" t="e">
        <f>AND('STERLING CATALOG - FZN &amp; CHILL'!J147,"AAAAADnv3xk=")</f>
        <v>#VALUE!</v>
      </c>
      <c r="AA251">
        <f>IF('STERLING CATALOG - FZN &amp; CHILL'!148:148,"AAAAADnv3xo=",0)</f>
        <v>0</v>
      </c>
      <c r="AB251" t="e">
        <f>AND('STERLING CATALOG - FZN &amp; CHILL'!A148,"AAAAADnv3xs=")</f>
        <v>#VALUE!</v>
      </c>
      <c r="AC251" t="e">
        <f>AND('STERLING CATALOG - FZN &amp; CHILL'!B148,"AAAAADnv3xw=")</f>
        <v>#VALUE!</v>
      </c>
      <c r="AD251" t="e">
        <f>AND('STERLING CATALOG - FZN &amp; CHILL'!C148,"AAAAADnv3x0=")</f>
        <v>#VALUE!</v>
      </c>
      <c r="AE251" t="e">
        <f>AND('STERLING CATALOG - FZN &amp; CHILL'!D148,"AAAAADnv3x4=")</f>
        <v>#VALUE!</v>
      </c>
      <c r="AF251" t="e">
        <f>AND('STERLING CATALOG - FZN &amp; CHILL'!E148,"AAAAADnv3x8=")</f>
        <v>#VALUE!</v>
      </c>
      <c r="AG251" t="e">
        <f>AND('STERLING CATALOG - FZN &amp; CHILL'!F148,"AAAAADnv3yA=")</f>
        <v>#VALUE!</v>
      </c>
      <c r="AH251" t="e">
        <f>AND('STERLING CATALOG - FZN &amp; CHILL'!G148,"AAAAADnv3yE=")</f>
        <v>#VALUE!</v>
      </c>
      <c r="AI251" t="e">
        <f>AND('STERLING CATALOG - FZN &amp; CHILL'!H148,"AAAAADnv3yI=")</f>
        <v>#VALUE!</v>
      </c>
      <c r="AJ251" t="e">
        <f>AND('STERLING CATALOG - FZN &amp; CHILL'!I148,"AAAAADnv3yM=")</f>
        <v>#VALUE!</v>
      </c>
      <c r="AK251" t="e">
        <f>AND('STERLING CATALOG - FZN &amp; CHILL'!J148,"AAAAADnv3yQ=")</f>
        <v>#VALUE!</v>
      </c>
      <c r="AL251">
        <f>IF('STERLING CATALOG - FZN &amp; CHILL'!149:149,"AAAAADnv3yU=",0)</f>
        <v>0</v>
      </c>
      <c r="AM251" t="e">
        <f>AND('STERLING CATALOG - FZN &amp; CHILL'!A149,"AAAAADnv3yY=")</f>
        <v>#VALUE!</v>
      </c>
      <c r="AN251" t="e">
        <f>AND('STERLING CATALOG - FZN &amp; CHILL'!B149,"AAAAADnv3yc=")</f>
        <v>#VALUE!</v>
      </c>
      <c r="AO251" t="e">
        <f>AND('STERLING CATALOG - FZN &amp; CHILL'!C149,"AAAAADnv3yg=")</f>
        <v>#VALUE!</v>
      </c>
      <c r="AP251" t="e">
        <f>AND('STERLING CATALOG - FZN &amp; CHILL'!D149,"AAAAADnv3yk=")</f>
        <v>#VALUE!</v>
      </c>
      <c r="AQ251" t="e">
        <f>AND('STERLING CATALOG - FZN &amp; CHILL'!E149,"AAAAADnv3yo=")</f>
        <v>#VALUE!</v>
      </c>
      <c r="AR251" t="e">
        <f>AND('STERLING CATALOG - FZN &amp; CHILL'!F149,"AAAAADnv3ys=")</f>
        <v>#VALUE!</v>
      </c>
      <c r="AS251" t="e">
        <f>AND('STERLING CATALOG - FZN &amp; CHILL'!G149,"AAAAADnv3yw=")</f>
        <v>#VALUE!</v>
      </c>
      <c r="AT251" t="e">
        <f>AND('STERLING CATALOG - FZN &amp; CHILL'!H149,"AAAAADnv3y0=")</f>
        <v>#VALUE!</v>
      </c>
      <c r="AU251" t="e">
        <f>AND('STERLING CATALOG - FZN &amp; CHILL'!I149,"AAAAADnv3y4=")</f>
        <v>#VALUE!</v>
      </c>
      <c r="AV251" t="e">
        <f>AND('STERLING CATALOG - FZN &amp; CHILL'!J149,"AAAAADnv3y8=")</f>
        <v>#VALUE!</v>
      </c>
      <c r="AW251">
        <f>IF('STERLING CATALOG - FZN &amp; CHILL'!150:150,"AAAAADnv3zA=",0)</f>
        <v>0</v>
      </c>
      <c r="AX251" t="e">
        <f>AND('STERLING CATALOG - FZN &amp; CHILL'!A150,"AAAAADnv3zE=")</f>
        <v>#VALUE!</v>
      </c>
      <c r="AY251" t="e">
        <f>AND('STERLING CATALOG - FZN &amp; CHILL'!B150,"AAAAADnv3zI=")</f>
        <v>#VALUE!</v>
      </c>
      <c r="AZ251" t="e">
        <f>AND('STERLING CATALOG - FZN &amp; CHILL'!C150,"AAAAADnv3zM=")</f>
        <v>#VALUE!</v>
      </c>
      <c r="BA251" t="e">
        <f>AND('STERLING CATALOG - FZN &amp; CHILL'!D150,"AAAAADnv3zQ=")</f>
        <v>#VALUE!</v>
      </c>
      <c r="BB251" t="e">
        <f>AND('STERLING CATALOG - FZN &amp; CHILL'!E150,"AAAAADnv3zU=")</f>
        <v>#VALUE!</v>
      </c>
      <c r="BC251" t="e">
        <f>AND('STERLING CATALOG - FZN &amp; CHILL'!F150,"AAAAADnv3zY=")</f>
        <v>#VALUE!</v>
      </c>
      <c r="BD251" t="e">
        <f>AND('STERLING CATALOG - FZN &amp; CHILL'!G150,"AAAAADnv3zc=")</f>
        <v>#VALUE!</v>
      </c>
      <c r="BE251" t="e">
        <f>AND('STERLING CATALOG - FZN &amp; CHILL'!H150,"AAAAADnv3zg=")</f>
        <v>#VALUE!</v>
      </c>
      <c r="BF251" t="e">
        <f>AND('STERLING CATALOG - FZN &amp; CHILL'!I150,"AAAAADnv3zk=")</f>
        <v>#VALUE!</v>
      </c>
      <c r="BG251" t="e">
        <f>AND('STERLING CATALOG - FZN &amp; CHILL'!J150,"AAAAADnv3zo=")</f>
        <v>#VALUE!</v>
      </c>
      <c r="BH251">
        <f>IF('STERLING CATALOG - FZN &amp; CHILL'!151:151,"AAAAADnv3zs=",0)</f>
        <v>0</v>
      </c>
      <c r="BI251" t="e">
        <f>AND('STERLING CATALOG - FZN &amp; CHILL'!A151,"AAAAADnv3zw=")</f>
        <v>#VALUE!</v>
      </c>
      <c r="BJ251" t="e">
        <f>AND('STERLING CATALOG - FZN &amp; CHILL'!B151,"AAAAADnv3z0=")</f>
        <v>#VALUE!</v>
      </c>
      <c r="BK251" t="e">
        <f>AND('STERLING CATALOG - FZN &amp; CHILL'!C151,"AAAAADnv3z4=")</f>
        <v>#VALUE!</v>
      </c>
      <c r="BL251" t="e">
        <f>AND('STERLING CATALOG - FZN &amp; CHILL'!D151,"AAAAADnv3z8=")</f>
        <v>#VALUE!</v>
      </c>
      <c r="BM251" t="e">
        <f>AND('STERLING CATALOG - FZN &amp; CHILL'!E151,"AAAAADnv30A=")</f>
        <v>#VALUE!</v>
      </c>
      <c r="BN251" t="e">
        <f>AND('STERLING CATALOG - FZN &amp; CHILL'!F151,"AAAAADnv30E=")</f>
        <v>#VALUE!</v>
      </c>
      <c r="BO251" t="e">
        <f>AND('STERLING CATALOG - FZN &amp; CHILL'!G151,"AAAAADnv30I=")</f>
        <v>#VALUE!</v>
      </c>
      <c r="BP251" t="e">
        <f>AND('STERLING CATALOG - FZN &amp; CHILL'!H151,"AAAAADnv30M=")</f>
        <v>#VALUE!</v>
      </c>
      <c r="BQ251" t="e">
        <f>AND('STERLING CATALOG - FZN &amp; CHILL'!I151,"AAAAADnv30Q=")</f>
        <v>#VALUE!</v>
      </c>
      <c r="BR251" t="e">
        <f>AND('STERLING CATALOG - FZN &amp; CHILL'!J151,"AAAAADnv30U=")</f>
        <v>#VALUE!</v>
      </c>
      <c r="BS251">
        <f>IF('STERLING CATALOG - FZN &amp; CHILL'!152:152,"AAAAADnv30Y=",0)</f>
        <v>0</v>
      </c>
      <c r="BT251" t="e">
        <f>AND('STERLING CATALOG - FZN &amp; CHILL'!A152,"AAAAADnv30c=")</f>
        <v>#VALUE!</v>
      </c>
      <c r="BU251" t="e">
        <f>AND('STERLING CATALOG - FZN &amp; CHILL'!B152,"AAAAADnv30g=")</f>
        <v>#VALUE!</v>
      </c>
      <c r="BV251" t="e">
        <f>AND('STERLING CATALOG - FZN &amp; CHILL'!C152,"AAAAADnv30k=")</f>
        <v>#VALUE!</v>
      </c>
      <c r="BW251" t="e">
        <f>AND('STERLING CATALOG - FZN &amp; CHILL'!D152,"AAAAADnv30o=")</f>
        <v>#VALUE!</v>
      </c>
      <c r="BX251" t="e">
        <f>AND('STERLING CATALOG - FZN &amp; CHILL'!E152,"AAAAADnv30s=")</f>
        <v>#VALUE!</v>
      </c>
      <c r="BY251" t="e">
        <f>AND('STERLING CATALOG - FZN &amp; CHILL'!F152,"AAAAADnv30w=")</f>
        <v>#VALUE!</v>
      </c>
      <c r="BZ251" t="e">
        <f>AND('STERLING CATALOG - FZN &amp; CHILL'!G152,"AAAAADnv300=")</f>
        <v>#VALUE!</v>
      </c>
      <c r="CA251" t="e">
        <f>AND('STERLING CATALOG - FZN &amp; CHILL'!H152,"AAAAADnv304=")</f>
        <v>#VALUE!</v>
      </c>
      <c r="CB251" t="e">
        <f>AND('STERLING CATALOG - FZN &amp; CHILL'!I152,"AAAAADnv308=")</f>
        <v>#VALUE!</v>
      </c>
      <c r="CC251" t="e">
        <f>AND('STERLING CATALOG - FZN &amp; CHILL'!J152,"AAAAADnv31A=")</f>
        <v>#VALUE!</v>
      </c>
      <c r="CD251">
        <f>IF('STERLING CATALOG - FZN &amp; CHILL'!153:153,"AAAAADnv31E=",0)</f>
        <v>0</v>
      </c>
      <c r="CE251" t="e">
        <f>AND('STERLING CATALOG - FZN &amp; CHILL'!A153,"AAAAADnv31I=")</f>
        <v>#VALUE!</v>
      </c>
      <c r="CF251" t="e">
        <f>AND('STERLING CATALOG - FZN &amp; CHILL'!B153,"AAAAADnv31M=")</f>
        <v>#VALUE!</v>
      </c>
      <c r="CG251" t="e">
        <f>AND('STERLING CATALOG - FZN &amp; CHILL'!C153,"AAAAADnv31Q=")</f>
        <v>#VALUE!</v>
      </c>
      <c r="CH251" t="e">
        <f>AND('STERLING CATALOG - FZN &amp; CHILL'!D153,"AAAAADnv31U=")</f>
        <v>#VALUE!</v>
      </c>
      <c r="CI251" t="e">
        <f>AND('STERLING CATALOG - FZN &amp; CHILL'!E153,"AAAAADnv31Y=")</f>
        <v>#VALUE!</v>
      </c>
      <c r="CJ251" t="e">
        <f>AND('STERLING CATALOG - FZN &amp; CHILL'!F153,"AAAAADnv31c=")</f>
        <v>#VALUE!</v>
      </c>
      <c r="CK251" t="e">
        <f>AND('STERLING CATALOG - FZN &amp; CHILL'!G153,"AAAAADnv31g=")</f>
        <v>#VALUE!</v>
      </c>
      <c r="CL251" t="e">
        <f>AND('STERLING CATALOG - FZN &amp; CHILL'!H153,"AAAAADnv31k=")</f>
        <v>#VALUE!</v>
      </c>
      <c r="CM251" t="e">
        <f>AND('STERLING CATALOG - FZN &amp; CHILL'!I153,"AAAAADnv31o=")</f>
        <v>#VALUE!</v>
      </c>
      <c r="CN251" t="e">
        <f>AND('STERLING CATALOG - FZN &amp; CHILL'!J153,"AAAAADnv31s=")</f>
        <v>#VALUE!</v>
      </c>
      <c r="CO251">
        <f>IF('STERLING CATALOG - FZN &amp; CHILL'!154:154,"AAAAADnv31w=",0)</f>
        <v>0</v>
      </c>
      <c r="CP251" t="e">
        <f>AND('STERLING CATALOG - FZN &amp; CHILL'!A154,"AAAAADnv310=")</f>
        <v>#VALUE!</v>
      </c>
      <c r="CQ251" t="e">
        <f>AND('STERLING CATALOG - FZN &amp; CHILL'!B154,"AAAAADnv314=")</f>
        <v>#VALUE!</v>
      </c>
      <c r="CR251" t="e">
        <f>AND('STERLING CATALOG - FZN &amp; CHILL'!C154,"AAAAADnv318=")</f>
        <v>#VALUE!</v>
      </c>
      <c r="CS251" t="e">
        <f>AND('STERLING CATALOG - FZN &amp; CHILL'!D154,"AAAAADnv32A=")</f>
        <v>#VALUE!</v>
      </c>
      <c r="CT251" t="e">
        <f>AND('STERLING CATALOG - FZN &amp; CHILL'!E154,"AAAAADnv32E=")</f>
        <v>#VALUE!</v>
      </c>
      <c r="CU251" t="e">
        <f>AND('STERLING CATALOG - FZN &amp; CHILL'!F154,"AAAAADnv32I=")</f>
        <v>#VALUE!</v>
      </c>
      <c r="CV251" t="e">
        <f>AND('STERLING CATALOG - FZN &amp; CHILL'!G154,"AAAAADnv32M=")</f>
        <v>#VALUE!</v>
      </c>
      <c r="CW251" t="e">
        <f>AND('STERLING CATALOG - FZN &amp; CHILL'!H154,"AAAAADnv32Q=")</f>
        <v>#VALUE!</v>
      </c>
      <c r="CX251" t="e">
        <f>AND('STERLING CATALOG - FZN &amp; CHILL'!I154,"AAAAADnv32U=")</f>
        <v>#VALUE!</v>
      </c>
      <c r="CY251" t="e">
        <f>AND('STERLING CATALOG - FZN &amp; CHILL'!J154,"AAAAADnv32Y=")</f>
        <v>#VALUE!</v>
      </c>
      <c r="CZ251">
        <f>IF('STERLING CATALOG - FZN &amp; CHILL'!155:155,"AAAAADnv32c=",0)</f>
        <v>0</v>
      </c>
      <c r="DA251" t="e">
        <f>AND('STERLING CATALOG - FZN &amp; CHILL'!A155,"AAAAADnv32g=")</f>
        <v>#VALUE!</v>
      </c>
      <c r="DB251" t="e">
        <f>AND('STERLING CATALOG - FZN &amp; CHILL'!B155,"AAAAADnv32k=")</f>
        <v>#VALUE!</v>
      </c>
      <c r="DC251" t="e">
        <f>AND('STERLING CATALOG - FZN &amp; CHILL'!C155,"AAAAADnv32o=")</f>
        <v>#VALUE!</v>
      </c>
      <c r="DD251" t="e">
        <f>AND('STERLING CATALOG - FZN &amp; CHILL'!D155,"AAAAADnv32s=")</f>
        <v>#VALUE!</v>
      </c>
      <c r="DE251" t="e">
        <f>AND('STERLING CATALOG - FZN &amp; CHILL'!E155,"AAAAADnv32w=")</f>
        <v>#VALUE!</v>
      </c>
      <c r="DF251" t="e">
        <f>AND('STERLING CATALOG - FZN &amp; CHILL'!F155,"AAAAADnv320=")</f>
        <v>#VALUE!</v>
      </c>
      <c r="DG251" t="e">
        <f>AND('STERLING CATALOG - FZN &amp; CHILL'!G155,"AAAAADnv324=")</f>
        <v>#VALUE!</v>
      </c>
      <c r="DH251" t="e">
        <f>AND('STERLING CATALOG - FZN &amp; CHILL'!H155,"AAAAADnv328=")</f>
        <v>#VALUE!</v>
      </c>
      <c r="DI251" t="e">
        <f>AND('STERLING CATALOG - FZN &amp; CHILL'!I155,"AAAAADnv33A=")</f>
        <v>#VALUE!</v>
      </c>
      <c r="DJ251" t="e">
        <f>AND('STERLING CATALOG - FZN &amp; CHILL'!J155,"AAAAADnv33E=")</f>
        <v>#VALUE!</v>
      </c>
      <c r="DK251">
        <f>IF('STERLING CATALOG - FZN &amp; CHILL'!156:156,"AAAAADnv33I=",0)</f>
        <v>0</v>
      </c>
      <c r="DL251" t="e">
        <f>AND('STERLING CATALOG - FZN &amp; CHILL'!A156,"AAAAADnv33M=")</f>
        <v>#VALUE!</v>
      </c>
      <c r="DM251" t="e">
        <f>AND('STERLING CATALOG - FZN &amp; CHILL'!B156,"AAAAADnv33Q=")</f>
        <v>#VALUE!</v>
      </c>
      <c r="DN251" t="e">
        <f>AND('STERLING CATALOG - FZN &amp; CHILL'!C156,"AAAAADnv33U=")</f>
        <v>#VALUE!</v>
      </c>
      <c r="DO251" t="e">
        <f>AND('STERLING CATALOG - FZN &amp; CHILL'!D156,"AAAAADnv33Y=")</f>
        <v>#VALUE!</v>
      </c>
      <c r="DP251" t="e">
        <f>AND('STERLING CATALOG - FZN &amp; CHILL'!E156,"AAAAADnv33c=")</f>
        <v>#VALUE!</v>
      </c>
      <c r="DQ251" t="e">
        <f>AND('STERLING CATALOG - FZN &amp; CHILL'!F156,"AAAAADnv33g=")</f>
        <v>#VALUE!</v>
      </c>
      <c r="DR251" t="e">
        <f>AND('STERLING CATALOG - FZN &amp; CHILL'!G156,"AAAAADnv33k=")</f>
        <v>#VALUE!</v>
      </c>
      <c r="DS251" t="e">
        <f>AND('STERLING CATALOG - FZN &amp; CHILL'!H156,"AAAAADnv33o=")</f>
        <v>#VALUE!</v>
      </c>
      <c r="DT251" t="e">
        <f>AND('STERLING CATALOG - FZN &amp; CHILL'!I156,"AAAAADnv33s=")</f>
        <v>#VALUE!</v>
      </c>
      <c r="DU251" t="e">
        <f>AND('STERLING CATALOG - FZN &amp; CHILL'!J156,"AAAAADnv33w=")</f>
        <v>#VALUE!</v>
      </c>
      <c r="DV251">
        <f>IF('STERLING CATALOG - FZN &amp; CHILL'!157:157,"AAAAADnv330=",0)</f>
        <v>0</v>
      </c>
      <c r="DW251" t="e">
        <f>AND('STERLING CATALOG - FZN &amp; CHILL'!A157,"AAAAADnv334=")</f>
        <v>#VALUE!</v>
      </c>
      <c r="DX251" t="e">
        <f>AND('STERLING CATALOG - FZN &amp; CHILL'!B157,"AAAAADnv338=")</f>
        <v>#VALUE!</v>
      </c>
      <c r="DY251" t="e">
        <f>AND('STERLING CATALOG - FZN &amp; CHILL'!C157,"AAAAADnv34A=")</f>
        <v>#VALUE!</v>
      </c>
      <c r="DZ251" t="e">
        <f>AND('STERLING CATALOG - FZN &amp; CHILL'!D157,"AAAAADnv34E=")</f>
        <v>#VALUE!</v>
      </c>
      <c r="EA251" t="e">
        <f>AND('STERLING CATALOG - FZN &amp; CHILL'!E157,"AAAAADnv34I=")</f>
        <v>#VALUE!</v>
      </c>
      <c r="EB251" t="e">
        <f>AND('STERLING CATALOG - FZN &amp; CHILL'!F157,"AAAAADnv34M=")</f>
        <v>#VALUE!</v>
      </c>
      <c r="EC251" t="e">
        <f>AND('STERLING CATALOG - FZN &amp; CHILL'!G157,"AAAAADnv34Q=")</f>
        <v>#VALUE!</v>
      </c>
      <c r="ED251" t="e">
        <f>AND('STERLING CATALOG - FZN &amp; CHILL'!H157,"AAAAADnv34U=")</f>
        <v>#VALUE!</v>
      </c>
      <c r="EE251" t="e">
        <f>AND('STERLING CATALOG - FZN &amp; CHILL'!I157,"AAAAADnv34Y=")</f>
        <v>#VALUE!</v>
      </c>
      <c r="EF251" t="e">
        <f>AND('STERLING CATALOG - FZN &amp; CHILL'!J157,"AAAAADnv34c=")</f>
        <v>#VALUE!</v>
      </c>
      <c r="EG251">
        <f>IF('STERLING CATALOG - FZN &amp; CHILL'!158:158,"AAAAADnv34g=",0)</f>
        <v>0</v>
      </c>
      <c r="EH251" t="e">
        <f>AND('STERLING CATALOG - FZN &amp; CHILL'!A158,"AAAAADnv34k=")</f>
        <v>#VALUE!</v>
      </c>
      <c r="EI251" t="e">
        <f>AND('STERLING CATALOG - FZN &amp; CHILL'!B158,"AAAAADnv34o=")</f>
        <v>#VALUE!</v>
      </c>
      <c r="EJ251" t="e">
        <f>AND('STERLING CATALOG - FZN &amp; CHILL'!C158,"AAAAADnv34s=")</f>
        <v>#VALUE!</v>
      </c>
      <c r="EK251" t="e">
        <f>AND('STERLING CATALOG - FZN &amp; CHILL'!D158,"AAAAADnv34w=")</f>
        <v>#VALUE!</v>
      </c>
      <c r="EL251" t="e">
        <f>AND('STERLING CATALOG - FZN &amp; CHILL'!E158,"AAAAADnv340=")</f>
        <v>#VALUE!</v>
      </c>
      <c r="EM251" t="e">
        <f>AND('STERLING CATALOG - FZN &amp; CHILL'!F158,"AAAAADnv344=")</f>
        <v>#VALUE!</v>
      </c>
      <c r="EN251" t="e">
        <f>AND('STERLING CATALOG - FZN &amp; CHILL'!G158,"AAAAADnv348=")</f>
        <v>#VALUE!</v>
      </c>
      <c r="EO251" t="e">
        <f>AND('STERLING CATALOG - FZN &amp; CHILL'!H158,"AAAAADnv35A=")</f>
        <v>#VALUE!</v>
      </c>
      <c r="EP251" t="e">
        <f>AND('STERLING CATALOG - FZN &amp; CHILL'!I158,"AAAAADnv35E=")</f>
        <v>#VALUE!</v>
      </c>
      <c r="EQ251" t="e">
        <f>AND('STERLING CATALOG - FZN &amp; CHILL'!J158,"AAAAADnv35I=")</f>
        <v>#VALUE!</v>
      </c>
      <c r="ER251">
        <f>IF('STERLING CATALOG - FZN &amp; CHILL'!159:159,"AAAAADnv35M=",0)</f>
        <v>0</v>
      </c>
      <c r="ES251" t="e">
        <f>AND('STERLING CATALOG - FZN &amp; CHILL'!A159,"AAAAADnv35Q=")</f>
        <v>#VALUE!</v>
      </c>
      <c r="ET251" t="e">
        <f>AND('STERLING CATALOG - FZN &amp; CHILL'!B159,"AAAAADnv35U=")</f>
        <v>#VALUE!</v>
      </c>
      <c r="EU251" t="e">
        <f>AND('STERLING CATALOG - FZN &amp; CHILL'!C159,"AAAAADnv35Y=")</f>
        <v>#VALUE!</v>
      </c>
      <c r="EV251" t="e">
        <f>AND('STERLING CATALOG - FZN &amp; CHILL'!D159,"AAAAADnv35c=")</f>
        <v>#VALUE!</v>
      </c>
      <c r="EW251" t="e">
        <f>AND('STERLING CATALOG - FZN &amp; CHILL'!E159,"AAAAADnv35g=")</f>
        <v>#VALUE!</v>
      </c>
      <c r="EX251" t="e">
        <f>AND('STERLING CATALOG - FZN &amp; CHILL'!F159,"AAAAADnv35k=")</f>
        <v>#VALUE!</v>
      </c>
      <c r="EY251" t="e">
        <f>AND('STERLING CATALOG - FZN &amp; CHILL'!G159,"AAAAADnv35o=")</f>
        <v>#VALUE!</v>
      </c>
      <c r="EZ251" t="e">
        <f>AND('STERLING CATALOG - FZN &amp; CHILL'!H159,"AAAAADnv35s=")</f>
        <v>#VALUE!</v>
      </c>
      <c r="FA251" t="e">
        <f>AND('STERLING CATALOG - FZN &amp; CHILL'!I159,"AAAAADnv35w=")</f>
        <v>#VALUE!</v>
      </c>
      <c r="FB251" t="e">
        <f>AND('STERLING CATALOG - FZN &amp; CHILL'!J159,"AAAAADnv350=")</f>
        <v>#VALUE!</v>
      </c>
      <c r="FC251">
        <f>IF('STERLING CATALOG - FZN &amp; CHILL'!160:160,"AAAAADnv354=",0)</f>
        <v>0</v>
      </c>
      <c r="FD251" t="e">
        <f>AND('STERLING CATALOG - FZN &amp; CHILL'!A160,"AAAAADnv358=")</f>
        <v>#VALUE!</v>
      </c>
      <c r="FE251" t="e">
        <f>AND('STERLING CATALOG - FZN &amp; CHILL'!B160,"AAAAADnv36A=")</f>
        <v>#VALUE!</v>
      </c>
      <c r="FF251" t="e">
        <f>AND('STERLING CATALOG - FZN &amp; CHILL'!C160,"AAAAADnv36E=")</f>
        <v>#VALUE!</v>
      </c>
      <c r="FG251" t="e">
        <f>AND('STERLING CATALOG - FZN &amp; CHILL'!D160,"AAAAADnv36I=")</f>
        <v>#VALUE!</v>
      </c>
      <c r="FH251" t="e">
        <f>AND('STERLING CATALOG - FZN &amp; CHILL'!E160,"AAAAADnv36M=")</f>
        <v>#VALUE!</v>
      </c>
      <c r="FI251" t="e">
        <f>AND('STERLING CATALOG - FZN &amp; CHILL'!F160,"AAAAADnv36Q=")</f>
        <v>#VALUE!</v>
      </c>
      <c r="FJ251" t="e">
        <f>AND('STERLING CATALOG - FZN &amp; CHILL'!G160,"AAAAADnv36U=")</f>
        <v>#VALUE!</v>
      </c>
      <c r="FK251" t="e">
        <f>AND('STERLING CATALOG - FZN &amp; CHILL'!H160,"AAAAADnv36Y=")</f>
        <v>#VALUE!</v>
      </c>
      <c r="FL251" t="e">
        <f>AND('STERLING CATALOG - FZN &amp; CHILL'!I160,"AAAAADnv36c=")</f>
        <v>#VALUE!</v>
      </c>
      <c r="FM251" t="e">
        <f>AND('STERLING CATALOG - FZN &amp; CHILL'!J160,"AAAAADnv36g=")</f>
        <v>#VALUE!</v>
      </c>
      <c r="FN251">
        <f>IF('STERLING CATALOG - FZN &amp; CHILL'!161:161,"AAAAADnv36k=",0)</f>
        <v>0</v>
      </c>
      <c r="FO251" t="e">
        <f>AND('STERLING CATALOG - FZN &amp; CHILL'!A161,"AAAAADnv36o=")</f>
        <v>#VALUE!</v>
      </c>
      <c r="FP251" t="e">
        <f>AND('STERLING CATALOG - FZN &amp; CHILL'!B161,"AAAAADnv36s=")</f>
        <v>#VALUE!</v>
      </c>
      <c r="FQ251" t="e">
        <f>AND('STERLING CATALOG - FZN &amp; CHILL'!C161,"AAAAADnv36w=")</f>
        <v>#VALUE!</v>
      </c>
      <c r="FR251" t="e">
        <f>AND('STERLING CATALOG - FZN &amp; CHILL'!D161,"AAAAADnv360=")</f>
        <v>#VALUE!</v>
      </c>
      <c r="FS251" t="e">
        <f>AND('STERLING CATALOG - FZN &amp; CHILL'!E161,"AAAAADnv364=")</f>
        <v>#VALUE!</v>
      </c>
      <c r="FT251" t="e">
        <f>AND('STERLING CATALOG - FZN &amp; CHILL'!F161,"AAAAADnv368=")</f>
        <v>#VALUE!</v>
      </c>
      <c r="FU251" t="e">
        <f>AND('STERLING CATALOG - FZN &amp; CHILL'!G161,"AAAAADnv37A=")</f>
        <v>#VALUE!</v>
      </c>
      <c r="FV251" t="e">
        <f>AND('STERLING CATALOG - FZN &amp; CHILL'!H161,"AAAAADnv37E=")</f>
        <v>#VALUE!</v>
      </c>
      <c r="FW251" t="e">
        <f>AND('STERLING CATALOG - FZN &amp; CHILL'!I161,"AAAAADnv37I=")</f>
        <v>#VALUE!</v>
      </c>
      <c r="FX251" t="e">
        <f>AND('STERLING CATALOG - FZN &amp; CHILL'!J161,"AAAAADnv37M=")</f>
        <v>#VALUE!</v>
      </c>
      <c r="FY251">
        <f>IF('STERLING CATALOG - FZN &amp; CHILL'!162:162,"AAAAADnv37Q=",0)</f>
        <v>0</v>
      </c>
      <c r="FZ251" t="e">
        <f>AND('STERLING CATALOG - FZN &amp; CHILL'!A162,"AAAAADnv37U=")</f>
        <v>#VALUE!</v>
      </c>
      <c r="GA251" t="e">
        <f>AND('STERLING CATALOG - FZN &amp; CHILL'!B162,"AAAAADnv37Y=")</f>
        <v>#VALUE!</v>
      </c>
      <c r="GB251" t="e">
        <f>AND('STERLING CATALOG - FZN &amp; CHILL'!C162,"AAAAADnv37c=")</f>
        <v>#VALUE!</v>
      </c>
      <c r="GC251" t="e">
        <f>AND('STERLING CATALOG - FZN &amp; CHILL'!D162,"AAAAADnv37g=")</f>
        <v>#VALUE!</v>
      </c>
      <c r="GD251" t="e">
        <f>AND('STERLING CATALOG - FZN &amp; CHILL'!E162,"AAAAADnv37k=")</f>
        <v>#VALUE!</v>
      </c>
      <c r="GE251" t="e">
        <f>AND('STERLING CATALOG - FZN &amp; CHILL'!F162,"AAAAADnv37o=")</f>
        <v>#VALUE!</v>
      </c>
      <c r="GF251" t="e">
        <f>AND('STERLING CATALOG - FZN &amp; CHILL'!G162,"AAAAADnv37s=")</f>
        <v>#VALUE!</v>
      </c>
      <c r="GG251" t="e">
        <f>AND('STERLING CATALOG - FZN &amp; CHILL'!H162,"AAAAADnv37w=")</f>
        <v>#VALUE!</v>
      </c>
      <c r="GH251" t="e">
        <f>AND('STERLING CATALOG - FZN &amp; CHILL'!I162,"AAAAADnv370=")</f>
        <v>#VALUE!</v>
      </c>
      <c r="GI251" t="e">
        <f>AND('STERLING CATALOG - FZN &amp; CHILL'!J162,"AAAAADnv374=")</f>
        <v>#VALUE!</v>
      </c>
      <c r="GJ251">
        <f>IF('STERLING CATALOG - FZN &amp; CHILL'!163:163,"AAAAADnv378=",0)</f>
        <v>0</v>
      </c>
      <c r="GK251" t="e">
        <f>AND('STERLING CATALOG - FZN &amp; CHILL'!A163,"AAAAADnv38A=")</f>
        <v>#VALUE!</v>
      </c>
      <c r="GL251" t="e">
        <f>AND('STERLING CATALOG - FZN &amp; CHILL'!B163,"AAAAADnv38E=")</f>
        <v>#VALUE!</v>
      </c>
      <c r="GM251" t="e">
        <f>AND('STERLING CATALOG - FZN &amp; CHILL'!C163,"AAAAADnv38I=")</f>
        <v>#VALUE!</v>
      </c>
      <c r="GN251" t="e">
        <f>AND('STERLING CATALOG - FZN &amp; CHILL'!D163,"AAAAADnv38M=")</f>
        <v>#VALUE!</v>
      </c>
      <c r="GO251" t="e">
        <f>AND('STERLING CATALOG - FZN &amp; CHILL'!E163,"AAAAADnv38Q=")</f>
        <v>#VALUE!</v>
      </c>
      <c r="GP251" t="e">
        <f>AND('STERLING CATALOG - FZN &amp; CHILL'!F163,"AAAAADnv38U=")</f>
        <v>#VALUE!</v>
      </c>
      <c r="GQ251" t="e">
        <f>AND('STERLING CATALOG - FZN &amp; CHILL'!G163,"AAAAADnv38Y=")</f>
        <v>#VALUE!</v>
      </c>
      <c r="GR251" t="e">
        <f>AND('STERLING CATALOG - FZN &amp; CHILL'!H163,"AAAAADnv38c=")</f>
        <v>#VALUE!</v>
      </c>
      <c r="GS251" t="e">
        <f>AND('STERLING CATALOG - FZN &amp; CHILL'!I163,"AAAAADnv38g=")</f>
        <v>#VALUE!</v>
      </c>
      <c r="GT251" t="e">
        <f>AND('STERLING CATALOG - FZN &amp; CHILL'!J163,"AAAAADnv38k=")</f>
        <v>#VALUE!</v>
      </c>
      <c r="GU251">
        <f>IF('STERLING CATALOG - FZN &amp; CHILL'!164:164,"AAAAADnv38o=",0)</f>
        <v>0</v>
      </c>
      <c r="GV251" t="e">
        <f>AND('STERLING CATALOG - FZN &amp; CHILL'!A164,"AAAAADnv38s=")</f>
        <v>#VALUE!</v>
      </c>
      <c r="GW251" t="e">
        <f>AND('STERLING CATALOG - FZN &amp; CHILL'!B164,"AAAAADnv38w=")</f>
        <v>#VALUE!</v>
      </c>
      <c r="GX251" t="e">
        <f>AND('STERLING CATALOG - FZN &amp; CHILL'!C164,"AAAAADnv380=")</f>
        <v>#VALUE!</v>
      </c>
      <c r="GY251" t="e">
        <f>AND('STERLING CATALOG - FZN &amp; CHILL'!D164,"AAAAADnv384=")</f>
        <v>#VALUE!</v>
      </c>
      <c r="GZ251" t="e">
        <f>AND('STERLING CATALOG - FZN &amp; CHILL'!E164,"AAAAADnv388=")</f>
        <v>#VALUE!</v>
      </c>
      <c r="HA251" t="e">
        <f>AND('STERLING CATALOG - FZN &amp; CHILL'!F164,"AAAAADnv39A=")</f>
        <v>#VALUE!</v>
      </c>
      <c r="HB251" t="e">
        <f>AND('STERLING CATALOG - FZN &amp; CHILL'!G164,"AAAAADnv39E=")</f>
        <v>#VALUE!</v>
      </c>
      <c r="HC251" t="e">
        <f>AND('STERLING CATALOG - FZN &amp; CHILL'!H164,"AAAAADnv39I=")</f>
        <v>#VALUE!</v>
      </c>
      <c r="HD251" t="e">
        <f>AND('STERLING CATALOG - FZN &amp; CHILL'!I164,"AAAAADnv39M=")</f>
        <v>#VALUE!</v>
      </c>
      <c r="HE251" t="e">
        <f>AND('STERLING CATALOG - FZN &amp; CHILL'!J164,"AAAAADnv39Q=")</f>
        <v>#VALUE!</v>
      </c>
      <c r="HF251">
        <f>IF('STERLING CATALOG - FZN &amp; CHILL'!165:165,"AAAAADnv39U=",0)</f>
        <v>0</v>
      </c>
      <c r="HG251" t="e">
        <f>AND('STERLING CATALOG - FZN &amp; CHILL'!A165,"AAAAADnv39Y=")</f>
        <v>#VALUE!</v>
      </c>
      <c r="HH251" t="e">
        <f>AND('STERLING CATALOG - FZN &amp; CHILL'!B165,"AAAAADnv39c=")</f>
        <v>#VALUE!</v>
      </c>
      <c r="HI251" t="e">
        <f>AND('STERLING CATALOG - FZN &amp; CHILL'!C165,"AAAAADnv39g=")</f>
        <v>#VALUE!</v>
      </c>
      <c r="HJ251" t="e">
        <f>AND('STERLING CATALOG - FZN &amp; CHILL'!D165,"AAAAADnv39k=")</f>
        <v>#VALUE!</v>
      </c>
      <c r="HK251" t="e">
        <f>AND('STERLING CATALOG - FZN &amp; CHILL'!E165,"AAAAADnv39o=")</f>
        <v>#VALUE!</v>
      </c>
      <c r="HL251" t="e">
        <f>AND('STERLING CATALOG - FZN &amp; CHILL'!F165,"AAAAADnv39s=")</f>
        <v>#VALUE!</v>
      </c>
      <c r="HM251" t="e">
        <f>AND('STERLING CATALOG - FZN &amp; CHILL'!G165,"AAAAADnv39w=")</f>
        <v>#VALUE!</v>
      </c>
      <c r="HN251" t="e">
        <f>AND('STERLING CATALOG - FZN &amp; CHILL'!H165,"AAAAADnv390=")</f>
        <v>#VALUE!</v>
      </c>
      <c r="HO251" t="e">
        <f>AND('STERLING CATALOG - FZN &amp; CHILL'!I165,"AAAAADnv394=")</f>
        <v>#VALUE!</v>
      </c>
      <c r="HP251" t="e">
        <f>AND('STERLING CATALOG - FZN &amp; CHILL'!J165,"AAAAADnv398=")</f>
        <v>#VALUE!</v>
      </c>
      <c r="HQ251">
        <f>IF('STERLING CATALOG - FZN &amp; CHILL'!166:166,"AAAAADnv3+A=",0)</f>
        <v>0</v>
      </c>
      <c r="HR251" t="e">
        <f>AND('STERLING CATALOG - FZN &amp; CHILL'!A166,"AAAAADnv3+E=")</f>
        <v>#VALUE!</v>
      </c>
      <c r="HS251" t="e">
        <f>AND('STERLING CATALOG - FZN &amp; CHILL'!B166,"AAAAADnv3+I=")</f>
        <v>#VALUE!</v>
      </c>
      <c r="HT251" t="e">
        <f>AND('STERLING CATALOG - FZN &amp; CHILL'!C166,"AAAAADnv3+M=")</f>
        <v>#VALUE!</v>
      </c>
      <c r="HU251" t="e">
        <f>AND('STERLING CATALOG - FZN &amp; CHILL'!D166,"AAAAADnv3+Q=")</f>
        <v>#VALUE!</v>
      </c>
      <c r="HV251" t="e">
        <f>AND('STERLING CATALOG - FZN &amp; CHILL'!E166,"AAAAADnv3+U=")</f>
        <v>#VALUE!</v>
      </c>
      <c r="HW251" t="e">
        <f>AND('STERLING CATALOG - FZN &amp; CHILL'!F166,"AAAAADnv3+Y=")</f>
        <v>#VALUE!</v>
      </c>
      <c r="HX251" t="e">
        <f>AND('STERLING CATALOG - FZN &amp; CHILL'!G166,"AAAAADnv3+c=")</f>
        <v>#VALUE!</v>
      </c>
      <c r="HY251" t="e">
        <f>AND('STERLING CATALOG - FZN &amp; CHILL'!H166,"AAAAADnv3+g=")</f>
        <v>#VALUE!</v>
      </c>
      <c r="HZ251" t="e">
        <f>AND('STERLING CATALOG - FZN &amp; CHILL'!I166,"AAAAADnv3+k=")</f>
        <v>#VALUE!</v>
      </c>
      <c r="IA251" t="e">
        <f>AND('STERLING CATALOG - FZN &amp; CHILL'!J166,"AAAAADnv3+o=")</f>
        <v>#VALUE!</v>
      </c>
      <c r="IB251">
        <f>IF('STERLING CATALOG - FZN &amp; CHILL'!167:167,"AAAAADnv3+s=",0)</f>
        <v>0</v>
      </c>
      <c r="IC251" t="e">
        <f>AND('STERLING CATALOG - FZN &amp; CHILL'!A167,"AAAAADnv3+w=")</f>
        <v>#VALUE!</v>
      </c>
      <c r="ID251" t="e">
        <f>AND('STERLING CATALOG - FZN &amp; CHILL'!B167,"AAAAADnv3+0=")</f>
        <v>#VALUE!</v>
      </c>
      <c r="IE251" t="e">
        <f>AND('STERLING CATALOG - FZN &amp; CHILL'!C167,"AAAAADnv3+4=")</f>
        <v>#VALUE!</v>
      </c>
      <c r="IF251" t="e">
        <f>AND('STERLING CATALOG - FZN &amp; CHILL'!D167,"AAAAADnv3+8=")</f>
        <v>#VALUE!</v>
      </c>
      <c r="IG251" t="e">
        <f>AND('STERLING CATALOG - FZN &amp; CHILL'!E167,"AAAAADnv3/A=")</f>
        <v>#VALUE!</v>
      </c>
      <c r="IH251" t="e">
        <f>AND('STERLING CATALOG - FZN &amp; CHILL'!F167,"AAAAADnv3/E=")</f>
        <v>#VALUE!</v>
      </c>
      <c r="II251" t="e">
        <f>AND('STERLING CATALOG - FZN &amp; CHILL'!G167,"AAAAADnv3/I=")</f>
        <v>#VALUE!</v>
      </c>
      <c r="IJ251" t="e">
        <f>AND('STERLING CATALOG - FZN &amp; CHILL'!H167,"AAAAADnv3/M=")</f>
        <v>#VALUE!</v>
      </c>
      <c r="IK251" t="e">
        <f>AND('STERLING CATALOG - FZN &amp; CHILL'!I167,"AAAAADnv3/Q=")</f>
        <v>#VALUE!</v>
      </c>
      <c r="IL251" t="e">
        <f>AND('STERLING CATALOG - FZN &amp; CHILL'!J167,"AAAAADnv3/U=")</f>
        <v>#VALUE!</v>
      </c>
      <c r="IM251">
        <f>IF('STERLING CATALOG - FZN &amp; CHILL'!168:168,"AAAAADnv3/Y=",0)</f>
        <v>0</v>
      </c>
      <c r="IN251" t="e">
        <f>AND('STERLING CATALOG - FZN &amp; CHILL'!A168,"AAAAADnv3/c=")</f>
        <v>#VALUE!</v>
      </c>
      <c r="IO251" t="e">
        <f>AND('STERLING CATALOG - FZN &amp; CHILL'!B168,"AAAAADnv3/g=")</f>
        <v>#VALUE!</v>
      </c>
      <c r="IP251" t="e">
        <f>AND('STERLING CATALOG - FZN &amp; CHILL'!C168,"AAAAADnv3/k=")</f>
        <v>#VALUE!</v>
      </c>
      <c r="IQ251" t="e">
        <f>AND('STERLING CATALOG - FZN &amp; CHILL'!D168,"AAAAADnv3/o=")</f>
        <v>#VALUE!</v>
      </c>
      <c r="IR251" t="e">
        <f>AND('STERLING CATALOG - FZN &amp; CHILL'!E168,"AAAAADnv3/s=")</f>
        <v>#VALUE!</v>
      </c>
      <c r="IS251" t="e">
        <f>AND('STERLING CATALOG - FZN &amp; CHILL'!F168,"AAAAADnv3/w=")</f>
        <v>#VALUE!</v>
      </c>
      <c r="IT251" t="e">
        <f>AND('STERLING CATALOG - FZN &amp; CHILL'!G168,"AAAAADnv3/0=")</f>
        <v>#VALUE!</v>
      </c>
      <c r="IU251" t="e">
        <f>AND('STERLING CATALOG - FZN &amp; CHILL'!H168,"AAAAADnv3/4=")</f>
        <v>#VALUE!</v>
      </c>
      <c r="IV251" t="e">
        <f>AND('STERLING CATALOG - FZN &amp; CHILL'!I168,"AAAAADnv3/8=")</f>
        <v>#VALUE!</v>
      </c>
    </row>
    <row r="252" spans="1:256">
      <c r="A252" t="e">
        <f>AND('STERLING CATALOG - FZN &amp; CHILL'!J168,"AAAAAFf+3wA=")</f>
        <v>#VALUE!</v>
      </c>
      <c r="B252" t="str">
        <f>IF('STERLING CATALOG - FZN &amp; CHILL'!169:169,"AAAAAFf+3wE=",0)</f>
        <v>AAAAAFf+3wE=</v>
      </c>
      <c r="C252" t="e">
        <f>AND('STERLING CATALOG - FZN &amp; CHILL'!A169,"AAAAAFf+3wI=")</f>
        <v>#VALUE!</v>
      </c>
      <c r="D252" t="e">
        <f>AND('STERLING CATALOG - FZN &amp; CHILL'!B169,"AAAAAFf+3wM=")</f>
        <v>#VALUE!</v>
      </c>
      <c r="E252" t="e">
        <f>AND('STERLING CATALOG - FZN &amp; CHILL'!C169,"AAAAAFf+3wQ=")</f>
        <v>#VALUE!</v>
      </c>
      <c r="F252" t="e">
        <f>AND('STERLING CATALOG - FZN &amp; CHILL'!D169,"AAAAAFf+3wU=")</f>
        <v>#VALUE!</v>
      </c>
      <c r="G252" t="e">
        <f>AND('STERLING CATALOG - FZN &amp; CHILL'!E169,"AAAAAFf+3wY=")</f>
        <v>#VALUE!</v>
      </c>
      <c r="H252" t="e">
        <f>AND('STERLING CATALOG - FZN &amp; CHILL'!F169,"AAAAAFf+3wc=")</f>
        <v>#VALUE!</v>
      </c>
      <c r="I252" t="e">
        <f>AND('STERLING CATALOG - FZN &amp; CHILL'!G169,"AAAAAFf+3wg=")</f>
        <v>#VALUE!</v>
      </c>
      <c r="J252" t="e">
        <f>AND('STERLING CATALOG - FZN &amp; CHILL'!H169,"AAAAAFf+3wk=")</f>
        <v>#VALUE!</v>
      </c>
      <c r="K252" t="e">
        <f>AND('STERLING CATALOG - FZN &amp; CHILL'!I169,"AAAAAFf+3wo=")</f>
        <v>#VALUE!</v>
      </c>
      <c r="L252" t="e">
        <f>AND('STERLING CATALOG - FZN &amp; CHILL'!J169,"AAAAAFf+3ws=")</f>
        <v>#VALUE!</v>
      </c>
      <c r="M252">
        <f>IF('STERLING CATALOG - FZN &amp; CHILL'!170:170,"AAAAAFf+3ww=",0)</f>
        <v>0</v>
      </c>
      <c r="N252" t="e">
        <f>AND('STERLING CATALOG - FZN &amp; CHILL'!A170,"AAAAAFf+3w0=")</f>
        <v>#VALUE!</v>
      </c>
      <c r="O252" t="e">
        <f>AND('STERLING CATALOG - FZN &amp; CHILL'!B170,"AAAAAFf+3w4=")</f>
        <v>#VALUE!</v>
      </c>
      <c r="P252" t="e">
        <f>AND('STERLING CATALOG - FZN &amp; CHILL'!C170,"AAAAAFf+3w8=")</f>
        <v>#VALUE!</v>
      </c>
      <c r="Q252" t="e">
        <f>AND('STERLING CATALOG - FZN &amp; CHILL'!D170,"AAAAAFf+3xA=")</f>
        <v>#VALUE!</v>
      </c>
      <c r="R252" t="e">
        <f>AND('STERLING CATALOG - FZN &amp; CHILL'!E170,"AAAAAFf+3xE=")</f>
        <v>#VALUE!</v>
      </c>
      <c r="S252" t="e">
        <f>AND('STERLING CATALOG - FZN &amp; CHILL'!F170,"AAAAAFf+3xI=")</f>
        <v>#VALUE!</v>
      </c>
      <c r="T252" t="e">
        <f>AND('STERLING CATALOG - FZN &amp; CHILL'!G170,"AAAAAFf+3xM=")</f>
        <v>#VALUE!</v>
      </c>
      <c r="U252" t="e">
        <f>AND('STERLING CATALOG - FZN &amp; CHILL'!H170,"AAAAAFf+3xQ=")</f>
        <v>#VALUE!</v>
      </c>
      <c r="V252" t="e">
        <f>AND('STERLING CATALOG - FZN &amp; CHILL'!I170,"AAAAAFf+3xU=")</f>
        <v>#VALUE!</v>
      </c>
      <c r="W252" t="e">
        <f>AND('STERLING CATALOG - FZN &amp; CHILL'!J170,"AAAAAFf+3xY=")</f>
        <v>#VALUE!</v>
      </c>
      <c r="X252">
        <f>IF('STERLING CATALOG - FZN &amp; CHILL'!171:171,"AAAAAFf+3xc=",0)</f>
        <v>0</v>
      </c>
      <c r="Y252" t="e">
        <f>AND('STERLING CATALOG - FZN &amp; CHILL'!A171,"AAAAAFf+3xg=")</f>
        <v>#VALUE!</v>
      </c>
      <c r="Z252" t="e">
        <f>AND('STERLING CATALOG - FZN &amp; CHILL'!B171,"AAAAAFf+3xk=")</f>
        <v>#VALUE!</v>
      </c>
      <c r="AA252" t="e">
        <f>AND('STERLING CATALOG - FZN &amp; CHILL'!C171,"AAAAAFf+3xo=")</f>
        <v>#VALUE!</v>
      </c>
      <c r="AB252" t="e">
        <f>AND('STERLING CATALOG - FZN &amp; CHILL'!D171,"AAAAAFf+3xs=")</f>
        <v>#VALUE!</v>
      </c>
      <c r="AC252" t="e">
        <f>AND('STERLING CATALOG - FZN &amp; CHILL'!E171,"AAAAAFf+3xw=")</f>
        <v>#VALUE!</v>
      </c>
      <c r="AD252" t="e">
        <f>AND('STERLING CATALOG - FZN &amp; CHILL'!F171,"AAAAAFf+3x0=")</f>
        <v>#VALUE!</v>
      </c>
      <c r="AE252" t="e">
        <f>AND('STERLING CATALOG - FZN &amp; CHILL'!G171,"AAAAAFf+3x4=")</f>
        <v>#VALUE!</v>
      </c>
      <c r="AF252" t="e">
        <f>AND('STERLING CATALOG - FZN &amp; CHILL'!H171,"AAAAAFf+3x8=")</f>
        <v>#VALUE!</v>
      </c>
      <c r="AG252" t="e">
        <f>AND('STERLING CATALOG - FZN &amp; CHILL'!I171,"AAAAAFf+3yA=")</f>
        <v>#VALUE!</v>
      </c>
      <c r="AH252" t="e">
        <f>AND('STERLING CATALOG - FZN &amp; CHILL'!J171,"AAAAAFf+3yE=")</f>
        <v>#VALUE!</v>
      </c>
      <c r="AI252">
        <f>IF('STERLING CATALOG - FZN &amp; CHILL'!172:172,"AAAAAFf+3yI=",0)</f>
        <v>0</v>
      </c>
      <c r="AJ252" t="e">
        <f>AND('STERLING CATALOG - FZN &amp; CHILL'!A172,"AAAAAFf+3yM=")</f>
        <v>#VALUE!</v>
      </c>
      <c r="AK252" t="e">
        <f>AND('STERLING CATALOG - FZN &amp; CHILL'!B172,"AAAAAFf+3yQ=")</f>
        <v>#VALUE!</v>
      </c>
      <c r="AL252" t="e">
        <f>AND('STERLING CATALOG - FZN &amp; CHILL'!C172,"AAAAAFf+3yU=")</f>
        <v>#VALUE!</v>
      </c>
      <c r="AM252" t="e">
        <f>AND('STERLING CATALOG - FZN &amp; CHILL'!D172,"AAAAAFf+3yY=")</f>
        <v>#VALUE!</v>
      </c>
      <c r="AN252" t="e">
        <f>AND('STERLING CATALOG - FZN &amp; CHILL'!E172,"AAAAAFf+3yc=")</f>
        <v>#VALUE!</v>
      </c>
      <c r="AO252" t="e">
        <f>AND('STERLING CATALOG - FZN &amp; CHILL'!F172,"AAAAAFf+3yg=")</f>
        <v>#VALUE!</v>
      </c>
      <c r="AP252" t="e">
        <f>AND('STERLING CATALOG - FZN &amp; CHILL'!G172,"AAAAAFf+3yk=")</f>
        <v>#VALUE!</v>
      </c>
      <c r="AQ252" t="e">
        <f>AND('STERLING CATALOG - FZN &amp; CHILL'!H172,"AAAAAFf+3yo=")</f>
        <v>#VALUE!</v>
      </c>
      <c r="AR252" t="e">
        <f>AND('STERLING CATALOG - FZN &amp; CHILL'!I172,"AAAAAFf+3ys=")</f>
        <v>#VALUE!</v>
      </c>
      <c r="AS252" t="e">
        <f>AND('STERLING CATALOG - FZN &amp; CHILL'!J172,"AAAAAFf+3yw=")</f>
        <v>#VALUE!</v>
      </c>
      <c r="AT252">
        <f>IF('STERLING CATALOG - FZN &amp; CHILL'!173:173,"AAAAAFf+3y0=",0)</f>
        <v>0</v>
      </c>
      <c r="AU252" t="e">
        <f>AND('STERLING CATALOG - FZN &amp; CHILL'!A173,"AAAAAFf+3y4=")</f>
        <v>#VALUE!</v>
      </c>
      <c r="AV252" t="e">
        <f>AND('STERLING CATALOG - FZN &amp; CHILL'!B173,"AAAAAFf+3y8=")</f>
        <v>#VALUE!</v>
      </c>
      <c r="AW252" t="e">
        <f>AND('STERLING CATALOG - FZN &amp; CHILL'!C173,"AAAAAFf+3zA=")</f>
        <v>#VALUE!</v>
      </c>
      <c r="AX252" t="e">
        <f>AND('STERLING CATALOG - FZN &amp; CHILL'!D173,"AAAAAFf+3zE=")</f>
        <v>#VALUE!</v>
      </c>
      <c r="AY252" t="e">
        <f>AND('STERLING CATALOG - FZN &amp; CHILL'!E173,"AAAAAFf+3zI=")</f>
        <v>#VALUE!</v>
      </c>
      <c r="AZ252" t="e">
        <f>AND('STERLING CATALOG - FZN &amp; CHILL'!F173,"AAAAAFf+3zM=")</f>
        <v>#VALUE!</v>
      </c>
      <c r="BA252" t="e">
        <f>AND('STERLING CATALOG - FZN &amp; CHILL'!G173,"AAAAAFf+3zQ=")</f>
        <v>#VALUE!</v>
      </c>
      <c r="BB252" t="e">
        <f>AND('STERLING CATALOG - FZN &amp; CHILL'!H173,"AAAAAFf+3zU=")</f>
        <v>#VALUE!</v>
      </c>
      <c r="BC252" t="e">
        <f>AND('STERLING CATALOG - FZN &amp; CHILL'!I173,"AAAAAFf+3zY=")</f>
        <v>#VALUE!</v>
      </c>
      <c r="BD252" t="e">
        <f>AND('STERLING CATALOG - FZN &amp; CHILL'!J173,"AAAAAFf+3zc=")</f>
        <v>#VALUE!</v>
      </c>
      <c r="BE252">
        <f>IF('STERLING CATALOG - FZN &amp; CHILL'!174:174,"AAAAAFf+3zg=",0)</f>
        <v>0</v>
      </c>
      <c r="BF252" t="e">
        <f>AND('STERLING CATALOG - FZN &amp; CHILL'!A174,"AAAAAFf+3zk=")</f>
        <v>#VALUE!</v>
      </c>
      <c r="BG252" t="e">
        <f>AND('STERLING CATALOG - FZN &amp; CHILL'!B174,"AAAAAFf+3zo=")</f>
        <v>#VALUE!</v>
      </c>
      <c r="BH252" t="e">
        <f>AND('STERLING CATALOG - FZN &amp; CHILL'!C174,"AAAAAFf+3zs=")</f>
        <v>#VALUE!</v>
      </c>
      <c r="BI252" t="e">
        <f>AND('STERLING CATALOG - FZN &amp; CHILL'!D174,"AAAAAFf+3zw=")</f>
        <v>#VALUE!</v>
      </c>
      <c r="BJ252" t="e">
        <f>AND('STERLING CATALOG - FZN &amp; CHILL'!E174,"AAAAAFf+3z0=")</f>
        <v>#VALUE!</v>
      </c>
      <c r="BK252" t="e">
        <f>AND('STERLING CATALOG - FZN &amp; CHILL'!F174,"AAAAAFf+3z4=")</f>
        <v>#VALUE!</v>
      </c>
      <c r="BL252" t="e">
        <f>AND('STERLING CATALOG - FZN &amp; CHILL'!G174,"AAAAAFf+3z8=")</f>
        <v>#VALUE!</v>
      </c>
      <c r="BM252" t="e">
        <f>AND('STERLING CATALOG - FZN &amp; CHILL'!H174,"AAAAAFf+30A=")</f>
        <v>#VALUE!</v>
      </c>
      <c r="BN252" t="e">
        <f>AND('STERLING CATALOG - FZN &amp; CHILL'!I174,"AAAAAFf+30E=")</f>
        <v>#VALUE!</v>
      </c>
      <c r="BO252" t="e">
        <f>AND('STERLING CATALOG - FZN &amp; CHILL'!J174,"AAAAAFf+30I=")</f>
        <v>#VALUE!</v>
      </c>
      <c r="BP252">
        <f>IF('STERLING CATALOG - FZN &amp; CHILL'!175:175,"AAAAAFf+30M=",0)</f>
        <v>0</v>
      </c>
      <c r="BQ252" t="e">
        <f>AND('STERLING CATALOG - FZN &amp; CHILL'!A175,"AAAAAFf+30Q=")</f>
        <v>#VALUE!</v>
      </c>
      <c r="BR252" t="e">
        <f>AND('STERLING CATALOG - FZN &amp; CHILL'!B175,"AAAAAFf+30U=")</f>
        <v>#VALUE!</v>
      </c>
      <c r="BS252" t="e">
        <f>AND('STERLING CATALOG - FZN &amp; CHILL'!C175,"AAAAAFf+30Y=")</f>
        <v>#VALUE!</v>
      </c>
      <c r="BT252" t="e">
        <f>AND('STERLING CATALOG - FZN &amp; CHILL'!D175,"AAAAAFf+30c=")</f>
        <v>#VALUE!</v>
      </c>
      <c r="BU252" t="e">
        <f>AND('STERLING CATALOG - FZN &amp; CHILL'!E175,"AAAAAFf+30g=")</f>
        <v>#VALUE!</v>
      </c>
      <c r="BV252" t="e">
        <f>AND('STERLING CATALOG - FZN &amp; CHILL'!F175,"AAAAAFf+30k=")</f>
        <v>#VALUE!</v>
      </c>
      <c r="BW252" t="e">
        <f>AND('STERLING CATALOG - FZN &amp; CHILL'!G175,"AAAAAFf+30o=")</f>
        <v>#VALUE!</v>
      </c>
      <c r="BX252" t="e">
        <f>AND('STERLING CATALOG - FZN &amp; CHILL'!H175,"AAAAAFf+30s=")</f>
        <v>#VALUE!</v>
      </c>
      <c r="BY252" t="e">
        <f>AND('STERLING CATALOG - FZN &amp; CHILL'!I175,"AAAAAFf+30w=")</f>
        <v>#VALUE!</v>
      </c>
      <c r="BZ252" t="e">
        <f>AND('STERLING CATALOG - FZN &amp; CHILL'!J175,"AAAAAFf+300=")</f>
        <v>#VALUE!</v>
      </c>
      <c r="CA252">
        <f>IF('STERLING CATALOG - FZN &amp; CHILL'!176:176,"AAAAAFf+304=",0)</f>
        <v>0</v>
      </c>
      <c r="CB252" t="e">
        <f>AND('STERLING CATALOG - FZN &amp; CHILL'!A176,"AAAAAFf+308=")</f>
        <v>#VALUE!</v>
      </c>
      <c r="CC252" t="e">
        <f>AND('STERLING CATALOG - FZN &amp; CHILL'!B176,"AAAAAFf+31A=")</f>
        <v>#VALUE!</v>
      </c>
      <c r="CD252" t="e">
        <f>AND('STERLING CATALOG - FZN &amp; CHILL'!C176,"AAAAAFf+31E=")</f>
        <v>#VALUE!</v>
      </c>
      <c r="CE252" t="e">
        <f>AND('STERLING CATALOG - FZN &amp; CHILL'!D176,"AAAAAFf+31I=")</f>
        <v>#VALUE!</v>
      </c>
      <c r="CF252" t="e">
        <f>AND('STERLING CATALOG - FZN &amp; CHILL'!E176,"AAAAAFf+31M=")</f>
        <v>#VALUE!</v>
      </c>
      <c r="CG252" t="e">
        <f>AND('STERLING CATALOG - FZN &amp; CHILL'!F176,"AAAAAFf+31Q=")</f>
        <v>#VALUE!</v>
      </c>
      <c r="CH252" t="e">
        <f>AND('STERLING CATALOG - FZN &amp; CHILL'!G176,"AAAAAFf+31U=")</f>
        <v>#VALUE!</v>
      </c>
      <c r="CI252" t="e">
        <f>AND('STERLING CATALOG - FZN &amp; CHILL'!H176,"AAAAAFf+31Y=")</f>
        <v>#VALUE!</v>
      </c>
      <c r="CJ252" t="e">
        <f>AND('STERLING CATALOG - FZN &amp; CHILL'!I176,"AAAAAFf+31c=")</f>
        <v>#VALUE!</v>
      </c>
      <c r="CK252" t="e">
        <f>AND('STERLING CATALOG - FZN &amp; CHILL'!J176,"AAAAAFf+31g=")</f>
        <v>#VALUE!</v>
      </c>
      <c r="CL252">
        <f>IF('STERLING CATALOG - FZN &amp; CHILL'!177:177,"AAAAAFf+31k=",0)</f>
        <v>0</v>
      </c>
      <c r="CM252" t="e">
        <f>AND('STERLING CATALOG - FZN &amp; CHILL'!A177,"AAAAAFf+31o=")</f>
        <v>#VALUE!</v>
      </c>
      <c r="CN252" t="e">
        <f>AND('STERLING CATALOG - FZN &amp; CHILL'!B177,"AAAAAFf+31s=")</f>
        <v>#VALUE!</v>
      </c>
      <c r="CO252" t="e">
        <f>AND('STERLING CATALOG - FZN &amp; CHILL'!C177,"AAAAAFf+31w=")</f>
        <v>#VALUE!</v>
      </c>
      <c r="CP252" t="e">
        <f>AND('STERLING CATALOG - FZN &amp; CHILL'!D177,"AAAAAFf+310=")</f>
        <v>#VALUE!</v>
      </c>
      <c r="CQ252" t="e">
        <f>AND('STERLING CATALOG - FZN &amp; CHILL'!E177,"AAAAAFf+314=")</f>
        <v>#VALUE!</v>
      </c>
      <c r="CR252" t="e">
        <f>AND('STERLING CATALOG - FZN &amp; CHILL'!F177,"AAAAAFf+318=")</f>
        <v>#VALUE!</v>
      </c>
      <c r="CS252" t="e">
        <f>AND('STERLING CATALOG - FZN &amp; CHILL'!G177,"AAAAAFf+32A=")</f>
        <v>#VALUE!</v>
      </c>
      <c r="CT252" t="e">
        <f>AND('STERLING CATALOG - FZN &amp; CHILL'!H177,"AAAAAFf+32E=")</f>
        <v>#VALUE!</v>
      </c>
      <c r="CU252" t="e">
        <f>AND('STERLING CATALOG - FZN &amp; CHILL'!I177,"AAAAAFf+32I=")</f>
        <v>#VALUE!</v>
      </c>
      <c r="CV252" t="e">
        <f>AND('STERLING CATALOG - FZN &amp; CHILL'!J177,"AAAAAFf+32M=")</f>
        <v>#VALUE!</v>
      </c>
      <c r="CW252">
        <f>IF('STERLING CATALOG - FZN &amp; CHILL'!178:178,"AAAAAFf+32Q=",0)</f>
        <v>0</v>
      </c>
      <c r="CX252" t="e">
        <f>AND('STERLING CATALOG - FZN &amp; CHILL'!A178,"AAAAAFf+32U=")</f>
        <v>#VALUE!</v>
      </c>
      <c r="CY252" t="e">
        <f>AND('STERLING CATALOG - FZN &amp; CHILL'!B178,"AAAAAFf+32Y=")</f>
        <v>#VALUE!</v>
      </c>
      <c r="CZ252" t="e">
        <f>AND('STERLING CATALOG - FZN &amp; CHILL'!C178,"AAAAAFf+32c=")</f>
        <v>#VALUE!</v>
      </c>
      <c r="DA252" t="e">
        <f>AND('STERLING CATALOG - FZN &amp; CHILL'!D178,"AAAAAFf+32g=")</f>
        <v>#VALUE!</v>
      </c>
      <c r="DB252" t="e">
        <f>AND('STERLING CATALOG - FZN &amp; CHILL'!E178,"AAAAAFf+32k=")</f>
        <v>#VALUE!</v>
      </c>
      <c r="DC252" t="e">
        <f>AND('STERLING CATALOG - FZN &amp; CHILL'!F178,"AAAAAFf+32o=")</f>
        <v>#VALUE!</v>
      </c>
      <c r="DD252" t="e">
        <f>AND('STERLING CATALOG - FZN &amp; CHILL'!G178,"AAAAAFf+32s=")</f>
        <v>#VALUE!</v>
      </c>
      <c r="DE252" t="e">
        <f>AND('STERLING CATALOG - FZN &amp; CHILL'!H178,"AAAAAFf+32w=")</f>
        <v>#VALUE!</v>
      </c>
      <c r="DF252" t="e">
        <f>AND('STERLING CATALOG - FZN &amp; CHILL'!I178,"AAAAAFf+320=")</f>
        <v>#VALUE!</v>
      </c>
      <c r="DG252" t="e">
        <f>AND('STERLING CATALOG - FZN &amp; CHILL'!J178,"AAAAAFf+324=")</f>
        <v>#VALUE!</v>
      </c>
      <c r="DH252">
        <f>IF('STERLING CATALOG - FZN &amp; CHILL'!179:179,"AAAAAFf+328=",0)</f>
        <v>0</v>
      </c>
      <c r="DI252" t="e">
        <f>AND('STERLING CATALOG - FZN &amp; CHILL'!A179,"AAAAAFf+33A=")</f>
        <v>#VALUE!</v>
      </c>
      <c r="DJ252" t="e">
        <f>AND('STERLING CATALOG - FZN &amp; CHILL'!B179,"AAAAAFf+33E=")</f>
        <v>#VALUE!</v>
      </c>
      <c r="DK252" t="e">
        <f>AND('STERLING CATALOG - FZN &amp; CHILL'!C179,"AAAAAFf+33I=")</f>
        <v>#VALUE!</v>
      </c>
      <c r="DL252" t="e">
        <f>AND('STERLING CATALOG - FZN &amp; CHILL'!D179,"AAAAAFf+33M=")</f>
        <v>#VALUE!</v>
      </c>
      <c r="DM252" t="e">
        <f>AND('STERLING CATALOG - FZN &amp; CHILL'!E179,"AAAAAFf+33Q=")</f>
        <v>#VALUE!</v>
      </c>
      <c r="DN252" t="e">
        <f>AND('STERLING CATALOG - FZN &amp; CHILL'!F179,"AAAAAFf+33U=")</f>
        <v>#VALUE!</v>
      </c>
      <c r="DO252" t="e">
        <f>AND('STERLING CATALOG - FZN &amp; CHILL'!G179,"AAAAAFf+33Y=")</f>
        <v>#VALUE!</v>
      </c>
      <c r="DP252" t="e">
        <f>AND('STERLING CATALOG - FZN &amp; CHILL'!H179,"AAAAAFf+33c=")</f>
        <v>#VALUE!</v>
      </c>
      <c r="DQ252" t="e">
        <f>AND('STERLING CATALOG - FZN &amp; CHILL'!I179,"AAAAAFf+33g=")</f>
        <v>#VALUE!</v>
      </c>
      <c r="DR252" t="e">
        <f>AND('STERLING CATALOG - FZN &amp; CHILL'!J179,"AAAAAFf+33k=")</f>
        <v>#VALUE!</v>
      </c>
      <c r="DS252">
        <f>IF('STERLING CATALOG - FZN &amp; CHILL'!180:180,"AAAAAFf+33o=",0)</f>
        <v>0</v>
      </c>
      <c r="DT252" t="e">
        <f>AND('STERLING CATALOG - FZN &amp; CHILL'!A180,"AAAAAFf+33s=")</f>
        <v>#VALUE!</v>
      </c>
      <c r="DU252" t="e">
        <f>AND('STERLING CATALOG - FZN &amp; CHILL'!B180,"AAAAAFf+33w=")</f>
        <v>#VALUE!</v>
      </c>
      <c r="DV252" t="e">
        <f>AND('STERLING CATALOG - FZN &amp; CHILL'!C180,"AAAAAFf+330=")</f>
        <v>#VALUE!</v>
      </c>
      <c r="DW252" t="e">
        <f>AND('STERLING CATALOG - FZN &amp; CHILL'!D180,"AAAAAFf+334=")</f>
        <v>#VALUE!</v>
      </c>
      <c r="DX252" t="e">
        <f>AND('STERLING CATALOG - FZN &amp; CHILL'!E180,"AAAAAFf+338=")</f>
        <v>#VALUE!</v>
      </c>
      <c r="DY252" t="e">
        <f>AND('STERLING CATALOG - FZN &amp; CHILL'!F180,"AAAAAFf+34A=")</f>
        <v>#VALUE!</v>
      </c>
      <c r="DZ252" t="e">
        <f>AND('STERLING CATALOG - FZN &amp; CHILL'!G180,"AAAAAFf+34E=")</f>
        <v>#VALUE!</v>
      </c>
      <c r="EA252" t="e">
        <f>AND('STERLING CATALOG - FZN &amp; CHILL'!H180,"AAAAAFf+34I=")</f>
        <v>#VALUE!</v>
      </c>
      <c r="EB252" t="e">
        <f>AND('STERLING CATALOG - FZN &amp; CHILL'!I180,"AAAAAFf+34M=")</f>
        <v>#VALUE!</v>
      </c>
      <c r="EC252" t="e">
        <f>AND('STERLING CATALOG - FZN &amp; CHILL'!J180,"AAAAAFf+34Q=")</f>
        <v>#VALUE!</v>
      </c>
      <c r="ED252">
        <f>IF('STERLING CATALOG - FZN &amp; CHILL'!181:181,"AAAAAFf+34U=",0)</f>
        <v>0</v>
      </c>
      <c r="EE252" t="e">
        <f>AND('STERLING CATALOG - FZN &amp; CHILL'!A181,"AAAAAFf+34Y=")</f>
        <v>#VALUE!</v>
      </c>
      <c r="EF252" t="e">
        <f>AND('STERLING CATALOG - FZN &amp; CHILL'!B181,"AAAAAFf+34c=")</f>
        <v>#VALUE!</v>
      </c>
      <c r="EG252" t="e">
        <f>AND('STERLING CATALOG - FZN &amp; CHILL'!C181,"AAAAAFf+34g=")</f>
        <v>#VALUE!</v>
      </c>
      <c r="EH252" t="e">
        <f>AND('STERLING CATALOG - FZN &amp; CHILL'!D181,"AAAAAFf+34k=")</f>
        <v>#VALUE!</v>
      </c>
      <c r="EI252" t="e">
        <f>AND('STERLING CATALOG - FZN &amp; CHILL'!E181,"AAAAAFf+34o=")</f>
        <v>#VALUE!</v>
      </c>
      <c r="EJ252" t="e">
        <f>AND('STERLING CATALOG - FZN &amp; CHILL'!F181,"AAAAAFf+34s=")</f>
        <v>#VALUE!</v>
      </c>
      <c r="EK252" t="e">
        <f>AND('STERLING CATALOG - FZN &amp; CHILL'!G181,"AAAAAFf+34w=")</f>
        <v>#VALUE!</v>
      </c>
      <c r="EL252" t="e">
        <f>AND('STERLING CATALOG - FZN &amp; CHILL'!H181,"AAAAAFf+340=")</f>
        <v>#VALUE!</v>
      </c>
      <c r="EM252" t="e">
        <f>AND('STERLING CATALOG - FZN &amp; CHILL'!I181,"AAAAAFf+344=")</f>
        <v>#VALUE!</v>
      </c>
      <c r="EN252" t="e">
        <f>AND('STERLING CATALOG - FZN &amp; CHILL'!J181,"AAAAAFf+348=")</f>
        <v>#VALUE!</v>
      </c>
      <c r="EO252">
        <f>IF('STERLING CATALOG - FZN &amp; CHILL'!182:182,"AAAAAFf+35A=",0)</f>
        <v>0</v>
      </c>
      <c r="EP252" t="e">
        <f>AND('STERLING CATALOG - FZN &amp; CHILL'!A182,"AAAAAFf+35E=")</f>
        <v>#VALUE!</v>
      </c>
      <c r="EQ252" t="e">
        <f>AND('STERLING CATALOG - FZN &amp; CHILL'!B182,"AAAAAFf+35I=")</f>
        <v>#VALUE!</v>
      </c>
      <c r="ER252" t="e">
        <f>AND('STERLING CATALOG - FZN &amp; CHILL'!C182,"AAAAAFf+35M=")</f>
        <v>#VALUE!</v>
      </c>
      <c r="ES252" t="e">
        <f>AND('STERLING CATALOG - FZN &amp; CHILL'!D182,"AAAAAFf+35Q=")</f>
        <v>#VALUE!</v>
      </c>
      <c r="ET252" t="e">
        <f>AND('STERLING CATALOG - FZN &amp; CHILL'!E182,"AAAAAFf+35U=")</f>
        <v>#VALUE!</v>
      </c>
      <c r="EU252" t="e">
        <f>AND('STERLING CATALOG - FZN &amp; CHILL'!F182,"AAAAAFf+35Y=")</f>
        <v>#VALUE!</v>
      </c>
      <c r="EV252" t="e">
        <f>AND('STERLING CATALOG - FZN &amp; CHILL'!G182,"AAAAAFf+35c=")</f>
        <v>#VALUE!</v>
      </c>
      <c r="EW252" t="e">
        <f>AND('STERLING CATALOG - FZN &amp; CHILL'!H182,"AAAAAFf+35g=")</f>
        <v>#VALUE!</v>
      </c>
      <c r="EX252" t="e">
        <f>AND('STERLING CATALOG - FZN &amp; CHILL'!I182,"AAAAAFf+35k=")</f>
        <v>#VALUE!</v>
      </c>
      <c r="EY252" t="e">
        <f>AND('STERLING CATALOG - FZN &amp; CHILL'!J182,"AAAAAFf+35o=")</f>
        <v>#VALUE!</v>
      </c>
      <c r="EZ252">
        <f>IF('STERLING CATALOG - FZN &amp; CHILL'!183:183,"AAAAAFf+35s=",0)</f>
        <v>0</v>
      </c>
      <c r="FA252" t="e">
        <f>AND('STERLING CATALOG - FZN &amp; CHILL'!A183,"AAAAAFf+35w=")</f>
        <v>#VALUE!</v>
      </c>
      <c r="FB252" t="e">
        <f>AND('STERLING CATALOG - FZN &amp; CHILL'!B183,"AAAAAFf+350=")</f>
        <v>#VALUE!</v>
      </c>
      <c r="FC252" t="e">
        <f>AND('STERLING CATALOG - FZN &amp; CHILL'!C183,"AAAAAFf+354=")</f>
        <v>#VALUE!</v>
      </c>
      <c r="FD252" t="e">
        <f>AND('STERLING CATALOG - FZN &amp; CHILL'!D183,"AAAAAFf+358=")</f>
        <v>#VALUE!</v>
      </c>
      <c r="FE252" t="e">
        <f>AND('STERLING CATALOG - FZN &amp; CHILL'!E183,"AAAAAFf+36A=")</f>
        <v>#VALUE!</v>
      </c>
      <c r="FF252" t="e">
        <f>AND('STERLING CATALOG - FZN &amp; CHILL'!F183,"AAAAAFf+36E=")</f>
        <v>#VALUE!</v>
      </c>
      <c r="FG252" t="e">
        <f>AND('STERLING CATALOG - FZN &amp; CHILL'!G183,"AAAAAFf+36I=")</f>
        <v>#VALUE!</v>
      </c>
      <c r="FH252" t="e">
        <f>AND('STERLING CATALOG - FZN &amp; CHILL'!H183,"AAAAAFf+36M=")</f>
        <v>#VALUE!</v>
      </c>
      <c r="FI252" t="e">
        <f>AND('STERLING CATALOG - FZN &amp; CHILL'!I183,"AAAAAFf+36Q=")</f>
        <v>#VALUE!</v>
      </c>
      <c r="FJ252" t="e">
        <f>AND('STERLING CATALOG - FZN &amp; CHILL'!J183,"AAAAAFf+36U=")</f>
        <v>#VALUE!</v>
      </c>
      <c r="FK252">
        <f>IF('STERLING CATALOG - FZN &amp; CHILL'!184:184,"AAAAAFf+36Y=",0)</f>
        <v>0</v>
      </c>
      <c r="FL252" t="e">
        <f>AND('STERLING CATALOG - FZN &amp; CHILL'!A184,"AAAAAFf+36c=")</f>
        <v>#VALUE!</v>
      </c>
      <c r="FM252" t="e">
        <f>AND('STERLING CATALOG - FZN &amp; CHILL'!B184,"AAAAAFf+36g=")</f>
        <v>#VALUE!</v>
      </c>
      <c r="FN252" t="e">
        <f>AND('STERLING CATALOG - FZN &amp; CHILL'!C184,"AAAAAFf+36k=")</f>
        <v>#VALUE!</v>
      </c>
      <c r="FO252" t="e">
        <f>AND('STERLING CATALOG - FZN &amp; CHILL'!D184,"AAAAAFf+36o=")</f>
        <v>#VALUE!</v>
      </c>
      <c r="FP252" t="e">
        <f>AND('STERLING CATALOG - FZN &amp; CHILL'!E184,"AAAAAFf+36s=")</f>
        <v>#VALUE!</v>
      </c>
      <c r="FQ252" t="e">
        <f>AND('STERLING CATALOG - FZN &amp; CHILL'!F184,"AAAAAFf+36w=")</f>
        <v>#VALUE!</v>
      </c>
      <c r="FR252" t="e">
        <f>AND('STERLING CATALOG - FZN &amp; CHILL'!G184,"AAAAAFf+360=")</f>
        <v>#VALUE!</v>
      </c>
      <c r="FS252" t="e">
        <f>AND('STERLING CATALOG - FZN &amp; CHILL'!H184,"AAAAAFf+364=")</f>
        <v>#VALUE!</v>
      </c>
      <c r="FT252" t="e">
        <f>AND('STERLING CATALOG - FZN &amp; CHILL'!I184,"AAAAAFf+368=")</f>
        <v>#VALUE!</v>
      </c>
      <c r="FU252" t="e">
        <f>AND('STERLING CATALOG - FZN &amp; CHILL'!J184,"AAAAAFf+37A=")</f>
        <v>#VALUE!</v>
      </c>
      <c r="FV252">
        <f>IF('STERLING CATALOG - FZN &amp; CHILL'!185:185,"AAAAAFf+37E=",0)</f>
        <v>0</v>
      </c>
      <c r="FW252" t="e">
        <f>AND('STERLING CATALOG - FZN &amp; CHILL'!A185,"AAAAAFf+37I=")</f>
        <v>#VALUE!</v>
      </c>
      <c r="FX252" t="e">
        <f>AND('STERLING CATALOG - FZN &amp; CHILL'!B185,"AAAAAFf+37M=")</f>
        <v>#VALUE!</v>
      </c>
      <c r="FY252" t="e">
        <f>AND('STERLING CATALOG - FZN &amp; CHILL'!C185,"AAAAAFf+37Q=")</f>
        <v>#VALUE!</v>
      </c>
      <c r="FZ252" t="e">
        <f>AND('STERLING CATALOG - FZN &amp; CHILL'!D185,"AAAAAFf+37U=")</f>
        <v>#VALUE!</v>
      </c>
      <c r="GA252" t="e">
        <f>AND('STERLING CATALOG - FZN &amp; CHILL'!E185,"AAAAAFf+37Y=")</f>
        <v>#VALUE!</v>
      </c>
      <c r="GB252" t="e">
        <f>AND('STERLING CATALOG - FZN &amp; CHILL'!F185,"AAAAAFf+37c=")</f>
        <v>#VALUE!</v>
      </c>
      <c r="GC252" t="e">
        <f>AND('STERLING CATALOG - FZN &amp; CHILL'!G185,"AAAAAFf+37g=")</f>
        <v>#VALUE!</v>
      </c>
      <c r="GD252" t="e">
        <f>AND('STERLING CATALOG - FZN &amp; CHILL'!H185,"AAAAAFf+37k=")</f>
        <v>#VALUE!</v>
      </c>
      <c r="GE252" t="e">
        <f>AND('STERLING CATALOG - FZN &amp; CHILL'!I185,"AAAAAFf+37o=")</f>
        <v>#VALUE!</v>
      </c>
      <c r="GF252" t="e">
        <f>AND('STERLING CATALOG - FZN &amp; CHILL'!J185,"AAAAAFf+37s=")</f>
        <v>#VALUE!</v>
      </c>
      <c r="GG252">
        <f>IF('STERLING CATALOG - FZN &amp; CHILL'!186:186,"AAAAAFf+37w=",0)</f>
        <v>0</v>
      </c>
      <c r="GH252" t="e">
        <f>AND('STERLING CATALOG - FZN &amp; CHILL'!A186,"AAAAAFf+370=")</f>
        <v>#VALUE!</v>
      </c>
      <c r="GI252" t="e">
        <f>AND('STERLING CATALOG - FZN &amp; CHILL'!B186,"AAAAAFf+374=")</f>
        <v>#VALUE!</v>
      </c>
      <c r="GJ252" t="e">
        <f>AND('STERLING CATALOG - FZN &amp; CHILL'!C186,"AAAAAFf+378=")</f>
        <v>#VALUE!</v>
      </c>
      <c r="GK252" t="e">
        <f>AND('STERLING CATALOG - FZN &amp; CHILL'!D186,"AAAAAFf+38A=")</f>
        <v>#VALUE!</v>
      </c>
      <c r="GL252" t="e">
        <f>AND('STERLING CATALOG - FZN &amp; CHILL'!E186,"AAAAAFf+38E=")</f>
        <v>#VALUE!</v>
      </c>
      <c r="GM252" t="e">
        <f>AND('STERLING CATALOG - FZN &amp; CHILL'!F186,"AAAAAFf+38I=")</f>
        <v>#VALUE!</v>
      </c>
      <c r="GN252" t="e">
        <f>AND('STERLING CATALOG - FZN &amp; CHILL'!G186,"AAAAAFf+38M=")</f>
        <v>#VALUE!</v>
      </c>
      <c r="GO252" t="e">
        <f>AND('STERLING CATALOG - FZN &amp; CHILL'!H186,"AAAAAFf+38Q=")</f>
        <v>#VALUE!</v>
      </c>
      <c r="GP252" t="e">
        <f>AND('STERLING CATALOG - FZN &amp; CHILL'!I186,"AAAAAFf+38U=")</f>
        <v>#VALUE!</v>
      </c>
      <c r="GQ252" t="e">
        <f>AND('STERLING CATALOG - FZN &amp; CHILL'!J186,"AAAAAFf+38Y=")</f>
        <v>#VALUE!</v>
      </c>
      <c r="GR252">
        <f>IF('STERLING CATALOG - FZN &amp; CHILL'!187:187,"AAAAAFf+38c=",0)</f>
        <v>0</v>
      </c>
      <c r="GS252" t="e">
        <f>AND('STERLING CATALOG - FZN &amp; CHILL'!A187,"AAAAAFf+38g=")</f>
        <v>#VALUE!</v>
      </c>
      <c r="GT252" t="e">
        <f>AND('STERLING CATALOG - FZN &amp; CHILL'!B187,"AAAAAFf+38k=")</f>
        <v>#VALUE!</v>
      </c>
      <c r="GU252" t="e">
        <f>AND('STERLING CATALOG - FZN &amp; CHILL'!C187,"AAAAAFf+38o=")</f>
        <v>#VALUE!</v>
      </c>
      <c r="GV252" t="e">
        <f>AND('STERLING CATALOG - FZN &amp; CHILL'!D187,"AAAAAFf+38s=")</f>
        <v>#VALUE!</v>
      </c>
      <c r="GW252" t="e">
        <f>AND('STERLING CATALOG - FZN &amp; CHILL'!E187,"AAAAAFf+38w=")</f>
        <v>#VALUE!</v>
      </c>
      <c r="GX252" t="e">
        <f>AND('STERLING CATALOG - FZN &amp; CHILL'!F187,"AAAAAFf+380=")</f>
        <v>#VALUE!</v>
      </c>
      <c r="GY252" t="e">
        <f>AND('STERLING CATALOG - FZN &amp; CHILL'!G187,"AAAAAFf+384=")</f>
        <v>#VALUE!</v>
      </c>
      <c r="GZ252" t="e">
        <f>AND('STERLING CATALOG - FZN &amp; CHILL'!H187,"AAAAAFf+388=")</f>
        <v>#VALUE!</v>
      </c>
      <c r="HA252" t="e">
        <f>AND('STERLING CATALOG - FZN &amp; CHILL'!I187,"AAAAAFf+39A=")</f>
        <v>#VALUE!</v>
      </c>
      <c r="HB252" t="e">
        <f>AND('STERLING CATALOG - FZN &amp; CHILL'!J187,"AAAAAFf+39E=")</f>
        <v>#VALUE!</v>
      </c>
      <c r="HC252">
        <f>IF('STERLING CATALOG - FZN &amp; CHILL'!188:188,"AAAAAFf+39I=",0)</f>
        <v>0</v>
      </c>
      <c r="HD252" t="e">
        <f>AND('STERLING CATALOG - FZN &amp; CHILL'!A188,"AAAAAFf+39M=")</f>
        <v>#VALUE!</v>
      </c>
      <c r="HE252" t="e">
        <f>AND('STERLING CATALOG - FZN &amp; CHILL'!B188,"AAAAAFf+39Q=")</f>
        <v>#VALUE!</v>
      </c>
      <c r="HF252" t="e">
        <f>AND('STERLING CATALOG - FZN &amp; CHILL'!C188,"AAAAAFf+39U=")</f>
        <v>#VALUE!</v>
      </c>
      <c r="HG252" t="e">
        <f>AND('STERLING CATALOG - FZN &amp; CHILL'!D188,"AAAAAFf+39Y=")</f>
        <v>#VALUE!</v>
      </c>
      <c r="HH252" t="e">
        <f>AND('STERLING CATALOG - FZN &amp; CHILL'!E188,"AAAAAFf+39c=")</f>
        <v>#VALUE!</v>
      </c>
      <c r="HI252" t="e">
        <f>AND('STERLING CATALOG - FZN &amp; CHILL'!F188,"AAAAAFf+39g=")</f>
        <v>#VALUE!</v>
      </c>
      <c r="HJ252" t="e">
        <f>AND('STERLING CATALOG - FZN &amp; CHILL'!G188,"AAAAAFf+39k=")</f>
        <v>#VALUE!</v>
      </c>
      <c r="HK252" t="e">
        <f>AND('STERLING CATALOG - FZN &amp; CHILL'!H188,"AAAAAFf+39o=")</f>
        <v>#VALUE!</v>
      </c>
      <c r="HL252" t="e">
        <f>AND('STERLING CATALOG - FZN &amp; CHILL'!I188,"AAAAAFf+39s=")</f>
        <v>#VALUE!</v>
      </c>
      <c r="HM252" t="e">
        <f>AND('STERLING CATALOG - FZN &amp; CHILL'!J188,"AAAAAFf+39w=")</f>
        <v>#VALUE!</v>
      </c>
      <c r="HN252">
        <f>IF('STERLING CATALOG - FZN &amp; CHILL'!189:189,"AAAAAFf+390=",0)</f>
        <v>0</v>
      </c>
      <c r="HO252" t="e">
        <f>AND('STERLING CATALOG - FZN &amp; CHILL'!A189,"AAAAAFf+394=")</f>
        <v>#VALUE!</v>
      </c>
      <c r="HP252" t="e">
        <f>AND('STERLING CATALOG - FZN &amp; CHILL'!B189,"AAAAAFf+398=")</f>
        <v>#VALUE!</v>
      </c>
      <c r="HQ252" t="e">
        <f>AND('STERLING CATALOG - FZN &amp; CHILL'!C189,"AAAAAFf+3+A=")</f>
        <v>#VALUE!</v>
      </c>
      <c r="HR252" t="e">
        <f>AND('STERLING CATALOG - FZN &amp; CHILL'!D189,"AAAAAFf+3+E=")</f>
        <v>#VALUE!</v>
      </c>
      <c r="HS252" t="e">
        <f>AND('STERLING CATALOG - FZN &amp; CHILL'!E189,"AAAAAFf+3+I=")</f>
        <v>#VALUE!</v>
      </c>
      <c r="HT252" t="e">
        <f>AND('STERLING CATALOG - FZN &amp; CHILL'!F189,"AAAAAFf+3+M=")</f>
        <v>#VALUE!</v>
      </c>
      <c r="HU252" t="e">
        <f>AND('STERLING CATALOG - FZN &amp; CHILL'!G189,"AAAAAFf+3+Q=")</f>
        <v>#VALUE!</v>
      </c>
      <c r="HV252" t="e">
        <f>AND('STERLING CATALOG - FZN &amp; CHILL'!H189,"AAAAAFf+3+U=")</f>
        <v>#VALUE!</v>
      </c>
      <c r="HW252" t="e">
        <f>AND('STERLING CATALOG - FZN &amp; CHILL'!I189,"AAAAAFf+3+Y=")</f>
        <v>#VALUE!</v>
      </c>
      <c r="HX252" t="e">
        <f>AND('STERLING CATALOG - FZN &amp; CHILL'!J189,"AAAAAFf+3+c=")</f>
        <v>#VALUE!</v>
      </c>
      <c r="HY252">
        <f>IF('STERLING CATALOG - FZN &amp; CHILL'!190:190,"AAAAAFf+3+g=",0)</f>
        <v>0</v>
      </c>
      <c r="HZ252" t="e">
        <f>AND('STERLING CATALOG - FZN &amp; CHILL'!A190,"AAAAAFf+3+k=")</f>
        <v>#VALUE!</v>
      </c>
      <c r="IA252" t="e">
        <f>AND('STERLING CATALOG - FZN &amp; CHILL'!B190,"AAAAAFf+3+o=")</f>
        <v>#VALUE!</v>
      </c>
      <c r="IB252" t="e">
        <f>AND('STERLING CATALOG - FZN &amp; CHILL'!C190,"AAAAAFf+3+s=")</f>
        <v>#VALUE!</v>
      </c>
      <c r="IC252" t="e">
        <f>AND('STERLING CATALOG - FZN &amp; CHILL'!D190,"AAAAAFf+3+w=")</f>
        <v>#VALUE!</v>
      </c>
      <c r="ID252" t="e">
        <f>AND('STERLING CATALOG - FZN &amp; CHILL'!E190,"AAAAAFf+3+0=")</f>
        <v>#VALUE!</v>
      </c>
      <c r="IE252" t="e">
        <f>AND('STERLING CATALOG - FZN &amp; CHILL'!F190,"AAAAAFf+3+4=")</f>
        <v>#VALUE!</v>
      </c>
      <c r="IF252" t="e">
        <f>AND('STERLING CATALOG - FZN &amp; CHILL'!G190,"AAAAAFf+3+8=")</f>
        <v>#VALUE!</v>
      </c>
      <c r="IG252" t="e">
        <f>AND('STERLING CATALOG - FZN &amp; CHILL'!H190,"AAAAAFf+3/A=")</f>
        <v>#VALUE!</v>
      </c>
      <c r="IH252" t="e">
        <f>AND('STERLING CATALOG - FZN &amp; CHILL'!I190,"AAAAAFf+3/E=")</f>
        <v>#VALUE!</v>
      </c>
      <c r="II252" t="e">
        <f>AND('STERLING CATALOG - FZN &amp; CHILL'!J190,"AAAAAFf+3/I=")</f>
        <v>#VALUE!</v>
      </c>
      <c r="IJ252">
        <f>IF('STERLING CATALOG - FZN &amp; CHILL'!191:191,"AAAAAFf+3/M=",0)</f>
        <v>0</v>
      </c>
      <c r="IK252" t="e">
        <f>AND('STERLING CATALOG - FZN &amp; CHILL'!A191,"AAAAAFf+3/Q=")</f>
        <v>#VALUE!</v>
      </c>
      <c r="IL252" t="e">
        <f>AND('STERLING CATALOG - FZN &amp; CHILL'!B191,"AAAAAFf+3/U=")</f>
        <v>#VALUE!</v>
      </c>
      <c r="IM252" t="e">
        <f>AND('STERLING CATALOG - FZN &amp; CHILL'!C191,"AAAAAFf+3/Y=")</f>
        <v>#VALUE!</v>
      </c>
      <c r="IN252" t="e">
        <f>AND('STERLING CATALOG - FZN &amp; CHILL'!D191,"AAAAAFf+3/c=")</f>
        <v>#VALUE!</v>
      </c>
      <c r="IO252" t="e">
        <f>AND('STERLING CATALOG - FZN &amp; CHILL'!E191,"AAAAAFf+3/g=")</f>
        <v>#VALUE!</v>
      </c>
      <c r="IP252" t="e">
        <f>AND('STERLING CATALOG - FZN &amp; CHILL'!F191,"AAAAAFf+3/k=")</f>
        <v>#VALUE!</v>
      </c>
      <c r="IQ252" t="e">
        <f>AND('STERLING CATALOG - FZN &amp; CHILL'!G191,"AAAAAFf+3/o=")</f>
        <v>#VALUE!</v>
      </c>
      <c r="IR252" t="e">
        <f>AND('STERLING CATALOG - FZN &amp; CHILL'!H191,"AAAAAFf+3/s=")</f>
        <v>#VALUE!</v>
      </c>
      <c r="IS252" t="e">
        <f>AND('STERLING CATALOG - FZN &amp; CHILL'!I191,"AAAAAFf+3/w=")</f>
        <v>#VALUE!</v>
      </c>
      <c r="IT252" t="e">
        <f>AND('STERLING CATALOG - FZN &amp; CHILL'!J191,"AAAAAFf+3/0=")</f>
        <v>#VALUE!</v>
      </c>
      <c r="IU252">
        <f>IF('STERLING CATALOG - FZN &amp; CHILL'!192:192,"AAAAAFf+3/4=",0)</f>
        <v>0</v>
      </c>
      <c r="IV252" t="e">
        <f>AND('STERLING CATALOG - FZN &amp; CHILL'!A192,"AAAAAFf+3/8=")</f>
        <v>#VALUE!</v>
      </c>
    </row>
    <row r="253" spans="1:256">
      <c r="A253" t="e">
        <f>AND('STERLING CATALOG - FZN &amp; CHILL'!B192,"AAAAAC7V9wA=")</f>
        <v>#VALUE!</v>
      </c>
      <c r="B253" t="e">
        <f>AND('STERLING CATALOG - FZN &amp; CHILL'!C192,"AAAAAC7V9wE=")</f>
        <v>#VALUE!</v>
      </c>
      <c r="C253" t="e">
        <f>AND('STERLING CATALOG - FZN &amp; CHILL'!D192,"AAAAAC7V9wI=")</f>
        <v>#VALUE!</v>
      </c>
      <c r="D253" t="e">
        <f>AND('STERLING CATALOG - FZN &amp; CHILL'!E192,"AAAAAC7V9wM=")</f>
        <v>#VALUE!</v>
      </c>
      <c r="E253" t="e">
        <f>AND('STERLING CATALOG - FZN &amp; CHILL'!F192,"AAAAAC7V9wQ=")</f>
        <v>#VALUE!</v>
      </c>
      <c r="F253" t="e">
        <f>AND('STERLING CATALOG - FZN &amp; CHILL'!G192,"AAAAAC7V9wU=")</f>
        <v>#VALUE!</v>
      </c>
      <c r="G253" t="e">
        <f>AND('STERLING CATALOG - FZN &amp; CHILL'!H192,"AAAAAC7V9wY=")</f>
        <v>#VALUE!</v>
      </c>
      <c r="H253" t="e">
        <f>AND('STERLING CATALOG - FZN &amp; CHILL'!I192,"AAAAAC7V9wc=")</f>
        <v>#VALUE!</v>
      </c>
      <c r="I253" t="e">
        <f>AND('STERLING CATALOG - FZN &amp; CHILL'!J192,"AAAAAC7V9wg=")</f>
        <v>#VALUE!</v>
      </c>
      <c r="J253" t="e">
        <f>IF('STERLING CATALOG - FZN &amp; CHILL'!193:193,"AAAAAC7V9wk=",0)</f>
        <v>#VALUE!</v>
      </c>
      <c r="K253" t="e">
        <f>AND('STERLING CATALOG - FZN &amp; CHILL'!A193,"AAAAAC7V9wo=")</f>
        <v>#VALUE!</v>
      </c>
      <c r="L253" t="e">
        <f>AND('STERLING CATALOG - FZN &amp; CHILL'!B193,"AAAAAC7V9ws=")</f>
        <v>#VALUE!</v>
      </c>
      <c r="M253" t="e">
        <f>AND('STERLING CATALOG - FZN &amp; CHILL'!C193,"AAAAAC7V9ww=")</f>
        <v>#VALUE!</v>
      </c>
      <c r="N253" t="e">
        <f>AND('STERLING CATALOG - FZN &amp; CHILL'!D193,"AAAAAC7V9w0=")</f>
        <v>#VALUE!</v>
      </c>
      <c r="O253" t="e">
        <f>AND('STERLING CATALOG - FZN &amp; CHILL'!E193,"AAAAAC7V9w4=")</f>
        <v>#VALUE!</v>
      </c>
      <c r="P253" t="e">
        <f>AND('STERLING CATALOG - FZN &amp; CHILL'!F193,"AAAAAC7V9w8=")</f>
        <v>#VALUE!</v>
      </c>
      <c r="Q253" t="e">
        <f>AND('STERLING CATALOG - FZN &amp; CHILL'!G193,"AAAAAC7V9xA=")</f>
        <v>#VALUE!</v>
      </c>
      <c r="R253" t="e">
        <f>AND('STERLING CATALOG - FZN &amp; CHILL'!H193,"AAAAAC7V9xE=")</f>
        <v>#VALUE!</v>
      </c>
      <c r="S253" t="e">
        <f>AND('STERLING CATALOG - FZN &amp; CHILL'!I193,"AAAAAC7V9xI=")</f>
        <v>#VALUE!</v>
      </c>
      <c r="T253" t="e">
        <f>AND('STERLING CATALOG - FZN &amp; CHILL'!J193,"AAAAAC7V9xM=")</f>
        <v>#VALUE!</v>
      </c>
      <c r="U253">
        <f>IF('STERLING CATALOG - FZN &amp; CHILL'!194:194,"AAAAAC7V9xQ=",0)</f>
        <v>0</v>
      </c>
      <c r="V253" t="e">
        <f>AND('STERLING CATALOG - FZN &amp; CHILL'!A194,"AAAAAC7V9xU=")</f>
        <v>#VALUE!</v>
      </c>
      <c r="W253" t="e">
        <f>AND('STERLING CATALOG - FZN &amp; CHILL'!B194,"AAAAAC7V9xY=")</f>
        <v>#VALUE!</v>
      </c>
      <c r="X253" t="e">
        <f>AND('STERLING CATALOG - FZN &amp; CHILL'!C194,"AAAAAC7V9xc=")</f>
        <v>#VALUE!</v>
      </c>
      <c r="Y253" t="e">
        <f>AND('STERLING CATALOG - FZN &amp; CHILL'!D194,"AAAAAC7V9xg=")</f>
        <v>#VALUE!</v>
      </c>
      <c r="Z253" t="e">
        <f>AND('STERLING CATALOG - FZN &amp; CHILL'!E194,"AAAAAC7V9xk=")</f>
        <v>#VALUE!</v>
      </c>
      <c r="AA253" t="e">
        <f>AND('STERLING CATALOG - FZN &amp; CHILL'!F194,"AAAAAC7V9xo=")</f>
        <v>#VALUE!</v>
      </c>
      <c r="AB253" t="e">
        <f>AND('STERLING CATALOG - FZN &amp; CHILL'!G194,"AAAAAC7V9xs=")</f>
        <v>#VALUE!</v>
      </c>
      <c r="AC253" t="e">
        <f>AND('STERLING CATALOG - FZN &amp; CHILL'!H194,"AAAAAC7V9xw=")</f>
        <v>#VALUE!</v>
      </c>
      <c r="AD253" t="e">
        <f>AND('STERLING CATALOG - FZN &amp; CHILL'!I194,"AAAAAC7V9x0=")</f>
        <v>#VALUE!</v>
      </c>
      <c r="AE253" t="e">
        <f>AND('STERLING CATALOG - FZN &amp; CHILL'!J194,"AAAAAC7V9x4=")</f>
        <v>#VALUE!</v>
      </c>
      <c r="AF253">
        <f>IF('STERLING CATALOG - FZN &amp; CHILL'!195:195,"AAAAAC7V9x8=",0)</f>
        <v>0</v>
      </c>
      <c r="AG253" t="e">
        <f>AND('STERLING CATALOG - FZN &amp; CHILL'!A195,"AAAAAC7V9yA=")</f>
        <v>#VALUE!</v>
      </c>
      <c r="AH253" t="e">
        <f>AND('STERLING CATALOG - FZN &amp; CHILL'!B195,"AAAAAC7V9yE=")</f>
        <v>#VALUE!</v>
      </c>
      <c r="AI253" t="e">
        <f>AND('STERLING CATALOG - FZN &amp; CHILL'!C195,"AAAAAC7V9yI=")</f>
        <v>#VALUE!</v>
      </c>
      <c r="AJ253" t="e">
        <f>AND('STERLING CATALOG - FZN &amp; CHILL'!D195,"AAAAAC7V9yM=")</f>
        <v>#VALUE!</v>
      </c>
      <c r="AK253" t="e">
        <f>AND('STERLING CATALOG - FZN &amp; CHILL'!E195,"AAAAAC7V9yQ=")</f>
        <v>#VALUE!</v>
      </c>
      <c r="AL253" t="e">
        <f>AND('STERLING CATALOG - FZN &amp; CHILL'!F195,"AAAAAC7V9yU=")</f>
        <v>#VALUE!</v>
      </c>
      <c r="AM253" t="e">
        <f>AND('STERLING CATALOG - FZN &amp; CHILL'!G195,"AAAAAC7V9yY=")</f>
        <v>#VALUE!</v>
      </c>
      <c r="AN253" t="e">
        <f>AND('STERLING CATALOG - FZN &amp; CHILL'!H195,"AAAAAC7V9yc=")</f>
        <v>#VALUE!</v>
      </c>
      <c r="AO253" t="e">
        <f>AND('STERLING CATALOG - FZN &amp; CHILL'!I195,"AAAAAC7V9yg=")</f>
        <v>#VALUE!</v>
      </c>
      <c r="AP253" t="e">
        <f>AND('STERLING CATALOG - FZN &amp; CHILL'!J195,"AAAAAC7V9yk=")</f>
        <v>#VALUE!</v>
      </c>
      <c r="AQ253">
        <f>IF('STERLING CATALOG - FZN &amp; CHILL'!196:196,"AAAAAC7V9yo=",0)</f>
        <v>0</v>
      </c>
      <c r="AR253" t="e">
        <f>AND('STERLING CATALOG - FZN &amp; CHILL'!A196,"AAAAAC7V9ys=")</f>
        <v>#VALUE!</v>
      </c>
      <c r="AS253" t="e">
        <f>AND('STERLING CATALOG - FZN &amp; CHILL'!B196,"AAAAAC7V9yw=")</f>
        <v>#VALUE!</v>
      </c>
      <c r="AT253" t="e">
        <f>AND('STERLING CATALOG - FZN &amp; CHILL'!C196,"AAAAAC7V9y0=")</f>
        <v>#VALUE!</v>
      </c>
      <c r="AU253" t="e">
        <f>AND('STERLING CATALOG - FZN &amp; CHILL'!D196,"AAAAAC7V9y4=")</f>
        <v>#VALUE!</v>
      </c>
      <c r="AV253" t="e">
        <f>AND('STERLING CATALOG - FZN &amp; CHILL'!E196,"AAAAAC7V9y8=")</f>
        <v>#VALUE!</v>
      </c>
      <c r="AW253" t="e">
        <f>AND('STERLING CATALOG - FZN &amp; CHILL'!F196,"AAAAAC7V9zA=")</f>
        <v>#VALUE!</v>
      </c>
      <c r="AX253" t="e">
        <f>AND('STERLING CATALOG - FZN &amp; CHILL'!G196,"AAAAAC7V9zE=")</f>
        <v>#VALUE!</v>
      </c>
      <c r="AY253" t="e">
        <f>AND('STERLING CATALOG - FZN &amp; CHILL'!H196,"AAAAAC7V9zI=")</f>
        <v>#VALUE!</v>
      </c>
      <c r="AZ253" t="e">
        <f>AND('STERLING CATALOG - FZN &amp; CHILL'!I196,"AAAAAC7V9zM=")</f>
        <v>#VALUE!</v>
      </c>
      <c r="BA253" t="e">
        <f>AND('STERLING CATALOG - FZN &amp; CHILL'!J196,"AAAAAC7V9zQ=")</f>
        <v>#VALUE!</v>
      </c>
      <c r="BB253">
        <f>IF('STERLING CATALOG - FZN &amp; CHILL'!197:197,"AAAAAC7V9zU=",0)</f>
        <v>0</v>
      </c>
      <c r="BC253" t="e">
        <f>AND('STERLING CATALOG - FZN &amp; CHILL'!A197,"AAAAAC7V9zY=")</f>
        <v>#VALUE!</v>
      </c>
      <c r="BD253" t="e">
        <f>AND('STERLING CATALOG - FZN &amp; CHILL'!B197,"AAAAAC7V9zc=")</f>
        <v>#VALUE!</v>
      </c>
      <c r="BE253" t="e">
        <f>AND('STERLING CATALOG - FZN &amp; CHILL'!C197,"AAAAAC7V9zg=")</f>
        <v>#VALUE!</v>
      </c>
      <c r="BF253" t="e">
        <f>AND('STERLING CATALOG - FZN &amp; CHILL'!D197,"AAAAAC7V9zk=")</f>
        <v>#VALUE!</v>
      </c>
      <c r="BG253" t="e">
        <f>AND('STERLING CATALOG - FZN &amp; CHILL'!E197,"AAAAAC7V9zo=")</f>
        <v>#VALUE!</v>
      </c>
      <c r="BH253" t="e">
        <f>AND('STERLING CATALOG - FZN &amp; CHILL'!F197,"AAAAAC7V9zs=")</f>
        <v>#VALUE!</v>
      </c>
      <c r="BI253" t="e">
        <f>AND('STERLING CATALOG - FZN &amp; CHILL'!G197,"AAAAAC7V9zw=")</f>
        <v>#VALUE!</v>
      </c>
      <c r="BJ253" t="e">
        <f>AND('STERLING CATALOG - FZN &amp; CHILL'!H197,"AAAAAC7V9z0=")</f>
        <v>#VALUE!</v>
      </c>
      <c r="BK253" t="e">
        <f>AND('STERLING CATALOG - FZN &amp; CHILL'!I197,"AAAAAC7V9z4=")</f>
        <v>#VALUE!</v>
      </c>
      <c r="BL253" t="e">
        <f>AND('STERLING CATALOG - FZN &amp; CHILL'!J197,"AAAAAC7V9z8=")</f>
        <v>#VALUE!</v>
      </c>
      <c r="BM253">
        <f>IF('STERLING CATALOG - FZN &amp; CHILL'!198:198,"AAAAAC7V90A=",0)</f>
        <v>0</v>
      </c>
      <c r="BN253" t="e">
        <f>AND('STERLING CATALOG - FZN &amp; CHILL'!A198,"AAAAAC7V90E=")</f>
        <v>#VALUE!</v>
      </c>
      <c r="BO253" t="e">
        <f>AND('STERLING CATALOG - FZN &amp; CHILL'!B198,"AAAAAC7V90I=")</f>
        <v>#VALUE!</v>
      </c>
      <c r="BP253" t="e">
        <f>AND('STERLING CATALOG - FZN &amp; CHILL'!C198,"AAAAAC7V90M=")</f>
        <v>#VALUE!</v>
      </c>
      <c r="BQ253" t="e">
        <f>AND('STERLING CATALOG - FZN &amp; CHILL'!D198,"AAAAAC7V90Q=")</f>
        <v>#VALUE!</v>
      </c>
      <c r="BR253" t="e">
        <f>AND('STERLING CATALOG - FZN &amp; CHILL'!E198,"AAAAAC7V90U=")</f>
        <v>#VALUE!</v>
      </c>
      <c r="BS253" t="e">
        <f>AND('STERLING CATALOG - FZN &amp; CHILL'!F198,"AAAAAC7V90Y=")</f>
        <v>#VALUE!</v>
      </c>
      <c r="BT253" t="e">
        <f>AND('STERLING CATALOG - FZN &amp; CHILL'!G198,"AAAAAC7V90c=")</f>
        <v>#VALUE!</v>
      </c>
      <c r="BU253" t="e">
        <f>AND('STERLING CATALOG - FZN &amp; CHILL'!H198,"AAAAAC7V90g=")</f>
        <v>#VALUE!</v>
      </c>
      <c r="BV253" t="e">
        <f>AND('STERLING CATALOG - FZN &amp; CHILL'!I198,"AAAAAC7V90k=")</f>
        <v>#VALUE!</v>
      </c>
      <c r="BW253" t="e">
        <f>AND('STERLING CATALOG - FZN &amp; CHILL'!J198,"AAAAAC7V90o=")</f>
        <v>#VALUE!</v>
      </c>
      <c r="BX253">
        <f>IF('STERLING CATALOG - FZN &amp; CHILL'!199:199,"AAAAAC7V90s=",0)</f>
        <v>0</v>
      </c>
      <c r="BY253" t="e">
        <f>AND('STERLING CATALOG - FZN &amp; CHILL'!A199,"AAAAAC7V90w=")</f>
        <v>#VALUE!</v>
      </c>
      <c r="BZ253" t="e">
        <f>AND('STERLING CATALOG - FZN &amp; CHILL'!B199,"AAAAAC7V900=")</f>
        <v>#VALUE!</v>
      </c>
      <c r="CA253" t="e">
        <f>AND('STERLING CATALOG - FZN &amp; CHILL'!C199,"AAAAAC7V904=")</f>
        <v>#VALUE!</v>
      </c>
      <c r="CB253" t="e">
        <f>AND('STERLING CATALOG - FZN &amp; CHILL'!D199,"AAAAAC7V908=")</f>
        <v>#VALUE!</v>
      </c>
      <c r="CC253" t="e">
        <f>AND('STERLING CATALOG - FZN &amp; CHILL'!E199,"AAAAAC7V91A=")</f>
        <v>#VALUE!</v>
      </c>
      <c r="CD253" t="e">
        <f>AND('STERLING CATALOG - FZN &amp; CHILL'!F199,"AAAAAC7V91E=")</f>
        <v>#VALUE!</v>
      </c>
      <c r="CE253" t="e">
        <f>AND('STERLING CATALOG - FZN &amp; CHILL'!G199,"AAAAAC7V91I=")</f>
        <v>#VALUE!</v>
      </c>
      <c r="CF253" t="e">
        <f>AND('STERLING CATALOG - FZN &amp; CHILL'!H199,"AAAAAC7V91M=")</f>
        <v>#VALUE!</v>
      </c>
      <c r="CG253" t="e">
        <f>AND('STERLING CATALOG - FZN &amp; CHILL'!I199,"AAAAAC7V91Q=")</f>
        <v>#VALUE!</v>
      </c>
      <c r="CH253" t="e">
        <f>AND('STERLING CATALOG - FZN &amp; CHILL'!J199,"AAAAAC7V91U=")</f>
        <v>#VALUE!</v>
      </c>
      <c r="CI253">
        <f>IF('STERLING CATALOG - FZN &amp; CHILL'!200:200,"AAAAAC7V91Y=",0)</f>
        <v>0</v>
      </c>
      <c r="CJ253" t="e">
        <f>AND('STERLING CATALOG - FZN &amp; CHILL'!A200,"AAAAAC7V91c=")</f>
        <v>#VALUE!</v>
      </c>
      <c r="CK253" t="e">
        <f>AND('STERLING CATALOG - FZN &amp; CHILL'!B200,"AAAAAC7V91g=")</f>
        <v>#VALUE!</v>
      </c>
      <c r="CL253" t="e">
        <f>AND('STERLING CATALOG - FZN &amp; CHILL'!C200,"AAAAAC7V91k=")</f>
        <v>#VALUE!</v>
      </c>
      <c r="CM253" t="e">
        <f>AND('STERLING CATALOG - FZN &amp; CHILL'!D200,"AAAAAC7V91o=")</f>
        <v>#VALUE!</v>
      </c>
      <c r="CN253" t="e">
        <f>AND('STERLING CATALOG - FZN &amp; CHILL'!E200,"AAAAAC7V91s=")</f>
        <v>#VALUE!</v>
      </c>
      <c r="CO253" t="e">
        <f>AND('STERLING CATALOG - FZN &amp; CHILL'!F200,"AAAAAC7V91w=")</f>
        <v>#VALUE!</v>
      </c>
      <c r="CP253" t="e">
        <f>AND('STERLING CATALOG - FZN &amp; CHILL'!G200,"AAAAAC7V910=")</f>
        <v>#VALUE!</v>
      </c>
      <c r="CQ253" t="e">
        <f>AND('STERLING CATALOG - FZN &amp; CHILL'!H200,"AAAAAC7V914=")</f>
        <v>#VALUE!</v>
      </c>
      <c r="CR253" t="e">
        <f>AND('STERLING CATALOG - FZN &amp; CHILL'!I200,"AAAAAC7V918=")</f>
        <v>#VALUE!</v>
      </c>
      <c r="CS253" t="e">
        <f>AND('STERLING CATALOG - FZN &amp; CHILL'!J200,"AAAAAC7V92A=")</f>
        <v>#VALUE!</v>
      </c>
      <c r="CT253">
        <f>IF('STERLING CATALOG - FZN &amp; CHILL'!201:201,"AAAAAC7V92E=",0)</f>
        <v>0</v>
      </c>
      <c r="CU253" t="e">
        <f>AND('STERLING CATALOG - FZN &amp; CHILL'!A201,"AAAAAC7V92I=")</f>
        <v>#VALUE!</v>
      </c>
      <c r="CV253" t="e">
        <f>AND('STERLING CATALOG - FZN &amp; CHILL'!B201,"AAAAAC7V92M=")</f>
        <v>#VALUE!</v>
      </c>
      <c r="CW253" t="e">
        <f>AND('STERLING CATALOG - FZN &amp; CHILL'!C201,"AAAAAC7V92Q=")</f>
        <v>#VALUE!</v>
      </c>
      <c r="CX253" t="e">
        <f>AND('STERLING CATALOG - FZN &amp; CHILL'!D201,"AAAAAC7V92U=")</f>
        <v>#VALUE!</v>
      </c>
      <c r="CY253" t="e">
        <f>AND('STERLING CATALOG - FZN &amp; CHILL'!E201,"AAAAAC7V92Y=")</f>
        <v>#VALUE!</v>
      </c>
      <c r="CZ253" t="e">
        <f>AND('STERLING CATALOG - FZN &amp; CHILL'!F201,"AAAAAC7V92c=")</f>
        <v>#VALUE!</v>
      </c>
      <c r="DA253" t="e">
        <f>AND('STERLING CATALOG - FZN &amp; CHILL'!G201,"AAAAAC7V92g=")</f>
        <v>#VALUE!</v>
      </c>
      <c r="DB253" t="e">
        <f>AND('STERLING CATALOG - FZN &amp; CHILL'!H201,"AAAAAC7V92k=")</f>
        <v>#VALUE!</v>
      </c>
      <c r="DC253" t="e">
        <f>AND('STERLING CATALOG - FZN &amp; CHILL'!I201,"AAAAAC7V92o=")</f>
        <v>#VALUE!</v>
      </c>
      <c r="DD253" t="e">
        <f>AND('STERLING CATALOG - FZN &amp; CHILL'!J201,"AAAAAC7V92s=")</f>
        <v>#VALUE!</v>
      </c>
      <c r="DE253">
        <f>IF('STERLING CATALOG - FZN &amp; CHILL'!202:202,"AAAAAC7V92w=",0)</f>
        <v>0</v>
      </c>
      <c r="DF253" t="e">
        <f>AND('STERLING CATALOG - FZN &amp; CHILL'!A202,"AAAAAC7V920=")</f>
        <v>#VALUE!</v>
      </c>
      <c r="DG253" t="e">
        <f>AND('STERLING CATALOG - FZN &amp; CHILL'!B202,"AAAAAC7V924=")</f>
        <v>#VALUE!</v>
      </c>
      <c r="DH253" t="e">
        <f>AND('STERLING CATALOG - FZN &amp; CHILL'!C202,"AAAAAC7V928=")</f>
        <v>#VALUE!</v>
      </c>
      <c r="DI253" t="e">
        <f>AND('STERLING CATALOG - FZN &amp; CHILL'!D202,"AAAAAC7V93A=")</f>
        <v>#VALUE!</v>
      </c>
      <c r="DJ253" t="e">
        <f>AND('STERLING CATALOG - FZN &amp; CHILL'!E202,"AAAAAC7V93E=")</f>
        <v>#VALUE!</v>
      </c>
      <c r="DK253" t="e">
        <f>AND('STERLING CATALOG - FZN &amp; CHILL'!F202,"AAAAAC7V93I=")</f>
        <v>#VALUE!</v>
      </c>
      <c r="DL253" t="e">
        <f>AND('STERLING CATALOG - FZN &amp; CHILL'!G202,"AAAAAC7V93M=")</f>
        <v>#VALUE!</v>
      </c>
      <c r="DM253" t="e">
        <f>AND('STERLING CATALOG - FZN &amp; CHILL'!H202,"AAAAAC7V93Q=")</f>
        <v>#VALUE!</v>
      </c>
      <c r="DN253" t="e">
        <f>AND('STERLING CATALOG - FZN &amp; CHILL'!I202,"AAAAAC7V93U=")</f>
        <v>#VALUE!</v>
      </c>
      <c r="DO253" t="e">
        <f>AND('STERLING CATALOG - FZN &amp; CHILL'!J202,"AAAAAC7V93Y=")</f>
        <v>#VALUE!</v>
      </c>
      <c r="DP253">
        <f>IF('STERLING CATALOG - FZN &amp; CHILL'!203:203,"AAAAAC7V93c=",0)</f>
        <v>0</v>
      </c>
      <c r="DQ253" t="e">
        <f>AND('STERLING CATALOG - FZN &amp; CHILL'!A203,"AAAAAC7V93g=")</f>
        <v>#VALUE!</v>
      </c>
      <c r="DR253" t="e">
        <f>AND('STERLING CATALOG - FZN &amp; CHILL'!B203,"AAAAAC7V93k=")</f>
        <v>#VALUE!</v>
      </c>
      <c r="DS253" t="e">
        <f>AND('STERLING CATALOG - FZN &amp; CHILL'!C203,"AAAAAC7V93o=")</f>
        <v>#VALUE!</v>
      </c>
      <c r="DT253" t="e">
        <f>AND('STERLING CATALOG - FZN &amp; CHILL'!D203,"AAAAAC7V93s=")</f>
        <v>#VALUE!</v>
      </c>
      <c r="DU253" t="e">
        <f>AND('STERLING CATALOG - FZN &amp; CHILL'!E203,"AAAAAC7V93w=")</f>
        <v>#VALUE!</v>
      </c>
      <c r="DV253" t="e">
        <f>AND('STERLING CATALOG - FZN &amp; CHILL'!F203,"AAAAAC7V930=")</f>
        <v>#VALUE!</v>
      </c>
      <c r="DW253" t="e">
        <f>AND('STERLING CATALOG - FZN &amp; CHILL'!G203,"AAAAAC7V934=")</f>
        <v>#VALUE!</v>
      </c>
      <c r="DX253" t="e">
        <f>AND('STERLING CATALOG - FZN &amp; CHILL'!H203,"AAAAAC7V938=")</f>
        <v>#VALUE!</v>
      </c>
      <c r="DY253" t="e">
        <f>AND('STERLING CATALOG - FZN &amp; CHILL'!I203,"AAAAAC7V94A=")</f>
        <v>#VALUE!</v>
      </c>
      <c r="DZ253" t="e">
        <f>AND('STERLING CATALOG - FZN &amp; CHILL'!J203,"AAAAAC7V94E=")</f>
        <v>#VALUE!</v>
      </c>
      <c r="EA253">
        <f>IF('STERLING CATALOG - FZN &amp; CHILL'!204:204,"AAAAAC7V94I=",0)</f>
        <v>0</v>
      </c>
      <c r="EB253" t="e">
        <f>AND('STERLING CATALOG - FZN &amp; CHILL'!A204,"AAAAAC7V94M=")</f>
        <v>#VALUE!</v>
      </c>
      <c r="EC253" t="e">
        <f>AND('STERLING CATALOG - FZN &amp; CHILL'!B204,"AAAAAC7V94Q=")</f>
        <v>#VALUE!</v>
      </c>
      <c r="ED253" t="e">
        <f>AND('STERLING CATALOG - FZN &amp; CHILL'!C204,"AAAAAC7V94U=")</f>
        <v>#VALUE!</v>
      </c>
      <c r="EE253" t="e">
        <f>AND('STERLING CATALOG - FZN &amp; CHILL'!D204,"AAAAAC7V94Y=")</f>
        <v>#VALUE!</v>
      </c>
      <c r="EF253" t="e">
        <f>AND('STERLING CATALOG - FZN &amp; CHILL'!E204,"AAAAAC7V94c=")</f>
        <v>#VALUE!</v>
      </c>
      <c r="EG253" t="e">
        <f>AND('STERLING CATALOG - FZN &amp; CHILL'!F204,"AAAAAC7V94g=")</f>
        <v>#VALUE!</v>
      </c>
      <c r="EH253" t="e">
        <f>AND('STERLING CATALOG - FZN &amp; CHILL'!G204,"AAAAAC7V94k=")</f>
        <v>#VALUE!</v>
      </c>
      <c r="EI253" t="e">
        <f>AND('STERLING CATALOG - FZN &amp; CHILL'!H204,"AAAAAC7V94o=")</f>
        <v>#VALUE!</v>
      </c>
      <c r="EJ253" t="e">
        <f>AND('STERLING CATALOG - FZN &amp; CHILL'!I204,"AAAAAC7V94s=")</f>
        <v>#VALUE!</v>
      </c>
      <c r="EK253" t="e">
        <f>AND('STERLING CATALOG - FZN &amp; CHILL'!J204,"AAAAAC7V94w=")</f>
        <v>#VALUE!</v>
      </c>
      <c r="EL253">
        <f>IF('STERLING CATALOG - FZN &amp; CHILL'!205:205,"AAAAAC7V940=",0)</f>
        <v>0</v>
      </c>
      <c r="EM253" t="e">
        <f>AND('STERLING CATALOG - FZN &amp; CHILL'!A205,"AAAAAC7V944=")</f>
        <v>#VALUE!</v>
      </c>
      <c r="EN253" t="e">
        <f>AND('STERLING CATALOG - FZN &amp; CHILL'!B205,"AAAAAC7V948=")</f>
        <v>#VALUE!</v>
      </c>
      <c r="EO253" t="e">
        <f>AND('STERLING CATALOG - FZN &amp; CHILL'!C205,"AAAAAC7V95A=")</f>
        <v>#VALUE!</v>
      </c>
      <c r="EP253" t="e">
        <f>AND('STERLING CATALOG - FZN &amp; CHILL'!D205,"AAAAAC7V95E=")</f>
        <v>#VALUE!</v>
      </c>
      <c r="EQ253" t="e">
        <f>AND('STERLING CATALOG - FZN &amp; CHILL'!E205,"AAAAAC7V95I=")</f>
        <v>#VALUE!</v>
      </c>
      <c r="ER253" t="e">
        <f>AND('STERLING CATALOG - FZN &amp; CHILL'!F205,"AAAAAC7V95M=")</f>
        <v>#VALUE!</v>
      </c>
      <c r="ES253" t="e">
        <f>AND('STERLING CATALOG - FZN &amp; CHILL'!G205,"AAAAAC7V95Q=")</f>
        <v>#VALUE!</v>
      </c>
      <c r="ET253" t="e">
        <f>AND('STERLING CATALOG - FZN &amp; CHILL'!H205,"AAAAAC7V95U=")</f>
        <v>#VALUE!</v>
      </c>
      <c r="EU253" t="e">
        <f>AND('STERLING CATALOG - FZN &amp; CHILL'!I205,"AAAAAC7V95Y=")</f>
        <v>#VALUE!</v>
      </c>
      <c r="EV253" t="e">
        <f>AND('STERLING CATALOG - FZN &amp; CHILL'!J205,"AAAAAC7V95c=")</f>
        <v>#VALUE!</v>
      </c>
      <c r="EW253">
        <f>IF('STERLING CATALOG - FZN &amp; CHILL'!206:206,"AAAAAC7V95g=",0)</f>
        <v>0</v>
      </c>
      <c r="EX253" t="e">
        <f>AND('STERLING CATALOG - FZN &amp; CHILL'!A206,"AAAAAC7V95k=")</f>
        <v>#VALUE!</v>
      </c>
      <c r="EY253" t="e">
        <f>AND('STERLING CATALOG - FZN &amp; CHILL'!B206,"AAAAAC7V95o=")</f>
        <v>#VALUE!</v>
      </c>
      <c r="EZ253" t="e">
        <f>AND('STERLING CATALOG - FZN &amp; CHILL'!C206,"AAAAAC7V95s=")</f>
        <v>#VALUE!</v>
      </c>
      <c r="FA253" t="e">
        <f>AND('STERLING CATALOG - FZN &amp; CHILL'!D206,"AAAAAC7V95w=")</f>
        <v>#VALUE!</v>
      </c>
      <c r="FB253" t="e">
        <f>AND('STERLING CATALOG - FZN &amp; CHILL'!E206,"AAAAAC7V950=")</f>
        <v>#VALUE!</v>
      </c>
      <c r="FC253" t="e">
        <f>AND('STERLING CATALOG - FZN &amp; CHILL'!F206,"AAAAAC7V954=")</f>
        <v>#VALUE!</v>
      </c>
      <c r="FD253" t="e">
        <f>AND('STERLING CATALOG - FZN &amp; CHILL'!G206,"AAAAAC7V958=")</f>
        <v>#VALUE!</v>
      </c>
      <c r="FE253" t="e">
        <f>AND('STERLING CATALOG - FZN &amp; CHILL'!H206,"AAAAAC7V96A=")</f>
        <v>#VALUE!</v>
      </c>
      <c r="FF253" t="e">
        <f>AND('STERLING CATALOG - FZN &amp; CHILL'!I206,"AAAAAC7V96E=")</f>
        <v>#VALUE!</v>
      </c>
      <c r="FG253" t="e">
        <f>AND('STERLING CATALOG - FZN &amp; CHILL'!J206,"AAAAAC7V96I=")</f>
        <v>#VALUE!</v>
      </c>
      <c r="FH253">
        <f>IF('STERLING CATALOG - FZN &amp; CHILL'!207:207,"AAAAAC7V96M=",0)</f>
        <v>0</v>
      </c>
      <c r="FI253" t="e">
        <f>AND('STERLING CATALOG - FZN &amp; CHILL'!A207,"AAAAAC7V96Q=")</f>
        <v>#VALUE!</v>
      </c>
      <c r="FJ253" t="e">
        <f>AND('STERLING CATALOG - FZN &amp; CHILL'!B207,"AAAAAC7V96U=")</f>
        <v>#VALUE!</v>
      </c>
      <c r="FK253" t="e">
        <f>AND('STERLING CATALOG - FZN &amp; CHILL'!C207,"AAAAAC7V96Y=")</f>
        <v>#VALUE!</v>
      </c>
      <c r="FL253" t="e">
        <f>AND('STERLING CATALOG - FZN &amp; CHILL'!D207,"AAAAAC7V96c=")</f>
        <v>#VALUE!</v>
      </c>
      <c r="FM253" t="e">
        <f>AND('STERLING CATALOG - FZN &amp; CHILL'!E207,"AAAAAC7V96g=")</f>
        <v>#VALUE!</v>
      </c>
      <c r="FN253" t="e">
        <f>AND('STERLING CATALOG - FZN &amp; CHILL'!F207,"AAAAAC7V96k=")</f>
        <v>#VALUE!</v>
      </c>
      <c r="FO253" t="e">
        <f>AND('STERLING CATALOG - FZN &amp; CHILL'!G207,"AAAAAC7V96o=")</f>
        <v>#VALUE!</v>
      </c>
      <c r="FP253" t="e">
        <f>AND('STERLING CATALOG - FZN &amp; CHILL'!H207,"AAAAAC7V96s=")</f>
        <v>#VALUE!</v>
      </c>
      <c r="FQ253" t="e">
        <f>AND('STERLING CATALOG - FZN &amp; CHILL'!I207,"AAAAAC7V96w=")</f>
        <v>#VALUE!</v>
      </c>
      <c r="FR253" t="e">
        <f>AND('STERLING CATALOG - FZN &amp; CHILL'!J207,"AAAAAC7V960=")</f>
        <v>#VALUE!</v>
      </c>
      <c r="FS253">
        <f>IF('STERLING CATALOG - FZN &amp; CHILL'!208:208,"AAAAAC7V964=",0)</f>
        <v>0</v>
      </c>
      <c r="FT253" t="e">
        <f>AND('STERLING CATALOG - FZN &amp; CHILL'!A208,"AAAAAC7V968=")</f>
        <v>#VALUE!</v>
      </c>
      <c r="FU253" t="e">
        <f>AND('STERLING CATALOG - FZN &amp; CHILL'!B208,"AAAAAC7V97A=")</f>
        <v>#VALUE!</v>
      </c>
      <c r="FV253" t="e">
        <f>AND('STERLING CATALOG - FZN &amp; CHILL'!C208,"AAAAAC7V97E=")</f>
        <v>#VALUE!</v>
      </c>
      <c r="FW253" t="e">
        <f>AND('STERLING CATALOG - FZN &amp; CHILL'!D208,"AAAAAC7V97I=")</f>
        <v>#VALUE!</v>
      </c>
      <c r="FX253" t="e">
        <f>AND('STERLING CATALOG - FZN &amp; CHILL'!E208,"AAAAAC7V97M=")</f>
        <v>#VALUE!</v>
      </c>
      <c r="FY253" t="e">
        <f>AND('STERLING CATALOG - FZN &amp; CHILL'!F208,"AAAAAC7V97Q=")</f>
        <v>#VALUE!</v>
      </c>
      <c r="FZ253" t="e">
        <f>AND('STERLING CATALOG - FZN &amp; CHILL'!G208,"AAAAAC7V97U=")</f>
        <v>#VALUE!</v>
      </c>
      <c r="GA253" t="e">
        <f>AND('STERLING CATALOG - FZN &amp; CHILL'!H208,"AAAAAC7V97Y=")</f>
        <v>#VALUE!</v>
      </c>
      <c r="GB253" t="e">
        <f>AND('STERLING CATALOG - FZN &amp; CHILL'!I208,"AAAAAC7V97c=")</f>
        <v>#VALUE!</v>
      </c>
      <c r="GC253" t="e">
        <f>AND('STERLING CATALOG - FZN &amp; CHILL'!J208,"AAAAAC7V97g=")</f>
        <v>#VALUE!</v>
      </c>
      <c r="GD253">
        <f>IF('STERLING CATALOG - FZN &amp; CHILL'!209:209,"AAAAAC7V97k=",0)</f>
        <v>0</v>
      </c>
      <c r="GE253" t="e">
        <f>AND('STERLING CATALOG - FZN &amp; CHILL'!A209,"AAAAAC7V97o=")</f>
        <v>#VALUE!</v>
      </c>
      <c r="GF253" t="e">
        <f>AND('STERLING CATALOG - FZN &amp; CHILL'!B209,"AAAAAC7V97s=")</f>
        <v>#VALUE!</v>
      </c>
      <c r="GG253" t="e">
        <f>AND('STERLING CATALOG - FZN &amp; CHILL'!C209,"AAAAAC7V97w=")</f>
        <v>#VALUE!</v>
      </c>
      <c r="GH253" t="e">
        <f>AND('STERLING CATALOG - FZN &amp; CHILL'!D209,"AAAAAC7V970=")</f>
        <v>#VALUE!</v>
      </c>
      <c r="GI253" t="e">
        <f>AND('STERLING CATALOG - FZN &amp; CHILL'!E209,"AAAAAC7V974=")</f>
        <v>#VALUE!</v>
      </c>
      <c r="GJ253" t="e">
        <f>AND('STERLING CATALOG - FZN &amp; CHILL'!F209,"AAAAAC7V978=")</f>
        <v>#VALUE!</v>
      </c>
      <c r="GK253" t="e">
        <f>AND('STERLING CATALOG - FZN &amp; CHILL'!G209,"AAAAAC7V98A=")</f>
        <v>#VALUE!</v>
      </c>
      <c r="GL253" t="e">
        <f>AND('STERLING CATALOG - FZN &amp; CHILL'!H209,"AAAAAC7V98E=")</f>
        <v>#VALUE!</v>
      </c>
      <c r="GM253" t="e">
        <f>AND('STERLING CATALOG - FZN &amp; CHILL'!I209,"AAAAAC7V98I=")</f>
        <v>#VALUE!</v>
      </c>
      <c r="GN253" t="e">
        <f>AND('STERLING CATALOG - FZN &amp; CHILL'!J209,"AAAAAC7V98M=")</f>
        <v>#VALUE!</v>
      </c>
      <c r="GO253">
        <f>IF('STERLING CATALOG - FZN &amp; CHILL'!210:210,"AAAAAC7V98Q=",0)</f>
        <v>0</v>
      </c>
      <c r="GP253" t="e">
        <f>AND('STERLING CATALOG - FZN &amp; CHILL'!A210,"AAAAAC7V98U=")</f>
        <v>#VALUE!</v>
      </c>
      <c r="GQ253" t="e">
        <f>AND('STERLING CATALOG - FZN &amp; CHILL'!B210,"AAAAAC7V98Y=")</f>
        <v>#VALUE!</v>
      </c>
      <c r="GR253" t="e">
        <f>AND('STERLING CATALOG - FZN &amp; CHILL'!C210,"AAAAAC7V98c=")</f>
        <v>#VALUE!</v>
      </c>
      <c r="GS253" t="e">
        <f>AND('STERLING CATALOG - FZN &amp; CHILL'!D210,"AAAAAC7V98g=")</f>
        <v>#VALUE!</v>
      </c>
      <c r="GT253" t="e">
        <f>AND('STERLING CATALOG - FZN &amp; CHILL'!E210,"AAAAAC7V98k=")</f>
        <v>#VALUE!</v>
      </c>
      <c r="GU253" t="e">
        <f>AND('STERLING CATALOG - FZN &amp; CHILL'!F210,"AAAAAC7V98o=")</f>
        <v>#VALUE!</v>
      </c>
      <c r="GV253" t="e">
        <f>AND('STERLING CATALOG - FZN &amp; CHILL'!G210,"AAAAAC7V98s=")</f>
        <v>#VALUE!</v>
      </c>
      <c r="GW253" t="e">
        <f>AND('STERLING CATALOG - FZN &amp; CHILL'!H210,"AAAAAC7V98w=")</f>
        <v>#VALUE!</v>
      </c>
      <c r="GX253" t="e">
        <f>AND('STERLING CATALOG - FZN &amp; CHILL'!I210,"AAAAAC7V980=")</f>
        <v>#VALUE!</v>
      </c>
      <c r="GY253" t="e">
        <f>AND('STERLING CATALOG - FZN &amp; CHILL'!J210,"AAAAAC7V984=")</f>
        <v>#VALUE!</v>
      </c>
      <c r="GZ253">
        <f>IF('STERLING CATALOG - FZN &amp; CHILL'!211:211,"AAAAAC7V988=",0)</f>
        <v>0</v>
      </c>
      <c r="HA253" t="e">
        <f>AND('STERLING CATALOG - FZN &amp; CHILL'!A211,"AAAAAC7V99A=")</f>
        <v>#VALUE!</v>
      </c>
      <c r="HB253" t="e">
        <f>AND('STERLING CATALOG - FZN &amp; CHILL'!B211,"AAAAAC7V99E=")</f>
        <v>#VALUE!</v>
      </c>
      <c r="HC253" t="e">
        <f>AND('STERLING CATALOG - FZN &amp; CHILL'!C211,"AAAAAC7V99I=")</f>
        <v>#VALUE!</v>
      </c>
      <c r="HD253" t="e">
        <f>AND('STERLING CATALOG - FZN &amp; CHILL'!D211,"AAAAAC7V99M=")</f>
        <v>#VALUE!</v>
      </c>
      <c r="HE253" t="e">
        <f>AND('STERLING CATALOG - FZN &amp; CHILL'!E211,"AAAAAC7V99Q=")</f>
        <v>#VALUE!</v>
      </c>
      <c r="HF253" t="e">
        <f>AND('STERLING CATALOG - FZN &amp; CHILL'!F211,"AAAAAC7V99U=")</f>
        <v>#VALUE!</v>
      </c>
      <c r="HG253" t="e">
        <f>AND('STERLING CATALOG - FZN &amp; CHILL'!G211,"AAAAAC7V99Y=")</f>
        <v>#VALUE!</v>
      </c>
      <c r="HH253" t="e">
        <f>AND('STERLING CATALOG - FZN &amp; CHILL'!H211,"AAAAAC7V99c=")</f>
        <v>#VALUE!</v>
      </c>
      <c r="HI253" t="e">
        <f>AND('STERLING CATALOG - FZN &amp; CHILL'!I211,"AAAAAC7V99g=")</f>
        <v>#VALUE!</v>
      </c>
      <c r="HJ253" t="e">
        <f>AND('STERLING CATALOG - FZN &amp; CHILL'!J211,"AAAAAC7V99k=")</f>
        <v>#VALUE!</v>
      </c>
      <c r="HK253">
        <f>IF('STERLING CATALOG - FZN &amp; CHILL'!212:212,"AAAAAC7V99o=",0)</f>
        <v>0</v>
      </c>
      <c r="HL253" t="e">
        <f>AND('STERLING CATALOG - FZN &amp; CHILL'!A212,"AAAAAC7V99s=")</f>
        <v>#VALUE!</v>
      </c>
      <c r="HM253" t="e">
        <f>AND('STERLING CATALOG - FZN &amp; CHILL'!B212,"AAAAAC7V99w=")</f>
        <v>#VALUE!</v>
      </c>
      <c r="HN253" t="e">
        <f>AND('STERLING CATALOG - FZN &amp; CHILL'!C212,"AAAAAC7V990=")</f>
        <v>#VALUE!</v>
      </c>
      <c r="HO253" t="e">
        <f>AND('STERLING CATALOG - FZN &amp; CHILL'!D212,"AAAAAC7V994=")</f>
        <v>#VALUE!</v>
      </c>
      <c r="HP253" t="e">
        <f>AND('STERLING CATALOG - FZN &amp; CHILL'!E212,"AAAAAC7V998=")</f>
        <v>#VALUE!</v>
      </c>
      <c r="HQ253" t="e">
        <f>AND('STERLING CATALOG - FZN &amp; CHILL'!F212,"AAAAAC7V9+A=")</f>
        <v>#VALUE!</v>
      </c>
      <c r="HR253" t="e">
        <f>AND('STERLING CATALOG - FZN &amp; CHILL'!G212,"AAAAAC7V9+E=")</f>
        <v>#VALUE!</v>
      </c>
      <c r="HS253" t="e">
        <f>AND('STERLING CATALOG - FZN &amp; CHILL'!H212,"AAAAAC7V9+I=")</f>
        <v>#VALUE!</v>
      </c>
      <c r="HT253" t="e">
        <f>AND('STERLING CATALOG - FZN &amp; CHILL'!I212,"AAAAAC7V9+M=")</f>
        <v>#VALUE!</v>
      </c>
      <c r="HU253" t="e">
        <f>AND('STERLING CATALOG - FZN &amp; CHILL'!J212,"AAAAAC7V9+Q=")</f>
        <v>#VALUE!</v>
      </c>
      <c r="HV253">
        <f>IF('STERLING CATALOG - FZN &amp; CHILL'!213:213,"AAAAAC7V9+U=",0)</f>
        <v>0</v>
      </c>
      <c r="HW253" t="e">
        <f>AND('STERLING CATALOG - FZN &amp; CHILL'!A213,"AAAAAC7V9+Y=")</f>
        <v>#VALUE!</v>
      </c>
      <c r="HX253" t="e">
        <f>AND('STERLING CATALOG - FZN &amp; CHILL'!B213,"AAAAAC7V9+c=")</f>
        <v>#VALUE!</v>
      </c>
      <c r="HY253" t="e">
        <f>AND('STERLING CATALOG - FZN &amp; CHILL'!C213,"AAAAAC7V9+g=")</f>
        <v>#VALUE!</v>
      </c>
      <c r="HZ253" t="e">
        <f>AND('STERLING CATALOG - FZN &amp; CHILL'!D213,"AAAAAC7V9+k=")</f>
        <v>#VALUE!</v>
      </c>
      <c r="IA253" t="e">
        <f>AND('STERLING CATALOG - FZN &amp; CHILL'!E213,"AAAAAC7V9+o=")</f>
        <v>#VALUE!</v>
      </c>
      <c r="IB253" t="e">
        <f>AND('STERLING CATALOG - FZN &amp; CHILL'!F213,"AAAAAC7V9+s=")</f>
        <v>#VALUE!</v>
      </c>
      <c r="IC253" t="e">
        <f>AND('STERLING CATALOG - FZN &amp; CHILL'!G213,"AAAAAC7V9+w=")</f>
        <v>#VALUE!</v>
      </c>
      <c r="ID253" t="e">
        <f>AND('STERLING CATALOG - FZN &amp; CHILL'!H213,"AAAAAC7V9+0=")</f>
        <v>#VALUE!</v>
      </c>
      <c r="IE253" t="e">
        <f>AND('STERLING CATALOG - FZN &amp; CHILL'!I213,"AAAAAC7V9+4=")</f>
        <v>#VALUE!</v>
      </c>
      <c r="IF253" t="e">
        <f>AND('STERLING CATALOG - FZN &amp; CHILL'!J213,"AAAAAC7V9+8=")</f>
        <v>#VALUE!</v>
      </c>
      <c r="IG253">
        <f>IF('STERLING CATALOG - FZN &amp; CHILL'!214:214,"AAAAAC7V9/A=",0)</f>
        <v>0</v>
      </c>
      <c r="IH253" t="e">
        <f>AND('STERLING CATALOG - FZN &amp; CHILL'!A214,"AAAAAC7V9/E=")</f>
        <v>#VALUE!</v>
      </c>
      <c r="II253" t="e">
        <f>AND('STERLING CATALOG - FZN &amp; CHILL'!B214,"AAAAAC7V9/I=")</f>
        <v>#VALUE!</v>
      </c>
      <c r="IJ253" t="e">
        <f>AND('STERLING CATALOG - FZN &amp; CHILL'!C214,"AAAAAC7V9/M=")</f>
        <v>#VALUE!</v>
      </c>
      <c r="IK253" t="e">
        <f>AND('STERLING CATALOG - FZN &amp; CHILL'!D214,"AAAAAC7V9/Q=")</f>
        <v>#VALUE!</v>
      </c>
      <c r="IL253" t="e">
        <f>AND('STERLING CATALOG - FZN &amp; CHILL'!E214,"AAAAAC7V9/U=")</f>
        <v>#VALUE!</v>
      </c>
      <c r="IM253" t="e">
        <f>AND('STERLING CATALOG - FZN &amp; CHILL'!F214,"AAAAAC7V9/Y=")</f>
        <v>#VALUE!</v>
      </c>
      <c r="IN253" t="e">
        <f>AND('STERLING CATALOG - FZN &amp; CHILL'!G214,"AAAAAC7V9/c=")</f>
        <v>#VALUE!</v>
      </c>
      <c r="IO253" t="e">
        <f>AND('STERLING CATALOG - FZN &amp; CHILL'!H214,"AAAAAC7V9/g=")</f>
        <v>#VALUE!</v>
      </c>
      <c r="IP253" t="e">
        <f>AND('STERLING CATALOG - FZN &amp; CHILL'!I214,"AAAAAC7V9/k=")</f>
        <v>#VALUE!</v>
      </c>
      <c r="IQ253" t="e">
        <f>AND('STERLING CATALOG - FZN &amp; CHILL'!J214,"AAAAAC7V9/o=")</f>
        <v>#VALUE!</v>
      </c>
      <c r="IR253">
        <f>IF('STERLING CATALOG - FZN &amp; CHILL'!215:215,"AAAAAC7V9/s=",0)</f>
        <v>0</v>
      </c>
      <c r="IS253" t="e">
        <f>AND('STERLING CATALOG - FZN &amp; CHILL'!A215,"AAAAAC7V9/w=")</f>
        <v>#VALUE!</v>
      </c>
      <c r="IT253" t="e">
        <f>AND('STERLING CATALOG - FZN &amp; CHILL'!B215,"AAAAAC7V9/0=")</f>
        <v>#VALUE!</v>
      </c>
      <c r="IU253" t="e">
        <f>AND('STERLING CATALOG - FZN &amp; CHILL'!C215,"AAAAAC7V9/4=")</f>
        <v>#VALUE!</v>
      </c>
      <c r="IV253" t="e">
        <f>AND('STERLING CATALOG - FZN &amp; CHILL'!D215,"AAAAAC7V9/8=")</f>
        <v>#VALUE!</v>
      </c>
    </row>
    <row r="254" spans="1:256">
      <c r="A254" t="e">
        <f>AND('STERLING CATALOG - FZN &amp; CHILL'!E215,"AAAAAD/f8gA=")</f>
        <v>#VALUE!</v>
      </c>
      <c r="B254" t="e">
        <f>AND('STERLING CATALOG - FZN &amp; CHILL'!F215,"AAAAAD/f8gE=")</f>
        <v>#VALUE!</v>
      </c>
      <c r="C254" t="e">
        <f>AND('STERLING CATALOG - FZN &amp; CHILL'!G215,"AAAAAD/f8gI=")</f>
        <v>#VALUE!</v>
      </c>
      <c r="D254" t="e">
        <f>AND('STERLING CATALOG - FZN &amp; CHILL'!H215,"AAAAAD/f8gM=")</f>
        <v>#VALUE!</v>
      </c>
      <c r="E254" t="e">
        <f>AND('STERLING CATALOG - FZN &amp; CHILL'!I215,"AAAAAD/f8gQ=")</f>
        <v>#VALUE!</v>
      </c>
      <c r="F254" t="e">
        <f>AND('STERLING CATALOG - FZN &amp; CHILL'!J215,"AAAAAD/f8gU=")</f>
        <v>#VALUE!</v>
      </c>
      <c r="G254" t="str">
        <f>IF('STERLING CATALOG - FZN &amp; CHILL'!216:216,"AAAAAD/f8gY=",0)</f>
        <v>AAAAAD/f8gY=</v>
      </c>
      <c r="H254" t="e">
        <f>AND('STERLING CATALOG - FZN &amp; CHILL'!A216,"AAAAAD/f8gc=")</f>
        <v>#VALUE!</v>
      </c>
      <c r="I254" t="e">
        <f>AND('STERLING CATALOG - FZN &amp; CHILL'!B216,"AAAAAD/f8gg=")</f>
        <v>#VALUE!</v>
      </c>
      <c r="J254" t="e">
        <f>AND('STERLING CATALOG - FZN &amp; CHILL'!C216,"AAAAAD/f8gk=")</f>
        <v>#VALUE!</v>
      </c>
      <c r="K254" t="e">
        <f>AND('STERLING CATALOG - FZN &amp; CHILL'!D216,"AAAAAD/f8go=")</f>
        <v>#VALUE!</v>
      </c>
      <c r="L254" t="e">
        <f>AND('STERLING CATALOG - FZN &amp; CHILL'!E216,"AAAAAD/f8gs=")</f>
        <v>#VALUE!</v>
      </c>
      <c r="M254" t="e">
        <f>AND('STERLING CATALOG - FZN &amp; CHILL'!F216,"AAAAAD/f8gw=")</f>
        <v>#VALUE!</v>
      </c>
      <c r="N254" t="e">
        <f>AND('STERLING CATALOG - FZN &amp; CHILL'!G216,"AAAAAD/f8g0=")</f>
        <v>#VALUE!</v>
      </c>
      <c r="O254" t="e">
        <f>AND('STERLING CATALOG - FZN &amp; CHILL'!H216,"AAAAAD/f8g4=")</f>
        <v>#VALUE!</v>
      </c>
      <c r="P254" t="e">
        <f>AND('STERLING CATALOG - FZN &amp; CHILL'!I216,"AAAAAD/f8g8=")</f>
        <v>#VALUE!</v>
      </c>
      <c r="Q254" t="e">
        <f>AND('STERLING CATALOG - FZN &amp; CHILL'!J216,"AAAAAD/f8hA=")</f>
        <v>#VALUE!</v>
      </c>
      <c r="R254">
        <f>IF('STERLING CATALOG - FZN &amp; CHILL'!217:217,"AAAAAD/f8hE=",0)</f>
        <v>0</v>
      </c>
      <c r="S254" t="e">
        <f>AND('STERLING CATALOG - FZN &amp; CHILL'!A217,"AAAAAD/f8hI=")</f>
        <v>#VALUE!</v>
      </c>
      <c r="T254" t="e">
        <f>AND('STERLING CATALOG - FZN &amp; CHILL'!B217,"AAAAAD/f8hM=")</f>
        <v>#VALUE!</v>
      </c>
      <c r="U254" t="e">
        <f>AND('STERLING CATALOG - FZN &amp; CHILL'!C217,"AAAAAD/f8hQ=")</f>
        <v>#VALUE!</v>
      </c>
      <c r="V254" t="e">
        <f>AND('STERLING CATALOG - FZN &amp; CHILL'!D217,"AAAAAD/f8hU=")</f>
        <v>#VALUE!</v>
      </c>
      <c r="W254" t="e">
        <f>AND('STERLING CATALOG - FZN &amp; CHILL'!E217,"AAAAAD/f8hY=")</f>
        <v>#VALUE!</v>
      </c>
      <c r="X254" t="e">
        <f>AND('STERLING CATALOG - FZN &amp; CHILL'!F217,"AAAAAD/f8hc=")</f>
        <v>#VALUE!</v>
      </c>
      <c r="Y254" t="e">
        <f>AND('STERLING CATALOG - FZN &amp; CHILL'!G217,"AAAAAD/f8hg=")</f>
        <v>#VALUE!</v>
      </c>
      <c r="Z254" t="e">
        <f>AND('STERLING CATALOG - FZN &amp; CHILL'!H217,"AAAAAD/f8hk=")</f>
        <v>#VALUE!</v>
      </c>
      <c r="AA254" t="e">
        <f>AND('STERLING CATALOG - FZN &amp; CHILL'!I217,"AAAAAD/f8ho=")</f>
        <v>#VALUE!</v>
      </c>
      <c r="AB254" t="e">
        <f>AND('STERLING CATALOG - FZN &amp; CHILL'!J217,"AAAAAD/f8hs=")</f>
        <v>#VALUE!</v>
      </c>
      <c r="AC254">
        <f>IF('STERLING CATALOG - FZN &amp; CHILL'!218:218,"AAAAAD/f8hw=",0)</f>
        <v>0</v>
      </c>
      <c r="AD254" t="e">
        <f>AND('STERLING CATALOG - FZN &amp; CHILL'!A218,"AAAAAD/f8h0=")</f>
        <v>#VALUE!</v>
      </c>
      <c r="AE254" t="e">
        <f>AND('STERLING CATALOG - FZN &amp; CHILL'!B218,"AAAAAD/f8h4=")</f>
        <v>#VALUE!</v>
      </c>
      <c r="AF254" t="e">
        <f>AND('STERLING CATALOG - FZN &amp; CHILL'!C218,"AAAAAD/f8h8=")</f>
        <v>#VALUE!</v>
      </c>
      <c r="AG254" t="e">
        <f>AND('STERLING CATALOG - FZN &amp; CHILL'!D218,"AAAAAD/f8iA=")</f>
        <v>#VALUE!</v>
      </c>
      <c r="AH254" t="e">
        <f>AND('STERLING CATALOG - FZN &amp; CHILL'!E218,"AAAAAD/f8iE=")</f>
        <v>#VALUE!</v>
      </c>
      <c r="AI254" t="e">
        <f>AND('STERLING CATALOG - FZN &amp; CHILL'!F218,"AAAAAD/f8iI=")</f>
        <v>#VALUE!</v>
      </c>
      <c r="AJ254" t="e">
        <f>AND('STERLING CATALOG - FZN &amp; CHILL'!G218,"AAAAAD/f8iM=")</f>
        <v>#VALUE!</v>
      </c>
      <c r="AK254" t="e">
        <f>AND('STERLING CATALOG - FZN &amp; CHILL'!H218,"AAAAAD/f8iQ=")</f>
        <v>#VALUE!</v>
      </c>
      <c r="AL254" t="e">
        <f>AND('STERLING CATALOG - FZN &amp; CHILL'!I218,"AAAAAD/f8iU=")</f>
        <v>#VALUE!</v>
      </c>
      <c r="AM254" t="e">
        <f>AND('STERLING CATALOG - FZN &amp; CHILL'!J218,"AAAAAD/f8iY=")</f>
        <v>#VALUE!</v>
      </c>
      <c r="AN254">
        <f>IF('STERLING CATALOG - FZN &amp; CHILL'!219:219,"AAAAAD/f8ic=",0)</f>
        <v>0</v>
      </c>
      <c r="AO254" t="e">
        <f>AND('STERLING CATALOG - FZN &amp; CHILL'!A219,"AAAAAD/f8ig=")</f>
        <v>#VALUE!</v>
      </c>
      <c r="AP254" t="e">
        <f>AND('STERLING CATALOG - FZN &amp; CHILL'!B219,"AAAAAD/f8ik=")</f>
        <v>#VALUE!</v>
      </c>
      <c r="AQ254" t="e">
        <f>AND('STERLING CATALOG - FZN &amp; CHILL'!C219,"AAAAAD/f8io=")</f>
        <v>#VALUE!</v>
      </c>
      <c r="AR254" t="e">
        <f>AND('STERLING CATALOG - FZN &amp; CHILL'!D219,"AAAAAD/f8is=")</f>
        <v>#VALUE!</v>
      </c>
      <c r="AS254" t="e">
        <f>AND('STERLING CATALOG - FZN &amp; CHILL'!E219,"AAAAAD/f8iw=")</f>
        <v>#VALUE!</v>
      </c>
      <c r="AT254" t="e">
        <f>AND('STERLING CATALOG - FZN &amp; CHILL'!F219,"AAAAAD/f8i0=")</f>
        <v>#VALUE!</v>
      </c>
      <c r="AU254" t="e">
        <f>AND('STERLING CATALOG - FZN &amp; CHILL'!G219,"AAAAAD/f8i4=")</f>
        <v>#VALUE!</v>
      </c>
      <c r="AV254" t="e">
        <f>AND('STERLING CATALOG - FZN &amp; CHILL'!H219,"AAAAAD/f8i8=")</f>
        <v>#VALUE!</v>
      </c>
      <c r="AW254" t="e">
        <f>AND('STERLING CATALOG - FZN &amp; CHILL'!I219,"AAAAAD/f8jA=")</f>
        <v>#VALUE!</v>
      </c>
      <c r="AX254" t="e">
        <f>AND('STERLING CATALOG - FZN &amp; CHILL'!J219,"AAAAAD/f8jE=")</f>
        <v>#VALUE!</v>
      </c>
      <c r="AY254">
        <f>IF('STERLING CATALOG - FZN &amp; CHILL'!220:220,"AAAAAD/f8jI=",0)</f>
        <v>0</v>
      </c>
      <c r="AZ254" t="e">
        <f>AND('STERLING CATALOG - FZN &amp; CHILL'!A220,"AAAAAD/f8jM=")</f>
        <v>#VALUE!</v>
      </c>
      <c r="BA254" t="e">
        <f>AND('STERLING CATALOG - FZN &amp; CHILL'!B220,"AAAAAD/f8jQ=")</f>
        <v>#VALUE!</v>
      </c>
      <c r="BB254" t="e">
        <f>AND('STERLING CATALOG - FZN &amp; CHILL'!C220,"AAAAAD/f8jU=")</f>
        <v>#VALUE!</v>
      </c>
      <c r="BC254" t="e">
        <f>AND('STERLING CATALOG - FZN &amp; CHILL'!D220,"AAAAAD/f8jY=")</f>
        <v>#VALUE!</v>
      </c>
      <c r="BD254" t="e">
        <f>AND('STERLING CATALOG - FZN &amp; CHILL'!E220,"AAAAAD/f8jc=")</f>
        <v>#VALUE!</v>
      </c>
      <c r="BE254" t="e">
        <f>AND('STERLING CATALOG - FZN &amp; CHILL'!F220,"AAAAAD/f8jg=")</f>
        <v>#VALUE!</v>
      </c>
      <c r="BF254" t="e">
        <f>AND('STERLING CATALOG - FZN &amp; CHILL'!G220,"AAAAAD/f8jk=")</f>
        <v>#VALUE!</v>
      </c>
      <c r="BG254" t="e">
        <f>AND('STERLING CATALOG - FZN &amp; CHILL'!H220,"AAAAAD/f8jo=")</f>
        <v>#VALUE!</v>
      </c>
      <c r="BH254" t="e">
        <f>AND('STERLING CATALOG - FZN &amp; CHILL'!I220,"AAAAAD/f8js=")</f>
        <v>#VALUE!</v>
      </c>
      <c r="BI254" t="e">
        <f>AND('STERLING CATALOG - FZN &amp; CHILL'!J220,"AAAAAD/f8jw=")</f>
        <v>#VALUE!</v>
      </c>
      <c r="BJ254">
        <f>IF('STERLING CATALOG - FZN &amp; CHILL'!221:221,"AAAAAD/f8j0=",0)</f>
        <v>0</v>
      </c>
      <c r="BK254" t="e">
        <f>AND('STERLING CATALOG - FZN &amp; CHILL'!A221,"AAAAAD/f8j4=")</f>
        <v>#VALUE!</v>
      </c>
      <c r="BL254" t="e">
        <f>AND('STERLING CATALOG - FZN &amp; CHILL'!B221,"AAAAAD/f8j8=")</f>
        <v>#VALUE!</v>
      </c>
      <c r="BM254" t="e">
        <f>AND('STERLING CATALOG - FZN &amp; CHILL'!C221,"AAAAAD/f8kA=")</f>
        <v>#VALUE!</v>
      </c>
      <c r="BN254" t="e">
        <f>AND('STERLING CATALOG - FZN &amp; CHILL'!D221,"AAAAAD/f8kE=")</f>
        <v>#VALUE!</v>
      </c>
      <c r="BO254" t="e">
        <f>AND('STERLING CATALOG - FZN &amp; CHILL'!E221,"AAAAAD/f8kI=")</f>
        <v>#VALUE!</v>
      </c>
      <c r="BP254" t="e">
        <f>AND('STERLING CATALOG - FZN &amp; CHILL'!F221,"AAAAAD/f8kM=")</f>
        <v>#VALUE!</v>
      </c>
      <c r="BQ254" t="e">
        <f>AND('STERLING CATALOG - FZN &amp; CHILL'!G221,"AAAAAD/f8kQ=")</f>
        <v>#VALUE!</v>
      </c>
      <c r="BR254" t="e">
        <f>AND('STERLING CATALOG - FZN &amp; CHILL'!H221,"AAAAAD/f8kU=")</f>
        <v>#VALUE!</v>
      </c>
      <c r="BS254" t="e">
        <f>AND('STERLING CATALOG - FZN &amp; CHILL'!I221,"AAAAAD/f8kY=")</f>
        <v>#VALUE!</v>
      </c>
      <c r="BT254" t="e">
        <f>AND('STERLING CATALOG - FZN &amp; CHILL'!J221,"AAAAAD/f8kc=")</f>
        <v>#VALUE!</v>
      </c>
      <c r="BU254">
        <f>IF('STERLING CATALOG - FZN &amp; CHILL'!222:222,"AAAAAD/f8kg=",0)</f>
        <v>0</v>
      </c>
      <c r="BV254" t="e">
        <f>AND('STERLING CATALOG - FZN &amp; CHILL'!A222,"AAAAAD/f8kk=")</f>
        <v>#VALUE!</v>
      </c>
      <c r="BW254" t="e">
        <f>AND('STERLING CATALOG - FZN &amp; CHILL'!B222,"AAAAAD/f8ko=")</f>
        <v>#VALUE!</v>
      </c>
      <c r="BX254" t="e">
        <f>AND('STERLING CATALOG - FZN &amp; CHILL'!C222,"AAAAAD/f8ks=")</f>
        <v>#VALUE!</v>
      </c>
      <c r="BY254" t="e">
        <f>AND('STERLING CATALOG - FZN &amp; CHILL'!D222,"AAAAAD/f8kw=")</f>
        <v>#VALUE!</v>
      </c>
      <c r="BZ254" t="e">
        <f>AND('STERLING CATALOG - FZN &amp; CHILL'!E222,"AAAAAD/f8k0=")</f>
        <v>#VALUE!</v>
      </c>
      <c r="CA254" t="e">
        <f>AND('STERLING CATALOG - FZN &amp; CHILL'!F222,"AAAAAD/f8k4=")</f>
        <v>#VALUE!</v>
      </c>
      <c r="CB254" t="e">
        <f>AND('STERLING CATALOG - FZN &amp; CHILL'!G222,"AAAAAD/f8k8=")</f>
        <v>#VALUE!</v>
      </c>
      <c r="CC254" t="e">
        <f>AND('STERLING CATALOG - FZN &amp; CHILL'!H222,"AAAAAD/f8lA=")</f>
        <v>#VALUE!</v>
      </c>
      <c r="CD254" t="e">
        <f>AND('STERLING CATALOG - FZN &amp; CHILL'!I222,"AAAAAD/f8lE=")</f>
        <v>#VALUE!</v>
      </c>
      <c r="CE254" t="e">
        <f>AND('STERLING CATALOG - FZN &amp; CHILL'!J222,"AAAAAD/f8lI=")</f>
        <v>#VALUE!</v>
      </c>
      <c r="CF254">
        <f>IF('STERLING CATALOG - FZN &amp; CHILL'!223:223,"AAAAAD/f8lM=",0)</f>
        <v>0</v>
      </c>
      <c r="CG254" t="e">
        <f>AND('STERLING CATALOG - FZN &amp; CHILL'!A223,"AAAAAD/f8lQ=")</f>
        <v>#VALUE!</v>
      </c>
      <c r="CH254" t="e">
        <f>AND('STERLING CATALOG - FZN &amp; CHILL'!B223,"AAAAAD/f8lU=")</f>
        <v>#VALUE!</v>
      </c>
      <c r="CI254" t="e">
        <f>AND('STERLING CATALOG - FZN &amp; CHILL'!C223,"AAAAAD/f8lY=")</f>
        <v>#VALUE!</v>
      </c>
      <c r="CJ254" t="e">
        <f>AND('STERLING CATALOG - FZN &amp; CHILL'!D223,"AAAAAD/f8lc=")</f>
        <v>#VALUE!</v>
      </c>
      <c r="CK254" t="e">
        <f>AND('STERLING CATALOG - FZN &amp; CHILL'!E223,"AAAAAD/f8lg=")</f>
        <v>#VALUE!</v>
      </c>
      <c r="CL254" t="e">
        <f>AND('STERLING CATALOG - FZN &amp; CHILL'!F223,"AAAAAD/f8lk=")</f>
        <v>#VALUE!</v>
      </c>
      <c r="CM254" t="e">
        <f>AND('STERLING CATALOG - FZN &amp; CHILL'!G223,"AAAAAD/f8lo=")</f>
        <v>#VALUE!</v>
      </c>
      <c r="CN254" t="e">
        <f>AND('STERLING CATALOG - FZN &amp; CHILL'!H223,"AAAAAD/f8ls=")</f>
        <v>#VALUE!</v>
      </c>
      <c r="CO254" t="e">
        <f>AND('STERLING CATALOG - FZN &amp; CHILL'!I223,"AAAAAD/f8lw=")</f>
        <v>#VALUE!</v>
      </c>
      <c r="CP254" t="e">
        <f>AND('STERLING CATALOG - FZN &amp; CHILL'!J223,"AAAAAD/f8l0=")</f>
        <v>#VALUE!</v>
      </c>
      <c r="CQ254">
        <f>IF('STERLING CATALOG - FZN &amp; CHILL'!224:224,"AAAAAD/f8l4=",0)</f>
        <v>0</v>
      </c>
      <c r="CR254" t="e">
        <f>AND('STERLING CATALOG - FZN &amp; CHILL'!A224,"AAAAAD/f8l8=")</f>
        <v>#VALUE!</v>
      </c>
      <c r="CS254" t="e">
        <f>AND('STERLING CATALOG - FZN &amp; CHILL'!B224,"AAAAAD/f8mA=")</f>
        <v>#VALUE!</v>
      </c>
      <c r="CT254" t="e">
        <f>AND('STERLING CATALOG - FZN &amp; CHILL'!C224,"AAAAAD/f8mE=")</f>
        <v>#VALUE!</v>
      </c>
      <c r="CU254" t="e">
        <f>AND('STERLING CATALOG - FZN &amp; CHILL'!D224,"AAAAAD/f8mI=")</f>
        <v>#VALUE!</v>
      </c>
      <c r="CV254" t="e">
        <f>AND('STERLING CATALOG - FZN &amp; CHILL'!E224,"AAAAAD/f8mM=")</f>
        <v>#VALUE!</v>
      </c>
      <c r="CW254" t="e">
        <f>AND('STERLING CATALOG - FZN &amp; CHILL'!F224,"AAAAAD/f8mQ=")</f>
        <v>#VALUE!</v>
      </c>
      <c r="CX254" t="e">
        <f>AND('STERLING CATALOG - FZN &amp; CHILL'!G224,"AAAAAD/f8mU=")</f>
        <v>#VALUE!</v>
      </c>
      <c r="CY254" t="e">
        <f>AND('STERLING CATALOG - FZN &amp; CHILL'!H224,"AAAAAD/f8mY=")</f>
        <v>#VALUE!</v>
      </c>
      <c r="CZ254" t="e">
        <f>AND('STERLING CATALOG - FZN &amp; CHILL'!I224,"AAAAAD/f8mc=")</f>
        <v>#VALUE!</v>
      </c>
      <c r="DA254" t="e">
        <f>AND('STERLING CATALOG - FZN &amp; CHILL'!J224,"AAAAAD/f8mg=")</f>
        <v>#VALUE!</v>
      </c>
      <c r="DB254">
        <f>IF('STERLING CATALOG - FZN &amp; CHILL'!225:225,"AAAAAD/f8mk=",0)</f>
        <v>0</v>
      </c>
      <c r="DC254" t="e">
        <f>AND('STERLING CATALOG - FZN &amp; CHILL'!A225,"AAAAAD/f8mo=")</f>
        <v>#VALUE!</v>
      </c>
      <c r="DD254" t="e">
        <f>AND('STERLING CATALOG - FZN &amp; CHILL'!B225,"AAAAAD/f8ms=")</f>
        <v>#VALUE!</v>
      </c>
      <c r="DE254" t="e">
        <f>AND('STERLING CATALOG - FZN &amp; CHILL'!C225,"AAAAAD/f8mw=")</f>
        <v>#VALUE!</v>
      </c>
      <c r="DF254" t="e">
        <f>AND('STERLING CATALOG - FZN &amp; CHILL'!D225,"AAAAAD/f8m0=")</f>
        <v>#VALUE!</v>
      </c>
      <c r="DG254" t="e">
        <f>AND('STERLING CATALOG - FZN &amp; CHILL'!E225,"AAAAAD/f8m4=")</f>
        <v>#VALUE!</v>
      </c>
      <c r="DH254" t="e">
        <f>AND('STERLING CATALOG - FZN &amp; CHILL'!F225,"AAAAAD/f8m8=")</f>
        <v>#VALUE!</v>
      </c>
      <c r="DI254" t="e">
        <f>AND('STERLING CATALOG - FZN &amp; CHILL'!G225,"AAAAAD/f8nA=")</f>
        <v>#VALUE!</v>
      </c>
      <c r="DJ254" t="e">
        <f>AND('STERLING CATALOG - FZN &amp; CHILL'!H225,"AAAAAD/f8nE=")</f>
        <v>#VALUE!</v>
      </c>
      <c r="DK254" t="e">
        <f>AND('STERLING CATALOG - FZN &amp; CHILL'!I225,"AAAAAD/f8nI=")</f>
        <v>#VALUE!</v>
      </c>
      <c r="DL254" t="e">
        <f>AND('STERLING CATALOG - FZN &amp; CHILL'!J225,"AAAAAD/f8nM=")</f>
        <v>#VALUE!</v>
      </c>
      <c r="DM254">
        <f>IF('STERLING CATALOG - FZN &amp; CHILL'!226:226,"AAAAAD/f8nQ=",0)</f>
        <v>0</v>
      </c>
      <c r="DN254" t="e">
        <f>AND('STERLING CATALOG - FZN &amp; CHILL'!A226,"AAAAAD/f8nU=")</f>
        <v>#VALUE!</v>
      </c>
      <c r="DO254" t="e">
        <f>AND('STERLING CATALOG - FZN &amp; CHILL'!B226,"AAAAAD/f8nY=")</f>
        <v>#VALUE!</v>
      </c>
      <c r="DP254" t="e">
        <f>AND('STERLING CATALOG - FZN &amp; CHILL'!C226,"AAAAAD/f8nc=")</f>
        <v>#VALUE!</v>
      </c>
      <c r="DQ254" t="e">
        <f>AND('STERLING CATALOG - FZN &amp; CHILL'!D226,"AAAAAD/f8ng=")</f>
        <v>#VALUE!</v>
      </c>
      <c r="DR254" t="e">
        <f>AND('STERLING CATALOG - FZN &amp; CHILL'!E226,"AAAAAD/f8nk=")</f>
        <v>#VALUE!</v>
      </c>
      <c r="DS254" t="e">
        <f>AND('STERLING CATALOG - FZN &amp; CHILL'!F226,"AAAAAD/f8no=")</f>
        <v>#VALUE!</v>
      </c>
      <c r="DT254" t="e">
        <f>AND('STERLING CATALOG - FZN &amp; CHILL'!G226,"AAAAAD/f8ns=")</f>
        <v>#VALUE!</v>
      </c>
      <c r="DU254" t="e">
        <f>AND('STERLING CATALOG - FZN &amp; CHILL'!H226,"AAAAAD/f8nw=")</f>
        <v>#VALUE!</v>
      </c>
      <c r="DV254" t="e">
        <f>AND('STERLING CATALOG - FZN &amp; CHILL'!I226,"AAAAAD/f8n0=")</f>
        <v>#VALUE!</v>
      </c>
      <c r="DW254" t="e">
        <f>AND('STERLING CATALOG - FZN &amp; CHILL'!J226,"AAAAAD/f8n4=")</f>
        <v>#VALUE!</v>
      </c>
      <c r="DX254">
        <f>IF('STERLING CATALOG - FZN &amp; CHILL'!227:227,"AAAAAD/f8n8=",0)</f>
        <v>0</v>
      </c>
      <c r="DY254" t="e">
        <f>AND('STERLING CATALOG - FZN &amp; CHILL'!A227,"AAAAAD/f8oA=")</f>
        <v>#VALUE!</v>
      </c>
      <c r="DZ254" t="e">
        <f>AND('STERLING CATALOG - FZN &amp; CHILL'!B227,"AAAAAD/f8oE=")</f>
        <v>#VALUE!</v>
      </c>
      <c r="EA254" t="e">
        <f>AND('STERLING CATALOG - FZN &amp; CHILL'!C227,"AAAAAD/f8oI=")</f>
        <v>#VALUE!</v>
      </c>
      <c r="EB254" t="e">
        <f>AND('STERLING CATALOG - FZN &amp; CHILL'!D227,"AAAAAD/f8oM=")</f>
        <v>#VALUE!</v>
      </c>
      <c r="EC254" t="e">
        <f>AND('STERLING CATALOG - FZN &amp; CHILL'!E227,"AAAAAD/f8oQ=")</f>
        <v>#VALUE!</v>
      </c>
      <c r="ED254" t="e">
        <f>AND('STERLING CATALOG - FZN &amp; CHILL'!F227,"AAAAAD/f8oU=")</f>
        <v>#VALUE!</v>
      </c>
      <c r="EE254" t="e">
        <f>AND('STERLING CATALOG - FZN &amp; CHILL'!G227,"AAAAAD/f8oY=")</f>
        <v>#VALUE!</v>
      </c>
      <c r="EF254" t="e">
        <f>AND('STERLING CATALOG - FZN &amp; CHILL'!H227,"AAAAAD/f8oc=")</f>
        <v>#VALUE!</v>
      </c>
      <c r="EG254" t="e">
        <f>AND('STERLING CATALOG - FZN &amp; CHILL'!I227,"AAAAAD/f8og=")</f>
        <v>#VALUE!</v>
      </c>
      <c r="EH254" t="e">
        <f>AND('STERLING CATALOG - FZN &amp; CHILL'!J227,"AAAAAD/f8ok=")</f>
        <v>#VALUE!</v>
      </c>
      <c r="EI254">
        <f>IF('STERLING CATALOG - FZN &amp; CHILL'!228:228,"AAAAAD/f8oo=",0)</f>
        <v>0</v>
      </c>
      <c r="EJ254" t="e">
        <f>AND('STERLING CATALOG - FZN &amp; CHILL'!A228,"AAAAAD/f8os=")</f>
        <v>#VALUE!</v>
      </c>
      <c r="EK254" t="e">
        <f>AND('STERLING CATALOG - FZN &amp; CHILL'!B228,"AAAAAD/f8ow=")</f>
        <v>#VALUE!</v>
      </c>
      <c r="EL254" t="e">
        <f>AND('STERLING CATALOG - FZN &amp; CHILL'!C228,"AAAAAD/f8o0=")</f>
        <v>#VALUE!</v>
      </c>
      <c r="EM254" t="e">
        <f>AND('STERLING CATALOG - FZN &amp; CHILL'!D228,"AAAAAD/f8o4=")</f>
        <v>#VALUE!</v>
      </c>
      <c r="EN254" t="e">
        <f>AND('STERLING CATALOG - FZN &amp; CHILL'!E228,"AAAAAD/f8o8=")</f>
        <v>#VALUE!</v>
      </c>
      <c r="EO254" t="e">
        <f>AND('STERLING CATALOG - FZN &amp; CHILL'!F228,"AAAAAD/f8pA=")</f>
        <v>#VALUE!</v>
      </c>
      <c r="EP254" t="e">
        <f>AND('STERLING CATALOG - FZN &amp; CHILL'!G228,"AAAAAD/f8pE=")</f>
        <v>#VALUE!</v>
      </c>
      <c r="EQ254" t="e">
        <f>AND('STERLING CATALOG - FZN &amp; CHILL'!H228,"AAAAAD/f8pI=")</f>
        <v>#VALUE!</v>
      </c>
      <c r="ER254" t="e">
        <f>AND('STERLING CATALOG - FZN &amp; CHILL'!I228,"AAAAAD/f8pM=")</f>
        <v>#VALUE!</v>
      </c>
      <c r="ES254" t="e">
        <f>AND('STERLING CATALOG - FZN &amp; CHILL'!J228,"AAAAAD/f8pQ=")</f>
        <v>#VALUE!</v>
      </c>
      <c r="ET254">
        <f>IF('STERLING CATALOG - FZN &amp; CHILL'!229:229,"AAAAAD/f8pU=",0)</f>
        <v>0</v>
      </c>
      <c r="EU254" t="e">
        <f>AND('STERLING CATALOG - FZN &amp; CHILL'!A229,"AAAAAD/f8pY=")</f>
        <v>#VALUE!</v>
      </c>
      <c r="EV254" t="e">
        <f>AND('STERLING CATALOG - FZN &amp; CHILL'!B229,"AAAAAD/f8pc=")</f>
        <v>#VALUE!</v>
      </c>
      <c r="EW254" t="e">
        <f>AND('STERLING CATALOG - FZN &amp; CHILL'!C229,"AAAAAD/f8pg=")</f>
        <v>#VALUE!</v>
      </c>
      <c r="EX254" t="e">
        <f>AND('STERLING CATALOG - FZN &amp; CHILL'!D229,"AAAAAD/f8pk=")</f>
        <v>#VALUE!</v>
      </c>
      <c r="EY254" t="e">
        <f>AND('STERLING CATALOG - FZN &amp; CHILL'!E229,"AAAAAD/f8po=")</f>
        <v>#VALUE!</v>
      </c>
      <c r="EZ254" t="e">
        <f>AND('STERLING CATALOG - FZN &amp; CHILL'!F229,"AAAAAD/f8ps=")</f>
        <v>#VALUE!</v>
      </c>
      <c r="FA254" t="e">
        <f>AND('STERLING CATALOG - FZN &amp; CHILL'!G229,"AAAAAD/f8pw=")</f>
        <v>#VALUE!</v>
      </c>
      <c r="FB254" t="e">
        <f>AND('STERLING CATALOG - FZN &amp; CHILL'!H229,"AAAAAD/f8p0=")</f>
        <v>#VALUE!</v>
      </c>
      <c r="FC254" t="e">
        <f>AND('STERLING CATALOG - FZN &amp; CHILL'!I229,"AAAAAD/f8p4=")</f>
        <v>#VALUE!</v>
      </c>
      <c r="FD254" t="e">
        <f>AND('STERLING CATALOG - FZN &amp; CHILL'!J229,"AAAAAD/f8p8=")</f>
        <v>#VALUE!</v>
      </c>
      <c r="FE254">
        <f>IF('STERLING CATALOG - FZN &amp; CHILL'!230:230,"AAAAAD/f8qA=",0)</f>
        <v>0</v>
      </c>
      <c r="FF254" t="e">
        <f>AND('STERLING CATALOG - FZN &amp; CHILL'!A230,"AAAAAD/f8qE=")</f>
        <v>#VALUE!</v>
      </c>
      <c r="FG254" t="e">
        <f>AND('STERLING CATALOG - FZN &amp; CHILL'!B230,"AAAAAD/f8qI=")</f>
        <v>#VALUE!</v>
      </c>
      <c r="FH254" t="e">
        <f>AND('STERLING CATALOG - FZN &amp; CHILL'!C230,"AAAAAD/f8qM=")</f>
        <v>#VALUE!</v>
      </c>
      <c r="FI254" t="e">
        <f>AND('STERLING CATALOG - FZN &amp; CHILL'!D230,"AAAAAD/f8qQ=")</f>
        <v>#VALUE!</v>
      </c>
      <c r="FJ254" t="e">
        <f>AND('STERLING CATALOG - FZN &amp; CHILL'!E230,"AAAAAD/f8qU=")</f>
        <v>#VALUE!</v>
      </c>
      <c r="FK254" t="e">
        <f>AND('STERLING CATALOG - FZN &amp; CHILL'!F230,"AAAAAD/f8qY=")</f>
        <v>#VALUE!</v>
      </c>
      <c r="FL254" t="e">
        <f>AND('STERLING CATALOG - FZN &amp; CHILL'!G230,"AAAAAD/f8qc=")</f>
        <v>#VALUE!</v>
      </c>
      <c r="FM254" t="e">
        <f>AND('STERLING CATALOG - FZN &amp; CHILL'!H230,"AAAAAD/f8qg=")</f>
        <v>#VALUE!</v>
      </c>
      <c r="FN254" t="e">
        <f>AND('STERLING CATALOG - FZN &amp; CHILL'!I230,"AAAAAD/f8qk=")</f>
        <v>#VALUE!</v>
      </c>
      <c r="FO254" t="e">
        <f>AND('STERLING CATALOG - FZN &amp; CHILL'!J230,"AAAAAD/f8qo=")</f>
        <v>#VALUE!</v>
      </c>
      <c r="FP254">
        <f>IF('STERLING CATALOG - FZN &amp; CHILL'!231:231,"AAAAAD/f8qs=",0)</f>
        <v>0</v>
      </c>
      <c r="FQ254" t="e">
        <f>AND('STERLING CATALOG - FZN &amp; CHILL'!A231,"AAAAAD/f8qw=")</f>
        <v>#VALUE!</v>
      </c>
      <c r="FR254" t="e">
        <f>AND('STERLING CATALOG - FZN &amp; CHILL'!B231,"AAAAAD/f8q0=")</f>
        <v>#VALUE!</v>
      </c>
      <c r="FS254" t="e">
        <f>AND('STERLING CATALOG - FZN &amp; CHILL'!C231,"AAAAAD/f8q4=")</f>
        <v>#VALUE!</v>
      </c>
      <c r="FT254" t="e">
        <f>AND('STERLING CATALOG - FZN &amp; CHILL'!D231,"AAAAAD/f8q8=")</f>
        <v>#VALUE!</v>
      </c>
      <c r="FU254" t="e">
        <f>AND('STERLING CATALOG - FZN &amp; CHILL'!E231,"AAAAAD/f8rA=")</f>
        <v>#VALUE!</v>
      </c>
      <c r="FV254" t="e">
        <f>AND('STERLING CATALOG - FZN &amp; CHILL'!F231,"AAAAAD/f8rE=")</f>
        <v>#VALUE!</v>
      </c>
      <c r="FW254" t="e">
        <f>AND('STERLING CATALOG - FZN &amp; CHILL'!G231,"AAAAAD/f8rI=")</f>
        <v>#VALUE!</v>
      </c>
      <c r="FX254" t="e">
        <f>AND('STERLING CATALOG - FZN &amp; CHILL'!H231,"AAAAAD/f8rM=")</f>
        <v>#VALUE!</v>
      </c>
      <c r="FY254" t="e">
        <f>AND('STERLING CATALOG - FZN &amp; CHILL'!I231,"AAAAAD/f8rQ=")</f>
        <v>#VALUE!</v>
      </c>
      <c r="FZ254" t="e">
        <f>AND('STERLING CATALOG - FZN &amp; CHILL'!J231,"AAAAAD/f8rU=")</f>
        <v>#VALUE!</v>
      </c>
      <c r="GA254">
        <f>IF('STERLING CATALOG - FZN &amp; CHILL'!232:232,"AAAAAD/f8rY=",0)</f>
        <v>0</v>
      </c>
      <c r="GB254" t="e">
        <f>AND('STERLING CATALOG - FZN &amp; CHILL'!A232,"AAAAAD/f8rc=")</f>
        <v>#VALUE!</v>
      </c>
      <c r="GC254" t="e">
        <f>AND('STERLING CATALOG - FZN &amp; CHILL'!B232,"AAAAAD/f8rg=")</f>
        <v>#VALUE!</v>
      </c>
      <c r="GD254" t="e">
        <f>AND('STERLING CATALOG - FZN &amp; CHILL'!C232,"AAAAAD/f8rk=")</f>
        <v>#VALUE!</v>
      </c>
      <c r="GE254" t="e">
        <f>AND('STERLING CATALOG - FZN &amp; CHILL'!D232,"AAAAAD/f8ro=")</f>
        <v>#VALUE!</v>
      </c>
      <c r="GF254" t="e">
        <f>AND('STERLING CATALOG - FZN &amp; CHILL'!E232,"AAAAAD/f8rs=")</f>
        <v>#VALUE!</v>
      </c>
      <c r="GG254" t="e">
        <f>AND('STERLING CATALOG - FZN &amp; CHILL'!F232,"AAAAAD/f8rw=")</f>
        <v>#VALUE!</v>
      </c>
      <c r="GH254" t="e">
        <f>AND('STERLING CATALOG - FZN &amp; CHILL'!G232,"AAAAAD/f8r0=")</f>
        <v>#VALUE!</v>
      </c>
      <c r="GI254" t="e">
        <f>AND('STERLING CATALOG - FZN &amp; CHILL'!H232,"AAAAAD/f8r4=")</f>
        <v>#VALUE!</v>
      </c>
      <c r="GJ254" t="e">
        <f>AND('STERLING CATALOG - FZN &amp; CHILL'!I232,"AAAAAD/f8r8=")</f>
        <v>#VALUE!</v>
      </c>
      <c r="GK254" t="e">
        <f>AND('STERLING CATALOG - FZN &amp; CHILL'!J232,"AAAAAD/f8sA=")</f>
        <v>#VALUE!</v>
      </c>
      <c r="GL254">
        <f>IF('STERLING CATALOG - FZN &amp; CHILL'!233:233,"AAAAAD/f8sE=",0)</f>
        <v>0</v>
      </c>
      <c r="GM254" t="e">
        <f>AND('STERLING CATALOG - FZN &amp; CHILL'!A233,"AAAAAD/f8sI=")</f>
        <v>#VALUE!</v>
      </c>
      <c r="GN254" t="e">
        <f>AND('STERLING CATALOG - FZN &amp; CHILL'!B233,"AAAAAD/f8sM=")</f>
        <v>#VALUE!</v>
      </c>
      <c r="GO254" t="e">
        <f>AND('STERLING CATALOG - FZN &amp; CHILL'!C233,"AAAAAD/f8sQ=")</f>
        <v>#VALUE!</v>
      </c>
      <c r="GP254" t="e">
        <f>AND('STERLING CATALOG - FZN &amp; CHILL'!D233,"AAAAAD/f8sU=")</f>
        <v>#VALUE!</v>
      </c>
      <c r="GQ254" t="e">
        <f>AND('STERLING CATALOG - FZN &amp; CHILL'!E233,"AAAAAD/f8sY=")</f>
        <v>#VALUE!</v>
      </c>
      <c r="GR254" t="e">
        <f>AND('STERLING CATALOG - FZN &amp; CHILL'!F233,"AAAAAD/f8sc=")</f>
        <v>#VALUE!</v>
      </c>
      <c r="GS254" t="e">
        <f>AND('STERLING CATALOG - FZN &amp; CHILL'!G233,"AAAAAD/f8sg=")</f>
        <v>#VALUE!</v>
      </c>
      <c r="GT254" t="e">
        <f>AND('STERLING CATALOG - FZN &amp; CHILL'!H233,"AAAAAD/f8sk=")</f>
        <v>#VALUE!</v>
      </c>
      <c r="GU254" t="e">
        <f>AND('STERLING CATALOG - FZN &amp; CHILL'!I233,"AAAAAD/f8so=")</f>
        <v>#VALUE!</v>
      </c>
      <c r="GV254" t="e">
        <f>AND('STERLING CATALOG - FZN &amp; CHILL'!J233,"AAAAAD/f8ss=")</f>
        <v>#VALUE!</v>
      </c>
      <c r="GW254">
        <f>IF('STERLING CATALOG - FZN &amp; CHILL'!234:234,"AAAAAD/f8sw=",0)</f>
        <v>0</v>
      </c>
      <c r="GX254" t="e">
        <f>AND('STERLING CATALOG - FZN &amp; CHILL'!A234,"AAAAAD/f8s0=")</f>
        <v>#VALUE!</v>
      </c>
      <c r="GY254" t="e">
        <f>AND('STERLING CATALOG - FZN &amp; CHILL'!B234,"AAAAAD/f8s4=")</f>
        <v>#VALUE!</v>
      </c>
      <c r="GZ254" t="e">
        <f>AND('STERLING CATALOG - FZN &amp; CHILL'!C234,"AAAAAD/f8s8=")</f>
        <v>#VALUE!</v>
      </c>
      <c r="HA254" t="e">
        <f>AND('STERLING CATALOG - FZN &amp; CHILL'!D234,"AAAAAD/f8tA=")</f>
        <v>#VALUE!</v>
      </c>
      <c r="HB254" t="e">
        <f>AND('STERLING CATALOG - FZN &amp; CHILL'!E234,"AAAAAD/f8tE=")</f>
        <v>#VALUE!</v>
      </c>
      <c r="HC254" t="e">
        <f>AND('STERLING CATALOG - FZN &amp; CHILL'!F234,"AAAAAD/f8tI=")</f>
        <v>#VALUE!</v>
      </c>
      <c r="HD254" t="e">
        <f>AND('STERLING CATALOG - FZN &amp; CHILL'!G234,"AAAAAD/f8tM=")</f>
        <v>#VALUE!</v>
      </c>
      <c r="HE254" t="e">
        <f>AND('STERLING CATALOG - FZN &amp; CHILL'!H234,"AAAAAD/f8tQ=")</f>
        <v>#VALUE!</v>
      </c>
      <c r="HF254" t="e">
        <f>AND('STERLING CATALOG - FZN &amp; CHILL'!I234,"AAAAAD/f8tU=")</f>
        <v>#VALUE!</v>
      </c>
      <c r="HG254" t="e">
        <f>AND('STERLING CATALOG - FZN &amp; CHILL'!J234,"AAAAAD/f8tY=")</f>
        <v>#VALUE!</v>
      </c>
      <c r="HH254">
        <f>IF('STERLING CATALOG - FZN &amp; CHILL'!235:235,"AAAAAD/f8tc=",0)</f>
        <v>0</v>
      </c>
      <c r="HI254" t="e">
        <f>AND('STERLING CATALOG - FZN &amp; CHILL'!A235,"AAAAAD/f8tg=")</f>
        <v>#VALUE!</v>
      </c>
      <c r="HJ254" t="e">
        <f>AND('STERLING CATALOG - FZN &amp; CHILL'!B235,"AAAAAD/f8tk=")</f>
        <v>#VALUE!</v>
      </c>
      <c r="HK254" t="e">
        <f>AND('STERLING CATALOG - FZN &amp; CHILL'!C235,"AAAAAD/f8to=")</f>
        <v>#VALUE!</v>
      </c>
      <c r="HL254" t="e">
        <f>AND('STERLING CATALOG - FZN &amp; CHILL'!D235,"AAAAAD/f8ts=")</f>
        <v>#VALUE!</v>
      </c>
      <c r="HM254" t="e">
        <f>AND('STERLING CATALOG - FZN &amp; CHILL'!E235,"AAAAAD/f8tw=")</f>
        <v>#VALUE!</v>
      </c>
      <c r="HN254" t="e">
        <f>AND('STERLING CATALOG - FZN &amp; CHILL'!F235,"AAAAAD/f8t0=")</f>
        <v>#VALUE!</v>
      </c>
      <c r="HO254" t="e">
        <f>AND('STERLING CATALOG - FZN &amp; CHILL'!G235,"AAAAAD/f8t4=")</f>
        <v>#VALUE!</v>
      </c>
      <c r="HP254" t="e">
        <f>AND('STERLING CATALOG - FZN &amp; CHILL'!H235,"AAAAAD/f8t8=")</f>
        <v>#VALUE!</v>
      </c>
      <c r="HQ254" t="e">
        <f>AND('STERLING CATALOG - FZN &amp; CHILL'!I235,"AAAAAD/f8uA=")</f>
        <v>#VALUE!</v>
      </c>
      <c r="HR254" t="e">
        <f>AND('STERLING CATALOG - FZN &amp; CHILL'!J235,"AAAAAD/f8uE=")</f>
        <v>#VALUE!</v>
      </c>
      <c r="HS254">
        <f>IF('STERLING CATALOG - FZN &amp; CHILL'!236:236,"AAAAAD/f8uI=",0)</f>
        <v>0</v>
      </c>
      <c r="HT254" t="e">
        <f>AND('STERLING CATALOG - FZN &amp; CHILL'!A236,"AAAAAD/f8uM=")</f>
        <v>#VALUE!</v>
      </c>
      <c r="HU254" t="e">
        <f>AND('STERLING CATALOG - FZN &amp; CHILL'!B236,"AAAAAD/f8uQ=")</f>
        <v>#VALUE!</v>
      </c>
      <c r="HV254" t="e">
        <f>AND('STERLING CATALOG - FZN &amp; CHILL'!C236,"AAAAAD/f8uU=")</f>
        <v>#VALUE!</v>
      </c>
      <c r="HW254" t="e">
        <f>AND('STERLING CATALOG - FZN &amp; CHILL'!D236,"AAAAAD/f8uY=")</f>
        <v>#VALUE!</v>
      </c>
      <c r="HX254" t="e">
        <f>AND('STERLING CATALOG - FZN &amp; CHILL'!E236,"AAAAAD/f8uc=")</f>
        <v>#VALUE!</v>
      </c>
      <c r="HY254" t="e">
        <f>AND('STERLING CATALOG - FZN &amp; CHILL'!F236,"AAAAAD/f8ug=")</f>
        <v>#VALUE!</v>
      </c>
      <c r="HZ254" t="e">
        <f>AND('STERLING CATALOG - FZN &amp; CHILL'!G236,"AAAAAD/f8uk=")</f>
        <v>#VALUE!</v>
      </c>
      <c r="IA254" t="e">
        <f>AND('STERLING CATALOG - FZN &amp; CHILL'!H236,"AAAAAD/f8uo=")</f>
        <v>#VALUE!</v>
      </c>
      <c r="IB254" t="e">
        <f>AND('STERLING CATALOG - FZN &amp; CHILL'!I236,"AAAAAD/f8us=")</f>
        <v>#VALUE!</v>
      </c>
      <c r="IC254" t="e">
        <f>AND('STERLING CATALOG - FZN &amp; CHILL'!J236,"AAAAAD/f8uw=")</f>
        <v>#VALUE!</v>
      </c>
      <c r="ID254">
        <f>IF('STERLING CATALOG - FZN &amp; CHILL'!237:237,"AAAAAD/f8u0=",0)</f>
        <v>0</v>
      </c>
      <c r="IE254" t="e">
        <f>AND('STERLING CATALOG - FZN &amp; CHILL'!A237,"AAAAAD/f8u4=")</f>
        <v>#VALUE!</v>
      </c>
      <c r="IF254" t="e">
        <f>AND('STERLING CATALOG - FZN &amp; CHILL'!B237,"AAAAAD/f8u8=")</f>
        <v>#VALUE!</v>
      </c>
      <c r="IG254" t="e">
        <f>AND('STERLING CATALOG - FZN &amp; CHILL'!C237,"AAAAAD/f8vA=")</f>
        <v>#VALUE!</v>
      </c>
      <c r="IH254" t="e">
        <f>AND('STERLING CATALOG - FZN &amp; CHILL'!D237,"AAAAAD/f8vE=")</f>
        <v>#VALUE!</v>
      </c>
      <c r="II254" t="e">
        <f>AND('STERLING CATALOG - FZN &amp; CHILL'!E237,"AAAAAD/f8vI=")</f>
        <v>#VALUE!</v>
      </c>
      <c r="IJ254" t="e">
        <f>AND('STERLING CATALOG - FZN &amp; CHILL'!F237,"AAAAAD/f8vM=")</f>
        <v>#VALUE!</v>
      </c>
      <c r="IK254" t="e">
        <f>AND('STERLING CATALOG - FZN &amp; CHILL'!G237,"AAAAAD/f8vQ=")</f>
        <v>#VALUE!</v>
      </c>
      <c r="IL254" t="e">
        <f>AND('STERLING CATALOG - FZN &amp; CHILL'!H237,"AAAAAD/f8vU=")</f>
        <v>#VALUE!</v>
      </c>
      <c r="IM254" t="e">
        <f>AND('STERLING CATALOG - FZN &amp; CHILL'!I237,"AAAAAD/f8vY=")</f>
        <v>#VALUE!</v>
      </c>
      <c r="IN254" t="e">
        <f>AND('STERLING CATALOG - FZN &amp; CHILL'!J237,"AAAAAD/f8vc=")</f>
        <v>#VALUE!</v>
      </c>
      <c r="IO254">
        <f>IF('STERLING CATALOG - FZN &amp; CHILL'!238:238,"AAAAAD/f8vg=",0)</f>
        <v>0</v>
      </c>
      <c r="IP254" t="e">
        <f>AND('STERLING CATALOG - FZN &amp; CHILL'!A238,"AAAAAD/f8vk=")</f>
        <v>#VALUE!</v>
      </c>
      <c r="IQ254" t="e">
        <f>AND('STERLING CATALOG - FZN &amp; CHILL'!B238,"AAAAAD/f8vo=")</f>
        <v>#VALUE!</v>
      </c>
      <c r="IR254" t="e">
        <f>AND('STERLING CATALOG - FZN &amp; CHILL'!C238,"AAAAAD/f8vs=")</f>
        <v>#VALUE!</v>
      </c>
      <c r="IS254" t="e">
        <f>AND('STERLING CATALOG - FZN &amp; CHILL'!D238,"AAAAAD/f8vw=")</f>
        <v>#VALUE!</v>
      </c>
      <c r="IT254" t="e">
        <f>AND('STERLING CATALOG - FZN &amp; CHILL'!E238,"AAAAAD/f8v0=")</f>
        <v>#VALUE!</v>
      </c>
      <c r="IU254" t="e">
        <f>AND('STERLING CATALOG - FZN &amp; CHILL'!F238,"AAAAAD/f8v4=")</f>
        <v>#VALUE!</v>
      </c>
      <c r="IV254" t="e">
        <f>AND('STERLING CATALOG - FZN &amp; CHILL'!G238,"AAAAAD/f8v8=")</f>
        <v>#VALUE!</v>
      </c>
    </row>
    <row r="255" spans="1:256">
      <c r="A255" t="e">
        <f>AND('STERLING CATALOG - FZN &amp; CHILL'!H238,"AAAAAF93bwA=")</f>
        <v>#VALUE!</v>
      </c>
      <c r="B255" t="e">
        <f>AND('STERLING CATALOG - FZN &amp; CHILL'!I238,"AAAAAF93bwE=")</f>
        <v>#VALUE!</v>
      </c>
      <c r="C255" t="e">
        <f>AND('STERLING CATALOG - FZN &amp; CHILL'!J238,"AAAAAF93bwI=")</f>
        <v>#VALUE!</v>
      </c>
      <c r="D255" t="e">
        <f>IF('STERLING CATALOG - FZN &amp; CHILL'!239:239,"AAAAAF93bwM=",0)</f>
        <v>#VALUE!</v>
      </c>
      <c r="E255" t="e">
        <f>AND('STERLING CATALOG - FZN &amp; CHILL'!A239,"AAAAAF93bwQ=")</f>
        <v>#VALUE!</v>
      </c>
      <c r="F255" t="e">
        <f>AND('STERLING CATALOG - FZN &amp; CHILL'!B239,"AAAAAF93bwU=")</f>
        <v>#VALUE!</v>
      </c>
      <c r="G255" t="e">
        <f>AND('STERLING CATALOG - FZN &amp; CHILL'!C239,"AAAAAF93bwY=")</f>
        <v>#VALUE!</v>
      </c>
      <c r="H255" t="e">
        <f>AND('STERLING CATALOG - FZN &amp; CHILL'!D239,"AAAAAF93bwc=")</f>
        <v>#VALUE!</v>
      </c>
      <c r="I255" t="e">
        <f>AND('STERLING CATALOG - FZN &amp; CHILL'!E239,"AAAAAF93bwg=")</f>
        <v>#VALUE!</v>
      </c>
      <c r="J255" t="e">
        <f>AND('STERLING CATALOG - FZN &amp; CHILL'!F239,"AAAAAF93bwk=")</f>
        <v>#VALUE!</v>
      </c>
      <c r="K255" t="e">
        <f>AND('STERLING CATALOG - FZN &amp; CHILL'!G239,"AAAAAF93bwo=")</f>
        <v>#VALUE!</v>
      </c>
      <c r="L255" t="e">
        <f>AND('STERLING CATALOG - FZN &amp; CHILL'!H239,"AAAAAF93bws=")</f>
        <v>#VALUE!</v>
      </c>
      <c r="M255" t="e">
        <f>AND('STERLING CATALOG - FZN &amp; CHILL'!I239,"AAAAAF93bww=")</f>
        <v>#VALUE!</v>
      </c>
      <c r="N255" t="e">
        <f>AND('STERLING CATALOG - FZN &amp; CHILL'!J239,"AAAAAF93bw0=")</f>
        <v>#VALUE!</v>
      </c>
      <c r="O255">
        <f>IF('STERLING CATALOG - FZN &amp; CHILL'!240:240,"AAAAAF93bw4=",0)</f>
        <v>0</v>
      </c>
      <c r="P255" t="e">
        <f>AND('STERLING CATALOG - FZN &amp; CHILL'!A240,"AAAAAF93bw8=")</f>
        <v>#VALUE!</v>
      </c>
      <c r="Q255" t="e">
        <f>AND('STERLING CATALOG - FZN &amp; CHILL'!B240,"AAAAAF93bxA=")</f>
        <v>#VALUE!</v>
      </c>
      <c r="R255" t="e">
        <f>AND('STERLING CATALOG - FZN &amp; CHILL'!C240,"AAAAAF93bxE=")</f>
        <v>#VALUE!</v>
      </c>
      <c r="S255" t="e">
        <f>AND('STERLING CATALOG - FZN &amp; CHILL'!D240,"AAAAAF93bxI=")</f>
        <v>#VALUE!</v>
      </c>
      <c r="T255" t="e">
        <f>AND('STERLING CATALOG - FZN &amp; CHILL'!E240,"AAAAAF93bxM=")</f>
        <v>#VALUE!</v>
      </c>
      <c r="U255" t="e">
        <f>AND('STERLING CATALOG - FZN &amp; CHILL'!F240,"AAAAAF93bxQ=")</f>
        <v>#VALUE!</v>
      </c>
      <c r="V255" t="e">
        <f>AND('STERLING CATALOG - FZN &amp; CHILL'!G240,"AAAAAF93bxU=")</f>
        <v>#VALUE!</v>
      </c>
      <c r="W255" t="e">
        <f>AND('STERLING CATALOG - FZN &amp; CHILL'!H240,"AAAAAF93bxY=")</f>
        <v>#VALUE!</v>
      </c>
      <c r="X255" t="e">
        <f>AND('STERLING CATALOG - FZN &amp; CHILL'!I240,"AAAAAF93bxc=")</f>
        <v>#VALUE!</v>
      </c>
      <c r="Y255" t="e">
        <f>AND('STERLING CATALOG - FZN &amp; CHILL'!J240,"AAAAAF93bxg=")</f>
        <v>#VALUE!</v>
      </c>
      <c r="Z255">
        <f>IF('STERLING CATALOG - FZN &amp; CHILL'!241:241,"AAAAAF93bxk=",0)</f>
        <v>0</v>
      </c>
      <c r="AA255" t="e">
        <f>AND('STERLING CATALOG - FZN &amp; CHILL'!A241,"AAAAAF93bxo=")</f>
        <v>#VALUE!</v>
      </c>
      <c r="AB255" t="e">
        <f>AND('STERLING CATALOG - FZN &amp; CHILL'!B241,"AAAAAF93bxs=")</f>
        <v>#VALUE!</v>
      </c>
      <c r="AC255" t="e">
        <f>AND('STERLING CATALOG - FZN &amp; CHILL'!C241,"AAAAAF93bxw=")</f>
        <v>#VALUE!</v>
      </c>
      <c r="AD255" t="e">
        <f>AND('STERLING CATALOG - FZN &amp; CHILL'!D241,"AAAAAF93bx0=")</f>
        <v>#VALUE!</v>
      </c>
      <c r="AE255" t="e">
        <f>AND('STERLING CATALOG - FZN &amp; CHILL'!E241,"AAAAAF93bx4=")</f>
        <v>#VALUE!</v>
      </c>
      <c r="AF255" t="e">
        <f>AND('STERLING CATALOG - FZN &amp; CHILL'!F241,"AAAAAF93bx8=")</f>
        <v>#VALUE!</v>
      </c>
      <c r="AG255" t="e">
        <f>AND('STERLING CATALOG - FZN &amp; CHILL'!G241,"AAAAAF93byA=")</f>
        <v>#VALUE!</v>
      </c>
      <c r="AH255" t="e">
        <f>AND('STERLING CATALOG - FZN &amp; CHILL'!H241,"AAAAAF93byE=")</f>
        <v>#VALUE!</v>
      </c>
      <c r="AI255" t="e">
        <f>AND('STERLING CATALOG - FZN &amp; CHILL'!I241,"AAAAAF93byI=")</f>
        <v>#VALUE!</v>
      </c>
      <c r="AJ255" t="e">
        <f>AND('STERLING CATALOG - FZN &amp; CHILL'!J241,"AAAAAF93byM=")</f>
        <v>#VALUE!</v>
      </c>
      <c r="AK255">
        <f>IF('STERLING CATALOG - FZN &amp; CHILL'!242:242,"AAAAAF93byQ=",0)</f>
        <v>0</v>
      </c>
      <c r="AL255" t="e">
        <f>AND('STERLING CATALOG - FZN &amp; CHILL'!A242,"AAAAAF93byU=")</f>
        <v>#VALUE!</v>
      </c>
      <c r="AM255" t="e">
        <f>AND('STERLING CATALOG - FZN &amp; CHILL'!B242,"AAAAAF93byY=")</f>
        <v>#VALUE!</v>
      </c>
      <c r="AN255" t="e">
        <f>AND('STERLING CATALOG - FZN &amp; CHILL'!C242,"AAAAAF93byc=")</f>
        <v>#VALUE!</v>
      </c>
      <c r="AO255" t="e">
        <f>AND('STERLING CATALOG - FZN &amp; CHILL'!D242,"AAAAAF93byg=")</f>
        <v>#VALUE!</v>
      </c>
      <c r="AP255" t="e">
        <f>AND('STERLING CATALOG - FZN &amp; CHILL'!E242,"AAAAAF93byk=")</f>
        <v>#VALUE!</v>
      </c>
      <c r="AQ255" t="e">
        <f>AND('STERLING CATALOG - FZN &amp; CHILL'!F242,"AAAAAF93byo=")</f>
        <v>#VALUE!</v>
      </c>
      <c r="AR255" t="e">
        <f>AND('STERLING CATALOG - FZN &amp; CHILL'!G242,"AAAAAF93bys=")</f>
        <v>#VALUE!</v>
      </c>
      <c r="AS255" t="e">
        <f>AND('STERLING CATALOG - FZN &amp; CHILL'!H242,"AAAAAF93byw=")</f>
        <v>#VALUE!</v>
      </c>
      <c r="AT255" t="e">
        <f>AND('STERLING CATALOG - FZN &amp; CHILL'!I242,"AAAAAF93by0=")</f>
        <v>#VALUE!</v>
      </c>
      <c r="AU255" t="e">
        <f>AND('STERLING CATALOG - FZN &amp; CHILL'!J242,"AAAAAF93by4=")</f>
        <v>#VALUE!</v>
      </c>
      <c r="AV255">
        <f>IF('STERLING CATALOG - FZN &amp; CHILL'!243:243,"AAAAAF93by8=",0)</f>
        <v>0</v>
      </c>
      <c r="AW255" t="e">
        <f>AND('STERLING CATALOG - FZN &amp; CHILL'!A243,"AAAAAF93bzA=")</f>
        <v>#VALUE!</v>
      </c>
      <c r="AX255" t="e">
        <f>AND('STERLING CATALOG - FZN &amp; CHILL'!B243,"AAAAAF93bzE=")</f>
        <v>#VALUE!</v>
      </c>
      <c r="AY255" t="e">
        <f>AND('STERLING CATALOG - FZN &amp; CHILL'!C243,"AAAAAF93bzI=")</f>
        <v>#VALUE!</v>
      </c>
      <c r="AZ255" t="e">
        <f>AND('STERLING CATALOG - FZN &amp; CHILL'!D243,"AAAAAF93bzM=")</f>
        <v>#VALUE!</v>
      </c>
      <c r="BA255" t="e">
        <f>AND('STERLING CATALOG - FZN &amp; CHILL'!E243,"AAAAAF93bzQ=")</f>
        <v>#VALUE!</v>
      </c>
      <c r="BB255" t="e">
        <f>AND('STERLING CATALOG - FZN &amp; CHILL'!F243,"AAAAAF93bzU=")</f>
        <v>#VALUE!</v>
      </c>
      <c r="BC255" t="e">
        <f>AND('STERLING CATALOG - FZN &amp; CHILL'!G243,"AAAAAF93bzY=")</f>
        <v>#VALUE!</v>
      </c>
      <c r="BD255" t="e">
        <f>AND('STERLING CATALOG - FZN &amp; CHILL'!H243,"AAAAAF93bzc=")</f>
        <v>#VALUE!</v>
      </c>
      <c r="BE255" t="e">
        <f>AND('STERLING CATALOG - FZN &amp; CHILL'!I243,"AAAAAF93bzg=")</f>
        <v>#VALUE!</v>
      </c>
      <c r="BF255" t="e">
        <f>AND('STERLING CATALOG - FZN &amp; CHILL'!J243,"AAAAAF93bzk=")</f>
        <v>#VALUE!</v>
      </c>
      <c r="BG255">
        <f>IF('STERLING CATALOG - FZN &amp; CHILL'!244:244,"AAAAAF93bzo=",0)</f>
        <v>0</v>
      </c>
      <c r="BH255" t="e">
        <f>AND('STERLING CATALOG - FZN &amp; CHILL'!A244,"AAAAAF93bzs=")</f>
        <v>#VALUE!</v>
      </c>
      <c r="BI255" t="e">
        <f>AND('STERLING CATALOG - FZN &amp; CHILL'!B244,"AAAAAF93bzw=")</f>
        <v>#VALUE!</v>
      </c>
      <c r="BJ255" t="e">
        <f>AND('STERLING CATALOG - FZN &amp; CHILL'!C244,"AAAAAF93bz0=")</f>
        <v>#VALUE!</v>
      </c>
      <c r="BK255" t="e">
        <f>AND('STERLING CATALOG - FZN &amp; CHILL'!D244,"AAAAAF93bz4=")</f>
        <v>#VALUE!</v>
      </c>
      <c r="BL255" t="e">
        <f>AND('STERLING CATALOG - FZN &amp; CHILL'!E244,"AAAAAF93bz8=")</f>
        <v>#VALUE!</v>
      </c>
      <c r="BM255" t="e">
        <f>AND('STERLING CATALOG - FZN &amp; CHILL'!F244,"AAAAAF93b0A=")</f>
        <v>#VALUE!</v>
      </c>
      <c r="BN255" t="e">
        <f>AND('STERLING CATALOG - FZN &amp; CHILL'!G244,"AAAAAF93b0E=")</f>
        <v>#VALUE!</v>
      </c>
      <c r="BO255" t="e">
        <f>AND('STERLING CATALOG - FZN &amp; CHILL'!H244,"AAAAAF93b0I=")</f>
        <v>#VALUE!</v>
      </c>
      <c r="BP255" t="e">
        <f>AND('STERLING CATALOG - FZN &amp; CHILL'!I244,"AAAAAF93b0M=")</f>
        <v>#VALUE!</v>
      </c>
      <c r="BQ255" t="e">
        <f>AND('STERLING CATALOG - FZN &amp; CHILL'!J244,"AAAAAF93b0Q=")</f>
        <v>#VALUE!</v>
      </c>
      <c r="BR255">
        <f>IF('STERLING CATALOG - FZN &amp; CHILL'!245:245,"AAAAAF93b0U=",0)</f>
        <v>0</v>
      </c>
      <c r="BS255" t="e">
        <f>AND('STERLING CATALOG - FZN &amp; CHILL'!A245,"AAAAAF93b0Y=")</f>
        <v>#VALUE!</v>
      </c>
      <c r="BT255" t="e">
        <f>AND('STERLING CATALOG - FZN &amp; CHILL'!B245,"AAAAAF93b0c=")</f>
        <v>#VALUE!</v>
      </c>
      <c r="BU255" t="e">
        <f>AND('STERLING CATALOG - FZN &amp; CHILL'!C245,"AAAAAF93b0g=")</f>
        <v>#VALUE!</v>
      </c>
      <c r="BV255" t="e">
        <f>AND('STERLING CATALOG - FZN &amp; CHILL'!D245,"AAAAAF93b0k=")</f>
        <v>#VALUE!</v>
      </c>
      <c r="BW255" t="e">
        <f>AND('STERLING CATALOG - FZN &amp; CHILL'!E245,"AAAAAF93b0o=")</f>
        <v>#VALUE!</v>
      </c>
      <c r="BX255" t="e">
        <f>AND('STERLING CATALOG - FZN &amp; CHILL'!F245,"AAAAAF93b0s=")</f>
        <v>#VALUE!</v>
      </c>
      <c r="BY255" t="e">
        <f>AND('STERLING CATALOG - FZN &amp; CHILL'!G245,"AAAAAF93b0w=")</f>
        <v>#VALUE!</v>
      </c>
      <c r="BZ255" t="e">
        <f>AND('STERLING CATALOG - FZN &amp; CHILL'!H245,"AAAAAF93b00=")</f>
        <v>#VALUE!</v>
      </c>
      <c r="CA255" t="e">
        <f>AND('STERLING CATALOG - FZN &amp; CHILL'!I245,"AAAAAF93b04=")</f>
        <v>#VALUE!</v>
      </c>
      <c r="CB255" t="e">
        <f>AND('STERLING CATALOG - FZN &amp; CHILL'!J245,"AAAAAF93b08=")</f>
        <v>#VALUE!</v>
      </c>
      <c r="CC255">
        <f>IF('STERLING CATALOG - FZN &amp; CHILL'!246:246,"AAAAAF93b1A=",0)</f>
        <v>0</v>
      </c>
      <c r="CD255" t="e">
        <f>AND('STERLING CATALOG - FZN &amp; CHILL'!A246,"AAAAAF93b1E=")</f>
        <v>#VALUE!</v>
      </c>
      <c r="CE255" t="e">
        <f>AND('STERLING CATALOG - FZN &amp; CHILL'!B246,"AAAAAF93b1I=")</f>
        <v>#VALUE!</v>
      </c>
      <c r="CF255" t="e">
        <f>AND('STERLING CATALOG - FZN &amp; CHILL'!C246,"AAAAAF93b1M=")</f>
        <v>#VALUE!</v>
      </c>
      <c r="CG255" t="e">
        <f>AND('STERLING CATALOG - FZN &amp; CHILL'!D246,"AAAAAF93b1Q=")</f>
        <v>#VALUE!</v>
      </c>
      <c r="CH255" t="e">
        <f>AND('STERLING CATALOG - FZN &amp; CHILL'!E246,"AAAAAF93b1U=")</f>
        <v>#VALUE!</v>
      </c>
      <c r="CI255" t="e">
        <f>AND('STERLING CATALOG - FZN &amp; CHILL'!F246,"AAAAAF93b1Y=")</f>
        <v>#VALUE!</v>
      </c>
      <c r="CJ255" t="e">
        <f>AND('STERLING CATALOG - FZN &amp; CHILL'!G246,"AAAAAF93b1c=")</f>
        <v>#VALUE!</v>
      </c>
      <c r="CK255" t="e">
        <f>AND('STERLING CATALOG - FZN &amp; CHILL'!H246,"AAAAAF93b1g=")</f>
        <v>#VALUE!</v>
      </c>
      <c r="CL255" t="e">
        <f>AND('STERLING CATALOG - FZN &amp; CHILL'!I246,"AAAAAF93b1k=")</f>
        <v>#VALUE!</v>
      </c>
      <c r="CM255" t="e">
        <f>AND('STERLING CATALOG - FZN &amp; CHILL'!J246,"AAAAAF93b1o=")</f>
        <v>#VALUE!</v>
      </c>
      <c r="CN255">
        <f>IF('STERLING CATALOG - FZN &amp; CHILL'!247:247,"AAAAAF93b1s=",0)</f>
        <v>0</v>
      </c>
      <c r="CO255" t="e">
        <f>AND('STERLING CATALOG - FZN &amp; CHILL'!A247,"AAAAAF93b1w=")</f>
        <v>#VALUE!</v>
      </c>
      <c r="CP255" t="e">
        <f>AND('STERLING CATALOG - FZN &amp; CHILL'!B247,"AAAAAF93b10=")</f>
        <v>#VALUE!</v>
      </c>
      <c r="CQ255" t="e">
        <f>AND('STERLING CATALOG - FZN &amp; CHILL'!C247,"AAAAAF93b14=")</f>
        <v>#VALUE!</v>
      </c>
      <c r="CR255" t="e">
        <f>AND('STERLING CATALOG - FZN &amp; CHILL'!D247,"AAAAAF93b18=")</f>
        <v>#VALUE!</v>
      </c>
      <c r="CS255" t="e">
        <f>AND('STERLING CATALOG - FZN &amp; CHILL'!E247,"AAAAAF93b2A=")</f>
        <v>#VALUE!</v>
      </c>
      <c r="CT255" t="e">
        <f>AND('STERLING CATALOG - FZN &amp; CHILL'!F247,"AAAAAF93b2E=")</f>
        <v>#VALUE!</v>
      </c>
      <c r="CU255" t="e">
        <f>AND('STERLING CATALOG - FZN &amp; CHILL'!G247,"AAAAAF93b2I=")</f>
        <v>#VALUE!</v>
      </c>
      <c r="CV255" t="e">
        <f>AND('STERLING CATALOG - FZN &amp; CHILL'!H247,"AAAAAF93b2M=")</f>
        <v>#VALUE!</v>
      </c>
      <c r="CW255" t="e">
        <f>AND('STERLING CATALOG - FZN &amp; CHILL'!I247,"AAAAAF93b2Q=")</f>
        <v>#VALUE!</v>
      </c>
      <c r="CX255" t="e">
        <f>AND('STERLING CATALOG - FZN &amp; CHILL'!J247,"AAAAAF93b2U=")</f>
        <v>#VALUE!</v>
      </c>
      <c r="CY255">
        <f>IF('STERLING CATALOG - FZN &amp; CHILL'!248:248,"AAAAAF93b2Y=",0)</f>
        <v>0</v>
      </c>
      <c r="CZ255" t="e">
        <f>AND('STERLING CATALOG - FZN &amp; CHILL'!A248,"AAAAAF93b2c=")</f>
        <v>#VALUE!</v>
      </c>
      <c r="DA255" t="e">
        <f>AND('STERLING CATALOG - FZN &amp; CHILL'!B248,"AAAAAF93b2g=")</f>
        <v>#VALUE!</v>
      </c>
      <c r="DB255" t="e">
        <f>AND('STERLING CATALOG - FZN &amp; CHILL'!C248,"AAAAAF93b2k=")</f>
        <v>#VALUE!</v>
      </c>
      <c r="DC255" t="e">
        <f>AND('STERLING CATALOG - FZN &amp; CHILL'!D248,"AAAAAF93b2o=")</f>
        <v>#VALUE!</v>
      </c>
      <c r="DD255" t="e">
        <f>AND('STERLING CATALOG - FZN &amp; CHILL'!E248,"AAAAAF93b2s=")</f>
        <v>#VALUE!</v>
      </c>
      <c r="DE255" t="e">
        <f>AND('STERLING CATALOG - FZN &amp; CHILL'!F248,"AAAAAF93b2w=")</f>
        <v>#VALUE!</v>
      </c>
      <c r="DF255" t="e">
        <f>AND('STERLING CATALOG - FZN &amp; CHILL'!G248,"AAAAAF93b20=")</f>
        <v>#VALUE!</v>
      </c>
      <c r="DG255" t="e">
        <f>AND('STERLING CATALOG - FZN &amp; CHILL'!H248,"AAAAAF93b24=")</f>
        <v>#VALUE!</v>
      </c>
      <c r="DH255" t="e">
        <f>AND('STERLING CATALOG - FZN &amp; CHILL'!I248,"AAAAAF93b28=")</f>
        <v>#VALUE!</v>
      </c>
      <c r="DI255" t="e">
        <f>AND('STERLING CATALOG - FZN &amp; CHILL'!J248,"AAAAAF93b3A=")</f>
        <v>#VALUE!</v>
      </c>
      <c r="DJ255">
        <f>IF('STERLING CATALOG - FZN &amp; CHILL'!249:249,"AAAAAF93b3E=",0)</f>
        <v>0</v>
      </c>
      <c r="DK255" t="e">
        <f>AND('STERLING CATALOG - FZN &amp; CHILL'!A249,"AAAAAF93b3I=")</f>
        <v>#VALUE!</v>
      </c>
      <c r="DL255" t="e">
        <f>AND('STERLING CATALOG - FZN &amp; CHILL'!B249,"AAAAAF93b3M=")</f>
        <v>#VALUE!</v>
      </c>
      <c r="DM255" t="e">
        <f>AND('STERLING CATALOG - FZN &amp; CHILL'!C249,"AAAAAF93b3Q=")</f>
        <v>#VALUE!</v>
      </c>
      <c r="DN255" t="e">
        <f>AND('STERLING CATALOG - FZN &amp; CHILL'!D249,"AAAAAF93b3U=")</f>
        <v>#VALUE!</v>
      </c>
      <c r="DO255" t="e">
        <f>AND('STERLING CATALOG - FZN &amp; CHILL'!E249,"AAAAAF93b3Y=")</f>
        <v>#VALUE!</v>
      </c>
      <c r="DP255" t="e">
        <f>AND('STERLING CATALOG - FZN &amp; CHILL'!F249,"AAAAAF93b3c=")</f>
        <v>#VALUE!</v>
      </c>
      <c r="DQ255" t="e">
        <f>AND('STERLING CATALOG - FZN &amp; CHILL'!G249,"AAAAAF93b3g=")</f>
        <v>#VALUE!</v>
      </c>
      <c r="DR255" t="e">
        <f>AND('STERLING CATALOG - FZN &amp; CHILL'!H249,"AAAAAF93b3k=")</f>
        <v>#VALUE!</v>
      </c>
      <c r="DS255" t="e">
        <f>AND('STERLING CATALOG - FZN &amp; CHILL'!I249,"AAAAAF93b3o=")</f>
        <v>#VALUE!</v>
      </c>
      <c r="DT255" t="e">
        <f>AND('STERLING CATALOG - FZN &amp; CHILL'!J249,"AAAAAF93b3s=")</f>
        <v>#VALUE!</v>
      </c>
      <c r="DU255">
        <f>IF('STERLING CATALOG - FZN &amp; CHILL'!250:250,"AAAAAF93b3w=",0)</f>
        <v>0</v>
      </c>
      <c r="DV255" t="e">
        <f>AND('STERLING CATALOG - FZN &amp; CHILL'!A250,"AAAAAF93b30=")</f>
        <v>#VALUE!</v>
      </c>
      <c r="DW255" t="e">
        <f>AND('STERLING CATALOG - FZN &amp; CHILL'!B250,"AAAAAF93b34=")</f>
        <v>#VALUE!</v>
      </c>
      <c r="DX255" t="e">
        <f>AND('STERLING CATALOG - FZN &amp; CHILL'!C250,"AAAAAF93b38=")</f>
        <v>#VALUE!</v>
      </c>
      <c r="DY255" t="e">
        <f>AND('STERLING CATALOG - FZN &amp; CHILL'!D250,"AAAAAF93b4A=")</f>
        <v>#VALUE!</v>
      </c>
      <c r="DZ255" t="e">
        <f>AND('STERLING CATALOG - FZN &amp; CHILL'!E250,"AAAAAF93b4E=")</f>
        <v>#VALUE!</v>
      </c>
      <c r="EA255" t="e">
        <f>AND('STERLING CATALOG - FZN &amp; CHILL'!F250,"AAAAAF93b4I=")</f>
        <v>#VALUE!</v>
      </c>
      <c r="EB255" t="e">
        <f>AND('STERLING CATALOG - FZN &amp; CHILL'!G250,"AAAAAF93b4M=")</f>
        <v>#VALUE!</v>
      </c>
      <c r="EC255" t="e">
        <f>AND('STERLING CATALOG - FZN &amp; CHILL'!H250,"AAAAAF93b4Q=")</f>
        <v>#VALUE!</v>
      </c>
      <c r="ED255" t="e">
        <f>AND('STERLING CATALOG - FZN &amp; CHILL'!I250,"AAAAAF93b4U=")</f>
        <v>#VALUE!</v>
      </c>
      <c r="EE255" t="e">
        <f>AND('STERLING CATALOG - FZN &amp; CHILL'!J250,"AAAAAF93b4Y=")</f>
        <v>#VALUE!</v>
      </c>
      <c r="EF255">
        <f>IF('STERLING CATALOG - FZN &amp; CHILL'!251:251,"AAAAAF93b4c=",0)</f>
        <v>0</v>
      </c>
      <c r="EG255" t="e">
        <f>AND('STERLING CATALOG - FZN &amp; CHILL'!A251,"AAAAAF93b4g=")</f>
        <v>#VALUE!</v>
      </c>
      <c r="EH255" t="e">
        <f>AND('STERLING CATALOG - FZN &amp; CHILL'!B251,"AAAAAF93b4k=")</f>
        <v>#VALUE!</v>
      </c>
      <c r="EI255" t="e">
        <f>AND('STERLING CATALOG - FZN &amp; CHILL'!C251,"AAAAAF93b4o=")</f>
        <v>#VALUE!</v>
      </c>
      <c r="EJ255" t="e">
        <f>AND('STERLING CATALOG - FZN &amp; CHILL'!D251,"AAAAAF93b4s=")</f>
        <v>#VALUE!</v>
      </c>
      <c r="EK255" t="e">
        <f>AND('STERLING CATALOG - FZN &amp; CHILL'!E251,"AAAAAF93b4w=")</f>
        <v>#VALUE!</v>
      </c>
      <c r="EL255" t="e">
        <f>AND('STERLING CATALOG - FZN &amp; CHILL'!F251,"AAAAAF93b40=")</f>
        <v>#VALUE!</v>
      </c>
      <c r="EM255" t="e">
        <f>AND('STERLING CATALOG - FZN &amp; CHILL'!G251,"AAAAAF93b44=")</f>
        <v>#VALUE!</v>
      </c>
      <c r="EN255" t="e">
        <f>AND('STERLING CATALOG - FZN &amp; CHILL'!H251,"AAAAAF93b48=")</f>
        <v>#VALUE!</v>
      </c>
      <c r="EO255" t="e">
        <f>AND('STERLING CATALOG - FZN &amp; CHILL'!I251,"AAAAAF93b5A=")</f>
        <v>#VALUE!</v>
      </c>
      <c r="EP255" t="e">
        <f>AND('STERLING CATALOG - FZN &amp; CHILL'!J251,"AAAAAF93b5E=")</f>
        <v>#VALUE!</v>
      </c>
      <c r="EQ255">
        <f>IF('STERLING CATALOG - FZN &amp; CHILL'!252:252,"AAAAAF93b5I=",0)</f>
        <v>0</v>
      </c>
      <c r="ER255" t="e">
        <f>AND('STERLING CATALOG - FZN &amp; CHILL'!A252,"AAAAAF93b5M=")</f>
        <v>#VALUE!</v>
      </c>
      <c r="ES255" t="e">
        <f>AND('STERLING CATALOG - FZN &amp; CHILL'!B252,"AAAAAF93b5Q=")</f>
        <v>#VALUE!</v>
      </c>
      <c r="ET255" t="e">
        <f>AND('STERLING CATALOG - FZN &amp; CHILL'!C252,"AAAAAF93b5U=")</f>
        <v>#VALUE!</v>
      </c>
      <c r="EU255" t="e">
        <f>AND('STERLING CATALOG - FZN &amp; CHILL'!D252,"AAAAAF93b5Y=")</f>
        <v>#VALUE!</v>
      </c>
      <c r="EV255" t="e">
        <f>AND('STERLING CATALOG - FZN &amp; CHILL'!E252,"AAAAAF93b5c=")</f>
        <v>#VALUE!</v>
      </c>
      <c r="EW255" t="e">
        <f>AND('STERLING CATALOG - FZN &amp; CHILL'!F252,"AAAAAF93b5g=")</f>
        <v>#VALUE!</v>
      </c>
      <c r="EX255" t="e">
        <f>AND('STERLING CATALOG - FZN &amp; CHILL'!G252,"AAAAAF93b5k=")</f>
        <v>#VALUE!</v>
      </c>
      <c r="EY255" t="e">
        <f>AND('STERLING CATALOG - FZN &amp; CHILL'!H252,"AAAAAF93b5o=")</f>
        <v>#VALUE!</v>
      </c>
      <c r="EZ255" t="e">
        <f>AND('STERLING CATALOG - FZN &amp; CHILL'!I252,"AAAAAF93b5s=")</f>
        <v>#VALUE!</v>
      </c>
      <c r="FA255" t="e">
        <f>AND('STERLING CATALOG - FZN &amp; CHILL'!J252,"AAAAAF93b5w=")</f>
        <v>#VALUE!</v>
      </c>
      <c r="FB255">
        <f>IF('STERLING CATALOG - FZN &amp; CHILL'!253:253,"AAAAAF93b50=",0)</f>
        <v>0</v>
      </c>
      <c r="FC255" t="e">
        <f>AND('STERLING CATALOG - FZN &amp; CHILL'!A253,"AAAAAF93b54=")</f>
        <v>#VALUE!</v>
      </c>
      <c r="FD255" t="e">
        <f>AND('STERLING CATALOG - FZN &amp; CHILL'!B253,"AAAAAF93b58=")</f>
        <v>#VALUE!</v>
      </c>
      <c r="FE255" t="e">
        <f>AND('STERLING CATALOG - FZN &amp; CHILL'!C253,"AAAAAF93b6A=")</f>
        <v>#VALUE!</v>
      </c>
      <c r="FF255" t="e">
        <f>AND('STERLING CATALOG - FZN &amp; CHILL'!D253,"AAAAAF93b6E=")</f>
        <v>#VALUE!</v>
      </c>
      <c r="FG255" t="e">
        <f>AND('STERLING CATALOG - FZN &amp; CHILL'!E253,"AAAAAF93b6I=")</f>
        <v>#VALUE!</v>
      </c>
      <c r="FH255" t="e">
        <f>AND('STERLING CATALOG - FZN &amp; CHILL'!F253,"AAAAAF93b6M=")</f>
        <v>#VALUE!</v>
      </c>
      <c r="FI255" t="e">
        <f>AND('STERLING CATALOG - FZN &amp; CHILL'!G253,"AAAAAF93b6Q=")</f>
        <v>#VALUE!</v>
      </c>
      <c r="FJ255" t="e">
        <f>AND('STERLING CATALOG - FZN &amp; CHILL'!H253,"AAAAAF93b6U=")</f>
        <v>#VALUE!</v>
      </c>
      <c r="FK255" t="e">
        <f>AND('STERLING CATALOG - FZN &amp; CHILL'!I253,"AAAAAF93b6Y=")</f>
        <v>#VALUE!</v>
      </c>
      <c r="FL255" t="e">
        <f>AND('STERLING CATALOG - FZN &amp; CHILL'!J253,"AAAAAF93b6c=")</f>
        <v>#VALUE!</v>
      </c>
      <c r="FM255">
        <f>IF('STERLING CATALOG - FZN &amp; CHILL'!254:254,"AAAAAF93b6g=",0)</f>
        <v>0</v>
      </c>
      <c r="FN255" t="e">
        <f>AND('STERLING CATALOG - FZN &amp; CHILL'!A254,"AAAAAF93b6k=")</f>
        <v>#VALUE!</v>
      </c>
      <c r="FO255" t="e">
        <f>AND('STERLING CATALOG - FZN &amp; CHILL'!B254,"AAAAAF93b6o=")</f>
        <v>#VALUE!</v>
      </c>
      <c r="FP255" t="e">
        <f>AND('STERLING CATALOG - FZN &amp; CHILL'!C254,"AAAAAF93b6s=")</f>
        <v>#VALUE!</v>
      </c>
      <c r="FQ255" t="e">
        <f>AND('STERLING CATALOG - FZN &amp; CHILL'!D254,"AAAAAF93b6w=")</f>
        <v>#VALUE!</v>
      </c>
      <c r="FR255" t="e">
        <f>AND('STERLING CATALOG - FZN &amp; CHILL'!E254,"AAAAAF93b60=")</f>
        <v>#VALUE!</v>
      </c>
      <c r="FS255" t="e">
        <f>AND('STERLING CATALOG - FZN &amp; CHILL'!F254,"AAAAAF93b64=")</f>
        <v>#VALUE!</v>
      </c>
      <c r="FT255" t="e">
        <f>AND('STERLING CATALOG - FZN &amp; CHILL'!G254,"AAAAAF93b68=")</f>
        <v>#VALUE!</v>
      </c>
      <c r="FU255" t="e">
        <f>AND('STERLING CATALOG - FZN &amp; CHILL'!H254,"AAAAAF93b7A=")</f>
        <v>#VALUE!</v>
      </c>
      <c r="FV255" t="e">
        <f>AND('STERLING CATALOG - FZN &amp; CHILL'!I254,"AAAAAF93b7E=")</f>
        <v>#VALUE!</v>
      </c>
      <c r="FW255" t="e">
        <f>AND('STERLING CATALOG - FZN &amp; CHILL'!J254,"AAAAAF93b7I=")</f>
        <v>#VALUE!</v>
      </c>
      <c r="FX255">
        <f>IF('STERLING CATALOG - FZN &amp; CHILL'!255:255,"AAAAAF93b7M=",0)</f>
        <v>0</v>
      </c>
      <c r="FY255" t="e">
        <f>AND('STERLING CATALOG - FZN &amp; CHILL'!A255,"AAAAAF93b7Q=")</f>
        <v>#VALUE!</v>
      </c>
      <c r="FZ255" t="e">
        <f>AND('STERLING CATALOG - FZN &amp; CHILL'!B255,"AAAAAF93b7U=")</f>
        <v>#VALUE!</v>
      </c>
      <c r="GA255" t="e">
        <f>AND('STERLING CATALOG - FZN &amp; CHILL'!C255,"AAAAAF93b7Y=")</f>
        <v>#VALUE!</v>
      </c>
      <c r="GB255" t="e">
        <f>AND('STERLING CATALOG - FZN &amp; CHILL'!D255,"AAAAAF93b7c=")</f>
        <v>#VALUE!</v>
      </c>
      <c r="GC255" t="e">
        <f>AND('STERLING CATALOG - FZN &amp; CHILL'!E255,"AAAAAF93b7g=")</f>
        <v>#VALUE!</v>
      </c>
      <c r="GD255" t="e">
        <f>AND('STERLING CATALOG - FZN &amp; CHILL'!F255,"AAAAAF93b7k=")</f>
        <v>#VALUE!</v>
      </c>
      <c r="GE255" t="e">
        <f>AND('STERLING CATALOG - FZN &amp; CHILL'!G255,"AAAAAF93b7o=")</f>
        <v>#VALUE!</v>
      </c>
      <c r="GF255" t="e">
        <f>AND('STERLING CATALOG - FZN &amp; CHILL'!H255,"AAAAAF93b7s=")</f>
        <v>#VALUE!</v>
      </c>
      <c r="GG255" t="e">
        <f>AND('STERLING CATALOG - FZN &amp; CHILL'!I255,"AAAAAF93b7w=")</f>
        <v>#VALUE!</v>
      </c>
      <c r="GH255" t="e">
        <f>AND('STERLING CATALOG - FZN &amp; CHILL'!J255,"AAAAAF93b70=")</f>
        <v>#VALUE!</v>
      </c>
      <c r="GI255">
        <f>IF('STERLING CATALOG - FZN &amp; CHILL'!256:256,"AAAAAF93b74=",0)</f>
        <v>0</v>
      </c>
      <c r="GJ255" t="e">
        <f>AND('STERLING CATALOG - FZN &amp; CHILL'!A256,"AAAAAF93b78=")</f>
        <v>#VALUE!</v>
      </c>
      <c r="GK255" t="e">
        <f>AND('STERLING CATALOG - FZN &amp; CHILL'!B256,"AAAAAF93b8A=")</f>
        <v>#VALUE!</v>
      </c>
      <c r="GL255" t="e">
        <f>AND('STERLING CATALOG - FZN &amp; CHILL'!C256,"AAAAAF93b8E=")</f>
        <v>#VALUE!</v>
      </c>
      <c r="GM255" t="e">
        <f>AND('STERLING CATALOG - FZN &amp; CHILL'!D256,"AAAAAF93b8I=")</f>
        <v>#VALUE!</v>
      </c>
      <c r="GN255" t="e">
        <f>AND('STERLING CATALOG - FZN &amp; CHILL'!E256,"AAAAAF93b8M=")</f>
        <v>#VALUE!</v>
      </c>
      <c r="GO255" t="e">
        <f>AND('STERLING CATALOG - FZN &amp; CHILL'!F256,"AAAAAF93b8Q=")</f>
        <v>#VALUE!</v>
      </c>
      <c r="GP255" t="e">
        <f>AND('STERLING CATALOG - FZN &amp; CHILL'!G256,"AAAAAF93b8U=")</f>
        <v>#VALUE!</v>
      </c>
      <c r="GQ255" t="e">
        <f>AND('STERLING CATALOG - FZN &amp; CHILL'!H256,"AAAAAF93b8Y=")</f>
        <v>#VALUE!</v>
      </c>
      <c r="GR255" t="e">
        <f>AND('STERLING CATALOG - FZN &amp; CHILL'!I256,"AAAAAF93b8c=")</f>
        <v>#VALUE!</v>
      </c>
      <c r="GS255" t="e">
        <f>AND('STERLING CATALOG - FZN &amp; CHILL'!J256,"AAAAAF93b8g=")</f>
        <v>#VALUE!</v>
      </c>
      <c r="GT255">
        <f>IF('STERLING CATALOG - FZN &amp; CHILL'!257:257,"AAAAAF93b8k=",0)</f>
        <v>0</v>
      </c>
      <c r="GU255" t="e">
        <f>AND('STERLING CATALOG - FZN &amp; CHILL'!A257,"AAAAAF93b8o=")</f>
        <v>#VALUE!</v>
      </c>
      <c r="GV255" t="e">
        <f>AND('STERLING CATALOG - FZN &amp; CHILL'!B257,"AAAAAF93b8s=")</f>
        <v>#VALUE!</v>
      </c>
      <c r="GW255" t="e">
        <f>AND('STERLING CATALOG - FZN &amp; CHILL'!C257,"AAAAAF93b8w=")</f>
        <v>#VALUE!</v>
      </c>
      <c r="GX255" t="e">
        <f>AND('STERLING CATALOG - FZN &amp; CHILL'!D257,"AAAAAF93b80=")</f>
        <v>#VALUE!</v>
      </c>
      <c r="GY255" t="e">
        <f>AND('STERLING CATALOG - FZN &amp; CHILL'!E257,"AAAAAF93b84=")</f>
        <v>#VALUE!</v>
      </c>
      <c r="GZ255" t="e">
        <f>AND('STERLING CATALOG - FZN &amp; CHILL'!F257,"AAAAAF93b88=")</f>
        <v>#VALUE!</v>
      </c>
      <c r="HA255" t="e">
        <f>AND('STERLING CATALOG - FZN &amp; CHILL'!G257,"AAAAAF93b9A=")</f>
        <v>#VALUE!</v>
      </c>
      <c r="HB255" t="e">
        <f>AND('STERLING CATALOG - FZN &amp; CHILL'!H257,"AAAAAF93b9E=")</f>
        <v>#VALUE!</v>
      </c>
      <c r="HC255" t="e">
        <f>AND('STERLING CATALOG - FZN &amp; CHILL'!I257,"AAAAAF93b9I=")</f>
        <v>#VALUE!</v>
      </c>
      <c r="HD255" t="e">
        <f>AND('STERLING CATALOG - FZN &amp; CHILL'!J257,"AAAAAF93b9M=")</f>
        <v>#VALUE!</v>
      </c>
      <c r="HE255">
        <f>IF('STERLING CATALOG - FZN &amp; CHILL'!258:258,"AAAAAF93b9Q=",0)</f>
        <v>0</v>
      </c>
      <c r="HF255" t="e">
        <f>AND('STERLING CATALOG - FZN &amp; CHILL'!A258,"AAAAAF93b9U=")</f>
        <v>#VALUE!</v>
      </c>
      <c r="HG255" t="e">
        <f>AND('STERLING CATALOG - FZN &amp; CHILL'!B258,"AAAAAF93b9Y=")</f>
        <v>#VALUE!</v>
      </c>
      <c r="HH255" t="e">
        <f>AND('STERLING CATALOG - FZN &amp; CHILL'!C258,"AAAAAF93b9c=")</f>
        <v>#VALUE!</v>
      </c>
      <c r="HI255" t="e">
        <f>AND('STERLING CATALOG - FZN &amp; CHILL'!D258,"AAAAAF93b9g=")</f>
        <v>#VALUE!</v>
      </c>
      <c r="HJ255" t="e">
        <f>AND('STERLING CATALOG - FZN &amp; CHILL'!E258,"AAAAAF93b9k=")</f>
        <v>#VALUE!</v>
      </c>
      <c r="HK255" t="e">
        <f>AND('STERLING CATALOG - FZN &amp; CHILL'!F258,"AAAAAF93b9o=")</f>
        <v>#VALUE!</v>
      </c>
      <c r="HL255" t="e">
        <f>AND('STERLING CATALOG - FZN &amp; CHILL'!G258,"AAAAAF93b9s=")</f>
        <v>#VALUE!</v>
      </c>
      <c r="HM255" t="e">
        <f>AND('STERLING CATALOG - FZN &amp; CHILL'!H258,"AAAAAF93b9w=")</f>
        <v>#VALUE!</v>
      </c>
      <c r="HN255" t="e">
        <f>AND('STERLING CATALOG - FZN &amp; CHILL'!I258,"AAAAAF93b90=")</f>
        <v>#VALUE!</v>
      </c>
      <c r="HO255" t="e">
        <f>AND('STERLING CATALOG - FZN &amp; CHILL'!J258,"AAAAAF93b94=")</f>
        <v>#VALUE!</v>
      </c>
      <c r="HP255">
        <f>IF('STERLING CATALOG - FZN &amp; CHILL'!259:259,"AAAAAF93b98=",0)</f>
        <v>0</v>
      </c>
      <c r="HQ255" t="e">
        <f>AND('STERLING CATALOG - FZN &amp; CHILL'!A259,"AAAAAF93b+A=")</f>
        <v>#VALUE!</v>
      </c>
      <c r="HR255" t="e">
        <f>AND('STERLING CATALOG - FZN &amp; CHILL'!B259,"AAAAAF93b+E=")</f>
        <v>#VALUE!</v>
      </c>
      <c r="HS255" t="e">
        <f>AND('STERLING CATALOG - FZN &amp; CHILL'!C259,"AAAAAF93b+I=")</f>
        <v>#VALUE!</v>
      </c>
      <c r="HT255" t="e">
        <f>AND('STERLING CATALOG - FZN &amp; CHILL'!D259,"AAAAAF93b+M=")</f>
        <v>#VALUE!</v>
      </c>
      <c r="HU255" t="e">
        <f>AND('STERLING CATALOG - FZN &amp; CHILL'!E259,"AAAAAF93b+Q=")</f>
        <v>#VALUE!</v>
      </c>
      <c r="HV255" t="e">
        <f>AND('STERLING CATALOG - FZN &amp; CHILL'!F259,"AAAAAF93b+U=")</f>
        <v>#VALUE!</v>
      </c>
      <c r="HW255" t="e">
        <f>AND('STERLING CATALOG - FZN &amp; CHILL'!G259,"AAAAAF93b+Y=")</f>
        <v>#VALUE!</v>
      </c>
      <c r="HX255" t="e">
        <f>AND('STERLING CATALOG - FZN &amp; CHILL'!H259,"AAAAAF93b+c=")</f>
        <v>#VALUE!</v>
      </c>
      <c r="HY255" t="e">
        <f>AND('STERLING CATALOG - FZN &amp; CHILL'!I259,"AAAAAF93b+g=")</f>
        <v>#VALUE!</v>
      </c>
      <c r="HZ255" t="e">
        <f>AND('STERLING CATALOG - FZN &amp; CHILL'!J259,"AAAAAF93b+k=")</f>
        <v>#VALUE!</v>
      </c>
      <c r="IA255">
        <f>IF('STERLING CATALOG - FZN &amp; CHILL'!260:260,"AAAAAF93b+o=",0)</f>
        <v>0</v>
      </c>
      <c r="IB255" t="e">
        <f>AND('STERLING CATALOG - FZN &amp; CHILL'!A260,"AAAAAF93b+s=")</f>
        <v>#VALUE!</v>
      </c>
      <c r="IC255" t="e">
        <f>AND('STERLING CATALOG - FZN &amp; CHILL'!B260,"AAAAAF93b+w=")</f>
        <v>#VALUE!</v>
      </c>
      <c r="ID255" t="e">
        <f>AND('STERLING CATALOG - FZN &amp; CHILL'!C260,"AAAAAF93b+0=")</f>
        <v>#VALUE!</v>
      </c>
      <c r="IE255" t="e">
        <f>AND('STERLING CATALOG - FZN &amp; CHILL'!D260,"AAAAAF93b+4=")</f>
        <v>#VALUE!</v>
      </c>
      <c r="IF255" t="e">
        <f>AND('STERLING CATALOG - FZN &amp; CHILL'!E260,"AAAAAF93b+8=")</f>
        <v>#VALUE!</v>
      </c>
      <c r="IG255" t="e">
        <f>AND('STERLING CATALOG - FZN &amp; CHILL'!F260,"AAAAAF93b/A=")</f>
        <v>#VALUE!</v>
      </c>
      <c r="IH255" t="e">
        <f>AND('STERLING CATALOG - FZN &amp; CHILL'!G260,"AAAAAF93b/E=")</f>
        <v>#VALUE!</v>
      </c>
      <c r="II255" t="e">
        <f>AND('STERLING CATALOG - FZN &amp; CHILL'!H260,"AAAAAF93b/I=")</f>
        <v>#VALUE!</v>
      </c>
      <c r="IJ255" t="e">
        <f>AND('STERLING CATALOG - FZN &amp; CHILL'!I260,"AAAAAF93b/M=")</f>
        <v>#VALUE!</v>
      </c>
      <c r="IK255" t="e">
        <f>AND('STERLING CATALOG - FZN &amp; CHILL'!J260,"AAAAAF93b/Q=")</f>
        <v>#VALUE!</v>
      </c>
      <c r="IL255">
        <f>IF('STERLING CATALOG - FZN &amp; CHILL'!261:261,"AAAAAF93b/U=",0)</f>
        <v>0</v>
      </c>
      <c r="IM255" t="e">
        <f>AND('STERLING CATALOG - FZN &amp; CHILL'!A261,"AAAAAF93b/Y=")</f>
        <v>#VALUE!</v>
      </c>
      <c r="IN255" t="e">
        <f>AND('STERLING CATALOG - FZN &amp; CHILL'!B261,"AAAAAF93b/c=")</f>
        <v>#VALUE!</v>
      </c>
      <c r="IO255" t="e">
        <f>AND('STERLING CATALOG - FZN &amp; CHILL'!C261,"AAAAAF93b/g=")</f>
        <v>#VALUE!</v>
      </c>
      <c r="IP255" t="e">
        <f>AND('STERLING CATALOG - FZN &amp; CHILL'!D261,"AAAAAF93b/k=")</f>
        <v>#VALUE!</v>
      </c>
      <c r="IQ255" t="e">
        <f>AND('STERLING CATALOG - FZN &amp; CHILL'!E261,"AAAAAF93b/o=")</f>
        <v>#VALUE!</v>
      </c>
      <c r="IR255" t="e">
        <f>AND('STERLING CATALOG - FZN &amp; CHILL'!F261,"AAAAAF93b/s=")</f>
        <v>#VALUE!</v>
      </c>
      <c r="IS255" t="e">
        <f>AND('STERLING CATALOG - FZN &amp; CHILL'!G261,"AAAAAF93b/w=")</f>
        <v>#VALUE!</v>
      </c>
      <c r="IT255" t="e">
        <f>AND('STERLING CATALOG - FZN &amp; CHILL'!H261,"AAAAAF93b/0=")</f>
        <v>#VALUE!</v>
      </c>
      <c r="IU255" t="e">
        <f>AND('STERLING CATALOG - FZN &amp; CHILL'!I261,"AAAAAF93b/4=")</f>
        <v>#VALUE!</v>
      </c>
      <c r="IV255" t="e">
        <f>AND('STERLING CATALOG - FZN &amp; CHILL'!J261,"AAAAAF93b/8=")</f>
        <v>#VALUE!</v>
      </c>
    </row>
    <row r="256" spans="1:256">
      <c r="A256" t="str">
        <f>IF('STERLING CATALOG - FZN &amp; CHILL'!262:262,"AAAAAF807wA=",0)</f>
        <v>AAAAAF807wA=</v>
      </c>
      <c r="B256" t="e">
        <f>AND('STERLING CATALOG - FZN &amp; CHILL'!A262,"AAAAAF807wE=")</f>
        <v>#VALUE!</v>
      </c>
      <c r="C256" t="e">
        <f>AND('STERLING CATALOG - FZN &amp; CHILL'!B262,"AAAAAF807wI=")</f>
        <v>#VALUE!</v>
      </c>
      <c r="D256" t="e">
        <f>AND('STERLING CATALOG - FZN &amp; CHILL'!C262,"AAAAAF807wM=")</f>
        <v>#VALUE!</v>
      </c>
      <c r="E256" t="e">
        <f>AND('STERLING CATALOG - FZN &amp; CHILL'!D262,"AAAAAF807wQ=")</f>
        <v>#VALUE!</v>
      </c>
      <c r="F256" t="e">
        <f>AND('STERLING CATALOG - FZN &amp; CHILL'!E262,"AAAAAF807wU=")</f>
        <v>#VALUE!</v>
      </c>
      <c r="G256" t="e">
        <f>AND('STERLING CATALOG - FZN &amp; CHILL'!F262,"AAAAAF807wY=")</f>
        <v>#VALUE!</v>
      </c>
      <c r="H256" t="e">
        <f>AND('STERLING CATALOG - FZN &amp; CHILL'!G262,"AAAAAF807wc=")</f>
        <v>#VALUE!</v>
      </c>
      <c r="I256" t="e">
        <f>AND('STERLING CATALOG - FZN &amp; CHILL'!H262,"AAAAAF807wg=")</f>
        <v>#VALUE!</v>
      </c>
      <c r="J256" t="e">
        <f>AND('STERLING CATALOG - FZN &amp; CHILL'!I262,"AAAAAF807wk=")</f>
        <v>#VALUE!</v>
      </c>
      <c r="K256" t="e">
        <f>AND('STERLING CATALOG - FZN &amp; CHILL'!J262,"AAAAAF807wo=")</f>
        <v>#VALUE!</v>
      </c>
      <c r="L256">
        <f>IF('STERLING CATALOG - FZN &amp; CHILL'!263:263,"AAAAAF807ws=",0)</f>
        <v>0</v>
      </c>
      <c r="M256" t="e">
        <f>AND('STERLING CATALOG - FZN &amp; CHILL'!A263,"AAAAAF807ww=")</f>
        <v>#VALUE!</v>
      </c>
      <c r="N256" t="e">
        <f>AND('STERLING CATALOG - FZN &amp; CHILL'!B263,"AAAAAF807w0=")</f>
        <v>#VALUE!</v>
      </c>
      <c r="O256" t="e">
        <f>AND('STERLING CATALOG - FZN &amp; CHILL'!C263,"AAAAAF807w4=")</f>
        <v>#VALUE!</v>
      </c>
      <c r="P256" t="e">
        <f>AND('STERLING CATALOG - FZN &amp; CHILL'!D263,"AAAAAF807w8=")</f>
        <v>#VALUE!</v>
      </c>
      <c r="Q256" t="e">
        <f>AND('STERLING CATALOG - FZN &amp; CHILL'!E263,"AAAAAF807xA=")</f>
        <v>#VALUE!</v>
      </c>
      <c r="R256" t="e">
        <f>AND('STERLING CATALOG - FZN &amp; CHILL'!F263,"AAAAAF807xE=")</f>
        <v>#VALUE!</v>
      </c>
      <c r="S256" t="e">
        <f>AND('STERLING CATALOG - FZN &amp; CHILL'!G263,"AAAAAF807xI=")</f>
        <v>#VALUE!</v>
      </c>
      <c r="T256" t="e">
        <f>AND('STERLING CATALOG - FZN &amp; CHILL'!H263,"AAAAAF807xM=")</f>
        <v>#VALUE!</v>
      </c>
      <c r="U256" t="e">
        <f>AND('STERLING CATALOG - FZN &amp; CHILL'!I263,"AAAAAF807xQ=")</f>
        <v>#VALUE!</v>
      </c>
      <c r="V256" t="e">
        <f>AND('STERLING CATALOG - FZN &amp; CHILL'!J263,"AAAAAF807xU=")</f>
        <v>#VALUE!</v>
      </c>
      <c r="W256">
        <f>IF('STERLING CATALOG - FZN &amp; CHILL'!264:264,"AAAAAF807xY=",0)</f>
        <v>0</v>
      </c>
      <c r="X256" t="e">
        <f>AND('STERLING CATALOG - FZN &amp; CHILL'!A264,"AAAAAF807xc=")</f>
        <v>#VALUE!</v>
      </c>
      <c r="Y256" t="e">
        <f>AND('STERLING CATALOG - FZN &amp; CHILL'!B264,"AAAAAF807xg=")</f>
        <v>#VALUE!</v>
      </c>
      <c r="Z256" t="e">
        <f>AND('STERLING CATALOG - FZN &amp; CHILL'!C264,"AAAAAF807xk=")</f>
        <v>#VALUE!</v>
      </c>
      <c r="AA256" t="e">
        <f>AND('STERLING CATALOG - FZN &amp; CHILL'!D264,"AAAAAF807xo=")</f>
        <v>#VALUE!</v>
      </c>
      <c r="AB256" t="e">
        <f>AND('STERLING CATALOG - FZN &amp; CHILL'!E264,"AAAAAF807xs=")</f>
        <v>#VALUE!</v>
      </c>
      <c r="AC256" t="e">
        <f>AND('STERLING CATALOG - FZN &amp; CHILL'!F264,"AAAAAF807xw=")</f>
        <v>#VALUE!</v>
      </c>
      <c r="AD256" t="e">
        <f>AND('STERLING CATALOG - FZN &amp; CHILL'!G264,"AAAAAF807x0=")</f>
        <v>#VALUE!</v>
      </c>
      <c r="AE256" t="e">
        <f>AND('STERLING CATALOG - FZN &amp; CHILL'!H264,"AAAAAF807x4=")</f>
        <v>#VALUE!</v>
      </c>
      <c r="AF256" t="e">
        <f>AND('STERLING CATALOG - FZN &amp; CHILL'!I264,"AAAAAF807x8=")</f>
        <v>#VALUE!</v>
      </c>
      <c r="AG256" t="e">
        <f>AND('STERLING CATALOG - FZN &amp; CHILL'!J264,"AAAAAF807yA=")</f>
        <v>#VALUE!</v>
      </c>
      <c r="AH256">
        <f>IF('STERLING CATALOG - FZN &amp; CHILL'!265:265,"AAAAAF807yE=",0)</f>
        <v>0</v>
      </c>
      <c r="AI256" t="e">
        <f>AND('STERLING CATALOG - FZN &amp; CHILL'!A265,"AAAAAF807yI=")</f>
        <v>#VALUE!</v>
      </c>
      <c r="AJ256" t="e">
        <f>AND('STERLING CATALOG - FZN &amp; CHILL'!B265,"AAAAAF807yM=")</f>
        <v>#VALUE!</v>
      </c>
      <c r="AK256" t="e">
        <f>AND('STERLING CATALOG - FZN &amp; CHILL'!C265,"AAAAAF807yQ=")</f>
        <v>#VALUE!</v>
      </c>
      <c r="AL256" t="e">
        <f>AND('STERLING CATALOG - FZN &amp; CHILL'!D265,"AAAAAF807yU=")</f>
        <v>#VALUE!</v>
      </c>
      <c r="AM256" t="e">
        <f>AND('STERLING CATALOG - FZN &amp; CHILL'!E265,"AAAAAF807yY=")</f>
        <v>#VALUE!</v>
      </c>
      <c r="AN256" t="e">
        <f>AND('STERLING CATALOG - FZN &amp; CHILL'!F265,"AAAAAF807yc=")</f>
        <v>#VALUE!</v>
      </c>
      <c r="AO256" t="e">
        <f>AND('STERLING CATALOG - FZN &amp; CHILL'!G265,"AAAAAF807yg=")</f>
        <v>#VALUE!</v>
      </c>
      <c r="AP256" t="e">
        <f>AND('STERLING CATALOG - FZN &amp; CHILL'!H265,"AAAAAF807yk=")</f>
        <v>#VALUE!</v>
      </c>
      <c r="AQ256" t="e">
        <f>AND('STERLING CATALOG - FZN &amp; CHILL'!I265,"AAAAAF807yo=")</f>
        <v>#VALUE!</v>
      </c>
      <c r="AR256" t="e">
        <f>AND('STERLING CATALOG - FZN &amp; CHILL'!J265,"AAAAAF807ys=")</f>
        <v>#VALUE!</v>
      </c>
      <c r="AS256">
        <f>IF('STERLING CATALOG - FZN &amp; CHILL'!266:266,"AAAAAF807yw=",0)</f>
        <v>0</v>
      </c>
      <c r="AT256" t="e">
        <f>AND('STERLING CATALOG - FZN &amp; CHILL'!A266,"AAAAAF807y0=")</f>
        <v>#VALUE!</v>
      </c>
      <c r="AU256" t="e">
        <f>AND('STERLING CATALOG - FZN &amp; CHILL'!B266,"AAAAAF807y4=")</f>
        <v>#VALUE!</v>
      </c>
      <c r="AV256" t="e">
        <f>AND('STERLING CATALOG - FZN &amp; CHILL'!C266,"AAAAAF807y8=")</f>
        <v>#VALUE!</v>
      </c>
      <c r="AW256" t="e">
        <f>AND('STERLING CATALOG - FZN &amp; CHILL'!D266,"AAAAAF807zA=")</f>
        <v>#VALUE!</v>
      </c>
      <c r="AX256" t="e">
        <f>AND('STERLING CATALOG - FZN &amp; CHILL'!E266,"AAAAAF807zE=")</f>
        <v>#VALUE!</v>
      </c>
      <c r="AY256" t="e">
        <f>AND('STERLING CATALOG - FZN &amp; CHILL'!F266,"AAAAAF807zI=")</f>
        <v>#VALUE!</v>
      </c>
      <c r="AZ256" t="e">
        <f>AND('STERLING CATALOG - FZN &amp; CHILL'!G266,"AAAAAF807zM=")</f>
        <v>#VALUE!</v>
      </c>
      <c r="BA256" t="e">
        <f>AND('STERLING CATALOG - FZN &amp; CHILL'!H266,"AAAAAF807zQ=")</f>
        <v>#VALUE!</v>
      </c>
      <c r="BB256" t="e">
        <f>AND('STERLING CATALOG - FZN &amp; CHILL'!I266,"AAAAAF807zU=")</f>
        <v>#VALUE!</v>
      </c>
      <c r="BC256" t="e">
        <f>AND('STERLING CATALOG - FZN &amp; CHILL'!J266,"AAAAAF807zY=")</f>
        <v>#VALUE!</v>
      </c>
      <c r="BD256">
        <f>IF('STERLING CATALOG - FZN &amp; CHILL'!267:267,"AAAAAF807zc=",0)</f>
        <v>0</v>
      </c>
      <c r="BE256" t="e">
        <f>AND('STERLING CATALOG - FZN &amp; CHILL'!A267,"AAAAAF807zg=")</f>
        <v>#VALUE!</v>
      </c>
      <c r="BF256" t="e">
        <f>AND('STERLING CATALOG - FZN &amp; CHILL'!B267,"AAAAAF807zk=")</f>
        <v>#VALUE!</v>
      </c>
      <c r="BG256" t="e">
        <f>AND('STERLING CATALOG - FZN &amp; CHILL'!C267,"AAAAAF807zo=")</f>
        <v>#VALUE!</v>
      </c>
      <c r="BH256" t="e">
        <f>AND('STERLING CATALOG - FZN &amp; CHILL'!D267,"AAAAAF807zs=")</f>
        <v>#VALUE!</v>
      </c>
      <c r="BI256" t="e">
        <f>AND('STERLING CATALOG - FZN &amp; CHILL'!E267,"AAAAAF807zw=")</f>
        <v>#VALUE!</v>
      </c>
      <c r="BJ256" t="e">
        <f>AND('STERLING CATALOG - FZN &amp; CHILL'!F267,"AAAAAF807z0=")</f>
        <v>#VALUE!</v>
      </c>
      <c r="BK256" t="e">
        <f>AND('STERLING CATALOG - FZN &amp; CHILL'!G267,"AAAAAF807z4=")</f>
        <v>#VALUE!</v>
      </c>
      <c r="BL256" t="e">
        <f>AND('STERLING CATALOG - FZN &amp; CHILL'!H267,"AAAAAF807z8=")</f>
        <v>#VALUE!</v>
      </c>
      <c r="BM256" t="e">
        <f>AND('STERLING CATALOG - FZN &amp; CHILL'!I267,"AAAAAF8070A=")</f>
        <v>#VALUE!</v>
      </c>
      <c r="BN256" t="e">
        <f>AND('STERLING CATALOG - FZN &amp; CHILL'!J267,"AAAAAF8070E=")</f>
        <v>#VALUE!</v>
      </c>
      <c r="BO256">
        <f>IF('STERLING CATALOG - FZN &amp; CHILL'!268:268,"AAAAAF8070I=",0)</f>
        <v>0</v>
      </c>
      <c r="BP256" t="e">
        <f>AND('STERLING CATALOG - FZN &amp; CHILL'!A268,"AAAAAF8070M=")</f>
        <v>#VALUE!</v>
      </c>
      <c r="BQ256" t="e">
        <f>AND('STERLING CATALOG - FZN &amp; CHILL'!B268,"AAAAAF8070Q=")</f>
        <v>#VALUE!</v>
      </c>
      <c r="BR256" t="e">
        <f>AND('STERLING CATALOG - FZN &amp; CHILL'!C268,"AAAAAF8070U=")</f>
        <v>#VALUE!</v>
      </c>
      <c r="BS256" t="e">
        <f>AND('STERLING CATALOG - FZN &amp; CHILL'!D268,"AAAAAF8070Y=")</f>
        <v>#VALUE!</v>
      </c>
      <c r="BT256" t="e">
        <f>AND('STERLING CATALOG - FZN &amp; CHILL'!E268,"AAAAAF8070c=")</f>
        <v>#VALUE!</v>
      </c>
      <c r="BU256" t="e">
        <f>AND('STERLING CATALOG - FZN &amp; CHILL'!F268,"AAAAAF8070g=")</f>
        <v>#VALUE!</v>
      </c>
      <c r="BV256" t="e">
        <f>AND('STERLING CATALOG - FZN &amp; CHILL'!G268,"AAAAAF8070k=")</f>
        <v>#VALUE!</v>
      </c>
      <c r="BW256" t="e">
        <f>AND('STERLING CATALOG - FZN &amp; CHILL'!H268,"AAAAAF8070o=")</f>
        <v>#VALUE!</v>
      </c>
      <c r="BX256" t="e">
        <f>AND('STERLING CATALOG - FZN &amp; CHILL'!I268,"AAAAAF8070s=")</f>
        <v>#VALUE!</v>
      </c>
      <c r="BY256" t="e">
        <f>AND('STERLING CATALOG - FZN &amp; CHILL'!J268,"AAAAAF8070w=")</f>
        <v>#VALUE!</v>
      </c>
      <c r="BZ256">
        <f>IF('STERLING CATALOG - FZN &amp; CHILL'!269:269,"AAAAAF80700=",0)</f>
        <v>0</v>
      </c>
      <c r="CA256" t="e">
        <f>AND('STERLING CATALOG - FZN &amp; CHILL'!A269,"AAAAAF80704=")</f>
        <v>#VALUE!</v>
      </c>
      <c r="CB256" t="e">
        <f>AND('STERLING CATALOG - FZN &amp; CHILL'!B269,"AAAAAF80708=")</f>
        <v>#VALUE!</v>
      </c>
      <c r="CC256" t="e">
        <f>AND('STERLING CATALOG - FZN &amp; CHILL'!C269,"AAAAAF8071A=")</f>
        <v>#VALUE!</v>
      </c>
      <c r="CD256" t="e">
        <f>AND('STERLING CATALOG - FZN &amp; CHILL'!D269,"AAAAAF8071E=")</f>
        <v>#VALUE!</v>
      </c>
      <c r="CE256" t="e">
        <f>AND('STERLING CATALOG - FZN &amp; CHILL'!E269,"AAAAAF8071I=")</f>
        <v>#VALUE!</v>
      </c>
      <c r="CF256" t="e">
        <f>AND('STERLING CATALOG - FZN &amp; CHILL'!F269,"AAAAAF8071M=")</f>
        <v>#VALUE!</v>
      </c>
      <c r="CG256" t="e">
        <f>AND('STERLING CATALOG - FZN &amp; CHILL'!G269,"AAAAAF8071Q=")</f>
        <v>#VALUE!</v>
      </c>
      <c r="CH256" t="e">
        <f>AND('STERLING CATALOG - FZN &amp; CHILL'!H269,"AAAAAF8071U=")</f>
        <v>#VALUE!</v>
      </c>
      <c r="CI256" t="e">
        <f>AND('STERLING CATALOG - FZN &amp; CHILL'!I269,"AAAAAF8071Y=")</f>
        <v>#VALUE!</v>
      </c>
      <c r="CJ256" t="e">
        <f>AND('STERLING CATALOG - FZN &amp; CHILL'!J269,"AAAAAF8071c=")</f>
        <v>#VALUE!</v>
      </c>
      <c r="CK256">
        <f>IF('STERLING CATALOG - FZN &amp; CHILL'!270:270,"AAAAAF8071g=",0)</f>
        <v>0</v>
      </c>
      <c r="CL256" t="e">
        <f>AND('STERLING CATALOG - FZN &amp; CHILL'!A270,"AAAAAF8071k=")</f>
        <v>#VALUE!</v>
      </c>
      <c r="CM256" t="e">
        <f>AND('STERLING CATALOG - FZN &amp; CHILL'!B270,"AAAAAF8071o=")</f>
        <v>#VALUE!</v>
      </c>
      <c r="CN256" t="e">
        <f>AND('STERLING CATALOG - FZN &amp; CHILL'!C270,"AAAAAF8071s=")</f>
        <v>#VALUE!</v>
      </c>
      <c r="CO256" t="e">
        <f>AND('STERLING CATALOG - FZN &amp; CHILL'!D270,"AAAAAF8071w=")</f>
        <v>#VALUE!</v>
      </c>
      <c r="CP256" t="e">
        <f>AND('STERLING CATALOG - FZN &amp; CHILL'!E270,"AAAAAF80710=")</f>
        <v>#VALUE!</v>
      </c>
      <c r="CQ256" t="e">
        <f>AND('STERLING CATALOG - FZN &amp; CHILL'!F270,"AAAAAF80714=")</f>
        <v>#VALUE!</v>
      </c>
      <c r="CR256" t="e">
        <f>AND('STERLING CATALOG - FZN &amp; CHILL'!G270,"AAAAAF80718=")</f>
        <v>#VALUE!</v>
      </c>
      <c r="CS256" t="e">
        <f>AND('STERLING CATALOG - FZN &amp; CHILL'!H270,"AAAAAF8072A=")</f>
        <v>#VALUE!</v>
      </c>
      <c r="CT256" t="e">
        <f>AND('STERLING CATALOG - FZN &amp; CHILL'!I270,"AAAAAF8072E=")</f>
        <v>#VALUE!</v>
      </c>
      <c r="CU256" t="e">
        <f>AND('STERLING CATALOG - FZN &amp; CHILL'!J270,"AAAAAF8072I=")</f>
        <v>#VALUE!</v>
      </c>
      <c r="CV256">
        <f>IF('STERLING CATALOG - FZN &amp; CHILL'!271:271,"AAAAAF8072M=",0)</f>
        <v>0</v>
      </c>
      <c r="CW256" t="e">
        <f>AND('STERLING CATALOG - FZN &amp; CHILL'!A271,"AAAAAF8072Q=")</f>
        <v>#VALUE!</v>
      </c>
      <c r="CX256" t="e">
        <f>AND('STERLING CATALOG - FZN &amp; CHILL'!B271,"AAAAAF8072U=")</f>
        <v>#VALUE!</v>
      </c>
      <c r="CY256" t="e">
        <f>AND('STERLING CATALOG - FZN &amp; CHILL'!C271,"AAAAAF8072Y=")</f>
        <v>#VALUE!</v>
      </c>
      <c r="CZ256" t="e">
        <f>AND('STERLING CATALOG - FZN &amp; CHILL'!D271,"AAAAAF8072c=")</f>
        <v>#VALUE!</v>
      </c>
      <c r="DA256" t="e">
        <f>AND('STERLING CATALOG - FZN &amp; CHILL'!E271,"AAAAAF8072g=")</f>
        <v>#VALUE!</v>
      </c>
      <c r="DB256" t="e">
        <f>AND('STERLING CATALOG - FZN &amp; CHILL'!F271,"AAAAAF8072k=")</f>
        <v>#VALUE!</v>
      </c>
      <c r="DC256" t="e">
        <f>AND('STERLING CATALOG - FZN &amp; CHILL'!G271,"AAAAAF8072o=")</f>
        <v>#VALUE!</v>
      </c>
      <c r="DD256" t="e">
        <f>AND('STERLING CATALOG - FZN &amp; CHILL'!H271,"AAAAAF8072s=")</f>
        <v>#VALUE!</v>
      </c>
      <c r="DE256" t="e">
        <f>AND('STERLING CATALOG - FZN &amp; CHILL'!I271,"AAAAAF8072w=")</f>
        <v>#VALUE!</v>
      </c>
      <c r="DF256" t="e">
        <f>AND('STERLING CATALOG - FZN &amp; CHILL'!J271,"AAAAAF80720=")</f>
        <v>#VALUE!</v>
      </c>
      <c r="DG256">
        <f>IF('STERLING CATALOG - FZN &amp; CHILL'!272:272,"AAAAAF80724=",0)</f>
        <v>0</v>
      </c>
      <c r="DH256" t="e">
        <f>AND('STERLING CATALOG - FZN &amp; CHILL'!A272,"AAAAAF80728=")</f>
        <v>#VALUE!</v>
      </c>
      <c r="DI256" t="e">
        <f>AND('STERLING CATALOG - FZN &amp; CHILL'!B272,"AAAAAF8073A=")</f>
        <v>#VALUE!</v>
      </c>
      <c r="DJ256" t="e">
        <f>AND('STERLING CATALOG - FZN &amp; CHILL'!C272,"AAAAAF8073E=")</f>
        <v>#VALUE!</v>
      </c>
      <c r="DK256" t="e">
        <f>AND('STERLING CATALOG - FZN &amp; CHILL'!D272,"AAAAAF8073I=")</f>
        <v>#VALUE!</v>
      </c>
      <c r="DL256" t="e">
        <f>AND('STERLING CATALOG - FZN &amp; CHILL'!E272,"AAAAAF8073M=")</f>
        <v>#VALUE!</v>
      </c>
      <c r="DM256" t="e">
        <f>AND('STERLING CATALOG - FZN &amp; CHILL'!F272,"AAAAAF8073Q=")</f>
        <v>#VALUE!</v>
      </c>
      <c r="DN256" t="e">
        <f>AND('STERLING CATALOG - FZN &amp; CHILL'!G272,"AAAAAF8073U=")</f>
        <v>#VALUE!</v>
      </c>
      <c r="DO256" t="e">
        <f>AND('STERLING CATALOG - FZN &amp; CHILL'!H272,"AAAAAF8073Y=")</f>
        <v>#VALUE!</v>
      </c>
      <c r="DP256" t="e">
        <f>AND('STERLING CATALOG - FZN &amp; CHILL'!I272,"AAAAAF8073c=")</f>
        <v>#VALUE!</v>
      </c>
      <c r="DQ256" t="e">
        <f>AND('STERLING CATALOG - FZN &amp; CHILL'!J272,"AAAAAF8073g=")</f>
        <v>#VALUE!</v>
      </c>
      <c r="DR256">
        <f>IF('STERLING CATALOG - FZN &amp; CHILL'!273:273,"AAAAAF8073k=",0)</f>
        <v>0</v>
      </c>
      <c r="DS256" t="e">
        <f>AND('STERLING CATALOG - FZN &amp; CHILL'!A273,"AAAAAF8073o=")</f>
        <v>#VALUE!</v>
      </c>
      <c r="DT256" t="e">
        <f>AND('STERLING CATALOG - FZN &amp; CHILL'!B273,"AAAAAF8073s=")</f>
        <v>#VALUE!</v>
      </c>
      <c r="DU256" t="e">
        <f>AND('STERLING CATALOG - FZN &amp; CHILL'!C273,"AAAAAF8073w=")</f>
        <v>#VALUE!</v>
      </c>
      <c r="DV256" t="e">
        <f>AND('STERLING CATALOG - FZN &amp; CHILL'!D273,"AAAAAF80730=")</f>
        <v>#VALUE!</v>
      </c>
      <c r="DW256" t="e">
        <f>AND('STERLING CATALOG - FZN &amp; CHILL'!E273,"AAAAAF80734=")</f>
        <v>#VALUE!</v>
      </c>
      <c r="DX256" t="e">
        <f>AND('STERLING CATALOG - FZN &amp; CHILL'!F273,"AAAAAF80738=")</f>
        <v>#VALUE!</v>
      </c>
      <c r="DY256" t="e">
        <f>AND('STERLING CATALOG - FZN &amp; CHILL'!G273,"AAAAAF8074A=")</f>
        <v>#VALUE!</v>
      </c>
      <c r="DZ256" t="e">
        <f>AND('STERLING CATALOG - FZN &amp; CHILL'!H273,"AAAAAF8074E=")</f>
        <v>#VALUE!</v>
      </c>
      <c r="EA256" t="e">
        <f>AND('STERLING CATALOG - FZN &amp; CHILL'!I273,"AAAAAF8074I=")</f>
        <v>#VALUE!</v>
      </c>
      <c r="EB256" t="e">
        <f>AND('STERLING CATALOG - FZN &amp; CHILL'!J273,"AAAAAF8074M=")</f>
        <v>#VALUE!</v>
      </c>
      <c r="EC256">
        <f>IF('STERLING CATALOG - FZN &amp; CHILL'!274:274,"AAAAAF8074Q=",0)</f>
        <v>0</v>
      </c>
      <c r="ED256" t="e">
        <f>AND('STERLING CATALOG - FZN &amp; CHILL'!A274,"AAAAAF8074U=")</f>
        <v>#VALUE!</v>
      </c>
      <c r="EE256" t="e">
        <f>AND('STERLING CATALOG - FZN &amp; CHILL'!B274,"AAAAAF8074Y=")</f>
        <v>#VALUE!</v>
      </c>
      <c r="EF256" t="e">
        <f>AND('STERLING CATALOG - FZN &amp; CHILL'!C274,"AAAAAF8074c=")</f>
        <v>#VALUE!</v>
      </c>
      <c r="EG256" t="e">
        <f>AND('STERLING CATALOG - FZN &amp; CHILL'!D274,"AAAAAF8074g=")</f>
        <v>#VALUE!</v>
      </c>
      <c r="EH256" t="e">
        <f>AND('STERLING CATALOG - FZN &amp; CHILL'!E274,"AAAAAF8074k=")</f>
        <v>#VALUE!</v>
      </c>
      <c r="EI256" t="e">
        <f>AND('STERLING CATALOG - FZN &amp; CHILL'!F274,"AAAAAF8074o=")</f>
        <v>#VALUE!</v>
      </c>
      <c r="EJ256" t="e">
        <f>AND('STERLING CATALOG - FZN &amp; CHILL'!G274,"AAAAAF8074s=")</f>
        <v>#VALUE!</v>
      </c>
      <c r="EK256" t="e">
        <f>AND('STERLING CATALOG - FZN &amp; CHILL'!H274,"AAAAAF8074w=")</f>
        <v>#VALUE!</v>
      </c>
      <c r="EL256" t="e">
        <f>AND('STERLING CATALOG - FZN &amp; CHILL'!I274,"AAAAAF80740=")</f>
        <v>#VALUE!</v>
      </c>
      <c r="EM256" t="e">
        <f>AND('STERLING CATALOG - FZN &amp; CHILL'!J274,"AAAAAF80744=")</f>
        <v>#VALUE!</v>
      </c>
      <c r="EN256">
        <f>IF('STERLING CATALOG - FZN &amp; CHILL'!275:275,"AAAAAF80748=",0)</f>
        <v>0</v>
      </c>
      <c r="EO256" t="e">
        <f>AND('STERLING CATALOG - FZN &amp; CHILL'!A275,"AAAAAF8075A=")</f>
        <v>#VALUE!</v>
      </c>
      <c r="EP256" t="e">
        <f>AND('STERLING CATALOG - FZN &amp; CHILL'!B275,"AAAAAF8075E=")</f>
        <v>#VALUE!</v>
      </c>
      <c r="EQ256" t="e">
        <f>AND('STERLING CATALOG - FZN &amp; CHILL'!C275,"AAAAAF8075I=")</f>
        <v>#VALUE!</v>
      </c>
      <c r="ER256" t="e">
        <f>AND('STERLING CATALOG - FZN &amp; CHILL'!D275,"AAAAAF8075M=")</f>
        <v>#VALUE!</v>
      </c>
      <c r="ES256" t="e">
        <f>AND('STERLING CATALOG - FZN &amp; CHILL'!E275,"AAAAAF8075Q=")</f>
        <v>#VALUE!</v>
      </c>
      <c r="ET256" t="e">
        <f>AND('STERLING CATALOG - FZN &amp; CHILL'!F275,"AAAAAF8075U=")</f>
        <v>#VALUE!</v>
      </c>
      <c r="EU256" t="e">
        <f>AND('STERLING CATALOG - FZN &amp; CHILL'!G275,"AAAAAF8075Y=")</f>
        <v>#VALUE!</v>
      </c>
      <c r="EV256" t="e">
        <f>AND('STERLING CATALOG - FZN &amp; CHILL'!H275,"AAAAAF8075c=")</f>
        <v>#VALUE!</v>
      </c>
      <c r="EW256" t="e">
        <f>AND('STERLING CATALOG - FZN &amp; CHILL'!I275,"AAAAAF8075g=")</f>
        <v>#VALUE!</v>
      </c>
      <c r="EX256" t="e">
        <f>AND('STERLING CATALOG - FZN &amp; CHILL'!J275,"AAAAAF8075k=")</f>
        <v>#VALUE!</v>
      </c>
      <c r="EY256">
        <f>IF('STERLING CATALOG - FZN &amp; CHILL'!276:276,"AAAAAF8075o=",0)</f>
        <v>0</v>
      </c>
      <c r="EZ256" t="e">
        <f>AND('STERLING CATALOG - FZN &amp; CHILL'!A276,"AAAAAF8075s=")</f>
        <v>#VALUE!</v>
      </c>
      <c r="FA256" t="e">
        <f>AND('STERLING CATALOG - FZN &amp; CHILL'!B276,"AAAAAF8075w=")</f>
        <v>#VALUE!</v>
      </c>
      <c r="FB256" t="e">
        <f>AND('STERLING CATALOG - FZN &amp; CHILL'!C276,"AAAAAF80750=")</f>
        <v>#VALUE!</v>
      </c>
      <c r="FC256" t="e">
        <f>AND('STERLING CATALOG - FZN &amp; CHILL'!D276,"AAAAAF80754=")</f>
        <v>#VALUE!</v>
      </c>
      <c r="FD256" t="e">
        <f>AND('STERLING CATALOG - FZN &amp; CHILL'!E276,"AAAAAF80758=")</f>
        <v>#VALUE!</v>
      </c>
      <c r="FE256" t="e">
        <f>AND('STERLING CATALOG - FZN &amp; CHILL'!F276,"AAAAAF8076A=")</f>
        <v>#VALUE!</v>
      </c>
      <c r="FF256" t="e">
        <f>AND('STERLING CATALOG - FZN &amp; CHILL'!G276,"AAAAAF8076E=")</f>
        <v>#VALUE!</v>
      </c>
      <c r="FG256" t="e">
        <f>AND('STERLING CATALOG - FZN &amp; CHILL'!H276,"AAAAAF8076I=")</f>
        <v>#VALUE!</v>
      </c>
      <c r="FH256" t="e">
        <f>AND('STERLING CATALOG - FZN &amp; CHILL'!I276,"AAAAAF8076M=")</f>
        <v>#VALUE!</v>
      </c>
      <c r="FI256" t="e">
        <f>AND('STERLING CATALOG - FZN &amp; CHILL'!J276,"AAAAAF8076Q=")</f>
        <v>#VALUE!</v>
      </c>
      <c r="FJ256">
        <f>IF('STERLING CATALOG - FZN &amp; CHILL'!277:277,"AAAAAF8076U=",0)</f>
        <v>0</v>
      </c>
      <c r="FK256" t="e">
        <f>AND('STERLING CATALOG - FZN &amp; CHILL'!A277,"AAAAAF8076Y=")</f>
        <v>#VALUE!</v>
      </c>
      <c r="FL256" t="e">
        <f>AND('STERLING CATALOG - FZN &amp; CHILL'!B277,"AAAAAF8076c=")</f>
        <v>#VALUE!</v>
      </c>
      <c r="FM256" t="e">
        <f>AND('STERLING CATALOG - FZN &amp; CHILL'!C277,"AAAAAF8076g=")</f>
        <v>#VALUE!</v>
      </c>
      <c r="FN256" t="e">
        <f>AND('STERLING CATALOG - FZN &amp; CHILL'!D277,"AAAAAF8076k=")</f>
        <v>#VALUE!</v>
      </c>
      <c r="FO256" t="e">
        <f>AND('STERLING CATALOG - FZN &amp; CHILL'!E277,"AAAAAF8076o=")</f>
        <v>#VALUE!</v>
      </c>
      <c r="FP256" t="e">
        <f>AND('STERLING CATALOG - FZN &amp; CHILL'!F277,"AAAAAF8076s=")</f>
        <v>#VALUE!</v>
      </c>
      <c r="FQ256" t="e">
        <f>AND('STERLING CATALOG - FZN &amp; CHILL'!G277,"AAAAAF8076w=")</f>
        <v>#VALUE!</v>
      </c>
      <c r="FR256" t="e">
        <f>AND('STERLING CATALOG - FZN &amp; CHILL'!H277,"AAAAAF80760=")</f>
        <v>#VALUE!</v>
      </c>
      <c r="FS256" t="e">
        <f>AND('STERLING CATALOG - FZN &amp; CHILL'!I277,"AAAAAF80764=")</f>
        <v>#VALUE!</v>
      </c>
      <c r="FT256" t="e">
        <f>AND('STERLING CATALOG - FZN &amp; CHILL'!J277,"AAAAAF80768=")</f>
        <v>#VALUE!</v>
      </c>
      <c r="FU256">
        <f>IF('STERLING CATALOG - FZN &amp; CHILL'!278:278,"AAAAAF8077A=",0)</f>
        <v>0</v>
      </c>
      <c r="FV256" t="e">
        <f>AND('STERLING CATALOG - FZN &amp; CHILL'!A278,"AAAAAF8077E=")</f>
        <v>#VALUE!</v>
      </c>
      <c r="FW256" t="e">
        <f>AND('STERLING CATALOG - FZN &amp; CHILL'!B278,"AAAAAF8077I=")</f>
        <v>#VALUE!</v>
      </c>
      <c r="FX256" t="e">
        <f>AND('STERLING CATALOG - FZN &amp; CHILL'!C278,"AAAAAF8077M=")</f>
        <v>#VALUE!</v>
      </c>
      <c r="FY256" t="e">
        <f>AND('STERLING CATALOG - FZN &amp; CHILL'!D278,"AAAAAF8077Q=")</f>
        <v>#VALUE!</v>
      </c>
      <c r="FZ256" t="e">
        <f>AND('STERLING CATALOG - FZN &amp; CHILL'!E278,"AAAAAF8077U=")</f>
        <v>#VALUE!</v>
      </c>
      <c r="GA256" t="e">
        <f>AND('STERLING CATALOG - FZN &amp; CHILL'!F278,"AAAAAF8077Y=")</f>
        <v>#VALUE!</v>
      </c>
      <c r="GB256" t="e">
        <f>AND('STERLING CATALOG - FZN &amp; CHILL'!G278,"AAAAAF8077c=")</f>
        <v>#VALUE!</v>
      </c>
      <c r="GC256" t="e">
        <f>AND('STERLING CATALOG - FZN &amp; CHILL'!H278,"AAAAAF8077g=")</f>
        <v>#VALUE!</v>
      </c>
      <c r="GD256" t="e">
        <f>AND('STERLING CATALOG - FZN &amp; CHILL'!I278,"AAAAAF8077k=")</f>
        <v>#VALUE!</v>
      </c>
      <c r="GE256" t="e">
        <f>AND('STERLING CATALOG - FZN &amp; CHILL'!J278,"AAAAAF8077o=")</f>
        <v>#VALUE!</v>
      </c>
      <c r="GF256">
        <f>IF('STERLING CATALOG - FZN &amp; CHILL'!279:279,"AAAAAF8077s=",0)</f>
        <v>0</v>
      </c>
      <c r="GG256" t="e">
        <f>AND('STERLING CATALOG - FZN &amp; CHILL'!A279,"AAAAAF8077w=")</f>
        <v>#VALUE!</v>
      </c>
      <c r="GH256" t="e">
        <f>AND('STERLING CATALOG - FZN &amp; CHILL'!B279,"AAAAAF80770=")</f>
        <v>#VALUE!</v>
      </c>
      <c r="GI256" t="e">
        <f>AND('STERLING CATALOG - FZN &amp; CHILL'!C279,"AAAAAF80774=")</f>
        <v>#VALUE!</v>
      </c>
      <c r="GJ256" t="e">
        <f>AND('STERLING CATALOG - FZN &amp; CHILL'!D279,"AAAAAF80778=")</f>
        <v>#VALUE!</v>
      </c>
      <c r="GK256" t="e">
        <f>AND('STERLING CATALOG - FZN &amp; CHILL'!E279,"AAAAAF8078A=")</f>
        <v>#VALUE!</v>
      </c>
      <c r="GL256" t="e">
        <f>AND('STERLING CATALOG - FZN &amp; CHILL'!F279,"AAAAAF8078E=")</f>
        <v>#VALUE!</v>
      </c>
      <c r="GM256" t="e">
        <f>AND('STERLING CATALOG - FZN &amp; CHILL'!G279,"AAAAAF8078I=")</f>
        <v>#VALUE!</v>
      </c>
      <c r="GN256" t="e">
        <f>AND('STERLING CATALOG - FZN &amp; CHILL'!H279,"AAAAAF8078M=")</f>
        <v>#VALUE!</v>
      </c>
      <c r="GO256" t="e">
        <f>AND('STERLING CATALOG - FZN &amp; CHILL'!I279,"AAAAAF8078Q=")</f>
        <v>#VALUE!</v>
      </c>
      <c r="GP256" t="e">
        <f>AND('STERLING CATALOG - FZN &amp; CHILL'!J279,"AAAAAF8078U=")</f>
        <v>#VALUE!</v>
      </c>
      <c r="GQ256">
        <f>IF('STERLING CATALOG - FZN &amp; CHILL'!280:280,"AAAAAF8078Y=",0)</f>
        <v>0</v>
      </c>
      <c r="GR256" t="e">
        <f>AND('STERLING CATALOG - FZN &amp; CHILL'!A280,"AAAAAF8078c=")</f>
        <v>#VALUE!</v>
      </c>
      <c r="GS256" t="e">
        <f>AND('STERLING CATALOG - FZN &amp; CHILL'!B280,"AAAAAF8078g=")</f>
        <v>#VALUE!</v>
      </c>
      <c r="GT256" t="e">
        <f>AND('STERLING CATALOG - FZN &amp; CHILL'!C280,"AAAAAF8078k=")</f>
        <v>#VALUE!</v>
      </c>
      <c r="GU256" t="e">
        <f>AND('STERLING CATALOG - FZN &amp; CHILL'!D280,"AAAAAF8078o=")</f>
        <v>#VALUE!</v>
      </c>
      <c r="GV256" t="e">
        <f>AND('STERLING CATALOG - FZN &amp; CHILL'!E280,"AAAAAF8078s=")</f>
        <v>#VALUE!</v>
      </c>
      <c r="GW256" t="e">
        <f>AND('STERLING CATALOG - FZN &amp; CHILL'!F280,"AAAAAF8078w=")</f>
        <v>#VALUE!</v>
      </c>
      <c r="GX256" t="e">
        <f>AND('STERLING CATALOG - FZN &amp; CHILL'!G280,"AAAAAF80780=")</f>
        <v>#VALUE!</v>
      </c>
      <c r="GY256" t="e">
        <f>AND('STERLING CATALOG - FZN &amp; CHILL'!H280,"AAAAAF80784=")</f>
        <v>#VALUE!</v>
      </c>
      <c r="GZ256" t="e">
        <f>AND('STERLING CATALOG - FZN &amp; CHILL'!I280,"AAAAAF80788=")</f>
        <v>#VALUE!</v>
      </c>
      <c r="HA256" t="e">
        <f>AND('STERLING CATALOG - FZN &amp; CHILL'!J280,"AAAAAF8079A=")</f>
        <v>#VALUE!</v>
      </c>
      <c r="HB256">
        <f>IF('STERLING CATALOG - FZN &amp; CHILL'!281:281,"AAAAAF8079E=",0)</f>
        <v>0</v>
      </c>
      <c r="HC256" t="e">
        <f>AND('STERLING CATALOG - FZN &amp; CHILL'!A281,"AAAAAF8079I=")</f>
        <v>#VALUE!</v>
      </c>
      <c r="HD256" t="e">
        <f>AND('STERLING CATALOG - FZN &amp; CHILL'!B281,"AAAAAF8079M=")</f>
        <v>#VALUE!</v>
      </c>
      <c r="HE256" t="e">
        <f>AND('STERLING CATALOG - FZN &amp; CHILL'!C281,"AAAAAF8079Q=")</f>
        <v>#VALUE!</v>
      </c>
      <c r="HF256" t="e">
        <f>AND('STERLING CATALOG - FZN &amp; CHILL'!D281,"AAAAAF8079U=")</f>
        <v>#VALUE!</v>
      </c>
      <c r="HG256" t="e">
        <f>AND('STERLING CATALOG - FZN &amp; CHILL'!E281,"AAAAAF8079Y=")</f>
        <v>#VALUE!</v>
      </c>
      <c r="HH256" t="e">
        <f>AND('STERLING CATALOG - FZN &amp; CHILL'!F281,"AAAAAF8079c=")</f>
        <v>#VALUE!</v>
      </c>
      <c r="HI256" t="e">
        <f>AND('STERLING CATALOG - FZN &amp; CHILL'!G281,"AAAAAF8079g=")</f>
        <v>#VALUE!</v>
      </c>
      <c r="HJ256" t="e">
        <f>AND('STERLING CATALOG - FZN &amp; CHILL'!H281,"AAAAAF8079k=")</f>
        <v>#VALUE!</v>
      </c>
      <c r="HK256" t="e">
        <f>AND('STERLING CATALOG - FZN &amp; CHILL'!I281,"AAAAAF8079o=")</f>
        <v>#VALUE!</v>
      </c>
      <c r="HL256" t="e">
        <f>AND('STERLING CATALOG - FZN &amp; CHILL'!J281,"AAAAAF8079s=")</f>
        <v>#VALUE!</v>
      </c>
      <c r="HM256">
        <f>IF('STERLING CATALOG - FZN &amp; CHILL'!282:282,"AAAAAF8079w=",0)</f>
        <v>0</v>
      </c>
      <c r="HN256" t="e">
        <f>AND('STERLING CATALOG - FZN &amp; CHILL'!A282,"AAAAAF80790=")</f>
        <v>#VALUE!</v>
      </c>
      <c r="HO256" t="e">
        <f>AND('STERLING CATALOG - FZN &amp; CHILL'!B282,"AAAAAF80794=")</f>
        <v>#VALUE!</v>
      </c>
      <c r="HP256" t="e">
        <f>AND('STERLING CATALOG - FZN &amp; CHILL'!C282,"AAAAAF80798=")</f>
        <v>#VALUE!</v>
      </c>
      <c r="HQ256" t="e">
        <f>AND('STERLING CATALOG - FZN &amp; CHILL'!D282,"AAAAAF807+A=")</f>
        <v>#VALUE!</v>
      </c>
      <c r="HR256" t="e">
        <f>AND('STERLING CATALOG - FZN &amp; CHILL'!E282,"AAAAAF807+E=")</f>
        <v>#VALUE!</v>
      </c>
      <c r="HS256" t="e">
        <f>AND('STERLING CATALOG - FZN &amp; CHILL'!F282,"AAAAAF807+I=")</f>
        <v>#VALUE!</v>
      </c>
      <c r="HT256" t="e">
        <f>AND('STERLING CATALOG - FZN &amp; CHILL'!G282,"AAAAAF807+M=")</f>
        <v>#VALUE!</v>
      </c>
      <c r="HU256" t="e">
        <f>AND('STERLING CATALOG - FZN &amp; CHILL'!H282,"AAAAAF807+Q=")</f>
        <v>#VALUE!</v>
      </c>
      <c r="HV256" t="e">
        <f>AND('STERLING CATALOG - FZN &amp; CHILL'!I282,"AAAAAF807+U=")</f>
        <v>#VALUE!</v>
      </c>
      <c r="HW256" t="e">
        <f>AND('STERLING CATALOG - FZN &amp; CHILL'!J282,"AAAAAF807+Y=")</f>
        <v>#VALUE!</v>
      </c>
      <c r="HX256">
        <f>IF('STERLING CATALOG - FZN &amp; CHILL'!283:283,"AAAAAF807+c=",0)</f>
        <v>0</v>
      </c>
      <c r="HY256" t="e">
        <f>AND('STERLING CATALOG - FZN &amp; CHILL'!A283,"AAAAAF807+g=")</f>
        <v>#VALUE!</v>
      </c>
      <c r="HZ256" t="e">
        <f>AND('STERLING CATALOG - FZN &amp; CHILL'!B283,"AAAAAF807+k=")</f>
        <v>#VALUE!</v>
      </c>
      <c r="IA256" t="e">
        <f>AND('STERLING CATALOG - FZN &amp; CHILL'!C283,"AAAAAF807+o=")</f>
        <v>#VALUE!</v>
      </c>
      <c r="IB256" t="e">
        <f>AND('STERLING CATALOG - FZN &amp; CHILL'!D283,"AAAAAF807+s=")</f>
        <v>#VALUE!</v>
      </c>
      <c r="IC256" t="e">
        <f>AND('STERLING CATALOG - FZN &amp; CHILL'!E283,"AAAAAF807+w=")</f>
        <v>#VALUE!</v>
      </c>
      <c r="ID256" t="e">
        <f>AND('STERLING CATALOG - FZN &amp; CHILL'!F283,"AAAAAF807+0=")</f>
        <v>#VALUE!</v>
      </c>
      <c r="IE256" t="e">
        <f>AND('STERLING CATALOG - FZN &amp; CHILL'!G283,"AAAAAF807+4=")</f>
        <v>#VALUE!</v>
      </c>
      <c r="IF256" t="e">
        <f>AND('STERLING CATALOG - FZN &amp; CHILL'!H283,"AAAAAF807+8=")</f>
        <v>#VALUE!</v>
      </c>
      <c r="IG256" t="e">
        <f>AND('STERLING CATALOG - FZN &amp; CHILL'!I283,"AAAAAF807/A=")</f>
        <v>#VALUE!</v>
      </c>
      <c r="IH256" t="e">
        <f>AND('STERLING CATALOG - FZN &amp; CHILL'!J283,"AAAAAF807/E=")</f>
        <v>#VALUE!</v>
      </c>
      <c r="II256">
        <f>IF('STERLING CATALOG - FZN &amp; CHILL'!284:284,"AAAAAF807/I=",0)</f>
        <v>0</v>
      </c>
      <c r="IJ256" t="e">
        <f>AND('STERLING CATALOG - FZN &amp; CHILL'!A284,"AAAAAF807/M=")</f>
        <v>#VALUE!</v>
      </c>
      <c r="IK256" t="e">
        <f>AND('STERLING CATALOG - FZN &amp; CHILL'!B284,"AAAAAF807/Q=")</f>
        <v>#VALUE!</v>
      </c>
      <c r="IL256" t="e">
        <f>AND('STERLING CATALOG - FZN &amp; CHILL'!C284,"AAAAAF807/U=")</f>
        <v>#VALUE!</v>
      </c>
      <c r="IM256" t="e">
        <f>AND('STERLING CATALOG - FZN &amp; CHILL'!D284,"AAAAAF807/Y=")</f>
        <v>#VALUE!</v>
      </c>
      <c r="IN256" t="e">
        <f>AND('STERLING CATALOG - FZN &amp; CHILL'!E284,"AAAAAF807/c=")</f>
        <v>#VALUE!</v>
      </c>
      <c r="IO256" t="e">
        <f>AND('STERLING CATALOG - FZN &amp; CHILL'!F284,"AAAAAF807/g=")</f>
        <v>#VALUE!</v>
      </c>
      <c r="IP256" t="e">
        <f>AND('STERLING CATALOG - FZN &amp; CHILL'!G284,"AAAAAF807/k=")</f>
        <v>#VALUE!</v>
      </c>
      <c r="IQ256" t="e">
        <f>AND('STERLING CATALOG - FZN &amp; CHILL'!H284,"AAAAAF807/o=")</f>
        <v>#VALUE!</v>
      </c>
      <c r="IR256" t="e">
        <f>AND('STERLING CATALOG - FZN &amp; CHILL'!I284,"AAAAAF807/s=")</f>
        <v>#VALUE!</v>
      </c>
      <c r="IS256" t="e">
        <f>AND('STERLING CATALOG - FZN &amp; CHILL'!J284,"AAAAAF807/w=")</f>
        <v>#VALUE!</v>
      </c>
      <c r="IT256">
        <f>IF('STERLING CATALOG - FZN &amp; CHILL'!285:285,"AAAAAF807/0=",0)</f>
        <v>0</v>
      </c>
      <c r="IU256" t="e">
        <f>AND('STERLING CATALOG - FZN &amp; CHILL'!A285,"AAAAAF807/4=")</f>
        <v>#VALUE!</v>
      </c>
      <c r="IV256" t="e">
        <f>AND('STERLING CATALOG - FZN &amp; CHILL'!B285,"AAAAAF807/8=")</f>
        <v>#VALUE!</v>
      </c>
    </row>
    <row r="257" spans="1:256">
      <c r="A257" t="e">
        <f>AND('STERLING CATALOG - FZN &amp; CHILL'!C285,"AAAAACvNTgA=")</f>
        <v>#VALUE!</v>
      </c>
      <c r="B257" t="e">
        <f>AND('STERLING CATALOG - FZN &amp; CHILL'!D285,"AAAAACvNTgE=")</f>
        <v>#VALUE!</v>
      </c>
      <c r="C257" t="e">
        <f>AND('STERLING CATALOG - FZN &amp; CHILL'!E285,"AAAAACvNTgI=")</f>
        <v>#VALUE!</v>
      </c>
      <c r="D257" t="e">
        <f>AND('STERLING CATALOG - FZN &amp; CHILL'!F285,"AAAAACvNTgM=")</f>
        <v>#VALUE!</v>
      </c>
      <c r="E257" t="e">
        <f>AND('STERLING CATALOG - FZN &amp; CHILL'!G285,"AAAAACvNTgQ=")</f>
        <v>#VALUE!</v>
      </c>
      <c r="F257" t="e">
        <f>AND('STERLING CATALOG - FZN &amp; CHILL'!H285,"AAAAACvNTgU=")</f>
        <v>#VALUE!</v>
      </c>
      <c r="G257" t="e">
        <f>AND('STERLING CATALOG - FZN &amp; CHILL'!I285,"AAAAACvNTgY=")</f>
        <v>#VALUE!</v>
      </c>
      <c r="H257" t="e">
        <f>AND('STERLING CATALOG - FZN &amp; CHILL'!J285,"AAAAACvNTgc=")</f>
        <v>#VALUE!</v>
      </c>
      <c r="I257" t="e">
        <f>IF('STERLING CATALOG - FZN &amp; CHILL'!286:286,"AAAAACvNTgg=",0)</f>
        <v>#VALUE!</v>
      </c>
      <c r="J257" t="e">
        <f>AND('STERLING CATALOG - FZN &amp; CHILL'!A286,"AAAAACvNTgk=")</f>
        <v>#VALUE!</v>
      </c>
      <c r="K257" t="e">
        <f>AND('STERLING CATALOG - FZN &amp; CHILL'!B286,"AAAAACvNTgo=")</f>
        <v>#VALUE!</v>
      </c>
      <c r="L257" t="e">
        <f>AND('STERLING CATALOG - FZN &amp; CHILL'!C286,"AAAAACvNTgs=")</f>
        <v>#VALUE!</v>
      </c>
      <c r="M257" t="e">
        <f>AND('STERLING CATALOG - FZN &amp; CHILL'!D286,"AAAAACvNTgw=")</f>
        <v>#VALUE!</v>
      </c>
      <c r="N257" t="e">
        <f>AND('STERLING CATALOG - FZN &amp; CHILL'!E286,"AAAAACvNTg0=")</f>
        <v>#VALUE!</v>
      </c>
      <c r="O257" t="e">
        <f>AND('STERLING CATALOG - FZN &amp; CHILL'!F286,"AAAAACvNTg4=")</f>
        <v>#VALUE!</v>
      </c>
      <c r="P257" t="e">
        <f>AND('STERLING CATALOG - FZN &amp; CHILL'!G286,"AAAAACvNTg8=")</f>
        <v>#VALUE!</v>
      </c>
      <c r="Q257" t="e">
        <f>AND('STERLING CATALOG - FZN &amp; CHILL'!H286,"AAAAACvNThA=")</f>
        <v>#VALUE!</v>
      </c>
      <c r="R257" t="e">
        <f>AND('STERLING CATALOG - FZN &amp; CHILL'!I286,"AAAAACvNThE=")</f>
        <v>#VALUE!</v>
      </c>
      <c r="S257" t="e">
        <f>AND('STERLING CATALOG - FZN &amp; CHILL'!J286,"AAAAACvNThI=")</f>
        <v>#VALUE!</v>
      </c>
      <c r="T257">
        <f>IF('STERLING CATALOG - FZN &amp; CHILL'!287:287,"AAAAACvNThM=",0)</f>
        <v>0</v>
      </c>
      <c r="U257" t="e">
        <f>AND('STERLING CATALOG - FZN &amp; CHILL'!A287,"AAAAACvNThQ=")</f>
        <v>#VALUE!</v>
      </c>
      <c r="V257" t="e">
        <f>AND('STERLING CATALOG - FZN &amp; CHILL'!B287,"AAAAACvNThU=")</f>
        <v>#VALUE!</v>
      </c>
      <c r="W257" t="e">
        <f>AND('STERLING CATALOG - FZN &amp; CHILL'!C287,"AAAAACvNThY=")</f>
        <v>#VALUE!</v>
      </c>
      <c r="X257" t="e">
        <f>AND('STERLING CATALOG - FZN &amp; CHILL'!D287,"AAAAACvNThc=")</f>
        <v>#VALUE!</v>
      </c>
      <c r="Y257" t="e">
        <f>AND('STERLING CATALOG - FZN &amp; CHILL'!E287,"AAAAACvNThg=")</f>
        <v>#VALUE!</v>
      </c>
      <c r="Z257" t="e">
        <f>AND('STERLING CATALOG - FZN &amp; CHILL'!F287,"AAAAACvNThk=")</f>
        <v>#VALUE!</v>
      </c>
      <c r="AA257" t="e">
        <f>AND('STERLING CATALOG - FZN &amp; CHILL'!G287,"AAAAACvNTho=")</f>
        <v>#VALUE!</v>
      </c>
      <c r="AB257" t="e">
        <f>AND('STERLING CATALOG - FZN &amp; CHILL'!H287,"AAAAACvNThs=")</f>
        <v>#VALUE!</v>
      </c>
      <c r="AC257" t="e">
        <f>AND('STERLING CATALOG - FZN &amp; CHILL'!I287,"AAAAACvNThw=")</f>
        <v>#VALUE!</v>
      </c>
      <c r="AD257" t="e">
        <f>AND('STERLING CATALOG - FZN &amp; CHILL'!J287,"AAAAACvNTh0=")</f>
        <v>#VALUE!</v>
      </c>
      <c r="AE257">
        <f>IF('STERLING CATALOG - FZN &amp; CHILL'!288:288,"AAAAACvNTh4=",0)</f>
        <v>0</v>
      </c>
      <c r="AF257" t="e">
        <f>AND('STERLING CATALOG - FZN &amp; CHILL'!A288,"AAAAACvNTh8=")</f>
        <v>#VALUE!</v>
      </c>
      <c r="AG257" t="e">
        <f>AND('STERLING CATALOG - FZN &amp; CHILL'!B288,"AAAAACvNTiA=")</f>
        <v>#VALUE!</v>
      </c>
      <c r="AH257" t="e">
        <f>AND('STERLING CATALOG - FZN &amp; CHILL'!C288,"AAAAACvNTiE=")</f>
        <v>#VALUE!</v>
      </c>
      <c r="AI257" t="e">
        <f>AND('STERLING CATALOG - FZN &amp; CHILL'!D288,"AAAAACvNTiI=")</f>
        <v>#VALUE!</v>
      </c>
      <c r="AJ257" t="e">
        <f>AND('STERLING CATALOG - FZN &amp; CHILL'!E288,"AAAAACvNTiM=")</f>
        <v>#VALUE!</v>
      </c>
      <c r="AK257" t="e">
        <f>AND('STERLING CATALOG - FZN &amp; CHILL'!F288,"AAAAACvNTiQ=")</f>
        <v>#VALUE!</v>
      </c>
      <c r="AL257" t="e">
        <f>AND('STERLING CATALOG - FZN &amp; CHILL'!G288,"AAAAACvNTiU=")</f>
        <v>#VALUE!</v>
      </c>
      <c r="AM257" t="e">
        <f>AND('STERLING CATALOG - FZN &amp; CHILL'!H288,"AAAAACvNTiY=")</f>
        <v>#VALUE!</v>
      </c>
      <c r="AN257" t="e">
        <f>AND('STERLING CATALOG - FZN &amp; CHILL'!I288,"AAAAACvNTic=")</f>
        <v>#VALUE!</v>
      </c>
      <c r="AO257" t="e">
        <f>AND('STERLING CATALOG - FZN &amp; CHILL'!J288,"AAAAACvNTig=")</f>
        <v>#VALUE!</v>
      </c>
      <c r="AP257">
        <f>IF('STERLING CATALOG - FZN &amp; CHILL'!289:289,"AAAAACvNTik=",0)</f>
        <v>0</v>
      </c>
      <c r="AQ257" t="e">
        <f>AND('STERLING CATALOG - FZN &amp; CHILL'!A289,"AAAAACvNTio=")</f>
        <v>#VALUE!</v>
      </c>
      <c r="AR257" t="e">
        <f>AND('STERLING CATALOG - FZN &amp; CHILL'!B289,"AAAAACvNTis=")</f>
        <v>#VALUE!</v>
      </c>
      <c r="AS257" t="e">
        <f>AND('STERLING CATALOG - FZN &amp; CHILL'!C289,"AAAAACvNTiw=")</f>
        <v>#VALUE!</v>
      </c>
      <c r="AT257" t="e">
        <f>AND('STERLING CATALOG - FZN &amp; CHILL'!D289,"AAAAACvNTi0=")</f>
        <v>#VALUE!</v>
      </c>
      <c r="AU257" t="e">
        <f>AND('STERLING CATALOG - FZN &amp; CHILL'!E289,"AAAAACvNTi4=")</f>
        <v>#VALUE!</v>
      </c>
      <c r="AV257" t="e">
        <f>AND('STERLING CATALOG - FZN &amp; CHILL'!F289,"AAAAACvNTi8=")</f>
        <v>#VALUE!</v>
      </c>
      <c r="AW257" t="e">
        <f>AND('STERLING CATALOG - FZN &amp; CHILL'!G289,"AAAAACvNTjA=")</f>
        <v>#VALUE!</v>
      </c>
      <c r="AX257" t="e">
        <f>AND('STERLING CATALOG - FZN &amp; CHILL'!H289,"AAAAACvNTjE=")</f>
        <v>#VALUE!</v>
      </c>
      <c r="AY257" t="e">
        <f>AND('STERLING CATALOG - FZN &amp; CHILL'!I289,"AAAAACvNTjI=")</f>
        <v>#VALUE!</v>
      </c>
      <c r="AZ257" t="e">
        <f>AND('STERLING CATALOG - FZN &amp; CHILL'!J289,"AAAAACvNTjM=")</f>
        <v>#VALUE!</v>
      </c>
      <c r="BA257">
        <f>IF('STERLING CATALOG - FZN &amp; CHILL'!290:290,"AAAAACvNTjQ=",0)</f>
        <v>0</v>
      </c>
      <c r="BB257" t="e">
        <f>AND('STERLING CATALOG - FZN &amp; CHILL'!A290,"AAAAACvNTjU=")</f>
        <v>#VALUE!</v>
      </c>
      <c r="BC257" t="e">
        <f>AND('STERLING CATALOG - FZN &amp; CHILL'!B290,"AAAAACvNTjY=")</f>
        <v>#VALUE!</v>
      </c>
      <c r="BD257" t="e">
        <f>AND('STERLING CATALOG - FZN &amp; CHILL'!C290,"AAAAACvNTjc=")</f>
        <v>#VALUE!</v>
      </c>
      <c r="BE257" t="e">
        <f>AND('STERLING CATALOG - FZN &amp; CHILL'!D290,"AAAAACvNTjg=")</f>
        <v>#VALUE!</v>
      </c>
      <c r="BF257" t="e">
        <f>AND('STERLING CATALOG - FZN &amp; CHILL'!E290,"AAAAACvNTjk=")</f>
        <v>#VALUE!</v>
      </c>
      <c r="BG257" t="e">
        <f>AND('STERLING CATALOG - FZN &amp; CHILL'!F290,"AAAAACvNTjo=")</f>
        <v>#VALUE!</v>
      </c>
      <c r="BH257" t="e">
        <f>AND('STERLING CATALOG - FZN &amp; CHILL'!G290,"AAAAACvNTjs=")</f>
        <v>#VALUE!</v>
      </c>
      <c r="BI257" t="e">
        <f>AND('STERLING CATALOG - FZN &amp; CHILL'!H290,"AAAAACvNTjw=")</f>
        <v>#VALUE!</v>
      </c>
      <c r="BJ257" t="e">
        <f>AND('STERLING CATALOG - FZN &amp; CHILL'!I290,"AAAAACvNTj0=")</f>
        <v>#VALUE!</v>
      </c>
      <c r="BK257" t="e">
        <f>AND('STERLING CATALOG - FZN &amp; CHILL'!J290,"AAAAACvNTj4=")</f>
        <v>#VALUE!</v>
      </c>
      <c r="BL257">
        <f>IF('STERLING CATALOG - FZN &amp; CHILL'!291:291,"AAAAACvNTj8=",0)</f>
        <v>0</v>
      </c>
      <c r="BM257" t="e">
        <f>AND('STERLING CATALOG - FZN &amp; CHILL'!A291,"AAAAACvNTkA=")</f>
        <v>#VALUE!</v>
      </c>
      <c r="BN257" t="e">
        <f>AND('STERLING CATALOG - FZN &amp; CHILL'!B291,"AAAAACvNTkE=")</f>
        <v>#VALUE!</v>
      </c>
      <c r="BO257" t="e">
        <f>AND('STERLING CATALOG - FZN &amp; CHILL'!C291,"AAAAACvNTkI=")</f>
        <v>#VALUE!</v>
      </c>
      <c r="BP257" t="e">
        <f>AND('STERLING CATALOG - FZN &amp; CHILL'!D291,"AAAAACvNTkM=")</f>
        <v>#VALUE!</v>
      </c>
      <c r="BQ257" t="e">
        <f>AND('STERLING CATALOG - FZN &amp; CHILL'!E291,"AAAAACvNTkQ=")</f>
        <v>#VALUE!</v>
      </c>
      <c r="BR257" t="e">
        <f>AND('STERLING CATALOG - FZN &amp; CHILL'!F291,"AAAAACvNTkU=")</f>
        <v>#VALUE!</v>
      </c>
      <c r="BS257" t="e">
        <f>AND('STERLING CATALOG - FZN &amp; CHILL'!G291,"AAAAACvNTkY=")</f>
        <v>#VALUE!</v>
      </c>
      <c r="BT257" t="e">
        <f>AND('STERLING CATALOG - FZN &amp; CHILL'!H291,"AAAAACvNTkc=")</f>
        <v>#VALUE!</v>
      </c>
      <c r="BU257" t="e">
        <f>AND('STERLING CATALOG - FZN &amp; CHILL'!I291,"AAAAACvNTkg=")</f>
        <v>#VALUE!</v>
      </c>
      <c r="BV257" t="e">
        <f>AND('STERLING CATALOG - FZN &amp; CHILL'!J291,"AAAAACvNTkk=")</f>
        <v>#VALUE!</v>
      </c>
      <c r="BW257">
        <f>IF('STERLING CATALOG - FZN &amp; CHILL'!292:292,"AAAAACvNTko=",0)</f>
        <v>0</v>
      </c>
      <c r="BX257" t="e">
        <f>AND('STERLING CATALOG - FZN &amp; CHILL'!A292,"AAAAACvNTks=")</f>
        <v>#VALUE!</v>
      </c>
      <c r="BY257" t="e">
        <f>AND('STERLING CATALOG - FZN &amp; CHILL'!B292,"AAAAACvNTkw=")</f>
        <v>#VALUE!</v>
      </c>
      <c r="BZ257" t="e">
        <f>AND('STERLING CATALOG - FZN &amp; CHILL'!C292,"AAAAACvNTk0=")</f>
        <v>#VALUE!</v>
      </c>
      <c r="CA257" t="e">
        <f>AND('STERLING CATALOG - FZN &amp; CHILL'!D292,"AAAAACvNTk4=")</f>
        <v>#VALUE!</v>
      </c>
      <c r="CB257" t="e">
        <f>AND('STERLING CATALOG - FZN &amp; CHILL'!E292,"AAAAACvNTk8=")</f>
        <v>#VALUE!</v>
      </c>
      <c r="CC257" t="e">
        <f>AND('STERLING CATALOG - FZN &amp; CHILL'!F292,"AAAAACvNTlA=")</f>
        <v>#VALUE!</v>
      </c>
      <c r="CD257" t="e">
        <f>AND('STERLING CATALOG - FZN &amp; CHILL'!G292,"AAAAACvNTlE=")</f>
        <v>#VALUE!</v>
      </c>
      <c r="CE257" t="e">
        <f>AND('STERLING CATALOG - FZN &amp; CHILL'!H292,"AAAAACvNTlI=")</f>
        <v>#VALUE!</v>
      </c>
      <c r="CF257" t="e">
        <f>AND('STERLING CATALOG - FZN &amp; CHILL'!I292,"AAAAACvNTlM=")</f>
        <v>#VALUE!</v>
      </c>
      <c r="CG257" t="e">
        <f>AND('STERLING CATALOG - FZN &amp; CHILL'!J292,"AAAAACvNTlQ=")</f>
        <v>#VALUE!</v>
      </c>
      <c r="CH257">
        <f>IF('STERLING CATALOG - FZN &amp; CHILL'!293:293,"AAAAACvNTlU=",0)</f>
        <v>0</v>
      </c>
      <c r="CI257" t="e">
        <f>AND('STERLING CATALOG - FZN &amp; CHILL'!A293,"AAAAACvNTlY=")</f>
        <v>#VALUE!</v>
      </c>
      <c r="CJ257" t="e">
        <f>AND('STERLING CATALOG - FZN &amp; CHILL'!B293,"AAAAACvNTlc=")</f>
        <v>#VALUE!</v>
      </c>
      <c r="CK257" t="e">
        <f>AND('STERLING CATALOG - FZN &amp; CHILL'!C293,"AAAAACvNTlg=")</f>
        <v>#VALUE!</v>
      </c>
      <c r="CL257" t="e">
        <f>AND('STERLING CATALOG - FZN &amp; CHILL'!D293,"AAAAACvNTlk=")</f>
        <v>#VALUE!</v>
      </c>
      <c r="CM257" t="e">
        <f>AND('STERLING CATALOG - FZN &amp; CHILL'!E293,"AAAAACvNTlo=")</f>
        <v>#VALUE!</v>
      </c>
      <c r="CN257" t="e">
        <f>AND('STERLING CATALOG - FZN &amp; CHILL'!F293,"AAAAACvNTls=")</f>
        <v>#VALUE!</v>
      </c>
      <c r="CO257" t="e">
        <f>AND('STERLING CATALOG - FZN &amp; CHILL'!G293,"AAAAACvNTlw=")</f>
        <v>#VALUE!</v>
      </c>
      <c r="CP257" t="e">
        <f>AND('STERLING CATALOG - FZN &amp; CHILL'!H293,"AAAAACvNTl0=")</f>
        <v>#VALUE!</v>
      </c>
      <c r="CQ257" t="e">
        <f>AND('STERLING CATALOG - FZN &amp; CHILL'!I293,"AAAAACvNTl4=")</f>
        <v>#VALUE!</v>
      </c>
      <c r="CR257" t="e">
        <f>AND('STERLING CATALOG - FZN &amp; CHILL'!J293,"AAAAACvNTl8=")</f>
        <v>#VALUE!</v>
      </c>
      <c r="CS257">
        <f>IF('STERLING CATALOG - FZN &amp; CHILL'!294:294,"AAAAACvNTmA=",0)</f>
        <v>0</v>
      </c>
      <c r="CT257" t="e">
        <f>AND('STERLING CATALOG - FZN &amp; CHILL'!A294,"AAAAACvNTmE=")</f>
        <v>#VALUE!</v>
      </c>
      <c r="CU257" t="e">
        <f>AND('STERLING CATALOG - FZN &amp; CHILL'!B294,"AAAAACvNTmI=")</f>
        <v>#VALUE!</v>
      </c>
      <c r="CV257" t="e">
        <f>AND('STERLING CATALOG - FZN &amp; CHILL'!C294,"AAAAACvNTmM=")</f>
        <v>#VALUE!</v>
      </c>
      <c r="CW257" t="e">
        <f>AND('STERLING CATALOG - FZN &amp; CHILL'!D294,"AAAAACvNTmQ=")</f>
        <v>#VALUE!</v>
      </c>
      <c r="CX257" t="e">
        <f>AND('STERLING CATALOG - FZN &amp; CHILL'!E294,"AAAAACvNTmU=")</f>
        <v>#VALUE!</v>
      </c>
      <c r="CY257" t="e">
        <f>AND('STERLING CATALOG - FZN &amp; CHILL'!F294,"AAAAACvNTmY=")</f>
        <v>#VALUE!</v>
      </c>
      <c r="CZ257" t="e">
        <f>AND('STERLING CATALOG - FZN &amp; CHILL'!G294,"AAAAACvNTmc=")</f>
        <v>#VALUE!</v>
      </c>
      <c r="DA257" t="e">
        <f>AND('STERLING CATALOG - FZN &amp; CHILL'!H294,"AAAAACvNTmg=")</f>
        <v>#VALUE!</v>
      </c>
      <c r="DB257" t="e">
        <f>AND('STERLING CATALOG - FZN &amp; CHILL'!I294,"AAAAACvNTmk=")</f>
        <v>#VALUE!</v>
      </c>
      <c r="DC257" t="e">
        <f>AND('STERLING CATALOG - FZN &amp; CHILL'!J294,"AAAAACvNTmo=")</f>
        <v>#VALUE!</v>
      </c>
      <c r="DD257">
        <f>IF('STERLING CATALOG - FZN &amp; CHILL'!295:295,"AAAAACvNTms=",0)</f>
        <v>0</v>
      </c>
      <c r="DE257" t="e">
        <f>AND('STERLING CATALOG - FZN &amp; CHILL'!A295,"AAAAACvNTmw=")</f>
        <v>#VALUE!</v>
      </c>
      <c r="DF257" t="e">
        <f>AND('STERLING CATALOG - FZN &amp; CHILL'!B295,"AAAAACvNTm0=")</f>
        <v>#VALUE!</v>
      </c>
      <c r="DG257" t="e">
        <f>AND('STERLING CATALOG - FZN &amp; CHILL'!C295,"AAAAACvNTm4=")</f>
        <v>#VALUE!</v>
      </c>
      <c r="DH257" t="e">
        <f>AND('STERLING CATALOG - FZN &amp; CHILL'!D295,"AAAAACvNTm8=")</f>
        <v>#VALUE!</v>
      </c>
      <c r="DI257" t="e">
        <f>AND('STERLING CATALOG - FZN &amp; CHILL'!E295,"AAAAACvNTnA=")</f>
        <v>#VALUE!</v>
      </c>
      <c r="DJ257" t="e">
        <f>AND('STERLING CATALOG - FZN &amp; CHILL'!F295,"AAAAACvNTnE=")</f>
        <v>#VALUE!</v>
      </c>
      <c r="DK257" t="e">
        <f>AND('STERLING CATALOG - FZN &amp; CHILL'!G295,"AAAAACvNTnI=")</f>
        <v>#VALUE!</v>
      </c>
      <c r="DL257" t="e">
        <f>AND('STERLING CATALOG - FZN &amp; CHILL'!H295,"AAAAACvNTnM=")</f>
        <v>#VALUE!</v>
      </c>
      <c r="DM257" t="e">
        <f>AND('STERLING CATALOG - FZN &amp; CHILL'!I295,"AAAAACvNTnQ=")</f>
        <v>#VALUE!</v>
      </c>
      <c r="DN257" t="e">
        <f>AND('STERLING CATALOG - FZN &amp; CHILL'!J295,"AAAAACvNTnU=")</f>
        <v>#VALUE!</v>
      </c>
      <c r="DO257">
        <f>IF('STERLING CATALOG - FZN &amp; CHILL'!296:296,"AAAAACvNTnY=",0)</f>
        <v>0</v>
      </c>
      <c r="DP257" t="e">
        <f>AND('STERLING CATALOG - FZN &amp; CHILL'!A296,"AAAAACvNTnc=")</f>
        <v>#VALUE!</v>
      </c>
      <c r="DQ257" t="e">
        <f>AND('STERLING CATALOG - FZN &amp; CHILL'!B296,"AAAAACvNTng=")</f>
        <v>#VALUE!</v>
      </c>
      <c r="DR257" t="e">
        <f>AND('STERLING CATALOG - FZN &amp; CHILL'!C296,"AAAAACvNTnk=")</f>
        <v>#VALUE!</v>
      </c>
      <c r="DS257" t="e">
        <f>AND('STERLING CATALOG - FZN &amp; CHILL'!D296,"AAAAACvNTno=")</f>
        <v>#VALUE!</v>
      </c>
      <c r="DT257" t="e">
        <f>AND('STERLING CATALOG - FZN &amp; CHILL'!E296,"AAAAACvNTns=")</f>
        <v>#VALUE!</v>
      </c>
      <c r="DU257" t="e">
        <f>AND('STERLING CATALOG - FZN &amp; CHILL'!F296,"AAAAACvNTnw=")</f>
        <v>#VALUE!</v>
      </c>
      <c r="DV257" t="e">
        <f>AND('STERLING CATALOG - FZN &amp; CHILL'!G296,"AAAAACvNTn0=")</f>
        <v>#VALUE!</v>
      </c>
      <c r="DW257" t="e">
        <f>AND('STERLING CATALOG - FZN &amp; CHILL'!H296,"AAAAACvNTn4=")</f>
        <v>#VALUE!</v>
      </c>
      <c r="DX257" t="e">
        <f>AND('STERLING CATALOG - FZN &amp; CHILL'!I296,"AAAAACvNTn8=")</f>
        <v>#VALUE!</v>
      </c>
      <c r="DY257" t="e">
        <f>AND('STERLING CATALOG - FZN &amp; CHILL'!J296,"AAAAACvNToA=")</f>
        <v>#VALUE!</v>
      </c>
      <c r="DZ257">
        <f>IF('STERLING CATALOG - FZN &amp; CHILL'!297:297,"AAAAACvNToE=",0)</f>
        <v>0</v>
      </c>
      <c r="EA257" t="e">
        <f>AND('STERLING CATALOG - FZN &amp; CHILL'!A297,"AAAAACvNToI=")</f>
        <v>#VALUE!</v>
      </c>
      <c r="EB257" t="e">
        <f>AND('STERLING CATALOG - FZN &amp; CHILL'!B297,"AAAAACvNToM=")</f>
        <v>#VALUE!</v>
      </c>
      <c r="EC257" t="e">
        <f>AND('STERLING CATALOG - FZN &amp; CHILL'!C297,"AAAAACvNToQ=")</f>
        <v>#VALUE!</v>
      </c>
      <c r="ED257" t="e">
        <f>AND('STERLING CATALOG - FZN &amp; CHILL'!D297,"AAAAACvNToU=")</f>
        <v>#VALUE!</v>
      </c>
      <c r="EE257" t="e">
        <f>AND('STERLING CATALOG - FZN &amp; CHILL'!E297,"AAAAACvNToY=")</f>
        <v>#VALUE!</v>
      </c>
      <c r="EF257" t="e">
        <f>AND('STERLING CATALOG - FZN &amp; CHILL'!F297,"AAAAACvNToc=")</f>
        <v>#VALUE!</v>
      </c>
      <c r="EG257" t="e">
        <f>AND('STERLING CATALOG - FZN &amp; CHILL'!G297,"AAAAACvNTog=")</f>
        <v>#VALUE!</v>
      </c>
      <c r="EH257" t="e">
        <f>AND('STERLING CATALOG - FZN &amp; CHILL'!H297,"AAAAACvNTok=")</f>
        <v>#VALUE!</v>
      </c>
      <c r="EI257" t="e">
        <f>AND('STERLING CATALOG - FZN &amp; CHILL'!I297,"AAAAACvNToo=")</f>
        <v>#VALUE!</v>
      </c>
      <c r="EJ257" t="e">
        <f>AND('STERLING CATALOG - FZN &amp; CHILL'!J297,"AAAAACvNTos=")</f>
        <v>#VALUE!</v>
      </c>
      <c r="EK257">
        <f>IF('STERLING CATALOG - FZN &amp; CHILL'!298:298,"AAAAACvNTow=",0)</f>
        <v>0</v>
      </c>
      <c r="EL257" t="e">
        <f>AND('STERLING CATALOG - FZN &amp; CHILL'!A298,"AAAAACvNTo0=")</f>
        <v>#VALUE!</v>
      </c>
      <c r="EM257" t="e">
        <f>AND('STERLING CATALOG - FZN &amp; CHILL'!B298,"AAAAACvNTo4=")</f>
        <v>#VALUE!</v>
      </c>
      <c r="EN257" t="e">
        <f>AND('STERLING CATALOG - FZN &amp; CHILL'!C298,"AAAAACvNTo8=")</f>
        <v>#VALUE!</v>
      </c>
      <c r="EO257" t="e">
        <f>AND('STERLING CATALOG - FZN &amp; CHILL'!D298,"AAAAACvNTpA=")</f>
        <v>#VALUE!</v>
      </c>
      <c r="EP257" t="e">
        <f>AND('STERLING CATALOG - FZN &amp; CHILL'!E298,"AAAAACvNTpE=")</f>
        <v>#VALUE!</v>
      </c>
      <c r="EQ257" t="e">
        <f>AND('STERLING CATALOG - FZN &amp; CHILL'!F298,"AAAAACvNTpI=")</f>
        <v>#VALUE!</v>
      </c>
      <c r="ER257" t="e">
        <f>AND('STERLING CATALOG - FZN &amp; CHILL'!G298,"AAAAACvNTpM=")</f>
        <v>#VALUE!</v>
      </c>
      <c r="ES257" t="e">
        <f>AND('STERLING CATALOG - FZN &amp; CHILL'!H298,"AAAAACvNTpQ=")</f>
        <v>#VALUE!</v>
      </c>
      <c r="ET257" t="e">
        <f>AND('STERLING CATALOG - FZN &amp; CHILL'!I298,"AAAAACvNTpU=")</f>
        <v>#VALUE!</v>
      </c>
      <c r="EU257" t="e">
        <f>AND('STERLING CATALOG - FZN &amp; CHILL'!J298,"AAAAACvNTpY=")</f>
        <v>#VALUE!</v>
      </c>
      <c r="EV257">
        <f>IF('STERLING CATALOG - FZN &amp; CHILL'!299:299,"AAAAACvNTpc=",0)</f>
        <v>0</v>
      </c>
      <c r="EW257" t="e">
        <f>AND('STERLING CATALOG - FZN &amp; CHILL'!A299,"AAAAACvNTpg=")</f>
        <v>#VALUE!</v>
      </c>
      <c r="EX257" t="e">
        <f>AND('STERLING CATALOG - FZN &amp; CHILL'!B299,"AAAAACvNTpk=")</f>
        <v>#VALUE!</v>
      </c>
      <c r="EY257" t="e">
        <f>AND('STERLING CATALOG - FZN &amp; CHILL'!C299,"AAAAACvNTpo=")</f>
        <v>#VALUE!</v>
      </c>
      <c r="EZ257" t="e">
        <f>AND('STERLING CATALOG - FZN &amp; CHILL'!D299,"AAAAACvNTps=")</f>
        <v>#VALUE!</v>
      </c>
      <c r="FA257" t="e">
        <f>AND('STERLING CATALOG - FZN &amp; CHILL'!E299,"AAAAACvNTpw=")</f>
        <v>#VALUE!</v>
      </c>
      <c r="FB257" t="e">
        <f>AND('STERLING CATALOG - FZN &amp; CHILL'!F299,"AAAAACvNTp0=")</f>
        <v>#VALUE!</v>
      </c>
      <c r="FC257" t="e">
        <f>AND('STERLING CATALOG - FZN &amp; CHILL'!G299,"AAAAACvNTp4=")</f>
        <v>#VALUE!</v>
      </c>
      <c r="FD257" t="e">
        <f>AND('STERLING CATALOG - FZN &amp; CHILL'!H299,"AAAAACvNTp8=")</f>
        <v>#VALUE!</v>
      </c>
      <c r="FE257" t="e">
        <f>AND('STERLING CATALOG - FZN &amp; CHILL'!I299,"AAAAACvNTqA=")</f>
        <v>#VALUE!</v>
      </c>
      <c r="FF257" t="e">
        <f>AND('STERLING CATALOG - FZN &amp; CHILL'!J299,"AAAAACvNTqE=")</f>
        <v>#VALUE!</v>
      </c>
      <c r="FG257">
        <f>IF('STERLING CATALOG - FZN &amp; CHILL'!300:300,"AAAAACvNTqI=",0)</f>
        <v>0</v>
      </c>
      <c r="FH257" t="e">
        <f>AND('STERLING CATALOG - FZN &amp; CHILL'!A300,"AAAAACvNTqM=")</f>
        <v>#VALUE!</v>
      </c>
      <c r="FI257" t="e">
        <f>AND('STERLING CATALOG - FZN &amp; CHILL'!B300,"AAAAACvNTqQ=")</f>
        <v>#VALUE!</v>
      </c>
      <c r="FJ257" t="e">
        <f>AND('STERLING CATALOG - FZN &amp; CHILL'!C300,"AAAAACvNTqU=")</f>
        <v>#VALUE!</v>
      </c>
      <c r="FK257" t="e">
        <f>AND('STERLING CATALOG - FZN &amp; CHILL'!D300,"AAAAACvNTqY=")</f>
        <v>#VALUE!</v>
      </c>
      <c r="FL257" t="e">
        <f>AND('STERLING CATALOG - FZN &amp; CHILL'!E300,"AAAAACvNTqc=")</f>
        <v>#VALUE!</v>
      </c>
      <c r="FM257" t="e">
        <f>AND('STERLING CATALOG - FZN &amp; CHILL'!F300,"AAAAACvNTqg=")</f>
        <v>#VALUE!</v>
      </c>
      <c r="FN257" t="e">
        <f>AND('STERLING CATALOG - FZN &amp; CHILL'!G300,"AAAAACvNTqk=")</f>
        <v>#VALUE!</v>
      </c>
      <c r="FO257" t="e">
        <f>AND('STERLING CATALOG - FZN &amp; CHILL'!H300,"AAAAACvNTqo=")</f>
        <v>#VALUE!</v>
      </c>
      <c r="FP257" t="e">
        <f>AND('STERLING CATALOG - FZN &amp; CHILL'!I300,"AAAAACvNTqs=")</f>
        <v>#VALUE!</v>
      </c>
      <c r="FQ257" t="e">
        <f>AND('STERLING CATALOG - FZN &amp; CHILL'!J300,"AAAAACvNTqw=")</f>
        <v>#VALUE!</v>
      </c>
      <c r="FR257">
        <f>IF('STERLING CATALOG - FZN &amp; CHILL'!301:301,"AAAAACvNTq0=",0)</f>
        <v>0</v>
      </c>
      <c r="FS257" t="e">
        <f>AND('STERLING CATALOG - FZN &amp; CHILL'!A301,"AAAAACvNTq4=")</f>
        <v>#VALUE!</v>
      </c>
      <c r="FT257" t="e">
        <f>AND('STERLING CATALOG - FZN &amp; CHILL'!B301,"AAAAACvNTq8=")</f>
        <v>#VALUE!</v>
      </c>
      <c r="FU257" t="e">
        <f>AND('STERLING CATALOG - FZN &amp; CHILL'!C301,"AAAAACvNTrA=")</f>
        <v>#VALUE!</v>
      </c>
      <c r="FV257" t="e">
        <f>AND('STERLING CATALOG - FZN &amp; CHILL'!D301,"AAAAACvNTrE=")</f>
        <v>#VALUE!</v>
      </c>
      <c r="FW257" t="e">
        <f>AND('STERLING CATALOG - FZN &amp; CHILL'!E301,"AAAAACvNTrI=")</f>
        <v>#VALUE!</v>
      </c>
      <c r="FX257" t="e">
        <f>AND('STERLING CATALOG - FZN &amp; CHILL'!F301,"AAAAACvNTrM=")</f>
        <v>#VALUE!</v>
      </c>
      <c r="FY257" t="e">
        <f>AND('STERLING CATALOG - FZN &amp; CHILL'!G301,"AAAAACvNTrQ=")</f>
        <v>#VALUE!</v>
      </c>
      <c r="FZ257" t="e">
        <f>AND('STERLING CATALOG - FZN &amp; CHILL'!H301,"AAAAACvNTrU=")</f>
        <v>#VALUE!</v>
      </c>
      <c r="GA257" t="e">
        <f>AND('STERLING CATALOG - FZN &amp; CHILL'!I301,"AAAAACvNTrY=")</f>
        <v>#VALUE!</v>
      </c>
      <c r="GB257" t="e">
        <f>AND('STERLING CATALOG - FZN &amp; CHILL'!J301,"AAAAACvNTrc=")</f>
        <v>#VALUE!</v>
      </c>
      <c r="GC257">
        <f>IF('STERLING CATALOG - FZN &amp; CHILL'!302:302,"AAAAACvNTrg=",0)</f>
        <v>0</v>
      </c>
      <c r="GD257" t="e">
        <f>AND('STERLING CATALOG - FZN &amp; CHILL'!A302,"AAAAACvNTrk=")</f>
        <v>#VALUE!</v>
      </c>
      <c r="GE257" t="e">
        <f>AND('STERLING CATALOG - FZN &amp; CHILL'!B302,"AAAAACvNTro=")</f>
        <v>#VALUE!</v>
      </c>
      <c r="GF257" t="e">
        <f>AND('STERLING CATALOG - FZN &amp; CHILL'!C302,"AAAAACvNTrs=")</f>
        <v>#VALUE!</v>
      </c>
      <c r="GG257" t="e">
        <f>AND('STERLING CATALOG - FZN &amp; CHILL'!D302,"AAAAACvNTrw=")</f>
        <v>#VALUE!</v>
      </c>
      <c r="GH257" t="e">
        <f>AND('STERLING CATALOG - FZN &amp; CHILL'!E302,"AAAAACvNTr0=")</f>
        <v>#VALUE!</v>
      </c>
      <c r="GI257" t="e">
        <f>AND('STERLING CATALOG - FZN &amp; CHILL'!F302,"AAAAACvNTr4=")</f>
        <v>#VALUE!</v>
      </c>
      <c r="GJ257" t="e">
        <f>AND('STERLING CATALOG - FZN &amp; CHILL'!G302,"AAAAACvNTr8=")</f>
        <v>#VALUE!</v>
      </c>
      <c r="GK257" t="e">
        <f>AND('STERLING CATALOG - FZN &amp; CHILL'!H302,"AAAAACvNTsA=")</f>
        <v>#VALUE!</v>
      </c>
      <c r="GL257" t="e">
        <f>AND('STERLING CATALOG - FZN &amp; CHILL'!I302,"AAAAACvNTsE=")</f>
        <v>#VALUE!</v>
      </c>
      <c r="GM257" t="e">
        <f>AND('STERLING CATALOG - FZN &amp; CHILL'!J302,"AAAAACvNTsI=")</f>
        <v>#VALUE!</v>
      </c>
      <c r="GN257">
        <f>IF('STERLING CATALOG - FZN &amp; CHILL'!303:303,"AAAAACvNTsM=",0)</f>
        <v>0</v>
      </c>
      <c r="GO257" t="e">
        <f>AND('STERLING CATALOG - FZN &amp; CHILL'!A303,"AAAAACvNTsQ=")</f>
        <v>#VALUE!</v>
      </c>
      <c r="GP257" t="e">
        <f>AND('STERLING CATALOG - FZN &amp; CHILL'!B303,"AAAAACvNTsU=")</f>
        <v>#VALUE!</v>
      </c>
      <c r="GQ257" t="e">
        <f>AND('STERLING CATALOG - FZN &amp; CHILL'!C303,"AAAAACvNTsY=")</f>
        <v>#VALUE!</v>
      </c>
      <c r="GR257" t="e">
        <f>AND('STERLING CATALOG - FZN &amp; CHILL'!D303,"AAAAACvNTsc=")</f>
        <v>#VALUE!</v>
      </c>
      <c r="GS257" t="e">
        <f>AND('STERLING CATALOG - FZN &amp; CHILL'!E303,"AAAAACvNTsg=")</f>
        <v>#VALUE!</v>
      </c>
      <c r="GT257" t="e">
        <f>AND('STERLING CATALOG - FZN &amp; CHILL'!F303,"AAAAACvNTsk=")</f>
        <v>#VALUE!</v>
      </c>
      <c r="GU257" t="e">
        <f>AND('STERLING CATALOG - FZN &amp; CHILL'!G303,"AAAAACvNTso=")</f>
        <v>#VALUE!</v>
      </c>
      <c r="GV257" t="e">
        <f>AND('STERLING CATALOG - FZN &amp; CHILL'!H303,"AAAAACvNTss=")</f>
        <v>#VALUE!</v>
      </c>
      <c r="GW257" t="e">
        <f>AND('STERLING CATALOG - FZN &amp; CHILL'!I303,"AAAAACvNTsw=")</f>
        <v>#VALUE!</v>
      </c>
      <c r="GX257" t="e">
        <f>AND('STERLING CATALOG - FZN &amp; CHILL'!J303,"AAAAACvNTs0=")</f>
        <v>#VALUE!</v>
      </c>
      <c r="GY257">
        <f>IF('STERLING CATALOG - FZN &amp; CHILL'!304:304,"AAAAACvNTs4=",0)</f>
        <v>0</v>
      </c>
      <c r="GZ257" t="e">
        <f>AND('STERLING CATALOG - FZN &amp; CHILL'!A304,"AAAAACvNTs8=")</f>
        <v>#VALUE!</v>
      </c>
      <c r="HA257" t="e">
        <f>AND('STERLING CATALOG - FZN &amp; CHILL'!B304,"AAAAACvNTtA=")</f>
        <v>#VALUE!</v>
      </c>
      <c r="HB257" t="e">
        <f>AND('STERLING CATALOG - FZN &amp; CHILL'!C304,"AAAAACvNTtE=")</f>
        <v>#VALUE!</v>
      </c>
      <c r="HC257" t="e">
        <f>AND('STERLING CATALOG - FZN &amp; CHILL'!D304,"AAAAACvNTtI=")</f>
        <v>#VALUE!</v>
      </c>
      <c r="HD257" t="e">
        <f>AND('STERLING CATALOG - FZN &amp; CHILL'!E304,"AAAAACvNTtM=")</f>
        <v>#VALUE!</v>
      </c>
      <c r="HE257" t="e">
        <f>AND('STERLING CATALOG - FZN &amp; CHILL'!F304,"AAAAACvNTtQ=")</f>
        <v>#VALUE!</v>
      </c>
      <c r="HF257" t="e">
        <f>AND('STERLING CATALOG - FZN &amp; CHILL'!G304,"AAAAACvNTtU=")</f>
        <v>#VALUE!</v>
      </c>
      <c r="HG257" t="e">
        <f>AND('STERLING CATALOG - FZN &amp; CHILL'!H304,"AAAAACvNTtY=")</f>
        <v>#VALUE!</v>
      </c>
      <c r="HH257" t="e">
        <f>AND('STERLING CATALOG - FZN &amp; CHILL'!I304,"AAAAACvNTtc=")</f>
        <v>#VALUE!</v>
      </c>
      <c r="HI257" t="e">
        <f>AND('STERLING CATALOG - FZN &amp; CHILL'!J304,"AAAAACvNTtg=")</f>
        <v>#VALUE!</v>
      </c>
      <c r="HJ257">
        <f>IF('STERLING CATALOG - FZN &amp; CHILL'!305:305,"AAAAACvNTtk=",0)</f>
        <v>0</v>
      </c>
      <c r="HK257" t="e">
        <f>AND('STERLING CATALOG - FZN &amp; CHILL'!A305,"AAAAACvNTto=")</f>
        <v>#VALUE!</v>
      </c>
      <c r="HL257" t="e">
        <f>AND('STERLING CATALOG - FZN &amp; CHILL'!B305,"AAAAACvNTts=")</f>
        <v>#VALUE!</v>
      </c>
      <c r="HM257" t="e">
        <f>AND('STERLING CATALOG - FZN &amp; CHILL'!C305,"AAAAACvNTtw=")</f>
        <v>#VALUE!</v>
      </c>
      <c r="HN257" t="e">
        <f>AND('STERLING CATALOG - FZN &amp; CHILL'!D305,"AAAAACvNTt0=")</f>
        <v>#VALUE!</v>
      </c>
      <c r="HO257" t="e">
        <f>AND('STERLING CATALOG - FZN &amp; CHILL'!E305,"AAAAACvNTt4=")</f>
        <v>#VALUE!</v>
      </c>
      <c r="HP257" t="e">
        <f>AND('STERLING CATALOG - FZN &amp; CHILL'!F305,"AAAAACvNTt8=")</f>
        <v>#VALUE!</v>
      </c>
      <c r="HQ257" t="e">
        <f>AND('STERLING CATALOG - FZN &amp; CHILL'!G305,"AAAAACvNTuA=")</f>
        <v>#VALUE!</v>
      </c>
      <c r="HR257" t="e">
        <f>AND('STERLING CATALOG - FZN &amp; CHILL'!H305,"AAAAACvNTuE=")</f>
        <v>#VALUE!</v>
      </c>
      <c r="HS257" t="e">
        <f>AND('STERLING CATALOG - FZN &amp; CHILL'!I305,"AAAAACvNTuI=")</f>
        <v>#VALUE!</v>
      </c>
      <c r="HT257" t="e">
        <f>AND('STERLING CATALOG - FZN &amp; CHILL'!J305,"AAAAACvNTuM=")</f>
        <v>#VALUE!</v>
      </c>
      <c r="HU257">
        <f>IF('STERLING CATALOG - FZN &amp; CHILL'!306:306,"AAAAACvNTuQ=",0)</f>
        <v>0</v>
      </c>
      <c r="HV257" t="e">
        <f>AND('STERLING CATALOG - FZN &amp; CHILL'!A306,"AAAAACvNTuU=")</f>
        <v>#VALUE!</v>
      </c>
      <c r="HW257" t="e">
        <f>AND('STERLING CATALOG - FZN &amp; CHILL'!B306,"AAAAACvNTuY=")</f>
        <v>#VALUE!</v>
      </c>
      <c r="HX257" t="e">
        <f>AND('STERLING CATALOG - FZN &amp; CHILL'!C306,"AAAAACvNTuc=")</f>
        <v>#VALUE!</v>
      </c>
      <c r="HY257" t="e">
        <f>AND('STERLING CATALOG - FZN &amp; CHILL'!D306,"AAAAACvNTug=")</f>
        <v>#VALUE!</v>
      </c>
      <c r="HZ257" t="e">
        <f>AND('STERLING CATALOG - FZN &amp; CHILL'!E306,"AAAAACvNTuk=")</f>
        <v>#VALUE!</v>
      </c>
      <c r="IA257" t="e">
        <f>AND('STERLING CATALOG - FZN &amp; CHILL'!F306,"AAAAACvNTuo=")</f>
        <v>#VALUE!</v>
      </c>
      <c r="IB257" t="e">
        <f>AND('STERLING CATALOG - FZN &amp; CHILL'!G306,"AAAAACvNTus=")</f>
        <v>#VALUE!</v>
      </c>
      <c r="IC257" t="e">
        <f>AND('STERLING CATALOG - FZN &amp; CHILL'!H306,"AAAAACvNTuw=")</f>
        <v>#VALUE!</v>
      </c>
      <c r="ID257" t="e">
        <f>AND('STERLING CATALOG - FZN &amp; CHILL'!I306,"AAAAACvNTu0=")</f>
        <v>#VALUE!</v>
      </c>
      <c r="IE257" t="e">
        <f>AND('STERLING CATALOG - FZN &amp; CHILL'!J306,"AAAAACvNTu4=")</f>
        <v>#VALUE!</v>
      </c>
      <c r="IF257">
        <f>IF('STERLING CATALOG - FZN &amp; CHILL'!307:307,"AAAAACvNTu8=",0)</f>
        <v>0</v>
      </c>
      <c r="IG257" t="e">
        <f>AND('STERLING CATALOG - FZN &amp; CHILL'!A307,"AAAAACvNTvA=")</f>
        <v>#VALUE!</v>
      </c>
      <c r="IH257" t="e">
        <f>AND('STERLING CATALOG - FZN &amp; CHILL'!B307,"AAAAACvNTvE=")</f>
        <v>#VALUE!</v>
      </c>
      <c r="II257" t="e">
        <f>AND('STERLING CATALOG - FZN &amp; CHILL'!C307,"AAAAACvNTvI=")</f>
        <v>#VALUE!</v>
      </c>
      <c r="IJ257" t="e">
        <f>AND('STERLING CATALOG - FZN &amp; CHILL'!D307,"AAAAACvNTvM=")</f>
        <v>#VALUE!</v>
      </c>
      <c r="IK257" t="e">
        <f>AND('STERLING CATALOG - FZN &amp; CHILL'!E307,"AAAAACvNTvQ=")</f>
        <v>#VALUE!</v>
      </c>
      <c r="IL257" t="e">
        <f>AND('STERLING CATALOG - FZN &amp; CHILL'!F307,"AAAAACvNTvU=")</f>
        <v>#VALUE!</v>
      </c>
      <c r="IM257" t="e">
        <f>AND('STERLING CATALOG - FZN &amp; CHILL'!G307,"AAAAACvNTvY=")</f>
        <v>#VALUE!</v>
      </c>
      <c r="IN257" t="e">
        <f>AND('STERLING CATALOG - FZN &amp; CHILL'!H307,"AAAAACvNTvc=")</f>
        <v>#VALUE!</v>
      </c>
      <c r="IO257" t="e">
        <f>AND('STERLING CATALOG - FZN &amp; CHILL'!I307,"AAAAACvNTvg=")</f>
        <v>#VALUE!</v>
      </c>
      <c r="IP257" t="e">
        <f>AND('STERLING CATALOG - FZN &amp; CHILL'!J307,"AAAAACvNTvk=")</f>
        <v>#VALUE!</v>
      </c>
      <c r="IQ257">
        <f>IF('STERLING CATALOG - FZN &amp; CHILL'!308:308,"AAAAACvNTvo=",0)</f>
        <v>0</v>
      </c>
      <c r="IR257" t="e">
        <f>AND('STERLING CATALOG - FZN &amp; CHILL'!A308,"AAAAACvNTvs=")</f>
        <v>#VALUE!</v>
      </c>
      <c r="IS257" t="e">
        <f>AND('STERLING CATALOG - FZN &amp; CHILL'!B308,"AAAAACvNTvw=")</f>
        <v>#VALUE!</v>
      </c>
      <c r="IT257" t="e">
        <f>AND('STERLING CATALOG - FZN &amp; CHILL'!C308,"AAAAACvNTv0=")</f>
        <v>#VALUE!</v>
      </c>
      <c r="IU257" t="e">
        <f>AND('STERLING CATALOG - FZN &amp; CHILL'!D308,"AAAAACvNTv4=")</f>
        <v>#VALUE!</v>
      </c>
      <c r="IV257" t="e">
        <f>AND('STERLING CATALOG - FZN &amp; CHILL'!E308,"AAAAACvNTv8=")</f>
        <v>#VALUE!</v>
      </c>
    </row>
    <row r="258" spans="1:256">
      <c r="A258" t="e">
        <f>AND('STERLING CATALOG - FZN &amp; CHILL'!F308,"AAAAAH9XTQA=")</f>
        <v>#VALUE!</v>
      </c>
      <c r="B258" t="e">
        <f>AND('STERLING CATALOG - FZN &amp; CHILL'!G308,"AAAAAH9XTQE=")</f>
        <v>#VALUE!</v>
      </c>
      <c r="C258" t="e">
        <f>AND('STERLING CATALOG - FZN &amp; CHILL'!H308,"AAAAAH9XTQI=")</f>
        <v>#VALUE!</v>
      </c>
      <c r="D258" t="e">
        <f>AND('STERLING CATALOG - FZN &amp; CHILL'!I308,"AAAAAH9XTQM=")</f>
        <v>#VALUE!</v>
      </c>
      <c r="E258" t="e">
        <f>AND('STERLING CATALOG - FZN &amp; CHILL'!J308,"AAAAAH9XTQQ=")</f>
        <v>#VALUE!</v>
      </c>
      <c r="F258" t="str">
        <f>IF('STERLING CATALOG - FZN &amp; CHILL'!309:309,"AAAAAH9XTQU=",0)</f>
        <v>AAAAAH9XTQU=</v>
      </c>
      <c r="G258" t="e">
        <f>AND('STERLING CATALOG - FZN &amp; CHILL'!A309,"AAAAAH9XTQY=")</f>
        <v>#VALUE!</v>
      </c>
      <c r="H258" t="e">
        <f>AND('STERLING CATALOG - FZN &amp; CHILL'!B309,"AAAAAH9XTQc=")</f>
        <v>#VALUE!</v>
      </c>
      <c r="I258" t="e">
        <f>AND('STERLING CATALOG - FZN &amp; CHILL'!C309,"AAAAAH9XTQg=")</f>
        <v>#VALUE!</v>
      </c>
      <c r="J258" t="e">
        <f>AND('STERLING CATALOG - FZN &amp; CHILL'!D309,"AAAAAH9XTQk=")</f>
        <v>#VALUE!</v>
      </c>
      <c r="K258" t="e">
        <f>AND('STERLING CATALOG - FZN &amp; CHILL'!E309,"AAAAAH9XTQo=")</f>
        <v>#VALUE!</v>
      </c>
      <c r="L258" t="e">
        <f>AND('STERLING CATALOG - FZN &amp; CHILL'!F309,"AAAAAH9XTQs=")</f>
        <v>#VALUE!</v>
      </c>
      <c r="M258" t="e">
        <f>AND('STERLING CATALOG - FZN &amp; CHILL'!G309,"AAAAAH9XTQw=")</f>
        <v>#VALUE!</v>
      </c>
      <c r="N258" t="e">
        <f>AND('STERLING CATALOG - FZN &amp; CHILL'!H309,"AAAAAH9XTQ0=")</f>
        <v>#VALUE!</v>
      </c>
      <c r="O258" t="e">
        <f>AND('STERLING CATALOG - FZN &amp; CHILL'!I309,"AAAAAH9XTQ4=")</f>
        <v>#VALUE!</v>
      </c>
      <c r="P258" t="e">
        <f>AND('STERLING CATALOG - FZN &amp; CHILL'!J309,"AAAAAH9XTQ8=")</f>
        <v>#VALUE!</v>
      </c>
      <c r="Q258">
        <f>IF('STERLING CATALOG - FZN &amp; CHILL'!310:310,"AAAAAH9XTRA=",0)</f>
        <v>0</v>
      </c>
      <c r="R258" t="e">
        <f>AND('STERLING CATALOG - FZN &amp; CHILL'!A310,"AAAAAH9XTRE=")</f>
        <v>#VALUE!</v>
      </c>
      <c r="S258" t="e">
        <f>AND('STERLING CATALOG - FZN &amp; CHILL'!B310,"AAAAAH9XTRI=")</f>
        <v>#VALUE!</v>
      </c>
      <c r="T258" t="e">
        <f>AND('STERLING CATALOG - FZN &amp; CHILL'!C310,"AAAAAH9XTRM=")</f>
        <v>#VALUE!</v>
      </c>
      <c r="U258" t="e">
        <f>AND('STERLING CATALOG - FZN &amp; CHILL'!D310,"AAAAAH9XTRQ=")</f>
        <v>#VALUE!</v>
      </c>
      <c r="V258" t="e">
        <f>AND('STERLING CATALOG - FZN &amp; CHILL'!E310,"AAAAAH9XTRU=")</f>
        <v>#VALUE!</v>
      </c>
      <c r="W258" t="e">
        <f>AND('STERLING CATALOG - FZN &amp; CHILL'!F310,"AAAAAH9XTRY=")</f>
        <v>#VALUE!</v>
      </c>
      <c r="X258" t="e">
        <f>AND('STERLING CATALOG - FZN &amp; CHILL'!G310,"AAAAAH9XTRc=")</f>
        <v>#VALUE!</v>
      </c>
      <c r="Y258" t="e">
        <f>AND('STERLING CATALOG - FZN &amp; CHILL'!H310,"AAAAAH9XTRg=")</f>
        <v>#VALUE!</v>
      </c>
      <c r="Z258" t="e">
        <f>AND('STERLING CATALOG - FZN &amp; CHILL'!I310,"AAAAAH9XTRk=")</f>
        <v>#VALUE!</v>
      </c>
      <c r="AA258" t="e">
        <f>AND('STERLING CATALOG - FZN &amp; CHILL'!J310,"AAAAAH9XTRo=")</f>
        <v>#VALUE!</v>
      </c>
      <c r="AB258">
        <f>IF('STERLING CATALOG - FZN &amp; CHILL'!311:311,"AAAAAH9XTRs=",0)</f>
        <v>0</v>
      </c>
      <c r="AC258" t="e">
        <f>AND('STERLING CATALOG - FZN &amp; CHILL'!A311,"AAAAAH9XTRw=")</f>
        <v>#VALUE!</v>
      </c>
      <c r="AD258" t="e">
        <f>AND('STERLING CATALOG - FZN &amp; CHILL'!B311,"AAAAAH9XTR0=")</f>
        <v>#VALUE!</v>
      </c>
      <c r="AE258" t="e">
        <f>AND('STERLING CATALOG - FZN &amp; CHILL'!C311,"AAAAAH9XTR4=")</f>
        <v>#VALUE!</v>
      </c>
      <c r="AF258" t="e">
        <f>AND('STERLING CATALOG - FZN &amp; CHILL'!D311,"AAAAAH9XTR8=")</f>
        <v>#VALUE!</v>
      </c>
      <c r="AG258" t="e">
        <f>AND('STERLING CATALOG - FZN &amp; CHILL'!E311,"AAAAAH9XTSA=")</f>
        <v>#VALUE!</v>
      </c>
      <c r="AH258" t="e">
        <f>AND('STERLING CATALOG - FZN &amp; CHILL'!F311,"AAAAAH9XTSE=")</f>
        <v>#VALUE!</v>
      </c>
      <c r="AI258" t="e">
        <f>AND('STERLING CATALOG - FZN &amp; CHILL'!G311,"AAAAAH9XTSI=")</f>
        <v>#VALUE!</v>
      </c>
      <c r="AJ258" t="e">
        <f>AND('STERLING CATALOG - FZN &amp; CHILL'!H311,"AAAAAH9XTSM=")</f>
        <v>#VALUE!</v>
      </c>
      <c r="AK258" t="e">
        <f>AND('STERLING CATALOG - FZN &amp; CHILL'!I311,"AAAAAH9XTSQ=")</f>
        <v>#VALUE!</v>
      </c>
      <c r="AL258" t="e">
        <f>AND('STERLING CATALOG - FZN &amp; CHILL'!J311,"AAAAAH9XTSU=")</f>
        <v>#VALUE!</v>
      </c>
      <c r="AM258">
        <f>IF('STERLING CATALOG - FZN &amp; CHILL'!312:312,"AAAAAH9XTSY=",0)</f>
        <v>0</v>
      </c>
      <c r="AN258" t="e">
        <f>AND('STERLING CATALOG - FZN &amp; CHILL'!A312,"AAAAAH9XTSc=")</f>
        <v>#VALUE!</v>
      </c>
      <c r="AO258" t="e">
        <f>AND('STERLING CATALOG - FZN &amp; CHILL'!B312,"AAAAAH9XTSg=")</f>
        <v>#VALUE!</v>
      </c>
      <c r="AP258" t="e">
        <f>AND('STERLING CATALOG - FZN &amp; CHILL'!C312,"AAAAAH9XTSk=")</f>
        <v>#VALUE!</v>
      </c>
      <c r="AQ258" t="e">
        <f>AND('STERLING CATALOG - FZN &amp; CHILL'!D312,"AAAAAH9XTSo=")</f>
        <v>#VALUE!</v>
      </c>
      <c r="AR258" t="e">
        <f>AND('STERLING CATALOG - FZN &amp; CHILL'!E312,"AAAAAH9XTSs=")</f>
        <v>#VALUE!</v>
      </c>
      <c r="AS258" t="e">
        <f>AND('STERLING CATALOG - FZN &amp; CHILL'!F312,"AAAAAH9XTSw=")</f>
        <v>#VALUE!</v>
      </c>
      <c r="AT258" t="e">
        <f>AND('STERLING CATALOG - FZN &amp; CHILL'!G312,"AAAAAH9XTS0=")</f>
        <v>#VALUE!</v>
      </c>
      <c r="AU258" t="e">
        <f>AND('STERLING CATALOG - FZN &amp; CHILL'!H312,"AAAAAH9XTS4=")</f>
        <v>#VALUE!</v>
      </c>
      <c r="AV258" t="e">
        <f>AND('STERLING CATALOG - FZN &amp; CHILL'!I312,"AAAAAH9XTS8=")</f>
        <v>#VALUE!</v>
      </c>
      <c r="AW258" t="e">
        <f>AND('STERLING CATALOG - FZN &amp; CHILL'!J312,"AAAAAH9XTTA=")</f>
        <v>#VALUE!</v>
      </c>
      <c r="AX258">
        <f>IF('STERLING CATALOG - FZN &amp; CHILL'!313:313,"AAAAAH9XTTE=",0)</f>
        <v>0</v>
      </c>
      <c r="AY258" t="e">
        <f>AND('STERLING CATALOG - FZN &amp; CHILL'!A313,"AAAAAH9XTTI=")</f>
        <v>#VALUE!</v>
      </c>
      <c r="AZ258" t="e">
        <f>AND('STERLING CATALOG - FZN &amp; CHILL'!B313,"AAAAAH9XTTM=")</f>
        <v>#VALUE!</v>
      </c>
      <c r="BA258" t="e">
        <f>AND('STERLING CATALOG - FZN &amp; CHILL'!C313,"AAAAAH9XTTQ=")</f>
        <v>#VALUE!</v>
      </c>
      <c r="BB258" t="e">
        <f>AND('STERLING CATALOG - FZN &amp; CHILL'!D313,"AAAAAH9XTTU=")</f>
        <v>#VALUE!</v>
      </c>
      <c r="BC258" t="e">
        <f>AND('STERLING CATALOG - FZN &amp; CHILL'!E313,"AAAAAH9XTTY=")</f>
        <v>#VALUE!</v>
      </c>
      <c r="BD258" t="e">
        <f>AND('STERLING CATALOG - FZN &amp; CHILL'!F313,"AAAAAH9XTTc=")</f>
        <v>#VALUE!</v>
      </c>
      <c r="BE258" t="e">
        <f>AND('STERLING CATALOG - FZN &amp; CHILL'!G313,"AAAAAH9XTTg=")</f>
        <v>#VALUE!</v>
      </c>
      <c r="BF258" t="e">
        <f>AND('STERLING CATALOG - FZN &amp; CHILL'!H313,"AAAAAH9XTTk=")</f>
        <v>#VALUE!</v>
      </c>
      <c r="BG258" t="e">
        <f>AND('STERLING CATALOG - FZN &amp; CHILL'!I313,"AAAAAH9XTTo=")</f>
        <v>#VALUE!</v>
      </c>
      <c r="BH258" t="e">
        <f>AND('STERLING CATALOG - FZN &amp; CHILL'!J313,"AAAAAH9XTTs=")</f>
        <v>#VALUE!</v>
      </c>
      <c r="BI258">
        <f>IF('STERLING CATALOG - FZN &amp; CHILL'!314:314,"AAAAAH9XTTw=",0)</f>
        <v>0</v>
      </c>
      <c r="BJ258" t="e">
        <f>AND('STERLING CATALOG - FZN &amp; CHILL'!A314,"AAAAAH9XTT0=")</f>
        <v>#VALUE!</v>
      </c>
      <c r="BK258" t="e">
        <f>AND('STERLING CATALOG - FZN &amp; CHILL'!B314,"AAAAAH9XTT4=")</f>
        <v>#VALUE!</v>
      </c>
      <c r="BL258" t="e">
        <f>AND('STERLING CATALOG - FZN &amp; CHILL'!C314,"AAAAAH9XTT8=")</f>
        <v>#VALUE!</v>
      </c>
      <c r="BM258" t="e">
        <f>AND('STERLING CATALOG - FZN &amp; CHILL'!D314,"AAAAAH9XTUA=")</f>
        <v>#VALUE!</v>
      </c>
      <c r="BN258" t="e">
        <f>AND('STERLING CATALOG - FZN &amp; CHILL'!E314,"AAAAAH9XTUE=")</f>
        <v>#VALUE!</v>
      </c>
      <c r="BO258" t="e">
        <f>AND('STERLING CATALOG - FZN &amp; CHILL'!F314,"AAAAAH9XTUI=")</f>
        <v>#VALUE!</v>
      </c>
      <c r="BP258" t="e">
        <f>AND('STERLING CATALOG - FZN &amp; CHILL'!G314,"AAAAAH9XTUM=")</f>
        <v>#VALUE!</v>
      </c>
      <c r="BQ258" t="e">
        <f>AND('STERLING CATALOG - FZN &amp; CHILL'!H314,"AAAAAH9XTUQ=")</f>
        <v>#VALUE!</v>
      </c>
      <c r="BR258" t="e">
        <f>AND('STERLING CATALOG - FZN &amp; CHILL'!I314,"AAAAAH9XTUU=")</f>
        <v>#VALUE!</v>
      </c>
      <c r="BS258" t="e">
        <f>AND('STERLING CATALOG - FZN &amp; CHILL'!J314,"AAAAAH9XTUY=")</f>
        <v>#VALUE!</v>
      </c>
      <c r="BT258">
        <f>IF('STERLING CATALOG - FZN &amp; CHILL'!315:315,"AAAAAH9XTUc=",0)</f>
        <v>0</v>
      </c>
      <c r="BU258" t="e">
        <f>AND('STERLING CATALOG - FZN &amp; CHILL'!A315,"AAAAAH9XTUg=")</f>
        <v>#VALUE!</v>
      </c>
      <c r="BV258" t="e">
        <f>AND('STERLING CATALOG - FZN &amp; CHILL'!B315,"AAAAAH9XTUk=")</f>
        <v>#VALUE!</v>
      </c>
      <c r="BW258" t="e">
        <f>AND('STERLING CATALOG - FZN &amp; CHILL'!C315,"AAAAAH9XTUo=")</f>
        <v>#VALUE!</v>
      </c>
      <c r="BX258" t="e">
        <f>AND('STERLING CATALOG - FZN &amp; CHILL'!D315,"AAAAAH9XTUs=")</f>
        <v>#VALUE!</v>
      </c>
      <c r="BY258" t="e">
        <f>AND('STERLING CATALOG - FZN &amp; CHILL'!E315,"AAAAAH9XTUw=")</f>
        <v>#VALUE!</v>
      </c>
      <c r="BZ258" t="e">
        <f>AND('STERLING CATALOG - FZN &amp; CHILL'!F315,"AAAAAH9XTU0=")</f>
        <v>#VALUE!</v>
      </c>
      <c r="CA258" t="e">
        <f>AND('STERLING CATALOG - FZN &amp; CHILL'!G315,"AAAAAH9XTU4=")</f>
        <v>#VALUE!</v>
      </c>
      <c r="CB258" t="e">
        <f>AND('STERLING CATALOG - FZN &amp; CHILL'!H315,"AAAAAH9XTU8=")</f>
        <v>#VALUE!</v>
      </c>
      <c r="CC258" t="e">
        <f>AND('STERLING CATALOG - FZN &amp; CHILL'!I315,"AAAAAH9XTVA=")</f>
        <v>#VALUE!</v>
      </c>
      <c r="CD258" t="e">
        <f>AND('STERLING CATALOG - FZN &amp; CHILL'!J315,"AAAAAH9XTVE=")</f>
        <v>#VALUE!</v>
      </c>
      <c r="CE258">
        <f>IF('STERLING CATALOG - FZN &amp; CHILL'!316:316,"AAAAAH9XTVI=",0)</f>
        <v>0</v>
      </c>
      <c r="CF258" t="e">
        <f>AND('STERLING CATALOG - FZN &amp; CHILL'!A316,"AAAAAH9XTVM=")</f>
        <v>#VALUE!</v>
      </c>
      <c r="CG258" t="e">
        <f>AND('STERLING CATALOG - FZN &amp; CHILL'!B316,"AAAAAH9XTVQ=")</f>
        <v>#VALUE!</v>
      </c>
      <c r="CH258" t="e">
        <f>AND('STERLING CATALOG - FZN &amp; CHILL'!C316,"AAAAAH9XTVU=")</f>
        <v>#VALUE!</v>
      </c>
      <c r="CI258" t="e">
        <f>AND('STERLING CATALOG - FZN &amp; CHILL'!D316,"AAAAAH9XTVY=")</f>
        <v>#VALUE!</v>
      </c>
      <c r="CJ258" t="e">
        <f>AND('STERLING CATALOG - FZN &amp; CHILL'!E316,"AAAAAH9XTVc=")</f>
        <v>#VALUE!</v>
      </c>
      <c r="CK258" t="e">
        <f>AND('STERLING CATALOG - FZN &amp; CHILL'!F316,"AAAAAH9XTVg=")</f>
        <v>#VALUE!</v>
      </c>
      <c r="CL258" t="e">
        <f>AND('STERLING CATALOG - FZN &amp; CHILL'!G316,"AAAAAH9XTVk=")</f>
        <v>#VALUE!</v>
      </c>
      <c r="CM258" t="e">
        <f>AND('STERLING CATALOG - FZN &amp; CHILL'!H316,"AAAAAH9XTVo=")</f>
        <v>#VALUE!</v>
      </c>
      <c r="CN258" t="e">
        <f>AND('STERLING CATALOG - FZN &amp; CHILL'!I316,"AAAAAH9XTVs=")</f>
        <v>#VALUE!</v>
      </c>
      <c r="CO258" t="e">
        <f>AND('STERLING CATALOG - FZN &amp; CHILL'!J316,"AAAAAH9XTVw=")</f>
        <v>#VALUE!</v>
      </c>
      <c r="CP258">
        <f>IF('STERLING CATALOG - FZN &amp; CHILL'!317:317,"AAAAAH9XTV0=",0)</f>
        <v>0</v>
      </c>
      <c r="CQ258" t="e">
        <f>AND('STERLING CATALOG - FZN &amp; CHILL'!A317,"AAAAAH9XTV4=")</f>
        <v>#VALUE!</v>
      </c>
      <c r="CR258" t="e">
        <f>AND('STERLING CATALOG - FZN &amp; CHILL'!B317,"AAAAAH9XTV8=")</f>
        <v>#VALUE!</v>
      </c>
      <c r="CS258" t="e">
        <f>AND('STERLING CATALOG - FZN &amp; CHILL'!C317,"AAAAAH9XTWA=")</f>
        <v>#VALUE!</v>
      </c>
      <c r="CT258" t="e">
        <f>AND('STERLING CATALOG - FZN &amp; CHILL'!D317,"AAAAAH9XTWE=")</f>
        <v>#VALUE!</v>
      </c>
      <c r="CU258" t="e">
        <f>AND('STERLING CATALOG - FZN &amp; CHILL'!E317,"AAAAAH9XTWI=")</f>
        <v>#VALUE!</v>
      </c>
      <c r="CV258" t="e">
        <f>AND('STERLING CATALOG - FZN &amp; CHILL'!F317,"AAAAAH9XTWM=")</f>
        <v>#VALUE!</v>
      </c>
      <c r="CW258" t="e">
        <f>AND('STERLING CATALOG - FZN &amp; CHILL'!G317,"AAAAAH9XTWQ=")</f>
        <v>#VALUE!</v>
      </c>
      <c r="CX258" t="e">
        <f>AND('STERLING CATALOG - FZN &amp; CHILL'!H317,"AAAAAH9XTWU=")</f>
        <v>#VALUE!</v>
      </c>
      <c r="CY258" t="e">
        <f>AND('STERLING CATALOG - FZN &amp; CHILL'!I317,"AAAAAH9XTWY=")</f>
        <v>#VALUE!</v>
      </c>
      <c r="CZ258" t="e">
        <f>AND('STERLING CATALOG - FZN &amp; CHILL'!J317,"AAAAAH9XTWc=")</f>
        <v>#VALUE!</v>
      </c>
      <c r="DA258">
        <f>IF('STERLING CATALOG - FZN &amp; CHILL'!318:318,"AAAAAH9XTWg=",0)</f>
        <v>0</v>
      </c>
      <c r="DB258" t="e">
        <f>AND('STERLING CATALOG - FZN &amp; CHILL'!A318,"AAAAAH9XTWk=")</f>
        <v>#VALUE!</v>
      </c>
      <c r="DC258" t="e">
        <f>AND('STERLING CATALOG - FZN &amp; CHILL'!B318,"AAAAAH9XTWo=")</f>
        <v>#VALUE!</v>
      </c>
      <c r="DD258" t="e">
        <f>AND('STERLING CATALOG - FZN &amp; CHILL'!C318,"AAAAAH9XTWs=")</f>
        <v>#VALUE!</v>
      </c>
      <c r="DE258" t="e">
        <f>AND('STERLING CATALOG - FZN &amp; CHILL'!D318,"AAAAAH9XTWw=")</f>
        <v>#VALUE!</v>
      </c>
      <c r="DF258" t="e">
        <f>AND('STERLING CATALOG - FZN &amp; CHILL'!E318,"AAAAAH9XTW0=")</f>
        <v>#VALUE!</v>
      </c>
      <c r="DG258" t="e">
        <f>AND('STERLING CATALOG - FZN &amp; CHILL'!F318,"AAAAAH9XTW4=")</f>
        <v>#VALUE!</v>
      </c>
      <c r="DH258" t="e">
        <f>AND('STERLING CATALOG - FZN &amp; CHILL'!G318,"AAAAAH9XTW8=")</f>
        <v>#VALUE!</v>
      </c>
      <c r="DI258" t="e">
        <f>AND('STERLING CATALOG - FZN &amp; CHILL'!H318,"AAAAAH9XTXA=")</f>
        <v>#VALUE!</v>
      </c>
      <c r="DJ258" t="e">
        <f>AND('STERLING CATALOG - FZN &amp; CHILL'!I318,"AAAAAH9XTXE=")</f>
        <v>#VALUE!</v>
      </c>
      <c r="DK258" t="e">
        <f>AND('STERLING CATALOG - FZN &amp; CHILL'!J318,"AAAAAH9XTXI=")</f>
        <v>#VALUE!</v>
      </c>
      <c r="DL258">
        <f>IF('STERLING CATALOG - FZN &amp; CHILL'!319:319,"AAAAAH9XTXM=",0)</f>
        <v>0</v>
      </c>
      <c r="DM258" t="e">
        <f>AND('STERLING CATALOG - FZN &amp; CHILL'!A319,"AAAAAH9XTXQ=")</f>
        <v>#VALUE!</v>
      </c>
      <c r="DN258" t="e">
        <f>AND('STERLING CATALOG - FZN &amp; CHILL'!B319,"AAAAAH9XTXU=")</f>
        <v>#VALUE!</v>
      </c>
      <c r="DO258" t="e">
        <f>AND('STERLING CATALOG - FZN &amp; CHILL'!C319,"AAAAAH9XTXY=")</f>
        <v>#VALUE!</v>
      </c>
      <c r="DP258" t="e">
        <f>AND('STERLING CATALOG - FZN &amp; CHILL'!D319,"AAAAAH9XTXc=")</f>
        <v>#VALUE!</v>
      </c>
      <c r="DQ258" t="e">
        <f>AND('STERLING CATALOG - FZN &amp; CHILL'!E319,"AAAAAH9XTXg=")</f>
        <v>#VALUE!</v>
      </c>
      <c r="DR258" t="e">
        <f>AND('STERLING CATALOG - FZN &amp; CHILL'!F319,"AAAAAH9XTXk=")</f>
        <v>#VALUE!</v>
      </c>
      <c r="DS258" t="e">
        <f>AND('STERLING CATALOG - FZN &amp; CHILL'!G319,"AAAAAH9XTXo=")</f>
        <v>#VALUE!</v>
      </c>
      <c r="DT258" t="e">
        <f>AND('STERLING CATALOG - FZN &amp; CHILL'!H319,"AAAAAH9XTXs=")</f>
        <v>#VALUE!</v>
      </c>
      <c r="DU258" t="e">
        <f>AND('STERLING CATALOG - FZN &amp; CHILL'!I319,"AAAAAH9XTXw=")</f>
        <v>#VALUE!</v>
      </c>
      <c r="DV258" t="e">
        <f>AND('STERLING CATALOG - FZN &amp; CHILL'!J319,"AAAAAH9XTX0=")</f>
        <v>#VALUE!</v>
      </c>
      <c r="DW258">
        <f>IF('STERLING CATALOG - FZN &amp; CHILL'!320:320,"AAAAAH9XTX4=",0)</f>
        <v>0</v>
      </c>
      <c r="DX258" t="e">
        <f>AND('STERLING CATALOG - FZN &amp; CHILL'!A320,"AAAAAH9XTX8=")</f>
        <v>#VALUE!</v>
      </c>
      <c r="DY258" t="e">
        <f>AND('STERLING CATALOG - FZN &amp; CHILL'!B320,"AAAAAH9XTYA=")</f>
        <v>#VALUE!</v>
      </c>
      <c r="DZ258" t="e">
        <f>AND('STERLING CATALOG - FZN &amp; CHILL'!C320,"AAAAAH9XTYE=")</f>
        <v>#VALUE!</v>
      </c>
      <c r="EA258" t="e">
        <f>AND('STERLING CATALOG - FZN &amp; CHILL'!D320,"AAAAAH9XTYI=")</f>
        <v>#VALUE!</v>
      </c>
      <c r="EB258" t="e">
        <f>AND('STERLING CATALOG - FZN &amp; CHILL'!E320,"AAAAAH9XTYM=")</f>
        <v>#VALUE!</v>
      </c>
      <c r="EC258" t="e">
        <f>AND('STERLING CATALOG - FZN &amp; CHILL'!F320,"AAAAAH9XTYQ=")</f>
        <v>#VALUE!</v>
      </c>
      <c r="ED258" t="e">
        <f>AND('STERLING CATALOG - FZN &amp; CHILL'!G320,"AAAAAH9XTYU=")</f>
        <v>#VALUE!</v>
      </c>
      <c r="EE258" t="e">
        <f>AND('STERLING CATALOG - FZN &amp; CHILL'!H320,"AAAAAH9XTYY=")</f>
        <v>#VALUE!</v>
      </c>
      <c r="EF258" t="e">
        <f>AND('STERLING CATALOG - FZN &amp; CHILL'!I320,"AAAAAH9XTYc=")</f>
        <v>#VALUE!</v>
      </c>
      <c r="EG258" t="e">
        <f>AND('STERLING CATALOG - FZN &amp; CHILL'!J320,"AAAAAH9XTYg=")</f>
        <v>#VALUE!</v>
      </c>
      <c r="EH258">
        <f>IF('STERLING CATALOG - FZN &amp; CHILL'!321:321,"AAAAAH9XTYk=",0)</f>
        <v>0</v>
      </c>
      <c r="EI258" t="e">
        <f>AND('STERLING CATALOG - FZN &amp; CHILL'!A321,"AAAAAH9XTYo=")</f>
        <v>#VALUE!</v>
      </c>
      <c r="EJ258" t="e">
        <f>AND('STERLING CATALOG - FZN &amp; CHILL'!B321,"AAAAAH9XTYs=")</f>
        <v>#VALUE!</v>
      </c>
      <c r="EK258" t="e">
        <f>AND('STERLING CATALOG - FZN &amp; CHILL'!C321,"AAAAAH9XTYw=")</f>
        <v>#VALUE!</v>
      </c>
      <c r="EL258" t="e">
        <f>AND('STERLING CATALOG - FZN &amp; CHILL'!D321,"AAAAAH9XTY0=")</f>
        <v>#VALUE!</v>
      </c>
      <c r="EM258" t="e">
        <f>AND('STERLING CATALOG - FZN &amp; CHILL'!E321,"AAAAAH9XTY4=")</f>
        <v>#VALUE!</v>
      </c>
      <c r="EN258" t="e">
        <f>AND('STERLING CATALOG - FZN &amp; CHILL'!F321,"AAAAAH9XTY8=")</f>
        <v>#VALUE!</v>
      </c>
      <c r="EO258" t="e">
        <f>AND('STERLING CATALOG - FZN &amp; CHILL'!G321,"AAAAAH9XTZA=")</f>
        <v>#VALUE!</v>
      </c>
      <c r="EP258" t="e">
        <f>AND('STERLING CATALOG - FZN &amp; CHILL'!H321,"AAAAAH9XTZE=")</f>
        <v>#VALUE!</v>
      </c>
      <c r="EQ258" t="e">
        <f>AND('STERLING CATALOG - FZN &amp; CHILL'!I321,"AAAAAH9XTZI=")</f>
        <v>#VALUE!</v>
      </c>
      <c r="ER258" t="e">
        <f>AND('STERLING CATALOG - FZN &amp; CHILL'!J321,"AAAAAH9XTZM=")</f>
        <v>#VALUE!</v>
      </c>
      <c r="ES258">
        <f>IF('STERLING CATALOG - FZN &amp; CHILL'!322:322,"AAAAAH9XTZQ=",0)</f>
        <v>0</v>
      </c>
      <c r="ET258" t="e">
        <f>AND('STERLING CATALOG - FZN &amp; CHILL'!A322,"AAAAAH9XTZU=")</f>
        <v>#VALUE!</v>
      </c>
      <c r="EU258" t="e">
        <f>AND('STERLING CATALOG - FZN &amp; CHILL'!B322,"AAAAAH9XTZY=")</f>
        <v>#VALUE!</v>
      </c>
      <c r="EV258" t="e">
        <f>AND('STERLING CATALOG - FZN &amp; CHILL'!C322,"AAAAAH9XTZc=")</f>
        <v>#VALUE!</v>
      </c>
      <c r="EW258" t="e">
        <f>AND('STERLING CATALOG - FZN &amp; CHILL'!D322,"AAAAAH9XTZg=")</f>
        <v>#VALUE!</v>
      </c>
      <c r="EX258" t="e">
        <f>AND('STERLING CATALOG - FZN &amp; CHILL'!E322,"AAAAAH9XTZk=")</f>
        <v>#VALUE!</v>
      </c>
      <c r="EY258" t="e">
        <f>AND('STERLING CATALOG - FZN &amp; CHILL'!F322,"AAAAAH9XTZo=")</f>
        <v>#VALUE!</v>
      </c>
      <c r="EZ258" t="e">
        <f>AND('STERLING CATALOG - FZN &amp; CHILL'!G322,"AAAAAH9XTZs=")</f>
        <v>#VALUE!</v>
      </c>
      <c r="FA258" t="e">
        <f>AND('STERLING CATALOG - FZN &amp; CHILL'!H322,"AAAAAH9XTZw=")</f>
        <v>#VALUE!</v>
      </c>
      <c r="FB258" t="e">
        <f>AND('STERLING CATALOG - FZN &amp; CHILL'!I322,"AAAAAH9XTZ0=")</f>
        <v>#VALUE!</v>
      </c>
      <c r="FC258" t="e">
        <f>AND('STERLING CATALOG - FZN &amp; CHILL'!J322,"AAAAAH9XTZ4=")</f>
        <v>#VALUE!</v>
      </c>
      <c r="FD258">
        <f>IF('STERLING CATALOG - FZN &amp; CHILL'!323:323,"AAAAAH9XTZ8=",0)</f>
        <v>0</v>
      </c>
      <c r="FE258" t="e">
        <f>AND('STERLING CATALOG - FZN &amp; CHILL'!A323,"AAAAAH9XTaA=")</f>
        <v>#VALUE!</v>
      </c>
      <c r="FF258" t="e">
        <f>AND('STERLING CATALOG - FZN &amp; CHILL'!B323,"AAAAAH9XTaE=")</f>
        <v>#VALUE!</v>
      </c>
      <c r="FG258" t="e">
        <f>AND('STERLING CATALOG - FZN &amp; CHILL'!C323,"AAAAAH9XTaI=")</f>
        <v>#VALUE!</v>
      </c>
      <c r="FH258" t="e">
        <f>AND('STERLING CATALOG - FZN &amp; CHILL'!D323,"AAAAAH9XTaM=")</f>
        <v>#VALUE!</v>
      </c>
      <c r="FI258" t="e">
        <f>AND('STERLING CATALOG - FZN &amp; CHILL'!E323,"AAAAAH9XTaQ=")</f>
        <v>#VALUE!</v>
      </c>
      <c r="FJ258" t="e">
        <f>AND('STERLING CATALOG - FZN &amp; CHILL'!F323,"AAAAAH9XTaU=")</f>
        <v>#VALUE!</v>
      </c>
      <c r="FK258" t="e">
        <f>AND('STERLING CATALOG - FZN &amp; CHILL'!G323,"AAAAAH9XTaY=")</f>
        <v>#VALUE!</v>
      </c>
      <c r="FL258" t="e">
        <f>AND('STERLING CATALOG - FZN &amp; CHILL'!H323,"AAAAAH9XTac=")</f>
        <v>#VALUE!</v>
      </c>
      <c r="FM258" t="e">
        <f>AND('STERLING CATALOG - FZN &amp; CHILL'!I323,"AAAAAH9XTag=")</f>
        <v>#VALUE!</v>
      </c>
      <c r="FN258" t="e">
        <f>AND('STERLING CATALOG - FZN &amp; CHILL'!J323,"AAAAAH9XTak=")</f>
        <v>#VALUE!</v>
      </c>
      <c r="FO258">
        <f>IF('STERLING CATALOG - FZN &amp; CHILL'!324:324,"AAAAAH9XTao=",0)</f>
        <v>0</v>
      </c>
      <c r="FP258" t="e">
        <f>AND('STERLING CATALOG - FZN &amp; CHILL'!A324,"AAAAAH9XTas=")</f>
        <v>#VALUE!</v>
      </c>
      <c r="FQ258" t="e">
        <f>AND('STERLING CATALOG - FZN &amp; CHILL'!B324,"AAAAAH9XTaw=")</f>
        <v>#VALUE!</v>
      </c>
      <c r="FR258" t="e">
        <f>AND('STERLING CATALOG - FZN &amp; CHILL'!C324,"AAAAAH9XTa0=")</f>
        <v>#VALUE!</v>
      </c>
      <c r="FS258" t="e">
        <f>AND('STERLING CATALOG - FZN &amp; CHILL'!D324,"AAAAAH9XTa4=")</f>
        <v>#VALUE!</v>
      </c>
      <c r="FT258" t="e">
        <f>AND('STERLING CATALOG - FZN &amp; CHILL'!E324,"AAAAAH9XTa8=")</f>
        <v>#VALUE!</v>
      </c>
      <c r="FU258" t="e">
        <f>AND('STERLING CATALOG - FZN &amp; CHILL'!F324,"AAAAAH9XTbA=")</f>
        <v>#VALUE!</v>
      </c>
      <c r="FV258" t="e">
        <f>AND('STERLING CATALOG - FZN &amp; CHILL'!G324,"AAAAAH9XTbE=")</f>
        <v>#VALUE!</v>
      </c>
      <c r="FW258" t="e">
        <f>AND('STERLING CATALOG - FZN &amp; CHILL'!H324,"AAAAAH9XTbI=")</f>
        <v>#VALUE!</v>
      </c>
      <c r="FX258" t="e">
        <f>AND('STERLING CATALOG - FZN &amp; CHILL'!I324,"AAAAAH9XTbM=")</f>
        <v>#VALUE!</v>
      </c>
      <c r="FY258" t="e">
        <f>AND('STERLING CATALOG - FZN &amp; CHILL'!J324,"AAAAAH9XTbQ=")</f>
        <v>#VALUE!</v>
      </c>
      <c r="FZ258">
        <f>IF('STERLING CATALOG - FZN &amp; CHILL'!325:325,"AAAAAH9XTbU=",0)</f>
        <v>0</v>
      </c>
      <c r="GA258" t="e">
        <f>AND('STERLING CATALOG - FZN &amp; CHILL'!A325,"AAAAAH9XTbY=")</f>
        <v>#VALUE!</v>
      </c>
      <c r="GB258" t="e">
        <f>AND('STERLING CATALOG - FZN &amp; CHILL'!B325,"AAAAAH9XTbc=")</f>
        <v>#VALUE!</v>
      </c>
      <c r="GC258" t="e">
        <f>AND('STERLING CATALOG - FZN &amp; CHILL'!C325,"AAAAAH9XTbg=")</f>
        <v>#VALUE!</v>
      </c>
      <c r="GD258" t="e">
        <f>AND('STERLING CATALOG - FZN &amp; CHILL'!D325,"AAAAAH9XTbk=")</f>
        <v>#VALUE!</v>
      </c>
      <c r="GE258" t="e">
        <f>AND('STERLING CATALOG - FZN &amp; CHILL'!E325,"AAAAAH9XTbo=")</f>
        <v>#VALUE!</v>
      </c>
      <c r="GF258" t="e">
        <f>AND('STERLING CATALOG - FZN &amp; CHILL'!F325,"AAAAAH9XTbs=")</f>
        <v>#VALUE!</v>
      </c>
      <c r="GG258" t="e">
        <f>AND('STERLING CATALOG - FZN &amp; CHILL'!G325,"AAAAAH9XTbw=")</f>
        <v>#VALUE!</v>
      </c>
      <c r="GH258" t="e">
        <f>AND('STERLING CATALOG - FZN &amp; CHILL'!H325,"AAAAAH9XTb0=")</f>
        <v>#VALUE!</v>
      </c>
      <c r="GI258" t="e">
        <f>AND('STERLING CATALOG - FZN &amp; CHILL'!I325,"AAAAAH9XTb4=")</f>
        <v>#VALUE!</v>
      </c>
      <c r="GJ258" t="e">
        <f>AND('STERLING CATALOG - FZN &amp; CHILL'!J325,"AAAAAH9XTb8=")</f>
        <v>#VALUE!</v>
      </c>
      <c r="GK258">
        <f>IF('STERLING CATALOG - FZN &amp; CHILL'!326:326,"AAAAAH9XTcA=",0)</f>
        <v>0</v>
      </c>
      <c r="GL258" t="e">
        <f>AND('STERLING CATALOG - FZN &amp; CHILL'!A326,"AAAAAH9XTcE=")</f>
        <v>#VALUE!</v>
      </c>
      <c r="GM258" t="e">
        <f>AND('STERLING CATALOG - FZN &amp; CHILL'!B326,"AAAAAH9XTcI=")</f>
        <v>#VALUE!</v>
      </c>
      <c r="GN258" t="e">
        <f>AND('STERLING CATALOG - FZN &amp; CHILL'!C326,"AAAAAH9XTcM=")</f>
        <v>#VALUE!</v>
      </c>
      <c r="GO258" t="e">
        <f>AND('STERLING CATALOG - FZN &amp; CHILL'!D326,"AAAAAH9XTcQ=")</f>
        <v>#VALUE!</v>
      </c>
      <c r="GP258" t="e">
        <f>AND('STERLING CATALOG - FZN &amp; CHILL'!E326,"AAAAAH9XTcU=")</f>
        <v>#VALUE!</v>
      </c>
      <c r="GQ258" t="e">
        <f>AND('STERLING CATALOG - FZN &amp; CHILL'!F326,"AAAAAH9XTcY=")</f>
        <v>#VALUE!</v>
      </c>
      <c r="GR258" t="e">
        <f>AND('STERLING CATALOG - FZN &amp; CHILL'!G326,"AAAAAH9XTcc=")</f>
        <v>#VALUE!</v>
      </c>
      <c r="GS258" t="e">
        <f>AND('STERLING CATALOG - FZN &amp; CHILL'!H326,"AAAAAH9XTcg=")</f>
        <v>#VALUE!</v>
      </c>
      <c r="GT258" t="e">
        <f>AND('STERLING CATALOG - FZN &amp; CHILL'!I326,"AAAAAH9XTck=")</f>
        <v>#VALUE!</v>
      </c>
      <c r="GU258" t="e">
        <f>AND('STERLING CATALOG - FZN &amp; CHILL'!J326,"AAAAAH9XTco=")</f>
        <v>#VALUE!</v>
      </c>
      <c r="GV258">
        <f>IF('STERLING CATALOG - FZN &amp; CHILL'!327:327,"AAAAAH9XTcs=",0)</f>
        <v>0</v>
      </c>
      <c r="GW258" t="e">
        <f>AND('STERLING CATALOG - FZN &amp; CHILL'!A327,"AAAAAH9XTcw=")</f>
        <v>#VALUE!</v>
      </c>
      <c r="GX258" t="e">
        <f>AND('STERLING CATALOG - FZN &amp; CHILL'!B327,"AAAAAH9XTc0=")</f>
        <v>#VALUE!</v>
      </c>
      <c r="GY258" t="e">
        <f>AND('STERLING CATALOG - FZN &amp; CHILL'!C327,"AAAAAH9XTc4=")</f>
        <v>#VALUE!</v>
      </c>
      <c r="GZ258" t="e">
        <f>AND('STERLING CATALOG - FZN &amp; CHILL'!D327,"AAAAAH9XTc8=")</f>
        <v>#VALUE!</v>
      </c>
      <c r="HA258" t="e">
        <f>AND('STERLING CATALOG - FZN &amp; CHILL'!E327,"AAAAAH9XTdA=")</f>
        <v>#VALUE!</v>
      </c>
      <c r="HB258" t="e">
        <f>AND('STERLING CATALOG - FZN &amp; CHILL'!F327,"AAAAAH9XTdE=")</f>
        <v>#VALUE!</v>
      </c>
      <c r="HC258" t="e">
        <f>AND('STERLING CATALOG - FZN &amp; CHILL'!G327,"AAAAAH9XTdI=")</f>
        <v>#VALUE!</v>
      </c>
      <c r="HD258" t="e">
        <f>AND('STERLING CATALOG - FZN &amp; CHILL'!H327,"AAAAAH9XTdM=")</f>
        <v>#VALUE!</v>
      </c>
      <c r="HE258" t="e">
        <f>AND('STERLING CATALOG - FZN &amp; CHILL'!I327,"AAAAAH9XTdQ=")</f>
        <v>#VALUE!</v>
      </c>
      <c r="HF258" t="e">
        <f>AND('STERLING CATALOG - FZN &amp; CHILL'!J327,"AAAAAH9XTdU=")</f>
        <v>#VALUE!</v>
      </c>
      <c r="HG258">
        <f>IF('STERLING CATALOG - FZN &amp; CHILL'!328:328,"AAAAAH9XTdY=",0)</f>
        <v>0</v>
      </c>
      <c r="HH258" t="e">
        <f>AND('STERLING CATALOG - FZN &amp; CHILL'!A328,"AAAAAH9XTdc=")</f>
        <v>#VALUE!</v>
      </c>
      <c r="HI258" t="e">
        <f>AND('STERLING CATALOG - FZN &amp; CHILL'!B328,"AAAAAH9XTdg=")</f>
        <v>#VALUE!</v>
      </c>
      <c r="HJ258" t="e">
        <f>AND('STERLING CATALOG - FZN &amp; CHILL'!C328,"AAAAAH9XTdk=")</f>
        <v>#VALUE!</v>
      </c>
      <c r="HK258" t="e">
        <f>AND('STERLING CATALOG - FZN &amp; CHILL'!D328,"AAAAAH9XTdo=")</f>
        <v>#VALUE!</v>
      </c>
      <c r="HL258" t="e">
        <f>AND('STERLING CATALOG - FZN &amp; CHILL'!E328,"AAAAAH9XTds=")</f>
        <v>#VALUE!</v>
      </c>
      <c r="HM258" t="e">
        <f>AND('STERLING CATALOG - FZN &amp; CHILL'!F328,"AAAAAH9XTdw=")</f>
        <v>#VALUE!</v>
      </c>
      <c r="HN258" t="e">
        <f>AND('STERLING CATALOG - FZN &amp; CHILL'!G328,"AAAAAH9XTd0=")</f>
        <v>#VALUE!</v>
      </c>
      <c r="HO258" t="e">
        <f>AND('STERLING CATALOG - FZN &amp; CHILL'!H328,"AAAAAH9XTd4=")</f>
        <v>#VALUE!</v>
      </c>
      <c r="HP258" t="e">
        <f>AND('STERLING CATALOG - FZN &amp; CHILL'!I328,"AAAAAH9XTd8=")</f>
        <v>#VALUE!</v>
      </c>
      <c r="HQ258" t="e">
        <f>AND('STERLING CATALOG - FZN &amp; CHILL'!J328,"AAAAAH9XTeA=")</f>
        <v>#VALUE!</v>
      </c>
      <c r="HR258">
        <f>IF('STERLING CATALOG - FZN &amp; CHILL'!329:329,"AAAAAH9XTeE=",0)</f>
        <v>0</v>
      </c>
      <c r="HS258" t="e">
        <f>AND('STERLING CATALOG - FZN &amp; CHILL'!A329,"AAAAAH9XTeI=")</f>
        <v>#VALUE!</v>
      </c>
      <c r="HT258" t="e">
        <f>AND('STERLING CATALOG - FZN &amp; CHILL'!B329,"AAAAAH9XTeM=")</f>
        <v>#VALUE!</v>
      </c>
      <c r="HU258" t="e">
        <f>AND('STERLING CATALOG - FZN &amp; CHILL'!C329,"AAAAAH9XTeQ=")</f>
        <v>#VALUE!</v>
      </c>
      <c r="HV258" t="e">
        <f>AND('STERLING CATALOG - FZN &amp; CHILL'!D329,"AAAAAH9XTeU=")</f>
        <v>#VALUE!</v>
      </c>
      <c r="HW258" t="e">
        <f>AND('STERLING CATALOG - FZN &amp; CHILL'!E329,"AAAAAH9XTeY=")</f>
        <v>#VALUE!</v>
      </c>
      <c r="HX258" t="e">
        <f>AND('STERLING CATALOG - FZN &amp; CHILL'!F329,"AAAAAH9XTec=")</f>
        <v>#VALUE!</v>
      </c>
      <c r="HY258" t="e">
        <f>AND('STERLING CATALOG - FZN &amp; CHILL'!G329,"AAAAAH9XTeg=")</f>
        <v>#VALUE!</v>
      </c>
      <c r="HZ258" t="e">
        <f>AND('STERLING CATALOG - FZN &amp; CHILL'!H329,"AAAAAH9XTek=")</f>
        <v>#VALUE!</v>
      </c>
      <c r="IA258" t="e">
        <f>AND('STERLING CATALOG - FZN &amp; CHILL'!I329,"AAAAAH9XTeo=")</f>
        <v>#VALUE!</v>
      </c>
      <c r="IB258" t="e">
        <f>AND('STERLING CATALOG - FZN &amp; CHILL'!J329,"AAAAAH9XTes=")</f>
        <v>#VALUE!</v>
      </c>
      <c r="IC258">
        <f>IF('STERLING CATALOG - FZN &amp; CHILL'!330:330,"AAAAAH9XTew=",0)</f>
        <v>0</v>
      </c>
      <c r="ID258" t="e">
        <f>AND('STERLING CATALOG - FZN &amp; CHILL'!A330,"AAAAAH9XTe0=")</f>
        <v>#VALUE!</v>
      </c>
      <c r="IE258" t="e">
        <f>AND('STERLING CATALOG - FZN &amp; CHILL'!B330,"AAAAAH9XTe4=")</f>
        <v>#VALUE!</v>
      </c>
      <c r="IF258" t="e">
        <f>AND('STERLING CATALOG - FZN &amp; CHILL'!C330,"AAAAAH9XTe8=")</f>
        <v>#VALUE!</v>
      </c>
      <c r="IG258" t="e">
        <f>AND('STERLING CATALOG - FZN &amp; CHILL'!D330,"AAAAAH9XTfA=")</f>
        <v>#VALUE!</v>
      </c>
      <c r="IH258" t="e">
        <f>AND('STERLING CATALOG - FZN &amp; CHILL'!E330,"AAAAAH9XTfE=")</f>
        <v>#VALUE!</v>
      </c>
      <c r="II258" t="e">
        <f>AND('STERLING CATALOG - FZN &amp; CHILL'!F330,"AAAAAH9XTfI=")</f>
        <v>#VALUE!</v>
      </c>
      <c r="IJ258" t="e">
        <f>AND('STERLING CATALOG - FZN &amp; CHILL'!G330,"AAAAAH9XTfM=")</f>
        <v>#VALUE!</v>
      </c>
      <c r="IK258" t="e">
        <f>AND('STERLING CATALOG - FZN &amp; CHILL'!H330,"AAAAAH9XTfQ=")</f>
        <v>#VALUE!</v>
      </c>
      <c r="IL258" t="e">
        <f>AND('STERLING CATALOG - FZN &amp; CHILL'!I330,"AAAAAH9XTfU=")</f>
        <v>#VALUE!</v>
      </c>
      <c r="IM258" t="e">
        <f>AND('STERLING CATALOG - FZN &amp; CHILL'!J330,"AAAAAH9XTfY=")</f>
        <v>#VALUE!</v>
      </c>
      <c r="IN258">
        <f>IF('STERLING CATALOG - FZN &amp; CHILL'!331:331,"AAAAAH9XTfc=",0)</f>
        <v>0</v>
      </c>
      <c r="IO258" t="e">
        <f>AND('STERLING CATALOG - FZN &amp; CHILL'!A331,"AAAAAH9XTfg=")</f>
        <v>#VALUE!</v>
      </c>
      <c r="IP258" t="e">
        <f>AND('STERLING CATALOG - FZN &amp; CHILL'!B331,"AAAAAH9XTfk=")</f>
        <v>#VALUE!</v>
      </c>
      <c r="IQ258" t="e">
        <f>AND('STERLING CATALOG - FZN &amp; CHILL'!C331,"AAAAAH9XTfo=")</f>
        <v>#VALUE!</v>
      </c>
      <c r="IR258" t="e">
        <f>AND('STERLING CATALOG - FZN &amp; CHILL'!D331,"AAAAAH9XTfs=")</f>
        <v>#VALUE!</v>
      </c>
      <c r="IS258" t="e">
        <f>AND('STERLING CATALOG - FZN &amp; CHILL'!E331,"AAAAAH9XTfw=")</f>
        <v>#VALUE!</v>
      </c>
      <c r="IT258" t="e">
        <f>AND('STERLING CATALOG - FZN &amp; CHILL'!F331,"AAAAAH9XTf0=")</f>
        <v>#VALUE!</v>
      </c>
      <c r="IU258" t="e">
        <f>AND('STERLING CATALOG - FZN &amp; CHILL'!G331,"AAAAAH9XTf4=")</f>
        <v>#VALUE!</v>
      </c>
      <c r="IV258" t="e">
        <f>AND('STERLING CATALOG - FZN &amp; CHILL'!H331,"AAAAAH9XTf8=")</f>
        <v>#VALUE!</v>
      </c>
    </row>
    <row r="259" spans="1:256">
      <c r="A259" t="e">
        <f>AND('STERLING CATALOG - FZN &amp; CHILL'!I331,"AAAAAG3n3wA=")</f>
        <v>#VALUE!</v>
      </c>
      <c r="B259" t="e">
        <f>AND('STERLING CATALOG - FZN &amp; CHILL'!J331,"AAAAAG3n3wE=")</f>
        <v>#VALUE!</v>
      </c>
      <c r="C259" t="str">
        <f>IF('STERLING CATALOG - FZN &amp; CHILL'!332:332,"AAAAAG3n3wI=",0)</f>
        <v>AAAAAG3n3wI=</v>
      </c>
      <c r="D259" t="e">
        <f>AND('STERLING CATALOG - FZN &amp; CHILL'!A332,"AAAAAG3n3wM=")</f>
        <v>#VALUE!</v>
      </c>
      <c r="E259" t="e">
        <f>AND('STERLING CATALOG - FZN &amp; CHILL'!B332,"AAAAAG3n3wQ=")</f>
        <v>#VALUE!</v>
      </c>
      <c r="F259" t="e">
        <f>AND('STERLING CATALOG - FZN &amp; CHILL'!C332,"AAAAAG3n3wU=")</f>
        <v>#VALUE!</v>
      </c>
      <c r="G259" t="e">
        <f>AND('STERLING CATALOG - FZN &amp; CHILL'!D332,"AAAAAG3n3wY=")</f>
        <v>#VALUE!</v>
      </c>
      <c r="H259" t="e">
        <f>AND('STERLING CATALOG - FZN &amp; CHILL'!E332,"AAAAAG3n3wc=")</f>
        <v>#VALUE!</v>
      </c>
      <c r="I259" t="e">
        <f>AND('STERLING CATALOG - FZN &amp; CHILL'!F332,"AAAAAG3n3wg=")</f>
        <v>#VALUE!</v>
      </c>
      <c r="J259" t="e">
        <f>AND('STERLING CATALOG - FZN &amp; CHILL'!G332,"AAAAAG3n3wk=")</f>
        <v>#VALUE!</v>
      </c>
      <c r="K259" t="e">
        <f>AND('STERLING CATALOG - FZN &amp; CHILL'!H332,"AAAAAG3n3wo=")</f>
        <v>#VALUE!</v>
      </c>
      <c r="L259" t="e">
        <f>AND('STERLING CATALOG - FZN &amp; CHILL'!I332,"AAAAAG3n3ws=")</f>
        <v>#VALUE!</v>
      </c>
      <c r="M259" t="e">
        <f>AND('STERLING CATALOG - FZN &amp; CHILL'!J332,"AAAAAG3n3ww=")</f>
        <v>#VALUE!</v>
      </c>
      <c r="N259">
        <f>IF('STERLING CATALOG - FZN &amp; CHILL'!333:333,"AAAAAG3n3w0=",0)</f>
        <v>0</v>
      </c>
      <c r="O259" t="e">
        <f>AND('STERLING CATALOG - FZN &amp; CHILL'!A333,"AAAAAG3n3w4=")</f>
        <v>#VALUE!</v>
      </c>
      <c r="P259" t="e">
        <f>AND('STERLING CATALOG - FZN &amp; CHILL'!B333,"AAAAAG3n3w8=")</f>
        <v>#VALUE!</v>
      </c>
      <c r="Q259" t="e">
        <f>AND('STERLING CATALOG - FZN &amp; CHILL'!C333,"AAAAAG3n3xA=")</f>
        <v>#VALUE!</v>
      </c>
      <c r="R259" t="e">
        <f>AND('STERLING CATALOG - FZN &amp; CHILL'!D333,"AAAAAG3n3xE=")</f>
        <v>#VALUE!</v>
      </c>
      <c r="S259" t="e">
        <f>AND('STERLING CATALOG - FZN &amp; CHILL'!E333,"AAAAAG3n3xI=")</f>
        <v>#VALUE!</v>
      </c>
      <c r="T259" t="e">
        <f>AND('STERLING CATALOG - FZN &amp; CHILL'!F333,"AAAAAG3n3xM=")</f>
        <v>#VALUE!</v>
      </c>
      <c r="U259" t="e">
        <f>AND('STERLING CATALOG - FZN &amp; CHILL'!G333,"AAAAAG3n3xQ=")</f>
        <v>#VALUE!</v>
      </c>
      <c r="V259" t="e">
        <f>AND('STERLING CATALOG - FZN &amp; CHILL'!H333,"AAAAAG3n3xU=")</f>
        <v>#VALUE!</v>
      </c>
      <c r="W259" t="e">
        <f>AND('STERLING CATALOG - FZN &amp; CHILL'!I333,"AAAAAG3n3xY=")</f>
        <v>#VALUE!</v>
      </c>
      <c r="X259" t="e">
        <f>AND('STERLING CATALOG - FZN &amp; CHILL'!J333,"AAAAAG3n3xc=")</f>
        <v>#VALUE!</v>
      </c>
      <c r="Y259">
        <f>IF('STERLING CATALOG - FZN &amp; CHILL'!334:334,"AAAAAG3n3xg=",0)</f>
        <v>0</v>
      </c>
      <c r="Z259" t="e">
        <f>AND('STERLING CATALOG - FZN &amp; CHILL'!A334,"AAAAAG3n3xk=")</f>
        <v>#VALUE!</v>
      </c>
      <c r="AA259" t="e">
        <f>AND('STERLING CATALOG - FZN &amp; CHILL'!B334,"AAAAAG3n3xo=")</f>
        <v>#VALUE!</v>
      </c>
      <c r="AB259" t="e">
        <f>AND('STERLING CATALOG - FZN &amp; CHILL'!C334,"AAAAAG3n3xs=")</f>
        <v>#VALUE!</v>
      </c>
      <c r="AC259" t="e">
        <f>AND('STERLING CATALOG - FZN &amp; CHILL'!D334,"AAAAAG3n3xw=")</f>
        <v>#VALUE!</v>
      </c>
      <c r="AD259" t="e">
        <f>AND('STERLING CATALOG - FZN &amp; CHILL'!E334,"AAAAAG3n3x0=")</f>
        <v>#VALUE!</v>
      </c>
      <c r="AE259" t="e">
        <f>AND('STERLING CATALOG - FZN &amp; CHILL'!F334,"AAAAAG3n3x4=")</f>
        <v>#VALUE!</v>
      </c>
      <c r="AF259" t="e">
        <f>AND('STERLING CATALOG - FZN &amp; CHILL'!G334,"AAAAAG3n3x8=")</f>
        <v>#VALUE!</v>
      </c>
      <c r="AG259" t="e">
        <f>AND('STERLING CATALOG - FZN &amp; CHILL'!H334,"AAAAAG3n3yA=")</f>
        <v>#VALUE!</v>
      </c>
      <c r="AH259" t="e">
        <f>AND('STERLING CATALOG - FZN &amp; CHILL'!I334,"AAAAAG3n3yE=")</f>
        <v>#VALUE!</v>
      </c>
      <c r="AI259" t="e">
        <f>AND('STERLING CATALOG - FZN &amp; CHILL'!J334,"AAAAAG3n3yI=")</f>
        <v>#VALUE!</v>
      </c>
      <c r="AJ259">
        <f>IF('STERLING CATALOG - FZN &amp; CHILL'!335:335,"AAAAAG3n3yM=",0)</f>
        <v>0</v>
      </c>
      <c r="AK259" t="e">
        <f>AND('STERLING CATALOG - FZN &amp; CHILL'!A335,"AAAAAG3n3yQ=")</f>
        <v>#VALUE!</v>
      </c>
      <c r="AL259" t="e">
        <f>AND('STERLING CATALOG - FZN &amp; CHILL'!B335,"AAAAAG3n3yU=")</f>
        <v>#VALUE!</v>
      </c>
      <c r="AM259" t="e">
        <f>AND('STERLING CATALOG - FZN &amp; CHILL'!C335,"AAAAAG3n3yY=")</f>
        <v>#VALUE!</v>
      </c>
      <c r="AN259" t="e">
        <f>AND('STERLING CATALOG - FZN &amp; CHILL'!D335,"AAAAAG3n3yc=")</f>
        <v>#VALUE!</v>
      </c>
      <c r="AO259" t="e">
        <f>AND('STERLING CATALOG - FZN &amp; CHILL'!E335,"AAAAAG3n3yg=")</f>
        <v>#VALUE!</v>
      </c>
      <c r="AP259" t="e">
        <f>AND('STERLING CATALOG - FZN &amp; CHILL'!F335,"AAAAAG3n3yk=")</f>
        <v>#VALUE!</v>
      </c>
      <c r="AQ259" t="e">
        <f>AND('STERLING CATALOG - FZN &amp; CHILL'!G335,"AAAAAG3n3yo=")</f>
        <v>#VALUE!</v>
      </c>
      <c r="AR259" t="e">
        <f>AND('STERLING CATALOG - FZN &amp; CHILL'!H335,"AAAAAG3n3ys=")</f>
        <v>#VALUE!</v>
      </c>
      <c r="AS259" t="e">
        <f>AND('STERLING CATALOG - FZN &amp; CHILL'!I335,"AAAAAG3n3yw=")</f>
        <v>#VALUE!</v>
      </c>
      <c r="AT259" t="e">
        <f>AND('STERLING CATALOG - FZN &amp; CHILL'!J335,"AAAAAG3n3y0=")</f>
        <v>#VALUE!</v>
      </c>
      <c r="AU259">
        <f>IF('STERLING CATALOG - FZN &amp; CHILL'!336:336,"AAAAAG3n3y4=",0)</f>
        <v>0</v>
      </c>
      <c r="AV259" t="e">
        <f>AND('STERLING CATALOG - FZN &amp; CHILL'!A336,"AAAAAG3n3y8=")</f>
        <v>#VALUE!</v>
      </c>
      <c r="AW259" t="e">
        <f>AND('STERLING CATALOG - FZN &amp; CHILL'!B336,"AAAAAG3n3zA=")</f>
        <v>#VALUE!</v>
      </c>
      <c r="AX259" t="e">
        <f>AND('STERLING CATALOG - FZN &amp; CHILL'!C336,"AAAAAG3n3zE=")</f>
        <v>#VALUE!</v>
      </c>
      <c r="AY259" t="e">
        <f>AND('STERLING CATALOG - FZN &amp; CHILL'!D336,"AAAAAG3n3zI=")</f>
        <v>#VALUE!</v>
      </c>
      <c r="AZ259" t="e">
        <f>AND('STERLING CATALOG - FZN &amp; CHILL'!E336,"AAAAAG3n3zM=")</f>
        <v>#VALUE!</v>
      </c>
      <c r="BA259" t="e">
        <f>AND('STERLING CATALOG - FZN &amp; CHILL'!F336,"AAAAAG3n3zQ=")</f>
        <v>#VALUE!</v>
      </c>
      <c r="BB259" t="e">
        <f>AND('STERLING CATALOG - FZN &amp; CHILL'!G336,"AAAAAG3n3zU=")</f>
        <v>#VALUE!</v>
      </c>
      <c r="BC259" t="e">
        <f>AND('STERLING CATALOG - FZN &amp; CHILL'!H336,"AAAAAG3n3zY=")</f>
        <v>#VALUE!</v>
      </c>
      <c r="BD259" t="e">
        <f>AND('STERLING CATALOG - FZN &amp; CHILL'!I336,"AAAAAG3n3zc=")</f>
        <v>#VALUE!</v>
      </c>
      <c r="BE259" t="e">
        <f>AND('STERLING CATALOG - FZN &amp; CHILL'!J336,"AAAAAG3n3zg=")</f>
        <v>#VALUE!</v>
      </c>
      <c r="BF259">
        <f>IF('STERLING CATALOG - FZN &amp; CHILL'!337:337,"AAAAAG3n3zk=",0)</f>
        <v>0</v>
      </c>
      <c r="BG259" t="e">
        <f>AND('STERLING CATALOG - FZN &amp; CHILL'!A337,"AAAAAG3n3zo=")</f>
        <v>#VALUE!</v>
      </c>
      <c r="BH259" t="e">
        <f>AND('STERLING CATALOG - FZN &amp; CHILL'!B337,"AAAAAG3n3zs=")</f>
        <v>#VALUE!</v>
      </c>
      <c r="BI259" t="e">
        <f>AND('STERLING CATALOG - FZN &amp; CHILL'!C337,"AAAAAG3n3zw=")</f>
        <v>#VALUE!</v>
      </c>
      <c r="BJ259" t="e">
        <f>AND('STERLING CATALOG - FZN &amp; CHILL'!D337,"AAAAAG3n3z0=")</f>
        <v>#VALUE!</v>
      </c>
      <c r="BK259" t="e">
        <f>AND('STERLING CATALOG - FZN &amp; CHILL'!E337,"AAAAAG3n3z4=")</f>
        <v>#VALUE!</v>
      </c>
      <c r="BL259" t="e">
        <f>AND('STERLING CATALOG - FZN &amp; CHILL'!F337,"AAAAAG3n3z8=")</f>
        <v>#VALUE!</v>
      </c>
      <c r="BM259" t="e">
        <f>AND('STERLING CATALOG - FZN &amp; CHILL'!G337,"AAAAAG3n30A=")</f>
        <v>#VALUE!</v>
      </c>
      <c r="BN259" t="e">
        <f>AND('STERLING CATALOG - FZN &amp; CHILL'!H337,"AAAAAG3n30E=")</f>
        <v>#VALUE!</v>
      </c>
      <c r="BO259" t="e">
        <f>AND('STERLING CATALOG - FZN &amp; CHILL'!I337,"AAAAAG3n30I=")</f>
        <v>#VALUE!</v>
      </c>
      <c r="BP259" t="e">
        <f>AND('STERLING CATALOG - FZN &amp; CHILL'!J337,"AAAAAG3n30M=")</f>
        <v>#VALUE!</v>
      </c>
      <c r="BQ259">
        <f>IF('STERLING CATALOG - FZN &amp; CHILL'!338:338,"AAAAAG3n30Q=",0)</f>
        <v>0</v>
      </c>
      <c r="BR259" t="e">
        <f>AND('STERLING CATALOG - FZN &amp; CHILL'!A338,"AAAAAG3n30U=")</f>
        <v>#VALUE!</v>
      </c>
      <c r="BS259" t="e">
        <f>AND('STERLING CATALOG - FZN &amp; CHILL'!B338,"AAAAAG3n30Y=")</f>
        <v>#VALUE!</v>
      </c>
      <c r="BT259" t="e">
        <f>AND('STERLING CATALOG - FZN &amp; CHILL'!C338,"AAAAAG3n30c=")</f>
        <v>#VALUE!</v>
      </c>
      <c r="BU259" t="e">
        <f>AND('STERLING CATALOG - FZN &amp; CHILL'!D338,"AAAAAG3n30g=")</f>
        <v>#VALUE!</v>
      </c>
      <c r="BV259" t="e">
        <f>AND('STERLING CATALOG - FZN &amp; CHILL'!E338,"AAAAAG3n30k=")</f>
        <v>#VALUE!</v>
      </c>
      <c r="BW259" t="e">
        <f>AND('STERLING CATALOG - FZN &amp; CHILL'!F338,"AAAAAG3n30o=")</f>
        <v>#VALUE!</v>
      </c>
      <c r="BX259" t="e">
        <f>AND('STERLING CATALOG - FZN &amp; CHILL'!G338,"AAAAAG3n30s=")</f>
        <v>#VALUE!</v>
      </c>
      <c r="BY259" t="e">
        <f>AND('STERLING CATALOG - FZN &amp; CHILL'!H338,"AAAAAG3n30w=")</f>
        <v>#VALUE!</v>
      </c>
      <c r="BZ259" t="e">
        <f>AND('STERLING CATALOG - FZN &amp; CHILL'!I338,"AAAAAG3n300=")</f>
        <v>#VALUE!</v>
      </c>
      <c r="CA259" t="e">
        <f>AND('STERLING CATALOG - FZN &amp; CHILL'!J338,"AAAAAG3n304=")</f>
        <v>#VALUE!</v>
      </c>
      <c r="CB259">
        <f>IF('STERLING CATALOG - FZN &amp; CHILL'!339:339,"AAAAAG3n308=",0)</f>
        <v>0</v>
      </c>
      <c r="CC259" t="e">
        <f>AND('STERLING CATALOG - FZN &amp; CHILL'!A339,"AAAAAG3n31A=")</f>
        <v>#VALUE!</v>
      </c>
      <c r="CD259" t="e">
        <f>AND('STERLING CATALOG - FZN &amp; CHILL'!B339,"AAAAAG3n31E=")</f>
        <v>#VALUE!</v>
      </c>
      <c r="CE259" t="e">
        <f>AND('STERLING CATALOG - FZN &amp; CHILL'!C339,"AAAAAG3n31I=")</f>
        <v>#VALUE!</v>
      </c>
      <c r="CF259" t="e">
        <f>AND('STERLING CATALOG - FZN &amp; CHILL'!D339,"AAAAAG3n31M=")</f>
        <v>#VALUE!</v>
      </c>
      <c r="CG259" t="e">
        <f>AND('STERLING CATALOG - FZN &amp; CHILL'!E339,"AAAAAG3n31Q=")</f>
        <v>#VALUE!</v>
      </c>
      <c r="CH259" t="e">
        <f>AND('STERLING CATALOG - FZN &amp; CHILL'!F339,"AAAAAG3n31U=")</f>
        <v>#VALUE!</v>
      </c>
      <c r="CI259" t="e">
        <f>AND('STERLING CATALOG - FZN &amp; CHILL'!G339,"AAAAAG3n31Y=")</f>
        <v>#VALUE!</v>
      </c>
      <c r="CJ259" t="e">
        <f>AND('STERLING CATALOG - FZN &amp; CHILL'!H339,"AAAAAG3n31c=")</f>
        <v>#VALUE!</v>
      </c>
      <c r="CK259" t="e">
        <f>AND('STERLING CATALOG - FZN &amp; CHILL'!I339,"AAAAAG3n31g=")</f>
        <v>#VALUE!</v>
      </c>
      <c r="CL259" t="e">
        <f>AND('STERLING CATALOG - FZN &amp; CHILL'!J339,"AAAAAG3n31k=")</f>
        <v>#VALUE!</v>
      </c>
      <c r="CM259">
        <f>IF('STERLING CATALOG - FZN &amp; CHILL'!340:340,"AAAAAG3n31o=",0)</f>
        <v>0</v>
      </c>
      <c r="CN259" t="e">
        <f>AND('STERLING CATALOG - FZN &amp; CHILL'!A340,"AAAAAG3n31s=")</f>
        <v>#VALUE!</v>
      </c>
      <c r="CO259" t="e">
        <f>AND('STERLING CATALOG - FZN &amp; CHILL'!B340,"AAAAAG3n31w=")</f>
        <v>#VALUE!</v>
      </c>
      <c r="CP259" t="e">
        <f>AND('STERLING CATALOG - FZN &amp; CHILL'!C340,"AAAAAG3n310=")</f>
        <v>#VALUE!</v>
      </c>
      <c r="CQ259" t="e">
        <f>AND('STERLING CATALOG - FZN &amp; CHILL'!D340,"AAAAAG3n314=")</f>
        <v>#VALUE!</v>
      </c>
      <c r="CR259" t="e">
        <f>AND('STERLING CATALOG - FZN &amp; CHILL'!E340,"AAAAAG3n318=")</f>
        <v>#VALUE!</v>
      </c>
      <c r="CS259" t="e">
        <f>AND('STERLING CATALOG - FZN &amp; CHILL'!F340,"AAAAAG3n32A=")</f>
        <v>#VALUE!</v>
      </c>
      <c r="CT259" t="e">
        <f>AND('STERLING CATALOG - FZN &amp; CHILL'!G340,"AAAAAG3n32E=")</f>
        <v>#VALUE!</v>
      </c>
      <c r="CU259" t="e">
        <f>AND('STERLING CATALOG - FZN &amp; CHILL'!H340,"AAAAAG3n32I=")</f>
        <v>#VALUE!</v>
      </c>
      <c r="CV259" t="e">
        <f>AND('STERLING CATALOG - FZN &amp; CHILL'!I340,"AAAAAG3n32M=")</f>
        <v>#VALUE!</v>
      </c>
      <c r="CW259" t="e">
        <f>AND('STERLING CATALOG - FZN &amp; CHILL'!J340,"AAAAAG3n32Q=")</f>
        <v>#VALUE!</v>
      </c>
      <c r="CX259">
        <f>IF('STERLING CATALOG - FZN &amp; CHILL'!341:341,"AAAAAG3n32U=",0)</f>
        <v>0</v>
      </c>
      <c r="CY259" t="e">
        <f>AND('STERLING CATALOG - FZN &amp; CHILL'!A341,"AAAAAG3n32Y=")</f>
        <v>#VALUE!</v>
      </c>
      <c r="CZ259" t="e">
        <f>AND('STERLING CATALOG - FZN &amp; CHILL'!B341,"AAAAAG3n32c=")</f>
        <v>#VALUE!</v>
      </c>
      <c r="DA259" t="e">
        <f>AND('STERLING CATALOG - FZN &amp; CHILL'!C341,"AAAAAG3n32g=")</f>
        <v>#VALUE!</v>
      </c>
      <c r="DB259" t="e">
        <f>AND('STERLING CATALOG - FZN &amp; CHILL'!D341,"AAAAAG3n32k=")</f>
        <v>#VALUE!</v>
      </c>
      <c r="DC259" t="e">
        <f>AND('STERLING CATALOG - FZN &amp; CHILL'!E341,"AAAAAG3n32o=")</f>
        <v>#VALUE!</v>
      </c>
      <c r="DD259" t="e">
        <f>AND('STERLING CATALOG - FZN &amp; CHILL'!F341,"AAAAAG3n32s=")</f>
        <v>#VALUE!</v>
      </c>
      <c r="DE259" t="e">
        <f>AND('STERLING CATALOG - FZN &amp; CHILL'!G341,"AAAAAG3n32w=")</f>
        <v>#VALUE!</v>
      </c>
      <c r="DF259" t="e">
        <f>AND('STERLING CATALOG - FZN &amp; CHILL'!H341,"AAAAAG3n320=")</f>
        <v>#VALUE!</v>
      </c>
      <c r="DG259" t="e">
        <f>AND('STERLING CATALOG - FZN &amp; CHILL'!I341,"AAAAAG3n324=")</f>
        <v>#VALUE!</v>
      </c>
      <c r="DH259" t="e">
        <f>AND('STERLING CATALOG - FZN &amp; CHILL'!J341,"AAAAAG3n328=")</f>
        <v>#VALUE!</v>
      </c>
      <c r="DI259">
        <f>IF('STERLING CATALOG - FZN &amp; CHILL'!342:342,"AAAAAG3n33A=",0)</f>
        <v>0</v>
      </c>
      <c r="DJ259" t="e">
        <f>AND('STERLING CATALOG - FZN &amp; CHILL'!A342,"AAAAAG3n33E=")</f>
        <v>#VALUE!</v>
      </c>
      <c r="DK259" t="e">
        <f>AND('STERLING CATALOG - FZN &amp; CHILL'!B342,"AAAAAG3n33I=")</f>
        <v>#VALUE!</v>
      </c>
      <c r="DL259" t="e">
        <f>AND('STERLING CATALOG - FZN &amp; CHILL'!C342,"AAAAAG3n33M=")</f>
        <v>#VALUE!</v>
      </c>
      <c r="DM259" t="e">
        <f>AND('STERLING CATALOG - FZN &amp; CHILL'!D342,"AAAAAG3n33Q=")</f>
        <v>#VALUE!</v>
      </c>
      <c r="DN259" t="e">
        <f>AND('STERLING CATALOG - FZN &amp; CHILL'!E342,"AAAAAG3n33U=")</f>
        <v>#VALUE!</v>
      </c>
      <c r="DO259" t="e">
        <f>AND('STERLING CATALOG - FZN &amp; CHILL'!F342,"AAAAAG3n33Y=")</f>
        <v>#VALUE!</v>
      </c>
      <c r="DP259" t="e">
        <f>AND('STERLING CATALOG - FZN &amp; CHILL'!G342,"AAAAAG3n33c=")</f>
        <v>#VALUE!</v>
      </c>
      <c r="DQ259" t="e">
        <f>AND('STERLING CATALOG - FZN &amp; CHILL'!H342,"AAAAAG3n33g=")</f>
        <v>#VALUE!</v>
      </c>
      <c r="DR259" t="e">
        <f>AND('STERLING CATALOG - FZN &amp; CHILL'!I342,"AAAAAG3n33k=")</f>
        <v>#VALUE!</v>
      </c>
      <c r="DS259" t="e">
        <f>AND('STERLING CATALOG - FZN &amp; CHILL'!J342,"AAAAAG3n33o=")</f>
        <v>#VALUE!</v>
      </c>
      <c r="DT259">
        <f>IF('STERLING CATALOG - FZN &amp; CHILL'!343:343,"AAAAAG3n33s=",0)</f>
        <v>0</v>
      </c>
      <c r="DU259" t="e">
        <f>AND('STERLING CATALOG - FZN &amp; CHILL'!A343,"AAAAAG3n33w=")</f>
        <v>#VALUE!</v>
      </c>
      <c r="DV259" t="e">
        <f>AND('STERLING CATALOG - FZN &amp; CHILL'!B343,"AAAAAG3n330=")</f>
        <v>#VALUE!</v>
      </c>
      <c r="DW259" t="e">
        <f>AND('STERLING CATALOG - FZN &amp; CHILL'!C343,"AAAAAG3n334=")</f>
        <v>#VALUE!</v>
      </c>
      <c r="DX259" t="e">
        <f>AND('STERLING CATALOG - FZN &amp; CHILL'!D343,"AAAAAG3n338=")</f>
        <v>#VALUE!</v>
      </c>
      <c r="DY259" t="e">
        <f>AND('STERLING CATALOG - FZN &amp; CHILL'!E343,"AAAAAG3n34A=")</f>
        <v>#VALUE!</v>
      </c>
      <c r="DZ259" t="e">
        <f>AND('STERLING CATALOG - FZN &amp; CHILL'!F343,"AAAAAG3n34E=")</f>
        <v>#VALUE!</v>
      </c>
      <c r="EA259" t="e">
        <f>AND('STERLING CATALOG - FZN &amp; CHILL'!G343,"AAAAAG3n34I=")</f>
        <v>#VALUE!</v>
      </c>
      <c r="EB259" t="e">
        <f>AND('STERLING CATALOG - FZN &amp; CHILL'!H343,"AAAAAG3n34M=")</f>
        <v>#VALUE!</v>
      </c>
      <c r="EC259" t="e">
        <f>AND('STERLING CATALOG - FZN &amp; CHILL'!I343,"AAAAAG3n34Q=")</f>
        <v>#VALUE!</v>
      </c>
      <c r="ED259" t="e">
        <f>AND('STERLING CATALOG - FZN &amp; CHILL'!J343,"AAAAAG3n34U=")</f>
        <v>#VALUE!</v>
      </c>
      <c r="EE259">
        <f>IF('STERLING CATALOG - FZN &amp; CHILL'!344:344,"AAAAAG3n34Y=",0)</f>
        <v>0</v>
      </c>
      <c r="EF259" t="e">
        <f>AND('STERLING CATALOG - FZN &amp; CHILL'!A344,"AAAAAG3n34c=")</f>
        <v>#VALUE!</v>
      </c>
      <c r="EG259" t="e">
        <f>AND('STERLING CATALOG - FZN &amp; CHILL'!B344,"AAAAAG3n34g=")</f>
        <v>#VALUE!</v>
      </c>
      <c r="EH259" t="e">
        <f>AND('STERLING CATALOG - FZN &amp; CHILL'!C344,"AAAAAG3n34k=")</f>
        <v>#VALUE!</v>
      </c>
      <c r="EI259" t="e">
        <f>AND('STERLING CATALOG - FZN &amp; CHILL'!D344,"AAAAAG3n34o=")</f>
        <v>#VALUE!</v>
      </c>
      <c r="EJ259" t="e">
        <f>AND('STERLING CATALOG - FZN &amp; CHILL'!E344,"AAAAAG3n34s=")</f>
        <v>#VALUE!</v>
      </c>
      <c r="EK259" t="e">
        <f>AND('STERLING CATALOG - FZN &amp; CHILL'!F344,"AAAAAG3n34w=")</f>
        <v>#VALUE!</v>
      </c>
      <c r="EL259" t="e">
        <f>AND('STERLING CATALOG - FZN &amp; CHILL'!G344,"AAAAAG3n340=")</f>
        <v>#VALUE!</v>
      </c>
      <c r="EM259" t="e">
        <f>AND('STERLING CATALOG - FZN &amp; CHILL'!H344,"AAAAAG3n344=")</f>
        <v>#VALUE!</v>
      </c>
      <c r="EN259" t="e">
        <f>AND('STERLING CATALOG - FZN &amp; CHILL'!I344,"AAAAAG3n348=")</f>
        <v>#VALUE!</v>
      </c>
      <c r="EO259" t="e">
        <f>AND('STERLING CATALOG - FZN &amp; CHILL'!J344,"AAAAAG3n35A=")</f>
        <v>#VALUE!</v>
      </c>
      <c r="EP259">
        <f>IF('STERLING CATALOG - FZN &amp; CHILL'!345:345,"AAAAAG3n35E=",0)</f>
        <v>0</v>
      </c>
      <c r="EQ259" t="e">
        <f>AND('STERLING CATALOG - FZN &amp; CHILL'!A345,"AAAAAG3n35I=")</f>
        <v>#VALUE!</v>
      </c>
      <c r="ER259" t="e">
        <f>AND('STERLING CATALOG - FZN &amp; CHILL'!B345,"AAAAAG3n35M=")</f>
        <v>#VALUE!</v>
      </c>
      <c r="ES259" t="e">
        <f>AND('STERLING CATALOG - FZN &amp; CHILL'!C345,"AAAAAG3n35Q=")</f>
        <v>#VALUE!</v>
      </c>
      <c r="ET259" t="e">
        <f>AND('STERLING CATALOG - FZN &amp; CHILL'!D345,"AAAAAG3n35U=")</f>
        <v>#VALUE!</v>
      </c>
      <c r="EU259" t="e">
        <f>AND('STERLING CATALOG - FZN &amp; CHILL'!E345,"AAAAAG3n35Y=")</f>
        <v>#VALUE!</v>
      </c>
      <c r="EV259" t="e">
        <f>AND('STERLING CATALOG - FZN &amp; CHILL'!F345,"AAAAAG3n35c=")</f>
        <v>#VALUE!</v>
      </c>
      <c r="EW259" t="e">
        <f>AND('STERLING CATALOG - FZN &amp; CHILL'!G345,"AAAAAG3n35g=")</f>
        <v>#VALUE!</v>
      </c>
      <c r="EX259" t="e">
        <f>AND('STERLING CATALOG - FZN &amp; CHILL'!H345,"AAAAAG3n35k=")</f>
        <v>#VALUE!</v>
      </c>
      <c r="EY259" t="e">
        <f>AND('STERLING CATALOG - FZN &amp; CHILL'!I345,"AAAAAG3n35o=")</f>
        <v>#VALUE!</v>
      </c>
      <c r="EZ259" t="e">
        <f>AND('STERLING CATALOG - FZN &amp; CHILL'!J345,"AAAAAG3n35s=")</f>
        <v>#VALUE!</v>
      </c>
      <c r="FA259">
        <f>IF('STERLING CATALOG - FZN &amp; CHILL'!346:346,"AAAAAG3n35w=",0)</f>
        <v>0</v>
      </c>
      <c r="FB259" t="e">
        <f>AND('STERLING CATALOG - FZN &amp; CHILL'!A346,"AAAAAG3n350=")</f>
        <v>#VALUE!</v>
      </c>
      <c r="FC259" t="e">
        <f>AND('STERLING CATALOG - FZN &amp; CHILL'!B346,"AAAAAG3n354=")</f>
        <v>#VALUE!</v>
      </c>
      <c r="FD259" t="e">
        <f>AND('STERLING CATALOG - FZN &amp; CHILL'!C346,"AAAAAG3n358=")</f>
        <v>#VALUE!</v>
      </c>
      <c r="FE259" t="e">
        <f>AND('STERLING CATALOG - FZN &amp; CHILL'!D346,"AAAAAG3n36A=")</f>
        <v>#VALUE!</v>
      </c>
      <c r="FF259" t="e">
        <f>AND('STERLING CATALOG - FZN &amp; CHILL'!E346,"AAAAAG3n36E=")</f>
        <v>#VALUE!</v>
      </c>
      <c r="FG259" t="e">
        <f>AND('STERLING CATALOG - FZN &amp; CHILL'!F346,"AAAAAG3n36I=")</f>
        <v>#VALUE!</v>
      </c>
      <c r="FH259" t="e">
        <f>AND('STERLING CATALOG - FZN &amp; CHILL'!G346,"AAAAAG3n36M=")</f>
        <v>#VALUE!</v>
      </c>
      <c r="FI259" t="e">
        <f>AND('STERLING CATALOG - FZN &amp; CHILL'!H346,"AAAAAG3n36Q=")</f>
        <v>#VALUE!</v>
      </c>
      <c r="FJ259" t="e">
        <f>AND('STERLING CATALOG - FZN &amp; CHILL'!I346,"AAAAAG3n36U=")</f>
        <v>#VALUE!</v>
      </c>
      <c r="FK259" t="e">
        <f>AND('STERLING CATALOG - FZN &amp; CHILL'!J346,"AAAAAG3n36Y=")</f>
        <v>#VALUE!</v>
      </c>
      <c r="FL259">
        <f>IF('STERLING CATALOG - FZN &amp; CHILL'!347:347,"AAAAAG3n36c=",0)</f>
        <v>0</v>
      </c>
      <c r="FM259" t="e">
        <f>AND('STERLING CATALOG - FZN &amp; CHILL'!A347,"AAAAAG3n36g=")</f>
        <v>#VALUE!</v>
      </c>
      <c r="FN259" t="e">
        <f>AND('STERLING CATALOG - FZN &amp; CHILL'!B347,"AAAAAG3n36k=")</f>
        <v>#VALUE!</v>
      </c>
      <c r="FO259" t="e">
        <f>AND('STERLING CATALOG - FZN &amp; CHILL'!C347,"AAAAAG3n36o=")</f>
        <v>#VALUE!</v>
      </c>
      <c r="FP259" t="e">
        <f>AND('STERLING CATALOG - FZN &amp; CHILL'!D347,"AAAAAG3n36s=")</f>
        <v>#VALUE!</v>
      </c>
      <c r="FQ259" t="e">
        <f>AND('STERLING CATALOG - FZN &amp; CHILL'!E347,"AAAAAG3n36w=")</f>
        <v>#VALUE!</v>
      </c>
      <c r="FR259" t="e">
        <f>AND('STERLING CATALOG - FZN &amp; CHILL'!F347,"AAAAAG3n360=")</f>
        <v>#VALUE!</v>
      </c>
      <c r="FS259" t="e">
        <f>AND('STERLING CATALOG - FZN &amp; CHILL'!G347,"AAAAAG3n364=")</f>
        <v>#VALUE!</v>
      </c>
      <c r="FT259" t="e">
        <f>AND('STERLING CATALOG - FZN &amp; CHILL'!H347,"AAAAAG3n368=")</f>
        <v>#VALUE!</v>
      </c>
      <c r="FU259" t="e">
        <f>AND('STERLING CATALOG - FZN &amp; CHILL'!I347,"AAAAAG3n37A=")</f>
        <v>#VALUE!</v>
      </c>
      <c r="FV259" t="e">
        <f>AND('STERLING CATALOG - FZN &amp; CHILL'!J347,"AAAAAG3n37E=")</f>
        <v>#VALUE!</v>
      </c>
      <c r="FW259">
        <f>IF('STERLING CATALOG - FZN &amp; CHILL'!348:348,"AAAAAG3n37I=",0)</f>
        <v>0</v>
      </c>
      <c r="FX259" t="e">
        <f>AND('STERLING CATALOG - FZN &amp; CHILL'!A348,"AAAAAG3n37M=")</f>
        <v>#VALUE!</v>
      </c>
      <c r="FY259" t="e">
        <f>AND('STERLING CATALOG - FZN &amp; CHILL'!B348,"AAAAAG3n37Q=")</f>
        <v>#VALUE!</v>
      </c>
      <c r="FZ259" t="e">
        <f>AND('STERLING CATALOG - FZN &amp; CHILL'!C348,"AAAAAG3n37U=")</f>
        <v>#VALUE!</v>
      </c>
      <c r="GA259" t="e">
        <f>AND('STERLING CATALOG - FZN &amp; CHILL'!D348,"AAAAAG3n37Y=")</f>
        <v>#VALUE!</v>
      </c>
      <c r="GB259" t="e">
        <f>AND('STERLING CATALOG - FZN &amp; CHILL'!E348,"AAAAAG3n37c=")</f>
        <v>#VALUE!</v>
      </c>
      <c r="GC259" t="e">
        <f>AND('STERLING CATALOG - FZN &amp; CHILL'!F348,"AAAAAG3n37g=")</f>
        <v>#VALUE!</v>
      </c>
      <c r="GD259" t="e">
        <f>AND('STERLING CATALOG - FZN &amp; CHILL'!G348,"AAAAAG3n37k=")</f>
        <v>#VALUE!</v>
      </c>
      <c r="GE259" t="e">
        <f>AND('STERLING CATALOG - FZN &amp; CHILL'!H348,"AAAAAG3n37o=")</f>
        <v>#VALUE!</v>
      </c>
      <c r="GF259" t="e">
        <f>AND('STERLING CATALOG - FZN &amp; CHILL'!I348,"AAAAAG3n37s=")</f>
        <v>#VALUE!</v>
      </c>
      <c r="GG259" t="e">
        <f>AND('STERLING CATALOG - FZN &amp; CHILL'!J348,"AAAAAG3n37w=")</f>
        <v>#VALUE!</v>
      </c>
      <c r="GH259">
        <f>IF('STERLING CATALOG - FZN &amp; CHILL'!349:349,"AAAAAG3n370=",0)</f>
        <v>0</v>
      </c>
      <c r="GI259" t="e">
        <f>AND('STERLING CATALOG - FZN &amp; CHILL'!A349,"AAAAAG3n374=")</f>
        <v>#VALUE!</v>
      </c>
      <c r="GJ259" t="e">
        <f>AND('STERLING CATALOG - FZN &amp; CHILL'!B349,"AAAAAG3n378=")</f>
        <v>#VALUE!</v>
      </c>
      <c r="GK259" t="e">
        <f>AND('STERLING CATALOG - FZN &amp; CHILL'!C349,"AAAAAG3n38A=")</f>
        <v>#VALUE!</v>
      </c>
      <c r="GL259" t="e">
        <f>AND('STERLING CATALOG - FZN &amp; CHILL'!D349,"AAAAAG3n38E=")</f>
        <v>#VALUE!</v>
      </c>
      <c r="GM259" t="e">
        <f>AND('STERLING CATALOG - FZN &amp; CHILL'!E349,"AAAAAG3n38I=")</f>
        <v>#VALUE!</v>
      </c>
      <c r="GN259" t="e">
        <f>AND('STERLING CATALOG - FZN &amp; CHILL'!F349,"AAAAAG3n38M=")</f>
        <v>#VALUE!</v>
      </c>
      <c r="GO259" t="e">
        <f>AND('STERLING CATALOG - FZN &amp; CHILL'!G349,"AAAAAG3n38Q=")</f>
        <v>#VALUE!</v>
      </c>
      <c r="GP259" t="e">
        <f>AND('STERLING CATALOG - FZN &amp; CHILL'!H349,"AAAAAG3n38U=")</f>
        <v>#VALUE!</v>
      </c>
      <c r="GQ259" t="e">
        <f>AND('STERLING CATALOG - FZN &amp; CHILL'!I349,"AAAAAG3n38Y=")</f>
        <v>#VALUE!</v>
      </c>
      <c r="GR259" t="e">
        <f>AND('STERLING CATALOG - FZN &amp; CHILL'!J349,"AAAAAG3n38c=")</f>
        <v>#VALUE!</v>
      </c>
      <c r="GS259">
        <f>IF('STERLING CATALOG - FZN &amp; CHILL'!350:350,"AAAAAG3n38g=",0)</f>
        <v>0</v>
      </c>
      <c r="GT259" t="e">
        <f>AND('STERLING CATALOG - FZN &amp; CHILL'!A350,"AAAAAG3n38k=")</f>
        <v>#VALUE!</v>
      </c>
      <c r="GU259" t="e">
        <f>AND('STERLING CATALOG - FZN &amp; CHILL'!B350,"AAAAAG3n38o=")</f>
        <v>#VALUE!</v>
      </c>
      <c r="GV259" t="e">
        <f>AND('STERLING CATALOG - FZN &amp; CHILL'!C350,"AAAAAG3n38s=")</f>
        <v>#VALUE!</v>
      </c>
      <c r="GW259" t="e">
        <f>AND('STERLING CATALOG - FZN &amp; CHILL'!D350,"AAAAAG3n38w=")</f>
        <v>#VALUE!</v>
      </c>
      <c r="GX259" t="e">
        <f>AND('STERLING CATALOG - FZN &amp; CHILL'!E350,"AAAAAG3n380=")</f>
        <v>#VALUE!</v>
      </c>
      <c r="GY259" t="e">
        <f>AND('STERLING CATALOG - FZN &amp; CHILL'!F350,"AAAAAG3n384=")</f>
        <v>#VALUE!</v>
      </c>
      <c r="GZ259" t="e">
        <f>AND('STERLING CATALOG - FZN &amp; CHILL'!G350,"AAAAAG3n388=")</f>
        <v>#VALUE!</v>
      </c>
      <c r="HA259" t="e">
        <f>AND('STERLING CATALOG - FZN &amp; CHILL'!H350,"AAAAAG3n39A=")</f>
        <v>#VALUE!</v>
      </c>
      <c r="HB259" t="e">
        <f>AND('STERLING CATALOG - FZN &amp; CHILL'!I350,"AAAAAG3n39E=")</f>
        <v>#VALUE!</v>
      </c>
      <c r="HC259" t="e">
        <f>AND('STERLING CATALOG - FZN &amp; CHILL'!J350,"AAAAAG3n39I=")</f>
        <v>#VALUE!</v>
      </c>
      <c r="HD259">
        <f>IF('STERLING CATALOG - FZN &amp; CHILL'!351:351,"AAAAAG3n39M=",0)</f>
        <v>0</v>
      </c>
      <c r="HE259" t="e">
        <f>AND('STERLING CATALOG - FZN &amp; CHILL'!A351,"AAAAAG3n39Q=")</f>
        <v>#VALUE!</v>
      </c>
      <c r="HF259" t="e">
        <f>AND('STERLING CATALOG - FZN &amp; CHILL'!B351,"AAAAAG3n39U=")</f>
        <v>#VALUE!</v>
      </c>
      <c r="HG259" t="e">
        <f>AND('STERLING CATALOG - FZN &amp; CHILL'!C351,"AAAAAG3n39Y=")</f>
        <v>#VALUE!</v>
      </c>
      <c r="HH259" t="e">
        <f>AND('STERLING CATALOG - FZN &amp; CHILL'!D351,"AAAAAG3n39c=")</f>
        <v>#VALUE!</v>
      </c>
      <c r="HI259" t="e">
        <f>AND('STERLING CATALOG - FZN &amp; CHILL'!E351,"AAAAAG3n39g=")</f>
        <v>#VALUE!</v>
      </c>
      <c r="HJ259" t="e">
        <f>AND('STERLING CATALOG - FZN &amp; CHILL'!F351,"AAAAAG3n39k=")</f>
        <v>#VALUE!</v>
      </c>
      <c r="HK259" t="e">
        <f>AND('STERLING CATALOG - FZN &amp; CHILL'!G351,"AAAAAG3n39o=")</f>
        <v>#VALUE!</v>
      </c>
      <c r="HL259" t="e">
        <f>AND('STERLING CATALOG - FZN &amp; CHILL'!H351,"AAAAAG3n39s=")</f>
        <v>#VALUE!</v>
      </c>
      <c r="HM259" t="e">
        <f>AND('STERLING CATALOG - FZN &amp; CHILL'!I351,"AAAAAG3n39w=")</f>
        <v>#VALUE!</v>
      </c>
      <c r="HN259" t="e">
        <f>AND('STERLING CATALOG - FZN &amp; CHILL'!J351,"AAAAAG3n390=")</f>
        <v>#VALUE!</v>
      </c>
      <c r="HO259">
        <f>IF('STERLING CATALOG - FZN &amp; CHILL'!352:352,"AAAAAG3n394=",0)</f>
        <v>0</v>
      </c>
      <c r="HP259" t="e">
        <f>AND('STERLING CATALOG - FZN &amp; CHILL'!A352,"AAAAAG3n398=")</f>
        <v>#VALUE!</v>
      </c>
      <c r="HQ259" t="e">
        <f>AND('STERLING CATALOG - FZN &amp; CHILL'!B352,"AAAAAG3n3+A=")</f>
        <v>#VALUE!</v>
      </c>
      <c r="HR259" t="e">
        <f>AND('STERLING CATALOG - FZN &amp; CHILL'!C352,"AAAAAG3n3+E=")</f>
        <v>#VALUE!</v>
      </c>
      <c r="HS259" t="e">
        <f>AND('STERLING CATALOG - FZN &amp; CHILL'!D352,"AAAAAG3n3+I=")</f>
        <v>#VALUE!</v>
      </c>
      <c r="HT259" t="e">
        <f>AND('STERLING CATALOG - FZN &amp; CHILL'!E352,"AAAAAG3n3+M=")</f>
        <v>#VALUE!</v>
      </c>
      <c r="HU259" t="e">
        <f>AND('STERLING CATALOG - FZN &amp; CHILL'!F352,"AAAAAG3n3+Q=")</f>
        <v>#VALUE!</v>
      </c>
      <c r="HV259" t="e">
        <f>AND('STERLING CATALOG - FZN &amp; CHILL'!G352,"AAAAAG3n3+U=")</f>
        <v>#VALUE!</v>
      </c>
      <c r="HW259" t="e">
        <f>AND('STERLING CATALOG - FZN &amp; CHILL'!H352,"AAAAAG3n3+Y=")</f>
        <v>#VALUE!</v>
      </c>
      <c r="HX259" t="e">
        <f>AND('STERLING CATALOG - FZN &amp; CHILL'!I352,"AAAAAG3n3+c=")</f>
        <v>#VALUE!</v>
      </c>
      <c r="HY259" t="e">
        <f>AND('STERLING CATALOG - FZN &amp; CHILL'!J352,"AAAAAG3n3+g=")</f>
        <v>#VALUE!</v>
      </c>
      <c r="HZ259">
        <f>IF('STERLING CATALOG - FZN &amp; CHILL'!353:353,"AAAAAG3n3+k=",0)</f>
        <v>0</v>
      </c>
      <c r="IA259" t="e">
        <f>AND('STERLING CATALOG - FZN &amp; CHILL'!A353,"AAAAAG3n3+o=")</f>
        <v>#VALUE!</v>
      </c>
      <c r="IB259" t="e">
        <f>AND('STERLING CATALOG - FZN &amp; CHILL'!B353,"AAAAAG3n3+s=")</f>
        <v>#VALUE!</v>
      </c>
      <c r="IC259" t="e">
        <f>AND('STERLING CATALOG - FZN &amp; CHILL'!C353,"AAAAAG3n3+w=")</f>
        <v>#VALUE!</v>
      </c>
      <c r="ID259" t="e">
        <f>AND('STERLING CATALOG - FZN &amp; CHILL'!D353,"AAAAAG3n3+0=")</f>
        <v>#VALUE!</v>
      </c>
      <c r="IE259" t="e">
        <f>AND('STERLING CATALOG - FZN &amp; CHILL'!E353,"AAAAAG3n3+4=")</f>
        <v>#VALUE!</v>
      </c>
      <c r="IF259" t="e">
        <f>AND('STERLING CATALOG - FZN &amp; CHILL'!F353,"AAAAAG3n3+8=")</f>
        <v>#VALUE!</v>
      </c>
      <c r="IG259" t="e">
        <f>AND('STERLING CATALOG - FZN &amp; CHILL'!G353,"AAAAAG3n3/A=")</f>
        <v>#VALUE!</v>
      </c>
      <c r="IH259" t="e">
        <f>AND('STERLING CATALOG - FZN &amp; CHILL'!H353,"AAAAAG3n3/E=")</f>
        <v>#VALUE!</v>
      </c>
      <c r="II259" t="e">
        <f>AND('STERLING CATALOG - FZN &amp; CHILL'!I353,"AAAAAG3n3/I=")</f>
        <v>#VALUE!</v>
      </c>
      <c r="IJ259" t="e">
        <f>AND('STERLING CATALOG - FZN &amp; CHILL'!J353,"AAAAAG3n3/M=")</f>
        <v>#VALUE!</v>
      </c>
      <c r="IK259">
        <f>IF('STERLING CATALOG - FZN &amp; CHILL'!354:354,"AAAAAG3n3/Q=",0)</f>
        <v>0</v>
      </c>
      <c r="IL259" t="e">
        <f>AND('STERLING CATALOG - FZN &amp; CHILL'!A354,"AAAAAG3n3/U=")</f>
        <v>#VALUE!</v>
      </c>
      <c r="IM259" t="e">
        <f>AND('STERLING CATALOG - FZN &amp; CHILL'!B354,"AAAAAG3n3/Y=")</f>
        <v>#VALUE!</v>
      </c>
      <c r="IN259" t="e">
        <f>AND('STERLING CATALOG - FZN &amp; CHILL'!C354,"AAAAAG3n3/c=")</f>
        <v>#VALUE!</v>
      </c>
      <c r="IO259" t="e">
        <f>AND('STERLING CATALOG - FZN &amp; CHILL'!D354,"AAAAAG3n3/g=")</f>
        <v>#VALUE!</v>
      </c>
      <c r="IP259" t="e">
        <f>AND('STERLING CATALOG - FZN &amp; CHILL'!E354,"AAAAAG3n3/k=")</f>
        <v>#VALUE!</v>
      </c>
      <c r="IQ259" t="e">
        <f>AND('STERLING CATALOG - FZN &amp; CHILL'!F354,"AAAAAG3n3/o=")</f>
        <v>#VALUE!</v>
      </c>
      <c r="IR259" t="e">
        <f>AND('STERLING CATALOG - FZN &amp; CHILL'!G354,"AAAAAG3n3/s=")</f>
        <v>#VALUE!</v>
      </c>
      <c r="IS259" t="e">
        <f>AND('STERLING CATALOG - FZN &amp; CHILL'!H354,"AAAAAG3n3/w=")</f>
        <v>#VALUE!</v>
      </c>
      <c r="IT259" t="e">
        <f>AND('STERLING CATALOG - FZN &amp; CHILL'!I354,"AAAAAG3n3/0=")</f>
        <v>#VALUE!</v>
      </c>
      <c r="IU259" t="e">
        <f>AND('STERLING CATALOG - FZN &amp; CHILL'!J354,"AAAAAG3n3/4=")</f>
        <v>#VALUE!</v>
      </c>
      <c r="IV259">
        <f>IF('STERLING CATALOG - FZN &amp; CHILL'!355:355,"AAAAAG3n3/8=",0)</f>
        <v>0</v>
      </c>
    </row>
    <row r="260" spans="1:256">
      <c r="A260" t="e">
        <f>AND('STERLING CATALOG - FZN &amp; CHILL'!A355,"AAAAAHt+/gA=")</f>
        <v>#VALUE!</v>
      </c>
      <c r="B260" t="e">
        <f>AND('STERLING CATALOG - FZN &amp; CHILL'!B355,"AAAAAHt+/gE=")</f>
        <v>#VALUE!</v>
      </c>
      <c r="C260" t="e">
        <f>AND('STERLING CATALOG - FZN &amp; CHILL'!C355,"AAAAAHt+/gI=")</f>
        <v>#VALUE!</v>
      </c>
      <c r="D260" t="e">
        <f>AND('STERLING CATALOG - FZN &amp; CHILL'!D355,"AAAAAHt+/gM=")</f>
        <v>#VALUE!</v>
      </c>
      <c r="E260" t="e">
        <f>AND('STERLING CATALOG - FZN &amp; CHILL'!E355,"AAAAAHt+/gQ=")</f>
        <v>#VALUE!</v>
      </c>
      <c r="F260" t="e">
        <f>AND('STERLING CATALOG - FZN &amp; CHILL'!F355,"AAAAAHt+/gU=")</f>
        <v>#VALUE!</v>
      </c>
      <c r="G260" t="e">
        <f>AND('STERLING CATALOG - FZN &amp; CHILL'!G355,"AAAAAHt+/gY=")</f>
        <v>#VALUE!</v>
      </c>
      <c r="H260" t="e">
        <f>AND('STERLING CATALOG - FZN &amp; CHILL'!H355,"AAAAAHt+/gc=")</f>
        <v>#VALUE!</v>
      </c>
      <c r="I260" t="e">
        <f>AND('STERLING CATALOG - FZN &amp; CHILL'!I355,"AAAAAHt+/gg=")</f>
        <v>#VALUE!</v>
      </c>
      <c r="J260" t="e">
        <f>AND('STERLING CATALOG - FZN &amp; CHILL'!J355,"AAAAAHt+/gk=")</f>
        <v>#VALUE!</v>
      </c>
      <c r="K260">
        <f>IF('STERLING CATALOG - FZN &amp; CHILL'!356:356,"AAAAAHt+/go=",0)</f>
        <v>0</v>
      </c>
      <c r="L260" t="e">
        <f>AND('STERLING CATALOG - FZN &amp; CHILL'!A356,"AAAAAHt+/gs=")</f>
        <v>#VALUE!</v>
      </c>
      <c r="M260" t="e">
        <f>AND('STERLING CATALOG - FZN &amp; CHILL'!B356,"AAAAAHt+/gw=")</f>
        <v>#VALUE!</v>
      </c>
      <c r="N260" t="e">
        <f>AND('STERLING CATALOG - FZN &amp; CHILL'!C356,"AAAAAHt+/g0=")</f>
        <v>#VALUE!</v>
      </c>
      <c r="O260" t="e">
        <f>AND('STERLING CATALOG - FZN &amp; CHILL'!D356,"AAAAAHt+/g4=")</f>
        <v>#VALUE!</v>
      </c>
      <c r="P260" t="e">
        <f>AND('STERLING CATALOG - FZN &amp; CHILL'!E356,"AAAAAHt+/g8=")</f>
        <v>#VALUE!</v>
      </c>
      <c r="Q260" t="e">
        <f>AND('STERLING CATALOG - FZN &amp; CHILL'!F356,"AAAAAHt+/hA=")</f>
        <v>#VALUE!</v>
      </c>
      <c r="R260" t="e">
        <f>AND('STERLING CATALOG - FZN &amp; CHILL'!G356,"AAAAAHt+/hE=")</f>
        <v>#VALUE!</v>
      </c>
      <c r="S260" t="e">
        <f>AND('STERLING CATALOG - FZN &amp; CHILL'!H356,"AAAAAHt+/hI=")</f>
        <v>#VALUE!</v>
      </c>
      <c r="T260" t="e">
        <f>AND('STERLING CATALOG - FZN &amp; CHILL'!I356,"AAAAAHt+/hM=")</f>
        <v>#VALUE!</v>
      </c>
      <c r="U260" t="e">
        <f>AND('STERLING CATALOG - FZN &amp; CHILL'!J356,"AAAAAHt+/hQ=")</f>
        <v>#VALUE!</v>
      </c>
      <c r="V260">
        <f>IF('STERLING CATALOG - FZN &amp; CHILL'!357:357,"AAAAAHt+/hU=",0)</f>
        <v>0</v>
      </c>
      <c r="W260" t="e">
        <f>AND('STERLING CATALOG - FZN &amp; CHILL'!A357,"AAAAAHt+/hY=")</f>
        <v>#VALUE!</v>
      </c>
      <c r="X260" t="e">
        <f>AND('STERLING CATALOG - FZN &amp; CHILL'!B357,"AAAAAHt+/hc=")</f>
        <v>#VALUE!</v>
      </c>
      <c r="Y260" t="e">
        <f>AND('STERLING CATALOG - FZN &amp; CHILL'!C357,"AAAAAHt+/hg=")</f>
        <v>#VALUE!</v>
      </c>
      <c r="Z260" t="e">
        <f>AND('STERLING CATALOG - FZN &amp; CHILL'!D357,"AAAAAHt+/hk=")</f>
        <v>#VALUE!</v>
      </c>
      <c r="AA260" t="e">
        <f>AND('STERLING CATALOG - FZN &amp; CHILL'!E357,"AAAAAHt+/ho=")</f>
        <v>#VALUE!</v>
      </c>
      <c r="AB260" t="e">
        <f>AND('STERLING CATALOG - FZN &amp; CHILL'!F357,"AAAAAHt+/hs=")</f>
        <v>#VALUE!</v>
      </c>
      <c r="AC260" t="e">
        <f>AND('STERLING CATALOG - FZN &amp; CHILL'!G357,"AAAAAHt+/hw=")</f>
        <v>#VALUE!</v>
      </c>
      <c r="AD260" t="e">
        <f>AND('STERLING CATALOG - FZN &amp; CHILL'!H357,"AAAAAHt+/h0=")</f>
        <v>#VALUE!</v>
      </c>
      <c r="AE260" t="e">
        <f>AND('STERLING CATALOG - FZN &amp; CHILL'!I357,"AAAAAHt+/h4=")</f>
        <v>#VALUE!</v>
      </c>
      <c r="AF260" t="e">
        <f>AND('STERLING CATALOG - FZN &amp; CHILL'!J357,"AAAAAHt+/h8=")</f>
        <v>#VALUE!</v>
      </c>
      <c r="AG260">
        <f>IF('STERLING CATALOG - FZN &amp; CHILL'!358:358,"AAAAAHt+/iA=",0)</f>
        <v>0</v>
      </c>
      <c r="AH260" t="e">
        <f>AND('STERLING CATALOG - FZN &amp; CHILL'!A358,"AAAAAHt+/iE=")</f>
        <v>#VALUE!</v>
      </c>
      <c r="AI260" t="e">
        <f>AND('STERLING CATALOG - FZN &amp; CHILL'!B358,"AAAAAHt+/iI=")</f>
        <v>#VALUE!</v>
      </c>
      <c r="AJ260" t="e">
        <f>AND('STERLING CATALOG - FZN &amp; CHILL'!C358,"AAAAAHt+/iM=")</f>
        <v>#VALUE!</v>
      </c>
      <c r="AK260" t="e">
        <f>AND('STERLING CATALOG - FZN &amp; CHILL'!D358,"AAAAAHt+/iQ=")</f>
        <v>#VALUE!</v>
      </c>
      <c r="AL260" t="e">
        <f>AND('STERLING CATALOG - FZN &amp; CHILL'!E358,"AAAAAHt+/iU=")</f>
        <v>#VALUE!</v>
      </c>
      <c r="AM260" t="e">
        <f>AND('STERLING CATALOG - FZN &amp; CHILL'!F358,"AAAAAHt+/iY=")</f>
        <v>#VALUE!</v>
      </c>
      <c r="AN260" t="e">
        <f>AND('STERLING CATALOG - FZN &amp; CHILL'!G358,"AAAAAHt+/ic=")</f>
        <v>#VALUE!</v>
      </c>
      <c r="AO260" t="e">
        <f>AND('STERLING CATALOG - FZN &amp; CHILL'!H358,"AAAAAHt+/ig=")</f>
        <v>#VALUE!</v>
      </c>
      <c r="AP260" t="e">
        <f>AND('STERLING CATALOG - FZN &amp; CHILL'!I358,"AAAAAHt+/ik=")</f>
        <v>#VALUE!</v>
      </c>
      <c r="AQ260" t="e">
        <f>AND('STERLING CATALOG - FZN &amp; CHILL'!J358,"AAAAAHt+/io=")</f>
        <v>#VALUE!</v>
      </c>
      <c r="AR260">
        <f>IF('STERLING CATALOG - FZN &amp; CHILL'!359:359,"AAAAAHt+/is=",0)</f>
        <v>0</v>
      </c>
      <c r="AS260" t="e">
        <f>AND('STERLING CATALOG - FZN &amp; CHILL'!A359,"AAAAAHt+/iw=")</f>
        <v>#VALUE!</v>
      </c>
      <c r="AT260" t="e">
        <f>AND('STERLING CATALOG - FZN &amp; CHILL'!B359,"AAAAAHt+/i0=")</f>
        <v>#VALUE!</v>
      </c>
      <c r="AU260" t="e">
        <f>AND('STERLING CATALOG - FZN &amp; CHILL'!C359,"AAAAAHt+/i4=")</f>
        <v>#VALUE!</v>
      </c>
      <c r="AV260" t="e">
        <f>AND('STERLING CATALOG - FZN &amp; CHILL'!D359,"AAAAAHt+/i8=")</f>
        <v>#VALUE!</v>
      </c>
      <c r="AW260" t="e">
        <f>AND('STERLING CATALOG - FZN &amp; CHILL'!E359,"AAAAAHt+/jA=")</f>
        <v>#VALUE!</v>
      </c>
      <c r="AX260" t="e">
        <f>AND('STERLING CATALOG - FZN &amp; CHILL'!F359,"AAAAAHt+/jE=")</f>
        <v>#VALUE!</v>
      </c>
      <c r="AY260" t="e">
        <f>AND('STERLING CATALOG - FZN &amp; CHILL'!G359,"AAAAAHt+/jI=")</f>
        <v>#VALUE!</v>
      </c>
      <c r="AZ260" t="e">
        <f>AND('STERLING CATALOG - FZN &amp; CHILL'!H359,"AAAAAHt+/jM=")</f>
        <v>#VALUE!</v>
      </c>
      <c r="BA260" t="e">
        <f>AND('STERLING CATALOG - FZN &amp; CHILL'!I359,"AAAAAHt+/jQ=")</f>
        <v>#VALUE!</v>
      </c>
      <c r="BB260" t="e">
        <f>AND('STERLING CATALOG - FZN &amp; CHILL'!J359,"AAAAAHt+/jU=")</f>
        <v>#VALUE!</v>
      </c>
      <c r="BC260">
        <f>IF('STERLING CATALOG - FZN &amp; CHILL'!360:360,"AAAAAHt+/jY=",0)</f>
        <v>0</v>
      </c>
      <c r="BD260" t="e">
        <f>AND('STERLING CATALOG - FZN &amp; CHILL'!A360,"AAAAAHt+/jc=")</f>
        <v>#VALUE!</v>
      </c>
      <c r="BE260" t="e">
        <f>AND('STERLING CATALOG - FZN &amp; CHILL'!B360,"AAAAAHt+/jg=")</f>
        <v>#VALUE!</v>
      </c>
      <c r="BF260" t="e">
        <f>AND('STERLING CATALOG - FZN &amp; CHILL'!C360,"AAAAAHt+/jk=")</f>
        <v>#VALUE!</v>
      </c>
      <c r="BG260" t="e">
        <f>AND('STERLING CATALOG - FZN &amp; CHILL'!D360,"AAAAAHt+/jo=")</f>
        <v>#VALUE!</v>
      </c>
      <c r="BH260" t="e">
        <f>AND('STERLING CATALOG - FZN &amp; CHILL'!E360,"AAAAAHt+/js=")</f>
        <v>#VALUE!</v>
      </c>
      <c r="BI260" t="e">
        <f>AND('STERLING CATALOG - FZN &amp; CHILL'!F360,"AAAAAHt+/jw=")</f>
        <v>#VALUE!</v>
      </c>
      <c r="BJ260" t="e">
        <f>AND('STERLING CATALOG - FZN &amp; CHILL'!G360,"AAAAAHt+/j0=")</f>
        <v>#VALUE!</v>
      </c>
      <c r="BK260" t="e">
        <f>AND('STERLING CATALOG - FZN &amp; CHILL'!H360,"AAAAAHt+/j4=")</f>
        <v>#VALUE!</v>
      </c>
      <c r="BL260" t="e">
        <f>AND('STERLING CATALOG - FZN &amp; CHILL'!I360,"AAAAAHt+/j8=")</f>
        <v>#VALUE!</v>
      </c>
      <c r="BM260" t="e">
        <f>AND('STERLING CATALOG - FZN &amp; CHILL'!J360,"AAAAAHt+/kA=")</f>
        <v>#VALUE!</v>
      </c>
      <c r="BN260">
        <f>IF('STERLING CATALOG - FZN &amp; CHILL'!361:361,"AAAAAHt+/kE=",0)</f>
        <v>0</v>
      </c>
      <c r="BO260" t="e">
        <f>AND('STERLING CATALOG - FZN &amp; CHILL'!A361,"AAAAAHt+/kI=")</f>
        <v>#VALUE!</v>
      </c>
      <c r="BP260" t="e">
        <f>AND('STERLING CATALOG - FZN &amp; CHILL'!B361,"AAAAAHt+/kM=")</f>
        <v>#VALUE!</v>
      </c>
      <c r="BQ260" t="e">
        <f>AND('STERLING CATALOG - FZN &amp; CHILL'!C361,"AAAAAHt+/kQ=")</f>
        <v>#VALUE!</v>
      </c>
      <c r="BR260" t="e">
        <f>AND('STERLING CATALOG - FZN &amp; CHILL'!D361,"AAAAAHt+/kU=")</f>
        <v>#VALUE!</v>
      </c>
      <c r="BS260" t="e">
        <f>AND('STERLING CATALOG - FZN &amp; CHILL'!E361,"AAAAAHt+/kY=")</f>
        <v>#VALUE!</v>
      </c>
      <c r="BT260" t="e">
        <f>AND('STERLING CATALOG - FZN &amp; CHILL'!F361,"AAAAAHt+/kc=")</f>
        <v>#VALUE!</v>
      </c>
      <c r="BU260" t="e">
        <f>AND('STERLING CATALOG - FZN &amp; CHILL'!G361,"AAAAAHt+/kg=")</f>
        <v>#VALUE!</v>
      </c>
      <c r="BV260" t="e">
        <f>AND('STERLING CATALOG - FZN &amp; CHILL'!H361,"AAAAAHt+/kk=")</f>
        <v>#VALUE!</v>
      </c>
      <c r="BW260" t="e">
        <f>AND('STERLING CATALOG - FZN &amp; CHILL'!I361,"AAAAAHt+/ko=")</f>
        <v>#VALUE!</v>
      </c>
      <c r="BX260" t="e">
        <f>AND('STERLING CATALOG - FZN &amp; CHILL'!J361,"AAAAAHt+/ks=")</f>
        <v>#VALUE!</v>
      </c>
      <c r="BY260">
        <f>IF('STERLING CATALOG - FZN &amp; CHILL'!362:362,"AAAAAHt+/kw=",0)</f>
        <v>0</v>
      </c>
      <c r="BZ260" t="e">
        <f>AND('STERLING CATALOG - FZN &amp; CHILL'!A362,"AAAAAHt+/k0=")</f>
        <v>#VALUE!</v>
      </c>
      <c r="CA260" t="e">
        <f>AND('STERLING CATALOG - FZN &amp; CHILL'!B362,"AAAAAHt+/k4=")</f>
        <v>#VALUE!</v>
      </c>
      <c r="CB260" t="e">
        <f>AND('STERLING CATALOG - FZN &amp; CHILL'!C362,"AAAAAHt+/k8=")</f>
        <v>#VALUE!</v>
      </c>
      <c r="CC260" t="e">
        <f>AND('STERLING CATALOG - FZN &amp; CHILL'!D362,"AAAAAHt+/lA=")</f>
        <v>#VALUE!</v>
      </c>
      <c r="CD260" t="e">
        <f>AND('STERLING CATALOG - FZN &amp; CHILL'!E362,"AAAAAHt+/lE=")</f>
        <v>#VALUE!</v>
      </c>
      <c r="CE260" t="e">
        <f>AND('STERLING CATALOG - FZN &amp; CHILL'!F362,"AAAAAHt+/lI=")</f>
        <v>#VALUE!</v>
      </c>
      <c r="CF260" t="e">
        <f>AND('STERLING CATALOG - FZN &amp; CHILL'!G362,"AAAAAHt+/lM=")</f>
        <v>#VALUE!</v>
      </c>
      <c r="CG260" t="e">
        <f>AND('STERLING CATALOG - FZN &amp; CHILL'!H362,"AAAAAHt+/lQ=")</f>
        <v>#VALUE!</v>
      </c>
      <c r="CH260" t="e">
        <f>AND('STERLING CATALOG - FZN &amp; CHILL'!I362,"AAAAAHt+/lU=")</f>
        <v>#VALUE!</v>
      </c>
      <c r="CI260" t="e">
        <f>AND('STERLING CATALOG - FZN &amp; CHILL'!J362,"AAAAAHt+/lY=")</f>
        <v>#VALUE!</v>
      </c>
      <c r="CJ260">
        <f>IF('STERLING CATALOG - FZN &amp; CHILL'!363:363,"AAAAAHt+/lc=",0)</f>
        <v>0</v>
      </c>
      <c r="CK260" t="e">
        <f>AND('STERLING CATALOG - FZN &amp; CHILL'!A363,"AAAAAHt+/lg=")</f>
        <v>#VALUE!</v>
      </c>
      <c r="CL260" t="e">
        <f>AND('STERLING CATALOG - FZN &amp; CHILL'!B363,"AAAAAHt+/lk=")</f>
        <v>#VALUE!</v>
      </c>
      <c r="CM260" t="e">
        <f>AND('STERLING CATALOG - FZN &amp; CHILL'!C363,"AAAAAHt+/lo=")</f>
        <v>#VALUE!</v>
      </c>
      <c r="CN260" t="e">
        <f>AND('STERLING CATALOG - FZN &amp; CHILL'!D363,"AAAAAHt+/ls=")</f>
        <v>#VALUE!</v>
      </c>
      <c r="CO260" t="e">
        <f>AND('STERLING CATALOG - FZN &amp; CHILL'!E363,"AAAAAHt+/lw=")</f>
        <v>#VALUE!</v>
      </c>
      <c r="CP260" t="e">
        <f>AND('STERLING CATALOG - FZN &amp; CHILL'!F363,"AAAAAHt+/l0=")</f>
        <v>#VALUE!</v>
      </c>
      <c r="CQ260" t="e">
        <f>AND('STERLING CATALOG - FZN &amp; CHILL'!G363,"AAAAAHt+/l4=")</f>
        <v>#VALUE!</v>
      </c>
      <c r="CR260" t="e">
        <f>AND('STERLING CATALOG - FZN &amp; CHILL'!H363,"AAAAAHt+/l8=")</f>
        <v>#VALUE!</v>
      </c>
      <c r="CS260" t="e">
        <f>AND('STERLING CATALOG - FZN &amp; CHILL'!I363,"AAAAAHt+/mA=")</f>
        <v>#VALUE!</v>
      </c>
      <c r="CT260" t="e">
        <f>AND('STERLING CATALOG - FZN &amp; CHILL'!J363,"AAAAAHt+/mE=")</f>
        <v>#VALUE!</v>
      </c>
      <c r="CU260">
        <f>IF('STERLING CATALOG - FZN &amp; CHILL'!364:364,"AAAAAHt+/mI=",0)</f>
        <v>0</v>
      </c>
      <c r="CV260" t="e">
        <f>AND('STERLING CATALOG - FZN &amp; CHILL'!A364,"AAAAAHt+/mM=")</f>
        <v>#VALUE!</v>
      </c>
      <c r="CW260" t="e">
        <f>AND('STERLING CATALOG - FZN &amp; CHILL'!B364,"AAAAAHt+/mQ=")</f>
        <v>#VALUE!</v>
      </c>
      <c r="CX260" t="e">
        <f>AND('STERLING CATALOG - FZN &amp; CHILL'!C364,"AAAAAHt+/mU=")</f>
        <v>#VALUE!</v>
      </c>
      <c r="CY260" t="e">
        <f>AND('STERLING CATALOG - FZN &amp; CHILL'!D364,"AAAAAHt+/mY=")</f>
        <v>#VALUE!</v>
      </c>
      <c r="CZ260" t="e">
        <f>AND('STERLING CATALOG - FZN &amp; CHILL'!E364,"AAAAAHt+/mc=")</f>
        <v>#VALUE!</v>
      </c>
      <c r="DA260" t="e">
        <f>AND('STERLING CATALOG - FZN &amp; CHILL'!F364,"AAAAAHt+/mg=")</f>
        <v>#VALUE!</v>
      </c>
      <c r="DB260" t="e">
        <f>AND('STERLING CATALOG - FZN &amp; CHILL'!G364,"AAAAAHt+/mk=")</f>
        <v>#VALUE!</v>
      </c>
      <c r="DC260" t="e">
        <f>AND('STERLING CATALOG - FZN &amp; CHILL'!H364,"AAAAAHt+/mo=")</f>
        <v>#VALUE!</v>
      </c>
      <c r="DD260" t="e">
        <f>AND('STERLING CATALOG - FZN &amp; CHILL'!I364,"AAAAAHt+/ms=")</f>
        <v>#VALUE!</v>
      </c>
      <c r="DE260" t="e">
        <f>AND('STERLING CATALOG - FZN &amp; CHILL'!J364,"AAAAAHt+/mw=")</f>
        <v>#VALUE!</v>
      </c>
      <c r="DF260">
        <f>IF('STERLING CATALOG - FZN &amp; CHILL'!365:365,"AAAAAHt+/m0=",0)</f>
        <v>0</v>
      </c>
      <c r="DG260" t="e">
        <f>AND('STERLING CATALOG - FZN &amp; CHILL'!A365,"AAAAAHt+/m4=")</f>
        <v>#VALUE!</v>
      </c>
      <c r="DH260" t="e">
        <f>AND('STERLING CATALOG - FZN &amp; CHILL'!B365,"AAAAAHt+/m8=")</f>
        <v>#VALUE!</v>
      </c>
      <c r="DI260" t="e">
        <f>AND('STERLING CATALOG - FZN &amp; CHILL'!C365,"AAAAAHt+/nA=")</f>
        <v>#VALUE!</v>
      </c>
      <c r="DJ260" t="e">
        <f>AND('STERLING CATALOG - FZN &amp; CHILL'!D365,"AAAAAHt+/nE=")</f>
        <v>#VALUE!</v>
      </c>
      <c r="DK260" t="e">
        <f>AND('STERLING CATALOG - FZN &amp; CHILL'!E365,"AAAAAHt+/nI=")</f>
        <v>#VALUE!</v>
      </c>
      <c r="DL260" t="e">
        <f>AND('STERLING CATALOG - FZN &amp; CHILL'!F365,"AAAAAHt+/nM=")</f>
        <v>#VALUE!</v>
      </c>
      <c r="DM260" t="e">
        <f>AND('STERLING CATALOG - FZN &amp; CHILL'!G365,"AAAAAHt+/nQ=")</f>
        <v>#VALUE!</v>
      </c>
      <c r="DN260" t="e">
        <f>AND('STERLING CATALOG - FZN &amp; CHILL'!H365,"AAAAAHt+/nU=")</f>
        <v>#VALUE!</v>
      </c>
      <c r="DO260" t="e">
        <f>AND('STERLING CATALOG - FZN &amp; CHILL'!I365,"AAAAAHt+/nY=")</f>
        <v>#VALUE!</v>
      </c>
      <c r="DP260" t="e">
        <f>AND('STERLING CATALOG - FZN &amp; CHILL'!J365,"AAAAAHt+/nc=")</f>
        <v>#VALUE!</v>
      </c>
      <c r="DQ260">
        <f>IF('STERLING CATALOG - FZN &amp; CHILL'!366:366,"AAAAAHt+/ng=",0)</f>
        <v>0</v>
      </c>
      <c r="DR260" t="e">
        <f>AND('STERLING CATALOG - FZN &amp; CHILL'!A366,"AAAAAHt+/nk=")</f>
        <v>#VALUE!</v>
      </c>
      <c r="DS260" t="e">
        <f>AND('STERLING CATALOG - FZN &amp; CHILL'!B366,"AAAAAHt+/no=")</f>
        <v>#VALUE!</v>
      </c>
      <c r="DT260" t="e">
        <f>AND('STERLING CATALOG - FZN &amp; CHILL'!C366,"AAAAAHt+/ns=")</f>
        <v>#VALUE!</v>
      </c>
      <c r="DU260" t="e">
        <f>AND('STERLING CATALOG - FZN &amp; CHILL'!D366,"AAAAAHt+/nw=")</f>
        <v>#VALUE!</v>
      </c>
      <c r="DV260" t="e">
        <f>AND('STERLING CATALOG - FZN &amp; CHILL'!E366,"AAAAAHt+/n0=")</f>
        <v>#VALUE!</v>
      </c>
      <c r="DW260" t="e">
        <f>AND('STERLING CATALOG - FZN &amp; CHILL'!F366,"AAAAAHt+/n4=")</f>
        <v>#VALUE!</v>
      </c>
      <c r="DX260" t="e">
        <f>AND('STERLING CATALOG - FZN &amp; CHILL'!G366,"AAAAAHt+/n8=")</f>
        <v>#VALUE!</v>
      </c>
      <c r="DY260" t="e">
        <f>AND('STERLING CATALOG - FZN &amp; CHILL'!H366,"AAAAAHt+/oA=")</f>
        <v>#VALUE!</v>
      </c>
      <c r="DZ260" t="e">
        <f>AND('STERLING CATALOG - FZN &amp; CHILL'!I366,"AAAAAHt+/oE=")</f>
        <v>#VALUE!</v>
      </c>
      <c r="EA260" t="e">
        <f>AND('STERLING CATALOG - FZN &amp; CHILL'!J366,"AAAAAHt+/oI=")</f>
        <v>#VALUE!</v>
      </c>
      <c r="EB260">
        <f>IF('STERLING CATALOG - FZN &amp; CHILL'!367:367,"AAAAAHt+/oM=",0)</f>
        <v>0</v>
      </c>
      <c r="EC260" t="e">
        <f>AND('STERLING CATALOG - FZN &amp; CHILL'!A367,"AAAAAHt+/oQ=")</f>
        <v>#VALUE!</v>
      </c>
      <c r="ED260" t="e">
        <f>AND('STERLING CATALOG - FZN &amp; CHILL'!B367,"AAAAAHt+/oU=")</f>
        <v>#VALUE!</v>
      </c>
      <c r="EE260" t="e">
        <f>AND('STERLING CATALOG - FZN &amp; CHILL'!C367,"AAAAAHt+/oY=")</f>
        <v>#VALUE!</v>
      </c>
      <c r="EF260" t="e">
        <f>AND('STERLING CATALOG - FZN &amp; CHILL'!D367,"AAAAAHt+/oc=")</f>
        <v>#VALUE!</v>
      </c>
      <c r="EG260" t="e">
        <f>AND('STERLING CATALOG - FZN &amp; CHILL'!E367,"AAAAAHt+/og=")</f>
        <v>#VALUE!</v>
      </c>
      <c r="EH260" t="e">
        <f>AND('STERLING CATALOG - FZN &amp; CHILL'!F367,"AAAAAHt+/ok=")</f>
        <v>#VALUE!</v>
      </c>
      <c r="EI260" t="e">
        <f>AND('STERLING CATALOG - FZN &amp; CHILL'!G367,"AAAAAHt+/oo=")</f>
        <v>#VALUE!</v>
      </c>
      <c r="EJ260" t="e">
        <f>AND('STERLING CATALOG - FZN &amp; CHILL'!H367,"AAAAAHt+/os=")</f>
        <v>#VALUE!</v>
      </c>
      <c r="EK260" t="e">
        <f>AND('STERLING CATALOG - FZN &amp; CHILL'!I367,"AAAAAHt+/ow=")</f>
        <v>#VALUE!</v>
      </c>
      <c r="EL260" t="e">
        <f>AND('STERLING CATALOG - FZN &amp; CHILL'!J367,"AAAAAHt+/o0=")</f>
        <v>#VALUE!</v>
      </c>
      <c r="EM260">
        <f>IF('STERLING CATALOG - FZN &amp; CHILL'!368:368,"AAAAAHt+/o4=",0)</f>
        <v>0</v>
      </c>
      <c r="EN260" t="e">
        <f>AND('STERLING CATALOG - FZN &amp; CHILL'!A368,"AAAAAHt+/o8=")</f>
        <v>#VALUE!</v>
      </c>
      <c r="EO260" t="e">
        <f>AND('STERLING CATALOG - FZN &amp; CHILL'!B368,"AAAAAHt+/pA=")</f>
        <v>#VALUE!</v>
      </c>
      <c r="EP260" t="e">
        <f>AND('STERLING CATALOG - FZN &amp; CHILL'!C368,"AAAAAHt+/pE=")</f>
        <v>#VALUE!</v>
      </c>
      <c r="EQ260" t="e">
        <f>AND('STERLING CATALOG - FZN &amp; CHILL'!D368,"AAAAAHt+/pI=")</f>
        <v>#VALUE!</v>
      </c>
      <c r="ER260" t="e">
        <f>AND('STERLING CATALOG - FZN &amp; CHILL'!E368,"AAAAAHt+/pM=")</f>
        <v>#VALUE!</v>
      </c>
      <c r="ES260" t="e">
        <f>AND('STERLING CATALOG - FZN &amp; CHILL'!F368,"AAAAAHt+/pQ=")</f>
        <v>#VALUE!</v>
      </c>
      <c r="ET260" t="e">
        <f>AND('STERLING CATALOG - FZN &amp; CHILL'!G368,"AAAAAHt+/pU=")</f>
        <v>#VALUE!</v>
      </c>
      <c r="EU260" t="e">
        <f>AND('STERLING CATALOG - FZN &amp; CHILL'!H368,"AAAAAHt+/pY=")</f>
        <v>#VALUE!</v>
      </c>
      <c r="EV260" t="e">
        <f>AND('STERLING CATALOG - FZN &amp; CHILL'!I368,"AAAAAHt+/pc=")</f>
        <v>#VALUE!</v>
      </c>
      <c r="EW260" t="e">
        <f>AND('STERLING CATALOG - FZN &amp; CHILL'!J368,"AAAAAHt+/pg=")</f>
        <v>#VALUE!</v>
      </c>
      <c r="EX260">
        <f>IF('STERLING CATALOG - FZN &amp; CHILL'!369:369,"AAAAAHt+/pk=",0)</f>
        <v>0</v>
      </c>
      <c r="EY260" t="e">
        <f>AND('STERLING CATALOG - FZN &amp; CHILL'!A369,"AAAAAHt+/po=")</f>
        <v>#VALUE!</v>
      </c>
      <c r="EZ260" t="e">
        <f>AND('STERLING CATALOG - FZN &amp; CHILL'!B369,"AAAAAHt+/ps=")</f>
        <v>#VALUE!</v>
      </c>
      <c r="FA260" t="e">
        <f>AND('STERLING CATALOG - FZN &amp; CHILL'!C369,"AAAAAHt+/pw=")</f>
        <v>#VALUE!</v>
      </c>
      <c r="FB260" t="e">
        <f>AND('STERLING CATALOG - FZN &amp; CHILL'!D369,"AAAAAHt+/p0=")</f>
        <v>#VALUE!</v>
      </c>
      <c r="FC260" t="e">
        <f>AND('STERLING CATALOG - FZN &amp; CHILL'!E369,"AAAAAHt+/p4=")</f>
        <v>#VALUE!</v>
      </c>
      <c r="FD260" t="e">
        <f>AND('STERLING CATALOG - FZN &amp; CHILL'!F369,"AAAAAHt+/p8=")</f>
        <v>#VALUE!</v>
      </c>
      <c r="FE260" t="e">
        <f>AND('STERLING CATALOG - FZN &amp; CHILL'!G369,"AAAAAHt+/qA=")</f>
        <v>#VALUE!</v>
      </c>
      <c r="FF260" t="e">
        <f>AND('STERLING CATALOG - FZN &amp; CHILL'!H369,"AAAAAHt+/qE=")</f>
        <v>#VALUE!</v>
      </c>
      <c r="FG260" t="e">
        <f>AND('STERLING CATALOG - FZN &amp; CHILL'!I369,"AAAAAHt+/qI=")</f>
        <v>#VALUE!</v>
      </c>
      <c r="FH260" t="e">
        <f>AND('STERLING CATALOG - FZN &amp; CHILL'!J369,"AAAAAHt+/qM=")</f>
        <v>#VALUE!</v>
      </c>
      <c r="FI260">
        <f>IF('STERLING CATALOG - FZN &amp; CHILL'!370:370,"AAAAAHt+/qQ=",0)</f>
        <v>0</v>
      </c>
      <c r="FJ260" t="e">
        <f>AND('STERLING CATALOG - FZN &amp; CHILL'!A370,"AAAAAHt+/qU=")</f>
        <v>#VALUE!</v>
      </c>
      <c r="FK260" t="e">
        <f>AND('STERLING CATALOG - FZN &amp; CHILL'!B370,"AAAAAHt+/qY=")</f>
        <v>#VALUE!</v>
      </c>
      <c r="FL260" t="e">
        <f>AND('STERLING CATALOG - FZN &amp; CHILL'!C370,"AAAAAHt+/qc=")</f>
        <v>#VALUE!</v>
      </c>
      <c r="FM260" t="e">
        <f>AND('STERLING CATALOG - FZN &amp; CHILL'!D370,"AAAAAHt+/qg=")</f>
        <v>#VALUE!</v>
      </c>
      <c r="FN260" t="e">
        <f>AND('STERLING CATALOG - FZN &amp; CHILL'!E370,"AAAAAHt+/qk=")</f>
        <v>#VALUE!</v>
      </c>
      <c r="FO260" t="e">
        <f>AND('STERLING CATALOG - FZN &amp; CHILL'!F370,"AAAAAHt+/qo=")</f>
        <v>#VALUE!</v>
      </c>
      <c r="FP260" t="e">
        <f>AND('STERLING CATALOG - FZN &amp; CHILL'!G370,"AAAAAHt+/qs=")</f>
        <v>#VALUE!</v>
      </c>
      <c r="FQ260" t="e">
        <f>AND('STERLING CATALOG - FZN &amp; CHILL'!H370,"AAAAAHt+/qw=")</f>
        <v>#VALUE!</v>
      </c>
      <c r="FR260" t="e">
        <f>AND('STERLING CATALOG - FZN &amp; CHILL'!I370,"AAAAAHt+/q0=")</f>
        <v>#VALUE!</v>
      </c>
      <c r="FS260" t="e">
        <f>AND('STERLING CATALOG - FZN &amp; CHILL'!J370,"AAAAAHt+/q4=")</f>
        <v>#VALUE!</v>
      </c>
      <c r="FT260">
        <f>IF('STERLING CATALOG - FZN &amp; CHILL'!371:371,"AAAAAHt+/q8=",0)</f>
        <v>0</v>
      </c>
      <c r="FU260" t="e">
        <f>AND('STERLING CATALOG - FZN &amp; CHILL'!A371,"AAAAAHt+/rA=")</f>
        <v>#VALUE!</v>
      </c>
      <c r="FV260" t="e">
        <f>AND('STERLING CATALOG - FZN &amp; CHILL'!B371,"AAAAAHt+/rE=")</f>
        <v>#VALUE!</v>
      </c>
      <c r="FW260" t="e">
        <f>AND('STERLING CATALOG - FZN &amp; CHILL'!C371,"AAAAAHt+/rI=")</f>
        <v>#VALUE!</v>
      </c>
      <c r="FX260" t="e">
        <f>AND('STERLING CATALOG - FZN &amp; CHILL'!D371,"AAAAAHt+/rM=")</f>
        <v>#VALUE!</v>
      </c>
      <c r="FY260" t="e">
        <f>AND('STERLING CATALOG - FZN &amp; CHILL'!E371,"AAAAAHt+/rQ=")</f>
        <v>#VALUE!</v>
      </c>
      <c r="FZ260" t="e">
        <f>AND('STERLING CATALOG - FZN &amp; CHILL'!F371,"AAAAAHt+/rU=")</f>
        <v>#VALUE!</v>
      </c>
      <c r="GA260" t="e">
        <f>AND('STERLING CATALOG - FZN &amp; CHILL'!G371,"AAAAAHt+/rY=")</f>
        <v>#VALUE!</v>
      </c>
      <c r="GB260" t="e">
        <f>AND('STERLING CATALOG - FZN &amp; CHILL'!H371,"AAAAAHt+/rc=")</f>
        <v>#VALUE!</v>
      </c>
      <c r="GC260" t="e">
        <f>AND('STERLING CATALOG - FZN &amp; CHILL'!I371,"AAAAAHt+/rg=")</f>
        <v>#VALUE!</v>
      </c>
      <c r="GD260" t="e">
        <f>AND('STERLING CATALOG - FZN &amp; CHILL'!J371,"AAAAAHt+/rk=")</f>
        <v>#VALUE!</v>
      </c>
      <c r="GE260">
        <f>IF('STERLING CATALOG - FZN &amp; CHILL'!372:372,"AAAAAHt+/ro=",0)</f>
        <v>0</v>
      </c>
      <c r="GF260" t="e">
        <f>AND('STERLING CATALOG - FZN &amp; CHILL'!A372,"AAAAAHt+/rs=")</f>
        <v>#VALUE!</v>
      </c>
      <c r="GG260" t="e">
        <f>AND('STERLING CATALOG - FZN &amp; CHILL'!B372,"AAAAAHt+/rw=")</f>
        <v>#VALUE!</v>
      </c>
      <c r="GH260" t="e">
        <f>AND('STERLING CATALOG - FZN &amp; CHILL'!C372,"AAAAAHt+/r0=")</f>
        <v>#VALUE!</v>
      </c>
      <c r="GI260" t="e">
        <f>AND('STERLING CATALOG - FZN &amp; CHILL'!D372,"AAAAAHt+/r4=")</f>
        <v>#VALUE!</v>
      </c>
      <c r="GJ260" t="e">
        <f>AND('STERLING CATALOG - FZN &amp; CHILL'!E372,"AAAAAHt+/r8=")</f>
        <v>#VALUE!</v>
      </c>
      <c r="GK260" t="e">
        <f>AND('STERLING CATALOG - FZN &amp; CHILL'!F372,"AAAAAHt+/sA=")</f>
        <v>#VALUE!</v>
      </c>
      <c r="GL260" t="e">
        <f>AND('STERLING CATALOG - FZN &amp; CHILL'!G372,"AAAAAHt+/sE=")</f>
        <v>#VALUE!</v>
      </c>
      <c r="GM260" t="e">
        <f>AND('STERLING CATALOG - FZN &amp; CHILL'!H372,"AAAAAHt+/sI=")</f>
        <v>#VALUE!</v>
      </c>
      <c r="GN260" t="e">
        <f>AND('STERLING CATALOG - FZN &amp; CHILL'!I372,"AAAAAHt+/sM=")</f>
        <v>#VALUE!</v>
      </c>
      <c r="GO260" t="e">
        <f>AND('STERLING CATALOG - FZN &amp; CHILL'!J372,"AAAAAHt+/sQ=")</f>
        <v>#VALUE!</v>
      </c>
      <c r="GP260">
        <f>IF('STERLING CATALOG - FZN &amp; CHILL'!373:373,"AAAAAHt+/sU=",0)</f>
        <v>0</v>
      </c>
      <c r="GQ260" t="e">
        <f>AND('STERLING CATALOG - FZN &amp; CHILL'!A373,"AAAAAHt+/sY=")</f>
        <v>#VALUE!</v>
      </c>
      <c r="GR260" t="e">
        <f>AND('STERLING CATALOG - FZN &amp; CHILL'!B373,"AAAAAHt+/sc=")</f>
        <v>#VALUE!</v>
      </c>
      <c r="GS260" t="e">
        <f>AND('STERLING CATALOG - FZN &amp; CHILL'!C373,"AAAAAHt+/sg=")</f>
        <v>#VALUE!</v>
      </c>
      <c r="GT260" t="e">
        <f>AND('STERLING CATALOG - FZN &amp; CHILL'!D373,"AAAAAHt+/sk=")</f>
        <v>#VALUE!</v>
      </c>
      <c r="GU260" t="e">
        <f>AND('STERLING CATALOG - FZN &amp; CHILL'!E373,"AAAAAHt+/so=")</f>
        <v>#VALUE!</v>
      </c>
      <c r="GV260" t="e">
        <f>AND('STERLING CATALOG - FZN &amp; CHILL'!F373,"AAAAAHt+/ss=")</f>
        <v>#VALUE!</v>
      </c>
      <c r="GW260" t="e">
        <f>AND('STERLING CATALOG - FZN &amp; CHILL'!G373,"AAAAAHt+/sw=")</f>
        <v>#VALUE!</v>
      </c>
      <c r="GX260" t="e">
        <f>AND('STERLING CATALOG - FZN &amp; CHILL'!H373,"AAAAAHt+/s0=")</f>
        <v>#VALUE!</v>
      </c>
      <c r="GY260" t="e">
        <f>AND('STERLING CATALOG - FZN &amp; CHILL'!I373,"AAAAAHt+/s4=")</f>
        <v>#VALUE!</v>
      </c>
      <c r="GZ260" t="e">
        <f>AND('STERLING CATALOG - FZN &amp; CHILL'!J373,"AAAAAHt+/s8=")</f>
        <v>#VALUE!</v>
      </c>
      <c r="HA260">
        <f>IF('STERLING CATALOG - FZN &amp; CHILL'!374:374,"AAAAAHt+/tA=",0)</f>
        <v>0</v>
      </c>
      <c r="HB260" t="e">
        <f>AND('STERLING CATALOG - FZN &amp; CHILL'!A374,"AAAAAHt+/tE=")</f>
        <v>#VALUE!</v>
      </c>
      <c r="HC260" t="e">
        <f>AND('STERLING CATALOG - FZN &amp; CHILL'!B374,"AAAAAHt+/tI=")</f>
        <v>#VALUE!</v>
      </c>
      <c r="HD260" t="e">
        <f>AND('STERLING CATALOG - FZN &amp; CHILL'!C374,"AAAAAHt+/tM=")</f>
        <v>#VALUE!</v>
      </c>
      <c r="HE260" t="e">
        <f>AND('STERLING CATALOG - FZN &amp; CHILL'!D374,"AAAAAHt+/tQ=")</f>
        <v>#VALUE!</v>
      </c>
      <c r="HF260" t="e">
        <f>AND('STERLING CATALOG - FZN &amp; CHILL'!E374,"AAAAAHt+/tU=")</f>
        <v>#VALUE!</v>
      </c>
      <c r="HG260" t="e">
        <f>AND('STERLING CATALOG - FZN &amp; CHILL'!F374,"AAAAAHt+/tY=")</f>
        <v>#VALUE!</v>
      </c>
      <c r="HH260" t="e">
        <f>AND('STERLING CATALOG - FZN &amp; CHILL'!G374,"AAAAAHt+/tc=")</f>
        <v>#VALUE!</v>
      </c>
      <c r="HI260" t="e">
        <f>AND('STERLING CATALOG - FZN &amp; CHILL'!H374,"AAAAAHt+/tg=")</f>
        <v>#VALUE!</v>
      </c>
      <c r="HJ260" t="e">
        <f>AND('STERLING CATALOG - FZN &amp; CHILL'!I374,"AAAAAHt+/tk=")</f>
        <v>#VALUE!</v>
      </c>
      <c r="HK260" t="e">
        <f>AND('STERLING CATALOG - FZN &amp; CHILL'!J374,"AAAAAHt+/to=")</f>
        <v>#VALUE!</v>
      </c>
      <c r="HL260">
        <f>IF('STERLING CATALOG - FZN &amp; CHILL'!375:375,"AAAAAHt+/ts=",0)</f>
        <v>0</v>
      </c>
      <c r="HM260" t="e">
        <f>AND('STERLING CATALOG - FZN &amp; CHILL'!A375,"AAAAAHt+/tw=")</f>
        <v>#VALUE!</v>
      </c>
      <c r="HN260" t="e">
        <f>AND('STERLING CATALOG - FZN &amp; CHILL'!B375,"AAAAAHt+/t0=")</f>
        <v>#VALUE!</v>
      </c>
      <c r="HO260" t="e">
        <f>AND('STERLING CATALOG - FZN &amp; CHILL'!C375,"AAAAAHt+/t4=")</f>
        <v>#VALUE!</v>
      </c>
      <c r="HP260" t="e">
        <f>AND('STERLING CATALOG - FZN &amp; CHILL'!D375,"AAAAAHt+/t8=")</f>
        <v>#VALUE!</v>
      </c>
      <c r="HQ260" t="e">
        <f>AND('STERLING CATALOG - FZN &amp; CHILL'!E375,"AAAAAHt+/uA=")</f>
        <v>#VALUE!</v>
      </c>
      <c r="HR260" t="e">
        <f>AND('STERLING CATALOG - FZN &amp; CHILL'!F375,"AAAAAHt+/uE=")</f>
        <v>#VALUE!</v>
      </c>
      <c r="HS260" t="e">
        <f>AND('STERLING CATALOG - FZN &amp; CHILL'!G375,"AAAAAHt+/uI=")</f>
        <v>#VALUE!</v>
      </c>
      <c r="HT260" t="e">
        <f>AND('STERLING CATALOG - FZN &amp; CHILL'!H375,"AAAAAHt+/uM=")</f>
        <v>#VALUE!</v>
      </c>
      <c r="HU260" t="e">
        <f>AND('STERLING CATALOG - FZN &amp; CHILL'!I375,"AAAAAHt+/uQ=")</f>
        <v>#VALUE!</v>
      </c>
      <c r="HV260" t="e">
        <f>AND('STERLING CATALOG - FZN &amp; CHILL'!J375,"AAAAAHt+/uU=")</f>
        <v>#VALUE!</v>
      </c>
      <c r="HW260">
        <f>IF('STERLING CATALOG - FZN &amp; CHILL'!376:376,"AAAAAHt+/uY=",0)</f>
        <v>0</v>
      </c>
      <c r="HX260" t="e">
        <f>AND('STERLING CATALOG - FZN &amp; CHILL'!A376,"AAAAAHt+/uc=")</f>
        <v>#VALUE!</v>
      </c>
      <c r="HY260" t="e">
        <f>AND('STERLING CATALOG - FZN &amp; CHILL'!B376,"AAAAAHt+/ug=")</f>
        <v>#VALUE!</v>
      </c>
      <c r="HZ260" t="e">
        <f>AND('STERLING CATALOG - FZN &amp; CHILL'!C376,"AAAAAHt+/uk=")</f>
        <v>#VALUE!</v>
      </c>
      <c r="IA260" t="e">
        <f>AND('STERLING CATALOG - FZN &amp; CHILL'!D376,"AAAAAHt+/uo=")</f>
        <v>#VALUE!</v>
      </c>
      <c r="IB260" t="e">
        <f>AND('STERLING CATALOG - FZN &amp; CHILL'!E376,"AAAAAHt+/us=")</f>
        <v>#VALUE!</v>
      </c>
      <c r="IC260" t="e">
        <f>AND('STERLING CATALOG - FZN &amp; CHILL'!F376,"AAAAAHt+/uw=")</f>
        <v>#VALUE!</v>
      </c>
      <c r="ID260" t="e">
        <f>AND('STERLING CATALOG - FZN &amp; CHILL'!G376,"AAAAAHt+/u0=")</f>
        <v>#VALUE!</v>
      </c>
      <c r="IE260" t="e">
        <f>AND('STERLING CATALOG - FZN &amp; CHILL'!H376,"AAAAAHt+/u4=")</f>
        <v>#VALUE!</v>
      </c>
      <c r="IF260" t="e">
        <f>AND('STERLING CATALOG - FZN &amp; CHILL'!I376,"AAAAAHt+/u8=")</f>
        <v>#VALUE!</v>
      </c>
      <c r="IG260" t="e">
        <f>AND('STERLING CATALOG - FZN &amp; CHILL'!J376,"AAAAAHt+/vA=")</f>
        <v>#VALUE!</v>
      </c>
      <c r="IH260">
        <f>IF('STERLING CATALOG - FZN &amp; CHILL'!377:377,"AAAAAHt+/vE=",0)</f>
        <v>0</v>
      </c>
      <c r="II260" t="e">
        <f>AND('STERLING CATALOG - FZN &amp; CHILL'!A377,"AAAAAHt+/vI=")</f>
        <v>#VALUE!</v>
      </c>
      <c r="IJ260" t="e">
        <f>AND('STERLING CATALOG - FZN &amp; CHILL'!B377,"AAAAAHt+/vM=")</f>
        <v>#VALUE!</v>
      </c>
      <c r="IK260" t="e">
        <f>AND('STERLING CATALOG - FZN &amp; CHILL'!C377,"AAAAAHt+/vQ=")</f>
        <v>#VALUE!</v>
      </c>
      <c r="IL260" t="e">
        <f>AND('STERLING CATALOG - FZN &amp; CHILL'!D377,"AAAAAHt+/vU=")</f>
        <v>#VALUE!</v>
      </c>
      <c r="IM260" t="e">
        <f>AND('STERLING CATALOG - FZN &amp; CHILL'!E377,"AAAAAHt+/vY=")</f>
        <v>#VALUE!</v>
      </c>
      <c r="IN260" t="e">
        <f>AND('STERLING CATALOG - FZN &amp; CHILL'!F377,"AAAAAHt+/vc=")</f>
        <v>#VALUE!</v>
      </c>
      <c r="IO260" t="e">
        <f>AND('STERLING CATALOG - FZN &amp; CHILL'!G377,"AAAAAHt+/vg=")</f>
        <v>#VALUE!</v>
      </c>
      <c r="IP260" t="e">
        <f>AND('STERLING CATALOG - FZN &amp; CHILL'!H377,"AAAAAHt+/vk=")</f>
        <v>#VALUE!</v>
      </c>
      <c r="IQ260" t="e">
        <f>AND('STERLING CATALOG - FZN &amp; CHILL'!I377,"AAAAAHt+/vo=")</f>
        <v>#VALUE!</v>
      </c>
      <c r="IR260" t="e">
        <f>AND('STERLING CATALOG - FZN &amp; CHILL'!J377,"AAAAAHt+/vs=")</f>
        <v>#VALUE!</v>
      </c>
      <c r="IS260">
        <f>IF('STERLING CATALOG - FZN &amp; CHILL'!378:378,"AAAAAHt+/vw=",0)</f>
        <v>0</v>
      </c>
      <c r="IT260" t="e">
        <f>AND('STERLING CATALOG - FZN &amp; CHILL'!A378,"AAAAAHt+/v0=")</f>
        <v>#VALUE!</v>
      </c>
      <c r="IU260" t="e">
        <f>AND('STERLING CATALOG - FZN &amp; CHILL'!B378,"AAAAAHt+/v4=")</f>
        <v>#VALUE!</v>
      </c>
      <c r="IV260" t="e">
        <f>AND('STERLING CATALOG - FZN &amp; CHILL'!C378,"AAAAAHt+/v8=")</f>
        <v>#VALUE!</v>
      </c>
    </row>
    <row r="261" spans="1:256">
      <c r="A261" t="e">
        <f>AND('STERLING CATALOG - FZN &amp; CHILL'!D378,"AAAAAD+/6QA=")</f>
        <v>#VALUE!</v>
      </c>
      <c r="B261" t="e">
        <f>AND('STERLING CATALOG - FZN &amp; CHILL'!E378,"AAAAAD+/6QE=")</f>
        <v>#VALUE!</v>
      </c>
      <c r="C261" t="e">
        <f>AND('STERLING CATALOG - FZN &amp; CHILL'!F378,"AAAAAD+/6QI=")</f>
        <v>#VALUE!</v>
      </c>
      <c r="D261" t="e">
        <f>AND('STERLING CATALOG - FZN &amp; CHILL'!G378,"AAAAAD+/6QM=")</f>
        <v>#VALUE!</v>
      </c>
      <c r="E261" t="e">
        <f>AND('STERLING CATALOG - FZN &amp; CHILL'!H378,"AAAAAD+/6QQ=")</f>
        <v>#VALUE!</v>
      </c>
      <c r="F261" t="e">
        <f>AND('STERLING CATALOG - FZN &amp; CHILL'!I378,"AAAAAD+/6QU=")</f>
        <v>#VALUE!</v>
      </c>
      <c r="G261" t="e">
        <f>AND('STERLING CATALOG - FZN &amp; CHILL'!J378,"AAAAAD+/6QY=")</f>
        <v>#VALUE!</v>
      </c>
      <c r="H261" t="str">
        <f>IF('STERLING CATALOG - FZN &amp; CHILL'!379:379,"AAAAAD+/6Qc=",0)</f>
        <v>AAAAAD+/6Qc=</v>
      </c>
      <c r="I261" t="e">
        <f>AND('STERLING CATALOG - FZN &amp; CHILL'!A379,"AAAAAD+/6Qg=")</f>
        <v>#VALUE!</v>
      </c>
      <c r="J261" t="e">
        <f>AND('STERLING CATALOG - FZN &amp; CHILL'!B379,"AAAAAD+/6Qk=")</f>
        <v>#VALUE!</v>
      </c>
      <c r="K261" t="e">
        <f>AND('STERLING CATALOG - FZN &amp; CHILL'!C379,"AAAAAD+/6Qo=")</f>
        <v>#VALUE!</v>
      </c>
      <c r="L261" t="e">
        <f>AND('STERLING CATALOG - FZN &amp; CHILL'!D379,"AAAAAD+/6Qs=")</f>
        <v>#VALUE!</v>
      </c>
      <c r="M261" t="e">
        <f>AND('STERLING CATALOG - FZN &amp; CHILL'!E379,"AAAAAD+/6Qw=")</f>
        <v>#VALUE!</v>
      </c>
      <c r="N261" t="e">
        <f>AND('STERLING CATALOG - FZN &amp; CHILL'!F379,"AAAAAD+/6Q0=")</f>
        <v>#VALUE!</v>
      </c>
      <c r="O261" t="e">
        <f>AND('STERLING CATALOG - FZN &amp; CHILL'!G379,"AAAAAD+/6Q4=")</f>
        <v>#VALUE!</v>
      </c>
      <c r="P261" t="e">
        <f>AND('STERLING CATALOG - FZN &amp; CHILL'!H379,"AAAAAD+/6Q8=")</f>
        <v>#VALUE!</v>
      </c>
      <c r="Q261" t="e">
        <f>AND('STERLING CATALOG - FZN &amp; CHILL'!I379,"AAAAAD+/6RA=")</f>
        <v>#VALUE!</v>
      </c>
      <c r="R261" t="e">
        <f>AND('STERLING CATALOG - FZN &amp; CHILL'!J379,"AAAAAD+/6RE=")</f>
        <v>#VALUE!</v>
      </c>
      <c r="S261">
        <f>IF('STERLING CATALOG - FZN &amp; CHILL'!380:380,"AAAAAD+/6RI=",0)</f>
        <v>0</v>
      </c>
      <c r="T261" t="e">
        <f>AND('STERLING CATALOG - FZN &amp; CHILL'!A380,"AAAAAD+/6RM=")</f>
        <v>#VALUE!</v>
      </c>
      <c r="U261" t="e">
        <f>AND('STERLING CATALOG - FZN &amp; CHILL'!B380,"AAAAAD+/6RQ=")</f>
        <v>#VALUE!</v>
      </c>
      <c r="V261" t="e">
        <f>AND('STERLING CATALOG - FZN &amp; CHILL'!C380,"AAAAAD+/6RU=")</f>
        <v>#VALUE!</v>
      </c>
      <c r="W261" t="e">
        <f>AND('STERLING CATALOG - FZN &amp; CHILL'!D380,"AAAAAD+/6RY=")</f>
        <v>#VALUE!</v>
      </c>
      <c r="X261" t="e">
        <f>AND('STERLING CATALOG - FZN &amp; CHILL'!E380,"AAAAAD+/6Rc=")</f>
        <v>#VALUE!</v>
      </c>
      <c r="Y261" t="e">
        <f>AND('STERLING CATALOG - FZN &amp; CHILL'!F380,"AAAAAD+/6Rg=")</f>
        <v>#VALUE!</v>
      </c>
      <c r="Z261" t="e">
        <f>AND('STERLING CATALOG - FZN &amp; CHILL'!G380,"AAAAAD+/6Rk=")</f>
        <v>#VALUE!</v>
      </c>
      <c r="AA261" t="e">
        <f>AND('STERLING CATALOG - FZN &amp; CHILL'!H380,"AAAAAD+/6Ro=")</f>
        <v>#VALUE!</v>
      </c>
      <c r="AB261" t="e">
        <f>AND('STERLING CATALOG - FZN &amp; CHILL'!I380,"AAAAAD+/6Rs=")</f>
        <v>#VALUE!</v>
      </c>
      <c r="AC261" t="e">
        <f>AND('STERLING CATALOG - FZN &amp; CHILL'!J380,"AAAAAD+/6Rw=")</f>
        <v>#VALUE!</v>
      </c>
      <c r="AD261">
        <f>IF('STERLING CATALOG - FZN &amp; CHILL'!381:381,"AAAAAD+/6R0=",0)</f>
        <v>0</v>
      </c>
      <c r="AE261" t="e">
        <f>AND('STERLING CATALOG - FZN &amp; CHILL'!A381,"AAAAAD+/6R4=")</f>
        <v>#VALUE!</v>
      </c>
      <c r="AF261" t="e">
        <f>AND('STERLING CATALOG - FZN &amp; CHILL'!B381,"AAAAAD+/6R8=")</f>
        <v>#VALUE!</v>
      </c>
      <c r="AG261" t="e">
        <f>AND('STERLING CATALOG - FZN &amp; CHILL'!C381,"AAAAAD+/6SA=")</f>
        <v>#VALUE!</v>
      </c>
      <c r="AH261" t="e">
        <f>AND('STERLING CATALOG - FZN &amp; CHILL'!D381,"AAAAAD+/6SE=")</f>
        <v>#VALUE!</v>
      </c>
      <c r="AI261" t="e">
        <f>AND('STERLING CATALOG - FZN &amp; CHILL'!E381,"AAAAAD+/6SI=")</f>
        <v>#VALUE!</v>
      </c>
      <c r="AJ261" t="e">
        <f>AND('STERLING CATALOG - FZN &amp; CHILL'!F381,"AAAAAD+/6SM=")</f>
        <v>#VALUE!</v>
      </c>
      <c r="AK261" t="e">
        <f>AND('STERLING CATALOG - FZN &amp; CHILL'!G381,"AAAAAD+/6SQ=")</f>
        <v>#VALUE!</v>
      </c>
      <c r="AL261" t="e">
        <f>AND('STERLING CATALOG - FZN &amp; CHILL'!H381,"AAAAAD+/6SU=")</f>
        <v>#VALUE!</v>
      </c>
      <c r="AM261" t="e">
        <f>AND('STERLING CATALOG - FZN &amp; CHILL'!I381,"AAAAAD+/6SY=")</f>
        <v>#VALUE!</v>
      </c>
      <c r="AN261" t="e">
        <f>AND('STERLING CATALOG - FZN &amp; CHILL'!J381,"AAAAAD+/6Sc=")</f>
        <v>#VALUE!</v>
      </c>
      <c r="AO261">
        <f>IF('STERLING CATALOG - FZN &amp; CHILL'!382:382,"AAAAAD+/6Sg=",0)</f>
        <v>0</v>
      </c>
      <c r="AP261" t="e">
        <f>AND('STERLING CATALOG - FZN &amp; CHILL'!A382,"AAAAAD+/6Sk=")</f>
        <v>#VALUE!</v>
      </c>
      <c r="AQ261" t="e">
        <f>AND('STERLING CATALOG - FZN &amp; CHILL'!B382,"AAAAAD+/6So=")</f>
        <v>#VALUE!</v>
      </c>
      <c r="AR261" t="e">
        <f>AND('STERLING CATALOG - FZN &amp; CHILL'!C382,"AAAAAD+/6Ss=")</f>
        <v>#VALUE!</v>
      </c>
      <c r="AS261" t="e">
        <f>AND('STERLING CATALOG - FZN &amp; CHILL'!D382,"AAAAAD+/6Sw=")</f>
        <v>#VALUE!</v>
      </c>
      <c r="AT261" t="e">
        <f>AND('STERLING CATALOG - FZN &amp; CHILL'!E382,"AAAAAD+/6S0=")</f>
        <v>#VALUE!</v>
      </c>
      <c r="AU261" t="e">
        <f>AND('STERLING CATALOG - FZN &amp; CHILL'!F382,"AAAAAD+/6S4=")</f>
        <v>#VALUE!</v>
      </c>
      <c r="AV261" t="e">
        <f>AND('STERLING CATALOG - FZN &amp; CHILL'!G382,"AAAAAD+/6S8=")</f>
        <v>#VALUE!</v>
      </c>
      <c r="AW261" t="e">
        <f>AND('STERLING CATALOG - FZN &amp; CHILL'!H382,"AAAAAD+/6TA=")</f>
        <v>#VALUE!</v>
      </c>
      <c r="AX261" t="e">
        <f>AND('STERLING CATALOG - FZN &amp; CHILL'!I382,"AAAAAD+/6TE=")</f>
        <v>#VALUE!</v>
      </c>
      <c r="AY261" t="e">
        <f>AND('STERLING CATALOG - FZN &amp; CHILL'!J382,"AAAAAD+/6TI=")</f>
        <v>#VALUE!</v>
      </c>
      <c r="AZ261">
        <f>IF('STERLING CATALOG - FZN &amp; CHILL'!383:383,"AAAAAD+/6TM=",0)</f>
        <v>0</v>
      </c>
      <c r="BA261" t="e">
        <f>AND('STERLING CATALOG - FZN &amp; CHILL'!A383,"AAAAAD+/6TQ=")</f>
        <v>#VALUE!</v>
      </c>
      <c r="BB261" t="e">
        <f>AND('STERLING CATALOG - FZN &amp; CHILL'!B383,"AAAAAD+/6TU=")</f>
        <v>#VALUE!</v>
      </c>
      <c r="BC261" t="e">
        <f>AND('STERLING CATALOG - FZN &amp; CHILL'!C383,"AAAAAD+/6TY=")</f>
        <v>#VALUE!</v>
      </c>
      <c r="BD261" t="e">
        <f>AND('STERLING CATALOG - FZN &amp; CHILL'!D383,"AAAAAD+/6Tc=")</f>
        <v>#VALUE!</v>
      </c>
      <c r="BE261" t="e">
        <f>AND('STERLING CATALOG - FZN &amp; CHILL'!E383,"AAAAAD+/6Tg=")</f>
        <v>#VALUE!</v>
      </c>
      <c r="BF261" t="e">
        <f>AND('STERLING CATALOG - FZN &amp; CHILL'!F383,"AAAAAD+/6Tk=")</f>
        <v>#VALUE!</v>
      </c>
      <c r="BG261" t="e">
        <f>AND('STERLING CATALOG - FZN &amp; CHILL'!G383,"AAAAAD+/6To=")</f>
        <v>#VALUE!</v>
      </c>
      <c r="BH261" t="e">
        <f>AND('STERLING CATALOG - FZN &amp; CHILL'!H383,"AAAAAD+/6Ts=")</f>
        <v>#VALUE!</v>
      </c>
      <c r="BI261" t="e">
        <f>AND('STERLING CATALOG - FZN &amp; CHILL'!I383,"AAAAAD+/6Tw=")</f>
        <v>#VALUE!</v>
      </c>
      <c r="BJ261" t="e">
        <f>AND('STERLING CATALOG - FZN &amp; CHILL'!J383,"AAAAAD+/6T0=")</f>
        <v>#VALUE!</v>
      </c>
      <c r="BK261">
        <f>IF('STERLING CATALOG - FZN &amp; CHILL'!384:384,"AAAAAD+/6T4=",0)</f>
        <v>0</v>
      </c>
      <c r="BL261" t="e">
        <f>AND('STERLING CATALOG - FZN &amp; CHILL'!A384,"AAAAAD+/6T8=")</f>
        <v>#VALUE!</v>
      </c>
      <c r="BM261" t="e">
        <f>AND('STERLING CATALOG - FZN &amp; CHILL'!B384,"AAAAAD+/6UA=")</f>
        <v>#VALUE!</v>
      </c>
      <c r="BN261" t="e">
        <f>AND('STERLING CATALOG - FZN &amp; CHILL'!C384,"AAAAAD+/6UE=")</f>
        <v>#VALUE!</v>
      </c>
      <c r="BO261" t="e">
        <f>AND('STERLING CATALOG - FZN &amp; CHILL'!D384,"AAAAAD+/6UI=")</f>
        <v>#VALUE!</v>
      </c>
      <c r="BP261" t="e">
        <f>AND('STERLING CATALOG - FZN &amp; CHILL'!E384,"AAAAAD+/6UM=")</f>
        <v>#VALUE!</v>
      </c>
      <c r="BQ261" t="e">
        <f>AND('STERLING CATALOG - FZN &amp; CHILL'!F384,"AAAAAD+/6UQ=")</f>
        <v>#VALUE!</v>
      </c>
      <c r="BR261" t="e">
        <f>AND('STERLING CATALOG - FZN &amp; CHILL'!G384,"AAAAAD+/6UU=")</f>
        <v>#VALUE!</v>
      </c>
      <c r="BS261" t="e">
        <f>AND('STERLING CATALOG - FZN &amp; CHILL'!H384,"AAAAAD+/6UY=")</f>
        <v>#VALUE!</v>
      </c>
      <c r="BT261" t="e">
        <f>AND('STERLING CATALOG - FZN &amp; CHILL'!I384,"AAAAAD+/6Uc=")</f>
        <v>#VALUE!</v>
      </c>
      <c r="BU261" t="e">
        <f>AND('STERLING CATALOG - FZN &amp; CHILL'!J384,"AAAAAD+/6Ug=")</f>
        <v>#VALUE!</v>
      </c>
      <c r="BV261">
        <f>IF('STERLING CATALOG - FZN &amp; CHILL'!385:385,"AAAAAD+/6Uk=",0)</f>
        <v>0</v>
      </c>
      <c r="BW261" t="e">
        <f>AND('STERLING CATALOG - FZN &amp; CHILL'!A385,"AAAAAD+/6Uo=")</f>
        <v>#VALUE!</v>
      </c>
      <c r="BX261" t="e">
        <f>AND('STERLING CATALOG - FZN &amp; CHILL'!B385,"AAAAAD+/6Us=")</f>
        <v>#VALUE!</v>
      </c>
      <c r="BY261" t="e">
        <f>AND('STERLING CATALOG - FZN &amp; CHILL'!C385,"AAAAAD+/6Uw=")</f>
        <v>#VALUE!</v>
      </c>
      <c r="BZ261" t="e">
        <f>AND('STERLING CATALOG - FZN &amp; CHILL'!D385,"AAAAAD+/6U0=")</f>
        <v>#VALUE!</v>
      </c>
      <c r="CA261" t="e">
        <f>AND('STERLING CATALOG - FZN &amp; CHILL'!E385,"AAAAAD+/6U4=")</f>
        <v>#VALUE!</v>
      </c>
      <c r="CB261" t="e">
        <f>AND('STERLING CATALOG - FZN &amp; CHILL'!F385,"AAAAAD+/6U8=")</f>
        <v>#VALUE!</v>
      </c>
      <c r="CC261" t="e">
        <f>AND('STERLING CATALOG - FZN &amp; CHILL'!G385,"AAAAAD+/6VA=")</f>
        <v>#VALUE!</v>
      </c>
      <c r="CD261" t="e">
        <f>AND('STERLING CATALOG - FZN &amp; CHILL'!H385,"AAAAAD+/6VE=")</f>
        <v>#VALUE!</v>
      </c>
      <c r="CE261" t="e">
        <f>AND('STERLING CATALOG - FZN &amp; CHILL'!I385,"AAAAAD+/6VI=")</f>
        <v>#VALUE!</v>
      </c>
      <c r="CF261" t="e">
        <f>AND('STERLING CATALOG - FZN &amp; CHILL'!J385,"AAAAAD+/6VM=")</f>
        <v>#VALUE!</v>
      </c>
      <c r="CG261">
        <f>IF('STERLING CATALOG - FZN &amp; CHILL'!386:386,"AAAAAD+/6VQ=",0)</f>
        <v>0</v>
      </c>
      <c r="CH261" t="e">
        <f>AND('STERLING CATALOG - FZN &amp; CHILL'!A386,"AAAAAD+/6VU=")</f>
        <v>#VALUE!</v>
      </c>
      <c r="CI261" t="e">
        <f>AND('STERLING CATALOG - FZN &amp; CHILL'!B386,"AAAAAD+/6VY=")</f>
        <v>#VALUE!</v>
      </c>
      <c r="CJ261" t="e">
        <f>AND('STERLING CATALOG - FZN &amp; CHILL'!C386,"AAAAAD+/6Vc=")</f>
        <v>#VALUE!</v>
      </c>
      <c r="CK261" t="e">
        <f>AND('STERLING CATALOG - FZN &amp; CHILL'!D386,"AAAAAD+/6Vg=")</f>
        <v>#VALUE!</v>
      </c>
      <c r="CL261" t="e">
        <f>AND('STERLING CATALOG - FZN &amp; CHILL'!E386,"AAAAAD+/6Vk=")</f>
        <v>#VALUE!</v>
      </c>
      <c r="CM261" t="e">
        <f>AND('STERLING CATALOG - FZN &amp; CHILL'!F386,"AAAAAD+/6Vo=")</f>
        <v>#VALUE!</v>
      </c>
      <c r="CN261" t="e">
        <f>AND('STERLING CATALOG - FZN &amp; CHILL'!G386,"AAAAAD+/6Vs=")</f>
        <v>#VALUE!</v>
      </c>
      <c r="CO261" t="e">
        <f>AND('STERLING CATALOG - FZN &amp; CHILL'!H386,"AAAAAD+/6Vw=")</f>
        <v>#VALUE!</v>
      </c>
      <c r="CP261" t="e">
        <f>AND('STERLING CATALOG - FZN &amp; CHILL'!I386,"AAAAAD+/6V0=")</f>
        <v>#VALUE!</v>
      </c>
      <c r="CQ261" t="e">
        <f>AND('STERLING CATALOG - FZN &amp; CHILL'!J386,"AAAAAD+/6V4=")</f>
        <v>#VALUE!</v>
      </c>
      <c r="CR261">
        <f>IF('STERLING CATALOG - FZN &amp; CHILL'!387:387,"AAAAAD+/6V8=",0)</f>
        <v>0</v>
      </c>
      <c r="CS261" t="e">
        <f>AND('STERLING CATALOG - FZN &amp; CHILL'!A387,"AAAAAD+/6WA=")</f>
        <v>#VALUE!</v>
      </c>
      <c r="CT261" t="e">
        <f>AND('STERLING CATALOG - FZN &amp; CHILL'!B387,"AAAAAD+/6WE=")</f>
        <v>#VALUE!</v>
      </c>
      <c r="CU261" t="e">
        <f>AND('STERLING CATALOG - FZN &amp; CHILL'!C387,"AAAAAD+/6WI=")</f>
        <v>#VALUE!</v>
      </c>
      <c r="CV261" t="e">
        <f>AND('STERLING CATALOG - FZN &amp; CHILL'!D387,"AAAAAD+/6WM=")</f>
        <v>#VALUE!</v>
      </c>
      <c r="CW261" t="e">
        <f>AND('STERLING CATALOG - FZN &amp; CHILL'!E387,"AAAAAD+/6WQ=")</f>
        <v>#VALUE!</v>
      </c>
      <c r="CX261" t="e">
        <f>AND('STERLING CATALOG - FZN &amp; CHILL'!F387,"AAAAAD+/6WU=")</f>
        <v>#VALUE!</v>
      </c>
      <c r="CY261" t="e">
        <f>AND('STERLING CATALOG - FZN &amp; CHILL'!G387,"AAAAAD+/6WY=")</f>
        <v>#VALUE!</v>
      </c>
      <c r="CZ261" t="e">
        <f>AND('STERLING CATALOG - FZN &amp; CHILL'!H387,"AAAAAD+/6Wc=")</f>
        <v>#VALUE!</v>
      </c>
      <c r="DA261" t="e">
        <f>AND('STERLING CATALOG - FZN &amp; CHILL'!I387,"AAAAAD+/6Wg=")</f>
        <v>#VALUE!</v>
      </c>
      <c r="DB261" t="e">
        <f>AND('STERLING CATALOG - FZN &amp; CHILL'!J387,"AAAAAD+/6Wk=")</f>
        <v>#VALUE!</v>
      </c>
      <c r="DC261">
        <f>IF('STERLING CATALOG - FZN &amp; CHILL'!388:388,"AAAAAD+/6Wo=",0)</f>
        <v>0</v>
      </c>
      <c r="DD261" t="e">
        <f>AND('STERLING CATALOG - FZN &amp; CHILL'!A388,"AAAAAD+/6Ws=")</f>
        <v>#VALUE!</v>
      </c>
      <c r="DE261" t="e">
        <f>AND('STERLING CATALOG - FZN &amp; CHILL'!B388,"AAAAAD+/6Ww=")</f>
        <v>#VALUE!</v>
      </c>
      <c r="DF261" t="e">
        <f>AND('STERLING CATALOG - FZN &amp; CHILL'!C388,"AAAAAD+/6W0=")</f>
        <v>#VALUE!</v>
      </c>
      <c r="DG261" t="e">
        <f>AND('STERLING CATALOG - FZN &amp; CHILL'!D388,"AAAAAD+/6W4=")</f>
        <v>#VALUE!</v>
      </c>
      <c r="DH261" t="e">
        <f>AND('STERLING CATALOG - FZN &amp; CHILL'!E388,"AAAAAD+/6W8=")</f>
        <v>#VALUE!</v>
      </c>
      <c r="DI261" t="e">
        <f>AND('STERLING CATALOG - FZN &amp; CHILL'!F388,"AAAAAD+/6XA=")</f>
        <v>#VALUE!</v>
      </c>
      <c r="DJ261" t="e">
        <f>AND('STERLING CATALOG - FZN &amp; CHILL'!G388,"AAAAAD+/6XE=")</f>
        <v>#VALUE!</v>
      </c>
      <c r="DK261" t="e">
        <f>AND('STERLING CATALOG - FZN &amp; CHILL'!H388,"AAAAAD+/6XI=")</f>
        <v>#VALUE!</v>
      </c>
      <c r="DL261" t="e">
        <f>AND('STERLING CATALOG - FZN &amp; CHILL'!I388,"AAAAAD+/6XM=")</f>
        <v>#VALUE!</v>
      </c>
      <c r="DM261" t="e">
        <f>AND('STERLING CATALOG - FZN &amp; CHILL'!J388,"AAAAAD+/6XQ=")</f>
        <v>#VALUE!</v>
      </c>
      <c r="DN261">
        <f>IF('STERLING CATALOG - FZN &amp; CHILL'!389:389,"AAAAAD+/6XU=",0)</f>
        <v>0</v>
      </c>
      <c r="DO261" t="e">
        <f>AND('STERLING CATALOG - FZN &amp; CHILL'!A389,"AAAAAD+/6XY=")</f>
        <v>#VALUE!</v>
      </c>
      <c r="DP261" t="e">
        <f>AND('STERLING CATALOG - FZN &amp; CHILL'!B389,"AAAAAD+/6Xc=")</f>
        <v>#VALUE!</v>
      </c>
      <c r="DQ261" t="e">
        <f>AND('STERLING CATALOG - FZN &amp; CHILL'!C389,"AAAAAD+/6Xg=")</f>
        <v>#VALUE!</v>
      </c>
      <c r="DR261" t="e">
        <f>AND('STERLING CATALOG - FZN &amp; CHILL'!D389,"AAAAAD+/6Xk=")</f>
        <v>#VALUE!</v>
      </c>
      <c r="DS261" t="e">
        <f>AND('STERLING CATALOG - FZN &amp; CHILL'!E389,"AAAAAD+/6Xo=")</f>
        <v>#VALUE!</v>
      </c>
      <c r="DT261" t="e">
        <f>AND('STERLING CATALOG - FZN &amp; CHILL'!F389,"AAAAAD+/6Xs=")</f>
        <v>#VALUE!</v>
      </c>
      <c r="DU261" t="e">
        <f>AND('STERLING CATALOG - FZN &amp; CHILL'!G389,"AAAAAD+/6Xw=")</f>
        <v>#VALUE!</v>
      </c>
      <c r="DV261" t="e">
        <f>AND('STERLING CATALOG - FZN &amp; CHILL'!H389,"AAAAAD+/6X0=")</f>
        <v>#VALUE!</v>
      </c>
      <c r="DW261" t="e">
        <f>AND('STERLING CATALOG - FZN &amp; CHILL'!I389,"AAAAAD+/6X4=")</f>
        <v>#VALUE!</v>
      </c>
      <c r="DX261" t="e">
        <f>AND('STERLING CATALOG - FZN &amp; CHILL'!J389,"AAAAAD+/6X8=")</f>
        <v>#VALUE!</v>
      </c>
      <c r="DY261">
        <f>IF('STERLING CATALOG - FZN &amp; CHILL'!390:390,"AAAAAD+/6YA=",0)</f>
        <v>0</v>
      </c>
      <c r="DZ261" t="e">
        <f>AND('STERLING CATALOG - FZN &amp; CHILL'!A390,"AAAAAD+/6YE=")</f>
        <v>#VALUE!</v>
      </c>
      <c r="EA261" t="e">
        <f>AND('STERLING CATALOG - FZN &amp; CHILL'!B390,"AAAAAD+/6YI=")</f>
        <v>#VALUE!</v>
      </c>
      <c r="EB261" t="e">
        <f>AND('STERLING CATALOG - FZN &amp; CHILL'!C390,"AAAAAD+/6YM=")</f>
        <v>#VALUE!</v>
      </c>
      <c r="EC261" t="e">
        <f>AND('STERLING CATALOG - FZN &amp; CHILL'!D390,"AAAAAD+/6YQ=")</f>
        <v>#VALUE!</v>
      </c>
      <c r="ED261" t="e">
        <f>AND('STERLING CATALOG - FZN &amp; CHILL'!E390,"AAAAAD+/6YU=")</f>
        <v>#VALUE!</v>
      </c>
      <c r="EE261" t="e">
        <f>AND('STERLING CATALOG - FZN &amp; CHILL'!F390,"AAAAAD+/6YY=")</f>
        <v>#VALUE!</v>
      </c>
      <c r="EF261" t="e">
        <f>AND('STERLING CATALOG - FZN &amp; CHILL'!G390,"AAAAAD+/6Yc=")</f>
        <v>#VALUE!</v>
      </c>
      <c r="EG261" t="e">
        <f>AND('STERLING CATALOG - FZN &amp; CHILL'!H390,"AAAAAD+/6Yg=")</f>
        <v>#VALUE!</v>
      </c>
      <c r="EH261" t="e">
        <f>AND('STERLING CATALOG - FZN &amp; CHILL'!I390,"AAAAAD+/6Yk=")</f>
        <v>#VALUE!</v>
      </c>
      <c r="EI261" t="e">
        <f>AND('STERLING CATALOG - FZN &amp; CHILL'!J390,"AAAAAD+/6Yo=")</f>
        <v>#VALUE!</v>
      </c>
      <c r="EJ261">
        <f>IF('STERLING CATALOG - FZN &amp; CHILL'!391:391,"AAAAAD+/6Ys=",0)</f>
        <v>0</v>
      </c>
      <c r="EK261" t="e">
        <f>AND('STERLING CATALOG - FZN &amp; CHILL'!A391,"AAAAAD+/6Yw=")</f>
        <v>#VALUE!</v>
      </c>
      <c r="EL261" t="e">
        <f>AND('STERLING CATALOG - FZN &amp; CHILL'!B391,"AAAAAD+/6Y0=")</f>
        <v>#VALUE!</v>
      </c>
      <c r="EM261" t="e">
        <f>AND('STERLING CATALOG - FZN &amp; CHILL'!C391,"AAAAAD+/6Y4=")</f>
        <v>#VALUE!</v>
      </c>
      <c r="EN261" t="e">
        <f>AND('STERLING CATALOG - FZN &amp; CHILL'!D391,"AAAAAD+/6Y8=")</f>
        <v>#VALUE!</v>
      </c>
      <c r="EO261" t="e">
        <f>AND('STERLING CATALOG - FZN &amp; CHILL'!E391,"AAAAAD+/6ZA=")</f>
        <v>#VALUE!</v>
      </c>
      <c r="EP261" t="e">
        <f>AND('STERLING CATALOG - FZN &amp; CHILL'!F391,"AAAAAD+/6ZE=")</f>
        <v>#VALUE!</v>
      </c>
      <c r="EQ261" t="e">
        <f>AND('STERLING CATALOG - FZN &amp; CHILL'!G391,"AAAAAD+/6ZI=")</f>
        <v>#VALUE!</v>
      </c>
      <c r="ER261" t="e">
        <f>AND('STERLING CATALOG - FZN &amp; CHILL'!H391,"AAAAAD+/6ZM=")</f>
        <v>#VALUE!</v>
      </c>
      <c r="ES261" t="e">
        <f>AND('STERLING CATALOG - FZN &amp; CHILL'!I391,"AAAAAD+/6ZQ=")</f>
        <v>#VALUE!</v>
      </c>
      <c r="ET261" t="e">
        <f>AND('STERLING CATALOG - FZN &amp; CHILL'!J391,"AAAAAD+/6ZU=")</f>
        <v>#VALUE!</v>
      </c>
      <c r="EU261">
        <f>IF('STERLING CATALOG - FZN &amp; CHILL'!392:392,"AAAAAD+/6ZY=",0)</f>
        <v>0</v>
      </c>
      <c r="EV261" t="e">
        <f>AND('STERLING CATALOG - FZN &amp; CHILL'!A392,"AAAAAD+/6Zc=")</f>
        <v>#VALUE!</v>
      </c>
      <c r="EW261" t="e">
        <f>AND('STERLING CATALOG - FZN &amp; CHILL'!B392,"AAAAAD+/6Zg=")</f>
        <v>#VALUE!</v>
      </c>
      <c r="EX261" t="e">
        <f>AND('STERLING CATALOG - FZN &amp; CHILL'!C392,"AAAAAD+/6Zk=")</f>
        <v>#VALUE!</v>
      </c>
      <c r="EY261" t="e">
        <f>AND('STERLING CATALOG - FZN &amp; CHILL'!D392,"AAAAAD+/6Zo=")</f>
        <v>#VALUE!</v>
      </c>
      <c r="EZ261" t="e">
        <f>AND('STERLING CATALOG - FZN &amp; CHILL'!E392,"AAAAAD+/6Zs=")</f>
        <v>#VALUE!</v>
      </c>
      <c r="FA261" t="e">
        <f>AND('STERLING CATALOG - FZN &amp; CHILL'!F392,"AAAAAD+/6Zw=")</f>
        <v>#VALUE!</v>
      </c>
      <c r="FB261" t="e">
        <f>AND('STERLING CATALOG - FZN &amp; CHILL'!G392,"AAAAAD+/6Z0=")</f>
        <v>#VALUE!</v>
      </c>
      <c r="FC261" t="e">
        <f>AND('STERLING CATALOG - FZN &amp; CHILL'!H392,"AAAAAD+/6Z4=")</f>
        <v>#VALUE!</v>
      </c>
      <c r="FD261" t="e">
        <f>AND('STERLING CATALOG - FZN &amp; CHILL'!I392,"AAAAAD+/6Z8=")</f>
        <v>#VALUE!</v>
      </c>
      <c r="FE261" t="e">
        <f>AND('STERLING CATALOG - FZN &amp; CHILL'!J392,"AAAAAD+/6aA=")</f>
        <v>#VALUE!</v>
      </c>
      <c r="FF261">
        <f>IF('STERLING CATALOG - FZN &amp; CHILL'!393:393,"AAAAAD+/6aE=",0)</f>
        <v>0</v>
      </c>
      <c r="FG261" t="e">
        <f>AND('STERLING CATALOG - FZN &amp; CHILL'!A393,"AAAAAD+/6aI=")</f>
        <v>#VALUE!</v>
      </c>
      <c r="FH261" t="e">
        <f>AND('STERLING CATALOG - FZN &amp; CHILL'!B393,"AAAAAD+/6aM=")</f>
        <v>#VALUE!</v>
      </c>
      <c r="FI261" t="e">
        <f>AND('STERLING CATALOG - FZN &amp; CHILL'!C393,"AAAAAD+/6aQ=")</f>
        <v>#VALUE!</v>
      </c>
      <c r="FJ261" t="e">
        <f>AND('STERLING CATALOG - FZN &amp; CHILL'!D393,"AAAAAD+/6aU=")</f>
        <v>#VALUE!</v>
      </c>
      <c r="FK261" t="e">
        <f>AND('STERLING CATALOG - FZN &amp; CHILL'!E393,"AAAAAD+/6aY=")</f>
        <v>#VALUE!</v>
      </c>
      <c r="FL261" t="e">
        <f>AND('STERLING CATALOG - FZN &amp; CHILL'!F393,"AAAAAD+/6ac=")</f>
        <v>#VALUE!</v>
      </c>
      <c r="FM261" t="e">
        <f>AND('STERLING CATALOG - FZN &amp; CHILL'!G393,"AAAAAD+/6ag=")</f>
        <v>#VALUE!</v>
      </c>
      <c r="FN261" t="e">
        <f>AND('STERLING CATALOG - FZN &amp; CHILL'!H393,"AAAAAD+/6ak=")</f>
        <v>#VALUE!</v>
      </c>
      <c r="FO261" t="e">
        <f>AND('STERLING CATALOG - FZN &amp; CHILL'!I393,"AAAAAD+/6ao=")</f>
        <v>#VALUE!</v>
      </c>
      <c r="FP261" t="e">
        <f>AND('STERLING CATALOG - FZN &amp; CHILL'!J393,"AAAAAD+/6as=")</f>
        <v>#VALUE!</v>
      </c>
      <c r="FQ261">
        <f>IF('STERLING CATALOG - FZN &amp; CHILL'!394:394,"AAAAAD+/6aw=",0)</f>
        <v>0</v>
      </c>
      <c r="FR261" t="e">
        <f>AND('STERLING CATALOG - FZN &amp; CHILL'!A394,"AAAAAD+/6a0=")</f>
        <v>#VALUE!</v>
      </c>
      <c r="FS261" t="e">
        <f>AND('STERLING CATALOG - FZN &amp; CHILL'!B394,"AAAAAD+/6a4=")</f>
        <v>#VALUE!</v>
      </c>
      <c r="FT261" t="e">
        <f>AND('STERLING CATALOG - FZN &amp; CHILL'!C394,"AAAAAD+/6a8=")</f>
        <v>#VALUE!</v>
      </c>
      <c r="FU261" t="e">
        <f>AND('STERLING CATALOG - FZN &amp; CHILL'!D394,"AAAAAD+/6bA=")</f>
        <v>#VALUE!</v>
      </c>
      <c r="FV261" t="e">
        <f>AND('STERLING CATALOG - FZN &amp; CHILL'!E394,"AAAAAD+/6bE=")</f>
        <v>#VALUE!</v>
      </c>
      <c r="FW261" t="e">
        <f>AND('STERLING CATALOG - FZN &amp; CHILL'!F394,"AAAAAD+/6bI=")</f>
        <v>#VALUE!</v>
      </c>
      <c r="FX261" t="e">
        <f>AND('STERLING CATALOG - FZN &amp; CHILL'!G394,"AAAAAD+/6bM=")</f>
        <v>#VALUE!</v>
      </c>
      <c r="FY261" t="e">
        <f>AND('STERLING CATALOG - FZN &amp; CHILL'!H394,"AAAAAD+/6bQ=")</f>
        <v>#VALUE!</v>
      </c>
      <c r="FZ261" t="e">
        <f>AND('STERLING CATALOG - FZN &amp; CHILL'!I394,"AAAAAD+/6bU=")</f>
        <v>#VALUE!</v>
      </c>
      <c r="GA261" t="e">
        <f>AND('STERLING CATALOG - FZN &amp; CHILL'!J394,"AAAAAD+/6bY=")</f>
        <v>#VALUE!</v>
      </c>
      <c r="GB261">
        <f>IF('STERLING CATALOG - FZN &amp; CHILL'!395:395,"AAAAAD+/6bc=",0)</f>
        <v>0</v>
      </c>
      <c r="GC261" t="e">
        <f>AND('STERLING CATALOG - FZN &amp; CHILL'!A395,"AAAAAD+/6bg=")</f>
        <v>#VALUE!</v>
      </c>
      <c r="GD261" t="e">
        <f>AND('STERLING CATALOG - FZN &amp; CHILL'!B395,"AAAAAD+/6bk=")</f>
        <v>#VALUE!</v>
      </c>
      <c r="GE261" t="e">
        <f>AND('STERLING CATALOG - FZN &amp; CHILL'!C395,"AAAAAD+/6bo=")</f>
        <v>#VALUE!</v>
      </c>
      <c r="GF261" t="e">
        <f>AND('STERLING CATALOG - FZN &amp; CHILL'!D395,"AAAAAD+/6bs=")</f>
        <v>#VALUE!</v>
      </c>
      <c r="GG261" t="e">
        <f>AND('STERLING CATALOG - FZN &amp; CHILL'!E395,"AAAAAD+/6bw=")</f>
        <v>#VALUE!</v>
      </c>
      <c r="GH261" t="e">
        <f>AND('STERLING CATALOG - FZN &amp; CHILL'!F395,"AAAAAD+/6b0=")</f>
        <v>#VALUE!</v>
      </c>
      <c r="GI261" t="e">
        <f>AND('STERLING CATALOG - FZN &amp; CHILL'!G395,"AAAAAD+/6b4=")</f>
        <v>#VALUE!</v>
      </c>
      <c r="GJ261" t="e">
        <f>AND('STERLING CATALOG - FZN &amp; CHILL'!H395,"AAAAAD+/6b8=")</f>
        <v>#VALUE!</v>
      </c>
      <c r="GK261" t="e">
        <f>AND('STERLING CATALOG - FZN &amp; CHILL'!I395,"AAAAAD+/6cA=")</f>
        <v>#VALUE!</v>
      </c>
      <c r="GL261" t="e">
        <f>AND('STERLING CATALOG - FZN &amp; CHILL'!J395,"AAAAAD+/6cE=")</f>
        <v>#VALUE!</v>
      </c>
      <c r="GM261">
        <f>IF('STERLING CATALOG - FZN &amp; CHILL'!396:396,"AAAAAD+/6cI=",0)</f>
        <v>0</v>
      </c>
      <c r="GN261" t="e">
        <f>AND('STERLING CATALOG - FZN &amp; CHILL'!A396,"AAAAAD+/6cM=")</f>
        <v>#VALUE!</v>
      </c>
      <c r="GO261" t="e">
        <f>AND('STERLING CATALOG - FZN &amp; CHILL'!B396,"AAAAAD+/6cQ=")</f>
        <v>#VALUE!</v>
      </c>
      <c r="GP261" t="e">
        <f>AND('STERLING CATALOG - FZN &amp; CHILL'!C396,"AAAAAD+/6cU=")</f>
        <v>#VALUE!</v>
      </c>
      <c r="GQ261" t="e">
        <f>AND('STERLING CATALOG - FZN &amp; CHILL'!D396,"AAAAAD+/6cY=")</f>
        <v>#VALUE!</v>
      </c>
      <c r="GR261" t="e">
        <f>AND('STERLING CATALOG - FZN &amp; CHILL'!E396,"AAAAAD+/6cc=")</f>
        <v>#VALUE!</v>
      </c>
      <c r="GS261" t="e">
        <f>AND('STERLING CATALOG - FZN &amp; CHILL'!F396,"AAAAAD+/6cg=")</f>
        <v>#VALUE!</v>
      </c>
      <c r="GT261" t="e">
        <f>AND('STERLING CATALOG - FZN &amp; CHILL'!G396,"AAAAAD+/6ck=")</f>
        <v>#VALUE!</v>
      </c>
      <c r="GU261" t="e">
        <f>AND('STERLING CATALOG - FZN &amp; CHILL'!H396,"AAAAAD+/6co=")</f>
        <v>#VALUE!</v>
      </c>
      <c r="GV261" t="e">
        <f>AND('STERLING CATALOG - FZN &amp; CHILL'!I396,"AAAAAD+/6cs=")</f>
        <v>#VALUE!</v>
      </c>
      <c r="GW261" t="e">
        <f>AND('STERLING CATALOG - FZN &amp; CHILL'!J396,"AAAAAD+/6cw=")</f>
        <v>#VALUE!</v>
      </c>
      <c r="GX261">
        <f>IF('STERLING CATALOG - FZN &amp; CHILL'!397:397,"AAAAAD+/6c0=",0)</f>
        <v>0</v>
      </c>
      <c r="GY261" t="e">
        <f>AND('STERLING CATALOG - FZN &amp; CHILL'!A397,"AAAAAD+/6c4=")</f>
        <v>#VALUE!</v>
      </c>
      <c r="GZ261" t="e">
        <f>AND('STERLING CATALOG - FZN &amp; CHILL'!B397,"AAAAAD+/6c8=")</f>
        <v>#VALUE!</v>
      </c>
      <c r="HA261" t="e">
        <f>AND('STERLING CATALOG - FZN &amp; CHILL'!C397,"AAAAAD+/6dA=")</f>
        <v>#VALUE!</v>
      </c>
      <c r="HB261" t="e">
        <f>AND('STERLING CATALOG - FZN &amp; CHILL'!D397,"AAAAAD+/6dE=")</f>
        <v>#VALUE!</v>
      </c>
      <c r="HC261" t="e">
        <f>AND('STERLING CATALOG - FZN &amp; CHILL'!E397,"AAAAAD+/6dI=")</f>
        <v>#VALUE!</v>
      </c>
      <c r="HD261" t="e">
        <f>AND('STERLING CATALOG - FZN &amp; CHILL'!F397,"AAAAAD+/6dM=")</f>
        <v>#VALUE!</v>
      </c>
      <c r="HE261" t="e">
        <f>AND('STERLING CATALOG - FZN &amp; CHILL'!G397,"AAAAAD+/6dQ=")</f>
        <v>#VALUE!</v>
      </c>
      <c r="HF261" t="e">
        <f>AND('STERLING CATALOG - FZN &amp; CHILL'!H397,"AAAAAD+/6dU=")</f>
        <v>#VALUE!</v>
      </c>
      <c r="HG261" t="e">
        <f>AND('STERLING CATALOG - FZN &amp; CHILL'!I397,"AAAAAD+/6dY=")</f>
        <v>#VALUE!</v>
      </c>
      <c r="HH261" t="e">
        <f>AND('STERLING CATALOG - FZN &amp; CHILL'!J397,"AAAAAD+/6dc=")</f>
        <v>#VALUE!</v>
      </c>
      <c r="HI261">
        <f>IF('STERLING CATALOG - FZN &amp; CHILL'!398:398,"AAAAAD+/6dg=",0)</f>
        <v>0</v>
      </c>
      <c r="HJ261" t="e">
        <f>AND('STERLING CATALOG - FZN &amp; CHILL'!A398,"AAAAAD+/6dk=")</f>
        <v>#VALUE!</v>
      </c>
      <c r="HK261" t="e">
        <f>AND('STERLING CATALOG - FZN &amp; CHILL'!B398,"AAAAAD+/6do=")</f>
        <v>#VALUE!</v>
      </c>
      <c r="HL261" t="e">
        <f>AND('STERLING CATALOG - FZN &amp; CHILL'!C398,"AAAAAD+/6ds=")</f>
        <v>#VALUE!</v>
      </c>
      <c r="HM261" t="e">
        <f>AND('STERLING CATALOG - FZN &amp; CHILL'!D398,"AAAAAD+/6dw=")</f>
        <v>#VALUE!</v>
      </c>
      <c r="HN261" t="e">
        <f>AND('STERLING CATALOG - FZN &amp; CHILL'!E398,"AAAAAD+/6d0=")</f>
        <v>#VALUE!</v>
      </c>
      <c r="HO261" t="e">
        <f>AND('STERLING CATALOG - FZN &amp; CHILL'!F398,"AAAAAD+/6d4=")</f>
        <v>#VALUE!</v>
      </c>
      <c r="HP261" t="e">
        <f>AND('STERLING CATALOG - FZN &amp; CHILL'!G398,"AAAAAD+/6d8=")</f>
        <v>#VALUE!</v>
      </c>
      <c r="HQ261" t="e">
        <f>AND('STERLING CATALOG - FZN &amp; CHILL'!H398,"AAAAAD+/6eA=")</f>
        <v>#VALUE!</v>
      </c>
      <c r="HR261" t="e">
        <f>AND('STERLING CATALOG - FZN &amp; CHILL'!I398,"AAAAAD+/6eE=")</f>
        <v>#VALUE!</v>
      </c>
      <c r="HS261" t="e">
        <f>AND('STERLING CATALOG - FZN &amp; CHILL'!J398,"AAAAAD+/6eI=")</f>
        <v>#VALUE!</v>
      </c>
      <c r="HT261">
        <f>IF('STERLING CATALOG - FZN &amp; CHILL'!399:399,"AAAAAD+/6eM=",0)</f>
        <v>0</v>
      </c>
      <c r="HU261" t="e">
        <f>AND('STERLING CATALOG - FZN &amp; CHILL'!A399,"AAAAAD+/6eQ=")</f>
        <v>#VALUE!</v>
      </c>
      <c r="HV261" t="e">
        <f>AND('STERLING CATALOG - FZN &amp; CHILL'!B399,"AAAAAD+/6eU=")</f>
        <v>#VALUE!</v>
      </c>
      <c r="HW261" t="e">
        <f>AND('STERLING CATALOG - FZN &amp; CHILL'!C399,"AAAAAD+/6eY=")</f>
        <v>#VALUE!</v>
      </c>
      <c r="HX261" t="e">
        <f>AND('STERLING CATALOG - FZN &amp; CHILL'!D399,"AAAAAD+/6ec=")</f>
        <v>#VALUE!</v>
      </c>
      <c r="HY261" t="e">
        <f>AND('STERLING CATALOG - FZN &amp; CHILL'!E399,"AAAAAD+/6eg=")</f>
        <v>#VALUE!</v>
      </c>
      <c r="HZ261" t="e">
        <f>AND('STERLING CATALOG - FZN &amp; CHILL'!F399,"AAAAAD+/6ek=")</f>
        <v>#VALUE!</v>
      </c>
      <c r="IA261" t="e">
        <f>AND('STERLING CATALOG - FZN &amp; CHILL'!G399,"AAAAAD+/6eo=")</f>
        <v>#VALUE!</v>
      </c>
      <c r="IB261" t="e">
        <f>AND('STERLING CATALOG - FZN &amp; CHILL'!H399,"AAAAAD+/6es=")</f>
        <v>#VALUE!</v>
      </c>
      <c r="IC261" t="e">
        <f>AND('STERLING CATALOG - FZN &amp; CHILL'!I399,"AAAAAD+/6ew=")</f>
        <v>#VALUE!</v>
      </c>
      <c r="ID261" t="e">
        <f>AND('STERLING CATALOG - FZN &amp; CHILL'!J399,"AAAAAD+/6e0=")</f>
        <v>#VALUE!</v>
      </c>
      <c r="IE261">
        <f>IF('STERLING CATALOG - FZN &amp; CHILL'!400:400,"AAAAAD+/6e4=",0)</f>
        <v>0</v>
      </c>
      <c r="IF261" t="e">
        <f>AND('STERLING CATALOG - FZN &amp; CHILL'!A400,"AAAAAD+/6e8=")</f>
        <v>#VALUE!</v>
      </c>
      <c r="IG261" t="e">
        <f>AND('STERLING CATALOG - FZN &amp; CHILL'!B400,"AAAAAD+/6fA=")</f>
        <v>#VALUE!</v>
      </c>
      <c r="IH261" t="e">
        <f>AND('STERLING CATALOG - FZN &amp; CHILL'!C400,"AAAAAD+/6fE=")</f>
        <v>#VALUE!</v>
      </c>
      <c r="II261" t="e">
        <f>AND('STERLING CATALOG - FZN &amp; CHILL'!D400,"AAAAAD+/6fI=")</f>
        <v>#VALUE!</v>
      </c>
      <c r="IJ261" t="e">
        <f>AND('STERLING CATALOG - FZN &amp; CHILL'!E400,"AAAAAD+/6fM=")</f>
        <v>#VALUE!</v>
      </c>
      <c r="IK261" t="e">
        <f>AND('STERLING CATALOG - FZN &amp; CHILL'!F400,"AAAAAD+/6fQ=")</f>
        <v>#VALUE!</v>
      </c>
      <c r="IL261" t="e">
        <f>AND('STERLING CATALOG - FZN &amp; CHILL'!G400,"AAAAAD+/6fU=")</f>
        <v>#VALUE!</v>
      </c>
      <c r="IM261" t="e">
        <f>AND('STERLING CATALOG - FZN &amp; CHILL'!H400,"AAAAAD+/6fY=")</f>
        <v>#VALUE!</v>
      </c>
      <c r="IN261" t="e">
        <f>AND('STERLING CATALOG - FZN &amp; CHILL'!I400,"AAAAAD+/6fc=")</f>
        <v>#VALUE!</v>
      </c>
      <c r="IO261" t="e">
        <f>AND('STERLING CATALOG - FZN &amp; CHILL'!J400,"AAAAAD+/6fg=")</f>
        <v>#VALUE!</v>
      </c>
      <c r="IP261">
        <f>IF('STERLING CATALOG - FZN &amp; CHILL'!401:401,"AAAAAD+/6fk=",0)</f>
        <v>0</v>
      </c>
      <c r="IQ261" t="e">
        <f>AND('STERLING CATALOG - FZN &amp; CHILL'!A401,"AAAAAD+/6fo=")</f>
        <v>#VALUE!</v>
      </c>
      <c r="IR261" t="e">
        <f>AND('STERLING CATALOG - FZN &amp; CHILL'!B401,"AAAAAD+/6fs=")</f>
        <v>#VALUE!</v>
      </c>
      <c r="IS261" t="e">
        <f>AND('STERLING CATALOG - FZN &amp; CHILL'!C401,"AAAAAD+/6fw=")</f>
        <v>#VALUE!</v>
      </c>
      <c r="IT261" t="e">
        <f>AND('STERLING CATALOG - FZN &amp; CHILL'!D401,"AAAAAD+/6f0=")</f>
        <v>#VALUE!</v>
      </c>
      <c r="IU261" t="e">
        <f>AND('STERLING CATALOG - FZN &amp; CHILL'!E401,"AAAAAD+/6f4=")</f>
        <v>#VALUE!</v>
      </c>
      <c r="IV261" t="e">
        <f>AND('STERLING CATALOG - FZN &amp; CHILL'!F401,"AAAAAD+/6f8=")</f>
        <v>#VALUE!</v>
      </c>
    </row>
    <row r="262" spans="1:256">
      <c r="A262" t="e">
        <f>AND('STERLING CATALOG - FZN &amp; CHILL'!G401,"AAAAAHvvuwA=")</f>
        <v>#VALUE!</v>
      </c>
      <c r="B262" t="e">
        <f>AND('STERLING CATALOG - FZN &amp; CHILL'!H401,"AAAAAHvvuwE=")</f>
        <v>#VALUE!</v>
      </c>
      <c r="C262" t="e">
        <f>AND('STERLING CATALOG - FZN &amp; CHILL'!I401,"AAAAAHvvuwI=")</f>
        <v>#VALUE!</v>
      </c>
      <c r="D262" t="e">
        <f>AND('STERLING CATALOG - FZN &amp; CHILL'!J401,"AAAAAHvvuwM=")</f>
        <v>#VALUE!</v>
      </c>
      <c r="E262" t="e">
        <f>IF('STERLING CATALOG - FZN &amp; CHILL'!402:402,"AAAAAHvvuwQ=",0)</f>
        <v>#VALUE!</v>
      </c>
      <c r="F262" t="e">
        <f>AND('STERLING CATALOG - FZN &amp; CHILL'!A402,"AAAAAHvvuwU=")</f>
        <v>#VALUE!</v>
      </c>
      <c r="G262" t="e">
        <f>AND('STERLING CATALOG - FZN &amp; CHILL'!B402,"AAAAAHvvuwY=")</f>
        <v>#VALUE!</v>
      </c>
      <c r="H262" t="e">
        <f>AND('STERLING CATALOG - FZN &amp; CHILL'!C402,"AAAAAHvvuwc=")</f>
        <v>#VALUE!</v>
      </c>
      <c r="I262" t="e">
        <f>AND('STERLING CATALOG - FZN &amp; CHILL'!D402,"AAAAAHvvuwg=")</f>
        <v>#VALUE!</v>
      </c>
      <c r="J262" t="e">
        <f>AND('STERLING CATALOG - FZN &amp; CHILL'!E402,"AAAAAHvvuwk=")</f>
        <v>#VALUE!</v>
      </c>
      <c r="K262" t="e">
        <f>AND('STERLING CATALOG - FZN &amp; CHILL'!F402,"AAAAAHvvuwo=")</f>
        <v>#VALUE!</v>
      </c>
      <c r="L262" t="e">
        <f>AND('STERLING CATALOG - FZN &amp; CHILL'!G402,"AAAAAHvvuws=")</f>
        <v>#VALUE!</v>
      </c>
      <c r="M262" t="e">
        <f>AND('STERLING CATALOG - FZN &amp; CHILL'!H402,"AAAAAHvvuww=")</f>
        <v>#VALUE!</v>
      </c>
      <c r="N262" t="e">
        <f>AND('STERLING CATALOG - FZN &amp; CHILL'!I402,"AAAAAHvvuw0=")</f>
        <v>#VALUE!</v>
      </c>
      <c r="O262" t="e">
        <f>AND('STERLING CATALOG - FZN &amp; CHILL'!J402,"AAAAAHvvuw4=")</f>
        <v>#VALUE!</v>
      </c>
      <c r="P262">
        <f>IF('STERLING CATALOG - FZN &amp; CHILL'!403:403,"AAAAAHvvuw8=",0)</f>
        <v>0</v>
      </c>
      <c r="Q262" t="e">
        <f>AND('STERLING CATALOG - FZN &amp; CHILL'!A403,"AAAAAHvvuxA=")</f>
        <v>#VALUE!</v>
      </c>
      <c r="R262" t="e">
        <f>AND('STERLING CATALOG - FZN &amp; CHILL'!B403,"AAAAAHvvuxE=")</f>
        <v>#VALUE!</v>
      </c>
      <c r="S262" t="e">
        <f>AND('STERLING CATALOG - FZN &amp; CHILL'!C403,"AAAAAHvvuxI=")</f>
        <v>#VALUE!</v>
      </c>
      <c r="T262" t="e">
        <f>AND('STERLING CATALOG - FZN &amp; CHILL'!D403,"AAAAAHvvuxM=")</f>
        <v>#VALUE!</v>
      </c>
      <c r="U262" t="e">
        <f>AND('STERLING CATALOG - FZN &amp; CHILL'!E403,"AAAAAHvvuxQ=")</f>
        <v>#VALUE!</v>
      </c>
      <c r="V262" t="e">
        <f>AND('STERLING CATALOG - FZN &amp; CHILL'!F403,"AAAAAHvvuxU=")</f>
        <v>#VALUE!</v>
      </c>
      <c r="W262" t="e">
        <f>AND('STERLING CATALOG - FZN &amp; CHILL'!G403,"AAAAAHvvuxY=")</f>
        <v>#VALUE!</v>
      </c>
      <c r="X262" t="e">
        <f>AND('STERLING CATALOG - FZN &amp; CHILL'!H403,"AAAAAHvvuxc=")</f>
        <v>#VALUE!</v>
      </c>
      <c r="Y262" t="e">
        <f>AND('STERLING CATALOG - FZN &amp; CHILL'!I403,"AAAAAHvvuxg=")</f>
        <v>#VALUE!</v>
      </c>
      <c r="Z262" t="e">
        <f>AND('STERLING CATALOG - FZN &amp; CHILL'!J403,"AAAAAHvvuxk=")</f>
        <v>#VALUE!</v>
      </c>
      <c r="AA262">
        <f>IF('STERLING CATALOG - FZN &amp; CHILL'!404:404,"AAAAAHvvuxo=",0)</f>
        <v>0</v>
      </c>
      <c r="AB262" t="e">
        <f>AND('STERLING CATALOG - FZN &amp; CHILL'!A404,"AAAAAHvvuxs=")</f>
        <v>#VALUE!</v>
      </c>
      <c r="AC262" t="e">
        <f>AND('STERLING CATALOG - FZN &amp; CHILL'!B404,"AAAAAHvvuxw=")</f>
        <v>#VALUE!</v>
      </c>
      <c r="AD262" t="e">
        <f>AND('STERLING CATALOG - FZN &amp; CHILL'!C404,"AAAAAHvvux0=")</f>
        <v>#VALUE!</v>
      </c>
      <c r="AE262" t="e">
        <f>AND('STERLING CATALOG - FZN &amp; CHILL'!D404,"AAAAAHvvux4=")</f>
        <v>#VALUE!</v>
      </c>
      <c r="AF262" t="e">
        <f>AND('STERLING CATALOG - FZN &amp; CHILL'!E404,"AAAAAHvvux8=")</f>
        <v>#VALUE!</v>
      </c>
      <c r="AG262" t="e">
        <f>AND('STERLING CATALOG - FZN &amp; CHILL'!F404,"AAAAAHvvuyA=")</f>
        <v>#VALUE!</v>
      </c>
      <c r="AH262" t="e">
        <f>AND('STERLING CATALOG - FZN &amp; CHILL'!G404,"AAAAAHvvuyE=")</f>
        <v>#VALUE!</v>
      </c>
      <c r="AI262" t="e">
        <f>AND('STERLING CATALOG - FZN &amp; CHILL'!H404,"AAAAAHvvuyI=")</f>
        <v>#VALUE!</v>
      </c>
      <c r="AJ262" t="e">
        <f>AND('STERLING CATALOG - FZN &amp; CHILL'!I404,"AAAAAHvvuyM=")</f>
        <v>#VALUE!</v>
      </c>
      <c r="AK262" t="e">
        <f>AND('STERLING CATALOG - FZN &amp; CHILL'!J404,"AAAAAHvvuyQ=")</f>
        <v>#VALUE!</v>
      </c>
      <c r="AL262">
        <f>IF('STERLING CATALOG - FZN &amp; CHILL'!405:405,"AAAAAHvvuyU=",0)</f>
        <v>0</v>
      </c>
      <c r="AM262" t="e">
        <f>AND('STERLING CATALOG - FZN &amp; CHILL'!A405,"AAAAAHvvuyY=")</f>
        <v>#VALUE!</v>
      </c>
      <c r="AN262" t="e">
        <f>AND('STERLING CATALOG - FZN &amp; CHILL'!B405,"AAAAAHvvuyc=")</f>
        <v>#VALUE!</v>
      </c>
      <c r="AO262" t="e">
        <f>AND('STERLING CATALOG - FZN &amp; CHILL'!C405,"AAAAAHvvuyg=")</f>
        <v>#VALUE!</v>
      </c>
      <c r="AP262" t="e">
        <f>AND('STERLING CATALOG - FZN &amp; CHILL'!D405,"AAAAAHvvuyk=")</f>
        <v>#VALUE!</v>
      </c>
      <c r="AQ262" t="e">
        <f>AND('STERLING CATALOG - FZN &amp; CHILL'!E405,"AAAAAHvvuyo=")</f>
        <v>#VALUE!</v>
      </c>
      <c r="AR262" t="e">
        <f>AND('STERLING CATALOG - FZN &amp; CHILL'!F405,"AAAAAHvvuys=")</f>
        <v>#VALUE!</v>
      </c>
      <c r="AS262" t="e">
        <f>AND('STERLING CATALOG - FZN &amp; CHILL'!G405,"AAAAAHvvuyw=")</f>
        <v>#VALUE!</v>
      </c>
      <c r="AT262" t="e">
        <f>AND('STERLING CATALOG - FZN &amp; CHILL'!H405,"AAAAAHvvuy0=")</f>
        <v>#VALUE!</v>
      </c>
      <c r="AU262" t="e">
        <f>AND('STERLING CATALOG - FZN &amp; CHILL'!I405,"AAAAAHvvuy4=")</f>
        <v>#VALUE!</v>
      </c>
      <c r="AV262" t="e">
        <f>AND('STERLING CATALOG - FZN &amp; CHILL'!J405,"AAAAAHvvuy8=")</f>
        <v>#VALUE!</v>
      </c>
      <c r="AW262">
        <f>IF('STERLING CATALOG - FZN &amp; CHILL'!406:406,"AAAAAHvvuzA=",0)</f>
        <v>0</v>
      </c>
      <c r="AX262" t="e">
        <f>AND('STERLING CATALOG - FZN &amp; CHILL'!A406,"AAAAAHvvuzE=")</f>
        <v>#VALUE!</v>
      </c>
      <c r="AY262" t="e">
        <f>AND('STERLING CATALOG - FZN &amp; CHILL'!B406,"AAAAAHvvuzI=")</f>
        <v>#VALUE!</v>
      </c>
      <c r="AZ262" t="e">
        <f>AND('STERLING CATALOG - FZN &amp; CHILL'!C406,"AAAAAHvvuzM=")</f>
        <v>#VALUE!</v>
      </c>
      <c r="BA262" t="e">
        <f>AND('STERLING CATALOG - FZN &amp; CHILL'!D406,"AAAAAHvvuzQ=")</f>
        <v>#VALUE!</v>
      </c>
      <c r="BB262" t="e">
        <f>AND('STERLING CATALOG - FZN &amp; CHILL'!E406,"AAAAAHvvuzU=")</f>
        <v>#VALUE!</v>
      </c>
      <c r="BC262" t="e">
        <f>AND('STERLING CATALOG - FZN &amp; CHILL'!F406,"AAAAAHvvuzY=")</f>
        <v>#VALUE!</v>
      </c>
      <c r="BD262" t="e">
        <f>AND('STERLING CATALOG - FZN &amp; CHILL'!G406,"AAAAAHvvuzc=")</f>
        <v>#VALUE!</v>
      </c>
      <c r="BE262" t="e">
        <f>AND('STERLING CATALOG - FZN &amp; CHILL'!H406,"AAAAAHvvuzg=")</f>
        <v>#VALUE!</v>
      </c>
      <c r="BF262" t="e">
        <f>AND('STERLING CATALOG - FZN &amp; CHILL'!I406,"AAAAAHvvuzk=")</f>
        <v>#VALUE!</v>
      </c>
      <c r="BG262" t="e">
        <f>AND('STERLING CATALOG - FZN &amp; CHILL'!J406,"AAAAAHvvuzo=")</f>
        <v>#VALUE!</v>
      </c>
      <c r="BH262">
        <f>IF('STERLING CATALOG - FZN &amp; CHILL'!407:407,"AAAAAHvvuzs=",0)</f>
        <v>0</v>
      </c>
      <c r="BI262" t="e">
        <f>AND('STERLING CATALOG - FZN &amp; CHILL'!A407,"AAAAAHvvuzw=")</f>
        <v>#VALUE!</v>
      </c>
      <c r="BJ262" t="e">
        <f>AND('STERLING CATALOG - FZN &amp; CHILL'!B407,"AAAAAHvvuz0=")</f>
        <v>#VALUE!</v>
      </c>
      <c r="BK262" t="e">
        <f>AND('STERLING CATALOG - FZN &amp; CHILL'!C407,"AAAAAHvvuz4=")</f>
        <v>#VALUE!</v>
      </c>
      <c r="BL262" t="e">
        <f>AND('STERLING CATALOG - FZN &amp; CHILL'!D407,"AAAAAHvvuz8=")</f>
        <v>#VALUE!</v>
      </c>
      <c r="BM262" t="e">
        <f>AND('STERLING CATALOG - FZN &amp; CHILL'!E407,"AAAAAHvvu0A=")</f>
        <v>#VALUE!</v>
      </c>
      <c r="BN262" t="e">
        <f>AND('STERLING CATALOG - FZN &amp; CHILL'!F407,"AAAAAHvvu0E=")</f>
        <v>#VALUE!</v>
      </c>
      <c r="BO262" t="e">
        <f>AND('STERLING CATALOG - FZN &amp; CHILL'!G407,"AAAAAHvvu0I=")</f>
        <v>#VALUE!</v>
      </c>
      <c r="BP262" t="e">
        <f>AND('STERLING CATALOG - FZN &amp; CHILL'!H407,"AAAAAHvvu0M=")</f>
        <v>#VALUE!</v>
      </c>
      <c r="BQ262" t="e">
        <f>AND('STERLING CATALOG - FZN &amp; CHILL'!I407,"AAAAAHvvu0Q=")</f>
        <v>#VALUE!</v>
      </c>
      <c r="BR262" t="e">
        <f>AND('STERLING CATALOG - FZN &amp; CHILL'!J407,"AAAAAHvvu0U=")</f>
        <v>#VALUE!</v>
      </c>
      <c r="BS262">
        <f>IF('STERLING CATALOG - FZN &amp; CHILL'!408:408,"AAAAAHvvu0Y=",0)</f>
        <v>0</v>
      </c>
      <c r="BT262" t="e">
        <f>AND('STERLING CATALOG - FZN &amp; CHILL'!A408,"AAAAAHvvu0c=")</f>
        <v>#VALUE!</v>
      </c>
      <c r="BU262" t="e">
        <f>AND('STERLING CATALOG - FZN &amp; CHILL'!B408,"AAAAAHvvu0g=")</f>
        <v>#VALUE!</v>
      </c>
      <c r="BV262" t="e">
        <f>AND('STERLING CATALOG - FZN &amp; CHILL'!C408,"AAAAAHvvu0k=")</f>
        <v>#VALUE!</v>
      </c>
      <c r="BW262" t="e">
        <f>AND('STERLING CATALOG - FZN &amp; CHILL'!D408,"AAAAAHvvu0o=")</f>
        <v>#VALUE!</v>
      </c>
      <c r="BX262" t="e">
        <f>AND('STERLING CATALOG - FZN &amp; CHILL'!E408,"AAAAAHvvu0s=")</f>
        <v>#VALUE!</v>
      </c>
      <c r="BY262" t="e">
        <f>AND('STERLING CATALOG - FZN &amp; CHILL'!F408,"AAAAAHvvu0w=")</f>
        <v>#VALUE!</v>
      </c>
      <c r="BZ262" t="e">
        <f>AND('STERLING CATALOG - FZN &amp; CHILL'!G408,"AAAAAHvvu00=")</f>
        <v>#VALUE!</v>
      </c>
      <c r="CA262" t="e">
        <f>AND('STERLING CATALOG - FZN &amp; CHILL'!H408,"AAAAAHvvu04=")</f>
        <v>#VALUE!</v>
      </c>
      <c r="CB262" t="e">
        <f>AND('STERLING CATALOG - FZN &amp; CHILL'!I408,"AAAAAHvvu08=")</f>
        <v>#VALUE!</v>
      </c>
      <c r="CC262" t="e">
        <f>AND('STERLING CATALOG - FZN &amp; CHILL'!J408,"AAAAAHvvu1A=")</f>
        <v>#VALUE!</v>
      </c>
      <c r="CD262">
        <f>IF('STERLING CATALOG - FZN &amp; CHILL'!409:409,"AAAAAHvvu1E=",0)</f>
        <v>0</v>
      </c>
      <c r="CE262" t="e">
        <f>AND('STERLING CATALOG - FZN &amp; CHILL'!A409,"AAAAAHvvu1I=")</f>
        <v>#VALUE!</v>
      </c>
      <c r="CF262" t="e">
        <f>AND('STERLING CATALOG - FZN &amp; CHILL'!B409,"AAAAAHvvu1M=")</f>
        <v>#VALUE!</v>
      </c>
      <c r="CG262" t="e">
        <f>AND('STERLING CATALOG - FZN &amp; CHILL'!C409,"AAAAAHvvu1Q=")</f>
        <v>#VALUE!</v>
      </c>
      <c r="CH262" t="e">
        <f>AND('STERLING CATALOG - FZN &amp; CHILL'!D409,"AAAAAHvvu1U=")</f>
        <v>#VALUE!</v>
      </c>
      <c r="CI262" t="e">
        <f>AND('STERLING CATALOG - FZN &amp; CHILL'!E409,"AAAAAHvvu1Y=")</f>
        <v>#VALUE!</v>
      </c>
      <c r="CJ262" t="e">
        <f>AND('STERLING CATALOG - FZN &amp; CHILL'!F409,"AAAAAHvvu1c=")</f>
        <v>#VALUE!</v>
      </c>
      <c r="CK262" t="e">
        <f>AND('STERLING CATALOG - FZN &amp; CHILL'!G409,"AAAAAHvvu1g=")</f>
        <v>#VALUE!</v>
      </c>
      <c r="CL262" t="e">
        <f>AND('STERLING CATALOG - FZN &amp; CHILL'!H409,"AAAAAHvvu1k=")</f>
        <v>#VALUE!</v>
      </c>
      <c r="CM262" t="e">
        <f>AND('STERLING CATALOG - FZN &amp; CHILL'!I409,"AAAAAHvvu1o=")</f>
        <v>#VALUE!</v>
      </c>
      <c r="CN262" t="e">
        <f>AND('STERLING CATALOG - FZN &amp; CHILL'!J409,"AAAAAHvvu1s=")</f>
        <v>#VALUE!</v>
      </c>
      <c r="CO262">
        <f>IF('STERLING CATALOG - FZN &amp; CHILL'!410:410,"AAAAAHvvu1w=",0)</f>
        <v>0</v>
      </c>
      <c r="CP262" t="e">
        <f>AND('STERLING CATALOG - FZN &amp; CHILL'!A410,"AAAAAHvvu10=")</f>
        <v>#VALUE!</v>
      </c>
      <c r="CQ262" t="e">
        <f>AND('STERLING CATALOG - FZN &amp; CHILL'!B410,"AAAAAHvvu14=")</f>
        <v>#VALUE!</v>
      </c>
      <c r="CR262" t="e">
        <f>AND('STERLING CATALOG - FZN &amp; CHILL'!C410,"AAAAAHvvu18=")</f>
        <v>#VALUE!</v>
      </c>
      <c r="CS262" t="e">
        <f>AND('STERLING CATALOG - FZN &amp; CHILL'!D410,"AAAAAHvvu2A=")</f>
        <v>#VALUE!</v>
      </c>
      <c r="CT262" t="e">
        <f>AND('STERLING CATALOG - FZN &amp; CHILL'!E410,"AAAAAHvvu2E=")</f>
        <v>#VALUE!</v>
      </c>
      <c r="CU262" t="e">
        <f>AND('STERLING CATALOG - FZN &amp; CHILL'!F410,"AAAAAHvvu2I=")</f>
        <v>#VALUE!</v>
      </c>
      <c r="CV262" t="e">
        <f>AND('STERLING CATALOG - FZN &amp; CHILL'!G410,"AAAAAHvvu2M=")</f>
        <v>#VALUE!</v>
      </c>
      <c r="CW262" t="e">
        <f>AND('STERLING CATALOG - FZN &amp; CHILL'!H410,"AAAAAHvvu2Q=")</f>
        <v>#VALUE!</v>
      </c>
      <c r="CX262" t="e">
        <f>AND('STERLING CATALOG - FZN &amp; CHILL'!I410,"AAAAAHvvu2U=")</f>
        <v>#VALUE!</v>
      </c>
      <c r="CY262" t="e">
        <f>AND('STERLING CATALOG - FZN &amp; CHILL'!J410,"AAAAAHvvu2Y=")</f>
        <v>#VALUE!</v>
      </c>
      <c r="CZ262">
        <f>IF('STERLING CATALOG - FZN &amp; CHILL'!411:411,"AAAAAHvvu2c=",0)</f>
        <v>0</v>
      </c>
      <c r="DA262" t="e">
        <f>AND('STERLING CATALOG - FZN &amp; CHILL'!A411,"AAAAAHvvu2g=")</f>
        <v>#VALUE!</v>
      </c>
      <c r="DB262" t="e">
        <f>AND('STERLING CATALOG - FZN &amp; CHILL'!B411,"AAAAAHvvu2k=")</f>
        <v>#VALUE!</v>
      </c>
      <c r="DC262" t="e">
        <f>AND('STERLING CATALOG - FZN &amp; CHILL'!C411,"AAAAAHvvu2o=")</f>
        <v>#VALUE!</v>
      </c>
      <c r="DD262" t="e">
        <f>AND('STERLING CATALOG - FZN &amp; CHILL'!D411,"AAAAAHvvu2s=")</f>
        <v>#VALUE!</v>
      </c>
      <c r="DE262" t="e">
        <f>AND('STERLING CATALOG - FZN &amp; CHILL'!E411,"AAAAAHvvu2w=")</f>
        <v>#VALUE!</v>
      </c>
      <c r="DF262" t="e">
        <f>AND('STERLING CATALOG - FZN &amp; CHILL'!F411,"AAAAAHvvu20=")</f>
        <v>#VALUE!</v>
      </c>
      <c r="DG262" t="e">
        <f>AND('STERLING CATALOG - FZN &amp; CHILL'!G411,"AAAAAHvvu24=")</f>
        <v>#VALUE!</v>
      </c>
      <c r="DH262" t="e">
        <f>AND('STERLING CATALOG - FZN &amp; CHILL'!H411,"AAAAAHvvu28=")</f>
        <v>#VALUE!</v>
      </c>
      <c r="DI262" t="e">
        <f>AND('STERLING CATALOG - FZN &amp; CHILL'!I411,"AAAAAHvvu3A=")</f>
        <v>#VALUE!</v>
      </c>
      <c r="DJ262" t="e">
        <f>AND('STERLING CATALOG - FZN &amp; CHILL'!J411,"AAAAAHvvu3E=")</f>
        <v>#VALUE!</v>
      </c>
      <c r="DK262">
        <f>IF('STERLING CATALOG - FZN &amp; CHILL'!412:412,"AAAAAHvvu3I=",0)</f>
        <v>0</v>
      </c>
      <c r="DL262" t="e">
        <f>AND('STERLING CATALOG - FZN &amp; CHILL'!A412,"AAAAAHvvu3M=")</f>
        <v>#VALUE!</v>
      </c>
      <c r="DM262" t="e">
        <f>AND('STERLING CATALOG - FZN &amp; CHILL'!B412,"AAAAAHvvu3Q=")</f>
        <v>#VALUE!</v>
      </c>
      <c r="DN262" t="e">
        <f>AND('STERLING CATALOG - FZN &amp; CHILL'!C412,"AAAAAHvvu3U=")</f>
        <v>#VALUE!</v>
      </c>
      <c r="DO262" t="e">
        <f>AND('STERLING CATALOG - FZN &amp; CHILL'!D412,"AAAAAHvvu3Y=")</f>
        <v>#VALUE!</v>
      </c>
      <c r="DP262" t="e">
        <f>AND('STERLING CATALOG - FZN &amp; CHILL'!E412,"AAAAAHvvu3c=")</f>
        <v>#VALUE!</v>
      </c>
      <c r="DQ262" t="e">
        <f>AND('STERLING CATALOG - FZN &amp; CHILL'!F412,"AAAAAHvvu3g=")</f>
        <v>#VALUE!</v>
      </c>
      <c r="DR262" t="e">
        <f>AND('STERLING CATALOG - FZN &amp; CHILL'!G412,"AAAAAHvvu3k=")</f>
        <v>#VALUE!</v>
      </c>
      <c r="DS262" t="e">
        <f>AND('STERLING CATALOG - FZN &amp; CHILL'!H412,"AAAAAHvvu3o=")</f>
        <v>#VALUE!</v>
      </c>
      <c r="DT262" t="e">
        <f>AND('STERLING CATALOG - FZN &amp; CHILL'!I412,"AAAAAHvvu3s=")</f>
        <v>#VALUE!</v>
      </c>
      <c r="DU262" t="e">
        <f>AND('STERLING CATALOG - FZN &amp; CHILL'!J412,"AAAAAHvvu3w=")</f>
        <v>#VALUE!</v>
      </c>
      <c r="DV262">
        <f>IF('STERLING CATALOG - FZN &amp; CHILL'!413:413,"AAAAAHvvu30=",0)</f>
        <v>0</v>
      </c>
      <c r="DW262" t="e">
        <f>AND('STERLING CATALOG - FZN &amp; CHILL'!A413,"AAAAAHvvu34=")</f>
        <v>#VALUE!</v>
      </c>
      <c r="DX262" t="e">
        <f>AND('STERLING CATALOG - FZN &amp; CHILL'!B413,"AAAAAHvvu38=")</f>
        <v>#VALUE!</v>
      </c>
      <c r="DY262" t="e">
        <f>AND('STERLING CATALOG - FZN &amp; CHILL'!C413,"AAAAAHvvu4A=")</f>
        <v>#VALUE!</v>
      </c>
      <c r="DZ262" t="e">
        <f>AND('STERLING CATALOG - FZN &amp; CHILL'!D413,"AAAAAHvvu4E=")</f>
        <v>#VALUE!</v>
      </c>
      <c r="EA262" t="e">
        <f>AND('STERLING CATALOG - FZN &amp; CHILL'!E413,"AAAAAHvvu4I=")</f>
        <v>#VALUE!</v>
      </c>
      <c r="EB262" t="e">
        <f>AND('STERLING CATALOG - FZN &amp; CHILL'!F413,"AAAAAHvvu4M=")</f>
        <v>#VALUE!</v>
      </c>
      <c r="EC262" t="e">
        <f>AND('STERLING CATALOG - FZN &amp; CHILL'!G413,"AAAAAHvvu4Q=")</f>
        <v>#VALUE!</v>
      </c>
      <c r="ED262" t="e">
        <f>AND('STERLING CATALOG - FZN &amp; CHILL'!H413,"AAAAAHvvu4U=")</f>
        <v>#VALUE!</v>
      </c>
      <c r="EE262" t="e">
        <f>AND('STERLING CATALOG - FZN &amp; CHILL'!I413,"AAAAAHvvu4Y=")</f>
        <v>#VALUE!</v>
      </c>
      <c r="EF262" t="e">
        <f>AND('STERLING CATALOG - FZN &amp; CHILL'!J413,"AAAAAHvvu4c=")</f>
        <v>#VALUE!</v>
      </c>
      <c r="EG262">
        <f>IF('STERLING CATALOG - FZN &amp; CHILL'!414:414,"AAAAAHvvu4g=",0)</f>
        <v>0</v>
      </c>
      <c r="EH262" t="e">
        <f>AND('STERLING CATALOG - FZN &amp; CHILL'!A414,"AAAAAHvvu4k=")</f>
        <v>#VALUE!</v>
      </c>
      <c r="EI262" t="e">
        <f>AND('STERLING CATALOG - FZN &amp; CHILL'!B414,"AAAAAHvvu4o=")</f>
        <v>#VALUE!</v>
      </c>
      <c r="EJ262" t="e">
        <f>AND('STERLING CATALOG - FZN &amp; CHILL'!C414,"AAAAAHvvu4s=")</f>
        <v>#VALUE!</v>
      </c>
      <c r="EK262" t="e">
        <f>AND('STERLING CATALOG - FZN &amp; CHILL'!D414,"AAAAAHvvu4w=")</f>
        <v>#VALUE!</v>
      </c>
      <c r="EL262" t="e">
        <f>AND('STERLING CATALOG - FZN &amp; CHILL'!E414,"AAAAAHvvu40=")</f>
        <v>#VALUE!</v>
      </c>
      <c r="EM262" t="e">
        <f>AND('STERLING CATALOG - FZN &amp; CHILL'!F414,"AAAAAHvvu44=")</f>
        <v>#VALUE!</v>
      </c>
      <c r="EN262" t="e">
        <f>AND('STERLING CATALOG - FZN &amp; CHILL'!G414,"AAAAAHvvu48=")</f>
        <v>#VALUE!</v>
      </c>
      <c r="EO262" t="e">
        <f>AND('STERLING CATALOG - FZN &amp; CHILL'!H414,"AAAAAHvvu5A=")</f>
        <v>#VALUE!</v>
      </c>
      <c r="EP262" t="e">
        <f>AND('STERLING CATALOG - FZN &amp; CHILL'!I414,"AAAAAHvvu5E=")</f>
        <v>#VALUE!</v>
      </c>
      <c r="EQ262" t="e">
        <f>AND('STERLING CATALOG - FZN &amp; CHILL'!J414,"AAAAAHvvu5I=")</f>
        <v>#VALUE!</v>
      </c>
      <c r="ER262">
        <f>IF('STERLING CATALOG - FZN &amp; CHILL'!415:415,"AAAAAHvvu5M=",0)</f>
        <v>0</v>
      </c>
      <c r="ES262" t="e">
        <f>AND('STERLING CATALOG - FZN &amp; CHILL'!A415,"AAAAAHvvu5Q=")</f>
        <v>#VALUE!</v>
      </c>
      <c r="ET262" t="e">
        <f>AND('STERLING CATALOG - FZN &amp; CHILL'!B415,"AAAAAHvvu5U=")</f>
        <v>#VALUE!</v>
      </c>
      <c r="EU262" t="e">
        <f>AND('STERLING CATALOG - FZN &amp; CHILL'!C415,"AAAAAHvvu5Y=")</f>
        <v>#VALUE!</v>
      </c>
      <c r="EV262" t="e">
        <f>AND('STERLING CATALOG - FZN &amp; CHILL'!D415,"AAAAAHvvu5c=")</f>
        <v>#VALUE!</v>
      </c>
      <c r="EW262" t="e">
        <f>AND('STERLING CATALOG - FZN &amp; CHILL'!E415,"AAAAAHvvu5g=")</f>
        <v>#VALUE!</v>
      </c>
      <c r="EX262" t="e">
        <f>AND('STERLING CATALOG - FZN &amp; CHILL'!F415,"AAAAAHvvu5k=")</f>
        <v>#VALUE!</v>
      </c>
      <c r="EY262" t="e">
        <f>AND('STERLING CATALOG - FZN &amp; CHILL'!G415,"AAAAAHvvu5o=")</f>
        <v>#VALUE!</v>
      </c>
      <c r="EZ262" t="e">
        <f>AND('STERLING CATALOG - FZN &amp; CHILL'!H415,"AAAAAHvvu5s=")</f>
        <v>#VALUE!</v>
      </c>
      <c r="FA262" t="e">
        <f>AND('STERLING CATALOG - FZN &amp; CHILL'!I415,"AAAAAHvvu5w=")</f>
        <v>#VALUE!</v>
      </c>
      <c r="FB262" t="e">
        <f>AND('STERLING CATALOG - FZN &amp; CHILL'!J415,"AAAAAHvvu50=")</f>
        <v>#VALUE!</v>
      </c>
      <c r="FC262">
        <f>IF('STERLING CATALOG - FZN &amp; CHILL'!416:416,"AAAAAHvvu54=",0)</f>
        <v>0</v>
      </c>
      <c r="FD262" t="e">
        <f>AND('STERLING CATALOG - FZN &amp; CHILL'!A416,"AAAAAHvvu58=")</f>
        <v>#VALUE!</v>
      </c>
      <c r="FE262" t="e">
        <f>AND('STERLING CATALOG - FZN &amp; CHILL'!B416,"AAAAAHvvu6A=")</f>
        <v>#VALUE!</v>
      </c>
      <c r="FF262" t="e">
        <f>AND('STERLING CATALOG - FZN &amp; CHILL'!C416,"AAAAAHvvu6E=")</f>
        <v>#VALUE!</v>
      </c>
      <c r="FG262" t="e">
        <f>AND('STERLING CATALOG - FZN &amp; CHILL'!D416,"AAAAAHvvu6I=")</f>
        <v>#VALUE!</v>
      </c>
      <c r="FH262" t="e">
        <f>AND('STERLING CATALOG - FZN &amp; CHILL'!E416,"AAAAAHvvu6M=")</f>
        <v>#VALUE!</v>
      </c>
      <c r="FI262" t="e">
        <f>AND('STERLING CATALOG - FZN &amp; CHILL'!F416,"AAAAAHvvu6Q=")</f>
        <v>#VALUE!</v>
      </c>
      <c r="FJ262" t="e">
        <f>AND('STERLING CATALOG - FZN &amp; CHILL'!G416,"AAAAAHvvu6U=")</f>
        <v>#VALUE!</v>
      </c>
      <c r="FK262" t="e">
        <f>AND('STERLING CATALOG - FZN &amp; CHILL'!H416,"AAAAAHvvu6Y=")</f>
        <v>#VALUE!</v>
      </c>
      <c r="FL262" t="e">
        <f>AND('STERLING CATALOG - FZN &amp; CHILL'!I416,"AAAAAHvvu6c=")</f>
        <v>#VALUE!</v>
      </c>
      <c r="FM262" t="e">
        <f>AND('STERLING CATALOG - FZN &amp; CHILL'!J416,"AAAAAHvvu6g=")</f>
        <v>#VALUE!</v>
      </c>
      <c r="FN262">
        <f>IF('STERLING CATALOG - FZN &amp; CHILL'!417:417,"AAAAAHvvu6k=",0)</f>
        <v>0</v>
      </c>
      <c r="FO262" t="e">
        <f>AND('STERLING CATALOG - FZN &amp; CHILL'!A417,"AAAAAHvvu6o=")</f>
        <v>#VALUE!</v>
      </c>
      <c r="FP262" t="e">
        <f>AND('STERLING CATALOG - FZN &amp; CHILL'!B417,"AAAAAHvvu6s=")</f>
        <v>#VALUE!</v>
      </c>
      <c r="FQ262" t="e">
        <f>AND('STERLING CATALOG - FZN &amp; CHILL'!C417,"AAAAAHvvu6w=")</f>
        <v>#VALUE!</v>
      </c>
      <c r="FR262" t="e">
        <f>AND('STERLING CATALOG - FZN &amp; CHILL'!D417,"AAAAAHvvu60=")</f>
        <v>#VALUE!</v>
      </c>
      <c r="FS262" t="e">
        <f>AND('STERLING CATALOG - FZN &amp; CHILL'!E417,"AAAAAHvvu64=")</f>
        <v>#VALUE!</v>
      </c>
      <c r="FT262" t="e">
        <f>AND('STERLING CATALOG - FZN &amp; CHILL'!F417,"AAAAAHvvu68=")</f>
        <v>#VALUE!</v>
      </c>
      <c r="FU262" t="e">
        <f>AND('STERLING CATALOG - FZN &amp; CHILL'!G417,"AAAAAHvvu7A=")</f>
        <v>#VALUE!</v>
      </c>
      <c r="FV262" t="e">
        <f>AND('STERLING CATALOG - FZN &amp; CHILL'!H417,"AAAAAHvvu7E=")</f>
        <v>#VALUE!</v>
      </c>
      <c r="FW262" t="e">
        <f>AND('STERLING CATALOG - FZN &amp; CHILL'!I417,"AAAAAHvvu7I=")</f>
        <v>#VALUE!</v>
      </c>
      <c r="FX262" t="e">
        <f>AND('STERLING CATALOG - FZN &amp; CHILL'!J417,"AAAAAHvvu7M=")</f>
        <v>#VALUE!</v>
      </c>
      <c r="FY262">
        <f>IF('STERLING CATALOG - FZN &amp; CHILL'!418:418,"AAAAAHvvu7Q=",0)</f>
        <v>0</v>
      </c>
      <c r="FZ262" t="e">
        <f>AND('STERLING CATALOG - FZN &amp; CHILL'!A418,"AAAAAHvvu7U=")</f>
        <v>#VALUE!</v>
      </c>
      <c r="GA262" t="e">
        <f>AND('STERLING CATALOG - FZN &amp; CHILL'!B418,"AAAAAHvvu7Y=")</f>
        <v>#VALUE!</v>
      </c>
      <c r="GB262" t="e">
        <f>AND('STERLING CATALOG - FZN &amp; CHILL'!C418,"AAAAAHvvu7c=")</f>
        <v>#VALUE!</v>
      </c>
      <c r="GC262" t="e">
        <f>AND('STERLING CATALOG - FZN &amp; CHILL'!D418,"AAAAAHvvu7g=")</f>
        <v>#VALUE!</v>
      </c>
      <c r="GD262" t="e">
        <f>AND('STERLING CATALOG - FZN &amp; CHILL'!E418,"AAAAAHvvu7k=")</f>
        <v>#VALUE!</v>
      </c>
      <c r="GE262" t="e">
        <f>AND('STERLING CATALOG - FZN &amp; CHILL'!F418,"AAAAAHvvu7o=")</f>
        <v>#VALUE!</v>
      </c>
      <c r="GF262" t="e">
        <f>AND('STERLING CATALOG - FZN &amp; CHILL'!G418,"AAAAAHvvu7s=")</f>
        <v>#VALUE!</v>
      </c>
      <c r="GG262" t="e">
        <f>AND('STERLING CATALOG - FZN &amp; CHILL'!H418,"AAAAAHvvu7w=")</f>
        <v>#VALUE!</v>
      </c>
      <c r="GH262" t="e">
        <f>AND('STERLING CATALOG - FZN &amp; CHILL'!I418,"AAAAAHvvu70=")</f>
        <v>#VALUE!</v>
      </c>
      <c r="GI262" t="e">
        <f>AND('STERLING CATALOG - FZN &amp; CHILL'!J418,"AAAAAHvvu74=")</f>
        <v>#VALUE!</v>
      </c>
      <c r="GJ262">
        <f>IF('STERLING CATALOG - FZN &amp; CHILL'!419:419,"AAAAAHvvu78=",0)</f>
        <v>0</v>
      </c>
      <c r="GK262" t="e">
        <f>AND('STERLING CATALOG - FZN &amp; CHILL'!A419,"AAAAAHvvu8A=")</f>
        <v>#VALUE!</v>
      </c>
      <c r="GL262" t="e">
        <f>AND('STERLING CATALOG - FZN &amp; CHILL'!B419,"AAAAAHvvu8E=")</f>
        <v>#VALUE!</v>
      </c>
      <c r="GM262" t="e">
        <f>AND('STERLING CATALOG - FZN &amp; CHILL'!C419,"AAAAAHvvu8I=")</f>
        <v>#VALUE!</v>
      </c>
      <c r="GN262" t="e">
        <f>AND('STERLING CATALOG - FZN &amp; CHILL'!D419,"AAAAAHvvu8M=")</f>
        <v>#VALUE!</v>
      </c>
      <c r="GO262" t="e">
        <f>AND('STERLING CATALOG - FZN &amp; CHILL'!E419,"AAAAAHvvu8Q=")</f>
        <v>#VALUE!</v>
      </c>
      <c r="GP262" t="e">
        <f>AND('STERLING CATALOG - FZN &amp; CHILL'!F419,"AAAAAHvvu8U=")</f>
        <v>#VALUE!</v>
      </c>
      <c r="GQ262" t="e">
        <f>AND('STERLING CATALOG - FZN &amp; CHILL'!G419,"AAAAAHvvu8Y=")</f>
        <v>#VALUE!</v>
      </c>
      <c r="GR262" t="e">
        <f>AND('STERLING CATALOG - FZN &amp; CHILL'!H419,"AAAAAHvvu8c=")</f>
        <v>#VALUE!</v>
      </c>
      <c r="GS262" t="e">
        <f>AND('STERLING CATALOG - FZN &amp; CHILL'!I419,"AAAAAHvvu8g=")</f>
        <v>#VALUE!</v>
      </c>
      <c r="GT262" t="e">
        <f>AND('STERLING CATALOG - FZN &amp; CHILL'!J419,"AAAAAHvvu8k=")</f>
        <v>#VALUE!</v>
      </c>
      <c r="GU262">
        <f>IF('STERLING CATALOG - FZN &amp; CHILL'!420:420,"AAAAAHvvu8o=",0)</f>
        <v>0</v>
      </c>
      <c r="GV262" t="e">
        <f>AND('STERLING CATALOG - FZN &amp; CHILL'!A420,"AAAAAHvvu8s=")</f>
        <v>#VALUE!</v>
      </c>
      <c r="GW262" t="e">
        <f>AND('STERLING CATALOG - FZN &amp; CHILL'!B420,"AAAAAHvvu8w=")</f>
        <v>#VALUE!</v>
      </c>
      <c r="GX262" t="e">
        <f>AND('STERLING CATALOG - FZN &amp; CHILL'!C420,"AAAAAHvvu80=")</f>
        <v>#VALUE!</v>
      </c>
      <c r="GY262" t="e">
        <f>AND('STERLING CATALOG - FZN &amp; CHILL'!D420,"AAAAAHvvu84=")</f>
        <v>#VALUE!</v>
      </c>
      <c r="GZ262" t="e">
        <f>AND('STERLING CATALOG - FZN &amp; CHILL'!E420,"AAAAAHvvu88=")</f>
        <v>#VALUE!</v>
      </c>
      <c r="HA262" t="e">
        <f>AND('STERLING CATALOG - FZN &amp; CHILL'!F420,"AAAAAHvvu9A=")</f>
        <v>#VALUE!</v>
      </c>
      <c r="HB262" t="e">
        <f>AND('STERLING CATALOG - FZN &amp; CHILL'!G420,"AAAAAHvvu9E=")</f>
        <v>#VALUE!</v>
      </c>
      <c r="HC262" t="e">
        <f>AND('STERLING CATALOG - FZN &amp; CHILL'!H420,"AAAAAHvvu9I=")</f>
        <v>#VALUE!</v>
      </c>
      <c r="HD262" t="e">
        <f>AND('STERLING CATALOG - FZN &amp; CHILL'!I420,"AAAAAHvvu9M=")</f>
        <v>#VALUE!</v>
      </c>
      <c r="HE262" t="e">
        <f>AND('STERLING CATALOG - FZN &amp; CHILL'!J420,"AAAAAHvvu9Q=")</f>
        <v>#VALUE!</v>
      </c>
      <c r="HF262">
        <f>IF('STERLING CATALOG - FZN &amp; CHILL'!421:421,"AAAAAHvvu9U=",0)</f>
        <v>0</v>
      </c>
      <c r="HG262" t="e">
        <f>AND('STERLING CATALOG - FZN &amp; CHILL'!A421,"AAAAAHvvu9Y=")</f>
        <v>#VALUE!</v>
      </c>
      <c r="HH262" t="e">
        <f>AND('STERLING CATALOG - FZN &amp; CHILL'!B421,"AAAAAHvvu9c=")</f>
        <v>#VALUE!</v>
      </c>
      <c r="HI262" t="e">
        <f>AND('STERLING CATALOG - FZN &amp; CHILL'!C421,"AAAAAHvvu9g=")</f>
        <v>#VALUE!</v>
      </c>
      <c r="HJ262" t="e">
        <f>AND('STERLING CATALOG - FZN &amp; CHILL'!D421,"AAAAAHvvu9k=")</f>
        <v>#VALUE!</v>
      </c>
      <c r="HK262" t="e">
        <f>AND('STERLING CATALOG - FZN &amp; CHILL'!E421,"AAAAAHvvu9o=")</f>
        <v>#VALUE!</v>
      </c>
      <c r="HL262" t="e">
        <f>AND('STERLING CATALOG - FZN &amp; CHILL'!F421,"AAAAAHvvu9s=")</f>
        <v>#VALUE!</v>
      </c>
      <c r="HM262" t="e">
        <f>AND('STERLING CATALOG - FZN &amp; CHILL'!G421,"AAAAAHvvu9w=")</f>
        <v>#VALUE!</v>
      </c>
      <c r="HN262" t="e">
        <f>AND('STERLING CATALOG - FZN &amp; CHILL'!H421,"AAAAAHvvu90=")</f>
        <v>#VALUE!</v>
      </c>
      <c r="HO262" t="e">
        <f>AND('STERLING CATALOG - FZN &amp; CHILL'!I421,"AAAAAHvvu94=")</f>
        <v>#VALUE!</v>
      </c>
      <c r="HP262" t="e">
        <f>AND('STERLING CATALOG - FZN &amp; CHILL'!J421,"AAAAAHvvu98=")</f>
        <v>#VALUE!</v>
      </c>
      <c r="HQ262">
        <f>IF('STERLING CATALOG - FZN &amp; CHILL'!422:422,"AAAAAHvvu+A=",0)</f>
        <v>0</v>
      </c>
      <c r="HR262" t="e">
        <f>AND('STERLING CATALOG - FZN &amp; CHILL'!A422,"AAAAAHvvu+E=")</f>
        <v>#VALUE!</v>
      </c>
      <c r="HS262" t="e">
        <f>AND('STERLING CATALOG - FZN &amp; CHILL'!B422,"AAAAAHvvu+I=")</f>
        <v>#VALUE!</v>
      </c>
      <c r="HT262" t="e">
        <f>AND('STERLING CATALOG - FZN &amp; CHILL'!C422,"AAAAAHvvu+M=")</f>
        <v>#VALUE!</v>
      </c>
      <c r="HU262" t="e">
        <f>AND('STERLING CATALOG - FZN &amp; CHILL'!D422,"AAAAAHvvu+Q=")</f>
        <v>#VALUE!</v>
      </c>
      <c r="HV262" t="e">
        <f>AND('STERLING CATALOG - FZN &amp; CHILL'!E422,"AAAAAHvvu+U=")</f>
        <v>#VALUE!</v>
      </c>
      <c r="HW262" t="e">
        <f>AND('STERLING CATALOG - FZN &amp; CHILL'!F422,"AAAAAHvvu+Y=")</f>
        <v>#VALUE!</v>
      </c>
      <c r="HX262" t="e">
        <f>AND('STERLING CATALOG - FZN &amp; CHILL'!G422,"AAAAAHvvu+c=")</f>
        <v>#VALUE!</v>
      </c>
      <c r="HY262" t="e">
        <f>AND('STERLING CATALOG - FZN &amp; CHILL'!H422,"AAAAAHvvu+g=")</f>
        <v>#VALUE!</v>
      </c>
      <c r="HZ262" t="e">
        <f>AND('STERLING CATALOG - FZN &amp; CHILL'!I422,"AAAAAHvvu+k=")</f>
        <v>#VALUE!</v>
      </c>
      <c r="IA262" t="e">
        <f>AND('STERLING CATALOG - FZN &amp; CHILL'!J422,"AAAAAHvvu+o=")</f>
        <v>#VALUE!</v>
      </c>
      <c r="IB262">
        <f>IF('STERLING CATALOG - FZN &amp; CHILL'!423:423,"AAAAAHvvu+s=",0)</f>
        <v>0</v>
      </c>
      <c r="IC262" t="e">
        <f>AND('STERLING CATALOG - FZN &amp; CHILL'!A423,"AAAAAHvvu+w=")</f>
        <v>#VALUE!</v>
      </c>
      <c r="ID262" t="e">
        <f>AND('STERLING CATALOG - FZN &amp; CHILL'!B423,"AAAAAHvvu+0=")</f>
        <v>#VALUE!</v>
      </c>
      <c r="IE262" t="e">
        <f>AND('STERLING CATALOG - FZN &amp; CHILL'!C423,"AAAAAHvvu+4=")</f>
        <v>#VALUE!</v>
      </c>
      <c r="IF262" t="e">
        <f>AND('STERLING CATALOG - FZN &amp; CHILL'!D423,"AAAAAHvvu+8=")</f>
        <v>#VALUE!</v>
      </c>
      <c r="IG262" t="e">
        <f>AND('STERLING CATALOG - FZN &amp; CHILL'!E423,"AAAAAHvvu/A=")</f>
        <v>#VALUE!</v>
      </c>
      <c r="IH262" t="e">
        <f>AND('STERLING CATALOG - FZN &amp; CHILL'!F423,"AAAAAHvvu/E=")</f>
        <v>#VALUE!</v>
      </c>
      <c r="II262" t="e">
        <f>AND('STERLING CATALOG - FZN &amp; CHILL'!G423,"AAAAAHvvu/I=")</f>
        <v>#VALUE!</v>
      </c>
      <c r="IJ262" t="e">
        <f>AND('STERLING CATALOG - FZN &amp; CHILL'!H423,"AAAAAHvvu/M=")</f>
        <v>#VALUE!</v>
      </c>
      <c r="IK262" t="e">
        <f>AND('STERLING CATALOG - FZN &amp; CHILL'!I423,"AAAAAHvvu/Q=")</f>
        <v>#VALUE!</v>
      </c>
      <c r="IL262" t="e">
        <f>AND('STERLING CATALOG - FZN &amp; CHILL'!J423,"AAAAAHvvu/U=")</f>
        <v>#VALUE!</v>
      </c>
      <c r="IM262">
        <f>IF('STERLING CATALOG - FZN &amp; CHILL'!424:424,"AAAAAHvvu/Y=",0)</f>
        <v>0</v>
      </c>
      <c r="IN262" t="e">
        <f>AND('STERLING CATALOG - FZN &amp; CHILL'!A424,"AAAAAHvvu/c=")</f>
        <v>#VALUE!</v>
      </c>
      <c r="IO262" t="e">
        <f>AND('STERLING CATALOG - FZN &amp; CHILL'!B424,"AAAAAHvvu/g=")</f>
        <v>#VALUE!</v>
      </c>
      <c r="IP262" t="e">
        <f>AND('STERLING CATALOG - FZN &amp; CHILL'!C424,"AAAAAHvvu/k=")</f>
        <v>#VALUE!</v>
      </c>
      <c r="IQ262" t="e">
        <f>AND('STERLING CATALOG - FZN &amp; CHILL'!D424,"AAAAAHvvu/o=")</f>
        <v>#VALUE!</v>
      </c>
      <c r="IR262" t="e">
        <f>AND('STERLING CATALOG - FZN &amp; CHILL'!E424,"AAAAAHvvu/s=")</f>
        <v>#VALUE!</v>
      </c>
      <c r="IS262" t="e">
        <f>AND('STERLING CATALOG - FZN &amp; CHILL'!F424,"AAAAAHvvu/w=")</f>
        <v>#VALUE!</v>
      </c>
      <c r="IT262" t="e">
        <f>AND('STERLING CATALOG - FZN &amp; CHILL'!G424,"AAAAAHvvu/0=")</f>
        <v>#VALUE!</v>
      </c>
      <c r="IU262" t="e">
        <f>AND('STERLING CATALOG - FZN &amp; CHILL'!H424,"AAAAAHvvu/4=")</f>
        <v>#VALUE!</v>
      </c>
      <c r="IV262" t="e">
        <f>AND('STERLING CATALOG - FZN &amp; CHILL'!I424,"AAAAAHvvu/8=")</f>
        <v>#VALUE!</v>
      </c>
    </row>
    <row r="263" spans="1:256">
      <c r="A263" t="e">
        <f>AND('STERLING CATALOG - FZN &amp; CHILL'!J424,"AAAAAH799wA=")</f>
        <v>#VALUE!</v>
      </c>
      <c r="B263" t="e">
        <f>IF('STERLING CATALOG - FZN &amp; CHILL'!425:425,"AAAAAH799wE=",0)</f>
        <v>#VALUE!</v>
      </c>
      <c r="C263" t="e">
        <f>AND('STERLING CATALOG - FZN &amp; CHILL'!A425,"AAAAAH799wI=")</f>
        <v>#VALUE!</v>
      </c>
      <c r="D263" t="e">
        <f>AND('STERLING CATALOG - FZN &amp; CHILL'!B425,"AAAAAH799wM=")</f>
        <v>#VALUE!</v>
      </c>
      <c r="E263" t="e">
        <f>AND('STERLING CATALOG - FZN &amp; CHILL'!C425,"AAAAAH799wQ=")</f>
        <v>#VALUE!</v>
      </c>
      <c r="F263" t="e">
        <f>AND('STERLING CATALOG - FZN &amp; CHILL'!D425,"AAAAAH799wU=")</f>
        <v>#VALUE!</v>
      </c>
      <c r="G263" t="e">
        <f>AND('STERLING CATALOG - FZN &amp; CHILL'!E425,"AAAAAH799wY=")</f>
        <v>#VALUE!</v>
      </c>
      <c r="H263" t="e">
        <f>AND('STERLING CATALOG - FZN &amp; CHILL'!F425,"AAAAAH799wc=")</f>
        <v>#VALUE!</v>
      </c>
      <c r="I263" t="e">
        <f>AND('STERLING CATALOG - FZN &amp; CHILL'!G425,"AAAAAH799wg=")</f>
        <v>#VALUE!</v>
      </c>
      <c r="J263" t="e">
        <f>AND('STERLING CATALOG - FZN &amp; CHILL'!H425,"AAAAAH799wk=")</f>
        <v>#VALUE!</v>
      </c>
      <c r="K263" t="e">
        <f>AND('STERLING CATALOG - FZN &amp; CHILL'!I425,"AAAAAH799wo=")</f>
        <v>#VALUE!</v>
      </c>
      <c r="L263" t="e">
        <f>AND('STERLING CATALOG - FZN &amp; CHILL'!J425,"AAAAAH799ws=")</f>
        <v>#VALUE!</v>
      </c>
      <c r="M263">
        <f>IF('STERLING CATALOG - FZN &amp; CHILL'!426:426,"AAAAAH799ww=",0)</f>
        <v>0</v>
      </c>
      <c r="N263" t="e">
        <f>AND('STERLING CATALOG - FZN &amp; CHILL'!A426,"AAAAAH799w0=")</f>
        <v>#VALUE!</v>
      </c>
      <c r="O263" t="e">
        <f>AND('STERLING CATALOG - FZN &amp; CHILL'!B426,"AAAAAH799w4=")</f>
        <v>#VALUE!</v>
      </c>
      <c r="P263" t="e">
        <f>AND('STERLING CATALOG - FZN &amp; CHILL'!C426,"AAAAAH799w8=")</f>
        <v>#VALUE!</v>
      </c>
      <c r="Q263" t="e">
        <f>AND('STERLING CATALOG - FZN &amp; CHILL'!D426,"AAAAAH799xA=")</f>
        <v>#VALUE!</v>
      </c>
      <c r="R263" t="e">
        <f>AND('STERLING CATALOG - FZN &amp; CHILL'!E426,"AAAAAH799xE=")</f>
        <v>#VALUE!</v>
      </c>
      <c r="S263" t="e">
        <f>AND('STERLING CATALOG - FZN &amp; CHILL'!F426,"AAAAAH799xI=")</f>
        <v>#VALUE!</v>
      </c>
      <c r="T263" t="e">
        <f>AND('STERLING CATALOG - FZN &amp; CHILL'!G426,"AAAAAH799xM=")</f>
        <v>#VALUE!</v>
      </c>
      <c r="U263" t="e">
        <f>AND('STERLING CATALOG - FZN &amp; CHILL'!H426,"AAAAAH799xQ=")</f>
        <v>#VALUE!</v>
      </c>
      <c r="V263" t="e">
        <f>AND('STERLING CATALOG - FZN &amp; CHILL'!I426,"AAAAAH799xU=")</f>
        <v>#VALUE!</v>
      </c>
      <c r="W263" t="e">
        <f>AND('STERLING CATALOG - FZN &amp; CHILL'!J426,"AAAAAH799xY=")</f>
        <v>#VALUE!</v>
      </c>
      <c r="X263">
        <f>IF('STERLING CATALOG - FZN &amp; CHILL'!427:427,"AAAAAH799xc=",0)</f>
        <v>0</v>
      </c>
      <c r="Y263" t="e">
        <f>AND('STERLING CATALOG - FZN &amp; CHILL'!A427,"AAAAAH799xg=")</f>
        <v>#VALUE!</v>
      </c>
      <c r="Z263" t="e">
        <f>AND('STERLING CATALOG - FZN &amp; CHILL'!B427,"AAAAAH799xk=")</f>
        <v>#VALUE!</v>
      </c>
      <c r="AA263" t="e">
        <f>AND('STERLING CATALOG - FZN &amp; CHILL'!C427,"AAAAAH799xo=")</f>
        <v>#VALUE!</v>
      </c>
      <c r="AB263" t="e">
        <f>AND('STERLING CATALOG - FZN &amp; CHILL'!D427,"AAAAAH799xs=")</f>
        <v>#VALUE!</v>
      </c>
      <c r="AC263" t="e">
        <f>AND('STERLING CATALOG - FZN &amp; CHILL'!E427,"AAAAAH799xw=")</f>
        <v>#VALUE!</v>
      </c>
      <c r="AD263" t="e">
        <f>AND('STERLING CATALOG - FZN &amp; CHILL'!F427,"AAAAAH799x0=")</f>
        <v>#VALUE!</v>
      </c>
      <c r="AE263" t="e">
        <f>AND('STERLING CATALOG - FZN &amp; CHILL'!G427,"AAAAAH799x4=")</f>
        <v>#VALUE!</v>
      </c>
      <c r="AF263" t="e">
        <f>AND('STERLING CATALOG - FZN &amp; CHILL'!H427,"AAAAAH799x8=")</f>
        <v>#VALUE!</v>
      </c>
      <c r="AG263" t="e">
        <f>AND('STERLING CATALOG - FZN &amp; CHILL'!I427,"AAAAAH799yA=")</f>
        <v>#VALUE!</v>
      </c>
      <c r="AH263" t="e">
        <f>AND('STERLING CATALOG - FZN &amp; CHILL'!J427,"AAAAAH799yE=")</f>
        <v>#VALUE!</v>
      </c>
      <c r="AI263">
        <f>IF('STERLING CATALOG - FZN &amp; CHILL'!428:428,"AAAAAH799yI=",0)</f>
        <v>0</v>
      </c>
      <c r="AJ263" t="e">
        <f>AND('STERLING CATALOG - FZN &amp; CHILL'!A428,"AAAAAH799yM=")</f>
        <v>#VALUE!</v>
      </c>
      <c r="AK263" t="e">
        <f>AND('STERLING CATALOG - FZN &amp; CHILL'!B428,"AAAAAH799yQ=")</f>
        <v>#VALUE!</v>
      </c>
      <c r="AL263" t="e">
        <f>AND('STERLING CATALOG - FZN &amp; CHILL'!C428,"AAAAAH799yU=")</f>
        <v>#VALUE!</v>
      </c>
      <c r="AM263" t="e">
        <f>AND('STERLING CATALOG - FZN &amp; CHILL'!D428,"AAAAAH799yY=")</f>
        <v>#VALUE!</v>
      </c>
      <c r="AN263" t="e">
        <f>AND('STERLING CATALOG - FZN &amp; CHILL'!E428,"AAAAAH799yc=")</f>
        <v>#VALUE!</v>
      </c>
      <c r="AO263" t="e">
        <f>AND('STERLING CATALOG - FZN &amp; CHILL'!F428,"AAAAAH799yg=")</f>
        <v>#VALUE!</v>
      </c>
      <c r="AP263" t="e">
        <f>AND('STERLING CATALOG - FZN &amp; CHILL'!G428,"AAAAAH799yk=")</f>
        <v>#VALUE!</v>
      </c>
      <c r="AQ263" t="e">
        <f>AND('STERLING CATALOG - FZN &amp; CHILL'!H428,"AAAAAH799yo=")</f>
        <v>#VALUE!</v>
      </c>
      <c r="AR263" t="e">
        <f>AND('STERLING CATALOG - FZN &amp; CHILL'!I428,"AAAAAH799ys=")</f>
        <v>#VALUE!</v>
      </c>
      <c r="AS263" t="e">
        <f>AND('STERLING CATALOG - FZN &amp; CHILL'!J428,"AAAAAH799yw=")</f>
        <v>#VALUE!</v>
      </c>
      <c r="AT263">
        <f>IF('STERLING CATALOG - FZN &amp; CHILL'!429:429,"AAAAAH799y0=",0)</f>
        <v>0</v>
      </c>
      <c r="AU263" t="e">
        <f>AND('STERLING CATALOG - FZN &amp; CHILL'!A429,"AAAAAH799y4=")</f>
        <v>#VALUE!</v>
      </c>
      <c r="AV263" t="e">
        <f>AND('STERLING CATALOG - FZN &amp; CHILL'!B429,"AAAAAH799y8=")</f>
        <v>#VALUE!</v>
      </c>
      <c r="AW263" t="e">
        <f>AND('STERLING CATALOG - FZN &amp; CHILL'!C429,"AAAAAH799zA=")</f>
        <v>#VALUE!</v>
      </c>
      <c r="AX263" t="e">
        <f>AND('STERLING CATALOG - FZN &amp; CHILL'!D429,"AAAAAH799zE=")</f>
        <v>#VALUE!</v>
      </c>
      <c r="AY263" t="e">
        <f>AND('STERLING CATALOG - FZN &amp; CHILL'!E429,"AAAAAH799zI=")</f>
        <v>#VALUE!</v>
      </c>
      <c r="AZ263" t="e">
        <f>AND('STERLING CATALOG - FZN &amp; CHILL'!F429,"AAAAAH799zM=")</f>
        <v>#VALUE!</v>
      </c>
      <c r="BA263" t="e">
        <f>AND('STERLING CATALOG - FZN &amp; CHILL'!G429,"AAAAAH799zQ=")</f>
        <v>#VALUE!</v>
      </c>
      <c r="BB263" t="e">
        <f>AND('STERLING CATALOG - FZN &amp; CHILL'!H429,"AAAAAH799zU=")</f>
        <v>#VALUE!</v>
      </c>
      <c r="BC263" t="e">
        <f>AND('STERLING CATALOG - FZN &amp; CHILL'!I429,"AAAAAH799zY=")</f>
        <v>#VALUE!</v>
      </c>
      <c r="BD263" t="e">
        <f>AND('STERLING CATALOG - FZN &amp; CHILL'!J429,"AAAAAH799zc=")</f>
        <v>#VALUE!</v>
      </c>
      <c r="BE263">
        <f>IF('STERLING CATALOG - FZN &amp; CHILL'!430:430,"AAAAAH799zg=",0)</f>
        <v>0</v>
      </c>
      <c r="BF263" t="e">
        <f>AND('STERLING CATALOG - FZN &amp; CHILL'!A430,"AAAAAH799zk=")</f>
        <v>#VALUE!</v>
      </c>
      <c r="BG263" t="e">
        <f>AND('STERLING CATALOG - FZN &amp; CHILL'!B430,"AAAAAH799zo=")</f>
        <v>#VALUE!</v>
      </c>
      <c r="BH263" t="e">
        <f>AND('STERLING CATALOG - FZN &amp; CHILL'!C430,"AAAAAH799zs=")</f>
        <v>#VALUE!</v>
      </c>
      <c r="BI263" t="e">
        <f>AND('STERLING CATALOG - FZN &amp; CHILL'!D430,"AAAAAH799zw=")</f>
        <v>#VALUE!</v>
      </c>
      <c r="BJ263" t="e">
        <f>AND('STERLING CATALOG - FZN &amp; CHILL'!E430,"AAAAAH799z0=")</f>
        <v>#VALUE!</v>
      </c>
      <c r="BK263" t="e">
        <f>AND('STERLING CATALOG - FZN &amp; CHILL'!F430,"AAAAAH799z4=")</f>
        <v>#VALUE!</v>
      </c>
      <c r="BL263" t="e">
        <f>AND('STERLING CATALOG - FZN &amp; CHILL'!G430,"AAAAAH799z8=")</f>
        <v>#VALUE!</v>
      </c>
      <c r="BM263" t="e">
        <f>AND('STERLING CATALOG - FZN &amp; CHILL'!H430,"AAAAAH7990A=")</f>
        <v>#VALUE!</v>
      </c>
      <c r="BN263" t="e">
        <f>AND('STERLING CATALOG - FZN &amp; CHILL'!I430,"AAAAAH7990E=")</f>
        <v>#VALUE!</v>
      </c>
      <c r="BO263" t="e">
        <f>AND('STERLING CATALOG - FZN &amp; CHILL'!J430,"AAAAAH7990I=")</f>
        <v>#VALUE!</v>
      </c>
      <c r="BP263">
        <f>IF('STERLING CATALOG - FZN &amp; CHILL'!431:431,"AAAAAH7990M=",0)</f>
        <v>0</v>
      </c>
      <c r="BQ263" t="e">
        <f>AND('STERLING CATALOG - FZN &amp; CHILL'!A431,"AAAAAH7990Q=")</f>
        <v>#VALUE!</v>
      </c>
      <c r="BR263" t="e">
        <f>AND('STERLING CATALOG - FZN &amp; CHILL'!B431,"AAAAAH7990U=")</f>
        <v>#VALUE!</v>
      </c>
      <c r="BS263" t="e">
        <f>AND('STERLING CATALOG - FZN &amp; CHILL'!C431,"AAAAAH7990Y=")</f>
        <v>#VALUE!</v>
      </c>
      <c r="BT263" t="e">
        <f>AND('STERLING CATALOG - FZN &amp; CHILL'!D431,"AAAAAH7990c=")</f>
        <v>#VALUE!</v>
      </c>
      <c r="BU263" t="e">
        <f>AND('STERLING CATALOG - FZN &amp; CHILL'!E431,"AAAAAH7990g=")</f>
        <v>#VALUE!</v>
      </c>
      <c r="BV263" t="e">
        <f>AND('STERLING CATALOG - FZN &amp; CHILL'!F431,"AAAAAH7990k=")</f>
        <v>#VALUE!</v>
      </c>
      <c r="BW263" t="e">
        <f>AND('STERLING CATALOG - FZN &amp; CHILL'!G431,"AAAAAH7990o=")</f>
        <v>#VALUE!</v>
      </c>
      <c r="BX263" t="e">
        <f>AND('STERLING CATALOG - FZN &amp; CHILL'!H431,"AAAAAH7990s=")</f>
        <v>#VALUE!</v>
      </c>
      <c r="BY263" t="e">
        <f>AND('STERLING CATALOG - FZN &amp; CHILL'!I431,"AAAAAH7990w=")</f>
        <v>#VALUE!</v>
      </c>
      <c r="BZ263" t="e">
        <f>AND('STERLING CATALOG - FZN &amp; CHILL'!J431,"AAAAAH79900=")</f>
        <v>#VALUE!</v>
      </c>
      <c r="CA263">
        <f>IF('STERLING CATALOG - FZN &amp; CHILL'!432:432,"AAAAAH79904=",0)</f>
        <v>0</v>
      </c>
      <c r="CB263" t="e">
        <f>AND('STERLING CATALOG - FZN &amp; CHILL'!A432,"AAAAAH79908=")</f>
        <v>#VALUE!</v>
      </c>
      <c r="CC263" t="e">
        <f>AND('STERLING CATALOG - FZN &amp; CHILL'!B432,"AAAAAH7991A=")</f>
        <v>#VALUE!</v>
      </c>
      <c r="CD263" t="e">
        <f>AND('STERLING CATALOG - FZN &amp; CHILL'!C432,"AAAAAH7991E=")</f>
        <v>#VALUE!</v>
      </c>
      <c r="CE263" t="e">
        <f>AND('STERLING CATALOG - FZN &amp; CHILL'!D432,"AAAAAH7991I=")</f>
        <v>#VALUE!</v>
      </c>
      <c r="CF263" t="e">
        <f>AND('STERLING CATALOG - FZN &amp; CHILL'!E432,"AAAAAH7991M=")</f>
        <v>#VALUE!</v>
      </c>
      <c r="CG263" t="e">
        <f>AND('STERLING CATALOG - FZN &amp; CHILL'!F432,"AAAAAH7991Q=")</f>
        <v>#VALUE!</v>
      </c>
      <c r="CH263" t="e">
        <f>AND('STERLING CATALOG - FZN &amp; CHILL'!G432,"AAAAAH7991U=")</f>
        <v>#VALUE!</v>
      </c>
      <c r="CI263" t="e">
        <f>AND('STERLING CATALOG - FZN &amp; CHILL'!H432,"AAAAAH7991Y=")</f>
        <v>#VALUE!</v>
      </c>
      <c r="CJ263" t="e">
        <f>AND('STERLING CATALOG - FZN &amp; CHILL'!I432,"AAAAAH7991c=")</f>
        <v>#VALUE!</v>
      </c>
      <c r="CK263" t="e">
        <f>AND('STERLING CATALOG - FZN &amp; CHILL'!J432,"AAAAAH7991g=")</f>
        <v>#VALUE!</v>
      </c>
      <c r="CL263">
        <f>IF('STERLING CATALOG - FZN &amp; CHILL'!433:433,"AAAAAH7991k=",0)</f>
        <v>0</v>
      </c>
      <c r="CM263" t="e">
        <f>AND('STERLING CATALOG - FZN &amp; CHILL'!A433,"AAAAAH7991o=")</f>
        <v>#VALUE!</v>
      </c>
      <c r="CN263" t="e">
        <f>AND('STERLING CATALOG - FZN &amp; CHILL'!B433,"AAAAAH7991s=")</f>
        <v>#VALUE!</v>
      </c>
      <c r="CO263" t="e">
        <f>AND('STERLING CATALOG - FZN &amp; CHILL'!C433,"AAAAAH7991w=")</f>
        <v>#VALUE!</v>
      </c>
      <c r="CP263" t="e">
        <f>AND('STERLING CATALOG - FZN &amp; CHILL'!D433,"AAAAAH79910=")</f>
        <v>#VALUE!</v>
      </c>
      <c r="CQ263" t="e">
        <f>AND('STERLING CATALOG - FZN &amp; CHILL'!E433,"AAAAAH79914=")</f>
        <v>#VALUE!</v>
      </c>
      <c r="CR263" t="e">
        <f>AND('STERLING CATALOG - FZN &amp; CHILL'!F433,"AAAAAH79918=")</f>
        <v>#VALUE!</v>
      </c>
      <c r="CS263" t="e">
        <f>AND('STERLING CATALOG - FZN &amp; CHILL'!G433,"AAAAAH7992A=")</f>
        <v>#VALUE!</v>
      </c>
      <c r="CT263" t="e">
        <f>AND('STERLING CATALOG - FZN &amp; CHILL'!H433,"AAAAAH7992E=")</f>
        <v>#VALUE!</v>
      </c>
      <c r="CU263" t="e">
        <f>AND('STERLING CATALOG - FZN &amp; CHILL'!I433,"AAAAAH7992I=")</f>
        <v>#VALUE!</v>
      </c>
      <c r="CV263" t="e">
        <f>AND('STERLING CATALOG - FZN &amp; CHILL'!J433,"AAAAAH7992M=")</f>
        <v>#VALUE!</v>
      </c>
      <c r="CW263">
        <f>IF('STERLING CATALOG - FZN &amp; CHILL'!434:434,"AAAAAH7992Q=",0)</f>
        <v>0</v>
      </c>
      <c r="CX263" t="e">
        <f>AND('STERLING CATALOG - FZN &amp; CHILL'!A434,"AAAAAH7992U=")</f>
        <v>#VALUE!</v>
      </c>
      <c r="CY263" t="e">
        <f>AND('STERLING CATALOG - FZN &amp; CHILL'!B434,"AAAAAH7992Y=")</f>
        <v>#VALUE!</v>
      </c>
      <c r="CZ263" t="e">
        <f>AND('STERLING CATALOG - FZN &amp; CHILL'!C434,"AAAAAH7992c=")</f>
        <v>#VALUE!</v>
      </c>
      <c r="DA263" t="e">
        <f>AND('STERLING CATALOG - FZN &amp; CHILL'!D434,"AAAAAH7992g=")</f>
        <v>#VALUE!</v>
      </c>
      <c r="DB263" t="e">
        <f>AND('STERLING CATALOG - FZN &amp; CHILL'!E434,"AAAAAH7992k=")</f>
        <v>#VALUE!</v>
      </c>
      <c r="DC263" t="e">
        <f>AND('STERLING CATALOG - FZN &amp; CHILL'!F434,"AAAAAH7992o=")</f>
        <v>#VALUE!</v>
      </c>
      <c r="DD263" t="e">
        <f>AND('STERLING CATALOG - FZN &amp; CHILL'!G434,"AAAAAH7992s=")</f>
        <v>#VALUE!</v>
      </c>
      <c r="DE263" t="e">
        <f>AND('STERLING CATALOG - FZN &amp; CHILL'!H434,"AAAAAH7992w=")</f>
        <v>#VALUE!</v>
      </c>
      <c r="DF263" t="e">
        <f>AND('STERLING CATALOG - FZN &amp; CHILL'!I434,"AAAAAH79920=")</f>
        <v>#VALUE!</v>
      </c>
      <c r="DG263" t="e">
        <f>AND('STERLING CATALOG - FZN &amp; CHILL'!J434,"AAAAAH79924=")</f>
        <v>#VALUE!</v>
      </c>
      <c r="DH263">
        <f>IF('STERLING CATALOG - FZN &amp; CHILL'!435:435,"AAAAAH79928=",0)</f>
        <v>0</v>
      </c>
      <c r="DI263" t="e">
        <f>AND('STERLING CATALOG - FZN &amp; CHILL'!A435,"AAAAAH7993A=")</f>
        <v>#VALUE!</v>
      </c>
      <c r="DJ263" t="e">
        <f>AND('STERLING CATALOG - FZN &amp; CHILL'!B435,"AAAAAH7993E=")</f>
        <v>#VALUE!</v>
      </c>
      <c r="DK263" t="e">
        <f>AND('STERLING CATALOG - FZN &amp; CHILL'!C435,"AAAAAH7993I=")</f>
        <v>#VALUE!</v>
      </c>
      <c r="DL263" t="e">
        <f>AND('STERLING CATALOG - FZN &amp; CHILL'!D435,"AAAAAH7993M=")</f>
        <v>#VALUE!</v>
      </c>
      <c r="DM263" t="e">
        <f>AND('STERLING CATALOG - FZN &amp; CHILL'!E435,"AAAAAH7993Q=")</f>
        <v>#VALUE!</v>
      </c>
      <c r="DN263" t="e">
        <f>AND('STERLING CATALOG - FZN &amp; CHILL'!F435,"AAAAAH7993U=")</f>
        <v>#VALUE!</v>
      </c>
      <c r="DO263" t="e">
        <f>AND('STERLING CATALOG - FZN &amp; CHILL'!G435,"AAAAAH7993Y=")</f>
        <v>#VALUE!</v>
      </c>
      <c r="DP263" t="e">
        <f>AND('STERLING CATALOG - FZN &amp; CHILL'!H435,"AAAAAH7993c=")</f>
        <v>#VALUE!</v>
      </c>
      <c r="DQ263" t="e">
        <f>AND('STERLING CATALOG - FZN &amp; CHILL'!I435,"AAAAAH7993g=")</f>
        <v>#VALUE!</v>
      </c>
      <c r="DR263" t="e">
        <f>AND('STERLING CATALOG - FZN &amp; CHILL'!J435,"AAAAAH7993k=")</f>
        <v>#VALUE!</v>
      </c>
      <c r="DS263">
        <f>IF('STERLING CATALOG - FZN &amp; CHILL'!436:436,"AAAAAH7993o=",0)</f>
        <v>0</v>
      </c>
      <c r="DT263" t="e">
        <f>AND('STERLING CATALOG - FZN &amp; CHILL'!A436,"AAAAAH7993s=")</f>
        <v>#VALUE!</v>
      </c>
      <c r="DU263" t="e">
        <f>AND('STERLING CATALOG - FZN &amp; CHILL'!B436,"AAAAAH7993w=")</f>
        <v>#VALUE!</v>
      </c>
      <c r="DV263" t="e">
        <f>AND('STERLING CATALOG - FZN &amp; CHILL'!C436,"AAAAAH79930=")</f>
        <v>#VALUE!</v>
      </c>
      <c r="DW263" t="e">
        <f>AND('STERLING CATALOG - FZN &amp; CHILL'!D436,"AAAAAH79934=")</f>
        <v>#VALUE!</v>
      </c>
      <c r="DX263" t="e">
        <f>AND('STERLING CATALOG - FZN &amp; CHILL'!E436,"AAAAAH79938=")</f>
        <v>#VALUE!</v>
      </c>
      <c r="DY263" t="e">
        <f>AND('STERLING CATALOG - FZN &amp; CHILL'!F436,"AAAAAH7994A=")</f>
        <v>#VALUE!</v>
      </c>
      <c r="DZ263" t="e">
        <f>AND('STERLING CATALOG - FZN &amp; CHILL'!G436,"AAAAAH7994E=")</f>
        <v>#VALUE!</v>
      </c>
      <c r="EA263" t="e">
        <f>AND('STERLING CATALOG - FZN &amp; CHILL'!H436,"AAAAAH7994I=")</f>
        <v>#VALUE!</v>
      </c>
      <c r="EB263" t="e">
        <f>AND('STERLING CATALOG - FZN &amp; CHILL'!I436,"AAAAAH7994M=")</f>
        <v>#VALUE!</v>
      </c>
      <c r="EC263" t="e">
        <f>AND('STERLING CATALOG - FZN &amp; CHILL'!J436,"AAAAAH7994Q=")</f>
        <v>#VALUE!</v>
      </c>
      <c r="ED263">
        <f>IF('STERLING CATALOG - FZN &amp; CHILL'!437:437,"AAAAAH7994U=",0)</f>
        <v>0</v>
      </c>
      <c r="EE263" t="e">
        <f>AND('STERLING CATALOG - FZN &amp; CHILL'!A437,"AAAAAH7994Y=")</f>
        <v>#VALUE!</v>
      </c>
      <c r="EF263" t="e">
        <f>AND('STERLING CATALOG - FZN &amp; CHILL'!B437,"AAAAAH7994c=")</f>
        <v>#VALUE!</v>
      </c>
      <c r="EG263" t="e">
        <f>AND('STERLING CATALOG - FZN &amp; CHILL'!C437,"AAAAAH7994g=")</f>
        <v>#VALUE!</v>
      </c>
      <c r="EH263" t="e">
        <f>AND('STERLING CATALOG - FZN &amp; CHILL'!D437,"AAAAAH7994k=")</f>
        <v>#VALUE!</v>
      </c>
      <c r="EI263" t="e">
        <f>AND('STERLING CATALOG - FZN &amp; CHILL'!E437,"AAAAAH7994o=")</f>
        <v>#VALUE!</v>
      </c>
      <c r="EJ263" t="e">
        <f>AND('STERLING CATALOG - FZN &amp; CHILL'!F437,"AAAAAH7994s=")</f>
        <v>#VALUE!</v>
      </c>
      <c r="EK263" t="e">
        <f>AND('STERLING CATALOG - FZN &amp; CHILL'!G437,"AAAAAH7994w=")</f>
        <v>#VALUE!</v>
      </c>
      <c r="EL263" t="e">
        <f>AND('STERLING CATALOG - FZN &amp; CHILL'!H437,"AAAAAH79940=")</f>
        <v>#VALUE!</v>
      </c>
      <c r="EM263" t="e">
        <f>AND('STERLING CATALOG - FZN &amp; CHILL'!I437,"AAAAAH79944=")</f>
        <v>#VALUE!</v>
      </c>
      <c r="EN263" t="e">
        <f>AND('STERLING CATALOG - FZN &amp; CHILL'!J437,"AAAAAH79948=")</f>
        <v>#VALUE!</v>
      </c>
      <c r="EO263">
        <f>IF('STERLING CATALOG - FZN &amp; CHILL'!438:438,"AAAAAH7995A=",0)</f>
        <v>0</v>
      </c>
      <c r="EP263" t="e">
        <f>AND('STERLING CATALOG - FZN &amp; CHILL'!A438,"AAAAAH7995E=")</f>
        <v>#VALUE!</v>
      </c>
      <c r="EQ263" t="e">
        <f>AND('STERLING CATALOG - FZN &amp; CHILL'!B438,"AAAAAH7995I=")</f>
        <v>#VALUE!</v>
      </c>
      <c r="ER263" t="e">
        <f>AND('STERLING CATALOG - FZN &amp; CHILL'!C438,"AAAAAH7995M=")</f>
        <v>#VALUE!</v>
      </c>
      <c r="ES263" t="e">
        <f>AND('STERLING CATALOG - FZN &amp; CHILL'!D438,"AAAAAH7995Q=")</f>
        <v>#VALUE!</v>
      </c>
      <c r="ET263" t="e">
        <f>AND('STERLING CATALOG - FZN &amp; CHILL'!E438,"AAAAAH7995U=")</f>
        <v>#VALUE!</v>
      </c>
      <c r="EU263" t="e">
        <f>AND('STERLING CATALOG - FZN &amp; CHILL'!F438,"AAAAAH7995Y=")</f>
        <v>#VALUE!</v>
      </c>
      <c r="EV263" t="e">
        <f>AND('STERLING CATALOG - FZN &amp; CHILL'!G438,"AAAAAH7995c=")</f>
        <v>#VALUE!</v>
      </c>
      <c r="EW263" t="e">
        <f>AND('STERLING CATALOG - FZN &amp; CHILL'!H438,"AAAAAH7995g=")</f>
        <v>#VALUE!</v>
      </c>
      <c r="EX263" t="e">
        <f>AND('STERLING CATALOG - FZN &amp; CHILL'!I438,"AAAAAH7995k=")</f>
        <v>#VALUE!</v>
      </c>
      <c r="EY263" t="e">
        <f>AND('STERLING CATALOG - FZN &amp; CHILL'!J438,"AAAAAH7995o=")</f>
        <v>#VALUE!</v>
      </c>
      <c r="EZ263">
        <f>IF('STERLING CATALOG - FZN &amp; CHILL'!439:439,"AAAAAH7995s=",0)</f>
        <v>0</v>
      </c>
      <c r="FA263" t="e">
        <f>AND('STERLING CATALOG - FZN &amp; CHILL'!A439,"AAAAAH7995w=")</f>
        <v>#VALUE!</v>
      </c>
      <c r="FB263" t="e">
        <f>AND('STERLING CATALOG - FZN &amp; CHILL'!B439,"AAAAAH79950=")</f>
        <v>#VALUE!</v>
      </c>
      <c r="FC263" t="e">
        <f>AND('STERLING CATALOG - FZN &amp; CHILL'!C439,"AAAAAH79954=")</f>
        <v>#VALUE!</v>
      </c>
      <c r="FD263" t="e">
        <f>AND('STERLING CATALOG - FZN &amp; CHILL'!D439,"AAAAAH79958=")</f>
        <v>#VALUE!</v>
      </c>
      <c r="FE263" t="e">
        <f>AND('STERLING CATALOG - FZN &amp; CHILL'!E439,"AAAAAH7996A=")</f>
        <v>#VALUE!</v>
      </c>
      <c r="FF263" t="e">
        <f>AND('STERLING CATALOG - FZN &amp; CHILL'!F439,"AAAAAH7996E=")</f>
        <v>#VALUE!</v>
      </c>
      <c r="FG263" t="e">
        <f>AND('STERLING CATALOG - FZN &amp; CHILL'!G439,"AAAAAH7996I=")</f>
        <v>#VALUE!</v>
      </c>
      <c r="FH263" t="e">
        <f>AND('STERLING CATALOG - FZN &amp; CHILL'!H439,"AAAAAH7996M=")</f>
        <v>#VALUE!</v>
      </c>
      <c r="FI263" t="e">
        <f>AND('STERLING CATALOG - FZN &amp; CHILL'!I439,"AAAAAH7996Q=")</f>
        <v>#VALUE!</v>
      </c>
      <c r="FJ263" t="e">
        <f>AND('STERLING CATALOG - FZN &amp; CHILL'!J439,"AAAAAH7996U=")</f>
        <v>#VALUE!</v>
      </c>
      <c r="FK263">
        <f>IF('STERLING CATALOG - FZN &amp; CHILL'!440:440,"AAAAAH7996Y=",0)</f>
        <v>0</v>
      </c>
      <c r="FL263" t="e">
        <f>AND('STERLING CATALOG - FZN &amp; CHILL'!A440,"AAAAAH7996c=")</f>
        <v>#VALUE!</v>
      </c>
      <c r="FM263" t="e">
        <f>AND('STERLING CATALOG - FZN &amp; CHILL'!B440,"AAAAAH7996g=")</f>
        <v>#VALUE!</v>
      </c>
      <c r="FN263" t="e">
        <f>AND('STERLING CATALOG - FZN &amp; CHILL'!C440,"AAAAAH7996k=")</f>
        <v>#VALUE!</v>
      </c>
      <c r="FO263" t="e">
        <f>AND('STERLING CATALOG - FZN &amp; CHILL'!D440,"AAAAAH7996o=")</f>
        <v>#VALUE!</v>
      </c>
      <c r="FP263" t="e">
        <f>AND('STERLING CATALOG - FZN &amp; CHILL'!E440,"AAAAAH7996s=")</f>
        <v>#VALUE!</v>
      </c>
      <c r="FQ263" t="e">
        <f>AND('STERLING CATALOG - FZN &amp; CHILL'!F440,"AAAAAH7996w=")</f>
        <v>#VALUE!</v>
      </c>
      <c r="FR263" t="e">
        <f>AND('STERLING CATALOG - FZN &amp; CHILL'!G440,"AAAAAH79960=")</f>
        <v>#VALUE!</v>
      </c>
      <c r="FS263" t="e">
        <f>AND('STERLING CATALOG - FZN &amp; CHILL'!H440,"AAAAAH79964=")</f>
        <v>#VALUE!</v>
      </c>
      <c r="FT263" t="e">
        <f>AND('STERLING CATALOG - FZN &amp; CHILL'!I440,"AAAAAH79968=")</f>
        <v>#VALUE!</v>
      </c>
      <c r="FU263" t="e">
        <f>AND('STERLING CATALOG - FZN &amp; CHILL'!J440,"AAAAAH7997A=")</f>
        <v>#VALUE!</v>
      </c>
      <c r="FV263">
        <f>IF('STERLING CATALOG - FZN &amp; CHILL'!441:441,"AAAAAH7997E=",0)</f>
        <v>0</v>
      </c>
      <c r="FW263" t="e">
        <f>AND('STERLING CATALOG - FZN &amp; CHILL'!A441,"AAAAAH7997I=")</f>
        <v>#VALUE!</v>
      </c>
      <c r="FX263" t="e">
        <f>AND('STERLING CATALOG - FZN &amp; CHILL'!B441,"AAAAAH7997M=")</f>
        <v>#VALUE!</v>
      </c>
      <c r="FY263" t="e">
        <f>AND('STERLING CATALOG - FZN &amp; CHILL'!C441,"AAAAAH7997Q=")</f>
        <v>#VALUE!</v>
      </c>
      <c r="FZ263" t="e">
        <f>AND('STERLING CATALOG - FZN &amp; CHILL'!D441,"AAAAAH7997U=")</f>
        <v>#VALUE!</v>
      </c>
      <c r="GA263" t="e">
        <f>AND('STERLING CATALOG - FZN &amp; CHILL'!E441,"AAAAAH7997Y=")</f>
        <v>#VALUE!</v>
      </c>
      <c r="GB263" t="e">
        <f>AND('STERLING CATALOG - FZN &amp; CHILL'!F441,"AAAAAH7997c=")</f>
        <v>#VALUE!</v>
      </c>
      <c r="GC263" t="e">
        <f>AND('STERLING CATALOG - FZN &amp; CHILL'!G441,"AAAAAH7997g=")</f>
        <v>#VALUE!</v>
      </c>
      <c r="GD263" t="e">
        <f>AND('STERLING CATALOG - FZN &amp; CHILL'!H441,"AAAAAH7997k=")</f>
        <v>#VALUE!</v>
      </c>
      <c r="GE263" t="e">
        <f>AND('STERLING CATALOG - FZN &amp; CHILL'!I441,"AAAAAH7997o=")</f>
        <v>#VALUE!</v>
      </c>
      <c r="GF263" t="e">
        <f>AND('STERLING CATALOG - FZN &amp; CHILL'!J441,"AAAAAH7997s=")</f>
        <v>#VALUE!</v>
      </c>
      <c r="GG263">
        <f>IF('STERLING CATALOG - FZN &amp; CHILL'!442:442,"AAAAAH7997w=",0)</f>
        <v>0</v>
      </c>
      <c r="GH263" t="e">
        <f>AND('STERLING CATALOG - FZN &amp; CHILL'!A442,"AAAAAH79970=")</f>
        <v>#VALUE!</v>
      </c>
      <c r="GI263" t="e">
        <f>AND('STERLING CATALOG - FZN &amp; CHILL'!B442,"AAAAAH79974=")</f>
        <v>#VALUE!</v>
      </c>
      <c r="GJ263" t="e">
        <f>AND('STERLING CATALOG - FZN &amp; CHILL'!C442,"AAAAAH79978=")</f>
        <v>#VALUE!</v>
      </c>
      <c r="GK263" t="e">
        <f>AND('STERLING CATALOG - FZN &amp; CHILL'!D442,"AAAAAH7998A=")</f>
        <v>#VALUE!</v>
      </c>
      <c r="GL263" t="e">
        <f>AND('STERLING CATALOG - FZN &amp; CHILL'!E442,"AAAAAH7998E=")</f>
        <v>#VALUE!</v>
      </c>
      <c r="GM263" t="e">
        <f>AND('STERLING CATALOG - FZN &amp; CHILL'!F442,"AAAAAH7998I=")</f>
        <v>#VALUE!</v>
      </c>
      <c r="GN263" t="e">
        <f>AND('STERLING CATALOG - FZN &amp; CHILL'!G442,"AAAAAH7998M=")</f>
        <v>#VALUE!</v>
      </c>
      <c r="GO263" t="e">
        <f>AND('STERLING CATALOG - FZN &amp; CHILL'!H442,"AAAAAH7998Q=")</f>
        <v>#VALUE!</v>
      </c>
      <c r="GP263" t="e">
        <f>AND('STERLING CATALOG - FZN &amp; CHILL'!I442,"AAAAAH7998U=")</f>
        <v>#VALUE!</v>
      </c>
      <c r="GQ263" t="e">
        <f>AND('STERLING CATALOG - FZN &amp; CHILL'!J442,"AAAAAH7998Y=")</f>
        <v>#VALUE!</v>
      </c>
      <c r="GR263">
        <f>IF('STERLING CATALOG - FZN &amp; CHILL'!443:443,"AAAAAH7998c=",0)</f>
        <v>0</v>
      </c>
      <c r="GS263" t="e">
        <f>AND('STERLING CATALOG - FZN &amp; CHILL'!A443,"AAAAAH7998g=")</f>
        <v>#VALUE!</v>
      </c>
      <c r="GT263" t="e">
        <f>AND('STERLING CATALOG - FZN &amp; CHILL'!B443,"AAAAAH7998k=")</f>
        <v>#VALUE!</v>
      </c>
      <c r="GU263" t="e">
        <f>AND('STERLING CATALOG - FZN &amp; CHILL'!C443,"AAAAAH7998o=")</f>
        <v>#VALUE!</v>
      </c>
      <c r="GV263" t="e">
        <f>AND('STERLING CATALOG - FZN &amp; CHILL'!D443,"AAAAAH7998s=")</f>
        <v>#VALUE!</v>
      </c>
      <c r="GW263" t="e">
        <f>AND('STERLING CATALOG - FZN &amp; CHILL'!E443,"AAAAAH7998w=")</f>
        <v>#VALUE!</v>
      </c>
      <c r="GX263" t="e">
        <f>AND('STERLING CATALOG - FZN &amp; CHILL'!F443,"AAAAAH79980=")</f>
        <v>#VALUE!</v>
      </c>
      <c r="GY263" t="e">
        <f>AND('STERLING CATALOG - FZN &amp; CHILL'!G443,"AAAAAH79984=")</f>
        <v>#VALUE!</v>
      </c>
      <c r="GZ263" t="e">
        <f>AND('STERLING CATALOG - FZN &amp; CHILL'!H443,"AAAAAH79988=")</f>
        <v>#VALUE!</v>
      </c>
      <c r="HA263" t="e">
        <f>AND('STERLING CATALOG - FZN &amp; CHILL'!I443,"AAAAAH7999A=")</f>
        <v>#VALUE!</v>
      </c>
      <c r="HB263" t="e">
        <f>AND('STERLING CATALOG - FZN &amp; CHILL'!J443,"AAAAAH7999E=")</f>
        <v>#VALUE!</v>
      </c>
      <c r="HC263">
        <f>IF('STERLING CATALOG - FZN &amp; CHILL'!444:444,"AAAAAH7999I=",0)</f>
        <v>0</v>
      </c>
      <c r="HD263" t="e">
        <f>AND('STERLING CATALOG - FZN &amp; CHILL'!A444,"AAAAAH7999M=")</f>
        <v>#VALUE!</v>
      </c>
      <c r="HE263" t="e">
        <f>AND('STERLING CATALOG - FZN &amp; CHILL'!B444,"AAAAAH7999Q=")</f>
        <v>#VALUE!</v>
      </c>
      <c r="HF263" t="e">
        <f>AND('STERLING CATALOG - FZN &amp; CHILL'!C444,"AAAAAH7999U=")</f>
        <v>#VALUE!</v>
      </c>
      <c r="HG263" t="e">
        <f>AND('STERLING CATALOG - FZN &amp; CHILL'!D444,"AAAAAH7999Y=")</f>
        <v>#VALUE!</v>
      </c>
      <c r="HH263" t="e">
        <f>AND('STERLING CATALOG - FZN &amp; CHILL'!E444,"AAAAAH7999c=")</f>
        <v>#VALUE!</v>
      </c>
      <c r="HI263" t="e">
        <f>AND('STERLING CATALOG - FZN &amp; CHILL'!F444,"AAAAAH7999g=")</f>
        <v>#VALUE!</v>
      </c>
      <c r="HJ263" t="e">
        <f>AND('STERLING CATALOG - FZN &amp; CHILL'!G444,"AAAAAH7999k=")</f>
        <v>#VALUE!</v>
      </c>
      <c r="HK263" t="e">
        <f>AND('STERLING CATALOG - FZN &amp; CHILL'!H444,"AAAAAH7999o=")</f>
        <v>#VALUE!</v>
      </c>
      <c r="HL263" t="e">
        <f>AND('STERLING CATALOG - FZN &amp; CHILL'!I444,"AAAAAH7999s=")</f>
        <v>#VALUE!</v>
      </c>
      <c r="HM263" t="e">
        <f>AND('STERLING CATALOG - FZN &amp; CHILL'!J444,"AAAAAH7999w=")</f>
        <v>#VALUE!</v>
      </c>
      <c r="HN263">
        <f>IF('STERLING CATALOG - FZN &amp; CHILL'!445:445,"AAAAAH79990=",0)</f>
        <v>0</v>
      </c>
      <c r="HO263" t="e">
        <f>AND('STERLING CATALOG - FZN &amp; CHILL'!A445,"AAAAAH79994=")</f>
        <v>#VALUE!</v>
      </c>
      <c r="HP263" t="e">
        <f>AND('STERLING CATALOG - FZN &amp; CHILL'!B445,"AAAAAH79998=")</f>
        <v>#VALUE!</v>
      </c>
      <c r="HQ263" t="e">
        <f>AND('STERLING CATALOG - FZN &amp; CHILL'!C445,"AAAAAH799+A=")</f>
        <v>#VALUE!</v>
      </c>
      <c r="HR263" t="e">
        <f>AND('STERLING CATALOG - FZN &amp; CHILL'!D445,"AAAAAH799+E=")</f>
        <v>#VALUE!</v>
      </c>
      <c r="HS263" t="e">
        <f>AND('STERLING CATALOG - FZN &amp; CHILL'!E445,"AAAAAH799+I=")</f>
        <v>#VALUE!</v>
      </c>
      <c r="HT263" t="e">
        <f>AND('STERLING CATALOG - FZN &amp; CHILL'!F445,"AAAAAH799+M=")</f>
        <v>#VALUE!</v>
      </c>
      <c r="HU263" t="e">
        <f>AND('STERLING CATALOG - FZN &amp; CHILL'!G445,"AAAAAH799+Q=")</f>
        <v>#VALUE!</v>
      </c>
      <c r="HV263" t="e">
        <f>AND('STERLING CATALOG - FZN &amp; CHILL'!H445,"AAAAAH799+U=")</f>
        <v>#VALUE!</v>
      </c>
      <c r="HW263" t="e">
        <f>AND('STERLING CATALOG - FZN &amp; CHILL'!I445,"AAAAAH799+Y=")</f>
        <v>#VALUE!</v>
      </c>
      <c r="HX263" t="e">
        <f>AND('STERLING CATALOG - FZN &amp; CHILL'!J445,"AAAAAH799+c=")</f>
        <v>#VALUE!</v>
      </c>
      <c r="HY263">
        <f>IF('STERLING CATALOG - FZN &amp; CHILL'!446:446,"AAAAAH799+g=",0)</f>
        <v>0</v>
      </c>
      <c r="HZ263" t="e">
        <f>AND('STERLING CATALOG - FZN &amp; CHILL'!A446,"AAAAAH799+k=")</f>
        <v>#VALUE!</v>
      </c>
      <c r="IA263" t="e">
        <f>AND('STERLING CATALOG - FZN &amp; CHILL'!B446,"AAAAAH799+o=")</f>
        <v>#VALUE!</v>
      </c>
      <c r="IB263" t="e">
        <f>AND('STERLING CATALOG - FZN &amp; CHILL'!C446,"AAAAAH799+s=")</f>
        <v>#VALUE!</v>
      </c>
      <c r="IC263" t="e">
        <f>AND('STERLING CATALOG - FZN &amp; CHILL'!D446,"AAAAAH799+w=")</f>
        <v>#VALUE!</v>
      </c>
      <c r="ID263" t="e">
        <f>AND('STERLING CATALOG - FZN &amp; CHILL'!E446,"AAAAAH799+0=")</f>
        <v>#VALUE!</v>
      </c>
      <c r="IE263" t="e">
        <f>AND('STERLING CATALOG - FZN &amp; CHILL'!F446,"AAAAAH799+4=")</f>
        <v>#VALUE!</v>
      </c>
      <c r="IF263" t="e">
        <f>AND('STERLING CATALOG - FZN &amp; CHILL'!G446,"AAAAAH799+8=")</f>
        <v>#VALUE!</v>
      </c>
      <c r="IG263" t="e">
        <f>AND('STERLING CATALOG - FZN &amp; CHILL'!H446,"AAAAAH799/A=")</f>
        <v>#VALUE!</v>
      </c>
      <c r="IH263" t="e">
        <f>AND('STERLING CATALOG - FZN &amp; CHILL'!I446,"AAAAAH799/E=")</f>
        <v>#VALUE!</v>
      </c>
      <c r="II263" t="e">
        <f>AND('STERLING CATALOG - FZN &amp; CHILL'!J446,"AAAAAH799/I=")</f>
        <v>#VALUE!</v>
      </c>
      <c r="IJ263">
        <f>IF('STERLING CATALOG - FZN &amp; CHILL'!447:447,"AAAAAH799/M=",0)</f>
        <v>0</v>
      </c>
      <c r="IK263" t="e">
        <f>AND('STERLING CATALOG - FZN &amp; CHILL'!A447,"AAAAAH799/Q=")</f>
        <v>#VALUE!</v>
      </c>
      <c r="IL263" t="e">
        <f>AND('STERLING CATALOG - FZN &amp; CHILL'!B447,"AAAAAH799/U=")</f>
        <v>#VALUE!</v>
      </c>
      <c r="IM263" t="e">
        <f>AND('STERLING CATALOG - FZN &amp; CHILL'!C447,"AAAAAH799/Y=")</f>
        <v>#VALUE!</v>
      </c>
      <c r="IN263" t="e">
        <f>AND('STERLING CATALOG - FZN &amp; CHILL'!D447,"AAAAAH799/c=")</f>
        <v>#VALUE!</v>
      </c>
      <c r="IO263" t="e">
        <f>AND('STERLING CATALOG - FZN &amp; CHILL'!E447,"AAAAAH799/g=")</f>
        <v>#VALUE!</v>
      </c>
      <c r="IP263" t="e">
        <f>AND('STERLING CATALOG - FZN &amp; CHILL'!F447,"AAAAAH799/k=")</f>
        <v>#VALUE!</v>
      </c>
      <c r="IQ263" t="e">
        <f>AND('STERLING CATALOG - FZN &amp; CHILL'!G447,"AAAAAH799/o=")</f>
        <v>#VALUE!</v>
      </c>
      <c r="IR263" t="e">
        <f>AND('STERLING CATALOG - FZN &amp; CHILL'!H447,"AAAAAH799/s=")</f>
        <v>#VALUE!</v>
      </c>
      <c r="IS263" t="e">
        <f>AND('STERLING CATALOG - FZN &amp; CHILL'!I447,"AAAAAH799/w=")</f>
        <v>#VALUE!</v>
      </c>
      <c r="IT263" t="e">
        <f>AND('STERLING CATALOG - FZN &amp; CHILL'!J447,"AAAAAH799/0=")</f>
        <v>#VALUE!</v>
      </c>
      <c r="IU263">
        <f>IF('STERLING CATALOG - FZN &amp; CHILL'!448:448,"AAAAAH799/4=",0)</f>
        <v>0</v>
      </c>
      <c r="IV263" t="e">
        <f>AND('STERLING CATALOG - FZN &amp; CHILL'!A448,"AAAAAH799/8=")</f>
        <v>#VALUE!</v>
      </c>
    </row>
    <row r="264" spans="1:256">
      <c r="A264" t="e">
        <f>AND('STERLING CATALOG - FZN &amp; CHILL'!B448,"AAAAADXTfAA=")</f>
        <v>#VALUE!</v>
      </c>
      <c r="B264" t="e">
        <f>AND('STERLING CATALOG - FZN &amp; CHILL'!C448,"AAAAADXTfAE=")</f>
        <v>#VALUE!</v>
      </c>
      <c r="C264" t="e">
        <f>AND('STERLING CATALOG - FZN &amp; CHILL'!D448,"AAAAADXTfAI=")</f>
        <v>#VALUE!</v>
      </c>
      <c r="D264" t="e">
        <f>AND('STERLING CATALOG - FZN &amp; CHILL'!E448,"AAAAADXTfAM=")</f>
        <v>#VALUE!</v>
      </c>
      <c r="E264" t="e">
        <f>AND('STERLING CATALOG - FZN &amp; CHILL'!F448,"AAAAADXTfAQ=")</f>
        <v>#VALUE!</v>
      </c>
      <c r="F264" t="e">
        <f>AND('STERLING CATALOG - FZN &amp; CHILL'!G448,"AAAAADXTfAU=")</f>
        <v>#VALUE!</v>
      </c>
      <c r="G264" t="e">
        <f>AND('STERLING CATALOG - FZN &amp; CHILL'!H448,"AAAAADXTfAY=")</f>
        <v>#VALUE!</v>
      </c>
      <c r="H264" t="e">
        <f>AND('STERLING CATALOG - FZN &amp; CHILL'!I448,"AAAAADXTfAc=")</f>
        <v>#VALUE!</v>
      </c>
      <c r="I264" t="e">
        <f>AND('STERLING CATALOG - FZN &amp; CHILL'!J448,"AAAAADXTfAg=")</f>
        <v>#VALUE!</v>
      </c>
      <c r="J264" t="e">
        <f>IF('STERLING CATALOG - FZN &amp; CHILL'!449:449,"AAAAADXTfAk=",0)</f>
        <v>#VALUE!</v>
      </c>
      <c r="K264" t="e">
        <f>AND('STERLING CATALOG - FZN &amp; CHILL'!A449,"AAAAADXTfAo=")</f>
        <v>#VALUE!</v>
      </c>
      <c r="L264" t="e">
        <f>AND('STERLING CATALOG - FZN &amp; CHILL'!B449,"AAAAADXTfAs=")</f>
        <v>#VALUE!</v>
      </c>
      <c r="M264" t="e">
        <f>AND('STERLING CATALOG - FZN &amp; CHILL'!C449,"AAAAADXTfAw=")</f>
        <v>#VALUE!</v>
      </c>
      <c r="N264" t="e">
        <f>AND('STERLING CATALOG - FZN &amp; CHILL'!D449,"AAAAADXTfA0=")</f>
        <v>#VALUE!</v>
      </c>
      <c r="O264" t="e">
        <f>AND('STERLING CATALOG - FZN &amp; CHILL'!E449,"AAAAADXTfA4=")</f>
        <v>#VALUE!</v>
      </c>
      <c r="P264" t="e">
        <f>AND('STERLING CATALOG - FZN &amp; CHILL'!F449,"AAAAADXTfA8=")</f>
        <v>#VALUE!</v>
      </c>
      <c r="Q264" t="e">
        <f>AND('STERLING CATALOG - FZN &amp; CHILL'!G449,"AAAAADXTfBA=")</f>
        <v>#VALUE!</v>
      </c>
      <c r="R264" t="e">
        <f>AND('STERLING CATALOG - FZN &amp; CHILL'!H449,"AAAAADXTfBE=")</f>
        <v>#VALUE!</v>
      </c>
      <c r="S264" t="e">
        <f>AND('STERLING CATALOG - FZN &amp; CHILL'!I449,"AAAAADXTfBI=")</f>
        <v>#VALUE!</v>
      </c>
      <c r="T264" t="e">
        <f>AND('STERLING CATALOG - FZN &amp; CHILL'!J449,"AAAAADXTfBM=")</f>
        <v>#VALUE!</v>
      </c>
      <c r="U264">
        <f>IF('STERLING CATALOG - FZN &amp; CHILL'!450:450,"AAAAADXTfBQ=",0)</f>
        <v>0</v>
      </c>
      <c r="V264" t="e">
        <f>AND('STERLING CATALOG - FZN &amp; CHILL'!A450,"AAAAADXTfBU=")</f>
        <v>#VALUE!</v>
      </c>
      <c r="W264" t="e">
        <f>AND('STERLING CATALOG - FZN &amp; CHILL'!B450,"AAAAADXTfBY=")</f>
        <v>#VALUE!</v>
      </c>
      <c r="X264" t="e">
        <f>AND('STERLING CATALOG - FZN &amp; CHILL'!C450,"AAAAADXTfBc=")</f>
        <v>#VALUE!</v>
      </c>
      <c r="Y264" t="e">
        <f>AND('STERLING CATALOG - FZN &amp; CHILL'!D450,"AAAAADXTfBg=")</f>
        <v>#VALUE!</v>
      </c>
      <c r="Z264" t="e">
        <f>AND('STERLING CATALOG - FZN &amp; CHILL'!E450,"AAAAADXTfBk=")</f>
        <v>#VALUE!</v>
      </c>
      <c r="AA264" t="e">
        <f>AND('STERLING CATALOG - FZN &amp; CHILL'!F450,"AAAAADXTfBo=")</f>
        <v>#VALUE!</v>
      </c>
      <c r="AB264" t="e">
        <f>AND('STERLING CATALOG - FZN &amp; CHILL'!G450,"AAAAADXTfBs=")</f>
        <v>#VALUE!</v>
      </c>
      <c r="AC264" t="e">
        <f>AND('STERLING CATALOG - FZN &amp; CHILL'!H450,"AAAAADXTfBw=")</f>
        <v>#VALUE!</v>
      </c>
      <c r="AD264" t="e">
        <f>AND('STERLING CATALOG - FZN &amp; CHILL'!I450,"AAAAADXTfB0=")</f>
        <v>#VALUE!</v>
      </c>
      <c r="AE264" t="e">
        <f>AND('STERLING CATALOG - FZN &amp; CHILL'!J450,"AAAAADXTfB4=")</f>
        <v>#VALUE!</v>
      </c>
      <c r="AF264">
        <f>IF('STERLING CATALOG - FZN &amp; CHILL'!451:451,"AAAAADXTfB8=",0)</f>
        <v>0</v>
      </c>
      <c r="AG264" t="e">
        <f>AND('STERLING CATALOG - FZN &amp; CHILL'!A451,"AAAAADXTfCA=")</f>
        <v>#VALUE!</v>
      </c>
      <c r="AH264" t="e">
        <f>AND('STERLING CATALOG - FZN &amp; CHILL'!B451,"AAAAADXTfCE=")</f>
        <v>#VALUE!</v>
      </c>
      <c r="AI264" t="e">
        <f>AND('STERLING CATALOG - FZN &amp; CHILL'!C451,"AAAAADXTfCI=")</f>
        <v>#VALUE!</v>
      </c>
      <c r="AJ264" t="e">
        <f>AND('STERLING CATALOG - FZN &amp; CHILL'!D451,"AAAAADXTfCM=")</f>
        <v>#VALUE!</v>
      </c>
      <c r="AK264" t="e">
        <f>AND('STERLING CATALOG - FZN &amp; CHILL'!E451,"AAAAADXTfCQ=")</f>
        <v>#VALUE!</v>
      </c>
      <c r="AL264" t="e">
        <f>AND('STERLING CATALOG - FZN &amp; CHILL'!F451,"AAAAADXTfCU=")</f>
        <v>#VALUE!</v>
      </c>
      <c r="AM264" t="e">
        <f>AND('STERLING CATALOG - FZN &amp; CHILL'!G451,"AAAAADXTfCY=")</f>
        <v>#VALUE!</v>
      </c>
      <c r="AN264" t="e">
        <f>AND('STERLING CATALOG - FZN &amp; CHILL'!H451,"AAAAADXTfCc=")</f>
        <v>#VALUE!</v>
      </c>
      <c r="AO264" t="e">
        <f>AND('STERLING CATALOG - FZN &amp; CHILL'!I451,"AAAAADXTfCg=")</f>
        <v>#VALUE!</v>
      </c>
      <c r="AP264" t="e">
        <f>AND('STERLING CATALOG - FZN &amp; CHILL'!J451,"AAAAADXTfCk=")</f>
        <v>#VALUE!</v>
      </c>
      <c r="AQ264">
        <f>IF('STERLING CATALOG - FZN &amp; CHILL'!452:452,"AAAAADXTfCo=",0)</f>
        <v>0</v>
      </c>
      <c r="AR264" t="e">
        <f>AND('STERLING CATALOG - FZN &amp; CHILL'!A452,"AAAAADXTfCs=")</f>
        <v>#VALUE!</v>
      </c>
      <c r="AS264" t="e">
        <f>AND('STERLING CATALOG - FZN &amp; CHILL'!B452,"AAAAADXTfCw=")</f>
        <v>#VALUE!</v>
      </c>
      <c r="AT264" t="e">
        <f>AND('STERLING CATALOG - FZN &amp; CHILL'!C452,"AAAAADXTfC0=")</f>
        <v>#VALUE!</v>
      </c>
      <c r="AU264" t="e">
        <f>AND('STERLING CATALOG - FZN &amp; CHILL'!D452,"AAAAADXTfC4=")</f>
        <v>#VALUE!</v>
      </c>
      <c r="AV264" t="e">
        <f>AND('STERLING CATALOG - FZN &amp; CHILL'!E452,"AAAAADXTfC8=")</f>
        <v>#VALUE!</v>
      </c>
      <c r="AW264" t="e">
        <f>AND('STERLING CATALOG - FZN &amp; CHILL'!F452,"AAAAADXTfDA=")</f>
        <v>#VALUE!</v>
      </c>
      <c r="AX264" t="e">
        <f>AND('STERLING CATALOG - FZN &amp; CHILL'!G452,"AAAAADXTfDE=")</f>
        <v>#VALUE!</v>
      </c>
      <c r="AY264" t="e">
        <f>AND('STERLING CATALOG - FZN &amp; CHILL'!H452,"AAAAADXTfDI=")</f>
        <v>#VALUE!</v>
      </c>
      <c r="AZ264" t="e">
        <f>AND('STERLING CATALOG - FZN &amp; CHILL'!I452,"AAAAADXTfDM=")</f>
        <v>#VALUE!</v>
      </c>
      <c r="BA264" t="e">
        <f>AND('STERLING CATALOG - FZN &amp; CHILL'!J452,"AAAAADXTfDQ=")</f>
        <v>#VALUE!</v>
      </c>
      <c r="BB264">
        <f>IF('STERLING CATALOG - FZN &amp; CHILL'!453:453,"AAAAADXTfDU=",0)</f>
        <v>0</v>
      </c>
      <c r="BC264" t="e">
        <f>AND('STERLING CATALOG - FZN &amp; CHILL'!A453,"AAAAADXTfDY=")</f>
        <v>#VALUE!</v>
      </c>
      <c r="BD264" t="e">
        <f>AND('STERLING CATALOG - FZN &amp; CHILL'!B453,"AAAAADXTfDc=")</f>
        <v>#VALUE!</v>
      </c>
      <c r="BE264" t="e">
        <f>AND('STERLING CATALOG - FZN &amp; CHILL'!C453,"AAAAADXTfDg=")</f>
        <v>#VALUE!</v>
      </c>
      <c r="BF264" t="e">
        <f>AND('STERLING CATALOG - FZN &amp; CHILL'!D453,"AAAAADXTfDk=")</f>
        <v>#VALUE!</v>
      </c>
      <c r="BG264" t="e">
        <f>AND('STERLING CATALOG - FZN &amp; CHILL'!E453,"AAAAADXTfDo=")</f>
        <v>#VALUE!</v>
      </c>
      <c r="BH264" t="e">
        <f>AND('STERLING CATALOG - FZN &amp; CHILL'!F453,"AAAAADXTfDs=")</f>
        <v>#VALUE!</v>
      </c>
      <c r="BI264" t="e">
        <f>AND('STERLING CATALOG - FZN &amp; CHILL'!G453,"AAAAADXTfDw=")</f>
        <v>#VALUE!</v>
      </c>
      <c r="BJ264" t="e">
        <f>AND('STERLING CATALOG - FZN &amp; CHILL'!H453,"AAAAADXTfD0=")</f>
        <v>#VALUE!</v>
      </c>
      <c r="BK264" t="e">
        <f>AND('STERLING CATALOG - FZN &amp; CHILL'!I453,"AAAAADXTfD4=")</f>
        <v>#VALUE!</v>
      </c>
      <c r="BL264" t="e">
        <f>AND('STERLING CATALOG - FZN &amp; CHILL'!J453,"AAAAADXTfD8=")</f>
        <v>#VALUE!</v>
      </c>
      <c r="BM264">
        <f>IF('STERLING CATALOG - FZN &amp; CHILL'!454:454,"AAAAADXTfEA=",0)</f>
        <v>0</v>
      </c>
      <c r="BN264" t="e">
        <f>AND('STERLING CATALOG - FZN &amp; CHILL'!A454,"AAAAADXTfEE=")</f>
        <v>#VALUE!</v>
      </c>
      <c r="BO264" t="e">
        <f>AND('STERLING CATALOG - FZN &amp; CHILL'!B454,"AAAAADXTfEI=")</f>
        <v>#VALUE!</v>
      </c>
      <c r="BP264" t="e">
        <f>AND('STERLING CATALOG - FZN &amp; CHILL'!C454,"AAAAADXTfEM=")</f>
        <v>#VALUE!</v>
      </c>
      <c r="BQ264" t="e">
        <f>AND('STERLING CATALOG - FZN &amp; CHILL'!D454,"AAAAADXTfEQ=")</f>
        <v>#VALUE!</v>
      </c>
      <c r="BR264" t="e">
        <f>AND('STERLING CATALOG - FZN &amp; CHILL'!E454,"AAAAADXTfEU=")</f>
        <v>#VALUE!</v>
      </c>
      <c r="BS264" t="e">
        <f>AND('STERLING CATALOG - FZN &amp; CHILL'!F454,"AAAAADXTfEY=")</f>
        <v>#VALUE!</v>
      </c>
      <c r="BT264" t="e">
        <f>AND('STERLING CATALOG - FZN &amp; CHILL'!G454,"AAAAADXTfEc=")</f>
        <v>#VALUE!</v>
      </c>
      <c r="BU264" t="e">
        <f>AND('STERLING CATALOG - FZN &amp; CHILL'!H454,"AAAAADXTfEg=")</f>
        <v>#VALUE!</v>
      </c>
      <c r="BV264" t="e">
        <f>AND('STERLING CATALOG - FZN &amp; CHILL'!I454,"AAAAADXTfEk=")</f>
        <v>#VALUE!</v>
      </c>
      <c r="BW264" t="e">
        <f>AND('STERLING CATALOG - FZN &amp; CHILL'!J454,"AAAAADXTfEo=")</f>
        <v>#VALUE!</v>
      </c>
      <c r="BX264">
        <f>IF('STERLING CATALOG - FZN &amp; CHILL'!455:455,"AAAAADXTfEs=",0)</f>
        <v>0</v>
      </c>
      <c r="BY264" t="e">
        <f>AND('STERLING CATALOG - FZN &amp; CHILL'!A455,"AAAAADXTfEw=")</f>
        <v>#VALUE!</v>
      </c>
      <c r="BZ264" t="e">
        <f>AND('STERLING CATALOG - FZN &amp; CHILL'!B455,"AAAAADXTfE0=")</f>
        <v>#VALUE!</v>
      </c>
      <c r="CA264" t="e">
        <f>AND('STERLING CATALOG - FZN &amp; CHILL'!C455,"AAAAADXTfE4=")</f>
        <v>#VALUE!</v>
      </c>
      <c r="CB264" t="e">
        <f>AND('STERLING CATALOG - FZN &amp; CHILL'!D455,"AAAAADXTfE8=")</f>
        <v>#VALUE!</v>
      </c>
      <c r="CC264" t="e">
        <f>AND('STERLING CATALOG - FZN &amp; CHILL'!E455,"AAAAADXTfFA=")</f>
        <v>#VALUE!</v>
      </c>
      <c r="CD264" t="e">
        <f>AND('STERLING CATALOG - FZN &amp; CHILL'!F455,"AAAAADXTfFE=")</f>
        <v>#VALUE!</v>
      </c>
      <c r="CE264" t="e">
        <f>AND('STERLING CATALOG - FZN &amp; CHILL'!G455,"AAAAADXTfFI=")</f>
        <v>#VALUE!</v>
      </c>
      <c r="CF264" t="e">
        <f>AND('STERLING CATALOG - FZN &amp; CHILL'!H455,"AAAAADXTfFM=")</f>
        <v>#VALUE!</v>
      </c>
      <c r="CG264" t="e">
        <f>AND('STERLING CATALOG - FZN &amp; CHILL'!I455,"AAAAADXTfFQ=")</f>
        <v>#VALUE!</v>
      </c>
      <c r="CH264" t="e">
        <f>AND('STERLING CATALOG - FZN &amp; CHILL'!J455,"AAAAADXTfFU=")</f>
        <v>#VALUE!</v>
      </c>
      <c r="CI264">
        <f>IF('STERLING CATALOG - FZN &amp; CHILL'!456:456,"AAAAADXTfFY=",0)</f>
        <v>0</v>
      </c>
      <c r="CJ264" t="e">
        <f>AND('STERLING CATALOG - FZN &amp; CHILL'!A456,"AAAAADXTfFc=")</f>
        <v>#VALUE!</v>
      </c>
      <c r="CK264" t="e">
        <f>AND('STERLING CATALOG - FZN &amp; CHILL'!B456,"AAAAADXTfFg=")</f>
        <v>#VALUE!</v>
      </c>
      <c r="CL264" t="e">
        <f>AND('STERLING CATALOG - FZN &amp; CHILL'!C456,"AAAAADXTfFk=")</f>
        <v>#VALUE!</v>
      </c>
      <c r="CM264" t="e">
        <f>AND('STERLING CATALOG - FZN &amp; CHILL'!D456,"AAAAADXTfFo=")</f>
        <v>#VALUE!</v>
      </c>
      <c r="CN264" t="e">
        <f>AND('STERLING CATALOG - FZN &amp; CHILL'!E456,"AAAAADXTfFs=")</f>
        <v>#VALUE!</v>
      </c>
      <c r="CO264" t="e">
        <f>AND('STERLING CATALOG - FZN &amp; CHILL'!F456,"AAAAADXTfFw=")</f>
        <v>#VALUE!</v>
      </c>
      <c r="CP264" t="e">
        <f>AND('STERLING CATALOG - FZN &amp; CHILL'!G456,"AAAAADXTfF0=")</f>
        <v>#VALUE!</v>
      </c>
      <c r="CQ264" t="e">
        <f>AND('STERLING CATALOG - FZN &amp; CHILL'!H456,"AAAAADXTfF4=")</f>
        <v>#VALUE!</v>
      </c>
      <c r="CR264" t="e">
        <f>AND('STERLING CATALOG - FZN &amp; CHILL'!I456,"AAAAADXTfF8=")</f>
        <v>#VALUE!</v>
      </c>
      <c r="CS264" t="e">
        <f>AND('STERLING CATALOG - FZN &amp; CHILL'!J456,"AAAAADXTfGA=")</f>
        <v>#VALUE!</v>
      </c>
      <c r="CT264">
        <f>IF('STERLING CATALOG - FZN &amp; CHILL'!457:457,"AAAAADXTfGE=",0)</f>
        <v>0</v>
      </c>
      <c r="CU264" t="e">
        <f>AND('STERLING CATALOG - FZN &amp; CHILL'!A457,"AAAAADXTfGI=")</f>
        <v>#VALUE!</v>
      </c>
      <c r="CV264" t="e">
        <f>AND('STERLING CATALOG - FZN &amp; CHILL'!B457,"AAAAADXTfGM=")</f>
        <v>#VALUE!</v>
      </c>
      <c r="CW264" t="e">
        <f>AND('STERLING CATALOG - FZN &amp; CHILL'!C457,"AAAAADXTfGQ=")</f>
        <v>#VALUE!</v>
      </c>
      <c r="CX264" t="e">
        <f>AND('STERLING CATALOG - FZN &amp; CHILL'!D457,"AAAAADXTfGU=")</f>
        <v>#VALUE!</v>
      </c>
      <c r="CY264" t="e">
        <f>AND('STERLING CATALOG - FZN &amp; CHILL'!E457,"AAAAADXTfGY=")</f>
        <v>#VALUE!</v>
      </c>
      <c r="CZ264" t="e">
        <f>AND('STERLING CATALOG - FZN &amp; CHILL'!F457,"AAAAADXTfGc=")</f>
        <v>#VALUE!</v>
      </c>
      <c r="DA264" t="e">
        <f>AND('STERLING CATALOG - FZN &amp; CHILL'!G457,"AAAAADXTfGg=")</f>
        <v>#VALUE!</v>
      </c>
      <c r="DB264" t="e">
        <f>AND('STERLING CATALOG - FZN &amp; CHILL'!H457,"AAAAADXTfGk=")</f>
        <v>#VALUE!</v>
      </c>
      <c r="DC264" t="e">
        <f>AND('STERLING CATALOG - FZN &amp; CHILL'!I457,"AAAAADXTfGo=")</f>
        <v>#VALUE!</v>
      </c>
      <c r="DD264" t="e">
        <f>AND('STERLING CATALOG - FZN &amp; CHILL'!J457,"AAAAADXTfGs=")</f>
        <v>#VALUE!</v>
      </c>
      <c r="DE264">
        <f>IF('STERLING CATALOG - FZN &amp; CHILL'!458:458,"AAAAADXTfGw=",0)</f>
        <v>0</v>
      </c>
      <c r="DF264" t="e">
        <f>AND('STERLING CATALOG - FZN &amp; CHILL'!A458,"AAAAADXTfG0=")</f>
        <v>#VALUE!</v>
      </c>
      <c r="DG264" t="e">
        <f>AND('STERLING CATALOG - FZN &amp; CHILL'!B458,"AAAAADXTfG4=")</f>
        <v>#VALUE!</v>
      </c>
      <c r="DH264" t="e">
        <f>AND('STERLING CATALOG - FZN &amp; CHILL'!C458,"AAAAADXTfG8=")</f>
        <v>#VALUE!</v>
      </c>
      <c r="DI264" t="e">
        <f>AND('STERLING CATALOG - FZN &amp; CHILL'!D458,"AAAAADXTfHA=")</f>
        <v>#VALUE!</v>
      </c>
      <c r="DJ264" t="e">
        <f>AND('STERLING CATALOG - FZN &amp; CHILL'!E458,"AAAAADXTfHE=")</f>
        <v>#VALUE!</v>
      </c>
      <c r="DK264" t="e">
        <f>AND('STERLING CATALOG - FZN &amp; CHILL'!F458,"AAAAADXTfHI=")</f>
        <v>#VALUE!</v>
      </c>
      <c r="DL264" t="e">
        <f>AND('STERLING CATALOG - FZN &amp; CHILL'!G458,"AAAAADXTfHM=")</f>
        <v>#VALUE!</v>
      </c>
      <c r="DM264" t="e">
        <f>AND('STERLING CATALOG - FZN &amp; CHILL'!H458,"AAAAADXTfHQ=")</f>
        <v>#VALUE!</v>
      </c>
      <c r="DN264" t="e">
        <f>AND('STERLING CATALOG - FZN &amp; CHILL'!I458,"AAAAADXTfHU=")</f>
        <v>#VALUE!</v>
      </c>
      <c r="DO264" t="e">
        <f>AND('STERLING CATALOG - FZN &amp; CHILL'!J458,"AAAAADXTfHY=")</f>
        <v>#VALUE!</v>
      </c>
      <c r="DP264">
        <f>IF('STERLING CATALOG - FZN &amp; CHILL'!459:459,"AAAAADXTfHc=",0)</f>
        <v>0</v>
      </c>
      <c r="DQ264" t="e">
        <f>AND('STERLING CATALOG - FZN &amp; CHILL'!A459,"AAAAADXTfHg=")</f>
        <v>#VALUE!</v>
      </c>
      <c r="DR264" t="e">
        <f>AND('STERLING CATALOG - FZN &amp; CHILL'!B459,"AAAAADXTfHk=")</f>
        <v>#VALUE!</v>
      </c>
      <c r="DS264" t="e">
        <f>AND('STERLING CATALOG - FZN &amp; CHILL'!C459,"AAAAADXTfHo=")</f>
        <v>#VALUE!</v>
      </c>
      <c r="DT264" t="e">
        <f>AND('STERLING CATALOG - FZN &amp; CHILL'!D459,"AAAAADXTfHs=")</f>
        <v>#VALUE!</v>
      </c>
      <c r="DU264" t="e">
        <f>AND('STERLING CATALOG - FZN &amp; CHILL'!E459,"AAAAADXTfHw=")</f>
        <v>#VALUE!</v>
      </c>
      <c r="DV264" t="e">
        <f>AND('STERLING CATALOG - FZN &amp; CHILL'!F459,"AAAAADXTfH0=")</f>
        <v>#VALUE!</v>
      </c>
      <c r="DW264" t="e">
        <f>AND('STERLING CATALOG - FZN &amp; CHILL'!G459,"AAAAADXTfH4=")</f>
        <v>#VALUE!</v>
      </c>
      <c r="DX264" t="e">
        <f>AND('STERLING CATALOG - FZN &amp; CHILL'!H459,"AAAAADXTfH8=")</f>
        <v>#VALUE!</v>
      </c>
      <c r="DY264" t="e">
        <f>AND('STERLING CATALOG - FZN &amp; CHILL'!I459,"AAAAADXTfIA=")</f>
        <v>#VALUE!</v>
      </c>
      <c r="DZ264" t="e">
        <f>AND('STERLING CATALOG - FZN &amp; CHILL'!J459,"AAAAADXTfIE=")</f>
        <v>#VALUE!</v>
      </c>
      <c r="EA264">
        <f>IF('STERLING CATALOG - FZN &amp; CHILL'!460:460,"AAAAADXTfII=",0)</f>
        <v>0</v>
      </c>
      <c r="EB264" t="e">
        <f>AND('STERLING CATALOG - FZN &amp; CHILL'!A460,"AAAAADXTfIM=")</f>
        <v>#VALUE!</v>
      </c>
      <c r="EC264" t="e">
        <f>AND('STERLING CATALOG - FZN &amp; CHILL'!B460,"AAAAADXTfIQ=")</f>
        <v>#VALUE!</v>
      </c>
      <c r="ED264" t="e">
        <f>AND('STERLING CATALOG - FZN &amp; CHILL'!C460,"AAAAADXTfIU=")</f>
        <v>#VALUE!</v>
      </c>
      <c r="EE264" t="e">
        <f>AND('STERLING CATALOG - FZN &amp; CHILL'!D460,"AAAAADXTfIY=")</f>
        <v>#VALUE!</v>
      </c>
      <c r="EF264" t="e">
        <f>AND('STERLING CATALOG - FZN &amp; CHILL'!E460,"AAAAADXTfIc=")</f>
        <v>#VALUE!</v>
      </c>
      <c r="EG264" t="e">
        <f>AND('STERLING CATALOG - FZN &amp; CHILL'!F460,"AAAAADXTfIg=")</f>
        <v>#VALUE!</v>
      </c>
      <c r="EH264" t="e">
        <f>AND('STERLING CATALOG - FZN &amp; CHILL'!G460,"AAAAADXTfIk=")</f>
        <v>#VALUE!</v>
      </c>
      <c r="EI264" t="e">
        <f>AND('STERLING CATALOG - FZN &amp; CHILL'!H460,"AAAAADXTfIo=")</f>
        <v>#VALUE!</v>
      </c>
      <c r="EJ264" t="e">
        <f>AND('STERLING CATALOG - FZN &amp; CHILL'!I460,"AAAAADXTfIs=")</f>
        <v>#VALUE!</v>
      </c>
      <c r="EK264" t="e">
        <f>AND('STERLING CATALOG - FZN &amp; CHILL'!J460,"AAAAADXTfIw=")</f>
        <v>#VALUE!</v>
      </c>
      <c r="EL264">
        <f>IF('STERLING CATALOG - FZN &amp; CHILL'!461:461,"AAAAADXTfI0=",0)</f>
        <v>0</v>
      </c>
      <c r="EM264" t="e">
        <f>AND('STERLING CATALOG - FZN &amp; CHILL'!A461,"AAAAADXTfI4=")</f>
        <v>#VALUE!</v>
      </c>
      <c r="EN264" t="e">
        <f>AND('STERLING CATALOG - FZN &amp; CHILL'!B461,"AAAAADXTfI8=")</f>
        <v>#VALUE!</v>
      </c>
      <c r="EO264" t="e">
        <f>AND('STERLING CATALOG - FZN &amp; CHILL'!C461,"AAAAADXTfJA=")</f>
        <v>#VALUE!</v>
      </c>
      <c r="EP264" t="e">
        <f>AND('STERLING CATALOG - FZN &amp; CHILL'!D461,"AAAAADXTfJE=")</f>
        <v>#VALUE!</v>
      </c>
      <c r="EQ264" t="e">
        <f>AND('STERLING CATALOG - FZN &amp; CHILL'!E461,"AAAAADXTfJI=")</f>
        <v>#VALUE!</v>
      </c>
      <c r="ER264" t="e">
        <f>AND('STERLING CATALOG - FZN &amp; CHILL'!F461,"AAAAADXTfJM=")</f>
        <v>#VALUE!</v>
      </c>
      <c r="ES264" t="e">
        <f>AND('STERLING CATALOG - FZN &amp; CHILL'!G461,"AAAAADXTfJQ=")</f>
        <v>#VALUE!</v>
      </c>
      <c r="ET264" t="e">
        <f>AND('STERLING CATALOG - FZN &amp; CHILL'!H461,"AAAAADXTfJU=")</f>
        <v>#VALUE!</v>
      </c>
      <c r="EU264" t="e">
        <f>AND('STERLING CATALOG - FZN &amp; CHILL'!I461,"AAAAADXTfJY=")</f>
        <v>#VALUE!</v>
      </c>
      <c r="EV264" t="e">
        <f>AND('STERLING CATALOG - FZN &amp; CHILL'!J461,"AAAAADXTfJc=")</f>
        <v>#VALUE!</v>
      </c>
      <c r="EW264">
        <f>IF('STERLING CATALOG - FZN &amp; CHILL'!462:462,"AAAAADXTfJg=",0)</f>
        <v>0</v>
      </c>
      <c r="EX264" t="e">
        <f>AND('STERLING CATALOG - FZN &amp; CHILL'!A462,"AAAAADXTfJk=")</f>
        <v>#VALUE!</v>
      </c>
      <c r="EY264" t="e">
        <f>AND('STERLING CATALOG - FZN &amp; CHILL'!B462,"AAAAADXTfJo=")</f>
        <v>#VALUE!</v>
      </c>
      <c r="EZ264" t="e">
        <f>AND('STERLING CATALOG - FZN &amp; CHILL'!C462,"AAAAADXTfJs=")</f>
        <v>#VALUE!</v>
      </c>
      <c r="FA264" t="e">
        <f>AND('STERLING CATALOG - FZN &amp; CHILL'!D462,"AAAAADXTfJw=")</f>
        <v>#VALUE!</v>
      </c>
      <c r="FB264" t="e">
        <f>AND('STERLING CATALOG - FZN &amp; CHILL'!E462,"AAAAADXTfJ0=")</f>
        <v>#VALUE!</v>
      </c>
      <c r="FC264" t="e">
        <f>AND('STERLING CATALOG - FZN &amp; CHILL'!F462,"AAAAADXTfJ4=")</f>
        <v>#VALUE!</v>
      </c>
      <c r="FD264" t="e">
        <f>AND('STERLING CATALOG - FZN &amp; CHILL'!G462,"AAAAADXTfJ8=")</f>
        <v>#VALUE!</v>
      </c>
      <c r="FE264" t="e">
        <f>AND('STERLING CATALOG - FZN &amp; CHILL'!H462,"AAAAADXTfKA=")</f>
        <v>#VALUE!</v>
      </c>
      <c r="FF264" t="e">
        <f>AND('STERLING CATALOG - FZN &amp; CHILL'!I462,"AAAAADXTfKE=")</f>
        <v>#VALUE!</v>
      </c>
      <c r="FG264" t="e">
        <f>AND('STERLING CATALOG - FZN &amp; CHILL'!J462,"AAAAADXTfKI=")</f>
        <v>#VALUE!</v>
      </c>
      <c r="FH264">
        <f>IF('STERLING CATALOG - FZN &amp; CHILL'!463:463,"AAAAADXTfKM=",0)</f>
        <v>0</v>
      </c>
      <c r="FI264" t="e">
        <f>AND('STERLING CATALOG - FZN &amp; CHILL'!A463,"AAAAADXTfKQ=")</f>
        <v>#VALUE!</v>
      </c>
      <c r="FJ264" t="e">
        <f>AND('STERLING CATALOG - FZN &amp; CHILL'!B463,"AAAAADXTfKU=")</f>
        <v>#VALUE!</v>
      </c>
      <c r="FK264" t="e">
        <f>AND('STERLING CATALOG - FZN &amp; CHILL'!C463,"AAAAADXTfKY=")</f>
        <v>#VALUE!</v>
      </c>
      <c r="FL264" t="e">
        <f>AND('STERLING CATALOG - FZN &amp; CHILL'!D463,"AAAAADXTfKc=")</f>
        <v>#VALUE!</v>
      </c>
      <c r="FM264" t="e">
        <f>AND('STERLING CATALOG - FZN &amp; CHILL'!E463,"AAAAADXTfKg=")</f>
        <v>#VALUE!</v>
      </c>
      <c r="FN264" t="e">
        <f>AND('STERLING CATALOG - FZN &amp; CHILL'!F463,"AAAAADXTfKk=")</f>
        <v>#VALUE!</v>
      </c>
      <c r="FO264" t="e">
        <f>AND('STERLING CATALOG - FZN &amp; CHILL'!G463,"AAAAADXTfKo=")</f>
        <v>#VALUE!</v>
      </c>
      <c r="FP264" t="e">
        <f>AND('STERLING CATALOG - FZN &amp; CHILL'!H463,"AAAAADXTfKs=")</f>
        <v>#VALUE!</v>
      </c>
      <c r="FQ264" t="e">
        <f>AND('STERLING CATALOG - FZN &amp; CHILL'!I463,"AAAAADXTfKw=")</f>
        <v>#VALUE!</v>
      </c>
      <c r="FR264" t="e">
        <f>AND('STERLING CATALOG - FZN &amp; CHILL'!J463,"AAAAADXTfK0=")</f>
        <v>#VALUE!</v>
      </c>
      <c r="FS264">
        <f>IF('STERLING CATALOG - FZN &amp; CHILL'!464:464,"AAAAADXTfK4=",0)</f>
        <v>0</v>
      </c>
      <c r="FT264" t="e">
        <f>AND('STERLING CATALOG - FZN &amp; CHILL'!A464,"AAAAADXTfK8=")</f>
        <v>#VALUE!</v>
      </c>
      <c r="FU264" t="e">
        <f>AND('STERLING CATALOG - FZN &amp; CHILL'!B464,"AAAAADXTfLA=")</f>
        <v>#VALUE!</v>
      </c>
      <c r="FV264" t="e">
        <f>AND('STERLING CATALOG - FZN &amp; CHILL'!C464,"AAAAADXTfLE=")</f>
        <v>#VALUE!</v>
      </c>
      <c r="FW264" t="e">
        <f>AND('STERLING CATALOG - FZN &amp; CHILL'!D464,"AAAAADXTfLI=")</f>
        <v>#VALUE!</v>
      </c>
      <c r="FX264" t="e">
        <f>AND('STERLING CATALOG - FZN &amp; CHILL'!E464,"AAAAADXTfLM=")</f>
        <v>#VALUE!</v>
      </c>
      <c r="FY264" t="e">
        <f>AND('STERLING CATALOG - FZN &amp; CHILL'!F464,"AAAAADXTfLQ=")</f>
        <v>#VALUE!</v>
      </c>
      <c r="FZ264" t="e">
        <f>AND('STERLING CATALOG - FZN &amp; CHILL'!G464,"AAAAADXTfLU=")</f>
        <v>#VALUE!</v>
      </c>
      <c r="GA264" t="e">
        <f>AND('STERLING CATALOG - FZN &amp; CHILL'!H464,"AAAAADXTfLY=")</f>
        <v>#VALUE!</v>
      </c>
      <c r="GB264" t="e">
        <f>AND('STERLING CATALOG - FZN &amp; CHILL'!I464,"AAAAADXTfLc=")</f>
        <v>#VALUE!</v>
      </c>
      <c r="GC264" t="e">
        <f>AND('STERLING CATALOG - FZN &amp; CHILL'!J464,"AAAAADXTfLg=")</f>
        <v>#VALUE!</v>
      </c>
      <c r="GD264">
        <f>IF('STERLING CATALOG - FZN &amp; CHILL'!465:465,"AAAAADXTfLk=",0)</f>
        <v>0</v>
      </c>
      <c r="GE264" t="e">
        <f>AND('STERLING CATALOG - FZN &amp; CHILL'!A465,"AAAAADXTfLo=")</f>
        <v>#VALUE!</v>
      </c>
      <c r="GF264" t="e">
        <f>AND('STERLING CATALOG - FZN &amp; CHILL'!B465,"AAAAADXTfLs=")</f>
        <v>#VALUE!</v>
      </c>
      <c r="GG264" t="e">
        <f>AND('STERLING CATALOG - FZN &amp; CHILL'!C465,"AAAAADXTfLw=")</f>
        <v>#VALUE!</v>
      </c>
      <c r="GH264" t="e">
        <f>AND('STERLING CATALOG - FZN &amp; CHILL'!D465,"AAAAADXTfL0=")</f>
        <v>#VALUE!</v>
      </c>
      <c r="GI264" t="e">
        <f>AND('STERLING CATALOG - FZN &amp; CHILL'!E465,"AAAAADXTfL4=")</f>
        <v>#VALUE!</v>
      </c>
      <c r="GJ264" t="e">
        <f>AND('STERLING CATALOG - FZN &amp; CHILL'!F465,"AAAAADXTfL8=")</f>
        <v>#VALUE!</v>
      </c>
      <c r="GK264" t="e">
        <f>AND('STERLING CATALOG - FZN &amp; CHILL'!G465,"AAAAADXTfMA=")</f>
        <v>#VALUE!</v>
      </c>
      <c r="GL264" t="e">
        <f>AND('STERLING CATALOG - FZN &amp; CHILL'!H465,"AAAAADXTfME=")</f>
        <v>#VALUE!</v>
      </c>
      <c r="GM264" t="e">
        <f>AND('STERLING CATALOG - FZN &amp; CHILL'!I465,"AAAAADXTfMI=")</f>
        <v>#VALUE!</v>
      </c>
      <c r="GN264" t="e">
        <f>AND('STERLING CATALOG - FZN &amp; CHILL'!J465,"AAAAADXTfMM=")</f>
        <v>#VALUE!</v>
      </c>
      <c r="GO264">
        <f>IF('STERLING CATALOG - FZN &amp; CHILL'!466:466,"AAAAADXTfMQ=",0)</f>
        <v>0</v>
      </c>
      <c r="GP264" t="e">
        <f>AND('STERLING CATALOG - FZN &amp; CHILL'!A466,"AAAAADXTfMU=")</f>
        <v>#VALUE!</v>
      </c>
      <c r="GQ264" t="e">
        <f>AND('STERLING CATALOG - FZN &amp; CHILL'!B466,"AAAAADXTfMY=")</f>
        <v>#VALUE!</v>
      </c>
      <c r="GR264" t="e">
        <f>AND('STERLING CATALOG - FZN &amp; CHILL'!C466,"AAAAADXTfMc=")</f>
        <v>#VALUE!</v>
      </c>
      <c r="GS264" t="e">
        <f>AND('STERLING CATALOG - FZN &amp; CHILL'!D466,"AAAAADXTfMg=")</f>
        <v>#VALUE!</v>
      </c>
      <c r="GT264" t="e">
        <f>AND('STERLING CATALOG - FZN &amp; CHILL'!E466,"AAAAADXTfMk=")</f>
        <v>#VALUE!</v>
      </c>
      <c r="GU264" t="e">
        <f>AND('STERLING CATALOG - FZN &amp; CHILL'!F466,"AAAAADXTfMo=")</f>
        <v>#VALUE!</v>
      </c>
      <c r="GV264" t="e">
        <f>AND('STERLING CATALOG - FZN &amp; CHILL'!G466,"AAAAADXTfMs=")</f>
        <v>#VALUE!</v>
      </c>
      <c r="GW264" t="e">
        <f>AND('STERLING CATALOG - FZN &amp; CHILL'!H466,"AAAAADXTfMw=")</f>
        <v>#VALUE!</v>
      </c>
      <c r="GX264" t="e">
        <f>AND('STERLING CATALOG - FZN &amp; CHILL'!I466,"AAAAADXTfM0=")</f>
        <v>#VALUE!</v>
      </c>
      <c r="GY264" t="e">
        <f>AND('STERLING CATALOG - FZN &amp; CHILL'!J466,"AAAAADXTfM4=")</f>
        <v>#VALUE!</v>
      </c>
      <c r="GZ264">
        <f>IF('STERLING CATALOG - FZN &amp; CHILL'!467:467,"AAAAADXTfM8=",0)</f>
        <v>0</v>
      </c>
      <c r="HA264" t="e">
        <f>AND('STERLING CATALOG - FZN &amp; CHILL'!A467,"AAAAADXTfNA=")</f>
        <v>#VALUE!</v>
      </c>
      <c r="HB264" t="e">
        <f>AND('STERLING CATALOG - FZN &amp; CHILL'!B467,"AAAAADXTfNE=")</f>
        <v>#VALUE!</v>
      </c>
      <c r="HC264" t="e">
        <f>AND('STERLING CATALOG - FZN &amp; CHILL'!C467,"AAAAADXTfNI=")</f>
        <v>#VALUE!</v>
      </c>
      <c r="HD264" t="e">
        <f>AND('STERLING CATALOG - FZN &amp; CHILL'!D467,"AAAAADXTfNM=")</f>
        <v>#VALUE!</v>
      </c>
      <c r="HE264" t="e">
        <f>AND('STERLING CATALOG - FZN &amp; CHILL'!E467,"AAAAADXTfNQ=")</f>
        <v>#VALUE!</v>
      </c>
      <c r="HF264" t="e">
        <f>AND('STERLING CATALOG - FZN &amp; CHILL'!F467,"AAAAADXTfNU=")</f>
        <v>#VALUE!</v>
      </c>
      <c r="HG264" t="e">
        <f>AND('STERLING CATALOG - FZN &amp; CHILL'!G467,"AAAAADXTfNY=")</f>
        <v>#VALUE!</v>
      </c>
      <c r="HH264" t="e">
        <f>AND('STERLING CATALOG - FZN &amp; CHILL'!H467,"AAAAADXTfNc=")</f>
        <v>#VALUE!</v>
      </c>
      <c r="HI264" t="e">
        <f>AND('STERLING CATALOG - FZN &amp; CHILL'!I467,"AAAAADXTfNg=")</f>
        <v>#VALUE!</v>
      </c>
      <c r="HJ264" t="e">
        <f>AND('STERLING CATALOG - FZN &amp; CHILL'!J467,"AAAAADXTfNk=")</f>
        <v>#VALUE!</v>
      </c>
      <c r="HK264">
        <f>IF('STERLING CATALOG - FZN &amp; CHILL'!468:468,"AAAAADXTfNo=",0)</f>
        <v>0</v>
      </c>
      <c r="HL264" t="e">
        <f>AND('STERLING CATALOG - FZN &amp; CHILL'!A468,"AAAAADXTfNs=")</f>
        <v>#VALUE!</v>
      </c>
      <c r="HM264" t="e">
        <f>AND('STERLING CATALOG - FZN &amp; CHILL'!B468,"AAAAADXTfNw=")</f>
        <v>#VALUE!</v>
      </c>
      <c r="HN264" t="e">
        <f>AND('STERLING CATALOG - FZN &amp; CHILL'!C468,"AAAAADXTfN0=")</f>
        <v>#VALUE!</v>
      </c>
      <c r="HO264" t="e">
        <f>AND('STERLING CATALOG - FZN &amp; CHILL'!D468,"AAAAADXTfN4=")</f>
        <v>#VALUE!</v>
      </c>
      <c r="HP264" t="e">
        <f>AND('STERLING CATALOG - FZN &amp; CHILL'!E468,"AAAAADXTfN8=")</f>
        <v>#VALUE!</v>
      </c>
      <c r="HQ264" t="e">
        <f>AND('STERLING CATALOG - FZN &amp; CHILL'!F468,"AAAAADXTfOA=")</f>
        <v>#VALUE!</v>
      </c>
      <c r="HR264" t="e">
        <f>AND('STERLING CATALOG - FZN &amp; CHILL'!G468,"AAAAADXTfOE=")</f>
        <v>#VALUE!</v>
      </c>
      <c r="HS264" t="e">
        <f>AND('STERLING CATALOG - FZN &amp; CHILL'!H468,"AAAAADXTfOI=")</f>
        <v>#VALUE!</v>
      </c>
      <c r="HT264" t="e">
        <f>AND('STERLING CATALOG - FZN &amp; CHILL'!I468,"AAAAADXTfOM=")</f>
        <v>#VALUE!</v>
      </c>
      <c r="HU264" t="e">
        <f>AND('STERLING CATALOG - FZN &amp; CHILL'!J468,"AAAAADXTfOQ=")</f>
        <v>#VALUE!</v>
      </c>
      <c r="HV264">
        <f>IF('STERLING CATALOG - FZN &amp; CHILL'!469:469,"AAAAADXTfOU=",0)</f>
        <v>0</v>
      </c>
      <c r="HW264" t="e">
        <f>AND('STERLING CATALOG - FZN &amp; CHILL'!A469,"AAAAADXTfOY=")</f>
        <v>#VALUE!</v>
      </c>
      <c r="HX264" t="e">
        <f>AND('STERLING CATALOG - FZN &amp; CHILL'!B469,"AAAAADXTfOc=")</f>
        <v>#VALUE!</v>
      </c>
      <c r="HY264" t="e">
        <f>AND('STERLING CATALOG - FZN &amp; CHILL'!C469,"AAAAADXTfOg=")</f>
        <v>#VALUE!</v>
      </c>
      <c r="HZ264" t="e">
        <f>AND('STERLING CATALOG - FZN &amp; CHILL'!D469,"AAAAADXTfOk=")</f>
        <v>#VALUE!</v>
      </c>
      <c r="IA264" t="e">
        <f>AND('STERLING CATALOG - FZN &amp; CHILL'!E469,"AAAAADXTfOo=")</f>
        <v>#VALUE!</v>
      </c>
      <c r="IB264" t="e">
        <f>AND('STERLING CATALOG - FZN &amp; CHILL'!F469,"AAAAADXTfOs=")</f>
        <v>#VALUE!</v>
      </c>
      <c r="IC264" t="e">
        <f>AND('STERLING CATALOG - FZN &amp; CHILL'!G469,"AAAAADXTfOw=")</f>
        <v>#VALUE!</v>
      </c>
      <c r="ID264" t="e">
        <f>AND('STERLING CATALOG - FZN &amp; CHILL'!H469,"AAAAADXTfO0=")</f>
        <v>#VALUE!</v>
      </c>
      <c r="IE264" t="e">
        <f>AND('STERLING CATALOG - FZN &amp; CHILL'!I469,"AAAAADXTfO4=")</f>
        <v>#VALUE!</v>
      </c>
      <c r="IF264" t="e">
        <f>AND('STERLING CATALOG - FZN &amp; CHILL'!J469,"AAAAADXTfO8=")</f>
        <v>#VALUE!</v>
      </c>
      <c r="IG264">
        <f>IF('STERLING CATALOG - FZN &amp; CHILL'!470:470,"AAAAADXTfPA=",0)</f>
        <v>0</v>
      </c>
      <c r="IH264" t="e">
        <f>AND('STERLING CATALOG - FZN &amp; CHILL'!A470,"AAAAADXTfPE=")</f>
        <v>#VALUE!</v>
      </c>
      <c r="II264" t="e">
        <f>AND('STERLING CATALOG - FZN &amp; CHILL'!B470,"AAAAADXTfPI=")</f>
        <v>#VALUE!</v>
      </c>
      <c r="IJ264" t="e">
        <f>AND('STERLING CATALOG - FZN &amp; CHILL'!C470,"AAAAADXTfPM=")</f>
        <v>#VALUE!</v>
      </c>
      <c r="IK264" t="e">
        <f>AND('STERLING CATALOG - FZN &amp; CHILL'!D470,"AAAAADXTfPQ=")</f>
        <v>#VALUE!</v>
      </c>
      <c r="IL264" t="e">
        <f>AND('STERLING CATALOG - FZN &amp; CHILL'!E470,"AAAAADXTfPU=")</f>
        <v>#VALUE!</v>
      </c>
      <c r="IM264" t="e">
        <f>AND('STERLING CATALOG - FZN &amp; CHILL'!F470,"AAAAADXTfPY=")</f>
        <v>#VALUE!</v>
      </c>
      <c r="IN264" t="e">
        <f>AND('STERLING CATALOG - FZN &amp; CHILL'!G470,"AAAAADXTfPc=")</f>
        <v>#VALUE!</v>
      </c>
      <c r="IO264" t="e">
        <f>AND('STERLING CATALOG - FZN &amp; CHILL'!H470,"AAAAADXTfPg=")</f>
        <v>#VALUE!</v>
      </c>
      <c r="IP264" t="e">
        <f>AND('STERLING CATALOG - FZN &amp; CHILL'!I470,"AAAAADXTfPk=")</f>
        <v>#VALUE!</v>
      </c>
      <c r="IQ264" t="e">
        <f>AND('STERLING CATALOG - FZN &amp; CHILL'!J470,"AAAAADXTfPo=")</f>
        <v>#VALUE!</v>
      </c>
      <c r="IR264">
        <f>IF('STERLING CATALOG - FZN &amp; CHILL'!471:471,"AAAAADXTfPs=",0)</f>
        <v>0</v>
      </c>
      <c r="IS264" t="e">
        <f>AND('STERLING CATALOG - FZN &amp; CHILL'!A471,"AAAAADXTfPw=")</f>
        <v>#VALUE!</v>
      </c>
      <c r="IT264" t="e">
        <f>AND('STERLING CATALOG - FZN &amp; CHILL'!B471,"AAAAADXTfP0=")</f>
        <v>#VALUE!</v>
      </c>
      <c r="IU264" t="e">
        <f>AND('STERLING CATALOG - FZN &amp; CHILL'!C471,"AAAAADXTfP4=")</f>
        <v>#VALUE!</v>
      </c>
      <c r="IV264" t="e">
        <f>AND('STERLING CATALOG - FZN &amp; CHILL'!D471,"AAAAADXTfP8=")</f>
        <v>#VALUE!</v>
      </c>
    </row>
    <row r="265" spans="1:256">
      <c r="A265" t="e">
        <f>AND('STERLING CATALOG - FZN &amp; CHILL'!E471,"AAAAAH9zPgA=")</f>
        <v>#VALUE!</v>
      </c>
      <c r="B265" t="e">
        <f>AND('STERLING CATALOG - FZN &amp; CHILL'!F471,"AAAAAH9zPgE=")</f>
        <v>#VALUE!</v>
      </c>
      <c r="C265" t="e">
        <f>AND('STERLING CATALOG - FZN &amp; CHILL'!G471,"AAAAAH9zPgI=")</f>
        <v>#VALUE!</v>
      </c>
      <c r="D265" t="e">
        <f>AND('STERLING CATALOG - FZN &amp; CHILL'!H471,"AAAAAH9zPgM=")</f>
        <v>#VALUE!</v>
      </c>
      <c r="E265" t="e">
        <f>AND('STERLING CATALOG - FZN &amp; CHILL'!I471,"AAAAAH9zPgQ=")</f>
        <v>#VALUE!</v>
      </c>
      <c r="F265" t="e">
        <f>AND('STERLING CATALOG - FZN &amp; CHILL'!J471,"AAAAAH9zPgU=")</f>
        <v>#VALUE!</v>
      </c>
      <c r="G265" t="str">
        <f>IF('STERLING CATALOG - FZN &amp; CHILL'!472:472,"AAAAAH9zPgY=",0)</f>
        <v>AAAAAH9zPgY=</v>
      </c>
      <c r="H265" t="e">
        <f>AND('STERLING CATALOG - FZN &amp; CHILL'!A472,"AAAAAH9zPgc=")</f>
        <v>#VALUE!</v>
      </c>
      <c r="I265" t="e">
        <f>AND('STERLING CATALOG - FZN &amp; CHILL'!B472,"AAAAAH9zPgg=")</f>
        <v>#VALUE!</v>
      </c>
      <c r="J265" t="e">
        <f>AND('STERLING CATALOG - FZN &amp; CHILL'!C472,"AAAAAH9zPgk=")</f>
        <v>#VALUE!</v>
      </c>
      <c r="K265" t="e">
        <f>AND('STERLING CATALOG - FZN &amp; CHILL'!D472,"AAAAAH9zPgo=")</f>
        <v>#VALUE!</v>
      </c>
      <c r="L265" t="e">
        <f>AND('STERLING CATALOG - FZN &amp; CHILL'!E472,"AAAAAH9zPgs=")</f>
        <v>#VALUE!</v>
      </c>
      <c r="M265" t="e">
        <f>AND('STERLING CATALOG - FZN &amp; CHILL'!F472,"AAAAAH9zPgw=")</f>
        <v>#VALUE!</v>
      </c>
      <c r="N265" t="e">
        <f>AND('STERLING CATALOG - FZN &amp; CHILL'!G472,"AAAAAH9zPg0=")</f>
        <v>#VALUE!</v>
      </c>
      <c r="O265" t="e">
        <f>AND('STERLING CATALOG - FZN &amp; CHILL'!H472,"AAAAAH9zPg4=")</f>
        <v>#VALUE!</v>
      </c>
      <c r="P265" t="e">
        <f>AND('STERLING CATALOG - FZN &amp; CHILL'!I472,"AAAAAH9zPg8=")</f>
        <v>#VALUE!</v>
      </c>
      <c r="Q265" t="e">
        <f>AND('STERLING CATALOG - FZN &amp; CHILL'!J472,"AAAAAH9zPhA=")</f>
        <v>#VALUE!</v>
      </c>
      <c r="R265">
        <f>IF('STERLING CATALOG - FZN &amp; CHILL'!473:473,"AAAAAH9zPhE=",0)</f>
        <v>0</v>
      </c>
      <c r="S265" t="e">
        <f>AND('STERLING CATALOG - FZN &amp; CHILL'!A473,"AAAAAH9zPhI=")</f>
        <v>#VALUE!</v>
      </c>
      <c r="T265" t="e">
        <f>AND('STERLING CATALOG - FZN &amp; CHILL'!B473,"AAAAAH9zPhM=")</f>
        <v>#VALUE!</v>
      </c>
      <c r="U265" t="e">
        <f>AND('STERLING CATALOG - FZN &amp; CHILL'!C473,"AAAAAH9zPhQ=")</f>
        <v>#VALUE!</v>
      </c>
      <c r="V265" t="e">
        <f>AND('STERLING CATALOG - FZN &amp; CHILL'!D473,"AAAAAH9zPhU=")</f>
        <v>#VALUE!</v>
      </c>
      <c r="W265" t="e">
        <f>AND('STERLING CATALOG - FZN &amp; CHILL'!E473,"AAAAAH9zPhY=")</f>
        <v>#VALUE!</v>
      </c>
      <c r="X265" t="e">
        <f>AND('STERLING CATALOG - FZN &amp; CHILL'!F473,"AAAAAH9zPhc=")</f>
        <v>#VALUE!</v>
      </c>
      <c r="Y265" t="e">
        <f>AND('STERLING CATALOG - FZN &amp; CHILL'!G473,"AAAAAH9zPhg=")</f>
        <v>#VALUE!</v>
      </c>
      <c r="Z265" t="e">
        <f>AND('STERLING CATALOG - FZN &amp; CHILL'!H473,"AAAAAH9zPhk=")</f>
        <v>#VALUE!</v>
      </c>
      <c r="AA265" t="e">
        <f>AND('STERLING CATALOG - FZN &amp; CHILL'!I473,"AAAAAH9zPho=")</f>
        <v>#VALUE!</v>
      </c>
      <c r="AB265" t="e">
        <f>AND('STERLING CATALOG - FZN &amp; CHILL'!J473,"AAAAAH9zPhs=")</f>
        <v>#VALUE!</v>
      </c>
      <c r="AC265">
        <f>IF('STERLING CATALOG - FZN &amp; CHILL'!474:474,"AAAAAH9zPhw=",0)</f>
        <v>0</v>
      </c>
      <c r="AD265" t="e">
        <f>AND('STERLING CATALOG - FZN &amp; CHILL'!A474,"AAAAAH9zPh0=")</f>
        <v>#VALUE!</v>
      </c>
      <c r="AE265" t="e">
        <f>AND('STERLING CATALOG - FZN &amp; CHILL'!B474,"AAAAAH9zPh4=")</f>
        <v>#VALUE!</v>
      </c>
      <c r="AF265" t="e">
        <f>AND('STERLING CATALOG - FZN &amp; CHILL'!C474,"AAAAAH9zPh8=")</f>
        <v>#VALUE!</v>
      </c>
      <c r="AG265" t="e">
        <f>AND('STERLING CATALOG - FZN &amp; CHILL'!D474,"AAAAAH9zPiA=")</f>
        <v>#VALUE!</v>
      </c>
      <c r="AH265" t="e">
        <f>AND('STERLING CATALOG - FZN &amp; CHILL'!E474,"AAAAAH9zPiE=")</f>
        <v>#VALUE!</v>
      </c>
      <c r="AI265" t="e">
        <f>AND('STERLING CATALOG - FZN &amp; CHILL'!F474,"AAAAAH9zPiI=")</f>
        <v>#VALUE!</v>
      </c>
      <c r="AJ265" t="e">
        <f>AND('STERLING CATALOG - FZN &amp; CHILL'!G474,"AAAAAH9zPiM=")</f>
        <v>#VALUE!</v>
      </c>
      <c r="AK265" t="e">
        <f>AND('STERLING CATALOG - FZN &amp; CHILL'!H474,"AAAAAH9zPiQ=")</f>
        <v>#VALUE!</v>
      </c>
      <c r="AL265" t="e">
        <f>AND('STERLING CATALOG - FZN &amp; CHILL'!I474,"AAAAAH9zPiU=")</f>
        <v>#VALUE!</v>
      </c>
      <c r="AM265" t="e">
        <f>AND('STERLING CATALOG - FZN &amp; CHILL'!J474,"AAAAAH9zPiY=")</f>
        <v>#VALUE!</v>
      </c>
      <c r="AN265">
        <f>IF('STERLING CATALOG - FZN &amp; CHILL'!475:475,"AAAAAH9zPic=",0)</f>
        <v>0</v>
      </c>
      <c r="AO265" t="e">
        <f>AND('STERLING CATALOG - FZN &amp; CHILL'!A475,"AAAAAH9zPig=")</f>
        <v>#VALUE!</v>
      </c>
      <c r="AP265" t="e">
        <f>AND('STERLING CATALOG - FZN &amp; CHILL'!B475,"AAAAAH9zPik=")</f>
        <v>#VALUE!</v>
      </c>
      <c r="AQ265" t="e">
        <f>AND('STERLING CATALOG - FZN &amp; CHILL'!C475,"AAAAAH9zPio=")</f>
        <v>#VALUE!</v>
      </c>
      <c r="AR265" t="e">
        <f>AND('STERLING CATALOG - FZN &amp; CHILL'!D475,"AAAAAH9zPis=")</f>
        <v>#VALUE!</v>
      </c>
      <c r="AS265" t="e">
        <f>AND('STERLING CATALOG - FZN &amp; CHILL'!E475,"AAAAAH9zPiw=")</f>
        <v>#VALUE!</v>
      </c>
      <c r="AT265" t="e">
        <f>AND('STERLING CATALOG - FZN &amp; CHILL'!F475,"AAAAAH9zPi0=")</f>
        <v>#VALUE!</v>
      </c>
      <c r="AU265" t="e">
        <f>AND('STERLING CATALOG - FZN &amp; CHILL'!G475,"AAAAAH9zPi4=")</f>
        <v>#VALUE!</v>
      </c>
      <c r="AV265" t="e">
        <f>AND('STERLING CATALOG - FZN &amp; CHILL'!H475,"AAAAAH9zPi8=")</f>
        <v>#VALUE!</v>
      </c>
      <c r="AW265" t="e">
        <f>AND('STERLING CATALOG - FZN &amp; CHILL'!I475,"AAAAAH9zPjA=")</f>
        <v>#VALUE!</v>
      </c>
      <c r="AX265" t="e">
        <f>AND('STERLING CATALOG - FZN &amp; CHILL'!J475,"AAAAAH9zPjE=")</f>
        <v>#VALUE!</v>
      </c>
      <c r="AY265">
        <f>IF('STERLING CATALOG - FZN &amp; CHILL'!476:476,"AAAAAH9zPjI=",0)</f>
        <v>0</v>
      </c>
      <c r="AZ265" t="e">
        <f>AND('STERLING CATALOG - FZN &amp; CHILL'!A476,"AAAAAH9zPjM=")</f>
        <v>#VALUE!</v>
      </c>
      <c r="BA265" t="e">
        <f>AND('STERLING CATALOG - FZN &amp; CHILL'!B476,"AAAAAH9zPjQ=")</f>
        <v>#VALUE!</v>
      </c>
      <c r="BB265" t="e">
        <f>AND('STERLING CATALOG - FZN &amp; CHILL'!C476,"AAAAAH9zPjU=")</f>
        <v>#VALUE!</v>
      </c>
      <c r="BC265" t="e">
        <f>AND('STERLING CATALOG - FZN &amp; CHILL'!D476,"AAAAAH9zPjY=")</f>
        <v>#VALUE!</v>
      </c>
      <c r="BD265" t="e">
        <f>AND('STERLING CATALOG - FZN &amp; CHILL'!E476,"AAAAAH9zPjc=")</f>
        <v>#VALUE!</v>
      </c>
      <c r="BE265" t="e">
        <f>AND('STERLING CATALOG - FZN &amp; CHILL'!F476,"AAAAAH9zPjg=")</f>
        <v>#VALUE!</v>
      </c>
      <c r="BF265" t="e">
        <f>AND('STERLING CATALOG - FZN &amp; CHILL'!G476,"AAAAAH9zPjk=")</f>
        <v>#VALUE!</v>
      </c>
      <c r="BG265" t="e">
        <f>AND('STERLING CATALOG - FZN &amp; CHILL'!H476,"AAAAAH9zPjo=")</f>
        <v>#VALUE!</v>
      </c>
      <c r="BH265" t="e">
        <f>AND('STERLING CATALOG - FZN &amp; CHILL'!I476,"AAAAAH9zPjs=")</f>
        <v>#VALUE!</v>
      </c>
      <c r="BI265" t="e">
        <f>AND('STERLING CATALOG - FZN &amp; CHILL'!J476,"AAAAAH9zPjw=")</f>
        <v>#VALUE!</v>
      </c>
      <c r="BJ265">
        <f>IF('STERLING CATALOG - FZN &amp; CHILL'!477:477,"AAAAAH9zPj0=",0)</f>
        <v>0</v>
      </c>
      <c r="BK265" t="e">
        <f>AND('STERLING CATALOG - FZN &amp; CHILL'!A477,"AAAAAH9zPj4=")</f>
        <v>#VALUE!</v>
      </c>
      <c r="BL265" t="e">
        <f>AND('STERLING CATALOG - FZN &amp; CHILL'!B477,"AAAAAH9zPj8=")</f>
        <v>#VALUE!</v>
      </c>
      <c r="BM265" t="e">
        <f>AND('STERLING CATALOG - FZN &amp; CHILL'!C477,"AAAAAH9zPkA=")</f>
        <v>#VALUE!</v>
      </c>
      <c r="BN265" t="e">
        <f>AND('STERLING CATALOG - FZN &amp; CHILL'!D477,"AAAAAH9zPkE=")</f>
        <v>#VALUE!</v>
      </c>
      <c r="BO265" t="e">
        <f>AND('STERLING CATALOG - FZN &amp; CHILL'!E477,"AAAAAH9zPkI=")</f>
        <v>#VALUE!</v>
      </c>
      <c r="BP265" t="e">
        <f>AND('STERLING CATALOG - FZN &amp; CHILL'!F477,"AAAAAH9zPkM=")</f>
        <v>#VALUE!</v>
      </c>
      <c r="BQ265" t="e">
        <f>AND('STERLING CATALOG - FZN &amp; CHILL'!G477,"AAAAAH9zPkQ=")</f>
        <v>#VALUE!</v>
      </c>
      <c r="BR265" t="e">
        <f>AND('STERLING CATALOG - FZN &amp; CHILL'!H477,"AAAAAH9zPkU=")</f>
        <v>#VALUE!</v>
      </c>
      <c r="BS265" t="e">
        <f>AND('STERLING CATALOG - FZN &amp; CHILL'!I477,"AAAAAH9zPkY=")</f>
        <v>#VALUE!</v>
      </c>
      <c r="BT265" t="e">
        <f>AND('STERLING CATALOG - FZN &amp; CHILL'!J477,"AAAAAH9zPkc=")</f>
        <v>#VALUE!</v>
      </c>
      <c r="BU265">
        <f>IF('STERLING CATALOG - FZN &amp; CHILL'!478:478,"AAAAAH9zPkg=",0)</f>
        <v>0</v>
      </c>
      <c r="BV265" t="e">
        <f>AND('STERLING CATALOG - FZN &amp; CHILL'!A478,"AAAAAH9zPkk=")</f>
        <v>#VALUE!</v>
      </c>
      <c r="BW265" t="e">
        <f>AND('STERLING CATALOG - FZN &amp; CHILL'!B478,"AAAAAH9zPko=")</f>
        <v>#VALUE!</v>
      </c>
      <c r="BX265" t="e">
        <f>AND('STERLING CATALOG - FZN &amp; CHILL'!C478,"AAAAAH9zPks=")</f>
        <v>#VALUE!</v>
      </c>
      <c r="BY265" t="e">
        <f>AND('STERLING CATALOG - FZN &amp; CHILL'!D478,"AAAAAH9zPkw=")</f>
        <v>#VALUE!</v>
      </c>
      <c r="BZ265" t="e">
        <f>AND('STERLING CATALOG - FZN &amp; CHILL'!E478,"AAAAAH9zPk0=")</f>
        <v>#VALUE!</v>
      </c>
      <c r="CA265" t="e">
        <f>AND('STERLING CATALOG - FZN &amp; CHILL'!F478,"AAAAAH9zPk4=")</f>
        <v>#VALUE!</v>
      </c>
      <c r="CB265" t="e">
        <f>AND('STERLING CATALOG - FZN &amp; CHILL'!G478,"AAAAAH9zPk8=")</f>
        <v>#VALUE!</v>
      </c>
      <c r="CC265" t="e">
        <f>AND('STERLING CATALOG - FZN &amp; CHILL'!H478,"AAAAAH9zPlA=")</f>
        <v>#VALUE!</v>
      </c>
      <c r="CD265" t="e">
        <f>AND('STERLING CATALOG - FZN &amp; CHILL'!I478,"AAAAAH9zPlE=")</f>
        <v>#VALUE!</v>
      </c>
      <c r="CE265" t="e">
        <f>AND('STERLING CATALOG - FZN &amp; CHILL'!J478,"AAAAAH9zPlI=")</f>
        <v>#VALUE!</v>
      </c>
      <c r="CF265">
        <f>IF('STERLING CATALOG - FZN &amp; CHILL'!479:479,"AAAAAH9zPlM=",0)</f>
        <v>0</v>
      </c>
      <c r="CG265" t="e">
        <f>AND('STERLING CATALOG - FZN &amp; CHILL'!A479,"AAAAAH9zPlQ=")</f>
        <v>#VALUE!</v>
      </c>
      <c r="CH265" t="e">
        <f>AND('STERLING CATALOG - FZN &amp; CHILL'!B479,"AAAAAH9zPlU=")</f>
        <v>#VALUE!</v>
      </c>
      <c r="CI265" t="e">
        <f>AND('STERLING CATALOG - FZN &amp; CHILL'!C479,"AAAAAH9zPlY=")</f>
        <v>#VALUE!</v>
      </c>
      <c r="CJ265" t="e">
        <f>AND('STERLING CATALOG - FZN &amp; CHILL'!D479,"AAAAAH9zPlc=")</f>
        <v>#VALUE!</v>
      </c>
      <c r="CK265" t="e">
        <f>AND('STERLING CATALOG - FZN &amp; CHILL'!E479,"AAAAAH9zPlg=")</f>
        <v>#VALUE!</v>
      </c>
      <c r="CL265" t="e">
        <f>AND('STERLING CATALOG - FZN &amp; CHILL'!F479,"AAAAAH9zPlk=")</f>
        <v>#VALUE!</v>
      </c>
      <c r="CM265" t="e">
        <f>AND('STERLING CATALOG - FZN &amp; CHILL'!G479,"AAAAAH9zPlo=")</f>
        <v>#VALUE!</v>
      </c>
      <c r="CN265" t="e">
        <f>AND('STERLING CATALOG - FZN &amp; CHILL'!H479,"AAAAAH9zPls=")</f>
        <v>#VALUE!</v>
      </c>
      <c r="CO265" t="e">
        <f>AND('STERLING CATALOG - FZN &amp; CHILL'!I479,"AAAAAH9zPlw=")</f>
        <v>#VALUE!</v>
      </c>
      <c r="CP265" t="e">
        <f>AND('STERLING CATALOG - FZN &amp; CHILL'!J479,"AAAAAH9zPl0=")</f>
        <v>#VALUE!</v>
      </c>
      <c r="CQ265">
        <f>IF('STERLING CATALOG - FZN &amp; CHILL'!480:480,"AAAAAH9zPl4=",0)</f>
        <v>0</v>
      </c>
      <c r="CR265" t="e">
        <f>AND('STERLING CATALOG - FZN &amp; CHILL'!A480,"AAAAAH9zPl8=")</f>
        <v>#VALUE!</v>
      </c>
      <c r="CS265" t="e">
        <f>AND('STERLING CATALOG - FZN &amp; CHILL'!B480,"AAAAAH9zPmA=")</f>
        <v>#VALUE!</v>
      </c>
      <c r="CT265" t="e">
        <f>AND('STERLING CATALOG - FZN &amp; CHILL'!C480,"AAAAAH9zPmE=")</f>
        <v>#VALUE!</v>
      </c>
      <c r="CU265" t="e">
        <f>AND('STERLING CATALOG - FZN &amp; CHILL'!D480,"AAAAAH9zPmI=")</f>
        <v>#VALUE!</v>
      </c>
      <c r="CV265" t="e">
        <f>AND('STERLING CATALOG - FZN &amp; CHILL'!E480,"AAAAAH9zPmM=")</f>
        <v>#VALUE!</v>
      </c>
      <c r="CW265" t="e">
        <f>AND('STERLING CATALOG - FZN &amp; CHILL'!F480,"AAAAAH9zPmQ=")</f>
        <v>#VALUE!</v>
      </c>
      <c r="CX265" t="e">
        <f>AND('STERLING CATALOG - FZN &amp; CHILL'!G480,"AAAAAH9zPmU=")</f>
        <v>#VALUE!</v>
      </c>
      <c r="CY265" t="e">
        <f>AND('STERLING CATALOG - FZN &amp; CHILL'!H480,"AAAAAH9zPmY=")</f>
        <v>#VALUE!</v>
      </c>
      <c r="CZ265" t="e">
        <f>AND('STERLING CATALOG - FZN &amp; CHILL'!I480,"AAAAAH9zPmc=")</f>
        <v>#VALUE!</v>
      </c>
      <c r="DA265" t="e">
        <f>AND('STERLING CATALOG - FZN &amp; CHILL'!J480,"AAAAAH9zPmg=")</f>
        <v>#VALUE!</v>
      </c>
      <c r="DB265">
        <f>IF('STERLING CATALOG - FZN &amp; CHILL'!481:481,"AAAAAH9zPmk=",0)</f>
        <v>0</v>
      </c>
      <c r="DC265" t="e">
        <f>AND('STERLING CATALOG - FZN &amp; CHILL'!A481,"AAAAAH9zPmo=")</f>
        <v>#VALUE!</v>
      </c>
      <c r="DD265" t="e">
        <f>AND('STERLING CATALOG - FZN &amp; CHILL'!B481,"AAAAAH9zPms=")</f>
        <v>#VALUE!</v>
      </c>
      <c r="DE265" t="e">
        <f>AND('STERLING CATALOG - FZN &amp; CHILL'!C481,"AAAAAH9zPmw=")</f>
        <v>#VALUE!</v>
      </c>
      <c r="DF265" t="e">
        <f>AND('STERLING CATALOG - FZN &amp; CHILL'!D481,"AAAAAH9zPm0=")</f>
        <v>#VALUE!</v>
      </c>
      <c r="DG265" t="e">
        <f>AND('STERLING CATALOG - FZN &amp; CHILL'!E481,"AAAAAH9zPm4=")</f>
        <v>#VALUE!</v>
      </c>
      <c r="DH265" t="e">
        <f>AND('STERLING CATALOG - FZN &amp; CHILL'!F481,"AAAAAH9zPm8=")</f>
        <v>#VALUE!</v>
      </c>
      <c r="DI265" t="e">
        <f>AND('STERLING CATALOG - FZN &amp; CHILL'!G481,"AAAAAH9zPnA=")</f>
        <v>#VALUE!</v>
      </c>
      <c r="DJ265" t="e">
        <f>AND('STERLING CATALOG - FZN &amp; CHILL'!H481,"AAAAAH9zPnE=")</f>
        <v>#VALUE!</v>
      </c>
      <c r="DK265" t="e">
        <f>AND('STERLING CATALOG - FZN &amp; CHILL'!I481,"AAAAAH9zPnI=")</f>
        <v>#VALUE!</v>
      </c>
      <c r="DL265" t="e">
        <f>AND('STERLING CATALOG - FZN &amp; CHILL'!J481,"AAAAAH9zPnM=")</f>
        <v>#VALUE!</v>
      </c>
      <c r="DM265">
        <f>IF('STERLING CATALOG - FZN &amp; CHILL'!482:482,"AAAAAH9zPnQ=",0)</f>
        <v>0</v>
      </c>
      <c r="DN265" t="e">
        <f>AND('STERLING CATALOG - FZN &amp; CHILL'!A482,"AAAAAH9zPnU=")</f>
        <v>#VALUE!</v>
      </c>
      <c r="DO265" t="e">
        <f>AND('STERLING CATALOG - FZN &amp; CHILL'!B482,"AAAAAH9zPnY=")</f>
        <v>#VALUE!</v>
      </c>
      <c r="DP265" t="e">
        <f>AND('STERLING CATALOG - FZN &amp; CHILL'!C482,"AAAAAH9zPnc=")</f>
        <v>#VALUE!</v>
      </c>
      <c r="DQ265" t="e">
        <f>AND('STERLING CATALOG - FZN &amp; CHILL'!D482,"AAAAAH9zPng=")</f>
        <v>#VALUE!</v>
      </c>
      <c r="DR265" t="e">
        <f>AND('STERLING CATALOG - FZN &amp; CHILL'!E482,"AAAAAH9zPnk=")</f>
        <v>#VALUE!</v>
      </c>
      <c r="DS265" t="e">
        <f>AND('STERLING CATALOG - FZN &amp; CHILL'!F482,"AAAAAH9zPno=")</f>
        <v>#VALUE!</v>
      </c>
      <c r="DT265" t="e">
        <f>AND('STERLING CATALOG - FZN &amp; CHILL'!G482,"AAAAAH9zPns=")</f>
        <v>#VALUE!</v>
      </c>
      <c r="DU265" t="e">
        <f>AND('STERLING CATALOG - FZN &amp; CHILL'!H482,"AAAAAH9zPnw=")</f>
        <v>#VALUE!</v>
      </c>
      <c r="DV265" t="e">
        <f>AND('STERLING CATALOG - FZN &amp; CHILL'!I482,"AAAAAH9zPn0=")</f>
        <v>#VALUE!</v>
      </c>
      <c r="DW265" t="e">
        <f>AND('STERLING CATALOG - FZN &amp; CHILL'!J482,"AAAAAH9zPn4=")</f>
        <v>#VALUE!</v>
      </c>
      <c r="DX265">
        <f>IF('STERLING CATALOG - FZN &amp; CHILL'!483:483,"AAAAAH9zPn8=",0)</f>
        <v>0</v>
      </c>
      <c r="DY265" t="e">
        <f>AND('STERLING CATALOG - FZN &amp; CHILL'!A483,"AAAAAH9zPoA=")</f>
        <v>#VALUE!</v>
      </c>
      <c r="DZ265" t="e">
        <f>AND('STERLING CATALOG - FZN &amp; CHILL'!B483,"AAAAAH9zPoE=")</f>
        <v>#VALUE!</v>
      </c>
      <c r="EA265" t="e">
        <f>AND('STERLING CATALOG - FZN &amp; CHILL'!C483,"AAAAAH9zPoI=")</f>
        <v>#VALUE!</v>
      </c>
      <c r="EB265" t="e">
        <f>AND('STERLING CATALOG - FZN &amp; CHILL'!D483,"AAAAAH9zPoM=")</f>
        <v>#VALUE!</v>
      </c>
      <c r="EC265" t="e">
        <f>AND('STERLING CATALOG - FZN &amp; CHILL'!E483,"AAAAAH9zPoQ=")</f>
        <v>#VALUE!</v>
      </c>
      <c r="ED265" t="e">
        <f>AND('STERLING CATALOG - FZN &amp; CHILL'!F483,"AAAAAH9zPoU=")</f>
        <v>#VALUE!</v>
      </c>
      <c r="EE265" t="e">
        <f>AND('STERLING CATALOG - FZN &amp; CHILL'!G483,"AAAAAH9zPoY=")</f>
        <v>#VALUE!</v>
      </c>
      <c r="EF265" t="e">
        <f>AND('STERLING CATALOG - FZN &amp; CHILL'!H483,"AAAAAH9zPoc=")</f>
        <v>#VALUE!</v>
      </c>
      <c r="EG265" t="e">
        <f>AND('STERLING CATALOG - FZN &amp; CHILL'!I483,"AAAAAH9zPog=")</f>
        <v>#VALUE!</v>
      </c>
      <c r="EH265" t="e">
        <f>AND('STERLING CATALOG - FZN &amp; CHILL'!J483,"AAAAAH9zPok=")</f>
        <v>#VALUE!</v>
      </c>
      <c r="EI265">
        <f>IF('STERLING CATALOG - FZN &amp; CHILL'!484:484,"AAAAAH9zPoo=",0)</f>
        <v>0</v>
      </c>
      <c r="EJ265" t="e">
        <f>AND('STERLING CATALOG - FZN &amp; CHILL'!A484,"AAAAAH9zPos=")</f>
        <v>#VALUE!</v>
      </c>
      <c r="EK265" t="e">
        <f>AND('STERLING CATALOG - FZN &amp; CHILL'!B484,"AAAAAH9zPow=")</f>
        <v>#VALUE!</v>
      </c>
      <c r="EL265" t="e">
        <f>AND('STERLING CATALOG - FZN &amp; CHILL'!C484,"AAAAAH9zPo0=")</f>
        <v>#VALUE!</v>
      </c>
      <c r="EM265" t="e">
        <f>AND('STERLING CATALOG - FZN &amp; CHILL'!D484,"AAAAAH9zPo4=")</f>
        <v>#VALUE!</v>
      </c>
      <c r="EN265" t="e">
        <f>AND('STERLING CATALOG - FZN &amp; CHILL'!E484,"AAAAAH9zPo8=")</f>
        <v>#VALUE!</v>
      </c>
      <c r="EO265" t="e">
        <f>AND('STERLING CATALOG - FZN &amp; CHILL'!F484,"AAAAAH9zPpA=")</f>
        <v>#VALUE!</v>
      </c>
      <c r="EP265" t="e">
        <f>AND('STERLING CATALOG - FZN &amp; CHILL'!G484,"AAAAAH9zPpE=")</f>
        <v>#VALUE!</v>
      </c>
      <c r="EQ265" t="e">
        <f>AND('STERLING CATALOG - FZN &amp; CHILL'!H484,"AAAAAH9zPpI=")</f>
        <v>#VALUE!</v>
      </c>
      <c r="ER265" t="e">
        <f>AND('STERLING CATALOG - FZN &amp; CHILL'!I484,"AAAAAH9zPpM=")</f>
        <v>#VALUE!</v>
      </c>
      <c r="ES265" t="e">
        <f>AND('STERLING CATALOG - FZN &amp; CHILL'!J484,"AAAAAH9zPpQ=")</f>
        <v>#VALUE!</v>
      </c>
      <c r="ET265">
        <f>IF('STERLING CATALOG - FZN &amp; CHILL'!485:485,"AAAAAH9zPpU=",0)</f>
        <v>0</v>
      </c>
      <c r="EU265" t="e">
        <f>AND('STERLING CATALOG - FZN &amp; CHILL'!A485,"AAAAAH9zPpY=")</f>
        <v>#VALUE!</v>
      </c>
      <c r="EV265" t="e">
        <f>AND('STERLING CATALOG - FZN &amp; CHILL'!B485,"AAAAAH9zPpc=")</f>
        <v>#VALUE!</v>
      </c>
      <c r="EW265" t="e">
        <f>AND('STERLING CATALOG - FZN &amp; CHILL'!C485,"AAAAAH9zPpg=")</f>
        <v>#VALUE!</v>
      </c>
      <c r="EX265" t="e">
        <f>AND('STERLING CATALOG - FZN &amp; CHILL'!D485,"AAAAAH9zPpk=")</f>
        <v>#VALUE!</v>
      </c>
      <c r="EY265" t="e">
        <f>AND('STERLING CATALOG - FZN &amp; CHILL'!E485,"AAAAAH9zPpo=")</f>
        <v>#VALUE!</v>
      </c>
      <c r="EZ265" t="e">
        <f>AND('STERLING CATALOG - FZN &amp; CHILL'!F485,"AAAAAH9zPps=")</f>
        <v>#VALUE!</v>
      </c>
      <c r="FA265" t="e">
        <f>AND('STERLING CATALOG - FZN &amp; CHILL'!G485,"AAAAAH9zPpw=")</f>
        <v>#VALUE!</v>
      </c>
      <c r="FB265" t="e">
        <f>AND('STERLING CATALOG - FZN &amp; CHILL'!H485,"AAAAAH9zPp0=")</f>
        <v>#VALUE!</v>
      </c>
      <c r="FC265" t="e">
        <f>AND('STERLING CATALOG - FZN &amp; CHILL'!I485,"AAAAAH9zPp4=")</f>
        <v>#VALUE!</v>
      </c>
      <c r="FD265" t="e">
        <f>AND('STERLING CATALOG - FZN &amp; CHILL'!J485,"AAAAAH9zPp8=")</f>
        <v>#VALUE!</v>
      </c>
      <c r="FE265">
        <f>IF('STERLING CATALOG - FZN &amp; CHILL'!486:486,"AAAAAH9zPqA=",0)</f>
        <v>0</v>
      </c>
      <c r="FF265" t="e">
        <f>AND('STERLING CATALOG - FZN &amp; CHILL'!A486,"AAAAAH9zPqE=")</f>
        <v>#VALUE!</v>
      </c>
      <c r="FG265" t="e">
        <f>AND('STERLING CATALOG - FZN &amp; CHILL'!B486,"AAAAAH9zPqI=")</f>
        <v>#VALUE!</v>
      </c>
      <c r="FH265" t="e">
        <f>AND('STERLING CATALOG - FZN &amp; CHILL'!C486,"AAAAAH9zPqM=")</f>
        <v>#VALUE!</v>
      </c>
      <c r="FI265" t="e">
        <f>AND('STERLING CATALOG - FZN &amp; CHILL'!D486,"AAAAAH9zPqQ=")</f>
        <v>#VALUE!</v>
      </c>
      <c r="FJ265" t="e">
        <f>AND('STERLING CATALOG - FZN &amp; CHILL'!E486,"AAAAAH9zPqU=")</f>
        <v>#VALUE!</v>
      </c>
      <c r="FK265" t="e">
        <f>AND('STERLING CATALOG - FZN &amp; CHILL'!F486,"AAAAAH9zPqY=")</f>
        <v>#VALUE!</v>
      </c>
      <c r="FL265" t="e">
        <f>AND('STERLING CATALOG - FZN &amp; CHILL'!G486,"AAAAAH9zPqc=")</f>
        <v>#VALUE!</v>
      </c>
      <c r="FM265" t="e">
        <f>AND('STERLING CATALOG - FZN &amp; CHILL'!H486,"AAAAAH9zPqg=")</f>
        <v>#VALUE!</v>
      </c>
      <c r="FN265" t="e">
        <f>AND('STERLING CATALOG - FZN &amp; CHILL'!I486,"AAAAAH9zPqk=")</f>
        <v>#VALUE!</v>
      </c>
      <c r="FO265" t="e">
        <f>AND('STERLING CATALOG - FZN &amp; CHILL'!J486,"AAAAAH9zPqo=")</f>
        <v>#VALUE!</v>
      </c>
      <c r="FP265">
        <f>IF('STERLING CATALOG - FZN &amp; CHILL'!487:487,"AAAAAH9zPqs=",0)</f>
        <v>0</v>
      </c>
      <c r="FQ265" t="e">
        <f>AND('STERLING CATALOG - FZN &amp; CHILL'!A487,"AAAAAH9zPqw=")</f>
        <v>#VALUE!</v>
      </c>
      <c r="FR265" t="e">
        <f>AND('STERLING CATALOG - FZN &amp; CHILL'!B487,"AAAAAH9zPq0=")</f>
        <v>#VALUE!</v>
      </c>
      <c r="FS265" t="e">
        <f>AND('STERLING CATALOG - FZN &amp; CHILL'!C487,"AAAAAH9zPq4=")</f>
        <v>#VALUE!</v>
      </c>
      <c r="FT265" t="e">
        <f>AND('STERLING CATALOG - FZN &amp; CHILL'!D487,"AAAAAH9zPq8=")</f>
        <v>#VALUE!</v>
      </c>
      <c r="FU265" t="e">
        <f>AND('STERLING CATALOG - FZN &amp; CHILL'!E487,"AAAAAH9zPrA=")</f>
        <v>#VALUE!</v>
      </c>
      <c r="FV265" t="e">
        <f>AND('STERLING CATALOG - FZN &amp; CHILL'!F487,"AAAAAH9zPrE=")</f>
        <v>#VALUE!</v>
      </c>
      <c r="FW265" t="e">
        <f>AND('STERLING CATALOG - FZN &amp; CHILL'!G487,"AAAAAH9zPrI=")</f>
        <v>#VALUE!</v>
      </c>
      <c r="FX265" t="e">
        <f>AND('STERLING CATALOG - FZN &amp; CHILL'!H487,"AAAAAH9zPrM=")</f>
        <v>#VALUE!</v>
      </c>
      <c r="FY265" t="e">
        <f>AND('STERLING CATALOG - FZN &amp; CHILL'!I487,"AAAAAH9zPrQ=")</f>
        <v>#VALUE!</v>
      </c>
      <c r="FZ265" t="e">
        <f>AND('STERLING CATALOG - FZN &amp; CHILL'!J487,"AAAAAH9zPrU=")</f>
        <v>#VALUE!</v>
      </c>
      <c r="GA265">
        <f>IF('STERLING CATALOG - FZN &amp; CHILL'!488:488,"AAAAAH9zPrY=",0)</f>
        <v>0</v>
      </c>
      <c r="GB265" t="e">
        <f>AND('STERLING CATALOG - FZN &amp; CHILL'!A488,"AAAAAH9zPrc=")</f>
        <v>#VALUE!</v>
      </c>
      <c r="GC265" t="e">
        <f>AND('STERLING CATALOG - FZN &amp; CHILL'!B488,"AAAAAH9zPrg=")</f>
        <v>#VALUE!</v>
      </c>
      <c r="GD265" t="e">
        <f>AND('STERLING CATALOG - FZN &amp; CHILL'!C488,"AAAAAH9zPrk=")</f>
        <v>#VALUE!</v>
      </c>
      <c r="GE265" t="e">
        <f>AND('STERLING CATALOG - FZN &amp; CHILL'!D488,"AAAAAH9zPro=")</f>
        <v>#VALUE!</v>
      </c>
      <c r="GF265" t="e">
        <f>AND('STERLING CATALOG - FZN &amp; CHILL'!E488,"AAAAAH9zPrs=")</f>
        <v>#VALUE!</v>
      </c>
      <c r="GG265" t="e">
        <f>AND('STERLING CATALOG - FZN &amp; CHILL'!F488,"AAAAAH9zPrw=")</f>
        <v>#VALUE!</v>
      </c>
      <c r="GH265" t="e">
        <f>AND('STERLING CATALOG - FZN &amp; CHILL'!G488,"AAAAAH9zPr0=")</f>
        <v>#VALUE!</v>
      </c>
      <c r="GI265" t="e">
        <f>AND('STERLING CATALOG - FZN &amp; CHILL'!H488,"AAAAAH9zPr4=")</f>
        <v>#VALUE!</v>
      </c>
      <c r="GJ265" t="e">
        <f>AND('STERLING CATALOG - FZN &amp; CHILL'!I488,"AAAAAH9zPr8=")</f>
        <v>#VALUE!</v>
      </c>
      <c r="GK265" t="e">
        <f>AND('STERLING CATALOG - FZN &amp; CHILL'!J488,"AAAAAH9zPsA=")</f>
        <v>#VALUE!</v>
      </c>
      <c r="GL265">
        <f>IF('STERLING CATALOG - FZN &amp; CHILL'!489:489,"AAAAAH9zPsE=",0)</f>
        <v>0</v>
      </c>
      <c r="GM265" t="e">
        <f>AND('STERLING CATALOG - FZN &amp; CHILL'!A489,"AAAAAH9zPsI=")</f>
        <v>#VALUE!</v>
      </c>
      <c r="GN265" t="e">
        <f>AND('STERLING CATALOG - FZN &amp; CHILL'!B489,"AAAAAH9zPsM=")</f>
        <v>#VALUE!</v>
      </c>
      <c r="GO265" t="e">
        <f>AND('STERLING CATALOG - FZN &amp; CHILL'!C489,"AAAAAH9zPsQ=")</f>
        <v>#VALUE!</v>
      </c>
      <c r="GP265" t="e">
        <f>AND('STERLING CATALOG - FZN &amp; CHILL'!D489,"AAAAAH9zPsU=")</f>
        <v>#VALUE!</v>
      </c>
      <c r="GQ265" t="e">
        <f>AND('STERLING CATALOG - FZN &amp; CHILL'!E489,"AAAAAH9zPsY=")</f>
        <v>#VALUE!</v>
      </c>
      <c r="GR265" t="e">
        <f>AND('STERLING CATALOG - FZN &amp; CHILL'!F489,"AAAAAH9zPsc=")</f>
        <v>#VALUE!</v>
      </c>
      <c r="GS265" t="e">
        <f>AND('STERLING CATALOG - FZN &amp; CHILL'!G489,"AAAAAH9zPsg=")</f>
        <v>#VALUE!</v>
      </c>
      <c r="GT265" t="e">
        <f>AND('STERLING CATALOG - FZN &amp; CHILL'!H489,"AAAAAH9zPsk=")</f>
        <v>#VALUE!</v>
      </c>
      <c r="GU265" t="e">
        <f>AND('STERLING CATALOG - FZN &amp; CHILL'!I489,"AAAAAH9zPso=")</f>
        <v>#VALUE!</v>
      </c>
      <c r="GV265" t="e">
        <f>AND('STERLING CATALOG - FZN &amp; CHILL'!J489,"AAAAAH9zPss=")</f>
        <v>#VALUE!</v>
      </c>
      <c r="GW265">
        <f>IF('STERLING CATALOG - FZN &amp; CHILL'!490:490,"AAAAAH9zPsw=",0)</f>
        <v>0</v>
      </c>
      <c r="GX265" t="e">
        <f>AND('STERLING CATALOG - FZN &amp; CHILL'!A490,"AAAAAH9zPs0=")</f>
        <v>#VALUE!</v>
      </c>
      <c r="GY265" t="e">
        <f>AND('STERLING CATALOG - FZN &amp; CHILL'!B490,"AAAAAH9zPs4=")</f>
        <v>#VALUE!</v>
      </c>
      <c r="GZ265" t="e">
        <f>AND('STERLING CATALOG - FZN &amp; CHILL'!C490,"AAAAAH9zPs8=")</f>
        <v>#VALUE!</v>
      </c>
      <c r="HA265" t="e">
        <f>AND('STERLING CATALOG - FZN &amp; CHILL'!D490,"AAAAAH9zPtA=")</f>
        <v>#VALUE!</v>
      </c>
      <c r="HB265" t="e">
        <f>AND('STERLING CATALOG - FZN &amp; CHILL'!E490,"AAAAAH9zPtE=")</f>
        <v>#VALUE!</v>
      </c>
      <c r="HC265" t="e">
        <f>AND('STERLING CATALOG - FZN &amp; CHILL'!F490,"AAAAAH9zPtI=")</f>
        <v>#VALUE!</v>
      </c>
      <c r="HD265" t="e">
        <f>AND('STERLING CATALOG - FZN &amp; CHILL'!G490,"AAAAAH9zPtM=")</f>
        <v>#VALUE!</v>
      </c>
      <c r="HE265" t="e">
        <f>AND('STERLING CATALOG - FZN &amp; CHILL'!H490,"AAAAAH9zPtQ=")</f>
        <v>#VALUE!</v>
      </c>
      <c r="HF265" t="e">
        <f>AND('STERLING CATALOG - FZN &amp; CHILL'!I490,"AAAAAH9zPtU=")</f>
        <v>#VALUE!</v>
      </c>
      <c r="HG265" t="e">
        <f>AND('STERLING CATALOG - FZN &amp; CHILL'!J490,"AAAAAH9zPtY=")</f>
        <v>#VALUE!</v>
      </c>
      <c r="HH265">
        <f>IF('STERLING CATALOG - FZN &amp; CHILL'!491:491,"AAAAAH9zPtc=",0)</f>
        <v>0</v>
      </c>
      <c r="HI265" t="e">
        <f>AND('STERLING CATALOG - FZN &amp; CHILL'!A491,"AAAAAH9zPtg=")</f>
        <v>#VALUE!</v>
      </c>
      <c r="HJ265" t="e">
        <f>AND('STERLING CATALOG - FZN &amp; CHILL'!B491,"AAAAAH9zPtk=")</f>
        <v>#VALUE!</v>
      </c>
      <c r="HK265" t="e">
        <f>AND('STERLING CATALOG - FZN &amp; CHILL'!C491,"AAAAAH9zPto=")</f>
        <v>#VALUE!</v>
      </c>
      <c r="HL265" t="e">
        <f>AND('STERLING CATALOG - FZN &amp; CHILL'!D491,"AAAAAH9zPts=")</f>
        <v>#VALUE!</v>
      </c>
      <c r="HM265" t="e">
        <f>AND('STERLING CATALOG - FZN &amp; CHILL'!E491,"AAAAAH9zPtw=")</f>
        <v>#VALUE!</v>
      </c>
      <c r="HN265" t="e">
        <f>AND('STERLING CATALOG - FZN &amp; CHILL'!F491,"AAAAAH9zPt0=")</f>
        <v>#VALUE!</v>
      </c>
      <c r="HO265" t="e">
        <f>AND('STERLING CATALOG - FZN &amp; CHILL'!G491,"AAAAAH9zPt4=")</f>
        <v>#VALUE!</v>
      </c>
      <c r="HP265" t="e">
        <f>AND('STERLING CATALOG - FZN &amp; CHILL'!H491,"AAAAAH9zPt8=")</f>
        <v>#VALUE!</v>
      </c>
      <c r="HQ265" t="e">
        <f>AND('STERLING CATALOG - FZN &amp; CHILL'!I491,"AAAAAH9zPuA=")</f>
        <v>#VALUE!</v>
      </c>
      <c r="HR265" t="e">
        <f>AND('STERLING CATALOG - FZN &amp; CHILL'!J491,"AAAAAH9zPuE=")</f>
        <v>#VALUE!</v>
      </c>
      <c r="HS265">
        <f>IF('STERLING CATALOG - FZN &amp; CHILL'!492:492,"AAAAAH9zPuI=",0)</f>
        <v>0</v>
      </c>
      <c r="HT265" t="e">
        <f>AND('STERLING CATALOG - FZN &amp; CHILL'!A492,"AAAAAH9zPuM=")</f>
        <v>#VALUE!</v>
      </c>
      <c r="HU265" t="e">
        <f>AND('STERLING CATALOG - FZN &amp; CHILL'!B492,"AAAAAH9zPuQ=")</f>
        <v>#VALUE!</v>
      </c>
      <c r="HV265" t="e">
        <f>AND('STERLING CATALOG - FZN &amp; CHILL'!C492,"AAAAAH9zPuU=")</f>
        <v>#VALUE!</v>
      </c>
      <c r="HW265" t="e">
        <f>AND('STERLING CATALOG - FZN &amp; CHILL'!D492,"AAAAAH9zPuY=")</f>
        <v>#VALUE!</v>
      </c>
      <c r="HX265" t="e">
        <f>AND('STERLING CATALOG - FZN &amp; CHILL'!E492,"AAAAAH9zPuc=")</f>
        <v>#VALUE!</v>
      </c>
      <c r="HY265" t="e">
        <f>AND('STERLING CATALOG - FZN &amp; CHILL'!F492,"AAAAAH9zPug=")</f>
        <v>#VALUE!</v>
      </c>
      <c r="HZ265" t="e">
        <f>AND('STERLING CATALOG - FZN &amp; CHILL'!G492,"AAAAAH9zPuk=")</f>
        <v>#VALUE!</v>
      </c>
      <c r="IA265" t="e">
        <f>AND('STERLING CATALOG - FZN &amp; CHILL'!H492,"AAAAAH9zPuo=")</f>
        <v>#VALUE!</v>
      </c>
      <c r="IB265" t="e">
        <f>AND('STERLING CATALOG - FZN &amp; CHILL'!I492,"AAAAAH9zPus=")</f>
        <v>#VALUE!</v>
      </c>
      <c r="IC265" t="e">
        <f>AND('STERLING CATALOG - FZN &amp; CHILL'!J492,"AAAAAH9zPuw=")</f>
        <v>#VALUE!</v>
      </c>
      <c r="ID265">
        <f>IF('STERLING CATALOG - FZN &amp; CHILL'!493:493,"AAAAAH9zPu0=",0)</f>
        <v>0</v>
      </c>
      <c r="IE265" t="e">
        <f>AND('STERLING CATALOG - FZN &amp; CHILL'!A493,"AAAAAH9zPu4=")</f>
        <v>#VALUE!</v>
      </c>
      <c r="IF265" t="e">
        <f>AND('STERLING CATALOG - FZN &amp; CHILL'!B493,"AAAAAH9zPu8=")</f>
        <v>#VALUE!</v>
      </c>
      <c r="IG265" t="e">
        <f>AND('STERLING CATALOG - FZN &amp; CHILL'!C493,"AAAAAH9zPvA=")</f>
        <v>#VALUE!</v>
      </c>
      <c r="IH265" t="e">
        <f>AND('STERLING CATALOG - FZN &amp; CHILL'!D493,"AAAAAH9zPvE=")</f>
        <v>#VALUE!</v>
      </c>
      <c r="II265" t="e">
        <f>AND('STERLING CATALOG - FZN &amp; CHILL'!E493,"AAAAAH9zPvI=")</f>
        <v>#VALUE!</v>
      </c>
      <c r="IJ265" t="e">
        <f>AND('STERLING CATALOG - FZN &amp; CHILL'!F493,"AAAAAH9zPvM=")</f>
        <v>#VALUE!</v>
      </c>
      <c r="IK265" t="e">
        <f>AND('STERLING CATALOG - FZN &amp; CHILL'!G493,"AAAAAH9zPvQ=")</f>
        <v>#VALUE!</v>
      </c>
      <c r="IL265" t="e">
        <f>AND('STERLING CATALOG - FZN &amp; CHILL'!H493,"AAAAAH9zPvU=")</f>
        <v>#VALUE!</v>
      </c>
      <c r="IM265" t="e">
        <f>AND('STERLING CATALOG - FZN &amp; CHILL'!I493,"AAAAAH9zPvY=")</f>
        <v>#VALUE!</v>
      </c>
      <c r="IN265" t="e">
        <f>AND('STERLING CATALOG - FZN &amp; CHILL'!J493,"AAAAAH9zPvc=")</f>
        <v>#VALUE!</v>
      </c>
      <c r="IO265">
        <f>IF('STERLING CATALOG - FZN &amp; CHILL'!494:494,"AAAAAH9zPvg=",0)</f>
        <v>0</v>
      </c>
      <c r="IP265" t="e">
        <f>AND('STERLING CATALOG - FZN &amp; CHILL'!A494,"AAAAAH9zPvk=")</f>
        <v>#VALUE!</v>
      </c>
      <c r="IQ265" t="e">
        <f>AND('STERLING CATALOG - FZN &amp; CHILL'!B494,"AAAAAH9zPvo=")</f>
        <v>#VALUE!</v>
      </c>
      <c r="IR265" t="e">
        <f>AND('STERLING CATALOG - FZN &amp; CHILL'!C494,"AAAAAH9zPvs=")</f>
        <v>#VALUE!</v>
      </c>
      <c r="IS265" t="e">
        <f>AND('STERLING CATALOG - FZN &amp; CHILL'!D494,"AAAAAH9zPvw=")</f>
        <v>#VALUE!</v>
      </c>
      <c r="IT265" t="e">
        <f>AND('STERLING CATALOG - FZN &amp; CHILL'!E494,"AAAAAH9zPv0=")</f>
        <v>#VALUE!</v>
      </c>
      <c r="IU265" t="e">
        <f>AND('STERLING CATALOG - FZN &amp; CHILL'!F494,"AAAAAH9zPv4=")</f>
        <v>#VALUE!</v>
      </c>
      <c r="IV265" t="e">
        <f>AND('STERLING CATALOG - FZN &amp; CHILL'!G494,"AAAAAH9zPv8=")</f>
        <v>#VALUE!</v>
      </c>
    </row>
    <row r="266" spans="1:256">
      <c r="A266" t="e">
        <f>AND('STERLING CATALOG - FZN &amp; CHILL'!H494,"AAAAAHvX3wA=")</f>
        <v>#VALUE!</v>
      </c>
      <c r="B266" t="e">
        <f>AND('STERLING CATALOG - FZN &amp; CHILL'!I494,"AAAAAHvX3wE=")</f>
        <v>#VALUE!</v>
      </c>
      <c r="C266" t="e">
        <f>AND('STERLING CATALOG - FZN &amp; CHILL'!J494,"AAAAAHvX3wI=")</f>
        <v>#VALUE!</v>
      </c>
      <c r="D266" t="e">
        <f>IF('STERLING CATALOG - FZN &amp; CHILL'!495:495,"AAAAAHvX3wM=",0)</f>
        <v>#VALUE!</v>
      </c>
      <c r="E266" t="e">
        <f>AND('STERLING CATALOG - FZN &amp; CHILL'!A495,"AAAAAHvX3wQ=")</f>
        <v>#VALUE!</v>
      </c>
      <c r="F266" t="e">
        <f>AND('STERLING CATALOG - FZN &amp; CHILL'!B495,"AAAAAHvX3wU=")</f>
        <v>#VALUE!</v>
      </c>
      <c r="G266" t="e">
        <f>AND('STERLING CATALOG - FZN &amp; CHILL'!C495,"AAAAAHvX3wY=")</f>
        <v>#VALUE!</v>
      </c>
      <c r="H266" t="e">
        <f>AND('STERLING CATALOG - FZN &amp; CHILL'!D495,"AAAAAHvX3wc=")</f>
        <v>#VALUE!</v>
      </c>
      <c r="I266" t="e">
        <f>AND('STERLING CATALOG - FZN &amp; CHILL'!E495,"AAAAAHvX3wg=")</f>
        <v>#VALUE!</v>
      </c>
      <c r="J266" t="e">
        <f>AND('STERLING CATALOG - FZN &amp; CHILL'!F495,"AAAAAHvX3wk=")</f>
        <v>#VALUE!</v>
      </c>
      <c r="K266" t="e">
        <f>AND('STERLING CATALOG - FZN &amp; CHILL'!G495,"AAAAAHvX3wo=")</f>
        <v>#VALUE!</v>
      </c>
      <c r="L266" t="e">
        <f>AND('STERLING CATALOG - FZN &amp; CHILL'!H495,"AAAAAHvX3ws=")</f>
        <v>#VALUE!</v>
      </c>
      <c r="M266" t="e">
        <f>AND('STERLING CATALOG - FZN &amp; CHILL'!I495,"AAAAAHvX3ww=")</f>
        <v>#VALUE!</v>
      </c>
      <c r="N266" t="e">
        <f>AND('STERLING CATALOG - FZN &amp; CHILL'!J495,"AAAAAHvX3w0=")</f>
        <v>#VALUE!</v>
      </c>
      <c r="O266">
        <f>IF('STERLING CATALOG - FZN &amp; CHILL'!496:496,"AAAAAHvX3w4=",0)</f>
        <v>0</v>
      </c>
      <c r="P266" t="e">
        <f>AND('STERLING CATALOG - FZN &amp; CHILL'!A496,"AAAAAHvX3w8=")</f>
        <v>#VALUE!</v>
      </c>
      <c r="Q266" t="e">
        <f>AND('STERLING CATALOG - FZN &amp; CHILL'!B496,"AAAAAHvX3xA=")</f>
        <v>#VALUE!</v>
      </c>
      <c r="R266" t="e">
        <f>AND('STERLING CATALOG - FZN &amp; CHILL'!C496,"AAAAAHvX3xE=")</f>
        <v>#VALUE!</v>
      </c>
      <c r="S266" t="e">
        <f>AND('STERLING CATALOG - FZN &amp; CHILL'!D496,"AAAAAHvX3xI=")</f>
        <v>#VALUE!</v>
      </c>
      <c r="T266" t="e">
        <f>AND('STERLING CATALOG - FZN &amp; CHILL'!E496,"AAAAAHvX3xM=")</f>
        <v>#VALUE!</v>
      </c>
      <c r="U266" t="e">
        <f>AND('STERLING CATALOG - FZN &amp; CHILL'!F496,"AAAAAHvX3xQ=")</f>
        <v>#VALUE!</v>
      </c>
      <c r="V266" t="e">
        <f>AND('STERLING CATALOG - FZN &amp; CHILL'!G496,"AAAAAHvX3xU=")</f>
        <v>#VALUE!</v>
      </c>
      <c r="W266" t="e">
        <f>AND('STERLING CATALOG - FZN &amp; CHILL'!H496,"AAAAAHvX3xY=")</f>
        <v>#VALUE!</v>
      </c>
      <c r="X266" t="e">
        <f>AND('STERLING CATALOG - FZN &amp; CHILL'!I496,"AAAAAHvX3xc=")</f>
        <v>#VALUE!</v>
      </c>
      <c r="Y266" t="e">
        <f>AND('STERLING CATALOG - FZN &amp; CHILL'!J496,"AAAAAHvX3xg=")</f>
        <v>#VALUE!</v>
      </c>
      <c r="Z266">
        <f>IF('STERLING CATALOG - FZN &amp; CHILL'!497:497,"AAAAAHvX3xk=",0)</f>
        <v>0</v>
      </c>
      <c r="AA266" t="e">
        <f>AND('STERLING CATALOG - FZN &amp; CHILL'!A497,"AAAAAHvX3xo=")</f>
        <v>#VALUE!</v>
      </c>
      <c r="AB266" t="e">
        <f>AND('STERLING CATALOG - FZN &amp; CHILL'!B497,"AAAAAHvX3xs=")</f>
        <v>#VALUE!</v>
      </c>
      <c r="AC266" t="e">
        <f>AND('STERLING CATALOG - FZN &amp; CHILL'!C497,"AAAAAHvX3xw=")</f>
        <v>#VALUE!</v>
      </c>
      <c r="AD266" t="e">
        <f>AND('STERLING CATALOG - FZN &amp; CHILL'!D497,"AAAAAHvX3x0=")</f>
        <v>#VALUE!</v>
      </c>
      <c r="AE266" t="e">
        <f>AND('STERLING CATALOG - FZN &amp; CHILL'!E497,"AAAAAHvX3x4=")</f>
        <v>#VALUE!</v>
      </c>
      <c r="AF266" t="e">
        <f>AND('STERLING CATALOG - FZN &amp; CHILL'!F497,"AAAAAHvX3x8=")</f>
        <v>#VALUE!</v>
      </c>
      <c r="AG266" t="e">
        <f>AND('STERLING CATALOG - FZN &amp; CHILL'!G497,"AAAAAHvX3yA=")</f>
        <v>#VALUE!</v>
      </c>
      <c r="AH266" t="e">
        <f>AND('STERLING CATALOG - FZN &amp; CHILL'!H497,"AAAAAHvX3yE=")</f>
        <v>#VALUE!</v>
      </c>
      <c r="AI266" t="e">
        <f>AND('STERLING CATALOG - FZN &amp; CHILL'!I497,"AAAAAHvX3yI=")</f>
        <v>#VALUE!</v>
      </c>
      <c r="AJ266" t="e">
        <f>AND('STERLING CATALOG - FZN &amp; CHILL'!J497,"AAAAAHvX3yM=")</f>
        <v>#VALUE!</v>
      </c>
      <c r="AK266">
        <f>IF('STERLING CATALOG - FZN &amp; CHILL'!498:498,"AAAAAHvX3yQ=",0)</f>
        <v>0</v>
      </c>
      <c r="AL266" t="e">
        <f>AND('STERLING CATALOG - FZN &amp; CHILL'!A498,"AAAAAHvX3yU=")</f>
        <v>#VALUE!</v>
      </c>
      <c r="AM266" t="e">
        <f>AND('STERLING CATALOG - FZN &amp; CHILL'!B498,"AAAAAHvX3yY=")</f>
        <v>#VALUE!</v>
      </c>
      <c r="AN266" t="e">
        <f>AND('STERLING CATALOG - FZN &amp; CHILL'!C498,"AAAAAHvX3yc=")</f>
        <v>#VALUE!</v>
      </c>
      <c r="AO266" t="e">
        <f>AND('STERLING CATALOG - FZN &amp; CHILL'!D498,"AAAAAHvX3yg=")</f>
        <v>#VALUE!</v>
      </c>
      <c r="AP266" t="e">
        <f>AND('STERLING CATALOG - FZN &amp; CHILL'!E498,"AAAAAHvX3yk=")</f>
        <v>#VALUE!</v>
      </c>
      <c r="AQ266" t="e">
        <f>AND('STERLING CATALOG - FZN &amp; CHILL'!F498,"AAAAAHvX3yo=")</f>
        <v>#VALUE!</v>
      </c>
      <c r="AR266" t="e">
        <f>AND('STERLING CATALOG - FZN &amp; CHILL'!G498,"AAAAAHvX3ys=")</f>
        <v>#VALUE!</v>
      </c>
      <c r="AS266" t="e">
        <f>AND('STERLING CATALOG - FZN &amp; CHILL'!H498,"AAAAAHvX3yw=")</f>
        <v>#VALUE!</v>
      </c>
      <c r="AT266" t="e">
        <f>AND('STERLING CATALOG - FZN &amp; CHILL'!I498,"AAAAAHvX3y0=")</f>
        <v>#VALUE!</v>
      </c>
      <c r="AU266" t="e">
        <f>AND('STERLING CATALOG - FZN &amp; CHILL'!J498,"AAAAAHvX3y4=")</f>
        <v>#VALUE!</v>
      </c>
      <c r="AV266">
        <f>IF('STERLING CATALOG - FZN &amp; CHILL'!499:499,"AAAAAHvX3y8=",0)</f>
        <v>0</v>
      </c>
      <c r="AW266" t="e">
        <f>AND('STERLING CATALOG - FZN &amp; CHILL'!A499,"AAAAAHvX3zA=")</f>
        <v>#VALUE!</v>
      </c>
      <c r="AX266" t="e">
        <f>AND('STERLING CATALOG - FZN &amp; CHILL'!B499,"AAAAAHvX3zE=")</f>
        <v>#VALUE!</v>
      </c>
      <c r="AY266" t="e">
        <f>AND('STERLING CATALOG - FZN &amp; CHILL'!C499,"AAAAAHvX3zI=")</f>
        <v>#VALUE!</v>
      </c>
      <c r="AZ266" t="e">
        <f>AND('STERLING CATALOG - FZN &amp; CHILL'!D499,"AAAAAHvX3zM=")</f>
        <v>#VALUE!</v>
      </c>
      <c r="BA266" t="e">
        <f>AND('STERLING CATALOG - FZN &amp; CHILL'!E499,"AAAAAHvX3zQ=")</f>
        <v>#VALUE!</v>
      </c>
      <c r="BB266" t="e">
        <f>AND('STERLING CATALOG - FZN &amp; CHILL'!F499,"AAAAAHvX3zU=")</f>
        <v>#VALUE!</v>
      </c>
      <c r="BC266" t="e">
        <f>AND('STERLING CATALOG - FZN &amp; CHILL'!G499,"AAAAAHvX3zY=")</f>
        <v>#VALUE!</v>
      </c>
      <c r="BD266" t="e">
        <f>AND('STERLING CATALOG - FZN &amp; CHILL'!H499,"AAAAAHvX3zc=")</f>
        <v>#VALUE!</v>
      </c>
      <c r="BE266" t="e">
        <f>AND('STERLING CATALOG - FZN &amp; CHILL'!I499,"AAAAAHvX3zg=")</f>
        <v>#VALUE!</v>
      </c>
      <c r="BF266" t="e">
        <f>AND('STERLING CATALOG - FZN &amp; CHILL'!J499,"AAAAAHvX3zk=")</f>
        <v>#VALUE!</v>
      </c>
      <c r="BG266">
        <f>IF('STERLING CATALOG - FZN &amp; CHILL'!500:500,"AAAAAHvX3zo=",0)</f>
        <v>0</v>
      </c>
      <c r="BH266" t="e">
        <f>AND('STERLING CATALOG - FZN &amp; CHILL'!A500,"AAAAAHvX3zs=")</f>
        <v>#VALUE!</v>
      </c>
      <c r="BI266" t="e">
        <f>AND('STERLING CATALOG - FZN &amp; CHILL'!B500,"AAAAAHvX3zw=")</f>
        <v>#VALUE!</v>
      </c>
      <c r="BJ266" t="e">
        <f>AND('STERLING CATALOG - FZN &amp; CHILL'!C500,"AAAAAHvX3z0=")</f>
        <v>#VALUE!</v>
      </c>
      <c r="BK266" t="e">
        <f>AND('STERLING CATALOG - FZN &amp; CHILL'!D500,"AAAAAHvX3z4=")</f>
        <v>#VALUE!</v>
      </c>
      <c r="BL266" t="e">
        <f>AND('STERLING CATALOG - FZN &amp; CHILL'!E500,"AAAAAHvX3z8=")</f>
        <v>#VALUE!</v>
      </c>
      <c r="BM266" t="e">
        <f>AND('STERLING CATALOG - FZN &amp; CHILL'!F500,"AAAAAHvX30A=")</f>
        <v>#VALUE!</v>
      </c>
      <c r="BN266" t="e">
        <f>AND('STERLING CATALOG - FZN &amp; CHILL'!G500,"AAAAAHvX30E=")</f>
        <v>#VALUE!</v>
      </c>
      <c r="BO266" t="e">
        <f>AND('STERLING CATALOG - FZN &amp; CHILL'!H500,"AAAAAHvX30I=")</f>
        <v>#VALUE!</v>
      </c>
      <c r="BP266" t="e">
        <f>AND('STERLING CATALOG - FZN &amp; CHILL'!I500,"AAAAAHvX30M=")</f>
        <v>#VALUE!</v>
      </c>
      <c r="BQ266" t="e">
        <f>AND('STERLING CATALOG - FZN &amp; CHILL'!J500,"AAAAAHvX30Q=")</f>
        <v>#VALUE!</v>
      </c>
      <c r="BR266">
        <f>IF('STERLING CATALOG - FZN &amp; CHILL'!501:501,"AAAAAHvX30U=",0)</f>
        <v>0</v>
      </c>
      <c r="BS266" t="e">
        <f>AND('STERLING CATALOG - FZN &amp; CHILL'!A501,"AAAAAHvX30Y=")</f>
        <v>#VALUE!</v>
      </c>
      <c r="BT266" t="e">
        <f>AND('STERLING CATALOG - FZN &amp; CHILL'!B501,"AAAAAHvX30c=")</f>
        <v>#VALUE!</v>
      </c>
      <c r="BU266" t="e">
        <f>AND('STERLING CATALOG - FZN &amp; CHILL'!C501,"AAAAAHvX30g=")</f>
        <v>#VALUE!</v>
      </c>
      <c r="BV266" t="e">
        <f>AND('STERLING CATALOG - FZN &amp; CHILL'!D501,"AAAAAHvX30k=")</f>
        <v>#VALUE!</v>
      </c>
      <c r="BW266" t="e">
        <f>AND('STERLING CATALOG - FZN &amp; CHILL'!E501,"AAAAAHvX30o=")</f>
        <v>#VALUE!</v>
      </c>
      <c r="BX266" t="e">
        <f>AND('STERLING CATALOG - FZN &amp; CHILL'!F501,"AAAAAHvX30s=")</f>
        <v>#VALUE!</v>
      </c>
      <c r="BY266" t="e">
        <f>AND('STERLING CATALOG - FZN &amp; CHILL'!G501,"AAAAAHvX30w=")</f>
        <v>#VALUE!</v>
      </c>
      <c r="BZ266" t="e">
        <f>AND('STERLING CATALOG - FZN &amp; CHILL'!H501,"AAAAAHvX300=")</f>
        <v>#VALUE!</v>
      </c>
      <c r="CA266" t="e">
        <f>AND('STERLING CATALOG - FZN &amp; CHILL'!I501,"AAAAAHvX304=")</f>
        <v>#VALUE!</v>
      </c>
      <c r="CB266" t="e">
        <f>AND('STERLING CATALOG - FZN &amp; CHILL'!J501,"AAAAAHvX308=")</f>
        <v>#VALUE!</v>
      </c>
      <c r="CC266">
        <f>IF('STERLING CATALOG - FZN &amp; CHILL'!502:502,"AAAAAHvX31A=",0)</f>
        <v>0</v>
      </c>
      <c r="CD266" t="e">
        <f>AND('STERLING CATALOG - FZN &amp; CHILL'!A502,"AAAAAHvX31E=")</f>
        <v>#VALUE!</v>
      </c>
      <c r="CE266" t="e">
        <f>AND('STERLING CATALOG - FZN &amp; CHILL'!B502,"AAAAAHvX31I=")</f>
        <v>#VALUE!</v>
      </c>
      <c r="CF266" t="e">
        <f>AND('STERLING CATALOG - FZN &amp; CHILL'!C502,"AAAAAHvX31M=")</f>
        <v>#VALUE!</v>
      </c>
      <c r="CG266" t="e">
        <f>AND('STERLING CATALOG - FZN &amp; CHILL'!D502,"AAAAAHvX31Q=")</f>
        <v>#VALUE!</v>
      </c>
      <c r="CH266" t="e">
        <f>AND('STERLING CATALOG - FZN &amp; CHILL'!E502,"AAAAAHvX31U=")</f>
        <v>#VALUE!</v>
      </c>
      <c r="CI266" t="e">
        <f>AND('STERLING CATALOG - FZN &amp; CHILL'!F502,"AAAAAHvX31Y=")</f>
        <v>#VALUE!</v>
      </c>
      <c r="CJ266" t="e">
        <f>AND('STERLING CATALOG - FZN &amp; CHILL'!G502,"AAAAAHvX31c=")</f>
        <v>#VALUE!</v>
      </c>
      <c r="CK266" t="e">
        <f>AND('STERLING CATALOG - FZN &amp; CHILL'!H502,"AAAAAHvX31g=")</f>
        <v>#VALUE!</v>
      </c>
      <c r="CL266" t="e">
        <f>AND('STERLING CATALOG - FZN &amp; CHILL'!I502,"AAAAAHvX31k=")</f>
        <v>#VALUE!</v>
      </c>
      <c r="CM266" t="e">
        <f>AND('STERLING CATALOG - FZN &amp; CHILL'!J502,"AAAAAHvX31o=")</f>
        <v>#VALUE!</v>
      </c>
      <c r="CN266">
        <f>IF('STERLING CATALOG - FZN &amp; CHILL'!503:503,"AAAAAHvX31s=",0)</f>
        <v>0</v>
      </c>
      <c r="CO266" t="e">
        <f>AND('STERLING CATALOG - FZN &amp; CHILL'!A503,"AAAAAHvX31w=")</f>
        <v>#VALUE!</v>
      </c>
      <c r="CP266" t="e">
        <f>AND('STERLING CATALOG - FZN &amp; CHILL'!B503,"AAAAAHvX310=")</f>
        <v>#VALUE!</v>
      </c>
      <c r="CQ266" t="e">
        <f>AND('STERLING CATALOG - FZN &amp; CHILL'!C503,"AAAAAHvX314=")</f>
        <v>#VALUE!</v>
      </c>
      <c r="CR266" t="e">
        <f>AND('STERLING CATALOG - FZN &amp; CHILL'!D503,"AAAAAHvX318=")</f>
        <v>#VALUE!</v>
      </c>
      <c r="CS266" t="e">
        <f>AND('STERLING CATALOG - FZN &amp; CHILL'!E503,"AAAAAHvX32A=")</f>
        <v>#VALUE!</v>
      </c>
      <c r="CT266" t="e">
        <f>AND('STERLING CATALOG - FZN &amp; CHILL'!F503,"AAAAAHvX32E=")</f>
        <v>#VALUE!</v>
      </c>
      <c r="CU266" t="e">
        <f>AND('STERLING CATALOG - FZN &amp; CHILL'!G503,"AAAAAHvX32I=")</f>
        <v>#VALUE!</v>
      </c>
      <c r="CV266" t="e">
        <f>AND('STERLING CATALOG - FZN &amp; CHILL'!H503,"AAAAAHvX32M=")</f>
        <v>#VALUE!</v>
      </c>
      <c r="CW266" t="e">
        <f>AND('STERLING CATALOG - FZN &amp; CHILL'!I503,"AAAAAHvX32Q=")</f>
        <v>#VALUE!</v>
      </c>
      <c r="CX266" t="e">
        <f>AND('STERLING CATALOG - FZN &amp; CHILL'!J503,"AAAAAHvX32U=")</f>
        <v>#VALUE!</v>
      </c>
      <c r="CY266">
        <f>IF('STERLING CATALOG - FZN &amp; CHILL'!504:504,"AAAAAHvX32Y=",0)</f>
        <v>0</v>
      </c>
      <c r="CZ266" t="e">
        <f>AND('STERLING CATALOG - FZN &amp; CHILL'!A504,"AAAAAHvX32c=")</f>
        <v>#VALUE!</v>
      </c>
      <c r="DA266" t="e">
        <f>AND('STERLING CATALOG - FZN &amp; CHILL'!B504,"AAAAAHvX32g=")</f>
        <v>#VALUE!</v>
      </c>
      <c r="DB266" t="e">
        <f>AND('STERLING CATALOG - FZN &amp; CHILL'!C504,"AAAAAHvX32k=")</f>
        <v>#VALUE!</v>
      </c>
      <c r="DC266" t="e">
        <f>AND('STERLING CATALOG - FZN &amp; CHILL'!D504,"AAAAAHvX32o=")</f>
        <v>#VALUE!</v>
      </c>
      <c r="DD266" t="e">
        <f>AND('STERLING CATALOG - FZN &amp; CHILL'!E504,"AAAAAHvX32s=")</f>
        <v>#VALUE!</v>
      </c>
      <c r="DE266" t="e">
        <f>AND('STERLING CATALOG - FZN &amp; CHILL'!F504,"AAAAAHvX32w=")</f>
        <v>#VALUE!</v>
      </c>
      <c r="DF266" t="e">
        <f>AND('STERLING CATALOG - FZN &amp; CHILL'!G504,"AAAAAHvX320=")</f>
        <v>#VALUE!</v>
      </c>
      <c r="DG266" t="e">
        <f>AND('STERLING CATALOG - FZN &amp; CHILL'!H504,"AAAAAHvX324=")</f>
        <v>#VALUE!</v>
      </c>
      <c r="DH266" t="e">
        <f>AND('STERLING CATALOG - FZN &amp; CHILL'!I504,"AAAAAHvX328=")</f>
        <v>#VALUE!</v>
      </c>
      <c r="DI266" t="e">
        <f>AND('STERLING CATALOG - FZN &amp; CHILL'!J504,"AAAAAHvX33A=")</f>
        <v>#VALUE!</v>
      </c>
      <c r="DJ266">
        <f>IF('STERLING CATALOG - FZN &amp; CHILL'!505:505,"AAAAAHvX33E=",0)</f>
        <v>0</v>
      </c>
      <c r="DK266" t="e">
        <f>AND('STERLING CATALOG - FZN &amp; CHILL'!A505,"AAAAAHvX33I=")</f>
        <v>#VALUE!</v>
      </c>
      <c r="DL266" t="e">
        <f>AND('STERLING CATALOG - FZN &amp; CHILL'!B505,"AAAAAHvX33M=")</f>
        <v>#VALUE!</v>
      </c>
      <c r="DM266" t="e">
        <f>AND('STERLING CATALOG - FZN &amp; CHILL'!C505,"AAAAAHvX33Q=")</f>
        <v>#VALUE!</v>
      </c>
      <c r="DN266" t="e">
        <f>AND('STERLING CATALOG - FZN &amp; CHILL'!D505,"AAAAAHvX33U=")</f>
        <v>#VALUE!</v>
      </c>
      <c r="DO266" t="e">
        <f>AND('STERLING CATALOG - FZN &amp; CHILL'!E505,"AAAAAHvX33Y=")</f>
        <v>#VALUE!</v>
      </c>
      <c r="DP266" t="e">
        <f>AND('STERLING CATALOG - FZN &amp; CHILL'!F505,"AAAAAHvX33c=")</f>
        <v>#VALUE!</v>
      </c>
      <c r="DQ266" t="e">
        <f>AND('STERLING CATALOG - FZN &amp; CHILL'!G505,"AAAAAHvX33g=")</f>
        <v>#VALUE!</v>
      </c>
      <c r="DR266" t="e">
        <f>AND('STERLING CATALOG - FZN &amp; CHILL'!H505,"AAAAAHvX33k=")</f>
        <v>#VALUE!</v>
      </c>
      <c r="DS266" t="e">
        <f>AND('STERLING CATALOG - FZN &amp; CHILL'!I505,"AAAAAHvX33o=")</f>
        <v>#VALUE!</v>
      </c>
      <c r="DT266" t="e">
        <f>AND('STERLING CATALOG - FZN &amp; CHILL'!J505,"AAAAAHvX33s=")</f>
        <v>#VALUE!</v>
      </c>
      <c r="DU266">
        <f>IF('STERLING CATALOG - FZN &amp; CHILL'!506:506,"AAAAAHvX33w=",0)</f>
        <v>0</v>
      </c>
      <c r="DV266" t="e">
        <f>AND('STERLING CATALOG - FZN &amp; CHILL'!A506,"AAAAAHvX330=")</f>
        <v>#VALUE!</v>
      </c>
      <c r="DW266" t="e">
        <f>AND('STERLING CATALOG - FZN &amp; CHILL'!B506,"AAAAAHvX334=")</f>
        <v>#VALUE!</v>
      </c>
      <c r="DX266" t="e">
        <f>AND('STERLING CATALOG - FZN &amp; CHILL'!C506,"AAAAAHvX338=")</f>
        <v>#VALUE!</v>
      </c>
      <c r="DY266" t="e">
        <f>AND('STERLING CATALOG - FZN &amp; CHILL'!D506,"AAAAAHvX34A=")</f>
        <v>#VALUE!</v>
      </c>
      <c r="DZ266" t="e">
        <f>AND('STERLING CATALOG - FZN &amp; CHILL'!E506,"AAAAAHvX34E=")</f>
        <v>#VALUE!</v>
      </c>
      <c r="EA266" t="e">
        <f>AND('STERLING CATALOG - FZN &amp; CHILL'!F506,"AAAAAHvX34I=")</f>
        <v>#VALUE!</v>
      </c>
      <c r="EB266" t="e">
        <f>AND('STERLING CATALOG - FZN &amp; CHILL'!G506,"AAAAAHvX34M=")</f>
        <v>#VALUE!</v>
      </c>
      <c r="EC266" t="e">
        <f>AND('STERLING CATALOG - FZN &amp; CHILL'!H506,"AAAAAHvX34Q=")</f>
        <v>#VALUE!</v>
      </c>
      <c r="ED266" t="e">
        <f>AND('STERLING CATALOG - FZN &amp; CHILL'!I506,"AAAAAHvX34U=")</f>
        <v>#VALUE!</v>
      </c>
      <c r="EE266" t="e">
        <f>AND('STERLING CATALOG - FZN &amp; CHILL'!J506,"AAAAAHvX34Y=")</f>
        <v>#VALUE!</v>
      </c>
      <c r="EF266">
        <f>IF('STERLING CATALOG - FZN &amp; CHILL'!507:507,"AAAAAHvX34c=",0)</f>
        <v>0</v>
      </c>
      <c r="EG266" t="e">
        <f>AND('STERLING CATALOG - FZN &amp; CHILL'!A507,"AAAAAHvX34g=")</f>
        <v>#VALUE!</v>
      </c>
      <c r="EH266" t="e">
        <f>AND('STERLING CATALOG - FZN &amp; CHILL'!B507,"AAAAAHvX34k=")</f>
        <v>#VALUE!</v>
      </c>
      <c r="EI266" t="e">
        <f>AND('STERLING CATALOG - FZN &amp; CHILL'!C507,"AAAAAHvX34o=")</f>
        <v>#VALUE!</v>
      </c>
      <c r="EJ266" t="e">
        <f>AND('STERLING CATALOG - FZN &amp; CHILL'!D507,"AAAAAHvX34s=")</f>
        <v>#VALUE!</v>
      </c>
      <c r="EK266" t="e">
        <f>AND('STERLING CATALOG - FZN &amp; CHILL'!E507,"AAAAAHvX34w=")</f>
        <v>#VALUE!</v>
      </c>
      <c r="EL266" t="e">
        <f>AND('STERLING CATALOG - FZN &amp; CHILL'!F507,"AAAAAHvX340=")</f>
        <v>#VALUE!</v>
      </c>
      <c r="EM266" t="e">
        <f>AND('STERLING CATALOG - FZN &amp; CHILL'!G507,"AAAAAHvX344=")</f>
        <v>#VALUE!</v>
      </c>
      <c r="EN266" t="e">
        <f>AND('STERLING CATALOG - FZN &amp; CHILL'!H507,"AAAAAHvX348=")</f>
        <v>#VALUE!</v>
      </c>
      <c r="EO266" t="e">
        <f>AND('STERLING CATALOG - FZN &amp; CHILL'!I507,"AAAAAHvX35A=")</f>
        <v>#VALUE!</v>
      </c>
      <c r="EP266" t="e">
        <f>AND('STERLING CATALOG - FZN &amp; CHILL'!J507,"AAAAAHvX35E=")</f>
        <v>#VALUE!</v>
      </c>
      <c r="EQ266">
        <f>IF('STERLING CATALOG - FZN &amp; CHILL'!508:508,"AAAAAHvX35I=",0)</f>
        <v>0</v>
      </c>
      <c r="ER266" t="e">
        <f>AND('STERLING CATALOG - FZN &amp; CHILL'!A508,"AAAAAHvX35M=")</f>
        <v>#VALUE!</v>
      </c>
      <c r="ES266" t="e">
        <f>AND('STERLING CATALOG - FZN &amp; CHILL'!B508,"AAAAAHvX35Q=")</f>
        <v>#VALUE!</v>
      </c>
      <c r="ET266" t="e">
        <f>AND('STERLING CATALOG - FZN &amp; CHILL'!C508,"AAAAAHvX35U=")</f>
        <v>#VALUE!</v>
      </c>
      <c r="EU266" t="e">
        <f>AND('STERLING CATALOG - FZN &amp; CHILL'!D508,"AAAAAHvX35Y=")</f>
        <v>#VALUE!</v>
      </c>
      <c r="EV266" t="e">
        <f>AND('STERLING CATALOG - FZN &amp; CHILL'!E508,"AAAAAHvX35c=")</f>
        <v>#VALUE!</v>
      </c>
      <c r="EW266" t="e">
        <f>AND('STERLING CATALOG - FZN &amp; CHILL'!F508,"AAAAAHvX35g=")</f>
        <v>#VALUE!</v>
      </c>
      <c r="EX266" t="e">
        <f>AND('STERLING CATALOG - FZN &amp; CHILL'!G508,"AAAAAHvX35k=")</f>
        <v>#VALUE!</v>
      </c>
      <c r="EY266" t="e">
        <f>AND('STERLING CATALOG - FZN &amp; CHILL'!H508,"AAAAAHvX35o=")</f>
        <v>#VALUE!</v>
      </c>
      <c r="EZ266" t="e">
        <f>AND('STERLING CATALOG - FZN &amp; CHILL'!I508,"AAAAAHvX35s=")</f>
        <v>#VALUE!</v>
      </c>
      <c r="FA266" t="e">
        <f>AND('STERLING CATALOG - FZN &amp; CHILL'!J508,"AAAAAHvX35w=")</f>
        <v>#VALUE!</v>
      </c>
      <c r="FB266">
        <f>IF('STERLING CATALOG - FZN &amp; CHILL'!509:509,"AAAAAHvX350=",0)</f>
        <v>0</v>
      </c>
      <c r="FC266" t="e">
        <f>AND('STERLING CATALOG - FZN &amp; CHILL'!A509,"AAAAAHvX354=")</f>
        <v>#VALUE!</v>
      </c>
      <c r="FD266" t="e">
        <f>AND('STERLING CATALOG - FZN &amp; CHILL'!B509,"AAAAAHvX358=")</f>
        <v>#VALUE!</v>
      </c>
      <c r="FE266" t="e">
        <f>AND('STERLING CATALOG - FZN &amp; CHILL'!C509,"AAAAAHvX36A=")</f>
        <v>#VALUE!</v>
      </c>
      <c r="FF266" t="e">
        <f>AND('STERLING CATALOG - FZN &amp; CHILL'!D509,"AAAAAHvX36E=")</f>
        <v>#VALUE!</v>
      </c>
      <c r="FG266" t="e">
        <f>AND('STERLING CATALOG - FZN &amp; CHILL'!E509,"AAAAAHvX36I=")</f>
        <v>#VALUE!</v>
      </c>
      <c r="FH266" t="e">
        <f>AND('STERLING CATALOG - FZN &amp; CHILL'!F509,"AAAAAHvX36M=")</f>
        <v>#VALUE!</v>
      </c>
      <c r="FI266" t="e">
        <f>AND('STERLING CATALOG - FZN &amp; CHILL'!G509,"AAAAAHvX36Q=")</f>
        <v>#VALUE!</v>
      </c>
      <c r="FJ266" t="e">
        <f>AND('STERLING CATALOG - FZN &amp; CHILL'!H509,"AAAAAHvX36U=")</f>
        <v>#VALUE!</v>
      </c>
      <c r="FK266" t="e">
        <f>AND('STERLING CATALOG - FZN &amp; CHILL'!I509,"AAAAAHvX36Y=")</f>
        <v>#VALUE!</v>
      </c>
      <c r="FL266" t="e">
        <f>AND('STERLING CATALOG - FZN &amp; CHILL'!J509,"AAAAAHvX36c=")</f>
        <v>#VALUE!</v>
      </c>
      <c r="FM266">
        <f>IF('STERLING CATALOG - FZN &amp; CHILL'!510:510,"AAAAAHvX36g=",0)</f>
        <v>0</v>
      </c>
      <c r="FN266" t="e">
        <f>AND('STERLING CATALOG - FZN &amp; CHILL'!A510,"AAAAAHvX36k=")</f>
        <v>#VALUE!</v>
      </c>
      <c r="FO266" t="e">
        <f>AND('STERLING CATALOG - FZN &amp; CHILL'!B510,"AAAAAHvX36o=")</f>
        <v>#VALUE!</v>
      </c>
      <c r="FP266" t="e">
        <f>AND('STERLING CATALOG - FZN &amp; CHILL'!C510,"AAAAAHvX36s=")</f>
        <v>#VALUE!</v>
      </c>
      <c r="FQ266" t="e">
        <f>AND('STERLING CATALOG - FZN &amp; CHILL'!D510,"AAAAAHvX36w=")</f>
        <v>#VALUE!</v>
      </c>
      <c r="FR266" t="e">
        <f>AND('STERLING CATALOG - FZN &amp; CHILL'!E510,"AAAAAHvX360=")</f>
        <v>#VALUE!</v>
      </c>
      <c r="FS266" t="e">
        <f>AND('STERLING CATALOG - FZN &amp; CHILL'!F510,"AAAAAHvX364=")</f>
        <v>#VALUE!</v>
      </c>
      <c r="FT266" t="e">
        <f>AND('STERLING CATALOG - FZN &amp; CHILL'!G510,"AAAAAHvX368=")</f>
        <v>#VALUE!</v>
      </c>
      <c r="FU266" t="e">
        <f>AND('STERLING CATALOG - FZN &amp; CHILL'!H510,"AAAAAHvX37A=")</f>
        <v>#VALUE!</v>
      </c>
      <c r="FV266" t="e">
        <f>AND('STERLING CATALOG - FZN &amp; CHILL'!I510,"AAAAAHvX37E=")</f>
        <v>#VALUE!</v>
      </c>
      <c r="FW266" t="e">
        <f>AND('STERLING CATALOG - FZN &amp; CHILL'!J510,"AAAAAHvX37I=")</f>
        <v>#VALUE!</v>
      </c>
      <c r="FX266">
        <f>IF('STERLING CATALOG - FZN &amp; CHILL'!511:511,"AAAAAHvX37M=",0)</f>
        <v>0</v>
      </c>
      <c r="FY266" t="e">
        <f>AND('STERLING CATALOG - FZN &amp; CHILL'!A511,"AAAAAHvX37Q=")</f>
        <v>#VALUE!</v>
      </c>
      <c r="FZ266" t="e">
        <f>AND('STERLING CATALOG - FZN &amp; CHILL'!B511,"AAAAAHvX37U=")</f>
        <v>#VALUE!</v>
      </c>
      <c r="GA266" t="e">
        <f>AND('STERLING CATALOG - FZN &amp; CHILL'!C511,"AAAAAHvX37Y=")</f>
        <v>#VALUE!</v>
      </c>
      <c r="GB266" t="e">
        <f>AND('STERLING CATALOG - FZN &amp; CHILL'!D511,"AAAAAHvX37c=")</f>
        <v>#VALUE!</v>
      </c>
      <c r="GC266" t="e">
        <f>AND('STERLING CATALOG - FZN &amp; CHILL'!E511,"AAAAAHvX37g=")</f>
        <v>#VALUE!</v>
      </c>
      <c r="GD266" t="e">
        <f>AND('STERLING CATALOG - FZN &amp; CHILL'!F511,"AAAAAHvX37k=")</f>
        <v>#VALUE!</v>
      </c>
      <c r="GE266" t="e">
        <f>AND('STERLING CATALOG - FZN &amp; CHILL'!G511,"AAAAAHvX37o=")</f>
        <v>#VALUE!</v>
      </c>
      <c r="GF266" t="e">
        <f>AND('STERLING CATALOG - FZN &amp; CHILL'!H511,"AAAAAHvX37s=")</f>
        <v>#VALUE!</v>
      </c>
      <c r="GG266" t="e">
        <f>AND('STERLING CATALOG - FZN &amp; CHILL'!I511,"AAAAAHvX37w=")</f>
        <v>#VALUE!</v>
      </c>
      <c r="GH266" t="e">
        <f>AND('STERLING CATALOG - FZN &amp; CHILL'!J511,"AAAAAHvX370=")</f>
        <v>#VALUE!</v>
      </c>
      <c r="GI266">
        <f>IF('STERLING CATALOG - FZN &amp; CHILL'!512:512,"AAAAAHvX374=",0)</f>
        <v>0</v>
      </c>
      <c r="GJ266" t="e">
        <f>AND('STERLING CATALOG - FZN &amp; CHILL'!A512,"AAAAAHvX378=")</f>
        <v>#VALUE!</v>
      </c>
      <c r="GK266" t="e">
        <f>AND('STERLING CATALOG - FZN &amp; CHILL'!B512,"AAAAAHvX38A=")</f>
        <v>#VALUE!</v>
      </c>
      <c r="GL266" t="e">
        <f>AND('STERLING CATALOG - FZN &amp; CHILL'!C512,"AAAAAHvX38E=")</f>
        <v>#VALUE!</v>
      </c>
      <c r="GM266" t="e">
        <f>AND('STERLING CATALOG - FZN &amp; CHILL'!D512,"AAAAAHvX38I=")</f>
        <v>#VALUE!</v>
      </c>
      <c r="GN266" t="e">
        <f>AND('STERLING CATALOG - FZN &amp; CHILL'!E512,"AAAAAHvX38M=")</f>
        <v>#VALUE!</v>
      </c>
      <c r="GO266" t="e">
        <f>AND('STERLING CATALOG - FZN &amp; CHILL'!F512,"AAAAAHvX38Q=")</f>
        <v>#VALUE!</v>
      </c>
      <c r="GP266" t="e">
        <f>AND('STERLING CATALOG - FZN &amp; CHILL'!G512,"AAAAAHvX38U=")</f>
        <v>#VALUE!</v>
      </c>
      <c r="GQ266" t="e">
        <f>AND('STERLING CATALOG - FZN &amp; CHILL'!H512,"AAAAAHvX38Y=")</f>
        <v>#VALUE!</v>
      </c>
      <c r="GR266" t="e">
        <f>AND('STERLING CATALOG - FZN &amp; CHILL'!I512,"AAAAAHvX38c=")</f>
        <v>#VALUE!</v>
      </c>
      <c r="GS266" t="e">
        <f>AND('STERLING CATALOG - FZN &amp; CHILL'!J512,"AAAAAHvX38g=")</f>
        <v>#VALUE!</v>
      </c>
      <c r="GT266">
        <f>IF('STERLING CATALOG - FZN &amp; CHILL'!513:513,"AAAAAHvX38k=",0)</f>
        <v>0</v>
      </c>
      <c r="GU266" t="e">
        <f>AND('STERLING CATALOG - FZN &amp; CHILL'!A513,"AAAAAHvX38o=")</f>
        <v>#VALUE!</v>
      </c>
      <c r="GV266" t="e">
        <f>AND('STERLING CATALOG - FZN &amp; CHILL'!B513,"AAAAAHvX38s=")</f>
        <v>#VALUE!</v>
      </c>
      <c r="GW266" t="e">
        <f>AND('STERLING CATALOG - FZN &amp; CHILL'!C513,"AAAAAHvX38w=")</f>
        <v>#VALUE!</v>
      </c>
      <c r="GX266" t="e">
        <f>AND('STERLING CATALOG - FZN &amp; CHILL'!D513,"AAAAAHvX380=")</f>
        <v>#VALUE!</v>
      </c>
      <c r="GY266" t="e">
        <f>AND('STERLING CATALOG - FZN &amp; CHILL'!E513,"AAAAAHvX384=")</f>
        <v>#VALUE!</v>
      </c>
      <c r="GZ266" t="e">
        <f>AND('STERLING CATALOG - FZN &amp; CHILL'!F513,"AAAAAHvX388=")</f>
        <v>#VALUE!</v>
      </c>
      <c r="HA266" t="e">
        <f>AND('STERLING CATALOG - FZN &amp; CHILL'!G513,"AAAAAHvX39A=")</f>
        <v>#VALUE!</v>
      </c>
      <c r="HB266" t="e">
        <f>AND('STERLING CATALOG - FZN &amp; CHILL'!H513,"AAAAAHvX39E=")</f>
        <v>#VALUE!</v>
      </c>
      <c r="HC266" t="e">
        <f>AND('STERLING CATALOG - FZN &amp; CHILL'!I513,"AAAAAHvX39I=")</f>
        <v>#VALUE!</v>
      </c>
      <c r="HD266" t="e">
        <f>AND('STERLING CATALOG - FZN &amp; CHILL'!J513,"AAAAAHvX39M=")</f>
        <v>#VALUE!</v>
      </c>
      <c r="HE266">
        <f>IF('STERLING CATALOG - FZN &amp; CHILL'!514:514,"AAAAAHvX39Q=",0)</f>
        <v>0</v>
      </c>
      <c r="HF266" t="e">
        <f>AND('STERLING CATALOG - FZN &amp; CHILL'!A514,"AAAAAHvX39U=")</f>
        <v>#VALUE!</v>
      </c>
      <c r="HG266" t="e">
        <f>AND('STERLING CATALOG - FZN &amp; CHILL'!B514,"AAAAAHvX39Y=")</f>
        <v>#VALUE!</v>
      </c>
      <c r="HH266" t="e">
        <f>AND('STERLING CATALOG - FZN &amp; CHILL'!C514,"AAAAAHvX39c=")</f>
        <v>#VALUE!</v>
      </c>
      <c r="HI266" t="e">
        <f>AND('STERLING CATALOG - FZN &amp; CHILL'!D514,"AAAAAHvX39g=")</f>
        <v>#VALUE!</v>
      </c>
      <c r="HJ266" t="e">
        <f>AND('STERLING CATALOG - FZN &amp; CHILL'!E514,"AAAAAHvX39k=")</f>
        <v>#VALUE!</v>
      </c>
      <c r="HK266" t="e">
        <f>AND('STERLING CATALOG - FZN &amp; CHILL'!F514,"AAAAAHvX39o=")</f>
        <v>#VALUE!</v>
      </c>
      <c r="HL266" t="e">
        <f>AND('STERLING CATALOG - FZN &amp; CHILL'!G514,"AAAAAHvX39s=")</f>
        <v>#VALUE!</v>
      </c>
      <c r="HM266" t="e">
        <f>AND('STERLING CATALOG - FZN &amp; CHILL'!H514,"AAAAAHvX39w=")</f>
        <v>#VALUE!</v>
      </c>
      <c r="HN266" t="e">
        <f>AND('STERLING CATALOG - FZN &amp; CHILL'!I514,"AAAAAHvX390=")</f>
        <v>#VALUE!</v>
      </c>
      <c r="HO266" t="e">
        <f>AND('STERLING CATALOG - FZN &amp; CHILL'!J514,"AAAAAHvX394=")</f>
        <v>#VALUE!</v>
      </c>
      <c r="HP266">
        <f>IF('STERLING CATALOG - FZN &amp; CHILL'!515:515,"AAAAAHvX398=",0)</f>
        <v>0</v>
      </c>
      <c r="HQ266" t="e">
        <f>AND('STERLING CATALOG - FZN &amp; CHILL'!A515,"AAAAAHvX3+A=")</f>
        <v>#VALUE!</v>
      </c>
      <c r="HR266" t="e">
        <f>AND('STERLING CATALOG - FZN &amp; CHILL'!B515,"AAAAAHvX3+E=")</f>
        <v>#VALUE!</v>
      </c>
      <c r="HS266" t="e">
        <f>AND('STERLING CATALOG - FZN &amp; CHILL'!C515,"AAAAAHvX3+I=")</f>
        <v>#VALUE!</v>
      </c>
      <c r="HT266" t="e">
        <f>AND('STERLING CATALOG - FZN &amp; CHILL'!D515,"AAAAAHvX3+M=")</f>
        <v>#VALUE!</v>
      </c>
      <c r="HU266" t="e">
        <f>AND('STERLING CATALOG - FZN &amp; CHILL'!E515,"AAAAAHvX3+Q=")</f>
        <v>#VALUE!</v>
      </c>
      <c r="HV266" t="e">
        <f>AND('STERLING CATALOG - FZN &amp; CHILL'!F515,"AAAAAHvX3+U=")</f>
        <v>#VALUE!</v>
      </c>
      <c r="HW266" t="e">
        <f>AND('STERLING CATALOG - FZN &amp; CHILL'!G515,"AAAAAHvX3+Y=")</f>
        <v>#VALUE!</v>
      </c>
      <c r="HX266" t="e">
        <f>AND('STERLING CATALOG - FZN &amp; CHILL'!H515,"AAAAAHvX3+c=")</f>
        <v>#VALUE!</v>
      </c>
      <c r="HY266" t="e">
        <f>AND('STERLING CATALOG - FZN &amp; CHILL'!I515,"AAAAAHvX3+g=")</f>
        <v>#VALUE!</v>
      </c>
      <c r="HZ266" t="e">
        <f>AND('STERLING CATALOG - FZN &amp; CHILL'!J515,"AAAAAHvX3+k=")</f>
        <v>#VALUE!</v>
      </c>
      <c r="IA266">
        <f>IF('STERLING CATALOG - FZN &amp; CHILL'!516:516,"AAAAAHvX3+o=",0)</f>
        <v>0</v>
      </c>
      <c r="IB266" t="e">
        <f>AND('STERLING CATALOG - FZN &amp; CHILL'!A516,"AAAAAHvX3+s=")</f>
        <v>#VALUE!</v>
      </c>
      <c r="IC266" t="e">
        <f>AND('STERLING CATALOG - FZN &amp; CHILL'!B516,"AAAAAHvX3+w=")</f>
        <v>#VALUE!</v>
      </c>
      <c r="ID266" t="e">
        <f>AND('STERLING CATALOG - FZN &amp; CHILL'!C516,"AAAAAHvX3+0=")</f>
        <v>#VALUE!</v>
      </c>
      <c r="IE266" t="e">
        <f>AND('STERLING CATALOG - FZN &amp; CHILL'!D516,"AAAAAHvX3+4=")</f>
        <v>#VALUE!</v>
      </c>
      <c r="IF266" t="e">
        <f>AND('STERLING CATALOG - FZN &amp; CHILL'!E516,"AAAAAHvX3+8=")</f>
        <v>#VALUE!</v>
      </c>
      <c r="IG266" t="e">
        <f>AND('STERLING CATALOG - FZN &amp; CHILL'!F516,"AAAAAHvX3/A=")</f>
        <v>#VALUE!</v>
      </c>
      <c r="IH266" t="e">
        <f>AND('STERLING CATALOG - FZN &amp; CHILL'!G516,"AAAAAHvX3/E=")</f>
        <v>#VALUE!</v>
      </c>
      <c r="II266" t="e">
        <f>AND('STERLING CATALOG - FZN &amp; CHILL'!H516,"AAAAAHvX3/I=")</f>
        <v>#VALUE!</v>
      </c>
      <c r="IJ266" t="e">
        <f>AND('STERLING CATALOG - FZN &amp; CHILL'!I516,"AAAAAHvX3/M=")</f>
        <v>#VALUE!</v>
      </c>
      <c r="IK266" t="e">
        <f>AND('STERLING CATALOG - FZN &amp; CHILL'!J516,"AAAAAHvX3/Q=")</f>
        <v>#VALUE!</v>
      </c>
      <c r="IL266">
        <f>IF('STERLING CATALOG - FZN &amp; CHILL'!517:517,"AAAAAHvX3/U=",0)</f>
        <v>0</v>
      </c>
      <c r="IM266" t="e">
        <f>AND('STERLING CATALOG - FZN &amp; CHILL'!A517,"AAAAAHvX3/Y=")</f>
        <v>#VALUE!</v>
      </c>
      <c r="IN266" t="e">
        <f>AND('STERLING CATALOG - FZN &amp; CHILL'!B517,"AAAAAHvX3/c=")</f>
        <v>#VALUE!</v>
      </c>
      <c r="IO266" t="e">
        <f>AND('STERLING CATALOG - FZN &amp; CHILL'!C517,"AAAAAHvX3/g=")</f>
        <v>#VALUE!</v>
      </c>
      <c r="IP266" t="e">
        <f>AND('STERLING CATALOG - FZN &amp; CHILL'!D517,"AAAAAHvX3/k=")</f>
        <v>#VALUE!</v>
      </c>
      <c r="IQ266" t="e">
        <f>AND('STERLING CATALOG - FZN &amp; CHILL'!E517,"AAAAAHvX3/o=")</f>
        <v>#VALUE!</v>
      </c>
      <c r="IR266" t="e">
        <f>AND('STERLING CATALOG - FZN &amp; CHILL'!F517,"AAAAAHvX3/s=")</f>
        <v>#VALUE!</v>
      </c>
      <c r="IS266" t="e">
        <f>AND('STERLING CATALOG - FZN &amp; CHILL'!G517,"AAAAAHvX3/w=")</f>
        <v>#VALUE!</v>
      </c>
      <c r="IT266" t="e">
        <f>AND('STERLING CATALOG - FZN &amp; CHILL'!H517,"AAAAAHvX3/0=")</f>
        <v>#VALUE!</v>
      </c>
      <c r="IU266" t="e">
        <f>AND('STERLING CATALOG - FZN &amp; CHILL'!I517,"AAAAAHvX3/4=")</f>
        <v>#VALUE!</v>
      </c>
      <c r="IV266" t="e">
        <f>AND('STERLING CATALOG - FZN &amp; CHILL'!J517,"AAAAAHvX3/8=")</f>
        <v>#VALUE!</v>
      </c>
    </row>
    <row r="267" spans="1:256">
      <c r="A267" t="str">
        <f>IF('STERLING CATALOG - FZN &amp; CHILL'!518:518,"AAAAAH7/4wA=",0)</f>
        <v>AAAAAH7/4wA=</v>
      </c>
      <c r="B267" t="e">
        <f>AND('STERLING CATALOG - FZN &amp; CHILL'!A518,"AAAAAH7/4wE=")</f>
        <v>#VALUE!</v>
      </c>
      <c r="C267" t="e">
        <f>AND('STERLING CATALOG - FZN &amp; CHILL'!B518,"AAAAAH7/4wI=")</f>
        <v>#VALUE!</v>
      </c>
      <c r="D267" t="e">
        <f>AND('STERLING CATALOG - FZN &amp; CHILL'!C518,"AAAAAH7/4wM=")</f>
        <v>#VALUE!</v>
      </c>
      <c r="E267" t="e">
        <f>AND('STERLING CATALOG - FZN &amp; CHILL'!D518,"AAAAAH7/4wQ=")</f>
        <v>#VALUE!</v>
      </c>
      <c r="F267" t="e">
        <f>AND('STERLING CATALOG - FZN &amp; CHILL'!E518,"AAAAAH7/4wU=")</f>
        <v>#VALUE!</v>
      </c>
      <c r="G267" t="e">
        <f>AND('STERLING CATALOG - FZN &amp; CHILL'!F518,"AAAAAH7/4wY=")</f>
        <v>#VALUE!</v>
      </c>
      <c r="H267" t="e">
        <f>AND('STERLING CATALOG - FZN &amp; CHILL'!G518,"AAAAAH7/4wc=")</f>
        <v>#VALUE!</v>
      </c>
      <c r="I267" t="e">
        <f>AND('STERLING CATALOG - FZN &amp; CHILL'!H518,"AAAAAH7/4wg=")</f>
        <v>#VALUE!</v>
      </c>
      <c r="J267" t="e">
        <f>AND('STERLING CATALOG - FZN &amp; CHILL'!I518,"AAAAAH7/4wk=")</f>
        <v>#VALUE!</v>
      </c>
      <c r="K267" t="e">
        <f>AND('STERLING CATALOG - FZN &amp; CHILL'!J518,"AAAAAH7/4wo=")</f>
        <v>#VALUE!</v>
      </c>
      <c r="L267">
        <f>IF('STERLING CATALOG - FZN &amp; CHILL'!519:519,"AAAAAH7/4ws=",0)</f>
        <v>0</v>
      </c>
      <c r="M267" t="e">
        <f>AND('STERLING CATALOG - FZN &amp; CHILL'!A519,"AAAAAH7/4ww=")</f>
        <v>#VALUE!</v>
      </c>
      <c r="N267" t="e">
        <f>AND('STERLING CATALOG - FZN &amp; CHILL'!B519,"AAAAAH7/4w0=")</f>
        <v>#VALUE!</v>
      </c>
      <c r="O267" t="e">
        <f>AND('STERLING CATALOG - FZN &amp; CHILL'!C519,"AAAAAH7/4w4=")</f>
        <v>#VALUE!</v>
      </c>
      <c r="P267" t="e">
        <f>AND('STERLING CATALOG - FZN &amp; CHILL'!D519,"AAAAAH7/4w8=")</f>
        <v>#VALUE!</v>
      </c>
      <c r="Q267" t="e">
        <f>AND('STERLING CATALOG - FZN &amp; CHILL'!E519,"AAAAAH7/4xA=")</f>
        <v>#VALUE!</v>
      </c>
      <c r="R267" t="e">
        <f>AND('STERLING CATALOG - FZN &amp; CHILL'!F519,"AAAAAH7/4xE=")</f>
        <v>#VALUE!</v>
      </c>
      <c r="S267" t="e">
        <f>AND('STERLING CATALOG - FZN &amp; CHILL'!G519,"AAAAAH7/4xI=")</f>
        <v>#VALUE!</v>
      </c>
      <c r="T267" t="e">
        <f>AND('STERLING CATALOG - FZN &amp; CHILL'!H519,"AAAAAH7/4xM=")</f>
        <v>#VALUE!</v>
      </c>
      <c r="U267" t="e">
        <f>AND('STERLING CATALOG - FZN &amp; CHILL'!I519,"AAAAAH7/4xQ=")</f>
        <v>#VALUE!</v>
      </c>
      <c r="V267" t="e">
        <f>AND('STERLING CATALOG - FZN &amp; CHILL'!J519,"AAAAAH7/4xU=")</f>
        <v>#VALUE!</v>
      </c>
      <c r="W267">
        <f>IF('STERLING CATALOG - FZN &amp; CHILL'!520:520,"AAAAAH7/4xY=",0)</f>
        <v>0</v>
      </c>
      <c r="X267" t="e">
        <f>AND('STERLING CATALOG - FZN &amp; CHILL'!A520,"AAAAAH7/4xc=")</f>
        <v>#VALUE!</v>
      </c>
      <c r="Y267" t="e">
        <f>AND('STERLING CATALOG - FZN &amp; CHILL'!B520,"AAAAAH7/4xg=")</f>
        <v>#VALUE!</v>
      </c>
      <c r="Z267" t="e">
        <f>AND('STERLING CATALOG - FZN &amp; CHILL'!C520,"AAAAAH7/4xk=")</f>
        <v>#VALUE!</v>
      </c>
      <c r="AA267" t="e">
        <f>AND('STERLING CATALOG - FZN &amp; CHILL'!D520,"AAAAAH7/4xo=")</f>
        <v>#VALUE!</v>
      </c>
      <c r="AB267" t="e">
        <f>AND('STERLING CATALOG - FZN &amp; CHILL'!E520,"AAAAAH7/4xs=")</f>
        <v>#VALUE!</v>
      </c>
      <c r="AC267" t="e">
        <f>AND('STERLING CATALOG - FZN &amp; CHILL'!F520,"AAAAAH7/4xw=")</f>
        <v>#VALUE!</v>
      </c>
      <c r="AD267" t="e">
        <f>AND('STERLING CATALOG - FZN &amp; CHILL'!G520,"AAAAAH7/4x0=")</f>
        <v>#VALUE!</v>
      </c>
      <c r="AE267" t="e">
        <f>AND('STERLING CATALOG - FZN &amp; CHILL'!H520,"AAAAAH7/4x4=")</f>
        <v>#VALUE!</v>
      </c>
      <c r="AF267" t="e">
        <f>AND('STERLING CATALOG - FZN &amp; CHILL'!I520,"AAAAAH7/4x8=")</f>
        <v>#VALUE!</v>
      </c>
      <c r="AG267" t="e">
        <f>AND('STERLING CATALOG - FZN &amp; CHILL'!J520,"AAAAAH7/4yA=")</f>
        <v>#VALUE!</v>
      </c>
      <c r="AH267">
        <f>IF('STERLING CATALOG - FZN &amp; CHILL'!521:521,"AAAAAH7/4yE=",0)</f>
        <v>0</v>
      </c>
      <c r="AI267" t="e">
        <f>AND('STERLING CATALOG - FZN &amp; CHILL'!A521,"AAAAAH7/4yI=")</f>
        <v>#VALUE!</v>
      </c>
      <c r="AJ267" t="e">
        <f>AND('STERLING CATALOG - FZN &amp; CHILL'!B521,"AAAAAH7/4yM=")</f>
        <v>#VALUE!</v>
      </c>
      <c r="AK267" t="e">
        <f>AND('STERLING CATALOG - FZN &amp; CHILL'!C521,"AAAAAH7/4yQ=")</f>
        <v>#VALUE!</v>
      </c>
      <c r="AL267" t="e">
        <f>AND('STERLING CATALOG - FZN &amp; CHILL'!D521,"AAAAAH7/4yU=")</f>
        <v>#VALUE!</v>
      </c>
      <c r="AM267" t="e">
        <f>AND('STERLING CATALOG - FZN &amp; CHILL'!E521,"AAAAAH7/4yY=")</f>
        <v>#VALUE!</v>
      </c>
      <c r="AN267" t="e">
        <f>AND('STERLING CATALOG - FZN &amp; CHILL'!F521,"AAAAAH7/4yc=")</f>
        <v>#VALUE!</v>
      </c>
      <c r="AO267" t="e">
        <f>AND('STERLING CATALOG - FZN &amp; CHILL'!G521,"AAAAAH7/4yg=")</f>
        <v>#VALUE!</v>
      </c>
      <c r="AP267" t="e">
        <f>AND('STERLING CATALOG - FZN &amp; CHILL'!H521,"AAAAAH7/4yk=")</f>
        <v>#VALUE!</v>
      </c>
      <c r="AQ267" t="e">
        <f>AND('STERLING CATALOG - FZN &amp; CHILL'!I521,"AAAAAH7/4yo=")</f>
        <v>#VALUE!</v>
      </c>
      <c r="AR267" t="e">
        <f>AND('STERLING CATALOG - FZN &amp; CHILL'!J521,"AAAAAH7/4ys=")</f>
        <v>#VALUE!</v>
      </c>
      <c r="AS267">
        <f>IF('STERLING CATALOG - FZN &amp; CHILL'!522:522,"AAAAAH7/4yw=",0)</f>
        <v>0</v>
      </c>
      <c r="AT267" t="e">
        <f>AND('STERLING CATALOG - FZN &amp; CHILL'!A522,"AAAAAH7/4y0=")</f>
        <v>#VALUE!</v>
      </c>
      <c r="AU267" t="e">
        <f>AND('STERLING CATALOG - FZN &amp; CHILL'!B522,"AAAAAH7/4y4=")</f>
        <v>#VALUE!</v>
      </c>
      <c r="AV267" t="e">
        <f>AND('STERLING CATALOG - FZN &amp; CHILL'!C522,"AAAAAH7/4y8=")</f>
        <v>#VALUE!</v>
      </c>
      <c r="AW267" t="e">
        <f>AND('STERLING CATALOG - FZN &amp; CHILL'!D522,"AAAAAH7/4zA=")</f>
        <v>#VALUE!</v>
      </c>
      <c r="AX267" t="e">
        <f>AND('STERLING CATALOG - FZN &amp; CHILL'!E522,"AAAAAH7/4zE=")</f>
        <v>#VALUE!</v>
      </c>
      <c r="AY267" t="e">
        <f>AND('STERLING CATALOG - FZN &amp; CHILL'!F522,"AAAAAH7/4zI=")</f>
        <v>#VALUE!</v>
      </c>
      <c r="AZ267" t="e">
        <f>AND('STERLING CATALOG - FZN &amp; CHILL'!G522,"AAAAAH7/4zM=")</f>
        <v>#VALUE!</v>
      </c>
      <c r="BA267" t="e">
        <f>AND('STERLING CATALOG - FZN &amp; CHILL'!H522,"AAAAAH7/4zQ=")</f>
        <v>#VALUE!</v>
      </c>
      <c r="BB267" t="e">
        <f>AND('STERLING CATALOG - FZN &amp; CHILL'!I522,"AAAAAH7/4zU=")</f>
        <v>#VALUE!</v>
      </c>
      <c r="BC267" t="e">
        <f>AND('STERLING CATALOG - FZN &amp; CHILL'!J522,"AAAAAH7/4zY=")</f>
        <v>#VALUE!</v>
      </c>
      <c r="BD267">
        <f>IF('STERLING CATALOG - FZN &amp; CHILL'!523:523,"AAAAAH7/4zc=",0)</f>
        <v>0</v>
      </c>
      <c r="BE267" t="e">
        <f>AND('STERLING CATALOG - FZN &amp; CHILL'!A523,"AAAAAH7/4zg=")</f>
        <v>#VALUE!</v>
      </c>
      <c r="BF267" t="e">
        <f>AND('STERLING CATALOG - FZN &amp; CHILL'!B523,"AAAAAH7/4zk=")</f>
        <v>#VALUE!</v>
      </c>
      <c r="BG267" t="e">
        <f>AND('STERLING CATALOG - FZN &amp; CHILL'!C523,"AAAAAH7/4zo=")</f>
        <v>#VALUE!</v>
      </c>
      <c r="BH267" t="e">
        <f>AND('STERLING CATALOG - FZN &amp; CHILL'!D523,"AAAAAH7/4zs=")</f>
        <v>#VALUE!</v>
      </c>
      <c r="BI267" t="e">
        <f>AND('STERLING CATALOG - FZN &amp; CHILL'!E523,"AAAAAH7/4zw=")</f>
        <v>#VALUE!</v>
      </c>
      <c r="BJ267" t="e">
        <f>AND('STERLING CATALOG - FZN &amp; CHILL'!F523,"AAAAAH7/4z0=")</f>
        <v>#VALUE!</v>
      </c>
      <c r="BK267" t="e">
        <f>AND('STERLING CATALOG - FZN &amp; CHILL'!G523,"AAAAAH7/4z4=")</f>
        <v>#VALUE!</v>
      </c>
      <c r="BL267" t="e">
        <f>AND('STERLING CATALOG - FZN &amp; CHILL'!H523,"AAAAAH7/4z8=")</f>
        <v>#VALUE!</v>
      </c>
      <c r="BM267" t="e">
        <f>AND('STERLING CATALOG - FZN &amp; CHILL'!I523,"AAAAAH7/40A=")</f>
        <v>#VALUE!</v>
      </c>
      <c r="BN267" t="e">
        <f>AND('STERLING CATALOG - FZN &amp; CHILL'!J523,"AAAAAH7/40E=")</f>
        <v>#VALUE!</v>
      </c>
      <c r="BO267">
        <f>IF('STERLING CATALOG - FZN &amp; CHILL'!524:524,"AAAAAH7/40I=",0)</f>
        <v>0</v>
      </c>
      <c r="BP267" t="e">
        <f>AND('STERLING CATALOG - FZN &amp; CHILL'!A524,"AAAAAH7/40M=")</f>
        <v>#VALUE!</v>
      </c>
      <c r="BQ267" t="e">
        <f>AND('STERLING CATALOG - FZN &amp; CHILL'!B524,"AAAAAH7/40Q=")</f>
        <v>#VALUE!</v>
      </c>
      <c r="BR267" t="e">
        <f>AND('STERLING CATALOG - FZN &amp; CHILL'!C524,"AAAAAH7/40U=")</f>
        <v>#VALUE!</v>
      </c>
      <c r="BS267" t="e">
        <f>AND('STERLING CATALOG - FZN &amp; CHILL'!D524,"AAAAAH7/40Y=")</f>
        <v>#VALUE!</v>
      </c>
      <c r="BT267" t="e">
        <f>AND('STERLING CATALOG - FZN &amp; CHILL'!E524,"AAAAAH7/40c=")</f>
        <v>#VALUE!</v>
      </c>
      <c r="BU267" t="e">
        <f>AND('STERLING CATALOG - FZN &amp; CHILL'!F524,"AAAAAH7/40g=")</f>
        <v>#VALUE!</v>
      </c>
      <c r="BV267" t="e">
        <f>AND('STERLING CATALOG - FZN &amp; CHILL'!G524,"AAAAAH7/40k=")</f>
        <v>#VALUE!</v>
      </c>
      <c r="BW267" t="e">
        <f>AND('STERLING CATALOG - FZN &amp; CHILL'!H524,"AAAAAH7/40o=")</f>
        <v>#VALUE!</v>
      </c>
      <c r="BX267" t="e">
        <f>AND('STERLING CATALOG - FZN &amp; CHILL'!I524,"AAAAAH7/40s=")</f>
        <v>#VALUE!</v>
      </c>
      <c r="BY267" t="e">
        <f>AND('STERLING CATALOG - FZN &amp; CHILL'!J524,"AAAAAH7/40w=")</f>
        <v>#VALUE!</v>
      </c>
      <c r="BZ267">
        <f>IF('STERLING CATALOG - FZN &amp; CHILL'!525:525,"AAAAAH7/400=",0)</f>
        <v>0</v>
      </c>
      <c r="CA267" t="e">
        <f>AND('STERLING CATALOG - FZN &amp; CHILL'!A525,"AAAAAH7/404=")</f>
        <v>#VALUE!</v>
      </c>
      <c r="CB267" t="e">
        <f>AND('STERLING CATALOG - FZN &amp; CHILL'!B525,"AAAAAH7/408=")</f>
        <v>#VALUE!</v>
      </c>
      <c r="CC267" t="e">
        <f>AND('STERLING CATALOG - FZN &amp; CHILL'!C525,"AAAAAH7/41A=")</f>
        <v>#VALUE!</v>
      </c>
      <c r="CD267" t="e">
        <f>AND('STERLING CATALOG - FZN &amp; CHILL'!D525,"AAAAAH7/41E=")</f>
        <v>#VALUE!</v>
      </c>
      <c r="CE267" t="e">
        <f>AND('STERLING CATALOG - FZN &amp; CHILL'!E525,"AAAAAH7/41I=")</f>
        <v>#VALUE!</v>
      </c>
      <c r="CF267" t="e">
        <f>AND('STERLING CATALOG - FZN &amp; CHILL'!F525,"AAAAAH7/41M=")</f>
        <v>#VALUE!</v>
      </c>
      <c r="CG267" t="e">
        <f>AND('STERLING CATALOG - FZN &amp; CHILL'!G525,"AAAAAH7/41Q=")</f>
        <v>#VALUE!</v>
      </c>
      <c r="CH267" t="e">
        <f>AND('STERLING CATALOG - FZN &amp; CHILL'!H525,"AAAAAH7/41U=")</f>
        <v>#VALUE!</v>
      </c>
      <c r="CI267" t="e">
        <f>AND('STERLING CATALOG - FZN &amp; CHILL'!I525,"AAAAAH7/41Y=")</f>
        <v>#VALUE!</v>
      </c>
      <c r="CJ267" t="e">
        <f>AND('STERLING CATALOG - FZN &amp; CHILL'!J525,"AAAAAH7/41c=")</f>
        <v>#VALUE!</v>
      </c>
      <c r="CK267">
        <f>IF('STERLING CATALOG - FZN &amp; CHILL'!526:526,"AAAAAH7/41g=",0)</f>
        <v>0</v>
      </c>
      <c r="CL267" t="e">
        <f>AND('STERLING CATALOG - FZN &amp; CHILL'!A526,"AAAAAH7/41k=")</f>
        <v>#VALUE!</v>
      </c>
      <c r="CM267" t="e">
        <f>AND('STERLING CATALOG - FZN &amp; CHILL'!B526,"AAAAAH7/41o=")</f>
        <v>#VALUE!</v>
      </c>
      <c r="CN267" t="e">
        <f>AND('STERLING CATALOG - FZN &amp; CHILL'!C526,"AAAAAH7/41s=")</f>
        <v>#VALUE!</v>
      </c>
      <c r="CO267" t="e">
        <f>AND('STERLING CATALOG - FZN &amp; CHILL'!D526,"AAAAAH7/41w=")</f>
        <v>#VALUE!</v>
      </c>
      <c r="CP267" t="e">
        <f>AND('STERLING CATALOG - FZN &amp; CHILL'!E526,"AAAAAH7/410=")</f>
        <v>#VALUE!</v>
      </c>
      <c r="CQ267" t="e">
        <f>AND('STERLING CATALOG - FZN &amp; CHILL'!F526,"AAAAAH7/414=")</f>
        <v>#VALUE!</v>
      </c>
      <c r="CR267" t="e">
        <f>AND('STERLING CATALOG - FZN &amp; CHILL'!G526,"AAAAAH7/418=")</f>
        <v>#VALUE!</v>
      </c>
      <c r="CS267" t="e">
        <f>AND('STERLING CATALOG - FZN &amp; CHILL'!H526,"AAAAAH7/42A=")</f>
        <v>#VALUE!</v>
      </c>
      <c r="CT267" t="e">
        <f>AND('STERLING CATALOG - FZN &amp; CHILL'!I526,"AAAAAH7/42E=")</f>
        <v>#VALUE!</v>
      </c>
      <c r="CU267" t="e">
        <f>AND('STERLING CATALOG - FZN &amp; CHILL'!J526,"AAAAAH7/42I=")</f>
        <v>#VALUE!</v>
      </c>
      <c r="CV267">
        <f>IF('STERLING CATALOG - FZN &amp; CHILL'!527:527,"AAAAAH7/42M=",0)</f>
        <v>0</v>
      </c>
      <c r="CW267" t="e">
        <f>AND('STERLING CATALOG - FZN &amp; CHILL'!A527,"AAAAAH7/42Q=")</f>
        <v>#VALUE!</v>
      </c>
      <c r="CX267" t="e">
        <f>AND('STERLING CATALOG - FZN &amp; CHILL'!B527,"AAAAAH7/42U=")</f>
        <v>#VALUE!</v>
      </c>
      <c r="CY267" t="e">
        <f>AND('STERLING CATALOG - FZN &amp; CHILL'!C527,"AAAAAH7/42Y=")</f>
        <v>#VALUE!</v>
      </c>
      <c r="CZ267" t="e">
        <f>AND('STERLING CATALOG - FZN &amp; CHILL'!D527,"AAAAAH7/42c=")</f>
        <v>#VALUE!</v>
      </c>
      <c r="DA267" t="e">
        <f>AND('STERLING CATALOG - FZN &amp; CHILL'!E527,"AAAAAH7/42g=")</f>
        <v>#VALUE!</v>
      </c>
      <c r="DB267" t="e">
        <f>AND('STERLING CATALOG - FZN &amp; CHILL'!F527,"AAAAAH7/42k=")</f>
        <v>#VALUE!</v>
      </c>
      <c r="DC267" t="e">
        <f>AND('STERLING CATALOG - FZN &amp; CHILL'!G527,"AAAAAH7/42o=")</f>
        <v>#VALUE!</v>
      </c>
      <c r="DD267" t="e">
        <f>AND('STERLING CATALOG - FZN &amp; CHILL'!H527,"AAAAAH7/42s=")</f>
        <v>#VALUE!</v>
      </c>
      <c r="DE267" t="e">
        <f>AND('STERLING CATALOG - FZN &amp; CHILL'!I527,"AAAAAH7/42w=")</f>
        <v>#VALUE!</v>
      </c>
      <c r="DF267" t="e">
        <f>AND('STERLING CATALOG - FZN &amp; CHILL'!J527,"AAAAAH7/420=")</f>
        <v>#VALUE!</v>
      </c>
      <c r="DG267">
        <f>IF('STERLING CATALOG - FZN &amp; CHILL'!528:528,"AAAAAH7/424=",0)</f>
        <v>0</v>
      </c>
      <c r="DH267" t="e">
        <f>AND('STERLING CATALOG - FZN &amp; CHILL'!A528,"AAAAAH7/428=")</f>
        <v>#VALUE!</v>
      </c>
      <c r="DI267" t="e">
        <f>AND('STERLING CATALOG - FZN &amp; CHILL'!B528,"AAAAAH7/43A=")</f>
        <v>#VALUE!</v>
      </c>
      <c r="DJ267" t="e">
        <f>AND('STERLING CATALOG - FZN &amp; CHILL'!C528,"AAAAAH7/43E=")</f>
        <v>#VALUE!</v>
      </c>
      <c r="DK267" t="e">
        <f>AND('STERLING CATALOG - FZN &amp; CHILL'!D528,"AAAAAH7/43I=")</f>
        <v>#VALUE!</v>
      </c>
      <c r="DL267" t="e">
        <f>AND('STERLING CATALOG - FZN &amp; CHILL'!E528,"AAAAAH7/43M=")</f>
        <v>#VALUE!</v>
      </c>
      <c r="DM267" t="e">
        <f>AND('STERLING CATALOG - FZN &amp; CHILL'!F528,"AAAAAH7/43Q=")</f>
        <v>#VALUE!</v>
      </c>
      <c r="DN267" t="e">
        <f>AND('STERLING CATALOG - FZN &amp; CHILL'!G528,"AAAAAH7/43U=")</f>
        <v>#VALUE!</v>
      </c>
      <c r="DO267" t="e">
        <f>AND('STERLING CATALOG - FZN &amp; CHILL'!H528,"AAAAAH7/43Y=")</f>
        <v>#VALUE!</v>
      </c>
      <c r="DP267" t="e">
        <f>AND('STERLING CATALOG - FZN &amp; CHILL'!I528,"AAAAAH7/43c=")</f>
        <v>#VALUE!</v>
      </c>
      <c r="DQ267" t="e">
        <f>AND('STERLING CATALOG - FZN &amp; CHILL'!J528,"AAAAAH7/43g=")</f>
        <v>#VALUE!</v>
      </c>
      <c r="DR267">
        <f>IF('STERLING CATALOG - FZN &amp; CHILL'!529:529,"AAAAAH7/43k=",0)</f>
        <v>0</v>
      </c>
      <c r="DS267" t="e">
        <f>AND('STERLING CATALOG - FZN &amp; CHILL'!A529,"AAAAAH7/43o=")</f>
        <v>#VALUE!</v>
      </c>
      <c r="DT267" t="e">
        <f>AND('STERLING CATALOG - FZN &amp; CHILL'!B529,"AAAAAH7/43s=")</f>
        <v>#VALUE!</v>
      </c>
      <c r="DU267" t="e">
        <f>AND('STERLING CATALOG - FZN &amp; CHILL'!C529,"AAAAAH7/43w=")</f>
        <v>#VALUE!</v>
      </c>
      <c r="DV267" t="e">
        <f>AND('STERLING CATALOG - FZN &amp; CHILL'!D529,"AAAAAH7/430=")</f>
        <v>#VALUE!</v>
      </c>
      <c r="DW267" t="e">
        <f>AND('STERLING CATALOG - FZN &amp; CHILL'!E529,"AAAAAH7/434=")</f>
        <v>#VALUE!</v>
      </c>
      <c r="DX267" t="e">
        <f>AND('STERLING CATALOG - FZN &amp; CHILL'!F529,"AAAAAH7/438=")</f>
        <v>#VALUE!</v>
      </c>
      <c r="DY267" t="e">
        <f>AND('STERLING CATALOG - FZN &amp; CHILL'!G529,"AAAAAH7/44A=")</f>
        <v>#VALUE!</v>
      </c>
      <c r="DZ267" t="e">
        <f>AND('STERLING CATALOG - FZN &amp; CHILL'!H529,"AAAAAH7/44E=")</f>
        <v>#VALUE!</v>
      </c>
      <c r="EA267" t="e">
        <f>AND('STERLING CATALOG - FZN &amp; CHILL'!I529,"AAAAAH7/44I=")</f>
        <v>#VALUE!</v>
      </c>
      <c r="EB267" t="e">
        <f>AND('STERLING CATALOG - FZN &amp; CHILL'!J529,"AAAAAH7/44M=")</f>
        <v>#VALUE!</v>
      </c>
      <c r="EC267">
        <f>IF('STERLING CATALOG - FZN &amp; CHILL'!530:530,"AAAAAH7/44Q=",0)</f>
        <v>0</v>
      </c>
      <c r="ED267" t="e">
        <f>AND('STERLING CATALOG - FZN &amp; CHILL'!A530,"AAAAAH7/44U=")</f>
        <v>#VALUE!</v>
      </c>
      <c r="EE267" t="e">
        <f>AND('STERLING CATALOG - FZN &amp; CHILL'!B530,"AAAAAH7/44Y=")</f>
        <v>#VALUE!</v>
      </c>
      <c r="EF267" t="e">
        <f>AND('STERLING CATALOG - FZN &amp; CHILL'!C530,"AAAAAH7/44c=")</f>
        <v>#VALUE!</v>
      </c>
      <c r="EG267" t="e">
        <f>AND('STERLING CATALOG - FZN &amp; CHILL'!D530,"AAAAAH7/44g=")</f>
        <v>#VALUE!</v>
      </c>
      <c r="EH267" t="e">
        <f>AND('STERLING CATALOG - FZN &amp; CHILL'!E530,"AAAAAH7/44k=")</f>
        <v>#VALUE!</v>
      </c>
      <c r="EI267" t="e">
        <f>AND('STERLING CATALOG - FZN &amp; CHILL'!F530,"AAAAAH7/44o=")</f>
        <v>#VALUE!</v>
      </c>
      <c r="EJ267" t="e">
        <f>AND('STERLING CATALOG - FZN &amp; CHILL'!G530,"AAAAAH7/44s=")</f>
        <v>#VALUE!</v>
      </c>
      <c r="EK267" t="e">
        <f>AND('STERLING CATALOG - FZN &amp; CHILL'!H530,"AAAAAH7/44w=")</f>
        <v>#VALUE!</v>
      </c>
      <c r="EL267" t="e">
        <f>AND('STERLING CATALOG - FZN &amp; CHILL'!I530,"AAAAAH7/440=")</f>
        <v>#VALUE!</v>
      </c>
      <c r="EM267" t="e">
        <f>AND('STERLING CATALOG - FZN &amp; CHILL'!J530,"AAAAAH7/444=")</f>
        <v>#VALUE!</v>
      </c>
      <c r="EN267">
        <f>IF('STERLING CATALOG - FZN &amp; CHILL'!531:531,"AAAAAH7/448=",0)</f>
        <v>0</v>
      </c>
      <c r="EO267" t="e">
        <f>AND('STERLING CATALOG - FZN &amp; CHILL'!A531,"AAAAAH7/45A=")</f>
        <v>#VALUE!</v>
      </c>
      <c r="EP267" t="e">
        <f>AND('STERLING CATALOG - FZN &amp; CHILL'!B531,"AAAAAH7/45E=")</f>
        <v>#VALUE!</v>
      </c>
      <c r="EQ267" t="e">
        <f>AND('STERLING CATALOG - FZN &amp; CHILL'!C531,"AAAAAH7/45I=")</f>
        <v>#VALUE!</v>
      </c>
      <c r="ER267" t="e">
        <f>AND('STERLING CATALOG - FZN &amp; CHILL'!D531,"AAAAAH7/45M=")</f>
        <v>#VALUE!</v>
      </c>
      <c r="ES267" t="e">
        <f>AND('STERLING CATALOG - FZN &amp; CHILL'!E531,"AAAAAH7/45Q=")</f>
        <v>#VALUE!</v>
      </c>
      <c r="ET267" t="e">
        <f>AND('STERLING CATALOG - FZN &amp; CHILL'!F531,"AAAAAH7/45U=")</f>
        <v>#VALUE!</v>
      </c>
      <c r="EU267" t="e">
        <f>AND('STERLING CATALOG - FZN &amp; CHILL'!G531,"AAAAAH7/45Y=")</f>
        <v>#VALUE!</v>
      </c>
      <c r="EV267" t="e">
        <f>AND('STERLING CATALOG - FZN &amp; CHILL'!H531,"AAAAAH7/45c=")</f>
        <v>#VALUE!</v>
      </c>
      <c r="EW267" t="e">
        <f>AND('STERLING CATALOG - FZN &amp; CHILL'!I531,"AAAAAH7/45g=")</f>
        <v>#VALUE!</v>
      </c>
      <c r="EX267" t="e">
        <f>AND('STERLING CATALOG - FZN &amp; CHILL'!J531,"AAAAAH7/45k=")</f>
        <v>#VALUE!</v>
      </c>
      <c r="EY267">
        <f>IF('STERLING CATALOG - FZN &amp; CHILL'!532:532,"AAAAAH7/45o=",0)</f>
        <v>0</v>
      </c>
      <c r="EZ267" t="e">
        <f>AND('STERLING CATALOG - FZN &amp; CHILL'!A532,"AAAAAH7/45s=")</f>
        <v>#VALUE!</v>
      </c>
      <c r="FA267" t="e">
        <f>AND('STERLING CATALOG - FZN &amp; CHILL'!B532,"AAAAAH7/45w=")</f>
        <v>#VALUE!</v>
      </c>
      <c r="FB267" t="e">
        <f>AND('STERLING CATALOG - FZN &amp; CHILL'!C532,"AAAAAH7/450=")</f>
        <v>#VALUE!</v>
      </c>
      <c r="FC267" t="e">
        <f>AND('STERLING CATALOG - FZN &amp; CHILL'!D532,"AAAAAH7/454=")</f>
        <v>#VALUE!</v>
      </c>
      <c r="FD267" t="e">
        <f>AND('STERLING CATALOG - FZN &amp; CHILL'!E532,"AAAAAH7/458=")</f>
        <v>#VALUE!</v>
      </c>
      <c r="FE267" t="e">
        <f>AND('STERLING CATALOG - FZN &amp; CHILL'!F532,"AAAAAH7/46A=")</f>
        <v>#VALUE!</v>
      </c>
      <c r="FF267" t="e">
        <f>AND('STERLING CATALOG - FZN &amp; CHILL'!G532,"AAAAAH7/46E=")</f>
        <v>#VALUE!</v>
      </c>
      <c r="FG267" t="e">
        <f>AND('STERLING CATALOG - FZN &amp; CHILL'!H532,"AAAAAH7/46I=")</f>
        <v>#VALUE!</v>
      </c>
      <c r="FH267" t="e">
        <f>AND('STERLING CATALOG - FZN &amp; CHILL'!I532,"AAAAAH7/46M=")</f>
        <v>#VALUE!</v>
      </c>
      <c r="FI267" t="e">
        <f>AND('STERLING CATALOG - FZN &amp; CHILL'!J532,"AAAAAH7/46Q=")</f>
        <v>#VALUE!</v>
      </c>
      <c r="FJ267">
        <f>IF('STERLING CATALOG - FZN &amp; CHILL'!533:533,"AAAAAH7/46U=",0)</f>
        <v>0</v>
      </c>
      <c r="FK267" t="e">
        <f>AND('STERLING CATALOG - FZN &amp; CHILL'!A533,"AAAAAH7/46Y=")</f>
        <v>#VALUE!</v>
      </c>
      <c r="FL267" t="e">
        <f>AND('STERLING CATALOG - FZN &amp; CHILL'!B533,"AAAAAH7/46c=")</f>
        <v>#VALUE!</v>
      </c>
      <c r="FM267" t="e">
        <f>AND('STERLING CATALOG - FZN &amp; CHILL'!C533,"AAAAAH7/46g=")</f>
        <v>#VALUE!</v>
      </c>
      <c r="FN267" t="e">
        <f>AND('STERLING CATALOG - FZN &amp; CHILL'!D533,"AAAAAH7/46k=")</f>
        <v>#VALUE!</v>
      </c>
      <c r="FO267" t="e">
        <f>AND('STERLING CATALOG - FZN &amp; CHILL'!E533,"AAAAAH7/46o=")</f>
        <v>#VALUE!</v>
      </c>
      <c r="FP267" t="e">
        <f>AND('STERLING CATALOG - FZN &amp; CHILL'!F533,"AAAAAH7/46s=")</f>
        <v>#VALUE!</v>
      </c>
      <c r="FQ267" t="e">
        <f>AND('STERLING CATALOG - FZN &amp; CHILL'!G533,"AAAAAH7/46w=")</f>
        <v>#VALUE!</v>
      </c>
      <c r="FR267" t="e">
        <f>AND('STERLING CATALOG - FZN &amp; CHILL'!H533,"AAAAAH7/460=")</f>
        <v>#VALUE!</v>
      </c>
      <c r="FS267" t="e">
        <f>AND('STERLING CATALOG - FZN &amp; CHILL'!I533,"AAAAAH7/464=")</f>
        <v>#VALUE!</v>
      </c>
      <c r="FT267" t="e">
        <f>AND('STERLING CATALOG - FZN &amp; CHILL'!J533,"AAAAAH7/468=")</f>
        <v>#VALUE!</v>
      </c>
      <c r="FU267">
        <f>IF('STERLING CATALOG - FZN &amp; CHILL'!534:534,"AAAAAH7/47A=",0)</f>
        <v>0</v>
      </c>
      <c r="FV267" t="e">
        <f>AND('STERLING CATALOG - FZN &amp; CHILL'!A534,"AAAAAH7/47E=")</f>
        <v>#VALUE!</v>
      </c>
      <c r="FW267" t="e">
        <f>AND('STERLING CATALOG - FZN &amp; CHILL'!B534,"AAAAAH7/47I=")</f>
        <v>#VALUE!</v>
      </c>
      <c r="FX267" t="e">
        <f>AND('STERLING CATALOG - FZN &amp; CHILL'!C534,"AAAAAH7/47M=")</f>
        <v>#VALUE!</v>
      </c>
      <c r="FY267" t="e">
        <f>AND('STERLING CATALOG - FZN &amp; CHILL'!D534,"AAAAAH7/47Q=")</f>
        <v>#VALUE!</v>
      </c>
      <c r="FZ267" t="e">
        <f>AND('STERLING CATALOG - FZN &amp; CHILL'!E534,"AAAAAH7/47U=")</f>
        <v>#VALUE!</v>
      </c>
      <c r="GA267" t="e">
        <f>AND('STERLING CATALOG - FZN &amp; CHILL'!F534,"AAAAAH7/47Y=")</f>
        <v>#VALUE!</v>
      </c>
      <c r="GB267" t="e">
        <f>AND('STERLING CATALOG - FZN &amp; CHILL'!G534,"AAAAAH7/47c=")</f>
        <v>#VALUE!</v>
      </c>
      <c r="GC267" t="e">
        <f>AND('STERLING CATALOG - FZN &amp; CHILL'!H534,"AAAAAH7/47g=")</f>
        <v>#VALUE!</v>
      </c>
      <c r="GD267" t="e">
        <f>AND('STERLING CATALOG - FZN &amp; CHILL'!I534,"AAAAAH7/47k=")</f>
        <v>#VALUE!</v>
      </c>
      <c r="GE267" t="e">
        <f>AND('STERLING CATALOG - FZN &amp; CHILL'!J534,"AAAAAH7/47o=")</f>
        <v>#VALUE!</v>
      </c>
      <c r="GF267">
        <f>IF('STERLING CATALOG - FZN &amp; CHILL'!535:535,"AAAAAH7/47s=",0)</f>
        <v>0</v>
      </c>
      <c r="GG267" t="e">
        <f>AND('STERLING CATALOG - FZN &amp; CHILL'!A535,"AAAAAH7/47w=")</f>
        <v>#VALUE!</v>
      </c>
      <c r="GH267" t="e">
        <f>AND('STERLING CATALOG - FZN &amp; CHILL'!B535,"AAAAAH7/470=")</f>
        <v>#VALUE!</v>
      </c>
      <c r="GI267" t="e">
        <f>AND('STERLING CATALOG - FZN &amp; CHILL'!C535,"AAAAAH7/474=")</f>
        <v>#VALUE!</v>
      </c>
      <c r="GJ267" t="e">
        <f>AND('STERLING CATALOG - FZN &amp; CHILL'!D535,"AAAAAH7/478=")</f>
        <v>#VALUE!</v>
      </c>
      <c r="GK267" t="e">
        <f>AND('STERLING CATALOG - FZN &amp; CHILL'!E535,"AAAAAH7/48A=")</f>
        <v>#VALUE!</v>
      </c>
      <c r="GL267" t="e">
        <f>AND('STERLING CATALOG - FZN &amp; CHILL'!F535,"AAAAAH7/48E=")</f>
        <v>#VALUE!</v>
      </c>
      <c r="GM267" t="e">
        <f>AND('STERLING CATALOG - FZN &amp; CHILL'!G535,"AAAAAH7/48I=")</f>
        <v>#VALUE!</v>
      </c>
      <c r="GN267" t="e">
        <f>AND('STERLING CATALOG - FZN &amp; CHILL'!H535,"AAAAAH7/48M=")</f>
        <v>#VALUE!</v>
      </c>
      <c r="GO267" t="e">
        <f>AND('STERLING CATALOG - FZN &amp; CHILL'!I535,"AAAAAH7/48Q=")</f>
        <v>#VALUE!</v>
      </c>
      <c r="GP267" t="e">
        <f>AND('STERLING CATALOG - FZN &amp; CHILL'!J535,"AAAAAH7/48U=")</f>
        <v>#VALUE!</v>
      </c>
      <c r="GQ267">
        <f>IF('STERLING CATALOG - FZN &amp; CHILL'!536:536,"AAAAAH7/48Y=",0)</f>
        <v>0</v>
      </c>
      <c r="GR267" t="e">
        <f>AND('STERLING CATALOG - FZN &amp; CHILL'!A536,"AAAAAH7/48c=")</f>
        <v>#VALUE!</v>
      </c>
      <c r="GS267" t="e">
        <f>AND('STERLING CATALOG - FZN &amp; CHILL'!B536,"AAAAAH7/48g=")</f>
        <v>#VALUE!</v>
      </c>
      <c r="GT267" t="e">
        <f>AND('STERLING CATALOG - FZN &amp; CHILL'!C536,"AAAAAH7/48k=")</f>
        <v>#VALUE!</v>
      </c>
      <c r="GU267" t="e">
        <f>AND('STERLING CATALOG - FZN &amp; CHILL'!D536,"AAAAAH7/48o=")</f>
        <v>#VALUE!</v>
      </c>
      <c r="GV267" t="e">
        <f>AND('STERLING CATALOG - FZN &amp; CHILL'!E536,"AAAAAH7/48s=")</f>
        <v>#VALUE!</v>
      </c>
      <c r="GW267" t="e">
        <f>AND('STERLING CATALOG - FZN &amp; CHILL'!F536,"AAAAAH7/48w=")</f>
        <v>#VALUE!</v>
      </c>
      <c r="GX267" t="e">
        <f>AND('STERLING CATALOG - FZN &amp; CHILL'!G536,"AAAAAH7/480=")</f>
        <v>#VALUE!</v>
      </c>
      <c r="GY267" t="e">
        <f>AND('STERLING CATALOG - FZN &amp; CHILL'!H536,"AAAAAH7/484=")</f>
        <v>#VALUE!</v>
      </c>
      <c r="GZ267" t="e">
        <f>AND('STERLING CATALOG - FZN &amp; CHILL'!I536,"AAAAAH7/488=")</f>
        <v>#VALUE!</v>
      </c>
      <c r="HA267" t="e">
        <f>AND('STERLING CATALOG - FZN &amp; CHILL'!J536,"AAAAAH7/49A=")</f>
        <v>#VALUE!</v>
      </c>
      <c r="HB267">
        <f>IF('STERLING CATALOG - FZN &amp; CHILL'!537:537,"AAAAAH7/49E=",0)</f>
        <v>0</v>
      </c>
      <c r="HC267" t="e">
        <f>AND('STERLING CATALOG - FZN &amp; CHILL'!A537,"AAAAAH7/49I=")</f>
        <v>#VALUE!</v>
      </c>
      <c r="HD267" t="e">
        <f>AND('STERLING CATALOG - FZN &amp; CHILL'!B537,"AAAAAH7/49M=")</f>
        <v>#VALUE!</v>
      </c>
      <c r="HE267" t="e">
        <f>AND('STERLING CATALOG - FZN &amp; CHILL'!C537,"AAAAAH7/49Q=")</f>
        <v>#VALUE!</v>
      </c>
      <c r="HF267" t="e">
        <f>AND('STERLING CATALOG - FZN &amp; CHILL'!D537,"AAAAAH7/49U=")</f>
        <v>#VALUE!</v>
      </c>
      <c r="HG267" t="e">
        <f>AND('STERLING CATALOG - FZN &amp; CHILL'!E537,"AAAAAH7/49Y=")</f>
        <v>#VALUE!</v>
      </c>
      <c r="HH267" t="e">
        <f>AND('STERLING CATALOG - FZN &amp; CHILL'!F537,"AAAAAH7/49c=")</f>
        <v>#VALUE!</v>
      </c>
      <c r="HI267" t="e">
        <f>AND('STERLING CATALOG - FZN &amp; CHILL'!G537,"AAAAAH7/49g=")</f>
        <v>#VALUE!</v>
      </c>
      <c r="HJ267" t="e">
        <f>AND('STERLING CATALOG - FZN &amp; CHILL'!H537,"AAAAAH7/49k=")</f>
        <v>#VALUE!</v>
      </c>
      <c r="HK267" t="e">
        <f>AND('STERLING CATALOG - FZN &amp; CHILL'!I537,"AAAAAH7/49o=")</f>
        <v>#VALUE!</v>
      </c>
      <c r="HL267" t="e">
        <f>AND('STERLING CATALOG - FZN &amp; CHILL'!J537,"AAAAAH7/49s=")</f>
        <v>#VALUE!</v>
      </c>
      <c r="HM267">
        <f>IF('STERLING CATALOG - FZN &amp; CHILL'!538:538,"AAAAAH7/49w=",0)</f>
        <v>0</v>
      </c>
      <c r="HN267" t="e">
        <f>AND('STERLING CATALOG - FZN &amp; CHILL'!A538,"AAAAAH7/490=")</f>
        <v>#VALUE!</v>
      </c>
      <c r="HO267" t="e">
        <f>AND('STERLING CATALOG - FZN &amp; CHILL'!B538,"AAAAAH7/494=")</f>
        <v>#VALUE!</v>
      </c>
      <c r="HP267" t="e">
        <f>AND('STERLING CATALOG - FZN &amp; CHILL'!C538,"AAAAAH7/498=")</f>
        <v>#VALUE!</v>
      </c>
      <c r="HQ267" t="e">
        <f>AND('STERLING CATALOG - FZN &amp; CHILL'!D538,"AAAAAH7/4+A=")</f>
        <v>#VALUE!</v>
      </c>
      <c r="HR267" t="e">
        <f>AND('STERLING CATALOG - FZN &amp; CHILL'!E538,"AAAAAH7/4+E=")</f>
        <v>#VALUE!</v>
      </c>
      <c r="HS267" t="e">
        <f>AND('STERLING CATALOG - FZN &amp; CHILL'!F538,"AAAAAH7/4+I=")</f>
        <v>#VALUE!</v>
      </c>
      <c r="HT267" t="e">
        <f>AND('STERLING CATALOG - FZN &amp; CHILL'!G538,"AAAAAH7/4+M=")</f>
        <v>#VALUE!</v>
      </c>
      <c r="HU267" t="e">
        <f>AND('STERLING CATALOG - FZN &amp; CHILL'!H538,"AAAAAH7/4+Q=")</f>
        <v>#VALUE!</v>
      </c>
      <c r="HV267" t="e">
        <f>AND('STERLING CATALOG - FZN &amp; CHILL'!I538,"AAAAAH7/4+U=")</f>
        <v>#VALUE!</v>
      </c>
      <c r="HW267" t="e">
        <f>AND('STERLING CATALOG - FZN &amp; CHILL'!J538,"AAAAAH7/4+Y=")</f>
        <v>#VALUE!</v>
      </c>
      <c r="HX267">
        <f>IF('STERLING CATALOG - FZN &amp; CHILL'!539:539,"AAAAAH7/4+c=",0)</f>
        <v>0</v>
      </c>
      <c r="HY267" t="e">
        <f>AND('STERLING CATALOG - FZN &amp; CHILL'!A539,"AAAAAH7/4+g=")</f>
        <v>#VALUE!</v>
      </c>
      <c r="HZ267" t="e">
        <f>AND('STERLING CATALOG - FZN &amp; CHILL'!B539,"AAAAAH7/4+k=")</f>
        <v>#VALUE!</v>
      </c>
      <c r="IA267" t="e">
        <f>AND('STERLING CATALOG - FZN &amp; CHILL'!C539,"AAAAAH7/4+o=")</f>
        <v>#VALUE!</v>
      </c>
      <c r="IB267" t="e">
        <f>AND('STERLING CATALOG - FZN &amp; CHILL'!D539,"AAAAAH7/4+s=")</f>
        <v>#VALUE!</v>
      </c>
      <c r="IC267" t="e">
        <f>AND('STERLING CATALOG - FZN &amp; CHILL'!E539,"AAAAAH7/4+w=")</f>
        <v>#VALUE!</v>
      </c>
      <c r="ID267" t="e">
        <f>AND('STERLING CATALOG - FZN &amp; CHILL'!F539,"AAAAAH7/4+0=")</f>
        <v>#VALUE!</v>
      </c>
      <c r="IE267" t="e">
        <f>AND('STERLING CATALOG - FZN &amp; CHILL'!G539,"AAAAAH7/4+4=")</f>
        <v>#VALUE!</v>
      </c>
      <c r="IF267" t="e">
        <f>AND('STERLING CATALOG - FZN &amp; CHILL'!H539,"AAAAAH7/4+8=")</f>
        <v>#VALUE!</v>
      </c>
      <c r="IG267" t="e">
        <f>AND('STERLING CATALOG - FZN &amp; CHILL'!I539,"AAAAAH7/4/A=")</f>
        <v>#VALUE!</v>
      </c>
      <c r="IH267" t="e">
        <f>AND('STERLING CATALOG - FZN &amp; CHILL'!J539,"AAAAAH7/4/E=")</f>
        <v>#VALUE!</v>
      </c>
      <c r="II267">
        <f>IF('STERLING CATALOG - FZN &amp; CHILL'!540:540,"AAAAAH7/4/I=",0)</f>
        <v>0</v>
      </c>
      <c r="IJ267" t="e">
        <f>AND('STERLING CATALOG - FZN &amp; CHILL'!A540,"AAAAAH7/4/M=")</f>
        <v>#VALUE!</v>
      </c>
      <c r="IK267" t="e">
        <f>AND('STERLING CATALOG - FZN &amp; CHILL'!B540,"AAAAAH7/4/Q=")</f>
        <v>#VALUE!</v>
      </c>
      <c r="IL267" t="e">
        <f>AND('STERLING CATALOG - FZN &amp; CHILL'!C540,"AAAAAH7/4/U=")</f>
        <v>#VALUE!</v>
      </c>
      <c r="IM267" t="e">
        <f>AND('STERLING CATALOG - FZN &amp; CHILL'!D540,"AAAAAH7/4/Y=")</f>
        <v>#VALUE!</v>
      </c>
      <c r="IN267" t="e">
        <f>AND('STERLING CATALOG - FZN &amp; CHILL'!E540,"AAAAAH7/4/c=")</f>
        <v>#VALUE!</v>
      </c>
      <c r="IO267" t="e">
        <f>AND('STERLING CATALOG - FZN &amp; CHILL'!F540,"AAAAAH7/4/g=")</f>
        <v>#VALUE!</v>
      </c>
      <c r="IP267" t="e">
        <f>AND('STERLING CATALOG - FZN &amp; CHILL'!G540,"AAAAAH7/4/k=")</f>
        <v>#VALUE!</v>
      </c>
      <c r="IQ267" t="e">
        <f>AND('STERLING CATALOG - FZN &amp; CHILL'!H540,"AAAAAH7/4/o=")</f>
        <v>#VALUE!</v>
      </c>
      <c r="IR267" t="e">
        <f>AND('STERLING CATALOG - FZN &amp; CHILL'!I540,"AAAAAH7/4/s=")</f>
        <v>#VALUE!</v>
      </c>
      <c r="IS267" t="e">
        <f>AND('STERLING CATALOG - FZN &amp; CHILL'!J540,"AAAAAH7/4/w=")</f>
        <v>#VALUE!</v>
      </c>
      <c r="IT267">
        <f>IF('STERLING CATALOG - FZN &amp; CHILL'!541:541,"AAAAAH7/4/0=",0)</f>
        <v>0</v>
      </c>
      <c r="IU267" t="e">
        <f>AND('STERLING CATALOG - FZN &amp; CHILL'!A541,"AAAAAH7/4/4=")</f>
        <v>#VALUE!</v>
      </c>
      <c r="IV267" t="e">
        <f>AND('STERLING CATALOG - FZN &amp; CHILL'!B541,"AAAAAH7/4/8=")</f>
        <v>#VALUE!</v>
      </c>
    </row>
    <row r="268" spans="1:256">
      <c r="A268" t="e">
        <f>AND('STERLING CATALOG - FZN &amp; CHILL'!C541,"AAAAAF3f/wA=")</f>
        <v>#VALUE!</v>
      </c>
      <c r="B268" t="e">
        <f>AND('STERLING CATALOG - FZN &amp; CHILL'!D541,"AAAAAF3f/wE=")</f>
        <v>#VALUE!</v>
      </c>
      <c r="C268" t="e">
        <f>AND('STERLING CATALOG - FZN &amp; CHILL'!E541,"AAAAAF3f/wI=")</f>
        <v>#VALUE!</v>
      </c>
      <c r="D268" t="e">
        <f>AND('STERLING CATALOG - FZN &amp; CHILL'!F541,"AAAAAF3f/wM=")</f>
        <v>#VALUE!</v>
      </c>
      <c r="E268" t="e">
        <f>AND('STERLING CATALOG - FZN &amp; CHILL'!G541,"AAAAAF3f/wQ=")</f>
        <v>#VALUE!</v>
      </c>
      <c r="F268" t="e">
        <f>AND('STERLING CATALOG - FZN &amp; CHILL'!H541,"AAAAAF3f/wU=")</f>
        <v>#VALUE!</v>
      </c>
      <c r="G268" t="e">
        <f>AND('STERLING CATALOG - FZN &amp; CHILL'!I541,"AAAAAF3f/wY=")</f>
        <v>#VALUE!</v>
      </c>
      <c r="H268" t="e">
        <f>AND('STERLING CATALOG - FZN &amp; CHILL'!J541,"AAAAAF3f/wc=")</f>
        <v>#VALUE!</v>
      </c>
      <c r="I268" t="e">
        <f>IF('STERLING CATALOG - FZN &amp; CHILL'!542:542,"AAAAAF3f/wg=",0)</f>
        <v>#VALUE!</v>
      </c>
      <c r="J268" t="e">
        <f>AND('STERLING CATALOG - FZN &amp; CHILL'!A542,"AAAAAF3f/wk=")</f>
        <v>#VALUE!</v>
      </c>
      <c r="K268" t="e">
        <f>AND('STERLING CATALOG - FZN &amp; CHILL'!B542,"AAAAAF3f/wo=")</f>
        <v>#VALUE!</v>
      </c>
      <c r="L268" t="e">
        <f>AND('STERLING CATALOG - FZN &amp; CHILL'!C542,"AAAAAF3f/ws=")</f>
        <v>#VALUE!</v>
      </c>
      <c r="M268" t="e">
        <f>AND('STERLING CATALOG - FZN &amp; CHILL'!D542,"AAAAAF3f/ww=")</f>
        <v>#VALUE!</v>
      </c>
      <c r="N268" t="e">
        <f>AND('STERLING CATALOG - FZN &amp; CHILL'!E542,"AAAAAF3f/w0=")</f>
        <v>#VALUE!</v>
      </c>
      <c r="O268" t="e">
        <f>AND('STERLING CATALOG - FZN &amp; CHILL'!F542,"AAAAAF3f/w4=")</f>
        <v>#VALUE!</v>
      </c>
      <c r="P268" t="e">
        <f>AND('STERLING CATALOG - FZN &amp; CHILL'!G542,"AAAAAF3f/w8=")</f>
        <v>#VALUE!</v>
      </c>
      <c r="Q268" t="e">
        <f>AND('STERLING CATALOG - FZN &amp; CHILL'!H542,"AAAAAF3f/xA=")</f>
        <v>#VALUE!</v>
      </c>
      <c r="R268" t="e">
        <f>AND('STERLING CATALOG - FZN &amp; CHILL'!I542,"AAAAAF3f/xE=")</f>
        <v>#VALUE!</v>
      </c>
      <c r="S268" t="e">
        <f>AND('STERLING CATALOG - FZN &amp; CHILL'!J542,"AAAAAF3f/xI=")</f>
        <v>#VALUE!</v>
      </c>
      <c r="T268">
        <f>IF('STERLING CATALOG - FZN &amp; CHILL'!543:543,"AAAAAF3f/xM=",0)</f>
        <v>0</v>
      </c>
      <c r="U268" t="e">
        <f>AND('STERLING CATALOG - FZN &amp; CHILL'!A543,"AAAAAF3f/xQ=")</f>
        <v>#VALUE!</v>
      </c>
      <c r="V268" t="e">
        <f>AND('STERLING CATALOG - FZN &amp; CHILL'!B543,"AAAAAF3f/xU=")</f>
        <v>#VALUE!</v>
      </c>
      <c r="W268" t="e">
        <f>AND('STERLING CATALOG - FZN &amp; CHILL'!C543,"AAAAAF3f/xY=")</f>
        <v>#VALUE!</v>
      </c>
      <c r="X268" t="e">
        <f>AND('STERLING CATALOG - FZN &amp; CHILL'!D543,"AAAAAF3f/xc=")</f>
        <v>#VALUE!</v>
      </c>
      <c r="Y268" t="e">
        <f>AND('STERLING CATALOG - FZN &amp; CHILL'!E543,"AAAAAF3f/xg=")</f>
        <v>#VALUE!</v>
      </c>
      <c r="Z268" t="e">
        <f>AND('STERLING CATALOG - FZN &amp; CHILL'!F543,"AAAAAF3f/xk=")</f>
        <v>#VALUE!</v>
      </c>
      <c r="AA268" t="e">
        <f>AND('STERLING CATALOG - FZN &amp; CHILL'!G543,"AAAAAF3f/xo=")</f>
        <v>#VALUE!</v>
      </c>
      <c r="AB268" t="e">
        <f>AND('STERLING CATALOG - FZN &amp; CHILL'!H543,"AAAAAF3f/xs=")</f>
        <v>#VALUE!</v>
      </c>
      <c r="AC268" t="e">
        <f>AND('STERLING CATALOG - FZN &amp; CHILL'!I543,"AAAAAF3f/xw=")</f>
        <v>#VALUE!</v>
      </c>
      <c r="AD268" t="e">
        <f>AND('STERLING CATALOG - FZN &amp; CHILL'!J543,"AAAAAF3f/x0=")</f>
        <v>#VALUE!</v>
      </c>
      <c r="AE268">
        <f>IF('STERLING CATALOG - FZN &amp; CHILL'!544:544,"AAAAAF3f/x4=",0)</f>
        <v>0</v>
      </c>
      <c r="AF268" t="e">
        <f>AND('STERLING CATALOG - FZN &amp; CHILL'!A544,"AAAAAF3f/x8=")</f>
        <v>#VALUE!</v>
      </c>
      <c r="AG268" t="e">
        <f>AND('STERLING CATALOG - FZN &amp; CHILL'!B544,"AAAAAF3f/yA=")</f>
        <v>#VALUE!</v>
      </c>
      <c r="AH268" t="e">
        <f>AND('STERLING CATALOG - FZN &amp; CHILL'!C544,"AAAAAF3f/yE=")</f>
        <v>#VALUE!</v>
      </c>
      <c r="AI268" t="e">
        <f>AND('STERLING CATALOG - FZN &amp; CHILL'!D544,"AAAAAF3f/yI=")</f>
        <v>#VALUE!</v>
      </c>
      <c r="AJ268" t="e">
        <f>AND('STERLING CATALOG - FZN &amp; CHILL'!E544,"AAAAAF3f/yM=")</f>
        <v>#VALUE!</v>
      </c>
      <c r="AK268" t="e">
        <f>AND('STERLING CATALOG - FZN &amp; CHILL'!F544,"AAAAAF3f/yQ=")</f>
        <v>#VALUE!</v>
      </c>
      <c r="AL268" t="e">
        <f>AND('STERLING CATALOG - FZN &amp; CHILL'!G544,"AAAAAF3f/yU=")</f>
        <v>#VALUE!</v>
      </c>
      <c r="AM268" t="e">
        <f>AND('STERLING CATALOG - FZN &amp; CHILL'!H544,"AAAAAF3f/yY=")</f>
        <v>#VALUE!</v>
      </c>
      <c r="AN268" t="e">
        <f>AND('STERLING CATALOG - FZN &amp; CHILL'!I544,"AAAAAF3f/yc=")</f>
        <v>#VALUE!</v>
      </c>
      <c r="AO268" t="e">
        <f>AND('STERLING CATALOG - FZN &amp; CHILL'!J544,"AAAAAF3f/yg=")</f>
        <v>#VALUE!</v>
      </c>
      <c r="AP268">
        <f>IF('STERLING CATALOG - FZN &amp; CHILL'!545:545,"AAAAAF3f/yk=",0)</f>
        <v>0</v>
      </c>
      <c r="AQ268" t="e">
        <f>AND('STERLING CATALOG - FZN &amp; CHILL'!A545,"AAAAAF3f/yo=")</f>
        <v>#VALUE!</v>
      </c>
      <c r="AR268" t="e">
        <f>AND('STERLING CATALOG - FZN &amp; CHILL'!B545,"AAAAAF3f/ys=")</f>
        <v>#VALUE!</v>
      </c>
      <c r="AS268" t="e">
        <f>AND('STERLING CATALOG - FZN &amp; CHILL'!C545,"AAAAAF3f/yw=")</f>
        <v>#VALUE!</v>
      </c>
      <c r="AT268" t="e">
        <f>AND('STERLING CATALOG - FZN &amp; CHILL'!D545,"AAAAAF3f/y0=")</f>
        <v>#VALUE!</v>
      </c>
      <c r="AU268" t="e">
        <f>AND('STERLING CATALOG - FZN &amp; CHILL'!E545,"AAAAAF3f/y4=")</f>
        <v>#VALUE!</v>
      </c>
      <c r="AV268" t="e">
        <f>AND('STERLING CATALOG - FZN &amp; CHILL'!F545,"AAAAAF3f/y8=")</f>
        <v>#VALUE!</v>
      </c>
      <c r="AW268" t="e">
        <f>AND('STERLING CATALOG - FZN &amp; CHILL'!G545,"AAAAAF3f/zA=")</f>
        <v>#VALUE!</v>
      </c>
      <c r="AX268" t="e">
        <f>AND('STERLING CATALOG - FZN &amp; CHILL'!H545,"AAAAAF3f/zE=")</f>
        <v>#VALUE!</v>
      </c>
      <c r="AY268" t="e">
        <f>AND('STERLING CATALOG - FZN &amp; CHILL'!I545,"AAAAAF3f/zI=")</f>
        <v>#VALUE!</v>
      </c>
      <c r="AZ268" t="e">
        <f>AND('STERLING CATALOG - FZN &amp; CHILL'!J545,"AAAAAF3f/zM=")</f>
        <v>#VALUE!</v>
      </c>
      <c r="BA268">
        <f>IF('STERLING CATALOG - FZN &amp; CHILL'!546:546,"AAAAAF3f/zQ=",0)</f>
        <v>0</v>
      </c>
      <c r="BB268" t="e">
        <f>AND('STERLING CATALOG - FZN &amp; CHILL'!A546,"AAAAAF3f/zU=")</f>
        <v>#VALUE!</v>
      </c>
      <c r="BC268" t="e">
        <f>AND('STERLING CATALOG - FZN &amp; CHILL'!B546,"AAAAAF3f/zY=")</f>
        <v>#VALUE!</v>
      </c>
      <c r="BD268" t="e">
        <f>AND('STERLING CATALOG - FZN &amp; CHILL'!C546,"AAAAAF3f/zc=")</f>
        <v>#VALUE!</v>
      </c>
      <c r="BE268" t="e">
        <f>AND('STERLING CATALOG - FZN &amp; CHILL'!D546,"AAAAAF3f/zg=")</f>
        <v>#VALUE!</v>
      </c>
      <c r="BF268" t="e">
        <f>AND('STERLING CATALOG - FZN &amp; CHILL'!E546,"AAAAAF3f/zk=")</f>
        <v>#VALUE!</v>
      </c>
      <c r="BG268" t="e">
        <f>AND('STERLING CATALOG - FZN &amp; CHILL'!F546,"AAAAAF3f/zo=")</f>
        <v>#VALUE!</v>
      </c>
      <c r="BH268" t="e">
        <f>AND('STERLING CATALOG - FZN &amp; CHILL'!G546,"AAAAAF3f/zs=")</f>
        <v>#VALUE!</v>
      </c>
      <c r="BI268" t="e">
        <f>AND('STERLING CATALOG - FZN &amp; CHILL'!H546,"AAAAAF3f/zw=")</f>
        <v>#VALUE!</v>
      </c>
      <c r="BJ268" t="e">
        <f>AND('STERLING CATALOG - FZN &amp; CHILL'!I546,"AAAAAF3f/z0=")</f>
        <v>#VALUE!</v>
      </c>
      <c r="BK268" t="e">
        <f>AND('STERLING CATALOG - FZN &amp; CHILL'!J546,"AAAAAF3f/z4=")</f>
        <v>#VALUE!</v>
      </c>
      <c r="BL268">
        <f>IF('STERLING CATALOG - FZN &amp; CHILL'!547:547,"AAAAAF3f/z8=",0)</f>
        <v>0</v>
      </c>
      <c r="BM268" t="e">
        <f>AND('STERLING CATALOG - FZN &amp; CHILL'!A547,"AAAAAF3f/0A=")</f>
        <v>#VALUE!</v>
      </c>
      <c r="BN268" t="e">
        <f>AND('STERLING CATALOG - FZN &amp; CHILL'!B547,"AAAAAF3f/0E=")</f>
        <v>#VALUE!</v>
      </c>
      <c r="BO268" t="e">
        <f>AND('STERLING CATALOG - FZN &amp; CHILL'!C547,"AAAAAF3f/0I=")</f>
        <v>#VALUE!</v>
      </c>
      <c r="BP268" t="e">
        <f>AND('STERLING CATALOG - FZN &amp; CHILL'!D547,"AAAAAF3f/0M=")</f>
        <v>#VALUE!</v>
      </c>
      <c r="BQ268" t="e">
        <f>AND('STERLING CATALOG - FZN &amp; CHILL'!E547,"AAAAAF3f/0Q=")</f>
        <v>#VALUE!</v>
      </c>
      <c r="BR268" t="e">
        <f>AND('STERLING CATALOG - FZN &amp; CHILL'!F547,"AAAAAF3f/0U=")</f>
        <v>#VALUE!</v>
      </c>
      <c r="BS268" t="e">
        <f>AND('STERLING CATALOG - FZN &amp; CHILL'!G547,"AAAAAF3f/0Y=")</f>
        <v>#VALUE!</v>
      </c>
      <c r="BT268" t="e">
        <f>AND('STERLING CATALOG - FZN &amp; CHILL'!H547,"AAAAAF3f/0c=")</f>
        <v>#VALUE!</v>
      </c>
      <c r="BU268" t="e">
        <f>AND('STERLING CATALOG - FZN &amp; CHILL'!I547,"AAAAAF3f/0g=")</f>
        <v>#VALUE!</v>
      </c>
      <c r="BV268" t="e">
        <f>AND('STERLING CATALOG - FZN &amp; CHILL'!J547,"AAAAAF3f/0k=")</f>
        <v>#VALUE!</v>
      </c>
      <c r="BW268">
        <f>IF('STERLING CATALOG - FZN &amp; CHILL'!548:548,"AAAAAF3f/0o=",0)</f>
        <v>0</v>
      </c>
      <c r="BX268" t="e">
        <f>AND('STERLING CATALOG - FZN &amp; CHILL'!A548,"AAAAAF3f/0s=")</f>
        <v>#VALUE!</v>
      </c>
      <c r="BY268" t="e">
        <f>AND('STERLING CATALOG - FZN &amp; CHILL'!B548,"AAAAAF3f/0w=")</f>
        <v>#VALUE!</v>
      </c>
      <c r="BZ268" t="e">
        <f>AND('STERLING CATALOG - FZN &amp; CHILL'!C548,"AAAAAF3f/00=")</f>
        <v>#VALUE!</v>
      </c>
      <c r="CA268" t="e">
        <f>AND('STERLING CATALOG - FZN &amp; CHILL'!D548,"AAAAAF3f/04=")</f>
        <v>#VALUE!</v>
      </c>
      <c r="CB268" t="e">
        <f>AND('STERLING CATALOG - FZN &amp; CHILL'!E548,"AAAAAF3f/08=")</f>
        <v>#VALUE!</v>
      </c>
      <c r="CC268" t="e">
        <f>AND('STERLING CATALOG - FZN &amp; CHILL'!F548,"AAAAAF3f/1A=")</f>
        <v>#VALUE!</v>
      </c>
      <c r="CD268" t="e">
        <f>AND('STERLING CATALOG - FZN &amp; CHILL'!G548,"AAAAAF3f/1E=")</f>
        <v>#VALUE!</v>
      </c>
      <c r="CE268" t="e">
        <f>AND('STERLING CATALOG - FZN &amp; CHILL'!H548,"AAAAAF3f/1I=")</f>
        <v>#VALUE!</v>
      </c>
      <c r="CF268" t="e">
        <f>AND('STERLING CATALOG - FZN &amp; CHILL'!I548,"AAAAAF3f/1M=")</f>
        <v>#VALUE!</v>
      </c>
      <c r="CG268" t="e">
        <f>AND('STERLING CATALOG - FZN &amp; CHILL'!J548,"AAAAAF3f/1Q=")</f>
        <v>#VALUE!</v>
      </c>
      <c r="CH268">
        <f>IF('STERLING CATALOG - FZN &amp; CHILL'!549:549,"AAAAAF3f/1U=",0)</f>
        <v>0</v>
      </c>
      <c r="CI268" t="e">
        <f>AND('STERLING CATALOG - FZN &amp; CHILL'!A549,"AAAAAF3f/1Y=")</f>
        <v>#VALUE!</v>
      </c>
      <c r="CJ268" t="e">
        <f>AND('STERLING CATALOG - FZN &amp; CHILL'!B549,"AAAAAF3f/1c=")</f>
        <v>#VALUE!</v>
      </c>
      <c r="CK268" t="e">
        <f>AND('STERLING CATALOG - FZN &amp; CHILL'!C549,"AAAAAF3f/1g=")</f>
        <v>#VALUE!</v>
      </c>
      <c r="CL268" t="e">
        <f>AND('STERLING CATALOG - FZN &amp; CHILL'!D549,"AAAAAF3f/1k=")</f>
        <v>#VALUE!</v>
      </c>
      <c r="CM268" t="e">
        <f>AND('STERLING CATALOG - FZN &amp; CHILL'!E549,"AAAAAF3f/1o=")</f>
        <v>#VALUE!</v>
      </c>
      <c r="CN268" t="e">
        <f>AND('STERLING CATALOG - FZN &amp; CHILL'!F549,"AAAAAF3f/1s=")</f>
        <v>#VALUE!</v>
      </c>
      <c r="CO268" t="e">
        <f>AND('STERLING CATALOG - FZN &amp; CHILL'!G549,"AAAAAF3f/1w=")</f>
        <v>#VALUE!</v>
      </c>
      <c r="CP268" t="e">
        <f>AND('STERLING CATALOG - FZN &amp; CHILL'!H549,"AAAAAF3f/10=")</f>
        <v>#VALUE!</v>
      </c>
      <c r="CQ268" t="e">
        <f>AND('STERLING CATALOG - FZN &amp; CHILL'!I549,"AAAAAF3f/14=")</f>
        <v>#VALUE!</v>
      </c>
      <c r="CR268" t="e">
        <f>AND('STERLING CATALOG - FZN &amp; CHILL'!J549,"AAAAAF3f/18=")</f>
        <v>#VALUE!</v>
      </c>
      <c r="CS268">
        <f>IF('STERLING CATALOG - FZN &amp; CHILL'!550:550,"AAAAAF3f/2A=",0)</f>
        <v>0</v>
      </c>
      <c r="CT268" t="e">
        <f>AND('STERLING CATALOG - FZN &amp; CHILL'!A550,"AAAAAF3f/2E=")</f>
        <v>#VALUE!</v>
      </c>
      <c r="CU268" t="e">
        <f>AND('STERLING CATALOG - FZN &amp; CHILL'!B550,"AAAAAF3f/2I=")</f>
        <v>#VALUE!</v>
      </c>
      <c r="CV268" t="e">
        <f>AND('STERLING CATALOG - FZN &amp; CHILL'!C550,"AAAAAF3f/2M=")</f>
        <v>#VALUE!</v>
      </c>
      <c r="CW268" t="e">
        <f>AND('STERLING CATALOG - FZN &amp; CHILL'!D550,"AAAAAF3f/2Q=")</f>
        <v>#VALUE!</v>
      </c>
      <c r="CX268" t="e">
        <f>AND('STERLING CATALOG - FZN &amp; CHILL'!E550,"AAAAAF3f/2U=")</f>
        <v>#VALUE!</v>
      </c>
      <c r="CY268" t="e">
        <f>AND('STERLING CATALOG - FZN &amp; CHILL'!F550,"AAAAAF3f/2Y=")</f>
        <v>#VALUE!</v>
      </c>
      <c r="CZ268" t="e">
        <f>AND('STERLING CATALOG - FZN &amp; CHILL'!G550,"AAAAAF3f/2c=")</f>
        <v>#VALUE!</v>
      </c>
      <c r="DA268" t="e">
        <f>AND('STERLING CATALOG - FZN &amp; CHILL'!H550,"AAAAAF3f/2g=")</f>
        <v>#VALUE!</v>
      </c>
      <c r="DB268" t="e">
        <f>AND('STERLING CATALOG - FZN &amp; CHILL'!I550,"AAAAAF3f/2k=")</f>
        <v>#VALUE!</v>
      </c>
      <c r="DC268" t="e">
        <f>AND('STERLING CATALOG - FZN &amp; CHILL'!J550,"AAAAAF3f/2o=")</f>
        <v>#VALUE!</v>
      </c>
      <c r="DD268">
        <f>IF('STERLING CATALOG - FZN &amp; CHILL'!551:551,"AAAAAF3f/2s=",0)</f>
        <v>0</v>
      </c>
      <c r="DE268" t="e">
        <f>AND('STERLING CATALOG - FZN &amp; CHILL'!A551,"AAAAAF3f/2w=")</f>
        <v>#VALUE!</v>
      </c>
      <c r="DF268" t="e">
        <f>AND('STERLING CATALOG - FZN &amp; CHILL'!B551,"AAAAAF3f/20=")</f>
        <v>#VALUE!</v>
      </c>
      <c r="DG268" t="e">
        <f>AND('STERLING CATALOG - FZN &amp; CHILL'!C551,"AAAAAF3f/24=")</f>
        <v>#VALUE!</v>
      </c>
      <c r="DH268" t="e">
        <f>AND('STERLING CATALOG - FZN &amp; CHILL'!D551,"AAAAAF3f/28=")</f>
        <v>#VALUE!</v>
      </c>
      <c r="DI268" t="e">
        <f>AND('STERLING CATALOG - FZN &amp; CHILL'!E551,"AAAAAF3f/3A=")</f>
        <v>#VALUE!</v>
      </c>
      <c r="DJ268" t="e">
        <f>AND('STERLING CATALOG - FZN &amp; CHILL'!F551,"AAAAAF3f/3E=")</f>
        <v>#VALUE!</v>
      </c>
      <c r="DK268" t="e">
        <f>AND('STERLING CATALOG - FZN &amp; CHILL'!G551,"AAAAAF3f/3I=")</f>
        <v>#VALUE!</v>
      </c>
      <c r="DL268" t="e">
        <f>AND('STERLING CATALOG - FZN &amp; CHILL'!H551,"AAAAAF3f/3M=")</f>
        <v>#VALUE!</v>
      </c>
      <c r="DM268" t="e">
        <f>AND('STERLING CATALOG - FZN &amp; CHILL'!I551,"AAAAAF3f/3Q=")</f>
        <v>#VALUE!</v>
      </c>
      <c r="DN268" t="e">
        <f>AND('STERLING CATALOG - FZN &amp; CHILL'!J551,"AAAAAF3f/3U=")</f>
        <v>#VALUE!</v>
      </c>
      <c r="DO268">
        <f>IF('STERLING CATALOG - FZN &amp; CHILL'!552:552,"AAAAAF3f/3Y=",0)</f>
        <v>0</v>
      </c>
      <c r="DP268" t="e">
        <f>AND('STERLING CATALOG - FZN &amp; CHILL'!A552,"AAAAAF3f/3c=")</f>
        <v>#VALUE!</v>
      </c>
      <c r="DQ268" t="e">
        <f>AND('STERLING CATALOG - FZN &amp; CHILL'!B552,"AAAAAF3f/3g=")</f>
        <v>#VALUE!</v>
      </c>
      <c r="DR268" t="e">
        <f>AND('STERLING CATALOG - FZN &amp; CHILL'!C552,"AAAAAF3f/3k=")</f>
        <v>#VALUE!</v>
      </c>
      <c r="DS268" t="e">
        <f>AND('STERLING CATALOG - FZN &amp; CHILL'!D552,"AAAAAF3f/3o=")</f>
        <v>#VALUE!</v>
      </c>
      <c r="DT268" t="e">
        <f>AND('STERLING CATALOG - FZN &amp; CHILL'!E552,"AAAAAF3f/3s=")</f>
        <v>#VALUE!</v>
      </c>
      <c r="DU268" t="e">
        <f>AND('STERLING CATALOG - FZN &amp; CHILL'!F552,"AAAAAF3f/3w=")</f>
        <v>#VALUE!</v>
      </c>
      <c r="DV268" t="e">
        <f>AND('STERLING CATALOG - FZN &amp; CHILL'!G552,"AAAAAF3f/30=")</f>
        <v>#VALUE!</v>
      </c>
      <c r="DW268" t="e">
        <f>AND('STERLING CATALOG - FZN &amp; CHILL'!H552,"AAAAAF3f/34=")</f>
        <v>#VALUE!</v>
      </c>
      <c r="DX268" t="e">
        <f>AND('STERLING CATALOG - FZN &amp; CHILL'!I552,"AAAAAF3f/38=")</f>
        <v>#VALUE!</v>
      </c>
      <c r="DY268" t="e">
        <f>AND('STERLING CATALOG - FZN &amp; CHILL'!J552,"AAAAAF3f/4A=")</f>
        <v>#VALUE!</v>
      </c>
      <c r="DZ268">
        <f>IF('STERLING CATALOG - FZN &amp; CHILL'!553:553,"AAAAAF3f/4E=",0)</f>
        <v>0</v>
      </c>
      <c r="EA268" t="e">
        <f>AND('STERLING CATALOG - FZN &amp; CHILL'!A553,"AAAAAF3f/4I=")</f>
        <v>#VALUE!</v>
      </c>
      <c r="EB268" t="e">
        <f>AND('STERLING CATALOG - FZN &amp; CHILL'!B553,"AAAAAF3f/4M=")</f>
        <v>#VALUE!</v>
      </c>
      <c r="EC268" t="e">
        <f>AND('STERLING CATALOG - FZN &amp; CHILL'!C553,"AAAAAF3f/4Q=")</f>
        <v>#VALUE!</v>
      </c>
      <c r="ED268" t="e">
        <f>AND('STERLING CATALOG - FZN &amp; CHILL'!D553,"AAAAAF3f/4U=")</f>
        <v>#VALUE!</v>
      </c>
      <c r="EE268" t="e">
        <f>AND('STERLING CATALOG - FZN &amp; CHILL'!E553,"AAAAAF3f/4Y=")</f>
        <v>#VALUE!</v>
      </c>
      <c r="EF268" t="e">
        <f>AND('STERLING CATALOG - FZN &amp; CHILL'!F553,"AAAAAF3f/4c=")</f>
        <v>#VALUE!</v>
      </c>
      <c r="EG268" t="e">
        <f>AND('STERLING CATALOG - FZN &amp; CHILL'!G553,"AAAAAF3f/4g=")</f>
        <v>#VALUE!</v>
      </c>
      <c r="EH268" t="e">
        <f>AND('STERLING CATALOG - FZN &amp; CHILL'!H553,"AAAAAF3f/4k=")</f>
        <v>#VALUE!</v>
      </c>
      <c r="EI268" t="e">
        <f>AND('STERLING CATALOG - FZN &amp; CHILL'!I553,"AAAAAF3f/4o=")</f>
        <v>#VALUE!</v>
      </c>
      <c r="EJ268" t="e">
        <f>AND('STERLING CATALOG - FZN &amp; CHILL'!J553,"AAAAAF3f/4s=")</f>
        <v>#VALUE!</v>
      </c>
      <c r="EK268">
        <f>IF('STERLING CATALOG - FZN &amp; CHILL'!554:554,"AAAAAF3f/4w=",0)</f>
        <v>0</v>
      </c>
      <c r="EL268" t="e">
        <f>AND('STERLING CATALOG - FZN &amp; CHILL'!A554,"AAAAAF3f/40=")</f>
        <v>#VALUE!</v>
      </c>
      <c r="EM268" t="e">
        <f>AND('STERLING CATALOG - FZN &amp; CHILL'!B554,"AAAAAF3f/44=")</f>
        <v>#VALUE!</v>
      </c>
      <c r="EN268" t="e">
        <f>AND('STERLING CATALOG - FZN &amp; CHILL'!C554,"AAAAAF3f/48=")</f>
        <v>#VALUE!</v>
      </c>
      <c r="EO268" t="e">
        <f>AND('STERLING CATALOG - FZN &amp; CHILL'!D554,"AAAAAF3f/5A=")</f>
        <v>#VALUE!</v>
      </c>
      <c r="EP268" t="e">
        <f>AND('STERLING CATALOG - FZN &amp; CHILL'!E554,"AAAAAF3f/5E=")</f>
        <v>#VALUE!</v>
      </c>
      <c r="EQ268" t="e">
        <f>AND('STERLING CATALOG - FZN &amp; CHILL'!F554,"AAAAAF3f/5I=")</f>
        <v>#VALUE!</v>
      </c>
      <c r="ER268" t="e">
        <f>AND('STERLING CATALOG - FZN &amp; CHILL'!G554,"AAAAAF3f/5M=")</f>
        <v>#VALUE!</v>
      </c>
      <c r="ES268" t="e">
        <f>AND('STERLING CATALOG - FZN &amp; CHILL'!H554,"AAAAAF3f/5Q=")</f>
        <v>#VALUE!</v>
      </c>
      <c r="ET268" t="e">
        <f>AND('STERLING CATALOG - FZN &amp; CHILL'!I554,"AAAAAF3f/5U=")</f>
        <v>#VALUE!</v>
      </c>
      <c r="EU268" t="e">
        <f>AND('STERLING CATALOG - FZN &amp; CHILL'!J554,"AAAAAF3f/5Y=")</f>
        <v>#VALUE!</v>
      </c>
      <c r="EV268">
        <f>IF('STERLING CATALOG - FZN &amp; CHILL'!555:555,"AAAAAF3f/5c=",0)</f>
        <v>0</v>
      </c>
      <c r="EW268" t="e">
        <f>AND('STERLING CATALOG - FZN &amp; CHILL'!A555,"AAAAAF3f/5g=")</f>
        <v>#VALUE!</v>
      </c>
      <c r="EX268" t="e">
        <f>AND('STERLING CATALOG - FZN &amp; CHILL'!B555,"AAAAAF3f/5k=")</f>
        <v>#VALUE!</v>
      </c>
      <c r="EY268" t="e">
        <f>AND('STERLING CATALOG - FZN &amp; CHILL'!C555,"AAAAAF3f/5o=")</f>
        <v>#VALUE!</v>
      </c>
      <c r="EZ268" t="e">
        <f>AND('STERLING CATALOG - FZN &amp; CHILL'!D555,"AAAAAF3f/5s=")</f>
        <v>#VALUE!</v>
      </c>
      <c r="FA268" t="e">
        <f>AND('STERLING CATALOG - FZN &amp; CHILL'!E555,"AAAAAF3f/5w=")</f>
        <v>#VALUE!</v>
      </c>
      <c r="FB268" t="e">
        <f>AND('STERLING CATALOG - FZN &amp; CHILL'!F555,"AAAAAF3f/50=")</f>
        <v>#VALUE!</v>
      </c>
      <c r="FC268" t="e">
        <f>AND('STERLING CATALOG - FZN &amp; CHILL'!G555,"AAAAAF3f/54=")</f>
        <v>#VALUE!</v>
      </c>
      <c r="FD268" t="e">
        <f>AND('STERLING CATALOG - FZN &amp; CHILL'!H555,"AAAAAF3f/58=")</f>
        <v>#VALUE!</v>
      </c>
      <c r="FE268" t="e">
        <f>AND('STERLING CATALOG - FZN &amp; CHILL'!I555,"AAAAAF3f/6A=")</f>
        <v>#VALUE!</v>
      </c>
      <c r="FF268" t="e">
        <f>AND('STERLING CATALOG - FZN &amp; CHILL'!J555,"AAAAAF3f/6E=")</f>
        <v>#VALUE!</v>
      </c>
      <c r="FG268">
        <f>IF('STERLING CATALOG - FZN &amp; CHILL'!556:556,"AAAAAF3f/6I=",0)</f>
        <v>0</v>
      </c>
      <c r="FH268" t="e">
        <f>AND('STERLING CATALOG - FZN &amp; CHILL'!A556,"AAAAAF3f/6M=")</f>
        <v>#VALUE!</v>
      </c>
      <c r="FI268" t="e">
        <f>AND('STERLING CATALOG - FZN &amp; CHILL'!B556,"AAAAAF3f/6Q=")</f>
        <v>#VALUE!</v>
      </c>
      <c r="FJ268" t="e">
        <f>AND('STERLING CATALOG - FZN &amp; CHILL'!C556,"AAAAAF3f/6U=")</f>
        <v>#VALUE!</v>
      </c>
      <c r="FK268" t="e">
        <f>AND('STERLING CATALOG - FZN &amp; CHILL'!D556,"AAAAAF3f/6Y=")</f>
        <v>#VALUE!</v>
      </c>
      <c r="FL268" t="e">
        <f>AND('STERLING CATALOG - FZN &amp; CHILL'!E556,"AAAAAF3f/6c=")</f>
        <v>#VALUE!</v>
      </c>
      <c r="FM268" t="e">
        <f>AND('STERLING CATALOG - FZN &amp; CHILL'!F556,"AAAAAF3f/6g=")</f>
        <v>#VALUE!</v>
      </c>
      <c r="FN268" t="e">
        <f>AND('STERLING CATALOG - FZN &amp; CHILL'!G556,"AAAAAF3f/6k=")</f>
        <v>#VALUE!</v>
      </c>
      <c r="FO268" t="e">
        <f>AND('STERLING CATALOG - FZN &amp; CHILL'!H556,"AAAAAF3f/6o=")</f>
        <v>#VALUE!</v>
      </c>
      <c r="FP268" t="e">
        <f>AND('STERLING CATALOG - FZN &amp; CHILL'!I556,"AAAAAF3f/6s=")</f>
        <v>#VALUE!</v>
      </c>
      <c r="FQ268" t="e">
        <f>AND('STERLING CATALOG - FZN &amp; CHILL'!J556,"AAAAAF3f/6w=")</f>
        <v>#VALUE!</v>
      </c>
      <c r="FR268">
        <f>IF('STERLING CATALOG - FZN &amp; CHILL'!557:557,"AAAAAF3f/60=",0)</f>
        <v>0</v>
      </c>
      <c r="FS268" t="e">
        <f>AND('STERLING CATALOG - FZN &amp; CHILL'!A557,"AAAAAF3f/64=")</f>
        <v>#VALUE!</v>
      </c>
      <c r="FT268" t="e">
        <f>AND('STERLING CATALOG - FZN &amp; CHILL'!B557,"AAAAAF3f/68=")</f>
        <v>#VALUE!</v>
      </c>
      <c r="FU268" t="e">
        <f>AND('STERLING CATALOG - FZN &amp; CHILL'!C557,"AAAAAF3f/7A=")</f>
        <v>#VALUE!</v>
      </c>
      <c r="FV268" t="e">
        <f>AND('STERLING CATALOG - FZN &amp; CHILL'!D557,"AAAAAF3f/7E=")</f>
        <v>#VALUE!</v>
      </c>
      <c r="FW268" t="e">
        <f>AND('STERLING CATALOG - FZN &amp; CHILL'!E557,"AAAAAF3f/7I=")</f>
        <v>#VALUE!</v>
      </c>
      <c r="FX268" t="e">
        <f>AND('STERLING CATALOG - FZN &amp; CHILL'!F557,"AAAAAF3f/7M=")</f>
        <v>#VALUE!</v>
      </c>
      <c r="FY268" t="e">
        <f>AND('STERLING CATALOG - FZN &amp; CHILL'!G557,"AAAAAF3f/7Q=")</f>
        <v>#VALUE!</v>
      </c>
      <c r="FZ268" t="e">
        <f>AND('STERLING CATALOG - FZN &amp; CHILL'!H557,"AAAAAF3f/7U=")</f>
        <v>#VALUE!</v>
      </c>
      <c r="GA268" t="e">
        <f>AND('STERLING CATALOG - FZN &amp; CHILL'!I557,"AAAAAF3f/7Y=")</f>
        <v>#VALUE!</v>
      </c>
      <c r="GB268" t="e">
        <f>AND('STERLING CATALOG - FZN &amp; CHILL'!J557,"AAAAAF3f/7c=")</f>
        <v>#VALUE!</v>
      </c>
      <c r="GC268">
        <f>IF('STERLING CATALOG - FZN &amp; CHILL'!558:558,"AAAAAF3f/7g=",0)</f>
        <v>0</v>
      </c>
      <c r="GD268" t="e">
        <f>AND('STERLING CATALOG - FZN &amp; CHILL'!A558,"AAAAAF3f/7k=")</f>
        <v>#VALUE!</v>
      </c>
      <c r="GE268" t="e">
        <f>AND('STERLING CATALOG - FZN &amp; CHILL'!B558,"AAAAAF3f/7o=")</f>
        <v>#VALUE!</v>
      </c>
      <c r="GF268" t="e">
        <f>AND('STERLING CATALOG - FZN &amp; CHILL'!C558,"AAAAAF3f/7s=")</f>
        <v>#VALUE!</v>
      </c>
      <c r="GG268" t="e">
        <f>AND('STERLING CATALOG - FZN &amp; CHILL'!D558,"AAAAAF3f/7w=")</f>
        <v>#VALUE!</v>
      </c>
      <c r="GH268" t="e">
        <f>AND('STERLING CATALOG - FZN &amp; CHILL'!E558,"AAAAAF3f/70=")</f>
        <v>#VALUE!</v>
      </c>
      <c r="GI268" t="e">
        <f>AND('STERLING CATALOG - FZN &amp; CHILL'!F558,"AAAAAF3f/74=")</f>
        <v>#VALUE!</v>
      </c>
      <c r="GJ268" t="e">
        <f>AND('STERLING CATALOG - FZN &amp; CHILL'!G558,"AAAAAF3f/78=")</f>
        <v>#VALUE!</v>
      </c>
      <c r="GK268" t="e">
        <f>AND('STERLING CATALOG - FZN &amp; CHILL'!H558,"AAAAAF3f/8A=")</f>
        <v>#VALUE!</v>
      </c>
      <c r="GL268" t="e">
        <f>AND('STERLING CATALOG - FZN &amp; CHILL'!I558,"AAAAAF3f/8E=")</f>
        <v>#VALUE!</v>
      </c>
      <c r="GM268" t="e">
        <f>AND('STERLING CATALOG - FZN &amp; CHILL'!J558,"AAAAAF3f/8I=")</f>
        <v>#VALUE!</v>
      </c>
      <c r="GN268">
        <f>IF('STERLING CATALOG - FZN &amp; CHILL'!559:559,"AAAAAF3f/8M=",0)</f>
        <v>0</v>
      </c>
      <c r="GO268" t="e">
        <f>AND('STERLING CATALOG - FZN &amp; CHILL'!A559,"AAAAAF3f/8Q=")</f>
        <v>#VALUE!</v>
      </c>
      <c r="GP268" t="e">
        <f>AND('STERLING CATALOG - FZN &amp; CHILL'!B559,"AAAAAF3f/8U=")</f>
        <v>#VALUE!</v>
      </c>
      <c r="GQ268" t="e">
        <f>AND('STERLING CATALOG - FZN &amp; CHILL'!C559,"AAAAAF3f/8Y=")</f>
        <v>#VALUE!</v>
      </c>
      <c r="GR268" t="e">
        <f>AND('STERLING CATALOG - FZN &amp; CHILL'!D559,"AAAAAF3f/8c=")</f>
        <v>#VALUE!</v>
      </c>
      <c r="GS268" t="e">
        <f>AND('STERLING CATALOG - FZN &amp; CHILL'!E559,"AAAAAF3f/8g=")</f>
        <v>#VALUE!</v>
      </c>
      <c r="GT268" t="e">
        <f>AND('STERLING CATALOG - FZN &amp; CHILL'!F559,"AAAAAF3f/8k=")</f>
        <v>#VALUE!</v>
      </c>
      <c r="GU268" t="e">
        <f>AND('STERLING CATALOG - FZN &amp; CHILL'!G559,"AAAAAF3f/8o=")</f>
        <v>#VALUE!</v>
      </c>
      <c r="GV268" t="e">
        <f>AND('STERLING CATALOG - FZN &amp; CHILL'!H559,"AAAAAF3f/8s=")</f>
        <v>#VALUE!</v>
      </c>
      <c r="GW268" t="e">
        <f>AND('STERLING CATALOG - FZN &amp; CHILL'!I559,"AAAAAF3f/8w=")</f>
        <v>#VALUE!</v>
      </c>
      <c r="GX268" t="e">
        <f>AND('STERLING CATALOG - FZN &amp; CHILL'!J559,"AAAAAF3f/80=")</f>
        <v>#VALUE!</v>
      </c>
      <c r="GY268">
        <f>IF('STERLING CATALOG - FZN &amp; CHILL'!560:560,"AAAAAF3f/84=",0)</f>
        <v>0</v>
      </c>
      <c r="GZ268" t="e">
        <f>AND('STERLING CATALOG - FZN &amp; CHILL'!A560,"AAAAAF3f/88=")</f>
        <v>#VALUE!</v>
      </c>
      <c r="HA268" t="e">
        <f>AND('STERLING CATALOG - FZN &amp; CHILL'!B560,"AAAAAF3f/9A=")</f>
        <v>#VALUE!</v>
      </c>
      <c r="HB268" t="e">
        <f>AND('STERLING CATALOG - FZN &amp; CHILL'!C560,"AAAAAF3f/9E=")</f>
        <v>#VALUE!</v>
      </c>
      <c r="HC268" t="e">
        <f>AND('STERLING CATALOG - FZN &amp; CHILL'!D560,"AAAAAF3f/9I=")</f>
        <v>#VALUE!</v>
      </c>
      <c r="HD268" t="e">
        <f>AND('STERLING CATALOG - FZN &amp; CHILL'!E560,"AAAAAF3f/9M=")</f>
        <v>#VALUE!</v>
      </c>
      <c r="HE268" t="e">
        <f>AND('STERLING CATALOG - FZN &amp; CHILL'!F560,"AAAAAF3f/9Q=")</f>
        <v>#VALUE!</v>
      </c>
      <c r="HF268" t="e">
        <f>AND('STERLING CATALOG - FZN &amp; CHILL'!G560,"AAAAAF3f/9U=")</f>
        <v>#VALUE!</v>
      </c>
      <c r="HG268" t="e">
        <f>AND('STERLING CATALOG - FZN &amp; CHILL'!H560,"AAAAAF3f/9Y=")</f>
        <v>#VALUE!</v>
      </c>
      <c r="HH268" t="e">
        <f>AND('STERLING CATALOG - FZN &amp; CHILL'!I560,"AAAAAF3f/9c=")</f>
        <v>#VALUE!</v>
      </c>
      <c r="HI268" t="e">
        <f>AND('STERLING CATALOG - FZN &amp; CHILL'!J560,"AAAAAF3f/9g=")</f>
        <v>#VALUE!</v>
      </c>
      <c r="HJ268">
        <f>IF('STERLING CATALOG - FZN &amp; CHILL'!561:561,"AAAAAF3f/9k=",0)</f>
        <v>0</v>
      </c>
      <c r="HK268" t="e">
        <f>AND('STERLING CATALOG - FZN &amp; CHILL'!A561,"AAAAAF3f/9o=")</f>
        <v>#VALUE!</v>
      </c>
      <c r="HL268" t="e">
        <f>AND('STERLING CATALOG - FZN &amp; CHILL'!B561,"AAAAAF3f/9s=")</f>
        <v>#VALUE!</v>
      </c>
      <c r="HM268" t="e">
        <f>AND('STERLING CATALOG - FZN &amp; CHILL'!C561,"AAAAAF3f/9w=")</f>
        <v>#VALUE!</v>
      </c>
      <c r="HN268" t="e">
        <f>AND('STERLING CATALOG - FZN &amp; CHILL'!D561,"AAAAAF3f/90=")</f>
        <v>#VALUE!</v>
      </c>
      <c r="HO268" t="e">
        <f>AND('STERLING CATALOG - FZN &amp; CHILL'!E561,"AAAAAF3f/94=")</f>
        <v>#VALUE!</v>
      </c>
      <c r="HP268" t="e">
        <f>AND('STERLING CATALOG - FZN &amp; CHILL'!F561,"AAAAAF3f/98=")</f>
        <v>#VALUE!</v>
      </c>
      <c r="HQ268" t="e">
        <f>AND('STERLING CATALOG - FZN &amp; CHILL'!G561,"AAAAAF3f/+A=")</f>
        <v>#VALUE!</v>
      </c>
      <c r="HR268" t="e">
        <f>AND('STERLING CATALOG - FZN &amp; CHILL'!H561,"AAAAAF3f/+E=")</f>
        <v>#VALUE!</v>
      </c>
      <c r="HS268" t="e">
        <f>AND('STERLING CATALOG - FZN &amp; CHILL'!I561,"AAAAAF3f/+I=")</f>
        <v>#VALUE!</v>
      </c>
      <c r="HT268" t="e">
        <f>AND('STERLING CATALOG - FZN &amp; CHILL'!J561,"AAAAAF3f/+M=")</f>
        <v>#VALUE!</v>
      </c>
      <c r="HU268">
        <f>IF('STERLING CATALOG - FZN &amp; CHILL'!562:562,"AAAAAF3f/+Q=",0)</f>
        <v>0</v>
      </c>
      <c r="HV268" t="e">
        <f>AND('STERLING CATALOG - FZN &amp; CHILL'!A562,"AAAAAF3f/+U=")</f>
        <v>#VALUE!</v>
      </c>
      <c r="HW268" t="e">
        <f>AND('STERLING CATALOG - FZN &amp; CHILL'!B562,"AAAAAF3f/+Y=")</f>
        <v>#VALUE!</v>
      </c>
      <c r="HX268" t="e">
        <f>AND('STERLING CATALOG - FZN &amp; CHILL'!C562,"AAAAAF3f/+c=")</f>
        <v>#VALUE!</v>
      </c>
      <c r="HY268" t="e">
        <f>AND('STERLING CATALOG - FZN &amp; CHILL'!D562,"AAAAAF3f/+g=")</f>
        <v>#VALUE!</v>
      </c>
      <c r="HZ268" t="e">
        <f>AND('STERLING CATALOG - FZN &amp; CHILL'!E562,"AAAAAF3f/+k=")</f>
        <v>#VALUE!</v>
      </c>
      <c r="IA268" t="e">
        <f>AND('STERLING CATALOG - FZN &amp; CHILL'!F562,"AAAAAF3f/+o=")</f>
        <v>#VALUE!</v>
      </c>
      <c r="IB268" t="e">
        <f>AND('STERLING CATALOG - FZN &amp; CHILL'!G562,"AAAAAF3f/+s=")</f>
        <v>#VALUE!</v>
      </c>
      <c r="IC268" t="e">
        <f>AND('STERLING CATALOG - FZN &amp; CHILL'!H562,"AAAAAF3f/+w=")</f>
        <v>#VALUE!</v>
      </c>
      <c r="ID268" t="e">
        <f>AND('STERLING CATALOG - FZN &amp; CHILL'!I562,"AAAAAF3f/+0=")</f>
        <v>#VALUE!</v>
      </c>
      <c r="IE268" t="e">
        <f>AND('STERLING CATALOG - FZN &amp; CHILL'!J562,"AAAAAF3f/+4=")</f>
        <v>#VALUE!</v>
      </c>
      <c r="IF268">
        <f>IF('STERLING CATALOG - FZN &amp; CHILL'!563:563,"AAAAAF3f/+8=",0)</f>
        <v>0</v>
      </c>
      <c r="IG268" t="e">
        <f>AND('STERLING CATALOG - FZN &amp; CHILL'!A563,"AAAAAF3f//A=")</f>
        <v>#VALUE!</v>
      </c>
      <c r="IH268" t="e">
        <f>AND('STERLING CATALOG - FZN &amp; CHILL'!B563,"AAAAAF3f//E=")</f>
        <v>#VALUE!</v>
      </c>
      <c r="II268" t="e">
        <f>AND('STERLING CATALOG - FZN &amp; CHILL'!C563,"AAAAAF3f//I=")</f>
        <v>#VALUE!</v>
      </c>
      <c r="IJ268" t="e">
        <f>AND('STERLING CATALOG - FZN &amp; CHILL'!D563,"AAAAAF3f//M=")</f>
        <v>#VALUE!</v>
      </c>
      <c r="IK268" t="e">
        <f>AND('STERLING CATALOG - FZN &amp; CHILL'!E563,"AAAAAF3f//Q=")</f>
        <v>#VALUE!</v>
      </c>
      <c r="IL268" t="e">
        <f>AND('STERLING CATALOG - FZN &amp; CHILL'!F563,"AAAAAF3f//U=")</f>
        <v>#VALUE!</v>
      </c>
      <c r="IM268" t="e">
        <f>AND('STERLING CATALOG - FZN &amp; CHILL'!G563,"AAAAAF3f//Y=")</f>
        <v>#VALUE!</v>
      </c>
      <c r="IN268" t="e">
        <f>AND('STERLING CATALOG - FZN &amp; CHILL'!H563,"AAAAAF3f//c=")</f>
        <v>#VALUE!</v>
      </c>
      <c r="IO268" t="e">
        <f>AND('STERLING CATALOG - FZN &amp; CHILL'!I563,"AAAAAF3f//g=")</f>
        <v>#VALUE!</v>
      </c>
      <c r="IP268" t="e">
        <f>AND('STERLING CATALOG - FZN &amp; CHILL'!J563,"AAAAAF3f//k=")</f>
        <v>#VALUE!</v>
      </c>
      <c r="IQ268">
        <f>IF('STERLING CATALOG - FZN &amp; CHILL'!564:564,"AAAAAF3f//o=",0)</f>
        <v>0</v>
      </c>
      <c r="IR268" t="e">
        <f>AND('STERLING CATALOG - FZN &amp; CHILL'!A564,"AAAAAF3f//s=")</f>
        <v>#VALUE!</v>
      </c>
      <c r="IS268" t="e">
        <f>AND('STERLING CATALOG - FZN &amp; CHILL'!B564,"AAAAAF3f//w=")</f>
        <v>#VALUE!</v>
      </c>
      <c r="IT268" t="e">
        <f>AND('STERLING CATALOG - FZN &amp; CHILL'!C564,"AAAAAF3f//0=")</f>
        <v>#VALUE!</v>
      </c>
      <c r="IU268" t="e">
        <f>AND('STERLING CATALOG - FZN &amp; CHILL'!D564,"AAAAAF3f//4=")</f>
        <v>#VALUE!</v>
      </c>
      <c r="IV268" t="e">
        <f>AND('STERLING CATALOG - FZN &amp; CHILL'!E564,"AAAAAF3f//8=")</f>
        <v>#VALUE!</v>
      </c>
    </row>
    <row r="269" spans="1:256">
      <c r="A269" t="e">
        <f>AND('STERLING CATALOG - FZN &amp; CHILL'!F564,"AAAAAH+VOwA=")</f>
        <v>#VALUE!</v>
      </c>
      <c r="B269" t="e">
        <f>AND('STERLING CATALOG - FZN &amp; CHILL'!G564,"AAAAAH+VOwE=")</f>
        <v>#VALUE!</v>
      </c>
      <c r="C269" t="e">
        <f>AND('STERLING CATALOG - FZN &amp; CHILL'!H564,"AAAAAH+VOwI=")</f>
        <v>#VALUE!</v>
      </c>
      <c r="D269" t="e">
        <f>AND('STERLING CATALOG - FZN &amp; CHILL'!I564,"AAAAAH+VOwM=")</f>
        <v>#VALUE!</v>
      </c>
      <c r="E269" t="e">
        <f>AND('STERLING CATALOG - FZN &amp; CHILL'!J564,"AAAAAH+VOwQ=")</f>
        <v>#VALUE!</v>
      </c>
      <c r="F269" t="str">
        <f>IF('STERLING CATALOG - FZN &amp; CHILL'!565:565,"AAAAAH+VOwU=",0)</f>
        <v>AAAAAH+VOwU=</v>
      </c>
      <c r="G269" t="e">
        <f>AND('STERLING CATALOG - FZN &amp; CHILL'!A565,"AAAAAH+VOwY=")</f>
        <v>#VALUE!</v>
      </c>
      <c r="H269" t="e">
        <f>AND('STERLING CATALOG - FZN &amp; CHILL'!B565,"AAAAAH+VOwc=")</f>
        <v>#VALUE!</v>
      </c>
      <c r="I269" t="e">
        <f>AND('STERLING CATALOG - FZN &amp; CHILL'!C565,"AAAAAH+VOwg=")</f>
        <v>#VALUE!</v>
      </c>
      <c r="J269" t="e">
        <f>AND('STERLING CATALOG - FZN &amp; CHILL'!D565,"AAAAAH+VOwk=")</f>
        <v>#VALUE!</v>
      </c>
      <c r="K269" t="e">
        <f>AND('STERLING CATALOG - FZN &amp; CHILL'!E565,"AAAAAH+VOwo=")</f>
        <v>#VALUE!</v>
      </c>
      <c r="L269" t="e">
        <f>AND('STERLING CATALOG - FZN &amp; CHILL'!F565,"AAAAAH+VOws=")</f>
        <v>#VALUE!</v>
      </c>
      <c r="M269" t="e">
        <f>AND('STERLING CATALOG - FZN &amp; CHILL'!G565,"AAAAAH+VOww=")</f>
        <v>#VALUE!</v>
      </c>
      <c r="N269" t="e">
        <f>AND('STERLING CATALOG - FZN &amp; CHILL'!H565,"AAAAAH+VOw0=")</f>
        <v>#VALUE!</v>
      </c>
      <c r="O269" t="e">
        <f>AND('STERLING CATALOG - FZN &amp; CHILL'!I565,"AAAAAH+VOw4=")</f>
        <v>#VALUE!</v>
      </c>
      <c r="P269" t="e">
        <f>AND('STERLING CATALOG - FZN &amp; CHILL'!J565,"AAAAAH+VOw8=")</f>
        <v>#VALUE!</v>
      </c>
      <c r="Q269">
        <f>IF('STERLING CATALOG - FZN &amp; CHILL'!566:566,"AAAAAH+VOxA=",0)</f>
        <v>0</v>
      </c>
      <c r="R269" t="e">
        <f>AND('STERLING CATALOG - FZN &amp; CHILL'!A566,"AAAAAH+VOxE=")</f>
        <v>#VALUE!</v>
      </c>
      <c r="S269" t="e">
        <f>AND('STERLING CATALOG - FZN &amp; CHILL'!B566,"AAAAAH+VOxI=")</f>
        <v>#VALUE!</v>
      </c>
      <c r="T269" t="e">
        <f>AND('STERLING CATALOG - FZN &amp; CHILL'!C566,"AAAAAH+VOxM=")</f>
        <v>#VALUE!</v>
      </c>
      <c r="U269" t="e">
        <f>AND('STERLING CATALOG - FZN &amp; CHILL'!D566,"AAAAAH+VOxQ=")</f>
        <v>#VALUE!</v>
      </c>
      <c r="V269" t="e">
        <f>AND('STERLING CATALOG - FZN &amp; CHILL'!E566,"AAAAAH+VOxU=")</f>
        <v>#VALUE!</v>
      </c>
      <c r="W269" t="e">
        <f>AND('STERLING CATALOG - FZN &amp; CHILL'!F566,"AAAAAH+VOxY=")</f>
        <v>#VALUE!</v>
      </c>
      <c r="X269" t="e">
        <f>AND('STERLING CATALOG - FZN &amp; CHILL'!G566,"AAAAAH+VOxc=")</f>
        <v>#VALUE!</v>
      </c>
      <c r="Y269" t="e">
        <f>AND('STERLING CATALOG - FZN &amp; CHILL'!H566,"AAAAAH+VOxg=")</f>
        <v>#VALUE!</v>
      </c>
      <c r="Z269" t="e">
        <f>AND('STERLING CATALOG - FZN &amp; CHILL'!I566,"AAAAAH+VOxk=")</f>
        <v>#VALUE!</v>
      </c>
      <c r="AA269" t="e">
        <f>AND('STERLING CATALOG - FZN &amp; CHILL'!J566,"AAAAAH+VOxo=")</f>
        <v>#VALUE!</v>
      </c>
      <c r="AB269">
        <f>IF('STERLING CATALOG - FZN &amp; CHILL'!567:567,"AAAAAH+VOxs=",0)</f>
        <v>0</v>
      </c>
      <c r="AC269" t="e">
        <f>AND('STERLING CATALOG - FZN &amp; CHILL'!A567,"AAAAAH+VOxw=")</f>
        <v>#VALUE!</v>
      </c>
      <c r="AD269" t="e">
        <f>AND('STERLING CATALOG - FZN &amp; CHILL'!B567,"AAAAAH+VOx0=")</f>
        <v>#VALUE!</v>
      </c>
      <c r="AE269" t="e">
        <f>AND('STERLING CATALOG - FZN &amp; CHILL'!C567,"AAAAAH+VOx4=")</f>
        <v>#VALUE!</v>
      </c>
      <c r="AF269" t="e">
        <f>AND('STERLING CATALOG - FZN &amp; CHILL'!D567,"AAAAAH+VOx8=")</f>
        <v>#VALUE!</v>
      </c>
      <c r="AG269" t="e">
        <f>AND('STERLING CATALOG - FZN &amp; CHILL'!E567,"AAAAAH+VOyA=")</f>
        <v>#VALUE!</v>
      </c>
      <c r="AH269" t="e">
        <f>AND('STERLING CATALOG - FZN &amp; CHILL'!F567,"AAAAAH+VOyE=")</f>
        <v>#VALUE!</v>
      </c>
      <c r="AI269" t="e">
        <f>AND('STERLING CATALOG - FZN &amp; CHILL'!G567,"AAAAAH+VOyI=")</f>
        <v>#VALUE!</v>
      </c>
      <c r="AJ269" t="e">
        <f>AND('STERLING CATALOG - FZN &amp; CHILL'!H567,"AAAAAH+VOyM=")</f>
        <v>#VALUE!</v>
      </c>
      <c r="AK269" t="e">
        <f>AND('STERLING CATALOG - FZN &amp; CHILL'!I567,"AAAAAH+VOyQ=")</f>
        <v>#VALUE!</v>
      </c>
      <c r="AL269" t="e">
        <f>AND('STERLING CATALOG - FZN &amp; CHILL'!J567,"AAAAAH+VOyU=")</f>
        <v>#VALUE!</v>
      </c>
      <c r="AM269">
        <f>IF('STERLING CATALOG - FZN &amp; CHILL'!568:568,"AAAAAH+VOyY=",0)</f>
        <v>0</v>
      </c>
      <c r="AN269" t="e">
        <f>AND('STERLING CATALOG - FZN &amp; CHILL'!A568,"AAAAAH+VOyc=")</f>
        <v>#VALUE!</v>
      </c>
      <c r="AO269" t="e">
        <f>AND('STERLING CATALOG - FZN &amp; CHILL'!B568,"AAAAAH+VOyg=")</f>
        <v>#VALUE!</v>
      </c>
      <c r="AP269" t="e">
        <f>AND('STERLING CATALOG - FZN &amp; CHILL'!C568,"AAAAAH+VOyk=")</f>
        <v>#VALUE!</v>
      </c>
      <c r="AQ269" t="e">
        <f>AND('STERLING CATALOG - FZN &amp; CHILL'!D568,"AAAAAH+VOyo=")</f>
        <v>#VALUE!</v>
      </c>
      <c r="AR269" t="e">
        <f>AND('STERLING CATALOG - FZN &amp; CHILL'!E568,"AAAAAH+VOys=")</f>
        <v>#VALUE!</v>
      </c>
      <c r="AS269" t="e">
        <f>AND('STERLING CATALOG - FZN &amp; CHILL'!F568,"AAAAAH+VOyw=")</f>
        <v>#VALUE!</v>
      </c>
      <c r="AT269" t="e">
        <f>AND('STERLING CATALOG - FZN &amp; CHILL'!G568,"AAAAAH+VOy0=")</f>
        <v>#VALUE!</v>
      </c>
      <c r="AU269" t="e">
        <f>AND('STERLING CATALOG - FZN &amp; CHILL'!H568,"AAAAAH+VOy4=")</f>
        <v>#VALUE!</v>
      </c>
      <c r="AV269" t="e">
        <f>AND('STERLING CATALOG - FZN &amp; CHILL'!I568,"AAAAAH+VOy8=")</f>
        <v>#VALUE!</v>
      </c>
      <c r="AW269" t="e">
        <f>AND('STERLING CATALOG - FZN &amp; CHILL'!J568,"AAAAAH+VOzA=")</f>
        <v>#VALUE!</v>
      </c>
      <c r="AX269">
        <f>IF('STERLING CATALOG - FZN &amp; CHILL'!569:569,"AAAAAH+VOzE=",0)</f>
        <v>0</v>
      </c>
      <c r="AY269" t="e">
        <f>AND('STERLING CATALOG - FZN &amp; CHILL'!A569,"AAAAAH+VOzI=")</f>
        <v>#VALUE!</v>
      </c>
      <c r="AZ269" t="e">
        <f>AND('STERLING CATALOG - FZN &amp; CHILL'!B569,"AAAAAH+VOzM=")</f>
        <v>#VALUE!</v>
      </c>
      <c r="BA269" t="e">
        <f>AND('STERLING CATALOG - FZN &amp; CHILL'!C569,"AAAAAH+VOzQ=")</f>
        <v>#VALUE!</v>
      </c>
      <c r="BB269" t="e">
        <f>AND('STERLING CATALOG - FZN &amp; CHILL'!D569,"AAAAAH+VOzU=")</f>
        <v>#VALUE!</v>
      </c>
      <c r="BC269" t="e">
        <f>AND('STERLING CATALOG - FZN &amp; CHILL'!E569,"AAAAAH+VOzY=")</f>
        <v>#VALUE!</v>
      </c>
      <c r="BD269" t="e">
        <f>AND('STERLING CATALOG - FZN &amp; CHILL'!F569,"AAAAAH+VOzc=")</f>
        <v>#VALUE!</v>
      </c>
      <c r="BE269" t="e">
        <f>AND('STERLING CATALOG - FZN &amp; CHILL'!G569,"AAAAAH+VOzg=")</f>
        <v>#VALUE!</v>
      </c>
      <c r="BF269" t="e">
        <f>AND('STERLING CATALOG - FZN &amp; CHILL'!H569,"AAAAAH+VOzk=")</f>
        <v>#VALUE!</v>
      </c>
      <c r="BG269" t="e">
        <f>AND('STERLING CATALOG - FZN &amp; CHILL'!I569,"AAAAAH+VOzo=")</f>
        <v>#VALUE!</v>
      </c>
      <c r="BH269" t="e">
        <f>AND('STERLING CATALOG - FZN &amp; CHILL'!J569,"AAAAAH+VOzs=")</f>
        <v>#VALUE!</v>
      </c>
      <c r="BI269">
        <f>IF('STERLING CATALOG - FZN &amp; CHILL'!570:570,"AAAAAH+VOzw=",0)</f>
        <v>0</v>
      </c>
      <c r="BJ269" t="e">
        <f>AND('STERLING CATALOG - FZN &amp; CHILL'!A570,"AAAAAH+VOz0=")</f>
        <v>#VALUE!</v>
      </c>
      <c r="BK269" t="e">
        <f>AND('STERLING CATALOG - FZN &amp; CHILL'!B570,"AAAAAH+VOz4=")</f>
        <v>#VALUE!</v>
      </c>
      <c r="BL269" t="e">
        <f>AND('STERLING CATALOG - FZN &amp; CHILL'!C570,"AAAAAH+VOz8=")</f>
        <v>#VALUE!</v>
      </c>
      <c r="BM269" t="e">
        <f>AND('STERLING CATALOG - FZN &amp; CHILL'!D570,"AAAAAH+VO0A=")</f>
        <v>#VALUE!</v>
      </c>
      <c r="BN269" t="e">
        <f>AND('STERLING CATALOG - FZN &amp; CHILL'!E570,"AAAAAH+VO0E=")</f>
        <v>#VALUE!</v>
      </c>
      <c r="BO269" t="e">
        <f>AND('STERLING CATALOG - FZN &amp; CHILL'!F570,"AAAAAH+VO0I=")</f>
        <v>#VALUE!</v>
      </c>
      <c r="BP269" t="e">
        <f>AND('STERLING CATALOG - FZN &amp; CHILL'!G570,"AAAAAH+VO0M=")</f>
        <v>#VALUE!</v>
      </c>
      <c r="BQ269" t="e">
        <f>AND('STERLING CATALOG - FZN &amp; CHILL'!H570,"AAAAAH+VO0Q=")</f>
        <v>#VALUE!</v>
      </c>
      <c r="BR269" t="e">
        <f>AND('STERLING CATALOG - FZN &amp; CHILL'!I570,"AAAAAH+VO0U=")</f>
        <v>#VALUE!</v>
      </c>
      <c r="BS269" t="e">
        <f>AND('STERLING CATALOG - FZN &amp; CHILL'!J570,"AAAAAH+VO0Y=")</f>
        <v>#VALUE!</v>
      </c>
      <c r="BT269">
        <f>IF('STERLING CATALOG - FZN &amp; CHILL'!571:571,"AAAAAH+VO0c=",0)</f>
        <v>0</v>
      </c>
      <c r="BU269" t="e">
        <f>AND('STERLING CATALOG - FZN &amp; CHILL'!A571,"AAAAAH+VO0g=")</f>
        <v>#VALUE!</v>
      </c>
      <c r="BV269" t="e">
        <f>AND('STERLING CATALOG - FZN &amp; CHILL'!B571,"AAAAAH+VO0k=")</f>
        <v>#VALUE!</v>
      </c>
      <c r="BW269" t="e">
        <f>AND('STERLING CATALOG - FZN &amp; CHILL'!C571,"AAAAAH+VO0o=")</f>
        <v>#VALUE!</v>
      </c>
      <c r="BX269" t="e">
        <f>AND('STERLING CATALOG - FZN &amp; CHILL'!D571,"AAAAAH+VO0s=")</f>
        <v>#VALUE!</v>
      </c>
      <c r="BY269" t="e">
        <f>AND('STERLING CATALOG - FZN &amp; CHILL'!E571,"AAAAAH+VO0w=")</f>
        <v>#VALUE!</v>
      </c>
      <c r="BZ269" t="e">
        <f>AND('STERLING CATALOG - FZN &amp; CHILL'!F571,"AAAAAH+VO00=")</f>
        <v>#VALUE!</v>
      </c>
      <c r="CA269" t="e">
        <f>AND('STERLING CATALOG - FZN &amp; CHILL'!G571,"AAAAAH+VO04=")</f>
        <v>#VALUE!</v>
      </c>
      <c r="CB269" t="e">
        <f>AND('STERLING CATALOG - FZN &amp; CHILL'!H571,"AAAAAH+VO08=")</f>
        <v>#VALUE!</v>
      </c>
      <c r="CC269" t="e">
        <f>AND('STERLING CATALOG - FZN &amp; CHILL'!I571,"AAAAAH+VO1A=")</f>
        <v>#VALUE!</v>
      </c>
      <c r="CD269" t="e">
        <f>AND('STERLING CATALOG - FZN &amp; CHILL'!J571,"AAAAAH+VO1E=")</f>
        <v>#VALUE!</v>
      </c>
      <c r="CE269">
        <f>IF('STERLING CATALOG - FZN &amp; CHILL'!572:572,"AAAAAH+VO1I=",0)</f>
        <v>0</v>
      </c>
      <c r="CF269" t="e">
        <f>AND('STERLING CATALOG - FZN &amp; CHILL'!A572,"AAAAAH+VO1M=")</f>
        <v>#VALUE!</v>
      </c>
      <c r="CG269" t="e">
        <f>AND('STERLING CATALOG - FZN &amp; CHILL'!B572,"AAAAAH+VO1Q=")</f>
        <v>#VALUE!</v>
      </c>
      <c r="CH269" t="e">
        <f>AND('STERLING CATALOG - FZN &amp; CHILL'!C572,"AAAAAH+VO1U=")</f>
        <v>#VALUE!</v>
      </c>
      <c r="CI269" t="e">
        <f>AND('STERLING CATALOG - FZN &amp; CHILL'!D572,"AAAAAH+VO1Y=")</f>
        <v>#VALUE!</v>
      </c>
      <c r="CJ269" t="e">
        <f>AND('STERLING CATALOG - FZN &amp; CHILL'!E572,"AAAAAH+VO1c=")</f>
        <v>#VALUE!</v>
      </c>
      <c r="CK269" t="e">
        <f>AND('STERLING CATALOG - FZN &amp; CHILL'!F572,"AAAAAH+VO1g=")</f>
        <v>#VALUE!</v>
      </c>
      <c r="CL269" t="e">
        <f>AND('STERLING CATALOG - FZN &amp; CHILL'!G572,"AAAAAH+VO1k=")</f>
        <v>#VALUE!</v>
      </c>
      <c r="CM269" t="e">
        <f>AND('STERLING CATALOG - FZN &amp; CHILL'!H572,"AAAAAH+VO1o=")</f>
        <v>#VALUE!</v>
      </c>
      <c r="CN269" t="e">
        <f>AND('STERLING CATALOG - FZN &amp; CHILL'!I572,"AAAAAH+VO1s=")</f>
        <v>#VALUE!</v>
      </c>
      <c r="CO269" t="e">
        <f>AND('STERLING CATALOG - FZN &amp; CHILL'!J572,"AAAAAH+VO1w=")</f>
        <v>#VALUE!</v>
      </c>
      <c r="CP269">
        <f>IF('STERLING CATALOG - FZN &amp; CHILL'!573:573,"AAAAAH+VO10=",0)</f>
        <v>0</v>
      </c>
      <c r="CQ269" t="e">
        <f>AND('STERLING CATALOG - FZN &amp; CHILL'!A573,"AAAAAH+VO14=")</f>
        <v>#VALUE!</v>
      </c>
      <c r="CR269" t="e">
        <f>AND('STERLING CATALOG - FZN &amp; CHILL'!B573,"AAAAAH+VO18=")</f>
        <v>#VALUE!</v>
      </c>
      <c r="CS269" t="e">
        <f>AND('STERLING CATALOG - FZN &amp; CHILL'!C573,"AAAAAH+VO2A=")</f>
        <v>#VALUE!</v>
      </c>
      <c r="CT269" t="e">
        <f>AND('STERLING CATALOG - FZN &amp; CHILL'!D573,"AAAAAH+VO2E=")</f>
        <v>#VALUE!</v>
      </c>
      <c r="CU269" t="e">
        <f>AND('STERLING CATALOG - FZN &amp; CHILL'!E573,"AAAAAH+VO2I=")</f>
        <v>#VALUE!</v>
      </c>
      <c r="CV269" t="e">
        <f>AND('STERLING CATALOG - FZN &amp; CHILL'!F573,"AAAAAH+VO2M=")</f>
        <v>#VALUE!</v>
      </c>
      <c r="CW269" t="e">
        <f>AND('STERLING CATALOG - FZN &amp; CHILL'!G573,"AAAAAH+VO2Q=")</f>
        <v>#VALUE!</v>
      </c>
      <c r="CX269" t="e">
        <f>AND('STERLING CATALOG - FZN &amp; CHILL'!H573,"AAAAAH+VO2U=")</f>
        <v>#VALUE!</v>
      </c>
      <c r="CY269" t="e">
        <f>AND('STERLING CATALOG - FZN &amp; CHILL'!I573,"AAAAAH+VO2Y=")</f>
        <v>#VALUE!</v>
      </c>
      <c r="CZ269" t="e">
        <f>AND('STERLING CATALOG - FZN &amp; CHILL'!J573,"AAAAAH+VO2c=")</f>
        <v>#VALUE!</v>
      </c>
      <c r="DA269">
        <f>IF('STERLING CATALOG - FZN &amp; CHILL'!574:574,"AAAAAH+VO2g=",0)</f>
        <v>0</v>
      </c>
      <c r="DB269" t="e">
        <f>AND('STERLING CATALOG - FZN &amp; CHILL'!A574,"AAAAAH+VO2k=")</f>
        <v>#VALUE!</v>
      </c>
      <c r="DC269" t="e">
        <f>AND('STERLING CATALOG - FZN &amp; CHILL'!B574,"AAAAAH+VO2o=")</f>
        <v>#VALUE!</v>
      </c>
      <c r="DD269" t="e">
        <f>AND('STERLING CATALOG - FZN &amp; CHILL'!C574,"AAAAAH+VO2s=")</f>
        <v>#VALUE!</v>
      </c>
      <c r="DE269" t="e">
        <f>AND('STERLING CATALOG - FZN &amp; CHILL'!D574,"AAAAAH+VO2w=")</f>
        <v>#VALUE!</v>
      </c>
      <c r="DF269" t="e">
        <f>AND('STERLING CATALOG - FZN &amp; CHILL'!E574,"AAAAAH+VO20=")</f>
        <v>#VALUE!</v>
      </c>
      <c r="DG269" t="e">
        <f>AND('STERLING CATALOG - FZN &amp; CHILL'!F574,"AAAAAH+VO24=")</f>
        <v>#VALUE!</v>
      </c>
      <c r="DH269" t="e">
        <f>AND('STERLING CATALOG - FZN &amp; CHILL'!G574,"AAAAAH+VO28=")</f>
        <v>#VALUE!</v>
      </c>
      <c r="DI269" t="e">
        <f>AND('STERLING CATALOG - FZN &amp; CHILL'!H574,"AAAAAH+VO3A=")</f>
        <v>#VALUE!</v>
      </c>
      <c r="DJ269" t="e">
        <f>AND('STERLING CATALOG - FZN &amp; CHILL'!I574,"AAAAAH+VO3E=")</f>
        <v>#VALUE!</v>
      </c>
      <c r="DK269" t="e">
        <f>AND('STERLING CATALOG - FZN &amp; CHILL'!J574,"AAAAAH+VO3I=")</f>
        <v>#VALUE!</v>
      </c>
      <c r="DL269">
        <f>IF('STERLING CATALOG - FZN &amp; CHILL'!575:575,"AAAAAH+VO3M=",0)</f>
        <v>0</v>
      </c>
      <c r="DM269" t="e">
        <f>AND('STERLING CATALOG - FZN &amp; CHILL'!A575,"AAAAAH+VO3Q=")</f>
        <v>#VALUE!</v>
      </c>
      <c r="DN269" t="e">
        <f>AND('STERLING CATALOG - FZN &amp; CHILL'!B575,"AAAAAH+VO3U=")</f>
        <v>#VALUE!</v>
      </c>
      <c r="DO269" t="e">
        <f>AND('STERLING CATALOG - FZN &amp; CHILL'!C575,"AAAAAH+VO3Y=")</f>
        <v>#VALUE!</v>
      </c>
      <c r="DP269" t="e">
        <f>AND('STERLING CATALOG - FZN &amp; CHILL'!D575,"AAAAAH+VO3c=")</f>
        <v>#VALUE!</v>
      </c>
      <c r="DQ269" t="e">
        <f>AND('STERLING CATALOG - FZN &amp; CHILL'!E575,"AAAAAH+VO3g=")</f>
        <v>#VALUE!</v>
      </c>
      <c r="DR269" t="e">
        <f>AND('STERLING CATALOG - FZN &amp; CHILL'!F575,"AAAAAH+VO3k=")</f>
        <v>#VALUE!</v>
      </c>
      <c r="DS269" t="e">
        <f>AND('STERLING CATALOG - FZN &amp; CHILL'!G575,"AAAAAH+VO3o=")</f>
        <v>#VALUE!</v>
      </c>
      <c r="DT269" t="e">
        <f>AND('STERLING CATALOG - FZN &amp; CHILL'!H575,"AAAAAH+VO3s=")</f>
        <v>#VALUE!</v>
      </c>
      <c r="DU269" t="e">
        <f>AND('STERLING CATALOG - FZN &amp; CHILL'!I575,"AAAAAH+VO3w=")</f>
        <v>#VALUE!</v>
      </c>
      <c r="DV269" t="e">
        <f>AND('STERLING CATALOG - FZN &amp; CHILL'!J575,"AAAAAH+VO30=")</f>
        <v>#VALUE!</v>
      </c>
      <c r="DW269">
        <f>IF('STERLING CATALOG - FZN &amp; CHILL'!576:576,"AAAAAH+VO34=",0)</f>
        <v>0</v>
      </c>
      <c r="DX269" t="e">
        <f>AND('STERLING CATALOG - FZN &amp; CHILL'!A576,"AAAAAH+VO38=")</f>
        <v>#VALUE!</v>
      </c>
      <c r="DY269" t="e">
        <f>AND('STERLING CATALOG - FZN &amp; CHILL'!B576,"AAAAAH+VO4A=")</f>
        <v>#VALUE!</v>
      </c>
      <c r="DZ269" t="e">
        <f>AND('STERLING CATALOG - FZN &amp; CHILL'!C576,"AAAAAH+VO4E=")</f>
        <v>#VALUE!</v>
      </c>
      <c r="EA269" t="e">
        <f>AND('STERLING CATALOG - FZN &amp; CHILL'!D576,"AAAAAH+VO4I=")</f>
        <v>#VALUE!</v>
      </c>
      <c r="EB269" t="e">
        <f>AND('STERLING CATALOG - FZN &amp; CHILL'!E576,"AAAAAH+VO4M=")</f>
        <v>#VALUE!</v>
      </c>
      <c r="EC269" t="e">
        <f>AND('STERLING CATALOG - FZN &amp; CHILL'!F576,"AAAAAH+VO4Q=")</f>
        <v>#VALUE!</v>
      </c>
      <c r="ED269" t="e">
        <f>AND('STERLING CATALOG - FZN &amp; CHILL'!G576,"AAAAAH+VO4U=")</f>
        <v>#VALUE!</v>
      </c>
      <c r="EE269" t="e">
        <f>AND('STERLING CATALOG - FZN &amp; CHILL'!H576,"AAAAAH+VO4Y=")</f>
        <v>#VALUE!</v>
      </c>
      <c r="EF269" t="e">
        <f>AND('STERLING CATALOG - FZN &amp; CHILL'!I576,"AAAAAH+VO4c=")</f>
        <v>#VALUE!</v>
      </c>
      <c r="EG269" t="e">
        <f>AND('STERLING CATALOG - FZN &amp; CHILL'!J576,"AAAAAH+VO4g=")</f>
        <v>#VALUE!</v>
      </c>
      <c r="EH269">
        <f>IF('STERLING CATALOG - FZN &amp; CHILL'!577:577,"AAAAAH+VO4k=",0)</f>
        <v>0</v>
      </c>
      <c r="EI269" t="e">
        <f>AND('STERLING CATALOG - FZN &amp; CHILL'!A577,"AAAAAH+VO4o=")</f>
        <v>#VALUE!</v>
      </c>
      <c r="EJ269" t="e">
        <f>AND('STERLING CATALOG - FZN &amp; CHILL'!B577,"AAAAAH+VO4s=")</f>
        <v>#VALUE!</v>
      </c>
      <c r="EK269" t="e">
        <f>AND('STERLING CATALOG - FZN &amp; CHILL'!C577,"AAAAAH+VO4w=")</f>
        <v>#VALUE!</v>
      </c>
      <c r="EL269" t="e">
        <f>AND('STERLING CATALOG - FZN &amp; CHILL'!D577,"AAAAAH+VO40=")</f>
        <v>#VALUE!</v>
      </c>
      <c r="EM269" t="e">
        <f>AND('STERLING CATALOG - FZN &amp; CHILL'!E577,"AAAAAH+VO44=")</f>
        <v>#VALUE!</v>
      </c>
      <c r="EN269" t="e">
        <f>AND('STERLING CATALOG - FZN &amp; CHILL'!F577,"AAAAAH+VO48=")</f>
        <v>#VALUE!</v>
      </c>
      <c r="EO269" t="e">
        <f>AND('STERLING CATALOG - FZN &amp; CHILL'!G577,"AAAAAH+VO5A=")</f>
        <v>#VALUE!</v>
      </c>
      <c r="EP269" t="e">
        <f>AND('STERLING CATALOG - FZN &amp; CHILL'!H577,"AAAAAH+VO5E=")</f>
        <v>#VALUE!</v>
      </c>
      <c r="EQ269" t="e">
        <f>AND('STERLING CATALOG - FZN &amp; CHILL'!I577,"AAAAAH+VO5I=")</f>
        <v>#VALUE!</v>
      </c>
      <c r="ER269" t="e">
        <f>AND('STERLING CATALOG - FZN &amp; CHILL'!J577,"AAAAAH+VO5M=")</f>
        <v>#VALUE!</v>
      </c>
      <c r="ES269">
        <f>IF('STERLING CATALOG - FZN &amp; CHILL'!578:578,"AAAAAH+VO5Q=",0)</f>
        <v>0</v>
      </c>
      <c r="ET269" t="e">
        <f>AND('STERLING CATALOG - FZN &amp; CHILL'!A578,"AAAAAH+VO5U=")</f>
        <v>#VALUE!</v>
      </c>
      <c r="EU269" t="e">
        <f>AND('STERLING CATALOG - FZN &amp; CHILL'!B578,"AAAAAH+VO5Y=")</f>
        <v>#VALUE!</v>
      </c>
      <c r="EV269" t="e">
        <f>AND('STERLING CATALOG - FZN &amp; CHILL'!C578,"AAAAAH+VO5c=")</f>
        <v>#VALUE!</v>
      </c>
      <c r="EW269" t="e">
        <f>AND('STERLING CATALOG - FZN &amp; CHILL'!D578,"AAAAAH+VO5g=")</f>
        <v>#VALUE!</v>
      </c>
      <c r="EX269" t="e">
        <f>AND('STERLING CATALOG - FZN &amp; CHILL'!E578,"AAAAAH+VO5k=")</f>
        <v>#VALUE!</v>
      </c>
      <c r="EY269" t="e">
        <f>AND('STERLING CATALOG - FZN &amp; CHILL'!F578,"AAAAAH+VO5o=")</f>
        <v>#VALUE!</v>
      </c>
      <c r="EZ269" t="e">
        <f>AND('STERLING CATALOG - FZN &amp; CHILL'!G578,"AAAAAH+VO5s=")</f>
        <v>#VALUE!</v>
      </c>
      <c r="FA269" t="e">
        <f>AND('STERLING CATALOG - FZN &amp; CHILL'!H578,"AAAAAH+VO5w=")</f>
        <v>#VALUE!</v>
      </c>
      <c r="FB269" t="e">
        <f>AND('STERLING CATALOG - FZN &amp; CHILL'!I578,"AAAAAH+VO50=")</f>
        <v>#VALUE!</v>
      </c>
      <c r="FC269" t="e">
        <f>AND('STERLING CATALOG - FZN &amp; CHILL'!J578,"AAAAAH+VO54=")</f>
        <v>#VALUE!</v>
      </c>
      <c r="FD269">
        <f>IF('STERLING CATALOG - FZN &amp; CHILL'!579:579,"AAAAAH+VO58=",0)</f>
        <v>0</v>
      </c>
      <c r="FE269" t="e">
        <f>AND('STERLING CATALOG - FZN &amp; CHILL'!A579,"AAAAAH+VO6A=")</f>
        <v>#VALUE!</v>
      </c>
      <c r="FF269" t="e">
        <f>AND('STERLING CATALOG - FZN &amp; CHILL'!B579,"AAAAAH+VO6E=")</f>
        <v>#VALUE!</v>
      </c>
      <c r="FG269" t="e">
        <f>AND('STERLING CATALOG - FZN &amp; CHILL'!C579,"AAAAAH+VO6I=")</f>
        <v>#VALUE!</v>
      </c>
      <c r="FH269" t="e">
        <f>AND('STERLING CATALOG - FZN &amp; CHILL'!D579,"AAAAAH+VO6M=")</f>
        <v>#VALUE!</v>
      </c>
      <c r="FI269" t="e">
        <f>AND('STERLING CATALOG - FZN &amp; CHILL'!E579,"AAAAAH+VO6Q=")</f>
        <v>#VALUE!</v>
      </c>
      <c r="FJ269" t="e">
        <f>AND('STERLING CATALOG - FZN &amp; CHILL'!F579,"AAAAAH+VO6U=")</f>
        <v>#VALUE!</v>
      </c>
      <c r="FK269" t="e">
        <f>AND('STERLING CATALOG - FZN &amp; CHILL'!G579,"AAAAAH+VO6Y=")</f>
        <v>#VALUE!</v>
      </c>
      <c r="FL269" t="e">
        <f>AND('STERLING CATALOG - FZN &amp; CHILL'!H579,"AAAAAH+VO6c=")</f>
        <v>#VALUE!</v>
      </c>
      <c r="FM269" t="e">
        <f>AND('STERLING CATALOG - FZN &amp; CHILL'!I579,"AAAAAH+VO6g=")</f>
        <v>#VALUE!</v>
      </c>
      <c r="FN269" t="e">
        <f>AND('STERLING CATALOG - FZN &amp; CHILL'!J579,"AAAAAH+VO6k=")</f>
        <v>#VALUE!</v>
      </c>
      <c r="FO269">
        <f>IF('STERLING CATALOG - FZN &amp; CHILL'!580:580,"AAAAAH+VO6o=",0)</f>
        <v>0</v>
      </c>
      <c r="FP269" t="e">
        <f>AND('STERLING CATALOG - FZN &amp; CHILL'!A580,"AAAAAH+VO6s=")</f>
        <v>#VALUE!</v>
      </c>
      <c r="FQ269" t="e">
        <f>AND('STERLING CATALOG - FZN &amp; CHILL'!B580,"AAAAAH+VO6w=")</f>
        <v>#VALUE!</v>
      </c>
      <c r="FR269" t="e">
        <f>AND('STERLING CATALOG - FZN &amp; CHILL'!C580,"AAAAAH+VO60=")</f>
        <v>#VALUE!</v>
      </c>
      <c r="FS269" t="e">
        <f>AND('STERLING CATALOG - FZN &amp; CHILL'!D580,"AAAAAH+VO64=")</f>
        <v>#VALUE!</v>
      </c>
      <c r="FT269" t="e">
        <f>AND('STERLING CATALOG - FZN &amp; CHILL'!E580,"AAAAAH+VO68=")</f>
        <v>#VALUE!</v>
      </c>
      <c r="FU269" t="e">
        <f>AND('STERLING CATALOG - FZN &amp; CHILL'!F580,"AAAAAH+VO7A=")</f>
        <v>#VALUE!</v>
      </c>
      <c r="FV269" t="e">
        <f>AND('STERLING CATALOG - FZN &amp; CHILL'!G580,"AAAAAH+VO7E=")</f>
        <v>#VALUE!</v>
      </c>
      <c r="FW269" t="e">
        <f>AND('STERLING CATALOG - FZN &amp; CHILL'!H580,"AAAAAH+VO7I=")</f>
        <v>#VALUE!</v>
      </c>
      <c r="FX269" t="e">
        <f>AND('STERLING CATALOG - FZN &amp; CHILL'!I580,"AAAAAH+VO7M=")</f>
        <v>#VALUE!</v>
      </c>
      <c r="FY269" t="e">
        <f>AND('STERLING CATALOG - FZN &amp; CHILL'!J580,"AAAAAH+VO7Q=")</f>
        <v>#VALUE!</v>
      </c>
      <c r="FZ269">
        <f>IF('STERLING CATALOG - FZN &amp; CHILL'!581:581,"AAAAAH+VO7U=",0)</f>
        <v>0</v>
      </c>
      <c r="GA269" t="e">
        <f>AND('STERLING CATALOG - FZN &amp; CHILL'!A581,"AAAAAH+VO7Y=")</f>
        <v>#VALUE!</v>
      </c>
      <c r="GB269" t="e">
        <f>AND('STERLING CATALOG - FZN &amp; CHILL'!B581,"AAAAAH+VO7c=")</f>
        <v>#VALUE!</v>
      </c>
      <c r="GC269" t="e">
        <f>AND('STERLING CATALOG - FZN &amp; CHILL'!C581,"AAAAAH+VO7g=")</f>
        <v>#VALUE!</v>
      </c>
      <c r="GD269" t="e">
        <f>AND('STERLING CATALOG - FZN &amp; CHILL'!D581,"AAAAAH+VO7k=")</f>
        <v>#VALUE!</v>
      </c>
      <c r="GE269" t="e">
        <f>AND('STERLING CATALOG - FZN &amp; CHILL'!E581,"AAAAAH+VO7o=")</f>
        <v>#VALUE!</v>
      </c>
      <c r="GF269" t="e">
        <f>AND('STERLING CATALOG - FZN &amp; CHILL'!F581,"AAAAAH+VO7s=")</f>
        <v>#VALUE!</v>
      </c>
      <c r="GG269" t="e">
        <f>AND('STERLING CATALOG - FZN &amp; CHILL'!G581,"AAAAAH+VO7w=")</f>
        <v>#VALUE!</v>
      </c>
      <c r="GH269" t="e">
        <f>AND('STERLING CATALOG - FZN &amp; CHILL'!H581,"AAAAAH+VO70=")</f>
        <v>#VALUE!</v>
      </c>
      <c r="GI269" t="e">
        <f>AND('STERLING CATALOG - FZN &amp; CHILL'!I581,"AAAAAH+VO74=")</f>
        <v>#VALUE!</v>
      </c>
      <c r="GJ269" t="e">
        <f>AND('STERLING CATALOG - FZN &amp; CHILL'!J581,"AAAAAH+VO78=")</f>
        <v>#VALUE!</v>
      </c>
      <c r="GK269">
        <f>IF('STERLING CATALOG - FZN &amp; CHILL'!582:582,"AAAAAH+VO8A=",0)</f>
        <v>0</v>
      </c>
      <c r="GL269" t="e">
        <f>AND('STERLING CATALOG - FZN &amp; CHILL'!A582,"AAAAAH+VO8E=")</f>
        <v>#VALUE!</v>
      </c>
      <c r="GM269" t="e">
        <f>AND('STERLING CATALOG - FZN &amp; CHILL'!B582,"AAAAAH+VO8I=")</f>
        <v>#VALUE!</v>
      </c>
      <c r="GN269" t="e">
        <f>AND('STERLING CATALOG - FZN &amp; CHILL'!C582,"AAAAAH+VO8M=")</f>
        <v>#VALUE!</v>
      </c>
      <c r="GO269" t="e">
        <f>AND('STERLING CATALOG - FZN &amp; CHILL'!D582,"AAAAAH+VO8Q=")</f>
        <v>#VALUE!</v>
      </c>
      <c r="GP269" t="e">
        <f>AND('STERLING CATALOG - FZN &amp; CHILL'!E582,"AAAAAH+VO8U=")</f>
        <v>#VALUE!</v>
      </c>
      <c r="GQ269" t="e">
        <f>AND('STERLING CATALOG - FZN &amp; CHILL'!F582,"AAAAAH+VO8Y=")</f>
        <v>#VALUE!</v>
      </c>
      <c r="GR269" t="e">
        <f>AND('STERLING CATALOG - FZN &amp; CHILL'!G582,"AAAAAH+VO8c=")</f>
        <v>#VALUE!</v>
      </c>
      <c r="GS269" t="e">
        <f>AND('STERLING CATALOG - FZN &amp; CHILL'!H582,"AAAAAH+VO8g=")</f>
        <v>#VALUE!</v>
      </c>
      <c r="GT269" t="e">
        <f>AND('STERLING CATALOG - FZN &amp; CHILL'!I582,"AAAAAH+VO8k=")</f>
        <v>#VALUE!</v>
      </c>
      <c r="GU269" t="e">
        <f>AND('STERLING CATALOG - FZN &amp; CHILL'!J582,"AAAAAH+VO8o=")</f>
        <v>#VALUE!</v>
      </c>
      <c r="GV269">
        <f>IF('STERLING CATALOG - FZN &amp; CHILL'!583:583,"AAAAAH+VO8s=",0)</f>
        <v>0</v>
      </c>
      <c r="GW269" t="e">
        <f>AND('STERLING CATALOG - FZN &amp; CHILL'!A583,"AAAAAH+VO8w=")</f>
        <v>#VALUE!</v>
      </c>
      <c r="GX269" t="e">
        <f>AND('STERLING CATALOG - FZN &amp; CHILL'!B583,"AAAAAH+VO80=")</f>
        <v>#VALUE!</v>
      </c>
      <c r="GY269" t="e">
        <f>AND('STERLING CATALOG - FZN &amp; CHILL'!C583,"AAAAAH+VO84=")</f>
        <v>#VALUE!</v>
      </c>
      <c r="GZ269" t="e">
        <f>AND('STERLING CATALOG - FZN &amp; CHILL'!D583,"AAAAAH+VO88=")</f>
        <v>#VALUE!</v>
      </c>
      <c r="HA269" t="e">
        <f>AND('STERLING CATALOG - FZN &amp; CHILL'!E583,"AAAAAH+VO9A=")</f>
        <v>#VALUE!</v>
      </c>
      <c r="HB269" t="e">
        <f>AND('STERLING CATALOG - FZN &amp; CHILL'!F583,"AAAAAH+VO9E=")</f>
        <v>#VALUE!</v>
      </c>
      <c r="HC269" t="e">
        <f>AND('STERLING CATALOG - FZN &amp; CHILL'!G583,"AAAAAH+VO9I=")</f>
        <v>#VALUE!</v>
      </c>
      <c r="HD269" t="e">
        <f>AND('STERLING CATALOG - FZN &amp; CHILL'!H583,"AAAAAH+VO9M=")</f>
        <v>#VALUE!</v>
      </c>
      <c r="HE269" t="e">
        <f>AND('STERLING CATALOG - FZN &amp; CHILL'!I583,"AAAAAH+VO9Q=")</f>
        <v>#VALUE!</v>
      </c>
      <c r="HF269" t="e">
        <f>AND('STERLING CATALOG - FZN &amp; CHILL'!J583,"AAAAAH+VO9U=")</f>
        <v>#VALUE!</v>
      </c>
      <c r="HG269">
        <f>IF('STERLING CATALOG - FZN &amp; CHILL'!584:584,"AAAAAH+VO9Y=",0)</f>
        <v>0</v>
      </c>
      <c r="HH269" t="e">
        <f>AND('STERLING CATALOG - FZN &amp; CHILL'!A584,"AAAAAH+VO9c=")</f>
        <v>#VALUE!</v>
      </c>
      <c r="HI269" t="e">
        <f>AND('STERLING CATALOG - FZN &amp; CHILL'!B584,"AAAAAH+VO9g=")</f>
        <v>#VALUE!</v>
      </c>
      <c r="HJ269" t="e">
        <f>AND('STERLING CATALOG - FZN &amp; CHILL'!C584,"AAAAAH+VO9k=")</f>
        <v>#VALUE!</v>
      </c>
      <c r="HK269" t="e">
        <f>AND('STERLING CATALOG - FZN &amp; CHILL'!D584,"AAAAAH+VO9o=")</f>
        <v>#VALUE!</v>
      </c>
      <c r="HL269" t="e">
        <f>AND('STERLING CATALOG - FZN &amp; CHILL'!E584,"AAAAAH+VO9s=")</f>
        <v>#VALUE!</v>
      </c>
      <c r="HM269" t="e">
        <f>AND('STERLING CATALOG - FZN &amp; CHILL'!F584,"AAAAAH+VO9w=")</f>
        <v>#VALUE!</v>
      </c>
      <c r="HN269" t="e">
        <f>AND('STERLING CATALOG - FZN &amp; CHILL'!G584,"AAAAAH+VO90=")</f>
        <v>#VALUE!</v>
      </c>
      <c r="HO269" t="e">
        <f>AND('STERLING CATALOG - FZN &amp; CHILL'!H584,"AAAAAH+VO94=")</f>
        <v>#VALUE!</v>
      </c>
      <c r="HP269" t="e">
        <f>AND('STERLING CATALOG - FZN &amp; CHILL'!I584,"AAAAAH+VO98=")</f>
        <v>#VALUE!</v>
      </c>
      <c r="HQ269" t="e">
        <f>AND('STERLING CATALOG - FZN &amp; CHILL'!J584,"AAAAAH+VO+A=")</f>
        <v>#VALUE!</v>
      </c>
      <c r="HR269">
        <f>IF('STERLING CATALOG - FZN &amp; CHILL'!585:585,"AAAAAH+VO+E=",0)</f>
        <v>0</v>
      </c>
      <c r="HS269" t="e">
        <f>AND('STERLING CATALOG - FZN &amp; CHILL'!A585,"AAAAAH+VO+I=")</f>
        <v>#VALUE!</v>
      </c>
      <c r="HT269" t="e">
        <f>AND('STERLING CATALOG - FZN &amp; CHILL'!B585,"AAAAAH+VO+M=")</f>
        <v>#VALUE!</v>
      </c>
      <c r="HU269" t="e">
        <f>AND('STERLING CATALOG - FZN &amp; CHILL'!C585,"AAAAAH+VO+Q=")</f>
        <v>#VALUE!</v>
      </c>
      <c r="HV269" t="e">
        <f>AND('STERLING CATALOG - FZN &amp; CHILL'!D585,"AAAAAH+VO+U=")</f>
        <v>#VALUE!</v>
      </c>
      <c r="HW269" t="e">
        <f>AND('STERLING CATALOG - FZN &amp; CHILL'!E585,"AAAAAH+VO+Y=")</f>
        <v>#VALUE!</v>
      </c>
      <c r="HX269" t="e">
        <f>AND('STERLING CATALOG - FZN &amp; CHILL'!F585,"AAAAAH+VO+c=")</f>
        <v>#VALUE!</v>
      </c>
      <c r="HY269" t="e">
        <f>AND('STERLING CATALOG - FZN &amp; CHILL'!G585,"AAAAAH+VO+g=")</f>
        <v>#VALUE!</v>
      </c>
      <c r="HZ269" t="e">
        <f>AND('STERLING CATALOG - FZN &amp; CHILL'!H585,"AAAAAH+VO+k=")</f>
        <v>#VALUE!</v>
      </c>
      <c r="IA269" t="e">
        <f>AND('STERLING CATALOG - FZN &amp; CHILL'!I585,"AAAAAH+VO+o=")</f>
        <v>#VALUE!</v>
      </c>
      <c r="IB269" t="e">
        <f>AND('STERLING CATALOG - FZN &amp; CHILL'!J585,"AAAAAH+VO+s=")</f>
        <v>#VALUE!</v>
      </c>
      <c r="IC269">
        <f>IF('STERLING CATALOG - FZN &amp; CHILL'!586:586,"AAAAAH+VO+w=",0)</f>
        <v>0</v>
      </c>
      <c r="ID269" t="e">
        <f>AND('STERLING CATALOG - FZN &amp; CHILL'!A586,"AAAAAH+VO+0=")</f>
        <v>#VALUE!</v>
      </c>
      <c r="IE269" t="e">
        <f>AND('STERLING CATALOG - FZN &amp; CHILL'!B586,"AAAAAH+VO+4=")</f>
        <v>#VALUE!</v>
      </c>
      <c r="IF269" t="e">
        <f>AND('STERLING CATALOG - FZN &amp; CHILL'!C586,"AAAAAH+VO+8=")</f>
        <v>#VALUE!</v>
      </c>
      <c r="IG269" t="e">
        <f>AND('STERLING CATALOG - FZN &amp; CHILL'!D586,"AAAAAH+VO/A=")</f>
        <v>#VALUE!</v>
      </c>
      <c r="IH269" t="e">
        <f>AND('STERLING CATALOG - FZN &amp; CHILL'!E586,"AAAAAH+VO/E=")</f>
        <v>#VALUE!</v>
      </c>
      <c r="II269" t="e">
        <f>AND('STERLING CATALOG - FZN &amp; CHILL'!F586,"AAAAAH+VO/I=")</f>
        <v>#VALUE!</v>
      </c>
      <c r="IJ269" t="e">
        <f>AND('STERLING CATALOG - FZN &amp; CHILL'!G586,"AAAAAH+VO/M=")</f>
        <v>#VALUE!</v>
      </c>
      <c r="IK269" t="e">
        <f>AND('STERLING CATALOG - FZN &amp; CHILL'!H586,"AAAAAH+VO/Q=")</f>
        <v>#VALUE!</v>
      </c>
      <c r="IL269" t="e">
        <f>AND('STERLING CATALOG - FZN &amp; CHILL'!I586,"AAAAAH+VO/U=")</f>
        <v>#VALUE!</v>
      </c>
      <c r="IM269" t="e">
        <f>AND('STERLING CATALOG - FZN &amp; CHILL'!J586,"AAAAAH+VO/Y=")</f>
        <v>#VALUE!</v>
      </c>
      <c r="IN269">
        <f>IF('STERLING CATALOG - FZN &amp; CHILL'!587:587,"AAAAAH+VO/c=",0)</f>
        <v>0</v>
      </c>
      <c r="IO269" t="e">
        <f>AND('STERLING CATALOG - FZN &amp; CHILL'!A587,"AAAAAH+VO/g=")</f>
        <v>#VALUE!</v>
      </c>
      <c r="IP269" t="e">
        <f>AND('STERLING CATALOG - FZN &amp; CHILL'!B587,"AAAAAH+VO/k=")</f>
        <v>#VALUE!</v>
      </c>
      <c r="IQ269" t="e">
        <f>AND('STERLING CATALOG - FZN &amp; CHILL'!C587,"AAAAAH+VO/o=")</f>
        <v>#VALUE!</v>
      </c>
      <c r="IR269" t="e">
        <f>AND('STERLING CATALOG - FZN &amp; CHILL'!D587,"AAAAAH+VO/s=")</f>
        <v>#VALUE!</v>
      </c>
      <c r="IS269" t="e">
        <f>AND('STERLING CATALOG - FZN &amp; CHILL'!E587,"AAAAAH+VO/w=")</f>
        <v>#VALUE!</v>
      </c>
      <c r="IT269" t="e">
        <f>AND('STERLING CATALOG - FZN &amp; CHILL'!F587,"AAAAAH+VO/0=")</f>
        <v>#VALUE!</v>
      </c>
      <c r="IU269" t="e">
        <f>AND('STERLING CATALOG - FZN &amp; CHILL'!G587,"AAAAAH+VO/4=")</f>
        <v>#VALUE!</v>
      </c>
      <c r="IV269" t="e">
        <f>AND('STERLING CATALOG - FZN &amp; CHILL'!H587,"AAAAAH+VO/8=")</f>
        <v>#VALUE!</v>
      </c>
    </row>
    <row r="270" spans="1:256">
      <c r="A270" t="e">
        <f>AND('STERLING CATALOG - FZN &amp; CHILL'!I587,"AAAAAH23/wA=")</f>
        <v>#VALUE!</v>
      </c>
      <c r="B270" t="e">
        <f>AND('STERLING CATALOG - FZN &amp; CHILL'!J587,"AAAAAH23/wE=")</f>
        <v>#VALUE!</v>
      </c>
      <c r="C270" t="str">
        <f>IF('STERLING CATALOG - FZN &amp; CHILL'!588:588,"AAAAAH23/wI=",0)</f>
        <v>AAAAAH23/wI=</v>
      </c>
      <c r="D270" t="e">
        <f>AND('STERLING CATALOG - FZN &amp; CHILL'!A588,"AAAAAH23/wM=")</f>
        <v>#VALUE!</v>
      </c>
      <c r="E270" t="e">
        <f>AND('STERLING CATALOG - FZN &amp; CHILL'!B588,"AAAAAH23/wQ=")</f>
        <v>#VALUE!</v>
      </c>
      <c r="F270" t="e">
        <f>AND('STERLING CATALOG - FZN &amp; CHILL'!C588,"AAAAAH23/wU=")</f>
        <v>#VALUE!</v>
      </c>
      <c r="G270" t="e">
        <f>AND('STERLING CATALOG - FZN &amp; CHILL'!D588,"AAAAAH23/wY=")</f>
        <v>#VALUE!</v>
      </c>
      <c r="H270" t="e">
        <f>AND('STERLING CATALOG - FZN &amp; CHILL'!E588,"AAAAAH23/wc=")</f>
        <v>#VALUE!</v>
      </c>
      <c r="I270" t="e">
        <f>AND('STERLING CATALOG - FZN &amp; CHILL'!F588,"AAAAAH23/wg=")</f>
        <v>#VALUE!</v>
      </c>
      <c r="J270" t="e">
        <f>AND('STERLING CATALOG - FZN &amp; CHILL'!G588,"AAAAAH23/wk=")</f>
        <v>#VALUE!</v>
      </c>
      <c r="K270" t="e">
        <f>AND('STERLING CATALOG - FZN &amp; CHILL'!H588,"AAAAAH23/wo=")</f>
        <v>#VALUE!</v>
      </c>
      <c r="L270" t="e">
        <f>AND('STERLING CATALOG - FZN &amp; CHILL'!I588,"AAAAAH23/ws=")</f>
        <v>#VALUE!</v>
      </c>
      <c r="M270" t="e">
        <f>AND('STERLING CATALOG - FZN &amp; CHILL'!J588,"AAAAAH23/ww=")</f>
        <v>#VALUE!</v>
      </c>
      <c r="N270">
        <f>IF('STERLING CATALOG - FZN &amp; CHILL'!589:589,"AAAAAH23/w0=",0)</f>
        <v>0</v>
      </c>
      <c r="O270" t="e">
        <f>AND('STERLING CATALOG - FZN &amp; CHILL'!A589,"AAAAAH23/w4=")</f>
        <v>#VALUE!</v>
      </c>
      <c r="P270" t="e">
        <f>AND('STERLING CATALOG - FZN &amp; CHILL'!B589,"AAAAAH23/w8=")</f>
        <v>#VALUE!</v>
      </c>
      <c r="Q270" t="e">
        <f>AND('STERLING CATALOG - FZN &amp; CHILL'!C589,"AAAAAH23/xA=")</f>
        <v>#VALUE!</v>
      </c>
      <c r="R270" t="e">
        <f>AND('STERLING CATALOG - FZN &amp; CHILL'!D589,"AAAAAH23/xE=")</f>
        <v>#VALUE!</v>
      </c>
      <c r="S270" t="e">
        <f>AND('STERLING CATALOG - FZN &amp; CHILL'!E589,"AAAAAH23/xI=")</f>
        <v>#VALUE!</v>
      </c>
      <c r="T270" t="e">
        <f>AND('STERLING CATALOG - FZN &amp; CHILL'!F589,"AAAAAH23/xM=")</f>
        <v>#VALUE!</v>
      </c>
      <c r="U270" t="e">
        <f>AND('STERLING CATALOG - FZN &amp; CHILL'!G589,"AAAAAH23/xQ=")</f>
        <v>#VALUE!</v>
      </c>
      <c r="V270" t="e">
        <f>AND('STERLING CATALOG - FZN &amp; CHILL'!H589,"AAAAAH23/xU=")</f>
        <v>#VALUE!</v>
      </c>
      <c r="W270" t="e">
        <f>AND('STERLING CATALOG - FZN &amp; CHILL'!I589,"AAAAAH23/xY=")</f>
        <v>#VALUE!</v>
      </c>
      <c r="X270" t="e">
        <f>AND('STERLING CATALOG - FZN &amp; CHILL'!J589,"AAAAAH23/xc=")</f>
        <v>#VALUE!</v>
      </c>
      <c r="Y270">
        <f>IF('STERLING CATALOG - FZN &amp; CHILL'!590:590,"AAAAAH23/xg=",0)</f>
        <v>0</v>
      </c>
      <c r="Z270" t="e">
        <f>AND('STERLING CATALOG - FZN &amp; CHILL'!A590,"AAAAAH23/xk=")</f>
        <v>#VALUE!</v>
      </c>
      <c r="AA270" t="e">
        <f>AND('STERLING CATALOG - FZN &amp; CHILL'!B590,"AAAAAH23/xo=")</f>
        <v>#VALUE!</v>
      </c>
      <c r="AB270" t="e">
        <f>AND('STERLING CATALOG - FZN &amp; CHILL'!C590,"AAAAAH23/xs=")</f>
        <v>#VALUE!</v>
      </c>
      <c r="AC270" t="e">
        <f>AND('STERLING CATALOG - FZN &amp; CHILL'!D590,"AAAAAH23/xw=")</f>
        <v>#VALUE!</v>
      </c>
      <c r="AD270" t="e">
        <f>AND('STERLING CATALOG - FZN &amp; CHILL'!E590,"AAAAAH23/x0=")</f>
        <v>#VALUE!</v>
      </c>
      <c r="AE270" t="e">
        <f>AND('STERLING CATALOG - FZN &amp; CHILL'!F590,"AAAAAH23/x4=")</f>
        <v>#VALUE!</v>
      </c>
      <c r="AF270" t="e">
        <f>AND('STERLING CATALOG - FZN &amp; CHILL'!G590,"AAAAAH23/x8=")</f>
        <v>#VALUE!</v>
      </c>
      <c r="AG270" t="e">
        <f>AND('STERLING CATALOG - FZN &amp; CHILL'!H590,"AAAAAH23/yA=")</f>
        <v>#VALUE!</v>
      </c>
      <c r="AH270" t="e">
        <f>AND('STERLING CATALOG - FZN &amp; CHILL'!I590,"AAAAAH23/yE=")</f>
        <v>#VALUE!</v>
      </c>
      <c r="AI270" t="e">
        <f>AND('STERLING CATALOG - FZN &amp; CHILL'!J590,"AAAAAH23/yI=")</f>
        <v>#VALUE!</v>
      </c>
      <c r="AJ270">
        <f>IF('STERLING CATALOG - FZN &amp; CHILL'!591:591,"AAAAAH23/yM=",0)</f>
        <v>0</v>
      </c>
      <c r="AK270" t="e">
        <f>AND('STERLING CATALOG - FZN &amp; CHILL'!A591,"AAAAAH23/yQ=")</f>
        <v>#VALUE!</v>
      </c>
      <c r="AL270" t="e">
        <f>AND('STERLING CATALOG - FZN &amp; CHILL'!B591,"AAAAAH23/yU=")</f>
        <v>#VALUE!</v>
      </c>
      <c r="AM270" t="e">
        <f>AND('STERLING CATALOG - FZN &amp; CHILL'!C591,"AAAAAH23/yY=")</f>
        <v>#VALUE!</v>
      </c>
      <c r="AN270" t="e">
        <f>AND('STERLING CATALOG - FZN &amp; CHILL'!D591,"AAAAAH23/yc=")</f>
        <v>#VALUE!</v>
      </c>
      <c r="AO270" t="e">
        <f>AND('STERLING CATALOG - FZN &amp; CHILL'!E591,"AAAAAH23/yg=")</f>
        <v>#VALUE!</v>
      </c>
      <c r="AP270" t="e">
        <f>AND('STERLING CATALOG - FZN &amp; CHILL'!F591,"AAAAAH23/yk=")</f>
        <v>#VALUE!</v>
      </c>
      <c r="AQ270" t="e">
        <f>AND('STERLING CATALOG - FZN &amp; CHILL'!G591,"AAAAAH23/yo=")</f>
        <v>#VALUE!</v>
      </c>
      <c r="AR270" t="e">
        <f>AND('STERLING CATALOG - FZN &amp; CHILL'!H591,"AAAAAH23/ys=")</f>
        <v>#VALUE!</v>
      </c>
      <c r="AS270" t="e">
        <f>AND('STERLING CATALOG - FZN &amp; CHILL'!I591,"AAAAAH23/yw=")</f>
        <v>#VALUE!</v>
      </c>
      <c r="AT270" t="e">
        <f>AND('STERLING CATALOG - FZN &amp; CHILL'!J591,"AAAAAH23/y0=")</f>
        <v>#VALUE!</v>
      </c>
      <c r="AU270">
        <f>IF('STERLING CATALOG - FZN &amp; CHILL'!592:592,"AAAAAH23/y4=",0)</f>
        <v>0</v>
      </c>
      <c r="AV270" t="e">
        <f>AND('STERLING CATALOG - FZN &amp; CHILL'!A592,"AAAAAH23/y8=")</f>
        <v>#VALUE!</v>
      </c>
      <c r="AW270" t="e">
        <f>AND('STERLING CATALOG - FZN &amp; CHILL'!B592,"AAAAAH23/zA=")</f>
        <v>#VALUE!</v>
      </c>
      <c r="AX270" t="e">
        <f>AND('STERLING CATALOG - FZN &amp; CHILL'!C592,"AAAAAH23/zE=")</f>
        <v>#VALUE!</v>
      </c>
      <c r="AY270" t="e">
        <f>AND('STERLING CATALOG - FZN &amp; CHILL'!D592,"AAAAAH23/zI=")</f>
        <v>#VALUE!</v>
      </c>
      <c r="AZ270" t="e">
        <f>AND('STERLING CATALOG - FZN &amp; CHILL'!E592,"AAAAAH23/zM=")</f>
        <v>#VALUE!</v>
      </c>
      <c r="BA270" t="e">
        <f>AND('STERLING CATALOG - FZN &amp; CHILL'!F592,"AAAAAH23/zQ=")</f>
        <v>#VALUE!</v>
      </c>
      <c r="BB270" t="e">
        <f>AND('STERLING CATALOG - FZN &amp; CHILL'!G592,"AAAAAH23/zU=")</f>
        <v>#VALUE!</v>
      </c>
      <c r="BC270" t="e">
        <f>AND('STERLING CATALOG - FZN &amp; CHILL'!H592,"AAAAAH23/zY=")</f>
        <v>#VALUE!</v>
      </c>
      <c r="BD270" t="e">
        <f>AND('STERLING CATALOG - FZN &amp; CHILL'!I592,"AAAAAH23/zc=")</f>
        <v>#VALUE!</v>
      </c>
      <c r="BE270" t="e">
        <f>AND('STERLING CATALOG - FZN &amp; CHILL'!J592,"AAAAAH23/zg=")</f>
        <v>#VALUE!</v>
      </c>
      <c r="BF270">
        <f>IF('STERLING CATALOG - FZN &amp; CHILL'!593:593,"AAAAAH23/zk=",0)</f>
        <v>0</v>
      </c>
      <c r="BG270" t="e">
        <f>AND('STERLING CATALOG - FZN &amp; CHILL'!A593,"AAAAAH23/zo=")</f>
        <v>#VALUE!</v>
      </c>
      <c r="BH270" t="e">
        <f>AND('STERLING CATALOG - FZN &amp; CHILL'!B593,"AAAAAH23/zs=")</f>
        <v>#VALUE!</v>
      </c>
      <c r="BI270" t="e">
        <f>AND('STERLING CATALOG - FZN &amp; CHILL'!C593,"AAAAAH23/zw=")</f>
        <v>#VALUE!</v>
      </c>
      <c r="BJ270" t="e">
        <f>AND('STERLING CATALOG - FZN &amp; CHILL'!D593,"AAAAAH23/z0=")</f>
        <v>#VALUE!</v>
      </c>
      <c r="BK270" t="e">
        <f>AND('STERLING CATALOG - FZN &amp; CHILL'!E593,"AAAAAH23/z4=")</f>
        <v>#VALUE!</v>
      </c>
      <c r="BL270" t="e">
        <f>AND('STERLING CATALOG - FZN &amp; CHILL'!F593,"AAAAAH23/z8=")</f>
        <v>#VALUE!</v>
      </c>
      <c r="BM270" t="e">
        <f>AND('STERLING CATALOG - FZN &amp; CHILL'!G593,"AAAAAH23/0A=")</f>
        <v>#VALUE!</v>
      </c>
      <c r="BN270" t="e">
        <f>AND('STERLING CATALOG - FZN &amp; CHILL'!H593,"AAAAAH23/0E=")</f>
        <v>#VALUE!</v>
      </c>
      <c r="BO270" t="e">
        <f>AND('STERLING CATALOG - FZN &amp; CHILL'!I593,"AAAAAH23/0I=")</f>
        <v>#VALUE!</v>
      </c>
      <c r="BP270" t="e">
        <f>AND('STERLING CATALOG - FZN &amp; CHILL'!J593,"AAAAAH23/0M=")</f>
        <v>#VALUE!</v>
      </c>
      <c r="BQ270">
        <f>IF('STERLING CATALOG - FZN &amp; CHILL'!594:594,"AAAAAH23/0Q=",0)</f>
        <v>0</v>
      </c>
      <c r="BR270" t="e">
        <f>AND('STERLING CATALOG - FZN &amp; CHILL'!A594,"AAAAAH23/0U=")</f>
        <v>#VALUE!</v>
      </c>
      <c r="BS270" t="e">
        <f>AND('STERLING CATALOG - FZN &amp; CHILL'!B594,"AAAAAH23/0Y=")</f>
        <v>#VALUE!</v>
      </c>
      <c r="BT270" t="e">
        <f>AND('STERLING CATALOG - FZN &amp; CHILL'!C594,"AAAAAH23/0c=")</f>
        <v>#VALUE!</v>
      </c>
      <c r="BU270" t="e">
        <f>AND('STERLING CATALOG - FZN &amp; CHILL'!D594,"AAAAAH23/0g=")</f>
        <v>#VALUE!</v>
      </c>
      <c r="BV270" t="e">
        <f>AND('STERLING CATALOG - FZN &amp; CHILL'!E594,"AAAAAH23/0k=")</f>
        <v>#VALUE!</v>
      </c>
      <c r="BW270" t="e">
        <f>AND('STERLING CATALOG - FZN &amp; CHILL'!F594,"AAAAAH23/0o=")</f>
        <v>#VALUE!</v>
      </c>
      <c r="BX270" t="e">
        <f>AND('STERLING CATALOG - FZN &amp; CHILL'!G594,"AAAAAH23/0s=")</f>
        <v>#VALUE!</v>
      </c>
      <c r="BY270" t="e">
        <f>AND('STERLING CATALOG - FZN &amp; CHILL'!H594,"AAAAAH23/0w=")</f>
        <v>#VALUE!</v>
      </c>
      <c r="BZ270" t="e">
        <f>AND('STERLING CATALOG - FZN &amp; CHILL'!I594,"AAAAAH23/00=")</f>
        <v>#VALUE!</v>
      </c>
      <c r="CA270" t="e">
        <f>AND('STERLING CATALOG - FZN &amp; CHILL'!J594,"AAAAAH23/04=")</f>
        <v>#VALUE!</v>
      </c>
      <c r="CB270">
        <f>IF('STERLING CATALOG - FZN &amp; CHILL'!595:595,"AAAAAH23/08=",0)</f>
        <v>0</v>
      </c>
      <c r="CC270" t="e">
        <f>AND('STERLING CATALOG - FZN &amp; CHILL'!A595,"AAAAAH23/1A=")</f>
        <v>#VALUE!</v>
      </c>
      <c r="CD270" t="e">
        <f>AND('STERLING CATALOG - FZN &amp; CHILL'!B595,"AAAAAH23/1E=")</f>
        <v>#VALUE!</v>
      </c>
      <c r="CE270" t="e">
        <f>AND('STERLING CATALOG - FZN &amp; CHILL'!C595,"AAAAAH23/1I=")</f>
        <v>#VALUE!</v>
      </c>
      <c r="CF270" t="e">
        <f>AND('STERLING CATALOG - FZN &amp; CHILL'!D595,"AAAAAH23/1M=")</f>
        <v>#VALUE!</v>
      </c>
      <c r="CG270" t="e">
        <f>AND('STERLING CATALOG - FZN &amp; CHILL'!E595,"AAAAAH23/1Q=")</f>
        <v>#VALUE!</v>
      </c>
      <c r="CH270" t="e">
        <f>AND('STERLING CATALOG - FZN &amp; CHILL'!F595,"AAAAAH23/1U=")</f>
        <v>#VALUE!</v>
      </c>
      <c r="CI270" t="e">
        <f>AND('STERLING CATALOG - FZN &amp; CHILL'!G595,"AAAAAH23/1Y=")</f>
        <v>#VALUE!</v>
      </c>
      <c r="CJ270" t="e">
        <f>AND('STERLING CATALOG - FZN &amp; CHILL'!H595,"AAAAAH23/1c=")</f>
        <v>#VALUE!</v>
      </c>
      <c r="CK270" t="e">
        <f>AND('STERLING CATALOG - FZN &amp; CHILL'!I595,"AAAAAH23/1g=")</f>
        <v>#VALUE!</v>
      </c>
      <c r="CL270" t="e">
        <f>AND('STERLING CATALOG - FZN &amp; CHILL'!J595,"AAAAAH23/1k=")</f>
        <v>#VALUE!</v>
      </c>
      <c r="CM270">
        <f>IF('STERLING CATALOG - FZN &amp; CHILL'!596:596,"AAAAAH23/1o=",0)</f>
        <v>0</v>
      </c>
      <c r="CN270" t="e">
        <f>AND('STERLING CATALOG - FZN &amp; CHILL'!A596,"AAAAAH23/1s=")</f>
        <v>#VALUE!</v>
      </c>
      <c r="CO270" t="e">
        <f>AND('STERLING CATALOG - FZN &amp; CHILL'!B596,"AAAAAH23/1w=")</f>
        <v>#VALUE!</v>
      </c>
      <c r="CP270" t="e">
        <f>AND('STERLING CATALOG - FZN &amp; CHILL'!C596,"AAAAAH23/10=")</f>
        <v>#VALUE!</v>
      </c>
      <c r="CQ270" t="e">
        <f>AND('STERLING CATALOG - FZN &amp; CHILL'!D596,"AAAAAH23/14=")</f>
        <v>#VALUE!</v>
      </c>
      <c r="CR270" t="e">
        <f>AND('STERLING CATALOG - FZN &amp; CHILL'!E596,"AAAAAH23/18=")</f>
        <v>#VALUE!</v>
      </c>
      <c r="CS270" t="e">
        <f>AND('STERLING CATALOG - FZN &amp; CHILL'!F596,"AAAAAH23/2A=")</f>
        <v>#VALUE!</v>
      </c>
      <c r="CT270" t="e">
        <f>AND('STERLING CATALOG - FZN &amp; CHILL'!G596,"AAAAAH23/2E=")</f>
        <v>#VALUE!</v>
      </c>
      <c r="CU270" t="e">
        <f>AND('STERLING CATALOG - FZN &amp; CHILL'!H596,"AAAAAH23/2I=")</f>
        <v>#VALUE!</v>
      </c>
      <c r="CV270" t="e">
        <f>AND('STERLING CATALOG - FZN &amp; CHILL'!I596,"AAAAAH23/2M=")</f>
        <v>#VALUE!</v>
      </c>
      <c r="CW270" t="e">
        <f>AND('STERLING CATALOG - FZN &amp; CHILL'!J596,"AAAAAH23/2Q=")</f>
        <v>#VALUE!</v>
      </c>
      <c r="CX270">
        <f>IF('STERLING CATALOG - FZN &amp; CHILL'!597:597,"AAAAAH23/2U=",0)</f>
        <v>0</v>
      </c>
      <c r="CY270" t="e">
        <f>AND('STERLING CATALOG - FZN &amp; CHILL'!A597,"AAAAAH23/2Y=")</f>
        <v>#VALUE!</v>
      </c>
      <c r="CZ270" t="e">
        <f>AND('STERLING CATALOG - FZN &amp; CHILL'!B597,"AAAAAH23/2c=")</f>
        <v>#VALUE!</v>
      </c>
      <c r="DA270" t="e">
        <f>AND('STERLING CATALOG - FZN &amp; CHILL'!C597,"AAAAAH23/2g=")</f>
        <v>#VALUE!</v>
      </c>
      <c r="DB270" t="e">
        <f>AND('STERLING CATALOG - FZN &amp; CHILL'!D597,"AAAAAH23/2k=")</f>
        <v>#VALUE!</v>
      </c>
      <c r="DC270" t="e">
        <f>AND('STERLING CATALOG - FZN &amp; CHILL'!E597,"AAAAAH23/2o=")</f>
        <v>#VALUE!</v>
      </c>
      <c r="DD270" t="e">
        <f>AND('STERLING CATALOG - FZN &amp; CHILL'!F597,"AAAAAH23/2s=")</f>
        <v>#VALUE!</v>
      </c>
      <c r="DE270" t="e">
        <f>AND('STERLING CATALOG - FZN &amp; CHILL'!G597,"AAAAAH23/2w=")</f>
        <v>#VALUE!</v>
      </c>
      <c r="DF270" t="e">
        <f>AND('STERLING CATALOG - FZN &amp; CHILL'!H597,"AAAAAH23/20=")</f>
        <v>#VALUE!</v>
      </c>
      <c r="DG270" t="e">
        <f>AND('STERLING CATALOG - FZN &amp; CHILL'!I597,"AAAAAH23/24=")</f>
        <v>#VALUE!</v>
      </c>
      <c r="DH270" t="e">
        <f>AND('STERLING CATALOG - FZN &amp; CHILL'!J597,"AAAAAH23/28=")</f>
        <v>#VALUE!</v>
      </c>
      <c r="DI270">
        <f>IF('STERLING CATALOG - FZN &amp; CHILL'!598:598,"AAAAAH23/3A=",0)</f>
        <v>0</v>
      </c>
      <c r="DJ270" t="e">
        <f>AND('STERLING CATALOG - FZN &amp; CHILL'!A598,"AAAAAH23/3E=")</f>
        <v>#VALUE!</v>
      </c>
      <c r="DK270" t="e">
        <f>AND('STERLING CATALOG - FZN &amp; CHILL'!B598,"AAAAAH23/3I=")</f>
        <v>#VALUE!</v>
      </c>
      <c r="DL270" t="e">
        <f>AND('STERLING CATALOG - FZN &amp; CHILL'!C598,"AAAAAH23/3M=")</f>
        <v>#VALUE!</v>
      </c>
      <c r="DM270" t="e">
        <f>AND('STERLING CATALOG - FZN &amp; CHILL'!D598,"AAAAAH23/3Q=")</f>
        <v>#VALUE!</v>
      </c>
      <c r="DN270" t="e">
        <f>AND('STERLING CATALOG - FZN &amp; CHILL'!E598,"AAAAAH23/3U=")</f>
        <v>#VALUE!</v>
      </c>
      <c r="DO270" t="e">
        <f>AND('STERLING CATALOG - FZN &amp; CHILL'!F598,"AAAAAH23/3Y=")</f>
        <v>#VALUE!</v>
      </c>
      <c r="DP270" t="e">
        <f>AND('STERLING CATALOG - FZN &amp; CHILL'!G598,"AAAAAH23/3c=")</f>
        <v>#VALUE!</v>
      </c>
      <c r="DQ270" t="e">
        <f>AND('STERLING CATALOG - FZN &amp; CHILL'!H598,"AAAAAH23/3g=")</f>
        <v>#VALUE!</v>
      </c>
      <c r="DR270" t="e">
        <f>AND('STERLING CATALOG - FZN &amp; CHILL'!I598,"AAAAAH23/3k=")</f>
        <v>#VALUE!</v>
      </c>
      <c r="DS270" t="e">
        <f>AND('STERLING CATALOG - FZN &amp; CHILL'!J598,"AAAAAH23/3o=")</f>
        <v>#VALUE!</v>
      </c>
      <c r="DT270">
        <f>IF('STERLING CATALOG - FZN &amp; CHILL'!599:599,"AAAAAH23/3s=",0)</f>
        <v>0</v>
      </c>
      <c r="DU270" t="e">
        <f>AND('STERLING CATALOG - FZN &amp; CHILL'!A599,"AAAAAH23/3w=")</f>
        <v>#VALUE!</v>
      </c>
      <c r="DV270" t="e">
        <f>AND('STERLING CATALOG - FZN &amp; CHILL'!B599,"AAAAAH23/30=")</f>
        <v>#VALUE!</v>
      </c>
      <c r="DW270" t="e">
        <f>AND('STERLING CATALOG - FZN &amp; CHILL'!C599,"AAAAAH23/34=")</f>
        <v>#VALUE!</v>
      </c>
      <c r="DX270" t="e">
        <f>AND('STERLING CATALOG - FZN &amp; CHILL'!D599,"AAAAAH23/38=")</f>
        <v>#VALUE!</v>
      </c>
      <c r="DY270" t="e">
        <f>AND('STERLING CATALOG - FZN &amp; CHILL'!E599,"AAAAAH23/4A=")</f>
        <v>#VALUE!</v>
      </c>
      <c r="DZ270" t="e">
        <f>AND('STERLING CATALOG - FZN &amp; CHILL'!F599,"AAAAAH23/4E=")</f>
        <v>#VALUE!</v>
      </c>
      <c r="EA270" t="e">
        <f>AND('STERLING CATALOG - FZN &amp; CHILL'!G599,"AAAAAH23/4I=")</f>
        <v>#VALUE!</v>
      </c>
      <c r="EB270" t="e">
        <f>AND('STERLING CATALOG - FZN &amp; CHILL'!H599,"AAAAAH23/4M=")</f>
        <v>#VALUE!</v>
      </c>
      <c r="EC270" t="e">
        <f>AND('STERLING CATALOG - FZN &amp; CHILL'!I599,"AAAAAH23/4Q=")</f>
        <v>#VALUE!</v>
      </c>
      <c r="ED270" t="e">
        <f>AND('STERLING CATALOG - FZN &amp; CHILL'!J599,"AAAAAH23/4U=")</f>
        <v>#VALUE!</v>
      </c>
      <c r="EE270">
        <f>IF('STERLING CATALOG - FZN &amp; CHILL'!600:600,"AAAAAH23/4Y=",0)</f>
        <v>0</v>
      </c>
      <c r="EF270" t="e">
        <f>AND('STERLING CATALOG - FZN &amp; CHILL'!A600,"AAAAAH23/4c=")</f>
        <v>#VALUE!</v>
      </c>
      <c r="EG270" t="e">
        <f>AND('STERLING CATALOG - FZN &amp; CHILL'!B600,"AAAAAH23/4g=")</f>
        <v>#VALUE!</v>
      </c>
      <c r="EH270" t="e">
        <f>AND('STERLING CATALOG - FZN &amp; CHILL'!C600,"AAAAAH23/4k=")</f>
        <v>#VALUE!</v>
      </c>
      <c r="EI270" t="e">
        <f>AND('STERLING CATALOG - FZN &amp; CHILL'!D600,"AAAAAH23/4o=")</f>
        <v>#VALUE!</v>
      </c>
      <c r="EJ270" t="e">
        <f>AND('STERLING CATALOG - FZN &amp; CHILL'!E600,"AAAAAH23/4s=")</f>
        <v>#VALUE!</v>
      </c>
      <c r="EK270" t="e">
        <f>AND('STERLING CATALOG - FZN &amp; CHILL'!F600,"AAAAAH23/4w=")</f>
        <v>#VALUE!</v>
      </c>
      <c r="EL270" t="e">
        <f>AND('STERLING CATALOG - FZN &amp; CHILL'!G600,"AAAAAH23/40=")</f>
        <v>#VALUE!</v>
      </c>
      <c r="EM270" t="e">
        <f>AND('STERLING CATALOG - FZN &amp; CHILL'!H600,"AAAAAH23/44=")</f>
        <v>#VALUE!</v>
      </c>
      <c r="EN270" t="e">
        <f>AND('STERLING CATALOG - FZN &amp; CHILL'!I600,"AAAAAH23/48=")</f>
        <v>#VALUE!</v>
      </c>
      <c r="EO270" t="e">
        <f>AND('STERLING CATALOG - FZN &amp; CHILL'!J600,"AAAAAH23/5A=")</f>
        <v>#VALUE!</v>
      </c>
      <c r="EP270">
        <f>IF('STERLING CATALOG - FZN &amp; CHILL'!601:601,"AAAAAH23/5E=",0)</f>
        <v>0</v>
      </c>
      <c r="EQ270" t="e">
        <f>AND('STERLING CATALOG - FZN &amp; CHILL'!A601,"AAAAAH23/5I=")</f>
        <v>#VALUE!</v>
      </c>
      <c r="ER270" t="e">
        <f>AND('STERLING CATALOG - FZN &amp; CHILL'!B601,"AAAAAH23/5M=")</f>
        <v>#VALUE!</v>
      </c>
      <c r="ES270" t="e">
        <f>AND('STERLING CATALOG - FZN &amp; CHILL'!C601,"AAAAAH23/5Q=")</f>
        <v>#VALUE!</v>
      </c>
      <c r="ET270" t="e">
        <f>AND('STERLING CATALOG - FZN &amp; CHILL'!D601,"AAAAAH23/5U=")</f>
        <v>#VALUE!</v>
      </c>
      <c r="EU270" t="e">
        <f>AND('STERLING CATALOG - FZN &amp; CHILL'!E601,"AAAAAH23/5Y=")</f>
        <v>#VALUE!</v>
      </c>
      <c r="EV270" t="e">
        <f>AND('STERLING CATALOG - FZN &amp; CHILL'!F601,"AAAAAH23/5c=")</f>
        <v>#VALUE!</v>
      </c>
      <c r="EW270" t="e">
        <f>AND('STERLING CATALOG - FZN &amp; CHILL'!G601,"AAAAAH23/5g=")</f>
        <v>#VALUE!</v>
      </c>
      <c r="EX270" t="e">
        <f>AND('STERLING CATALOG - FZN &amp; CHILL'!H601,"AAAAAH23/5k=")</f>
        <v>#VALUE!</v>
      </c>
      <c r="EY270" t="e">
        <f>AND('STERLING CATALOG - FZN &amp; CHILL'!I601,"AAAAAH23/5o=")</f>
        <v>#VALUE!</v>
      </c>
      <c r="EZ270" t="e">
        <f>AND('STERLING CATALOG - FZN &amp; CHILL'!J601,"AAAAAH23/5s=")</f>
        <v>#VALUE!</v>
      </c>
      <c r="FA270">
        <f>IF('STERLING CATALOG - FZN &amp; CHILL'!602:602,"AAAAAH23/5w=",0)</f>
        <v>0</v>
      </c>
      <c r="FB270" t="e">
        <f>AND('STERLING CATALOG - FZN &amp; CHILL'!A602,"AAAAAH23/50=")</f>
        <v>#VALUE!</v>
      </c>
      <c r="FC270" t="e">
        <f>AND('STERLING CATALOG - FZN &amp; CHILL'!B602,"AAAAAH23/54=")</f>
        <v>#VALUE!</v>
      </c>
      <c r="FD270" t="e">
        <f>AND('STERLING CATALOG - FZN &amp; CHILL'!C602,"AAAAAH23/58=")</f>
        <v>#VALUE!</v>
      </c>
      <c r="FE270" t="e">
        <f>AND('STERLING CATALOG - FZN &amp; CHILL'!D602,"AAAAAH23/6A=")</f>
        <v>#VALUE!</v>
      </c>
      <c r="FF270" t="e">
        <f>AND('STERLING CATALOG - FZN &amp; CHILL'!E602,"AAAAAH23/6E=")</f>
        <v>#VALUE!</v>
      </c>
      <c r="FG270" t="e">
        <f>AND('STERLING CATALOG - FZN &amp; CHILL'!F602,"AAAAAH23/6I=")</f>
        <v>#VALUE!</v>
      </c>
      <c r="FH270" t="e">
        <f>AND('STERLING CATALOG - FZN &amp; CHILL'!G602,"AAAAAH23/6M=")</f>
        <v>#VALUE!</v>
      </c>
      <c r="FI270" t="e">
        <f>AND('STERLING CATALOG - FZN &amp; CHILL'!H602,"AAAAAH23/6Q=")</f>
        <v>#VALUE!</v>
      </c>
      <c r="FJ270" t="e">
        <f>AND('STERLING CATALOG - FZN &amp; CHILL'!I602,"AAAAAH23/6U=")</f>
        <v>#VALUE!</v>
      </c>
      <c r="FK270" t="e">
        <f>AND('STERLING CATALOG - FZN &amp; CHILL'!J602,"AAAAAH23/6Y=")</f>
        <v>#VALUE!</v>
      </c>
      <c r="FL270">
        <f>IF('STERLING CATALOG - FZN &amp; CHILL'!603:603,"AAAAAH23/6c=",0)</f>
        <v>0</v>
      </c>
      <c r="FM270" t="e">
        <f>AND('STERLING CATALOG - FZN &amp; CHILL'!A603,"AAAAAH23/6g=")</f>
        <v>#VALUE!</v>
      </c>
      <c r="FN270" t="e">
        <f>AND('STERLING CATALOG - FZN &amp; CHILL'!B603,"AAAAAH23/6k=")</f>
        <v>#VALUE!</v>
      </c>
      <c r="FO270" t="e">
        <f>AND('STERLING CATALOG - FZN &amp; CHILL'!C603,"AAAAAH23/6o=")</f>
        <v>#VALUE!</v>
      </c>
      <c r="FP270" t="e">
        <f>AND('STERLING CATALOG - FZN &amp; CHILL'!D603,"AAAAAH23/6s=")</f>
        <v>#VALUE!</v>
      </c>
      <c r="FQ270" t="e">
        <f>AND('STERLING CATALOG - FZN &amp; CHILL'!E603,"AAAAAH23/6w=")</f>
        <v>#VALUE!</v>
      </c>
      <c r="FR270" t="e">
        <f>AND('STERLING CATALOG - FZN &amp; CHILL'!F603,"AAAAAH23/60=")</f>
        <v>#VALUE!</v>
      </c>
      <c r="FS270" t="e">
        <f>AND('STERLING CATALOG - FZN &amp; CHILL'!G603,"AAAAAH23/64=")</f>
        <v>#VALUE!</v>
      </c>
      <c r="FT270" t="e">
        <f>AND('STERLING CATALOG - FZN &amp; CHILL'!H603,"AAAAAH23/68=")</f>
        <v>#VALUE!</v>
      </c>
      <c r="FU270" t="e">
        <f>AND('STERLING CATALOG - FZN &amp; CHILL'!I603,"AAAAAH23/7A=")</f>
        <v>#VALUE!</v>
      </c>
      <c r="FV270" t="e">
        <f>AND('STERLING CATALOG - FZN &amp; CHILL'!J603,"AAAAAH23/7E=")</f>
        <v>#VALUE!</v>
      </c>
      <c r="FW270">
        <f>IF('STERLING CATALOG - FZN &amp; CHILL'!604:604,"AAAAAH23/7I=",0)</f>
        <v>0</v>
      </c>
      <c r="FX270" t="e">
        <f>AND('STERLING CATALOG - FZN &amp; CHILL'!A604,"AAAAAH23/7M=")</f>
        <v>#VALUE!</v>
      </c>
      <c r="FY270" t="e">
        <f>AND('STERLING CATALOG - FZN &amp; CHILL'!B604,"AAAAAH23/7Q=")</f>
        <v>#VALUE!</v>
      </c>
      <c r="FZ270" t="e">
        <f>AND('STERLING CATALOG - FZN &amp; CHILL'!C604,"AAAAAH23/7U=")</f>
        <v>#VALUE!</v>
      </c>
      <c r="GA270" t="e">
        <f>AND('STERLING CATALOG - FZN &amp; CHILL'!D604,"AAAAAH23/7Y=")</f>
        <v>#VALUE!</v>
      </c>
      <c r="GB270" t="e">
        <f>AND('STERLING CATALOG - FZN &amp; CHILL'!E604,"AAAAAH23/7c=")</f>
        <v>#VALUE!</v>
      </c>
      <c r="GC270" t="e">
        <f>AND('STERLING CATALOG - FZN &amp; CHILL'!F604,"AAAAAH23/7g=")</f>
        <v>#VALUE!</v>
      </c>
      <c r="GD270" t="e">
        <f>AND('STERLING CATALOG - FZN &amp; CHILL'!G604,"AAAAAH23/7k=")</f>
        <v>#VALUE!</v>
      </c>
      <c r="GE270" t="e">
        <f>AND('STERLING CATALOG - FZN &amp; CHILL'!H604,"AAAAAH23/7o=")</f>
        <v>#VALUE!</v>
      </c>
      <c r="GF270" t="e">
        <f>AND('STERLING CATALOG - FZN &amp; CHILL'!I604,"AAAAAH23/7s=")</f>
        <v>#VALUE!</v>
      </c>
      <c r="GG270" t="e">
        <f>AND('STERLING CATALOG - FZN &amp; CHILL'!J604,"AAAAAH23/7w=")</f>
        <v>#VALUE!</v>
      </c>
      <c r="GH270">
        <f>IF('STERLING CATALOG - FZN &amp; CHILL'!605:605,"AAAAAH23/70=",0)</f>
        <v>0</v>
      </c>
      <c r="GI270" t="e">
        <f>AND('STERLING CATALOG - FZN &amp; CHILL'!A605,"AAAAAH23/74=")</f>
        <v>#VALUE!</v>
      </c>
      <c r="GJ270" t="e">
        <f>AND('STERLING CATALOG - FZN &amp; CHILL'!B605,"AAAAAH23/78=")</f>
        <v>#VALUE!</v>
      </c>
      <c r="GK270" t="e">
        <f>AND('STERLING CATALOG - FZN &amp; CHILL'!C605,"AAAAAH23/8A=")</f>
        <v>#VALUE!</v>
      </c>
      <c r="GL270" t="e">
        <f>AND('STERLING CATALOG - FZN &amp; CHILL'!D605,"AAAAAH23/8E=")</f>
        <v>#VALUE!</v>
      </c>
      <c r="GM270" t="e">
        <f>AND('STERLING CATALOG - FZN &amp; CHILL'!E605,"AAAAAH23/8I=")</f>
        <v>#VALUE!</v>
      </c>
      <c r="GN270" t="e">
        <f>AND('STERLING CATALOG - FZN &amp; CHILL'!F605,"AAAAAH23/8M=")</f>
        <v>#VALUE!</v>
      </c>
      <c r="GO270" t="e">
        <f>AND('STERLING CATALOG - FZN &amp; CHILL'!G605,"AAAAAH23/8Q=")</f>
        <v>#VALUE!</v>
      </c>
      <c r="GP270" t="e">
        <f>AND('STERLING CATALOG - FZN &amp; CHILL'!H605,"AAAAAH23/8U=")</f>
        <v>#VALUE!</v>
      </c>
      <c r="GQ270" t="e">
        <f>AND('STERLING CATALOG - FZN &amp; CHILL'!I605,"AAAAAH23/8Y=")</f>
        <v>#VALUE!</v>
      </c>
      <c r="GR270" t="e">
        <f>AND('STERLING CATALOG - FZN &amp; CHILL'!J605,"AAAAAH23/8c=")</f>
        <v>#VALUE!</v>
      </c>
      <c r="GS270">
        <f>IF('STERLING CATALOG - FZN &amp; CHILL'!606:606,"AAAAAH23/8g=",0)</f>
        <v>0</v>
      </c>
      <c r="GT270" t="e">
        <f>AND('STERLING CATALOG - FZN &amp; CHILL'!A606,"AAAAAH23/8k=")</f>
        <v>#VALUE!</v>
      </c>
      <c r="GU270" t="e">
        <f>AND('STERLING CATALOG - FZN &amp; CHILL'!B606,"AAAAAH23/8o=")</f>
        <v>#VALUE!</v>
      </c>
      <c r="GV270" t="e">
        <f>AND('STERLING CATALOG - FZN &amp; CHILL'!C606,"AAAAAH23/8s=")</f>
        <v>#VALUE!</v>
      </c>
      <c r="GW270" t="e">
        <f>AND('STERLING CATALOG - FZN &amp; CHILL'!D606,"AAAAAH23/8w=")</f>
        <v>#VALUE!</v>
      </c>
      <c r="GX270" t="e">
        <f>AND('STERLING CATALOG - FZN &amp; CHILL'!E606,"AAAAAH23/80=")</f>
        <v>#VALUE!</v>
      </c>
      <c r="GY270" t="e">
        <f>AND('STERLING CATALOG - FZN &amp; CHILL'!F606,"AAAAAH23/84=")</f>
        <v>#VALUE!</v>
      </c>
      <c r="GZ270" t="e">
        <f>AND('STERLING CATALOG - FZN &amp; CHILL'!G606,"AAAAAH23/88=")</f>
        <v>#VALUE!</v>
      </c>
      <c r="HA270" t="e">
        <f>AND('STERLING CATALOG - FZN &amp; CHILL'!H606,"AAAAAH23/9A=")</f>
        <v>#VALUE!</v>
      </c>
      <c r="HB270" t="e">
        <f>AND('STERLING CATALOG - FZN &amp; CHILL'!I606,"AAAAAH23/9E=")</f>
        <v>#VALUE!</v>
      </c>
      <c r="HC270" t="e">
        <f>AND('STERLING CATALOG - FZN &amp; CHILL'!J606,"AAAAAH23/9I=")</f>
        <v>#VALUE!</v>
      </c>
      <c r="HD270">
        <f>IF('STERLING CATALOG - FZN &amp; CHILL'!607:607,"AAAAAH23/9M=",0)</f>
        <v>0</v>
      </c>
      <c r="HE270" t="e">
        <f>AND('STERLING CATALOG - FZN &amp; CHILL'!A607,"AAAAAH23/9Q=")</f>
        <v>#VALUE!</v>
      </c>
      <c r="HF270" t="e">
        <f>AND('STERLING CATALOG - FZN &amp; CHILL'!B607,"AAAAAH23/9U=")</f>
        <v>#VALUE!</v>
      </c>
      <c r="HG270" t="e">
        <f>AND('STERLING CATALOG - FZN &amp; CHILL'!C607,"AAAAAH23/9Y=")</f>
        <v>#VALUE!</v>
      </c>
      <c r="HH270" t="e">
        <f>AND('STERLING CATALOG - FZN &amp; CHILL'!D607,"AAAAAH23/9c=")</f>
        <v>#VALUE!</v>
      </c>
      <c r="HI270" t="e">
        <f>AND('STERLING CATALOG - FZN &amp; CHILL'!E607,"AAAAAH23/9g=")</f>
        <v>#VALUE!</v>
      </c>
      <c r="HJ270" t="e">
        <f>AND('STERLING CATALOG - FZN &amp; CHILL'!F607,"AAAAAH23/9k=")</f>
        <v>#VALUE!</v>
      </c>
      <c r="HK270" t="e">
        <f>AND('STERLING CATALOG - FZN &amp; CHILL'!G607,"AAAAAH23/9o=")</f>
        <v>#VALUE!</v>
      </c>
      <c r="HL270" t="e">
        <f>AND('STERLING CATALOG - FZN &amp; CHILL'!H607,"AAAAAH23/9s=")</f>
        <v>#VALUE!</v>
      </c>
      <c r="HM270" t="e">
        <f>AND('STERLING CATALOG - FZN &amp; CHILL'!I607,"AAAAAH23/9w=")</f>
        <v>#VALUE!</v>
      </c>
      <c r="HN270" t="e">
        <f>AND('STERLING CATALOG - FZN &amp; CHILL'!J607,"AAAAAH23/90=")</f>
        <v>#VALUE!</v>
      </c>
      <c r="HO270">
        <f>IF('STERLING CATALOG - FZN &amp; CHILL'!608:608,"AAAAAH23/94=",0)</f>
        <v>0</v>
      </c>
      <c r="HP270" t="e">
        <f>AND('STERLING CATALOG - FZN &amp; CHILL'!A608,"AAAAAH23/98=")</f>
        <v>#VALUE!</v>
      </c>
      <c r="HQ270" t="e">
        <f>AND('STERLING CATALOG - FZN &amp; CHILL'!B608,"AAAAAH23/+A=")</f>
        <v>#VALUE!</v>
      </c>
      <c r="HR270" t="e">
        <f>AND('STERLING CATALOG - FZN &amp; CHILL'!C608,"AAAAAH23/+E=")</f>
        <v>#VALUE!</v>
      </c>
      <c r="HS270" t="e">
        <f>AND('STERLING CATALOG - FZN &amp; CHILL'!D608,"AAAAAH23/+I=")</f>
        <v>#VALUE!</v>
      </c>
      <c r="HT270" t="e">
        <f>AND('STERLING CATALOG - FZN &amp; CHILL'!E608,"AAAAAH23/+M=")</f>
        <v>#VALUE!</v>
      </c>
      <c r="HU270" t="e">
        <f>AND('STERLING CATALOG - FZN &amp; CHILL'!F608,"AAAAAH23/+Q=")</f>
        <v>#VALUE!</v>
      </c>
      <c r="HV270" t="e">
        <f>AND('STERLING CATALOG - FZN &amp; CHILL'!G608,"AAAAAH23/+U=")</f>
        <v>#VALUE!</v>
      </c>
      <c r="HW270" t="e">
        <f>AND('STERLING CATALOG - FZN &amp; CHILL'!H608,"AAAAAH23/+Y=")</f>
        <v>#VALUE!</v>
      </c>
      <c r="HX270" t="e">
        <f>AND('STERLING CATALOG - FZN &amp; CHILL'!I608,"AAAAAH23/+c=")</f>
        <v>#VALUE!</v>
      </c>
      <c r="HY270" t="e">
        <f>AND('STERLING CATALOG - FZN &amp; CHILL'!J608,"AAAAAH23/+g=")</f>
        <v>#VALUE!</v>
      </c>
      <c r="HZ270">
        <f>IF('STERLING CATALOG - FZN &amp; CHILL'!609:609,"AAAAAH23/+k=",0)</f>
        <v>0</v>
      </c>
      <c r="IA270" t="e">
        <f>AND('STERLING CATALOG - FZN &amp; CHILL'!A609,"AAAAAH23/+o=")</f>
        <v>#VALUE!</v>
      </c>
      <c r="IB270" t="e">
        <f>AND('STERLING CATALOG - FZN &amp; CHILL'!B609,"AAAAAH23/+s=")</f>
        <v>#VALUE!</v>
      </c>
      <c r="IC270" t="e">
        <f>AND('STERLING CATALOG - FZN &amp; CHILL'!C609,"AAAAAH23/+w=")</f>
        <v>#VALUE!</v>
      </c>
      <c r="ID270" t="e">
        <f>AND('STERLING CATALOG - FZN &amp; CHILL'!D609,"AAAAAH23/+0=")</f>
        <v>#VALUE!</v>
      </c>
      <c r="IE270" t="e">
        <f>AND('STERLING CATALOG - FZN &amp; CHILL'!E609,"AAAAAH23/+4=")</f>
        <v>#VALUE!</v>
      </c>
      <c r="IF270" t="e">
        <f>AND('STERLING CATALOG - FZN &amp; CHILL'!F609,"AAAAAH23/+8=")</f>
        <v>#VALUE!</v>
      </c>
      <c r="IG270" t="e">
        <f>AND('STERLING CATALOG - FZN &amp; CHILL'!G609,"AAAAAH23//A=")</f>
        <v>#VALUE!</v>
      </c>
      <c r="IH270" t="e">
        <f>AND('STERLING CATALOG - FZN &amp; CHILL'!H609,"AAAAAH23//E=")</f>
        <v>#VALUE!</v>
      </c>
      <c r="II270" t="e">
        <f>AND('STERLING CATALOG - FZN &amp; CHILL'!I609,"AAAAAH23//I=")</f>
        <v>#VALUE!</v>
      </c>
      <c r="IJ270" t="e">
        <f>AND('STERLING CATALOG - FZN &amp; CHILL'!J609,"AAAAAH23//M=")</f>
        <v>#VALUE!</v>
      </c>
      <c r="IK270">
        <f>IF('STERLING CATALOG - FZN &amp; CHILL'!610:610,"AAAAAH23//Q=",0)</f>
        <v>0</v>
      </c>
      <c r="IL270" t="e">
        <f>AND('STERLING CATALOG - FZN &amp; CHILL'!A610,"AAAAAH23//U=")</f>
        <v>#VALUE!</v>
      </c>
      <c r="IM270" t="e">
        <f>AND('STERLING CATALOG - FZN &amp; CHILL'!B610,"AAAAAH23//Y=")</f>
        <v>#VALUE!</v>
      </c>
      <c r="IN270" t="e">
        <f>AND('STERLING CATALOG - FZN &amp; CHILL'!C610,"AAAAAH23//c=")</f>
        <v>#VALUE!</v>
      </c>
      <c r="IO270" t="e">
        <f>AND('STERLING CATALOG - FZN &amp; CHILL'!D610,"AAAAAH23//g=")</f>
        <v>#VALUE!</v>
      </c>
      <c r="IP270" t="e">
        <f>AND('STERLING CATALOG - FZN &amp; CHILL'!E610,"AAAAAH23//k=")</f>
        <v>#VALUE!</v>
      </c>
      <c r="IQ270" t="e">
        <f>AND('STERLING CATALOG - FZN &amp; CHILL'!F610,"AAAAAH23//o=")</f>
        <v>#VALUE!</v>
      </c>
      <c r="IR270" t="e">
        <f>AND('STERLING CATALOG - FZN &amp; CHILL'!G610,"AAAAAH23//s=")</f>
        <v>#VALUE!</v>
      </c>
      <c r="IS270" t="e">
        <f>AND('STERLING CATALOG - FZN &amp; CHILL'!H610,"AAAAAH23//w=")</f>
        <v>#VALUE!</v>
      </c>
      <c r="IT270" t="e">
        <f>AND('STERLING CATALOG - FZN &amp; CHILL'!I610,"AAAAAH23//0=")</f>
        <v>#VALUE!</v>
      </c>
      <c r="IU270" t="e">
        <f>AND('STERLING CATALOG - FZN &amp; CHILL'!J610,"AAAAAH23//4=")</f>
        <v>#VALUE!</v>
      </c>
      <c r="IV270">
        <f>IF('STERLING CATALOG - FZN &amp; CHILL'!611:611,"AAAAAH23//8=",0)</f>
        <v>0</v>
      </c>
    </row>
    <row r="271" spans="1:256">
      <c r="A271" t="e">
        <f>AND('STERLING CATALOG - FZN &amp; CHILL'!A611,"AAAAADNXFgA=")</f>
        <v>#VALUE!</v>
      </c>
      <c r="B271" t="e">
        <f>AND('STERLING CATALOG - FZN &amp; CHILL'!B611,"AAAAADNXFgE=")</f>
        <v>#VALUE!</v>
      </c>
      <c r="C271" t="e">
        <f>AND('STERLING CATALOG - FZN &amp; CHILL'!C611,"AAAAADNXFgI=")</f>
        <v>#VALUE!</v>
      </c>
      <c r="D271" t="e">
        <f>AND('STERLING CATALOG - FZN &amp; CHILL'!D611,"AAAAADNXFgM=")</f>
        <v>#VALUE!</v>
      </c>
      <c r="E271" t="e">
        <f>AND('STERLING CATALOG - FZN &amp; CHILL'!E611,"AAAAADNXFgQ=")</f>
        <v>#VALUE!</v>
      </c>
      <c r="F271" t="e">
        <f>AND('STERLING CATALOG - FZN &amp; CHILL'!F611,"AAAAADNXFgU=")</f>
        <v>#VALUE!</v>
      </c>
      <c r="G271" t="e">
        <f>AND('STERLING CATALOG - FZN &amp; CHILL'!G611,"AAAAADNXFgY=")</f>
        <v>#VALUE!</v>
      </c>
      <c r="H271" t="e">
        <f>AND('STERLING CATALOG - FZN &amp; CHILL'!H611,"AAAAADNXFgc=")</f>
        <v>#VALUE!</v>
      </c>
      <c r="I271" t="e">
        <f>AND('STERLING CATALOG - FZN &amp; CHILL'!I611,"AAAAADNXFgg=")</f>
        <v>#VALUE!</v>
      </c>
      <c r="J271" t="e">
        <f>AND('STERLING CATALOG - FZN &amp; CHILL'!J611,"AAAAADNXFgk=")</f>
        <v>#VALUE!</v>
      </c>
      <c r="K271">
        <f>IF('STERLING CATALOG - FZN &amp; CHILL'!612:612,"AAAAADNXFgo=",0)</f>
        <v>0</v>
      </c>
      <c r="L271" t="e">
        <f>AND('STERLING CATALOG - FZN &amp; CHILL'!A612,"AAAAADNXFgs=")</f>
        <v>#VALUE!</v>
      </c>
      <c r="M271" t="e">
        <f>AND('STERLING CATALOG - FZN &amp; CHILL'!B612,"AAAAADNXFgw=")</f>
        <v>#VALUE!</v>
      </c>
      <c r="N271" t="e">
        <f>AND('STERLING CATALOG - FZN &amp; CHILL'!C612,"AAAAADNXFg0=")</f>
        <v>#VALUE!</v>
      </c>
      <c r="O271" t="e">
        <f>AND('STERLING CATALOG - FZN &amp; CHILL'!D612,"AAAAADNXFg4=")</f>
        <v>#VALUE!</v>
      </c>
      <c r="P271" t="e">
        <f>AND('STERLING CATALOG - FZN &amp; CHILL'!E612,"AAAAADNXFg8=")</f>
        <v>#VALUE!</v>
      </c>
      <c r="Q271" t="e">
        <f>AND('STERLING CATALOG - FZN &amp; CHILL'!F612,"AAAAADNXFhA=")</f>
        <v>#VALUE!</v>
      </c>
      <c r="R271" t="e">
        <f>AND('STERLING CATALOG - FZN &amp; CHILL'!G612,"AAAAADNXFhE=")</f>
        <v>#VALUE!</v>
      </c>
      <c r="S271" t="e">
        <f>AND('STERLING CATALOG - FZN &amp; CHILL'!H612,"AAAAADNXFhI=")</f>
        <v>#VALUE!</v>
      </c>
      <c r="T271" t="e">
        <f>AND('STERLING CATALOG - FZN &amp; CHILL'!I612,"AAAAADNXFhM=")</f>
        <v>#VALUE!</v>
      </c>
      <c r="U271" t="e">
        <f>AND('STERLING CATALOG - FZN &amp; CHILL'!J612,"AAAAADNXFhQ=")</f>
        <v>#VALUE!</v>
      </c>
      <c r="V271">
        <f>IF('STERLING CATALOG - FZN &amp; CHILL'!613:613,"AAAAADNXFhU=",0)</f>
        <v>0</v>
      </c>
      <c r="W271" t="e">
        <f>AND('STERLING CATALOG - FZN &amp; CHILL'!A613,"AAAAADNXFhY=")</f>
        <v>#VALUE!</v>
      </c>
      <c r="X271" t="e">
        <f>AND('STERLING CATALOG - FZN &amp; CHILL'!B613,"AAAAADNXFhc=")</f>
        <v>#VALUE!</v>
      </c>
      <c r="Y271" t="e">
        <f>AND('STERLING CATALOG - FZN &amp; CHILL'!C613,"AAAAADNXFhg=")</f>
        <v>#VALUE!</v>
      </c>
      <c r="Z271" t="e">
        <f>AND('STERLING CATALOG - FZN &amp; CHILL'!D613,"AAAAADNXFhk=")</f>
        <v>#VALUE!</v>
      </c>
      <c r="AA271" t="e">
        <f>AND('STERLING CATALOG - FZN &amp; CHILL'!E613,"AAAAADNXFho=")</f>
        <v>#VALUE!</v>
      </c>
      <c r="AB271" t="e">
        <f>AND('STERLING CATALOG - FZN &amp; CHILL'!F613,"AAAAADNXFhs=")</f>
        <v>#VALUE!</v>
      </c>
      <c r="AC271" t="e">
        <f>AND('STERLING CATALOG - FZN &amp; CHILL'!G613,"AAAAADNXFhw=")</f>
        <v>#VALUE!</v>
      </c>
      <c r="AD271" t="e">
        <f>AND('STERLING CATALOG - FZN &amp; CHILL'!H613,"AAAAADNXFh0=")</f>
        <v>#VALUE!</v>
      </c>
      <c r="AE271" t="e">
        <f>AND('STERLING CATALOG - FZN &amp; CHILL'!I613,"AAAAADNXFh4=")</f>
        <v>#VALUE!</v>
      </c>
      <c r="AF271" t="e">
        <f>AND('STERLING CATALOG - FZN &amp; CHILL'!J613,"AAAAADNXFh8=")</f>
        <v>#VALUE!</v>
      </c>
      <c r="AG271">
        <f>IF('STERLING CATALOG - FZN &amp; CHILL'!614:614,"AAAAADNXFiA=",0)</f>
        <v>0</v>
      </c>
      <c r="AH271" t="e">
        <f>AND('STERLING CATALOG - FZN &amp; CHILL'!A614,"AAAAADNXFiE=")</f>
        <v>#VALUE!</v>
      </c>
      <c r="AI271" t="e">
        <f>AND('STERLING CATALOG - FZN &amp; CHILL'!B614,"AAAAADNXFiI=")</f>
        <v>#VALUE!</v>
      </c>
      <c r="AJ271" t="e">
        <f>AND('STERLING CATALOG - FZN &amp; CHILL'!C614,"AAAAADNXFiM=")</f>
        <v>#VALUE!</v>
      </c>
      <c r="AK271" t="e">
        <f>AND('STERLING CATALOG - FZN &amp; CHILL'!D614,"AAAAADNXFiQ=")</f>
        <v>#VALUE!</v>
      </c>
      <c r="AL271" t="e">
        <f>AND('STERLING CATALOG - FZN &amp; CHILL'!E614,"AAAAADNXFiU=")</f>
        <v>#VALUE!</v>
      </c>
      <c r="AM271" t="e">
        <f>AND('STERLING CATALOG - FZN &amp; CHILL'!F614,"AAAAADNXFiY=")</f>
        <v>#VALUE!</v>
      </c>
      <c r="AN271" t="e">
        <f>AND('STERLING CATALOG - FZN &amp; CHILL'!G614,"AAAAADNXFic=")</f>
        <v>#VALUE!</v>
      </c>
      <c r="AO271" t="e">
        <f>AND('STERLING CATALOG - FZN &amp; CHILL'!H614,"AAAAADNXFig=")</f>
        <v>#VALUE!</v>
      </c>
      <c r="AP271" t="e">
        <f>AND('STERLING CATALOG - FZN &amp; CHILL'!I614,"AAAAADNXFik=")</f>
        <v>#VALUE!</v>
      </c>
      <c r="AQ271" t="e">
        <f>AND('STERLING CATALOG - FZN &amp; CHILL'!J614,"AAAAADNXFio=")</f>
        <v>#VALUE!</v>
      </c>
      <c r="AR271">
        <f>IF('STERLING CATALOG - FZN &amp; CHILL'!615:615,"AAAAADNXFis=",0)</f>
        <v>0</v>
      </c>
      <c r="AS271" t="e">
        <f>AND('STERLING CATALOG - FZN &amp; CHILL'!A615,"AAAAADNXFiw=")</f>
        <v>#VALUE!</v>
      </c>
      <c r="AT271" t="e">
        <f>AND('STERLING CATALOG - FZN &amp; CHILL'!B615,"AAAAADNXFi0=")</f>
        <v>#VALUE!</v>
      </c>
      <c r="AU271" t="e">
        <f>AND('STERLING CATALOG - FZN &amp; CHILL'!C615,"AAAAADNXFi4=")</f>
        <v>#VALUE!</v>
      </c>
      <c r="AV271" t="e">
        <f>AND('STERLING CATALOG - FZN &amp; CHILL'!D615,"AAAAADNXFi8=")</f>
        <v>#VALUE!</v>
      </c>
      <c r="AW271" t="e">
        <f>AND('STERLING CATALOG - FZN &amp; CHILL'!E615,"AAAAADNXFjA=")</f>
        <v>#VALUE!</v>
      </c>
      <c r="AX271" t="e">
        <f>AND('STERLING CATALOG - FZN &amp; CHILL'!F615,"AAAAADNXFjE=")</f>
        <v>#VALUE!</v>
      </c>
      <c r="AY271" t="e">
        <f>AND('STERLING CATALOG - FZN &amp; CHILL'!G615,"AAAAADNXFjI=")</f>
        <v>#VALUE!</v>
      </c>
      <c r="AZ271" t="e">
        <f>AND('STERLING CATALOG - FZN &amp; CHILL'!H615,"AAAAADNXFjM=")</f>
        <v>#VALUE!</v>
      </c>
      <c r="BA271" t="e">
        <f>AND('STERLING CATALOG - FZN &amp; CHILL'!I615,"AAAAADNXFjQ=")</f>
        <v>#VALUE!</v>
      </c>
      <c r="BB271" t="e">
        <f>AND('STERLING CATALOG - FZN &amp; CHILL'!J615,"AAAAADNXFjU=")</f>
        <v>#VALUE!</v>
      </c>
      <c r="BC271">
        <f>IF('STERLING CATALOG - FZN &amp; CHILL'!616:616,"AAAAADNXFjY=",0)</f>
        <v>0</v>
      </c>
      <c r="BD271" t="e">
        <f>AND('STERLING CATALOG - FZN &amp; CHILL'!A616,"AAAAADNXFjc=")</f>
        <v>#VALUE!</v>
      </c>
      <c r="BE271" t="e">
        <f>AND('STERLING CATALOG - FZN &amp; CHILL'!B616,"AAAAADNXFjg=")</f>
        <v>#VALUE!</v>
      </c>
      <c r="BF271" t="e">
        <f>AND('STERLING CATALOG - FZN &amp; CHILL'!C616,"AAAAADNXFjk=")</f>
        <v>#VALUE!</v>
      </c>
      <c r="BG271" t="e">
        <f>AND('STERLING CATALOG - FZN &amp; CHILL'!D616,"AAAAADNXFjo=")</f>
        <v>#VALUE!</v>
      </c>
      <c r="BH271" t="e">
        <f>AND('STERLING CATALOG - FZN &amp; CHILL'!E616,"AAAAADNXFjs=")</f>
        <v>#VALUE!</v>
      </c>
      <c r="BI271" t="e">
        <f>AND('STERLING CATALOG - FZN &amp; CHILL'!F616,"AAAAADNXFjw=")</f>
        <v>#VALUE!</v>
      </c>
      <c r="BJ271" t="e">
        <f>AND('STERLING CATALOG - FZN &amp; CHILL'!G616,"AAAAADNXFj0=")</f>
        <v>#VALUE!</v>
      </c>
      <c r="BK271" t="e">
        <f>AND('STERLING CATALOG - FZN &amp; CHILL'!H616,"AAAAADNXFj4=")</f>
        <v>#VALUE!</v>
      </c>
      <c r="BL271" t="e">
        <f>AND('STERLING CATALOG - FZN &amp; CHILL'!I616,"AAAAADNXFj8=")</f>
        <v>#VALUE!</v>
      </c>
      <c r="BM271" t="e">
        <f>AND('STERLING CATALOG - FZN &amp; CHILL'!J616,"AAAAADNXFkA=")</f>
        <v>#VALUE!</v>
      </c>
      <c r="BN271">
        <f>IF('STERLING CATALOG - FZN &amp; CHILL'!617:617,"AAAAADNXFkE=",0)</f>
        <v>0</v>
      </c>
      <c r="BO271" t="e">
        <f>AND('STERLING CATALOG - FZN &amp; CHILL'!A617,"AAAAADNXFkI=")</f>
        <v>#VALUE!</v>
      </c>
      <c r="BP271" t="e">
        <f>AND('STERLING CATALOG - FZN &amp; CHILL'!B617,"AAAAADNXFkM=")</f>
        <v>#VALUE!</v>
      </c>
      <c r="BQ271" t="e">
        <f>AND('STERLING CATALOG - FZN &amp; CHILL'!C617,"AAAAADNXFkQ=")</f>
        <v>#VALUE!</v>
      </c>
      <c r="BR271" t="e">
        <f>AND('STERLING CATALOG - FZN &amp; CHILL'!D617,"AAAAADNXFkU=")</f>
        <v>#VALUE!</v>
      </c>
      <c r="BS271" t="e">
        <f>AND('STERLING CATALOG - FZN &amp; CHILL'!E617,"AAAAADNXFkY=")</f>
        <v>#VALUE!</v>
      </c>
      <c r="BT271" t="e">
        <f>AND('STERLING CATALOG - FZN &amp; CHILL'!F617,"AAAAADNXFkc=")</f>
        <v>#VALUE!</v>
      </c>
      <c r="BU271" t="e">
        <f>AND('STERLING CATALOG - FZN &amp; CHILL'!G617,"AAAAADNXFkg=")</f>
        <v>#VALUE!</v>
      </c>
      <c r="BV271" t="e">
        <f>AND('STERLING CATALOG - FZN &amp; CHILL'!H617,"AAAAADNXFkk=")</f>
        <v>#VALUE!</v>
      </c>
      <c r="BW271" t="e">
        <f>AND('STERLING CATALOG - FZN &amp; CHILL'!I617,"AAAAADNXFko=")</f>
        <v>#VALUE!</v>
      </c>
      <c r="BX271" t="e">
        <f>AND('STERLING CATALOG - FZN &amp; CHILL'!J617,"AAAAADNXFks=")</f>
        <v>#VALUE!</v>
      </c>
      <c r="BY271">
        <f>IF('STERLING CATALOG - FZN &amp; CHILL'!618:618,"AAAAADNXFkw=",0)</f>
        <v>0</v>
      </c>
      <c r="BZ271" t="e">
        <f>AND('STERLING CATALOG - FZN &amp; CHILL'!A618,"AAAAADNXFk0=")</f>
        <v>#VALUE!</v>
      </c>
      <c r="CA271" t="e">
        <f>AND('STERLING CATALOG - FZN &amp; CHILL'!B618,"AAAAADNXFk4=")</f>
        <v>#VALUE!</v>
      </c>
      <c r="CB271" t="e">
        <f>AND('STERLING CATALOG - FZN &amp; CHILL'!C618,"AAAAADNXFk8=")</f>
        <v>#VALUE!</v>
      </c>
      <c r="CC271" t="e">
        <f>AND('STERLING CATALOG - FZN &amp; CHILL'!D618,"AAAAADNXFlA=")</f>
        <v>#VALUE!</v>
      </c>
      <c r="CD271" t="e">
        <f>AND('STERLING CATALOG - FZN &amp; CHILL'!E618,"AAAAADNXFlE=")</f>
        <v>#VALUE!</v>
      </c>
      <c r="CE271" t="e">
        <f>AND('STERLING CATALOG - FZN &amp; CHILL'!F618,"AAAAADNXFlI=")</f>
        <v>#VALUE!</v>
      </c>
      <c r="CF271" t="e">
        <f>AND('STERLING CATALOG - FZN &amp; CHILL'!G618,"AAAAADNXFlM=")</f>
        <v>#VALUE!</v>
      </c>
      <c r="CG271" t="e">
        <f>AND('STERLING CATALOG - FZN &amp; CHILL'!H618,"AAAAADNXFlQ=")</f>
        <v>#VALUE!</v>
      </c>
      <c r="CH271" t="e">
        <f>AND('STERLING CATALOG - FZN &amp; CHILL'!I618,"AAAAADNXFlU=")</f>
        <v>#VALUE!</v>
      </c>
      <c r="CI271" t="e">
        <f>AND('STERLING CATALOG - FZN &amp; CHILL'!J618,"AAAAADNXFlY=")</f>
        <v>#VALUE!</v>
      </c>
      <c r="CJ271">
        <f>IF('STERLING CATALOG - FZN &amp; CHILL'!619:619,"AAAAADNXFlc=",0)</f>
        <v>0</v>
      </c>
      <c r="CK271" t="e">
        <f>AND('STERLING CATALOG - FZN &amp; CHILL'!A619,"AAAAADNXFlg=")</f>
        <v>#VALUE!</v>
      </c>
      <c r="CL271" t="e">
        <f>AND('STERLING CATALOG - FZN &amp; CHILL'!B619,"AAAAADNXFlk=")</f>
        <v>#VALUE!</v>
      </c>
      <c r="CM271" t="e">
        <f>AND('STERLING CATALOG - FZN &amp; CHILL'!C619,"AAAAADNXFlo=")</f>
        <v>#VALUE!</v>
      </c>
      <c r="CN271" t="e">
        <f>AND('STERLING CATALOG - FZN &amp; CHILL'!D619,"AAAAADNXFls=")</f>
        <v>#VALUE!</v>
      </c>
      <c r="CO271" t="e">
        <f>AND('STERLING CATALOG - FZN &amp; CHILL'!E619,"AAAAADNXFlw=")</f>
        <v>#VALUE!</v>
      </c>
      <c r="CP271" t="e">
        <f>AND('STERLING CATALOG - FZN &amp; CHILL'!F619,"AAAAADNXFl0=")</f>
        <v>#VALUE!</v>
      </c>
      <c r="CQ271" t="e">
        <f>AND('STERLING CATALOG - FZN &amp; CHILL'!G619,"AAAAADNXFl4=")</f>
        <v>#VALUE!</v>
      </c>
      <c r="CR271" t="e">
        <f>AND('STERLING CATALOG - FZN &amp; CHILL'!H619,"AAAAADNXFl8=")</f>
        <v>#VALUE!</v>
      </c>
      <c r="CS271" t="e">
        <f>AND('STERLING CATALOG - FZN &amp; CHILL'!I619,"AAAAADNXFmA=")</f>
        <v>#VALUE!</v>
      </c>
      <c r="CT271" t="e">
        <f>AND('STERLING CATALOG - FZN &amp; CHILL'!J619,"AAAAADNXFmE=")</f>
        <v>#VALUE!</v>
      </c>
      <c r="CU271">
        <f>IF('STERLING CATALOG - FZN &amp; CHILL'!620:620,"AAAAADNXFmI=",0)</f>
        <v>0</v>
      </c>
      <c r="CV271" t="e">
        <f>AND('STERLING CATALOG - FZN &amp; CHILL'!A620,"AAAAADNXFmM=")</f>
        <v>#VALUE!</v>
      </c>
      <c r="CW271" t="e">
        <f>AND('STERLING CATALOG - FZN &amp; CHILL'!B620,"AAAAADNXFmQ=")</f>
        <v>#VALUE!</v>
      </c>
      <c r="CX271" t="e">
        <f>AND('STERLING CATALOG - FZN &amp; CHILL'!C620,"AAAAADNXFmU=")</f>
        <v>#VALUE!</v>
      </c>
      <c r="CY271" t="e">
        <f>AND('STERLING CATALOG - FZN &amp; CHILL'!D620,"AAAAADNXFmY=")</f>
        <v>#VALUE!</v>
      </c>
      <c r="CZ271" t="e">
        <f>AND('STERLING CATALOG - FZN &amp; CHILL'!E620,"AAAAADNXFmc=")</f>
        <v>#VALUE!</v>
      </c>
      <c r="DA271" t="e">
        <f>AND('STERLING CATALOG - FZN &amp; CHILL'!F620,"AAAAADNXFmg=")</f>
        <v>#VALUE!</v>
      </c>
      <c r="DB271" t="e">
        <f>AND('STERLING CATALOG - FZN &amp; CHILL'!G620,"AAAAADNXFmk=")</f>
        <v>#VALUE!</v>
      </c>
      <c r="DC271" t="e">
        <f>AND('STERLING CATALOG - FZN &amp; CHILL'!H620,"AAAAADNXFmo=")</f>
        <v>#VALUE!</v>
      </c>
      <c r="DD271" t="e">
        <f>AND('STERLING CATALOG - FZN &amp; CHILL'!I620,"AAAAADNXFms=")</f>
        <v>#VALUE!</v>
      </c>
      <c r="DE271" t="e">
        <f>AND('STERLING CATALOG - FZN &amp; CHILL'!J620,"AAAAADNXFmw=")</f>
        <v>#VALUE!</v>
      </c>
      <c r="DF271">
        <f>IF('STERLING CATALOG - FZN &amp; CHILL'!621:621,"AAAAADNXFm0=",0)</f>
        <v>0</v>
      </c>
      <c r="DG271" t="e">
        <f>AND('STERLING CATALOG - FZN &amp; CHILL'!A621,"AAAAADNXFm4=")</f>
        <v>#VALUE!</v>
      </c>
      <c r="DH271" t="e">
        <f>AND('STERLING CATALOG - FZN &amp; CHILL'!B621,"AAAAADNXFm8=")</f>
        <v>#VALUE!</v>
      </c>
      <c r="DI271" t="e">
        <f>AND('STERLING CATALOG - FZN &amp; CHILL'!C621,"AAAAADNXFnA=")</f>
        <v>#VALUE!</v>
      </c>
      <c r="DJ271" t="e">
        <f>AND('STERLING CATALOG - FZN &amp; CHILL'!D621,"AAAAADNXFnE=")</f>
        <v>#VALUE!</v>
      </c>
      <c r="DK271" t="e">
        <f>AND('STERLING CATALOG - FZN &amp; CHILL'!E621,"AAAAADNXFnI=")</f>
        <v>#VALUE!</v>
      </c>
      <c r="DL271" t="e">
        <f>AND('STERLING CATALOG - FZN &amp; CHILL'!F621,"AAAAADNXFnM=")</f>
        <v>#VALUE!</v>
      </c>
      <c r="DM271" t="e">
        <f>AND('STERLING CATALOG - FZN &amp; CHILL'!G621,"AAAAADNXFnQ=")</f>
        <v>#VALUE!</v>
      </c>
      <c r="DN271" t="e">
        <f>AND('STERLING CATALOG - FZN &amp; CHILL'!H621,"AAAAADNXFnU=")</f>
        <v>#VALUE!</v>
      </c>
      <c r="DO271" t="e">
        <f>AND('STERLING CATALOG - FZN &amp; CHILL'!I621,"AAAAADNXFnY=")</f>
        <v>#VALUE!</v>
      </c>
      <c r="DP271" t="e">
        <f>AND('STERLING CATALOG - FZN &amp; CHILL'!J621,"AAAAADNXFnc=")</f>
        <v>#VALUE!</v>
      </c>
      <c r="DQ271">
        <f>IF('STERLING CATALOG - FZN &amp; CHILL'!622:622,"AAAAADNXFng=",0)</f>
        <v>0</v>
      </c>
      <c r="DR271" t="e">
        <f>AND('STERLING CATALOG - FZN &amp; CHILL'!A622,"AAAAADNXFnk=")</f>
        <v>#VALUE!</v>
      </c>
      <c r="DS271" t="e">
        <f>AND('STERLING CATALOG - FZN &amp; CHILL'!B622,"AAAAADNXFno=")</f>
        <v>#VALUE!</v>
      </c>
      <c r="DT271" t="e">
        <f>AND('STERLING CATALOG - FZN &amp; CHILL'!C622,"AAAAADNXFns=")</f>
        <v>#VALUE!</v>
      </c>
      <c r="DU271" t="e">
        <f>AND('STERLING CATALOG - FZN &amp; CHILL'!D622,"AAAAADNXFnw=")</f>
        <v>#VALUE!</v>
      </c>
      <c r="DV271" t="e">
        <f>AND('STERLING CATALOG - FZN &amp; CHILL'!E622,"AAAAADNXFn0=")</f>
        <v>#VALUE!</v>
      </c>
      <c r="DW271" t="e">
        <f>AND('STERLING CATALOG - FZN &amp; CHILL'!F622,"AAAAADNXFn4=")</f>
        <v>#VALUE!</v>
      </c>
      <c r="DX271" t="e">
        <f>AND('STERLING CATALOG - FZN &amp; CHILL'!G622,"AAAAADNXFn8=")</f>
        <v>#VALUE!</v>
      </c>
      <c r="DY271" t="e">
        <f>AND('STERLING CATALOG - FZN &amp; CHILL'!H622,"AAAAADNXFoA=")</f>
        <v>#VALUE!</v>
      </c>
      <c r="DZ271" t="e">
        <f>AND('STERLING CATALOG - FZN &amp; CHILL'!I622,"AAAAADNXFoE=")</f>
        <v>#VALUE!</v>
      </c>
      <c r="EA271" t="e">
        <f>AND('STERLING CATALOG - FZN &amp; CHILL'!J622,"AAAAADNXFoI=")</f>
        <v>#VALUE!</v>
      </c>
      <c r="EB271">
        <f>IF('STERLING CATALOG - FZN &amp; CHILL'!623:623,"AAAAADNXFoM=",0)</f>
        <v>0</v>
      </c>
      <c r="EC271" t="e">
        <f>AND('STERLING CATALOG - FZN &amp; CHILL'!A623,"AAAAADNXFoQ=")</f>
        <v>#VALUE!</v>
      </c>
      <c r="ED271" t="e">
        <f>AND('STERLING CATALOG - FZN &amp; CHILL'!B623,"AAAAADNXFoU=")</f>
        <v>#VALUE!</v>
      </c>
      <c r="EE271" t="e">
        <f>AND('STERLING CATALOG - FZN &amp; CHILL'!C623,"AAAAADNXFoY=")</f>
        <v>#VALUE!</v>
      </c>
      <c r="EF271" t="e">
        <f>AND('STERLING CATALOG - FZN &amp; CHILL'!D623,"AAAAADNXFoc=")</f>
        <v>#VALUE!</v>
      </c>
      <c r="EG271" t="e">
        <f>AND('STERLING CATALOG - FZN &amp; CHILL'!E623,"AAAAADNXFog=")</f>
        <v>#VALUE!</v>
      </c>
      <c r="EH271" t="e">
        <f>AND('STERLING CATALOG - FZN &amp; CHILL'!F623,"AAAAADNXFok=")</f>
        <v>#VALUE!</v>
      </c>
      <c r="EI271" t="e">
        <f>AND('STERLING CATALOG - FZN &amp; CHILL'!G623,"AAAAADNXFoo=")</f>
        <v>#VALUE!</v>
      </c>
      <c r="EJ271" t="e">
        <f>AND('STERLING CATALOG - FZN &amp; CHILL'!H623,"AAAAADNXFos=")</f>
        <v>#VALUE!</v>
      </c>
      <c r="EK271" t="e">
        <f>AND('STERLING CATALOG - FZN &amp; CHILL'!I623,"AAAAADNXFow=")</f>
        <v>#VALUE!</v>
      </c>
      <c r="EL271" t="e">
        <f>AND('STERLING CATALOG - FZN &amp; CHILL'!J623,"AAAAADNXFo0=")</f>
        <v>#VALUE!</v>
      </c>
      <c r="EM271">
        <f>IF('STERLING CATALOG - FZN &amp; CHILL'!624:624,"AAAAADNXFo4=",0)</f>
        <v>0</v>
      </c>
      <c r="EN271" t="e">
        <f>AND('STERLING CATALOG - FZN &amp; CHILL'!A624,"AAAAADNXFo8=")</f>
        <v>#VALUE!</v>
      </c>
      <c r="EO271" t="e">
        <f>AND('STERLING CATALOG - FZN &amp; CHILL'!B624,"AAAAADNXFpA=")</f>
        <v>#VALUE!</v>
      </c>
      <c r="EP271" t="e">
        <f>AND('STERLING CATALOG - FZN &amp; CHILL'!C624,"AAAAADNXFpE=")</f>
        <v>#VALUE!</v>
      </c>
      <c r="EQ271" t="e">
        <f>AND('STERLING CATALOG - FZN &amp; CHILL'!D624,"AAAAADNXFpI=")</f>
        <v>#VALUE!</v>
      </c>
      <c r="ER271" t="e">
        <f>AND('STERLING CATALOG - FZN &amp; CHILL'!E624,"AAAAADNXFpM=")</f>
        <v>#VALUE!</v>
      </c>
      <c r="ES271" t="e">
        <f>AND('STERLING CATALOG - FZN &amp; CHILL'!F624,"AAAAADNXFpQ=")</f>
        <v>#VALUE!</v>
      </c>
      <c r="ET271" t="e">
        <f>AND('STERLING CATALOG - FZN &amp; CHILL'!G624,"AAAAADNXFpU=")</f>
        <v>#VALUE!</v>
      </c>
      <c r="EU271" t="e">
        <f>AND('STERLING CATALOG - FZN &amp; CHILL'!H624,"AAAAADNXFpY=")</f>
        <v>#VALUE!</v>
      </c>
      <c r="EV271" t="e">
        <f>AND('STERLING CATALOG - FZN &amp; CHILL'!I624,"AAAAADNXFpc=")</f>
        <v>#VALUE!</v>
      </c>
      <c r="EW271" t="e">
        <f>AND('STERLING CATALOG - FZN &amp; CHILL'!J624,"AAAAADNXFpg=")</f>
        <v>#VALUE!</v>
      </c>
      <c r="EX271">
        <f>IF('STERLING CATALOG - FZN &amp; CHILL'!625:625,"AAAAADNXFpk=",0)</f>
        <v>0</v>
      </c>
      <c r="EY271" t="e">
        <f>AND('STERLING CATALOG - FZN &amp; CHILL'!A625,"AAAAADNXFpo=")</f>
        <v>#VALUE!</v>
      </c>
      <c r="EZ271" t="e">
        <f>AND('STERLING CATALOG - FZN &amp; CHILL'!B625,"AAAAADNXFps=")</f>
        <v>#VALUE!</v>
      </c>
      <c r="FA271" t="e">
        <f>AND('STERLING CATALOG - FZN &amp; CHILL'!C625,"AAAAADNXFpw=")</f>
        <v>#VALUE!</v>
      </c>
      <c r="FB271" t="e">
        <f>AND('STERLING CATALOG - FZN &amp; CHILL'!D625,"AAAAADNXFp0=")</f>
        <v>#VALUE!</v>
      </c>
      <c r="FC271" t="e">
        <f>AND('STERLING CATALOG - FZN &amp; CHILL'!E625,"AAAAADNXFp4=")</f>
        <v>#VALUE!</v>
      </c>
      <c r="FD271" t="e">
        <f>AND('STERLING CATALOG - FZN &amp; CHILL'!F625,"AAAAADNXFp8=")</f>
        <v>#VALUE!</v>
      </c>
      <c r="FE271" t="e">
        <f>AND('STERLING CATALOG - FZN &amp; CHILL'!G625,"AAAAADNXFqA=")</f>
        <v>#VALUE!</v>
      </c>
      <c r="FF271" t="e">
        <f>AND('STERLING CATALOG - FZN &amp; CHILL'!H625,"AAAAADNXFqE=")</f>
        <v>#VALUE!</v>
      </c>
      <c r="FG271" t="e">
        <f>AND('STERLING CATALOG - FZN &amp; CHILL'!I625,"AAAAADNXFqI=")</f>
        <v>#VALUE!</v>
      </c>
      <c r="FH271" t="e">
        <f>AND('STERLING CATALOG - FZN &amp; CHILL'!J625,"AAAAADNXFqM=")</f>
        <v>#VALUE!</v>
      </c>
      <c r="FI271">
        <f>IF('STERLING CATALOG - FZN &amp; CHILL'!626:626,"AAAAADNXFqQ=",0)</f>
        <v>0</v>
      </c>
      <c r="FJ271" t="e">
        <f>AND('STERLING CATALOG - FZN &amp; CHILL'!A626,"AAAAADNXFqU=")</f>
        <v>#VALUE!</v>
      </c>
      <c r="FK271" t="e">
        <f>AND('STERLING CATALOG - FZN &amp; CHILL'!B626,"AAAAADNXFqY=")</f>
        <v>#VALUE!</v>
      </c>
      <c r="FL271" t="e">
        <f>AND('STERLING CATALOG - FZN &amp; CHILL'!C626,"AAAAADNXFqc=")</f>
        <v>#VALUE!</v>
      </c>
      <c r="FM271" t="e">
        <f>AND('STERLING CATALOG - FZN &amp; CHILL'!D626,"AAAAADNXFqg=")</f>
        <v>#VALUE!</v>
      </c>
      <c r="FN271" t="e">
        <f>AND('STERLING CATALOG - FZN &amp; CHILL'!E626,"AAAAADNXFqk=")</f>
        <v>#VALUE!</v>
      </c>
      <c r="FO271" t="e">
        <f>AND('STERLING CATALOG - FZN &amp; CHILL'!F626,"AAAAADNXFqo=")</f>
        <v>#VALUE!</v>
      </c>
      <c r="FP271" t="e">
        <f>AND('STERLING CATALOG - FZN &amp; CHILL'!G626,"AAAAADNXFqs=")</f>
        <v>#VALUE!</v>
      </c>
      <c r="FQ271" t="e">
        <f>AND('STERLING CATALOG - FZN &amp; CHILL'!H626,"AAAAADNXFqw=")</f>
        <v>#VALUE!</v>
      </c>
      <c r="FR271" t="e">
        <f>AND('STERLING CATALOG - FZN &amp; CHILL'!I626,"AAAAADNXFq0=")</f>
        <v>#VALUE!</v>
      </c>
      <c r="FS271" t="e">
        <f>AND('STERLING CATALOG - FZN &amp; CHILL'!J626,"AAAAADNXFq4=")</f>
        <v>#VALUE!</v>
      </c>
      <c r="FT271">
        <f>IF('STERLING CATALOG - FZN &amp; CHILL'!627:627,"AAAAADNXFq8=",0)</f>
        <v>0</v>
      </c>
      <c r="FU271" t="e">
        <f>AND('STERLING CATALOG - FZN &amp; CHILL'!A627,"AAAAADNXFrA=")</f>
        <v>#VALUE!</v>
      </c>
      <c r="FV271" t="e">
        <f>AND('STERLING CATALOG - FZN &amp; CHILL'!B627,"AAAAADNXFrE=")</f>
        <v>#VALUE!</v>
      </c>
      <c r="FW271" t="e">
        <f>AND('STERLING CATALOG - FZN &amp; CHILL'!C627,"AAAAADNXFrI=")</f>
        <v>#VALUE!</v>
      </c>
      <c r="FX271" t="e">
        <f>AND('STERLING CATALOG - FZN &amp; CHILL'!D627,"AAAAADNXFrM=")</f>
        <v>#VALUE!</v>
      </c>
      <c r="FY271" t="e">
        <f>AND('STERLING CATALOG - FZN &amp; CHILL'!E627,"AAAAADNXFrQ=")</f>
        <v>#VALUE!</v>
      </c>
      <c r="FZ271" t="e">
        <f>AND('STERLING CATALOG - FZN &amp; CHILL'!F627,"AAAAADNXFrU=")</f>
        <v>#VALUE!</v>
      </c>
      <c r="GA271" t="e">
        <f>AND('STERLING CATALOG - FZN &amp; CHILL'!G627,"AAAAADNXFrY=")</f>
        <v>#VALUE!</v>
      </c>
      <c r="GB271" t="e">
        <f>AND('STERLING CATALOG - FZN &amp; CHILL'!H627,"AAAAADNXFrc=")</f>
        <v>#VALUE!</v>
      </c>
      <c r="GC271" t="e">
        <f>AND('STERLING CATALOG - FZN &amp; CHILL'!I627,"AAAAADNXFrg=")</f>
        <v>#VALUE!</v>
      </c>
      <c r="GD271" t="e">
        <f>AND('STERLING CATALOG - FZN &amp; CHILL'!J627,"AAAAADNXFrk=")</f>
        <v>#VALUE!</v>
      </c>
      <c r="GE271">
        <f>IF('STERLING CATALOG - FZN &amp; CHILL'!628:628,"AAAAADNXFro=",0)</f>
        <v>0</v>
      </c>
      <c r="GF271" t="e">
        <f>AND('STERLING CATALOG - FZN &amp; CHILL'!A628,"AAAAADNXFrs=")</f>
        <v>#VALUE!</v>
      </c>
      <c r="GG271" t="e">
        <f>AND('STERLING CATALOG - FZN &amp; CHILL'!B628,"AAAAADNXFrw=")</f>
        <v>#VALUE!</v>
      </c>
      <c r="GH271" t="e">
        <f>AND('STERLING CATALOG - FZN &amp; CHILL'!C628,"AAAAADNXFr0=")</f>
        <v>#VALUE!</v>
      </c>
      <c r="GI271" t="e">
        <f>AND('STERLING CATALOG - FZN &amp; CHILL'!D628,"AAAAADNXFr4=")</f>
        <v>#VALUE!</v>
      </c>
      <c r="GJ271" t="e">
        <f>AND('STERLING CATALOG - FZN &amp; CHILL'!E628,"AAAAADNXFr8=")</f>
        <v>#VALUE!</v>
      </c>
      <c r="GK271" t="e">
        <f>AND('STERLING CATALOG - FZN &amp; CHILL'!F628,"AAAAADNXFsA=")</f>
        <v>#VALUE!</v>
      </c>
      <c r="GL271" t="e">
        <f>AND('STERLING CATALOG - FZN &amp; CHILL'!G628,"AAAAADNXFsE=")</f>
        <v>#VALUE!</v>
      </c>
      <c r="GM271" t="e">
        <f>AND('STERLING CATALOG - FZN &amp; CHILL'!H628,"AAAAADNXFsI=")</f>
        <v>#VALUE!</v>
      </c>
      <c r="GN271" t="e">
        <f>AND('STERLING CATALOG - FZN &amp; CHILL'!I628,"AAAAADNXFsM=")</f>
        <v>#VALUE!</v>
      </c>
      <c r="GO271" t="e">
        <f>AND('STERLING CATALOG - FZN &amp; CHILL'!J628,"AAAAADNXFsQ=")</f>
        <v>#VALUE!</v>
      </c>
      <c r="GP271">
        <f>IF('STERLING CATALOG - FZN &amp; CHILL'!629:629,"AAAAADNXFsU=",0)</f>
        <v>0</v>
      </c>
      <c r="GQ271" t="e">
        <f>AND('STERLING CATALOG - FZN &amp; CHILL'!A629,"AAAAADNXFsY=")</f>
        <v>#VALUE!</v>
      </c>
      <c r="GR271" t="e">
        <f>AND('STERLING CATALOG - FZN &amp; CHILL'!B629,"AAAAADNXFsc=")</f>
        <v>#VALUE!</v>
      </c>
      <c r="GS271" t="e">
        <f>AND('STERLING CATALOG - FZN &amp; CHILL'!C629,"AAAAADNXFsg=")</f>
        <v>#VALUE!</v>
      </c>
      <c r="GT271" t="e">
        <f>AND('STERLING CATALOG - FZN &amp; CHILL'!D629,"AAAAADNXFsk=")</f>
        <v>#VALUE!</v>
      </c>
      <c r="GU271" t="e">
        <f>AND('STERLING CATALOG - FZN &amp; CHILL'!E629,"AAAAADNXFso=")</f>
        <v>#VALUE!</v>
      </c>
      <c r="GV271" t="e">
        <f>AND('STERLING CATALOG - FZN &amp; CHILL'!F629,"AAAAADNXFss=")</f>
        <v>#VALUE!</v>
      </c>
      <c r="GW271" t="e">
        <f>AND('STERLING CATALOG - FZN &amp; CHILL'!G629,"AAAAADNXFsw=")</f>
        <v>#VALUE!</v>
      </c>
      <c r="GX271" t="e">
        <f>AND('STERLING CATALOG - FZN &amp; CHILL'!H629,"AAAAADNXFs0=")</f>
        <v>#VALUE!</v>
      </c>
      <c r="GY271" t="e">
        <f>AND('STERLING CATALOG - FZN &amp; CHILL'!I629,"AAAAADNXFs4=")</f>
        <v>#VALUE!</v>
      </c>
      <c r="GZ271" t="e">
        <f>AND('STERLING CATALOG - FZN &amp; CHILL'!J629,"AAAAADNXFs8=")</f>
        <v>#VALUE!</v>
      </c>
      <c r="HA271">
        <f>IF('STERLING CATALOG - FZN &amp; CHILL'!630:630,"AAAAADNXFtA=",0)</f>
        <v>0</v>
      </c>
      <c r="HB271" t="e">
        <f>AND('STERLING CATALOG - FZN &amp; CHILL'!A630,"AAAAADNXFtE=")</f>
        <v>#VALUE!</v>
      </c>
      <c r="HC271" t="e">
        <f>AND('STERLING CATALOG - FZN &amp; CHILL'!B630,"AAAAADNXFtI=")</f>
        <v>#VALUE!</v>
      </c>
      <c r="HD271" t="e">
        <f>AND('STERLING CATALOG - FZN &amp; CHILL'!C630,"AAAAADNXFtM=")</f>
        <v>#VALUE!</v>
      </c>
      <c r="HE271" t="e">
        <f>AND('STERLING CATALOG - FZN &amp; CHILL'!D630,"AAAAADNXFtQ=")</f>
        <v>#VALUE!</v>
      </c>
      <c r="HF271" t="e">
        <f>AND('STERLING CATALOG - FZN &amp; CHILL'!E630,"AAAAADNXFtU=")</f>
        <v>#VALUE!</v>
      </c>
      <c r="HG271" t="e">
        <f>AND('STERLING CATALOG - FZN &amp; CHILL'!F630,"AAAAADNXFtY=")</f>
        <v>#VALUE!</v>
      </c>
      <c r="HH271" t="e">
        <f>AND('STERLING CATALOG - FZN &amp; CHILL'!G630,"AAAAADNXFtc=")</f>
        <v>#VALUE!</v>
      </c>
      <c r="HI271" t="e">
        <f>AND('STERLING CATALOG - FZN &amp; CHILL'!H630,"AAAAADNXFtg=")</f>
        <v>#VALUE!</v>
      </c>
      <c r="HJ271" t="e">
        <f>AND('STERLING CATALOG - FZN &amp; CHILL'!I630,"AAAAADNXFtk=")</f>
        <v>#VALUE!</v>
      </c>
      <c r="HK271" t="e">
        <f>AND('STERLING CATALOG - FZN &amp; CHILL'!J630,"AAAAADNXFto=")</f>
        <v>#VALUE!</v>
      </c>
      <c r="HL271">
        <f>IF('STERLING CATALOG - FZN &amp; CHILL'!631:631,"AAAAADNXFts=",0)</f>
        <v>0</v>
      </c>
      <c r="HM271" t="e">
        <f>AND('STERLING CATALOG - FZN &amp; CHILL'!A631,"AAAAADNXFtw=")</f>
        <v>#VALUE!</v>
      </c>
      <c r="HN271" t="e">
        <f>AND('STERLING CATALOG - FZN &amp; CHILL'!B631,"AAAAADNXFt0=")</f>
        <v>#VALUE!</v>
      </c>
      <c r="HO271" t="e">
        <f>AND('STERLING CATALOG - FZN &amp; CHILL'!C631,"AAAAADNXFt4=")</f>
        <v>#VALUE!</v>
      </c>
      <c r="HP271" t="e">
        <f>AND('STERLING CATALOG - FZN &amp; CHILL'!D631,"AAAAADNXFt8=")</f>
        <v>#VALUE!</v>
      </c>
      <c r="HQ271" t="e">
        <f>AND('STERLING CATALOG - FZN &amp; CHILL'!E631,"AAAAADNXFuA=")</f>
        <v>#VALUE!</v>
      </c>
      <c r="HR271" t="e">
        <f>AND('STERLING CATALOG - FZN &amp; CHILL'!F631,"AAAAADNXFuE=")</f>
        <v>#VALUE!</v>
      </c>
      <c r="HS271" t="e">
        <f>AND('STERLING CATALOG - FZN &amp; CHILL'!G631,"AAAAADNXFuI=")</f>
        <v>#VALUE!</v>
      </c>
      <c r="HT271" t="e">
        <f>AND('STERLING CATALOG - FZN &amp; CHILL'!H631,"AAAAADNXFuM=")</f>
        <v>#VALUE!</v>
      </c>
      <c r="HU271" t="e">
        <f>AND('STERLING CATALOG - FZN &amp; CHILL'!I631,"AAAAADNXFuQ=")</f>
        <v>#VALUE!</v>
      </c>
      <c r="HV271" t="e">
        <f>AND('STERLING CATALOG - FZN &amp; CHILL'!J631,"AAAAADNXFuU=")</f>
        <v>#VALUE!</v>
      </c>
      <c r="HW271">
        <f>IF('STERLING CATALOG - FZN &amp; CHILL'!632:632,"AAAAADNXFuY=",0)</f>
        <v>0</v>
      </c>
      <c r="HX271" t="e">
        <f>AND('STERLING CATALOG - FZN &amp; CHILL'!A632,"AAAAADNXFuc=")</f>
        <v>#VALUE!</v>
      </c>
      <c r="HY271" t="e">
        <f>AND('STERLING CATALOG - FZN &amp; CHILL'!B632,"AAAAADNXFug=")</f>
        <v>#VALUE!</v>
      </c>
      <c r="HZ271" t="e">
        <f>AND('STERLING CATALOG - FZN &amp; CHILL'!C632,"AAAAADNXFuk=")</f>
        <v>#VALUE!</v>
      </c>
      <c r="IA271" t="e">
        <f>AND('STERLING CATALOG - FZN &amp; CHILL'!D632,"AAAAADNXFuo=")</f>
        <v>#VALUE!</v>
      </c>
      <c r="IB271" t="e">
        <f>AND('STERLING CATALOG - FZN &amp; CHILL'!E632,"AAAAADNXFus=")</f>
        <v>#VALUE!</v>
      </c>
      <c r="IC271" t="e">
        <f>AND('STERLING CATALOG - FZN &amp; CHILL'!F632,"AAAAADNXFuw=")</f>
        <v>#VALUE!</v>
      </c>
      <c r="ID271" t="e">
        <f>AND('STERLING CATALOG - FZN &amp; CHILL'!G632,"AAAAADNXFu0=")</f>
        <v>#VALUE!</v>
      </c>
      <c r="IE271" t="e">
        <f>AND('STERLING CATALOG - FZN &amp; CHILL'!H632,"AAAAADNXFu4=")</f>
        <v>#VALUE!</v>
      </c>
      <c r="IF271" t="e">
        <f>AND('STERLING CATALOG - FZN &amp; CHILL'!I632,"AAAAADNXFu8=")</f>
        <v>#VALUE!</v>
      </c>
      <c r="IG271" t="e">
        <f>AND('STERLING CATALOG - FZN &amp; CHILL'!J632,"AAAAADNXFvA=")</f>
        <v>#VALUE!</v>
      </c>
      <c r="IH271">
        <f>IF('STERLING CATALOG - FZN &amp; CHILL'!633:633,"AAAAADNXFvE=",0)</f>
        <v>0</v>
      </c>
      <c r="II271" t="e">
        <f>AND('STERLING CATALOG - FZN &amp; CHILL'!A633,"AAAAADNXFvI=")</f>
        <v>#VALUE!</v>
      </c>
      <c r="IJ271" t="e">
        <f>AND('STERLING CATALOG - FZN &amp; CHILL'!B633,"AAAAADNXFvM=")</f>
        <v>#VALUE!</v>
      </c>
      <c r="IK271" t="e">
        <f>AND('STERLING CATALOG - FZN &amp; CHILL'!C633,"AAAAADNXFvQ=")</f>
        <v>#VALUE!</v>
      </c>
      <c r="IL271" t="e">
        <f>AND('STERLING CATALOG - FZN &amp; CHILL'!D633,"AAAAADNXFvU=")</f>
        <v>#VALUE!</v>
      </c>
      <c r="IM271" t="e">
        <f>AND('STERLING CATALOG - FZN &amp; CHILL'!E633,"AAAAADNXFvY=")</f>
        <v>#VALUE!</v>
      </c>
      <c r="IN271" t="e">
        <f>AND('STERLING CATALOG - FZN &amp; CHILL'!F633,"AAAAADNXFvc=")</f>
        <v>#VALUE!</v>
      </c>
      <c r="IO271" t="e">
        <f>AND('STERLING CATALOG - FZN &amp; CHILL'!G633,"AAAAADNXFvg=")</f>
        <v>#VALUE!</v>
      </c>
      <c r="IP271" t="e">
        <f>AND('STERLING CATALOG - FZN &amp; CHILL'!H633,"AAAAADNXFvk=")</f>
        <v>#VALUE!</v>
      </c>
      <c r="IQ271" t="e">
        <f>AND('STERLING CATALOG - FZN &amp; CHILL'!I633,"AAAAADNXFvo=")</f>
        <v>#VALUE!</v>
      </c>
      <c r="IR271" t="e">
        <f>AND('STERLING CATALOG - FZN &amp; CHILL'!J633,"AAAAADNXFvs=")</f>
        <v>#VALUE!</v>
      </c>
      <c r="IS271">
        <f>IF('STERLING CATALOG - FZN &amp; CHILL'!634:634,"AAAAADNXFvw=",0)</f>
        <v>0</v>
      </c>
      <c r="IT271" t="e">
        <f>AND('STERLING CATALOG - FZN &amp; CHILL'!A634,"AAAAADNXFv0=")</f>
        <v>#VALUE!</v>
      </c>
      <c r="IU271" t="e">
        <f>AND('STERLING CATALOG - FZN &amp; CHILL'!B634,"AAAAADNXFv4=")</f>
        <v>#VALUE!</v>
      </c>
      <c r="IV271" t="e">
        <f>AND('STERLING CATALOG - FZN &amp; CHILL'!C634,"AAAAADNXFv8=")</f>
        <v>#VALUE!</v>
      </c>
    </row>
    <row r="272" spans="1:256">
      <c r="A272" t="e">
        <f>AND('STERLING CATALOG - FZN &amp; CHILL'!D634,"AAAAAHfu5gA=")</f>
        <v>#VALUE!</v>
      </c>
      <c r="B272" t="e">
        <f>AND('STERLING CATALOG - FZN &amp; CHILL'!E634,"AAAAAHfu5gE=")</f>
        <v>#VALUE!</v>
      </c>
      <c r="C272" t="e">
        <f>AND('STERLING CATALOG - FZN &amp; CHILL'!F634,"AAAAAHfu5gI=")</f>
        <v>#VALUE!</v>
      </c>
      <c r="D272" t="e">
        <f>AND('STERLING CATALOG - FZN &amp; CHILL'!G634,"AAAAAHfu5gM=")</f>
        <v>#VALUE!</v>
      </c>
      <c r="E272" t="e">
        <f>AND('STERLING CATALOG - FZN &amp; CHILL'!H634,"AAAAAHfu5gQ=")</f>
        <v>#VALUE!</v>
      </c>
      <c r="F272" t="e">
        <f>AND('STERLING CATALOG - FZN &amp; CHILL'!I634,"AAAAAHfu5gU=")</f>
        <v>#VALUE!</v>
      </c>
      <c r="G272" t="e">
        <f>AND('STERLING CATALOG - FZN &amp; CHILL'!J634,"AAAAAHfu5gY=")</f>
        <v>#VALUE!</v>
      </c>
      <c r="H272" t="str">
        <f>IF('STERLING CATALOG - FZN &amp; CHILL'!635:635,"AAAAAHfu5gc=",0)</f>
        <v>AAAAAHfu5gc=</v>
      </c>
      <c r="I272" t="e">
        <f>AND('STERLING CATALOG - FZN &amp; CHILL'!A635,"AAAAAHfu5gg=")</f>
        <v>#VALUE!</v>
      </c>
      <c r="J272" t="e">
        <f>AND('STERLING CATALOG - FZN &amp; CHILL'!B635,"AAAAAHfu5gk=")</f>
        <v>#VALUE!</v>
      </c>
      <c r="K272" t="e">
        <f>AND('STERLING CATALOG - FZN &amp; CHILL'!C635,"AAAAAHfu5go=")</f>
        <v>#VALUE!</v>
      </c>
      <c r="L272" t="e">
        <f>AND('STERLING CATALOG - FZN &amp; CHILL'!D635,"AAAAAHfu5gs=")</f>
        <v>#VALUE!</v>
      </c>
      <c r="M272" t="e">
        <f>AND('STERLING CATALOG - FZN &amp; CHILL'!E635,"AAAAAHfu5gw=")</f>
        <v>#VALUE!</v>
      </c>
      <c r="N272" t="e">
        <f>AND('STERLING CATALOG - FZN &amp; CHILL'!F635,"AAAAAHfu5g0=")</f>
        <v>#VALUE!</v>
      </c>
      <c r="O272" t="e">
        <f>AND('STERLING CATALOG - FZN &amp; CHILL'!G635,"AAAAAHfu5g4=")</f>
        <v>#VALUE!</v>
      </c>
      <c r="P272" t="e">
        <f>AND('STERLING CATALOG - FZN &amp; CHILL'!H635,"AAAAAHfu5g8=")</f>
        <v>#VALUE!</v>
      </c>
      <c r="Q272" t="e">
        <f>AND('STERLING CATALOG - FZN &amp; CHILL'!I635,"AAAAAHfu5hA=")</f>
        <v>#VALUE!</v>
      </c>
      <c r="R272" t="e">
        <f>AND('STERLING CATALOG - FZN &amp; CHILL'!J635,"AAAAAHfu5hE=")</f>
        <v>#VALUE!</v>
      </c>
      <c r="S272">
        <f>IF('STERLING CATALOG - FZN &amp; CHILL'!636:636,"AAAAAHfu5hI=",0)</f>
        <v>0</v>
      </c>
      <c r="T272" t="e">
        <f>AND('STERLING CATALOG - FZN &amp; CHILL'!A636,"AAAAAHfu5hM=")</f>
        <v>#VALUE!</v>
      </c>
      <c r="U272" t="e">
        <f>AND('STERLING CATALOG - FZN &amp; CHILL'!B636,"AAAAAHfu5hQ=")</f>
        <v>#VALUE!</v>
      </c>
      <c r="V272" t="e">
        <f>AND('STERLING CATALOG - FZN &amp; CHILL'!C636,"AAAAAHfu5hU=")</f>
        <v>#VALUE!</v>
      </c>
      <c r="W272" t="e">
        <f>AND('STERLING CATALOG - FZN &amp; CHILL'!D636,"AAAAAHfu5hY=")</f>
        <v>#VALUE!</v>
      </c>
      <c r="X272" t="e">
        <f>AND('STERLING CATALOG - FZN &amp; CHILL'!E636,"AAAAAHfu5hc=")</f>
        <v>#VALUE!</v>
      </c>
      <c r="Y272" t="e">
        <f>AND('STERLING CATALOG - FZN &amp; CHILL'!F636,"AAAAAHfu5hg=")</f>
        <v>#VALUE!</v>
      </c>
      <c r="Z272" t="e">
        <f>AND('STERLING CATALOG - FZN &amp; CHILL'!G636,"AAAAAHfu5hk=")</f>
        <v>#VALUE!</v>
      </c>
      <c r="AA272" t="e">
        <f>AND('STERLING CATALOG - FZN &amp; CHILL'!H636,"AAAAAHfu5ho=")</f>
        <v>#VALUE!</v>
      </c>
      <c r="AB272" t="e">
        <f>AND('STERLING CATALOG - FZN &amp; CHILL'!I636,"AAAAAHfu5hs=")</f>
        <v>#VALUE!</v>
      </c>
      <c r="AC272" t="e">
        <f>AND('STERLING CATALOG - FZN &amp; CHILL'!J636,"AAAAAHfu5hw=")</f>
        <v>#VALUE!</v>
      </c>
      <c r="AD272">
        <f>IF('STERLING CATALOG - FZN &amp; CHILL'!637:637,"AAAAAHfu5h0=",0)</f>
        <v>0</v>
      </c>
      <c r="AE272" t="e">
        <f>AND('STERLING CATALOG - FZN &amp; CHILL'!A637,"AAAAAHfu5h4=")</f>
        <v>#VALUE!</v>
      </c>
      <c r="AF272" t="e">
        <f>AND('STERLING CATALOG - FZN &amp; CHILL'!B637,"AAAAAHfu5h8=")</f>
        <v>#VALUE!</v>
      </c>
      <c r="AG272" t="e">
        <f>AND('STERLING CATALOG - FZN &amp; CHILL'!C637,"AAAAAHfu5iA=")</f>
        <v>#VALUE!</v>
      </c>
      <c r="AH272" t="e">
        <f>AND('STERLING CATALOG - FZN &amp; CHILL'!D637,"AAAAAHfu5iE=")</f>
        <v>#VALUE!</v>
      </c>
      <c r="AI272" t="e">
        <f>AND('STERLING CATALOG - FZN &amp; CHILL'!E637,"AAAAAHfu5iI=")</f>
        <v>#VALUE!</v>
      </c>
      <c r="AJ272" t="e">
        <f>AND('STERLING CATALOG - FZN &amp; CHILL'!F637,"AAAAAHfu5iM=")</f>
        <v>#VALUE!</v>
      </c>
      <c r="AK272" t="e">
        <f>AND('STERLING CATALOG - FZN &amp; CHILL'!G637,"AAAAAHfu5iQ=")</f>
        <v>#VALUE!</v>
      </c>
      <c r="AL272" t="e">
        <f>AND('STERLING CATALOG - FZN &amp; CHILL'!H637,"AAAAAHfu5iU=")</f>
        <v>#VALUE!</v>
      </c>
      <c r="AM272" t="e">
        <f>AND('STERLING CATALOG - FZN &amp; CHILL'!I637,"AAAAAHfu5iY=")</f>
        <v>#VALUE!</v>
      </c>
      <c r="AN272" t="e">
        <f>AND('STERLING CATALOG - FZN &amp; CHILL'!J637,"AAAAAHfu5ic=")</f>
        <v>#VALUE!</v>
      </c>
      <c r="AO272">
        <f>IF('STERLING CATALOG - FZN &amp; CHILL'!638:638,"AAAAAHfu5ig=",0)</f>
        <v>0</v>
      </c>
      <c r="AP272" t="e">
        <f>AND('STERLING CATALOG - FZN &amp; CHILL'!A638,"AAAAAHfu5ik=")</f>
        <v>#VALUE!</v>
      </c>
      <c r="AQ272" t="e">
        <f>AND('STERLING CATALOG - FZN &amp; CHILL'!B638,"AAAAAHfu5io=")</f>
        <v>#VALUE!</v>
      </c>
      <c r="AR272" t="e">
        <f>AND('STERLING CATALOG - FZN &amp; CHILL'!C638,"AAAAAHfu5is=")</f>
        <v>#VALUE!</v>
      </c>
      <c r="AS272" t="e">
        <f>AND('STERLING CATALOG - FZN &amp; CHILL'!D638,"AAAAAHfu5iw=")</f>
        <v>#VALUE!</v>
      </c>
      <c r="AT272" t="e">
        <f>AND('STERLING CATALOG - FZN &amp; CHILL'!E638,"AAAAAHfu5i0=")</f>
        <v>#VALUE!</v>
      </c>
      <c r="AU272" t="e">
        <f>AND('STERLING CATALOG - FZN &amp; CHILL'!F638,"AAAAAHfu5i4=")</f>
        <v>#VALUE!</v>
      </c>
      <c r="AV272" t="e">
        <f>AND('STERLING CATALOG - FZN &amp; CHILL'!G638,"AAAAAHfu5i8=")</f>
        <v>#VALUE!</v>
      </c>
      <c r="AW272" t="e">
        <f>AND('STERLING CATALOG - FZN &amp; CHILL'!H638,"AAAAAHfu5jA=")</f>
        <v>#VALUE!</v>
      </c>
      <c r="AX272" t="e">
        <f>AND('STERLING CATALOG - FZN &amp; CHILL'!I638,"AAAAAHfu5jE=")</f>
        <v>#VALUE!</v>
      </c>
      <c r="AY272" t="e">
        <f>AND('STERLING CATALOG - FZN &amp; CHILL'!J638,"AAAAAHfu5jI=")</f>
        <v>#VALUE!</v>
      </c>
      <c r="AZ272">
        <f>IF('STERLING CATALOG - FZN &amp; CHILL'!639:639,"AAAAAHfu5jM=",0)</f>
        <v>0</v>
      </c>
      <c r="BA272" t="e">
        <f>AND('STERLING CATALOG - FZN &amp; CHILL'!A639,"AAAAAHfu5jQ=")</f>
        <v>#VALUE!</v>
      </c>
      <c r="BB272" t="e">
        <f>AND('STERLING CATALOG - FZN &amp; CHILL'!B639,"AAAAAHfu5jU=")</f>
        <v>#VALUE!</v>
      </c>
      <c r="BC272" t="e">
        <f>AND('STERLING CATALOG - FZN &amp; CHILL'!C639,"AAAAAHfu5jY=")</f>
        <v>#VALUE!</v>
      </c>
      <c r="BD272" t="e">
        <f>AND('STERLING CATALOG - FZN &amp; CHILL'!D639,"AAAAAHfu5jc=")</f>
        <v>#VALUE!</v>
      </c>
      <c r="BE272" t="e">
        <f>AND('STERLING CATALOG - FZN &amp; CHILL'!E639,"AAAAAHfu5jg=")</f>
        <v>#VALUE!</v>
      </c>
      <c r="BF272" t="e">
        <f>AND('STERLING CATALOG - FZN &amp; CHILL'!F639,"AAAAAHfu5jk=")</f>
        <v>#VALUE!</v>
      </c>
      <c r="BG272" t="e">
        <f>AND('STERLING CATALOG - FZN &amp; CHILL'!G639,"AAAAAHfu5jo=")</f>
        <v>#VALUE!</v>
      </c>
      <c r="BH272" t="e">
        <f>AND('STERLING CATALOG - FZN &amp; CHILL'!H639,"AAAAAHfu5js=")</f>
        <v>#VALUE!</v>
      </c>
      <c r="BI272" t="e">
        <f>AND('STERLING CATALOG - FZN &amp; CHILL'!I639,"AAAAAHfu5jw=")</f>
        <v>#VALUE!</v>
      </c>
      <c r="BJ272" t="e">
        <f>AND('STERLING CATALOG - FZN &amp; CHILL'!J639,"AAAAAHfu5j0=")</f>
        <v>#VALUE!</v>
      </c>
      <c r="BK272">
        <f>IF('STERLING CATALOG - FZN &amp; CHILL'!640:640,"AAAAAHfu5j4=",0)</f>
        <v>0</v>
      </c>
      <c r="BL272" t="e">
        <f>AND('STERLING CATALOG - FZN &amp; CHILL'!A640,"AAAAAHfu5j8=")</f>
        <v>#VALUE!</v>
      </c>
      <c r="BM272" t="e">
        <f>AND('STERLING CATALOG - FZN &amp; CHILL'!B640,"AAAAAHfu5kA=")</f>
        <v>#VALUE!</v>
      </c>
      <c r="BN272" t="e">
        <f>AND('STERLING CATALOG - FZN &amp; CHILL'!C640,"AAAAAHfu5kE=")</f>
        <v>#VALUE!</v>
      </c>
      <c r="BO272" t="e">
        <f>AND('STERLING CATALOG - FZN &amp; CHILL'!D640,"AAAAAHfu5kI=")</f>
        <v>#VALUE!</v>
      </c>
      <c r="BP272" t="e">
        <f>AND('STERLING CATALOG - FZN &amp; CHILL'!E640,"AAAAAHfu5kM=")</f>
        <v>#VALUE!</v>
      </c>
      <c r="BQ272" t="e">
        <f>AND('STERLING CATALOG - FZN &amp; CHILL'!F640,"AAAAAHfu5kQ=")</f>
        <v>#VALUE!</v>
      </c>
      <c r="BR272" t="e">
        <f>AND('STERLING CATALOG - FZN &amp; CHILL'!G640,"AAAAAHfu5kU=")</f>
        <v>#VALUE!</v>
      </c>
      <c r="BS272" t="e">
        <f>AND('STERLING CATALOG - FZN &amp; CHILL'!H640,"AAAAAHfu5kY=")</f>
        <v>#VALUE!</v>
      </c>
      <c r="BT272" t="e">
        <f>AND('STERLING CATALOG - FZN &amp; CHILL'!I640,"AAAAAHfu5kc=")</f>
        <v>#VALUE!</v>
      </c>
      <c r="BU272" t="e">
        <f>AND('STERLING CATALOG - FZN &amp; CHILL'!J640,"AAAAAHfu5kg=")</f>
        <v>#VALUE!</v>
      </c>
      <c r="BV272">
        <f>IF('STERLING CATALOG - FZN &amp; CHILL'!641:641,"AAAAAHfu5kk=",0)</f>
        <v>0</v>
      </c>
      <c r="BW272" t="e">
        <f>AND('STERLING CATALOG - FZN &amp; CHILL'!A641,"AAAAAHfu5ko=")</f>
        <v>#VALUE!</v>
      </c>
      <c r="BX272" t="e">
        <f>AND('STERLING CATALOG - FZN &amp; CHILL'!B641,"AAAAAHfu5ks=")</f>
        <v>#VALUE!</v>
      </c>
      <c r="BY272" t="e">
        <f>AND('STERLING CATALOG - FZN &amp; CHILL'!C641,"AAAAAHfu5kw=")</f>
        <v>#VALUE!</v>
      </c>
      <c r="BZ272" t="e">
        <f>AND('STERLING CATALOG - FZN &amp; CHILL'!D641,"AAAAAHfu5k0=")</f>
        <v>#VALUE!</v>
      </c>
      <c r="CA272" t="e">
        <f>AND('STERLING CATALOG - FZN &amp; CHILL'!E641,"AAAAAHfu5k4=")</f>
        <v>#VALUE!</v>
      </c>
      <c r="CB272" t="e">
        <f>AND('STERLING CATALOG - FZN &amp; CHILL'!F641,"AAAAAHfu5k8=")</f>
        <v>#VALUE!</v>
      </c>
      <c r="CC272" t="e">
        <f>AND('STERLING CATALOG - FZN &amp; CHILL'!G641,"AAAAAHfu5lA=")</f>
        <v>#VALUE!</v>
      </c>
      <c r="CD272" t="e">
        <f>AND('STERLING CATALOG - FZN &amp; CHILL'!H641,"AAAAAHfu5lE=")</f>
        <v>#VALUE!</v>
      </c>
      <c r="CE272" t="e">
        <f>AND('STERLING CATALOG - FZN &amp; CHILL'!I641,"AAAAAHfu5lI=")</f>
        <v>#VALUE!</v>
      </c>
      <c r="CF272" t="e">
        <f>AND('STERLING CATALOG - FZN &amp; CHILL'!J641,"AAAAAHfu5lM=")</f>
        <v>#VALUE!</v>
      </c>
      <c r="CG272">
        <f>IF('STERLING CATALOG - FZN &amp; CHILL'!642:642,"AAAAAHfu5lQ=",0)</f>
        <v>0</v>
      </c>
      <c r="CH272" t="e">
        <f>AND('STERLING CATALOG - FZN &amp; CHILL'!A642,"AAAAAHfu5lU=")</f>
        <v>#VALUE!</v>
      </c>
      <c r="CI272" t="e">
        <f>AND('STERLING CATALOG - FZN &amp; CHILL'!B642,"AAAAAHfu5lY=")</f>
        <v>#VALUE!</v>
      </c>
      <c r="CJ272" t="e">
        <f>AND('STERLING CATALOG - FZN &amp; CHILL'!C642,"AAAAAHfu5lc=")</f>
        <v>#VALUE!</v>
      </c>
      <c r="CK272" t="e">
        <f>AND('STERLING CATALOG - FZN &amp; CHILL'!D642,"AAAAAHfu5lg=")</f>
        <v>#VALUE!</v>
      </c>
      <c r="CL272" t="e">
        <f>AND('STERLING CATALOG - FZN &amp; CHILL'!E642,"AAAAAHfu5lk=")</f>
        <v>#VALUE!</v>
      </c>
      <c r="CM272" t="e">
        <f>AND('STERLING CATALOG - FZN &amp; CHILL'!F642,"AAAAAHfu5lo=")</f>
        <v>#VALUE!</v>
      </c>
      <c r="CN272" t="e">
        <f>AND('STERLING CATALOG - FZN &amp; CHILL'!G642,"AAAAAHfu5ls=")</f>
        <v>#VALUE!</v>
      </c>
      <c r="CO272" t="e">
        <f>AND('STERLING CATALOG - FZN &amp; CHILL'!H642,"AAAAAHfu5lw=")</f>
        <v>#VALUE!</v>
      </c>
      <c r="CP272" t="e">
        <f>AND('STERLING CATALOG - FZN &amp; CHILL'!I642,"AAAAAHfu5l0=")</f>
        <v>#VALUE!</v>
      </c>
      <c r="CQ272" t="e">
        <f>AND('STERLING CATALOG - FZN &amp; CHILL'!J642,"AAAAAHfu5l4=")</f>
        <v>#VALUE!</v>
      </c>
      <c r="CR272">
        <f>IF('STERLING CATALOG - FZN &amp; CHILL'!643:643,"AAAAAHfu5l8=",0)</f>
        <v>0</v>
      </c>
      <c r="CS272" t="e">
        <f>AND('STERLING CATALOG - FZN &amp; CHILL'!A643,"AAAAAHfu5mA=")</f>
        <v>#VALUE!</v>
      </c>
      <c r="CT272" t="e">
        <f>AND('STERLING CATALOG - FZN &amp; CHILL'!B643,"AAAAAHfu5mE=")</f>
        <v>#VALUE!</v>
      </c>
      <c r="CU272" t="e">
        <f>AND('STERLING CATALOG - FZN &amp; CHILL'!C643,"AAAAAHfu5mI=")</f>
        <v>#VALUE!</v>
      </c>
      <c r="CV272" t="e">
        <f>AND('STERLING CATALOG - FZN &amp; CHILL'!D643,"AAAAAHfu5mM=")</f>
        <v>#VALUE!</v>
      </c>
      <c r="CW272" t="e">
        <f>AND('STERLING CATALOG - FZN &amp; CHILL'!E643,"AAAAAHfu5mQ=")</f>
        <v>#VALUE!</v>
      </c>
      <c r="CX272" t="e">
        <f>AND('STERLING CATALOG - FZN &amp; CHILL'!F643,"AAAAAHfu5mU=")</f>
        <v>#VALUE!</v>
      </c>
      <c r="CY272" t="e">
        <f>AND('STERLING CATALOG - FZN &amp; CHILL'!G643,"AAAAAHfu5mY=")</f>
        <v>#VALUE!</v>
      </c>
      <c r="CZ272" t="e">
        <f>AND('STERLING CATALOG - FZN &amp; CHILL'!H643,"AAAAAHfu5mc=")</f>
        <v>#VALUE!</v>
      </c>
      <c r="DA272" t="e">
        <f>AND('STERLING CATALOG - FZN &amp; CHILL'!I643,"AAAAAHfu5mg=")</f>
        <v>#VALUE!</v>
      </c>
      <c r="DB272" t="e">
        <f>AND('STERLING CATALOG - FZN &amp; CHILL'!J643,"AAAAAHfu5mk=")</f>
        <v>#VALUE!</v>
      </c>
      <c r="DC272">
        <f>IF('STERLING CATALOG - FZN &amp; CHILL'!644:644,"AAAAAHfu5mo=",0)</f>
        <v>0</v>
      </c>
      <c r="DD272" t="e">
        <f>AND('STERLING CATALOG - FZN &amp; CHILL'!A644,"AAAAAHfu5ms=")</f>
        <v>#VALUE!</v>
      </c>
      <c r="DE272" t="e">
        <f>AND('STERLING CATALOG - FZN &amp; CHILL'!B644,"AAAAAHfu5mw=")</f>
        <v>#VALUE!</v>
      </c>
      <c r="DF272" t="e">
        <f>AND('STERLING CATALOG - FZN &amp; CHILL'!C644,"AAAAAHfu5m0=")</f>
        <v>#VALUE!</v>
      </c>
      <c r="DG272" t="e">
        <f>AND('STERLING CATALOG - FZN &amp; CHILL'!D644,"AAAAAHfu5m4=")</f>
        <v>#VALUE!</v>
      </c>
      <c r="DH272" t="e">
        <f>AND('STERLING CATALOG - FZN &amp; CHILL'!E644,"AAAAAHfu5m8=")</f>
        <v>#VALUE!</v>
      </c>
      <c r="DI272" t="e">
        <f>AND('STERLING CATALOG - FZN &amp; CHILL'!F644,"AAAAAHfu5nA=")</f>
        <v>#VALUE!</v>
      </c>
      <c r="DJ272" t="e">
        <f>AND('STERLING CATALOG - FZN &amp; CHILL'!G644,"AAAAAHfu5nE=")</f>
        <v>#VALUE!</v>
      </c>
      <c r="DK272" t="e">
        <f>AND('STERLING CATALOG - FZN &amp; CHILL'!H644,"AAAAAHfu5nI=")</f>
        <v>#VALUE!</v>
      </c>
      <c r="DL272" t="e">
        <f>AND('STERLING CATALOG - FZN &amp; CHILL'!I644,"AAAAAHfu5nM=")</f>
        <v>#VALUE!</v>
      </c>
      <c r="DM272" t="e">
        <f>AND('STERLING CATALOG - FZN &amp; CHILL'!J644,"AAAAAHfu5nQ=")</f>
        <v>#VALUE!</v>
      </c>
      <c r="DN272">
        <f>IF('STERLING CATALOG - FZN &amp; CHILL'!645:645,"AAAAAHfu5nU=",0)</f>
        <v>0</v>
      </c>
      <c r="DO272" t="e">
        <f>AND('STERLING CATALOG - FZN &amp; CHILL'!A645,"AAAAAHfu5nY=")</f>
        <v>#VALUE!</v>
      </c>
      <c r="DP272" t="e">
        <f>AND('STERLING CATALOG - FZN &amp; CHILL'!B645,"AAAAAHfu5nc=")</f>
        <v>#VALUE!</v>
      </c>
      <c r="DQ272" t="e">
        <f>AND('STERLING CATALOG - FZN &amp; CHILL'!C645,"AAAAAHfu5ng=")</f>
        <v>#VALUE!</v>
      </c>
      <c r="DR272" t="e">
        <f>AND('STERLING CATALOG - FZN &amp; CHILL'!D645,"AAAAAHfu5nk=")</f>
        <v>#VALUE!</v>
      </c>
      <c r="DS272" t="e">
        <f>AND('STERLING CATALOG - FZN &amp; CHILL'!E645,"AAAAAHfu5no=")</f>
        <v>#VALUE!</v>
      </c>
      <c r="DT272" t="e">
        <f>AND('STERLING CATALOG - FZN &amp; CHILL'!F645,"AAAAAHfu5ns=")</f>
        <v>#VALUE!</v>
      </c>
      <c r="DU272" t="e">
        <f>AND('STERLING CATALOG - FZN &amp; CHILL'!G645,"AAAAAHfu5nw=")</f>
        <v>#VALUE!</v>
      </c>
      <c r="DV272" t="e">
        <f>AND('STERLING CATALOG - FZN &amp; CHILL'!H645,"AAAAAHfu5n0=")</f>
        <v>#VALUE!</v>
      </c>
      <c r="DW272" t="e">
        <f>AND('STERLING CATALOG - FZN &amp; CHILL'!I645,"AAAAAHfu5n4=")</f>
        <v>#VALUE!</v>
      </c>
      <c r="DX272" t="e">
        <f>AND('STERLING CATALOG - FZN &amp; CHILL'!J645,"AAAAAHfu5n8=")</f>
        <v>#VALUE!</v>
      </c>
      <c r="DY272">
        <f>IF('STERLING CATALOG - FZN &amp; CHILL'!646:646,"AAAAAHfu5oA=",0)</f>
        <v>0</v>
      </c>
      <c r="DZ272" t="e">
        <f>AND('STERLING CATALOG - FZN &amp; CHILL'!A646,"AAAAAHfu5oE=")</f>
        <v>#VALUE!</v>
      </c>
      <c r="EA272" t="e">
        <f>AND('STERLING CATALOG - FZN &amp; CHILL'!B646,"AAAAAHfu5oI=")</f>
        <v>#VALUE!</v>
      </c>
      <c r="EB272" t="e">
        <f>AND('STERLING CATALOG - FZN &amp; CHILL'!C646,"AAAAAHfu5oM=")</f>
        <v>#VALUE!</v>
      </c>
      <c r="EC272" t="e">
        <f>AND('STERLING CATALOG - FZN &amp; CHILL'!D646,"AAAAAHfu5oQ=")</f>
        <v>#VALUE!</v>
      </c>
      <c r="ED272" t="e">
        <f>AND('STERLING CATALOG - FZN &amp; CHILL'!E646,"AAAAAHfu5oU=")</f>
        <v>#VALUE!</v>
      </c>
      <c r="EE272" t="e">
        <f>AND('STERLING CATALOG - FZN &amp; CHILL'!F646,"AAAAAHfu5oY=")</f>
        <v>#VALUE!</v>
      </c>
      <c r="EF272" t="e">
        <f>AND('STERLING CATALOG - FZN &amp; CHILL'!G646,"AAAAAHfu5oc=")</f>
        <v>#VALUE!</v>
      </c>
      <c r="EG272" t="e">
        <f>AND('STERLING CATALOG - FZN &amp; CHILL'!H646,"AAAAAHfu5og=")</f>
        <v>#VALUE!</v>
      </c>
      <c r="EH272" t="e">
        <f>AND('STERLING CATALOG - FZN &amp; CHILL'!I646,"AAAAAHfu5ok=")</f>
        <v>#VALUE!</v>
      </c>
      <c r="EI272" t="e">
        <f>AND('STERLING CATALOG - FZN &amp; CHILL'!J646,"AAAAAHfu5oo=")</f>
        <v>#VALUE!</v>
      </c>
      <c r="EJ272">
        <f>IF('STERLING CATALOG - FZN &amp; CHILL'!647:647,"AAAAAHfu5os=",0)</f>
        <v>0</v>
      </c>
      <c r="EK272" t="e">
        <f>AND('STERLING CATALOG - FZN &amp; CHILL'!A647,"AAAAAHfu5ow=")</f>
        <v>#VALUE!</v>
      </c>
      <c r="EL272" t="e">
        <f>AND('STERLING CATALOG - FZN &amp; CHILL'!B647,"AAAAAHfu5o0=")</f>
        <v>#VALUE!</v>
      </c>
      <c r="EM272" t="e">
        <f>AND('STERLING CATALOG - FZN &amp; CHILL'!C647,"AAAAAHfu5o4=")</f>
        <v>#VALUE!</v>
      </c>
      <c r="EN272" t="e">
        <f>AND('STERLING CATALOG - FZN &amp; CHILL'!D647,"AAAAAHfu5o8=")</f>
        <v>#VALUE!</v>
      </c>
      <c r="EO272" t="e">
        <f>AND('STERLING CATALOG - FZN &amp; CHILL'!E647,"AAAAAHfu5pA=")</f>
        <v>#VALUE!</v>
      </c>
      <c r="EP272" t="e">
        <f>AND('STERLING CATALOG - FZN &amp; CHILL'!F647,"AAAAAHfu5pE=")</f>
        <v>#VALUE!</v>
      </c>
      <c r="EQ272" t="e">
        <f>AND('STERLING CATALOG - FZN &amp; CHILL'!G647,"AAAAAHfu5pI=")</f>
        <v>#VALUE!</v>
      </c>
      <c r="ER272" t="e">
        <f>AND('STERLING CATALOG - FZN &amp; CHILL'!H647,"AAAAAHfu5pM=")</f>
        <v>#VALUE!</v>
      </c>
      <c r="ES272" t="e">
        <f>AND('STERLING CATALOG - FZN &amp; CHILL'!I647,"AAAAAHfu5pQ=")</f>
        <v>#VALUE!</v>
      </c>
      <c r="ET272" t="e">
        <f>AND('STERLING CATALOG - FZN &amp; CHILL'!J647,"AAAAAHfu5pU=")</f>
        <v>#VALUE!</v>
      </c>
      <c r="EU272">
        <f>IF('STERLING CATALOG - FZN &amp; CHILL'!648:648,"AAAAAHfu5pY=",0)</f>
        <v>0</v>
      </c>
      <c r="EV272" t="e">
        <f>AND('STERLING CATALOG - FZN &amp; CHILL'!A648,"AAAAAHfu5pc=")</f>
        <v>#VALUE!</v>
      </c>
      <c r="EW272" t="e">
        <f>AND('STERLING CATALOG - FZN &amp; CHILL'!B648,"AAAAAHfu5pg=")</f>
        <v>#VALUE!</v>
      </c>
      <c r="EX272" t="e">
        <f>AND('STERLING CATALOG - FZN &amp; CHILL'!C648,"AAAAAHfu5pk=")</f>
        <v>#VALUE!</v>
      </c>
      <c r="EY272" t="e">
        <f>AND('STERLING CATALOG - FZN &amp; CHILL'!D648,"AAAAAHfu5po=")</f>
        <v>#VALUE!</v>
      </c>
      <c r="EZ272" t="e">
        <f>AND('STERLING CATALOG - FZN &amp; CHILL'!E648,"AAAAAHfu5ps=")</f>
        <v>#VALUE!</v>
      </c>
      <c r="FA272" t="e">
        <f>AND('STERLING CATALOG - FZN &amp; CHILL'!F648,"AAAAAHfu5pw=")</f>
        <v>#VALUE!</v>
      </c>
      <c r="FB272" t="e">
        <f>AND('STERLING CATALOG - FZN &amp; CHILL'!G648,"AAAAAHfu5p0=")</f>
        <v>#VALUE!</v>
      </c>
      <c r="FC272" t="e">
        <f>AND('STERLING CATALOG - FZN &amp; CHILL'!H648,"AAAAAHfu5p4=")</f>
        <v>#VALUE!</v>
      </c>
      <c r="FD272" t="e">
        <f>AND('STERLING CATALOG - FZN &amp; CHILL'!I648,"AAAAAHfu5p8=")</f>
        <v>#VALUE!</v>
      </c>
      <c r="FE272" t="e">
        <f>AND('STERLING CATALOG - FZN &amp; CHILL'!J648,"AAAAAHfu5qA=")</f>
        <v>#VALUE!</v>
      </c>
      <c r="FF272">
        <f>IF('STERLING CATALOG - FZN &amp; CHILL'!649:649,"AAAAAHfu5qE=",0)</f>
        <v>0</v>
      </c>
      <c r="FG272" t="e">
        <f>AND('STERLING CATALOG - FZN &amp; CHILL'!A649,"AAAAAHfu5qI=")</f>
        <v>#VALUE!</v>
      </c>
      <c r="FH272" t="e">
        <f>AND('STERLING CATALOG - FZN &amp; CHILL'!B649,"AAAAAHfu5qM=")</f>
        <v>#VALUE!</v>
      </c>
      <c r="FI272" t="e">
        <f>AND('STERLING CATALOG - FZN &amp; CHILL'!C649,"AAAAAHfu5qQ=")</f>
        <v>#VALUE!</v>
      </c>
      <c r="FJ272" t="e">
        <f>AND('STERLING CATALOG - FZN &amp; CHILL'!D649,"AAAAAHfu5qU=")</f>
        <v>#VALUE!</v>
      </c>
      <c r="FK272" t="e">
        <f>AND('STERLING CATALOG - FZN &amp; CHILL'!E649,"AAAAAHfu5qY=")</f>
        <v>#VALUE!</v>
      </c>
      <c r="FL272" t="e">
        <f>AND('STERLING CATALOG - FZN &amp; CHILL'!F649,"AAAAAHfu5qc=")</f>
        <v>#VALUE!</v>
      </c>
      <c r="FM272" t="e">
        <f>AND('STERLING CATALOG - FZN &amp; CHILL'!G649,"AAAAAHfu5qg=")</f>
        <v>#VALUE!</v>
      </c>
      <c r="FN272" t="e">
        <f>AND('STERLING CATALOG - FZN &amp; CHILL'!H649,"AAAAAHfu5qk=")</f>
        <v>#VALUE!</v>
      </c>
      <c r="FO272" t="e">
        <f>AND('STERLING CATALOG - FZN &amp; CHILL'!I649,"AAAAAHfu5qo=")</f>
        <v>#VALUE!</v>
      </c>
      <c r="FP272" t="e">
        <f>AND('STERLING CATALOG - FZN &amp; CHILL'!J649,"AAAAAHfu5qs=")</f>
        <v>#VALUE!</v>
      </c>
      <c r="FQ272">
        <f>IF('STERLING CATALOG - FZN &amp; CHILL'!650:650,"AAAAAHfu5qw=",0)</f>
        <v>0</v>
      </c>
      <c r="FR272" t="e">
        <f>AND('STERLING CATALOG - FZN &amp; CHILL'!A650,"AAAAAHfu5q0=")</f>
        <v>#VALUE!</v>
      </c>
      <c r="FS272" t="e">
        <f>AND('STERLING CATALOG - FZN &amp; CHILL'!B650,"AAAAAHfu5q4=")</f>
        <v>#VALUE!</v>
      </c>
      <c r="FT272" t="e">
        <f>AND('STERLING CATALOG - FZN &amp; CHILL'!C650,"AAAAAHfu5q8=")</f>
        <v>#VALUE!</v>
      </c>
      <c r="FU272" t="e">
        <f>AND('STERLING CATALOG - FZN &amp; CHILL'!D650,"AAAAAHfu5rA=")</f>
        <v>#VALUE!</v>
      </c>
      <c r="FV272" t="e">
        <f>AND('STERLING CATALOG - FZN &amp; CHILL'!E650,"AAAAAHfu5rE=")</f>
        <v>#VALUE!</v>
      </c>
      <c r="FW272" t="e">
        <f>AND('STERLING CATALOG - FZN &amp; CHILL'!F650,"AAAAAHfu5rI=")</f>
        <v>#VALUE!</v>
      </c>
      <c r="FX272" t="e">
        <f>AND('STERLING CATALOG - FZN &amp; CHILL'!G650,"AAAAAHfu5rM=")</f>
        <v>#VALUE!</v>
      </c>
      <c r="FY272" t="e">
        <f>AND('STERLING CATALOG - FZN &amp; CHILL'!H650,"AAAAAHfu5rQ=")</f>
        <v>#VALUE!</v>
      </c>
      <c r="FZ272" t="e">
        <f>AND('STERLING CATALOG - FZN &amp; CHILL'!I650,"AAAAAHfu5rU=")</f>
        <v>#VALUE!</v>
      </c>
      <c r="GA272" t="e">
        <f>AND('STERLING CATALOG - FZN &amp; CHILL'!J650,"AAAAAHfu5rY=")</f>
        <v>#VALUE!</v>
      </c>
      <c r="GB272">
        <f>IF('STERLING CATALOG - FZN &amp; CHILL'!651:651,"AAAAAHfu5rc=",0)</f>
        <v>0</v>
      </c>
      <c r="GC272" t="e">
        <f>AND('STERLING CATALOG - FZN &amp; CHILL'!A651,"AAAAAHfu5rg=")</f>
        <v>#VALUE!</v>
      </c>
      <c r="GD272" t="e">
        <f>AND('STERLING CATALOG - FZN &amp; CHILL'!B651,"AAAAAHfu5rk=")</f>
        <v>#VALUE!</v>
      </c>
      <c r="GE272" t="e">
        <f>AND('STERLING CATALOG - FZN &amp; CHILL'!C651,"AAAAAHfu5ro=")</f>
        <v>#VALUE!</v>
      </c>
      <c r="GF272" t="e">
        <f>AND('STERLING CATALOG - FZN &amp; CHILL'!D651,"AAAAAHfu5rs=")</f>
        <v>#VALUE!</v>
      </c>
      <c r="GG272" t="e">
        <f>AND('STERLING CATALOG - FZN &amp; CHILL'!E651,"AAAAAHfu5rw=")</f>
        <v>#VALUE!</v>
      </c>
      <c r="GH272" t="e">
        <f>AND('STERLING CATALOG - FZN &amp; CHILL'!F651,"AAAAAHfu5r0=")</f>
        <v>#VALUE!</v>
      </c>
      <c r="GI272" t="e">
        <f>AND('STERLING CATALOG - FZN &amp; CHILL'!G651,"AAAAAHfu5r4=")</f>
        <v>#VALUE!</v>
      </c>
      <c r="GJ272" t="e">
        <f>AND('STERLING CATALOG - FZN &amp; CHILL'!H651,"AAAAAHfu5r8=")</f>
        <v>#VALUE!</v>
      </c>
      <c r="GK272" t="e">
        <f>AND('STERLING CATALOG - FZN &amp; CHILL'!I651,"AAAAAHfu5sA=")</f>
        <v>#VALUE!</v>
      </c>
      <c r="GL272" t="e">
        <f>AND('STERLING CATALOG - FZN &amp; CHILL'!J651,"AAAAAHfu5sE=")</f>
        <v>#VALUE!</v>
      </c>
      <c r="GM272">
        <f>IF('STERLING CATALOG - FZN &amp; CHILL'!652:652,"AAAAAHfu5sI=",0)</f>
        <v>0</v>
      </c>
      <c r="GN272" t="e">
        <f>AND('STERLING CATALOG - FZN &amp; CHILL'!A652,"AAAAAHfu5sM=")</f>
        <v>#VALUE!</v>
      </c>
      <c r="GO272" t="e">
        <f>AND('STERLING CATALOG - FZN &amp; CHILL'!B652,"AAAAAHfu5sQ=")</f>
        <v>#VALUE!</v>
      </c>
      <c r="GP272" t="e">
        <f>AND('STERLING CATALOG - FZN &amp; CHILL'!C652,"AAAAAHfu5sU=")</f>
        <v>#VALUE!</v>
      </c>
      <c r="GQ272" t="e">
        <f>AND('STERLING CATALOG - FZN &amp; CHILL'!D652,"AAAAAHfu5sY=")</f>
        <v>#VALUE!</v>
      </c>
      <c r="GR272" t="e">
        <f>AND('STERLING CATALOG - FZN &amp; CHILL'!E652,"AAAAAHfu5sc=")</f>
        <v>#VALUE!</v>
      </c>
      <c r="GS272" t="e">
        <f>AND('STERLING CATALOG - FZN &amp; CHILL'!F652,"AAAAAHfu5sg=")</f>
        <v>#VALUE!</v>
      </c>
      <c r="GT272" t="e">
        <f>AND('STERLING CATALOG - FZN &amp; CHILL'!G652,"AAAAAHfu5sk=")</f>
        <v>#VALUE!</v>
      </c>
      <c r="GU272" t="e">
        <f>AND('STERLING CATALOG - FZN &amp; CHILL'!H652,"AAAAAHfu5so=")</f>
        <v>#VALUE!</v>
      </c>
      <c r="GV272" t="e">
        <f>AND('STERLING CATALOG - FZN &amp; CHILL'!I652,"AAAAAHfu5ss=")</f>
        <v>#VALUE!</v>
      </c>
      <c r="GW272" t="e">
        <f>AND('STERLING CATALOG - FZN &amp; CHILL'!J652,"AAAAAHfu5sw=")</f>
        <v>#VALUE!</v>
      </c>
      <c r="GX272">
        <f>IF('STERLING CATALOG - FZN &amp; CHILL'!653:653,"AAAAAHfu5s0=",0)</f>
        <v>0</v>
      </c>
      <c r="GY272" t="e">
        <f>AND('STERLING CATALOG - FZN &amp; CHILL'!A653,"AAAAAHfu5s4=")</f>
        <v>#VALUE!</v>
      </c>
      <c r="GZ272" t="e">
        <f>AND('STERLING CATALOG - FZN &amp; CHILL'!B653,"AAAAAHfu5s8=")</f>
        <v>#VALUE!</v>
      </c>
      <c r="HA272" t="e">
        <f>AND('STERLING CATALOG - FZN &amp; CHILL'!C653,"AAAAAHfu5tA=")</f>
        <v>#VALUE!</v>
      </c>
      <c r="HB272" t="e">
        <f>AND('STERLING CATALOG - FZN &amp; CHILL'!D653,"AAAAAHfu5tE=")</f>
        <v>#VALUE!</v>
      </c>
      <c r="HC272" t="e">
        <f>AND('STERLING CATALOG - FZN &amp; CHILL'!E653,"AAAAAHfu5tI=")</f>
        <v>#VALUE!</v>
      </c>
      <c r="HD272" t="e">
        <f>AND('STERLING CATALOG - FZN &amp; CHILL'!F653,"AAAAAHfu5tM=")</f>
        <v>#VALUE!</v>
      </c>
      <c r="HE272" t="e">
        <f>AND('STERLING CATALOG - FZN &amp; CHILL'!G653,"AAAAAHfu5tQ=")</f>
        <v>#VALUE!</v>
      </c>
      <c r="HF272" t="e">
        <f>AND('STERLING CATALOG - FZN &amp; CHILL'!H653,"AAAAAHfu5tU=")</f>
        <v>#VALUE!</v>
      </c>
      <c r="HG272" t="e">
        <f>AND('STERLING CATALOG - FZN &amp; CHILL'!I653,"AAAAAHfu5tY=")</f>
        <v>#VALUE!</v>
      </c>
      <c r="HH272" t="e">
        <f>AND('STERLING CATALOG - FZN &amp; CHILL'!J653,"AAAAAHfu5tc=")</f>
        <v>#VALUE!</v>
      </c>
      <c r="HI272">
        <f>IF('STERLING CATALOG - FZN &amp; CHILL'!654:654,"AAAAAHfu5tg=",0)</f>
        <v>0</v>
      </c>
      <c r="HJ272" t="e">
        <f>AND('STERLING CATALOG - FZN &amp; CHILL'!A654,"AAAAAHfu5tk=")</f>
        <v>#VALUE!</v>
      </c>
      <c r="HK272" t="e">
        <f>AND('STERLING CATALOG - FZN &amp; CHILL'!B654,"AAAAAHfu5to=")</f>
        <v>#VALUE!</v>
      </c>
      <c r="HL272" t="e">
        <f>AND('STERLING CATALOG - FZN &amp; CHILL'!C654,"AAAAAHfu5ts=")</f>
        <v>#VALUE!</v>
      </c>
      <c r="HM272" t="e">
        <f>AND('STERLING CATALOG - FZN &amp; CHILL'!D654,"AAAAAHfu5tw=")</f>
        <v>#VALUE!</v>
      </c>
      <c r="HN272" t="e">
        <f>AND('STERLING CATALOG - FZN &amp; CHILL'!E654,"AAAAAHfu5t0=")</f>
        <v>#VALUE!</v>
      </c>
      <c r="HO272" t="e">
        <f>AND('STERLING CATALOG - FZN &amp; CHILL'!F654,"AAAAAHfu5t4=")</f>
        <v>#VALUE!</v>
      </c>
      <c r="HP272" t="e">
        <f>AND('STERLING CATALOG - FZN &amp; CHILL'!G654,"AAAAAHfu5t8=")</f>
        <v>#VALUE!</v>
      </c>
      <c r="HQ272" t="e">
        <f>AND('STERLING CATALOG - FZN &amp; CHILL'!H654,"AAAAAHfu5uA=")</f>
        <v>#VALUE!</v>
      </c>
      <c r="HR272" t="e">
        <f>AND('STERLING CATALOG - FZN &amp; CHILL'!I654,"AAAAAHfu5uE=")</f>
        <v>#VALUE!</v>
      </c>
      <c r="HS272" t="e">
        <f>AND('STERLING CATALOG - FZN &amp; CHILL'!J654,"AAAAAHfu5uI=")</f>
        <v>#VALUE!</v>
      </c>
      <c r="HT272">
        <f>IF('STERLING CATALOG - FZN &amp; CHILL'!655:655,"AAAAAHfu5uM=",0)</f>
        <v>0</v>
      </c>
      <c r="HU272" t="e">
        <f>AND('STERLING CATALOG - FZN &amp; CHILL'!A655,"AAAAAHfu5uQ=")</f>
        <v>#VALUE!</v>
      </c>
      <c r="HV272" t="e">
        <f>AND('STERLING CATALOG - FZN &amp; CHILL'!B655,"AAAAAHfu5uU=")</f>
        <v>#VALUE!</v>
      </c>
      <c r="HW272" t="e">
        <f>AND('STERLING CATALOG - FZN &amp; CHILL'!C655,"AAAAAHfu5uY=")</f>
        <v>#VALUE!</v>
      </c>
      <c r="HX272" t="e">
        <f>AND('STERLING CATALOG - FZN &amp; CHILL'!D655,"AAAAAHfu5uc=")</f>
        <v>#VALUE!</v>
      </c>
      <c r="HY272" t="e">
        <f>AND('STERLING CATALOG - FZN &amp; CHILL'!E655,"AAAAAHfu5ug=")</f>
        <v>#VALUE!</v>
      </c>
      <c r="HZ272" t="e">
        <f>AND('STERLING CATALOG - FZN &amp; CHILL'!F655,"AAAAAHfu5uk=")</f>
        <v>#VALUE!</v>
      </c>
      <c r="IA272" t="e">
        <f>AND('STERLING CATALOG - FZN &amp; CHILL'!G655,"AAAAAHfu5uo=")</f>
        <v>#VALUE!</v>
      </c>
      <c r="IB272" t="e">
        <f>AND('STERLING CATALOG - FZN &amp; CHILL'!H655,"AAAAAHfu5us=")</f>
        <v>#VALUE!</v>
      </c>
      <c r="IC272" t="e">
        <f>AND('STERLING CATALOG - FZN &amp; CHILL'!I655,"AAAAAHfu5uw=")</f>
        <v>#VALUE!</v>
      </c>
      <c r="ID272" t="e">
        <f>AND('STERLING CATALOG - FZN &amp; CHILL'!J655,"AAAAAHfu5u0=")</f>
        <v>#VALUE!</v>
      </c>
      <c r="IE272">
        <f>IF('STERLING CATALOG - FZN &amp; CHILL'!656:656,"AAAAAHfu5u4=",0)</f>
        <v>0</v>
      </c>
      <c r="IF272" t="e">
        <f>AND('STERLING CATALOG - FZN &amp; CHILL'!A656,"AAAAAHfu5u8=")</f>
        <v>#VALUE!</v>
      </c>
      <c r="IG272" t="e">
        <f>AND('STERLING CATALOG - FZN &amp; CHILL'!B656,"AAAAAHfu5vA=")</f>
        <v>#VALUE!</v>
      </c>
      <c r="IH272" t="e">
        <f>AND('STERLING CATALOG - FZN &amp; CHILL'!C656,"AAAAAHfu5vE=")</f>
        <v>#VALUE!</v>
      </c>
      <c r="II272" t="e">
        <f>AND('STERLING CATALOG - FZN &amp; CHILL'!D656,"AAAAAHfu5vI=")</f>
        <v>#VALUE!</v>
      </c>
      <c r="IJ272" t="e">
        <f>AND('STERLING CATALOG - FZN &amp; CHILL'!E656,"AAAAAHfu5vM=")</f>
        <v>#VALUE!</v>
      </c>
      <c r="IK272" t="e">
        <f>AND('STERLING CATALOG - FZN &amp; CHILL'!F656,"AAAAAHfu5vQ=")</f>
        <v>#VALUE!</v>
      </c>
      <c r="IL272" t="e">
        <f>AND('STERLING CATALOG - FZN &amp; CHILL'!G656,"AAAAAHfu5vU=")</f>
        <v>#VALUE!</v>
      </c>
      <c r="IM272" t="e">
        <f>AND('STERLING CATALOG - FZN &amp; CHILL'!H656,"AAAAAHfu5vY=")</f>
        <v>#VALUE!</v>
      </c>
      <c r="IN272" t="e">
        <f>AND('STERLING CATALOG - FZN &amp; CHILL'!I656,"AAAAAHfu5vc=")</f>
        <v>#VALUE!</v>
      </c>
      <c r="IO272" t="e">
        <f>AND('STERLING CATALOG - FZN &amp; CHILL'!J656,"AAAAAHfu5vg=")</f>
        <v>#VALUE!</v>
      </c>
      <c r="IP272">
        <f>IF('STERLING CATALOG - FZN &amp; CHILL'!657:657,"AAAAAHfu5vk=",0)</f>
        <v>0</v>
      </c>
      <c r="IQ272" t="e">
        <f>AND('STERLING CATALOG - FZN &amp; CHILL'!A657,"AAAAAHfu5vo=")</f>
        <v>#VALUE!</v>
      </c>
      <c r="IR272" t="e">
        <f>AND('STERLING CATALOG - FZN &amp; CHILL'!B657,"AAAAAHfu5vs=")</f>
        <v>#VALUE!</v>
      </c>
      <c r="IS272" t="e">
        <f>AND('STERLING CATALOG - FZN &amp; CHILL'!C657,"AAAAAHfu5vw=")</f>
        <v>#VALUE!</v>
      </c>
      <c r="IT272" t="e">
        <f>AND('STERLING CATALOG - FZN &amp; CHILL'!D657,"AAAAAHfu5v0=")</f>
        <v>#VALUE!</v>
      </c>
      <c r="IU272" t="e">
        <f>AND('STERLING CATALOG - FZN &amp; CHILL'!E657,"AAAAAHfu5v4=")</f>
        <v>#VALUE!</v>
      </c>
      <c r="IV272" t="e">
        <f>AND('STERLING CATALOG - FZN &amp; CHILL'!F657,"AAAAAHfu5v8=")</f>
        <v>#VALUE!</v>
      </c>
    </row>
    <row r="273" spans="1:256">
      <c r="A273" t="e">
        <f>AND('STERLING CATALOG - FZN &amp; CHILL'!G657,"AAAAAH999wA=")</f>
        <v>#VALUE!</v>
      </c>
      <c r="B273" t="e">
        <f>AND('STERLING CATALOG - FZN &amp; CHILL'!H657,"AAAAAH999wE=")</f>
        <v>#VALUE!</v>
      </c>
      <c r="C273" t="e">
        <f>AND('STERLING CATALOG - FZN &amp; CHILL'!I657,"AAAAAH999wI=")</f>
        <v>#VALUE!</v>
      </c>
      <c r="D273" t="e">
        <f>AND('STERLING CATALOG - FZN &amp; CHILL'!J657,"AAAAAH999wM=")</f>
        <v>#VALUE!</v>
      </c>
      <c r="E273">
        <f>IF('STERLING CATALOG - FZN &amp; CHILL'!658:658,"AAAAAH999wQ=",0)</f>
        <v>0</v>
      </c>
      <c r="F273" t="e">
        <f>AND('STERLING CATALOG - FZN &amp; CHILL'!A658,"AAAAAH999wU=")</f>
        <v>#VALUE!</v>
      </c>
      <c r="G273" t="e">
        <f>AND('STERLING CATALOG - FZN &amp; CHILL'!B658,"AAAAAH999wY=")</f>
        <v>#VALUE!</v>
      </c>
      <c r="H273" t="e">
        <f>AND('STERLING CATALOG - FZN &amp; CHILL'!C658,"AAAAAH999wc=")</f>
        <v>#VALUE!</v>
      </c>
      <c r="I273" t="e">
        <f>AND('STERLING CATALOG - FZN &amp; CHILL'!D658,"AAAAAH999wg=")</f>
        <v>#VALUE!</v>
      </c>
      <c r="J273" t="e">
        <f>AND('STERLING CATALOG - FZN &amp; CHILL'!E658,"AAAAAH999wk=")</f>
        <v>#VALUE!</v>
      </c>
      <c r="K273" t="e">
        <f>AND('STERLING CATALOG - FZN &amp; CHILL'!F658,"AAAAAH999wo=")</f>
        <v>#VALUE!</v>
      </c>
      <c r="L273" t="e">
        <f>AND('STERLING CATALOG - FZN &amp; CHILL'!G658,"AAAAAH999ws=")</f>
        <v>#VALUE!</v>
      </c>
      <c r="M273" t="e">
        <f>AND('STERLING CATALOG - FZN &amp; CHILL'!H658,"AAAAAH999ww=")</f>
        <v>#VALUE!</v>
      </c>
      <c r="N273" t="e">
        <f>AND('STERLING CATALOG - FZN &amp; CHILL'!I658,"AAAAAH999w0=")</f>
        <v>#VALUE!</v>
      </c>
      <c r="O273" t="e">
        <f>AND('STERLING CATALOG - FZN &amp; CHILL'!J658,"AAAAAH999w4=")</f>
        <v>#VALUE!</v>
      </c>
      <c r="P273">
        <f>IF('STERLING CATALOG - FZN &amp; CHILL'!659:659,"AAAAAH999w8=",0)</f>
        <v>0</v>
      </c>
      <c r="Q273" t="e">
        <f>AND('STERLING CATALOG - FZN &amp; CHILL'!A659,"AAAAAH999xA=")</f>
        <v>#VALUE!</v>
      </c>
      <c r="R273" t="e">
        <f>AND('STERLING CATALOG - FZN &amp; CHILL'!B659,"AAAAAH999xE=")</f>
        <v>#VALUE!</v>
      </c>
      <c r="S273" t="e">
        <f>AND('STERLING CATALOG - FZN &amp; CHILL'!C659,"AAAAAH999xI=")</f>
        <v>#VALUE!</v>
      </c>
      <c r="T273" t="e">
        <f>AND('STERLING CATALOG - FZN &amp; CHILL'!D659,"AAAAAH999xM=")</f>
        <v>#VALUE!</v>
      </c>
      <c r="U273" t="e">
        <f>AND('STERLING CATALOG - FZN &amp; CHILL'!E659,"AAAAAH999xQ=")</f>
        <v>#VALUE!</v>
      </c>
      <c r="V273" t="e">
        <f>AND('STERLING CATALOG - FZN &amp; CHILL'!F659,"AAAAAH999xU=")</f>
        <v>#VALUE!</v>
      </c>
      <c r="W273" t="e">
        <f>AND('STERLING CATALOG - FZN &amp; CHILL'!G659,"AAAAAH999xY=")</f>
        <v>#VALUE!</v>
      </c>
      <c r="X273" t="e">
        <f>AND('STERLING CATALOG - FZN &amp; CHILL'!H659,"AAAAAH999xc=")</f>
        <v>#VALUE!</v>
      </c>
      <c r="Y273" t="e">
        <f>AND('STERLING CATALOG - FZN &amp; CHILL'!I659,"AAAAAH999xg=")</f>
        <v>#VALUE!</v>
      </c>
      <c r="Z273" t="e">
        <f>AND('STERLING CATALOG - FZN &amp; CHILL'!J659,"AAAAAH999xk=")</f>
        <v>#VALUE!</v>
      </c>
      <c r="AA273">
        <f>IF('STERLING CATALOG - FZN &amp; CHILL'!660:660,"AAAAAH999xo=",0)</f>
        <v>0</v>
      </c>
      <c r="AB273" t="e">
        <f>AND('STERLING CATALOG - FZN &amp; CHILL'!A660,"AAAAAH999xs=")</f>
        <v>#VALUE!</v>
      </c>
      <c r="AC273" t="e">
        <f>AND('STERLING CATALOG - FZN &amp; CHILL'!B660,"AAAAAH999xw=")</f>
        <v>#VALUE!</v>
      </c>
      <c r="AD273" t="e">
        <f>AND('STERLING CATALOG - FZN &amp; CHILL'!C660,"AAAAAH999x0=")</f>
        <v>#VALUE!</v>
      </c>
      <c r="AE273" t="e">
        <f>AND('STERLING CATALOG - FZN &amp; CHILL'!D660,"AAAAAH999x4=")</f>
        <v>#VALUE!</v>
      </c>
      <c r="AF273" t="e">
        <f>AND('STERLING CATALOG - FZN &amp; CHILL'!E660,"AAAAAH999x8=")</f>
        <v>#VALUE!</v>
      </c>
      <c r="AG273" t="e">
        <f>AND('STERLING CATALOG - FZN &amp; CHILL'!F660,"AAAAAH999yA=")</f>
        <v>#VALUE!</v>
      </c>
      <c r="AH273" t="e">
        <f>AND('STERLING CATALOG - FZN &amp; CHILL'!G660,"AAAAAH999yE=")</f>
        <v>#VALUE!</v>
      </c>
      <c r="AI273" t="e">
        <f>AND('STERLING CATALOG - FZN &amp; CHILL'!H660,"AAAAAH999yI=")</f>
        <v>#VALUE!</v>
      </c>
      <c r="AJ273" t="e">
        <f>AND('STERLING CATALOG - FZN &amp; CHILL'!I660,"AAAAAH999yM=")</f>
        <v>#VALUE!</v>
      </c>
      <c r="AK273" t="e">
        <f>AND('STERLING CATALOG - FZN &amp; CHILL'!J660,"AAAAAH999yQ=")</f>
        <v>#VALUE!</v>
      </c>
      <c r="AL273">
        <f>IF('STERLING CATALOG - FZN &amp; CHILL'!661:661,"AAAAAH999yU=",0)</f>
        <v>0</v>
      </c>
      <c r="AM273" t="e">
        <f>AND('STERLING CATALOG - FZN &amp; CHILL'!A661,"AAAAAH999yY=")</f>
        <v>#VALUE!</v>
      </c>
      <c r="AN273" t="e">
        <f>AND('STERLING CATALOG - FZN &amp; CHILL'!B661,"AAAAAH999yc=")</f>
        <v>#VALUE!</v>
      </c>
      <c r="AO273" t="e">
        <f>AND('STERLING CATALOG - FZN &amp; CHILL'!C661,"AAAAAH999yg=")</f>
        <v>#VALUE!</v>
      </c>
      <c r="AP273" t="e">
        <f>AND('STERLING CATALOG - FZN &amp; CHILL'!D661,"AAAAAH999yk=")</f>
        <v>#VALUE!</v>
      </c>
      <c r="AQ273" t="e">
        <f>AND('STERLING CATALOG - FZN &amp; CHILL'!E661,"AAAAAH999yo=")</f>
        <v>#VALUE!</v>
      </c>
      <c r="AR273" t="e">
        <f>AND('STERLING CATALOG - FZN &amp; CHILL'!F661,"AAAAAH999ys=")</f>
        <v>#VALUE!</v>
      </c>
      <c r="AS273" t="e">
        <f>AND('STERLING CATALOG - FZN &amp; CHILL'!G661,"AAAAAH999yw=")</f>
        <v>#VALUE!</v>
      </c>
      <c r="AT273" t="e">
        <f>AND('STERLING CATALOG - FZN &amp; CHILL'!H661,"AAAAAH999y0=")</f>
        <v>#VALUE!</v>
      </c>
      <c r="AU273" t="e">
        <f>AND('STERLING CATALOG - FZN &amp; CHILL'!I661,"AAAAAH999y4=")</f>
        <v>#VALUE!</v>
      </c>
      <c r="AV273" t="e">
        <f>AND('STERLING CATALOG - FZN &amp; CHILL'!J661,"AAAAAH999y8=")</f>
        <v>#VALUE!</v>
      </c>
      <c r="AW273">
        <f>IF('STERLING CATALOG - FZN &amp; CHILL'!662:662,"AAAAAH999zA=",0)</f>
        <v>0</v>
      </c>
      <c r="AX273" t="e">
        <f>AND('STERLING CATALOG - FZN &amp; CHILL'!A662,"AAAAAH999zE=")</f>
        <v>#VALUE!</v>
      </c>
      <c r="AY273" t="e">
        <f>AND('STERLING CATALOG - FZN &amp; CHILL'!B662,"AAAAAH999zI=")</f>
        <v>#VALUE!</v>
      </c>
      <c r="AZ273" t="e">
        <f>AND('STERLING CATALOG - FZN &amp; CHILL'!C662,"AAAAAH999zM=")</f>
        <v>#VALUE!</v>
      </c>
      <c r="BA273" t="e">
        <f>AND('STERLING CATALOG - FZN &amp; CHILL'!D662,"AAAAAH999zQ=")</f>
        <v>#VALUE!</v>
      </c>
      <c r="BB273" t="e">
        <f>AND('STERLING CATALOG - FZN &amp; CHILL'!E662,"AAAAAH999zU=")</f>
        <v>#VALUE!</v>
      </c>
      <c r="BC273" t="e">
        <f>AND('STERLING CATALOG - FZN &amp; CHILL'!F662,"AAAAAH999zY=")</f>
        <v>#VALUE!</v>
      </c>
      <c r="BD273" t="e">
        <f>AND('STERLING CATALOG - FZN &amp; CHILL'!G662,"AAAAAH999zc=")</f>
        <v>#VALUE!</v>
      </c>
      <c r="BE273" t="e">
        <f>AND('STERLING CATALOG - FZN &amp; CHILL'!H662,"AAAAAH999zg=")</f>
        <v>#VALUE!</v>
      </c>
      <c r="BF273" t="e">
        <f>AND('STERLING CATALOG - FZN &amp; CHILL'!I662,"AAAAAH999zk=")</f>
        <v>#VALUE!</v>
      </c>
      <c r="BG273" t="e">
        <f>AND('STERLING CATALOG - FZN &amp; CHILL'!J662,"AAAAAH999zo=")</f>
        <v>#VALUE!</v>
      </c>
      <c r="BH273">
        <f>IF('STERLING CATALOG - FZN &amp; CHILL'!663:663,"AAAAAH999zs=",0)</f>
        <v>0</v>
      </c>
      <c r="BI273" t="e">
        <f>AND('STERLING CATALOG - FZN &amp; CHILL'!A663,"AAAAAH999zw=")</f>
        <v>#VALUE!</v>
      </c>
      <c r="BJ273" t="e">
        <f>AND('STERLING CATALOG - FZN &amp; CHILL'!B663,"AAAAAH999z0=")</f>
        <v>#VALUE!</v>
      </c>
      <c r="BK273" t="e">
        <f>AND('STERLING CATALOG - FZN &amp; CHILL'!C663,"AAAAAH999z4=")</f>
        <v>#VALUE!</v>
      </c>
      <c r="BL273" t="e">
        <f>AND('STERLING CATALOG - FZN &amp; CHILL'!D663,"AAAAAH999z8=")</f>
        <v>#VALUE!</v>
      </c>
      <c r="BM273" t="e">
        <f>AND('STERLING CATALOG - FZN &amp; CHILL'!E663,"AAAAAH9990A=")</f>
        <v>#VALUE!</v>
      </c>
      <c r="BN273" t="e">
        <f>AND('STERLING CATALOG - FZN &amp; CHILL'!F663,"AAAAAH9990E=")</f>
        <v>#VALUE!</v>
      </c>
      <c r="BO273" t="e">
        <f>AND('STERLING CATALOG - FZN &amp; CHILL'!G663,"AAAAAH9990I=")</f>
        <v>#VALUE!</v>
      </c>
      <c r="BP273" t="e">
        <f>AND('STERLING CATALOG - FZN &amp; CHILL'!H663,"AAAAAH9990M=")</f>
        <v>#VALUE!</v>
      </c>
      <c r="BQ273" t="e">
        <f>AND('STERLING CATALOG - FZN &amp; CHILL'!I663,"AAAAAH9990Q=")</f>
        <v>#VALUE!</v>
      </c>
      <c r="BR273" t="e">
        <f>AND('STERLING CATALOG - FZN &amp; CHILL'!J663,"AAAAAH9990U=")</f>
        <v>#VALUE!</v>
      </c>
      <c r="BS273">
        <f>IF('STERLING CATALOG - FZN &amp; CHILL'!664:664,"AAAAAH9990Y=",0)</f>
        <v>0</v>
      </c>
      <c r="BT273" t="e">
        <f>AND('STERLING CATALOG - FZN &amp; CHILL'!A664,"AAAAAH9990c=")</f>
        <v>#VALUE!</v>
      </c>
      <c r="BU273" t="e">
        <f>AND('STERLING CATALOG - FZN &amp; CHILL'!B664,"AAAAAH9990g=")</f>
        <v>#VALUE!</v>
      </c>
      <c r="BV273" t="e">
        <f>AND('STERLING CATALOG - FZN &amp; CHILL'!C664,"AAAAAH9990k=")</f>
        <v>#VALUE!</v>
      </c>
      <c r="BW273" t="e">
        <f>AND('STERLING CATALOG - FZN &amp; CHILL'!D664,"AAAAAH9990o=")</f>
        <v>#VALUE!</v>
      </c>
      <c r="BX273" t="e">
        <f>AND('STERLING CATALOG - FZN &amp; CHILL'!E664,"AAAAAH9990s=")</f>
        <v>#VALUE!</v>
      </c>
      <c r="BY273" t="e">
        <f>AND('STERLING CATALOG - FZN &amp; CHILL'!F664,"AAAAAH9990w=")</f>
        <v>#VALUE!</v>
      </c>
      <c r="BZ273" t="e">
        <f>AND('STERLING CATALOG - FZN &amp; CHILL'!G664,"AAAAAH99900=")</f>
        <v>#VALUE!</v>
      </c>
      <c r="CA273" t="e">
        <f>AND('STERLING CATALOG - FZN &amp; CHILL'!H664,"AAAAAH99904=")</f>
        <v>#VALUE!</v>
      </c>
      <c r="CB273" t="e">
        <f>AND('STERLING CATALOG - FZN &amp; CHILL'!I664,"AAAAAH99908=")</f>
        <v>#VALUE!</v>
      </c>
      <c r="CC273" t="e">
        <f>AND('STERLING CATALOG - FZN &amp; CHILL'!J664,"AAAAAH9991A=")</f>
        <v>#VALUE!</v>
      </c>
      <c r="CD273">
        <f>IF('STERLING CATALOG - FZN &amp; CHILL'!665:665,"AAAAAH9991E=",0)</f>
        <v>0</v>
      </c>
      <c r="CE273" t="e">
        <f>AND('STERLING CATALOG - FZN &amp; CHILL'!A665,"AAAAAH9991I=")</f>
        <v>#VALUE!</v>
      </c>
      <c r="CF273" t="e">
        <f>AND('STERLING CATALOG - FZN &amp; CHILL'!B665,"AAAAAH9991M=")</f>
        <v>#VALUE!</v>
      </c>
      <c r="CG273" t="e">
        <f>AND('STERLING CATALOG - FZN &amp; CHILL'!C665,"AAAAAH9991Q=")</f>
        <v>#VALUE!</v>
      </c>
      <c r="CH273" t="e">
        <f>AND('STERLING CATALOG - FZN &amp; CHILL'!D665,"AAAAAH9991U=")</f>
        <v>#VALUE!</v>
      </c>
      <c r="CI273" t="e">
        <f>AND('STERLING CATALOG - FZN &amp; CHILL'!E665,"AAAAAH9991Y=")</f>
        <v>#VALUE!</v>
      </c>
      <c r="CJ273" t="e">
        <f>AND('STERLING CATALOG - FZN &amp; CHILL'!F665,"AAAAAH9991c=")</f>
        <v>#VALUE!</v>
      </c>
      <c r="CK273" t="e">
        <f>AND('STERLING CATALOG - FZN &amp; CHILL'!G665,"AAAAAH9991g=")</f>
        <v>#VALUE!</v>
      </c>
      <c r="CL273" t="e">
        <f>AND('STERLING CATALOG - FZN &amp; CHILL'!H665,"AAAAAH9991k=")</f>
        <v>#VALUE!</v>
      </c>
      <c r="CM273" t="e">
        <f>AND('STERLING CATALOG - FZN &amp; CHILL'!I665,"AAAAAH9991o=")</f>
        <v>#VALUE!</v>
      </c>
      <c r="CN273" t="e">
        <f>AND('STERLING CATALOG - FZN &amp; CHILL'!J665,"AAAAAH9991s=")</f>
        <v>#VALUE!</v>
      </c>
      <c r="CO273">
        <f>IF('STERLING CATALOG - FZN &amp; CHILL'!666:666,"AAAAAH9991w=",0)</f>
        <v>0</v>
      </c>
      <c r="CP273" t="e">
        <f>AND('STERLING CATALOG - FZN &amp; CHILL'!A666,"AAAAAH99910=")</f>
        <v>#VALUE!</v>
      </c>
      <c r="CQ273" t="e">
        <f>AND('STERLING CATALOG - FZN &amp; CHILL'!B666,"AAAAAH99914=")</f>
        <v>#VALUE!</v>
      </c>
      <c r="CR273" t="e">
        <f>AND('STERLING CATALOG - FZN &amp; CHILL'!C666,"AAAAAH99918=")</f>
        <v>#VALUE!</v>
      </c>
      <c r="CS273" t="e">
        <f>AND('STERLING CATALOG - FZN &amp; CHILL'!D666,"AAAAAH9992A=")</f>
        <v>#VALUE!</v>
      </c>
      <c r="CT273" t="e">
        <f>AND('STERLING CATALOG - FZN &amp; CHILL'!E666,"AAAAAH9992E=")</f>
        <v>#VALUE!</v>
      </c>
      <c r="CU273" t="e">
        <f>AND('STERLING CATALOG - FZN &amp; CHILL'!F666,"AAAAAH9992I=")</f>
        <v>#VALUE!</v>
      </c>
      <c r="CV273" t="e">
        <f>AND('STERLING CATALOG - FZN &amp; CHILL'!G666,"AAAAAH9992M=")</f>
        <v>#VALUE!</v>
      </c>
      <c r="CW273" t="e">
        <f>AND('STERLING CATALOG - FZN &amp; CHILL'!H666,"AAAAAH9992Q=")</f>
        <v>#VALUE!</v>
      </c>
      <c r="CX273" t="e">
        <f>AND('STERLING CATALOG - FZN &amp; CHILL'!I666,"AAAAAH9992U=")</f>
        <v>#VALUE!</v>
      </c>
      <c r="CY273" t="e">
        <f>AND('STERLING CATALOG - FZN &amp; CHILL'!J666,"AAAAAH9992Y=")</f>
        <v>#VALUE!</v>
      </c>
      <c r="CZ273">
        <f>IF('STERLING CATALOG - FZN &amp; CHILL'!667:667,"AAAAAH9992c=",0)</f>
        <v>0</v>
      </c>
      <c r="DA273" t="e">
        <f>AND('STERLING CATALOG - FZN &amp; CHILL'!A667,"AAAAAH9992g=")</f>
        <v>#VALUE!</v>
      </c>
      <c r="DB273" t="e">
        <f>AND('STERLING CATALOG - FZN &amp; CHILL'!B667,"AAAAAH9992k=")</f>
        <v>#VALUE!</v>
      </c>
      <c r="DC273" t="e">
        <f>AND('STERLING CATALOG - FZN &amp; CHILL'!C667,"AAAAAH9992o=")</f>
        <v>#VALUE!</v>
      </c>
      <c r="DD273" t="e">
        <f>AND('STERLING CATALOG - FZN &amp; CHILL'!D667,"AAAAAH9992s=")</f>
        <v>#VALUE!</v>
      </c>
      <c r="DE273" t="e">
        <f>AND('STERLING CATALOG - FZN &amp; CHILL'!E667,"AAAAAH9992w=")</f>
        <v>#VALUE!</v>
      </c>
      <c r="DF273" t="e">
        <f>AND('STERLING CATALOG - FZN &amp; CHILL'!F667,"AAAAAH99920=")</f>
        <v>#VALUE!</v>
      </c>
      <c r="DG273" t="e">
        <f>AND('STERLING CATALOG - FZN &amp; CHILL'!G667,"AAAAAH99924=")</f>
        <v>#VALUE!</v>
      </c>
      <c r="DH273" t="e">
        <f>AND('STERLING CATALOG - FZN &amp; CHILL'!H667,"AAAAAH99928=")</f>
        <v>#VALUE!</v>
      </c>
      <c r="DI273" t="e">
        <f>AND('STERLING CATALOG - FZN &amp; CHILL'!I667,"AAAAAH9993A=")</f>
        <v>#VALUE!</v>
      </c>
      <c r="DJ273" t="e">
        <f>AND('STERLING CATALOG - FZN &amp; CHILL'!J667,"AAAAAH9993E=")</f>
        <v>#VALUE!</v>
      </c>
      <c r="DK273">
        <f>IF('STERLING CATALOG - FZN &amp; CHILL'!668:668,"AAAAAH9993I=",0)</f>
        <v>0</v>
      </c>
      <c r="DL273" t="e">
        <f>AND('STERLING CATALOG - FZN &amp; CHILL'!A668,"AAAAAH9993M=")</f>
        <v>#VALUE!</v>
      </c>
      <c r="DM273" t="e">
        <f>AND('STERLING CATALOG - FZN &amp; CHILL'!B668,"AAAAAH9993Q=")</f>
        <v>#VALUE!</v>
      </c>
      <c r="DN273" t="e">
        <f>AND('STERLING CATALOG - FZN &amp; CHILL'!C668,"AAAAAH9993U=")</f>
        <v>#VALUE!</v>
      </c>
      <c r="DO273" t="e">
        <f>AND('STERLING CATALOG - FZN &amp; CHILL'!D668,"AAAAAH9993Y=")</f>
        <v>#VALUE!</v>
      </c>
      <c r="DP273" t="e">
        <f>AND('STERLING CATALOG - FZN &amp; CHILL'!E668,"AAAAAH9993c=")</f>
        <v>#VALUE!</v>
      </c>
      <c r="DQ273" t="e">
        <f>AND('STERLING CATALOG - FZN &amp; CHILL'!F668,"AAAAAH9993g=")</f>
        <v>#VALUE!</v>
      </c>
      <c r="DR273" t="e">
        <f>AND('STERLING CATALOG - FZN &amp; CHILL'!G668,"AAAAAH9993k=")</f>
        <v>#VALUE!</v>
      </c>
      <c r="DS273" t="e">
        <f>AND('STERLING CATALOG - FZN &amp; CHILL'!H668,"AAAAAH9993o=")</f>
        <v>#VALUE!</v>
      </c>
      <c r="DT273" t="e">
        <f>AND('STERLING CATALOG - FZN &amp; CHILL'!I668,"AAAAAH9993s=")</f>
        <v>#VALUE!</v>
      </c>
      <c r="DU273" t="e">
        <f>AND('STERLING CATALOG - FZN &amp; CHILL'!J668,"AAAAAH9993w=")</f>
        <v>#VALUE!</v>
      </c>
      <c r="DV273">
        <f>IF('STERLING CATALOG - FZN &amp; CHILL'!669:669,"AAAAAH99930=",0)</f>
        <v>0</v>
      </c>
      <c r="DW273" t="e">
        <f>AND('STERLING CATALOG - FZN &amp; CHILL'!A669,"AAAAAH99934=")</f>
        <v>#VALUE!</v>
      </c>
      <c r="DX273" t="e">
        <f>AND('STERLING CATALOG - FZN &amp; CHILL'!B669,"AAAAAH99938=")</f>
        <v>#VALUE!</v>
      </c>
      <c r="DY273" t="e">
        <f>AND('STERLING CATALOG - FZN &amp; CHILL'!C669,"AAAAAH9994A=")</f>
        <v>#VALUE!</v>
      </c>
      <c r="DZ273" t="e">
        <f>AND('STERLING CATALOG - FZN &amp; CHILL'!D669,"AAAAAH9994E=")</f>
        <v>#VALUE!</v>
      </c>
      <c r="EA273" t="e">
        <f>AND('STERLING CATALOG - FZN &amp; CHILL'!E669,"AAAAAH9994I=")</f>
        <v>#VALUE!</v>
      </c>
      <c r="EB273" t="e">
        <f>AND('STERLING CATALOG - FZN &amp; CHILL'!F669,"AAAAAH9994M=")</f>
        <v>#VALUE!</v>
      </c>
      <c r="EC273" t="e">
        <f>AND('STERLING CATALOG - FZN &amp; CHILL'!G669,"AAAAAH9994Q=")</f>
        <v>#VALUE!</v>
      </c>
      <c r="ED273" t="e">
        <f>AND('STERLING CATALOG - FZN &amp; CHILL'!H669,"AAAAAH9994U=")</f>
        <v>#VALUE!</v>
      </c>
      <c r="EE273" t="e">
        <f>AND('STERLING CATALOG - FZN &amp; CHILL'!I669,"AAAAAH9994Y=")</f>
        <v>#VALUE!</v>
      </c>
      <c r="EF273" t="e">
        <f>AND('STERLING CATALOG - FZN &amp; CHILL'!J669,"AAAAAH9994c=")</f>
        <v>#VALUE!</v>
      </c>
      <c r="EG273">
        <f>IF('STERLING CATALOG - FZN &amp; CHILL'!670:670,"AAAAAH9994g=",0)</f>
        <v>0</v>
      </c>
      <c r="EH273" t="e">
        <f>AND('STERLING CATALOG - FZN &amp; CHILL'!A670,"AAAAAH9994k=")</f>
        <v>#VALUE!</v>
      </c>
      <c r="EI273" t="e">
        <f>AND('STERLING CATALOG - FZN &amp; CHILL'!B670,"AAAAAH9994o=")</f>
        <v>#VALUE!</v>
      </c>
      <c r="EJ273" t="e">
        <f>AND('STERLING CATALOG - FZN &amp; CHILL'!C670,"AAAAAH9994s=")</f>
        <v>#VALUE!</v>
      </c>
      <c r="EK273" t="e">
        <f>AND('STERLING CATALOG - FZN &amp; CHILL'!D670,"AAAAAH9994w=")</f>
        <v>#VALUE!</v>
      </c>
      <c r="EL273" t="e">
        <f>AND('STERLING CATALOG - FZN &amp; CHILL'!E670,"AAAAAH99940=")</f>
        <v>#VALUE!</v>
      </c>
      <c r="EM273" t="e">
        <f>AND('STERLING CATALOG - FZN &amp; CHILL'!F670,"AAAAAH99944=")</f>
        <v>#VALUE!</v>
      </c>
      <c r="EN273" t="e">
        <f>AND('STERLING CATALOG - FZN &amp; CHILL'!G670,"AAAAAH99948=")</f>
        <v>#VALUE!</v>
      </c>
      <c r="EO273" t="e">
        <f>AND('STERLING CATALOG - FZN &amp; CHILL'!H670,"AAAAAH9995A=")</f>
        <v>#VALUE!</v>
      </c>
      <c r="EP273" t="e">
        <f>AND('STERLING CATALOG - FZN &amp; CHILL'!I670,"AAAAAH9995E=")</f>
        <v>#VALUE!</v>
      </c>
      <c r="EQ273" t="e">
        <f>AND('STERLING CATALOG - FZN &amp; CHILL'!J670,"AAAAAH9995I=")</f>
        <v>#VALUE!</v>
      </c>
      <c r="ER273">
        <f>IF('STERLING CATALOG - FZN &amp; CHILL'!671:671,"AAAAAH9995M=",0)</f>
        <v>0</v>
      </c>
      <c r="ES273" t="e">
        <f>AND('STERLING CATALOG - FZN &amp; CHILL'!A671,"AAAAAH9995Q=")</f>
        <v>#VALUE!</v>
      </c>
      <c r="ET273" t="e">
        <f>AND('STERLING CATALOG - FZN &amp; CHILL'!B671,"AAAAAH9995U=")</f>
        <v>#VALUE!</v>
      </c>
      <c r="EU273" t="e">
        <f>AND('STERLING CATALOG - FZN &amp; CHILL'!C671,"AAAAAH9995Y=")</f>
        <v>#VALUE!</v>
      </c>
      <c r="EV273" t="e">
        <f>AND('STERLING CATALOG - FZN &amp; CHILL'!D671,"AAAAAH9995c=")</f>
        <v>#VALUE!</v>
      </c>
      <c r="EW273" t="e">
        <f>AND('STERLING CATALOG - FZN &amp; CHILL'!E671,"AAAAAH9995g=")</f>
        <v>#VALUE!</v>
      </c>
      <c r="EX273" t="e">
        <f>AND('STERLING CATALOG - FZN &amp; CHILL'!F671,"AAAAAH9995k=")</f>
        <v>#VALUE!</v>
      </c>
      <c r="EY273" t="e">
        <f>AND('STERLING CATALOG - FZN &amp; CHILL'!G671,"AAAAAH9995o=")</f>
        <v>#VALUE!</v>
      </c>
      <c r="EZ273" t="e">
        <f>AND('STERLING CATALOG - FZN &amp; CHILL'!H671,"AAAAAH9995s=")</f>
        <v>#VALUE!</v>
      </c>
      <c r="FA273" t="e">
        <f>AND('STERLING CATALOG - FZN &amp; CHILL'!I671,"AAAAAH9995w=")</f>
        <v>#VALUE!</v>
      </c>
      <c r="FB273" t="e">
        <f>AND('STERLING CATALOG - FZN &amp; CHILL'!J671,"AAAAAH99950=")</f>
        <v>#VALUE!</v>
      </c>
      <c r="FC273">
        <f>IF('STERLING CATALOG - FZN &amp; CHILL'!672:672,"AAAAAH99954=",0)</f>
        <v>0</v>
      </c>
      <c r="FD273" t="e">
        <f>AND('STERLING CATALOG - FZN &amp; CHILL'!A672,"AAAAAH99958=")</f>
        <v>#VALUE!</v>
      </c>
      <c r="FE273" t="e">
        <f>AND('STERLING CATALOG - FZN &amp; CHILL'!B672,"AAAAAH9996A=")</f>
        <v>#VALUE!</v>
      </c>
      <c r="FF273" t="e">
        <f>AND('STERLING CATALOG - FZN &amp; CHILL'!C672,"AAAAAH9996E=")</f>
        <v>#VALUE!</v>
      </c>
      <c r="FG273" t="e">
        <f>AND('STERLING CATALOG - FZN &amp; CHILL'!D672,"AAAAAH9996I=")</f>
        <v>#VALUE!</v>
      </c>
      <c r="FH273" t="e">
        <f>AND('STERLING CATALOG - FZN &amp; CHILL'!E672,"AAAAAH9996M=")</f>
        <v>#VALUE!</v>
      </c>
      <c r="FI273" t="e">
        <f>AND('STERLING CATALOG - FZN &amp; CHILL'!F672,"AAAAAH9996Q=")</f>
        <v>#VALUE!</v>
      </c>
      <c r="FJ273" t="e">
        <f>AND('STERLING CATALOG - FZN &amp; CHILL'!G672,"AAAAAH9996U=")</f>
        <v>#VALUE!</v>
      </c>
      <c r="FK273" t="e">
        <f>AND('STERLING CATALOG - FZN &amp; CHILL'!H672,"AAAAAH9996Y=")</f>
        <v>#VALUE!</v>
      </c>
      <c r="FL273" t="e">
        <f>AND('STERLING CATALOG - FZN &amp; CHILL'!I672,"AAAAAH9996c=")</f>
        <v>#VALUE!</v>
      </c>
      <c r="FM273" t="e">
        <f>AND('STERLING CATALOG - FZN &amp; CHILL'!J672,"AAAAAH9996g=")</f>
        <v>#VALUE!</v>
      </c>
      <c r="FN273">
        <f>IF('STERLING CATALOG - FZN &amp; CHILL'!673:673,"AAAAAH9996k=",0)</f>
        <v>0</v>
      </c>
      <c r="FO273" t="e">
        <f>AND('STERLING CATALOG - FZN &amp; CHILL'!A673,"AAAAAH9996o=")</f>
        <v>#VALUE!</v>
      </c>
      <c r="FP273" t="e">
        <f>AND('STERLING CATALOG - FZN &amp; CHILL'!B673,"AAAAAH9996s=")</f>
        <v>#VALUE!</v>
      </c>
      <c r="FQ273" t="e">
        <f>AND('STERLING CATALOG - FZN &amp; CHILL'!C673,"AAAAAH9996w=")</f>
        <v>#VALUE!</v>
      </c>
      <c r="FR273" t="e">
        <f>AND('STERLING CATALOG - FZN &amp; CHILL'!D673,"AAAAAH99960=")</f>
        <v>#VALUE!</v>
      </c>
      <c r="FS273" t="e">
        <f>AND('STERLING CATALOG - FZN &amp; CHILL'!E673,"AAAAAH99964=")</f>
        <v>#VALUE!</v>
      </c>
      <c r="FT273" t="e">
        <f>AND('STERLING CATALOG - FZN &amp; CHILL'!F673,"AAAAAH99968=")</f>
        <v>#VALUE!</v>
      </c>
      <c r="FU273" t="e">
        <f>AND('STERLING CATALOG - FZN &amp; CHILL'!G673,"AAAAAH9997A=")</f>
        <v>#VALUE!</v>
      </c>
      <c r="FV273" t="e">
        <f>AND('STERLING CATALOG - FZN &amp; CHILL'!H673,"AAAAAH9997E=")</f>
        <v>#VALUE!</v>
      </c>
      <c r="FW273" t="e">
        <f>AND('STERLING CATALOG - FZN &amp; CHILL'!I673,"AAAAAH9997I=")</f>
        <v>#VALUE!</v>
      </c>
      <c r="FX273" t="e">
        <f>AND('STERLING CATALOG - FZN &amp; CHILL'!J673,"AAAAAH9997M=")</f>
        <v>#VALUE!</v>
      </c>
      <c r="FY273">
        <f>IF('STERLING CATALOG - FZN &amp; CHILL'!674:674,"AAAAAH9997Q=",0)</f>
        <v>0</v>
      </c>
      <c r="FZ273" t="e">
        <f>AND('STERLING CATALOG - FZN &amp; CHILL'!A674,"AAAAAH9997U=")</f>
        <v>#VALUE!</v>
      </c>
      <c r="GA273" t="e">
        <f>AND('STERLING CATALOG - FZN &amp; CHILL'!B674,"AAAAAH9997Y=")</f>
        <v>#VALUE!</v>
      </c>
      <c r="GB273" t="e">
        <f>AND('STERLING CATALOG - FZN &amp; CHILL'!C674,"AAAAAH9997c=")</f>
        <v>#VALUE!</v>
      </c>
      <c r="GC273" t="e">
        <f>AND('STERLING CATALOG - FZN &amp; CHILL'!D674,"AAAAAH9997g=")</f>
        <v>#VALUE!</v>
      </c>
      <c r="GD273" t="e">
        <f>AND('STERLING CATALOG - FZN &amp; CHILL'!E674,"AAAAAH9997k=")</f>
        <v>#VALUE!</v>
      </c>
      <c r="GE273" t="e">
        <f>AND('STERLING CATALOG - FZN &amp; CHILL'!F674,"AAAAAH9997o=")</f>
        <v>#VALUE!</v>
      </c>
      <c r="GF273" t="e">
        <f>AND('STERLING CATALOG - FZN &amp; CHILL'!G674,"AAAAAH9997s=")</f>
        <v>#VALUE!</v>
      </c>
      <c r="GG273" t="e">
        <f>AND('STERLING CATALOG - FZN &amp; CHILL'!H674,"AAAAAH9997w=")</f>
        <v>#VALUE!</v>
      </c>
      <c r="GH273" t="e">
        <f>AND('STERLING CATALOG - FZN &amp; CHILL'!I674,"AAAAAH99970=")</f>
        <v>#VALUE!</v>
      </c>
      <c r="GI273" t="e">
        <f>AND('STERLING CATALOG - FZN &amp; CHILL'!J674,"AAAAAH99974=")</f>
        <v>#VALUE!</v>
      </c>
      <c r="GJ273">
        <f>IF('STERLING CATALOG - FZN &amp; CHILL'!675:675,"AAAAAH99978=",0)</f>
        <v>0</v>
      </c>
      <c r="GK273" t="e">
        <f>AND('STERLING CATALOG - FZN &amp; CHILL'!A675,"AAAAAH9998A=")</f>
        <v>#VALUE!</v>
      </c>
      <c r="GL273" t="e">
        <f>AND('STERLING CATALOG - FZN &amp; CHILL'!B675,"AAAAAH9998E=")</f>
        <v>#VALUE!</v>
      </c>
      <c r="GM273" t="e">
        <f>AND('STERLING CATALOG - FZN &amp; CHILL'!C675,"AAAAAH9998I=")</f>
        <v>#VALUE!</v>
      </c>
      <c r="GN273" t="e">
        <f>AND('STERLING CATALOG - FZN &amp; CHILL'!D675,"AAAAAH9998M=")</f>
        <v>#VALUE!</v>
      </c>
      <c r="GO273" t="e">
        <f>AND('STERLING CATALOG - FZN &amp; CHILL'!E675,"AAAAAH9998Q=")</f>
        <v>#VALUE!</v>
      </c>
      <c r="GP273" t="e">
        <f>AND('STERLING CATALOG - FZN &amp; CHILL'!F675,"AAAAAH9998U=")</f>
        <v>#VALUE!</v>
      </c>
      <c r="GQ273" t="e">
        <f>AND('STERLING CATALOG - FZN &amp; CHILL'!G675,"AAAAAH9998Y=")</f>
        <v>#VALUE!</v>
      </c>
      <c r="GR273" t="e">
        <f>AND('STERLING CATALOG - FZN &amp; CHILL'!H675,"AAAAAH9998c=")</f>
        <v>#VALUE!</v>
      </c>
      <c r="GS273" t="e">
        <f>AND('STERLING CATALOG - FZN &amp; CHILL'!I675,"AAAAAH9998g=")</f>
        <v>#VALUE!</v>
      </c>
      <c r="GT273" t="e">
        <f>AND('STERLING CATALOG - FZN &amp; CHILL'!J675,"AAAAAH9998k=")</f>
        <v>#VALUE!</v>
      </c>
      <c r="GU273">
        <f>IF('STERLING CATALOG - FZN &amp; CHILL'!676:676,"AAAAAH9998o=",0)</f>
        <v>0</v>
      </c>
      <c r="GV273" t="e">
        <f>AND('STERLING CATALOG - FZN &amp; CHILL'!A676,"AAAAAH9998s=")</f>
        <v>#VALUE!</v>
      </c>
      <c r="GW273" t="e">
        <f>AND('STERLING CATALOG - FZN &amp; CHILL'!B676,"AAAAAH9998w=")</f>
        <v>#VALUE!</v>
      </c>
      <c r="GX273" t="e">
        <f>AND('STERLING CATALOG - FZN &amp; CHILL'!C676,"AAAAAH99980=")</f>
        <v>#VALUE!</v>
      </c>
      <c r="GY273" t="e">
        <f>AND('STERLING CATALOG - FZN &amp; CHILL'!D676,"AAAAAH99984=")</f>
        <v>#VALUE!</v>
      </c>
      <c r="GZ273" t="e">
        <f>AND('STERLING CATALOG - FZN &amp; CHILL'!E676,"AAAAAH99988=")</f>
        <v>#VALUE!</v>
      </c>
      <c r="HA273" t="e">
        <f>AND('STERLING CATALOG - FZN &amp; CHILL'!F676,"AAAAAH9999A=")</f>
        <v>#VALUE!</v>
      </c>
      <c r="HB273" t="e">
        <f>AND('STERLING CATALOG - FZN &amp; CHILL'!G676,"AAAAAH9999E=")</f>
        <v>#VALUE!</v>
      </c>
      <c r="HC273" t="e">
        <f>AND('STERLING CATALOG - FZN &amp; CHILL'!H676,"AAAAAH9999I=")</f>
        <v>#VALUE!</v>
      </c>
      <c r="HD273" t="e">
        <f>AND('STERLING CATALOG - FZN &amp; CHILL'!I676,"AAAAAH9999M=")</f>
        <v>#VALUE!</v>
      </c>
      <c r="HE273" t="e">
        <f>AND('STERLING CATALOG - FZN &amp; CHILL'!J676,"AAAAAH9999Q=")</f>
        <v>#VALUE!</v>
      </c>
      <c r="HF273">
        <f>IF('STERLING CATALOG - FZN &amp; CHILL'!677:677,"AAAAAH9999U=",0)</f>
        <v>0</v>
      </c>
      <c r="HG273" t="e">
        <f>AND('STERLING CATALOG - FZN &amp; CHILL'!A677,"AAAAAH9999Y=")</f>
        <v>#VALUE!</v>
      </c>
      <c r="HH273" t="e">
        <f>AND('STERLING CATALOG - FZN &amp; CHILL'!B677,"AAAAAH9999c=")</f>
        <v>#VALUE!</v>
      </c>
      <c r="HI273" t="e">
        <f>AND('STERLING CATALOG - FZN &amp; CHILL'!C677,"AAAAAH9999g=")</f>
        <v>#VALUE!</v>
      </c>
      <c r="HJ273" t="e">
        <f>AND('STERLING CATALOG - FZN &amp; CHILL'!D677,"AAAAAH9999k=")</f>
        <v>#VALUE!</v>
      </c>
      <c r="HK273" t="e">
        <f>AND('STERLING CATALOG - FZN &amp; CHILL'!E677,"AAAAAH9999o=")</f>
        <v>#VALUE!</v>
      </c>
      <c r="HL273" t="e">
        <f>AND('STERLING CATALOG - FZN &amp; CHILL'!F677,"AAAAAH9999s=")</f>
        <v>#VALUE!</v>
      </c>
      <c r="HM273" t="e">
        <f>AND('STERLING CATALOG - FZN &amp; CHILL'!G677,"AAAAAH9999w=")</f>
        <v>#VALUE!</v>
      </c>
      <c r="HN273" t="e">
        <f>AND('STERLING CATALOG - FZN &amp; CHILL'!H677,"AAAAAH99990=")</f>
        <v>#VALUE!</v>
      </c>
      <c r="HO273" t="e">
        <f>AND('STERLING CATALOG - FZN &amp; CHILL'!I677,"AAAAAH99994=")</f>
        <v>#VALUE!</v>
      </c>
      <c r="HP273" t="e">
        <f>AND('STERLING CATALOG - FZN &amp; CHILL'!J677,"AAAAAH99998=")</f>
        <v>#VALUE!</v>
      </c>
      <c r="HQ273">
        <f>IF('STERLING CATALOG - FZN &amp; CHILL'!678:678,"AAAAAH999+A=",0)</f>
        <v>0</v>
      </c>
      <c r="HR273" t="e">
        <f>AND('STERLING CATALOG - FZN &amp; CHILL'!A678,"AAAAAH999+E=")</f>
        <v>#VALUE!</v>
      </c>
      <c r="HS273" t="e">
        <f>AND('STERLING CATALOG - FZN &amp; CHILL'!B678,"AAAAAH999+I=")</f>
        <v>#VALUE!</v>
      </c>
      <c r="HT273" t="e">
        <f>AND('STERLING CATALOG - FZN &amp; CHILL'!C678,"AAAAAH999+M=")</f>
        <v>#VALUE!</v>
      </c>
      <c r="HU273" t="e">
        <f>AND('STERLING CATALOG - FZN &amp; CHILL'!D678,"AAAAAH999+Q=")</f>
        <v>#VALUE!</v>
      </c>
      <c r="HV273" t="e">
        <f>AND('STERLING CATALOG - FZN &amp; CHILL'!E678,"AAAAAH999+U=")</f>
        <v>#VALUE!</v>
      </c>
      <c r="HW273" t="e">
        <f>AND('STERLING CATALOG - FZN &amp; CHILL'!F678,"AAAAAH999+Y=")</f>
        <v>#VALUE!</v>
      </c>
      <c r="HX273" t="e">
        <f>AND('STERLING CATALOG - FZN &amp; CHILL'!G678,"AAAAAH999+c=")</f>
        <v>#VALUE!</v>
      </c>
      <c r="HY273" t="e">
        <f>AND('STERLING CATALOG - FZN &amp; CHILL'!H678,"AAAAAH999+g=")</f>
        <v>#VALUE!</v>
      </c>
      <c r="HZ273" t="e">
        <f>AND('STERLING CATALOG - FZN &amp; CHILL'!I678,"AAAAAH999+k=")</f>
        <v>#VALUE!</v>
      </c>
      <c r="IA273" t="e">
        <f>AND('STERLING CATALOG - FZN &amp; CHILL'!J678,"AAAAAH999+o=")</f>
        <v>#VALUE!</v>
      </c>
      <c r="IB273">
        <f>IF('STERLING CATALOG - FZN &amp; CHILL'!679:679,"AAAAAH999+s=",0)</f>
        <v>0</v>
      </c>
      <c r="IC273" t="e">
        <f>AND('STERLING CATALOG - FZN &amp; CHILL'!A679,"AAAAAH999+w=")</f>
        <v>#VALUE!</v>
      </c>
      <c r="ID273" t="e">
        <f>AND('STERLING CATALOG - FZN &amp; CHILL'!B679,"AAAAAH999+0=")</f>
        <v>#VALUE!</v>
      </c>
      <c r="IE273" t="e">
        <f>AND('STERLING CATALOG - FZN &amp; CHILL'!C679,"AAAAAH999+4=")</f>
        <v>#VALUE!</v>
      </c>
      <c r="IF273" t="e">
        <f>AND('STERLING CATALOG - FZN &amp; CHILL'!D679,"AAAAAH999+8=")</f>
        <v>#VALUE!</v>
      </c>
      <c r="IG273" t="e">
        <f>AND('STERLING CATALOG - FZN &amp; CHILL'!E679,"AAAAAH999/A=")</f>
        <v>#VALUE!</v>
      </c>
      <c r="IH273" t="e">
        <f>AND('STERLING CATALOG - FZN &amp; CHILL'!F679,"AAAAAH999/E=")</f>
        <v>#VALUE!</v>
      </c>
      <c r="II273" t="e">
        <f>AND('STERLING CATALOG - FZN &amp; CHILL'!G679,"AAAAAH999/I=")</f>
        <v>#VALUE!</v>
      </c>
      <c r="IJ273" t="e">
        <f>AND('STERLING CATALOG - FZN &amp; CHILL'!H679,"AAAAAH999/M=")</f>
        <v>#VALUE!</v>
      </c>
      <c r="IK273" t="e">
        <f>AND('STERLING CATALOG - FZN &amp; CHILL'!I679,"AAAAAH999/Q=")</f>
        <v>#VALUE!</v>
      </c>
      <c r="IL273" t="e">
        <f>AND('STERLING CATALOG - FZN &amp; CHILL'!J679,"AAAAAH999/U=")</f>
        <v>#VALUE!</v>
      </c>
      <c r="IM273">
        <f>IF('STERLING CATALOG - FZN &amp; CHILL'!680:680,"AAAAAH999/Y=",0)</f>
        <v>0</v>
      </c>
      <c r="IN273" t="e">
        <f>AND('STERLING CATALOG - FZN &amp; CHILL'!A680,"AAAAAH999/c=")</f>
        <v>#VALUE!</v>
      </c>
      <c r="IO273" t="e">
        <f>AND('STERLING CATALOG - FZN &amp; CHILL'!B680,"AAAAAH999/g=")</f>
        <v>#VALUE!</v>
      </c>
      <c r="IP273" t="e">
        <f>AND('STERLING CATALOG - FZN &amp; CHILL'!C680,"AAAAAH999/k=")</f>
        <v>#VALUE!</v>
      </c>
      <c r="IQ273" t="e">
        <f>AND('STERLING CATALOG - FZN &amp; CHILL'!D680,"AAAAAH999/o=")</f>
        <v>#VALUE!</v>
      </c>
      <c r="IR273" t="e">
        <f>AND('STERLING CATALOG - FZN &amp; CHILL'!E680,"AAAAAH999/s=")</f>
        <v>#VALUE!</v>
      </c>
      <c r="IS273" t="e">
        <f>AND('STERLING CATALOG - FZN &amp; CHILL'!F680,"AAAAAH999/w=")</f>
        <v>#VALUE!</v>
      </c>
      <c r="IT273" t="e">
        <f>AND('STERLING CATALOG - FZN &amp; CHILL'!G680,"AAAAAH999/0=")</f>
        <v>#VALUE!</v>
      </c>
      <c r="IU273" t="e">
        <f>AND('STERLING CATALOG - FZN &amp; CHILL'!H680,"AAAAAH999/4=")</f>
        <v>#VALUE!</v>
      </c>
      <c r="IV273" t="e">
        <f>AND('STERLING CATALOG - FZN &amp; CHILL'!I680,"AAAAAH999/8=")</f>
        <v>#VALUE!</v>
      </c>
    </row>
    <row r="274" spans="1:256">
      <c r="A274" t="e">
        <f>AND('STERLING CATALOG - FZN &amp; CHILL'!J680,"AAAAAHr9+wA=")</f>
        <v>#VALUE!</v>
      </c>
      <c r="B274" t="str">
        <f>IF('STERLING CATALOG - FZN &amp; CHILL'!681:681,"AAAAAHr9+wE=",0)</f>
        <v>AAAAAHr9+wE=</v>
      </c>
      <c r="C274" t="e">
        <f>AND('STERLING CATALOG - FZN &amp; CHILL'!A681,"AAAAAHr9+wI=")</f>
        <v>#VALUE!</v>
      </c>
      <c r="D274" t="e">
        <f>AND('STERLING CATALOG - FZN &amp; CHILL'!B681,"AAAAAHr9+wM=")</f>
        <v>#VALUE!</v>
      </c>
      <c r="E274" t="e">
        <f>AND('STERLING CATALOG - FZN &amp; CHILL'!C681,"AAAAAHr9+wQ=")</f>
        <v>#VALUE!</v>
      </c>
      <c r="F274" t="e">
        <f>AND('STERLING CATALOG - FZN &amp; CHILL'!D681,"AAAAAHr9+wU=")</f>
        <v>#VALUE!</v>
      </c>
      <c r="G274" t="e">
        <f>AND('STERLING CATALOG - FZN &amp; CHILL'!E681,"AAAAAHr9+wY=")</f>
        <v>#VALUE!</v>
      </c>
      <c r="H274" t="e">
        <f>AND('STERLING CATALOG - FZN &amp; CHILL'!F681,"AAAAAHr9+wc=")</f>
        <v>#VALUE!</v>
      </c>
      <c r="I274" t="e">
        <f>AND('STERLING CATALOG - FZN &amp; CHILL'!G681,"AAAAAHr9+wg=")</f>
        <v>#VALUE!</v>
      </c>
      <c r="J274" t="e">
        <f>AND('STERLING CATALOG - FZN &amp; CHILL'!H681,"AAAAAHr9+wk=")</f>
        <v>#VALUE!</v>
      </c>
      <c r="K274" t="e">
        <f>AND('STERLING CATALOG - FZN &amp; CHILL'!I681,"AAAAAHr9+wo=")</f>
        <v>#VALUE!</v>
      </c>
      <c r="L274" t="e">
        <f>AND('STERLING CATALOG - FZN &amp; CHILL'!J681,"AAAAAHr9+ws=")</f>
        <v>#VALUE!</v>
      </c>
      <c r="M274">
        <f>IF('STERLING CATALOG - FZN &amp; CHILL'!682:682,"AAAAAHr9+ww=",0)</f>
        <v>0</v>
      </c>
      <c r="N274" t="e">
        <f>AND('STERLING CATALOG - FZN &amp; CHILL'!A682,"AAAAAHr9+w0=")</f>
        <v>#VALUE!</v>
      </c>
      <c r="O274" t="e">
        <f>AND('STERLING CATALOG - FZN &amp; CHILL'!B682,"AAAAAHr9+w4=")</f>
        <v>#VALUE!</v>
      </c>
      <c r="P274" t="e">
        <f>AND('STERLING CATALOG - FZN &amp; CHILL'!C682,"AAAAAHr9+w8=")</f>
        <v>#VALUE!</v>
      </c>
      <c r="Q274" t="e">
        <f>AND('STERLING CATALOG - FZN &amp; CHILL'!D682,"AAAAAHr9+xA=")</f>
        <v>#VALUE!</v>
      </c>
      <c r="R274" t="e">
        <f>AND('STERLING CATALOG - FZN &amp; CHILL'!E682,"AAAAAHr9+xE=")</f>
        <v>#VALUE!</v>
      </c>
      <c r="S274" t="e">
        <f>AND('STERLING CATALOG - FZN &amp; CHILL'!F682,"AAAAAHr9+xI=")</f>
        <v>#VALUE!</v>
      </c>
      <c r="T274" t="e">
        <f>AND('STERLING CATALOG - FZN &amp; CHILL'!G682,"AAAAAHr9+xM=")</f>
        <v>#VALUE!</v>
      </c>
      <c r="U274" t="e">
        <f>AND('STERLING CATALOG - FZN &amp; CHILL'!H682,"AAAAAHr9+xQ=")</f>
        <v>#VALUE!</v>
      </c>
      <c r="V274" t="e">
        <f>AND('STERLING CATALOG - FZN &amp; CHILL'!I682,"AAAAAHr9+xU=")</f>
        <v>#VALUE!</v>
      </c>
      <c r="W274" t="e">
        <f>AND('STERLING CATALOG - FZN &amp; CHILL'!J682,"AAAAAHr9+xY=")</f>
        <v>#VALUE!</v>
      </c>
      <c r="X274">
        <f>IF('STERLING CATALOG - FZN &amp; CHILL'!683:683,"AAAAAHr9+xc=",0)</f>
        <v>0</v>
      </c>
      <c r="Y274" t="e">
        <f>AND('STERLING CATALOG - FZN &amp; CHILL'!A683,"AAAAAHr9+xg=")</f>
        <v>#VALUE!</v>
      </c>
      <c r="Z274" t="e">
        <f>AND('STERLING CATALOG - FZN &amp; CHILL'!B683,"AAAAAHr9+xk=")</f>
        <v>#VALUE!</v>
      </c>
      <c r="AA274" t="e">
        <f>AND('STERLING CATALOG - FZN &amp; CHILL'!C683,"AAAAAHr9+xo=")</f>
        <v>#VALUE!</v>
      </c>
      <c r="AB274" t="e">
        <f>AND('STERLING CATALOG - FZN &amp; CHILL'!D683,"AAAAAHr9+xs=")</f>
        <v>#VALUE!</v>
      </c>
      <c r="AC274" t="e">
        <f>AND('STERLING CATALOG - FZN &amp; CHILL'!E683,"AAAAAHr9+xw=")</f>
        <v>#VALUE!</v>
      </c>
      <c r="AD274" t="e">
        <f>AND('STERLING CATALOG - FZN &amp; CHILL'!F683,"AAAAAHr9+x0=")</f>
        <v>#VALUE!</v>
      </c>
      <c r="AE274" t="e">
        <f>AND('STERLING CATALOG - FZN &amp; CHILL'!G683,"AAAAAHr9+x4=")</f>
        <v>#VALUE!</v>
      </c>
      <c r="AF274" t="e">
        <f>AND('STERLING CATALOG - FZN &amp; CHILL'!H683,"AAAAAHr9+x8=")</f>
        <v>#VALUE!</v>
      </c>
      <c r="AG274" t="e">
        <f>AND('STERLING CATALOG - FZN &amp; CHILL'!I683,"AAAAAHr9+yA=")</f>
        <v>#VALUE!</v>
      </c>
      <c r="AH274" t="e">
        <f>AND('STERLING CATALOG - FZN &amp; CHILL'!J683,"AAAAAHr9+yE=")</f>
        <v>#VALUE!</v>
      </c>
      <c r="AI274">
        <f>IF('STERLING CATALOG - FZN &amp; CHILL'!684:684,"AAAAAHr9+yI=",0)</f>
        <v>0</v>
      </c>
      <c r="AJ274" t="e">
        <f>AND('STERLING CATALOG - FZN &amp; CHILL'!A684,"AAAAAHr9+yM=")</f>
        <v>#VALUE!</v>
      </c>
      <c r="AK274" t="e">
        <f>AND('STERLING CATALOG - FZN &amp; CHILL'!B684,"AAAAAHr9+yQ=")</f>
        <v>#VALUE!</v>
      </c>
      <c r="AL274" t="e">
        <f>AND('STERLING CATALOG - FZN &amp; CHILL'!C684,"AAAAAHr9+yU=")</f>
        <v>#VALUE!</v>
      </c>
      <c r="AM274" t="e">
        <f>AND('STERLING CATALOG - FZN &amp; CHILL'!D684,"AAAAAHr9+yY=")</f>
        <v>#VALUE!</v>
      </c>
      <c r="AN274" t="e">
        <f>AND('STERLING CATALOG - FZN &amp; CHILL'!E684,"AAAAAHr9+yc=")</f>
        <v>#VALUE!</v>
      </c>
      <c r="AO274" t="e">
        <f>AND('STERLING CATALOG - FZN &amp; CHILL'!F684,"AAAAAHr9+yg=")</f>
        <v>#VALUE!</v>
      </c>
      <c r="AP274" t="e">
        <f>AND('STERLING CATALOG - FZN &amp; CHILL'!G684,"AAAAAHr9+yk=")</f>
        <v>#VALUE!</v>
      </c>
      <c r="AQ274" t="e">
        <f>AND('STERLING CATALOG - FZN &amp; CHILL'!H684,"AAAAAHr9+yo=")</f>
        <v>#VALUE!</v>
      </c>
      <c r="AR274" t="e">
        <f>AND('STERLING CATALOG - FZN &amp; CHILL'!I684,"AAAAAHr9+ys=")</f>
        <v>#VALUE!</v>
      </c>
      <c r="AS274" t="e">
        <f>AND('STERLING CATALOG - FZN &amp; CHILL'!J684,"AAAAAHr9+yw=")</f>
        <v>#VALUE!</v>
      </c>
      <c r="AT274">
        <f>IF('STERLING CATALOG - FZN &amp; CHILL'!685:685,"AAAAAHr9+y0=",0)</f>
        <v>0</v>
      </c>
      <c r="AU274" t="e">
        <f>AND('STERLING CATALOG - FZN &amp; CHILL'!A685,"AAAAAHr9+y4=")</f>
        <v>#VALUE!</v>
      </c>
      <c r="AV274" t="e">
        <f>AND('STERLING CATALOG - FZN &amp; CHILL'!B685,"AAAAAHr9+y8=")</f>
        <v>#VALUE!</v>
      </c>
      <c r="AW274" t="e">
        <f>AND('STERLING CATALOG - FZN &amp; CHILL'!C685,"AAAAAHr9+zA=")</f>
        <v>#VALUE!</v>
      </c>
      <c r="AX274" t="e">
        <f>AND('STERLING CATALOG - FZN &amp; CHILL'!D685,"AAAAAHr9+zE=")</f>
        <v>#VALUE!</v>
      </c>
      <c r="AY274" t="e">
        <f>AND('STERLING CATALOG - FZN &amp; CHILL'!E685,"AAAAAHr9+zI=")</f>
        <v>#VALUE!</v>
      </c>
      <c r="AZ274" t="e">
        <f>AND('STERLING CATALOG - FZN &amp; CHILL'!F685,"AAAAAHr9+zM=")</f>
        <v>#VALUE!</v>
      </c>
      <c r="BA274" t="e">
        <f>AND('STERLING CATALOG - FZN &amp; CHILL'!G685,"AAAAAHr9+zQ=")</f>
        <v>#VALUE!</v>
      </c>
      <c r="BB274" t="e">
        <f>AND('STERLING CATALOG - FZN &amp; CHILL'!H685,"AAAAAHr9+zU=")</f>
        <v>#VALUE!</v>
      </c>
      <c r="BC274" t="e">
        <f>AND('STERLING CATALOG - FZN &amp; CHILL'!I685,"AAAAAHr9+zY=")</f>
        <v>#VALUE!</v>
      </c>
      <c r="BD274" t="e">
        <f>AND('STERLING CATALOG - FZN &amp; CHILL'!J685,"AAAAAHr9+zc=")</f>
        <v>#VALUE!</v>
      </c>
      <c r="BE274">
        <f>IF('STERLING CATALOG - FZN &amp; CHILL'!686:686,"AAAAAHr9+zg=",0)</f>
        <v>0</v>
      </c>
      <c r="BF274" t="e">
        <f>AND('STERLING CATALOG - FZN &amp; CHILL'!A686,"AAAAAHr9+zk=")</f>
        <v>#VALUE!</v>
      </c>
      <c r="BG274" t="e">
        <f>AND('STERLING CATALOG - FZN &amp; CHILL'!B686,"AAAAAHr9+zo=")</f>
        <v>#VALUE!</v>
      </c>
      <c r="BH274" t="e">
        <f>AND('STERLING CATALOG - FZN &amp; CHILL'!C686,"AAAAAHr9+zs=")</f>
        <v>#VALUE!</v>
      </c>
      <c r="BI274" t="e">
        <f>AND('STERLING CATALOG - FZN &amp; CHILL'!D686,"AAAAAHr9+zw=")</f>
        <v>#VALUE!</v>
      </c>
      <c r="BJ274" t="e">
        <f>AND('STERLING CATALOG - FZN &amp; CHILL'!E686,"AAAAAHr9+z0=")</f>
        <v>#VALUE!</v>
      </c>
      <c r="BK274" t="e">
        <f>AND('STERLING CATALOG - FZN &amp; CHILL'!F686,"AAAAAHr9+z4=")</f>
        <v>#VALUE!</v>
      </c>
      <c r="BL274" t="e">
        <f>AND('STERLING CATALOG - FZN &amp; CHILL'!G686,"AAAAAHr9+z8=")</f>
        <v>#VALUE!</v>
      </c>
      <c r="BM274" t="e">
        <f>AND('STERLING CATALOG - FZN &amp; CHILL'!H686,"AAAAAHr9+0A=")</f>
        <v>#VALUE!</v>
      </c>
      <c r="BN274" t="e">
        <f>AND('STERLING CATALOG - FZN &amp; CHILL'!I686,"AAAAAHr9+0E=")</f>
        <v>#VALUE!</v>
      </c>
      <c r="BO274" t="e">
        <f>AND('STERLING CATALOG - FZN &amp; CHILL'!J686,"AAAAAHr9+0I=")</f>
        <v>#VALUE!</v>
      </c>
      <c r="BP274">
        <f>IF('STERLING CATALOG - FZN &amp; CHILL'!687:687,"AAAAAHr9+0M=",0)</f>
        <v>0</v>
      </c>
      <c r="BQ274" t="e">
        <f>AND('STERLING CATALOG - FZN &amp; CHILL'!A687,"AAAAAHr9+0Q=")</f>
        <v>#VALUE!</v>
      </c>
      <c r="BR274" t="e">
        <f>AND('STERLING CATALOG - FZN &amp; CHILL'!B687,"AAAAAHr9+0U=")</f>
        <v>#VALUE!</v>
      </c>
      <c r="BS274" t="e">
        <f>AND('STERLING CATALOG - FZN &amp; CHILL'!C687,"AAAAAHr9+0Y=")</f>
        <v>#VALUE!</v>
      </c>
      <c r="BT274" t="e">
        <f>AND('STERLING CATALOG - FZN &amp; CHILL'!D687,"AAAAAHr9+0c=")</f>
        <v>#VALUE!</v>
      </c>
      <c r="BU274" t="e">
        <f>AND('STERLING CATALOG - FZN &amp; CHILL'!E687,"AAAAAHr9+0g=")</f>
        <v>#VALUE!</v>
      </c>
      <c r="BV274" t="e">
        <f>AND('STERLING CATALOG - FZN &amp; CHILL'!F687,"AAAAAHr9+0k=")</f>
        <v>#VALUE!</v>
      </c>
      <c r="BW274" t="e">
        <f>AND('STERLING CATALOG - FZN &amp; CHILL'!G687,"AAAAAHr9+0o=")</f>
        <v>#VALUE!</v>
      </c>
      <c r="BX274" t="e">
        <f>AND('STERLING CATALOG - FZN &amp; CHILL'!H687,"AAAAAHr9+0s=")</f>
        <v>#VALUE!</v>
      </c>
      <c r="BY274" t="e">
        <f>AND('STERLING CATALOG - FZN &amp; CHILL'!I687,"AAAAAHr9+0w=")</f>
        <v>#VALUE!</v>
      </c>
      <c r="BZ274" t="e">
        <f>AND('STERLING CATALOG - FZN &amp; CHILL'!J687,"AAAAAHr9+00=")</f>
        <v>#VALUE!</v>
      </c>
      <c r="CA274">
        <f>IF('STERLING CATALOG - FZN &amp; CHILL'!688:688,"AAAAAHr9+04=",0)</f>
        <v>0</v>
      </c>
      <c r="CB274" t="e">
        <f>AND('STERLING CATALOG - FZN &amp; CHILL'!A688,"AAAAAHr9+08=")</f>
        <v>#VALUE!</v>
      </c>
      <c r="CC274" t="e">
        <f>AND('STERLING CATALOG - FZN &amp; CHILL'!B688,"AAAAAHr9+1A=")</f>
        <v>#VALUE!</v>
      </c>
      <c r="CD274" t="e">
        <f>AND('STERLING CATALOG - FZN &amp; CHILL'!C688,"AAAAAHr9+1E=")</f>
        <v>#VALUE!</v>
      </c>
      <c r="CE274" t="e">
        <f>AND('STERLING CATALOG - FZN &amp; CHILL'!D688,"AAAAAHr9+1I=")</f>
        <v>#VALUE!</v>
      </c>
      <c r="CF274" t="e">
        <f>AND('STERLING CATALOG - FZN &amp; CHILL'!E688,"AAAAAHr9+1M=")</f>
        <v>#VALUE!</v>
      </c>
      <c r="CG274" t="e">
        <f>AND('STERLING CATALOG - FZN &amp; CHILL'!F688,"AAAAAHr9+1Q=")</f>
        <v>#VALUE!</v>
      </c>
      <c r="CH274" t="e">
        <f>AND('STERLING CATALOG - FZN &amp; CHILL'!G688,"AAAAAHr9+1U=")</f>
        <v>#VALUE!</v>
      </c>
      <c r="CI274" t="e">
        <f>AND('STERLING CATALOG - FZN &amp; CHILL'!H688,"AAAAAHr9+1Y=")</f>
        <v>#VALUE!</v>
      </c>
      <c r="CJ274" t="e">
        <f>AND('STERLING CATALOG - FZN &amp; CHILL'!I688,"AAAAAHr9+1c=")</f>
        <v>#VALUE!</v>
      </c>
      <c r="CK274" t="e">
        <f>AND('STERLING CATALOG - FZN &amp; CHILL'!J688,"AAAAAHr9+1g=")</f>
        <v>#VALUE!</v>
      </c>
      <c r="CL274">
        <f>IF('STERLING CATALOG - FZN &amp; CHILL'!689:689,"AAAAAHr9+1k=",0)</f>
        <v>0</v>
      </c>
      <c r="CM274" t="e">
        <f>AND('STERLING CATALOG - FZN &amp; CHILL'!A689,"AAAAAHr9+1o=")</f>
        <v>#VALUE!</v>
      </c>
      <c r="CN274" t="e">
        <f>AND('STERLING CATALOG - FZN &amp; CHILL'!B689,"AAAAAHr9+1s=")</f>
        <v>#VALUE!</v>
      </c>
      <c r="CO274" t="e">
        <f>AND('STERLING CATALOG - FZN &amp; CHILL'!C689,"AAAAAHr9+1w=")</f>
        <v>#VALUE!</v>
      </c>
      <c r="CP274" t="e">
        <f>AND('STERLING CATALOG - FZN &amp; CHILL'!D689,"AAAAAHr9+10=")</f>
        <v>#VALUE!</v>
      </c>
      <c r="CQ274" t="e">
        <f>AND('STERLING CATALOG - FZN &amp; CHILL'!E689,"AAAAAHr9+14=")</f>
        <v>#VALUE!</v>
      </c>
      <c r="CR274" t="e">
        <f>AND('STERLING CATALOG - FZN &amp; CHILL'!F689,"AAAAAHr9+18=")</f>
        <v>#VALUE!</v>
      </c>
      <c r="CS274" t="e">
        <f>AND('STERLING CATALOG - FZN &amp; CHILL'!G689,"AAAAAHr9+2A=")</f>
        <v>#VALUE!</v>
      </c>
      <c r="CT274" t="e">
        <f>AND('STERLING CATALOG - FZN &amp; CHILL'!H689,"AAAAAHr9+2E=")</f>
        <v>#VALUE!</v>
      </c>
      <c r="CU274" t="e">
        <f>AND('STERLING CATALOG - FZN &amp; CHILL'!I689,"AAAAAHr9+2I=")</f>
        <v>#VALUE!</v>
      </c>
      <c r="CV274" t="e">
        <f>AND('STERLING CATALOG - FZN &amp; CHILL'!J689,"AAAAAHr9+2M=")</f>
        <v>#VALUE!</v>
      </c>
      <c r="CW274">
        <f>IF('STERLING CATALOG - FZN &amp; CHILL'!690:690,"AAAAAHr9+2Q=",0)</f>
        <v>0</v>
      </c>
      <c r="CX274" t="e">
        <f>AND('STERLING CATALOG - FZN &amp; CHILL'!A690,"AAAAAHr9+2U=")</f>
        <v>#VALUE!</v>
      </c>
      <c r="CY274" t="e">
        <f>AND('STERLING CATALOG - FZN &amp; CHILL'!B690,"AAAAAHr9+2Y=")</f>
        <v>#VALUE!</v>
      </c>
      <c r="CZ274" t="e">
        <f>AND('STERLING CATALOG - FZN &amp; CHILL'!C690,"AAAAAHr9+2c=")</f>
        <v>#VALUE!</v>
      </c>
      <c r="DA274" t="e">
        <f>AND('STERLING CATALOG - FZN &amp; CHILL'!D690,"AAAAAHr9+2g=")</f>
        <v>#VALUE!</v>
      </c>
      <c r="DB274" t="e">
        <f>AND('STERLING CATALOG - FZN &amp; CHILL'!E690,"AAAAAHr9+2k=")</f>
        <v>#VALUE!</v>
      </c>
      <c r="DC274" t="e">
        <f>AND('STERLING CATALOG - FZN &amp; CHILL'!F690,"AAAAAHr9+2o=")</f>
        <v>#VALUE!</v>
      </c>
      <c r="DD274" t="e">
        <f>AND('STERLING CATALOG - FZN &amp; CHILL'!G690,"AAAAAHr9+2s=")</f>
        <v>#VALUE!</v>
      </c>
      <c r="DE274" t="e">
        <f>AND('STERLING CATALOG - FZN &amp; CHILL'!H690,"AAAAAHr9+2w=")</f>
        <v>#VALUE!</v>
      </c>
      <c r="DF274" t="e">
        <f>AND('STERLING CATALOG - FZN &amp; CHILL'!I690,"AAAAAHr9+20=")</f>
        <v>#VALUE!</v>
      </c>
      <c r="DG274" t="e">
        <f>AND('STERLING CATALOG - FZN &amp; CHILL'!J690,"AAAAAHr9+24=")</f>
        <v>#VALUE!</v>
      </c>
      <c r="DH274">
        <f>IF('STERLING CATALOG - FZN &amp; CHILL'!691:691,"AAAAAHr9+28=",0)</f>
        <v>0</v>
      </c>
      <c r="DI274" t="e">
        <f>AND('STERLING CATALOG - FZN &amp; CHILL'!A691,"AAAAAHr9+3A=")</f>
        <v>#VALUE!</v>
      </c>
      <c r="DJ274" t="e">
        <f>AND('STERLING CATALOG - FZN &amp; CHILL'!B691,"AAAAAHr9+3E=")</f>
        <v>#VALUE!</v>
      </c>
      <c r="DK274" t="e">
        <f>AND('STERLING CATALOG - FZN &amp; CHILL'!C691,"AAAAAHr9+3I=")</f>
        <v>#VALUE!</v>
      </c>
      <c r="DL274" t="e">
        <f>AND('STERLING CATALOG - FZN &amp; CHILL'!D691,"AAAAAHr9+3M=")</f>
        <v>#VALUE!</v>
      </c>
      <c r="DM274" t="e">
        <f>AND('STERLING CATALOG - FZN &amp; CHILL'!E691,"AAAAAHr9+3Q=")</f>
        <v>#VALUE!</v>
      </c>
      <c r="DN274" t="e">
        <f>AND('STERLING CATALOG - FZN &amp; CHILL'!F691,"AAAAAHr9+3U=")</f>
        <v>#VALUE!</v>
      </c>
      <c r="DO274" t="e">
        <f>AND('STERLING CATALOG - FZN &amp; CHILL'!G691,"AAAAAHr9+3Y=")</f>
        <v>#VALUE!</v>
      </c>
      <c r="DP274" t="e">
        <f>AND('STERLING CATALOG - FZN &amp; CHILL'!H691,"AAAAAHr9+3c=")</f>
        <v>#VALUE!</v>
      </c>
      <c r="DQ274" t="e">
        <f>AND('STERLING CATALOG - FZN &amp; CHILL'!I691,"AAAAAHr9+3g=")</f>
        <v>#VALUE!</v>
      </c>
      <c r="DR274" t="e">
        <f>AND('STERLING CATALOG - FZN &amp; CHILL'!J691,"AAAAAHr9+3k=")</f>
        <v>#VALUE!</v>
      </c>
      <c r="DS274">
        <f>IF('STERLING CATALOG - FZN &amp; CHILL'!692:692,"AAAAAHr9+3o=",0)</f>
        <v>0</v>
      </c>
      <c r="DT274" t="e">
        <f>AND('STERLING CATALOG - FZN &amp; CHILL'!A692,"AAAAAHr9+3s=")</f>
        <v>#VALUE!</v>
      </c>
      <c r="DU274" t="e">
        <f>AND('STERLING CATALOG - FZN &amp; CHILL'!B692,"AAAAAHr9+3w=")</f>
        <v>#VALUE!</v>
      </c>
      <c r="DV274" t="e">
        <f>AND('STERLING CATALOG - FZN &amp; CHILL'!C692,"AAAAAHr9+30=")</f>
        <v>#VALUE!</v>
      </c>
      <c r="DW274" t="e">
        <f>AND('STERLING CATALOG - FZN &amp; CHILL'!D692,"AAAAAHr9+34=")</f>
        <v>#VALUE!</v>
      </c>
      <c r="DX274" t="e">
        <f>AND('STERLING CATALOG - FZN &amp; CHILL'!E692,"AAAAAHr9+38=")</f>
        <v>#VALUE!</v>
      </c>
      <c r="DY274" t="e">
        <f>AND('STERLING CATALOG - FZN &amp; CHILL'!F692,"AAAAAHr9+4A=")</f>
        <v>#VALUE!</v>
      </c>
      <c r="DZ274" t="e">
        <f>AND('STERLING CATALOG - FZN &amp; CHILL'!G692,"AAAAAHr9+4E=")</f>
        <v>#VALUE!</v>
      </c>
      <c r="EA274" t="e">
        <f>AND('STERLING CATALOG - FZN &amp; CHILL'!H692,"AAAAAHr9+4I=")</f>
        <v>#VALUE!</v>
      </c>
      <c r="EB274" t="e">
        <f>AND('STERLING CATALOG - FZN &amp; CHILL'!I692,"AAAAAHr9+4M=")</f>
        <v>#VALUE!</v>
      </c>
      <c r="EC274" t="e">
        <f>AND('STERLING CATALOG - FZN &amp; CHILL'!J692,"AAAAAHr9+4Q=")</f>
        <v>#VALUE!</v>
      </c>
      <c r="ED274">
        <f>IF('STERLING CATALOG - FZN &amp; CHILL'!693:693,"AAAAAHr9+4U=",0)</f>
        <v>0</v>
      </c>
      <c r="EE274" t="e">
        <f>AND('STERLING CATALOG - FZN &amp; CHILL'!A693,"AAAAAHr9+4Y=")</f>
        <v>#VALUE!</v>
      </c>
      <c r="EF274" t="e">
        <f>AND('STERLING CATALOG - FZN &amp; CHILL'!B693,"AAAAAHr9+4c=")</f>
        <v>#VALUE!</v>
      </c>
      <c r="EG274" t="e">
        <f>AND('STERLING CATALOG - FZN &amp; CHILL'!C693,"AAAAAHr9+4g=")</f>
        <v>#VALUE!</v>
      </c>
      <c r="EH274" t="e">
        <f>AND('STERLING CATALOG - FZN &amp; CHILL'!D693,"AAAAAHr9+4k=")</f>
        <v>#VALUE!</v>
      </c>
      <c r="EI274" t="e">
        <f>AND('STERLING CATALOG - FZN &amp; CHILL'!E693,"AAAAAHr9+4o=")</f>
        <v>#VALUE!</v>
      </c>
      <c r="EJ274" t="e">
        <f>AND('STERLING CATALOG - FZN &amp; CHILL'!F693,"AAAAAHr9+4s=")</f>
        <v>#VALUE!</v>
      </c>
      <c r="EK274" t="e">
        <f>AND('STERLING CATALOG - FZN &amp; CHILL'!G693,"AAAAAHr9+4w=")</f>
        <v>#VALUE!</v>
      </c>
      <c r="EL274" t="e">
        <f>AND('STERLING CATALOG - FZN &amp; CHILL'!H693,"AAAAAHr9+40=")</f>
        <v>#VALUE!</v>
      </c>
      <c r="EM274" t="e">
        <f>AND('STERLING CATALOG - FZN &amp; CHILL'!I693,"AAAAAHr9+44=")</f>
        <v>#VALUE!</v>
      </c>
      <c r="EN274" t="e">
        <f>AND('STERLING CATALOG - FZN &amp; CHILL'!J693,"AAAAAHr9+48=")</f>
        <v>#VALUE!</v>
      </c>
      <c r="EO274">
        <f>IF('STERLING CATALOG - FZN &amp; CHILL'!694:694,"AAAAAHr9+5A=",0)</f>
        <v>0</v>
      </c>
      <c r="EP274" t="e">
        <f>AND('STERLING CATALOG - FZN &amp; CHILL'!A694,"AAAAAHr9+5E=")</f>
        <v>#VALUE!</v>
      </c>
      <c r="EQ274" t="e">
        <f>AND('STERLING CATALOG - FZN &amp; CHILL'!B694,"AAAAAHr9+5I=")</f>
        <v>#VALUE!</v>
      </c>
      <c r="ER274" t="e">
        <f>AND('STERLING CATALOG - FZN &amp; CHILL'!C694,"AAAAAHr9+5M=")</f>
        <v>#VALUE!</v>
      </c>
      <c r="ES274" t="e">
        <f>AND('STERLING CATALOG - FZN &amp; CHILL'!D694,"AAAAAHr9+5Q=")</f>
        <v>#VALUE!</v>
      </c>
      <c r="ET274" t="e">
        <f>AND('STERLING CATALOG - FZN &amp; CHILL'!E694,"AAAAAHr9+5U=")</f>
        <v>#VALUE!</v>
      </c>
      <c r="EU274" t="e">
        <f>AND('STERLING CATALOG - FZN &amp; CHILL'!F694,"AAAAAHr9+5Y=")</f>
        <v>#VALUE!</v>
      </c>
      <c r="EV274" t="e">
        <f>AND('STERLING CATALOG - FZN &amp; CHILL'!G694,"AAAAAHr9+5c=")</f>
        <v>#VALUE!</v>
      </c>
      <c r="EW274" t="e">
        <f>AND('STERLING CATALOG - FZN &amp; CHILL'!H694,"AAAAAHr9+5g=")</f>
        <v>#VALUE!</v>
      </c>
      <c r="EX274" t="e">
        <f>AND('STERLING CATALOG - FZN &amp; CHILL'!I694,"AAAAAHr9+5k=")</f>
        <v>#VALUE!</v>
      </c>
      <c r="EY274" t="e">
        <f>AND('STERLING CATALOG - FZN &amp; CHILL'!J694,"AAAAAHr9+5o=")</f>
        <v>#VALUE!</v>
      </c>
      <c r="EZ274">
        <f>IF('STERLING CATALOG - FZN &amp; CHILL'!695:695,"AAAAAHr9+5s=",0)</f>
        <v>0</v>
      </c>
      <c r="FA274" t="e">
        <f>AND('STERLING CATALOG - FZN &amp; CHILL'!A695,"AAAAAHr9+5w=")</f>
        <v>#VALUE!</v>
      </c>
      <c r="FB274" t="e">
        <f>AND('STERLING CATALOG - FZN &amp; CHILL'!B695,"AAAAAHr9+50=")</f>
        <v>#VALUE!</v>
      </c>
      <c r="FC274" t="e">
        <f>AND('STERLING CATALOG - FZN &amp; CHILL'!C695,"AAAAAHr9+54=")</f>
        <v>#VALUE!</v>
      </c>
      <c r="FD274" t="e">
        <f>AND('STERLING CATALOG - FZN &amp; CHILL'!D695,"AAAAAHr9+58=")</f>
        <v>#VALUE!</v>
      </c>
      <c r="FE274" t="e">
        <f>AND('STERLING CATALOG - FZN &amp; CHILL'!E695,"AAAAAHr9+6A=")</f>
        <v>#VALUE!</v>
      </c>
      <c r="FF274" t="e">
        <f>AND('STERLING CATALOG - FZN &amp; CHILL'!F695,"AAAAAHr9+6E=")</f>
        <v>#VALUE!</v>
      </c>
      <c r="FG274" t="e">
        <f>AND('STERLING CATALOG - FZN &amp; CHILL'!G695,"AAAAAHr9+6I=")</f>
        <v>#VALUE!</v>
      </c>
      <c r="FH274" t="e">
        <f>AND('STERLING CATALOG - FZN &amp; CHILL'!H695,"AAAAAHr9+6M=")</f>
        <v>#VALUE!</v>
      </c>
      <c r="FI274" t="e">
        <f>AND('STERLING CATALOG - FZN &amp; CHILL'!I695,"AAAAAHr9+6Q=")</f>
        <v>#VALUE!</v>
      </c>
      <c r="FJ274" t="e">
        <f>AND('STERLING CATALOG - FZN &amp; CHILL'!J695,"AAAAAHr9+6U=")</f>
        <v>#VALUE!</v>
      </c>
      <c r="FK274">
        <f>IF('STERLING CATALOG - FZN &amp; CHILL'!696:696,"AAAAAHr9+6Y=",0)</f>
        <v>0</v>
      </c>
      <c r="FL274" t="e">
        <f>AND('STERLING CATALOG - FZN &amp; CHILL'!A696,"AAAAAHr9+6c=")</f>
        <v>#VALUE!</v>
      </c>
      <c r="FM274" t="e">
        <f>AND('STERLING CATALOG - FZN &amp; CHILL'!B696,"AAAAAHr9+6g=")</f>
        <v>#VALUE!</v>
      </c>
      <c r="FN274" t="e">
        <f>AND('STERLING CATALOG - FZN &amp; CHILL'!C696,"AAAAAHr9+6k=")</f>
        <v>#VALUE!</v>
      </c>
      <c r="FO274" t="e">
        <f>AND('STERLING CATALOG - FZN &amp; CHILL'!D696,"AAAAAHr9+6o=")</f>
        <v>#VALUE!</v>
      </c>
      <c r="FP274" t="e">
        <f>AND('STERLING CATALOG - FZN &amp; CHILL'!E696,"AAAAAHr9+6s=")</f>
        <v>#VALUE!</v>
      </c>
      <c r="FQ274" t="e">
        <f>AND('STERLING CATALOG - FZN &amp; CHILL'!F696,"AAAAAHr9+6w=")</f>
        <v>#VALUE!</v>
      </c>
      <c r="FR274" t="e">
        <f>AND('STERLING CATALOG - FZN &amp; CHILL'!G696,"AAAAAHr9+60=")</f>
        <v>#VALUE!</v>
      </c>
      <c r="FS274" t="e">
        <f>AND('STERLING CATALOG - FZN &amp; CHILL'!H696,"AAAAAHr9+64=")</f>
        <v>#VALUE!</v>
      </c>
      <c r="FT274" t="e">
        <f>AND('STERLING CATALOG - FZN &amp; CHILL'!I696,"AAAAAHr9+68=")</f>
        <v>#VALUE!</v>
      </c>
      <c r="FU274" t="e">
        <f>AND('STERLING CATALOG - FZN &amp; CHILL'!J696,"AAAAAHr9+7A=")</f>
        <v>#VALUE!</v>
      </c>
      <c r="FV274">
        <f>IF('STERLING CATALOG - FZN &amp; CHILL'!697:697,"AAAAAHr9+7E=",0)</f>
        <v>0</v>
      </c>
      <c r="FW274" t="e">
        <f>AND('STERLING CATALOG - FZN &amp; CHILL'!A697,"AAAAAHr9+7I=")</f>
        <v>#VALUE!</v>
      </c>
      <c r="FX274" t="e">
        <f>AND('STERLING CATALOG - FZN &amp; CHILL'!B697,"AAAAAHr9+7M=")</f>
        <v>#VALUE!</v>
      </c>
      <c r="FY274" t="e">
        <f>AND('STERLING CATALOG - FZN &amp; CHILL'!C697,"AAAAAHr9+7Q=")</f>
        <v>#VALUE!</v>
      </c>
      <c r="FZ274" t="e">
        <f>AND('STERLING CATALOG - FZN &amp; CHILL'!D697,"AAAAAHr9+7U=")</f>
        <v>#VALUE!</v>
      </c>
      <c r="GA274" t="e">
        <f>AND('STERLING CATALOG - FZN &amp; CHILL'!E697,"AAAAAHr9+7Y=")</f>
        <v>#VALUE!</v>
      </c>
      <c r="GB274" t="e">
        <f>AND('STERLING CATALOG - FZN &amp; CHILL'!F697,"AAAAAHr9+7c=")</f>
        <v>#VALUE!</v>
      </c>
      <c r="GC274" t="e">
        <f>AND('STERLING CATALOG - FZN &amp; CHILL'!G697,"AAAAAHr9+7g=")</f>
        <v>#VALUE!</v>
      </c>
      <c r="GD274" t="e">
        <f>AND('STERLING CATALOG - FZN &amp; CHILL'!H697,"AAAAAHr9+7k=")</f>
        <v>#VALUE!</v>
      </c>
      <c r="GE274" t="e">
        <f>AND('STERLING CATALOG - FZN &amp; CHILL'!I697,"AAAAAHr9+7o=")</f>
        <v>#VALUE!</v>
      </c>
      <c r="GF274" t="e">
        <f>AND('STERLING CATALOG - FZN &amp; CHILL'!J697,"AAAAAHr9+7s=")</f>
        <v>#VALUE!</v>
      </c>
      <c r="GG274">
        <f>IF('STERLING CATALOG - FZN &amp; CHILL'!698:698,"AAAAAHr9+7w=",0)</f>
        <v>0</v>
      </c>
      <c r="GH274" t="e">
        <f>AND('STERLING CATALOG - FZN &amp; CHILL'!A698,"AAAAAHr9+70=")</f>
        <v>#VALUE!</v>
      </c>
      <c r="GI274" t="e">
        <f>AND('STERLING CATALOG - FZN &amp; CHILL'!B698,"AAAAAHr9+74=")</f>
        <v>#VALUE!</v>
      </c>
      <c r="GJ274" t="e">
        <f>AND('STERLING CATALOG - FZN &amp; CHILL'!C698,"AAAAAHr9+78=")</f>
        <v>#VALUE!</v>
      </c>
      <c r="GK274" t="e">
        <f>AND('STERLING CATALOG - FZN &amp; CHILL'!D698,"AAAAAHr9+8A=")</f>
        <v>#VALUE!</v>
      </c>
      <c r="GL274" t="e">
        <f>AND('STERLING CATALOG - FZN &amp; CHILL'!E698,"AAAAAHr9+8E=")</f>
        <v>#VALUE!</v>
      </c>
      <c r="GM274" t="e">
        <f>AND('STERLING CATALOG - FZN &amp; CHILL'!F698,"AAAAAHr9+8I=")</f>
        <v>#VALUE!</v>
      </c>
      <c r="GN274" t="e">
        <f>AND('STERLING CATALOG - FZN &amp; CHILL'!G698,"AAAAAHr9+8M=")</f>
        <v>#VALUE!</v>
      </c>
      <c r="GO274" t="e">
        <f>AND('STERLING CATALOG - FZN &amp; CHILL'!H698,"AAAAAHr9+8Q=")</f>
        <v>#VALUE!</v>
      </c>
      <c r="GP274" t="e">
        <f>AND('STERLING CATALOG - FZN &amp; CHILL'!I698,"AAAAAHr9+8U=")</f>
        <v>#VALUE!</v>
      </c>
      <c r="GQ274" t="e">
        <f>AND('STERLING CATALOG - FZN &amp; CHILL'!J698,"AAAAAHr9+8Y=")</f>
        <v>#VALUE!</v>
      </c>
      <c r="GR274">
        <f>IF('STERLING CATALOG - FZN &amp; CHILL'!699:699,"AAAAAHr9+8c=",0)</f>
        <v>0</v>
      </c>
      <c r="GS274" t="e">
        <f>AND('STERLING CATALOG - FZN &amp; CHILL'!A699,"AAAAAHr9+8g=")</f>
        <v>#VALUE!</v>
      </c>
      <c r="GT274" t="e">
        <f>AND('STERLING CATALOG - FZN &amp; CHILL'!B699,"AAAAAHr9+8k=")</f>
        <v>#VALUE!</v>
      </c>
      <c r="GU274" t="e">
        <f>AND('STERLING CATALOG - FZN &amp; CHILL'!C699,"AAAAAHr9+8o=")</f>
        <v>#VALUE!</v>
      </c>
      <c r="GV274" t="e">
        <f>AND('STERLING CATALOG - FZN &amp; CHILL'!D699,"AAAAAHr9+8s=")</f>
        <v>#VALUE!</v>
      </c>
      <c r="GW274" t="e">
        <f>AND('STERLING CATALOG - FZN &amp; CHILL'!E699,"AAAAAHr9+8w=")</f>
        <v>#VALUE!</v>
      </c>
      <c r="GX274" t="e">
        <f>AND('STERLING CATALOG - FZN &amp; CHILL'!F699,"AAAAAHr9+80=")</f>
        <v>#VALUE!</v>
      </c>
      <c r="GY274" t="e">
        <f>AND('STERLING CATALOG - FZN &amp; CHILL'!G699,"AAAAAHr9+84=")</f>
        <v>#VALUE!</v>
      </c>
      <c r="GZ274" t="e">
        <f>AND('STERLING CATALOG - FZN &amp; CHILL'!H699,"AAAAAHr9+88=")</f>
        <v>#VALUE!</v>
      </c>
      <c r="HA274" t="e">
        <f>AND('STERLING CATALOG - FZN &amp; CHILL'!I699,"AAAAAHr9+9A=")</f>
        <v>#VALUE!</v>
      </c>
      <c r="HB274" t="e">
        <f>AND('STERLING CATALOG - FZN &amp; CHILL'!J699,"AAAAAHr9+9E=")</f>
        <v>#VALUE!</v>
      </c>
      <c r="HC274">
        <f>IF('STERLING CATALOG - FZN &amp; CHILL'!700:700,"AAAAAHr9+9I=",0)</f>
        <v>0</v>
      </c>
      <c r="HD274" t="e">
        <f>AND('STERLING CATALOG - FZN &amp; CHILL'!A700,"AAAAAHr9+9M=")</f>
        <v>#VALUE!</v>
      </c>
      <c r="HE274" t="e">
        <f>AND('STERLING CATALOG - FZN &amp; CHILL'!B700,"AAAAAHr9+9Q=")</f>
        <v>#VALUE!</v>
      </c>
      <c r="HF274" t="e">
        <f>AND('STERLING CATALOG - FZN &amp; CHILL'!C700,"AAAAAHr9+9U=")</f>
        <v>#VALUE!</v>
      </c>
      <c r="HG274" t="e">
        <f>AND('STERLING CATALOG - FZN &amp; CHILL'!D700,"AAAAAHr9+9Y=")</f>
        <v>#VALUE!</v>
      </c>
      <c r="HH274" t="e">
        <f>AND('STERLING CATALOG - FZN &amp; CHILL'!E700,"AAAAAHr9+9c=")</f>
        <v>#VALUE!</v>
      </c>
      <c r="HI274" t="e">
        <f>AND('STERLING CATALOG - FZN &amp; CHILL'!F700,"AAAAAHr9+9g=")</f>
        <v>#VALUE!</v>
      </c>
      <c r="HJ274" t="e">
        <f>AND('STERLING CATALOG - FZN &amp; CHILL'!G700,"AAAAAHr9+9k=")</f>
        <v>#VALUE!</v>
      </c>
      <c r="HK274" t="e">
        <f>AND('STERLING CATALOG - FZN &amp; CHILL'!H700,"AAAAAHr9+9o=")</f>
        <v>#VALUE!</v>
      </c>
      <c r="HL274" t="e">
        <f>AND('STERLING CATALOG - FZN &amp; CHILL'!I700,"AAAAAHr9+9s=")</f>
        <v>#VALUE!</v>
      </c>
      <c r="HM274" t="e">
        <f>AND('STERLING CATALOG - FZN &amp; CHILL'!J700,"AAAAAHr9+9w=")</f>
        <v>#VALUE!</v>
      </c>
      <c r="HN274">
        <f>IF('STERLING CATALOG - FZN &amp; CHILL'!701:701,"AAAAAHr9+90=",0)</f>
        <v>0</v>
      </c>
      <c r="HO274" t="e">
        <f>AND('STERLING CATALOG - FZN &amp; CHILL'!A701,"AAAAAHr9+94=")</f>
        <v>#VALUE!</v>
      </c>
      <c r="HP274" t="e">
        <f>AND('STERLING CATALOG - FZN &amp; CHILL'!B701,"AAAAAHr9+98=")</f>
        <v>#VALUE!</v>
      </c>
      <c r="HQ274" t="e">
        <f>AND('STERLING CATALOG - FZN &amp; CHILL'!C701,"AAAAAHr9++A=")</f>
        <v>#VALUE!</v>
      </c>
      <c r="HR274" t="e">
        <f>AND('STERLING CATALOG - FZN &amp; CHILL'!D701,"AAAAAHr9++E=")</f>
        <v>#VALUE!</v>
      </c>
      <c r="HS274" t="e">
        <f>AND('STERLING CATALOG - FZN &amp; CHILL'!E701,"AAAAAHr9++I=")</f>
        <v>#VALUE!</v>
      </c>
      <c r="HT274" t="e">
        <f>AND('STERLING CATALOG - FZN &amp; CHILL'!F701,"AAAAAHr9++M=")</f>
        <v>#VALUE!</v>
      </c>
      <c r="HU274" t="e">
        <f>AND('STERLING CATALOG - FZN &amp; CHILL'!G701,"AAAAAHr9++Q=")</f>
        <v>#VALUE!</v>
      </c>
      <c r="HV274" t="e">
        <f>AND('STERLING CATALOG - FZN &amp; CHILL'!H701,"AAAAAHr9++U=")</f>
        <v>#VALUE!</v>
      </c>
      <c r="HW274" t="e">
        <f>AND('STERLING CATALOG - FZN &amp; CHILL'!I701,"AAAAAHr9++Y=")</f>
        <v>#VALUE!</v>
      </c>
      <c r="HX274" t="e">
        <f>AND('STERLING CATALOG - FZN &amp; CHILL'!J701,"AAAAAHr9++c=")</f>
        <v>#VALUE!</v>
      </c>
      <c r="HY274">
        <f>IF('STERLING CATALOG - FZN &amp; CHILL'!702:702,"AAAAAHr9++g=",0)</f>
        <v>0</v>
      </c>
      <c r="HZ274" t="e">
        <f>AND('STERLING CATALOG - FZN &amp; CHILL'!A702,"AAAAAHr9++k=")</f>
        <v>#VALUE!</v>
      </c>
      <c r="IA274" t="e">
        <f>AND('STERLING CATALOG - FZN &amp; CHILL'!B702,"AAAAAHr9++o=")</f>
        <v>#VALUE!</v>
      </c>
      <c r="IB274" t="e">
        <f>AND('STERLING CATALOG - FZN &amp; CHILL'!C702,"AAAAAHr9++s=")</f>
        <v>#VALUE!</v>
      </c>
      <c r="IC274" t="e">
        <f>AND('STERLING CATALOG - FZN &amp; CHILL'!D702,"AAAAAHr9++w=")</f>
        <v>#VALUE!</v>
      </c>
      <c r="ID274" t="e">
        <f>AND('STERLING CATALOG - FZN &amp; CHILL'!E702,"AAAAAHr9++0=")</f>
        <v>#VALUE!</v>
      </c>
      <c r="IE274" t="e">
        <f>AND('STERLING CATALOG - FZN &amp; CHILL'!F702,"AAAAAHr9++4=")</f>
        <v>#VALUE!</v>
      </c>
      <c r="IF274" t="e">
        <f>AND('STERLING CATALOG - FZN &amp; CHILL'!G702,"AAAAAHr9++8=")</f>
        <v>#VALUE!</v>
      </c>
      <c r="IG274" t="e">
        <f>AND('STERLING CATALOG - FZN &amp; CHILL'!H702,"AAAAAHr9+/A=")</f>
        <v>#VALUE!</v>
      </c>
      <c r="IH274" t="e">
        <f>AND('STERLING CATALOG - FZN &amp; CHILL'!I702,"AAAAAHr9+/E=")</f>
        <v>#VALUE!</v>
      </c>
      <c r="II274" t="e">
        <f>AND('STERLING CATALOG - FZN &amp; CHILL'!J702,"AAAAAHr9+/I=")</f>
        <v>#VALUE!</v>
      </c>
      <c r="IJ274">
        <f>IF('STERLING CATALOG - FZN &amp; CHILL'!703:703,"AAAAAHr9+/M=",0)</f>
        <v>0</v>
      </c>
      <c r="IK274" t="e">
        <f>AND('STERLING CATALOG - FZN &amp; CHILL'!A703,"AAAAAHr9+/Q=")</f>
        <v>#VALUE!</v>
      </c>
      <c r="IL274" t="e">
        <f>AND('STERLING CATALOG - FZN &amp; CHILL'!B703,"AAAAAHr9+/U=")</f>
        <v>#VALUE!</v>
      </c>
      <c r="IM274" t="e">
        <f>AND('STERLING CATALOG - FZN &amp; CHILL'!C703,"AAAAAHr9+/Y=")</f>
        <v>#VALUE!</v>
      </c>
      <c r="IN274" t="e">
        <f>AND('STERLING CATALOG - FZN &amp; CHILL'!D703,"AAAAAHr9+/c=")</f>
        <v>#VALUE!</v>
      </c>
      <c r="IO274" t="e">
        <f>AND('STERLING CATALOG - FZN &amp; CHILL'!E703,"AAAAAHr9+/g=")</f>
        <v>#VALUE!</v>
      </c>
      <c r="IP274" t="e">
        <f>AND('STERLING CATALOG - FZN &amp; CHILL'!F703,"AAAAAHr9+/k=")</f>
        <v>#VALUE!</v>
      </c>
      <c r="IQ274" t="e">
        <f>AND('STERLING CATALOG - FZN &amp; CHILL'!G703,"AAAAAHr9+/o=")</f>
        <v>#VALUE!</v>
      </c>
      <c r="IR274" t="e">
        <f>AND('STERLING CATALOG - FZN &amp; CHILL'!H703,"AAAAAHr9+/s=")</f>
        <v>#VALUE!</v>
      </c>
      <c r="IS274" t="e">
        <f>AND('STERLING CATALOG - FZN &amp; CHILL'!I703,"AAAAAHr9+/w=")</f>
        <v>#VALUE!</v>
      </c>
      <c r="IT274" t="e">
        <f>AND('STERLING CATALOG - FZN &amp; CHILL'!J703,"AAAAAHr9+/0=")</f>
        <v>#VALUE!</v>
      </c>
      <c r="IU274">
        <f>IF('STERLING CATALOG - FZN &amp; CHILL'!704:704,"AAAAAHr9+/4=",0)</f>
        <v>0</v>
      </c>
      <c r="IV274" t="e">
        <f>AND('STERLING CATALOG - FZN &amp; CHILL'!A704,"AAAAAHr9+/8=")</f>
        <v>#VALUE!</v>
      </c>
    </row>
    <row r="275" spans="1:256">
      <c r="A275" t="e">
        <f>AND('STERLING CATALOG - FZN &amp; CHILL'!B704,"AAAAAFbb3wA=")</f>
        <v>#VALUE!</v>
      </c>
      <c r="B275" t="e">
        <f>AND('STERLING CATALOG - FZN &amp; CHILL'!C704,"AAAAAFbb3wE=")</f>
        <v>#VALUE!</v>
      </c>
      <c r="C275" t="e">
        <f>AND('STERLING CATALOG - FZN &amp; CHILL'!D704,"AAAAAFbb3wI=")</f>
        <v>#VALUE!</v>
      </c>
      <c r="D275" t="e">
        <f>AND('STERLING CATALOG - FZN &amp; CHILL'!E704,"AAAAAFbb3wM=")</f>
        <v>#VALUE!</v>
      </c>
      <c r="E275" t="e">
        <f>AND('STERLING CATALOG - FZN &amp; CHILL'!F704,"AAAAAFbb3wQ=")</f>
        <v>#VALUE!</v>
      </c>
      <c r="F275" t="e">
        <f>AND('STERLING CATALOG - FZN &amp; CHILL'!G704,"AAAAAFbb3wU=")</f>
        <v>#VALUE!</v>
      </c>
      <c r="G275" t="e">
        <f>AND('STERLING CATALOG - FZN &amp; CHILL'!H704,"AAAAAFbb3wY=")</f>
        <v>#VALUE!</v>
      </c>
      <c r="H275" t="e">
        <f>AND('STERLING CATALOG - FZN &amp; CHILL'!I704,"AAAAAFbb3wc=")</f>
        <v>#VALUE!</v>
      </c>
      <c r="I275" t="e">
        <f>AND('STERLING CATALOG - FZN &amp; CHILL'!J704,"AAAAAFbb3wg=")</f>
        <v>#VALUE!</v>
      </c>
      <c r="J275" t="e">
        <f>IF('STERLING CATALOG - FZN &amp; CHILL'!705:705,"AAAAAFbb3wk=",0)</f>
        <v>#VALUE!</v>
      </c>
      <c r="K275" t="e">
        <f>AND('STERLING CATALOG - FZN &amp; CHILL'!A705,"AAAAAFbb3wo=")</f>
        <v>#VALUE!</v>
      </c>
      <c r="L275" t="e">
        <f>AND('STERLING CATALOG - FZN &amp; CHILL'!B705,"AAAAAFbb3ws=")</f>
        <v>#VALUE!</v>
      </c>
      <c r="M275" t="e">
        <f>AND('STERLING CATALOG - FZN &amp; CHILL'!C705,"AAAAAFbb3ww=")</f>
        <v>#VALUE!</v>
      </c>
      <c r="N275" t="e">
        <f>AND('STERLING CATALOG - FZN &amp; CHILL'!D705,"AAAAAFbb3w0=")</f>
        <v>#VALUE!</v>
      </c>
      <c r="O275" t="e">
        <f>AND('STERLING CATALOG - FZN &amp; CHILL'!E705,"AAAAAFbb3w4=")</f>
        <v>#VALUE!</v>
      </c>
      <c r="P275" t="e">
        <f>AND('STERLING CATALOG - FZN &amp; CHILL'!F705,"AAAAAFbb3w8=")</f>
        <v>#VALUE!</v>
      </c>
      <c r="Q275" t="e">
        <f>AND('STERLING CATALOG - FZN &amp; CHILL'!G705,"AAAAAFbb3xA=")</f>
        <v>#VALUE!</v>
      </c>
      <c r="R275" t="e">
        <f>AND('STERLING CATALOG - FZN &amp; CHILL'!H705,"AAAAAFbb3xE=")</f>
        <v>#VALUE!</v>
      </c>
      <c r="S275" t="e">
        <f>AND('STERLING CATALOG - FZN &amp; CHILL'!I705,"AAAAAFbb3xI=")</f>
        <v>#VALUE!</v>
      </c>
      <c r="T275" t="e">
        <f>AND('STERLING CATALOG - FZN &amp; CHILL'!J705,"AAAAAFbb3xM=")</f>
        <v>#VALUE!</v>
      </c>
      <c r="U275">
        <f>IF('STERLING CATALOG - FZN &amp; CHILL'!706:706,"AAAAAFbb3xQ=",0)</f>
        <v>0</v>
      </c>
      <c r="V275" t="e">
        <f>AND('STERLING CATALOG - FZN &amp; CHILL'!A706,"AAAAAFbb3xU=")</f>
        <v>#VALUE!</v>
      </c>
      <c r="W275" t="e">
        <f>AND('STERLING CATALOG - FZN &amp; CHILL'!B706,"AAAAAFbb3xY=")</f>
        <v>#VALUE!</v>
      </c>
      <c r="X275" t="e">
        <f>AND('STERLING CATALOG - FZN &amp; CHILL'!C706,"AAAAAFbb3xc=")</f>
        <v>#VALUE!</v>
      </c>
      <c r="Y275" t="e">
        <f>AND('STERLING CATALOG - FZN &amp; CHILL'!D706,"AAAAAFbb3xg=")</f>
        <v>#VALUE!</v>
      </c>
      <c r="Z275" t="e">
        <f>AND('STERLING CATALOG - FZN &amp; CHILL'!E706,"AAAAAFbb3xk=")</f>
        <v>#VALUE!</v>
      </c>
      <c r="AA275" t="e">
        <f>AND('STERLING CATALOG - FZN &amp; CHILL'!F706,"AAAAAFbb3xo=")</f>
        <v>#VALUE!</v>
      </c>
      <c r="AB275" t="e">
        <f>AND('STERLING CATALOG - FZN &amp; CHILL'!G706,"AAAAAFbb3xs=")</f>
        <v>#VALUE!</v>
      </c>
      <c r="AC275" t="e">
        <f>AND('STERLING CATALOG - FZN &amp; CHILL'!H706,"AAAAAFbb3xw=")</f>
        <v>#VALUE!</v>
      </c>
      <c r="AD275" t="e">
        <f>AND('STERLING CATALOG - FZN &amp; CHILL'!I706,"AAAAAFbb3x0=")</f>
        <v>#VALUE!</v>
      </c>
      <c r="AE275" t="e">
        <f>AND('STERLING CATALOG - FZN &amp; CHILL'!J706,"AAAAAFbb3x4=")</f>
        <v>#VALUE!</v>
      </c>
      <c r="AF275">
        <f>IF('STERLING CATALOG - FZN &amp; CHILL'!707:707,"AAAAAFbb3x8=",0)</f>
        <v>0</v>
      </c>
      <c r="AG275" t="e">
        <f>AND('STERLING CATALOG - FZN &amp; CHILL'!A707,"AAAAAFbb3yA=")</f>
        <v>#VALUE!</v>
      </c>
      <c r="AH275" t="e">
        <f>AND('STERLING CATALOG - FZN &amp; CHILL'!B707,"AAAAAFbb3yE=")</f>
        <v>#VALUE!</v>
      </c>
      <c r="AI275" t="e">
        <f>AND('STERLING CATALOG - FZN &amp; CHILL'!C707,"AAAAAFbb3yI=")</f>
        <v>#VALUE!</v>
      </c>
      <c r="AJ275" t="e">
        <f>AND('STERLING CATALOG - FZN &amp; CHILL'!D707,"AAAAAFbb3yM=")</f>
        <v>#VALUE!</v>
      </c>
      <c r="AK275" t="e">
        <f>AND('STERLING CATALOG - FZN &amp; CHILL'!E707,"AAAAAFbb3yQ=")</f>
        <v>#VALUE!</v>
      </c>
      <c r="AL275" t="e">
        <f>AND('STERLING CATALOG - FZN &amp; CHILL'!F707,"AAAAAFbb3yU=")</f>
        <v>#VALUE!</v>
      </c>
      <c r="AM275" t="e">
        <f>AND('STERLING CATALOG - FZN &amp; CHILL'!G707,"AAAAAFbb3yY=")</f>
        <v>#VALUE!</v>
      </c>
      <c r="AN275" t="e">
        <f>AND('STERLING CATALOG - FZN &amp; CHILL'!H707,"AAAAAFbb3yc=")</f>
        <v>#VALUE!</v>
      </c>
      <c r="AO275" t="e">
        <f>AND('STERLING CATALOG - FZN &amp; CHILL'!I707,"AAAAAFbb3yg=")</f>
        <v>#VALUE!</v>
      </c>
      <c r="AP275" t="e">
        <f>AND('STERLING CATALOG - FZN &amp; CHILL'!J707,"AAAAAFbb3yk=")</f>
        <v>#VALUE!</v>
      </c>
      <c r="AQ275">
        <f>IF('STERLING CATALOG - FZN &amp; CHILL'!708:708,"AAAAAFbb3yo=",0)</f>
        <v>0</v>
      </c>
      <c r="AR275" t="e">
        <f>AND('STERLING CATALOG - FZN &amp; CHILL'!A708,"AAAAAFbb3ys=")</f>
        <v>#VALUE!</v>
      </c>
      <c r="AS275" t="e">
        <f>AND('STERLING CATALOG - FZN &amp; CHILL'!B708,"AAAAAFbb3yw=")</f>
        <v>#VALUE!</v>
      </c>
      <c r="AT275" t="e">
        <f>AND('STERLING CATALOG - FZN &amp; CHILL'!C708,"AAAAAFbb3y0=")</f>
        <v>#VALUE!</v>
      </c>
      <c r="AU275" t="e">
        <f>AND('STERLING CATALOG - FZN &amp; CHILL'!D708,"AAAAAFbb3y4=")</f>
        <v>#VALUE!</v>
      </c>
      <c r="AV275" t="e">
        <f>AND('STERLING CATALOG - FZN &amp; CHILL'!E708,"AAAAAFbb3y8=")</f>
        <v>#VALUE!</v>
      </c>
      <c r="AW275" t="e">
        <f>AND('STERLING CATALOG - FZN &amp; CHILL'!F708,"AAAAAFbb3zA=")</f>
        <v>#VALUE!</v>
      </c>
      <c r="AX275" t="e">
        <f>AND('STERLING CATALOG - FZN &amp; CHILL'!G708,"AAAAAFbb3zE=")</f>
        <v>#VALUE!</v>
      </c>
      <c r="AY275" t="e">
        <f>AND('STERLING CATALOG - FZN &amp; CHILL'!H708,"AAAAAFbb3zI=")</f>
        <v>#VALUE!</v>
      </c>
      <c r="AZ275" t="e">
        <f>AND('STERLING CATALOG - FZN &amp; CHILL'!I708,"AAAAAFbb3zM=")</f>
        <v>#VALUE!</v>
      </c>
      <c r="BA275" t="e">
        <f>AND('STERLING CATALOG - FZN &amp; CHILL'!J708,"AAAAAFbb3zQ=")</f>
        <v>#VALUE!</v>
      </c>
      <c r="BB275">
        <f>IF('STERLING CATALOG - FZN &amp; CHILL'!709:709,"AAAAAFbb3zU=",0)</f>
        <v>0</v>
      </c>
      <c r="BC275" t="e">
        <f>AND('STERLING CATALOG - FZN &amp; CHILL'!A709,"AAAAAFbb3zY=")</f>
        <v>#VALUE!</v>
      </c>
      <c r="BD275" t="e">
        <f>AND('STERLING CATALOG - FZN &amp; CHILL'!B709,"AAAAAFbb3zc=")</f>
        <v>#VALUE!</v>
      </c>
      <c r="BE275" t="e">
        <f>AND('STERLING CATALOG - FZN &amp; CHILL'!C709,"AAAAAFbb3zg=")</f>
        <v>#VALUE!</v>
      </c>
      <c r="BF275" t="e">
        <f>AND('STERLING CATALOG - FZN &amp; CHILL'!D709,"AAAAAFbb3zk=")</f>
        <v>#VALUE!</v>
      </c>
      <c r="BG275" t="e">
        <f>AND('STERLING CATALOG - FZN &amp; CHILL'!E709,"AAAAAFbb3zo=")</f>
        <v>#VALUE!</v>
      </c>
      <c r="BH275" t="e">
        <f>AND('STERLING CATALOG - FZN &amp; CHILL'!F709,"AAAAAFbb3zs=")</f>
        <v>#VALUE!</v>
      </c>
      <c r="BI275" t="e">
        <f>AND('STERLING CATALOG - FZN &amp; CHILL'!G709,"AAAAAFbb3zw=")</f>
        <v>#VALUE!</v>
      </c>
      <c r="BJ275" t="e">
        <f>AND('STERLING CATALOG - FZN &amp; CHILL'!H709,"AAAAAFbb3z0=")</f>
        <v>#VALUE!</v>
      </c>
      <c r="BK275" t="e">
        <f>AND('STERLING CATALOG - FZN &amp; CHILL'!I709,"AAAAAFbb3z4=")</f>
        <v>#VALUE!</v>
      </c>
      <c r="BL275" t="e">
        <f>AND('STERLING CATALOG - FZN &amp; CHILL'!J709,"AAAAAFbb3z8=")</f>
        <v>#VALUE!</v>
      </c>
      <c r="BM275">
        <f>IF('STERLING CATALOG - FZN &amp; CHILL'!710:710,"AAAAAFbb30A=",0)</f>
        <v>0</v>
      </c>
      <c r="BN275" t="e">
        <f>AND('STERLING CATALOG - FZN &amp; CHILL'!A710,"AAAAAFbb30E=")</f>
        <v>#VALUE!</v>
      </c>
      <c r="BO275" t="e">
        <f>AND('STERLING CATALOG - FZN &amp; CHILL'!B710,"AAAAAFbb30I=")</f>
        <v>#VALUE!</v>
      </c>
      <c r="BP275" t="e">
        <f>AND('STERLING CATALOG - FZN &amp; CHILL'!C710,"AAAAAFbb30M=")</f>
        <v>#VALUE!</v>
      </c>
      <c r="BQ275" t="e">
        <f>AND('STERLING CATALOG - FZN &amp; CHILL'!D710,"AAAAAFbb30Q=")</f>
        <v>#VALUE!</v>
      </c>
      <c r="BR275" t="e">
        <f>AND('STERLING CATALOG - FZN &amp; CHILL'!E710,"AAAAAFbb30U=")</f>
        <v>#VALUE!</v>
      </c>
      <c r="BS275" t="e">
        <f>AND('STERLING CATALOG - FZN &amp; CHILL'!F710,"AAAAAFbb30Y=")</f>
        <v>#VALUE!</v>
      </c>
      <c r="BT275" t="e">
        <f>AND('STERLING CATALOG - FZN &amp; CHILL'!G710,"AAAAAFbb30c=")</f>
        <v>#VALUE!</v>
      </c>
      <c r="BU275" t="e">
        <f>AND('STERLING CATALOG - FZN &amp; CHILL'!H710,"AAAAAFbb30g=")</f>
        <v>#VALUE!</v>
      </c>
      <c r="BV275" t="e">
        <f>AND('STERLING CATALOG - FZN &amp; CHILL'!I710,"AAAAAFbb30k=")</f>
        <v>#VALUE!</v>
      </c>
      <c r="BW275" t="e">
        <f>AND('STERLING CATALOG - FZN &amp; CHILL'!J710,"AAAAAFbb30o=")</f>
        <v>#VALUE!</v>
      </c>
      <c r="BX275">
        <f>IF('STERLING CATALOG - FZN &amp; CHILL'!711:711,"AAAAAFbb30s=",0)</f>
        <v>0</v>
      </c>
      <c r="BY275" t="e">
        <f>AND('STERLING CATALOG - FZN &amp; CHILL'!A711,"AAAAAFbb30w=")</f>
        <v>#VALUE!</v>
      </c>
      <c r="BZ275" t="e">
        <f>AND('STERLING CATALOG - FZN &amp; CHILL'!B711,"AAAAAFbb300=")</f>
        <v>#VALUE!</v>
      </c>
      <c r="CA275" t="e">
        <f>AND('STERLING CATALOG - FZN &amp; CHILL'!C711,"AAAAAFbb304=")</f>
        <v>#VALUE!</v>
      </c>
      <c r="CB275" t="e">
        <f>AND('STERLING CATALOG - FZN &amp; CHILL'!D711,"AAAAAFbb308=")</f>
        <v>#VALUE!</v>
      </c>
      <c r="CC275" t="e">
        <f>AND('STERLING CATALOG - FZN &amp; CHILL'!E711,"AAAAAFbb31A=")</f>
        <v>#VALUE!</v>
      </c>
      <c r="CD275" t="e">
        <f>AND('STERLING CATALOG - FZN &amp; CHILL'!F711,"AAAAAFbb31E=")</f>
        <v>#VALUE!</v>
      </c>
      <c r="CE275" t="e">
        <f>AND('STERLING CATALOG - FZN &amp; CHILL'!G711,"AAAAAFbb31I=")</f>
        <v>#VALUE!</v>
      </c>
      <c r="CF275" t="e">
        <f>AND('STERLING CATALOG - FZN &amp; CHILL'!H711,"AAAAAFbb31M=")</f>
        <v>#VALUE!</v>
      </c>
      <c r="CG275" t="e">
        <f>AND('STERLING CATALOG - FZN &amp; CHILL'!I711,"AAAAAFbb31Q=")</f>
        <v>#VALUE!</v>
      </c>
      <c r="CH275" t="e">
        <f>AND('STERLING CATALOG - FZN &amp; CHILL'!J711,"AAAAAFbb31U=")</f>
        <v>#VALUE!</v>
      </c>
      <c r="CI275">
        <f>IF('STERLING CATALOG - FZN &amp; CHILL'!712:712,"AAAAAFbb31Y=",0)</f>
        <v>0</v>
      </c>
      <c r="CJ275" t="e">
        <f>AND('STERLING CATALOG - FZN &amp; CHILL'!A712,"AAAAAFbb31c=")</f>
        <v>#VALUE!</v>
      </c>
      <c r="CK275" t="e">
        <f>AND('STERLING CATALOG - FZN &amp; CHILL'!B712,"AAAAAFbb31g=")</f>
        <v>#VALUE!</v>
      </c>
      <c r="CL275" t="e">
        <f>AND('STERLING CATALOG - FZN &amp; CHILL'!C712,"AAAAAFbb31k=")</f>
        <v>#VALUE!</v>
      </c>
      <c r="CM275" t="e">
        <f>AND('STERLING CATALOG - FZN &amp; CHILL'!D712,"AAAAAFbb31o=")</f>
        <v>#VALUE!</v>
      </c>
      <c r="CN275" t="e">
        <f>AND('STERLING CATALOG - FZN &amp; CHILL'!E712,"AAAAAFbb31s=")</f>
        <v>#VALUE!</v>
      </c>
      <c r="CO275" t="e">
        <f>AND('STERLING CATALOG - FZN &amp; CHILL'!F712,"AAAAAFbb31w=")</f>
        <v>#VALUE!</v>
      </c>
      <c r="CP275" t="e">
        <f>AND('STERLING CATALOG - FZN &amp; CHILL'!G712,"AAAAAFbb310=")</f>
        <v>#VALUE!</v>
      </c>
      <c r="CQ275" t="e">
        <f>AND('STERLING CATALOG - FZN &amp; CHILL'!H712,"AAAAAFbb314=")</f>
        <v>#VALUE!</v>
      </c>
      <c r="CR275" t="e">
        <f>AND('STERLING CATALOG - FZN &amp; CHILL'!I712,"AAAAAFbb318=")</f>
        <v>#VALUE!</v>
      </c>
      <c r="CS275" t="e">
        <f>AND('STERLING CATALOG - FZN &amp; CHILL'!J712,"AAAAAFbb32A=")</f>
        <v>#VALUE!</v>
      </c>
      <c r="CT275">
        <f>IF('STERLING CATALOG - FZN &amp; CHILL'!713:713,"AAAAAFbb32E=",0)</f>
        <v>0</v>
      </c>
      <c r="CU275" t="e">
        <f>AND('STERLING CATALOG - FZN &amp; CHILL'!A713,"AAAAAFbb32I=")</f>
        <v>#VALUE!</v>
      </c>
      <c r="CV275" t="e">
        <f>AND('STERLING CATALOG - FZN &amp; CHILL'!B713,"AAAAAFbb32M=")</f>
        <v>#VALUE!</v>
      </c>
      <c r="CW275" t="e">
        <f>AND('STERLING CATALOG - FZN &amp; CHILL'!C713,"AAAAAFbb32Q=")</f>
        <v>#VALUE!</v>
      </c>
      <c r="CX275" t="e">
        <f>AND('STERLING CATALOG - FZN &amp; CHILL'!D713,"AAAAAFbb32U=")</f>
        <v>#VALUE!</v>
      </c>
      <c r="CY275" t="e">
        <f>AND('STERLING CATALOG - FZN &amp; CHILL'!E713,"AAAAAFbb32Y=")</f>
        <v>#VALUE!</v>
      </c>
      <c r="CZ275" t="e">
        <f>AND('STERLING CATALOG - FZN &amp; CHILL'!F713,"AAAAAFbb32c=")</f>
        <v>#VALUE!</v>
      </c>
      <c r="DA275" t="e">
        <f>AND('STERLING CATALOG - FZN &amp; CHILL'!G713,"AAAAAFbb32g=")</f>
        <v>#VALUE!</v>
      </c>
      <c r="DB275" t="e">
        <f>AND('STERLING CATALOG - FZN &amp; CHILL'!H713,"AAAAAFbb32k=")</f>
        <v>#VALUE!</v>
      </c>
      <c r="DC275" t="e">
        <f>AND('STERLING CATALOG - FZN &amp; CHILL'!I713,"AAAAAFbb32o=")</f>
        <v>#VALUE!</v>
      </c>
      <c r="DD275" t="e">
        <f>AND('STERLING CATALOG - FZN &amp; CHILL'!J713,"AAAAAFbb32s=")</f>
        <v>#VALUE!</v>
      </c>
      <c r="DE275">
        <f>IF('STERLING CATALOG - FZN &amp; CHILL'!714:714,"AAAAAFbb32w=",0)</f>
        <v>0</v>
      </c>
      <c r="DF275" t="e">
        <f>AND('STERLING CATALOG - FZN &amp; CHILL'!A714,"AAAAAFbb320=")</f>
        <v>#VALUE!</v>
      </c>
      <c r="DG275" t="e">
        <f>AND('STERLING CATALOG - FZN &amp; CHILL'!B714,"AAAAAFbb324=")</f>
        <v>#VALUE!</v>
      </c>
      <c r="DH275" t="e">
        <f>AND('STERLING CATALOG - FZN &amp; CHILL'!C714,"AAAAAFbb328=")</f>
        <v>#VALUE!</v>
      </c>
      <c r="DI275" t="e">
        <f>AND('STERLING CATALOG - FZN &amp; CHILL'!D714,"AAAAAFbb33A=")</f>
        <v>#VALUE!</v>
      </c>
      <c r="DJ275" t="e">
        <f>AND('STERLING CATALOG - FZN &amp; CHILL'!E714,"AAAAAFbb33E=")</f>
        <v>#VALUE!</v>
      </c>
      <c r="DK275" t="e">
        <f>AND('STERLING CATALOG - FZN &amp; CHILL'!F714,"AAAAAFbb33I=")</f>
        <v>#VALUE!</v>
      </c>
      <c r="DL275" t="e">
        <f>AND('STERLING CATALOG - FZN &amp; CHILL'!G714,"AAAAAFbb33M=")</f>
        <v>#VALUE!</v>
      </c>
      <c r="DM275" t="e">
        <f>AND('STERLING CATALOG - FZN &amp; CHILL'!H714,"AAAAAFbb33Q=")</f>
        <v>#VALUE!</v>
      </c>
      <c r="DN275" t="e">
        <f>AND('STERLING CATALOG - FZN &amp; CHILL'!I714,"AAAAAFbb33U=")</f>
        <v>#VALUE!</v>
      </c>
      <c r="DO275" t="e">
        <f>AND('STERLING CATALOG - FZN &amp; CHILL'!J714,"AAAAAFbb33Y=")</f>
        <v>#VALUE!</v>
      </c>
      <c r="DP275">
        <f>IF('STERLING CATALOG - FZN &amp; CHILL'!715:715,"AAAAAFbb33c=",0)</f>
        <v>0</v>
      </c>
      <c r="DQ275" t="e">
        <f>AND('STERLING CATALOG - FZN &amp; CHILL'!A715,"AAAAAFbb33g=")</f>
        <v>#VALUE!</v>
      </c>
      <c r="DR275" t="e">
        <f>AND('STERLING CATALOG - FZN &amp; CHILL'!B715,"AAAAAFbb33k=")</f>
        <v>#VALUE!</v>
      </c>
      <c r="DS275" t="e">
        <f>AND('STERLING CATALOG - FZN &amp; CHILL'!C715,"AAAAAFbb33o=")</f>
        <v>#VALUE!</v>
      </c>
      <c r="DT275" t="e">
        <f>AND('STERLING CATALOG - FZN &amp; CHILL'!D715,"AAAAAFbb33s=")</f>
        <v>#VALUE!</v>
      </c>
      <c r="DU275" t="e">
        <f>AND('STERLING CATALOG - FZN &amp; CHILL'!E715,"AAAAAFbb33w=")</f>
        <v>#VALUE!</v>
      </c>
      <c r="DV275" t="e">
        <f>AND('STERLING CATALOG - FZN &amp; CHILL'!F715,"AAAAAFbb330=")</f>
        <v>#VALUE!</v>
      </c>
      <c r="DW275" t="e">
        <f>AND('STERLING CATALOG - FZN &amp; CHILL'!G715,"AAAAAFbb334=")</f>
        <v>#VALUE!</v>
      </c>
      <c r="DX275" t="e">
        <f>AND('STERLING CATALOG - FZN &amp; CHILL'!H715,"AAAAAFbb338=")</f>
        <v>#VALUE!</v>
      </c>
      <c r="DY275" t="e">
        <f>AND('STERLING CATALOG - FZN &amp; CHILL'!I715,"AAAAAFbb34A=")</f>
        <v>#VALUE!</v>
      </c>
      <c r="DZ275" t="e">
        <f>AND('STERLING CATALOG - FZN &amp; CHILL'!J715,"AAAAAFbb34E=")</f>
        <v>#VALUE!</v>
      </c>
      <c r="EA275">
        <f>IF('STERLING CATALOG - FZN &amp; CHILL'!716:716,"AAAAAFbb34I=",0)</f>
        <v>0</v>
      </c>
      <c r="EB275" t="e">
        <f>AND('STERLING CATALOG - FZN &amp; CHILL'!A716,"AAAAAFbb34M=")</f>
        <v>#VALUE!</v>
      </c>
      <c r="EC275" t="e">
        <f>AND('STERLING CATALOG - FZN &amp; CHILL'!B716,"AAAAAFbb34Q=")</f>
        <v>#VALUE!</v>
      </c>
      <c r="ED275" t="e">
        <f>AND('STERLING CATALOG - FZN &amp; CHILL'!C716,"AAAAAFbb34U=")</f>
        <v>#VALUE!</v>
      </c>
      <c r="EE275" t="e">
        <f>AND('STERLING CATALOG - FZN &amp; CHILL'!D716,"AAAAAFbb34Y=")</f>
        <v>#VALUE!</v>
      </c>
      <c r="EF275" t="e">
        <f>AND('STERLING CATALOG - FZN &amp; CHILL'!E716,"AAAAAFbb34c=")</f>
        <v>#VALUE!</v>
      </c>
      <c r="EG275" t="e">
        <f>AND('STERLING CATALOG - FZN &amp; CHILL'!F716,"AAAAAFbb34g=")</f>
        <v>#VALUE!</v>
      </c>
      <c r="EH275" t="e">
        <f>AND('STERLING CATALOG - FZN &amp; CHILL'!G716,"AAAAAFbb34k=")</f>
        <v>#VALUE!</v>
      </c>
      <c r="EI275" t="e">
        <f>AND('STERLING CATALOG - FZN &amp; CHILL'!H716,"AAAAAFbb34o=")</f>
        <v>#VALUE!</v>
      </c>
      <c r="EJ275" t="e">
        <f>AND('STERLING CATALOG - FZN &amp; CHILL'!I716,"AAAAAFbb34s=")</f>
        <v>#VALUE!</v>
      </c>
      <c r="EK275" t="e">
        <f>AND('STERLING CATALOG - FZN &amp; CHILL'!J716,"AAAAAFbb34w=")</f>
        <v>#VALUE!</v>
      </c>
      <c r="EL275">
        <f>IF('STERLING CATALOG - FZN &amp; CHILL'!717:717,"AAAAAFbb340=",0)</f>
        <v>0</v>
      </c>
      <c r="EM275" t="e">
        <f>AND('STERLING CATALOG - FZN &amp; CHILL'!A717,"AAAAAFbb344=")</f>
        <v>#VALUE!</v>
      </c>
      <c r="EN275" t="e">
        <f>AND('STERLING CATALOG - FZN &amp; CHILL'!B717,"AAAAAFbb348=")</f>
        <v>#VALUE!</v>
      </c>
      <c r="EO275" t="e">
        <f>AND('STERLING CATALOG - FZN &amp; CHILL'!C717,"AAAAAFbb35A=")</f>
        <v>#VALUE!</v>
      </c>
      <c r="EP275" t="e">
        <f>AND('STERLING CATALOG - FZN &amp; CHILL'!D717,"AAAAAFbb35E=")</f>
        <v>#VALUE!</v>
      </c>
      <c r="EQ275" t="e">
        <f>AND('STERLING CATALOG - FZN &amp; CHILL'!E717,"AAAAAFbb35I=")</f>
        <v>#VALUE!</v>
      </c>
      <c r="ER275" t="e">
        <f>AND('STERLING CATALOG - FZN &amp; CHILL'!F717,"AAAAAFbb35M=")</f>
        <v>#VALUE!</v>
      </c>
      <c r="ES275" t="e">
        <f>AND('STERLING CATALOG - FZN &amp; CHILL'!G717,"AAAAAFbb35Q=")</f>
        <v>#VALUE!</v>
      </c>
      <c r="ET275" t="e">
        <f>AND('STERLING CATALOG - FZN &amp; CHILL'!H717,"AAAAAFbb35U=")</f>
        <v>#VALUE!</v>
      </c>
      <c r="EU275" t="e">
        <f>AND('STERLING CATALOG - FZN &amp; CHILL'!I717,"AAAAAFbb35Y=")</f>
        <v>#VALUE!</v>
      </c>
      <c r="EV275" t="e">
        <f>AND('STERLING CATALOG - FZN &amp; CHILL'!J717,"AAAAAFbb35c=")</f>
        <v>#VALUE!</v>
      </c>
      <c r="EW275">
        <f>IF('STERLING CATALOG - FZN &amp; CHILL'!718:718,"AAAAAFbb35g=",0)</f>
        <v>0</v>
      </c>
      <c r="EX275" t="e">
        <f>AND('STERLING CATALOG - FZN &amp; CHILL'!A718,"AAAAAFbb35k=")</f>
        <v>#VALUE!</v>
      </c>
      <c r="EY275" t="e">
        <f>AND('STERLING CATALOG - FZN &amp; CHILL'!B718,"AAAAAFbb35o=")</f>
        <v>#VALUE!</v>
      </c>
      <c r="EZ275" t="e">
        <f>AND('STERLING CATALOG - FZN &amp; CHILL'!C718,"AAAAAFbb35s=")</f>
        <v>#VALUE!</v>
      </c>
      <c r="FA275" t="e">
        <f>AND('STERLING CATALOG - FZN &amp; CHILL'!D718,"AAAAAFbb35w=")</f>
        <v>#VALUE!</v>
      </c>
      <c r="FB275" t="e">
        <f>AND('STERLING CATALOG - FZN &amp; CHILL'!E718,"AAAAAFbb350=")</f>
        <v>#VALUE!</v>
      </c>
      <c r="FC275" t="e">
        <f>AND('STERLING CATALOG - FZN &amp; CHILL'!F718,"AAAAAFbb354=")</f>
        <v>#VALUE!</v>
      </c>
      <c r="FD275" t="e">
        <f>AND('STERLING CATALOG - FZN &amp; CHILL'!G718,"AAAAAFbb358=")</f>
        <v>#VALUE!</v>
      </c>
      <c r="FE275" t="e">
        <f>AND('STERLING CATALOG - FZN &amp; CHILL'!H718,"AAAAAFbb36A=")</f>
        <v>#VALUE!</v>
      </c>
      <c r="FF275" t="e">
        <f>AND('STERLING CATALOG - FZN &amp; CHILL'!I718,"AAAAAFbb36E=")</f>
        <v>#VALUE!</v>
      </c>
      <c r="FG275" t="e">
        <f>AND('STERLING CATALOG - FZN &amp; CHILL'!J718,"AAAAAFbb36I=")</f>
        <v>#VALUE!</v>
      </c>
      <c r="FH275">
        <f>IF('STERLING CATALOG - FZN &amp; CHILL'!719:719,"AAAAAFbb36M=",0)</f>
        <v>0</v>
      </c>
      <c r="FI275" t="e">
        <f>AND('STERLING CATALOG - FZN &amp; CHILL'!A719,"AAAAAFbb36Q=")</f>
        <v>#VALUE!</v>
      </c>
      <c r="FJ275" t="e">
        <f>AND('STERLING CATALOG - FZN &amp; CHILL'!B719,"AAAAAFbb36U=")</f>
        <v>#VALUE!</v>
      </c>
      <c r="FK275" t="e">
        <f>AND('STERLING CATALOG - FZN &amp; CHILL'!C719,"AAAAAFbb36Y=")</f>
        <v>#VALUE!</v>
      </c>
      <c r="FL275" t="e">
        <f>AND('STERLING CATALOG - FZN &amp; CHILL'!D719,"AAAAAFbb36c=")</f>
        <v>#VALUE!</v>
      </c>
      <c r="FM275" t="e">
        <f>AND('STERLING CATALOG - FZN &amp; CHILL'!E719,"AAAAAFbb36g=")</f>
        <v>#VALUE!</v>
      </c>
      <c r="FN275" t="e">
        <f>AND('STERLING CATALOG - FZN &amp; CHILL'!F719,"AAAAAFbb36k=")</f>
        <v>#VALUE!</v>
      </c>
      <c r="FO275" t="e">
        <f>AND('STERLING CATALOG - FZN &amp; CHILL'!G719,"AAAAAFbb36o=")</f>
        <v>#VALUE!</v>
      </c>
      <c r="FP275" t="e">
        <f>AND('STERLING CATALOG - FZN &amp; CHILL'!H719,"AAAAAFbb36s=")</f>
        <v>#VALUE!</v>
      </c>
      <c r="FQ275" t="e">
        <f>AND('STERLING CATALOG - FZN &amp; CHILL'!I719,"AAAAAFbb36w=")</f>
        <v>#VALUE!</v>
      </c>
      <c r="FR275" t="e">
        <f>AND('STERLING CATALOG - FZN &amp; CHILL'!J719,"AAAAAFbb360=")</f>
        <v>#VALUE!</v>
      </c>
      <c r="FS275">
        <f>IF('STERLING CATALOG - FZN &amp; CHILL'!720:720,"AAAAAFbb364=",0)</f>
        <v>0</v>
      </c>
      <c r="FT275" t="e">
        <f>AND('STERLING CATALOG - FZN &amp; CHILL'!A720,"AAAAAFbb368=")</f>
        <v>#VALUE!</v>
      </c>
      <c r="FU275" t="e">
        <f>AND('STERLING CATALOG - FZN &amp; CHILL'!B720,"AAAAAFbb37A=")</f>
        <v>#VALUE!</v>
      </c>
      <c r="FV275" t="e">
        <f>AND('STERLING CATALOG - FZN &amp; CHILL'!C720,"AAAAAFbb37E=")</f>
        <v>#VALUE!</v>
      </c>
      <c r="FW275" t="e">
        <f>AND('STERLING CATALOG - FZN &amp; CHILL'!D720,"AAAAAFbb37I=")</f>
        <v>#VALUE!</v>
      </c>
      <c r="FX275" t="e">
        <f>AND('STERLING CATALOG - FZN &amp; CHILL'!E720,"AAAAAFbb37M=")</f>
        <v>#VALUE!</v>
      </c>
      <c r="FY275" t="e">
        <f>AND('STERLING CATALOG - FZN &amp; CHILL'!F720,"AAAAAFbb37Q=")</f>
        <v>#VALUE!</v>
      </c>
      <c r="FZ275" t="e">
        <f>AND('STERLING CATALOG - FZN &amp; CHILL'!G720,"AAAAAFbb37U=")</f>
        <v>#VALUE!</v>
      </c>
      <c r="GA275" t="e">
        <f>AND('STERLING CATALOG - FZN &amp; CHILL'!H720,"AAAAAFbb37Y=")</f>
        <v>#VALUE!</v>
      </c>
      <c r="GB275" t="e">
        <f>AND('STERLING CATALOG - FZN &amp; CHILL'!I720,"AAAAAFbb37c=")</f>
        <v>#VALUE!</v>
      </c>
      <c r="GC275" t="e">
        <f>AND('STERLING CATALOG - FZN &amp; CHILL'!J720,"AAAAAFbb37g=")</f>
        <v>#VALUE!</v>
      </c>
      <c r="GD275">
        <f>IF('STERLING CATALOG - FZN &amp; CHILL'!721:721,"AAAAAFbb37k=",0)</f>
        <v>0</v>
      </c>
      <c r="GE275" t="e">
        <f>AND('STERLING CATALOG - FZN &amp; CHILL'!A721,"AAAAAFbb37o=")</f>
        <v>#VALUE!</v>
      </c>
      <c r="GF275" t="e">
        <f>AND('STERLING CATALOG - FZN &amp; CHILL'!B721,"AAAAAFbb37s=")</f>
        <v>#VALUE!</v>
      </c>
      <c r="GG275" t="e">
        <f>AND('STERLING CATALOG - FZN &amp; CHILL'!C721,"AAAAAFbb37w=")</f>
        <v>#VALUE!</v>
      </c>
      <c r="GH275" t="e">
        <f>AND('STERLING CATALOG - FZN &amp; CHILL'!D721,"AAAAAFbb370=")</f>
        <v>#VALUE!</v>
      </c>
      <c r="GI275" t="e">
        <f>AND('STERLING CATALOG - FZN &amp; CHILL'!E721,"AAAAAFbb374=")</f>
        <v>#VALUE!</v>
      </c>
      <c r="GJ275" t="e">
        <f>AND('STERLING CATALOG - FZN &amp; CHILL'!F721,"AAAAAFbb378=")</f>
        <v>#VALUE!</v>
      </c>
      <c r="GK275" t="e">
        <f>AND('STERLING CATALOG - FZN &amp; CHILL'!G721,"AAAAAFbb38A=")</f>
        <v>#VALUE!</v>
      </c>
      <c r="GL275" t="e">
        <f>AND('STERLING CATALOG - FZN &amp; CHILL'!H721,"AAAAAFbb38E=")</f>
        <v>#VALUE!</v>
      </c>
      <c r="GM275" t="e">
        <f>AND('STERLING CATALOG - FZN &amp; CHILL'!I721,"AAAAAFbb38I=")</f>
        <v>#VALUE!</v>
      </c>
      <c r="GN275" t="e">
        <f>AND('STERLING CATALOG - FZN &amp; CHILL'!J721,"AAAAAFbb38M=")</f>
        <v>#VALUE!</v>
      </c>
      <c r="GO275">
        <f>IF('STERLING CATALOG - FZN &amp; CHILL'!722:722,"AAAAAFbb38Q=",0)</f>
        <v>0</v>
      </c>
      <c r="GP275" t="e">
        <f>AND('STERLING CATALOG - FZN &amp; CHILL'!A722,"AAAAAFbb38U=")</f>
        <v>#VALUE!</v>
      </c>
      <c r="GQ275" t="e">
        <f>AND('STERLING CATALOG - FZN &amp; CHILL'!B722,"AAAAAFbb38Y=")</f>
        <v>#VALUE!</v>
      </c>
      <c r="GR275" t="e">
        <f>AND('STERLING CATALOG - FZN &amp; CHILL'!C722,"AAAAAFbb38c=")</f>
        <v>#VALUE!</v>
      </c>
      <c r="GS275" t="e">
        <f>AND('STERLING CATALOG - FZN &amp; CHILL'!D722,"AAAAAFbb38g=")</f>
        <v>#VALUE!</v>
      </c>
      <c r="GT275" t="e">
        <f>AND('STERLING CATALOG - FZN &amp; CHILL'!E722,"AAAAAFbb38k=")</f>
        <v>#VALUE!</v>
      </c>
      <c r="GU275" t="e">
        <f>AND('STERLING CATALOG - FZN &amp; CHILL'!F722,"AAAAAFbb38o=")</f>
        <v>#VALUE!</v>
      </c>
      <c r="GV275" t="e">
        <f>AND('STERLING CATALOG - FZN &amp; CHILL'!G722,"AAAAAFbb38s=")</f>
        <v>#VALUE!</v>
      </c>
      <c r="GW275" t="e">
        <f>AND('STERLING CATALOG - FZN &amp; CHILL'!H722,"AAAAAFbb38w=")</f>
        <v>#VALUE!</v>
      </c>
      <c r="GX275" t="e">
        <f>AND('STERLING CATALOG - FZN &amp; CHILL'!I722,"AAAAAFbb380=")</f>
        <v>#VALUE!</v>
      </c>
      <c r="GY275" t="e">
        <f>AND('STERLING CATALOG - FZN &amp; CHILL'!J722,"AAAAAFbb384=")</f>
        <v>#VALUE!</v>
      </c>
      <c r="GZ275">
        <f>IF('STERLING CATALOG - FZN &amp; CHILL'!723:723,"AAAAAFbb388=",0)</f>
        <v>0</v>
      </c>
      <c r="HA275" t="e">
        <f>AND('STERLING CATALOG - FZN &amp; CHILL'!A723,"AAAAAFbb39A=")</f>
        <v>#VALUE!</v>
      </c>
      <c r="HB275" t="e">
        <f>AND('STERLING CATALOG - FZN &amp; CHILL'!B723,"AAAAAFbb39E=")</f>
        <v>#VALUE!</v>
      </c>
      <c r="HC275" t="e">
        <f>AND('STERLING CATALOG - FZN &amp; CHILL'!C723,"AAAAAFbb39I=")</f>
        <v>#VALUE!</v>
      </c>
      <c r="HD275" t="e">
        <f>AND('STERLING CATALOG - FZN &amp; CHILL'!D723,"AAAAAFbb39M=")</f>
        <v>#VALUE!</v>
      </c>
      <c r="HE275" t="e">
        <f>AND('STERLING CATALOG - FZN &amp; CHILL'!E723,"AAAAAFbb39Q=")</f>
        <v>#VALUE!</v>
      </c>
      <c r="HF275" t="e">
        <f>AND('STERLING CATALOG - FZN &amp; CHILL'!F723,"AAAAAFbb39U=")</f>
        <v>#VALUE!</v>
      </c>
      <c r="HG275" t="e">
        <f>AND('STERLING CATALOG - FZN &amp; CHILL'!G723,"AAAAAFbb39Y=")</f>
        <v>#VALUE!</v>
      </c>
      <c r="HH275" t="e">
        <f>AND('STERLING CATALOG - FZN &amp; CHILL'!H723,"AAAAAFbb39c=")</f>
        <v>#VALUE!</v>
      </c>
      <c r="HI275" t="e">
        <f>AND('STERLING CATALOG - FZN &amp; CHILL'!I723,"AAAAAFbb39g=")</f>
        <v>#VALUE!</v>
      </c>
      <c r="HJ275" t="e">
        <f>AND('STERLING CATALOG - FZN &amp; CHILL'!J723,"AAAAAFbb39k=")</f>
        <v>#VALUE!</v>
      </c>
      <c r="HK275">
        <f>IF('STERLING CATALOG - FZN &amp; CHILL'!724:724,"AAAAAFbb39o=",0)</f>
        <v>0</v>
      </c>
      <c r="HL275" t="e">
        <f>AND('STERLING CATALOG - FZN &amp; CHILL'!A724,"AAAAAFbb39s=")</f>
        <v>#VALUE!</v>
      </c>
      <c r="HM275" t="e">
        <f>AND('STERLING CATALOG - FZN &amp; CHILL'!B724,"AAAAAFbb39w=")</f>
        <v>#VALUE!</v>
      </c>
      <c r="HN275" t="e">
        <f>AND('STERLING CATALOG - FZN &amp; CHILL'!C724,"AAAAAFbb390=")</f>
        <v>#VALUE!</v>
      </c>
      <c r="HO275" t="e">
        <f>AND('STERLING CATALOG - FZN &amp; CHILL'!D724,"AAAAAFbb394=")</f>
        <v>#VALUE!</v>
      </c>
      <c r="HP275" t="e">
        <f>AND('STERLING CATALOG - FZN &amp; CHILL'!E724,"AAAAAFbb398=")</f>
        <v>#VALUE!</v>
      </c>
      <c r="HQ275" t="e">
        <f>AND('STERLING CATALOG - FZN &amp; CHILL'!F724,"AAAAAFbb3+A=")</f>
        <v>#VALUE!</v>
      </c>
      <c r="HR275" t="e">
        <f>AND('STERLING CATALOG - FZN &amp; CHILL'!G724,"AAAAAFbb3+E=")</f>
        <v>#VALUE!</v>
      </c>
      <c r="HS275" t="e">
        <f>AND('STERLING CATALOG - FZN &amp; CHILL'!H724,"AAAAAFbb3+I=")</f>
        <v>#VALUE!</v>
      </c>
      <c r="HT275" t="e">
        <f>AND('STERLING CATALOG - FZN &amp; CHILL'!I724,"AAAAAFbb3+M=")</f>
        <v>#VALUE!</v>
      </c>
      <c r="HU275" t="e">
        <f>AND('STERLING CATALOG - FZN &amp; CHILL'!J724,"AAAAAFbb3+Q=")</f>
        <v>#VALUE!</v>
      </c>
      <c r="HV275">
        <f>IF('STERLING CATALOG - FZN &amp; CHILL'!725:725,"AAAAAFbb3+U=",0)</f>
        <v>0</v>
      </c>
      <c r="HW275" t="e">
        <f>AND('STERLING CATALOG - FZN &amp; CHILL'!A725,"AAAAAFbb3+Y=")</f>
        <v>#VALUE!</v>
      </c>
      <c r="HX275" t="e">
        <f>AND('STERLING CATALOG - FZN &amp; CHILL'!B725,"AAAAAFbb3+c=")</f>
        <v>#VALUE!</v>
      </c>
      <c r="HY275" t="e">
        <f>AND('STERLING CATALOG - FZN &amp; CHILL'!C725,"AAAAAFbb3+g=")</f>
        <v>#VALUE!</v>
      </c>
      <c r="HZ275" t="e">
        <f>AND('STERLING CATALOG - FZN &amp; CHILL'!D725,"AAAAAFbb3+k=")</f>
        <v>#VALUE!</v>
      </c>
      <c r="IA275" t="e">
        <f>AND('STERLING CATALOG - FZN &amp; CHILL'!E725,"AAAAAFbb3+o=")</f>
        <v>#VALUE!</v>
      </c>
      <c r="IB275" t="e">
        <f>AND('STERLING CATALOG - FZN &amp; CHILL'!F725,"AAAAAFbb3+s=")</f>
        <v>#VALUE!</v>
      </c>
      <c r="IC275" t="e">
        <f>AND('STERLING CATALOG - FZN &amp; CHILL'!G725,"AAAAAFbb3+w=")</f>
        <v>#VALUE!</v>
      </c>
      <c r="ID275" t="e">
        <f>AND('STERLING CATALOG - FZN &amp; CHILL'!H725,"AAAAAFbb3+0=")</f>
        <v>#VALUE!</v>
      </c>
      <c r="IE275" t="e">
        <f>AND('STERLING CATALOG - FZN &amp; CHILL'!I725,"AAAAAFbb3+4=")</f>
        <v>#VALUE!</v>
      </c>
      <c r="IF275" t="e">
        <f>AND('STERLING CATALOG - FZN &amp; CHILL'!J725,"AAAAAFbb3+8=")</f>
        <v>#VALUE!</v>
      </c>
      <c r="IG275">
        <f>IF('STERLING CATALOG - FZN &amp; CHILL'!726:726,"AAAAAFbb3/A=",0)</f>
        <v>0</v>
      </c>
      <c r="IH275" t="e">
        <f>AND('STERLING CATALOG - FZN &amp; CHILL'!A726,"AAAAAFbb3/E=")</f>
        <v>#VALUE!</v>
      </c>
      <c r="II275" t="e">
        <f>AND('STERLING CATALOG - FZN &amp; CHILL'!B726,"AAAAAFbb3/I=")</f>
        <v>#VALUE!</v>
      </c>
      <c r="IJ275" t="e">
        <f>AND('STERLING CATALOG - FZN &amp; CHILL'!C726,"AAAAAFbb3/M=")</f>
        <v>#VALUE!</v>
      </c>
      <c r="IK275" t="e">
        <f>AND('STERLING CATALOG - FZN &amp; CHILL'!D726,"AAAAAFbb3/Q=")</f>
        <v>#VALUE!</v>
      </c>
      <c r="IL275" t="e">
        <f>AND('STERLING CATALOG - FZN &amp; CHILL'!E726,"AAAAAFbb3/U=")</f>
        <v>#VALUE!</v>
      </c>
      <c r="IM275" t="e">
        <f>AND('STERLING CATALOG - FZN &amp; CHILL'!F726,"AAAAAFbb3/Y=")</f>
        <v>#VALUE!</v>
      </c>
      <c r="IN275" t="e">
        <f>AND('STERLING CATALOG - FZN &amp; CHILL'!G726,"AAAAAFbb3/c=")</f>
        <v>#VALUE!</v>
      </c>
      <c r="IO275" t="e">
        <f>AND('STERLING CATALOG - FZN &amp; CHILL'!H726,"AAAAAFbb3/g=")</f>
        <v>#VALUE!</v>
      </c>
      <c r="IP275" t="e">
        <f>AND('STERLING CATALOG - FZN &amp; CHILL'!I726,"AAAAAFbb3/k=")</f>
        <v>#VALUE!</v>
      </c>
      <c r="IQ275" t="e">
        <f>AND('STERLING CATALOG - FZN &amp; CHILL'!J726,"AAAAAFbb3/o=")</f>
        <v>#VALUE!</v>
      </c>
      <c r="IR275">
        <f>IF('STERLING CATALOG - FZN &amp; CHILL'!727:727,"AAAAAFbb3/s=",0)</f>
        <v>0</v>
      </c>
      <c r="IS275" t="e">
        <f>AND('STERLING CATALOG - FZN &amp; CHILL'!A727,"AAAAAFbb3/w=")</f>
        <v>#VALUE!</v>
      </c>
      <c r="IT275" t="e">
        <f>AND('STERLING CATALOG - FZN &amp; CHILL'!B727,"AAAAAFbb3/0=")</f>
        <v>#VALUE!</v>
      </c>
      <c r="IU275" t="e">
        <f>AND('STERLING CATALOG - FZN &amp; CHILL'!C727,"AAAAAFbb3/4=")</f>
        <v>#VALUE!</v>
      </c>
      <c r="IV275" t="e">
        <f>AND('STERLING CATALOG - FZN &amp; CHILL'!D727,"AAAAAFbb3/8=")</f>
        <v>#VALUE!</v>
      </c>
    </row>
    <row r="276" spans="1:256">
      <c r="A276" t="e">
        <f>AND('STERLING CATALOG - FZN &amp; CHILL'!E727,"AAAAAHb58wA=")</f>
        <v>#VALUE!</v>
      </c>
      <c r="B276" t="e">
        <f>AND('STERLING CATALOG - FZN &amp; CHILL'!F727,"AAAAAHb58wE=")</f>
        <v>#VALUE!</v>
      </c>
      <c r="C276" t="e">
        <f>AND('STERLING CATALOG - FZN &amp; CHILL'!G727,"AAAAAHb58wI=")</f>
        <v>#VALUE!</v>
      </c>
      <c r="D276" t="e">
        <f>AND('STERLING CATALOG - FZN &amp; CHILL'!H727,"AAAAAHb58wM=")</f>
        <v>#VALUE!</v>
      </c>
      <c r="E276" t="e">
        <f>AND('STERLING CATALOG - FZN &amp; CHILL'!I727,"AAAAAHb58wQ=")</f>
        <v>#VALUE!</v>
      </c>
      <c r="F276" t="e">
        <f>AND('STERLING CATALOG - FZN &amp; CHILL'!J727,"AAAAAHb58wU=")</f>
        <v>#VALUE!</v>
      </c>
      <c r="G276" t="str">
        <f>IF('STERLING CATALOG - FZN &amp; CHILL'!728:728,"AAAAAHb58wY=",0)</f>
        <v>AAAAAHb58wY=</v>
      </c>
      <c r="H276" t="e">
        <f>AND('STERLING CATALOG - FZN &amp; CHILL'!A728,"AAAAAHb58wc=")</f>
        <v>#VALUE!</v>
      </c>
      <c r="I276" t="e">
        <f>AND('STERLING CATALOG - FZN &amp; CHILL'!B728,"AAAAAHb58wg=")</f>
        <v>#VALUE!</v>
      </c>
      <c r="J276" t="e">
        <f>AND('STERLING CATALOG - FZN &amp; CHILL'!C728,"AAAAAHb58wk=")</f>
        <v>#VALUE!</v>
      </c>
      <c r="K276" t="e">
        <f>AND('STERLING CATALOG - FZN &amp; CHILL'!D728,"AAAAAHb58wo=")</f>
        <v>#VALUE!</v>
      </c>
      <c r="L276" t="e">
        <f>AND('STERLING CATALOG - FZN &amp; CHILL'!E728,"AAAAAHb58ws=")</f>
        <v>#VALUE!</v>
      </c>
      <c r="M276" t="e">
        <f>AND('STERLING CATALOG - FZN &amp; CHILL'!F728,"AAAAAHb58ww=")</f>
        <v>#VALUE!</v>
      </c>
      <c r="N276" t="e">
        <f>AND('STERLING CATALOG - FZN &amp; CHILL'!G728,"AAAAAHb58w0=")</f>
        <v>#VALUE!</v>
      </c>
      <c r="O276" t="e">
        <f>AND('STERLING CATALOG - FZN &amp; CHILL'!H728,"AAAAAHb58w4=")</f>
        <v>#VALUE!</v>
      </c>
      <c r="P276" t="e">
        <f>AND('STERLING CATALOG - FZN &amp; CHILL'!I728,"AAAAAHb58w8=")</f>
        <v>#VALUE!</v>
      </c>
      <c r="Q276" t="e">
        <f>AND('STERLING CATALOG - FZN &amp; CHILL'!J728,"AAAAAHb58xA=")</f>
        <v>#VALUE!</v>
      </c>
      <c r="R276">
        <f>IF('STERLING CATALOG - FZN &amp; CHILL'!729:729,"AAAAAHb58xE=",0)</f>
        <v>0</v>
      </c>
      <c r="S276" t="e">
        <f>AND('STERLING CATALOG - FZN &amp; CHILL'!A729,"AAAAAHb58xI=")</f>
        <v>#VALUE!</v>
      </c>
      <c r="T276" t="e">
        <f>AND('STERLING CATALOG - FZN &amp; CHILL'!B729,"AAAAAHb58xM=")</f>
        <v>#VALUE!</v>
      </c>
      <c r="U276" t="e">
        <f>AND('STERLING CATALOG - FZN &amp; CHILL'!C729,"AAAAAHb58xQ=")</f>
        <v>#VALUE!</v>
      </c>
      <c r="V276" t="e">
        <f>AND('STERLING CATALOG - FZN &amp; CHILL'!D729,"AAAAAHb58xU=")</f>
        <v>#VALUE!</v>
      </c>
      <c r="W276" t="e">
        <f>AND('STERLING CATALOG - FZN &amp; CHILL'!E729,"AAAAAHb58xY=")</f>
        <v>#VALUE!</v>
      </c>
      <c r="X276" t="e">
        <f>AND('STERLING CATALOG - FZN &amp; CHILL'!F729,"AAAAAHb58xc=")</f>
        <v>#VALUE!</v>
      </c>
      <c r="Y276" t="e">
        <f>AND('STERLING CATALOG - FZN &amp; CHILL'!G729,"AAAAAHb58xg=")</f>
        <v>#VALUE!</v>
      </c>
      <c r="Z276" t="e">
        <f>AND('STERLING CATALOG - FZN &amp; CHILL'!H729,"AAAAAHb58xk=")</f>
        <v>#VALUE!</v>
      </c>
      <c r="AA276" t="e">
        <f>AND('STERLING CATALOG - FZN &amp; CHILL'!I729,"AAAAAHb58xo=")</f>
        <v>#VALUE!</v>
      </c>
      <c r="AB276" t="e">
        <f>AND('STERLING CATALOG - FZN &amp; CHILL'!J729,"AAAAAHb58xs=")</f>
        <v>#VALUE!</v>
      </c>
      <c r="AC276">
        <f>IF('STERLING CATALOG - FZN &amp; CHILL'!730:730,"AAAAAHb58xw=",0)</f>
        <v>0</v>
      </c>
      <c r="AD276" t="e">
        <f>AND('STERLING CATALOG - FZN &amp; CHILL'!A730,"AAAAAHb58x0=")</f>
        <v>#VALUE!</v>
      </c>
      <c r="AE276" t="e">
        <f>AND('STERLING CATALOG - FZN &amp; CHILL'!B730,"AAAAAHb58x4=")</f>
        <v>#VALUE!</v>
      </c>
      <c r="AF276" t="e">
        <f>AND('STERLING CATALOG - FZN &amp; CHILL'!C730,"AAAAAHb58x8=")</f>
        <v>#VALUE!</v>
      </c>
      <c r="AG276" t="e">
        <f>AND('STERLING CATALOG - FZN &amp; CHILL'!D730,"AAAAAHb58yA=")</f>
        <v>#VALUE!</v>
      </c>
      <c r="AH276" t="e">
        <f>AND('STERLING CATALOG - FZN &amp; CHILL'!E730,"AAAAAHb58yE=")</f>
        <v>#VALUE!</v>
      </c>
      <c r="AI276" t="e">
        <f>AND('STERLING CATALOG - FZN &amp; CHILL'!F730,"AAAAAHb58yI=")</f>
        <v>#VALUE!</v>
      </c>
      <c r="AJ276" t="e">
        <f>AND('STERLING CATALOG - FZN &amp; CHILL'!G730,"AAAAAHb58yM=")</f>
        <v>#VALUE!</v>
      </c>
      <c r="AK276" t="e">
        <f>AND('STERLING CATALOG - FZN &amp; CHILL'!H730,"AAAAAHb58yQ=")</f>
        <v>#VALUE!</v>
      </c>
      <c r="AL276" t="e">
        <f>AND('STERLING CATALOG - FZN &amp; CHILL'!I730,"AAAAAHb58yU=")</f>
        <v>#VALUE!</v>
      </c>
      <c r="AM276" t="e">
        <f>AND('STERLING CATALOG - FZN &amp; CHILL'!J730,"AAAAAHb58yY=")</f>
        <v>#VALUE!</v>
      </c>
      <c r="AN276">
        <f>IF('STERLING CATALOG - FZN &amp; CHILL'!731:731,"AAAAAHb58yc=",0)</f>
        <v>0</v>
      </c>
      <c r="AO276" t="e">
        <f>AND('STERLING CATALOG - FZN &amp; CHILL'!A731,"AAAAAHb58yg=")</f>
        <v>#VALUE!</v>
      </c>
      <c r="AP276" t="e">
        <f>AND('STERLING CATALOG - FZN &amp; CHILL'!B731,"AAAAAHb58yk=")</f>
        <v>#VALUE!</v>
      </c>
      <c r="AQ276" t="e">
        <f>AND('STERLING CATALOG - FZN &amp; CHILL'!C731,"AAAAAHb58yo=")</f>
        <v>#VALUE!</v>
      </c>
      <c r="AR276" t="e">
        <f>AND('STERLING CATALOG - FZN &amp; CHILL'!D731,"AAAAAHb58ys=")</f>
        <v>#VALUE!</v>
      </c>
      <c r="AS276" t="e">
        <f>AND('STERLING CATALOG - FZN &amp; CHILL'!E731,"AAAAAHb58yw=")</f>
        <v>#VALUE!</v>
      </c>
      <c r="AT276" t="e">
        <f>AND('STERLING CATALOG - FZN &amp; CHILL'!F731,"AAAAAHb58y0=")</f>
        <v>#VALUE!</v>
      </c>
      <c r="AU276" t="e">
        <f>AND('STERLING CATALOG - FZN &amp; CHILL'!G731,"AAAAAHb58y4=")</f>
        <v>#VALUE!</v>
      </c>
      <c r="AV276" t="e">
        <f>AND('STERLING CATALOG - FZN &amp; CHILL'!H731,"AAAAAHb58y8=")</f>
        <v>#VALUE!</v>
      </c>
      <c r="AW276" t="e">
        <f>AND('STERLING CATALOG - FZN &amp; CHILL'!I731,"AAAAAHb58zA=")</f>
        <v>#VALUE!</v>
      </c>
      <c r="AX276" t="e">
        <f>AND('STERLING CATALOG - FZN &amp; CHILL'!J731,"AAAAAHb58zE=")</f>
        <v>#VALUE!</v>
      </c>
      <c r="AY276">
        <f>IF('STERLING CATALOG - FZN &amp; CHILL'!732:732,"AAAAAHb58zI=",0)</f>
        <v>0</v>
      </c>
      <c r="AZ276" t="e">
        <f>AND('STERLING CATALOG - FZN &amp; CHILL'!A732,"AAAAAHb58zM=")</f>
        <v>#VALUE!</v>
      </c>
      <c r="BA276" t="e">
        <f>AND('STERLING CATALOG - FZN &amp; CHILL'!B732,"AAAAAHb58zQ=")</f>
        <v>#VALUE!</v>
      </c>
      <c r="BB276" t="e">
        <f>AND('STERLING CATALOG - FZN &amp; CHILL'!C732,"AAAAAHb58zU=")</f>
        <v>#VALUE!</v>
      </c>
      <c r="BC276" t="e">
        <f>AND('STERLING CATALOG - FZN &amp; CHILL'!D732,"AAAAAHb58zY=")</f>
        <v>#VALUE!</v>
      </c>
      <c r="BD276" t="e">
        <f>AND('STERLING CATALOG - FZN &amp; CHILL'!E732,"AAAAAHb58zc=")</f>
        <v>#VALUE!</v>
      </c>
      <c r="BE276" t="e">
        <f>AND('STERLING CATALOG - FZN &amp; CHILL'!F732,"AAAAAHb58zg=")</f>
        <v>#VALUE!</v>
      </c>
      <c r="BF276" t="e">
        <f>AND('STERLING CATALOG - FZN &amp; CHILL'!G732,"AAAAAHb58zk=")</f>
        <v>#VALUE!</v>
      </c>
      <c r="BG276" t="e">
        <f>AND('STERLING CATALOG - FZN &amp; CHILL'!H732,"AAAAAHb58zo=")</f>
        <v>#VALUE!</v>
      </c>
      <c r="BH276" t="e">
        <f>AND('STERLING CATALOG - FZN &amp; CHILL'!I732,"AAAAAHb58zs=")</f>
        <v>#VALUE!</v>
      </c>
      <c r="BI276" t="e">
        <f>AND('STERLING CATALOG - FZN &amp; CHILL'!J732,"AAAAAHb58zw=")</f>
        <v>#VALUE!</v>
      </c>
      <c r="BJ276">
        <f>IF('STERLING CATALOG - FZN &amp; CHILL'!733:733,"AAAAAHb58z0=",0)</f>
        <v>0</v>
      </c>
      <c r="BK276" t="e">
        <f>AND('STERLING CATALOG - FZN &amp; CHILL'!A733,"AAAAAHb58z4=")</f>
        <v>#VALUE!</v>
      </c>
      <c r="BL276" t="e">
        <f>AND('STERLING CATALOG - FZN &amp; CHILL'!B733,"AAAAAHb58z8=")</f>
        <v>#VALUE!</v>
      </c>
      <c r="BM276" t="e">
        <f>AND('STERLING CATALOG - FZN &amp; CHILL'!C733,"AAAAAHb580A=")</f>
        <v>#VALUE!</v>
      </c>
      <c r="BN276" t="e">
        <f>AND('STERLING CATALOG - FZN &amp; CHILL'!D733,"AAAAAHb580E=")</f>
        <v>#VALUE!</v>
      </c>
      <c r="BO276" t="e">
        <f>AND('STERLING CATALOG - FZN &amp; CHILL'!E733,"AAAAAHb580I=")</f>
        <v>#VALUE!</v>
      </c>
      <c r="BP276" t="e">
        <f>AND('STERLING CATALOG - FZN &amp; CHILL'!F733,"AAAAAHb580M=")</f>
        <v>#VALUE!</v>
      </c>
      <c r="BQ276" t="e">
        <f>AND('STERLING CATALOG - FZN &amp; CHILL'!G733,"AAAAAHb580Q=")</f>
        <v>#VALUE!</v>
      </c>
      <c r="BR276" t="e">
        <f>AND('STERLING CATALOG - FZN &amp; CHILL'!H733,"AAAAAHb580U=")</f>
        <v>#VALUE!</v>
      </c>
      <c r="BS276" t="e">
        <f>AND('STERLING CATALOG - FZN &amp; CHILL'!I733,"AAAAAHb580Y=")</f>
        <v>#VALUE!</v>
      </c>
      <c r="BT276" t="e">
        <f>AND('STERLING CATALOG - FZN &amp; CHILL'!J733,"AAAAAHb580c=")</f>
        <v>#VALUE!</v>
      </c>
      <c r="BU276">
        <f>IF('STERLING CATALOG - FZN &amp; CHILL'!734:734,"AAAAAHb580g=",0)</f>
        <v>0</v>
      </c>
      <c r="BV276" t="e">
        <f>AND('STERLING CATALOG - FZN &amp; CHILL'!A734,"AAAAAHb580k=")</f>
        <v>#VALUE!</v>
      </c>
      <c r="BW276" t="e">
        <f>AND('STERLING CATALOG - FZN &amp; CHILL'!B734,"AAAAAHb580o=")</f>
        <v>#VALUE!</v>
      </c>
      <c r="BX276" t="e">
        <f>AND('STERLING CATALOG - FZN &amp; CHILL'!C734,"AAAAAHb580s=")</f>
        <v>#VALUE!</v>
      </c>
      <c r="BY276" t="e">
        <f>AND('STERLING CATALOG - FZN &amp; CHILL'!D734,"AAAAAHb580w=")</f>
        <v>#VALUE!</v>
      </c>
      <c r="BZ276" t="e">
        <f>AND('STERLING CATALOG - FZN &amp; CHILL'!E734,"AAAAAHb5800=")</f>
        <v>#VALUE!</v>
      </c>
      <c r="CA276" t="e">
        <f>AND('STERLING CATALOG - FZN &amp; CHILL'!F734,"AAAAAHb5804=")</f>
        <v>#VALUE!</v>
      </c>
      <c r="CB276" t="e">
        <f>AND('STERLING CATALOG - FZN &amp; CHILL'!G734,"AAAAAHb5808=")</f>
        <v>#VALUE!</v>
      </c>
      <c r="CC276" t="e">
        <f>AND('STERLING CATALOG - FZN &amp; CHILL'!H734,"AAAAAHb581A=")</f>
        <v>#VALUE!</v>
      </c>
      <c r="CD276" t="e">
        <f>AND('STERLING CATALOG - FZN &amp; CHILL'!I734,"AAAAAHb581E=")</f>
        <v>#VALUE!</v>
      </c>
      <c r="CE276" t="e">
        <f>AND('STERLING CATALOG - FZN &amp; CHILL'!J734,"AAAAAHb581I=")</f>
        <v>#VALUE!</v>
      </c>
      <c r="CF276">
        <f>IF('STERLING CATALOG - FZN &amp; CHILL'!735:735,"AAAAAHb581M=",0)</f>
        <v>0</v>
      </c>
      <c r="CG276" t="e">
        <f>AND('STERLING CATALOG - FZN &amp; CHILL'!A735,"AAAAAHb581Q=")</f>
        <v>#VALUE!</v>
      </c>
      <c r="CH276" t="e">
        <f>AND('STERLING CATALOG - FZN &amp; CHILL'!B735,"AAAAAHb581U=")</f>
        <v>#VALUE!</v>
      </c>
      <c r="CI276" t="e">
        <f>AND('STERLING CATALOG - FZN &amp; CHILL'!C735,"AAAAAHb581Y=")</f>
        <v>#VALUE!</v>
      </c>
      <c r="CJ276" t="e">
        <f>AND('STERLING CATALOG - FZN &amp; CHILL'!D735,"AAAAAHb581c=")</f>
        <v>#VALUE!</v>
      </c>
      <c r="CK276" t="e">
        <f>AND('STERLING CATALOG - FZN &amp; CHILL'!E735,"AAAAAHb581g=")</f>
        <v>#VALUE!</v>
      </c>
      <c r="CL276" t="e">
        <f>AND('STERLING CATALOG - FZN &amp; CHILL'!F735,"AAAAAHb581k=")</f>
        <v>#VALUE!</v>
      </c>
      <c r="CM276" t="e">
        <f>AND('STERLING CATALOG - FZN &amp; CHILL'!G735,"AAAAAHb581o=")</f>
        <v>#VALUE!</v>
      </c>
      <c r="CN276" t="e">
        <f>AND('STERLING CATALOG - FZN &amp; CHILL'!H735,"AAAAAHb581s=")</f>
        <v>#VALUE!</v>
      </c>
      <c r="CO276" t="e">
        <f>AND('STERLING CATALOG - FZN &amp; CHILL'!I735,"AAAAAHb581w=")</f>
        <v>#VALUE!</v>
      </c>
      <c r="CP276" t="e">
        <f>AND('STERLING CATALOG - FZN &amp; CHILL'!J735,"AAAAAHb5810=")</f>
        <v>#VALUE!</v>
      </c>
      <c r="CQ276">
        <f>IF('STERLING CATALOG - FZN &amp; CHILL'!736:736,"AAAAAHb5814=",0)</f>
        <v>0</v>
      </c>
      <c r="CR276" t="e">
        <f>AND('STERLING CATALOG - FZN &amp; CHILL'!A736,"AAAAAHb5818=")</f>
        <v>#VALUE!</v>
      </c>
      <c r="CS276" t="e">
        <f>AND('STERLING CATALOG - FZN &amp; CHILL'!B736,"AAAAAHb582A=")</f>
        <v>#VALUE!</v>
      </c>
      <c r="CT276" t="e">
        <f>AND('STERLING CATALOG - FZN &amp; CHILL'!C736,"AAAAAHb582E=")</f>
        <v>#VALUE!</v>
      </c>
      <c r="CU276" t="e">
        <f>AND('STERLING CATALOG - FZN &amp; CHILL'!D736,"AAAAAHb582I=")</f>
        <v>#VALUE!</v>
      </c>
      <c r="CV276" t="e">
        <f>AND('STERLING CATALOG - FZN &amp; CHILL'!E736,"AAAAAHb582M=")</f>
        <v>#VALUE!</v>
      </c>
      <c r="CW276" t="e">
        <f>AND('STERLING CATALOG - FZN &amp; CHILL'!F736,"AAAAAHb582Q=")</f>
        <v>#VALUE!</v>
      </c>
      <c r="CX276" t="e">
        <f>AND('STERLING CATALOG - FZN &amp; CHILL'!G736,"AAAAAHb582U=")</f>
        <v>#VALUE!</v>
      </c>
      <c r="CY276" t="e">
        <f>AND('STERLING CATALOG - FZN &amp; CHILL'!H736,"AAAAAHb582Y=")</f>
        <v>#VALUE!</v>
      </c>
      <c r="CZ276" t="e">
        <f>AND('STERLING CATALOG - FZN &amp; CHILL'!I736,"AAAAAHb582c=")</f>
        <v>#VALUE!</v>
      </c>
      <c r="DA276" t="e">
        <f>AND('STERLING CATALOG - FZN &amp; CHILL'!J736,"AAAAAHb582g=")</f>
        <v>#VALUE!</v>
      </c>
      <c r="DB276">
        <f>IF('STERLING CATALOG - FZN &amp; CHILL'!737:737,"AAAAAHb582k=",0)</f>
        <v>0</v>
      </c>
      <c r="DC276" t="e">
        <f>AND('STERLING CATALOG - FZN &amp; CHILL'!A737,"AAAAAHb582o=")</f>
        <v>#VALUE!</v>
      </c>
      <c r="DD276" t="e">
        <f>AND('STERLING CATALOG - FZN &amp; CHILL'!B737,"AAAAAHb582s=")</f>
        <v>#VALUE!</v>
      </c>
      <c r="DE276" t="e">
        <f>AND('STERLING CATALOG - FZN &amp; CHILL'!C737,"AAAAAHb582w=")</f>
        <v>#VALUE!</v>
      </c>
      <c r="DF276" t="e">
        <f>AND('STERLING CATALOG - FZN &amp; CHILL'!D737,"AAAAAHb5820=")</f>
        <v>#VALUE!</v>
      </c>
      <c r="DG276" t="e">
        <f>AND('STERLING CATALOG - FZN &amp; CHILL'!E737,"AAAAAHb5824=")</f>
        <v>#VALUE!</v>
      </c>
      <c r="DH276" t="e">
        <f>AND('STERLING CATALOG - FZN &amp; CHILL'!F737,"AAAAAHb5828=")</f>
        <v>#VALUE!</v>
      </c>
      <c r="DI276" t="e">
        <f>AND('STERLING CATALOG - FZN &amp; CHILL'!G737,"AAAAAHb583A=")</f>
        <v>#VALUE!</v>
      </c>
      <c r="DJ276" t="e">
        <f>AND('STERLING CATALOG - FZN &amp; CHILL'!H737,"AAAAAHb583E=")</f>
        <v>#VALUE!</v>
      </c>
      <c r="DK276" t="e">
        <f>AND('STERLING CATALOG - FZN &amp; CHILL'!I737,"AAAAAHb583I=")</f>
        <v>#VALUE!</v>
      </c>
      <c r="DL276" t="e">
        <f>AND('STERLING CATALOG - FZN &amp; CHILL'!J737,"AAAAAHb583M=")</f>
        <v>#VALUE!</v>
      </c>
      <c r="DM276">
        <f>IF('STERLING CATALOG - FZN &amp; CHILL'!738:738,"AAAAAHb583Q=",0)</f>
        <v>0</v>
      </c>
      <c r="DN276" t="e">
        <f>AND('STERLING CATALOG - FZN &amp; CHILL'!A738,"AAAAAHb583U=")</f>
        <v>#VALUE!</v>
      </c>
      <c r="DO276" t="e">
        <f>AND('STERLING CATALOG - FZN &amp; CHILL'!B738,"AAAAAHb583Y=")</f>
        <v>#VALUE!</v>
      </c>
      <c r="DP276" t="e">
        <f>AND('STERLING CATALOG - FZN &amp; CHILL'!C738,"AAAAAHb583c=")</f>
        <v>#VALUE!</v>
      </c>
      <c r="DQ276" t="e">
        <f>AND('STERLING CATALOG - FZN &amp; CHILL'!D738,"AAAAAHb583g=")</f>
        <v>#VALUE!</v>
      </c>
      <c r="DR276" t="e">
        <f>AND('STERLING CATALOG - FZN &amp; CHILL'!E738,"AAAAAHb583k=")</f>
        <v>#VALUE!</v>
      </c>
      <c r="DS276" t="e">
        <f>AND('STERLING CATALOG - FZN &amp; CHILL'!F738,"AAAAAHb583o=")</f>
        <v>#VALUE!</v>
      </c>
      <c r="DT276" t="e">
        <f>AND('STERLING CATALOG - FZN &amp; CHILL'!G738,"AAAAAHb583s=")</f>
        <v>#VALUE!</v>
      </c>
      <c r="DU276" t="e">
        <f>AND('STERLING CATALOG - FZN &amp; CHILL'!H738,"AAAAAHb583w=")</f>
        <v>#VALUE!</v>
      </c>
      <c r="DV276" t="e">
        <f>AND('STERLING CATALOG - FZN &amp; CHILL'!I738,"AAAAAHb5830=")</f>
        <v>#VALUE!</v>
      </c>
      <c r="DW276" t="e">
        <f>AND('STERLING CATALOG - FZN &amp; CHILL'!J738,"AAAAAHb5834=")</f>
        <v>#VALUE!</v>
      </c>
      <c r="DX276">
        <f>IF('STERLING CATALOG - FZN &amp; CHILL'!739:739,"AAAAAHb5838=",0)</f>
        <v>0</v>
      </c>
      <c r="DY276" t="e">
        <f>AND('STERLING CATALOG - FZN &amp; CHILL'!A739,"AAAAAHb584A=")</f>
        <v>#VALUE!</v>
      </c>
      <c r="DZ276" t="e">
        <f>AND('STERLING CATALOG - FZN &amp; CHILL'!B739,"AAAAAHb584E=")</f>
        <v>#VALUE!</v>
      </c>
      <c r="EA276" t="e">
        <f>AND('STERLING CATALOG - FZN &amp; CHILL'!C739,"AAAAAHb584I=")</f>
        <v>#VALUE!</v>
      </c>
      <c r="EB276" t="e">
        <f>AND('STERLING CATALOG - FZN &amp; CHILL'!D739,"AAAAAHb584M=")</f>
        <v>#VALUE!</v>
      </c>
      <c r="EC276" t="e">
        <f>AND('STERLING CATALOG - FZN &amp; CHILL'!E739,"AAAAAHb584Q=")</f>
        <v>#VALUE!</v>
      </c>
      <c r="ED276" t="e">
        <f>AND('STERLING CATALOG - FZN &amp; CHILL'!F739,"AAAAAHb584U=")</f>
        <v>#VALUE!</v>
      </c>
      <c r="EE276" t="e">
        <f>AND('STERLING CATALOG - FZN &amp; CHILL'!G739,"AAAAAHb584Y=")</f>
        <v>#VALUE!</v>
      </c>
      <c r="EF276" t="e">
        <f>AND('STERLING CATALOG - FZN &amp; CHILL'!H739,"AAAAAHb584c=")</f>
        <v>#VALUE!</v>
      </c>
      <c r="EG276" t="e">
        <f>AND('STERLING CATALOG - FZN &amp; CHILL'!I739,"AAAAAHb584g=")</f>
        <v>#VALUE!</v>
      </c>
      <c r="EH276" t="e">
        <f>AND('STERLING CATALOG - FZN &amp; CHILL'!J739,"AAAAAHb584k=")</f>
        <v>#VALUE!</v>
      </c>
      <c r="EI276">
        <f>IF('STERLING CATALOG - FZN &amp; CHILL'!740:740,"AAAAAHb584o=",0)</f>
        <v>0</v>
      </c>
      <c r="EJ276" t="e">
        <f>AND('STERLING CATALOG - FZN &amp; CHILL'!A740,"AAAAAHb584s=")</f>
        <v>#VALUE!</v>
      </c>
      <c r="EK276" t="e">
        <f>AND('STERLING CATALOG - FZN &amp; CHILL'!B740,"AAAAAHb584w=")</f>
        <v>#VALUE!</v>
      </c>
      <c r="EL276" t="e">
        <f>AND('STERLING CATALOG - FZN &amp; CHILL'!C740,"AAAAAHb5840=")</f>
        <v>#VALUE!</v>
      </c>
      <c r="EM276" t="e">
        <f>AND('STERLING CATALOG - FZN &amp; CHILL'!D740,"AAAAAHb5844=")</f>
        <v>#VALUE!</v>
      </c>
      <c r="EN276" t="e">
        <f>AND('STERLING CATALOG - FZN &amp; CHILL'!E740,"AAAAAHb5848=")</f>
        <v>#VALUE!</v>
      </c>
      <c r="EO276" t="e">
        <f>AND('STERLING CATALOG - FZN &amp; CHILL'!F740,"AAAAAHb585A=")</f>
        <v>#VALUE!</v>
      </c>
      <c r="EP276" t="e">
        <f>AND('STERLING CATALOG - FZN &amp; CHILL'!G740,"AAAAAHb585E=")</f>
        <v>#VALUE!</v>
      </c>
      <c r="EQ276" t="e">
        <f>AND('STERLING CATALOG - FZN &amp; CHILL'!H740,"AAAAAHb585I=")</f>
        <v>#VALUE!</v>
      </c>
      <c r="ER276" t="e">
        <f>AND('STERLING CATALOG - FZN &amp; CHILL'!I740,"AAAAAHb585M=")</f>
        <v>#VALUE!</v>
      </c>
      <c r="ES276" t="e">
        <f>AND('STERLING CATALOG - FZN &amp; CHILL'!J740,"AAAAAHb585Q=")</f>
        <v>#VALUE!</v>
      </c>
      <c r="ET276">
        <f>IF('STERLING CATALOG - FZN &amp; CHILL'!741:741,"AAAAAHb585U=",0)</f>
        <v>0</v>
      </c>
      <c r="EU276" t="e">
        <f>AND('STERLING CATALOG - FZN &amp; CHILL'!A741,"AAAAAHb585Y=")</f>
        <v>#VALUE!</v>
      </c>
      <c r="EV276" t="e">
        <f>AND('STERLING CATALOG - FZN &amp; CHILL'!B741,"AAAAAHb585c=")</f>
        <v>#VALUE!</v>
      </c>
      <c r="EW276" t="e">
        <f>AND('STERLING CATALOG - FZN &amp; CHILL'!C741,"AAAAAHb585g=")</f>
        <v>#VALUE!</v>
      </c>
      <c r="EX276" t="e">
        <f>AND('STERLING CATALOG - FZN &amp; CHILL'!D741,"AAAAAHb585k=")</f>
        <v>#VALUE!</v>
      </c>
      <c r="EY276" t="e">
        <f>AND('STERLING CATALOG - FZN &amp; CHILL'!E741,"AAAAAHb585o=")</f>
        <v>#VALUE!</v>
      </c>
      <c r="EZ276" t="e">
        <f>AND('STERLING CATALOG - FZN &amp; CHILL'!F741,"AAAAAHb585s=")</f>
        <v>#VALUE!</v>
      </c>
      <c r="FA276" t="e">
        <f>AND('STERLING CATALOG - FZN &amp; CHILL'!G741,"AAAAAHb585w=")</f>
        <v>#VALUE!</v>
      </c>
      <c r="FB276" t="e">
        <f>AND('STERLING CATALOG - FZN &amp; CHILL'!H741,"AAAAAHb5850=")</f>
        <v>#VALUE!</v>
      </c>
      <c r="FC276" t="e">
        <f>AND('STERLING CATALOG - FZN &amp; CHILL'!I741,"AAAAAHb5854=")</f>
        <v>#VALUE!</v>
      </c>
      <c r="FD276" t="e">
        <f>AND('STERLING CATALOG - FZN &amp; CHILL'!J741,"AAAAAHb5858=")</f>
        <v>#VALUE!</v>
      </c>
      <c r="FE276">
        <f>IF('STERLING CATALOG - FZN &amp; CHILL'!742:742,"AAAAAHb586A=",0)</f>
        <v>0</v>
      </c>
      <c r="FF276" t="e">
        <f>AND('STERLING CATALOG - FZN &amp; CHILL'!A742,"AAAAAHb586E=")</f>
        <v>#VALUE!</v>
      </c>
      <c r="FG276" t="e">
        <f>AND('STERLING CATALOG - FZN &amp; CHILL'!B742,"AAAAAHb586I=")</f>
        <v>#VALUE!</v>
      </c>
      <c r="FH276" t="e">
        <f>AND('STERLING CATALOG - FZN &amp; CHILL'!C742,"AAAAAHb586M=")</f>
        <v>#VALUE!</v>
      </c>
      <c r="FI276" t="e">
        <f>AND('STERLING CATALOG - FZN &amp; CHILL'!D742,"AAAAAHb586Q=")</f>
        <v>#VALUE!</v>
      </c>
      <c r="FJ276" t="e">
        <f>AND('STERLING CATALOG - FZN &amp; CHILL'!E742,"AAAAAHb586U=")</f>
        <v>#VALUE!</v>
      </c>
      <c r="FK276" t="e">
        <f>AND('STERLING CATALOG - FZN &amp; CHILL'!F742,"AAAAAHb586Y=")</f>
        <v>#VALUE!</v>
      </c>
      <c r="FL276" t="e">
        <f>AND('STERLING CATALOG - FZN &amp; CHILL'!G742,"AAAAAHb586c=")</f>
        <v>#VALUE!</v>
      </c>
      <c r="FM276" t="e">
        <f>AND('STERLING CATALOG - FZN &amp; CHILL'!H742,"AAAAAHb586g=")</f>
        <v>#VALUE!</v>
      </c>
      <c r="FN276" t="e">
        <f>AND('STERLING CATALOG - FZN &amp; CHILL'!I742,"AAAAAHb586k=")</f>
        <v>#VALUE!</v>
      </c>
      <c r="FO276" t="e">
        <f>AND('STERLING CATALOG - FZN &amp; CHILL'!J742,"AAAAAHb586o=")</f>
        <v>#VALUE!</v>
      </c>
      <c r="FP276">
        <f>IF('STERLING CATALOG - FZN &amp; CHILL'!743:743,"AAAAAHb586s=",0)</f>
        <v>0</v>
      </c>
      <c r="FQ276" t="e">
        <f>AND('STERLING CATALOG - FZN &amp; CHILL'!A743,"AAAAAHb586w=")</f>
        <v>#VALUE!</v>
      </c>
      <c r="FR276" t="e">
        <f>AND('STERLING CATALOG - FZN &amp; CHILL'!B743,"AAAAAHb5860=")</f>
        <v>#VALUE!</v>
      </c>
      <c r="FS276" t="e">
        <f>AND('STERLING CATALOG - FZN &amp; CHILL'!C743,"AAAAAHb5864=")</f>
        <v>#VALUE!</v>
      </c>
      <c r="FT276" t="e">
        <f>AND('STERLING CATALOG - FZN &amp; CHILL'!D743,"AAAAAHb5868=")</f>
        <v>#VALUE!</v>
      </c>
      <c r="FU276" t="e">
        <f>AND('STERLING CATALOG - FZN &amp; CHILL'!E743,"AAAAAHb587A=")</f>
        <v>#VALUE!</v>
      </c>
      <c r="FV276" t="e">
        <f>AND('STERLING CATALOG - FZN &amp; CHILL'!F743,"AAAAAHb587E=")</f>
        <v>#VALUE!</v>
      </c>
      <c r="FW276" t="e">
        <f>AND('STERLING CATALOG - FZN &amp; CHILL'!G743,"AAAAAHb587I=")</f>
        <v>#VALUE!</v>
      </c>
      <c r="FX276" t="e">
        <f>AND('STERLING CATALOG - FZN &amp; CHILL'!H743,"AAAAAHb587M=")</f>
        <v>#VALUE!</v>
      </c>
      <c r="FY276" t="e">
        <f>AND('STERLING CATALOG - FZN &amp; CHILL'!I743,"AAAAAHb587Q=")</f>
        <v>#VALUE!</v>
      </c>
      <c r="FZ276" t="e">
        <f>AND('STERLING CATALOG - FZN &amp; CHILL'!J743,"AAAAAHb587U=")</f>
        <v>#VALUE!</v>
      </c>
      <c r="GA276">
        <f>IF('STERLING CATALOG - FZN &amp; CHILL'!744:744,"AAAAAHb587Y=",0)</f>
        <v>0</v>
      </c>
      <c r="GB276" t="e">
        <f>AND('STERLING CATALOG - FZN &amp; CHILL'!A744,"AAAAAHb587c=")</f>
        <v>#VALUE!</v>
      </c>
      <c r="GC276" t="e">
        <f>AND('STERLING CATALOG - FZN &amp; CHILL'!B744,"AAAAAHb587g=")</f>
        <v>#VALUE!</v>
      </c>
      <c r="GD276" t="e">
        <f>AND('STERLING CATALOG - FZN &amp; CHILL'!C744,"AAAAAHb587k=")</f>
        <v>#VALUE!</v>
      </c>
      <c r="GE276" t="e">
        <f>AND('STERLING CATALOG - FZN &amp; CHILL'!D744,"AAAAAHb587o=")</f>
        <v>#VALUE!</v>
      </c>
      <c r="GF276" t="e">
        <f>AND('STERLING CATALOG - FZN &amp; CHILL'!E744,"AAAAAHb587s=")</f>
        <v>#VALUE!</v>
      </c>
      <c r="GG276" t="e">
        <f>AND('STERLING CATALOG - FZN &amp; CHILL'!F744,"AAAAAHb587w=")</f>
        <v>#VALUE!</v>
      </c>
      <c r="GH276" t="e">
        <f>AND('STERLING CATALOG - FZN &amp; CHILL'!G744,"AAAAAHb5870=")</f>
        <v>#VALUE!</v>
      </c>
      <c r="GI276" t="e">
        <f>AND('STERLING CATALOG - FZN &amp; CHILL'!H744,"AAAAAHb5874=")</f>
        <v>#VALUE!</v>
      </c>
      <c r="GJ276" t="e">
        <f>AND('STERLING CATALOG - FZN &amp; CHILL'!I744,"AAAAAHb5878=")</f>
        <v>#VALUE!</v>
      </c>
      <c r="GK276" t="e">
        <f>AND('STERLING CATALOG - FZN &amp; CHILL'!J744,"AAAAAHb588A=")</f>
        <v>#VALUE!</v>
      </c>
      <c r="GL276">
        <f>IF('STERLING CATALOG - FZN &amp; CHILL'!745:745,"AAAAAHb588E=",0)</f>
        <v>0</v>
      </c>
      <c r="GM276" t="e">
        <f>AND('STERLING CATALOG - FZN &amp; CHILL'!A745,"AAAAAHb588I=")</f>
        <v>#VALUE!</v>
      </c>
      <c r="GN276" t="e">
        <f>AND('STERLING CATALOG - FZN &amp; CHILL'!B745,"AAAAAHb588M=")</f>
        <v>#VALUE!</v>
      </c>
      <c r="GO276" t="e">
        <f>AND('STERLING CATALOG - FZN &amp; CHILL'!C745,"AAAAAHb588Q=")</f>
        <v>#VALUE!</v>
      </c>
      <c r="GP276" t="e">
        <f>AND('STERLING CATALOG - FZN &amp; CHILL'!D745,"AAAAAHb588U=")</f>
        <v>#VALUE!</v>
      </c>
      <c r="GQ276" t="e">
        <f>AND('STERLING CATALOG - FZN &amp; CHILL'!E745,"AAAAAHb588Y=")</f>
        <v>#VALUE!</v>
      </c>
      <c r="GR276" t="e">
        <f>AND('STERLING CATALOG - FZN &amp; CHILL'!F745,"AAAAAHb588c=")</f>
        <v>#VALUE!</v>
      </c>
      <c r="GS276" t="e">
        <f>AND('STERLING CATALOG - FZN &amp; CHILL'!G745,"AAAAAHb588g=")</f>
        <v>#VALUE!</v>
      </c>
      <c r="GT276" t="e">
        <f>AND('STERLING CATALOG - FZN &amp; CHILL'!H745,"AAAAAHb588k=")</f>
        <v>#VALUE!</v>
      </c>
      <c r="GU276" t="e">
        <f>AND('STERLING CATALOG - FZN &amp; CHILL'!I745,"AAAAAHb588o=")</f>
        <v>#VALUE!</v>
      </c>
      <c r="GV276" t="e">
        <f>AND('STERLING CATALOG - FZN &amp; CHILL'!J745,"AAAAAHb588s=")</f>
        <v>#VALUE!</v>
      </c>
      <c r="GW276">
        <f>IF('STERLING CATALOG - FZN &amp; CHILL'!746:746,"AAAAAHb588w=",0)</f>
        <v>0</v>
      </c>
      <c r="GX276" t="e">
        <f>AND('STERLING CATALOG - FZN &amp; CHILL'!A746,"AAAAAHb5880=")</f>
        <v>#VALUE!</v>
      </c>
      <c r="GY276" t="e">
        <f>AND('STERLING CATALOG - FZN &amp; CHILL'!B746,"AAAAAHb5884=")</f>
        <v>#VALUE!</v>
      </c>
      <c r="GZ276" t="e">
        <f>AND('STERLING CATALOG - FZN &amp; CHILL'!C746,"AAAAAHb5888=")</f>
        <v>#VALUE!</v>
      </c>
      <c r="HA276" t="e">
        <f>AND('STERLING CATALOG - FZN &amp; CHILL'!D746,"AAAAAHb589A=")</f>
        <v>#VALUE!</v>
      </c>
      <c r="HB276" t="e">
        <f>AND('STERLING CATALOG - FZN &amp; CHILL'!E746,"AAAAAHb589E=")</f>
        <v>#VALUE!</v>
      </c>
      <c r="HC276" t="e">
        <f>AND('STERLING CATALOG - FZN &amp; CHILL'!F746,"AAAAAHb589I=")</f>
        <v>#VALUE!</v>
      </c>
      <c r="HD276" t="e">
        <f>AND('STERLING CATALOG - FZN &amp; CHILL'!G746,"AAAAAHb589M=")</f>
        <v>#VALUE!</v>
      </c>
      <c r="HE276" t="e">
        <f>AND('STERLING CATALOG - FZN &amp; CHILL'!H746,"AAAAAHb589Q=")</f>
        <v>#VALUE!</v>
      </c>
      <c r="HF276" t="e">
        <f>AND('STERLING CATALOG - FZN &amp; CHILL'!I746,"AAAAAHb589U=")</f>
        <v>#VALUE!</v>
      </c>
      <c r="HG276" t="e">
        <f>AND('STERLING CATALOG - FZN &amp; CHILL'!J746,"AAAAAHb589Y=")</f>
        <v>#VALUE!</v>
      </c>
      <c r="HH276">
        <f>IF('STERLING CATALOG - FZN &amp; CHILL'!747:747,"AAAAAHb589c=",0)</f>
        <v>0</v>
      </c>
      <c r="HI276" t="e">
        <f>AND('STERLING CATALOG - FZN &amp; CHILL'!A747,"AAAAAHb589g=")</f>
        <v>#VALUE!</v>
      </c>
      <c r="HJ276" t="e">
        <f>AND('STERLING CATALOG - FZN &amp; CHILL'!B747,"AAAAAHb589k=")</f>
        <v>#VALUE!</v>
      </c>
      <c r="HK276" t="e">
        <f>AND('STERLING CATALOG - FZN &amp; CHILL'!C747,"AAAAAHb589o=")</f>
        <v>#VALUE!</v>
      </c>
      <c r="HL276" t="e">
        <f>AND('STERLING CATALOG - FZN &amp; CHILL'!D747,"AAAAAHb589s=")</f>
        <v>#VALUE!</v>
      </c>
      <c r="HM276" t="e">
        <f>AND('STERLING CATALOG - FZN &amp; CHILL'!E747,"AAAAAHb589w=")</f>
        <v>#VALUE!</v>
      </c>
      <c r="HN276" t="e">
        <f>AND('STERLING CATALOG - FZN &amp; CHILL'!F747,"AAAAAHb5890=")</f>
        <v>#VALUE!</v>
      </c>
      <c r="HO276" t="e">
        <f>AND('STERLING CATALOG - FZN &amp; CHILL'!G747,"AAAAAHb5894=")</f>
        <v>#VALUE!</v>
      </c>
      <c r="HP276" t="e">
        <f>AND('STERLING CATALOG - FZN &amp; CHILL'!H747,"AAAAAHb5898=")</f>
        <v>#VALUE!</v>
      </c>
      <c r="HQ276" t="e">
        <f>AND('STERLING CATALOG - FZN &amp; CHILL'!I747,"AAAAAHb58+A=")</f>
        <v>#VALUE!</v>
      </c>
      <c r="HR276" t="e">
        <f>AND('STERLING CATALOG - FZN &amp; CHILL'!J747,"AAAAAHb58+E=")</f>
        <v>#VALUE!</v>
      </c>
      <c r="HS276">
        <f>IF('STERLING CATALOG - FZN &amp; CHILL'!748:748,"AAAAAHb58+I=",0)</f>
        <v>0</v>
      </c>
      <c r="HT276" t="e">
        <f>AND('STERLING CATALOG - FZN &amp; CHILL'!A748,"AAAAAHb58+M=")</f>
        <v>#VALUE!</v>
      </c>
      <c r="HU276" t="e">
        <f>AND('STERLING CATALOG - FZN &amp; CHILL'!B748,"AAAAAHb58+Q=")</f>
        <v>#VALUE!</v>
      </c>
      <c r="HV276" t="e">
        <f>AND('STERLING CATALOG - FZN &amp; CHILL'!C748,"AAAAAHb58+U=")</f>
        <v>#VALUE!</v>
      </c>
      <c r="HW276" t="e">
        <f>AND('STERLING CATALOG - FZN &amp; CHILL'!D748,"AAAAAHb58+Y=")</f>
        <v>#VALUE!</v>
      </c>
      <c r="HX276" t="e">
        <f>AND('STERLING CATALOG - FZN &amp; CHILL'!E748,"AAAAAHb58+c=")</f>
        <v>#VALUE!</v>
      </c>
      <c r="HY276" t="e">
        <f>AND('STERLING CATALOG - FZN &amp; CHILL'!F748,"AAAAAHb58+g=")</f>
        <v>#VALUE!</v>
      </c>
      <c r="HZ276" t="e">
        <f>AND('STERLING CATALOG - FZN &amp; CHILL'!G748,"AAAAAHb58+k=")</f>
        <v>#VALUE!</v>
      </c>
      <c r="IA276" t="e">
        <f>AND('STERLING CATALOG - FZN &amp; CHILL'!H748,"AAAAAHb58+o=")</f>
        <v>#VALUE!</v>
      </c>
      <c r="IB276" t="e">
        <f>AND('STERLING CATALOG - FZN &amp; CHILL'!I748,"AAAAAHb58+s=")</f>
        <v>#VALUE!</v>
      </c>
      <c r="IC276" t="e">
        <f>AND('STERLING CATALOG - FZN &amp; CHILL'!J748,"AAAAAHb58+w=")</f>
        <v>#VALUE!</v>
      </c>
      <c r="ID276">
        <f>IF('STERLING CATALOG - FZN &amp; CHILL'!749:749,"AAAAAHb58+0=",0)</f>
        <v>0</v>
      </c>
      <c r="IE276" t="e">
        <f>AND('STERLING CATALOG - FZN &amp; CHILL'!A749,"AAAAAHb58+4=")</f>
        <v>#VALUE!</v>
      </c>
      <c r="IF276" t="e">
        <f>AND('STERLING CATALOG - FZN &amp; CHILL'!B749,"AAAAAHb58+8=")</f>
        <v>#VALUE!</v>
      </c>
      <c r="IG276" t="e">
        <f>AND('STERLING CATALOG - FZN &amp; CHILL'!C749,"AAAAAHb58/A=")</f>
        <v>#VALUE!</v>
      </c>
      <c r="IH276" t="e">
        <f>AND('STERLING CATALOG - FZN &amp; CHILL'!D749,"AAAAAHb58/E=")</f>
        <v>#VALUE!</v>
      </c>
      <c r="II276" t="e">
        <f>AND('STERLING CATALOG - FZN &amp; CHILL'!E749,"AAAAAHb58/I=")</f>
        <v>#VALUE!</v>
      </c>
      <c r="IJ276" t="e">
        <f>AND('STERLING CATALOG - FZN &amp; CHILL'!F749,"AAAAAHb58/M=")</f>
        <v>#VALUE!</v>
      </c>
      <c r="IK276" t="e">
        <f>AND('STERLING CATALOG - FZN &amp; CHILL'!G749,"AAAAAHb58/Q=")</f>
        <v>#VALUE!</v>
      </c>
      <c r="IL276" t="e">
        <f>AND('STERLING CATALOG - FZN &amp; CHILL'!H749,"AAAAAHb58/U=")</f>
        <v>#VALUE!</v>
      </c>
      <c r="IM276" t="e">
        <f>AND('STERLING CATALOG - FZN &amp; CHILL'!I749,"AAAAAHb58/Y=")</f>
        <v>#VALUE!</v>
      </c>
      <c r="IN276" t="e">
        <f>AND('STERLING CATALOG - FZN &amp; CHILL'!J749,"AAAAAHb58/c=")</f>
        <v>#VALUE!</v>
      </c>
      <c r="IO276">
        <f>IF('STERLING CATALOG - FZN &amp; CHILL'!750:750,"AAAAAHb58/g=",0)</f>
        <v>0</v>
      </c>
      <c r="IP276" t="e">
        <f>AND('STERLING CATALOG - FZN &amp; CHILL'!A750,"AAAAAHb58/k=")</f>
        <v>#VALUE!</v>
      </c>
      <c r="IQ276" t="e">
        <f>AND('STERLING CATALOG - FZN &amp; CHILL'!B750,"AAAAAHb58/o=")</f>
        <v>#VALUE!</v>
      </c>
      <c r="IR276" t="e">
        <f>AND('STERLING CATALOG - FZN &amp; CHILL'!C750,"AAAAAHb58/s=")</f>
        <v>#VALUE!</v>
      </c>
      <c r="IS276" t="e">
        <f>AND('STERLING CATALOG - FZN &amp; CHILL'!D750,"AAAAAHb58/w=")</f>
        <v>#VALUE!</v>
      </c>
      <c r="IT276" t="e">
        <f>AND('STERLING CATALOG - FZN &amp; CHILL'!E750,"AAAAAHb58/0=")</f>
        <v>#VALUE!</v>
      </c>
      <c r="IU276" t="e">
        <f>AND('STERLING CATALOG - FZN &amp; CHILL'!F750,"AAAAAHb58/4=")</f>
        <v>#VALUE!</v>
      </c>
      <c r="IV276" t="e">
        <f>AND('STERLING CATALOG - FZN &amp; CHILL'!G750,"AAAAAHb58/8=")</f>
        <v>#VALUE!</v>
      </c>
    </row>
    <row r="277" spans="1:256">
      <c r="A277" t="e">
        <f>AND('STERLING CATALOG - FZN &amp; CHILL'!H750,"AAAAAG+XnQA=")</f>
        <v>#VALUE!</v>
      </c>
      <c r="B277" t="e">
        <f>AND('STERLING CATALOG - FZN &amp; CHILL'!I750,"AAAAAG+XnQE=")</f>
        <v>#VALUE!</v>
      </c>
      <c r="C277" t="e">
        <f>AND('STERLING CATALOG - FZN &amp; CHILL'!J750,"AAAAAG+XnQI=")</f>
        <v>#VALUE!</v>
      </c>
      <c r="D277" t="e">
        <f>IF('STERLING CATALOG - FZN &amp; CHILL'!751:751,"AAAAAG+XnQM=",0)</f>
        <v>#VALUE!</v>
      </c>
      <c r="E277" t="e">
        <f>AND('STERLING CATALOG - FZN &amp; CHILL'!A751,"AAAAAG+XnQQ=")</f>
        <v>#VALUE!</v>
      </c>
      <c r="F277" t="e">
        <f>AND('STERLING CATALOG - FZN &amp; CHILL'!B751,"AAAAAG+XnQU=")</f>
        <v>#VALUE!</v>
      </c>
      <c r="G277" t="e">
        <f>AND('STERLING CATALOG - FZN &amp; CHILL'!C751,"AAAAAG+XnQY=")</f>
        <v>#VALUE!</v>
      </c>
      <c r="H277" t="e">
        <f>AND('STERLING CATALOG - FZN &amp; CHILL'!D751,"AAAAAG+XnQc=")</f>
        <v>#VALUE!</v>
      </c>
      <c r="I277" t="e">
        <f>AND('STERLING CATALOG - FZN &amp; CHILL'!E751,"AAAAAG+XnQg=")</f>
        <v>#VALUE!</v>
      </c>
      <c r="J277" t="e">
        <f>AND('STERLING CATALOG - FZN &amp; CHILL'!F751,"AAAAAG+XnQk=")</f>
        <v>#VALUE!</v>
      </c>
      <c r="K277" t="e">
        <f>AND('STERLING CATALOG - FZN &amp; CHILL'!G751,"AAAAAG+XnQo=")</f>
        <v>#VALUE!</v>
      </c>
      <c r="L277" t="e">
        <f>AND('STERLING CATALOG - FZN &amp; CHILL'!H751,"AAAAAG+XnQs=")</f>
        <v>#VALUE!</v>
      </c>
      <c r="M277" t="e">
        <f>AND('STERLING CATALOG - FZN &amp; CHILL'!I751,"AAAAAG+XnQw=")</f>
        <v>#VALUE!</v>
      </c>
      <c r="N277" t="e">
        <f>AND('STERLING CATALOG - FZN &amp; CHILL'!J751,"AAAAAG+XnQ0=")</f>
        <v>#VALUE!</v>
      </c>
      <c r="O277">
        <f>IF('STERLING CATALOG - FZN &amp; CHILL'!752:752,"AAAAAG+XnQ4=",0)</f>
        <v>0</v>
      </c>
      <c r="P277" t="e">
        <f>AND('STERLING CATALOG - FZN &amp; CHILL'!A752,"AAAAAG+XnQ8=")</f>
        <v>#VALUE!</v>
      </c>
      <c r="Q277" t="e">
        <f>AND('STERLING CATALOG - FZN &amp; CHILL'!B752,"AAAAAG+XnRA=")</f>
        <v>#VALUE!</v>
      </c>
      <c r="R277" t="e">
        <f>AND('STERLING CATALOG - FZN &amp; CHILL'!C752,"AAAAAG+XnRE=")</f>
        <v>#VALUE!</v>
      </c>
      <c r="S277" t="e">
        <f>AND('STERLING CATALOG - FZN &amp; CHILL'!D752,"AAAAAG+XnRI=")</f>
        <v>#VALUE!</v>
      </c>
      <c r="T277" t="e">
        <f>AND('STERLING CATALOG - FZN &amp; CHILL'!E752,"AAAAAG+XnRM=")</f>
        <v>#VALUE!</v>
      </c>
      <c r="U277" t="e">
        <f>AND('STERLING CATALOG - FZN &amp; CHILL'!F752,"AAAAAG+XnRQ=")</f>
        <v>#VALUE!</v>
      </c>
      <c r="V277" t="e">
        <f>AND('STERLING CATALOG - FZN &amp; CHILL'!G752,"AAAAAG+XnRU=")</f>
        <v>#VALUE!</v>
      </c>
      <c r="W277" t="e">
        <f>AND('STERLING CATALOG - FZN &amp; CHILL'!H752,"AAAAAG+XnRY=")</f>
        <v>#VALUE!</v>
      </c>
      <c r="X277" t="e">
        <f>AND('STERLING CATALOG - FZN &amp; CHILL'!I752,"AAAAAG+XnRc=")</f>
        <v>#VALUE!</v>
      </c>
      <c r="Y277" t="e">
        <f>AND('STERLING CATALOG - FZN &amp; CHILL'!J752,"AAAAAG+XnRg=")</f>
        <v>#VALUE!</v>
      </c>
      <c r="Z277">
        <f>IF('STERLING CATALOG - FZN &amp; CHILL'!753:753,"AAAAAG+XnRk=",0)</f>
        <v>0</v>
      </c>
      <c r="AA277" t="e">
        <f>AND('STERLING CATALOG - FZN &amp; CHILL'!A753,"AAAAAG+XnRo=")</f>
        <v>#VALUE!</v>
      </c>
      <c r="AB277" t="e">
        <f>AND('STERLING CATALOG - FZN &amp; CHILL'!B753,"AAAAAG+XnRs=")</f>
        <v>#VALUE!</v>
      </c>
      <c r="AC277" t="e">
        <f>AND('STERLING CATALOG - FZN &amp; CHILL'!C753,"AAAAAG+XnRw=")</f>
        <v>#VALUE!</v>
      </c>
      <c r="AD277" t="e">
        <f>AND('STERLING CATALOG - FZN &amp; CHILL'!D753,"AAAAAG+XnR0=")</f>
        <v>#VALUE!</v>
      </c>
      <c r="AE277" t="e">
        <f>AND('STERLING CATALOG - FZN &amp; CHILL'!E753,"AAAAAG+XnR4=")</f>
        <v>#VALUE!</v>
      </c>
      <c r="AF277" t="e">
        <f>AND('STERLING CATALOG - FZN &amp; CHILL'!F753,"AAAAAG+XnR8=")</f>
        <v>#VALUE!</v>
      </c>
      <c r="AG277" t="e">
        <f>AND('STERLING CATALOG - FZN &amp; CHILL'!G753,"AAAAAG+XnSA=")</f>
        <v>#VALUE!</v>
      </c>
      <c r="AH277" t="e">
        <f>AND('STERLING CATALOG - FZN &amp; CHILL'!H753,"AAAAAG+XnSE=")</f>
        <v>#VALUE!</v>
      </c>
      <c r="AI277" t="e">
        <f>AND('STERLING CATALOG - FZN &amp; CHILL'!I753,"AAAAAG+XnSI=")</f>
        <v>#VALUE!</v>
      </c>
      <c r="AJ277" t="e">
        <f>AND('STERLING CATALOG - FZN &amp; CHILL'!J753,"AAAAAG+XnSM=")</f>
        <v>#VALUE!</v>
      </c>
      <c r="AK277">
        <f>IF('STERLING CATALOG - FZN &amp; CHILL'!754:754,"AAAAAG+XnSQ=",0)</f>
        <v>0</v>
      </c>
      <c r="AL277" t="e">
        <f>AND('STERLING CATALOG - FZN &amp; CHILL'!A754,"AAAAAG+XnSU=")</f>
        <v>#VALUE!</v>
      </c>
      <c r="AM277" t="e">
        <f>AND('STERLING CATALOG - FZN &amp; CHILL'!B754,"AAAAAG+XnSY=")</f>
        <v>#VALUE!</v>
      </c>
      <c r="AN277" t="e">
        <f>AND('STERLING CATALOG - FZN &amp; CHILL'!C754,"AAAAAG+XnSc=")</f>
        <v>#VALUE!</v>
      </c>
      <c r="AO277" t="e">
        <f>AND('STERLING CATALOG - FZN &amp; CHILL'!D754,"AAAAAG+XnSg=")</f>
        <v>#VALUE!</v>
      </c>
      <c r="AP277" t="e">
        <f>AND('STERLING CATALOG - FZN &amp; CHILL'!E754,"AAAAAG+XnSk=")</f>
        <v>#VALUE!</v>
      </c>
      <c r="AQ277" t="e">
        <f>AND('STERLING CATALOG - FZN &amp; CHILL'!F754,"AAAAAG+XnSo=")</f>
        <v>#VALUE!</v>
      </c>
      <c r="AR277" t="e">
        <f>AND('STERLING CATALOG - FZN &amp; CHILL'!G754,"AAAAAG+XnSs=")</f>
        <v>#VALUE!</v>
      </c>
      <c r="AS277" t="e">
        <f>AND('STERLING CATALOG - FZN &amp; CHILL'!H754,"AAAAAG+XnSw=")</f>
        <v>#VALUE!</v>
      </c>
      <c r="AT277" t="e">
        <f>AND('STERLING CATALOG - FZN &amp; CHILL'!I754,"AAAAAG+XnS0=")</f>
        <v>#VALUE!</v>
      </c>
      <c r="AU277" t="e">
        <f>AND('STERLING CATALOG - FZN &amp; CHILL'!J754,"AAAAAG+XnS4=")</f>
        <v>#VALUE!</v>
      </c>
      <c r="AV277">
        <f>IF('STERLING CATALOG - FZN &amp; CHILL'!755:755,"AAAAAG+XnS8=",0)</f>
        <v>0</v>
      </c>
      <c r="AW277" t="e">
        <f>AND('STERLING CATALOG - FZN &amp; CHILL'!A755,"AAAAAG+XnTA=")</f>
        <v>#VALUE!</v>
      </c>
      <c r="AX277" t="e">
        <f>AND('STERLING CATALOG - FZN &amp; CHILL'!B755,"AAAAAG+XnTE=")</f>
        <v>#VALUE!</v>
      </c>
      <c r="AY277" t="e">
        <f>AND('STERLING CATALOG - FZN &amp; CHILL'!C755,"AAAAAG+XnTI=")</f>
        <v>#VALUE!</v>
      </c>
      <c r="AZ277" t="e">
        <f>AND('STERLING CATALOG - FZN &amp; CHILL'!D755,"AAAAAG+XnTM=")</f>
        <v>#VALUE!</v>
      </c>
      <c r="BA277" t="e">
        <f>AND('STERLING CATALOG - FZN &amp; CHILL'!E755,"AAAAAG+XnTQ=")</f>
        <v>#VALUE!</v>
      </c>
      <c r="BB277" t="e">
        <f>AND('STERLING CATALOG - FZN &amp; CHILL'!F755,"AAAAAG+XnTU=")</f>
        <v>#VALUE!</v>
      </c>
      <c r="BC277" t="e">
        <f>AND('STERLING CATALOG - FZN &amp; CHILL'!G755,"AAAAAG+XnTY=")</f>
        <v>#VALUE!</v>
      </c>
      <c r="BD277" t="e">
        <f>AND('STERLING CATALOG - FZN &amp; CHILL'!H755,"AAAAAG+XnTc=")</f>
        <v>#VALUE!</v>
      </c>
      <c r="BE277" t="e">
        <f>AND('STERLING CATALOG - FZN &amp; CHILL'!I755,"AAAAAG+XnTg=")</f>
        <v>#VALUE!</v>
      </c>
      <c r="BF277" t="e">
        <f>AND('STERLING CATALOG - FZN &amp; CHILL'!J755,"AAAAAG+XnTk=")</f>
        <v>#VALUE!</v>
      </c>
      <c r="BG277">
        <f>IF('STERLING CATALOG - FZN &amp; CHILL'!756:756,"AAAAAG+XnTo=",0)</f>
        <v>0</v>
      </c>
      <c r="BH277" t="e">
        <f>AND('STERLING CATALOG - FZN &amp; CHILL'!A756,"AAAAAG+XnTs=")</f>
        <v>#VALUE!</v>
      </c>
      <c r="BI277" t="e">
        <f>AND('STERLING CATALOG - FZN &amp; CHILL'!B756,"AAAAAG+XnTw=")</f>
        <v>#VALUE!</v>
      </c>
      <c r="BJ277" t="e">
        <f>AND('STERLING CATALOG - FZN &amp; CHILL'!C756,"AAAAAG+XnT0=")</f>
        <v>#VALUE!</v>
      </c>
      <c r="BK277" t="e">
        <f>AND('STERLING CATALOG - FZN &amp; CHILL'!D756,"AAAAAG+XnT4=")</f>
        <v>#VALUE!</v>
      </c>
      <c r="BL277" t="e">
        <f>AND('STERLING CATALOG - FZN &amp; CHILL'!E756,"AAAAAG+XnT8=")</f>
        <v>#VALUE!</v>
      </c>
      <c r="BM277" t="e">
        <f>AND('STERLING CATALOG - FZN &amp; CHILL'!F756,"AAAAAG+XnUA=")</f>
        <v>#VALUE!</v>
      </c>
      <c r="BN277" t="e">
        <f>AND('STERLING CATALOG - FZN &amp; CHILL'!G756,"AAAAAG+XnUE=")</f>
        <v>#VALUE!</v>
      </c>
      <c r="BO277" t="e">
        <f>AND('STERLING CATALOG - FZN &amp; CHILL'!H756,"AAAAAG+XnUI=")</f>
        <v>#VALUE!</v>
      </c>
      <c r="BP277" t="e">
        <f>AND('STERLING CATALOG - FZN &amp; CHILL'!I756,"AAAAAG+XnUM=")</f>
        <v>#VALUE!</v>
      </c>
      <c r="BQ277" t="e">
        <f>AND('STERLING CATALOG - FZN &amp; CHILL'!J756,"AAAAAG+XnUQ=")</f>
        <v>#VALUE!</v>
      </c>
      <c r="BR277">
        <f>IF('STERLING CATALOG - FZN &amp; CHILL'!757:757,"AAAAAG+XnUU=",0)</f>
        <v>0</v>
      </c>
      <c r="BS277" t="e">
        <f>AND('STERLING CATALOG - FZN &amp; CHILL'!A757,"AAAAAG+XnUY=")</f>
        <v>#VALUE!</v>
      </c>
      <c r="BT277" t="e">
        <f>AND('STERLING CATALOG - FZN &amp; CHILL'!B757,"AAAAAG+XnUc=")</f>
        <v>#VALUE!</v>
      </c>
      <c r="BU277" t="e">
        <f>AND('STERLING CATALOG - FZN &amp; CHILL'!C757,"AAAAAG+XnUg=")</f>
        <v>#VALUE!</v>
      </c>
      <c r="BV277" t="e">
        <f>AND('STERLING CATALOG - FZN &amp; CHILL'!D757,"AAAAAG+XnUk=")</f>
        <v>#VALUE!</v>
      </c>
      <c r="BW277" t="e">
        <f>AND('STERLING CATALOG - FZN &amp; CHILL'!E757,"AAAAAG+XnUo=")</f>
        <v>#VALUE!</v>
      </c>
      <c r="BX277" t="e">
        <f>AND('STERLING CATALOG - FZN &amp; CHILL'!F757,"AAAAAG+XnUs=")</f>
        <v>#VALUE!</v>
      </c>
      <c r="BY277" t="e">
        <f>AND('STERLING CATALOG - FZN &amp; CHILL'!G757,"AAAAAG+XnUw=")</f>
        <v>#VALUE!</v>
      </c>
      <c r="BZ277" t="e">
        <f>AND('STERLING CATALOG - FZN &amp; CHILL'!H757,"AAAAAG+XnU0=")</f>
        <v>#VALUE!</v>
      </c>
      <c r="CA277" t="e">
        <f>AND('STERLING CATALOG - FZN &amp; CHILL'!I757,"AAAAAG+XnU4=")</f>
        <v>#VALUE!</v>
      </c>
      <c r="CB277" t="e">
        <f>AND('STERLING CATALOG - FZN &amp; CHILL'!J757,"AAAAAG+XnU8=")</f>
        <v>#VALUE!</v>
      </c>
      <c r="CC277">
        <f>IF('STERLING CATALOG - FZN &amp; CHILL'!758:758,"AAAAAG+XnVA=",0)</f>
        <v>0</v>
      </c>
      <c r="CD277" t="e">
        <f>AND('STERLING CATALOG - FZN &amp; CHILL'!A758,"AAAAAG+XnVE=")</f>
        <v>#VALUE!</v>
      </c>
      <c r="CE277" t="e">
        <f>AND('STERLING CATALOG - FZN &amp; CHILL'!B758,"AAAAAG+XnVI=")</f>
        <v>#VALUE!</v>
      </c>
      <c r="CF277" t="e">
        <f>AND('STERLING CATALOG - FZN &amp; CHILL'!C758,"AAAAAG+XnVM=")</f>
        <v>#VALUE!</v>
      </c>
      <c r="CG277" t="e">
        <f>AND('STERLING CATALOG - FZN &amp; CHILL'!D758,"AAAAAG+XnVQ=")</f>
        <v>#VALUE!</v>
      </c>
      <c r="CH277" t="e">
        <f>AND('STERLING CATALOG - FZN &amp; CHILL'!E758,"AAAAAG+XnVU=")</f>
        <v>#VALUE!</v>
      </c>
      <c r="CI277" t="e">
        <f>AND('STERLING CATALOG - FZN &amp; CHILL'!F758,"AAAAAG+XnVY=")</f>
        <v>#VALUE!</v>
      </c>
      <c r="CJ277" t="e">
        <f>AND('STERLING CATALOG - FZN &amp; CHILL'!G758,"AAAAAG+XnVc=")</f>
        <v>#VALUE!</v>
      </c>
      <c r="CK277" t="e">
        <f>AND('STERLING CATALOG - FZN &amp; CHILL'!H758,"AAAAAG+XnVg=")</f>
        <v>#VALUE!</v>
      </c>
      <c r="CL277" t="e">
        <f>AND('STERLING CATALOG - FZN &amp; CHILL'!I758,"AAAAAG+XnVk=")</f>
        <v>#VALUE!</v>
      </c>
      <c r="CM277" t="e">
        <f>AND('STERLING CATALOG - FZN &amp; CHILL'!J758,"AAAAAG+XnVo=")</f>
        <v>#VALUE!</v>
      </c>
      <c r="CN277">
        <f>IF('STERLING CATALOG - FZN &amp; CHILL'!759:759,"AAAAAG+XnVs=",0)</f>
        <v>0</v>
      </c>
      <c r="CO277" t="e">
        <f>AND('STERLING CATALOG - FZN &amp; CHILL'!A759,"AAAAAG+XnVw=")</f>
        <v>#VALUE!</v>
      </c>
      <c r="CP277" t="e">
        <f>AND('STERLING CATALOG - FZN &amp; CHILL'!B759,"AAAAAG+XnV0=")</f>
        <v>#VALUE!</v>
      </c>
      <c r="CQ277" t="e">
        <f>AND('STERLING CATALOG - FZN &amp; CHILL'!C759,"AAAAAG+XnV4=")</f>
        <v>#VALUE!</v>
      </c>
      <c r="CR277" t="e">
        <f>AND('STERLING CATALOG - FZN &amp; CHILL'!D759,"AAAAAG+XnV8=")</f>
        <v>#VALUE!</v>
      </c>
      <c r="CS277" t="e">
        <f>AND('STERLING CATALOG - FZN &amp; CHILL'!E759,"AAAAAG+XnWA=")</f>
        <v>#VALUE!</v>
      </c>
      <c r="CT277" t="e">
        <f>AND('STERLING CATALOG - FZN &amp; CHILL'!F759,"AAAAAG+XnWE=")</f>
        <v>#VALUE!</v>
      </c>
      <c r="CU277" t="e">
        <f>AND('STERLING CATALOG - FZN &amp; CHILL'!G759,"AAAAAG+XnWI=")</f>
        <v>#VALUE!</v>
      </c>
      <c r="CV277" t="e">
        <f>AND('STERLING CATALOG - FZN &amp; CHILL'!H759,"AAAAAG+XnWM=")</f>
        <v>#VALUE!</v>
      </c>
      <c r="CW277" t="e">
        <f>AND('STERLING CATALOG - FZN &amp; CHILL'!I759,"AAAAAG+XnWQ=")</f>
        <v>#VALUE!</v>
      </c>
      <c r="CX277" t="e">
        <f>AND('STERLING CATALOG - FZN &amp; CHILL'!J759,"AAAAAG+XnWU=")</f>
        <v>#VALUE!</v>
      </c>
      <c r="CY277">
        <f>IF('STERLING CATALOG - FZN &amp; CHILL'!760:760,"AAAAAG+XnWY=",0)</f>
        <v>0</v>
      </c>
      <c r="CZ277" t="e">
        <f>AND('STERLING CATALOG - FZN &amp; CHILL'!A760,"AAAAAG+XnWc=")</f>
        <v>#VALUE!</v>
      </c>
      <c r="DA277" t="e">
        <f>AND('STERLING CATALOG - FZN &amp; CHILL'!B760,"AAAAAG+XnWg=")</f>
        <v>#VALUE!</v>
      </c>
      <c r="DB277" t="e">
        <f>AND('STERLING CATALOG - FZN &amp; CHILL'!C760,"AAAAAG+XnWk=")</f>
        <v>#VALUE!</v>
      </c>
      <c r="DC277" t="e">
        <f>AND('STERLING CATALOG - FZN &amp; CHILL'!D760,"AAAAAG+XnWo=")</f>
        <v>#VALUE!</v>
      </c>
      <c r="DD277" t="e">
        <f>AND('STERLING CATALOG - FZN &amp; CHILL'!E760,"AAAAAG+XnWs=")</f>
        <v>#VALUE!</v>
      </c>
      <c r="DE277" t="e">
        <f>AND('STERLING CATALOG - FZN &amp; CHILL'!F760,"AAAAAG+XnWw=")</f>
        <v>#VALUE!</v>
      </c>
      <c r="DF277" t="e">
        <f>AND('STERLING CATALOG - FZN &amp; CHILL'!G760,"AAAAAG+XnW0=")</f>
        <v>#VALUE!</v>
      </c>
      <c r="DG277" t="e">
        <f>AND('STERLING CATALOG - FZN &amp; CHILL'!H760,"AAAAAG+XnW4=")</f>
        <v>#VALUE!</v>
      </c>
      <c r="DH277" t="e">
        <f>AND('STERLING CATALOG - FZN &amp; CHILL'!I760,"AAAAAG+XnW8=")</f>
        <v>#VALUE!</v>
      </c>
      <c r="DI277" t="e">
        <f>AND('STERLING CATALOG - FZN &amp; CHILL'!J760,"AAAAAG+XnXA=")</f>
        <v>#VALUE!</v>
      </c>
      <c r="DJ277">
        <f>IF('STERLING CATALOG - FZN &amp; CHILL'!761:761,"AAAAAG+XnXE=",0)</f>
        <v>0</v>
      </c>
      <c r="DK277" t="e">
        <f>AND('STERLING CATALOG - FZN &amp; CHILL'!A761,"AAAAAG+XnXI=")</f>
        <v>#VALUE!</v>
      </c>
      <c r="DL277" t="e">
        <f>AND('STERLING CATALOG - FZN &amp; CHILL'!B761,"AAAAAG+XnXM=")</f>
        <v>#VALUE!</v>
      </c>
      <c r="DM277" t="e">
        <f>AND('STERLING CATALOG - FZN &amp; CHILL'!C761,"AAAAAG+XnXQ=")</f>
        <v>#VALUE!</v>
      </c>
      <c r="DN277" t="e">
        <f>AND('STERLING CATALOG - FZN &amp; CHILL'!D761,"AAAAAG+XnXU=")</f>
        <v>#VALUE!</v>
      </c>
      <c r="DO277" t="e">
        <f>AND('STERLING CATALOG - FZN &amp; CHILL'!E761,"AAAAAG+XnXY=")</f>
        <v>#VALUE!</v>
      </c>
      <c r="DP277" t="e">
        <f>AND('STERLING CATALOG - FZN &amp; CHILL'!F761,"AAAAAG+XnXc=")</f>
        <v>#VALUE!</v>
      </c>
      <c r="DQ277" t="e">
        <f>AND('STERLING CATALOG - FZN &amp; CHILL'!G761,"AAAAAG+XnXg=")</f>
        <v>#VALUE!</v>
      </c>
      <c r="DR277" t="e">
        <f>AND('STERLING CATALOG - FZN &amp; CHILL'!H761,"AAAAAG+XnXk=")</f>
        <v>#VALUE!</v>
      </c>
      <c r="DS277" t="e">
        <f>AND('STERLING CATALOG - FZN &amp; CHILL'!I761,"AAAAAG+XnXo=")</f>
        <v>#VALUE!</v>
      </c>
      <c r="DT277" t="e">
        <f>AND('STERLING CATALOG - FZN &amp; CHILL'!J761,"AAAAAG+XnXs=")</f>
        <v>#VALUE!</v>
      </c>
      <c r="DU277">
        <f>IF('STERLING CATALOG - FZN &amp; CHILL'!762:762,"AAAAAG+XnXw=",0)</f>
        <v>0</v>
      </c>
      <c r="DV277" t="e">
        <f>AND('STERLING CATALOG - FZN &amp; CHILL'!A762,"AAAAAG+XnX0=")</f>
        <v>#VALUE!</v>
      </c>
      <c r="DW277" t="e">
        <f>AND('STERLING CATALOG - FZN &amp; CHILL'!B762,"AAAAAG+XnX4=")</f>
        <v>#VALUE!</v>
      </c>
      <c r="DX277" t="e">
        <f>AND('STERLING CATALOG - FZN &amp; CHILL'!C762,"AAAAAG+XnX8=")</f>
        <v>#VALUE!</v>
      </c>
      <c r="DY277" t="e">
        <f>AND('STERLING CATALOG - FZN &amp; CHILL'!D762,"AAAAAG+XnYA=")</f>
        <v>#VALUE!</v>
      </c>
      <c r="DZ277" t="e">
        <f>AND('STERLING CATALOG - FZN &amp; CHILL'!E762,"AAAAAG+XnYE=")</f>
        <v>#VALUE!</v>
      </c>
      <c r="EA277" t="e">
        <f>AND('STERLING CATALOG - FZN &amp; CHILL'!F762,"AAAAAG+XnYI=")</f>
        <v>#VALUE!</v>
      </c>
      <c r="EB277" t="e">
        <f>AND('STERLING CATALOG - FZN &amp; CHILL'!G762,"AAAAAG+XnYM=")</f>
        <v>#VALUE!</v>
      </c>
      <c r="EC277" t="e">
        <f>AND('STERLING CATALOG - FZN &amp; CHILL'!H762,"AAAAAG+XnYQ=")</f>
        <v>#VALUE!</v>
      </c>
      <c r="ED277" t="e">
        <f>AND('STERLING CATALOG - FZN &amp; CHILL'!I762,"AAAAAG+XnYU=")</f>
        <v>#VALUE!</v>
      </c>
      <c r="EE277" t="e">
        <f>AND('STERLING CATALOG - FZN &amp; CHILL'!J762,"AAAAAG+XnYY=")</f>
        <v>#VALUE!</v>
      </c>
      <c r="EF277">
        <f>IF('STERLING CATALOG - FZN &amp; CHILL'!763:763,"AAAAAG+XnYc=",0)</f>
        <v>0</v>
      </c>
      <c r="EG277" t="e">
        <f>AND('STERLING CATALOG - FZN &amp; CHILL'!A763,"AAAAAG+XnYg=")</f>
        <v>#VALUE!</v>
      </c>
      <c r="EH277" t="e">
        <f>AND('STERLING CATALOG - FZN &amp; CHILL'!B763,"AAAAAG+XnYk=")</f>
        <v>#VALUE!</v>
      </c>
      <c r="EI277" t="e">
        <f>AND('STERLING CATALOG - FZN &amp; CHILL'!C763,"AAAAAG+XnYo=")</f>
        <v>#VALUE!</v>
      </c>
      <c r="EJ277" t="e">
        <f>AND('STERLING CATALOG - FZN &amp; CHILL'!D763,"AAAAAG+XnYs=")</f>
        <v>#VALUE!</v>
      </c>
      <c r="EK277" t="e">
        <f>AND('STERLING CATALOG - FZN &amp; CHILL'!E763,"AAAAAG+XnYw=")</f>
        <v>#VALUE!</v>
      </c>
      <c r="EL277" t="e">
        <f>AND('STERLING CATALOG - FZN &amp; CHILL'!F763,"AAAAAG+XnY0=")</f>
        <v>#VALUE!</v>
      </c>
      <c r="EM277" t="e">
        <f>AND('STERLING CATALOG - FZN &amp; CHILL'!G763,"AAAAAG+XnY4=")</f>
        <v>#VALUE!</v>
      </c>
      <c r="EN277" t="e">
        <f>AND('STERLING CATALOG - FZN &amp; CHILL'!H763,"AAAAAG+XnY8=")</f>
        <v>#VALUE!</v>
      </c>
      <c r="EO277" t="e">
        <f>AND('STERLING CATALOG - FZN &amp; CHILL'!I763,"AAAAAG+XnZA=")</f>
        <v>#VALUE!</v>
      </c>
      <c r="EP277" t="e">
        <f>AND('STERLING CATALOG - FZN &amp; CHILL'!J763,"AAAAAG+XnZE=")</f>
        <v>#VALUE!</v>
      </c>
      <c r="EQ277">
        <f>IF('STERLING CATALOG - FZN &amp; CHILL'!764:764,"AAAAAG+XnZI=",0)</f>
        <v>0</v>
      </c>
      <c r="ER277" t="e">
        <f>AND('STERLING CATALOG - FZN &amp; CHILL'!A764,"AAAAAG+XnZM=")</f>
        <v>#VALUE!</v>
      </c>
      <c r="ES277" t="e">
        <f>AND('STERLING CATALOG - FZN &amp; CHILL'!B764,"AAAAAG+XnZQ=")</f>
        <v>#VALUE!</v>
      </c>
      <c r="ET277" t="e">
        <f>AND('STERLING CATALOG - FZN &amp; CHILL'!C764,"AAAAAG+XnZU=")</f>
        <v>#VALUE!</v>
      </c>
      <c r="EU277" t="e">
        <f>AND('STERLING CATALOG - FZN &amp; CHILL'!D764,"AAAAAG+XnZY=")</f>
        <v>#VALUE!</v>
      </c>
      <c r="EV277" t="e">
        <f>AND('STERLING CATALOG - FZN &amp; CHILL'!E764,"AAAAAG+XnZc=")</f>
        <v>#VALUE!</v>
      </c>
      <c r="EW277" t="e">
        <f>AND('STERLING CATALOG - FZN &amp; CHILL'!F764,"AAAAAG+XnZg=")</f>
        <v>#VALUE!</v>
      </c>
      <c r="EX277" t="e">
        <f>AND('STERLING CATALOG - FZN &amp; CHILL'!G764,"AAAAAG+XnZk=")</f>
        <v>#VALUE!</v>
      </c>
      <c r="EY277" t="e">
        <f>AND('STERLING CATALOG - FZN &amp; CHILL'!H764,"AAAAAG+XnZo=")</f>
        <v>#VALUE!</v>
      </c>
      <c r="EZ277" t="e">
        <f>AND('STERLING CATALOG - FZN &amp; CHILL'!I764,"AAAAAG+XnZs=")</f>
        <v>#VALUE!</v>
      </c>
      <c r="FA277" t="e">
        <f>AND('STERLING CATALOG - FZN &amp; CHILL'!J764,"AAAAAG+XnZw=")</f>
        <v>#VALUE!</v>
      </c>
      <c r="FB277">
        <f>IF('STERLING CATALOG - FZN &amp; CHILL'!765:765,"AAAAAG+XnZ0=",0)</f>
        <v>0</v>
      </c>
      <c r="FC277" t="e">
        <f>AND('STERLING CATALOG - FZN &amp; CHILL'!A765,"AAAAAG+XnZ4=")</f>
        <v>#VALUE!</v>
      </c>
      <c r="FD277" t="e">
        <f>AND('STERLING CATALOG - FZN &amp; CHILL'!B765,"AAAAAG+XnZ8=")</f>
        <v>#VALUE!</v>
      </c>
      <c r="FE277" t="e">
        <f>AND('STERLING CATALOG - FZN &amp; CHILL'!C765,"AAAAAG+XnaA=")</f>
        <v>#VALUE!</v>
      </c>
      <c r="FF277" t="e">
        <f>AND('STERLING CATALOG - FZN &amp; CHILL'!D765,"AAAAAG+XnaE=")</f>
        <v>#VALUE!</v>
      </c>
      <c r="FG277" t="e">
        <f>AND('STERLING CATALOG - FZN &amp; CHILL'!E765,"AAAAAG+XnaI=")</f>
        <v>#VALUE!</v>
      </c>
      <c r="FH277" t="e">
        <f>AND('STERLING CATALOG - FZN &amp; CHILL'!F765,"AAAAAG+XnaM=")</f>
        <v>#VALUE!</v>
      </c>
      <c r="FI277" t="e">
        <f>AND('STERLING CATALOG - FZN &amp; CHILL'!G765,"AAAAAG+XnaQ=")</f>
        <v>#VALUE!</v>
      </c>
      <c r="FJ277" t="e">
        <f>AND('STERLING CATALOG - FZN &amp; CHILL'!H765,"AAAAAG+XnaU=")</f>
        <v>#VALUE!</v>
      </c>
      <c r="FK277" t="e">
        <f>AND('STERLING CATALOG - FZN &amp; CHILL'!I765,"AAAAAG+XnaY=")</f>
        <v>#VALUE!</v>
      </c>
      <c r="FL277" t="e">
        <f>AND('STERLING CATALOG - FZN &amp; CHILL'!J765,"AAAAAG+Xnac=")</f>
        <v>#VALUE!</v>
      </c>
      <c r="FM277">
        <f>IF('STERLING CATALOG - FZN &amp; CHILL'!766:766,"AAAAAG+Xnag=",0)</f>
        <v>0</v>
      </c>
      <c r="FN277" t="e">
        <f>AND('STERLING CATALOG - FZN &amp; CHILL'!A766,"AAAAAG+Xnak=")</f>
        <v>#VALUE!</v>
      </c>
      <c r="FO277" t="e">
        <f>AND('STERLING CATALOG - FZN &amp; CHILL'!B766,"AAAAAG+Xnao=")</f>
        <v>#VALUE!</v>
      </c>
      <c r="FP277" t="e">
        <f>AND('STERLING CATALOG - FZN &amp; CHILL'!C766,"AAAAAG+Xnas=")</f>
        <v>#VALUE!</v>
      </c>
      <c r="FQ277" t="e">
        <f>AND('STERLING CATALOG - FZN &amp; CHILL'!D766,"AAAAAG+Xnaw=")</f>
        <v>#VALUE!</v>
      </c>
      <c r="FR277" t="e">
        <f>AND('STERLING CATALOG - FZN &amp; CHILL'!E766,"AAAAAG+Xna0=")</f>
        <v>#VALUE!</v>
      </c>
      <c r="FS277" t="e">
        <f>AND('STERLING CATALOG - FZN &amp; CHILL'!F766,"AAAAAG+Xna4=")</f>
        <v>#VALUE!</v>
      </c>
      <c r="FT277" t="e">
        <f>AND('STERLING CATALOG - FZN &amp; CHILL'!G766,"AAAAAG+Xna8=")</f>
        <v>#VALUE!</v>
      </c>
      <c r="FU277" t="e">
        <f>AND('STERLING CATALOG - FZN &amp; CHILL'!H766,"AAAAAG+XnbA=")</f>
        <v>#VALUE!</v>
      </c>
      <c r="FV277" t="e">
        <f>AND('STERLING CATALOG - FZN &amp; CHILL'!I766,"AAAAAG+XnbE=")</f>
        <v>#VALUE!</v>
      </c>
      <c r="FW277" t="e">
        <f>AND('STERLING CATALOG - FZN &amp; CHILL'!J766,"AAAAAG+XnbI=")</f>
        <v>#VALUE!</v>
      </c>
      <c r="FX277">
        <f>IF('STERLING CATALOG - FZN &amp; CHILL'!767:767,"AAAAAG+XnbM=",0)</f>
        <v>0</v>
      </c>
      <c r="FY277" t="e">
        <f>AND('STERLING CATALOG - FZN &amp; CHILL'!A767,"AAAAAG+XnbQ=")</f>
        <v>#VALUE!</v>
      </c>
      <c r="FZ277" t="e">
        <f>AND('STERLING CATALOG - FZN &amp; CHILL'!B767,"AAAAAG+XnbU=")</f>
        <v>#VALUE!</v>
      </c>
      <c r="GA277" t="e">
        <f>AND('STERLING CATALOG - FZN &amp; CHILL'!C767,"AAAAAG+XnbY=")</f>
        <v>#VALUE!</v>
      </c>
      <c r="GB277" t="e">
        <f>AND('STERLING CATALOG - FZN &amp; CHILL'!D767,"AAAAAG+Xnbc=")</f>
        <v>#VALUE!</v>
      </c>
      <c r="GC277" t="e">
        <f>AND('STERLING CATALOG - FZN &amp; CHILL'!E767,"AAAAAG+Xnbg=")</f>
        <v>#VALUE!</v>
      </c>
      <c r="GD277" t="e">
        <f>AND('STERLING CATALOG - FZN &amp; CHILL'!F767,"AAAAAG+Xnbk=")</f>
        <v>#VALUE!</v>
      </c>
      <c r="GE277" t="e">
        <f>AND('STERLING CATALOG - FZN &amp; CHILL'!G767,"AAAAAG+Xnbo=")</f>
        <v>#VALUE!</v>
      </c>
      <c r="GF277" t="e">
        <f>AND('STERLING CATALOG - FZN &amp; CHILL'!H767,"AAAAAG+Xnbs=")</f>
        <v>#VALUE!</v>
      </c>
      <c r="GG277" t="e">
        <f>AND('STERLING CATALOG - FZN &amp; CHILL'!I767,"AAAAAG+Xnbw=")</f>
        <v>#VALUE!</v>
      </c>
      <c r="GH277" t="e">
        <f>AND('STERLING CATALOG - FZN &amp; CHILL'!J767,"AAAAAG+Xnb0=")</f>
        <v>#VALUE!</v>
      </c>
      <c r="GI277">
        <f>IF('STERLING CATALOG - FZN &amp; CHILL'!768:768,"AAAAAG+Xnb4=",0)</f>
        <v>0</v>
      </c>
      <c r="GJ277" t="e">
        <f>AND('STERLING CATALOG - FZN &amp; CHILL'!A768,"AAAAAG+Xnb8=")</f>
        <v>#VALUE!</v>
      </c>
      <c r="GK277" t="e">
        <f>AND('STERLING CATALOG - FZN &amp; CHILL'!B768,"AAAAAG+XncA=")</f>
        <v>#VALUE!</v>
      </c>
      <c r="GL277" t="e">
        <f>AND('STERLING CATALOG - FZN &amp; CHILL'!C768,"AAAAAG+XncE=")</f>
        <v>#VALUE!</v>
      </c>
      <c r="GM277" t="e">
        <f>AND('STERLING CATALOG - FZN &amp; CHILL'!D768,"AAAAAG+XncI=")</f>
        <v>#VALUE!</v>
      </c>
      <c r="GN277" t="e">
        <f>AND('STERLING CATALOG - FZN &amp; CHILL'!E768,"AAAAAG+XncM=")</f>
        <v>#VALUE!</v>
      </c>
      <c r="GO277" t="e">
        <f>AND('STERLING CATALOG - FZN &amp; CHILL'!F768,"AAAAAG+XncQ=")</f>
        <v>#VALUE!</v>
      </c>
      <c r="GP277" t="e">
        <f>AND('STERLING CATALOG - FZN &amp; CHILL'!G768,"AAAAAG+XncU=")</f>
        <v>#VALUE!</v>
      </c>
      <c r="GQ277" t="e">
        <f>AND('STERLING CATALOG - FZN &amp; CHILL'!H768,"AAAAAG+XncY=")</f>
        <v>#VALUE!</v>
      </c>
      <c r="GR277" t="e">
        <f>AND('STERLING CATALOG - FZN &amp; CHILL'!I768,"AAAAAG+Xncc=")</f>
        <v>#VALUE!</v>
      </c>
      <c r="GS277" t="e">
        <f>AND('STERLING CATALOG - FZN &amp; CHILL'!J768,"AAAAAG+Xncg=")</f>
        <v>#VALUE!</v>
      </c>
      <c r="GT277">
        <f>IF('STERLING CATALOG - FZN &amp; CHILL'!769:769,"AAAAAG+Xnck=",0)</f>
        <v>0</v>
      </c>
      <c r="GU277" t="e">
        <f>AND('STERLING CATALOG - FZN &amp; CHILL'!A769,"AAAAAG+Xnco=")</f>
        <v>#VALUE!</v>
      </c>
      <c r="GV277" t="e">
        <f>AND('STERLING CATALOG - FZN &amp; CHILL'!B769,"AAAAAG+Xncs=")</f>
        <v>#VALUE!</v>
      </c>
      <c r="GW277" t="e">
        <f>AND('STERLING CATALOG - FZN &amp; CHILL'!C769,"AAAAAG+Xncw=")</f>
        <v>#VALUE!</v>
      </c>
      <c r="GX277" t="e">
        <f>AND('STERLING CATALOG - FZN &amp; CHILL'!D769,"AAAAAG+Xnc0=")</f>
        <v>#VALUE!</v>
      </c>
      <c r="GY277" t="e">
        <f>AND('STERLING CATALOG - FZN &amp; CHILL'!E769,"AAAAAG+Xnc4=")</f>
        <v>#VALUE!</v>
      </c>
      <c r="GZ277" t="e">
        <f>AND('STERLING CATALOG - FZN &amp; CHILL'!F769,"AAAAAG+Xnc8=")</f>
        <v>#VALUE!</v>
      </c>
      <c r="HA277" t="e">
        <f>AND('STERLING CATALOG - FZN &amp; CHILL'!G769,"AAAAAG+XndA=")</f>
        <v>#VALUE!</v>
      </c>
      <c r="HB277" t="e">
        <f>AND('STERLING CATALOG - FZN &amp; CHILL'!H769,"AAAAAG+XndE=")</f>
        <v>#VALUE!</v>
      </c>
      <c r="HC277" t="e">
        <f>AND('STERLING CATALOG - FZN &amp; CHILL'!I769,"AAAAAG+XndI=")</f>
        <v>#VALUE!</v>
      </c>
      <c r="HD277" t="e">
        <f>AND('STERLING CATALOG - FZN &amp; CHILL'!J769,"AAAAAG+XndM=")</f>
        <v>#VALUE!</v>
      </c>
      <c r="HE277">
        <f>IF('STERLING CATALOG - FZN &amp; CHILL'!770:770,"AAAAAG+XndQ=",0)</f>
        <v>0</v>
      </c>
      <c r="HF277" t="e">
        <f>AND('STERLING CATALOG - FZN &amp; CHILL'!A770,"AAAAAG+XndU=")</f>
        <v>#VALUE!</v>
      </c>
      <c r="HG277" t="e">
        <f>AND('STERLING CATALOG - FZN &amp; CHILL'!B770,"AAAAAG+XndY=")</f>
        <v>#VALUE!</v>
      </c>
      <c r="HH277" t="e">
        <f>AND('STERLING CATALOG - FZN &amp; CHILL'!C770,"AAAAAG+Xndc=")</f>
        <v>#VALUE!</v>
      </c>
      <c r="HI277" t="e">
        <f>AND('STERLING CATALOG - FZN &amp; CHILL'!D770,"AAAAAG+Xndg=")</f>
        <v>#VALUE!</v>
      </c>
      <c r="HJ277" t="e">
        <f>AND('STERLING CATALOG - FZN &amp; CHILL'!E770,"AAAAAG+Xndk=")</f>
        <v>#VALUE!</v>
      </c>
      <c r="HK277" t="e">
        <f>AND('STERLING CATALOG - FZN &amp; CHILL'!F770,"AAAAAG+Xndo=")</f>
        <v>#VALUE!</v>
      </c>
      <c r="HL277" t="e">
        <f>AND('STERLING CATALOG - FZN &amp; CHILL'!G770,"AAAAAG+Xnds=")</f>
        <v>#VALUE!</v>
      </c>
      <c r="HM277" t="e">
        <f>AND('STERLING CATALOG - FZN &amp; CHILL'!H770,"AAAAAG+Xndw=")</f>
        <v>#VALUE!</v>
      </c>
      <c r="HN277" t="e">
        <f>AND('STERLING CATALOG - FZN &amp; CHILL'!I770,"AAAAAG+Xnd0=")</f>
        <v>#VALUE!</v>
      </c>
      <c r="HO277" t="e">
        <f>AND('STERLING CATALOG - FZN &amp; CHILL'!J770,"AAAAAG+Xnd4=")</f>
        <v>#VALUE!</v>
      </c>
      <c r="HP277">
        <f>IF('STERLING CATALOG - FZN &amp; CHILL'!771:771,"AAAAAG+Xnd8=",0)</f>
        <v>0</v>
      </c>
      <c r="HQ277" t="e">
        <f>AND('STERLING CATALOG - FZN &amp; CHILL'!A771,"AAAAAG+XneA=")</f>
        <v>#VALUE!</v>
      </c>
      <c r="HR277" t="e">
        <f>AND('STERLING CATALOG - FZN &amp; CHILL'!B771,"AAAAAG+XneE=")</f>
        <v>#VALUE!</v>
      </c>
      <c r="HS277" t="e">
        <f>AND('STERLING CATALOG - FZN &amp; CHILL'!C771,"AAAAAG+XneI=")</f>
        <v>#VALUE!</v>
      </c>
      <c r="HT277" t="e">
        <f>AND('STERLING CATALOG - FZN &amp; CHILL'!D771,"AAAAAG+XneM=")</f>
        <v>#VALUE!</v>
      </c>
      <c r="HU277" t="e">
        <f>AND('STERLING CATALOG - FZN &amp; CHILL'!E771,"AAAAAG+XneQ=")</f>
        <v>#VALUE!</v>
      </c>
      <c r="HV277" t="e">
        <f>AND('STERLING CATALOG - FZN &amp; CHILL'!F771,"AAAAAG+XneU=")</f>
        <v>#VALUE!</v>
      </c>
      <c r="HW277" t="e">
        <f>AND('STERLING CATALOG - FZN &amp; CHILL'!G771,"AAAAAG+XneY=")</f>
        <v>#VALUE!</v>
      </c>
      <c r="HX277" t="e">
        <f>AND('STERLING CATALOG - FZN &amp; CHILL'!H771,"AAAAAG+Xnec=")</f>
        <v>#VALUE!</v>
      </c>
      <c r="HY277" t="e">
        <f>AND('STERLING CATALOG - FZN &amp; CHILL'!I771,"AAAAAG+Xneg=")</f>
        <v>#VALUE!</v>
      </c>
      <c r="HZ277" t="e">
        <f>AND('STERLING CATALOG - FZN &amp; CHILL'!J771,"AAAAAG+Xnek=")</f>
        <v>#VALUE!</v>
      </c>
      <c r="IA277">
        <f>IF('STERLING CATALOG - FZN &amp; CHILL'!772:772,"AAAAAG+Xneo=",0)</f>
        <v>0</v>
      </c>
      <c r="IB277" t="e">
        <f>AND('STERLING CATALOG - FZN &amp; CHILL'!A772,"AAAAAG+Xnes=")</f>
        <v>#VALUE!</v>
      </c>
      <c r="IC277" t="e">
        <f>AND('STERLING CATALOG - FZN &amp; CHILL'!B772,"AAAAAG+Xnew=")</f>
        <v>#VALUE!</v>
      </c>
      <c r="ID277" t="e">
        <f>AND('STERLING CATALOG - FZN &amp; CHILL'!C772,"AAAAAG+Xne0=")</f>
        <v>#VALUE!</v>
      </c>
      <c r="IE277" t="e">
        <f>AND('STERLING CATALOG - FZN &amp; CHILL'!D772,"AAAAAG+Xne4=")</f>
        <v>#VALUE!</v>
      </c>
      <c r="IF277" t="e">
        <f>AND('STERLING CATALOG - FZN &amp; CHILL'!E772,"AAAAAG+Xne8=")</f>
        <v>#VALUE!</v>
      </c>
      <c r="IG277" t="e">
        <f>AND('STERLING CATALOG - FZN &amp; CHILL'!F772,"AAAAAG+XnfA=")</f>
        <v>#VALUE!</v>
      </c>
      <c r="IH277" t="e">
        <f>AND('STERLING CATALOG - FZN &amp; CHILL'!G772,"AAAAAG+XnfE=")</f>
        <v>#VALUE!</v>
      </c>
      <c r="II277" t="e">
        <f>AND('STERLING CATALOG - FZN &amp; CHILL'!H772,"AAAAAG+XnfI=")</f>
        <v>#VALUE!</v>
      </c>
      <c r="IJ277" t="e">
        <f>AND('STERLING CATALOG - FZN &amp; CHILL'!I772,"AAAAAG+XnfM=")</f>
        <v>#VALUE!</v>
      </c>
      <c r="IK277" t="e">
        <f>AND('STERLING CATALOG - FZN &amp; CHILL'!J772,"AAAAAG+XnfQ=")</f>
        <v>#VALUE!</v>
      </c>
      <c r="IL277">
        <f>IF('STERLING CATALOG - FZN &amp; CHILL'!773:773,"AAAAAG+XnfU=",0)</f>
        <v>0</v>
      </c>
      <c r="IM277" t="e">
        <f>AND('STERLING CATALOG - FZN &amp; CHILL'!A773,"AAAAAG+XnfY=")</f>
        <v>#VALUE!</v>
      </c>
      <c r="IN277" t="e">
        <f>AND('STERLING CATALOG - FZN &amp; CHILL'!B773,"AAAAAG+Xnfc=")</f>
        <v>#VALUE!</v>
      </c>
      <c r="IO277" t="e">
        <f>AND('STERLING CATALOG - FZN &amp; CHILL'!C773,"AAAAAG+Xnfg=")</f>
        <v>#VALUE!</v>
      </c>
      <c r="IP277" t="e">
        <f>AND('STERLING CATALOG - FZN &amp; CHILL'!D773,"AAAAAG+Xnfk=")</f>
        <v>#VALUE!</v>
      </c>
      <c r="IQ277" t="e">
        <f>AND('STERLING CATALOG - FZN &amp; CHILL'!E773,"AAAAAG+Xnfo=")</f>
        <v>#VALUE!</v>
      </c>
      <c r="IR277" t="e">
        <f>AND('STERLING CATALOG - FZN &amp; CHILL'!F773,"AAAAAG+Xnfs=")</f>
        <v>#VALUE!</v>
      </c>
      <c r="IS277" t="e">
        <f>AND('STERLING CATALOG - FZN &amp; CHILL'!G773,"AAAAAG+Xnfw=")</f>
        <v>#VALUE!</v>
      </c>
      <c r="IT277" t="e">
        <f>AND('STERLING CATALOG - FZN &amp; CHILL'!H773,"AAAAAG+Xnf0=")</f>
        <v>#VALUE!</v>
      </c>
      <c r="IU277" t="e">
        <f>AND('STERLING CATALOG - FZN &amp; CHILL'!I773,"AAAAAG+Xnf4=")</f>
        <v>#VALUE!</v>
      </c>
      <c r="IV277" t="e">
        <f>AND('STERLING CATALOG - FZN &amp; CHILL'!J773,"AAAAAG+Xnf8=")</f>
        <v>#VALUE!</v>
      </c>
    </row>
    <row r="278" spans="1:256">
      <c r="A278" t="str">
        <f>IF('STERLING CATALOG - FZN &amp; CHILL'!774:774,"AAAAAH/17QA=",0)</f>
        <v>AAAAAH/17QA=</v>
      </c>
      <c r="B278" t="e">
        <f>AND('STERLING CATALOG - FZN &amp; CHILL'!A774,"AAAAAH/17QE=")</f>
        <v>#VALUE!</v>
      </c>
      <c r="C278" t="e">
        <f>AND('STERLING CATALOG - FZN &amp; CHILL'!B774,"AAAAAH/17QI=")</f>
        <v>#VALUE!</v>
      </c>
      <c r="D278" t="e">
        <f>AND('STERLING CATALOG - FZN &amp; CHILL'!C774,"AAAAAH/17QM=")</f>
        <v>#VALUE!</v>
      </c>
      <c r="E278" t="e">
        <f>AND('STERLING CATALOG - FZN &amp; CHILL'!D774,"AAAAAH/17QQ=")</f>
        <v>#VALUE!</v>
      </c>
      <c r="F278" t="e">
        <f>AND('STERLING CATALOG - FZN &amp; CHILL'!E774,"AAAAAH/17QU=")</f>
        <v>#VALUE!</v>
      </c>
      <c r="G278" t="e">
        <f>AND('STERLING CATALOG - FZN &amp; CHILL'!F774,"AAAAAH/17QY=")</f>
        <v>#VALUE!</v>
      </c>
      <c r="H278" t="e">
        <f>AND('STERLING CATALOG - FZN &amp; CHILL'!G774,"AAAAAH/17Qc=")</f>
        <v>#VALUE!</v>
      </c>
      <c r="I278" t="e">
        <f>AND('STERLING CATALOG - FZN &amp; CHILL'!H774,"AAAAAH/17Qg=")</f>
        <v>#VALUE!</v>
      </c>
      <c r="J278" t="e">
        <f>AND('STERLING CATALOG - FZN &amp; CHILL'!I774,"AAAAAH/17Qk=")</f>
        <v>#VALUE!</v>
      </c>
      <c r="K278" t="e">
        <f>AND('STERLING CATALOG - FZN &amp; CHILL'!J774,"AAAAAH/17Qo=")</f>
        <v>#VALUE!</v>
      </c>
      <c r="L278">
        <f>IF('STERLING CATALOG - FZN &amp; CHILL'!775:775,"AAAAAH/17Qs=",0)</f>
        <v>0</v>
      </c>
      <c r="M278" t="e">
        <f>AND('STERLING CATALOG - FZN &amp; CHILL'!A775,"AAAAAH/17Qw=")</f>
        <v>#VALUE!</v>
      </c>
      <c r="N278" t="e">
        <f>AND('STERLING CATALOG - FZN &amp; CHILL'!B775,"AAAAAH/17Q0=")</f>
        <v>#VALUE!</v>
      </c>
      <c r="O278" t="e">
        <f>AND('STERLING CATALOG - FZN &amp; CHILL'!C775,"AAAAAH/17Q4=")</f>
        <v>#VALUE!</v>
      </c>
      <c r="P278" t="e">
        <f>AND('STERLING CATALOG - FZN &amp; CHILL'!D775,"AAAAAH/17Q8=")</f>
        <v>#VALUE!</v>
      </c>
      <c r="Q278" t="e">
        <f>AND('STERLING CATALOG - FZN &amp; CHILL'!E775,"AAAAAH/17RA=")</f>
        <v>#VALUE!</v>
      </c>
      <c r="R278" t="e">
        <f>AND('STERLING CATALOG - FZN &amp; CHILL'!F775,"AAAAAH/17RE=")</f>
        <v>#VALUE!</v>
      </c>
      <c r="S278" t="e">
        <f>AND('STERLING CATALOG - FZN &amp; CHILL'!G775,"AAAAAH/17RI=")</f>
        <v>#VALUE!</v>
      </c>
      <c r="T278" t="e">
        <f>AND('STERLING CATALOG - FZN &amp; CHILL'!H775,"AAAAAH/17RM=")</f>
        <v>#VALUE!</v>
      </c>
      <c r="U278" t="e">
        <f>AND('STERLING CATALOG - FZN &amp; CHILL'!I775,"AAAAAH/17RQ=")</f>
        <v>#VALUE!</v>
      </c>
      <c r="V278" t="e">
        <f>AND('STERLING CATALOG - FZN &amp; CHILL'!J775,"AAAAAH/17RU=")</f>
        <v>#VALUE!</v>
      </c>
      <c r="W278">
        <f>IF('STERLING CATALOG - FZN &amp; CHILL'!776:776,"AAAAAH/17RY=",0)</f>
        <v>0</v>
      </c>
      <c r="X278" t="e">
        <f>AND('STERLING CATALOG - FZN &amp; CHILL'!A776,"AAAAAH/17Rc=")</f>
        <v>#VALUE!</v>
      </c>
      <c r="Y278" t="e">
        <f>AND('STERLING CATALOG - FZN &amp; CHILL'!B776,"AAAAAH/17Rg=")</f>
        <v>#VALUE!</v>
      </c>
      <c r="Z278" t="e">
        <f>AND('STERLING CATALOG - FZN &amp; CHILL'!C776,"AAAAAH/17Rk=")</f>
        <v>#VALUE!</v>
      </c>
      <c r="AA278" t="e">
        <f>AND('STERLING CATALOG - FZN &amp; CHILL'!D776,"AAAAAH/17Ro=")</f>
        <v>#VALUE!</v>
      </c>
      <c r="AB278" t="e">
        <f>AND('STERLING CATALOG - FZN &amp; CHILL'!E776,"AAAAAH/17Rs=")</f>
        <v>#VALUE!</v>
      </c>
      <c r="AC278" t="e">
        <f>AND('STERLING CATALOG - FZN &amp; CHILL'!F776,"AAAAAH/17Rw=")</f>
        <v>#VALUE!</v>
      </c>
      <c r="AD278" t="e">
        <f>AND('STERLING CATALOG - FZN &amp; CHILL'!G776,"AAAAAH/17R0=")</f>
        <v>#VALUE!</v>
      </c>
      <c r="AE278" t="e">
        <f>AND('STERLING CATALOG - FZN &amp; CHILL'!H776,"AAAAAH/17R4=")</f>
        <v>#VALUE!</v>
      </c>
      <c r="AF278" t="e">
        <f>AND('STERLING CATALOG - FZN &amp; CHILL'!I776,"AAAAAH/17R8=")</f>
        <v>#VALUE!</v>
      </c>
      <c r="AG278" t="e">
        <f>AND('STERLING CATALOG - FZN &amp; CHILL'!J776,"AAAAAH/17SA=")</f>
        <v>#VALUE!</v>
      </c>
      <c r="AH278">
        <f>IF('STERLING CATALOG - FZN &amp; CHILL'!777:777,"AAAAAH/17SE=",0)</f>
        <v>0</v>
      </c>
      <c r="AI278" t="e">
        <f>AND('STERLING CATALOG - FZN &amp; CHILL'!A777,"AAAAAH/17SI=")</f>
        <v>#VALUE!</v>
      </c>
      <c r="AJ278" t="e">
        <f>AND('STERLING CATALOG - FZN &amp; CHILL'!B777,"AAAAAH/17SM=")</f>
        <v>#VALUE!</v>
      </c>
      <c r="AK278" t="e">
        <f>AND('STERLING CATALOG - FZN &amp; CHILL'!C777,"AAAAAH/17SQ=")</f>
        <v>#VALUE!</v>
      </c>
      <c r="AL278" t="e">
        <f>AND('STERLING CATALOG - FZN &amp; CHILL'!D777,"AAAAAH/17SU=")</f>
        <v>#VALUE!</v>
      </c>
      <c r="AM278" t="e">
        <f>AND('STERLING CATALOG - FZN &amp; CHILL'!E777,"AAAAAH/17SY=")</f>
        <v>#VALUE!</v>
      </c>
      <c r="AN278" t="e">
        <f>AND('STERLING CATALOG - FZN &amp; CHILL'!F777,"AAAAAH/17Sc=")</f>
        <v>#VALUE!</v>
      </c>
      <c r="AO278" t="e">
        <f>AND('STERLING CATALOG - FZN &amp; CHILL'!G777,"AAAAAH/17Sg=")</f>
        <v>#VALUE!</v>
      </c>
      <c r="AP278" t="e">
        <f>AND('STERLING CATALOG - FZN &amp; CHILL'!H777,"AAAAAH/17Sk=")</f>
        <v>#VALUE!</v>
      </c>
      <c r="AQ278" t="e">
        <f>AND('STERLING CATALOG - FZN &amp; CHILL'!I777,"AAAAAH/17So=")</f>
        <v>#VALUE!</v>
      </c>
      <c r="AR278" t="e">
        <f>AND('STERLING CATALOG - FZN &amp; CHILL'!J777,"AAAAAH/17Ss=")</f>
        <v>#VALUE!</v>
      </c>
      <c r="AS278">
        <f>IF('STERLING CATALOG - FZN &amp; CHILL'!778:778,"AAAAAH/17Sw=",0)</f>
        <v>0</v>
      </c>
      <c r="AT278" t="e">
        <f>AND('STERLING CATALOG - FZN &amp; CHILL'!A778,"AAAAAH/17S0=")</f>
        <v>#VALUE!</v>
      </c>
      <c r="AU278" t="e">
        <f>AND('STERLING CATALOG - FZN &amp; CHILL'!B778,"AAAAAH/17S4=")</f>
        <v>#VALUE!</v>
      </c>
      <c r="AV278" t="e">
        <f>AND('STERLING CATALOG - FZN &amp; CHILL'!C778,"AAAAAH/17S8=")</f>
        <v>#VALUE!</v>
      </c>
      <c r="AW278" t="e">
        <f>AND('STERLING CATALOG - FZN &amp; CHILL'!D778,"AAAAAH/17TA=")</f>
        <v>#VALUE!</v>
      </c>
      <c r="AX278" t="e">
        <f>AND('STERLING CATALOG - FZN &amp; CHILL'!E778,"AAAAAH/17TE=")</f>
        <v>#VALUE!</v>
      </c>
      <c r="AY278" t="e">
        <f>AND('STERLING CATALOG - FZN &amp; CHILL'!F778,"AAAAAH/17TI=")</f>
        <v>#VALUE!</v>
      </c>
      <c r="AZ278" t="e">
        <f>AND('STERLING CATALOG - FZN &amp; CHILL'!G778,"AAAAAH/17TM=")</f>
        <v>#VALUE!</v>
      </c>
      <c r="BA278" t="e">
        <f>AND('STERLING CATALOG - FZN &amp; CHILL'!H778,"AAAAAH/17TQ=")</f>
        <v>#VALUE!</v>
      </c>
      <c r="BB278" t="e">
        <f>AND('STERLING CATALOG - FZN &amp; CHILL'!I778,"AAAAAH/17TU=")</f>
        <v>#VALUE!</v>
      </c>
      <c r="BC278" t="e">
        <f>AND('STERLING CATALOG - FZN &amp; CHILL'!J778,"AAAAAH/17TY=")</f>
        <v>#VALUE!</v>
      </c>
      <c r="BD278">
        <f>IF('STERLING CATALOG - FZN &amp; CHILL'!779:779,"AAAAAH/17Tc=",0)</f>
        <v>0</v>
      </c>
      <c r="BE278" t="e">
        <f>AND('STERLING CATALOG - FZN &amp; CHILL'!A779,"AAAAAH/17Tg=")</f>
        <v>#VALUE!</v>
      </c>
      <c r="BF278" t="e">
        <f>AND('STERLING CATALOG - FZN &amp; CHILL'!B779,"AAAAAH/17Tk=")</f>
        <v>#VALUE!</v>
      </c>
      <c r="BG278" t="e">
        <f>AND('STERLING CATALOG - FZN &amp; CHILL'!C779,"AAAAAH/17To=")</f>
        <v>#VALUE!</v>
      </c>
      <c r="BH278" t="e">
        <f>AND('STERLING CATALOG - FZN &amp; CHILL'!D779,"AAAAAH/17Ts=")</f>
        <v>#VALUE!</v>
      </c>
      <c r="BI278" t="e">
        <f>AND('STERLING CATALOG - FZN &amp; CHILL'!E779,"AAAAAH/17Tw=")</f>
        <v>#VALUE!</v>
      </c>
      <c r="BJ278" t="e">
        <f>AND('STERLING CATALOG - FZN &amp; CHILL'!F779,"AAAAAH/17T0=")</f>
        <v>#VALUE!</v>
      </c>
      <c r="BK278" t="e">
        <f>AND('STERLING CATALOG - FZN &amp; CHILL'!G779,"AAAAAH/17T4=")</f>
        <v>#VALUE!</v>
      </c>
      <c r="BL278" t="e">
        <f>AND('STERLING CATALOG - FZN &amp; CHILL'!H779,"AAAAAH/17T8=")</f>
        <v>#VALUE!</v>
      </c>
      <c r="BM278" t="e">
        <f>AND('STERLING CATALOG - FZN &amp; CHILL'!I779,"AAAAAH/17UA=")</f>
        <v>#VALUE!</v>
      </c>
      <c r="BN278" t="e">
        <f>AND('STERLING CATALOG - FZN &amp; CHILL'!J779,"AAAAAH/17UE=")</f>
        <v>#VALUE!</v>
      </c>
      <c r="BO278">
        <f>IF('STERLING CATALOG - FZN &amp; CHILL'!780:780,"AAAAAH/17UI=",0)</f>
        <v>0</v>
      </c>
      <c r="BP278" t="e">
        <f>AND('STERLING CATALOG - FZN &amp; CHILL'!A780,"AAAAAH/17UM=")</f>
        <v>#VALUE!</v>
      </c>
      <c r="BQ278" t="e">
        <f>AND('STERLING CATALOG - FZN &amp; CHILL'!B780,"AAAAAH/17UQ=")</f>
        <v>#VALUE!</v>
      </c>
      <c r="BR278" t="e">
        <f>AND('STERLING CATALOG - FZN &amp; CHILL'!C780,"AAAAAH/17UU=")</f>
        <v>#VALUE!</v>
      </c>
      <c r="BS278" t="e">
        <f>AND('STERLING CATALOG - FZN &amp; CHILL'!D780,"AAAAAH/17UY=")</f>
        <v>#VALUE!</v>
      </c>
      <c r="BT278" t="e">
        <f>AND('STERLING CATALOG - FZN &amp; CHILL'!E780,"AAAAAH/17Uc=")</f>
        <v>#VALUE!</v>
      </c>
      <c r="BU278" t="e">
        <f>AND('STERLING CATALOG - FZN &amp; CHILL'!F780,"AAAAAH/17Ug=")</f>
        <v>#VALUE!</v>
      </c>
      <c r="BV278" t="e">
        <f>AND('STERLING CATALOG - FZN &amp; CHILL'!G780,"AAAAAH/17Uk=")</f>
        <v>#VALUE!</v>
      </c>
      <c r="BW278" t="e">
        <f>AND('STERLING CATALOG - FZN &amp; CHILL'!H780,"AAAAAH/17Uo=")</f>
        <v>#VALUE!</v>
      </c>
      <c r="BX278" t="e">
        <f>AND('STERLING CATALOG - FZN &amp; CHILL'!I780,"AAAAAH/17Us=")</f>
        <v>#VALUE!</v>
      </c>
      <c r="BY278" t="e">
        <f>AND('STERLING CATALOG - FZN &amp; CHILL'!J780,"AAAAAH/17Uw=")</f>
        <v>#VALUE!</v>
      </c>
      <c r="BZ278">
        <f>IF('STERLING CATALOG - FZN &amp; CHILL'!781:781,"AAAAAH/17U0=",0)</f>
        <v>0</v>
      </c>
      <c r="CA278" t="e">
        <f>AND('STERLING CATALOG - FZN &amp; CHILL'!A781,"AAAAAH/17U4=")</f>
        <v>#VALUE!</v>
      </c>
      <c r="CB278" t="e">
        <f>AND('STERLING CATALOG - FZN &amp; CHILL'!B781,"AAAAAH/17U8=")</f>
        <v>#VALUE!</v>
      </c>
      <c r="CC278" t="e">
        <f>AND('STERLING CATALOG - FZN &amp; CHILL'!C781,"AAAAAH/17VA=")</f>
        <v>#VALUE!</v>
      </c>
      <c r="CD278" t="e">
        <f>AND('STERLING CATALOG - FZN &amp; CHILL'!D781,"AAAAAH/17VE=")</f>
        <v>#VALUE!</v>
      </c>
      <c r="CE278" t="e">
        <f>AND('STERLING CATALOG - FZN &amp; CHILL'!E781,"AAAAAH/17VI=")</f>
        <v>#VALUE!</v>
      </c>
      <c r="CF278" t="e">
        <f>AND('STERLING CATALOG - FZN &amp; CHILL'!F781,"AAAAAH/17VM=")</f>
        <v>#VALUE!</v>
      </c>
      <c r="CG278" t="e">
        <f>AND('STERLING CATALOG - FZN &amp; CHILL'!G781,"AAAAAH/17VQ=")</f>
        <v>#VALUE!</v>
      </c>
      <c r="CH278" t="e">
        <f>AND('STERLING CATALOG - FZN &amp; CHILL'!H781,"AAAAAH/17VU=")</f>
        <v>#VALUE!</v>
      </c>
      <c r="CI278" t="e">
        <f>AND('STERLING CATALOG - FZN &amp; CHILL'!I781,"AAAAAH/17VY=")</f>
        <v>#VALUE!</v>
      </c>
      <c r="CJ278" t="e">
        <f>AND('STERLING CATALOG - FZN &amp; CHILL'!J781,"AAAAAH/17Vc=")</f>
        <v>#VALUE!</v>
      </c>
      <c r="CK278">
        <f>IF('STERLING CATALOG - FZN &amp; CHILL'!782:782,"AAAAAH/17Vg=",0)</f>
        <v>0</v>
      </c>
      <c r="CL278" t="e">
        <f>AND('STERLING CATALOG - FZN &amp; CHILL'!A782,"AAAAAH/17Vk=")</f>
        <v>#VALUE!</v>
      </c>
      <c r="CM278" t="e">
        <f>AND('STERLING CATALOG - FZN &amp; CHILL'!B782,"AAAAAH/17Vo=")</f>
        <v>#VALUE!</v>
      </c>
      <c r="CN278" t="e">
        <f>AND('STERLING CATALOG - FZN &amp; CHILL'!C782,"AAAAAH/17Vs=")</f>
        <v>#VALUE!</v>
      </c>
      <c r="CO278" t="e">
        <f>AND('STERLING CATALOG - FZN &amp; CHILL'!D782,"AAAAAH/17Vw=")</f>
        <v>#VALUE!</v>
      </c>
      <c r="CP278" t="e">
        <f>AND('STERLING CATALOG - FZN &amp; CHILL'!E782,"AAAAAH/17V0=")</f>
        <v>#VALUE!</v>
      </c>
      <c r="CQ278" t="e">
        <f>AND('STERLING CATALOG - FZN &amp; CHILL'!F782,"AAAAAH/17V4=")</f>
        <v>#VALUE!</v>
      </c>
      <c r="CR278" t="e">
        <f>AND('STERLING CATALOG - FZN &amp; CHILL'!G782,"AAAAAH/17V8=")</f>
        <v>#VALUE!</v>
      </c>
      <c r="CS278" t="e">
        <f>AND('STERLING CATALOG - FZN &amp; CHILL'!H782,"AAAAAH/17WA=")</f>
        <v>#VALUE!</v>
      </c>
      <c r="CT278" t="e">
        <f>AND('STERLING CATALOG - FZN &amp; CHILL'!I782,"AAAAAH/17WE=")</f>
        <v>#VALUE!</v>
      </c>
      <c r="CU278" t="e">
        <f>AND('STERLING CATALOG - FZN &amp; CHILL'!J782,"AAAAAH/17WI=")</f>
        <v>#VALUE!</v>
      </c>
      <c r="CV278">
        <f>IF('STERLING CATALOG - FZN &amp; CHILL'!783:783,"AAAAAH/17WM=",0)</f>
        <v>0</v>
      </c>
      <c r="CW278" t="e">
        <f>AND('STERLING CATALOG - FZN &amp; CHILL'!A783,"AAAAAH/17WQ=")</f>
        <v>#VALUE!</v>
      </c>
      <c r="CX278" t="e">
        <f>AND('STERLING CATALOG - FZN &amp; CHILL'!B783,"AAAAAH/17WU=")</f>
        <v>#VALUE!</v>
      </c>
      <c r="CY278" t="e">
        <f>AND('STERLING CATALOG - FZN &amp; CHILL'!C783,"AAAAAH/17WY=")</f>
        <v>#VALUE!</v>
      </c>
      <c r="CZ278" t="e">
        <f>AND('STERLING CATALOG - FZN &amp; CHILL'!D783,"AAAAAH/17Wc=")</f>
        <v>#VALUE!</v>
      </c>
      <c r="DA278" t="e">
        <f>AND('STERLING CATALOG - FZN &amp; CHILL'!E783,"AAAAAH/17Wg=")</f>
        <v>#VALUE!</v>
      </c>
      <c r="DB278" t="e">
        <f>AND('STERLING CATALOG - FZN &amp; CHILL'!F783,"AAAAAH/17Wk=")</f>
        <v>#VALUE!</v>
      </c>
      <c r="DC278" t="e">
        <f>AND('STERLING CATALOG - FZN &amp; CHILL'!G783,"AAAAAH/17Wo=")</f>
        <v>#VALUE!</v>
      </c>
      <c r="DD278" t="e">
        <f>AND('STERLING CATALOG - FZN &amp; CHILL'!H783,"AAAAAH/17Ws=")</f>
        <v>#VALUE!</v>
      </c>
      <c r="DE278" t="e">
        <f>AND('STERLING CATALOG - FZN &amp; CHILL'!I783,"AAAAAH/17Ww=")</f>
        <v>#VALUE!</v>
      </c>
      <c r="DF278" t="e">
        <f>AND('STERLING CATALOG - FZN &amp; CHILL'!J783,"AAAAAH/17W0=")</f>
        <v>#VALUE!</v>
      </c>
      <c r="DG278">
        <f>IF('STERLING CATALOG - FZN &amp; CHILL'!784:784,"AAAAAH/17W4=",0)</f>
        <v>0</v>
      </c>
      <c r="DH278" t="e">
        <f>AND('STERLING CATALOG - FZN &amp; CHILL'!A784,"AAAAAH/17W8=")</f>
        <v>#VALUE!</v>
      </c>
      <c r="DI278" t="e">
        <f>AND('STERLING CATALOG - FZN &amp; CHILL'!B784,"AAAAAH/17XA=")</f>
        <v>#VALUE!</v>
      </c>
      <c r="DJ278" t="e">
        <f>AND('STERLING CATALOG - FZN &amp; CHILL'!C784,"AAAAAH/17XE=")</f>
        <v>#VALUE!</v>
      </c>
      <c r="DK278" t="e">
        <f>AND('STERLING CATALOG - FZN &amp; CHILL'!D784,"AAAAAH/17XI=")</f>
        <v>#VALUE!</v>
      </c>
      <c r="DL278" t="e">
        <f>AND('STERLING CATALOG - FZN &amp; CHILL'!E784,"AAAAAH/17XM=")</f>
        <v>#VALUE!</v>
      </c>
      <c r="DM278" t="e">
        <f>AND('STERLING CATALOG - FZN &amp; CHILL'!F784,"AAAAAH/17XQ=")</f>
        <v>#VALUE!</v>
      </c>
      <c r="DN278" t="e">
        <f>AND('STERLING CATALOG - FZN &amp; CHILL'!G784,"AAAAAH/17XU=")</f>
        <v>#VALUE!</v>
      </c>
      <c r="DO278" t="e">
        <f>AND('STERLING CATALOG - FZN &amp; CHILL'!H784,"AAAAAH/17XY=")</f>
        <v>#VALUE!</v>
      </c>
      <c r="DP278" t="e">
        <f>AND('STERLING CATALOG - FZN &amp; CHILL'!I784,"AAAAAH/17Xc=")</f>
        <v>#VALUE!</v>
      </c>
      <c r="DQ278" t="e">
        <f>AND('STERLING CATALOG - FZN &amp; CHILL'!J784,"AAAAAH/17Xg=")</f>
        <v>#VALUE!</v>
      </c>
      <c r="DR278">
        <f>IF('STERLING CATALOG - FZN &amp; CHILL'!785:785,"AAAAAH/17Xk=",0)</f>
        <v>0</v>
      </c>
      <c r="DS278" t="e">
        <f>AND('STERLING CATALOG - FZN &amp; CHILL'!A785,"AAAAAH/17Xo=")</f>
        <v>#VALUE!</v>
      </c>
      <c r="DT278" t="e">
        <f>AND('STERLING CATALOG - FZN &amp; CHILL'!B785,"AAAAAH/17Xs=")</f>
        <v>#VALUE!</v>
      </c>
      <c r="DU278" t="e">
        <f>AND('STERLING CATALOG - FZN &amp; CHILL'!C785,"AAAAAH/17Xw=")</f>
        <v>#VALUE!</v>
      </c>
      <c r="DV278" t="e">
        <f>AND('STERLING CATALOG - FZN &amp; CHILL'!D785,"AAAAAH/17X0=")</f>
        <v>#VALUE!</v>
      </c>
      <c r="DW278" t="e">
        <f>AND('STERLING CATALOG - FZN &amp; CHILL'!E785,"AAAAAH/17X4=")</f>
        <v>#VALUE!</v>
      </c>
      <c r="DX278" t="e">
        <f>AND('STERLING CATALOG - FZN &amp; CHILL'!F785,"AAAAAH/17X8=")</f>
        <v>#VALUE!</v>
      </c>
      <c r="DY278" t="e">
        <f>AND('STERLING CATALOG - FZN &amp; CHILL'!G785,"AAAAAH/17YA=")</f>
        <v>#VALUE!</v>
      </c>
      <c r="DZ278" t="e">
        <f>AND('STERLING CATALOG - FZN &amp; CHILL'!H785,"AAAAAH/17YE=")</f>
        <v>#VALUE!</v>
      </c>
      <c r="EA278" t="e">
        <f>AND('STERLING CATALOG - FZN &amp; CHILL'!I785,"AAAAAH/17YI=")</f>
        <v>#VALUE!</v>
      </c>
      <c r="EB278" t="e">
        <f>AND('STERLING CATALOG - FZN &amp; CHILL'!J785,"AAAAAH/17YM=")</f>
        <v>#VALUE!</v>
      </c>
      <c r="EC278">
        <f>IF('STERLING CATALOG - FZN &amp; CHILL'!786:786,"AAAAAH/17YQ=",0)</f>
        <v>0</v>
      </c>
      <c r="ED278" t="e">
        <f>AND('STERLING CATALOG - FZN &amp; CHILL'!A786,"AAAAAH/17YU=")</f>
        <v>#VALUE!</v>
      </c>
      <c r="EE278" t="e">
        <f>AND('STERLING CATALOG - FZN &amp; CHILL'!B786,"AAAAAH/17YY=")</f>
        <v>#VALUE!</v>
      </c>
      <c r="EF278" t="e">
        <f>AND('STERLING CATALOG - FZN &amp; CHILL'!C786,"AAAAAH/17Yc=")</f>
        <v>#VALUE!</v>
      </c>
      <c r="EG278" t="e">
        <f>AND('STERLING CATALOG - FZN &amp; CHILL'!D786,"AAAAAH/17Yg=")</f>
        <v>#VALUE!</v>
      </c>
      <c r="EH278" t="e">
        <f>AND('STERLING CATALOG - FZN &amp; CHILL'!E786,"AAAAAH/17Yk=")</f>
        <v>#VALUE!</v>
      </c>
      <c r="EI278" t="e">
        <f>AND('STERLING CATALOG - FZN &amp; CHILL'!F786,"AAAAAH/17Yo=")</f>
        <v>#VALUE!</v>
      </c>
      <c r="EJ278" t="e">
        <f>AND('STERLING CATALOG - FZN &amp; CHILL'!G786,"AAAAAH/17Ys=")</f>
        <v>#VALUE!</v>
      </c>
      <c r="EK278" t="e">
        <f>AND('STERLING CATALOG - FZN &amp; CHILL'!H786,"AAAAAH/17Yw=")</f>
        <v>#VALUE!</v>
      </c>
      <c r="EL278" t="e">
        <f>AND('STERLING CATALOG - FZN &amp; CHILL'!I786,"AAAAAH/17Y0=")</f>
        <v>#VALUE!</v>
      </c>
      <c r="EM278" t="e">
        <f>AND('STERLING CATALOG - FZN &amp; CHILL'!J786,"AAAAAH/17Y4=")</f>
        <v>#VALUE!</v>
      </c>
      <c r="EN278">
        <f>IF('STERLING CATALOG - FZN &amp; CHILL'!787:787,"AAAAAH/17Y8=",0)</f>
        <v>0</v>
      </c>
      <c r="EO278" t="e">
        <f>AND('STERLING CATALOG - FZN &amp; CHILL'!A787,"AAAAAH/17ZA=")</f>
        <v>#VALUE!</v>
      </c>
      <c r="EP278" t="e">
        <f>AND('STERLING CATALOG - FZN &amp; CHILL'!B787,"AAAAAH/17ZE=")</f>
        <v>#VALUE!</v>
      </c>
      <c r="EQ278" t="e">
        <f>AND('STERLING CATALOG - FZN &amp; CHILL'!C787,"AAAAAH/17ZI=")</f>
        <v>#VALUE!</v>
      </c>
      <c r="ER278" t="e">
        <f>AND('STERLING CATALOG - FZN &amp; CHILL'!D787,"AAAAAH/17ZM=")</f>
        <v>#VALUE!</v>
      </c>
      <c r="ES278" t="e">
        <f>AND('STERLING CATALOG - FZN &amp; CHILL'!E787,"AAAAAH/17ZQ=")</f>
        <v>#VALUE!</v>
      </c>
      <c r="ET278" t="e">
        <f>AND('STERLING CATALOG - FZN &amp; CHILL'!F787,"AAAAAH/17ZU=")</f>
        <v>#VALUE!</v>
      </c>
      <c r="EU278" t="e">
        <f>AND('STERLING CATALOG - FZN &amp; CHILL'!G787,"AAAAAH/17ZY=")</f>
        <v>#VALUE!</v>
      </c>
      <c r="EV278" t="e">
        <f>AND('STERLING CATALOG - FZN &amp; CHILL'!H787,"AAAAAH/17Zc=")</f>
        <v>#VALUE!</v>
      </c>
      <c r="EW278" t="e">
        <f>AND('STERLING CATALOG - FZN &amp; CHILL'!I787,"AAAAAH/17Zg=")</f>
        <v>#VALUE!</v>
      </c>
      <c r="EX278" t="e">
        <f>AND('STERLING CATALOG - FZN &amp; CHILL'!J787,"AAAAAH/17Zk=")</f>
        <v>#VALUE!</v>
      </c>
      <c r="EY278">
        <f>IF('STERLING CATALOG - FZN &amp; CHILL'!788:788,"AAAAAH/17Zo=",0)</f>
        <v>0</v>
      </c>
      <c r="EZ278" t="e">
        <f>AND('STERLING CATALOG - FZN &amp; CHILL'!A788,"AAAAAH/17Zs=")</f>
        <v>#VALUE!</v>
      </c>
      <c r="FA278" t="e">
        <f>AND('STERLING CATALOG - FZN &amp; CHILL'!B788,"AAAAAH/17Zw=")</f>
        <v>#VALUE!</v>
      </c>
      <c r="FB278" t="e">
        <f>AND('STERLING CATALOG - FZN &amp; CHILL'!C788,"AAAAAH/17Z0=")</f>
        <v>#VALUE!</v>
      </c>
      <c r="FC278" t="e">
        <f>AND('STERLING CATALOG - FZN &amp; CHILL'!D788,"AAAAAH/17Z4=")</f>
        <v>#VALUE!</v>
      </c>
      <c r="FD278" t="e">
        <f>AND('STERLING CATALOG - FZN &amp; CHILL'!E788,"AAAAAH/17Z8=")</f>
        <v>#VALUE!</v>
      </c>
      <c r="FE278" t="e">
        <f>AND('STERLING CATALOG - FZN &amp; CHILL'!F788,"AAAAAH/17aA=")</f>
        <v>#VALUE!</v>
      </c>
      <c r="FF278" t="e">
        <f>AND('STERLING CATALOG - FZN &amp; CHILL'!G788,"AAAAAH/17aE=")</f>
        <v>#VALUE!</v>
      </c>
      <c r="FG278" t="e">
        <f>AND('STERLING CATALOG - FZN &amp; CHILL'!H788,"AAAAAH/17aI=")</f>
        <v>#VALUE!</v>
      </c>
      <c r="FH278" t="e">
        <f>AND('STERLING CATALOG - FZN &amp; CHILL'!I788,"AAAAAH/17aM=")</f>
        <v>#VALUE!</v>
      </c>
      <c r="FI278" t="e">
        <f>AND('STERLING CATALOG - FZN &amp; CHILL'!J788,"AAAAAH/17aQ=")</f>
        <v>#VALUE!</v>
      </c>
      <c r="FJ278">
        <f>IF('STERLING CATALOG - FZN &amp; CHILL'!789:789,"AAAAAH/17aU=",0)</f>
        <v>0</v>
      </c>
      <c r="FK278" t="e">
        <f>AND('STERLING CATALOG - FZN &amp; CHILL'!A789,"AAAAAH/17aY=")</f>
        <v>#VALUE!</v>
      </c>
      <c r="FL278" t="e">
        <f>AND('STERLING CATALOG - FZN &amp; CHILL'!B789,"AAAAAH/17ac=")</f>
        <v>#VALUE!</v>
      </c>
      <c r="FM278" t="e">
        <f>AND('STERLING CATALOG - FZN &amp; CHILL'!C789,"AAAAAH/17ag=")</f>
        <v>#VALUE!</v>
      </c>
      <c r="FN278" t="e">
        <f>AND('STERLING CATALOG - FZN &amp; CHILL'!D789,"AAAAAH/17ak=")</f>
        <v>#VALUE!</v>
      </c>
      <c r="FO278" t="e">
        <f>AND('STERLING CATALOG - FZN &amp; CHILL'!E789,"AAAAAH/17ao=")</f>
        <v>#VALUE!</v>
      </c>
      <c r="FP278" t="e">
        <f>AND('STERLING CATALOG - FZN &amp; CHILL'!F789,"AAAAAH/17as=")</f>
        <v>#VALUE!</v>
      </c>
      <c r="FQ278" t="e">
        <f>AND('STERLING CATALOG - FZN &amp; CHILL'!G789,"AAAAAH/17aw=")</f>
        <v>#VALUE!</v>
      </c>
      <c r="FR278" t="e">
        <f>AND('STERLING CATALOG - FZN &amp; CHILL'!H789,"AAAAAH/17a0=")</f>
        <v>#VALUE!</v>
      </c>
      <c r="FS278" t="e">
        <f>AND('STERLING CATALOG - FZN &amp; CHILL'!I789,"AAAAAH/17a4=")</f>
        <v>#VALUE!</v>
      </c>
      <c r="FT278" t="e">
        <f>AND('STERLING CATALOG - FZN &amp; CHILL'!J789,"AAAAAH/17a8=")</f>
        <v>#VALUE!</v>
      </c>
      <c r="FU278">
        <f>IF('STERLING CATALOG - FZN &amp; CHILL'!790:790,"AAAAAH/17bA=",0)</f>
        <v>0</v>
      </c>
      <c r="FV278" t="e">
        <f>AND('STERLING CATALOG - FZN &amp; CHILL'!A790,"AAAAAH/17bE=")</f>
        <v>#VALUE!</v>
      </c>
      <c r="FW278" t="e">
        <f>AND('STERLING CATALOG - FZN &amp; CHILL'!B790,"AAAAAH/17bI=")</f>
        <v>#VALUE!</v>
      </c>
      <c r="FX278" t="e">
        <f>AND('STERLING CATALOG - FZN &amp; CHILL'!C790,"AAAAAH/17bM=")</f>
        <v>#VALUE!</v>
      </c>
      <c r="FY278" t="e">
        <f>AND('STERLING CATALOG - FZN &amp; CHILL'!D790,"AAAAAH/17bQ=")</f>
        <v>#VALUE!</v>
      </c>
      <c r="FZ278" t="e">
        <f>AND('STERLING CATALOG - FZN &amp; CHILL'!E790,"AAAAAH/17bU=")</f>
        <v>#VALUE!</v>
      </c>
      <c r="GA278" t="e">
        <f>AND('STERLING CATALOG - FZN &amp; CHILL'!F790,"AAAAAH/17bY=")</f>
        <v>#VALUE!</v>
      </c>
      <c r="GB278" t="e">
        <f>AND('STERLING CATALOG - FZN &amp; CHILL'!G790,"AAAAAH/17bc=")</f>
        <v>#VALUE!</v>
      </c>
      <c r="GC278" t="e">
        <f>AND('STERLING CATALOG - FZN &amp; CHILL'!H790,"AAAAAH/17bg=")</f>
        <v>#VALUE!</v>
      </c>
      <c r="GD278" t="e">
        <f>AND('STERLING CATALOG - FZN &amp; CHILL'!I790,"AAAAAH/17bk=")</f>
        <v>#VALUE!</v>
      </c>
      <c r="GE278" t="e">
        <f>AND('STERLING CATALOG - FZN &amp; CHILL'!J790,"AAAAAH/17bo=")</f>
        <v>#VALUE!</v>
      </c>
      <c r="GF278">
        <f>IF('STERLING CATALOG - FZN &amp; CHILL'!791:791,"AAAAAH/17bs=",0)</f>
        <v>0</v>
      </c>
      <c r="GG278" t="e">
        <f>AND('STERLING CATALOG - FZN &amp; CHILL'!A791,"AAAAAH/17bw=")</f>
        <v>#VALUE!</v>
      </c>
      <c r="GH278" t="e">
        <f>AND('STERLING CATALOG - FZN &amp; CHILL'!B791,"AAAAAH/17b0=")</f>
        <v>#VALUE!</v>
      </c>
      <c r="GI278" t="e">
        <f>AND('STERLING CATALOG - FZN &amp; CHILL'!C791,"AAAAAH/17b4=")</f>
        <v>#VALUE!</v>
      </c>
      <c r="GJ278" t="e">
        <f>AND('STERLING CATALOG - FZN &amp; CHILL'!D791,"AAAAAH/17b8=")</f>
        <v>#VALUE!</v>
      </c>
      <c r="GK278" t="e">
        <f>AND('STERLING CATALOG - FZN &amp; CHILL'!E791,"AAAAAH/17cA=")</f>
        <v>#VALUE!</v>
      </c>
      <c r="GL278" t="e">
        <f>AND('STERLING CATALOG - FZN &amp; CHILL'!F791,"AAAAAH/17cE=")</f>
        <v>#VALUE!</v>
      </c>
      <c r="GM278" t="e">
        <f>AND('STERLING CATALOG - FZN &amp; CHILL'!G791,"AAAAAH/17cI=")</f>
        <v>#VALUE!</v>
      </c>
      <c r="GN278" t="e">
        <f>AND('STERLING CATALOG - FZN &amp; CHILL'!H791,"AAAAAH/17cM=")</f>
        <v>#VALUE!</v>
      </c>
      <c r="GO278" t="e">
        <f>AND('STERLING CATALOG - FZN &amp; CHILL'!I791,"AAAAAH/17cQ=")</f>
        <v>#VALUE!</v>
      </c>
      <c r="GP278" t="e">
        <f>AND('STERLING CATALOG - FZN &amp; CHILL'!J791,"AAAAAH/17cU=")</f>
        <v>#VALUE!</v>
      </c>
      <c r="GQ278">
        <f>IF('STERLING CATALOG - FZN &amp; CHILL'!792:792,"AAAAAH/17cY=",0)</f>
        <v>0</v>
      </c>
      <c r="GR278" t="e">
        <f>AND('STERLING CATALOG - FZN &amp; CHILL'!A792,"AAAAAH/17cc=")</f>
        <v>#VALUE!</v>
      </c>
      <c r="GS278" t="e">
        <f>AND('STERLING CATALOG - FZN &amp; CHILL'!B792,"AAAAAH/17cg=")</f>
        <v>#VALUE!</v>
      </c>
      <c r="GT278" t="e">
        <f>AND('STERLING CATALOG - FZN &amp; CHILL'!C792,"AAAAAH/17ck=")</f>
        <v>#VALUE!</v>
      </c>
      <c r="GU278" t="e">
        <f>AND('STERLING CATALOG - FZN &amp; CHILL'!D792,"AAAAAH/17co=")</f>
        <v>#VALUE!</v>
      </c>
      <c r="GV278" t="e">
        <f>AND('STERLING CATALOG - FZN &amp; CHILL'!E792,"AAAAAH/17cs=")</f>
        <v>#VALUE!</v>
      </c>
      <c r="GW278" t="e">
        <f>AND('STERLING CATALOG - FZN &amp; CHILL'!F792,"AAAAAH/17cw=")</f>
        <v>#VALUE!</v>
      </c>
      <c r="GX278" t="e">
        <f>AND('STERLING CATALOG - FZN &amp; CHILL'!G792,"AAAAAH/17c0=")</f>
        <v>#VALUE!</v>
      </c>
      <c r="GY278" t="e">
        <f>AND('STERLING CATALOG - FZN &amp; CHILL'!H792,"AAAAAH/17c4=")</f>
        <v>#VALUE!</v>
      </c>
      <c r="GZ278" t="e">
        <f>AND('STERLING CATALOG - FZN &amp; CHILL'!I792,"AAAAAH/17c8=")</f>
        <v>#VALUE!</v>
      </c>
      <c r="HA278" t="e">
        <f>AND('STERLING CATALOG - FZN &amp; CHILL'!J792,"AAAAAH/17dA=")</f>
        <v>#VALUE!</v>
      </c>
      <c r="HB278">
        <f>IF('STERLING CATALOG - FZN &amp; CHILL'!793:793,"AAAAAH/17dE=",0)</f>
        <v>0</v>
      </c>
      <c r="HC278" t="e">
        <f>AND('STERLING CATALOG - FZN &amp; CHILL'!A793,"AAAAAH/17dI=")</f>
        <v>#VALUE!</v>
      </c>
      <c r="HD278" t="e">
        <f>AND('STERLING CATALOG - FZN &amp; CHILL'!B793,"AAAAAH/17dM=")</f>
        <v>#VALUE!</v>
      </c>
      <c r="HE278" t="e">
        <f>AND('STERLING CATALOG - FZN &amp; CHILL'!C793,"AAAAAH/17dQ=")</f>
        <v>#VALUE!</v>
      </c>
      <c r="HF278" t="e">
        <f>AND('STERLING CATALOG - FZN &amp; CHILL'!D793,"AAAAAH/17dU=")</f>
        <v>#VALUE!</v>
      </c>
      <c r="HG278" t="e">
        <f>AND('STERLING CATALOG - FZN &amp; CHILL'!E793,"AAAAAH/17dY=")</f>
        <v>#VALUE!</v>
      </c>
      <c r="HH278" t="e">
        <f>AND('STERLING CATALOG - FZN &amp; CHILL'!F793,"AAAAAH/17dc=")</f>
        <v>#VALUE!</v>
      </c>
      <c r="HI278" t="e">
        <f>AND('STERLING CATALOG - FZN &amp; CHILL'!G793,"AAAAAH/17dg=")</f>
        <v>#VALUE!</v>
      </c>
      <c r="HJ278" t="e">
        <f>AND('STERLING CATALOG - FZN &amp; CHILL'!H793,"AAAAAH/17dk=")</f>
        <v>#VALUE!</v>
      </c>
      <c r="HK278" t="e">
        <f>AND('STERLING CATALOG - FZN &amp; CHILL'!I793,"AAAAAH/17do=")</f>
        <v>#VALUE!</v>
      </c>
      <c r="HL278" t="e">
        <f>AND('STERLING CATALOG - FZN &amp; CHILL'!J793,"AAAAAH/17ds=")</f>
        <v>#VALUE!</v>
      </c>
      <c r="HM278">
        <f>IF('STERLING CATALOG - FZN &amp; CHILL'!794:794,"AAAAAH/17dw=",0)</f>
        <v>0</v>
      </c>
      <c r="HN278" t="e">
        <f>AND('STERLING CATALOG - FZN &amp; CHILL'!A794,"AAAAAH/17d0=")</f>
        <v>#VALUE!</v>
      </c>
      <c r="HO278" t="e">
        <f>AND('STERLING CATALOG - FZN &amp; CHILL'!B794,"AAAAAH/17d4=")</f>
        <v>#VALUE!</v>
      </c>
      <c r="HP278" t="e">
        <f>AND('STERLING CATALOG - FZN &amp; CHILL'!C794,"AAAAAH/17d8=")</f>
        <v>#VALUE!</v>
      </c>
      <c r="HQ278" t="e">
        <f>AND('STERLING CATALOG - FZN &amp; CHILL'!D794,"AAAAAH/17eA=")</f>
        <v>#VALUE!</v>
      </c>
      <c r="HR278" t="e">
        <f>AND('STERLING CATALOG - FZN &amp; CHILL'!E794,"AAAAAH/17eE=")</f>
        <v>#VALUE!</v>
      </c>
      <c r="HS278" t="e">
        <f>AND('STERLING CATALOG - FZN &amp; CHILL'!F794,"AAAAAH/17eI=")</f>
        <v>#VALUE!</v>
      </c>
      <c r="HT278" t="e">
        <f>AND('STERLING CATALOG - FZN &amp; CHILL'!G794,"AAAAAH/17eM=")</f>
        <v>#VALUE!</v>
      </c>
      <c r="HU278" t="e">
        <f>AND('STERLING CATALOG - FZN &amp; CHILL'!H794,"AAAAAH/17eQ=")</f>
        <v>#VALUE!</v>
      </c>
      <c r="HV278" t="e">
        <f>AND('STERLING CATALOG - FZN &amp; CHILL'!I794,"AAAAAH/17eU=")</f>
        <v>#VALUE!</v>
      </c>
      <c r="HW278" t="e">
        <f>AND('STERLING CATALOG - FZN &amp; CHILL'!J794,"AAAAAH/17eY=")</f>
        <v>#VALUE!</v>
      </c>
      <c r="HX278">
        <f>IF('STERLING CATALOG - FZN &amp; CHILL'!795:795,"AAAAAH/17ec=",0)</f>
        <v>0</v>
      </c>
      <c r="HY278" t="e">
        <f>AND('STERLING CATALOG - FZN &amp; CHILL'!A795,"AAAAAH/17eg=")</f>
        <v>#VALUE!</v>
      </c>
      <c r="HZ278" t="e">
        <f>AND('STERLING CATALOG - FZN &amp; CHILL'!B795,"AAAAAH/17ek=")</f>
        <v>#VALUE!</v>
      </c>
      <c r="IA278" t="e">
        <f>AND('STERLING CATALOG - FZN &amp; CHILL'!C795,"AAAAAH/17eo=")</f>
        <v>#VALUE!</v>
      </c>
      <c r="IB278" t="e">
        <f>AND('STERLING CATALOG - FZN &amp; CHILL'!D795,"AAAAAH/17es=")</f>
        <v>#VALUE!</v>
      </c>
      <c r="IC278" t="e">
        <f>AND('STERLING CATALOG - FZN &amp; CHILL'!E795,"AAAAAH/17ew=")</f>
        <v>#VALUE!</v>
      </c>
      <c r="ID278" t="e">
        <f>AND('STERLING CATALOG - FZN &amp; CHILL'!F795,"AAAAAH/17e0=")</f>
        <v>#VALUE!</v>
      </c>
      <c r="IE278" t="e">
        <f>AND('STERLING CATALOG - FZN &amp; CHILL'!G795,"AAAAAH/17e4=")</f>
        <v>#VALUE!</v>
      </c>
      <c r="IF278" t="e">
        <f>AND('STERLING CATALOG - FZN &amp; CHILL'!H795,"AAAAAH/17e8=")</f>
        <v>#VALUE!</v>
      </c>
      <c r="IG278" t="e">
        <f>AND('STERLING CATALOG - FZN &amp; CHILL'!I795,"AAAAAH/17fA=")</f>
        <v>#VALUE!</v>
      </c>
      <c r="IH278" t="e">
        <f>AND('STERLING CATALOG - FZN &amp; CHILL'!J795,"AAAAAH/17fE=")</f>
        <v>#VALUE!</v>
      </c>
      <c r="II278">
        <f>IF('STERLING CATALOG - FZN &amp; CHILL'!796:796,"AAAAAH/17fI=",0)</f>
        <v>0</v>
      </c>
      <c r="IJ278" t="e">
        <f>AND('STERLING CATALOG - FZN &amp; CHILL'!A796,"AAAAAH/17fM=")</f>
        <v>#VALUE!</v>
      </c>
      <c r="IK278" t="e">
        <f>AND('STERLING CATALOG - FZN &amp; CHILL'!B796,"AAAAAH/17fQ=")</f>
        <v>#VALUE!</v>
      </c>
      <c r="IL278" t="e">
        <f>AND('STERLING CATALOG - FZN &amp; CHILL'!C796,"AAAAAH/17fU=")</f>
        <v>#VALUE!</v>
      </c>
      <c r="IM278" t="e">
        <f>AND('STERLING CATALOG - FZN &amp; CHILL'!D796,"AAAAAH/17fY=")</f>
        <v>#VALUE!</v>
      </c>
      <c r="IN278" t="e">
        <f>AND('STERLING CATALOG - FZN &amp; CHILL'!E796,"AAAAAH/17fc=")</f>
        <v>#VALUE!</v>
      </c>
      <c r="IO278" t="e">
        <f>AND('STERLING CATALOG - FZN &amp; CHILL'!F796,"AAAAAH/17fg=")</f>
        <v>#VALUE!</v>
      </c>
      <c r="IP278" t="e">
        <f>AND('STERLING CATALOG - FZN &amp; CHILL'!G796,"AAAAAH/17fk=")</f>
        <v>#VALUE!</v>
      </c>
      <c r="IQ278" t="e">
        <f>AND('STERLING CATALOG - FZN &amp; CHILL'!H796,"AAAAAH/17fo=")</f>
        <v>#VALUE!</v>
      </c>
      <c r="IR278" t="e">
        <f>AND('STERLING CATALOG - FZN &amp; CHILL'!I796,"AAAAAH/17fs=")</f>
        <v>#VALUE!</v>
      </c>
      <c r="IS278" t="e">
        <f>AND('STERLING CATALOG - FZN &amp; CHILL'!J796,"AAAAAH/17fw=")</f>
        <v>#VALUE!</v>
      </c>
      <c r="IT278">
        <f>IF('STERLING CATALOG - FZN &amp; CHILL'!797:797,"AAAAAH/17f0=",0)</f>
        <v>0</v>
      </c>
      <c r="IU278" t="e">
        <f>AND('STERLING CATALOG - FZN &amp; CHILL'!A797,"AAAAAH/17f4=")</f>
        <v>#VALUE!</v>
      </c>
      <c r="IV278" t="e">
        <f>AND('STERLING CATALOG - FZN &amp; CHILL'!B797,"AAAAAH/17f8=")</f>
        <v>#VALUE!</v>
      </c>
    </row>
    <row r="279" spans="1:256">
      <c r="A279" t="e">
        <f>AND('STERLING CATALOG - FZN &amp; CHILL'!C797,"AAAAADeb1wA=")</f>
        <v>#VALUE!</v>
      </c>
      <c r="B279" t="e">
        <f>AND('STERLING CATALOG - FZN &amp; CHILL'!D797,"AAAAADeb1wE=")</f>
        <v>#VALUE!</v>
      </c>
      <c r="C279" t="e">
        <f>AND('STERLING CATALOG - FZN &amp; CHILL'!E797,"AAAAADeb1wI=")</f>
        <v>#VALUE!</v>
      </c>
      <c r="D279" t="e">
        <f>AND('STERLING CATALOG - FZN &amp; CHILL'!F797,"AAAAADeb1wM=")</f>
        <v>#VALUE!</v>
      </c>
      <c r="E279" t="e">
        <f>AND('STERLING CATALOG - FZN &amp; CHILL'!G797,"AAAAADeb1wQ=")</f>
        <v>#VALUE!</v>
      </c>
      <c r="F279" t="e">
        <f>AND('STERLING CATALOG - FZN &amp; CHILL'!H797,"AAAAADeb1wU=")</f>
        <v>#VALUE!</v>
      </c>
      <c r="G279" t="e">
        <f>AND('STERLING CATALOG - FZN &amp; CHILL'!I797,"AAAAADeb1wY=")</f>
        <v>#VALUE!</v>
      </c>
      <c r="H279" t="e">
        <f>AND('STERLING CATALOG - FZN &amp; CHILL'!J797,"AAAAADeb1wc=")</f>
        <v>#VALUE!</v>
      </c>
      <c r="I279" t="e">
        <f>IF('STERLING CATALOG - FZN &amp; CHILL'!798:798,"AAAAADeb1wg=",0)</f>
        <v>#VALUE!</v>
      </c>
      <c r="J279" t="e">
        <f>AND('STERLING CATALOG - FZN &amp; CHILL'!A798,"AAAAADeb1wk=")</f>
        <v>#VALUE!</v>
      </c>
      <c r="K279" t="e">
        <f>AND('STERLING CATALOG - FZN &amp; CHILL'!B798,"AAAAADeb1wo=")</f>
        <v>#VALUE!</v>
      </c>
      <c r="L279" t="e">
        <f>AND('STERLING CATALOG - FZN &amp; CHILL'!C798,"AAAAADeb1ws=")</f>
        <v>#VALUE!</v>
      </c>
      <c r="M279" t="e">
        <f>AND('STERLING CATALOG - FZN &amp; CHILL'!D798,"AAAAADeb1ww=")</f>
        <v>#VALUE!</v>
      </c>
      <c r="N279" t="e">
        <f>AND('STERLING CATALOG - FZN &amp; CHILL'!E798,"AAAAADeb1w0=")</f>
        <v>#VALUE!</v>
      </c>
      <c r="O279" t="e">
        <f>AND('STERLING CATALOG - FZN &amp; CHILL'!F798,"AAAAADeb1w4=")</f>
        <v>#VALUE!</v>
      </c>
      <c r="P279" t="e">
        <f>AND('STERLING CATALOG - FZN &amp; CHILL'!G798,"AAAAADeb1w8=")</f>
        <v>#VALUE!</v>
      </c>
      <c r="Q279" t="e">
        <f>AND('STERLING CATALOG - FZN &amp; CHILL'!H798,"AAAAADeb1xA=")</f>
        <v>#VALUE!</v>
      </c>
      <c r="R279" t="e">
        <f>AND('STERLING CATALOG - FZN &amp; CHILL'!I798,"AAAAADeb1xE=")</f>
        <v>#VALUE!</v>
      </c>
      <c r="S279" t="e">
        <f>AND('STERLING CATALOG - FZN &amp; CHILL'!J798,"AAAAADeb1xI=")</f>
        <v>#VALUE!</v>
      </c>
      <c r="T279">
        <f>IF('STERLING CATALOG - FZN &amp; CHILL'!799:799,"AAAAADeb1xM=",0)</f>
        <v>0</v>
      </c>
      <c r="U279" t="e">
        <f>AND('STERLING CATALOG - FZN &amp; CHILL'!A799,"AAAAADeb1xQ=")</f>
        <v>#VALUE!</v>
      </c>
      <c r="V279" t="e">
        <f>AND('STERLING CATALOG - FZN &amp; CHILL'!B799,"AAAAADeb1xU=")</f>
        <v>#VALUE!</v>
      </c>
      <c r="W279" t="e">
        <f>AND('STERLING CATALOG - FZN &amp; CHILL'!C799,"AAAAADeb1xY=")</f>
        <v>#VALUE!</v>
      </c>
      <c r="X279" t="e">
        <f>AND('STERLING CATALOG - FZN &amp; CHILL'!D799,"AAAAADeb1xc=")</f>
        <v>#VALUE!</v>
      </c>
      <c r="Y279" t="e">
        <f>AND('STERLING CATALOG - FZN &amp; CHILL'!E799,"AAAAADeb1xg=")</f>
        <v>#VALUE!</v>
      </c>
      <c r="Z279" t="e">
        <f>AND('STERLING CATALOG - FZN &amp; CHILL'!F799,"AAAAADeb1xk=")</f>
        <v>#VALUE!</v>
      </c>
      <c r="AA279" t="e">
        <f>AND('STERLING CATALOG - FZN &amp; CHILL'!G799,"AAAAADeb1xo=")</f>
        <v>#VALUE!</v>
      </c>
      <c r="AB279" t="e">
        <f>AND('STERLING CATALOG - FZN &amp; CHILL'!H799,"AAAAADeb1xs=")</f>
        <v>#VALUE!</v>
      </c>
      <c r="AC279" t="e">
        <f>AND('STERLING CATALOG - FZN &amp; CHILL'!I799,"AAAAADeb1xw=")</f>
        <v>#VALUE!</v>
      </c>
      <c r="AD279" t="e">
        <f>AND('STERLING CATALOG - FZN &amp; CHILL'!J799,"AAAAADeb1x0=")</f>
        <v>#VALUE!</v>
      </c>
      <c r="AE279">
        <f>IF('STERLING CATALOG - FZN &amp; CHILL'!800:800,"AAAAADeb1x4=",0)</f>
        <v>0</v>
      </c>
      <c r="AF279" t="e">
        <f>AND('STERLING CATALOG - FZN &amp; CHILL'!A800,"AAAAADeb1x8=")</f>
        <v>#VALUE!</v>
      </c>
      <c r="AG279" t="e">
        <f>AND('STERLING CATALOG - FZN &amp; CHILL'!B800,"AAAAADeb1yA=")</f>
        <v>#VALUE!</v>
      </c>
      <c r="AH279" t="e">
        <f>AND('STERLING CATALOG - FZN &amp; CHILL'!C800,"AAAAADeb1yE=")</f>
        <v>#VALUE!</v>
      </c>
      <c r="AI279" t="e">
        <f>AND('STERLING CATALOG - FZN &amp; CHILL'!D800,"AAAAADeb1yI=")</f>
        <v>#VALUE!</v>
      </c>
      <c r="AJ279" t="e">
        <f>AND('STERLING CATALOG - FZN &amp; CHILL'!E800,"AAAAADeb1yM=")</f>
        <v>#VALUE!</v>
      </c>
      <c r="AK279" t="e">
        <f>AND('STERLING CATALOG - FZN &amp; CHILL'!F800,"AAAAADeb1yQ=")</f>
        <v>#VALUE!</v>
      </c>
      <c r="AL279" t="e">
        <f>AND('STERLING CATALOG - FZN &amp; CHILL'!G800,"AAAAADeb1yU=")</f>
        <v>#VALUE!</v>
      </c>
      <c r="AM279" t="e">
        <f>AND('STERLING CATALOG - FZN &amp; CHILL'!H800,"AAAAADeb1yY=")</f>
        <v>#VALUE!</v>
      </c>
      <c r="AN279" t="e">
        <f>AND('STERLING CATALOG - FZN &amp; CHILL'!I800,"AAAAADeb1yc=")</f>
        <v>#VALUE!</v>
      </c>
      <c r="AO279" t="e">
        <f>AND('STERLING CATALOG - FZN &amp; CHILL'!J800,"AAAAADeb1yg=")</f>
        <v>#VALUE!</v>
      </c>
      <c r="AP279">
        <f>IF('STERLING CATALOG - FZN &amp; CHILL'!801:801,"AAAAADeb1yk=",0)</f>
        <v>0</v>
      </c>
      <c r="AQ279" t="e">
        <f>AND('STERLING CATALOG - FZN &amp; CHILL'!A801,"AAAAADeb1yo=")</f>
        <v>#VALUE!</v>
      </c>
      <c r="AR279" t="e">
        <f>AND('STERLING CATALOG - FZN &amp; CHILL'!B801,"AAAAADeb1ys=")</f>
        <v>#VALUE!</v>
      </c>
      <c r="AS279" t="e">
        <f>AND('STERLING CATALOG - FZN &amp; CHILL'!C801,"AAAAADeb1yw=")</f>
        <v>#VALUE!</v>
      </c>
      <c r="AT279" t="e">
        <f>AND('STERLING CATALOG - FZN &amp; CHILL'!D801,"AAAAADeb1y0=")</f>
        <v>#VALUE!</v>
      </c>
      <c r="AU279" t="e">
        <f>AND('STERLING CATALOG - FZN &amp; CHILL'!E801,"AAAAADeb1y4=")</f>
        <v>#VALUE!</v>
      </c>
      <c r="AV279" t="e">
        <f>AND('STERLING CATALOG - FZN &amp; CHILL'!F801,"AAAAADeb1y8=")</f>
        <v>#VALUE!</v>
      </c>
      <c r="AW279" t="e">
        <f>AND('STERLING CATALOG - FZN &amp; CHILL'!G801,"AAAAADeb1zA=")</f>
        <v>#VALUE!</v>
      </c>
      <c r="AX279" t="e">
        <f>AND('STERLING CATALOG - FZN &amp; CHILL'!H801,"AAAAADeb1zE=")</f>
        <v>#VALUE!</v>
      </c>
      <c r="AY279" t="e">
        <f>AND('STERLING CATALOG - FZN &amp; CHILL'!I801,"AAAAADeb1zI=")</f>
        <v>#VALUE!</v>
      </c>
      <c r="AZ279" t="e">
        <f>AND('STERLING CATALOG - FZN &amp; CHILL'!J801,"AAAAADeb1zM=")</f>
        <v>#VALUE!</v>
      </c>
      <c r="BA279">
        <f>IF('STERLING CATALOG - FZN &amp; CHILL'!802:802,"AAAAADeb1zQ=",0)</f>
        <v>0</v>
      </c>
      <c r="BB279" t="e">
        <f>AND('STERLING CATALOG - FZN &amp; CHILL'!A802,"AAAAADeb1zU=")</f>
        <v>#VALUE!</v>
      </c>
      <c r="BC279" t="e">
        <f>AND('STERLING CATALOG - FZN &amp; CHILL'!B802,"AAAAADeb1zY=")</f>
        <v>#VALUE!</v>
      </c>
      <c r="BD279" t="e">
        <f>AND('STERLING CATALOG - FZN &amp; CHILL'!C802,"AAAAADeb1zc=")</f>
        <v>#VALUE!</v>
      </c>
      <c r="BE279" t="e">
        <f>AND('STERLING CATALOG - FZN &amp; CHILL'!D802,"AAAAADeb1zg=")</f>
        <v>#VALUE!</v>
      </c>
      <c r="BF279" t="e">
        <f>AND('STERLING CATALOG - FZN &amp; CHILL'!E802,"AAAAADeb1zk=")</f>
        <v>#VALUE!</v>
      </c>
      <c r="BG279" t="e">
        <f>AND('STERLING CATALOG - FZN &amp; CHILL'!F802,"AAAAADeb1zo=")</f>
        <v>#VALUE!</v>
      </c>
      <c r="BH279" t="e">
        <f>AND('STERLING CATALOG - FZN &amp; CHILL'!G802,"AAAAADeb1zs=")</f>
        <v>#VALUE!</v>
      </c>
      <c r="BI279" t="e">
        <f>AND('STERLING CATALOG - FZN &amp; CHILL'!H802,"AAAAADeb1zw=")</f>
        <v>#VALUE!</v>
      </c>
      <c r="BJ279" t="e">
        <f>AND('STERLING CATALOG - FZN &amp; CHILL'!I802,"AAAAADeb1z0=")</f>
        <v>#VALUE!</v>
      </c>
      <c r="BK279" t="e">
        <f>AND('STERLING CATALOG - FZN &amp; CHILL'!J802,"AAAAADeb1z4=")</f>
        <v>#VALUE!</v>
      </c>
      <c r="BL279">
        <f>IF('STERLING CATALOG - FZN &amp; CHILL'!803:803,"AAAAADeb1z8=",0)</f>
        <v>0</v>
      </c>
      <c r="BM279" t="e">
        <f>AND('STERLING CATALOG - FZN &amp; CHILL'!A803,"AAAAADeb10A=")</f>
        <v>#VALUE!</v>
      </c>
      <c r="BN279" t="e">
        <f>AND('STERLING CATALOG - FZN &amp; CHILL'!B803,"AAAAADeb10E=")</f>
        <v>#VALUE!</v>
      </c>
      <c r="BO279" t="e">
        <f>AND('STERLING CATALOG - FZN &amp; CHILL'!C803,"AAAAADeb10I=")</f>
        <v>#VALUE!</v>
      </c>
      <c r="BP279" t="e">
        <f>AND('STERLING CATALOG - FZN &amp; CHILL'!D803,"AAAAADeb10M=")</f>
        <v>#VALUE!</v>
      </c>
      <c r="BQ279" t="e">
        <f>AND('STERLING CATALOG - FZN &amp; CHILL'!E803,"AAAAADeb10Q=")</f>
        <v>#VALUE!</v>
      </c>
      <c r="BR279" t="e">
        <f>AND('STERLING CATALOG - FZN &amp; CHILL'!F803,"AAAAADeb10U=")</f>
        <v>#VALUE!</v>
      </c>
      <c r="BS279" t="e">
        <f>AND('STERLING CATALOG - FZN &amp; CHILL'!G803,"AAAAADeb10Y=")</f>
        <v>#VALUE!</v>
      </c>
      <c r="BT279" t="e">
        <f>AND('STERLING CATALOG - FZN &amp; CHILL'!H803,"AAAAADeb10c=")</f>
        <v>#VALUE!</v>
      </c>
      <c r="BU279" t="e">
        <f>AND('STERLING CATALOG - FZN &amp; CHILL'!I803,"AAAAADeb10g=")</f>
        <v>#VALUE!</v>
      </c>
      <c r="BV279" t="e">
        <f>AND('STERLING CATALOG - FZN &amp; CHILL'!J803,"AAAAADeb10k=")</f>
        <v>#VALUE!</v>
      </c>
      <c r="BW279">
        <f>IF('STERLING CATALOG - FZN &amp; CHILL'!804:804,"AAAAADeb10o=",0)</f>
        <v>0</v>
      </c>
      <c r="BX279" t="e">
        <f>AND('STERLING CATALOG - FZN &amp; CHILL'!A804,"AAAAADeb10s=")</f>
        <v>#VALUE!</v>
      </c>
      <c r="BY279" t="e">
        <f>AND('STERLING CATALOG - FZN &amp; CHILL'!B804,"AAAAADeb10w=")</f>
        <v>#VALUE!</v>
      </c>
      <c r="BZ279" t="e">
        <f>AND('STERLING CATALOG - FZN &amp; CHILL'!C804,"AAAAADeb100=")</f>
        <v>#VALUE!</v>
      </c>
      <c r="CA279" t="e">
        <f>AND('STERLING CATALOG - FZN &amp; CHILL'!D804,"AAAAADeb104=")</f>
        <v>#VALUE!</v>
      </c>
      <c r="CB279" t="e">
        <f>AND('STERLING CATALOG - FZN &amp; CHILL'!E804,"AAAAADeb108=")</f>
        <v>#VALUE!</v>
      </c>
      <c r="CC279" t="e">
        <f>AND('STERLING CATALOG - FZN &amp; CHILL'!F804,"AAAAADeb11A=")</f>
        <v>#VALUE!</v>
      </c>
      <c r="CD279" t="e">
        <f>AND('STERLING CATALOG - FZN &amp; CHILL'!G804,"AAAAADeb11E=")</f>
        <v>#VALUE!</v>
      </c>
      <c r="CE279" t="e">
        <f>AND('STERLING CATALOG - FZN &amp; CHILL'!H804,"AAAAADeb11I=")</f>
        <v>#VALUE!</v>
      </c>
      <c r="CF279" t="e">
        <f>AND('STERLING CATALOG - FZN &amp; CHILL'!I804,"AAAAADeb11M=")</f>
        <v>#VALUE!</v>
      </c>
      <c r="CG279" t="e">
        <f>AND('STERLING CATALOG - FZN &amp; CHILL'!J804,"AAAAADeb11Q=")</f>
        <v>#VALUE!</v>
      </c>
      <c r="CH279">
        <f>IF('STERLING CATALOG - FZN &amp; CHILL'!805:805,"AAAAADeb11U=",0)</f>
        <v>0</v>
      </c>
      <c r="CI279" t="e">
        <f>AND('STERLING CATALOG - FZN &amp; CHILL'!A805,"AAAAADeb11Y=")</f>
        <v>#VALUE!</v>
      </c>
      <c r="CJ279" t="e">
        <f>AND('STERLING CATALOG - FZN &amp; CHILL'!B805,"AAAAADeb11c=")</f>
        <v>#VALUE!</v>
      </c>
      <c r="CK279" t="e">
        <f>AND('STERLING CATALOG - FZN &amp; CHILL'!C805,"AAAAADeb11g=")</f>
        <v>#VALUE!</v>
      </c>
      <c r="CL279" t="e">
        <f>AND('STERLING CATALOG - FZN &amp; CHILL'!D805,"AAAAADeb11k=")</f>
        <v>#VALUE!</v>
      </c>
      <c r="CM279" t="e">
        <f>AND('STERLING CATALOG - FZN &amp; CHILL'!E805,"AAAAADeb11o=")</f>
        <v>#VALUE!</v>
      </c>
      <c r="CN279" t="e">
        <f>AND('STERLING CATALOG - FZN &amp; CHILL'!F805,"AAAAADeb11s=")</f>
        <v>#VALUE!</v>
      </c>
      <c r="CO279" t="e">
        <f>AND('STERLING CATALOG - FZN &amp; CHILL'!G805,"AAAAADeb11w=")</f>
        <v>#VALUE!</v>
      </c>
      <c r="CP279" t="e">
        <f>AND('STERLING CATALOG - FZN &amp; CHILL'!H805,"AAAAADeb110=")</f>
        <v>#VALUE!</v>
      </c>
      <c r="CQ279" t="e">
        <f>AND('STERLING CATALOG - FZN &amp; CHILL'!I805,"AAAAADeb114=")</f>
        <v>#VALUE!</v>
      </c>
      <c r="CR279" t="e">
        <f>AND('STERLING CATALOG - FZN &amp; CHILL'!J805,"AAAAADeb118=")</f>
        <v>#VALUE!</v>
      </c>
      <c r="CS279">
        <f>IF('STERLING CATALOG - FZN &amp; CHILL'!806:806,"AAAAADeb12A=",0)</f>
        <v>0</v>
      </c>
      <c r="CT279" t="e">
        <f>AND('STERLING CATALOG - FZN &amp; CHILL'!A806,"AAAAADeb12E=")</f>
        <v>#VALUE!</v>
      </c>
      <c r="CU279" t="e">
        <f>AND('STERLING CATALOG - FZN &amp; CHILL'!B806,"AAAAADeb12I=")</f>
        <v>#VALUE!</v>
      </c>
      <c r="CV279" t="e">
        <f>AND('STERLING CATALOG - FZN &amp; CHILL'!C806,"AAAAADeb12M=")</f>
        <v>#VALUE!</v>
      </c>
      <c r="CW279" t="e">
        <f>AND('STERLING CATALOG - FZN &amp; CHILL'!D806,"AAAAADeb12Q=")</f>
        <v>#VALUE!</v>
      </c>
      <c r="CX279" t="e">
        <f>AND('STERLING CATALOG - FZN &amp; CHILL'!E806,"AAAAADeb12U=")</f>
        <v>#VALUE!</v>
      </c>
      <c r="CY279" t="e">
        <f>AND('STERLING CATALOG - FZN &amp; CHILL'!F806,"AAAAADeb12Y=")</f>
        <v>#VALUE!</v>
      </c>
      <c r="CZ279" t="e">
        <f>AND('STERLING CATALOG - FZN &amp; CHILL'!G806,"AAAAADeb12c=")</f>
        <v>#VALUE!</v>
      </c>
      <c r="DA279" t="e">
        <f>AND('STERLING CATALOG - FZN &amp; CHILL'!H806,"AAAAADeb12g=")</f>
        <v>#VALUE!</v>
      </c>
      <c r="DB279" t="e">
        <f>AND('STERLING CATALOG - FZN &amp; CHILL'!I806,"AAAAADeb12k=")</f>
        <v>#VALUE!</v>
      </c>
      <c r="DC279" t="e">
        <f>AND('STERLING CATALOG - FZN &amp; CHILL'!J806,"AAAAADeb12o=")</f>
        <v>#VALUE!</v>
      </c>
      <c r="DD279">
        <f>IF('STERLING CATALOG - FZN &amp; CHILL'!807:807,"AAAAADeb12s=",0)</f>
        <v>0</v>
      </c>
      <c r="DE279" t="e">
        <f>AND('STERLING CATALOG - FZN &amp; CHILL'!A807,"AAAAADeb12w=")</f>
        <v>#VALUE!</v>
      </c>
      <c r="DF279" t="e">
        <f>AND('STERLING CATALOG - FZN &amp; CHILL'!B807,"AAAAADeb120=")</f>
        <v>#VALUE!</v>
      </c>
      <c r="DG279" t="e">
        <f>AND('STERLING CATALOG - FZN &amp; CHILL'!C807,"AAAAADeb124=")</f>
        <v>#VALUE!</v>
      </c>
      <c r="DH279" t="e">
        <f>AND('STERLING CATALOG - FZN &amp; CHILL'!D807,"AAAAADeb128=")</f>
        <v>#VALUE!</v>
      </c>
      <c r="DI279" t="e">
        <f>AND('STERLING CATALOG - FZN &amp; CHILL'!E807,"AAAAADeb13A=")</f>
        <v>#VALUE!</v>
      </c>
      <c r="DJ279" t="e">
        <f>AND('STERLING CATALOG - FZN &amp; CHILL'!F807,"AAAAADeb13E=")</f>
        <v>#VALUE!</v>
      </c>
      <c r="DK279" t="e">
        <f>AND('STERLING CATALOG - FZN &amp; CHILL'!G807,"AAAAADeb13I=")</f>
        <v>#VALUE!</v>
      </c>
      <c r="DL279" t="e">
        <f>AND('STERLING CATALOG - FZN &amp; CHILL'!H807,"AAAAADeb13M=")</f>
        <v>#VALUE!</v>
      </c>
      <c r="DM279" t="e">
        <f>AND('STERLING CATALOG - FZN &amp; CHILL'!I807,"AAAAADeb13Q=")</f>
        <v>#VALUE!</v>
      </c>
      <c r="DN279" t="e">
        <f>AND('STERLING CATALOG - FZN &amp; CHILL'!J807,"AAAAADeb13U=")</f>
        <v>#VALUE!</v>
      </c>
      <c r="DO279">
        <f>IF('STERLING CATALOG - FZN &amp; CHILL'!808:808,"AAAAADeb13Y=",0)</f>
        <v>0</v>
      </c>
      <c r="DP279" t="e">
        <f>AND('STERLING CATALOG - FZN &amp; CHILL'!A808,"AAAAADeb13c=")</f>
        <v>#VALUE!</v>
      </c>
      <c r="DQ279" t="e">
        <f>AND('STERLING CATALOG - FZN &amp; CHILL'!B808,"AAAAADeb13g=")</f>
        <v>#VALUE!</v>
      </c>
      <c r="DR279" t="e">
        <f>AND('STERLING CATALOG - FZN &amp; CHILL'!C808,"AAAAADeb13k=")</f>
        <v>#VALUE!</v>
      </c>
      <c r="DS279" t="e">
        <f>AND('STERLING CATALOG - FZN &amp; CHILL'!D808,"AAAAADeb13o=")</f>
        <v>#VALUE!</v>
      </c>
      <c r="DT279" t="e">
        <f>AND('STERLING CATALOG - FZN &amp; CHILL'!E808,"AAAAADeb13s=")</f>
        <v>#VALUE!</v>
      </c>
      <c r="DU279" t="e">
        <f>AND('STERLING CATALOG - FZN &amp; CHILL'!F808,"AAAAADeb13w=")</f>
        <v>#VALUE!</v>
      </c>
      <c r="DV279" t="e">
        <f>AND('STERLING CATALOG - FZN &amp; CHILL'!G808,"AAAAADeb130=")</f>
        <v>#VALUE!</v>
      </c>
      <c r="DW279" t="e">
        <f>AND('STERLING CATALOG - FZN &amp; CHILL'!H808,"AAAAADeb134=")</f>
        <v>#VALUE!</v>
      </c>
      <c r="DX279" t="e">
        <f>AND('STERLING CATALOG - FZN &amp; CHILL'!I808,"AAAAADeb138=")</f>
        <v>#VALUE!</v>
      </c>
      <c r="DY279" t="e">
        <f>AND('STERLING CATALOG - FZN &amp; CHILL'!J808,"AAAAADeb14A=")</f>
        <v>#VALUE!</v>
      </c>
      <c r="DZ279">
        <f>IF('STERLING CATALOG - FZN &amp; CHILL'!809:809,"AAAAADeb14E=",0)</f>
        <v>0</v>
      </c>
      <c r="EA279" t="e">
        <f>AND('STERLING CATALOG - FZN &amp; CHILL'!A809,"AAAAADeb14I=")</f>
        <v>#VALUE!</v>
      </c>
      <c r="EB279" t="e">
        <f>AND('STERLING CATALOG - FZN &amp; CHILL'!B809,"AAAAADeb14M=")</f>
        <v>#VALUE!</v>
      </c>
      <c r="EC279" t="e">
        <f>AND('STERLING CATALOG - FZN &amp; CHILL'!C809,"AAAAADeb14Q=")</f>
        <v>#VALUE!</v>
      </c>
      <c r="ED279" t="e">
        <f>AND('STERLING CATALOG - FZN &amp; CHILL'!D809,"AAAAADeb14U=")</f>
        <v>#VALUE!</v>
      </c>
      <c r="EE279" t="e">
        <f>AND('STERLING CATALOG - FZN &amp; CHILL'!E809,"AAAAADeb14Y=")</f>
        <v>#VALUE!</v>
      </c>
      <c r="EF279" t="e">
        <f>AND('STERLING CATALOG - FZN &amp; CHILL'!F809,"AAAAADeb14c=")</f>
        <v>#VALUE!</v>
      </c>
      <c r="EG279" t="e">
        <f>AND('STERLING CATALOG - FZN &amp; CHILL'!G809,"AAAAADeb14g=")</f>
        <v>#VALUE!</v>
      </c>
      <c r="EH279" t="e">
        <f>AND('STERLING CATALOG - FZN &amp; CHILL'!H809,"AAAAADeb14k=")</f>
        <v>#VALUE!</v>
      </c>
      <c r="EI279" t="e">
        <f>AND('STERLING CATALOG - FZN &amp; CHILL'!I809,"AAAAADeb14o=")</f>
        <v>#VALUE!</v>
      </c>
      <c r="EJ279" t="e">
        <f>AND('STERLING CATALOG - FZN &amp; CHILL'!J809,"AAAAADeb14s=")</f>
        <v>#VALUE!</v>
      </c>
      <c r="EK279">
        <f>IF('STERLING CATALOG - FZN &amp; CHILL'!810:810,"AAAAADeb14w=",0)</f>
        <v>0</v>
      </c>
      <c r="EL279" t="e">
        <f>AND('STERLING CATALOG - FZN &amp; CHILL'!A810,"AAAAADeb140=")</f>
        <v>#VALUE!</v>
      </c>
      <c r="EM279" t="e">
        <f>AND('STERLING CATALOG - FZN &amp; CHILL'!B810,"AAAAADeb144=")</f>
        <v>#VALUE!</v>
      </c>
      <c r="EN279" t="e">
        <f>AND('STERLING CATALOG - FZN &amp; CHILL'!C810,"AAAAADeb148=")</f>
        <v>#VALUE!</v>
      </c>
      <c r="EO279" t="e">
        <f>AND('STERLING CATALOG - FZN &amp; CHILL'!D810,"AAAAADeb15A=")</f>
        <v>#VALUE!</v>
      </c>
      <c r="EP279" t="e">
        <f>AND('STERLING CATALOG - FZN &amp; CHILL'!E810,"AAAAADeb15E=")</f>
        <v>#VALUE!</v>
      </c>
      <c r="EQ279" t="e">
        <f>AND('STERLING CATALOG - FZN &amp; CHILL'!F810,"AAAAADeb15I=")</f>
        <v>#VALUE!</v>
      </c>
      <c r="ER279" t="e">
        <f>AND('STERLING CATALOG - FZN &amp; CHILL'!G810,"AAAAADeb15M=")</f>
        <v>#VALUE!</v>
      </c>
      <c r="ES279" t="e">
        <f>AND('STERLING CATALOG - FZN &amp; CHILL'!H810,"AAAAADeb15Q=")</f>
        <v>#VALUE!</v>
      </c>
      <c r="ET279" t="e">
        <f>AND('STERLING CATALOG - FZN &amp; CHILL'!I810,"AAAAADeb15U=")</f>
        <v>#VALUE!</v>
      </c>
      <c r="EU279" t="e">
        <f>AND('STERLING CATALOG - FZN &amp; CHILL'!J810,"AAAAADeb15Y=")</f>
        <v>#VALUE!</v>
      </c>
      <c r="EV279">
        <f>IF('STERLING CATALOG - FZN &amp; CHILL'!811:811,"AAAAADeb15c=",0)</f>
        <v>0</v>
      </c>
      <c r="EW279" t="e">
        <f>AND('STERLING CATALOG - FZN &amp; CHILL'!A811,"AAAAADeb15g=")</f>
        <v>#VALUE!</v>
      </c>
      <c r="EX279" t="e">
        <f>AND('STERLING CATALOG - FZN &amp; CHILL'!B811,"AAAAADeb15k=")</f>
        <v>#VALUE!</v>
      </c>
      <c r="EY279" t="e">
        <f>AND('STERLING CATALOG - FZN &amp; CHILL'!C811,"AAAAADeb15o=")</f>
        <v>#VALUE!</v>
      </c>
      <c r="EZ279" t="e">
        <f>AND('STERLING CATALOG - FZN &amp; CHILL'!D811,"AAAAADeb15s=")</f>
        <v>#VALUE!</v>
      </c>
      <c r="FA279" t="e">
        <f>AND('STERLING CATALOG - FZN &amp; CHILL'!E811,"AAAAADeb15w=")</f>
        <v>#VALUE!</v>
      </c>
      <c r="FB279" t="e">
        <f>AND('STERLING CATALOG - FZN &amp; CHILL'!F811,"AAAAADeb150=")</f>
        <v>#VALUE!</v>
      </c>
      <c r="FC279" t="e">
        <f>AND('STERLING CATALOG - FZN &amp; CHILL'!G811,"AAAAADeb154=")</f>
        <v>#VALUE!</v>
      </c>
      <c r="FD279" t="e">
        <f>AND('STERLING CATALOG - FZN &amp; CHILL'!H811,"AAAAADeb158=")</f>
        <v>#VALUE!</v>
      </c>
      <c r="FE279" t="e">
        <f>AND('STERLING CATALOG - FZN &amp; CHILL'!I811,"AAAAADeb16A=")</f>
        <v>#VALUE!</v>
      </c>
      <c r="FF279" t="e">
        <f>AND('STERLING CATALOG - FZN &amp; CHILL'!J811,"AAAAADeb16E=")</f>
        <v>#VALUE!</v>
      </c>
      <c r="FG279">
        <f>IF('STERLING CATALOG - FZN &amp; CHILL'!812:812,"AAAAADeb16I=",0)</f>
        <v>0</v>
      </c>
      <c r="FH279" t="e">
        <f>AND('STERLING CATALOG - FZN &amp; CHILL'!A812,"AAAAADeb16M=")</f>
        <v>#VALUE!</v>
      </c>
      <c r="FI279" t="e">
        <f>AND('STERLING CATALOG - FZN &amp; CHILL'!B812,"AAAAADeb16Q=")</f>
        <v>#VALUE!</v>
      </c>
      <c r="FJ279" t="e">
        <f>AND('STERLING CATALOG - FZN &amp; CHILL'!C812,"AAAAADeb16U=")</f>
        <v>#VALUE!</v>
      </c>
      <c r="FK279" t="e">
        <f>AND('STERLING CATALOG - FZN &amp; CHILL'!D812,"AAAAADeb16Y=")</f>
        <v>#VALUE!</v>
      </c>
      <c r="FL279" t="e">
        <f>AND('STERLING CATALOG - FZN &amp; CHILL'!E812,"AAAAADeb16c=")</f>
        <v>#VALUE!</v>
      </c>
      <c r="FM279" t="e">
        <f>AND('STERLING CATALOG - FZN &amp; CHILL'!F812,"AAAAADeb16g=")</f>
        <v>#VALUE!</v>
      </c>
      <c r="FN279" t="e">
        <f>AND('STERLING CATALOG - FZN &amp; CHILL'!G812,"AAAAADeb16k=")</f>
        <v>#VALUE!</v>
      </c>
      <c r="FO279" t="e">
        <f>AND('STERLING CATALOG - FZN &amp; CHILL'!H812,"AAAAADeb16o=")</f>
        <v>#VALUE!</v>
      </c>
      <c r="FP279" t="e">
        <f>AND('STERLING CATALOG - FZN &amp; CHILL'!I812,"AAAAADeb16s=")</f>
        <v>#VALUE!</v>
      </c>
      <c r="FQ279" t="e">
        <f>AND('STERLING CATALOG - FZN &amp; CHILL'!J812,"AAAAADeb16w=")</f>
        <v>#VALUE!</v>
      </c>
      <c r="FR279">
        <f>IF('STERLING CATALOG - FZN &amp; CHILL'!813:813,"AAAAADeb160=",0)</f>
        <v>0</v>
      </c>
      <c r="FS279" t="e">
        <f>AND('STERLING CATALOG - FZN &amp; CHILL'!A813,"AAAAADeb164=")</f>
        <v>#VALUE!</v>
      </c>
      <c r="FT279" t="e">
        <f>AND('STERLING CATALOG - FZN &amp; CHILL'!B813,"AAAAADeb168=")</f>
        <v>#VALUE!</v>
      </c>
      <c r="FU279" t="e">
        <f>AND('STERLING CATALOG - FZN &amp; CHILL'!C813,"AAAAADeb17A=")</f>
        <v>#VALUE!</v>
      </c>
      <c r="FV279" t="e">
        <f>AND('STERLING CATALOG - FZN &amp; CHILL'!D813,"AAAAADeb17E=")</f>
        <v>#VALUE!</v>
      </c>
      <c r="FW279" t="e">
        <f>AND('STERLING CATALOG - FZN &amp; CHILL'!E813,"AAAAADeb17I=")</f>
        <v>#VALUE!</v>
      </c>
      <c r="FX279" t="e">
        <f>AND('STERLING CATALOG - FZN &amp; CHILL'!F813,"AAAAADeb17M=")</f>
        <v>#VALUE!</v>
      </c>
      <c r="FY279" t="e">
        <f>AND('STERLING CATALOG - FZN &amp; CHILL'!G813,"AAAAADeb17Q=")</f>
        <v>#VALUE!</v>
      </c>
      <c r="FZ279" t="e">
        <f>AND('STERLING CATALOG - FZN &amp; CHILL'!H813,"AAAAADeb17U=")</f>
        <v>#VALUE!</v>
      </c>
      <c r="GA279" t="e">
        <f>AND('STERLING CATALOG - FZN &amp; CHILL'!I813,"AAAAADeb17Y=")</f>
        <v>#VALUE!</v>
      </c>
      <c r="GB279" t="e">
        <f>AND('STERLING CATALOG - FZN &amp; CHILL'!J813,"AAAAADeb17c=")</f>
        <v>#VALUE!</v>
      </c>
      <c r="GC279">
        <f>IF('STERLING CATALOG - FZN &amp; CHILL'!814:814,"AAAAADeb17g=",0)</f>
        <v>0</v>
      </c>
      <c r="GD279" t="e">
        <f>AND('STERLING CATALOG - FZN &amp; CHILL'!A814,"AAAAADeb17k=")</f>
        <v>#VALUE!</v>
      </c>
      <c r="GE279" t="e">
        <f>AND('STERLING CATALOG - FZN &amp; CHILL'!B814,"AAAAADeb17o=")</f>
        <v>#VALUE!</v>
      </c>
      <c r="GF279" t="e">
        <f>AND('STERLING CATALOG - FZN &amp; CHILL'!C814,"AAAAADeb17s=")</f>
        <v>#VALUE!</v>
      </c>
      <c r="GG279" t="e">
        <f>AND('STERLING CATALOG - FZN &amp; CHILL'!D814,"AAAAADeb17w=")</f>
        <v>#VALUE!</v>
      </c>
      <c r="GH279" t="e">
        <f>AND('STERLING CATALOG - FZN &amp; CHILL'!E814,"AAAAADeb170=")</f>
        <v>#VALUE!</v>
      </c>
      <c r="GI279" t="e">
        <f>AND('STERLING CATALOG - FZN &amp; CHILL'!F814,"AAAAADeb174=")</f>
        <v>#VALUE!</v>
      </c>
      <c r="GJ279" t="e">
        <f>AND('STERLING CATALOG - FZN &amp; CHILL'!G814,"AAAAADeb178=")</f>
        <v>#VALUE!</v>
      </c>
      <c r="GK279" t="e">
        <f>AND('STERLING CATALOG - FZN &amp; CHILL'!H814,"AAAAADeb18A=")</f>
        <v>#VALUE!</v>
      </c>
      <c r="GL279" t="e">
        <f>AND('STERLING CATALOG - FZN &amp; CHILL'!I814,"AAAAADeb18E=")</f>
        <v>#VALUE!</v>
      </c>
      <c r="GM279" t="e">
        <f>AND('STERLING CATALOG - FZN &amp; CHILL'!J814,"AAAAADeb18I=")</f>
        <v>#VALUE!</v>
      </c>
      <c r="GN279">
        <f>IF('STERLING CATALOG - FZN &amp; CHILL'!815:815,"AAAAADeb18M=",0)</f>
        <v>0</v>
      </c>
      <c r="GO279" t="e">
        <f>AND('STERLING CATALOG - FZN &amp; CHILL'!A815,"AAAAADeb18Q=")</f>
        <v>#VALUE!</v>
      </c>
      <c r="GP279" t="e">
        <f>AND('STERLING CATALOG - FZN &amp; CHILL'!B815,"AAAAADeb18U=")</f>
        <v>#VALUE!</v>
      </c>
      <c r="GQ279" t="e">
        <f>AND('STERLING CATALOG - FZN &amp; CHILL'!C815,"AAAAADeb18Y=")</f>
        <v>#VALUE!</v>
      </c>
      <c r="GR279" t="e">
        <f>AND('STERLING CATALOG - FZN &amp; CHILL'!D815,"AAAAADeb18c=")</f>
        <v>#VALUE!</v>
      </c>
      <c r="GS279" t="e">
        <f>AND('STERLING CATALOG - FZN &amp; CHILL'!E815,"AAAAADeb18g=")</f>
        <v>#VALUE!</v>
      </c>
      <c r="GT279" t="e">
        <f>AND('STERLING CATALOG - FZN &amp; CHILL'!F815,"AAAAADeb18k=")</f>
        <v>#VALUE!</v>
      </c>
      <c r="GU279" t="e">
        <f>AND('STERLING CATALOG - FZN &amp; CHILL'!G815,"AAAAADeb18o=")</f>
        <v>#VALUE!</v>
      </c>
      <c r="GV279" t="e">
        <f>AND('STERLING CATALOG - FZN &amp; CHILL'!H815,"AAAAADeb18s=")</f>
        <v>#VALUE!</v>
      </c>
      <c r="GW279" t="e">
        <f>AND('STERLING CATALOG - FZN &amp; CHILL'!I815,"AAAAADeb18w=")</f>
        <v>#VALUE!</v>
      </c>
      <c r="GX279" t="e">
        <f>AND('STERLING CATALOG - FZN &amp; CHILL'!J815,"AAAAADeb180=")</f>
        <v>#VALUE!</v>
      </c>
      <c r="GY279">
        <f>IF('STERLING CATALOG - FZN &amp; CHILL'!816:816,"AAAAADeb184=",0)</f>
        <v>0</v>
      </c>
      <c r="GZ279" t="e">
        <f>AND('STERLING CATALOG - FZN &amp; CHILL'!A816,"AAAAADeb188=")</f>
        <v>#VALUE!</v>
      </c>
      <c r="HA279" t="e">
        <f>AND('STERLING CATALOG - FZN &amp; CHILL'!B816,"AAAAADeb19A=")</f>
        <v>#VALUE!</v>
      </c>
      <c r="HB279" t="e">
        <f>AND('STERLING CATALOG - FZN &amp; CHILL'!C816,"AAAAADeb19E=")</f>
        <v>#VALUE!</v>
      </c>
      <c r="HC279" t="e">
        <f>AND('STERLING CATALOG - FZN &amp; CHILL'!D816,"AAAAADeb19I=")</f>
        <v>#VALUE!</v>
      </c>
      <c r="HD279" t="e">
        <f>AND('STERLING CATALOG - FZN &amp; CHILL'!E816,"AAAAADeb19M=")</f>
        <v>#VALUE!</v>
      </c>
      <c r="HE279" t="e">
        <f>AND('STERLING CATALOG - FZN &amp; CHILL'!F816,"AAAAADeb19Q=")</f>
        <v>#VALUE!</v>
      </c>
      <c r="HF279" t="e">
        <f>AND('STERLING CATALOG - FZN &amp; CHILL'!G816,"AAAAADeb19U=")</f>
        <v>#VALUE!</v>
      </c>
      <c r="HG279" t="e">
        <f>AND('STERLING CATALOG - FZN &amp; CHILL'!H816,"AAAAADeb19Y=")</f>
        <v>#VALUE!</v>
      </c>
      <c r="HH279" t="e">
        <f>AND('STERLING CATALOG - FZN &amp; CHILL'!I816,"AAAAADeb19c=")</f>
        <v>#VALUE!</v>
      </c>
      <c r="HI279" t="e">
        <f>AND('STERLING CATALOG - FZN &amp; CHILL'!J816,"AAAAADeb19g=")</f>
        <v>#VALUE!</v>
      </c>
      <c r="HJ279">
        <f>IF('STERLING CATALOG - FZN &amp; CHILL'!817:817,"AAAAADeb19k=",0)</f>
        <v>0</v>
      </c>
      <c r="HK279" t="e">
        <f>AND('STERLING CATALOG - FZN &amp; CHILL'!A817,"AAAAADeb19o=")</f>
        <v>#VALUE!</v>
      </c>
      <c r="HL279" t="e">
        <f>AND('STERLING CATALOG - FZN &amp; CHILL'!B817,"AAAAADeb19s=")</f>
        <v>#VALUE!</v>
      </c>
      <c r="HM279" t="e">
        <f>AND('STERLING CATALOG - FZN &amp; CHILL'!C817,"AAAAADeb19w=")</f>
        <v>#VALUE!</v>
      </c>
      <c r="HN279" t="e">
        <f>AND('STERLING CATALOG - FZN &amp; CHILL'!D817,"AAAAADeb190=")</f>
        <v>#VALUE!</v>
      </c>
      <c r="HO279" t="e">
        <f>AND('STERLING CATALOG - FZN &amp; CHILL'!E817,"AAAAADeb194=")</f>
        <v>#VALUE!</v>
      </c>
      <c r="HP279" t="e">
        <f>AND('STERLING CATALOG - FZN &amp; CHILL'!F817,"AAAAADeb198=")</f>
        <v>#VALUE!</v>
      </c>
      <c r="HQ279" t="e">
        <f>AND('STERLING CATALOG - FZN &amp; CHILL'!G817,"AAAAADeb1+A=")</f>
        <v>#VALUE!</v>
      </c>
      <c r="HR279" t="e">
        <f>AND('STERLING CATALOG - FZN &amp; CHILL'!H817,"AAAAADeb1+E=")</f>
        <v>#VALUE!</v>
      </c>
      <c r="HS279" t="e">
        <f>AND('STERLING CATALOG - FZN &amp; CHILL'!I817,"AAAAADeb1+I=")</f>
        <v>#VALUE!</v>
      </c>
      <c r="HT279" t="e">
        <f>AND('STERLING CATALOG - FZN &amp; CHILL'!J817,"AAAAADeb1+M=")</f>
        <v>#VALUE!</v>
      </c>
      <c r="HU279">
        <f>IF('STERLING CATALOG - FZN &amp; CHILL'!818:818,"AAAAADeb1+Q=",0)</f>
        <v>0</v>
      </c>
      <c r="HV279" t="e">
        <f>AND('STERLING CATALOG - FZN &amp; CHILL'!A818,"AAAAADeb1+U=")</f>
        <v>#VALUE!</v>
      </c>
      <c r="HW279" t="e">
        <f>AND('STERLING CATALOG - FZN &amp; CHILL'!B818,"AAAAADeb1+Y=")</f>
        <v>#VALUE!</v>
      </c>
      <c r="HX279" t="e">
        <f>AND('STERLING CATALOG - FZN &amp; CHILL'!C818,"AAAAADeb1+c=")</f>
        <v>#VALUE!</v>
      </c>
      <c r="HY279" t="e">
        <f>AND('STERLING CATALOG - FZN &amp; CHILL'!D818,"AAAAADeb1+g=")</f>
        <v>#VALUE!</v>
      </c>
      <c r="HZ279" t="e">
        <f>AND('STERLING CATALOG - FZN &amp; CHILL'!E818,"AAAAADeb1+k=")</f>
        <v>#VALUE!</v>
      </c>
      <c r="IA279" t="e">
        <f>AND('STERLING CATALOG - FZN &amp; CHILL'!F818,"AAAAADeb1+o=")</f>
        <v>#VALUE!</v>
      </c>
      <c r="IB279" t="e">
        <f>AND('STERLING CATALOG - FZN &amp; CHILL'!G818,"AAAAADeb1+s=")</f>
        <v>#VALUE!</v>
      </c>
      <c r="IC279" t="e">
        <f>AND('STERLING CATALOG - FZN &amp; CHILL'!H818,"AAAAADeb1+w=")</f>
        <v>#VALUE!</v>
      </c>
      <c r="ID279" t="e">
        <f>AND('STERLING CATALOG - FZN &amp; CHILL'!I818,"AAAAADeb1+0=")</f>
        <v>#VALUE!</v>
      </c>
      <c r="IE279" t="e">
        <f>AND('STERLING CATALOG - FZN &amp; CHILL'!J818,"AAAAADeb1+4=")</f>
        <v>#VALUE!</v>
      </c>
      <c r="IF279">
        <f>IF('STERLING CATALOG - FZN &amp; CHILL'!819:819,"AAAAADeb1+8=",0)</f>
        <v>0</v>
      </c>
      <c r="IG279" t="e">
        <f>AND('STERLING CATALOG - FZN &amp; CHILL'!A819,"AAAAADeb1/A=")</f>
        <v>#VALUE!</v>
      </c>
      <c r="IH279" t="e">
        <f>AND('STERLING CATALOG - FZN &amp; CHILL'!B819,"AAAAADeb1/E=")</f>
        <v>#VALUE!</v>
      </c>
      <c r="II279" t="e">
        <f>AND('STERLING CATALOG - FZN &amp; CHILL'!C819,"AAAAADeb1/I=")</f>
        <v>#VALUE!</v>
      </c>
      <c r="IJ279" t="e">
        <f>AND('STERLING CATALOG - FZN &amp; CHILL'!D819,"AAAAADeb1/M=")</f>
        <v>#VALUE!</v>
      </c>
      <c r="IK279" t="e">
        <f>AND('STERLING CATALOG - FZN &amp; CHILL'!E819,"AAAAADeb1/Q=")</f>
        <v>#VALUE!</v>
      </c>
      <c r="IL279" t="e">
        <f>AND('STERLING CATALOG - FZN &amp; CHILL'!F819,"AAAAADeb1/U=")</f>
        <v>#VALUE!</v>
      </c>
      <c r="IM279" t="e">
        <f>AND('STERLING CATALOG - FZN &amp; CHILL'!G819,"AAAAADeb1/Y=")</f>
        <v>#VALUE!</v>
      </c>
      <c r="IN279" t="e">
        <f>AND('STERLING CATALOG - FZN &amp; CHILL'!H819,"AAAAADeb1/c=")</f>
        <v>#VALUE!</v>
      </c>
      <c r="IO279" t="e">
        <f>AND('STERLING CATALOG - FZN &amp; CHILL'!I819,"AAAAADeb1/g=")</f>
        <v>#VALUE!</v>
      </c>
      <c r="IP279" t="e">
        <f>AND('STERLING CATALOG - FZN &amp; CHILL'!J819,"AAAAADeb1/k=")</f>
        <v>#VALUE!</v>
      </c>
      <c r="IQ279">
        <f>IF('STERLING CATALOG - FZN &amp; CHILL'!820:820,"AAAAADeb1/o=",0)</f>
        <v>0</v>
      </c>
      <c r="IR279" t="e">
        <f>AND('STERLING CATALOG - FZN &amp; CHILL'!A820,"AAAAADeb1/s=")</f>
        <v>#VALUE!</v>
      </c>
      <c r="IS279" t="e">
        <f>AND('STERLING CATALOG - FZN &amp; CHILL'!B820,"AAAAADeb1/w=")</f>
        <v>#VALUE!</v>
      </c>
      <c r="IT279" t="e">
        <f>AND('STERLING CATALOG - FZN &amp; CHILL'!C820,"AAAAADeb1/0=")</f>
        <v>#VALUE!</v>
      </c>
      <c r="IU279" t="e">
        <f>AND('STERLING CATALOG - FZN &amp; CHILL'!D820,"AAAAADeb1/4=")</f>
        <v>#VALUE!</v>
      </c>
      <c r="IV279" t="e">
        <f>AND('STERLING CATALOG - FZN &amp; CHILL'!E820,"AAAAADeb1/8=")</f>
        <v>#VALUE!</v>
      </c>
    </row>
    <row r="280" spans="1:256">
      <c r="A280" t="e">
        <f>AND('STERLING CATALOG - FZN &amp; CHILL'!F820,"AAAAAF9HdwA=")</f>
        <v>#VALUE!</v>
      </c>
      <c r="B280" t="e">
        <f>AND('STERLING CATALOG - FZN &amp; CHILL'!G820,"AAAAAF9HdwE=")</f>
        <v>#VALUE!</v>
      </c>
      <c r="C280" t="e">
        <f>AND('STERLING CATALOG - FZN &amp; CHILL'!H820,"AAAAAF9HdwI=")</f>
        <v>#VALUE!</v>
      </c>
      <c r="D280" t="e">
        <f>AND('STERLING CATALOG - FZN &amp; CHILL'!I820,"AAAAAF9HdwM=")</f>
        <v>#VALUE!</v>
      </c>
      <c r="E280" t="e">
        <f>AND('STERLING CATALOG - FZN &amp; CHILL'!J820,"AAAAAF9HdwQ=")</f>
        <v>#VALUE!</v>
      </c>
      <c r="F280" t="str">
        <f>IF('STERLING CATALOG - FZN &amp; CHILL'!821:821,"AAAAAF9HdwU=",0)</f>
        <v>AAAAAF9HdwU=</v>
      </c>
      <c r="G280" t="e">
        <f>AND('STERLING CATALOG - FZN &amp; CHILL'!A821,"AAAAAF9HdwY=")</f>
        <v>#VALUE!</v>
      </c>
      <c r="H280" t="e">
        <f>AND('STERLING CATALOG - FZN &amp; CHILL'!B821,"AAAAAF9Hdwc=")</f>
        <v>#VALUE!</v>
      </c>
      <c r="I280" t="e">
        <f>AND('STERLING CATALOG - FZN &amp; CHILL'!C821,"AAAAAF9Hdwg=")</f>
        <v>#VALUE!</v>
      </c>
      <c r="J280" t="e">
        <f>AND('STERLING CATALOG - FZN &amp; CHILL'!D821,"AAAAAF9Hdwk=")</f>
        <v>#VALUE!</v>
      </c>
      <c r="K280" t="e">
        <f>AND('STERLING CATALOG - FZN &amp; CHILL'!E821,"AAAAAF9Hdwo=")</f>
        <v>#VALUE!</v>
      </c>
      <c r="L280" t="e">
        <f>AND('STERLING CATALOG - FZN &amp; CHILL'!F821,"AAAAAF9Hdws=")</f>
        <v>#VALUE!</v>
      </c>
      <c r="M280" t="e">
        <f>AND('STERLING CATALOG - FZN &amp; CHILL'!G821,"AAAAAF9Hdww=")</f>
        <v>#VALUE!</v>
      </c>
      <c r="N280" t="e">
        <f>AND('STERLING CATALOG - FZN &amp; CHILL'!H821,"AAAAAF9Hdw0=")</f>
        <v>#VALUE!</v>
      </c>
      <c r="O280" t="e">
        <f>AND('STERLING CATALOG - FZN &amp; CHILL'!I821,"AAAAAF9Hdw4=")</f>
        <v>#VALUE!</v>
      </c>
      <c r="P280" t="e">
        <f>AND('STERLING CATALOG - FZN &amp; CHILL'!J821,"AAAAAF9Hdw8=")</f>
        <v>#VALUE!</v>
      </c>
      <c r="Q280">
        <f>IF('STERLING CATALOG - FZN &amp; CHILL'!822:822,"AAAAAF9HdxA=",0)</f>
        <v>0</v>
      </c>
      <c r="R280" t="e">
        <f>AND('STERLING CATALOG - FZN &amp; CHILL'!A822,"AAAAAF9HdxE=")</f>
        <v>#VALUE!</v>
      </c>
      <c r="S280" t="e">
        <f>AND('STERLING CATALOG - FZN &amp; CHILL'!B822,"AAAAAF9HdxI=")</f>
        <v>#VALUE!</v>
      </c>
      <c r="T280" t="e">
        <f>AND('STERLING CATALOG - FZN &amp; CHILL'!C822,"AAAAAF9HdxM=")</f>
        <v>#VALUE!</v>
      </c>
      <c r="U280" t="e">
        <f>AND('STERLING CATALOG - FZN &amp; CHILL'!D822,"AAAAAF9HdxQ=")</f>
        <v>#VALUE!</v>
      </c>
      <c r="V280" t="e">
        <f>AND('STERLING CATALOG - FZN &amp; CHILL'!E822,"AAAAAF9HdxU=")</f>
        <v>#VALUE!</v>
      </c>
      <c r="W280" t="e">
        <f>AND('STERLING CATALOG - FZN &amp; CHILL'!F822,"AAAAAF9HdxY=")</f>
        <v>#VALUE!</v>
      </c>
      <c r="X280" t="e">
        <f>AND('STERLING CATALOG - FZN &amp; CHILL'!G822,"AAAAAF9Hdxc=")</f>
        <v>#VALUE!</v>
      </c>
      <c r="Y280" t="e">
        <f>AND('STERLING CATALOG - FZN &amp; CHILL'!H822,"AAAAAF9Hdxg=")</f>
        <v>#VALUE!</v>
      </c>
      <c r="Z280" t="e">
        <f>AND('STERLING CATALOG - FZN &amp; CHILL'!I822,"AAAAAF9Hdxk=")</f>
        <v>#VALUE!</v>
      </c>
      <c r="AA280" t="e">
        <f>AND('STERLING CATALOG - FZN &amp; CHILL'!J822,"AAAAAF9Hdxo=")</f>
        <v>#VALUE!</v>
      </c>
      <c r="AB280">
        <f>IF('STERLING CATALOG - FZN &amp; CHILL'!823:823,"AAAAAF9Hdxs=",0)</f>
        <v>0</v>
      </c>
      <c r="AC280" t="e">
        <f>AND('STERLING CATALOG - FZN &amp; CHILL'!A823,"AAAAAF9Hdxw=")</f>
        <v>#VALUE!</v>
      </c>
      <c r="AD280" t="e">
        <f>AND('STERLING CATALOG - FZN &amp; CHILL'!B823,"AAAAAF9Hdx0=")</f>
        <v>#VALUE!</v>
      </c>
      <c r="AE280" t="e">
        <f>AND('STERLING CATALOG - FZN &amp; CHILL'!C823,"AAAAAF9Hdx4=")</f>
        <v>#VALUE!</v>
      </c>
      <c r="AF280" t="e">
        <f>AND('STERLING CATALOG - FZN &amp; CHILL'!D823,"AAAAAF9Hdx8=")</f>
        <v>#VALUE!</v>
      </c>
      <c r="AG280" t="e">
        <f>AND('STERLING CATALOG - FZN &amp; CHILL'!E823,"AAAAAF9HdyA=")</f>
        <v>#VALUE!</v>
      </c>
      <c r="AH280" t="e">
        <f>AND('STERLING CATALOG - FZN &amp; CHILL'!F823,"AAAAAF9HdyE=")</f>
        <v>#VALUE!</v>
      </c>
      <c r="AI280" t="e">
        <f>AND('STERLING CATALOG - FZN &amp; CHILL'!G823,"AAAAAF9HdyI=")</f>
        <v>#VALUE!</v>
      </c>
      <c r="AJ280" t="e">
        <f>AND('STERLING CATALOG - FZN &amp; CHILL'!H823,"AAAAAF9HdyM=")</f>
        <v>#VALUE!</v>
      </c>
      <c r="AK280" t="e">
        <f>AND('STERLING CATALOG - FZN &amp; CHILL'!I823,"AAAAAF9HdyQ=")</f>
        <v>#VALUE!</v>
      </c>
      <c r="AL280" t="e">
        <f>AND('STERLING CATALOG - FZN &amp; CHILL'!J823,"AAAAAF9HdyU=")</f>
        <v>#VALUE!</v>
      </c>
      <c r="AM280">
        <f>IF('STERLING CATALOG - FZN &amp; CHILL'!824:824,"AAAAAF9HdyY=",0)</f>
        <v>0</v>
      </c>
      <c r="AN280" t="e">
        <f>AND('STERLING CATALOG - FZN &amp; CHILL'!A824,"AAAAAF9Hdyc=")</f>
        <v>#VALUE!</v>
      </c>
      <c r="AO280" t="e">
        <f>AND('STERLING CATALOG - FZN &amp; CHILL'!B824,"AAAAAF9Hdyg=")</f>
        <v>#VALUE!</v>
      </c>
      <c r="AP280" t="e">
        <f>AND('STERLING CATALOG - FZN &amp; CHILL'!C824,"AAAAAF9Hdyk=")</f>
        <v>#VALUE!</v>
      </c>
      <c r="AQ280" t="e">
        <f>AND('STERLING CATALOG - FZN &amp; CHILL'!D824,"AAAAAF9Hdyo=")</f>
        <v>#VALUE!</v>
      </c>
      <c r="AR280" t="e">
        <f>AND('STERLING CATALOG - FZN &amp; CHILL'!E824,"AAAAAF9Hdys=")</f>
        <v>#VALUE!</v>
      </c>
      <c r="AS280" t="e">
        <f>AND('STERLING CATALOG - FZN &amp; CHILL'!F824,"AAAAAF9Hdyw=")</f>
        <v>#VALUE!</v>
      </c>
      <c r="AT280" t="e">
        <f>AND('STERLING CATALOG - FZN &amp; CHILL'!G824,"AAAAAF9Hdy0=")</f>
        <v>#VALUE!</v>
      </c>
      <c r="AU280" t="e">
        <f>AND('STERLING CATALOG - FZN &amp; CHILL'!H824,"AAAAAF9Hdy4=")</f>
        <v>#VALUE!</v>
      </c>
      <c r="AV280" t="e">
        <f>AND('STERLING CATALOG - FZN &amp; CHILL'!I824,"AAAAAF9Hdy8=")</f>
        <v>#VALUE!</v>
      </c>
      <c r="AW280" t="e">
        <f>AND('STERLING CATALOG - FZN &amp; CHILL'!J824,"AAAAAF9HdzA=")</f>
        <v>#VALUE!</v>
      </c>
      <c r="AX280">
        <f>IF('STERLING CATALOG - FZN &amp; CHILL'!825:825,"AAAAAF9HdzE=",0)</f>
        <v>0</v>
      </c>
      <c r="AY280" t="e">
        <f>AND('STERLING CATALOG - FZN &amp; CHILL'!A825,"AAAAAF9HdzI=")</f>
        <v>#VALUE!</v>
      </c>
      <c r="AZ280" t="e">
        <f>AND('STERLING CATALOG - FZN &amp; CHILL'!B825,"AAAAAF9HdzM=")</f>
        <v>#VALUE!</v>
      </c>
      <c r="BA280" t="e">
        <f>AND('STERLING CATALOG - FZN &amp; CHILL'!C825,"AAAAAF9HdzQ=")</f>
        <v>#VALUE!</v>
      </c>
      <c r="BB280" t="e">
        <f>AND('STERLING CATALOG - FZN &amp; CHILL'!D825,"AAAAAF9HdzU=")</f>
        <v>#VALUE!</v>
      </c>
      <c r="BC280" t="e">
        <f>AND('STERLING CATALOG - FZN &amp; CHILL'!E825,"AAAAAF9HdzY=")</f>
        <v>#VALUE!</v>
      </c>
      <c r="BD280" t="e">
        <f>AND('STERLING CATALOG - FZN &amp; CHILL'!F825,"AAAAAF9Hdzc=")</f>
        <v>#VALUE!</v>
      </c>
      <c r="BE280" t="e">
        <f>AND('STERLING CATALOG - FZN &amp; CHILL'!G825,"AAAAAF9Hdzg=")</f>
        <v>#VALUE!</v>
      </c>
      <c r="BF280" t="e">
        <f>AND('STERLING CATALOG - FZN &amp; CHILL'!H825,"AAAAAF9Hdzk=")</f>
        <v>#VALUE!</v>
      </c>
      <c r="BG280" t="e">
        <f>AND('STERLING CATALOG - FZN &amp; CHILL'!I825,"AAAAAF9Hdzo=")</f>
        <v>#VALUE!</v>
      </c>
      <c r="BH280" t="e">
        <f>AND('STERLING CATALOG - FZN &amp; CHILL'!J825,"AAAAAF9Hdzs=")</f>
        <v>#VALUE!</v>
      </c>
      <c r="BI280">
        <f>IF('STERLING CATALOG - FZN &amp; CHILL'!826:826,"AAAAAF9Hdzw=",0)</f>
        <v>0</v>
      </c>
      <c r="BJ280" t="e">
        <f>AND('STERLING CATALOG - FZN &amp; CHILL'!A826,"AAAAAF9Hdz0=")</f>
        <v>#VALUE!</v>
      </c>
      <c r="BK280" t="e">
        <f>AND('STERLING CATALOG - FZN &amp; CHILL'!B826,"AAAAAF9Hdz4=")</f>
        <v>#VALUE!</v>
      </c>
      <c r="BL280" t="e">
        <f>AND('STERLING CATALOG - FZN &amp; CHILL'!C826,"AAAAAF9Hdz8=")</f>
        <v>#VALUE!</v>
      </c>
      <c r="BM280" t="e">
        <f>AND('STERLING CATALOG - FZN &amp; CHILL'!D826,"AAAAAF9Hd0A=")</f>
        <v>#VALUE!</v>
      </c>
      <c r="BN280" t="e">
        <f>AND('STERLING CATALOG - FZN &amp; CHILL'!E826,"AAAAAF9Hd0E=")</f>
        <v>#VALUE!</v>
      </c>
      <c r="BO280" t="e">
        <f>AND('STERLING CATALOG - FZN &amp; CHILL'!F826,"AAAAAF9Hd0I=")</f>
        <v>#VALUE!</v>
      </c>
      <c r="BP280" t="e">
        <f>AND('STERLING CATALOG - FZN &amp; CHILL'!G826,"AAAAAF9Hd0M=")</f>
        <v>#VALUE!</v>
      </c>
      <c r="BQ280" t="e">
        <f>AND('STERLING CATALOG - FZN &amp; CHILL'!H826,"AAAAAF9Hd0Q=")</f>
        <v>#VALUE!</v>
      </c>
      <c r="BR280" t="e">
        <f>AND('STERLING CATALOG - FZN &amp; CHILL'!I826,"AAAAAF9Hd0U=")</f>
        <v>#VALUE!</v>
      </c>
      <c r="BS280" t="e">
        <f>AND('STERLING CATALOG - FZN &amp; CHILL'!J826,"AAAAAF9Hd0Y=")</f>
        <v>#VALUE!</v>
      </c>
      <c r="BT280">
        <f>IF('STERLING CATALOG - FZN &amp; CHILL'!827:827,"AAAAAF9Hd0c=",0)</f>
        <v>0</v>
      </c>
      <c r="BU280" t="e">
        <f>AND('STERLING CATALOG - FZN &amp; CHILL'!A827,"AAAAAF9Hd0g=")</f>
        <v>#VALUE!</v>
      </c>
      <c r="BV280" t="e">
        <f>AND('STERLING CATALOG - FZN &amp; CHILL'!B827,"AAAAAF9Hd0k=")</f>
        <v>#VALUE!</v>
      </c>
      <c r="BW280" t="e">
        <f>AND('STERLING CATALOG - FZN &amp; CHILL'!C827,"AAAAAF9Hd0o=")</f>
        <v>#VALUE!</v>
      </c>
      <c r="BX280" t="e">
        <f>AND('STERLING CATALOG - FZN &amp; CHILL'!D827,"AAAAAF9Hd0s=")</f>
        <v>#VALUE!</v>
      </c>
      <c r="BY280" t="e">
        <f>AND('STERLING CATALOG - FZN &amp; CHILL'!E827,"AAAAAF9Hd0w=")</f>
        <v>#VALUE!</v>
      </c>
      <c r="BZ280" t="e">
        <f>AND('STERLING CATALOG - FZN &amp; CHILL'!F827,"AAAAAF9Hd00=")</f>
        <v>#VALUE!</v>
      </c>
      <c r="CA280" t="e">
        <f>AND('STERLING CATALOG - FZN &amp; CHILL'!G827,"AAAAAF9Hd04=")</f>
        <v>#VALUE!</v>
      </c>
      <c r="CB280" t="e">
        <f>AND('STERLING CATALOG - FZN &amp; CHILL'!H827,"AAAAAF9Hd08=")</f>
        <v>#VALUE!</v>
      </c>
      <c r="CC280" t="e">
        <f>AND('STERLING CATALOG - FZN &amp; CHILL'!I827,"AAAAAF9Hd1A=")</f>
        <v>#VALUE!</v>
      </c>
      <c r="CD280" t="e">
        <f>AND('STERLING CATALOG - FZN &amp; CHILL'!J827,"AAAAAF9Hd1E=")</f>
        <v>#VALUE!</v>
      </c>
      <c r="CE280">
        <f>IF('STERLING CATALOG - FZN &amp; CHILL'!828:828,"AAAAAF9Hd1I=",0)</f>
        <v>0</v>
      </c>
      <c r="CF280" t="e">
        <f>AND('STERLING CATALOG - FZN &amp; CHILL'!A828,"AAAAAF9Hd1M=")</f>
        <v>#VALUE!</v>
      </c>
      <c r="CG280" t="e">
        <f>AND('STERLING CATALOG - FZN &amp; CHILL'!B828,"AAAAAF9Hd1Q=")</f>
        <v>#VALUE!</v>
      </c>
      <c r="CH280" t="e">
        <f>AND('STERLING CATALOG - FZN &amp; CHILL'!C828,"AAAAAF9Hd1U=")</f>
        <v>#VALUE!</v>
      </c>
      <c r="CI280" t="e">
        <f>AND('STERLING CATALOG - FZN &amp; CHILL'!D828,"AAAAAF9Hd1Y=")</f>
        <v>#VALUE!</v>
      </c>
      <c r="CJ280" t="e">
        <f>AND('STERLING CATALOG - FZN &amp; CHILL'!E828,"AAAAAF9Hd1c=")</f>
        <v>#VALUE!</v>
      </c>
      <c r="CK280" t="e">
        <f>AND('STERLING CATALOG - FZN &amp; CHILL'!F828,"AAAAAF9Hd1g=")</f>
        <v>#VALUE!</v>
      </c>
      <c r="CL280" t="e">
        <f>AND('STERLING CATALOG - FZN &amp; CHILL'!G828,"AAAAAF9Hd1k=")</f>
        <v>#VALUE!</v>
      </c>
      <c r="CM280" t="e">
        <f>AND('STERLING CATALOG - FZN &amp; CHILL'!H828,"AAAAAF9Hd1o=")</f>
        <v>#VALUE!</v>
      </c>
      <c r="CN280" t="e">
        <f>AND('STERLING CATALOG - FZN &amp; CHILL'!I828,"AAAAAF9Hd1s=")</f>
        <v>#VALUE!</v>
      </c>
      <c r="CO280" t="e">
        <f>AND('STERLING CATALOG - FZN &amp; CHILL'!J828,"AAAAAF9Hd1w=")</f>
        <v>#VALUE!</v>
      </c>
      <c r="CP280">
        <f>IF('STERLING CATALOG - FZN &amp; CHILL'!829:829,"AAAAAF9Hd10=",0)</f>
        <v>0</v>
      </c>
      <c r="CQ280" t="e">
        <f>AND('STERLING CATALOG - FZN &amp; CHILL'!A829,"AAAAAF9Hd14=")</f>
        <v>#VALUE!</v>
      </c>
      <c r="CR280" t="e">
        <f>AND('STERLING CATALOG - FZN &amp; CHILL'!B829,"AAAAAF9Hd18=")</f>
        <v>#VALUE!</v>
      </c>
      <c r="CS280" t="e">
        <f>AND('STERLING CATALOG - FZN &amp; CHILL'!C829,"AAAAAF9Hd2A=")</f>
        <v>#VALUE!</v>
      </c>
      <c r="CT280" t="e">
        <f>AND('STERLING CATALOG - FZN &amp; CHILL'!D829,"AAAAAF9Hd2E=")</f>
        <v>#VALUE!</v>
      </c>
      <c r="CU280" t="e">
        <f>AND('STERLING CATALOG - FZN &amp; CHILL'!E829,"AAAAAF9Hd2I=")</f>
        <v>#VALUE!</v>
      </c>
      <c r="CV280" t="e">
        <f>AND('STERLING CATALOG - FZN &amp; CHILL'!F829,"AAAAAF9Hd2M=")</f>
        <v>#VALUE!</v>
      </c>
      <c r="CW280" t="e">
        <f>AND('STERLING CATALOG - FZN &amp; CHILL'!G829,"AAAAAF9Hd2Q=")</f>
        <v>#VALUE!</v>
      </c>
      <c r="CX280" t="e">
        <f>AND('STERLING CATALOG - FZN &amp; CHILL'!H829,"AAAAAF9Hd2U=")</f>
        <v>#VALUE!</v>
      </c>
      <c r="CY280" t="e">
        <f>AND('STERLING CATALOG - FZN &amp; CHILL'!I829,"AAAAAF9Hd2Y=")</f>
        <v>#VALUE!</v>
      </c>
      <c r="CZ280" t="e">
        <f>AND('STERLING CATALOG - FZN &amp; CHILL'!J829,"AAAAAF9Hd2c=")</f>
        <v>#VALUE!</v>
      </c>
      <c r="DA280">
        <f>IF('STERLING CATALOG - FZN &amp; CHILL'!830:830,"AAAAAF9Hd2g=",0)</f>
        <v>0</v>
      </c>
      <c r="DB280" t="e">
        <f>AND('STERLING CATALOG - FZN &amp; CHILL'!A830,"AAAAAF9Hd2k=")</f>
        <v>#VALUE!</v>
      </c>
      <c r="DC280" t="e">
        <f>AND('STERLING CATALOG - FZN &amp; CHILL'!B830,"AAAAAF9Hd2o=")</f>
        <v>#VALUE!</v>
      </c>
      <c r="DD280" t="e">
        <f>AND('STERLING CATALOG - FZN &amp; CHILL'!C830,"AAAAAF9Hd2s=")</f>
        <v>#VALUE!</v>
      </c>
      <c r="DE280" t="e">
        <f>AND('STERLING CATALOG - FZN &amp; CHILL'!D830,"AAAAAF9Hd2w=")</f>
        <v>#VALUE!</v>
      </c>
      <c r="DF280" t="e">
        <f>AND('STERLING CATALOG - FZN &amp; CHILL'!E830,"AAAAAF9Hd20=")</f>
        <v>#VALUE!</v>
      </c>
      <c r="DG280" t="e">
        <f>AND('STERLING CATALOG - FZN &amp; CHILL'!F830,"AAAAAF9Hd24=")</f>
        <v>#VALUE!</v>
      </c>
      <c r="DH280" t="e">
        <f>AND('STERLING CATALOG - FZN &amp; CHILL'!G830,"AAAAAF9Hd28=")</f>
        <v>#VALUE!</v>
      </c>
      <c r="DI280" t="e">
        <f>AND('STERLING CATALOG - FZN &amp; CHILL'!H830,"AAAAAF9Hd3A=")</f>
        <v>#VALUE!</v>
      </c>
      <c r="DJ280" t="e">
        <f>AND('STERLING CATALOG - FZN &amp; CHILL'!I830,"AAAAAF9Hd3E=")</f>
        <v>#VALUE!</v>
      </c>
      <c r="DK280" t="e">
        <f>AND('STERLING CATALOG - FZN &amp; CHILL'!J830,"AAAAAF9Hd3I=")</f>
        <v>#VALUE!</v>
      </c>
      <c r="DL280">
        <f>IF('STERLING CATALOG - FZN &amp; CHILL'!831:831,"AAAAAF9Hd3M=",0)</f>
        <v>0</v>
      </c>
      <c r="DM280" t="e">
        <f>AND('STERLING CATALOG - FZN &amp; CHILL'!A831,"AAAAAF9Hd3Q=")</f>
        <v>#VALUE!</v>
      </c>
      <c r="DN280" t="e">
        <f>AND('STERLING CATALOG - FZN &amp; CHILL'!B831,"AAAAAF9Hd3U=")</f>
        <v>#VALUE!</v>
      </c>
      <c r="DO280" t="e">
        <f>AND('STERLING CATALOG - FZN &amp; CHILL'!C831,"AAAAAF9Hd3Y=")</f>
        <v>#VALUE!</v>
      </c>
      <c r="DP280" t="e">
        <f>AND('STERLING CATALOG - FZN &amp; CHILL'!D831,"AAAAAF9Hd3c=")</f>
        <v>#VALUE!</v>
      </c>
      <c r="DQ280" t="e">
        <f>AND('STERLING CATALOG - FZN &amp; CHILL'!E831,"AAAAAF9Hd3g=")</f>
        <v>#VALUE!</v>
      </c>
      <c r="DR280" t="e">
        <f>AND('STERLING CATALOG - FZN &amp; CHILL'!F831,"AAAAAF9Hd3k=")</f>
        <v>#VALUE!</v>
      </c>
      <c r="DS280" t="e">
        <f>AND('STERLING CATALOG - FZN &amp; CHILL'!G831,"AAAAAF9Hd3o=")</f>
        <v>#VALUE!</v>
      </c>
      <c r="DT280" t="e">
        <f>AND('STERLING CATALOG - FZN &amp; CHILL'!H831,"AAAAAF9Hd3s=")</f>
        <v>#VALUE!</v>
      </c>
      <c r="DU280" t="e">
        <f>AND('STERLING CATALOG - FZN &amp; CHILL'!I831,"AAAAAF9Hd3w=")</f>
        <v>#VALUE!</v>
      </c>
      <c r="DV280" t="e">
        <f>AND('STERLING CATALOG - FZN &amp; CHILL'!J831,"AAAAAF9Hd30=")</f>
        <v>#VALUE!</v>
      </c>
      <c r="DW280">
        <f>IF('STERLING CATALOG - FZN &amp; CHILL'!832:832,"AAAAAF9Hd34=",0)</f>
        <v>0</v>
      </c>
      <c r="DX280" t="e">
        <f>AND('STERLING CATALOG - FZN &amp; CHILL'!A832,"AAAAAF9Hd38=")</f>
        <v>#VALUE!</v>
      </c>
      <c r="DY280" t="e">
        <f>AND('STERLING CATALOG - FZN &amp; CHILL'!B832,"AAAAAF9Hd4A=")</f>
        <v>#VALUE!</v>
      </c>
      <c r="DZ280" t="e">
        <f>AND('STERLING CATALOG - FZN &amp; CHILL'!C832,"AAAAAF9Hd4E=")</f>
        <v>#VALUE!</v>
      </c>
      <c r="EA280" t="e">
        <f>AND('STERLING CATALOG - FZN &amp; CHILL'!D832,"AAAAAF9Hd4I=")</f>
        <v>#VALUE!</v>
      </c>
      <c r="EB280" t="e">
        <f>AND('STERLING CATALOG - FZN &amp; CHILL'!E832,"AAAAAF9Hd4M=")</f>
        <v>#VALUE!</v>
      </c>
      <c r="EC280" t="e">
        <f>AND('STERLING CATALOG - FZN &amp; CHILL'!F832,"AAAAAF9Hd4Q=")</f>
        <v>#VALUE!</v>
      </c>
      <c r="ED280" t="e">
        <f>AND('STERLING CATALOG - FZN &amp; CHILL'!G832,"AAAAAF9Hd4U=")</f>
        <v>#VALUE!</v>
      </c>
      <c r="EE280" t="e">
        <f>AND('STERLING CATALOG - FZN &amp; CHILL'!H832,"AAAAAF9Hd4Y=")</f>
        <v>#VALUE!</v>
      </c>
      <c r="EF280" t="e">
        <f>AND('STERLING CATALOG - FZN &amp; CHILL'!I832,"AAAAAF9Hd4c=")</f>
        <v>#VALUE!</v>
      </c>
      <c r="EG280" t="e">
        <f>AND('STERLING CATALOG - FZN &amp; CHILL'!J832,"AAAAAF9Hd4g=")</f>
        <v>#VALUE!</v>
      </c>
      <c r="EH280">
        <f>IF('STERLING CATALOG - FZN &amp; CHILL'!833:833,"AAAAAF9Hd4k=",0)</f>
        <v>0</v>
      </c>
      <c r="EI280" t="e">
        <f>AND('STERLING CATALOG - FZN &amp; CHILL'!A833,"AAAAAF9Hd4o=")</f>
        <v>#VALUE!</v>
      </c>
      <c r="EJ280" t="e">
        <f>AND('STERLING CATALOG - FZN &amp; CHILL'!B833,"AAAAAF9Hd4s=")</f>
        <v>#VALUE!</v>
      </c>
      <c r="EK280" t="e">
        <f>AND('STERLING CATALOG - FZN &amp; CHILL'!C833,"AAAAAF9Hd4w=")</f>
        <v>#VALUE!</v>
      </c>
      <c r="EL280" t="e">
        <f>AND('STERLING CATALOG - FZN &amp; CHILL'!D833,"AAAAAF9Hd40=")</f>
        <v>#VALUE!</v>
      </c>
      <c r="EM280" t="e">
        <f>AND('STERLING CATALOG - FZN &amp; CHILL'!E833,"AAAAAF9Hd44=")</f>
        <v>#VALUE!</v>
      </c>
      <c r="EN280" t="e">
        <f>AND('STERLING CATALOG - FZN &amp; CHILL'!F833,"AAAAAF9Hd48=")</f>
        <v>#VALUE!</v>
      </c>
      <c r="EO280" t="e">
        <f>AND('STERLING CATALOG - FZN &amp; CHILL'!G833,"AAAAAF9Hd5A=")</f>
        <v>#VALUE!</v>
      </c>
      <c r="EP280" t="e">
        <f>AND('STERLING CATALOG - FZN &amp; CHILL'!H833,"AAAAAF9Hd5E=")</f>
        <v>#VALUE!</v>
      </c>
      <c r="EQ280" t="e">
        <f>AND('STERLING CATALOG - FZN &amp; CHILL'!I833,"AAAAAF9Hd5I=")</f>
        <v>#VALUE!</v>
      </c>
      <c r="ER280" t="e">
        <f>AND('STERLING CATALOG - FZN &amp; CHILL'!J833,"AAAAAF9Hd5M=")</f>
        <v>#VALUE!</v>
      </c>
      <c r="ES280">
        <f>IF('STERLING CATALOG - FZN &amp; CHILL'!834:834,"AAAAAF9Hd5Q=",0)</f>
        <v>0</v>
      </c>
      <c r="ET280" t="e">
        <f>AND('STERLING CATALOG - FZN &amp; CHILL'!A834,"AAAAAF9Hd5U=")</f>
        <v>#VALUE!</v>
      </c>
      <c r="EU280" t="e">
        <f>AND('STERLING CATALOG - FZN &amp; CHILL'!B834,"AAAAAF9Hd5Y=")</f>
        <v>#VALUE!</v>
      </c>
      <c r="EV280" t="e">
        <f>AND('STERLING CATALOG - FZN &amp; CHILL'!C834,"AAAAAF9Hd5c=")</f>
        <v>#VALUE!</v>
      </c>
      <c r="EW280" t="e">
        <f>AND('STERLING CATALOG - FZN &amp; CHILL'!D834,"AAAAAF9Hd5g=")</f>
        <v>#VALUE!</v>
      </c>
      <c r="EX280" t="e">
        <f>AND('STERLING CATALOG - FZN &amp; CHILL'!E834,"AAAAAF9Hd5k=")</f>
        <v>#VALUE!</v>
      </c>
      <c r="EY280" t="e">
        <f>AND('STERLING CATALOG - FZN &amp; CHILL'!F834,"AAAAAF9Hd5o=")</f>
        <v>#VALUE!</v>
      </c>
      <c r="EZ280" t="e">
        <f>AND('STERLING CATALOG - FZN &amp; CHILL'!G834,"AAAAAF9Hd5s=")</f>
        <v>#VALUE!</v>
      </c>
      <c r="FA280" t="e">
        <f>AND('STERLING CATALOG - FZN &amp; CHILL'!H834,"AAAAAF9Hd5w=")</f>
        <v>#VALUE!</v>
      </c>
      <c r="FB280" t="e">
        <f>AND('STERLING CATALOG - FZN &amp; CHILL'!I834,"AAAAAF9Hd50=")</f>
        <v>#VALUE!</v>
      </c>
      <c r="FC280" t="e">
        <f>AND('STERLING CATALOG - FZN &amp; CHILL'!J834,"AAAAAF9Hd54=")</f>
        <v>#VALUE!</v>
      </c>
      <c r="FD280">
        <f>IF('STERLING CATALOG - FZN &amp; CHILL'!835:835,"AAAAAF9Hd58=",0)</f>
        <v>0</v>
      </c>
      <c r="FE280" t="e">
        <f>AND('STERLING CATALOG - FZN &amp; CHILL'!A835,"AAAAAF9Hd6A=")</f>
        <v>#VALUE!</v>
      </c>
      <c r="FF280" t="e">
        <f>AND('STERLING CATALOG - FZN &amp; CHILL'!B835,"AAAAAF9Hd6E=")</f>
        <v>#VALUE!</v>
      </c>
      <c r="FG280" t="e">
        <f>AND('STERLING CATALOG - FZN &amp; CHILL'!C835,"AAAAAF9Hd6I=")</f>
        <v>#VALUE!</v>
      </c>
      <c r="FH280" t="e">
        <f>AND('STERLING CATALOG - FZN &amp; CHILL'!D835,"AAAAAF9Hd6M=")</f>
        <v>#VALUE!</v>
      </c>
      <c r="FI280" t="e">
        <f>AND('STERLING CATALOG - FZN &amp; CHILL'!E835,"AAAAAF9Hd6Q=")</f>
        <v>#VALUE!</v>
      </c>
      <c r="FJ280" t="e">
        <f>AND('STERLING CATALOG - FZN &amp; CHILL'!F835,"AAAAAF9Hd6U=")</f>
        <v>#VALUE!</v>
      </c>
      <c r="FK280" t="e">
        <f>AND('STERLING CATALOG - FZN &amp; CHILL'!G835,"AAAAAF9Hd6Y=")</f>
        <v>#VALUE!</v>
      </c>
      <c r="FL280" t="e">
        <f>AND('STERLING CATALOG - FZN &amp; CHILL'!H835,"AAAAAF9Hd6c=")</f>
        <v>#VALUE!</v>
      </c>
      <c r="FM280" t="e">
        <f>AND('STERLING CATALOG - FZN &amp; CHILL'!I835,"AAAAAF9Hd6g=")</f>
        <v>#VALUE!</v>
      </c>
      <c r="FN280" t="e">
        <f>AND('STERLING CATALOG - FZN &amp; CHILL'!J835,"AAAAAF9Hd6k=")</f>
        <v>#VALUE!</v>
      </c>
      <c r="FO280">
        <f>IF('STERLING CATALOG - FZN &amp; CHILL'!836:836,"AAAAAF9Hd6o=",0)</f>
        <v>0</v>
      </c>
      <c r="FP280" t="e">
        <f>AND('STERLING CATALOG - FZN &amp; CHILL'!A836,"AAAAAF9Hd6s=")</f>
        <v>#VALUE!</v>
      </c>
      <c r="FQ280" t="e">
        <f>AND('STERLING CATALOG - FZN &amp; CHILL'!B836,"AAAAAF9Hd6w=")</f>
        <v>#VALUE!</v>
      </c>
      <c r="FR280" t="e">
        <f>AND('STERLING CATALOG - FZN &amp; CHILL'!C836,"AAAAAF9Hd60=")</f>
        <v>#VALUE!</v>
      </c>
      <c r="FS280" t="e">
        <f>AND('STERLING CATALOG - FZN &amp; CHILL'!D836,"AAAAAF9Hd64=")</f>
        <v>#VALUE!</v>
      </c>
      <c r="FT280" t="e">
        <f>AND('STERLING CATALOG - FZN &amp; CHILL'!E836,"AAAAAF9Hd68=")</f>
        <v>#VALUE!</v>
      </c>
      <c r="FU280" t="e">
        <f>AND('STERLING CATALOG - FZN &amp; CHILL'!F836,"AAAAAF9Hd7A=")</f>
        <v>#VALUE!</v>
      </c>
      <c r="FV280" t="e">
        <f>AND('STERLING CATALOG - FZN &amp; CHILL'!G836,"AAAAAF9Hd7E=")</f>
        <v>#VALUE!</v>
      </c>
      <c r="FW280" t="e">
        <f>AND('STERLING CATALOG - FZN &amp; CHILL'!H836,"AAAAAF9Hd7I=")</f>
        <v>#VALUE!</v>
      </c>
      <c r="FX280" t="e">
        <f>AND('STERLING CATALOG - FZN &amp; CHILL'!I836,"AAAAAF9Hd7M=")</f>
        <v>#VALUE!</v>
      </c>
      <c r="FY280" t="e">
        <f>AND('STERLING CATALOG - FZN &amp; CHILL'!J836,"AAAAAF9Hd7Q=")</f>
        <v>#VALUE!</v>
      </c>
      <c r="FZ280">
        <f>IF('STERLING CATALOG - FZN &amp; CHILL'!837:837,"AAAAAF9Hd7U=",0)</f>
        <v>0</v>
      </c>
      <c r="GA280" t="e">
        <f>AND('STERLING CATALOG - FZN &amp; CHILL'!A837,"AAAAAF9Hd7Y=")</f>
        <v>#VALUE!</v>
      </c>
      <c r="GB280" t="e">
        <f>AND('STERLING CATALOG - FZN &amp; CHILL'!B837,"AAAAAF9Hd7c=")</f>
        <v>#VALUE!</v>
      </c>
      <c r="GC280" t="e">
        <f>AND('STERLING CATALOG - FZN &amp; CHILL'!C837,"AAAAAF9Hd7g=")</f>
        <v>#VALUE!</v>
      </c>
      <c r="GD280" t="e">
        <f>AND('STERLING CATALOG - FZN &amp; CHILL'!D837,"AAAAAF9Hd7k=")</f>
        <v>#VALUE!</v>
      </c>
      <c r="GE280" t="e">
        <f>AND('STERLING CATALOG - FZN &amp; CHILL'!E837,"AAAAAF9Hd7o=")</f>
        <v>#VALUE!</v>
      </c>
      <c r="GF280" t="e">
        <f>AND('STERLING CATALOG - FZN &amp; CHILL'!F837,"AAAAAF9Hd7s=")</f>
        <v>#VALUE!</v>
      </c>
      <c r="GG280" t="e">
        <f>AND('STERLING CATALOG - FZN &amp; CHILL'!G837,"AAAAAF9Hd7w=")</f>
        <v>#VALUE!</v>
      </c>
      <c r="GH280" t="e">
        <f>AND('STERLING CATALOG - FZN &amp; CHILL'!H837,"AAAAAF9Hd70=")</f>
        <v>#VALUE!</v>
      </c>
      <c r="GI280" t="e">
        <f>AND('STERLING CATALOG - FZN &amp; CHILL'!I837,"AAAAAF9Hd74=")</f>
        <v>#VALUE!</v>
      </c>
      <c r="GJ280" t="e">
        <f>AND('STERLING CATALOG - FZN &amp; CHILL'!J837,"AAAAAF9Hd78=")</f>
        <v>#VALUE!</v>
      </c>
      <c r="GK280">
        <f>IF('STERLING CATALOG - FZN &amp; CHILL'!838:838,"AAAAAF9Hd8A=",0)</f>
        <v>0</v>
      </c>
      <c r="GL280" t="e">
        <f>AND('STERLING CATALOG - FZN &amp; CHILL'!A838,"AAAAAF9Hd8E=")</f>
        <v>#VALUE!</v>
      </c>
      <c r="GM280" t="e">
        <f>AND('STERLING CATALOG - FZN &amp; CHILL'!B838,"AAAAAF9Hd8I=")</f>
        <v>#VALUE!</v>
      </c>
      <c r="GN280" t="e">
        <f>AND('STERLING CATALOG - FZN &amp; CHILL'!C838,"AAAAAF9Hd8M=")</f>
        <v>#VALUE!</v>
      </c>
      <c r="GO280" t="e">
        <f>AND('STERLING CATALOG - FZN &amp; CHILL'!D838,"AAAAAF9Hd8Q=")</f>
        <v>#VALUE!</v>
      </c>
      <c r="GP280" t="e">
        <f>AND('STERLING CATALOG - FZN &amp; CHILL'!E838,"AAAAAF9Hd8U=")</f>
        <v>#VALUE!</v>
      </c>
      <c r="GQ280" t="e">
        <f>AND('STERLING CATALOG - FZN &amp; CHILL'!F838,"AAAAAF9Hd8Y=")</f>
        <v>#VALUE!</v>
      </c>
      <c r="GR280" t="e">
        <f>AND('STERLING CATALOG - FZN &amp; CHILL'!G838,"AAAAAF9Hd8c=")</f>
        <v>#VALUE!</v>
      </c>
      <c r="GS280" t="e">
        <f>AND('STERLING CATALOG - FZN &amp; CHILL'!H838,"AAAAAF9Hd8g=")</f>
        <v>#VALUE!</v>
      </c>
      <c r="GT280" t="e">
        <f>AND('STERLING CATALOG - FZN &amp; CHILL'!I838,"AAAAAF9Hd8k=")</f>
        <v>#VALUE!</v>
      </c>
      <c r="GU280" t="e">
        <f>AND('STERLING CATALOG - FZN &amp; CHILL'!J838,"AAAAAF9Hd8o=")</f>
        <v>#VALUE!</v>
      </c>
      <c r="GV280">
        <f>IF('STERLING CATALOG - FZN &amp; CHILL'!839:839,"AAAAAF9Hd8s=",0)</f>
        <v>0</v>
      </c>
      <c r="GW280" t="e">
        <f>AND('STERLING CATALOG - FZN &amp; CHILL'!A839,"AAAAAF9Hd8w=")</f>
        <v>#VALUE!</v>
      </c>
      <c r="GX280" t="e">
        <f>AND('STERLING CATALOG - FZN &amp; CHILL'!B839,"AAAAAF9Hd80=")</f>
        <v>#VALUE!</v>
      </c>
      <c r="GY280" t="e">
        <f>AND('STERLING CATALOG - FZN &amp; CHILL'!C839,"AAAAAF9Hd84=")</f>
        <v>#VALUE!</v>
      </c>
      <c r="GZ280" t="e">
        <f>AND('STERLING CATALOG - FZN &amp; CHILL'!D839,"AAAAAF9Hd88=")</f>
        <v>#VALUE!</v>
      </c>
      <c r="HA280" t="e">
        <f>AND('STERLING CATALOG - FZN &amp; CHILL'!E839,"AAAAAF9Hd9A=")</f>
        <v>#VALUE!</v>
      </c>
      <c r="HB280" t="e">
        <f>AND('STERLING CATALOG - FZN &amp; CHILL'!F839,"AAAAAF9Hd9E=")</f>
        <v>#VALUE!</v>
      </c>
      <c r="HC280" t="e">
        <f>AND('STERLING CATALOG - FZN &amp; CHILL'!G839,"AAAAAF9Hd9I=")</f>
        <v>#VALUE!</v>
      </c>
      <c r="HD280" t="e">
        <f>AND('STERLING CATALOG - FZN &amp; CHILL'!H839,"AAAAAF9Hd9M=")</f>
        <v>#VALUE!</v>
      </c>
      <c r="HE280" t="e">
        <f>AND('STERLING CATALOG - FZN &amp; CHILL'!I839,"AAAAAF9Hd9Q=")</f>
        <v>#VALUE!</v>
      </c>
      <c r="HF280" t="e">
        <f>AND('STERLING CATALOG - FZN &amp; CHILL'!J839,"AAAAAF9Hd9U=")</f>
        <v>#VALUE!</v>
      </c>
      <c r="HG280">
        <f>IF('STERLING CATALOG - FZN &amp; CHILL'!840:840,"AAAAAF9Hd9Y=",0)</f>
        <v>0</v>
      </c>
      <c r="HH280" t="e">
        <f>AND('STERLING CATALOG - FZN &amp; CHILL'!A840,"AAAAAF9Hd9c=")</f>
        <v>#VALUE!</v>
      </c>
      <c r="HI280" t="e">
        <f>AND('STERLING CATALOG - FZN &amp; CHILL'!B840,"AAAAAF9Hd9g=")</f>
        <v>#VALUE!</v>
      </c>
      <c r="HJ280" t="e">
        <f>AND('STERLING CATALOG - FZN &amp; CHILL'!C840,"AAAAAF9Hd9k=")</f>
        <v>#VALUE!</v>
      </c>
      <c r="HK280" t="e">
        <f>AND('STERLING CATALOG - FZN &amp; CHILL'!D840,"AAAAAF9Hd9o=")</f>
        <v>#VALUE!</v>
      </c>
      <c r="HL280" t="e">
        <f>AND('STERLING CATALOG - FZN &amp; CHILL'!E840,"AAAAAF9Hd9s=")</f>
        <v>#VALUE!</v>
      </c>
      <c r="HM280" t="e">
        <f>AND('STERLING CATALOG - FZN &amp; CHILL'!F840,"AAAAAF9Hd9w=")</f>
        <v>#VALUE!</v>
      </c>
      <c r="HN280" t="e">
        <f>AND('STERLING CATALOG - FZN &amp; CHILL'!G840,"AAAAAF9Hd90=")</f>
        <v>#VALUE!</v>
      </c>
      <c r="HO280" t="e">
        <f>AND('STERLING CATALOG - FZN &amp; CHILL'!H840,"AAAAAF9Hd94=")</f>
        <v>#VALUE!</v>
      </c>
      <c r="HP280" t="e">
        <f>AND('STERLING CATALOG - FZN &amp; CHILL'!I840,"AAAAAF9Hd98=")</f>
        <v>#VALUE!</v>
      </c>
      <c r="HQ280" t="e">
        <f>AND('STERLING CATALOG - FZN &amp; CHILL'!J840,"AAAAAF9Hd+A=")</f>
        <v>#VALUE!</v>
      </c>
      <c r="HR280">
        <f>IF('STERLING CATALOG - FZN &amp; CHILL'!841:841,"AAAAAF9Hd+E=",0)</f>
        <v>0</v>
      </c>
      <c r="HS280" t="e">
        <f>AND('STERLING CATALOG - FZN &amp; CHILL'!A841,"AAAAAF9Hd+I=")</f>
        <v>#VALUE!</v>
      </c>
      <c r="HT280" t="e">
        <f>AND('STERLING CATALOG - FZN &amp; CHILL'!B841,"AAAAAF9Hd+M=")</f>
        <v>#VALUE!</v>
      </c>
      <c r="HU280" t="e">
        <f>AND('STERLING CATALOG - FZN &amp; CHILL'!C841,"AAAAAF9Hd+Q=")</f>
        <v>#VALUE!</v>
      </c>
      <c r="HV280" t="e">
        <f>AND('STERLING CATALOG - FZN &amp; CHILL'!D841,"AAAAAF9Hd+U=")</f>
        <v>#VALUE!</v>
      </c>
      <c r="HW280" t="e">
        <f>AND('STERLING CATALOG - FZN &amp; CHILL'!E841,"AAAAAF9Hd+Y=")</f>
        <v>#VALUE!</v>
      </c>
      <c r="HX280" t="e">
        <f>AND('STERLING CATALOG - FZN &amp; CHILL'!F841,"AAAAAF9Hd+c=")</f>
        <v>#VALUE!</v>
      </c>
      <c r="HY280" t="e">
        <f>AND('STERLING CATALOG - FZN &amp; CHILL'!G841,"AAAAAF9Hd+g=")</f>
        <v>#VALUE!</v>
      </c>
      <c r="HZ280" t="e">
        <f>AND('STERLING CATALOG - FZN &amp; CHILL'!H841,"AAAAAF9Hd+k=")</f>
        <v>#VALUE!</v>
      </c>
      <c r="IA280" t="e">
        <f>AND('STERLING CATALOG - FZN &amp; CHILL'!I841,"AAAAAF9Hd+o=")</f>
        <v>#VALUE!</v>
      </c>
      <c r="IB280" t="e">
        <f>AND('STERLING CATALOG - FZN &amp; CHILL'!J841,"AAAAAF9Hd+s=")</f>
        <v>#VALUE!</v>
      </c>
      <c r="IC280">
        <f>IF('STERLING CATALOG - FZN &amp; CHILL'!842:842,"AAAAAF9Hd+w=",0)</f>
        <v>0</v>
      </c>
      <c r="ID280" t="e">
        <f>AND('STERLING CATALOG - FZN &amp; CHILL'!A842,"AAAAAF9Hd+0=")</f>
        <v>#VALUE!</v>
      </c>
      <c r="IE280" t="e">
        <f>AND('STERLING CATALOG - FZN &amp; CHILL'!B842,"AAAAAF9Hd+4=")</f>
        <v>#VALUE!</v>
      </c>
      <c r="IF280" t="e">
        <f>AND('STERLING CATALOG - FZN &amp; CHILL'!C842,"AAAAAF9Hd+8=")</f>
        <v>#VALUE!</v>
      </c>
      <c r="IG280" t="e">
        <f>AND('STERLING CATALOG - FZN &amp; CHILL'!D842,"AAAAAF9Hd/A=")</f>
        <v>#VALUE!</v>
      </c>
      <c r="IH280" t="e">
        <f>AND('STERLING CATALOG - FZN &amp; CHILL'!E842,"AAAAAF9Hd/E=")</f>
        <v>#VALUE!</v>
      </c>
      <c r="II280" t="e">
        <f>AND('STERLING CATALOG - FZN &amp; CHILL'!F842,"AAAAAF9Hd/I=")</f>
        <v>#VALUE!</v>
      </c>
      <c r="IJ280" t="e">
        <f>AND('STERLING CATALOG - FZN &amp; CHILL'!G842,"AAAAAF9Hd/M=")</f>
        <v>#VALUE!</v>
      </c>
      <c r="IK280" t="e">
        <f>AND('STERLING CATALOG - FZN &amp; CHILL'!H842,"AAAAAF9Hd/Q=")</f>
        <v>#VALUE!</v>
      </c>
      <c r="IL280" t="e">
        <f>AND('STERLING CATALOG - FZN &amp; CHILL'!I842,"AAAAAF9Hd/U=")</f>
        <v>#VALUE!</v>
      </c>
      <c r="IM280" t="e">
        <f>AND('STERLING CATALOG - FZN &amp; CHILL'!J842,"AAAAAF9Hd/Y=")</f>
        <v>#VALUE!</v>
      </c>
      <c r="IN280">
        <f>IF('STERLING CATALOG - FZN &amp; CHILL'!843:843,"AAAAAF9Hd/c=",0)</f>
        <v>0</v>
      </c>
      <c r="IO280" t="e">
        <f>AND('STERLING CATALOG - FZN &amp; CHILL'!A843,"AAAAAF9Hd/g=")</f>
        <v>#VALUE!</v>
      </c>
      <c r="IP280" t="e">
        <f>AND('STERLING CATALOG - FZN &amp; CHILL'!B843,"AAAAAF9Hd/k=")</f>
        <v>#VALUE!</v>
      </c>
      <c r="IQ280" t="e">
        <f>AND('STERLING CATALOG - FZN &amp; CHILL'!C843,"AAAAAF9Hd/o=")</f>
        <v>#VALUE!</v>
      </c>
      <c r="IR280" t="e">
        <f>AND('STERLING CATALOG - FZN &amp; CHILL'!D843,"AAAAAF9Hd/s=")</f>
        <v>#VALUE!</v>
      </c>
      <c r="IS280" t="e">
        <f>AND('STERLING CATALOG - FZN &amp; CHILL'!E843,"AAAAAF9Hd/w=")</f>
        <v>#VALUE!</v>
      </c>
      <c r="IT280" t="e">
        <f>AND('STERLING CATALOG - FZN &amp; CHILL'!F843,"AAAAAF9Hd/0=")</f>
        <v>#VALUE!</v>
      </c>
      <c r="IU280" t="e">
        <f>AND('STERLING CATALOG - FZN &amp; CHILL'!G843,"AAAAAF9Hd/4=")</f>
        <v>#VALUE!</v>
      </c>
      <c r="IV280" t="e">
        <f>AND('STERLING CATALOG - FZN &amp; CHILL'!H843,"AAAAAF9Hd/8=")</f>
        <v>#VALUE!</v>
      </c>
    </row>
    <row r="281" spans="1:256">
      <c r="A281" t="e">
        <f>AND('STERLING CATALOG - FZN &amp; CHILL'!I843,"AAAAAF6rswA=")</f>
        <v>#VALUE!</v>
      </c>
      <c r="B281" t="e">
        <f>AND('STERLING CATALOG - FZN &amp; CHILL'!J843,"AAAAAF6rswE=")</f>
        <v>#VALUE!</v>
      </c>
      <c r="C281" t="str">
        <f>IF('STERLING CATALOG - FZN &amp; CHILL'!844:844,"AAAAAF6rswI=",0)</f>
        <v>AAAAAF6rswI=</v>
      </c>
      <c r="D281" t="e">
        <f>AND('STERLING CATALOG - FZN &amp; CHILL'!A844,"AAAAAF6rswM=")</f>
        <v>#VALUE!</v>
      </c>
      <c r="E281" t="e">
        <f>AND('STERLING CATALOG - FZN &amp; CHILL'!B844,"AAAAAF6rswQ=")</f>
        <v>#VALUE!</v>
      </c>
      <c r="F281" t="e">
        <f>AND('STERLING CATALOG - FZN &amp; CHILL'!C844,"AAAAAF6rswU=")</f>
        <v>#VALUE!</v>
      </c>
      <c r="G281" t="e">
        <f>AND('STERLING CATALOG - FZN &amp; CHILL'!D844,"AAAAAF6rswY=")</f>
        <v>#VALUE!</v>
      </c>
      <c r="H281" t="e">
        <f>AND('STERLING CATALOG - FZN &amp; CHILL'!E844,"AAAAAF6rswc=")</f>
        <v>#VALUE!</v>
      </c>
      <c r="I281" t="e">
        <f>AND('STERLING CATALOG - FZN &amp; CHILL'!F844,"AAAAAF6rswg=")</f>
        <v>#VALUE!</v>
      </c>
      <c r="J281" t="e">
        <f>AND('STERLING CATALOG - FZN &amp; CHILL'!G844,"AAAAAF6rswk=")</f>
        <v>#VALUE!</v>
      </c>
      <c r="K281" t="e">
        <f>AND('STERLING CATALOG - FZN &amp; CHILL'!H844,"AAAAAF6rswo=")</f>
        <v>#VALUE!</v>
      </c>
      <c r="L281" t="e">
        <f>AND('STERLING CATALOG - FZN &amp; CHILL'!I844,"AAAAAF6rsws=")</f>
        <v>#VALUE!</v>
      </c>
      <c r="M281" t="e">
        <f>AND('STERLING CATALOG - FZN &amp; CHILL'!J844,"AAAAAF6rsww=")</f>
        <v>#VALUE!</v>
      </c>
      <c r="N281">
        <f>IF('STERLING CATALOG - FZN &amp; CHILL'!845:845,"AAAAAF6rsw0=",0)</f>
        <v>0</v>
      </c>
      <c r="O281" t="e">
        <f>AND('STERLING CATALOG - FZN &amp; CHILL'!A845,"AAAAAF6rsw4=")</f>
        <v>#VALUE!</v>
      </c>
      <c r="P281" t="e">
        <f>AND('STERLING CATALOG - FZN &amp; CHILL'!B845,"AAAAAF6rsw8=")</f>
        <v>#VALUE!</v>
      </c>
      <c r="Q281" t="e">
        <f>AND('STERLING CATALOG - FZN &amp; CHILL'!C845,"AAAAAF6rsxA=")</f>
        <v>#VALUE!</v>
      </c>
      <c r="R281" t="e">
        <f>AND('STERLING CATALOG - FZN &amp; CHILL'!D845,"AAAAAF6rsxE=")</f>
        <v>#VALUE!</v>
      </c>
      <c r="S281" t="e">
        <f>AND('STERLING CATALOG - FZN &amp; CHILL'!E845,"AAAAAF6rsxI=")</f>
        <v>#VALUE!</v>
      </c>
      <c r="T281" t="e">
        <f>AND('STERLING CATALOG - FZN &amp; CHILL'!F845,"AAAAAF6rsxM=")</f>
        <v>#VALUE!</v>
      </c>
      <c r="U281" t="e">
        <f>AND('STERLING CATALOG - FZN &amp; CHILL'!G845,"AAAAAF6rsxQ=")</f>
        <v>#VALUE!</v>
      </c>
      <c r="V281" t="e">
        <f>AND('STERLING CATALOG - FZN &amp; CHILL'!H845,"AAAAAF6rsxU=")</f>
        <v>#VALUE!</v>
      </c>
      <c r="W281" t="e">
        <f>AND('STERLING CATALOG - FZN &amp; CHILL'!I845,"AAAAAF6rsxY=")</f>
        <v>#VALUE!</v>
      </c>
      <c r="X281" t="e">
        <f>AND('STERLING CATALOG - FZN &amp; CHILL'!J845,"AAAAAF6rsxc=")</f>
        <v>#VALUE!</v>
      </c>
      <c r="Y281">
        <f>IF('STERLING CATALOG - FZN &amp; CHILL'!846:846,"AAAAAF6rsxg=",0)</f>
        <v>0</v>
      </c>
      <c r="Z281" t="e">
        <f>AND('STERLING CATALOG - FZN &amp; CHILL'!A846,"AAAAAF6rsxk=")</f>
        <v>#VALUE!</v>
      </c>
      <c r="AA281" t="e">
        <f>AND('STERLING CATALOG - FZN &amp; CHILL'!B846,"AAAAAF6rsxo=")</f>
        <v>#VALUE!</v>
      </c>
      <c r="AB281" t="e">
        <f>AND('STERLING CATALOG - FZN &amp; CHILL'!C846,"AAAAAF6rsxs=")</f>
        <v>#VALUE!</v>
      </c>
      <c r="AC281" t="e">
        <f>AND('STERLING CATALOG - FZN &amp; CHILL'!D846,"AAAAAF6rsxw=")</f>
        <v>#VALUE!</v>
      </c>
      <c r="AD281" t="e">
        <f>AND('STERLING CATALOG - FZN &amp; CHILL'!E846,"AAAAAF6rsx0=")</f>
        <v>#VALUE!</v>
      </c>
      <c r="AE281" t="e">
        <f>AND('STERLING CATALOG - FZN &amp; CHILL'!F846,"AAAAAF6rsx4=")</f>
        <v>#VALUE!</v>
      </c>
      <c r="AF281" t="e">
        <f>AND('STERLING CATALOG - FZN &amp; CHILL'!G846,"AAAAAF6rsx8=")</f>
        <v>#VALUE!</v>
      </c>
      <c r="AG281" t="e">
        <f>AND('STERLING CATALOG - FZN &amp; CHILL'!H846,"AAAAAF6rsyA=")</f>
        <v>#VALUE!</v>
      </c>
      <c r="AH281" t="e">
        <f>AND('STERLING CATALOG - FZN &amp; CHILL'!I846,"AAAAAF6rsyE=")</f>
        <v>#VALUE!</v>
      </c>
      <c r="AI281" t="e">
        <f>AND('STERLING CATALOG - FZN &amp; CHILL'!J846,"AAAAAF6rsyI=")</f>
        <v>#VALUE!</v>
      </c>
      <c r="AJ281">
        <f>IF('STERLING CATALOG - FZN &amp; CHILL'!847:847,"AAAAAF6rsyM=",0)</f>
        <v>0</v>
      </c>
      <c r="AK281" t="e">
        <f>AND('STERLING CATALOG - FZN &amp; CHILL'!A847,"AAAAAF6rsyQ=")</f>
        <v>#VALUE!</v>
      </c>
      <c r="AL281" t="e">
        <f>AND('STERLING CATALOG - FZN &amp; CHILL'!B847,"AAAAAF6rsyU=")</f>
        <v>#VALUE!</v>
      </c>
      <c r="AM281" t="e">
        <f>AND('STERLING CATALOG - FZN &amp; CHILL'!C847,"AAAAAF6rsyY=")</f>
        <v>#VALUE!</v>
      </c>
      <c r="AN281" t="e">
        <f>AND('STERLING CATALOG - FZN &amp; CHILL'!D847,"AAAAAF6rsyc=")</f>
        <v>#VALUE!</v>
      </c>
      <c r="AO281" t="e">
        <f>AND('STERLING CATALOG - FZN &amp; CHILL'!E847,"AAAAAF6rsyg=")</f>
        <v>#VALUE!</v>
      </c>
      <c r="AP281" t="e">
        <f>AND('STERLING CATALOG - FZN &amp; CHILL'!F847,"AAAAAF6rsyk=")</f>
        <v>#VALUE!</v>
      </c>
      <c r="AQ281" t="e">
        <f>AND('STERLING CATALOG - FZN &amp; CHILL'!G847,"AAAAAF6rsyo=")</f>
        <v>#VALUE!</v>
      </c>
      <c r="AR281" t="e">
        <f>AND('STERLING CATALOG - FZN &amp; CHILL'!H847,"AAAAAF6rsys=")</f>
        <v>#VALUE!</v>
      </c>
      <c r="AS281" t="e">
        <f>AND('STERLING CATALOG - FZN &amp; CHILL'!I847,"AAAAAF6rsyw=")</f>
        <v>#VALUE!</v>
      </c>
      <c r="AT281" t="e">
        <f>AND('STERLING CATALOG - FZN &amp; CHILL'!J847,"AAAAAF6rsy0=")</f>
        <v>#VALUE!</v>
      </c>
      <c r="AU281">
        <f>IF('STERLING CATALOG - FZN &amp; CHILL'!848:848,"AAAAAF6rsy4=",0)</f>
        <v>0</v>
      </c>
      <c r="AV281" t="e">
        <f>AND('STERLING CATALOG - FZN &amp; CHILL'!A848,"AAAAAF6rsy8=")</f>
        <v>#VALUE!</v>
      </c>
      <c r="AW281" t="e">
        <f>AND('STERLING CATALOG - FZN &amp; CHILL'!B848,"AAAAAF6rszA=")</f>
        <v>#VALUE!</v>
      </c>
      <c r="AX281" t="e">
        <f>AND('STERLING CATALOG - FZN &amp; CHILL'!C848,"AAAAAF6rszE=")</f>
        <v>#VALUE!</v>
      </c>
      <c r="AY281" t="e">
        <f>AND('STERLING CATALOG - FZN &amp; CHILL'!D848,"AAAAAF6rszI=")</f>
        <v>#VALUE!</v>
      </c>
      <c r="AZ281" t="e">
        <f>AND('STERLING CATALOG - FZN &amp; CHILL'!E848,"AAAAAF6rszM=")</f>
        <v>#VALUE!</v>
      </c>
      <c r="BA281" t="e">
        <f>AND('STERLING CATALOG - FZN &amp; CHILL'!F848,"AAAAAF6rszQ=")</f>
        <v>#VALUE!</v>
      </c>
      <c r="BB281" t="e">
        <f>AND('STERLING CATALOG - FZN &amp; CHILL'!G848,"AAAAAF6rszU=")</f>
        <v>#VALUE!</v>
      </c>
      <c r="BC281" t="e">
        <f>AND('STERLING CATALOG - FZN &amp; CHILL'!H848,"AAAAAF6rszY=")</f>
        <v>#VALUE!</v>
      </c>
      <c r="BD281" t="e">
        <f>AND('STERLING CATALOG - FZN &amp; CHILL'!I848,"AAAAAF6rszc=")</f>
        <v>#VALUE!</v>
      </c>
      <c r="BE281" t="e">
        <f>AND('STERLING CATALOG - FZN &amp; CHILL'!J848,"AAAAAF6rszg=")</f>
        <v>#VALUE!</v>
      </c>
      <c r="BF281">
        <f>IF('STERLING CATALOG - FZN &amp; CHILL'!849:849,"AAAAAF6rszk=",0)</f>
        <v>0</v>
      </c>
      <c r="BG281" t="e">
        <f>AND('STERLING CATALOG - FZN &amp; CHILL'!A849,"AAAAAF6rszo=")</f>
        <v>#VALUE!</v>
      </c>
      <c r="BH281" t="e">
        <f>AND('STERLING CATALOG - FZN &amp; CHILL'!B849,"AAAAAF6rszs=")</f>
        <v>#VALUE!</v>
      </c>
      <c r="BI281" t="e">
        <f>AND('STERLING CATALOG - FZN &amp; CHILL'!C849,"AAAAAF6rszw=")</f>
        <v>#VALUE!</v>
      </c>
      <c r="BJ281" t="e">
        <f>AND('STERLING CATALOG - FZN &amp; CHILL'!D849,"AAAAAF6rsz0=")</f>
        <v>#VALUE!</v>
      </c>
      <c r="BK281" t="e">
        <f>AND('STERLING CATALOG - FZN &amp; CHILL'!E849,"AAAAAF6rsz4=")</f>
        <v>#VALUE!</v>
      </c>
      <c r="BL281" t="e">
        <f>AND('STERLING CATALOG - FZN &amp; CHILL'!F849,"AAAAAF6rsz8=")</f>
        <v>#VALUE!</v>
      </c>
      <c r="BM281" t="e">
        <f>AND('STERLING CATALOG - FZN &amp; CHILL'!G849,"AAAAAF6rs0A=")</f>
        <v>#VALUE!</v>
      </c>
      <c r="BN281" t="e">
        <f>AND('STERLING CATALOG - FZN &amp; CHILL'!H849,"AAAAAF6rs0E=")</f>
        <v>#VALUE!</v>
      </c>
      <c r="BO281" t="e">
        <f>AND('STERLING CATALOG - FZN &amp; CHILL'!I849,"AAAAAF6rs0I=")</f>
        <v>#VALUE!</v>
      </c>
      <c r="BP281" t="e">
        <f>AND('STERLING CATALOG - FZN &amp; CHILL'!J849,"AAAAAF6rs0M=")</f>
        <v>#VALUE!</v>
      </c>
      <c r="BQ281">
        <f>IF('STERLING CATALOG - FZN &amp; CHILL'!850:850,"AAAAAF6rs0Q=",0)</f>
        <v>0</v>
      </c>
      <c r="BR281" t="e">
        <f>AND('STERLING CATALOG - FZN &amp; CHILL'!A850,"AAAAAF6rs0U=")</f>
        <v>#VALUE!</v>
      </c>
      <c r="BS281" t="e">
        <f>AND('STERLING CATALOG - FZN &amp; CHILL'!B850,"AAAAAF6rs0Y=")</f>
        <v>#VALUE!</v>
      </c>
      <c r="BT281" t="e">
        <f>AND('STERLING CATALOG - FZN &amp; CHILL'!C850,"AAAAAF6rs0c=")</f>
        <v>#VALUE!</v>
      </c>
      <c r="BU281" t="e">
        <f>AND('STERLING CATALOG - FZN &amp; CHILL'!D850,"AAAAAF6rs0g=")</f>
        <v>#VALUE!</v>
      </c>
      <c r="BV281" t="e">
        <f>AND('STERLING CATALOG - FZN &amp; CHILL'!E850,"AAAAAF6rs0k=")</f>
        <v>#VALUE!</v>
      </c>
      <c r="BW281" t="e">
        <f>AND('STERLING CATALOG - FZN &amp; CHILL'!F850,"AAAAAF6rs0o=")</f>
        <v>#VALUE!</v>
      </c>
      <c r="BX281" t="e">
        <f>AND('STERLING CATALOG - FZN &amp; CHILL'!G850,"AAAAAF6rs0s=")</f>
        <v>#VALUE!</v>
      </c>
      <c r="BY281" t="e">
        <f>AND('STERLING CATALOG - FZN &amp; CHILL'!H850,"AAAAAF6rs0w=")</f>
        <v>#VALUE!</v>
      </c>
      <c r="BZ281" t="e">
        <f>AND('STERLING CATALOG - FZN &amp; CHILL'!I850,"AAAAAF6rs00=")</f>
        <v>#VALUE!</v>
      </c>
      <c r="CA281" t="e">
        <f>AND('STERLING CATALOG - FZN &amp; CHILL'!J850,"AAAAAF6rs04=")</f>
        <v>#VALUE!</v>
      </c>
      <c r="CB281">
        <f>IF('STERLING CATALOG - FZN &amp; CHILL'!851:851,"AAAAAF6rs08=",0)</f>
        <v>0</v>
      </c>
      <c r="CC281" t="e">
        <f>AND('STERLING CATALOG - FZN &amp; CHILL'!A851,"AAAAAF6rs1A=")</f>
        <v>#VALUE!</v>
      </c>
      <c r="CD281" t="e">
        <f>AND('STERLING CATALOG - FZN &amp; CHILL'!B851,"AAAAAF6rs1E=")</f>
        <v>#VALUE!</v>
      </c>
      <c r="CE281" t="e">
        <f>AND('STERLING CATALOG - FZN &amp; CHILL'!C851,"AAAAAF6rs1I=")</f>
        <v>#VALUE!</v>
      </c>
      <c r="CF281" t="e">
        <f>AND('STERLING CATALOG - FZN &amp; CHILL'!D851,"AAAAAF6rs1M=")</f>
        <v>#VALUE!</v>
      </c>
      <c r="CG281" t="e">
        <f>AND('STERLING CATALOG - FZN &amp; CHILL'!E851,"AAAAAF6rs1Q=")</f>
        <v>#VALUE!</v>
      </c>
      <c r="CH281" t="e">
        <f>AND('STERLING CATALOG - FZN &amp; CHILL'!F851,"AAAAAF6rs1U=")</f>
        <v>#VALUE!</v>
      </c>
      <c r="CI281" t="e">
        <f>AND('STERLING CATALOG - FZN &amp; CHILL'!G851,"AAAAAF6rs1Y=")</f>
        <v>#VALUE!</v>
      </c>
      <c r="CJ281" t="e">
        <f>AND('STERLING CATALOG - FZN &amp; CHILL'!H851,"AAAAAF6rs1c=")</f>
        <v>#VALUE!</v>
      </c>
      <c r="CK281" t="e">
        <f>AND('STERLING CATALOG - FZN &amp; CHILL'!I851,"AAAAAF6rs1g=")</f>
        <v>#VALUE!</v>
      </c>
      <c r="CL281" t="e">
        <f>AND('STERLING CATALOG - FZN &amp; CHILL'!J851,"AAAAAF6rs1k=")</f>
        <v>#VALUE!</v>
      </c>
      <c r="CM281">
        <f>IF('STERLING CATALOG - FZN &amp; CHILL'!852:852,"AAAAAF6rs1o=",0)</f>
        <v>0</v>
      </c>
      <c r="CN281" t="e">
        <f>AND('STERLING CATALOG - FZN &amp; CHILL'!A852,"AAAAAF6rs1s=")</f>
        <v>#VALUE!</v>
      </c>
      <c r="CO281" t="e">
        <f>AND('STERLING CATALOG - FZN &amp; CHILL'!B852,"AAAAAF6rs1w=")</f>
        <v>#VALUE!</v>
      </c>
      <c r="CP281" t="e">
        <f>AND('STERLING CATALOG - FZN &amp; CHILL'!C852,"AAAAAF6rs10=")</f>
        <v>#VALUE!</v>
      </c>
      <c r="CQ281" t="e">
        <f>AND('STERLING CATALOG - FZN &amp; CHILL'!D852,"AAAAAF6rs14=")</f>
        <v>#VALUE!</v>
      </c>
      <c r="CR281" t="e">
        <f>AND('STERLING CATALOG - FZN &amp; CHILL'!E852,"AAAAAF6rs18=")</f>
        <v>#VALUE!</v>
      </c>
      <c r="CS281" t="e">
        <f>AND('STERLING CATALOG - FZN &amp; CHILL'!F852,"AAAAAF6rs2A=")</f>
        <v>#VALUE!</v>
      </c>
      <c r="CT281" t="e">
        <f>AND('STERLING CATALOG - FZN &amp; CHILL'!G852,"AAAAAF6rs2E=")</f>
        <v>#VALUE!</v>
      </c>
      <c r="CU281" t="e">
        <f>AND('STERLING CATALOG - FZN &amp; CHILL'!H852,"AAAAAF6rs2I=")</f>
        <v>#VALUE!</v>
      </c>
      <c r="CV281" t="e">
        <f>AND('STERLING CATALOG - FZN &amp; CHILL'!I852,"AAAAAF6rs2M=")</f>
        <v>#VALUE!</v>
      </c>
      <c r="CW281" t="e">
        <f>AND('STERLING CATALOG - FZN &amp; CHILL'!J852,"AAAAAF6rs2Q=")</f>
        <v>#VALUE!</v>
      </c>
      <c r="CX281">
        <f>IF('STERLING CATALOG - FZN &amp; CHILL'!853:853,"AAAAAF6rs2U=",0)</f>
        <v>0</v>
      </c>
      <c r="CY281" t="e">
        <f>AND('STERLING CATALOG - FZN &amp; CHILL'!A853,"AAAAAF6rs2Y=")</f>
        <v>#VALUE!</v>
      </c>
      <c r="CZ281" t="e">
        <f>AND('STERLING CATALOG - FZN &amp; CHILL'!B853,"AAAAAF6rs2c=")</f>
        <v>#VALUE!</v>
      </c>
      <c r="DA281" t="e">
        <f>AND('STERLING CATALOG - FZN &amp; CHILL'!C853,"AAAAAF6rs2g=")</f>
        <v>#VALUE!</v>
      </c>
      <c r="DB281" t="e">
        <f>AND('STERLING CATALOG - FZN &amp; CHILL'!D853,"AAAAAF6rs2k=")</f>
        <v>#VALUE!</v>
      </c>
      <c r="DC281" t="e">
        <f>AND('STERLING CATALOG - FZN &amp; CHILL'!E853,"AAAAAF6rs2o=")</f>
        <v>#VALUE!</v>
      </c>
      <c r="DD281" t="e">
        <f>AND('STERLING CATALOG - FZN &amp; CHILL'!F853,"AAAAAF6rs2s=")</f>
        <v>#VALUE!</v>
      </c>
      <c r="DE281" t="e">
        <f>AND('STERLING CATALOG - FZN &amp; CHILL'!G853,"AAAAAF6rs2w=")</f>
        <v>#VALUE!</v>
      </c>
      <c r="DF281" t="e">
        <f>AND('STERLING CATALOG - FZN &amp; CHILL'!H853,"AAAAAF6rs20=")</f>
        <v>#VALUE!</v>
      </c>
      <c r="DG281" t="e">
        <f>AND('STERLING CATALOG - FZN &amp; CHILL'!I853,"AAAAAF6rs24=")</f>
        <v>#VALUE!</v>
      </c>
      <c r="DH281" t="e">
        <f>AND('STERLING CATALOG - FZN &amp; CHILL'!J853,"AAAAAF6rs28=")</f>
        <v>#VALUE!</v>
      </c>
      <c r="DI281">
        <f>IF('STERLING CATALOG - FZN &amp; CHILL'!854:854,"AAAAAF6rs3A=",0)</f>
        <v>0</v>
      </c>
      <c r="DJ281" t="e">
        <f>AND('STERLING CATALOG - FZN &amp; CHILL'!A854,"AAAAAF6rs3E=")</f>
        <v>#VALUE!</v>
      </c>
      <c r="DK281" t="e">
        <f>AND('STERLING CATALOG - FZN &amp; CHILL'!B854,"AAAAAF6rs3I=")</f>
        <v>#VALUE!</v>
      </c>
      <c r="DL281" t="e">
        <f>AND('STERLING CATALOG - FZN &amp; CHILL'!C854,"AAAAAF6rs3M=")</f>
        <v>#VALUE!</v>
      </c>
      <c r="DM281" t="e">
        <f>AND('STERLING CATALOG - FZN &amp; CHILL'!D854,"AAAAAF6rs3Q=")</f>
        <v>#VALUE!</v>
      </c>
      <c r="DN281" t="e">
        <f>AND('STERLING CATALOG - FZN &amp; CHILL'!E854,"AAAAAF6rs3U=")</f>
        <v>#VALUE!</v>
      </c>
      <c r="DO281" t="e">
        <f>AND('STERLING CATALOG - FZN &amp; CHILL'!F854,"AAAAAF6rs3Y=")</f>
        <v>#VALUE!</v>
      </c>
      <c r="DP281" t="e">
        <f>AND('STERLING CATALOG - FZN &amp; CHILL'!G854,"AAAAAF6rs3c=")</f>
        <v>#VALUE!</v>
      </c>
      <c r="DQ281" t="e">
        <f>AND('STERLING CATALOG - FZN &amp; CHILL'!H854,"AAAAAF6rs3g=")</f>
        <v>#VALUE!</v>
      </c>
      <c r="DR281" t="e">
        <f>AND('STERLING CATALOG - FZN &amp; CHILL'!I854,"AAAAAF6rs3k=")</f>
        <v>#VALUE!</v>
      </c>
      <c r="DS281" t="e">
        <f>AND('STERLING CATALOG - FZN &amp; CHILL'!J854,"AAAAAF6rs3o=")</f>
        <v>#VALUE!</v>
      </c>
      <c r="DT281">
        <f>IF('STERLING CATALOG - FZN &amp; CHILL'!855:855,"AAAAAF6rs3s=",0)</f>
        <v>0</v>
      </c>
      <c r="DU281" t="e">
        <f>AND('STERLING CATALOG - FZN &amp; CHILL'!A855,"AAAAAF6rs3w=")</f>
        <v>#VALUE!</v>
      </c>
      <c r="DV281" t="e">
        <f>AND('STERLING CATALOG - FZN &amp; CHILL'!B855,"AAAAAF6rs30=")</f>
        <v>#VALUE!</v>
      </c>
      <c r="DW281" t="e">
        <f>AND('STERLING CATALOG - FZN &amp; CHILL'!C855,"AAAAAF6rs34=")</f>
        <v>#VALUE!</v>
      </c>
      <c r="DX281" t="e">
        <f>AND('STERLING CATALOG - FZN &amp; CHILL'!D855,"AAAAAF6rs38=")</f>
        <v>#VALUE!</v>
      </c>
      <c r="DY281" t="e">
        <f>AND('STERLING CATALOG - FZN &amp; CHILL'!E855,"AAAAAF6rs4A=")</f>
        <v>#VALUE!</v>
      </c>
      <c r="DZ281" t="e">
        <f>AND('STERLING CATALOG - FZN &amp; CHILL'!F855,"AAAAAF6rs4E=")</f>
        <v>#VALUE!</v>
      </c>
      <c r="EA281" t="e">
        <f>AND('STERLING CATALOG - FZN &amp; CHILL'!G855,"AAAAAF6rs4I=")</f>
        <v>#VALUE!</v>
      </c>
      <c r="EB281" t="e">
        <f>AND('STERLING CATALOG - FZN &amp; CHILL'!H855,"AAAAAF6rs4M=")</f>
        <v>#VALUE!</v>
      </c>
      <c r="EC281" t="e">
        <f>AND('STERLING CATALOG - FZN &amp; CHILL'!I855,"AAAAAF6rs4Q=")</f>
        <v>#VALUE!</v>
      </c>
      <c r="ED281" t="e">
        <f>AND('STERLING CATALOG - FZN &amp; CHILL'!J855,"AAAAAF6rs4U=")</f>
        <v>#VALUE!</v>
      </c>
      <c r="EE281">
        <f>IF('STERLING CATALOG - FZN &amp; CHILL'!856:856,"AAAAAF6rs4Y=",0)</f>
        <v>0</v>
      </c>
      <c r="EF281" t="e">
        <f>AND('STERLING CATALOG - FZN &amp; CHILL'!A856,"AAAAAF6rs4c=")</f>
        <v>#VALUE!</v>
      </c>
      <c r="EG281" t="e">
        <f>AND('STERLING CATALOG - FZN &amp; CHILL'!B856,"AAAAAF6rs4g=")</f>
        <v>#VALUE!</v>
      </c>
      <c r="EH281" t="e">
        <f>AND('STERLING CATALOG - FZN &amp; CHILL'!C856,"AAAAAF6rs4k=")</f>
        <v>#VALUE!</v>
      </c>
      <c r="EI281" t="e">
        <f>AND('STERLING CATALOG - FZN &amp; CHILL'!D856,"AAAAAF6rs4o=")</f>
        <v>#VALUE!</v>
      </c>
      <c r="EJ281" t="e">
        <f>AND('STERLING CATALOG - FZN &amp; CHILL'!E856,"AAAAAF6rs4s=")</f>
        <v>#VALUE!</v>
      </c>
      <c r="EK281" t="e">
        <f>AND('STERLING CATALOG - FZN &amp; CHILL'!F856,"AAAAAF6rs4w=")</f>
        <v>#VALUE!</v>
      </c>
      <c r="EL281" t="e">
        <f>AND('STERLING CATALOG - FZN &amp; CHILL'!G856,"AAAAAF6rs40=")</f>
        <v>#VALUE!</v>
      </c>
      <c r="EM281" t="e">
        <f>AND('STERLING CATALOG - FZN &amp; CHILL'!H856,"AAAAAF6rs44=")</f>
        <v>#VALUE!</v>
      </c>
      <c r="EN281" t="e">
        <f>AND('STERLING CATALOG - FZN &amp; CHILL'!I856,"AAAAAF6rs48=")</f>
        <v>#VALUE!</v>
      </c>
      <c r="EO281" t="e">
        <f>AND('STERLING CATALOG - FZN &amp; CHILL'!J856,"AAAAAF6rs5A=")</f>
        <v>#VALUE!</v>
      </c>
      <c r="EP281">
        <f>IF('STERLING CATALOG - FZN &amp; CHILL'!857:857,"AAAAAF6rs5E=",0)</f>
        <v>0</v>
      </c>
      <c r="EQ281" t="e">
        <f>AND('STERLING CATALOG - FZN &amp; CHILL'!A857,"AAAAAF6rs5I=")</f>
        <v>#VALUE!</v>
      </c>
      <c r="ER281" t="e">
        <f>AND('STERLING CATALOG - FZN &amp; CHILL'!B857,"AAAAAF6rs5M=")</f>
        <v>#VALUE!</v>
      </c>
      <c r="ES281" t="e">
        <f>AND('STERLING CATALOG - FZN &amp; CHILL'!C857,"AAAAAF6rs5Q=")</f>
        <v>#VALUE!</v>
      </c>
      <c r="ET281" t="e">
        <f>AND('STERLING CATALOG - FZN &amp; CHILL'!D857,"AAAAAF6rs5U=")</f>
        <v>#VALUE!</v>
      </c>
      <c r="EU281" t="e">
        <f>AND('STERLING CATALOG - FZN &amp; CHILL'!E857,"AAAAAF6rs5Y=")</f>
        <v>#VALUE!</v>
      </c>
      <c r="EV281" t="e">
        <f>AND('STERLING CATALOG - FZN &amp; CHILL'!F857,"AAAAAF6rs5c=")</f>
        <v>#VALUE!</v>
      </c>
      <c r="EW281" t="e">
        <f>AND('STERLING CATALOG - FZN &amp; CHILL'!G857,"AAAAAF6rs5g=")</f>
        <v>#VALUE!</v>
      </c>
      <c r="EX281" t="e">
        <f>AND('STERLING CATALOG - FZN &amp; CHILL'!H857,"AAAAAF6rs5k=")</f>
        <v>#VALUE!</v>
      </c>
      <c r="EY281" t="e">
        <f>AND('STERLING CATALOG - FZN &amp; CHILL'!I857,"AAAAAF6rs5o=")</f>
        <v>#VALUE!</v>
      </c>
      <c r="EZ281" t="e">
        <f>AND('STERLING CATALOG - FZN &amp; CHILL'!J857,"AAAAAF6rs5s=")</f>
        <v>#VALUE!</v>
      </c>
      <c r="FA281">
        <f>IF('STERLING CATALOG - FZN &amp; CHILL'!858:858,"AAAAAF6rs5w=",0)</f>
        <v>0</v>
      </c>
      <c r="FB281" t="e">
        <f>AND('STERLING CATALOG - FZN &amp; CHILL'!A858,"AAAAAF6rs50=")</f>
        <v>#VALUE!</v>
      </c>
      <c r="FC281" t="e">
        <f>AND('STERLING CATALOG - FZN &amp; CHILL'!B858,"AAAAAF6rs54=")</f>
        <v>#VALUE!</v>
      </c>
      <c r="FD281" t="e">
        <f>AND('STERLING CATALOG - FZN &amp; CHILL'!C858,"AAAAAF6rs58=")</f>
        <v>#VALUE!</v>
      </c>
      <c r="FE281" t="e">
        <f>AND('STERLING CATALOG - FZN &amp; CHILL'!D858,"AAAAAF6rs6A=")</f>
        <v>#VALUE!</v>
      </c>
      <c r="FF281" t="e">
        <f>AND('STERLING CATALOG - FZN &amp; CHILL'!E858,"AAAAAF6rs6E=")</f>
        <v>#VALUE!</v>
      </c>
      <c r="FG281" t="e">
        <f>AND('STERLING CATALOG - FZN &amp; CHILL'!F858,"AAAAAF6rs6I=")</f>
        <v>#VALUE!</v>
      </c>
      <c r="FH281" t="e">
        <f>AND('STERLING CATALOG - FZN &amp; CHILL'!G858,"AAAAAF6rs6M=")</f>
        <v>#VALUE!</v>
      </c>
      <c r="FI281" t="e">
        <f>AND('STERLING CATALOG - FZN &amp; CHILL'!H858,"AAAAAF6rs6Q=")</f>
        <v>#VALUE!</v>
      </c>
      <c r="FJ281" t="e">
        <f>AND('STERLING CATALOG - FZN &amp; CHILL'!I858,"AAAAAF6rs6U=")</f>
        <v>#VALUE!</v>
      </c>
      <c r="FK281" t="e">
        <f>AND('STERLING CATALOG - FZN &amp; CHILL'!J858,"AAAAAF6rs6Y=")</f>
        <v>#VALUE!</v>
      </c>
      <c r="FL281">
        <f>IF('STERLING CATALOG - FZN &amp; CHILL'!859:859,"AAAAAF6rs6c=",0)</f>
        <v>0</v>
      </c>
      <c r="FM281" t="e">
        <f>AND('STERLING CATALOG - FZN &amp; CHILL'!A859,"AAAAAF6rs6g=")</f>
        <v>#VALUE!</v>
      </c>
      <c r="FN281" t="e">
        <f>AND('STERLING CATALOG - FZN &amp; CHILL'!B859,"AAAAAF6rs6k=")</f>
        <v>#VALUE!</v>
      </c>
      <c r="FO281" t="e">
        <f>AND('STERLING CATALOG - FZN &amp; CHILL'!C859,"AAAAAF6rs6o=")</f>
        <v>#VALUE!</v>
      </c>
      <c r="FP281" t="e">
        <f>AND('STERLING CATALOG - FZN &amp; CHILL'!D859,"AAAAAF6rs6s=")</f>
        <v>#VALUE!</v>
      </c>
      <c r="FQ281" t="e">
        <f>AND('STERLING CATALOG - FZN &amp; CHILL'!E859,"AAAAAF6rs6w=")</f>
        <v>#VALUE!</v>
      </c>
      <c r="FR281" t="e">
        <f>AND('STERLING CATALOG - FZN &amp; CHILL'!F859,"AAAAAF6rs60=")</f>
        <v>#VALUE!</v>
      </c>
      <c r="FS281" t="e">
        <f>AND('STERLING CATALOG - FZN &amp; CHILL'!G859,"AAAAAF6rs64=")</f>
        <v>#VALUE!</v>
      </c>
      <c r="FT281" t="e">
        <f>AND('STERLING CATALOG - FZN &amp; CHILL'!H859,"AAAAAF6rs68=")</f>
        <v>#VALUE!</v>
      </c>
      <c r="FU281" t="e">
        <f>AND('STERLING CATALOG - FZN &amp; CHILL'!I859,"AAAAAF6rs7A=")</f>
        <v>#VALUE!</v>
      </c>
      <c r="FV281" t="e">
        <f>AND('STERLING CATALOG - FZN &amp; CHILL'!J859,"AAAAAF6rs7E=")</f>
        <v>#VALUE!</v>
      </c>
      <c r="FW281">
        <f>IF('STERLING CATALOG - FZN &amp; CHILL'!860:860,"AAAAAF6rs7I=",0)</f>
        <v>0</v>
      </c>
      <c r="FX281" t="e">
        <f>AND('STERLING CATALOG - FZN &amp; CHILL'!A860,"AAAAAF6rs7M=")</f>
        <v>#VALUE!</v>
      </c>
      <c r="FY281" t="e">
        <f>AND('STERLING CATALOG - FZN &amp; CHILL'!B860,"AAAAAF6rs7Q=")</f>
        <v>#VALUE!</v>
      </c>
      <c r="FZ281" t="e">
        <f>AND('STERLING CATALOG - FZN &amp; CHILL'!C860,"AAAAAF6rs7U=")</f>
        <v>#VALUE!</v>
      </c>
      <c r="GA281" t="e">
        <f>AND('STERLING CATALOG - FZN &amp; CHILL'!D860,"AAAAAF6rs7Y=")</f>
        <v>#VALUE!</v>
      </c>
      <c r="GB281" t="e">
        <f>AND('STERLING CATALOG - FZN &amp; CHILL'!E860,"AAAAAF6rs7c=")</f>
        <v>#VALUE!</v>
      </c>
      <c r="GC281" t="e">
        <f>AND('STERLING CATALOG - FZN &amp; CHILL'!F860,"AAAAAF6rs7g=")</f>
        <v>#VALUE!</v>
      </c>
      <c r="GD281" t="e">
        <f>AND('STERLING CATALOG - FZN &amp; CHILL'!G860,"AAAAAF6rs7k=")</f>
        <v>#VALUE!</v>
      </c>
      <c r="GE281" t="e">
        <f>AND('STERLING CATALOG - FZN &amp; CHILL'!H860,"AAAAAF6rs7o=")</f>
        <v>#VALUE!</v>
      </c>
      <c r="GF281" t="e">
        <f>AND('STERLING CATALOG - FZN &amp; CHILL'!I860,"AAAAAF6rs7s=")</f>
        <v>#VALUE!</v>
      </c>
      <c r="GG281" t="e">
        <f>AND('STERLING CATALOG - FZN &amp; CHILL'!J860,"AAAAAF6rs7w=")</f>
        <v>#VALUE!</v>
      </c>
      <c r="GH281">
        <f>IF('STERLING CATALOG - FZN &amp; CHILL'!861:861,"AAAAAF6rs70=",0)</f>
        <v>0</v>
      </c>
      <c r="GI281" t="e">
        <f>AND('STERLING CATALOG - FZN &amp; CHILL'!A861,"AAAAAF6rs74=")</f>
        <v>#VALUE!</v>
      </c>
      <c r="GJ281" t="e">
        <f>AND('STERLING CATALOG - FZN &amp; CHILL'!B861,"AAAAAF6rs78=")</f>
        <v>#VALUE!</v>
      </c>
      <c r="GK281" t="e">
        <f>AND('STERLING CATALOG - FZN &amp; CHILL'!C861,"AAAAAF6rs8A=")</f>
        <v>#VALUE!</v>
      </c>
      <c r="GL281" t="e">
        <f>AND('STERLING CATALOG - FZN &amp; CHILL'!D861,"AAAAAF6rs8E=")</f>
        <v>#VALUE!</v>
      </c>
      <c r="GM281" t="e">
        <f>AND('STERLING CATALOG - FZN &amp; CHILL'!E861,"AAAAAF6rs8I=")</f>
        <v>#VALUE!</v>
      </c>
      <c r="GN281" t="e">
        <f>AND('STERLING CATALOG - FZN &amp; CHILL'!F861,"AAAAAF6rs8M=")</f>
        <v>#VALUE!</v>
      </c>
      <c r="GO281" t="e">
        <f>AND('STERLING CATALOG - FZN &amp; CHILL'!G861,"AAAAAF6rs8Q=")</f>
        <v>#VALUE!</v>
      </c>
      <c r="GP281" t="e">
        <f>AND('STERLING CATALOG - FZN &amp; CHILL'!H861,"AAAAAF6rs8U=")</f>
        <v>#VALUE!</v>
      </c>
      <c r="GQ281" t="e">
        <f>AND('STERLING CATALOG - FZN &amp; CHILL'!I861,"AAAAAF6rs8Y=")</f>
        <v>#VALUE!</v>
      </c>
      <c r="GR281" t="e">
        <f>AND('STERLING CATALOG - FZN &amp; CHILL'!J861,"AAAAAF6rs8c=")</f>
        <v>#VALUE!</v>
      </c>
      <c r="GS281">
        <f>IF('STERLING CATALOG - FZN &amp; CHILL'!862:862,"AAAAAF6rs8g=",0)</f>
        <v>0</v>
      </c>
      <c r="GT281" t="e">
        <f>AND('STERLING CATALOG - FZN &amp; CHILL'!A862,"AAAAAF6rs8k=")</f>
        <v>#VALUE!</v>
      </c>
      <c r="GU281" t="e">
        <f>AND('STERLING CATALOG - FZN &amp; CHILL'!B862,"AAAAAF6rs8o=")</f>
        <v>#VALUE!</v>
      </c>
      <c r="GV281" t="e">
        <f>AND('STERLING CATALOG - FZN &amp; CHILL'!C862,"AAAAAF6rs8s=")</f>
        <v>#VALUE!</v>
      </c>
      <c r="GW281" t="e">
        <f>AND('STERLING CATALOG - FZN &amp; CHILL'!D862,"AAAAAF6rs8w=")</f>
        <v>#VALUE!</v>
      </c>
      <c r="GX281" t="e">
        <f>AND('STERLING CATALOG - FZN &amp; CHILL'!E862,"AAAAAF6rs80=")</f>
        <v>#VALUE!</v>
      </c>
      <c r="GY281" t="e">
        <f>AND('STERLING CATALOG - FZN &amp; CHILL'!F862,"AAAAAF6rs84=")</f>
        <v>#VALUE!</v>
      </c>
      <c r="GZ281" t="e">
        <f>AND('STERLING CATALOG - FZN &amp; CHILL'!G862,"AAAAAF6rs88=")</f>
        <v>#VALUE!</v>
      </c>
      <c r="HA281" t="e">
        <f>AND('STERLING CATALOG - FZN &amp; CHILL'!H862,"AAAAAF6rs9A=")</f>
        <v>#VALUE!</v>
      </c>
      <c r="HB281" t="e">
        <f>AND('STERLING CATALOG - FZN &amp; CHILL'!I862,"AAAAAF6rs9E=")</f>
        <v>#VALUE!</v>
      </c>
      <c r="HC281" t="e">
        <f>AND('STERLING CATALOG - FZN &amp; CHILL'!J862,"AAAAAF6rs9I=")</f>
        <v>#VALUE!</v>
      </c>
      <c r="HD281">
        <f>IF('STERLING CATALOG - FZN &amp; CHILL'!863:863,"AAAAAF6rs9M=",0)</f>
        <v>0</v>
      </c>
      <c r="HE281" t="e">
        <f>AND('STERLING CATALOG - FZN &amp; CHILL'!A863,"AAAAAF6rs9Q=")</f>
        <v>#VALUE!</v>
      </c>
      <c r="HF281" t="e">
        <f>AND('STERLING CATALOG - FZN &amp; CHILL'!B863,"AAAAAF6rs9U=")</f>
        <v>#VALUE!</v>
      </c>
      <c r="HG281" t="e">
        <f>AND('STERLING CATALOG - FZN &amp; CHILL'!C863,"AAAAAF6rs9Y=")</f>
        <v>#VALUE!</v>
      </c>
      <c r="HH281" t="e">
        <f>AND('STERLING CATALOG - FZN &amp; CHILL'!D863,"AAAAAF6rs9c=")</f>
        <v>#VALUE!</v>
      </c>
      <c r="HI281" t="e">
        <f>AND('STERLING CATALOG - FZN &amp; CHILL'!E863,"AAAAAF6rs9g=")</f>
        <v>#VALUE!</v>
      </c>
      <c r="HJ281" t="e">
        <f>AND('STERLING CATALOG - FZN &amp; CHILL'!F863,"AAAAAF6rs9k=")</f>
        <v>#VALUE!</v>
      </c>
      <c r="HK281" t="e">
        <f>AND('STERLING CATALOG - FZN &amp; CHILL'!G863,"AAAAAF6rs9o=")</f>
        <v>#VALUE!</v>
      </c>
      <c r="HL281" t="e">
        <f>AND('STERLING CATALOG - FZN &amp; CHILL'!H863,"AAAAAF6rs9s=")</f>
        <v>#VALUE!</v>
      </c>
      <c r="HM281" t="e">
        <f>AND('STERLING CATALOG - FZN &amp; CHILL'!I863,"AAAAAF6rs9w=")</f>
        <v>#VALUE!</v>
      </c>
      <c r="HN281" t="e">
        <f>AND('STERLING CATALOG - FZN &amp; CHILL'!J863,"AAAAAF6rs90=")</f>
        <v>#VALUE!</v>
      </c>
      <c r="HO281">
        <f>IF('STERLING CATALOG - FZN &amp; CHILL'!864:864,"AAAAAF6rs94=",0)</f>
        <v>0</v>
      </c>
      <c r="HP281" t="e">
        <f>AND('STERLING CATALOG - FZN &amp; CHILL'!A864,"AAAAAF6rs98=")</f>
        <v>#VALUE!</v>
      </c>
      <c r="HQ281" t="e">
        <f>AND('STERLING CATALOG - FZN &amp; CHILL'!B864,"AAAAAF6rs+A=")</f>
        <v>#VALUE!</v>
      </c>
      <c r="HR281" t="e">
        <f>AND('STERLING CATALOG - FZN &amp; CHILL'!C864,"AAAAAF6rs+E=")</f>
        <v>#VALUE!</v>
      </c>
      <c r="HS281" t="e">
        <f>AND('STERLING CATALOG - FZN &amp; CHILL'!D864,"AAAAAF6rs+I=")</f>
        <v>#VALUE!</v>
      </c>
      <c r="HT281" t="e">
        <f>AND('STERLING CATALOG - FZN &amp; CHILL'!E864,"AAAAAF6rs+M=")</f>
        <v>#VALUE!</v>
      </c>
      <c r="HU281" t="e">
        <f>AND('STERLING CATALOG - FZN &amp; CHILL'!F864,"AAAAAF6rs+Q=")</f>
        <v>#VALUE!</v>
      </c>
      <c r="HV281" t="e">
        <f>AND('STERLING CATALOG - FZN &amp; CHILL'!G864,"AAAAAF6rs+U=")</f>
        <v>#VALUE!</v>
      </c>
      <c r="HW281" t="e">
        <f>AND('STERLING CATALOG - FZN &amp; CHILL'!H864,"AAAAAF6rs+Y=")</f>
        <v>#VALUE!</v>
      </c>
      <c r="HX281" t="e">
        <f>AND('STERLING CATALOG - FZN &amp; CHILL'!I864,"AAAAAF6rs+c=")</f>
        <v>#VALUE!</v>
      </c>
      <c r="HY281" t="e">
        <f>AND('STERLING CATALOG - FZN &amp; CHILL'!J864,"AAAAAF6rs+g=")</f>
        <v>#VALUE!</v>
      </c>
      <c r="HZ281">
        <f>IF('STERLING CATALOG - FZN &amp; CHILL'!865:865,"AAAAAF6rs+k=",0)</f>
        <v>0</v>
      </c>
      <c r="IA281" t="e">
        <f>AND('STERLING CATALOG - FZN &amp; CHILL'!A865,"AAAAAF6rs+o=")</f>
        <v>#VALUE!</v>
      </c>
      <c r="IB281" t="e">
        <f>AND('STERLING CATALOG - FZN &amp; CHILL'!B865,"AAAAAF6rs+s=")</f>
        <v>#VALUE!</v>
      </c>
      <c r="IC281" t="e">
        <f>AND('STERLING CATALOG - FZN &amp; CHILL'!C865,"AAAAAF6rs+w=")</f>
        <v>#VALUE!</v>
      </c>
      <c r="ID281" t="e">
        <f>AND('STERLING CATALOG - FZN &amp; CHILL'!D865,"AAAAAF6rs+0=")</f>
        <v>#VALUE!</v>
      </c>
      <c r="IE281" t="e">
        <f>AND('STERLING CATALOG - FZN &amp; CHILL'!E865,"AAAAAF6rs+4=")</f>
        <v>#VALUE!</v>
      </c>
      <c r="IF281" t="e">
        <f>AND('STERLING CATALOG - FZN &amp; CHILL'!F865,"AAAAAF6rs+8=")</f>
        <v>#VALUE!</v>
      </c>
      <c r="IG281" t="e">
        <f>AND('STERLING CATALOG - FZN &amp; CHILL'!G865,"AAAAAF6rs/A=")</f>
        <v>#VALUE!</v>
      </c>
      <c r="IH281" t="e">
        <f>AND('STERLING CATALOG - FZN &amp; CHILL'!H865,"AAAAAF6rs/E=")</f>
        <v>#VALUE!</v>
      </c>
      <c r="II281" t="e">
        <f>AND('STERLING CATALOG - FZN &amp; CHILL'!I865,"AAAAAF6rs/I=")</f>
        <v>#VALUE!</v>
      </c>
      <c r="IJ281" t="e">
        <f>AND('STERLING CATALOG - FZN &amp; CHILL'!J865,"AAAAAF6rs/M=")</f>
        <v>#VALUE!</v>
      </c>
      <c r="IK281">
        <f>IF('STERLING CATALOG - FZN &amp; CHILL'!866:866,"AAAAAF6rs/Q=",0)</f>
        <v>0</v>
      </c>
      <c r="IL281" t="e">
        <f>AND('STERLING CATALOG - FZN &amp; CHILL'!A866,"AAAAAF6rs/U=")</f>
        <v>#VALUE!</v>
      </c>
      <c r="IM281" t="e">
        <f>AND('STERLING CATALOG - FZN &amp; CHILL'!B866,"AAAAAF6rs/Y=")</f>
        <v>#VALUE!</v>
      </c>
      <c r="IN281" t="e">
        <f>AND('STERLING CATALOG - FZN &amp; CHILL'!C866,"AAAAAF6rs/c=")</f>
        <v>#VALUE!</v>
      </c>
      <c r="IO281" t="e">
        <f>AND('STERLING CATALOG - FZN &amp; CHILL'!D866,"AAAAAF6rs/g=")</f>
        <v>#VALUE!</v>
      </c>
      <c r="IP281" t="e">
        <f>AND('STERLING CATALOG - FZN &amp; CHILL'!E866,"AAAAAF6rs/k=")</f>
        <v>#VALUE!</v>
      </c>
      <c r="IQ281" t="e">
        <f>AND('STERLING CATALOG - FZN &amp; CHILL'!F866,"AAAAAF6rs/o=")</f>
        <v>#VALUE!</v>
      </c>
      <c r="IR281" t="e">
        <f>AND('STERLING CATALOG - FZN &amp; CHILL'!G866,"AAAAAF6rs/s=")</f>
        <v>#VALUE!</v>
      </c>
      <c r="IS281" t="e">
        <f>AND('STERLING CATALOG - FZN &amp; CHILL'!H866,"AAAAAF6rs/w=")</f>
        <v>#VALUE!</v>
      </c>
      <c r="IT281" t="e">
        <f>AND('STERLING CATALOG - FZN &amp; CHILL'!I866,"AAAAAF6rs/0=")</f>
        <v>#VALUE!</v>
      </c>
      <c r="IU281" t="e">
        <f>AND('STERLING CATALOG - FZN &amp; CHILL'!J866,"AAAAAF6rs/4=")</f>
        <v>#VALUE!</v>
      </c>
      <c r="IV281">
        <f>IF('STERLING CATALOG - FZN &amp; CHILL'!867:867,"AAAAAF6rs/8=",0)</f>
        <v>0</v>
      </c>
    </row>
    <row r="282" spans="1:256">
      <c r="A282" t="e">
        <f>AND('STERLING CATALOG - FZN &amp; CHILL'!A867,"AAAAACpe3wA=")</f>
        <v>#VALUE!</v>
      </c>
      <c r="B282" t="e">
        <f>AND('STERLING CATALOG - FZN &amp; CHILL'!B867,"AAAAACpe3wE=")</f>
        <v>#VALUE!</v>
      </c>
      <c r="C282" t="e">
        <f>AND('STERLING CATALOG - FZN &amp; CHILL'!C867,"AAAAACpe3wI=")</f>
        <v>#VALUE!</v>
      </c>
      <c r="D282" t="e">
        <f>AND('STERLING CATALOG - FZN &amp; CHILL'!D867,"AAAAACpe3wM=")</f>
        <v>#VALUE!</v>
      </c>
      <c r="E282" t="e">
        <f>AND('STERLING CATALOG - FZN &amp; CHILL'!E867,"AAAAACpe3wQ=")</f>
        <v>#VALUE!</v>
      </c>
      <c r="F282" t="e">
        <f>AND('STERLING CATALOG - FZN &amp; CHILL'!F867,"AAAAACpe3wU=")</f>
        <v>#VALUE!</v>
      </c>
      <c r="G282" t="e">
        <f>AND('STERLING CATALOG - FZN &amp; CHILL'!G867,"AAAAACpe3wY=")</f>
        <v>#VALUE!</v>
      </c>
      <c r="H282" t="e">
        <f>AND('STERLING CATALOG - FZN &amp; CHILL'!H867,"AAAAACpe3wc=")</f>
        <v>#VALUE!</v>
      </c>
      <c r="I282" t="e">
        <f>AND('STERLING CATALOG - FZN &amp; CHILL'!I867,"AAAAACpe3wg=")</f>
        <v>#VALUE!</v>
      </c>
      <c r="J282" t="e">
        <f>AND('STERLING CATALOG - FZN &amp; CHILL'!J867,"AAAAACpe3wk=")</f>
        <v>#VALUE!</v>
      </c>
      <c r="K282">
        <f>IF('STERLING CATALOG - FZN &amp; CHILL'!868:868,"AAAAACpe3wo=",0)</f>
        <v>0</v>
      </c>
      <c r="L282" t="e">
        <f>AND('STERLING CATALOG - FZN &amp; CHILL'!A868,"AAAAACpe3ws=")</f>
        <v>#VALUE!</v>
      </c>
      <c r="M282" t="e">
        <f>AND('STERLING CATALOG - FZN &amp; CHILL'!B868,"AAAAACpe3ww=")</f>
        <v>#VALUE!</v>
      </c>
      <c r="N282" t="e">
        <f>AND('STERLING CATALOG - FZN &amp; CHILL'!C868,"AAAAACpe3w0=")</f>
        <v>#VALUE!</v>
      </c>
      <c r="O282" t="e">
        <f>AND('STERLING CATALOG - FZN &amp; CHILL'!D868,"AAAAACpe3w4=")</f>
        <v>#VALUE!</v>
      </c>
      <c r="P282" t="e">
        <f>AND('STERLING CATALOG - FZN &amp; CHILL'!E868,"AAAAACpe3w8=")</f>
        <v>#VALUE!</v>
      </c>
      <c r="Q282" t="e">
        <f>AND('STERLING CATALOG - FZN &amp; CHILL'!F868,"AAAAACpe3xA=")</f>
        <v>#VALUE!</v>
      </c>
      <c r="R282" t="e">
        <f>AND('STERLING CATALOG - FZN &amp; CHILL'!G868,"AAAAACpe3xE=")</f>
        <v>#VALUE!</v>
      </c>
      <c r="S282" t="e">
        <f>AND('STERLING CATALOG - FZN &amp; CHILL'!H868,"AAAAACpe3xI=")</f>
        <v>#VALUE!</v>
      </c>
      <c r="T282" t="e">
        <f>AND('STERLING CATALOG - FZN &amp; CHILL'!I868,"AAAAACpe3xM=")</f>
        <v>#VALUE!</v>
      </c>
      <c r="U282" t="e">
        <f>AND('STERLING CATALOG - FZN &amp; CHILL'!J868,"AAAAACpe3xQ=")</f>
        <v>#VALUE!</v>
      </c>
      <c r="V282">
        <f>IF('STERLING CATALOG - FZN &amp; CHILL'!869:869,"AAAAACpe3xU=",0)</f>
        <v>0</v>
      </c>
      <c r="W282" t="e">
        <f>AND('STERLING CATALOG - FZN &amp; CHILL'!A869,"AAAAACpe3xY=")</f>
        <v>#VALUE!</v>
      </c>
      <c r="X282" t="e">
        <f>AND('STERLING CATALOG - FZN &amp; CHILL'!B869,"AAAAACpe3xc=")</f>
        <v>#VALUE!</v>
      </c>
      <c r="Y282" t="e">
        <f>AND('STERLING CATALOG - FZN &amp; CHILL'!C869,"AAAAACpe3xg=")</f>
        <v>#VALUE!</v>
      </c>
      <c r="Z282" t="e">
        <f>AND('STERLING CATALOG - FZN &amp; CHILL'!D869,"AAAAACpe3xk=")</f>
        <v>#VALUE!</v>
      </c>
      <c r="AA282" t="e">
        <f>AND('STERLING CATALOG - FZN &amp; CHILL'!E869,"AAAAACpe3xo=")</f>
        <v>#VALUE!</v>
      </c>
      <c r="AB282" t="e">
        <f>AND('STERLING CATALOG - FZN &amp; CHILL'!F869,"AAAAACpe3xs=")</f>
        <v>#VALUE!</v>
      </c>
      <c r="AC282" t="e">
        <f>AND('STERLING CATALOG - FZN &amp; CHILL'!G869,"AAAAACpe3xw=")</f>
        <v>#VALUE!</v>
      </c>
      <c r="AD282" t="e">
        <f>AND('STERLING CATALOG - FZN &amp; CHILL'!H869,"AAAAACpe3x0=")</f>
        <v>#VALUE!</v>
      </c>
      <c r="AE282" t="e">
        <f>AND('STERLING CATALOG - FZN &amp; CHILL'!I869,"AAAAACpe3x4=")</f>
        <v>#VALUE!</v>
      </c>
      <c r="AF282" t="e">
        <f>AND('STERLING CATALOG - FZN &amp; CHILL'!J869,"AAAAACpe3x8=")</f>
        <v>#VALUE!</v>
      </c>
      <c r="AG282">
        <f>IF('STERLING CATALOG - FZN &amp; CHILL'!870:870,"AAAAACpe3yA=",0)</f>
        <v>0</v>
      </c>
      <c r="AH282" t="e">
        <f>AND('STERLING CATALOG - FZN &amp; CHILL'!A870,"AAAAACpe3yE=")</f>
        <v>#VALUE!</v>
      </c>
      <c r="AI282" t="e">
        <f>AND('STERLING CATALOG - FZN &amp; CHILL'!B870,"AAAAACpe3yI=")</f>
        <v>#VALUE!</v>
      </c>
      <c r="AJ282" t="e">
        <f>AND('STERLING CATALOG - FZN &amp; CHILL'!C870,"AAAAACpe3yM=")</f>
        <v>#VALUE!</v>
      </c>
      <c r="AK282" t="e">
        <f>AND('STERLING CATALOG - FZN &amp; CHILL'!D870,"AAAAACpe3yQ=")</f>
        <v>#VALUE!</v>
      </c>
      <c r="AL282" t="e">
        <f>AND('STERLING CATALOG - FZN &amp; CHILL'!E870,"AAAAACpe3yU=")</f>
        <v>#VALUE!</v>
      </c>
      <c r="AM282" t="e">
        <f>AND('STERLING CATALOG - FZN &amp; CHILL'!F870,"AAAAACpe3yY=")</f>
        <v>#VALUE!</v>
      </c>
      <c r="AN282" t="e">
        <f>AND('STERLING CATALOG - FZN &amp; CHILL'!G870,"AAAAACpe3yc=")</f>
        <v>#VALUE!</v>
      </c>
      <c r="AO282" t="e">
        <f>AND('STERLING CATALOG - FZN &amp; CHILL'!H870,"AAAAACpe3yg=")</f>
        <v>#VALUE!</v>
      </c>
      <c r="AP282" t="e">
        <f>AND('STERLING CATALOG - FZN &amp; CHILL'!I870,"AAAAACpe3yk=")</f>
        <v>#VALUE!</v>
      </c>
      <c r="AQ282" t="e">
        <f>AND('STERLING CATALOG - FZN &amp; CHILL'!J870,"AAAAACpe3yo=")</f>
        <v>#VALUE!</v>
      </c>
      <c r="AR282">
        <f>IF('STERLING CATALOG - FZN &amp; CHILL'!871:871,"AAAAACpe3ys=",0)</f>
        <v>0</v>
      </c>
      <c r="AS282" t="e">
        <f>AND('STERLING CATALOG - FZN &amp; CHILL'!A871,"AAAAACpe3yw=")</f>
        <v>#VALUE!</v>
      </c>
      <c r="AT282" t="e">
        <f>AND('STERLING CATALOG - FZN &amp; CHILL'!B871,"AAAAACpe3y0=")</f>
        <v>#VALUE!</v>
      </c>
      <c r="AU282" t="e">
        <f>AND('STERLING CATALOG - FZN &amp; CHILL'!C871,"AAAAACpe3y4=")</f>
        <v>#VALUE!</v>
      </c>
      <c r="AV282" t="e">
        <f>AND('STERLING CATALOG - FZN &amp; CHILL'!D871,"AAAAACpe3y8=")</f>
        <v>#VALUE!</v>
      </c>
      <c r="AW282" t="e">
        <f>AND('STERLING CATALOG - FZN &amp; CHILL'!E871,"AAAAACpe3zA=")</f>
        <v>#VALUE!</v>
      </c>
      <c r="AX282" t="e">
        <f>AND('STERLING CATALOG - FZN &amp; CHILL'!F871,"AAAAACpe3zE=")</f>
        <v>#VALUE!</v>
      </c>
      <c r="AY282" t="e">
        <f>AND('STERLING CATALOG - FZN &amp; CHILL'!G871,"AAAAACpe3zI=")</f>
        <v>#VALUE!</v>
      </c>
      <c r="AZ282" t="e">
        <f>AND('STERLING CATALOG - FZN &amp; CHILL'!H871,"AAAAACpe3zM=")</f>
        <v>#VALUE!</v>
      </c>
      <c r="BA282" t="e">
        <f>AND('STERLING CATALOG - FZN &amp; CHILL'!I871,"AAAAACpe3zQ=")</f>
        <v>#VALUE!</v>
      </c>
      <c r="BB282" t="e">
        <f>AND('STERLING CATALOG - FZN &amp; CHILL'!J871,"AAAAACpe3zU=")</f>
        <v>#VALUE!</v>
      </c>
      <c r="BC282">
        <f>IF('STERLING CATALOG - FZN &amp; CHILL'!872:872,"AAAAACpe3zY=",0)</f>
        <v>0</v>
      </c>
      <c r="BD282" t="e">
        <f>AND('STERLING CATALOG - FZN &amp; CHILL'!A872,"AAAAACpe3zc=")</f>
        <v>#VALUE!</v>
      </c>
      <c r="BE282" t="e">
        <f>AND('STERLING CATALOG - FZN &amp; CHILL'!B872,"AAAAACpe3zg=")</f>
        <v>#VALUE!</v>
      </c>
      <c r="BF282" t="e">
        <f>AND('STERLING CATALOG - FZN &amp; CHILL'!C872,"AAAAACpe3zk=")</f>
        <v>#VALUE!</v>
      </c>
      <c r="BG282" t="e">
        <f>AND('STERLING CATALOG - FZN &amp; CHILL'!D872,"AAAAACpe3zo=")</f>
        <v>#VALUE!</v>
      </c>
      <c r="BH282" t="e">
        <f>AND('STERLING CATALOG - FZN &amp; CHILL'!E872,"AAAAACpe3zs=")</f>
        <v>#VALUE!</v>
      </c>
      <c r="BI282" t="e">
        <f>AND('STERLING CATALOG - FZN &amp; CHILL'!F872,"AAAAACpe3zw=")</f>
        <v>#VALUE!</v>
      </c>
      <c r="BJ282" t="e">
        <f>AND('STERLING CATALOG - FZN &amp; CHILL'!G872,"AAAAACpe3z0=")</f>
        <v>#VALUE!</v>
      </c>
      <c r="BK282" t="e">
        <f>AND('STERLING CATALOG - FZN &amp; CHILL'!H872,"AAAAACpe3z4=")</f>
        <v>#VALUE!</v>
      </c>
      <c r="BL282" t="e">
        <f>AND('STERLING CATALOG - FZN &amp; CHILL'!I872,"AAAAACpe3z8=")</f>
        <v>#VALUE!</v>
      </c>
      <c r="BM282" t="e">
        <f>AND('STERLING CATALOG - FZN &amp; CHILL'!J872,"AAAAACpe30A=")</f>
        <v>#VALUE!</v>
      </c>
      <c r="BN282">
        <f>IF('STERLING CATALOG - FZN &amp; CHILL'!873:873,"AAAAACpe30E=",0)</f>
        <v>0</v>
      </c>
      <c r="BO282" t="e">
        <f>AND('STERLING CATALOG - FZN &amp; CHILL'!A873,"AAAAACpe30I=")</f>
        <v>#VALUE!</v>
      </c>
      <c r="BP282" t="e">
        <f>AND('STERLING CATALOG - FZN &amp; CHILL'!B873,"AAAAACpe30M=")</f>
        <v>#VALUE!</v>
      </c>
      <c r="BQ282" t="e">
        <f>AND('STERLING CATALOG - FZN &amp; CHILL'!C873,"AAAAACpe30Q=")</f>
        <v>#VALUE!</v>
      </c>
      <c r="BR282" t="e">
        <f>AND('STERLING CATALOG - FZN &amp; CHILL'!D873,"AAAAACpe30U=")</f>
        <v>#VALUE!</v>
      </c>
      <c r="BS282" t="e">
        <f>AND('STERLING CATALOG - FZN &amp; CHILL'!E873,"AAAAACpe30Y=")</f>
        <v>#VALUE!</v>
      </c>
      <c r="BT282" t="e">
        <f>AND('STERLING CATALOG - FZN &amp; CHILL'!F873,"AAAAACpe30c=")</f>
        <v>#VALUE!</v>
      </c>
      <c r="BU282" t="e">
        <f>AND('STERLING CATALOG - FZN &amp; CHILL'!G873,"AAAAACpe30g=")</f>
        <v>#VALUE!</v>
      </c>
      <c r="BV282" t="e">
        <f>AND('STERLING CATALOG - FZN &amp; CHILL'!H873,"AAAAACpe30k=")</f>
        <v>#VALUE!</v>
      </c>
      <c r="BW282" t="e">
        <f>AND('STERLING CATALOG - FZN &amp; CHILL'!I873,"AAAAACpe30o=")</f>
        <v>#VALUE!</v>
      </c>
      <c r="BX282" t="e">
        <f>AND('STERLING CATALOG - FZN &amp; CHILL'!J873,"AAAAACpe30s=")</f>
        <v>#VALUE!</v>
      </c>
      <c r="BY282">
        <f>IF('STERLING CATALOG - FZN &amp; CHILL'!874:874,"AAAAACpe30w=",0)</f>
        <v>0</v>
      </c>
      <c r="BZ282" t="e">
        <f>AND('STERLING CATALOG - FZN &amp; CHILL'!A874,"AAAAACpe300=")</f>
        <v>#VALUE!</v>
      </c>
      <c r="CA282" t="e">
        <f>AND('STERLING CATALOG - FZN &amp; CHILL'!B874,"AAAAACpe304=")</f>
        <v>#VALUE!</v>
      </c>
      <c r="CB282" t="e">
        <f>AND('STERLING CATALOG - FZN &amp; CHILL'!C874,"AAAAACpe308=")</f>
        <v>#VALUE!</v>
      </c>
      <c r="CC282" t="e">
        <f>AND('STERLING CATALOG - FZN &amp; CHILL'!D874,"AAAAACpe31A=")</f>
        <v>#VALUE!</v>
      </c>
      <c r="CD282" t="e">
        <f>AND('STERLING CATALOG - FZN &amp; CHILL'!E874,"AAAAACpe31E=")</f>
        <v>#VALUE!</v>
      </c>
      <c r="CE282" t="e">
        <f>AND('STERLING CATALOG - FZN &amp; CHILL'!F874,"AAAAACpe31I=")</f>
        <v>#VALUE!</v>
      </c>
      <c r="CF282" t="e">
        <f>AND('STERLING CATALOG - FZN &amp; CHILL'!G874,"AAAAACpe31M=")</f>
        <v>#VALUE!</v>
      </c>
      <c r="CG282" t="e">
        <f>AND('STERLING CATALOG - FZN &amp; CHILL'!H874,"AAAAACpe31Q=")</f>
        <v>#VALUE!</v>
      </c>
      <c r="CH282" t="e">
        <f>AND('STERLING CATALOG - FZN &amp; CHILL'!I874,"AAAAACpe31U=")</f>
        <v>#VALUE!</v>
      </c>
      <c r="CI282" t="e">
        <f>AND('STERLING CATALOG - FZN &amp; CHILL'!J874,"AAAAACpe31Y=")</f>
        <v>#VALUE!</v>
      </c>
      <c r="CJ282">
        <f>IF('STERLING CATALOG - FZN &amp; CHILL'!875:875,"AAAAACpe31c=",0)</f>
        <v>0</v>
      </c>
      <c r="CK282" t="e">
        <f>AND('STERLING CATALOG - FZN &amp; CHILL'!A875,"AAAAACpe31g=")</f>
        <v>#VALUE!</v>
      </c>
      <c r="CL282" t="e">
        <f>AND('STERLING CATALOG - FZN &amp; CHILL'!B875,"AAAAACpe31k=")</f>
        <v>#VALUE!</v>
      </c>
      <c r="CM282" t="e">
        <f>AND('STERLING CATALOG - FZN &amp; CHILL'!C875,"AAAAACpe31o=")</f>
        <v>#VALUE!</v>
      </c>
      <c r="CN282" t="e">
        <f>AND('STERLING CATALOG - FZN &amp; CHILL'!D875,"AAAAACpe31s=")</f>
        <v>#VALUE!</v>
      </c>
      <c r="CO282" t="e">
        <f>AND('STERLING CATALOG - FZN &amp; CHILL'!E875,"AAAAACpe31w=")</f>
        <v>#VALUE!</v>
      </c>
      <c r="CP282" t="e">
        <f>AND('STERLING CATALOG - FZN &amp; CHILL'!F875,"AAAAACpe310=")</f>
        <v>#VALUE!</v>
      </c>
      <c r="CQ282" t="e">
        <f>AND('STERLING CATALOG - FZN &amp; CHILL'!G875,"AAAAACpe314=")</f>
        <v>#VALUE!</v>
      </c>
      <c r="CR282" t="e">
        <f>AND('STERLING CATALOG - FZN &amp; CHILL'!H875,"AAAAACpe318=")</f>
        <v>#VALUE!</v>
      </c>
      <c r="CS282" t="e">
        <f>AND('STERLING CATALOG - FZN &amp; CHILL'!I875,"AAAAACpe32A=")</f>
        <v>#VALUE!</v>
      </c>
      <c r="CT282" t="e">
        <f>AND('STERLING CATALOG - FZN &amp; CHILL'!J875,"AAAAACpe32E=")</f>
        <v>#VALUE!</v>
      </c>
      <c r="CU282">
        <f>IF('STERLING CATALOG - FZN &amp; CHILL'!876:876,"AAAAACpe32I=",0)</f>
        <v>0</v>
      </c>
      <c r="CV282" t="e">
        <f>AND('STERLING CATALOG - FZN &amp; CHILL'!A876,"AAAAACpe32M=")</f>
        <v>#VALUE!</v>
      </c>
      <c r="CW282" t="e">
        <f>AND('STERLING CATALOG - FZN &amp; CHILL'!B876,"AAAAACpe32Q=")</f>
        <v>#VALUE!</v>
      </c>
      <c r="CX282" t="e">
        <f>AND('STERLING CATALOG - FZN &amp; CHILL'!C876,"AAAAACpe32U=")</f>
        <v>#VALUE!</v>
      </c>
      <c r="CY282" t="e">
        <f>AND('STERLING CATALOG - FZN &amp; CHILL'!D876,"AAAAACpe32Y=")</f>
        <v>#VALUE!</v>
      </c>
      <c r="CZ282" t="e">
        <f>AND('STERLING CATALOG - FZN &amp; CHILL'!E876,"AAAAACpe32c=")</f>
        <v>#VALUE!</v>
      </c>
      <c r="DA282" t="e">
        <f>AND('STERLING CATALOG - FZN &amp; CHILL'!F876,"AAAAACpe32g=")</f>
        <v>#VALUE!</v>
      </c>
      <c r="DB282" t="e">
        <f>AND('STERLING CATALOG - FZN &amp; CHILL'!G876,"AAAAACpe32k=")</f>
        <v>#VALUE!</v>
      </c>
      <c r="DC282" t="e">
        <f>AND('STERLING CATALOG - FZN &amp; CHILL'!H876,"AAAAACpe32o=")</f>
        <v>#VALUE!</v>
      </c>
      <c r="DD282" t="e">
        <f>AND('STERLING CATALOG - FZN &amp; CHILL'!I876,"AAAAACpe32s=")</f>
        <v>#VALUE!</v>
      </c>
      <c r="DE282" t="e">
        <f>AND('STERLING CATALOG - FZN &amp; CHILL'!J876,"AAAAACpe32w=")</f>
        <v>#VALUE!</v>
      </c>
      <c r="DF282">
        <f>IF('STERLING CATALOG - FZN &amp; CHILL'!877:877,"AAAAACpe320=",0)</f>
        <v>0</v>
      </c>
      <c r="DG282" t="e">
        <f>AND('STERLING CATALOG - FZN &amp; CHILL'!A877,"AAAAACpe324=")</f>
        <v>#VALUE!</v>
      </c>
      <c r="DH282" t="e">
        <f>AND('STERLING CATALOG - FZN &amp; CHILL'!B877,"AAAAACpe328=")</f>
        <v>#VALUE!</v>
      </c>
      <c r="DI282" t="e">
        <f>AND('STERLING CATALOG - FZN &amp; CHILL'!C877,"AAAAACpe33A=")</f>
        <v>#VALUE!</v>
      </c>
      <c r="DJ282" t="e">
        <f>AND('STERLING CATALOG - FZN &amp; CHILL'!D877,"AAAAACpe33E=")</f>
        <v>#VALUE!</v>
      </c>
      <c r="DK282" t="e">
        <f>AND('STERLING CATALOG - FZN &amp; CHILL'!E877,"AAAAACpe33I=")</f>
        <v>#VALUE!</v>
      </c>
      <c r="DL282" t="e">
        <f>AND('STERLING CATALOG - FZN &amp; CHILL'!F877,"AAAAACpe33M=")</f>
        <v>#VALUE!</v>
      </c>
      <c r="DM282" t="e">
        <f>AND('STERLING CATALOG - FZN &amp; CHILL'!G877,"AAAAACpe33Q=")</f>
        <v>#VALUE!</v>
      </c>
      <c r="DN282" t="e">
        <f>AND('STERLING CATALOG - FZN &amp; CHILL'!H877,"AAAAACpe33U=")</f>
        <v>#VALUE!</v>
      </c>
      <c r="DO282" t="e">
        <f>AND('STERLING CATALOG - FZN &amp; CHILL'!I877,"AAAAACpe33Y=")</f>
        <v>#VALUE!</v>
      </c>
      <c r="DP282" t="e">
        <f>AND('STERLING CATALOG - FZN &amp; CHILL'!J877,"AAAAACpe33c=")</f>
        <v>#VALUE!</v>
      </c>
      <c r="DQ282">
        <f>IF('STERLING CATALOG - FZN &amp; CHILL'!878:878,"AAAAACpe33g=",0)</f>
        <v>0</v>
      </c>
      <c r="DR282" t="e">
        <f>AND('STERLING CATALOG - FZN &amp; CHILL'!A878,"AAAAACpe33k=")</f>
        <v>#VALUE!</v>
      </c>
      <c r="DS282" t="e">
        <f>AND('STERLING CATALOG - FZN &amp; CHILL'!B878,"AAAAACpe33o=")</f>
        <v>#VALUE!</v>
      </c>
      <c r="DT282" t="e">
        <f>AND('STERLING CATALOG - FZN &amp; CHILL'!C878,"AAAAACpe33s=")</f>
        <v>#VALUE!</v>
      </c>
      <c r="DU282" t="e">
        <f>AND('STERLING CATALOG - FZN &amp; CHILL'!D878,"AAAAACpe33w=")</f>
        <v>#VALUE!</v>
      </c>
      <c r="DV282" t="e">
        <f>AND('STERLING CATALOG - FZN &amp; CHILL'!E878,"AAAAACpe330=")</f>
        <v>#VALUE!</v>
      </c>
      <c r="DW282" t="e">
        <f>AND('STERLING CATALOG - FZN &amp; CHILL'!F878,"AAAAACpe334=")</f>
        <v>#VALUE!</v>
      </c>
      <c r="DX282" t="e">
        <f>AND('STERLING CATALOG - FZN &amp; CHILL'!G878,"AAAAACpe338=")</f>
        <v>#VALUE!</v>
      </c>
      <c r="DY282" t="e">
        <f>AND('STERLING CATALOG - FZN &amp; CHILL'!H878,"AAAAACpe34A=")</f>
        <v>#VALUE!</v>
      </c>
      <c r="DZ282" t="e">
        <f>AND('STERLING CATALOG - FZN &amp; CHILL'!I878,"AAAAACpe34E=")</f>
        <v>#VALUE!</v>
      </c>
      <c r="EA282" t="e">
        <f>AND('STERLING CATALOG - FZN &amp; CHILL'!J878,"AAAAACpe34I=")</f>
        <v>#VALUE!</v>
      </c>
      <c r="EB282">
        <f>IF('STERLING CATALOG - FZN &amp; CHILL'!879:879,"AAAAACpe34M=",0)</f>
        <v>0</v>
      </c>
      <c r="EC282" t="e">
        <f>AND('STERLING CATALOG - FZN &amp; CHILL'!A879,"AAAAACpe34Q=")</f>
        <v>#VALUE!</v>
      </c>
      <c r="ED282" t="e">
        <f>AND('STERLING CATALOG - FZN &amp; CHILL'!B879,"AAAAACpe34U=")</f>
        <v>#VALUE!</v>
      </c>
      <c r="EE282" t="e">
        <f>AND('STERLING CATALOG - FZN &amp; CHILL'!C879,"AAAAACpe34Y=")</f>
        <v>#VALUE!</v>
      </c>
      <c r="EF282" t="e">
        <f>AND('STERLING CATALOG - FZN &amp; CHILL'!D879,"AAAAACpe34c=")</f>
        <v>#VALUE!</v>
      </c>
      <c r="EG282" t="e">
        <f>AND('STERLING CATALOG - FZN &amp; CHILL'!E879,"AAAAACpe34g=")</f>
        <v>#VALUE!</v>
      </c>
      <c r="EH282" t="e">
        <f>AND('STERLING CATALOG - FZN &amp; CHILL'!F879,"AAAAACpe34k=")</f>
        <v>#VALUE!</v>
      </c>
      <c r="EI282" t="e">
        <f>AND('STERLING CATALOG - FZN &amp; CHILL'!G879,"AAAAACpe34o=")</f>
        <v>#VALUE!</v>
      </c>
      <c r="EJ282" t="e">
        <f>AND('STERLING CATALOG - FZN &amp; CHILL'!H879,"AAAAACpe34s=")</f>
        <v>#VALUE!</v>
      </c>
      <c r="EK282" t="e">
        <f>AND('STERLING CATALOG - FZN &amp; CHILL'!I879,"AAAAACpe34w=")</f>
        <v>#VALUE!</v>
      </c>
      <c r="EL282" t="e">
        <f>AND('STERLING CATALOG - FZN &amp; CHILL'!J879,"AAAAACpe340=")</f>
        <v>#VALUE!</v>
      </c>
      <c r="EM282">
        <f>IF('STERLING CATALOG - FZN &amp; CHILL'!880:880,"AAAAACpe344=",0)</f>
        <v>0</v>
      </c>
      <c r="EN282" t="e">
        <f>AND('STERLING CATALOG - FZN &amp; CHILL'!A880,"AAAAACpe348=")</f>
        <v>#VALUE!</v>
      </c>
      <c r="EO282" t="e">
        <f>AND('STERLING CATALOG - FZN &amp; CHILL'!B880,"AAAAACpe35A=")</f>
        <v>#VALUE!</v>
      </c>
      <c r="EP282" t="e">
        <f>AND('STERLING CATALOG - FZN &amp; CHILL'!C880,"AAAAACpe35E=")</f>
        <v>#VALUE!</v>
      </c>
      <c r="EQ282" t="e">
        <f>AND('STERLING CATALOG - FZN &amp; CHILL'!D880,"AAAAACpe35I=")</f>
        <v>#VALUE!</v>
      </c>
      <c r="ER282" t="e">
        <f>AND('STERLING CATALOG - FZN &amp; CHILL'!E880,"AAAAACpe35M=")</f>
        <v>#VALUE!</v>
      </c>
      <c r="ES282" t="e">
        <f>AND('STERLING CATALOG - FZN &amp; CHILL'!F880,"AAAAACpe35Q=")</f>
        <v>#VALUE!</v>
      </c>
      <c r="ET282" t="e">
        <f>AND('STERLING CATALOG - FZN &amp; CHILL'!G880,"AAAAACpe35U=")</f>
        <v>#VALUE!</v>
      </c>
      <c r="EU282" t="e">
        <f>AND('STERLING CATALOG - FZN &amp; CHILL'!H880,"AAAAACpe35Y=")</f>
        <v>#VALUE!</v>
      </c>
      <c r="EV282" t="e">
        <f>AND('STERLING CATALOG - FZN &amp; CHILL'!I880,"AAAAACpe35c=")</f>
        <v>#VALUE!</v>
      </c>
      <c r="EW282" t="e">
        <f>AND('STERLING CATALOG - FZN &amp; CHILL'!J880,"AAAAACpe35g=")</f>
        <v>#VALUE!</v>
      </c>
      <c r="EX282">
        <f>IF('STERLING CATALOG - FZN &amp; CHILL'!881:881,"AAAAACpe35k=",0)</f>
        <v>0</v>
      </c>
      <c r="EY282" t="e">
        <f>AND('STERLING CATALOG - FZN &amp; CHILL'!A881,"AAAAACpe35o=")</f>
        <v>#VALUE!</v>
      </c>
      <c r="EZ282" t="e">
        <f>AND('STERLING CATALOG - FZN &amp; CHILL'!B881,"AAAAACpe35s=")</f>
        <v>#VALUE!</v>
      </c>
      <c r="FA282" t="e">
        <f>AND('STERLING CATALOG - FZN &amp; CHILL'!C881,"AAAAACpe35w=")</f>
        <v>#VALUE!</v>
      </c>
      <c r="FB282" t="e">
        <f>AND('STERLING CATALOG - FZN &amp; CHILL'!D881,"AAAAACpe350=")</f>
        <v>#VALUE!</v>
      </c>
      <c r="FC282" t="e">
        <f>AND('STERLING CATALOG - FZN &amp; CHILL'!E881,"AAAAACpe354=")</f>
        <v>#VALUE!</v>
      </c>
      <c r="FD282" t="e">
        <f>AND('STERLING CATALOG - FZN &amp; CHILL'!F881,"AAAAACpe358=")</f>
        <v>#VALUE!</v>
      </c>
      <c r="FE282" t="e">
        <f>AND('STERLING CATALOG - FZN &amp; CHILL'!G881,"AAAAACpe36A=")</f>
        <v>#VALUE!</v>
      </c>
      <c r="FF282" t="e">
        <f>AND('STERLING CATALOG - FZN &amp; CHILL'!H881,"AAAAACpe36E=")</f>
        <v>#VALUE!</v>
      </c>
      <c r="FG282" t="e">
        <f>AND('STERLING CATALOG - FZN &amp; CHILL'!I881,"AAAAACpe36I=")</f>
        <v>#VALUE!</v>
      </c>
      <c r="FH282" t="e">
        <f>AND('STERLING CATALOG - FZN &amp; CHILL'!J881,"AAAAACpe36M=")</f>
        <v>#VALUE!</v>
      </c>
      <c r="FI282">
        <f>IF('STERLING CATALOG - FZN &amp; CHILL'!882:882,"AAAAACpe36Q=",0)</f>
        <v>0</v>
      </c>
      <c r="FJ282" t="e">
        <f>AND('STERLING CATALOG - FZN &amp; CHILL'!A882,"AAAAACpe36U=")</f>
        <v>#VALUE!</v>
      </c>
      <c r="FK282" t="e">
        <f>AND('STERLING CATALOG - FZN &amp; CHILL'!B882,"AAAAACpe36Y=")</f>
        <v>#VALUE!</v>
      </c>
      <c r="FL282" t="e">
        <f>AND('STERLING CATALOG - FZN &amp; CHILL'!C882,"AAAAACpe36c=")</f>
        <v>#VALUE!</v>
      </c>
      <c r="FM282" t="e">
        <f>AND('STERLING CATALOG - FZN &amp; CHILL'!D882,"AAAAACpe36g=")</f>
        <v>#VALUE!</v>
      </c>
      <c r="FN282" t="e">
        <f>AND('STERLING CATALOG - FZN &amp; CHILL'!E882,"AAAAACpe36k=")</f>
        <v>#VALUE!</v>
      </c>
      <c r="FO282" t="e">
        <f>AND('STERLING CATALOG - FZN &amp; CHILL'!F882,"AAAAACpe36o=")</f>
        <v>#VALUE!</v>
      </c>
      <c r="FP282" t="e">
        <f>AND('STERLING CATALOG - FZN &amp; CHILL'!G882,"AAAAACpe36s=")</f>
        <v>#VALUE!</v>
      </c>
      <c r="FQ282" t="e">
        <f>AND('STERLING CATALOG - FZN &amp; CHILL'!H882,"AAAAACpe36w=")</f>
        <v>#VALUE!</v>
      </c>
      <c r="FR282" t="e">
        <f>AND('STERLING CATALOG - FZN &amp; CHILL'!I882,"AAAAACpe360=")</f>
        <v>#VALUE!</v>
      </c>
      <c r="FS282" t="e">
        <f>AND('STERLING CATALOG - FZN &amp; CHILL'!J882,"AAAAACpe364=")</f>
        <v>#VALUE!</v>
      </c>
      <c r="FT282">
        <f>IF('STERLING CATALOG - FZN &amp; CHILL'!883:883,"AAAAACpe368=",0)</f>
        <v>0</v>
      </c>
      <c r="FU282" t="e">
        <f>AND('STERLING CATALOG - FZN &amp; CHILL'!A883,"AAAAACpe37A=")</f>
        <v>#VALUE!</v>
      </c>
      <c r="FV282" t="e">
        <f>AND('STERLING CATALOG - FZN &amp; CHILL'!B883,"AAAAACpe37E=")</f>
        <v>#VALUE!</v>
      </c>
      <c r="FW282" t="e">
        <f>AND('STERLING CATALOG - FZN &amp; CHILL'!C883,"AAAAACpe37I=")</f>
        <v>#VALUE!</v>
      </c>
      <c r="FX282" t="e">
        <f>AND('STERLING CATALOG - FZN &amp; CHILL'!D883,"AAAAACpe37M=")</f>
        <v>#VALUE!</v>
      </c>
      <c r="FY282" t="e">
        <f>AND('STERLING CATALOG - FZN &amp; CHILL'!E883,"AAAAACpe37Q=")</f>
        <v>#VALUE!</v>
      </c>
      <c r="FZ282" t="e">
        <f>AND('STERLING CATALOG - FZN &amp; CHILL'!F883,"AAAAACpe37U=")</f>
        <v>#VALUE!</v>
      </c>
      <c r="GA282" t="e">
        <f>AND('STERLING CATALOG - FZN &amp; CHILL'!G883,"AAAAACpe37Y=")</f>
        <v>#VALUE!</v>
      </c>
      <c r="GB282" t="e">
        <f>AND('STERLING CATALOG - FZN &amp; CHILL'!H883,"AAAAACpe37c=")</f>
        <v>#VALUE!</v>
      </c>
      <c r="GC282" t="e">
        <f>AND('STERLING CATALOG - FZN &amp; CHILL'!I883,"AAAAACpe37g=")</f>
        <v>#VALUE!</v>
      </c>
      <c r="GD282" t="e">
        <f>AND('STERLING CATALOG - FZN &amp; CHILL'!J883,"AAAAACpe37k=")</f>
        <v>#VALUE!</v>
      </c>
      <c r="GE282">
        <f>IF('STERLING CATALOG - FZN &amp; CHILL'!884:884,"AAAAACpe37o=",0)</f>
        <v>0</v>
      </c>
      <c r="GF282" t="e">
        <f>AND('STERLING CATALOG - FZN &amp; CHILL'!A884,"AAAAACpe37s=")</f>
        <v>#VALUE!</v>
      </c>
      <c r="GG282" t="e">
        <f>AND('STERLING CATALOG - FZN &amp; CHILL'!B884,"AAAAACpe37w=")</f>
        <v>#VALUE!</v>
      </c>
      <c r="GH282" t="e">
        <f>AND('STERLING CATALOG - FZN &amp; CHILL'!C884,"AAAAACpe370=")</f>
        <v>#VALUE!</v>
      </c>
      <c r="GI282" t="e">
        <f>AND('STERLING CATALOG - FZN &amp; CHILL'!D884,"AAAAACpe374=")</f>
        <v>#VALUE!</v>
      </c>
      <c r="GJ282" t="e">
        <f>AND('STERLING CATALOG - FZN &amp; CHILL'!E884,"AAAAACpe378=")</f>
        <v>#VALUE!</v>
      </c>
      <c r="GK282" t="e">
        <f>AND('STERLING CATALOG - FZN &amp; CHILL'!F884,"AAAAACpe38A=")</f>
        <v>#VALUE!</v>
      </c>
      <c r="GL282" t="e">
        <f>AND('STERLING CATALOG - FZN &amp; CHILL'!G884,"AAAAACpe38E=")</f>
        <v>#VALUE!</v>
      </c>
      <c r="GM282" t="e">
        <f>AND('STERLING CATALOG - FZN &amp; CHILL'!H884,"AAAAACpe38I=")</f>
        <v>#VALUE!</v>
      </c>
      <c r="GN282" t="e">
        <f>AND('STERLING CATALOG - FZN &amp; CHILL'!I884,"AAAAACpe38M=")</f>
        <v>#VALUE!</v>
      </c>
      <c r="GO282" t="e">
        <f>AND('STERLING CATALOG - FZN &amp; CHILL'!J884,"AAAAACpe38Q=")</f>
        <v>#VALUE!</v>
      </c>
      <c r="GP282">
        <f>IF('STERLING CATALOG - FZN &amp; CHILL'!885:885,"AAAAACpe38U=",0)</f>
        <v>0</v>
      </c>
      <c r="GQ282" t="e">
        <f>AND('STERLING CATALOG - FZN &amp; CHILL'!A885,"AAAAACpe38Y=")</f>
        <v>#VALUE!</v>
      </c>
      <c r="GR282" t="e">
        <f>AND('STERLING CATALOG - FZN &amp; CHILL'!B885,"AAAAACpe38c=")</f>
        <v>#VALUE!</v>
      </c>
      <c r="GS282" t="e">
        <f>AND('STERLING CATALOG - FZN &amp; CHILL'!C885,"AAAAACpe38g=")</f>
        <v>#VALUE!</v>
      </c>
      <c r="GT282" t="e">
        <f>AND('STERLING CATALOG - FZN &amp; CHILL'!D885,"AAAAACpe38k=")</f>
        <v>#VALUE!</v>
      </c>
      <c r="GU282" t="e">
        <f>AND('STERLING CATALOG - FZN &amp; CHILL'!E885,"AAAAACpe38o=")</f>
        <v>#VALUE!</v>
      </c>
      <c r="GV282" t="e">
        <f>AND('STERLING CATALOG - FZN &amp; CHILL'!F885,"AAAAACpe38s=")</f>
        <v>#VALUE!</v>
      </c>
      <c r="GW282" t="e">
        <f>AND('STERLING CATALOG - FZN &amp; CHILL'!G885,"AAAAACpe38w=")</f>
        <v>#VALUE!</v>
      </c>
      <c r="GX282" t="e">
        <f>AND('STERLING CATALOG - FZN &amp; CHILL'!H885,"AAAAACpe380=")</f>
        <v>#VALUE!</v>
      </c>
      <c r="GY282" t="e">
        <f>AND('STERLING CATALOG - FZN &amp; CHILL'!I885,"AAAAACpe384=")</f>
        <v>#VALUE!</v>
      </c>
      <c r="GZ282" t="e">
        <f>AND('STERLING CATALOG - FZN &amp; CHILL'!J885,"AAAAACpe388=")</f>
        <v>#VALUE!</v>
      </c>
      <c r="HA282">
        <f>IF('STERLING CATALOG - FZN &amp; CHILL'!886:886,"AAAAACpe39A=",0)</f>
        <v>0</v>
      </c>
      <c r="HB282" t="e">
        <f>AND('STERLING CATALOG - FZN &amp; CHILL'!A886,"AAAAACpe39E=")</f>
        <v>#VALUE!</v>
      </c>
      <c r="HC282" t="e">
        <f>AND('STERLING CATALOG - FZN &amp; CHILL'!B886,"AAAAACpe39I=")</f>
        <v>#VALUE!</v>
      </c>
      <c r="HD282" t="e">
        <f>AND('STERLING CATALOG - FZN &amp; CHILL'!C886,"AAAAACpe39M=")</f>
        <v>#VALUE!</v>
      </c>
      <c r="HE282" t="e">
        <f>AND('STERLING CATALOG - FZN &amp; CHILL'!D886,"AAAAACpe39Q=")</f>
        <v>#VALUE!</v>
      </c>
      <c r="HF282" t="e">
        <f>AND('STERLING CATALOG - FZN &amp; CHILL'!E886,"AAAAACpe39U=")</f>
        <v>#VALUE!</v>
      </c>
      <c r="HG282" t="e">
        <f>AND('STERLING CATALOG - FZN &amp; CHILL'!F886,"AAAAACpe39Y=")</f>
        <v>#VALUE!</v>
      </c>
      <c r="HH282" t="e">
        <f>AND('STERLING CATALOG - FZN &amp; CHILL'!G886,"AAAAACpe39c=")</f>
        <v>#VALUE!</v>
      </c>
      <c r="HI282" t="e">
        <f>AND('STERLING CATALOG - FZN &amp; CHILL'!H886,"AAAAACpe39g=")</f>
        <v>#VALUE!</v>
      </c>
      <c r="HJ282" t="e">
        <f>AND('STERLING CATALOG - FZN &amp; CHILL'!I886,"AAAAACpe39k=")</f>
        <v>#VALUE!</v>
      </c>
      <c r="HK282" t="e">
        <f>AND('STERLING CATALOG - FZN &amp; CHILL'!J886,"AAAAACpe39o=")</f>
        <v>#VALUE!</v>
      </c>
      <c r="HL282">
        <f>IF('STERLING CATALOG - FZN &amp; CHILL'!887:887,"AAAAACpe39s=",0)</f>
        <v>0</v>
      </c>
      <c r="HM282" t="e">
        <f>AND('STERLING CATALOG - FZN &amp; CHILL'!A887,"AAAAACpe39w=")</f>
        <v>#VALUE!</v>
      </c>
      <c r="HN282" t="e">
        <f>AND('STERLING CATALOG - FZN &amp; CHILL'!B887,"AAAAACpe390=")</f>
        <v>#VALUE!</v>
      </c>
      <c r="HO282" t="e">
        <f>AND('STERLING CATALOG - FZN &amp; CHILL'!C887,"AAAAACpe394=")</f>
        <v>#VALUE!</v>
      </c>
      <c r="HP282" t="e">
        <f>AND('STERLING CATALOG - FZN &amp; CHILL'!D887,"AAAAACpe398=")</f>
        <v>#VALUE!</v>
      </c>
      <c r="HQ282" t="e">
        <f>AND('STERLING CATALOG - FZN &amp; CHILL'!E887,"AAAAACpe3+A=")</f>
        <v>#VALUE!</v>
      </c>
      <c r="HR282" t="e">
        <f>AND('STERLING CATALOG - FZN &amp; CHILL'!F887,"AAAAACpe3+E=")</f>
        <v>#VALUE!</v>
      </c>
      <c r="HS282" t="e">
        <f>AND('STERLING CATALOG - FZN &amp; CHILL'!G887,"AAAAACpe3+I=")</f>
        <v>#VALUE!</v>
      </c>
      <c r="HT282" t="e">
        <f>AND('STERLING CATALOG - FZN &amp; CHILL'!H887,"AAAAACpe3+M=")</f>
        <v>#VALUE!</v>
      </c>
      <c r="HU282" t="e">
        <f>AND('STERLING CATALOG - FZN &amp; CHILL'!I887,"AAAAACpe3+Q=")</f>
        <v>#VALUE!</v>
      </c>
      <c r="HV282" t="e">
        <f>AND('STERLING CATALOG - FZN &amp; CHILL'!J887,"AAAAACpe3+U=")</f>
        <v>#VALUE!</v>
      </c>
      <c r="HW282">
        <f>IF('STERLING CATALOG - FZN &amp; CHILL'!888:888,"AAAAACpe3+Y=",0)</f>
        <v>0</v>
      </c>
      <c r="HX282" t="e">
        <f>AND('STERLING CATALOG - FZN &amp; CHILL'!A888,"AAAAACpe3+c=")</f>
        <v>#VALUE!</v>
      </c>
      <c r="HY282" t="e">
        <f>AND('STERLING CATALOG - FZN &amp; CHILL'!B888,"AAAAACpe3+g=")</f>
        <v>#VALUE!</v>
      </c>
      <c r="HZ282" t="e">
        <f>AND('STERLING CATALOG - FZN &amp; CHILL'!C888,"AAAAACpe3+k=")</f>
        <v>#VALUE!</v>
      </c>
      <c r="IA282" t="e">
        <f>AND('STERLING CATALOG - FZN &amp; CHILL'!D888,"AAAAACpe3+o=")</f>
        <v>#VALUE!</v>
      </c>
      <c r="IB282" t="e">
        <f>AND('STERLING CATALOG - FZN &amp; CHILL'!E888,"AAAAACpe3+s=")</f>
        <v>#VALUE!</v>
      </c>
      <c r="IC282" t="e">
        <f>AND('STERLING CATALOG - FZN &amp; CHILL'!F888,"AAAAACpe3+w=")</f>
        <v>#VALUE!</v>
      </c>
      <c r="ID282" t="e">
        <f>AND('STERLING CATALOG - FZN &amp; CHILL'!G888,"AAAAACpe3+0=")</f>
        <v>#VALUE!</v>
      </c>
      <c r="IE282" t="e">
        <f>AND('STERLING CATALOG - FZN &amp; CHILL'!H888,"AAAAACpe3+4=")</f>
        <v>#VALUE!</v>
      </c>
      <c r="IF282" t="e">
        <f>AND('STERLING CATALOG - FZN &amp; CHILL'!I888,"AAAAACpe3+8=")</f>
        <v>#VALUE!</v>
      </c>
      <c r="IG282" t="e">
        <f>AND('STERLING CATALOG - FZN &amp; CHILL'!J888,"AAAAACpe3/A=")</f>
        <v>#VALUE!</v>
      </c>
      <c r="IH282">
        <f>IF('STERLING CATALOG - FZN &amp; CHILL'!889:889,"AAAAACpe3/E=",0)</f>
        <v>0</v>
      </c>
      <c r="II282" t="e">
        <f>AND('STERLING CATALOG - FZN &amp; CHILL'!A889,"AAAAACpe3/I=")</f>
        <v>#VALUE!</v>
      </c>
      <c r="IJ282" t="e">
        <f>AND('STERLING CATALOG - FZN &amp; CHILL'!B889,"AAAAACpe3/M=")</f>
        <v>#VALUE!</v>
      </c>
      <c r="IK282" t="e">
        <f>AND('STERLING CATALOG - FZN &amp; CHILL'!C889,"AAAAACpe3/Q=")</f>
        <v>#VALUE!</v>
      </c>
      <c r="IL282" t="e">
        <f>AND('STERLING CATALOG - FZN &amp; CHILL'!D889,"AAAAACpe3/U=")</f>
        <v>#VALUE!</v>
      </c>
      <c r="IM282" t="e">
        <f>AND('STERLING CATALOG - FZN &amp; CHILL'!E889,"AAAAACpe3/Y=")</f>
        <v>#VALUE!</v>
      </c>
      <c r="IN282" t="e">
        <f>AND('STERLING CATALOG - FZN &amp; CHILL'!F889,"AAAAACpe3/c=")</f>
        <v>#VALUE!</v>
      </c>
      <c r="IO282" t="e">
        <f>AND('STERLING CATALOG - FZN &amp; CHILL'!G889,"AAAAACpe3/g=")</f>
        <v>#VALUE!</v>
      </c>
      <c r="IP282" t="e">
        <f>AND('STERLING CATALOG - FZN &amp; CHILL'!H889,"AAAAACpe3/k=")</f>
        <v>#VALUE!</v>
      </c>
      <c r="IQ282" t="e">
        <f>AND('STERLING CATALOG - FZN &amp; CHILL'!I889,"AAAAACpe3/o=")</f>
        <v>#VALUE!</v>
      </c>
      <c r="IR282" t="e">
        <f>AND('STERLING CATALOG - FZN &amp; CHILL'!J889,"AAAAACpe3/s=")</f>
        <v>#VALUE!</v>
      </c>
      <c r="IS282">
        <f>IF('STERLING CATALOG - FZN &amp; CHILL'!890:890,"AAAAACpe3/w=",0)</f>
        <v>0</v>
      </c>
      <c r="IT282" t="e">
        <f>AND('STERLING CATALOG - FZN &amp; CHILL'!A890,"AAAAACpe3/0=")</f>
        <v>#VALUE!</v>
      </c>
      <c r="IU282" t="e">
        <f>AND('STERLING CATALOG - FZN &amp; CHILL'!B890,"AAAAACpe3/4=")</f>
        <v>#VALUE!</v>
      </c>
      <c r="IV282" t="e">
        <f>AND('STERLING CATALOG - FZN &amp; CHILL'!C890,"AAAAACpe3/8=")</f>
        <v>#VALUE!</v>
      </c>
    </row>
    <row r="283" spans="1:256">
      <c r="A283" t="e">
        <f>AND('STERLING CATALOG - FZN &amp; CHILL'!D890,"AAAAAH5b7gA=")</f>
        <v>#VALUE!</v>
      </c>
      <c r="B283" t="e">
        <f>AND('STERLING CATALOG - FZN &amp; CHILL'!E890,"AAAAAH5b7gE=")</f>
        <v>#VALUE!</v>
      </c>
      <c r="C283" t="e">
        <f>AND('STERLING CATALOG - FZN &amp; CHILL'!F890,"AAAAAH5b7gI=")</f>
        <v>#VALUE!</v>
      </c>
      <c r="D283" t="e">
        <f>AND('STERLING CATALOG - FZN &amp; CHILL'!G890,"AAAAAH5b7gM=")</f>
        <v>#VALUE!</v>
      </c>
      <c r="E283" t="e">
        <f>AND('STERLING CATALOG - FZN &amp; CHILL'!H890,"AAAAAH5b7gQ=")</f>
        <v>#VALUE!</v>
      </c>
      <c r="F283" t="e">
        <f>AND('STERLING CATALOG - FZN &amp; CHILL'!I890,"AAAAAH5b7gU=")</f>
        <v>#VALUE!</v>
      </c>
      <c r="G283" t="e">
        <f>AND('STERLING CATALOG - FZN &amp; CHILL'!J890,"AAAAAH5b7gY=")</f>
        <v>#VALUE!</v>
      </c>
      <c r="H283" t="str">
        <f>IF('STERLING CATALOG - FZN &amp; CHILL'!891:891,"AAAAAH5b7gc=",0)</f>
        <v>AAAAAH5b7gc=</v>
      </c>
      <c r="I283" t="e">
        <f>AND('STERLING CATALOG - FZN &amp; CHILL'!A891,"AAAAAH5b7gg=")</f>
        <v>#VALUE!</v>
      </c>
      <c r="J283" t="e">
        <f>AND('STERLING CATALOG - FZN &amp; CHILL'!B891,"AAAAAH5b7gk=")</f>
        <v>#VALUE!</v>
      </c>
      <c r="K283" t="e">
        <f>AND('STERLING CATALOG - FZN &amp; CHILL'!C891,"AAAAAH5b7go=")</f>
        <v>#VALUE!</v>
      </c>
      <c r="L283" t="e">
        <f>AND('STERLING CATALOG - FZN &amp; CHILL'!D891,"AAAAAH5b7gs=")</f>
        <v>#VALUE!</v>
      </c>
      <c r="M283" t="e">
        <f>AND('STERLING CATALOG - FZN &amp; CHILL'!E891,"AAAAAH5b7gw=")</f>
        <v>#VALUE!</v>
      </c>
      <c r="N283" t="e">
        <f>AND('STERLING CATALOG - FZN &amp; CHILL'!F891,"AAAAAH5b7g0=")</f>
        <v>#VALUE!</v>
      </c>
      <c r="O283" t="e">
        <f>AND('STERLING CATALOG - FZN &amp; CHILL'!G891,"AAAAAH5b7g4=")</f>
        <v>#VALUE!</v>
      </c>
      <c r="P283" t="e">
        <f>AND('STERLING CATALOG - FZN &amp; CHILL'!H891,"AAAAAH5b7g8=")</f>
        <v>#VALUE!</v>
      </c>
      <c r="Q283" t="e">
        <f>AND('STERLING CATALOG - FZN &amp; CHILL'!I891,"AAAAAH5b7hA=")</f>
        <v>#VALUE!</v>
      </c>
      <c r="R283" t="e">
        <f>AND('STERLING CATALOG - FZN &amp; CHILL'!J891,"AAAAAH5b7hE=")</f>
        <v>#VALUE!</v>
      </c>
      <c r="S283">
        <f>IF('STERLING CATALOG - FZN &amp; CHILL'!892:892,"AAAAAH5b7hI=",0)</f>
        <v>0</v>
      </c>
      <c r="T283" t="e">
        <f>AND('STERLING CATALOG - FZN &amp; CHILL'!A892,"AAAAAH5b7hM=")</f>
        <v>#VALUE!</v>
      </c>
      <c r="U283" t="e">
        <f>AND('STERLING CATALOG - FZN &amp; CHILL'!B892,"AAAAAH5b7hQ=")</f>
        <v>#VALUE!</v>
      </c>
      <c r="V283" t="e">
        <f>AND('STERLING CATALOG - FZN &amp; CHILL'!C892,"AAAAAH5b7hU=")</f>
        <v>#VALUE!</v>
      </c>
      <c r="W283" t="e">
        <f>AND('STERLING CATALOG - FZN &amp; CHILL'!D892,"AAAAAH5b7hY=")</f>
        <v>#VALUE!</v>
      </c>
      <c r="X283" t="e">
        <f>AND('STERLING CATALOG - FZN &amp; CHILL'!E892,"AAAAAH5b7hc=")</f>
        <v>#VALUE!</v>
      </c>
      <c r="Y283" t="e">
        <f>AND('STERLING CATALOG - FZN &amp; CHILL'!F892,"AAAAAH5b7hg=")</f>
        <v>#VALUE!</v>
      </c>
      <c r="Z283" t="e">
        <f>AND('STERLING CATALOG - FZN &amp; CHILL'!G892,"AAAAAH5b7hk=")</f>
        <v>#VALUE!</v>
      </c>
      <c r="AA283" t="e">
        <f>AND('STERLING CATALOG - FZN &amp; CHILL'!H892,"AAAAAH5b7ho=")</f>
        <v>#VALUE!</v>
      </c>
      <c r="AB283" t="e">
        <f>AND('STERLING CATALOG - FZN &amp; CHILL'!I892,"AAAAAH5b7hs=")</f>
        <v>#VALUE!</v>
      </c>
      <c r="AC283" t="e">
        <f>AND('STERLING CATALOG - FZN &amp; CHILL'!J892,"AAAAAH5b7hw=")</f>
        <v>#VALUE!</v>
      </c>
      <c r="AD283">
        <f>IF('STERLING CATALOG - FZN &amp; CHILL'!893:893,"AAAAAH5b7h0=",0)</f>
        <v>0</v>
      </c>
      <c r="AE283" t="e">
        <f>AND('STERLING CATALOG - FZN &amp; CHILL'!A893,"AAAAAH5b7h4=")</f>
        <v>#VALUE!</v>
      </c>
      <c r="AF283" t="e">
        <f>AND('STERLING CATALOG - FZN &amp; CHILL'!B893,"AAAAAH5b7h8=")</f>
        <v>#VALUE!</v>
      </c>
      <c r="AG283" t="e">
        <f>AND('STERLING CATALOG - FZN &amp; CHILL'!C893,"AAAAAH5b7iA=")</f>
        <v>#VALUE!</v>
      </c>
      <c r="AH283" t="e">
        <f>AND('STERLING CATALOG - FZN &amp; CHILL'!D893,"AAAAAH5b7iE=")</f>
        <v>#VALUE!</v>
      </c>
      <c r="AI283" t="e">
        <f>AND('STERLING CATALOG - FZN &amp; CHILL'!E893,"AAAAAH5b7iI=")</f>
        <v>#VALUE!</v>
      </c>
      <c r="AJ283" t="e">
        <f>AND('STERLING CATALOG - FZN &amp; CHILL'!F893,"AAAAAH5b7iM=")</f>
        <v>#VALUE!</v>
      </c>
      <c r="AK283" t="e">
        <f>AND('STERLING CATALOG - FZN &amp; CHILL'!G893,"AAAAAH5b7iQ=")</f>
        <v>#VALUE!</v>
      </c>
      <c r="AL283" t="e">
        <f>AND('STERLING CATALOG - FZN &amp; CHILL'!H893,"AAAAAH5b7iU=")</f>
        <v>#VALUE!</v>
      </c>
      <c r="AM283" t="e">
        <f>AND('STERLING CATALOG - FZN &amp; CHILL'!I893,"AAAAAH5b7iY=")</f>
        <v>#VALUE!</v>
      </c>
      <c r="AN283" t="e">
        <f>AND('STERLING CATALOG - FZN &amp; CHILL'!J893,"AAAAAH5b7ic=")</f>
        <v>#VALUE!</v>
      </c>
      <c r="AO283">
        <f>IF('STERLING CATALOG - FZN &amp; CHILL'!894:894,"AAAAAH5b7ig=",0)</f>
        <v>0</v>
      </c>
      <c r="AP283" t="e">
        <f>AND('STERLING CATALOG - FZN &amp; CHILL'!A894,"AAAAAH5b7ik=")</f>
        <v>#VALUE!</v>
      </c>
      <c r="AQ283" t="e">
        <f>AND('STERLING CATALOG - FZN &amp; CHILL'!B894,"AAAAAH5b7io=")</f>
        <v>#VALUE!</v>
      </c>
      <c r="AR283" t="e">
        <f>AND('STERLING CATALOG - FZN &amp; CHILL'!C894,"AAAAAH5b7is=")</f>
        <v>#VALUE!</v>
      </c>
      <c r="AS283" t="e">
        <f>AND('STERLING CATALOG - FZN &amp; CHILL'!D894,"AAAAAH5b7iw=")</f>
        <v>#VALUE!</v>
      </c>
      <c r="AT283" t="e">
        <f>AND('STERLING CATALOG - FZN &amp; CHILL'!E894,"AAAAAH5b7i0=")</f>
        <v>#VALUE!</v>
      </c>
      <c r="AU283" t="e">
        <f>AND('STERLING CATALOG - FZN &amp; CHILL'!F894,"AAAAAH5b7i4=")</f>
        <v>#VALUE!</v>
      </c>
      <c r="AV283" t="e">
        <f>AND('STERLING CATALOG - FZN &amp; CHILL'!G894,"AAAAAH5b7i8=")</f>
        <v>#VALUE!</v>
      </c>
      <c r="AW283" t="e">
        <f>AND('STERLING CATALOG - FZN &amp; CHILL'!H894,"AAAAAH5b7jA=")</f>
        <v>#VALUE!</v>
      </c>
      <c r="AX283" t="e">
        <f>AND('STERLING CATALOG - FZN &amp; CHILL'!I894,"AAAAAH5b7jE=")</f>
        <v>#VALUE!</v>
      </c>
      <c r="AY283" t="e">
        <f>AND('STERLING CATALOG - FZN &amp; CHILL'!J894,"AAAAAH5b7jI=")</f>
        <v>#VALUE!</v>
      </c>
      <c r="AZ283">
        <f>IF('STERLING CATALOG - FZN &amp; CHILL'!895:895,"AAAAAH5b7jM=",0)</f>
        <v>0</v>
      </c>
      <c r="BA283" t="e">
        <f>AND('STERLING CATALOG - FZN &amp; CHILL'!A895,"AAAAAH5b7jQ=")</f>
        <v>#VALUE!</v>
      </c>
      <c r="BB283" t="e">
        <f>AND('STERLING CATALOG - FZN &amp; CHILL'!B895,"AAAAAH5b7jU=")</f>
        <v>#VALUE!</v>
      </c>
      <c r="BC283" t="e">
        <f>AND('STERLING CATALOG - FZN &amp; CHILL'!C895,"AAAAAH5b7jY=")</f>
        <v>#VALUE!</v>
      </c>
      <c r="BD283" t="e">
        <f>AND('STERLING CATALOG - FZN &amp; CHILL'!D895,"AAAAAH5b7jc=")</f>
        <v>#VALUE!</v>
      </c>
      <c r="BE283" t="e">
        <f>AND('STERLING CATALOG - FZN &amp; CHILL'!E895,"AAAAAH5b7jg=")</f>
        <v>#VALUE!</v>
      </c>
      <c r="BF283" t="e">
        <f>AND('STERLING CATALOG - FZN &amp; CHILL'!F895,"AAAAAH5b7jk=")</f>
        <v>#VALUE!</v>
      </c>
      <c r="BG283" t="e">
        <f>AND('STERLING CATALOG - FZN &amp; CHILL'!G895,"AAAAAH5b7jo=")</f>
        <v>#VALUE!</v>
      </c>
      <c r="BH283" t="e">
        <f>AND('STERLING CATALOG - FZN &amp; CHILL'!H895,"AAAAAH5b7js=")</f>
        <v>#VALUE!</v>
      </c>
      <c r="BI283" t="e">
        <f>AND('STERLING CATALOG - FZN &amp; CHILL'!I895,"AAAAAH5b7jw=")</f>
        <v>#VALUE!</v>
      </c>
      <c r="BJ283" t="e">
        <f>AND('STERLING CATALOG - FZN &amp; CHILL'!J895,"AAAAAH5b7j0=")</f>
        <v>#VALUE!</v>
      </c>
      <c r="BK283">
        <f>IF('STERLING CATALOG - FZN &amp; CHILL'!896:896,"AAAAAH5b7j4=",0)</f>
        <v>0</v>
      </c>
      <c r="BL283" t="e">
        <f>AND('STERLING CATALOG - FZN &amp; CHILL'!A896,"AAAAAH5b7j8=")</f>
        <v>#VALUE!</v>
      </c>
      <c r="BM283" t="e">
        <f>AND('STERLING CATALOG - FZN &amp; CHILL'!B896,"AAAAAH5b7kA=")</f>
        <v>#VALUE!</v>
      </c>
      <c r="BN283" t="e">
        <f>AND('STERLING CATALOG - FZN &amp; CHILL'!C896,"AAAAAH5b7kE=")</f>
        <v>#VALUE!</v>
      </c>
      <c r="BO283" t="e">
        <f>AND('STERLING CATALOG - FZN &amp; CHILL'!D896,"AAAAAH5b7kI=")</f>
        <v>#VALUE!</v>
      </c>
      <c r="BP283" t="e">
        <f>AND('STERLING CATALOG - FZN &amp; CHILL'!E896,"AAAAAH5b7kM=")</f>
        <v>#VALUE!</v>
      </c>
      <c r="BQ283" t="e">
        <f>AND('STERLING CATALOG - FZN &amp; CHILL'!F896,"AAAAAH5b7kQ=")</f>
        <v>#VALUE!</v>
      </c>
      <c r="BR283" t="e">
        <f>AND('STERLING CATALOG - FZN &amp; CHILL'!G896,"AAAAAH5b7kU=")</f>
        <v>#VALUE!</v>
      </c>
      <c r="BS283" t="e">
        <f>AND('STERLING CATALOG - FZN &amp; CHILL'!H896,"AAAAAH5b7kY=")</f>
        <v>#VALUE!</v>
      </c>
      <c r="BT283" t="e">
        <f>AND('STERLING CATALOG - FZN &amp; CHILL'!I896,"AAAAAH5b7kc=")</f>
        <v>#VALUE!</v>
      </c>
      <c r="BU283" t="e">
        <f>AND('STERLING CATALOG - FZN &amp; CHILL'!J896,"AAAAAH5b7kg=")</f>
        <v>#VALUE!</v>
      </c>
      <c r="BV283">
        <f>IF('STERLING CATALOG - FZN &amp; CHILL'!897:897,"AAAAAH5b7kk=",0)</f>
        <v>0</v>
      </c>
      <c r="BW283" t="e">
        <f>AND('STERLING CATALOG - FZN &amp; CHILL'!A897,"AAAAAH5b7ko=")</f>
        <v>#VALUE!</v>
      </c>
      <c r="BX283" t="e">
        <f>AND('STERLING CATALOG - FZN &amp; CHILL'!B897,"AAAAAH5b7ks=")</f>
        <v>#VALUE!</v>
      </c>
      <c r="BY283" t="e">
        <f>AND('STERLING CATALOG - FZN &amp; CHILL'!C897,"AAAAAH5b7kw=")</f>
        <v>#VALUE!</v>
      </c>
      <c r="BZ283" t="e">
        <f>AND('STERLING CATALOG - FZN &amp; CHILL'!D897,"AAAAAH5b7k0=")</f>
        <v>#VALUE!</v>
      </c>
      <c r="CA283" t="e">
        <f>AND('STERLING CATALOG - FZN &amp; CHILL'!E897,"AAAAAH5b7k4=")</f>
        <v>#VALUE!</v>
      </c>
      <c r="CB283" t="e">
        <f>AND('STERLING CATALOG - FZN &amp; CHILL'!F897,"AAAAAH5b7k8=")</f>
        <v>#VALUE!</v>
      </c>
      <c r="CC283" t="e">
        <f>AND('STERLING CATALOG - FZN &amp; CHILL'!G897,"AAAAAH5b7lA=")</f>
        <v>#VALUE!</v>
      </c>
      <c r="CD283" t="e">
        <f>AND('STERLING CATALOG - FZN &amp; CHILL'!H897,"AAAAAH5b7lE=")</f>
        <v>#VALUE!</v>
      </c>
      <c r="CE283" t="e">
        <f>AND('STERLING CATALOG - FZN &amp; CHILL'!I897,"AAAAAH5b7lI=")</f>
        <v>#VALUE!</v>
      </c>
      <c r="CF283" t="e">
        <f>AND('STERLING CATALOG - FZN &amp; CHILL'!J897,"AAAAAH5b7lM=")</f>
        <v>#VALUE!</v>
      </c>
      <c r="CG283">
        <f>IF('STERLING CATALOG - FZN &amp; CHILL'!898:898,"AAAAAH5b7lQ=",0)</f>
        <v>0</v>
      </c>
      <c r="CH283" t="e">
        <f>AND('STERLING CATALOG - FZN &amp; CHILL'!A898,"AAAAAH5b7lU=")</f>
        <v>#VALUE!</v>
      </c>
      <c r="CI283" t="e">
        <f>AND('STERLING CATALOG - FZN &amp; CHILL'!B898,"AAAAAH5b7lY=")</f>
        <v>#VALUE!</v>
      </c>
      <c r="CJ283" t="e">
        <f>AND('STERLING CATALOG - FZN &amp; CHILL'!C898,"AAAAAH5b7lc=")</f>
        <v>#VALUE!</v>
      </c>
      <c r="CK283" t="e">
        <f>AND('STERLING CATALOG - FZN &amp; CHILL'!D898,"AAAAAH5b7lg=")</f>
        <v>#VALUE!</v>
      </c>
      <c r="CL283" t="e">
        <f>AND('STERLING CATALOG - FZN &amp; CHILL'!E898,"AAAAAH5b7lk=")</f>
        <v>#VALUE!</v>
      </c>
      <c r="CM283" t="e">
        <f>AND('STERLING CATALOG - FZN &amp; CHILL'!F898,"AAAAAH5b7lo=")</f>
        <v>#VALUE!</v>
      </c>
      <c r="CN283" t="e">
        <f>AND('STERLING CATALOG - FZN &amp; CHILL'!G898,"AAAAAH5b7ls=")</f>
        <v>#VALUE!</v>
      </c>
      <c r="CO283" t="e">
        <f>AND('STERLING CATALOG - FZN &amp; CHILL'!H898,"AAAAAH5b7lw=")</f>
        <v>#VALUE!</v>
      </c>
      <c r="CP283" t="e">
        <f>AND('STERLING CATALOG - FZN &amp; CHILL'!I898,"AAAAAH5b7l0=")</f>
        <v>#VALUE!</v>
      </c>
      <c r="CQ283" t="e">
        <f>AND('STERLING CATALOG - FZN &amp; CHILL'!J898,"AAAAAH5b7l4=")</f>
        <v>#VALUE!</v>
      </c>
      <c r="CR283">
        <f>IF('STERLING CATALOG - FZN &amp; CHILL'!899:899,"AAAAAH5b7l8=",0)</f>
        <v>0</v>
      </c>
      <c r="CS283" t="e">
        <f>AND('STERLING CATALOG - FZN &amp; CHILL'!A899,"AAAAAH5b7mA=")</f>
        <v>#VALUE!</v>
      </c>
      <c r="CT283" t="e">
        <f>AND('STERLING CATALOG - FZN &amp; CHILL'!B899,"AAAAAH5b7mE=")</f>
        <v>#VALUE!</v>
      </c>
      <c r="CU283" t="e">
        <f>AND('STERLING CATALOG - FZN &amp; CHILL'!C899,"AAAAAH5b7mI=")</f>
        <v>#VALUE!</v>
      </c>
      <c r="CV283" t="e">
        <f>AND('STERLING CATALOG - FZN &amp; CHILL'!D899,"AAAAAH5b7mM=")</f>
        <v>#VALUE!</v>
      </c>
      <c r="CW283" t="e">
        <f>AND('STERLING CATALOG - FZN &amp; CHILL'!E899,"AAAAAH5b7mQ=")</f>
        <v>#VALUE!</v>
      </c>
      <c r="CX283" t="e">
        <f>AND('STERLING CATALOG - FZN &amp; CHILL'!F899,"AAAAAH5b7mU=")</f>
        <v>#VALUE!</v>
      </c>
      <c r="CY283" t="e">
        <f>AND('STERLING CATALOG - FZN &amp; CHILL'!G899,"AAAAAH5b7mY=")</f>
        <v>#VALUE!</v>
      </c>
      <c r="CZ283" t="e">
        <f>AND('STERLING CATALOG - FZN &amp; CHILL'!H899,"AAAAAH5b7mc=")</f>
        <v>#VALUE!</v>
      </c>
      <c r="DA283" t="e">
        <f>AND('STERLING CATALOG - FZN &amp; CHILL'!I899,"AAAAAH5b7mg=")</f>
        <v>#VALUE!</v>
      </c>
      <c r="DB283" t="e">
        <f>AND('STERLING CATALOG - FZN &amp; CHILL'!J899,"AAAAAH5b7mk=")</f>
        <v>#VALUE!</v>
      </c>
      <c r="DC283">
        <f>IF('STERLING CATALOG - FZN &amp; CHILL'!900:900,"AAAAAH5b7mo=",0)</f>
        <v>0</v>
      </c>
      <c r="DD283" t="e">
        <f>AND('STERLING CATALOG - FZN &amp; CHILL'!A900,"AAAAAH5b7ms=")</f>
        <v>#VALUE!</v>
      </c>
      <c r="DE283" t="e">
        <f>AND('STERLING CATALOG - FZN &amp; CHILL'!B900,"AAAAAH5b7mw=")</f>
        <v>#VALUE!</v>
      </c>
      <c r="DF283" t="e">
        <f>AND('STERLING CATALOG - FZN &amp; CHILL'!C900,"AAAAAH5b7m0=")</f>
        <v>#VALUE!</v>
      </c>
      <c r="DG283" t="e">
        <f>AND('STERLING CATALOG - FZN &amp; CHILL'!D900,"AAAAAH5b7m4=")</f>
        <v>#VALUE!</v>
      </c>
      <c r="DH283" t="e">
        <f>AND('STERLING CATALOG - FZN &amp; CHILL'!E900,"AAAAAH5b7m8=")</f>
        <v>#VALUE!</v>
      </c>
      <c r="DI283" t="e">
        <f>AND('STERLING CATALOG - FZN &amp; CHILL'!F900,"AAAAAH5b7nA=")</f>
        <v>#VALUE!</v>
      </c>
      <c r="DJ283" t="e">
        <f>AND('STERLING CATALOG - FZN &amp; CHILL'!G900,"AAAAAH5b7nE=")</f>
        <v>#VALUE!</v>
      </c>
      <c r="DK283" t="e">
        <f>AND('STERLING CATALOG - FZN &amp; CHILL'!H900,"AAAAAH5b7nI=")</f>
        <v>#VALUE!</v>
      </c>
      <c r="DL283" t="e">
        <f>AND('STERLING CATALOG - FZN &amp; CHILL'!I900,"AAAAAH5b7nM=")</f>
        <v>#VALUE!</v>
      </c>
      <c r="DM283" t="e">
        <f>AND('STERLING CATALOG - FZN &amp; CHILL'!J900,"AAAAAH5b7nQ=")</f>
        <v>#VALUE!</v>
      </c>
      <c r="DN283">
        <f>IF('STERLING CATALOG - FZN &amp; CHILL'!901:901,"AAAAAH5b7nU=",0)</f>
        <v>0</v>
      </c>
      <c r="DO283" t="e">
        <f>AND('STERLING CATALOG - FZN &amp; CHILL'!A901,"AAAAAH5b7nY=")</f>
        <v>#VALUE!</v>
      </c>
      <c r="DP283" t="e">
        <f>AND('STERLING CATALOG - FZN &amp; CHILL'!B901,"AAAAAH5b7nc=")</f>
        <v>#VALUE!</v>
      </c>
      <c r="DQ283" t="e">
        <f>AND('STERLING CATALOG - FZN &amp; CHILL'!C901,"AAAAAH5b7ng=")</f>
        <v>#VALUE!</v>
      </c>
      <c r="DR283" t="e">
        <f>AND('STERLING CATALOG - FZN &amp; CHILL'!D901,"AAAAAH5b7nk=")</f>
        <v>#VALUE!</v>
      </c>
      <c r="DS283" t="e">
        <f>AND('STERLING CATALOG - FZN &amp; CHILL'!E901,"AAAAAH5b7no=")</f>
        <v>#VALUE!</v>
      </c>
      <c r="DT283" t="e">
        <f>AND('STERLING CATALOG - FZN &amp; CHILL'!F901,"AAAAAH5b7ns=")</f>
        <v>#VALUE!</v>
      </c>
      <c r="DU283" t="e">
        <f>AND('STERLING CATALOG - FZN &amp; CHILL'!G901,"AAAAAH5b7nw=")</f>
        <v>#VALUE!</v>
      </c>
      <c r="DV283" t="e">
        <f>AND('STERLING CATALOG - FZN &amp; CHILL'!H901,"AAAAAH5b7n0=")</f>
        <v>#VALUE!</v>
      </c>
      <c r="DW283" t="e">
        <f>AND('STERLING CATALOG - FZN &amp; CHILL'!I901,"AAAAAH5b7n4=")</f>
        <v>#VALUE!</v>
      </c>
      <c r="DX283" t="e">
        <f>AND('STERLING CATALOG - FZN &amp; CHILL'!J901,"AAAAAH5b7n8=")</f>
        <v>#VALUE!</v>
      </c>
      <c r="DY283">
        <f>IF('STERLING CATALOG - FZN &amp; CHILL'!902:902,"AAAAAH5b7oA=",0)</f>
        <v>0</v>
      </c>
      <c r="DZ283" t="e">
        <f>AND('STERLING CATALOG - FZN &amp; CHILL'!A902,"AAAAAH5b7oE=")</f>
        <v>#VALUE!</v>
      </c>
      <c r="EA283" t="e">
        <f>AND('STERLING CATALOG - FZN &amp; CHILL'!B902,"AAAAAH5b7oI=")</f>
        <v>#VALUE!</v>
      </c>
      <c r="EB283" t="e">
        <f>AND('STERLING CATALOG - FZN &amp; CHILL'!C902,"AAAAAH5b7oM=")</f>
        <v>#VALUE!</v>
      </c>
      <c r="EC283" t="e">
        <f>AND('STERLING CATALOG - FZN &amp; CHILL'!D902,"AAAAAH5b7oQ=")</f>
        <v>#VALUE!</v>
      </c>
      <c r="ED283" t="e">
        <f>AND('STERLING CATALOG - FZN &amp; CHILL'!E902,"AAAAAH5b7oU=")</f>
        <v>#VALUE!</v>
      </c>
      <c r="EE283" t="e">
        <f>AND('STERLING CATALOG - FZN &amp; CHILL'!F902,"AAAAAH5b7oY=")</f>
        <v>#VALUE!</v>
      </c>
      <c r="EF283" t="e">
        <f>AND('STERLING CATALOG - FZN &amp; CHILL'!G902,"AAAAAH5b7oc=")</f>
        <v>#VALUE!</v>
      </c>
      <c r="EG283" t="e">
        <f>AND('STERLING CATALOG - FZN &amp; CHILL'!H902,"AAAAAH5b7og=")</f>
        <v>#VALUE!</v>
      </c>
      <c r="EH283" t="e">
        <f>AND('STERLING CATALOG - FZN &amp; CHILL'!I902,"AAAAAH5b7ok=")</f>
        <v>#VALUE!</v>
      </c>
      <c r="EI283" t="e">
        <f>AND('STERLING CATALOG - FZN &amp; CHILL'!J902,"AAAAAH5b7oo=")</f>
        <v>#VALUE!</v>
      </c>
      <c r="EJ283">
        <f>IF('STERLING CATALOG - FZN &amp; CHILL'!903:903,"AAAAAH5b7os=",0)</f>
        <v>0</v>
      </c>
      <c r="EK283" t="e">
        <f>AND('STERLING CATALOG - FZN &amp; CHILL'!A903,"AAAAAH5b7ow=")</f>
        <v>#VALUE!</v>
      </c>
      <c r="EL283" t="e">
        <f>AND('STERLING CATALOG - FZN &amp; CHILL'!B903,"AAAAAH5b7o0=")</f>
        <v>#VALUE!</v>
      </c>
      <c r="EM283" t="e">
        <f>AND('STERLING CATALOG - FZN &amp; CHILL'!C903,"AAAAAH5b7o4=")</f>
        <v>#VALUE!</v>
      </c>
      <c r="EN283" t="e">
        <f>AND('STERLING CATALOG - FZN &amp; CHILL'!D903,"AAAAAH5b7o8=")</f>
        <v>#VALUE!</v>
      </c>
      <c r="EO283" t="e">
        <f>AND('STERLING CATALOG - FZN &amp; CHILL'!E903,"AAAAAH5b7pA=")</f>
        <v>#VALUE!</v>
      </c>
      <c r="EP283" t="e">
        <f>AND('STERLING CATALOG - FZN &amp; CHILL'!F903,"AAAAAH5b7pE=")</f>
        <v>#VALUE!</v>
      </c>
      <c r="EQ283" t="e">
        <f>AND('STERLING CATALOG - FZN &amp; CHILL'!G903,"AAAAAH5b7pI=")</f>
        <v>#VALUE!</v>
      </c>
      <c r="ER283" t="e">
        <f>AND('STERLING CATALOG - FZN &amp; CHILL'!H903,"AAAAAH5b7pM=")</f>
        <v>#VALUE!</v>
      </c>
      <c r="ES283" t="e">
        <f>AND('STERLING CATALOG - FZN &amp; CHILL'!I903,"AAAAAH5b7pQ=")</f>
        <v>#VALUE!</v>
      </c>
      <c r="ET283" t="e">
        <f>AND('STERLING CATALOG - FZN &amp; CHILL'!J903,"AAAAAH5b7pU=")</f>
        <v>#VALUE!</v>
      </c>
      <c r="EU283">
        <f>IF('STERLING CATALOG - FZN &amp; CHILL'!904:904,"AAAAAH5b7pY=",0)</f>
        <v>0</v>
      </c>
      <c r="EV283" t="e">
        <f>AND('STERLING CATALOG - FZN &amp; CHILL'!A904,"AAAAAH5b7pc=")</f>
        <v>#VALUE!</v>
      </c>
      <c r="EW283" t="e">
        <f>AND('STERLING CATALOG - FZN &amp; CHILL'!B904,"AAAAAH5b7pg=")</f>
        <v>#VALUE!</v>
      </c>
      <c r="EX283" t="e">
        <f>AND('STERLING CATALOG - FZN &amp; CHILL'!C904,"AAAAAH5b7pk=")</f>
        <v>#VALUE!</v>
      </c>
      <c r="EY283" t="e">
        <f>AND('STERLING CATALOG - FZN &amp; CHILL'!D904,"AAAAAH5b7po=")</f>
        <v>#VALUE!</v>
      </c>
      <c r="EZ283" t="e">
        <f>AND('STERLING CATALOG - FZN &amp; CHILL'!E904,"AAAAAH5b7ps=")</f>
        <v>#VALUE!</v>
      </c>
      <c r="FA283" t="e">
        <f>AND('STERLING CATALOG - FZN &amp; CHILL'!F904,"AAAAAH5b7pw=")</f>
        <v>#VALUE!</v>
      </c>
      <c r="FB283" t="e">
        <f>AND('STERLING CATALOG - FZN &amp; CHILL'!G904,"AAAAAH5b7p0=")</f>
        <v>#VALUE!</v>
      </c>
      <c r="FC283" t="e">
        <f>AND('STERLING CATALOG - FZN &amp; CHILL'!H904,"AAAAAH5b7p4=")</f>
        <v>#VALUE!</v>
      </c>
      <c r="FD283" t="e">
        <f>AND('STERLING CATALOG - FZN &amp; CHILL'!I904,"AAAAAH5b7p8=")</f>
        <v>#VALUE!</v>
      </c>
      <c r="FE283" t="e">
        <f>AND('STERLING CATALOG - FZN &amp; CHILL'!J904,"AAAAAH5b7qA=")</f>
        <v>#VALUE!</v>
      </c>
      <c r="FF283">
        <f>IF('STERLING CATALOG - FZN &amp; CHILL'!905:905,"AAAAAH5b7qE=",0)</f>
        <v>0</v>
      </c>
      <c r="FG283" t="e">
        <f>AND('STERLING CATALOG - FZN &amp; CHILL'!A905,"AAAAAH5b7qI=")</f>
        <v>#VALUE!</v>
      </c>
      <c r="FH283" t="e">
        <f>AND('STERLING CATALOG - FZN &amp; CHILL'!B905,"AAAAAH5b7qM=")</f>
        <v>#VALUE!</v>
      </c>
      <c r="FI283" t="e">
        <f>AND('STERLING CATALOG - FZN &amp; CHILL'!C905,"AAAAAH5b7qQ=")</f>
        <v>#VALUE!</v>
      </c>
      <c r="FJ283" t="e">
        <f>AND('STERLING CATALOG - FZN &amp; CHILL'!D905,"AAAAAH5b7qU=")</f>
        <v>#VALUE!</v>
      </c>
      <c r="FK283" t="e">
        <f>AND('STERLING CATALOG - FZN &amp; CHILL'!E905,"AAAAAH5b7qY=")</f>
        <v>#VALUE!</v>
      </c>
      <c r="FL283" t="e">
        <f>AND('STERLING CATALOG - FZN &amp; CHILL'!F905,"AAAAAH5b7qc=")</f>
        <v>#VALUE!</v>
      </c>
      <c r="FM283" t="e">
        <f>AND('STERLING CATALOG - FZN &amp; CHILL'!G905,"AAAAAH5b7qg=")</f>
        <v>#VALUE!</v>
      </c>
      <c r="FN283" t="e">
        <f>AND('STERLING CATALOG - FZN &amp; CHILL'!H905,"AAAAAH5b7qk=")</f>
        <v>#VALUE!</v>
      </c>
      <c r="FO283" t="e">
        <f>AND('STERLING CATALOG - FZN &amp; CHILL'!I905,"AAAAAH5b7qo=")</f>
        <v>#VALUE!</v>
      </c>
      <c r="FP283" t="e">
        <f>AND('STERLING CATALOG - FZN &amp; CHILL'!J905,"AAAAAH5b7qs=")</f>
        <v>#VALUE!</v>
      </c>
      <c r="FQ283">
        <f>IF('STERLING CATALOG - FZN &amp; CHILL'!906:906,"AAAAAH5b7qw=",0)</f>
        <v>0</v>
      </c>
      <c r="FR283" t="e">
        <f>AND('STERLING CATALOG - FZN &amp; CHILL'!A906,"AAAAAH5b7q0=")</f>
        <v>#VALUE!</v>
      </c>
      <c r="FS283" t="e">
        <f>AND('STERLING CATALOG - FZN &amp; CHILL'!B906,"AAAAAH5b7q4=")</f>
        <v>#VALUE!</v>
      </c>
      <c r="FT283" t="e">
        <f>AND('STERLING CATALOG - FZN &amp; CHILL'!C906,"AAAAAH5b7q8=")</f>
        <v>#VALUE!</v>
      </c>
      <c r="FU283" t="e">
        <f>AND('STERLING CATALOG - FZN &amp; CHILL'!D906,"AAAAAH5b7rA=")</f>
        <v>#VALUE!</v>
      </c>
      <c r="FV283" t="e">
        <f>AND('STERLING CATALOG - FZN &amp; CHILL'!E906,"AAAAAH5b7rE=")</f>
        <v>#VALUE!</v>
      </c>
      <c r="FW283" t="e">
        <f>AND('STERLING CATALOG - FZN &amp; CHILL'!F906,"AAAAAH5b7rI=")</f>
        <v>#VALUE!</v>
      </c>
      <c r="FX283" t="e">
        <f>AND('STERLING CATALOG - FZN &amp; CHILL'!G906,"AAAAAH5b7rM=")</f>
        <v>#VALUE!</v>
      </c>
      <c r="FY283" t="e">
        <f>AND('STERLING CATALOG - FZN &amp; CHILL'!H906,"AAAAAH5b7rQ=")</f>
        <v>#VALUE!</v>
      </c>
      <c r="FZ283" t="e">
        <f>AND('STERLING CATALOG - FZN &amp; CHILL'!I906,"AAAAAH5b7rU=")</f>
        <v>#VALUE!</v>
      </c>
      <c r="GA283" t="e">
        <f>AND('STERLING CATALOG - FZN &amp; CHILL'!J906,"AAAAAH5b7rY=")</f>
        <v>#VALUE!</v>
      </c>
      <c r="GB283">
        <f>IF('STERLING CATALOG - FZN &amp; CHILL'!907:907,"AAAAAH5b7rc=",0)</f>
        <v>0</v>
      </c>
      <c r="GC283" t="e">
        <f>AND('STERLING CATALOG - FZN &amp; CHILL'!A907,"AAAAAH5b7rg=")</f>
        <v>#VALUE!</v>
      </c>
      <c r="GD283" t="e">
        <f>AND('STERLING CATALOG - FZN &amp; CHILL'!B907,"AAAAAH5b7rk=")</f>
        <v>#VALUE!</v>
      </c>
      <c r="GE283" t="e">
        <f>AND('STERLING CATALOG - FZN &amp; CHILL'!C907,"AAAAAH5b7ro=")</f>
        <v>#VALUE!</v>
      </c>
      <c r="GF283" t="e">
        <f>AND('STERLING CATALOG - FZN &amp; CHILL'!D907,"AAAAAH5b7rs=")</f>
        <v>#VALUE!</v>
      </c>
      <c r="GG283" t="e">
        <f>AND('STERLING CATALOG - FZN &amp; CHILL'!E907,"AAAAAH5b7rw=")</f>
        <v>#VALUE!</v>
      </c>
      <c r="GH283" t="e">
        <f>AND('STERLING CATALOG - FZN &amp; CHILL'!F907,"AAAAAH5b7r0=")</f>
        <v>#VALUE!</v>
      </c>
      <c r="GI283" t="e">
        <f>AND('STERLING CATALOG - FZN &amp; CHILL'!G907,"AAAAAH5b7r4=")</f>
        <v>#VALUE!</v>
      </c>
      <c r="GJ283" t="e">
        <f>AND('STERLING CATALOG - FZN &amp; CHILL'!H907,"AAAAAH5b7r8=")</f>
        <v>#VALUE!</v>
      </c>
      <c r="GK283" t="e">
        <f>AND('STERLING CATALOG - FZN &amp; CHILL'!I907,"AAAAAH5b7sA=")</f>
        <v>#VALUE!</v>
      </c>
      <c r="GL283" t="e">
        <f>AND('STERLING CATALOG - FZN &amp; CHILL'!J907,"AAAAAH5b7sE=")</f>
        <v>#VALUE!</v>
      </c>
      <c r="GM283">
        <f>IF('STERLING CATALOG - FZN &amp; CHILL'!908:908,"AAAAAH5b7sI=",0)</f>
        <v>0</v>
      </c>
      <c r="GN283" t="e">
        <f>AND('STERLING CATALOG - FZN &amp; CHILL'!A908,"AAAAAH5b7sM=")</f>
        <v>#VALUE!</v>
      </c>
      <c r="GO283" t="e">
        <f>AND('STERLING CATALOG - FZN &amp; CHILL'!B908,"AAAAAH5b7sQ=")</f>
        <v>#VALUE!</v>
      </c>
      <c r="GP283" t="e">
        <f>AND('STERLING CATALOG - FZN &amp; CHILL'!C908,"AAAAAH5b7sU=")</f>
        <v>#VALUE!</v>
      </c>
      <c r="GQ283" t="e">
        <f>AND('STERLING CATALOG - FZN &amp; CHILL'!D908,"AAAAAH5b7sY=")</f>
        <v>#VALUE!</v>
      </c>
      <c r="GR283" t="e">
        <f>AND('STERLING CATALOG - FZN &amp; CHILL'!E908,"AAAAAH5b7sc=")</f>
        <v>#VALUE!</v>
      </c>
      <c r="GS283" t="e">
        <f>AND('STERLING CATALOG - FZN &amp; CHILL'!F908,"AAAAAH5b7sg=")</f>
        <v>#VALUE!</v>
      </c>
      <c r="GT283" t="e">
        <f>AND('STERLING CATALOG - FZN &amp; CHILL'!G908,"AAAAAH5b7sk=")</f>
        <v>#VALUE!</v>
      </c>
      <c r="GU283" t="e">
        <f>AND('STERLING CATALOG - FZN &amp; CHILL'!H908,"AAAAAH5b7so=")</f>
        <v>#VALUE!</v>
      </c>
      <c r="GV283" t="e">
        <f>AND('STERLING CATALOG - FZN &amp; CHILL'!I908,"AAAAAH5b7ss=")</f>
        <v>#VALUE!</v>
      </c>
      <c r="GW283" t="e">
        <f>AND('STERLING CATALOG - FZN &amp; CHILL'!J908,"AAAAAH5b7sw=")</f>
        <v>#VALUE!</v>
      </c>
      <c r="GX283">
        <f>IF('STERLING CATALOG - FZN &amp; CHILL'!909:909,"AAAAAH5b7s0=",0)</f>
        <v>0</v>
      </c>
      <c r="GY283" t="e">
        <f>AND('STERLING CATALOG - FZN &amp; CHILL'!A909,"AAAAAH5b7s4=")</f>
        <v>#VALUE!</v>
      </c>
      <c r="GZ283" t="e">
        <f>AND('STERLING CATALOG - FZN &amp; CHILL'!B909,"AAAAAH5b7s8=")</f>
        <v>#VALUE!</v>
      </c>
      <c r="HA283" t="e">
        <f>AND('STERLING CATALOG - FZN &amp; CHILL'!C909,"AAAAAH5b7tA=")</f>
        <v>#VALUE!</v>
      </c>
      <c r="HB283" t="e">
        <f>AND('STERLING CATALOG - FZN &amp; CHILL'!D909,"AAAAAH5b7tE=")</f>
        <v>#VALUE!</v>
      </c>
      <c r="HC283" t="e">
        <f>AND('STERLING CATALOG - FZN &amp; CHILL'!E909,"AAAAAH5b7tI=")</f>
        <v>#VALUE!</v>
      </c>
      <c r="HD283" t="e">
        <f>AND('STERLING CATALOG - FZN &amp; CHILL'!F909,"AAAAAH5b7tM=")</f>
        <v>#VALUE!</v>
      </c>
      <c r="HE283" t="e">
        <f>AND('STERLING CATALOG - FZN &amp; CHILL'!G909,"AAAAAH5b7tQ=")</f>
        <v>#VALUE!</v>
      </c>
      <c r="HF283" t="e">
        <f>AND('STERLING CATALOG - FZN &amp; CHILL'!H909,"AAAAAH5b7tU=")</f>
        <v>#VALUE!</v>
      </c>
      <c r="HG283" t="e">
        <f>AND('STERLING CATALOG - FZN &amp; CHILL'!I909,"AAAAAH5b7tY=")</f>
        <v>#VALUE!</v>
      </c>
      <c r="HH283" t="e">
        <f>AND('STERLING CATALOG - FZN &amp; CHILL'!J909,"AAAAAH5b7tc=")</f>
        <v>#VALUE!</v>
      </c>
      <c r="HI283">
        <f>IF('STERLING CATALOG - FZN &amp; CHILL'!910:910,"AAAAAH5b7tg=",0)</f>
        <v>0</v>
      </c>
      <c r="HJ283" t="e">
        <f>AND('STERLING CATALOG - FZN &amp; CHILL'!A910,"AAAAAH5b7tk=")</f>
        <v>#VALUE!</v>
      </c>
      <c r="HK283" t="e">
        <f>AND('STERLING CATALOG - FZN &amp; CHILL'!B910,"AAAAAH5b7to=")</f>
        <v>#VALUE!</v>
      </c>
      <c r="HL283" t="e">
        <f>AND('STERLING CATALOG - FZN &amp; CHILL'!C910,"AAAAAH5b7ts=")</f>
        <v>#VALUE!</v>
      </c>
      <c r="HM283" t="e">
        <f>AND('STERLING CATALOG - FZN &amp; CHILL'!D910,"AAAAAH5b7tw=")</f>
        <v>#VALUE!</v>
      </c>
      <c r="HN283" t="e">
        <f>AND('STERLING CATALOG - FZN &amp; CHILL'!E910,"AAAAAH5b7t0=")</f>
        <v>#VALUE!</v>
      </c>
      <c r="HO283" t="e">
        <f>AND('STERLING CATALOG - FZN &amp; CHILL'!F910,"AAAAAH5b7t4=")</f>
        <v>#VALUE!</v>
      </c>
      <c r="HP283" t="e">
        <f>AND('STERLING CATALOG - FZN &amp; CHILL'!G910,"AAAAAH5b7t8=")</f>
        <v>#VALUE!</v>
      </c>
      <c r="HQ283" t="e">
        <f>AND('STERLING CATALOG - FZN &amp; CHILL'!H910,"AAAAAH5b7uA=")</f>
        <v>#VALUE!</v>
      </c>
      <c r="HR283" t="e">
        <f>AND('STERLING CATALOG - FZN &amp; CHILL'!I910,"AAAAAH5b7uE=")</f>
        <v>#VALUE!</v>
      </c>
      <c r="HS283" t="e">
        <f>AND('STERLING CATALOG - FZN &amp; CHILL'!J910,"AAAAAH5b7uI=")</f>
        <v>#VALUE!</v>
      </c>
      <c r="HT283">
        <f>IF('STERLING CATALOG - FZN &amp; CHILL'!911:911,"AAAAAH5b7uM=",0)</f>
        <v>0</v>
      </c>
      <c r="HU283" t="e">
        <f>AND('STERLING CATALOG - FZN &amp; CHILL'!A911,"AAAAAH5b7uQ=")</f>
        <v>#VALUE!</v>
      </c>
      <c r="HV283" t="e">
        <f>AND('STERLING CATALOG - FZN &amp; CHILL'!B911,"AAAAAH5b7uU=")</f>
        <v>#VALUE!</v>
      </c>
      <c r="HW283" t="e">
        <f>AND('STERLING CATALOG - FZN &amp; CHILL'!C911,"AAAAAH5b7uY=")</f>
        <v>#VALUE!</v>
      </c>
      <c r="HX283" t="e">
        <f>AND('STERLING CATALOG - FZN &amp; CHILL'!D911,"AAAAAH5b7uc=")</f>
        <v>#VALUE!</v>
      </c>
      <c r="HY283" t="e">
        <f>AND('STERLING CATALOG - FZN &amp; CHILL'!E911,"AAAAAH5b7ug=")</f>
        <v>#VALUE!</v>
      </c>
      <c r="HZ283" t="e">
        <f>AND('STERLING CATALOG - FZN &amp; CHILL'!F911,"AAAAAH5b7uk=")</f>
        <v>#VALUE!</v>
      </c>
      <c r="IA283" t="e">
        <f>AND('STERLING CATALOG - FZN &amp; CHILL'!G911,"AAAAAH5b7uo=")</f>
        <v>#VALUE!</v>
      </c>
      <c r="IB283" t="e">
        <f>AND('STERLING CATALOG - FZN &amp; CHILL'!H911,"AAAAAH5b7us=")</f>
        <v>#VALUE!</v>
      </c>
      <c r="IC283" t="e">
        <f>AND('STERLING CATALOG - FZN &amp; CHILL'!I911,"AAAAAH5b7uw=")</f>
        <v>#VALUE!</v>
      </c>
      <c r="ID283" t="e">
        <f>AND('STERLING CATALOG - FZN &amp; CHILL'!J911,"AAAAAH5b7u0=")</f>
        <v>#VALUE!</v>
      </c>
      <c r="IE283">
        <f>IF('STERLING CATALOG - FZN &amp; CHILL'!912:912,"AAAAAH5b7u4=",0)</f>
        <v>0</v>
      </c>
      <c r="IF283" t="e">
        <f>AND('STERLING CATALOG - FZN &amp; CHILL'!A912,"AAAAAH5b7u8=")</f>
        <v>#VALUE!</v>
      </c>
      <c r="IG283" t="e">
        <f>AND('STERLING CATALOG - FZN &amp; CHILL'!B912,"AAAAAH5b7vA=")</f>
        <v>#VALUE!</v>
      </c>
      <c r="IH283" t="e">
        <f>AND('STERLING CATALOG - FZN &amp; CHILL'!C912,"AAAAAH5b7vE=")</f>
        <v>#VALUE!</v>
      </c>
      <c r="II283" t="e">
        <f>AND('STERLING CATALOG - FZN &amp; CHILL'!D912,"AAAAAH5b7vI=")</f>
        <v>#VALUE!</v>
      </c>
      <c r="IJ283" t="e">
        <f>AND('STERLING CATALOG - FZN &amp; CHILL'!E912,"AAAAAH5b7vM=")</f>
        <v>#VALUE!</v>
      </c>
      <c r="IK283" t="e">
        <f>AND('STERLING CATALOG - FZN &amp; CHILL'!F912,"AAAAAH5b7vQ=")</f>
        <v>#VALUE!</v>
      </c>
      <c r="IL283" t="e">
        <f>AND('STERLING CATALOG - FZN &amp; CHILL'!G912,"AAAAAH5b7vU=")</f>
        <v>#VALUE!</v>
      </c>
      <c r="IM283" t="e">
        <f>AND('STERLING CATALOG - FZN &amp; CHILL'!H912,"AAAAAH5b7vY=")</f>
        <v>#VALUE!</v>
      </c>
      <c r="IN283" t="e">
        <f>AND('STERLING CATALOG - FZN &amp; CHILL'!I912,"AAAAAH5b7vc=")</f>
        <v>#VALUE!</v>
      </c>
      <c r="IO283" t="e">
        <f>AND('STERLING CATALOG - FZN &amp; CHILL'!J912,"AAAAAH5b7vg=")</f>
        <v>#VALUE!</v>
      </c>
      <c r="IP283">
        <f>IF('STERLING CATALOG - FZN &amp; CHILL'!913:913,"AAAAAH5b7vk=",0)</f>
        <v>0</v>
      </c>
      <c r="IQ283" t="e">
        <f>AND('STERLING CATALOG - FZN &amp; CHILL'!A913,"AAAAAH5b7vo=")</f>
        <v>#VALUE!</v>
      </c>
      <c r="IR283" t="e">
        <f>AND('STERLING CATALOG - FZN &amp; CHILL'!B913,"AAAAAH5b7vs=")</f>
        <v>#VALUE!</v>
      </c>
      <c r="IS283" t="e">
        <f>AND('STERLING CATALOG - FZN &amp; CHILL'!C913,"AAAAAH5b7vw=")</f>
        <v>#VALUE!</v>
      </c>
      <c r="IT283" t="e">
        <f>AND('STERLING CATALOG - FZN &amp; CHILL'!D913,"AAAAAH5b7v0=")</f>
        <v>#VALUE!</v>
      </c>
      <c r="IU283" t="e">
        <f>AND('STERLING CATALOG - FZN &amp; CHILL'!E913,"AAAAAH5b7v4=")</f>
        <v>#VALUE!</v>
      </c>
      <c r="IV283" t="e">
        <f>AND('STERLING CATALOG - FZN &amp; CHILL'!F913,"AAAAAH5b7v8=")</f>
        <v>#VALUE!</v>
      </c>
    </row>
    <row r="284" spans="1:256">
      <c r="A284" t="e">
        <f>AND('STERLING CATALOG - FZN &amp; CHILL'!G913,"AAAAAE+v3gA=")</f>
        <v>#VALUE!</v>
      </c>
      <c r="B284" t="e">
        <f>AND('STERLING CATALOG - FZN &amp; CHILL'!H913,"AAAAAE+v3gE=")</f>
        <v>#VALUE!</v>
      </c>
      <c r="C284" t="e">
        <f>AND('STERLING CATALOG - FZN &amp; CHILL'!I913,"AAAAAE+v3gI=")</f>
        <v>#VALUE!</v>
      </c>
      <c r="D284" t="e">
        <f>AND('STERLING CATALOG - FZN &amp; CHILL'!J913,"AAAAAE+v3gM=")</f>
        <v>#VALUE!</v>
      </c>
      <c r="E284" t="e">
        <f>IF('STERLING CATALOG - FZN &amp; CHILL'!914:914,"AAAAAE+v3gQ=",0)</f>
        <v>#VALUE!</v>
      </c>
      <c r="F284" t="e">
        <f>AND('STERLING CATALOG - FZN &amp; CHILL'!A914,"AAAAAE+v3gU=")</f>
        <v>#VALUE!</v>
      </c>
      <c r="G284" t="e">
        <f>AND('STERLING CATALOG - FZN &amp; CHILL'!B914,"AAAAAE+v3gY=")</f>
        <v>#VALUE!</v>
      </c>
      <c r="H284" t="e">
        <f>AND('STERLING CATALOG - FZN &amp; CHILL'!C914,"AAAAAE+v3gc=")</f>
        <v>#VALUE!</v>
      </c>
      <c r="I284" t="e">
        <f>AND('STERLING CATALOG - FZN &amp; CHILL'!D914,"AAAAAE+v3gg=")</f>
        <v>#VALUE!</v>
      </c>
      <c r="J284" t="e">
        <f>AND('STERLING CATALOG - FZN &amp; CHILL'!E914,"AAAAAE+v3gk=")</f>
        <v>#VALUE!</v>
      </c>
      <c r="K284" t="e">
        <f>AND('STERLING CATALOG - FZN &amp; CHILL'!F914,"AAAAAE+v3go=")</f>
        <v>#VALUE!</v>
      </c>
      <c r="L284" t="e">
        <f>AND('STERLING CATALOG - FZN &amp; CHILL'!G914,"AAAAAE+v3gs=")</f>
        <v>#VALUE!</v>
      </c>
      <c r="M284" t="e">
        <f>AND('STERLING CATALOG - FZN &amp; CHILL'!H914,"AAAAAE+v3gw=")</f>
        <v>#VALUE!</v>
      </c>
      <c r="N284" t="e">
        <f>AND('STERLING CATALOG - FZN &amp; CHILL'!I914,"AAAAAE+v3g0=")</f>
        <v>#VALUE!</v>
      </c>
      <c r="O284" t="e">
        <f>AND('STERLING CATALOG - FZN &amp; CHILL'!J914,"AAAAAE+v3g4=")</f>
        <v>#VALUE!</v>
      </c>
      <c r="P284">
        <f>IF('STERLING CATALOG - FZN &amp; CHILL'!915:915,"AAAAAE+v3g8=",0)</f>
        <v>0</v>
      </c>
      <c r="Q284" t="e">
        <f>AND('STERLING CATALOG - FZN &amp; CHILL'!A915,"AAAAAE+v3hA=")</f>
        <v>#VALUE!</v>
      </c>
      <c r="R284" t="e">
        <f>AND('STERLING CATALOG - FZN &amp; CHILL'!B915,"AAAAAE+v3hE=")</f>
        <v>#VALUE!</v>
      </c>
      <c r="S284" t="e">
        <f>AND('STERLING CATALOG - FZN &amp; CHILL'!C915,"AAAAAE+v3hI=")</f>
        <v>#VALUE!</v>
      </c>
      <c r="T284" t="e">
        <f>AND('STERLING CATALOG - FZN &amp; CHILL'!D915,"AAAAAE+v3hM=")</f>
        <v>#VALUE!</v>
      </c>
      <c r="U284" t="e">
        <f>AND('STERLING CATALOG - FZN &amp; CHILL'!E915,"AAAAAE+v3hQ=")</f>
        <v>#VALUE!</v>
      </c>
      <c r="V284" t="e">
        <f>AND('STERLING CATALOG - FZN &amp; CHILL'!F915,"AAAAAE+v3hU=")</f>
        <v>#VALUE!</v>
      </c>
      <c r="W284" t="e">
        <f>AND('STERLING CATALOG - FZN &amp; CHILL'!G915,"AAAAAE+v3hY=")</f>
        <v>#VALUE!</v>
      </c>
      <c r="X284" t="e">
        <f>AND('STERLING CATALOG - FZN &amp; CHILL'!H915,"AAAAAE+v3hc=")</f>
        <v>#VALUE!</v>
      </c>
      <c r="Y284" t="e">
        <f>AND('STERLING CATALOG - FZN &amp; CHILL'!I915,"AAAAAE+v3hg=")</f>
        <v>#VALUE!</v>
      </c>
      <c r="Z284" t="e">
        <f>AND('STERLING CATALOG - FZN &amp; CHILL'!J915,"AAAAAE+v3hk=")</f>
        <v>#VALUE!</v>
      </c>
      <c r="AA284">
        <f>IF('STERLING CATALOG - FZN &amp; CHILL'!916:916,"AAAAAE+v3ho=",0)</f>
        <v>0</v>
      </c>
      <c r="AB284" t="e">
        <f>AND('STERLING CATALOG - FZN &amp; CHILL'!A916,"AAAAAE+v3hs=")</f>
        <v>#VALUE!</v>
      </c>
      <c r="AC284" t="e">
        <f>AND('STERLING CATALOG - FZN &amp; CHILL'!B916,"AAAAAE+v3hw=")</f>
        <v>#VALUE!</v>
      </c>
      <c r="AD284" t="e">
        <f>AND('STERLING CATALOG - FZN &amp; CHILL'!C916,"AAAAAE+v3h0=")</f>
        <v>#VALUE!</v>
      </c>
      <c r="AE284" t="e">
        <f>AND('STERLING CATALOG - FZN &amp; CHILL'!D916,"AAAAAE+v3h4=")</f>
        <v>#VALUE!</v>
      </c>
      <c r="AF284" t="e">
        <f>AND('STERLING CATALOG - FZN &amp; CHILL'!E916,"AAAAAE+v3h8=")</f>
        <v>#VALUE!</v>
      </c>
      <c r="AG284" t="e">
        <f>AND('STERLING CATALOG - FZN &amp; CHILL'!F916,"AAAAAE+v3iA=")</f>
        <v>#VALUE!</v>
      </c>
      <c r="AH284" t="e">
        <f>AND('STERLING CATALOG - FZN &amp; CHILL'!G916,"AAAAAE+v3iE=")</f>
        <v>#VALUE!</v>
      </c>
      <c r="AI284" t="e">
        <f>AND('STERLING CATALOG - FZN &amp; CHILL'!H916,"AAAAAE+v3iI=")</f>
        <v>#VALUE!</v>
      </c>
      <c r="AJ284" t="e">
        <f>AND('STERLING CATALOG - FZN &amp; CHILL'!I916,"AAAAAE+v3iM=")</f>
        <v>#VALUE!</v>
      </c>
      <c r="AK284" t="e">
        <f>AND('STERLING CATALOG - FZN &amp; CHILL'!J916,"AAAAAE+v3iQ=")</f>
        <v>#VALUE!</v>
      </c>
      <c r="AL284">
        <f>IF('STERLING CATALOG - FZN &amp; CHILL'!917:917,"AAAAAE+v3iU=",0)</f>
        <v>0</v>
      </c>
      <c r="AM284" t="e">
        <f>AND('STERLING CATALOG - FZN &amp; CHILL'!A917,"AAAAAE+v3iY=")</f>
        <v>#VALUE!</v>
      </c>
      <c r="AN284" t="e">
        <f>AND('STERLING CATALOG - FZN &amp; CHILL'!B917,"AAAAAE+v3ic=")</f>
        <v>#VALUE!</v>
      </c>
      <c r="AO284" t="e">
        <f>AND('STERLING CATALOG - FZN &amp; CHILL'!C917,"AAAAAE+v3ig=")</f>
        <v>#VALUE!</v>
      </c>
      <c r="AP284" t="e">
        <f>AND('STERLING CATALOG - FZN &amp; CHILL'!D917,"AAAAAE+v3ik=")</f>
        <v>#VALUE!</v>
      </c>
      <c r="AQ284" t="e">
        <f>AND('STERLING CATALOG - FZN &amp; CHILL'!E917,"AAAAAE+v3io=")</f>
        <v>#VALUE!</v>
      </c>
      <c r="AR284" t="e">
        <f>AND('STERLING CATALOG - FZN &amp; CHILL'!F917,"AAAAAE+v3is=")</f>
        <v>#VALUE!</v>
      </c>
      <c r="AS284" t="e">
        <f>AND('STERLING CATALOG - FZN &amp; CHILL'!G917,"AAAAAE+v3iw=")</f>
        <v>#VALUE!</v>
      </c>
      <c r="AT284" t="e">
        <f>AND('STERLING CATALOG - FZN &amp; CHILL'!H917,"AAAAAE+v3i0=")</f>
        <v>#VALUE!</v>
      </c>
      <c r="AU284" t="e">
        <f>AND('STERLING CATALOG - FZN &amp; CHILL'!I917,"AAAAAE+v3i4=")</f>
        <v>#VALUE!</v>
      </c>
      <c r="AV284" t="e">
        <f>AND('STERLING CATALOG - FZN &amp; CHILL'!J917,"AAAAAE+v3i8=")</f>
        <v>#VALUE!</v>
      </c>
      <c r="AW284">
        <f>IF('STERLING CATALOG - FZN &amp; CHILL'!918:918,"AAAAAE+v3jA=",0)</f>
        <v>0</v>
      </c>
      <c r="AX284" t="e">
        <f>AND('STERLING CATALOG - FZN &amp; CHILL'!A918,"AAAAAE+v3jE=")</f>
        <v>#VALUE!</v>
      </c>
      <c r="AY284" t="e">
        <f>AND('STERLING CATALOG - FZN &amp; CHILL'!B918,"AAAAAE+v3jI=")</f>
        <v>#VALUE!</v>
      </c>
      <c r="AZ284" t="e">
        <f>AND('STERLING CATALOG - FZN &amp; CHILL'!C918,"AAAAAE+v3jM=")</f>
        <v>#VALUE!</v>
      </c>
      <c r="BA284" t="e">
        <f>AND('STERLING CATALOG - FZN &amp; CHILL'!D918,"AAAAAE+v3jQ=")</f>
        <v>#VALUE!</v>
      </c>
      <c r="BB284" t="e">
        <f>AND('STERLING CATALOG - FZN &amp; CHILL'!E918,"AAAAAE+v3jU=")</f>
        <v>#VALUE!</v>
      </c>
      <c r="BC284" t="e">
        <f>AND('STERLING CATALOG - FZN &amp; CHILL'!F918,"AAAAAE+v3jY=")</f>
        <v>#VALUE!</v>
      </c>
      <c r="BD284" t="e">
        <f>AND('STERLING CATALOG - FZN &amp; CHILL'!G918,"AAAAAE+v3jc=")</f>
        <v>#VALUE!</v>
      </c>
      <c r="BE284" t="e">
        <f>AND('STERLING CATALOG - FZN &amp; CHILL'!H918,"AAAAAE+v3jg=")</f>
        <v>#VALUE!</v>
      </c>
      <c r="BF284" t="e">
        <f>AND('STERLING CATALOG - FZN &amp; CHILL'!I918,"AAAAAE+v3jk=")</f>
        <v>#VALUE!</v>
      </c>
      <c r="BG284" t="e">
        <f>AND('STERLING CATALOG - FZN &amp; CHILL'!J918,"AAAAAE+v3jo=")</f>
        <v>#VALUE!</v>
      </c>
      <c r="BH284">
        <f>IF('STERLING CATALOG - FZN &amp; CHILL'!919:919,"AAAAAE+v3js=",0)</f>
        <v>0</v>
      </c>
      <c r="BI284" t="e">
        <f>AND('STERLING CATALOG - FZN &amp; CHILL'!A919,"AAAAAE+v3jw=")</f>
        <v>#VALUE!</v>
      </c>
      <c r="BJ284" t="e">
        <f>AND('STERLING CATALOG - FZN &amp; CHILL'!B919,"AAAAAE+v3j0=")</f>
        <v>#VALUE!</v>
      </c>
      <c r="BK284" t="e">
        <f>AND('STERLING CATALOG - FZN &amp; CHILL'!C919,"AAAAAE+v3j4=")</f>
        <v>#VALUE!</v>
      </c>
      <c r="BL284" t="e">
        <f>AND('STERLING CATALOG - FZN &amp; CHILL'!D919,"AAAAAE+v3j8=")</f>
        <v>#VALUE!</v>
      </c>
      <c r="BM284" t="e">
        <f>AND('STERLING CATALOG - FZN &amp; CHILL'!E919,"AAAAAE+v3kA=")</f>
        <v>#VALUE!</v>
      </c>
      <c r="BN284" t="e">
        <f>AND('STERLING CATALOG - FZN &amp; CHILL'!F919,"AAAAAE+v3kE=")</f>
        <v>#VALUE!</v>
      </c>
      <c r="BO284" t="e">
        <f>AND('STERLING CATALOG - FZN &amp; CHILL'!G919,"AAAAAE+v3kI=")</f>
        <v>#VALUE!</v>
      </c>
      <c r="BP284" t="e">
        <f>AND('STERLING CATALOG - FZN &amp; CHILL'!H919,"AAAAAE+v3kM=")</f>
        <v>#VALUE!</v>
      </c>
      <c r="BQ284" t="e">
        <f>AND('STERLING CATALOG - FZN &amp; CHILL'!I919,"AAAAAE+v3kQ=")</f>
        <v>#VALUE!</v>
      </c>
      <c r="BR284" t="e">
        <f>AND('STERLING CATALOG - FZN &amp; CHILL'!J919,"AAAAAE+v3kU=")</f>
        <v>#VALUE!</v>
      </c>
      <c r="BS284">
        <f>IF('STERLING CATALOG - FZN &amp; CHILL'!920:920,"AAAAAE+v3kY=",0)</f>
        <v>0</v>
      </c>
      <c r="BT284" t="e">
        <f>AND('STERLING CATALOG - FZN &amp; CHILL'!A920,"AAAAAE+v3kc=")</f>
        <v>#VALUE!</v>
      </c>
      <c r="BU284" t="e">
        <f>AND('STERLING CATALOG - FZN &amp; CHILL'!B920,"AAAAAE+v3kg=")</f>
        <v>#VALUE!</v>
      </c>
      <c r="BV284" t="e">
        <f>AND('STERLING CATALOG - FZN &amp; CHILL'!C920,"AAAAAE+v3kk=")</f>
        <v>#VALUE!</v>
      </c>
      <c r="BW284" t="e">
        <f>AND('STERLING CATALOG - FZN &amp; CHILL'!D920,"AAAAAE+v3ko=")</f>
        <v>#VALUE!</v>
      </c>
      <c r="BX284" t="e">
        <f>AND('STERLING CATALOG - FZN &amp; CHILL'!E920,"AAAAAE+v3ks=")</f>
        <v>#VALUE!</v>
      </c>
      <c r="BY284" t="e">
        <f>AND('STERLING CATALOG - FZN &amp; CHILL'!F920,"AAAAAE+v3kw=")</f>
        <v>#VALUE!</v>
      </c>
      <c r="BZ284" t="e">
        <f>AND('STERLING CATALOG - FZN &amp; CHILL'!G920,"AAAAAE+v3k0=")</f>
        <v>#VALUE!</v>
      </c>
      <c r="CA284" t="e">
        <f>AND('STERLING CATALOG - FZN &amp; CHILL'!H920,"AAAAAE+v3k4=")</f>
        <v>#VALUE!</v>
      </c>
      <c r="CB284" t="e">
        <f>AND('STERLING CATALOG - FZN &amp; CHILL'!I920,"AAAAAE+v3k8=")</f>
        <v>#VALUE!</v>
      </c>
      <c r="CC284" t="e">
        <f>AND('STERLING CATALOG - FZN &amp; CHILL'!J920,"AAAAAE+v3lA=")</f>
        <v>#VALUE!</v>
      </c>
      <c r="CD284">
        <f>IF('STERLING CATALOG - FZN &amp; CHILL'!921:921,"AAAAAE+v3lE=",0)</f>
        <v>0</v>
      </c>
      <c r="CE284" t="e">
        <f>AND('STERLING CATALOG - FZN &amp; CHILL'!A921,"AAAAAE+v3lI=")</f>
        <v>#VALUE!</v>
      </c>
      <c r="CF284" t="e">
        <f>AND('STERLING CATALOG - FZN &amp; CHILL'!B921,"AAAAAE+v3lM=")</f>
        <v>#VALUE!</v>
      </c>
      <c r="CG284" t="e">
        <f>AND('STERLING CATALOG - FZN &amp; CHILL'!C921,"AAAAAE+v3lQ=")</f>
        <v>#VALUE!</v>
      </c>
      <c r="CH284" t="e">
        <f>AND('STERLING CATALOG - FZN &amp; CHILL'!D921,"AAAAAE+v3lU=")</f>
        <v>#VALUE!</v>
      </c>
      <c r="CI284" t="e">
        <f>AND('STERLING CATALOG - FZN &amp; CHILL'!E921,"AAAAAE+v3lY=")</f>
        <v>#VALUE!</v>
      </c>
      <c r="CJ284" t="e">
        <f>AND('STERLING CATALOG - FZN &amp; CHILL'!F921,"AAAAAE+v3lc=")</f>
        <v>#VALUE!</v>
      </c>
      <c r="CK284" t="e">
        <f>AND('STERLING CATALOG - FZN &amp; CHILL'!G921,"AAAAAE+v3lg=")</f>
        <v>#VALUE!</v>
      </c>
      <c r="CL284" t="e">
        <f>AND('STERLING CATALOG - FZN &amp; CHILL'!H921,"AAAAAE+v3lk=")</f>
        <v>#VALUE!</v>
      </c>
      <c r="CM284" t="e">
        <f>AND('STERLING CATALOG - FZN &amp; CHILL'!I921,"AAAAAE+v3lo=")</f>
        <v>#VALUE!</v>
      </c>
      <c r="CN284" t="e">
        <f>AND('STERLING CATALOG - FZN &amp; CHILL'!J921,"AAAAAE+v3ls=")</f>
        <v>#VALUE!</v>
      </c>
      <c r="CO284">
        <f>IF('STERLING CATALOG - FZN &amp; CHILL'!922:922,"AAAAAE+v3lw=",0)</f>
        <v>0</v>
      </c>
      <c r="CP284" t="e">
        <f>AND('STERLING CATALOG - FZN &amp; CHILL'!A922,"AAAAAE+v3l0=")</f>
        <v>#VALUE!</v>
      </c>
      <c r="CQ284" t="e">
        <f>AND('STERLING CATALOG - FZN &amp; CHILL'!B922,"AAAAAE+v3l4=")</f>
        <v>#VALUE!</v>
      </c>
      <c r="CR284" t="e">
        <f>AND('STERLING CATALOG - FZN &amp; CHILL'!C922,"AAAAAE+v3l8=")</f>
        <v>#VALUE!</v>
      </c>
      <c r="CS284" t="e">
        <f>AND('STERLING CATALOG - FZN &amp; CHILL'!D922,"AAAAAE+v3mA=")</f>
        <v>#VALUE!</v>
      </c>
      <c r="CT284" t="e">
        <f>AND('STERLING CATALOG - FZN &amp; CHILL'!E922,"AAAAAE+v3mE=")</f>
        <v>#VALUE!</v>
      </c>
      <c r="CU284" t="e">
        <f>AND('STERLING CATALOG - FZN &amp; CHILL'!F922,"AAAAAE+v3mI=")</f>
        <v>#VALUE!</v>
      </c>
      <c r="CV284" t="e">
        <f>AND('STERLING CATALOG - FZN &amp; CHILL'!G922,"AAAAAE+v3mM=")</f>
        <v>#VALUE!</v>
      </c>
      <c r="CW284" t="e">
        <f>AND('STERLING CATALOG - FZN &amp; CHILL'!H922,"AAAAAE+v3mQ=")</f>
        <v>#VALUE!</v>
      </c>
      <c r="CX284" t="e">
        <f>AND('STERLING CATALOG - FZN &amp; CHILL'!I922,"AAAAAE+v3mU=")</f>
        <v>#VALUE!</v>
      </c>
      <c r="CY284" t="e">
        <f>AND('STERLING CATALOG - FZN &amp; CHILL'!J922,"AAAAAE+v3mY=")</f>
        <v>#VALUE!</v>
      </c>
      <c r="CZ284">
        <f>IF('STERLING CATALOG - FZN &amp; CHILL'!923:923,"AAAAAE+v3mc=",0)</f>
        <v>0</v>
      </c>
      <c r="DA284" t="e">
        <f>AND('STERLING CATALOG - FZN &amp; CHILL'!A923,"AAAAAE+v3mg=")</f>
        <v>#VALUE!</v>
      </c>
      <c r="DB284" t="e">
        <f>AND('STERLING CATALOG - FZN &amp; CHILL'!B923,"AAAAAE+v3mk=")</f>
        <v>#VALUE!</v>
      </c>
      <c r="DC284" t="e">
        <f>AND('STERLING CATALOG - FZN &amp; CHILL'!C923,"AAAAAE+v3mo=")</f>
        <v>#VALUE!</v>
      </c>
      <c r="DD284" t="e">
        <f>AND('STERLING CATALOG - FZN &amp; CHILL'!D923,"AAAAAE+v3ms=")</f>
        <v>#VALUE!</v>
      </c>
      <c r="DE284" t="e">
        <f>AND('STERLING CATALOG - FZN &amp; CHILL'!E923,"AAAAAE+v3mw=")</f>
        <v>#VALUE!</v>
      </c>
      <c r="DF284" t="e">
        <f>AND('STERLING CATALOG - FZN &amp; CHILL'!F923,"AAAAAE+v3m0=")</f>
        <v>#VALUE!</v>
      </c>
      <c r="DG284" t="e">
        <f>AND('STERLING CATALOG - FZN &amp; CHILL'!G923,"AAAAAE+v3m4=")</f>
        <v>#VALUE!</v>
      </c>
      <c r="DH284" t="e">
        <f>AND('STERLING CATALOG - FZN &amp; CHILL'!H923,"AAAAAE+v3m8=")</f>
        <v>#VALUE!</v>
      </c>
      <c r="DI284" t="e">
        <f>AND('STERLING CATALOG - FZN &amp; CHILL'!I923,"AAAAAE+v3nA=")</f>
        <v>#VALUE!</v>
      </c>
      <c r="DJ284" t="e">
        <f>AND('STERLING CATALOG - FZN &amp; CHILL'!J923,"AAAAAE+v3nE=")</f>
        <v>#VALUE!</v>
      </c>
      <c r="DK284">
        <f>IF('STERLING CATALOG - FZN &amp; CHILL'!924:924,"AAAAAE+v3nI=",0)</f>
        <v>0</v>
      </c>
      <c r="DL284" t="e">
        <f>AND('STERLING CATALOG - FZN &amp; CHILL'!A924,"AAAAAE+v3nM=")</f>
        <v>#VALUE!</v>
      </c>
      <c r="DM284" t="e">
        <f>AND('STERLING CATALOG - FZN &amp; CHILL'!B924,"AAAAAE+v3nQ=")</f>
        <v>#VALUE!</v>
      </c>
      <c r="DN284" t="e">
        <f>AND('STERLING CATALOG - FZN &amp; CHILL'!C924,"AAAAAE+v3nU=")</f>
        <v>#VALUE!</v>
      </c>
      <c r="DO284" t="e">
        <f>AND('STERLING CATALOG - FZN &amp; CHILL'!D924,"AAAAAE+v3nY=")</f>
        <v>#VALUE!</v>
      </c>
      <c r="DP284" t="e">
        <f>AND('STERLING CATALOG - FZN &amp; CHILL'!E924,"AAAAAE+v3nc=")</f>
        <v>#VALUE!</v>
      </c>
      <c r="DQ284" t="e">
        <f>AND('STERLING CATALOG - FZN &amp; CHILL'!F924,"AAAAAE+v3ng=")</f>
        <v>#VALUE!</v>
      </c>
      <c r="DR284" t="e">
        <f>AND('STERLING CATALOG - FZN &amp; CHILL'!G924,"AAAAAE+v3nk=")</f>
        <v>#VALUE!</v>
      </c>
      <c r="DS284" t="e">
        <f>AND('STERLING CATALOG - FZN &amp; CHILL'!H924,"AAAAAE+v3no=")</f>
        <v>#VALUE!</v>
      </c>
      <c r="DT284" t="e">
        <f>AND('STERLING CATALOG - FZN &amp; CHILL'!I924,"AAAAAE+v3ns=")</f>
        <v>#VALUE!</v>
      </c>
      <c r="DU284" t="e">
        <f>AND('STERLING CATALOG - FZN &amp; CHILL'!J924,"AAAAAE+v3nw=")</f>
        <v>#VALUE!</v>
      </c>
      <c r="DV284">
        <f>IF('STERLING CATALOG - FZN &amp; CHILL'!925:925,"AAAAAE+v3n0=",0)</f>
        <v>0</v>
      </c>
      <c r="DW284" t="e">
        <f>AND('STERLING CATALOG - FZN &amp; CHILL'!A925,"AAAAAE+v3n4=")</f>
        <v>#VALUE!</v>
      </c>
      <c r="DX284" t="e">
        <f>AND('STERLING CATALOG - FZN &amp; CHILL'!B925,"AAAAAE+v3n8=")</f>
        <v>#VALUE!</v>
      </c>
      <c r="DY284" t="e">
        <f>AND('STERLING CATALOG - FZN &amp; CHILL'!C925,"AAAAAE+v3oA=")</f>
        <v>#VALUE!</v>
      </c>
      <c r="DZ284" t="e">
        <f>AND('STERLING CATALOG - FZN &amp; CHILL'!D925,"AAAAAE+v3oE=")</f>
        <v>#VALUE!</v>
      </c>
      <c r="EA284" t="e">
        <f>AND('STERLING CATALOG - FZN &amp; CHILL'!E925,"AAAAAE+v3oI=")</f>
        <v>#VALUE!</v>
      </c>
      <c r="EB284" t="e">
        <f>AND('STERLING CATALOG - FZN &amp; CHILL'!F925,"AAAAAE+v3oM=")</f>
        <v>#VALUE!</v>
      </c>
      <c r="EC284" t="e">
        <f>AND('STERLING CATALOG - FZN &amp; CHILL'!G925,"AAAAAE+v3oQ=")</f>
        <v>#VALUE!</v>
      </c>
      <c r="ED284" t="e">
        <f>AND('STERLING CATALOG - FZN &amp; CHILL'!H925,"AAAAAE+v3oU=")</f>
        <v>#VALUE!</v>
      </c>
      <c r="EE284" t="e">
        <f>AND('STERLING CATALOG - FZN &amp; CHILL'!I925,"AAAAAE+v3oY=")</f>
        <v>#VALUE!</v>
      </c>
      <c r="EF284" t="e">
        <f>AND('STERLING CATALOG - FZN &amp; CHILL'!J925,"AAAAAE+v3oc=")</f>
        <v>#VALUE!</v>
      </c>
      <c r="EG284">
        <f>IF('STERLING CATALOG - FZN &amp; CHILL'!926:926,"AAAAAE+v3og=",0)</f>
        <v>0</v>
      </c>
      <c r="EH284" t="e">
        <f>AND('STERLING CATALOG - FZN &amp; CHILL'!A926,"AAAAAE+v3ok=")</f>
        <v>#VALUE!</v>
      </c>
      <c r="EI284" t="e">
        <f>AND('STERLING CATALOG - FZN &amp; CHILL'!B926,"AAAAAE+v3oo=")</f>
        <v>#VALUE!</v>
      </c>
      <c r="EJ284" t="e">
        <f>AND('STERLING CATALOG - FZN &amp; CHILL'!C926,"AAAAAE+v3os=")</f>
        <v>#VALUE!</v>
      </c>
      <c r="EK284" t="e">
        <f>AND('STERLING CATALOG - FZN &amp; CHILL'!D926,"AAAAAE+v3ow=")</f>
        <v>#VALUE!</v>
      </c>
      <c r="EL284" t="e">
        <f>AND('STERLING CATALOG - FZN &amp; CHILL'!E926,"AAAAAE+v3o0=")</f>
        <v>#VALUE!</v>
      </c>
      <c r="EM284" t="e">
        <f>AND('STERLING CATALOG - FZN &amp; CHILL'!F926,"AAAAAE+v3o4=")</f>
        <v>#VALUE!</v>
      </c>
      <c r="EN284" t="e">
        <f>AND('STERLING CATALOG - FZN &amp; CHILL'!G926,"AAAAAE+v3o8=")</f>
        <v>#VALUE!</v>
      </c>
      <c r="EO284" t="e">
        <f>AND('STERLING CATALOG - FZN &amp; CHILL'!H926,"AAAAAE+v3pA=")</f>
        <v>#VALUE!</v>
      </c>
      <c r="EP284" t="e">
        <f>AND('STERLING CATALOG - FZN &amp; CHILL'!I926,"AAAAAE+v3pE=")</f>
        <v>#VALUE!</v>
      </c>
      <c r="EQ284" t="e">
        <f>AND('STERLING CATALOG - FZN &amp; CHILL'!J926,"AAAAAE+v3pI=")</f>
        <v>#VALUE!</v>
      </c>
      <c r="ER284">
        <f>IF('STERLING CATALOG - FZN &amp; CHILL'!927:927,"AAAAAE+v3pM=",0)</f>
        <v>0</v>
      </c>
      <c r="ES284" t="e">
        <f>AND('STERLING CATALOG - FZN &amp; CHILL'!A927,"AAAAAE+v3pQ=")</f>
        <v>#VALUE!</v>
      </c>
      <c r="ET284" t="e">
        <f>AND('STERLING CATALOG - FZN &amp; CHILL'!B927,"AAAAAE+v3pU=")</f>
        <v>#VALUE!</v>
      </c>
      <c r="EU284" t="e">
        <f>AND('STERLING CATALOG - FZN &amp; CHILL'!C927,"AAAAAE+v3pY=")</f>
        <v>#VALUE!</v>
      </c>
      <c r="EV284" t="e">
        <f>AND('STERLING CATALOG - FZN &amp; CHILL'!D927,"AAAAAE+v3pc=")</f>
        <v>#VALUE!</v>
      </c>
      <c r="EW284" t="e">
        <f>AND('STERLING CATALOG - FZN &amp; CHILL'!E927,"AAAAAE+v3pg=")</f>
        <v>#VALUE!</v>
      </c>
      <c r="EX284" t="e">
        <f>AND('STERLING CATALOG - FZN &amp; CHILL'!F927,"AAAAAE+v3pk=")</f>
        <v>#VALUE!</v>
      </c>
      <c r="EY284" t="e">
        <f>AND('STERLING CATALOG - FZN &amp; CHILL'!G927,"AAAAAE+v3po=")</f>
        <v>#VALUE!</v>
      </c>
      <c r="EZ284" t="e">
        <f>AND('STERLING CATALOG - FZN &amp; CHILL'!H927,"AAAAAE+v3ps=")</f>
        <v>#VALUE!</v>
      </c>
      <c r="FA284" t="e">
        <f>AND('STERLING CATALOG - FZN &amp; CHILL'!I927,"AAAAAE+v3pw=")</f>
        <v>#VALUE!</v>
      </c>
      <c r="FB284" t="e">
        <f>AND('STERLING CATALOG - FZN &amp; CHILL'!J927,"AAAAAE+v3p0=")</f>
        <v>#VALUE!</v>
      </c>
      <c r="FC284">
        <f>IF('STERLING CATALOG - FZN &amp; CHILL'!928:928,"AAAAAE+v3p4=",0)</f>
        <v>0</v>
      </c>
      <c r="FD284" t="e">
        <f>AND('STERLING CATALOG - FZN &amp; CHILL'!A928,"AAAAAE+v3p8=")</f>
        <v>#VALUE!</v>
      </c>
      <c r="FE284" t="e">
        <f>AND('STERLING CATALOG - FZN &amp; CHILL'!B928,"AAAAAE+v3qA=")</f>
        <v>#VALUE!</v>
      </c>
      <c r="FF284" t="e">
        <f>AND('STERLING CATALOG - FZN &amp; CHILL'!C928,"AAAAAE+v3qE=")</f>
        <v>#VALUE!</v>
      </c>
      <c r="FG284" t="e">
        <f>AND('STERLING CATALOG - FZN &amp; CHILL'!D928,"AAAAAE+v3qI=")</f>
        <v>#VALUE!</v>
      </c>
      <c r="FH284" t="e">
        <f>AND('STERLING CATALOG - FZN &amp; CHILL'!E928,"AAAAAE+v3qM=")</f>
        <v>#VALUE!</v>
      </c>
      <c r="FI284" t="e">
        <f>AND('STERLING CATALOG - FZN &amp; CHILL'!F928,"AAAAAE+v3qQ=")</f>
        <v>#VALUE!</v>
      </c>
      <c r="FJ284" t="e">
        <f>AND('STERLING CATALOG - FZN &amp; CHILL'!G928,"AAAAAE+v3qU=")</f>
        <v>#VALUE!</v>
      </c>
      <c r="FK284" t="e">
        <f>AND('STERLING CATALOG - FZN &amp; CHILL'!H928,"AAAAAE+v3qY=")</f>
        <v>#VALUE!</v>
      </c>
      <c r="FL284" t="e">
        <f>AND('STERLING CATALOG - FZN &amp; CHILL'!I928,"AAAAAE+v3qc=")</f>
        <v>#VALUE!</v>
      </c>
      <c r="FM284" t="e">
        <f>AND('STERLING CATALOG - FZN &amp; CHILL'!J928,"AAAAAE+v3qg=")</f>
        <v>#VALUE!</v>
      </c>
      <c r="FN284">
        <f>IF('STERLING CATALOG - FZN &amp; CHILL'!929:929,"AAAAAE+v3qk=",0)</f>
        <v>0</v>
      </c>
      <c r="FO284" t="e">
        <f>AND('STERLING CATALOG - FZN &amp; CHILL'!A929,"AAAAAE+v3qo=")</f>
        <v>#VALUE!</v>
      </c>
      <c r="FP284" t="e">
        <f>AND('STERLING CATALOG - FZN &amp; CHILL'!B929,"AAAAAE+v3qs=")</f>
        <v>#VALUE!</v>
      </c>
      <c r="FQ284" t="e">
        <f>AND('STERLING CATALOG - FZN &amp; CHILL'!C929,"AAAAAE+v3qw=")</f>
        <v>#VALUE!</v>
      </c>
      <c r="FR284" t="e">
        <f>AND('STERLING CATALOG - FZN &amp; CHILL'!D929,"AAAAAE+v3q0=")</f>
        <v>#VALUE!</v>
      </c>
      <c r="FS284" t="e">
        <f>AND('STERLING CATALOG - FZN &amp; CHILL'!E929,"AAAAAE+v3q4=")</f>
        <v>#VALUE!</v>
      </c>
      <c r="FT284" t="e">
        <f>AND('STERLING CATALOG - FZN &amp; CHILL'!F929,"AAAAAE+v3q8=")</f>
        <v>#VALUE!</v>
      </c>
      <c r="FU284" t="e">
        <f>AND('STERLING CATALOG - FZN &amp; CHILL'!G929,"AAAAAE+v3rA=")</f>
        <v>#VALUE!</v>
      </c>
      <c r="FV284" t="e">
        <f>AND('STERLING CATALOG - FZN &amp; CHILL'!H929,"AAAAAE+v3rE=")</f>
        <v>#VALUE!</v>
      </c>
      <c r="FW284" t="e">
        <f>AND('STERLING CATALOG - FZN &amp; CHILL'!I929,"AAAAAE+v3rI=")</f>
        <v>#VALUE!</v>
      </c>
      <c r="FX284" t="e">
        <f>AND('STERLING CATALOG - FZN &amp; CHILL'!J929,"AAAAAE+v3rM=")</f>
        <v>#VALUE!</v>
      </c>
      <c r="FY284">
        <f>IF('STERLING CATALOG - FZN &amp; CHILL'!930:930,"AAAAAE+v3rQ=",0)</f>
        <v>0</v>
      </c>
      <c r="FZ284" t="e">
        <f>AND('STERLING CATALOG - FZN &amp; CHILL'!A930,"AAAAAE+v3rU=")</f>
        <v>#VALUE!</v>
      </c>
      <c r="GA284" t="e">
        <f>AND('STERLING CATALOG - FZN &amp; CHILL'!B930,"AAAAAE+v3rY=")</f>
        <v>#VALUE!</v>
      </c>
      <c r="GB284" t="e">
        <f>AND('STERLING CATALOG - FZN &amp; CHILL'!C930,"AAAAAE+v3rc=")</f>
        <v>#VALUE!</v>
      </c>
      <c r="GC284" t="e">
        <f>AND('STERLING CATALOG - FZN &amp; CHILL'!D930,"AAAAAE+v3rg=")</f>
        <v>#VALUE!</v>
      </c>
      <c r="GD284" t="e">
        <f>AND('STERLING CATALOG - FZN &amp; CHILL'!E930,"AAAAAE+v3rk=")</f>
        <v>#VALUE!</v>
      </c>
      <c r="GE284" t="e">
        <f>AND('STERLING CATALOG - FZN &amp; CHILL'!F930,"AAAAAE+v3ro=")</f>
        <v>#VALUE!</v>
      </c>
      <c r="GF284" t="e">
        <f>AND('STERLING CATALOG - FZN &amp; CHILL'!G930,"AAAAAE+v3rs=")</f>
        <v>#VALUE!</v>
      </c>
      <c r="GG284" t="e">
        <f>AND('STERLING CATALOG - FZN &amp; CHILL'!H930,"AAAAAE+v3rw=")</f>
        <v>#VALUE!</v>
      </c>
      <c r="GH284" t="e">
        <f>AND('STERLING CATALOG - FZN &amp; CHILL'!I930,"AAAAAE+v3r0=")</f>
        <v>#VALUE!</v>
      </c>
      <c r="GI284" t="e">
        <f>AND('STERLING CATALOG - FZN &amp; CHILL'!J930,"AAAAAE+v3r4=")</f>
        <v>#VALUE!</v>
      </c>
      <c r="GJ284">
        <f>IF('STERLING CATALOG - FZN &amp; CHILL'!931:931,"AAAAAE+v3r8=",0)</f>
        <v>0</v>
      </c>
      <c r="GK284" t="e">
        <f>AND('STERLING CATALOG - FZN &amp; CHILL'!A931,"AAAAAE+v3sA=")</f>
        <v>#VALUE!</v>
      </c>
      <c r="GL284" t="e">
        <f>AND('STERLING CATALOG - FZN &amp; CHILL'!B931,"AAAAAE+v3sE=")</f>
        <v>#VALUE!</v>
      </c>
      <c r="GM284" t="e">
        <f>AND('STERLING CATALOG - FZN &amp; CHILL'!C931,"AAAAAE+v3sI=")</f>
        <v>#VALUE!</v>
      </c>
      <c r="GN284" t="e">
        <f>AND('STERLING CATALOG - FZN &amp; CHILL'!D931,"AAAAAE+v3sM=")</f>
        <v>#VALUE!</v>
      </c>
      <c r="GO284" t="e">
        <f>AND('STERLING CATALOG - FZN &amp; CHILL'!E931,"AAAAAE+v3sQ=")</f>
        <v>#VALUE!</v>
      </c>
      <c r="GP284" t="e">
        <f>AND('STERLING CATALOG - FZN &amp; CHILL'!F931,"AAAAAE+v3sU=")</f>
        <v>#VALUE!</v>
      </c>
      <c r="GQ284" t="e">
        <f>AND('STERLING CATALOG - FZN &amp; CHILL'!G931,"AAAAAE+v3sY=")</f>
        <v>#VALUE!</v>
      </c>
      <c r="GR284" t="e">
        <f>AND('STERLING CATALOG - FZN &amp; CHILL'!H931,"AAAAAE+v3sc=")</f>
        <v>#VALUE!</v>
      </c>
      <c r="GS284" t="e">
        <f>AND('STERLING CATALOG - FZN &amp; CHILL'!I931,"AAAAAE+v3sg=")</f>
        <v>#VALUE!</v>
      </c>
      <c r="GT284" t="e">
        <f>AND('STERLING CATALOG - FZN &amp; CHILL'!J931,"AAAAAE+v3sk=")</f>
        <v>#VALUE!</v>
      </c>
      <c r="GU284">
        <f>IF('STERLING CATALOG - FZN &amp; CHILL'!932:932,"AAAAAE+v3so=",0)</f>
        <v>0</v>
      </c>
      <c r="GV284" t="e">
        <f>AND('STERLING CATALOG - FZN &amp; CHILL'!A932,"AAAAAE+v3ss=")</f>
        <v>#VALUE!</v>
      </c>
      <c r="GW284" t="e">
        <f>AND('STERLING CATALOG - FZN &amp; CHILL'!B932,"AAAAAE+v3sw=")</f>
        <v>#VALUE!</v>
      </c>
      <c r="GX284" t="e">
        <f>AND('STERLING CATALOG - FZN &amp; CHILL'!C932,"AAAAAE+v3s0=")</f>
        <v>#VALUE!</v>
      </c>
      <c r="GY284" t="e">
        <f>AND('STERLING CATALOG - FZN &amp; CHILL'!D932,"AAAAAE+v3s4=")</f>
        <v>#VALUE!</v>
      </c>
      <c r="GZ284" t="e">
        <f>AND('STERLING CATALOG - FZN &amp; CHILL'!E932,"AAAAAE+v3s8=")</f>
        <v>#VALUE!</v>
      </c>
      <c r="HA284" t="e">
        <f>AND('STERLING CATALOG - FZN &amp; CHILL'!F932,"AAAAAE+v3tA=")</f>
        <v>#VALUE!</v>
      </c>
      <c r="HB284" t="e">
        <f>AND('STERLING CATALOG - FZN &amp; CHILL'!G932,"AAAAAE+v3tE=")</f>
        <v>#VALUE!</v>
      </c>
      <c r="HC284" t="e">
        <f>AND('STERLING CATALOG - FZN &amp; CHILL'!H932,"AAAAAE+v3tI=")</f>
        <v>#VALUE!</v>
      </c>
      <c r="HD284" t="e">
        <f>AND('STERLING CATALOG - FZN &amp; CHILL'!I932,"AAAAAE+v3tM=")</f>
        <v>#VALUE!</v>
      </c>
      <c r="HE284" t="e">
        <f>AND('STERLING CATALOG - FZN &amp; CHILL'!J932,"AAAAAE+v3tQ=")</f>
        <v>#VALUE!</v>
      </c>
      <c r="HF284">
        <f>IF('STERLING CATALOG - FZN &amp; CHILL'!933:933,"AAAAAE+v3tU=",0)</f>
        <v>0</v>
      </c>
      <c r="HG284" t="e">
        <f>AND('STERLING CATALOG - FZN &amp; CHILL'!A933,"AAAAAE+v3tY=")</f>
        <v>#VALUE!</v>
      </c>
      <c r="HH284" t="e">
        <f>AND('STERLING CATALOG - FZN &amp; CHILL'!B933,"AAAAAE+v3tc=")</f>
        <v>#VALUE!</v>
      </c>
      <c r="HI284" t="e">
        <f>AND('STERLING CATALOG - FZN &amp; CHILL'!C933,"AAAAAE+v3tg=")</f>
        <v>#VALUE!</v>
      </c>
      <c r="HJ284" t="e">
        <f>AND('STERLING CATALOG - FZN &amp; CHILL'!D933,"AAAAAE+v3tk=")</f>
        <v>#VALUE!</v>
      </c>
      <c r="HK284" t="e">
        <f>AND('STERLING CATALOG - FZN &amp; CHILL'!E933,"AAAAAE+v3to=")</f>
        <v>#VALUE!</v>
      </c>
      <c r="HL284" t="e">
        <f>AND('STERLING CATALOG - FZN &amp; CHILL'!F933,"AAAAAE+v3ts=")</f>
        <v>#VALUE!</v>
      </c>
      <c r="HM284" t="e">
        <f>AND('STERLING CATALOG - FZN &amp; CHILL'!G933,"AAAAAE+v3tw=")</f>
        <v>#VALUE!</v>
      </c>
      <c r="HN284" t="e">
        <f>AND('STERLING CATALOG - FZN &amp; CHILL'!H933,"AAAAAE+v3t0=")</f>
        <v>#VALUE!</v>
      </c>
      <c r="HO284" t="e">
        <f>AND('STERLING CATALOG - FZN &amp; CHILL'!I933,"AAAAAE+v3t4=")</f>
        <v>#VALUE!</v>
      </c>
      <c r="HP284" t="e">
        <f>AND('STERLING CATALOG - FZN &amp; CHILL'!J933,"AAAAAE+v3t8=")</f>
        <v>#VALUE!</v>
      </c>
      <c r="HQ284">
        <f>IF('STERLING CATALOG - FZN &amp; CHILL'!934:934,"AAAAAE+v3uA=",0)</f>
        <v>0</v>
      </c>
      <c r="HR284" t="e">
        <f>AND('STERLING CATALOG - FZN &amp; CHILL'!A934,"AAAAAE+v3uE=")</f>
        <v>#VALUE!</v>
      </c>
      <c r="HS284" t="e">
        <f>AND('STERLING CATALOG - FZN &amp; CHILL'!B934,"AAAAAE+v3uI=")</f>
        <v>#VALUE!</v>
      </c>
      <c r="HT284" t="e">
        <f>AND('STERLING CATALOG - FZN &amp; CHILL'!C934,"AAAAAE+v3uM=")</f>
        <v>#VALUE!</v>
      </c>
      <c r="HU284" t="e">
        <f>AND('STERLING CATALOG - FZN &amp; CHILL'!D934,"AAAAAE+v3uQ=")</f>
        <v>#VALUE!</v>
      </c>
      <c r="HV284" t="e">
        <f>AND('STERLING CATALOG - FZN &amp; CHILL'!E934,"AAAAAE+v3uU=")</f>
        <v>#VALUE!</v>
      </c>
      <c r="HW284" t="e">
        <f>AND('STERLING CATALOG - FZN &amp; CHILL'!F934,"AAAAAE+v3uY=")</f>
        <v>#VALUE!</v>
      </c>
      <c r="HX284" t="e">
        <f>AND('STERLING CATALOG - FZN &amp; CHILL'!G934,"AAAAAE+v3uc=")</f>
        <v>#VALUE!</v>
      </c>
      <c r="HY284" t="e">
        <f>AND('STERLING CATALOG - FZN &amp; CHILL'!H934,"AAAAAE+v3ug=")</f>
        <v>#VALUE!</v>
      </c>
      <c r="HZ284" t="e">
        <f>AND('STERLING CATALOG - FZN &amp; CHILL'!I934,"AAAAAE+v3uk=")</f>
        <v>#VALUE!</v>
      </c>
      <c r="IA284" t="e">
        <f>AND('STERLING CATALOG - FZN &amp; CHILL'!J934,"AAAAAE+v3uo=")</f>
        <v>#VALUE!</v>
      </c>
      <c r="IB284">
        <f>IF('STERLING CATALOG - FZN &amp; CHILL'!935:935,"AAAAAE+v3us=",0)</f>
        <v>0</v>
      </c>
      <c r="IC284" t="e">
        <f>AND('STERLING CATALOG - FZN &amp; CHILL'!A935,"AAAAAE+v3uw=")</f>
        <v>#VALUE!</v>
      </c>
      <c r="ID284" t="e">
        <f>AND('STERLING CATALOG - FZN &amp; CHILL'!B935,"AAAAAE+v3u0=")</f>
        <v>#VALUE!</v>
      </c>
      <c r="IE284" t="e">
        <f>AND('STERLING CATALOG - FZN &amp; CHILL'!C935,"AAAAAE+v3u4=")</f>
        <v>#VALUE!</v>
      </c>
      <c r="IF284" t="e">
        <f>AND('STERLING CATALOG - FZN &amp; CHILL'!D935,"AAAAAE+v3u8=")</f>
        <v>#VALUE!</v>
      </c>
      <c r="IG284" t="e">
        <f>AND('STERLING CATALOG - FZN &amp; CHILL'!E935,"AAAAAE+v3vA=")</f>
        <v>#VALUE!</v>
      </c>
      <c r="IH284" t="e">
        <f>AND('STERLING CATALOG - FZN &amp; CHILL'!F935,"AAAAAE+v3vE=")</f>
        <v>#VALUE!</v>
      </c>
      <c r="II284" t="e">
        <f>AND('STERLING CATALOG - FZN &amp; CHILL'!G935,"AAAAAE+v3vI=")</f>
        <v>#VALUE!</v>
      </c>
      <c r="IJ284" t="e">
        <f>AND('STERLING CATALOG - FZN &amp; CHILL'!H935,"AAAAAE+v3vM=")</f>
        <v>#VALUE!</v>
      </c>
      <c r="IK284" t="e">
        <f>AND('STERLING CATALOG - FZN &amp; CHILL'!I935,"AAAAAE+v3vQ=")</f>
        <v>#VALUE!</v>
      </c>
      <c r="IL284" t="e">
        <f>AND('STERLING CATALOG - FZN &amp; CHILL'!J935,"AAAAAE+v3vU=")</f>
        <v>#VALUE!</v>
      </c>
      <c r="IM284">
        <f>IF('STERLING CATALOG - FZN &amp; CHILL'!936:936,"AAAAAE+v3vY=",0)</f>
        <v>0</v>
      </c>
      <c r="IN284" t="e">
        <f>AND('STERLING CATALOG - FZN &amp; CHILL'!A936,"AAAAAE+v3vc=")</f>
        <v>#VALUE!</v>
      </c>
      <c r="IO284" t="e">
        <f>AND('STERLING CATALOG - FZN &amp; CHILL'!B936,"AAAAAE+v3vg=")</f>
        <v>#VALUE!</v>
      </c>
      <c r="IP284" t="e">
        <f>AND('STERLING CATALOG - FZN &amp; CHILL'!C936,"AAAAAE+v3vk=")</f>
        <v>#VALUE!</v>
      </c>
      <c r="IQ284" t="e">
        <f>AND('STERLING CATALOG - FZN &amp; CHILL'!D936,"AAAAAE+v3vo=")</f>
        <v>#VALUE!</v>
      </c>
      <c r="IR284" t="e">
        <f>AND('STERLING CATALOG - FZN &amp; CHILL'!E936,"AAAAAE+v3vs=")</f>
        <v>#VALUE!</v>
      </c>
      <c r="IS284" t="e">
        <f>AND('STERLING CATALOG - FZN &amp; CHILL'!F936,"AAAAAE+v3vw=")</f>
        <v>#VALUE!</v>
      </c>
      <c r="IT284" t="e">
        <f>AND('STERLING CATALOG - FZN &amp; CHILL'!G936,"AAAAAE+v3v0=")</f>
        <v>#VALUE!</v>
      </c>
      <c r="IU284" t="e">
        <f>AND('STERLING CATALOG - FZN &amp; CHILL'!H936,"AAAAAE+v3v4=")</f>
        <v>#VALUE!</v>
      </c>
      <c r="IV284" t="e">
        <f>AND('STERLING CATALOG - FZN &amp; CHILL'!I936,"AAAAAE+v3v8=")</f>
        <v>#VALUE!</v>
      </c>
    </row>
    <row r="285" spans="1:256">
      <c r="A285" t="e">
        <f>AND('STERLING CATALOG - FZN &amp; CHILL'!J936,"AAAAAC9/fgA=")</f>
        <v>#VALUE!</v>
      </c>
      <c r="B285" t="str">
        <f>IF('STERLING CATALOG - FZN &amp; CHILL'!937:937,"AAAAAC9/fgE=",0)</f>
        <v>AAAAAC9/fgE=</v>
      </c>
      <c r="C285" t="e">
        <f>AND('STERLING CATALOG - FZN &amp; CHILL'!A937,"AAAAAC9/fgI=")</f>
        <v>#VALUE!</v>
      </c>
      <c r="D285" t="e">
        <f>AND('STERLING CATALOG - FZN &amp; CHILL'!B937,"AAAAAC9/fgM=")</f>
        <v>#VALUE!</v>
      </c>
      <c r="E285" t="e">
        <f>AND('STERLING CATALOG - FZN &amp; CHILL'!C937,"AAAAAC9/fgQ=")</f>
        <v>#VALUE!</v>
      </c>
      <c r="F285" t="e">
        <f>AND('STERLING CATALOG - FZN &amp; CHILL'!D937,"AAAAAC9/fgU=")</f>
        <v>#VALUE!</v>
      </c>
      <c r="G285" t="e">
        <f>AND('STERLING CATALOG - FZN &amp; CHILL'!E937,"AAAAAC9/fgY=")</f>
        <v>#VALUE!</v>
      </c>
      <c r="H285" t="e">
        <f>AND('STERLING CATALOG - FZN &amp; CHILL'!F937,"AAAAAC9/fgc=")</f>
        <v>#VALUE!</v>
      </c>
      <c r="I285" t="e">
        <f>AND('STERLING CATALOG - FZN &amp; CHILL'!G937,"AAAAAC9/fgg=")</f>
        <v>#VALUE!</v>
      </c>
      <c r="J285" t="e">
        <f>AND('STERLING CATALOG - FZN &amp; CHILL'!H937,"AAAAAC9/fgk=")</f>
        <v>#VALUE!</v>
      </c>
      <c r="K285" t="e">
        <f>AND('STERLING CATALOG - FZN &amp; CHILL'!I937,"AAAAAC9/fgo=")</f>
        <v>#VALUE!</v>
      </c>
      <c r="L285" t="e">
        <f>AND('STERLING CATALOG - FZN &amp; CHILL'!J937,"AAAAAC9/fgs=")</f>
        <v>#VALUE!</v>
      </c>
      <c r="M285">
        <f>IF('STERLING CATALOG - FZN &amp; CHILL'!938:938,"AAAAAC9/fgw=",0)</f>
        <v>0</v>
      </c>
      <c r="N285" t="e">
        <f>AND('STERLING CATALOG - FZN &amp; CHILL'!A938,"AAAAAC9/fg0=")</f>
        <v>#VALUE!</v>
      </c>
      <c r="O285" t="e">
        <f>AND('STERLING CATALOG - FZN &amp; CHILL'!B938,"AAAAAC9/fg4=")</f>
        <v>#VALUE!</v>
      </c>
      <c r="P285" t="e">
        <f>AND('STERLING CATALOG - FZN &amp; CHILL'!C938,"AAAAAC9/fg8=")</f>
        <v>#VALUE!</v>
      </c>
      <c r="Q285" t="e">
        <f>AND('STERLING CATALOG - FZN &amp; CHILL'!D938,"AAAAAC9/fhA=")</f>
        <v>#VALUE!</v>
      </c>
      <c r="R285" t="e">
        <f>AND('STERLING CATALOG - FZN &amp; CHILL'!E938,"AAAAAC9/fhE=")</f>
        <v>#VALUE!</v>
      </c>
      <c r="S285" t="e">
        <f>AND('STERLING CATALOG - FZN &amp; CHILL'!F938,"AAAAAC9/fhI=")</f>
        <v>#VALUE!</v>
      </c>
      <c r="T285" t="e">
        <f>AND('STERLING CATALOG - FZN &amp; CHILL'!G938,"AAAAAC9/fhM=")</f>
        <v>#VALUE!</v>
      </c>
      <c r="U285" t="e">
        <f>AND('STERLING CATALOG - FZN &amp; CHILL'!H938,"AAAAAC9/fhQ=")</f>
        <v>#VALUE!</v>
      </c>
      <c r="V285" t="e">
        <f>AND('STERLING CATALOG - FZN &amp; CHILL'!I938,"AAAAAC9/fhU=")</f>
        <v>#VALUE!</v>
      </c>
      <c r="W285" t="e">
        <f>AND('STERLING CATALOG - FZN &amp; CHILL'!J938,"AAAAAC9/fhY=")</f>
        <v>#VALUE!</v>
      </c>
      <c r="X285">
        <f>IF('STERLING CATALOG - FZN &amp; CHILL'!939:939,"AAAAAC9/fhc=",0)</f>
        <v>0</v>
      </c>
      <c r="Y285" t="e">
        <f>AND('STERLING CATALOG - FZN &amp; CHILL'!A939,"AAAAAC9/fhg=")</f>
        <v>#VALUE!</v>
      </c>
      <c r="Z285" t="e">
        <f>AND('STERLING CATALOG - FZN &amp; CHILL'!B939,"AAAAAC9/fhk=")</f>
        <v>#VALUE!</v>
      </c>
      <c r="AA285" t="e">
        <f>AND('STERLING CATALOG - FZN &amp; CHILL'!C939,"AAAAAC9/fho=")</f>
        <v>#VALUE!</v>
      </c>
      <c r="AB285" t="e">
        <f>AND('STERLING CATALOG - FZN &amp; CHILL'!D939,"AAAAAC9/fhs=")</f>
        <v>#VALUE!</v>
      </c>
      <c r="AC285" t="e">
        <f>AND('STERLING CATALOG - FZN &amp; CHILL'!E939,"AAAAAC9/fhw=")</f>
        <v>#VALUE!</v>
      </c>
      <c r="AD285" t="e">
        <f>AND('STERLING CATALOG - FZN &amp; CHILL'!F939,"AAAAAC9/fh0=")</f>
        <v>#VALUE!</v>
      </c>
      <c r="AE285" t="e">
        <f>AND('STERLING CATALOG - FZN &amp; CHILL'!G939,"AAAAAC9/fh4=")</f>
        <v>#VALUE!</v>
      </c>
      <c r="AF285" t="e">
        <f>AND('STERLING CATALOG - FZN &amp; CHILL'!H939,"AAAAAC9/fh8=")</f>
        <v>#VALUE!</v>
      </c>
      <c r="AG285" t="e">
        <f>AND('STERLING CATALOG - FZN &amp; CHILL'!I939,"AAAAAC9/fiA=")</f>
        <v>#VALUE!</v>
      </c>
      <c r="AH285" t="e">
        <f>AND('STERLING CATALOG - FZN &amp; CHILL'!J939,"AAAAAC9/fiE=")</f>
        <v>#VALUE!</v>
      </c>
      <c r="AI285">
        <f>IF('STERLING CATALOG - FZN &amp; CHILL'!940:940,"AAAAAC9/fiI=",0)</f>
        <v>0</v>
      </c>
      <c r="AJ285" t="e">
        <f>AND('STERLING CATALOG - FZN &amp; CHILL'!A940,"AAAAAC9/fiM=")</f>
        <v>#VALUE!</v>
      </c>
      <c r="AK285" t="e">
        <f>AND('STERLING CATALOG - FZN &amp; CHILL'!B940,"AAAAAC9/fiQ=")</f>
        <v>#VALUE!</v>
      </c>
      <c r="AL285" t="e">
        <f>AND('STERLING CATALOG - FZN &amp; CHILL'!C940,"AAAAAC9/fiU=")</f>
        <v>#VALUE!</v>
      </c>
      <c r="AM285" t="e">
        <f>AND('STERLING CATALOG - FZN &amp; CHILL'!D940,"AAAAAC9/fiY=")</f>
        <v>#VALUE!</v>
      </c>
      <c r="AN285" t="e">
        <f>AND('STERLING CATALOG - FZN &amp; CHILL'!E940,"AAAAAC9/fic=")</f>
        <v>#VALUE!</v>
      </c>
      <c r="AO285" t="e">
        <f>AND('STERLING CATALOG - FZN &amp; CHILL'!F940,"AAAAAC9/fig=")</f>
        <v>#VALUE!</v>
      </c>
      <c r="AP285" t="e">
        <f>AND('STERLING CATALOG - FZN &amp; CHILL'!G940,"AAAAAC9/fik=")</f>
        <v>#VALUE!</v>
      </c>
      <c r="AQ285" t="e">
        <f>AND('STERLING CATALOG - FZN &amp; CHILL'!H940,"AAAAAC9/fio=")</f>
        <v>#VALUE!</v>
      </c>
      <c r="AR285" t="e">
        <f>AND('STERLING CATALOG - FZN &amp; CHILL'!I940,"AAAAAC9/fis=")</f>
        <v>#VALUE!</v>
      </c>
      <c r="AS285" t="e">
        <f>AND('STERLING CATALOG - FZN &amp; CHILL'!J940,"AAAAAC9/fiw=")</f>
        <v>#VALUE!</v>
      </c>
      <c r="AT285">
        <f>IF('STERLING CATALOG - FZN &amp; CHILL'!941:941,"AAAAAC9/fi0=",0)</f>
        <v>0</v>
      </c>
      <c r="AU285" t="e">
        <f>AND('STERLING CATALOG - FZN &amp; CHILL'!A941,"AAAAAC9/fi4=")</f>
        <v>#VALUE!</v>
      </c>
      <c r="AV285" t="e">
        <f>AND('STERLING CATALOG - FZN &amp; CHILL'!B941,"AAAAAC9/fi8=")</f>
        <v>#VALUE!</v>
      </c>
      <c r="AW285" t="e">
        <f>AND('STERLING CATALOG - FZN &amp; CHILL'!C941,"AAAAAC9/fjA=")</f>
        <v>#VALUE!</v>
      </c>
      <c r="AX285" t="e">
        <f>AND('STERLING CATALOG - FZN &amp; CHILL'!D941,"AAAAAC9/fjE=")</f>
        <v>#VALUE!</v>
      </c>
      <c r="AY285" t="e">
        <f>AND('STERLING CATALOG - FZN &amp; CHILL'!E941,"AAAAAC9/fjI=")</f>
        <v>#VALUE!</v>
      </c>
      <c r="AZ285" t="e">
        <f>AND('STERLING CATALOG - FZN &amp; CHILL'!F941,"AAAAAC9/fjM=")</f>
        <v>#VALUE!</v>
      </c>
      <c r="BA285" t="e">
        <f>AND('STERLING CATALOG - FZN &amp; CHILL'!G941,"AAAAAC9/fjQ=")</f>
        <v>#VALUE!</v>
      </c>
      <c r="BB285" t="e">
        <f>AND('STERLING CATALOG - FZN &amp; CHILL'!H941,"AAAAAC9/fjU=")</f>
        <v>#VALUE!</v>
      </c>
      <c r="BC285" t="e">
        <f>AND('STERLING CATALOG - FZN &amp; CHILL'!I941,"AAAAAC9/fjY=")</f>
        <v>#VALUE!</v>
      </c>
      <c r="BD285" t="e">
        <f>AND('STERLING CATALOG - FZN &amp; CHILL'!J941,"AAAAAC9/fjc=")</f>
        <v>#VALUE!</v>
      </c>
      <c r="BE285">
        <f>IF('STERLING CATALOG - FZN &amp; CHILL'!942:942,"AAAAAC9/fjg=",0)</f>
        <v>0</v>
      </c>
      <c r="BF285" t="e">
        <f>AND('STERLING CATALOG - FZN &amp; CHILL'!A942,"AAAAAC9/fjk=")</f>
        <v>#VALUE!</v>
      </c>
      <c r="BG285" t="e">
        <f>AND('STERLING CATALOG - FZN &amp; CHILL'!B942,"AAAAAC9/fjo=")</f>
        <v>#VALUE!</v>
      </c>
      <c r="BH285" t="e">
        <f>AND('STERLING CATALOG - FZN &amp; CHILL'!C942,"AAAAAC9/fjs=")</f>
        <v>#VALUE!</v>
      </c>
      <c r="BI285" t="e">
        <f>AND('STERLING CATALOG - FZN &amp; CHILL'!D942,"AAAAAC9/fjw=")</f>
        <v>#VALUE!</v>
      </c>
      <c r="BJ285" t="e">
        <f>AND('STERLING CATALOG - FZN &amp; CHILL'!E942,"AAAAAC9/fj0=")</f>
        <v>#VALUE!</v>
      </c>
      <c r="BK285" t="e">
        <f>AND('STERLING CATALOG - FZN &amp; CHILL'!F942,"AAAAAC9/fj4=")</f>
        <v>#VALUE!</v>
      </c>
      <c r="BL285" t="e">
        <f>AND('STERLING CATALOG - FZN &amp; CHILL'!G942,"AAAAAC9/fj8=")</f>
        <v>#VALUE!</v>
      </c>
      <c r="BM285" t="e">
        <f>AND('STERLING CATALOG - FZN &amp; CHILL'!H942,"AAAAAC9/fkA=")</f>
        <v>#VALUE!</v>
      </c>
      <c r="BN285" t="e">
        <f>AND('STERLING CATALOG - FZN &amp; CHILL'!I942,"AAAAAC9/fkE=")</f>
        <v>#VALUE!</v>
      </c>
      <c r="BO285" t="e">
        <f>AND('STERLING CATALOG - FZN &amp; CHILL'!J942,"AAAAAC9/fkI=")</f>
        <v>#VALUE!</v>
      </c>
      <c r="BP285">
        <f>IF('STERLING CATALOG - FZN &amp; CHILL'!943:943,"AAAAAC9/fkM=",0)</f>
        <v>0</v>
      </c>
      <c r="BQ285" t="e">
        <f>AND('STERLING CATALOG - FZN &amp; CHILL'!A943,"AAAAAC9/fkQ=")</f>
        <v>#VALUE!</v>
      </c>
      <c r="BR285" t="e">
        <f>AND('STERLING CATALOG - FZN &amp; CHILL'!B943,"AAAAAC9/fkU=")</f>
        <v>#VALUE!</v>
      </c>
      <c r="BS285" t="e">
        <f>AND('STERLING CATALOG - FZN &amp; CHILL'!C943,"AAAAAC9/fkY=")</f>
        <v>#VALUE!</v>
      </c>
      <c r="BT285" t="e">
        <f>AND('STERLING CATALOG - FZN &amp; CHILL'!D943,"AAAAAC9/fkc=")</f>
        <v>#VALUE!</v>
      </c>
      <c r="BU285" t="e">
        <f>AND('STERLING CATALOG - FZN &amp; CHILL'!E943,"AAAAAC9/fkg=")</f>
        <v>#VALUE!</v>
      </c>
      <c r="BV285" t="e">
        <f>AND('STERLING CATALOG - FZN &amp; CHILL'!F943,"AAAAAC9/fkk=")</f>
        <v>#VALUE!</v>
      </c>
      <c r="BW285" t="e">
        <f>AND('STERLING CATALOG - FZN &amp; CHILL'!G943,"AAAAAC9/fko=")</f>
        <v>#VALUE!</v>
      </c>
      <c r="BX285" t="e">
        <f>AND('STERLING CATALOG - FZN &amp; CHILL'!H943,"AAAAAC9/fks=")</f>
        <v>#VALUE!</v>
      </c>
      <c r="BY285" t="e">
        <f>AND('STERLING CATALOG - FZN &amp; CHILL'!I943,"AAAAAC9/fkw=")</f>
        <v>#VALUE!</v>
      </c>
      <c r="BZ285" t="e">
        <f>AND('STERLING CATALOG - FZN &amp; CHILL'!J943,"AAAAAC9/fk0=")</f>
        <v>#VALUE!</v>
      </c>
      <c r="CA285">
        <f>IF('STERLING CATALOG - FZN &amp; CHILL'!944:944,"AAAAAC9/fk4=",0)</f>
        <v>0</v>
      </c>
      <c r="CB285" t="e">
        <f>AND('STERLING CATALOG - FZN &amp; CHILL'!A944,"AAAAAC9/fk8=")</f>
        <v>#VALUE!</v>
      </c>
      <c r="CC285" t="e">
        <f>AND('STERLING CATALOG - FZN &amp; CHILL'!B944,"AAAAAC9/flA=")</f>
        <v>#VALUE!</v>
      </c>
      <c r="CD285" t="e">
        <f>AND('STERLING CATALOG - FZN &amp; CHILL'!C944,"AAAAAC9/flE=")</f>
        <v>#VALUE!</v>
      </c>
      <c r="CE285" t="e">
        <f>AND('STERLING CATALOG - FZN &amp; CHILL'!D944,"AAAAAC9/flI=")</f>
        <v>#VALUE!</v>
      </c>
      <c r="CF285" t="e">
        <f>AND('STERLING CATALOG - FZN &amp; CHILL'!E944,"AAAAAC9/flM=")</f>
        <v>#VALUE!</v>
      </c>
      <c r="CG285" t="e">
        <f>AND('STERLING CATALOG - FZN &amp; CHILL'!F944,"AAAAAC9/flQ=")</f>
        <v>#VALUE!</v>
      </c>
      <c r="CH285" t="e">
        <f>AND('STERLING CATALOG - FZN &amp; CHILL'!G944,"AAAAAC9/flU=")</f>
        <v>#VALUE!</v>
      </c>
      <c r="CI285" t="e">
        <f>AND('STERLING CATALOG - FZN &amp; CHILL'!H944,"AAAAAC9/flY=")</f>
        <v>#VALUE!</v>
      </c>
      <c r="CJ285" t="e">
        <f>AND('STERLING CATALOG - FZN &amp; CHILL'!I944,"AAAAAC9/flc=")</f>
        <v>#VALUE!</v>
      </c>
      <c r="CK285" t="e">
        <f>AND('STERLING CATALOG - FZN &amp; CHILL'!J944,"AAAAAC9/flg=")</f>
        <v>#VALUE!</v>
      </c>
      <c r="CL285">
        <f>IF('STERLING CATALOG - FZN &amp; CHILL'!945:945,"AAAAAC9/flk=",0)</f>
        <v>0</v>
      </c>
      <c r="CM285" t="e">
        <f>AND('STERLING CATALOG - FZN &amp; CHILL'!A945,"AAAAAC9/flo=")</f>
        <v>#VALUE!</v>
      </c>
      <c r="CN285" t="e">
        <f>AND('STERLING CATALOG - FZN &amp; CHILL'!B945,"AAAAAC9/fls=")</f>
        <v>#VALUE!</v>
      </c>
      <c r="CO285" t="e">
        <f>AND('STERLING CATALOG - FZN &amp; CHILL'!C945,"AAAAAC9/flw=")</f>
        <v>#VALUE!</v>
      </c>
      <c r="CP285" t="e">
        <f>AND('STERLING CATALOG - FZN &amp; CHILL'!D945,"AAAAAC9/fl0=")</f>
        <v>#VALUE!</v>
      </c>
      <c r="CQ285" t="e">
        <f>AND('STERLING CATALOG - FZN &amp; CHILL'!E945,"AAAAAC9/fl4=")</f>
        <v>#VALUE!</v>
      </c>
      <c r="CR285" t="e">
        <f>AND('STERLING CATALOG - FZN &amp; CHILL'!F945,"AAAAAC9/fl8=")</f>
        <v>#VALUE!</v>
      </c>
      <c r="CS285" t="e">
        <f>AND('STERLING CATALOG - FZN &amp; CHILL'!G945,"AAAAAC9/fmA=")</f>
        <v>#VALUE!</v>
      </c>
      <c r="CT285" t="e">
        <f>AND('STERLING CATALOG - FZN &amp; CHILL'!H945,"AAAAAC9/fmE=")</f>
        <v>#VALUE!</v>
      </c>
      <c r="CU285" t="e">
        <f>AND('STERLING CATALOG - FZN &amp; CHILL'!I945,"AAAAAC9/fmI=")</f>
        <v>#VALUE!</v>
      </c>
      <c r="CV285" t="e">
        <f>AND('STERLING CATALOG - FZN &amp; CHILL'!J945,"AAAAAC9/fmM=")</f>
        <v>#VALUE!</v>
      </c>
      <c r="CW285">
        <f>IF('STERLING CATALOG - FZN &amp; CHILL'!946:946,"AAAAAC9/fmQ=",0)</f>
        <v>0</v>
      </c>
      <c r="CX285" t="e">
        <f>AND('STERLING CATALOG - FZN &amp; CHILL'!A946,"AAAAAC9/fmU=")</f>
        <v>#VALUE!</v>
      </c>
      <c r="CY285" t="e">
        <f>AND('STERLING CATALOG - FZN &amp; CHILL'!B946,"AAAAAC9/fmY=")</f>
        <v>#VALUE!</v>
      </c>
      <c r="CZ285" t="e">
        <f>AND('STERLING CATALOG - FZN &amp; CHILL'!C946,"AAAAAC9/fmc=")</f>
        <v>#VALUE!</v>
      </c>
      <c r="DA285" t="e">
        <f>AND('STERLING CATALOG - FZN &amp; CHILL'!D946,"AAAAAC9/fmg=")</f>
        <v>#VALUE!</v>
      </c>
      <c r="DB285" t="e">
        <f>AND('STERLING CATALOG - FZN &amp; CHILL'!E946,"AAAAAC9/fmk=")</f>
        <v>#VALUE!</v>
      </c>
      <c r="DC285" t="e">
        <f>AND('STERLING CATALOG - FZN &amp; CHILL'!F946,"AAAAAC9/fmo=")</f>
        <v>#VALUE!</v>
      </c>
      <c r="DD285" t="e">
        <f>AND('STERLING CATALOG - FZN &amp; CHILL'!G946,"AAAAAC9/fms=")</f>
        <v>#VALUE!</v>
      </c>
      <c r="DE285" t="e">
        <f>AND('STERLING CATALOG - FZN &amp; CHILL'!H946,"AAAAAC9/fmw=")</f>
        <v>#VALUE!</v>
      </c>
      <c r="DF285" t="e">
        <f>AND('STERLING CATALOG - FZN &amp; CHILL'!I946,"AAAAAC9/fm0=")</f>
        <v>#VALUE!</v>
      </c>
      <c r="DG285" t="e">
        <f>AND('STERLING CATALOG - FZN &amp; CHILL'!J946,"AAAAAC9/fm4=")</f>
        <v>#VALUE!</v>
      </c>
      <c r="DH285">
        <f>IF('STERLING CATALOG - FZN &amp; CHILL'!947:947,"AAAAAC9/fm8=",0)</f>
        <v>0</v>
      </c>
      <c r="DI285" t="e">
        <f>AND('STERLING CATALOG - FZN &amp; CHILL'!A947,"AAAAAC9/fnA=")</f>
        <v>#VALUE!</v>
      </c>
      <c r="DJ285" t="e">
        <f>AND('STERLING CATALOG - FZN &amp; CHILL'!B947,"AAAAAC9/fnE=")</f>
        <v>#VALUE!</v>
      </c>
      <c r="DK285" t="e">
        <f>AND('STERLING CATALOG - FZN &amp; CHILL'!C947,"AAAAAC9/fnI=")</f>
        <v>#VALUE!</v>
      </c>
      <c r="DL285" t="e">
        <f>AND('STERLING CATALOG - FZN &amp; CHILL'!D947,"AAAAAC9/fnM=")</f>
        <v>#VALUE!</v>
      </c>
      <c r="DM285" t="e">
        <f>AND('STERLING CATALOG - FZN &amp; CHILL'!E947,"AAAAAC9/fnQ=")</f>
        <v>#VALUE!</v>
      </c>
      <c r="DN285" t="e">
        <f>AND('STERLING CATALOG - FZN &amp; CHILL'!F947,"AAAAAC9/fnU=")</f>
        <v>#VALUE!</v>
      </c>
      <c r="DO285" t="e">
        <f>AND('STERLING CATALOG - FZN &amp; CHILL'!G947,"AAAAAC9/fnY=")</f>
        <v>#VALUE!</v>
      </c>
      <c r="DP285" t="e">
        <f>AND('STERLING CATALOG - FZN &amp; CHILL'!H947,"AAAAAC9/fnc=")</f>
        <v>#VALUE!</v>
      </c>
      <c r="DQ285" t="e">
        <f>AND('STERLING CATALOG - FZN &amp; CHILL'!I947,"AAAAAC9/fng=")</f>
        <v>#VALUE!</v>
      </c>
      <c r="DR285" t="e">
        <f>AND('STERLING CATALOG - FZN &amp; CHILL'!J947,"AAAAAC9/fnk=")</f>
        <v>#VALUE!</v>
      </c>
      <c r="DS285">
        <f>IF('STERLING CATALOG - FZN &amp; CHILL'!948:948,"AAAAAC9/fno=",0)</f>
        <v>0</v>
      </c>
      <c r="DT285" t="e">
        <f>AND('STERLING CATALOG - FZN &amp; CHILL'!A948,"AAAAAC9/fns=")</f>
        <v>#VALUE!</v>
      </c>
      <c r="DU285" t="e">
        <f>AND('STERLING CATALOG - FZN &amp; CHILL'!B948,"AAAAAC9/fnw=")</f>
        <v>#VALUE!</v>
      </c>
      <c r="DV285" t="e">
        <f>AND('STERLING CATALOG - FZN &amp; CHILL'!C948,"AAAAAC9/fn0=")</f>
        <v>#VALUE!</v>
      </c>
      <c r="DW285" t="e">
        <f>AND('STERLING CATALOG - FZN &amp; CHILL'!D948,"AAAAAC9/fn4=")</f>
        <v>#VALUE!</v>
      </c>
      <c r="DX285" t="e">
        <f>AND('STERLING CATALOG - FZN &amp; CHILL'!E948,"AAAAAC9/fn8=")</f>
        <v>#VALUE!</v>
      </c>
      <c r="DY285" t="e">
        <f>AND('STERLING CATALOG - FZN &amp; CHILL'!F948,"AAAAAC9/foA=")</f>
        <v>#VALUE!</v>
      </c>
      <c r="DZ285" t="e">
        <f>AND('STERLING CATALOG - FZN &amp; CHILL'!G948,"AAAAAC9/foE=")</f>
        <v>#VALUE!</v>
      </c>
      <c r="EA285" t="e">
        <f>AND('STERLING CATALOG - FZN &amp; CHILL'!H948,"AAAAAC9/foI=")</f>
        <v>#VALUE!</v>
      </c>
      <c r="EB285" t="e">
        <f>AND('STERLING CATALOG - FZN &amp; CHILL'!I948,"AAAAAC9/foM=")</f>
        <v>#VALUE!</v>
      </c>
      <c r="EC285" t="e">
        <f>AND('STERLING CATALOG - FZN &amp; CHILL'!J948,"AAAAAC9/foQ=")</f>
        <v>#VALUE!</v>
      </c>
      <c r="ED285">
        <f>IF('STERLING CATALOG - FZN &amp; CHILL'!949:949,"AAAAAC9/foU=",0)</f>
        <v>0</v>
      </c>
      <c r="EE285" t="e">
        <f>AND('STERLING CATALOG - FZN &amp; CHILL'!A949,"AAAAAC9/foY=")</f>
        <v>#VALUE!</v>
      </c>
      <c r="EF285" t="e">
        <f>AND('STERLING CATALOG - FZN &amp; CHILL'!B949,"AAAAAC9/foc=")</f>
        <v>#VALUE!</v>
      </c>
      <c r="EG285" t="e">
        <f>AND('STERLING CATALOG - FZN &amp; CHILL'!C949,"AAAAAC9/fog=")</f>
        <v>#VALUE!</v>
      </c>
      <c r="EH285" t="e">
        <f>AND('STERLING CATALOG - FZN &amp; CHILL'!D949,"AAAAAC9/fok=")</f>
        <v>#VALUE!</v>
      </c>
      <c r="EI285" t="e">
        <f>AND('STERLING CATALOG - FZN &amp; CHILL'!E949,"AAAAAC9/foo=")</f>
        <v>#VALUE!</v>
      </c>
      <c r="EJ285" t="e">
        <f>AND('STERLING CATALOG - FZN &amp; CHILL'!F949,"AAAAAC9/fos=")</f>
        <v>#VALUE!</v>
      </c>
      <c r="EK285" t="e">
        <f>AND('STERLING CATALOG - FZN &amp; CHILL'!G949,"AAAAAC9/fow=")</f>
        <v>#VALUE!</v>
      </c>
      <c r="EL285" t="e">
        <f>AND('STERLING CATALOG - FZN &amp; CHILL'!H949,"AAAAAC9/fo0=")</f>
        <v>#VALUE!</v>
      </c>
      <c r="EM285" t="e">
        <f>AND('STERLING CATALOG - FZN &amp; CHILL'!I949,"AAAAAC9/fo4=")</f>
        <v>#VALUE!</v>
      </c>
      <c r="EN285" t="e">
        <f>AND('STERLING CATALOG - FZN &amp; CHILL'!J949,"AAAAAC9/fo8=")</f>
        <v>#VALUE!</v>
      </c>
      <c r="EO285">
        <f>IF('STERLING CATALOG - FZN &amp; CHILL'!950:950,"AAAAAC9/fpA=",0)</f>
        <v>0</v>
      </c>
      <c r="EP285" t="e">
        <f>AND('STERLING CATALOG - FZN &amp; CHILL'!A950,"AAAAAC9/fpE=")</f>
        <v>#VALUE!</v>
      </c>
      <c r="EQ285" t="e">
        <f>AND('STERLING CATALOG - FZN &amp; CHILL'!B950,"AAAAAC9/fpI=")</f>
        <v>#VALUE!</v>
      </c>
      <c r="ER285" t="e">
        <f>AND('STERLING CATALOG - FZN &amp; CHILL'!C950,"AAAAAC9/fpM=")</f>
        <v>#VALUE!</v>
      </c>
      <c r="ES285" t="e">
        <f>AND('STERLING CATALOG - FZN &amp; CHILL'!D950,"AAAAAC9/fpQ=")</f>
        <v>#VALUE!</v>
      </c>
      <c r="ET285" t="e">
        <f>AND('STERLING CATALOG - FZN &amp; CHILL'!E950,"AAAAAC9/fpU=")</f>
        <v>#VALUE!</v>
      </c>
      <c r="EU285" t="e">
        <f>AND('STERLING CATALOG - FZN &amp; CHILL'!F950,"AAAAAC9/fpY=")</f>
        <v>#VALUE!</v>
      </c>
      <c r="EV285" t="e">
        <f>AND('STERLING CATALOG - FZN &amp; CHILL'!G950,"AAAAAC9/fpc=")</f>
        <v>#VALUE!</v>
      </c>
      <c r="EW285" t="e">
        <f>AND('STERLING CATALOG - FZN &amp; CHILL'!H950,"AAAAAC9/fpg=")</f>
        <v>#VALUE!</v>
      </c>
      <c r="EX285" t="e">
        <f>AND('STERLING CATALOG - FZN &amp; CHILL'!I950,"AAAAAC9/fpk=")</f>
        <v>#VALUE!</v>
      </c>
      <c r="EY285" t="e">
        <f>AND('STERLING CATALOG - FZN &amp; CHILL'!J950,"AAAAAC9/fpo=")</f>
        <v>#VALUE!</v>
      </c>
      <c r="EZ285">
        <f>IF('STERLING CATALOG - FZN &amp; CHILL'!951:951,"AAAAAC9/fps=",0)</f>
        <v>0</v>
      </c>
      <c r="FA285" t="e">
        <f>AND('STERLING CATALOG - FZN &amp; CHILL'!A951,"AAAAAC9/fpw=")</f>
        <v>#VALUE!</v>
      </c>
      <c r="FB285" t="e">
        <f>AND('STERLING CATALOG - FZN &amp; CHILL'!B951,"AAAAAC9/fp0=")</f>
        <v>#VALUE!</v>
      </c>
      <c r="FC285" t="e">
        <f>AND('STERLING CATALOG - FZN &amp; CHILL'!C951,"AAAAAC9/fp4=")</f>
        <v>#VALUE!</v>
      </c>
      <c r="FD285" t="e">
        <f>AND('STERLING CATALOG - FZN &amp; CHILL'!D951,"AAAAAC9/fp8=")</f>
        <v>#VALUE!</v>
      </c>
      <c r="FE285" t="e">
        <f>AND('STERLING CATALOG - FZN &amp; CHILL'!E951,"AAAAAC9/fqA=")</f>
        <v>#VALUE!</v>
      </c>
      <c r="FF285" t="e">
        <f>AND('STERLING CATALOG - FZN &amp; CHILL'!F951,"AAAAAC9/fqE=")</f>
        <v>#VALUE!</v>
      </c>
      <c r="FG285" t="e">
        <f>AND('STERLING CATALOG - FZN &amp; CHILL'!G951,"AAAAAC9/fqI=")</f>
        <v>#VALUE!</v>
      </c>
      <c r="FH285" t="e">
        <f>AND('STERLING CATALOG - FZN &amp; CHILL'!H951,"AAAAAC9/fqM=")</f>
        <v>#VALUE!</v>
      </c>
      <c r="FI285" t="e">
        <f>AND('STERLING CATALOG - FZN &amp; CHILL'!I951,"AAAAAC9/fqQ=")</f>
        <v>#VALUE!</v>
      </c>
      <c r="FJ285" t="e">
        <f>AND('STERLING CATALOG - FZN &amp; CHILL'!J951,"AAAAAC9/fqU=")</f>
        <v>#VALUE!</v>
      </c>
      <c r="FK285">
        <f>IF('STERLING CATALOG - FZN &amp; CHILL'!952:952,"AAAAAC9/fqY=",0)</f>
        <v>0</v>
      </c>
      <c r="FL285" t="e">
        <f>AND('STERLING CATALOG - FZN &amp; CHILL'!A952,"AAAAAC9/fqc=")</f>
        <v>#VALUE!</v>
      </c>
      <c r="FM285" t="e">
        <f>AND('STERLING CATALOG - FZN &amp; CHILL'!B952,"AAAAAC9/fqg=")</f>
        <v>#VALUE!</v>
      </c>
      <c r="FN285" t="e">
        <f>AND('STERLING CATALOG - FZN &amp; CHILL'!C952,"AAAAAC9/fqk=")</f>
        <v>#VALUE!</v>
      </c>
      <c r="FO285" t="e">
        <f>AND('STERLING CATALOG - FZN &amp; CHILL'!D952,"AAAAAC9/fqo=")</f>
        <v>#VALUE!</v>
      </c>
      <c r="FP285" t="e">
        <f>AND('STERLING CATALOG - FZN &amp; CHILL'!E952,"AAAAAC9/fqs=")</f>
        <v>#VALUE!</v>
      </c>
      <c r="FQ285" t="e">
        <f>AND('STERLING CATALOG - FZN &amp; CHILL'!F952,"AAAAAC9/fqw=")</f>
        <v>#VALUE!</v>
      </c>
      <c r="FR285" t="e">
        <f>AND('STERLING CATALOG - FZN &amp; CHILL'!G952,"AAAAAC9/fq0=")</f>
        <v>#VALUE!</v>
      </c>
      <c r="FS285" t="e">
        <f>AND('STERLING CATALOG - FZN &amp; CHILL'!H952,"AAAAAC9/fq4=")</f>
        <v>#VALUE!</v>
      </c>
      <c r="FT285" t="e">
        <f>AND('STERLING CATALOG - FZN &amp; CHILL'!I952,"AAAAAC9/fq8=")</f>
        <v>#VALUE!</v>
      </c>
      <c r="FU285" t="e">
        <f>AND('STERLING CATALOG - FZN &amp; CHILL'!J952,"AAAAAC9/frA=")</f>
        <v>#VALUE!</v>
      </c>
      <c r="FV285">
        <f>IF('STERLING CATALOG - FZN &amp; CHILL'!953:953,"AAAAAC9/frE=",0)</f>
        <v>0</v>
      </c>
      <c r="FW285" t="e">
        <f>AND('STERLING CATALOG - FZN &amp; CHILL'!A953,"AAAAAC9/frI=")</f>
        <v>#VALUE!</v>
      </c>
      <c r="FX285" t="e">
        <f>AND('STERLING CATALOG - FZN &amp; CHILL'!B953,"AAAAAC9/frM=")</f>
        <v>#VALUE!</v>
      </c>
      <c r="FY285" t="e">
        <f>AND('STERLING CATALOG - FZN &amp; CHILL'!C953,"AAAAAC9/frQ=")</f>
        <v>#VALUE!</v>
      </c>
      <c r="FZ285" t="e">
        <f>AND('STERLING CATALOG - FZN &amp; CHILL'!D953,"AAAAAC9/frU=")</f>
        <v>#VALUE!</v>
      </c>
      <c r="GA285" t="e">
        <f>AND('STERLING CATALOG - FZN &amp; CHILL'!E953,"AAAAAC9/frY=")</f>
        <v>#VALUE!</v>
      </c>
      <c r="GB285" t="e">
        <f>AND('STERLING CATALOG - FZN &amp; CHILL'!F953,"AAAAAC9/frc=")</f>
        <v>#VALUE!</v>
      </c>
      <c r="GC285" t="e">
        <f>AND('STERLING CATALOG - FZN &amp; CHILL'!G953,"AAAAAC9/frg=")</f>
        <v>#VALUE!</v>
      </c>
      <c r="GD285" t="e">
        <f>AND('STERLING CATALOG - FZN &amp; CHILL'!H953,"AAAAAC9/frk=")</f>
        <v>#VALUE!</v>
      </c>
      <c r="GE285" t="e">
        <f>AND('STERLING CATALOG - FZN &amp; CHILL'!I953,"AAAAAC9/fro=")</f>
        <v>#VALUE!</v>
      </c>
      <c r="GF285" t="e">
        <f>AND('STERLING CATALOG - FZN &amp; CHILL'!J953,"AAAAAC9/frs=")</f>
        <v>#VALUE!</v>
      </c>
      <c r="GG285">
        <f>IF('STERLING CATALOG - FZN &amp; CHILL'!954:954,"AAAAAC9/frw=",0)</f>
        <v>0</v>
      </c>
      <c r="GH285" t="e">
        <f>AND('STERLING CATALOG - FZN &amp; CHILL'!A954,"AAAAAC9/fr0=")</f>
        <v>#VALUE!</v>
      </c>
      <c r="GI285" t="e">
        <f>AND('STERLING CATALOG - FZN &amp; CHILL'!B954,"AAAAAC9/fr4=")</f>
        <v>#VALUE!</v>
      </c>
      <c r="GJ285" t="e">
        <f>AND('STERLING CATALOG - FZN &amp; CHILL'!C954,"AAAAAC9/fr8=")</f>
        <v>#VALUE!</v>
      </c>
      <c r="GK285" t="e">
        <f>AND('STERLING CATALOG - FZN &amp; CHILL'!D954,"AAAAAC9/fsA=")</f>
        <v>#VALUE!</v>
      </c>
      <c r="GL285" t="e">
        <f>AND('STERLING CATALOG - FZN &amp; CHILL'!E954,"AAAAAC9/fsE=")</f>
        <v>#VALUE!</v>
      </c>
      <c r="GM285" t="e">
        <f>AND('STERLING CATALOG - FZN &amp; CHILL'!F954,"AAAAAC9/fsI=")</f>
        <v>#VALUE!</v>
      </c>
      <c r="GN285" t="e">
        <f>AND('STERLING CATALOG - FZN &amp; CHILL'!G954,"AAAAAC9/fsM=")</f>
        <v>#VALUE!</v>
      </c>
      <c r="GO285" t="e">
        <f>AND('STERLING CATALOG - FZN &amp; CHILL'!H954,"AAAAAC9/fsQ=")</f>
        <v>#VALUE!</v>
      </c>
      <c r="GP285" t="e">
        <f>AND('STERLING CATALOG - FZN &amp; CHILL'!I954,"AAAAAC9/fsU=")</f>
        <v>#VALUE!</v>
      </c>
      <c r="GQ285" t="e">
        <f>AND('STERLING CATALOG - FZN &amp; CHILL'!J954,"AAAAAC9/fsY=")</f>
        <v>#VALUE!</v>
      </c>
      <c r="GR285">
        <f>IF('STERLING CATALOG - FZN &amp; CHILL'!955:955,"AAAAAC9/fsc=",0)</f>
        <v>0</v>
      </c>
      <c r="GS285" t="e">
        <f>AND('STERLING CATALOG - FZN &amp; CHILL'!A955,"AAAAAC9/fsg=")</f>
        <v>#VALUE!</v>
      </c>
      <c r="GT285" t="e">
        <f>AND('STERLING CATALOG - FZN &amp; CHILL'!B955,"AAAAAC9/fsk=")</f>
        <v>#VALUE!</v>
      </c>
      <c r="GU285" t="e">
        <f>AND('STERLING CATALOG - FZN &amp; CHILL'!C955,"AAAAAC9/fso=")</f>
        <v>#VALUE!</v>
      </c>
      <c r="GV285" t="e">
        <f>AND('STERLING CATALOG - FZN &amp; CHILL'!D955,"AAAAAC9/fss=")</f>
        <v>#VALUE!</v>
      </c>
      <c r="GW285" t="e">
        <f>AND('STERLING CATALOG - FZN &amp; CHILL'!E955,"AAAAAC9/fsw=")</f>
        <v>#VALUE!</v>
      </c>
      <c r="GX285" t="e">
        <f>AND('STERLING CATALOG - FZN &amp; CHILL'!F955,"AAAAAC9/fs0=")</f>
        <v>#VALUE!</v>
      </c>
      <c r="GY285" t="e">
        <f>AND('STERLING CATALOG - FZN &amp; CHILL'!G955,"AAAAAC9/fs4=")</f>
        <v>#VALUE!</v>
      </c>
      <c r="GZ285" t="e">
        <f>AND('STERLING CATALOG - FZN &amp; CHILL'!H955,"AAAAAC9/fs8=")</f>
        <v>#VALUE!</v>
      </c>
      <c r="HA285" t="e">
        <f>AND('STERLING CATALOG - FZN &amp; CHILL'!I955,"AAAAAC9/ftA=")</f>
        <v>#VALUE!</v>
      </c>
      <c r="HB285" t="e">
        <f>AND('STERLING CATALOG - FZN &amp; CHILL'!J955,"AAAAAC9/ftE=")</f>
        <v>#VALUE!</v>
      </c>
      <c r="HC285">
        <f>IF('STERLING CATALOG - FZN &amp; CHILL'!956:956,"AAAAAC9/ftI=",0)</f>
        <v>0</v>
      </c>
      <c r="HD285" t="e">
        <f>AND('STERLING CATALOG - FZN &amp; CHILL'!A956,"AAAAAC9/ftM=")</f>
        <v>#VALUE!</v>
      </c>
      <c r="HE285" t="e">
        <f>AND('STERLING CATALOG - FZN &amp; CHILL'!B956,"AAAAAC9/ftQ=")</f>
        <v>#VALUE!</v>
      </c>
      <c r="HF285" t="e">
        <f>AND('STERLING CATALOG - FZN &amp; CHILL'!C956,"AAAAAC9/ftU=")</f>
        <v>#VALUE!</v>
      </c>
      <c r="HG285" t="e">
        <f>AND('STERLING CATALOG - FZN &amp; CHILL'!D956,"AAAAAC9/ftY=")</f>
        <v>#VALUE!</v>
      </c>
      <c r="HH285" t="e">
        <f>AND('STERLING CATALOG - FZN &amp; CHILL'!E956,"AAAAAC9/ftc=")</f>
        <v>#VALUE!</v>
      </c>
      <c r="HI285" t="e">
        <f>AND('STERLING CATALOG - FZN &amp; CHILL'!F956,"AAAAAC9/ftg=")</f>
        <v>#VALUE!</v>
      </c>
      <c r="HJ285" t="e">
        <f>AND('STERLING CATALOG - FZN &amp; CHILL'!G956,"AAAAAC9/ftk=")</f>
        <v>#VALUE!</v>
      </c>
      <c r="HK285" t="e">
        <f>AND('STERLING CATALOG - FZN &amp; CHILL'!H956,"AAAAAC9/fto=")</f>
        <v>#VALUE!</v>
      </c>
      <c r="HL285" t="e">
        <f>AND('STERLING CATALOG - FZN &amp; CHILL'!I956,"AAAAAC9/fts=")</f>
        <v>#VALUE!</v>
      </c>
      <c r="HM285" t="e">
        <f>AND('STERLING CATALOG - FZN &amp; CHILL'!J956,"AAAAAC9/ftw=")</f>
        <v>#VALUE!</v>
      </c>
      <c r="HN285">
        <f>IF('STERLING CATALOG - FZN &amp; CHILL'!957:957,"AAAAAC9/ft0=",0)</f>
        <v>0</v>
      </c>
      <c r="HO285" t="e">
        <f>AND('STERLING CATALOG - FZN &amp; CHILL'!A957,"AAAAAC9/ft4=")</f>
        <v>#VALUE!</v>
      </c>
      <c r="HP285" t="e">
        <f>AND('STERLING CATALOG - FZN &amp; CHILL'!B957,"AAAAAC9/ft8=")</f>
        <v>#VALUE!</v>
      </c>
      <c r="HQ285" t="e">
        <f>AND('STERLING CATALOG - FZN &amp; CHILL'!C957,"AAAAAC9/fuA=")</f>
        <v>#VALUE!</v>
      </c>
      <c r="HR285" t="e">
        <f>AND('STERLING CATALOG - FZN &amp; CHILL'!D957,"AAAAAC9/fuE=")</f>
        <v>#VALUE!</v>
      </c>
      <c r="HS285" t="e">
        <f>AND('STERLING CATALOG - FZN &amp; CHILL'!E957,"AAAAAC9/fuI=")</f>
        <v>#VALUE!</v>
      </c>
      <c r="HT285" t="e">
        <f>AND('STERLING CATALOG - FZN &amp; CHILL'!F957,"AAAAAC9/fuM=")</f>
        <v>#VALUE!</v>
      </c>
      <c r="HU285" t="e">
        <f>AND('STERLING CATALOG - FZN &amp; CHILL'!G957,"AAAAAC9/fuQ=")</f>
        <v>#VALUE!</v>
      </c>
      <c r="HV285" t="e">
        <f>AND('STERLING CATALOG - FZN &amp; CHILL'!H957,"AAAAAC9/fuU=")</f>
        <v>#VALUE!</v>
      </c>
      <c r="HW285" t="e">
        <f>AND('STERLING CATALOG - FZN &amp; CHILL'!I957,"AAAAAC9/fuY=")</f>
        <v>#VALUE!</v>
      </c>
      <c r="HX285" t="e">
        <f>AND('STERLING CATALOG - FZN &amp; CHILL'!J957,"AAAAAC9/fuc=")</f>
        <v>#VALUE!</v>
      </c>
      <c r="HY285">
        <f>IF('STERLING CATALOG - FZN &amp; CHILL'!958:958,"AAAAAC9/fug=",0)</f>
        <v>0</v>
      </c>
      <c r="HZ285" t="e">
        <f>AND('STERLING CATALOG - FZN &amp; CHILL'!A958,"AAAAAC9/fuk=")</f>
        <v>#VALUE!</v>
      </c>
      <c r="IA285" t="e">
        <f>AND('STERLING CATALOG - FZN &amp; CHILL'!B958,"AAAAAC9/fuo=")</f>
        <v>#VALUE!</v>
      </c>
      <c r="IB285" t="e">
        <f>AND('STERLING CATALOG - FZN &amp; CHILL'!C958,"AAAAAC9/fus=")</f>
        <v>#VALUE!</v>
      </c>
      <c r="IC285" t="e">
        <f>AND('STERLING CATALOG - FZN &amp; CHILL'!D958,"AAAAAC9/fuw=")</f>
        <v>#VALUE!</v>
      </c>
      <c r="ID285" t="e">
        <f>AND('STERLING CATALOG - FZN &amp; CHILL'!E958,"AAAAAC9/fu0=")</f>
        <v>#VALUE!</v>
      </c>
      <c r="IE285" t="e">
        <f>AND('STERLING CATALOG - FZN &amp; CHILL'!F958,"AAAAAC9/fu4=")</f>
        <v>#VALUE!</v>
      </c>
      <c r="IF285" t="e">
        <f>AND('STERLING CATALOG - FZN &amp; CHILL'!G958,"AAAAAC9/fu8=")</f>
        <v>#VALUE!</v>
      </c>
      <c r="IG285" t="e">
        <f>AND('STERLING CATALOG - FZN &amp; CHILL'!H958,"AAAAAC9/fvA=")</f>
        <v>#VALUE!</v>
      </c>
      <c r="IH285" t="e">
        <f>AND('STERLING CATALOG - FZN &amp; CHILL'!I958,"AAAAAC9/fvE=")</f>
        <v>#VALUE!</v>
      </c>
      <c r="II285" t="e">
        <f>AND('STERLING CATALOG - FZN &amp; CHILL'!J958,"AAAAAC9/fvI=")</f>
        <v>#VALUE!</v>
      </c>
      <c r="IJ285">
        <f>IF('STERLING CATALOG - FZN &amp; CHILL'!959:959,"AAAAAC9/fvM=",0)</f>
        <v>0</v>
      </c>
      <c r="IK285" t="e">
        <f>AND('STERLING CATALOG - FZN &amp; CHILL'!A959,"AAAAAC9/fvQ=")</f>
        <v>#VALUE!</v>
      </c>
      <c r="IL285" t="e">
        <f>AND('STERLING CATALOG - FZN &amp; CHILL'!B959,"AAAAAC9/fvU=")</f>
        <v>#VALUE!</v>
      </c>
      <c r="IM285" t="e">
        <f>AND('STERLING CATALOG - FZN &amp; CHILL'!C959,"AAAAAC9/fvY=")</f>
        <v>#VALUE!</v>
      </c>
      <c r="IN285" t="e">
        <f>AND('STERLING CATALOG - FZN &amp; CHILL'!D959,"AAAAAC9/fvc=")</f>
        <v>#VALUE!</v>
      </c>
      <c r="IO285" t="e">
        <f>AND('STERLING CATALOG - FZN &amp; CHILL'!E959,"AAAAAC9/fvg=")</f>
        <v>#VALUE!</v>
      </c>
      <c r="IP285" t="e">
        <f>AND('STERLING CATALOG - FZN &amp; CHILL'!F959,"AAAAAC9/fvk=")</f>
        <v>#VALUE!</v>
      </c>
      <c r="IQ285" t="e">
        <f>AND('STERLING CATALOG - FZN &amp; CHILL'!G959,"AAAAAC9/fvo=")</f>
        <v>#VALUE!</v>
      </c>
      <c r="IR285" t="e">
        <f>AND('STERLING CATALOG - FZN &amp; CHILL'!H959,"AAAAAC9/fvs=")</f>
        <v>#VALUE!</v>
      </c>
      <c r="IS285" t="e">
        <f>AND('STERLING CATALOG - FZN &amp; CHILL'!I959,"AAAAAC9/fvw=")</f>
        <v>#VALUE!</v>
      </c>
      <c r="IT285" t="e">
        <f>AND('STERLING CATALOG - FZN &amp; CHILL'!J959,"AAAAAC9/fv0=")</f>
        <v>#VALUE!</v>
      </c>
      <c r="IU285">
        <f>IF('STERLING CATALOG - FZN &amp; CHILL'!960:960,"AAAAAC9/fv4=",0)</f>
        <v>0</v>
      </c>
      <c r="IV285" t="e">
        <f>AND('STERLING CATALOG - FZN &amp; CHILL'!A960,"AAAAAC9/fv8=")</f>
        <v>#VALUE!</v>
      </c>
    </row>
    <row r="286" spans="1:256">
      <c r="A286" t="e">
        <f>AND('STERLING CATALOG - FZN &amp; CHILL'!B960,"AAAAAG6//wA=")</f>
        <v>#VALUE!</v>
      </c>
      <c r="B286" t="e">
        <f>AND('STERLING CATALOG - FZN &amp; CHILL'!C960,"AAAAAG6//wE=")</f>
        <v>#VALUE!</v>
      </c>
      <c r="C286" t="e">
        <f>AND('STERLING CATALOG - FZN &amp; CHILL'!D960,"AAAAAG6//wI=")</f>
        <v>#VALUE!</v>
      </c>
      <c r="D286" t="e">
        <f>AND('STERLING CATALOG - FZN &amp; CHILL'!E960,"AAAAAG6//wM=")</f>
        <v>#VALUE!</v>
      </c>
      <c r="E286" t="e">
        <f>AND('STERLING CATALOG - FZN &amp; CHILL'!F960,"AAAAAG6//wQ=")</f>
        <v>#VALUE!</v>
      </c>
      <c r="F286" t="e">
        <f>AND('STERLING CATALOG - FZN &amp; CHILL'!G960,"AAAAAG6//wU=")</f>
        <v>#VALUE!</v>
      </c>
      <c r="G286" t="e">
        <f>AND('STERLING CATALOG - FZN &amp; CHILL'!H960,"AAAAAG6//wY=")</f>
        <v>#VALUE!</v>
      </c>
      <c r="H286" t="e">
        <f>AND('STERLING CATALOG - FZN &amp; CHILL'!I960,"AAAAAG6//wc=")</f>
        <v>#VALUE!</v>
      </c>
      <c r="I286" t="e">
        <f>AND('STERLING CATALOG - FZN &amp; CHILL'!J960,"AAAAAG6//wg=")</f>
        <v>#VALUE!</v>
      </c>
      <c r="J286">
        <f>IF('STERLING CATALOG - FZN &amp; CHILL'!961:961,"AAAAAG6//wk=",0)</f>
        <v>0</v>
      </c>
      <c r="K286" t="e">
        <f>AND('STERLING CATALOG - FZN &amp; CHILL'!A961,"AAAAAG6//wo=")</f>
        <v>#VALUE!</v>
      </c>
      <c r="L286" t="e">
        <f>AND('STERLING CATALOG - FZN &amp; CHILL'!B961,"AAAAAG6//ws=")</f>
        <v>#VALUE!</v>
      </c>
      <c r="M286" t="e">
        <f>AND('STERLING CATALOG - FZN &amp; CHILL'!C961,"AAAAAG6//ww=")</f>
        <v>#VALUE!</v>
      </c>
      <c r="N286" t="e">
        <f>AND('STERLING CATALOG - FZN &amp; CHILL'!D961,"AAAAAG6//w0=")</f>
        <v>#VALUE!</v>
      </c>
      <c r="O286" t="e">
        <f>AND('STERLING CATALOG - FZN &amp; CHILL'!E961,"AAAAAG6//w4=")</f>
        <v>#VALUE!</v>
      </c>
      <c r="P286" t="e">
        <f>AND('STERLING CATALOG - FZN &amp; CHILL'!F961,"AAAAAG6//w8=")</f>
        <v>#VALUE!</v>
      </c>
      <c r="Q286" t="e">
        <f>AND('STERLING CATALOG - FZN &amp; CHILL'!G961,"AAAAAG6//xA=")</f>
        <v>#VALUE!</v>
      </c>
      <c r="R286" t="e">
        <f>AND('STERLING CATALOG - FZN &amp; CHILL'!H961,"AAAAAG6//xE=")</f>
        <v>#VALUE!</v>
      </c>
      <c r="S286" t="e">
        <f>AND('STERLING CATALOG - FZN &amp; CHILL'!I961,"AAAAAG6//xI=")</f>
        <v>#VALUE!</v>
      </c>
      <c r="T286" t="e">
        <f>AND('STERLING CATALOG - FZN &amp; CHILL'!J961,"AAAAAG6//xM=")</f>
        <v>#VALUE!</v>
      </c>
      <c r="U286">
        <f>IF('STERLING CATALOG - FZN &amp; CHILL'!962:962,"AAAAAG6//xQ=",0)</f>
        <v>0</v>
      </c>
      <c r="V286" t="e">
        <f>AND('STERLING CATALOG - FZN &amp; CHILL'!A962,"AAAAAG6//xU=")</f>
        <v>#VALUE!</v>
      </c>
      <c r="W286" t="e">
        <f>AND('STERLING CATALOG - FZN &amp; CHILL'!B962,"AAAAAG6//xY=")</f>
        <v>#VALUE!</v>
      </c>
      <c r="X286" t="e">
        <f>AND('STERLING CATALOG - FZN &amp; CHILL'!C962,"AAAAAG6//xc=")</f>
        <v>#VALUE!</v>
      </c>
      <c r="Y286" t="e">
        <f>AND('STERLING CATALOG - FZN &amp; CHILL'!D962,"AAAAAG6//xg=")</f>
        <v>#VALUE!</v>
      </c>
      <c r="Z286" t="e">
        <f>AND('STERLING CATALOG - FZN &amp; CHILL'!E962,"AAAAAG6//xk=")</f>
        <v>#VALUE!</v>
      </c>
      <c r="AA286" t="e">
        <f>AND('STERLING CATALOG - FZN &amp; CHILL'!F962,"AAAAAG6//xo=")</f>
        <v>#VALUE!</v>
      </c>
      <c r="AB286" t="e">
        <f>AND('STERLING CATALOG - FZN &amp; CHILL'!G962,"AAAAAG6//xs=")</f>
        <v>#VALUE!</v>
      </c>
      <c r="AC286" t="e">
        <f>AND('STERLING CATALOG - FZN &amp; CHILL'!H962,"AAAAAG6//xw=")</f>
        <v>#VALUE!</v>
      </c>
      <c r="AD286" t="e">
        <f>AND('STERLING CATALOG - FZN &amp; CHILL'!I962,"AAAAAG6//x0=")</f>
        <v>#VALUE!</v>
      </c>
      <c r="AE286" t="e">
        <f>AND('STERLING CATALOG - FZN &amp; CHILL'!J962,"AAAAAG6//x4=")</f>
        <v>#VALUE!</v>
      </c>
      <c r="AF286">
        <f>IF('STERLING CATALOG - FZN &amp; CHILL'!963:963,"AAAAAG6//x8=",0)</f>
        <v>0</v>
      </c>
      <c r="AG286" t="e">
        <f>AND('STERLING CATALOG - FZN &amp; CHILL'!A963,"AAAAAG6//yA=")</f>
        <v>#VALUE!</v>
      </c>
      <c r="AH286" t="e">
        <f>AND('STERLING CATALOG - FZN &amp; CHILL'!B963,"AAAAAG6//yE=")</f>
        <v>#VALUE!</v>
      </c>
      <c r="AI286" t="e">
        <f>AND('STERLING CATALOG - FZN &amp; CHILL'!C963,"AAAAAG6//yI=")</f>
        <v>#VALUE!</v>
      </c>
      <c r="AJ286" t="e">
        <f>AND('STERLING CATALOG - FZN &amp; CHILL'!D963,"AAAAAG6//yM=")</f>
        <v>#VALUE!</v>
      </c>
      <c r="AK286" t="e">
        <f>AND('STERLING CATALOG - FZN &amp; CHILL'!E963,"AAAAAG6//yQ=")</f>
        <v>#VALUE!</v>
      </c>
      <c r="AL286" t="e">
        <f>AND('STERLING CATALOG - FZN &amp; CHILL'!F963,"AAAAAG6//yU=")</f>
        <v>#VALUE!</v>
      </c>
      <c r="AM286" t="e">
        <f>AND('STERLING CATALOG - FZN &amp; CHILL'!G963,"AAAAAG6//yY=")</f>
        <v>#VALUE!</v>
      </c>
      <c r="AN286" t="e">
        <f>AND('STERLING CATALOG - FZN &amp; CHILL'!H963,"AAAAAG6//yc=")</f>
        <v>#VALUE!</v>
      </c>
      <c r="AO286" t="e">
        <f>AND('STERLING CATALOG - FZN &amp; CHILL'!I963,"AAAAAG6//yg=")</f>
        <v>#VALUE!</v>
      </c>
      <c r="AP286" t="e">
        <f>AND('STERLING CATALOG - FZN &amp; CHILL'!J963,"AAAAAG6//yk=")</f>
        <v>#VALUE!</v>
      </c>
      <c r="AQ286">
        <f>IF('STERLING CATALOG - FZN &amp; CHILL'!964:964,"AAAAAG6//yo=",0)</f>
        <v>0</v>
      </c>
      <c r="AR286" t="e">
        <f>AND('STERLING CATALOG - FZN &amp; CHILL'!A964,"AAAAAG6//ys=")</f>
        <v>#VALUE!</v>
      </c>
      <c r="AS286" t="e">
        <f>AND('STERLING CATALOG - FZN &amp; CHILL'!B964,"AAAAAG6//yw=")</f>
        <v>#VALUE!</v>
      </c>
      <c r="AT286" t="e">
        <f>AND('STERLING CATALOG - FZN &amp; CHILL'!C964,"AAAAAG6//y0=")</f>
        <v>#VALUE!</v>
      </c>
      <c r="AU286" t="e">
        <f>AND('STERLING CATALOG - FZN &amp; CHILL'!D964,"AAAAAG6//y4=")</f>
        <v>#VALUE!</v>
      </c>
      <c r="AV286" t="e">
        <f>AND('STERLING CATALOG - FZN &amp; CHILL'!E964,"AAAAAG6//y8=")</f>
        <v>#VALUE!</v>
      </c>
      <c r="AW286" t="e">
        <f>AND('STERLING CATALOG - FZN &amp; CHILL'!F964,"AAAAAG6//zA=")</f>
        <v>#VALUE!</v>
      </c>
      <c r="AX286" t="e">
        <f>AND('STERLING CATALOG - FZN &amp; CHILL'!G964,"AAAAAG6//zE=")</f>
        <v>#VALUE!</v>
      </c>
      <c r="AY286" t="e">
        <f>AND('STERLING CATALOG - FZN &amp; CHILL'!H964,"AAAAAG6//zI=")</f>
        <v>#VALUE!</v>
      </c>
      <c r="AZ286" t="e">
        <f>AND('STERLING CATALOG - FZN &amp; CHILL'!I964,"AAAAAG6//zM=")</f>
        <v>#VALUE!</v>
      </c>
      <c r="BA286" t="e">
        <f>AND('STERLING CATALOG - FZN &amp; CHILL'!J964,"AAAAAG6//zQ=")</f>
        <v>#VALUE!</v>
      </c>
      <c r="BB286">
        <f>IF('STERLING CATALOG - FZN &amp; CHILL'!965:965,"AAAAAG6//zU=",0)</f>
        <v>0</v>
      </c>
      <c r="BC286" t="e">
        <f>AND('STERLING CATALOG - FZN &amp; CHILL'!A965,"AAAAAG6//zY=")</f>
        <v>#VALUE!</v>
      </c>
      <c r="BD286" t="e">
        <f>AND('STERLING CATALOG - FZN &amp; CHILL'!B965,"AAAAAG6//zc=")</f>
        <v>#VALUE!</v>
      </c>
      <c r="BE286" t="e">
        <f>AND('STERLING CATALOG - FZN &amp; CHILL'!C965,"AAAAAG6//zg=")</f>
        <v>#VALUE!</v>
      </c>
      <c r="BF286" t="e">
        <f>AND('STERLING CATALOG - FZN &amp; CHILL'!D965,"AAAAAG6//zk=")</f>
        <v>#VALUE!</v>
      </c>
      <c r="BG286" t="e">
        <f>AND('STERLING CATALOG - FZN &amp; CHILL'!E965,"AAAAAG6//zo=")</f>
        <v>#VALUE!</v>
      </c>
      <c r="BH286" t="e">
        <f>AND('STERLING CATALOG - FZN &amp; CHILL'!F965,"AAAAAG6//zs=")</f>
        <v>#VALUE!</v>
      </c>
      <c r="BI286" t="e">
        <f>AND('STERLING CATALOG - FZN &amp; CHILL'!G965,"AAAAAG6//zw=")</f>
        <v>#VALUE!</v>
      </c>
      <c r="BJ286" t="e">
        <f>AND('STERLING CATALOG - FZN &amp; CHILL'!H965,"AAAAAG6//z0=")</f>
        <v>#VALUE!</v>
      </c>
      <c r="BK286" t="e">
        <f>AND('STERLING CATALOG - FZN &amp; CHILL'!I965,"AAAAAG6//z4=")</f>
        <v>#VALUE!</v>
      </c>
      <c r="BL286" t="e">
        <f>AND('STERLING CATALOG - FZN &amp; CHILL'!J965,"AAAAAG6//z8=")</f>
        <v>#VALUE!</v>
      </c>
      <c r="BM286">
        <f>IF('STERLING CATALOG - FZN &amp; CHILL'!966:966,"AAAAAG6//0A=",0)</f>
        <v>0</v>
      </c>
      <c r="BN286" t="e">
        <f>AND('STERLING CATALOG - FZN &amp; CHILL'!A966,"AAAAAG6//0E=")</f>
        <v>#VALUE!</v>
      </c>
      <c r="BO286" t="e">
        <f>AND('STERLING CATALOG - FZN &amp; CHILL'!B966,"AAAAAG6//0I=")</f>
        <v>#VALUE!</v>
      </c>
      <c r="BP286" t="e">
        <f>AND('STERLING CATALOG - FZN &amp; CHILL'!C966,"AAAAAG6//0M=")</f>
        <v>#VALUE!</v>
      </c>
      <c r="BQ286" t="e">
        <f>AND('STERLING CATALOG - FZN &amp; CHILL'!D966,"AAAAAG6//0Q=")</f>
        <v>#VALUE!</v>
      </c>
      <c r="BR286" t="e">
        <f>AND('STERLING CATALOG - FZN &amp; CHILL'!E966,"AAAAAG6//0U=")</f>
        <v>#VALUE!</v>
      </c>
      <c r="BS286" t="e">
        <f>AND('STERLING CATALOG - FZN &amp; CHILL'!F966,"AAAAAG6//0Y=")</f>
        <v>#VALUE!</v>
      </c>
      <c r="BT286" t="e">
        <f>AND('STERLING CATALOG - FZN &amp; CHILL'!G966,"AAAAAG6//0c=")</f>
        <v>#VALUE!</v>
      </c>
      <c r="BU286" t="e">
        <f>AND('STERLING CATALOG - FZN &amp; CHILL'!H966,"AAAAAG6//0g=")</f>
        <v>#VALUE!</v>
      </c>
      <c r="BV286" t="e">
        <f>AND('STERLING CATALOG - FZN &amp; CHILL'!I966,"AAAAAG6//0k=")</f>
        <v>#VALUE!</v>
      </c>
      <c r="BW286" t="e">
        <f>AND('STERLING CATALOG - FZN &amp; CHILL'!J966,"AAAAAG6//0o=")</f>
        <v>#VALUE!</v>
      </c>
      <c r="BX286">
        <f>IF('STERLING CATALOG - FZN &amp; CHILL'!967:967,"AAAAAG6//0s=",0)</f>
        <v>0</v>
      </c>
      <c r="BY286" t="e">
        <f>AND('STERLING CATALOG - FZN &amp; CHILL'!A967,"AAAAAG6//0w=")</f>
        <v>#VALUE!</v>
      </c>
      <c r="BZ286" t="e">
        <f>AND('STERLING CATALOG - FZN &amp; CHILL'!B967,"AAAAAG6//00=")</f>
        <v>#VALUE!</v>
      </c>
      <c r="CA286" t="e">
        <f>AND('STERLING CATALOG - FZN &amp; CHILL'!C967,"AAAAAG6//04=")</f>
        <v>#VALUE!</v>
      </c>
      <c r="CB286" t="e">
        <f>AND('STERLING CATALOG - FZN &amp; CHILL'!D967,"AAAAAG6//08=")</f>
        <v>#VALUE!</v>
      </c>
      <c r="CC286" t="e">
        <f>AND('STERLING CATALOG - FZN &amp; CHILL'!E967,"AAAAAG6//1A=")</f>
        <v>#VALUE!</v>
      </c>
      <c r="CD286" t="e">
        <f>AND('STERLING CATALOG - FZN &amp; CHILL'!F967,"AAAAAG6//1E=")</f>
        <v>#VALUE!</v>
      </c>
      <c r="CE286" t="e">
        <f>AND('STERLING CATALOG - FZN &amp; CHILL'!G967,"AAAAAG6//1I=")</f>
        <v>#VALUE!</v>
      </c>
      <c r="CF286" t="e">
        <f>AND('STERLING CATALOG - FZN &amp; CHILL'!H967,"AAAAAG6//1M=")</f>
        <v>#VALUE!</v>
      </c>
      <c r="CG286" t="e">
        <f>AND('STERLING CATALOG - FZN &amp; CHILL'!I967,"AAAAAG6//1Q=")</f>
        <v>#VALUE!</v>
      </c>
      <c r="CH286" t="e">
        <f>AND('STERLING CATALOG - FZN &amp; CHILL'!J967,"AAAAAG6//1U=")</f>
        <v>#VALUE!</v>
      </c>
      <c r="CI286">
        <f>IF('STERLING CATALOG - FZN &amp; CHILL'!968:968,"AAAAAG6//1Y=",0)</f>
        <v>0</v>
      </c>
      <c r="CJ286" t="e">
        <f>AND('STERLING CATALOG - FZN &amp; CHILL'!A968,"AAAAAG6//1c=")</f>
        <v>#VALUE!</v>
      </c>
      <c r="CK286" t="e">
        <f>AND('STERLING CATALOG - FZN &amp; CHILL'!B968,"AAAAAG6//1g=")</f>
        <v>#VALUE!</v>
      </c>
      <c r="CL286" t="e">
        <f>AND('STERLING CATALOG - FZN &amp; CHILL'!C968,"AAAAAG6//1k=")</f>
        <v>#VALUE!</v>
      </c>
      <c r="CM286" t="e">
        <f>AND('STERLING CATALOG - FZN &amp; CHILL'!D968,"AAAAAG6//1o=")</f>
        <v>#VALUE!</v>
      </c>
      <c r="CN286" t="e">
        <f>AND('STERLING CATALOG - FZN &amp; CHILL'!E968,"AAAAAG6//1s=")</f>
        <v>#VALUE!</v>
      </c>
      <c r="CO286" t="e">
        <f>AND('STERLING CATALOG - FZN &amp; CHILL'!F968,"AAAAAG6//1w=")</f>
        <v>#VALUE!</v>
      </c>
      <c r="CP286" t="e">
        <f>AND('STERLING CATALOG - FZN &amp; CHILL'!G968,"AAAAAG6//10=")</f>
        <v>#VALUE!</v>
      </c>
      <c r="CQ286" t="e">
        <f>AND('STERLING CATALOG - FZN &amp; CHILL'!H968,"AAAAAG6//14=")</f>
        <v>#VALUE!</v>
      </c>
      <c r="CR286" t="e">
        <f>AND('STERLING CATALOG - FZN &amp; CHILL'!I968,"AAAAAG6//18=")</f>
        <v>#VALUE!</v>
      </c>
      <c r="CS286" t="e">
        <f>AND('STERLING CATALOG - FZN &amp; CHILL'!J968,"AAAAAG6//2A=")</f>
        <v>#VALUE!</v>
      </c>
      <c r="CT286">
        <f>IF('STERLING CATALOG - FZN &amp; CHILL'!969:969,"AAAAAG6//2E=",0)</f>
        <v>0</v>
      </c>
      <c r="CU286" t="e">
        <f>AND('STERLING CATALOG - FZN &amp; CHILL'!A969,"AAAAAG6//2I=")</f>
        <v>#VALUE!</v>
      </c>
      <c r="CV286" t="e">
        <f>AND('STERLING CATALOG - FZN &amp; CHILL'!B969,"AAAAAG6//2M=")</f>
        <v>#VALUE!</v>
      </c>
      <c r="CW286" t="e">
        <f>AND('STERLING CATALOG - FZN &amp; CHILL'!C969,"AAAAAG6//2Q=")</f>
        <v>#VALUE!</v>
      </c>
      <c r="CX286" t="e">
        <f>AND('STERLING CATALOG - FZN &amp; CHILL'!D969,"AAAAAG6//2U=")</f>
        <v>#VALUE!</v>
      </c>
      <c r="CY286" t="e">
        <f>AND('STERLING CATALOG - FZN &amp; CHILL'!E969,"AAAAAG6//2Y=")</f>
        <v>#VALUE!</v>
      </c>
      <c r="CZ286" t="e">
        <f>AND('STERLING CATALOG - FZN &amp; CHILL'!F969,"AAAAAG6//2c=")</f>
        <v>#VALUE!</v>
      </c>
      <c r="DA286" t="e">
        <f>AND('STERLING CATALOG - FZN &amp; CHILL'!G969,"AAAAAG6//2g=")</f>
        <v>#VALUE!</v>
      </c>
      <c r="DB286" t="e">
        <f>AND('STERLING CATALOG - FZN &amp; CHILL'!H969,"AAAAAG6//2k=")</f>
        <v>#VALUE!</v>
      </c>
      <c r="DC286" t="e">
        <f>AND('STERLING CATALOG - FZN &amp; CHILL'!I969,"AAAAAG6//2o=")</f>
        <v>#VALUE!</v>
      </c>
      <c r="DD286" t="e">
        <f>AND('STERLING CATALOG - FZN &amp; CHILL'!J969,"AAAAAG6//2s=")</f>
        <v>#VALUE!</v>
      </c>
      <c r="DE286">
        <f>IF('STERLING CATALOG - FZN &amp; CHILL'!970:970,"AAAAAG6//2w=",0)</f>
        <v>0</v>
      </c>
      <c r="DF286" t="e">
        <f>AND('STERLING CATALOG - FZN &amp; CHILL'!A970,"AAAAAG6//20=")</f>
        <v>#VALUE!</v>
      </c>
      <c r="DG286" t="e">
        <f>AND('STERLING CATALOG - FZN &amp; CHILL'!B970,"AAAAAG6//24=")</f>
        <v>#VALUE!</v>
      </c>
      <c r="DH286" t="e">
        <f>AND('STERLING CATALOG - FZN &amp; CHILL'!C970,"AAAAAG6//28=")</f>
        <v>#VALUE!</v>
      </c>
      <c r="DI286" t="e">
        <f>AND('STERLING CATALOG - FZN &amp; CHILL'!D970,"AAAAAG6//3A=")</f>
        <v>#VALUE!</v>
      </c>
      <c r="DJ286" t="e">
        <f>AND('STERLING CATALOG - FZN &amp; CHILL'!E970,"AAAAAG6//3E=")</f>
        <v>#VALUE!</v>
      </c>
      <c r="DK286" t="e">
        <f>AND('STERLING CATALOG - FZN &amp; CHILL'!F970,"AAAAAG6//3I=")</f>
        <v>#VALUE!</v>
      </c>
      <c r="DL286" t="e">
        <f>AND('STERLING CATALOG - FZN &amp; CHILL'!G970,"AAAAAG6//3M=")</f>
        <v>#VALUE!</v>
      </c>
      <c r="DM286" t="e">
        <f>AND('STERLING CATALOG - FZN &amp; CHILL'!H970,"AAAAAG6//3Q=")</f>
        <v>#VALUE!</v>
      </c>
      <c r="DN286" t="e">
        <f>AND('STERLING CATALOG - FZN &amp; CHILL'!I970,"AAAAAG6//3U=")</f>
        <v>#VALUE!</v>
      </c>
      <c r="DO286" t="e">
        <f>AND('STERLING CATALOG - FZN &amp; CHILL'!J970,"AAAAAG6//3Y=")</f>
        <v>#VALUE!</v>
      </c>
      <c r="DP286">
        <f>IF('STERLING CATALOG - FZN &amp; CHILL'!971:971,"AAAAAG6//3c=",0)</f>
        <v>0</v>
      </c>
      <c r="DQ286" t="e">
        <f>AND('STERLING CATALOG - FZN &amp; CHILL'!A971,"AAAAAG6//3g=")</f>
        <v>#VALUE!</v>
      </c>
      <c r="DR286" t="e">
        <f>AND('STERLING CATALOG - FZN &amp; CHILL'!B971,"AAAAAG6//3k=")</f>
        <v>#VALUE!</v>
      </c>
      <c r="DS286" t="e">
        <f>AND('STERLING CATALOG - FZN &amp; CHILL'!C971,"AAAAAG6//3o=")</f>
        <v>#VALUE!</v>
      </c>
      <c r="DT286" t="e">
        <f>AND('STERLING CATALOG - FZN &amp; CHILL'!D971,"AAAAAG6//3s=")</f>
        <v>#VALUE!</v>
      </c>
      <c r="DU286" t="e">
        <f>AND('STERLING CATALOG - FZN &amp; CHILL'!E971,"AAAAAG6//3w=")</f>
        <v>#VALUE!</v>
      </c>
      <c r="DV286" t="e">
        <f>AND('STERLING CATALOG - FZN &amp; CHILL'!F971,"AAAAAG6//30=")</f>
        <v>#VALUE!</v>
      </c>
      <c r="DW286" t="e">
        <f>AND('STERLING CATALOG - FZN &amp; CHILL'!G971,"AAAAAG6//34=")</f>
        <v>#VALUE!</v>
      </c>
      <c r="DX286" t="e">
        <f>AND('STERLING CATALOG - FZN &amp; CHILL'!H971,"AAAAAG6//38=")</f>
        <v>#VALUE!</v>
      </c>
      <c r="DY286" t="e">
        <f>AND('STERLING CATALOG - FZN &amp; CHILL'!I971,"AAAAAG6//4A=")</f>
        <v>#VALUE!</v>
      </c>
      <c r="DZ286" t="e">
        <f>AND('STERLING CATALOG - FZN &amp; CHILL'!J971,"AAAAAG6//4E=")</f>
        <v>#VALUE!</v>
      </c>
      <c r="EA286">
        <f>IF('STERLING CATALOG - FZN &amp; CHILL'!972:972,"AAAAAG6//4I=",0)</f>
        <v>0</v>
      </c>
      <c r="EB286" t="e">
        <f>AND('STERLING CATALOG - FZN &amp; CHILL'!A972,"AAAAAG6//4M=")</f>
        <v>#VALUE!</v>
      </c>
      <c r="EC286" t="e">
        <f>AND('STERLING CATALOG - FZN &amp; CHILL'!B972,"AAAAAG6//4Q=")</f>
        <v>#VALUE!</v>
      </c>
      <c r="ED286" t="e">
        <f>AND('STERLING CATALOG - FZN &amp; CHILL'!C972,"AAAAAG6//4U=")</f>
        <v>#VALUE!</v>
      </c>
      <c r="EE286" t="e">
        <f>AND('STERLING CATALOG - FZN &amp; CHILL'!D972,"AAAAAG6//4Y=")</f>
        <v>#VALUE!</v>
      </c>
      <c r="EF286" t="e">
        <f>AND('STERLING CATALOG - FZN &amp; CHILL'!E972,"AAAAAG6//4c=")</f>
        <v>#VALUE!</v>
      </c>
      <c r="EG286" t="e">
        <f>AND('STERLING CATALOG - FZN &amp; CHILL'!F972,"AAAAAG6//4g=")</f>
        <v>#VALUE!</v>
      </c>
      <c r="EH286" t="e">
        <f>AND('STERLING CATALOG - FZN &amp; CHILL'!G972,"AAAAAG6//4k=")</f>
        <v>#VALUE!</v>
      </c>
      <c r="EI286" t="e">
        <f>AND('STERLING CATALOG - FZN &amp; CHILL'!H972,"AAAAAG6//4o=")</f>
        <v>#VALUE!</v>
      </c>
      <c r="EJ286" t="e">
        <f>AND('STERLING CATALOG - FZN &amp; CHILL'!I972,"AAAAAG6//4s=")</f>
        <v>#VALUE!</v>
      </c>
      <c r="EK286" t="e">
        <f>AND('STERLING CATALOG - FZN &amp; CHILL'!J972,"AAAAAG6//4w=")</f>
        <v>#VALUE!</v>
      </c>
      <c r="EL286">
        <f>IF('STERLING CATALOG - FZN &amp; CHILL'!973:973,"AAAAAG6//40=",0)</f>
        <v>0</v>
      </c>
      <c r="EM286" t="e">
        <f>AND('STERLING CATALOG - FZN &amp; CHILL'!A973,"AAAAAG6//44=")</f>
        <v>#VALUE!</v>
      </c>
      <c r="EN286" t="e">
        <f>AND('STERLING CATALOG - FZN &amp; CHILL'!B973,"AAAAAG6//48=")</f>
        <v>#VALUE!</v>
      </c>
      <c r="EO286" t="e">
        <f>AND('STERLING CATALOG - FZN &amp; CHILL'!C973,"AAAAAG6//5A=")</f>
        <v>#VALUE!</v>
      </c>
      <c r="EP286" t="e">
        <f>AND('STERLING CATALOG - FZN &amp; CHILL'!D973,"AAAAAG6//5E=")</f>
        <v>#VALUE!</v>
      </c>
      <c r="EQ286" t="e">
        <f>AND('STERLING CATALOG - FZN &amp; CHILL'!E973,"AAAAAG6//5I=")</f>
        <v>#VALUE!</v>
      </c>
      <c r="ER286" t="e">
        <f>AND('STERLING CATALOG - FZN &amp; CHILL'!F973,"AAAAAG6//5M=")</f>
        <v>#VALUE!</v>
      </c>
      <c r="ES286" t="e">
        <f>AND('STERLING CATALOG - FZN &amp; CHILL'!G973,"AAAAAG6//5Q=")</f>
        <v>#VALUE!</v>
      </c>
      <c r="ET286" t="e">
        <f>AND('STERLING CATALOG - FZN &amp; CHILL'!H973,"AAAAAG6//5U=")</f>
        <v>#VALUE!</v>
      </c>
      <c r="EU286" t="e">
        <f>AND('STERLING CATALOG - FZN &amp; CHILL'!I973,"AAAAAG6//5Y=")</f>
        <v>#VALUE!</v>
      </c>
      <c r="EV286" t="e">
        <f>AND('STERLING CATALOG - FZN &amp; CHILL'!J973,"AAAAAG6//5c=")</f>
        <v>#VALUE!</v>
      </c>
      <c r="EW286">
        <f>IF('STERLING CATALOG - FZN &amp; CHILL'!974:974,"AAAAAG6//5g=",0)</f>
        <v>0</v>
      </c>
      <c r="EX286" t="e">
        <f>AND('STERLING CATALOG - FZN &amp; CHILL'!A974,"AAAAAG6//5k=")</f>
        <v>#VALUE!</v>
      </c>
      <c r="EY286" t="e">
        <f>AND('STERLING CATALOG - FZN &amp; CHILL'!B974,"AAAAAG6//5o=")</f>
        <v>#VALUE!</v>
      </c>
      <c r="EZ286" t="e">
        <f>AND('STERLING CATALOG - FZN &amp; CHILL'!C974,"AAAAAG6//5s=")</f>
        <v>#VALUE!</v>
      </c>
      <c r="FA286" t="e">
        <f>AND('STERLING CATALOG - FZN &amp; CHILL'!D974,"AAAAAG6//5w=")</f>
        <v>#VALUE!</v>
      </c>
      <c r="FB286" t="e">
        <f>AND('STERLING CATALOG - FZN &amp; CHILL'!E974,"AAAAAG6//50=")</f>
        <v>#VALUE!</v>
      </c>
      <c r="FC286" t="e">
        <f>AND('STERLING CATALOG - FZN &amp; CHILL'!F974,"AAAAAG6//54=")</f>
        <v>#VALUE!</v>
      </c>
      <c r="FD286" t="e">
        <f>AND('STERLING CATALOG - FZN &amp; CHILL'!G974,"AAAAAG6//58=")</f>
        <v>#VALUE!</v>
      </c>
      <c r="FE286" t="e">
        <f>AND('STERLING CATALOG - FZN &amp; CHILL'!H974,"AAAAAG6//6A=")</f>
        <v>#VALUE!</v>
      </c>
      <c r="FF286" t="e">
        <f>AND('STERLING CATALOG - FZN &amp; CHILL'!I974,"AAAAAG6//6E=")</f>
        <v>#VALUE!</v>
      </c>
      <c r="FG286" t="e">
        <f>AND('STERLING CATALOG - FZN &amp; CHILL'!J974,"AAAAAG6//6I=")</f>
        <v>#VALUE!</v>
      </c>
      <c r="FH286">
        <f>IF('STERLING CATALOG - FZN &amp; CHILL'!975:975,"AAAAAG6//6M=",0)</f>
        <v>0</v>
      </c>
      <c r="FI286" t="e">
        <f>AND('STERLING CATALOG - FZN &amp; CHILL'!A975,"AAAAAG6//6Q=")</f>
        <v>#VALUE!</v>
      </c>
      <c r="FJ286" t="e">
        <f>AND('STERLING CATALOG - FZN &amp; CHILL'!B975,"AAAAAG6//6U=")</f>
        <v>#VALUE!</v>
      </c>
      <c r="FK286" t="e">
        <f>AND('STERLING CATALOG - FZN &amp; CHILL'!C975,"AAAAAG6//6Y=")</f>
        <v>#VALUE!</v>
      </c>
      <c r="FL286" t="e">
        <f>AND('STERLING CATALOG - FZN &amp; CHILL'!D975,"AAAAAG6//6c=")</f>
        <v>#VALUE!</v>
      </c>
      <c r="FM286" t="e">
        <f>AND('STERLING CATALOG - FZN &amp; CHILL'!E975,"AAAAAG6//6g=")</f>
        <v>#VALUE!</v>
      </c>
      <c r="FN286" t="e">
        <f>AND('STERLING CATALOG - FZN &amp; CHILL'!F975,"AAAAAG6//6k=")</f>
        <v>#VALUE!</v>
      </c>
      <c r="FO286" t="e">
        <f>AND('STERLING CATALOG - FZN &amp; CHILL'!G975,"AAAAAG6//6o=")</f>
        <v>#VALUE!</v>
      </c>
      <c r="FP286" t="e">
        <f>AND('STERLING CATALOG - FZN &amp; CHILL'!H975,"AAAAAG6//6s=")</f>
        <v>#VALUE!</v>
      </c>
      <c r="FQ286" t="e">
        <f>AND('STERLING CATALOG - FZN &amp; CHILL'!I975,"AAAAAG6//6w=")</f>
        <v>#VALUE!</v>
      </c>
      <c r="FR286" t="e">
        <f>AND('STERLING CATALOG - FZN &amp; CHILL'!J975,"AAAAAG6//60=")</f>
        <v>#VALUE!</v>
      </c>
      <c r="FS286">
        <f>IF('STERLING CATALOG - FZN &amp; CHILL'!976:976,"AAAAAG6//64=",0)</f>
        <v>0</v>
      </c>
      <c r="FT286" t="e">
        <f>AND('STERLING CATALOG - FZN &amp; CHILL'!A976,"AAAAAG6//68=")</f>
        <v>#VALUE!</v>
      </c>
      <c r="FU286" t="e">
        <f>AND('STERLING CATALOG - FZN &amp; CHILL'!B976,"AAAAAG6//7A=")</f>
        <v>#VALUE!</v>
      </c>
      <c r="FV286" t="e">
        <f>AND('STERLING CATALOG - FZN &amp; CHILL'!C976,"AAAAAG6//7E=")</f>
        <v>#VALUE!</v>
      </c>
      <c r="FW286" t="e">
        <f>AND('STERLING CATALOG - FZN &amp; CHILL'!D976,"AAAAAG6//7I=")</f>
        <v>#VALUE!</v>
      </c>
      <c r="FX286" t="e">
        <f>AND('STERLING CATALOG - FZN &amp; CHILL'!E976,"AAAAAG6//7M=")</f>
        <v>#VALUE!</v>
      </c>
      <c r="FY286" t="e">
        <f>AND('STERLING CATALOG - FZN &amp; CHILL'!F976,"AAAAAG6//7Q=")</f>
        <v>#VALUE!</v>
      </c>
      <c r="FZ286" t="e">
        <f>AND('STERLING CATALOG - FZN &amp; CHILL'!G976,"AAAAAG6//7U=")</f>
        <v>#VALUE!</v>
      </c>
      <c r="GA286" t="e">
        <f>AND('STERLING CATALOG - FZN &amp; CHILL'!H976,"AAAAAG6//7Y=")</f>
        <v>#VALUE!</v>
      </c>
      <c r="GB286" t="e">
        <f>AND('STERLING CATALOG - FZN &amp; CHILL'!I976,"AAAAAG6//7c=")</f>
        <v>#VALUE!</v>
      </c>
      <c r="GC286" t="e">
        <f>AND('STERLING CATALOG - FZN &amp; CHILL'!J976,"AAAAAG6//7g=")</f>
        <v>#VALUE!</v>
      </c>
      <c r="GD286">
        <f>IF('STERLING CATALOG - FZN &amp; CHILL'!977:977,"AAAAAG6//7k=",0)</f>
        <v>0</v>
      </c>
      <c r="GE286" t="e">
        <f>AND('STERLING CATALOG - FZN &amp; CHILL'!A977,"AAAAAG6//7o=")</f>
        <v>#VALUE!</v>
      </c>
      <c r="GF286" t="e">
        <f>AND('STERLING CATALOG - FZN &amp; CHILL'!B977,"AAAAAG6//7s=")</f>
        <v>#VALUE!</v>
      </c>
      <c r="GG286" t="e">
        <f>AND('STERLING CATALOG - FZN &amp; CHILL'!C977,"AAAAAG6//7w=")</f>
        <v>#VALUE!</v>
      </c>
      <c r="GH286" t="e">
        <f>AND('STERLING CATALOG - FZN &amp; CHILL'!D977,"AAAAAG6//70=")</f>
        <v>#VALUE!</v>
      </c>
      <c r="GI286" t="e">
        <f>AND('STERLING CATALOG - FZN &amp; CHILL'!E977,"AAAAAG6//74=")</f>
        <v>#VALUE!</v>
      </c>
      <c r="GJ286" t="e">
        <f>AND('STERLING CATALOG - FZN &amp; CHILL'!F977,"AAAAAG6//78=")</f>
        <v>#VALUE!</v>
      </c>
      <c r="GK286" t="e">
        <f>AND('STERLING CATALOG - FZN &amp; CHILL'!G977,"AAAAAG6//8A=")</f>
        <v>#VALUE!</v>
      </c>
      <c r="GL286" t="e">
        <f>AND('STERLING CATALOG - FZN &amp; CHILL'!H977,"AAAAAG6//8E=")</f>
        <v>#VALUE!</v>
      </c>
      <c r="GM286" t="e">
        <f>AND('STERLING CATALOG - FZN &amp; CHILL'!I977,"AAAAAG6//8I=")</f>
        <v>#VALUE!</v>
      </c>
      <c r="GN286" t="e">
        <f>AND('STERLING CATALOG - FZN &amp; CHILL'!J977,"AAAAAG6//8M=")</f>
        <v>#VALUE!</v>
      </c>
      <c r="GO286">
        <f>IF('STERLING CATALOG - FZN &amp; CHILL'!978:978,"AAAAAG6//8Q=",0)</f>
        <v>0</v>
      </c>
      <c r="GP286" t="e">
        <f>AND('STERLING CATALOG - FZN &amp; CHILL'!A978,"AAAAAG6//8U=")</f>
        <v>#VALUE!</v>
      </c>
      <c r="GQ286" t="e">
        <f>AND('STERLING CATALOG - FZN &amp; CHILL'!B978,"AAAAAG6//8Y=")</f>
        <v>#VALUE!</v>
      </c>
      <c r="GR286" t="e">
        <f>AND('STERLING CATALOG - FZN &amp; CHILL'!C978,"AAAAAG6//8c=")</f>
        <v>#VALUE!</v>
      </c>
      <c r="GS286" t="e">
        <f>AND('STERLING CATALOG - FZN &amp; CHILL'!D978,"AAAAAG6//8g=")</f>
        <v>#VALUE!</v>
      </c>
      <c r="GT286" t="e">
        <f>AND('STERLING CATALOG - FZN &amp; CHILL'!E978,"AAAAAG6//8k=")</f>
        <v>#VALUE!</v>
      </c>
      <c r="GU286" t="e">
        <f>AND('STERLING CATALOG - FZN &amp; CHILL'!F978,"AAAAAG6//8o=")</f>
        <v>#VALUE!</v>
      </c>
      <c r="GV286" t="e">
        <f>AND('STERLING CATALOG - FZN &amp; CHILL'!G978,"AAAAAG6//8s=")</f>
        <v>#VALUE!</v>
      </c>
      <c r="GW286" t="e">
        <f>AND('STERLING CATALOG - FZN &amp; CHILL'!H978,"AAAAAG6//8w=")</f>
        <v>#VALUE!</v>
      </c>
      <c r="GX286" t="e">
        <f>AND('STERLING CATALOG - FZN &amp; CHILL'!I978,"AAAAAG6//80=")</f>
        <v>#VALUE!</v>
      </c>
      <c r="GY286" t="e">
        <f>AND('STERLING CATALOG - FZN &amp; CHILL'!J978,"AAAAAG6//84=")</f>
        <v>#VALUE!</v>
      </c>
      <c r="GZ286">
        <f>IF('STERLING CATALOG - FZN &amp; CHILL'!979:979,"AAAAAG6//88=",0)</f>
        <v>0</v>
      </c>
      <c r="HA286" t="e">
        <f>AND('STERLING CATALOG - FZN &amp; CHILL'!A979,"AAAAAG6//9A=")</f>
        <v>#VALUE!</v>
      </c>
      <c r="HB286" t="e">
        <f>AND('STERLING CATALOG - FZN &amp; CHILL'!B979,"AAAAAG6//9E=")</f>
        <v>#VALUE!</v>
      </c>
      <c r="HC286" t="e">
        <f>AND('STERLING CATALOG - FZN &amp; CHILL'!C979,"AAAAAG6//9I=")</f>
        <v>#VALUE!</v>
      </c>
      <c r="HD286" t="e">
        <f>AND('STERLING CATALOG - FZN &amp; CHILL'!D979,"AAAAAG6//9M=")</f>
        <v>#VALUE!</v>
      </c>
      <c r="HE286" t="e">
        <f>AND('STERLING CATALOG - FZN &amp; CHILL'!E979,"AAAAAG6//9Q=")</f>
        <v>#VALUE!</v>
      </c>
      <c r="HF286" t="e">
        <f>AND('STERLING CATALOG - FZN &amp; CHILL'!F979,"AAAAAG6//9U=")</f>
        <v>#VALUE!</v>
      </c>
      <c r="HG286" t="e">
        <f>AND('STERLING CATALOG - FZN &amp; CHILL'!G979,"AAAAAG6//9Y=")</f>
        <v>#VALUE!</v>
      </c>
      <c r="HH286" t="e">
        <f>AND('STERLING CATALOG - FZN &amp; CHILL'!H979,"AAAAAG6//9c=")</f>
        <v>#VALUE!</v>
      </c>
      <c r="HI286" t="e">
        <f>AND('STERLING CATALOG - FZN &amp; CHILL'!I979,"AAAAAG6//9g=")</f>
        <v>#VALUE!</v>
      </c>
      <c r="HJ286" t="e">
        <f>AND('STERLING CATALOG - FZN &amp; CHILL'!J979,"AAAAAG6//9k=")</f>
        <v>#VALUE!</v>
      </c>
      <c r="HK286">
        <f>IF('STERLING CATALOG - FZN &amp; CHILL'!980:980,"AAAAAG6//9o=",0)</f>
        <v>0</v>
      </c>
      <c r="HL286" t="e">
        <f>AND('STERLING CATALOG - FZN &amp; CHILL'!A980,"AAAAAG6//9s=")</f>
        <v>#VALUE!</v>
      </c>
      <c r="HM286" t="e">
        <f>AND('STERLING CATALOG - FZN &amp; CHILL'!B980,"AAAAAG6//9w=")</f>
        <v>#VALUE!</v>
      </c>
      <c r="HN286" t="e">
        <f>AND('STERLING CATALOG - FZN &amp; CHILL'!C980,"AAAAAG6//90=")</f>
        <v>#VALUE!</v>
      </c>
      <c r="HO286" t="e">
        <f>AND('STERLING CATALOG - FZN &amp; CHILL'!D980,"AAAAAG6//94=")</f>
        <v>#VALUE!</v>
      </c>
      <c r="HP286" t="e">
        <f>AND('STERLING CATALOG - FZN &amp; CHILL'!E980,"AAAAAG6//98=")</f>
        <v>#VALUE!</v>
      </c>
      <c r="HQ286" t="e">
        <f>AND('STERLING CATALOG - FZN &amp; CHILL'!F980,"AAAAAG6//+A=")</f>
        <v>#VALUE!</v>
      </c>
      <c r="HR286" t="e">
        <f>AND('STERLING CATALOG - FZN &amp; CHILL'!G980,"AAAAAG6//+E=")</f>
        <v>#VALUE!</v>
      </c>
      <c r="HS286" t="e">
        <f>AND('STERLING CATALOG - FZN &amp; CHILL'!H980,"AAAAAG6//+I=")</f>
        <v>#VALUE!</v>
      </c>
      <c r="HT286" t="e">
        <f>AND('STERLING CATALOG - FZN &amp; CHILL'!I980,"AAAAAG6//+M=")</f>
        <v>#VALUE!</v>
      </c>
      <c r="HU286" t="e">
        <f>AND('STERLING CATALOG - FZN &amp; CHILL'!J980,"AAAAAG6//+Q=")</f>
        <v>#VALUE!</v>
      </c>
      <c r="HV286">
        <f>IF('STERLING CATALOG - FZN &amp; CHILL'!981:981,"AAAAAG6//+U=",0)</f>
        <v>0</v>
      </c>
      <c r="HW286" t="e">
        <f>AND('STERLING CATALOG - FZN &amp; CHILL'!A981,"AAAAAG6//+Y=")</f>
        <v>#VALUE!</v>
      </c>
      <c r="HX286" t="e">
        <f>AND('STERLING CATALOG - FZN &amp; CHILL'!B981,"AAAAAG6//+c=")</f>
        <v>#VALUE!</v>
      </c>
      <c r="HY286" t="e">
        <f>AND('STERLING CATALOG - FZN &amp; CHILL'!C981,"AAAAAG6//+g=")</f>
        <v>#VALUE!</v>
      </c>
      <c r="HZ286" t="e">
        <f>AND('STERLING CATALOG - FZN &amp; CHILL'!D981,"AAAAAG6//+k=")</f>
        <v>#VALUE!</v>
      </c>
      <c r="IA286" t="e">
        <f>AND('STERLING CATALOG - FZN &amp; CHILL'!E981,"AAAAAG6//+o=")</f>
        <v>#VALUE!</v>
      </c>
      <c r="IB286" t="e">
        <f>AND('STERLING CATALOG - FZN &amp; CHILL'!F981,"AAAAAG6//+s=")</f>
        <v>#VALUE!</v>
      </c>
      <c r="IC286" t="e">
        <f>AND('STERLING CATALOG - FZN &amp; CHILL'!G981,"AAAAAG6//+w=")</f>
        <v>#VALUE!</v>
      </c>
      <c r="ID286" t="e">
        <f>AND('STERLING CATALOG - FZN &amp; CHILL'!H981,"AAAAAG6//+0=")</f>
        <v>#VALUE!</v>
      </c>
      <c r="IE286" t="e">
        <f>AND('STERLING CATALOG - FZN &amp; CHILL'!I981,"AAAAAG6//+4=")</f>
        <v>#VALUE!</v>
      </c>
      <c r="IF286" t="e">
        <f>AND('STERLING CATALOG - FZN &amp; CHILL'!J981,"AAAAAG6//+8=")</f>
        <v>#VALUE!</v>
      </c>
      <c r="IG286">
        <f>IF('STERLING CATALOG - FZN &amp; CHILL'!982:982,"AAAAAG6///A=",0)</f>
        <v>0</v>
      </c>
      <c r="IH286" t="e">
        <f>AND('STERLING CATALOG - FZN &amp; CHILL'!A982,"AAAAAG6///E=")</f>
        <v>#VALUE!</v>
      </c>
      <c r="II286" t="e">
        <f>AND('STERLING CATALOG - FZN &amp; CHILL'!B982,"AAAAAG6///I=")</f>
        <v>#VALUE!</v>
      </c>
      <c r="IJ286" t="e">
        <f>AND('STERLING CATALOG - FZN &amp; CHILL'!C982,"AAAAAG6///M=")</f>
        <v>#VALUE!</v>
      </c>
      <c r="IK286" t="e">
        <f>AND('STERLING CATALOG - FZN &amp; CHILL'!D982,"AAAAAG6///Q=")</f>
        <v>#VALUE!</v>
      </c>
      <c r="IL286" t="e">
        <f>AND('STERLING CATALOG - FZN &amp; CHILL'!E982,"AAAAAG6///U=")</f>
        <v>#VALUE!</v>
      </c>
      <c r="IM286" t="e">
        <f>AND('STERLING CATALOG - FZN &amp; CHILL'!F982,"AAAAAG6///Y=")</f>
        <v>#VALUE!</v>
      </c>
      <c r="IN286" t="e">
        <f>AND('STERLING CATALOG - FZN &amp; CHILL'!G982,"AAAAAG6///c=")</f>
        <v>#VALUE!</v>
      </c>
      <c r="IO286" t="e">
        <f>AND('STERLING CATALOG - FZN &amp; CHILL'!H982,"AAAAAG6///g=")</f>
        <v>#VALUE!</v>
      </c>
      <c r="IP286" t="e">
        <f>AND('STERLING CATALOG - FZN &amp; CHILL'!I982,"AAAAAG6///k=")</f>
        <v>#VALUE!</v>
      </c>
      <c r="IQ286" t="e">
        <f>AND('STERLING CATALOG - FZN &amp; CHILL'!J982,"AAAAAG6///o=")</f>
        <v>#VALUE!</v>
      </c>
      <c r="IR286">
        <f>IF('STERLING CATALOG - FZN &amp; CHILL'!983:983,"AAAAAG6///s=",0)</f>
        <v>0</v>
      </c>
      <c r="IS286" t="e">
        <f>AND('STERLING CATALOG - FZN &amp; CHILL'!A983,"AAAAAG6///w=")</f>
        <v>#VALUE!</v>
      </c>
      <c r="IT286" t="e">
        <f>AND('STERLING CATALOG - FZN &amp; CHILL'!B983,"AAAAAG6///0=")</f>
        <v>#VALUE!</v>
      </c>
      <c r="IU286" t="e">
        <f>AND('STERLING CATALOG - FZN &amp; CHILL'!C983,"AAAAAG6///4=")</f>
        <v>#VALUE!</v>
      </c>
      <c r="IV286" t="e">
        <f>AND('STERLING CATALOG - FZN &amp; CHILL'!D983,"AAAAAG6///8=")</f>
        <v>#VALUE!</v>
      </c>
    </row>
    <row r="287" spans="1:256">
      <c r="A287" t="e">
        <f>AND('STERLING CATALOG - FZN &amp; CHILL'!E983,"AAAAAFmqbwA=")</f>
        <v>#VALUE!</v>
      </c>
      <c r="B287" t="e">
        <f>AND('STERLING CATALOG - FZN &amp; CHILL'!F983,"AAAAAFmqbwE=")</f>
        <v>#VALUE!</v>
      </c>
      <c r="C287" t="e">
        <f>AND('STERLING CATALOG - FZN &amp; CHILL'!G983,"AAAAAFmqbwI=")</f>
        <v>#VALUE!</v>
      </c>
      <c r="D287" t="e">
        <f>AND('STERLING CATALOG - FZN &amp; CHILL'!H983,"AAAAAFmqbwM=")</f>
        <v>#VALUE!</v>
      </c>
      <c r="E287" t="e">
        <f>AND('STERLING CATALOG - FZN &amp; CHILL'!I983,"AAAAAFmqbwQ=")</f>
        <v>#VALUE!</v>
      </c>
      <c r="F287" t="e">
        <f>AND('STERLING CATALOG - FZN &amp; CHILL'!J983,"AAAAAFmqbwU=")</f>
        <v>#VALUE!</v>
      </c>
      <c r="G287" t="str">
        <f>IF('STERLING CATALOG - FZN &amp; CHILL'!984:984,"AAAAAFmqbwY=",0)</f>
        <v>AAAAAFmqbwY=</v>
      </c>
      <c r="H287" t="e">
        <f>AND('STERLING CATALOG - FZN &amp; CHILL'!A984,"AAAAAFmqbwc=")</f>
        <v>#VALUE!</v>
      </c>
      <c r="I287" t="e">
        <f>AND('STERLING CATALOG - FZN &amp; CHILL'!B984,"AAAAAFmqbwg=")</f>
        <v>#VALUE!</v>
      </c>
      <c r="J287" t="e">
        <f>AND('STERLING CATALOG - FZN &amp; CHILL'!C984,"AAAAAFmqbwk=")</f>
        <v>#VALUE!</v>
      </c>
      <c r="K287" t="e">
        <f>AND('STERLING CATALOG - FZN &amp; CHILL'!D984,"AAAAAFmqbwo=")</f>
        <v>#VALUE!</v>
      </c>
      <c r="L287" t="e">
        <f>AND('STERLING CATALOG - FZN &amp; CHILL'!E984,"AAAAAFmqbws=")</f>
        <v>#VALUE!</v>
      </c>
      <c r="M287" t="e">
        <f>AND('STERLING CATALOG - FZN &amp; CHILL'!F984,"AAAAAFmqbww=")</f>
        <v>#VALUE!</v>
      </c>
      <c r="N287" t="e">
        <f>AND('STERLING CATALOG - FZN &amp; CHILL'!G984,"AAAAAFmqbw0=")</f>
        <v>#VALUE!</v>
      </c>
      <c r="O287" t="e">
        <f>AND('STERLING CATALOG - FZN &amp; CHILL'!H984,"AAAAAFmqbw4=")</f>
        <v>#VALUE!</v>
      </c>
      <c r="P287" t="e">
        <f>AND('STERLING CATALOG - FZN &amp; CHILL'!I984,"AAAAAFmqbw8=")</f>
        <v>#VALUE!</v>
      </c>
      <c r="Q287" t="e">
        <f>AND('STERLING CATALOG - FZN &amp; CHILL'!J984,"AAAAAFmqbxA=")</f>
        <v>#VALUE!</v>
      </c>
      <c r="R287">
        <f>IF('STERLING CATALOG - FZN &amp; CHILL'!985:985,"AAAAAFmqbxE=",0)</f>
        <v>0</v>
      </c>
      <c r="S287" t="e">
        <f>AND('STERLING CATALOG - FZN &amp; CHILL'!A985,"AAAAAFmqbxI=")</f>
        <v>#VALUE!</v>
      </c>
      <c r="T287" t="e">
        <f>AND('STERLING CATALOG - FZN &amp; CHILL'!B985,"AAAAAFmqbxM=")</f>
        <v>#VALUE!</v>
      </c>
      <c r="U287" t="e">
        <f>AND('STERLING CATALOG - FZN &amp; CHILL'!C985,"AAAAAFmqbxQ=")</f>
        <v>#VALUE!</v>
      </c>
      <c r="V287" t="e">
        <f>AND('STERLING CATALOG - FZN &amp; CHILL'!D985,"AAAAAFmqbxU=")</f>
        <v>#VALUE!</v>
      </c>
      <c r="W287" t="e">
        <f>AND('STERLING CATALOG - FZN &amp; CHILL'!E985,"AAAAAFmqbxY=")</f>
        <v>#VALUE!</v>
      </c>
      <c r="X287" t="e">
        <f>AND('STERLING CATALOG - FZN &amp; CHILL'!F985,"AAAAAFmqbxc=")</f>
        <v>#VALUE!</v>
      </c>
      <c r="Y287" t="e">
        <f>AND('STERLING CATALOG - FZN &amp; CHILL'!G985,"AAAAAFmqbxg=")</f>
        <v>#VALUE!</v>
      </c>
      <c r="Z287" t="e">
        <f>AND('STERLING CATALOG - FZN &amp; CHILL'!H985,"AAAAAFmqbxk=")</f>
        <v>#VALUE!</v>
      </c>
      <c r="AA287" t="e">
        <f>AND('STERLING CATALOG - FZN &amp; CHILL'!I985,"AAAAAFmqbxo=")</f>
        <v>#VALUE!</v>
      </c>
      <c r="AB287" t="e">
        <f>AND('STERLING CATALOG - FZN &amp; CHILL'!J985,"AAAAAFmqbxs=")</f>
        <v>#VALUE!</v>
      </c>
      <c r="AC287">
        <f>IF('STERLING CATALOG - FZN &amp; CHILL'!986:986,"AAAAAFmqbxw=",0)</f>
        <v>0</v>
      </c>
      <c r="AD287" t="e">
        <f>AND('STERLING CATALOG - FZN &amp; CHILL'!A986,"AAAAAFmqbx0=")</f>
        <v>#VALUE!</v>
      </c>
      <c r="AE287" t="e">
        <f>AND('STERLING CATALOG - FZN &amp; CHILL'!B986,"AAAAAFmqbx4=")</f>
        <v>#VALUE!</v>
      </c>
      <c r="AF287" t="e">
        <f>AND('STERLING CATALOG - FZN &amp; CHILL'!C986,"AAAAAFmqbx8=")</f>
        <v>#VALUE!</v>
      </c>
      <c r="AG287" t="e">
        <f>AND('STERLING CATALOG - FZN &amp; CHILL'!D986,"AAAAAFmqbyA=")</f>
        <v>#VALUE!</v>
      </c>
      <c r="AH287" t="e">
        <f>AND('STERLING CATALOG - FZN &amp; CHILL'!E986,"AAAAAFmqbyE=")</f>
        <v>#VALUE!</v>
      </c>
      <c r="AI287" t="e">
        <f>AND('STERLING CATALOG - FZN &amp; CHILL'!F986,"AAAAAFmqbyI=")</f>
        <v>#VALUE!</v>
      </c>
      <c r="AJ287" t="e">
        <f>AND('STERLING CATALOG - FZN &amp; CHILL'!G986,"AAAAAFmqbyM=")</f>
        <v>#VALUE!</v>
      </c>
      <c r="AK287" t="e">
        <f>AND('STERLING CATALOG - FZN &amp; CHILL'!H986,"AAAAAFmqbyQ=")</f>
        <v>#VALUE!</v>
      </c>
      <c r="AL287" t="e">
        <f>AND('STERLING CATALOG - FZN &amp; CHILL'!I986,"AAAAAFmqbyU=")</f>
        <v>#VALUE!</v>
      </c>
      <c r="AM287" t="e">
        <f>AND('STERLING CATALOG - FZN &amp; CHILL'!J986,"AAAAAFmqbyY=")</f>
        <v>#VALUE!</v>
      </c>
      <c r="AN287">
        <f>IF('STERLING CATALOG - FZN &amp; CHILL'!987:987,"AAAAAFmqbyc=",0)</f>
        <v>0</v>
      </c>
      <c r="AO287" t="e">
        <f>AND('STERLING CATALOG - FZN &amp; CHILL'!A987,"AAAAAFmqbyg=")</f>
        <v>#VALUE!</v>
      </c>
      <c r="AP287" t="e">
        <f>AND('STERLING CATALOG - FZN &amp; CHILL'!B987,"AAAAAFmqbyk=")</f>
        <v>#VALUE!</v>
      </c>
      <c r="AQ287" t="e">
        <f>AND('STERLING CATALOG - FZN &amp; CHILL'!C987,"AAAAAFmqbyo=")</f>
        <v>#VALUE!</v>
      </c>
      <c r="AR287" t="e">
        <f>AND('STERLING CATALOG - FZN &amp; CHILL'!D987,"AAAAAFmqbys=")</f>
        <v>#VALUE!</v>
      </c>
      <c r="AS287" t="e">
        <f>AND('STERLING CATALOG - FZN &amp; CHILL'!E987,"AAAAAFmqbyw=")</f>
        <v>#VALUE!</v>
      </c>
      <c r="AT287" t="e">
        <f>AND('STERLING CATALOG - FZN &amp; CHILL'!F987,"AAAAAFmqby0=")</f>
        <v>#VALUE!</v>
      </c>
      <c r="AU287" t="e">
        <f>AND('STERLING CATALOG - FZN &amp; CHILL'!G987,"AAAAAFmqby4=")</f>
        <v>#VALUE!</v>
      </c>
      <c r="AV287" t="e">
        <f>AND('STERLING CATALOG - FZN &amp; CHILL'!H987,"AAAAAFmqby8=")</f>
        <v>#VALUE!</v>
      </c>
      <c r="AW287" t="e">
        <f>AND('STERLING CATALOG - FZN &amp; CHILL'!I987,"AAAAAFmqbzA=")</f>
        <v>#VALUE!</v>
      </c>
      <c r="AX287" t="e">
        <f>AND('STERLING CATALOG - FZN &amp; CHILL'!J987,"AAAAAFmqbzE=")</f>
        <v>#VALUE!</v>
      </c>
      <c r="AY287">
        <f>IF('STERLING CATALOG - FZN &amp; CHILL'!988:988,"AAAAAFmqbzI=",0)</f>
        <v>0</v>
      </c>
      <c r="AZ287" t="e">
        <f>AND('STERLING CATALOG - FZN &amp; CHILL'!A988,"AAAAAFmqbzM=")</f>
        <v>#VALUE!</v>
      </c>
      <c r="BA287" t="e">
        <f>AND('STERLING CATALOG - FZN &amp; CHILL'!B988,"AAAAAFmqbzQ=")</f>
        <v>#VALUE!</v>
      </c>
      <c r="BB287" t="e">
        <f>AND('STERLING CATALOG - FZN &amp; CHILL'!C988,"AAAAAFmqbzU=")</f>
        <v>#VALUE!</v>
      </c>
      <c r="BC287" t="e">
        <f>AND('STERLING CATALOG - FZN &amp; CHILL'!D988,"AAAAAFmqbzY=")</f>
        <v>#VALUE!</v>
      </c>
      <c r="BD287" t="e">
        <f>AND('STERLING CATALOG - FZN &amp; CHILL'!E988,"AAAAAFmqbzc=")</f>
        <v>#VALUE!</v>
      </c>
      <c r="BE287" t="e">
        <f>AND('STERLING CATALOG - FZN &amp; CHILL'!F988,"AAAAAFmqbzg=")</f>
        <v>#VALUE!</v>
      </c>
      <c r="BF287" t="e">
        <f>AND('STERLING CATALOG - FZN &amp; CHILL'!G988,"AAAAAFmqbzk=")</f>
        <v>#VALUE!</v>
      </c>
      <c r="BG287" t="e">
        <f>AND('STERLING CATALOG - FZN &amp; CHILL'!H988,"AAAAAFmqbzo=")</f>
        <v>#VALUE!</v>
      </c>
      <c r="BH287" t="e">
        <f>AND('STERLING CATALOG - FZN &amp; CHILL'!I988,"AAAAAFmqbzs=")</f>
        <v>#VALUE!</v>
      </c>
      <c r="BI287" t="e">
        <f>AND('STERLING CATALOG - FZN &amp; CHILL'!J988,"AAAAAFmqbzw=")</f>
        <v>#VALUE!</v>
      </c>
      <c r="BJ287">
        <f>IF('STERLING CATALOG - FZN &amp; CHILL'!989:989,"AAAAAFmqbz0=",0)</f>
        <v>0</v>
      </c>
      <c r="BK287" t="e">
        <f>AND('STERLING CATALOG - FZN &amp; CHILL'!A989,"AAAAAFmqbz4=")</f>
        <v>#VALUE!</v>
      </c>
      <c r="BL287" t="e">
        <f>AND('STERLING CATALOG - FZN &amp; CHILL'!B989,"AAAAAFmqbz8=")</f>
        <v>#VALUE!</v>
      </c>
      <c r="BM287" t="e">
        <f>AND('STERLING CATALOG - FZN &amp; CHILL'!C989,"AAAAAFmqb0A=")</f>
        <v>#VALUE!</v>
      </c>
      <c r="BN287" t="e">
        <f>AND('STERLING CATALOG - FZN &amp; CHILL'!D989,"AAAAAFmqb0E=")</f>
        <v>#VALUE!</v>
      </c>
      <c r="BO287" t="e">
        <f>AND('STERLING CATALOG - FZN &amp; CHILL'!E989,"AAAAAFmqb0I=")</f>
        <v>#VALUE!</v>
      </c>
      <c r="BP287" t="e">
        <f>AND('STERLING CATALOG - FZN &amp; CHILL'!F989,"AAAAAFmqb0M=")</f>
        <v>#VALUE!</v>
      </c>
      <c r="BQ287" t="e">
        <f>AND('STERLING CATALOG - FZN &amp; CHILL'!G989,"AAAAAFmqb0Q=")</f>
        <v>#VALUE!</v>
      </c>
      <c r="BR287" t="e">
        <f>AND('STERLING CATALOG - FZN &amp; CHILL'!H989,"AAAAAFmqb0U=")</f>
        <v>#VALUE!</v>
      </c>
      <c r="BS287" t="e">
        <f>AND('STERLING CATALOG - FZN &amp; CHILL'!I989,"AAAAAFmqb0Y=")</f>
        <v>#VALUE!</v>
      </c>
      <c r="BT287" t="e">
        <f>AND('STERLING CATALOG - FZN &amp; CHILL'!J989,"AAAAAFmqb0c=")</f>
        <v>#VALUE!</v>
      </c>
      <c r="BU287">
        <f>IF('STERLING CATALOG - FZN &amp; CHILL'!990:990,"AAAAAFmqb0g=",0)</f>
        <v>0</v>
      </c>
      <c r="BV287" t="e">
        <f>AND('STERLING CATALOG - FZN &amp; CHILL'!A990,"AAAAAFmqb0k=")</f>
        <v>#VALUE!</v>
      </c>
      <c r="BW287" t="e">
        <f>AND('STERLING CATALOG - FZN &amp; CHILL'!B990,"AAAAAFmqb0o=")</f>
        <v>#VALUE!</v>
      </c>
      <c r="BX287" t="e">
        <f>AND('STERLING CATALOG - FZN &amp; CHILL'!C990,"AAAAAFmqb0s=")</f>
        <v>#VALUE!</v>
      </c>
      <c r="BY287" t="e">
        <f>AND('STERLING CATALOG - FZN &amp; CHILL'!D990,"AAAAAFmqb0w=")</f>
        <v>#VALUE!</v>
      </c>
      <c r="BZ287" t="e">
        <f>AND('STERLING CATALOG - FZN &amp; CHILL'!E990,"AAAAAFmqb00=")</f>
        <v>#VALUE!</v>
      </c>
      <c r="CA287" t="e">
        <f>AND('STERLING CATALOG - FZN &amp; CHILL'!F990,"AAAAAFmqb04=")</f>
        <v>#VALUE!</v>
      </c>
      <c r="CB287" t="e">
        <f>AND('STERLING CATALOG - FZN &amp; CHILL'!G990,"AAAAAFmqb08=")</f>
        <v>#VALUE!</v>
      </c>
      <c r="CC287" t="e">
        <f>AND('STERLING CATALOG - FZN &amp; CHILL'!H990,"AAAAAFmqb1A=")</f>
        <v>#VALUE!</v>
      </c>
      <c r="CD287" t="e">
        <f>AND('STERLING CATALOG - FZN &amp; CHILL'!I990,"AAAAAFmqb1E=")</f>
        <v>#VALUE!</v>
      </c>
      <c r="CE287" t="e">
        <f>AND('STERLING CATALOG - FZN &amp; CHILL'!J990,"AAAAAFmqb1I=")</f>
        <v>#VALUE!</v>
      </c>
      <c r="CF287">
        <f>IF('STERLING CATALOG - FZN &amp; CHILL'!991:991,"AAAAAFmqb1M=",0)</f>
        <v>0</v>
      </c>
      <c r="CG287" t="e">
        <f>AND('STERLING CATALOG - FZN &amp; CHILL'!A991,"AAAAAFmqb1Q=")</f>
        <v>#VALUE!</v>
      </c>
      <c r="CH287" t="e">
        <f>AND('STERLING CATALOG - FZN &amp; CHILL'!B991,"AAAAAFmqb1U=")</f>
        <v>#VALUE!</v>
      </c>
      <c r="CI287" t="e">
        <f>AND('STERLING CATALOG - FZN &amp; CHILL'!C991,"AAAAAFmqb1Y=")</f>
        <v>#VALUE!</v>
      </c>
      <c r="CJ287" t="e">
        <f>AND('STERLING CATALOG - FZN &amp; CHILL'!D991,"AAAAAFmqb1c=")</f>
        <v>#VALUE!</v>
      </c>
      <c r="CK287" t="e">
        <f>AND('STERLING CATALOG - FZN &amp; CHILL'!E991,"AAAAAFmqb1g=")</f>
        <v>#VALUE!</v>
      </c>
      <c r="CL287" t="e">
        <f>AND('STERLING CATALOG - FZN &amp; CHILL'!F991,"AAAAAFmqb1k=")</f>
        <v>#VALUE!</v>
      </c>
      <c r="CM287" t="e">
        <f>AND('STERLING CATALOG - FZN &amp; CHILL'!G991,"AAAAAFmqb1o=")</f>
        <v>#VALUE!</v>
      </c>
      <c r="CN287" t="e">
        <f>AND('STERLING CATALOG - FZN &amp; CHILL'!H991,"AAAAAFmqb1s=")</f>
        <v>#VALUE!</v>
      </c>
      <c r="CO287" t="e">
        <f>AND('STERLING CATALOG - FZN &amp; CHILL'!I991,"AAAAAFmqb1w=")</f>
        <v>#VALUE!</v>
      </c>
      <c r="CP287" t="e">
        <f>AND('STERLING CATALOG - FZN &amp; CHILL'!J991,"AAAAAFmqb10=")</f>
        <v>#VALUE!</v>
      </c>
      <c r="CQ287">
        <f>IF('STERLING CATALOG - FZN &amp; CHILL'!992:992,"AAAAAFmqb14=",0)</f>
        <v>0</v>
      </c>
      <c r="CR287" t="e">
        <f>AND('STERLING CATALOG - FZN &amp; CHILL'!A992,"AAAAAFmqb18=")</f>
        <v>#VALUE!</v>
      </c>
      <c r="CS287" t="e">
        <f>AND('STERLING CATALOG - FZN &amp; CHILL'!B992,"AAAAAFmqb2A=")</f>
        <v>#VALUE!</v>
      </c>
      <c r="CT287" t="e">
        <f>AND('STERLING CATALOG - FZN &amp; CHILL'!C992,"AAAAAFmqb2E=")</f>
        <v>#VALUE!</v>
      </c>
      <c r="CU287" t="e">
        <f>AND('STERLING CATALOG - FZN &amp; CHILL'!D992,"AAAAAFmqb2I=")</f>
        <v>#VALUE!</v>
      </c>
      <c r="CV287" t="e">
        <f>AND('STERLING CATALOG - FZN &amp; CHILL'!E992,"AAAAAFmqb2M=")</f>
        <v>#VALUE!</v>
      </c>
      <c r="CW287" t="e">
        <f>AND('STERLING CATALOG - FZN &amp; CHILL'!F992,"AAAAAFmqb2Q=")</f>
        <v>#VALUE!</v>
      </c>
      <c r="CX287" t="e">
        <f>AND('STERLING CATALOG - FZN &amp; CHILL'!G992,"AAAAAFmqb2U=")</f>
        <v>#VALUE!</v>
      </c>
      <c r="CY287" t="e">
        <f>AND('STERLING CATALOG - FZN &amp; CHILL'!H992,"AAAAAFmqb2Y=")</f>
        <v>#VALUE!</v>
      </c>
      <c r="CZ287" t="e">
        <f>AND('STERLING CATALOG - FZN &amp; CHILL'!I992,"AAAAAFmqb2c=")</f>
        <v>#VALUE!</v>
      </c>
      <c r="DA287" t="e">
        <f>AND('STERLING CATALOG - FZN &amp; CHILL'!J992,"AAAAAFmqb2g=")</f>
        <v>#VALUE!</v>
      </c>
      <c r="DB287">
        <f>IF('STERLING CATALOG - FZN &amp; CHILL'!993:993,"AAAAAFmqb2k=",0)</f>
        <v>0</v>
      </c>
      <c r="DC287" t="e">
        <f>AND('STERLING CATALOG - FZN &amp; CHILL'!A993,"AAAAAFmqb2o=")</f>
        <v>#VALUE!</v>
      </c>
      <c r="DD287" t="e">
        <f>AND('STERLING CATALOG - FZN &amp; CHILL'!B993,"AAAAAFmqb2s=")</f>
        <v>#VALUE!</v>
      </c>
      <c r="DE287" t="e">
        <f>AND('STERLING CATALOG - FZN &amp; CHILL'!C993,"AAAAAFmqb2w=")</f>
        <v>#VALUE!</v>
      </c>
      <c r="DF287" t="e">
        <f>AND('STERLING CATALOG - FZN &amp; CHILL'!D993,"AAAAAFmqb20=")</f>
        <v>#VALUE!</v>
      </c>
      <c r="DG287" t="e">
        <f>AND('STERLING CATALOG - FZN &amp; CHILL'!E993,"AAAAAFmqb24=")</f>
        <v>#VALUE!</v>
      </c>
      <c r="DH287" t="e">
        <f>AND('STERLING CATALOG - FZN &amp; CHILL'!F993,"AAAAAFmqb28=")</f>
        <v>#VALUE!</v>
      </c>
      <c r="DI287" t="e">
        <f>AND('STERLING CATALOG - FZN &amp; CHILL'!G993,"AAAAAFmqb3A=")</f>
        <v>#VALUE!</v>
      </c>
      <c r="DJ287" t="e">
        <f>AND('STERLING CATALOG - FZN &amp; CHILL'!H993,"AAAAAFmqb3E=")</f>
        <v>#VALUE!</v>
      </c>
      <c r="DK287" t="e">
        <f>AND('STERLING CATALOG - FZN &amp; CHILL'!I993,"AAAAAFmqb3I=")</f>
        <v>#VALUE!</v>
      </c>
      <c r="DL287" t="e">
        <f>AND('STERLING CATALOG - FZN &amp; CHILL'!J993,"AAAAAFmqb3M=")</f>
        <v>#VALUE!</v>
      </c>
      <c r="DM287">
        <f>IF('STERLING CATALOG - FZN &amp; CHILL'!994:994,"AAAAAFmqb3Q=",0)</f>
        <v>0</v>
      </c>
      <c r="DN287" t="e">
        <f>AND('STERLING CATALOG - FZN &amp; CHILL'!A994,"AAAAAFmqb3U=")</f>
        <v>#VALUE!</v>
      </c>
      <c r="DO287" t="e">
        <f>AND('STERLING CATALOG - FZN &amp; CHILL'!B994,"AAAAAFmqb3Y=")</f>
        <v>#VALUE!</v>
      </c>
      <c r="DP287" t="e">
        <f>AND('STERLING CATALOG - FZN &amp; CHILL'!C994,"AAAAAFmqb3c=")</f>
        <v>#VALUE!</v>
      </c>
      <c r="DQ287" t="e">
        <f>AND('STERLING CATALOG - FZN &amp; CHILL'!D994,"AAAAAFmqb3g=")</f>
        <v>#VALUE!</v>
      </c>
      <c r="DR287" t="e">
        <f>AND('STERLING CATALOG - FZN &amp; CHILL'!E994,"AAAAAFmqb3k=")</f>
        <v>#VALUE!</v>
      </c>
      <c r="DS287" t="e">
        <f>AND('STERLING CATALOG - FZN &amp; CHILL'!F994,"AAAAAFmqb3o=")</f>
        <v>#VALUE!</v>
      </c>
      <c r="DT287" t="e">
        <f>AND('STERLING CATALOG - FZN &amp; CHILL'!G994,"AAAAAFmqb3s=")</f>
        <v>#VALUE!</v>
      </c>
      <c r="DU287" t="e">
        <f>AND('STERLING CATALOG - FZN &amp; CHILL'!H994,"AAAAAFmqb3w=")</f>
        <v>#VALUE!</v>
      </c>
      <c r="DV287" t="e">
        <f>AND('STERLING CATALOG - FZN &amp; CHILL'!I994,"AAAAAFmqb30=")</f>
        <v>#VALUE!</v>
      </c>
      <c r="DW287" t="e">
        <f>AND('STERLING CATALOG - FZN &amp; CHILL'!J994,"AAAAAFmqb34=")</f>
        <v>#VALUE!</v>
      </c>
      <c r="DX287">
        <f>IF('STERLING CATALOG - FZN &amp; CHILL'!995:995,"AAAAAFmqb38=",0)</f>
        <v>0</v>
      </c>
      <c r="DY287" t="e">
        <f>AND('STERLING CATALOG - FZN &amp; CHILL'!A995,"AAAAAFmqb4A=")</f>
        <v>#VALUE!</v>
      </c>
      <c r="DZ287" t="e">
        <f>AND('STERLING CATALOG - FZN &amp; CHILL'!B995,"AAAAAFmqb4E=")</f>
        <v>#VALUE!</v>
      </c>
      <c r="EA287" t="e">
        <f>AND('STERLING CATALOG - FZN &amp; CHILL'!C995,"AAAAAFmqb4I=")</f>
        <v>#VALUE!</v>
      </c>
      <c r="EB287" t="e">
        <f>AND('STERLING CATALOG - FZN &amp; CHILL'!D995,"AAAAAFmqb4M=")</f>
        <v>#VALUE!</v>
      </c>
      <c r="EC287" t="e">
        <f>AND('STERLING CATALOG - FZN &amp; CHILL'!E995,"AAAAAFmqb4Q=")</f>
        <v>#VALUE!</v>
      </c>
      <c r="ED287" t="e">
        <f>AND('STERLING CATALOG - FZN &amp; CHILL'!F995,"AAAAAFmqb4U=")</f>
        <v>#VALUE!</v>
      </c>
      <c r="EE287" t="e">
        <f>AND('STERLING CATALOG - FZN &amp; CHILL'!G995,"AAAAAFmqb4Y=")</f>
        <v>#VALUE!</v>
      </c>
      <c r="EF287" t="e">
        <f>AND('STERLING CATALOG - FZN &amp; CHILL'!H995,"AAAAAFmqb4c=")</f>
        <v>#VALUE!</v>
      </c>
      <c r="EG287" t="e">
        <f>AND('STERLING CATALOG - FZN &amp; CHILL'!I995,"AAAAAFmqb4g=")</f>
        <v>#VALUE!</v>
      </c>
      <c r="EH287" t="e">
        <f>AND('STERLING CATALOG - FZN &amp; CHILL'!J995,"AAAAAFmqb4k=")</f>
        <v>#VALUE!</v>
      </c>
      <c r="EI287">
        <f>IF('STERLING CATALOG - FZN &amp; CHILL'!996:996,"AAAAAFmqb4o=",0)</f>
        <v>0</v>
      </c>
      <c r="EJ287" t="e">
        <f>AND('STERLING CATALOG - FZN &amp; CHILL'!A996,"AAAAAFmqb4s=")</f>
        <v>#VALUE!</v>
      </c>
      <c r="EK287" t="e">
        <f>AND('STERLING CATALOG - FZN &amp; CHILL'!B996,"AAAAAFmqb4w=")</f>
        <v>#VALUE!</v>
      </c>
      <c r="EL287" t="e">
        <f>AND('STERLING CATALOG - FZN &amp; CHILL'!C996,"AAAAAFmqb40=")</f>
        <v>#VALUE!</v>
      </c>
      <c r="EM287" t="e">
        <f>AND('STERLING CATALOG - FZN &amp; CHILL'!D996,"AAAAAFmqb44=")</f>
        <v>#VALUE!</v>
      </c>
      <c r="EN287" t="e">
        <f>AND('STERLING CATALOG - FZN &amp; CHILL'!E996,"AAAAAFmqb48=")</f>
        <v>#VALUE!</v>
      </c>
      <c r="EO287" t="e">
        <f>AND('STERLING CATALOG - FZN &amp; CHILL'!F996,"AAAAAFmqb5A=")</f>
        <v>#VALUE!</v>
      </c>
      <c r="EP287" t="e">
        <f>AND('STERLING CATALOG - FZN &amp; CHILL'!G996,"AAAAAFmqb5E=")</f>
        <v>#VALUE!</v>
      </c>
      <c r="EQ287" t="e">
        <f>AND('STERLING CATALOG - FZN &amp; CHILL'!H996,"AAAAAFmqb5I=")</f>
        <v>#VALUE!</v>
      </c>
      <c r="ER287" t="e">
        <f>AND('STERLING CATALOG - FZN &amp; CHILL'!I996,"AAAAAFmqb5M=")</f>
        <v>#VALUE!</v>
      </c>
      <c r="ES287" t="e">
        <f>AND('STERLING CATALOG - FZN &amp; CHILL'!J996,"AAAAAFmqb5Q=")</f>
        <v>#VALUE!</v>
      </c>
      <c r="ET287">
        <f>IF('STERLING CATALOG - FZN &amp; CHILL'!997:997,"AAAAAFmqb5U=",0)</f>
        <v>0</v>
      </c>
      <c r="EU287" t="e">
        <f>AND('STERLING CATALOG - FZN &amp; CHILL'!A997,"AAAAAFmqb5Y=")</f>
        <v>#VALUE!</v>
      </c>
      <c r="EV287" t="e">
        <f>AND('STERLING CATALOG - FZN &amp; CHILL'!B997,"AAAAAFmqb5c=")</f>
        <v>#VALUE!</v>
      </c>
      <c r="EW287" t="e">
        <f>AND('STERLING CATALOG - FZN &amp; CHILL'!C997,"AAAAAFmqb5g=")</f>
        <v>#VALUE!</v>
      </c>
      <c r="EX287" t="e">
        <f>AND('STERLING CATALOG - FZN &amp; CHILL'!D997,"AAAAAFmqb5k=")</f>
        <v>#VALUE!</v>
      </c>
      <c r="EY287" t="e">
        <f>AND('STERLING CATALOG - FZN &amp; CHILL'!E997,"AAAAAFmqb5o=")</f>
        <v>#VALUE!</v>
      </c>
      <c r="EZ287" t="e">
        <f>AND('STERLING CATALOG - FZN &amp; CHILL'!F997,"AAAAAFmqb5s=")</f>
        <v>#VALUE!</v>
      </c>
      <c r="FA287" t="e">
        <f>AND('STERLING CATALOG - FZN &amp; CHILL'!G997,"AAAAAFmqb5w=")</f>
        <v>#VALUE!</v>
      </c>
      <c r="FB287" t="e">
        <f>AND('STERLING CATALOG - FZN &amp; CHILL'!H997,"AAAAAFmqb50=")</f>
        <v>#VALUE!</v>
      </c>
      <c r="FC287" t="e">
        <f>AND('STERLING CATALOG - FZN &amp; CHILL'!I997,"AAAAAFmqb54=")</f>
        <v>#VALUE!</v>
      </c>
      <c r="FD287" t="e">
        <f>AND('STERLING CATALOG - FZN &amp; CHILL'!J997,"AAAAAFmqb58=")</f>
        <v>#VALUE!</v>
      </c>
      <c r="FE287">
        <f>IF('STERLING CATALOG - FZN &amp; CHILL'!998:998,"AAAAAFmqb6A=",0)</f>
        <v>0</v>
      </c>
      <c r="FF287" t="e">
        <f>AND('STERLING CATALOG - FZN &amp; CHILL'!A998,"AAAAAFmqb6E=")</f>
        <v>#VALUE!</v>
      </c>
      <c r="FG287" t="e">
        <f>AND('STERLING CATALOG - FZN &amp; CHILL'!B998,"AAAAAFmqb6I=")</f>
        <v>#VALUE!</v>
      </c>
      <c r="FH287" t="e">
        <f>AND('STERLING CATALOG - FZN &amp; CHILL'!C998,"AAAAAFmqb6M=")</f>
        <v>#VALUE!</v>
      </c>
      <c r="FI287" t="e">
        <f>AND('STERLING CATALOG - FZN &amp; CHILL'!D998,"AAAAAFmqb6Q=")</f>
        <v>#VALUE!</v>
      </c>
      <c r="FJ287" t="e">
        <f>AND('STERLING CATALOG - FZN &amp; CHILL'!E998,"AAAAAFmqb6U=")</f>
        <v>#VALUE!</v>
      </c>
      <c r="FK287" t="e">
        <f>AND('STERLING CATALOG - FZN &amp; CHILL'!F998,"AAAAAFmqb6Y=")</f>
        <v>#VALUE!</v>
      </c>
      <c r="FL287" t="e">
        <f>AND('STERLING CATALOG - FZN &amp; CHILL'!G998,"AAAAAFmqb6c=")</f>
        <v>#VALUE!</v>
      </c>
      <c r="FM287" t="e">
        <f>AND('STERLING CATALOG - FZN &amp; CHILL'!H998,"AAAAAFmqb6g=")</f>
        <v>#VALUE!</v>
      </c>
      <c r="FN287" t="e">
        <f>AND('STERLING CATALOG - FZN &amp; CHILL'!I998,"AAAAAFmqb6k=")</f>
        <v>#VALUE!</v>
      </c>
      <c r="FO287" t="e">
        <f>AND('STERLING CATALOG - FZN &amp; CHILL'!J998,"AAAAAFmqb6o=")</f>
        <v>#VALUE!</v>
      </c>
      <c r="FP287">
        <f>IF('STERLING CATALOG - FZN &amp; CHILL'!999:999,"AAAAAFmqb6s=",0)</f>
        <v>0</v>
      </c>
      <c r="FQ287" t="e">
        <f>AND('STERLING CATALOG - FZN &amp; CHILL'!A999,"AAAAAFmqb6w=")</f>
        <v>#VALUE!</v>
      </c>
      <c r="FR287" t="e">
        <f>AND('STERLING CATALOG - FZN &amp; CHILL'!B999,"AAAAAFmqb60=")</f>
        <v>#VALUE!</v>
      </c>
      <c r="FS287" t="e">
        <f>AND('STERLING CATALOG - FZN &amp; CHILL'!C999,"AAAAAFmqb64=")</f>
        <v>#VALUE!</v>
      </c>
      <c r="FT287" t="e">
        <f>AND('STERLING CATALOG - FZN &amp; CHILL'!D999,"AAAAAFmqb68=")</f>
        <v>#VALUE!</v>
      </c>
      <c r="FU287" t="e">
        <f>AND('STERLING CATALOG - FZN &amp; CHILL'!E999,"AAAAAFmqb7A=")</f>
        <v>#VALUE!</v>
      </c>
      <c r="FV287" t="e">
        <f>AND('STERLING CATALOG - FZN &amp; CHILL'!F999,"AAAAAFmqb7E=")</f>
        <v>#VALUE!</v>
      </c>
      <c r="FW287" t="e">
        <f>AND('STERLING CATALOG - FZN &amp; CHILL'!G999,"AAAAAFmqb7I=")</f>
        <v>#VALUE!</v>
      </c>
      <c r="FX287" t="e">
        <f>AND('STERLING CATALOG - FZN &amp; CHILL'!H999,"AAAAAFmqb7M=")</f>
        <v>#VALUE!</v>
      </c>
      <c r="FY287" t="e">
        <f>AND('STERLING CATALOG - FZN &amp; CHILL'!I999,"AAAAAFmqb7Q=")</f>
        <v>#VALUE!</v>
      </c>
      <c r="FZ287" t="e">
        <f>AND('STERLING CATALOG - FZN &amp; CHILL'!J999,"AAAAAFmqb7U=")</f>
        <v>#VALUE!</v>
      </c>
      <c r="GA287">
        <f>IF('STERLING CATALOG - FZN &amp; CHILL'!1000:1000,"AAAAAFmqb7Y=",0)</f>
        <v>0</v>
      </c>
      <c r="GB287" t="e">
        <f>AND('STERLING CATALOG - FZN &amp; CHILL'!A1000,"AAAAAFmqb7c=")</f>
        <v>#VALUE!</v>
      </c>
      <c r="GC287" t="e">
        <f>AND('STERLING CATALOG - FZN &amp; CHILL'!B1000,"AAAAAFmqb7g=")</f>
        <v>#VALUE!</v>
      </c>
      <c r="GD287" t="e">
        <f>AND('STERLING CATALOG - FZN &amp; CHILL'!C1000,"AAAAAFmqb7k=")</f>
        <v>#VALUE!</v>
      </c>
      <c r="GE287" t="e">
        <f>AND('STERLING CATALOG - FZN &amp; CHILL'!D1000,"AAAAAFmqb7o=")</f>
        <v>#VALUE!</v>
      </c>
      <c r="GF287" t="e">
        <f>AND('STERLING CATALOG - FZN &amp; CHILL'!E1000,"AAAAAFmqb7s=")</f>
        <v>#VALUE!</v>
      </c>
      <c r="GG287" t="e">
        <f>AND('STERLING CATALOG - FZN &amp; CHILL'!F1000,"AAAAAFmqb7w=")</f>
        <v>#VALUE!</v>
      </c>
      <c r="GH287" t="e">
        <f>AND('STERLING CATALOG - FZN &amp; CHILL'!G1000,"AAAAAFmqb70=")</f>
        <v>#VALUE!</v>
      </c>
      <c r="GI287" t="e">
        <f>AND('STERLING CATALOG - FZN &amp; CHILL'!H1000,"AAAAAFmqb74=")</f>
        <v>#VALUE!</v>
      </c>
      <c r="GJ287" t="e">
        <f>AND('STERLING CATALOG - FZN &amp; CHILL'!I1000,"AAAAAFmqb78=")</f>
        <v>#VALUE!</v>
      </c>
      <c r="GK287" t="e">
        <f>AND('STERLING CATALOG - FZN &amp; CHILL'!J1000,"AAAAAFmqb8A=")</f>
        <v>#VALUE!</v>
      </c>
      <c r="GL287">
        <f>IF('STERLING CATALOG - FZN &amp; CHILL'!1001:1001,"AAAAAFmqb8E=",0)</f>
        <v>0</v>
      </c>
      <c r="GM287" t="e">
        <f>AND('STERLING CATALOG - FZN &amp; CHILL'!A1001,"AAAAAFmqb8I=")</f>
        <v>#VALUE!</v>
      </c>
      <c r="GN287" t="e">
        <f>AND('STERLING CATALOG - FZN &amp; CHILL'!B1001,"AAAAAFmqb8M=")</f>
        <v>#VALUE!</v>
      </c>
      <c r="GO287" t="e">
        <f>AND('STERLING CATALOG - FZN &amp; CHILL'!C1001,"AAAAAFmqb8Q=")</f>
        <v>#VALUE!</v>
      </c>
      <c r="GP287" t="e">
        <f>AND('STERLING CATALOG - FZN &amp; CHILL'!D1001,"AAAAAFmqb8U=")</f>
        <v>#VALUE!</v>
      </c>
      <c r="GQ287" t="e">
        <f>AND('STERLING CATALOG - FZN &amp; CHILL'!E1001,"AAAAAFmqb8Y=")</f>
        <v>#VALUE!</v>
      </c>
      <c r="GR287" t="e">
        <f>AND('STERLING CATALOG - FZN &amp; CHILL'!F1001,"AAAAAFmqb8c=")</f>
        <v>#VALUE!</v>
      </c>
      <c r="GS287" t="e">
        <f>AND('STERLING CATALOG - FZN &amp; CHILL'!G1001,"AAAAAFmqb8g=")</f>
        <v>#VALUE!</v>
      </c>
      <c r="GT287" t="e">
        <f>AND('STERLING CATALOG - FZN &amp; CHILL'!H1001,"AAAAAFmqb8k=")</f>
        <v>#VALUE!</v>
      </c>
      <c r="GU287" t="e">
        <f>AND('STERLING CATALOG - FZN &amp; CHILL'!I1001,"AAAAAFmqb8o=")</f>
        <v>#VALUE!</v>
      </c>
      <c r="GV287" t="e">
        <f>AND('STERLING CATALOG - FZN &amp; CHILL'!J1001,"AAAAAFmqb8s=")</f>
        <v>#VALUE!</v>
      </c>
      <c r="GW287">
        <f>IF('STERLING CATALOG - FZN &amp; CHILL'!1002:1002,"AAAAAFmqb8w=",0)</f>
        <v>0</v>
      </c>
      <c r="GX287" t="e">
        <f>AND('STERLING CATALOG - FZN &amp; CHILL'!A1002,"AAAAAFmqb80=")</f>
        <v>#VALUE!</v>
      </c>
      <c r="GY287" t="e">
        <f>AND('STERLING CATALOG - FZN &amp; CHILL'!B1002,"AAAAAFmqb84=")</f>
        <v>#VALUE!</v>
      </c>
      <c r="GZ287" t="e">
        <f>AND('STERLING CATALOG - FZN &amp; CHILL'!C1002,"AAAAAFmqb88=")</f>
        <v>#VALUE!</v>
      </c>
      <c r="HA287" t="e">
        <f>AND('STERLING CATALOG - FZN &amp; CHILL'!D1002,"AAAAAFmqb9A=")</f>
        <v>#VALUE!</v>
      </c>
      <c r="HB287" t="e">
        <f>AND('STERLING CATALOG - FZN &amp; CHILL'!E1002,"AAAAAFmqb9E=")</f>
        <v>#VALUE!</v>
      </c>
      <c r="HC287" t="e">
        <f>AND('STERLING CATALOG - FZN &amp; CHILL'!F1002,"AAAAAFmqb9I=")</f>
        <v>#VALUE!</v>
      </c>
      <c r="HD287" t="e">
        <f>AND('STERLING CATALOG - FZN &amp; CHILL'!G1002,"AAAAAFmqb9M=")</f>
        <v>#VALUE!</v>
      </c>
      <c r="HE287" t="e">
        <f>AND('STERLING CATALOG - FZN &amp; CHILL'!H1002,"AAAAAFmqb9Q=")</f>
        <v>#VALUE!</v>
      </c>
      <c r="HF287" t="e">
        <f>AND('STERLING CATALOG - FZN &amp; CHILL'!I1002,"AAAAAFmqb9U=")</f>
        <v>#VALUE!</v>
      </c>
      <c r="HG287" t="e">
        <f>AND('STERLING CATALOG - FZN &amp; CHILL'!J1002,"AAAAAFmqb9Y=")</f>
        <v>#VALUE!</v>
      </c>
      <c r="HH287">
        <f>IF('STERLING CATALOG - FZN &amp; CHILL'!1003:1003,"AAAAAFmqb9c=",0)</f>
        <v>0</v>
      </c>
      <c r="HI287" t="e">
        <f>AND('STERLING CATALOG - FZN &amp; CHILL'!A1003,"AAAAAFmqb9g=")</f>
        <v>#VALUE!</v>
      </c>
      <c r="HJ287" t="e">
        <f>AND('STERLING CATALOG - FZN &amp; CHILL'!B1003,"AAAAAFmqb9k=")</f>
        <v>#VALUE!</v>
      </c>
      <c r="HK287" t="e">
        <f>AND('STERLING CATALOG - FZN &amp; CHILL'!C1003,"AAAAAFmqb9o=")</f>
        <v>#VALUE!</v>
      </c>
      <c r="HL287" t="e">
        <f>AND('STERLING CATALOG - FZN &amp; CHILL'!D1003,"AAAAAFmqb9s=")</f>
        <v>#VALUE!</v>
      </c>
      <c r="HM287" t="e">
        <f>AND('STERLING CATALOG - FZN &amp; CHILL'!E1003,"AAAAAFmqb9w=")</f>
        <v>#VALUE!</v>
      </c>
      <c r="HN287" t="e">
        <f>AND('STERLING CATALOG - FZN &amp; CHILL'!F1003,"AAAAAFmqb90=")</f>
        <v>#VALUE!</v>
      </c>
      <c r="HO287" t="e">
        <f>AND('STERLING CATALOG - FZN &amp; CHILL'!G1003,"AAAAAFmqb94=")</f>
        <v>#VALUE!</v>
      </c>
      <c r="HP287" t="e">
        <f>AND('STERLING CATALOG - FZN &amp; CHILL'!H1003,"AAAAAFmqb98=")</f>
        <v>#VALUE!</v>
      </c>
      <c r="HQ287" t="e">
        <f>AND('STERLING CATALOG - FZN &amp; CHILL'!I1003,"AAAAAFmqb+A=")</f>
        <v>#VALUE!</v>
      </c>
      <c r="HR287" t="e">
        <f>AND('STERLING CATALOG - FZN &amp; CHILL'!J1003,"AAAAAFmqb+E=")</f>
        <v>#VALUE!</v>
      </c>
      <c r="HS287">
        <f>IF('STERLING CATALOG - FZN &amp; CHILL'!1004:1004,"AAAAAFmqb+I=",0)</f>
        <v>0</v>
      </c>
      <c r="HT287" t="e">
        <f>AND('STERLING CATALOG - FZN &amp; CHILL'!A1004,"AAAAAFmqb+M=")</f>
        <v>#VALUE!</v>
      </c>
      <c r="HU287" t="e">
        <f>AND('STERLING CATALOG - FZN &amp; CHILL'!B1004,"AAAAAFmqb+Q=")</f>
        <v>#VALUE!</v>
      </c>
      <c r="HV287" t="e">
        <f>AND('STERLING CATALOG - FZN &amp; CHILL'!C1004,"AAAAAFmqb+U=")</f>
        <v>#VALUE!</v>
      </c>
      <c r="HW287" t="e">
        <f>AND('STERLING CATALOG - FZN &amp; CHILL'!D1004,"AAAAAFmqb+Y=")</f>
        <v>#VALUE!</v>
      </c>
      <c r="HX287" t="e">
        <f>AND('STERLING CATALOG - FZN &amp; CHILL'!E1004,"AAAAAFmqb+c=")</f>
        <v>#VALUE!</v>
      </c>
      <c r="HY287" t="e">
        <f>AND('STERLING CATALOG - FZN &amp; CHILL'!F1004,"AAAAAFmqb+g=")</f>
        <v>#VALUE!</v>
      </c>
      <c r="HZ287" t="e">
        <f>AND('STERLING CATALOG - FZN &amp; CHILL'!G1004,"AAAAAFmqb+k=")</f>
        <v>#VALUE!</v>
      </c>
      <c r="IA287" t="e">
        <f>AND('STERLING CATALOG - FZN &amp; CHILL'!H1004,"AAAAAFmqb+o=")</f>
        <v>#VALUE!</v>
      </c>
      <c r="IB287" t="e">
        <f>AND('STERLING CATALOG - FZN &amp; CHILL'!I1004,"AAAAAFmqb+s=")</f>
        <v>#VALUE!</v>
      </c>
      <c r="IC287" t="e">
        <f>AND('STERLING CATALOG - FZN &amp; CHILL'!J1004,"AAAAAFmqb+w=")</f>
        <v>#VALUE!</v>
      </c>
      <c r="ID287">
        <f>IF('STERLING CATALOG - FZN &amp; CHILL'!1005:1005,"AAAAAFmqb+0=",0)</f>
        <v>0</v>
      </c>
      <c r="IE287" t="e">
        <f>AND('STERLING CATALOG - FZN &amp; CHILL'!A1005,"AAAAAFmqb+4=")</f>
        <v>#VALUE!</v>
      </c>
      <c r="IF287" t="e">
        <f>AND('STERLING CATALOG - FZN &amp; CHILL'!B1005,"AAAAAFmqb+8=")</f>
        <v>#VALUE!</v>
      </c>
      <c r="IG287" t="e">
        <f>AND('STERLING CATALOG - FZN &amp; CHILL'!C1005,"AAAAAFmqb/A=")</f>
        <v>#VALUE!</v>
      </c>
      <c r="IH287" t="e">
        <f>AND('STERLING CATALOG - FZN &amp; CHILL'!D1005,"AAAAAFmqb/E=")</f>
        <v>#VALUE!</v>
      </c>
      <c r="II287" t="e">
        <f>AND('STERLING CATALOG - FZN &amp; CHILL'!E1005,"AAAAAFmqb/I=")</f>
        <v>#VALUE!</v>
      </c>
      <c r="IJ287" t="e">
        <f>AND('STERLING CATALOG - FZN &amp; CHILL'!F1005,"AAAAAFmqb/M=")</f>
        <v>#VALUE!</v>
      </c>
      <c r="IK287" t="e">
        <f>AND('STERLING CATALOG - FZN &amp; CHILL'!G1005,"AAAAAFmqb/Q=")</f>
        <v>#VALUE!</v>
      </c>
      <c r="IL287" t="e">
        <f>AND('STERLING CATALOG - FZN &amp; CHILL'!H1005,"AAAAAFmqb/U=")</f>
        <v>#VALUE!</v>
      </c>
      <c r="IM287" t="e">
        <f>AND('STERLING CATALOG - FZN &amp; CHILL'!I1005,"AAAAAFmqb/Y=")</f>
        <v>#VALUE!</v>
      </c>
      <c r="IN287" t="e">
        <f>AND('STERLING CATALOG - FZN &amp; CHILL'!J1005,"AAAAAFmqb/c=")</f>
        <v>#VALUE!</v>
      </c>
      <c r="IO287">
        <f>IF('STERLING CATALOG - FZN &amp; CHILL'!1006:1006,"AAAAAFmqb/g=",0)</f>
        <v>0</v>
      </c>
      <c r="IP287" t="e">
        <f>AND('STERLING CATALOG - FZN &amp; CHILL'!A1006,"AAAAAFmqb/k=")</f>
        <v>#VALUE!</v>
      </c>
      <c r="IQ287" t="e">
        <f>AND('STERLING CATALOG - FZN &amp; CHILL'!B1006,"AAAAAFmqb/o=")</f>
        <v>#VALUE!</v>
      </c>
      <c r="IR287" t="e">
        <f>AND('STERLING CATALOG - FZN &amp; CHILL'!C1006,"AAAAAFmqb/s=")</f>
        <v>#VALUE!</v>
      </c>
      <c r="IS287" t="e">
        <f>AND('STERLING CATALOG - FZN &amp; CHILL'!D1006,"AAAAAFmqb/w=")</f>
        <v>#VALUE!</v>
      </c>
      <c r="IT287" t="e">
        <f>AND('STERLING CATALOG - FZN &amp; CHILL'!E1006,"AAAAAFmqb/0=")</f>
        <v>#VALUE!</v>
      </c>
      <c r="IU287" t="e">
        <f>AND('STERLING CATALOG - FZN &amp; CHILL'!F1006,"AAAAAFmqb/4=")</f>
        <v>#VALUE!</v>
      </c>
      <c r="IV287" t="e">
        <f>AND('STERLING CATALOG - FZN &amp; CHILL'!G1006,"AAAAAFmqb/8=")</f>
        <v>#VALUE!</v>
      </c>
    </row>
    <row r="288" spans="1:256">
      <c r="A288" t="e">
        <f>AND('STERLING CATALOG - FZN &amp; CHILL'!H1006,"AAAAAH/f/wA=")</f>
        <v>#VALUE!</v>
      </c>
      <c r="B288" t="e">
        <f>AND('STERLING CATALOG - FZN &amp; CHILL'!I1006,"AAAAAH/f/wE=")</f>
        <v>#VALUE!</v>
      </c>
      <c r="C288" t="e">
        <f>AND('STERLING CATALOG - FZN &amp; CHILL'!J1006,"AAAAAH/f/wI=")</f>
        <v>#VALUE!</v>
      </c>
      <c r="D288" t="e">
        <f>IF('STERLING CATALOG - FZN &amp; CHILL'!1007:1007,"AAAAAH/f/wM=",0)</f>
        <v>#VALUE!</v>
      </c>
      <c r="E288" t="e">
        <f>AND('STERLING CATALOG - FZN &amp; CHILL'!A1007,"AAAAAH/f/wQ=")</f>
        <v>#VALUE!</v>
      </c>
      <c r="F288" t="e">
        <f>AND('STERLING CATALOG - FZN &amp; CHILL'!B1007,"AAAAAH/f/wU=")</f>
        <v>#VALUE!</v>
      </c>
      <c r="G288" t="e">
        <f>AND('STERLING CATALOG - FZN &amp; CHILL'!C1007,"AAAAAH/f/wY=")</f>
        <v>#VALUE!</v>
      </c>
      <c r="H288" t="e">
        <f>AND('STERLING CATALOG - FZN &amp; CHILL'!D1007,"AAAAAH/f/wc=")</f>
        <v>#VALUE!</v>
      </c>
      <c r="I288" t="e">
        <f>AND('STERLING CATALOG - FZN &amp; CHILL'!E1007,"AAAAAH/f/wg=")</f>
        <v>#VALUE!</v>
      </c>
      <c r="J288" t="e">
        <f>AND('STERLING CATALOG - FZN &amp; CHILL'!F1007,"AAAAAH/f/wk=")</f>
        <v>#VALUE!</v>
      </c>
      <c r="K288" t="e">
        <f>AND('STERLING CATALOG - FZN &amp; CHILL'!G1007,"AAAAAH/f/wo=")</f>
        <v>#VALUE!</v>
      </c>
      <c r="L288" t="e">
        <f>AND('STERLING CATALOG - FZN &amp; CHILL'!H1007,"AAAAAH/f/ws=")</f>
        <v>#VALUE!</v>
      </c>
      <c r="M288" t="e">
        <f>AND('STERLING CATALOG - FZN &amp; CHILL'!I1007,"AAAAAH/f/ww=")</f>
        <v>#VALUE!</v>
      </c>
      <c r="N288" t="e">
        <f>AND('STERLING CATALOG - FZN &amp; CHILL'!J1007,"AAAAAH/f/w0=")</f>
        <v>#VALUE!</v>
      </c>
      <c r="O288">
        <f>IF('STERLING CATALOG - FZN &amp; CHILL'!1008:1008,"AAAAAH/f/w4=",0)</f>
        <v>0</v>
      </c>
      <c r="P288" t="e">
        <f>AND('STERLING CATALOG - FZN &amp; CHILL'!A1008,"AAAAAH/f/w8=")</f>
        <v>#VALUE!</v>
      </c>
      <c r="Q288" t="e">
        <f>AND('STERLING CATALOG - FZN &amp; CHILL'!B1008,"AAAAAH/f/xA=")</f>
        <v>#VALUE!</v>
      </c>
      <c r="R288" t="e">
        <f>AND('STERLING CATALOG - FZN &amp; CHILL'!C1008,"AAAAAH/f/xE=")</f>
        <v>#VALUE!</v>
      </c>
      <c r="S288" t="e">
        <f>AND('STERLING CATALOG - FZN &amp; CHILL'!D1008,"AAAAAH/f/xI=")</f>
        <v>#VALUE!</v>
      </c>
      <c r="T288" t="e">
        <f>AND('STERLING CATALOG - FZN &amp; CHILL'!E1008,"AAAAAH/f/xM=")</f>
        <v>#VALUE!</v>
      </c>
      <c r="U288" t="e">
        <f>AND('STERLING CATALOG - FZN &amp; CHILL'!F1008,"AAAAAH/f/xQ=")</f>
        <v>#VALUE!</v>
      </c>
      <c r="V288" t="e">
        <f>AND('STERLING CATALOG - FZN &amp; CHILL'!G1008,"AAAAAH/f/xU=")</f>
        <v>#VALUE!</v>
      </c>
      <c r="W288" t="e">
        <f>AND('STERLING CATALOG - FZN &amp; CHILL'!H1008,"AAAAAH/f/xY=")</f>
        <v>#VALUE!</v>
      </c>
      <c r="X288" t="e">
        <f>AND('STERLING CATALOG - FZN &amp; CHILL'!I1008,"AAAAAH/f/xc=")</f>
        <v>#VALUE!</v>
      </c>
      <c r="Y288" t="e">
        <f>AND('STERLING CATALOG - FZN &amp; CHILL'!J1008,"AAAAAH/f/xg=")</f>
        <v>#VALUE!</v>
      </c>
      <c r="Z288">
        <f>IF('STERLING CATALOG - FZN &amp; CHILL'!1009:1009,"AAAAAH/f/xk=",0)</f>
        <v>0</v>
      </c>
      <c r="AA288" t="e">
        <f>AND('STERLING CATALOG - FZN &amp; CHILL'!A1009,"AAAAAH/f/xo=")</f>
        <v>#VALUE!</v>
      </c>
      <c r="AB288" t="e">
        <f>AND('STERLING CATALOG - FZN &amp; CHILL'!B1009,"AAAAAH/f/xs=")</f>
        <v>#VALUE!</v>
      </c>
      <c r="AC288" t="e">
        <f>AND('STERLING CATALOG - FZN &amp; CHILL'!C1009,"AAAAAH/f/xw=")</f>
        <v>#VALUE!</v>
      </c>
      <c r="AD288" t="e">
        <f>AND('STERLING CATALOG - FZN &amp; CHILL'!D1009,"AAAAAH/f/x0=")</f>
        <v>#VALUE!</v>
      </c>
      <c r="AE288" t="e">
        <f>AND('STERLING CATALOG - FZN &amp; CHILL'!E1009,"AAAAAH/f/x4=")</f>
        <v>#VALUE!</v>
      </c>
      <c r="AF288" t="e">
        <f>AND('STERLING CATALOG - FZN &amp; CHILL'!F1009,"AAAAAH/f/x8=")</f>
        <v>#VALUE!</v>
      </c>
      <c r="AG288" t="e">
        <f>AND('STERLING CATALOG - FZN &amp; CHILL'!G1009,"AAAAAH/f/yA=")</f>
        <v>#VALUE!</v>
      </c>
      <c r="AH288" t="e">
        <f>AND('STERLING CATALOG - FZN &amp; CHILL'!H1009,"AAAAAH/f/yE=")</f>
        <v>#VALUE!</v>
      </c>
      <c r="AI288" t="e">
        <f>AND('STERLING CATALOG - FZN &amp; CHILL'!I1009,"AAAAAH/f/yI=")</f>
        <v>#VALUE!</v>
      </c>
      <c r="AJ288" t="e">
        <f>AND('STERLING CATALOG - FZN &amp; CHILL'!J1009,"AAAAAH/f/yM=")</f>
        <v>#VALUE!</v>
      </c>
      <c r="AK288">
        <f>IF('STERLING CATALOG - FZN &amp; CHILL'!1010:1010,"AAAAAH/f/yQ=",0)</f>
        <v>0</v>
      </c>
      <c r="AL288" t="e">
        <f>AND('STERLING CATALOG - FZN &amp; CHILL'!A1010,"AAAAAH/f/yU=")</f>
        <v>#VALUE!</v>
      </c>
      <c r="AM288" t="e">
        <f>AND('STERLING CATALOG - FZN &amp; CHILL'!B1010,"AAAAAH/f/yY=")</f>
        <v>#VALUE!</v>
      </c>
      <c r="AN288" t="e">
        <f>AND('STERLING CATALOG - FZN &amp; CHILL'!C1010,"AAAAAH/f/yc=")</f>
        <v>#VALUE!</v>
      </c>
      <c r="AO288" t="e">
        <f>AND('STERLING CATALOG - FZN &amp; CHILL'!D1010,"AAAAAH/f/yg=")</f>
        <v>#VALUE!</v>
      </c>
      <c r="AP288" t="e">
        <f>AND('STERLING CATALOG - FZN &amp; CHILL'!E1010,"AAAAAH/f/yk=")</f>
        <v>#VALUE!</v>
      </c>
      <c r="AQ288" t="e">
        <f>AND('STERLING CATALOG - FZN &amp; CHILL'!F1010,"AAAAAH/f/yo=")</f>
        <v>#VALUE!</v>
      </c>
      <c r="AR288" t="e">
        <f>AND('STERLING CATALOG - FZN &amp; CHILL'!G1010,"AAAAAH/f/ys=")</f>
        <v>#VALUE!</v>
      </c>
      <c r="AS288" t="e">
        <f>AND('STERLING CATALOG - FZN &amp; CHILL'!H1010,"AAAAAH/f/yw=")</f>
        <v>#VALUE!</v>
      </c>
      <c r="AT288" t="e">
        <f>AND('STERLING CATALOG - FZN &amp; CHILL'!I1010,"AAAAAH/f/y0=")</f>
        <v>#VALUE!</v>
      </c>
      <c r="AU288" t="e">
        <f>AND('STERLING CATALOG - FZN &amp; CHILL'!J1010,"AAAAAH/f/y4=")</f>
        <v>#VALUE!</v>
      </c>
      <c r="AV288">
        <f>IF('STERLING CATALOG - FZN &amp; CHILL'!1011:1011,"AAAAAH/f/y8=",0)</f>
        <v>0</v>
      </c>
      <c r="AW288" t="e">
        <f>AND('STERLING CATALOG - FZN &amp; CHILL'!A1011,"AAAAAH/f/zA=")</f>
        <v>#VALUE!</v>
      </c>
      <c r="AX288" t="e">
        <f>AND('STERLING CATALOG - FZN &amp; CHILL'!B1011,"AAAAAH/f/zE=")</f>
        <v>#VALUE!</v>
      </c>
      <c r="AY288" t="e">
        <f>AND('STERLING CATALOG - FZN &amp; CHILL'!C1011,"AAAAAH/f/zI=")</f>
        <v>#VALUE!</v>
      </c>
      <c r="AZ288" t="e">
        <f>AND('STERLING CATALOG - FZN &amp; CHILL'!D1011,"AAAAAH/f/zM=")</f>
        <v>#VALUE!</v>
      </c>
      <c r="BA288" t="e">
        <f>AND('STERLING CATALOG - FZN &amp; CHILL'!E1011,"AAAAAH/f/zQ=")</f>
        <v>#VALUE!</v>
      </c>
      <c r="BB288" t="e">
        <f>AND('STERLING CATALOG - FZN &amp; CHILL'!F1011,"AAAAAH/f/zU=")</f>
        <v>#VALUE!</v>
      </c>
      <c r="BC288" t="e">
        <f>AND('STERLING CATALOG - FZN &amp; CHILL'!G1011,"AAAAAH/f/zY=")</f>
        <v>#VALUE!</v>
      </c>
      <c r="BD288" t="e">
        <f>AND('STERLING CATALOG - FZN &amp; CHILL'!H1011,"AAAAAH/f/zc=")</f>
        <v>#VALUE!</v>
      </c>
      <c r="BE288" t="e">
        <f>AND('STERLING CATALOG - FZN &amp; CHILL'!I1011,"AAAAAH/f/zg=")</f>
        <v>#VALUE!</v>
      </c>
      <c r="BF288" t="e">
        <f>AND('STERLING CATALOG - FZN &amp; CHILL'!J1011,"AAAAAH/f/zk=")</f>
        <v>#VALUE!</v>
      </c>
      <c r="BG288">
        <f>IF('STERLING CATALOG - FZN &amp; CHILL'!1012:1012,"AAAAAH/f/zo=",0)</f>
        <v>0</v>
      </c>
      <c r="BH288" t="e">
        <f>AND('STERLING CATALOG - FZN &amp; CHILL'!A1012,"AAAAAH/f/zs=")</f>
        <v>#VALUE!</v>
      </c>
      <c r="BI288" t="e">
        <f>AND('STERLING CATALOG - FZN &amp; CHILL'!B1012,"AAAAAH/f/zw=")</f>
        <v>#VALUE!</v>
      </c>
      <c r="BJ288" t="e">
        <f>AND('STERLING CATALOG - FZN &amp; CHILL'!C1012,"AAAAAH/f/z0=")</f>
        <v>#VALUE!</v>
      </c>
      <c r="BK288" t="e">
        <f>AND('STERLING CATALOG - FZN &amp; CHILL'!D1012,"AAAAAH/f/z4=")</f>
        <v>#VALUE!</v>
      </c>
      <c r="BL288" t="e">
        <f>AND('STERLING CATALOG - FZN &amp; CHILL'!E1012,"AAAAAH/f/z8=")</f>
        <v>#VALUE!</v>
      </c>
      <c r="BM288" t="e">
        <f>AND('STERLING CATALOG - FZN &amp; CHILL'!F1012,"AAAAAH/f/0A=")</f>
        <v>#VALUE!</v>
      </c>
      <c r="BN288" t="e">
        <f>AND('STERLING CATALOG - FZN &amp; CHILL'!G1012,"AAAAAH/f/0E=")</f>
        <v>#VALUE!</v>
      </c>
      <c r="BO288" t="e">
        <f>AND('STERLING CATALOG - FZN &amp; CHILL'!H1012,"AAAAAH/f/0I=")</f>
        <v>#VALUE!</v>
      </c>
      <c r="BP288" t="e">
        <f>AND('STERLING CATALOG - FZN &amp; CHILL'!I1012,"AAAAAH/f/0M=")</f>
        <v>#VALUE!</v>
      </c>
      <c r="BQ288" t="e">
        <f>AND('STERLING CATALOG - FZN &amp; CHILL'!J1012,"AAAAAH/f/0Q=")</f>
        <v>#VALUE!</v>
      </c>
      <c r="BR288">
        <f>IF('STERLING CATALOG - FZN &amp; CHILL'!1013:1013,"AAAAAH/f/0U=",0)</f>
        <v>0</v>
      </c>
      <c r="BS288" t="e">
        <f>AND('STERLING CATALOG - FZN &amp; CHILL'!A1013,"AAAAAH/f/0Y=")</f>
        <v>#VALUE!</v>
      </c>
      <c r="BT288" t="e">
        <f>AND('STERLING CATALOG - FZN &amp; CHILL'!B1013,"AAAAAH/f/0c=")</f>
        <v>#VALUE!</v>
      </c>
      <c r="BU288" t="e">
        <f>AND('STERLING CATALOG - FZN &amp; CHILL'!C1013,"AAAAAH/f/0g=")</f>
        <v>#VALUE!</v>
      </c>
      <c r="BV288" t="e">
        <f>AND('STERLING CATALOG - FZN &amp; CHILL'!D1013,"AAAAAH/f/0k=")</f>
        <v>#VALUE!</v>
      </c>
      <c r="BW288" t="e">
        <f>AND('STERLING CATALOG - FZN &amp; CHILL'!E1013,"AAAAAH/f/0o=")</f>
        <v>#VALUE!</v>
      </c>
      <c r="BX288" t="e">
        <f>AND('STERLING CATALOG - FZN &amp; CHILL'!F1013,"AAAAAH/f/0s=")</f>
        <v>#VALUE!</v>
      </c>
      <c r="BY288" t="e">
        <f>AND('STERLING CATALOG - FZN &amp; CHILL'!G1013,"AAAAAH/f/0w=")</f>
        <v>#VALUE!</v>
      </c>
      <c r="BZ288" t="e">
        <f>AND('STERLING CATALOG - FZN &amp; CHILL'!H1013,"AAAAAH/f/00=")</f>
        <v>#VALUE!</v>
      </c>
      <c r="CA288" t="e">
        <f>AND('STERLING CATALOG - FZN &amp; CHILL'!I1013,"AAAAAH/f/04=")</f>
        <v>#VALUE!</v>
      </c>
      <c r="CB288" t="e">
        <f>AND('STERLING CATALOG - FZN &amp; CHILL'!J1013,"AAAAAH/f/08=")</f>
        <v>#VALUE!</v>
      </c>
      <c r="CC288">
        <f>IF('STERLING CATALOG - FZN &amp; CHILL'!1014:1014,"AAAAAH/f/1A=",0)</f>
        <v>0</v>
      </c>
      <c r="CD288" t="e">
        <f>AND('STERLING CATALOG - FZN &amp; CHILL'!A1014,"AAAAAH/f/1E=")</f>
        <v>#VALUE!</v>
      </c>
      <c r="CE288" t="e">
        <f>AND('STERLING CATALOG - FZN &amp; CHILL'!B1014,"AAAAAH/f/1I=")</f>
        <v>#VALUE!</v>
      </c>
      <c r="CF288" t="e">
        <f>AND('STERLING CATALOG - FZN &amp; CHILL'!C1014,"AAAAAH/f/1M=")</f>
        <v>#VALUE!</v>
      </c>
      <c r="CG288" t="e">
        <f>AND('STERLING CATALOG - FZN &amp; CHILL'!D1014,"AAAAAH/f/1Q=")</f>
        <v>#VALUE!</v>
      </c>
      <c r="CH288" t="e">
        <f>AND('STERLING CATALOG - FZN &amp; CHILL'!E1014,"AAAAAH/f/1U=")</f>
        <v>#VALUE!</v>
      </c>
      <c r="CI288" t="e">
        <f>AND('STERLING CATALOG - FZN &amp; CHILL'!F1014,"AAAAAH/f/1Y=")</f>
        <v>#VALUE!</v>
      </c>
      <c r="CJ288" t="e">
        <f>AND('STERLING CATALOG - FZN &amp; CHILL'!G1014,"AAAAAH/f/1c=")</f>
        <v>#VALUE!</v>
      </c>
      <c r="CK288" t="e">
        <f>AND('STERLING CATALOG - FZN &amp; CHILL'!H1014,"AAAAAH/f/1g=")</f>
        <v>#VALUE!</v>
      </c>
      <c r="CL288" t="e">
        <f>AND('STERLING CATALOG - FZN &amp; CHILL'!I1014,"AAAAAH/f/1k=")</f>
        <v>#VALUE!</v>
      </c>
      <c r="CM288" t="e">
        <f>AND('STERLING CATALOG - FZN &amp; CHILL'!J1014,"AAAAAH/f/1o=")</f>
        <v>#VALUE!</v>
      </c>
      <c r="CN288">
        <f>IF('STERLING CATALOG - FZN &amp; CHILL'!1015:1015,"AAAAAH/f/1s=",0)</f>
        <v>0</v>
      </c>
      <c r="CO288" t="e">
        <f>AND('STERLING CATALOG - FZN &amp; CHILL'!A1015,"AAAAAH/f/1w=")</f>
        <v>#VALUE!</v>
      </c>
      <c r="CP288" t="e">
        <f>AND('STERLING CATALOG - FZN &amp; CHILL'!B1015,"AAAAAH/f/10=")</f>
        <v>#VALUE!</v>
      </c>
      <c r="CQ288" t="e">
        <f>AND('STERLING CATALOG - FZN &amp; CHILL'!C1015,"AAAAAH/f/14=")</f>
        <v>#VALUE!</v>
      </c>
      <c r="CR288" t="e">
        <f>AND('STERLING CATALOG - FZN &amp; CHILL'!D1015,"AAAAAH/f/18=")</f>
        <v>#VALUE!</v>
      </c>
      <c r="CS288" t="e">
        <f>AND('STERLING CATALOG - FZN &amp; CHILL'!E1015,"AAAAAH/f/2A=")</f>
        <v>#VALUE!</v>
      </c>
      <c r="CT288" t="e">
        <f>AND('STERLING CATALOG - FZN &amp; CHILL'!F1015,"AAAAAH/f/2E=")</f>
        <v>#VALUE!</v>
      </c>
      <c r="CU288" t="e">
        <f>AND('STERLING CATALOG - FZN &amp; CHILL'!G1015,"AAAAAH/f/2I=")</f>
        <v>#VALUE!</v>
      </c>
      <c r="CV288" t="e">
        <f>AND('STERLING CATALOG - FZN &amp; CHILL'!H1015,"AAAAAH/f/2M=")</f>
        <v>#VALUE!</v>
      </c>
      <c r="CW288" t="e">
        <f>AND('STERLING CATALOG - FZN &amp; CHILL'!I1015,"AAAAAH/f/2Q=")</f>
        <v>#VALUE!</v>
      </c>
      <c r="CX288" t="e">
        <f>AND('STERLING CATALOG - FZN &amp; CHILL'!J1015,"AAAAAH/f/2U=")</f>
        <v>#VALUE!</v>
      </c>
      <c r="CY288">
        <f>IF('STERLING CATALOG - FZN &amp; CHILL'!1016:1016,"AAAAAH/f/2Y=",0)</f>
        <v>0</v>
      </c>
      <c r="CZ288" t="e">
        <f>AND('STERLING CATALOG - FZN &amp; CHILL'!A1016,"AAAAAH/f/2c=")</f>
        <v>#VALUE!</v>
      </c>
      <c r="DA288" t="e">
        <f>AND('STERLING CATALOG - FZN &amp; CHILL'!B1016,"AAAAAH/f/2g=")</f>
        <v>#VALUE!</v>
      </c>
      <c r="DB288" t="e">
        <f>AND('STERLING CATALOG - FZN &amp; CHILL'!C1016,"AAAAAH/f/2k=")</f>
        <v>#VALUE!</v>
      </c>
      <c r="DC288" t="e">
        <f>AND('STERLING CATALOG - FZN &amp; CHILL'!D1016,"AAAAAH/f/2o=")</f>
        <v>#VALUE!</v>
      </c>
      <c r="DD288" t="e">
        <f>AND('STERLING CATALOG - FZN &amp; CHILL'!E1016,"AAAAAH/f/2s=")</f>
        <v>#VALUE!</v>
      </c>
      <c r="DE288" t="e">
        <f>AND('STERLING CATALOG - FZN &amp; CHILL'!F1016,"AAAAAH/f/2w=")</f>
        <v>#VALUE!</v>
      </c>
      <c r="DF288" t="e">
        <f>AND('STERLING CATALOG - FZN &amp; CHILL'!G1016,"AAAAAH/f/20=")</f>
        <v>#VALUE!</v>
      </c>
      <c r="DG288" t="e">
        <f>AND('STERLING CATALOG - FZN &amp; CHILL'!H1016,"AAAAAH/f/24=")</f>
        <v>#VALUE!</v>
      </c>
      <c r="DH288" t="e">
        <f>AND('STERLING CATALOG - FZN &amp; CHILL'!I1016,"AAAAAH/f/28=")</f>
        <v>#VALUE!</v>
      </c>
      <c r="DI288" t="e">
        <f>AND('STERLING CATALOG - FZN &amp; CHILL'!J1016,"AAAAAH/f/3A=")</f>
        <v>#VALUE!</v>
      </c>
      <c r="DJ288">
        <f>IF('STERLING CATALOG - FZN &amp; CHILL'!1017:1017,"AAAAAH/f/3E=",0)</f>
        <v>0</v>
      </c>
      <c r="DK288" t="e">
        <f>AND('STERLING CATALOG - FZN &amp; CHILL'!A1017,"AAAAAH/f/3I=")</f>
        <v>#VALUE!</v>
      </c>
      <c r="DL288" t="e">
        <f>AND('STERLING CATALOG - FZN &amp; CHILL'!B1017,"AAAAAH/f/3M=")</f>
        <v>#VALUE!</v>
      </c>
      <c r="DM288" t="e">
        <f>AND('STERLING CATALOG - FZN &amp; CHILL'!C1017,"AAAAAH/f/3Q=")</f>
        <v>#VALUE!</v>
      </c>
      <c r="DN288" t="e">
        <f>AND('STERLING CATALOG - FZN &amp; CHILL'!D1017,"AAAAAH/f/3U=")</f>
        <v>#VALUE!</v>
      </c>
      <c r="DO288" t="e">
        <f>AND('STERLING CATALOG - FZN &amp; CHILL'!E1017,"AAAAAH/f/3Y=")</f>
        <v>#VALUE!</v>
      </c>
      <c r="DP288" t="e">
        <f>AND('STERLING CATALOG - FZN &amp; CHILL'!F1017,"AAAAAH/f/3c=")</f>
        <v>#VALUE!</v>
      </c>
      <c r="DQ288" t="e">
        <f>AND('STERLING CATALOG - FZN &amp; CHILL'!G1017,"AAAAAH/f/3g=")</f>
        <v>#VALUE!</v>
      </c>
      <c r="DR288" t="e">
        <f>AND('STERLING CATALOG - FZN &amp; CHILL'!H1017,"AAAAAH/f/3k=")</f>
        <v>#VALUE!</v>
      </c>
      <c r="DS288" t="e">
        <f>AND('STERLING CATALOG - FZN &amp; CHILL'!I1017,"AAAAAH/f/3o=")</f>
        <v>#VALUE!</v>
      </c>
      <c r="DT288" t="e">
        <f>AND('STERLING CATALOG - FZN &amp; CHILL'!J1017,"AAAAAH/f/3s=")</f>
        <v>#VALUE!</v>
      </c>
      <c r="DU288">
        <f>IF('STERLING CATALOG - FZN &amp; CHILL'!1018:1018,"AAAAAH/f/3w=",0)</f>
        <v>0</v>
      </c>
      <c r="DV288" t="e">
        <f>AND('STERLING CATALOG - FZN &amp; CHILL'!A1018,"AAAAAH/f/30=")</f>
        <v>#VALUE!</v>
      </c>
      <c r="DW288" t="e">
        <f>AND('STERLING CATALOG - FZN &amp; CHILL'!B1018,"AAAAAH/f/34=")</f>
        <v>#VALUE!</v>
      </c>
      <c r="DX288" t="e">
        <f>AND('STERLING CATALOG - FZN &amp; CHILL'!C1018,"AAAAAH/f/38=")</f>
        <v>#VALUE!</v>
      </c>
      <c r="DY288" t="e">
        <f>AND('STERLING CATALOG - FZN &amp; CHILL'!D1018,"AAAAAH/f/4A=")</f>
        <v>#VALUE!</v>
      </c>
      <c r="DZ288" t="e">
        <f>AND('STERLING CATALOG - FZN &amp; CHILL'!E1018,"AAAAAH/f/4E=")</f>
        <v>#VALUE!</v>
      </c>
      <c r="EA288" t="e">
        <f>AND('STERLING CATALOG - FZN &amp; CHILL'!F1018,"AAAAAH/f/4I=")</f>
        <v>#VALUE!</v>
      </c>
      <c r="EB288" t="e">
        <f>AND('STERLING CATALOG - FZN &amp; CHILL'!G1018,"AAAAAH/f/4M=")</f>
        <v>#VALUE!</v>
      </c>
      <c r="EC288" t="e">
        <f>AND('STERLING CATALOG - FZN &amp; CHILL'!H1018,"AAAAAH/f/4Q=")</f>
        <v>#VALUE!</v>
      </c>
      <c r="ED288" t="e">
        <f>AND('STERLING CATALOG - FZN &amp; CHILL'!I1018,"AAAAAH/f/4U=")</f>
        <v>#VALUE!</v>
      </c>
      <c r="EE288" t="e">
        <f>AND('STERLING CATALOG - FZN &amp; CHILL'!J1018,"AAAAAH/f/4Y=")</f>
        <v>#VALUE!</v>
      </c>
      <c r="EF288">
        <f>IF('STERLING CATALOG - FZN &amp; CHILL'!1019:1019,"AAAAAH/f/4c=",0)</f>
        <v>0</v>
      </c>
      <c r="EG288" t="e">
        <f>AND('STERLING CATALOG - FZN &amp; CHILL'!A1019,"AAAAAH/f/4g=")</f>
        <v>#VALUE!</v>
      </c>
      <c r="EH288" t="e">
        <f>AND('STERLING CATALOG - FZN &amp; CHILL'!B1019,"AAAAAH/f/4k=")</f>
        <v>#VALUE!</v>
      </c>
      <c r="EI288" t="e">
        <f>AND('STERLING CATALOG - FZN &amp; CHILL'!C1019,"AAAAAH/f/4o=")</f>
        <v>#VALUE!</v>
      </c>
      <c r="EJ288" t="e">
        <f>AND('STERLING CATALOG - FZN &amp; CHILL'!D1019,"AAAAAH/f/4s=")</f>
        <v>#VALUE!</v>
      </c>
      <c r="EK288" t="e">
        <f>AND('STERLING CATALOG - FZN &amp; CHILL'!E1019,"AAAAAH/f/4w=")</f>
        <v>#VALUE!</v>
      </c>
      <c r="EL288" t="e">
        <f>AND('STERLING CATALOG - FZN &amp; CHILL'!F1019,"AAAAAH/f/40=")</f>
        <v>#VALUE!</v>
      </c>
      <c r="EM288" t="e">
        <f>AND('STERLING CATALOG - FZN &amp; CHILL'!G1019,"AAAAAH/f/44=")</f>
        <v>#VALUE!</v>
      </c>
      <c r="EN288" t="e">
        <f>AND('STERLING CATALOG - FZN &amp; CHILL'!H1019,"AAAAAH/f/48=")</f>
        <v>#VALUE!</v>
      </c>
      <c r="EO288" t="e">
        <f>AND('STERLING CATALOG - FZN &amp; CHILL'!I1019,"AAAAAH/f/5A=")</f>
        <v>#VALUE!</v>
      </c>
      <c r="EP288" t="e">
        <f>AND('STERLING CATALOG - FZN &amp; CHILL'!J1019,"AAAAAH/f/5E=")</f>
        <v>#VALUE!</v>
      </c>
      <c r="EQ288">
        <f>IF('STERLING CATALOG - FZN &amp; CHILL'!1020:1020,"AAAAAH/f/5I=",0)</f>
        <v>0</v>
      </c>
      <c r="ER288" t="e">
        <f>AND('STERLING CATALOG - FZN &amp; CHILL'!A1020,"AAAAAH/f/5M=")</f>
        <v>#VALUE!</v>
      </c>
      <c r="ES288" t="e">
        <f>AND('STERLING CATALOG - FZN &amp; CHILL'!B1020,"AAAAAH/f/5Q=")</f>
        <v>#VALUE!</v>
      </c>
      <c r="ET288" t="e">
        <f>AND('STERLING CATALOG - FZN &amp; CHILL'!C1020,"AAAAAH/f/5U=")</f>
        <v>#VALUE!</v>
      </c>
      <c r="EU288" t="e">
        <f>AND('STERLING CATALOG - FZN &amp; CHILL'!D1020,"AAAAAH/f/5Y=")</f>
        <v>#VALUE!</v>
      </c>
      <c r="EV288" t="e">
        <f>AND('STERLING CATALOG - FZN &amp; CHILL'!E1020,"AAAAAH/f/5c=")</f>
        <v>#VALUE!</v>
      </c>
      <c r="EW288" t="e">
        <f>AND('STERLING CATALOG - FZN &amp; CHILL'!F1020,"AAAAAH/f/5g=")</f>
        <v>#VALUE!</v>
      </c>
      <c r="EX288" t="e">
        <f>AND('STERLING CATALOG - FZN &amp; CHILL'!G1020,"AAAAAH/f/5k=")</f>
        <v>#VALUE!</v>
      </c>
      <c r="EY288" t="e">
        <f>AND('STERLING CATALOG - FZN &amp; CHILL'!H1020,"AAAAAH/f/5o=")</f>
        <v>#VALUE!</v>
      </c>
      <c r="EZ288" t="e">
        <f>AND('STERLING CATALOG - FZN &amp; CHILL'!I1020,"AAAAAH/f/5s=")</f>
        <v>#VALUE!</v>
      </c>
      <c r="FA288" t="e">
        <f>AND('STERLING CATALOG - FZN &amp; CHILL'!J1020,"AAAAAH/f/5w=")</f>
        <v>#VALUE!</v>
      </c>
      <c r="FB288">
        <f>IF('STERLING CATALOG - FZN &amp; CHILL'!1021:1021,"AAAAAH/f/50=",0)</f>
        <v>0</v>
      </c>
      <c r="FC288" t="e">
        <f>AND('STERLING CATALOG - FZN &amp; CHILL'!A1021,"AAAAAH/f/54=")</f>
        <v>#VALUE!</v>
      </c>
      <c r="FD288" t="e">
        <f>AND('STERLING CATALOG - FZN &amp; CHILL'!B1021,"AAAAAH/f/58=")</f>
        <v>#VALUE!</v>
      </c>
      <c r="FE288" t="e">
        <f>AND('STERLING CATALOG - FZN &amp; CHILL'!C1021,"AAAAAH/f/6A=")</f>
        <v>#VALUE!</v>
      </c>
      <c r="FF288" t="e">
        <f>AND('STERLING CATALOG - FZN &amp; CHILL'!D1021,"AAAAAH/f/6E=")</f>
        <v>#VALUE!</v>
      </c>
      <c r="FG288" t="e">
        <f>AND('STERLING CATALOG - FZN &amp; CHILL'!E1021,"AAAAAH/f/6I=")</f>
        <v>#VALUE!</v>
      </c>
      <c r="FH288" t="e">
        <f>AND('STERLING CATALOG - FZN &amp; CHILL'!F1021,"AAAAAH/f/6M=")</f>
        <v>#VALUE!</v>
      </c>
      <c r="FI288" t="e">
        <f>AND('STERLING CATALOG - FZN &amp; CHILL'!G1021,"AAAAAH/f/6Q=")</f>
        <v>#VALUE!</v>
      </c>
      <c r="FJ288" t="e">
        <f>AND('STERLING CATALOG - FZN &amp; CHILL'!H1021,"AAAAAH/f/6U=")</f>
        <v>#VALUE!</v>
      </c>
      <c r="FK288" t="e">
        <f>AND('STERLING CATALOG - FZN &amp; CHILL'!I1021,"AAAAAH/f/6Y=")</f>
        <v>#VALUE!</v>
      </c>
      <c r="FL288" t="e">
        <f>AND('STERLING CATALOG - FZN &amp; CHILL'!J1021,"AAAAAH/f/6c=")</f>
        <v>#VALUE!</v>
      </c>
      <c r="FM288">
        <f>IF('STERLING CATALOG - FZN &amp; CHILL'!1022:1022,"AAAAAH/f/6g=",0)</f>
        <v>0</v>
      </c>
      <c r="FN288" t="e">
        <f>AND('STERLING CATALOG - FZN &amp; CHILL'!A1022,"AAAAAH/f/6k=")</f>
        <v>#VALUE!</v>
      </c>
      <c r="FO288" t="e">
        <f>AND('STERLING CATALOG - FZN &amp; CHILL'!B1022,"AAAAAH/f/6o=")</f>
        <v>#VALUE!</v>
      </c>
      <c r="FP288" t="e">
        <f>AND('STERLING CATALOG - FZN &amp; CHILL'!C1022,"AAAAAH/f/6s=")</f>
        <v>#VALUE!</v>
      </c>
      <c r="FQ288" t="e">
        <f>AND('STERLING CATALOG - FZN &amp; CHILL'!D1022,"AAAAAH/f/6w=")</f>
        <v>#VALUE!</v>
      </c>
      <c r="FR288" t="e">
        <f>AND('STERLING CATALOG - FZN &amp; CHILL'!E1022,"AAAAAH/f/60=")</f>
        <v>#VALUE!</v>
      </c>
      <c r="FS288" t="e">
        <f>AND('STERLING CATALOG - FZN &amp; CHILL'!F1022,"AAAAAH/f/64=")</f>
        <v>#VALUE!</v>
      </c>
      <c r="FT288" t="e">
        <f>AND('STERLING CATALOG - FZN &amp; CHILL'!G1022,"AAAAAH/f/68=")</f>
        <v>#VALUE!</v>
      </c>
      <c r="FU288" t="e">
        <f>AND('STERLING CATALOG - FZN &amp; CHILL'!H1022,"AAAAAH/f/7A=")</f>
        <v>#VALUE!</v>
      </c>
      <c r="FV288" t="e">
        <f>AND('STERLING CATALOG - FZN &amp; CHILL'!I1022,"AAAAAH/f/7E=")</f>
        <v>#VALUE!</v>
      </c>
      <c r="FW288" t="e">
        <f>AND('STERLING CATALOG - FZN &amp; CHILL'!J1022,"AAAAAH/f/7I=")</f>
        <v>#VALUE!</v>
      </c>
      <c r="FX288">
        <f>IF('STERLING CATALOG - FZN &amp; CHILL'!1023:1023,"AAAAAH/f/7M=",0)</f>
        <v>0</v>
      </c>
      <c r="FY288" t="e">
        <f>AND('STERLING CATALOG - FZN &amp; CHILL'!A1023,"AAAAAH/f/7Q=")</f>
        <v>#VALUE!</v>
      </c>
      <c r="FZ288" t="e">
        <f>AND('STERLING CATALOG - FZN &amp; CHILL'!B1023,"AAAAAH/f/7U=")</f>
        <v>#VALUE!</v>
      </c>
      <c r="GA288" t="e">
        <f>AND('STERLING CATALOG - FZN &amp; CHILL'!C1023,"AAAAAH/f/7Y=")</f>
        <v>#VALUE!</v>
      </c>
      <c r="GB288" t="e">
        <f>AND('STERLING CATALOG - FZN &amp; CHILL'!D1023,"AAAAAH/f/7c=")</f>
        <v>#VALUE!</v>
      </c>
      <c r="GC288" t="e">
        <f>AND('STERLING CATALOG - FZN &amp; CHILL'!E1023,"AAAAAH/f/7g=")</f>
        <v>#VALUE!</v>
      </c>
      <c r="GD288" t="e">
        <f>AND('STERLING CATALOG - FZN &amp; CHILL'!F1023,"AAAAAH/f/7k=")</f>
        <v>#VALUE!</v>
      </c>
      <c r="GE288" t="e">
        <f>AND('STERLING CATALOG - FZN &amp; CHILL'!G1023,"AAAAAH/f/7o=")</f>
        <v>#VALUE!</v>
      </c>
      <c r="GF288" t="e">
        <f>AND('STERLING CATALOG - FZN &amp; CHILL'!H1023,"AAAAAH/f/7s=")</f>
        <v>#VALUE!</v>
      </c>
      <c r="GG288" t="e">
        <f>AND('STERLING CATALOG - FZN &amp; CHILL'!I1023,"AAAAAH/f/7w=")</f>
        <v>#VALUE!</v>
      </c>
      <c r="GH288" t="e">
        <f>AND('STERLING CATALOG - FZN &amp; CHILL'!J1023,"AAAAAH/f/70=")</f>
        <v>#VALUE!</v>
      </c>
      <c r="GI288">
        <f>IF('STERLING CATALOG - FZN &amp; CHILL'!1024:1024,"AAAAAH/f/74=",0)</f>
        <v>0</v>
      </c>
      <c r="GJ288" t="e">
        <f>AND('STERLING CATALOG - FZN &amp; CHILL'!A1024,"AAAAAH/f/78=")</f>
        <v>#VALUE!</v>
      </c>
      <c r="GK288" t="e">
        <f>AND('STERLING CATALOG - FZN &amp; CHILL'!B1024,"AAAAAH/f/8A=")</f>
        <v>#VALUE!</v>
      </c>
      <c r="GL288" t="e">
        <f>AND('STERLING CATALOG - FZN &amp; CHILL'!C1024,"AAAAAH/f/8E=")</f>
        <v>#VALUE!</v>
      </c>
      <c r="GM288" t="e">
        <f>AND('STERLING CATALOG - FZN &amp; CHILL'!D1024,"AAAAAH/f/8I=")</f>
        <v>#VALUE!</v>
      </c>
      <c r="GN288" t="e">
        <f>AND('STERLING CATALOG - FZN &amp; CHILL'!E1024,"AAAAAH/f/8M=")</f>
        <v>#VALUE!</v>
      </c>
      <c r="GO288" t="e">
        <f>AND('STERLING CATALOG - FZN &amp; CHILL'!F1024,"AAAAAH/f/8Q=")</f>
        <v>#VALUE!</v>
      </c>
      <c r="GP288" t="e">
        <f>AND('STERLING CATALOG - FZN &amp; CHILL'!G1024,"AAAAAH/f/8U=")</f>
        <v>#VALUE!</v>
      </c>
      <c r="GQ288" t="e">
        <f>AND('STERLING CATALOG - FZN &amp; CHILL'!H1024,"AAAAAH/f/8Y=")</f>
        <v>#VALUE!</v>
      </c>
      <c r="GR288" t="e">
        <f>AND('STERLING CATALOG - FZN &amp; CHILL'!I1024,"AAAAAH/f/8c=")</f>
        <v>#VALUE!</v>
      </c>
      <c r="GS288" t="e">
        <f>AND('STERLING CATALOG - FZN &amp; CHILL'!J1024,"AAAAAH/f/8g=")</f>
        <v>#VALUE!</v>
      </c>
      <c r="GT288">
        <f>IF('STERLING CATALOG - FZN &amp; CHILL'!1025:1025,"AAAAAH/f/8k=",0)</f>
        <v>0</v>
      </c>
      <c r="GU288" t="e">
        <f>AND('STERLING CATALOG - FZN &amp; CHILL'!A1025,"AAAAAH/f/8o=")</f>
        <v>#VALUE!</v>
      </c>
      <c r="GV288" t="e">
        <f>AND('STERLING CATALOG - FZN &amp; CHILL'!B1025,"AAAAAH/f/8s=")</f>
        <v>#VALUE!</v>
      </c>
      <c r="GW288" t="e">
        <f>AND('STERLING CATALOG - FZN &amp; CHILL'!C1025,"AAAAAH/f/8w=")</f>
        <v>#VALUE!</v>
      </c>
      <c r="GX288" t="e">
        <f>AND('STERLING CATALOG - FZN &amp; CHILL'!D1025,"AAAAAH/f/80=")</f>
        <v>#VALUE!</v>
      </c>
      <c r="GY288" t="e">
        <f>AND('STERLING CATALOG - FZN &amp; CHILL'!E1025,"AAAAAH/f/84=")</f>
        <v>#VALUE!</v>
      </c>
      <c r="GZ288" t="e">
        <f>AND('STERLING CATALOG - FZN &amp; CHILL'!F1025,"AAAAAH/f/88=")</f>
        <v>#VALUE!</v>
      </c>
      <c r="HA288" t="e">
        <f>AND('STERLING CATALOG - FZN &amp; CHILL'!G1025,"AAAAAH/f/9A=")</f>
        <v>#VALUE!</v>
      </c>
      <c r="HB288" t="e">
        <f>AND('STERLING CATALOG - FZN &amp; CHILL'!H1025,"AAAAAH/f/9E=")</f>
        <v>#VALUE!</v>
      </c>
      <c r="HC288" t="e">
        <f>AND('STERLING CATALOG - FZN &amp; CHILL'!I1025,"AAAAAH/f/9I=")</f>
        <v>#VALUE!</v>
      </c>
      <c r="HD288" t="e">
        <f>AND('STERLING CATALOG - FZN &amp; CHILL'!J1025,"AAAAAH/f/9M=")</f>
        <v>#VALUE!</v>
      </c>
      <c r="HE288">
        <f>IF('STERLING CATALOG - FZN &amp; CHILL'!1026:1026,"AAAAAH/f/9Q=",0)</f>
        <v>0</v>
      </c>
      <c r="HF288" t="e">
        <f>AND('STERLING CATALOG - FZN &amp; CHILL'!A1026,"AAAAAH/f/9U=")</f>
        <v>#VALUE!</v>
      </c>
      <c r="HG288" t="e">
        <f>AND('STERLING CATALOG - FZN &amp; CHILL'!B1026,"AAAAAH/f/9Y=")</f>
        <v>#VALUE!</v>
      </c>
      <c r="HH288" t="e">
        <f>AND('STERLING CATALOG - FZN &amp; CHILL'!C1026,"AAAAAH/f/9c=")</f>
        <v>#VALUE!</v>
      </c>
      <c r="HI288" t="e">
        <f>AND('STERLING CATALOG - FZN &amp; CHILL'!D1026,"AAAAAH/f/9g=")</f>
        <v>#VALUE!</v>
      </c>
      <c r="HJ288" t="e">
        <f>AND('STERLING CATALOG - FZN &amp; CHILL'!E1026,"AAAAAH/f/9k=")</f>
        <v>#VALUE!</v>
      </c>
      <c r="HK288" t="e">
        <f>AND('STERLING CATALOG - FZN &amp; CHILL'!F1026,"AAAAAH/f/9o=")</f>
        <v>#VALUE!</v>
      </c>
      <c r="HL288" t="e">
        <f>AND('STERLING CATALOG - FZN &amp; CHILL'!G1026,"AAAAAH/f/9s=")</f>
        <v>#VALUE!</v>
      </c>
      <c r="HM288" t="e">
        <f>AND('STERLING CATALOG - FZN &amp; CHILL'!H1026,"AAAAAH/f/9w=")</f>
        <v>#VALUE!</v>
      </c>
      <c r="HN288" t="e">
        <f>AND('STERLING CATALOG - FZN &amp; CHILL'!I1026,"AAAAAH/f/90=")</f>
        <v>#VALUE!</v>
      </c>
      <c r="HO288" t="e">
        <f>AND('STERLING CATALOG - FZN &amp; CHILL'!J1026,"AAAAAH/f/94=")</f>
        <v>#VALUE!</v>
      </c>
      <c r="HP288">
        <f>IF('STERLING CATALOG - FZN &amp; CHILL'!1027:1027,"AAAAAH/f/98=",0)</f>
        <v>0</v>
      </c>
      <c r="HQ288" t="e">
        <f>AND('STERLING CATALOG - FZN &amp; CHILL'!A1027,"AAAAAH/f/+A=")</f>
        <v>#VALUE!</v>
      </c>
      <c r="HR288" t="e">
        <f>AND('STERLING CATALOG - FZN &amp; CHILL'!B1027,"AAAAAH/f/+E=")</f>
        <v>#VALUE!</v>
      </c>
      <c r="HS288" t="e">
        <f>AND('STERLING CATALOG - FZN &amp; CHILL'!C1027,"AAAAAH/f/+I=")</f>
        <v>#VALUE!</v>
      </c>
      <c r="HT288" t="e">
        <f>AND('STERLING CATALOG - FZN &amp; CHILL'!D1027,"AAAAAH/f/+M=")</f>
        <v>#VALUE!</v>
      </c>
      <c r="HU288" t="e">
        <f>AND('STERLING CATALOG - FZN &amp; CHILL'!E1027,"AAAAAH/f/+Q=")</f>
        <v>#VALUE!</v>
      </c>
      <c r="HV288" t="e">
        <f>AND('STERLING CATALOG - FZN &amp; CHILL'!F1027,"AAAAAH/f/+U=")</f>
        <v>#VALUE!</v>
      </c>
      <c r="HW288" t="e">
        <f>AND('STERLING CATALOG - FZN &amp; CHILL'!G1027,"AAAAAH/f/+Y=")</f>
        <v>#VALUE!</v>
      </c>
      <c r="HX288" t="e">
        <f>AND('STERLING CATALOG - FZN &amp; CHILL'!H1027,"AAAAAH/f/+c=")</f>
        <v>#VALUE!</v>
      </c>
      <c r="HY288" t="e">
        <f>AND('STERLING CATALOG - FZN &amp; CHILL'!I1027,"AAAAAH/f/+g=")</f>
        <v>#VALUE!</v>
      </c>
      <c r="HZ288" t="e">
        <f>AND('STERLING CATALOG - FZN &amp; CHILL'!J1027,"AAAAAH/f/+k=")</f>
        <v>#VALUE!</v>
      </c>
      <c r="IA288">
        <f>IF('STERLING CATALOG - FZN &amp; CHILL'!1028:1028,"AAAAAH/f/+o=",0)</f>
        <v>0</v>
      </c>
      <c r="IB288" t="e">
        <f>AND('STERLING CATALOG - FZN &amp; CHILL'!A1028,"AAAAAH/f/+s=")</f>
        <v>#VALUE!</v>
      </c>
      <c r="IC288" t="e">
        <f>AND('STERLING CATALOG - FZN &amp; CHILL'!B1028,"AAAAAH/f/+w=")</f>
        <v>#VALUE!</v>
      </c>
      <c r="ID288" t="e">
        <f>AND('STERLING CATALOG - FZN &amp; CHILL'!C1028,"AAAAAH/f/+0=")</f>
        <v>#VALUE!</v>
      </c>
      <c r="IE288" t="e">
        <f>AND('STERLING CATALOG - FZN &amp; CHILL'!D1028,"AAAAAH/f/+4=")</f>
        <v>#VALUE!</v>
      </c>
      <c r="IF288" t="e">
        <f>AND('STERLING CATALOG - FZN &amp; CHILL'!E1028,"AAAAAH/f/+8=")</f>
        <v>#VALUE!</v>
      </c>
      <c r="IG288" t="e">
        <f>AND('STERLING CATALOG - FZN &amp; CHILL'!F1028,"AAAAAH/f//A=")</f>
        <v>#VALUE!</v>
      </c>
      <c r="IH288" t="e">
        <f>AND('STERLING CATALOG - FZN &amp; CHILL'!G1028,"AAAAAH/f//E=")</f>
        <v>#VALUE!</v>
      </c>
      <c r="II288" t="e">
        <f>AND('STERLING CATALOG - FZN &amp; CHILL'!H1028,"AAAAAH/f//I=")</f>
        <v>#VALUE!</v>
      </c>
      <c r="IJ288" t="e">
        <f>AND('STERLING CATALOG - FZN &amp; CHILL'!I1028,"AAAAAH/f//M=")</f>
        <v>#VALUE!</v>
      </c>
      <c r="IK288" t="e">
        <f>AND('STERLING CATALOG - FZN &amp; CHILL'!J1028,"AAAAAH/f//Q=")</f>
        <v>#VALUE!</v>
      </c>
      <c r="IL288">
        <f>IF('STERLING CATALOG - FZN &amp; CHILL'!1029:1029,"AAAAAH/f//U=",0)</f>
        <v>0</v>
      </c>
      <c r="IM288" t="e">
        <f>AND('STERLING CATALOG - FZN &amp; CHILL'!A1029,"AAAAAH/f//Y=")</f>
        <v>#VALUE!</v>
      </c>
      <c r="IN288" t="e">
        <f>AND('STERLING CATALOG - FZN &amp; CHILL'!B1029,"AAAAAH/f//c=")</f>
        <v>#VALUE!</v>
      </c>
      <c r="IO288" t="e">
        <f>AND('STERLING CATALOG - FZN &amp; CHILL'!C1029,"AAAAAH/f//g=")</f>
        <v>#VALUE!</v>
      </c>
      <c r="IP288" t="e">
        <f>AND('STERLING CATALOG - FZN &amp; CHILL'!D1029,"AAAAAH/f//k=")</f>
        <v>#VALUE!</v>
      </c>
      <c r="IQ288" t="e">
        <f>AND('STERLING CATALOG - FZN &amp; CHILL'!E1029,"AAAAAH/f//o=")</f>
        <v>#VALUE!</v>
      </c>
      <c r="IR288" t="e">
        <f>AND('STERLING CATALOG - FZN &amp; CHILL'!F1029,"AAAAAH/f//s=")</f>
        <v>#VALUE!</v>
      </c>
      <c r="IS288" t="e">
        <f>AND('STERLING CATALOG - FZN &amp; CHILL'!G1029,"AAAAAH/f//w=")</f>
        <v>#VALUE!</v>
      </c>
      <c r="IT288" t="e">
        <f>AND('STERLING CATALOG - FZN &amp; CHILL'!H1029,"AAAAAH/f//0=")</f>
        <v>#VALUE!</v>
      </c>
      <c r="IU288" t="e">
        <f>AND('STERLING CATALOG - FZN &amp; CHILL'!I1029,"AAAAAH/f//4=")</f>
        <v>#VALUE!</v>
      </c>
      <c r="IV288" t="e">
        <f>AND('STERLING CATALOG - FZN &amp; CHILL'!J1029,"AAAAAH/f//8=")</f>
        <v>#VALUE!</v>
      </c>
    </row>
    <row r="289" spans="1:256">
      <c r="A289" t="str">
        <f>IF('STERLING CATALOG - FZN &amp; CHILL'!1030:1030,"AAAAAHt30AA=",0)</f>
        <v>AAAAAHt30AA=</v>
      </c>
      <c r="B289" t="e">
        <f>AND('STERLING CATALOG - FZN &amp; CHILL'!A1030,"AAAAAHt30AE=")</f>
        <v>#VALUE!</v>
      </c>
      <c r="C289" t="e">
        <f>AND('STERLING CATALOG - FZN &amp; CHILL'!B1030,"AAAAAHt30AI=")</f>
        <v>#VALUE!</v>
      </c>
      <c r="D289" t="e">
        <f>AND('STERLING CATALOG - FZN &amp; CHILL'!C1030,"AAAAAHt30AM=")</f>
        <v>#VALUE!</v>
      </c>
      <c r="E289" t="e">
        <f>AND('STERLING CATALOG - FZN &amp; CHILL'!D1030,"AAAAAHt30AQ=")</f>
        <v>#VALUE!</v>
      </c>
      <c r="F289" t="e">
        <f>AND('STERLING CATALOG - FZN &amp; CHILL'!E1030,"AAAAAHt30AU=")</f>
        <v>#VALUE!</v>
      </c>
      <c r="G289" t="e">
        <f>AND('STERLING CATALOG - FZN &amp; CHILL'!F1030,"AAAAAHt30AY=")</f>
        <v>#VALUE!</v>
      </c>
      <c r="H289" t="e">
        <f>AND('STERLING CATALOG - FZN &amp; CHILL'!G1030,"AAAAAHt30Ac=")</f>
        <v>#VALUE!</v>
      </c>
      <c r="I289" t="e">
        <f>AND('STERLING CATALOG - FZN &amp; CHILL'!H1030,"AAAAAHt30Ag=")</f>
        <v>#VALUE!</v>
      </c>
      <c r="J289" t="e">
        <f>AND('STERLING CATALOG - FZN &amp; CHILL'!I1030,"AAAAAHt30Ak=")</f>
        <v>#VALUE!</v>
      </c>
      <c r="K289" t="e">
        <f>AND('STERLING CATALOG - FZN &amp; CHILL'!J1030,"AAAAAHt30Ao=")</f>
        <v>#VALUE!</v>
      </c>
      <c r="L289">
        <f>IF('STERLING CATALOG - FZN &amp; CHILL'!1031:1031,"AAAAAHt30As=",0)</f>
        <v>0</v>
      </c>
      <c r="M289" t="e">
        <f>AND('STERLING CATALOG - FZN &amp; CHILL'!A1031,"AAAAAHt30Aw=")</f>
        <v>#VALUE!</v>
      </c>
      <c r="N289" t="e">
        <f>AND('STERLING CATALOG - FZN &amp; CHILL'!B1031,"AAAAAHt30A0=")</f>
        <v>#VALUE!</v>
      </c>
      <c r="O289" t="e">
        <f>AND('STERLING CATALOG - FZN &amp; CHILL'!C1031,"AAAAAHt30A4=")</f>
        <v>#VALUE!</v>
      </c>
      <c r="P289" t="e">
        <f>AND('STERLING CATALOG - FZN &amp; CHILL'!D1031,"AAAAAHt30A8=")</f>
        <v>#VALUE!</v>
      </c>
      <c r="Q289" t="e">
        <f>AND('STERLING CATALOG - FZN &amp; CHILL'!E1031,"AAAAAHt30BA=")</f>
        <v>#VALUE!</v>
      </c>
      <c r="R289" t="e">
        <f>AND('STERLING CATALOG - FZN &amp; CHILL'!F1031,"AAAAAHt30BE=")</f>
        <v>#VALUE!</v>
      </c>
      <c r="S289" t="e">
        <f>AND('STERLING CATALOG - FZN &amp; CHILL'!G1031,"AAAAAHt30BI=")</f>
        <v>#VALUE!</v>
      </c>
      <c r="T289" t="e">
        <f>AND('STERLING CATALOG - FZN &amp; CHILL'!H1031,"AAAAAHt30BM=")</f>
        <v>#VALUE!</v>
      </c>
      <c r="U289" t="e">
        <f>AND('STERLING CATALOG - FZN &amp; CHILL'!I1031,"AAAAAHt30BQ=")</f>
        <v>#VALUE!</v>
      </c>
      <c r="V289" t="e">
        <f>AND('STERLING CATALOG - FZN &amp; CHILL'!J1031,"AAAAAHt30BU=")</f>
        <v>#VALUE!</v>
      </c>
      <c r="W289">
        <f>IF('STERLING CATALOG - FZN &amp; CHILL'!1032:1032,"AAAAAHt30BY=",0)</f>
        <v>0</v>
      </c>
      <c r="X289" t="e">
        <f>AND('STERLING CATALOG - FZN &amp; CHILL'!A1032,"AAAAAHt30Bc=")</f>
        <v>#VALUE!</v>
      </c>
      <c r="Y289" t="e">
        <f>AND('STERLING CATALOG - FZN &amp; CHILL'!B1032,"AAAAAHt30Bg=")</f>
        <v>#VALUE!</v>
      </c>
      <c r="Z289" t="e">
        <f>AND('STERLING CATALOG - FZN &amp; CHILL'!C1032,"AAAAAHt30Bk=")</f>
        <v>#VALUE!</v>
      </c>
      <c r="AA289" t="e">
        <f>AND('STERLING CATALOG - FZN &amp; CHILL'!D1032,"AAAAAHt30Bo=")</f>
        <v>#VALUE!</v>
      </c>
      <c r="AB289" t="e">
        <f>AND('STERLING CATALOG - FZN &amp; CHILL'!E1032,"AAAAAHt30Bs=")</f>
        <v>#VALUE!</v>
      </c>
      <c r="AC289" t="e">
        <f>AND('STERLING CATALOG - FZN &amp; CHILL'!F1032,"AAAAAHt30Bw=")</f>
        <v>#VALUE!</v>
      </c>
      <c r="AD289" t="e">
        <f>AND('STERLING CATALOG - FZN &amp; CHILL'!G1032,"AAAAAHt30B0=")</f>
        <v>#VALUE!</v>
      </c>
      <c r="AE289" t="e">
        <f>AND('STERLING CATALOG - FZN &amp; CHILL'!H1032,"AAAAAHt30B4=")</f>
        <v>#VALUE!</v>
      </c>
      <c r="AF289" t="e">
        <f>AND('STERLING CATALOG - FZN &amp; CHILL'!I1032,"AAAAAHt30B8=")</f>
        <v>#VALUE!</v>
      </c>
      <c r="AG289" t="e">
        <f>AND('STERLING CATALOG - FZN &amp; CHILL'!J1032,"AAAAAHt30CA=")</f>
        <v>#VALUE!</v>
      </c>
      <c r="AH289">
        <f>IF('STERLING CATALOG - FZN &amp; CHILL'!1033:1033,"AAAAAHt30CE=",0)</f>
        <v>0</v>
      </c>
      <c r="AI289" t="e">
        <f>AND('STERLING CATALOG - FZN &amp; CHILL'!A1033,"AAAAAHt30CI=")</f>
        <v>#VALUE!</v>
      </c>
      <c r="AJ289" t="e">
        <f>AND('STERLING CATALOG - FZN &amp; CHILL'!B1033,"AAAAAHt30CM=")</f>
        <v>#VALUE!</v>
      </c>
      <c r="AK289" t="e">
        <f>AND('STERLING CATALOG - FZN &amp; CHILL'!C1033,"AAAAAHt30CQ=")</f>
        <v>#VALUE!</v>
      </c>
      <c r="AL289" t="e">
        <f>AND('STERLING CATALOG - FZN &amp; CHILL'!D1033,"AAAAAHt30CU=")</f>
        <v>#VALUE!</v>
      </c>
      <c r="AM289" t="e">
        <f>AND('STERLING CATALOG - FZN &amp; CHILL'!E1033,"AAAAAHt30CY=")</f>
        <v>#VALUE!</v>
      </c>
      <c r="AN289" t="e">
        <f>AND('STERLING CATALOG - FZN &amp; CHILL'!F1033,"AAAAAHt30Cc=")</f>
        <v>#VALUE!</v>
      </c>
      <c r="AO289" t="e">
        <f>AND('STERLING CATALOG - FZN &amp; CHILL'!G1033,"AAAAAHt30Cg=")</f>
        <v>#VALUE!</v>
      </c>
      <c r="AP289" t="e">
        <f>AND('STERLING CATALOG - FZN &amp; CHILL'!H1033,"AAAAAHt30Ck=")</f>
        <v>#VALUE!</v>
      </c>
      <c r="AQ289" t="e">
        <f>AND('STERLING CATALOG - FZN &amp; CHILL'!I1033,"AAAAAHt30Co=")</f>
        <v>#VALUE!</v>
      </c>
      <c r="AR289" t="e">
        <f>AND('STERLING CATALOG - FZN &amp; CHILL'!J1033,"AAAAAHt30Cs=")</f>
        <v>#VALUE!</v>
      </c>
      <c r="AS289">
        <f>IF('STERLING CATALOG - FZN &amp; CHILL'!1034:1034,"AAAAAHt30Cw=",0)</f>
        <v>0</v>
      </c>
      <c r="AT289" t="e">
        <f>AND('STERLING CATALOG - FZN &amp; CHILL'!A1034,"AAAAAHt30C0=")</f>
        <v>#VALUE!</v>
      </c>
      <c r="AU289" t="e">
        <f>AND('STERLING CATALOG - FZN &amp; CHILL'!B1034,"AAAAAHt30C4=")</f>
        <v>#VALUE!</v>
      </c>
      <c r="AV289" t="e">
        <f>AND('STERLING CATALOG - FZN &amp; CHILL'!C1034,"AAAAAHt30C8=")</f>
        <v>#VALUE!</v>
      </c>
      <c r="AW289" t="e">
        <f>AND('STERLING CATALOG - FZN &amp; CHILL'!D1034,"AAAAAHt30DA=")</f>
        <v>#VALUE!</v>
      </c>
      <c r="AX289" t="e">
        <f>AND('STERLING CATALOG - FZN &amp; CHILL'!E1034,"AAAAAHt30DE=")</f>
        <v>#VALUE!</v>
      </c>
      <c r="AY289" t="e">
        <f>AND('STERLING CATALOG - FZN &amp; CHILL'!F1034,"AAAAAHt30DI=")</f>
        <v>#VALUE!</v>
      </c>
      <c r="AZ289" t="e">
        <f>AND('STERLING CATALOG - FZN &amp; CHILL'!G1034,"AAAAAHt30DM=")</f>
        <v>#VALUE!</v>
      </c>
      <c r="BA289" t="e">
        <f>AND('STERLING CATALOG - FZN &amp; CHILL'!H1034,"AAAAAHt30DQ=")</f>
        <v>#VALUE!</v>
      </c>
      <c r="BB289" t="e">
        <f>AND('STERLING CATALOG - FZN &amp; CHILL'!I1034,"AAAAAHt30DU=")</f>
        <v>#VALUE!</v>
      </c>
      <c r="BC289" t="e">
        <f>AND('STERLING CATALOG - FZN &amp; CHILL'!J1034,"AAAAAHt30DY=")</f>
        <v>#VALUE!</v>
      </c>
      <c r="BD289">
        <f>IF('STERLING CATALOG - FZN &amp; CHILL'!1035:1035,"AAAAAHt30Dc=",0)</f>
        <v>0</v>
      </c>
      <c r="BE289" t="e">
        <f>AND('STERLING CATALOG - FZN &amp; CHILL'!A1035,"AAAAAHt30Dg=")</f>
        <v>#VALUE!</v>
      </c>
      <c r="BF289" t="e">
        <f>AND('STERLING CATALOG - FZN &amp; CHILL'!B1035,"AAAAAHt30Dk=")</f>
        <v>#VALUE!</v>
      </c>
      <c r="BG289" t="e">
        <f>AND('STERLING CATALOG - FZN &amp; CHILL'!C1035,"AAAAAHt30Do=")</f>
        <v>#VALUE!</v>
      </c>
      <c r="BH289" t="e">
        <f>AND('STERLING CATALOG - FZN &amp; CHILL'!D1035,"AAAAAHt30Ds=")</f>
        <v>#VALUE!</v>
      </c>
      <c r="BI289" t="e">
        <f>AND('STERLING CATALOG - FZN &amp; CHILL'!E1035,"AAAAAHt30Dw=")</f>
        <v>#VALUE!</v>
      </c>
      <c r="BJ289" t="e">
        <f>AND('STERLING CATALOG - FZN &amp; CHILL'!F1035,"AAAAAHt30D0=")</f>
        <v>#VALUE!</v>
      </c>
      <c r="BK289" t="e">
        <f>AND('STERLING CATALOG - FZN &amp; CHILL'!G1035,"AAAAAHt30D4=")</f>
        <v>#VALUE!</v>
      </c>
      <c r="BL289" t="e">
        <f>AND('STERLING CATALOG - FZN &amp; CHILL'!H1035,"AAAAAHt30D8=")</f>
        <v>#VALUE!</v>
      </c>
      <c r="BM289" t="e">
        <f>AND('STERLING CATALOG - FZN &amp; CHILL'!I1035,"AAAAAHt30EA=")</f>
        <v>#VALUE!</v>
      </c>
      <c r="BN289" t="e">
        <f>AND('STERLING CATALOG - FZN &amp; CHILL'!J1035,"AAAAAHt30EE=")</f>
        <v>#VALUE!</v>
      </c>
      <c r="BO289">
        <f>IF('STERLING CATALOG - FZN &amp; CHILL'!1036:1036,"AAAAAHt30EI=",0)</f>
        <v>0</v>
      </c>
      <c r="BP289" t="e">
        <f>AND('STERLING CATALOG - FZN &amp; CHILL'!A1036,"AAAAAHt30EM=")</f>
        <v>#VALUE!</v>
      </c>
      <c r="BQ289" t="e">
        <f>AND('STERLING CATALOG - FZN &amp; CHILL'!B1036,"AAAAAHt30EQ=")</f>
        <v>#VALUE!</v>
      </c>
      <c r="BR289" t="e">
        <f>AND('STERLING CATALOG - FZN &amp; CHILL'!C1036,"AAAAAHt30EU=")</f>
        <v>#VALUE!</v>
      </c>
      <c r="BS289" t="e">
        <f>AND('STERLING CATALOG - FZN &amp; CHILL'!D1036,"AAAAAHt30EY=")</f>
        <v>#VALUE!</v>
      </c>
      <c r="BT289" t="e">
        <f>AND('STERLING CATALOG - FZN &amp; CHILL'!E1036,"AAAAAHt30Ec=")</f>
        <v>#VALUE!</v>
      </c>
      <c r="BU289" t="e">
        <f>AND('STERLING CATALOG - FZN &amp; CHILL'!F1036,"AAAAAHt30Eg=")</f>
        <v>#VALUE!</v>
      </c>
      <c r="BV289" t="e">
        <f>AND('STERLING CATALOG - FZN &amp; CHILL'!G1036,"AAAAAHt30Ek=")</f>
        <v>#VALUE!</v>
      </c>
      <c r="BW289" t="e">
        <f>AND('STERLING CATALOG - FZN &amp; CHILL'!H1036,"AAAAAHt30Eo=")</f>
        <v>#VALUE!</v>
      </c>
      <c r="BX289" t="e">
        <f>AND('STERLING CATALOG - FZN &amp; CHILL'!I1036,"AAAAAHt30Es=")</f>
        <v>#VALUE!</v>
      </c>
      <c r="BY289" t="e">
        <f>AND('STERLING CATALOG - FZN &amp; CHILL'!J1036,"AAAAAHt30Ew=")</f>
        <v>#VALUE!</v>
      </c>
      <c r="BZ289">
        <f>IF('STERLING CATALOG - FZN &amp; CHILL'!1037:1037,"AAAAAHt30E0=",0)</f>
        <v>0</v>
      </c>
      <c r="CA289" t="e">
        <f>AND('STERLING CATALOG - FZN &amp; CHILL'!A1037,"AAAAAHt30E4=")</f>
        <v>#VALUE!</v>
      </c>
      <c r="CB289" t="e">
        <f>AND('STERLING CATALOG - FZN &amp; CHILL'!B1037,"AAAAAHt30E8=")</f>
        <v>#VALUE!</v>
      </c>
      <c r="CC289" t="e">
        <f>AND('STERLING CATALOG - FZN &amp; CHILL'!C1037,"AAAAAHt30FA=")</f>
        <v>#VALUE!</v>
      </c>
      <c r="CD289" t="e">
        <f>AND('STERLING CATALOG - FZN &amp; CHILL'!D1037,"AAAAAHt30FE=")</f>
        <v>#VALUE!</v>
      </c>
      <c r="CE289" t="e">
        <f>AND('STERLING CATALOG - FZN &amp; CHILL'!E1037,"AAAAAHt30FI=")</f>
        <v>#VALUE!</v>
      </c>
      <c r="CF289" t="e">
        <f>AND('STERLING CATALOG - FZN &amp; CHILL'!F1037,"AAAAAHt30FM=")</f>
        <v>#VALUE!</v>
      </c>
      <c r="CG289" t="e">
        <f>AND('STERLING CATALOG - FZN &amp; CHILL'!G1037,"AAAAAHt30FQ=")</f>
        <v>#VALUE!</v>
      </c>
      <c r="CH289" t="e">
        <f>AND('STERLING CATALOG - FZN &amp; CHILL'!H1037,"AAAAAHt30FU=")</f>
        <v>#VALUE!</v>
      </c>
      <c r="CI289" t="e">
        <f>AND('STERLING CATALOG - FZN &amp; CHILL'!I1037,"AAAAAHt30FY=")</f>
        <v>#VALUE!</v>
      </c>
      <c r="CJ289" t="e">
        <f>AND('STERLING CATALOG - FZN &amp; CHILL'!J1037,"AAAAAHt30Fc=")</f>
        <v>#VALUE!</v>
      </c>
      <c r="CK289">
        <f>IF('STERLING CATALOG - FZN &amp; CHILL'!1038:1038,"AAAAAHt30Fg=",0)</f>
        <v>0</v>
      </c>
      <c r="CL289" t="e">
        <f>AND('STERLING CATALOG - FZN &amp; CHILL'!A1038,"AAAAAHt30Fk=")</f>
        <v>#VALUE!</v>
      </c>
      <c r="CM289" t="e">
        <f>AND('STERLING CATALOG - FZN &amp; CHILL'!B1038,"AAAAAHt30Fo=")</f>
        <v>#VALUE!</v>
      </c>
      <c r="CN289" t="e">
        <f>AND('STERLING CATALOG - FZN &amp; CHILL'!C1038,"AAAAAHt30Fs=")</f>
        <v>#VALUE!</v>
      </c>
      <c r="CO289" t="e">
        <f>AND('STERLING CATALOG - FZN &amp; CHILL'!D1038,"AAAAAHt30Fw=")</f>
        <v>#VALUE!</v>
      </c>
      <c r="CP289" t="e">
        <f>AND('STERLING CATALOG - FZN &amp; CHILL'!E1038,"AAAAAHt30F0=")</f>
        <v>#VALUE!</v>
      </c>
      <c r="CQ289" t="e">
        <f>AND('STERLING CATALOG - FZN &amp; CHILL'!F1038,"AAAAAHt30F4=")</f>
        <v>#VALUE!</v>
      </c>
      <c r="CR289" t="e">
        <f>AND('STERLING CATALOG - FZN &amp; CHILL'!G1038,"AAAAAHt30F8=")</f>
        <v>#VALUE!</v>
      </c>
      <c r="CS289" t="e">
        <f>AND('STERLING CATALOG - FZN &amp; CHILL'!H1038,"AAAAAHt30GA=")</f>
        <v>#VALUE!</v>
      </c>
      <c r="CT289" t="e">
        <f>AND('STERLING CATALOG - FZN &amp; CHILL'!I1038,"AAAAAHt30GE=")</f>
        <v>#VALUE!</v>
      </c>
      <c r="CU289" t="e">
        <f>AND('STERLING CATALOG - FZN &amp; CHILL'!J1038,"AAAAAHt30GI=")</f>
        <v>#VALUE!</v>
      </c>
      <c r="CV289">
        <f>IF('STERLING CATALOG - FZN &amp; CHILL'!1039:1039,"AAAAAHt30GM=",0)</f>
        <v>0</v>
      </c>
      <c r="CW289" t="e">
        <f>AND('STERLING CATALOG - FZN &amp; CHILL'!A1039,"AAAAAHt30GQ=")</f>
        <v>#VALUE!</v>
      </c>
      <c r="CX289" t="e">
        <f>AND('STERLING CATALOG - FZN &amp; CHILL'!B1039,"AAAAAHt30GU=")</f>
        <v>#VALUE!</v>
      </c>
      <c r="CY289" t="e">
        <f>AND('STERLING CATALOG - FZN &amp; CHILL'!C1039,"AAAAAHt30GY=")</f>
        <v>#VALUE!</v>
      </c>
      <c r="CZ289" t="e">
        <f>AND('STERLING CATALOG - FZN &amp; CHILL'!D1039,"AAAAAHt30Gc=")</f>
        <v>#VALUE!</v>
      </c>
      <c r="DA289" t="e">
        <f>AND('STERLING CATALOG - FZN &amp; CHILL'!E1039,"AAAAAHt30Gg=")</f>
        <v>#VALUE!</v>
      </c>
      <c r="DB289" t="e">
        <f>AND('STERLING CATALOG - FZN &amp; CHILL'!F1039,"AAAAAHt30Gk=")</f>
        <v>#VALUE!</v>
      </c>
      <c r="DC289" t="e">
        <f>AND('STERLING CATALOG - FZN &amp; CHILL'!G1039,"AAAAAHt30Go=")</f>
        <v>#VALUE!</v>
      </c>
      <c r="DD289" t="e">
        <f>AND('STERLING CATALOG - FZN &amp; CHILL'!H1039,"AAAAAHt30Gs=")</f>
        <v>#VALUE!</v>
      </c>
      <c r="DE289" t="e">
        <f>AND('STERLING CATALOG - FZN &amp; CHILL'!I1039,"AAAAAHt30Gw=")</f>
        <v>#VALUE!</v>
      </c>
      <c r="DF289" t="e">
        <f>AND('STERLING CATALOG - FZN &amp; CHILL'!J1039,"AAAAAHt30G0=")</f>
        <v>#VALUE!</v>
      </c>
      <c r="DG289">
        <f>IF('STERLING CATALOG - FZN &amp; CHILL'!1040:1040,"AAAAAHt30G4=",0)</f>
        <v>0</v>
      </c>
      <c r="DH289" t="e">
        <f>AND('STERLING CATALOG - FZN &amp; CHILL'!A1040,"AAAAAHt30G8=")</f>
        <v>#VALUE!</v>
      </c>
      <c r="DI289" t="e">
        <f>AND('STERLING CATALOG - FZN &amp; CHILL'!B1040,"AAAAAHt30HA=")</f>
        <v>#VALUE!</v>
      </c>
      <c r="DJ289" t="e">
        <f>AND('STERLING CATALOG - FZN &amp; CHILL'!C1040,"AAAAAHt30HE=")</f>
        <v>#VALUE!</v>
      </c>
      <c r="DK289" t="e">
        <f>AND('STERLING CATALOG - FZN &amp; CHILL'!D1040,"AAAAAHt30HI=")</f>
        <v>#VALUE!</v>
      </c>
      <c r="DL289" t="e">
        <f>AND('STERLING CATALOG - FZN &amp; CHILL'!E1040,"AAAAAHt30HM=")</f>
        <v>#VALUE!</v>
      </c>
      <c r="DM289" t="e">
        <f>AND('STERLING CATALOG - FZN &amp; CHILL'!F1040,"AAAAAHt30HQ=")</f>
        <v>#VALUE!</v>
      </c>
      <c r="DN289" t="e">
        <f>AND('STERLING CATALOG - FZN &amp; CHILL'!G1040,"AAAAAHt30HU=")</f>
        <v>#VALUE!</v>
      </c>
      <c r="DO289" t="e">
        <f>AND('STERLING CATALOG - FZN &amp; CHILL'!H1040,"AAAAAHt30HY=")</f>
        <v>#VALUE!</v>
      </c>
      <c r="DP289" t="e">
        <f>AND('STERLING CATALOG - FZN &amp; CHILL'!I1040,"AAAAAHt30Hc=")</f>
        <v>#VALUE!</v>
      </c>
      <c r="DQ289" t="e">
        <f>AND('STERLING CATALOG - FZN &amp; CHILL'!J1040,"AAAAAHt30Hg=")</f>
        <v>#VALUE!</v>
      </c>
      <c r="DR289">
        <f>IF('STERLING CATALOG - FZN &amp; CHILL'!1041:1041,"AAAAAHt30Hk=",0)</f>
        <v>0</v>
      </c>
      <c r="DS289" t="e">
        <f>AND('STERLING CATALOG - FZN &amp; CHILL'!A1041,"AAAAAHt30Ho=")</f>
        <v>#VALUE!</v>
      </c>
      <c r="DT289" t="e">
        <f>AND('STERLING CATALOG - FZN &amp; CHILL'!B1041,"AAAAAHt30Hs=")</f>
        <v>#VALUE!</v>
      </c>
      <c r="DU289" t="e">
        <f>AND('STERLING CATALOG - FZN &amp; CHILL'!C1041,"AAAAAHt30Hw=")</f>
        <v>#VALUE!</v>
      </c>
      <c r="DV289" t="e">
        <f>AND('STERLING CATALOG - FZN &amp; CHILL'!D1041,"AAAAAHt30H0=")</f>
        <v>#VALUE!</v>
      </c>
      <c r="DW289" t="e">
        <f>AND('STERLING CATALOG - FZN &amp; CHILL'!E1041,"AAAAAHt30H4=")</f>
        <v>#VALUE!</v>
      </c>
      <c r="DX289" t="e">
        <f>AND('STERLING CATALOG - FZN &amp; CHILL'!F1041,"AAAAAHt30H8=")</f>
        <v>#VALUE!</v>
      </c>
      <c r="DY289" t="e">
        <f>AND('STERLING CATALOG - FZN &amp; CHILL'!G1041,"AAAAAHt30IA=")</f>
        <v>#VALUE!</v>
      </c>
      <c r="DZ289" t="e">
        <f>AND('STERLING CATALOG - FZN &amp; CHILL'!H1041,"AAAAAHt30IE=")</f>
        <v>#VALUE!</v>
      </c>
      <c r="EA289" t="e">
        <f>AND('STERLING CATALOG - FZN &amp; CHILL'!I1041,"AAAAAHt30II=")</f>
        <v>#VALUE!</v>
      </c>
      <c r="EB289" t="e">
        <f>AND('STERLING CATALOG - FZN &amp; CHILL'!J1041,"AAAAAHt30IM=")</f>
        <v>#VALUE!</v>
      </c>
      <c r="EC289">
        <f>IF('STERLING CATALOG - FZN &amp; CHILL'!1042:1042,"AAAAAHt30IQ=",0)</f>
        <v>0</v>
      </c>
      <c r="ED289" t="e">
        <f>AND('STERLING CATALOG - FZN &amp; CHILL'!A1042,"AAAAAHt30IU=")</f>
        <v>#VALUE!</v>
      </c>
      <c r="EE289" t="e">
        <f>AND('STERLING CATALOG - FZN &amp; CHILL'!B1042,"AAAAAHt30IY=")</f>
        <v>#VALUE!</v>
      </c>
      <c r="EF289" t="e">
        <f>AND('STERLING CATALOG - FZN &amp; CHILL'!C1042,"AAAAAHt30Ic=")</f>
        <v>#VALUE!</v>
      </c>
      <c r="EG289" t="e">
        <f>AND('STERLING CATALOG - FZN &amp; CHILL'!D1042,"AAAAAHt30Ig=")</f>
        <v>#VALUE!</v>
      </c>
      <c r="EH289" t="e">
        <f>AND('STERLING CATALOG - FZN &amp; CHILL'!E1042,"AAAAAHt30Ik=")</f>
        <v>#VALUE!</v>
      </c>
      <c r="EI289" t="e">
        <f>AND('STERLING CATALOG - FZN &amp; CHILL'!F1042,"AAAAAHt30Io=")</f>
        <v>#VALUE!</v>
      </c>
      <c r="EJ289" t="e">
        <f>AND('STERLING CATALOG - FZN &amp; CHILL'!G1042,"AAAAAHt30Is=")</f>
        <v>#VALUE!</v>
      </c>
      <c r="EK289" t="e">
        <f>AND('STERLING CATALOG - FZN &amp; CHILL'!H1042,"AAAAAHt30Iw=")</f>
        <v>#VALUE!</v>
      </c>
      <c r="EL289" t="e">
        <f>AND('STERLING CATALOG - FZN &amp; CHILL'!I1042,"AAAAAHt30I0=")</f>
        <v>#VALUE!</v>
      </c>
      <c r="EM289" t="e">
        <f>AND('STERLING CATALOG - FZN &amp; CHILL'!J1042,"AAAAAHt30I4=")</f>
        <v>#VALUE!</v>
      </c>
      <c r="EN289">
        <f>IF('STERLING CATALOG - FZN &amp; CHILL'!1043:1043,"AAAAAHt30I8=",0)</f>
        <v>0</v>
      </c>
      <c r="EO289" t="e">
        <f>AND('STERLING CATALOG - FZN &amp; CHILL'!A1043,"AAAAAHt30JA=")</f>
        <v>#VALUE!</v>
      </c>
      <c r="EP289" t="e">
        <f>AND('STERLING CATALOG - FZN &amp; CHILL'!B1043,"AAAAAHt30JE=")</f>
        <v>#VALUE!</v>
      </c>
      <c r="EQ289" t="e">
        <f>AND('STERLING CATALOG - FZN &amp; CHILL'!C1043,"AAAAAHt30JI=")</f>
        <v>#VALUE!</v>
      </c>
      <c r="ER289" t="e">
        <f>AND('STERLING CATALOG - FZN &amp; CHILL'!D1043,"AAAAAHt30JM=")</f>
        <v>#VALUE!</v>
      </c>
      <c r="ES289" t="e">
        <f>AND('STERLING CATALOG - FZN &amp; CHILL'!E1043,"AAAAAHt30JQ=")</f>
        <v>#VALUE!</v>
      </c>
      <c r="ET289" t="e">
        <f>AND('STERLING CATALOG - FZN &amp; CHILL'!F1043,"AAAAAHt30JU=")</f>
        <v>#VALUE!</v>
      </c>
      <c r="EU289" t="e">
        <f>AND('STERLING CATALOG - FZN &amp; CHILL'!G1043,"AAAAAHt30JY=")</f>
        <v>#VALUE!</v>
      </c>
      <c r="EV289" t="e">
        <f>AND('STERLING CATALOG - FZN &amp; CHILL'!H1043,"AAAAAHt30Jc=")</f>
        <v>#VALUE!</v>
      </c>
      <c r="EW289" t="e">
        <f>AND('STERLING CATALOG - FZN &amp; CHILL'!I1043,"AAAAAHt30Jg=")</f>
        <v>#VALUE!</v>
      </c>
      <c r="EX289" t="e">
        <f>AND('STERLING CATALOG - FZN &amp; CHILL'!J1043,"AAAAAHt30Jk=")</f>
        <v>#VALUE!</v>
      </c>
      <c r="EY289">
        <f>IF('STERLING CATALOG - FZN &amp; CHILL'!1044:1044,"AAAAAHt30Jo=",0)</f>
        <v>0</v>
      </c>
      <c r="EZ289" t="e">
        <f>AND('STERLING CATALOG - FZN &amp; CHILL'!A1044,"AAAAAHt30Js=")</f>
        <v>#VALUE!</v>
      </c>
      <c r="FA289" t="e">
        <f>AND('STERLING CATALOG - FZN &amp; CHILL'!B1044,"AAAAAHt30Jw=")</f>
        <v>#VALUE!</v>
      </c>
      <c r="FB289" t="e">
        <f>AND('STERLING CATALOG - FZN &amp; CHILL'!C1044,"AAAAAHt30J0=")</f>
        <v>#VALUE!</v>
      </c>
      <c r="FC289" t="e">
        <f>AND('STERLING CATALOG - FZN &amp; CHILL'!D1044,"AAAAAHt30J4=")</f>
        <v>#VALUE!</v>
      </c>
      <c r="FD289" t="e">
        <f>AND('STERLING CATALOG - FZN &amp; CHILL'!E1044,"AAAAAHt30J8=")</f>
        <v>#VALUE!</v>
      </c>
      <c r="FE289" t="e">
        <f>AND('STERLING CATALOG - FZN &amp; CHILL'!F1044,"AAAAAHt30KA=")</f>
        <v>#VALUE!</v>
      </c>
      <c r="FF289" t="e">
        <f>AND('STERLING CATALOG - FZN &amp; CHILL'!G1044,"AAAAAHt30KE=")</f>
        <v>#VALUE!</v>
      </c>
      <c r="FG289" t="e">
        <f>AND('STERLING CATALOG - FZN &amp; CHILL'!H1044,"AAAAAHt30KI=")</f>
        <v>#VALUE!</v>
      </c>
      <c r="FH289" t="e">
        <f>AND('STERLING CATALOG - FZN &amp; CHILL'!I1044,"AAAAAHt30KM=")</f>
        <v>#VALUE!</v>
      </c>
      <c r="FI289" t="e">
        <f>AND('STERLING CATALOG - FZN &amp; CHILL'!J1044,"AAAAAHt30KQ=")</f>
        <v>#VALUE!</v>
      </c>
      <c r="FJ289">
        <f>IF('STERLING CATALOG - FZN &amp; CHILL'!1045:1045,"AAAAAHt30KU=",0)</f>
        <v>0</v>
      </c>
      <c r="FK289" t="e">
        <f>AND('STERLING CATALOG - FZN &amp; CHILL'!A1045,"AAAAAHt30KY=")</f>
        <v>#VALUE!</v>
      </c>
      <c r="FL289" t="e">
        <f>AND('STERLING CATALOG - FZN &amp; CHILL'!B1045,"AAAAAHt30Kc=")</f>
        <v>#VALUE!</v>
      </c>
      <c r="FM289" t="e">
        <f>AND('STERLING CATALOG - FZN &amp; CHILL'!C1045,"AAAAAHt30Kg=")</f>
        <v>#VALUE!</v>
      </c>
      <c r="FN289" t="e">
        <f>AND('STERLING CATALOG - FZN &amp; CHILL'!D1045,"AAAAAHt30Kk=")</f>
        <v>#VALUE!</v>
      </c>
      <c r="FO289" t="e">
        <f>AND('STERLING CATALOG - FZN &amp; CHILL'!E1045,"AAAAAHt30Ko=")</f>
        <v>#VALUE!</v>
      </c>
      <c r="FP289" t="e">
        <f>AND('STERLING CATALOG - FZN &amp; CHILL'!F1045,"AAAAAHt30Ks=")</f>
        <v>#VALUE!</v>
      </c>
      <c r="FQ289" t="e">
        <f>AND('STERLING CATALOG - FZN &amp; CHILL'!G1045,"AAAAAHt30Kw=")</f>
        <v>#VALUE!</v>
      </c>
      <c r="FR289" t="e">
        <f>AND('STERLING CATALOG - FZN &amp; CHILL'!H1045,"AAAAAHt30K0=")</f>
        <v>#VALUE!</v>
      </c>
      <c r="FS289" t="e">
        <f>AND('STERLING CATALOG - FZN &amp; CHILL'!I1045,"AAAAAHt30K4=")</f>
        <v>#VALUE!</v>
      </c>
      <c r="FT289" t="e">
        <f>AND('STERLING CATALOG - FZN &amp; CHILL'!J1045,"AAAAAHt30K8=")</f>
        <v>#VALUE!</v>
      </c>
      <c r="FU289">
        <f>IF('STERLING CATALOG - FZN &amp; CHILL'!1046:1046,"AAAAAHt30LA=",0)</f>
        <v>0</v>
      </c>
      <c r="FV289" t="e">
        <f>AND('STERLING CATALOG - FZN &amp; CHILL'!A1046,"AAAAAHt30LE=")</f>
        <v>#VALUE!</v>
      </c>
      <c r="FW289" t="e">
        <f>AND('STERLING CATALOG - FZN &amp; CHILL'!B1046,"AAAAAHt30LI=")</f>
        <v>#VALUE!</v>
      </c>
      <c r="FX289" t="e">
        <f>AND('STERLING CATALOG - FZN &amp; CHILL'!C1046,"AAAAAHt30LM=")</f>
        <v>#VALUE!</v>
      </c>
      <c r="FY289" t="e">
        <f>AND('STERLING CATALOG - FZN &amp; CHILL'!D1046,"AAAAAHt30LQ=")</f>
        <v>#VALUE!</v>
      </c>
      <c r="FZ289" t="e">
        <f>AND('STERLING CATALOG - FZN &amp; CHILL'!E1046,"AAAAAHt30LU=")</f>
        <v>#VALUE!</v>
      </c>
      <c r="GA289" t="e">
        <f>AND('STERLING CATALOG - FZN &amp; CHILL'!F1046,"AAAAAHt30LY=")</f>
        <v>#VALUE!</v>
      </c>
      <c r="GB289" t="e">
        <f>AND('STERLING CATALOG - FZN &amp; CHILL'!G1046,"AAAAAHt30Lc=")</f>
        <v>#VALUE!</v>
      </c>
      <c r="GC289" t="e">
        <f>AND('STERLING CATALOG - FZN &amp; CHILL'!H1046,"AAAAAHt30Lg=")</f>
        <v>#VALUE!</v>
      </c>
      <c r="GD289" t="e">
        <f>AND('STERLING CATALOG - FZN &amp; CHILL'!I1046,"AAAAAHt30Lk=")</f>
        <v>#VALUE!</v>
      </c>
      <c r="GE289" t="e">
        <f>AND('STERLING CATALOG - FZN &amp; CHILL'!J1046,"AAAAAHt30Lo=")</f>
        <v>#VALUE!</v>
      </c>
      <c r="GF289">
        <f>IF('STERLING CATALOG - FZN &amp; CHILL'!1047:1047,"AAAAAHt30Ls=",0)</f>
        <v>0</v>
      </c>
      <c r="GG289" t="e">
        <f>AND('STERLING CATALOG - FZN &amp; CHILL'!A1047,"AAAAAHt30Lw=")</f>
        <v>#VALUE!</v>
      </c>
      <c r="GH289" t="e">
        <f>AND('STERLING CATALOG - FZN &amp; CHILL'!B1047,"AAAAAHt30L0=")</f>
        <v>#VALUE!</v>
      </c>
      <c r="GI289" t="e">
        <f>AND('STERLING CATALOG - FZN &amp; CHILL'!C1047,"AAAAAHt30L4=")</f>
        <v>#VALUE!</v>
      </c>
      <c r="GJ289" t="e">
        <f>AND('STERLING CATALOG - FZN &amp; CHILL'!D1047,"AAAAAHt30L8=")</f>
        <v>#VALUE!</v>
      </c>
      <c r="GK289" t="e">
        <f>AND('STERLING CATALOG - FZN &amp; CHILL'!E1047,"AAAAAHt30MA=")</f>
        <v>#VALUE!</v>
      </c>
      <c r="GL289" t="e">
        <f>AND('STERLING CATALOG - FZN &amp; CHILL'!F1047,"AAAAAHt30ME=")</f>
        <v>#VALUE!</v>
      </c>
      <c r="GM289" t="e">
        <f>AND('STERLING CATALOG - FZN &amp; CHILL'!G1047,"AAAAAHt30MI=")</f>
        <v>#VALUE!</v>
      </c>
      <c r="GN289" t="e">
        <f>AND('STERLING CATALOG - FZN &amp; CHILL'!H1047,"AAAAAHt30MM=")</f>
        <v>#VALUE!</v>
      </c>
      <c r="GO289" t="e">
        <f>AND('STERLING CATALOG - FZN &amp; CHILL'!I1047,"AAAAAHt30MQ=")</f>
        <v>#VALUE!</v>
      </c>
      <c r="GP289" t="e">
        <f>AND('STERLING CATALOG - FZN &amp; CHILL'!J1047,"AAAAAHt30MU=")</f>
        <v>#VALUE!</v>
      </c>
      <c r="GQ289">
        <f>IF('STERLING CATALOG - FZN &amp; CHILL'!1048:1048,"AAAAAHt30MY=",0)</f>
        <v>0</v>
      </c>
      <c r="GR289" t="e">
        <f>AND('STERLING CATALOG - FZN &amp; CHILL'!A1048,"AAAAAHt30Mc=")</f>
        <v>#VALUE!</v>
      </c>
      <c r="GS289" t="e">
        <f>AND('STERLING CATALOG - FZN &amp; CHILL'!B1048,"AAAAAHt30Mg=")</f>
        <v>#VALUE!</v>
      </c>
      <c r="GT289" t="e">
        <f>AND('STERLING CATALOG - FZN &amp; CHILL'!C1048,"AAAAAHt30Mk=")</f>
        <v>#VALUE!</v>
      </c>
      <c r="GU289" t="e">
        <f>AND('STERLING CATALOG - FZN &amp; CHILL'!D1048,"AAAAAHt30Mo=")</f>
        <v>#VALUE!</v>
      </c>
      <c r="GV289" t="e">
        <f>AND('STERLING CATALOG - FZN &amp; CHILL'!E1048,"AAAAAHt30Ms=")</f>
        <v>#VALUE!</v>
      </c>
      <c r="GW289" t="e">
        <f>AND('STERLING CATALOG - FZN &amp; CHILL'!F1048,"AAAAAHt30Mw=")</f>
        <v>#VALUE!</v>
      </c>
      <c r="GX289" t="e">
        <f>AND('STERLING CATALOG - FZN &amp; CHILL'!G1048,"AAAAAHt30M0=")</f>
        <v>#VALUE!</v>
      </c>
      <c r="GY289" t="e">
        <f>AND('STERLING CATALOG - FZN &amp; CHILL'!H1048,"AAAAAHt30M4=")</f>
        <v>#VALUE!</v>
      </c>
      <c r="GZ289" t="e">
        <f>AND('STERLING CATALOG - FZN &amp; CHILL'!I1048,"AAAAAHt30M8=")</f>
        <v>#VALUE!</v>
      </c>
      <c r="HA289" t="e">
        <f>AND('STERLING CATALOG - FZN &amp; CHILL'!J1048,"AAAAAHt30NA=")</f>
        <v>#VALUE!</v>
      </c>
      <c r="HB289">
        <f>IF('STERLING CATALOG - FZN &amp; CHILL'!1049:1049,"AAAAAHt30NE=",0)</f>
        <v>0</v>
      </c>
      <c r="HC289" t="e">
        <f>AND('STERLING CATALOG - FZN &amp; CHILL'!A1049,"AAAAAHt30NI=")</f>
        <v>#VALUE!</v>
      </c>
      <c r="HD289" t="e">
        <f>AND('STERLING CATALOG - FZN &amp; CHILL'!B1049,"AAAAAHt30NM=")</f>
        <v>#VALUE!</v>
      </c>
      <c r="HE289" t="e">
        <f>AND('STERLING CATALOG - FZN &amp; CHILL'!C1049,"AAAAAHt30NQ=")</f>
        <v>#VALUE!</v>
      </c>
      <c r="HF289" t="e">
        <f>AND('STERLING CATALOG - FZN &amp; CHILL'!D1049,"AAAAAHt30NU=")</f>
        <v>#VALUE!</v>
      </c>
      <c r="HG289" t="e">
        <f>AND('STERLING CATALOG - FZN &amp; CHILL'!E1049,"AAAAAHt30NY=")</f>
        <v>#VALUE!</v>
      </c>
      <c r="HH289" t="e">
        <f>AND('STERLING CATALOG - FZN &amp; CHILL'!F1049,"AAAAAHt30Nc=")</f>
        <v>#VALUE!</v>
      </c>
      <c r="HI289" t="e">
        <f>AND('STERLING CATALOG - FZN &amp; CHILL'!G1049,"AAAAAHt30Ng=")</f>
        <v>#VALUE!</v>
      </c>
      <c r="HJ289" t="e">
        <f>AND('STERLING CATALOG - FZN &amp; CHILL'!H1049,"AAAAAHt30Nk=")</f>
        <v>#VALUE!</v>
      </c>
      <c r="HK289" t="e">
        <f>AND('STERLING CATALOG - FZN &amp; CHILL'!I1049,"AAAAAHt30No=")</f>
        <v>#VALUE!</v>
      </c>
      <c r="HL289" t="e">
        <f>AND('STERLING CATALOG - FZN &amp; CHILL'!J1049,"AAAAAHt30Ns=")</f>
        <v>#VALUE!</v>
      </c>
      <c r="HM289">
        <f>IF('STERLING CATALOG - FZN &amp; CHILL'!1050:1050,"AAAAAHt30Nw=",0)</f>
        <v>0</v>
      </c>
      <c r="HN289" t="e">
        <f>AND('STERLING CATALOG - FZN &amp; CHILL'!A1050,"AAAAAHt30N0=")</f>
        <v>#VALUE!</v>
      </c>
      <c r="HO289" t="e">
        <f>AND('STERLING CATALOG - FZN &amp; CHILL'!B1050,"AAAAAHt30N4=")</f>
        <v>#VALUE!</v>
      </c>
      <c r="HP289" t="e">
        <f>AND('STERLING CATALOG - FZN &amp; CHILL'!C1050,"AAAAAHt30N8=")</f>
        <v>#VALUE!</v>
      </c>
      <c r="HQ289" t="e">
        <f>AND('STERLING CATALOG - FZN &amp; CHILL'!D1050,"AAAAAHt30OA=")</f>
        <v>#VALUE!</v>
      </c>
      <c r="HR289" t="e">
        <f>AND('STERLING CATALOG - FZN &amp; CHILL'!E1050,"AAAAAHt30OE=")</f>
        <v>#VALUE!</v>
      </c>
      <c r="HS289" t="e">
        <f>AND('STERLING CATALOG - FZN &amp; CHILL'!F1050,"AAAAAHt30OI=")</f>
        <v>#VALUE!</v>
      </c>
      <c r="HT289" t="e">
        <f>AND('STERLING CATALOG - FZN &amp; CHILL'!G1050,"AAAAAHt30OM=")</f>
        <v>#VALUE!</v>
      </c>
      <c r="HU289" t="e">
        <f>AND('STERLING CATALOG - FZN &amp; CHILL'!H1050,"AAAAAHt30OQ=")</f>
        <v>#VALUE!</v>
      </c>
      <c r="HV289" t="e">
        <f>AND('STERLING CATALOG - FZN &amp; CHILL'!I1050,"AAAAAHt30OU=")</f>
        <v>#VALUE!</v>
      </c>
      <c r="HW289" t="e">
        <f>AND('STERLING CATALOG - FZN &amp; CHILL'!J1050,"AAAAAHt30OY=")</f>
        <v>#VALUE!</v>
      </c>
      <c r="HX289">
        <f>IF('STERLING CATALOG - FZN &amp; CHILL'!1051:1051,"AAAAAHt30Oc=",0)</f>
        <v>0</v>
      </c>
      <c r="HY289" t="e">
        <f>AND('STERLING CATALOG - FZN &amp; CHILL'!A1051,"AAAAAHt30Og=")</f>
        <v>#VALUE!</v>
      </c>
      <c r="HZ289" t="e">
        <f>AND('STERLING CATALOG - FZN &amp; CHILL'!B1051,"AAAAAHt30Ok=")</f>
        <v>#VALUE!</v>
      </c>
      <c r="IA289" t="e">
        <f>AND('STERLING CATALOG - FZN &amp; CHILL'!C1051,"AAAAAHt30Oo=")</f>
        <v>#VALUE!</v>
      </c>
      <c r="IB289" t="e">
        <f>AND('STERLING CATALOG - FZN &amp; CHILL'!D1051,"AAAAAHt30Os=")</f>
        <v>#VALUE!</v>
      </c>
      <c r="IC289" t="e">
        <f>AND('STERLING CATALOG - FZN &amp; CHILL'!E1051,"AAAAAHt30Ow=")</f>
        <v>#VALUE!</v>
      </c>
      <c r="ID289" t="e">
        <f>AND('STERLING CATALOG - FZN &amp; CHILL'!F1051,"AAAAAHt30O0=")</f>
        <v>#VALUE!</v>
      </c>
      <c r="IE289" t="e">
        <f>AND('STERLING CATALOG - FZN &amp; CHILL'!G1051,"AAAAAHt30O4=")</f>
        <v>#VALUE!</v>
      </c>
      <c r="IF289" t="e">
        <f>AND('STERLING CATALOG - FZN &amp; CHILL'!H1051,"AAAAAHt30O8=")</f>
        <v>#VALUE!</v>
      </c>
      <c r="IG289" t="e">
        <f>AND('STERLING CATALOG - FZN &amp; CHILL'!I1051,"AAAAAHt30PA=")</f>
        <v>#VALUE!</v>
      </c>
      <c r="IH289" t="e">
        <f>AND('STERLING CATALOG - FZN &amp; CHILL'!J1051,"AAAAAHt30PE=")</f>
        <v>#VALUE!</v>
      </c>
      <c r="II289">
        <f>IF('STERLING CATALOG - FZN &amp; CHILL'!1052:1052,"AAAAAHt30PI=",0)</f>
        <v>0</v>
      </c>
      <c r="IJ289" t="e">
        <f>AND('STERLING CATALOG - FZN &amp; CHILL'!A1052,"AAAAAHt30PM=")</f>
        <v>#VALUE!</v>
      </c>
      <c r="IK289" t="e">
        <f>AND('STERLING CATALOG - FZN &amp; CHILL'!B1052,"AAAAAHt30PQ=")</f>
        <v>#VALUE!</v>
      </c>
      <c r="IL289" t="e">
        <f>AND('STERLING CATALOG - FZN &amp; CHILL'!C1052,"AAAAAHt30PU=")</f>
        <v>#VALUE!</v>
      </c>
      <c r="IM289" t="e">
        <f>AND('STERLING CATALOG - FZN &amp; CHILL'!D1052,"AAAAAHt30PY=")</f>
        <v>#VALUE!</v>
      </c>
      <c r="IN289" t="e">
        <f>AND('STERLING CATALOG - FZN &amp; CHILL'!E1052,"AAAAAHt30Pc=")</f>
        <v>#VALUE!</v>
      </c>
      <c r="IO289" t="e">
        <f>AND('STERLING CATALOG - FZN &amp; CHILL'!F1052,"AAAAAHt30Pg=")</f>
        <v>#VALUE!</v>
      </c>
      <c r="IP289" t="e">
        <f>AND('STERLING CATALOG - FZN &amp; CHILL'!G1052,"AAAAAHt30Pk=")</f>
        <v>#VALUE!</v>
      </c>
      <c r="IQ289" t="e">
        <f>AND('STERLING CATALOG - FZN &amp; CHILL'!H1052,"AAAAAHt30Po=")</f>
        <v>#VALUE!</v>
      </c>
      <c r="IR289" t="e">
        <f>AND('STERLING CATALOG - FZN &amp; CHILL'!I1052,"AAAAAHt30Ps=")</f>
        <v>#VALUE!</v>
      </c>
      <c r="IS289" t="e">
        <f>AND('STERLING CATALOG - FZN &amp; CHILL'!J1052,"AAAAAHt30Pw=")</f>
        <v>#VALUE!</v>
      </c>
      <c r="IT289">
        <f>IF('STERLING CATALOG - FZN &amp; CHILL'!1053:1053,"AAAAAHt30P0=",0)</f>
        <v>0</v>
      </c>
      <c r="IU289" t="e">
        <f>AND('STERLING CATALOG - FZN &amp; CHILL'!A1053,"AAAAAHt30P4=")</f>
        <v>#VALUE!</v>
      </c>
      <c r="IV289" t="e">
        <f>AND('STERLING CATALOG - FZN &amp; CHILL'!B1053,"AAAAAHt30P8=")</f>
        <v>#VALUE!</v>
      </c>
    </row>
    <row r="290" spans="1:256">
      <c r="A290" t="e">
        <f>AND('STERLING CATALOG - FZN &amp; CHILL'!C1053,"AAAAAH/9fwA=")</f>
        <v>#VALUE!</v>
      </c>
      <c r="B290" t="e">
        <f>AND('STERLING CATALOG - FZN &amp; CHILL'!D1053,"AAAAAH/9fwE=")</f>
        <v>#VALUE!</v>
      </c>
      <c r="C290" t="e">
        <f>AND('STERLING CATALOG - FZN &amp; CHILL'!E1053,"AAAAAH/9fwI=")</f>
        <v>#VALUE!</v>
      </c>
      <c r="D290" t="e">
        <f>AND('STERLING CATALOG - FZN &amp; CHILL'!F1053,"AAAAAH/9fwM=")</f>
        <v>#VALUE!</v>
      </c>
      <c r="E290" t="e">
        <f>AND('STERLING CATALOG - FZN &amp; CHILL'!G1053,"AAAAAH/9fwQ=")</f>
        <v>#VALUE!</v>
      </c>
      <c r="F290" t="e">
        <f>AND('STERLING CATALOG - FZN &amp; CHILL'!H1053,"AAAAAH/9fwU=")</f>
        <v>#VALUE!</v>
      </c>
      <c r="G290" t="e">
        <f>AND('STERLING CATALOG - FZN &amp; CHILL'!I1053,"AAAAAH/9fwY=")</f>
        <v>#VALUE!</v>
      </c>
      <c r="H290" t="e">
        <f>AND('STERLING CATALOG - FZN &amp; CHILL'!J1053,"AAAAAH/9fwc=")</f>
        <v>#VALUE!</v>
      </c>
      <c r="I290" t="e">
        <f>IF('STERLING CATALOG - FZN &amp; CHILL'!1054:1054,"AAAAAH/9fwg=",0)</f>
        <v>#VALUE!</v>
      </c>
      <c r="J290" t="e">
        <f>AND('STERLING CATALOG - FZN &amp; CHILL'!A1054,"AAAAAH/9fwk=")</f>
        <v>#VALUE!</v>
      </c>
      <c r="K290" t="e">
        <f>AND('STERLING CATALOG - FZN &amp; CHILL'!B1054,"AAAAAH/9fwo=")</f>
        <v>#VALUE!</v>
      </c>
      <c r="L290" t="e">
        <f>AND('STERLING CATALOG - FZN &amp; CHILL'!C1054,"AAAAAH/9fws=")</f>
        <v>#VALUE!</v>
      </c>
      <c r="M290" t="e">
        <f>AND('STERLING CATALOG - FZN &amp; CHILL'!D1054,"AAAAAH/9fww=")</f>
        <v>#VALUE!</v>
      </c>
      <c r="N290" t="e">
        <f>AND('STERLING CATALOG - FZN &amp; CHILL'!E1054,"AAAAAH/9fw0=")</f>
        <v>#VALUE!</v>
      </c>
      <c r="O290" t="e">
        <f>AND('STERLING CATALOG - FZN &amp; CHILL'!F1054,"AAAAAH/9fw4=")</f>
        <v>#VALUE!</v>
      </c>
      <c r="P290" t="e">
        <f>AND('STERLING CATALOG - FZN &amp; CHILL'!G1054,"AAAAAH/9fw8=")</f>
        <v>#VALUE!</v>
      </c>
      <c r="Q290" t="e">
        <f>AND('STERLING CATALOG - FZN &amp; CHILL'!H1054,"AAAAAH/9fxA=")</f>
        <v>#VALUE!</v>
      </c>
      <c r="R290" t="e">
        <f>AND('STERLING CATALOG - FZN &amp; CHILL'!I1054,"AAAAAH/9fxE=")</f>
        <v>#VALUE!</v>
      </c>
      <c r="S290" t="e">
        <f>AND('STERLING CATALOG - FZN &amp; CHILL'!J1054,"AAAAAH/9fxI=")</f>
        <v>#VALUE!</v>
      </c>
      <c r="T290">
        <f>IF('STERLING CATALOG - FZN &amp; CHILL'!1055:1055,"AAAAAH/9fxM=",0)</f>
        <v>0</v>
      </c>
      <c r="U290" t="e">
        <f>AND('STERLING CATALOG - FZN &amp; CHILL'!A1055,"AAAAAH/9fxQ=")</f>
        <v>#VALUE!</v>
      </c>
      <c r="V290" t="e">
        <f>AND('STERLING CATALOG - FZN &amp; CHILL'!B1055,"AAAAAH/9fxU=")</f>
        <v>#VALUE!</v>
      </c>
      <c r="W290" t="e">
        <f>AND('STERLING CATALOG - FZN &amp; CHILL'!C1055,"AAAAAH/9fxY=")</f>
        <v>#VALUE!</v>
      </c>
      <c r="X290" t="e">
        <f>AND('STERLING CATALOG - FZN &amp; CHILL'!D1055,"AAAAAH/9fxc=")</f>
        <v>#VALUE!</v>
      </c>
      <c r="Y290" t="e">
        <f>AND('STERLING CATALOG - FZN &amp; CHILL'!E1055,"AAAAAH/9fxg=")</f>
        <v>#VALUE!</v>
      </c>
      <c r="Z290" t="e">
        <f>AND('STERLING CATALOG - FZN &amp; CHILL'!F1055,"AAAAAH/9fxk=")</f>
        <v>#VALUE!</v>
      </c>
      <c r="AA290" t="e">
        <f>AND('STERLING CATALOG - FZN &amp; CHILL'!G1055,"AAAAAH/9fxo=")</f>
        <v>#VALUE!</v>
      </c>
      <c r="AB290" t="e">
        <f>AND('STERLING CATALOG - FZN &amp; CHILL'!H1055,"AAAAAH/9fxs=")</f>
        <v>#VALUE!</v>
      </c>
      <c r="AC290" t="e">
        <f>AND('STERLING CATALOG - FZN &amp; CHILL'!I1055,"AAAAAH/9fxw=")</f>
        <v>#VALUE!</v>
      </c>
      <c r="AD290" t="e">
        <f>AND('STERLING CATALOG - FZN &amp; CHILL'!J1055,"AAAAAH/9fx0=")</f>
        <v>#VALUE!</v>
      </c>
      <c r="AE290">
        <f>IF('STERLING CATALOG - FZN &amp; CHILL'!1056:1056,"AAAAAH/9fx4=",0)</f>
        <v>0</v>
      </c>
      <c r="AF290" t="e">
        <f>AND('STERLING CATALOG - FZN &amp; CHILL'!A1056,"AAAAAH/9fx8=")</f>
        <v>#VALUE!</v>
      </c>
      <c r="AG290" t="e">
        <f>AND('STERLING CATALOG - FZN &amp; CHILL'!B1056,"AAAAAH/9fyA=")</f>
        <v>#VALUE!</v>
      </c>
      <c r="AH290" t="e">
        <f>AND('STERLING CATALOG - FZN &amp; CHILL'!C1056,"AAAAAH/9fyE=")</f>
        <v>#VALUE!</v>
      </c>
      <c r="AI290" t="e">
        <f>AND('STERLING CATALOG - FZN &amp; CHILL'!D1056,"AAAAAH/9fyI=")</f>
        <v>#VALUE!</v>
      </c>
      <c r="AJ290" t="e">
        <f>AND('STERLING CATALOG - FZN &amp; CHILL'!E1056,"AAAAAH/9fyM=")</f>
        <v>#VALUE!</v>
      </c>
      <c r="AK290" t="e">
        <f>AND('STERLING CATALOG - FZN &amp; CHILL'!F1056,"AAAAAH/9fyQ=")</f>
        <v>#VALUE!</v>
      </c>
      <c r="AL290" t="e">
        <f>AND('STERLING CATALOG - FZN &amp; CHILL'!G1056,"AAAAAH/9fyU=")</f>
        <v>#VALUE!</v>
      </c>
      <c r="AM290" t="e">
        <f>AND('STERLING CATALOG - FZN &amp; CHILL'!H1056,"AAAAAH/9fyY=")</f>
        <v>#VALUE!</v>
      </c>
      <c r="AN290" t="e">
        <f>AND('STERLING CATALOG - FZN &amp; CHILL'!I1056,"AAAAAH/9fyc=")</f>
        <v>#VALUE!</v>
      </c>
      <c r="AO290" t="e">
        <f>AND('STERLING CATALOG - FZN &amp; CHILL'!J1056,"AAAAAH/9fyg=")</f>
        <v>#VALUE!</v>
      </c>
      <c r="AP290">
        <f>IF('STERLING CATALOG - FZN &amp; CHILL'!1057:1057,"AAAAAH/9fyk=",0)</f>
        <v>0</v>
      </c>
      <c r="AQ290" t="e">
        <f>AND('STERLING CATALOG - FZN &amp; CHILL'!A1057,"AAAAAH/9fyo=")</f>
        <v>#VALUE!</v>
      </c>
      <c r="AR290" t="e">
        <f>AND('STERLING CATALOG - FZN &amp; CHILL'!B1057,"AAAAAH/9fys=")</f>
        <v>#VALUE!</v>
      </c>
      <c r="AS290" t="e">
        <f>AND('STERLING CATALOG - FZN &amp; CHILL'!C1057,"AAAAAH/9fyw=")</f>
        <v>#VALUE!</v>
      </c>
      <c r="AT290" t="e">
        <f>AND('STERLING CATALOG - FZN &amp; CHILL'!D1057,"AAAAAH/9fy0=")</f>
        <v>#VALUE!</v>
      </c>
      <c r="AU290" t="e">
        <f>AND('STERLING CATALOG - FZN &amp; CHILL'!E1057,"AAAAAH/9fy4=")</f>
        <v>#VALUE!</v>
      </c>
      <c r="AV290" t="e">
        <f>AND('STERLING CATALOG - FZN &amp; CHILL'!F1057,"AAAAAH/9fy8=")</f>
        <v>#VALUE!</v>
      </c>
      <c r="AW290" t="e">
        <f>AND('STERLING CATALOG - FZN &amp; CHILL'!G1057,"AAAAAH/9fzA=")</f>
        <v>#VALUE!</v>
      </c>
      <c r="AX290" t="e">
        <f>AND('STERLING CATALOG - FZN &amp; CHILL'!H1057,"AAAAAH/9fzE=")</f>
        <v>#VALUE!</v>
      </c>
      <c r="AY290" t="e">
        <f>AND('STERLING CATALOG - FZN &amp; CHILL'!I1057,"AAAAAH/9fzI=")</f>
        <v>#VALUE!</v>
      </c>
      <c r="AZ290" t="e">
        <f>AND('STERLING CATALOG - FZN &amp; CHILL'!J1057,"AAAAAH/9fzM=")</f>
        <v>#VALUE!</v>
      </c>
      <c r="BA290">
        <f>IF('STERLING CATALOG - FZN &amp; CHILL'!1058:1058,"AAAAAH/9fzQ=",0)</f>
        <v>0</v>
      </c>
      <c r="BB290" t="e">
        <f>AND('STERLING CATALOG - FZN &amp; CHILL'!A1058,"AAAAAH/9fzU=")</f>
        <v>#VALUE!</v>
      </c>
      <c r="BC290" t="e">
        <f>AND('STERLING CATALOG - FZN &amp; CHILL'!B1058,"AAAAAH/9fzY=")</f>
        <v>#VALUE!</v>
      </c>
      <c r="BD290" t="e">
        <f>AND('STERLING CATALOG - FZN &amp; CHILL'!C1058,"AAAAAH/9fzc=")</f>
        <v>#VALUE!</v>
      </c>
      <c r="BE290" t="e">
        <f>AND('STERLING CATALOG - FZN &amp; CHILL'!D1058,"AAAAAH/9fzg=")</f>
        <v>#VALUE!</v>
      </c>
      <c r="BF290" t="e">
        <f>AND('STERLING CATALOG - FZN &amp; CHILL'!E1058,"AAAAAH/9fzk=")</f>
        <v>#VALUE!</v>
      </c>
      <c r="BG290" t="e">
        <f>AND('STERLING CATALOG - FZN &amp; CHILL'!F1058,"AAAAAH/9fzo=")</f>
        <v>#VALUE!</v>
      </c>
      <c r="BH290" t="e">
        <f>AND('STERLING CATALOG - FZN &amp; CHILL'!G1058,"AAAAAH/9fzs=")</f>
        <v>#VALUE!</v>
      </c>
      <c r="BI290" t="e">
        <f>AND('STERLING CATALOG - FZN &amp; CHILL'!H1058,"AAAAAH/9fzw=")</f>
        <v>#VALUE!</v>
      </c>
      <c r="BJ290" t="e">
        <f>AND('STERLING CATALOG - FZN &amp; CHILL'!I1058,"AAAAAH/9fz0=")</f>
        <v>#VALUE!</v>
      </c>
      <c r="BK290" t="e">
        <f>AND('STERLING CATALOG - FZN &amp; CHILL'!J1058,"AAAAAH/9fz4=")</f>
        <v>#VALUE!</v>
      </c>
      <c r="BL290">
        <f>IF('STERLING CATALOG - FZN &amp; CHILL'!1059:1059,"AAAAAH/9fz8=",0)</f>
        <v>0</v>
      </c>
      <c r="BM290" t="e">
        <f>AND('STERLING CATALOG - FZN &amp; CHILL'!A1059,"AAAAAH/9f0A=")</f>
        <v>#VALUE!</v>
      </c>
      <c r="BN290" t="e">
        <f>AND('STERLING CATALOG - FZN &amp; CHILL'!B1059,"AAAAAH/9f0E=")</f>
        <v>#VALUE!</v>
      </c>
      <c r="BO290" t="e">
        <f>AND('STERLING CATALOG - FZN &amp; CHILL'!C1059,"AAAAAH/9f0I=")</f>
        <v>#VALUE!</v>
      </c>
      <c r="BP290" t="e">
        <f>AND('STERLING CATALOG - FZN &amp; CHILL'!D1059,"AAAAAH/9f0M=")</f>
        <v>#VALUE!</v>
      </c>
      <c r="BQ290" t="e">
        <f>AND('STERLING CATALOG - FZN &amp; CHILL'!E1059,"AAAAAH/9f0Q=")</f>
        <v>#VALUE!</v>
      </c>
      <c r="BR290" t="e">
        <f>AND('STERLING CATALOG - FZN &amp; CHILL'!F1059,"AAAAAH/9f0U=")</f>
        <v>#VALUE!</v>
      </c>
      <c r="BS290" t="e">
        <f>AND('STERLING CATALOG - FZN &amp; CHILL'!G1059,"AAAAAH/9f0Y=")</f>
        <v>#VALUE!</v>
      </c>
      <c r="BT290" t="e">
        <f>AND('STERLING CATALOG - FZN &amp; CHILL'!H1059,"AAAAAH/9f0c=")</f>
        <v>#VALUE!</v>
      </c>
      <c r="BU290" t="e">
        <f>AND('STERLING CATALOG - FZN &amp; CHILL'!I1059,"AAAAAH/9f0g=")</f>
        <v>#VALUE!</v>
      </c>
      <c r="BV290" t="e">
        <f>AND('STERLING CATALOG - FZN &amp; CHILL'!J1059,"AAAAAH/9f0k=")</f>
        <v>#VALUE!</v>
      </c>
      <c r="BW290">
        <f>IF('STERLING CATALOG - FZN &amp; CHILL'!1060:1060,"AAAAAH/9f0o=",0)</f>
        <v>0</v>
      </c>
      <c r="BX290" t="e">
        <f>AND('STERLING CATALOG - FZN &amp; CHILL'!A1060,"AAAAAH/9f0s=")</f>
        <v>#VALUE!</v>
      </c>
      <c r="BY290" t="e">
        <f>AND('STERLING CATALOG - FZN &amp; CHILL'!B1060,"AAAAAH/9f0w=")</f>
        <v>#VALUE!</v>
      </c>
      <c r="BZ290" t="e">
        <f>AND('STERLING CATALOG - FZN &amp; CHILL'!C1060,"AAAAAH/9f00=")</f>
        <v>#VALUE!</v>
      </c>
      <c r="CA290" t="e">
        <f>AND('STERLING CATALOG - FZN &amp; CHILL'!D1060,"AAAAAH/9f04=")</f>
        <v>#VALUE!</v>
      </c>
      <c r="CB290" t="e">
        <f>AND('STERLING CATALOG - FZN &amp; CHILL'!E1060,"AAAAAH/9f08=")</f>
        <v>#VALUE!</v>
      </c>
      <c r="CC290" t="e">
        <f>AND('STERLING CATALOG - FZN &amp; CHILL'!F1060,"AAAAAH/9f1A=")</f>
        <v>#VALUE!</v>
      </c>
      <c r="CD290" t="e">
        <f>AND('STERLING CATALOG - FZN &amp; CHILL'!G1060,"AAAAAH/9f1E=")</f>
        <v>#VALUE!</v>
      </c>
      <c r="CE290" t="e">
        <f>AND('STERLING CATALOG - FZN &amp; CHILL'!H1060,"AAAAAH/9f1I=")</f>
        <v>#VALUE!</v>
      </c>
      <c r="CF290" t="e">
        <f>AND('STERLING CATALOG - FZN &amp; CHILL'!I1060,"AAAAAH/9f1M=")</f>
        <v>#VALUE!</v>
      </c>
      <c r="CG290" t="e">
        <f>AND('STERLING CATALOG - FZN &amp; CHILL'!J1060,"AAAAAH/9f1Q=")</f>
        <v>#VALUE!</v>
      </c>
      <c r="CH290">
        <f>IF('STERLING CATALOG - FZN &amp; CHILL'!1061:1061,"AAAAAH/9f1U=",0)</f>
        <v>0</v>
      </c>
      <c r="CI290" t="e">
        <f>AND('STERLING CATALOG - FZN &amp; CHILL'!A1061,"AAAAAH/9f1Y=")</f>
        <v>#VALUE!</v>
      </c>
      <c r="CJ290" t="e">
        <f>AND('STERLING CATALOG - FZN &amp; CHILL'!B1061,"AAAAAH/9f1c=")</f>
        <v>#VALUE!</v>
      </c>
      <c r="CK290" t="e">
        <f>AND('STERLING CATALOG - FZN &amp; CHILL'!C1061,"AAAAAH/9f1g=")</f>
        <v>#VALUE!</v>
      </c>
      <c r="CL290" t="e">
        <f>AND('STERLING CATALOG - FZN &amp; CHILL'!D1061,"AAAAAH/9f1k=")</f>
        <v>#VALUE!</v>
      </c>
      <c r="CM290" t="e">
        <f>AND('STERLING CATALOG - FZN &amp; CHILL'!E1061,"AAAAAH/9f1o=")</f>
        <v>#VALUE!</v>
      </c>
      <c r="CN290" t="e">
        <f>AND('STERLING CATALOG - FZN &amp; CHILL'!F1061,"AAAAAH/9f1s=")</f>
        <v>#VALUE!</v>
      </c>
      <c r="CO290" t="e">
        <f>AND('STERLING CATALOG - FZN &amp; CHILL'!G1061,"AAAAAH/9f1w=")</f>
        <v>#VALUE!</v>
      </c>
      <c r="CP290" t="e">
        <f>AND('STERLING CATALOG - FZN &amp; CHILL'!H1061,"AAAAAH/9f10=")</f>
        <v>#VALUE!</v>
      </c>
      <c r="CQ290" t="e">
        <f>AND('STERLING CATALOG - FZN &amp; CHILL'!I1061,"AAAAAH/9f14=")</f>
        <v>#VALUE!</v>
      </c>
      <c r="CR290" t="e">
        <f>AND('STERLING CATALOG - FZN &amp; CHILL'!J1061,"AAAAAH/9f18=")</f>
        <v>#VALUE!</v>
      </c>
      <c r="CS290">
        <f>IF('STERLING CATALOG - FZN &amp; CHILL'!1062:1062,"AAAAAH/9f2A=",0)</f>
        <v>0</v>
      </c>
      <c r="CT290" t="e">
        <f>AND('STERLING CATALOG - FZN &amp; CHILL'!A1062,"AAAAAH/9f2E=")</f>
        <v>#VALUE!</v>
      </c>
      <c r="CU290" t="e">
        <f>AND('STERLING CATALOG - FZN &amp; CHILL'!B1062,"AAAAAH/9f2I=")</f>
        <v>#VALUE!</v>
      </c>
      <c r="CV290" t="e">
        <f>AND('STERLING CATALOG - FZN &amp; CHILL'!C1062,"AAAAAH/9f2M=")</f>
        <v>#VALUE!</v>
      </c>
      <c r="CW290" t="e">
        <f>AND('STERLING CATALOG - FZN &amp; CHILL'!D1062,"AAAAAH/9f2Q=")</f>
        <v>#VALUE!</v>
      </c>
      <c r="CX290" t="e">
        <f>AND('STERLING CATALOG - FZN &amp; CHILL'!E1062,"AAAAAH/9f2U=")</f>
        <v>#VALUE!</v>
      </c>
      <c r="CY290" t="e">
        <f>AND('STERLING CATALOG - FZN &amp; CHILL'!F1062,"AAAAAH/9f2Y=")</f>
        <v>#VALUE!</v>
      </c>
      <c r="CZ290" t="e">
        <f>AND('STERLING CATALOG - FZN &amp; CHILL'!G1062,"AAAAAH/9f2c=")</f>
        <v>#VALUE!</v>
      </c>
      <c r="DA290" t="e">
        <f>AND('STERLING CATALOG - FZN &amp; CHILL'!H1062,"AAAAAH/9f2g=")</f>
        <v>#VALUE!</v>
      </c>
      <c r="DB290" t="e">
        <f>AND('STERLING CATALOG - FZN &amp; CHILL'!I1062,"AAAAAH/9f2k=")</f>
        <v>#VALUE!</v>
      </c>
      <c r="DC290" t="e">
        <f>AND('STERLING CATALOG - FZN &amp; CHILL'!J1062,"AAAAAH/9f2o=")</f>
        <v>#VALUE!</v>
      </c>
      <c r="DD290">
        <f>IF('STERLING CATALOG - FZN &amp; CHILL'!1063:1063,"AAAAAH/9f2s=",0)</f>
        <v>0</v>
      </c>
      <c r="DE290" t="e">
        <f>AND('STERLING CATALOG - FZN &amp; CHILL'!A1063,"AAAAAH/9f2w=")</f>
        <v>#VALUE!</v>
      </c>
      <c r="DF290" t="e">
        <f>AND('STERLING CATALOG - FZN &amp; CHILL'!B1063,"AAAAAH/9f20=")</f>
        <v>#VALUE!</v>
      </c>
      <c r="DG290" t="e">
        <f>AND('STERLING CATALOG - FZN &amp; CHILL'!C1063,"AAAAAH/9f24=")</f>
        <v>#VALUE!</v>
      </c>
      <c r="DH290" t="e">
        <f>AND('STERLING CATALOG - FZN &amp; CHILL'!D1063,"AAAAAH/9f28=")</f>
        <v>#VALUE!</v>
      </c>
      <c r="DI290" t="e">
        <f>AND('STERLING CATALOG - FZN &amp; CHILL'!E1063,"AAAAAH/9f3A=")</f>
        <v>#VALUE!</v>
      </c>
      <c r="DJ290" t="e">
        <f>AND('STERLING CATALOG - FZN &amp; CHILL'!F1063,"AAAAAH/9f3E=")</f>
        <v>#VALUE!</v>
      </c>
      <c r="DK290" t="e">
        <f>AND('STERLING CATALOG - FZN &amp; CHILL'!G1063,"AAAAAH/9f3I=")</f>
        <v>#VALUE!</v>
      </c>
      <c r="DL290" t="e">
        <f>AND('STERLING CATALOG - FZN &amp; CHILL'!H1063,"AAAAAH/9f3M=")</f>
        <v>#VALUE!</v>
      </c>
      <c r="DM290" t="e">
        <f>AND('STERLING CATALOG - FZN &amp; CHILL'!I1063,"AAAAAH/9f3Q=")</f>
        <v>#VALUE!</v>
      </c>
      <c r="DN290" t="e">
        <f>AND('STERLING CATALOG - FZN &amp; CHILL'!J1063,"AAAAAH/9f3U=")</f>
        <v>#VALUE!</v>
      </c>
      <c r="DO290">
        <f>IF('STERLING CATALOG - FZN &amp; CHILL'!1064:1064,"AAAAAH/9f3Y=",0)</f>
        <v>0</v>
      </c>
      <c r="DP290" t="e">
        <f>AND('STERLING CATALOG - FZN &amp; CHILL'!A1064,"AAAAAH/9f3c=")</f>
        <v>#VALUE!</v>
      </c>
      <c r="DQ290" t="e">
        <f>AND('STERLING CATALOG - FZN &amp; CHILL'!B1064,"AAAAAH/9f3g=")</f>
        <v>#VALUE!</v>
      </c>
      <c r="DR290" t="e">
        <f>AND('STERLING CATALOG - FZN &amp; CHILL'!C1064,"AAAAAH/9f3k=")</f>
        <v>#VALUE!</v>
      </c>
      <c r="DS290" t="e">
        <f>AND('STERLING CATALOG - FZN &amp; CHILL'!D1064,"AAAAAH/9f3o=")</f>
        <v>#VALUE!</v>
      </c>
      <c r="DT290" t="e">
        <f>AND('STERLING CATALOG - FZN &amp; CHILL'!E1064,"AAAAAH/9f3s=")</f>
        <v>#VALUE!</v>
      </c>
      <c r="DU290" t="e">
        <f>AND('STERLING CATALOG - FZN &amp; CHILL'!F1064,"AAAAAH/9f3w=")</f>
        <v>#VALUE!</v>
      </c>
      <c r="DV290" t="e">
        <f>AND('STERLING CATALOG - FZN &amp; CHILL'!G1064,"AAAAAH/9f30=")</f>
        <v>#VALUE!</v>
      </c>
      <c r="DW290" t="e">
        <f>AND('STERLING CATALOG - FZN &amp; CHILL'!H1064,"AAAAAH/9f34=")</f>
        <v>#VALUE!</v>
      </c>
      <c r="DX290" t="e">
        <f>AND('STERLING CATALOG - FZN &amp; CHILL'!I1064,"AAAAAH/9f38=")</f>
        <v>#VALUE!</v>
      </c>
      <c r="DY290" t="e">
        <f>AND('STERLING CATALOG - FZN &amp; CHILL'!J1064,"AAAAAH/9f4A=")</f>
        <v>#VALUE!</v>
      </c>
      <c r="DZ290">
        <f>IF('STERLING CATALOG - FZN &amp; CHILL'!1065:1065,"AAAAAH/9f4E=",0)</f>
        <v>0</v>
      </c>
      <c r="EA290" t="e">
        <f>AND('STERLING CATALOG - FZN &amp; CHILL'!A1065,"AAAAAH/9f4I=")</f>
        <v>#VALUE!</v>
      </c>
      <c r="EB290" t="e">
        <f>AND('STERLING CATALOG - FZN &amp; CHILL'!B1065,"AAAAAH/9f4M=")</f>
        <v>#VALUE!</v>
      </c>
      <c r="EC290" t="e">
        <f>AND('STERLING CATALOG - FZN &amp; CHILL'!C1065,"AAAAAH/9f4Q=")</f>
        <v>#VALUE!</v>
      </c>
      <c r="ED290" t="e">
        <f>AND('STERLING CATALOG - FZN &amp; CHILL'!D1065,"AAAAAH/9f4U=")</f>
        <v>#VALUE!</v>
      </c>
      <c r="EE290" t="e">
        <f>AND('STERLING CATALOG - FZN &amp; CHILL'!E1065,"AAAAAH/9f4Y=")</f>
        <v>#VALUE!</v>
      </c>
      <c r="EF290" t="e">
        <f>AND('STERLING CATALOG - FZN &amp; CHILL'!F1065,"AAAAAH/9f4c=")</f>
        <v>#VALUE!</v>
      </c>
      <c r="EG290" t="e">
        <f>AND('STERLING CATALOG - FZN &amp; CHILL'!G1065,"AAAAAH/9f4g=")</f>
        <v>#VALUE!</v>
      </c>
      <c r="EH290" t="e">
        <f>AND('STERLING CATALOG - FZN &amp; CHILL'!H1065,"AAAAAH/9f4k=")</f>
        <v>#VALUE!</v>
      </c>
      <c r="EI290" t="e">
        <f>AND('STERLING CATALOG - FZN &amp; CHILL'!I1065,"AAAAAH/9f4o=")</f>
        <v>#VALUE!</v>
      </c>
      <c r="EJ290" t="e">
        <f>AND('STERLING CATALOG - FZN &amp; CHILL'!J1065,"AAAAAH/9f4s=")</f>
        <v>#VALUE!</v>
      </c>
      <c r="EK290">
        <f>IF('STERLING CATALOG - FZN &amp; CHILL'!1066:1066,"AAAAAH/9f4w=",0)</f>
        <v>0</v>
      </c>
      <c r="EL290" t="e">
        <f>AND('STERLING CATALOG - FZN &amp; CHILL'!A1066,"AAAAAH/9f40=")</f>
        <v>#VALUE!</v>
      </c>
      <c r="EM290" t="e">
        <f>AND('STERLING CATALOG - FZN &amp; CHILL'!B1066,"AAAAAH/9f44=")</f>
        <v>#VALUE!</v>
      </c>
      <c r="EN290" t="e">
        <f>AND('STERLING CATALOG - FZN &amp; CHILL'!C1066,"AAAAAH/9f48=")</f>
        <v>#VALUE!</v>
      </c>
      <c r="EO290" t="e">
        <f>AND('STERLING CATALOG - FZN &amp; CHILL'!D1066,"AAAAAH/9f5A=")</f>
        <v>#VALUE!</v>
      </c>
      <c r="EP290" t="e">
        <f>AND('STERLING CATALOG - FZN &amp; CHILL'!E1066,"AAAAAH/9f5E=")</f>
        <v>#VALUE!</v>
      </c>
      <c r="EQ290" t="e">
        <f>AND('STERLING CATALOG - FZN &amp; CHILL'!F1066,"AAAAAH/9f5I=")</f>
        <v>#VALUE!</v>
      </c>
      <c r="ER290" t="e">
        <f>AND('STERLING CATALOG - FZN &amp; CHILL'!G1066,"AAAAAH/9f5M=")</f>
        <v>#VALUE!</v>
      </c>
      <c r="ES290" t="e">
        <f>AND('STERLING CATALOG - FZN &amp; CHILL'!H1066,"AAAAAH/9f5Q=")</f>
        <v>#VALUE!</v>
      </c>
      <c r="ET290" t="e">
        <f>AND('STERLING CATALOG - FZN &amp; CHILL'!I1066,"AAAAAH/9f5U=")</f>
        <v>#VALUE!</v>
      </c>
      <c r="EU290" t="e">
        <f>AND('STERLING CATALOG - FZN &amp; CHILL'!J1066,"AAAAAH/9f5Y=")</f>
        <v>#VALUE!</v>
      </c>
      <c r="EV290">
        <f>IF('STERLING CATALOG - FZN &amp; CHILL'!1067:1067,"AAAAAH/9f5c=",0)</f>
        <v>0</v>
      </c>
      <c r="EW290" t="e">
        <f>AND('STERLING CATALOG - FZN &amp; CHILL'!A1067,"AAAAAH/9f5g=")</f>
        <v>#VALUE!</v>
      </c>
      <c r="EX290" t="e">
        <f>AND('STERLING CATALOG - FZN &amp; CHILL'!B1067,"AAAAAH/9f5k=")</f>
        <v>#VALUE!</v>
      </c>
      <c r="EY290" t="e">
        <f>AND('STERLING CATALOG - FZN &amp; CHILL'!C1067,"AAAAAH/9f5o=")</f>
        <v>#VALUE!</v>
      </c>
      <c r="EZ290" t="e">
        <f>AND('STERLING CATALOG - FZN &amp; CHILL'!D1067,"AAAAAH/9f5s=")</f>
        <v>#VALUE!</v>
      </c>
      <c r="FA290" t="e">
        <f>AND('STERLING CATALOG - FZN &amp; CHILL'!E1067,"AAAAAH/9f5w=")</f>
        <v>#VALUE!</v>
      </c>
      <c r="FB290" t="e">
        <f>AND('STERLING CATALOG - FZN &amp; CHILL'!F1067,"AAAAAH/9f50=")</f>
        <v>#VALUE!</v>
      </c>
      <c r="FC290" t="e">
        <f>AND('STERLING CATALOG - FZN &amp; CHILL'!G1067,"AAAAAH/9f54=")</f>
        <v>#VALUE!</v>
      </c>
      <c r="FD290" t="e">
        <f>AND('STERLING CATALOG - FZN &amp; CHILL'!H1067,"AAAAAH/9f58=")</f>
        <v>#VALUE!</v>
      </c>
      <c r="FE290" t="e">
        <f>AND('STERLING CATALOG - FZN &amp; CHILL'!I1067,"AAAAAH/9f6A=")</f>
        <v>#VALUE!</v>
      </c>
      <c r="FF290" t="e">
        <f>AND('STERLING CATALOG - FZN &amp; CHILL'!J1067,"AAAAAH/9f6E=")</f>
        <v>#VALUE!</v>
      </c>
      <c r="FG290">
        <f>IF('STERLING CATALOG - FZN &amp; CHILL'!1068:1068,"AAAAAH/9f6I=",0)</f>
        <v>0</v>
      </c>
      <c r="FH290" t="e">
        <f>AND('STERLING CATALOG - FZN &amp; CHILL'!A1068,"AAAAAH/9f6M=")</f>
        <v>#VALUE!</v>
      </c>
      <c r="FI290" t="e">
        <f>AND('STERLING CATALOG - FZN &amp; CHILL'!B1068,"AAAAAH/9f6Q=")</f>
        <v>#VALUE!</v>
      </c>
      <c r="FJ290" t="e">
        <f>AND('STERLING CATALOG - FZN &amp; CHILL'!C1068,"AAAAAH/9f6U=")</f>
        <v>#VALUE!</v>
      </c>
      <c r="FK290" t="e">
        <f>AND('STERLING CATALOG - FZN &amp; CHILL'!D1068,"AAAAAH/9f6Y=")</f>
        <v>#VALUE!</v>
      </c>
      <c r="FL290" t="e">
        <f>AND('STERLING CATALOG - FZN &amp; CHILL'!E1068,"AAAAAH/9f6c=")</f>
        <v>#VALUE!</v>
      </c>
      <c r="FM290" t="e">
        <f>AND('STERLING CATALOG - FZN &amp; CHILL'!F1068,"AAAAAH/9f6g=")</f>
        <v>#VALUE!</v>
      </c>
      <c r="FN290" t="e">
        <f>AND('STERLING CATALOG - FZN &amp; CHILL'!G1068,"AAAAAH/9f6k=")</f>
        <v>#VALUE!</v>
      </c>
      <c r="FO290" t="e">
        <f>AND('STERLING CATALOG - FZN &amp; CHILL'!H1068,"AAAAAH/9f6o=")</f>
        <v>#VALUE!</v>
      </c>
      <c r="FP290" t="e">
        <f>AND('STERLING CATALOG - FZN &amp; CHILL'!I1068,"AAAAAH/9f6s=")</f>
        <v>#VALUE!</v>
      </c>
      <c r="FQ290" t="e">
        <f>AND('STERLING CATALOG - FZN &amp; CHILL'!J1068,"AAAAAH/9f6w=")</f>
        <v>#VALUE!</v>
      </c>
      <c r="FR290">
        <f>IF('STERLING CATALOG - FZN &amp; CHILL'!1069:1069,"AAAAAH/9f60=",0)</f>
        <v>0</v>
      </c>
      <c r="FS290" t="e">
        <f>AND('STERLING CATALOG - FZN &amp; CHILL'!A1069,"AAAAAH/9f64=")</f>
        <v>#VALUE!</v>
      </c>
      <c r="FT290" t="e">
        <f>AND('STERLING CATALOG - FZN &amp; CHILL'!B1069,"AAAAAH/9f68=")</f>
        <v>#VALUE!</v>
      </c>
      <c r="FU290" t="e">
        <f>AND('STERLING CATALOG - FZN &amp; CHILL'!C1069,"AAAAAH/9f7A=")</f>
        <v>#VALUE!</v>
      </c>
      <c r="FV290" t="e">
        <f>AND('STERLING CATALOG - FZN &amp; CHILL'!D1069,"AAAAAH/9f7E=")</f>
        <v>#VALUE!</v>
      </c>
      <c r="FW290" t="e">
        <f>AND('STERLING CATALOG - FZN &amp; CHILL'!E1069,"AAAAAH/9f7I=")</f>
        <v>#VALUE!</v>
      </c>
      <c r="FX290" t="e">
        <f>AND('STERLING CATALOG - FZN &amp; CHILL'!F1069,"AAAAAH/9f7M=")</f>
        <v>#VALUE!</v>
      </c>
      <c r="FY290" t="e">
        <f>AND('STERLING CATALOG - FZN &amp; CHILL'!G1069,"AAAAAH/9f7Q=")</f>
        <v>#VALUE!</v>
      </c>
      <c r="FZ290" t="e">
        <f>AND('STERLING CATALOG - FZN &amp; CHILL'!H1069,"AAAAAH/9f7U=")</f>
        <v>#VALUE!</v>
      </c>
      <c r="GA290" t="e">
        <f>AND('STERLING CATALOG - FZN &amp; CHILL'!I1069,"AAAAAH/9f7Y=")</f>
        <v>#VALUE!</v>
      </c>
      <c r="GB290" t="e">
        <f>AND('STERLING CATALOG - FZN &amp; CHILL'!J1069,"AAAAAH/9f7c=")</f>
        <v>#VALUE!</v>
      </c>
      <c r="GC290">
        <f>IF('STERLING CATALOG - FZN &amp; CHILL'!1070:1070,"AAAAAH/9f7g=",0)</f>
        <v>0</v>
      </c>
      <c r="GD290" t="e">
        <f>AND('STERLING CATALOG - FZN &amp; CHILL'!A1070,"AAAAAH/9f7k=")</f>
        <v>#VALUE!</v>
      </c>
      <c r="GE290" t="e">
        <f>AND('STERLING CATALOG - FZN &amp; CHILL'!B1070,"AAAAAH/9f7o=")</f>
        <v>#VALUE!</v>
      </c>
      <c r="GF290" t="e">
        <f>AND('STERLING CATALOG - FZN &amp; CHILL'!C1070,"AAAAAH/9f7s=")</f>
        <v>#VALUE!</v>
      </c>
      <c r="GG290" t="e">
        <f>AND('STERLING CATALOG - FZN &amp; CHILL'!D1070,"AAAAAH/9f7w=")</f>
        <v>#VALUE!</v>
      </c>
      <c r="GH290" t="e">
        <f>AND('STERLING CATALOG - FZN &amp; CHILL'!E1070,"AAAAAH/9f70=")</f>
        <v>#VALUE!</v>
      </c>
      <c r="GI290" t="e">
        <f>AND('STERLING CATALOG - FZN &amp; CHILL'!F1070,"AAAAAH/9f74=")</f>
        <v>#VALUE!</v>
      </c>
      <c r="GJ290" t="e">
        <f>AND('STERLING CATALOG - FZN &amp; CHILL'!G1070,"AAAAAH/9f78=")</f>
        <v>#VALUE!</v>
      </c>
      <c r="GK290" t="e">
        <f>AND('STERLING CATALOG - FZN &amp; CHILL'!H1070,"AAAAAH/9f8A=")</f>
        <v>#VALUE!</v>
      </c>
      <c r="GL290" t="e">
        <f>AND('STERLING CATALOG - FZN &amp; CHILL'!I1070,"AAAAAH/9f8E=")</f>
        <v>#VALUE!</v>
      </c>
      <c r="GM290" t="e">
        <f>AND('STERLING CATALOG - FZN &amp; CHILL'!J1070,"AAAAAH/9f8I=")</f>
        <v>#VALUE!</v>
      </c>
      <c r="GN290">
        <f>IF('STERLING CATALOG - FZN &amp; CHILL'!1071:1071,"AAAAAH/9f8M=",0)</f>
        <v>0</v>
      </c>
      <c r="GO290" t="e">
        <f>AND('STERLING CATALOG - FZN &amp; CHILL'!A1071,"AAAAAH/9f8Q=")</f>
        <v>#VALUE!</v>
      </c>
      <c r="GP290" t="e">
        <f>AND('STERLING CATALOG - FZN &amp; CHILL'!B1071,"AAAAAH/9f8U=")</f>
        <v>#VALUE!</v>
      </c>
      <c r="GQ290" t="e">
        <f>AND('STERLING CATALOG - FZN &amp; CHILL'!C1071,"AAAAAH/9f8Y=")</f>
        <v>#VALUE!</v>
      </c>
      <c r="GR290" t="e">
        <f>AND('STERLING CATALOG - FZN &amp; CHILL'!D1071,"AAAAAH/9f8c=")</f>
        <v>#VALUE!</v>
      </c>
      <c r="GS290" t="e">
        <f>AND('STERLING CATALOG - FZN &amp; CHILL'!E1071,"AAAAAH/9f8g=")</f>
        <v>#VALUE!</v>
      </c>
      <c r="GT290" t="e">
        <f>AND('STERLING CATALOG - FZN &amp; CHILL'!F1071,"AAAAAH/9f8k=")</f>
        <v>#VALUE!</v>
      </c>
      <c r="GU290" t="e">
        <f>AND('STERLING CATALOG - FZN &amp; CHILL'!G1071,"AAAAAH/9f8o=")</f>
        <v>#VALUE!</v>
      </c>
      <c r="GV290" t="e">
        <f>AND('STERLING CATALOG - FZN &amp; CHILL'!H1071,"AAAAAH/9f8s=")</f>
        <v>#VALUE!</v>
      </c>
      <c r="GW290" t="e">
        <f>AND('STERLING CATALOG - FZN &amp; CHILL'!I1071,"AAAAAH/9f8w=")</f>
        <v>#VALUE!</v>
      </c>
      <c r="GX290" t="e">
        <f>AND('STERLING CATALOG - FZN &amp; CHILL'!J1071,"AAAAAH/9f80=")</f>
        <v>#VALUE!</v>
      </c>
      <c r="GY290">
        <f>IF('STERLING CATALOG - FZN &amp; CHILL'!1072:1072,"AAAAAH/9f84=",0)</f>
        <v>0</v>
      </c>
      <c r="GZ290" t="e">
        <f>AND('STERLING CATALOG - FZN &amp; CHILL'!A1072,"AAAAAH/9f88=")</f>
        <v>#VALUE!</v>
      </c>
      <c r="HA290" t="e">
        <f>AND('STERLING CATALOG - FZN &amp; CHILL'!B1072,"AAAAAH/9f9A=")</f>
        <v>#VALUE!</v>
      </c>
      <c r="HB290" t="e">
        <f>AND('STERLING CATALOG - FZN &amp; CHILL'!C1072,"AAAAAH/9f9E=")</f>
        <v>#VALUE!</v>
      </c>
      <c r="HC290" t="e">
        <f>AND('STERLING CATALOG - FZN &amp; CHILL'!D1072,"AAAAAH/9f9I=")</f>
        <v>#VALUE!</v>
      </c>
      <c r="HD290" t="e">
        <f>AND('STERLING CATALOG - FZN &amp; CHILL'!E1072,"AAAAAH/9f9M=")</f>
        <v>#VALUE!</v>
      </c>
      <c r="HE290" t="e">
        <f>AND('STERLING CATALOG - FZN &amp; CHILL'!F1072,"AAAAAH/9f9Q=")</f>
        <v>#VALUE!</v>
      </c>
      <c r="HF290" t="e">
        <f>AND('STERLING CATALOG - FZN &amp; CHILL'!G1072,"AAAAAH/9f9U=")</f>
        <v>#VALUE!</v>
      </c>
      <c r="HG290" t="e">
        <f>AND('STERLING CATALOG - FZN &amp; CHILL'!H1072,"AAAAAH/9f9Y=")</f>
        <v>#VALUE!</v>
      </c>
      <c r="HH290" t="e">
        <f>AND('STERLING CATALOG - FZN &amp; CHILL'!I1072,"AAAAAH/9f9c=")</f>
        <v>#VALUE!</v>
      </c>
      <c r="HI290" t="e">
        <f>AND('STERLING CATALOG - FZN &amp; CHILL'!J1072,"AAAAAH/9f9g=")</f>
        <v>#VALUE!</v>
      </c>
      <c r="HJ290">
        <f>IF('STERLING CATALOG - FZN &amp; CHILL'!1073:1073,"AAAAAH/9f9k=",0)</f>
        <v>0</v>
      </c>
      <c r="HK290" t="e">
        <f>AND('STERLING CATALOG - FZN &amp; CHILL'!A1073,"AAAAAH/9f9o=")</f>
        <v>#VALUE!</v>
      </c>
      <c r="HL290" t="e">
        <f>AND('STERLING CATALOG - FZN &amp; CHILL'!B1073,"AAAAAH/9f9s=")</f>
        <v>#VALUE!</v>
      </c>
      <c r="HM290" t="e">
        <f>AND('STERLING CATALOG - FZN &amp; CHILL'!C1073,"AAAAAH/9f9w=")</f>
        <v>#VALUE!</v>
      </c>
      <c r="HN290" t="e">
        <f>AND('STERLING CATALOG - FZN &amp; CHILL'!D1073,"AAAAAH/9f90=")</f>
        <v>#VALUE!</v>
      </c>
      <c r="HO290" t="e">
        <f>AND('STERLING CATALOG - FZN &amp; CHILL'!E1073,"AAAAAH/9f94=")</f>
        <v>#VALUE!</v>
      </c>
      <c r="HP290" t="e">
        <f>AND('STERLING CATALOG - FZN &amp; CHILL'!F1073,"AAAAAH/9f98=")</f>
        <v>#VALUE!</v>
      </c>
      <c r="HQ290" t="e">
        <f>AND('STERLING CATALOG - FZN &amp; CHILL'!G1073,"AAAAAH/9f+A=")</f>
        <v>#VALUE!</v>
      </c>
      <c r="HR290" t="e">
        <f>AND('STERLING CATALOG - FZN &amp; CHILL'!H1073,"AAAAAH/9f+E=")</f>
        <v>#VALUE!</v>
      </c>
      <c r="HS290" t="e">
        <f>AND('STERLING CATALOG - FZN &amp; CHILL'!I1073,"AAAAAH/9f+I=")</f>
        <v>#VALUE!</v>
      </c>
      <c r="HT290" t="e">
        <f>AND('STERLING CATALOG - FZN &amp; CHILL'!J1073,"AAAAAH/9f+M=")</f>
        <v>#VALUE!</v>
      </c>
      <c r="HU290">
        <f>IF('STERLING CATALOG - FZN &amp; CHILL'!1074:1074,"AAAAAH/9f+Q=",0)</f>
        <v>0</v>
      </c>
      <c r="HV290" t="e">
        <f>AND('STERLING CATALOG - FZN &amp; CHILL'!A1074,"AAAAAH/9f+U=")</f>
        <v>#VALUE!</v>
      </c>
      <c r="HW290" t="e">
        <f>AND('STERLING CATALOG - FZN &amp; CHILL'!B1074,"AAAAAH/9f+Y=")</f>
        <v>#VALUE!</v>
      </c>
      <c r="HX290" t="e">
        <f>AND('STERLING CATALOG - FZN &amp; CHILL'!C1074,"AAAAAH/9f+c=")</f>
        <v>#VALUE!</v>
      </c>
      <c r="HY290" t="e">
        <f>AND('STERLING CATALOG - FZN &amp; CHILL'!D1074,"AAAAAH/9f+g=")</f>
        <v>#VALUE!</v>
      </c>
      <c r="HZ290" t="e">
        <f>AND('STERLING CATALOG - FZN &amp; CHILL'!E1074,"AAAAAH/9f+k=")</f>
        <v>#VALUE!</v>
      </c>
      <c r="IA290" t="e">
        <f>AND('STERLING CATALOG - FZN &amp; CHILL'!F1074,"AAAAAH/9f+o=")</f>
        <v>#VALUE!</v>
      </c>
      <c r="IB290" t="e">
        <f>AND('STERLING CATALOG - FZN &amp; CHILL'!G1074,"AAAAAH/9f+s=")</f>
        <v>#VALUE!</v>
      </c>
      <c r="IC290" t="e">
        <f>AND('STERLING CATALOG - FZN &amp; CHILL'!H1074,"AAAAAH/9f+w=")</f>
        <v>#VALUE!</v>
      </c>
      <c r="ID290" t="e">
        <f>AND('STERLING CATALOG - FZN &amp; CHILL'!I1074,"AAAAAH/9f+0=")</f>
        <v>#VALUE!</v>
      </c>
      <c r="IE290" t="e">
        <f>AND('STERLING CATALOG - FZN &amp; CHILL'!J1074,"AAAAAH/9f+4=")</f>
        <v>#VALUE!</v>
      </c>
      <c r="IF290">
        <f>IF('STERLING CATALOG - FZN &amp; CHILL'!1075:1075,"AAAAAH/9f+8=",0)</f>
        <v>0</v>
      </c>
      <c r="IG290" t="e">
        <f>AND('STERLING CATALOG - FZN &amp; CHILL'!A1075,"AAAAAH/9f/A=")</f>
        <v>#VALUE!</v>
      </c>
      <c r="IH290" t="e">
        <f>AND('STERLING CATALOG - FZN &amp; CHILL'!B1075,"AAAAAH/9f/E=")</f>
        <v>#VALUE!</v>
      </c>
      <c r="II290" t="e">
        <f>AND('STERLING CATALOG - FZN &amp; CHILL'!C1075,"AAAAAH/9f/I=")</f>
        <v>#VALUE!</v>
      </c>
      <c r="IJ290" t="e">
        <f>AND('STERLING CATALOG - FZN &amp; CHILL'!D1075,"AAAAAH/9f/M=")</f>
        <v>#VALUE!</v>
      </c>
      <c r="IK290" t="e">
        <f>AND('STERLING CATALOG - FZN &amp; CHILL'!E1075,"AAAAAH/9f/Q=")</f>
        <v>#VALUE!</v>
      </c>
      <c r="IL290" t="e">
        <f>AND('STERLING CATALOG - FZN &amp; CHILL'!F1075,"AAAAAH/9f/U=")</f>
        <v>#VALUE!</v>
      </c>
      <c r="IM290" t="e">
        <f>AND('STERLING CATALOG - FZN &amp; CHILL'!G1075,"AAAAAH/9f/Y=")</f>
        <v>#VALUE!</v>
      </c>
      <c r="IN290" t="e">
        <f>AND('STERLING CATALOG - FZN &amp; CHILL'!H1075,"AAAAAH/9f/c=")</f>
        <v>#VALUE!</v>
      </c>
      <c r="IO290" t="e">
        <f>AND('STERLING CATALOG - FZN &amp; CHILL'!I1075,"AAAAAH/9f/g=")</f>
        <v>#VALUE!</v>
      </c>
      <c r="IP290" t="e">
        <f>AND('STERLING CATALOG - FZN &amp; CHILL'!J1075,"AAAAAH/9f/k=")</f>
        <v>#VALUE!</v>
      </c>
      <c r="IQ290">
        <f>IF('STERLING CATALOG - FZN &amp; CHILL'!1076:1076,"AAAAAH/9f/o=",0)</f>
        <v>0</v>
      </c>
      <c r="IR290" t="e">
        <f>AND('STERLING CATALOG - FZN &amp; CHILL'!A1076,"AAAAAH/9f/s=")</f>
        <v>#VALUE!</v>
      </c>
      <c r="IS290" t="e">
        <f>AND('STERLING CATALOG - FZN &amp; CHILL'!B1076,"AAAAAH/9f/w=")</f>
        <v>#VALUE!</v>
      </c>
      <c r="IT290" t="e">
        <f>AND('STERLING CATALOG - FZN &amp; CHILL'!C1076,"AAAAAH/9f/0=")</f>
        <v>#VALUE!</v>
      </c>
      <c r="IU290" t="e">
        <f>AND('STERLING CATALOG - FZN &amp; CHILL'!D1076,"AAAAAH/9f/4=")</f>
        <v>#VALUE!</v>
      </c>
      <c r="IV290" t="e">
        <f>AND('STERLING CATALOG - FZN &amp; CHILL'!E1076,"AAAAAH/9f/8=")</f>
        <v>#VALUE!</v>
      </c>
    </row>
    <row r="291" spans="1:256">
      <c r="A291" t="e">
        <f>AND('STERLING CATALOG - FZN &amp; CHILL'!F1076,"AAAAAHZzuwA=")</f>
        <v>#VALUE!</v>
      </c>
      <c r="B291" t="e">
        <f>AND('STERLING CATALOG - FZN &amp; CHILL'!G1076,"AAAAAHZzuwE=")</f>
        <v>#VALUE!</v>
      </c>
      <c r="C291" t="e">
        <f>AND('STERLING CATALOG - FZN &amp; CHILL'!H1076,"AAAAAHZzuwI=")</f>
        <v>#VALUE!</v>
      </c>
      <c r="D291" t="e">
        <f>AND('STERLING CATALOG - FZN &amp; CHILL'!I1076,"AAAAAHZzuwM=")</f>
        <v>#VALUE!</v>
      </c>
      <c r="E291" t="e">
        <f>AND('STERLING CATALOG - FZN &amp; CHILL'!J1076,"AAAAAHZzuwQ=")</f>
        <v>#VALUE!</v>
      </c>
      <c r="F291" t="str">
        <f>IF('STERLING CATALOG - FZN &amp; CHILL'!1077:1077,"AAAAAHZzuwU=",0)</f>
        <v>AAAAAHZzuwU=</v>
      </c>
      <c r="G291" t="e">
        <f>AND('STERLING CATALOG - FZN &amp; CHILL'!A1077,"AAAAAHZzuwY=")</f>
        <v>#VALUE!</v>
      </c>
      <c r="H291" t="e">
        <f>AND('STERLING CATALOG - FZN &amp; CHILL'!B1077,"AAAAAHZzuwc=")</f>
        <v>#VALUE!</v>
      </c>
      <c r="I291" t="e">
        <f>AND('STERLING CATALOG - FZN &amp; CHILL'!C1077,"AAAAAHZzuwg=")</f>
        <v>#VALUE!</v>
      </c>
      <c r="J291" t="e">
        <f>AND('STERLING CATALOG - FZN &amp; CHILL'!D1077,"AAAAAHZzuwk=")</f>
        <v>#VALUE!</v>
      </c>
      <c r="K291" t="e">
        <f>AND('STERLING CATALOG - FZN &amp; CHILL'!E1077,"AAAAAHZzuwo=")</f>
        <v>#VALUE!</v>
      </c>
      <c r="L291" t="e">
        <f>AND('STERLING CATALOG - FZN &amp; CHILL'!F1077,"AAAAAHZzuws=")</f>
        <v>#VALUE!</v>
      </c>
      <c r="M291" t="e">
        <f>AND('STERLING CATALOG - FZN &amp; CHILL'!G1077,"AAAAAHZzuww=")</f>
        <v>#VALUE!</v>
      </c>
      <c r="N291" t="e">
        <f>AND('STERLING CATALOG - FZN &amp; CHILL'!H1077,"AAAAAHZzuw0=")</f>
        <v>#VALUE!</v>
      </c>
      <c r="O291" t="e">
        <f>AND('STERLING CATALOG - FZN &amp; CHILL'!I1077,"AAAAAHZzuw4=")</f>
        <v>#VALUE!</v>
      </c>
      <c r="P291" t="e">
        <f>AND('STERLING CATALOG - FZN &amp; CHILL'!J1077,"AAAAAHZzuw8=")</f>
        <v>#VALUE!</v>
      </c>
      <c r="Q291">
        <f>IF('STERLING CATALOG - FZN &amp; CHILL'!1078:1078,"AAAAAHZzuxA=",0)</f>
        <v>0</v>
      </c>
      <c r="R291" t="e">
        <f>AND('STERLING CATALOG - FZN &amp; CHILL'!A1078,"AAAAAHZzuxE=")</f>
        <v>#VALUE!</v>
      </c>
      <c r="S291" t="e">
        <f>AND('STERLING CATALOG - FZN &amp; CHILL'!B1078,"AAAAAHZzuxI=")</f>
        <v>#VALUE!</v>
      </c>
      <c r="T291" t="e">
        <f>AND('STERLING CATALOG - FZN &amp; CHILL'!C1078,"AAAAAHZzuxM=")</f>
        <v>#VALUE!</v>
      </c>
      <c r="U291" t="e">
        <f>AND('STERLING CATALOG - FZN &amp; CHILL'!D1078,"AAAAAHZzuxQ=")</f>
        <v>#VALUE!</v>
      </c>
      <c r="V291" t="e">
        <f>AND('STERLING CATALOG - FZN &amp; CHILL'!E1078,"AAAAAHZzuxU=")</f>
        <v>#VALUE!</v>
      </c>
      <c r="W291" t="e">
        <f>AND('STERLING CATALOG - FZN &amp; CHILL'!F1078,"AAAAAHZzuxY=")</f>
        <v>#VALUE!</v>
      </c>
      <c r="X291" t="e">
        <f>AND('STERLING CATALOG - FZN &amp; CHILL'!G1078,"AAAAAHZzuxc=")</f>
        <v>#VALUE!</v>
      </c>
      <c r="Y291" t="e">
        <f>AND('STERLING CATALOG - FZN &amp; CHILL'!H1078,"AAAAAHZzuxg=")</f>
        <v>#VALUE!</v>
      </c>
      <c r="Z291" t="e">
        <f>AND('STERLING CATALOG - FZN &amp; CHILL'!I1078,"AAAAAHZzuxk=")</f>
        <v>#VALUE!</v>
      </c>
      <c r="AA291" t="e">
        <f>AND('STERLING CATALOG - FZN &amp; CHILL'!J1078,"AAAAAHZzuxo=")</f>
        <v>#VALUE!</v>
      </c>
      <c r="AB291">
        <f>IF('STERLING CATALOG - FZN &amp; CHILL'!1079:1079,"AAAAAHZzuxs=",0)</f>
        <v>0</v>
      </c>
      <c r="AC291" t="e">
        <f>AND('STERLING CATALOG - FZN &amp; CHILL'!A1079,"AAAAAHZzuxw=")</f>
        <v>#VALUE!</v>
      </c>
      <c r="AD291" t="e">
        <f>AND('STERLING CATALOG - FZN &amp; CHILL'!B1079,"AAAAAHZzux0=")</f>
        <v>#VALUE!</v>
      </c>
      <c r="AE291" t="e">
        <f>AND('STERLING CATALOG - FZN &amp; CHILL'!C1079,"AAAAAHZzux4=")</f>
        <v>#VALUE!</v>
      </c>
      <c r="AF291" t="e">
        <f>AND('STERLING CATALOG - FZN &amp; CHILL'!D1079,"AAAAAHZzux8=")</f>
        <v>#VALUE!</v>
      </c>
      <c r="AG291" t="e">
        <f>AND('STERLING CATALOG - FZN &amp; CHILL'!E1079,"AAAAAHZzuyA=")</f>
        <v>#VALUE!</v>
      </c>
      <c r="AH291" t="e">
        <f>AND('STERLING CATALOG - FZN &amp; CHILL'!F1079,"AAAAAHZzuyE=")</f>
        <v>#VALUE!</v>
      </c>
      <c r="AI291" t="e">
        <f>AND('STERLING CATALOG - FZN &amp; CHILL'!G1079,"AAAAAHZzuyI=")</f>
        <v>#VALUE!</v>
      </c>
      <c r="AJ291" t="e">
        <f>AND('STERLING CATALOG - FZN &amp; CHILL'!H1079,"AAAAAHZzuyM=")</f>
        <v>#VALUE!</v>
      </c>
      <c r="AK291" t="e">
        <f>AND('STERLING CATALOG - FZN &amp; CHILL'!I1079,"AAAAAHZzuyQ=")</f>
        <v>#VALUE!</v>
      </c>
      <c r="AL291" t="e">
        <f>AND('STERLING CATALOG - FZN &amp; CHILL'!J1079,"AAAAAHZzuyU=")</f>
        <v>#VALUE!</v>
      </c>
      <c r="AM291">
        <f>IF('STERLING CATALOG - FZN &amp; CHILL'!1080:1080,"AAAAAHZzuyY=",0)</f>
        <v>0</v>
      </c>
      <c r="AN291" t="e">
        <f>AND('STERLING CATALOG - FZN &amp; CHILL'!A1080,"AAAAAHZzuyc=")</f>
        <v>#VALUE!</v>
      </c>
      <c r="AO291" t="e">
        <f>AND('STERLING CATALOG - FZN &amp; CHILL'!B1080,"AAAAAHZzuyg=")</f>
        <v>#VALUE!</v>
      </c>
      <c r="AP291" t="e">
        <f>AND('STERLING CATALOG - FZN &amp; CHILL'!C1080,"AAAAAHZzuyk=")</f>
        <v>#VALUE!</v>
      </c>
      <c r="AQ291" t="e">
        <f>AND('STERLING CATALOG - FZN &amp; CHILL'!D1080,"AAAAAHZzuyo=")</f>
        <v>#VALUE!</v>
      </c>
      <c r="AR291" t="e">
        <f>AND('STERLING CATALOG - FZN &amp; CHILL'!E1080,"AAAAAHZzuys=")</f>
        <v>#VALUE!</v>
      </c>
      <c r="AS291" t="e">
        <f>AND('STERLING CATALOG - FZN &amp; CHILL'!F1080,"AAAAAHZzuyw=")</f>
        <v>#VALUE!</v>
      </c>
      <c r="AT291" t="e">
        <f>AND('STERLING CATALOG - FZN &amp; CHILL'!G1080,"AAAAAHZzuy0=")</f>
        <v>#VALUE!</v>
      </c>
      <c r="AU291" t="e">
        <f>AND('STERLING CATALOG - FZN &amp; CHILL'!H1080,"AAAAAHZzuy4=")</f>
        <v>#VALUE!</v>
      </c>
      <c r="AV291" t="e">
        <f>AND('STERLING CATALOG - FZN &amp; CHILL'!I1080,"AAAAAHZzuy8=")</f>
        <v>#VALUE!</v>
      </c>
      <c r="AW291" t="e">
        <f>AND('STERLING CATALOG - FZN &amp; CHILL'!J1080,"AAAAAHZzuzA=")</f>
        <v>#VALUE!</v>
      </c>
      <c r="AX291">
        <f>IF('STERLING CATALOG - FZN &amp; CHILL'!1081:1081,"AAAAAHZzuzE=",0)</f>
        <v>0</v>
      </c>
      <c r="AY291" t="e">
        <f>AND('STERLING CATALOG - FZN &amp; CHILL'!A1081,"AAAAAHZzuzI=")</f>
        <v>#VALUE!</v>
      </c>
      <c r="AZ291" t="e">
        <f>AND('STERLING CATALOG - FZN &amp; CHILL'!B1081,"AAAAAHZzuzM=")</f>
        <v>#VALUE!</v>
      </c>
      <c r="BA291" t="e">
        <f>AND('STERLING CATALOG - FZN &amp; CHILL'!C1081,"AAAAAHZzuzQ=")</f>
        <v>#VALUE!</v>
      </c>
      <c r="BB291" t="e">
        <f>AND('STERLING CATALOG - FZN &amp; CHILL'!D1081,"AAAAAHZzuzU=")</f>
        <v>#VALUE!</v>
      </c>
      <c r="BC291" t="e">
        <f>AND('STERLING CATALOG - FZN &amp; CHILL'!E1081,"AAAAAHZzuzY=")</f>
        <v>#VALUE!</v>
      </c>
      <c r="BD291" t="e">
        <f>AND('STERLING CATALOG - FZN &amp; CHILL'!F1081,"AAAAAHZzuzc=")</f>
        <v>#VALUE!</v>
      </c>
      <c r="BE291" t="e">
        <f>AND('STERLING CATALOG - FZN &amp; CHILL'!G1081,"AAAAAHZzuzg=")</f>
        <v>#VALUE!</v>
      </c>
      <c r="BF291" t="e">
        <f>AND('STERLING CATALOG - FZN &amp; CHILL'!H1081,"AAAAAHZzuzk=")</f>
        <v>#VALUE!</v>
      </c>
      <c r="BG291" t="e">
        <f>AND('STERLING CATALOG - FZN &amp; CHILL'!I1081,"AAAAAHZzuzo=")</f>
        <v>#VALUE!</v>
      </c>
      <c r="BH291" t="e">
        <f>AND('STERLING CATALOG - FZN &amp; CHILL'!J1081,"AAAAAHZzuzs=")</f>
        <v>#VALUE!</v>
      </c>
      <c r="BI291">
        <f>IF('STERLING CATALOG - FZN &amp; CHILL'!1082:1082,"AAAAAHZzuzw=",0)</f>
        <v>0</v>
      </c>
      <c r="BJ291" t="e">
        <f>AND('STERLING CATALOG - FZN &amp; CHILL'!A1082,"AAAAAHZzuz0=")</f>
        <v>#VALUE!</v>
      </c>
      <c r="BK291" t="e">
        <f>AND('STERLING CATALOG - FZN &amp; CHILL'!B1082,"AAAAAHZzuz4=")</f>
        <v>#VALUE!</v>
      </c>
      <c r="BL291" t="e">
        <f>AND('STERLING CATALOG - FZN &amp; CHILL'!C1082,"AAAAAHZzuz8=")</f>
        <v>#VALUE!</v>
      </c>
      <c r="BM291" t="e">
        <f>AND('STERLING CATALOG - FZN &amp; CHILL'!D1082,"AAAAAHZzu0A=")</f>
        <v>#VALUE!</v>
      </c>
      <c r="BN291" t="e">
        <f>AND('STERLING CATALOG - FZN &amp; CHILL'!E1082,"AAAAAHZzu0E=")</f>
        <v>#VALUE!</v>
      </c>
      <c r="BO291" t="e">
        <f>AND('STERLING CATALOG - FZN &amp; CHILL'!F1082,"AAAAAHZzu0I=")</f>
        <v>#VALUE!</v>
      </c>
      <c r="BP291" t="e">
        <f>AND('STERLING CATALOG - FZN &amp; CHILL'!G1082,"AAAAAHZzu0M=")</f>
        <v>#VALUE!</v>
      </c>
      <c r="BQ291" t="e">
        <f>AND('STERLING CATALOG - FZN &amp; CHILL'!H1082,"AAAAAHZzu0Q=")</f>
        <v>#VALUE!</v>
      </c>
      <c r="BR291" t="e">
        <f>AND('STERLING CATALOG - FZN &amp; CHILL'!I1082,"AAAAAHZzu0U=")</f>
        <v>#VALUE!</v>
      </c>
      <c r="BS291" t="e">
        <f>AND('STERLING CATALOG - FZN &amp; CHILL'!J1082,"AAAAAHZzu0Y=")</f>
        <v>#VALUE!</v>
      </c>
      <c r="BT291">
        <f>IF('STERLING CATALOG - FZN &amp; CHILL'!1083:1083,"AAAAAHZzu0c=",0)</f>
        <v>0</v>
      </c>
      <c r="BU291" t="e">
        <f>AND('STERLING CATALOG - FZN &amp; CHILL'!A1083,"AAAAAHZzu0g=")</f>
        <v>#VALUE!</v>
      </c>
      <c r="BV291" t="e">
        <f>AND('STERLING CATALOG - FZN &amp; CHILL'!B1083,"AAAAAHZzu0k=")</f>
        <v>#VALUE!</v>
      </c>
      <c r="BW291" t="e">
        <f>AND('STERLING CATALOG - FZN &amp; CHILL'!C1083,"AAAAAHZzu0o=")</f>
        <v>#VALUE!</v>
      </c>
      <c r="BX291" t="e">
        <f>AND('STERLING CATALOG - FZN &amp; CHILL'!D1083,"AAAAAHZzu0s=")</f>
        <v>#VALUE!</v>
      </c>
      <c r="BY291" t="e">
        <f>AND('STERLING CATALOG - FZN &amp; CHILL'!E1083,"AAAAAHZzu0w=")</f>
        <v>#VALUE!</v>
      </c>
      <c r="BZ291" t="e">
        <f>AND('STERLING CATALOG - FZN &amp; CHILL'!F1083,"AAAAAHZzu00=")</f>
        <v>#VALUE!</v>
      </c>
      <c r="CA291" t="e">
        <f>AND('STERLING CATALOG - FZN &amp; CHILL'!G1083,"AAAAAHZzu04=")</f>
        <v>#VALUE!</v>
      </c>
      <c r="CB291" t="e">
        <f>AND('STERLING CATALOG - FZN &amp; CHILL'!H1083,"AAAAAHZzu08=")</f>
        <v>#VALUE!</v>
      </c>
      <c r="CC291" t="e">
        <f>AND('STERLING CATALOG - FZN &amp; CHILL'!I1083,"AAAAAHZzu1A=")</f>
        <v>#VALUE!</v>
      </c>
      <c r="CD291" t="e">
        <f>AND('STERLING CATALOG - FZN &amp; CHILL'!J1083,"AAAAAHZzu1E=")</f>
        <v>#VALUE!</v>
      </c>
      <c r="CE291">
        <f>IF('STERLING CATALOG - FZN &amp; CHILL'!1084:1084,"AAAAAHZzu1I=",0)</f>
        <v>0</v>
      </c>
      <c r="CF291" t="e">
        <f>AND('STERLING CATALOG - FZN &amp; CHILL'!A1084,"AAAAAHZzu1M=")</f>
        <v>#VALUE!</v>
      </c>
      <c r="CG291" t="e">
        <f>AND('STERLING CATALOG - FZN &amp; CHILL'!B1084,"AAAAAHZzu1Q=")</f>
        <v>#VALUE!</v>
      </c>
      <c r="CH291" t="e">
        <f>AND('STERLING CATALOG - FZN &amp; CHILL'!C1084,"AAAAAHZzu1U=")</f>
        <v>#VALUE!</v>
      </c>
      <c r="CI291" t="e">
        <f>AND('STERLING CATALOG - FZN &amp; CHILL'!D1084,"AAAAAHZzu1Y=")</f>
        <v>#VALUE!</v>
      </c>
      <c r="CJ291" t="e">
        <f>AND('STERLING CATALOG - FZN &amp; CHILL'!E1084,"AAAAAHZzu1c=")</f>
        <v>#VALUE!</v>
      </c>
      <c r="CK291" t="e">
        <f>AND('STERLING CATALOG - FZN &amp; CHILL'!F1084,"AAAAAHZzu1g=")</f>
        <v>#VALUE!</v>
      </c>
      <c r="CL291" t="e">
        <f>AND('STERLING CATALOG - FZN &amp; CHILL'!G1084,"AAAAAHZzu1k=")</f>
        <v>#VALUE!</v>
      </c>
      <c r="CM291" t="e">
        <f>AND('STERLING CATALOG - FZN &amp; CHILL'!H1084,"AAAAAHZzu1o=")</f>
        <v>#VALUE!</v>
      </c>
      <c r="CN291" t="e">
        <f>AND('STERLING CATALOG - FZN &amp; CHILL'!I1084,"AAAAAHZzu1s=")</f>
        <v>#VALUE!</v>
      </c>
      <c r="CO291" t="e">
        <f>AND('STERLING CATALOG - FZN &amp; CHILL'!J1084,"AAAAAHZzu1w=")</f>
        <v>#VALUE!</v>
      </c>
      <c r="CP291">
        <f>IF('STERLING CATALOG - FZN &amp; CHILL'!1085:1085,"AAAAAHZzu10=",0)</f>
        <v>0</v>
      </c>
      <c r="CQ291" t="e">
        <f>AND('STERLING CATALOG - FZN &amp; CHILL'!A1085,"AAAAAHZzu14=")</f>
        <v>#VALUE!</v>
      </c>
      <c r="CR291" t="e">
        <f>AND('STERLING CATALOG - FZN &amp; CHILL'!B1085,"AAAAAHZzu18=")</f>
        <v>#VALUE!</v>
      </c>
      <c r="CS291" t="e">
        <f>AND('STERLING CATALOG - FZN &amp; CHILL'!C1085,"AAAAAHZzu2A=")</f>
        <v>#VALUE!</v>
      </c>
      <c r="CT291" t="e">
        <f>AND('STERLING CATALOG - FZN &amp; CHILL'!D1085,"AAAAAHZzu2E=")</f>
        <v>#VALUE!</v>
      </c>
      <c r="CU291" t="e">
        <f>AND('STERLING CATALOG - FZN &amp; CHILL'!E1085,"AAAAAHZzu2I=")</f>
        <v>#VALUE!</v>
      </c>
      <c r="CV291" t="e">
        <f>AND('STERLING CATALOG - FZN &amp; CHILL'!F1085,"AAAAAHZzu2M=")</f>
        <v>#VALUE!</v>
      </c>
      <c r="CW291" t="e">
        <f>AND('STERLING CATALOG - FZN &amp; CHILL'!G1085,"AAAAAHZzu2Q=")</f>
        <v>#VALUE!</v>
      </c>
      <c r="CX291" t="e">
        <f>AND('STERLING CATALOG - FZN &amp; CHILL'!H1085,"AAAAAHZzu2U=")</f>
        <v>#VALUE!</v>
      </c>
      <c r="CY291" t="e">
        <f>AND('STERLING CATALOG - FZN &amp; CHILL'!I1085,"AAAAAHZzu2Y=")</f>
        <v>#VALUE!</v>
      </c>
      <c r="CZ291" t="e">
        <f>AND('STERLING CATALOG - FZN &amp; CHILL'!J1085,"AAAAAHZzu2c=")</f>
        <v>#VALUE!</v>
      </c>
      <c r="DA291">
        <f>IF('STERLING CATALOG - FZN &amp; CHILL'!1086:1086,"AAAAAHZzu2g=",0)</f>
        <v>0</v>
      </c>
      <c r="DB291" t="e">
        <f>AND('STERLING CATALOG - FZN &amp; CHILL'!A1086,"AAAAAHZzu2k=")</f>
        <v>#VALUE!</v>
      </c>
      <c r="DC291" t="e">
        <f>AND('STERLING CATALOG - FZN &amp; CHILL'!B1086,"AAAAAHZzu2o=")</f>
        <v>#VALUE!</v>
      </c>
      <c r="DD291" t="e">
        <f>AND('STERLING CATALOG - FZN &amp; CHILL'!C1086,"AAAAAHZzu2s=")</f>
        <v>#VALUE!</v>
      </c>
      <c r="DE291" t="e">
        <f>AND('STERLING CATALOG - FZN &amp; CHILL'!D1086,"AAAAAHZzu2w=")</f>
        <v>#VALUE!</v>
      </c>
      <c r="DF291" t="e">
        <f>AND('STERLING CATALOG - FZN &amp; CHILL'!E1086,"AAAAAHZzu20=")</f>
        <v>#VALUE!</v>
      </c>
      <c r="DG291" t="e">
        <f>AND('STERLING CATALOG - FZN &amp; CHILL'!F1086,"AAAAAHZzu24=")</f>
        <v>#VALUE!</v>
      </c>
      <c r="DH291" t="e">
        <f>AND('STERLING CATALOG - FZN &amp; CHILL'!G1086,"AAAAAHZzu28=")</f>
        <v>#VALUE!</v>
      </c>
      <c r="DI291" t="e">
        <f>AND('STERLING CATALOG - FZN &amp; CHILL'!H1086,"AAAAAHZzu3A=")</f>
        <v>#VALUE!</v>
      </c>
      <c r="DJ291" t="e">
        <f>AND('STERLING CATALOG - FZN &amp; CHILL'!I1086,"AAAAAHZzu3E=")</f>
        <v>#VALUE!</v>
      </c>
      <c r="DK291" t="e">
        <f>AND('STERLING CATALOG - FZN &amp; CHILL'!J1086,"AAAAAHZzu3I=")</f>
        <v>#VALUE!</v>
      </c>
      <c r="DL291">
        <f>IF('STERLING CATALOG - FZN &amp; CHILL'!1087:1087,"AAAAAHZzu3M=",0)</f>
        <v>0</v>
      </c>
      <c r="DM291" t="e">
        <f>AND('STERLING CATALOG - FZN &amp; CHILL'!A1087,"AAAAAHZzu3Q=")</f>
        <v>#VALUE!</v>
      </c>
      <c r="DN291" t="e">
        <f>AND('STERLING CATALOG - FZN &amp; CHILL'!B1087,"AAAAAHZzu3U=")</f>
        <v>#VALUE!</v>
      </c>
      <c r="DO291" t="e">
        <f>AND('STERLING CATALOG - FZN &amp; CHILL'!C1087,"AAAAAHZzu3Y=")</f>
        <v>#VALUE!</v>
      </c>
      <c r="DP291" t="e">
        <f>AND('STERLING CATALOG - FZN &amp; CHILL'!D1087,"AAAAAHZzu3c=")</f>
        <v>#VALUE!</v>
      </c>
      <c r="DQ291" t="e">
        <f>AND('STERLING CATALOG - FZN &amp; CHILL'!E1087,"AAAAAHZzu3g=")</f>
        <v>#VALUE!</v>
      </c>
      <c r="DR291" t="e">
        <f>AND('STERLING CATALOG - FZN &amp; CHILL'!F1087,"AAAAAHZzu3k=")</f>
        <v>#VALUE!</v>
      </c>
      <c r="DS291" t="e">
        <f>AND('STERLING CATALOG - FZN &amp; CHILL'!G1087,"AAAAAHZzu3o=")</f>
        <v>#VALUE!</v>
      </c>
      <c r="DT291" t="e">
        <f>AND('STERLING CATALOG - FZN &amp; CHILL'!H1087,"AAAAAHZzu3s=")</f>
        <v>#VALUE!</v>
      </c>
      <c r="DU291" t="e">
        <f>AND('STERLING CATALOG - FZN &amp; CHILL'!I1087,"AAAAAHZzu3w=")</f>
        <v>#VALUE!</v>
      </c>
      <c r="DV291" t="e">
        <f>AND('STERLING CATALOG - FZN &amp; CHILL'!J1087,"AAAAAHZzu30=")</f>
        <v>#VALUE!</v>
      </c>
      <c r="DW291">
        <f>IF('STERLING CATALOG - FZN &amp; CHILL'!1088:1088,"AAAAAHZzu34=",0)</f>
        <v>0</v>
      </c>
      <c r="DX291" t="e">
        <f>AND('STERLING CATALOG - FZN &amp; CHILL'!A1088,"AAAAAHZzu38=")</f>
        <v>#VALUE!</v>
      </c>
      <c r="DY291" t="e">
        <f>AND('STERLING CATALOG - FZN &amp; CHILL'!B1088,"AAAAAHZzu4A=")</f>
        <v>#VALUE!</v>
      </c>
      <c r="DZ291" t="e">
        <f>AND('STERLING CATALOG - FZN &amp; CHILL'!C1088,"AAAAAHZzu4E=")</f>
        <v>#VALUE!</v>
      </c>
      <c r="EA291" t="e">
        <f>AND('STERLING CATALOG - FZN &amp; CHILL'!D1088,"AAAAAHZzu4I=")</f>
        <v>#VALUE!</v>
      </c>
      <c r="EB291" t="e">
        <f>AND('STERLING CATALOG - FZN &amp; CHILL'!E1088,"AAAAAHZzu4M=")</f>
        <v>#VALUE!</v>
      </c>
      <c r="EC291" t="e">
        <f>AND('STERLING CATALOG - FZN &amp; CHILL'!F1088,"AAAAAHZzu4Q=")</f>
        <v>#VALUE!</v>
      </c>
      <c r="ED291" t="e">
        <f>AND('STERLING CATALOG - FZN &amp; CHILL'!G1088,"AAAAAHZzu4U=")</f>
        <v>#VALUE!</v>
      </c>
      <c r="EE291" t="e">
        <f>AND('STERLING CATALOG - FZN &amp; CHILL'!H1088,"AAAAAHZzu4Y=")</f>
        <v>#VALUE!</v>
      </c>
      <c r="EF291" t="e">
        <f>AND('STERLING CATALOG - FZN &amp; CHILL'!I1088,"AAAAAHZzu4c=")</f>
        <v>#VALUE!</v>
      </c>
      <c r="EG291" t="e">
        <f>AND('STERLING CATALOG - FZN &amp; CHILL'!J1088,"AAAAAHZzu4g=")</f>
        <v>#VALUE!</v>
      </c>
      <c r="EH291">
        <f>IF('STERLING CATALOG - FZN &amp; CHILL'!1089:1089,"AAAAAHZzu4k=",0)</f>
        <v>0</v>
      </c>
      <c r="EI291" t="e">
        <f>AND('STERLING CATALOG - FZN &amp; CHILL'!A1089,"AAAAAHZzu4o=")</f>
        <v>#VALUE!</v>
      </c>
      <c r="EJ291" t="e">
        <f>AND('STERLING CATALOG - FZN &amp; CHILL'!B1089,"AAAAAHZzu4s=")</f>
        <v>#VALUE!</v>
      </c>
      <c r="EK291" t="e">
        <f>AND('STERLING CATALOG - FZN &amp; CHILL'!C1089,"AAAAAHZzu4w=")</f>
        <v>#VALUE!</v>
      </c>
      <c r="EL291" t="e">
        <f>AND('STERLING CATALOG - FZN &amp; CHILL'!D1089,"AAAAAHZzu40=")</f>
        <v>#VALUE!</v>
      </c>
      <c r="EM291" t="e">
        <f>AND('STERLING CATALOG - FZN &amp; CHILL'!E1089,"AAAAAHZzu44=")</f>
        <v>#VALUE!</v>
      </c>
      <c r="EN291" t="e">
        <f>AND('STERLING CATALOG - FZN &amp; CHILL'!F1089,"AAAAAHZzu48=")</f>
        <v>#VALUE!</v>
      </c>
      <c r="EO291" t="e">
        <f>AND('STERLING CATALOG - FZN &amp; CHILL'!G1089,"AAAAAHZzu5A=")</f>
        <v>#VALUE!</v>
      </c>
      <c r="EP291" t="e">
        <f>AND('STERLING CATALOG - FZN &amp; CHILL'!H1089,"AAAAAHZzu5E=")</f>
        <v>#VALUE!</v>
      </c>
      <c r="EQ291" t="e">
        <f>AND('STERLING CATALOG - FZN &amp; CHILL'!I1089,"AAAAAHZzu5I=")</f>
        <v>#VALUE!</v>
      </c>
      <c r="ER291" t="e">
        <f>AND('STERLING CATALOG - FZN &amp; CHILL'!J1089,"AAAAAHZzu5M=")</f>
        <v>#VALUE!</v>
      </c>
      <c r="ES291">
        <f>IF('STERLING CATALOG - FZN &amp; CHILL'!1090:1090,"AAAAAHZzu5Q=",0)</f>
        <v>0</v>
      </c>
      <c r="ET291" t="e">
        <f>AND('STERLING CATALOG - FZN &amp; CHILL'!A1090,"AAAAAHZzu5U=")</f>
        <v>#VALUE!</v>
      </c>
      <c r="EU291" t="e">
        <f>AND('STERLING CATALOG - FZN &amp; CHILL'!B1090,"AAAAAHZzu5Y=")</f>
        <v>#VALUE!</v>
      </c>
      <c r="EV291" t="e">
        <f>AND('STERLING CATALOG - FZN &amp; CHILL'!C1090,"AAAAAHZzu5c=")</f>
        <v>#VALUE!</v>
      </c>
      <c r="EW291" t="e">
        <f>AND('STERLING CATALOG - FZN &amp; CHILL'!D1090,"AAAAAHZzu5g=")</f>
        <v>#VALUE!</v>
      </c>
      <c r="EX291" t="e">
        <f>AND('STERLING CATALOG - FZN &amp; CHILL'!E1090,"AAAAAHZzu5k=")</f>
        <v>#VALUE!</v>
      </c>
      <c r="EY291" t="e">
        <f>AND('STERLING CATALOG - FZN &amp; CHILL'!F1090,"AAAAAHZzu5o=")</f>
        <v>#VALUE!</v>
      </c>
      <c r="EZ291" t="e">
        <f>AND('STERLING CATALOG - FZN &amp; CHILL'!G1090,"AAAAAHZzu5s=")</f>
        <v>#VALUE!</v>
      </c>
      <c r="FA291" t="e">
        <f>AND('STERLING CATALOG - FZN &amp; CHILL'!H1090,"AAAAAHZzu5w=")</f>
        <v>#VALUE!</v>
      </c>
      <c r="FB291" t="e">
        <f>AND('STERLING CATALOG - FZN &amp; CHILL'!I1090,"AAAAAHZzu50=")</f>
        <v>#VALUE!</v>
      </c>
      <c r="FC291" t="e">
        <f>AND('STERLING CATALOG - FZN &amp; CHILL'!J1090,"AAAAAHZzu54=")</f>
        <v>#VALUE!</v>
      </c>
      <c r="FD291">
        <f>IF('STERLING CATALOG - FZN &amp; CHILL'!1091:1091,"AAAAAHZzu58=",0)</f>
        <v>0</v>
      </c>
      <c r="FE291" t="e">
        <f>AND('STERLING CATALOG - FZN &amp; CHILL'!A1091,"AAAAAHZzu6A=")</f>
        <v>#VALUE!</v>
      </c>
      <c r="FF291" t="e">
        <f>AND('STERLING CATALOG - FZN &amp; CHILL'!B1091,"AAAAAHZzu6E=")</f>
        <v>#VALUE!</v>
      </c>
      <c r="FG291" t="e">
        <f>AND('STERLING CATALOG - FZN &amp; CHILL'!C1091,"AAAAAHZzu6I=")</f>
        <v>#VALUE!</v>
      </c>
      <c r="FH291" t="e">
        <f>AND('STERLING CATALOG - FZN &amp; CHILL'!D1091,"AAAAAHZzu6M=")</f>
        <v>#VALUE!</v>
      </c>
      <c r="FI291" t="e">
        <f>AND('STERLING CATALOG - FZN &amp; CHILL'!E1091,"AAAAAHZzu6Q=")</f>
        <v>#VALUE!</v>
      </c>
      <c r="FJ291" t="e">
        <f>AND('STERLING CATALOG - FZN &amp; CHILL'!F1091,"AAAAAHZzu6U=")</f>
        <v>#VALUE!</v>
      </c>
      <c r="FK291" t="e">
        <f>AND('STERLING CATALOG - FZN &amp; CHILL'!G1091,"AAAAAHZzu6Y=")</f>
        <v>#VALUE!</v>
      </c>
      <c r="FL291" t="e">
        <f>AND('STERLING CATALOG - FZN &amp; CHILL'!H1091,"AAAAAHZzu6c=")</f>
        <v>#VALUE!</v>
      </c>
      <c r="FM291" t="e">
        <f>AND('STERLING CATALOG - FZN &amp; CHILL'!I1091,"AAAAAHZzu6g=")</f>
        <v>#VALUE!</v>
      </c>
      <c r="FN291" t="e">
        <f>AND('STERLING CATALOG - FZN &amp; CHILL'!J1091,"AAAAAHZzu6k=")</f>
        <v>#VALUE!</v>
      </c>
      <c r="FO291">
        <f>IF('STERLING CATALOG - FZN &amp; CHILL'!1092:1092,"AAAAAHZzu6o=",0)</f>
        <v>0</v>
      </c>
      <c r="FP291" t="e">
        <f>AND('STERLING CATALOG - FZN &amp; CHILL'!A1092,"AAAAAHZzu6s=")</f>
        <v>#VALUE!</v>
      </c>
      <c r="FQ291" t="e">
        <f>AND('STERLING CATALOG - FZN &amp; CHILL'!B1092,"AAAAAHZzu6w=")</f>
        <v>#VALUE!</v>
      </c>
      <c r="FR291" t="e">
        <f>AND('STERLING CATALOG - FZN &amp; CHILL'!C1092,"AAAAAHZzu60=")</f>
        <v>#VALUE!</v>
      </c>
      <c r="FS291" t="e">
        <f>AND('STERLING CATALOG - FZN &amp; CHILL'!D1092,"AAAAAHZzu64=")</f>
        <v>#VALUE!</v>
      </c>
      <c r="FT291" t="e">
        <f>AND('STERLING CATALOG - FZN &amp; CHILL'!E1092,"AAAAAHZzu68=")</f>
        <v>#VALUE!</v>
      </c>
      <c r="FU291" t="e">
        <f>AND('STERLING CATALOG - FZN &amp; CHILL'!F1092,"AAAAAHZzu7A=")</f>
        <v>#VALUE!</v>
      </c>
      <c r="FV291" t="e">
        <f>AND('STERLING CATALOG - FZN &amp; CHILL'!G1092,"AAAAAHZzu7E=")</f>
        <v>#VALUE!</v>
      </c>
      <c r="FW291" t="e">
        <f>AND('STERLING CATALOG - FZN &amp; CHILL'!H1092,"AAAAAHZzu7I=")</f>
        <v>#VALUE!</v>
      </c>
      <c r="FX291" t="e">
        <f>AND('STERLING CATALOG - FZN &amp; CHILL'!I1092,"AAAAAHZzu7M=")</f>
        <v>#VALUE!</v>
      </c>
      <c r="FY291" t="e">
        <f>AND('STERLING CATALOG - FZN &amp; CHILL'!J1092,"AAAAAHZzu7Q=")</f>
        <v>#VALUE!</v>
      </c>
      <c r="FZ291">
        <f>IF('STERLING CATALOG - FZN &amp; CHILL'!1093:1093,"AAAAAHZzu7U=",0)</f>
        <v>0</v>
      </c>
      <c r="GA291" t="e">
        <f>AND('STERLING CATALOG - FZN &amp; CHILL'!A1093,"AAAAAHZzu7Y=")</f>
        <v>#VALUE!</v>
      </c>
      <c r="GB291" t="e">
        <f>AND('STERLING CATALOG - FZN &amp; CHILL'!B1093,"AAAAAHZzu7c=")</f>
        <v>#VALUE!</v>
      </c>
      <c r="GC291" t="e">
        <f>AND('STERLING CATALOG - FZN &amp; CHILL'!C1093,"AAAAAHZzu7g=")</f>
        <v>#VALUE!</v>
      </c>
      <c r="GD291" t="e">
        <f>AND('STERLING CATALOG - FZN &amp; CHILL'!D1093,"AAAAAHZzu7k=")</f>
        <v>#VALUE!</v>
      </c>
      <c r="GE291" t="e">
        <f>AND('STERLING CATALOG - FZN &amp; CHILL'!E1093,"AAAAAHZzu7o=")</f>
        <v>#VALUE!</v>
      </c>
      <c r="GF291" t="e">
        <f>AND('STERLING CATALOG - FZN &amp; CHILL'!F1093,"AAAAAHZzu7s=")</f>
        <v>#VALUE!</v>
      </c>
      <c r="GG291" t="e">
        <f>AND('STERLING CATALOG - FZN &amp; CHILL'!G1093,"AAAAAHZzu7w=")</f>
        <v>#VALUE!</v>
      </c>
      <c r="GH291" t="e">
        <f>AND('STERLING CATALOG - FZN &amp; CHILL'!H1093,"AAAAAHZzu70=")</f>
        <v>#VALUE!</v>
      </c>
      <c r="GI291" t="e">
        <f>AND('STERLING CATALOG - FZN &amp; CHILL'!I1093,"AAAAAHZzu74=")</f>
        <v>#VALUE!</v>
      </c>
      <c r="GJ291" t="e">
        <f>AND('STERLING CATALOG - FZN &amp; CHILL'!J1093,"AAAAAHZzu78=")</f>
        <v>#VALUE!</v>
      </c>
      <c r="GK291">
        <f>IF('STERLING CATALOG - FZN &amp; CHILL'!1094:1094,"AAAAAHZzu8A=",0)</f>
        <v>0</v>
      </c>
      <c r="GL291" t="e">
        <f>AND('STERLING CATALOG - FZN &amp; CHILL'!A1094,"AAAAAHZzu8E=")</f>
        <v>#VALUE!</v>
      </c>
      <c r="GM291" t="e">
        <f>AND('STERLING CATALOG - FZN &amp; CHILL'!B1094,"AAAAAHZzu8I=")</f>
        <v>#VALUE!</v>
      </c>
      <c r="GN291" t="e">
        <f>AND('STERLING CATALOG - FZN &amp; CHILL'!C1094,"AAAAAHZzu8M=")</f>
        <v>#VALUE!</v>
      </c>
      <c r="GO291" t="e">
        <f>AND('STERLING CATALOG - FZN &amp; CHILL'!D1094,"AAAAAHZzu8Q=")</f>
        <v>#VALUE!</v>
      </c>
      <c r="GP291" t="e">
        <f>AND('STERLING CATALOG - FZN &amp; CHILL'!E1094,"AAAAAHZzu8U=")</f>
        <v>#VALUE!</v>
      </c>
      <c r="GQ291" t="e">
        <f>AND('STERLING CATALOG - FZN &amp; CHILL'!F1094,"AAAAAHZzu8Y=")</f>
        <v>#VALUE!</v>
      </c>
      <c r="GR291" t="e">
        <f>AND('STERLING CATALOG - FZN &amp; CHILL'!G1094,"AAAAAHZzu8c=")</f>
        <v>#VALUE!</v>
      </c>
      <c r="GS291" t="e">
        <f>AND('STERLING CATALOG - FZN &amp; CHILL'!H1094,"AAAAAHZzu8g=")</f>
        <v>#VALUE!</v>
      </c>
      <c r="GT291" t="e">
        <f>AND('STERLING CATALOG - FZN &amp; CHILL'!I1094,"AAAAAHZzu8k=")</f>
        <v>#VALUE!</v>
      </c>
      <c r="GU291" t="e">
        <f>AND('STERLING CATALOG - FZN &amp; CHILL'!J1094,"AAAAAHZzu8o=")</f>
        <v>#VALUE!</v>
      </c>
      <c r="GV291">
        <f>IF('STERLING CATALOG - FZN &amp; CHILL'!1095:1095,"AAAAAHZzu8s=",0)</f>
        <v>0</v>
      </c>
      <c r="GW291" t="e">
        <f>AND('STERLING CATALOG - FZN &amp; CHILL'!A1095,"AAAAAHZzu8w=")</f>
        <v>#VALUE!</v>
      </c>
      <c r="GX291" t="e">
        <f>AND('STERLING CATALOG - FZN &amp; CHILL'!B1095,"AAAAAHZzu80=")</f>
        <v>#VALUE!</v>
      </c>
      <c r="GY291" t="e">
        <f>AND('STERLING CATALOG - FZN &amp; CHILL'!C1095,"AAAAAHZzu84=")</f>
        <v>#VALUE!</v>
      </c>
      <c r="GZ291" t="e">
        <f>AND('STERLING CATALOG - FZN &amp; CHILL'!D1095,"AAAAAHZzu88=")</f>
        <v>#VALUE!</v>
      </c>
      <c r="HA291" t="e">
        <f>AND('STERLING CATALOG - FZN &amp; CHILL'!E1095,"AAAAAHZzu9A=")</f>
        <v>#VALUE!</v>
      </c>
      <c r="HB291" t="e">
        <f>AND('STERLING CATALOG - FZN &amp; CHILL'!F1095,"AAAAAHZzu9E=")</f>
        <v>#VALUE!</v>
      </c>
      <c r="HC291" t="e">
        <f>AND('STERLING CATALOG - FZN &amp; CHILL'!G1095,"AAAAAHZzu9I=")</f>
        <v>#VALUE!</v>
      </c>
      <c r="HD291" t="e">
        <f>AND('STERLING CATALOG - FZN &amp; CHILL'!H1095,"AAAAAHZzu9M=")</f>
        <v>#VALUE!</v>
      </c>
      <c r="HE291" t="e">
        <f>AND('STERLING CATALOG - FZN &amp; CHILL'!I1095,"AAAAAHZzu9Q=")</f>
        <v>#VALUE!</v>
      </c>
      <c r="HF291" t="e">
        <f>AND('STERLING CATALOG - FZN &amp; CHILL'!J1095,"AAAAAHZzu9U=")</f>
        <v>#VALUE!</v>
      </c>
      <c r="HG291">
        <f>IF('STERLING CATALOG - FZN &amp; CHILL'!1096:1096,"AAAAAHZzu9Y=",0)</f>
        <v>0</v>
      </c>
      <c r="HH291" t="e">
        <f>AND('STERLING CATALOG - FZN &amp; CHILL'!A1096,"AAAAAHZzu9c=")</f>
        <v>#VALUE!</v>
      </c>
      <c r="HI291" t="e">
        <f>AND('STERLING CATALOG - FZN &amp; CHILL'!B1096,"AAAAAHZzu9g=")</f>
        <v>#VALUE!</v>
      </c>
      <c r="HJ291" t="e">
        <f>AND('STERLING CATALOG - FZN &amp; CHILL'!C1096,"AAAAAHZzu9k=")</f>
        <v>#VALUE!</v>
      </c>
      <c r="HK291" t="e">
        <f>AND('STERLING CATALOG - FZN &amp; CHILL'!D1096,"AAAAAHZzu9o=")</f>
        <v>#VALUE!</v>
      </c>
      <c r="HL291" t="e">
        <f>AND('STERLING CATALOG - FZN &amp; CHILL'!E1096,"AAAAAHZzu9s=")</f>
        <v>#VALUE!</v>
      </c>
      <c r="HM291" t="e">
        <f>AND('STERLING CATALOG - FZN &amp; CHILL'!F1096,"AAAAAHZzu9w=")</f>
        <v>#VALUE!</v>
      </c>
      <c r="HN291" t="e">
        <f>AND('STERLING CATALOG - FZN &amp; CHILL'!G1096,"AAAAAHZzu90=")</f>
        <v>#VALUE!</v>
      </c>
      <c r="HO291" t="e">
        <f>AND('STERLING CATALOG - FZN &amp; CHILL'!H1096,"AAAAAHZzu94=")</f>
        <v>#VALUE!</v>
      </c>
      <c r="HP291" t="e">
        <f>AND('STERLING CATALOG - FZN &amp; CHILL'!I1096,"AAAAAHZzu98=")</f>
        <v>#VALUE!</v>
      </c>
      <c r="HQ291" t="e">
        <f>AND('STERLING CATALOG - FZN &amp; CHILL'!J1096,"AAAAAHZzu+A=")</f>
        <v>#VALUE!</v>
      </c>
      <c r="HR291">
        <f>IF('STERLING CATALOG - FZN &amp; CHILL'!1097:1097,"AAAAAHZzu+E=",0)</f>
        <v>0</v>
      </c>
      <c r="HS291" t="e">
        <f>AND('STERLING CATALOG - FZN &amp; CHILL'!A1097,"AAAAAHZzu+I=")</f>
        <v>#VALUE!</v>
      </c>
      <c r="HT291" t="e">
        <f>AND('STERLING CATALOG - FZN &amp; CHILL'!B1097,"AAAAAHZzu+M=")</f>
        <v>#VALUE!</v>
      </c>
      <c r="HU291" t="e">
        <f>AND('STERLING CATALOG - FZN &amp; CHILL'!C1097,"AAAAAHZzu+Q=")</f>
        <v>#VALUE!</v>
      </c>
      <c r="HV291" t="e">
        <f>AND('STERLING CATALOG - FZN &amp; CHILL'!D1097,"AAAAAHZzu+U=")</f>
        <v>#VALUE!</v>
      </c>
      <c r="HW291" t="e">
        <f>AND('STERLING CATALOG - FZN &amp; CHILL'!E1097,"AAAAAHZzu+Y=")</f>
        <v>#VALUE!</v>
      </c>
      <c r="HX291" t="e">
        <f>AND('STERLING CATALOG - FZN &amp; CHILL'!F1097,"AAAAAHZzu+c=")</f>
        <v>#VALUE!</v>
      </c>
      <c r="HY291" t="e">
        <f>AND('STERLING CATALOG - FZN &amp; CHILL'!G1097,"AAAAAHZzu+g=")</f>
        <v>#VALUE!</v>
      </c>
      <c r="HZ291" t="e">
        <f>AND('STERLING CATALOG - FZN &amp; CHILL'!H1097,"AAAAAHZzu+k=")</f>
        <v>#VALUE!</v>
      </c>
      <c r="IA291" t="e">
        <f>AND('STERLING CATALOG - FZN &amp; CHILL'!I1097,"AAAAAHZzu+o=")</f>
        <v>#VALUE!</v>
      </c>
      <c r="IB291" t="e">
        <f>AND('STERLING CATALOG - FZN &amp; CHILL'!J1097,"AAAAAHZzu+s=")</f>
        <v>#VALUE!</v>
      </c>
      <c r="IC291">
        <f>IF('STERLING CATALOG - FZN &amp; CHILL'!1098:1098,"AAAAAHZzu+w=",0)</f>
        <v>0</v>
      </c>
      <c r="ID291" t="e">
        <f>AND('STERLING CATALOG - FZN &amp; CHILL'!A1098,"AAAAAHZzu+0=")</f>
        <v>#VALUE!</v>
      </c>
      <c r="IE291" t="e">
        <f>AND('STERLING CATALOG - FZN &amp; CHILL'!B1098,"AAAAAHZzu+4=")</f>
        <v>#VALUE!</v>
      </c>
      <c r="IF291" t="e">
        <f>AND('STERLING CATALOG - FZN &amp; CHILL'!C1098,"AAAAAHZzu+8=")</f>
        <v>#VALUE!</v>
      </c>
      <c r="IG291" t="e">
        <f>AND('STERLING CATALOG - FZN &amp; CHILL'!D1098,"AAAAAHZzu/A=")</f>
        <v>#VALUE!</v>
      </c>
      <c r="IH291" t="e">
        <f>AND('STERLING CATALOG - FZN &amp; CHILL'!E1098,"AAAAAHZzu/E=")</f>
        <v>#VALUE!</v>
      </c>
      <c r="II291" t="e">
        <f>AND('STERLING CATALOG - FZN &amp; CHILL'!F1098,"AAAAAHZzu/I=")</f>
        <v>#VALUE!</v>
      </c>
      <c r="IJ291" t="e">
        <f>AND('STERLING CATALOG - FZN &amp; CHILL'!G1098,"AAAAAHZzu/M=")</f>
        <v>#VALUE!</v>
      </c>
      <c r="IK291" t="e">
        <f>AND('STERLING CATALOG - FZN &amp; CHILL'!H1098,"AAAAAHZzu/Q=")</f>
        <v>#VALUE!</v>
      </c>
      <c r="IL291" t="e">
        <f>AND('STERLING CATALOG - FZN &amp; CHILL'!I1098,"AAAAAHZzu/U=")</f>
        <v>#VALUE!</v>
      </c>
      <c r="IM291" t="e">
        <f>AND('STERLING CATALOG - FZN &amp; CHILL'!J1098,"AAAAAHZzu/Y=")</f>
        <v>#VALUE!</v>
      </c>
      <c r="IN291">
        <f>IF('STERLING CATALOG - FZN &amp; CHILL'!1099:1099,"AAAAAHZzu/c=",0)</f>
        <v>0</v>
      </c>
      <c r="IO291" t="e">
        <f>AND('STERLING CATALOG - FZN &amp; CHILL'!A1099,"AAAAAHZzu/g=")</f>
        <v>#VALUE!</v>
      </c>
      <c r="IP291" t="e">
        <f>AND('STERLING CATALOG - FZN &amp; CHILL'!B1099,"AAAAAHZzu/k=")</f>
        <v>#VALUE!</v>
      </c>
      <c r="IQ291" t="e">
        <f>AND('STERLING CATALOG - FZN &amp; CHILL'!C1099,"AAAAAHZzu/o=")</f>
        <v>#VALUE!</v>
      </c>
      <c r="IR291" t="e">
        <f>AND('STERLING CATALOG - FZN &amp; CHILL'!D1099,"AAAAAHZzu/s=")</f>
        <v>#VALUE!</v>
      </c>
      <c r="IS291" t="e">
        <f>AND('STERLING CATALOG - FZN &amp; CHILL'!E1099,"AAAAAHZzu/w=")</f>
        <v>#VALUE!</v>
      </c>
      <c r="IT291" t="e">
        <f>AND('STERLING CATALOG - FZN &amp; CHILL'!F1099,"AAAAAHZzu/0=")</f>
        <v>#VALUE!</v>
      </c>
      <c r="IU291" t="e">
        <f>AND('STERLING CATALOG - FZN &amp; CHILL'!G1099,"AAAAAHZzu/4=")</f>
        <v>#VALUE!</v>
      </c>
      <c r="IV291" t="e">
        <f>AND('STERLING CATALOG - FZN &amp; CHILL'!H1099,"AAAAAHZzu/8=")</f>
        <v>#VALUE!</v>
      </c>
    </row>
    <row r="292" spans="1:256">
      <c r="A292" t="e">
        <f>AND('STERLING CATALOG - FZN &amp; CHILL'!I1099,"AAAAAH+atgA=")</f>
        <v>#VALUE!</v>
      </c>
      <c r="B292" t="e">
        <f>AND('STERLING CATALOG - FZN &amp; CHILL'!J1099,"AAAAAH+atgE=")</f>
        <v>#VALUE!</v>
      </c>
      <c r="C292" t="str">
        <f>IF('STERLING CATALOG - FZN &amp; CHILL'!1100:1100,"AAAAAH+atgI=",0)</f>
        <v>AAAAAH+atgI=</v>
      </c>
      <c r="D292" t="e">
        <f>AND('STERLING CATALOG - FZN &amp; CHILL'!A1100,"AAAAAH+atgM=")</f>
        <v>#VALUE!</v>
      </c>
      <c r="E292" t="e">
        <f>AND('STERLING CATALOG - FZN &amp; CHILL'!B1100,"AAAAAH+atgQ=")</f>
        <v>#VALUE!</v>
      </c>
      <c r="F292" t="e">
        <f>AND('STERLING CATALOG - FZN &amp; CHILL'!C1100,"AAAAAH+atgU=")</f>
        <v>#VALUE!</v>
      </c>
      <c r="G292" t="e">
        <f>AND('STERLING CATALOG - FZN &amp; CHILL'!D1100,"AAAAAH+atgY=")</f>
        <v>#VALUE!</v>
      </c>
      <c r="H292" t="e">
        <f>AND('STERLING CATALOG - FZN &amp; CHILL'!E1100,"AAAAAH+atgc=")</f>
        <v>#VALUE!</v>
      </c>
      <c r="I292" t="e">
        <f>AND('STERLING CATALOG - FZN &amp; CHILL'!F1100,"AAAAAH+atgg=")</f>
        <v>#VALUE!</v>
      </c>
      <c r="J292" t="e">
        <f>AND('STERLING CATALOG - FZN &amp; CHILL'!G1100,"AAAAAH+atgk=")</f>
        <v>#VALUE!</v>
      </c>
      <c r="K292" t="e">
        <f>AND('STERLING CATALOG - FZN &amp; CHILL'!H1100,"AAAAAH+atgo=")</f>
        <v>#VALUE!</v>
      </c>
      <c r="L292" t="e">
        <f>AND('STERLING CATALOG - FZN &amp; CHILL'!I1100,"AAAAAH+atgs=")</f>
        <v>#VALUE!</v>
      </c>
      <c r="M292" t="e">
        <f>AND('STERLING CATALOG - FZN &amp; CHILL'!J1100,"AAAAAH+atgw=")</f>
        <v>#VALUE!</v>
      </c>
      <c r="N292">
        <f>IF('STERLING CATALOG - FZN &amp; CHILL'!1101:1101,"AAAAAH+atg0=",0)</f>
        <v>0</v>
      </c>
      <c r="O292" t="e">
        <f>AND('STERLING CATALOG - FZN &amp; CHILL'!A1101,"AAAAAH+atg4=")</f>
        <v>#VALUE!</v>
      </c>
      <c r="P292" t="e">
        <f>AND('STERLING CATALOG - FZN &amp; CHILL'!B1101,"AAAAAH+atg8=")</f>
        <v>#VALUE!</v>
      </c>
      <c r="Q292" t="e">
        <f>AND('STERLING CATALOG - FZN &amp; CHILL'!C1101,"AAAAAH+athA=")</f>
        <v>#VALUE!</v>
      </c>
      <c r="R292" t="e">
        <f>AND('STERLING CATALOG - FZN &amp; CHILL'!D1101,"AAAAAH+athE=")</f>
        <v>#VALUE!</v>
      </c>
      <c r="S292" t="e">
        <f>AND('STERLING CATALOG - FZN &amp; CHILL'!E1101,"AAAAAH+athI=")</f>
        <v>#VALUE!</v>
      </c>
      <c r="T292" t="e">
        <f>AND('STERLING CATALOG - FZN &amp; CHILL'!F1101,"AAAAAH+athM=")</f>
        <v>#VALUE!</v>
      </c>
      <c r="U292" t="e">
        <f>AND('STERLING CATALOG - FZN &amp; CHILL'!G1101,"AAAAAH+athQ=")</f>
        <v>#VALUE!</v>
      </c>
      <c r="V292" t="e">
        <f>AND('STERLING CATALOG - FZN &amp; CHILL'!H1101,"AAAAAH+athU=")</f>
        <v>#VALUE!</v>
      </c>
      <c r="W292" t="e">
        <f>AND('STERLING CATALOG - FZN &amp; CHILL'!I1101,"AAAAAH+athY=")</f>
        <v>#VALUE!</v>
      </c>
      <c r="X292" t="e">
        <f>AND('STERLING CATALOG - FZN &amp; CHILL'!J1101,"AAAAAH+athc=")</f>
        <v>#VALUE!</v>
      </c>
      <c r="Y292">
        <f>IF('STERLING CATALOG - FZN &amp; CHILL'!1102:1102,"AAAAAH+athg=",0)</f>
        <v>0</v>
      </c>
      <c r="Z292" t="e">
        <f>AND('STERLING CATALOG - FZN &amp; CHILL'!A1102,"AAAAAH+athk=")</f>
        <v>#VALUE!</v>
      </c>
      <c r="AA292" t="e">
        <f>AND('STERLING CATALOG - FZN &amp; CHILL'!B1102,"AAAAAH+atho=")</f>
        <v>#VALUE!</v>
      </c>
      <c r="AB292" t="e">
        <f>AND('STERLING CATALOG - FZN &amp; CHILL'!C1102,"AAAAAH+aths=")</f>
        <v>#VALUE!</v>
      </c>
      <c r="AC292" t="e">
        <f>AND('STERLING CATALOG - FZN &amp; CHILL'!D1102,"AAAAAH+athw=")</f>
        <v>#VALUE!</v>
      </c>
      <c r="AD292" t="e">
        <f>AND('STERLING CATALOG - FZN &amp; CHILL'!E1102,"AAAAAH+ath0=")</f>
        <v>#VALUE!</v>
      </c>
      <c r="AE292" t="e">
        <f>AND('STERLING CATALOG - FZN &amp; CHILL'!F1102,"AAAAAH+ath4=")</f>
        <v>#VALUE!</v>
      </c>
      <c r="AF292" t="e">
        <f>AND('STERLING CATALOG - FZN &amp; CHILL'!G1102,"AAAAAH+ath8=")</f>
        <v>#VALUE!</v>
      </c>
      <c r="AG292" t="e">
        <f>AND('STERLING CATALOG - FZN &amp; CHILL'!H1102,"AAAAAH+atiA=")</f>
        <v>#VALUE!</v>
      </c>
      <c r="AH292" t="e">
        <f>AND('STERLING CATALOG - FZN &amp; CHILL'!I1102,"AAAAAH+atiE=")</f>
        <v>#VALUE!</v>
      </c>
      <c r="AI292" t="e">
        <f>AND('STERLING CATALOG - FZN &amp; CHILL'!J1102,"AAAAAH+atiI=")</f>
        <v>#VALUE!</v>
      </c>
      <c r="AJ292">
        <f>IF('STERLING CATALOG - FZN &amp; CHILL'!1103:1103,"AAAAAH+atiM=",0)</f>
        <v>0</v>
      </c>
      <c r="AK292" t="e">
        <f>AND('STERLING CATALOG - FZN &amp; CHILL'!A1103,"AAAAAH+atiQ=")</f>
        <v>#VALUE!</v>
      </c>
      <c r="AL292" t="e">
        <f>AND('STERLING CATALOG - FZN &amp; CHILL'!B1103,"AAAAAH+atiU=")</f>
        <v>#VALUE!</v>
      </c>
      <c r="AM292" t="e">
        <f>AND('STERLING CATALOG - FZN &amp; CHILL'!C1103,"AAAAAH+atiY=")</f>
        <v>#VALUE!</v>
      </c>
      <c r="AN292" t="e">
        <f>AND('STERLING CATALOG - FZN &amp; CHILL'!D1103,"AAAAAH+atic=")</f>
        <v>#VALUE!</v>
      </c>
      <c r="AO292" t="e">
        <f>AND('STERLING CATALOG - FZN &amp; CHILL'!E1103,"AAAAAH+atig=")</f>
        <v>#VALUE!</v>
      </c>
      <c r="AP292" t="e">
        <f>AND('STERLING CATALOG - FZN &amp; CHILL'!F1103,"AAAAAH+atik=")</f>
        <v>#VALUE!</v>
      </c>
      <c r="AQ292" t="e">
        <f>AND('STERLING CATALOG - FZN &amp; CHILL'!G1103,"AAAAAH+atio=")</f>
        <v>#VALUE!</v>
      </c>
      <c r="AR292" t="e">
        <f>AND('STERLING CATALOG - FZN &amp; CHILL'!H1103,"AAAAAH+atis=")</f>
        <v>#VALUE!</v>
      </c>
      <c r="AS292" t="e">
        <f>AND('STERLING CATALOG - FZN &amp; CHILL'!I1103,"AAAAAH+atiw=")</f>
        <v>#VALUE!</v>
      </c>
      <c r="AT292" t="e">
        <f>AND('STERLING CATALOG - FZN &amp; CHILL'!J1103,"AAAAAH+ati0=")</f>
        <v>#VALUE!</v>
      </c>
      <c r="AU292">
        <f>IF('STERLING CATALOG - FZN &amp; CHILL'!1104:1104,"AAAAAH+ati4=",0)</f>
        <v>0</v>
      </c>
      <c r="AV292" t="e">
        <f>AND('STERLING CATALOG - FZN &amp; CHILL'!A1104,"AAAAAH+ati8=")</f>
        <v>#VALUE!</v>
      </c>
      <c r="AW292" t="e">
        <f>AND('STERLING CATALOG - FZN &amp; CHILL'!B1104,"AAAAAH+atjA=")</f>
        <v>#VALUE!</v>
      </c>
      <c r="AX292" t="e">
        <f>AND('STERLING CATALOG - FZN &amp; CHILL'!C1104,"AAAAAH+atjE=")</f>
        <v>#VALUE!</v>
      </c>
      <c r="AY292" t="e">
        <f>AND('STERLING CATALOG - FZN &amp; CHILL'!D1104,"AAAAAH+atjI=")</f>
        <v>#VALUE!</v>
      </c>
      <c r="AZ292" t="e">
        <f>AND('STERLING CATALOG - FZN &amp; CHILL'!E1104,"AAAAAH+atjM=")</f>
        <v>#VALUE!</v>
      </c>
      <c r="BA292" t="e">
        <f>AND('STERLING CATALOG - FZN &amp; CHILL'!F1104,"AAAAAH+atjQ=")</f>
        <v>#VALUE!</v>
      </c>
      <c r="BB292" t="e">
        <f>AND('STERLING CATALOG - FZN &amp; CHILL'!G1104,"AAAAAH+atjU=")</f>
        <v>#VALUE!</v>
      </c>
      <c r="BC292" t="e">
        <f>AND('STERLING CATALOG - FZN &amp; CHILL'!H1104,"AAAAAH+atjY=")</f>
        <v>#VALUE!</v>
      </c>
      <c r="BD292" t="e">
        <f>AND('STERLING CATALOG - FZN &amp; CHILL'!I1104,"AAAAAH+atjc=")</f>
        <v>#VALUE!</v>
      </c>
      <c r="BE292" t="e">
        <f>AND('STERLING CATALOG - FZN &amp; CHILL'!J1104,"AAAAAH+atjg=")</f>
        <v>#VALUE!</v>
      </c>
      <c r="BF292">
        <f>IF('STERLING CATALOG - FZN &amp; CHILL'!1105:1105,"AAAAAH+atjk=",0)</f>
        <v>0</v>
      </c>
      <c r="BG292" t="e">
        <f>AND('STERLING CATALOG - FZN &amp; CHILL'!A1105,"AAAAAH+atjo=")</f>
        <v>#VALUE!</v>
      </c>
      <c r="BH292" t="e">
        <f>AND('STERLING CATALOG - FZN &amp; CHILL'!B1105,"AAAAAH+atjs=")</f>
        <v>#VALUE!</v>
      </c>
      <c r="BI292" t="e">
        <f>AND('STERLING CATALOG - FZN &amp; CHILL'!C1105,"AAAAAH+atjw=")</f>
        <v>#VALUE!</v>
      </c>
      <c r="BJ292" t="e">
        <f>AND('STERLING CATALOG - FZN &amp; CHILL'!D1105,"AAAAAH+atj0=")</f>
        <v>#VALUE!</v>
      </c>
      <c r="BK292" t="e">
        <f>AND('STERLING CATALOG - FZN &amp; CHILL'!E1105,"AAAAAH+atj4=")</f>
        <v>#VALUE!</v>
      </c>
      <c r="BL292" t="e">
        <f>AND('STERLING CATALOG - FZN &amp; CHILL'!F1105,"AAAAAH+atj8=")</f>
        <v>#VALUE!</v>
      </c>
      <c r="BM292" t="e">
        <f>AND('STERLING CATALOG - FZN &amp; CHILL'!G1105,"AAAAAH+atkA=")</f>
        <v>#VALUE!</v>
      </c>
      <c r="BN292" t="e">
        <f>AND('STERLING CATALOG - FZN &amp; CHILL'!H1105,"AAAAAH+atkE=")</f>
        <v>#VALUE!</v>
      </c>
      <c r="BO292" t="e">
        <f>AND('STERLING CATALOG - FZN &amp; CHILL'!I1105,"AAAAAH+atkI=")</f>
        <v>#VALUE!</v>
      </c>
      <c r="BP292" t="e">
        <f>AND('STERLING CATALOG - FZN &amp; CHILL'!J1105,"AAAAAH+atkM=")</f>
        <v>#VALUE!</v>
      </c>
      <c r="BQ292">
        <f>IF('STERLING CATALOG - FZN &amp; CHILL'!1106:1106,"AAAAAH+atkQ=",0)</f>
        <v>0</v>
      </c>
      <c r="BR292" t="e">
        <f>AND('STERLING CATALOG - FZN &amp; CHILL'!A1106,"AAAAAH+atkU=")</f>
        <v>#VALUE!</v>
      </c>
      <c r="BS292" t="e">
        <f>AND('STERLING CATALOG - FZN &amp; CHILL'!B1106,"AAAAAH+atkY=")</f>
        <v>#VALUE!</v>
      </c>
      <c r="BT292" t="e">
        <f>AND('STERLING CATALOG - FZN &amp; CHILL'!C1106,"AAAAAH+atkc=")</f>
        <v>#VALUE!</v>
      </c>
      <c r="BU292" t="e">
        <f>AND('STERLING CATALOG - FZN &amp; CHILL'!D1106,"AAAAAH+atkg=")</f>
        <v>#VALUE!</v>
      </c>
      <c r="BV292" t="e">
        <f>AND('STERLING CATALOG - FZN &amp; CHILL'!E1106,"AAAAAH+atkk=")</f>
        <v>#VALUE!</v>
      </c>
      <c r="BW292" t="e">
        <f>AND('STERLING CATALOG - FZN &amp; CHILL'!F1106,"AAAAAH+atko=")</f>
        <v>#VALUE!</v>
      </c>
      <c r="BX292" t="e">
        <f>AND('STERLING CATALOG - FZN &amp; CHILL'!G1106,"AAAAAH+atks=")</f>
        <v>#VALUE!</v>
      </c>
      <c r="BY292" t="e">
        <f>AND('STERLING CATALOG - FZN &amp; CHILL'!H1106,"AAAAAH+atkw=")</f>
        <v>#VALUE!</v>
      </c>
      <c r="BZ292" t="e">
        <f>AND('STERLING CATALOG - FZN &amp; CHILL'!I1106,"AAAAAH+atk0=")</f>
        <v>#VALUE!</v>
      </c>
      <c r="CA292" t="e">
        <f>AND('STERLING CATALOG - FZN &amp; CHILL'!J1106,"AAAAAH+atk4=")</f>
        <v>#VALUE!</v>
      </c>
      <c r="CB292">
        <f>IF('STERLING CATALOG - FZN &amp; CHILL'!1107:1107,"AAAAAH+atk8=",0)</f>
        <v>0</v>
      </c>
      <c r="CC292" t="e">
        <f>AND('STERLING CATALOG - FZN &amp; CHILL'!A1107,"AAAAAH+atlA=")</f>
        <v>#VALUE!</v>
      </c>
      <c r="CD292" t="e">
        <f>AND('STERLING CATALOG - FZN &amp; CHILL'!B1107,"AAAAAH+atlE=")</f>
        <v>#VALUE!</v>
      </c>
      <c r="CE292" t="e">
        <f>AND('STERLING CATALOG - FZN &amp; CHILL'!C1107,"AAAAAH+atlI=")</f>
        <v>#VALUE!</v>
      </c>
      <c r="CF292" t="e">
        <f>AND('STERLING CATALOG - FZN &amp; CHILL'!D1107,"AAAAAH+atlM=")</f>
        <v>#VALUE!</v>
      </c>
      <c r="CG292" t="e">
        <f>AND('STERLING CATALOG - FZN &amp; CHILL'!E1107,"AAAAAH+atlQ=")</f>
        <v>#VALUE!</v>
      </c>
      <c r="CH292" t="e">
        <f>AND('STERLING CATALOG - FZN &amp; CHILL'!F1107,"AAAAAH+atlU=")</f>
        <v>#VALUE!</v>
      </c>
      <c r="CI292" t="e">
        <f>AND('STERLING CATALOG - FZN &amp; CHILL'!G1107,"AAAAAH+atlY=")</f>
        <v>#VALUE!</v>
      </c>
      <c r="CJ292" t="e">
        <f>AND('STERLING CATALOG - FZN &amp; CHILL'!H1107,"AAAAAH+atlc=")</f>
        <v>#VALUE!</v>
      </c>
      <c r="CK292" t="e">
        <f>AND('STERLING CATALOG - FZN &amp; CHILL'!I1107,"AAAAAH+atlg=")</f>
        <v>#VALUE!</v>
      </c>
      <c r="CL292" t="e">
        <f>AND('STERLING CATALOG - FZN &amp; CHILL'!J1107,"AAAAAH+atlk=")</f>
        <v>#VALUE!</v>
      </c>
      <c r="CM292">
        <f>IF('STERLING CATALOG - FZN &amp; CHILL'!1108:1108,"AAAAAH+atlo=",0)</f>
        <v>0</v>
      </c>
      <c r="CN292" t="e">
        <f>AND('STERLING CATALOG - FZN &amp; CHILL'!A1108,"AAAAAH+atls=")</f>
        <v>#VALUE!</v>
      </c>
      <c r="CO292" t="e">
        <f>AND('STERLING CATALOG - FZN &amp; CHILL'!B1108,"AAAAAH+atlw=")</f>
        <v>#VALUE!</v>
      </c>
      <c r="CP292" t="e">
        <f>AND('STERLING CATALOG - FZN &amp; CHILL'!C1108,"AAAAAH+atl0=")</f>
        <v>#VALUE!</v>
      </c>
      <c r="CQ292" t="e">
        <f>AND('STERLING CATALOG - FZN &amp; CHILL'!D1108,"AAAAAH+atl4=")</f>
        <v>#VALUE!</v>
      </c>
      <c r="CR292" t="e">
        <f>AND('STERLING CATALOG - FZN &amp; CHILL'!E1108,"AAAAAH+atl8=")</f>
        <v>#VALUE!</v>
      </c>
      <c r="CS292" t="e">
        <f>AND('STERLING CATALOG - FZN &amp; CHILL'!F1108,"AAAAAH+atmA=")</f>
        <v>#VALUE!</v>
      </c>
      <c r="CT292" t="e">
        <f>AND('STERLING CATALOG - FZN &amp; CHILL'!G1108,"AAAAAH+atmE=")</f>
        <v>#VALUE!</v>
      </c>
      <c r="CU292" t="e">
        <f>AND('STERLING CATALOG - FZN &amp; CHILL'!H1108,"AAAAAH+atmI=")</f>
        <v>#VALUE!</v>
      </c>
      <c r="CV292" t="e">
        <f>AND('STERLING CATALOG - FZN &amp; CHILL'!I1108,"AAAAAH+atmM=")</f>
        <v>#VALUE!</v>
      </c>
      <c r="CW292" t="e">
        <f>AND('STERLING CATALOG - FZN &amp; CHILL'!J1108,"AAAAAH+atmQ=")</f>
        <v>#VALUE!</v>
      </c>
      <c r="CX292">
        <f>IF('STERLING CATALOG - FZN &amp; CHILL'!1109:1109,"AAAAAH+atmU=",0)</f>
        <v>0</v>
      </c>
      <c r="CY292" t="e">
        <f>AND('STERLING CATALOG - FZN &amp; CHILL'!A1109,"AAAAAH+atmY=")</f>
        <v>#VALUE!</v>
      </c>
      <c r="CZ292" t="e">
        <f>AND('STERLING CATALOG - FZN &amp; CHILL'!B1109,"AAAAAH+atmc=")</f>
        <v>#VALUE!</v>
      </c>
      <c r="DA292" t="e">
        <f>AND('STERLING CATALOG - FZN &amp; CHILL'!C1109,"AAAAAH+atmg=")</f>
        <v>#VALUE!</v>
      </c>
      <c r="DB292" t="e">
        <f>AND('STERLING CATALOG - FZN &amp; CHILL'!D1109,"AAAAAH+atmk=")</f>
        <v>#VALUE!</v>
      </c>
      <c r="DC292" t="e">
        <f>AND('STERLING CATALOG - FZN &amp; CHILL'!E1109,"AAAAAH+atmo=")</f>
        <v>#VALUE!</v>
      </c>
      <c r="DD292" t="e">
        <f>AND('STERLING CATALOG - FZN &amp; CHILL'!F1109,"AAAAAH+atms=")</f>
        <v>#VALUE!</v>
      </c>
      <c r="DE292" t="e">
        <f>AND('STERLING CATALOG - FZN &amp; CHILL'!G1109,"AAAAAH+atmw=")</f>
        <v>#VALUE!</v>
      </c>
      <c r="DF292" t="e">
        <f>AND('STERLING CATALOG - FZN &amp; CHILL'!H1109,"AAAAAH+atm0=")</f>
        <v>#VALUE!</v>
      </c>
      <c r="DG292" t="e">
        <f>AND('STERLING CATALOG - FZN &amp; CHILL'!I1109,"AAAAAH+atm4=")</f>
        <v>#VALUE!</v>
      </c>
      <c r="DH292" t="e">
        <f>AND('STERLING CATALOG - FZN &amp; CHILL'!J1109,"AAAAAH+atm8=")</f>
        <v>#VALUE!</v>
      </c>
      <c r="DI292">
        <f>IF('STERLING CATALOG - FZN &amp; CHILL'!1110:1110,"AAAAAH+atnA=",0)</f>
        <v>0</v>
      </c>
      <c r="DJ292" t="e">
        <f>AND('STERLING CATALOG - FZN &amp; CHILL'!A1110,"AAAAAH+atnE=")</f>
        <v>#VALUE!</v>
      </c>
      <c r="DK292" t="e">
        <f>AND('STERLING CATALOG - FZN &amp; CHILL'!B1110,"AAAAAH+atnI=")</f>
        <v>#VALUE!</v>
      </c>
      <c r="DL292" t="e">
        <f>AND('STERLING CATALOG - FZN &amp; CHILL'!C1110,"AAAAAH+atnM=")</f>
        <v>#VALUE!</v>
      </c>
      <c r="DM292" t="e">
        <f>AND('STERLING CATALOG - FZN &amp; CHILL'!D1110,"AAAAAH+atnQ=")</f>
        <v>#VALUE!</v>
      </c>
      <c r="DN292" t="e">
        <f>AND('STERLING CATALOG - FZN &amp; CHILL'!E1110,"AAAAAH+atnU=")</f>
        <v>#VALUE!</v>
      </c>
      <c r="DO292" t="e">
        <f>AND('STERLING CATALOG - FZN &amp; CHILL'!F1110,"AAAAAH+atnY=")</f>
        <v>#VALUE!</v>
      </c>
      <c r="DP292" t="e">
        <f>AND('STERLING CATALOG - FZN &amp; CHILL'!G1110,"AAAAAH+atnc=")</f>
        <v>#VALUE!</v>
      </c>
      <c r="DQ292" t="e">
        <f>AND('STERLING CATALOG - FZN &amp; CHILL'!H1110,"AAAAAH+atng=")</f>
        <v>#VALUE!</v>
      </c>
      <c r="DR292" t="e">
        <f>AND('STERLING CATALOG - FZN &amp; CHILL'!I1110,"AAAAAH+atnk=")</f>
        <v>#VALUE!</v>
      </c>
      <c r="DS292" t="e">
        <f>AND('STERLING CATALOG - FZN &amp; CHILL'!J1110,"AAAAAH+atno=")</f>
        <v>#VALUE!</v>
      </c>
      <c r="DT292">
        <f>IF('STERLING CATALOG - FZN &amp; CHILL'!1111:1111,"AAAAAH+atns=",0)</f>
        <v>0</v>
      </c>
      <c r="DU292" t="e">
        <f>AND('STERLING CATALOG - FZN &amp; CHILL'!A1111,"AAAAAH+atnw=")</f>
        <v>#VALUE!</v>
      </c>
      <c r="DV292" t="e">
        <f>AND('STERLING CATALOG - FZN &amp; CHILL'!B1111,"AAAAAH+atn0=")</f>
        <v>#VALUE!</v>
      </c>
      <c r="DW292" t="e">
        <f>AND('STERLING CATALOG - FZN &amp; CHILL'!C1111,"AAAAAH+atn4=")</f>
        <v>#VALUE!</v>
      </c>
      <c r="DX292" t="e">
        <f>AND('STERLING CATALOG - FZN &amp; CHILL'!D1111,"AAAAAH+atn8=")</f>
        <v>#VALUE!</v>
      </c>
      <c r="DY292" t="e">
        <f>AND('STERLING CATALOG - FZN &amp; CHILL'!E1111,"AAAAAH+atoA=")</f>
        <v>#VALUE!</v>
      </c>
      <c r="DZ292" t="e">
        <f>AND('STERLING CATALOG - FZN &amp; CHILL'!F1111,"AAAAAH+atoE=")</f>
        <v>#VALUE!</v>
      </c>
      <c r="EA292" t="e">
        <f>AND('STERLING CATALOG - FZN &amp; CHILL'!G1111,"AAAAAH+atoI=")</f>
        <v>#VALUE!</v>
      </c>
      <c r="EB292" t="e">
        <f>AND('STERLING CATALOG - FZN &amp; CHILL'!H1111,"AAAAAH+atoM=")</f>
        <v>#VALUE!</v>
      </c>
      <c r="EC292" t="e">
        <f>AND('STERLING CATALOG - FZN &amp; CHILL'!I1111,"AAAAAH+atoQ=")</f>
        <v>#VALUE!</v>
      </c>
      <c r="ED292" t="e">
        <f>AND('STERLING CATALOG - FZN &amp; CHILL'!J1111,"AAAAAH+atoU=")</f>
        <v>#VALUE!</v>
      </c>
      <c r="EE292">
        <f>IF('STERLING CATALOG - FZN &amp; CHILL'!1112:1112,"AAAAAH+atoY=",0)</f>
        <v>0</v>
      </c>
      <c r="EF292" t="e">
        <f>AND('STERLING CATALOG - FZN &amp; CHILL'!A1112,"AAAAAH+atoc=")</f>
        <v>#VALUE!</v>
      </c>
      <c r="EG292" t="e">
        <f>AND('STERLING CATALOG - FZN &amp; CHILL'!B1112,"AAAAAH+atog=")</f>
        <v>#VALUE!</v>
      </c>
      <c r="EH292" t="e">
        <f>AND('STERLING CATALOG - FZN &amp; CHILL'!C1112,"AAAAAH+atok=")</f>
        <v>#VALUE!</v>
      </c>
      <c r="EI292" t="e">
        <f>AND('STERLING CATALOG - FZN &amp; CHILL'!D1112,"AAAAAH+atoo=")</f>
        <v>#VALUE!</v>
      </c>
      <c r="EJ292" t="e">
        <f>AND('STERLING CATALOG - FZN &amp; CHILL'!E1112,"AAAAAH+atos=")</f>
        <v>#VALUE!</v>
      </c>
      <c r="EK292" t="e">
        <f>AND('STERLING CATALOG - FZN &amp; CHILL'!F1112,"AAAAAH+atow=")</f>
        <v>#VALUE!</v>
      </c>
      <c r="EL292" t="e">
        <f>AND('STERLING CATALOG - FZN &amp; CHILL'!G1112,"AAAAAH+ato0=")</f>
        <v>#VALUE!</v>
      </c>
      <c r="EM292" t="e">
        <f>AND('STERLING CATALOG - FZN &amp; CHILL'!H1112,"AAAAAH+ato4=")</f>
        <v>#VALUE!</v>
      </c>
      <c r="EN292" t="e">
        <f>AND('STERLING CATALOG - FZN &amp; CHILL'!I1112,"AAAAAH+ato8=")</f>
        <v>#VALUE!</v>
      </c>
      <c r="EO292" t="e">
        <f>AND('STERLING CATALOG - FZN &amp; CHILL'!J1112,"AAAAAH+atpA=")</f>
        <v>#VALUE!</v>
      </c>
      <c r="EP292">
        <f>IF('STERLING CATALOG - FZN &amp; CHILL'!1113:1113,"AAAAAH+atpE=",0)</f>
        <v>0</v>
      </c>
      <c r="EQ292" t="e">
        <f>AND('STERLING CATALOG - FZN &amp; CHILL'!A1113,"AAAAAH+atpI=")</f>
        <v>#VALUE!</v>
      </c>
      <c r="ER292" t="e">
        <f>AND('STERLING CATALOG - FZN &amp; CHILL'!B1113,"AAAAAH+atpM=")</f>
        <v>#VALUE!</v>
      </c>
      <c r="ES292" t="e">
        <f>AND('STERLING CATALOG - FZN &amp; CHILL'!C1113,"AAAAAH+atpQ=")</f>
        <v>#VALUE!</v>
      </c>
      <c r="ET292" t="e">
        <f>AND('STERLING CATALOG - FZN &amp; CHILL'!D1113,"AAAAAH+atpU=")</f>
        <v>#VALUE!</v>
      </c>
      <c r="EU292" t="e">
        <f>AND('STERLING CATALOG - FZN &amp; CHILL'!E1113,"AAAAAH+atpY=")</f>
        <v>#VALUE!</v>
      </c>
      <c r="EV292" t="e">
        <f>AND('STERLING CATALOG - FZN &amp; CHILL'!F1113,"AAAAAH+atpc=")</f>
        <v>#VALUE!</v>
      </c>
      <c r="EW292" t="e">
        <f>AND('STERLING CATALOG - FZN &amp; CHILL'!G1113,"AAAAAH+atpg=")</f>
        <v>#VALUE!</v>
      </c>
      <c r="EX292" t="e">
        <f>AND('STERLING CATALOG - FZN &amp; CHILL'!H1113,"AAAAAH+atpk=")</f>
        <v>#VALUE!</v>
      </c>
      <c r="EY292" t="e">
        <f>AND('STERLING CATALOG - FZN &amp; CHILL'!I1113,"AAAAAH+atpo=")</f>
        <v>#VALUE!</v>
      </c>
      <c r="EZ292" t="e">
        <f>AND('STERLING CATALOG - FZN &amp; CHILL'!J1113,"AAAAAH+atps=")</f>
        <v>#VALUE!</v>
      </c>
      <c r="FA292">
        <f>IF('STERLING CATALOG - FZN &amp; CHILL'!1114:1114,"AAAAAH+atpw=",0)</f>
        <v>0</v>
      </c>
      <c r="FB292" t="e">
        <f>AND('STERLING CATALOG - FZN &amp; CHILL'!A1114,"AAAAAH+atp0=")</f>
        <v>#VALUE!</v>
      </c>
      <c r="FC292" t="e">
        <f>AND('STERLING CATALOG - FZN &amp; CHILL'!B1114,"AAAAAH+atp4=")</f>
        <v>#VALUE!</v>
      </c>
      <c r="FD292" t="e">
        <f>AND('STERLING CATALOG - FZN &amp; CHILL'!C1114,"AAAAAH+atp8=")</f>
        <v>#VALUE!</v>
      </c>
      <c r="FE292" t="e">
        <f>AND('STERLING CATALOG - FZN &amp; CHILL'!D1114,"AAAAAH+atqA=")</f>
        <v>#VALUE!</v>
      </c>
      <c r="FF292" t="e">
        <f>AND('STERLING CATALOG - FZN &amp; CHILL'!E1114,"AAAAAH+atqE=")</f>
        <v>#VALUE!</v>
      </c>
      <c r="FG292" t="e">
        <f>AND('STERLING CATALOG - FZN &amp; CHILL'!F1114,"AAAAAH+atqI=")</f>
        <v>#VALUE!</v>
      </c>
      <c r="FH292" t="e">
        <f>AND('STERLING CATALOG - FZN &amp; CHILL'!G1114,"AAAAAH+atqM=")</f>
        <v>#VALUE!</v>
      </c>
      <c r="FI292" t="e">
        <f>AND('STERLING CATALOG - FZN &amp; CHILL'!H1114,"AAAAAH+atqQ=")</f>
        <v>#VALUE!</v>
      </c>
      <c r="FJ292" t="e">
        <f>AND('STERLING CATALOG - FZN &amp; CHILL'!I1114,"AAAAAH+atqU=")</f>
        <v>#VALUE!</v>
      </c>
      <c r="FK292" t="e">
        <f>AND('STERLING CATALOG - FZN &amp; CHILL'!J1114,"AAAAAH+atqY=")</f>
        <v>#VALUE!</v>
      </c>
      <c r="FL292">
        <f>IF('STERLING CATALOG - FZN &amp; CHILL'!1115:1115,"AAAAAH+atqc=",0)</f>
        <v>0</v>
      </c>
      <c r="FM292" t="e">
        <f>AND('STERLING CATALOG - FZN &amp; CHILL'!A1115,"AAAAAH+atqg=")</f>
        <v>#VALUE!</v>
      </c>
      <c r="FN292" t="e">
        <f>AND('STERLING CATALOG - FZN &amp; CHILL'!B1115,"AAAAAH+atqk=")</f>
        <v>#VALUE!</v>
      </c>
      <c r="FO292" t="e">
        <f>AND('STERLING CATALOG - FZN &amp; CHILL'!C1115,"AAAAAH+atqo=")</f>
        <v>#VALUE!</v>
      </c>
      <c r="FP292" t="e">
        <f>AND('STERLING CATALOG - FZN &amp; CHILL'!D1115,"AAAAAH+atqs=")</f>
        <v>#VALUE!</v>
      </c>
      <c r="FQ292" t="e">
        <f>AND('STERLING CATALOG - FZN &amp; CHILL'!E1115,"AAAAAH+atqw=")</f>
        <v>#VALUE!</v>
      </c>
      <c r="FR292" t="e">
        <f>AND('STERLING CATALOG - FZN &amp; CHILL'!F1115,"AAAAAH+atq0=")</f>
        <v>#VALUE!</v>
      </c>
      <c r="FS292" t="e">
        <f>AND('STERLING CATALOG - FZN &amp; CHILL'!G1115,"AAAAAH+atq4=")</f>
        <v>#VALUE!</v>
      </c>
      <c r="FT292" t="e">
        <f>AND('STERLING CATALOG - FZN &amp; CHILL'!H1115,"AAAAAH+atq8=")</f>
        <v>#VALUE!</v>
      </c>
      <c r="FU292" t="e">
        <f>AND('STERLING CATALOG - FZN &amp; CHILL'!I1115,"AAAAAH+atrA=")</f>
        <v>#VALUE!</v>
      </c>
      <c r="FV292" t="e">
        <f>AND('STERLING CATALOG - FZN &amp; CHILL'!J1115,"AAAAAH+atrE=")</f>
        <v>#VALUE!</v>
      </c>
      <c r="FW292">
        <f>IF('STERLING CATALOG - FZN &amp; CHILL'!1116:1116,"AAAAAH+atrI=",0)</f>
        <v>0</v>
      </c>
      <c r="FX292" t="e">
        <f>AND('STERLING CATALOG - FZN &amp; CHILL'!A1116,"AAAAAH+atrM=")</f>
        <v>#VALUE!</v>
      </c>
      <c r="FY292" t="e">
        <f>AND('STERLING CATALOG - FZN &amp; CHILL'!B1116,"AAAAAH+atrQ=")</f>
        <v>#VALUE!</v>
      </c>
      <c r="FZ292" t="e">
        <f>AND('STERLING CATALOG - FZN &amp; CHILL'!C1116,"AAAAAH+atrU=")</f>
        <v>#VALUE!</v>
      </c>
      <c r="GA292" t="e">
        <f>AND('STERLING CATALOG - FZN &amp; CHILL'!D1116,"AAAAAH+atrY=")</f>
        <v>#VALUE!</v>
      </c>
      <c r="GB292" t="e">
        <f>AND('STERLING CATALOG - FZN &amp; CHILL'!E1116,"AAAAAH+atrc=")</f>
        <v>#VALUE!</v>
      </c>
      <c r="GC292" t="e">
        <f>AND('STERLING CATALOG - FZN &amp; CHILL'!F1116,"AAAAAH+atrg=")</f>
        <v>#VALUE!</v>
      </c>
      <c r="GD292" t="e">
        <f>AND('STERLING CATALOG - FZN &amp; CHILL'!G1116,"AAAAAH+atrk=")</f>
        <v>#VALUE!</v>
      </c>
      <c r="GE292" t="e">
        <f>AND('STERLING CATALOG - FZN &amp; CHILL'!H1116,"AAAAAH+atro=")</f>
        <v>#VALUE!</v>
      </c>
      <c r="GF292" t="e">
        <f>AND('STERLING CATALOG - FZN &amp; CHILL'!I1116,"AAAAAH+atrs=")</f>
        <v>#VALUE!</v>
      </c>
      <c r="GG292" t="e">
        <f>AND('STERLING CATALOG - FZN &amp; CHILL'!J1116,"AAAAAH+atrw=")</f>
        <v>#VALUE!</v>
      </c>
      <c r="GH292">
        <f>IF('STERLING CATALOG - FZN &amp; CHILL'!1117:1117,"AAAAAH+atr0=",0)</f>
        <v>0</v>
      </c>
      <c r="GI292" t="e">
        <f>AND('STERLING CATALOG - FZN &amp; CHILL'!A1117,"AAAAAH+atr4=")</f>
        <v>#VALUE!</v>
      </c>
      <c r="GJ292" t="e">
        <f>AND('STERLING CATALOG - FZN &amp; CHILL'!B1117,"AAAAAH+atr8=")</f>
        <v>#VALUE!</v>
      </c>
      <c r="GK292" t="e">
        <f>AND('STERLING CATALOG - FZN &amp; CHILL'!C1117,"AAAAAH+atsA=")</f>
        <v>#VALUE!</v>
      </c>
      <c r="GL292" t="e">
        <f>AND('STERLING CATALOG - FZN &amp; CHILL'!D1117,"AAAAAH+atsE=")</f>
        <v>#VALUE!</v>
      </c>
      <c r="GM292" t="e">
        <f>AND('STERLING CATALOG - FZN &amp; CHILL'!E1117,"AAAAAH+atsI=")</f>
        <v>#VALUE!</v>
      </c>
      <c r="GN292" t="e">
        <f>AND('STERLING CATALOG - FZN &amp; CHILL'!F1117,"AAAAAH+atsM=")</f>
        <v>#VALUE!</v>
      </c>
      <c r="GO292" t="e">
        <f>AND('STERLING CATALOG - FZN &amp; CHILL'!G1117,"AAAAAH+atsQ=")</f>
        <v>#VALUE!</v>
      </c>
      <c r="GP292" t="e">
        <f>AND('STERLING CATALOG - FZN &amp; CHILL'!H1117,"AAAAAH+atsU=")</f>
        <v>#VALUE!</v>
      </c>
      <c r="GQ292" t="e">
        <f>AND('STERLING CATALOG - FZN &amp; CHILL'!I1117,"AAAAAH+atsY=")</f>
        <v>#VALUE!</v>
      </c>
      <c r="GR292" t="e">
        <f>AND('STERLING CATALOG - FZN &amp; CHILL'!J1117,"AAAAAH+atsc=")</f>
        <v>#VALUE!</v>
      </c>
      <c r="GS292">
        <f>IF('STERLING CATALOG - FZN &amp; CHILL'!1118:1118,"AAAAAH+atsg=",0)</f>
        <v>0</v>
      </c>
      <c r="GT292" t="e">
        <f>AND('STERLING CATALOG - FZN &amp; CHILL'!A1118,"AAAAAH+atsk=")</f>
        <v>#VALUE!</v>
      </c>
      <c r="GU292" t="e">
        <f>AND('STERLING CATALOG - FZN &amp; CHILL'!B1118,"AAAAAH+atso=")</f>
        <v>#VALUE!</v>
      </c>
      <c r="GV292" t="e">
        <f>AND('STERLING CATALOG - FZN &amp; CHILL'!C1118,"AAAAAH+atss=")</f>
        <v>#VALUE!</v>
      </c>
      <c r="GW292" t="e">
        <f>AND('STERLING CATALOG - FZN &amp; CHILL'!D1118,"AAAAAH+atsw=")</f>
        <v>#VALUE!</v>
      </c>
      <c r="GX292" t="e">
        <f>AND('STERLING CATALOG - FZN &amp; CHILL'!E1118,"AAAAAH+ats0=")</f>
        <v>#VALUE!</v>
      </c>
      <c r="GY292" t="e">
        <f>AND('STERLING CATALOG - FZN &amp; CHILL'!F1118,"AAAAAH+ats4=")</f>
        <v>#VALUE!</v>
      </c>
      <c r="GZ292" t="e">
        <f>AND('STERLING CATALOG - FZN &amp; CHILL'!G1118,"AAAAAH+ats8=")</f>
        <v>#VALUE!</v>
      </c>
      <c r="HA292" t="e">
        <f>AND('STERLING CATALOG - FZN &amp; CHILL'!H1118,"AAAAAH+attA=")</f>
        <v>#VALUE!</v>
      </c>
      <c r="HB292" t="e">
        <f>AND('STERLING CATALOG - FZN &amp; CHILL'!I1118,"AAAAAH+attE=")</f>
        <v>#VALUE!</v>
      </c>
      <c r="HC292" t="e">
        <f>AND('STERLING CATALOG - FZN &amp; CHILL'!J1118,"AAAAAH+attI=")</f>
        <v>#VALUE!</v>
      </c>
      <c r="HD292">
        <f>IF('STERLING CATALOG - FZN &amp; CHILL'!1119:1119,"AAAAAH+attM=",0)</f>
        <v>0</v>
      </c>
      <c r="HE292" t="e">
        <f>AND('STERLING CATALOG - FZN &amp; CHILL'!A1119,"AAAAAH+attQ=")</f>
        <v>#VALUE!</v>
      </c>
      <c r="HF292" t="e">
        <f>AND('STERLING CATALOG - FZN &amp; CHILL'!B1119,"AAAAAH+attU=")</f>
        <v>#VALUE!</v>
      </c>
      <c r="HG292" t="e">
        <f>AND('STERLING CATALOG - FZN &amp; CHILL'!C1119,"AAAAAH+attY=")</f>
        <v>#VALUE!</v>
      </c>
      <c r="HH292" t="e">
        <f>AND('STERLING CATALOG - FZN &amp; CHILL'!D1119,"AAAAAH+attc=")</f>
        <v>#VALUE!</v>
      </c>
      <c r="HI292" t="e">
        <f>AND('STERLING CATALOG - FZN &amp; CHILL'!E1119,"AAAAAH+attg=")</f>
        <v>#VALUE!</v>
      </c>
      <c r="HJ292" t="e">
        <f>AND('STERLING CATALOG - FZN &amp; CHILL'!F1119,"AAAAAH+attk=")</f>
        <v>#VALUE!</v>
      </c>
      <c r="HK292" t="e">
        <f>AND('STERLING CATALOG - FZN &amp; CHILL'!G1119,"AAAAAH+atto=")</f>
        <v>#VALUE!</v>
      </c>
      <c r="HL292" t="e">
        <f>AND('STERLING CATALOG - FZN &amp; CHILL'!H1119,"AAAAAH+atts=")</f>
        <v>#VALUE!</v>
      </c>
      <c r="HM292" t="e">
        <f>AND('STERLING CATALOG - FZN &amp; CHILL'!I1119,"AAAAAH+attw=")</f>
        <v>#VALUE!</v>
      </c>
      <c r="HN292" t="e">
        <f>AND('STERLING CATALOG - FZN &amp; CHILL'!J1119,"AAAAAH+att0=")</f>
        <v>#VALUE!</v>
      </c>
      <c r="HO292">
        <f>IF('STERLING CATALOG - FZN &amp; CHILL'!1120:1120,"AAAAAH+att4=",0)</f>
        <v>0</v>
      </c>
      <c r="HP292" t="e">
        <f>AND('STERLING CATALOG - FZN &amp; CHILL'!A1120,"AAAAAH+att8=")</f>
        <v>#VALUE!</v>
      </c>
      <c r="HQ292" t="e">
        <f>AND('STERLING CATALOG - FZN &amp; CHILL'!B1120,"AAAAAH+atuA=")</f>
        <v>#VALUE!</v>
      </c>
      <c r="HR292" t="e">
        <f>AND('STERLING CATALOG - FZN &amp; CHILL'!C1120,"AAAAAH+atuE=")</f>
        <v>#VALUE!</v>
      </c>
      <c r="HS292" t="e">
        <f>AND('STERLING CATALOG - FZN &amp; CHILL'!D1120,"AAAAAH+atuI=")</f>
        <v>#VALUE!</v>
      </c>
      <c r="HT292" t="e">
        <f>AND('STERLING CATALOG - FZN &amp; CHILL'!E1120,"AAAAAH+atuM=")</f>
        <v>#VALUE!</v>
      </c>
      <c r="HU292" t="e">
        <f>AND('STERLING CATALOG - FZN &amp; CHILL'!F1120,"AAAAAH+atuQ=")</f>
        <v>#VALUE!</v>
      </c>
      <c r="HV292" t="e">
        <f>AND('STERLING CATALOG - FZN &amp; CHILL'!G1120,"AAAAAH+atuU=")</f>
        <v>#VALUE!</v>
      </c>
      <c r="HW292" t="e">
        <f>AND('STERLING CATALOG - FZN &amp; CHILL'!H1120,"AAAAAH+atuY=")</f>
        <v>#VALUE!</v>
      </c>
      <c r="HX292" t="e">
        <f>AND('STERLING CATALOG - FZN &amp; CHILL'!I1120,"AAAAAH+atuc=")</f>
        <v>#VALUE!</v>
      </c>
      <c r="HY292" t="e">
        <f>AND('STERLING CATALOG - FZN &amp; CHILL'!J1120,"AAAAAH+atug=")</f>
        <v>#VALUE!</v>
      </c>
      <c r="HZ292">
        <f>IF('STERLING CATALOG - FZN &amp; CHILL'!1121:1121,"AAAAAH+atuk=",0)</f>
        <v>0</v>
      </c>
      <c r="IA292" t="e">
        <f>AND('STERLING CATALOG - FZN &amp; CHILL'!A1121,"AAAAAH+atuo=")</f>
        <v>#VALUE!</v>
      </c>
      <c r="IB292" t="e">
        <f>AND('STERLING CATALOG - FZN &amp; CHILL'!B1121,"AAAAAH+atus=")</f>
        <v>#VALUE!</v>
      </c>
      <c r="IC292" t="e">
        <f>AND('STERLING CATALOG - FZN &amp; CHILL'!C1121,"AAAAAH+atuw=")</f>
        <v>#VALUE!</v>
      </c>
      <c r="ID292" t="e">
        <f>AND('STERLING CATALOG - FZN &amp; CHILL'!D1121,"AAAAAH+atu0=")</f>
        <v>#VALUE!</v>
      </c>
      <c r="IE292" t="e">
        <f>AND('STERLING CATALOG - FZN &amp; CHILL'!E1121,"AAAAAH+atu4=")</f>
        <v>#VALUE!</v>
      </c>
      <c r="IF292" t="e">
        <f>AND('STERLING CATALOG - FZN &amp; CHILL'!F1121,"AAAAAH+atu8=")</f>
        <v>#VALUE!</v>
      </c>
      <c r="IG292" t="e">
        <f>AND('STERLING CATALOG - FZN &amp; CHILL'!G1121,"AAAAAH+atvA=")</f>
        <v>#VALUE!</v>
      </c>
      <c r="IH292" t="e">
        <f>AND('STERLING CATALOG - FZN &amp; CHILL'!H1121,"AAAAAH+atvE=")</f>
        <v>#VALUE!</v>
      </c>
      <c r="II292" t="e">
        <f>AND('STERLING CATALOG - FZN &amp; CHILL'!I1121,"AAAAAH+atvI=")</f>
        <v>#VALUE!</v>
      </c>
      <c r="IJ292" t="e">
        <f>AND('STERLING CATALOG - FZN &amp; CHILL'!J1121,"AAAAAH+atvM=")</f>
        <v>#VALUE!</v>
      </c>
      <c r="IK292">
        <f>IF('STERLING CATALOG - FZN &amp; CHILL'!1122:1122,"AAAAAH+atvQ=",0)</f>
        <v>0</v>
      </c>
      <c r="IL292" t="e">
        <f>AND('STERLING CATALOG - FZN &amp; CHILL'!A1122,"AAAAAH+atvU=")</f>
        <v>#VALUE!</v>
      </c>
      <c r="IM292" t="e">
        <f>AND('STERLING CATALOG - FZN &amp; CHILL'!B1122,"AAAAAH+atvY=")</f>
        <v>#VALUE!</v>
      </c>
      <c r="IN292" t="e">
        <f>AND('STERLING CATALOG - FZN &amp; CHILL'!C1122,"AAAAAH+atvc=")</f>
        <v>#VALUE!</v>
      </c>
      <c r="IO292" t="e">
        <f>AND('STERLING CATALOG - FZN &amp; CHILL'!D1122,"AAAAAH+atvg=")</f>
        <v>#VALUE!</v>
      </c>
      <c r="IP292" t="e">
        <f>AND('STERLING CATALOG - FZN &amp; CHILL'!E1122,"AAAAAH+atvk=")</f>
        <v>#VALUE!</v>
      </c>
      <c r="IQ292" t="e">
        <f>AND('STERLING CATALOG - FZN &amp; CHILL'!F1122,"AAAAAH+atvo=")</f>
        <v>#VALUE!</v>
      </c>
      <c r="IR292" t="e">
        <f>AND('STERLING CATALOG - FZN &amp; CHILL'!G1122,"AAAAAH+atvs=")</f>
        <v>#VALUE!</v>
      </c>
      <c r="IS292" t="e">
        <f>AND('STERLING CATALOG - FZN &amp; CHILL'!H1122,"AAAAAH+atvw=")</f>
        <v>#VALUE!</v>
      </c>
      <c r="IT292" t="e">
        <f>AND('STERLING CATALOG - FZN &amp; CHILL'!I1122,"AAAAAH+atv0=")</f>
        <v>#VALUE!</v>
      </c>
      <c r="IU292" t="e">
        <f>AND('STERLING CATALOG - FZN &amp; CHILL'!J1122,"AAAAAH+atv4=")</f>
        <v>#VALUE!</v>
      </c>
      <c r="IV292">
        <f>IF('STERLING CATALOG - FZN &amp; CHILL'!1123:1123,"AAAAAH+atv8=",0)</f>
        <v>0</v>
      </c>
    </row>
    <row r="293" spans="1:256">
      <c r="A293" t="e">
        <f>AND('STERLING CATALOG - FZN &amp; CHILL'!A1123,"AAAAAG9e7wA=")</f>
        <v>#VALUE!</v>
      </c>
      <c r="B293" t="e">
        <f>AND('STERLING CATALOG - FZN &amp; CHILL'!B1123,"AAAAAG9e7wE=")</f>
        <v>#VALUE!</v>
      </c>
      <c r="C293" t="e">
        <f>AND('STERLING CATALOG - FZN &amp; CHILL'!C1123,"AAAAAG9e7wI=")</f>
        <v>#VALUE!</v>
      </c>
      <c r="D293" t="e">
        <f>AND('STERLING CATALOG - FZN &amp; CHILL'!D1123,"AAAAAG9e7wM=")</f>
        <v>#VALUE!</v>
      </c>
      <c r="E293" t="e">
        <f>AND('STERLING CATALOG - FZN &amp; CHILL'!E1123,"AAAAAG9e7wQ=")</f>
        <v>#VALUE!</v>
      </c>
      <c r="F293" t="e">
        <f>AND('STERLING CATALOG - FZN &amp; CHILL'!F1123,"AAAAAG9e7wU=")</f>
        <v>#VALUE!</v>
      </c>
      <c r="G293" t="e">
        <f>AND('STERLING CATALOG - FZN &amp; CHILL'!G1123,"AAAAAG9e7wY=")</f>
        <v>#VALUE!</v>
      </c>
      <c r="H293" t="e">
        <f>AND('STERLING CATALOG - FZN &amp; CHILL'!H1123,"AAAAAG9e7wc=")</f>
        <v>#VALUE!</v>
      </c>
      <c r="I293" t="e">
        <f>AND('STERLING CATALOG - FZN &amp; CHILL'!I1123,"AAAAAG9e7wg=")</f>
        <v>#VALUE!</v>
      </c>
      <c r="J293" t="e">
        <f>AND('STERLING CATALOG - FZN &amp; CHILL'!J1123,"AAAAAG9e7wk=")</f>
        <v>#VALUE!</v>
      </c>
      <c r="K293">
        <f>IF('STERLING CATALOG - FZN &amp; CHILL'!1124:1124,"AAAAAG9e7wo=",0)</f>
        <v>0</v>
      </c>
      <c r="L293" t="e">
        <f>AND('STERLING CATALOG - FZN &amp; CHILL'!A1124,"AAAAAG9e7ws=")</f>
        <v>#VALUE!</v>
      </c>
      <c r="M293" t="e">
        <f>AND('STERLING CATALOG - FZN &amp; CHILL'!B1124,"AAAAAG9e7ww=")</f>
        <v>#VALUE!</v>
      </c>
      <c r="N293" t="e">
        <f>AND('STERLING CATALOG - FZN &amp; CHILL'!C1124,"AAAAAG9e7w0=")</f>
        <v>#VALUE!</v>
      </c>
      <c r="O293" t="e">
        <f>AND('STERLING CATALOG - FZN &amp; CHILL'!D1124,"AAAAAG9e7w4=")</f>
        <v>#VALUE!</v>
      </c>
      <c r="P293" t="e">
        <f>AND('STERLING CATALOG - FZN &amp; CHILL'!E1124,"AAAAAG9e7w8=")</f>
        <v>#VALUE!</v>
      </c>
      <c r="Q293" t="e">
        <f>AND('STERLING CATALOG - FZN &amp; CHILL'!F1124,"AAAAAG9e7xA=")</f>
        <v>#VALUE!</v>
      </c>
      <c r="R293" t="e">
        <f>AND('STERLING CATALOG - FZN &amp; CHILL'!G1124,"AAAAAG9e7xE=")</f>
        <v>#VALUE!</v>
      </c>
      <c r="S293" t="e">
        <f>AND('STERLING CATALOG - FZN &amp; CHILL'!H1124,"AAAAAG9e7xI=")</f>
        <v>#VALUE!</v>
      </c>
      <c r="T293" t="e">
        <f>AND('STERLING CATALOG - FZN &amp; CHILL'!I1124,"AAAAAG9e7xM=")</f>
        <v>#VALUE!</v>
      </c>
      <c r="U293" t="e">
        <f>AND('STERLING CATALOG - FZN &amp; CHILL'!J1124,"AAAAAG9e7xQ=")</f>
        <v>#VALUE!</v>
      </c>
      <c r="V293">
        <f>IF('STERLING CATALOG - FZN &amp; CHILL'!1125:1125,"AAAAAG9e7xU=",0)</f>
        <v>0</v>
      </c>
      <c r="W293" t="e">
        <f>AND('STERLING CATALOG - FZN &amp; CHILL'!A1125,"AAAAAG9e7xY=")</f>
        <v>#VALUE!</v>
      </c>
      <c r="X293" t="e">
        <f>AND('STERLING CATALOG - FZN &amp; CHILL'!B1125,"AAAAAG9e7xc=")</f>
        <v>#VALUE!</v>
      </c>
      <c r="Y293" t="e">
        <f>AND('STERLING CATALOG - FZN &amp; CHILL'!C1125,"AAAAAG9e7xg=")</f>
        <v>#VALUE!</v>
      </c>
      <c r="Z293" t="e">
        <f>AND('STERLING CATALOG - FZN &amp; CHILL'!D1125,"AAAAAG9e7xk=")</f>
        <v>#VALUE!</v>
      </c>
      <c r="AA293" t="e">
        <f>AND('STERLING CATALOG - FZN &amp; CHILL'!E1125,"AAAAAG9e7xo=")</f>
        <v>#VALUE!</v>
      </c>
      <c r="AB293" t="e">
        <f>AND('STERLING CATALOG - FZN &amp; CHILL'!F1125,"AAAAAG9e7xs=")</f>
        <v>#VALUE!</v>
      </c>
      <c r="AC293" t="e">
        <f>AND('STERLING CATALOG - FZN &amp; CHILL'!G1125,"AAAAAG9e7xw=")</f>
        <v>#VALUE!</v>
      </c>
      <c r="AD293" t="e">
        <f>AND('STERLING CATALOG - FZN &amp; CHILL'!H1125,"AAAAAG9e7x0=")</f>
        <v>#VALUE!</v>
      </c>
      <c r="AE293" t="e">
        <f>AND('STERLING CATALOG - FZN &amp; CHILL'!I1125,"AAAAAG9e7x4=")</f>
        <v>#VALUE!</v>
      </c>
      <c r="AF293" t="e">
        <f>AND('STERLING CATALOG - FZN &amp; CHILL'!J1125,"AAAAAG9e7x8=")</f>
        <v>#VALUE!</v>
      </c>
      <c r="AG293">
        <f>IF('STERLING CATALOG - FZN &amp; CHILL'!1126:1126,"AAAAAG9e7yA=",0)</f>
        <v>0</v>
      </c>
      <c r="AH293" t="e">
        <f>AND('STERLING CATALOG - FZN &amp; CHILL'!A1126,"AAAAAG9e7yE=")</f>
        <v>#VALUE!</v>
      </c>
      <c r="AI293" t="e">
        <f>AND('STERLING CATALOG - FZN &amp; CHILL'!B1126,"AAAAAG9e7yI=")</f>
        <v>#VALUE!</v>
      </c>
      <c r="AJ293" t="e">
        <f>AND('STERLING CATALOG - FZN &amp; CHILL'!C1126,"AAAAAG9e7yM=")</f>
        <v>#VALUE!</v>
      </c>
      <c r="AK293" t="e">
        <f>AND('STERLING CATALOG - FZN &amp; CHILL'!D1126,"AAAAAG9e7yQ=")</f>
        <v>#VALUE!</v>
      </c>
      <c r="AL293" t="e">
        <f>AND('STERLING CATALOG - FZN &amp; CHILL'!E1126,"AAAAAG9e7yU=")</f>
        <v>#VALUE!</v>
      </c>
      <c r="AM293" t="e">
        <f>AND('STERLING CATALOG - FZN &amp; CHILL'!F1126,"AAAAAG9e7yY=")</f>
        <v>#VALUE!</v>
      </c>
      <c r="AN293" t="e">
        <f>AND('STERLING CATALOG - FZN &amp; CHILL'!G1126,"AAAAAG9e7yc=")</f>
        <v>#VALUE!</v>
      </c>
      <c r="AO293" t="e">
        <f>AND('STERLING CATALOG - FZN &amp; CHILL'!H1126,"AAAAAG9e7yg=")</f>
        <v>#VALUE!</v>
      </c>
      <c r="AP293" t="e">
        <f>AND('STERLING CATALOG - FZN &amp; CHILL'!I1126,"AAAAAG9e7yk=")</f>
        <v>#VALUE!</v>
      </c>
      <c r="AQ293" t="e">
        <f>AND('STERLING CATALOG - FZN &amp; CHILL'!J1126,"AAAAAG9e7yo=")</f>
        <v>#VALUE!</v>
      </c>
      <c r="AR293">
        <f>IF('STERLING CATALOG - FZN &amp; CHILL'!1127:1127,"AAAAAG9e7ys=",0)</f>
        <v>0</v>
      </c>
      <c r="AS293" t="e">
        <f>AND('STERLING CATALOG - FZN &amp; CHILL'!A1127,"AAAAAG9e7yw=")</f>
        <v>#VALUE!</v>
      </c>
      <c r="AT293" t="e">
        <f>AND('STERLING CATALOG - FZN &amp; CHILL'!B1127,"AAAAAG9e7y0=")</f>
        <v>#VALUE!</v>
      </c>
      <c r="AU293" t="e">
        <f>AND('STERLING CATALOG - FZN &amp; CHILL'!C1127,"AAAAAG9e7y4=")</f>
        <v>#VALUE!</v>
      </c>
      <c r="AV293" t="e">
        <f>AND('STERLING CATALOG - FZN &amp; CHILL'!D1127,"AAAAAG9e7y8=")</f>
        <v>#VALUE!</v>
      </c>
      <c r="AW293" t="e">
        <f>AND('STERLING CATALOG - FZN &amp; CHILL'!E1127,"AAAAAG9e7zA=")</f>
        <v>#VALUE!</v>
      </c>
      <c r="AX293" t="e">
        <f>AND('STERLING CATALOG - FZN &amp; CHILL'!F1127,"AAAAAG9e7zE=")</f>
        <v>#VALUE!</v>
      </c>
      <c r="AY293" t="e">
        <f>AND('STERLING CATALOG - FZN &amp; CHILL'!G1127,"AAAAAG9e7zI=")</f>
        <v>#VALUE!</v>
      </c>
      <c r="AZ293" t="e">
        <f>AND('STERLING CATALOG - FZN &amp; CHILL'!H1127,"AAAAAG9e7zM=")</f>
        <v>#VALUE!</v>
      </c>
      <c r="BA293" t="e">
        <f>AND('STERLING CATALOG - FZN &amp; CHILL'!I1127,"AAAAAG9e7zQ=")</f>
        <v>#VALUE!</v>
      </c>
      <c r="BB293" t="e">
        <f>AND('STERLING CATALOG - FZN &amp; CHILL'!J1127,"AAAAAG9e7zU=")</f>
        <v>#VALUE!</v>
      </c>
      <c r="BC293">
        <f>IF('STERLING CATALOG - FZN &amp; CHILL'!1128:1128,"AAAAAG9e7zY=",0)</f>
        <v>0</v>
      </c>
      <c r="BD293" t="e">
        <f>AND('STERLING CATALOG - FZN &amp; CHILL'!A1128,"AAAAAG9e7zc=")</f>
        <v>#VALUE!</v>
      </c>
      <c r="BE293" t="e">
        <f>AND('STERLING CATALOG - FZN &amp; CHILL'!B1128,"AAAAAG9e7zg=")</f>
        <v>#VALUE!</v>
      </c>
      <c r="BF293" t="e">
        <f>AND('STERLING CATALOG - FZN &amp; CHILL'!C1128,"AAAAAG9e7zk=")</f>
        <v>#VALUE!</v>
      </c>
      <c r="BG293" t="e">
        <f>AND('STERLING CATALOG - FZN &amp; CHILL'!D1128,"AAAAAG9e7zo=")</f>
        <v>#VALUE!</v>
      </c>
      <c r="BH293" t="e">
        <f>AND('STERLING CATALOG - FZN &amp; CHILL'!E1128,"AAAAAG9e7zs=")</f>
        <v>#VALUE!</v>
      </c>
      <c r="BI293" t="e">
        <f>AND('STERLING CATALOG - FZN &amp; CHILL'!F1128,"AAAAAG9e7zw=")</f>
        <v>#VALUE!</v>
      </c>
      <c r="BJ293" t="e">
        <f>AND('STERLING CATALOG - FZN &amp; CHILL'!G1128,"AAAAAG9e7z0=")</f>
        <v>#VALUE!</v>
      </c>
      <c r="BK293" t="e">
        <f>AND('STERLING CATALOG - FZN &amp; CHILL'!H1128,"AAAAAG9e7z4=")</f>
        <v>#VALUE!</v>
      </c>
      <c r="BL293" t="e">
        <f>AND('STERLING CATALOG - FZN &amp; CHILL'!I1128,"AAAAAG9e7z8=")</f>
        <v>#VALUE!</v>
      </c>
      <c r="BM293" t="e">
        <f>AND('STERLING CATALOG - FZN &amp; CHILL'!J1128,"AAAAAG9e70A=")</f>
        <v>#VALUE!</v>
      </c>
      <c r="BN293">
        <f>IF('STERLING CATALOG - FZN &amp; CHILL'!1129:1129,"AAAAAG9e70E=",0)</f>
        <v>0</v>
      </c>
      <c r="BO293" t="e">
        <f>AND('STERLING CATALOG - FZN &amp; CHILL'!A1129,"AAAAAG9e70I=")</f>
        <v>#VALUE!</v>
      </c>
      <c r="BP293" t="e">
        <f>AND('STERLING CATALOG - FZN &amp; CHILL'!B1129,"AAAAAG9e70M=")</f>
        <v>#VALUE!</v>
      </c>
      <c r="BQ293" t="e">
        <f>AND('STERLING CATALOG - FZN &amp; CHILL'!C1129,"AAAAAG9e70Q=")</f>
        <v>#VALUE!</v>
      </c>
      <c r="BR293" t="e">
        <f>AND('STERLING CATALOG - FZN &amp; CHILL'!D1129,"AAAAAG9e70U=")</f>
        <v>#VALUE!</v>
      </c>
      <c r="BS293" t="e">
        <f>AND('STERLING CATALOG - FZN &amp; CHILL'!E1129,"AAAAAG9e70Y=")</f>
        <v>#VALUE!</v>
      </c>
      <c r="BT293" t="e">
        <f>AND('STERLING CATALOG - FZN &amp; CHILL'!F1129,"AAAAAG9e70c=")</f>
        <v>#VALUE!</v>
      </c>
      <c r="BU293" t="e">
        <f>AND('STERLING CATALOG - FZN &amp; CHILL'!G1129,"AAAAAG9e70g=")</f>
        <v>#VALUE!</v>
      </c>
      <c r="BV293" t="e">
        <f>AND('STERLING CATALOG - FZN &amp; CHILL'!H1129,"AAAAAG9e70k=")</f>
        <v>#VALUE!</v>
      </c>
      <c r="BW293" t="e">
        <f>AND('STERLING CATALOG - FZN &amp; CHILL'!I1129,"AAAAAG9e70o=")</f>
        <v>#VALUE!</v>
      </c>
      <c r="BX293" t="e">
        <f>AND('STERLING CATALOG - FZN &amp; CHILL'!J1129,"AAAAAG9e70s=")</f>
        <v>#VALUE!</v>
      </c>
      <c r="BY293">
        <f>IF('STERLING CATALOG - FZN &amp; CHILL'!1130:1130,"AAAAAG9e70w=",0)</f>
        <v>0</v>
      </c>
      <c r="BZ293" t="e">
        <f>AND('STERLING CATALOG - FZN &amp; CHILL'!A1130,"AAAAAG9e700=")</f>
        <v>#VALUE!</v>
      </c>
      <c r="CA293" t="e">
        <f>AND('STERLING CATALOG - FZN &amp; CHILL'!B1130,"AAAAAG9e704=")</f>
        <v>#VALUE!</v>
      </c>
      <c r="CB293" t="e">
        <f>AND('STERLING CATALOG - FZN &amp; CHILL'!C1130,"AAAAAG9e708=")</f>
        <v>#VALUE!</v>
      </c>
      <c r="CC293" t="e">
        <f>AND('STERLING CATALOG - FZN &amp; CHILL'!D1130,"AAAAAG9e71A=")</f>
        <v>#VALUE!</v>
      </c>
      <c r="CD293" t="e">
        <f>AND('STERLING CATALOG - FZN &amp; CHILL'!E1130,"AAAAAG9e71E=")</f>
        <v>#VALUE!</v>
      </c>
      <c r="CE293" t="e">
        <f>AND('STERLING CATALOG - FZN &amp; CHILL'!F1130,"AAAAAG9e71I=")</f>
        <v>#VALUE!</v>
      </c>
      <c r="CF293" t="e">
        <f>AND('STERLING CATALOG - FZN &amp; CHILL'!G1130,"AAAAAG9e71M=")</f>
        <v>#VALUE!</v>
      </c>
      <c r="CG293" t="e">
        <f>AND('STERLING CATALOG - FZN &amp; CHILL'!H1130,"AAAAAG9e71Q=")</f>
        <v>#VALUE!</v>
      </c>
      <c r="CH293" t="e">
        <f>AND('STERLING CATALOG - FZN &amp; CHILL'!I1130,"AAAAAG9e71U=")</f>
        <v>#VALUE!</v>
      </c>
      <c r="CI293" t="e">
        <f>AND('STERLING CATALOG - FZN &amp; CHILL'!J1130,"AAAAAG9e71Y=")</f>
        <v>#VALUE!</v>
      </c>
      <c r="CJ293">
        <f>IF('STERLING CATALOG - FZN &amp; CHILL'!1131:1131,"AAAAAG9e71c=",0)</f>
        <v>0</v>
      </c>
      <c r="CK293" t="e">
        <f>AND('STERLING CATALOG - FZN &amp; CHILL'!A1131,"AAAAAG9e71g=")</f>
        <v>#VALUE!</v>
      </c>
      <c r="CL293" t="e">
        <f>AND('STERLING CATALOG - FZN &amp; CHILL'!B1131,"AAAAAG9e71k=")</f>
        <v>#VALUE!</v>
      </c>
      <c r="CM293" t="e">
        <f>AND('STERLING CATALOG - FZN &amp; CHILL'!C1131,"AAAAAG9e71o=")</f>
        <v>#VALUE!</v>
      </c>
      <c r="CN293" t="e">
        <f>AND('STERLING CATALOG - FZN &amp; CHILL'!D1131,"AAAAAG9e71s=")</f>
        <v>#VALUE!</v>
      </c>
      <c r="CO293" t="e">
        <f>AND('STERLING CATALOG - FZN &amp; CHILL'!E1131,"AAAAAG9e71w=")</f>
        <v>#VALUE!</v>
      </c>
      <c r="CP293" t="e">
        <f>AND('STERLING CATALOG - FZN &amp; CHILL'!F1131,"AAAAAG9e710=")</f>
        <v>#VALUE!</v>
      </c>
      <c r="CQ293" t="e">
        <f>AND('STERLING CATALOG - FZN &amp; CHILL'!G1131,"AAAAAG9e714=")</f>
        <v>#VALUE!</v>
      </c>
      <c r="CR293" t="e">
        <f>AND('STERLING CATALOG - FZN &amp; CHILL'!H1131,"AAAAAG9e718=")</f>
        <v>#VALUE!</v>
      </c>
      <c r="CS293" t="e">
        <f>AND('STERLING CATALOG - FZN &amp; CHILL'!I1131,"AAAAAG9e72A=")</f>
        <v>#VALUE!</v>
      </c>
      <c r="CT293" t="e">
        <f>AND('STERLING CATALOG - FZN &amp; CHILL'!J1131,"AAAAAG9e72E=")</f>
        <v>#VALUE!</v>
      </c>
      <c r="CU293">
        <f>IF('STERLING CATALOG - FZN &amp; CHILL'!1132:1132,"AAAAAG9e72I=",0)</f>
        <v>0</v>
      </c>
      <c r="CV293" t="e">
        <f>AND('STERLING CATALOG - FZN &amp; CHILL'!A1132,"AAAAAG9e72M=")</f>
        <v>#VALUE!</v>
      </c>
      <c r="CW293" t="e">
        <f>AND('STERLING CATALOG - FZN &amp; CHILL'!B1132,"AAAAAG9e72Q=")</f>
        <v>#VALUE!</v>
      </c>
      <c r="CX293" t="e">
        <f>AND('STERLING CATALOG - FZN &amp; CHILL'!C1132,"AAAAAG9e72U=")</f>
        <v>#VALUE!</v>
      </c>
      <c r="CY293" t="e">
        <f>AND('STERLING CATALOG - FZN &amp; CHILL'!D1132,"AAAAAG9e72Y=")</f>
        <v>#VALUE!</v>
      </c>
      <c r="CZ293" t="e">
        <f>AND('STERLING CATALOG - FZN &amp; CHILL'!E1132,"AAAAAG9e72c=")</f>
        <v>#VALUE!</v>
      </c>
      <c r="DA293" t="e">
        <f>AND('STERLING CATALOG - FZN &amp; CHILL'!F1132,"AAAAAG9e72g=")</f>
        <v>#VALUE!</v>
      </c>
      <c r="DB293" t="e">
        <f>AND('STERLING CATALOG - FZN &amp; CHILL'!G1132,"AAAAAG9e72k=")</f>
        <v>#VALUE!</v>
      </c>
      <c r="DC293" t="e">
        <f>AND('STERLING CATALOG - FZN &amp; CHILL'!H1132,"AAAAAG9e72o=")</f>
        <v>#VALUE!</v>
      </c>
      <c r="DD293" t="e">
        <f>AND('STERLING CATALOG - FZN &amp; CHILL'!I1132,"AAAAAG9e72s=")</f>
        <v>#VALUE!</v>
      </c>
      <c r="DE293" t="e">
        <f>AND('STERLING CATALOG - FZN &amp; CHILL'!J1132,"AAAAAG9e72w=")</f>
        <v>#VALUE!</v>
      </c>
      <c r="DF293">
        <f>IF('STERLING CATALOG - FZN &amp; CHILL'!1133:1133,"AAAAAG9e720=",0)</f>
        <v>0</v>
      </c>
      <c r="DG293" t="e">
        <f>AND('STERLING CATALOG - FZN &amp; CHILL'!A1133,"AAAAAG9e724=")</f>
        <v>#VALUE!</v>
      </c>
      <c r="DH293" t="e">
        <f>AND('STERLING CATALOG - FZN &amp; CHILL'!B1133,"AAAAAG9e728=")</f>
        <v>#VALUE!</v>
      </c>
      <c r="DI293" t="e">
        <f>AND('STERLING CATALOG - FZN &amp; CHILL'!C1133,"AAAAAG9e73A=")</f>
        <v>#VALUE!</v>
      </c>
      <c r="DJ293" t="e">
        <f>AND('STERLING CATALOG - FZN &amp; CHILL'!D1133,"AAAAAG9e73E=")</f>
        <v>#VALUE!</v>
      </c>
      <c r="DK293" t="e">
        <f>AND('STERLING CATALOG - FZN &amp; CHILL'!E1133,"AAAAAG9e73I=")</f>
        <v>#VALUE!</v>
      </c>
      <c r="DL293" t="e">
        <f>AND('STERLING CATALOG - FZN &amp; CHILL'!F1133,"AAAAAG9e73M=")</f>
        <v>#VALUE!</v>
      </c>
      <c r="DM293" t="e">
        <f>AND('STERLING CATALOG - FZN &amp; CHILL'!G1133,"AAAAAG9e73Q=")</f>
        <v>#VALUE!</v>
      </c>
      <c r="DN293" t="e">
        <f>AND('STERLING CATALOG - FZN &amp; CHILL'!H1133,"AAAAAG9e73U=")</f>
        <v>#VALUE!</v>
      </c>
      <c r="DO293" t="e">
        <f>AND('STERLING CATALOG - FZN &amp; CHILL'!I1133,"AAAAAG9e73Y=")</f>
        <v>#VALUE!</v>
      </c>
      <c r="DP293" t="e">
        <f>AND('STERLING CATALOG - FZN &amp; CHILL'!J1133,"AAAAAG9e73c=")</f>
        <v>#VALUE!</v>
      </c>
      <c r="DQ293">
        <f>IF('STERLING CATALOG - FZN &amp; CHILL'!1134:1134,"AAAAAG9e73g=",0)</f>
        <v>0</v>
      </c>
      <c r="DR293" t="e">
        <f>AND('STERLING CATALOG - FZN &amp; CHILL'!A1134,"AAAAAG9e73k=")</f>
        <v>#VALUE!</v>
      </c>
      <c r="DS293" t="e">
        <f>AND('STERLING CATALOG - FZN &amp; CHILL'!B1134,"AAAAAG9e73o=")</f>
        <v>#VALUE!</v>
      </c>
      <c r="DT293" t="e">
        <f>AND('STERLING CATALOG - FZN &amp; CHILL'!C1134,"AAAAAG9e73s=")</f>
        <v>#VALUE!</v>
      </c>
      <c r="DU293" t="e">
        <f>AND('STERLING CATALOG - FZN &amp; CHILL'!D1134,"AAAAAG9e73w=")</f>
        <v>#VALUE!</v>
      </c>
      <c r="DV293" t="e">
        <f>AND('STERLING CATALOG - FZN &amp; CHILL'!E1134,"AAAAAG9e730=")</f>
        <v>#VALUE!</v>
      </c>
      <c r="DW293" t="e">
        <f>AND('STERLING CATALOG - FZN &amp; CHILL'!F1134,"AAAAAG9e734=")</f>
        <v>#VALUE!</v>
      </c>
      <c r="DX293" t="e">
        <f>AND('STERLING CATALOG - FZN &amp; CHILL'!G1134,"AAAAAG9e738=")</f>
        <v>#VALUE!</v>
      </c>
      <c r="DY293" t="e">
        <f>AND('STERLING CATALOG - FZN &amp; CHILL'!H1134,"AAAAAG9e74A=")</f>
        <v>#VALUE!</v>
      </c>
      <c r="DZ293" t="e">
        <f>AND('STERLING CATALOG - FZN &amp; CHILL'!I1134,"AAAAAG9e74E=")</f>
        <v>#VALUE!</v>
      </c>
      <c r="EA293" t="e">
        <f>AND('STERLING CATALOG - FZN &amp; CHILL'!J1134,"AAAAAG9e74I=")</f>
        <v>#VALUE!</v>
      </c>
      <c r="EB293">
        <f>IF('STERLING CATALOG - FZN &amp; CHILL'!1135:1135,"AAAAAG9e74M=",0)</f>
        <v>0</v>
      </c>
      <c r="EC293" t="e">
        <f>AND('STERLING CATALOG - FZN &amp; CHILL'!A1135,"AAAAAG9e74Q=")</f>
        <v>#VALUE!</v>
      </c>
      <c r="ED293" t="e">
        <f>AND('STERLING CATALOG - FZN &amp; CHILL'!B1135,"AAAAAG9e74U=")</f>
        <v>#VALUE!</v>
      </c>
      <c r="EE293" t="e">
        <f>AND('STERLING CATALOG - FZN &amp; CHILL'!C1135,"AAAAAG9e74Y=")</f>
        <v>#VALUE!</v>
      </c>
      <c r="EF293" t="e">
        <f>AND('STERLING CATALOG - FZN &amp; CHILL'!D1135,"AAAAAG9e74c=")</f>
        <v>#VALUE!</v>
      </c>
      <c r="EG293" t="e">
        <f>AND('STERLING CATALOG - FZN &amp; CHILL'!E1135,"AAAAAG9e74g=")</f>
        <v>#VALUE!</v>
      </c>
      <c r="EH293" t="e">
        <f>AND('STERLING CATALOG - FZN &amp; CHILL'!F1135,"AAAAAG9e74k=")</f>
        <v>#VALUE!</v>
      </c>
      <c r="EI293" t="e">
        <f>AND('STERLING CATALOG - FZN &amp; CHILL'!G1135,"AAAAAG9e74o=")</f>
        <v>#VALUE!</v>
      </c>
      <c r="EJ293" t="e">
        <f>AND('STERLING CATALOG - FZN &amp; CHILL'!H1135,"AAAAAG9e74s=")</f>
        <v>#VALUE!</v>
      </c>
      <c r="EK293" t="e">
        <f>AND('STERLING CATALOG - FZN &amp; CHILL'!I1135,"AAAAAG9e74w=")</f>
        <v>#VALUE!</v>
      </c>
      <c r="EL293" t="e">
        <f>AND('STERLING CATALOG - FZN &amp; CHILL'!J1135,"AAAAAG9e740=")</f>
        <v>#VALUE!</v>
      </c>
      <c r="EM293">
        <f>IF('STERLING CATALOG - FZN &amp; CHILL'!1136:1136,"AAAAAG9e744=",0)</f>
        <v>0</v>
      </c>
      <c r="EN293" t="e">
        <f>AND('STERLING CATALOG - FZN &amp; CHILL'!A1136,"AAAAAG9e748=")</f>
        <v>#VALUE!</v>
      </c>
      <c r="EO293" t="e">
        <f>AND('STERLING CATALOG - FZN &amp; CHILL'!B1136,"AAAAAG9e75A=")</f>
        <v>#VALUE!</v>
      </c>
      <c r="EP293" t="e">
        <f>AND('STERLING CATALOG - FZN &amp; CHILL'!C1136,"AAAAAG9e75E=")</f>
        <v>#VALUE!</v>
      </c>
      <c r="EQ293" t="e">
        <f>AND('STERLING CATALOG - FZN &amp; CHILL'!D1136,"AAAAAG9e75I=")</f>
        <v>#VALUE!</v>
      </c>
      <c r="ER293" t="e">
        <f>AND('STERLING CATALOG - FZN &amp; CHILL'!E1136,"AAAAAG9e75M=")</f>
        <v>#VALUE!</v>
      </c>
      <c r="ES293" t="e">
        <f>AND('STERLING CATALOG - FZN &amp; CHILL'!F1136,"AAAAAG9e75Q=")</f>
        <v>#VALUE!</v>
      </c>
      <c r="ET293" t="e">
        <f>AND('STERLING CATALOG - FZN &amp; CHILL'!G1136,"AAAAAG9e75U=")</f>
        <v>#VALUE!</v>
      </c>
      <c r="EU293" t="e">
        <f>AND('STERLING CATALOG - FZN &amp; CHILL'!H1136,"AAAAAG9e75Y=")</f>
        <v>#VALUE!</v>
      </c>
      <c r="EV293" t="e">
        <f>AND('STERLING CATALOG - FZN &amp; CHILL'!I1136,"AAAAAG9e75c=")</f>
        <v>#VALUE!</v>
      </c>
      <c r="EW293" t="e">
        <f>AND('STERLING CATALOG - FZN &amp; CHILL'!J1136,"AAAAAG9e75g=")</f>
        <v>#VALUE!</v>
      </c>
      <c r="EX293">
        <f>IF('STERLING CATALOG - FZN &amp; CHILL'!1137:1137,"AAAAAG9e75k=",0)</f>
        <v>0</v>
      </c>
      <c r="EY293" t="e">
        <f>AND('STERLING CATALOG - FZN &amp; CHILL'!A1137,"AAAAAG9e75o=")</f>
        <v>#VALUE!</v>
      </c>
      <c r="EZ293" t="e">
        <f>AND('STERLING CATALOG - FZN &amp; CHILL'!B1137,"AAAAAG9e75s=")</f>
        <v>#VALUE!</v>
      </c>
      <c r="FA293" t="e">
        <f>AND('STERLING CATALOG - FZN &amp; CHILL'!C1137,"AAAAAG9e75w=")</f>
        <v>#VALUE!</v>
      </c>
      <c r="FB293" t="e">
        <f>AND('STERLING CATALOG - FZN &amp; CHILL'!D1137,"AAAAAG9e750=")</f>
        <v>#VALUE!</v>
      </c>
      <c r="FC293" t="e">
        <f>AND('STERLING CATALOG - FZN &amp; CHILL'!E1137,"AAAAAG9e754=")</f>
        <v>#VALUE!</v>
      </c>
      <c r="FD293" t="e">
        <f>AND('STERLING CATALOG - FZN &amp; CHILL'!F1137,"AAAAAG9e758=")</f>
        <v>#VALUE!</v>
      </c>
      <c r="FE293" t="e">
        <f>AND('STERLING CATALOG - FZN &amp; CHILL'!G1137,"AAAAAG9e76A=")</f>
        <v>#VALUE!</v>
      </c>
      <c r="FF293" t="e">
        <f>AND('STERLING CATALOG - FZN &amp; CHILL'!H1137,"AAAAAG9e76E=")</f>
        <v>#VALUE!</v>
      </c>
      <c r="FG293" t="e">
        <f>AND('STERLING CATALOG - FZN &amp; CHILL'!I1137,"AAAAAG9e76I=")</f>
        <v>#VALUE!</v>
      </c>
      <c r="FH293" t="e">
        <f>AND('STERLING CATALOG - FZN &amp; CHILL'!J1137,"AAAAAG9e76M=")</f>
        <v>#VALUE!</v>
      </c>
      <c r="FI293">
        <f>IF('STERLING CATALOG - FZN &amp; CHILL'!1138:1138,"AAAAAG9e76Q=",0)</f>
        <v>0</v>
      </c>
      <c r="FJ293" t="e">
        <f>AND('STERLING CATALOG - FZN &amp; CHILL'!A1138,"AAAAAG9e76U=")</f>
        <v>#VALUE!</v>
      </c>
      <c r="FK293" t="e">
        <f>AND('STERLING CATALOG - FZN &amp; CHILL'!B1138,"AAAAAG9e76Y=")</f>
        <v>#VALUE!</v>
      </c>
      <c r="FL293" t="e">
        <f>AND('STERLING CATALOG - FZN &amp; CHILL'!C1138,"AAAAAG9e76c=")</f>
        <v>#VALUE!</v>
      </c>
      <c r="FM293" t="e">
        <f>AND('STERLING CATALOG - FZN &amp; CHILL'!D1138,"AAAAAG9e76g=")</f>
        <v>#VALUE!</v>
      </c>
      <c r="FN293" t="e">
        <f>AND('STERLING CATALOG - FZN &amp; CHILL'!E1138,"AAAAAG9e76k=")</f>
        <v>#VALUE!</v>
      </c>
      <c r="FO293" t="e">
        <f>AND('STERLING CATALOG - FZN &amp; CHILL'!F1138,"AAAAAG9e76o=")</f>
        <v>#VALUE!</v>
      </c>
      <c r="FP293" t="e">
        <f>AND('STERLING CATALOG - FZN &amp; CHILL'!G1138,"AAAAAG9e76s=")</f>
        <v>#VALUE!</v>
      </c>
      <c r="FQ293" t="e">
        <f>AND('STERLING CATALOG - FZN &amp; CHILL'!H1138,"AAAAAG9e76w=")</f>
        <v>#VALUE!</v>
      </c>
      <c r="FR293" t="e">
        <f>AND('STERLING CATALOG - FZN &amp; CHILL'!I1138,"AAAAAG9e760=")</f>
        <v>#VALUE!</v>
      </c>
      <c r="FS293" t="e">
        <f>AND('STERLING CATALOG - FZN &amp; CHILL'!J1138,"AAAAAG9e764=")</f>
        <v>#VALUE!</v>
      </c>
      <c r="FT293">
        <f>IF('STERLING CATALOG - FZN &amp; CHILL'!1139:1139,"AAAAAG9e768=",0)</f>
        <v>0</v>
      </c>
      <c r="FU293" t="e">
        <f>AND('STERLING CATALOG - FZN &amp; CHILL'!A1139,"AAAAAG9e77A=")</f>
        <v>#VALUE!</v>
      </c>
      <c r="FV293" t="e">
        <f>AND('STERLING CATALOG - FZN &amp; CHILL'!B1139,"AAAAAG9e77E=")</f>
        <v>#VALUE!</v>
      </c>
      <c r="FW293" t="e">
        <f>AND('STERLING CATALOG - FZN &amp; CHILL'!C1139,"AAAAAG9e77I=")</f>
        <v>#VALUE!</v>
      </c>
      <c r="FX293" t="e">
        <f>AND('STERLING CATALOG - FZN &amp; CHILL'!D1139,"AAAAAG9e77M=")</f>
        <v>#VALUE!</v>
      </c>
      <c r="FY293" t="e">
        <f>AND('STERLING CATALOG - FZN &amp; CHILL'!E1139,"AAAAAG9e77Q=")</f>
        <v>#VALUE!</v>
      </c>
      <c r="FZ293" t="e">
        <f>AND('STERLING CATALOG - FZN &amp; CHILL'!F1139,"AAAAAG9e77U=")</f>
        <v>#VALUE!</v>
      </c>
      <c r="GA293" t="e">
        <f>AND('STERLING CATALOG - FZN &amp; CHILL'!G1139,"AAAAAG9e77Y=")</f>
        <v>#VALUE!</v>
      </c>
      <c r="GB293" t="e">
        <f>AND('STERLING CATALOG - FZN &amp; CHILL'!H1139,"AAAAAG9e77c=")</f>
        <v>#VALUE!</v>
      </c>
      <c r="GC293" t="e">
        <f>AND('STERLING CATALOG - FZN &amp; CHILL'!I1139,"AAAAAG9e77g=")</f>
        <v>#VALUE!</v>
      </c>
      <c r="GD293" t="e">
        <f>AND('STERLING CATALOG - FZN &amp; CHILL'!J1139,"AAAAAG9e77k=")</f>
        <v>#VALUE!</v>
      </c>
      <c r="GE293">
        <f>IF('STERLING CATALOG - FZN &amp; CHILL'!1140:1140,"AAAAAG9e77o=",0)</f>
        <v>0</v>
      </c>
      <c r="GF293" t="e">
        <f>AND('STERLING CATALOG - FZN &amp; CHILL'!A1140,"AAAAAG9e77s=")</f>
        <v>#VALUE!</v>
      </c>
      <c r="GG293" t="e">
        <f>AND('STERLING CATALOG - FZN &amp; CHILL'!B1140,"AAAAAG9e77w=")</f>
        <v>#VALUE!</v>
      </c>
      <c r="GH293" t="e">
        <f>AND('STERLING CATALOG - FZN &amp; CHILL'!C1140,"AAAAAG9e770=")</f>
        <v>#VALUE!</v>
      </c>
      <c r="GI293" t="e">
        <f>AND('STERLING CATALOG - FZN &amp; CHILL'!D1140,"AAAAAG9e774=")</f>
        <v>#VALUE!</v>
      </c>
      <c r="GJ293" t="e">
        <f>AND('STERLING CATALOG - FZN &amp; CHILL'!E1140,"AAAAAG9e778=")</f>
        <v>#VALUE!</v>
      </c>
      <c r="GK293" t="e">
        <f>AND('STERLING CATALOG - FZN &amp; CHILL'!F1140,"AAAAAG9e78A=")</f>
        <v>#VALUE!</v>
      </c>
      <c r="GL293" t="e">
        <f>AND('STERLING CATALOG - FZN &amp; CHILL'!G1140,"AAAAAG9e78E=")</f>
        <v>#VALUE!</v>
      </c>
      <c r="GM293" t="e">
        <f>AND('STERLING CATALOG - FZN &amp; CHILL'!H1140,"AAAAAG9e78I=")</f>
        <v>#VALUE!</v>
      </c>
      <c r="GN293" t="e">
        <f>AND('STERLING CATALOG - FZN &amp; CHILL'!I1140,"AAAAAG9e78M=")</f>
        <v>#VALUE!</v>
      </c>
      <c r="GO293" t="e">
        <f>AND('STERLING CATALOG - FZN &amp; CHILL'!J1140,"AAAAAG9e78Q=")</f>
        <v>#VALUE!</v>
      </c>
      <c r="GP293">
        <f>IF('STERLING CATALOG - FZN &amp; CHILL'!1141:1141,"AAAAAG9e78U=",0)</f>
        <v>0</v>
      </c>
      <c r="GQ293" t="e">
        <f>AND('STERLING CATALOG - FZN &amp; CHILL'!A1141,"AAAAAG9e78Y=")</f>
        <v>#VALUE!</v>
      </c>
      <c r="GR293" t="e">
        <f>AND('STERLING CATALOG - FZN &amp; CHILL'!B1141,"AAAAAG9e78c=")</f>
        <v>#VALUE!</v>
      </c>
      <c r="GS293" t="e">
        <f>AND('STERLING CATALOG - FZN &amp; CHILL'!C1141,"AAAAAG9e78g=")</f>
        <v>#VALUE!</v>
      </c>
      <c r="GT293" t="e">
        <f>AND('STERLING CATALOG - FZN &amp; CHILL'!D1141,"AAAAAG9e78k=")</f>
        <v>#VALUE!</v>
      </c>
      <c r="GU293" t="e">
        <f>AND('STERLING CATALOG - FZN &amp; CHILL'!E1141,"AAAAAG9e78o=")</f>
        <v>#VALUE!</v>
      </c>
      <c r="GV293" t="e">
        <f>AND('STERLING CATALOG - FZN &amp; CHILL'!F1141,"AAAAAG9e78s=")</f>
        <v>#VALUE!</v>
      </c>
      <c r="GW293" t="e">
        <f>AND('STERLING CATALOG - FZN &amp; CHILL'!G1141,"AAAAAG9e78w=")</f>
        <v>#VALUE!</v>
      </c>
      <c r="GX293" t="e">
        <f>AND('STERLING CATALOG - FZN &amp; CHILL'!H1141,"AAAAAG9e780=")</f>
        <v>#VALUE!</v>
      </c>
      <c r="GY293" t="e">
        <f>AND('STERLING CATALOG - FZN &amp; CHILL'!I1141,"AAAAAG9e784=")</f>
        <v>#VALUE!</v>
      </c>
      <c r="GZ293" t="e">
        <f>AND('STERLING CATALOG - FZN &amp; CHILL'!J1141,"AAAAAG9e788=")</f>
        <v>#VALUE!</v>
      </c>
      <c r="HA293">
        <f>IF('STERLING CATALOG - FZN &amp; CHILL'!1142:1142,"AAAAAG9e79A=",0)</f>
        <v>0</v>
      </c>
      <c r="HB293" t="e">
        <f>AND('STERLING CATALOG - FZN &amp; CHILL'!A1142,"AAAAAG9e79E=")</f>
        <v>#VALUE!</v>
      </c>
      <c r="HC293" t="e">
        <f>AND('STERLING CATALOG - FZN &amp; CHILL'!B1142,"AAAAAG9e79I=")</f>
        <v>#VALUE!</v>
      </c>
      <c r="HD293" t="e">
        <f>AND('STERLING CATALOG - FZN &amp; CHILL'!C1142,"AAAAAG9e79M=")</f>
        <v>#VALUE!</v>
      </c>
      <c r="HE293" t="e">
        <f>AND('STERLING CATALOG - FZN &amp; CHILL'!D1142,"AAAAAG9e79Q=")</f>
        <v>#VALUE!</v>
      </c>
      <c r="HF293" t="e">
        <f>AND('STERLING CATALOG - FZN &amp; CHILL'!E1142,"AAAAAG9e79U=")</f>
        <v>#VALUE!</v>
      </c>
      <c r="HG293" t="e">
        <f>AND('STERLING CATALOG - FZN &amp; CHILL'!F1142,"AAAAAG9e79Y=")</f>
        <v>#VALUE!</v>
      </c>
      <c r="HH293" t="e">
        <f>AND('STERLING CATALOG - FZN &amp; CHILL'!G1142,"AAAAAG9e79c=")</f>
        <v>#VALUE!</v>
      </c>
      <c r="HI293" t="e">
        <f>AND('STERLING CATALOG - FZN &amp; CHILL'!H1142,"AAAAAG9e79g=")</f>
        <v>#VALUE!</v>
      </c>
      <c r="HJ293" t="e">
        <f>AND('STERLING CATALOG - FZN &amp; CHILL'!I1142,"AAAAAG9e79k=")</f>
        <v>#VALUE!</v>
      </c>
      <c r="HK293" t="e">
        <f>AND('STERLING CATALOG - FZN &amp; CHILL'!J1142,"AAAAAG9e79o=")</f>
        <v>#VALUE!</v>
      </c>
      <c r="HL293">
        <f>IF('STERLING CATALOG - FZN &amp; CHILL'!1143:1143,"AAAAAG9e79s=",0)</f>
        <v>0</v>
      </c>
      <c r="HM293" t="e">
        <f>AND('STERLING CATALOG - FZN &amp; CHILL'!A1143,"AAAAAG9e79w=")</f>
        <v>#VALUE!</v>
      </c>
      <c r="HN293" t="e">
        <f>AND('STERLING CATALOG - FZN &amp; CHILL'!B1143,"AAAAAG9e790=")</f>
        <v>#VALUE!</v>
      </c>
      <c r="HO293" t="e">
        <f>AND('STERLING CATALOG - FZN &amp; CHILL'!C1143,"AAAAAG9e794=")</f>
        <v>#VALUE!</v>
      </c>
      <c r="HP293" t="e">
        <f>AND('STERLING CATALOG - FZN &amp; CHILL'!D1143,"AAAAAG9e798=")</f>
        <v>#VALUE!</v>
      </c>
      <c r="HQ293" t="e">
        <f>AND('STERLING CATALOG - FZN &amp; CHILL'!E1143,"AAAAAG9e7+A=")</f>
        <v>#VALUE!</v>
      </c>
      <c r="HR293" t="e">
        <f>AND('STERLING CATALOG - FZN &amp; CHILL'!F1143,"AAAAAG9e7+E=")</f>
        <v>#VALUE!</v>
      </c>
      <c r="HS293" t="e">
        <f>AND('STERLING CATALOG - FZN &amp; CHILL'!G1143,"AAAAAG9e7+I=")</f>
        <v>#VALUE!</v>
      </c>
      <c r="HT293" t="e">
        <f>AND('STERLING CATALOG - FZN &amp; CHILL'!H1143,"AAAAAG9e7+M=")</f>
        <v>#VALUE!</v>
      </c>
      <c r="HU293" t="e">
        <f>AND('STERLING CATALOG - FZN &amp; CHILL'!I1143,"AAAAAG9e7+Q=")</f>
        <v>#VALUE!</v>
      </c>
      <c r="HV293" t="e">
        <f>AND('STERLING CATALOG - FZN &amp; CHILL'!J1143,"AAAAAG9e7+U=")</f>
        <v>#VALUE!</v>
      </c>
      <c r="HW293">
        <f>IF('STERLING CATALOG - FZN &amp; CHILL'!1144:1144,"AAAAAG9e7+Y=",0)</f>
        <v>0</v>
      </c>
      <c r="HX293" t="e">
        <f>AND('STERLING CATALOG - FZN &amp; CHILL'!A1144,"AAAAAG9e7+c=")</f>
        <v>#VALUE!</v>
      </c>
      <c r="HY293" t="e">
        <f>AND('STERLING CATALOG - FZN &amp; CHILL'!B1144,"AAAAAG9e7+g=")</f>
        <v>#VALUE!</v>
      </c>
      <c r="HZ293" t="e">
        <f>AND('STERLING CATALOG - FZN &amp; CHILL'!C1144,"AAAAAG9e7+k=")</f>
        <v>#VALUE!</v>
      </c>
      <c r="IA293" t="e">
        <f>AND('STERLING CATALOG - FZN &amp; CHILL'!D1144,"AAAAAG9e7+o=")</f>
        <v>#VALUE!</v>
      </c>
      <c r="IB293" t="e">
        <f>AND('STERLING CATALOG - FZN &amp; CHILL'!E1144,"AAAAAG9e7+s=")</f>
        <v>#VALUE!</v>
      </c>
      <c r="IC293" t="e">
        <f>AND('STERLING CATALOG - FZN &amp; CHILL'!F1144,"AAAAAG9e7+w=")</f>
        <v>#VALUE!</v>
      </c>
      <c r="ID293" t="e">
        <f>AND('STERLING CATALOG - FZN &amp; CHILL'!G1144,"AAAAAG9e7+0=")</f>
        <v>#VALUE!</v>
      </c>
      <c r="IE293" t="e">
        <f>AND('STERLING CATALOG - FZN &amp; CHILL'!H1144,"AAAAAG9e7+4=")</f>
        <v>#VALUE!</v>
      </c>
      <c r="IF293" t="e">
        <f>AND('STERLING CATALOG - FZN &amp; CHILL'!I1144,"AAAAAG9e7+8=")</f>
        <v>#VALUE!</v>
      </c>
      <c r="IG293" t="e">
        <f>AND('STERLING CATALOG - FZN &amp; CHILL'!J1144,"AAAAAG9e7/A=")</f>
        <v>#VALUE!</v>
      </c>
      <c r="IH293">
        <f>IF('STERLING CATALOG - FZN &amp; CHILL'!1145:1145,"AAAAAG9e7/E=",0)</f>
        <v>0</v>
      </c>
      <c r="II293" t="e">
        <f>AND('STERLING CATALOG - FZN &amp; CHILL'!A1145,"AAAAAG9e7/I=")</f>
        <v>#VALUE!</v>
      </c>
      <c r="IJ293" t="e">
        <f>AND('STERLING CATALOG - FZN &amp; CHILL'!B1145,"AAAAAG9e7/M=")</f>
        <v>#VALUE!</v>
      </c>
      <c r="IK293" t="e">
        <f>AND('STERLING CATALOG - FZN &amp; CHILL'!C1145,"AAAAAG9e7/Q=")</f>
        <v>#VALUE!</v>
      </c>
      <c r="IL293" t="e">
        <f>AND('STERLING CATALOG - FZN &amp; CHILL'!D1145,"AAAAAG9e7/U=")</f>
        <v>#VALUE!</v>
      </c>
      <c r="IM293" t="e">
        <f>AND('STERLING CATALOG - FZN &amp; CHILL'!E1145,"AAAAAG9e7/Y=")</f>
        <v>#VALUE!</v>
      </c>
      <c r="IN293" t="e">
        <f>AND('STERLING CATALOG - FZN &amp; CHILL'!F1145,"AAAAAG9e7/c=")</f>
        <v>#VALUE!</v>
      </c>
      <c r="IO293" t="e">
        <f>AND('STERLING CATALOG - FZN &amp; CHILL'!G1145,"AAAAAG9e7/g=")</f>
        <v>#VALUE!</v>
      </c>
      <c r="IP293" t="e">
        <f>AND('STERLING CATALOG - FZN &amp; CHILL'!H1145,"AAAAAG9e7/k=")</f>
        <v>#VALUE!</v>
      </c>
      <c r="IQ293" t="e">
        <f>AND('STERLING CATALOG - FZN &amp; CHILL'!I1145,"AAAAAG9e7/o=")</f>
        <v>#VALUE!</v>
      </c>
      <c r="IR293" t="e">
        <f>AND('STERLING CATALOG - FZN &amp; CHILL'!J1145,"AAAAAG9e7/s=")</f>
        <v>#VALUE!</v>
      </c>
      <c r="IS293">
        <f>IF('STERLING CATALOG - FZN &amp; CHILL'!1146:1146,"AAAAAG9e7/w=",0)</f>
        <v>0</v>
      </c>
      <c r="IT293" t="e">
        <f>AND('STERLING CATALOG - FZN &amp; CHILL'!A1146,"AAAAAG9e7/0=")</f>
        <v>#VALUE!</v>
      </c>
      <c r="IU293" t="e">
        <f>AND('STERLING CATALOG - FZN &amp; CHILL'!B1146,"AAAAAG9e7/4=")</f>
        <v>#VALUE!</v>
      </c>
      <c r="IV293" t="e">
        <f>AND('STERLING CATALOG - FZN &amp; CHILL'!C1146,"AAAAAG9e7/8=")</f>
        <v>#VALUE!</v>
      </c>
    </row>
    <row r="294" spans="1:256">
      <c r="A294" t="e">
        <f>AND('STERLING CATALOG - FZN &amp; CHILL'!D1146,"AAAAAH/f7wA=")</f>
        <v>#VALUE!</v>
      </c>
      <c r="B294" t="e">
        <f>AND('STERLING CATALOG - FZN &amp; CHILL'!E1146,"AAAAAH/f7wE=")</f>
        <v>#VALUE!</v>
      </c>
      <c r="C294" t="e">
        <f>AND('STERLING CATALOG - FZN &amp; CHILL'!F1146,"AAAAAH/f7wI=")</f>
        <v>#VALUE!</v>
      </c>
      <c r="D294" t="e">
        <f>AND('STERLING CATALOG - FZN &amp; CHILL'!G1146,"AAAAAH/f7wM=")</f>
        <v>#VALUE!</v>
      </c>
      <c r="E294" t="e">
        <f>AND('STERLING CATALOG - FZN &amp; CHILL'!H1146,"AAAAAH/f7wQ=")</f>
        <v>#VALUE!</v>
      </c>
      <c r="F294" t="e">
        <f>AND('STERLING CATALOG - FZN &amp; CHILL'!I1146,"AAAAAH/f7wU=")</f>
        <v>#VALUE!</v>
      </c>
      <c r="G294" t="e">
        <f>AND('STERLING CATALOG - FZN &amp; CHILL'!J1146,"AAAAAH/f7wY=")</f>
        <v>#VALUE!</v>
      </c>
      <c r="H294" t="str">
        <f>IF('STERLING CATALOG - FZN &amp; CHILL'!1147:1147,"AAAAAH/f7wc=",0)</f>
        <v>AAAAAH/f7wc=</v>
      </c>
      <c r="I294" t="e">
        <f>AND('STERLING CATALOG - FZN &amp; CHILL'!A1147,"AAAAAH/f7wg=")</f>
        <v>#VALUE!</v>
      </c>
      <c r="J294" t="e">
        <f>AND('STERLING CATALOG - FZN &amp; CHILL'!B1147,"AAAAAH/f7wk=")</f>
        <v>#VALUE!</v>
      </c>
      <c r="K294" t="e">
        <f>AND('STERLING CATALOG - FZN &amp; CHILL'!C1147,"AAAAAH/f7wo=")</f>
        <v>#VALUE!</v>
      </c>
      <c r="L294" t="e">
        <f>AND('STERLING CATALOG - FZN &amp; CHILL'!D1147,"AAAAAH/f7ws=")</f>
        <v>#VALUE!</v>
      </c>
      <c r="M294" t="e">
        <f>AND('STERLING CATALOG - FZN &amp; CHILL'!E1147,"AAAAAH/f7ww=")</f>
        <v>#VALUE!</v>
      </c>
      <c r="N294" t="e">
        <f>AND('STERLING CATALOG - FZN &amp; CHILL'!F1147,"AAAAAH/f7w0=")</f>
        <v>#VALUE!</v>
      </c>
      <c r="O294" t="e">
        <f>AND('STERLING CATALOG - FZN &amp; CHILL'!G1147,"AAAAAH/f7w4=")</f>
        <v>#VALUE!</v>
      </c>
      <c r="P294" t="e">
        <f>AND('STERLING CATALOG - FZN &amp; CHILL'!H1147,"AAAAAH/f7w8=")</f>
        <v>#VALUE!</v>
      </c>
      <c r="Q294" t="e">
        <f>AND('STERLING CATALOG - FZN &amp; CHILL'!I1147,"AAAAAH/f7xA=")</f>
        <v>#VALUE!</v>
      </c>
      <c r="R294" t="e">
        <f>AND('STERLING CATALOG - FZN &amp; CHILL'!J1147,"AAAAAH/f7xE=")</f>
        <v>#VALUE!</v>
      </c>
      <c r="S294">
        <f>IF('STERLING CATALOG - FZN &amp; CHILL'!1148:1148,"AAAAAH/f7xI=",0)</f>
        <v>0</v>
      </c>
      <c r="T294" t="e">
        <f>AND('STERLING CATALOG - FZN &amp; CHILL'!A1148,"AAAAAH/f7xM=")</f>
        <v>#VALUE!</v>
      </c>
      <c r="U294" t="e">
        <f>AND('STERLING CATALOG - FZN &amp; CHILL'!B1148,"AAAAAH/f7xQ=")</f>
        <v>#VALUE!</v>
      </c>
      <c r="V294" t="e">
        <f>AND('STERLING CATALOG - FZN &amp; CHILL'!C1148,"AAAAAH/f7xU=")</f>
        <v>#VALUE!</v>
      </c>
      <c r="W294" t="e">
        <f>AND('STERLING CATALOG - FZN &amp; CHILL'!D1148,"AAAAAH/f7xY=")</f>
        <v>#VALUE!</v>
      </c>
      <c r="X294" t="e">
        <f>AND('STERLING CATALOG - FZN &amp; CHILL'!E1148,"AAAAAH/f7xc=")</f>
        <v>#VALUE!</v>
      </c>
      <c r="Y294" t="e">
        <f>AND('STERLING CATALOG - FZN &amp; CHILL'!F1148,"AAAAAH/f7xg=")</f>
        <v>#VALUE!</v>
      </c>
      <c r="Z294" t="e">
        <f>AND('STERLING CATALOG - FZN &amp; CHILL'!G1148,"AAAAAH/f7xk=")</f>
        <v>#VALUE!</v>
      </c>
      <c r="AA294" t="e">
        <f>AND('STERLING CATALOG - FZN &amp; CHILL'!H1148,"AAAAAH/f7xo=")</f>
        <v>#VALUE!</v>
      </c>
      <c r="AB294" t="e">
        <f>AND('STERLING CATALOG - FZN &amp; CHILL'!I1148,"AAAAAH/f7xs=")</f>
        <v>#VALUE!</v>
      </c>
      <c r="AC294" t="e">
        <f>AND('STERLING CATALOG - FZN &amp; CHILL'!J1148,"AAAAAH/f7xw=")</f>
        <v>#VALUE!</v>
      </c>
      <c r="AD294">
        <f>IF('STERLING CATALOG - FZN &amp; CHILL'!1149:1149,"AAAAAH/f7x0=",0)</f>
        <v>0</v>
      </c>
      <c r="AE294" t="e">
        <f>AND('STERLING CATALOG - FZN &amp; CHILL'!A1149,"AAAAAH/f7x4=")</f>
        <v>#VALUE!</v>
      </c>
      <c r="AF294" t="e">
        <f>AND('STERLING CATALOG - FZN &amp; CHILL'!B1149,"AAAAAH/f7x8=")</f>
        <v>#VALUE!</v>
      </c>
      <c r="AG294" t="e">
        <f>AND('STERLING CATALOG - FZN &amp; CHILL'!C1149,"AAAAAH/f7yA=")</f>
        <v>#VALUE!</v>
      </c>
      <c r="AH294" t="e">
        <f>AND('STERLING CATALOG - FZN &amp; CHILL'!D1149,"AAAAAH/f7yE=")</f>
        <v>#VALUE!</v>
      </c>
      <c r="AI294" t="e">
        <f>AND('STERLING CATALOG - FZN &amp; CHILL'!E1149,"AAAAAH/f7yI=")</f>
        <v>#VALUE!</v>
      </c>
      <c r="AJ294" t="e">
        <f>AND('STERLING CATALOG - FZN &amp; CHILL'!F1149,"AAAAAH/f7yM=")</f>
        <v>#VALUE!</v>
      </c>
      <c r="AK294" t="e">
        <f>AND('STERLING CATALOG - FZN &amp; CHILL'!G1149,"AAAAAH/f7yQ=")</f>
        <v>#VALUE!</v>
      </c>
      <c r="AL294" t="e">
        <f>AND('STERLING CATALOG - FZN &amp; CHILL'!H1149,"AAAAAH/f7yU=")</f>
        <v>#VALUE!</v>
      </c>
      <c r="AM294" t="e">
        <f>AND('STERLING CATALOG - FZN &amp; CHILL'!I1149,"AAAAAH/f7yY=")</f>
        <v>#VALUE!</v>
      </c>
      <c r="AN294" t="e">
        <f>AND('STERLING CATALOG - FZN &amp; CHILL'!J1149,"AAAAAH/f7yc=")</f>
        <v>#VALUE!</v>
      </c>
      <c r="AO294">
        <f>IF('STERLING CATALOG - FZN &amp; CHILL'!1150:1150,"AAAAAH/f7yg=",0)</f>
        <v>0</v>
      </c>
      <c r="AP294" t="e">
        <f>AND('STERLING CATALOG - FZN &amp; CHILL'!A1150,"AAAAAH/f7yk=")</f>
        <v>#VALUE!</v>
      </c>
      <c r="AQ294" t="e">
        <f>AND('STERLING CATALOG - FZN &amp; CHILL'!B1150,"AAAAAH/f7yo=")</f>
        <v>#VALUE!</v>
      </c>
      <c r="AR294" t="e">
        <f>AND('STERLING CATALOG - FZN &amp; CHILL'!C1150,"AAAAAH/f7ys=")</f>
        <v>#VALUE!</v>
      </c>
      <c r="AS294" t="e">
        <f>AND('STERLING CATALOG - FZN &amp; CHILL'!D1150,"AAAAAH/f7yw=")</f>
        <v>#VALUE!</v>
      </c>
      <c r="AT294" t="e">
        <f>AND('STERLING CATALOG - FZN &amp; CHILL'!E1150,"AAAAAH/f7y0=")</f>
        <v>#VALUE!</v>
      </c>
      <c r="AU294" t="e">
        <f>AND('STERLING CATALOG - FZN &amp; CHILL'!F1150,"AAAAAH/f7y4=")</f>
        <v>#VALUE!</v>
      </c>
      <c r="AV294" t="e">
        <f>AND('STERLING CATALOG - FZN &amp; CHILL'!G1150,"AAAAAH/f7y8=")</f>
        <v>#VALUE!</v>
      </c>
      <c r="AW294" t="e">
        <f>AND('STERLING CATALOG - FZN &amp; CHILL'!H1150,"AAAAAH/f7zA=")</f>
        <v>#VALUE!</v>
      </c>
      <c r="AX294" t="e">
        <f>AND('STERLING CATALOG - FZN &amp; CHILL'!I1150,"AAAAAH/f7zE=")</f>
        <v>#VALUE!</v>
      </c>
      <c r="AY294" t="e">
        <f>AND('STERLING CATALOG - FZN &amp; CHILL'!J1150,"AAAAAH/f7zI=")</f>
        <v>#VALUE!</v>
      </c>
      <c r="AZ294">
        <f>IF('STERLING CATALOG - FZN &amp; CHILL'!1151:1151,"AAAAAH/f7zM=",0)</f>
        <v>0</v>
      </c>
      <c r="BA294" t="e">
        <f>AND('STERLING CATALOG - FZN &amp; CHILL'!A1151,"AAAAAH/f7zQ=")</f>
        <v>#VALUE!</v>
      </c>
      <c r="BB294" t="e">
        <f>AND('STERLING CATALOG - FZN &amp; CHILL'!B1151,"AAAAAH/f7zU=")</f>
        <v>#VALUE!</v>
      </c>
      <c r="BC294" t="e">
        <f>AND('STERLING CATALOG - FZN &amp; CHILL'!C1151,"AAAAAH/f7zY=")</f>
        <v>#VALUE!</v>
      </c>
      <c r="BD294" t="e">
        <f>AND('STERLING CATALOG - FZN &amp; CHILL'!D1151,"AAAAAH/f7zc=")</f>
        <v>#VALUE!</v>
      </c>
      <c r="BE294" t="e">
        <f>AND('STERLING CATALOG - FZN &amp; CHILL'!E1151,"AAAAAH/f7zg=")</f>
        <v>#VALUE!</v>
      </c>
      <c r="BF294" t="e">
        <f>AND('STERLING CATALOG - FZN &amp; CHILL'!F1151,"AAAAAH/f7zk=")</f>
        <v>#VALUE!</v>
      </c>
      <c r="BG294" t="e">
        <f>AND('STERLING CATALOG - FZN &amp; CHILL'!G1151,"AAAAAH/f7zo=")</f>
        <v>#VALUE!</v>
      </c>
      <c r="BH294" t="e">
        <f>AND('STERLING CATALOG - FZN &amp; CHILL'!H1151,"AAAAAH/f7zs=")</f>
        <v>#VALUE!</v>
      </c>
      <c r="BI294" t="e">
        <f>AND('STERLING CATALOG - FZN &amp; CHILL'!I1151,"AAAAAH/f7zw=")</f>
        <v>#VALUE!</v>
      </c>
      <c r="BJ294" t="e">
        <f>AND('STERLING CATALOG - FZN &amp; CHILL'!J1151,"AAAAAH/f7z0=")</f>
        <v>#VALUE!</v>
      </c>
      <c r="BK294">
        <f>IF('STERLING CATALOG - FZN &amp; CHILL'!1152:1152,"AAAAAH/f7z4=",0)</f>
        <v>0</v>
      </c>
      <c r="BL294" t="e">
        <f>AND('STERLING CATALOG - FZN &amp; CHILL'!A1152,"AAAAAH/f7z8=")</f>
        <v>#VALUE!</v>
      </c>
      <c r="BM294" t="e">
        <f>AND('STERLING CATALOG - FZN &amp; CHILL'!B1152,"AAAAAH/f70A=")</f>
        <v>#VALUE!</v>
      </c>
      <c r="BN294" t="e">
        <f>AND('STERLING CATALOG - FZN &amp; CHILL'!C1152,"AAAAAH/f70E=")</f>
        <v>#VALUE!</v>
      </c>
      <c r="BO294" t="e">
        <f>AND('STERLING CATALOG - FZN &amp; CHILL'!D1152,"AAAAAH/f70I=")</f>
        <v>#VALUE!</v>
      </c>
      <c r="BP294" t="e">
        <f>AND('STERLING CATALOG - FZN &amp; CHILL'!E1152,"AAAAAH/f70M=")</f>
        <v>#VALUE!</v>
      </c>
      <c r="BQ294" t="e">
        <f>AND('STERLING CATALOG - FZN &amp; CHILL'!F1152,"AAAAAH/f70Q=")</f>
        <v>#VALUE!</v>
      </c>
      <c r="BR294" t="e">
        <f>AND('STERLING CATALOG - FZN &amp; CHILL'!G1152,"AAAAAH/f70U=")</f>
        <v>#VALUE!</v>
      </c>
      <c r="BS294" t="e">
        <f>AND('STERLING CATALOG - FZN &amp; CHILL'!H1152,"AAAAAH/f70Y=")</f>
        <v>#VALUE!</v>
      </c>
      <c r="BT294" t="e">
        <f>AND('STERLING CATALOG - FZN &amp; CHILL'!I1152,"AAAAAH/f70c=")</f>
        <v>#VALUE!</v>
      </c>
      <c r="BU294" t="e">
        <f>AND('STERLING CATALOG - FZN &amp; CHILL'!J1152,"AAAAAH/f70g=")</f>
        <v>#VALUE!</v>
      </c>
      <c r="BV294">
        <f>IF('STERLING CATALOG - FZN &amp; CHILL'!1153:1153,"AAAAAH/f70k=",0)</f>
        <v>0</v>
      </c>
      <c r="BW294" t="e">
        <f>AND('STERLING CATALOG - FZN &amp; CHILL'!A1153,"AAAAAH/f70o=")</f>
        <v>#VALUE!</v>
      </c>
      <c r="BX294" t="e">
        <f>AND('STERLING CATALOG - FZN &amp; CHILL'!B1153,"AAAAAH/f70s=")</f>
        <v>#VALUE!</v>
      </c>
      <c r="BY294" t="e">
        <f>AND('STERLING CATALOG - FZN &amp; CHILL'!C1153,"AAAAAH/f70w=")</f>
        <v>#VALUE!</v>
      </c>
      <c r="BZ294" t="e">
        <f>AND('STERLING CATALOG - FZN &amp; CHILL'!D1153,"AAAAAH/f700=")</f>
        <v>#VALUE!</v>
      </c>
      <c r="CA294" t="e">
        <f>AND('STERLING CATALOG - FZN &amp; CHILL'!E1153,"AAAAAH/f704=")</f>
        <v>#VALUE!</v>
      </c>
      <c r="CB294" t="e">
        <f>AND('STERLING CATALOG - FZN &amp; CHILL'!F1153,"AAAAAH/f708=")</f>
        <v>#VALUE!</v>
      </c>
      <c r="CC294" t="e">
        <f>AND('STERLING CATALOG - FZN &amp; CHILL'!G1153,"AAAAAH/f71A=")</f>
        <v>#VALUE!</v>
      </c>
      <c r="CD294" t="e">
        <f>AND('STERLING CATALOG - FZN &amp; CHILL'!H1153,"AAAAAH/f71E=")</f>
        <v>#VALUE!</v>
      </c>
      <c r="CE294" t="e">
        <f>AND('STERLING CATALOG - FZN &amp; CHILL'!I1153,"AAAAAH/f71I=")</f>
        <v>#VALUE!</v>
      </c>
      <c r="CF294" t="e">
        <f>AND('STERLING CATALOG - FZN &amp; CHILL'!J1153,"AAAAAH/f71M=")</f>
        <v>#VALUE!</v>
      </c>
      <c r="CG294">
        <f>IF('STERLING CATALOG - FZN &amp; CHILL'!1154:1154,"AAAAAH/f71Q=",0)</f>
        <v>0</v>
      </c>
      <c r="CH294" t="e">
        <f>AND('STERLING CATALOG - FZN &amp; CHILL'!A1154,"AAAAAH/f71U=")</f>
        <v>#VALUE!</v>
      </c>
      <c r="CI294" t="e">
        <f>AND('STERLING CATALOG - FZN &amp; CHILL'!B1154,"AAAAAH/f71Y=")</f>
        <v>#VALUE!</v>
      </c>
      <c r="CJ294" t="e">
        <f>AND('STERLING CATALOG - FZN &amp; CHILL'!C1154,"AAAAAH/f71c=")</f>
        <v>#VALUE!</v>
      </c>
      <c r="CK294" t="e">
        <f>AND('STERLING CATALOG - FZN &amp; CHILL'!D1154,"AAAAAH/f71g=")</f>
        <v>#VALUE!</v>
      </c>
      <c r="CL294" t="e">
        <f>AND('STERLING CATALOG - FZN &amp; CHILL'!E1154,"AAAAAH/f71k=")</f>
        <v>#VALUE!</v>
      </c>
      <c r="CM294" t="e">
        <f>AND('STERLING CATALOG - FZN &amp; CHILL'!F1154,"AAAAAH/f71o=")</f>
        <v>#VALUE!</v>
      </c>
      <c r="CN294" t="e">
        <f>AND('STERLING CATALOG - FZN &amp; CHILL'!G1154,"AAAAAH/f71s=")</f>
        <v>#VALUE!</v>
      </c>
      <c r="CO294" t="e">
        <f>AND('STERLING CATALOG - FZN &amp; CHILL'!H1154,"AAAAAH/f71w=")</f>
        <v>#VALUE!</v>
      </c>
      <c r="CP294" t="e">
        <f>AND('STERLING CATALOG - FZN &amp; CHILL'!I1154,"AAAAAH/f710=")</f>
        <v>#VALUE!</v>
      </c>
      <c r="CQ294" t="e">
        <f>AND('STERLING CATALOG - FZN &amp; CHILL'!J1154,"AAAAAH/f714=")</f>
        <v>#VALUE!</v>
      </c>
      <c r="CR294">
        <f>IF('STERLING CATALOG - FZN &amp; CHILL'!1155:1155,"AAAAAH/f718=",0)</f>
        <v>0</v>
      </c>
      <c r="CS294" t="e">
        <f>AND('STERLING CATALOG - FZN &amp; CHILL'!A1155,"AAAAAH/f72A=")</f>
        <v>#VALUE!</v>
      </c>
      <c r="CT294" t="e">
        <f>AND('STERLING CATALOG - FZN &amp; CHILL'!B1155,"AAAAAH/f72E=")</f>
        <v>#VALUE!</v>
      </c>
      <c r="CU294" t="e">
        <f>AND('STERLING CATALOG - FZN &amp; CHILL'!C1155,"AAAAAH/f72I=")</f>
        <v>#VALUE!</v>
      </c>
      <c r="CV294" t="e">
        <f>AND('STERLING CATALOG - FZN &amp; CHILL'!D1155,"AAAAAH/f72M=")</f>
        <v>#VALUE!</v>
      </c>
      <c r="CW294" t="e">
        <f>AND('STERLING CATALOG - FZN &amp; CHILL'!E1155,"AAAAAH/f72Q=")</f>
        <v>#VALUE!</v>
      </c>
      <c r="CX294" t="e">
        <f>AND('STERLING CATALOG - FZN &amp; CHILL'!F1155,"AAAAAH/f72U=")</f>
        <v>#VALUE!</v>
      </c>
      <c r="CY294" t="e">
        <f>AND('STERLING CATALOG - FZN &amp; CHILL'!G1155,"AAAAAH/f72Y=")</f>
        <v>#VALUE!</v>
      </c>
      <c r="CZ294" t="e">
        <f>AND('STERLING CATALOG - FZN &amp; CHILL'!H1155,"AAAAAH/f72c=")</f>
        <v>#VALUE!</v>
      </c>
      <c r="DA294" t="e">
        <f>AND('STERLING CATALOG - FZN &amp; CHILL'!I1155,"AAAAAH/f72g=")</f>
        <v>#VALUE!</v>
      </c>
      <c r="DB294" t="e">
        <f>AND('STERLING CATALOG - FZN &amp; CHILL'!J1155,"AAAAAH/f72k=")</f>
        <v>#VALUE!</v>
      </c>
      <c r="DC294">
        <f>IF('STERLING CATALOG - FZN &amp; CHILL'!1156:1156,"AAAAAH/f72o=",0)</f>
        <v>0</v>
      </c>
      <c r="DD294" t="e">
        <f>AND('STERLING CATALOG - FZN &amp; CHILL'!A1156,"AAAAAH/f72s=")</f>
        <v>#VALUE!</v>
      </c>
      <c r="DE294" t="e">
        <f>AND('STERLING CATALOG - FZN &amp; CHILL'!B1156,"AAAAAH/f72w=")</f>
        <v>#VALUE!</v>
      </c>
      <c r="DF294" t="e">
        <f>AND('STERLING CATALOG - FZN &amp; CHILL'!C1156,"AAAAAH/f720=")</f>
        <v>#VALUE!</v>
      </c>
      <c r="DG294" t="e">
        <f>AND('STERLING CATALOG - FZN &amp; CHILL'!D1156,"AAAAAH/f724=")</f>
        <v>#VALUE!</v>
      </c>
      <c r="DH294" t="e">
        <f>AND('STERLING CATALOG - FZN &amp; CHILL'!E1156,"AAAAAH/f728=")</f>
        <v>#VALUE!</v>
      </c>
      <c r="DI294" t="e">
        <f>AND('STERLING CATALOG - FZN &amp; CHILL'!F1156,"AAAAAH/f73A=")</f>
        <v>#VALUE!</v>
      </c>
      <c r="DJ294" t="e">
        <f>AND('STERLING CATALOG - FZN &amp; CHILL'!G1156,"AAAAAH/f73E=")</f>
        <v>#VALUE!</v>
      </c>
      <c r="DK294" t="e">
        <f>AND('STERLING CATALOG - FZN &amp; CHILL'!H1156,"AAAAAH/f73I=")</f>
        <v>#VALUE!</v>
      </c>
      <c r="DL294" t="e">
        <f>AND('STERLING CATALOG - FZN &amp; CHILL'!I1156,"AAAAAH/f73M=")</f>
        <v>#VALUE!</v>
      </c>
      <c r="DM294" t="e">
        <f>AND('STERLING CATALOG - FZN &amp; CHILL'!J1156,"AAAAAH/f73Q=")</f>
        <v>#VALUE!</v>
      </c>
      <c r="DN294">
        <f>IF('STERLING CATALOG - FZN &amp; CHILL'!1157:1157,"AAAAAH/f73U=",0)</f>
        <v>0</v>
      </c>
      <c r="DO294" t="e">
        <f>AND('STERLING CATALOG - FZN &amp; CHILL'!A1157,"AAAAAH/f73Y=")</f>
        <v>#VALUE!</v>
      </c>
      <c r="DP294" t="e">
        <f>AND('STERLING CATALOG - FZN &amp; CHILL'!B1157,"AAAAAH/f73c=")</f>
        <v>#VALUE!</v>
      </c>
      <c r="DQ294" t="e">
        <f>AND('STERLING CATALOG - FZN &amp; CHILL'!C1157,"AAAAAH/f73g=")</f>
        <v>#VALUE!</v>
      </c>
      <c r="DR294" t="e">
        <f>AND('STERLING CATALOG - FZN &amp; CHILL'!D1157,"AAAAAH/f73k=")</f>
        <v>#VALUE!</v>
      </c>
      <c r="DS294" t="e">
        <f>AND('STERLING CATALOG - FZN &amp; CHILL'!E1157,"AAAAAH/f73o=")</f>
        <v>#VALUE!</v>
      </c>
      <c r="DT294" t="e">
        <f>AND('STERLING CATALOG - FZN &amp; CHILL'!F1157,"AAAAAH/f73s=")</f>
        <v>#VALUE!</v>
      </c>
      <c r="DU294" t="e">
        <f>AND('STERLING CATALOG - FZN &amp; CHILL'!G1157,"AAAAAH/f73w=")</f>
        <v>#VALUE!</v>
      </c>
      <c r="DV294" t="e">
        <f>AND('STERLING CATALOG - FZN &amp; CHILL'!H1157,"AAAAAH/f730=")</f>
        <v>#VALUE!</v>
      </c>
      <c r="DW294" t="e">
        <f>AND('STERLING CATALOG - FZN &amp; CHILL'!I1157,"AAAAAH/f734=")</f>
        <v>#VALUE!</v>
      </c>
      <c r="DX294" t="e">
        <f>AND('STERLING CATALOG - FZN &amp; CHILL'!J1157,"AAAAAH/f738=")</f>
        <v>#VALUE!</v>
      </c>
      <c r="DY294">
        <f>IF('STERLING CATALOG - FZN &amp; CHILL'!1158:1158,"AAAAAH/f74A=",0)</f>
        <v>0</v>
      </c>
      <c r="DZ294" t="e">
        <f>AND('STERLING CATALOG - FZN &amp; CHILL'!A1158,"AAAAAH/f74E=")</f>
        <v>#VALUE!</v>
      </c>
      <c r="EA294" t="e">
        <f>AND('STERLING CATALOG - FZN &amp; CHILL'!B1158,"AAAAAH/f74I=")</f>
        <v>#VALUE!</v>
      </c>
      <c r="EB294" t="e">
        <f>AND('STERLING CATALOG - FZN &amp; CHILL'!C1158,"AAAAAH/f74M=")</f>
        <v>#VALUE!</v>
      </c>
      <c r="EC294" t="e">
        <f>AND('STERLING CATALOG - FZN &amp; CHILL'!D1158,"AAAAAH/f74Q=")</f>
        <v>#VALUE!</v>
      </c>
      <c r="ED294" t="e">
        <f>AND('STERLING CATALOG - FZN &amp; CHILL'!E1158,"AAAAAH/f74U=")</f>
        <v>#VALUE!</v>
      </c>
      <c r="EE294" t="e">
        <f>AND('STERLING CATALOG - FZN &amp; CHILL'!F1158,"AAAAAH/f74Y=")</f>
        <v>#VALUE!</v>
      </c>
      <c r="EF294" t="e">
        <f>AND('STERLING CATALOG - FZN &amp; CHILL'!G1158,"AAAAAH/f74c=")</f>
        <v>#VALUE!</v>
      </c>
      <c r="EG294" t="e">
        <f>AND('STERLING CATALOG - FZN &amp; CHILL'!H1158,"AAAAAH/f74g=")</f>
        <v>#VALUE!</v>
      </c>
      <c r="EH294" t="e">
        <f>AND('STERLING CATALOG - FZN &amp; CHILL'!I1158,"AAAAAH/f74k=")</f>
        <v>#VALUE!</v>
      </c>
      <c r="EI294" t="e">
        <f>AND('STERLING CATALOG - FZN &amp; CHILL'!J1158,"AAAAAH/f74o=")</f>
        <v>#VALUE!</v>
      </c>
      <c r="EJ294">
        <f>IF('STERLING CATALOG - FZN &amp; CHILL'!1159:1159,"AAAAAH/f74s=",0)</f>
        <v>0</v>
      </c>
      <c r="EK294" t="e">
        <f>AND('STERLING CATALOG - FZN &amp; CHILL'!A1159,"AAAAAH/f74w=")</f>
        <v>#VALUE!</v>
      </c>
      <c r="EL294" t="e">
        <f>AND('STERLING CATALOG - FZN &amp; CHILL'!B1159,"AAAAAH/f740=")</f>
        <v>#VALUE!</v>
      </c>
      <c r="EM294" t="e">
        <f>AND('STERLING CATALOG - FZN &amp; CHILL'!C1159,"AAAAAH/f744=")</f>
        <v>#VALUE!</v>
      </c>
      <c r="EN294" t="e">
        <f>AND('STERLING CATALOG - FZN &amp; CHILL'!D1159,"AAAAAH/f748=")</f>
        <v>#VALUE!</v>
      </c>
      <c r="EO294" t="e">
        <f>AND('STERLING CATALOG - FZN &amp; CHILL'!E1159,"AAAAAH/f75A=")</f>
        <v>#VALUE!</v>
      </c>
      <c r="EP294" t="e">
        <f>AND('STERLING CATALOG - FZN &amp; CHILL'!F1159,"AAAAAH/f75E=")</f>
        <v>#VALUE!</v>
      </c>
      <c r="EQ294" t="e">
        <f>AND('STERLING CATALOG - FZN &amp; CHILL'!G1159,"AAAAAH/f75I=")</f>
        <v>#VALUE!</v>
      </c>
      <c r="ER294" t="e">
        <f>AND('STERLING CATALOG - FZN &amp; CHILL'!H1159,"AAAAAH/f75M=")</f>
        <v>#VALUE!</v>
      </c>
      <c r="ES294" t="e">
        <f>AND('STERLING CATALOG - FZN &amp; CHILL'!I1159,"AAAAAH/f75Q=")</f>
        <v>#VALUE!</v>
      </c>
      <c r="ET294" t="e">
        <f>AND('STERLING CATALOG - FZN &amp; CHILL'!J1159,"AAAAAH/f75U=")</f>
        <v>#VALUE!</v>
      </c>
      <c r="EU294">
        <f>IF('STERLING CATALOG - FZN &amp; CHILL'!1160:1160,"AAAAAH/f75Y=",0)</f>
        <v>0</v>
      </c>
      <c r="EV294" t="e">
        <f>AND('STERLING CATALOG - FZN &amp; CHILL'!A1160,"AAAAAH/f75c=")</f>
        <v>#VALUE!</v>
      </c>
      <c r="EW294" t="e">
        <f>AND('STERLING CATALOG - FZN &amp; CHILL'!B1160,"AAAAAH/f75g=")</f>
        <v>#VALUE!</v>
      </c>
      <c r="EX294" t="e">
        <f>AND('STERLING CATALOG - FZN &amp; CHILL'!C1160,"AAAAAH/f75k=")</f>
        <v>#VALUE!</v>
      </c>
      <c r="EY294" t="e">
        <f>AND('STERLING CATALOG - FZN &amp; CHILL'!D1160,"AAAAAH/f75o=")</f>
        <v>#VALUE!</v>
      </c>
      <c r="EZ294" t="e">
        <f>AND('STERLING CATALOG - FZN &amp; CHILL'!E1160,"AAAAAH/f75s=")</f>
        <v>#VALUE!</v>
      </c>
      <c r="FA294" t="e">
        <f>AND('STERLING CATALOG - FZN &amp; CHILL'!F1160,"AAAAAH/f75w=")</f>
        <v>#VALUE!</v>
      </c>
      <c r="FB294" t="e">
        <f>AND('STERLING CATALOG - FZN &amp; CHILL'!G1160,"AAAAAH/f750=")</f>
        <v>#VALUE!</v>
      </c>
      <c r="FC294" t="e">
        <f>AND('STERLING CATALOG - FZN &amp; CHILL'!H1160,"AAAAAH/f754=")</f>
        <v>#VALUE!</v>
      </c>
      <c r="FD294" t="e">
        <f>AND('STERLING CATALOG - FZN &amp; CHILL'!I1160,"AAAAAH/f758=")</f>
        <v>#VALUE!</v>
      </c>
      <c r="FE294" t="e">
        <f>AND('STERLING CATALOG - FZN &amp; CHILL'!J1160,"AAAAAH/f76A=")</f>
        <v>#VALUE!</v>
      </c>
      <c r="FF294">
        <f>IF('STERLING CATALOG - FZN &amp; CHILL'!1161:1161,"AAAAAH/f76E=",0)</f>
        <v>0</v>
      </c>
      <c r="FG294" t="e">
        <f>AND('STERLING CATALOG - FZN &amp; CHILL'!A1161,"AAAAAH/f76I=")</f>
        <v>#VALUE!</v>
      </c>
      <c r="FH294" t="e">
        <f>AND('STERLING CATALOG - FZN &amp; CHILL'!B1161,"AAAAAH/f76M=")</f>
        <v>#VALUE!</v>
      </c>
      <c r="FI294" t="e">
        <f>AND('STERLING CATALOG - FZN &amp; CHILL'!C1161,"AAAAAH/f76Q=")</f>
        <v>#VALUE!</v>
      </c>
      <c r="FJ294" t="e">
        <f>AND('STERLING CATALOG - FZN &amp; CHILL'!D1161,"AAAAAH/f76U=")</f>
        <v>#VALUE!</v>
      </c>
      <c r="FK294" t="e">
        <f>AND('STERLING CATALOG - FZN &amp; CHILL'!E1161,"AAAAAH/f76Y=")</f>
        <v>#VALUE!</v>
      </c>
      <c r="FL294" t="e">
        <f>AND('STERLING CATALOG - FZN &amp; CHILL'!F1161,"AAAAAH/f76c=")</f>
        <v>#VALUE!</v>
      </c>
      <c r="FM294" t="e">
        <f>AND('STERLING CATALOG - FZN &amp; CHILL'!G1161,"AAAAAH/f76g=")</f>
        <v>#VALUE!</v>
      </c>
      <c r="FN294" t="e">
        <f>AND('STERLING CATALOG - FZN &amp; CHILL'!H1161,"AAAAAH/f76k=")</f>
        <v>#VALUE!</v>
      </c>
      <c r="FO294" t="e">
        <f>AND('STERLING CATALOG - FZN &amp; CHILL'!I1161,"AAAAAH/f76o=")</f>
        <v>#VALUE!</v>
      </c>
      <c r="FP294" t="e">
        <f>AND('STERLING CATALOG - FZN &amp; CHILL'!J1161,"AAAAAH/f76s=")</f>
        <v>#VALUE!</v>
      </c>
      <c r="FQ294">
        <f>IF('STERLING CATALOG - FZN &amp; CHILL'!1162:1162,"AAAAAH/f76w=",0)</f>
        <v>0</v>
      </c>
      <c r="FR294" t="e">
        <f>AND('STERLING CATALOG - FZN &amp; CHILL'!A1162,"AAAAAH/f760=")</f>
        <v>#VALUE!</v>
      </c>
      <c r="FS294" t="e">
        <f>AND('STERLING CATALOG - FZN &amp; CHILL'!B1162,"AAAAAH/f764=")</f>
        <v>#VALUE!</v>
      </c>
      <c r="FT294" t="e">
        <f>AND('STERLING CATALOG - FZN &amp; CHILL'!C1162,"AAAAAH/f768=")</f>
        <v>#VALUE!</v>
      </c>
      <c r="FU294" t="e">
        <f>AND('STERLING CATALOG - FZN &amp; CHILL'!D1162,"AAAAAH/f77A=")</f>
        <v>#VALUE!</v>
      </c>
      <c r="FV294" t="e">
        <f>AND('STERLING CATALOG - FZN &amp; CHILL'!E1162,"AAAAAH/f77E=")</f>
        <v>#VALUE!</v>
      </c>
      <c r="FW294" t="e">
        <f>AND('STERLING CATALOG - FZN &amp; CHILL'!F1162,"AAAAAH/f77I=")</f>
        <v>#VALUE!</v>
      </c>
      <c r="FX294" t="e">
        <f>AND('STERLING CATALOG - FZN &amp; CHILL'!G1162,"AAAAAH/f77M=")</f>
        <v>#VALUE!</v>
      </c>
      <c r="FY294" t="e">
        <f>AND('STERLING CATALOG - FZN &amp; CHILL'!H1162,"AAAAAH/f77Q=")</f>
        <v>#VALUE!</v>
      </c>
      <c r="FZ294" t="e">
        <f>AND('STERLING CATALOG - FZN &amp; CHILL'!I1162,"AAAAAH/f77U=")</f>
        <v>#VALUE!</v>
      </c>
      <c r="GA294" t="e">
        <f>AND('STERLING CATALOG - FZN &amp; CHILL'!J1162,"AAAAAH/f77Y=")</f>
        <v>#VALUE!</v>
      </c>
      <c r="GB294">
        <f>IF('STERLING CATALOG - FZN &amp; CHILL'!1163:1163,"AAAAAH/f77c=",0)</f>
        <v>0</v>
      </c>
      <c r="GC294" t="e">
        <f>AND('STERLING CATALOG - FZN &amp; CHILL'!A1163,"AAAAAH/f77g=")</f>
        <v>#VALUE!</v>
      </c>
      <c r="GD294" t="e">
        <f>AND('STERLING CATALOG - FZN &amp; CHILL'!B1163,"AAAAAH/f77k=")</f>
        <v>#VALUE!</v>
      </c>
      <c r="GE294" t="e">
        <f>AND('STERLING CATALOG - FZN &amp; CHILL'!C1163,"AAAAAH/f77o=")</f>
        <v>#VALUE!</v>
      </c>
      <c r="GF294" t="e">
        <f>AND('STERLING CATALOG - FZN &amp; CHILL'!D1163,"AAAAAH/f77s=")</f>
        <v>#VALUE!</v>
      </c>
      <c r="GG294" t="e">
        <f>AND('STERLING CATALOG - FZN &amp; CHILL'!E1163,"AAAAAH/f77w=")</f>
        <v>#VALUE!</v>
      </c>
      <c r="GH294" t="e">
        <f>AND('STERLING CATALOG - FZN &amp; CHILL'!F1163,"AAAAAH/f770=")</f>
        <v>#VALUE!</v>
      </c>
      <c r="GI294" t="e">
        <f>AND('STERLING CATALOG - FZN &amp; CHILL'!G1163,"AAAAAH/f774=")</f>
        <v>#VALUE!</v>
      </c>
      <c r="GJ294" t="e">
        <f>AND('STERLING CATALOG - FZN &amp; CHILL'!H1163,"AAAAAH/f778=")</f>
        <v>#VALUE!</v>
      </c>
      <c r="GK294" t="e">
        <f>AND('STERLING CATALOG - FZN &amp; CHILL'!I1163,"AAAAAH/f78A=")</f>
        <v>#VALUE!</v>
      </c>
      <c r="GL294" t="e">
        <f>AND('STERLING CATALOG - FZN &amp; CHILL'!J1163,"AAAAAH/f78E=")</f>
        <v>#VALUE!</v>
      </c>
      <c r="GM294">
        <f>IF('STERLING CATALOG - FZN &amp; CHILL'!1164:1164,"AAAAAH/f78I=",0)</f>
        <v>0</v>
      </c>
      <c r="GN294" t="e">
        <f>AND('STERLING CATALOG - FZN &amp; CHILL'!A1164,"AAAAAH/f78M=")</f>
        <v>#VALUE!</v>
      </c>
      <c r="GO294" t="e">
        <f>AND('STERLING CATALOG - FZN &amp; CHILL'!B1164,"AAAAAH/f78Q=")</f>
        <v>#VALUE!</v>
      </c>
      <c r="GP294" t="e">
        <f>AND('STERLING CATALOG - FZN &amp; CHILL'!C1164,"AAAAAH/f78U=")</f>
        <v>#VALUE!</v>
      </c>
      <c r="GQ294" t="e">
        <f>AND('STERLING CATALOG - FZN &amp; CHILL'!D1164,"AAAAAH/f78Y=")</f>
        <v>#VALUE!</v>
      </c>
      <c r="GR294" t="e">
        <f>AND('STERLING CATALOG - FZN &amp; CHILL'!E1164,"AAAAAH/f78c=")</f>
        <v>#VALUE!</v>
      </c>
      <c r="GS294" t="e">
        <f>AND('STERLING CATALOG - FZN &amp; CHILL'!F1164,"AAAAAH/f78g=")</f>
        <v>#VALUE!</v>
      </c>
      <c r="GT294" t="e">
        <f>AND('STERLING CATALOG - FZN &amp; CHILL'!G1164,"AAAAAH/f78k=")</f>
        <v>#VALUE!</v>
      </c>
      <c r="GU294" t="e">
        <f>AND('STERLING CATALOG - FZN &amp; CHILL'!H1164,"AAAAAH/f78o=")</f>
        <v>#VALUE!</v>
      </c>
      <c r="GV294" t="e">
        <f>AND('STERLING CATALOG - FZN &amp; CHILL'!I1164,"AAAAAH/f78s=")</f>
        <v>#VALUE!</v>
      </c>
      <c r="GW294" t="e">
        <f>AND('STERLING CATALOG - FZN &amp; CHILL'!J1164,"AAAAAH/f78w=")</f>
        <v>#VALUE!</v>
      </c>
      <c r="GX294">
        <f>IF('STERLING CATALOG - FZN &amp; CHILL'!1165:1165,"AAAAAH/f780=",0)</f>
        <v>0</v>
      </c>
      <c r="GY294" t="e">
        <f>AND('STERLING CATALOG - FZN &amp; CHILL'!A1165,"AAAAAH/f784=")</f>
        <v>#VALUE!</v>
      </c>
      <c r="GZ294" t="e">
        <f>AND('STERLING CATALOG - FZN &amp; CHILL'!B1165,"AAAAAH/f788=")</f>
        <v>#VALUE!</v>
      </c>
      <c r="HA294" t="e">
        <f>AND('STERLING CATALOG - FZN &amp; CHILL'!C1165,"AAAAAH/f79A=")</f>
        <v>#VALUE!</v>
      </c>
      <c r="HB294" t="e">
        <f>AND('STERLING CATALOG - FZN &amp; CHILL'!D1165,"AAAAAH/f79E=")</f>
        <v>#VALUE!</v>
      </c>
      <c r="HC294" t="e">
        <f>AND('STERLING CATALOG - FZN &amp; CHILL'!E1165,"AAAAAH/f79I=")</f>
        <v>#VALUE!</v>
      </c>
      <c r="HD294" t="e">
        <f>AND('STERLING CATALOG - FZN &amp; CHILL'!F1165,"AAAAAH/f79M=")</f>
        <v>#VALUE!</v>
      </c>
      <c r="HE294" t="e">
        <f>AND('STERLING CATALOG - FZN &amp; CHILL'!G1165,"AAAAAH/f79Q=")</f>
        <v>#VALUE!</v>
      </c>
      <c r="HF294" t="e">
        <f>AND('STERLING CATALOG - FZN &amp; CHILL'!H1165,"AAAAAH/f79U=")</f>
        <v>#VALUE!</v>
      </c>
      <c r="HG294" t="e">
        <f>AND('STERLING CATALOG - FZN &amp; CHILL'!I1165,"AAAAAH/f79Y=")</f>
        <v>#VALUE!</v>
      </c>
      <c r="HH294" t="e">
        <f>AND('STERLING CATALOG - FZN &amp; CHILL'!J1165,"AAAAAH/f79c=")</f>
        <v>#VALUE!</v>
      </c>
      <c r="HI294">
        <f>IF('STERLING CATALOG - FZN &amp; CHILL'!1166:1166,"AAAAAH/f79g=",0)</f>
        <v>0</v>
      </c>
      <c r="HJ294" t="e">
        <f>AND('STERLING CATALOG - FZN &amp; CHILL'!A1166,"AAAAAH/f79k=")</f>
        <v>#VALUE!</v>
      </c>
      <c r="HK294" t="e">
        <f>AND('STERLING CATALOG - FZN &amp; CHILL'!B1166,"AAAAAH/f79o=")</f>
        <v>#VALUE!</v>
      </c>
      <c r="HL294" t="e">
        <f>AND('STERLING CATALOG - FZN &amp; CHILL'!C1166,"AAAAAH/f79s=")</f>
        <v>#VALUE!</v>
      </c>
      <c r="HM294" t="e">
        <f>AND('STERLING CATALOG - FZN &amp; CHILL'!D1166,"AAAAAH/f79w=")</f>
        <v>#VALUE!</v>
      </c>
      <c r="HN294" t="e">
        <f>AND('STERLING CATALOG - FZN &amp; CHILL'!E1166,"AAAAAH/f790=")</f>
        <v>#VALUE!</v>
      </c>
      <c r="HO294" t="e">
        <f>AND('STERLING CATALOG - FZN &amp; CHILL'!F1166,"AAAAAH/f794=")</f>
        <v>#VALUE!</v>
      </c>
      <c r="HP294" t="e">
        <f>AND('STERLING CATALOG - FZN &amp; CHILL'!G1166,"AAAAAH/f798=")</f>
        <v>#VALUE!</v>
      </c>
      <c r="HQ294" t="e">
        <f>AND('STERLING CATALOG - FZN &amp; CHILL'!H1166,"AAAAAH/f7+A=")</f>
        <v>#VALUE!</v>
      </c>
      <c r="HR294" t="e">
        <f>AND('STERLING CATALOG - FZN &amp; CHILL'!I1166,"AAAAAH/f7+E=")</f>
        <v>#VALUE!</v>
      </c>
      <c r="HS294" t="e">
        <f>AND('STERLING CATALOG - FZN &amp; CHILL'!J1166,"AAAAAH/f7+I=")</f>
        <v>#VALUE!</v>
      </c>
      <c r="HT294">
        <f>IF('STERLING CATALOG - FZN &amp; CHILL'!1167:1167,"AAAAAH/f7+M=",0)</f>
        <v>0</v>
      </c>
      <c r="HU294" t="e">
        <f>AND('STERLING CATALOG - FZN &amp; CHILL'!A1167,"AAAAAH/f7+Q=")</f>
        <v>#VALUE!</v>
      </c>
      <c r="HV294" t="e">
        <f>AND('STERLING CATALOG - FZN &amp; CHILL'!B1167,"AAAAAH/f7+U=")</f>
        <v>#VALUE!</v>
      </c>
      <c r="HW294" t="e">
        <f>AND('STERLING CATALOG - FZN &amp; CHILL'!C1167,"AAAAAH/f7+Y=")</f>
        <v>#VALUE!</v>
      </c>
      <c r="HX294" t="e">
        <f>AND('STERLING CATALOG - FZN &amp; CHILL'!D1167,"AAAAAH/f7+c=")</f>
        <v>#VALUE!</v>
      </c>
      <c r="HY294" t="e">
        <f>AND('STERLING CATALOG - FZN &amp; CHILL'!E1167,"AAAAAH/f7+g=")</f>
        <v>#VALUE!</v>
      </c>
      <c r="HZ294" t="e">
        <f>AND('STERLING CATALOG - FZN &amp; CHILL'!F1167,"AAAAAH/f7+k=")</f>
        <v>#VALUE!</v>
      </c>
      <c r="IA294" t="e">
        <f>AND('STERLING CATALOG - FZN &amp; CHILL'!G1167,"AAAAAH/f7+o=")</f>
        <v>#VALUE!</v>
      </c>
      <c r="IB294" t="e">
        <f>AND('STERLING CATALOG - FZN &amp; CHILL'!H1167,"AAAAAH/f7+s=")</f>
        <v>#VALUE!</v>
      </c>
      <c r="IC294" t="e">
        <f>AND('STERLING CATALOG - FZN &amp; CHILL'!I1167,"AAAAAH/f7+w=")</f>
        <v>#VALUE!</v>
      </c>
      <c r="ID294" t="e">
        <f>AND('STERLING CATALOG - FZN &amp; CHILL'!J1167,"AAAAAH/f7+0=")</f>
        <v>#VALUE!</v>
      </c>
      <c r="IE294">
        <f>IF('STERLING CATALOG - FZN &amp; CHILL'!1168:1168,"AAAAAH/f7+4=",0)</f>
        <v>0</v>
      </c>
      <c r="IF294" t="e">
        <f>AND('STERLING CATALOG - FZN &amp; CHILL'!A1168,"AAAAAH/f7+8=")</f>
        <v>#VALUE!</v>
      </c>
      <c r="IG294" t="e">
        <f>AND('STERLING CATALOG - FZN &amp; CHILL'!B1168,"AAAAAH/f7/A=")</f>
        <v>#VALUE!</v>
      </c>
      <c r="IH294" t="e">
        <f>AND('STERLING CATALOG - FZN &amp; CHILL'!C1168,"AAAAAH/f7/E=")</f>
        <v>#VALUE!</v>
      </c>
      <c r="II294" t="e">
        <f>AND('STERLING CATALOG - FZN &amp; CHILL'!D1168,"AAAAAH/f7/I=")</f>
        <v>#VALUE!</v>
      </c>
      <c r="IJ294" t="e">
        <f>AND('STERLING CATALOG - FZN &amp; CHILL'!E1168,"AAAAAH/f7/M=")</f>
        <v>#VALUE!</v>
      </c>
      <c r="IK294" t="e">
        <f>AND('STERLING CATALOG - FZN &amp; CHILL'!F1168,"AAAAAH/f7/Q=")</f>
        <v>#VALUE!</v>
      </c>
      <c r="IL294" t="e">
        <f>AND('STERLING CATALOG - FZN &amp; CHILL'!G1168,"AAAAAH/f7/U=")</f>
        <v>#VALUE!</v>
      </c>
      <c r="IM294" t="e">
        <f>AND('STERLING CATALOG - FZN &amp; CHILL'!H1168,"AAAAAH/f7/Y=")</f>
        <v>#VALUE!</v>
      </c>
      <c r="IN294" t="e">
        <f>AND('STERLING CATALOG - FZN &amp; CHILL'!I1168,"AAAAAH/f7/c=")</f>
        <v>#VALUE!</v>
      </c>
      <c r="IO294" t="e">
        <f>AND('STERLING CATALOG - FZN &amp; CHILL'!J1168,"AAAAAH/f7/g=")</f>
        <v>#VALUE!</v>
      </c>
      <c r="IP294">
        <f>IF('STERLING CATALOG - FZN &amp; CHILL'!1169:1169,"AAAAAH/f7/k=",0)</f>
        <v>0</v>
      </c>
      <c r="IQ294" t="e">
        <f>AND('STERLING CATALOG - FZN &amp; CHILL'!A1169,"AAAAAH/f7/o=")</f>
        <v>#VALUE!</v>
      </c>
      <c r="IR294" t="e">
        <f>AND('STERLING CATALOG - FZN &amp; CHILL'!B1169,"AAAAAH/f7/s=")</f>
        <v>#VALUE!</v>
      </c>
      <c r="IS294" t="e">
        <f>AND('STERLING CATALOG - FZN &amp; CHILL'!C1169,"AAAAAH/f7/w=")</f>
        <v>#VALUE!</v>
      </c>
      <c r="IT294" t="e">
        <f>AND('STERLING CATALOG - FZN &amp; CHILL'!D1169,"AAAAAH/f7/0=")</f>
        <v>#VALUE!</v>
      </c>
      <c r="IU294" t="e">
        <f>AND('STERLING CATALOG - FZN &amp; CHILL'!E1169,"AAAAAH/f7/4=")</f>
        <v>#VALUE!</v>
      </c>
      <c r="IV294" t="e">
        <f>AND('STERLING CATALOG - FZN &amp; CHILL'!F1169,"AAAAAH/f7/8=")</f>
        <v>#VALUE!</v>
      </c>
    </row>
    <row r="295" spans="1:256">
      <c r="A295" t="e">
        <f>AND('STERLING CATALOG - FZN &amp; CHILL'!G1169,"AAAAAH2x6gA=")</f>
        <v>#VALUE!</v>
      </c>
      <c r="B295" t="e">
        <f>AND('STERLING CATALOG - FZN &amp; CHILL'!H1169,"AAAAAH2x6gE=")</f>
        <v>#VALUE!</v>
      </c>
      <c r="C295" t="e">
        <f>AND('STERLING CATALOG - FZN &amp; CHILL'!I1169,"AAAAAH2x6gI=")</f>
        <v>#VALUE!</v>
      </c>
      <c r="D295" t="e">
        <f>AND('STERLING CATALOG - FZN &amp; CHILL'!J1169,"AAAAAH2x6gM=")</f>
        <v>#VALUE!</v>
      </c>
      <c r="E295" t="e">
        <f>IF('STERLING CATALOG - FZN &amp; CHILL'!1170:1170,"AAAAAH2x6gQ=",0)</f>
        <v>#VALUE!</v>
      </c>
      <c r="F295" t="e">
        <f>AND('STERLING CATALOG - FZN &amp; CHILL'!A1170,"AAAAAH2x6gU=")</f>
        <v>#VALUE!</v>
      </c>
      <c r="G295" t="e">
        <f>AND('STERLING CATALOG - FZN &amp; CHILL'!B1170,"AAAAAH2x6gY=")</f>
        <v>#VALUE!</v>
      </c>
      <c r="H295" t="e">
        <f>AND('STERLING CATALOG - FZN &amp; CHILL'!C1170,"AAAAAH2x6gc=")</f>
        <v>#VALUE!</v>
      </c>
      <c r="I295" t="e">
        <f>AND('STERLING CATALOG - FZN &amp; CHILL'!D1170,"AAAAAH2x6gg=")</f>
        <v>#VALUE!</v>
      </c>
      <c r="J295" t="e">
        <f>AND('STERLING CATALOG - FZN &amp; CHILL'!E1170,"AAAAAH2x6gk=")</f>
        <v>#VALUE!</v>
      </c>
      <c r="K295" t="e">
        <f>AND('STERLING CATALOG - FZN &amp; CHILL'!F1170,"AAAAAH2x6go=")</f>
        <v>#VALUE!</v>
      </c>
      <c r="L295" t="e">
        <f>AND('STERLING CATALOG - FZN &amp; CHILL'!G1170,"AAAAAH2x6gs=")</f>
        <v>#VALUE!</v>
      </c>
      <c r="M295" t="e">
        <f>AND('STERLING CATALOG - FZN &amp; CHILL'!H1170,"AAAAAH2x6gw=")</f>
        <v>#VALUE!</v>
      </c>
      <c r="N295" t="e">
        <f>AND('STERLING CATALOG - FZN &amp; CHILL'!I1170,"AAAAAH2x6g0=")</f>
        <v>#VALUE!</v>
      </c>
      <c r="O295" t="e">
        <f>AND('STERLING CATALOG - FZN &amp; CHILL'!J1170,"AAAAAH2x6g4=")</f>
        <v>#VALUE!</v>
      </c>
      <c r="P295">
        <f>IF('STERLING CATALOG - FZN &amp; CHILL'!1171:1171,"AAAAAH2x6g8=",0)</f>
        <v>0</v>
      </c>
      <c r="Q295" t="e">
        <f>AND('STERLING CATALOG - FZN &amp; CHILL'!A1171,"AAAAAH2x6hA=")</f>
        <v>#VALUE!</v>
      </c>
      <c r="R295" t="e">
        <f>AND('STERLING CATALOG - FZN &amp; CHILL'!B1171,"AAAAAH2x6hE=")</f>
        <v>#VALUE!</v>
      </c>
      <c r="S295" t="e">
        <f>AND('STERLING CATALOG - FZN &amp; CHILL'!C1171,"AAAAAH2x6hI=")</f>
        <v>#VALUE!</v>
      </c>
      <c r="T295" t="e">
        <f>AND('STERLING CATALOG - FZN &amp; CHILL'!D1171,"AAAAAH2x6hM=")</f>
        <v>#VALUE!</v>
      </c>
      <c r="U295" t="e">
        <f>AND('STERLING CATALOG - FZN &amp; CHILL'!E1171,"AAAAAH2x6hQ=")</f>
        <v>#VALUE!</v>
      </c>
      <c r="V295" t="e">
        <f>AND('STERLING CATALOG - FZN &amp; CHILL'!F1171,"AAAAAH2x6hU=")</f>
        <v>#VALUE!</v>
      </c>
      <c r="W295" t="e">
        <f>AND('STERLING CATALOG - FZN &amp; CHILL'!G1171,"AAAAAH2x6hY=")</f>
        <v>#VALUE!</v>
      </c>
      <c r="X295" t="e">
        <f>AND('STERLING CATALOG - FZN &amp; CHILL'!H1171,"AAAAAH2x6hc=")</f>
        <v>#VALUE!</v>
      </c>
      <c r="Y295" t="e">
        <f>AND('STERLING CATALOG - FZN &amp; CHILL'!I1171,"AAAAAH2x6hg=")</f>
        <v>#VALUE!</v>
      </c>
      <c r="Z295" t="e">
        <f>AND('STERLING CATALOG - FZN &amp; CHILL'!J1171,"AAAAAH2x6hk=")</f>
        <v>#VALUE!</v>
      </c>
      <c r="AA295">
        <f>IF('STERLING CATALOG - FZN &amp; CHILL'!1172:1172,"AAAAAH2x6ho=",0)</f>
        <v>0</v>
      </c>
      <c r="AB295" t="e">
        <f>AND('STERLING CATALOG - FZN &amp; CHILL'!A1172,"AAAAAH2x6hs=")</f>
        <v>#VALUE!</v>
      </c>
      <c r="AC295" t="e">
        <f>AND('STERLING CATALOG - FZN &amp; CHILL'!B1172,"AAAAAH2x6hw=")</f>
        <v>#VALUE!</v>
      </c>
      <c r="AD295" t="e">
        <f>AND('STERLING CATALOG - FZN &amp; CHILL'!C1172,"AAAAAH2x6h0=")</f>
        <v>#VALUE!</v>
      </c>
      <c r="AE295" t="e">
        <f>AND('STERLING CATALOG - FZN &amp; CHILL'!D1172,"AAAAAH2x6h4=")</f>
        <v>#VALUE!</v>
      </c>
      <c r="AF295" t="e">
        <f>AND('STERLING CATALOG - FZN &amp; CHILL'!E1172,"AAAAAH2x6h8=")</f>
        <v>#VALUE!</v>
      </c>
      <c r="AG295" t="e">
        <f>AND('STERLING CATALOG - FZN &amp; CHILL'!F1172,"AAAAAH2x6iA=")</f>
        <v>#VALUE!</v>
      </c>
      <c r="AH295" t="e">
        <f>AND('STERLING CATALOG - FZN &amp; CHILL'!G1172,"AAAAAH2x6iE=")</f>
        <v>#VALUE!</v>
      </c>
      <c r="AI295" t="e">
        <f>AND('STERLING CATALOG - FZN &amp; CHILL'!H1172,"AAAAAH2x6iI=")</f>
        <v>#VALUE!</v>
      </c>
      <c r="AJ295" t="e">
        <f>AND('STERLING CATALOG - FZN &amp; CHILL'!I1172,"AAAAAH2x6iM=")</f>
        <v>#VALUE!</v>
      </c>
      <c r="AK295" t="e">
        <f>AND('STERLING CATALOG - FZN &amp; CHILL'!J1172,"AAAAAH2x6iQ=")</f>
        <v>#VALUE!</v>
      </c>
      <c r="AL295">
        <f>IF('STERLING CATALOG - FZN &amp; CHILL'!1173:1173,"AAAAAH2x6iU=",0)</f>
        <v>0</v>
      </c>
      <c r="AM295" t="e">
        <f>AND('STERLING CATALOG - FZN &amp; CHILL'!A1173,"AAAAAH2x6iY=")</f>
        <v>#VALUE!</v>
      </c>
      <c r="AN295" t="e">
        <f>AND('STERLING CATALOG - FZN &amp; CHILL'!B1173,"AAAAAH2x6ic=")</f>
        <v>#VALUE!</v>
      </c>
      <c r="AO295" t="e">
        <f>AND('STERLING CATALOG - FZN &amp; CHILL'!C1173,"AAAAAH2x6ig=")</f>
        <v>#VALUE!</v>
      </c>
      <c r="AP295" t="e">
        <f>AND('STERLING CATALOG - FZN &amp; CHILL'!D1173,"AAAAAH2x6ik=")</f>
        <v>#VALUE!</v>
      </c>
      <c r="AQ295" t="e">
        <f>AND('STERLING CATALOG - FZN &amp; CHILL'!E1173,"AAAAAH2x6io=")</f>
        <v>#VALUE!</v>
      </c>
      <c r="AR295" t="e">
        <f>AND('STERLING CATALOG - FZN &amp; CHILL'!F1173,"AAAAAH2x6is=")</f>
        <v>#VALUE!</v>
      </c>
      <c r="AS295" t="e">
        <f>AND('STERLING CATALOG - FZN &amp; CHILL'!G1173,"AAAAAH2x6iw=")</f>
        <v>#VALUE!</v>
      </c>
      <c r="AT295" t="e">
        <f>AND('STERLING CATALOG - FZN &amp; CHILL'!H1173,"AAAAAH2x6i0=")</f>
        <v>#VALUE!</v>
      </c>
      <c r="AU295" t="e">
        <f>AND('STERLING CATALOG - FZN &amp; CHILL'!I1173,"AAAAAH2x6i4=")</f>
        <v>#VALUE!</v>
      </c>
      <c r="AV295" t="e">
        <f>AND('STERLING CATALOG - FZN &amp; CHILL'!J1173,"AAAAAH2x6i8=")</f>
        <v>#VALUE!</v>
      </c>
      <c r="AW295">
        <f>IF('STERLING CATALOG - FZN &amp; CHILL'!1174:1174,"AAAAAH2x6jA=",0)</f>
        <v>0</v>
      </c>
      <c r="AX295" t="e">
        <f>AND('STERLING CATALOG - FZN &amp; CHILL'!A1174,"AAAAAH2x6jE=")</f>
        <v>#VALUE!</v>
      </c>
      <c r="AY295" t="e">
        <f>AND('STERLING CATALOG - FZN &amp; CHILL'!B1174,"AAAAAH2x6jI=")</f>
        <v>#VALUE!</v>
      </c>
      <c r="AZ295" t="e">
        <f>AND('STERLING CATALOG - FZN &amp; CHILL'!C1174,"AAAAAH2x6jM=")</f>
        <v>#VALUE!</v>
      </c>
      <c r="BA295" t="e">
        <f>AND('STERLING CATALOG - FZN &amp; CHILL'!D1174,"AAAAAH2x6jQ=")</f>
        <v>#VALUE!</v>
      </c>
      <c r="BB295" t="e">
        <f>AND('STERLING CATALOG - FZN &amp; CHILL'!E1174,"AAAAAH2x6jU=")</f>
        <v>#VALUE!</v>
      </c>
      <c r="BC295" t="e">
        <f>AND('STERLING CATALOG - FZN &amp; CHILL'!F1174,"AAAAAH2x6jY=")</f>
        <v>#VALUE!</v>
      </c>
      <c r="BD295" t="e">
        <f>AND('STERLING CATALOG - FZN &amp; CHILL'!G1174,"AAAAAH2x6jc=")</f>
        <v>#VALUE!</v>
      </c>
      <c r="BE295" t="e">
        <f>AND('STERLING CATALOG - FZN &amp; CHILL'!H1174,"AAAAAH2x6jg=")</f>
        <v>#VALUE!</v>
      </c>
      <c r="BF295" t="e">
        <f>AND('STERLING CATALOG - FZN &amp; CHILL'!I1174,"AAAAAH2x6jk=")</f>
        <v>#VALUE!</v>
      </c>
      <c r="BG295" t="e">
        <f>AND('STERLING CATALOG - FZN &amp; CHILL'!J1174,"AAAAAH2x6jo=")</f>
        <v>#VALUE!</v>
      </c>
      <c r="BH295">
        <f>IF('STERLING CATALOG - FZN &amp; CHILL'!1175:1175,"AAAAAH2x6js=",0)</f>
        <v>0</v>
      </c>
      <c r="BI295" t="e">
        <f>AND('STERLING CATALOG - FZN &amp; CHILL'!A1175,"AAAAAH2x6jw=")</f>
        <v>#VALUE!</v>
      </c>
      <c r="BJ295" t="e">
        <f>AND('STERLING CATALOG - FZN &amp; CHILL'!B1175,"AAAAAH2x6j0=")</f>
        <v>#VALUE!</v>
      </c>
      <c r="BK295" t="e">
        <f>AND('STERLING CATALOG - FZN &amp; CHILL'!C1175,"AAAAAH2x6j4=")</f>
        <v>#VALUE!</v>
      </c>
      <c r="BL295" t="e">
        <f>AND('STERLING CATALOG - FZN &amp; CHILL'!D1175,"AAAAAH2x6j8=")</f>
        <v>#VALUE!</v>
      </c>
      <c r="BM295" t="e">
        <f>AND('STERLING CATALOG - FZN &amp; CHILL'!E1175,"AAAAAH2x6kA=")</f>
        <v>#VALUE!</v>
      </c>
      <c r="BN295" t="e">
        <f>AND('STERLING CATALOG - FZN &amp; CHILL'!F1175,"AAAAAH2x6kE=")</f>
        <v>#VALUE!</v>
      </c>
      <c r="BO295" t="e">
        <f>AND('STERLING CATALOG - FZN &amp; CHILL'!G1175,"AAAAAH2x6kI=")</f>
        <v>#VALUE!</v>
      </c>
      <c r="BP295" t="e">
        <f>AND('STERLING CATALOG - FZN &amp; CHILL'!H1175,"AAAAAH2x6kM=")</f>
        <v>#VALUE!</v>
      </c>
      <c r="BQ295" t="e">
        <f>AND('STERLING CATALOG - FZN &amp; CHILL'!I1175,"AAAAAH2x6kQ=")</f>
        <v>#VALUE!</v>
      </c>
      <c r="BR295" t="e">
        <f>AND('STERLING CATALOG - FZN &amp; CHILL'!J1175,"AAAAAH2x6kU=")</f>
        <v>#VALUE!</v>
      </c>
      <c r="BS295">
        <f>IF('STERLING CATALOG - FZN &amp; CHILL'!1176:1176,"AAAAAH2x6kY=",0)</f>
        <v>0</v>
      </c>
      <c r="BT295" t="e">
        <f>AND('STERLING CATALOG - FZN &amp; CHILL'!A1176,"AAAAAH2x6kc=")</f>
        <v>#VALUE!</v>
      </c>
      <c r="BU295" t="e">
        <f>AND('STERLING CATALOG - FZN &amp; CHILL'!B1176,"AAAAAH2x6kg=")</f>
        <v>#VALUE!</v>
      </c>
      <c r="BV295" t="e">
        <f>AND('STERLING CATALOG - FZN &amp; CHILL'!C1176,"AAAAAH2x6kk=")</f>
        <v>#VALUE!</v>
      </c>
      <c r="BW295" t="e">
        <f>AND('STERLING CATALOG - FZN &amp; CHILL'!D1176,"AAAAAH2x6ko=")</f>
        <v>#VALUE!</v>
      </c>
      <c r="BX295" t="e">
        <f>AND('STERLING CATALOG - FZN &amp; CHILL'!E1176,"AAAAAH2x6ks=")</f>
        <v>#VALUE!</v>
      </c>
      <c r="BY295" t="e">
        <f>AND('STERLING CATALOG - FZN &amp; CHILL'!F1176,"AAAAAH2x6kw=")</f>
        <v>#VALUE!</v>
      </c>
      <c r="BZ295" t="e">
        <f>AND('STERLING CATALOG - FZN &amp; CHILL'!G1176,"AAAAAH2x6k0=")</f>
        <v>#VALUE!</v>
      </c>
      <c r="CA295" t="e">
        <f>AND('STERLING CATALOG - FZN &amp; CHILL'!H1176,"AAAAAH2x6k4=")</f>
        <v>#VALUE!</v>
      </c>
      <c r="CB295" t="e">
        <f>AND('STERLING CATALOG - FZN &amp; CHILL'!I1176,"AAAAAH2x6k8=")</f>
        <v>#VALUE!</v>
      </c>
      <c r="CC295" t="e">
        <f>AND('STERLING CATALOG - FZN &amp; CHILL'!J1176,"AAAAAH2x6lA=")</f>
        <v>#VALUE!</v>
      </c>
      <c r="CD295">
        <f>IF('STERLING CATALOG - FZN &amp; CHILL'!1177:1177,"AAAAAH2x6lE=",0)</f>
        <v>0</v>
      </c>
      <c r="CE295" t="e">
        <f>AND('STERLING CATALOG - FZN &amp; CHILL'!A1177,"AAAAAH2x6lI=")</f>
        <v>#VALUE!</v>
      </c>
      <c r="CF295" t="e">
        <f>AND('STERLING CATALOG - FZN &amp; CHILL'!B1177,"AAAAAH2x6lM=")</f>
        <v>#VALUE!</v>
      </c>
      <c r="CG295" t="e">
        <f>AND('STERLING CATALOG - FZN &amp; CHILL'!C1177,"AAAAAH2x6lQ=")</f>
        <v>#VALUE!</v>
      </c>
      <c r="CH295" t="e">
        <f>AND('STERLING CATALOG - FZN &amp; CHILL'!D1177,"AAAAAH2x6lU=")</f>
        <v>#VALUE!</v>
      </c>
      <c r="CI295" t="e">
        <f>AND('STERLING CATALOG - FZN &amp; CHILL'!E1177,"AAAAAH2x6lY=")</f>
        <v>#VALUE!</v>
      </c>
      <c r="CJ295" t="e">
        <f>AND('STERLING CATALOG - FZN &amp; CHILL'!F1177,"AAAAAH2x6lc=")</f>
        <v>#VALUE!</v>
      </c>
      <c r="CK295" t="e">
        <f>AND('STERLING CATALOG - FZN &amp; CHILL'!G1177,"AAAAAH2x6lg=")</f>
        <v>#VALUE!</v>
      </c>
      <c r="CL295" t="e">
        <f>AND('STERLING CATALOG - FZN &amp; CHILL'!H1177,"AAAAAH2x6lk=")</f>
        <v>#VALUE!</v>
      </c>
      <c r="CM295" t="e">
        <f>AND('STERLING CATALOG - FZN &amp; CHILL'!I1177,"AAAAAH2x6lo=")</f>
        <v>#VALUE!</v>
      </c>
      <c r="CN295" t="e">
        <f>AND('STERLING CATALOG - FZN &amp; CHILL'!J1177,"AAAAAH2x6ls=")</f>
        <v>#VALUE!</v>
      </c>
      <c r="CO295">
        <f>IF('STERLING CATALOG - FZN &amp; CHILL'!1178:1178,"AAAAAH2x6lw=",0)</f>
        <v>0</v>
      </c>
      <c r="CP295" t="e">
        <f>AND('STERLING CATALOG - FZN &amp; CHILL'!A1178,"AAAAAH2x6l0=")</f>
        <v>#VALUE!</v>
      </c>
      <c r="CQ295" t="e">
        <f>AND('STERLING CATALOG - FZN &amp; CHILL'!B1178,"AAAAAH2x6l4=")</f>
        <v>#VALUE!</v>
      </c>
      <c r="CR295" t="e">
        <f>AND('STERLING CATALOG - FZN &amp; CHILL'!C1178,"AAAAAH2x6l8=")</f>
        <v>#VALUE!</v>
      </c>
      <c r="CS295" t="e">
        <f>AND('STERLING CATALOG - FZN &amp; CHILL'!D1178,"AAAAAH2x6mA=")</f>
        <v>#VALUE!</v>
      </c>
      <c r="CT295" t="e">
        <f>AND('STERLING CATALOG - FZN &amp; CHILL'!E1178,"AAAAAH2x6mE=")</f>
        <v>#VALUE!</v>
      </c>
      <c r="CU295" t="e">
        <f>AND('STERLING CATALOG - FZN &amp; CHILL'!F1178,"AAAAAH2x6mI=")</f>
        <v>#VALUE!</v>
      </c>
      <c r="CV295" t="e">
        <f>AND('STERLING CATALOG - FZN &amp; CHILL'!G1178,"AAAAAH2x6mM=")</f>
        <v>#VALUE!</v>
      </c>
      <c r="CW295" t="e">
        <f>AND('STERLING CATALOG - FZN &amp; CHILL'!H1178,"AAAAAH2x6mQ=")</f>
        <v>#VALUE!</v>
      </c>
      <c r="CX295" t="e">
        <f>AND('STERLING CATALOG - FZN &amp; CHILL'!I1178,"AAAAAH2x6mU=")</f>
        <v>#VALUE!</v>
      </c>
      <c r="CY295" t="e">
        <f>AND('STERLING CATALOG - FZN &amp; CHILL'!J1178,"AAAAAH2x6mY=")</f>
        <v>#VALUE!</v>
      </c>
      <c r="CZ295">
        <f>IF('STERLING CATALOG - FZN &amp; CHILL'!1179:1179,"AAAAAH2x6mc=",0)</f>
        <v>0</v>
      </c>
      <c r="DA295" t="e">
        <f>AND('STERLING CATALOG - FZN &amp; CHILL'!A1179,"AAAAAH2x6mg=")</f>
        <v>#VALUE!</v>
      </c>
      <c r="DB295" t="e">
        <f>AND('STERLING CATALOG - FZN &amp; CHILL'!B1179,"AAAAAH2x6mk=")</f>
        <v>#VALUE!</v>
      </c>
      <c r="DC295" t="e">
        <f>AND('STERLING CATALOG - FZN &amp; CHILL'!C1179,"AAAAAH2x6mo=")</f>
        <v>#VALUE!</v>
      </c>
      <c r="DD295" t="e">
        <f>AND('STERLING CATALOG - FZN &amp; CHILL'!D1179,"AAAAAH2x6ms=")</f>
        <v>#VALUE!</v>
      </c>
      <c r="DE295" t="e">
        <f>AND('STERLING CATALOG - FZN &amp; CHILL'!E1179,"AAAAAH2x6mw=")</f>
        <v>#VALUE!</v>
      </c>
      <c r="DF295" t="e">
        <f>AND('STERLING CATALOG - FZN &amp; CHILL'!F1179,"AAAAAH2x6m0=")</f>
        <v>#VALUE!</v>
      </c>
      <c r="DG295" t="e">
        <f>AND('STERLING CATALOG - FZN &amp; CHILL'!G1179,"AAAAAH2x6m4=")</f>
        <v>#VALUE!</v>
      </c>
      <c r="DH295" t="e">
        <f>AND('STERLING CATALOG - FZN &amp; CHILL'!H1179,"AAAAAH2x6m8=")</f>
        <v>#VALUE!</v>
      </c>
      <c r="DI295" t="e">
        <f>AND('STERLING CATALOG - FZN &amp; CHILL'!I1179,"AAAAAH2x6nA=")</f>
        <v>#VALUE!</v>
      </c>
      <c r="DJ295" t="e">
        <f>AND('STERLING CATALOG - FZN &amp; CHILL'!J1179,"AAAAAH2x6nE=")</f>
        <v>#VALUE!</v>
      </c>
      <c r="DK295">
        <f>IF('STERLING CATALOG - FZN &amp; CHILL'!1180:1180,"AAAAAH2x6nI=",0)</f>
        <v>0</v>
      </c>
      <c r="DL295" t="e">
        <f>AND('STERLING CATALOG - FZN &amp; CHILL'!A1180,"AAAAAH2x6nM=")</f>
        <v>#VALUE!</v>
      </c>
      <c r="DM295" t="e">
        <f>AND('STERLING CATALOG - FZN &amp; CHILL'!B1180,"AAAAAH2x6nQ=")</f>
        <v>#VALUE!</v>
      </c>
      <c r="DN295" t="e">
        <f>AND('STERLING CATALOG - FZN &amp; CHILL'!C1180,"AAAAAH2x6nU=")</f>
        <v>#VALUE!</v>
      </c>
      <c r="DO295" t="e">
        <f>AND('STERLING CATALOG - FZN &amp; CHILL'!D1180,"AAAAAH2x6nY=")</f>
        <v>#VALUE!</v>
      </c>
      <c r="DP295" t="e">
        <f>AND('STERLING CATALOG - FZN &amp; CHILL'!E1180,"AAAAAH2x6nc=")</f>
        <v>#VALUE!</v>
      </c>
      <c r="DQ295" t="e">
        <f>AND('STERLING CATALOG - FZN &amp; CHILL'!F1180,"AAAAAH2x6ng=")</f>
        <v>#VALUE!</v>
      </c>
      <c r="DR295" t="e">
        <f>AND('STERLING CATALOG - FZN &amp; CHILL'!G1180,"AAAAAH2x6nk=")</f>
        <v>#VALUE!</v>
      </c>
      <c r="DS295" t="e">
        <f>AND('STERLING CATALOG - FZN &amp; CHILL'!H1180,"AAAAAH2x6no=")</f>
        <v>#VALUE!</v>
      </c>
      <c r="DT295" t="e">
        <f>AND('STERLING CATALOG - FZN &amp; CHILL'!I1180,"AAAAAH2x6ns=")</f>
        <v>#VALUE!</v>
      </c>
      <c r="DU295" t="e">
        <f>AND('STERLING CATALOG - FZN &amp; CHILL'!J1180,"AAAAAH2x6nw=")</f>
        <v>#VALUE!</v>
      </c>
      <c r="DV295">
        <f>IF('STERLING CATALOG - FZN &amp; CHILL'!1181:1181,"AAAAAH2x6n0=",0)</f>
        <v>0</v>
      </c>
      <c r="DW295" t="e">
        <f>AND('STERLING CATALOG - FZN &amp; CHILL'!A1181,"AAAAAH2x6n4=")</f>
        <v>#VALUE!</v>
      </c>
      <c r="DX295" t="e">
        <f>AND('STERLING CATALOG - FZN &amp; CHILL'!B1181,"AAAAAH2x6n8=")</f>
        <v>#VALUE!</v>
      </c>
      <c r="DY295" t="e">
        <f>AND('STERLING CATALOG - FZN &amp; CHILL'!C1181,"AAAAAH2x6oA=")</f>
        <v>#VALUE!</v>
      </c>
      <c r="DZ295" t="e">
        <f>AND('STERLING CATALOG - FZN &amp; CHILL'!D1181,"AAAAAH2x6oE=")</f>
        <v>#VALUE!</v>
      </c>
      <c r="EA295" t="e">
        <f>AND('STERLING CATALOG - FZN &amp; CHILL'!E1181,"AAAAAH2x6oI=")</f>
        <v>#VALUE!</v>
      </c>
      <c r="EB295" t="e">
        <f>AND('STERLING CATALOG - FZN &amp; CHILL'!F1181,"AAAAAH2x6oM=")</f>
        <v>#VALUE!</v>
      </c>
      <c r="EC295" t="e">
        <f>AND('STERLING CATALOG - FZN &amp; CHILL'!G1181,"AAAAAH2x6oQ=")</f>
        <v>#VALUE!</v>
      </c>
      <c r="ED295" t="e">
        <f>AND('STERLING CATALOG - FZN &amp; CHILL'!H1181,"AAAAAH2x6oU=")</f>
        <v>#VALUE!</v>
      </c>
      <c r="EE295" t="e">
        <f>AND('STERLING CATALOG - FZN &amp; CHILL'!I1181,"AAAAAH2x6oY=")</f>
        <v>#VALUE!</v>
      </c>
      <c r="EF295" t="e">
        <f>AND('STERLING CATALOG - FZN &amp; CHILL'!J1181,"AAAAAH2x6oc=")</f>
        <v>#VALUE!</v>
      </c>
      <c r="EG295">
        <f>IF('STERLING CATALOG - FZN &amp; CHILL'!1182:1182,"AAAAAH2x6og=",0)</f>
        <v>0</v>
      </c>
      <c r="EH295" t="e">
        <f>AND('STERLING CATALOG - FZN &amp; CHILL'!A1182,"AAAAAH2x6ok=")</f>
        <v>#VALUE!</v>
      </c>
      <c r="EI295" t="e">
        <f>AND('STERLING CATALOG - FZN &amp; CHILL'!B1182,"AAAAAH2x6oo=")</f>
        <v>#VALUE!</v>
      </c>
      <c r="EJ295" t="e">
        <f>AND('STERLING CATALOG - FZN &amp; CHILL'!C1182,"AAAAAH2x6os=")</f>
        <v>#VALUE!</v>
      </c>
      <c r="EK295" t="e">
        <f>AND('STERLING CATALOG - FZN &amp; CHILL'!D1182,"AAAAAH2x6ow=")</f>
        <v>#VALUE!</v>
      </c>
      <c r="EL295" t="e">
        <f>AND('STERLING CATALOG - FZN &amp; CHILL'!E1182,"AAAAAH2x6o0=")</f>
        <v>#VALUE!</v>
      </c>
      <c r="EM295" t="e">
        <f>AND('STERLING CATALOG - FZN &amp; CHILL'!F1182,"AAAAAH2x6o4=")</f>
        <v>#VALUE!</v>
      </c>
      <c r="EN295" t="e">
        <f>AND('STERLING CATALOG - FZN &amp; CHILL'!G1182,"AAAAAH2x6o8=")</f>
        <v>#VALUE!</v>
      </c>
      <c r="EO295" t="e">
        <f>AND('STERLING CATALOG - FZN &amp; CHILL'!H1182,"AAAAAH2x6pA=")</f>
        <v>#VALUE!</v>
      </c>
      <c r="EP295" t="e">
        <f>AND('STERLING CATALOG - FZN &amp; CHILL'!I1182,"AAAAAH2x6pE=")</f>
        <v>#VALUE!</v>
      </c>
      <c r="EQ295" t="e">
        <f>AND('STERLING CATALOG - FZN &amp; CHILL'!J1182,"AAAAAH2x6pI=")</f>
        <v>#VALUE!</v>
      </c>
      <c r="ER295">
        <f>IF('STERLING CATALOG - FZN &amp; CHILL'!1183:1183,"AAAAAH2x6pM=",0)</f>
        <v>0</v>
      </c>
      <c r="ES295" t="e">
        <f>AND('STERLING CATALOG - FZN &amp; CHILL'!A1183,"AAAAAH2x6pQ=")</f>
        <v>#VALUE!</v>
      </c>
      <c r="ET295" t="e">
        <f>AND('STERLING CATALOG - FZN &amp; CHILL'!B1183,"AAAAAH2x6pU=")</f>
        <v>#VALUE!</v>
      </c>
      <c r="EU295" t="e">
        <f>AND('STERLING CATALOG - FZN &amp; CHILL'!C1183,"AAAAAH2x6pY=")</f>
        <v>#VALUE!</v>
      </c>
      <c r="EV295" t="e">
        <f>AND('STERLING CATALOG - FZN &amp; CHILL'!D1183,"AAAAAH2x6pc=")</f>
        <v>#VALUE!</v>
      </c>
      <c r="EW295" t="e">
        <f>AND('STERLING CATALOG - FZN &amp; CHILL'!E1183,"AAAAAH2x6pg=")</f>
        <v>#VALUE!</v>
      </c>
      <c r="EX295" t="e">
        <f>AND('STERLING CATALOG - FZN &amp; CHILL'!F1183,"AAAAAH2x6pk=")</f>
        <v>#VALUE!</v>
      </c>
      <c r="EY295" t="e">
        <f>AND('STERLING CATALOG - FZN &amp; CHILL'!G1183,"AAAAAH2x6po=")</f>
        <v>#VALUE!</v>
      </c>
      <c r="EZ295" t="e">
        <f>AND('STERLING CATALOG - FZN &amp; CHILL'!H1183,"AAAAAH2x6ps=")</f>
        <v>#VALUE!</v>
      </c>
      <c r="FA295" t="e">
        <f>AND('STERLING CATALOG - FZN &amp; CHILL'!I1183,"AAAAAH2x6pw=")</f>
        <v>#VALUE!</v>
      </c>
      <c r="FB295" t="e">
        <f>AND('STERLING CATALOG - FZN &amp; CHILL'!J1183,"AAAAAH2x6p0=")</f>
        <v>#VALUE!</v>
      </c>
      <c r="FC295">
        <f>IF('STERLING CATALOG - FZN &amp; CHILL'!1184:1184,"AAAAAH2x6p4=",0)</f>
        <v>0</v>
      </c>
      <c r="FD295" t="e">
        <f>AND('STERLING CATALOG - FZN &amp; CHILL'!A1184,"AAAAAH2x6p8=")</f>
        <v>#VALUE!</v>
      </c>
      <c r="FE295" t="e">
        <f>AND('STERLING CATALOG - FZN &amp; CHILL'!B1184,"AAAAAH2x6qA=")</f>
        <v>#VALUE!</v>
      </c>
      <c r="FF295" t="e">
        <f>AND('STERLING CATALOG - FZN &amp; CHILL'!C1184,"AAAAAH2x6qE=")</f>
        <v>#VALUE!</v>
      </c>
      <c r="FG295" t="e">
        <f>AND('STERLING CATALOG - FZN &amp; CHILL'!D1184,"AAAAAH2x6qI=")</f>
        <v>#VALUE!</v>
      </c>
      <c r="FH295" t="e">
        <f>AND('STERLING CATALOG - FZN &amp; CHILL'!E1184,"AAAAAH2x6qM=")</f>
        <v>#VALUE!</v>
      </c>
      <c r="FI295" t="e">
        <f>AND('STERLING CATALOG - FZN &amp; CHILL'!F1184,"AAAAAH2x6qQ=")</f>
        <v>#VALUE!</v>
      </c>
      <c r="FJ295" t="e">
        <f>AND('STERLING CATALOG - FZN &amp; CHILL'!G1184,"AAAAAH2x6qU=")</f>
        <v>#VALUE!</v>
      </c>
      <c r="FK295" t="e">
        <f>AND('STERLING CATALOG - FZN &amp; CHILL'!H1184,"AAAAAH2x6qY=")</f>
        <v>#VALUE!</v>
      </c>
      <c r="FL295" t="e">
        <f>AND('STERLING CATALOG - FZN &amp; CHILL'!I1184,"AAAAAH2x6qc=")</f>
        <v>#VALUE!</v>
      </c>
      <c r="FM295" t="e">
        <f>AND('STERLING CATALOG - FZN &amp; CHILL'!J1184,"AAAAAH2x6qg=")</f>
        <v>#VALUE!</v>
      </c>
      <c r="FN295">
        <f>IF('STERLING CATALOG - FZN &amp; CHILL'!1185:1185,"AAAAAH2x6qk=",0)</f>
        <v>0</v>
      </c>
      <c r="FO295" t="e">
        <f>AND('STERLING CATALOG - FZN &amp; CHILL'!A1185,"AAAAAH2x6qo=")</f>
        <v>#VALUE!</v>
      </c>
      <c r="FP295" t="e">
        <f>AND('STERLING CATALOG - FZN &amp; CHILL'!B1185,"AAAAAH2x6qs=")</f>
        <v>#VALUE!</v>
      </c>
      <c r="FQ295" t="e">
        <f>AND('STERLING CATALOG - FZN &amp; CHILL'!C1185,"AAAAAH2x6qw=")</f>
        <v>#VALUE!</v>
      </c>
      <c r="FR295" t="e">
        <f>AND('STERLING CATALOG - FZN &amp; CHILL'!D1185,"AAAAAH2x6q0=")</f>
        <v>#VALUE!</v>
      </c>
      <c r="FS295" t="e">
        <f>AND('STERLING CATALOG - FZN &amp; CHILL'!E1185,"AAAAAH2x6q4=")</f>
        <v>#VALUE!</v>
      </c>
      <c r="FT295" t="e">
        <f>AND('STERLING CATALOG - FZN &amp; CHILL'!F1185,"AAAAAH2x6q8=")</f>
        <v>#VALUE!</v>
      </c>
      <c r="FU295" t="e">
        <f>AND('STERLING CATALOG - FZN &amp; CHILL'!G1185,"AAAAAH2x6rA=")</f>
        <v>#VALUE!</v>
      </c>
      <c r="FV295" t="e">
        <f>AND('STERLING CATALOG - FZN &amp; CHILL'!H1185,"AAAAAH2x6rE=")</f>
        <v>#VALUE!</v>
      </c>
      <c r="FW295" t="e">
        <f>AND('STERLING CATALOG - FZN &amp; CHILL'!I1185,"AAAAAH2x6rI=")</f>
        <v>#VALUE!</v>
      </c>
      <c r="FX295" t="e">
        <f>AND('STERLING CATALOG - FZN &amp; CHILL'!J1185,"AAAAAH2x6rM=")</f>
        <v>#VALUE!</v>
      </c>
      <c r="FY295">
        <f>IF('STERLING CATALOG - FZN &amp; CHILL'!1186:1186,"AAAAAH2x6rQ=",0)</f>
        <v>0</v>
      </c>
      <c r="FZ295" t="e">
        <f>AND('STERLING CATALOG - FZN &amp; CHILL'!A1186,"AAAAAH2x6rU=")</f>
        <v>#VALUE!</v>
      </c>
      <c r="GA295" t="e">
        <f>AND('STERLING CATALOG - FZN &amp; CHILL'!B1186,"AAAAAH2x6rY=")</f>
        <v>#VALUE!</v>
      </c>
      <c r="GB295" t="e">
        <f>AND('STERLING CATALOG - FZN &amp; CHILL'!C1186,"AAAAAH2x6rc=")</f>
        <v>#VALUE!</v>
      </c>
      <c r="GC295" t="e">
        <f>AND('STERLING CATALOG - FZN &amp; CHILL'!D1186,"AAAAAH2x6rg=")</f>
        <v>#VALUE!</v>
      </c>
      <c r="GD295" t="e">
        <f>AND('STERLING CATALOG - FZN &amp; CHILL'!E1186,"AAAAAH2x6rk=")</f>
        <v>#VALUE!</v>
      </c>
      <c r="GE295" t="e">
        <f>AND('STERLING CATALOG - FZN &amp; CHILL'!F1186,"AAAAAH2x6ro=")</f>
        <v>#VALUE!</v>
      </c>
      <c r="GF295" t="e">
        <f>AND('STERLING CATALOG - FZN &amp; CHILL'!G1186,"AAAAAH2x6rs=")</f>
        <v>#VALUE!</v>
      </c>
      <c r="GG295" t="e">
        <f>AND('STERLING CATALOG - FZN &amp; CHILL'!H1186,"AAAAAH2x6rw=")</f>
        <v>#VALUE!</v>
      </c>
      <c r="GH295" t="e">
        <f>AND('STERLING CATALOG - FZN &amp; CHILL'!I1186,"AAAAAH2x6r0=")</f>
        <v>#VALUE!</v>
      </c>
      <c r="GI295" t="e">
        <f>AND('STERLING CATALOG - FZN &amp; CHILL'!J1186,"AAAAAH2x6r4=")</f>
        <v>#VALUE!</v>
      </c>
      <c r="GJ295">
        <f>IF('STERLING CATALOG - FZN &amp; CHILL'!1187:1187,"AAAAAH2x6r8=",0)</f>
        <v>0</v>
      </c>
      <c r="GK295" t="e">
        <f>AND('STERLING CATALOG - FZN &amp; CHILL'!A1187,"AAAAAH2x6sA=")</f>
        <v>#VALUE!</v>
      </c>
      <c r="GL295" t="e">
        <f>AND('STERLING CATALOG - FZN &amp; CHILL'!B1187,"AAAAAH2x6sE=")</f>
        <v>#VALUE!</v>
      </c>
      <c r="GM295" t="e">
        <f>AND('STERLING CATALOG - FZN &amp; CHILL'!C1187,"AAAAAH2x6sI=")</f>
        <v>#VALUE!</v>
      </c>
      <c r="GN295" t="e">
        <f>AND('STERLING CATALOG - FZN &amp; CHILL'!D1187,"AAAAAH2x6sM=")</f>
        <v>#VALUE!</v>
      </c>
      <c r="GO295" t="e">
        <f>AND('STERLING CATALOG - FZN &amp; CHILL'!E1187,"AAAAAH2x6sQ=")</f>
        <v>#VALUE!</v>
      </c>
      <c r="GP295" t="e">
        <f>AND('STERLING CATALOG - FZN &amp; CHILL'!F1187,"AAAAAH2x6sU=")</f>
        <v>#VALUE!</v>
      </c>
      <c r="GQ295" t="e">
        <f>AND('STERLING CATALOG - FZN &amp; CHILL'!G1187,"AAAAAH2x6sY=")</f>
        <v>#VALUE!</v>
      </c>
      <c r="GR295" t="e">
        <f>AND('STERLING CATALOG - FZN &amp; CHILL'!H1187,"AAAAAH2x6sc=")</f>
        <v>#VALUE!</v>
      </c>
      <c r="GS295" t="e">
        <f>AND('STERLING CATALOG - FZN &amp; CHILL'!I1187,"AAAAAH2x6sg=")</f>
        <v>#VALUE!</v>
      </c>
      <c r="GT295" t="e">
        <f>AND('STERLING CATALOG - FZN &amp; CHILL'!J1187,"AAAAAH2x6sk=")</f>
        <v>#VALUE!</v>
      </c>
      <c r="GU295">
        <f>IF('STERLING CATALOG - FZN &amp; CHILL'!1188:1188,"AAAAAH2x6so=",0)</f>
        <v>0</v>
      </c>
      <c r="GV295" t="e">
        <f>AND('STERLING CATALOG - FZN &amp; CHILL'!A1188,"AAAAAH2x6ss=")</f>
        <v>#VALUE!</v>
      </c>
      <c r="GW295" t="e">
        <f>AND('STERLING CATALOG - FZN &amp; CHILL'!B1188,"AAAAAH2x6sw=")</f>
        <v>#VALUE!</v>
      </c>
      <c r="GX295" t="e">
        <f>AND('STERLING CATALOG - FZN &amp; CHILL'!C1188,"AAAAAH2x6s0=")</f>
        <v>#VALUE!</v>
      </c>
      <c r="GY295" t="e">
        <f>AND('STERLING CATALOG - FZN &amp; CHILL'!D1188,"AAAAAH2x6s4=")</f>
        <v>#VALUE!</v>
      </c>
      <c r="GZ295" t="e">
        <f>AND('STERLING CATALOG - FZN &amp; CHILL'!E1188,"AAAAAH2x6s8=")</f>
        <v>#VALUE!</v>
      </c>
      <c r="HA295" t="e">
        <f>AND('STERLING CATALOG - FZN &amp; CHILL'!F1188,"AAAAAH2x6tA=")</f>
        <v>#VALUE!</v>
      </c>
      <c r="HB295" t="e">
        <f>AND('STERLING CATALOG - FZN &amp; CHILL'!G1188,"AAAAAH2x6tE=")</f>
        <v>#VALUE!</v>
      </c>
      <c r="HC295" t="e">
        <f>AND('STERLING CATALOG - FZN &amp; CHILL'!H1188,"AAAAAH2x6tI=")</f>
        <v>#VALUE!</v>
      </c>
      <c r="HD295" t="e">
        <f>AND('STERLING CATALOG - FZN &amp; CHILL'!I1188,"AAAAAH2x6tM=")</f>
        <v>#VALUE!</v>
      </c>
      <c r="HE295" t="e">
        <f>AND('STERLING CATALOG - FZN &amp; CHILL'!J1188,"AAAAAH2x6tQ=")</f>
        <v>#VALUE!</v>
      </c>
      <c r="HF295">
        <f>IF('STERLING CATALOG - FZN &amp; CHILL'!1189:1189,"AAAAAH2x6tU=",0)</f>
        <v>0</v>
      </c>
      <c r="HG295" t="e">
        <f>AND('STERLING CATALOG - FZN &amp; CHILL'!A1189,"AAAAAH2x6tY=")</f>
        <v>#VALUE!</v>
      </c>
      <c r="HH295" t="e">
        <f>AND('STERLING CATALOG - FZN &amp; CHILL'!B1189,"AAAAAH2x6tc=")</f>
        <v>#VALUE!</v>
      </c>
      <c r="HI295" t="e">
        <f>AND('STERLING CATALOG - FZN &amp; CHILL'!C1189,"AAAAAH2x6tg=")</f>
        <v>#VALUE!</v>
      </c>
      <c r="HJ295" t="e">
        <f>AND('STERLING CATALOG - FZN &amp; CHILL'!D1189,"AAAAAH2x6tk=")</f>
        <v>#VALUE!</v>
      </c>
      <c r="HK295" t="e">
        <f>AND('STERLING CATALOG - FZN &amp; CHILL'!E1189,"AAAAAH2x6to=")</f>
        <v>#VALUE!</v>
      </c>
      <c r="HL295" t="e">
        <f>AND('STERLING CATALOG - FZN &amp; CHILL'!F1189,"AAAAAH2x6ts=")</f>
        <v>#VALUE!</v>
      </c>
      <c r="HM295" t="e">
        <f>AND('STERLING CATALOG - FZN &amp; CHILL'!G1189,"AAAAAH2x6tw=")</f>
        <v>#VALUE!</v>
      </c>
      <c r="HN295" t="e">
        <f>AND('STERLING CATALOG - FZN &amp; CHILL'!H1189,"AAAAAH2x6t0=")</f>
        <v>#VALUE!</v>
      </c>
      <c r="HO295" t="e">
        <f>AND('STERLING CATALOG - FZN &amp; CHILL'!I1189,"AAAAAH2x6t4=")</f>
        <v>#VALUE!</v>
      </c>
      <c r="HP295" t="e">
        <f>AND('STERLING CATALOG - FZN &amp; CHILL'!J1189,"AAAAAH2x6t8=")</f>
        <v>#VALUE!</v>
      </c>
      <c r="HQ295">
        <f>IF('STERLING CATALOG - FZN &amp; CHILL'!1190:1190,"AAAAAH2x6uA=",0)</f>
        <v>0</v>
      </c>
      <c r="HR295" t="e">
        <f>AND('STERLING CATALOG - FZN &amp; CHILL'!A1190,"AAAAAH2x6uE=")</f>
        <v>#VALUE!</v>
      </c>
      <c r="HS295" t="e">
        <f>AND('STERLING CATALOG - FZN &amp; CHILL'!B1190,"AAAAAH2x6uI=")</f>
        <v>#VALUE!</v>
      </c>
      <c r="HT295" t="e">
        <f>AND('STERLING CATALOG - FZN &amp; CHILL'!C1190,"AAAAAH2x6uM=")</f>
        <v>#VALUE!</v>
      </c>
      <c r="HU295" t="e">
        <f>AND('STERLING CATALOG - FZN &amp; CHILL'!D1190,"AAAAAH2x6uQ=")</f>
        <v>#VALUE!</v>
      </c>
      <c r="HV295" t="e">
        <f>AND('STERLING CATALOG - FZN &amp; CHILL'!E1190,"AAAAAH2x6uU=")</f>
        <v>#VALUE!</v>
      </c>
      <c r="HW295" t="e">
        <f>AND('STERLING CATALOG - FZN &amp; CHILL'!F1190,"AAAAAH2x6uY=")</f>
        <v>#VALUE!</v>
      </c>
      <c r="HX295" t="e">
        <f>AND('STERLING CATALOG - FZN &amp; CHILL'!G1190,"AAAAAH2x6uc=")</f>
        <v>#VALUE!</v>
      </c>
      <c r="HY295" t="e">
        <f>AND('STERLING CATALOG - FZN &amp; CHILL'!H1190,"AAAAAH2x6ug=")</f>
        <v>#VALUE!</v>
      </c>
      <c r="HZ295" t="e">
        <f>AND('STERLING CATALOG - FZN &amp; CHILL'!I1190,"AAAAAH2x6uk=")</f>
        <v>#VALUE!</v>
      </c>
      <c r="IA295" t="e">
        <f>AND('STERLING CATALOG - FZN &amp; CHILL'!J1190,"AAAAAH2x6uo=")</f>
        <v>#VALUE!</v>
      </c>
      <c r="IB295">
        <f>IF('STERLING CATALOG - FZN &amp; CHILL'!1191:1191,"AAAAAH2x6us=",0)</f>
        <v>0</v>
      </c>
      <c r="IC295" t="e">
        <f>AND('STERLING CATALOG - FZN &amp; CHILL'!A1191,"AAAAAH2x6uw=")</f>
        <v>#VALUE!</v>
      </c>
      <c r="ID295" t="e">
        <f>AND('STERLING CATALOG - FZN &amp; CHILL'!B1191,"AAAAAH2x6u0=")</f>
        <v>#VALUE!</v>
      </c>
      <c r="IE295" t="e">
        <f>AND('STERLING CATALOG - FZN &amp; CHILL'!C1191,"AAAAAH2x6u4=")</f>
        <v>#VALUE!</v>
      </c>
      <c r="IF295" t="e">
        <f>AND('STERLING CATALOG - FZN &amp; CHILL'!D1191,"AAAAAH2x6u8=")</f>
        <v>#VALUE!</v>
      </c>
      <c r="IG295" t="e">
        <f>AND('STERLING CATALOG - FZN &amp; CHILL'!E1191,"AAAAAH2x6vA=")</f>
        <v>#VALUE!</v>
      </c>
      <c r="IH295" t="e">
        <f>AND('STERLING CATALOG - FZN &amp; CHILL'!F1191,"AAAAAH2x6vE=")</f>
        <v>#VALUE!</v>
      </c>
      <c r="II295" t="e">
        <f>AND('STERLING CATALOG - FZN &amp; CHILL'!G1191,"AAAAAH2x6vI=")</f>
        <v>#VALUE!</v>
      </c>
      <c r="IJ295" t="e">
        <f>AND('STERLING CATALOG - FZN &amp; CHILL'!H1191,"AAAAAH2x6vM=")</f>
        <v>#VALUE!</v>
      </c>
      <c r="IK295" t="e">
        <f>AND('STERLING CATALOG - FZN &amp; CHILL'!I1191,"AAAAAH2x6vQ=")</f>
        <v>#VALUE!</v>
      </c>
      <c r="IL295" t="e">
        <f>AND('STERLING CATALOG - FZN &amp; CHILL'!J1191,"AAAAAH2x6vU=")</f>
        <v>#VALUE!</v>
      </c>
      <c r="IM295">
        <f>IF('STERLING CATALOG - FZN &amp; CHILL'!1192:1192,"AAAAAH2x6vY=",0)</f>
        <v>0</v>
      </c>
      <c r="IN295" t="e">
        <f>AND('STERLING CATALOG - FZN &amp; CHILL'!A1192,"AAAAAH2x6vc=")</f>
        <v>#VALUE!</v>
      </c>
      <c r="IO295" t="e">
        <f>AND('STERLING CATALOG - FZN &amp; CHILL'!B1192,"AAAAAH2x6vg=")</f>
        <v>#VALUE!</v>
      </c>
      <c r="IP295" t="e">
        <f>AND('STERLING CATALOG - FZN &amp; CHILL'!C1192,"AAAAAH2x6vk=")</f>
        <v>#VALUE!</v>
      </c>
      <c r="IQ295" t="e">
        <f>AND('STERLING CATALOG - FZN &amp; CHILL'!D1192,"AAAAAH2x6vo=")</f>
        <v>#VALUE!</v>
      </c>
      <c r="IR295" t="e">
        <f>AND('STERLING CATALOG - FZN &amp; CHILL'!E1192,"AAAAAH2x6vs=")</f>
        <v>#VALUE!</v>
      </c>
      <c r="IS295" t="e">
        <f>AND('STERLING CATALOG - FZN &amp; CHILL'!F1192,"AAAAAH2x6vw=")</f>
        <v>#VALUE!</v>
      </c>
      <c r="IT295" t="e">
        <f>AND('STERLING CATALOG - FZN &amp; CHILL'!G1192,"AAAAAH2x6v0=")</f>
        <v>#VALUE!</v>
      </c>
      <c r="IU295" t="e">
        <f>AND('STERLING CATALOG - FZN &amp; CHILL'!H1192,"AAAAAH2x6v4=")</f>
        <v>#VALUE!</v>
      </c>
      <c r="IV295" t="e">
        <f>AND('STERLING CATALOG - FZN &amp; CHILL'!I1192,"AAAAAH2x6v8=")</f>
        <v>#VALUE!</v>
      </c>
    </row>
    <row r="296" spans="1:256">
      <c r="A296" t="e">
        <f>AND('STERLING CATALOG - FZN &amp; CHILL'!J1192,"AAAAAD/5+gA=")</f>
        <v>#VALUE!</v>
      </c>
      <c r="B296" t="str">
        <f>IF('STERLING CATALOG - FZN &amp; CHILL'!1193:1193,"AAAAAD/5+gE=",0)</f>
        <v>AAAAAD/5+gE=</v>
      </c>
      <c r="C296" t="e">
        <f>AND('STERLING CATALOG - FZN &amp; CHILL'!A1193,"AAAAAD/5+gI=")</f>
        <v>#VALUE!</v>
      </c>
      <c r="D296" t="e">
        <f>AND('STERLING CATALOG - FZN &amp; CHILL'!B1193,"AAAAAD/5+gM=")</f>
        <v>#VALUE!</v>
      </c>
      <c r="E296" t="e">
        <f>AND('STERLING CATALOG - FZN &amp; CHILL'!C1193,"AAAAAD/5+gQ=")</f>
        <v>#VALUE!</v>
      </c>
      <c r="F296" t="e">
        <f>AND('STERLING CATALOG - FZN &amp; CHILL'!D1193,"AAAAAD/5+gU=")</f>
        <v>#VALUE!</v>
      </c>
      <c r="G296" t="e">
        <f>AND('STERLING CATALOG - FZN &amp; CHILL'!E1193,"AAAAAD/5+gY=")</f>
        <v>#VALUE!</v>
      </c>
      <c r="H296" t="e">
        <f>AND('STERLING CATALOG - FZN &amp; CHILL'!F1193,"AAAAAD/5+gc=")</f>
        <v>#VALUE!</v>
      </c>
      <c r="I296" t="e">
        <f>AND('STERLING CATALOG - FZN &amp; CHILL'!G1193,"AAAAAD/5+gg=")</f>
        <v>#VALUE!</v>
      </c>
      <c r="J296" t="e">
        <f>AND('STERLING CATALOG - FZN &amp; CHILL'!H1193,"AAAAAD/5+gk=")</f>
        <v>#VALUE!</v>
      </c>
      <c r="K296" t="e">
        <f>AND('STERLING CATALOG - FZN &amp; CHILL'!I1193,"AAAAAD/5+go=")</f>
        <v>#VALUE!</v>
      </c>
      <c r="L296" t="e">
        <f>AND('STERLING CATALOG - FZN &amp; CHILL'!J1193,"AAAAAD/5+gs=")</f>
        <v>#VALUE!</v>
      </c>
      <c r="M296">
        <f>IF('STERLING CATALOG - FZN &amp; CHILL'!1194:1194,"AAAAAD/5+gw=",0)</f>
        <v>0</v>
      </c>
      <c r="N296" t="e">
        <f>AND('STERLING CATALOG - FZN &amp; CHILL'!A1194,"AAAAAD/5+g0=")</f>
        <v>#VALUE!</v>
      </c>
      <c r="O296" t="e">
        <f>AND('STERLING CATALOG - FZN &amp; CHILL'!B1194,"AAAAAD/5+g4=")</f>
        <v>#VALUE!</v>
      </c>
      <c r="P296" t="e">
        <f>AND('STERLING CATALOG - FZN &amp; CHILL'!C1194,"AAAAAD/5+g8=")</f>
        <v>#VALUE!</v>
      </c>
      <c r="Q296" t="e">
        <f>AND('STERLING CATALOG - FZN &amp; CHILL'!D1194,"AAAAAD/5+hA=")</f>
        <v>#VALUE!</v>
      </c>
      <c r="R296" t="e">
        <f>AND('STERLING CATALOG - FZN &amp; CHILL'!E1194,"AAAAAD/5+hE=")</f>
        <v>#VALUE!</v>
      </c>
      <c r="S296" t="e">
        <f>AND('STERLING CATALOG - FZN &amp; CHILL'!F1194,"AAAAAD/5+hI=")</f>
        <v>#VALUE!</v>
      </c>
      <c r="T296" t="e">
        <f>AND('STERLING CATALOG - FZN &amp; CHILL'!G1194,"AAAAAD/5+hM=")</f>
        <v>#VALUE!</v>
      </c>
      <c r="U296" t="e">
        <f>AND('STERLING CATALOG - FZN &amp; CHILL'!H1194,"AAAAAD/5+hQ=")</f>
        <v>#VALUE!</v>
      </c>
      <c r="V296" t="e">
        <f>AND('STERLING CATALOG - FZN &amp; CHILL'!I1194,"AAAAAD/5+hU=")</f>
        <v>#VALUE!</v>
      </c>
      <c r="W296" t="e">
        <f>AND('STERLING CATALOG - FZN &amp; CHILL'!J1194,"AAAAAD/5+hY=")</f>
        <v>#VALUE!</v>
      </c>
      <c r="X296">
        <f>IF('STERLING CATALOG - FZN &amp; CHILL'!1195:1195,"AAAAAD/5+hc=",0)</f>
        <v>0</v>
      </c>
      <c r="Y296" t="e">
        <f>AND('STERLING CATALOG - FZN &amp; CHILL'!A1195,"AAAAAD/5+hg=")</f>
        <v>#VALUE!</v>
      </c>
      <c r="Z296" t="e">
        <f>AND('STERLING CATALOG - FZN &amp; CHILL'!B1195,"AAAAAD/5+hk=")</f>
        <v>#VALUE!</v>
      </c>
      <c r="AA296" t="e">
        <f>AND('STERLING CATALOG - FZN &amp; CHILL'!C1195,"AAAAAD/5+ho=")</f>
        <v>#VALUE!</v>
      </c>
      <c r="AB296" t="e">
        <f>AND('STERLING CATALOG - FZN &amp; CHILL'!D1195,"AAAAAD/5+hs=")</f>
        <v>#VALUE!</v>
      </c>
      <c r="AC296" t="e">
        <f>AND('STERLING CATALOG - FZN &amp; CHILL'!E1195,"AAAAAD/5+hw=")</f>
        <v>#VALUE!</v>
      </c>
      <c r="AD296" t="e">
        <f>AND('STERLING CATALOG - FZN &amp; CHILL'!F1195,"AAAAAD/5+h0=")</f>
        <v>#VALUE!</v>
      </c>
      <c r="AE296" t="e">
        <f>AND('STERLING CATALOG - FZN &amp; CHILL'!G1195,"AAAAAD/5+h4=")</f>
        <v>#VALUE!</v>
      </c>
      <c r="AF296" t="e">
        <f>AND('STERLING CATALOG - FZN &amp; CHILL'!H1195,"AAAAAD/5+h8=")</f>
        <v>#VALUE!</v>
      </c>
      <c r="AG296" t="e">
        <f>AND('STERLING CATALOG - FZN &amp; CHILL'!I1195,"AAAAAD/5+iA=")</f>
        <v>#VALUE!</v>
      </c>
      <c r="AH296" t="e">
        <f>AND('STERLING CATALOG - FZN &amp; CHILL'!J1195,"AAAAAD/5+iE=")</f>
        <v>#VALUE!</v>
      </c>
      <c r="AI296">
        <f>IF('STERLING CATALOG - FZN &amp; CHILL'!1196:1196,"AAAAAD/5+iI=",0)</f>
        <v>0</v>
      </c>
      <c r="AJ296" t="e">
        <f>AND('STERLING CATALOG - FZN &amp; CHILL'!A1196,"AAAAAD/5+iM=")</f>
        <v>#VALUE!</v>
      </c>
      <c r="AK296" t="e">
        <f>AND('STERLING CATALOG - FZN &amp; CHILL'!B1196,"AAAAAD/5+iQ=")</f>
        <v>#VALUE!</v>
      </c>
      <c r="AL296" t="e">
        <f>AND('STERLING CATALOG - FZN &amp; CHILL'!C1196,"AAAAAD/5+iU=")</f>
        <v>#VALUE!</v>
      </c>
      <c r="AM296" t="e">
        <f>AND('STERLING CATALOG - FZN &amp; CHILL'!D1196,"AAAAAD/5+iY=")</f>
        <v>#VALUE!</v>
      </c>
      <c r="AN296" t="e">
        <f>AND('STERLING CATALOG - FZN &amp; CHILL'!E1196,"AAAAAD/5+ic=")</f>
        <v>#VALUE!</v>
      </c>
      <c r="AO296" t="e">
        <f>AND('STERLING CATALOG - FZN &amp; CHILL'!F1196,"AAAAAD/5+ig=")</f>
        <v>#VALUE!</v>
      </c>
      <c r="AP296" t="e">
        <f>AND('STERLING CATALOG - FZN &amp; CHILL'!G1196,"AAAAAD/5+ik=")</f>
        <v>#VALUE!</v>
      </c>
      <c r="AQ296" t="e">
        <f>AND('STERLING CATALOG - FZN &amp; CHILL'!H1196,"AAAAAD/5+io=")</f>
        <v>#VALUE!</v>
      </c>
      <c r="AR296" t="e">
        <f>AND('STERLING CATALOG - FZN &amp; CHILL'!I1196,"AAAAAD/5+is=")</f>
        <v>#VALUE!</v>
      </c>
      <c r="AS296" t="e">
        <f>AND('STERLING CATALOG - FZN &amp; CHILL'!J1196,"AAAAAD/5+iw=")</f>
        <v>#VALUE!</v>
      </c>
      <c r="AT296">
        <f>IF('STERLING CATALOG - FZN &amp; CHILL'!1197:1197,"AAAAAD/5+i0=",0)</f>
        <v>0</v>
      </c>
      <c r="AU296" t="e">
        <f>AND('STERLING CATALOG - FZN &amp; CHILL'!A1197,"AAAAAD/5+i4=")</f>
        <v>#VALUE!</v>
      </c>
      <c r="AV296" t="e">
        <f>AND('STERLING CATALOG - FZN &amp; CHILL'!B1197,"AAAAAD/5+i8=")</f>
        <v>#VALUE!</v>
      </c>
      <c r="AW296" t="e">
        <f>AND('STERLING CATALOG - FZN &amp; CHILL'!C1197,"AAAAAD/5+jA=")</f>
        <v>#VALUE!</v>
      </c>
      <c r="AX296" t="e">
        <f>AND('STERLING CATALOG - FZN &amp; CHILL'!D1197,"AAAAAD/5+jE=")</f>
        <v>#VALUE!</v>
      </c>
      <c r="AY296" t="e">
        <f>AND('STERLING CATALOG - FZN &amp; CHILL'!E1197,"AAAAAD/5+jI=")</f>
        <v>#VALUE!</v>
      </c>
      <c r="AZ296" t="e">
        <f>AND('STERLING CATALOG - FZN &amp; CHILL'!F1197,"AAAAAD/5+jM=")</f>
        <v>#VALUE!</v>
      </c>
      <c r="BA296" t="e">
        <f>AND('STERLING CATALOG - FZN &amp; CHILL'!G1197,"AAAAAD/5+jQ=")</f>
        <v>#VALUE!</v>
      </c>
      <c r="BB296" t="e">
        <f>AND('STERLING CATALOG - FZN &amp; CHILL'!H1197,"AAAAAD/5+jU=")</f>
        <v>#VALUE!</v>
      </c>
      <c r="BC296" t="e">
        <f>AND('STERLING CATALOG - FZN &amp; CHILL'!I1197,"AAAAAD/5+jY=")</f>
        <v>#VALUE!</v>
      </c>
      <c r="BD296" t="e">
        <f>AND('STERLING CATALOG - FZN &amp; CHILL'!J1197,"AAAAAD/5+jc=")</f>
        <v>#VALUE!</v>
      </c>
      <c r="BE296">
        <f>IF('STERLING CATALOG - FZN &amp; CHILL'!1198:1198,"AAAAAD/5+jg=",0)</f>
        <v>0</v>
      </c>
      <c r="BF296" t="e">
        <f>AND('STERLING CATALOG - FZN &amp; CHILL'!A1198,"AAAAAD/5+jk=")</f>
        <v>#VALUE!</v>
      </c>
      <c r="BG296" t="e">
        <f>AND('STERLING CATALOG - FZN &amp; CHILL'!B1198,"AAAAAD/5+jo=")</f>
        <v>#VALUE!</v>
      </c>
      <c r="BH296" t="e">
        <f>AND('STERLING CATALOG - FZN &amp; CHILL'!C1198,"AAAAAD/5+js=")</f>
        <v>#VALUE!</v>
      </c>
      <c r="BI296" t="e">
        <f>AND('STERLING CATALOG - FZN &amp; CHILL'!D1198,"AAAAAD/5+jw=")</f>
        <v>#VALUE!</v>
      </c>
      <c r="BJ296" t="e">
        <f>AND('STERLING CATALOG - FZN &amp; CHILL'!E1198,"AAAAAD/5+j0=")</f>
        <v>#VALUE!</v>
      </c>
      <c r="BK296" t="e">
        <f>AND('STERLING CATALOG - FZN &amp; CHILL'!F1198,"AAAAAD/5+j4=")</f>
        <v>#VALUE!</v>
      </c>
      <c r="BL296" t="e">
        <f>AND('STERLING CATALOG - FZN &amp; CHILL'!G1198,"AAAAAD/5+j8=")</f>
        <v>#VALUE!</v>
      </c>
      <c r="BM296" t="e">
        <f>AND('STERLING CATALOG - FZN &amp; CHILL'!H1198,"AAAAAD/5+kA=")</f>
        <v>#VALUE!</v>
      </c>
      <c r="BN296" t="e">
        <f>AND('STERLING CATALOG - FZN &amp; CHILL'!I1198,"AAAAAD/5+kE=")</f>
        <v>#VALUE!</v>
      </c>
      <c r="BO296" t="e">
        <f>AND('STERLING CATALOG - FZN &amp; CHILL'!J1198,"AAAAAD/5+kI=")</f>
        <v>#VALUE!</v>
      </c>
      <c r="BP296">
        <f>IF('STERLING CATALOG - FZN &amp; CHILL'!1199:1199,"AAAAAD/5+kM=",0)</f>
        <v>0</v>
      </c>
      <c r="BQ296" t="e">
        <f>AND('STERLING CATALOG - FZN &amp; CHILL'!A1199,"AAAAAD/5+kQ=")</f>
        <v>#VALUE!</v>
      </c>
      <c r="BR296" t="e">
        <f>AND('STERLING CATALOG - FZN &amp; CHILL'!B1199,"AAAAAD/5+kU=")</f>
        <v>#VALUE!</v>
      </c>
      <c r="BS296" t="e">
        <f>AND('STERLING CATALOG - FZN &amp; CHILL'!C1199,"AAAAAD/5+kY=")</f>
        <v>#VALUE!</v>
      </c>
      <c r="BT296" t="e">
        <f>AND('STERLING CATALOG - FZN &amp; CHILL'!D1199,"AAAAAD/5+kc=")</f>
        <v>#VALUE!</v>
      </c>
      <c r="BU296" t="e">
        <f>AND('STERLING CATALOG - FZN &amp; CHILL'!E1199,"AAAAAD/5+kg=")</f>
        <v>#VALUE!</v>
      </c>
      <c r="BV296" t="e">
        <f>AND('STERLING CATALOG - FZN &amp; CHILL'!F1199,"AAAAAD/5+kk=")</f>
        <v>#VALUE!</v>
      </c>
      <c r="BW296" t="e">
        <f>AND('STERLING CATALOG - FZN &amp; CHILL'!G1199,"AAAAAD/5+ko=")</f>
        <v>#VALUE!</v>
      </c>
      <c r="BX296" t="e">
        <f>AND('STERLING CATALOG - FZN &amp; CHILL'!H1199,"AAAAAD/5+ks=")</f>
        <v>#VALUE!</v>
      </c>
      <c r="BY296" t="e">
        <f>AND('STERLING CATALOG - FZN &amp; CHILL'!I1199,"AAAAAD/5+kw=")</f>
        <v>#VALUE!</v>
      </c>
      <c r="BZ296" t="e">
        <f>AND('STERLING CATALOG - FZN &amp; CHILL'!J1199,"AAAAAD/5+k0=")</f>
        <v>#VALUE!</v>
      </c>
      <c r="CA296">
        <f>IF('STERLING CATALOG - FZN &amp; CHILL'!1200:1200,"AAAAAD/5+k4=",0)</f>
        <v>0</v>
      </c>
      <c r="CB296" t="e">
        <f>AND('STERLING CATALOG - FZN &amp; CHILL'!A1200,"AAAAAD/5+k8=")</f>
        <v>#VALUE!</v>
      </c>
      <c r="CC296" t="e">
        <f>AND('STERLING CATALOG - FZN &amp; CHILL'!B1200,"AAAAAD/5+lA=")</f>
        <v>#VALUE!</v>
      </c>
      <c r="CD296" t="e">
        <f>AND('STERLING CATALOG - FZN &amp; CHILL'!C1200,"AAAAAD/5+lE=")</f>
        <v>#VALUE!</v>
      </c>
      <c r="CE296" t="e">
        <f>AND('STERLING CATALOG - FZN &amp; CHILL'!D1200,"AAAAAD/5+lI=")</f>
        <v>#VALUE!</v>
      </c>
      <c r="CF296" t="e">
        <f>AND('STERLING CATALOG - FZN &amp; CHILL'!E1200,"AAAAAD/5+lM=")</f>
        <v>#VALUE!</v>
      </c>
      <c r="CG296" t="e">
        <f>AND('STERLING CATALOG - FZN &amp; CHILL'!F1200,"AAAAAD/5+lQ=")</f>
        <v>#VALUE!</v>
      </c>
      <c r="CH296" t="e">
        <f>AND('STERLING CATALOG - FZN &amp; CHILL'!G1200,"AAAAAD/5+lU=")</f>
        <v>#VALUE!</v>
      </c>
      <c r="CI296" t="e">
        <f>AND('STERLING CATALOG - FZN &amp; CHILL'!H1200,"AAAAAD/5+lY=")</f>
        <v>#VALUE!</v>
      </c>
      <c r="CJ296" t="e">
        <f>AND('STERLING CATALOG - FZN &amp; CHILL'!I1200,"AAAAAD/5+lc=")</f>
        <v>#VALUE!</v>
      </c>
      <c r="CK296" t="e">
        <f>AND('STERLING CATALOG - FZN &amp; CHILL'!J1200,"AAAAAD/5+lg=")</f>
        <v>#VALUE!</v>
      </c>
      <c r="CL296">
        <f>IF('STERLING CATALOG - FZN &amp; CHILL'!1201:1201,"AAAAAD/5+lk=",0)</f>
        <v>0</v>
      </c>
      <c r="CM296" t="e">
        <f>AND('STERLING CATALOG - FZN &amp; CHILL'!A1201,"AAAAAD/5+lo=")</f>
        <v>#VALUE!</v>
      </c>
      <c r="CN296" t="e">
        <f>AND('STERLING CATALOG - FZN &amp; CHILL'!B1201,"AAAAAD/5+ls=")</f>
        <v>#VALUE!</v>
      </c>
      <c r="CO296" t="e">
        <f>AND('STERLING CATALOG - FZN &amp; CHILL'!C1201,"AAAAAD/5+lw=")</f>
        <v>#VALUE!</v>
      </c>
      <c r="CP296" t="e">
        <f>AND('STERLING CATALOG - FZN &amp; CHILL'!D1201,"AAAAAD/5+l0=")</f>
        <v>#VALUE!</v>
      </c>
      <c r="CQ296" t="e">
        <f>AND('STERLING CATALOG - FZN &amp; CHILL'!E1201,"AAAAAD/5+l4=")</f>
        <v>#VALUE!</v>
      </c>
      <c r="CR296" t="e">
        <f>AND('STERLING CATALOG - FZN &amp; CHILL'!F1201,"AAAAAD/5+l8=")</f>
        <v>#VALUE!</v>
      </c>
      <c r="CS296" t="e">
        <f>AND('STERLING CATALOG - FZN &amp; CHILL'!G1201,"AAAAAD/5+mA=")</f>
        <v>#VALUE!</v>
      </c>
      <c r="CT296" t="e">
        <f>AND('STERLING CATALOG - FZN &amp; CHILL'!H1201,"AAAAAD/5+mE=")</f>
        <v>#VALUE!</v>
      </c>
      <c r="CU296" t="e">
        <f>AND('STERLING CATALOG - FZN &amp; CHILL'!I1201,"AAAAAD/5+mI=")</f>
        <v>#VALUE!</v>
      </c>
      <c r="CV296" t="e">
        <f>AND('STERLING CATALOG - FZN &amp; CHILL'!J1201,"AAAAAD/5+mM=")</f>
        <v>#VALUE!</v>
      </c>
      <c r="CW296">
        <f>IF('STERLING CATALOG - FZN &amp; CHILL'!1202:1202,"AAAAAD/5+mQ=",0)</f>
        <v>0</v>
      </c>
      <c r="CX296" t="e">
        <f>AND('STERLING CATALOG - FZN &amp; CHILL'!A1202,"AAAAAD/5+mU=")</f>
        <v>#VALUE!</v>
      </c>
      <c r="CY296" t="e">
        <f>AND('STERLING CATALOG - FZN &amp; CHILL'!B1202,"AAAAAD/5+mY=")</f>
        <v>#VALUE!</v>
      </c>
      <c r="CZ296" t="e">
        <f>AND('STERLING CATALOG - FZN &amp; CHILL'!C1202,"AAAAAD/5+mc=")</f>
        <v>#VALUE!</v>
      </c>
      <c r="DA296" t="e">
        <f>AND('STERLING CATALOG - FZN &amp; CHILL'!D1202,"AAAAAD/5+mg=")</f>
        <v>#VALUE!</v>
      </c>
      <c r="DB296" t="e">
        <f>AND('STERLING CATALOG - FZN &amp; CHILL'!E1202,"AAAAAD/5+mk=")</f>
        <v>#VALUE!</v>
      </c>
      <c r="DC296" t="e">
        <f>AND('STERLING CATALOG - FZN &amp; CHILL'!F1202,"AAAAAD/5+mo=")</f>
        <v>#VALUE!</v>
      </c>
      <c r="DD296" t="e">
        <f>AND('STERLING CATALOG - FZN &amp; CHILL'!G1202,"AAAAAD/5+ms=")</f>
        <v>#VALUE!</v>
      </c>
      <c r="DE296" t="e">
        <f>AND('STERLING CATALOG - FZN &amp; CHILL'!H1202,"AAAAAD/5+mw=")</f>
        <v>#VALUE!</v>
      </c>
      <c r="DF296" t="e">
        <f>AND('STERLING CATALOG - FZN &amp; CHILL'!I1202,"AAAAAD/5+m0=")</f>
        <v>#VALUE!</v>
      </c>
      <c r="DG296" t="e">
        <f>AND('STERLING CATALOG - FZN &amp; CHILL'!J1202,"AAAAAD/5+m4=")</f>
        <v>#VALUE!</v>
      </c>
      <c r="DH296">
        <f>IF('STERLING CATALOG - FZN &amp; CHILL'!1203:1203,"AAAAAD/5+m8=",0)</f>
        <v>0</v>
      </c>
      <c r="DI296" t="e">
        <f>AND('STERLING CATALOG - FZN &amp; CHILL'!A1203,"AAAAAD/5+nA=")</f>
        <v>#VALUE!</v>
      </c>
      <c r="DJ296" t="e">
        <f>AND('STERLING CATALOG - FZN &amp; CHILL'!B1203,"AAAAAD/5+nE=")</f>
        <v>#VALUE!</v>
      </c>
      <c r="DK296" t="e">
        <f>AND('STERLING CATALOG - FZN &amp; CHILL'!C1203,"AAAAAD/5+nI=")</f>
        <v>#VALUE!</v>
      </c>
      <c r="DL296" t="e">
        <f>AND('STERLING CATALOG - FZN &amp; CHILL'!D1203,"AAAAAD/5+nM=")</f>
        <v>#VALUE!</v>
      </c>
      <c r="DM296" t="e">
        <f>AND('STERLING CATALOG - FZN &amp; CHILL'!E1203,"AAAAAD/5+nQ=")</f>
        <v>#VALUE!</v>
      </c>
      <c r="DN296" t="e">
        <f>AND('STERLING CATALOG - FZN &amp; CHILL'!F1203,"AAAAAD/5+nU=")</f>
        <v>#VALUE!</v>
      </c>
      <c r="DO296" t="e">
        <f>AND('STERLING CATALOG - FZN &amp; CHILL'!G1203,"AAAAAD/5+nY=")</f>
        <v>#VALUE!</v>
      </c>
      <c r="DP296" t="e">
        <f>AND('STERLING CATALOG - FZN &amp; CHILL'!H1203,"AAAAAD/5+nc=")</f>
        <v>#VALUE!</v>
      </c>
      <c r="DQ296" t="e">
        <f>AND('STERLING CATALOG - FZN &amp; CHILL'!I1203,"AAAAAD/5+ng=")</f>
        <v>#VALUE!</v>
      </c>
      <c r="DR296" t="e">
        <f>AND('STERLING CATALOG - FZN &amp; CHILL'!J1203,"AAAAAD/5+nk=")</f>
        <v>#VALUE!</v>
      </c>
      <c r="DS296">
        <f>IF('STERLING CATALOG - FZN &amp; CHILL'!1204:1204,"AAAAAD/5+no=",0)</f>
        <v>0</v>
      </c>
      <c r="DT296" t="e">
        <f>AND('STERLING CATALOG - FZN &amp; CHILL'!A1204,"AAAAAD/5+ns=")</f>
        <v>#VALUE!</v>
      </c>
      <c r="DU296" t="e">
        <f>AND('STERLING CATALOG - FZN &amp; CHILL'!B1204,"AAAAAD/5+nw=")</f>
        <v>#VALUE!</v>
      </c>
      <c r="DV296" t="e">
        <f>AND('STERLING CATALOG - FZN &amp; CHILL'!C1204,"AAAAAD/5+n0=")</f>
        <v>#VALUE!</v>
      </c>
      <c r="DW296" t="e">
        <f>AND('STERLING CATALOG - FZN &amp; CHILL'!D1204,"AAAAAD/5+n4=")</f>
        <v>#VALUE!</v>
      </c>
      <c r="DX296" t="e">
        <f>AND('STERLING CATALOG - FZN &amp; CHILL'!E1204,"AAAAAD/5+n8=")</f>
        <v>#VALUE!</v>
      </c>
      <c r="DY296" t="e">
        <f>AND('STERLING CATALOG - FZN &amp; CHILL'!F1204,"AAAAAD/5+oA=")</f>
        <v>#VALUE!</v>
      </c>
      <c r="DZ296" t="e">
        <f>AND('STERLING CATALOG - FZN &amp; CHILL'!G1204,"AAAAAD/5+oE=")</f>
        <v>#VALUE!</v>
      </c>
      <c r="EA296" t="e">
        <f>AND('STERLING CATALOG - FZN &amp; CHILL'!H1204,"AAAAAD/5+oI=")</f>
        <v>#VALUE!</v>
      </c>
      <c r="EB296" t="e">
        <f>AND('STERLING CATALOG - FZN &amp; CHILL'!I1204,"AAAAAD/5+oM=")</f>
        <v>#VALUE!</v>
      </c>
      <c r="EC296" t="e">
        <f>AND('STERLING CATALOG - FZN &amp; CHILL'!J1204,"AAAAAD/5+oQ=")</f>
        <v>#VALUE!</v>
      </c>
      <c r="ED296">
        <f>IF('STERLING CATALOG - FZN &amp; CHILL'!1205:1205,"AAAAAD/5+oU=",0)</f>
        <v>0</v>
      </c>
      <c r="EE296" t="e">
        <f>AND('STERLING CATALOG - FZN &amp; CHILL'!A1205,"AAAAAD/5+oY=")</f>
        <v>#VALUE!</v>
      </c>
      <c r="EF296" t="e">
        <f>AND('STERLING CATALOG - FZN &amp; CHILL'!B1205,"AAAAAD/5+oc=")</f>
        <v>#VALUE!</v>
      </c>
      <c r="EG296" t="e">
        <f>AND('STERLING CATALOG - FZN &amp; CHILL'!C1205,"AAAAAD/5+og=")</f>
        <v>#VALUE!</v>
      </c>
      <c r="EH296" t="e">
        <f>AND('STERLING CATALOG - FZN &amp; CHILL'!D1205,"AAAAAD/5+ok=")</f>
        <v>#VALUE!</v>
      </c>
      <c r="EI296" t="e">
        <f>AND('STERLING CATALOG - FZN &amp; CHILL'!E1205,"AAAAAD/5+oo=")</f>
        <v>#VALUE!</v>
      </c>
      <c r="EJ296" t="e">
        <f>AND('STERLING CATALOG - FZN &amp; CHILL'!F1205,"AAAAAD/5+os=")</f>
        <v>#VALUE!</v>
      </c>
      <c r="EK296" t="e">
        <f>AND('STERLING CATALOG - FZN &amp; CHILL'!G1205,"AAAAAD/5+ow=")</f>
        <v>#VALUE!</v>
      </c>
      <c r="EL296" t="e">
        <f>AND('STERLING CATALOG - FZN &amp; CHILL'!H1205,"AAAAAD/5+o0=")</f>
        <v>#VALUE!</v>
      </c>
      <c r="EM296" t="e">
        <f>AND('STERLING CATALOG - FZN &amp; CHILL'!I1205,"AAAAAD/5+o4=")</f>
        <v>#VALUE!</v>
      </c>
      <c r="EN296" t="e">
        <f>AND('STERLING CATALOG - FZN &amp; CHILL'!J1205,"AAAAAD/5+o8=")</f>
        <v>#VALUE!</v>
      </c>
      <c r="EO296">
        <f>IF('STERLING CATALOG - FZN &amp; CHILL'!1206:1206,"AAAAAD/5+pA=",0)</f>
        <v>0</v>
      </c>
      <c r="EP296" t="e">
        <f>AND('STERLING CATALOG - FZN &amp; CHILL'!A1206,"AAAAAD/5+pE=")</f>
        <v>#VALUE!</v>
      </c>
      <c r="EQ296" t="e">
        <f>AND('STERLING CATALOG - FZN &amp; CHILL'!B1206,"AAAAAD/5+pI=")</f>
        <v>#VALUE!</v>
      </c>
      <c r="ER296" t="e">
        <f>AND('STERLING CATALOG - FZN &amp; CHILL'!C1206,"AAAAAD/5+pM=")</f>
        <v>#VALUE!</v>
      </c>
      <c r="ES296" t="e">
        <f>AND('STERLING CATALOG - FZN &amp; CHILL'!D1206,"AAAAAD/5+pQ=")</f>
        <v>#VALUE!</v>
      </c>
      <c r="ET296" t="e">
        <f>AND('STERLING CATALOG - FZN &amp; CHILL'!E1206,"AAAAAD/5+pU=")</f>
        <v>#VALUE!</v>
      </c>
      <c r="EU296" t="e">
        <f>AND('STERLING CATALOG - FZN &amp; CHILL'!F1206,"AAAAAD/5+pY=")</f>
        <v>#VALUE!</v>
      </c>
      <c r="EV296" t="e">
        <f>AND('STERLING CATALOG - FZN &amp; CHILL'!G1206,"AAAAAD/5+pc=")</f>
        <v>#VALUE!</v>
      </c>
      <c r="EW296" t="e">
        <f>AND('STERLING CATALOG - FZN &amp; CHILL'!H1206,"AAAAAD/5+pg=")</f>
        <v>#VALUE!</v>
      </c>
      <c r="EX296" t="e">
        <f>AND('STERLING CATALOG - FZN &amp; CHILL'!I1206,"AAAAAD/5+pk=")</f>
        <v>#VALUE!</v>
      </c>
      <c r="EY296" t="e">
        <f>AND('STERLING CATALOG - FZN &amp; CHILL'!J1206,"AAAAAD/5+po=")</f>
        <v>#VALUE!</v>
      </c>
      <c r="EZ296">
        <f>IF('STERLING CATALOG - FZN &amp; CHILL'!1207:1207,"AAAAAD/5+ps=",0)</f>
        <v>0</v>
      </c>
      <c r="FA296" t="e">
        <f>AND('STERLING CATALOG - FZN &amp; CHILL'!A1207,"AAAAAD/5+pw=")</f>
        <v>#VALUE!</v>
      </c>
      <c r="FB296" t="e">
        <f>AND('STERLING CATALOG - FZN &amp; CHILL'!B1207,"AAAAAD/5+p0=")</f>
        <v>#VALUE!</v>
      </c>
      <c r="FC296" t="e">
        <f>AND('STERLING CATALOG - FZN &amp; CHILL'!C1207,"AAAAAD/5+p4=")</f>
        <v>#VALUE!</v>
      </c>
      <c r="FD296" t="e">
        <f>AND('STERLING CATALOG - FZN &amp; CHILL'!D1207,"AAAAAD/5+p8=")</f>
        <v>#VALUE!</v>
      </c>
      <c r="FE296" t="e">
        <f>AND('STERLING CATALOG - FZN &amp; CHILL'!E1207,"AAAAAD/5+qA=")</f>
        <v>#VALUE!</v>
      </c>
      <c r="FF296" t="e">
        <f>AND('STERLING CATALOG - FZN &amp; CHILL'!F1207,"AAAAAD/5+qE=")</f>
        <v>#VALUE!</v>
      </c>
      <c r="FG296" t="e">
        <f>AND('STERLING CATALOG - FZN &amp; CHILL'!G1207,"AAAAAD/5+qI=")</f>
        <v>#VALUE!</v>
      </c>
      <c r="FH296" t="e">
        <f>AND('STERLING CATALOG - FZN &amp; CHILL'!H1207,"AAAAAD/5+qM=")</f>
        <v>#VALUE!</v>
      </c>
      <c r="FI296" t="e">
        <f>AND('STERLING CATALOG - FZN &amp; CHILL'!I1207,"AAAAAD/5+qQ=")</f>
        <v>#VALUE!</v>
      </c>
      <c r="FJ296" t="e">
        <f>AND('STERLING CATALOG - FZN &amp; CHILL'!J1207,"AAAAAD/5+qU=")</f>
        <v>#VALUE!</v>
      </c>
      <c r="FK296">
        <f>IF('STERLING CATALOG - FZN &amp; CHILL'!1208:1208,"AAAAAD/5+qY=",0)</f>
        <v>0</v>
      </c>
      <c r="FL296" t="e">
        <f>AND('STERLING CATALOG - FZN &amp; CHILL'!A1208,"AAAAAD/5+qc=")</f>
        <v>#VALUE!</v>
      </c>
      <c r="FM296" t="e">
        <f>AND('STERLING CATALOG - FZN &amp; CHILL'!B1208,"AAAAAD/5+qg=")</f>
        <v>#VALUE!</v>
      </c>
      <c r="FN296" t="e">
        <f>AND('STERLING CATALOG - FZN &amp; CHILL'!C1208,"AAAAAD/5+qk=")</f>
        <v>#VALUE!</v>
      </c>
      <c r="FO296" t="e">
        <f>AND('STERLING CATALOG - FZN &amp; CHILL'!D1208,"AAAAAD/5+qo=")</f>
        <v>#VALUE!</v>
      </c>
      <c r="FP296" t="e">
        <f>AND('STERLING CATALOG - FZN &amp; CHILL'!E1208,"AAAAAD/5+qs=")</f>
        <v>#VALUE!</v>
      </c>
      <c r="FQ296" t="e">
        <f>AND('STERLING CATALOG - FZN &amp; CHILL'!F1208,"AAAAAD/5+qw=")</f>
        <v>#VALUE!</v>
      </c>
      <c r="FR296" t="e">
        <f>AND('STERLING CATALOG - FZN &amp; CHILL'!G1208,"AAAAAD/5+q0=")</f>
        <v>#VALUE!</v>
      </c>
      <c r="FS296" t="e">
        <f>AND('STERLING CATALOG - FZN &amp; CHILL'!H1208,"AAAAAD/5+q4=")</f>
        <v>#VALUE!</v>
      </c>
      <c r="FT296" t="e">
        <f>AND('STERLING CATALOG - FZN &amp; CHILL'!I1208,"AAAAAD/5+q8=")</f>
        <v>#VALUE!</v>
      </c>
      <c r="FU296" t="e">
        <f>AND('STERLING CATALOG - FZN &amp; CHILL'!J1208,"AAAAAD/5+rA=")</f>
        <v>#VALUE!</v>
      </c>
      <c r="FV296">
        <f>IF('STERLING CATALOG - FZN &amp; CHILL'!1209:1209,"AAAAAD/5+rE=",0)</f>
        <v>0</v>
      </c>
      <c r="FW296" t="e">
        <f>AND('STERLING CATALOG - FZN &amp; CHILL'!A1209,"AAAAAD/5+rI=")</f>
        <v>#VALUE!</v>
      </c>
      <c r="FX296" t="e">
        <f>AND('STERLING CATALOG - FZN &amp; CHILL'!B1209,"AAAAAD/5+rM=")</f>
        <v>#VALUE!</v>
      </c>
      <c r="FY296" t="e">
        <f>AND('STERLING CATALOG - FZN &amp; CHILL'!C1209,"AAAAAD/5+rQ=")</f>
        <v>#VALUE!</v>
      </c>
      <c r="FZ296" t="e">
        <f>AND('STERLING CATALOG - FZN &amp; CHILL'!D1209,"AAAAAD/5+rU=")</f>
        <v>#VALUE!</v>
      </c>
      <c r="GA296" t="e">
        <f>AND('STERLING CATALOG - FZN &amp; CHILL'!E1209,"AAAAAD/5+rY=")</f>
        <v>#VALUE!</v>
      </c>
      <c r="GB296" t="e">
        <f>AND('STERLING CATALOG - FZN &amp; CHILL'!F1209,"AAAAAD/5+rc=")</f>
        <v>#VALUE!</v>
      </c>
      <c r="GC296" t="e">
        <f>AND('STERLING CATALOG - FZN &amp; CHILL'!G1209,"AAAAAD/5+rg=")</f>
        <v>#VALUE!</v>
      </c>
      <c r="GD296" t="e">
        <f>AND('STERLING CATALOG - FZN &amp; CHILL'!H1209,"AAAAAD/5+rk=")</f>
        <v>#VALUE!</v>
      </c>
      <c r="GE296" t="e">
        <f>AND('STERLING CATALOG - FZN &amp; CHILL'!I1209,"AAAAAD/5+ro=")</f>
        <v>#VALUE!</v>
      </c>
      <c r="GF296" t="e">
        <f>AND('STERLING CATALOG - FZN &amp; CHILL'!J1209,"AAAAAD/5+rs=")</f>
        <v>#VALUE!</v>
      </c>
      <c r="GG296">
        <f>IF('STERLING CATALOG - FZN &amp; CHILL'!1210:1210,"AAAAAD/5+rw=",0)</f>
        <v>0</v>
      </c>
      <c r="GH296" t="e">
        <f>AND('STERLING CATALOG - FZN &amp; CHILL'!A1210,"AAAAAD/5+r0=")</f>
        <v>#VALUE!</v>
      </c>
      <c r="GI296" t="e">
        <f>AND('STERLING CATALOG - FZN &amp; CHILL'!B1210,"AAAAAD/5+r4=")</f>
        <v>#VALUE!</v>
      </c>
      <c r="GJ296" t="e">
        <f>AND('STERLING CATALOG - FZN &amp; CHILL'!C1210,"AAAAAD/5+r8=")</f>
        <v>#VALUE!</v>
      </c>
      <c r="GK296" t="e">
        <f>AND('STERLING CATALOG - FZN &amp; CHILL'!D1210,"AAAAAD/5+sA=")</f>
        <v>#VALUE!</v>
      </c>
      <c r="GL296" t="e">
        <f>AND('STERLING CATALOG - FZN &amp; CHILL'!E1210,"AAAAAD/5+sE=")</f>
        <v>#VALUE!</v>
      </c>
      <c r="GM296" t="e">
        <f>AND('STERLING CATALOG - FZN &amp; CHILL'!F1210,"AAAAAD/5+sI=")</f>
        <v>#VALUE!</v>
      </c>
      <c r="GN296" t="e">
        <f>AND('STERLING CATALOG - FZN &amp; CHILL'!G1210,"AAAAAD/5+sM=")</f>
        <v>#VALUE!</v>
      </c>
      <c r="GO296" t="e">
        <f>AND('STERLING CATALOG - FZN &amp; CHILL'!H1210,"AAAAAD/5+sQ=")</f>
        <v>#VALUE!</v>
      </c>
      <c r="GP296" t="e">
        <f>AND('STERLING CATALOG - FZN &amp; CHILL'!I1210,"AAAAAD/5+sU=")</f>
        <v>#VALUE!</v>
      </c>
      <c r="GQ296" t="e">
        <f>AND('STERLING CATALOG - FZN &amp; CHILL'!J1210,"AAAAAD/5+sY=")</f>
        <v>#VALUE!</v>
      </c>
      <c r="GR296">
        <f>IF('STERLING CATALOG - FZN &amp; CHILL'!1211:1211,"AAAAAD/5+sc=",0)</f>
        <v>0</v>
      </c>
      <c r="GS296" t="e">
        <f>AND('STERLING CATALOG - FZN &amp; CHILL'!A1211,"AAAAAD/5+sg=")</f>
        <v>#VALUE!</v>
      </c>
      <c r="GT296" t="e">
        <f>AND('STERLING CATALOG - FZN &amp; CHILL'!B1211,"AAAAAD/5+sk=")</f>
        <v>#VALUE!</v>
      </c>
      <c r="GU296" t="e">
        <f>AND('STERLING CATALOG - FZN &amp; CHILL'!C1211,"AAAAAD/5+so=")</f>
        <v>#VALUE!</v>
      </c>
      <c r="GV296" t="e">
        <f>AND('STERLING CATALOG - FZN &amp; CHILL'!D1211,"AAAAAD/5+ss=")</f>
        <v>#VALUE!</v>
      </c>
      <c r="GW296" t="e">
        <f>AND('STERLING CATALOG - FZN &amp; CHILL'!E1211,"AAAAAD/5+sw=")</f>
        <v>#VALUE!</v>
      </c>
      <c r="GX296" t="e">
        <f>AND('STERLING CATALOG - FZN &amp; CHILL'!F1211,"AAAAAD/5+s0=")</f>
        <v>#VALUE!</v>
      </c>
      <c r="GY296" t="e">
        <f>AND('STERLING CATALOG - FZN &amp; CHILL'!G1211,"AAAAAD/5+s4=")</f>
        <v>#VALUE!</v>
      </c>
      <c r="GZ296" t="e">
        <f>AND('STERLING CATALOG - FZN &amp; CHILL'!H1211,"AAAAAD/5+s8=")</f>
        <v>#VALUE!</v>
      </c>
      <c r="HA296" t="e">
        <f>AND('STERLING CATALOG - FZN &amp; CHILL'!I1211,"AAAAAD/5+tA=")</f>
        <v>#VALUE!</v>
      </c>
      <c r="HB296" t="e">
        <f>AND('STERLING CATALOG - FZN &amp; CHILL'!J1211,"AAAAAD/5+tE=")</f>
        <v>#VALUE!</v>
      </c>
      <c r="HC296">
        <f>IF('STERLING CATALOG - FZN &amp; CHILL'!1212:1212,"AAAAAD/5+tI=",0)</f>
        <v>0</v>
      </c>
      <c r="HD296" t="e">
        <f>AND('STERLING CATALOG - FZN &amp; CHILL'!A1212,"AAAAAD/5+tM=")</f>
        <v>#VALUE!</v>
      </c>
      <c r="HE296" t="e">
        <f>AND('STERLING CATALOG - FZN &amp; CHILL'!B1212,"AAAAAD/5+tQ=")</f>
        <v>#VALUE!</v>
      </c>
      <c r="HF296" t="e">
        <f>AND('STERLING CATALOG - FZN &amp; CHILL'!C1212,"AAAAAD/5+tU=")</f>
        <v>#VALUE!</v>
      </c>
      <c r="HG296" t="e">
        <f>AND('STERLING CATALOG - FZN &amp; CHILL'!D1212,"AAAAAD/5+tY=")</f>
        <v>#VALUE!</v>
      </c>
      <c r="HH296" t="e">
        <f>AND('STERLING CATALOG - FZN &amp; CHILL'!E1212,"AAAAAD/5+tc=")</f>
        <v>#VALUE!</v>
      </c>
      <c r="HI296" t="e">
        <f>AND('STERLING CATALOG - FZN &amp; CHILL'!F1212,"AAAAAD/5+tg=")</f>
        <v>#VALUE!</v>
      </c>
      <c r="HJ296" t="e">
        <f>AND('STERLING CATALOG - FZN &amp; CHILL'!G1212,"AAAAAD/5+tk=")</f>
        <v>#VALUE!</v>
      </c>
      <c r="HK296" t="e">
        <f>AND('STERLING CATALOG - FZN &amp; CHILL'!H1212,"AAAAAD/5+to=")</f>
        <v>#VALUE!</v>
      </c>
      <c r="HL296" t="e">
        <f>AND('STERLING CATALOG - FZN &amp; CHILL'!I1212,"AAAAAD/5+ts=")</f>
        <v>#VALUE!</v>
      </c>
      <c r="HM296" t="e">
        <f>AND('STERLING CATALOG - FZN &amp; CHILL'!J1212,"AAAAAD/5+tw=")</f>
        <v>#VALUE!</v>
      </c>
      <c r="HN296">
        <f>IF('STERLING CATALOG - FZN &amp; CHILL'!1213:1213,"AAAAAD/5+t0=",0)</f>
        <v>0</v>
      </c>
      <c r="HO296" t="e">
        <f>AND('STERLING CATALOG - FZN &amp; CHILL'!A1213,"AAAAAD/5+t4=")</f>
        <v>#VALUE!</v>
      </c>
      <c r="HP296" t="e">
        <f>AND('STERLING CATALOG - FZN &amp; CHILL'!B1213,"AAAAAD/5+t8=")</f>
        <v>#VALUE!</v>
      </c>
      <c r="HQ296" t="e">
        <f>AND('STERLING CATALOG - FZN &amp; CHILL'!C1213,"AAAAAD/5+uA=")</f>
        <v>#VALUE!</v>
      </c>
      <c r="HR296" t="e">
        <f>AND('STERLING CATALOG - FZN &amp; CHILL'!D1213,"AAAAAD/5+uE=")</f>
        <v>#VALUE!</v>
      </c>
      <c r="HS296" t="e">
        <f>AND('STERLING CATALOG - FZN &amp; CHILL'!E1213,"AAAAAD/5+uI=")</f>
        <v>#VALUE!</v>
      </c>
      <c r="HT296" t="e">
        <f>AND('STERLING CATALOG - FZN &amp; CHILL'!F1213,"AAAAAD/5+uM=")</f>
        <v>#VALUE!</v>
      </c>
      <c r="HU296" t="e">
        <f>AND('STERLING CATALOG - FZN &amp; CHILL'!G1213,"AAAAAD/5+uQ=")</f>
        <v>#VALUE!</v>
      </c>
      <c r="HV296" t="e">
        <f>AND('STERLING CATALOG - FZN &amp; CHILL'!H1213,"AAAAAD/5+uU=")</f>
        <v>#VALUE!</v>
      </c>
      <c r="HW296" t="e">
        <f>AND('STERLING CATALOG - FZN &amp; CHILL'!I1213,"AAAAAD/5+uY=")</f>
        <v>#VALUE!</v>
      </c>
      <c r="HX296" t="e">
        <f>AND('STERLING CATALOG - FZN &amp; CHILL'!J1213,"AAAAAD/5+uc=")</f>
        <v>#VALUE!</v>
      </c>
      <c r="HY296">
        <f>IF('STERLING CATALOG - FZN &amp; CHILL'!1214:1214,"AAAAAD/5+ug=",0)</f>
        <v>0</v>
      </c>
      <c r="HZ296" t="e">
        <f>AND('STERLING CATALOG - FZN &amp; CHILL'!A1214,"AAAAAD/5+uk=")</f>
        <v>#VALUE!</v>
      </c>
      <c r="IA296" t="e">
        <f>AND('STERLING CATALOG - FZN &amp; CHILL'!B1214,"AAAAAD/5+uo=")</f>
        <v>#VALUE!</v>
      </c>
      <c r="IB296" t="e">
        <f>AND('STERLING CATALOG - FZN &amp; CHILL'!C1214,"AAAAAD/5+us=")</f>
        <v>#VALUE!</v>
      </c>
      <c r="IC296" t="e">
        <f>AND('STERLING CATALOG - FZN &amp; CHILL'!D1214,"AAAAAD/5+uw=")</f>
        <v>#VALUE!</v>
      </c>
      <c r="ID296" t="e">
        <f>AND('STERLING CATALOG - FZN &amp; CHILL'!E1214,"AAAAAD/5+u0=")</f>
        <v>#VALUE!</v>
      </c>
      <c r="IE296" t="e">
        <f>AND('STERLING CATALOG - FZN &amp; CHILL'!F1214,"AAAAAD/5+u4=")</f>
        <v>#VALUE!</v>
      </c>
      <c r="IF296" t="e">
        <f>AND('STERLING CATALOG - FZN &amp; CHILL'!G1214,"AAAAAD/5+u8=")</f>
        <v>#VALUE!</v>
      </c>
      <c r="IG296" t="e">
        <f>AND('STERLING CATALOG - FZN &amp; CHILL'!H1214,"AAAAAD/5+vA=")</f>
        <v>#VALUE!</v>
      </c>
      <c r="IH296" t="e">
        <f>AND('STERLING CATALOG - FZN &amp; CHILL'!I1214,"AAAAAD/5+vE=")</f>
        <v>#VALUE!</v>
      </c>
      <c r="II296" t="e">
        <f>AND('STERLING CATALOG - FZN &amp; CHILL'!J1214,"AAAAAD/5+vI=")</f>
        <v>#VALUE!</v>
      </c>
      <c r="IJ296">
        <f>IF('STERLING CATALOG - FZN &amp; CHILL'!1215:1215,"AAAAAD/5+vM=",0)</f>
        <v>0</v>
      </c>
      <c r="IK296" t="e">
        <f>AND('STERLING CATALOG - FZN &amp; CHILL'!A1215,"AAAAAD/5+vQ=")</f>
        <v>#VALUE!</v>
      </c>
      <c r="IL296" t="e">
        <f>AND('STERLING CATALOG - FZN &amp; CHILL'!B1215,"AAAAAD/5+vU=")</f>
        <v>#VALUE!</v>
      </c>
      <c r="IM296" t="e">
        <f>AND('STERLING CATALOG - FZN &amp; CHILL'!C1215,"AAAAAD/5+vY=")</f>
        <v>#VALUE!</v>
      </c>
      <c r="IN296" t="e">
        <f>AND('STERLING CATALOG - FZN &amp; CHILL'!D1215,"AAAAAD/5+vc=")</f>
        <v>#VALUE!</v>
      </c>
      <c r="IO296" t="e">
        <f>AND('STERLING CATALOG - FZN &amp; CHILL'!E1215,"AAAAAD/5+vg=")</f>
        <v>#VALUE!</v>
      </c>
      <c r="IP296" t="e">
        <f>AND('STERLING CATALOG - FZN &amp; CHILL'!F1215,"AAAAAD/5+vk=")</f>
        <v>#VALUE!</v>
      </c>
      <c r="IQ296" t="e">
        <f>AND('STERLING CATALOG - FZN &amp; CHILL'!G1215,"AAAAAD/5+vo=")</f>
        <v>#VALUE!</v>
      </c>
      <c r="IR296" t="e">
        <f>AND('STERLING CATALOG - FZN &amp; CHILL'!H1215,"AAAAAD/5+vs=")</f>
        <v>#VALUE!</v>
      </c>
      <c r="IS296" t="e">
        <f>AND('STERLING CATALOG - FZN &amp; CHILL'!I1215,"AAAAAD/5+vw=")</f>
        <v>#VALUE!</v>
      </c>
      <c r="IT296" t="e">
        <f>AND('STERLING CATALOG - FZN &amp; CHILL'!J1215,"AAAAAD/5+v0=")</f>
        <v>#VALUE!</v>
      </c>
      <c r="IU296">
        <f>IF('STERLING CATALOG - FZN &amp; CHILL'!1216:1216,"AAAAAD/5+v4=",0)</f>
        <v>0</v>
      </c>
      <c r="IV296" t="e">
        <f>AND('STERLING CATALOG - FZN &amp; CHILL'!A1216,"AAAAAD/5+v8=")</f>
        <v>#VALUE!</v>
      </c>
    </row>
    <row r="297" spans="1:256">
      <c r="A297" t="e">
        <f>AND('STERLING CATALOG - FZN &amp; CHILL'!B1216,"AAAAAHf73QA=")</f>
        <v>#VALUE!</v>
      </c>
      <c r="B297" t="e">
        <f>AND('STERLING CATALOG - FZN &amp; CHILL'!C1216,"AAAAAHf73QE=")</f>
        <v>#VALUE!</v>
      </c>
      <c r="C297" t="e">
        <f>AND('STERLING CATALOG - FZN &amp; CHILL'!D1216,"AAAAAHf73QI=")</f>
        <v>#VALUE!</v>
      </c>
      <c r="D297" t="e">
        <f>AND('STERLING CATALOG - FZN &amp; CHILL'!E1216,"AAAAAHf73QM=")</f>
        <v>#VALUE!</v>
      </c>
      <c r="E297" t="e">
        <f>AND('STERLING CATALOG - FZN &amp; CHILL'!F1216,"AAAAAHf73QQ=")</f>
        <v>#VALUE!</v>
      </c>
      <c r="F297" t="e">
        <f>AND('STERLING CATALOG - FZN &amp; CHILL'!G1216,"AAAAAHf73QU=")</f>
        <v>#VALUE!</v>
      </c>
      <c r="G297" t="e">
        <f>AND('STERLING CATALOG - FZN &amp; CHILL'!H1216,"AAAAAHf73QY=")</f>
        <v>#VALUE!</v>
      </c>
      <c r="H297" t="e">
        <f>AND('STERLING CATALOG - FZN &amp; CHILL'!I1216,"AAAAAHf73Qc=")</f>
        <v>#VALUE!</v>
      </c>
      <c r="I297" t="e">
        <f>AND('STERLING CATALOG - FZN &amp; CHILL'!J1216,"AAAAAHf73Qg=")</f>
        <v>#VALUE!</v>
      </c>
      <c r="J297" t="e">
        <f>IF('STERLING CATALOG - FZN &amp; CHILL'!1217:1217,"AAAAAHf73Qk=",0)</f>
        <v>#VALUE!</v>
      </c>
      <c r="K297" t="e">
        <f>AND('STERLING CATALOG - FZN &amp; CHILL'!A1217,"AAAAAHf73Qo=")</f>
        <v>#VALUE!</v>
      </c>
      <c r="L297" t="e">
        <f>AND('STERLING CATALOG - FZN &amp; CHILL'!B1217,"AAAAAHf73Qs=")</f>
        <v>#VALUE!</v>
      </c>
      <c r="M297" t="e">
        <f>AND('STERLING CATALOG - FZN &amp; CHILL'!C1217,"AAAAAHf73Qw=")</f>
        <v>#VALUE!</v>
      </c>
      <c r="N297" t="e">
        <f>AND('STERLING CATALOG - FZN &amp; CHILL'!D1217,"AAAAAHf73Q0=")</f>
        <v>#VALUE!</v>
      </c>
      <c r="O297" t="e">
        <f>AND('STERLING CATALOG - FZN &amp; CHILL'!E1217,"AAAAAHf73Q4=")</f>
        <v>#VALUE!</v>
      </c>
      <c r="P297" t="e">
        <f>AND('STERLING CATALOG - FZN &amp; CHILL'!F1217,"AAAAAHf73Q8=")</f>
        <v>#VALUE!</v>
      </c>
      <c r="Q297" t="e">
        <f>AND('STERLING CATALOG - FZN &amp; CHILL'!G1217,"AAAAAHf73RA=")</f>
        <v>#VALUE!</v>
      </c>
      <c r="R297" t="e">
        <f>AND('STERLING CATALOG - FZN &amp; CHILL'!H1217,"AAAAAHf73RE=")</f>
        <v>#VALUE!</v>
      </c>
      <c r="S297" t="e">
        <f>AND('STERLING CATALOG - FZN &amp; CHILL'!I1217,"AAAAAHf73RI=")</f>
        <v>#VALUE!</v>
      </c>
      <c r="T297" t="e">
        <f>AND('STERLING CATALOG - FZN &amp; CHILL'!J1217,"AAAAAHf73RM=")</f>
        <v>#VALUE!</v>
      </c>
      <c r="U297">
        <f>IF('STERLING CATALOG - FZN &amp; CHILL'!1218:1218,"AAAAAHf73RQ=",0)</f>
        <v>0</v>
      </c>
      <c r="V297" t="e">
        <f>AND('STERLING CATALOG - FZN &amp; CHILL'!A1218,"AAAAAHf73RU=")</f>
        <v>#VALUE!</v>
      </c>
      <c r="W297" t="e">
        <f>AND('STERLING CATALOG - FZN &amp; CHILL'!B1218,"AAAAAHf73RY=")</f>
        <v>#VALUE!</v>
      </c>
      <c r="X297" t="e">
        <f>AND('STERLING CATALOG - FZN &amp; CHILL'!C1218,"AAAAAHf73Rc=")</f>
        <v>#VALUE!</v>
      </c>
      <c r="Y297" t="e">
        <f>AND('STERLING CATALOG - FZN &amp; CHILL'!D1218,"AAAAAHf73Rg=")</f>
        <v>#VALUE!</v>
      </c>
      <c r="Z297" t="e">
        <f>AND('STERLING CATALOG - FZN &amp; CHILL'!E1218,"AAAAAHf73Rk=")</f>
        <v>#VALUE!</v>
      </c>
      <c r="AA297" t="e">
        <f>AND('STERLING CATALOG - FZN &amp; CHILL'!F1218,"AAAAAHf73Ro=")</f>
        <v>#VALUE!</v>
      </c>
      <c r="AB297" t="e">
        <f>AND('STERLING CATALOG - FZN &amp; CHILL'!G1218,"AAAAAHf73Rs=")</f>
        <v>#VALUE!</v>
      </c>
      <c r="AC297" t="e">
        <f>AND('STERLING CATALOG - FZN &amp; CHILL'!H1218,"AAAAAHf73Rw=")</f>
        <v>#VALUE!</v>
      </c>
      <c r="AD297" t="e">
        <f>AND('STERLING CATALOG - FZN &amp; CHILL'!I1218,"AAAAAHf73R0=")</f>
        <v>#VALUE!</v>
      </c>
      <c r="AE297" t="e">
        <f>AND('STERLING CATALOG - FZN &amp; CHILL'!J1218,"AAAAAHf73R4=")</f>
        <v>#VALUE!</v>
      </c>
      <c r="AF297">
        <f>IF('STERLING CATALOG - FZN &amp; CHILL'!1219:1219,"AAAAAHf73R8=",0)</f>
        <v>0</v>
      </c>
      <c r="AG297" t="e">
        <f>AND('STERLING CATALOG - FZN &amp; CHILL'!A1219,"AAAAAHf73SA=")</f>
        <v>#VALUE!</v>
      </c>
      <c r="AH297" t="e">
        <f>AND('STERLING CATALOG - FZN &amp; CHILL'!B1219,"AAAAAHf73SE=")</f>
        <v>#VALUE!</v>
      </c>
      <c r="AI297" t="e">
        <f>AND('STERLING CATALOG - FZN &amp; CHILL'!C1219,"AAAAAHf73SI=")</f>
        <v>#VALUE!</v>
      </c>
      <c r="AJ297" t="e">
        <f>AND('STERLING CATALOG - FZN &amp; CHILL'!D1219,"AAAAAHf73SM=")</f>
        <v>#VALUE!</v>
      </c>
      <c r="AK297" t="e">
        <f>AND('STERLING CATALOG - FZN &amp; CHILL'!E1219,"AAAAAHf73SQ=")</f>
        <v>#VALUE!</v>
      </c>
      <c r="AL297" t="e">
        <f>AND('STERLING CATALOG - FZN &amp; CHILL'!F1219,"AAAAAHf73SU=")</f>
        <v>#VALUE!</v>
      </c>
      <c r="AM297" t="e">
        <f>AND('STERLING CATALOG - FZN &amp; CHILL'!G1219,"AAAAAHf73SY=")</f>
        <v>#VALUE!</v>
      </c>
      <c r="AN297" t="e">
        <f>AND('STERLING CATALOG - FZN &amp; CHILL'!H1219,"AAAAAHf73Sc=")</f>
        <v>#VALUE!</v>
      </c>
      <c r="AO297" t="e">
        <f>AND('STERLING CATALOG - FZN &amp; CHILL'!I1219,"AAAAAHf73Sg=")</f>
        <v>#VALUE!</v>
      </c>
      <c r="AP297" t="e">
        <f>AND('STERLING CATALOG - FZN &amp; CHILL'!J1219,"AAAAAHf73Sk=")</f>
        <v>#VALUE!</v>
      </c>
      <c r="AQ297">
        <f>IF('STERLING CATALOG - FZN &amp; CHILL'!1220:1220,"AAAAAHf73So=",0)</f>
        <v>0</v>
      </c>
      <c r="AR297" t="e">
        <f>AND('STERLING CATALOG - FZN &amp; CHILL'!A1220,"AAAAAHf73Ss=")</f>
        <v>#VALUE!</v>
      </c>
      <c r="AS297" t="e">
        <f>AND('STERLING CATALOG - FZN &amp; CHILL'!B1220,"AAAAAHf73Sw=")</f>
        <v>#VALUE!</v>
      </c>
      <c r="AT297" t="e">
        <f>AND('STERLING CATALOG - FZN &amp; CHILL'!C1220,"AAAAAHf73S0=")</f>
        <v>#VALUE!</v>
      </c>
      <c r="AU297" t="e">
        <f>AND('STERLING CATALOG - FZN &amp; CHILL'!D1220,"AAAAAHf73S4=")</f>
        <v>#VALUE!</v>
      </c>
      <c r="AV297" t="e">
        <f>AND('STERLING CATALOG - FZN &amp; CHILL'!E1220,"AAAAAHf73S8=")</f>
        <v>#VALUE!</v>
      </c>
      <c r="AW297" t="e">
        <f>AND('STERLING CATALOG - FZN &amp; CHILL'!F1220,"AAAAAHf73TA=")</f>
        <v>#VALUE!</v>
      </c>
      <c r="AX297" t="e">
        <f>AND('STERLING CATALOG - FZN &amp; CHILL'!G1220,"AAAAAHf73TE=")</f>
        <v>#VALUE!</v>
      </c>
      <c r="AY297" t="e">
        <f>AND('STERLING CATALOG - FZN &amp; CHILL'!H1220,"AAAAAHf73TI=")</f>
        <v>#VALUE!</v>
      </c>
      <c r="AZ297" t="e">
        <f>AND('STERLING CATALOG - FZN &amp; CHILL'!I1220,"AAAAAHf73TM=")</f>
        <v>#VALUE!</v>
      </c>
      <c r="BA297" t="e">
        <f>AND('STERLING CATALOG - FZN &amp; CHILL'!J1220,"AAAAAHf73TQ=")</f>
        <v>#VALUE!</v>
      </c>
      <c r="BB297">
        <f>IF('STERLING CATALOG - FZN &amp; CHILL'!1221:1221,"AAAAAHf73TU=",0)</f>
        <v>0</v>
      </c>
      <c r="BC297" t="e">
        <f>AND('STERLING CATALOG - FZN &amp; CHILL'!A1221,"AAAAAHf73TY=")</f>
        <v>#VALUE!</v>
      </c>
      <c r="BD297" t="e">
        <f>AND('STERLING CATALOG - FZN &amp; CHILL'!B1221,"AAAAAHf73Tc=")</f>
        <v>#VALUE!</v>
      </c>
      <c r="BE297" t="e">
        <f>AND('STERLING CATALOG - FZN &amp; CHILL'!C1221,"AAAAAHf73Tg=")</f>
        <v>#VALUE!</v>
      </c>
      <c r="BF297" t="e">
        <f>AND('STERLING CATALOG - FZN &amp; CHILL'!D1221,"AAAAAHf73Tk=")</f>
        <v>#VALUE!</v>
      </c>
      <c r="BG297" t="e">
        <f>AND('STERLING CATALOG - FZN &amp; CHILL'!E1221,"AAAAAHf73To=")</f>
        <v>#VALUE!</v>
      </c>
      <c r="BH297" t="e">
        <f>AND('STERLING CATALOG - FZN &amp; CHILL'!F1221,"AAAAAHf73Ts=")</f>
        <v>#VALUE!</v>
      </c>
      <c r="BI297" t="e">
        <f>AND('STERLING CATALOG - FZN &amp; CHILL'!G1221,"AAAAAHf73Tw=")</f>
        <v>#VALUE!</v>
      </c>
      <c r="BJ297" t="e">
        <f>AND('STERLING CATALOG - FZN &amp; CHILL'!H1221,"AAAAAHf73T0=")</f>
        <v>#VALUE!</v>
      </c>
      <c r="BK297" t="e">
        <f>AND('STERLING CATALOG - FZN &amp; CHILL'!I1221,"AAAAAHf73T4=")</f>
        <v>#VALUE!</v>
      </c>
      <c r="BL297" t="e">
        <f>AND('STERLING CATALOG - FZN &amp; CHILL'!J1221,"AAAAAHf73T8=")</f>
        <v>#VALUE!</v>
      </c>
      <c r="BM297">
        <f>IF('STERLING CATALOG - FZN &amp; CHILL'!1222:1222,"AAAAAHf73UA=",0)</f>
        <v>0</v>
      </c>
      <c r="BN297" t="e">
        <f>AND('STERLING CATALOG - FZN &amp; CHILL'!A1222,"AAAAAHf73UE=")</f>
        <v>#VALUE!</v>
      </c>
      <c r="BO297" t="e">
        <f>AND('STERLING CATALOG - FZN &amp; CHILL'!B1222,"AAAAAHf73UI=")</f>
        <v>#VALUE!</v>
      </c>
      <c r="BP297" t="e">
        <f>AND('STERLING CATALOG - FZN &amp; CHILL'!C1222,"AAAAAHf73UM=")</f>
        <v>#VALUE!</v>
      </c>
      <c r="BQ297" t="e">
        <f>AND('STERLING CATALOG - FZN &amp; CHILL'!D1222,"AAAAAHf73UQ=")</f>
        <v>#VALUE!</v>
      </c>
      <c r="BR297" t="e">
        <f>AND('STERLING CATALOG - FZN &amp; CHILL'!E1222,"AAAAAHf73UU=")</f>
        <v>#VALUE!</v>
      </c>
      <c r="BS297" t="e">
        <f>AND('STERLING CATALOG - FZN &amp; CHILL'!F1222,"AAAAAHf73UY=")</f>
        <v>#VALUE!</v>
      </c>
      <c r="BT297" t="e">
        <f>AND('STERLING CATALOG - FZN &amp; CHILL'!G1222,"AAAAAHf73Uc=")</f>
        <v>#VALUE!</v>
      </c>
      <c r="BU297" t="e">
        <f>AND('STERLING CATALOG - FZN &amp; CHILL'!H1222,"AAAAAHf73Ug=")</f>
        <v>#VALUE!</v>
      </c>
      <c r="BV297" t="e">
        <f>AND('STERLING CATALOG - FZN &amp; CHILL'!I1222,"AAAAAHf73Uk=")</f>
        <v>#VALUE!</v>
      </c>
      <c r="BW297" t="e">
        <f>AND('STERLING CATALOG - FZN &amp; CHILL'!J1222,"AAAAAHf73Uo=")</f>
        <v>#VALUE!</v>
      </c>
      <c r="BX297">
        <f>IF('STERLING CATALOG - FZN &amp; CHILL'!1223:1223,"AAAAAHf73Us=",0)</f>
        <v>0</v>
      </c>
      <c r="BY297" t="e">
        <f>AND('STERLING CATALOG - FZN &amp; CHILL'!A1223,"AAAAAHf73Uw=")</f>
        <v>#VALUE!</v>
      </c>
      <c r="BZ297" t="e">
        <f>AND('STERLING CATALOG - FZN &amp; CHILL'!B1223,"AAAAAHf73U0=")</f>
        <v>#VALUE!</v>
      </c>
      <c r="CA297" t="e">
        <f>AND('STERLING CATALOG - FZN &amp; CHILL'!C1223,"AAAAAHf73U4=")</f>
        <v>#VALUE!</v>
      </c>
      <c r="CB297" t="e">
        <f>AND('STERLING CATALOG - FZN &amp; CHILL'!D1223,"AAAAAHf73U8=")</f>
        <v>#VALUE!</v>
      </c>
      <c r="CC297" t="e">
        <f>AND('STERLING CATALOG - FZN &amp; CHILL'!E1223,"AAAAAHf73VA=")</f>
        <v>#VALUE!</v>
      </c>
      <c r="CD297" t="e">
        <f>AND('STERLING CATALOG - FZN &amp; CHILL'!F1223,"AAAAAHf73VE=")</f>
        <v>#VALUE!</v>
      </c>
      <c r="CE297" t="e">
        <f>AND('STERLING CATALOG - FZN &amp; CHILL'!G1223,"AAAAAHf73VI=")</f>
        <v>#VALUE!</v>
      </c>
      <c r="CF297" t="e">
        <f>AND('STERLING CATALOG - FZN &amp; CHILL'!H1223,"AAAAAHf73VM=")</f>
        <v>#VALUE!</v>
      </c>
      <c r="CG297" t="e">
        <f>AND('STERLING CATALOG - FZN &amp; CHILL'!I1223,"AAAAAHf73VQ=")</f>
        <v>#VALUE!</v>
      </c>
      <c r="CH297" t="e">
        <f>AND('STERLING CATALOG - FZN &amp; CHILL'!J1223,"AAAAAHf73VU=")</f>
        <v>#VALUE!</v>
      </c>
      <c r="CI297">
        <f>IF('STERLING CATALOG - FZN &amp; CHILL'!1224:1224,"AAAAAHf73VY=",0)</f>
        <v>0</v>
      </c>
      <c r="CJ297" t="e">
        <f>AND('STERLING CATALOG - FZN &amp; CHILL'!A1224,"AAAAAHf73Vc=")</f>
        <v>#VALUE!</v>
      </c>
      <c r="CK297" t="e">
        <f>AND('STERLING CATALOG - FZN &amp; CHILL'!B1224,"AAAAAHf73Vg=")</f>
        <v>#VALUE!</v>
      </c>
      <c r="CL297" t="e">
        <f>AND('STERLING CATALOG - FZN &amp; CHILL'!C1224,"AAAAAHf73Vk=")</f>
        <v>#VALUE!</v>
      </c>
      <c r="CM297" t="e">
        <f>AND('STERLING CATALOG - FZN &amp; CHILL'!D1224,"AAAAAHf73Vo=")</f>
        <v>#VALUE!</v>
      </c>
      <c r="CN297" t="e">
        <f>AND('STERLING CATALOG - FZN &amp; CHILL'!E1224,"AAAAAHf73Vs=")</f>
        <v>#VALUE!</v>
      </c>
      <c r="CO297" t="e">
        <f>AND('STERLING CATALOG - FZN &amp; CHILL'!F1224,"AAAAAHf73Vw=")</f>
        <v>#VALUE!</v>
      </c>
      <c r="CP297" t="e">
        <f>AND('STERLING CATALOG - FZN &amp; CHILL'!G1224,"AAAAAHf73V0=")</f>
        <v>#VALUE!</v>
      </c>
      <c r="CQ297" t="e">
        <f>AND('STERLING CATALOG - FZN &amp; CHILL'!H1224,"AAAAAHf73V4=")</f>
        <v>#VALUE!</v>
      </c>
      <c r="CR297" t="e">
        <f>AND('STERLING CATALOG - FZN &amp; CHILL'!I1224,"AAAAAHf73V8=")</f>
        <v>#VALUE!</v>
      </c>
      <c r="CS297" t="e">
        <f>AND('STERLING CATALOG - FZN &amp; CHILL'!J1224,"AAAAAHf73WA=")</f>
        <v>#VALUE!</v>
      </c>
      <c r="CT297">
        <f>IF('STERLING CATALOG - FZN &amp; CHILL'!1225:1225,"AAAAAHf73WE=",0)</f>
        <v>0</v>
      </c>
      <c r="CU297" t="e">
        <f>AND('STERLING CATALOG - FZN &amp; CHILL'!A1225,"AAAAAHf73WI=")</f>
        <v>#VALUE!</v>
      </c>
      <c r="CV297" t="e">
        <f>AND('STERLING CATALOG - FZN &amp; CHILL'!B1225,"AAAAAHf73WM=")</f>
        <v>#VALUE!</v>
      </c>
      <c r="CW297" t="e">
        <f>AND('STERLING CATALOG - FZN &amp; CHILL'!C1225,"AAAAAHf73WQ=")</f>
        <v>#VALUE!</v>
      </c>
      <c r="CX297" t="e">
        <f>AND('STERLING CATALOG - FZN &amp; CHILL'!D1225,"AAAAAHf73WU=")</f>
        <v>#VALUE!</v>
      </c>
      <c r="CY297" t="e">
        <f>AND('STERLING CATALOG - FZN &amp; CHILL'!E1225,"AAAAAHf73WY=")</f>
        <v>#VALUE!</v>
      </c>
      <c r="CZ297" t="e">
        <f>AND('STERLING CATALOG - FZN &amp; CHILL'!F1225,"AAAAAHf73Wc=")</f>
        <v>#VALUE!</v>
      </c>
      <c r="DA297" t="e">
        <f>AND('STERLING CATALOG - FZN &amp; CHILL'!G1225,"AAAAAHf73Wg=")</f>
        <v>#VALUE!</v>
      </c>
      <c r="DB297" t="e">
        <f>AND('STERLING CATALOG - FZN &amp; CHILL'!H1225,"AAAAAHf73Wk=")</f>
        <v>#VALUE!</v>
      </c>
      <c r="DC297" t="e">
        <f>AND('STERLING CATALOG - FZN &amp; CHILL'!I1225,"AAAAAHf73Wo=")</f>
        <v>#VALUE!</v>
      </c>
      <c r="DD297" t="e">
        <f>AND('STERLING CATALOG - FZN &amp; CHILL'!J1225,"AAAAAHf73Ws=")</f>
        <v>#VALUE!</v>
      </c>
      <c r="DE297">
        <f>IF('STERLING CATALOG - FZN &amp; CHILL'!1226:1226,"AAAAAHf73Ww=",0)</f>
        <v>0</v>
      </c>
      <c r="DF297" t="e">
        <f>AND('STERLING CATALOG - FZN &amp; CHILL'!A1226,"AAAAAHf73W0=")</f>
        <v>#VALUE!</v>
      </c>
      <c r="DG297" t="e">
        <f>AND('STERLING CATALOG - FZN &amp; CHILL'!B1226,"AAAAAHf73W4=")</f>
        <v>#VALUE!</v>
      </c>
      <c r="DH297" t="e">
        <f>AND('STERLING CATALOG - FZN &amp; CHILL'!C1226,"AAAAAHf73W8=")</f>
        <v>#VALUE!</v>
      </c>
      <c r="DI297" t="e">
        <f>AND('STERLING CATALOG - FZN &amp; CHILL'!D1226,"AAAAAHf73XA=")</f>
        <v>#VALUE!</v>
      </c>
      <c r="DJ297" t="e">
        <f>AND('STERLING CATALOG - FZN &amp; CHILL'!E1226,"AAAAAHf73XE=")</f>
        <v>#VALUE!</v>
      </c>
      <c r="DK297" t="e">
        <f>AND('STERLING CATALOG - FZN &amp; CHILL'!F1226,"AAAAAHf73XI=")</f>
        <v>#VALUE!</v>
      </c>
      <c r="DL297" t="e">
        <f>AND('STERLING CATALOG - FZN &amp; CHILL'!G1226,"AAAAAHf73XM=")</f>
        <v>#VALUE!</v>
      </c>
      <c r="DM297" t="e">
        <f>AND('STERLING CATALOG - FZN &amp; CHILL'!H1226,"AAAAAHf73XQ=")</f>
        <v>#VALUE!</v>
      </c>
      <c r="DN297" t="e">
        <f>AND('STERLING CATALOG - FZN &amp; CHILL'!I1226,"AAAAAHf73XU=")</f>
        <v>#VALUE!</v>
      </c>
      <c r="DO297" t="e">
        <f>AND('STERLING CATALOG - FZN &amp; CHILL'!J1226,"AAAAAHf73XY=")</f>
        <v>#VALUE!</v>
      </c>
      <c r="DP297">
        <f>IF('STERLING CATALOG - FZN &amp; CHILL'!1227:1227,"AAAAAHf73Xc=",0)</f>
        <v>0</v>
      </c>
      <c r="DQ297" t="e">
        <f>AND('STERLING CATALOG - FZN &amp; CHILL'!A1227,"AAAAAHf73Xg=")</f>
        <v>#VALUE!</v>
      </c>
      <c r="DR297" t="e">
        <f>AND('STERLING CATALOG - FZN &amp; CHILL'!B1227,"AAAAAHf73Xk=")</f>
        <v>#VALUE!</v>
      </c>
      <c r="DS297" t="e">
        <f>AND('STERLING CATALOG - FZN &amp; CHILL'!C1227,"AAAAAHf73Xo=")</f>
        <v>#VALUE!</v>
      </c>
      <c r="DT297" t="e">
        <f>AND('STERLING CATALOG - FZN &amp; CHILL'!D1227,"AAAAAHf73Xs=")</f>
        <v>#VALUE!</v>
      </c>
      <c r="DU297" t="e">
        <f>AND('STERLING CATALOG - FZN &amp; CHILL'!E1227,"AAAAAHf73Xw=")</f>
        <v>#VALUE!</v>
      </c>
      <c r="DV297" t="e">
        <f>AND('STERLING CATALOG - FZN &amp; CHILL'!F1227,"AAAAAHf73X0=")</f>
        <v>#VALUE!</v>
      </c>
      <c r="DW297" t="e">
        <f>AND('STERLING CATALOG - FZN &amp; CHILL'!G1227,"AAAAAHf73X4=")</f>
        <v>#VALUE!</v>
      </c>
      <c r="DX297" t="e">
        <f>AND('STERLING CATALOG - FZN &amp; CHILL'!H1227,"AAAAAHf73X8=")</f>
        <v>#VALUE!</v>
      </c>
      <c r="DY297" t="e">
        <f>AND('STERLING CATALOG - FZN &amp; CHILL'!I1227,"AAAAAHf73YA=")</f>
        <v>#VALUE!</v>
      </c>
      <c r="DZ297" t="e">
        <f>AND('STERLING CATALOG - FZN &amp; CHILL'!J1227,"AAAAAHf73YE=")</f>
        <v>#VALUE!</v>
      </c>
      <c r="EA297">
        <f>IF('STERLING CATALOG - FZN &amp; CHILL'!1228:1228,"AAAAAHf73YI=",0)</f>
        <v>0</v>
      </c>
      <c r="EB297" t="e">
        <f>AND('STERLING CATALOG - FZN &amp; CHILL'!A1228,"AAAAAHf73YM=")</f>
        <v>#VALUE!</v>
      </c>
      <c r="EC297" t="e">
        <f>AND('STERLING CATALOG - FZN &amp; CHILL'!B1228,"AAAAAHf73YQ=")</f>
        <v>#VALUE!</v>
      </c>
      <c r="ED297" t="e">
        <f>AND('STERLING CATALOG - FZN &amp; CHILL'!C1228,"AAAAAHf73YU=")</f>
        <v>#VALUE!</v>
      </c>
      <c r="EE297" t="e">
        <f>AND('STERLING CATALOG - FZN &amp; CHILL'!D1228,"AAAAAHf73YY=")</f>
        <v>#VALUE!</v>
      </c>
      <c r="EF297" t="e">
        <f>AND('STERLING CATALOG - FZN &amp; CHILL'!E1228,"AAAAAHf73Yc=")</f>
        <v>#VALUE!</v>
      </c>
      <c r="EG297" t="e">
        <f>AND('STERLING CATALOG - FZN &amp; CHILL'!F1228,"AAAAAHf73Yg=")</f>
        <v>#VALUE!</v>
      </c>
      <c r="EH297" t="e">
        <f>AND('STERLING CATALOG - FZN &amp; CHILL'!G1228,"AAAAAHf73Yk=")</f>
        <v>#VALUE!</v>
      </c>
      <c r="EI297" t="e">
        <f>AND('STERLING CATALOG - FZN &amp; CHILL'!H1228,"AAAAAHf73Yo=")</f>
        <v>#VALUE!</v>
      </c>
      <c r="EJ297" t="e">
        <f>AND('STERLING CATALOG - FZN &amp; CHILL'!I1228,"AAAAAHf73Ys=")</f>
        <v>#VALUE!</v>
      </c>
      <c r="EK297" t="e">
        <f>AND('STERLING CATALOG - FZN &amp; CHILL'!J1228,"AAAAAHf73Yw=")</f>
        <v>#VALUE!</v>
      </c>
      <c r="EL297">
        <f>IF('STERLING CATALOG - FZN &amp; CHILL'!1229:1229,"AAAAAHf73Y0=",0)</f>
        <v>0</v>
      </c>
      <c r="EM297" t="e">
        <f>AND('STERLING CATALOG - FZN &amp; CHILL'!A1229,"AAAAAHf73Y4=")</f>
        <v>#VALUE!</v>
      </c>
      <c r="EN297" t="e">
        <f>AND('STERLING CATALOG - FZN &amp; CHILL'!B1229,"AAAAAHf73Y8=")</f>
        <v>#VALUE!</v>
      </c>
      <c r="EO297" t="e">
        <f>AND('STERLING CATALOG - FZN &amp; CHILL'!C1229,"AAAAAHf73ZA=")</f>
        <v>#VALUE!</v>
      </c>
      <c r="EP297" t="e">
        <f>AND('STERLING CATALOG - FZN &amp; CHILL'!D1229,"AAAAAHf73ZE=")</f>
        <v>#VALUE!</v>
      </c>
      <c r="EQ297" t="e">
        <f>AND('STERLING CATALOG - FZN &amp; CHILL'!E1229,"AAAAAHf73ZI=")</f>
        <v>#VALUE!</v>
      </c>
      <c r="ER297" t="e">
        <f>AND('STERLING CATALOG - FZN &amp; CHILL'!F1229,"AAAAAHf73ZM=")</f>
        <v>#VALUE!</v>
      </c>
      <c r="ES297" t="e">
        <f>AND('STERLING CATALOG - FZN &amp; CHILL'!G1229,"AAAAAHf73ZQ=")</f>
        <v>#VALUE!</v>
      </c>
      <c r="ET297" t="e">
        <f>AND('STERLING CATALOG - FZN &amp; CHILL'!H1229,"AAAAAHf73ZU=")</f>
        <v>#VALUE!</v>
      </c>
      <c r="EU297" t="e">
        <f>AND('STERLING CATALOG - FZN &amp; CHILL'!I1229,"AAAAAHf73ZY=")</f>
        <v>#VALUE!</v>
      </c>
      <c r="EV297" t="e">
        <f>AND('STERLING CATALOG - FZN &amp; CHILL'!J1229,"AAAAAHf73Zc=")</f>
        <v>#VALUE!</v>
      </c>
      <c r="EW297">
        <f>IF('STERLING CATALOG - FZN &amp; CHILL'!1230:1230,"AAAAAHf73Zg=",0)</f>
        <v>0</v>
      </c>
      <c r="EX297" t="e">
        <f>AND('STERLING CATALOG - FZN &amp; CHILL'!A1230,"AAAAAHf73Zk=")</f>
        <v>#VALUE!</v>
      </c>
      <c r="EY297" t="e">
        <f>AND('STERLING CATALOG - FZN &amp; CHILL'!B1230,"AAAAAHf73Zo=")</f>
        <v>#VALUE!</v>
      </c>
      <c r="EZ297" t="e">
        <f>AND('STERLING CATALOG - FZN &amp; CHILL'!C1230,"AAAAAHf73Zs=")</f>
        <v>#VALUE!</v>
      </c>
      <c r="FA297" t="e">
        <f>AND('STERLING CATALOG - FZN &amp; CHILL'!D1230,"AAAAAHf73Zw=")</f>
        <v>#VALUE!</v>
      </c>
      <c r="FB297" t="e">
        <f>AND('STERLING CATALOG - FZN &amp; CHILL'!E1230,"AAAAAHf73Z0=")</f>
        <v>#VALUE!</v>
      </c>
      <c r="FC297" t="e">
        <f>AND('STERLING CATALOG - FZN &amp; CHILL'!F1230,"AAAAAHf73Z4=")</f>
        <v>#VALUE!</v>
      </c>
      <c r="FD297" t="e">
        <f>AND('STERLING CATALOG - FZN &amp; CHILL'!G1230,"AAAAAHf73Z8=")</f>
        <v>#VALUE!</v>
      </c>
      <c r="FE297" t="e">
        <f>AND('STERLING CATALOG - FZN &amp; CHILL'!H1230,"AAAAAHf73aA=")</f>
        <v>#VALUE!</v>
      </c>
      <c r="FF297" t="e">
        <f>AND('STERLING CATALOG - FZN &amp; CHILL'!I1230,"AAAAAHf73aE=")</f>
        <v>#VALUE!</v>
      </c>
      <c r="FG297" t="e">
        <f>AND('STERLING CATALOG - FZN &amp; CHILL'!J1230,"AAAAAHf73aI=")</f>
        <v>#VALUE!</v>
      </c>
      <c r="FH297">
        <f>IF('STERLING CATALOG - FZN &amp; CHILL'!1231:1231,"AAAAAHf73aM=",0)</f>
        <v>0</v>
      </c>
      <c r="FI297" t="e">
        <f>AND('STERLING CATALOG - FZN &amp; CHILL'!A1231,"AAAAAHf73aQ=")</f>
        <v>#VALUE!</v>
      </c>
      <c r="FJ297" t="e">
        <f>AND('STERLING CATALOG - FZN &amp; CHILL'!B1231,"AAAAAHf73aU=")</f>
        <v>#VALUE!</v>
      </c>
      <c r="FK297" t="e">
        <f>AND('STERLING CATALOG - FZN &amp; CHILL'!C1231,"AAAAAHf73aY=")</f>
        <v>#VALUE!</v>
      </c>
      <c r="FL297" t="e">
        <f>AND('STERLING CATALOG - FZN &amp; CHILL'!D1231,"AAAAAHf73ac=")</f>
        <v>#VALUE!</v>
      </c>
      <c r="FM297" t="e">
        <f>AND('STERLING CATALOG - FZN &amp; CHILL'!E1231,"AAAAAHf73ag=")</f>
        <v>#VALUE!</v>
      </c>
      <c r="FN297" t="e">
        <f>AND('STERLING CATALOG - FZN &amp; CHILL'!F1231,"AAAAAHf73ak=")</f>
        <v>#VALUE!</v>
      </c>
      <c r="FO297" t="e">
        <f>AND('STERLING CATALOG - FZN &amp; CHILL'!G1231,"AAAAAHf73ao=")</f>
        <v>#VALUE!</v>
      </c>
      <c r="FP297" t="e">
        <f>AND('STERLING CATALOG - FZN &amp; CHILL'!H1231,"AAAAAHf73as=")</f>
        <v>#VALUE!</v>
      </c>
      <c r="FQ297" t="e">
        <f>AND('STERLING CATALOG - FZN &amp; CHILL'!I1231,"AAAAAHf73aw=")</f>
        <v>#VALUE!</v>
      </c>
      <c r="FR297" t="e">
        <f>AND('STERLING CATALOG - FZN &amp; CHILL'!J1231,"AAAAAHf73a0=")</f>
        <v>#VALUE!</v>
      </c>
      <c r="FS297">
        <f>IF('STERLING CATALOG - FZN &amp; CHILL'!1232:1232,"AAAAAHf73a4=",0)</f>
        <v>0</v>
      </c>
      <c r="FT297" t="e">
        <f>AND('STERLING CATALOG - FZN &amp; CHILL'!A1232,"AAAAAHf73a8=")</f>
        <v>#VALUE!</v>
      </c>
      <c r="FU297" t="e">
        <f>AND('STERLING CATALOG - FZN &amp; CHILL'!B1232,"AAAAAHf73bA=")</f>
        <v>#VALUE!</v>
      </c>
      <c r="FV297" t="e">
        <f>AND('STERLING CATALOG - FZN &amp; CHILL'!C1232,"AAAAAHf73bE=")</f>
        <v>#VALUE!</v>
      </c>
      <c r="FW297" t="e">
        <f>AND('STERLING CATALOG - FZN &amp; CHILL'!D1232,"AAAAAHf73bI=")</f>
        <v>#VALUE!</v>
      </c>
      <c r="FX297" t="e">
        <f>AND('STERLING CATALOG - FZN &amp; CHILL'!E1232,"AAAAAHf73bM=")</f>
        <v>#VALUE!</v>
      </c>
      <c r="FY297" t="e">
        <f>AND('STERLING CATALOG - FZN &amp; CHILL'!F1232,"AAAAAHf73bQ=")</f>
        <v>#VALUE!</v>
      </c>
      <c r="FZ297" t="e">
        <f>AND('STERLING CATALOG - FZN &amp; CHILL'!G1232,"AAAAAHf73bU=")</f>
        <v>#VALUE!</v>
      </c>
      <c r="GA297" t="e">
        <f>AND('STERLING CATALOG - FZN &amp; CHILL'!H1232,"AAAAAHf73bY=")</f>
        <v>#VALUE!</v>
      </c>
      <c r="GB297" t="e">
        <f>AND('STERLING CATALOG - FZN &amp; CHILL'!I1232,"AAAAAHf73bc=")</f>
        <v>#VALUE!</v>
      </c>
      <c r="GC297" t="e">
        <f>AND('STERLING CATALOG - FZN &amp; CHILL'!J1232,"AAAAAHf73bg=")</f>
        <v>#VALUE!</v>
      </c>
      <c r="GD297">
        <f>IF('STERLING CATALOG - FZN &amp; CHILL'!1233:1233,"AAAAAHf73bk=",0)</f>
        <v>0</v>
      </c>
      <c r="GE297" t="e">
        <f>AND('STERLING CATALOG - FZN &amp; CHILL'!A1233,"AAAAAHf73bo=")</f>
        <v>#VALUE!</v>
      </c>
      <c r="GF297" t="e">
        <f>AND('STERLING CATALOG - FZN &amp; CHILL'!B1233,"AAAAAHf73bs=")</f>
        <v>#VALUE!</v>
      </c>
      <c r="GG297" t="e">
        <f>AND('STERLING CATALOG - FZN &amp; CHILL'!C1233,"AAAAAHf73bw=")</f>
        <v>#VALUE!</v>
      </c>
      <c r="GH297" t="e">
        <f>AND('STERLING CATALOG - FZN &amp; CHILL'!D1233,"AAAAAHf73b0=")</f>
        <v>#VALUE!</v>
      </c>
      <c r="GI297" t="e">
        <f>AND('STERLING CATALOG - FZN &amp; CHILL'!E1233,"AAAAAHf73b4=")</f>
        <v>#VALUE!</v>
      </c>
      <c r="GJ297" t="e">
        <f>AND('STERLING CATALOG - FZN &amp; CHILL'!F1233,"AAAAAHf73b8=")</f>
        <v>#VALUE!</v>
      </c>
      <c r="GK297" t="e">
        <f>AND('STERLING CATALOG - FZN &amp; CHILL'!G1233,"AAAAAHf73cA=")</f>
        <v>#VALUE!</v>
      </c>
      <c r="GL297" t="e">
        <f>AND('STERLING CATALOG - FZN &amp; CHILL'!H1233,"AAAAAHf73cE=")</f>
        <v>#VALUE!</v>
      </c>
      <c r="GM297" t="e">
        <f>AND('STERLING CATALOG - FZN &amp; CHILL'!I1233,"AAAAAHf73cI=")</f>
        <v>#VALUE!</v>
      </c>
      <c r="GN297" t="e">
        <f>AND('STERLING CATALOG - FZN &amp; CHILL'!J1233,"AAAAAHf73cM=")</f>
        <v>#VALUE!</v>
      </c>
      <c r="GO297">
        <f>IF('STERLING CATALOG - FZN &amp; CHILL'!1234:1234,"AAAAAHf73cQ=",0)</f>
        <v>0</v>
      </c>
      <c r="GP297" t="e">
        <f>AND('STERLING CATALOG - FZN &amp; CHILL'!A1234,"AAAAAHf73cU=")</f>
        <v>#VALUE!</v>
      </c>
      <c r="GQ297" t="e">
        <f>AND('STERLING CATALOG - FZN &amp; CHILL'!B1234,"AAAAAHf73cY=")</f>
        <v>#VALUE!</v>
      </c>
      <c r="GR297" t="e">
        <f>AND('STERLING CATALOG - FZN &amp; CHILL'!C1234,"AAAAAHf73cc=")</f>
        <v>#VALUE!</v>
      </c>
      <c r="GS297" t="e">
        <f>AND('STERLING CATALOG - FZN &amp; CHILL'!D1234,"AAAAAHf73cg=")</f>
        <v>#VALUE!</v>
      </c>
      <c r="GT297" t="e">
        <f>AND('STERLING CATALOG - FZN &amp; CHILL'!E1234,"AAAAAHf73ck=")</f>
        <v>#VALUE!</v>
      </c>
      <c r="GU297" t="e">
        <f>AND('STERLING CATALOG - FZN &amp; CHILL'!F1234,"AAAAAHf73co=")</f>
        <v>#VALUE!</v>
      </c>
      <c r="GV297" t="e">
        <f>AND('STERLING CATALOG - FZN &amp; CHILL'!G1234,"AAAAAHf73cs=")</f>
        <v>#VALUE!</v>
      </c>
      <c r="GW297" t="e">
        <f>AND('STERLING CATALOG - FZN &amp; CHILL'!H1234,"AAAAAHf73cw=")</f>
        <v>#VALUE!</v>
      </c>
      <c r="GX297" t="e">
        <f>AND('STERLING CATALOG - FZN &amp; CHILL'!I1234,"AAAAAHf73c0=")</f>
        <v>#VALUE!</v>
      </c>
      <c r="GY297" t="e">
        <f>AND('STERLING CATALOG - FZN &amp; CHILL'!J1234,"AAAAAHf73c4=")</f>
        <v>#VALUE!</v>
      </c>
      <c r="GZ297">
        <f>IF('STERLING CATALOG - FZN &amp; CHILL'!1235:1235,"AAAAAHf73c8=",0)</f>
        <v>0</v>
      </c>
      <c r="HA297" t="e">
        <f>AND('STERLING CATALOG - FZN &amp; CHILL'!A1235,"AAAAAHf73dA=")</f>
        <v>#VALUE!</v>
      </c>
      <c r="HB297" t="e">
        <f>AND('STERLING CATALOG - FZN &amp; CHILL'!B1235,"AAAAAHf73dE=")</f>
        <v>#VALUE!</v>
      </c>
      <c r="HC297" t="e">
        <f>AND('STERLING CATALOG - FZN &amp; CHILL'!C1235,"AAAAAHf73dI=")</f>
        <v>#VALUE!</v>
      </c>
      <c r="HD297" t="e">
        <f>AND('STERLING CATALOG - FZN &amp; CHILL'!D1235,"AAAAAHf73dM=")</f>
        <v>#VALUE!</v>
      </c>
      <c r="HE297" t="e">
        <f>AND('STERLING CATALOG - FZN &amp; CHILL'!E1235,"AAAAAHf73dQ=")</f>
        <v>#VALUE!</v>
      </c>
      <c r="HF297" t="e">
        <f>AND('STERLING CATALOG - FZN &amp; CHILL'!F1235,"AAAAAHf73dU=")</f>
        <v>#VALUE!</v>
      </c>
      <c r="HG297" t="e">
        <f>AND('STERLING CATALOG - FZN &amp; CHILL'!G1235,"AAAAAHf73dY=")</f>
        <v>#VALUE!</v>
      </c>
      <c r="HH297" t="e">
        <f>AND('STERLING CATALOG - FZN &amp; CHILL'!H1235,"AAAAAHf73dc=")</f>
        <v>#VALUE!</v>
      </c>
      <c r="HI297" t="e">
        <f>AND('STERLING CATALOG - FZN &amp; CHILL'!I1235,"AAAAAHf73dg=")</f>
        <v>#VALUE!</v>
      </c>
      <c r="HJ297" t="e">
        <f>AND('STERLING CATALOG - FZN &amp; CHILL'!J1235,"AAAAAHf73dk=")</f>
        <v>#VALUE!</v>
      </c>
      <c r="HK297">
        <f>IF('STERLING CATALOG - FZN &amp; CHILL'!1236:1236,"AAAAAHf73do=",0)</f>
        <v>0</v>
      </c>
      <c r="HL297" t="e">
        <f>AND('STERLING CATALOG - FZN &amp; CHILL'!A1236,"AAAAAHf73ds=")</f>
        <v>#VALUE!</v>
      </c>
      <c r="HM297" t="e">
        <f>AND('STERLING CATALOG - FZN &amp; CHILL'!B1236,"AAAAAHf73dw=")</f>
        <v>#VALUE!</v>
      </c>
      <c r="HN297" t="e">
        <f>AND('STERLING CATALOG - FZN &amp; CHILL'!C1236,"AAAAAHf73d0=")</f>
        <v>#VALUE!</v>
      </c>
      <c r="HO297" t="e">
        <f>AND('STERLING CATALOG - FZN &amp; CHILL'!D1236,"AAAAAHf73d4=")</f>
        <v>#VALUE!</v>
      </c>
      <c r="HP297" t="e">
        <f>AND('STERLING CATALOG - FZN &amp; CHILL'!E1236,"AAAAAHf73d8=")</f>
        <v>#VALUE!</v>
      </c>
      <c r="HQ297" t="e">
        <f>AND('STERLING CATALOG - FZN &amp; CHILL'!F1236,"AAAAAHf73eA=")</f>
        <v>#VALUE!</v>
      </c>
      <c r="HR297" t="e">
        <f>AND('STERLING CATALOG - FZN &amp; CHILL'!G1236,"AAAAAHf73eE=")</f>
        <v>#VALUE!</v>
      </c>
      <c r="HS297" t="e">
        <f>AND('STERLING CATALOG - FZN &amp; CHILL'!H1236,"AAAAAHf73eI=")</f>
        <v>#VALUE!</v>
      </c>
      <c r="HT297" t="e">
        <f>AND('STERLING CATALOG - FZN &amp; CHILL'!I1236,"AAAAAHf73eM=")</f>
        <v>#VALUE!</v>
      </c>
      <c r="HU297" t="e">
        <f>AND('STERLING CATALOG - FZN &amp; CHILL'!J1236,"AAAAAHf73eQ=")</f>
        <v>#VALUE!</v>
      </c>
      <c r="HV297">
        <f>IF('STERLING CATALOG - FZN &amp; CHILL'!1237:1237,"AAAAAHf73eU=",0)</f>
        <v>0</v>
      </c>
      <c r="HW297" t="e">
        <f>AND('STERLING CATALOG - FZN &amp; CHILL'!A1237,"AAAAAHf73eY=")</f>
        <v>#VALUE!</v>
      </c>
      <c r="HX297" t="e">
        <f>AND('STERLING CATALOG - FZN &amp; CHILL'!B1237,"AAAAAHf73ec=")</f>
        <v>#VALUE!</v>
      </c>
      <c r="HY297" t="e">
        <f>AND('STERLING CATALOG - FZN &amp; CHILL'!C1237,"AAAAAHf73eg=")</f>
        <v>#VALUE!</v>
      </c>
      <c r="HZ297" t="e">
        <f>AND('STERLING CATALOG - FZN &amp; CHILL'!D1237,"AAAAAHf73ek=")</f>
        <v>#VALUE!</v>
      </c>
      <c r="IA297" t="e">
        <f>AND('STERLING CATALOG - FZN &amp; CHILL'!E1237,"AAAAAHf73eo=")</f>
        <v>#VALUE!</v>
      </c>
      <c r="IB297" t="e">
        <f>AND('STERLING CATALOG - FZN &amp; CHILL'!F1237,"AAAAAHf73es=")</f>
        <v>#VALUE!</v>
      </c>
      <c r="IC297" t="e">
        <f>AND('STERLING CATALOG - FZN &amp; CHILL'!G1237,"AAAAAHf73ew=")</f>
        <v>#VALUE!</v>
      </c>
      <c r="ID297" t="e">
        <f>AND('STERLING CATALOG - FZN &amp; CHILL'!H1237,"AAAAAHf73e0=")</f>
        <v>#VALUE!</v>
      </c>
      <c r="IE297" t="e">
        <f>AND('STERLING CATALOG - FZN &amp; CHILL'!I1237,"AAAAAHf73e4=")</f>
        <v>#VALUE!</v>
      </c>
      <c r="IF297" t="e">
        <f>AND('STERLING CATALOG - FZN &amp; CHILL'!J1237,"AAAAAHf73e8=")</f>
        <v>#VALUE!</v>
      </c>
      <c r="IG297">
        <f>IF('STERLING CATALOG - FZN &amp; CHILL'!1238:1238,"AAAAAHf73fA=",0)</f>
        <v>0</v>
      </c>
      <c r="IH297" t="e">
        <f>AND('STERLING CATALOG - FZN &amp; CHILL'!A1238,"AAAAAHf73fE=")</f>
        <v>#VALUE!</v>
      </c>
      <c r="II297" t="e">
        <f>AND('STERLING CATALOG - FZN &amp; CHILL'!B1238,"AAAAAHf73fI=")</f>
        <v>#VALUE!</v>
      </c>
      <c r="IJ297" t="e">
        <f>AND('STERLING CATALOG - FZN &amp; CHILL'!C1238,"AAAAAHf73fM=")</f>
        <v>#VALUE!</v>
      </c>
      <c r="IK297" t="e">
        <f>AND('STERLING CATALOG - FZN &amp; CHILL'!D1238,"AAAAAHf73fQ=")</f>
        <v>#VALUE!</v>
      </c>
      <c r="IL297" t="e">
        <f>AND('STERLING CATALOG - FZN &amp; CHILL'!E1238,"AAAAAHf73fU=")</f>
        <v>#VALUE!</v>
      </c>
      <c r="IM297" t="e">
        <f>AND('STERLING CATALOG - FZN &amp; CHILL'!F1238,"AAAAAHf73fY=")</f>
        <v>#VALUE!</v>
      </c>
      <c r="IN297" t="e">
        <f>AND('STERLING CATALOG - FZN &amp; CHILL'!G1238,"AAAAAHf73fc=")</f>
        <v>#VALUE!</v>
      </c>
      <c r="IO297" t="e">
        <f>AND('STERLING CATALOG - FZN &amp; CHILL'!H1238,"AAAAAHf73fg=")</f>
        <v>#VALUE!</v>
      </c>
      <c r="IP297" t="e">
        <f>AND('STERLING CATALOG - FZN &amp; CHILL'!I1238,"AAAAAHf73fk=")</f>
        <v>#VALUE!</v>
      </c>
      <c r="IQ297" t="e">
        <f>AND('STERLING CATALOG - FZN &amp; CHILL'!J1238,"AAAAAHf73fo=")</f>
        <v>#VALUE!</v>
      </c>
      <c r="IR297">
        <f>IF('STERLING CATALOG - FZN &amp; CHILL'!1239:1239,"AAAAAHf73fs=",0)</f>
        <v>0</v>
      </c>
      <c r="IS297" t="e">
        <f>AND('STERLING CATALOG - FZN &amp; CHILL'!A1239,"AAAAAHf73fw=")</f>
        <v>#VALUE!</v>
      </c>
      <c r="IT297" t="e">
        <f>AND('STERLING CATALOG - FZN &amp; CHILL'!B1239,"AAAAAHf73f0=")</f>
        <v>#VALUE!</v>
      </c>
      <c r="IU297" t="e">
        <f>AND('STERLING CATALOG - FZN &amp; CHILL'!C1239,"AAAAAHf73f4=")</f>
        <v>#VALUE!</v>
      </c>
      <c r="IV297" t="e">
        <f>AND('STERLING CATALOG - FZN &amp; CHILL'!D1239,"AAAAAHf73f8=")</f>
        <v>#VALUE!</v>
      </c>
    </row>
    <row r="298" spans="1:256">
      <c r="A298" t="e">
        <f>AND('STERLING CATALOG - FZN &amp; CHILL'!E1239,"AAAAAB+t/wA=")</f>
        <v>#VALUE!</v>
      </c>
      <c r="B298" t="e">
        <f>AND('STERLING CATALOG - FZN &amp; CHILL'!F1239,"AAAAAB+t/wE=")</f>
        <v>#VALUE!</v>
      </c>
      <c r="C298" t="e">
        <f>AND('STERLING CATALOG - FZN &amp; CHILL'!G1239,"AAAAAB+t/wI=")</f>
        <v>#VALUE!</v>
      </c>
      <c r="D298" t="e">
        <f>AND('STERLING CATALOG - FZN &amp; CHILL'!H1239,"AAAAAB+t/wM=")</f>
        <v>#VALUE!</v>
      </c>
      <c r="E298" t="e">
        <f>AND('STERLING CATALOG - FZN &amp; CHILL'!I1239,"AAAAAB+t/wQ=")</f>
        <v>#VALUE!</v>
      </c>
      <c r="F298" t="e">
        <f>AND('STERLING CATALOG - FZN &amp; CHILL'!J1239,"AAAAAB+t/wU=")</f>
        <v>#VALUE!</v>
      </c>
      <c r="G298" t="str">
        <f>IF('STERLING CATALOG - FZN &amp; CHILL'!1240:1240,"AAAAAB+t/wY=",0)</f>
        <v>AAAAAB+t/wY=</v>
      </c>
      <c r="H298" t="e">
        <f>AND('STERLING CATALOG - FZN &amp; CHILL'!A1240,"AAAAAB+t/wc=")</f>
        <v>#VALUE!</v>
      </c>
      <c r="I298" t="e">
        <f>AND('STERLING CATALOG - FZN &amp; CHILL'!B1240,"AAAAAB+t/wg=")</f>
        <v>#VALUE!</v>
      </c>
      <c r="J298" t="e">
        <f>AND('STERLING CATALOG - FZN &amp; CHILL'!C1240,"AAAAAB+t/wk=")</f>
        <v>#VALUE!</v>
      </c>
      <c r="K298" t="e">
        <f>AND('STERLING CATALOG - FZN &amp; CHILL'!D1240,"AAAAAB+t/wo=")</f>
        <v>#VALUE!</v>
      </c>
      <c r="L298" t="e">
        <f>AND('STERLING CATALOG - FZN &amp; CHILL'!E1240,"AAAAAB+t/ws=")</f>
        <v>#VALUE!</v>
      </c>
      <c r="M298" t="e">
        <f>AND('STERLING CATALOG - FZN &amp; CHILL'!F1240,"AAAAAB+t/ww=")</f>
        <v>#VALUE!</v>
      </c>
      <c r="N298" t="e">
        <f>AND('STERLING CATALOG - FZN &amp; CHILL'!G1240,"AAAAAB+t/w0=")</f>
        <v>#VALUE!</v>
      </c>
      <c r="O298" t="e">
        <f>AND('STERLING CATALOG - FZN &amp; CHILL'!H1240,"AAAAAB+t/w4=")</f>
        <v>#VALUE!</v>
      </c>
      <c r="P298" t="e">
        <f>AND('STERLING CATALOG - FZN &amp; CHILL'!I1240,"AAAAAB+t/w8=")</f>
        <v>#VALUE!</v>
      </c>
      <c r="Q298" t="e">
        <f>AND('STERLING CATALOG - FZN &amp; CHILL'!J1240,"AAAAAB+t/xA=")</f>
        <v>#VALUE!</v>
      </c>
      <c r="R298">
        <f>IF('STERLING CATALOG - FZN &amp; CHILL'!1241:1241,"AAAAAB+t/xE=",0)</f>
        <v>0</v>
      </c>
      <c r="S298" t="e">
        <f>AND('STERLING CATALOG - FZN &amp; CHILL'!A1241,"AAAAAB+t/xI=")</f>
        <v>#VALUE!</v>
      </c>
      <c r="T298" t="e">
        <f>AND('STERLING CATALOG - FZN &amp; CHILL'!B1241,"AAAAAB+t/xM=")</f>
        <v>#VALUE!</v>
      </c>
      <c r="U298" t="e">
        <f>AND('STERLING CATALOG - FZN &amp; CHILL'!C1241,"AAAAAB+t/xQ=")</f>
        <v>#VALUE!</v>
      </c>
      <c r="V298" t="e">
        <f>AND('STERLING CATALOG - FZN &amp; CHILL'!D1241,"AAAAAB+t/xU=")</f>
        <v>#VALUE!</v>
      </c>
      <c r="W298" t="e">
        <f>AND('STERLING CATALOG - FZN &amp; CHILL'!E1241,"AAAAAB+t/xY=")</f>
        <v>#VALUE!</v>
      </c>
      <c r="X298" t="e">
        <f>AND('STERLING CATALOG - FZN &amp; CHILL'!F1241,"AAAAAB+t/xc=")</f>
        <v>#VALUE!</v>
      </c>
      <c r="Y298" t="e">
        <f>AND('STERLING CATALOG - FZN &amp; CHILL'!G1241,"AAAAAB+t/xg=")</f>
        <v>#VALUE!</v>
      </c>
      <c r="Z298" t="e">
        <f>AND('STERLING CATALOG - FZN &amp; CHILL'!H1241,"AAAAAB+t/xk=")</f>
        <v>#VALUE!</v>
      </c>
      <c r="AA298" t="e">
        <f>AND('STERLING CATALOG - FZN &amp; CHILL'!I1241,"AAAAAB+t/xo=")</f>
        <v>#VALUE!</v>
      </c>
      <c r="AB298" t="e">
        <f>AND('STERLING CATALOG - FZN &amp; CHILL'!J1241,"AAAAAB+t/xs=")</f>
        <v>#VALUE!</v>
      </c>
      <c r="AC298">
        <f>IF('STERLING CATALOG - FZN &amp; CHILL'!1242:1242,"AAAAAB+t/xw=",0)</f>
        <v>0</v>
      </c>
      <c r="AD298" t="e">
        <f>AND('STERLING CATALOG - FZN &amp; CHILL'!A1242,"AAAAAB+t/x0=")</f>
        <v>#VALUE!</v>
      </c>
      <c r="AE298" t="e">
        <f>AND('STERLING CATALOG - FZN &amp; CHILL'!B1242,"AAAAAB+t/x4=")</f>
        <v>#VALUE!</v>
      </c>
      <c r="AF298" t="e">
        <f>AND('STERLING CATALOG - FZN &amp; CHILL'!C1242,"AAAAAB+t/x8=")</f>
        <v>#VALUE!</v>
      </c>
      <c r="AG298" t="e">
        <f>AND('STERLING CATALOG - FZN &amp; CHILL'!D1242,"AAAAAB+t/yA=")</f>
        <v>#VALUE!</v>
      </c>
      <c r="AH298" t="e">
        <f>AND('STERLING CATALOG - FZN &amp; CHILL'!E1242,"AAAAAB+t/yE=")</f>
        <v>#VALUE!</v>
      </c>
      <c r="AI298" t="e">
        <f>AND('STERLING CATALOG - FZN &amp; CHILL'!F1242,"AAAAAB+t/yI=")</f>
        <v>#VALUE!</v>
      </c>
      <c r="AJ298" t="e">
        <f>AND('STERLING CATALOG - FZN &amp; CHILL'!G1242,"AAAAAB+t/yM=")</f>
        <v>#VALUE!</v>
      </c>
      <c r="AK298" t="e">
        <f>AND('STERLING CATALOG - FZN &amp; CHILL'!H1242,"AAAAAB+t/yQ=")</f>
        <v>#VALUE!</v>
      </c>
      <c r="AL298" t="e">
        <f>AND('STERLING CATALOG - FZN &amp; CHILL'!I1242,"AAAAAB+t/yU=")</f>
        <v>#VALUE!</v>
      </c>
      <c r="AM298" t="e">
        <f>AND('STERLING CATALOG - FZN &amp; CHILL'!J1242,"AAAAAB+t/yY=")</f>
        <v>#VALUE!</v>
      </c>
      <c r="AN298">
        <f>IF('STERLING CATALOG - FZN &amp; CHILL'!1243:1243,"AAAAAB+t/yc=",0)</f>
        <v>0</v>
      </c>
      <c r="AO298" t="e">
        <f>AND('STERLING CATALOG - FZN &amp; CHILL'!A1243,"AAAAAB+t/yg=")</f>
        <v>#VALUE!</v>
      </c>
      <c r="AP298" t="e">
        <f>AND('STERLING CATALOG - FZN &amp; CHILL'!B1243,"AAAAAB+t/yk=")</f>
        <v>#VALUE!</v>
      </c>
      <c r="AQ298" t="e">
        <f>AND('STERLING CATALOG - FZN &amp; CHILL'!C1243,"AAAAAB+t/yo=")</f>
        <v>#VALUE!</v>
      </c>
      <c r="AR298" t="e">
        <f>AND('STERLING CATALOG - FZN &amp; CHILL'!D1243,"AAAAAB+t/ys=")</f>
        <v>#VALUE!</v>
      </c>
      <c r="AS298" t="e">
        <f>AND('STERLING CATALOG - FZN &amp; CHILL'!E1243,"AAAAAB+t/yw=")</f>
        <v>#VALUE!</v>
      </c>
      <c r="AT298" t="e">
        <f>AND('STERLING CATALOG - FZN &amp; CHILL'!F1243,"AAAAAB+t/y0=")</f>
        <v>#VALUE!</v>
      </c>
      <c r="AU298" t="e">
        <f>AND('STERLING CATALOG - FZN &amp; CHILL'!G1243,"AAAAAB+t/y4=")</f>
        <v>#VALUE!</v>
      </c>
      <c r="AV298" t="e">
        <f>AND('STERLING CATALOG - FZN &amp; CHILL'!H1243,"AAAAAB+t/y8=")</f>
        <v>#VALUE!</v>
      </c>
      <c r="AW298" t="e">
        <f>AND('STERLING CATALOG - FZN &amp; CHILL'!I1243,"AAAAAB+t/zA=")</f>
        <v>#VALUE!</v>
      </c>
      <c r="AX298" t="e">
        <f>AND('STERLING CATALOG - FZN &amp; CHILL'!J1243,"AAAAAB+t/zE=")</f>
        <v>#VALUE!</v>
      </c>
      <c r="AY298">
        <f>IF('STERLING CATALOG - FZN &amp; CHILL'!1244:1244,"AAAAAB+t/zI=",0)</f>
        <v>0</v>
      </c>
      <c r="AZ298" t="e">
        <f>AND('STERLING CATALOG - FZN &amp; CHILL'!A1244,"AAAAAB+t/zM=")</f>
        <v>#VALUE!</v>
      </c>
      <c r="BA298" t="e">
        <f>AND('STERLING CATALOG - FZN &amp; CHILL'!B1244,"AAAAAB+t/zQ=")</f>
        <v>#VALUE!</v>
      </c>
      <c r="BB298" t="e">
        <f>AND('STERLING CATALOG - FZN &amp; CHILL'!C1244,"AAAAAB+t/zU=")</f>
        <v>#VALUE!</v>
      </c>
      <c r="BC298" t="e">
        <f>AND('STERLING CATALOG - FZN &amp; CHILL'!D1244,"AAAAAB+t/zY=")</f>
        <v>#VALUE!</v>
      </c>
      <c r="BD298" t="e">
        <f>AND('STERLING CATALOG - FZN &amp; CHILL'!E1244,"AAAAAB+t/zc=")</f>
        <v>#VALUE!</v>
      </c>
      <c r="BE298" t="e">
        <f>AND('STERLING CATALOG - FZN &amp; CHILL'!F1244,"AAAAAB+t/zg=")</f>
        <v>#VALUE!</v>
      </c>
      <c r="BF298" t="e">
        <f>AND('STERLING CATALOG - FZN &amp; CHILL'!G1244,"AAAAAB+t/zk=")</f>
        <v>#VALUE!</v>
      </c>
      <c r="BG298" t="e">
        <f>AND('STERLING CATALOG - FZN &amp; CHILL'!H1244,"AAAAAB+t/zo=")</f>
        <v>#VALUE!</v>
      </c>
      <c r="BH298" t="e">
        <f>AND('STERLING CATALOG - FZN &amp; CHILL'!I1244,"AAAAAB+t/zs=")</f>
        <v>#VALUE!</v>
      </c>
      <c r="BI298" t="e">
        <f>AND('STERLING CATALOG - FZN &amp; CHILL'!J1244,"AAAAAB+t/zw=")</f>
        <v>#VALUE!</v>
      </c>
      <c r="BJ298">
        <f>IF('STERLING CATALOG - FZN &amp; CHILL'!1245:1245,"AAAAAB+t/z0=",0)</f>
        <v>0</v>
      </c>
      <c r="BK298" t="e">
        <f>AND('STERLING CATALOG - FZN &amp; CHILL'!A1245,"AAAAAB+t/z4=")</f>
        <v>#VALUE!</v>
      </c>
      <c r="BL298" t="e">
        <f>AND('STERLING CATALOG - FZN &amp; CHILL'!B1245,"AAAAAB+t/z8=")</f>
        <v>#VALUE!</v>
      </c>
      <c r="BM298" t="e">
        <f>AND('STERLING CATALOG - FZN &amp; CHILL'!C1245,"AAAAAB+t/0A=")</f>
        <v>#VALUE!</v>
      </c>
      <c r="BN298" t="e">
        <f>AND('STERLING CATALOG - FZN &amp; CHILL'!D1245,"AAAAAB+t/0E=")</f>
        <v>#VALUE!</v>
      </c>
      <c r="BO298" t="e">
        <f>AND('STERLING CATALOG - FZN &amp; CHILL'!E1245,"AAAAAB+t/0I=")</f>
        <v>#VALUE!</v>
      </c>
      <c r="BP298" t="e">
        <f>AND('STERLING CATALOG - FZN &amp; CHILL'!F1245,"AAAAAB+t/0M=")</f>
        <v>#VALUE!</v>
      </c>
      <c r="BQ298" t="e">
        <f>AND('STERLING CATALOG - FZN &amp; CHILL'!G1245,"AAAAAB+t/0Q=")</f>
        <v>#VALUE!</v>
      </c>
      <c r="BR298" t="e">
        <f>AND('STERLING CATALOG - FZN &amp; CHILL'!H1245,"AAAAAB+t/0U=")</f>
        <v>#VALUE!</v>
      </c>
      <c r="BS298" t="e">
        <f>AND('STERLING CATALOG - FZN &amp; CHILL'!I1245,"AAAAAB+t/0Y=")</f>
        <v>#VALUE!</v>
      </c>
      <c r="BT298" t="e">
        <f>AND('STERLING CATALOG - FZN &amp; CHILL'!J1245,"AAAAAB+t/0c=")</f>
        <v>#VALUE!</v>
      </c>
      <c r="BU298">
        <f>IF('STERLING CATALOG - FZN &amp; CHILL'!1246:1246,"AAAAAB+t/0g=",0)</f>
        <v>0</v>
      </c>
      <c r="BV298" t="e">
        <f>AND('STERLING CATALOG - FZN &amp; CHILL'!A1246,"AAAAAB+t/0k=")</f>
        <v>#VALUE!</v>
      </c>
      <c r="BW298" t="e">
        <f>AND('STERLING CATALOG - FZN &amp; CHILL'!B1246,"AAAAAB+t/0o=")</f>
        <v>#VALUE!</v>
      </c>
      <c r="BX298" t="e">
        <f>AND('STERLING CATALOG - FZN &amp; CHILL'!C1246,"AAAAAB+t/0s=")</f>
        <v>#VALUE!</v>
      </c>
      <c r="BY298" t="e">
        <f>AND('STERLING CATALOG - FZN &amp; CHILL'!D1246,"AAAAAB+t/0w=")</f>
        <v>#VALUE!</v>
      </c>
      <c r="BZ298" t="e">
        <f>AND('STERLING CATALOG - FZN &amp; CHILL'!E1246,"AAAAAB+t/00=")</f>
        <v>#VALUE!</v>
      </c>
      <c r="CA298" t="e">
        <f>AND('STERLING CATALOG - FZN &amp; CHILL'!F1246,"AAAAAB+t/04=")</f>
        <v>#VALUE!</v>
      </c>
      <c r="CB298" t="e">
        <f>AND('STERLING CATALOG - FZN &amp; CHILL'!G1246,"AAAAAB+t/08=")</f>
        <v>#VALUE!</v>
      </c>
      <c r="CC298" t="e">
        <f>AND('STERLING CATALOG - FZN &amp; CHILL'!H1246,"AAAAAB+t/1A=")</f>
        <v>#VALUE!</v>
      </c>
      <c r="CD298" t="e">
        <f>AND('STERLING CATALOG - FZN &amp; CHILL'!I1246,"AAAAAB+t/1E=")</f>
        <v>#VALUE!</v>
      </c>
      <c r="CE298" t="e">
        <f>AND('STERLING CATALOG - FZN &amp; CHILL'!J1246,"AAAAAB+t/1I=")</f>
        <v>#VALUE!</v>
      </c>
      <c r="CF298">
        <f>IF('STERLING CATALOG - FZN &amp; CHILL'!1247:1247,"AAAAAB+t/1M=",0)</f>
        <v>0</v>
      </c>
      <c r="CG298" t="e">
        <f>AND('STERLING CATALOG - FZN &amp; CHILL'!A1247,"AAAAAB+t/1Q=")</f>
        <v>#VALUE!</v>
      </c>
      <c r="CH298" t="e">
        <f>AND('STERLING CATALOG - FZN &amp; CHILL'!B1247,"AAAAAB+t/1U=")</f>
        <v>#VALUE!</v>
      </c>
      <c r="CI298" t="e">
        <f>AND('STERLING CATALOG - FZN &amp; CHILL'!C1247,"AAAAAB+t/1Y=")</f>
        <v>#VALUE!</v>
      </c>
      <c r="CJ298" t="e">
        <f>AND('STERLING CATALOG - FZN &amp; CHILL'!D1247,"AAAAAB+t/1c=")</f>
        <v>#VALUE!</v>
      </c>
      <c r="CK298" t="e">
        <f>AND('STERLING CATALOG - FZN &amp; CHILL'!E1247,"AAAAAB+t/1g=")</f>
        <v>#VALUE!</v>
      </c>
      <c r="CL298" t="e">
        <f>AND('STERLING CATALOG - FZN &amp; CHILL'!F1247,"AAAAAB+t/1k=")</f>
        <v>#VALUE!</v>
      </c>
      <c r="CM298" t="e">
        <f>AND('STERLING CATALOG - FZN &amp; CHILL'!G1247,"AAAAAB+t/1o=")</f>
        <v>#VALUE!</v>
      </c>
      <c r="CN298" t="e">
        <f>AND('STERLING CATALOG - FZN &amp; CHILL'!H1247,"AAAAAB+t/1s=")</f>
        <v>#VALUE!</v>
      </c>
      <c r="CO298" t="e">
        <f>AND('STERLING CATALOG - FZN &amp; CHILL'!I1247,"AAAAAB+t/1w=")</f>
        <v>#VALUE!</v>
      </c>
      <c r="CP298" t="e">
        <f>AND('STERLING CATALOG - FZN &amp; CHILL'!J1247,"AAAAAB+t/10=")</f>
        <v>#VALUE!</v>
      </c>
      <c r="CQ298">
        <f>IF('STERLING CATALOG - FZN &amp; CHILL'!1248:1248,"AAAAAB+t/14=",0)</f>
        <v>0</v>
      </c>
      <c r="CR298" t="e">
        <f>AND('STERLING CATALOG - FZN &amp; CHILL'!A1248,"AAAAAB+t/18=")</f>
        <v>#VALUE!</v>
      </c>
      <c r="CS298" t="e">
        <f>AND('STERLING CATALOG - FZN &amp; CHILL'!B1248,"AAAAAB+t/2A=")</f>
        <v>#VALUE!</v>
      </c>
      <c r="CT298" t="e">
        <f>AND('STERLING CATALOG - FZN &amp; CHILL'!C1248,"AAAAAB+t/2E=")</f>
        <v>#VALUE!</v>
      </c>
      <c r="CU298" t="e">
        <f>AND('STERLING CATALOG - FZN &amp; CHILL'!D1248,"AAAAAB+t/2I=")</f>
        <v>#VALUE!</v>
      </c>
      <c r="CV298" t="e">
        <f>AND('STERLING CATALOG - FZN &amp; CHILL'!E1248,"AAAAAB+t/2M=")</f>
        <v>#VALUE!</v>
      </c>
      <c r="CW298" t="e">
        <f>AND('STERLING CATALOG - FZN &amp; CHILL'!F1248,"AAAAAB+t/2Q=")</f>
        <v>#VALUE!</v>
      </c>
      <c r="CX298" t="e">
        <f>AND('STERLING CATALOG - FZN &amp; CHILL'!G1248,"AAAAAB+t/2U=")</f>
        <v>#VALUE!</v>
      </c>
      <c r="CY298" t="e">
        <f>AND('STERLING CATALOG - FZN &amp; CHILL'!H1248,"AAAAAB+t/2Y=")</f>
        <v>#VALUE!</v>
      </c>
      <c r="CZ298" t="e">
        <f>AND('STERLING CATALOG - FZN &amp; CHILL'!I1248,"AAAAAB+t/2c=")</f>
        <v>#VALUE!</v>
      </c>
      <c r="DA298" t="e">
        <f>AND('STERLING CATALOG - FZN &amp; CHILL'!J1248,"AAAAAB+t/2g=")</f>
        <v>#VALUE!</v>
      </c>
      <c r="DB298">
        <f>IF('STERLING CATALOG - FZN &amp; CHILL'!1249:1249,"AAAAAB+t/2k=",0)</f>
        <v>0</v>
      </c>
      <c r="DC298" t="e">
        <f>AND('STERLING CATALOG - FZN &amp; CHILL'!A1249,"AAAAAB+t/2o=")</f>
        <v>#VALUE!</v>
      </c>
      <c r="DD298" t="e">
        <f>AND('STERLING CATALOG - FZN &amp; CHILL'!B1249,"AAAAAB+t/2s=")</f>
        <v>#VALUE!</v>
      </c>
      <c r="DE298" t="e">
        <f>AND('STERLING CATALOG - FZN &amp; CHILL'!C1249,"AAAAAB+t/2w=")</f>
        <v>#VALUE!</v>
      </c>
      <c r="DF298" t="e">
        <f>AND('STERLING CATALOG - FZN &amp; CHILL'!D1249,"AAAAAB+t/20=")</f>
        <v>#VALUE!</v>
      </c>
      <c r="DG298" t="e">
        <f>AND('STERLING CATALOG - FZN &amp; CHILL'!E1249,"AAAAAB+t/24=")</f>
        <v>#VALUE!</v>
      </c>
      <c r="DH298" t="e">
        <f>AND('STERLING CATALOG - FZN &amp; CHILL'!F1249,"AAAAAB+t/28=")</f>
        <v>#VALUE!</v>
      </c>
      <c r="DI298" t="e">
        <f>AND('STERLING CATALOG - FZN &amp; CHILL'!G1249,"AAAAAB+t/3A=")</f>
        <v>#VALUE!</v>
      </c>
      <c r="DJ298" t="e">
        <f>AND('STERLING CATALOG - FZN &amp; CHILL'!H1249,"AAAAAB+t/3E=")</f>
        <v>#VALUE!</v>
      </c>
      <c r="DK298" t="e">
        <f>AND('STERLING CATALOG - FZN &amp; CHILL'!I1249,"AAAAAB+t/3I=")</f>
        <v>#VALUE!</v>
      </c>
      <c r="DL298" t="e">
        <f>AND('STERLING CATALOG - FZN &amp; CHILL'!J1249,"AAAAAB+t/3M=")</f>
        <v>#VALUE!</v>
      </c>
      <c r="DM298">
        <f>IF('STERLING CATALOG - FZN &amp; CHILL'!1250:1250,"AAAAAB+t/3Q=",0)</f>
        <v>0</v>
      </c>
      <c r="DN298" t="e">
        <f>AND('STERLING CATALOG - FZN &amp; CHILL'!A1250,"AAAAAB+t/3U=")</f>
        <v>#VALUE!</v>
      </c>
      <c r="DO298" t="e">
        <f>AND('STERLING CATALOG - FZN &amp; CHILL'!B1250,"AAAAAB+t/3Y=")</f>
        <v>#VALUE!</v>
      </c>
      <c r="DP298" t="e">
        <f>AND('STERLING CATALOG - FZN &amp; CHILL'!C1250,"AAAAAB+t/3c=")</f>
        <v>#VALUE!</v>
      </c>
      <c r="DQ298" t="e">
        <f>AND('STERLING CATALOG - FZN &amp; CHILL'!D1250,"AAAAAB+t/3g=")</f>
        <v>#VALUE!</v>
      </c>
      <c r="DR298" t="e">
        <f>AND('STERLING CATALOG - FZN &amp; CHILL'!E1250,"AAAAAB+t/3k=")</f>
        <v>#VALUE!</v>
      </c>
      <c r="DS298" t="e">
        <f>AND('STERLING CATALOG - FZN &amp; CHILL'!F1250,"AAAAAB+t/3o=")</f>
        <v>#VALUE!</v>
      </c>
      <c r="DT298" t="e">
        <f>AND('STERLING CATALOG - FZN &amp; CHILL'!G1250,"AAAAAB+t/3s=")</f>
        <v>#VALUE!</v>
      </c>
      <c r="DU298" t="e">
        <f>AND('STERLING CATALOG - FZN &amp; CHILL'!H1250,"AAAAAB+t/3w=")</f>
        <v>#VALUE!</v>
      </c>
      <c r="DV298" t="e">
        <f>AND('STERLING CATALOG - FZN &amp; CHILL'!I1250,"AAAAAB+t/30=")</f>
        <v>#VALUE!</v>
      </c>
      <c r="DW298" t="e">
        <f>AND('STERLING CATALOG - FZN &amp; CHILL'!J1250,"AAAAAB+t/34=")</f>
        <v>#VALUE!</v>
      </c>
      <c r="DX298">
        <f>IF('STERLING CATALOG - FZN &amp; CHILL'!1251:1251,"AAAAAB+t/38=",0)</f>
        <v>0</v>
      </c>
      <c r="DY298" t="e">
        <f>AND('STERLING CATALOG - FZN &amp; CHILL'!A1251,"AAAAAB+t/4A=")</f>
        <v>#VALUE!</v>
      </c>
      <c r="DZ298" t="e">
        <f>AND('STERLING CATALOG - FZN &amp; CHILL'!B1251,"AAAAAB+t/4E=")</f>
        <v>#VALUE!</v>
      </c>
      <c r="EA298" t="e">
        <f>AND('STERLING CATALOG - FZN &amp; CHILL'!C1251,"AAAAAB+t/4I=")</f>
        <v>#VALUE!</v>
      </c>
      <c r="EB298" t="e">
        <f>AND('STERLING CATALOG - FZN &amp; CHILL'!D1251,"AAAAAB+t/4M=")</f>
        <v>#VALUE!</v>
      </c>
      <c r="EC298" t="e">
        <f>AND('STERLING CATALOG - FZN &amp; CHILL'!E1251,"AAAAAB+t/4Q=")</f>
        <v>#VALUE!</v>
      </c>
      <c r="ED298" t="e">
        <f>AND('STERLING CATALOG - FZN &amp; CHILL'!F1251,"AAAAAB+t/4U=")</f>
        <v>#VALUE!</v>
      </c>
      <c r="EE298" t="e">
        <f>AND('STERLING CATALOG - FZN &amp; CHILL'!G1251,"AAAAAB+t/4Y=")</f>
        <v>#VALUE!</v>
      </c>
      <c r="EF298" t="e">
        <f>AND('STERLING CATALOG - FZN &amp; CHILL'!H1251,"AAAAAB+t/4c=")</f>
        <v>#VALUE!</v>
      </c>
      <c r="EG298" t="e">
        <f>AND('STERLING CATALOG - FZN &amp; CHILL'!I1251,"AAAAAB+t/4g=")</f>
        <v>#VALUE!</v>
      </c>
      <c r="EH298" t="e">
        <f>AND('STERLING CATALOG - FZN &amp; CHILL'!J1251,"AAAAAB+t/4k=")</f>
        <v>#VALUE!</v>
      </c>
      <c r="EI298">
        <f>IF('STERLING CATALOG - FZN &amp; CHILL'!1252:1252,"AAAAAB+t/4o=",0)</f>
        <v>0</v>
      </c>
      <c r="EJ298" t="e">
        <f>AND('STERLING CATALOG - FZN &amp; CHILL'!A1252,"AAAAAB+t/4s=")</f>
        <v>#VALUE!</v>
      </c>
      <c r="EK298" t="e">
        <f>AND('STERLING CATALOG - FZN &amp; CHILL'!B1252,"AAAAAB+t/4w=")</f>
        <v>#VALUE!</v>
      </c>
      <c r="EL298" t="e">
        <f>AND('STERLING CATALOG - FZN &amp; CHILL'!C1252,"AAAAAB+t/40=")</f>
        <v>#VALUE!</v>
      </c>
      <c r="EM298" t="e">
        <f>AND('STERLING CATALOG - FZN &amp; CHILL'!D1252,"AAAAAB+t/44=")</f>
        <v>#VALUE!</v>
      </c>
      <c r="EN298" t="e">
        <f>AND('STERLING CATALOG - FZN &amp; CHILL'!E1252,"AAAAAB+t/48=")</f>
        <v>#VALUE!</v>
      </c>
      <c r="EO298" t="e">
        <f>AND('STERLING CATALOG - FZN &amp; CHILL'!F1252,"AAAAAB+t/5A=")</f>
        <v>#VALUE!</v>
      </c>
      <c r="EP298" t="e">
        <f>AND('STERLING CATALOG - FZN &amp; CHILL'!G1252,"AAAAAB+t/5E=")</f>
        <v>#VALUE!</v>
      </c>
      <c r="EQ298" t="e">
        <f>AND('STERLING CATALOG - FZN &amp; CHILL'!H1252,"AAAAAB+t/5I=")</f>
        <v>#VALUE!</v>
      </c>
      <c r="ER298" t="e">
        <f>AND('STERLING CATALOG - FZN &amp; CHILL'!I1252,"AAAAAB+t/5M=")</f>
        <v>#VALUE!</v>
      </c>
      <c r="ES298" t="e">
        <f>AND('STERLING CATALOG - FZN &amp; CHILL'!J1252,"AAAAAB+t/5Q=")</f>
        <v>#VALUE!</v>
      </c>
      <c r="ET298">
        <f>IF('STERLING CATALOG - FZN &amp; CHILL'!1253:1253,"AAAAAB+t/5U=",0)</f>
        <v>0</v>
      </c>
      <c r="EU298" t="e">
        <f>AND('STERLING CATALOG - FZN &amp; CHILL'!A1253,"AAAAAB+t/5Y=")</f>
        <v>#VALUE!</v>
      </c>
      <c r="EV298" t="e">
        <f>AND('STERLING CATALOG - FZN &amp; CHILL'!B1253,"AAAAAB+t/5c=")</f>
        <v>#VALUE!</v>
      </c>
      <c r="EW298" t="e">
        <f>AND('STERLING CATALOG - FZN &amp; CHILL'!C1253,"AAAAAB+t/5g=")</f>
        <v>#VALUE!</v>
      </c>
      <c r="EX298" t="e">
        <f>AND('STERLING CATALOG - FZN &amp; CHILL'!D1253,"AAAAAB+t/5k=")</f>
        <v>#VALUE!</v>
      </c>
      <c r="EY298" t="e">
        <f>AND('STERLING CATALOG - FZN &amp; CHILL'!E1253,"AAAAAB+t/5o=")</f>
        <v>#VALUE!</v>
      </c>
      <c r="EZ298" t="e">
        <f>AND('STERLING CATALOG - FZN &amp; CHILL'!F1253,"AAAAAB+t/5s=")</f>
        <v>#VALUE!</v>
      </c>
      <c r="FA298" t="e">
        <f>AND('STERLING CATALOG - FZN &amp; CHILL'!G1253,"AAAAAB+t/5w=")</f>
        <v>#VALUE!</v>
      </c>
      <c r="FB298" t="e">
        <f>AND('STERLING CATALOG - FZN &amp; CHILL'!H1253,"AAAAAB+t/50=")</f>
        <v>#VALUE!</v>
      </c>
      <c r="FC298" t="e">
        <f>AND('STERLING CATALOG - FZN &amp; CHILL'!I1253,"AAAAAB+t/54=")</f>
        <v>#VALUE!</v>
      </c>
      <c r="FD298" t="e">
        <f>AND('STERLING CATALOG - FZN &amp; CHILL'!J1253,"AAAAAB+t/58=")</f>
        <v>#VALUE!</v>
      </c>
      <c r="FE298">
        <f>IF('STERLING CATALOG - FZN &amp; CHILL'!1254:1254,"AAAAAB+t/6A=",0)</f>
        <v>0</v>
      </c>
      <c r="FF298" t="e">
        <f>AND('STERLING CATALOG - FZN &amp; CHILL'!A1254,"AAAAAB+t/6E=")</f>
        <v>#VALUE!</v>
      </c>
      <c r="FG298" t="e">
        <f>AND('STERLING CATALOG - FZN &amp; CHILL'!B1254,"AAAAAB+t/6I=")</f>
        <v>#VALUE!</v>
      </c>
      <c r="FH298" t="e">
        <f>AND('STERLING CATALOG - FZN &amp; CHILL'!C1254,"AAAAAB+t/6M=")</f>
        <v>#VALUE!</v>
      </c>
      <c r="FI298" t="e">
        <f>AND('STERLING CATALOG - FZN &amp; CHILL'!D1254,"AAAAAB+t/6Q=")</f>
        <v>#VALUE!</v>
      </c>
      <c r="FJ298" t="e">
        <f>AND('STERLING CATALOG - FZN &amp; CHILL'!E1254,"AAAAAB+t/6U=")</f>
        <v>#VALUE!</v>
      </c>
      <c r="FK298" t="e">
        <f>AND('STERLING CATALOG - FZN &amp; CHILL'!F1254,"AAAAAB+t/6Y=")</f>
        <v>#VALUE!</v>
      </c>
      <c r="FL298" t="e">
        <f>AND('STERLING CATALOG - FZN &amp; CHILL'!G1254,"AAAAAB+t/6c=")</f>
        <v>#VALUE!</v>
      </c>
      <c r="FM298" t="e">
        <f>AND('STERLING CATALOG - FZN &amp; CHILL'!H1254,"AAAAAB+t/6g=")</f>
        <v>#VALUE!</v>
      </c>
      <c r="FN298" t="e">
        <f>AND('STERLING CATALOG - FZN &amp; CHILL'!I1254,"AAAAAB+t/6k=")</f>
        <v>#VALUE!</v>
      </c>
      <c r="FO298" t="e">
        <f>AND('STERLING CATALOG - FZN &amp; CHILL'!J1254,"AAAAAB+t/6o=")</f>
        <v>#VALUE!</v>
      </c>
      <c r="FP298">
        <f>IF('STERLING CATALOG - FZN &amp; CHILL'!1255:1255,"AAAAAB+t/6s=",0)</f>
        <v>0</v>
      </c>
      <c r="FQ298" t="e">
        <f>AND('STERLING CATALOG - FZN &amp; CHILL'!A1255,"AAAAAB+t/6w=")</f>
        <v>#VALUE!</v>
      </c>
      <c r="FR298" t="e">
        <f>AND('STERLING CATALOG - FZN &amp; CHILL'!B1255,"AAAAAB+t/60=")</f>
        <v>#VALUE!</v>
      </c>
      <c r="FS298" t="e">
        <f>AND('STERLING CATALOG - FZN &amp; CHILL'!C1255,"AAAAAB+t/64=")</f>
        <v>#VALUE!</v>
      </c>
      <c r="FT298" t="e">
        <f>AND('STERLING CATALOG - FZN &amp; CHILL'!D1255,"AAAAAB+t/68=")</f>
        <v>#VALUE!</v>
      </c>
      <c r="FU298" t="e">
        <f>AND('STERLING CATALOG - FZN &amp; CHILL'!E1255,"AAAAAB+t/7A=")</f>
        <v>#VALUE!</v>
      </c>
      <c r="FV298" t="e">
        <f>AND('STERLING CATALOG - FZN &amp; CHILL'!F1255,"AAAAAB+t/7E=")</f>
        <v>#VALUE!</v>
      </c>
      <c r="FW298" t="e">
        <f>AND('STERLING CATALOG - FZN &amp; CHILL'!G1255,"AAAAAB+t/7I=")</f>
        <v>#VALUE!</v>
      </c>
      <c r="FX298" t="e">
        <f>AND('STERLING CATALOG - FZN &amp; CHILL'!H1255,"AAAAAB+t/7M=")</f>
        <v>#VALUE!</v>
      </c>
      <c r="FY298" t="e">
        <f>AND('STERLING CATALOG - FZN &amp; CHILL'!I1255,"AAAAAB+t/7Q=")</f>
        <v>#VALUE!</v>
      </c>
      <c r="FZ298" t="e">
        <f>AND('STERLING CATALOG - FZN &amp; CHILL'!J1255,"AAAAAB+t/7U=")</f>
        <v>#VALUE!</v>
      </c>
      <c r="GA298">
        <f>IF('STERLING CATALOG - FZN &amp; CHILL'!1256:1256,"AAAAAB+t/7Y=",0)</f>
        <v>0</v>
      </c>
      <c r="GB298" t="e">
        <f>AND('STERLING CATALOG - FZN &amp; CHILL'!A1256,"AAAAAB+t/7c=")</f>
        <v>#VALUE!</v>
      </c>
      <c r="GC298" t="e">
        <f>AND('STERLING CATALOG - FZN &amp; CHILL'!B1256,"AAAAAB+t/7g=")</f>
        <v>#VALUE!</v>
      </c>
      <c r="GD298" t="e">
        <f>AND('STERLING CATALOG - FZN &amp; CHILL'!C1256,"AAAAAB+t/7k=")</f>
        <v>#VALUE!</v>
      </c>
      <c r="GE298" t="e">
        <f>AND('STERLING CATALOG - FZN &amp; CHILL'!D1256,"AAAAAB+t/7o=")</f>
        <v>#VALUE!</v>
      </c>
      <c r="GF298" t="e">
        <f>AND('STERLING CATALOG - FZN &amp; CHILL'!E1256,"AAAAAB+t/7s=")</f>
        <v>#VALUE!</v>
      </c>
      <c r="GG298" t="e">
        <f>AND('STERLING CATALOG - FZN &amp; CHILL'!F1256,"AAAAAB+t/7w=")</f>
        <v>#VALUE!</v>
      </c>
      <c r="GH298" t="e">
        <f>AND('STERLING CATALOG - FZN &amp; CHILL'!G1256,"AAAAAB+t/70=")</f>
        <v>#VALUE!</v>
      </c>
      <c r="GI298" t="e">
        <f>AND('STERLING CATALOG - FZN &amp; CHILL'!H1256,"AAAAAB+t/74=")</f>
        <v>#VALUE!</v>
      </c>
      <c r="GJ298" t="e">
        <f>AND('STERLING CATALOG - FZN &amp; CHILL'!I1256,"AAAAAB+t/78=")</f>
        <v>#VALUE!</v>
      </c>
      <c r="GK298" t="e">
        <f>AND('STERLING CATALOG - FZN &amp; CHILL'!J1256,"AAAAAB+t/8A=")</f>
        <v>#VALUE!</v>
      </c>
      <c r="GL298">
        <f>IF('STERLING CATALOG - FZN &amp; CHILL'!1257:1257,"AAAAAB+t/8E=",0)</f>
        <v>0</v>
      </c>
      <c r="GM298" t="e">
        <f>AND('STERLING CATALOG - FZN &amp; CHILL'!A1257,"AAAAAB+t/8I=")</f>
        <v>#VALUE!</v>
      </c>
      <c r="GN298" t="e">
        <f>AND('STERLING CATALOG - FZN &amp; CHILL'!B1257,"AAAAAB+t/8M=")</f>
        <v>#VALUE!</v>
      </c>
      <c r="GO298" t="e">
        <f>AND('STERLING CATALOG - FZN &amp; CHILL'!C1257,"AAAAAB+t/8Q=")</f>
        <v>#VALUE!</v>
      </c>
      <c r="GP298" t="e">
        <f>AND('STERLING CATALOG - FZN &amp; CHILL'!D1257,"AAAAAB+t/8U=")</f>
        <v>#VALUE!</v>
      </c>
      <c r="GQ298" t="e">
        <f>AND('STERLING CATALOG - FZN &amp; CHILL'!E1257,"AAAAAB+t/8Y=")</f>
        <v>#VALUE!</v>
      </c>
      <c r="GR298" t="e">
        <f>AND('STERLING CATALOG - FZN &amp; CHILL'!F1257,"AAAAAB+t/8c=")</f>
        <v>#VALUE!</v>
      </c>
      <c r="GS298" t="e">
        <f>AND('STERLING CATALOG - FZN &amp; CHILL'!G1257,"AAAAAB+t/8g=")</f>
        <v>#VALUE!</v>
      </c>
      <c r="GT298" t="e">
        <f>AND('STERLING CATALOG - FZN &amp; CHILL'!H1257,"AAAAAB+t/8k=")</f>
        <v>#VALUE!</v>
      </c>
      <c r="GU298" t="e">
        <f>AND('STERLING CATALOG - FZN &amp; CHILL'!I1257,"AAAAAB+t/8o=")</f>
        <v>#VALUE!</v>
      </c>
      <c r="GV298" t="e">
        <f>AND('STERLING CATALOG - FZN &amp; CHILL'!J1257,"AAAAAB+t/8s=")</f>
        <v>#VALUE!</v>
      </c>
      <c r="GW298">
        <f>IF('STERLING CATALOG - FZN &amp; CHILL'!1258:1258,"AAAAAB+t/8w=",0)</f>
        <v>0</v>
      </c>
      <c r="GX298" t="e">
        <f>AND('STERLING CATALOG - FZN &amp; CHILL'!A1258,"AAAAAB+t/80=")</f>
        <v>#VALUE!</v>
      </c>
      <c r="GY298" t="e">
        <f>AND('STERLING CATALOG - FZN &amp; CHILL'!B1258,"AAAAAB+t/84=")</f>
        <v>#VALUE!</v>
      </c>
      <c r="GZ298" t="e">
        <f>AND('STERLING CATALOG - FZN &amp; CHILL'!C1258,"AAAAAB+t/88=")</f>
        <v>#VALUE!</v>
      </c>
      <c r="HA298" t="e">
        <f>AND('STERLING CATALOG - FZN &amp; CHILL'!D1258,"AAAAAB+t/9A=")</f>
        <v>#VALUE!</v>
      </c>
      <c r="HB298" t="e">
        <f>AND('STERLING CATALOG - FZN &amp; CHILL'!E1258,"AAAAAB+t/9E=")</f>
        <v>#VALUE!</v>
      </c>
      <c r="HC298" t="e">
        <f>AND('STERLING CATALOG - FZN &amp; CHILL'!F1258,"AAAAAB+t/9I=")</f>
        <v>#VALUE!</v>
      </c>
      <c r="HD298" t="e">
        <f>AND('STERLING CATALOG - FZN &amp; CHILL'!G1258,"AAAAAB+t/9M=")</f>
        <v>#VALUE!</v>
      </c>
      <c r="HE298" t="e">
        <f>AND('STERLING CATALOG - FZN &amp; CHILL'!H1258,"AAAAAB+t/9Q=")</f>
        <v>#VALUE!</v>
      </c>
      <c r="HF298" t="e">
        <f>AND('STERLING CATALOG - FZN &amp; CHILL'!I1258,"AAAAAB+t/9U=")</f>
        <v>#VALUE!</v>
      </c>
      <c r="HG298" t="e">
        <f>AND('STERLING CATALOG - FZN &amp; CHILL'!J1258,"AAAAAB+t/9Y=")</f>
        <v>#VALUE!</v>
      </c>
      <c r="HH298">
        <f>IF('STERLING CATALOG - FZN &amp; CHILL'!1259:1259,"AAAAAB+t/9c=",0)</f>
        <v>0</v>
      </c>
      <c r="HI298" t="e">
        <f>AND('STERLING CATALOG - FZN &amp; CHILL'!A1259,"AAAAAB+t/9g=")</f>
        <v>#VALUE!</v>
      </c>
      <c r="HJ298" t="e">
        <f>AND('STERLING CATALOG - FZN &amp; CHILL'!B1259,"AAAAAB+t/9k=")</f>
        <v>#VALUE!</v>
      </c>
      <c r="HK298" t="e">
        <f>AND('STERLING CATALOG - FZN &amp; CHILL'!C1259,"AAAAAB+t/9o=")</f>
        <v>#VALUE!</v>
      </c>
      <c r="HL298" t="e">
        <f>AND('STERLING CATALOG - FZN &amp; CHILL'!D1259,"AAAAAB+t/9s=")</f>
        <v>#VALUE!</v>
      </c>
      <c r="HM298" t="e">
        <f>AND('STERLING CATALOG - FZN &amp; CHILL'!E1259,"AAAAAB+t/9w=")</f>
        <v>#VALUE!</v>
      </c>
      <c r="HN298" t="e">
        <f>AND('STERLING CATALOG - FZN &amp; CHILL'!F1259,"AAAAAB+t/90=")</f>
        <v>#VALUE!</v>
      </c>
      <c r="HO298" t="e">
        <f>AND('STERLING CATALOG - FZN &amp; CHILL'!G1259,"AAAAAB+t/94=")</f>
        <v>#VALUE!</v>
      </c>
      <c r="HP298" t="e">
        <f>AND('STERLING CATALOG - FZN &amp; CHILL'!H1259,"AAAAAB+t/98=")</f>
        <v>#VALUE!</v>
      </c>
      <c r="HQ298" t="e">
        <f>AND('STERLING CATALOG - FZN &amp; CHILL'!I1259,"AAAAAB+t/+A=")</f>
        <v>#VALUE!</v>
      </c>
      <c r="HR298" t="e">
        <f>AND('STERLING CATALOG - FZN &amp; CHILL'!J1259,"AAAAAB+t/+E=")</f>
        <v>#VALUE!</v>
      </c>
      <c r="HS298">
        <f>IF('STERLING CATALOG - FZN &amp; CHILL'!1260:1260,"AAAAAB+t/+I=",0)</f>
        <v>0</v>
      </c>
      <c r="HT298" t="e">
        <f>AND('STERLING CATALOG - FZN &amp; CHILL'!A1260,"AAAAAB+t/+M=")</f>
        <v>#VALUE!</v>
      </c>
      <c r="HU298" t="e">
        <f>AND('STERLING CATALOG - FZN &amp; CHILL'!B1260,"AAAAAB+t/+Q=")</f>
        <v>#VALUE!</v>
      </c>
      <c r="HV298" t="e">
        <f>AND('STERLING CATALOG - FZN &amp; CHILL'!C1260,"AAAAAB+t/+U=")</f>
        <v>#VALUE!</v>
      </c>
      <c r="HW298" t="e">
        <f>AND('STERLING CATALOG - FZN &amp; CHILL'!D1260,"AAAAAB+t/+Y=")</f>
        <v>#VALUE!</v>
      </c>
      <c r="HX298" t="e">
        <f>AND('STERLING CATALOG - FZN &amp; CHILL'!E1260,"AAAAAB+t/+c=")</f>
        <v>#VALUE!</v>
      </c>
      <c r="HY298" t="e">
        <f>AND('STERLING CATALOG - FZN &amp; CHILL'!F1260,"AAAAAB+t/+g=")</f>
        <v>#VALUE!</v>
      </c>
      <c r="HZ298" t="e">
        <f>AND('STERLING CATALOG - FZN &amp; CHILL'!G1260,"AAAAAB+t/+k=")</f>
        <v>#VALUE!</v>
      </c>
      <c r="IA298" t="e">
        <f>AND('STERLING CATALOG - FZN &amp; CHILL'!H1260,"AAAAAB+t/+o=")</f>
        <v>#VALUE!</v>
      </c>
      <c r="IB298" t="e">
        <f>AND('STERLING CATALOG - FZN &amp; CHILL'!I1260,"AAAAAB+t/+s=")</f>
        <v>#VALUE!</v>
      </c>
      <c r="IC298" t="e">
        <f>AND('STERLING CATALOG - FZN &amp; CHILL'!J1260,"AAAAAB+t/+w=")</f>
        <v>#VALUE!</v>
      </c>
      <c r="ID298">
        <f>IF('STERLING CATALOG - FZN &amp; CHILL'!1261:1261,"AAAAAB+t/+0=",0)</f>
        <v>0</v>
      </c>
      <c r="IE298" t="e">
        <f>AND('STERLING CATALOG - FZN &amp; CHILL'!A1261,"AAAAAB+t/+4=")</f>
        <v>#VALUE!</v>
      </c>
      <c r="IF298" t="e">
        <f>AND('STERLING CATALOG - FZN &amp; CHILL'!B1261,"AAAAAB+t/+8=")</f>
        <v>#VALUE!</v>
      </c>
      <c r="IG298" t="e">
        <f>AND('STERLING CATALOG - FZN &amp; CHILL'!C1261,"AAAAAB+t//A=")</f>
        <v>#VALUE!</v>
      </c>
      <c r="IH298" t="e">
        <f>AND('STERLING CATALOG - FZN &amp; CHILL'!D1261,"AAAAAB+t//E=")</f>
        <v>#VALUE!</v>
      </c>
      <c r="II298" t="e">
        <f>AND('STERLING CATALOG - FZN &amp; CHILL'!E1261,"AAAAAB+t//I=")</f>
        <v>#VALUE!</v>
      </c>
      <c r="IJ298" t="e">
        <f>AND('STERLING CATALOG - FZN &amp; CHILL'!F1261,"AAAAAB+t//M=")</f>
        <v>#VALUE!</v>
      </c>
      <c r="IK298" t="e">
        <f>AND('STERLING CATALOG - FZN &amp; CHILL'!G1261,"AAAAAB+t//Q=")</f>
        <v>#VALUE!</v>
      </c>
      <c r="IL298" t="e">
        <f>AND('STERLING CATALOG - FZN &amp; CHILL'!H1261,"AAAAAB+t//U=")</f>
        <v>#VALUE!</v>
      </c>
      <c r="IM298" t="e">
        <f>AND('STERLING CATALOG - FZN &amp; CHILL'!I1261,"AAAAAB+t//Y=")</f>
        <v>#VALUE!</v>
      </c>
      <c r="IN298" t="e">
        <f>AND('STERLING CATALOG - FZN &amp; CHILL'!J1261,"AAAAAB+t//c=")</f>
        <v>#VALUE!</v>
      </c>
      <c r="IO298">
        <f>IF('STERLING CATALOG - FZN &amp; CHILL'!1262:1262,"AAAAAB+t//g=",0)</f>
        <v>0</v>
      </c>
      <c r="IP298" t="e">
        <f>AND('STERLING CATALOG - FZN &amp; CHILL'!A1262,"AAAAAB+t//k=")</f>
        <v>#VALUE!</v>
      </c>
      <c r="IQ298" t="e">
        <f>AND('STERLING CATALOG - FZN &amp; CHILL'!B1262,"AAAAAB+t//o=")</f>
        <v>#VALUE!</v>
      </c>
      <c r="IR298" t="e">
        <f>AND('STERLING CATALOG - FZN &amp; CHILL'!C1262,"AAAAAB+t//s=")</f>
        <v>#VALUE!</v>
      </c>
      <c r="IS298" t="e">
        <f>AND('STERLING CATALOG - FZN &amp; CHILL'!D1262,"AAAAAB+t//w=")</f>
        <v>#VALUE!</v>
      </c>
      <c r="IT298" t="e">
        <f>AND('STERLING CATALOG - FZN &amp; CHILL'!E1262,"AAAAAB+t//0=")</f>
        <v>#VALUE!</v>
      </c>
      <c r="IU298" t="e">
        <f>AND('STERLING CATALOG - FZN &amp; CHILL'!F1262,"AAAAAB+t//4=")</f>
        <v>#VALUE!</v>
      </c>
      <c r="IV298" t="e">
        <f>AND('STERLING CATALOG - FZN &amp; CHILL'!G1262,"AAAAAB+t//8=")</f>
        <v>#VALUE!</v>
      </c>
    </row>
    <row r="299" spans="1:256">
      <c r="A299" t="e">
        <f>AND('STERLING CATALOG - FZN &amp; CHILL'!H1262,"AAAAAHz+NwA=")</f>
        <v>#VALUE!</v>
      </c>
      <c r="B299" t="e">
        <f>AND('STERLING CATALOG - FZN &amp; CHILL'!I1262,"AAAAAHz+NwE=")</f>
        <v>#VALUE!</v>
      </c>
      <c r="C299" t="e">
        <f>AND('STERLING CATALOG - FZN &amp; CHILL'!J1262,"AAAAAHz+NwI=")</f>
        <v>#VALUE!</v>
      </c>
      <c r="D299" t="e">
        <f>IF('STERLING CATALOG - FZN &amp; CHILL'!1263:1263,"AAAAAHz+NwM=",0)</f>
        <v>#VALUE!</v>
      </c>
      <c r="E299" t="e">
        <f>AND('STERLING CATALOG - FZN &amp; CHILL'!A1263,"AAAAAHz+NwQ=")</f>
        <v>#VALUE!</v>
      </c>
      <c r="F299" t="e">
        <f>AND('STERLING CATALOG - FZN &amp; CHILL'!B1263,"AAAAAHz+NwU=")</f>
        <v>#VALUE!</v>
      </c>
      <c r="G299" t="e">
        <f>AND('STERLING CATALOG - FZN &amp; CHILL'!C1263,"AAAAAHz+NwY=")</f>
        <v>#VALUE!</v>
      </c>
      <c r="H299" t="e">
        <f>AND('STERLING CATALOG - FZN &amp; CHILL'!D1263,"AAAAAHz+Nwc=")</f>
        <v>#VALUE!</v>
      </c>
      <c r="I299" t="e">
        <f>AND('STERLING CATALOG - FZN &amp; CHILL'!E1263,"AAAAAHz+Nwg=")</f>
        <v>#VALUE!</v>
      </c>
      <c r="J299" t="e">
        <f>AND('STERLING CATALOG - FZN &amp; CHILL'!F1263,"AAAAAHz+Nwk=")</f>
        <v>#VALUE!</v>
      </c>
      <c r="K299" t="e">
        <f>AND('STERLING CATALOG - FZN &amp; CHILL'!G1263,"AAAAAHz+Nwo=")</f>
        <v>#VALUE!</v>
      </c>
      <c r="L299" t="e">
        <f>AND('STERLING CATALOG - FZN &amp; CHILL'!H1263,"AAAAAHz+Nws=")</f>
        <v>#VALUE!</v>
      </c>
      <c r="M299" t="e">
        <f>AND('STERLING CATALOG - FZN &amp; CHILL'!I1263,"AAAAAHz+Nww=")</f>
        <v>#VALUE!</v>
      </c>
      <c r="N299" t="e">
        <f>AND('STERLING CATALOG - FZN &amp; CHILL'!J1263,"AAAAAHz+Nw0=")</f>
        <v>#VALUE!</v>
      </c>
      <c r="O299">
        <f>IF('STERLING CATALOG - FZN &amp; CHILL'!1264:1264,"AAAAAHz+Nw4=",0)</f>
        <v>0</v>
      </c>
      <c r="P299" t="e">
        <f>AND('STERLING CATALOG - FZN &amp; CHILL'!A1264,"AAAAAHz+Nw8=")</f>
        <v>#VALUE!</v>
      </c>
      <c r="Q299" t="e">
        <f>AND('STERLING CATALOG - FZN &amp; CHILL'!B1264,"AAAAAHz+NxA=")</f>
        <v>#VALUE!</v>
      </c>
      <c r="R299" t="e">
        <f>AND('STERLING CATALOG - FZN &amp; CHILL'!C1264,"AAAAAHz+NxE=")</f>
        <v>#VALUE!</v>
      </c>
      <c r="S299" t="e">
        <f>AND('STERLING CATALOG - FZN &amp; CHILL'!D1264,"AAAAAHz+NxI=")</f>
        <v>#VALUE!</v>
      </c>
      <c r="T299" t="e">
        <f>AND('STERLING CATALOG - FZN &amp; CHILL'!E1264,"AAAAAHz+NxM=")</f>
        <v>#VALUE!</v>
      </c>
      <c r="U299" t="e">
        <f>AND('STERLING CATALOG - FZN &amp; CHILL'!F1264,"AAAAAHz+NxQ=")</f>
        <v>#VALUE!</v>
      </c>
      <c r="V299" t="e">
        <f>AND('STERLING CATALOG - FZN &amp; CHILL'!G1264,"AAAAAHz+NxU=")</f>
        <v>#VALUE!</v>
      </c>
      <c r="W299" t="e">
        <f>AND('STERLING CATALOG - FZN &amp; CHILL'!H1264,"AAAAAHz+NxY=")</f>
        <v>#VALUE!</v>
      </c>
      <c r="X299" t="e">
        <f>AND('STERLING CATALOG - FZN &amp; CHILL'!I1264,"AAAAAHz+Nxc=")</f>
        <v>#VALUE!</v>
      </c>
      <c r="Y299" t="e">
        <f>AND('STERLING CATALOG - FZN &amp; CHILL'!J1264,"AAAAAHz+Nxg=")</f>
        <v>#VALUE!</v>
      </c>
      <c r="Z299">
        <f>IF('STERLING CATALOG - FZN &amp; CHILL'!1265:1265,"AAAAAHz+Nxk=",0)</f>
        <v>0</v>
      </c>
      <c r="AA299" t="e">
        <f>AND('STERLING CATALOG - FZN &amp; CHILL'!A1265,"AAAAAHz+Nxo=")</f>
        <v>#VALUE!</v>
      </c>
      <c r="AB299" t="e">
        <f>AND('STERLING CATALOG - FZN &amp; CHILL'!B1265,"AAAAAHz+Nxs=")</f>
        <v>#VALUE!</v>
      </c>
      <c r="AC299" t="e">
        <f>AND('STERLING CATALOG - FZN &amp; CHILL'!C1265,"AAAAAHz+Nxw=")</f>
        <v>#VALUE!</v>
      </c>
      <c r="AD299" t="e">
        <f>AND('STERLING CATALOG - FZN &amp; CHILL'!D1265,"AAAAAHz+Nx0=")</f>
        <v>#VALUE!</v>
      </c>
      <c r="AE299" t="e">
        <f>AND('STERLING CATALOG - FZN &amp; CHILL'!E1265,"AAAAAHz+Nx4=")</f>
        <v>#VALUE!</v>
      </c>
      <c r="AF299" t="e">
        <f>AND('STERLING CATALOG - FZN &amp; CHILL'!F1265,"AAAAAHz+Nx8=")</f>
        <v>#VALUE!</v>
      </c>
      <c r="AG299" t="e">
        <f>AND('STERLING CATALOG - FZN &amp; CHILL'!G1265,"AAAAAHz+NyA=")</f>
        <v>#VALUE!</v>
      </c>
      <c r="AH299" t="e">
        <f>AND('STERLING CATALOG - FZN &amp; CHILL'!H1265,"AAAAAHz+NyE=")</f>
        <v>#VALUE!</v>
      </c>
      <c r="AI299" t="e">
        <f>AND('STERLING CATALOG - FZN &amp; CHILL'!I1265,"AAAAAHz+NyI=")</f>
        <v>#VALUE!</v>
      </c>
      <c r="AJ299" t="e">
        <f>AND('STERLING CATALOG - FZN &amp; CHILL'!J1265,"AAAAAHz+NyM=")</f>
        <v>#VALUE!</v>
      </c>
      <c r="AK299">
        <f>IF('STERLING CATALOG - FZN &amp; CHILL'!1266:1266,"AAAAAHz+NyQ=",0)</f>
        <v>0</v>
      </c>
      <c r="AL299" t="e">
        <f>AND('STERLING CATALOG - FZN &amp; CHILL'!A1266,"AAAAAHz+NyU=")</f>
        <v>#VALUE!</v>
      </c>
      <c r="AM299" t="e">
        <f>AND('STERLING CATALOG - FZN &amp; CHILL'!B1266,"AAAAAHz+NyY=")</f>
        <v>#VALUE!</v>
      </c>
      <c r="AN299" t="e">
        <f>AND('STERLING CATALOG - FZN &amp; CHILL'!C1266,"AAAAAHz+Nyc=")</f>
        <v>#VALUE!</v>
      </c>
      <c r="AO299" t="e">
        <f>AND('STERLING CATALOG - FZN &amp; CHILL'!D1266,"AAAAAHz+Nyg=")</f>
        <v>#VALUE!</v>
      </c>
      <c r="AP299" t="e">
        <f>AND('STERLING CATALOG - FZN &amp; CHILL'!E1266,"AAAAAHz+Nyk=")</f>
        <v>#VALUE!</v>
      </c>
      <c r="AQ299" t="e">
        <f>AND('STERLING CATALOG - FZN &amp; CHILL'!F1266,"AAAAAHz+Nyo=")</f>
        <v>#VALUE!</v>
      </c>
      <c r="AR299" t="e">
        <f>AND('STERLING CATALOG - FZN &amp; CHILL'!G1266,"AAAAAHz+Nys=")</f>
        <v>#VALUE!</v>
      </c>
      <c r="AS299" t="e">
        <f>AND('STERLING CATALOG - FZN &amp; CHILL'!H1266,"AAAAAHz+Nyw=")</f>
        <v>#VALUE!</v>
      </c>
      <c r="AT299" t="e">
        <f>AND('STERLING CATALOG - FZN &amp; CHILL'!I1266,"AAAAAHz+Ny0=")</f>
        <v>#VALUE!</v>
      </c>
      <c r="AU299" t="e">
        <f>AND('STERLING CATALOG - FZN &amp; CHILL'!J1266,"AAAAAHz+Ny4=")</f>
        <v>#VALUE!</v>
      </c>
      <c r="AV299">
        <f>IF('STERLING CATALOG - FZN &amp; CHILL'!1267:1267,"AAAAAHz+Ny8=",0)</f>
        <v>0</v>
      </c>
      <c r="AW299" t="e">
        <f>AND('STERLING CATALOG - FZN &amp; CHILL'!A1267,"AAAAAHz+NzA=")</f>
        <v>#VALUE!</v>
      </c>
      <c r="AX299" t="e">
        <f>AND('STERLING CATALOG - FZN &amp; CHILL'!B1267,"AAAAAHz+NzE=")</f>
        <v>#VALUE!</v>
      </c>
      <c r="AY299" t="e">
        <f>AND('STERLING CATALOG - FZN &amp; CHILL'!C1267,"AAAAAHz+NzI=")</f>
        <v>#VALUE!</v>
      </c>
      <c r="AZ299" t="e">
        <f>AND('STERLING CATALOG - FZN &amp; CHILL'!D1267,"AAAAAHz+NzM=")</f>
        <v>#VALUE!</v>
      </c>
      <c r="BA299" t="e">
        <f>AND('STERLING CATALOG - FZN &amp; CHILL'!E1267,"AAAAAHz+NzQ=")</f>
        <v>#VALUE!</v>
      </c>
      <c r="BB299" t="e">
        <f>AND('STERLING CATALOG - FZN &amp; CHILL'!F1267,"AAAAAHz+NzU=")</f>
        <v>#VALUE!</v>
      </c>
      <c r="BC299" t="e">
        <f>AND('STERLING CATALOG - FZN &amp; CHILL'!G1267,"AAAAAHz+NzY=")</f>
        <v>#VALUE!</v>
      </c>
      <c r="BD299" t="e">
        <f>AND('STERLING CATALOG - FZN &amp; CHILL'!H1267,"AAAAAHz+Nzc=")</f>
        <v>#VALUE!</v>
      </c>
      <c r="BE299" t="e">
        <f>AND('STERLING CATALOG - FZN &amp; CHILL'!I1267,"AAAAAHz+Nzg=")</f>
        <v>#VALUE!</v>
      </c>
      <c r="BF299" t="e">
        <f>AND('STERLING CATALOG - FZN &amp; CHILL'!J1267,"AAAAAHz+Nzk=")</f>
        <v>#VALUE!</v>
      </c>
      <c r="BG299">
        <f>IF('STERLING CATALOG - FZN &amp; CHILL'!1268:1268,"AAAAAHz+Nzo=",0)</f>
        <v>0</v>
      </c>
      <c r="BH299" t="e">
        <f>AND('STERLING CATALOG - FZN &amp; CHILL'!A1268,"AAAAAHz+Nzs=")</f>
        <v>#VALUE!</v>
      </c>
      <c r="BI299" t="e">
        <f>AND('STERLING CATALOG - FZN &amp; CHILL'!B1268,"AAAAAHz+Nzw=")</f>
        <v>#VALUE!</v>
      </c>
      <c r="BJ299" t="e">
        <f>AND('STERLING CATALOG - FZN &amp; CHILL'!C1268,"AAAAAHz+Nz0=")</f>
        <v>#VALUE!</v>
      </c>
      <c r="BK299" t="e">
        <f>AND('STERLING CATALOG - FZN &amp; CHILL'!D1268,"AAAAAHz+Nz4=")</f>
        <v>#VALUE!</v>
      </c>
      <c r="BL299" t="e">
        <f>AND('STERLING CATALOG - FZN &amp; CHILL'!E1268,"AAAAAHz+Nz8=")</f>
        <v>#VALUE!</v>
      </c>
      <c r="BM299" t="e">
        <f>AND('STERLING CATALOG - FZN &amp; CHILL'!F1268,"AAAAAHz+N0A=")</f>
        <v>#VALUE!</v>
      </c>
      <c r="BN299" t="e">
        <f>AND('STERLING CATALOG - FZN &amp; CHILL'!G1268,"AAAAAHz+N0E=")</f>
        <v>#VALUE!</v>
      </c>
      <c r="BO299" t="e">
        <f>AND('STERLING CATALOG - FZN &amp; CHILL'!H1268,"AAAAAHz+N0I=")</f>
        <v>#VALUE!</v>
      </c>
      <c r="BP299" t="e">
        <f>AND('STERLING CATALOG - FZN &amp; CHILL'!I1268,"AAAAAHz+N0M=")</f>
        <v>#VALUE!</v>
      </c>
      <c r="BQ299" t="e">
        <f>AND('STERLING CATALOG - FZN &amp; CHILL'!J1268,"AAAAAHz+N0Q=")</f>
        <v>#VALUE!</v>
      </c>
      <c r="BR299">
        <f>IF('STERLING CATALOG - FZN &amp; CHILL'!1269:1269,"AAAAAHz+N0U=",0)</f>
        <v>0</v>
      </c>
      <c r="BS299" t="e">
        <f>AND('STERLING CATALOG - FZN &amp; CHILL'!A1269,"AAAAAHz+N0Y=")</f>
        <v>#VALUE!</v>
      </c>
      <c r="BT299" t="e">
        <f>AND('STERLING CATALOG - FZN &amp; CHILL'!B1269,"AAAAAHz+N0c=")</f>
        <v>#VALUE!</v>
      </c>
      <c r="BU299" t="e">
        <f>AND('STERLING CATALOG - FZN &amp; CHILL'!C1269,"AAAAAHz+N0g=")</f>
        <v>#VALUE!</v>
      </c>
      <c r="BV299" t="e">
        <f>AND('STERLING CATALOG - FZN &amp; CHILL'!D1269,"AAAAAHz+N0k=")</f>
        <v>#VALUE!</v>
      </c>
      <c r="BW299" t="e">
        <f>AND('STERLING CATALOG - FZN &amp; CHILL'!E1269,"AAAAAHz+N0o=")</f>
        <v>#VALUE!</v>
      </c>
      <c r="BX299" t="e">
        <f>AND('STERLING CATALOG - FZN &amp; CHILL'!F1269,"AAAAAHz+N0s=")</f>
        <v>#VALUE!</v>
      </c>
      <c r="BY299" t="e">
        <f>AND('STERLING CATALOG - FZN &amp; CHILL'!G1269,"AAAAAHz+N0w=")</f>
        <v>#VALUE!</v>
      </c>
      <c r="BZ299" t="e">
        <f>AND('STERLING CATALOG - FZN &amp; CHILL'!H1269,"AAAAAHz+N00=")</f>
        <v>#VALUE!</v>
      </c>
      <c r="CA299" t="e">
        <f>AND('STERLING CATALOG - FZN &amp; CHILL'!I1269,"AAAAAHz+N04=")</f>
        <v>#VALUE!</v>
      </c>
      <c r="CB299" t="e">
        <f>AND('STERLING CATALOG - FZN &amp; CHILL'!J1269,"AAAAAHz+N08=")</f>
        <v>#VALUE!</v>
      </c>
      <c r="CC299">
        <f>IF('STERLING CATALOG - FZN &amp; CHILL'!1270:1270,"AAAAAHz+N1A=",0)</f>
        <v>0</v>
      </c>
      <c r="CD299" t="e">
        <f>AND('STERLING CATALOG - FZN &amp; CHILL'!A1270,"AAAAAHz+N1E=")</f>
        <v>#VALUE!</v>
      </c>
      <c r="CE299" t="e">
        <f>AND('STERLING CATALOG - FZN &amp; CHILL'!B1270,"AAAAAHz+N1I=")</f>
        <v>#VALUE!</v>
      </c>
      <c r="CF299" t="e">
        <f>AND('STERLING CATALOG - FZN &amp; CHILL'!C1270,"AAAAAHz+N1M=")</f>
        <v>#VALUE!</v>
      </c>
      <c r="CG299" t="e">
        <f>AND('STERLING CATALOG - FZN &amp; CHILL'!D1270,"AAAAAHz+N1Q=")</f>
        <v>#VALUE!</v>
      </c>
      <c r="CH299" t="e">
        <f>AND('STERLING CATALOG - FZN &amp; CHILL'!E1270,"AAAAAHz+N1U=")</f>
        <v>#VALUE!</v>
      </c>
      <c r="CI299" t="e">
        <f>AND('STERLING CATALOG - FZN &amp; CHILL'!F1270,"AAAAAHz+N1Y=")</f>
        <v>#VALUE!</v>
      </c>
      <c r="CJ299" t="e">
        <f>AND('STERLING CATALOG - FZN &amp; CHILL'!G1270,"AAAAAHz+N1c=")</f>
        <v>#VALUE!</v>
      </c>
      <c r="CK299" t="e">
        <f>AND('STERLING CATALOG - FZN &amp; CHILL'!H1270,"AAAAAHz+N1g=")</f>
        <v>#VALUE!</v>
      </c>
      <c r="CL299" t="e">
        <f>AND('STERLING CATALOG - FZN &amp; CHILL'!I1270,"AAAAAHz+N1k=")</f>
        <v>#VALUE!</v>
      </c>
      <c r="CM299" t="e">
        <f>AND('STERLING CATALOG - FZN &amp; CHILL'!J1270,"AAAAAHz+N1o=")</f>
        <v>#VALUE!</v>
      </c>
      <c r="CN299">
        <f>IF('STERLING CATALOG - FZN &amp; CHILL'!1271:1271,"AAAAAHz+N1s=",0)</f>
        <v>0</v>
      </c>
      <c r="CO299" t="e">
        <f>AND('STERLING CATALOG - FZN &amp; CHILL'!A1271,"AAAAAHz+N1w=")</f>
        <v>#VALUE!</v>
      </c>
      <c r="CP299" t="e">
        <f>AND('STERLING CATALOG - FZN &amp; CHILL'!B1271,"AAAAAHz+N10=")</f>
        <v>#VALUE!</v>
      </c>
      <c r="CQ299" t="e">
        <f>AND('STERLING CATALOG - FZN &amp; CHILL'!C1271,"AAAAAHz+N14=")</f>
        <v>#VALUE!</v>
      </c>
      <c r="CR299" t="e">
        <f>AND('STERLING CATALOG - FZN &amp; CHILL'!D1271,"AAAAAHz+N18=")</f>
        <v>#VALUE!</v>
      </c>
      <c r="CS299" t="e">
        <f>AND('STERLING CATALOG - FZN &amp; CHILL'!E1271,"AAAAAHz+N2A=")</f>
        <v>#VALUE!</v>
      </c>
      <c r="CT299" t="e">
        <f>AND('STERLING CATALOG - FZN &amp; CHILL'!F1271,"AAAAAHz+N2E=")</f>
        <v>#VALUE!</v>
      </c>
      <c r="CU299" t="e">
        <f>AND('STERLING CATALOG - FZN &amp; CHILL'!G1271,"AAAAAHz+N2I=")</f>
        <v>#VALUE!</v>
      </c>
      <c r="CV299" t="e">
        <f>AND('STERLING CATALOG - FZN &amp; CHILL'!H1271,"AAAAAHz+N2M=")</f>
        <v>#VALUE!</v>
      </c>
      <c r="CW299" t="e">
        <f>AND('STERLING CATALOG - FZN &amp; CHILL'!I1271,"AAAAAHz+N2Q=")</f>
        <v>#VALUE!</v>
      </c>
      <c r="CX299" t="e">
        <f>AND('STERLING CATALOG - FZN &amp; CHILL'!J1271,"AAAAAHz+N2U=")</f>
        <v>#VALUE!</v>
      </c>
      <c r="CY299">
        <f>IF('STERLING CATALOG - FZN &amp; CHILL'!1272:1272,"AAAAAHz+N2Y=",0)</f>
        <v>0</v>
      </c>
      <c r="CZ299" t="e">
        <f>AND('STERLING CATALOG - FZN &amp; CHILL'!A1272,"AAAAAHz+N2c=")</f>
        <v>#VALUE!</v>
      </c>
      <c r="DA299" t="e">
        <f>AND('STERLING CATALOG - FZN &amp; CHILL'!B1272,"AAAAAHz+N2g=")</f>
        <v>#VALUE!</v>
      </c>
      <c r="DB299" t="e">
        <f>AND('STERLING CATALOG - FZN &amp; CHILL'!C1272,"AAAAAHz+N2k=")</f>
        <v>#VALUE!</v>
      </c>
      <c r="DC299" t="e">
        <f>AND('STERLING CATALOG - FZN &amp; CHILL'!D1272,"AAAAAHz+N2o=")</f>
        <v>#VALUE!</v>
      </c>
      <c r="DD299" t="e">
        <f>AND('STERLING CATALOG - FZN &amp; CHILL'!E1272,"AAAAAHz+N2s=")</f>
        <v>#VALUE!</v>
      </c>
      <c r="DE299" t="e">
        <f>AND('STERLING CATALOG - FZN &amp; CHILL'!F1272,"AAAAAHz+N2w=")</f>
        <v>#VALUE!</v>
      </c>
      <c r="DF299" t="e">
        <f>AND('STERLING CATALOG - FZN &amp; CHILL'!G1272,"AAAAAHz+N20=")</f>
        <v>#VALUE!</v>
      </c>
      <c r="DG299" t="e">
        <f>AND('STERLING CATALOG - FZN &amp; CHILL'!H1272,"AAAAAHz+N24=")</f>
        <v>#VALUE!</v>
      </c>
      <c r="DH299" t="e">
        <f>AND('STERLING CATALOG - FZN &amp; CHILL'!I1272,"AAAAAHz+N28=")</f>
        <v>#VALUE!</v>
      </c>
      <c r="DI299" t="e">
        <f>AND('STERLING CATALOG - FZN &amp; CHILL'!J1272,"AAAAAHz+N3A=")</f>
        <v>#VALUE!</v>
      </c>
      <c r="DJ299">
        <f>IF('STERLING CATALOG - FZN &amp; CHILL'!1273:1273,"AAAAAHz+N3E=",0)</f>
        <v>0</v>
      </c>
      <c r="DK299" t="e">
        <f>AND('STERLING CATALOG - FZN &amp; CHILL'!A1273,"AAAAAHz+N3I=")</f>
        <v>#VALUE!</v>
      </c>
      <c r="DL299" t="e">
        <f>AND('STERLING CATALOG - FZN &amp; CHILL'!B1273,"AAAAAHz+N3M=")</f>
        <v>#VALUE!</v>
      </c>
      <c r="DM299" t="e">
        <f>AND('STERLING CATALOG - FZN &amp; CHILL'!C1273,"AAAAAHz+N3Q=")</f>
        <v>#VALUE!</v>
      </c>
      <c r="DN299" t="e">
        <f>AND('STERLING CATALOG - FZN &amp; CHILL'!D1273,"AAAAAHz+N3U=")</f>
        <v>#VALUE!</v>
      </c>
      <c r="DO299" t="e">
        <f>AND('STERLING CATALOG - FZN &amp; CHILL'!E1273,"AAAAAHz+N3Y=")</f>
        <v>#VALUE!</v>
      </c>
      <c r="DP299" t="e">
        <f>AND('STERLING CATALOG - FZN &amp; CHILL'!F1273,"AAAAAHz+N3c=")</f>
        <v>#VALUE!</v>
      </c>
      <c r="DQ299" t="e">
        <f>AND('STERLING CATALOG - FZN &amp; CHILL'!G1273,"AAAAAHz+N3g=")</f>
        <v>#VALUE!</v>
      </c>
      <c r="DR299" t="e">
        <f>AND('STERLING CATALOG - FZN &amp; CHILL'!H1273,"AAAAAHz+N3k=")</f>
        <v>#VALUE!</v>
      </c>
      <c r="DS299" t="e">
        <f>AND('STERLING CATALOG - FZN &amp; CHILL'!I1273,"AAAAAHz+N3o=")</f>
        <v>#VALUE!</v>
      </c>
      <c r="DT299" t="e">
        <f>AND('STERLING CATALOG - FZN &amp; CHILL'!J1273,"AAAAAHz+N3s=")</f>
        <v>#VALUE!</v>
      </c>
      <c r="DU299">
        <f>IF('STERLING CATALOG - FZN &amp; CHILL'!1274:1274,"AAAAAHz+N3w=",0)</f>
        <v>0</v>
      </c>
      <c r="DV299" t="e">
        <f>AND('STERLING CATALOG - FZN &amp; CHILL'!A1274,"AAAAAHz+N30=")</f>
        <v>#VALUE!</v>
      </c>
      <c r="DW299" t="e">
        <f>AND('STERLING CATALOG - FZN &amp; CHILL'!B1274,"AAAAAHz+N34=")</f>
        <v>#VALUE!</v>
      </c>
      <c r="DX299" t="e">
        <f>AND('STERLING CATALOG - FZN &amp; CHILL'!C1274,"AAAAAHz+N38=")</f>
        <v>#VALUE!</v>
      </c>
      <c r="DY299" t="e">
        <f>AND('STERLING CATALOG - FZN &amp; CHILL'!D1274,"AAAAAHz+N4A=")</f>
        <v>#VALUE!</v>
      </c>
      <c r="DZ299" t="e">
        <f>AND('STERLING CATALOG - FZN &amp; CHILL'!E1274,"AAAAAHz+N4E=")</f>
        <v>#VALUE!</v>
      </c>
      <c r="EA299" t="e">
        <f>AND('STERLING CATALOG - FZN &amp; CHILL'!F1274,"AAAAAHz+N4I=")</f>
        <v>#VALUE!</v>
      </c>
      <c r="EB299" t="e">
        <f>AND('STERLING CATALOG - FZN &amp; CHILL'!G1274,"AAAAAHz+N4M=")</f>
        <v>#VALUE!</v>
      </c>
      <c r="EC299" t="e">
        <f>AND('STERLING CATALOG - FZN &amp; CHILL'!H1274,"AAAAAHz+N4Q=")</f>
        <v>#VALUE!</v>
      </c>
      <c r="ED299" t="e">
        <f>AND('STERLING CATALOG - FZN &amp; CHILL'!I1274,"AAAAAHz+N4U=")</f>
        <v>#VALUE!</v>
      </c>
      <c r="EE299" t="e">
        <f>AND('STERLING CATALOG - FZN &amp; CHILL'!J1274,"AAAAAHz+N4Y=")</f>
        <v>#VALUE!</v>
      </c>
      <c r="EF299">
        <f>IF('STERLING CATALOG - FZN &amp; CHILL'!1275:1275,"AAAAAHz+N4c=",0)</f>
        <v>0</v>
      </c>
      <c r="EG299" t="e">
        <f>AND('STERLING CATALOG - FZN &amp; CHILL'!A1275,"AAAAAHz+N4g=")</f>
        <v>#VALUE!</v>
      </c>
      <c r="EH299" t="e">
        <f>AND('STERLING CATALOG - FZN &amp; CHILL'!B1275,"AAAAAHz+N4k=")</f>
        <v>#VALUE!</v>
      </c>
      <c r="EI299" t="e">
        <f>AND('STERLING CATALOG - FZN &amp; CHILL'!C1275,"AAAAAHz+N4o=")</f>
        <v>#VALUE!</v>
      </c>
      <c r="EJ299" t="e">
        <f>AND('STERLING CATALOG - FZN &amp; CHILL'!D1275,"AAAAAHz+N4s=")</f>
        <v>#VALUE!</v>
      </c>
      <c r="EK299" t="e">
        <f>AND('STERLING CATALOG - FZN &amp; CHILL'!E1275,"AAAAAHz+N4w=")</f>
        <v>#VALUE!</v>
      </c>
      <c r="EL299" t="e">
        <f>AND('STERLING CATALOG - FZN &amp; CHILL'!F1275,"AAAAAHz+N40=")</f>
        <v>#VALUE!</v>
      </c>
      <c r="EM299" t="e">
        <f>AND('STERLING CATALOG - FZN &amp; CHILL'!G1275,"AAAAAHz+N44=")</f>
        <v>#VALUE!</v>
      </c>
      <c r="EN299" t="e">
        <f>AND('STERLING CATALOG - FZN &amp; CHILL'!H1275,"AAAAAHz+N48=")</f>
        <v>#VALUE!</v>
      </c>
      <c r="EO299" t="e">
        <f>AND('STERLING CATALOG - FZN &amp; CHILL'!I1275,"AAAAAHz+N5A=")</f>
        <v>#VALUE!</v>
      </c>
      <c r="EP299" t="e">
        <f>AND('STERLING CATALOG - FZN &amp; CHILL'!J1275,"AAAAAHz+N5E=")</f>
        <v>#VALUE!</v>
      </c>
      <c r="EQ299">
        <f>IF('STERLING CATALOG - FZN &amp; CHILL'!1276:1276,"AAAAAHz+N5I=",0)</f>
        <v>0</v>
      </c>
      <c r="ER299" t="e">
        <f>AND('STERLING CATALOG - FZN &amp; CHILL'!A1276,"AAAAAHz+N5M=")</f>
        <v>#VALUE!</v>
      </c>
      <c r="ES299" t="e">
        <f>AND('STERLING CATALOG - FZN &amp; CHILL'!B1276,"AAAAAHz+N5Q=")</f>
        <v>#VALUE!</v>
      </c>
      <c r="ET299" t="e">
        <f>AND('STERLING CATALOG - FZN &amp; CHILL'!C1276,"AAAAAHz+N5U=")</f>
        <v>#VALUE!</v>
      </c>
      <c r="EU299" t="e">
        <f>AND('STERLING CATALOG - FZN &amp; CHILL'!D1276,"AAAAAHz+N5Y=")</f>
        <v>#VALUE!</v>
      </c>
      <c r="EV299" t="e">
        <f>AND('STERLING CATALOG - FZN &amp; CHILL'!E1276,"AAAAAHz+N5c=")</f>
        <v>#VALUE!</v>
      </c>
      <c r="EW299" t="e">
        <f>AND('STERLING CATALOG - FZN &amp; CHILL'!F1276,"AAAAAHz+N5g=")</f>
        <v>#VALUE!</v>
      </c>
      <c r="EX299" t="e">
        <f>AND('STERLING CATALOG - FZN &amp; CHILL'!G1276,"AAAAAHz+N5k=")</f>
        <v>#VALUE!</v>
      </c>
      <c r="EY299" t="e">
        <f>AND('STERLING CATALOG - FZN &amp; CHILL'!H1276,"AAAAAHz+N5o=")</f>
        <v>#VALUE!</v>
      </c>
      <c r="EZ299" t="e">
        <f>AND('STERLING CATALOG - FZN &amp; CHILL'!I1276,"AAAAAHz+N5s=")</f>
        <v>#VALUE!</v>
      </c>
      <c r="FA299" t="e">
        <f>AND('STERLING CATALOG - FZN &amp; CHILL'!J1276,"AAAAAHz+N5w=")</f>
        <v>#VALUE!</v>
      </c>
      <c r="FB299">
        <f>IF('STERLING CATALOG - FZN &amp; CHILL'!1277:1277,"AAAAAHz+N50=",0)</f>
        <v>0</v>
      </c>
      <c r="FC299" t="e">
        <f>AND('STERLING CATALOG - FZN &amp; CHILL'!A1277,"AAAAAHz+N54=")</f>
        <v>#VALUE!</v>
      </c>
      <c r="FD299" t="e">
        <f>AND('STERLING CATALOG - FZN &amp; CHILL'!B1277,"AAAAAHz+N58=")</f>
        <v>#VALUE!</v>
      </c>
      <c r="FE299" t="e">
        <f>AND('STERLING CATALOG - FZN &amp; CHILL'!C1277,"AAAAAHz+N6A=")</f>
        <v>#VALUE!</v>
      </c>
      <c r="FF299" t="e">
        <f>AND('STERLING CATALOG - FZN &amp; CHILL'!D1277,"AAAAAHz+N6E=")</f>
        <v>#VALUE!</v>
      </c>
      <c r="FG299" t="e">
        <f>AND('STERLING CATALOG - FZN &amp; CHILL'!E1277,"AAAAAHz+N6I=")</f>
        <v>#VALUE!</v>
      </c>
      <c r="FH299" t="e">
        <f>AND('STERLING CATALOG - FZN &amp; CHILL'!F1277,"AAAAAHz+N6M=")</f>
        <v>#VALUE!</v>
      </c>
      <c r="FI299" t="e">
        <f>AND('STERLING CATALOG - FZN &amp; CHILL'!G1277,"AAAAAHz+N6Q=")</f>
        <v>#VALUE!</v>
      </c>
      <c r="FJ299" t="e">
        <f>AND('STERLING CATALOG - FZN &amp; CHILL'!H1277,"AAAAAHz+N6U=")</f>
        <v>#VALUE!</v>
      </c>
      <c r="FK299" t="e">
        <f>AND('STERLING CATALOG - FZN &amp; CHILL'!I1277,"AAAAAHz+N6Y=")</f>
        <v>#VALUE!</v>
      </c>
      <c r="FL299" t="e">
        <f>AND('STERLING CATALOG - FZN &amp; CHILL'!J1277,"AAAAAHz+N6c=")</f>
        <v>#VALUE!</v>
      </c>
      <c r="FM299">
        <f>IF('STERLING CATALOG - FZN &amp; CHILL'!1278:1278,"AAAAAHz+N6g=",0)</f>
        <v>0</v>
      </c>
      <c r="FN299" t="e">
        <f>AND('STERLING CATALOG - FZN &amp; CHILL'!A1278,"AAAAAHz+N6k=")</f>
        <v>#VALUE!</v>
      </c>
      <c r="FO299" t="e">
        <f>AND('STERLING CATALOG - FZN &amp; CHILL'!B1278,"AAAAAHz+N6o=")</f>
        <v>#VALUE!</v>
      </c>
      <c r="FP299" t="e">
        <f>AND('STERLING CATALOG - FZN &amp; CHILL'!C1278,"AAAAAHz+N6s=")</f>
        <v>#VALUE!</v>
      </c>
      <c r="FQ299" t="e">
        <f>AND('STERLING CATALOG - FZN &amp; CHILL'!D1278,"AAAAAHz+N6w=")</f>
        <v>#VALUE!</v>
      </c>
      <c r="FR299" t="e">
        <f>AND('STERLING CATALOG - FZN &amp; CHILL'!E1278,"AAAAAHz+N60=")</f>
        <v>#VALUE!</v>
      </c>
      <c r="FS299" t="e">
        <f>AND('STERLING CATALOG - FZN &amp; CHILL'!F1278,"AAAAAHz+N64=")</f>
        <v>#VALUE!</v>
      </c>
      <c r="FT299" t="e">
        <f>AND('STERLING CATALOG - FZN &amp; CHILL'!G1278,"AAAAAHz+N68=")</f>
        <v>#VALUE!</v>
      </c>
      <c r="FU299" t="e">
        <f>AND('STERLING CATALOG - FZN &amp; CHILL'!H1278,"AAAAAHz+N7A=")</f>
        <v>#VALUE!</v>
      </c>
      <c r="FV299" t="e">
        <f>AND('STERLING CATALOG - FZN &amp; CHILL'!I1278,"AAAAAHz+N7E=")</f>
        <v>#VALUE!</v>
      </c>
      <c r="FW299" t="e">
        <f>AND('STERLING CATALOG - FZN &amp; CHILL'!J1278,"AAAAAHz+N7I=")</f>
        <v>#VALUE!</v>
      </c>
      <c r="FX299">
        <f>IF('STERLING CATALOG - FZN &amp; CHILL'!1279:1279,"AAAAAHz+N7M=",0)</f>
        <v>0</v>
      </c>
      <c r="FY299" t="e">
        <f>AND('STERLING CATALOG - FZN &amp; CHILL'!A1279,"AAAAAHz+N7Q=")</f>
        <v>#VALUE!</v>
      </c>
      <c r="FZ299" t="e">
        <f>AND('STERLING CATALOG - FZN &amp; CHILL'!B1279,"AAAAAHz+N7U=")</f>
        <v>#VALUE!</v>
      </c>
      <c r="GA299" t="e">
        <f>AND('STERLING CATALOG - FZN &amp; CHILL'!C1279,"AAAAAHz+N7Y=")</f>
        <v>#VALUE!</v>
      </c>
      <c r="GB299" t="e">
        <f>AND('STERLING CATALOG - FZN &amp; CHILL'!D1279,"AAAAAHz+N7c=")</f>
        <v>#VALUE!</v>
      </c>
      <c r="GC299" t="e">
        <f>AND('STERLING CATALOG - FZN &amp; CHILL'!E1279,"AAAAAHz+N7g=")</f>
        <v>#VALUE!</v>
      </c>
      <c r="GD299" t="e">
        <f>AND('STERLING CATALOG - FZN &amp; CHILL'!F1279,"AAAAAHz+N7k=")</f>
        <v>#VALUE!</v>
      </c>
      <c r="GE299" t="e">
        <f>AND('STERLING CATALOG - FZN &amp; CHILL'!G1279,"AAAAAHz+N7o=")</f>
        <v>#VALUE!</v>
      </c>
      <c r="GF299" t="e">
        <f>AND('STERLING CATALOG - FZN &amp; CHILL'!H1279,"AAAAAHz+N7s=")</f>
        <v>#VALUE!</v>
      </c>
      <c r="GG299" t="e">
        <f>AND('STERLING CATALOG - FZN &amp; CHILL'!I1279,"AAAAAHz+N7w=")</f>
        <v>#VALUE!</v>
      </c>
      <c r="GH299" t="e">
        <f>AND('STERLING CATALOG - FZN &amp; CHILL'!J1279,"AAAAAHz+N70=")</f>
        <v>#VALUE!</v>
      </c>
      <c r="GI299">
        <f>IF('STERLING CATALOG - FZN &amp; CHILL'!1280:1280,"AAAAAHz+N74=",0)</f>
        <v>0</v>
      </c>
      <c r="GJ299" t="e">
        <f>AND('STERLING CATALOG - FZN &amp; CHILL'!A1280,"AAAAAHz+N78=")</f>
        <v>#VALUE!</v>
      </c>
      <c r="GK299" t="e">
        <f>AND('STERLING CATALOG - FZN &amp; CHILL'!B1280,"AAAAAHz+N8A=")</f>
        <v>#VALUE!</v>
      </c>
      <c r="GL299" t="e">
        <f>AND('STERLING CATALOG - FZN &amp; CHILL'!C1280,"AAAAAHz+N8E=")</f>
        <v>#VALUE!</v>
      </c>
      <c r="GM299" t="e">
        <f>AND('STERLING CATALOG - FZN &amp; CHILL'!D1280,"AAAAAHz+N8I=")</f>
        <v>#VALUE!</v>
      </c>
      <c r="GN299" t="e">
        <f>AND('STERLING CATALOG - FZN &amp; CHILL'!E1280,"AAAAAHz+N8M=")</f>
        <v>#VALUE!</v>
      </c>
      <c r="GO299" t="e">
        <f>AND('STERLING CATALOG - FZN &amp; CHILL'!F1280,"AAAAAHz+N8Q=")</f>
        <v>#VALUE!</v>
      </c>
      <c r="GP299" t="e">
        <f>AND('STERLING CATALOG - FZN &amp; CHILL'!G1280,"AAAAAHz+N8U=")</f>
        <v>#VALUE!</v>
      </c>
      <c r="GQ299" t="e">
        <f>AND('STERLING CATALOG - FZN &amp; CHILL'!H1280,"AAAAAHz+N8Y=")</f>
        <v>#VALUE!</v>
      </c>
      <c r="GR299" t="e">
        <f>AND('STERLING CATALOG - FZN &amp; CHILL'!I1280,"AAAAAHz+N8c=")</f>
        <v>#VALUE!</v>
      </c>
      <c r="GS299" t="e">
        <f>AND('STERLING CATALOG - FZN &amp; CHILL'!J1280,"AAAAAHz+N8g=")</f>
        <v>#VALUE!</v>
      </c>
      <c r="GT299">
        <f>IF('STERLING CATALOG - FZN &amp; CHILL'!1281:1281,"AAAAAHz+N8k=",0)</f>
        <v>0</v>
      </c>
      <c r="GU299" t="e">
        <f>AND('STERLING CATALOG - FZN &amp; CHILL'!A1281,"AAAAAHz+N8o=")</f>
        <v>#VALUE!</v>
      </c>
      <c r="GV299" t="e">
        <f>AND('STERLING CATALOG - FZN &amp; CHILL'!B1281,"AAAAAHz+N8s=")</f>
        <v>#VALUE!</v>
      </c>
      <c r="GW299" t="e">
        <f>AND('STERLING CATALOG - FZN &amp; CHILL'!C1281,"AAAAAHz+N8w=")</f>
        <v>#VALUE!</v>
      </c>
      <c r="GX299" t="e">
        <f>AND('STERLING CATALOG - FZN &amp; CHILL'!D1281,"AAAAAHz+N80=")</f>
        <v>#VALUE!</v>
      </c>
      <c r="GY299" t="e">
        <f>AND('STERLING CATALOG - FZN &amp; CHILL'!E1281,"AAAAAHz+N84=")</f>
        <v>#VALUE!</v>
      </c>
      <c r="GZ299" t="e">
        <f>AND('STERLING CATALOG - FZN &amp; CHILL'!F1281,"AAAAAHz+N88=")</f>
        <v>#VALUE!</v>
      </c>
      <c r="HA299" t="e">
        <f>AND('STERLING CATALOG - FZN &amp; CHILL'!G1281,"AAAAAHz+N9A=")</f>
        <v>#VALUE!</v>
      </c>
      <c r="HB299" t="e">
        <f>AND('STERLING CATALOG - FZN &amp; CHILL'!H1281,"AAAAAHz+N9E=")</f>
        <v>#VALUE!</v>
      </c>
      <c r="HC299" t="e">
        <f>AND('STERLING CATALOG - FZN &amp; CHILL'!I1281,"AAAAAHz+N9I=")</f>
        <v>#VALUE!</v>
      </c>
      <c r="HD299" t="e">
        <f>AND('STERLING CATALOG - FZN &amp; CHILL'!J1281,"AAAAAHz+N9M=")</f>
        <v>#VALUE!</v>
      </c>
      <c r="HE299">
        <f>IF('STERLING CATALOG - FZN &amp; CHILL'!1282:1282,"AAAAAHz+N9Q=",0)</f>
        <v>0</v>
      </c>
      <c r="HF299" t="e">
        <f>AND('STERLING CATALOG - FZN &amp; CHILL'!A1282,"AAAAAHz+N9U=")</f>
        <v>#VALUE!</v>
      </c>
      <c r="HG299" t="e">
        <f>AND('STERLING CATALOG - FZN &amp; CHILL'!B1282,"AAAAAHz+N9Y=")</f>
        <v>#VALUE!</v>
      </c>
      <c r="HH299" t="e">
        <f>AND('STERLING CATALOG - FZN &amp; CHILL'!C1282,"AAAAAHz+N9c=")</f>
        <v>#VALUE!</v>
      </c>
      <c r="HI299" t="e">
        <f>AND('STERLING CATALOG - FZN &amp; CHILL'!D1282,"AAAAAHz+N9g=")</f>
        <v>#VALUE!</v>
      </c>
      <c r="HJ299" t="e">
        <f>AND('STERLING CATALOG - FZN &amp; CHILL'!E1282,"AAAAAHz+N9k=")</f>
        <v>#VALUE!</v>
      </c>
      <c r="HK299" t="e">
        <f>AND('STERLING CATALOG - FZN &amp; CHILL'!F1282,"AAAAAHz+N9o=")</f>
        <v>#VALUE!</v>
      </c>
      <c r="HL299" t="e">
        <f>AND('STERLING CATALOG - FZN &amp; CHILL'!G1282,"AAAAAHz+N9s=")</f>
        <v>#VALUE!</v>
      </c>
      <c r="HM299" t="e">
        <f>AND('STERLING CATALOG - FZN &amp; CHILL'!H1282,"AAAAAHz+N9w=")</f>
        <v>#VALUE!</v>
      </c>
      <c r="HN299" t="e">
        <f>AND('STERLING CATALOG - FZN &amp; CHILL'!I1282,"AAAAAHz+N90=")</f>
        <v>#VALUE!</v>
      </c>
      <c r="HO299" t="e">
        <f>AND('STERLING CATALOG - FZN &amp; CHILL'!J1282,"AAAAAHz+N94=")</f>
        <v>#VALUE!</v>
      </c>
      <c r="HP299">
        <f>IF('STERLING CATALOG - FZN &amp; CHILL'!1283:1283,"AAAAAHz+N98=",0)</f>
        <v>0</v>
      </c>
      <c r="HQ299" t="e">
        <f>AND('STERLING CATALOG - FZN &amp; CHILL'!A1283,"AAAAAHz+N+A=")</f>
        <v>#VALUE!</v>
      </c>
      <c r="HR299" t="e">
        <f>AND('STERLING CATALOG - FZN &amp; CHILL'!B1283,"AAAAAHz+N+E=")</f>
        <v>#VALUE!</v>
      </c>
      <c r="HS299" t="e">
        <f>AND('STERLING CATALOG - FZN &amp; CHILL'!C1283,"AAAAAHz+N+I=")</f>
        <v>#VALUE!</v>
      </c>
      <c r="HT299" t="e">
        <f>AND('STERLING CATALOG - FZN &amp; CHILL'!D1283,"AAAAAHz+N+M=")</f>
        <v>#VALUE!</v>
      </c>
      <c r="HU299" t="e">
        <f>AND('STERLING CATALOG - FZN &amp; CHILL'!E1283,"AAAAAHz+N+Q=")</f>
        <v>#VALUE!</v>
      </c>
      <c r="HV299" t="e">
        <f>AND('STERLING CATALOG - FZN &amp; CHILL'!F1283,"AAAAAHz+N+U=")</f>
        <v>#VALUE!</v>
      </c>
      <c r="HW299" t="e">
        <f>AND('STERLING CATALOG - FZN &amp; CHILL'!G1283,"AAAAAHz+N+Y=")</f>
        <v>#VALUE!</v>
      </c>
      <c r="HX299" t="e">
        <f>AND('STERLING CATALOG - FZN &amp; CHILL'!H1283,"AAAAAHz+N+c=")</f>
        <v>#VALUE!</v>
      </c>
      <c r="HY299" t="e">
        <f>AND('STERLING CATALOG - FZN &amp; CHILL'!I1283,"AAAAAHz+N+g=")</f>
        <v>#VALUE!</v>
      </c>
      <c r="HZ299" t="e">
        <f>AND('STERLING CATALOG - FZN &amp; CHILL'!J1283,"AAAAAHz+N+k=")</f>
        <v>#VALUE!</v>
      </c>
      <c r="IA299">
        <f>IF('STERLING CATALOG - FZN &amp; CHILL'!1284:1284,"AAAAAHz+N+o=",0)</f>
        <v>0</v>
      </c>
      <c r="IB299" t="e">
        <f>AND('STERLING CATALOG - FZN &amp; CHILL'!A1284,"AAAAAHz+N+s=")</f>
        <v>#VALUE!</v>
      </c>
      <c r="IC299" t="e">
        <f>AND('STERLING CATALOG - FZN &amp; CHILL'!B1284,"AAAAAHz+N+w=")</f>
        <v>#VALUE!</v>
      </c>
      <c r="ID299" t="e">
        <f>AND('STERLING CATALOG - FZN &amp; CHILL'!C1284,"AAAAAHz+N+0=")</f>
        <v>#VALUE!</v>
      </c>
      <c r="IE299" t="e">
        <f>AND('STERLING CATALOG - FZN &amp; CHILL'!D1284,"AAAAAHz+N+4=")</f>
        <v>#VALUE!</v>
      </c>
      <c r="IF299" t="e">
        <f>AND('STERLING CATALOG - FZN &amp; CHILL'!E1284,"AAAAAHz+N+8=")</f>
        <v>#VALUE!</v>
      </c>
      <c r="IG299" t="e">
        <f>AND('STERLING CATALOG - FZN &amp; CHILL'!F1284,"AAAAAHz+N/A=")</f>
        <v>#VALUE!</v>
      </c>
      <c r="IH299" t="e">
        <f>AND('STERLING CATALOG - FZN &amp; CHILL'!G1284,"AAAAAHz+N/E=")</f>
        <v>#VALUE!</v>
      </c>
      <c r="II299" t="e">
        <f>AND('STERLING CATALOG - FZN &amp; CHILL'!H1284,"AAAAAHz+N/I=")</f>
        <v>#VALUE!</v>
      </c>
      <c r="IJ299" t="e">
        <f>AND('STERLING CATALOG - FZN &amp; CHILL'!I1284,"AAAAAHz+N/M=")</f>
        <v>#VALUE!</v>
      </c>
      <c r="IK299" t="e">
        <f>AND('STERLING CATALOG - FZN &amp; CHILL'!J1284,"AAAAAHz+N/Q=")</f>
        <v>#VALUE!</v>
      </c>
      <c r="IL299">
        <f>IF('STERLING CATALOG - FZN &amp; CHILL'!1285:1285,"AAAAAHz+N/U=",0)</f>
        <v>0</v>
      </c>
      <c r="IM299" t="e">
        <f>AND('STERLING CATALOG - FZN &amp; CHILL'!A1285,"AAAAAHz+N/Y=")</f>
        <v>#VALUE!</v>
      </c>
      <c r="IN299" t="e">
        <f>AND('STERLING CATALOG - FZN &amp; CHILL'!B1285,"AAAAAHz+N/c=")</f>
        <v>#VALUE!</v>
      </c>
      <c r="IO299" t="e">
        <f>AND('STERLING CATALOG - FZN &amp; CHILL'!C1285,"AAAAAHz+N/g=")</f>
        <v>#VALUE!</v>
      </c>
      <c r="IP299" t="e">
        <f>AND('STERLING CATALOG - FZN &amp; CHILL'!D1285,"AAAAAHz+N/k=")</f>
        <v>#VALUE!</v>
      </c>
      <c r="IQ299" t="e">
        <f>AND('STERLING CATALOG - FZN &amp; CHILL'!E1285,"AAAAAHz+N/o=")</f>
        <v>#VALUE!</v>
      </c>
      <c r="IR299" t="e">
        <f>AND('STERLING CATALOG - FZN &amp; CHILL'!F1285,"AAAAAHz+N/s=")</f>
        <v>#VALUE!</v>
      </c>
      <c r="IS299" t="e">
        <f>AND('STERLING CATALOG - FZN &amp; CHILL'!G1285,"AAAAAHz+N/w=")</f>
        <v>#VALUE!</v>
      </c>
      <c r="IT299" t="e">
        <f>AND('STERLING CATALOG - FZN &amp; CHILL'!H1285,"AAAAAHz+N/0=")</f>
        <v>#VALUE!</v>
      </c>
      <c r="IU299" t="e">
        <f>AND('STERLING CATALOG - FZN &amp; CHILL'!I1285,"AAAAAHz+N/4=")</f>
        <v>#VALUE!</v>
      </c>
      <c r="IV299" t="e">
        <f>AND('STERLING CATALOG - FZN &amp; CHILL'!J1285,"AAAAAHz+N/8=")</f>
        <v>#VALUE!</v>
      </c>
    </row>
    <row r="300" spans="1:256">
      <c r="A300" t="str">
        <f>IF('STERLING CATALOG - FZN &amp; CHILL'!1286:1286,"AAAAAH/rXwA=",0)</f>
        <v>AAAAAH/rXwA=</v>
      </c>
      <c r="B300" t="e">
        <f>AND('STERLING CATALOG - FZN &amp; CHILL'!A1286,"AAAAAH/rXwE=")</f>
        <v>#VALUE!</v>
      </c>
      <c r="C300" t="e">
        <f>AND('STERLING CATALOG - FZN &amp; CHILL'!B1286,"AAAAAH/rXwI=")</f>
        <v>#VALUE!</v>
      </c>
      <c r="D300" t="e">
        <f>AND('STERLING CATALOG - FZN &amp; CHILL'!C1286,"AAAAAH/rXwM=")</f>
        <v>#VALUE!</v>
      </c>
      <c r="E300" t="e">
        <f>AND('STERLING CATALOG - FZN &amp; CHILL'!D1286,"AAAAAH/rXwQ=")</f>
        <v>#VALUE!</v>
      </c>
      <c r="F300" t="e">
        <f>AND('STERLING CATALOG - FZN &amp; CHILL'!E1286,"AAAAAH/rXwU=")</f>
        <v>#VALUE!</v>
      </c>
      <c r="G300" t="e">
        <f>AND('STERLING CATALOG - FZN &amp; CHILL'!F1286,"AAAAAH/rXwY=")</f>
        <v>#VALUE!</v>
      </c>
      <c r="H300" t="e">
        <f>AND('STERLING CATALOG - FZN &amp; CHILL'!G1286,"AAAAAH/rXwc=")</f>
        <v>#VALUE!</v>
      </c>
      <c r="I300" t="e">
        <f>AND('STERLING CATALOG - FZN &amp; CHILL'!H1286,"AAAAAH/rXwg=")</f>
        <v>#VALUE!</v>
      </c>
      <c r="J300" t="e">
        <f>AND('STERLING CATALOG - FZN &amp; CHILL'!I1286,"AAAAAH/rXwk=")</f>
        <v>#VALUE!</v>
      </c>
      <c r="K300" t="e">
        <f>AND('STERLING CATALOG - FZN &amp; CHILL'!J1286,"AAAAAH/rXwo=")</f>
        <v>#VALUE!</v>
      </c>
      <c r="L300">
        <f>IF('STERLING CATALOG - FZN &amp; CHILL'!1287:1287,"AAAAAH/rXws=",0)</f>
        <v>0</v>
      </c>
      <c r="M300" t="e">
        <f>AND('STERLING CATALOG - FZN &amp; CHILL'!A1287,"AAAAAH/rXww=")</f>
        <v>#VALUE!</v>
      </c>
      <c r="N300" t="e">
        <f>AND('STERLING CATALOG - FZN &amp; CHILL'!B1287,"AAAAAH/rXw0=")</f>
        <v>#VALUE!</v>
      </c>
      <c r="O300" t="e">
        <f>AND('STERLING CATALOG - FZN &amp; CHILL'!C1287,"AAAAAH/rXw4=")</f>
        <v>#VALUE!</v>
      </c>
      <c r="P300" t="e">
        <f>AND('STERLING CATALOG - FZN &amp; CHILL'!D1287,"AAAAAH/rXw8=")</f>
        <v>#VALUE!</v>
      </c>
      <c r="Q300" t="e">
        <f>AND('STERLING CATALOG - FZN &amp; CHILL'!E1287,"AAAAAH/rXxA=")</f>
        <v>#VALUE!</v>
      </c>
      <c r="R300" t="e">
        <f>AND('STERLING CATALOG - FZN &amp; CHILL'!F1287,"AAAAAH/rXxE=")</f>
        <v>#VALUE!</v>
      </c>
      <c r="S300" t="e">
        <f>AND('STERLING CATALOG - FZN &amp; CHILL'!G1287,"AAAAAH/rXxI=")</f>
        <v>#VALUE!</v>
      </c>
      <c r="T300" t="e">
        <f>AND('STERLING CATALOG - FZN &amp; CHILL'!H1287,"AAAAAH/rXxM=")</f>
        <v>#VALUE!</v>
      </c>
      <c r="U300" t="e">
        <f>AND('STERLING CATALOG - FZN &amp; CHILL'!I1287,"AAAAAH/rXxQ=")</f>
        <v>#VALUE!</v>
      </c>
      <c r="V300" t="e">
        <f>AND('STERLING CATALOG - FZN &amp; CHILL'!J1287,"AAAAAH/rXxU=")</f>
        <v>#VALUE!</v>
      </c>
      <c r="W300">
        <f>IF('STERLING CATALOG - FZN &amp; CHILL'!1288:1288,"AAAAAH/rXxY=",0)</f>
        <v>0</v>
      </c>
      <c r="X300" t="e">
        <f>AND('STERLING CATALOG - FZN &amp; CHILL'!A1288,"AAAAAH/rXxc=")</f>
        <v>#VALUE!</v>
      </c>
      <c r="Y300" t="e">
        <f>AND('STERLING CATALOG - FZN &amp; CHILL'!B1288,"AAAAAH/rXxg=")</f>
        <v>#VALUE!</v>
      </c>
      <c r="Z300" t="e">
        <f>AND('STERLING CATALOG - FZN &amp; CHILL'!C1288,"AAAAAH/rXxk=")</f>
        <v>#VALUE!</v>
      </c>
      <c r="AA300" t="e">
        <f>AND('STERLING CATALOG - FZN &amp; CHILL'!D1288,"AAAAAH/rXxo=")</f>
        <v>#VALUE!</v>
      </c>
      <c r="AB300" t="e">
        <f>AND('STERLING CATALOG - FZN &amp; CHILL'!E1288,"AAAAAH/rXxs=")</f>
        <v>#VALUE!</v>
      </c>
      <c r="AC300" t="e">
        <f>AND('STERLING CATALOG - FZN &amp; CHILL'!F1288,"AAAAAH/rXxw=")</f>
        <v>#VALUE!</v>
      </c>
      <c r="AD300" t="e">
        <f>AND('STERLING CATALOG - FZN &amp; CHILL'!G1288,"AAAAAH/rXx0=")</f>
        <v>#VALUE!</v>
      </c>
      <c r="AE300" t="e">
        <f>AND('STERLING CATALOG - FZN &amp; CHILL'!H1288,"AAAAAH/rXx4=")</f>
        <v>#VALUE!</v>
      </c>
      <c r="AF300" t="e">
        <f>AND('STERLING CATALOG - FZN &amp; CHILL'!I1288,"AAAAAH/rXx8=")</f>
        <v>#VALUE!</v>
      </c>
      <c r="AG300" t="e">
        <f>AND('STERLING CATALOG - FZN &amp; CHILL'!J1288,"AAAAAH/rXyA=")</f>
        <v>#VALUE!</v>
      </c>
      <c r="AH300">
        <f>IF('STERLING CATALOG - FZN &amp; CHILL'!1289:1289,"AAAAAH/rXyE=",0)</f>
        <v>0</v>
      </c>
      <c r="AI300" t="e">
        <f>AND('STERLING CATALOG - FZN &amp; CHILL'!A1289,"AAAAAH/rXyI=")</f>
        <v>#VALUE!</v>
      </c>
      <c r="AJ300" t="e">
        <f>AND('STERLING CATALOG - FZN &amp; CHILL'!B1289,"AAAAAH/rXyM=")</f>
        <v>#VALUE!</v>
      </c>
      <c r="AK300" t="e">
        <f>AND('STERLING CATALOG - FZN &amp; CHILL'!C1289,"AAAAAH/rXyQ=")</f>
        <v>#VALUE!</v>
      </c>
      <c r="AL300" t="e">
        <f>AND('STERLING CATALOG - FZN &amp; CHILL'!D1289,"AAAAAH/rXyU=")</f>
        <v>#VALUE!</v>
      </c>
      <c r="AM300" t="e">
        <f>AND('STERLING CATALOG - FZN &amp; CHILL'!E1289,"AAAAAH/rXyY=")</f>
        <v>#VALUE!</v>
      </c>
      <c r="AN300" t="e">
        <f>AND('STERLING CATALOG - FZN &amp; CHILL'!F1289,"AAAAAH/rXyc=")</f>
        <v>#VALUE!</v>
      </c>
      <c r="AO300" t="e">
        <f>AND('STERLING CATALOG - FZN &amp; CHILL'!G1289,"AAAAAH/rXyg=")</f>
        <v>#VALUE!</v>
      </c>
      <c r="AP300" t="e">
        <f>AND('STERLING CATALOG - FZN &amp; CHILL'!H1289,"AAAAAH/rXyk=")</f>
        <v>#VALUE!</v>
      </c>
      <c r="AQ300" t="e">
        <f>AND('STERLING CATALOG - FZN &amp; CHILL'!I1289,"AAAAAH/rXyo=")</f>
        <v>#VALUE!</v>
      </c>
      <c r="AR300" t="e">
        <f>AND('STERLING CATALOG - FZN &amp; CHILL'!J1289,"AAAAAH/rXys=")</f>
        <v>#VALUE!</v>
      </c>
      <c r="AS300">
        <f>IF('STERLING CATALOG - FZN &amp; CHILL'!1290:1290,"AAAAAH/rXyw=",0)</f>
        <v>0</v>
      </c>
      <c r="AT300" t="e">
        <f>AND('STERLING CATALOG - FZN &amp; CHILL'!A1290,"AAAAAH/rXy0=")</f>
        <v>#VALUE!</v>
      </c>
      <c r="AU300" t="e">
        <f>AND('STERLING CATALOG - FZN &amp; CHILL'!B1290,"AAAAAH/rXy4=")</f>
        <v>#VALUE!</v>
      </c>
      <c r="AV300" t="e">
        <f>AND('STERLING CATALOG - FZN &amp; CHILL'!C1290,"AAAAAH/rXy8=")</f>
        <v>#VALUE!</v>
      </c>
      <c r="AW300" t="e">
        <f>AND('STERLING CATALOG - FZN &amp; CHILL'!D1290,"AAAAAH/rXzA=")</f>
        <v>#VALUE!</v>
      </c>
      <c r="AX300" t="e">
        <f>AND('STERLING CATALOG - FZN &amp; CHILL'!E1290,"AAAAAH/rXzE=")</f>
        <v>#VALUE!</v>
      </c>
      <c r="AY300" t="e">
        <f>AND('STERLING CATALOG - FZN &amp; CHILL'!F1290,"AAAAAH/rXzI=")</f>
        <v>#VALUE!</v>
      </c>
      <c r="AZ300" t="e">
        <f>AND('STERLING CATALOG - FZN &amp; CHILL'!G1290,"AAAAAH/rXzM=")</f>
        <v>#VALUE!</v>
      </c>
      <c r="BA300" t="e">
        <f>AND('STERLING CATALOG - FZN &amp; CHILL'!H1290,"AAAAAH/rXzQ=")</f>
        <v>#VALUE!</v>
      </c>
      <c r="BB300" t="e">
        <f>AND('STERLING CATALOG - FZN &amp; CHILL'!I1290,"AAAAAH/rXzU=")</f>
        <v>#VALUE!</v>
      </c>
      <c r="BC300" t="e">
        <f>AND('STERLING CATALOG - FZN &amp; CHILL'!J1290,"AAAAAH/rXzY=")</f>
        <v>#VALUE!</v>
      </c>
      <c r="BD300">
        <f>IF('STERLING CATALOG - FZN &amp; CHILL'!1291:1291,"AAAAAH/rXzc=",0)</f>
        <v>0</v>
      </c>
      <c r="BE300" t="e">
        <f>AND('STERLING CATALOG - FZN &amp; CHILL'!A1291,"AAAAAH/rXzg=")</f>
        <v>#VALUE!</v>
      </c>
      <c r="BF300" t="e">
        <f>AND('STERLING CATALOG - FZN &amp; CHILL'!B1291,"AAAAAH/rXzk=")</f>
        <v>#VALUE!</v>
      </c>
      <c r="BG300" t="e">
        <f>AND('STERLING CATALOG - FZN &amp; CHILL'!C1291,"AAAAAH/rXzo=")</f>
        <v>#VALUE!</v>
      </c>
      <c r="BH300" t="e">
        <f>AND('STERLING CATALOG - FZN &amp; CHILL'!D1291,"AAAAAH/rXzs=")</f>
        <v>#VALUE!</v>
      </c>
      <c r="BI300" t="e">
        <f>AND('STERLING CATALOG - FZN &amp; CHILL'!E1291,"AAAAAH/rXzw=")</f>
        <v>#VALUE!</v>
      </c>
      <c r="BJ300" t="e">
        <f>AND('STERLING CATALOG - FZN &amp; CHILL'!F1291,"AAAAAH/rXz0=")</f>
        <v>#VALUE!</v>
      </c>
      <c r="BK300" t="e">
        <f>AND('STERLING CATALOG - FZN &amp; CHILL'!G1291,"AAAAAH/rXz4=")</f>
        <v>#VALUE!</v>
      </c>
      <c r="BL300" t="e">
        <f>AND('STERLING CATALOG - FZN &amp; CHILL'!H1291,"AAAAAH/rXz8=")</f>
        <v>#VALUE!</v>
      </c>
      <c r="BM300" t="e">
        <f>AND('STERLING CATALOG - FZN &amp; CHILL'!I1291,"AAAAAH/rX0A=")</f>
        <v>#VALUE!</v>
      </c>
      <c r="BN300" t="e">
        <f>AND('STERLING CATALOG - FZN &amp; CHILL'!J1291,"AAAAAH/rX0E=")</f>
        <v>#VALUE!</v>
      </c>
      <c r="BO300">
        <f>IF('STERLING CATALOG - FZN &amp; CHILL'!1292:1292,"AAAAAH/rX0I=",0)</f>
        <v>0</v>
      </c>
      <c r="BP300" t="e">
        <f>AND('STERLING CATALOG - FZN &amp; CHILL'!A1292,"AAAAAH/rX0M=")</f>
        <v>#VALUE!</v>
      </c>
      <c r="BQ300" t="e">
        <f>AND('STERLING CATALOG - FZN &amp; CHILL'!B1292,"AAAAAH/rX0Q=")</f>
        <v>#VALUE!</v>
      </c>
      <c r="BR300" t="e">
        <f>AND('STERLING CATALOG - FZN &amp; CHILL'!C1292,"AAAAAH/rX0U=")</f>
        <v>#VALUE!</v>
      </c>
      <c r="BS300" t="e">
        <f>AND('STERLING CATALOG - FZN &amp; CHILL'!D1292,"AAAAAH/rX0Y=")</f>
        <v>#VALUE!</v>
      </c>
      <c r="BT300" t="e">
        <f>AND('STERLING CATALOG - FZN &amp; CHILL'!E1292,"AAAAAH/rX0c=")</f>
        <v>#VALUE!</v>
      </c>
      <c r="BU300" t="e">
        <f>AND('STERLING CATALOG - FZN &amp; CHILL'!F1292,"AAAAAH/rX0g=")</f>
        <v>#VALUE!</v>
      </c>
      <c r="BV300" t="e">
        <f>AND('STERLING CATALOG - FZN &amp; CHILL'!G1292,"AAAAAH/rX0k=")</f>
        <v>#VALUE!</v>
      </c>
      <c r="BW300" t="e">
        <f>AND('STERLING CATALOG - FZN &amp; CHILL'!H1292,"AAAAAH/rX0o=")</f>
        <v>#VALUE!</v>
      </c>
      <c r="BX300" t="e">
        <f>AND('STERLING CATALOG - FZN &amp; CHILL'!I1292,"AAAAAH/rX0s=")</f>
        <v>#VALUE!</v>
      </c>
      <c r="BY300" t="e">
        <f>AND('STERLING CATALOG - FZN &amp; CHILL'!J1292,"AAAAAH/rX0w=")</f>
        <v>#VALUE!</v>
      </c>
      <c r="BZ300">
        <f>IF('STERLING CATALOG - FZN &amp; CHILL'!1293:1293,"AAAAAH/rX00=",0)</f>
        <v>0</v>
      </c>
      <c r="CA300" t="e">
        <f>AND('STERLING CATALOG - FZN &amp; CHILL'!A1293,"AAAAAH/rX04=")</f>
        <v>#VALUE!</v>
      </c>
      <c r="CB300" t="e">
        <f>AND('STERLING CATALOG - FZN &amp; CHILL'!B1293,"AAAAAH/rX08=")</f>
        <v>#VALUE!</v>
      </c>
      <c r="CC300" t="e">
        <f>AND('STERLING CATALOG - FZN &amp; CHILL'!C1293,"AAAAAH/rX1A=")</f>
        <v>#VALUE!</v>
      </c>
      <c r="CD300" t="e">
        <f>AND('STERLING CATALOG - FZN &amp; CHILL'!D1293,"AAAAAH/rX1E=")</f>
        <v>#VALUE!</v>
      </c>
      <c r="CE300" t="e">
        <f>AND('STERLING CATALOG - FZN &amp; CHILL'!E1293,"AAAAAH/rX1I=")</f>
        <v>#VALUE!</v>
      </c>
      <c r="CF300" t="e">
        <f>AND('STERLING CATALOG - FZN &amp; CHILL'!F1293,"AAAAAH/rX1M=")</f>
        <v>#VALUE!</v>
      </c>
      <c r="CG300" t="e">
        <f>AND('STERLING CATALOG - FZN &amp; CHILL'!G1293,"AAAAAH/rX1Q=")</f>
        <v>#VALUE!</v>
      </c>
      <c r="CH300" t="e">
        <f>AND('STERLING CATALOG - FZN &amp; CHILL'!H1293,"AAAAAH/rX1U=")</f>
        <v>#VALUE!</v>
      </c>
      <c r="CI300" t="e">
        <f>AND('STERLING CATALOG - FZN &amp; CHILL'!I1293,"AAAAAH/rX1Y=")</f>
        <v>#VALUE!</v>
      </c>
      <c r="CJ300" t="e">
        <f>AND('STERLING CATALOG - FZN &amp; CHILL'!J1293,"AAAAAH/rX1c=")</f>
        <v>#VALUE!</v>
      </c>
      <c r="CK300">
        <f>IF('STERLING CATALOG - FZN &amp; CHILL'!1294:1294,"AAAAAH/rX1g=",0)</f>
        <v>0</v>
      </c>
      <c r="CL300" t="e">
        <f>AND('STERLING CATALOG - FZN &amp; CHILL'!A1294,"AAAAAH/rX1k=")</f>
        <v>#VALUE!</v>
      </c>
      <c r="CM300" t="e">
        <f>AND('STERLING CATALOG - FZN &amp; CHILL'!B1294,"AAAAAH/rX1o=")</f>
        <v>#VALUE!</v>
      </c>
      <c r="CN300" t="e">
        <f>AND('STERLING CATALOG - FZN &amp; CHILL'!C1294,"AAAAAH/rX1s=")</f>
        <v>#VALUE!</v>
      </c>
      <c r="CO300" t="e">
        <f>AND('STERLING CATALOG - FZN &amp; CHILL'!D1294,"AAAAAH/rX1w=")</f>
        <v>#VALUE!</v>
      </c>
      <c r="CP300" t="e">
        <f>AND('STERLING CATALOG - FZN &amp; CHILL'!E1294,"AAAAAH/rX10=")</f>
        <v>#VALUE!</v>
      </c>
      <c r="CQ300" t="e">
        <f>AND('STERLING CATALOG - FZN &amp; CHILL'!F1294,"AAAAAH/rX14=")</f>
        <v>#VALUE!</v>
      </c>
      <c r="CR300" t="e">
        <f>AND('STERLING CATALOG - FZN &amp; CHILL'!G1294,"AAAAAH/rX18=")</f>
        <v>#VALUE!</v>
      </c>
      <c r="CS300" t="e">
        <f>AND('STERLING CATALOG - FZN &amp; CHILL'!H1294,"AAAAAH/rX2A=")</f>
        <v>#VALUE!</v>
      </c>
      <c r="CT300" t="e">
        <f>AND('STERLING CATALOG - FZN &amp; CHILL'!I1294,"AAAAAH/rX2E=")</f>
        <v>#VALUE!</v>
      </c>
      <c r="CU300" t="e">
        <f>AND('STERLING CATALOG - FZN &amp; CHILL'!J1294,"AAAAAH/rX2I=")</f>
        <v>#VALUE!</v>
      </c>
      <c r="CV300">
        <f>IF('STERLING CATALOG - FZN &amp; CHILL'!1295:1295,"AAAAAH/rX2M=",0)</f>
        <v>0</v>
      </c>
      <c r="CW300" t="e">
        <f>AND('STERLING CATALOG - FZN &amp; CHILL'!A1295,"AAAAAH/rX2Q=")</f>
        <v>#VALUE!</v>
      </c>
      <c r="CX300" t="e">
        <f>AND('STERLING CATALOG - FZN &amp; CHILL'!B1295,"AAAAAH/rX2U=")</f>
        <v>#VALUE!</v>
      </c>
      <c r="CY300" t="e">
        <f>AND('STERLING CATALOG - FZN &amp; CHILL'!C1295,"AAAAAH/rX2Y=")</f>
        <v>#VALUE!</v>
      </c>
      <c r="CZ300" t="e">
        <f>AND('STERLING CATALOG - FZN &amp; CHILL'!D1295,"AAAAAH/rX2c=")</f>
        <v>#VALUE!</v>
      </c>
      <c r="DA300" t="e">
        <f>AND('STERLING CATALOG - FZN &amp; CHILL'!E1295,"AAAAAH/rX2g=")</f>
        <v>#VALUE!</v>
      </c>
      <c r="DB300" t="e">
        <f>AND('STERLING CATALOG - FZN &amp; CHILL'!F1295,"AAAAAH/rX2k=")</f>
        <v>#VALUE!</v>
      </c>
      <c r="DC300" t="e">
        <f>AND('STERLING CATALOG - FZN &amp; CHILL'!G1295,"AAAAAH/rX2o=")</f>
        <v>#VALUE!</v>
      </c>
      <c r="DD300" t="e">
        <f>AND('STERLING CATALOG - FZN &amp; CHILL'!H1295,"AAAAAH/rX2s=")</f>
        <v>#VALUE!</v>
      </c>
      <c r="DE300" t="e">
        <f>AND('STERLING CATALOG - FZN &amp; CHILL'!I1295,"AAAAAH/rX2w=")</f>
        <v>#VALUE!</v>
      </c>
      <c r="DF300" t="e">
        <f>AND('STERLING CATALOG - FZN &amp; CHILL'!J1295,"AAAAAH/rX20=")</f>
        <v>#VALUE!</v>
      </c>
      <c r="DG300">
        <f>IF('STERLING CATALOG - FZN &amp; CHILL'!1296:1296,"AAAAAH/rX24=",0)</f>
        <v>0</v>
      </c>
      <c r="DH300" t="e">
        <f>AND('STERLING CATALOG - FZN &amp; CHILL'!A1296,"AAAAAH/rX28=")</f>
        <v>#VALUE!</v>
      </c>
      <c r="DI300" t="e">
        <f>AND('STERLING CATALOG - FZN &amp; CHILL'!B1296,"AAAAAH/rX3A=")</f>
        <v>#VALUE!</v>
      </c>
      <c r="DJ300" t="e">
        <f>AND('STERLING CATALOG - FZN &amp; CHILL'!C1296,"AAAAAH/rX3E=")</f>
        <v>#VALUE!</v>
      </c>
      <c r="DK300" t="e">
        <f>AND('STERLING CATALOG - FZN &amp; CHILL'!D1296,"AAAAAH/rX3I=")</f>
        <v>#VALUE!</v>
      </c>
      <c r="DL300" t="e">
        <f>AND('STERLING CATALOG - FZN &amp; CHILL'!E1296,"AAAAAH/rX3M=")</f>
        <v>#VALUE!</v>
      </c>
      <c r="DM300" t="e">
        <f>AND('STERLING CATALOG - FZN &amp; CHILL'!F1296,"AAAAAH/rX3Q=")</f>
        <v>#VALUE!</v>
      </c>
      <c r="DN300" t="e">
        <f>AND('STERLING CATALOG - FZN &amp; CHILL'!G1296,"AAAAAH/rX3U=")</f>
        <v>#VALUE!</v>
      </c>
      <c r="DO300" t="e">
        <f>AND('STERLING CATALOG - FZN &amp; CHILL'!H1296,"AAAAAH/rX3Y=")</f>
        <v>#VALUE!</v>
      </c>
      <c r="DP300" t="e">
        <f>AND('STERLING CATALOG - FZN &amp; CHILL'!I1296,"AAAAAH/rX3c=")</f>
        <v>#VALUE!</v>
      </c>
      <c r="DQ300" t="e">
        <f>AND('STERLING CATALOG - FZN &amp; CHILL'!J1296,"AAAAAH/rX3g=")</f>
        <v>#VALUE!</v>
      </c>
      <c r="DR300">
        <f>IF('STERLING CATALOG - FZN &amp; CHILL'!1297:1297,"AAAAAH/rX3k=",0)</f>
        <v>0</v>
      </c>
      <c r="DS300" t="e">
        <f>AND('STERLING CATALOG - FZN &amp; CHILL'!A1297,"AAAAAH/rX3o=")</f>
        <v>#VALUE!</v>
      </c>
      <c r="DT300" t="e">
        <f>AND('STERLING CATALOG - FZN &amp; CHILL'!B1297,"AAAAAH/rX3s=")</f>
        <v>#VALUE!</v>
      </c>
      <c r="DU300" t="e">
        <f>AND('STERLING CATALOG - FZN &amp; CHILL'!C1297,"AAAAAH/rX3w=")</f>
        <v>#VALUE!</v>
      </c>
      <c r="DV300" t="e">
        <f>AND('STERLING CATALOG - FZN &amp; CHILL'!D1297,"AAAAAH/rX30=")</f>
        <v>#VALUE!</v>
      </c>
      <c r="DW300" t="e">
        <f>AND('STERLING CATALOG - FZN &amp; CHILL'!E1297,"AAAAAH/rX34=")</f>
        <v>#VALUE!</v>
      </c>
      <c r="DX300" t="e">
        <f>AND('STERLING CATALOG - FZN &amp; CHILL'!F1297,"AAAAAH/rX38=")</f>
        <v>#VALUE!</v>
      </c>
      <c r="DY300" t="e">
        <f>AND('STERLING CATALOG - FZN &amp; CHILL'!G1297,"AAAAAH/rX4A=")</f>
        <v>#VALUE!</v>
      </c>
      <c r="DZ300" t="e">
        <f>AND('STERLING CATALOG - FZN &amp; CHILL'!H1297,"AAAAAH/rX4E=")</f>
        <v>#VALUE!</v>
      </c>
      <c r="EA300" t="e">
        <f>AND('STERLING CATALOG - FZN &amp; CHILL'!I1297,"AAAAAH/rX4I=")</f>
        <v>#VALUE!</v>
      </c>
      <c r="EB300" t="e">
        <f>AND('STERLING CATALOG - FZN &amp; CHILL'!J1297,"AAAAAH/rX4M=")</f>
        <v>#VALUE!</v>
      </c>
      <c r="EC300">
        <f>IF('STERLING CATALOG - FZN &amp; CHILL'!1298:1298,"AAAAAH/rX4Q=",0)</f>
        <v>0</v>
      </c>
      <c r="ED300" t="e">
        <f>AND('STERLING CATALOG - FZN &amp; CHILL'!A1298,"AAAAAH/rX4U=")</f>
        <v>#VALUE!</v>
      </c>
      <c r="EE300" t="e">
        <f>AND('STERLING CATALOG - FZN &amp; CHILL'!B1298,"AAAAAH/rX4Y=")</f>
        <v>#VALUE!</v>
      </c>
      <c r="EF300" t="e">
        <f>AND('STERLING CATALOG - FZN &amp; CHILL'!C1298,"AAAAAH/rX4c=")</f>
        <v>#VALUE!</v>
      </c>
      <c r="EG300" t="e">
        <f>AND('STERLING CATALOG - FZN &amp; CHILL'!D1298,"AAAAAH/rX4g=")</f>
        <v>#VALUE!</v>
      </c>
      <c r="EH300" t="e">
        <f>AND('STERLING CATALOG - FZN &amp; CHILL'!E1298,"AAAAAH/rX4k=")</f>
        <v>#VALUE!</v>
      </c>
      <c r="EI300" t="e">
        <f>AND('STERLING CATALOG - FZN &amp; CHILL'!F1298,"AAAAAH/rX4o=")</f>
        <v>#VALUE!</v>
      </c>
      <c r="EJ300" t="e">
        <f>AND('STERLING CATALOG - FZN &amp; CHILL'!G1298,"AAAAAH/rX4s=")</f>
        <v>#VALUE!</v>
      </c>
      <c r="EK300" t="e">
        <f>AND('STERLING CATALOG - FZN &amp; CHILL'!H1298,"AAAAAH/rX4w=")</f>
        <v>#VALUE!</v>
      </c>
      <c r="EL300" t="e">
        <f>AND('STERLING CATALOG - FZN &amp; CHILL'!I1298,"AAAAAH/rX40=")</f>
        <v>#VALUE!</v>
      </c>
      <c r="EM300" t="e">
        <f>AND('STERLING CATALOG - FZN &amp; CHILL'!J1298,"AAAAAH/rX44=")</f>
        <v>#VALUE!</v>
      </c>
      <c r="EN300">
        <f>IF('STERLING CATALOG - FZN &amp; CHILL'!1299:1299,"AAAAAH/rX48=",0)</f>
        <v>0</v>
      </c>
      <c r="EO300" t="e">
        <f>AND('STERLING CATALOG - FZN &amp; CHILL'!A1299,"AAAAAH/rX5A=")</f>
        <v>#VALUE!</v>
      </c>
      <c r="EP300" t="e">
        <f>AND('STERLING CATALOG - FZN &amp; CHILL'!B1299,"AAAAAH/rX5E=")</f>
        <v>#VALUE!</v>
      </c>
      <c r="EQ300" t="e">
        <f>AND('STERLING CATALOG - FZN &amp; CHILL'!C1299,"AAAAAH/rX5I=")</f>
        <v>#VALUE!</v>
      </c>
      <c r="ER300" t="e">
        <f>AND('STERLING CATALOG - FZN &amp; CHILL'!D1299,"AAAAAH/rX5M=")</f>
        <v>#VALUE!</v>
      </c>
      <c r="ES300" t="e">
        <f>AND('STERLING CATALOG - FZN &amp; CHILL'!E1299,"AAAAAH/rX5Q=")</f>
        <v>#VALUE!</v>
      </c>
      <c r="ET300" t="e">
        <f>AND('STERLING CATALOG - FZN &amp; CHILL'!F1299,"AAAAAH/rX5U=")</f>
        <v>#VALUE!</v>
      </c>
      <c r="EU300" t="e">
        <f>AND('STERLING CATALOG - FZN &amp; CHILL'!G1299,"AAAAAH/rX5Y=")</f>
        <v>#VALUE!</v>
      </c>
      <c r="EV300" t="e">
        <f>AND('STERLING CATALOG - FZN &amp; CHILL'!H1299,"AAAAAH/rX5c=")</f>
        <v>#VALUE!</v>
      </c>
      <c r="EW300" t="e">
        <f>AND('STERLING CATALOG - FZN &amp; CHILL'!I1299,"AAAAAH/rX5g=")</f>
        <v>#VALUE!</v>
      </c>
      <c r="EX300" t="e">
        <f>AND('STERLING CATALOG - FZN &amp; CHILL'!J1299,"AAAAAH/rX5k=")</f>
        <v>#VALUE!</v>
      </c>
      <c r="EY300">
        <f>IF('STERLING CATALOG - FZN &amp; CHILL'!1300:1300,"AAAAAH/rX5o=",0)</f>
        <v>0</v>
      </c>
      <c r="EZ300" t="e">
        <f>AND('STERLING CATALOG - FZN &amp; CHILL'!A1300,"AAAAAH/rX5s=")</f>
        <v>#VALUE!</v>
      </c>
      <c r="FA300" t="e">
        <f>AND('STERLING CATALOG - FZN &amp; CHILL'!B1300,"AAAAAH/rX5w=")</f>
        <v>#VALUE!</v>
      </c>
      <c r="FB300" t="e">
        <f>AND('STERLING CATALOG - FZN &amp; CHILL'!C1300,"AAAAAH/rX50=")</f>
        <v>#VALUE!</v>
      </c>
      <c r="FC300" t="e">
        <f>AND('STERLING CATALOG - FZN &amp; CHILL'!D1300,"AAAAAH/rX54=")</f>
        <v>#VALUE!</v>
      </c>
      <c r="FD300" t="e">
        <f>AND('STERLING CATALOG - FZN &amp; CHILL'!E1300,"AAAAAH/rX58=")</f>
        <v>#VALUE!</v>
      </c>
      <c r="FE300" t="e">
        <f>AND('STERLING CATALOG - FZN &amp; CHILL'!F1300,"AAAAAH/rX6A=")</f>
        <v>#VALUE!</v>
      </c>
      <c r="FF300" t="e">
        <f>AND('STERLING CATALOG - FZN &amp; CHILL'!G1300,"AAAAAH/rX6E=")</f>
        <v>#VALUE!</v>
      </c>
      <c r="FG300" t="e">
        <f>AND('STERLING CATALOG - FZN &amp; CHILL'!H1300,"AAAAAH/rX6I=")</f>
        <v>#VALUE!</v>
      </c>
      <c r="FH300" t="e">
        <f>AND('STERLING CATALOG - FZN &amp; CHILL'!I1300,"AAAAAH/rX6M=")</f>
        <v>#VALUE!</v>
      </c>
      <c r="FI300" t="e">
        <f>AND('STERLING CATALOG - FZN &amp; CHILL'!J1300,"AAAAAH/rX6Q=")</f>
        <v>#VALUE!</v>
      </c>
      <c r="FJ300">
        <f>IF('STERLING CATALOG - FZN &amp; CHILL'!1301:1301,"AAAAAH/rX6U=",0)</f>
        <v>0</v>
      </c>
      <c r="FK300" t="e">
        <f>AND('STERLING CATALOG - FZN &amp; CHILL'!A1301,"AAAAAH/rX6Y=")</f>
        <v>#VALUE!</v>
      </c>
      <c r="FL300" t="e">
        <f>AND('STERLING CATALOG - FZN &amp; CHILL'!B1301,"AAAAAH/rX6c=")</f>
        <v>#VALUE!</v>
      </c>
      <c r="FM300" t="e">
        <f>AND('STERLING CATALOG - FZN &amp; CHILL'!C1301,"AAAAAH/rX6g=")</f>
        <v>#VALUE!</v>
      </c>
      <c r="FN300" t="e">
        <f>AND('STERLING CATALOG - FZN &amp; CHILL'!D1301,"AAAAAH/rX6k=")</f>
        <v>#VALUE!</v>
      </c>
      <c r="FO300" t="e">
        <f>AND('STERLING CATALOG - FZN &amp; CHILL'!E1301,"AAAAAH/rX6o=")</f>
        <v>#VALUE!</v>
      </c>
      <c r="FP300" t="e">
        <f>AND('STERLING CATALOG - FZN &amp; CHILL'!F1301,"AAAAAH/rX6s=")</f>
        <v>#VALUE!</v>
      </c>
      <c r="FQ300" t="e">
        <f>AND('STERLING CATALOG - FZN &amp; CHILL'!G1301,"AAAAAH/rX6w=")</f>
        <v>#VALUE!</v>
      </c>
      <c r="FR300" t="e">
        <f>AND('STERLING CATALOG - FZN &amp; CHILL'!H1301,"AAAAAH/rX60=")</f>
        <v>#VALUE!</v>
      </c>
      <c r="FS300" t="e">
        <f>AND('STERLING CATALOG - FZN &amp; CHILL'!I1301,"AAAAAH/rX64=")</f>
        <v>#VALUE!</v>
      </c>
      <c r="FT300" t="e">
        <f>AND('STERLING CATALOG - FZN &amp; CHILL'!J1301,"AAAAAH/rX68=")</f>
        <v>#VALUE!</v>
      </c>
      <c r="FU300">
        <f>IF('STERLING CATALOG - FZN &amp; CHILL'!1302:1302,"AAAAAH/rX7A=",0)</f>
        <v>0</v>
      </c>
      <c r="FV300" t="e">
        <f>AND('STERLING CATALOG - FZN &amp; CHILL'!A1302,"AAAAAH/rX7E=")</f>
        <v>#VALUE!</v>
      </c>
      <c r="FW300" t="e">
        <f>AND('STERLING CATALOG - FZN &amp; CHILL'!B1302,"AAAAAH/rX7I=")</f>
        <v>#VALUE!</v>
      </c>
      <c r="FX300" t="e">
        <f>AND('STERLING CATALOG - FZN &amp; CHILL'!C1302,"AAAAAH/rX7M=")</f>
        <v>#VALUE!</v>
      </c>
      <c r="FY300" t="e">
        <f>AND('STERLING CATALOG - FZN &amp; CHILL'!D1302,"AAAAAH/rX7Q=")</f>
        <v>#VALUE!</v>
      </c>
      <c r="FZ300" t="e">
        <f>AND('STERLING CATALOG - FZN &amp; CHILL'!E1302,"AAAAAH/rX7U=")</f>
        <v>#VALUE!</v>
      </c>
      <c r="GA300" t="e">
        <f>AND('STERLING CATALOG - FZN &amp; CHILL'!F1302,"AAAAAH/rX7Y=")</f>
        <v>#VALUE!</v>
      </c>
      <c r="GB300" t="e">
        <f>AND('STERLING CATALOG - FZN &amp; CHILL'!G1302,"AAAAAH/rX7c=")</f>
        <v>#VALUE!</v>
      </c>
      <c r="GC300" t="e">
        <f>AND('STERLING CATALOG - FZN &amp; CHILL'!H1302,"AAAAAH/rX7g=")</f>
        <v>#VALUE!</v>
      </c>
      <c r="GD300" t="e">
        <f>AND('STERLING CATALOG - FZN &amp; CHILL'!I1302,"AAAAAH/rX7k=")</f>
        <v>#VALUE!</v>
      </c>
      <c r="GE300" t="e">
        <f>AND('STERLING CATALOG - FZN &amp; CHILL'!J1302,"AAAAAH/rX7o=")</f>
        <v>#VALUE!</v>
      </c>
      <c r="GF300">
        <f>IF('STERLING CATALOG - FZN &amp; CHILL'!1303:1303,"AAAAAH/rX7s=",0)</f>
        <v>0</v>
      </c>
      <c r="GG300" t="e">
        <f>AND('STERLING CATALOG - FZN &amp; CHILL'!A1303,"AAAAAH/rX7w=")</f>
        <v>#VALUE!</v>
      </c>
      <c r="GH300" t="e">
        <f>AND('STERLING CATALOG - FZN &amp; CHILL'!B1303,"AAAAAH/rX70=")</f>
        <v>#VALUE!</v>
      </c>
      <c r="GI300" t="e">
        <f>AND('STERLING CATALOG - FZN &amp; CHILL'!C1303,"AAAAAH/rX74=")</f>
        <v>#VALUE!</v>
      </c>
      <c r="GJ300" t="e">
        <f>AND('STERLING CATALOG - FZN &amp; CHILL'!D1303,"AAAAAH/rX78=")</f>
        <v>#VALUE!</v>
      </c>
      <c r="GK300" t="e">
        <f>AND('STERLING CATALOG - FZN &amp; CHILL'!E1303,"AAAAAH/rX8A=")</f>
        <v>#VALUE!</v>
      </c>
      <c r="GL300" t="e">
        <f>AND('STERLING CATALOG - FZN &amp; CHILL'!F1303,"AAAAAH/rX8E=")</f>
        <v>#VALUE!</v>
      </c>
      <c r="GM300" t="e">
        <f>AND('STERLING CATALOG - FZN &amp; CHILL'!G1303,"AAAAAH/rX8I=")</f>
        <v>#VALUE!</v>
      </c>
      <c r="GN300" t="e">
        <f>AND('STERLING CATALOG - FZN &amp; CHILL'!H1303,"AAAAAH/rX8M=")</f>
        <v>#VALUE!</v>
      </c>
      <c r="GO300" t="e">
        <f>AND('STERLING CATALOG - FZN &amp; CHILL'!I1303,"AAAAAH/rX8Q=")</f>
        <v>#VALUE!</v>
      </c>
      <c r="GP300" t="e">
        <f>AND('STERLING CATALOG - FZN &amp; CHILL'!J1303,"AAAAAH/rX8U=")</f>
        <v>#VALUE!</v>
      </c>
      <c r="GQ300">
        <f>IF('STERLING CATALOG - FZN &amp; CHILL'!1304:1304,"AAAAAH/rX8Y=",0)</f>
        <v>0</v>
      </c>
      <c r="GR300" t="e">
        <f>AND('STERLING CATALOG - FZN &amp; CHILL'!A1304,"AAAAAH/rX8c=")</f>
        <v>#VALUE!</v>
      </c>
      <c r="GS300" t="e">
        <f>AND('STERLING CATALOG - FZN &amp; CHILL'!B1304,"AAAAAH/rX8g=")</f>
        <v>#VALUE!</v>
      </c>
      <c r="GT300" t="e">
        <f>AND('STERLING CATALOG - FZN &amp; CHILL'!C1304,"AAAAAH/rX8k=")</f>
        <v>#VALUE!</v>
      </c>
      <c r="GU300" t="e">
        <f>AND('STERLING CATALOG - FZN &amp; CHILL'!D1304,"AAAAAH/rX8o=")</f>
        <v>#VALUE!</v>
      </c>
      <c r="GV300" t="e">
        <f>AND('STERLING CATALOG - FZN &amp; CHILL'!E1304,"AAAAAH/rX8s=")</f>
        <v>#VALUE!</v>
      </c>
      <c r="GW300" t="e">
        <f>AND('STERLING CATALOG - FZN &amp; CHILL'!F1304,"AAAAAH/rX8w=")</f>
        <v>#VALUE!</v>
      </c>
      <c r="GX300" t="e">
        <f>AND('STERLING CATALOG - FZN &amp; CHILL'!G1304,"AAAAAH/rX80=")</f>
        <v>#VALUE!</v>
      </c>
      <c r="GY300" t="e">
        <f>AND('STERLING CATALOG - FZN &amp; CHILL'!H1304,"AAAAAH/rX84=")</f>
        <v>#VALUE!</v>
      </c>
      <c r="GZ300" t="e">
        <f>AND('STERLING CATALOG - FZN &amp; CHILL'!I1304,"AAAAAH/rX88=")</f>
        <v>#VALUE!</v>
      </c>
      <c r="HA300" t="e">
        <f>AND('STERLING CATALOG - FZN &amp; CHILL'!J1304,"AAAAAH/rX9A=")</f>
        <v>#VALUE!</v>
      </c>
      <c r="HB300">
        <f>IF('STERLING CATALOG - FZN &amp; CHILL'!1305:1305,"AAAAAH/rX9E=",0)</f>
        <v>0</v>
      </c>
      <c r="HC300" t="e">
        <f>AND('STERLING CATALOG - FZN &amp; CHILL'!A1305,"AAAAAH/rX9I=")</f>
        <v>#VALUE!</v>
      </c>
      <c r="HD300" t="e">
        <f>AND('STERLING CATALOG - FZN &amp; CHILL'!B1305,"AAAAAH/rX9M=")</f>
        <v>#VALUE!</v>
      </c>
      <c r="HE300" t="e">
        <f>AND('STERLING CATALOG - FZN &amp; CHILL'!C1305,"AAAAAH/rX9Q=")</f>
        <v>#VALUE!</v>
      </c>
      <c r="HF300" t="e">
        <f>AND('STERLING CATALOG - FZN &amp; CHILL'!D1305,"AAAAAH/rX9U=")</f>
        <v>#VALUE!</v>
      </c>
      <c r="HG300" t="e">
        <f>AND('STERLING CATALOG - FZN &amp; CHILL'!E1305,"AAAAAH/rX9Y=")</f>
        <v>#VALUE!</v>
      </c>
      <c r="HH300" t="e">
        <f>AND('STERLING CATALOG - FZN &amp; CHILL'!F1305,"AAAAAH/rX9c=")</f>
        <v>#VALUE!</v>
      </c>
      <c r="HI300" t="e">
        <f>AND('STERLING CATALOG - FZN &amp; CHILL'!G1305,"AAAAAH/rX9g=")</f>
        <v>#VALUE!</v>
      </c>
      <c r="HJ300" t="e">
        <f>AND('STERLING CATALOG - FZN &amp; CHILL'!H1305,"AAAAAH/rX9k=")</f>
        <v>#VALUE!</v>
      </c>
      <c r="HK300" t="e">
        <f>AND('STERLING CATALOG - FZN &amp; CHILL'!I1305,"AAAAAH/rX9o=")</f>
        <v>#VALUE!</v>
      </c>
      <c r="HL300" t="e">
        <f>AND('STERLING CATALOG - FZN &amp; CHILL'!J1305,"AAAAAH/rX9s=")</f>
        <v>#VALUE!</v>
      </c>
      <c r="HM300">
        <f>IF('STERLING CATALOG - FZN &amp; CHILL'!1306:1306,"AAAAAH/rX9w=",0)</f>
        <v>0</v>
      </c>
      <c r="HN300" t="e">
        <f>AND('STERLING CATALOG - FZN &amp; CHILL'!A1306,"AAAAAH/rX90=")</f>
        <v>#VALUE!</v>
      </c>
      <c r="HO300" t="e">
        <f>AND('STERLING CATALOG - FZN &amp; CHILL'!B1306,"AAAAAH/rX94=")</f>
        <v>#VALUE!</v>
      </c>
      <c r="HP300" t="e">
        <f>AND('STERLING CATALOG - FZN &amp; CHILL'!C1306,"AAAAAH/rX98=")</f>
        <v>#VALUE!</v>
      </c>
      <c r="HQ300" t="e">
        <f>AND('STERLING CATALOG - FZN &amp; CHILL'!D1306,"AAAAAH/rX+A=")</f>
        <v>#VALUE!</v>
      </c>
      <c r="HR300" t="e">
        <f>AND('STERLING CATALOG - FZN &amp; CHILL'!E1306,"AAAAAH/rX+E=")</f>
        <v>#VALUE!</v>
      </c>
      <c r="HS300" t="e">
        <f>AND('STERLING CATALOG - FZN &amp; CHILL'!F1306,"AAAAAH/rX+I=")</f>
        <v>#VALUE!</v>
      </c>
      <c r="HT300" t="e">
        <f>AND('STERLING CATALOG - FZN &amp; CHILL'!G1306,"AAAAAH/rX+M=")</f>
        <v>#VALUE!</v>
      </c>
      <c r="HU300" t="e">
        <f>AND('STERLING CATALOG - FZN &amp; CHILL'!H1306,"AAAAAH/rX+Q=")</f>
        <v>#VALUE!</v>
      </c>
      <c r="HV300" t="e">
        <f>AND('STERLING CATALOG - FZN &amp; CHILL'!I1306,"AAAAAH/rX+U=")</f>
        <v>#VALUE!</v>
      </c>
      <c r="HW300" t="e">
        <f>AND('STERLING CATALOG - FZN &amp; CHILL'!J1306,"AAAAAH/rX+Y=")</f>
        <v>#VALUE!</v>
      </c>
      <c r="HX300">
        <f>IF('STERLING CATALOG - FZN &amp; CHILL'!1307:1307,"AAAAAH/rX+c=",0)</f>
        <v>0</v>
      </c>
      <c r="HY300" t="e">
        <f>AND('STERLING CATALOG - FZN &amp; CHILL'!A1307,"AAAAAH/rX+g=")</f>
        <v>#VALUE!</v>
      </c>
      <c r="HZ300" t="e">
        <f>AND('STERLING CATALOG - FZN &amp; CHILL'!B1307,"AAAAAH/rX+k=")</f>
        <v>#VALUE!</v>
      </c>
      <c r="IA300" t="e">
        <f>AND('STERLING CATALOG - FZN &amp; CHILL'!C1307,"AAAAAH/rX+o=")</f>
        <v>#VALUE!</v>
      </c>
      <c r="IB300" t="e">
        <f>AND('STERLING CATALOG - FZN &amp; CHILL'!D1307,"AAAAAH/rX+s=")</f>
        <v>#VALUE!</v>
      </c>
      <c r="IC300" t="e">
        <f>AND('STERLING CATALOG - FZN &amp; CHILL'!E1307,"AAAAAH/rX+w=")</f>
        <v>#VALUE!</v>
      </c>
      <c r="ID300" t="e">
        <f>AND('STERLING CATALOG - FZN &amp; CHILL'!F1307,"AAAAAH/rX+0=")</f>
        <v>#VALUE!</v>
      </c>
      <c r="IE300" t="e">
        <f>AND('STERLING CATALOG - FZN &amp; CHILL'!G1307,"AAAAAH/rX+4=")</f>
        <v>#VALUE!</v>
      </c>
      <c r="IF300" t="e">
        <f>AND('STERLING CATALOG - FZN &amp; CHILL'!H1307,"AAAAAH/rX+8=")</f>
        <v>#VALUE!</v>
      </c>
      <c r="IG300" t="e">
        <f>AND('STERLING CATALOG - FZN &amp; CHILL'!I1307,"AAAAAH/rX/A=")</f>
        <v>#VALUE!</v>
      </c>
      <c r="IH300" t="e">
        <f>AND('STERLING CATALOG - FZN &amp; CHILL'!J1307,"AAAAAH/rX/E=")</f>
        <v>#VALUE!</v>
      </c>
      <c r="II300">
        <f>IF('STERLING CATALOG - FZN &amp; CHILL'!1308:1308,"AAAAAH/rX/I=",0)</f>
        <v>0</v>
      </c>
      <c r="IJ300" t="e">
        <f>AND('STERLING CATALOG - FZN &amp; CHILL'!A1308,"AAAAAH/rX/M=")</f>
        <v>#VALUE!</v>
      </c>
      <c r="IK300" t="e">
        <f>AND('STERLING CATALOG - FZN &amp; CHILL'!B1308,"AAAAAH/rX/Q=")</f>
        <v>#VALUE!</v>
      </c>
      <c r="IL300" t="e">
        <f>AND('STERLING CATALOG - FZN &amp; CHILL'!C1308,"AAAAAH/rX/U=")</f>
        <v>#VALUE!</v>
      </c>
      <c r="IM300" t="e">
        <f>AND('STERLING CATALOG - FZN &amp; CHILL'!D1308,"AAAAAH/rX/Y=")</f>
        <v>#VALUE!</v>
      </c>
      <c r="IN300" t="e">
        <f>AND('STERLING CATALOG - FZN &amp; CHILL'!E1308,"AAAAAH/rX/c=")</f>
        <v>#VALUE!</v>
      </c>
      <c r="IO300" t="e">
        <f>AND('STERLING CATALOG - FZN &amp; CHILL'!F1308,"AAAAAH/rX/g=")</f>
        <v>#VALUE!</v>
      </c>
      <c r="IP300" t="e">
        <f>AND('STERLING CATALOG - FZN &amp; CHILL'!G1308,"AAAAAH/rX/k=")</f>
        <v>#VALUE!</v>
      </c>
      <c r="IQ300" t="e">
        <f>AND('STERLING CATALOG - FZN &amp; CHILL'!H1308,"AAAAAH/rX/o=")</f>
        <v>#VALUE!</v>
      </c>
      <c r="IR300" t="e">
        <f>AND('STERLING CATALOG - FZN &amp; CHILL'!I1308,"AAAAAH/rX/s=")</f>
        <v>#VALUE!</v>
      </c>
      <c r="IS300" t="e">
        <f>AND('STERLING CATALOG - FZN &amp; CHILL'!J1308,"AAAAAH/rX/w=")</f>
        <v>#VALUE!</v>
      </c>
      <c r="IT300">
        <f>IF('STERLING CATALOG - FZN &amp; CHILL'!1309:1309,"AAAAAH/rX/0=",0)</f>
        <v>0</v>
      </c>
      <c r="IU300" t="e">
        <f>AND('STERLING CATALOG - FZN &amp; CHILL'!A1309,"AAAAAH/rX/4=")</f>
        <v>#VALUE!</v>
      </c>
      <c r="IV300" t="e">
        <f>AND('STERLING CATALOG - FZN &amp; CHILL'!B1309,"AAAAAH/rX/8=")</f>
        <v>#VALUE!</v>
      </c>
    </row>
    <row r="301" spans="1:256">
      <c r="A301" t="e">
        <f>AND('STERLING CATALOG - FZN &amp; CHILL'!C1309,"AAAAAG0v1QA=")</f>
        <v>#VALUE!</v>
      </c>
      <c r="B301" t="e">
        <f>AND('STERLING CATALOG - FZN &amp; CHILL'!D1309,"AAAAAG0v1QE=")</f>
        <v>#VALUE!</v>
      </c>
      <c r="C301" t="e">
        <f>AND('STERLING CATALOG - FZN &amp; CHILL'!E1309,"AAAAAG0v1QI=")</f>
        <v>#VALUE!</v>
      </c>
      <c r="D301" t="e">
        <f>AND('STERLING CATALOG - FZN &amp; CHILL'!F1309,"AAAAAG0v1QM=")</f>
        <v>#VALUE!</v>
      </c>
      <c r="E301" t="e">
        <f>AND('STERLING CATALOG - FZN &amp; CHILL'!G1309,"AAAAAG0v1QQ=")</f>
        <v>#VALUE!</v>
      </c>
      <c r="F301" t="e">
        <f>AND('STERLING CATALOG - FZN &amp; CHILL'!H1309,"AAAAAG0v1QU=")</f>
        <v>#VALUE!</v>
      </c>
      <c r="G301" t="e">
        <f>AND('STERLING CATALOG - FZN &amp; CHILL'!I1309,"AAAAAG0v1QY=")</f>
        <v>#VALUE!</v>
      </c>
      <c r="H301" t="e">
        <f>AND('STERLING CATALOG - FZN &amp; CHILL'!J1309,"AAAAAG0v1Qc=")</f>
        <v>#VALUE!</v>
      </c>
      <c r="I301" t="e">
        <f>IF('STERLING CATALOG - FZN &amp; CHILL'!1310:1310,"AAAAAG0v1Qg=",0)</f>
        <v>#VALUE!</v>
      </c>
      <c r="J301" t="e">
        <f>AND('STERLING CATALOG - FZN &amp; CHILL'!A1310,"AAAAAG0v1Qk=")</f>
        <v>#VALUE!</v>
      </c>
      <c r="K301" t="e">
        <f>AND('STERLING CATALOG - FZN &amp; CHILL'!B1310,"AAAAAG0v1Qo=")</f>
        <v>#VALUE!</v>
      </c>
      <c r="L301" t="e">
        <f>AND('STERLING CATALOG - FZN &amp; CHILL'!C1310,"AAAAAG0v1Qs=")</f>
        <v>#VALUE!</v>
      </c>
      <c r="M301" t="e">
        <f>AND('STERLING CATALOG - FZN &amp; CHILL'!D1310,"AAAAAG0v1Qw=")</f>
        <v>#VALUE!</v>
      </c>
      <c r="N301" t="e">
        <f>AND('STERLING CATALOG - FZN &amp; CHILL'!E1310,"AAAAAG0v1Q0=")</f>
        <v>#VALUE!</v>
      </c>
      <c r="O301" t="e">
        <f>AND('STERLING CATALOG - FZN &amp; CHILL'!F1310,"AAAAAG0v1Q4=")</f>
        <v>#VALUE!</v>
      </c>
      <c r="P301" t="e">
        <f>AND('STERLING CATALOG - FZN &amp; CHILL'!G1310,"AAAAAG0v1Q8=")</f>
        <v>#VALUE!</v>
      </c>
      <c r="Q301" t="e">
        <f>AND('STERLING CATALOG - FZN &amp; CHILL'!H1310,"AAAAAG0v1RA=")</f>
        <v>#VALUE!</v>
      </c>
      <c r="R301" t="e">
        <f>AND('STERLING CATALOG - FZN &amp; CHILL'!I1310,"AAAAAG0v1RE=")</f>
        <v>#VALUE!</v>
      </c>
      <c r="S301" t="e">
        <f>AND('STERLING CATALOG - FZN &amp; CHILL'!J1310,"AAAAAG0v1RI=")</f>
        <v>#VALUE!</v>
      </c>
      <c r="T301">
        <f>IF('STERLING CATALOG - FZN &amp; CHILL'!1311:1311,"AAAAAG0v1RM=",0)</f>
        <v>0</v>
      </c>
      <c r="U301" t="e">
        <f>AND('STERLING CATALOG - FZN &amp; CHILL'!A1311,"AAAAAG0v1RQ=")</f>
        <v>#VALUE!</v>
      </c>
      <c r="V301" t="e">
        <f>AND('STERLING CATALOG - FZN &amp; CHILL'!B1311,"AAAAAG0v1RU=")</f>
        <v>#VALUE!</v>
      </c>
      <c r="W301" t="e">
        <f>AND('STERLING CATALOG - FZN &amp; CHILL'!C1311,"AAAAAG0v1RY=")</f>
        <v>#VALUE!</v>
      </c>
      <c r="X301" t="e">
        <f>AND('STERLING CATALOG - FZN &amp; CHILL'!D1311,"AAAAAG0v1Rc=")</f>
        <v>#VALUE!</v>
      </c>
      <c r="Y301" t="e">
        <f>AND('STERLING CATALOG - FZN &amp; CHILL'!E1311,"AAAAAG0v1Rg=")</f>
        <v>#VALUE!</v>
      </c>
      <c r="Z301" t="e">
        <f>AND('STERLING CATALOG - FZN &amp; CHILL'!F1311,"AAAAAG0v1Rk=")</f>
        <v>#VALUE!</v>
      </c>
      <c r="AA301" t="e">
        <f>AND('STERLING CATALOG - FZN &amp; CHILL'!G1311,"AAAAAG0v1Ro=")</f>
        <v>#VALUE!</v>
      </c>
      <c r="AB301" t="e">
        <f>AND('STERLING CATALOG - FZN &amp; CHILL'!H1311,"AAAAAG0v1Rs=")</f>
        <v>#VALUE!</v>
      </c>
      <c r="AC301" t="e">
        <f>AND('STERLING CATALOG - FZN &amp; CHILL'!I1311,"AAAAAG0v1Rw=")</f>
        <v>#VALUE!</v>
      </c>
      <c r="AD301" t="e">
        <f>AND('STERLING CATALOG - FZN &amp; CHILL'!J1311,"AAAAAG0v1R0=")</f>
        <v>#VALUE!</v>
      </c>
      <c r="AE301">
        <f>IF('STERLING CATALOG - FZN &amp; CHILL'!1312:1312,"AAAAAG0v1R4=",0)</f>
        <v>0</v>
      </c>
      <c r="AF301" t="e">
        <f>AND('STERLING CATALOG - FZN &amp; CHILL'!A1312,"AAAAAG0v1R8=")</f>
        <v>#VALUE!</v>
      </c>
      <c r="AG301" t="e">
        <f>AND('STERLING CATALOG - FZN &amp; CHILL'!B1312,"AAAAAG0v1SA=")</f>
        <v>#VALUE!</v>
      </c>
      <c r="AH301" t="e">
        <f>AND('STERLING CATALOG - FZN &amp; CHILL'!C1312,"AAAAAG0v1SE=")</f>
        <v>#VALUE!</v>
      </c>
      <c r="AI301" t="e">
        <f>AND('STERLING CATALOG - FZN &amp; CHILL'!D1312,"AAAAAG0v1SI=")</f>
        <v>#VALUE!</v>
      </c>
      <c r="AJ301" t="e">
        <f>AND('STERLING CATALOG - FZN &amp; CHILL'!E1312,"AAAAAG0v1SM=")</f>
        <v>#VALUE!</v>
      </c>
      <c r="AK301" t="e">
        <f>AND('STERLING CATALOG - FZN &amp; CHILL'!F1312,"AAAAAG0v1SQ=")</f>
        <v>#VALUE!</v>
      </c>
      <c r="AL301" t="e">
        <f>AND('STERLING CATALOG - FZN &amp; CHILL'!G1312,"AAAAAG0v1SU=")</f>
        <v>#VALUE!</v>
      </c>
      <c r="AM301" t="e">
        <f>AND('STERLING CATALOG - FZN &amp; CHILL'!H1312,"AAAAAG0v1SY=")</f>
        <v>#VALUE!</v>
      </c>
      <c r="AN301" t="e">
        <f>AND('STERLING CATALOG - FZN &amp; CHILL'!I1312,"AAAAAG0v1Sc=")</f>
        <v>#VALUE!</v>
      </c>
      <c r="AO301" t="e">
        <f>AND('STERLING CATALOG - FZN &amp; CHILL'!J1312,"AAAAAG0v1Sg=")</f>
        <v>#VALUE!</v>
      </c>
      <c r="AP301">
        <f>IF('STERLING CATALOG - FZN &amp; CHILL'!1313:1313,"AAAAAG0v1Sk=",0)</f>
        <v>0</v>
      </c>
      <c r="AQ301" t="e">
        <f>AND('STERLING CATALOG - FZN &amp; CHILL'!A1313,"AAAAAG0v1So=")</f>
        <v>#VALUE!</v>
      </c>
      <c r="AR301" t="e">
        <f>AND('STERLING CATALOG - FZN &amp; CHILL'!B1313,"AAAAAG0v1Ss=")</f>
        <v>#VALUE!</v>
      </c>
      <c r="AS301" t="e">
        <f>AND('STERLING CATALOG - FZN &amp; CHILL'!C1313,"AAAAAG0v1Sw=")</f>
        <v>#VALUE!</v>
      </c>
      <c r="AT301" t="e">
        <f>AND('STERLING CATALOG - FZN &amp; CHILL'!D1313,"AAAAAG0v1S0=")</f>
        <v>#VALUE!</v>
      </c>
      <c r="AU301" t="e">
        <f>AND('STERLING CATALOG - FZN &amp; CHILL'!E1313,"AAAAAG0v1S4=")</f>
        <v>#VALUE!</v>
      </c>
      <c r="AV301" t="e">
        <f>AND('STERLING CATALOG - FZN &amp; CHILL'!F1313,"AAAAAG0v1S8=")</f>
        <v>#VALUE!</v>
      </c>
      <c r="AW301" t="e">
        <f>AND('STERLING CATALOG - FZN &amp; CHILL'!G1313,"AAAAAG0v1TA=")</f>
        <v>#VALUE!</v>
      </c>
      <c r="AX301" t="e">
        <f>AND('STERLING CATALOG - FZN &amp; CHILL'!H1313,"AAAAAG0v1TE=")</f>
        <v>#VALUE!</v>
      </c>
      <c r="AY301" t="e">
        <f>AND('STERLING CATALOG - FZN &amp; CHILL'!I1313,"AAAAAG0v1TI=")</f>
        <v>#VALUE!</v>
      </c>
      <c r="AZ301" t="e">
        <f>AND('STERLING CATALOG - FZN &amp; CHILL'!J1313,"AAAAAG0v1TM=")</f>
        <v>#VALUE!</v>
      </c>
      <c r="BA301">
        <f>IF('STERLING CATALOG - FZN &amp; CHILL'!1314:1314,"AAAAAG0v1TQ=",0)</f>
        <v>0</v>
      </c>
      <c r="BB301" t="e">
        <f>AND('STERLING CATALOG - FZN &amp; CHILL'!A1314,"AAAAAG0v1TU=")</f>
        <v>#VALUE!</v>
      </c>
      <c r="BC301" t="e">
        <f>AND('STERLING CATALOG - FZN &amp; CHILL'!B1314,"AAAAAG0v1TY=")</f>
        <v>#VALUE!</v>
      </c>
      <c r="BD301" t="e">
        <f>AND('STERLING CATALOG - FZN &amp; CHILL'!C1314,"AAAAAG0v1Tc=")</f>
        <v>#VALUE!</v>
      </c>
      <c r="BE301" t="e">
        <f>AND('STERLING CATALOG - FZN &amp; CHILL'!D1314,"AAAAAG0v1Tg=")</f>
        <v>#VALUE!</v>
      </c>
      <c r="BF301" t="e">
        <f>AND('STERLING CATALOG - FZN &amp; CHILL'!E1314,"AAAAAG0v1Tk=")</f>
        <v>#VALUE!</v>
      </c>
      <c r="BG301" t="e">
        <f>AND('STERLING CATALOG - FZN &amp; CHILL'!F1314,"AAAAAG0v1To=")</f>
        <v>#VALUE!</v>
      </c>
      <c r="BH301" t="e">
        <f>AND('STERLING CATALOG - FZN &amp; CHILL'!G1314,"AAAAAG0v1Ts=")</f>
        <v>#VALUE!</v>
      </c>
      <c r="BI301" t="e">
        <f>AND('STERLING CATALOG - FZN &amp; CHILL'!H1314,"AAAAAG0v1Tw=")</f>
        <v>#VALUE!</v>
      </c>
      <c r="BJ301" t="e">
        <f>AND('STERLING CATALOG - FZN &amp; CHILL'!I1314,"AAAAAG0v1T0=")</f>
        <v>#VALUE!</v>
      </c>
      <c r="BK301" t="e">
        <f>AND('STERLING CATALOG - FZN &amp; CHILL'!J1314,"AAAAAG0v1T4=")</f>
        <v>#VALUE!</v>
      </c>
      <c r="BL301">
        <f>IF('STERLING CATALOG - FZN &amp; CHILL'!1315:1315,"AAAAAG0v1T8=",0)</f>
        <v>0</v>
      </c>
      <c r="BM301" t="e">
        <f>AND('STERLING CATALOG - FZN &amp; CHILL'!A1315,"AAAAAG0v1UA=")</f>
        <v>#VALUE!</v>
      </c>
      <c r="BN301" t="e">
        <f>AND('STERLING CATALOG - FZN &amp; CHILL'!B1315,"AAAAAG0v1UE=")</f>
        <v>#VALUE!</v>
      </c>
      <c r="BO301" t="e">
        <f>AND('STERLING CATALOG - FZN &amp; CHILL'!C1315,"AAAAAG0v1UI=")</f>
        <v>#VALUE!</v>
      </c>
      <c r="BP301" t="e">
        <f>AND('STERLING CATALOG - FZN &amp; CHILL'!D1315,"AAAAAG0v1UM=")</f>
        <v>#VALUE!</v>
      </c>
      <c r="BQ301" t="e">
        <f>AND('STERLING CATALOG - FZN &amp; CHILL'!E1315,"AAAAAG0v1UQ=")</f>
        <v>#VALUE!</v>
      </c>
      <c r="BR301" t="e">
        <f>AND('STERLING CATALOG - FZN &amp; CHILL'!F1315,"AAAAAG0v1UU=")</f>
        <v>#VALUE!</v>
      </c>
      <c r="BS301" t="e">
        <f>AND('STERLING CATALOG - FZN &amp; CHILL'!G1315,"AAAAAG0v1UY=")</f>
        <v>#VALUE!</v>
      </c>
      <c r="BT301" t="e">
        <f>AND('STERLING CATALOG - FZN &amp; CHILL'!H1315,"AAAAAG0v1Uc=")</f>
        <v>#VALUE!</v>
      </c>
      <c r="BU301" t="e">
        <f>AND('STERLING CATALOG - FZN &amp; CHILL'!I1315,"AAAAAG0v1Ug=")</f>
        <v>#VALUE!</v>
      </c>
      <c r="BV301" t="e">
        <f>AND('STERLING CATALOG - FZN &amp; CHILL'!J1315,"AAAAAG0v1Uk=")</f>
        <v>#VALUE!</v>
      </c>
      <c r="BW301">
        <f>IF('STERLING CATALOG - FZN &amp; CHILL'!1316:1316,"AAAAAG0v1Uo=",0)</f>
        <v>0</v>
      </c>
      <c r="BX301" t="e">
        <f>AND('STERLING CATALOG - FZN &amp; CHILL'!A1316,"AAAAAG0v1Us=")</f>
        <v>#VALUE!</v>
      </c>
      <c r="BY301" t="e">
        <f>AND('STERLING CATALOG - FZN &amp; CHILL'!B1316,"AAAAAG0v1Uw=")</f>
        <v>#VALUE!</v>
      </c>
      <c r="BZ301" t="e">
        <f>AND('STERLING CATALOG - FZN &amp; CHILL'!C1316,"AAAAAG0v1U0=")</f>
        <v>#VALUE!</v>
      </c>
      <c r="CA301" t="e">
        <f>AND('STERLING CATALOG - FZN &amp; CHILL'!D1316,"AAAAAG0v1U4=")</f>
        <v>#VALUE!</v>
      </c>
      <c r="CB301" t="e">
        <f>AND('STERLING CATALOG - FZN &amp; CHILL'!E1316,"AAAAAG0v1U8=")</f>
        <v>#VALUE!</v>
      </c>
      <c r="CC301" t="e">
        <f>AND('STERLING CATALOG - FZN &amp; CHILL'!F1316,"AAAAAG0v1VA=")</f>
        <v>#VALUE!</v>
      </c>
      <c r="CD301" t="e">
        <f>AND('STERLING CATALOG - FZN &amp; CHILL'!G1316,"AAAAAG0v1VE=")</f>
        <v>#VALUE!</v>
      </c>
      <c r="CE301" t="e">
        <f>AND('STERLING CATALOG - FZN &amp; CHILL'!H1316,"AAAAAG0v1VI=")</f>
        <v>#VALUE!</v>
      </c>
      <c r="CF301" t="e">
        <f>AND('STERLING CATALOG - FZN &amp; CHILL'!I1316,"AAAAAG0v1VM=")</f>
        <v>#VALUE!</v>
      </c>
      <c r="CG301" t="e">
        <f>AND('STERLING CATALOG - FZN &amp; CHILL'!J1316,"AAAAAG0v1VQ=")</f>
        <v>#VALUE!</v>
      </c>
      <c r="CH301">
        <f>IF('STERLING CATALOG - FZN &amp; CHILL'!1317:1317,"AAAAAG0v1VU=",0)</f>
        <v>0</v>
      </c>
      <c r="CI301" t="e">
        <f>AND('STERLING CATALOG - FZN &amp; CHILL'!A1317,"AAAAAG0v1VY=")</f>
        <v>#VALUE!</v>
      </c>
      <c r="CJ301" t="e">
        <f>AND('STERLING CATALOG - FZN &amp; CHILL'!B1317,"AAAAAG0v1Vc=")</f>
        <v>#VALUE!</v>
      </c>
      <c r="CK301" t="e">
        <f>AND('STERLING CATALOG - FZN &amp; CHILL'!C1317,"AAAAAG0v1Vg=")</f>
        <v>#VALUE!</v>
      </c>
      <c r="CL301" t="e">
        <f>AND('STERLING CATALOG - FZN &amp; CHILL'!D1317,"AAAAAG0v1Vk=")</f>
        <v>#VALUE!</v>
      </c>
      <c r="CM301" t="e">
        <f>AND('STERLING CATALOG - FZN &amp; CHILL'!E1317,"AAAAAG0v1Vo=")</f>
        <v>#VALUE!</v>
      </c>
      <c r="CN301" t="e">
        <f>AND('STERLING CATALOG - FZN &amp; CHILL'!F1317,"AAAAAG0v1Vs=")</f>
        <v>#VALUE!</v>
      </c>
      <c r="CO301" t="e">
        <f>AND('STERLING CATALOG - FZN &amp; CHILL'!G1317,"AAAAAG0v1Vw=")</f>
        <v>#VALUE!</v>
      </c>
      <c r="CP301" t="e">
        <f>AND('STERLING CATALOG - FZN &amp; CHILL'!H1317,"AAAAAG0v1V0=")</f>
        <v>#VALUE!</v>
      </c>
      <c r="CQ301" t="e">
        <f>AND('STERLING CATALOG - FZN &amp; CHILL'!I1317,"AAAAAG0v1V4=")</f>
        <v>#VALUE!</v>
      </c>
      <c r="CR301" t="e">
        <f>AND('STERLING CATALOG - FZN &amp; CHILL'!J1317,"AAAAAG0v1V8=")</f>
        <v>#VALUE!</v>
      </c>
      <c r="CS301">
        <f>IF('STERLING CATALOG - FZN &amp; CHILL'!1318:1318,"AAAAAG0v1WA=",0)</f>
        <v>0</v>
      </c>
      <c r="CT301" t="e">
        <f>AND('STERLING CATALOG - FZN &amp; CHILL'!A1318,"AAAAAG0v1WE=")</f>
        <v>#VALUE!</v>
      </c>
      <c r="CU301" t="e">
        <f>AND('STERLING CATALOG - FZN &amp; CHILL'!B1318,"AAAAAG0v1WI=")</f>
        <v>#VALUE!</v>
      </c>
      <c r="CV301" t="e">
        <f>AND('STERLING CATALOG - FZN &amp; CHILL'!C1318,"AAAAAG0v1WM=")</f>
        <v>#VALUE!</v>
      </c>
      <c r="CW301" t="e">
        <f>AND('STERLING CATALOG - FZN &amp; CHILL'!D1318,"AAAAAG0v1WQ=")</f>
        <v>#VALUE!</v>
      </c>
      <c r="CX301" t="e">
        <f>AND('STERLING CATALOG - FZN &amp; CHILL'!E1318,"AAAAAG0v1WU=")</f>
        <v>#VALUE!</v>
      </c>
      <c r="CY301" t="e">
        <f>AND('STERLING CATALOG - FZN &amp; CHILL'!F1318,"AAAAAG0v1WY=")</f>
        <v>#VALUE!</v>
      </c>
      <c r="CZ301" t="e">
        <f>AND('STERLING CATALOG - FZN &amp; CHILL'!G1318,"AAAAAG0v1Wc=")</f>
        <v>#VALUE!</v>
      </c>
      <c r="DA301" t="e">
        <f>AND('STERLING CATALOG - FZN &amp; CHILL'!H1318,"AAAAAG0v1Wg=")</f>
        <v>#VALUE!</v>
      </c>
      <c r="DB301" t="e">
        <f>AND('STERLING CATALOG - FZN &amp; CHILL'!I1318,"AAAAAG0v1Wk=")</f>
        <v>#VALUE!</v>
      </c>
      <c r="DC301" t="e">
        <f>AND('STERLING CATALOG - FZN &amp; CHILL'!J1318,"AAAAAG0v1Wo=")</f>
        <v>#VALUE!</v>
      </c>
      <c r="DD301">
        <f>IF('STERLING CATALOG - FZN &amp; CHILL'!1319:1319,"AAAAAG0v1Ws=",0)</f>
        <v>0</v>
      </c>
      <c r="DE301" t="e">
        <f>AND('STERLING CATALOG - FZN &amp; CHILL'!A1319,"AAAAAG0v1Ww=")</f>
        <v>#VALUE!</v>
      </c>
      <c r="DF301" t="e">
        <f>AND('STERLING CATALOG - FZN &amp; CHILL'!B1319,"AAAAAG0v1W0=")</f>
        <v>#VALUE!</v>
      </c>
      <c r="DG301" t="e">
        <f>AND('STERLING CATALOG - FZN &amp; CHILL'!C1319,"AAAAAG0v1W4=")</f>
        <v>#VALUE!</v>
      </c>
      <c r="DH301" t="e">
        <f>AND('STERLING CATALOG - FZN &amp; CHILL'!D1319,"AAAAAG0v1W8=")</f>
        <v>#VALUE!</v>
      </c>
      <c r="DI301" t="e">
        <f>AND('STERLING CATALOG - FZN &amp; CHILL'!E1319,"AAAAAG0v1XA=")</f>
        <v>#VALUE!</v>
      </c>
      <c r="DJ301" t="e">
        <f>AND('STERLING CATALOG - FZN &amp; CHILL'!F1319,"AAAAAG0v1XE=")</f>
        <v>#VALUE!</v>
      </c>
      <c r="DK301" t="e">
        <f>AND('STERLING CATALOG - FZN &amp; CHILL'!G1319,"AAAAAG0v1XI=")</f>
        <v>#VALUE!</v>
      </c>
      <c r="DL301" t="e">
        <f>AND('STERLING CATALOG - FZN &amp; CHILL'!H1319,"AAAAAG0v1XM=")</f>
        <v>#VALUE!</v>
      </c>
      <c r="DM301" t="e">
        <f>AND('STERLING CATALOG - FZN &amp; CHILL'!I1319,"AAAAAG0v1XQ=")</f>
        <v>#VALUE!</v>
      </c>
      <c r="DN301" t="e">
        <f>AND('STERLING CATALOG - FZN &amp; CHILL'!J1319,"AAAAAG0v1XU=")</f>
        <v>#VALUE!</v>
      </c>
      <c r="DO301">
        <f>IF('STERLING CATALOG - FZN &amp; CHILL'!1320:1320,"AAAAAG0v1XY=",0)</f>
        <v>0</v>
      </c>
      <c r="DP301" t="e">
        <f>AND('STERLING CATALOG - FZN &amp; CHILL'!A1320,"AAAAAG0v1Xc=")</f>
        <v>#VALUE!</v>
      </c>
      <c r="DQ301" t="e">
        <f>AND('STERLING CATALOG - FZN &amp; CHILL'!B1320,"AAAAAG0v1Xg=")</f>
        <v>#VALUE!</v>
      </c>
      <c r="DR301" t="e">
        <f>AND('STERLING CATALOG - FZN &amp; CHILL'!C1320,"AAAAAG0v1Xk=")</f>
        <v>#VALUE!</v>
      </c>
      <c r="DS301" t="e">
        <f>AND('STERLING CATALOG - FZN &amp; CHILL'!D1320,"AAAAAG0v1Xo=")</f>
        <v>#VALUE!</v>
      </c>
      <c r="DT301" t="e">
        <f>AND('STERLING CATALOG - FZN &amp; CHILL'!E1320,"AAAAAG0v1Xs=")</f>
        <v>#VALUE!</v>
      </c>
      <c r="DU301" t="e">
        <f>AND('STERLING CATALOG - FZN &amp; CHILL'!F1320,"AAAAAG0v1Xw=")</f>
        <v>#VALUE!</v>
      </c>
      <c r="DV301" t="e">
        <f>AND('STERLING CATALOG - FZN &amp; CHILL'!G1320,"AAAAAG0v1X0=")</f>
        <v>#VALUE!</v>
      </c>
      <c r="DW301" t="e">
        <f>AND('STERLING CATALOG - FZN &amp; CHILL'!H1320,"AAAAAG0v1X4=")</f>
        <v>#VALUE!</v>
      </c>
      <c r="DX301" t="e">
        <f>AND('STERLING CATALOG - FZN &amp; CHILL'!I1320,"AAAAAG0v1X8=")</f>
        <v>#VALUE!</v>
      </c>
      <c r="DY301" t="e">
        <f>AND('STERLING CATALOG - FZN &amp; CHILL'!J1320,"AAAAAG0v1YA=")</f>
        <v>#VALUE!</v>
      </c>
      <c r="DZ301">
        <f>IF('STERLING CATALOG - FZN &amp; CHILL'!1321:1321,"AAAAAG0v1YE=",0)</f>
        <v>0</v>
      </c>
      <c r="EA301" t="e">
        <f>AND('STERLING CATALOG - FZN &amp; CHILL'!A1321,"AAAAAG0v1YI=")</f>
        <v>#VALUE!</v>
      </c>
      <c r="EB301" t="e">
        <f>AND('STERLING CATALOG - FZN &amp; CHILL'!B1321,"AAAAAG0v1YM=")</f>
        <v>#VALUE!</v>
      </c>
      <c r="EC301" t="e">
        <f>AND('STERLING CATALOG - FZN &amp; CHILL'!C1321,"AAAAAG0v1YQ=")</f>
        <v>#VALUE!</v>
      </c>
      <c r="ED301" t="e">
        <f>AND('STERLING CATALOG - FZN &amp; CHILL'!D1321,"AAAAAG0v1YU=")</f>
        <v>#VALUE!</v>
      </c>
      <c r="EE301" t="e">
        <f>AND('STERLING CATALOG - FZN &amp; CHILL'!E1321,"AAAAAG0v1YY=")</f>
        <v>#VALUE!</v>
      </c>
      <c r="EF301" t="e">
        <f>AND('STERLING CATALOG - FZN &amp; CHILL'!F1321,"AAAAAG0v1Yc=")</f>
        <v>#VALUE!</v>
      </c>
      <c r="EG301" t="e">
        <f>AND('STERLING CATALOG - FZN &amp; CHILL'!G1321,"AAAAAG0v1Yg=")</f>
        <v>#VALUE!</v>
      </c>
      <c r="EH301" t="e">
        <f>AND('STERLING CATALOG - FZN &amp; CHILL'!H1321,"AAAAAG0v1Yk=")</f>
        <v>#VALUE!</v>
      </c>
      <c r="EI301" t="e">
        <f>AND('STERLING CATALOG - FZN &amp; CHILL'!I1321,"AAAAAG0v1Yo=")</f>
        <v>#VALUE!</v>
      </c>
      <c r="EJ301" t="e">
        <f>AND('STERLING CATALOG - FZN &amp; CHILL'!J1321,"AAAAAG0v1Ys=")</f>
        <v>#VALUE!</v>
      </c>
      <c r="EK301">
        <f>IF('STERLING CATALOG - FZN &amp; CHILL'!1322:1322,"AAAAAG0v1Yw=",0)</f>
        <v>0</v>
      </c>
      <c r="EL301" t="e">
        <f>AND('STERLING CATALOG - FZN &amp; CHILL'!A1322,"AAAAAG0v1Y0=")</f>
        <v>#VALUE!</v>
      </c>
      <c r="EM301" t="e">
        <f>AND('STERLING CATALOG - FZN &amp; CHILL'!B1322,"AAAAAG0v1Y4=")</f>
        <v>#VALUE!</v>
      </c>
      <c r="EN301" t="e">
        <f>AND('STERLING CATALOG - FZN &amp; CHILL'!C1322,"AAAAAG0v1Y8=")</f>
        <v>#VALUE!</v>
      </c>
      <c r="EO301" t="e">
        <f>AND('STERLING CATALOG - FZN &amp; CHILL'!D1322,"AAAAAG0v1ZA=")</f>
        <v>#VALUE!</v>
      </c>
      <c r="EP301" t="e">
        <f>AND('STERLING CATALOG - FZN &amp; CHILL'!E1322,"AAAAAG0v1ZE=")</f>
        <v>#VALUE!</v>
      </c>
      <c r="EQ301" t="e">
        <f>AND('STERLING CATALOG - FZN &amp; CHILL'!F1322,"AAAAAG0v1ZI=")</f>
        <v>#VALUE!</v>
      </c>
      <c r="ER301" t="e">
        <f>AND('STERLING CATALOG - FZN &amp; CHILL'!G1322,"AAAAAG0v1ZM=")</f>
        <v>#VALUE!</v>
      </c>
      <c r="ES301" t="e">
        <f>AND('STERLING CATALOG - FZN &amp; CHILL'!H1322,"AAAAAG0v1ZQ=")</f>
        <v>#VALUE!</v>
      </c>
      <c r="ET301" t="e">
        <f>AND('STERLING CATALOG - FZN &amp; CHILL'!I1322,"AAAAAG0v1ZU=")</f>
        <v>#VALUE!</v>
      </c>
      <c r="EU301" t="e">
        <f>AND('STERLING CATALOG - FZN &amp; CHILL'!J1322,"AAAAAG0v1ZY=")</f>
        <v>#VALUE!</v>
      </c>
      <c r="EV301">
        <f>IF('STERLING CATALOG - FZN &amp; CHILL'!1323:1323,"AAAAAG0v1Zc=",0)</f>
        <v>0</v>
      </c>
      <c r="EW301" t="e">
        <f>AND('STERLING CATALOG - FZN &amp; CHILL'!A1323,"AAAAAG0v1Zg=")</f>
        <v>#VALUE!</v>
      </c>
      <c r="EX301" t="e">
        <f>AND('STERLING CATALOG - FZN &amp; CHILL'!B1323,"AAAAAG0v1Zk=")</f>
        <v>#VALUE!</v>
      </c>
      <c r="EY301" t="e">
        <f>AND('STERLING CATALOG - FZN &amp; CHILL'!C1323,"AAAAAG0v1Zo=")</f>
        <v>#VALUE!</v>
      </c>
      <c r="EZ301" t="e">
        <f>AND('STERLING CATALOG - FZN &amp; CHILL'!D1323,"AAAAAG0v1Zs=")</f>
        <v>#VALUE!</v>
      </c>
      <c r="FA301" t="e">
        <f>AND('STERLING CATALOG - FZN &amp; CHILL'!E1323,"AAAAAG0v1Zw=")</f>
        <v>#VALUE!</v>
      </c>
      <c r="FB301" t="e">
        <f>AND('STERLING CATALOG - FZN &amp; CHILL'!F1323,"AAAAAG0v1Z0=")</f>
        <v>#VALUE!</v>
      </c>
      <c r="FC301" t="e">
        <f>AND('STERLING CATALOG - FZN &amp; CHILL'!G1323,"AAAAAG0v1Z4=")</f>
        <v>#VALUE!</v>
      </c>
      <c r="FD301" t="e">
        <f>AND('STERLING CATALOG - FZN &amp; CHILL'!H1323,"AAAAAG0v1Z8=")</f>
        <v>#VALUE!</v>
      </c>
      <c r="FE301" t="e">
        <f>AND('STERLING CATALOG - FZN &amp; CHILL'!I1323,"AAAAAG0v1aA=")</f>
        <v>#VALUE!</v>
      </c>
      <c r="FF301" t="e">
        <f>AND('STERLING CATALOG - FZN &amp; CHILL'!J1323,"AAAAAG0v1aE=")</f>
        <v>#VALUE!</v>
      </c>
      <c r="FG301">
        <f>IF('STERLING CATALOG - FZN &amp; CHILL'!1324:1324,"AAAAAG0v1aI=",0)</f>
        <v>0</v>
      </c>
      <c r="FH301" t="e">
        <f>AND('STERLING CATALOG - FZN &amp; CHILL'!A1324,"AAAAAG0v1aM=")</f>
        <v>#VALUE!</v>
      </c>
      <c r="FI301" t="e">
        <f>AND('STERLING CATALOG - FZN &amp; CHILL'!B1324,"AAAAAG0v1aQ=")</f>
        <v>#VALUE!</v>
      </c>
      <c r="FJ301" t="e">
        <f>AND('STERLING CATALOG - FZN &amp; CHILL'!C1324,"AAAAAG0v1aU=")</f>
        <v>#VALUE!</v>
      </c>
      <c r="FK301" t="e">
        <f>AND('STERLING CATALOG - FZN &amp; CHILL'!D1324,"AAAAAG0v1aY=")</f>
        <v>#VALUE!</v>
      </c>
      <c r="FL301" t="e">
        <f>AND('STERLING CATALOG - FZN &amp; CHILL'!E1324,"AAAAAG0v1ac=")</f>
        <v>#VALUE!</v>
      </c>
      <c r="FM301" t="e">
        <f>AND('STERLING CATALOG - FZN &amp; CHILL'!F1324,"AAAAAG0v1ag=")</f>
        <v>#VALUE!</v>
      </c>
      <c r="FN301" t="e">
        <f>AND('STERLING CATALOG - FZN &amp; CHILL'!G1324,"AAAAAG0v1ak=")</f>
        <v>#VALUE!</v>
      </c>
      <c r="FO301" t="e">
        <f>AND('STERLING CATALOG - FZN &amp; CHILL'!H1324,"AAAAAG0v1ao=")</f>
        <v>#VALUE!</v>
      </c>
      <c r="FP301" t="e">
        <f>AND('STERLING CATALOG - FZN &amp; CHILL'!I1324,"AAAAAG0v1as=")</f>
        <v>#VALUE!</v>
      </c>
      <c r="FQ301" t="e">
        <f>AND('STERLING CATALOG - FZN &amp; CHILL'!J1324,"AAAAAG0v1aw=")</f>
        <v>#VALUE!</v>
      </c>
      <c r="FR301">
        <f>IF('STERLING CATALOG - FZN &amp; CHILL'!1325:1325,"AAAAAG0v1a0=",0)</f>
        <v>0</v>
      </c>
      <c r="FS301" t="e">
        <f>AND('STERLING CATALOG - FZN &amp; CHILL'!A1325,"AAAAAG0v1a4=")</f>
        <v>#VALUE!</v>
      </c>
      <c r="FT301" t="e">
        <f>AND('STERLING CATALOG - FZN &amp; CHILL'!B1325,"AAAAAG0v1a8=")</f>
        <v>#VALUE!</v>
      </c>
      <c r="FU301" t="e">
        <f>AND('STERLING CATALOG - FZN &amp; CHILL'!C1325,"AAAAAG0v1bA=")</f>
        <v>#VALUE!</v>
      </c>
      <c r="FV301" t="e">
        <f>AND('STERLING CATALOG - FZN &amp; CHILL'!D1325,"AAAAAG0v1bE=")</f>
        <v>#VALUE!</v>
      </c>
      <c r="FW301" t="e">
        <f>AND('STERLING CATALOG - FZN &amp; CHILL'!E1325,"AAAAAG0v1bI=")</f>
        <v>#VALUE!</v>
      </c>
      <c r="FX301" t="e">
        <f>AND('STERLING CATALOG - FZN &amp; CHILL'!F1325,"AAAAAG0v1bM=")</f>
        <v>#VALUE!</v>
      </c>
      <c r="FY301" t="e">
        <f>AND('STERLING CATALOG - FZN &amp; CHILL'!G1325,"AAAAAG0v1bQ=")</f>
        <v>#VALUE!</v>
      </c>
      <c r="FZ301" t="e">
        <f>AND('STERLING CATALOG - FZN &amp; CHILL'!H1325,"AAAAAG0v1bU=")</f>
        <v>#VALUE!</v>
      </c>
      <c r="GA301" t="e">
        <f>AND('STERLING CATALOG - FZN &amp; CHILL'!I1325,"AAAAAG0v1bY=")</f>
        <v>#VALUE!</v>
      </c>
      <c r="GB301" t="e">
        <f>AND('STERLING CATALOG - FZN &amp; CHILL'!J1325,"AAAAAG0v1bc=")</f>
        <v>#VALUE!</v>
      </c>
      <c r="GC301">
        <f>IF('STERLING CATALOG - FZN &amp; CHILL'!1326:1326,"AAAAAG0v1bg=",0)</f>
        <v>0</v>
      </c>
      <c r="GD301" t="e">
        <f>AND('STERLING CATALOG - FZN &amp; CHILL'!A1326,"AAAAAG0v1bk=")</f>
        <v>#VALUE!</v>
      </c>
      <c r="GE301" t="e">
        <f>AND('STERLING CATALOG - FZN &amp; CHILL'!B1326,"AAAAAG0v1bo=")</f>
        <v>#VALUE!</v>
      </c>
      <c r="GF301" t="e">
        <f>AND('STERLING CATALOG - FZN &amp; CHILL'!C1326,"AAAAAG0v1bs=")</f>
        <v>#VALUE!</v>
      </c>
      <c r="GG301" t="e">
        <f>AND('STERLING CATALOG - FZN &amp; CHILL'!D1326,"AAAAAG0v1bw=")</f>
        <v>#VALUE!</v>
      </c>
      <c r="GH301" t="e">
        <f>AND('STERLING CATALOG - FZN &amp; CHILL'!E1326,"AAAAAG0v1b0=")</f>
        <v>#VALUE!</v>
      </c>
      <c r="GI301" t="e">
        <f>AND('STERLING CATALOG - FZN &amp; CHILL'!F1326,"AAAAAG0v1b4=")</f>
        <v>#VALUE!</v>
      </c>
      <c r="GJ301" t="e">
        <f>AND('STERLING CATALOG - FZN &amp; CHILL'!G1326,"AAAAAG0v1b8=")</f>
        <v>#VALUE!</v>
      </c>
      <c r="GK301" t="e">
        <f>AND('STERLING CATALOG - FZN &amp; CHILL'!H1326,"AAAAAG0v1cA=")</f>
        <v>#VALUE!</v>
      </c>
      <c r="GL301" t="e">
        <f>AND('STERLING CATALOG - FZN &amp; CHILL'!I1326,"AAAAAG0v1cE=")</f>
        <v>#VALUE!</v>
      </c>
      <c r="GM301" t="e">
        <f>AND('STERLING CATALOG - FZN &amp; CHILL'!J1326,"AAAAAG0v1cI=")</f>
        <v>#VALUE!</v>
      </c>
      <c r="GN301">
        <f>IF('STERLING CATALOG - FZN &amp; CHILL'!1327:1327,"AAAAAG0v1cM=",0)</f>
        <v>0</v>
      </c>
      <c r="GO301" t="e">
        <f>AND('STERLING CATALOG - FZN &amp; CHILL'!A1327,"AAAAAG0v1cQ=")</f>
        <v>#VALUE!</v>
      </c>
      <c r="GP301" t="e">
        <f>AND('STERLING CATALOG - FZN &amp; CHILL'!B1327,"AAAAAG0v1cU=")</f>
        <v>#VALUE!</v>
      </c>
      <c r="GQ301" t="e">
        <f>AND('STERLING CATALOG - FZN &amp; CHILL'!C1327,"AAAAAG0v1cY=")</f>
        <v>#VALUE!</v>
      </c>
      <c r="GR301" t="e">
        <f>AND('STERLING CATALOG - FZN &amp; CHILL'!D1327,"AAAAAG0v1cc=")</f>
        <v>#VALUE!</v>
      </c>
      <c r="GS301" t="e">
        <f>AND('STERLING CATALOG - FZN &amp; CHILL'!E1327,"AAAAAG0v1cg=")</f>
        <v>#VALUE!</v>
      </c>
      <c r="GT301" t="e">
        <f>AND('STERLING CATALOG - FZN &amp; CHILL'!F1327,"AAAAAG0v1ck=")</f>
        <v>#VALUE!</v>
      </c>
      <c r="GU301" t="e">
        <f>AND('STERLING CATALOG - FZN &amp; CHILL'!G1327,"AAAAAG0v1co=")</f>
        <v>#VALUE!</v>
      </c>
      <c r="GV301" t="e">
        <f>AND('STERLING CATALOG - FZN &amp; CHILL'!H1327,"AAAAAG0v1cs=")</f>
        <v>#VALUE!</v>
      </c>
      <c r="GW301" t="e">
        <f>AND('STERLING CATALOG - FZN &amp; CHILL'!I1327,"AAAAAG0v1cw=")</f>
        <v>#VALUE!</v>
      </c>
      <c r="GX301" t="e">
        <f>AND('STERLING CATALOG - FZN &amp; CHILL'!J1327,"AAAAAG0v1c0=")</f>
        <v>#VALUE!</v>
      </c>
      <c r="GY301">
        <f>IF('STERLING CATALOG - FZN &amp; CHILL'!1328:1328,"AAAAAG0v1c4=",0)</f>
        <v>0</v>
      </c>
      <c r="GZ301" t="e">
        <f>AND('STERLING CATALOG - FZN &amp; CHILL'!A1328,"AAAAAG0v1c8=")</f>
        <v>#VALUE!</v>
      </c>
      <c r="HA301" t="e">
        <f>AND('STERLING CATALOG - FZN &amp; CHILL'!B1328,"AAAAAG0v1dA=")</f>
        <v>#VALUE!</v>
      </c>
      <c r="HB301" t="e">
        <f>AND('STERLING CATALOG - FZN &amp; CHILL'!C1328,"AAAAAG0v1dE=")</f>
        <v>#VALUE!</v>
      </c>
      <c r="HC301" t="e">
        <f>AND('STERLING CATALOG - FZN &amp; CHILL'!D1328,"AAAAAG0v1dI=")</f>
        <v>#VALUE!</v>
      </c>
      <c r="HD301" t="e">
        <f>AND('STERLING CATALOG - FZN &amp; CHILL'!E1328,"AAAAAG0v1dM=")</f>
        <v>#VALUE!</v>
      </c>
      <c r="HE301" t="e">
        <f>AND('STERLING CATALOG - FZN &amp; CHILL'!F1328,"AAAAAG0v1dQ=")</f>
        <v>#VALUE!</v>
      </c>
      <c r="HF301" t="e">
        <f>AND('STERLING CATALOG - FZN &amp; CHILL'!G1328,"AAAAAG0v1dU=")</f>
        <v>#VALUE!</v>
      </c>
      <c r="HG301" t="e">
        <f>AND('STERLING CATALOG - FZN &amp; CHILL'!H1328,"AAAAAG0v1dY=")</f>
        <v>#VALUE!</v>
      </c>
      <c r="HH301" t="e">
        <f>AND('STERLING CATALOG - FZN &amp; CHILL'!I1328,"AAAAAG0v1dc=")</f>
        <v>#VALUE!</v>
      </c>
      <c r="HI301" t="e">
        <f>AND('STERLING CATALOG - FZN &amp; CHILL'!J1328,"AAAAAG0v1dg=")</f>
        <v>#VALUE!</v>
      </c>
      <c r="HJ301">
        <f>IF('STERLING CATALOG - FZN &amp; CHILL'!1329:1329,"AAAAAG0v1dk=",0)</f>
        <v>0</v>
      </c>
      <c r="HK301" t="e">
        <f>AND('STERLING CATALOG - FZN &amp; CHILL'!A1329,"AAAAAG0v1do=")</f>
        <v>#VALUE!</v>
      </c>
      <c r="HL301" t="e">
        <f>AND('STERLING CATALOG - FZN &amp; CHILL'!B1329,"AAAAAG0v1ds=")</f>
        <v>#VALUE!</v>
      </c>
      <c r="HM301" t="e">
        <f>AND('STERLING CATALOG - FZN &amp; CHILL'!C1329,"AAAAAG0v1dw=")</f>
        <v>#VALUE!</v>
      </c>
      <c r="HN301" t="e">
        <f>AND('STERLING CATALOG - FZN &amp; CHILL'!D1329,"AAAAAG0v1d0=")</f>
        <v>#VALUE!</v>
      </c>
      <c r="HO301" t="e">
        <f>AND('STERLING CATALOG - FZN &amp; CHILL'!E1329,"AAAAAG0v1d4=")</f>
        <v>#VALUE!</v>
      </c>
      <c r="HP301" t="e">
        <f>AND('STERLING CATALOG - FZN &amp; CHILL'!F1329,"AAAAAG0v1d8=")</f>
        <v>#VALUE!</v>
      </c>
      <c r="HQ301" t="e">
        <f>AND('STERLING CATALOG - FZN &amp; CHILL'!G1329,"AAAAAG0v1eA=")</f>
        <v>#VALUE!</v>
      </c>
      <c r="HR301" t="e">
        <f>AND('STERLING CATALOG - FZN &amp; CHILL'!H1329,"AAAAAG0v1eE=")</f>
        <v>#VALUE!</v>
      </c>
      <c r="HS301" t="e">
        <f>AND('STERLING CATALOG - FZN &amp; CHILL'!I1329,"AAAAAG0v1eI=")</f>
        <v>#VALUE!</v>
      </c>
      <c r="HT301" t="e">
        <f>AND('STERLING CATALOG - FZN &amp; CHILL'!J1329,"AAAAAG0v1eM=")</f>
        <v>#VALUE!</v>
      </c>
      <c r="HU301">
        <f>IF('STERLING CATALOG - FZN &amp; CHILL'!1330:1330,"AAAAAG0v1eQ=",0)</f>
        <v>0</v>
      </c>
      <c r="HV301" t="e">
        <f>AND('STERLING CATALOG - FZN &amp; CHILL'!A1330,"AAAAAG0v1eU=")</f>
        <v>#VALUE!</v>
      </c>
      <c r="HW301" t="e">
        <f>AND('STERLING CATALOG - FZN &amp; CHILL'!B1330,"AAAAAG0v1eY=")</f>
        <v>#VALUE!</v>
      </c>
      <c r="HX301" t="e">
        <f>AND('STERLING CATALOG - FZN &amp; CHILL'!C1330,"AAAAAG0v1ec=")</f>
        <v>#VALUE!</v>
      </c>
      <c r="HY301" t="e">
        <f>AND('STERLING CATALOG - FZN &amp; CHILL'!D1330,"AAAAAG0v1eg=")</f>
        <v>#VALUE!</v>
      </c>
      <c r="HZ301" t="e">
        <f>AND('STERLING CATALOG - FZN &amp; CHILL'!E1330,"AAAAAG0v1ek=")</f>
        <v>#VALUE!</v>
      </c>
      <c r="IA301" t="e">
        <f>AND('STERLING CATALOG - FZN &amp; CHILL'!F1330,"AAAAAG0v1eo=")</f>
        <v>#VALUE!</v>
      </c>
      <c r="IB301" t="e">
        <f>AND('STERLING CATALOG - FZN &amp; CHILL'!G1330,"AAAAAG0v1es=")</f>
        <v>#VALUE!</v>
      </c>
      <c r="IC301" t="e">
        <f>AND('STERLING CATALOG - FZN &amp; CHILL'!H1330,"AAAAAG0v1ew=")</f>
        <v>#VALUE!</v>
      </c>
      <c r="ID301" t="e">
        <f>AND('STERLING CATALOG - FZN &amp; CHILL'!I1330,"AAAAAG0v1e0=")</f>
        <v>#VALUE!</v>
      </c>
      <c r="IE301" t="e">
        <f>AND('STERLING CATALOG - FZN &amp; CHILL'!J1330,"AAAAAG0v1e4=")</f>
        <v>#VALUE!</v>
      </c>
      <c r="IF301">
        <f>IF('STERLING CATALOG - FZN &amp; CHILL'!1331:1331,"AAAAAG0v1e8=",0)</f>
        <v>0</v>
      </c>
      <c r="IG301" t="e">
        <f>AND('STERLING CATALOG - FZN &amp; CHILL'!A1331,"AAAAAG0v1fA=")</f>
        <v>#VALUE!</v>
      </c>
      <c r="IH301" t="e">
        <f>AND('STERLING CATALOG - FZN &amp; CHILL'!B1331,"AAAAAG0v1fE=")</f>
        <v>#VALUE!</v>
      </c>
      <c r="II301" t="e">
        <f>AND('STERLING CATALOG - FZN &amp; CHILL'!C1331,"AAAAAG0v1fI=")</f>
        <v>#VALUE!</v>
      </c>
      <c r="IJ301" t="e">
        <f>AND('STERLING CATALOG - FZN &amp; CHILL'!D1331,"AAAAAG0v1fM=")</f>
        <v>#VALUE!</v>
      </c>
      <c r="IK301" t="e">
        <f>AND('STERLING CATALOG - FZN &amp; CHILL'!E1331,"AAAAAG0v1fQ=")</f>
        <v>#VALUE!</v>
      </c>
      <c r="IL301" t="e">
        <f>AND('STERLING CATALOG - FZN &amp; CHILL'!F1331,"AAAAAG0v1fU=")</f>
        <v>#VALUE!</v>
      </c>
      <c r="IM301" t="e">
        <f>AND('STERLING CATALOG - FZN &amp; CHILL'!G1331,"AAAAAG0v1fY=")</f>
        <v>#VALUE!</v>
      </c>
      <c r="IN301" t="e">
        <f>AND('STERLING CATALOG - FZN &amp; CHILL'!H1331,"AAAAAG0v1fc=")</f>
        <v>#VALUE!</v>
      </c>
      <c r="IO301" t="e">
        <f>AND('STERLING CATALOG - FZN &amp; CHILL'!I1331,"AAAAAG0v1fg=")</f>
        <v>#VALUE!</v>
      </c>
      <c r="IP301" t="e">
        <f>AND('STERLING CATALOG - FZN &amp; CHILL'!J1331,"AAAAAG0v1fk=")</f>
        <v>#VALUE!</v>
      </c>
      <c r="IQ301">
        <f>IF('STERLING CATALOG - FZN &amp; CHILL'!1332:1332,"AAAAAG0v1fo=",0)</f>
        <v>0</v>
      </c>
      <c r="IR301" t="e">
        <f>AND('STERLING CATALOG - FZN &amp; CHILL'!A1332,"AAAAAG0v1fs=")</f>
        <v>#VALUE!</v>
      </c>
      <c r="IS301" t="e">
        <f>AND('STERLING CATALOG - FZN &amp; CHILL'!B1332,"AAAAAG0v1fw=")</f>
        <v>#VALUE!</v>
      </c>
      <c r="IT301" t="e">
        <f>AND('STERLING CATALOG - FZN &amp; CHILL'!C1332,"AAAAAG0v1f0=")</f>
        <v>#VALUE!</v>
      </c>
      <c r="IU301" t="e">
        <f>AND('STERLING CATALOG - FZN &amp; CHILL'!D1332,"AAAAAG0v1f4=")</f>
        <v>#VALUE!</v>
      </c>
      <c r="IV301" t="e">
        <f>AND('STERLING CATALOG - FZN &amp; CHILL'!E1332,"AAAAAG0v1f8=")</f>
        <v>#VALUE!</v>
      </c>
    </row>
    <row r="302" spans="1:256">
      <c r="A302" t="e">
        <f>AND('STERLING CATALOG - FZN &amp; CHILL'!F1332,"AAAAAE+f/QA=")</f>
        <v>#VALUE!</v>
      </c>
      <c r="B302" t="e">
        <f>AND('STERLING CATALOG - FZN &amp; CHILL'!G1332,"AAAAAE+f/QE=")</f>
        <v>#VALUE!</v>
      </c>
      <c r="C302" t="e">
        <f>AND('STERLING CATALOG - FZN &amp; CHILL'!H1332,"AAAAAE+f/QI=")</f>
        <v>#VALUE!</v>
      </c>
      <c r="D302" t="e">
        <f>AND('STERLING CATALOG - FZN &amp; CHILL'!I1332,"AAAAAE+f/QM=")</f>
        <v>#VALUE!</v>
      </c>
      <c r="E302" t="e">
        <f>AND('STERLING CATALOG - FZN &amp; CHILL'!J1332,"AAAAAE+f/QQ=")</f>
        <v>#VALUE!</v>
      </c>
      <c r="F302" t="str">
        <f>IF('STERLING CATALOG - FZN &amp; CHILL'!1333:1333,"AAAAAE+f/QU=",0)</f>
        <v>AAAAAE+f/QU=</v>
      </c>
      <c r="G302" t="e">
        <f>AND('STERLING CATALOG - FZN &amp; CHILL'!A1333,"AAAAAE+f/QY=")</f>
        <v>#VALUE!</v>
      </c>
      <c r="H302" t="e">
        <f>AND('STERLING CATALOG - FZN &amp; CHILL'!B1333,"AAAAAE+f/Qc=")</f>
        <v>#VALUE!</v>
      </c>
      <c r="I302" t="e">
        <f>AND('STERLING CATALOG - FZN &amp; CHILL'!C1333,"AAAAAE+f/Qg=")</f>
        <v>#VALUE!</v>
      </c>
      <c r="J302" t="e">
        <f>AND('STERLING CATALOG - FZN &amp; CHILL'!D1333,"AAAAAE+f/Qk=")</f>
        <v>#VALUE!</v>
      </c>
      <c r="K302" t="e">
        <f>AND('STERLING CATALOG - FZN &amp; CHILL'!E1333,"AAAAAE+f/Qo=")</f>
        <v>#VALUE!</v>
      </c>
      <c r="L302" t="e">
        <f>AND('STERLING CATALOG - FZN &amp; CHILL'!F1333,"AAAAAE+f/Qs=")</f>
        <v>#VALUE!</v>
      </c>
      <c r="M302" t="e">
        <f>AND('STERLING CATALOG - FZN &amp; CHILL'!G1333,"AAAAAE+f/Qw=")</f>
        <v>#VALUE!</v>
      </c>
      <c r="N302" t="e">
        <f>AND('STERLING CATALOG - FZN &amp; CHILL'!H1333,"AAAAAE+f/Q0=")</f>
        <v>#VALUE!</v>
      </c>
      <c r="O302" t="e">
        <f>AND('STERLING CATALOG - FZN &amp; CHILL'!I1333,"AAAAAE+f/Q4=")</f>
        <v>#VALUE!</v>
      </c>
      <c r="P302" t="e">
        <f>AND('STERLING CATALOG - FZN &amp; CHILL'!J1333,"AAAAAE+f/Q8=")</f>
        <v>#VALUE!</v>
      </c>
      <c r="Q302">
        <f>IF('STERLING CATALOG - FZN &amp; CHILL'!1334:1334,"AAAAAE+f/RA=",0)</f>
        <v>0</v>
      </c>
      <c r="R302" t="e">
        <f>AND('STERLING CATALOG - FZN &amp; CHILL'!A1334,"AAAAAE+f/RE=")</f>
        <v>#VALUE!</v>
      </c>
      <c r="S302" t="e">
        <f>AND('STERLING CATALOG - FZN &amp; CHILL'!B1334,"AAAAAE+f/RI=")</f>
        <v>#VALUE!</v>
      </c>
      <c r="T302" t="e">
        <f>AND('STERLING CATALOG - FZN &amp; CHILL'!C1334,"AAAAAE+f/RM=")</f>
        <v>#VALUE!</v>
      </c>
      <c r="U302" t="e">
        <f>AND('STERLING CATALOG - FZN &amp; CHILL'!D1334,"AAAAAE+f/RQ=")</f>
        <v>#VALUE!</v>
      </c>
      <c r="V302" t="e">
        <f>AND('STERLING CATALOG - FZN &amp; CHILL'!E1334,"AAAAAE+f/RU=")</f>
        <v>#VALUE!</v>
      </c>
      <c r="W302" t="e">
        <f>AND('STERLING CATALOG - FZN &amp; CHILL'!F1334,"AAAAAE+f/RY=")</f>
        <v>#VALUE!</v>
      </c>
      <c r="X302" t="e">
        <f>AND('STERLING CATALOG - FZN &amp; CHILL'!G1334,"AAAAAE+f/Rc=")</f>
        <v>#VALUE!</v>
      </c>
      <c r="Y302" t="e">
        <f>AND('STERLING CATALOG - FZN &amp; CHILL'!H1334,"AAAAAE+f/Rg=")</f>
        <v>#VALUE!</v>
      </c>
      <c r="Z302" t="e">
        <f>AND('STERLING CATALOG - FZN &amp; CHILL'!I1334,"AAAAAE+f/Rk=")</f>
        <v>#VALUE!</v>
      </c>
      <c r="AA302" t="e">
        <f>AND('STERLING CATALOG - FZN &amp; CHILL'!J1334,"AAAAAE+f/Ro=")</f>
        <v>#VALUE!</v>
      </c>
      <c r="AB302">
        <f>IF('STERLING CATALOG - FZN &amp; CHILL'!1335:1335,"AAAAAE+f/Rs=",0)</f>
        <v>0</v>
      </c>
      <c r="AC302" t="e">
        <f>AND('STERLING CATALOG - FZN &amp; CHILL'!A1335,"AAAAAE+f/Rw=")</f>
        <v>#VALUE!</v>
      </c>
      <c r="AD302" t="e">
        <f>AND('STERLING CATALOG - FZN &amp; CHILL'!B1335,"AAAAAE+f/R0=")</f>
        <v>#VALUE!</v>
      </c>
      <c r="AE302" t="e">
        <f>AND('STERLING CATALOG - FZN &amp; CHILL'!C1335,"AAAAAE+f/R4=")</f>
        <v>#VALUE!</v>
      </c>
      <c r="AF302" t="e">
        <f>AND('STERLING CATALOG - FZN &amp; CHILL'!D1335,"AAAAAE+f/R8=")</f>
        <v>#VALUE!</v>
      </c>
      <c r="AG302" t="e">
        <f>AND('STERLING CATALOG - FZN &amp; CHILL'!E1335,"AAAAAE+f/SA=")</f>
        <v>#VALUE!</v>
      </c>
      <c r="AH302" t="e">
        <f>AND('STERLING CATALOG - FZN &amp; CHILL'!F1335,"AAAAAE+f/SE=")</f>
        <v>#VALUE!</v>
      </c>
      <c r="AI302" t="e">
        <f>AND('STERLING CATALOG - FZN &amp; CHILL'!G1335,"AAAAAE+f/SI=")</f>
        <v>#VALUE!</v>
      </c>
      <c r="AJ302" t="e">
        <f>AND('STERLING CATALOG - FZN &amp; CHILL'!H1335,"AAAAAE+f/SM=")</f>
        <v>#VALUE!</v>
      </c>
      <c r="AK302" t="e">
        <f>AND('STERLING CATALOG - FZN &amp; CHILL'!I1335,"AAAAAE+f/SQ=")</f>
        <v>#VALUE!</v>
      </c>
      <c r="AL302" t="e">
        <f>AND('STERLING CATALOG - FZN &amp; CHILL'!J1335,"AAAAAE+f/SU=")</f>
        <v>#VALUE!</v>
      </c>
      <c r="AM302">
        <f>IF('STERLING CATALOG - FZN &amp; CHILL'!1336:1336,"AAAAAE+f/SY=",0)</f>
        <v>0</v>
      </c>
      <c r="AN302" t="e">
        <f>AND('STERLING CATALOG - FZN &amp; CHILL'!A1336,"AAAAAE+f/Sc=")</f>
        <v>#VALUE!</v>
      </c>
      <c r="AO302" t="e">
        <f>AND('STERLING CATALOG - FZN &amp; CHILL'!B1336,"AAAAAE+f/Sg=")</f>
        <v>#VALUE!</v>
      </c>
      <c r="AP302" t="e">
        <f>AND('STERLING CATALOG - FZN &amp; CHILL'!C1336,"AAAAAE+f/Sk=")</f>
        <v>#VALUE!</v>
      </c>
      <c r="AQ302" t="e">
        <f>AND('STERLING CATALOG - FZN &amp; CHILL'!D1336,"AAAAAE+f/So=")</f>
        <v>#VALUE!</v>
      </c>
      <c r="AR302" t="e">
        <f>AND('STERLING CATALOG - FZN &amp; CHILL'!E1336,"AAAAAE+f/Ss=")</f>
        <v>#VALUE!</v>
      </c>
      <c r="AS302" t="e">
        <f>AND('STERLING CATALOG - FZN &amp; CHILL'!F1336,"AAAAAE+f/Sw=")</f>
        <v>#VALUE!</v>
      </c>
      <c r="AT302" t="e">
        <f>AND('STERLING CATALOG - FZN &amp; CHILL'!G1336,"AAAAAE+f/S0=")</f>
        <v>#VALUE!</v>
      </c>
      <c r="AU302" t="e">
        <f>AND('STERLING CATALOG - FZN &amp; CHILL'!H1336,"AAAAAE+f/S4=")</f>
        <v>#VALUE!</v>
      </c>
      <c r="AV302" t="e">
        <f>AND('STERLING CATALOG - FZN &amp; CHILL'!I1336,"AAAAAE+f/S8=")</f>
        <v>#VALUE!</v>
      </c>
      <c r="AW302" t="e">
        <f>AND('STERLING CATALOG - FZN &amp; CHILL'!J1336,"AAAAAE+f/TA=")</f>
        <v>#VALUE!</v>
      </c>
      <c r="AX302">
        <f>IF('STERLING CATALOG - FZN &amp; CHILL'!1337:1337,"AAAAAE+f/TE=",0)</f>
        <v>0</v>
      </c>
      <c r="AY302" t="e">
        <f>AND('STERLING CATALOG - FZN &amp; CHILL'!A1337,"AAAAAE+f/TI=")</f>
        <v>#VALUE!</v>
      </c>
      <c r="AZ302" t="e">
        <f>AND('STERLING CATALOG - FZN &amp; CHILL'!B1337,"AAAAAE+f/TM=")</f>
        <v>#VALUE!</v>
      </c>
      <c r="BA302" t="e">
        <f>AND('STERLING CATALOG - FZN &amp; CHILL'!C1337,"AAAAAE+f/TQ=")</f>
        <v>#VALUE!</v>
      </c>
      <c r="BB302" t="e">
        <f>AND('STERLING CATALOG - FZN &amp; CHILL'!D1337,"AAAAAE+f/TU=")</f>
        <v>#VALUE!</v>
      </c>
      <c r="BC302" t="e">
        <f>AND('STERLING CATALOG - FZN &amp; CHILL'!E1337,"AAAAAE+f/TY=")</f>
        <v>#VALUE!</v>
      </c>
      <c r="BD302" t="e">
        <f>AND('STERLING CATALOG - FZN &amp; CHILL'!F1337,"AAAAAE+f/Tc=")</f>
        <v>#VALUE!</v>
      </c>
      <c r="BE302" t="e">
        <f>AND('STERLING CATALOG - FZN &amp; CHILL'!G1337,"AAAAAE+f/Tg=")</f>
        <v>#VALUE!</v>
      </c>
      <c r="BF302" t="e">
        <f>AND('STERLING CATALOG - FZN &amp; CHILL'!H1337,"AAAAAE+f/Tk=")</f>
        <v>#VALUE!</v>
      </c>
      <c r="BG302" t="e">
        <f>AND('STERLING CATALOG - FZN &amp; CHILL'!I1337,"AAAAAE+f/To=")</f>
        <v>#VALUE!</v>
      </c>
      <c r="BH302" t="e">
        <f>AND('STERLING CATALOG - FZN &amp; CHILL'!J1337,"AAAAAE+f/Ts=")</f>
        <v>#VALUE!</v>
      </c>
      <c r="BI302">
        <f>IF('STERLING CATALOG - FZN &amp; CHILL'!1338:1338,"AAAAAE+f/Tw=",0)</f>
        <v>0</v>
      </c>
      <c r="BJ302" t="e">
        <f>AND('STERLING CATALOG - FZN &amp; CHILL'!A1338,"AAAAAE+f/T0=")</f>
        <v>#VALUE!</v>
      </c>
      <c r="BK302" t="e">
        <f>AND('STERLING CATALOG - FZN &amp; CHILL'!B1338,"AAAAAE+f/T4=")</f>
        <v>#VALUE!</v>
      </c>
      <c r="BL302" t="e">
        <f>AND('STERLING CATALOG - FZN &amp; CHILL'!C1338,"AAAAAE+f/T8=")</f>
        <v>#VALUE!</v>
      </c>
      <c r="BM302" t="e">
        <f>AND('STERLING CATALOG - FZN &amp; CHILL'!D1338,"AAAAAE+f/UA=")</f>
        <v>#VALUE!</v>
      </c>
      <c r="BN302" t="e">
        <f>AND('STERLING CATALOG - FZN &amp; CHILL'!E1338,"AAAAAE+f/UE=")</f>
        <v>#VALUE!</v>
      </c>
      <c r="BO302" t="e">
        <f>AND('STERLING CATALOG - FZN &amp; CHILL'!F1338,"AAAAAE+f/UI=")</f>
        <v>#VALUE!</v>
      </c>
      <c r="BP302" t="e">
        <f>AND('STERLING CATALOG - FZN &amp; CHILL'!G1338,"AAAAAE+f/UM=")</f>
        <v>#VALUE!</v>
      </c>
      <c r="BQ302" t="e">
        <f>AND('STERLING CATALOG - FZN &amp; CHILL'!H1338,"AAAAAE+f/UQ=")</f>
        <v>#VALUE!</v>
      </c>
      <c r="BR302" t="e">
        <f>AND('STERLING CATALOG - FZN &amp; CHILL'!I1338,"AAAAAE+f/UU=")</f>
        <v>#VALUE!</v>
      </c>
      <c r="BS302" t="e">
        <f>AND('STERLING CATALOG - FZN &amp; CHILL'!J1338,"AAAAAE+f/UY=")</f>
        <v>#VALUE!</v>
      </c>
      <c r="BT302">
        <f>IF('STERLING CATALOG - FZN &amp; CHILL'!1339:1339,"AAAAAE+f/Uc=",0)</f>
        <v>0</v>
      </c>
      <c r="BU302" t="e">
        <f>AND('STERLING CATALOG - FZN &amp; CHILL'!A1339,"AAAAAE+f/Ug=")</f>
        <v>#VALUE!</v>
      </c>
      <c r="BV302" t="e">
        <f>AND('STERLING CATALOG - FZN &amp; CHILL'!B1339,"AAAAAE+f/Uk=")</f>
        <v>#VALUE!</v>
      </c>
      <c r="BW302" t="e">
        <f>AND('STERLING CATALOG - FZN &amp; CHILL'!C1339,"AAAAAE+f/Uo=")</f>
        <v>#VALUE!</v>
      </c>
      <c r="BX302" t="e">
        <f>AND('STERLING CATALOG - FZN &amp; CHILL'!D1339,"AAAAAE+f/Us=")</f>
        <v>#VALUE!</v>
      </c>
      <c r="BY302" t="e">
        <f>AND('STERLING CATALOG - FZN &amp; CHILL'!E1339,"AAAAAE+f/Uw=")</f>
        <v>#VALUE!</v>
      </c>
      <c r="BZ302" t="e">
        <f>AND('STERLING CATALOG - FZN &amp; CHILL'!F1339,"AAAAAE+f/U0=")</f>
        <v>#VALUE!</v>
      </c>
      <c r="CA302" t="e">
        <f>AND('STERLING CATALOG - FZN &amp; CHILL'!G1339,"AAAAAE+f/U4=")</f>
        <v>#VALUE!</v>
      </c>
      <c r="CB302" t="e">
        <f>AND('STERLING CATALOG - FZN &amp; CHILL'!H1339,"AAAAAE+f/U8=")</f>
        <v>#VALUE!</v>
      </c>
      <c r="CC302" t="e">
        <f>AND('STERLING CATALOG - FZN &amp; CHILL'!I1339,"AAAAAE+f/VA=")</f>
        <v>#VALUE!</v>
      </c>
      <c r="CD302" t="e">
        <f>AND('STERLING CATALOG - FZN &amp; CHILL'!J1339,"AAAAAE+f/VE=")</f>
        <v>#VALUE!</v>
      </c>
      <c r="CE302">
        <f>IF('STERLING CATALOG - FZN &amp; CHILL'!1340:1340,"AAAAAE+f/VI=",0)</f>
        <v>0</v>
      </c>
      <c r="CF302" t="e">
        <f>AND('STERLING CATALOG - FZN &amp; CHILL'!A1340,"AAAAAE+f/VM=")</f>
        <v>#VALUE!</v>
      </c>
      <c r="CG302" t="e">
        <f>AND('STERLING CATALOG - FZN &amp; CHILL'!B1340,"AAAAAE+f/VQ=")</f>
        <v>#VALUE!</v>
      </c>
      <c r="CH302" t="e">
        <f>AND('STERLING CATALOG - FZN &amp; CHILL'!C1340,"AAAAAE+f/VU=")</f>
        <v>#VALUE!</v>
      </c>
      <c r="CI302" t="e">
        <f>AND('STERLING CATALOG - FZN &amp; CHILL'!D1340,"AAAAAE+f/VY=")</f>
        <v>#VALUE!</v>
      </c>
      <c r="CJ302" t="e">
        <f>AND('STERLING CATALOG - FZN &amp; CHILL'!E1340,"AAAAAE+f/Vc=")</f>
        <v>#VALUE!</v>
      </c>
      <c r="CK302" t="e">
        <f>AND('STERLING CATALOG - FZN &amp; CHILL'!F1340,"AAAAAE+f/Vg=")</f>
        <v>#VALUE!</v>
      </c>
      <c r="CL302" t="e">
        <f>AND('STERLING CATALOG - FZN &amp; CHILL'!G1340,"AAAAAE+f/Vk=")</f>
        <v>#VALUE!</v>
      </c>
      <c r="CM302" t="e">
        <f>AND('STERLING CATALOG - FZN &amp; CHILL'!H1340,"AAAAAE+f/Vo=")</f>
        <v>#VALUE!</v>
      </c>
      <c r="CN302" t="e">
        <f>AND('STERLING CATALOG - FZN &amp; CHILL'!I1340,"AAAAAE+f/Vs=")</f>
        <v>#VALUE!</v>
      </c>
      <c r="CO302" t="e">
        <f>AND('STERLING CATALOG - FZN &amp; CHILL'!J1340,"AAAAAE+f/Vw=")</f>
        <v>#VALUE!</v>
      </c>
      <c r="CP302">
        <f>IF('STERLING CATALOG - FZN &amp; CHILL'!1341:1341,"AAAAAE+f/V0=",0)</f>
        <v>0</v>
      </c>
      <c r="CQ302" t="e">
        <f>AND('STERLING CATALOG - FZN &amp; CHILL'!A1341,"AAAAAE+f/V4=")</f>
        <v>#VALUE!</v>
      </c>
      <c r="CR302" t="e">
        <f>AND('STERLING CATALOG - FZN &amp; CHILL'!B1341,"AAAAAE+f/V8=")</f>
        <v>#VALUE!</v>
      </c>
      <c r="CS302" t="e">
        <f>AND('STERLING CATALOG - FZN &amp; CHILL'!C1341,"AAAAAE+f/WA=")</f>
        <v>#VALUE!</v>
      </c>
      <c r="CT302" t="e">
        <f>AND('STERLING CATALOG - FZN &amp; CHILL'!D1341,"AAAAAE+f/WE=")</f>
        <v>#VALUE!</v>
      </c>
      <c r="CU302" t="e">
        <f>AND('STERLING CATALOG - FZN &amp; CHILL'!E1341,"AAAAAE+f/WI=")</f>
        <v>#VALUE!</v>
      </c>
      <c r="CV302" t="e">
        <f>AND('STERLING CATALOG - FZN &amp; CHILL'!F1341,"AAAAAE+f/WM=")</f>
        <v>#VALUE!</v>
      </c>
      <c r="CW302" t="e">
        <f>AND('STERLING CATALOG - FZN &amp; CHILL'!G1341,"AAAAAE+f/WQ=")</f>
        <v>#VALUE!</v>
      </c>
      <c r="CX302" t="e">
        <f>AND('STERLING CATALOG - FZN &amp; CHILL'!H1341,"AAAAAE+f/WU=")</f>
        <v>#VALUE!</v>
      </c>
      <c r="CY302" t="e">
        <f>AND('STERLING CATALOG - FZN &amp; CHILL'!I1341,"AAAAAE+f/WY=")</f>
        <v>#VALUE!</v>
      </c>
      <c r="CZ302" t="e">
        <f>AND('STERLING CATALOG - FZN &amp; CHILL'!J1341,"AAAAAE+f/Wc=")</f>
        <v>#VALUE!</v>
      </c>
      <c r="DA302">
        <f>IF('STERLING CATALOG - FZN &amp; CHILL'!1342:1342,"AAAAAE+f/Wg=",0)</f>
        <v>0</v>
      </c>
      <c r="DB302" t="e">
        <f>AND('STERLING CATALOG - FZN &amp; CHILL'!A1342,"AAAAAE+f/Wk=")</f>
        <v>#VALUE!</v>
      </c>
      <c r="DC302" t="e">
        <f>AND('STERLING CATALOG - FZN &amp; CHILL'!B1342,"AAAAAE+f/Wo=")</f>
        <v>#VALUE!</v>
      </c>
      <c r="DD302" t="e">
        <f>AND('STERLING CATALOG - FZN &amp; CHILL'!C1342,"AAAAAE+f/Ws=")</f>
        <v>#VALUE!</v>
      </c>
      <c r="DE302" t="e">
        <f>AND('STERLING CATALOG - FZN &amp; CHILL'!D1342,"AAAAAE+f/Ww=")</f>
        <v>#VALUE!</v>
      </c>
      <c r="DF302" t="e">
        <f>AND('STERLING CATALOG - FZN &amp; CHILL'!E1342,"AAAAAE+f/W0=")</f>
        <v>#VALUE!</v>
      </c>
      <c r="DG302" t="e">
        <f>AND('STERLING CATALOG - FZN &amp; CHILL'!F1342,"AAAAAE+f/W4=")</f>
        <v>#VALUE!</v>
      </c>
      <c r="DH302" t="e">
        <f>AND('STERLING CATALOG - FZN &amp; CHILL'!G1342,"AAAAAE+f/W8=")</f>
        <v>#VALUE!</v>
      </c>
      <c r="DI302" t="e">
        <f>AND('STERLING CATALOG - FZN &amp; CHILL'!H1342,"AAAAAE+f/XA=")</f>
        <v>#VALUE!</v>
      </c>
      <c r="DJ302" t="e">
        <f>AND('STERLING CATALOG - FZN &amp; CHILL'!I1342,"AAAAAE+f/XE=")</f>
        <v>#VALUE!</v>
      </c>
      <c r="DK302" t="e">
        <f>AND('STERLING CATALOG - FZN &amp; CHILL'!J1342,"AAAAAE+f/XI=")</f>
        <v>#VALUE!</v>
      </c>
      <c r="DL302">
        <f>IF('STERLING CATALOG - FZN &amp; CHILL'!1343:1343,"AAAAAE+f/XM=",0)</f>
        <v>0</v>
      </c>
      <c r="DM302" t="e">
        <f>AND('STERLING CATALOG - FZN &amp; CHILL'!A1343,"AAAAAE+f/XQ=")</f>
        <v>#VALUE!</v>
      </c>
      <c r="DN302" t="e">
        <f>AND('STERLING CATALOG - FZN &amp; CHILL'!B1343,"AAAAAE+f/XU=")</f>
        <v>#VALUE!</v>
      </c>
      <c r="DO302" t="e">
        <f>AND('STERLING CATALOG - FZN &amp; CHILL'!C1343,"AAAAAE+f/XY=")</f>
        <v>#VALUE!</v>
      </c>
      <c r="DP302" t="e">
        <f>AND('STERLING CATALOG - FZN &amp; CHILL'!D1343,"AAAAAE+f/Xc=")</f>
        <v>#VALUE!</v>
      </c>
      <c r="DQ302" t="e">
        <f>AND('STERLING CATALOG - FZN &amp; CHILL'!E1343,"AAAAAE+f/Xg=")</f>
        <v>#VALUE!</v>
      </c>
      <c r="DR302" t="e">
        <f>AND('STERLING CATALOG - FZN &amp; CHILL'!F1343,"AAAAAE+f/Xk=")</f>
        <v>#VALUE!</v>
      </c>
      <c r="DS302" t="e">
        <f>AND('STERLING CATALOG - FZN &amp; CHILL'!G1343,"AAAAAE+f/Xo=")</f>
        <v>#VALUE!</v>
      </c>
      <c r="DT302" t="e">
        <f>AND('STERLING CATALOG - FZN &amp; CHILL'!H1343,"AAAAAE+f/Xs=")</f>
        <v>#VALUE!</v>
      </c>
      <c r="DU302" t="e">
        <f>AND('STERLING CATALOG - FZN &amp; CHILL'!I1343,"AAAAAE+f/Xw=")</f>
        <v>#VALUE!</v>
      </c>
      <c r="DV302" t="e">
        <f>AND('STERLING CATALOG - FZN &amp; CHILL'!J1343,"AAAAAE+f/X0=")</f>
        <v>#VALUE!</v>
      </c>
      <c r="DW302">
        <f>IF('STERLING CATALOG - FZN &amp; CHILL'!1344:1344,"AAAAAE+f/X4=",0)</f>
        <v>0</v>
      </c>
      <c r="DX302" t="e">
        <f>AND('STERLING CATALOG - FZN &amp; CHILL'!A1344,"AAAAAE+f/X8=")</f>
        <v>#VALUE!</v>
      </c>
      <c r="DY302" t="e">
        <f>AND('STERLING CATALOG - FZN &amp; CHILL'!B1344,"AAAAAE+f/YA=")</f>
        <v>#VALUE!</v>
      </c>
      <c r="DZ302" t="e">
        <f>AND('STERLING CATALOG - FZN &amp; CHILL'!C1344,"AAAAAE+f/YE=")</f>
        <v>#VALUE!</v>
      </c>
      <c r="EA302" t="e">
        <f>AND('STERLING CATALOG - FZN &amp; CHILL'!D1344,"AAAAAE+f/YI=")</f>
        <v>#VALUE!</v>
      </c>
      <c r="EB302" t="e">
        <f>AND('STERLING CATALOG - FZN &amp; CHILL'!E1344,"AAAAAE+f/YM=")</f>
        <v>#VALUE!</v>
      </c>
      <c r="EC302" t="e">
        <f>AND('STERLING CATALOG - FZN &amp; CHILL'!F1344,"AAAAAE+f/YQ=")</f>
        <v>#VALUE!</v>
      </c>
      <c r="ED302" t="e">
        <f>AND('STERLING CATALOG - FZN &amp; CHILL'!G1344,"AAAAAE+f/YU=")</f>
        <v>#VALUE!</v>
      </c>
      <c r="EE302" t="e">
        <f>AND('STERLING CATALOG - FZN &amp; CHILL'!H1344,"AAAAAE+f/YY=")</f>
        <v>#VALUE!</v>
      </c>
      <c r="EF302" t="e">
        <f>AND('STERLING CATALOG - FZN &amp; CHILL'!I1344,"AAAAAE+f/Yc=")</f>
        <v>#VALUE!</v>
      </c>
      <c r="EG302" t="e">
        <f>AND('STERLING CATALOG - FZN &amp; CHILL'!J1344,"AAAAAE+f/Yg=")</f>
        <v>#VALUE!</v>
      </c>
      <c r="EH302">
        <f>IF('STERLING CATALOG - FZN &amp; CHILL'!1345:1345,"AAAAAE+f/Yk=",0)</f>
        <v>0</v>
      </c>
      <c r="EI302" t="e">
        <f>AND('STERLING CATALOG - FZN &amp; CHILL'!A1345,"AAAAAE+f/Yo=")</f>
        <v>#VALUE!</v>
      </c>
      <c r="EJ302" t="e">
        <f>AND('STERLING CATALOG - FZN &amp; CHILL'!B1345,"AAAAAE+f/Ys=")</f>
        <v>#VALUE!</v>
      </c>
      <c r="EK302" t="e">
        <f>AND('STERLING CATALOG - FZN &amp; CHILL'!C1345,"AAAAAE+f/Yw=")</f>
        <v>#VALUE!</v>
      </c>
      <c r="EL302" t="e">
        <f>AND('STERLING CATALOG - FZN &amp; CHILL'!D1345,"AAAAAE+f/Y0=")</f>
        <v>#VALUE!</v>
      </c>
      <c r="EM302" t="e">
        <f>AND('STERLING CATALOG - FZN &amp; CHILL'!E1345,"AAAAAE+f/Y4=")</f>
        <v>#VALUE!</v>
      </c>
      <c r="EN302" t="e">
        <f>AND('STERLING CATALOG - FZN &amp; CHILL'!F1345,"AAAAAE+f/Y8=")</f>
        <v>#VALUE!</v>
      </c>
      <c r="EO302" t="e">
        <f>AND('STERLING CATALOG - FZN &amp; CHILL'!G1345,"AAAAAE+f/ZA=")</f>
        <v>#VALUE!</v>
      </c>
      <c r="EP302" t="e">
        <f>AND('STERLING CATALOG - FZN &amp; CHILL'!H1345,"AAAAAE+f/ZE=")</f>
        <v>#VALUE!</v>
      </c>
      <c r="EQ302" t="e">
        <f>AND('STERLING CATALOG - FZN &amp; CHILL'!I1345,"AAAAAE+f/ZI=")</f>
        <v>#VALUE!</v>
      </c>
      <c r="ER302" t="e">
        <f>AND('STERLING CATALOG - FZN &amp; CHILL'!J1345,"AAAAAE+f/ZM=")</f>
        <v>#VALUE!</v>
      </c>
      <c r="ES302">
        <f>IF('STERLING CATALOG - FZN &amp; CHILL'!1346:1346,"AAAAAE+f/ZQ=",0)</f>
        <v>0</v>
      </c>
      <c r="ET302" t="e">
        <f>AND('STERLING CATALOG - FZN &amp; CHILL'!A1346,"AAAAAE+f/ZU=")</f>
        <v>#VALUE!</v>
      </c>
      <c r="EU302" t="e">
        <f>AND('STERLING CATALOG - FZN &amp; CHILL'!B1346,"AAAAAE+f/ZY=")</f>
        <v>#VALUE!</v>
      </c>
      <c r="EV302" t="e">
        <f>AND('STERLING CATALOG - FZN &amp; CHILL'!C1346,"AAAAAE+f/Zc=")</f>
        <v>#VALUE!</v>
      </c>
      <c r="EW302" t="e">
        <f>AND('STERLING CATALOG - FZN &amp; CHILL'!D1346,"AAAAAE+f/Zg=")</f>
        <v>#VALUE!</v>
      </c>
      <c r="EX302" t="e">
        <f>AND('STERLING CATALOG - FZN &amp; CHILL'!E1346,"AAAAAE+f/Zk=")</f>
        <v>#VALUE!</v>
      </c>
      <c r="EY302" t="e">
        <f>AND('STERLING CATALOG - FZN &amp; CHILL'!F1346,"AAAAAE+f/Zo=")</f>
        <v>#VALUE!</v>
      </c>
      <c r="EZ302" t="e">
        <f>AND('STERLING CATALOG - FZN &amp; CHILL'!G1346,"AAAAAE+f/Zs=")</f>
        <v>#VALUE!</v>
      </c>
      <c r="FA302" t="e">
        <f>AND('STERLING CATALOG - FZN &amp; CHILL'!H1346,"AAAAAE+f/Zw=")</f>
        <v>#VALUE!</v>
      </c>
      <c r="FB302" t="e">
        <f>AND('STERLING CATALOG - FZN &amp; CHILL'!I1346,"AAAAAE+f/Z0=")</f>
        <v>#VALUE!</v>
      </c>
      <c r="FC302" t="e">
        <f>AND('STERLING CATALOG - FZN &amp; CHILL'!J1346,"AAAAAE+f/Z4=")</f>
        <v>#VALUE!</v>
      </c>
      <c r="FD302">
        <f>IF('STERLING CATALOG - FZN &amp; CHILL'!1347:1347,"AAAAAE+f/Z8=",0)</f>
        <v>0</v>
      </c>
      <c r="FE302" t="e">
        <f>AND('STERLING CATALOG - FZN &amp; CHILL'!A1347,"AAAAAE+f/aA=")</f>
        <v>#VALUE!</v>
      </c>
      <c r="FF302" t="e">
        <f>AND('STERLING CATALOG - FZN &amp; CHILL'!B1347,"AAAAAE+f/aE=")</f>
        <v>#VALUE!</v>
      </c>
      <c r="FG302" t="e">
        <f>AND('STERLING CATALOG - FZN &amp; CHILL'!C1347,"AAAAAE+f/aI=")</f>
        <v>#VALUE!</v>
      </c>
      <c r="FH302" t="e">
        <f>AND('STERLING CATALOG - FZN &amp; CHILL'!D1347,"AAAAAE+f/aM=")</f>
        <v>#VALUE!</v>
      </c>
      <c r="FI302" t="e">
        <f>AND('STERLING CATALOG - FZN &amp; CHILL'!E1347,"AAAAAE+f/aQ=")</f>
        <v>#VALUE!</v>
      </c>
      <c r="FJ302" t="e">
        <f>AND('STERLING CATALOG - FZN &amp; CHILL'!F1347,"AAAAAE+f/aU=")</f>
        <v>#VALUE!</v>
      </c>
      <c r="FK302" t="e">
        <f>AND('STERLING CATALOG - FZN &amp; CHILL'!G1347,"AAAAAE+f/aY=")</f>
        <v>#VALUE!</v>
      </c>
      <c r="FL302" t="e">
        <f>AND('STERLING CATALOG - FZN &amp; CHILL'!H1347,"AAAAAE+f/ac=")</f>
        <v>#VALUE!</v>
      </c>
      <c r="FM302" t="e">
        <f>AND('STERLING CATALOG - FZN &amp; CHILL'!I1347,"AAAAAE+f/ag=")</f>
        <v>#VALUE!</v>
      </c>
      <c r="FN302" t="e">
        <f>AND('STERLING CATALOG - FZN &amp; CHILL'!J1347,"AAAAAE+f/ak=")</f>
        <v>#VALUE!</v>
      </c>
      <c r="FO302">
        <f>IF('STERLING CATALOG - FZN &amp; CHILL'!1348:1348,"AAAAAE+f/ao=",0)</f>
        <v>0</v>
      </c>
      <c r="FP302" t="e">
        <f>AND('STERLING CATALOG - FZN &amp; CHILL'!A1348,"AAAAAE+f/as=")</f>
        <v>#VALUE!</v>
      </c>
      <c r="FQ302" t="e">
        <f>AND('STERLING CATALOG - FZN &amp; CHILL'!B1348,"AAAAAE+f/aw=")</f>
        <v>#VALUE!</v>
      </c>
      <c r="FR302" t="e">
        <f>AND('STERLING CATALOG - FZN &amp; CHILL'!C1348,"AAAAAE+f/a0=")</f>
        <v>#VALUE!</v>
      </c>
      <c r="FS302" t="e">
        <f>AND('STERLING CATALOG - FZN &amp; CHILL'!D1348,"AAAAAE+f/a4=")</f>
        <v>#VALUE!</v>
      </c>
      <c r="FT302" t="e">
        <f>AND('STERLING CATALOG - FZN &amp; CHILL'!E1348,"AAAAAE+f/a8=")</f>
        <v>#VALUE!</v>
      </c>
      <c r="FU302" t="e">
        <f>AND('STERLING CATALOG - FZN &amp; CHILL'!F1348,"AAAAAE+f/bA=")</f>
        <v>#VALUE!</v>
      </c>
      <c r="FV302" t="e">
        <f>AND('STERLING CATALOG - FZN &amp; CHILL'!G1348,"AAAAAE+f/bE=")</f>
        <v>#VALUE!</v>
      </c>
      <c r="FW302" t="e">
        <f>AND('STERLING CATALOG - FZN &amp; CHILL'!H1348,"AAAAAE+f/bI=")</f>
        <v>#VALUE!</v>
      </c>
      <c r="FX302" t="e">
        <f>AND('STERLING CATALOG - FZN &amp; CHILL'!I1348,"AAAAAE+f/bM=")</f>
        <v>#VALUE!</v>
      </c>
      <c r="FY302" t="e">
        <f>AND('STERLING CATALOG - FZN &amp; CHILL'!J1348,"AAAAAE+f/bQ=")</f>
        <v>#VALUE!</v>
      </c>
      <c r="FZ302">
        <f>IF('STERLING CATALOG - FZN &amp; CHILL'!1349:1349,"AAAAAE+f/bU=",0)</f>
        <v>0</v>
      </c>
      <c r="GA302" t="e">
        <f>AND('STERLING CATALOG - FZN &amp; CHILL'!A1349,"AAAAAE+f/bY=")</f>
        <v>#VALUE!</v>
      </c>
      <c r="GB302" t="e">
        <f>AND('STERLING CATALOG - FZN &amp; CHILL'!B1349,"AAAAAE+f/bc=")</f>
        <v>#VALUE!</v>
      </c>
      <c r="GC302" t="e">
        <f>AND('STERLING CATALOG - FZN &amp; CHILL'!C1349,"AAAAAE+f/bg=")</f>
        <v>#VALUE!</v>
      </c>
      <c r="GD302" t="e">
        <f>AND('STERLING CATALOG - FZN &amp; CHILL'!D1349,"AAAAAE+f/bk=")</f>
        <v>#VALUE!</v>
      </c>
      <c r="GE302" t="e">
        <f>AND('STERLING CATALOG - FZN &amp; CHILL'!E1349,"AAAAAE+f/bo=")</f>
        <v>#VALUE!</v>
      </c>
      <c r="GF302" t="e">
        <f>AND('STERLING CATALOG - FZN &amp; CHILL'!F1349,"AAAAAE+f/bs=")</f>
        <v>#VALUE!</v>
      </c>
      <c r="GG302" t="e">
        <f>AND('STERLING CATALOG - FZN &amp; CHILL'!G1349,"AAAAAE+f/bw=")</f>
        <v>#VALUE!</v>
      </c>
      <c r="GH302" t="e">
        <f>AND('STERLING CATALOG - FZN &amp; CHILL'!H1349,"AAAAAE+f/b0=")</f>
        <v>#VALUE!</v>
      </c>
      <c r="GI302" t="e">
        <f>AND('STERLING CATALOG - FZN &amp; CHILL'!I1349,"AAAAAE+f/b4=")</f>
        <v>#VALUE!</v>
      </c>
      <c r="GJ302" t="e">
        <f>AND('STERLING CATALOG - FZN &amp; CHILL'!J1349,"AAAAAE+f/b8=")</f>
        <v>#VALUE!</v>
      </c>
      <c r="GK302">
        <f>IF('STERLING CATALOG - FZN &amp; CHILL'!1350:1350,"AAAAAE+f/cA=",0)</f>
        <v>0</v>
      </c>
      <c r="GL302" t="e">
        <f>AND('STERLING CATALOG - FZN &amp; CHILL'!A1350,"AAAAAE+f/cE=")</f>
        <v>#VALUE!</v>
      </c>
      <c r="GM302" t="e">
        <f>AND('STERLING CATALOG - FZN &amp; CHILL'!B1350,"AAAAAE+f/cI=")</f>
        <v>#VALUE!</v>
      </c>
      <c r="GN302" t="e">
        <f>AND('STERLING CATALOG - FZN &amp; CHILL'!C1350,"AAAAAE+f/cM=")</f>
        <v>#VALUE!</v>
      </c>
      <c r="GO302" t="e">
        <f>AND('STERLING CATALOG - FZN &amp; CHILL'!D1350,"AAAAAE+f/cQ=")</f>
        <v>#VALUE!</v>
      </c>
      <c r="GP302" t="e">
        <f>AND('STERLING CATALOG - FZN &amp; CHILL'!E1350,"AAAAAE+f/cU=")</f>
        <v>#VALUE!</v>
      </c>
      <c r="GQ302" t="e">
        <f>AND('STERLING CATALOG - FZN &amp; CHILL'!F1350,"AAAAAE+f/cY=")</f>
        <v>#VALUE!</v>
      </c>
      <c r="GR302" t="e">
        <f>AND('STERLING CATALOG - FZN &amp; CHILL'!G1350,"AAAAAE+f/cc=")</f>
        <v>#VALUE!</v>
      </c>
      <c r="GS302" t="e">
        <f>AND('STERLING CATALOG - FZN &amp; CHILL'!H1350,"AAAAAE+f/cg=")</f>
        <v>#VALUE!</v>
      </c>
      <c r="GT302" t="e">
        <f>AND('STERLING CATALOG - FZN &amp; CHILL'!I1350,"AAAAAE+f/ck=")</f>
        <v>#VALUE!</v>
      </c>
      <c r="GU302" t="e">
        <f>AND('STERLING CATALOG - FZN &amp; CHILL'!J1350,"AAAAAE+f/co=")</f>
        <v>#VALUE!</v>
      </c>
      <c r="GV302">
        <f>IF('STERLING CATALOG - FZN &amp; CHILL'!1351:1351,"AAAAAE+f/cs=",0)</f>
        <v>0</v>
      </c>
      <c r="GW302" t="e">
        <f>AND('STERLING CATALOG - FZN &amp; CHILL'!A1351,"AAAAAE+f/cw=")</f>
        <v>#VALUE!</v>
      </c>
      <c r="GX302" t="e">
        <f>AND('STERLING CATALOG - FZN &amp; CHILL'!B1351,"AAAAAE+f/c0=")</f>
        <v>#VALUE!</v>
      </c>
      <c r="GY302" t="e">
        <f>AND('STERLING CATALOG - FZN &amp; CHILL'!C1351,"AAAAAE+f/c4=")</f>
        <v>#VALUE!</v>
      </c>
      <c r="GZ302" t="e">
        <f>AND('STERLING CATALOG - FZN &amp; CHILL'!D1351,"AAAAAE+f/c8=")</f>
        <v>#VALUE!</v>
      </c>
      <c r="HA302" t="e">
        <f>AND('STERLING CATALOG - FZN &amp; CHILL'!E1351,"AAAAAE+f/dA=")</f>
        <v>#VALUE!</v>
      </c>
      <c r="HB302" t="e">
        <f>AND('STERLING CATALOG - FZN &amp; CHILL'!F1351,"AAAAAE+f/dE=")</f>
        <v>#VALUE!</v>
      </c>
      <c r="HC302" t="e">
        <f>AND('STERLING CATALOG - FZN &amp; CHILL'!G1351,"AAAAAE+f/dI=")</f>
        <v>#VALUE!</v>
      </c>
      <c r="HD302" t="e">
        <f>AND('STERLING CATALOG - FZN &amp; CHILL'!H1351,"AAAAAE+f/dM=")</f>
        <v>#VALUE!</v>
      </c>
      <c r="HE302" t="e">
        <f>AND('STERLING CATALOG - FZN &amp; CHILL'!I1351,"AAAAAE+f/dQ=")</f>
        <v>#VALUE!</v>
      </c>
      <c r="HF302" t="e">
        <f>AND('STERLING CATALOG - FZN &amp; CHILL'!J1351,"AAAAAE+f/dU=")</f>
        <v>#VALUE!</v>
      </c>
      <c r="HG302">
        <f>IF('STERLING CATALOG - FZN &amp; CHILL'!1352:1352,"AAAAAE+f/dY=",0)</f>
        <v>0</v>
      </c>
      <c r="HH302" t="e">
        <f>AND('STERLING CATALOG - FZN &amp; CHILL'!A1352,"AAAAAE+f/dc=")</f>
        <v>#VALUE!</v>
      </c>
      <c r="HI302" t="e">
        <f>AND('STERLING CATALOG - FZN &amp; CHILL'!B1352,"AAAAAE+f/dg=")</f>
        <v>#VALUE!</v>
      </c>
      <c r="HJ302" t="e">
        <f>AND('STERLING CATALOG - FZN &amp; CHILL'!C1352,"AAAAAE+f/dk=")</f>
        <v>#VALUE!</v>
      </c>
      <c r="HK302" t="e">
        <f>AND('STERLING CATALOG - FZN &amp; CHILL'!D1352,"AAAAAE+f/do=")</f>
        <v>#VALUE!</v>
      </c>
      <c r="HL302" t="e">
        <f>AND('STERLING CATALOG - FZN &amp; CHILL'!E1352,"AAAAAE+f/ds=")</f>
        <v>#VALUE!</v>
      </c>
      <c r="HM302" t="e">
        <f>AND('STERLING CATALOG - FZN &amp; CHILL'!F1352,"AAAAAE+f/dw=")</f>
        <v>#VALUE!</v>
      </c>
      <c r="HN302" t="e">
        <f>AND('STERLING CATALOG - FZN &amp; CHILL'!G1352,"AAAAAE+f/d0=")</f>
        <v>#VALUE!</v>
      </c>
      <c r="HO302" t="e">
        <f>AND('STERLING CATALOG - FZN &amp; CHILL'!H1352,"AAAAAE+f/d4=")</f>
        <v>#VALUE!</v>
      </c>
      <c r="HP302" t="e">
        <f>AND('STERLING CATALOG - FZN &amp; CHILL'!I1352,"AAAAAE+f/d8=")</f>
        <v>#VALUE!</v>
      </c>
      <c r="HQ302" t="e">
        <f>AND('STERLING CATALOG - FZN &amp; CHILL'!J1352,"AAAAAE+f/eA=")</f>
        <v>#VALUE!</v>
      </c>
      <c r="HR302">
        <f>IF('STERLING CATALOG - FZN &amp; CHILL'!1353:1353,"AAAAAE+f/eE=",0)</f>
        <v>0</v>
      </c>
      <c r="HS302" t="e">
        <f>AND('STERLING CATALOG - FZN &amp; CHILL'!A1353,"AAAAAE+f/eI=")</f>
        <v>#VALUE!</v>
      </c>
      <c r="HT302" t="e">
        <f>AND('STERLING CATALOG - FZN &amp; CHILL'!B1353,"AAAAAE+f/eM=")</f>
        <v>#VALUE!</v>
      </c>
      <c r="HU302" t="e">
        <f>AND('STERLING CATALOG - FZN &amp; CHILL'!C1353,"AAAAAE+f/eQ=")</f>
        <v>#VALUE!</v>
      </c>
      <c r="HV302" t="e">
        <f>AND('STERLING CATALOG - FZN &amp; CHILL'!D1353,"AAAAAE+f/eU=")</f>
        <v>#VALUE!</v>
      </c>
      <c r="HW302" t="e">
        <f>AND('STERLING CATALOG - FZN &amp; CHILL'!E1353,"AAAAAE+f/eY=")</f>
        <v>#VALUE!</v>
      </c>
      <c r="HX302" t="e">
        <f>AND('STERLING CATALOG - FZN &amp; CHILL'!F1353,"AAAAAE+f/ec=")</f>
        <v>#VALUE!</v>
      </c>
      <c r="HY302" t="e">
        <f>AND('STERLING CATALOG - FZN &amp; CHILL'!G1353,"AAAAAE+f/eg=")</f>
        <v>#VALUE!</v>
      </c>
      <c r="HZ302" t="e">
        <f>AND('STERLING CATALOG - FZN &amp; CHILL'!H1353,"AAAAAE+f/ek=")</f>
        <v>#VALUE!</v>
      </c>
      <c r="IA302" t="e">
        <f>AND('STERLING CATALOG - FZN &amp; CHILL'!I1353,"AAAAAE+f/eo=")</f>
        <v>#VALUE!</v>
      </c>
      <c r="IB302" t="e">
        <f>AND('STERLING CATALOG - FZN &amp; CHILL'!J1353,"AAAAAE+f/es=")</f>
        <v>#VALUE!</v>
      </c>
      <c r="IC302">
        <f>IF('STERLING CATALOG - FZN &amp; CHILL'!1354:1354,"AAAAAE+f/ew=",0)</f>
        <v>0</v>
      </c>
      <c r="ID302" t="e">
        <f>AND('STERLING CATALOG - FZN &amp; CHILL'!A1354,"AAAAAE+f/e0=")</f>
        <v>#VALUE!</v>
      </c>
      <c r="IE302" t="e">
        <f>AND('STERLING CATALOG - FZN &amp; CHILL'!B1354,"AAAAAE+f/e4=")</f>
        <v>#VALUE!</v>
      </c>
      <c r="IF302" t="e">
        <f>AND('STERLING CATALOG - FZN &amp; CHILL'!C1354,"AAAAAE+f/e8=")</f>
        <v>#VALUE!</v>
      </c>
      <c r="IG302" t="e">
        <f>AND('STERLING CATALOG - FZN &amp; CHILL'!D1354,"AAAAAE+f/fA=")</f>
        <v>#VALUE!</v>
      </c>
      <c r="IH302" t="e">
        <f>AND('STERLING CATALOG - FZN &amp; CHILL'!E1354,"AAAAAE+f/fE=")</f>
        <v>#VALUE!</v>
      </c>
      <c r="II302" t="e">
        <f>AND('STERLING CATALOG - FZN &amp; CHILL'!F1354,"AAAAAE+f/fI=")</f>
        <v>#VALUE!</v>
      </c>
      <c r="IJ302" t="e">
        <f>AND('STERLING CATALOG - FZN &amp; CHILL'!G1354,"AAAAAE+f/fM=")</f>
        <v>#VALUE!</v>
      </c>
      <c r="IK302" t="e">
        <f>AND('STERLING CATALOG - FZN &amp; CHILL'!H1354,"AAAAAE+f/fQ=")</f>
        <v>#VALUE!</v>
      </c>
      <c r="IL302" t="e">
        <f>AND('STERLING CATALOG - FZN &amp; CHILL'!I1354,"AAAAAE+f/fU=")</f>
        <v>#VALUE!</v>
      </c>
      <c r="IM302" t="e">
        <f>AND('STERLING CATALOG - FZN &amp; CHILL'!J1354,"AAAAAE+f/fY=")</f>
        <v>#VALUE!</v>
      </c>
      <c r="IN302">
        <f>IF('STERLING CATALOG - FZN &amp; CHILL'!1355:1355,"AAAAAE+f/fc=",0)</f>
        <v>0</v>
      </c>
      <c r="IO302" t="e">
        <f>AND('STERLING CATALOG - FZN &amp; CHILL'!A1355,"AAAAAE+f/fg=")</f>
        <v>#VALUE!</v>
      </c>
      <c r="IP302" t="e">
        <f>AND('STERLING CATALOG - FZN &amp; CHILL'!B1355,"AAAAAE+f/fk=")</f>
        <v>#VALUE!</v>
      </c>
      <c r="IQ302" t="e">
        <f>AND('STERLING CATALOG - FZN &amp; CHILL'!C1355,"AAAAAE+f/fo=")</f>
        <v>#VALUE!</v>
      </c>
      <c r="IR302" t="e">
        <f>AND('STERLING CATALOG - FZN &amp; CHILL'!D1355,"AAAAAE+f/fs=")</f>
        <v>#VALUE!</v>
      </c>
      <c r="IS302" t="e">
        <f>AND('STERLING CATALOG - FZN &amp; CHILL'!E1355,"AAAAAE+f/fw=")</f>
        <v>#VALUE!</v>
      </c>
      <c r="IT302" t="e">
        <f>AND('STERLING CATALOG - FZN &amp; CHILL'!F1355,"AAAAAE+f/f0=")</f>
        <v>#VALUE!</v>
      </c>
      <c r="IU302" t="e">
        <f>AND('STERLING CATALOG - FZN &amp; CHILL'!G1355,"AAAAAE+f/f4=")</f>
        <v>#VALUE!</v>
      </c>
      <c r="IV302" t="e">
        <f>AND('STERLING CATALOG - FZN &amp; CHILL'!H1355,"AAAAAE+f/f8=")</f>
        <v>#VALUE!</v>
      </c>
    </row>
    <row r="303" spans="1:256">
      <c r="A303" t="e">
        <f>AND('STERLING CATALOG - FZN &amp; CHILL'!I1355,"AAAAAC6OtgA=")</f>
        <v>#VALUE!</v>
      </c>
      <c r="B303" t="e">
        <f>AND('STERLING CATALOG - FZN &amp; CHILL'!J1355,"AAAAAC6OtgE=")</f>
        <v>#VALUE!</v>
      </c>
      <c r="C303" t="e">
        <f>IF('STERLING CATALOG - FZN &amp; CHILL'!1356:1356,"AAAAAC6OtgI=",0)</f>
        <v>#VALUE!</v>
      </c>
      <c r="D303" t="e">
        <f>AND('STERLING CATALOG - FZN &amp; CHILL'!A1356,"AAAAAC6OtgM=")</f>
        <v>#VALUE!</v>
      </c>
      <c r="E303" t="e">
        <f>AND('STERLING CATALOG - FZN &amp; CHILL'!B1356,"AAAAAC6OtgQ=")</f>
        <v>#VALUE!</v>
      </c>
      <c r="F303" t="e">
        <f>AND('STERLING CATALOG - FZN &amp; CHILL'!C1356,"AAAAAC6OtgU=")</f>
        <v>#VALUE!</v>
      </c>
      <c r="G303" t="e">
        <f>AND('STERLING CATALOG - FZN &amp; CHILL'!D1356,"AAAAAC6OtgY=")</f>
        <v>#VALUE!</v>
      </c>
      <c r="H303" t="e">
        <f>AND('STERLING CATALOG - FZN &amp; CHILL'!E1356,"AAAAAC6Otgc=")</f>
        <v>#VALUE!</v>
      </c>
      <c r="I303" t="e">
        <f>AND('STERLING CATALOG - FZN &amp; CHILL'!F1356,"AAAAAC6Otgg=")</f>
        <v>#VALUE!</v>
      </c>
      <c r="J303" t="e">
        <f>AND('STERLING CATALOG - FZN &amp; CHILL'!G1356,"AAAAAC6Otgk=")</f>
        <v>#VALUE!</v>
      </c>
      <c r="K303" t="e">
        <f>AND('STERLING CATALOG - FZN &amp; CHILL'!H1356,"AAAAAC6Otgo=")</f>
        <v>#VALUE!</v>
      </c>
      <c r="L303" t="e">
        <f>AND('STERLING CATALOG - FZN &amp; CHILL'!I1356,"AAAAAC6Otgs=")</f>
        <v>#VALUE!</v>
      </c>
      <c r="M303" t="e">
        <f>AND('STERLING CATALOG - FZN &amp; CHILL'!J1356,"AAAAAC6Otgw=")</f>
        <v>#VALUE!</v>
      </c>
      <c r="N303">
        <f>IF('STERLING CATALOG - FZN &amp; CHILL'!1357:1357,"AAAAAC6Otg0=",0)</f>
        <v>0</v>
      </c>
      <c r="O303" t="e">
        <f>AND('STERLING CATALOG - FZN &amp; CHILL'!A1357,"AAAAAC6Otg4=")</f>
        <v>#VALUE!</v>
      </c>
      <c r="P303" t="e">
        <f>AND('STERLING CATALOG - FZN &amp; CHILL'!B1357,"AAAAAC6Otg8=")</f>
        <v>#VALUE!</v>
      </c>
      <c r="Q303" t="e">
        <f>AND('STERLING CATALOG - FZN &amp; CHILL'!C1357,"AAAAAC6OthA=")</f>
        <v>#VALUE!</v>
      </c>
      <c r="R303" t="e">
        <f>AND('STERLING CATALOG - FZN &amp; CHILL'!D1357,"AAAAAC6OthE=")</f>
        <v>#VALUE!</v>
      </c>
      <c r="S303" t="e">
        <f>AND('STERLING CATALOG - FZN &amp; CHILL'!E1357,"AAAAAC6OthI=")</f>
        <v>#VALUE!</v>
      </c>
      <c r="T303" t="e">
        <f>AND('STERLING CATALOG - FZN &amp; CHILL'!F1357,"AAAAAC6OthM=")</f>
        <v>#VALUE!</v>
      </c>
      <c r="U303" t="e">
        <f>AND('STERLING CATALOG - FZN &amp; CHILL'!G1357,"AAAAAC6OthQ=")</f>
        <v>#VALUE!</v>
      </c>
      <c r="V303" t="e">
        <f>AND('STERLING CATALOG - FZN &amp; CHILL'!H1357,"AAAAAC6OthU=")</f>
        <v>#VALUE!</v>
      </c>
      <c r="W303" t="e">
        <f>AND('STERLING CATALOG - FZN &amp; CHILL'!I1357,"AAAAAC6OthY=")</f>
        <v>#VALUE!</v>
      </c>
      <c r="X303" t="e">
        <f>AND('STERLING CATALOG - FZN &amp; CHILL'!J1357,"AAAAAC6Othc=")</f>
        <v>#VALUE!</v>
      </c>
      <c r="Y303">
        <f>IF('STERLING CATALOG - FZN &amp; CHILL'!1358:1358,"AAAAAC6Othg=",0)</f>
        <v>0</v>
      </c>
      <c r="Z303" t="e">
        <f>AND('STERLING CATALOG - FZN &amp; CHILL'!A1358,"AAAAAC6Othk=")</f>
        <v>#VALUE!</v>
      </c>
      <c r="AA303" t="e">
        <f>AND('STERLING CATALOG - FZN &amp; CHILL'!B1358,"AAAAAC6Otho=")</f>
        <v>#VALUE!</v>
      </c>
      <c r="AB303" t="e">
        <f>AND('STERLING CATALOG - FZN &amp; CHILL'!C1358,"AAAAAC6Oths=")</f>
        <v>#VALUE!</v>
      </c>
      <c r="AC303" t="e">
        <f>AND('STERLING CATALOG - FZN &amp; CHILL'!D1358,"AAAAAC6Othw=")</f>
        <v>#VALUE!</v>
      </c>
      <c r="AD303" t="e">
        <f>AND('STERLING CATALOG - FZN &amp; CHILL'!E1358,"AAAAAC6Oth0=")</f>
        <v>#VALUE!</v>
      </c>
      <c r="AE303" t="e">
        <f>AND('STERLING CATALOG - FZN &amp; CHILL'!F1358,"AAAAAC6Oth4=")</f>
        <v>#VALUE!</v>
      </c>
      <c r="AF303" t="e">
        <f>AND('STERLING CATALOG - FZN &amp; CHILL'!G1358,"AAAAAC6Oth8=")</f>
        <v>#VALUE!</v>
      </c>
      <c r="AG303" t="e">
        <f>AND('STERLING CATALOG - FZN &amp; CHILL'!H1358,"AAAAAC6OtiA=")</f>
        <v>#VALUE!</v>
      </c>
      <c r="AH303" t="e">
        <f>AND('STERLING CATALOG - FZN &amp; CHILL'!I1358,"AAAAAC6OtiE=")</f>
        <v>#VALUE!</v>
      </c>
      <c r="AI303" t="e">
        <f>AND('STERLING CATALOG - FZN &amp; CHILL'!J1358,"AAAAAC6OtiI=")</f>
        <v>#VALUE!</v>
      </c>
      <c r="AJ303">
        <f>IF('STERLING CATALOG - FZN &amp; CHILL'!1359:1359,"AAAAAC6OtiM=",0)</f>
        <v>0</v>
      </c>
      <c r="AK303" t="e">
        <f>AND('STERLING CATALOG - FZN &amp; CHILL'!A1359,"AAAAAC6OtiQ=")</f>
        <v>#VALUE!</v>
      </c>
      <c r="AL303" t="e">
        <f>AND('STERLING CATALOG - FZN &amp; CHILL'!B1359,"AAAAAC6OtiU=")</f>
        <v>#VALUE!</v>
      </c>
      <c r="AM303" t="e">
        <f>AND('STERLING CATALOG - FZN &amp; CHILL'!C1359,"AAAAAC6OtiY=")</f>
        <v>#VALUE!</v>
      </c>
      <c r="AN303" t="e">
        <f>AND('STERLING CATALOG - FZN &amp; CHILL'!D1359,"AAAAAC6Otic=")</f>
        <v>#VALUE!</v>
      </c>
      <c r="AO303" t="e">
        <f>AND('STERLING CATALOG - FZN &amp; CHILL'!E1359,"AAAAAC6Otig=")</f>
        <v>#VALUE!</v>
      </c>
      <c r="AP303" t="e">
        <f>AND('STERLING CATALOG - FZN &amp; CHILL'!F1359,"AAAAAC6Otik=")</f>
        <v>#VALUE!</v>
      </c>
      <c r="AQ303" t="e">
        <f>AND('STERLING CATALOG - FZN &amp; CHILL'!G1359,"AAAAAC6Otio=")</f>
        <v>#VALUE!</v>
      </c>
      <c r="AR303" t="e">
        <f>AND('STERLING CATALOG - FZN &amp; CHILL'!H1359,"AAAAAC6Otis=")</f>
        <v>#VALUE!</v>
      </c>
      <c r="AS303" t="e">
        <f>AND('STERLING CATALOG - FZN &amp; CHILL'!I1359,"AAAAAC6Otiw=")</f>
        <v>#VALUE!</v>
      </c>
      <c r="AT303" t="e">
        <f>AND('STERLING CATALOG - FZN &amp; CHILL'!J1359,"AAAAAC6Oti0=")</f>
        <v>#VALUE!</v>
      </c>
      <c r="AU303">
        <f>IF('STERLING CATALOG - FZN &amp; CHILL'!1360:1360,"AAAAAC6Oti4=",0)</f>
        <v>0</v>
      </c>
      <c r="AV303" t="e">
        <f>AND('STERLING CATALOG - FZN &amp; CHILL'!A1360,"AAAAAC6Oti8=")</f>
        <v>#VALUE!</v>
      </c>
      <c r="AW303" t="e">
        <f>AND('STERLING CATALOG - FZN &amp; CHILL'!B1360,"AAAAAC6OtjA=")</f>
        <v>#VALUE!</v>
      </c>
      <c r="AX303" t="e">
        <f>AND('STERLING CATALOG - FZN &amp; CHILL'!C1360,"AAAAAC6OtjE=")</f>
        <v>#VALUE!</v>
      </c>
      <c r="AY303" t="e">
        <f>AND('STERLING CATALOG - FZN &amp; CHILL'!D1360,"AAAAAC6OtjI=")</f>
        <v>#VALUE!</v>
      </c>
      <c r="AZ303" t="e">
        <f>AND('STERLING CATALOG - FZN &amp; CHILL'!E1360,"AAAAAC6OtjM=")</f>
        <v>#VALUE!</v>
      </c>
      <c r="BA303" t="e">
        <f>AND('STERLING CATALOG - FZN &amp; CHILL'!F1360,"AAAAAC6OtjQ=")</f>
        <v>#VALUE!</v>
      </c>
      <c r="BB303" t="e">
        <f>AND('STERLING CATALOG - FZN &amp; CHILL'!G1360,"AAAAAC6OtjU=")</f>
        <v>#VALUE!</v>
      </c>
      <c r="BC303" t="e">
        <f>AND('STERLING CATALOG - FZN &amp; CHILL'!H1360,"AAAAAC6OtjY=")</f>
        <v>#VALUE!</v>
      </c>
      <c r="BD303" t="e">
        <f>AND('STERLING CATALOG - FZN &amp; CHILL'!I1360,"AAAAAC6Otjc=")</f>
        <v>#VALUE!</v>
      </c>
      <c r="BE303" t="e">
        <f>AND('STERLING CATALOG - FZN &amp; CHILL'!J1360,"AAAAAC6Otjg=")</f>
        <v>#VALUE!</v>
      </c>
      <c r="BF303">
        <f>IF('STERLING CATALOG - FZN &amp; CHILL'!1361:1361,"AAAAAC6Otjk=",0)</f>
        <v>0</v>
      </c>
      <c r="BG303" t="e">
        <f>AND('STERLING CATALOG - FZN &amp; CHILL'!A1361,"AAAAAC6Otjo=")</f>
        <v>#VALUE!</v>
      </c>
      <c r="BH303" t="e">
        <f>AND('STERLING CATALOG - FZN &amp; CHILL'!B1361,"AAAAAC6Otjs=")</f>
        <v>#VALUE!</v>
      </c>
      <c r="BI303" t="e">
        <f>AND('STERLING CATALOG - FZN &amp; CHILL'!C1361,"AAAAAC6Otjw=")</f>
        <v>#VALUE!</v>
      </c>
      <c r="BJ303" t="e">
        <f>AND('STERLING CATALOG - FZN &amp; CHILL'!D1361,"AAAAAC6Otj0=")</f>
        <v>#VALUE!</v>
      </c>
      <c r="BK303" t="e">
        <f>AND('STERLING CATALOG - FZN &amp; CHILL'!E1361,"AAAAAC6Otj4=")</f>
        <v>#VALUE!</v>
      </c>
      <c r="BL303" t="e">
        <f>AND('STERLING CATALOG - FZN &amp; CHILL'!F1361,"AAAAAC6Otj8=")</f>
        <v>#VALUE!</v>
      </c>
      <c r="BM303" t="e">
        <f>AND('STERLING CATALOG - FZN &amp; CHILL'!G1361,"AAAAAC6OtkA=")</f>
        <v>#VALUE!</v>
      </c>
      <c r="BN303" t="e">
        <f>AND('STERLING CATALOG - FZN &amp; CHILL'!H1361,"AAAAAC6OtkE=")</f>
        <v>#VALUE!</v>
      </c>
      <c r="BO303" t="e">
        <f>AND('STERLING CATALOG - FZN &amp; CHILL'!I1361,"AAAAAC6OtkI=")</f>
        <v>#VALUE!</v>
      </c>
      <c r="BP303" t="e">
        <f>AND('STERLING CATALOG - FZN &amp; CHILL'!J1361,"AAAAAC6OtkM=")</f>
        <v>#VALUE!</v>
      </c>
      <c r="BQ303">
        <f>IF('STERLING CATALOG - FZN &amp; CHILL'!1362:1362,"AAAAAC6OtkQ=",0)</f>
        <v>0</v>
      </c>
      <c r="BR303" t="e">
        <f>AND('STERLING CATALOG - FZN &amp; CHILL'!A1362,"AAAAAC6OtkU=")</f>
        <v>#VALUE!</v>
      </c>
      <c r="BS303" t="e">
        <f>AND('STERLING CATALOG - FZN &amp; CHILL'!B1362,"AAAAAC6OtkY=")</f>
        <v>#VALUE!</v>
      </c>
      <c r="BT303" t="e">
        <f>AND('STERLING CATALOG - FZN &amp; CHILL'!C1362,"AAAAAC6Otkc=")</f>
        <v>#VALUE!</v>
      </c>
      <c r="BU303" t="e">
        <f>AND('STERLING CATALOG - FZN &amp; CHILL'!D1362,"AAAAAC6Otkg=")</f>
        <v>#VALUE!</v>
      </c>
      <c r="BV303" t="e">
        <f>AND('STERLING CATALOG - FZN &amp; CHILL'!E1362,"AAAAAC6Otkk=")</f>
        <v>#VALUE!</v>
      </c>
      <c r="BW303" t="e">
        <f>AND('STERLING CATALOG - FZN &amp; CHILL'!F1362,"AAAAAC6Otko=")</f>
        <v>#VALUE!</v>
      </c>
      <c r="BX303" t="e">
        <f>AND('STERLING CATALOG - FZN &amp; CHILL'!G1362,"AAAAAC6Otks=")</f>
        <v>#VALUE!</v>
      </c>
      <c r="BY303" t="e">
        <f>AND('STERLING CATALOG - FZN &amp; CHILL'!H1362,"AAAAAC6Otkw=")</f>
        <v>#VALUE!</v>
      </c>
      <c r="BZ303" t="e">
        <f>AND('STERLING CATALOG - FZN &amp; CHILL'!I1362,"AAAAAC6Otk0=")</f>
        <v>#VALUE!</v>
      </c>
      <c r="CA303" t="e">
        <f>AND('STERLING CATALOG - FZN &amp; CHILL'!J1362,"AAAAAC6Otk4=")</f>
        <v>#VALUE!</v>
      </c>
      <c r="CB303">
        <f>IF('STERLING CATALOG - FZN &amp; CHILL'!1363:1363,"AAAAAC6Otk8=",0)</f>
        <v>0</v>
      </c>
      <c r="CC303" t="e">
        <f>AND('STERLING CATALOG - FZN &amp; CHILL'!A1363,"AAAAAC6OtlA=")</f>
        <v>#VALUE!</v>
      </c>
      <c r="CD303" t="e">
        <f>AND('STERLING CATALOG - FZN &amp; CHILL'!B1363,"AAAAAC6OtlE=")</f>
        <v>#VALUE!</v>
      </c>
      <c r="CE303" t="e">
        <f>AND('STERLING CATALOG - FZN &amp; CHILL'!C1363,"AAAAAC6OtlI=")</f>
        <v>#VALUE!</v>
      </c>
      <c r="CF303" t="e">
        <f>AND('STERLING CATALOG - FZN &amp; CHILL'!D1363,"AAAAAC6OtlM=")</f>
        <v>#VALUE!</v>
      </c>
      <c r="CG303" t="e">
        <f>AND('STERLING CATALOG - FZN &amp; CHILL'!E1363,"AAAAAC6OtlQ=")</f>
        <v>#VALUE!</v>
      </c>
      <c r="CH303" t="e">
        <f>AND('STERLING CATALOG - FZN &amp; CHILL'!F1363,"AAAAAC6OtlU=")</f>
        <v>#VALUE!</v>
      </c>
      <c r="CI303" t="e">
        <f>AND('STERLING CATALOG - FZN &amp; CHILL'!G1363,"AAAAAC6OtlY=")</f>
        <v>#VALUE!</v>
      </c>
      <c r="CJ303" t="e">
        <f>AND('STERLING CATALOG - FZN &amp; CHILL'!H1363,"AAAAAC6Otlc=")</f>
        <v>#VALUE!</v>
      </c>
      <c r="CK303" t="e">
        <f>AND('STERLING CATALOG - FZN &amp; CHILL'!I1363,"AAAAAC6Otlg=")</f>
        <v>#VALUE!</v>
      </c>
      <c r="CL303" t="e">
        <f>AND('STERLING CATALOG - FZN &amp; CHILL'!J1363,"AAAAAC6Otlk=")</f>
        <v>#VALUE!</v>
      </c>
      <c r="CM303">
        <f>IF('STERLING CATALOG - FZN &amp; CHILL'!1364:1364,"AAAAAC6Otlo=",0)</f>
        <v>0</v>
      </c>
      <c r="CN303" t="e">
        <f>AND('STERLING CATALOG - FZN &amp; CHILL'!A1364,"AAAAAC6Otls=")</f>
        <v>#VALUE!</v>
      </c>
      <c r="CO303" t="e">
        <f>AND('STERLING CATALOG - FZN &amp; CHILL'!B1364,"AAAAAC6Otlw=")</f>
        <v>#VALUE!</v>
      </c>
      <c r="CP303" t="e">
        <f>AND('STERLING CATALOG - FZN &amp; CHILL'!C1364,"AAAAAC6Otl0=")</f>
        <v>#VALUE!</v>
      </c>
      <c r="CQ303" t="e">
        <f>AND('STERLING CATALOG - FZN &amp; CHILL'!D1364,"AAAAAC6Otl4=")</f>
        <v>#VALUE!</v>
      </c>
      <c r="CR303" t="e">
        <f>AND('STERLING CATALOG - FZN &amp; CHILL'!E1364,"AAAAAC6Otl8=")</f>
        <v>#VALUE!</v>
      </c>
      <c r="CS303" t="e">
        <f>AND('STERLING CATALOG - FZN &amp; CHILL'!F1364,"AAAAAC6OtmA=")</f>
        <v>#VALUE!</v>
      </c>
      <c r="CT303" t="e">
        <f>AND('STERLING CATALOG - FZN &amp; CHILL'!G1364,"AAAAAC6OtmE=")</f>
        <v>#VALUE!</v>
      </c>
      <c r="CU303" t="e">
        <f>AND('STERLING CATALOG - FZN &amp; CHILL'!H1364,"AAAAAC6OtmI=")</f>
        <v>#VALUE!</v>
      </c>
      <c r="CV303" t="e">
        <f>AND('STERLING CATALOG - FZN &amp; CHILL'!I1364,"AAAAAC6OtmM=")</f>
        <v>#VALUE!</v>
      </c>
      <c r="CW303" t="e">
        <f>AND('STERLING CATALOG - FZN &amp; CHILL'!J1364,"AAAAAC6OtmQ=")</f>
        <v>#VALUE!</v>
      </c>
      <c r="CX303">
        <f>IF('STERLING CATALOG - FZN &amp; CHILL'!1365:1365,"AAAAAC6OtmU=",0)</f>
        <v>0</v>
      </c>
      <c r="CY303" t="e">
        <f>AND('STERLING CATALOG - FZN &amp; CHILL'!A1365,"AAAAAC6OtmY=")</f>
        <v>#VALUE!</v>
      </c>
      <c r="CZ303" t="e">
        <f>AND('STERLING CATALOG - FZN &amp; CHILL'!B1365,"AAAAAC6Otmc=")</f>
        <v>#VALUE!</v>
      </c>
      <c r="DA303" t="e">
        <f>AND('STERLING CATALOG - FZN &amp; CHILL'!C1365,"AAAAAC6Otmg=")</f>
        <v>#VALUE!</v>
      </c>
      <c r="DB303" t="e">
        <f>AND('STERLING CATALOG - FZN &amp; CHILL'!D1365,"AAAAAC6Otmk=")</f>
        <v>#VALUE!</v>
      </c>
      <c r="DC303" t="e">
        <f>AND('STERLING CATALOG - FZN &amp; CHILL'!E1365,"AAAAAC6Otmo=")</f>
        <v>#VALUE!</v>
      </c>
      <c r="DD303" t="e">
        <f>AND('STERLING CATALOG - FZN &amp; CHILL'!F1365,"AAAAAC6Otms=")</f>
        <v>#VALUE!</v>
      </c>
      <c r="DE303" t="e">
        <f>AND('STERLING CATALOG - FZN &amp; CHILL'!G1365,"AAAAAC6Otmw=")</f>
        <v>#VALUE!</v>
      </c>
      <c r="DF303" t="e">
        <f>AND('STERLING CATALOG - FZN &amp; CHILL'!H1365,"AAAAAC6Otm0=")</f>
        <v>#VALUE!</v>
      </c>
      <c r="DG303" t="e">
        <f>AND('STERLING CATALOG - FZN &amp; CHILL'!I1365,"AAAAAC6Otm4=")</f>
        <v>#VALUE!</v>
      </c>
      <c r="DH303" t="e">
        <f>AND('STERLING CATALOG - FZN &amp; CHILL'!J1365,"AAAAAC6Otm8=")</f>
        <v>#VALUE!</v>
      </c>
      <c r="DI303">
        <f>IF('STERLING CATALOG - FZN &amp; CHILL'!1366:1366,"AAAAAC6OtnA=",0)</f>
        <v>0</v>
      </c>
      <c r="DJ303" t="e">
        <f>AND('STERLING CATALOG - FZN &amp; CHILL'!A1366,"AAAAAC6OtnE=")</f>
        <v>#VALUE!</v>
      </c>
      <c r="DK303" t="e">
        <f>AND('STERLING CATALOG - FZN &amp; CHILL'!B1366,"AAAAAC6OtnI=")</f>
        <v>#VALUE!</v>
      </c>
      <c r="DL303" t="e">
        <f>AND('STERLING CATALOG - FZN &amp; CHILL'!C1366,"AAAAAC6OtnM=")</f>
        <v>#VALUE!</v>
      </c>
      <c r="DM303" t="e">
        <f>AND('STERLING CATALOG - FZN &amp; CHILL'!D1366,"AAAAAC6OtnQ=")</f>
        <v>#VALUE!</v>
      </c>
      <c r="DN303" t="e">
        <f>AND('STERLING CATALOG - FZN &amp; CHILL'!E1366,"AAAAAC6OtnU=")</f>
        <v>#VALUE!</v>
      </c>
      <c r="DO303" t="e">
        <f>AND('STERLING CATALOG - FZN &amp; CHILL'!F1366,"AAAAAC6OtnY=")</f>
        <v>#VALUE!</v>
      </c>
      <c r="DP303" t="e">
        <f>AND('STERLING CATALOG - FZN &amp; CHILL'!G1366,"AAAAAC6Otnc=")</f>
        <v>#VALUE!</v>
      </c>
      <c r="DQ303" t="e">
        <f>AND('STERLING CATALOG - FZN &amp; CHILL'!H1366,"AAAAAC6Otng=")</f>
        <v>#VALUE!</v>
      </c>
      <c r="DR303" t="e">
        <f>AND('STERLING CATALOG - FZN &amp; CHILL'!I1366,"AAAAAC6Otnk=")</f>
        <v>#VALUE!</v>
      </c>
      <c r="DS303" t="e">
        <f>AND('STERLING CATALOG - FZN &amp; CHILL'!J1366,"AAAAAC6Otno=")</f>
        <v>#VALUE!</v>
      </c>
      <c r="DT303">
        <f>IF('STERLING CATALOG - FZN &amp; CHILL'!1367:1367,"AAAAAC6Otns=",0)</f>
        <v>0</v>
      </c>
      <c r="DU303" t="e">
        <f>AND('STERLING CATALOG - FZN &amp; CHILL'!A1367,"AAAAAC6Otnw=")</f>
        <v>#VALUE!</v>
      </c>
      <c r="DV303" t="e">
        <f>AND('STERLING CATALOG - FZN &amp; CHILL'!B1367,"AAAAAC6Otn0=")</f>
        <v>#VALUE!</v>
      </c>
      <c r="DW303" t="e">
        <f>AND('STERLING CATALOG - FZN &amp; CHILL'!C1367,"AAAAAC6Otn4=")</f>
        <v>#VALUE!</v>
      </c>
      <c r="DX303" t="e">
        <f>AND('STERLING CATALOG - FZN &amp; CHILL'!D1367,"AAAAAC6Otn8=")</f>
        <v>#VALUE!</v>
      </c>
      <c r="DY303" t="e">
        <f>AND('STERLING CATALOG - FZN &amp; CHILL'!E1367,"AAAAAC6OtoA=")</f>
        <v>#VALUE!</v>
      </c>
      <c r="DZ303" t="e">
        <f>AND('STERLING CATALOG - FZN &amp; CHILL'!F1367,"AAAAAC6OtoE=")</f>
        <v>#VALUE!</v>
      </c>
      <c r="EA303" t="e">
        <f>AND('STERLING CATALOG - FZN &amp; CHILL'!G1367,"AAAAAC6OtoI=")</f>
        <v>#VALUE!</v>
      </c>
      <c r="EB303" t="e">
        <f>AND('STERLING CATALOG - FZN &amp; CHILL'!H1367,"AAAAAC6OtoM=")</f>
        <v>#VALUE!</v>
      </c>
      <c r="EC303" t="e">
        <f>AND('STERLING CATALOG - FZN &amp; CHILL'!I1367,"AAAAAC6OtoQ=")</f>
        <v>#VALUE!</v>
      </c>
      <c r="ED303" t="e">
        <f>AND('STERLING CATALOG - FZN &amp; CHILL'!J1367,"AAAAAC6OtoU=")</f>
        <v>#VALUE!</v>
      </c>
      <c r="EE303">
        <f>IF('STERLING CATALOG - FZN &amp; CHILL'!1368:1368,"AAAAAC6OtoY=",0)</f>
        <v>0</v>
      </c>
      <c r="EF303" t="e">
        <f>AND('STERLING CATALOG - FZN &amp; CHILL'!A1368,"AAAAAC6Otoc=")</f>
        <v>#VALUE!</v>
      </c>
      <c r="EG303" t="e">
        <f>AND('STERLING CATALOG - FZN &amp; CHILL'!B1368,"AAAAAC6Otog=")</f>
        <v>#VALUE!</v>
      </c>
      <c r="EH303" t="e">
        <f>AND('STERLING CATALOG - FZN &amp; CHILL'!C1368,"AAAAAC6Otok=")</f>
        <v>#VALUE!</v>
      </c>
      <c r="EI303" t="e">
        <f>AND('STERLING CATALOG - FZN &amp; CHILL'!D1368,"AAAAAC6Otoo=")</f>
        <v>#VALUE!</v>
      </c>
      <c r="EJ303" t="e">
        <f>AND('STERLING CATALOG - FZN &amp; CHILL'!E1368,"AAAAAC6Otos=")</f>
        <v>#VALUE!</v>
      </c>
      <c r="EK303" t="e">
        <f>AND('STERLING CATALOG - FZN &amp; CHILL'!F1368,"AAAAAC6Otow=")</f>
        <v>#VALUE!</v>
      </c>
      <c r="EL303" t="e">
        <f>AND('STERLING CATALOG - FZN &amp; CHILL'!G1368,"AAAAAC6Oto0=")</f>
        <v>#VALUE!</v>
      </c>
      <c r="EM303" t="e">
        <f>AND('STERLING CATALOG - FZN &amp; CHILL'!H1368,"AAAAAC6Oto4=")</f>
        <v>#VALUE!</v>
      </c>
      <c r="EN303" t="e">
        <f>AND('STERLING CATALOG - FZN &amp; CHILL'!I1368,"AAAAAC6Oto8=")</f>
        <v>#VALUE!</v>
      </c>
      <c r="EO303" t="e">
        <f>AND('STERLING CATALOG - FZN &amp; CHILL'!J1368,"AAAAAC6OtpA=")</f>
        <v>#VALUE!</v>
      </c>
      <c r="EP303">
        <f>IF('STERLING CATALOG - FZN &amp; CHILL'!1369:1369,"AAAAAC6OtpE=",0)</f>
        <v>0</v>
      </c>
      <c r="EQ303" t="e">
        <f>AND('STERLING CATALOG - FZN &amp; CHILL'!A1369,"AAAAAC6OtpI=")</f>
        <v>#VALUE!</v>
      </c>
      <c r="ER303" t="e">
        <f>AND('STERLING CATALOG - FZN &amp; CHILL'!B1369,"AAAAAC6OtpM=")</f>
        <v>#VALUE!</v>
      </c>
      <c r="ES303" t="e">
        <f>AND('STERLING CATALOG - FZN &amp; CHILL'!C1369,"AAAAAC6OtpQ=")</f>
        <v>#VALUE!</v>
      </c>
      <c r="ET303" t="e">
        <f>AND('STERLING CATALOG - FZN &amp; CHILL'!D1369,"AAAAAC6OtpU=")</f>
        <v>#VALUE!</v>
      </c>
      <c r="EU303" t="e">
        <f>AND('STERLING CATALOG - FZN &amp; CHILL'!E1369,"AAAAAC6OtpY=")</f>
        <v>#VALUE!</v>
      </c>
      <c r="EV303" t="e">
        <f>AND('STERLING CATALOG - FZN &amp; CHILL'!F1369,"AAAAAC6Otpc=")</f>
        <v>#VALUE!</v>
      </c>
      <c r="EW303" t="e">
        <f>AND('STERLING CATALOG - FZN &amp; CHILL'!G1369,"AAAAAC6Otpg=")</f>
        <v>#VALUE!</v>
      </c>
      <c r="EX303" t="e">
        <f>AND('STERLING CATALOG - FZN &amp; CHILL'!H1369,"AAAAAC6Otpk=")</f>
        <v>#VALUE!</v>
      </c>
      <c r="EY303" t="e">
        <f>AND('STERLING CATALOG - FZN &amp; CHILL'!I1369,"AAAAAC6Otpo=")</f>
        <v>#VALUE!</v>
      </c>
      <c r="EZ303" t="e">
        <f>AND('STERLING CATALOG - FZN &amp; CHILL'!J1369,"AAAAAC6Otps=")</f>
        <v>#VALUE!</v>
      </c>
      <c r="FA303">
        <f>IF('STERLING CATALOG - FZN &amp; CHILL'!1370:1370,"AAAAAC6Otpw=",0)</f>
        <v>0</v>
      </c>
      <c r="FB303" t="e">
        <f>AND('STERLING CATALOG - FZN &amp; CHILL'!A1370,"AAAAAC6Otp0=")</f>
        <v>#VALUE!</v>
      </c>
      <c r="FC303" t="e">
        <f>AND('STERLING CATALOG - FZN &amp; CHILL'!B1370,"AAAAAC6Otp4=")</f>
        <v>#VALUE!</v>
      </c>
      <c r="FD303" t="e">
        <f>AND('STERLING CATALOG - FZN &amp; CHILL'!C1370,"AAAAAC6Otp8=")</f>
        <v>#VALUE!</v>
      </c>
      <c r="FE303" t="e">
        <f>AND('STERLING CATALOG - FZN &amp; CHILL'!D1370,"AAAAAC6OtqA=")</f>
        <v>#VALUE!</v>
      </c>
      <c r="FF303" t="e">
        <f>AND('STERLING CATALOG - FZN &amp; CHILL'!E1370,"AAAAAC6OtqE=")</f>
        <v>#VALUE!</v>
      </c>
      <c r="FG303" t="e">
        <f>AND('STERLING CATALOG - FZN &amp; CHILL'!F1370,"AAAAAC6OtqI=")</f>
        <v>#VALUE!</v>
      </c>
      <c r="FH303" t="e">
        <f>AND('STERLING CATALOG - FZN &amp; CHILL'!G1370,"AAAAAC6OtqM=")</f>
        <v>#VALUE!</v>
      </c>
      <c r="FI303" t="e">
        <f>AND('STERLING CATALOG - FZN &amp; CHILL'!H1370,"AAAAAC6OtqQ=")</f>
        <v>#VALUE!</v>
      </c>
      <c r="FJ303" t="e">
        <f>AND('STERLING CATALOG - FZN &amp; CHILL'!I1370,"AAAAAC6OtqU=")</f>
        <v>#VALUE!</v>
      </c>
      <c r="FK303" t="e">
        <f>AND('STERLING CATALOG - FZN &amp; CHILL'!J1370,"AAAAAC6OtqY=")</f>
        <v>#VALUE!</v>
      </c>
      <c r="FL303">
        <f>IF('STERLING CATALOG - FZN &amp; CHILL'!1371:1371,"AAAAAC6Otqc=",0)</f>
        <v>0</v>
      </c>
      <c r="FM303" t="e">
        <f>AND('STERLING CATALOG - FZN &amp; CHILL'!A1371,"AAAAAC6Otqg=")</f>
        <v>#VALUE!</v>
      </c>
      <c r="FN303" t="e">
        <f>AND('STERLING CATALOG - FZN &amp; CHILL'!B1371,"AAAAAC6Otqk=")</f>
        <v>#VALUE!</v>
      </c>
      <c r="FO303" t="e">
        <f>AND('STERLING CATALOG - FZN &amp; CHILL'!C1371,"AAAAAC6Otqo=")</f>
        <v>#VALUE!</v>
      </c>
      <c r="FP303" t="e">
        <f>AND('STERLING CATALOG - FZN &amp; CHILL'!D1371,"AAAAAC6Otqs=")</f>
        <v>#VALUE!</v>
      </c>
      <c r="FQ303" t="e">
        <f>AND('STERLING CATALOG - FZN &amp; CHILL'!E1371,"AAAAAC6Otqw=")</f>
        <v>#VALUE!</v>
      </c>
      <c r="FR303" t="e">
        <f>AND('STERLING CATALOG - FZN &amp; CHILL'!F1371,"AAAAAC6Otq0=")</f>
        <v>#VALUE!</v>
      </c>
      <c r="FS303" t="e">
        <f>AND('STERLING CATALOG - FZN &amp; CHILL'!G1371,"AAAAAC6Otq4=")</f>
        <v>#VALUE!</v>
      </c>
      <c r="FT303" t="e">
        <f>AND('STERLING CATALOG - FZN &amp; CHILL'!H1371,"AAAAAC6Otq8=")</f>
        <v>#VALUE!</v>
      </c>
      <c r="FU303" t="e">
        <f>AND('STERLING CATALOG - FZN &amp; CHILL'!I1371,"AAAAAC6OtrA=")</f>
        <v>#VALUE!</v>
      </c>
      <c r="FV303" t="e">
        <f>AND('STERLING CATALOG - FZN &amp; CHILL'!J1371,"AAAAAC6OtrE=")</f>
        <v>#VALUE!</v>
      </c>
      <c r="FW303">
        <f>IF('STERLING CATALOG - FZN &amp; CHILL'!1372:1372,"AAAAAC6OtrI=",0)</f>
        <v>0</v>
      </c>
      <c r="FX303" t="e">
        <f>AND('STERLING CATALOG - FZN &amp; CHILL'!A1372,"AAAAAC6OtrM=")</f>
        <v>#VALUE!</v>
      </c>
      <c r="FY303" t="e">
        <f>AND('STERLING CATALOG - FZN &amp; CHILL'!B1372,"AAAAAC6OtrQ=")</f>
        <v>#VALUE!</v>
      </c>
      <c r="FZ303" t="e">
        <f>AND('STERLING CATALOG - FZN &amp; CHILL'!C1372,"AAAAAC6OtrU=")</f>
        <v>#VALUE!</v>
      </c>
      <c r="GA303" t="e">
        <f>AND('STERLING CATALOG - FZN &amp; CHILL'!D1372,"AAAAAC6OtrY=")</f>
        <v>#VALUE!</v>
      </c>
      <c r="GB303" t="e">
        <f>AND('STERLING CATALOG - FZN &amp; CHILL'!E1372,"AAAAAC6Otrc=")</f>
        <v>#VALUE!</v>
      </c>
      <c r="GC303" t="e">
        <f>AND('STERLING CATALOG - FZN &amp; CHILL'!F1372,"AAAAAC6Otrg=")</f>
        <v>#VALUE!</v>
      </c>
      <c r="GD303" t="e">
        <f>AND('STERLING CATALOG - FZN &amp; CHILL'!G1372,"AAAAAC6Otrk=")</f>
        <v>#VALUE!</v>
      </c>
      <c r="GE303" t="e">
        <f>AND('STERLING CATALOG - FZN &amp; CHILL'!H1372,"AAAAAC6Otro=")</f>
        <v>#VALUE!</v>
      </c>
      <c r="GF303" t="e">
        <f>AND('STERLING CATALOG - FZN &amp; CHILL'!I1372,"AAAAAC6Otrs=")</f>
        <v>#VALUE!</v>
      </c>
      <c r="GG303" t="e">
        <f>AND('STERLING CATALOG - FZN &amp; CHILL'!J1372,"AAAAAC6Otrw=")</f>
        <v>#VALUE!</v>
      </c>
      <c r="GH303">
        <f>IF('STERLING CATALOG - FZN &amp; CHILL'!1373:1373,"AAAAAC6Otr0=",0)</f>
        <v>0</v>
      </c>
      <c r="GI303" t="e">
        <f>AND('STERLING CATALOG - FZN &amp; CHILL'!A1373,"AAAAAC6Otr4=")</f>
        <v>#VALUE!</v>
      </c>
      <c r="GJ303" t="e">
        <f>AND('STERLING CATALOG - FZN &amp; CHILL'!B1373,"AAAAAC6Otr8=")</f>
        <v>#VALUE!</v>
      </c>
      <c r="GK303" t="e">
        <f>AND('STERLING CATALOG - FZN &amp; CHILL'!C1373,"AAAAAC6OtsA=")</f>
        <v>#VALUE!</v>
      </c>
      <c r="GL303" t="e">
        <f>AND('STERLING CATALOG - FZN &amp; CHILL'!D1373,"AAAAAC6OtsE=")</f>
        <v>#VALUE!</v>
      </c>
      <c r="GM303" t="e">
        <f>AND('STERLING CATALOG - FZN &amp; CHILL'!E1373,"AAAAAC6OtsI=")</f>
        <v>#VALUE!</v>
      </c>
      <c r="GN303" t="e">
        <f>AND('STERLING CATALOG - FZN &amp; CHILL'!F1373,"AAAAAC6OtsM=")</f>
        <v>#VALUE!</v>
      </c>
      <c r="GO303" t="e">
        <f>AND('STERLING CATALOG - FZN &amp; CHILL'!G1373,"AAAAAC6OtsQ=")</f>
        <v>#VALUE!</v>
      </c>
      <c r="GP303" t="e">
        <f>AND('STERLING CATALOG - FZN &amp; CHILL'!H1373,"AAAAAC6OtsU=")</f>
        <v>#VALUE!</v>
      </c>
      <c r="GQ303" t="e">
        <f>AND('STERLING CATALOG - FZN &amp; CHILL'!I1373,"AAAAAC6OtsY=")</f>
        <v>#VALUE!</v>
      </c>
      <c r="GR303" t="e">
        <f>AND('STERLING CATALOG - FZN &amp; CHILL'!J1373,"AAAAAC6Otsc=")</f>
        <v>#VALUE!</v>
      </c>
      <c r="GS303">
        <f>IF('STERLING CATALOG - FZN &amp; CHILL'!1374:1374,"AAAAAC6Otsg=",0)</f>
        <v>0</v>
      </c>
      <c r="GT303" t="e">
        <f>AND('STERLING CATALOG - FZN &amp; CHILL'!A1374,"AAAAAC6Otsk=")</f>
        <v>#VALUE!</v>
      </c>
      <c r="GU303" t="e">
        <f>AND('STERLING CATALOG - FZN &amp; CHILL'!B1374,"AAAAAC6Otso=")</f>
        <v>#VALUE!</v>
      </c>
      <c r="GV303" t="e">
        <f>AND('STERLING CATALOG - FZN &amp; CHILL'!C1374,"AAAAAC6Otss=")</f>
        <v>#VALUE!</v>
      </c>
      <c r="GW303" t="e">
        <f>AND('STERLING CATALOG - FZN &amp; CHILL'!D1374,"AAAAAC6Otsw=")</f>
        <v>#VALUE!</v>
      </c>
      <c r="GX303" t="e">
        <f>AND('STERLING CATALOG - FZN &amp; CHILL'!E1374,"AAAAAC6Ots0=")</f>
        <v>#VALUE!</v>
      </c>
      <c r="GY303" t="e">
        <f>AND('STERLING CATALOG - FZN &amp; CHILL'!F1374,"AAAAAC6Ots4=")</f>
        <v>#VALUE!</v>
      </c>
      <c r="GZ303" t="e">
        <f>AND('STERLING CATALOG - FZN &amp; CHILL'!G1374,"AAAAAC6Ots8=")</f>
        <v>#VALUE!</v>
      </c>
      <c r="HA303" t="e">
        <f>AND('STERLING CATALOG - FZN &amp; CHILL'!H1374,"AAAAAC6OttA=")</f>
        <v>#VALUE!</v>
      </c>
      <c r="HB303" t="e">
        <f>AND('STERLING CATALOG - FZN &amp; CHILL'!I1374,"AAAAAC6OttE=")</f>
        <v>#VALUE!</v>
      </c>
      <c r="HC303" t="e">
        <f>AND('STERLING CATALOG - FZN &amp; CHILL'!J1374,"AAAAAC6OttI=")</f>
        <v>#VALUE!</v>
      </c>
      <c r="HD303">
        <f>IF('STERLING CATALOG - FZN &amp; CHILL'!1375:1375,"AAAAAC6OttM=",0)</f>
        <v>0</v>
      </c>
      <c r="HE303" t="e">
        <f>AND('STERLING CATALOG - FZN &amp; CHILL'!A1375,"AAAAAC6OttQ=")</f>
        <v>#VALUE!</v>
      </c>
      <c r="HF303" t="e">
        <f>AND('STERLING CATALOG - FZN &amp; CHILL'!B1375,"AAAAAC6OttU=")</f>
        <v>#VALUE!</v>
      </c>
      <c r="HG303" t="e">
        <f>AND('STERLING CATALOG - FZN &amp; CHILL'!C1375,"AAAAAC6OttY=")</f>
        <v>#VALUE!</v>
      </c>
      <c r="HH303" t="e">
        <f>AND('STERLING CATALOG - FZN &amp; CHILL'!D1375,"AAAAAC6Ottc=")</f>
        <v>#VALUE!</v>
      </c>
      <c r="HI303" t="e">
        <f>AND('STERLING CATALOG - FZN &amp; CHILL'!E1375,"AAAAAC6Ottg=")</f>
        <v>#VALUE!</v>
      </c>
      <c r="HJ303" t="e">
        <f>AND('STERLING CATALOG - FZN &amp; CHILL'!F1375,"AAAAAC6Ottk=")</f>
        <v>#VALUE!</v>
      </c>
      <c r="HK303" t="e">
        <f>AND('STERLING CATALOG - FZN &amp; CHILL'!G1375,"AAAAAC6Otto=")</f>
        <v>#VALUE!</v>
      </c>
      <c r="HL303" t="e">
        <f>AND('STERLING CATALOG - FZN &amp; CHILL'!H1375,"AAAAAC6Otts=")</f>
        <v>#VALUE!</v>
      </c>
      <c r="HM303" t="e">
        <f>AND('STERLING CATALOG - FZN &amp; CHILL'!I1375,"AAAAAC6Ottw=")</f>
        <v>#VALUE!</v>
      </c>
      <c r="HN303" t="e">
        <f>AND('STERLING CATALOG - FZN &amp; CHILL'!J1375,"AAAAAC6Ott0=")</f>
        <v>#VALUE!</v>
      </c>
      <c r="HO303">
        <f>IF('STERLING CATALOG - FZN &amp; CHILL'!1376:1376,"AAAAAC6Ott4=",0)</f>
        <v>0</v>
      </c>
      <c r="HP303" t="e">
        <f>AND('STERLING CATALOG - FZN &amp; CHILL'!A1376,"AAAAAC6Ott8=")</f>
        <v>#VALUE!</v>
      </c>
      <c r="HQ303" t="e">
        <f>AND('STERLING CATALOG - FZN &amp; CHILL'!B1376,"AAAAAC6OtuA=")</f>
        <v>#VALUE!</v>
      </c>
      <c r="HR303" t="e">
        <f>AND('STERLING CATALOG - FZN &amp; CHILL'!C1376,"AAAAAC6OtuE=")</f>
        <v>#VALUE!</v>
      </c>
      <c r="HS303" t="e">
        <f>AND('STERLING CATALOG - FZN &amp; CHILL'!D1376,"AAAAAC6OtuI=")</f>
        <v>#VALUE!</v>
      </c>
      <c r="HT303" t="e">
        <f>AND('STERLING CATALOG - FZN &amp; CHILL'!E1376,"AAAAAC6OtuM=")</f>
        <v>#VALUE!</v>
      </c>
      <c r="HU303" t="e">
        <f>AND('STERLING CATALOG - FZN &amp; CHILL'!F1376,"AAAAAC6OtuQ=")</f>
        <v>#VALUE!</v>
      </c>
      <c r="HV303" t="e">
        <f>AND('STERLING CATALOG - FZN &amp; CHILL'!G1376,"AAAAAC6OtuU=")</f>
        <v>#VALUE!</v>
      </c>
      <c r="HW303" t="e">
        <f>AND('STERLING CATALOG - FZN &amp; CHILL'!H1376,"AAAAAC6OtuY=")</f>
        <v>#VALUE!</v>
      </c>
      <c r="HX303" t="e">
        <f>AND('STERLING CATALOG - FZN &amp; CHILL'!I1376,"AAAAAC6Otuc=")</f>
        <v>#VALUE!</v>
      </c>
      <c r="HY303" t="e">
        <f>AND('STERLING CATALOG - FZN &amp; CHILL'!J1376,"AAAAAC6Otug=")</f>
        <v>#VALUE!</v>
      </c>
      <c r="HZ303">
        <f>IF('STERLING CATALOG - FZN &amp; CHILL'!1377:1377,"AAAAAC6Otuk=",0)</f>
        <v>0</v>
      </c>
      <c r="IA303" t="e">
        <f>AND('STERLING CATALOG - FZN &amp; CHILL'!A1377,"AAAAAC6Otuo=")</f>
        <v>#VALUE!</v>
      </c>
      <c r="IB303" t="e">
        <f>AND('STERLING CATALOG - FZN &amp; CHILL'!B1377,"AAAAAC6Otus=")</f>
        <v>#VALUE!</v>
      </c>
      <c r="IC303" t="e">
        <f>AND('STERLING CATALOG - FZN &amp; CHILL'!C1377,"AAAAAC6Otuw=")</f>
        <v>#VALUE!</v>
      </c>
      <c r="ID303" t="e">
        <f>AND('STERLING CATALOG - FZN &amp; CHILL'!D1377,"AAAAAC6Otu0=")</f>
        <v>#VALUE!</v>
      </c>
      <c r="IE303" t="e">
        <f>AND('STERLING CATALOG - FZN &amp; CHILL'!E1377,"AAAAAC6Otu4=")</f>
        <v>#VALUE!</v>
      </c>
      <c r="IF303" t="e">
        <f>AND('STERLING CATALOG - FZN &amp; CHILL'!F1377,"AAAAAC6Otu8=")</f>
        <v>#VALUE!</v>
      </c>
      <c r="IG303" t="e">
        <f>AND('STERLING CATALOG - FZN &amp; CHILL'!G1377,"AAAAAC6OtvA=")</f>
        <v>#VALUE!</v>
      </c>
      <c r="IH303" t="e">
        <f>AND('STERLING CATALOG - FZN &amp; CHILL'!H1377,"AAAAAC6OtvE=")</f>
        <v>#VALUE!</v>
      </c>
      <c r="II303" t="e">
        <f>AND('STERLING CATALOG - FZN &amp; CHILL'!I1377,"AAAAAC6OtvI=")</f>
        <v>#VALUE!</v>
      </c>
      <c r="IJ303" t="e">
        <f>AND('STERLING CATALOG - FZN &amp; CHILL'!J1377,"AAAAAC6OtvM=")</f>
        <v>#VALUE!</v>
      </c>
      <c r="IK303">
        <f>IF('STERLING CATALOG - FZN &amp; CHILL'!1378:1378,"AAAAAC6OtvQ=",0)</f>
        <v>0</v>
      </c>
      <c r="IL303" t="e">
        <f>AND('STERLING CATALOG - FZN &amp; CHILL'!A1378,"AAAAAC6OtvU=")</f>
        <v>#VALUE!</v>
      </c>
      <c r="IM303" t="e">
        <f>AND('STERLING CATALOG - FZN &amp; CHILL'!B1378,"AAAAAC6OtvY=")</f>
        <v>#VALUE!</v>
      </c>
      <c r="IN303" t="e">
        <f>AND('STERLING CATALOG - FZN &amp; CHILL'!C1378,"AAAAAC6Otvc=")</f>
        <v>#VALUE!</v>
      </c>
      <c r="IO303" t="e">
        <f>AND('STERLING CATALOG - FZN &amp; CHILL'!D1378,"AAAAAC6Otvg=")</f>
        <v>#VALUE!</v>
      </c>
      <c r="IP303" t="e">
        <f>AND('STERLING CATALOG - FZN &amp; CHILL'!E1378,"AAAAAC6Otvk=")</f>
        <v>#VALUE!</v>
      </c>
      <c r="IQ303" t="e">
        <f>AND('STERLING CATALOG - FZN &amp; CHILL'!F1378,"AAAAAC6Otvo=")</f>
        <v>#VALUE!</v>
      </c>
      <c r="IR303" t="e">
        <f>AND('STERLING CATALOG - FZN &amp; CHILL'!G1378,"AAAAAC6Otvs=")</f>
        <v>#VALUE!</v>
      </c>
      <c r="IS303" t="e">
        <f>AND('STERLING CATALOG - FZN &amp; CHILL'!H1378,"AAAAAC6Otvw=")</f>
        <v>#VALUE!</v>
      </c>
      <c r="IT303" t="e">
        <f>AND('STERLING CATALOG - FZN &amp; CHILL'!I1378,"AAAAAC6Otv0=")</f>
        <v>#VALUE!</v>
      </c>
      <c r="IU303" t="e">
        <f>AND('STERLING CATALOG - FZN &amp; CHILL'!J1378,"AAAAAC6Otv4=")</f>
        <v>#VALUE!</v>
      </c>
      <c r="IV303">
        <f>IF('STERLING CATALOG - FZN &amp; CHILL'!1379:1379,"AAAAAC6Otv8=",0)</f>
        <v>0</v>
      </c>
    </row>
    <row r="304" spans="1:256">
      <c r="A304" t="e">
        <f>AND('STERLING CATALOG - FZN &amp; CHILL'!A1379,"AAAAAD7frgA=")</f>
        <v>#VALUE!</v>
      </c>
      <c r="B304" t="e">
        <f>AND('STERLING CATALOG - FZN &amp; CHILL'!B1379,"AAAAAD7frgE=")</f>
        <v>#VALUE!</v>
      </c>
      <c r="C304" t="e">
        <f>AND('STERLING CATALOG - FZN &amp; CHILL'!C1379,"AAAAAD7frgI=")</f>
        <v>#VALUE!</v>
      </c>
      <c r="D304" t="e">
        <f>AND('STERLING CATALOG - FZN &amp; CHILL'!D1379,"AAAAAD7frgM=")</f>
        <v>#VALUE!</v>
      </c>
      <c r="E304" t="e">
        <f>AND('STERLING CATALOG - FZN &amp; CHILL'!E1379,"AAAAAD7frgQ=")</f>
        <v>#VALUE!</v>
      </c>
      <c r="F304" t="e">
        <f>AND('STERLING CATALOG - FZN &amp; CHILL'!F1379,"AAAAAD7frgU=")</f>
        <v>#VALUE!</v>
      </c>
      <c r="G304" t="e">
        <f>AND('STERLING CATALOG - FZN &amp; CHILL'!G1379,"AAAAAD7frgY=")</f>
        <v>#VALUE!</v>
      </c>
      <c r="H304" t="e">
        <f>AND('STERLING CATALOG - FZN &amp; CHILL'!H1379,"AAAAAD7frgc=")</f>
        <v>#VALUE!</v>
      </c>
      <c r="I304" t="e">
        <f>AND('STERLING CATALOG - FZN &amp; CHILL'!I1379,"AAAAAD7frgg=")</f>
        <v>#VALUE!</v>
      </c>
      <c r="J304" t="e">
        <f>AND('STERLING CATALOG - FZN &amp; CHILL'!J1379,"AAAAAD7frgk=")</f>
        <v>#VALUE!</v>
      </c>
      <c r="K304">
        <f>IF('STERLING CATALOG - FZN &amp; CHILL'!1380:1380,"AAAAAD7frgo=",0)</f>
        <v>0</v>
      </c>
      <c r="L304" t="e">
        <f>AND('STERLING CATALOG - FZN &amp; CHILL'!A1380,"AAAAAD7frgs=")</f>
        <v>#VALUE!</v>
      </c>
      <c r="M304" t="e">
        <f>AND('STERLING CATALOG - FZN &amp; CHILL'!B1380,"AAAAAD7frgw=")</f>
        <v>#VALUE!</v>
      </c>
      <c r="N304" t="e">
        <f>AND('STERLING CATALOG - FZN &amp; CHILL'!C1380,"AAAAAD7frg0=")</f>
        <v>#VALUE!</v>
      </c>
      <c r="O304" t="e">
        <f>AND('STERLING CATALOG - FZN &amp; CHILL'!D1380,"AAAAAD7frg4=")</f>
        <v>#VALUE!</v>
      </c>
      <c r="P304" t="e">
        <f>AND('STERLING CATALOG - FZN &amp; CHILL'!E1380,"AAAAAD7frg8=")</f>
        <v>#VALUE!</v>
      </c>
      <c r="Q304" t="e">
        <f>AND('STERLING CATALOG - FZN &amp; CHILL'!F1380,"AAAAAD7frhA=")</f>
        <v>#VALUE!</v>
      </c>
      <c r="R304" t="e">
        <f>AND('STERLING CATALOG - FZN &amp; CHILL'!G1380,"AAAAAD7frhE=")</f>
        <v>#VALUE!</v>
      </c>
      <c r="S304" t="e">
        <f>AND('STERLING CATALOG - FZN &amp; CHILL'!H1380,"AAAAAD7frhI=")</f>
        <v>#VALUE!</v>
      </c>
      <c r="T304" t="e">
        <f>AND('STERLING CATALOG - FZN &amp; CHILL'!I1380,"AAAAAD7frhM=")</f>
        <v>#VALUE!</v>
      </c>
      <c r="U304" t="e">
        <f>AND('STERLING CATALOG - FZN &amp; CHILL'!J1380,"AAAAAD7frhQ=")</f>
        <v>#VALUE!</v>
      </c>
      <c r="V304">
        <f>IF('STERLING CATALOG - FZN &amp; CHILL'!1381:1381,"AAAAAD7frhU=",0)</f>
        <v>0</v>
      </c>
      <c r="W304" t="e">
        <f>AND('STERLING CATALOG - FZN &amp; CHILL'!A1381,"AAAAAD7frhY=")</f>
        <v>#VALUE!</v>
      </c>
      <c r="X304" t="e">
        <f>AND('STERLING CATALOG - FZN &amp; CHILL'!B1381,"AAAAAD7frhc=")</f>
        <v>#VALUE!</v>
      </c>
      <c r="Y304" t="e">
        <f>AND('STERLING CATALOG - FZN &amp; CHILL'!C1381,"AAAAAD7frhg=")</f>
        <v>#VALUE!</v>
      </c>
      <c r="Z304" t="e">
        <f>AND('STERLING CATALOG - FZN &amp; CHILL'!D1381,"AAAAAD7frhk=")</f>
        <v>#VALUE!</v>
      </c>
      <c r="AA304" t="e">
        <f>AND('STERLING CATALOG - FZN &amp; CHILL'!E1381,"AAAAAD7frho=")</f>
        <v>#VALUE!</v>
      </c>
      <c r="AB304" t="e">
        <f>AND('STERLING CATALOG - FZN &amp; CHILL'!F1381,"AAAAAD7frhs=")</f>
        <v>#VALUE!</v>
      </c>
      <c r="AC304" t="e">
        <f>AND('STERLING CATALOG - FZN &amp; CHILL'!G1381,"AAAAAD7frhw=")</f>
        <v>#VALUE!</v>
      </c>
      <c r="AD304" t="e">
        <f>AND('STERLING CATALOG - FZN &amp; CHILL'!H1381,"AAAAAD7frh0=")</f>
        <v>#VALUE!</v>
      </c>
      <c r="AE304" t="e">
        <f>AND('STERLING CATALOG - FZN &amp; CHILL'!I1381,"AAAAAD7frh4=")</f>
        <v>#VALUE!</v>
      </c>
      <c r="AF304" t="e">
        <f>AND('STERLING CATALOG - FZN &amp; CHILL'!J1381,"AAAAAD7frh8=")</f>
        <v>#VALUE!</v>
      </c>
      <c r="AG304">
        <f>IF('STERLING CATALOG - FZN &amp; CHILL'!1382:1382,"AAAAAD7friA=",0)</f>
        <v>0</v>
      </c>
      <c r="AH304" t="e">
        <f>AND('STERLING CATALOG - FZN &amp; CHILL'!A1382,"AAAAAD7friE=")</f>
        <v>#VALUE!</v>
      </c>
      <c r="AI304" t="e">
        <f>AND('STERLING CATALOG - FZN &amp; CHILL'!B1382,"AAAAAD7friI=")</f>
        <v>#VALUE!</v>
      </c>
      <c r="AJ304" t="e">
        <f>AND('STERLING CATALOG - FZN &amp; CHILL'!C1382,"AAAAAD7friM=")</f>
        <v>#VALUE!</v>
      </c>
      <c r="AK304" t="e">
        <f>AND('STERLING CATALOG - FZN &amp; CHILL'!D1382,"AAAAAD7friQ=")</f>
        <v>#VALUE!</v>
      </c>
      <c r="AL304" t="e">
        <f>AND('STERLING CATALOG - FZN &amp; CHILL'!E1382,"AAAAAD7friU=")</f>
        <v>#VALUE!</v>
      </c>
      <c r="AM304" t="e">
        <f>AND('STERLING CATALOG - FZN &amp; CHILL'!F1382,"AAAAAD7friY=")</f>
        <v>#VALUE!</v>
      </c>
      <c r="AN304" t="e">
        <f>AND('STERLING CATALOG - FZN &amp; CHILL'!G1382,"AAAAAD7fric=")</f>
        <v>#VALUE!</v>
      </c>
      <c r="AO304" t="e">
        <f>AND('STERLING CATALOG - FZN &amp; CHILL'!H1382,"AAAAAD7frig=")</f>
        <v>#VALUE!</v>
      </c>
      <c r="AP304" t="e">
        <f>AND('STERLING CATALOG - FZN &amp; CHILL'!I1382,"AAAAAD7frik=")</f>
        <v>#VALUE!</v>
      </c>
      <c r="AQ304" t="e">
        <f>AND('STERLING CATALOG - FZN &amp; CHILL'!J1382,"AAAAAD7frio=")</f>
        <v>#VALUE!</v>
      </c>
      <c r="AR304">
        <f>IF('STERLING CATALOG - FZN &amp; CHILL'!1383:1383,"AAAAAD7fris=",0)</f>
        <v>0</v>
      </c>
      <c r="AS304" t="e">
        <f>AND('STERLING CATALOG - FZN &amp; CHILL'!A1383,"AAAAAD7friw=")</f>
        <v>#VALUE!</v>
      </c>
      <c r="AT304" t="e">
        <f>AND('STERLING CATALOG - FZN &amp; CHILL'!B1383,"AAAAAD7fri0=")</f>
        <v>#VALUE!</v>
      </c>
      <c r="AU304" t="e">
        <f>AND('STERLING CATALOG - FZN &amp; CHILL'!C1383,"AAAAAD7fri4=")</f>
        <v>#VALUE!</v>
      </c>
      <c r="AV304" t="e">
        <f>AND('STERLING CATALOG - FZN &amp; CHILL'!D1383,"AAAAAD7fri8=")</f>
        <v>#VALUE!</v>
      </c>
      <c r="AW304" t="e">
        <f>AND('STERLING CATALOG - FZN &amp; CHILL'!E1383,"AAAAAD7frjA=")</f>
        <v>#VALUE!</v>
      </c>
      <c r="AX304" t="e">
        <f>AND('STERLING CATALOG - FZN &amp; CHILL'!F1383,"AAAAAD7frjE=")</f>
        <v>#VALUE!</v>
      </c>
      <c r="AY304" t="e">
        <f>AND('STERLING CATALOG - FZN &amp; CHILL'!G1383,"AAAAAD7frjI=")</f>
        <v>#VALUE!</v>
      </c>
      <c r="AZ304" t="e">
        <f>AND('STERLING CATALOG - FZN &amp; CHILL'!H1383,"AAAAAD7frjM=")</f>
        <v>#VALUE!</v>
      </c>
      <c r="BA304" t="e">
        <f>AND('STERLING CATALOG - FZN &amp; CHILL'!I1383,"AAAAAD7frjQ=")</f>
        <v>#VALUE!</v>
      </c>
      <c r="BB304" t="e">
        <f>AND('STERLING CATALOG - FZN &amp; CHILL'!J1383,"AAAAAD7frjU=")</f>
        <v>#VALUE!</v>
      </c>
      <c r="BC304">
        <f>IF('STERLING CATALOG - FZN &amp; CHILL'!1384:1384,"AAAAAD7frjY=",0)</f>
        <v>0</v>
      </c>
      <c r="BD304" t="e">
        <f>AND('STERLING CATALOG - FZN &amp; CHILL'!A1384,"AAAAAD7frjc=")</f>
        <v>#VALUE!</v>
      </c>
      <c r="BE304" t="e">
        <f>AND('STERLING CATALOG - FZN &amp; CHILL'!B1384,"AAAAAD7frjg=")</f>
        <v>#VALUE!</v>
      </c>
      <c r="BF304" t="e">
        <f>AND('STERLING CATALOG - FZN &amp; CHILL'!C1384,"AAAAAD7frjk=")</f>
        <v>#VALUE!</v>
      </c>
      <c r="BG304" t="e">
        <f>AND('STERLING CATALOG - FZN &amp; CHILL'!D1384,"AAAAAD7frjo=")</f>
        <v>#VALUE!</v>
      </c>
      <c r="BH304" t="e">
        <f>AND('STERLING CATALOG - FZN &amp; CHILL'!E1384,"AAAAAD7frjs=")</f>
        <v>#VALUE!</v>
      </c>
      <c r="BI304" t="e">
        <f>AND('STERLING CATALOG - FZN &amp; CHILL'!F1384,"AAAAAD7frjw=")</f>
        <v>#VALUE!</v>
      </c>
      <c r="BJ304" t="e">
        <f>AND('STERLING CATALOG - FZN &amp; CHILL'!G1384,"AAAAAD7frj0=")</f>
        <v>#VALUE!</v>
      </c>
      <c r="BK304" t="e">
        <f>AND('STERLING CATALOG - FZN &amp; CHILL'!H1384,"AAAAAD7frj4=")</f>
        <v>#VALUE!</v>
      </c>
      <c r="BL304" t="e">
        <f>AND('STERLING CATALOG - FZN &amp; CHILL'!I1384,"AAAAAD7frj8=")</f>
        <v>#VALUE!</v>
      </c>
      <c r="BM304" t="e">
        <f>AND('STERLING CATALOG - FZN &amp; CHILL'!J1384,"AAAAAD7frkA=")</f>
        <v>#VALUE!</v>
      </c>
      <c r="BN304">
        <f>IF('STERLING CATALOG - FZN &amp; CHILL'!1385:1385,"AAAAAD7frkE=",0)</f>
        <v>0</v>
      </c>
      <c r="BO304" t="e">
        <f>AND('STERLING CATALOG - FZN &amp; CHILL'!A1385,"AAAAAD7frkI=")</f>
        <v>#VALUE!</v>
      </c>
      <c r="BP304" t="e">
        <f>AND('STERLING CATALOG - FZN &amp; CHILL'!B1385,"AAAAAD7frkM=")</f>
        <v>#VALUE!</v>
      </c>
      <c r="BQ304" t="e">
        <f>AND('STERLING CATALOG - FZN &amp; CHILL'!C1385,"AAAAAD7frkQ=")</f>
        <v>#VALUE!</v>
      </c>
      <c r="BR304" t="e">
        <f>AND('STERLING CATALOG - FZN &amp; CHILL'!D1385,"AAAAAD7frkU=")</f>
        <v>#VALUE!</v>
      </c>
      <c r="BS304" t="e">
        <f>AND('STERLING CATALOG - FZN &amp; CHILL'!E1385,"AAAAAD7frkY=")</f>
        <v>#VALUE!</v>
      </c>
      <c r="BT304" t="e">
        <f>AND('STERLING CATALOG - FZN &amp; CHILL'!F1385,"AAAAAD7frkc=")</f>
        <v>#VALUE!</v>
      </c>
      <c r="BU304" t="e">
        <f>AND('STERLING CATALOG - FZN &amp; CHILL'!G1385,"AAAAAD7frkg=")</f>
        <v>#VALUE!</v>
      </c>
      <c r="BV304" t="e">
        <f>AND('STERLING CATALOG - FZN &amp; CHILL'!H1385,"AAAAAD7frkk=")</f>
        <v>#VALUE!</v>
      </c>
      <c r="BW304" t="e">
        <f>AND('STERLING CATALOG - FZN &amp; CHILL'!I1385,"AAAAAD7frko=")</f>
        <v>#VALUE!</v>
      </c>
      <c r="BX304" t="e">
        <f>AND('STERLING CATALOG - FZN &amp; CHILL'!J1385,"AAAAAD7frks=")</f>
        <v>#VALUE!</v>
      </c>
      <c r="BY304">
        <f>IF('STERLING CATALOG - FZN &amp; CHILL'!1386:1386,"AAAAAD7frkw=",0)</f>
        <v>0</v>
      </c>
      <c r="BZ304" t="e">
        <f>AND('STERLING CATALOG - FZN &amp; CHILL'!A1386,"AAAAAD7frk0=")</f>
        <v>#VALUE!</v>
      </c>
      <c r="CA304" t="e">
        <f>AND('STERLING CATALOG - FZN &amp; CHILL'!B1386,"AAAAAD7frk4=")</f>
        <v>#VALUE!</v>
      </c>
      <c r="CB304" t="e">
        <f>AND('STERLING CATALOG - FZN &amp; CHILL'!C1386,"AAAAAD7frk8=")</f>
        <v>#VALUE!</v>
      </c>
      <c r="CC304" t="e">
        <f>AND('STERLING CATALOG - FZN &amp; CHILL'!D1386,"AAAAAD7frlA=")</f>
        <v>#VALUE!</v>
      </c>
      <c r="CD304" t="e">
        <f>AND('STERLING CATALOG - FZN &amp; CHILL'!E1386,"AAAAAD7frlE=")</f>
        <v>#VALUE!</v>
      </c>
      <c r="CE304" t="e">
        <f>AND('STERLING CATALOG - FZN &amp; CHILL'!F1386,"AAAAAD7frlI=")</f>
        <v>#VALUE!</v>
      </c>
      <c r="CF304" t="e">
        <f>AND('STERLING CATALOG - FZN &amp; CHILL'!G1386,"AAAAAD7frlM=")</f>
        <v>#VALUE!</v>
      </c>
      <c r="CG304" t="e">
        <f>AND('STERLING CATALOG - FZN &amp; CHILL'!H1386,"AAAAAD7frlQ=")</f>
        <v>#VALUE!</v>
      </c>
      <c r="CH304" t="e">
        <f>AND('STERLING CATALOG - FZN &amp; CHILL'!I1386,"AAAAAD7frlU=")</f>
        <v>#VALUE!</v>
      </c>
      <c r="CI304" t="e">
        <f>AND('STERLING CATALOG - FZN &amp; CHILL'!J1386,"AAAAAD7frlY=")</f>
        <v>#VALUE!</v>
      </c>
      <c r="CJ304">
        <f>IF('STERLING CATALOG - FZN &amp; CHILL'!1387:1387,"AAAAAD7frlc=",0)</f>
        <v>0</v>
      </c>
      <c r="CK304" t="e">
        <f>AND('STERLING CATALOG - FZN &amp; CHILL'!A1387,"AAAAAD7frlg=")</f>
        <v>#VALUE!</v>
      </c>
      <c r="CL304" t="e">
        <f>AND('STERLING CATALOG - FZN &amp; CHILL'!B1387,"AAAAAD7frlk=")</f>
        <v>#VALUE!</v>
      </c>
      <c r="CM304" t="e">
        <f>AND('STERLING CATALOG - FZN &amp; CHILL'!C1387,"AAAAAD7frlo=")</f>
        <v>#VALUE!</v>
      </c>
      <c r="CN304" t="e">
        <f>AND('STERLING CATALOG - FZN &amp; CHILL'!D1387,"AAAAAD7frls=")</f>
        <v>#VALUE!</v>
      </c>
      <c r="CO304" t="e">
        <f>AND('STERLING CATALOG - FZN &amp; CHILL'!E1387,"AAAAAD7frlw=")</f>
        <v>#VALUE!</v>
      </c>
      <c r="CP304" t="e">
        <f>AND('STERLING CATALOG - FZN &amp; CHILL'!F1387,"AAAAAD7frl0=")</f>
        <v>#VALUE!</v>
      </c>
      <c r="CQ304" t="e">
        <f>AND('STERLING CATALOG - FZN &amp; CHILL'!G1387,"AAAAAD7frl4=")</f>
        <v>#VALUE!</v>
      </c>
      <c r="CR304" t="e">
        <f>AND('STERLING CATALOG - FZN &amp; CHILL'!H1387,"AAAAAD7frl8=")</f>
        <v>#VALUE!</v>
      </c>
      <c r="CS304" t="e">
        <f>AND('STERLING CATALOG - FZN &amp; CHILL'!I1387,"AAAAAD7frmA=")</f>
        <v>#VALUE!</v>
      </c>
      <c r="CT304" t="e">
        <f>AND('STERLING CATALOG - FZN &amp; CHILL'!J1387,"AAAAAD7frmE=")</f>
        <v>#VALUE!</v>
      </c>
      <c r="CU304">
        <f>IF('STERLING CATALOG - FZN &amp; CHILL'!1388:1388,"AAAAAD7frmI=",0)</f>
        <v>0</v>
      </c>
      <c r="CV304" t="e">
        <f>AND('STERLING CATALOG - FZN &amp; CHILL'!A1388,"AAAAAD7frmM=")</f>
        <v>#VALUE!</v>
      </c>
      <c r="CW304" t="e">
        <f>AND('STERLING CATALOG - FZN &amp; CHILL'!B1388,"AAAAAD7frmQ=")</f>
        <v>#VALUE!</v>
      </c>
      <c r="CX304" t="e">
        <f>AND('STERLING CATALOG - FZN &amp; CHILL'!C1388,"AAAAAD7frmU=")</f>
        <v>#VALUE!</v>
      </c>
      <c r="CY304" t="e">
        <f>AND('STERLING CATALOG - FZN &amp; CHILL'!D1388,"AAAAAD7frmY=")</f>
        <v>#VALUE!</v>
      </c>
      <c r="CZ304" t="e">
        <f>AND('STERLING CATALOG - FZN &amp; CHILL'!E1388,"AAAAAD7frmc=")</f>
        <v>#VALUE!</v>
      </c>
      <c r="DA304" t="e">
        <f>AND('STERLING CATALOG - FZN &amp; CHILL'!F1388,"AAAAAD7frmg=")</f>
        <v>#VALUE!</v>
      </c>
      <c r="DB304" t="e">
        <f>AND('STERLING CATALOG - FZN &amp; CHILL'!G1388,"AAAAAD7frmk=")</f>
        <v>#VALUE!</v>
      </c>
      <c r="DC304" t="e">
        <f>AND('STERLING CATALOG - FZN &amp; CHILL'!H1388,"AAAAAD7frmo=")</f>
        <v>#VALUE!</v>
      </c>
      <c r="DD304" t="e">
        <f>AND('STERLING CATALOG - FZN &amp; CHILL'!I1388,"AAAAAD7frms=")</f>
        <v>#VALUE!</v>
      </c>
      <c r="DE304" t="e">
        <f>AND('STERLING CATALOG - FZN &amp; CHILL'!J1388,"AAAAAD7frmw=")</f>
        <v>#VALUE!</v>
      </c>
      <c r="DF304">
        <f>IF('STERLING CATALOG - FZN &amp; CHILL'!1389:1389,"AAAAAD7frm0=",0)</f>
        <v>0</v>
      </c>
      <c r="DG304" t="e">
        <f>AND('STERLING CATALOG - FZN &amp; CHILL'!A1389,"AAAAAD7frm4=")</f>
        <v>#VALUE!</v>
      </c>
      <c r="DH304" t="e">
        <f>AND('STERLING CATALOG - FZN &amp; CHILL'!B1389,"AAAAAD7frm8=")</f>
        <v>#VALUE!</v>
      </c>
      <c r="DI304" t="e">
        <f>AND('STERLING CATALOG - FZN &amp; CHILL'!C1389,"AAAAAD7frnA=")</f>
        <v>#VALUE!</v>
      </c>
      <c r="DJ304" t="e">
        <f>AND('STERLING CATALOG - FZN &amp; CHILL'!D1389,"AAAAAD7frnE=")</f>
        <v>#VALUE!</v>
      </c>
      <c r="DK304" t="e">
        <f>AND('STERLING CATALOG - FZN &amp; CHILL'!E1389,"AAAAAD7frnI=")</f>
        <v>#VALUE!</v>
      </c>
      <c r="DL304" t="e">
        <f>AND('STERLING CATALOG - FZN &amp; CHILL'!F1389,"AAAAAD7frnM=")</f>
        <v>#VALUE!</v>
      </c>
      <c r="DM304" t="e">
        <f>AND('STERLING CATALOG - FZN &amp; CHILL'!G1389,"AAAAAD7frnQ=")</f>
        <v>#VALUE!</v>
      </c>
      <c r="DN304" t="e">
        <f>AND('STERLING CATALOG - FZN &amp; CHILL'!H1389,"AAAAAD7frnU=")</f>
        <v>#VALUE!</v>
      </c>
      <c r="DO304" t="e">
        <f>AND('STERLING CATALOG - FZN &amp; CHILL'!I1389,"AAAAAD7frnY=")</f>
        <v>#VALUE!</v>
      </c>
      <c r="DP304" t="e">
        <f>AND('STERLING CATALOG - FZN &amp; CHILL'!J1389,"AAAAAD7frnc=")</f>
        <v>#VALUE!</v>
      </c>
      <c r="DQ304">
        <f>IF('STERLING CATALOG - FZN &amp; CHILL'!1390:1390,"AAAAAD7frng=",0)</f>
        <v>0</v>
      </c>
      <c r="DR304" t="e">
        <f>AND('STERLING CATALOG - FZN &amp; CHILL'!A1390,"AAAAAD7frnk=")</f>
        <v>#VALUE!</v>
      </c>
      <c r="DS304" t="e">
        <f>AND('STERLING CATALOG - FZN &amp; CHILL'!B1390,"AAAAAD7frno=")</f>
        <v>#VALUE!</v>
      </c>
      <c r="DT304" t="e">
        <f>AND('STERLING CATALOG - FZN &amp; CHILL'!C1390,"AAAAAD7frns=")</f>
        <v>#VALUE!</v>
      </c>
      <c r="DU304" t="e">
        <f>AND('STERLING CATALOG - FZN &amp; CHILL'!D1390,"AAAAAD7frnw=")</f>
        <v>#VALUE!</v>
      </c>
      <c r="DV304" t="e">
        <f>AND('STERLING CATALOG - FZN &amp; CHILL'!E1390,"AAAAAD7frn0=")</f>
        <v>#VALUE!</v>
      </c>
      <c r="DW304" t="e">
        <f>AND('STERLING CATALOG - FZN &amp; CHILL'!F1390,"AAAAAD7frn4=")</f>
        <v>#VALUE!</v>
      </c>
      <c r="DX304" t="e">
        <f>AND('STERLING CATALOG - FZN &amp; CHILL'!G1390,"AAAAAD7frn8=")</f>
        <v>#VALUE!</v>
      </c>
      <c r="DY304" t="e">
        <f>AND('STERLING CATALOG - FZN &amp; CHILL'!H1390,"AAAAAD7froA=")</f>
        <v>#VALUE!</v>
      </c>
      <c r="DZ304" t="e">
        <f>AND('STERLING CATALOG - FZN &amp; CHILL'!I1390,"AAAAAD7froE=")</f>
        <v>#VALUE!</v>
      </c>
      <c r="EA304" t="e">
        <f>AND('STERLING CATALOG - FZN &amp; CHILL'!J1390,"AAAAAD7froI=")</f>
        <v>#VALUE!</v>
      </c>
      <c r="EB304">
        <f>IF('STERLING CATALOG - FZN &amp; CHILL'!1391:1391,"AAAAAD7froM=",0)</f>
        <v>0</v>
      </c>
      <c r="EC304" t="e">
        <f>AND('STERLING CATALOG - FZN &amp; CHILL'!A1391,"AAAAAD7froQ=")</f>
        <v>#VALUE!</v>
      </c>
      <c r="ED304" t="e">
        <f>AND('STERLING CATALOG - FZN &amp; CHILL'!B1391,"AAAAAD7froU=")</f>
        <v>#VALUE!</v>
      </c>
      <c r="EE304" t="e">
        <f>AND('STERLING CATALOG - FZN &amp; CHILL'!C1391,"AAAAAD7froY=")</f>
        <v>#VALUE!</v>
      </c>
      <c r="EF304" t="e">
        <f>AND('STERLING CATALOG - FZN &amp; CHILL'!D1391,"AAAAAD7froc=")</f>
        <v>#VALUE!</v>
      </c>
      <c r="EG304" t="e">
        <f>AND('STERLING CATALOG - FZN &amp; CHILL'!E1391,"AAAAAD7frog=")</f>
        <v>#VALUE!</v>
      </c>
      <c r="EH304" t="e">
        <f>AND('STERLING CATALOG - FZN &amp; CHILL'!F1391,"AAAAAD7frok=")</f>
        <v>#VALUE!</v>
      </c>
      <c r="EI304" t="e">
        <f>AND('STERLING CATALOG - FZN &amp; CHILL'!G1391,"AAAAAD7froo=")</f>
        <v>#VALUE!</v>
      </c>
      <c r="EJ304" t="e">
        <f>AND('STERLING CATALOG - FZN &amp; CHILL'!H1391,"AAAAAD7fros=")</f>
        <v>#VALUE!</v>
      </c>
      <c r="EK304" t="e">
        <f>AND('STERLING CATALOG - FZN &amp; CHILL'!I1391,"AAAAAD7frow=")</f>
        <v>#VALUE!</v>
      </c>
      <c r="EL304" t="e">
        <f>AND('STERLING CATALOG - FZN &amp; CHILL'!J1391,"AAAAAD7fro0=")</f>
        <v>#VALUE!</v>
      </c>
      <c r="EM304">
        <f>IF('STERLING CATALOG - FZN &amp; CHILL'!1392:1392,"AAAAAD7fro4=",0)</f>
        <v>0</v>
      </c>
      <c r="EN304" t="e">
        <f>AND('STERLING CATALOG - FZN &amp; CHILL'!A1392,"AAAAAD7fro8=")</f>
        <v>#VALUE!</v>
      </c>
      <c r="EO304" t="e">
        <f>AND('STERLING CATALOG - FZN &amp; CHILL'!B1392,"AAAAAD7frpA=")</f>
        <v>#VALUE!</v>
      </c>
      <c r="EP304" t="e">
        <f>AND('STERLING CATALOG - FZN &amp; CHILL'!C1392,"AAAAAD7frpE=")</f>
        <v>#VALUE!</v>
      </c>
      <c r="EQ304" t="e">
        <f>AND('STERLING CATALOG - FZN &amp; CHILL'!D1392,"AAAAAD7frpI=")</f>
        <v>#VALUE!</v>
      </c>
      <c r="ER304" t="e">
        <f>AND('STERLING CATALOG - FZN &amp; CHILL'!E1392,"AAAAAD7frpM=")</f>
        <v>#VALUE!</v>
      </c>
      <c r="ES304" t="e">
        <f>AND('STERLING CATALOG - FZN &amp; CHILL'!F1392,"AAAAAD7frpQ=")</f>
        <v>#VALUE!</v>
      </c>
      <c r="ET304" t="e">
        <f>AND('STERLING CATALOG - FZN &amp; CHILL'!G1392,"AAAAAD7frpU=")</f>
        <v>#VALUE!</v>
      </c>
      <c r="EU304" t="e">
        <f>AND('STERLING CATALOG - FZN &amp; CHILL'!H1392,"AAAAAD7frpY=")</f>
        <v>#VALUE!</v>
      </c>
      <c r="EV304" t="e">
        <f>AND('STERLING CATALOG - FZN &amp; CHILL'!I1392,"AAAAAD7frpc=")</f>
        <v>#VALUE!</v>
      </c>
      <c r="EW304" t="e">
        <f>AND('STERLING CATALOG - FZN &amp; CHILL'!J1392,"AAAAAD7frpg=")</f>
        <v>#VALUE!</v>
      </c>
      <c r="EX304">
        <f>IF('STERLING CATALOG - FZN &amp; CHILL'!1393:1393,"AAAAAD7frpk=",0)</f>
        <v>0</v>
      </c>
      <c r="EY304" t="e">
        <f>AND('STERLING CATALOG - FZN &amp; CHILL'!A1393,"AAAAAD7frpo=")</f>
        <v>#VALUE!</v>
      </c>
      <c r="EZ304" t="e">
        <f>AND('STERLING CATALOG - FZN &amp; CHILL'!B1393,"AAAAAD7frps=")</f>
        <v>#VALUE!</v>
      </c>
      <c r="FA304" t="e">
        <f>AND('STERLING CATALOG - FZN &amp; CHILL'!C1393,"AAAAAD7frpw=")</f>
        <v>#VALUE!</v>
      </c>
      <c r="FB304" t="e">
        <f>AND('STERLING CATALOG - FZN &amp; CHILL'!D1393,"AAAAAD7frp0=")</f>
        <v>#VALUE!</v>
      </c>
      <c r="FC304" t="e">
        <f>AND('STERLING CATALOG - FZN &amp; CHILL'!E1393,"AAAAAD7frp4=")</f>
        <v>#VALUE!</v>
      </c>
      <c r="FD304" t="e">
        <f>AND('STERLING CATALOG - FZN &amp; CHILL'!F1393,"AAAAAD7frp8=")</f>
        <v>#VALUE!</v>
      </c>
      <c r="FE304" t="e">
        <f>AND('STERLING CATALOG - FZN &amp; CHILL'!G1393,"AAAAAD7frqA=")</f>
        <v>#VALUE!</v>
      </c>
      <c r="FF304" t="e">
        <f>AND('STERLING CATALOG - FZN &amp; CHILL'!H1393,"AAAAAD7frqE=")</f>
        <v>#VALUE!</v>
      </c>
      <c r="FG304" t="e">
        <f>AND('STERLING CATALOG - FZN &amp; CHILL'!I1393,"AAAAAD7frqI=")</f>
        <v>#VALUE!</v>
      </c>
      <c r="FH304" t="e">
        <f>AND('STERLING CATALOG - FZN &amp; CHILL'!J1393,"AAAAAD7frqM=")</f>
        <v>#VALUE!</v>
      </c>
      <c r="FI304">
        <f>IF('STERLING CATALOG - FZN &amp; CHILL'!1394:1394,"AAAAAD7frqQ=",0)</f>
        <v>0</v>
      </c>
      <c r="FJ304" t="e">
        <f>AND('STERLING CATALOG - FZN &amp; CHILL'!A1394,"AAAAAD7frqU=")</f>
        <v>#VALUE!</v>
      </c>
      <c r="FK304" t="e">
        <f>AND('STERLING CATALOG - FZN &amp; CHILL'!B1394,"AAAAAD7frqY=")</f>
        <v>#VALUE!</v>
      </c>
      <c r="FL304" t="e">
        <f>AND('STERLING CATALOG - FZN &amp; CHILL'!C1394,"AAAAAD7frqc=")</f>
        <v>#VALUE!</v>
      </c>
      <c r="FM304" t="e">
        <f>AND('STERLING CATALOG - FZN &amp; CHILL'!D1394,"AAAAAD7frqg=")</f>
        <v>#VALUE!</v>
      </c>
      <c r="FN304" t="e">
        <f>AND('STERLING CATALOG - FZN &amp; CHILL'!E1394,"AAAAAD7frqk=")</f>
        <v>#VALUE!</v>
      </c>
      <c r="FO304" t="e">
        <f>AND('STERLING CATALOG - FZN &amp; CHILL'!F1394,"AAAAAD7frqo=")</f>
        <v>#VALUE!</v>
      </c>
      <c r="FP304" t="e">
        <f>AND('STERLING CATALOG - FZN &amp; CHILL'!G1394,"AAAAAD7frqs=")</f>
        <v>#VALUE!</v>
      </c>
      <c r="FQ304" t="e">
        <f>AND('STERLING CATALOG - FZN &amp; CHILL'!H1394,"AAAAAD7frqw=")</f>
        <v>#VALUE!</v>
      </c>
      <c r="FR304" t="e">
        <f>AND('STERLING CATALOG - FZN &amp; CHILL'!I1394,"AAAAAD7frq0=")</f>
        <v>#VALUE!</v>
      </c>
      <c r="FS304" t="e">
        <f>AND('STERLING CATALOG - FZN &amp; CHILL'!J1394,"AAAAAD7frq4=")</f>
        <v>#VALUE!</v>
      </c>
      <c r="FT304">
        <f>IF('STERLING CATALOG - FZN &amp; CHILL'!1395:1395,"AAAAAD7frq8=",0)</f>
        <v>0</v>
      </c>
      <c r="FU304" t="e">
        <f>AND('STERLING CATALOG - FZN &amp; CHILL'!A1395,"AAAAAD7frrA=")</f>
        <v>#VALUE!</v>
      </c>
      <c r="FV304" t="e">
        <f>AND('STERLING CATALOG - FZN &amp; CHILL'!B1395,"AAAAAD7frrE=")</f>
        <v>#VALUE!</v>
      </c>
      <c r="FW304" t="e">
        <f>AND('STERLING CATALOG - FZN &amp; CHILL'!C1395,"AAAAAD7frrI=")</f>
        <v>#VALUE!</v>
      </c>
      <c r="FX304" t="e">
        <f>AND('STERLING CATALOG - FZN &amp; CHILL'!D1395,"AAAAAD7frrM=")</f>
        <v>#VALUE!</v>
      </c>
      <c r="FY304" t="e">
        <f>AND('STERLING CATALOG - FZN &amp; CHILL'!E1395,"AAAAAD7frrQ=")</f>
        <v>#VALUE!</v>
      </c>
      <c r="FZ304" t="e">
        <f>AND('STERLING CATALOG - FZN &amp; CHILL'!F1395,"AAAAAD7frrU=")</f>
        <v>#VALUE!</v>
      </c>
      <c r="GA304" t="e">
        <f>AND('STERLING CATALOG - FZN &amp; CHILL'!G1395,"AAAAAD7frrY=")</f>
        <v>#VALUE!</v>
      </c>
      <c r="GB304" t="e">
        <f>AND('STERLING CATALOG - FZN &amp; CHILL'!H1395,"AAAAAD7frrc=")</f>
        <v>#VALUE!</v>
      </c>
      <c r="GC304" t="e">
        <f>AND('STERLING CATALOG - FZN &amp; CHILL'!I1395,"AAAAAD7frrg=")</f>
        <v>#VALUE!</v>
      </c>
      <c r="GD304" t="e">
        <f>AND('STERLING CATALOG - FZN &amp; CHILL'!J1395,"AAAAAD7frrk=")</f>
        <v>#VALUE!</v>
      </c>
      <c r="GE304">
        <f>IF('STERLING CATALOG - FZN &amp; CHILL'!1396:1396,"AAAAAD7frro=",0)</f>
        <v>0</v>
      </c>
      <c r="GF304" t="e">
        <f>AND('STERLING CATALOG - FZN &amp; CHILL'!A1396,"AAAAAD7frrs=")</f>
        <v>#VALUE!</v>
      </c>
      <c r="GG304" t="e">
        <f>AND('STERLING CATALOG - FZN &amp; CHILL'!B1396,"AAAAAD7frrw=")</f>
        <v>#VALUE!</v>
      </c>
      <c r="GH304" t="e">
        <f>AND('STERLING CATALOG - FZN &amp; CHILL'!C1396,"AAAAAD7frr0=")</f>
        <v>#VALUE!</v>
      </c>
      <c r="GI304" t="e">
        <f>AND('STERLING CATALOG - FZN &amp; CHILL'!D1396,"AAAAAD7frr4=")</f>
        <v>#VALUE!</v>
      </c>
      <c r="GJ304" t="e">
        <f>AND('STERLING CATALOG - FZN &amp; CHILL'!E1396,"AAAAAD7frr8=")</f>
        <v>#VALUE!</v>
      </c>
      <c r="GK304" t="e">
        <f>AND('STERLING CATALOG - FZN &amp; CHILL'!F1396,"AAAAAD7frsA=")</f>
        <v>#VALUE!</v>
      </c>
      <c r="GL304" t="e">
        <f>AND('STERLING CATALOG - FZN &amp; CHILL'!G1396,"AAAAAD7frsE=")</f>
        <v>#VALUE!</v>
      </c>
      <c r="GM304" t="e">
        <f>AND('STERLING CATALOG - FZN &amp; CHILL'!H1396,"AAAAAD7frsI=")</f>
        <v>#VALUE!</v>
      </c>
      <c r="GN304" t="e">
        <f>AND('STERLING CATALOG - FZN &amp; CHILL'!I1396,"AAAAAD7frsM=")</f>
        <v>#VALUE!</v>
      </c>
      <c r="GO304" t="e">
        <f>AND('STERLING CATALOG - FZN &amp; CHILL'!J1396,"AAAAAD7frsQ=")</f>
        <v>#VALUE!</v>
      </c>
      <c r="GP304">
        <f>IF('STERLING CATALOG - FZN &amp; CHILL'!1397:1397,"AAAAAD7frsU=",0)</f>
        <v>0</v>
      </c>
      <c r="GQ304" t="e">
        <f>AND('STERLING CATALOG - FZN &amp; CHILL'!A1397,"AAAAAD7frsY=")</f>
        <v>#VALUE!</v>
      </c>
      <c r="GR304" t="e">
        <f>AND('STERLING CATALOG - FZN &amp; CHILL'!B1397,"AAAAAD7frsc=")</f>
        <v>#VALUE!</v>
      </c>
      <c r="GS304" t="e">
        <f>AND('STERLING CATALOG - FZN &amp; CHILL'!C1397,"AAAAAD7frsg=")</f>
        <v>#VALUE!</v>
      </c>
      <c r="GT304" t="e">
        <f>AND('STERLING CATALOG - FZN &amp; CHILL'!D1397,"AAAAAD7frsk=")</f>
        <v>#VALUE!</v>
      </c>
      <c r="GU304" t="e">
        <f>AND('STERLING CATALOG - FZN &amp; CHILL'!E1397,"AAAAAD7frso=")</f>
        <v>#VALUE!</v>
      </c>
      <c r="GV304" t="e">
        <f>AND('STERLING CATALOG - FZN &amp; CHILL'!F1397,"AAAAAD7frss=")</f>
        <v>#VALUE!</v>
      </c>
      <c r="GW304" t="e">
        <f>AND('STERLING CATALOG - FZN &amp; CHILL'!G1397,"AAAAAD7frsw=")</f>
        <v>#VALUE!</v>
      </c>
      <c r="GX304" t="e">
        <f>AND('STERLING CATALOG - FZN &amp; CHILL'!H1397,"AAAAAD7frs0=")</f>
        <v>#VALUE!</v>
      </c>
      <c r="GY304" t="e">
        <f>AND('STERLING CATALOG - FZN &amp; CHILL'!I1397,"AAAAAD7frs4=")</f>
        <v>#VALUE!</v>
      </c>
      <c r="GZ304" t="e">
        <f>AND('STERLING CATALOG - FZN &amp; CHILL'!J1397,"AAAAAD7frs8=")</f>
        <v>#VALUE!</v>
      </c>
      <c r="HA304">
        <f>IF('STERLING CATALOG - FZN &amp; CHILL'!1398:1398,"AAAAAD7frtA=",0)</f>
        <v>0</v>
      </c>
      <c r="HB304" t="e">
        <f>AND('STERLING CATALOG - FZN &amp; CHILL'!A1398,"AAAAAD7frtE=")</f>
        <v>#VALUE!</v>
      </c>
      <c r="HC304" t="e">
        <f>AND('STERLING CATALOG - FZN &amp; CHILL'!B1398,"AAAAAD7frtI=")</f>
        <v>#VALUE!</v>
      </c>
      <c r="HD304" t="e">
        <f>AND('STERLING CATALOG - FZN &amp; CHILL'!C1398,"AAAAAD7frtM=")</f>
        <v>#VALUE!</v>
      </c>
      <c r="HE304" t="e">
        <f>AND('STERLING CATALOG - FZN &amp; CHILL'!D1398,"AAAAAD7frtQ=")</f>
        <v>#VALUE!</v>
      </c>
      <c r="HF304" t="e">
        <f>AND('STERLING CATALOG - FZN &amp; CHILL'!E1398,"AAAAAD7frtU=")</f>
        <v>#VALUE!</v>
      </c>
      <c r="HG304" t="e">
        <f>AND('STERLING CATALOG - FZN &amp; CHILL'!F1398,"AAAAAD7frtY=")</f>
        <v>#VALUE!</v>
      </c>
      <c r="HH304" t="e">
        <f>AND('STERLING CATALOG - FZN &amp; CHILL'!G1398,"AAAAAD7frtc=")</f>
        <v>#VALUE!</v>
      </c>
      <c r="HI304" t="e">
        <f>AND('STERLING CATALOG - FZN &amp; CHILL'!H1398,"AAAAAD7frtg=")</f>
        <v>#VALUE!</v>
      </c>
      <c r="HJ304" t="e">
        <f>AND('STERLING CATALOG - FZN &amp; CHILL'!I1398,"AAAAAD7frtk=")</f>
        <v>#VALUE!</v>
      </c>
      <c r="HK304" t="e">
        <f>AND('STERLING CATALOG - FZN &amp; CHILL'!J1398,"AAAAAD7frto=")</f>
        <v>#VALUE!</v>
      </c>
      <c r="HL304">
        <f>IF('STERLING CATALOG - FZN &amp; CHILL'!1399:1399,"AAAAAD7frts=",0)</f>
        <v>0</v>
      </c>
      <c r="HM304" t="e">
        <f>AND('STERLING CATALOG - FZN &amp; CHILL'!A1399,"AAAAAD7frtw=")</f>
        <v>#VALUE!</v>
      </c>
      <c r="HN304" t="e">
        <f>AND('STERLING CATALOG - FZN &amp; CHILL'!B1399,"AAAAAD7frt0=")</f>
        <v>#VALUE!</v>
      </c>
      <c r="HO304" t="e">
        <f>AND('STERLING CATALOG - FZN &amp; CHILL'!C1399,"AAAAAD7frt4=")</f>
        <v>#VALUE!</v>
      </c>
      <c r="HP304" t="e">
        <f>AND('STERLING CATALOG - FZN &amp; CHILL'!D1399,"AAAAAD7frt8=")</f>
        <v>#VALUE!</v>
      </c>
      <c r="HQ304" t="e">
        <f>AND('STERLING CATALOG - FZN &amp; CHILL'!E1399,"AAAAAD7fruA=")</f>
        <v>#VALUE!</v>
      </c>
      <c r="HR304" t="e">
        <f>AND('STERLING CATALOG - FZN &amp; CHILL'!F1399,"AAAAAD7fruE=")</f>
        <v>#VALUE!</v>
      </c>
      <c r="HS304" t="e">
        <f>AND('STERLING CATALOG - FZN &amp; CHILL'!G1399,"AAAAAD7fruI=")</f>
        <v>#VALUE!</v>
      </c>
      <c r="HT304" t="e">
        <f>AND('STERLING CATALOG - FZN &amp; CHILL'!H1399,"AAAAAD7fruM=")</f>
        <v>#VALUE!</v>
      </c>
      <c r="HU304" t="e">
        <f>AND('STERLING CATALOG - FZN &amp; CHILL'!I1399,"AAAAAD7fruQ=")</f>
        <v>#VALUE!</v>
      </c>
      <c r="HV304" t="e">
        <f>AND('STERLING CATALOG - FZN &amp; CHILL'!J1399,"AAAAAD7fruU=")</f>
        <v>#VALUE!</v>
      </c>
      <c r="HW304">
        <f>IF('STERLING CATALOG - FZN &amp; CHILL'!1400:1400,"AAAAAD7fruY=",0)</f>
        <v>0</v>
      </c>
      <c r="HX304" t="e">
        <f>AND('STERLING CATALOG - FZN &amp; CHILL'!A1400,"AAAAAD7fruc=")</f>
        <v>#VALUE!</v>
      </c>
      <c r="HY304" t="e">
        <f>AND('STERLING CATALOG - FZN &amp; CHILL'!B1400,"AAAAAD7frug=")</f>
        <v>#VALUE!</v>
      </c>
      <c r="HZ304" t="e">
        <f>AND('STERLING CATALOG - FZN &amp; CHILL'!C1400,"AAAAAD7fruk=")</f>
        <v>#VALUE!</v>
      </c>
      <c r="IA304" t="e">
        <f>AND('STERLING CATALOG - FZN &amp; CHILL'!D1400,"AAAAAD7fruo=")</f>
        <v>#VALUE!</v>
      </c>
      <c r="IB304" t="e">
        <f>AND('STERLING CATALOG - FZN &amp; CHILL'!E1400,"AAAAAD7frus=")</f>
        <v>#VALUE!</v>
      </c>
      <c r="IC304" t="e">
        <f>AND('STERLING CATALOG - FZN &amp; CHILL'!F1400,"AAAAAD7fruw=")</f>
        <v>#VALUE!</v>
      </c>
      <c r="ID304" t="e">
        <f>AND('STERLING CATALOG - FZN &amp; CHILL'!G1400,"AAAAAD7fru0=")</f>
        <v>#VALUE!</v>
      </c>
      <c r="IE304" t="e">
        <f>AND('STERLING CATALOG - FZN &amp; CHILL'!H1400,"AAAAAD7fru4=")</f>
        <v>#VALUE!</v>
      </c>
      <c r="IF304" t="e">
        <f>AND('STERLING CATALOG - FZN &amp; CHILL'!I1400,"AAAAAD7fru8=")</f>
        <v>#VALUE!</v>
      </c>
      <c r="IG304" t="e">
        <f>AND('STERLING CATALOG - FZN &amp; CHILL'!J1400,"AAAAAD7frvA=")</f>
        <v>#VALUE!</v>
      </c>
      <c r="IH304">
        <f>IF('STERLING CATALOG - FZN &amp; CHILL'!1401:1401,"AAAAAD7frvE=",0)</f>
        <v>0</v>
      </c>
      <c r="II304" t="e">
        <f>AND('STERLING CATALOG - FZN &amp; CHILL'!A1401,"AAAAAD7frvI=")</f>
        <v>#VALUE!</v>
      </c>
      <c r="IJ304" t="e">
        <f>AND('STERLING CATALOG - FZN &amp; CHILL'!B1401,"AAAAAD7frvM=")</f>
        <v>#VALUE!</v>
      </c>
      <c r="IK304" t="e">
        <f>AND('STERLING CATALOG - FZN &amp; CHILL'!C1401,"AAAAAD7frvQ=")</f>
        <v>#VALUE!</v>
      </c>
      <c r="IL304" t="e">
        <f>AND('STERLING CATALOG - FZN &amp; CHILL'!D1401,"AAAAAD7frvU=")</f>
        <v>#VALUE!</v>
      </c>
      <c r="IM304" t="e">
        <f>AND('STERLING CATALOG - FZN &amp; CHILL'!E1401,"AAAAAD7frvY=")</f>
        <v>#VALUE!</v>
      </c>
      <c r="IN304" t="e">
        <f>AND('STERLING CATALOG - FZN &amp; CHILL'!F1401,"AAAAAD7frvc=")</f>
        <v>#VALUE!</v>
      </c>
      <c r="IO304" t="e">
        <f>AND('STERLING CATALOG - FZN &amp; CHILL'!G1401,"AAAAAD7frvg=")</f>
        <v>#VALUE!</v>
      </c>
      <c r="IP304" t="e">
        <f>AND('STERLING CATALOG - FZN &amp; CHILL'!H1401,"AAAAAD7frvk=")</f>
        <v>#VALUE!</v>
      </c>
      <c r="IQ304" t="e">
        <f>AND('STERLING CATALOG - FZN &amp; CHILL'!I1401,"AAAAAD7frvo=")</f>
        <v>#VALUE!</v>
      </c>
      <c r="IR304" t="e">
        <f>AND('STERLING CATALOG - FZN &amp; CHILL'!J1401,"AAAAAD7frvs=")</f>
        <v>#VALUE!</v>
      </c>
      <c r="IS304">
        <f>IF('STERLING CATALOG - FZN &amp; CHILL'!1402:1402,"AAAAAD7frvw=",0)</f>
        <v>0</v>
      </c>
      <c r="IT304" t="e">
        <f>AND('STERLING CATALOG - FZN &amp; CHILL'!A1402,"AAAAAD7frv0=")</f>
        <v>#VALUE!</v>
      </c>
      <c r="IU304" t="e">
        <f>AND('STERLING CATALOG - FZN &amp; CHILL'!B1402,"AAAAAD7frv4=")</f>
        <v>#VALUE!</v>
      </c>
      <c r="IV304" t="e">
        <f>AND('STERLING CATALOG - FZN &amp; CHILL'!C1402,"AAAAAD7frv8=")</f>
        <v>#VALUE!</v>
      </c>
    </row>
    <row r="305" spans="1:256">
      <c r="A305" t="e">
        <f>AND('STERLING CATALOG - FZN &amp; CHILL'!D1402,"AAAAAHzf2wA=")</f>
        <v>#VALUE!</v>
      </c>
      <c r="B305" t="e">
        <f>AND('STERLING CATALOG - FZN &amp; CHILL'!E1402,"AAAAAHzf2wE=")</f>
        <v>#VALUE!</v>
      </c>
      <c r="C305" t="e">
        <f>AND('STERLING CATALOG - FZN &amp; CHILL'!F1402,"AAAAAHzf2wI=")</f>
        <v>#VALUE!</v>
      </c>
      <c r="D305" t="e">
        <f>AND('STERLING CATALOG - FZN &amp; CHILL'!G1402,"AAAAAHzf2wM=")</f>
        <v>#VALUE!</v>
      </c>
      <c r="E305" t="e">
        <f>AND('STERLING CATALOG - FZN &amp; CHILL'!H1402,"AAAAAHzf2wQ=")</f>
        <v>#VALUE!</v>
      </c>
      <c r="F305" t="e">
        <f>AND('STERLING CATALOG - FZN &amp; CHILL'!I1402,"AAAAAHzf2wU=")</f>
        <v>#VALUE!</v>
      </c>
      <c r="G305" t="e">
        <f>AND('STERLING CATALOG - FZN &amp; CHILL'!J1402,"AAAAAHzf2wY=")</f>
        <v>#VALUE!</v>
      </c>
      <c r="H305" t="str">
        <f>IF('STERLING CATALOG - FZN &amp; CHILL'!1403:1403,"AAAAAHzf2wc=",0)</f>
        <v>AAAAAHzf2wc=</v>
      </c>
      <c r="I305" t="e">
        <f>AND('STERLING CATALOG - FZN &amp; CHILL'!A1403,"AAAAAHzf2wg=")</f>
        <v>#VALUE!</v>
      </c>
      <c r="J305" t="e">
        <f>AND('STERLING CATALOG - FZN &amp; CHILL'!B1403,"AAAAAHzf2wk=")</f>
        <v>#VALUE!</v>
      </c>
      <c r="K305" t="e">
        <f>AND('STERLING CATALOG - FZN &amp; CHILL'!C1403,"AAAAAHzf2wo=")</f>
        <v>#VALUE!</v>
      </c>
      <c r="L305" t="e">
        <f>AND('STERLING CATALOG - FZN &amp; CHILL'!D1403,"AAAAAHzf2ws=")</f>
        <v>#VALUE!</v>
      </c>
      <c r="M305" t="e">
        <f>AND('STERLING CATALOG - FZN &amp; CHILL'!E1403,"AAAAAHzf2ww=")</f>
        <v>#VALUE!</v>
      </c>
      <c r="N305" t="e">
        <f>AND('STERLING CATALOG - FZN &amp; CHILL'!F1403,"AAAAAHzf2w0=")</f>
        <v>#VALUE!</v>
      </c>
      <c r="O305" t="e">
        <f>AND('STERLING CATALOG - FZN &amp; CHILL'!G1403,"AAAAAHzf2w4=")</f>
        <v>#VALUE!</v>
      </c>
      <c r="P305" t="e">
        <f>AND('STERLING CATALOG - FZN &amp; CHILL'!H1403,"AAAAAHzf2w8=")</f>
        <v>#VALUE!</v>
      </c>
      <c r="Q305" t="e">
        <f>AND('STERLING CATALOG - FZN &amp; CHILL'!I1403,"AAAAAHzf2xA=")</f>
        <v>#VALUE!</v>
      </c>
      <c r="R305" t="e">
        <f>AND('STERLING CATALOG - FZN &amp; CHILL'!J1403,"AAAAAHzf2xE=")</f>
        <v>#VALUE!</v>
      </c>
      <c r="S305">
        <f>IF('STERLING CATALOG - FZN &amp; CHILL'!1404:1404,"AAAAAHzf2xI=",0)</f>
        <v>0</v>
      </c>
      <c r="T305" t="e">
        <f>AND('STERLING CATALOG - FZN &amp; CHILL'!A1404,"AAAAAHzf2xM=")</f>
        <v>#VALUE!</v>
      </c>
      <c r="U305" t="e">
        <f>AND('STERLING CATALOG - FZN &amp; CHILL'!B1404,"AAAAAHzf2xQ=")</f>
        <v>#VALUE!</v>
      </c>
      <c r="V305" t="e">
        <f>AND('STERLING CATALOG - FZN &amp; CHILL'!C1404,"AAAAAHzf2xU=")</f>
        <v>#VALUE!</v>
      </c>
      <c r="W305" t="e">
        <f>AND('STERLING CATALOG - FZN &amp; CHILL'!D1404,"AAAAAHzf2xY=")</f>
        <v>#VALUE!</v>
      </c>
      <c r="X305" t="e">
        <f>AND('STERLING CATALOG - FZN &amp; CHILL'!E1404,"AAAAAHzf2xc=")</f>
        <v>#VALUE!</v>
      </c>
      <c r="Y305" t="e">
        <f>AND('STERLING CATALOG - FZN &amp; CHILL'!F1404,"AAAAAHzf2xg=")</f>
        <v>#VALUE!</v>
      </c>
      <c r="Z305" t="e">
        <f>AND('STERLING CATALOG - FZN &amp; CHILL'!G1404,"AAAAAHzf2xk=")</f>
        <v>#VALUE!</v>
      </c>
      <c r="AA305" t="e">
        <f>AND('STERLING CATALOG - FZN &amp; CHILL'!H1404,"AAAAAHzf2xo=")</f>
        <v>#VALUE!</v>
      </c>
      <c r="AB305" t="e">
        <f>AND('STERLING CATALOG - FZN &amp; CHILL'!I1404,"AAAAAHzf2xs=")</f>
        <v>#VALUE!</v>
      </c>
      <c r="AC305" t="e">
        <f>AND('STERLING CATALOG - FZN &amp; CHILL'!J1404,"AAAAAHzf2xw=")</f>
        <v>#VALUE!</v>
      </c>
      <c r="AD305">
        <f>IF('STERLING CATALOG - FZN &amp; CHILL'!1405:1405,"AAAAAHzf2x0=",0)</f>
        <v>0</v>
      </c>
      <c r="AE305" t="e">
        <f>AND('STERLING CATALOG - FZN &amp; CHILL'!A1405,"AAAAAHzf2x4=")</f>
        <v>#VALUE!</v>
      </c>
      <c r="AF305" t="e">
        <f>AND('STERLING CATALOG - FZN &amp; CHILL'!B1405,"AAAAAHzf2x8=")</f>
        <v>#VALUE!</v>
      </c>
      <c r="AG305" t="e">
        <f>AND('STERLING CATALOG - FZN &amp; CHILL'!C1405,"AAAAAHzf2yA=")</f>
        <v>#VALUE!</v>
      </c>
      <c r="AH305" t="e">
        <f>AND('STERLING CATALOG - FZN &amp; CHILL'!D1405,"AAAAAHzf2yE=")</f>
        <v>#VALUE!</v>
      </c>
      <c r="AI305" t="e">
        <f>AND('STERLING CATALOG - FZN &amp; CHILL'!E1405,"AAAAAHzf2yI=")</f>
        <v>#VALUE!</v>
      </c>
      <c r="AJ305" t="e">
        <f>AND('STERLING CATALOG - FZN &amp; CHILL'!F1405,"AAAAAHzf2yM=")</f>
        <v>#VALUE!</v>
      </c>
      <c r="AK305" t="e">
        <f>AND('STERLING CATALOG - FZN &amp; CHILL'!G1405,"AAAAAHzf2yQ=")</f>
        <v>#VALUE!</v>
      </c>
      <c r="AL305" t="e">
        <f>AND('STERLING CATALOG - FZN &amp; CHILL'!H1405,"AAAAAHzf2yU=")</f>
        <v>#VALUE!</v>
      </c>
      <c r="AM305" t="e">
        <f>AND('STERLING CATALOG - FZN &amp; CHILL'!I1405,"AAAAAHzf2yY=")</f>
        <v>#VALUE!</v>
      </c>
      <c r="AN305" t="e">
        <f>AND('STERLING CATALOG - FZN &amp; CHILL'!J1405,"AAAAAHzf2yc=")</f>
        <v>#VALUE!</v>
      </c>
      <c r="AO305">
        <f>IF('STERLING CATALOG - FZN &amp; CHILL'!1406:1406,"AAAAAHzf2yg=",0)</f>
        <v>0</v>
      </c>
      <c r="AP305" t="e">
        <f>AND('STERLING CATALOG - FZN &amp; CHILL'!A1406,"AAAAAHzf2yk=")</f>
        <v>#VALUE!</v>
      </c>
      <c r="AQ305" t="e">
        <f>AND('STERLING CATALOG - FZN &amp; CHILL'!B1406,"AAAAAHzf2yo=")</f>
        <v>#VALUE!</v>
      </c>
      <c r="AR305" t="e">
        <f>AND('STERLING CATALOG - FZN &amp; CHILL'!C1406,"AAAAAHzf2ys=")</f>
        <v>#VALUE!</v>
      </c>
      <c r="AS305" t="e">
        <f>AND('STERLING CATALOG - FZN &amp; CHILL'!D1406,"AAAAAHzf2yw=")</f>
        <v>#VALUE!</v>
      </c>
      <c r="AT305" t="e">
        <f>AND('STERLING CATALOG - FZN &amp; CHILL'!E1406,"AAAAAHzf2y0=")</f>
        <v>#VALUE!</v>
      </c>
      <c r="AU305" t="e">
        <f>AND('STERLING CATALOG - FZN &amp; CHILL'!F1406,"AAAAAHzf2y4=")</f>
        <v>#VALUE!</v>
      </c>
      <c r="AV305" t="e">
        <f>AND('STERLING CATALOG - FZN &amp; CHILL'!G1406,"AAAAAHzf2y8=")</f>
        <v>#VALUE!</v>
      </c>
      <c r="AW305" t="e">
        <f>AND('STERLING CATALOG - FZN &amp; CHILL'!H1406,"AAAAAHzf2zA=")</f>
        <v>#VALUE!</v>
      </c>
      <c r="AX305" t="e">
        <f>AND('STERLING CATALOG - FZN &amp; CHILL'!I1406,"AAAAAHzf2zE=")</f>
        <v>#VALUE!</v>
      </c>
      <c r="AY305" t="e">
        <f>AND('STERLING CATALOG - FZN &amp; CHILL'!J1406,"AAAAAHzf2zI=")</f>
        <v>#VALUE!</v>
      </c>
      <c r="AZ305">
        <f>IF('STERLING CATALOG - FZN &amp; CHILL'!1407:1407,"AAAAAHzf2zM=",0)</f>
        <v>0</v>
      </c>
      <c r="BA305" t="e">
        <f>AND('STERLING CATALOG - FZN &amp; CHILL'!A1407,"AAAAAHzf2zQ=")</f>
        <v>#VALUE!</v>
      </c>
      <c r="BB305" t="e">
        <f>AND('STERLING CATALOG - FZN &amp; CHILL'!B1407,"AAAAAHzf2zU=")</f>
        <v>#VALUE!</v>
      </c>
      <c r="BC305" t="e">
        <f>AND('STERLING CATALOG - FZN &amp; CHILL'!C1407,"AAAAAHzf2zY=")</f>
        <v>#VALUE!</v>
      </c>
      <c r="BD305" t="e">
        <f>AND('STERLING CATALOG - FZN &amp; CHILL'!D1407,"AAAAAHzf2zc=")</f>
        <v>#VALUE!</v>
      </c>
      <c r="BE305" t="e">
        <f>AND('STERLING CATALOG - FZN &amp; CHILL'!E1407,"AAAAAHzf2zg=")</f>
        <v>#VALUE!</v>
      </c>
      <c r="BF305" t="e">
        <f>AND('STERLING CATALOG - FZN &amp; CHILL'!F1407,"AAAAAHzf2zk=")</f>
        <v>#VALUE!</v>
      </c>
      <c r="BG305" t="e">
        <f>AND('STERLING CATALOG - FZN &amp; CHILL'!G1407,"AAAAAHzf2zo=")</f>
        <v>#VALUE!</v>
      </c>
      <c r="BH305" t="e">
        <f>AND('STERLING CATALOG - FZN &amp; CHILL'!H1407,"AAAAAHzf2zs=")</f>
        <v>#VALUE!</v>
      </c>
      <c r="BI305" t="e">
        <f>AND('STERLING CATALOG - FZN &amp; CHILL'!I1407,"AAAAAHzf2zw=")</f>
        <v>#VALUE!</v>
      </c>
      <c r="BJ305" t="e">
        <f>AND('STERLING CATALOG - FZN &amp; CHILL'!J1407,"AAAAAHzf2z0=")</f>
        <v>#VALUE!</v>
      </c>
      <c r="BK305">
        <f>IF('STERLING CATALOG - FZN &amp; CHILL'!1408:1408,"AAAAAHzf2z4=",0)</f>
        <v>0</v>
      </c>
      <c r="BL305" t="e">
        <f>AND('STERLING CATALOG - FZN &amp; CHILL'!A1408,"AAAAAHzf2z8=")</f>
        <v>#VALUE!</v>
      </c>
      <c r="BM305" t="e">
        <f>AND('STERLING CATALOG - FZN &amp; CHILL'!B1408,"AAAAAHzf20A=")</f>
        <v>#VALUE!</v>
      </c>
      <c r="BN305" t="e">
        <f>AND('STERLING CATALOG - FZN &amp; CHILL'!C1408,"AAAAAHzf20E=")</f>
        <v>#VALUE!</v>
      </c>
      <c r="BO305" t="e">
        <f>AND('STERLING CATALOG - FZN &amp; CHILL'!D1408,"AAAAAHzf20I=")</f>
        <v>#VALUE!</v>
      </c>
      <c r="BP305" t="e">
        <f>AND('STERLING CATALOG - FZN &amp; CHILL'!E1408,"AAAAAHzf20M=")</f>
        <v>#VALUE!</v>
      </c>
      <c r="BQ305" t="e">
        <f>AND('STERLING CATALOG - FZN &amp; CHILL'!F1408,"AAAAAHzf20Q=")</f>
        <v>#VALUE!</v>
      </c>
      <c r="BR305" t="e">
        <f>AND('STERLING CATALOG - FZN &amp; CHILL'!G1408,"AAAAAHzf20U=")</f>
        <v>#VALUE!</v>
      </c>
      <c r="BS305" t="e">
        <f>AND('STERLING CATALOG - FZN &amp; CHILL'!H1408,"AAAAAHzf20Y=")</f>
        <v>#VALUE!</v>
      </c>
      <c r="BT305" t="e">
        <f>AND('STERLING CATALOG - FZN &amp; CHILL'!I1408,"AAAAAHzf20c=")</f>
        <v>#VALUE!</v>
      </c>
      <c r="BU305" t="e">
        <f>AND('STERLING CATALOG - FZN &amp; CHILL'!J1408,"AAAAAHzf20g=")</f>
        <v>#VALUE!</v>
      </c>
      <c r="BV305">
        <f>IF('STERLING CATALOG - FZN &amp; CHILL'!1409:1409,"AAAAAHzf20k=",0)</f>
        <v>0</v>
      </c>
      <c r="BW305" t="e">
        <f>AND('STERLING CATALOG - FZN &amp; CHILL'!A1409,"AAAAAHzf20o=")</f>
        <v>#VALUE!</v>
      </c>
      <c r="BX305" t="e">
        <f>AND('STERLING CATALOG - FZN &amp; CHILL'!B1409,"AAAAAHzf20s=")</f>
        <v>#VALUE!</v>
      </c>
      <c r="BY305" t="e">
        <f>AND('STERLING CATALOG - FZN &amp; CHILL'!C1409,"AAAAAHzf20w=")</f>
        <v>#VALUE!</v>
      </c>
      <c r="BZ305" t="e">
        <f>AND('STERLING CATALOG - FZN &amp; CHILL'!D1409,"AAAAAHzf200=")</f>
        <v>#VALUE!</v>
      </c>
      <c r="CA305" t="e">
        <f>AND('STERLING CATALOG - FZN &amp; CHILL'!E1409,"AAAAAHzf204=")</f>
        <v>#VALUE!</v>
      </c>
      <c r="CB305" t="e">
        <f>AND('STERLING CATALOG - FZN &amp; CHILL'!F1409,"AAAAAHzf208=")</f>
        <v>#VALUE!</v>
      </c>
      <c r="CC305" t="e">
        <f>AND('STERLING CATALOG - FZN &amp; CHILL'!G1409,"AAAAAHzf21A=")</f>
        <v>#VALUE!</v>
      </c>
      <c r="CD305" t="e">
        <f>AND('STERLING CATALOG - FZN &amp; CHILL'!H1409,"AAAAAHzf21E=")</f>
        <v>#VALUE!</v>
      </c>
      <c r="CE305" t="e">
        <f>AND('STERLING CATALOG - FZN &amp; CHILL'!I1409,"AAAAAHzf21I=")</f>
        <v>#VALUE!</v>
      </c>
      <c r="CF305" t="e">
        <f>AND('STERLING CATALOG - FZN &amp; CHILL'!J1409,"AAAAAHzf21M=")</f>
        <v>#VALUE!</v>
      </c>
      <c r="CG305">
        <f>IF('STERLING CATALOG - FZN &amp; CHILL'!1410:1410,"AAAAAHzf21Q=",0)</f>
        <v>0</v>
      </c>
      <c r="CH305" t="e">
        <f>AND('STERLING CATALOG - FZN &amp; CHILL'!A1410,"AAAAAHzf21U=")</f>
        <v>#VALUE!</v>
      </c>
      <c r="CI305" t="e">
        <f>AND('STERLING CATALOG - FZN &amp; CHILL'!B1410,"AAAAAHzf21Y=")</f>
        <v>#VALUE!</v>
      </c>
      <c r="CJ305" t="e">
        <f>AND('STERLING CATALOG - FZN &amp; CHILL'!C1410,"AAAAAHzf21c=")</f>
        <v>#VALUE!</v>
      </c>
      <c r="CK305" t="e">
        <f>AND('STERLING CATALOG - FZN &amp; CHILL'!D1410,"AAAAAHzf21g=")</f>
        <v>#VALUE!</v>
      </c>
      <c r="CL305" t="e">
        <f>AND('STERLING CATALOG - FZN &amp; CHILL'!E1410,"AAAAAHzf21k=")</f>
        <v>#VALUE!</v>
      </c>
      <c r="CM305" t="e">
        <f>AND('STERLING CATALOG - FZN &amp; CHILL'!F1410,"AAAAAHzf21o=")</f>
        <v>#VALUE!</v>
      </c>
      <c r="CN305" t="e">
        <f>AND('STERLING CATALOG - FZN &amp; CHILL'!G1410,"AAAAAHzf21s=")</f>
        <v>#VALUE!</v>
      </c>
      <c r="CO305" t="e">
        <f>AND('STERLING CATALOG - FZN &amp; CHILL'!H1410,"AAAAAHzf21w=")</f>
        <v>#VALUE!</v>
      </c>
      <c r="CP305" t="e">
        <f>AND('STERLING CATALOG - FZN &amp; CHILL'!I1410,"AAAAAHzf210=")</f>
        <v>#VALUE!</v>
      </c>
      <c r="CQ305" t="e">
        <f>AND('STERLING CATALOG - FZN &amp; CHILL'!J1410,"AAAAAHzf214=")</f>
        <v>#VALUE!</v>
      </c>
      <c r="CR305">
        <f>IF('STERLING CATALOG - FZN &amp; CHILL'!1411:1411,"AAAAAHzf218=",0)</f>
        <v>0</v>
      </c>
      <c r="CS305" t="e">
        <f>AND('STERLING CATALOG - FZN &amp; CHILL'!A1411,"AAAAAHzf22A=")</f>
        <v>#VALUE!</v>
      </c>
      <c r="CT305" t="e">
        <f>AND('STERLING CATALOG - FZN &amp; CHILL'!B1411,"AAAAAHzf22E=")</f>
        <v>#VALUE!</v>
      </c>
      <c r="CU305" t="e">
        <f>AND('STERLING CATALOG - FZN &amp; CHILL'!C1411,"AAAAAHzf22I=")</f>
        <v>#VALUE!</v>
      </c>
      <c r="CV305" t="e">
        <f>AND('STERLING CATALOG - FZN &amp; CHILL'!D1411,"AAAAAHzf22M=")</f>
        <v>#VALUE!</v>
      </c>
      <c r="CW305" t="e">
        <f>AND('STERLING CATALOG - FZN &amp; CHILL'!E1411,"AAAAAHzf22Q=")</f>
        <v>#VALUE!</v>
      </c>
      <c r="CX305" t="e">
        <f>AND('STERLING CATALOG - FZN &amp; CHILL'!F1411,"AAAAAHzf22U=")</f>
        <v>#VALUE!</v>
      </c>
      <c r="CY305" t="e">
        <f>AND('STERLING CATALOG - FZN &amp; CHILL'!G1411,"AAAAAHzf22Y=")</f>
        <v>#VALUE!</v>
      </c>
      <c r="CZ305" t="e">
        <f>AND('STERLING CATALOG - FZN &amp; CHILL'!H1411,"AAAAAHzf22c=")</f>
        <v>#VALUE!</v>
      </c>
      <c r="DA305" t="e">
        <f>AND('STERLING CATALOG - FZN &amp; CHILL'!I1411,"AAAAAHzf22g=")</f>
        <v>#VALUE!</v>
      </c>
      <c r="DB305" t="e">
        <f>AND('STERLING CATALOG - FZN &amp; CHILL'!J1411,"AAAAAHzf22k=")</f>
        <v>#VALUE!</v>
      </c>
      <c r="DC305">
        <f>IF('STERLING CATALOG - FZN &amp; CHILL'!1412:1412,"AAAAAHzf22o=",0)</f>
        <v>0</v>
      </c>
      <c r="DD305" t="e">
        <f>AND('STERLING CATALOG - FZN &amp; CHILL'!A1412,"AAAAAHzf22s=")</f>
        <v>#VALUE!</v>
      </c>
      <c r="DE305" t="e">
        <f>AND('STERLING CATALOG - FZN &amp; CHILL'!B1412,"AAAAAHzf22w=")</f>
        <v>#VALUE!</v>
      </c>
      <c r="DF305" t="e">
        <f>AND('STERLING CATALOG - FZN &amp; CHILL'!C1412,"AAAAAHzf220=")</f>
        <v>#VALUE!</v>
      </c>
      <c r="DG305" t="e">
        <f>AND('STERLING CATALOG - FZN &amp; CHILL'!D1412,"AAAAAHzf224=")</f>
        <v>#VALUE!</v>
      </c>
      <c r="DH305" t="e">
        <f>AND('STERLING CATALOG - FZN &amp; CHILL'!E1412,"AAAAAHzf228=")</f>
        <v>#VALUE!</v>
      </c>
      <c r="DI305" t="e">
        <f>AND('STERLING CATALOG - FZN &amp; CHILL'!F1412,"AAAAAHzf23A=")</f>
        <v>#VALUE!</v>
      </c>
      <c r="DJ305" t="e">
        <f>AND('STERLING CATALOG - FZN &amp; CHILL'!G1412,"AAAAAHzf23E=")</f>
        <v>#VALUE!</v>
      </c>
      <c r="DK305" t="e">
        <f>AND('STERLING CATALOG - FZN &amp; CHILL'!H1412,"AAAAAHzf23I=")</f>
        <v>#VALUE!</v>
      </c>
      <c r="DL305" t="e">
        <f>AND('STERLING CATALOG - FZN &amp; CHILL'!I1412,"AAAAAHzf23M=")</f>
        <v>#VALUE!</v>
      </c>
      <c r="DM305" t="e">
        <f>AND('STERLING CATALOG - FZN &amp; CHILL'!J1412,"AAAAAHzf23Q=")</f>
        <v>#VALUE!</v>
      </c>
      <c r="DN305">
        <f>IF('STERLING CATALOG - FZN &amp; CHILL'!1413:1413,"AAAAAHzf23U=",0)</f>
        <v>0</v>
      </c>
      <c r="DO305" t="e">
        <f>AND('STERLING CATALOG - FZN &amp; CHILL'!A1413,"AAAAAHzf23Y=")</f>
        <v>#VALUE!</v>
      </c>
      <c r="DP305" t="e">
        <f>AND('STERLING CATALOG - FZN &amp; CHILL'!B1413,"AAAAAHzf23c=")</f>
        <v>#VALUE!</v>
      </c>
      <c r="DQ305" t="e">
        <f>AND('STERLING CATALOG - FZN &amp; CHILL'!C1413,"AAAAAHzf23g=")</f>
        <v>#VALUE!</v>
      </c>
      <c r="DR305" t="e">
        <f>AND('STERLING CATALOG - FZN &amp; CHILL'!D1413,"AAAAAHzf23k=")</f>
        <v>#VALUE!</v>
      </c>
      <c r="DS305" t="e">
        <f>AND('STERLING CATALOG - FZN &amp; CHILL'!E1413,"AAAAAHzf23o=")</f>
        <v>#VALUE!</v>
      </c>
      <c r="DT305" t="e">
        <f>AND('STERLING CATALOG - FZN &amp; CHILL'!F1413,"AAAAAHzf23s=")</f>
        <v>#VALUE!</v>
      </c>
      <c r="DU305" t="e">
        <f>AND('STERLING CATALOG - FZN &amp; CHILL'!G1413,"AAAAAHzf23w=")</f>
        <v>#VALUE!</v>
      </c>
      <c r="DV305" t="e">
        <f>AND('STERLING CATALOG - FZN &amp; CHILL'!H1413,"AAAAAHzf230=")</f>
        <v>#VALUE!</v>
      </c>
      <c r="DW305" t="e">
        <f>AND('STERLING CATALOG - FZN &amp; CHILL'!I1413,"AAAAAHzf234=")</f>
        <v>#VALUE!</v>
      </c>
      <c r="DX305" t="e">
        <f>AND('STERLING CATALOG - FZN &amp; CHILL'!J1413,"AAAAAHzf238=")</f>
        <v>#VALUE!</v>
      </c>
      <c r="DY305">
        <f>IF('STERLING CATALOG - FZN &amp; CHILL'!1414:1414,"AAAAAHzf24A=",0)</f>
        <v>0</v>
      </c>
      <c r="DZ305" t="e">
        <f>AND('STERLING CATALOG - FZN &amp; CHILL'!A1414,"AAAAAHzf24E=")</f>
        <v>#VALUE!</v>
      </c>
      <c r="EA305" t="e">
        <f>AND('STERLING CATALOG - FZN &amp; CHILL'!B1414,"AAAAAHzf24I=")</f>
        <v>#VALUE!</v>
      </c>
      <c r="EB305" t="e">
        <f>AND('STERLING CATALOG - FZN &amp; CHILL'!C1414,"AAAAAHzf24M=")</f>
        <v>#VALUE!</v>
      </c>
      <c r="EC305" t="e">
        <f>AND('STERLING CATALOG - FZN &amp; CHILL'!D1414,"AAAAAHzf24Q=")</f>
        <v>#VALUE!</v>
      </c>
      <c r="ED305" t="e">
        <f>AND('STERLING CATALOG - FZN &amp; CHILL'!E1414,"AAAAAHzf24U=")</f>
        <v>#VALUE!</v>
      </c>
      <c r="EE305" t="e">
        <f>AND('STERLING CATALOG - FZN &amp; CHILL'!F1414,"AAAAAHzf24Y=")</f>
        <v>#VALUE!</v>
      </c>
      <c r="EF305" t="e">
        <f>AND('STERLING CATALOG - FZN &amp; CHILL'!G1414,"AAAAAHzf24c=")</f>
        <v>#VALUE!</v>
      </c>
      <c r="EG305" t="e">
        <f>AND('STERLING CATALOG - FZN &amp; CHILL'!H1414,"AAAAAHzf24g=")</f>
        <v>#VALUE!</v>
      </c>
      <c r="EH305" t="e">
        <f>AND('STERLING CATALOG - FZN &amp; CHILL'!I1414,"AAAAAHzf24k=")</f>
        <v>#VALUE!</v>
      </c>
      <c r="EI305" t="e">
        <f>AND('STERLING CATALOG - FZN &amp; CHILL'!J1414,"AAAAAHzf24o=")</f>
        <v>#VALUE!</v>
      </c>
      <c r="EJ305">
        <f>IF('STERLING CATALOG - FZN &amp; CHILL'!1415:1415,"AAAAAHzf24s=",0)</f>
        <v>0</v>
      </c>
      <c r="EK305" t="e">
        <f>AND('STERLING CATALOG - FZN &amp; CHILL'!A1415,"AAAAAHzf24w=")</f>
        <v>#VALUE!</v>
      </c>
      <c r="EL305" t="e">
        <f>AND('STERLING CATALOG - FZN &amp; CHILL'!B1415,"AAAAAHzf240=")</f>
        <v>#VALUE!</v>
      </c>
      <c r="EM305" t="e">
        <f>AND('STERLING CATALOG - FZN &amp; CHILL'!C1415,"AAAAAHzf244=")</f>
        <v>#VALUE!</v>
      </c>
      <c r="EN305" t="e">
        <f>AND('STERLING CATALOG - FZN &amp; CHILL'!D1415,"AAAAAHzf248=")</f>
        <v>#VALUE!</v>
      </c>
      <c r="EO305" t="e">
        <f>AND('STERLING CATALOG - FZN &amp; CHILL'!E1415,"AAAAAHzf25A=")</f>
        <v>#VALUE!</v>
      </c>
      <c r="EP305" t="e">
        <f>AND('STERLING CATALOG - FZN &amp; CHILL'!F1415,"AAAAAHzf25E=")</f>
        <v>#VALUE!</v>
      </c>
      <c r="EQ305" t="e">
        <f>AND('STERLING CATALOG - FZN &amp; CHILL'!G1415,"AAAAAHzf25I=")</f>
        <v>#VALUE!</v>
      </c>
      <c r="ER305" t="e">
        <f>AND('STERLING CATALOG - FZN &amp; CHILL'!H1415,"AAAAAHzf25M=")</f>
        <v>#VALUE!</v>
      </c>
      <c r="ES305" t="e">
        <f>AND('STERLING CATALOG - FZN &amp; CHILL'!I1415,"AAAAAHzf25Q=")</f>
        <v>#VALUE!</v>
      </c>
      <c r="ET305" t="e">
        <f>AND('STERLING CATALOG - FZN &amp; CHILL'!J1415,"AAAAAHzf25U=")</f>
        <v>#VALUE!</v>
      </c>
      <c r="EU305">
        <f>IF('STERLING CATALOG - FZN &amp; CHILL'!1416:1416,"AAAAAHzf25Y=",0)</f>
        <v>0</v>
      </c>
      <c r="EV305" t="e">
        <f>AND('STERLING CATALOG - FZN &amp; CHILL'!A1416,"AAAAAHzf25c=")</f>
        <v>#VALUE!</v>
      </c>
      <c r="EW305" t="e">
        <f>AND('STERLING CATALOG - FZN &amp; CHILL'!B1416,"AAAAAHzf25g=")</f>
        <v>#VALUE!</v>
      </c>
      <c r="EX305" t="e">
        <f>AND('STERLING CATALOG - FZN &amp; CHILL'!C1416,"AAAAAHzf25k=")</f>
        <v>#VALUE!</v>
      </c>
      <c r="EY305" t="e">
        <f>AND('STERLING CATALOG - FZN &amp; CHILL'!D1416,"AAAAAHzf25o=")</f>
        <v>#VALUE!</v>
      </c>
      <c r="EZ305" t="e">
        <f>AND('STERLING CATALOG - FZN &amp; CHILL'!E1416,"AAAAAHzf25s=")</f>
        <v>#VALUE!</v>
      </c>
      <c r="FA305" t="e">
        <f>AND('STERLING CATALOG - FZN &amp; CHILL'!F1416,"AAAAAHzf25w=")</f>
        <v>#VALUE!</v>
      </c>
      <c r="FB305" t="e">
        <f>AND('STERLING CATALOG - FZN &amp; CHILL'!G1416,"AAAAAHzf250=")</f>
        <v>#VALUE!</v>
      </c>
      <c r="FC305" t="e">
        <f>AND('STERLING CATALOG - FZN &amp; CHILL'!H1416,"AAAAAHzf254=")</f>
        <v>#VALUE!</v>
      </c>
      <c r="FD305" t="e">
        <f>AND('STERLING CATALOG - FZN &amp; CHILL'!I1416,"AAAAAHzf258=")</f>
        <v>#VALUE!</v>
      </c>
      <c r="FE305" t="e">
        <f>AND('STERLING CATALOG - FZN &amp; CHILL'!J1416,"AAAAAHzf26A=")</f>
        <v>#VALUE!</v>
      </c>
      <c r="FF305">
        <f>IF('STERLING CATALOG - FZN &amp; CHILL'!1417:1417,"AAAAAHzf26E=",0)</f>
        <v>0</v>
      </c>
      <c r="FG305" t="e">
        <f>AND('STERLING CATALOG - FZN &amp; CHILL'!A1417,"AAAAAHzf26I=")</f>
        <v>#VALUE!</v>
      </c>
      <c r="FH305" t="e">
        <f>AND('STERLING CATALOG - FZN &amp; CHILL'!B1417,"AAAAAHzf26M=")</f>
        <v>#VALUE!</v>
      </c>
      <c r="FI305" t="e">
        <f>AND('STERLING CATALOG - FZN &amp; CHILL'!C1417,"AAAAAHzf26Q=")</f>
        <v>#VALUE!</v>
      </c>
      <c r="FJ305" t="e">
        <f>AND('STERLING CATALOG - FZN &amp; CHILL'!D1417,"AAAAAHzf26U=")</f>
        <v>#VALUE!</v>
      </c>
      <c r="FK305" t="e">
        <f>AND('STERLING CATALOG - FZN &amp; CHILL'!E1417,"AAAAAHzf26Y=")</f>
        <v>#VALUE!</v>
      </c>
      <c r="FL305" t="e">
        <f>AND('STERLING CATALOG - FZN &amp; CHILL'!F1417,"AAAAAHzf26c=")</f>
        <v>#VALUE!</v>
      </c>
      <c r="FM305" t="e">
        <f>AND('STERLING CATALOG - FZN &amp; CHILL'!G1417,"AAAAAHzf26g=")</f>
        <v>#VALUE!</v>
      </c>
      <c r="FN305" t="e">
        <f>AND('STERLING CATALOG - FZN &amp; CHILL'!H1417,"AAAAAHzf26k=")</f>
        <v>#VALUE!</v>
      </c>
      <c r="FO305" t="e">
        <f>AND('STERLING CATALOG - FZN &amp; CHILL'!I1417,"AAAAAHzf26o=")</f>
        <v>#VALUE!</v>
      </c>
      <c r="FP305" t="e">
        <f>AND('STERLING CATALOG - FZN &amp; CHILL'!J1417,"AAAAAHzf26s=")</f>
        <v>#VALUE!</v>
      </c>
      <c r="FQ305">
        <f>IF('STERLING CATALOG - FZN &amp; CHILL'!1418:1418,"AAAAAHzf26w=",0)</f>
        <v>0</v>
      </c>
      <c r="FR305" t="e">
        <f>AND('STERLING CATALOG - FZN &amp; CHILL'!A1418,"AAAAAHzf260=")</f>
        <v>#VALUE!</v>
      </c>
      <c r="FS305" t="e">
        <f>AND('STERLING CATALOG - FZN &amp; CHILL'!B1418,"AAAAAHzf264=")</f>
        <v>#VALUE!</v>
      </c>
      <c r="FT305" t="e">
        <f>AND('STERLING CATALOG - FZN &amp; CHILL'!C1418,"AAAAAHzf268=")</f>
        <v>#VALUE!</v>
      </c>
      <c r="FU305" t="e">
        <f>AND('STERLING CATALOG - FZN &amp; CHILL'!D1418,"AAAAAHzf27A=")</f>
        <v>#VALUE!</v>
      </c>
      <c r="FV305" t="e">
        <f>AND('STERLING CATALOG - FZN &amp; CHILL'!E1418,"AAAAAHzf27E=")</f>
        <v>#VALUE!</v>
      </c>
      <c r="FW305" t="e">
        <f>AND('STERLING CATALOG - FZN &amp; CHILL'!F1418,"AAAAAHzf27I=")</f>
        <v>#VALUE!</v>
      </c>
      <c r="FX305" t="e">
        <f>AND('STERLING CATALOG - FZN &amp; CHILL'!G1418,"AAAAAHzf27M=")</f>
        <v>#VALUE!</v>
      </c>
      <c r="FY305" t="e">
        <f>AND('STERLING CATALOG - FZN &amp; CHILL'!H1418,"AAAAAHzf27Q=")</f>
        <v>#VALUE!</v>
      </c>
      <c r="FZ305" t="e">
        <f>AND('STERLING CATALOG - FZN &amp; CHILL'!I1418,"AAAAAHzf27U=")</f>
        <v>#VALUE!</v>
      </c>
      <c r="GA305" t="e">
        <f>AND('STERLING CATALOG - FZN &amp; CHILL'!J1418,"AAAAAHzf27Y=")</f>
        <v>#VALUE!</v>
      </c>
      <c r="GB305">
        <f>IF('STERLING CATALOG - FZN &amp; CHILL'!1419:1419,"AAAAAHzf27c=",0)</f>
        <v>0</v>
      </c>
      <c r="GC305" t="e">
        <f>AND('STERLING CATALOG - FZN &amp; CHILL'!A1419,"AAAAAHzf27g=")</f>
        <v>#VALUE!</v>
      </c>
      <c r="GD305" t="e">
        <f>AND('STERLING CATALOG - FZN &amp; CHILL'!B1419,"AAAAAHzf27k=")</f>
        <v>#VALUE!</v>
      </c>
      <c r="GE305" t="e">
        <f>AND('STERLING CATALOG - FZN &amp; CHILL'!C1419,"AAAAAHzf27o=")</f>
        <v>#VALUE!</v>
      </c>
      <c r="GF305" t="e">
        <f>AND('STERLING CATALOG - FZN &amp; CHILL'!D1419,"AAAAAHzf27s=")</f>
        <v>#VALUE!</v>
      </c>
      <c r="GG305" t="e">
        <f>AND('STERLING CATALOG - FZN &amp; CHILL'!E1419,"AAAAAHzf27w=")</f>
        <v>#VALUE!</v>
      </c>
      <c r="GH305" t="e">
        <f>AND('STERLING CATALOG - FZN &amp; CHILL'!F1419,"AAAAAHzf270=")</f>
        <v>#VALUE!</v>
      </c>
      <c r="GI305" t="e">
        <f>AND('STERLING CATALOG - FZN &amp; CHILL'!G1419,"AAAAAHzf274=")</f>
        <v>#VALUE!</v>
      </c>
      <c r="GJ305" t="e">
        <f>AND('STERLING CATALOG - FZN &amp; CHILL'!H1419,"AAAAAHzf278=")</f>
        <v>#VALUE!</v>
      </c>
      <c r="GK305" t="e">
        <f>AND('STERLING CATALOG - FZN &amp; CHILL'!I1419,"AAAAAHzf28A=")</f>
        <v>#VALUE!</v>
      </c>
      <c r="GL305" t="e">
        <f>AND('STERLING CATALOG - FZN &amp; CHILL'!J1419,"AAAAAHzf28E=")</f>
        <v>#VALUE!</v>
      </c>
      <c r="GM305">
        <f>IF('STERLING CATALOG - FZN &amp; CHILL'!1420:1420,"AAAAAHzf28I=",0)</f>
        <v>0</v>
      </c>
      <c r="GN305" t="e">
        <f>AND('STERLING CATALOG - FZN &amp; CHILL'!A1420,"AAAAAHzf28M=")</f>
        <v>#VALUE!</v>
      </c>
      <c r="GO305" t="e">
        <f>AND('STERLING CATALOG - FZN &amp; CHILL'!B1420,"AAAAAHzf28Q=")</f>
        <v>#VALUE!</v>
      </c>
      <c r="GP305" t="e">
        <f>AND('STERLING CATALOG - FZN &amp; CHILL'!C1420,"AAAAAHzf28U=")</f>
        <v>#VALUE!</v>
      </c>
      <c r="GQ305" t="e">
        <f>AND('STERLING CATALOG - FZN &amp; CHILL'!D1420,"AAAAAHzf28Y=")</f>
        <v>#VALUE!</v>
      </c>
      <c r="GR305" t="e">
        <f>AND('STERLING CATALOG - FZN &amp; CHILL'!E1420,"AAAAAHzf28c=")</f>
        <v>#VALUE!</v>
      </c>
      <c r="GS305" t="e">
        <f>AND('STERLING CATALOG - FZN &amp; CHILL'!F1420,"AAAAAHzf28g=")</f>
        <v>#VALUE!</v>
      </c>
      <c r="GT305" t="e">
        <f>AND('STERLING CATALOG - FZN &amp; CHILL'!G1420,"AAAAAHzf28k=")</f>
        <v>#VALUE!</v>
      </c>
      <c r="GU305" t="e">
        <f>AND('STERLING CATALOG - FZN &amp; CHILL'!H1420,"AAAAAHzf28o=")</f>
        <v>#VALUE!</v>
      </c>
      <c r="GV305" t="e">
        <f>AND('STERLING CATALOG - FZN &amp; CHILL'!I1420,"AAAAAHzf28s=")</f>
        <v>#VALUE!</v>
      </c>
      <c r="GW305" t="e">
        <f>AND('STERLING CATALOG - FZN &amp; CHILL'!J1420,"AAAAAHzf28w=")</f>
        <v>#VALUE!</v>
      </c>
      <c r="GX305">
        <f>IF('STERLING CATALOG - FZN &amp; CHILL'!1421:1421,"AAAAAHzf280=",0)</f>
        <v>0</v>
      </c>
      <c r="GY305" t="e">
        <f>AND('STERLING CATALOG - FZN &amp; CHILL'!A1421,"AAAAAHzf284=")</f>
        <v>#VALUE!</v>
      </c>
      <c r="GZ305" t="e">
        <f>AND('STERLING CATALOG - FZN &amp; CHILL'!B1421,"AAAAAHzf288=")</f>
        <v>#VALUE!</v>
      </c>
      <c r="HA305" t="e">
        <f>AND('STERLING CATALOG - FZN &amp; CHILL'!C1421,"AAAAAHzf29A=")</f>
        <v>#VALUE!</v>
      </c>
      <c r="HB305" t="e">
        <f>AND('STERLING CATALOG - FZN &amp; CHILL'!D1421,"AAAAAHzf29E=")</f>
        <v>#VALUE!</v>
      </c>
      <c r="HC305" t="e">
        <f>AND('STERLING CATALOG - FZN &amp; CHILL'!E1421,"AAAAAHzf29I=")</f>
        <v>#VALUE!</v>
      </c>
      <c r="HD305" t="e">
        <f>AND('STERLING CATALOG - FZN &amp; CHILL'!F1421,"AAAAAHzf29M=")</f>
        <v>#VALUE!</v>
      </c>
      <c r="HE305" t="e">
        <f>AND('STERLING CATALOG - FZN &amp; CHILL'!G1421,"AAAAAHzf29Q=")</f>
        <v>#VALUE!</v>
      </c>
      <c r="HF305" t="e">
        <f>AND('STERLING CATALOG - FZN &amp; CHILL'!H1421,"AAAAAHzf29U=")</f>
        <v>#VALUE!</v>
      </c>
      <c r="HG305" t="e">
        <f>AND('STERLING CATALOG - FZN &amp; CHILL'!I1421,"AAAAAHzf29Y=")</f>
        <v>#VALUE!</v>
      </c>
      <c r="HH305" t="e">
        <f>AND('STERLING CATALOG - FZN &amp; CHILL'!J1421,"AAAAAHzf29c=")</f>
        <v>#VALUE!</v>
      </c>
      <c r="HI305">
        <f>IF('STERLING CATALOG - FZN &amp; CHILL'!1422:1422,"AAAAAHzf29g=",0)</f>
        <v>0</v>
      </c>
      <c r="HJ305" t="e">
        <f>AND('STERLING CATALOG - FZN &amp; CHILL'!A1422,"AAAAAHzf29k=")</f>
        <v>#VALUE!</v>
      </c>
      <c r="HK305" t="e">
        <f>AND('STERLING CATALOG - FZN &amp; CHILL'!B1422,"AAAAAHzf29o=")</f>
        <v>#VALUE!</v>
      </c>
      <c r="HL305" t="e">
        <f>AND('STERLING CATALOG - FZN &amp; CHILL'!C1422,"AAAAAHzf29s=")</f>
        <v>#VALUE!</v>
      </c>
      <c r="HM305" t="e">
        <f>AND('STERLING CATALOG - FZN &amp; CHILL'!D1422,"AAAAAHzf29w=")</f>
        <v>#VALUE!</v>
      </c>
      <c r="HN305" t="e">
        <f>AND('STERLING CATALOG - FZN &amp; CHILL'!E1422,"AAAAAHzf290=")</f>
        <v>#VALUE!</v>
      </c>
      <c r="HO305" t="e">
        <f>AND('STERLING CATALOG - FZN &amp; CHILL'!F1422,"AAAAAHzf294=")</f>
        <v>#VALUE!</v>
      </c>
      <c r="HP305" t="e">
        <f>AND('STERLING CATALOG - FZN &amp; CHILL'!G1422,"AAAAAHzf298=")</f>
        <v>#VALUE!</v>
      </c>
      <c r="HQ305" t="e">
        <f>AND('STERLING CATALOG - FZN &amp; CHILL'!H1422,"AAAAAHzf2+A=")</f>
        <v>#VALUE!</v>
      </c>
      <c r="HR305" t="e">
        <f>AND('STERLING CATALOG - FZN &amp; CHILL'!I1422,"AAAAAHzf2+E=")</f>
        <v>#VALUE!</v>
      </c>
      <c r="HS305" t="e">
        <f>AND('STERLING CATALOG - FZN &amp; CHILL'!J1422,"AAAAAHzf2+I=")</f>
        <v>#VALUE!</v>
      </c>
      <c r="HT305">
        <f>IF('STERLING CATALOG - FZN &amp; CHILL'!1423:1423,"AAAAAHzf2+M=",0)</f>
        <v>0</v>
      </c>
      <c r="HU305" t="e">
        <f>AND('STERLING CATALOG - FZN &amp; CHILL'!A1423,"AAAAAHzf2+Q=")</f>
        <v>#VALUE!</v>
      </c>
      <c r="HV305" t="e">
        <f>AND('STERLING CATALOG - FZN &amp; CHILL'!B1423,"AAAAAHzf2+U=")</f>
        <v>#VALUE!</v>
      </c>
      <c r="HW305" t="e">
        <f>AND('STERLING CATALOG - FZN &amp; CHILL'!C1423,"AAAAAHzf2+Y=")</f>
        <v>#VALUE!</v>
      </c>
      <c r="HX305" t="e">
        <f>AND('STERLING CATALOG - FZN &amp; CHILL'!D1423,"AAAAAHzf2+c=")</f>
        <v>#VALUE!</v>
      </c>
      <c r="HY305" t="e">
        <f>AND('STERLING CATALOG - FZN &amp; CHILL'!E1423,"AAAAAHzf2+g=")</f>
        <v>#VALUE!</v>
      </c>
      <c r="HZ305" t="e">
        <f>AND('STERLING CATALOG - FZN &amp; CHILL'!F1423,"AAAAAHzf2+k=")</f>
        <v>#VALUE!</v>
      </c>
      <c r="IA305" t="e">
        <f>AND('STERLING CATALOG - FZN &amp; CHILL'!G1423,"AAAAAHzf2+o=")</f>
        <v>#VALUE!</v>
      </c>
      <c r="IB305" t="e">
        <f>AND('STERLING CATALOG - FZN &amp; CHILL'!H1423,"AAAAAHzf2+s=")</f>
        <v>#VALUE!</v>
      </c>
      <c r="IC305" t="e">
        <f>AND('STERLING CATALOG - FZN &amp; CHILL'!I1423,"AAAAAHzf2+w=")</f>
        <v>#VALUE!</v>
      </c>
      <c r="ID305" t="e">
        <f>AND('STERLING CATALOG - FZN &amp; CHILL'!J1423,"AAAAAHzf2+0=")</f>
        <v>#VALUE!</v>
      </c>
      <c r="IE305">
        <f>IF('STERLING CATALOG - FZN &amp; CHILL'!1424:1424,"AAAAAHzf2+4=",0)</f>
        <v>0</v>
      </c>
      <c r="IF305" t="e">
        <f>AND('STERLING CATALOG - FZN &amp; CHILL'!A1424,"AAAAAHzf2+8=")</f>
        <v>#VALUE!</v>
      </c>
      <c r="IG305" t="e">
        <f>AND('STERLING CATALOG - FZN &amp; CHILL'!B1424,"AAAAAHzf2/A=")</f>
        <v>#VALUE!</v>
      </c>
      <c r="IH305" t="e">
        <f>AND('STERLING CATALOG - FZN &amp; CHILL'!C1424,"AAAAAHzf2/E=")</f>
        <v>#VALUE!</v>
      </c>
      <c r="II305" t="e">
        <f>AND('STERLING CATALOG - FZN &amp; CHILL'!D1424,"AAAAAHzf2/I=")</f>
        <v>#VALUE!</v>
      </c>
      <c r="IJ305" t="e">
        <f>AND('STERLING CATALOG - FZN &amp; CHILL'!E1424,"AAAAAHzf2/M=")</f>
        <v>#VALUE!</v>
      </c>
      <c r="IK305" t="e">
        <f>AND('STERLING CATALOG - FZN &amp; CHILL'!F1424,"AAAAAHzf2/Q=")</f>
        <v>#VALUE!</v>
      </c>
      <c r="IL305" t="e">
        <f>AND('STERLING CATALOG - FZN &amp; CHILL'!G1424,"AAAAAHzf2/U=")</f>
        <v>#VALUE!</v>
      </c>
      <c r="IM305" t="e">
        <f>AND('STERLING CATALOG - FZN &amp; CHILL'!H1424,"AAAAAHzf2/Y=")</f>
        <v>#VALUE!</v>
      </c>
      <c r="IN305" t="e">
        <f>AND('STERLING CATALOG - FZN &amp; CHILL'!I1424,"AAAAAHzf2/c=")</f>
        <v>#VALUE!</v>
      </c>
      <c r="IO305" t="e">
        <f>AND('STERLING CATALOG - FZN &amp; CHILL'!J1424,"AAAAAHzf2/g=")</f>
        <v>#VALUE!</v>
      </c>
      <c r="IP305">
        <f>IF('STERLING CATALOG - FZN &amp; CHILL'!1425:1425,"AAAAAHzf2/k=",0)</f>
        <v>0</v>
      </c>
      <c r="IQ305" t="e">
        <f>AND('STERLING CATALOG - FZN &amp; CHILL'!A1425,"AAAAAHzf2/o=")</f>
        <v>#VALUE!</v>
      </c>
      <c r="IR305" t="e">
        <f>AND('STERLING CATALOG - FZN &amp; CHILL'!B1425,"AAAAAHzf2/s=")</f>
        <v>#VALUE!</v>
      </c>
      <c r="IS305" t="e">
        <f>AND('STERLING CATALOG - FZN &amp; CHILL'!C1425,"AAAAAHzf2/w=")</f>
        <v>#VALUE!</v>
      </c>
      <c r="IT305" t="e">
        <f>AND('STERLING CATALOG - FZN &amp; CHILL'!D1425,"AAAAAHzf2/0=")</f>
        <v>#VALUE!</v>
      </c>
      <c r="IU305" t="e">
        <f>AND('STERLING CATALOG - FZN &amp; CHILL'!E1425,"AAAAAHzf2/4=")</f>
        <v>#VALUE!</v>
      </c>
      <c r="IV305" t="e">
        <f>AND('STERLING CATALOG - FZN &amp; CHILL'!F1425,"AAAAAHzf2/8=")</f>
        <v>#VALUE!</v>
      </c>
    </row>
    <row r="306" spans="1:256">
      <c r="A306" t="e">
        <f>AND('STERLING CATALOG - FZN &amp; CHILL'!G1425,"AAAAAG1/3wA=")</f>
        <v>#VALUE!</v>
      </c>
      <c r="B306" t="e">
        <f>AND('STERLING CATALOG - FZN &amp; CHILL'!H1425,"AAAAAG1/3wE=")</f>
        <v>#VALUE!</v>
      </c>
      <c r="C306" t="e">
        <f>AND('STERLING CATALOG - FZN &amp; CHILL'!I1425,"AAAAAG1/3wI=")</f>
        <v>#VALUE!</v>
      </c>
      <c r="D306" t="e">
        <f>AND('STERLING CATALOG - FZN &amp; CHILL'!J1425,"AAAAAG1/3wM=")</f>
        <v>#VALUE!</v>
      </c>
      <c r="E306" t="e">
        <f>IF('STERLING CATALOG - FZN &amp; CHILL'!1426:1426,"AAAAAG1/3wQ=",0)</f>
        <v>#VALUE!</v>
      </c>
      <c r="F306" t="e">
        <f>AND('STERLING CATALOG - FZN &amp; CHILL'!A1426,"AAAAAG1/3wU=")</f>
        <v>#VALUE!</v>
      </c>
      <c r="G306" t="e">
        <f>AND('STERLING CATALOG - FZN &amp; CHILL'!B1426,"AAAAAG1/3wY=")</f>
        <v>#VALUE!</v>
      </c>
      <c r="H306" t="e">
        <f>AND('STERLING CATALOG - FZN &amp; CHILL'!C1426,"AAAAAG1/3wc=")</f>
        <v>#VALUE!</v>
      </c>
      <c r="I306" t="e">
        <f>AND('STERLING CATALOG - FZN &amp; CHILL'!D1426,"AAAAAG1/3wg=")</f>
        <v>#VALUE!</v>
      </c>
      <c r="J306" t="e">
        <f>AND('STERLING CATALOG - FZN &amp; CHILL'!E1426,"AAAAAG1/3wk=")</f>
        <v>#VALUE!</v>
      </c>
      <c r="K306" t="e">
        <f>AND('STERLING CATALOG - FZN &amp; CHILL'!F1426,"AAAAAG1/3wo=")</f>
        <v>#VALUE!</v>
      </c>
      <c r="L306" t="e">
        <f>AND('STERLING CATALOG - FZN &amp; CHILL'!G1426,"AAAAAG1/3ws=")</f>
        <v>#VALUE!</v>
      </c>
      <c r="M306" t="e">
        <f>AND('STERLING CATALOG - FZN &amp; CHILL'!H1426,"AAAAAG1/3ww=")</f>
        <v>#VALUE!</v>
      </c>
      <c r="N306" t="e">
        <f>AND('STERLING CATALOG - FZN &amp; CHILL'!I1426,"AAAAAG1/3w0=")</f>
        <v>#VALUE!</v>
      </c>
      <c r="O306" t="e">
        <f>AND('STERLING CATALOG - FZN &amp; CHILL'!J1426,"AAAAAG1/3w4=")</f>
        <v>#VALUE!</v>
      </c>
      <c r="P306">
        <f>IF('STERLING CATALOG - FZN &amp; CHILL'!1427:1427,"AAAAAG1/3w8=",0)</f>
        <v>0</v>
      </c>
      <c r="Q306" t="e">
        <f>AND('STERLING CATALOG - FZN &amp; CHILL'!A1427,"AAAAAG1/3xA=")</f>
        <v>#VALUE!</v>
      </c>
      <c r="R306" t="e">
        <f>AND('STERLING CATALOG - FZN &amp; CHILL'!B1427,"AAAAAG1/3xE=")</f>
        <v>#VALUE!</v>
      </c>
      <c r="S306" t="e">
        <f>AND('STERLING CATALOG - FZN &amp; CHILL'!C1427,"AAAAAG1/3xI=")</f>
        <v>#VALUE!</v>
      </c>
      <c r="T306" t="e">
        <f>AND('STERLING CATALOG - FZN &amp; CHILL'!D1427,"AAAAAG1/3xM=")</f>
        <v>#VALUE!</v>
      </c>
      <c r="U306" t="e">
        <f>AND('STERLING CATALOG - FZN &amp; CHILL'!E1427,"AAAAAG1/3xQ=")</f>
        <v>#VALUE!</v>
      </c>
      <c r="V306" t="e">
        <f>AND('STERLING CATALOG - FZN &amp; CHILL'!F1427,"AAAAAG1/3xU=")</f>
        <v>#VALUE!</v>
      </c>
      <c r="W306" t="e">
        <f>AND('STERLING CATALOG - FZN &amp; CHILL'!G1427,"AAAAAG1/3xY=")</f>
        <v>#VALUE!</v>
      </c>
      <c r="X306" t="e">
        <f>AND('STERLING CATALOG - FZN &amp; CHILL'!H1427,"AAAAAG1/3xc=")</f>
        <v>#VALUE!</v>
      </c>
      <c r="Y306" t="e">
        <f>AND('STERLING CATALOG - FZN &amp; CHILL'!I1427,"AAAAAG1/3xg=")</f>
        <v>#VALUE!</v>
      </c>
      <c r="Z306" t="e">
        <f>AND('STERLING CATALOG - FZN &amp; CHILL'!J1427,"AAAAAG1/3xk=")</f>
        <v>#VALUE!</v>
      </c>
      <c r="AA306">
        <f>IF('STERLING CATALOG - FZN &amp; CHILL'!1428:1428,"AAAAAG1/3xo=",0)</f>
        <v>0</v>
      </c>
      <c r="AB306" t="e">
        <f>AND('STERLING CATALOG - FZN &amp; CHILL'!A1428,"AAAAAG1/3xs=")</f>
        <v>#VALUE!</v>
      </c>
      <c r="AC306" t="e">
        <f>AND('STERLING CATALOG - FZN &amp; CHILL'!B1428,"AAAAAG1/3xw=")</f>
        <v>#VALUE!</v>
      </c>
      <c r="AD306" t="e">
        <f>AND('STERLING CATALOG - FZN &amp; CHILL'!C1428,"AAAAAG1/3x0=")</f>
        <v>#VALUE!</v>
      </c>
      <c r="AE306" t="e">
        <f>AND('STERLING CATALOG - FZN &amp; CHILL'!D1428,"AAAAAG1/3x4=")</f>
        <v>#VALUE!</v>
      </c>
      <c r="AF306" t="e">
        <f>AND('STERLING CATALOG - FZN &amp; CHILL'!E1428,"AAAAAG1/3x8=")</f>
        <v>#VALUE!</v>
      </c>
      <c r="AG306" t="e">
        <f>AND('STERLING CATALOG - FZN &amp; CHILL'!F1428,"AAAAAG1/3yA=")</f>
        <v>#VALUE!</v>
      </c>
      <c r="AH306" t="e">
        <f>AND('STERLING CATALOG - FZN &amp; CHILL'!G1428,"AAAAAG1/3yE=")</f>
        <v>#VALUE!</v>
      </c>
      <c r="AI306" t="e">
        <f>AND('STERLING CATALOG - FZN &amp; CHILL'!H1428,"AAAAAG1/3yI=")</f>
        <v>#VALUE!</v>
      </c>
      <c r="AJ306" t="e">
        <f>AND('STERLING CATALOG - FZN &amp; CHILL'!I1428,"AAAAAG1/3yM=")</f>
        <v>#VALUE!</v>
      </c>
      <c r="AK306" t="e">
        <f>AND('STERLING CATALOG - FZN &amp; CHILL'!J1428,"AAAAAG1/3yQ=")</f>
        <v>#VALUE!</v>
      </c>
      <c r="AL306">
        <f>IF('STERLING CATALOG - FZN &amp; CHILL'!1429:1429,"AAAAAG1/3yU=",0)</f>
        <v>0</v>
      </c>
      <c r="AM306" t="e">
        <f>AND('STERLING CATALOG - FZN &amp; CHILL'!A1429,"AAAAAG1/3yY=")</f>
        <v>#VALUE!</v>
      </c>
      <c r="AN306" t="e">
        <f>AND('STERLING CATALOG - FZN &amp; CHILL'!B1429,"AAAAAG1/3yc=")</f>
        <v>#VALUE!</v>
      </c>
      <c r="AO306" t="e">
        <f>AND('STERLING CATALOG - FZN &amp; CHILL'!C1429,"AAAAAG1/3yg=")</f>
        <v>#VALUE!</v>
      </c>
      <c r="AP306" t="e">
        <f>AND('STERLING CATALOG - FZN &amp; CHILL'!D1429,"AAAAAG1/3yk=")</f>
        <v>#VALUE!</v>
      </c>
      <c r="AQ306" t="e">
        <f>AND('STERLING CATALOG - FZN &amp; CHILL'!E1429,"AAAAAG1/3yo=")</f>
        <v>#VALUE!</v>
      </c>
      <c r="AR306" t="e">
        <f>AND('STERLING CATALOG - FZN &amp; CHILL'!F1429,"AAAAAG1/3ys=")</f>
        <v>#VALUE!</v>
      </c>
      <c r="AS306" t="e">
        <f>AND('STERLING CATALOG - FZN &amp; CHILL'!G1429,"AAAAAG1/3yw=")</f>
        <v>#VALUE!</v>
      </c>
      <c r="AT306" t="e">
        <f>AND('STERLING CATALOG - FZN &amp; CHILL'!H1429,"AAAAAG1/3y0=")</f>
        <v>#VALUE!</v>
      </c>
      <c r="AU306" t="e">
        <f>AND('STERLING CATALOG - FZN &amp; CHILL'!I1429,"AAAAAG1/3y4=")</f>
        <v>#VALUE!</v>
      </c>
      <c r="AV306" t="e">
        <f>AND('STERLING CATALOG - FZN &amp; CHILL'!J1429,"AAAAAG1/3y8=")</f>
        <v>#VALUE!</v>
      </c>
      <c r="AW306">
        <f>IF('STERLING CATALOG - FZN &amp; CHILL'!1430:1430,"AAAAAG1/3zA=",0)</f>
        <v>0</v>
      </c>
      <c r="AX306" t="e">
        <f>AND('STERLING CATALOG - FZN &amp; CHILL'!A1430,"AAAAAG1/3zE=")</f>
        <v>#VALUE!</v>
      </c>
      <c r="AY306" t="e">
        <f>AND('STERLING CATALOG - FZN &amp; CHILL'!B1430,"AAAAAG1/3zI=")</f>
        <v>#VALUE!</v>
      </c>
      <c r="AZ306" t="e">
        <f>AND('STERLING CATALOG - FZN &amp; CHILL'!C1430,"AAAAAG1/3zM=")</f>
        <v>#VALUE!</v>
      </c>
      <c r="BA306" t="e">
        <f>AND('STERLING CATALOG - FZN &amp; CHILL'!D1430,"AAAAAG1/3zQ=")</f>
        <v>#VALUE!</v>
      </c>
      <c r="BB306" t="e">
        <f>AND('STERLING CATALOG - FZN &amp; CHILL'!E1430,"AAAAAG1/3zU=")</f>
        <v>#VALUE!</v>
      </c>
      <c r="BC306" t="e">
        <f>AND('STERLING CATALOG - FZN &amp; CHILL'!F1430,"AAAAAG1/3zY=")</f>
        <v>#VALUE!</v>
      </c>
      <c r="BD306" t="e">
        <f>AND('STERLING CATALOG - FZN &amp; CHILL'!G1430,"AAAAAG1/3zc=")</f>
        <v>#VALUE!</v>
      </c>
      <c r="BE306" t="e">
        <f>AND('STERLING CATALOG - FZN &amp; CHILL'!H1430,"AAAAAG1/3zg=")</f>
        <v>#VALUE!</v>
      </c>
      <c r="BF306" t="e">
        <f>AND('STERLING CATALOG - FZN &amp; CHILL'!I1430,"AAAAAG1/3zk=")</f>
        <v>#VALUE!</v>
      </c>
      <c r="BG306" t="e">
        <f>AND('STERLING CATALOG - FZN &amp; CHILL'!J1430,"AAAAAG1/3zo=")</f>
        <v>#VALUE!</v>
      </c>
      <c r="BH306">
        <f>IF('STERLING CATALOG - FZN &amp; CHILL'!1431:1431,"AAAAAG1/3zs=",0)</f>
        <v>0</v>
      </c>
      <c r="BI306" t="e">
        <f>AND('STERLING CATALOG - FZN &amp; CHILL'!A1431,"AAAAAG1/3zw=")</f>
        <v>#VALUE!</v>
      </c>
      <c r="BJ306" t="e">
        <f>AND('STERLING CATALOG - FZN &amp; CHILL'!B1431,"AAAAAG1/3z0=")</f>
        <v>#VALUE!</v>
      </c>
      <c r="BK306" t="e">
        <f>AND('STERLING CATALOG - FZN &amp; CHILL'!C1431,"AAAAAG1/3z4=")</f>
        <v>#VALUE!</v>
      </c>
      <c r="BL306" t="e">
        <f>AND('STERLING CATALOG - FZN &amp; CHILL'!D1431,"AAAAAG1/3z8=")</f>
        <v>#VALUE!</v>
      </c>
      <c r="BM306" t="e">
        <f>AND('STERLING CATALOG - FZN &amp; CHILL'!E1431,"AAAAAG1/30A=")</f>
        <v>#VALUE!</v>
      </c>
      <c r="BN306" t="e">
        <f>AND('STERLING CATALOG - FZN &amp; CHILL'!F1431,"AAAAAG1/30E=")</f>
        <v>#VALUE!</v>
      </c>
      <c r="BO306" t="e">
        <f>AND('STERLING CATALOG - FZN &amp; CHILL'!G1431,"AAAAAG1/30I=")</f>
        <v>#VALUE!</v>
      </c>
      <c r="BP306" t="e">
        <f>AND('STERLING CATALOG - FZN &amp; CHILL'!H1431,"AAAAAG1/30M=")</f>
        <v>#VALUE!</v>
      </c>
      <c r="BQ306" t="e">
        <f>AND('STERLING CATALOG - FZN &amp; CHILL'!I1431,"AAAAAG1/30Q=")</f>
        <v>#VALUE!</v>
      </c>
      <c r="BR306" t="e">
        <f>AND('STERLING CATALOG - FZN &amp; CHILL'!J1431,"AAAAAG1/30U=")</f>
        <v>#VALUE!</v>
      </c>
      <c r="BS306">
        <f>IF('STERLING CATALOG - FZN &amp; CHILL'!1432:1432,"AAAAAG1/30Y=",0)</f>
        <v>0</v>
      </c>
      <c r="BT306" t="e">
        <f>AND('STERLING CATALOG - FZN &amp; CHILL'!A1432,"AAAAAG1/30c=")</f>
        <v>#VALUE!</v>
      </c>
      <c r="BU306" t="e">
        <f>AND('STERLING CATALOG - FZN &amp; CHILL'!B1432,"AAAAAG1/30g=")</f>
        <v>#VALUE!</v>
      </c>
      <c r="BV306" t="e">
        <f>AND('STERLING CATALOG - FZN &amp; CHILL'!C1432,"AAAAAG1/30k=")</f>
        <v>#VALUE!</v>
      </c>
      <c r="BW306" t="e">
        <f>AND('STERLING CATALOG - FZN &amp; CHILL'!D1432,"AAAAAG1/30o=")</f>
        <v>#VALUE!</v>
      </c>
      <c r="BX306" t="e">
        <f>AND('STERLING CATALOG - FZN &amp; CHILL'!E1432,"AAAAAG1/30s=")</f>
        <v>#VALUE!</v>
      </c>
      <c r="BY306" t="e">
        <f>AND('STERLING CATALOG - FZN &amp; CHILL'!F1432,"AAAAAG1/30w=")</f>
        <v>#VALUE!</v>
      </c>
      <c r="BZ306" t="e">
        <f>AND('STERLING CATALOG - FZN &amp; CHILL'!G1432,"AAAAAG1/300=")</f>
        <v>#VALUE!</v>
      </c>
      <c r="CA306" t="e">
        <f>AND('STERLING CATALOG - FZN &amp; CHILL'!H1432,"AAAAAG1/304=")</f>
        <v>#VALUE!</v>
      </c>
      <c r="CB306" t="e">
        <f>AND('STERLING CATALOG - FZN &amp; CHILL'!I1432,"AAAAAG1/308=")</f>
        <v>#VALUE!</v>
      </c>
      <c r="CC306" t="e">
        <f>AND('STERLING CATALOG - FZN &amp; CHILL'!J1432,"AAAAAG1/31A=")</f>
        <v>#VALUE!</v>
      </c>
      <c r="CD306">
        <f>IF('STERLING CATALOG - FZN &amp; CHILL'!1433:1433,"AAAAAG1/31E=",0)</f>
        <v>0</v>
      </c>
      <c r="CE306" t="e">
        <f>AND('STERLING CATALOG - FZN &amp; CHILL'!A1433,"AAAAAG1/31I=")</f>
        <v>#VALUE!</v>
      </c>
      <c r="CF306" t="e">
        <f>AND('STERLING CATALOG - FZN &amp; CHILL'!B1433,"AAAAAG1/31M=")</f>
        <v>#VALUE!</v>
      </c>
      <c r="CG306" t="e">
        <f>AND('STERLING CATALOG - FZN &amp; CHILL'!C1433,"AAAAAG1/31Q=")</f>
        <v>#VALUE!</v>
      </c>
      <c r="CH306" t="e">
        <f>AND('STERLING CATALOG - FZN &amp; CHILL'!D1433,"AAAAAG1/31U=")</f>
        <v>#VALUE!</v>
      </c>
      <c r="CI306" t="e">
        <f>AND('STERLING CATALOG - FZN &amp; CHILL'!E1433,"AAAAAG1/31Y=")</f>
        <v>#VALUE!</v>
      </c>
      <c r="CJ306" t="e">
        <f>AND('STERLING CATALOG - FZN &amp; CHILL'!F1433,"AAAAAG1/31c=")</f>
        <v>#VALUE!</v>
      </c>
      <c r="CK306" t="e">
        <f>AND('STERLING CATALOG - FZN &amp; CHILL'!G1433,"AAAAAG1/31g=")</f>
        <v>#VALUE!</v>
      </c>
      <c r="CL306" t="e">
        <f>AND('STERLING CATALOG - FZN &amp; CHILL'!H1433,"AAAAAG1/31k=")</f>
        <v>#VALUE!</v>
      </c>
      <c r="CM306" t="e">
        <f>AND('STERLING CATALOG - FZN &amp; CHILL'!I1433,"AAAAAG1/31o=")</f>
        <v>#VALUE!</v>
      </c>
      <c r="CN306" t="e">
        <f>AND('STERLING CATALOG - FZN &amp; CHILL'!J1433,"AAAAAG1/31s=")</f>
        <v>#VALUE!</v>
      </c>
      <c r="CO306">
        <f>IF('STERLING CATALOG - FZN &amp; CHILL'!1434:1434,"AAAAAG1/31w=",0)</f>
        <v>0</v>
      </c>
      <c r="CP306" t="e">
        <f>AND('STERLING CATALOG - FZN &amp; CHILL'!A1434,"AAAAAG1/310=")</f>
        <v>#VALUE!</v>
      </c>
      <c r="CQ306" t="e">
        <f>AND('STERLING CATALOG - FZN &amp; CHILL'!B1434,"AAAAAG1/314=")</f>
        <v>#VALUE!</v>
      </c>
      <c r="CR306" t="e">
        <f>AND('STERLING CATALOG - FZN &amp; CHILL'!C1434,"AAAAAG1/318=")</f>
        <v>#VALUE!</v>
      </c>
      <c r="CS306" t="e">
        <f>AND('STERLING CATALOG - FZN &amp; CHILL'!D1434,"AAAAAG1/32A=")</f>
        <v>#VALUE!</v>
      </c>
      <c r="CT306" t="e">
        <f>AND('STERLING CATALOG - FZN &amp; CHILL'!E1434,"AAAAAG1/32E=")</f>
        <v>#VALUE!</v>
      </c>
      <c r="CU306" t="e">
        <f>AND('STERLING CATALOG - FZN &amp; CHILL'!F1434,"AAAAAG1/32I=")</f>
        <v>#VALUE!</v>
      </c>
      <c r="CV306" t="e">
        <f>AND('STERLING CATALOG - FZN &amp; CHILL'!G1434,"AAAAAG1/32M=")</f>
        <v>#VALUE!</v>
      </c>
      <c r="CW306" t="e">
        <f>AND('STERLING CATALOG - FZN &amp; CHILL'!H1434,"AAAAAG1/32Q=")</f>
        <v>#VALUE!</v>
      </c>
      <c r="CX306" t="e">
        <f>AND('STERLING CATALOG - FZN &amp; CHILL'!I1434,"AAAAAG1/32U=")</f>
        <v>#VALUE!</v>
      </c>
      <c r="CY306" t="e">
        <f>AND('STERLING CATALOG - FZN &amp; CHILL'!J1434,"AAAAAG1/32Y=")</f>
        <v>#VALUE!</v>
      </c>
      <c r="CZ306">
        <f>IF('STERLING CATALOG - FZN &amp; CHILL'!1435:1435,"AAAAAG1/32c=",0)</f>
        <v>0</v>
      </c>
      <c r="DA306" t="e">
        <f>AND('STERLING CATALOG - FZN &amp; CHILL'!A1435,"AAAAAG1/32g=")</f>
        <v>#VALUE!</v>
      </c>
      <c r="DB306" t="e">
        <f>AND('STERLING CATALOG - FZN &amp; CHILL'!B1435,"AAAAAG1/32k=")</f>
        <v>#VALUE!</v>
      </c>
      <c r="DC306" t="e">
        <f>AND('STERLING CATALOG - FZN &amp; CHILL'!C1435,"AAAAAG1/32o=")</f>
        <v>#VALUE!</v>
      </c>
      <c r="DD306" t="e">
        <f>AND('STERLING CATALOG - FZN &amp; CHILL'!D1435,"AAAAAG1/32s=")</f>
        <v>#VALUE!</v>
      </c>
      <c r="DE306" t="e">
        <f>AND('STERLING CATALOG - FZN &amp; CHILL'!E1435,"AAAAAG1/32w=")</f>
        <v>#VALUE!</v>
      </c>
      <c r="DF306" t="e">
        <f>AND('STERLING CATALOG - FZN &amp; CHILL'!F1435,"AAAAAG1/320=")</f>
        <v>#VALUE!</v>
      </c>
      <c r="DG306" t="e">
        <f>AND('STERLING CATALOG - FZN &amp; CHILL'!G1435,"AAAAAG1/324=")</f>
        <v>#VALUE!</v>
      </c>
      <c r="DH306" t="e">
        <f>AND('STERLING CATALOG - FZN &amp; CHILL'!H1435,"AAAAAG1/328=")</f>
        <v>#VALUE!</v>
      </c>
      <c r="DI306" t="e">
        <f>AND('STERLING CATALOG - FZN &amp; CHILL'!I1435,"AAAAAG1/33A=")</f>
        <v>#VALUE!</v>
      </c>
      <c r="DJ306" t="e">
        <f>AND('STERLING CATALOG - FZN &amp; CHILL'!J1435,"AAAAAG1/33E=")</f>
        <v>#VALUE!</v>
      </c>
      <c r="DK306">
        <f>IF('STERLING CATALOG - FZN &amp; CHILL'!1436:1436,"AAAAAG1/33I=",0)</f>
        <v>0</v>
      </c>
      <c r="DL306" t="e">
        <f>AND('STERLING CATALOG - FZN &amp; CHILL'!A1436,"AAAAAG1/33M=")</f>
        <v>#VALUE!</v>
      </c>
      <c r="DM306" t="e">
        <f>AND('STERLING CATALOG - FZN &amp; CHILL'!B1436,"AAAAAG1/33Q=")</f>
        <v>#VALUE!</v>
      </c>
      <c r="DN306" t="e">
        <f>AND('STERLING CATALOG - FZN &amp; CHILL'!C1436,"AAAAAG1/33U=")</f>
        <v>#VALUE!</v>
      </c>
      <c r="DO306" t="e">
        <f>AND('STERLING CATALOG - FZN &amp; CHILL'!D1436,"AAAAAG1/33Y=")</f>
        <v>#VALUE!</v>
      </c>
      <c r="DP306" t="e">
        <f>AND('STERLING CATALOG - FZN &amp; CHILL'!E1436,"AAAAAG1/33c=")</f>
        <v>#VALUE!</v>
      </c>
      <c r="DQ306" t="e">
        <f>AND('STERLING CATALOG - FZN &amp; CHILL'!F1436,"AAAAAG1/33g=")</f>
        <v>#VALUE!</v>
      </c>
      <c r="DR306" t="e">
        <f>AND('STERLING CATALOG - FZN &amp; CHILL'!G1436,"AAAAAG1/33k=")</f>
        <v>#VALUE!</v>
      </c>
      <c r="DS306" t="e">
        <f>AND('STERLING CATALOG - FZN &amp; CHILL'!H1436,"AAAAAG1/33o=")</f>
        <v>#VALUE!</v>
      </c>
      <c r="DT306" t="e">
        <f>AND('STERLING CATALOG - FZN &amp; CHILL'!I1436,"AAAAAG1/33s=")</f>
        <v>#VALUE!</v>
      </c>
      <c r="DU306" t="e">
        <f>AND('STERLING CATALOG - FZN &amp; CHILL'!J1436,"AAAAAG1/33w=")</f>
        <v>#VALUE!</v>
      </c>
      <c r="DV306">
        <f>IF('STERLING CATALOG - FZN &amp; CHILL'!1437:1437,"AAAAAG1/330=",0)</f>
        <v>0</v>
      </c>
      <c r="DW306" t="e">
        <f>AND('STERLING CATALOG - FZN &amp; CHILL'!A1437,"AAAAAG1/334=")</f>
        <v>#VALUE!</v>
      </c>
      <c r="DX306" t="e">
        <f>AND('STERLING CATALOG - FZN &amp; CHILL'!B1437,"AAAAAG1/338=")</f>
        <v>#VALUE!</v>
      </c>
      <c r="DY306" t="e">
        <f>AND('STERLING CATALOG - FZN &amp; CHILL'!C1437,"AAAAAG1/34A=")</f>
        <v>#VALUE!</v>
      </c>
      <c r="DZ306" t="e">
        <f>AND('STERLING CATALOG - FZN &amp; CHILL'!D1437,"AAAAAG1/34E=")</f>
        <v>#VALUE!</v>
      </c>
      <c r="EA306" t="e">
        <f>AND('STERLING CATALOG - FZN &amp; CHILL'!E1437,"AAAAAG1/34I=")</f>
        <v>#VALUE!</v>
      </c>
      <c r="EB306" t="e">
        <f>AND('STERLING CATALOG - FZN &amp; CHILL'!F1437,"AAAAAG1/34M=")</f>
        <v>#VALUE!</v>
      </c>
      <c r="EC306" t="e">
        <f>AND('STERLING CATALOG - FZN &amp; CHILL'!G1437,"AAAAAG1/34Q=")</f>
        <v>#VALUE!</v>
      </c>
      <c r="ED306" t="e">
        <f>AND('STERLING CATALOG - FZN &amp; CHILL'!H1437,"AAAAAG1/34U=")</f>
        <v>#VALUE!</v>
      </c>
      <c r="EE306" t="e">
        <f>AND('STERLING CATALOG - FZN &amp; CHILL'!I1437,"AAAAAG1/34Y=")</f>
        <v>#VALUE!</v>
      </c>
      <c r="EF306" t="e">
        <f>AND('STERLING CATALOG - FZN &amp; CHILL'!J1437,"AAAAAG1/34c=")</f>
        <v>#VALUE!</v>
      </c>
      <c r="EG306">
        <f>IF('STERLING CATALOG - FZN &amp; CHILL'!1438:1438,"AAAAAG1/34g=",0)</f>
        <v>0</v>
      </c>
      <c r="EH306" t="e">
        <f>AND('STERLING CATALOG - FZN &amp; CHILL'!A1438,"AAAAAG1/34k=")</f>
        <v>#VALUE!</v>
      </c>
      <c r="EI306" t="e">
        <f>AND('STERLING CATALOG - FZN &amp; CHILL'!B1438,"AAAAAG1/34o=")</f>
        <v>#VALUE!</v>
      </c>
      <c r="EJ306" t="e">
        <f>AND('STERLING CATALOG - FZN &amp; CHILL'!C1438,"AAAAAG1/34s=")</f>
        <v>#VALUE!</v>
      </c>
      <c r="EK306" t="e">
        <f>AND('STERLING CATALOG - FZN &amp; CHILL'!D1438,"AAAAAG1/34w=")</f>
        <v>#VALUE!</v>
      </c>
      <c r="EL306" t="e">
        <f>AND('STERLING CATALOG - FZN &amp; CHILL'!E1438,"AAAAAG1/340=")</f>
        <v>#VALUE!</v>
      </c>
      <c r="EM306" t="e">
        <f>AND('STERLING CATALOG - FZN &amp; CHILL'!F1438,"AAAAAG1/344=")</f>
        <v>#VALUE!</v>
      </c>
      <c r="EN306" t="e">
        <f>AND('STERLING CATALOG - FZN &amp; CHILL'!G1438,"AAAAAG1/348=")</f>
        <v>#VALUE!</v>
      </c>
      <c r="EO306" t="e">
        <f>AND('STERLING CATALOG - FZN &amp; CHILL'!H1438,"AAAAAG1/35A=")</f>
        <v>#VALUE!</v>
      </c>
      <c r="EP306" t="e">
        <f>AND('STERLING CATALOG - FZN &amp; CHILL'!I1438,"AAAAAG1/35E=")</f>
        <v>#VALUE!</v>
      </c>
      <c r="EQ306" t="e">
        <f>AND('STERLING CATALOG - FZN &amp; CHILL'!J1438,"AAAAAG1/35I=")</f>
        <v>#VALUE!</v>
      </c>
      <c r="ER306">
        <f>IF('STERLING CATALOG - FZN &amp; CHILL'!1439:1439,"AAAAAG1/35M=",0)</f>
        <v>0</v>
      </c>
      <c r="ES306" t="e">
        <f>AND('STERLING CATALOG - FZN &amp; CHILL'!A1439,"AAAAAG1/35Q=")</f>
        <v>#VALUE!</v>
      </c>
      <c r="ET306" t="e">
        <f>AND('STERLING CATALOG - FZN &amp; CHILL'!B1439,"AAAAAG1/35U=")</f>
        <v>#VALUE!</v>
      </c>
      <c r="EU306" t="e">
        <f>AND('STERLING CATALOG - FZN &amp; CHILL'!C1439,"AAAAAG1/35Y=")</f>
        <v>#VALUE!</v>
      </c>
      <c r="EV306" t="e">
        <f>AND('STERLING CATALOG - FZN &amp; CHILL'!D1439,"AAAAAG1/35c=")</f>
        <v>#VALUE!</v>
      </c>
      <c r="EW306" t="e">
        <f>AND('STERLING CATALOG - FZN &amp; CHILL'!E1439,"AAAAAG1/35g=")</f>
        <v>#VALUE!</v>
      </c>
      <c r="EX306" t="e">
        <f>AND('STERLING CATALOG - FZN &amp; CHILL'!F1439,"AAAAAG1/35k=")</f>
        <v>#VALUE!</v>
      </c>
      <c r="EY306" t="e">
        <f>AND('STERLING CATALOG - FZN &amp; CHILL'!G1439,"AAAAAG1/35o=")</f>
        <v>#VALUE!</v>
      </c>
      <c r="EZ306" t="e">
        <f>AND('STERLING CATALOG - FZN &amp; CHILL'!H1439,"AAAAAG1/35s=")</f>
        <v>#VALUE!</v>
      </c>
      <c r="FA306" t="e">
        <f>AND('STERLING CATALOG - FZN &amp; CHILL'!I1439,"AAAAAG1/35w=")</f>
        <v>#VALUE!</v>
      </c>
      <c r="FB306" t="e">
        <f>AND('STERLING CATALOG - FZN &amp; CHILL'!J1439,"AAAAAG1/350=")</f>
        <v>#VALUE!</v>
      </c>
      <c r="FC306">
        <f>IF('STERLING CATALOG - FZN &amp; CHILL'!1440:1440,"AAAAAG1/354=",0)</f>
        <v>0</v>
      </c>
      <c r="FD306" t="e">
        <f>AND('STERLING CATALOG - FZN &amp; CHILL'!A1440,"AAAAAG1/358=")</f>
        <v>#VALUE!</v>
      </c>
      <c r="FE306" t="e">
        <f>AND('STERLING CATALOG - FZN &amp; CHILL'!B1440,"AAAAAG1/36A=")</f>
        <v>#VALUE!</v>
      </c>
      <c r="FF306" t="e">
        <f>AND('STERLING CATALOG - FZN &amp; CHILL'!C1440,"AAAAAG1/36E=")</f>
        <v>#VALUE!</v>
      </c>
      <c r="FG306" t="e">
        <f>AND('STERLING CATALOG - FZN &amp; CHILL'!D1440,"AAAAAG1/36I=")</f>
        <v>#VALUE!</v>
      </c>
      <c r="FH306" t="e">
        <f>AND('STERLING CATALOG - FZN &amp; CHILL'!E1440,"AAAAAG1/36M=")</f>
        <v>#VALUE!</v>
      </c>
      <c r="FI306" t="e">
        <f>AND('STERLING CATALOG - FZN &amp; CHILL'!F1440,"AAAAAG1/36Q=")</f>
        <v>#VALUE!</v>
      </c>
      <c r="FJ306" t="e">
        <f>AND('STERLING CATALOG - FZN &amp; CHILL'!G1440,"AAAAAG1/36U=")</f>
        <v>#VALUE!</v>
      </c>
      <c r="FK306" t="e">
        <f>AND('STERLING CATALOG - FZN &amp; CHILL'!H1440,"AAAAAG1/36Y=")</f>
        <v>#VALUE!</v>
      </c>
      <c r="FL306" t="e">
        <f>AND('STERLING CATALOG - FZN &amp; CHILL'!I1440,"AAAAAG1/36c=")</f>
        <v>#VALUE!</v>
      </c>
      <c r="FM306" t="e">
        <f>AND('STERLING CATALOG - FZN &amp; CHILL'!J1440,"AAAAAG1/36g=")</f>
        <v>#VALUE!</v>
      </c>
      <c r="FN306">
        <f>IF('STERLING CATALOG - FZN &amp; CHILL'!1441:1441,"AAAAAG1/36k=",0)</f>
        <v>0</v>
      </c>
      <c r="FO306" t="e">
        <f>AND('STERLING CATALOG - FZN &amp; CHILL'!A1441,"AAAAAG1/36o=")</f>
        <v>#VALUE!</v>
      </c>
      <c r="FP306" t="e">
        <f>AND('STERLING CATALOG - FZN &amp; CHILL'!B1441,"AAAAAG1/36s=")</f>
        <v>#VALUE!</v>
      </c>
      <c r="FQ306" t="e">
        <f>AND('STERLING CATALOG - FZN &amp; CHILL'!C1441,"AAAAAG1/36w=")</f>
        <v>#VALUE!</v>
      </c>
      <c r="FR306" t="e">
        <f>AND('STERLING CATALOG - FZN &amp; CHILL'!D1441,"AAAAAG1/360=")</f>
        <v>#VALUE!</v>
      </c>
      <c r="FS306" t="e">
        <f>AND('STERLING CATALOG - FZN &amp; CHILL'!E1441,"AAAAAG1/364=")</f>
        <v>#VALUE!</v>
      </c>
      <c r="FT306" t="e">
        <f>AND('STERLING CATALOG - FZN &amp; CHILL'!F1441,"AAAAAG1/368=")</f>
        <v>#VALUE!</v>
      </c>
      <c r="FU306" t="e">
        <f>AND('STERLING CATALOG - FZN &amp; CHILL'!G1441,"AAAAAG1/37A=")</f>
        <v>#VALUE!</v>
      </c>
      <c r="FV306" t="e">
        <f>AND('STERLING CATALOG - FZN &amp; CHILL'!H1441,"AAAAAG1/37E=")</f>
        <v>#VALUE!</v>
      </c>
      <c r="FW306" t="e">
        <f>AND('STERLING CATALOG - FZN &amp; CHILL'!I1441,"AAAAAG1/37I=")</f>
        <v>#VALUE!</v>
      </c>
      <c r="FX306" t="e">
        <f>AND('STERLING CATALOG - FZN &amp; CHILL'!J1441,"AAAAAG1/37M=")</f>
        <v>#VALUE!</v>
      </c>
      <c r="FY306">
        <f>IF('STERLING CATALOG - FZN &amp; CHILL'!1442:1442,"AAAAAG1/37Q=",0)</f>
        <v>0</v>
      </c>
      <c r="FZ306" t="e">
        <f>AND('STERLING CATALOG - FZN &amp; CHILL'!A1442,"AAAAAG1/37U=")</f>
        <v>#VALUE!</v>
      </c>
      <c r="GA306" t="e">
        <f>AND('STERLING CATALOG - FZN &amp; CHILL'!B1442,"AAAAAG1/37Y=")</f>
        <v>#VALUE!</v>
      </c>
      <c r="GB306" t="e">
        <f>AND('STERLING CATALOG - FZN &amp; CHILL'!C1442,"AAAAAG1/37c=")</f>
        <v>#VALUE!</v>
      </c>
      <c r="GC306" t="e">
        <f>AND('STERLING CATALOG - FZN &amp; CHILL'!D1442,"AAAAAG1/37g=")</f>
        <v>#VALUE!</v>
      </c>
      <c r="GD306" t="e">
        <f>AND('STERLING CATALOG - FZN &amp; CHILL'!E1442,"AAAAAG1/37k=")</f>
        <v>#VALUE!</v>
      </c>
      <c r="GE306" t="e">
        <f>AND('STERLING CATALOG - FZN &amp; CHILL'!F1442,"AAAAAG1/37o=")</f>
        <v>#VALUE!</v>
      </c>
      <c r="GF306" t="e">
        <f>AND('STERLING CATALOG - FZN &amp; CHILL'!G1442,"AAAAAG1/37s=")</f>
        <v>#VALUE!</v>
      </c>
      <c r="GG306" t="e">
        <f>AND('STERLING CATALOG - FZN &amp; CHILL'!H1442,"AAAAAG1/37w=")</f>
        <v>#VALUE!</v>
      </c>
      <c r="GH306" t="e">
        <f>AND('STERLING CATALOG - FZN &amp; CHILL'!I1442,"AAAAAG1/370=")</f>
        <v>#VALUE!</v>
      </c>
      <c r="GI306" t="e">
        <f>AND('STERLING CATALOG - FZN &amp; CHILL'!J1442,"AAAAAG1/374=")</f>
        <v>#VALUE!</v>
      </c>
      <c r="GJ306">
        <f>IF('STERLING CATALOG - FZN &amp; CHILL'!1443:1443,"AAAAAG1/378=",0)</f>
        <v>0</v>
      </c>
      <c r="GK306" t="e">
        <f>AND('STERLING CATALOG - FZN &amp; CHILL'!A1443,"AAAAAG1/38A=")</f>
        <v>#VALUE!</v>
      </c>
      <c r="GL306" t="e">
        <f>AND('STERLING CATALOG - FZN &amp; CHILL'!B1443,"AAAAAG1/38E=")</f>
        <v>#VALUE!</v>
      </c>
      <c r="GM306" t="e">
        <f>AND('STERLING CATALOG - FZN &amp; CHILL'!C1443,"AAAAAG1/38I=")</f>
        <v>#VALUE!</v>
      </c>
      <c r="GN306" t="e">
        <f>AND('STERLING CATALOG - FZN &amp; CHILL'!D1443,"AAAAAG1/38M=")</f>
        <v>#VALUE!</v>
      </c>
      <c r="GO306" t="e">
        <f>AND('STERLING CATALOG - FZN &amp; CHILL'!E1443,"AAAAAG1/38Q=")</f>
        <v>#VALUE!</v>
      </c>
      <c r="GP306" t="e">
        <f>AND('STERLING CATALOG - FZN &amp; CHILL'!F1443,"AAAAAG1/38U=")</f>
        <v>#VALUE!</v>
      </c>
      <c r="GQ306" t="e">
        <f>AND('STERLING CATALOG - FZN &amp; CHILL'!G1443,"AAAAAG1/38Y=")</f>
        <v>#VALUE!</v>
      </c>
      <c r="GR306" t="e">
        <f>AND('STERLING CATALOG - FZN &amp; CHILL'!H1443,"AAAAAG1/38c=")</f>
        <v>#VALUE!</v>
      </c>
      <c r="GS306" t="e">
        <f>AND('STERLING CATALOG - FZN &amp; CHILL'!I1443,"AAAAAG1/38g=")</f>
        <v>#VALUE!</v>
      </c>
      <c r="GT306" t="e">
        <f>AND('STERLING CATALOG - FZN &amp; CHILL'!J1443,"AAAAAG1/38k=")</f>
        <v>#VALUE!</v>
      </c>
      <c r="GU306">
        <f>IF('STERLING CATALOG - FZN &amp; CHILL'!1444:1444,"AAAAAG1/38o=",0)</f>
        <v>0</v>
      </c>
      <c r="GV306" t="e">
        <f>AND('STERLING CATALOG - FZN &amp; CHILL'!A1444,"AAAAAG1/38s=")</f>
        <v>#VALUE!</v>
      </c>
      <c r="GW306" t="e">
        <f>AND('STERLING CATALOG - FZN &amp; CHILL'!B1444,"AAAAAG1/38w=")</f>
        <v>#VALUE!</v>
      </c>
      <c r="GX306" t="e">
        <f>AND('STERLING CATALOG - FZN &amp; CHILL'!C1444,"AAAAAG1/380=")</f>
        <v>#VALUE!</v>
      </c>
      <c r="GY306" t="e">
        <f>AND('STERLING CATALOG - FZN &amp; CHILL'!D1444,"AAAAAG1/384=")</f>
        <v>#VALUE!</v>
      </c>
      <c r="GZ306" t="e">
        <f>AND('STERLING CATALOG - FZN &amp; CHILL'!E1444,"AAAAAG1/388=")</f>
        <v>#VALUE!</v>
      </c>
      <c r="HA306" t="e">
        <f>AND('STERLING CATALOG - FZN &amp; CHILL'!F1444,"AAAAAG1/39A=")</f>
        <v>#VALUE!</v>
      </c>
      <c r="HB306" t="e">
        <f>AND('STERLING CATALOG - FZN &amp; CHILL'!G1444,"AAAAAG1/39E=")</f>
        <v>#VALUE!</v>
      </c>
      <c r="HC306" t="e">
        <f>AND('STERLING CATALOG - FZN &amp; CHILL'!H1444,"AAAAAG1/39I=")</f>
        <v>#VALUE!</v>
      </c>
      <c r="HD306" t="e">
        <f>AND('STERLING CATALOG - FZN &amp; CHILL'!I1444,"AAAAAG1/39M=")</f>
        <v>#VALUE!</v>
      </c>
      <c r="HE306" t="e">
        <f>AND('STERLING CATALOG - FZN &amp; CHILL'!J1444,"AAAAAG1/39Q=")</f>
        <v>#VALUE!</v>
      </c>
      <c r="HF306">
        <f>IF('STERLING CATALOG - FZN &amp; CHILL'!1445:1445,"AAAAAG1/39U=",0)</f>
        <v>0</v>
      </c>
      <c r="HG306" t="e">
        <f>AND('STERLING CATALOG - FZN &amp; CHILL'!A1445,"AAAAAG1/39Y=")</f>
        <v>#VALUE!</v>
      </c>
      <c r="HH306" t="e">
        <f>AND('STERLING CATALOG - FZN &amp; CHILL'!B1445,"AAAAAG1/39c=")</f>
        <v>#VALUE!</v>
      </c>
      <c r="HI306" t="e">
        <f>AND('STERLING CATALOG - FZN &amp; CHILL'!C1445,"AAAAAG1/39g=")</f>
        <v>#VALUE!</v>
      </c>
      <c r="HJ306" t="e">
        <f>AND('STERLING CATALOG - FZN &amp; CHILL'!D1445,"AAAAAG1/39k=")</f>
        <v>#VALUE!</v>
      </c>
      <c r="HK306" t="e">
        <f>AND('STERLING CATALOG - FZN &amp; CHILL'!E1445,"AAAAAG1/39o=")</f>
        <v>#VALUE!</v>
      </c>
      <c r="HL306" t="e">
        <f>AND('STERLING CATALOG - FZN &amp; CHILL'!F1445,"AAAAAG1/39s=")</f>
        <v>#VALUE!</v>
      </c>
      <c r="HM306" t="e">
        <f>AND('STERLING CATALOG - FZN &amp; CHILL'!G1445,"AAAAAG1/39w=")</f>
        <v>#VALUE!</v>
      </c>
      <c r="HN306" t="e">
        <f>AND('STERLING CATALOG - FZN &amp; CHILL'!H1445,"AAAAAG1/390=")</f>
        <v>#VALUE!</v>
      </c>
      <c r="HO306" t="e">
        <f>AND('STERLING CATALOG - FZN &amp; CHILL'!I1445,"AAAAAG1/394=")</f>
        <v>#VALUE!</v>
      </c>
      <c r="HP306" t="e">
        <f>AND('STERLING CATALOG - FZN &amp; CHILL'!J1445,"AAAAAG1/398=")</f>
        <v>#VALUE!</v>
      </c>
      <c r="HQ306">
        <f>IF('STERLING CATALOG - FZN &amp; CHILL'!1446:1446,"AAAAAG1/3+A=",0)</f>
        <v>0</v>
      </c>
      <c r="HR306" t="e">
        <f>AND('STERLING CATALOG - FZN &amp; CHILL'!A1446,"AAAAAG1/3+E=")</f>
        <v>#VALUE!</v>
      </c>
      <c r="HS306" t="e">
        <f>AND('STERLING CATALOG - FZN &amp; CHILL'!B1446,"AAAAAG1/3+I=")</f>
        <v>#VALUE!</v>
      </c>
      <c r="HT306" t="e">
        <f>AND('STERLING CATALOG - FZN &amp; CHILL'!C1446,"AAAAAG1/3+M=")</f>
        <v>#VALUE!</v>
      </c>
      <c r="HU306" t="e">
        <f>AND('STERLING CATALOG - FZN &amp; CHILL'!D1446,"AAAAAG1/3+Q=")</f>
        <v>#VALUE!</v>
      </c>
      <c r="HV306" t="e">
        <f>AND('STERLING CATALOG - FZN &amp; CHILL'!E1446,"AAAAAG1/3+U=")</f>
        <v>#VALUE!</v>
      </c>
      <c r="HW306" t="e">
        <f>AND('STERLING CATALOG - FZN &amp; CHILL'!F1446,"AAAAAG1/3+Y=")</f>
        <v>#VALUE!</v>
      </c>
      <c r="HX306" t="e">
        <f>AND('STERLING CATALOG - FZN &amp; CHILL'!G1446,"AAAAAG1/3+c=")</f>
        <v>#VALUE!</v>
      </c>
      <c r="HY306" t="e">
        <f>AND('STERLING CATALOG - FZN &amp; CHILL'!H1446,"AAAAAG1/3+g=")</f>
        <v>#VALUE!</v>
      </c>
      <c r="HZ306" t="e">
        <f>AND('STERLING CATALOG - FZN &amp; CHILL'!I1446,"AAAAAG1/3+k=")</f>
        <v>#VALUE!</v>
      </c>
      <c r="IA306" t="e">
        <f>AND('STERLING CATALOG - FZN &amp; CHILL'!J1446,"AAAAAG1/3+o=")</f>
        <v>#VALUE!</v>
      </c>
      <c r="IB306">
        <f>IF('STERLING CATALOG - FZN &amp; CHILL'!1447:1447,"AAAAAG1/3+s=",0)</f>
        <v>0</v>
      </c>
      <c r="IC306" t="e">
        <f>AND('STERLING CATALOG - FZN &amp; CHILL'!A1447,"AAAAAG1/3+w=")</f>
        <v>#VALUE!</v>
      </c>
      <c r="ID306" t="e">
        <f>AND('STERLING CATALOG - FZN &amp; CHILL'!B1447,"AAAAAG1/3+0=")</f>
        <v>#VALUE!</v>
      </c>
      <c r="IE306" t="e">
        <f>AND('STERLING CATALOG - FZN &amp; CHILL'!C1447,"AAAAAG1/3+4=")</f>
        <v>#VALUE!</v>
      </c>
      <c r="IF306" t="e">
        <f>AND('STERLING CATALOG - FZN &amp; CHILL'!D1447,"AAAAAG1/3+8=")</f>
        <v>#VALUE!</v>
      </c>
      <c r="IG306" t="e">
        <f>AND('STERLING CATALOG - FZN &amp; CHILL'!E1447,"AAAAAG1/3/A=")</f>
        <v>#VALUE!</v>
      </c>
      <c r="IH306" t="e">
        <f>AND('STERLING CATALOG - FZN &amp; CHILL'!F1447,"AAAAAG1/3/E=")</f>
        <v>#VALUE!</v>
      </c>
      <c r="II306" t="e">
        <f>AND('STERLING CATALOG - FZN &amp; CHILL'!G1447,"AAAAAG1/3/I=")</f>
        <v>#VALUE!</v>
      </c>
      <c r="IJ306" t="e">
        <f>AND('STERLING CATALOG - FZN &amp; CHILL'!H1447,"AAAAAG1/3/M=")</f>
        <v>#VALUE!</v>
      </c>
      <c r="IK306" t="e">
        <f>AND('STERLING CATALOG - FZN &amp; CHILL'!I1447,"AAAAAG1/3/Q=")</f>
        <v>#VALUE!</v>
      </c>
      <c r="IL306" t="e">
        <f>AND('STERLING CATALOG - FZN &amp; CHILL'!J1447,"AAAAAG1/3/U=")</f>
        <v>#VALUE!</v>
      </c>
      <c r="IM306">
        <f>IF('STERLING CATALOG - FZN &amp; CHILL'!1448:1448,"AAAAAG1/3/Y=",0)</f>
        <v>0</v>
      </c>
      <c r="IN306" t="e">
        <f>AND('STERLING CATALOG - FZN &amp; CHILL'!A1448,"AAAAAG1/3/c=")</f>
        <v>#VALUE!</v>
      </c>
      <c r="IO306" t="e">
        <f>AND('STERLING CATALOG - FZN &amp; CHILL'!B1448,"AAAAAG1/3/g=")</f>
        <v>#VALUE!</v>
      </c>
      <c r="IP306" t="e">
        <f>AND('STERLING CATALOG - FZN &amp; CHILL'!C1448,"AAAAAG1/3/k=")</f>
        <v>#VALUE!</v>
      </c>
      <c r="IQ306" t="e">
        <f>AND('STERLING CATALOG - FZN &amp; CHILL'!D1448,"AAAAAG1/3/o=")</f>
        <v>#VALUE!</v>
      </c>
      <c r="IR306" t="e">
        <f>AND('STERLING CATALOG - FZN &amp; CHILL'!E1448,"AAAAAG1/3/s=")</f>
        <v>#VALUE!</v>
      </c>
      <c r="IS306" t="e">
        <f>AND('STERLING CATALOG - FZN &amp; CHILL'!F1448,"AAAAAG1/3/w=")</f>
        <v>#VALUE!</v>
      </c>
      <c r="IT306" t="e">
        <f>AND('STERLING CATALOG - FZN &amp; CHILL'!G1448,"AAAAAG1/3/0=")</f>
        <v>#VALUE!</v>
      </c>
      <c r="IU306" t="e">
        <f>AND('STERLING CATALOG - FZN &amp; CHILL'!H1448,"AAAAAG1/3/4=")</f>
        <v>#VALUE!</v>
      </c>
      <c r="IV306" t="e">
        <f>AND('STERLING CATALOG - FZN &amp; CHILL'!I1448,"AAAAAG1/3/8=")</f>
        <v>#VALUE!</v>
      </c>
    </row>
    <row r="307" spans="1:256">
      <c r="A307" t="e">
        <f>AND('STERLING CATALOG - FZN &amp; CHILL'!J1448,"AAAAAF6OMwA=")</f>
        <v>#VALUE!</v>
      </c>
      <c r="B307" t="str">
        <f>IF('STERLING CATALOG - FZN &amp; CHILL'!1449:1449,"AAAAAF6OMwE=",0)</f>
        <v>AAAAAF6OMwE=</v>
      </c>
      <c r="C307" t="e">
        <f>AND('STERLING CATALOG - FZN &amp; CHILL'!A1449,"AAAAAF6OMwI=")</f>
        <v>#VALUE!</v>
      </c>
      <c r="D307" t="e">
        <f>AND('STERLING CATALOG - FZN &amp; CHILL'!B1449,"AAAAAF6OMwM=")</f>
        <v>#VALUE!</v>
      </c>
      <c r="E307" t="e">
        <f>AND('STERLING CATALOG - FZN &amp; CHILL'!C1449,"AAAAAF6OMwQ=")</f>
        <v>#VALUE!</v>
      </c>
      <c r="F307" t="e">
        <f>AND('STERLING CATALOG - FZN &amp; CHILL'!D1449,"AAAAAF6OMwU=")</f>
        <v>#VALUE!</v>
      </c>
      <c r="G307" t="e">
        <f>AND('STERLING CATALOG - FZN &amp; CHILL'!E1449,"AAAAAF6OMwY=")</f>
        <v>#VALUE!</v>
      </c>
      <c r="H307" t="e">
        <f>AND('STERLING CATALOG - FZN &amp; CHILL'!F1449,"AAAAAF6OMwc=")</f>
        <v>#VALUE!</v>
      </c>
      <c r="I307" t="e">
        <f>AND('STERLING CATALOG - FZN &amp; CHILL'!G1449,"AAAAAF6OMwg=")</f>
        <v>#VALUE!</v>
      </c>
      <c r="J307" t="e">
        <f>AND('STERLING CATALOG - FZN &amp; CHILL'!H1449,"AAAAAF6OMwk=")</f>
        <v>#VALUE!</v>
      </c>
      <c r="K307" t="e">
        <f>AND('STERLING CATALOG - FZN &amp; CHILL'!I1449,"AAAAAF6OMwo=")</f>
        <v>#VALUE!</v>
      </c>
      <c r="L307" t="e">
        <f>AND('STERLING CATALOG - FZN &amp; CHILL'!J1449,"AAAAAF6OMws=")</f>
        <v>#VALUE!</v>
      </c>
      <c r="M307">
        <f>IF('STERLING CATALOG - FZN &amp; CHILL'!1450:1450,"AAAAAF6OMww=",0)</f>
        <v>0</v>
      </c>
      <c r="N307" t="e">
        <f>AND('STERLING CATALOG - FZN &amp; CHILL'!A1450,"AAAAAF6OMw0=")</f>
        <v>#VALUE!</v>
      </c>
      <c r="O307" t="e">
        <f>AND('STERLING CATALOG - FZN &amp; CHILL'!B1450,"AAAAAF6OMw4=")</f>
        <v>#VALUE!</v>
      </c>
      <c r="P307" t="e">
        <f>AND('STERLING CATALOG - FZN &amp; CHILL'!C1450,"AAAAAF6OMw8=")</f>
        <v>#VALUE!</v>
      </c>
      <c r="Q307" t="e">
        <f>AND('STERLING CATALOG - FZN &amp; CHILL'!D1450,"AAAAAF6OMxA=")</f>
        <v>#VALUE!</v>
      </c>
      <c r="R307" t="e">
        <f>AND('STERLING CATALOG - FZN &amp; CHILL'!E1450,"AAAAAF6OMxE=")</f>
        <v>#VALUE!</v>
      </c>
      <c r="S307" t="e">
        <f>AND('STERLING CATALOG - FZN &amp; CHILL'!F1450,"AAAAAF6OMxI=")</f>
        <v>#VALUE!</v>
      </c>
      <c r="T307" t="e">
        <f>AND('STERLING CATALOG - FZN &amp; CHILL'!G1450,"AAAAAF6OMxM=")</f>
        <v>#VALUE!</v>
      </c>
      <c r="U307" t="e">
        <f>AND('STERLING CATALOG - FZN &amp; CHILL'!H1450,"AAAAAF6OMxQ=")</f>
        <v>#VALUE!</v>
      </c>
      <c r="V307" t="e">
        <f>AND('STERLING CATALOG - FZN &amp; CHILL'!I1450,"AAAAAF6OMxU=")</f>
        <v>#VALUE!</v>
      </c>
      <c r="W307" t="e">
        <f>AND('STERLING CATALOG - FZN &amp; CHILL'!J1450,"AAAAAF6OMxY=")</f>
        <v>#VALUE!</v>
      </c>
      <c r="X307">
        <f>IF('STERLING CATALOG - FZN &amp; CHILL'!1451:1451,"AAAAAF6OMxc=",0)</f>
        <v>0</v>
      </c>
      <c r="Y307" t="e">
        <f>AND('STERLING CATALOG - FZN &amp; CHILL'!A1451,"AAAAAF6OMxg=")</f>
        <v>#VALUE!</v>
      </c>
      <c r="Z307" t="e">
        <f>AND('STERLING CATALOG - FZN &amp; CHILL'!B1451,"AAAAAF6OMxk=")</f>
        <v>#VALUE!</v>
      </c>
      <c r="AA307" t="e">
        <f>AND('STERLING CATALOG - FZN &amp; CHILL'!C1451,"AAAAAF6OMxo=")</f>
        <v>#VALUE!</v>
      </c>
      <c r="AB307" t="e">
        <f>AND('STERLING CATALOG - FZN &amp; CHILL'!D1451,"AAAAAF6OMxs=")</f>
        <v>#VALUE!</v>
      </c>
      <c r="AC307" t="e">
        <f>AND('STERLING CATALOG - FZN &amp; CHILL'!E1451,"AAAAAF6OMxw=")</f>
        <v>#VALUE!</v>
      </c>
      <c r="AD307" t="e">
        <f>AND('STERLING CATALOG - FZN &amp; CHILL'!F1451,"AAAAAF6OMx0=")</f>
        <v>#VALUE!</v>
      </c>
      <c r="AE307" t="e">
        <f>AND('STERLING CATALOG - FZN &amp; CHILL'!G1451,"AAAAAF6OMx4=")</f>
        <v>#VALUE!</v>
      </c>
      <c r="AF307" t="e">
        <f>AND('STERLING CATALOG - FZN &amp; CHILL'!H1451,"AAAAAF6OMx8=")</f>
        <v>#VALUE!</v>
      </c>
      <c r="AG307" t="e">
        <f>AND('STERLING CATALOG - FZN &amp; CHILL'!I1451,"AAAAAF6OMyA=")</f>
        <v>#VALUE!</v>
      </c>
      <c r="AH307" t="e">
        <f>AND('STERLING CATALOG - FZN &amp; CHILL'!J1451,"AAAAAF6OMyE=")</f>
        <v>#VALUE!</v>
      </c>
      <c r="AI307">
        <f>IF('STERLING CATALOG - FZN &amp; CHILL'!1452:1452,"AAAAAF6OMyI=",0)</f>
        <v>0</v>
      </c>
      <c r="AJ307" t="e">
        <f>AND('STERLING CATALOG - FZN &amp; CHILL'!A1452,"AAAAAF6OMyM=")</f>
        <v>#VALUE!</v>
      </c>
      <c r="AK307" t="e">
        <f>AND('STERLING CATALOG - FZN &amp; CHILL'!B1452,"AAAAAF6OMyQ=")</f>
        <v>#VALUE!</v>
      </c>
      <c r="AL307" t="e">
        <f>AND('STERLING CATALOG - FZN &amp; CHILL'!C1452,"AAAAAF6OMyU=")</f>
        <v>#VALUE!</v>
      </c>
      <c r="AM307" t="e">
        <f>AND('STERLING CATALOG - FZN &amp; CHILL'!D1452,"AAAAAF6OMyY=")</f>
        <v>#VALUE!</v>
      </c>
      <c r="AN307" t="e">
        <f>AND('STERLING CATALOG - FZN &amp; CHILL'!E1452,"AAAAAF6OMyc=")</f>
        <v>#VALUE!</v>
      </c>
      <c r="AO307" t="e">
        <f>AND('STERLING CATALOG - FZN &amp; CHILL'!F1452,"AAAAAF6OMyg=")</f>
        <v>#VALUE!</v>
      </c>
      <c r="AP307" t="e">
        <f>AND('STERLING CATALOG - FZN &amp; CHILL'!G1452,"AAAAAF6OMyk=")</f>
        <v>#VALUE!</v>
      </c>
      <c r="AQ307" t="e">
        <f>AND('STERLING CATALOG - FZN &amp; CHILL'!H1452,"AAAAAF6OMyo=")</f>
        <v>#VALUE!</v>
      </c>
      <c r="AR307" t="e">
        <f>AND('STERLING CATALOG - FZN &amp; CHILL'!I1452,"AAAAAF6OMys=")</f>
        <v>#VALUE!</v>
      </c>
      <c r="AS307" t="e">
        <f>AND('STERLING CATALOG - FZN &amp; CHILL'!J1452,"AAAAAF6OMyw=")</f>
        <v>#VALUE!</v>
      </c>
      <c r="AT307">
        <f>IF('STERLING CATALOG - FZN &amp; CHILL'!1453:1453,"AAAAAF6OMy0=",0)</f>
        <v>0</v>
      </c>
      <c r="AU307" t="e">
        <f>AND('STERLING CATALOG - FZN &amp; CHILL'!A1453,"AAAAAF6OMy4=")</f>
        <v>#VALUE!</v>
      </c>
      <c r="AV307" t="e">
        <f>AND('STERLING CATALOG - FZN &amp; CHILL'!B1453,"AAAAAF6OMy8=")</f>
        <v>#VALUE!</v>
      </c>
      <c r="AW307" t="e">
        <f>AND('STERLING CATALOG - FZN &amp; CHILL'!C1453,"AAAAAF6OMzA=")</f>
        <v>#VALUE!</v>
      </c>
      <c r="AX307" t="e">
        <f>AND('STERLING CATALOG - FZN &amp; CHILL'!D1453,"AAAAAF6OMzE=")</f>
        <v>#VALUE!</v>
      </c>
      <c r="AY307" t="e">
        <f>AND('STERLING CATALOG - FZN &amp; CHILL'!E1453,"AAAAAF6OMzI=")</f>
        <v>#VALUE!</v>
      </c>
      <c r="AZ307" t="e">
        <f>AND('STERLING CATALOG - FZN &amp; CHILL'!F1453,"AAAAAF6OMzM=")</f>
        <v>#VALUE!</v>
      </c>
      <c r="BA307" t="e">
        <f>AND('STERLING CATALOG - FZN &amp; CHILL'!G1453,"AAAAAF6OMzQ=")</f>
        <v>#VALUE!</v>
      </c>
      <c r="BB307" t="e">
        <f>AND('STERLING CATALOG - FZN &amp; CHILL'!H1453,"AAAAAF6OMzU=")</f>
        <v>#VALUE!</v>
      </c>
      <c r="BC307" t="e">
        <f>AND('STERLING CATALOG - FZN &amp; CHILL'!I1453,"AAAAAF6OMzY=")</f>
        <v>#VALUE!</v>
      </c>
      <c r="BD307" t="e">
        <f>AND('STERLING CATALOG - FZN &amp; CHILL'!J1453,"AAAAAF6OMzc=")</f>
        <v>#VALUE!</v>
      </c>
      <c r="BE307">
        <f>IF('STERLING CATALOG - FZN &amp; CHILL'!1454:1454,"AAAAAF6OMzg=",0)</f>
        <v>0</v>
      </c>
      <c r="BF307" t="e">
        <f>AND('STERLING CATALOG - FZN &amp; CHILL'!A1454,"AAAAAF6OMzk=")</f>
        <v>#VALUE!</v>
      </c>
      <c r="BG307" t="e">
        <f>AND('STERLING CATALOG - FZN &amp; CHILL'!B1454,"AAAAAF6OMzo=")</f>
        <v>#VALUE!</v>
      </c>
      <c r="BH307" t="e">
        <f>AND('STERLING CATALOG - FZN &amp; CHILL'!C1454,"AAAAAF6OMzs=")</f>
        <v>#VALUE!</v>
      </c>
      <c r="BI307" t="e">
        <f>AND('STERLING CATALOG - FZN &amp; CHILL'!D1454,"AAAAAF6OMzw=")</f>
        <v>#VALUE!</v>
      </c>
      <c r="BJ307" t="e">
        <f>AND('STERLING CATALOG - FZN &amp; CHILL'!E1454,"AAAAAF6OMz0=")</f>
        <v>#VALUE!</v>
      </c>
      <c r="BK307" t="e">
        <f>AND('STERLING CATALOG - FZN &amp; CHILL'!F1454,"AAAAAF6OMz4=")</f>
        <v>#VALUE!</v>
      </c>
      <c r="BL307" t="e">
        <f>AND('STERLING CATALOG - FZN &amp; CHILL'!G1454,"AAAAAF6OMz8=")</f>
        <v>#VALUE!</v>
      </c>
      <c r="BM307" t="e">
        <f>AND('STERLING CATALOG - FZN &amp; CHILL'!H1454,"AAAAAF6OM0A=")</f>
        <v>#VALUE!</v>
      </c>
      <c r="BN307" t="e">
        <f>AND('STERLING CATALOG - FZN &amp; CHILL'!I1454,"AAAAAF6OM0E=")</f>
        <v>#VALUE!</v>
      </c>
      <c r="BO307" t="e">
        <f>AND('STERLING CATALOG - FZN &amp; CHILL'!J1454,"AAAAAF6OM0I=")</f>
        <v>#VALUE!</v>
      </c>
      <c r="BP307">
        <f>IF('STERLING CATALOG - FZN &amp; CHILL'!1455:1455,"AAAAAF6OM0M=",0)</f>
        <v>0</v>
      </c>
      <c r="BQ307" t="e">
        <f>AND('STERLING CATALOG - FZN &amp; CHILL'!A1455,"AAAAAF6OM0Q=")</f>
        <v>#VALUE!</v>
      </c>
      <c r="BR307" t="e">
        <f>AND('STERLING CATALOG - FZN &amp; CHILL'!B1455,"AAAAAF6OM0U=")</f>
        <v>#VALUE!</v>
      </c>
      <c r="BS307" t="e">
        <f>AND('STERLING CATALOG - FZN &amp; CHILL'!C1455,"AAAAAF6OM0Y=")</f>
        <v>#VALUE!</v>
      </c>
      <c r="BT307" t="e">
        <f>AND('STERLING CATALOG - FZN &amp; CHILL'!D1455,"AAAAAF6OM0c=")</f>
        <v>#VALUE!</v>
      </c>
      <c r="BU307" t="e">
        <f>AND('STERLING CATALOG - FZN &amp; CHILL'!E1455,"AAAAAF6OM0g=")</f>
        <v>#VALUE!</v>
      </c>
      <c r="BV307" t="e">
        <f>AND('STERLING CATALOG - FZN &amp; CHILL'!F1455,"AAAAAF6OM0k=")</f>
        <v>#VALUE!</v>
      </c>
      <c r="BW307" t="e">
        <f>AND('STERLING CATALOG - FZN &amp; CHILL'!G1455,"AAAAAF6OM0o=")</f>
        <v>#VALUE!</v>
      </c>
      <c r="BX307" t="e">
        <f>AND('STERLING CATALOG - FZN &amp; CHILL'!H1455,"AAAAAF6OM0s=")</f>
        <v>#VALUE!</v>
      </c>
      <c r="BY307" t="e">
        <f>AND('STERLING CATALOG - FZN &amp; CHILL'!I1455,"AAAAAF6OM0w=")</f>
        <v>#VALUE!</v>
      </c>
      <c r="BZ307" t="e">
        <f>AND('STERLING CATALOG - FZN &amp; CHILL'!J1455,"AAAAAF6OM00=")</f>
        <v>#VALUE!</v>
      </c>
      <c r="CA307">
        <f>IF('STERLING CATALOG - FZN &amp; CHILL'!1456:1456,"AAAAAF6OM04=",0)</f>
        <v>0</v>
      </c>
      <c r="CB307" t="e">
        <f>AND('STERLING CATALOG - FZN &amp; CHILL'!A1456,"AAAAAF6OM08=")</f>
        <v>#VALUE!</v>
      </c>
      <c r="CC307" t="e">
        <f>AND('STERLING CATALOG - FZN &amp; CHILL'!B1456,"AAAAAF6OM1A=")</f>
        <v>#VALUE!</v>
      </c>
      <c r="CD307" t="e">
        <f>AND('STERLING CATALOG - FZN &amp; CHILL'!C1456,"AAAAAF6OM1E=")</f>
        <v>#VALUE!</v>
      </c>
      <c r="CE307" t="e">
        <f>AND('STERLING CATALOG - FZN &amp; CHILL'!D1456,"AAAAAF6OM1I=")</f>
        <v>#VALUE!</v>
      </c>
      <c r="CF307" t="e">
        <f>AND('STERLING CATALOG - FZN &amp; CHILL'!E1456,"AAAAAF6OM1M=")</f>
        <v>#VALUE!</v>
      </c>
      <c r="CG307" t="e">
        <f>AND('STERLING CATALOG - FZN &amp; CHILL'!F1456,"AAAAAF6OM1Q=")</f>
        <v>#VALUE!</v>
      </c>
      <c r="CH307" t="e">
        <f>AND('STERLING CATALOG - FZN &amp; CHILL'!G1456,"AAAAAF6OM1U=")</f>
        <v>#VALUE!</v>
      </c>
      <c r="CI307" t="e">
        <f>AND('STERLING CATALOG - FZN &amp; CHILL'!H1456,"AAAAAF6OM1Y=")</f>
        <v>#VALUE!</v>
      </c>
      <c r="CJ307" t="e">
        <f>AND('STERLING CATALOG - FZN &amp; CHILL'!I1456,"AAAAAF6OM1c=")</f>
        <v>#VALUE!</v>
      </c>
      <c r="CK307" t="e">
        <f>AND('STERLING CATALOG - FZN &amp; CHILL'!J1456,"AAAAAF6OM1g=")</f>
        <v>#VALUE!</v>
      </c>
      <c r="CL307">
        <f>IF('STERLING CATALOG - FZN &amp; CHILL'!1457:1457,"AAAAAF6OM1k=",0)</f>
        <v>0</v>
      </c>
      <c r="CM307" t="e">
        <f>AND('STERLING CATALOG - FZN &amp; CHILL'!A1457,"AAAAAF6OM1o=")</f>
        <v>#VALUE!</v>
      </c>
      <c r="CN307" t="e">
        <f>AND('STERLING CATALOG - FZN &amp; CHILL'!B1457,"AAAAAF6OM1s=")</f>
        <v>#VALUE!</v>
      </c>
      <c r="CO307" t="e">
        <f>AND('STERLING CATALOG - FZN &amp; CHILL'!C1457,"AAAAAF6OM1w=")</f>
        <v>#VALUE!</v>
      </c>
      <c r="CP307" t="e">
        <f>AND('STERLING CATALOG - FZN &amp; CHILL'!D1457,"AAAAAF6OM10=")</f>
        <v>#VALUE!</v>
      </c>
      <c r="CQ307" t="e">
        <f>AND('STERLING CATALOG - FZN &amp; CHILL'!E1457,"AAAAAF6OM14=")</f>
        <v>#VALUE!</v>
      </c>
      <c r="CR307" t="e">
        <f>AND('STERLING CATALOG - FZN &amp; CHILL'!F1457,"AAAAAF6OM18=")</f>
        <v>#VALUE!</v>
      </c>
      <c r="CS307" t="e">
        <f>AND('STERLING CATALOG - FZN &amp; CHILL'!G1457,"AAAAAF6OM2A=")</f>
        <v>#VALUE!</v>
      </c>
      <c r="CT307" t="e">
        <f>AND('STERLING CATALOG - FZN &amp; CHILL'!H1457,"AAAAAF6OM2E=")</f>
        <v>#VALUE!</v>
      </c>
      <c r="CU307" t="e">
        <f>AND('STERLING CATALOG - FZN &amp; CHILL'!I1457,"AAAAAF6OM2I=")</f>
        <v>#VALUE!</v>
      </c>
      <c r="CV307" t="e">
        <f>AND('STERLING CATALOG - FZN &amp; CHILL'!J1457,"AAAAAF6OM2M=")</f>
        <v>#VALUE!</v>
      </c>
      <c r="CW307">
        <f>IF('STERLING CATALOG - FZN &amp; CHILL'!1458:1458,"AAAAAF6OM2Q=",0)</f>
        <v>0</v>
      </c>
      <c r="CX307" t="e">
        <f>AND('STERLING CATALOG - FZN &amp; CHILL'!A1458,"AAAAAF6OM2U=")</f>
        <v>#VALUE!</v>
      </c>
      <c r="CY307" t="e">
        <f>AND('STERLING CATALOG - FZN &amp; CHILL'!B1458,"AAAAAF6OM2Y=")</f>
        <v>#VALUE!</v>
      </c>
      <c r="CZ307" t="e">
        <f>AND('STERLING CATALOG - FZN &amp; CHILL'!C1458,"AAAAAF6OM2c=")</f>
        <v>#VALUE!</v>
      </c>
      <c r="DA307" t="e">
        <f>AND('STERLING CATALOG - FZN &amp; CHILL'!D1458,"AAAAAF6OM2g=")</f>
        <v>#VALUE!</v>
      </c>
      <c r="DB307" t="e">
        <f>AND('STERLING CATALOG - FZN &amp; CHILL'!E1458,"AAAAAF6OM2k=")</f>
        <v>#VALUE!</v>
      </c>
      <c r="DC307" t="e">
        <f>AND('STERLING CATALOG - FZN &amp; CHILL'!F1458,"AAAAAF6OM2o=")</f>
        <v>#VALUE!</v>
      </c>
      <c r="DD307" t="e">
        <f>AND('STERLING CATALOG - FZN &amp; CHILL'!G1458,"AAAAAF6OM2s=")</f>
        <v>#VALUE!</v>
      </c>
      <c r="DE307" t="e">
        <f>AND('STERLING CATALOG - FZN &amp; CHILL'!H1458,"AAAAAF6OM2w=")</f>
        <v>#VALUE!</v>
      </c>
      <c r="DF307" t="e">
        <f>AND('STERLING CATALOG - FZN &amp; CHILL'!I1458,"AAAAAF6OM20=")</f>
        <v>#VALUE!</v>
      </c>
      <c r="DG307" t="e">
        <f>AND('STERLING CATALOG - FZN &amp; CHILL'!J1458,"AAAAAF6OM24=")</f>
        <v>#VALUE!</v>
      </c>
      <c r="DH307">
        <f>IF('STERLING CATALOG - FZN &amp; CHILL'!1459:1459,"AAAAAF6OM28=",0)</f>
        <v>0</v>
      </c>
      <c r="DI307" t="e">
        <f>AND('STERLING CATALOG - FZN &amp; CHILL'!A1459,"AAAAAF6OM3A=")</f>
        <v>#VALUE!</v>
      </c>
      <c r="DJ307" t="e">
        <f>AND('STERLING CATALOG - FZN &amp; CHILL'!B1459,"AAAAAF6OM3E=")</f>
        <v>#VALUE!</v>
      </c>
      <c r="DK307" t="e">
        <f>AND('STERLING CATALOG - FZN &amp; CHILL'!C1459,"AAAAAF6OM3I=")</f>
        <v>#VALUE!</v>
      </c>
      <c r="DL307" t="e">
        <f>AND('STERLING CATALOG - FZN &amp; CHILL'!D1459,"AAAAAF6OM3M=")</f>
        <v>#VALUE!</v>
      </c>
      <c r="DM307" t="e">
        <f>AND('STERLING CATALOG - FZN &amp; CHILL'!E1459,"AAAAAF6OM3Q=")</f>
        <v>#VALUE!</v>
      </c>
      <c r="DN307" t="e">
        <f>AND('STERLING CATALOG - FZN &amp; CHILL'!F1459,"AAAAAF6OM3U=")</f>
        <v>#VALUE!</v>
      </c>
      <c r="DO307" t="e">
        <f>AND('STERLING CATALOG - FZN &amp; CHILL'!G1459,"AAAAAF6OM3Y=")</f>
        <v>#VALUE!</v>
      </c>
      <c r="DP307" t="e">
        <f>AND('STERLING CATALOG - FZN &amp; CHILL'!H1459,"AAAAAF6OM3c=")</f>
        <v>#VALUE!</v>
      </c>
      <c r="DQ307" t="e">
        <f>AND('STERLING CATALOG - FZN &amp; CHILL'!I1459,"AAAAAF6OM3g=")</f>
        <v>#VALUE!</v>
      </c>
      <c r="DR307" t="e">
        <f>AND('STERLING CATALOG - FZN &amp; CHILL'!J1459,"AAAAAF6OM3k=")</f>
        <v>#VALUE!</v>
      </c>
      <c r="DS307">
        <f>IF('STERLING CATALOG - FZN &amp; CHILL'!1460:1460,"AAAAAF6OM3o=",0)</f>
        <v>0</v>
      </c>
      <c r="DT307" t="e">
        <f>AND('STERLING CATALOG - FZN &amp; CHILL'!A1460,"AAAAAF6OM3s=")</f>
        <v>#VALUE!</v>
      </c>
      <c r="DU307" t="e">
        <f>AND('STERLING CATALOG - FZN &amp; CHILL'!B1460,"AAAAAF6OM3w=")</f>
        <v>#VALUE!</v>
      </c>
      <c r="DV307" t="e">
        <f>AND('STERLING CATALOG - FZN &amp; CHILL'!C1460,"AAAAAF6OM30=")</f>
        <v>#VALUE!</v>
      </c>
      <c r="DW307" t="e">
        <f>AND('STERLING CATALOG - FZN &amp; CHILL'!D1460,"AAAAAF6OM34=")</f>
        <v>#VALUE!</v>
      </c>
      <c r="DX307" t="e">
        <f>AND('STERLING CATALOG - FZN &amp; CHILL'!E1460,"AAAAAF6OM38=")</f>
        <v>#VALUE!</v>
      </c>
      <c r="DY307" t="e">
        <f>AND('STERLING CATALOG - FZN &amp; CHILL'!F1460,"AAAAAF6OM4A=")</f>
        <v>#VALUE!</v>
      </c>
      <c r="DZ307" t="e">
        <f>AND('STERLING CATALOG - FZN &amp; CHILL'!G1460,"AAAAAF6OM4E=")</f>
        <v>#VALUE!</v>
      </c>
      <c r="EA307" t="e">
        <f>AND('STERLING CATALOG - FZN &amp; CHILL'!H1460,"AAAAAF6OM4I=")</f>
        <v>#VALUE!</v>
      </c>
      <c r="EB307" t="e">
        <f>AND('STERLING CATALOG - FZN &amp; CHILL'!I1460,"AAAAAF6OM4M=")</f>
        <v>#VALUE!</v>
      </c>
      <c r="EC307" t="e">
        <f>AND('STERLING CATALOG - FZN &amp; CHILL'!J1460,"AAAAAF6OM4Q=")</f>
        <v>#VALUE!</v>
      </c>
      <c r="ED307">
        <f>IF('STERLING CATALOG - FZN &amp; CHILL'!1461:1461,"AAAAAF6OM4U=",0)</f>
        <v>0</v>
      </c>
      <c r="EE307" t="e">
        <f>AND('STERLING CATALOG - FZN &amp; CHILL'!A1461,"AAAAAF6OM4Y=")</f>
        <v>#VALUE!</v>
      </c>
      <c r="EF307" t="e">
        <f>AND('STERLING CATALOG - FZN &amp; CHILL'!B1461,"AAAAAF6OM4c=")</f>
        <v>#VALUE!</v>
      </c>
      <c r="EG307" t="e">
        <f>AND('STERLING CATALOG - FZN &amp; CHILL'!C1461,"AAAAAF6OM4g=")</f>
        <v>#VALUE!</v>
      </c>
      <c r="EH307" t="e">
        <f>AND('STERLING CATALOG - FZN &amp; CHILL'!D1461,"AAAAAF6OM4k=")</f>
        <v>#VALUE!</v>
      </c>
      <c r="EI307" t="e">
        <f>AND('STERLING CATALOG - FZN &amp; CHILL'!E1461,"AAAAAF6OM4o=")</f>
        <v>#VALUE!</v>
      </c>
      <c r="EJ307" t="e">
        <f>AND('STERLING CATALOG - FZN &amp; CHILL'!F1461,"AAAAAF6OM4s=")</f>
        <v>#VALUE!</v>
      </c>
      <c r="EK307" t="e">
        <f>AND('STERLING CATALOG - FZN &amp; CHILL'!G1461,"AAAAAF6OM4w=")</f>
        <v>#VALUE!</v>
      </c>
      <c r="EL307" t="e">
        <f>AND('STERLING CATALOG - FZN &amp; CHILL'!H1461,"AAAAAF6OM40=")</f>
        <v>#VALUE!</v>
      </c>
      <c r="EM307" t="e">
        <f>AND('STERLING CATALOG - FZN &amp; CHILL'!I1461,"AAAAAF6OM44=")</f>
        <v>#VALUE!</v>
      </c>
      <c r="EN307" t="e">
        <f>AND('STERLING CATALOG - FZN &amp; CHILL'!J1461,"AAAAAF6OM48=")</f>
        <v>#VALUE!</v>
      </c>
      <c r="EO307">
        <f>IF('STERLING CATALOG - FZN &amp; CHILL'!1462:1462,"AAAAAF6OM5A=",0)</f>
        <v>0</v>
      </c>
      <c r="EP307" t="e">
        <f>AND('STERLING CATALOG - FZN &amp; CHILL'!A1462,"AAAAAF6OM5E=")</f>
        <v>#VALUE!</v>
      </c>
      <c r="EQ307" t="e">
        <f>AND('STERLING CATALOG - FZN &amp; CHILL'!B1462,"AAAAAF6OM5I=")</f>
        <v>#VALUE!</v>
      </c>
      <c r="ER307" t="e">
        <f>AND('STERLING CATALOG - FZN &amp; CHILL'!C1462,"AAAAAF6OM5M=")</f>
        <v>#VALUE!</v>
      </c>
      <c r="ES307" t="e">
        <f>AND('STERLING CATALOG - FZN &amp; CHILL'!D1462,"AAAAAF6OM5Q=")</f>
        <v>#VALUE!</v>
      </c>
      <c r="ET307" t="e">
        <f>AND('STERLING CATALOG - FZN &amp; CHILL'!E1462,"AAAAAF6OM5U=")</f>
        <v>#VALUE!</v>
      </c>
      <c r="EU307" t="e">
        <f>AND('STERLING CATALOG - FZN &amp; CHILL'!F1462,"AAAAAF6OM5Y=")</f>
        <v>#VALUE!</v>
      </c>
      <c r="EV307" t="e">
        <f>AND('STERLING CATALOG - FZN &amp; CHILL'!G1462,"AAAAAF6OM5c=")</f>
        <v>#VALUE!</v>
      </c>
      <c r="EW307" t="e">
        <f>AND('STERLING CATALOG - FZN &amp; CHILL'!H1462,"AAAAAF6OM5g=")</f>
        <v>#VALUE!</v>
      </c>
      <c r="EX307" t="e">
        <f>AND('STERLING CATALOG - FZN &amp; CHILL'!I1462,"AAAAAF6OM5k=")</f>
        <v>#VALUE!</v>
      </c>
      <c r="EY307" t="e">
        <f>AND('STERLING CATALOG - FZN &amp; CHILL'!J1462,"AAAAAF6OM5o=")</f>
        <v>#VALUE!</v>
      </c>
      <c r="EZ307">
        <f>IF('STERLING CATALOG - FZN &amp; CHILL'!1463:1463,"AAAAAF6OM5s=",0)</f>
        <v>0</v>
      </c>
      <c r="FA307" t="e">
        <f>AND('STERLING CATALOG - FZN &amp; CHILL'!A1463,"AAAAAF6OM5w=")</f>
        <v>#VALUE!</v>
      </c>
      <c r="FB307" t="e">
        <f>AND('STERLING CATALOG - FZN &amp; CHILL'!B1463,"AAAAAF6OM50=")</f>
        <v>#VALUE!</v>
      </c>
      <c r="FC307" t="e">
        <f>AND('STERLING CATALOG - FZN &amp; CHILL'!C1463,"AAAAAF6OM54=")</f>
        <v>#VALUE!</v>
      </c>
      <c r="FD307" t="e">
        <f>AND('STERLING CATALOG - FZN &amp; CHILL'!D1463,"AAAAAF6OM58=")</f>
        <v>#VALUE!</v>
      </c>
      <c r="FE307" t="e">
        <f>AND('STERLING CATALOG - FZN &amp; CHILL'!E1463,"AAAAAF6OM6A=")</f>
        <v>#VALUE!</v>
      </c>
      <c r="FF307" t="e">
        <f>AND('STERLING CATALOG - FZN &amp; CHILL'!F1463,"AAAAAF6OM6E=")</f>
        <v>#VALUE!</v>
      </c>
      <c r="FG307" t="e">
        <f>AND('STERLING CATALOG - FZN &amp; CHILL'!G1463,"AAAAAF6OM6I=")</f>
        <v>#VALUE!</v>
      </c>
      <c r="FH307" t="e">
        <f>AND('STERLING CATALOG - FZN &amp; CHILL'!H1463,"AAAAAF6OM6M=")</f>
        <v>#VALUE!</v>
      </c>
      <c r="FI307" t="e">
        <f>AND('STERLING CATALOG - FZN &amp; CHILL'!I1463,"AAAAAF6OM6Q=")</f>
        <v>#VALUE!</v>
      </c>
      <c r="FJ307" t="e">
        <f>AND('STERLING CATALOG - FZN &amp; CHILL'!J1463,"AAAAAF6OM6U=")</f>
        <v>#VALUE!</v>
      </c>
      <c r="FK307">
        <f>IF('STERLING CATALOG - FZN &amp; CHILL'!1464:1464,"AAAAAF6OM6Y=",0)</f>
        <v>0</v>
      </c>
      <c r="FL307" t="e">
        <f>AND('STERLING CATALOG - FZN &amp; CHILL'!A1464,"AAAAAF6OM6c=")</f>
        <v>#VALUE!</v>
      </c>
      <c r="FM307" t="e">
        <f>AND('STERLING CATALOG - FZN &amp; CHILL'!B1464,"AAAAAF6OM6g=")</f>
        <v>#VALUE!</v>
      </c>
      <c r="FN307" t="e">
        <f>AND('STERLING CATALOG - FZN &amp; CHILL'!C1464,"AAAAAF6OM6k=")</f>
        <v>#VALUE!</v>
      </c>
      <c r="FO307" t="e">
        <f>AND('STERLING CATALOG - FZN &amp; CHILL'!D1464,"AAAAAF6OM6o=")</f>
        <v>#VALUE!</v>
      </c>
      <c r="FP307" t="e">
        <f>AND('STERLING CATALOG - FZN &amp; CHILL'!E1464,"AAAAAF6OM6s=")</f>
        <v>#VALUE!</v>
      </c>
      <c r="FQ307" t="e">
        <f>AND('STERLING CATALOG - FZN &amp; CHILL'!F1464,"AAAAAF6OM6w=")</f>
        <v>#VALUE!</v>
      </c>
      <c r="FR307" t="e">
        <f>AND('STERLING CATALOG - FZN &amp; CHILL'!G1464,"AAAAAF6OM60=")</f>
        <v>#VALUE!</v>
      </c>
      <c r="FS307" t="e">
        <f>AND('STERLING CATALOG - FZN &amp; CHILL'!H1464,"AAAAAF6OM64=")</f>
        <v>#VALUE!</v>
      </c>
      <c r="FT307" t="e">
        <f>AND('STERLING CATALOG - FZN &amp; CHILL'!I1464,"AAAAAF6OM68=")</f>
        <v>#VALUE!</v>
      </c>
      <c r="FU307" t="e">
        <f>AND('STERLING CATALOG - FZN &amp; CHILL'!J1464,"AAAAAF6OM7A=")</f>
        <v>#VALUE!</v>
      </c>
      <c r="FV307">
        <f>IF('STERLING CATALOG - FZN &amp; CHILL'!1465:1465,"AAAAAF6OM7E=",0)</f>
        <v>0</v>
      </c>
      <c r="FW307" t="e">
        <f>AND('STERLING CATALOG - FZN &amp; CHILL'!A1465,"AAAAAF6OM7I=")</f>
        <v>#VALUE!</v>
      </c>
      <c r="FX307" t="e">
        <f>AND('STERLING CATALOG - FZN &amp; CHILL'!B1465,"AAAAAF6OM7M=")</f>
        <v>#VALUE!</v>
      </c>
      <c r="FY307" t="e">
        <f>AND('STERLING CATALOG - FZN &amp; CHILL'!C1465,"AAAAAF6OM7Q=")</f>
        <v>#VALUE!</v>
      </c>
      <c r="FZ307" t="e">
        <f>AND('STERLING CATALOG - FZN &amp; CHILL'!D1465,"AAAAAF6OM7U=")</f>
        <v>#VALUE!</v>
      </c>
      <c r="GA307" t="e">
        <f>AND('STERLING CATALOG - FZN &amp; CHILL'!E1465,"AAAAAF6OM7Y=")</f>
        <v>#VALUE!</v>
      </c>
      <c r="GB307" t="e">
        <f>AND('STERLING CATALOG - FZN &amp; CHILL'!F1465,"AAAAAF6OM7c=")</f>
        <v>#VALUE!</v>
      </c>
      <c r="GC307" t="e">
        <f>AND('STERLING CATALOG - FZN &amp; CHILL'!G1465,"AAAAAF6OM7g=")</f>
        <v>#VALUE!</v>
      </c>
      <c r="GD307" t="e">
        <f>AND('STERLING CATALOG - FZN &amp; CHILL'!H1465,"AAAAAF6OM7k=")</f>
        <v>#VALUE!</v>
      </c>
      <c r="GE307" t="e">
        <f>AND('STERLING CATALOG - FZN &amp; CHILL'!I1465,"AAAAAF6OM7o=")</f>
        <v>#VALUE!</v>
      </c>
      <c r="GF307" t="e">
        <f>AND('STERLING CATALOG - FZN &amp; CHILL'!J1465,"AAAAAF6OM7s=")</f>
        <v>#VALUE!</v>
      </c>
      <c r="GG307">
        <f>IF('STERLING CATALOG - FZN &amp; CHILL'!1466:1466,"AAAAAF6OM7w=",0)</f>
        <v>0</v>
      </c>
      <c r="GH307" t="e">
        <f>AND('STERLING CATALOG - FZN &amp; CHILL'!A1466,"AAAAAF6OM70=")</f>
        <v>#VALUE!</v>
      </c>
      <c r="GI307" t="e">
        <f>AND('STERLING CATALOG - FZN &amp; CHILL'!B1466,"AAAAAF6OM74=")</f>
        <v>#VALUE!</v>
      </c>
      <c r="GJ307" t="e">
        <f>AND('STERLING CATALOG - FZN &amp; CHILL'!C1466,"AAAAAF6OM78=")</f>
        <v>#VALUE!</v>
      </c>
      <c r="GK307" t="e">
        <f>AND('STERLING CATALOG - FZN &amp; CHILL'!D1466,"AAAAAF6OM8A=")</f>
        <v>#VALUE!</v>
      </c>
      <c r="GL307" t="e">
        <f>AND('STERLING CATALOG - FZN &amp; CHILL'!E1466,"AAAAAF6OM8E=")</f>
        <v>#VALUE!</v>
      </c>
      <c r="GM307" t="e">
        <f>AND('STERLING CATALOG - FZN &amp; CHILL'!F1466,"AAAAAF6OM8I=")</f>
        <v>#VALUE!</v>
      </c>
      <c r="GN307" t="e">
        <f>AND('STERLING CATALOG - FZN &amp; CHILL'!G1466,"AAAAAF6OM8M=")</f>
        <v>#VALUE!</v>
      </c>
      <c r="GO307" t="e">
        <f>AND('STERLING CATALOG - FZN &amp; CHILL'!H1466,"AAAAAF6OM8Q=")</f>
        <v>#VALUE!</v>
      </c>
      <c r="GP307" t="e">
        <f>AND('STERLING CATALOG - FZN &amp; CHILL'!I1466,"AAAAAF6OM8U=")</f>
        <v>#VALUE!</v>
      </c>
      <c r="GQ307" t="e">
        <f>AND('STERLING CATALOG - FZN &amp; CHILL'!J1466,"AAAAAF6OM8Y=")</f>
        <v>#VALUE!</v>
      </c>
      <c r="GR307">
        <f>IF('STERLING CATALOG - FZN &amp; CHILL'!1467:1467,"AAAAAF6OM8c=",0)</f>
        <v>0</v>
      </c>
      <c r="GS307" t="e">
        <f>AND('STERLING CATALOG - FZN &amp; CHILL'!A1467,"AAAAAF6OM8g=")</f>
        <v>#VALUE!</v>
      </c>
      <c r="GT307" t="e">
        <f>AND('STERLING CATALOG - FZN &amp; CHILL'!B1467,"AAAAAF6OM8k=")</f>
        <v>#VALUE!</v>
      </c>
      <c r="GU307" t="e">
        <f>AND('STERLING CATALOG - FZN &amp; CHILL'!C1467,"AAAAAF6OM8o=")</f>
        <v>#VALUE!</v>
      </c>
      <c r="GV307" t="e">
        <f>AND('STERLING CATALOG - FZN &amp; CHILL'!D1467,"AAAAAF6OM8s=")</f>
        <v>#VALUE!</v>
      </c>
      <c r="GW307" t="e">
        <f>AND('STERLING CATALOG - FZN &amp; CHILL'!E1467,"AAAAAF6OM8w=")</f>
        <v>#VALUE!</v>
      </c>
      <c r="GX307" t="e">
        <f>AND('STERLING CATALOG - FZN &amp; CHILL'!F1467,"AAAAAF6OM80=")</f>
        <v>#VALUE!</v>
      </c>
      <c r="GY307" t="e">
        <f>AND('STERLING CATALOG - FZN &amp; CHILL'!G1467,"AAAAAF6OM84=")</f>
        <v>#VALUE!</v>
      </c>
      <c r="GZ307" t="e">
        <f>AND('STERLING CATALOG - FZN &amp; CHILL'!H1467,"AAAAAF6OM88=")</f>
        <v>#VALUE!</v>
      </c>
      <c r="HA307" t="e">
        <f>AND('STERLING CATALOG - FZN &amp; CHILL'!I1467,"AAAAAF6OM9A=")</f>
        <v>#VALUE!</v>
      </c>
      <c r="HB307" t="e">
        <f>AND('STERLING CATALOG - FZN &amp; CHILL'!J1467,"AAAAAF6OM9E=")</f>
        <v>#VALUE!</v>
      </c>
      <c r="HC307">
        <f>IF('STERLING CATALOG - FZN &amp; CHILL'!1468:1468,"AAAAAF6OM9I=",0)</f>
        <v>0</v>
      </c>
      <c r="HD307" t="e">
        <f>AND('STERLING CATALOG - FZN &amp; CHILL'!A1468,"AAAAAF6OM9M=")</f>
        <v>#VALUE!</v>
      </c>
      <c r="HE307" t="e">
        <f>AND('STERLING CATALOG - FZN &amp; CHILL'!B1468,"AAAAAF6OM9Q=")</f>
        <v>#VALUE!</v>
      </c>
      <c r="HF307" t="e">
        <f>AND('STERLING CATALOG - FZN &amp; CHILL'!C1468,"AAAAAF6OM9U=")</f>
        <v>#VALUE!</v>
      </c>
      <c r="HG307" t="e">
        <f>AND('STERLING CATALOG - FZN &amp; CHILL'!D1468,"AAAAAF6OM9Y=")</f>
        <v>#VALUE!</v>
      </c>
      <c r="HH307" t="e">
        <f>AND('STERLING CATALOG - FZN &amp; CHILL'!E1468,"AAAAAF6OM9c=")</f>
        <v>#VALUE!</v>
      </c>
      <c r="HI307" t="e">
        <f>AND('STERLING CATALOG - FZN &amp; CHILL'!F1468,"AAAAAF6OM9g=")</f>
        <v>#VALUE!</v>
      </c>
      <c r="HJ307" t="e">
        <f>AND('STERLING CATALOG - FZN &amp; CHILL'!G1468,"AAAAAF6OM9k=")</f>
        <v>#VALUE!</v>
      </c>
      <c r="HK307" t="e">
        <f>AND('STERLING CATALOG - FZN &amp; CHILL'!H1468,"AAAAAF6OM9o=")</f>
        <v>#VALUE!</v>
      </c>
      <c r="HL307" t="e">
        <f>AND('STERLING CATALOG - FZN &amp; CHILL'!I1468,"AAAAAF6OM9s=")</f>
        <v>#VALUE!</v>
      </c>
      <c r="HM307" t="e">
        <f>AND('STERLING CATALOG - FZN &amp; CHILL'!J1468,"AAAAAF6OM9w=")</f>
        <v>#VALUE!</v>
      </c>
      <c r="HN307">
        <f>IF('STERLING CATALOG - FZN &amp; CHILL'!1469:1469,"AAAAAF6OM90=",0)</f>
        <v>0</v>
      </c>
      <c r="HO307" t="e">
        <f>AND('STERLING CATALOG - FZN &amp; CHILL'!A1469,"AAAAAF6OM94=")</f>
        <v>#VALUE!</v>
      </c>
      <c r="HP307" t="e">
        <f>AND('STERLING CATALOG - FZN &amp; CHILL'!B1469,"AAAAAF6OM98=")</f>
        <v>#VALUE!</v>
      </c>
      <c r="HQ307" t="e">
        <f>AND('STERLING CATALOG - FZN &amp; CHILL'!C1469,"AAAAAF6OM+A=")</f>
        <v>#VALUE!</v>
      </c>
      <c r="HR307" t="e">
        <f>AND('STERLING CATALOG - FZN &amp; CHILL'!D1469,"AAAAAF6OM+E=")</f>
        <v>#VALUE!</v>
      </c>
      <c r="HS307" t="e">
        <f>AND('STERLING CATALOG - FZN &amp; CHILL'!E1469,"AAAAAF6OM+I=")</f>
        <v>#VALUE!</v>
      </c>
      <c r="HT307" t="e">
        <f>AND('STERLING CATALOG - FZN &amp; CHILL'!F1469,"AAAAAF6OM+M=")</f>
        <v>#VALUE!</v>
      </c>
      <c r="HU307" t="e">
        <f>AND('STERLING CATALOG - FZN &amp; CHILL'!G1469,"AAAAAF6OM+Q=")</f>
        <v>#VALUE!</v>
      </c>
      <c r="HV307" t="e">
        <f>AND('STERLING CATALOG - FZN &amp; CHILL'!H1469,"AAAAAF6OM+U=")</f>
        <v>#VALUE!</v>
      </c>
      <c r="HW307" t="e">
        <f>AND('STERLING CATALOG - FZN &amp; CHILL'!I1469,"AAAAAF6OM+Y=")</f>
        <v>#VALUE!</v>
      </c>
      <c r="HX307" t="e">
        <f>AND('STERLING CATALOG - FZN &amp; CHILL'!J1469,"AAAAAF6OM+c=")</f>
        <v>#VALUE!</v>
      </c>
      <c r="HY307">
        <f>IF('STERLING CATALOG - FZN &amp; CHILL'!1470:1470,"AAAAAF6OM+g=",0)</f>
        <v>0</v>
      </c>
      <c r="HZ307" t="e">
        <f>AND('STERLING CATALOG - FZN &amp; CHILL'!A1470,"AAAAAF6OM+k=")</f>
        <v>#VALUE!</v>
      </c>
      <c r="IA307" t="e">
        <f>AND('STERLING CATALOG - FZN &amp; CHILL'!B1470,"AAAAAF6OM+o=")</f>
        <v>#VALUE!</v>
      </c>
      <c r="IB307" t="e">
        <f>AND('STERLING CATALOG - FZN &amp; CHILL'!C1470,"AAAAAF6OM+s=")</f>
        <v>#VALUE!</v>
      </c>
      <c r="IC307" t="e">
        <f>AND('STERLING CATALOG - FZN &amp; CHILL'!D1470,"AAAAAF6OM+w=")</f>
        <v>#VALUE!</v>
      </c>
      <c r="ID307" t="e">
        <f>AND('STERLING CATALOG - FZN &amp; CHILL'!E1470,"AAAAAF6OM+0=")</f>
        <v>#VALUE!</v>
      </c>
      <c r="IE307" t="e">
        <f>AND('STERLING CATALOG - FZN &amp; CHILL'!F1470,"AAAAAF6OM+4=")</f>
        <v>#VALUE!</v>
      </c>
      <c r="IF307" t="e">
        <f>AND('STERLING CATALOG - FZN &amp; CHILL'!G1470,"AAAAAF6OM+8=")</f>
        <v>#VALUE!</v>
      </c>
      <c r="IG307" t="e">
        <f>AND('STERLING CATALOG - FZN &amp; CHILL'!H1470,"AAAAAF6OM/A=")</f>
        <v>#VALUE!</v>
      </c>
      <c r="IH307" t="e">
        <f>AND('STERLING CATALOG - FZN &amp; CHILL'!I1470,"AAAAAF6OM/E=")</f>
        <v>#VALUE!</v>
      </c>
      <c r="II307" t="e">
        <f>AND('STERLING CATALOG - FZN &amp; CHILL'!J1470,"AAAAAF6OM/I=")</f>
        <v>#VALUE!</v>
      </c>
      <c r="IJ307">
        <f>IF('STERLING CATALOG - FZN &amp; CHILL'!1471:1471,"AAAAAF6OM/M=",0)</f>
        <v>0</v>
      </c>
      <c r="IK307" t="e">
        <f>AND('STERLING CATALOG - FZN &amp; CHILL'!A1471,"AAAAAF6OM/Q=")</f>
        <v>#VALUE!</v>
      </c>
      <c r="IL307" t="e">
        <f>AND('STERLING CATALOG - FZN &amp; CHILL'!B1471,"AAAAAF6OM/U=")</f>
        <v>#VALUE!</v>
      </c>
      <c r="IM307" t="e">
        <f>AND('STERLING CATALOG - FZN &amp; CHILL'!C1471,"AAAAAF6OM/Y=")</f>
        <v>#VALUE!</v>
      </c>
      <c r="IN307" t="e">
        <f>AND('STERLING CATALOG - FZN &amp; CHILL'!D1471,"AAAAAF6OM/c=")</f>
        <v>#VALUE!</v>
      </c>
      <c r="IO307" t="e">
        <f>AND('STERLING CATALOG - FZN &amp; CHILL'!E1471,"AAAAAF6OM/g=")</f>
        <v>#VALUE!</v>
      </c>
      <c r="IP307" t="e">
        <f>AND('STERLING CATALOG - FZN &amp; CHILL'!F1471,"AAAAAF6OM/k=")</f>
        <v>#VALUE!</v>
      </c>
      <c r="IQ307" t="e">
        <f>AND('STERLING CATALOG - FZN &amp; CHILL'!G1471,"AAAAAF6OM/o=")</f>
        <v>#VALUE!</v>
      </c>
      <c r="IR307" t="e">
        <f>AND('STERLING CATALOG - FZN &amp; CHILL'!H1471,"AAAAAF6OM/s=")</f>
        <v>#VALUE!</v>
      </c>
      <c r="IS307" t="e">
        <f>AND('STERLING CATALOG - FZN &amp; CHILL'!I1471,"AAAAAF6OM/w=")</f>
        <v>#VALUE!</v>
      </c>
      <c r="IT307" t="e">
        <f>AND('STERLING CATALOG - FZN &amp; CHILL'!J1471,"AAAAAF6OM/0=")</f>
        <v>#VALUE!</v>
      </c>
      <c r="IU307">
        <f>IF('STERLING CATALOG - FZN &amp; CHILL'!1472:1472,"AAAAAF6OM/4=",0)</f>
        <v>0</v>
      </c>
      <c r="IV307" t="e">
        <f>AND('STERLING CATALOG - FZN &amp; CHILL'!A1472,"AAAAAF6OM/8=")</f>
        <v>#VALUE!</v>
      </c>
    </row>
    <row r="308" spans="1:256">
      <c r="A308" t="e">
        <f>AND('STERLING CATALOG - FZN &amp; CHILL'!B1472,"AAAAAD4bXAA=")</f>
        <v>#VALUE!</v>
      </c>
      <c r="B308" t="e">
        <f>AND('STERLING CATALOG - FZN &amp; CHILL'!C1472,"AAAAAD4bXAE=")</f>
        <v>#VALUE!</v>
      </c>
      <c r="C308" t="e">
        <f>AND('STERLING CATALOG - FZN &amp; CHILL'!D1472,"AAAAAD4bXAI=")</f>
        <v>#VALUE!</v>
      </c>
      <c r="D308" t="e">
        <f>AND('STERLING CATALOG - FZN &amp; CHILL'!E1472,"AAAAAD4bXAM=")</f>
        <v>#VALUE!</v>
      </c>
      <c r="E308" t="e">
        <f>AND('STERLING CATALOG - FZN &amp; CHILL'!F1472,"AAAAAD4bXAQ=")</f>
        <v>#VALUE!</v>
      </c>
      <c r="F308" t="e">
        <f>AND('STERLING CATALOG - FZN &amp; CHILL'!G1472,"AAAAAD4bXAU=")</f>
        <v>#VALUE!</v>
      </c>
      <c r="G308" t="e">
        <f>AND('STERLING CATALOG - FZN &amp; CHILL'!H1472,"AAAAAD4bXAY=")</f>
        <v>#VALUE!</v>
      </c>
      <c r="H308" t="e">
        <f>AND('STERLING CATALOG - FZN &amp; CHILL'!I1472,"AAAAAD4bXAc=")</f>
        <v>#VALUE!</v>
      </c>
      <c r="I308" t="e">
        <f>AND('STERLING CATALOG - FZN &amp; CHILL'!J1472,"AAAAAD4bXAg=")</f>
        <v>#VALUE!</v>
      </c>
      <c r="J308" t="e">
        <f>IF('STERLING CATALOG - FZN &amp; CHILL'!1473:1473,"AAAAAD4bXAk=",0)</f>
        <v>#VALUE!</v>
      </c>
      <c r="K308" t="e">
        <f>AND('STERLING CATALOG - FZN &amp; CHILL'!A1473,"AAAAAD4bXAo=")</f>
        <v>#VALUE!</v>
      </c>
      <c r="L308" t="e">
        <f>AND('STERLING CATALOG - FZN &amp; CHILL'!B1473,"AAAAAD4bXAs=")</f>
        <v>#VALUE!</v>
      </c>
      <c r="M308" t="e">
        <f>AND('STERLING CATALOG - FZN &amp; CHILL'!C1473,"AAAAAD4bXAw=")</f>
        <v>#VALUE!</v>
      </c>
      <c r="N308" t="e">
        <f>AND('STERLING CATALOG - FZN &amp; CHILL'!D1473,"AAAAAD4bXA0=")</f>
        <v>#VALUE!</v>
      </c>
      <c r="O308" t="e">
        <f>AND('STERLING CATALOG - FZN &amp; CHILL'!E1473,"AAAAAD4bXA4=")</f>
        <v>#VALUE!</v>
      </c>
      <c r="P308" t="e">
        <f>AND('STERLING CATALOG - FZN &amp; CHILL'!F1473,"AAAAAD4bXA8=")</f>
        <v>#VALUE!</v>
      </c>
      <c r="Q308" t="e">
        <f>AND('STERLING CATALOG - FZN &amp; CHILL'!G1473,"AAAAAD4bXBA=")</f>
        <v>#VALUE!</v>
      </c>
      <c r="R308" t="e">
        <f>AND('STERLING CATALOG - FZN &amp; CHILL'!H1473,"AAAAAD4bXBE=")</f>
        <v>#VALUE!</v>
      </c>
      <c r="S308" t="e">
        <f>AND('STERLING CATALOG - FZN &amp; CHILL'!I1473,"AAAAAD4bXBI=")</f>
        <v>#VALUE!</v>
      </c>
      <c r="T308" t="e">
        <f>AND('STERLING CATALOG - FZN &amp; CHILL'!J1473,"AAAAAD4bXBM=")</f>
        <v>#VALUE!</v>
      </c>
      <c r="U308">
        <f>IF('STERLING CATALOG - FZN &amp; CHILL'!1474:1474,"AAAAAD4bXBQ=",0)</f>
        <v>0</v>
      </c>
      <c r="V308" t="e">
        <f>AND('STERLING CATALOG - FZN &amp; CHILL'!A1474,"AAAAAD4bXBU=")</f>
        <v>#VALUE!</v>
      </c>
      <c r="W308" t="e">
        <f>AND('STERLING CATALOG - FZN &amp; CHILL'!B1474,"AAAAAD4bXBY=")</f>
        <v>#VALUE!</v>
      </c>
      <c r="X308" t="e">
        <f>AND('STERLING CATALOG - FZN &amp; CHILL'!C1474,"AAAAAD4bXBc=")</f>
        <v>#VALUE!</v>
      </c>
      <c r="Y308" t="e">
        <f>AND('STERLING CATALOG - FZN &amp; CHILL'!D1474,"AAAAAD4bXBg=")</f>
        <v>#VALUE!</v>
      </c>
      <c r="Z308" t="e">
        <f>AND('STERLING CATALOG - FZN &amp; CHILL'!E1474,"AAAAAD4bXBk=")</f>
        <v>#VALUE!</v>
      </c>
      <c r="AA308" t="e">
        <f>AND('STERLING CATALOG - FZN &amp; CHILL'!F1474,"AAAAAD4bXBo=")</f>
        <v>#VALUE!</v>
      </c>
      <c r="AB308" t="e">
        <f>AND('STERLING CATALOG - FZN &amp; CHILL'!G1474,"AAAAAD4bXBs=")</f>
        <v>#VALUE!</v>
      </c>
      <c r="AC308" t="e">
        <f>AND('STERLING CATALOG - FZN &amp; CHILL'!H1474,"AAAAAD4bXBw=")</f>
        <v>#VALUE!</v>
      </c>
      <c r="AD308" t="e">
        <f>AND('STERLING CATALOG - FZN &amp; CHILL'!I1474,"AAAAAD4bXB0=")</f>
        <v>#VALUE!</v>
      </c>
      <c r="AE308" t="e">
        <f>AND('STERLING CATALOG - FZN &amp; CHILL'!J1474,"AAAAAD4bXB4=")</f>
        <v>#VALUE!</v>
      </c>
      <c r="AF308">
        <f>IF('STERLING CATALOG - FZN &amp; CHILL'!1475:1475,"AAAAAD4bXB8=",0)</f>
        <v>0</v>
      </c>
      <c r="AG308" t="e">
        <f>AND('STERLING CATALOG - FZN &amp; CHILL'!A1475,"AAAAAD4bXCA=")</f>
        <v>#VALUE!</v>
      </c>
      <c r="AH308" t="e">
        <f>AND('STERLING CATALOG - FZN &amp; CHILL'!B1475,"AAAAAD4bXCE=")</f>
        <v>#VALUE!</v>
      </c>
      <c r="AI308" t="e">
        <f>AND('STERLING CATALOG - FZN &amp; CHILL'!C1475,"AAAAAD4bXCI=")</f>
        <v>#VALUE!</v>
      </c>
      <c r="AJ308" t="e">
        <f>AND('STERLING CATALOG - FZN &amp; CHILL'!D1475,"AAAAAD4bXCM=")</f>
        <v>#VALUE!</v>
      </c>
      <c r="AK308" t="e">
        <f>AND('STERLING CATALOG - FZN &amp; CHILL'!E1475,"AAAAAD4bXCQ=")</f>
        <v>#VALUE!</v>
      </c>
      <c r="AL308" t="e">
        <f>AND('STERLING CATALOG - FZN &amp; CHILL'!F1475,"AAAAAD4bXCU=")</f>
        <v>#VALUE!</v>
      </c>
      <c r="AM308" t="e">
        <f>AND('STERLING CATALOG - FZN &amp; CHILL'!G1475,"AAAAAD4bXCY=")</f>
        <v>#VALUE!</v>
      </c>
      <c r="AN308" t="e">
        <f>AND('STERLING CATALOG - FZN &amp; CHILL'!H1475,"AAAAAD4bXCc=")</f>
        <v>#VALUE!</v>
      </c>
      <c r="AO308" t="e">
        <f>AND('STERLING CATALOG - FZN &amp; CHILL'!I1475,"AAAAAD4bXCg=")</f>
        <v>#VALUE!</v>
      </c>
      <c r="AP308" t="e">
        <f>AND('STERLING CATALOG - FZN &amp; CHILL'!J1475,"AAAAAD4bXCk=")</f>
        <v>#VALUE!</v>
      </c>
      <c r="AQ308">
        <f>IF('STERLING CATALOG - FZN &amp; CHILL'!1476:1476,"AAAAAD4bXCo=",0)</f>
        <v>0</v>
      </c>
      <c r="AR308" t="e">
        <f>AND('STERLING CATALOG - FZN &amp; CHILL'!A1476,"AAAAAD4bXCs=")</f>
        <v>#VALUE!</v>
      </c>
      <c r="AS308" t="e">
        <f>AND('STERLING CATALOG - FZN &amp; CHILL'!B1476,"AAAAAD4bXCw=")</f>
        <v>#VALUE!</v>
      </c>
      <c r="AT308" t="e">
        <f>AND('STERLING CATALOG - FZN &amp; CHILL'!C1476,"AAAAAD4bXC0=")</f>
        <v>#VALUE!</v>
      </c>
      <c r="AU308" t="e">
        <f>AND('STERLING CATALOG - FZN &amp; CHILL'!D1476,"AAAAAD4bXC4=")</f>
        <v>#VALUE!</v>
      </c>
      <c r="AV308" t="e">
        <f>AND('STERLING CATALOG - FZN &amp; CHILL'!E1476,"AAAAAD4bXC8=")</f>
        <v>#VALUE!</v>
      </c>
      <c r="AW308" t="e">
        <f>AND('STERLING CATALOG - FZN &amp; CHILL'!F1476,"AAAAAD4bXDA=")</f>
        <v>#VALUE!</v>
      </c>
      <c r="AX308" t="e">
        <f>AND('STERLING CATALOG - FZN &amp; CHILL'!G1476,"AAAAAD4bXDE=")</f>
        <v>#VALUE!</v>
      </c>
      <c r="AY308" t="e">
        <f>AND('STERLING CATALOG - FZN &amp; CHILL'!H1476,"AAAAAD4bXDI=")</f>
        <v>#VALUE!</v>
      </c>
      <c r="AZ308" t="e">
        <f>AND('STERLING CATALOG - FZN &amp; CHILL'!I1476,"AAAAAD4bXDM=")</f>
        <v>#VALUE!</v>
      </c>
      <c r="BA308" t="e">
        <f>AND('STERLING CATALOG - FZN &amp; CHILL'!J1476,"AAAAAD4bXDQ=")</f>
        <v>#VALUE!</v>
      </c>
      <c r="BB308">
        <f>IF('STERLING CATALOG - FZN &amp; CHILL'!1477:1477,"AAAAAD4bXDU=",0)</f>
        <v>0</v>
      </c>
      <c r="BC308" t="e">
        <f>AND('STERLING CATALOG - FZN &amp; CHILL'!A1477,"AAAAAD4bXDY=")</f>
        <v>#VALUE!</v>
      </c>
      <c r="BD308" t="e">
        <f>AND('STERLING CATALOG - FZN &amp; CHILL'!B1477,"AAAAAD4bXDc=")</f>
        <v>#VALUE!</v>
      </c>
      <c r="BE308" t="e">
        <f>AND('STERLING CATALOG - FZN &amp; CHILL'!C1477,"AAAAAD4bXDg=")</f>
        <v>#VALUE!</v>
      </c>
      <c r="BF308" t="e">
        <f>AND('STERLING CATALOG - FZN &amp; CHILL'!D1477,"AAAAAD4bXDk=")</f>
        <v>#VALUE!</v>
      </c>
      <c r="BG308" t="e">
        <f>AND('STERLING CATALOG - FZN &amp; CHILL'!E1477,"AAAAAD4bXDo=")</f>
        <v>#VALUE!</v>
      </c>
      <c r="BH308" t="e">
        <f>AND('STERLING CATALOG - FZN &amp; CHILL'!F1477,"AAAAAD4bXDs=")</f>
        <v>#VALUE!</v>
      </c>
      <c r="BI308" t="e">
        <f>AND('STERLING CATALOG - FZN &amp; CHILL'!G1477,"AAAAAD4bXDw=")</f>
        <v>#VALUE!</v>
      </c>
      <c r="BJ308" t="e">
        <f>AND('STERLING CATALOG - FZN &amp; CHILL'!H1477,"AAAAAD4bXD0=")</f>
        <v>#VALUE!</v>
      </c>
      <c r="BK308" t="e">
        <f>AND('STERLING CATALOG - FZN &amp; CHILL'!I1477,"AAAAAD4bXD4=")</f>
        <v>#VALUE!</v>
      </c>
      <c r="BL308" t="e">
        <f>AND('STERLING CATALOG - FZN &amp; CHILL'!J1477,"AAAAAD4bXD8=")</f>
        <v>#VALUE!</v>
      </c>
      <c r="BM308">
        <f>IF('STERLING CATALOG - FZN &amp; CHILL'!1478:1478,"AAAAAD4bXEA=",0)</f>
        <v>0</v>
      </c>
      <c r="BN308" t="e">
        <f>AND('STERLING CATALOG - FZN &amp; CHILL'!A1478,"AAAAAD4bXEE=")</f>
        <v>#VALUE!</v>
      </c>
      <c r="BO308" t="e">
        <f>AND('STERLING CATALOG - FZN &amp; CHILL'!B1478,"AAAAAD4bXEI=")</f>
        <v>#VALUE!</v>
      </c>
      <c r="BP308" t="e">
        <f>AND('STERLING CATALOG - FZN &amp; CHILL'!C1478,"AAAAAD4bXEM=")</f>
        <v>#VALUE!</v>
      </c>
      <c r="BQ308" t="e">
        <f>AND('STERLING CATALOG - FZN &amp; CHILL'!D1478,"AAAAAD4bXEQ=")</f>
        <v>#VALUE!</v>
      </c>
      <c r="BR308" t="e">
        <f>AND('STERLING CATALOG - FZN &amp; CHILL'!E1478,"AAAAAD4bXEU=")</f>
        <v>#VALUE!</v>
      </c>
      <c r="BS308" t="e">
        <f>AND('STERLING CATALOG - FZN &amp; CHILL'!F1478,"AAAAAD4bXEY=")</f>
        <v>#VALUE!</v>
      </c>
      <c r="BT308" t="e">
        <f>AND('STERLING CATALOG - FZN &amp; CHILL'!G1478,"AAAAAD4bXEc=")</f>
        <v>#VALUE!</v>
      </c>
      <c r="BU308" t="e">
        <f>AND('STERLING CATALOG - FZN &amp; CHILL'!H1478,"AAAAAD4bXEg=")</f>
        <v>#VALUE!</v>
      </c>
      <c r="BV308" t="e">
        <f>AND('STERLING CATALOG - FZN &amp; CHILL'!I1478,"AAAAAD4bXEk=")</f>
        <v>#VALUE!</v>
      </c>
      <c r="BW308" t="e">
        <f>AND('STERLING CATALOG - FZN &amp; CHILL'!J1478,"AAAAAD4bXEo=")</f>
        <v>#VALUE!</v>
      </c>
      <c r="BX308">
        <f>IF('STERLING CATALOG - FZN &amp; CHILL'!1479:1479,"AAAAAD4bXEs=",0)</f>
        <v>0</v>
      </c>
      <c r="BY308" t="e">
        <f>AND('STERLING CATALOG - FZN &amp; CHILL'!A1479,"AAAAAD4bXEw=")</f>
        <v>#VALUE!</v>
      </c>
      <c r="BZ308" t="e">
        <f>AND('STERLING CATALOG - FZN &amp; CHILL'!B1479,"AAAAAD4bXE0=")</f>
        <v>#VALUE!</v>
      </c>
      <c r="CA308" t="e">
        <f>AND('STERLING CATALOG - FZN &amp; CHILL'!C1479,"AAAAAD4bXE4=")</f>
        <v>#VALUE!</v>
      </c>
      <c r="CB308" t="e">
        <f>AND('STERLING CATALOG - FZN &amp; CHILL'!D1479,"AAAAAD4bXE8=")</f>
        <v>#VALUE!</v>
      </c>
      <c r="CC308" t="e">
        <f>AND('STERLING CATALOG - FZN &amp; CHILL'!E1479,"AAAAAD4bXFA=")</f>
        <v>#VALUE!</v>
      </c>
      <c r="CD308" t="e">
        <f>AND('STERLING CATALOG - FZN &amp; CHILL'!F1479,"AAAAAD4bXFE=")</f>
        <v>#VALUE!</v>
      </c>
      <c r="CE308" t="e">
        <f>AND('STERLING CATALOG - FZN &amp; CHILL'!G1479,"AAAAAD4bXFI=")</f>
        <v>#VALUE!</v>
      </c>
      <c r="CF308" t="e">
        <f>AND('STERLING CATALOG - FZN &amp; CHILL'!H1479,"AAAAAD4bXFM=")</f>
        <v>#VALUE!</v>
      </c>
      <c r="CG308" t="e">
        <f>AND('STERLING CATALOG - FZN &amp; CHILL'!I1479,"AAAAAD4bXFQ=")</f>
        <v>#VALUE!</v>
      </c>
      <c r="CH308" t="e">
        <f>AND('STERLING CATALOG - FZN &amp; CHILL'!J1479,"AAAAAD4bXFU=")</f>
        <v>#VALUE!</v>
      </c>
      <c r="CI308">
        <f>IF('STERLING CATALOG - FZN &amp; CHILL'!1480:1480,"AAAAAD4bXFY=",0)</f>
        <v>0</v>
      </c>
      <c r="CJ308" t="e">
        <f>AND('STERLING CATALOG - FZN &amp; CHILL'!A1480,"AAAAAD4bXFc=")</f>
        <v>#VALUE!</v>
      </c>
      <c r="CK308" t="e">
        <f>AND('STERLING CATALOG - FZN &amp; CHILL'!B1480,"AAAAAD4bXFg=")</f>
        <v>#VALUE!</v>
      </c>
      <c r="CL308" t="e">
        <f>AND('STERLING CATALOG - FZN &amp; CHILL'!C1480,"AAAAAD4bXFk=")</f>
        <v>#VALUE!</v>
      </c>
      <c r="CM308" t="e">
        <f>AND('STERLING CATALOG - FZN &amp; CHILL'!D1480,"AAAAAD4bXFo=")</f>
        <v>#VALUE!</v>
      </c>
      <c r="CN308" t="e">
        <f>AND('STERLING CATALOG - FZN &amp; CHILL'!E1480,"AAAAAD4bXFs=")</f>
        <v>#VALUE!</v>
      </c>
      <c r="CO308" t="e">
        <f>AND('STERLING CATALOG - FZN &amp; CHILL'!F1480,"AAAAAD4bXFw=")</f>
        <v>#VALUE!</v>
      </c>
      <c r="CP308" t="e">
        <f>AND('STERLING CATALOG - FZN &amp; CHILL'!G1480,"AAAAAD4bXF0=")</f>
        <v>#VALUE!</v>
      </c>
      <c r="CQ308" t="e">
        <f>AND('STERLING CATALOG - FZN &amp; CHILL'!H1480,"AAAAAD4bXF4=")</f>
        <v>#VALUE!</v>
      </c>
      <c r="CR308" t="e">
        <f>AND('STERLING CATALOG - FZN &amp; CHILL'!I1480,"AAAAAD4bXF8=")</f>
        <v>#VALUE!</v>
      </c>
      <c r="CS308" t="e">
        <f>AND('STERLING CATALOG - FZN &amp; CHILL'!J1480,"AAAAAD4bXGA=")</f>
        <v>#VALUE!</v>
      </c>
      <c r="CT308">
        <f>IF('STERLING CATALOG - FZN &amp; CHILL'!1481:1481,"AAAAAD4bXGE=",0)</f>
        <v>0</v>
      </c>
      <c r="CU308" t="e">
        <f>AND('STERLING CATALOG - FZN &amp; CHILL'!A1481,"AAAAAD4bXGI=")</f>
        <v>#VALUE!</v>
      </c>
      <c r="CV308" t="e">
        <f>AND('STERLING CATALOG - FZN &amp; CHILL'!B1481,"AAAAAD4bXGM=")</f>
        <v>#VALUE!</v>
      </c>
      <c r="CW308" t="e">
        <f>AND('STERLING CATALOG - FZN &amp; CHILL'!C1481,"AAAAAD4bXGQ=")</f>
        <v>#VALUE!</v>
      </c>
      <c r="CX308" t="e">
        <f>AND('STERLING CATALOG - FZN &amp; CHILL'!D1481,"AAAAAD4bXGU=")</f>
        <v>#VALUE!</v>
      </c>
      <c r="CY308" t="e">
        <f>AND('STERLING CATALOG - FZN &amp; CHILL'!E1481,"AAAAAD4bXGY=")</f>
        <v>#VALUE!</v>
      </c>
      <c r="CZ308" t="e">
        <f>AND('STERLING CATALOG - FZN &amp; CHILL'!F1481,"AAAAAD4bXGc=")</f>
        <v>#VALUE!</v>
      </c>
      <c r="DA308" t="e">
        <f>AND('STERLING CATALOG - FZN &amp; CHILL'!G1481,"AAAAAD4bXGg=")</f>
        <v>#VALUE!</v>
      </c>
      <c r="DB308" t="e">
        <f>AND('STERLING CATALOG - FZN &amp; CHILL'!H1481,"AAAAAD4bXGk=")</f>
        <v>#VALUE!</v>
      </c>
      <c r="DC308" t="e">
        <f>AND('STERLING CATALOG - FZN &amp; CHILL'!I1481,"AAAAAD4bXGo=")</f>
        <v>#VALUE!</v>
      </c>
      <c r="DD308" t="e">
        <f>AND('STERLING CATALOG - FZN &amp; CHILL'!J1481,"AAAAAD4bXGs=")</f>
        <v>#VALUE!</v>
      </c>
      <c r="DE308">
        <f>IF('STERLING CATALOG - FZN &amp; CHILL'!1482:1482,"AAAAAD4bXGw=",0)</f>
        <v>0</v>
      </c>
      <c r="DF308" t="e">
        <f>AND('STERLING CATALOG - FZN &amp; CHILL'!A1482,"AAAAAD4bXG0=")</f>
        <v>#VALUE!</v>
      </c>
      <c r="DG308" t="e">
        <f>AND('STERLING CATALOG - FZN &amp; CHILL'!B1482,"AAAAAD4bXG4=")</f>
        <v>#VALUE!</v>
      </c>
      <c r="DH308" t="e">
        <f>AND('STERLING CATALOG - FZN &amp; CHILL'!C1482,"AAAAAD4bXG8=")</f>
        <v>#VALUE!</v>
      </c>
      <c r="DI308" t="e">
        <f>AND('STERLING CATALOG - FZN &amp; CHILL'!D1482,"AAAAAD4bXHA=")</f>
        <v>#VALUE!</v>
      </c>
      <c r="DJ308" t="e">
        <f>AND('STERLING CATALOG - FZN &amp; CHILL'!E1482,"AAAAAD4bXHE=")</f>
        <v>#VALUE!</v>
      </c>
      <c r="DK308" t="e">
        <f>AND('STERLING CATALOG - FZN &amp; CHILL'!F1482,"AAAAAD4bXHI=")</f>
        <v>#VALUE!</v>
      </c>
      <c r="DL308" t="e">
        <f>AND('STERLING CATALOG - FZN &amp; CHILL'!G1482,"AAAAAD4bXHM=")</f>
        <v>#VALUE!</v>
      </c>
      <c r="DM308" t="e">
        <f>AND('STERLING CATALOG - FZN &amp; CHILL'!H1482,"AAAAAD4bXHQ=")</f>
        <v>#VALUE!</v>
      </c>
      <c r="DN308" t="e">
        <f>AND('STERLING CATALOG - FZN &amp; CHILL'!I1482,"AAAAAD4bXHU=")</f>
        <v>#VALUE!</v>
      </c>
      <c r="DO308" t="e">
        <f>AND('STERLING CATALOG - FZN &amp; CHILL'!J1482,"AAAAAD4bXHY=")</f>
        <v>#VALUE!</v>
      </c>
      <c r="DP308">
        <f>IF('STERLING CATALOG - FZN &amp; CHILL'!1483:1483,"AAAAAD4bXHc=",0)</f>
        <v>0</v>
      </c>
      <c r="DQ308" t="e">
        <f>AND('STERLING CATALOG - FZN &amp; CHILL'!A1483,"AAAAAD4bXHg=")</f>
        <v>#VALUE!</v>
      </c>
      <c r="DR308" t="e">
        <f>AND('STERLING CATALOG - FZN &amp; CHILL'!B1483,"AAAAAD4bXHk=")</f>
        <v>#VALUE!</v>
      </c>
      <c r="DS308" t="e">
        <f>AND('STERLING CATALOG - FZN &amp; CHILL'!C1483,"AAAAAD4bXHo=")</f>
        <v>#VALUE!</v>
      </c>
      <c r="DT308" t="e">
        <f>AND('STERLING CATALOG - FZN &amp; CHILL'!D1483,"AAAAAD4bXHs=")</f>
        <v>#VALUE!</v>
      </c>
      <c r="DU308" t="e">
        <f>AND('STERLING CATALOG - FZN &amp; CHILL'!E1483,"AAAAAD4bXHw=")</f>
        <v>#VALUE!</v>
      </c>
      <c r="DV308" t="e">
        <f>AND('STERLING CATALOG - FZN &amp; CHILL'!F1483,"AAAAAD4bXH0=")</f>
        <v>#VALUE!</v>
      </c>
      <c r="DW308" t="e">
        <f>AND('STERLING CATALOG - FZN &amp; CHILL'!G1483,"AAAAAD4bXH4=")</f>
        <v>#VALUE!</v>
      </c>
      <c r="DX308" t="e">
        <f>AND('STERLING CATALOG - FZN &amp; CHILL'!H1483,"AAAAAD4bXH8=")</f>
        <v>#VALUE!</v>
      </c>
      <c r="DY308" t="e">
        <f>AND('STERLING CATALOG - FZN &amp; CHILL'!I1483,"AAAAAD4bXIA=")</f>
        <v>#VALUE!</v>
      </c>
      <c r="DZ308" t="e">
        <f>AND('STERLING CATALOG - FZN &amp; CHILL'!J1483,"AAAAAD4bXIE=")</f>
        <v>#VALUE!</v>
      </c>
      <c r="EA308">
        <f>IF('STERLING CATALOG - FZN &amp; CHILL'!1484:1484,"AAAAAD4bXII=",0)</f>
        <v>0</v>
      </c>
      <c r="EB308" t="e">
        <f>AND('STERLING CATALOG - FZN &amp; CHILL'!A1484,"AAAAAD4bXIM=")</f>
        <v>#VALUE!</v>
      </c>
      <c r="EC308" t="e">
        <f>AND('STERLING CATALOG - FZN &amp; CHILL'!B1484,"AAAAAD4bXIQ=")</f>
        <v>#VALUE!</v>
      </c>
      <c r="ED308" t="e">
        <f>AND('STERLING CATALOG - FZN &amp; CHILL'!C1484,"AAAAAD4bXIU=")</f>
        <v>#VALUE!</v>
      </c>
      <c r="EE308" t="e">
        <f>AND('STERLING CATALOG - FZN &amp; CHILL'!D1484,"AAAAAD4bXIY=")</f>
        <v>#VALUE!</v>
      </c>
      <c r="EF308" t="e">
        <f>AND('STERLING CATALOG - FZN &amp; CHILL'!E1484,"AAAAAD4bXIc=")</f>
        <v>#VALUE!</v>
      </c>
      <c r="EG308" t="e">
        <f>AND('STERLING CATALOG - FZN &amp; CHILL'!F1484,"AAAAAD4bXIg=")</f>
        <v>#VALUE!</v>
      </c>
      <c r="EH308" t="e">
        <f>AND('STERLING CATALOG - FZN &amp; CHILL'!G1484,"AAAAAD4bXIk=")</f>
        <v>#VALUE!</v>
      </c>
      <c r="EI308" t="e">
        <f>AND('STERLING CATALOG - FZN &amp; CHILL'!H1484,"AAAAAD4bXIo=")</f>
        <v>#VALUE!</v>
      </c>
      <c r="EJ308" t="e">
        <f>AND('STERLING CATALOG - FZN &amp; CHILL'!I1484,"AAAAAD4bXIs=")</f>
        <v>#VALUE!</v>
      </c>
      <c r="EK308" t="e">
        <f>AND('STERLING CATALOG - FZN &amp; CHILL'!J1484,"AAAAAD4bXIw=")</f>
        <v>#VALUE!</v>
      </c>
      <c r="EL308">
        <f>IF('STERLING CATALOG - FZN &amp; CHILL'!1485:1485,"AAAAAD4bXI0=",0)</f>
        <v>0</v>
      </c>
      <c r="EM308" t="e">
        <f>AND('STERLING CATALOG - FZN &amp; CHILL'!A1485,"AAAAAD4bXI4=")</f>
        <v>#VALUE!</v>
      </c>
      <c r="EN308" t="e">
        <f>AND('STERLING CATALOG - FZN &amp; CHILL'!B1485,"AAAAAD4bXI8=")</f>
        <v>#VALUE!</v>
      </c>
      <c r="EO308" t="e">
        <f>AND('STERLING CATALOG - FZN &amp; CHILL'!C1485,"AAAAAD4bXJA=")</f>
        <v>#VALUE!</v>
      </c>
      <c r="EP308" t="e">
        <f>AND('STERLING CATALOG - FZN &amp; CHILL'!D1485,"AAAAAD4bXJE=")</f>
        <v>#VALUE!</v>
      </c>
      <c r="EQ308" t="e">
        <f>AND('STERLING CATALOG - FZN &amp; CHILL'!E1485,"AAAAAD4bXJI=")</f>
        <v>#VALUE!</v>
      </c>
      <c r="ER308" t="e">
        <f>AND('STERLING CATALOG - FZN &amp; CHILL'!F1485,"AAAAAD4bXJM=")</f>
        <v>#VALUE!</v>
      </c>
      <c r="ES308" t="e">
        <f>AND('STERLING CATALOG - FZN &amp; CHILL'!G1485,"AAAAAD4bXJQ=")</f>
        <v>#VALUE!</v>
      </c>
      <c r="ET308" t="e">
        <f>AND('STERLING CATALOG - FZN &amp; CHILL'!H1485,"AAAAAD4bXJU=")</f>
        <v>#VALUE!</v>
      </c>
      <c r="EU308" t="e">
        <f>AND('STERLING CATALOG - FZN &amp; CHILL'!I1485,"AAAAAD4bXJY=")</f>
        <v>#VALUE!</v>
      </c>
      <c r="EV308" t="e">
        <f>AND('STERLING CATALOG - FZN &amp; CHILL'!J1485,"AAAAAD4bXJc=")</f>
        <v>#VALUE!</v>
      </c>
      <c r="EW308">
        <f>IF('STERLING CATALOG - FZN &amp; CHILL'!1486:1486,"AAAAAD4bXJg=",0)</f>
        <v>0</v>
      </c>
      <c r="EX308" t="e">
        <f>AND('STERLING CATALOG - FZN &amp; CHILL'!A1486,"AAAAAD4bXJk=")</f>
        <v>#VALUE!</v>
      </c>
      <c r="EY308" t="e">
        <f>AND('STERLING CATALOG - FZN &amp; CHILL'!B1486,"AAAAAD4bXJo=")</f>
        <v>#VALUE!</v>
      </c>
      <c r="EZ308" t="e">
        <f>AND('STERLING CATALOG - FZN &amp; CHILL'!C1486,"AAAAAD4bXJs=")</f>
        <v>#VALUE!</v>
      </c>
      <c r="FA308" t="e">
        <f>AND('STERLING CATALOG - FZN &amp; CHILL'!D1486,"AAAAAD4bXJw=")</f>
        <v>#VALUE!</v>
      </c>
      <c r="FB308" t="e">
        <f>AND('STERLING CATALOG - FZN &amp; CHILL'!E1486,"AAAAAD4bXJ0=")</f>
        <v>#VALUE!</v>
      </c>
      <c r="FC308" t="e">
        <f>AND('STERLING CATALOG - FZN &amp; CHILL'!F1486,"AAAAAD4bXJ4=")</f>
        <v>#VALUE!</v>
      </c>
      <c r="FD308" t="e">
        <f>AND('STERLING CATALOG - FZN &amp; CHILL'!G1486,"AAAAAD4bXJ8=")</f>
        <v>#VALUE!</v>
      </c>
      <c r="FE308" t="e">
        <f>AND('STERLING CATALOG - FZN &amp; CHILL'!H1486,"AAAAAD4bXKA=")</f>
        <v>#VALUE!</v>
      </c>
      <c r="FF308" t="e">
        <f>AND('STERLING CATALOG - FZN &amp; CHILL'!I1486,"AAAAAD4bXKE=")</f>
        <v>#VALUE!</v>
      </c>
      <c r="FG308" t="e">
        <f>AND('STERLING CATALOG - FZN &amp; CHILL'!J1486,"AAAAAD4bXKI=")</f>
        <v>#VALUE!</v>
      </c>
      <c r="FH308">
        <f>IF('STERLING CATALOG - FZN &amp; CHILL'!1487:1487,"AAAAAD4bXKM=",0)</f>
        <v>0</v>
      </c>
      <c r="FI308" t="e">
        <f>AND('STERLING CATALOG - FZN &amp; CHILL'!A1487,"AAAAAD4bXKQ=")</f>
        <v>#VALUE!</v>
      </c>
      <c r="FJ308" t="e">
        <f>AND('STERLING CATALOG - FZN &amp; CHILL'!B1487,"AAAAAD4bXKU=")</f>
        <v>#VALUE!</v>
      </c>
      <c r="FK308" t="e">
        <f>AND('STERLING CATALOG - FZN &amp; CHILL'!C1487,"AAAAAD4bXKY=")</f>
        <v>#VALUE!</v>
      </c>
      <c r="FL308" t="e">
        <f>AND('STERLING CATALOG - FZN &amp; CHILL'!D1487,"AAAAAD4bXKc=")</f>
        <v>#VALUE!</v>
      </c>
      <c r="FM308" t="e">
        <f>AND('STERLING CATALOG - FZN &amp; CHILL'!E1487,"AAAAAD4bXKg=")</f>
        <v>#VALUE!</v>
      </c>
      <c r="FN308" t="e">
        <f>AND('STERLING CATALOG - FZN &amp; CHILL'!F1487,"AAAAAD4bXKk=")</f>
        <v>#VALUE!</v>
      </c>
      <c r="FO308" t="e">
        <f>AND('STERLING CATALOG - FZN &amp; CHILL'!G1487,"AAAAAD4bXKo=")</f>
        <v>#VALUE!</v>
      </c>
      <c r="FP308" t="e">
        <f>AND('STERLING CATALOG - FZN &amp; CHILL'!H1487,"AAAAAD4bXKs=")</f>
        <v>#VALUE!</v>
      </c>
      <c r="FQ308" t="e">
        <f>AND('STERLING CATALOG - FZN &amp; CHILL'!I1487,"AAAAAD4bXKw=")</f>
        <v>#VALUE!</v>
      </c>
      <c r="FR308" t="e">
        <f>AND('STERLING CATALOG - FZN &amp; CHILL'!J1487,"AAAAAD4bXK0=")</f>
        <v>#VALUE!</v>
      </c>
      <c r="FS308">
        <f>IF('STERLING CATALOG - FZN &amp; CHILL'!1488:1488,"AAAAAD4bXK4=",0)</f>
        <v>0</v>
      </c>
      <c r="FT308" t="e">
        <f>AND('STERLING CATALOG - FZN &amp; CHILL'!A1488,"AAAAAD4bXK8=")</f>
        <v>#VALUE!</v>
      </c>
      <c r="FU308" t="e">
        <f>AND('STERLING CATALOG - FZN &amp; CHILL'!B1488,"AAAAAD4bXLA=")</f>
        <v>#VALUE!</v>
      </c>
      <c r="FV308" t="e">
        <f>AND('STERLING CATALOG - FZN &amp; CHILL'!C1488,"AAAAAD4bXLE=")</f>
        <v>#VALUE!</v>
      </c>
      <c r="FW308" t="e">
        <f>AND('STERLING CATALOG - FZN &amp; CHILL'!D1488,"AAAAAD4bXLI=")</f>
        <v>#VALUE!</v>
      </c>
      <c r="FX308" t="e">
        <f>AND('STERLING CATALOG - FZN &amp; CHILL'!E1488,"AAAAAD4bXLM=")</f>
        <v>#VALUE!</v>
      </c>
      <c r="FY308" t="e">
        <f>AND('STERLING CATALOG - FZN &amp; CHILL'!F1488,"AAAAAD4bXLQ=")</f>
        <v>#VALUE!</v>
      </c>
      <c r="FZ308" t="e">
        <f>AND('STERLING CATALOG - FZN &amp; CHILL'!G1488,"AAAAAD4bXLU=")</f>
        <v>#VALUE!</v>
      </c>
      <c r="GA308" t="e">
        <f>AND('STERLING CATALOG - FZN &amp; CHILL'!H1488,"AAAAAD4bXLY=")</f>
        <v>#VALUE!</v>
      </c>
      <c r="GB308" t="e">
        <f>AND('STERLING CATALOG - FZN &amp; CHILL'!I1488,"AAAAAD4bXLc=")</f>
        <v>#VALUE!</v>
      </c>
      <c r="GC308" t="e">
        <f>AND('STERLING CATALOG - FZN &amp; CHILL'!J1488,"AAAAAD4bXLg=")</f>
        <v>#VALUE!</v>
      </c>
      <c r="GD308">
        <f>IF('STERLING CATALOG - FZN &amp; CHILL'!1489:1489,"AAAAAD4bXLk=",0)</f>
        <v>0</v>
      </c>
      <c r="GE308" t="e">
        <f>AND('STERLING CATALOG - FZN &amp; CHILL'!A1489,"AAAAAD4bXLo=")</f>
        <v>#VALUE!</v>
      </c>
      <c r="GF308" t="e">
        <f>AND('STERLING CATALOG - FZN &amp; CHILL'!B1489,"AAAAAD4bXLs=")</f>
        <v>#VALUE!</v>
      </c>
      <c r="GG308" t="e">
        <f>AND('STERLING CATALOG - FZN &amp; CHILL'!C1489,"AAAAAD4bXLw=")</f>
        <v>#VALUE!</v>
      </c>
      <c r="GH308" t="e">
        <f>AND('STERLING CATALOG - FZN &amp; CHILL'!D1489,"AAAAAD4bXL0=")</f>
        <v>#VALUE!</v>
      </c>
      <c r="GI308" t="e">
        <f>AND('STERLING CATALOG - FZN &amp; CHILL'!E1489,"AAAAAD4bXL4=")</f>
        <v>#VALUE!</v>
      </c>
      <c r="GJ308" t="e">
        <f>AND('STERLING CATALOG - FZN &amp; CHILL'!F1489,"AAAAAD4bXL8=")</f>
        <v>#VALUE!</v>
      </c>
      <c r="GK308" t="e">
        <f>AND('STERLING CATALOG - FZN &amp; CHILL'!G1489,"AAAAAD4bXMA=")</f>
        <v>#VALUE!</v>
      </c>
      <c r="GL308" t="e">
        <f>AND('STERLING CATALOG - FZN &amp; CHILL'!H1489,"AAAAAD4bXME=")</f>
        <v>#VALUE!</v>
      </c>
      <c r="GM308" t="e">
        <f>AND('STERLING CATALOG - FZN &amp; CHILL'!I1489,"AAAAAD4bXMI=")</f>
        <v>#VALUE!</v>
      </c>
      <c r="GN308" t="e">
        <f>AND('STERLING CATALOG - FZN &amp; CHILL'!J1489,"AAAAAD4bXMM=")</f>
        <v>#VALUE!</v>
      </c>
      <c r="GO308">
        <f>IF('STERLING CATALOG - FZN &amp; CHILL'!1490:1490,"AAAAAD4bXMQ=",0)</f>
        <v>0</v>
      </c>
      <c r="GP308" t="e">
        <f>AND('STERLING CATALOG - FZN &amp; CHILL'!A1490,"AAAAAD4bXMU=")</f>
        <v>#VALUE!</v>
      </c>
      <c r="GQ308" t="e">
        <f>AND('STERLING CATALOG - FZN &amp; CHILL'!B1490,"AAAAAD4bXMY=")</f>
        <v>#VALUE!</v>
      </c>
      <c r="GR308" t="e">
        <f>AND('STERLING CATALOG - FZN &amp; CHILL'!C1490,"AAAAAD4bXMc=")</f>
        <v>#VALUE!</v>
      </c>
      <c r="GS308" t="e">
        <f>AND('STERLING CATALOG - FZN &amp; CHILL'!D1490,"AAAAAD4bXMg=")</f>
        <v>#VALUE!</v>
      </c>
      <c r="GT308" t="e">
        <f>AND('STERLING CATALOG - FZN &amp; CHILL'!E1490,"AAAAAD4bXMk=")</f>
        <v>#VALUE!</v>
      </c>
      <c r="GU308" t="e">
        <f>AND('STERLING CATALOG - FZN &amp; CHILL'!F1490,"AAAAAD4bXMo=")</f>
        <v>#VALUE!</v>
      </c>
      <c r="GV308" t="e">
        <f>AND('STERLING CATALOG - FZN &amp; CHILL'!G1490,"AAAAAD4bXMs=")</f>
        <v>#VALUE!</v>
      </c>
      <c r="GW308" t="e">
        <f>AND('STERLING CATALOG - FZN &amp; CHILL'!H1490,"AAAAAD4bXMw=")</f>
        <v>#VALUE!</v>
      </c>
      <c r="GX308" t="e">
        <f>AND('STERLING CATALOG - FZN &amp; CHILL'!I1490,"AAAAAD4bXM0=")</f>
        <v>#VALUE!</v>
      </c>
      <c r="GY308" t="e">
        <f>AND('STERLING CATALOG - FZN &amp; CHILL'!J1490,"AAAAAD4bXM4=")</f>
        <v>#VALUE!</v>
      </c>
      <c r="GZ308">
        <f>IF('STERLING CATALOG - FZN &amp; CHILL'!1491:1491,"AAAAAD4bXM8=",0)</f>
        <v>0</v>
      </c>
      <c r="HA308" t="e">
        <f>AND('STERLING CATALOG - FZN &amp; CHILL'!A1491,"AAAAAD4bXNA=")</f>
        <v>#VALUE!</v>
      </c>
      <c r="HB308" t="e">
        <f>AND('STERLING CATALOG - FZN &amp; CHILL'!B1491,"AAAAAD4bXNE=")</f>
        <v>#VALUE!</v>
      </c>
      <c r="HC308" t="e">
        <f>AND('STERLING CATALOG - FZN &amp; CHILL'!C1491,"AAAAAD4bXNI=")</f>
        <v>#VALUE!</v>
      </c>
      <c r="HD308" t="e">
        <f>AND('STERLING CATALOG - FZN &amp; CHILL'!D1491,"AAAAAD4bXNM=")</f>
        <v>#VALUE!</v>
      </c>
      <c r="HE308" t="e">
        <f>AND('STERLING CATALOG - FZN &amp; CHILL'!E1491,"AAAAAD4bXNQ=")</f>
        <v>#VALUE!</v>
      </c>
      <c r="HF308" t="e">
        <f>AND('STERLING CATALOG - FZN &amp; CHILL'!F1491,"AAAAAD4bXNU=")</f>
        <v>#VALUE!</v>
      </c>
      <c r="HG308" t="e">
        <f>AND('STERLING CATALOG - FZN &amp; CHILL'!G1491,"AAAAAD4bXNY=")</f>
        <v>#VALUE!</v>
      </c>
      <c r="HH308" t="e">
        <f>AND('STERLING CATALOG - FZN &amp; CHILL'!H1491,"AAAAAD4bXNc=")</f>
        <v>#VALUE!</v>
      </c>
      <c r="HI308" t="e">
        <f>AND('STERLING CATALOG - FZN &amp; CHILL'!I1491,"AAAAAD4bXNg=")</f>
        <v>#VALUE!</v>
      </c>
      <c r="HJ308" t="e">
        <f>AND('STERLING CATALOG - FZN &amp; CHILL'!J1491,"AAAAAD4bXNk=")</f>
        <v>#VALUE!</v>
      </c>
      <c r="HK308">
        <f>IF('STERLING CATALOG - FZN &amp; CHILL'!1492:1492,"AAAAAD4bXNo=",0)</f>
        <v>0</v>
      </c>
      <c r="HL308" t="e">
        <f>AND('STERLING CATALOG - FZN &amp; CHILL'!A1492,"AAAAAD4bXNs=")</f>
        <v>#VALUE!</v>
      </c>
      <c r="HM308" t="e">
        <f>AND('STERLING CATALOG - FZN &amp; CHILL'!B1492,"AAAAAD4bXNw=")</f>
        <v>#VALUE!</v>
      </c>
      <c r="HN308" t="e">
        <f>AND('STERLING CATALOG - FZN &amp; CHILL'!C1492,"AAAAAD4bXN0=")</f>
        <v>#VALUE!</v>
      </c>
      <c r="HO308" t="e">
        <f>AND('STERLING CATALOG - FZN &amp; CHILL'!D1492,"AAAAAD4bXN4=")</f>
        <v>#VALUE!</v>
      </c>
      <c r="HP308" t="e">
        <f>AND('STERLING CATALOG - FZN &amp; CHILL'!E1492,"AAAAAD4bXN8=")</f>
        <v>#VALUE!</v>
      </c>
      <c r="HQ308" t="e">
        <f>AND('STERLING CATALOG - FZN &amp; CHILL'!F1492,"AAAAAD4bXOA=")</f>
        <v>#VALUE!</v>
      </c>
      <c r="HR308" t="e">
        <f>AND('STERLING CATALOG - FZN &amp; CHILL'!G1492,"AAAAAD4bXOE=")</f>
        <v>#VALUE!</v>
      </c>
      <c r="HS308" t="e">
        <f>AND('STERLING CATALOG - FZN &amp; CHILL'!H1492,"AAAAAD4bXOI=")</f>
        <v>#VALUE!</v>
      </c>
      <c r="HT308" t="e">
        <f>AND('STERLING CATALOG - FZN &amp; CHILL'!I1492,"AAAAAD4bXOM=")</f>
        <v>#VALUE!</v>
      </c>
      <c r="HU308" t="e">
        <f>AND('STERLING CATALOG - FZN &amp; CHILL'!J1492,"AAAAAD4bXOQ=")</f>
        <v>#VALUE!</v>
      </c>
      <c r="HV308">
        <f>IF('STERLING CATALOG - FZN &amp; CHILL'!1493:1493,"AAAAAD4bXOU=",0)</f>
        <v>0</v>
      </c>
      <c r="HW308" t="e">
        <f>AND('STERLING CATALOG - FZN &amp; CHILL'!A1493,"AAAAAD4bXOY=")</f>
        <v>#VALUE!</v>
      </c>
      <c r="HX308" t="e">
        <f>AND('STERLING CATALOG - FZN &amp; CHILL'!B1493,"AAAAAD4bXOc=")</f>
        <v>#VALUE!</v>
      </c>
      <c r="HY308" t="e">
        <f>AND('STERLING CATALOG - FZN &amp; CHILL'!C1493,"AAAAAD4bXOg=")</f>
        <v>#VALUE!</v>
      </c>
      <c r="HZ308" t="e">
        <f>AND('STERLING CATALOG - FZN &amp; CHILL'!D1493,"AAAAAD4bXOk=")</f>
        <v>#VALUE!</v>
      </c>
      <c r="IA308" t="e">
        <f>AND('STERLING CATALOG - FZN &amp; CHILL'!E1493,"AAAAAD4bXOo=")</f>
        <v>#VALUE!</v>
      </c>
      <c r="IB308" t="e">
        <f>AND('STERLING CATALOG - FZN &amp; CHILL'!F1493,"AAAAAD4bXOs=")</f>
        <v>#VALUE!</v>
      </c>
      <c r="IC308" t="e">
        <f>AND('STERLING CATALOG - FZN &amp; CHILL'!G1493,"AAAAAD4bXOw=")</f>
        <v>#VALUE!</v>
      </c>
      <c r="ID308" t="e">
        <f>AND('STERLING CATALOG - FZN &amp; CHILL'!H1493,"AAAAAD4bXO0=")</f>
        <v>#VALUE!</v>
      </c>
      <c r="IE308" t="e">
        <f>AND('STERLING CATALOG - FZN &amp; CHILL'!I1493,"AAAAAD4bXO4=")</f>
        <v>#VALUE!</v>
      </c>
      <c r="IF308" t="e">
        <f>AND('STERLING CATALOG - FZN &amp; CHILL'!J1493,"AAAAAD4bXO8=")</f>
        <v>#VALUE!</v>
      </c>
      <c r="IG308">
        <f>IF('STERLING CATALOG - FZN &amp; CHILL'!1494:1494,"AAAAAD4bXPA=",0)</f>
        <v>0</v>
      </c>
      <c r="IH308" t="e">
        <f>AND('STERLING CATALOG - FZN &amp; CHILL'!A1494,"AAAAAD4bXPE=")</f>
        <v>#VALUE!</v>
      </c>
      <c r="II308" t="e">
        <f>AND('STERLING CATALOG - FZN &amp; CHILL'!B1494,"AAAAAD4bXPI=")</f>
        <v>#VALUE!</v>
      </c>
      <c r="IJ308" t="e">
        <f>AND('STERLING CATALOG - FZN &amp; CHILL'!C1494,"AAAAAD4bXPM=")</f>
        <v>#VALUE!</v>
      </c>
      <c r="IK308" t="e">
        <f>AND('STERLING CATALOG - FZN &amp; CHILL'!D1494,"AAAAAD4bXPQ=")</f>
        <v>#VALUE!</v>
      </c>
      <c r="IL308" t="e">
        <f>AND('STERLING CATALOG - FZN &amp; CHILL'!E1494,"AAAAAD4bXPU=")</f>
        <v>#VALUE!</v>
      </c>
      <c r="IM308" t="e">
        <f>AND('STERLING CATALOG - FZN &amp; CHILL'!F1494,"AAAAAD4bXPY=")</f>
        <v>#VALUE!</v>
      </c>
      <c r="IN308" t="e">
        <f>AND('STERLING CATALOG - FZN &amp; CHILL'!G1494,"AAAAAD4bXPc=")</f>
        <v>#VALUE!</v>
      </c>
      <c r="IO308" t="e">
        <f>AND('STERLING CATALOG - FZN &amp; CHILL'!H1494,"AAAAAD4bXPg=")</f>
        <v>#VALUE!</v>
      </c>
      <c r="IP308" t="e">
        <f>AND('STERLING CATALOG - FZN &amp; CHILL'!I1494,"AAAAAD4bXPk=")</f>
        <v>#VALUE!</v>
      </c>
      <c r="IQ308" t="e">
        <f>AND('STERLING CATALOG - FZN &amp; CHILL'!J1494,"AAAAAD4bXPo=")</f>
        <v>#VALUE!</v>
      </c>
      <c r="IR308">
        <f>IF('STERLING CATALOG - FZN &amp; CHILL'!1495:1495,"AAAAAD4bXPs=",0)</f>
        <v>0</v>
      </c>
      <c r="IS308" t="e">
        <f>AND('STERLING CATALOG - FZN &amp; CHILL'!A1495,"AAAAAD4bXPw=")</f>
        <v>#VALUE!</v>
      </c>
      <c r="IT308" t="e">
        <f>AND('STERLING CATALOG - FZN &amp; CHILL'!B1495,"AAAAAD4bXP0=")</f>
        <v>#VALUE!</v>
      </c>
      <c r="IU308" t="e">
        <f>AND('STERLING CATALOG - FZN &amp; CHILL'!C1495,"AAAAAD4bXP4=")</f>
        <v>#VALUE!</v>
      </c>
      <c r="IV308" t="e">
        <f>AND('STERLING CATALOG - FZN &amp; CHILL'!D1495,"AAAAAD4bXP8=")</f>
        <v>#VALUE!</v>
      </c>
    </row>
    <row r="309" spans="1:256">
      <c r="A309" t="e">
        <f>AND('STERLING CATALOG - FZN &amp; CHILL'!E1495,"AAAAAH6POwA=")</f>
        <v>#VALUE!</v>
      </c>
      <c r="B309" t="e">
        <f>AND('STERLING CATALOG - FZN &amp; CHILL'!F1495,"AAAAAH6POwE=")</f>
        <v>#VALUE!</v>
      </c>
      <c r="C309" t="e">
        <f>AND('STERLING CATALOG - FZN &amp; CHILL'!G1495,"AAAAAH6POwI=")</f>
        <v>#VALUE!</v>
      </c>
      <c r="D309" t="e">
        <f>AND('STERLING CATALOG - FZN &amp; CHILL'!H1495,"AAAAAH6POwM=")</f>
        <v>#VALUE!</v>
      </c>
      <c r="E309" t="e">
        <f>AND('STERLING CATALOG - FZN &amp; CHILL'!I1495,"AAAAAH6POwQ=")</f>
        <v>#VALUE!</v>
      </c>
      <c r="F309" t="e">
        <f>AND('STERLING CATALOG - FZN &amp; CHILL'!J1495,"AAAAAH6POwU=")</f>
        <v>#VALUE!</v>
      </c>
      <c r="G309" t="str">
        <f>IF('STERLING CATALOG - FZN &amp; CHILL'!1496:1496,"AAAAAH6POwY=",0)</f>
        <v>AAAAAH6POwY=</v>
      </c>
      <c r="H309" t="e">
        <f>AND('STERLING CATALOG - FZN &amp; CHILL'!A1496,"AAAAAH6POwc=")</f>
        <v>#VALUE!</v>
      </c>
      <c r="I309" t="e">
        <f>AND('STERLING CATALOG - FZN &amp; CHILL'!B1496,"AAAAAH6POwg=")</f>
        <v>#VALUE!</v>
      </c>
      <c r="J309" t="e">
        <f>AND('STERLING CATALOG - FZN &amp; CHILL'!C1496,"AAAAAH6POwk=")</f>
        <v>#VALUE!</v>
      </c>
      <c r="K309" t="e">
        <f>AND('STERLING CATALOG - FZN &amp; CHILL'!D1496,"AAAAAH6POwo=")</f>
        <v>#VALUE!</v>
      </c>
      <c r="L309" t="e">
        <f>AND('STERLING CATALOG - FZN &amp; CHILL'!E1496,"AAAAAH6POws=")</f>
        <v>#VALUE!</v>
      </c>
      <c r="M309" t="e">
        <f>AND('STERLING CATALOG - FZN &amp; CHILL'!F1496,"AAAAAH6POww=")</f>
        <v>#VALUE!</v>
      </c>
      <c r="N309" t="e">
        <f>AND('STERLING CATALOG - FZN &amp; CHILL'!G1496,"AAAAAH6POw0=")</f>
        <v>#VALUE!</v>
      </c>
      <c r="O309" t="e">
        <f>AND('STERLING CATALOG - FZN &amp; CHILL'!H1496,"AAAAAH6POw4=")</f>
        <v>#VALUE!</v>
      </c>
      <c r="P309" t="e">
        <f>AND('STERLING CATALOG - FZN &amp; CHILL'!I1496,"AAAAAH6POw8=")</f>
        <v>#VALUE!</v>
      </c>
      <c r="Q309" t="e">
        <f>AND('STERLING CATALOG - FZN &amp; CHILL'!J1496,"AAAAAH6POxA=")</f>
        <v>#VALUE!</v>
      </c>
      <c r="R309">
        <f>IF('STERLING CATALOG - FZN &amp; CHILL'!1497:1497,"AAAAAH6POxE=",0)</f>
        <v>0</v>
      </c>
      <c r="S309" t="e">
        <f>AND('STERLING CATALOG - FZN &amp; CHILL'!A1497,"AAAAAH6POxI=")</f>
        <v>#VALUE!</v>
      </c>
      <c r="T309" t="e">
        <f>AND('STERLING CATALOG - FZN &amp; CHILL'!B1497,"AAAAAH6POxM=")</f>
        <v>#VALUE!</v>
      </c>
      <c r="U309" t="e">
        <f>AND('STERLING CATALOG - FZN &amp; CHILL'!C1497,"AAAAAH6POxQ=")</f>
        <v>#VALUE!</v>
      </c>
      <c r="V309" t="e">
        <f>AND('STERLING CATALOG - FZN &amp; CHILL'!D1497,"AAAAAH6POxU=")</f>
        <v>#VALUE!</v>
      </c>
      <c r="W309" t="e">
        <f>AND('STERLING CATALOG - FZN &amp; CHILL'!E1497,"AAAAAH6POxY=")</f>
        <v>#VALUE!</v>
      </c>
      <c r="X309" t="e">
        <f>AND('STERLING CATALOG - FZN &amp; CHILL'!F1497,"AAAAAH6POxc=")</f>
        <v>#VALUE!</v>
      </c>
      <c r="Y309" t="e">
        <f>AND('STERLING CATALOG - FZN &amp; CHILL'!G1497,"AAAAAH6POxg=")</f>
        <v>#VALUE!</v>
      </c>
      <c r="Z309" t="e">
        <f>AND('STERLING CATALOG - FZN &amp; CHILL'!H1497,"AAAAAH6POxk=")</f>
        <v>#VALUE!</v>
      </c>
      <c r="AA309" t="e">
        <f>AND('STERLING CATALOG - FZN &amp; CHILL'!I1497,"AAAAAH6POxo=")</f>
        <v>#VALUE!</v>
      </c>
      <c r="AB309" t="e">
        <f>AND('STERLING CATALOG - FZN &amp; CHILL'!J1497,"AAAAAH6POxs=")</f>
        <v>#VALUE!</v>
      </c>
      <c r="AC309">
        <f>IF('STERLING CATALOG - FZN &amp; CHILL'!1498:1498,"AAAAAH6POxw=",0)</f>
        <v>0</v>
      </c>
      <c r="AD309" t="e">
        <f>AND('STERLING CATALOG - FZN &amp; CHILL'!A1498,"AAAAAH6POx0=")</f>
        <v>#VALUE!</v>
      </c>
      <c r="AE309" t="e">
        <f>AND('STERLING CATALOG - FZN &amp; CHILL'!B1498,"AAAAAH6POx4=")</f>
        <v>#VALUE!</v>
      </c>
      <c r="AF309" t="e">
        <f>AND('STERLING CATALOG - FZN &amp; CHILL'!C1498,"AAAAAH6POx8=")</f>
        <v>#VALUE!</v>
      </c>
      <c r="AG309" t="e">
        <f>AND('STERLING CATALOG - FZN &amp; CHILL'!D1498,"AAAAAH6POyA=")</f>
        <v>#VALUE!</v>
      </c>
      <c r="AH309" t="e">
        <f>AND('STERLING CATALOG - FZN &amp; CHILL'!E1498,"AAAAAH6POyE=")</f>
        <v>#VALUE!</v>
      </c>
      <c r="AI309" t="e">
        <f>AND('STERLING CATALOG - FZN &amp; CHILL'!F1498,"AAAAAH6POyI=")</f>
        <v>#VALUE!</v>
      </c>
      <c r="AJ309" t="e">
        <f>AND('STERLING CATALOG - FZN &amp; CHILL'!G1498,"AAAAAH6POyM=")</f>
        <v>#VALUE!</v>
      </c>
      <c r="AK309" t="e">
        <f>AND('STERLING CATALOG - FZN &amp; CHILL'!H1498,"AAAAAH6POyQ=")</f>
        <v>#VALUE!</v>
      </c>
      <c r="AL309" t="e">
        <f>AND('STERLING CATALOG - FZN &amp; CHILL'!I1498,"AAAAAH6POyU=")</f>
        <v>#VALUE!</v>
      </c>
      <c r="AM309" t="e">
        <f>AND('STERLING CATALOG - FZN &amp; CHILL'!J1498,"AAAAAH6POyY=")</f>
        <v>#VALUE!</v>
      </c>
      <c r="AN309">
        <f>IF('STERLING CATALOG - FZN &amp; CHILL'!1499:1499,"AAAAAH6POyc=",0)</f>
        <v>0</v>
      </c>
      <c r="AO309" t="e">
        <f>AND('STERLING CATALOG - FZN &amp; CHILL'!A1499,"AAAAAH6POyg=")</f>
        <v>#VALUE!</v>
      </c>
      <c r="AP309" t="e">
        <f>AND('STERLING CATALOG - FZN &amp; CHILL'!B1499,"AAAAAH6POyk=")</f>
        <v>#VALUE!</v>
      </c>
      <c r="AQ309" t="e">
        <f>AND('STERLING CATALOG - FZN &amp; CHILL'!C1499,"AAAAAH6POyo=")</f>
        <v>#VALUE!</v>
      </c>
      <c r="AR309" t="e">
        <f>AND('STERLING CATALOG - FZN &amp; CHILL'!D1499,"AAAAAH6POys=")</f>
        <v>#VALUE!</v>
      </c>
      <c r="AS309" t="e">
        <f>AND('STERLING CATALOG - FZN &amp; CHILL'!E1499,"AAAAAH6POyw=")</f>
        <v>#VALUE!</v>
      </c>
      <c r="AT309" t="e">
        <f>AND('STERLING CATALOG - FZN &amp; CHILL'!F1499,"AAAAAH6POy0=")</f>
        <v>#VALUE!</v>
      </c>
      <c r="AU309" t="e">
        <f>AND('STERLING CATALOG - FZN &amp; CHILL'!G1499,"AAAAAH6POy4=")</f>
        <v>#VALUE!</v>
      </c>
      <c r="AV309" t="e">
        <f>AND('STERLING CATALOG - FZN &amp; CHILL'!H1499,"AAAAAH6POy8=")</f>
        <v>#VALUE!</v>
      </c>
      <c r="AW309" t="e">
        <f>AND('STERLING CATALOG - FZN &amp; CHILL'!I1499,"AAAAAH6POzA=")</f>
        <v>#VALUE!</v>
      </c>
      <c r="AX309" t="e">
        <f>AND('STERLING CATALOG - FZN &amp; CHILL'!J1499,"AAAAAH6POzE=")</f>
        <v>#VALUE!</v>
      </c>
      <c r="AY309">
        <f>IF('STERLING CATALOG - FZN &amp; CHILL'!1500:1500,"AAAAAH6POzI=",0)</f>
        <v>0</v>
      </c>
      <c r="AZ309" t="e">
        <f>AND('STERLING CATALOG - FZN &amp; CHILL'!A1500,"AAAAAH6POzM=")</f>
        <v>#VALUE!</v>
      </c>
      <c r="BA309" t="e">
        <f>AND('STERLING CATALOG - FZN &amp; CHILL'!B1500,"AAAAAH6POzQ=")</f>
        <v>#VALUE!</v>
      </c>
      <c r="BB309" t="e">
        <f>AND('STERLING CATALOG - FZN &amp; CHILL'!C1500,"AAAAAH6POzU=")</f>
        <v>#VALUE!</v>
      </c>
      <c r="BC309" t="e">
        <f>AND('STERLING CATALOG - FZN &amp; CHILL'!D1500,"AAAAAH6POzY=")</f>
        <v>#VALUE!</v>
      </c>
      <c r="BD309" t="e">
        <f>AND('STERLING CATALOG - FZN &amp; CHILL'!E1500,"AAAAAH6POzc=")</f>
        <v>#VALUE!</v>
      </c>
      <c r="BE309" t="e">
        <f>AND('STERLING CATALOG - FZN &amp; CHILL'!F1500,"AAAAAH6POzg=")</f>
        <v>#VALUE!</v>
      </c>
      <c r="BF309" t="e">
        <f>AND('STERLING CATALOG - FZN &amp; CHILL'!G1500,"AAAAAH6POzk=")</f>
        <v>#VALUE!</v>
      </c>
      <c r="BG309" t="e">
        <f>AND('STERLING CATALOG - FZN &amp; CHILL'!H1500,"AAAAAH6POzo=")</f>
        <v>#VALUE!</v>
      </c>
      <c r="BH309" t="e">
        <f>AND('STERLING CATALOG - FZN &amp; CHILL'!I1500,"AAAAAH6POzs=")</f>
        <v>#VALUE!</v>
      </c>
      <c r="BI309" t="e">
        <f>AND('STERLING CATALOG - FZN &amp; CHILL'!J1500,"AAAAAH6POzw=")</f>
        <v>#VALUE!</v>
      </c>
      <c r="BJ309">
        <f>IF('STERLING CATALOG - FZN &amp; CHILL'!1501:1501,"AAAAAH6POz0=",0)</f>
        <v>0</v>
      </c>
      <c r="BK309" t="e">
        <f>AND('STERLING CATALOG - FZN &amp; CHILL'!A1501,"AAAAAH6POz4=")</f>
        <v>#VALUE!</v>
      </c>
      <c r="BL309" t="e">
        <f>AND('STERLING CATALOG - FZN &amp; CHILL'!B1501,"AAAAAH6POz8=")</f>
        <v>#VALUE!</v>
      </c>
      <c r="BM309" t="e">
        <f>AND('STERLING CATALOG - FZN &amp; CHILL'!C1501,"AAAAAH6PO0A=")</f>
        <v>#VALUE!</v>
      </c>
      <c r="BN309" t="e">
        <f>AND('STERLING CATALOG - FZN &amp; CHILL'!D1501,"AAAAAH6PO0E=")</f>
        <v>#VALUE!</v>
      </c>
      <c r="BO309" t="e">
        <f>AND('STERLING CATALOG - FZN &amp; CHILL'!E1501,"AAAAAH6PO0I=")</f>
        <v>#VALUE!</v>
      </c>
      <c r="BP309" t="e">
        <f>AND('STERLING CATALOG - FZN &amp; CHILL'!F1501,"AAAAAH6PO0M=")</f>
        <v>#VALUE!</v>
      </c>
      <c r="BQ309" t="e">
        <f>AND('STERLING CATALOG - FZN &amp; CHILL'!G1501,"AAAAAH6PO0Q=")</f>
        <v>#VALUE!</v>
      </c>
      <c r="BR309" t="e">
        <f>AND('STERLING CATALOG - FZN &amp; CHILL'!H1501,"AAAAAH6PO0U=")</f>
        <v>#VALUE!</v>
      </c>
      <c r="BS309" t="e">
        <f>AND('STERLING CATALOG - FZN &amp; CHILL'!I1501,"AAAAAH6PO0Y=")</f>
        <v>#VALUE!</v>
      </c>
      <c r="BT309" t="e">
        <f>AND('STERLING CATALOG - FZN &amp; CHILL'!J1501,"AAAAAH6PO0c=")</f>
        <v>#VALUE!</v>
      </c>
      <c r="BU309">
        <f>IF('STERLING CATALOG - FZN &amp; CHILL'!1502:1502,"AAAAAH6PO0g=",0)</f>
        <v>0</v>
      </c>
      <c r="BV309" t="e">
        <f>AND('STERLING CATALOG - FZN &amp; CHILL'!A1502,"AAAAAH6PO0k=")</f>
        <v>#VALUE!</v>
      </c>
      <c r="BW309" t="e">
        <f>AND('STERLING CATALOG - FZN &amp; CHILL'!B1502,"AAAAAH6PO0o=")</f>
        <v>#VALUE!</v>
      </c>
      <c r="BX309" t="e">
        <f>AND('STERLING CATALOG - FZN &amp; CHILL'!C1502,"AAAAAH6PO0s=")</f>
        <v>#VALUE!</v>
      </c>
      <c r="BY309" t="e">
        <f>AND('STERLING CATALOG - FZN &amp; CHILL'!D1502,"AAAAAH6PO0w=")</f>
        <v>#VALUE!</v>
      </c>
      <c r="BZ309" t="e">
        <f>AND('STERLING CATALOG - FZN &amp; CHILL'!E1502,"AAAAAH6PO00=")</f>
        <v>#VALUE!</v>
      </c>
      <c r="CA309" t="e">
        <f>AND('STERLING CATALOG - FZN &amp; CHILL'!F1502,"AAAAAH6PO04=")</f>
        <v>#VALUE!</v>
      </c>
      <c r="CB309" t="e">
        <f>AND('STERLING CATALOG - FZN &amp; CHILL'!G1502,"AAAAAH6PO08=")</f>
        <v>#VALUE!</v>
      </c>
      <c r="CC309" t="e">
        <f>AND('STERLING CATALOG - FZN &amp; CHILL'!H1502,"AAAAAH6PO1A=")</f>
        <v>#VALUE!</v>
      </c>
      <c r="CD309" t="e">
        <f>AND('STERLING CATALOG - FZN &amp; CHILL'!I1502,"AAAAAH6PO1E=")</f>
        <v>#VALUE!</v>
      </c>
      <c r="CE309" t="e">
        <f>AND('STERLING CATALOG - FZN &amp; CHILL'!J1502,"AAAAAH6PO1I=")</f>
        <v>#VALUE!</v>
      </c>
      <c r="CF309">
        <f>IF('STERLING CATALOG - FZN &amp; CHILL'!1503:1503,"AAAAAH6PO1M=",0)</f>
        <v>0</v>
      </c>
      <c r="CG309" t="e">
        <f>AND('STERLING CATALOG - FZN &amp; CHILL'!A1503,"AAAAAH6PO1Q=")</f>
        <v>#VALUE!</v>
      </c>
      <c r="CH309" t="e">
        <f>AND('STERLING CATALOG - FZN &amp; CHILL'!B1503,"AAAAAH6PO1U=")</f>
        <v>#VALUE!</v>
      </c>
      <c r="CI309" t="e">
        <f>AND('STERLING CATALOG - FZN &amp; CHILL'!C1503,"AAAAAH6PO1Y=")</f>
        <v>#VALUE!</v>
      </c>
      <c r="CJ309" t="e">
        <f>AND('STERLING CATALOG - FZN &amp; CHILL'!D1503,"AAAAAH6PO1c=")</f>
        <v>#VALUE!</v>
      </c>
      <c r="CK309" t="e">
        <f>AND('STERLING CATALOG - FZN &amp; CHILL'!E1503,"AAAAAH6PO1g=")</f>
        <v>#VALUE!</v>
      </c>
      <c r="CL309" t="e">
        <f>AND('STERLING CATALOG - FZN &amp; CHILL'!F1503,"AAAAAH6PO1k=")</f>
        <v>#VALUE!</v>
      </c>
      <c r="CM309" t="e">
        <f>AND('STERLING CATALOG - FZN &amp; CHILL'!G1503,"AAAAAH6PO1o=")</f>
        <v>#VALUE!</v>
      </c>
      <c r="CN309" t="e">
        <f>AND('STERLING CATALOG - FZN &amp; CHILL'!H1503,"AAAAAH6PO1s=")</f>
        <v>#VALUE!</v>
      </c>
      <c r="CO309" t="e">
        <f>AND('STERLING CATALOG - FZN &amp; CHILL'!I1503,"AAAAAH6PO1w=")</f>
        <v>#VALUE!</v>
      </c>
      <c r="CP309" t="e">
        <f>AND('STERLING CATALOG - FZN &amp; CHILL'!J1503,"AAAAAH6PO10=")</f>
        <v>#VALUE!</v>
      </c>
      <c r="CQ309">
        <f>IF('STERLING CATALOG - FZN &amp; CHILL'!1504:1504,"AAAAAH6PO14=",0)</f>
        <v>0</v>
      </c>
      <c r="CR309" t="e">
        <f>AND('STERLING CATALOG - FZN &amp; CHILL'!A1504,"AAAAAH6PO18=")</f>
        <v>#VALUE!</v>
      </c>
      <c r="CS309" t="e">
        <f>AND('STERLING CATALOG - FZN &amp; CHILL'!B1504,"AAAAAH6PO2A=")</f>
        <v>#VALUE!</v>
      </c>
      <c r="CT309" t="e">
        <f>AND('STERLING CATALOG - FZN &amp; CHILL'!C1504,"AAAAAH6PO2E=")</f>
        <v>#VALUE!</v>
      </c>
      <c r="CU309" t="e">
        <f>AND('STERLING CATALOG - FZN &amp; CHILL'!D1504,"AAAAAH6PO2I=")</f>
        <v>#VALUE!</v>
      </c>
      <c r="CV309" t="e">
        <f>AND('STERLING CATALOG - FZN &amp; CHILL'!E1504,"AAAAAH6PO2M=")</f>
        <v>#VALUE!</v>
      </c>
      <c r="CW309" t="e">
        <f>AND('STERLING CATALOG - FZN &amp; CHILL'!F1504,"AAAAAH6PO2Q=")</f>
        <v>#VALUE!</v>
      </c>
      <c r="CX309" t="e">
        <f>AND('STERLING CATALOG - FZN &amp; CHILL'!G1504,"AAAAAH6PO2U=")</f>
        <v>#VALUE!</v>
      </c>
      <c r="CY309" t="e">
        <f>AND('STERLING CATALOG - FZN &amp; CHILL'!H1504,"AAAAAH6PO2Y=")</f>
        <v>#VALUE!</v>
      </c>
      <c r="CZ309" t="e">
        <f>AND('STERLING CATALOG - FZN &amp; CHILL'!I1504,"AAAAAH6PO2c=")</f>
        <v>#VALUE!</v>
      </c>
      <c r="DA309" t="e">
        <f>AND('STERLING CATALOG - FZN &amp; CHILL'!J1504,"AAAAAH6PO2g=")</f>
        <v>#VALUE!</v>
      </c>
      <c r="DB309">
        <f>IF('STERLING CATALOG - FZN &amp; CHILL'!1505:1505,"AAAAAH6PO2k=",0)</f>
        <v>0</v>
      </c>
      <c r="DC309" t="e">
        <f>AND('STERLING CATALOG - FZN &amp; CHILL'!A1505,"AAAAAH6PO2o=")</f>
        <v>#VALUE!</v>
      </c>
      <c r="DD309" t="e">
        <f>AND('STERLING CATALOG - FZN &amp; CHILL'!B1505,"AAAAAH6PO2s=")</f>
        <v>#VALUE!</v>
      </c>
      <c r="DE309" t="e">
        <f>AND('STERLING CATALOG - FZN &amp; CHILL'!C1505,"AAAAAH6PO2w=")</f>
        <v>#VALUE!</v>
      </c>
      <c r="DF309" t="e">
        <f>AND('STERLING CATALOG - FZN &amp; CHILL'!D1505,"AAAAAH6PO20=")</f>
        <v>#VALUE!</v>
      </c>
      <c r="DG309" t="e">
        <f>AND('STERLING CATALOG - FZN &amp; CHILL'!E1505,"AAAAAH6PO24=")</f>
        <v>#VALUE!</v>
      </c>
      <c r="DH309" t="e">
        <f>AND('STERLING CATALOG - FZN &amp; CHILL'!F1505,"AAAAAH6PO28=")</f>
        <v>#VALUE!</v>
      </c>
      <c r="DI309" t="e">
        <f>AND('STERLING CATALOG - FZN &amp; CHILL'!G1505,"AAAAAH6PO3A=")</f>
        <v>#VALUE!</v>
      </c>
      <c r="DJ309" t="e">
        <f>AND('STERLING CATALOG - FZN &amp; CHILL'!H1505,"AAAAAH6PO3E=")</f>
        <v>#VALUE!</v>
      </c>
      <c r="DK309" t="e">
        <f>AND('STERLING CATALOG - FZN &amp; CHILL'!I1505,"AAAAAH6PO3I=")</f>
        <v>#VALUE!</v>
      </c>
      <c r="DL309" t="e">
        <f>AND('STERLING CATALOG - FZN &amp; CHILL'!J1505,"AAAAAH6PO3M=")</f>
        <v>#VALUE!</v>
      </c>
      <c r="DM309">
        <f>IF('STERLING CATALOG - FZN &amp; CHILL'!1506:1506,"AAAAAH6PO3Q=",0)</f>
        <v>0</v>
      </c>
      <c r="DN309" t="e">
        <f>AND('STERLING CATALOG - FZN &amp; CHILL'!A1506,"AAAAAH6PO3U=")</f>
        <v>#VALUE!</v>
      </c>
      <c r="DO309" t="e">
        <f>AND('STERLING CATALOG - FZN &amp; CHILL'!B1506,"AAAAAH6PO3Y=")</f>
        <v>#VALUE!</v>
      </c>
      <c r="DP309" t="e">
        <f>AND('STERLING CATALOG - FZN &amp; CHILL'!C1506,"AAAAAH6PO3c=")</f>
        <v>#VALUE!</v>
      </c>
      <c r="DQ309" t="e">
        <f>AND('STERLING CATALOG - FZN &amp; CHILL'!D1506,"AAAAAH6PO3g=")</f>
        <v>#VALUE!</v>
      </c>
      <c r="DR309" t="e">
        <f>AND('STERLING CATALOG - FZN &amp; CHILL'!E1506,"AAAAAH6PO3k=")</f>
        <v>#VALUE!</v>
      </c>
      <c r="DS309" t="e">
        <f>AND('STERLING CATALOG - FZN &amp; CHILL'!F1506,"AAAAAH6PO3o=")</f>
        <v>#VALUE!</v>
      </c>
      <c r="DT309" t="e">
        <f>AND('STERLING CATALOG - FZN &amp; CHILL'!G1506,"AAAAAH6PO3s=")</f>
        <v>#VALUE!</v>
      </c>
      <c r="DU309" t="e">
        <f>AND('STERLING CATALOG - FZN &amp; CHILL'!H1506,"AAAAAH6PO3w=")</f>
        <v>#VALUE!</v>
      </c>
      <c r="DV309" t="e">
        <f>AND('STERLING CATALOG - FZN &amp; CHILL'!I1506,"AAAAAH6PO30=")</f>
        <v>#VALUE!</v>
      </c>
      <c r="DW309" t="e">
        <f>AND('STERLING CATALOG - FZN &amp; CHILL'!J1506,"AAAAAH6PO34=")</f>
        <v>#VALUE!</v>
      </c>
      <c r="DX309">
        <f>IF('STERLING CATALOG - FZN &amp; CHILL'!1507:1507,"AAAAAH6PO38=",0)</f>
        <v>0</v>
      </c>
      <c r="DY309" t="e">
        <f>AND('STERLING CATALOG - FZN &amp; CHILL'!A1507,"AAAAAH6PO4A=")</f>
        <v>#VALUE!</v>
      </c>
      <c r="DZ309" t="e">
        <f>AND('STERLING CATALOG - FZN &amp; CHILL'!B1507,"AAAAAH6PO4E=")</f>
        <v>#VALUE!</v>
      </c>
      <c r="EA309" t="e">
        <f>AND('STERLING CATALOG - FZN &amp; CHILL'!C1507,"AAAAAH6PO4I=")</f>
        <v>#VALUE!</v>
      </c>
      <c r="EB309" t="e">
        <f>AND('STERLING CATALOG - FZN &amp; CHILL'!D1507,"AAAAAH6PO4M=")</f>
        <v>#VALUE!</v>
      </c>
      <c r="EC309" t="e">
        <f>AND('STERLING CATALOG - FZN &amp; CHILL'!E1507,"AAAAAH6PO4Q=")</f>
        <v>#VALUE!</v>
      </c>
      <c r="ED309" t="e">
        <f>AND('STERLING CATALOG - FZN &amp; CHILL'!F1507,"AAAAAH6PO4U=")</f>
        <v>#VALUE!</v>
      </c>
      <c r="EE309" t="e">
        <f>AND('STERLING CATALOG - FZN &amp; CHILL'!G1507,"AAAAAH6PO4Y=")</f>
        <v>#VALUE!</v>
      </c>
      <c r="EF309" t="e">
        <f>AND('STERLING CATALOG - FZN &amp; CHILL'!H1507,"AAAAAH6PO4c=")</f>
        <v>#VALUE!</v>
      </c>
      <c r="EG309" t="e">
        <f>AND('STERLING CATALOG - FZN &amp; CHILL'!I1507,"AAAAAH6PO4g=")</f>
        <v>#VALUE!</v>
      </c>
      <c r="EH309" t="e">
        <f>AND('STERLING CATALOG - FZN &amp; CHILL'!J1507,"AAAAAH6PO4k=")</f>
        <v>#VALUE!</v>
      </c>
      <c r="EI309">
        <f>IF('STERLING CATALOG - FZN &amp; CHILL'!1508:1508,"AAAAAH6PO4o=",0)</f>
        <v>0</v>
      </c>
      <c r="EJ309" t="e">
        <f>AND('STERLING CATALOG - FZN &amp; CHILL'!A1508,"AAAAAH6PO4s=")</f>
        <v>#VALUE!</v>
      </c>
      <c r="EK309" t="e">
        <f>AND('STERLING CATALOG - FZN &amp; CHILL'!B1508,"AAAAAH6PO4w=")</f>
        <v>#VALUE!</v>
      </c>
      <c r="EL309" t="e">
        <f>AND('STERLING CATALOG - FZN &amp; CHILL'!C1508,"AAAAAH6PO40=")</f>
        <v>#VALUE!</v>
      </c>
      <c r="EM309" t="e">
        <f>AND('STERLING CATALOG - FZN &amp; CHILL'!D1508,"AAAAAH6PO44=")</f>
        <v>#VALUE!</v>
      </c>
      <c r="EN309" t="e">
        <f>AND('STERLING CATALOG - FZN &amp; CHILL'!E1508,"AAAAAH6PO48=")</f>
        <v>#VALUE!</v>
      </c>
      <c r="EO309" t="e">
        <f>AND('STERLING CATALOG - FZN &amp; CHILL'!F1508,"AAAAAH6PO5A=")</f>
        <v>#VALUE!</v>
      </c>
      <c r="EP309" t="e">
        <f>AND('STERLING CATALOG - FZN &amp; CHILL'!G1508,"AAAAAH6PO5E=")</f>
        <v>#VALUE!</v>
      </c>
      <c r="EQ309" t="e">
        <f>AND('STERLING CATALOG - FZN &amp; CHILL'!H1508,"AAAAAH6PO5I=")</f>
        <v>#VALUE!</v>
      </c>
      <c r="ER309" t="e">
        <f>AND('STERLING CATALOG - FZN &amp; CHILL'!I1508,"AAAAAH6PO5M=")</f>
        <v>#VALUE!</v>
      </c>
      <c r="ES309" t="e">
        <f>AND('STERLING CATALOG - FZN &amp; CHILL'!J1508,"AAAAAH6PO5Q=")</f>
        <v>#VALUE!</v>
      </c>
      <c r="ET309">
        <f>IF('STERLING CATALOG - FZN &amp; CHILL'!1509:1509,"AAAAAH6PO5U=",0)</f>
        <v>0</v>
      </c>
      <c r="EU309" t="e">
        <f>AND('STERLING CATALOG - FZN &amp; CHILL'!A1509,"AAAAAH6PO5Y=")</f>
        <v>#VALUE!</v>
      </c>
      <c r="EV309" t="e">
        <f>AND('STERLING CATALOG - FZN &amp; CHILL'!B1509,"AAAAAH6PO5c=")</f>
        <v>#VALUE!</v>
      </c>
      <c r="EW309" t="e">
        <f>AND('STERLING CATALOG - FZN &amp; CHILL'!C1509,"AAAAAH6PO5g=")</f>
        <v>#VALUE!</v>
      </c>
      <c r="EX309" t="e">
        <f>AND('STERLING CATALOG - FZN &amp; CHILL'!D1509,"AAAAAH6PO5k=")</f>
        <v>#VALUE!</v>
      </c>
      <c r="EY309" t="e">
        <f>AND('STERLING CATALOG - FZN &amp; CHILL'!E1509,"AAAAAH6PO5o=")</f>
        <v>#VALUE!</v>
      </c>
      <c r="EZ309" t="e">
        <f>AND('STERLING CATALOG - FZN &amp; CHILL'!F1509,"AAAAAH6PO5s=")</f>
        <v>#VALUE!</v>
      </c>
      <c r="FA309" t="e">
        <f>AND('STERLING CATALOG - FZN &amp; CHILL'!G1509,"AAAAAH6PO5w=")</f>
        <v>#VALUE!</v>
      </c>
      <c r="FB309" t="e">
        <f>AND('STERLING CATALOG - FZN &amp; CHILL'!H1509,"AAAAAH6PO50=")</f>
        <v>#VALUE!</v>
      </c>
      <c r="FC309" t="e">
        <f>AND('STERLING CATALOG - FZN &amp; CHILL'!I1509,"AAAAAH6PO54=")</f>
        <v>#VALUE!</v>
      </c>
      <c r="FD309" t="e">
        <f>AND('STERLING CATALOG - FZN &amp; CHILL'!J1509,"AAAAAH6PO58=")</f>
        <v>#VALUE!</v>
      </c>
      <c r="FE309">
        <f>IF('STERLING CATALOG - FZN &amp; CHILL'!1510:1510,"AAAAAH6PO6A=",0)</f>
        <v>0</v>
      </c>
      <c r="FF309" t="e">
        <f>AND('STERLING CATALOG - FZN &amp; CHILL'!A1510,"AAAAAH6PO6E=")</f>
        <v>#VALUE!</v>
      </c>
      <c r="FG309" t="e">
        <f>AND('STERLING CATALOG - FZN &amp; CHILL'!B1510,"AAAAAH6PO6I=")</f>
        <v>#VALUE!</v>
      </c>
      <c r="FH309" t="e">
        <f>AND('STERLING CATALOG - FZN &amp; CHILL'!C1510,"AAAAAH6PO6M=")</f>
        <v>#VALUE!</v>
      </c>
      <c r="FI309" t="e">
        <f>AND('STERLING CATALOG - FZN &amp; CHILL'!D1510,"AAAAAH6PO6Q=")</f>
        <v>#VALUE!</v>
      </c>
      <c r="FJ309" t="e">
        <f>AND('STERLING CATALOG - FZN &amp; CHILL'!E1510,"AAAAAH6PO6U=")</f>
        <v>#VALUE!</v>
      </c>
      <c r="FK309" t="e">
        <f>AND('STERLING CATALOG - FZN &amp; CHILL'!F1510,"AAAAAH6PO6Y=")</f>
        <v>#VALUE!</v>
      </c>
      <c r="FL309" t="e">
        <f>AND('STERLING CATALOG - FZN &amp; CHILL'!G1510,"AAAAAH6PO6c=")</f>
        <v>#VALUE!</v>
      </c>
      <c r="FM309" t="e">
        <f>AND('STERLING CATALOG - FZN &amp; CHILL'!H1510,"AAAAAH6PO6g=")</f>
        <v>#VALUE!</v>
      </c>
      <c r="FN309" t="e">
        <f>AND('STERLING CATALOG - FZN &amp; CHILL'!I1510,"AAAAAH6PO6k=")</f>
        <v>#VALUE!</v>
      </c>
      <c r="FO309" t="e">
        <f>AND('STERLING CATALOG - FZN &amp; CHILL'!J1510,"AAAAAH6PO6o=")</f>
        <v>#VALUE!</v>
      </c>
      <c r="FP309">
        <f>IF('STERLING CATALOG - FZN &amp; CHILL'!1511:1511,"AAAAAH6PO6s=",0)</f>
        <v>0</v>
      </c>
      <c r="FQ309" t="e">
        <f>AND('STERLING CATALOG - FZN &amp; CHILL'!A1511,"AAAAAH6PO6w=")</f>
        <v>#VALUE!</v>
      </c>
      <c r="FR309" t="e">
        <f>AND('STERLING CATALOG - FZN &amp; CHILL'!B1511,"AAAAAH6PO60=")</f>
        <v>#VALUE!</v>
      </c>
      <c r="FS309" t="e">
        <f>AND('STERLING CATALOG - FZN &amp; CHILL'!C1511,"AAAAAH6PO64=")</f>
        <v>#VALUE!</v>
      </c>
      <c r="FT309" t="e">
        <f>AND('STERLING CATALOG - FZN &amp; CHILL'!D1511,"AAAAAH6PO68=")</f>
        <v>#VALUE!</v>
      </c>
      <c r="FU309" t="e">
        <f>AND('STERLING CATALOG - FZN &amp; CHILL'!E1511,"AAAAAH6PO7A=")</f>
        <v>#VALUE!</v>
      </c>
      <c r="FV309" t="e">
        <f>AND('STERLING CATALOG - FZN &amp; CHILL'!F1511,"AAAAAH6PO7E=")</f>
        <v>#VALUE!</v>
      </c>
      <c r="FW309" t="e">
        <f>AND('STERLING CATALOG - FZN &amp; CHILL'!G1511,"AAAAAH6PO7I=")</f>
        <v>#VALUE!</v>
      </c>
      <c r="FX309" t="e">
        <f>AND('STERLING CATALOG - FZN &amp; CHILL'!H1511,"AAAAAH6PO7M=")</f>
        <v>#VALUE!</v>
      </c>
      <c r="FY309" t="e">
        <f>AND('STERLING CATALOG - FZN &amp; CHILL'!I1511,"AAAAAH6PO7Q=")</f>
        <v>#VALUE!</v>
      </c>
      <c r="FZ309" t="e">
        <f>AND('STERLING CATALOG - FZN &amp; CHILL'!J1511,"AAAAAH6PO7U=")</f>
        <v>#VALUE!</v>
      </c>
      <c r="GA309">
        <f>IF('STERLING CATALOG - FZN &amp; CHILL'!1512:1512,"AAAAAH6PO7Y=",0)</f>
        <v>0</v>
      </c>
      <c r="GB309" t="e">
        <f>AND('STERLING CATALOG - FZN &amp; CHILL'!A1512,"AAAAAH6PO7c=")</f>
        <v>#VALUE!</v>
      </c>
      <c r="GC309" t="e">
        <f>AND('STERLING CATALOG - FZN &amp; CHILL'!B1512,"AAAAAH6PO7g=")</f>
        <v>#VALUE!</v>
      </c>
      <c r="GD309" t="e">
        <f>AND('STERLING CATALOG - FZN &amp; CHILL'!C1512,"AAAAAH6PO7k=")</f>
        <v>#VALUE!</v>
      </c>
      <c r="GE309" t="e">
        <f>AND('STERLING CATALOG - FZN &amp; CHILL'!D1512,"AAAAAH6PO7o=")</f>
        <v>#VALUE!</v>
      </c>
      <c r="GF309" t="e">
        <f>AND('STERLING CATALOG - FZN &amp; CHILL'!E1512,"AAAAAH6PO7s=")</f>
        <v>#VALUE!</v>
      </c>
      <c r="GG309" t="e">
        <f>AND('STERLING CATALOG - FZN &amp; CHILL'!F1512,"AAAAAH6PO7w=")</f>
        <v>#VALUE!</v>
      </c>
      <c r="GH309" t="e">
        <f>AND('STERLING CATALOG - FZN &amp; CHILL'!G1512,"AAAAAH6PO70=")</f>
        <v>#VALUE!</v>
      </c>
      <c r="GI309" t="e">
        <f>AND('STERLING CATALOG - FZN &amp; CHILL'!H1512,"AAAAAH6PO74=")</f>
        <v>#VALUE!</v>
      </c>
      <c r="GJ309" t="e">
        <f>AND('STERLING CATALOG - FZN &amp; CHILL'!I1512,"AAAAAH6PO78=")</f>
        <v>#VALUE!</v>
      </c>
      <c r="GK309" t="e">
        <f>AND('STERLING CATALOG - FZN &amp; CHILL'!J1512,"AAAAAH6PO8A=")</f>
        <v>#VALUE!</v>
      </c>
      <c r="GL309">
        <f>IF('STERLING CATALOG - FZN &amp; CHILL'!1513:1513,"AAAAAH6PO8E=",0)</f>
        <v>0</v>
      </c>
      <c r="GM309" t="e">
        <f>AND('STERLING CATALOG - FZN &amp; CHILL'!A1513,"AAAAAH6PO8I=")</f>
        <v>#VALUE!</v>
      </c>
      <c r="GN309" t="e">
        <f>AND('STERLING CATALOG - FZN &amp; CHILL'!B1513,"AAAAAH6PO8M=")</f>
        <v>#VALUE!</v>
      </c>
      <c r="GO309" t="e">
        <f>AND('STERLING CATALOG - FZN &amp; CHILL'!C1513,"AAAAAH6PO8Q=")</f>
        <v>#VALUE!</v>
      </c>
      <c r="GP309" t="e">
        <f>AND('STERLING CATALOG - FZN &amp; CHILL'!D1513,"AAAAAH6PO8U=")</f>
        <v>#VALUE!</v>
      </c>
      <c r="GQ309" t="e">
        <f>AND('STERLING CATALOG - FZN &amp; CHILL'!E1513,"AAAAAH6PO8Y=")</f>
        <v>#VALUE!</v>
      </c>
      <c r="GR309" t="e">
        <f>AND('STERLING CATALOG - FZN &amp; CHILL'!F1513,"AAAAAH6PO8c=")</f>
        <v>#VALUE!</v>
      </c>
      <c r="GS309" t="e">
        <f>AND('STERLING CATALOG - FZN &amp; CHILL'!G1513,"AAAAAH6PO8g=")</f>
        <v>#VALUE!</v>
      </c>
      <c r="GT309" t="e">
        <f>AND('STERLING CATALOG - FZN &amp; CHILL'!H1513,"AAAAAH6PO8k=")</f>
        <v>#VALUE!</v>
      </c>
      <c r="GU309" t="e">
        <f>AND('STERLING CATALOG - FZN &amp; CHILL'!I1513,"AAAAAH6PO8o=")</f>
        <v>#VALUE!</v>
      </c>
      <c r="GV309" t="e">
        <f>AND('STERLING CATALOG - FZN &amp; CHILL'!J1513,"AAAAAH6PO8s=")</f>
        <v>#VALUE!</v>
      </c>
      <c r="GW309">
        <f>IF('STERLING CATALOG - FZN &amp; CHILL'!1514:1514,"AAAAAH6PO8w=",0)</f>
        <v>0</v>
      </c>
      <c r="GX309" t="e">
        <f>AND('STERLING CATALOG - FZN &amp; CHILL'!A1514,"AAAAAH6PO80=")</f>
        <v>#VALUE!</v>
      </c>
      <c r="GY309" t="e">
        <f>AND('STERLING CATALOG - FZN &amp; CHILL'!B1514,"AAAAAH6PO84=")</f>
        <v>#VALUE!</v>
      </c>
      <c r="GZ309" t="e">
        <f>AND('STERLING CATALOG - FZN &amp; CHILL'!C1514,"AAAAAH6PO88=")</f>
        <v>#VALUE!</v>
      </c>
      <c r="HA309" t="e">
        <f>AND('STERLING CATALOG - FZN &amp; CHILL'!D1514,"AAAAAH6PO9A=")</f>
        <v>#VALUE!</v>
      </c>
      <c r="HB309" t="e">
        <f>AND('STERLING CATALOG - FZN &amp; CHILL'!E1514,"AAAAAH6PO9E=")</f>
        <v>#VALUE!</v>
      </c>
      <c r="HC309" t="e">
        <f>AND('STERLING CATALOG - FZN &amp; CHILL'!F1514,"AAAAAH6PO9I=")</f>
        <v>#VALUE!</v>
      </c>
      <c r="HD309" t="e">
        <f>AND('STERLING CATALOG - FZN &amp; CHILL'!G1514,"AAAAAH6PO9M=")</f>
        <v>#VALUE!</v>
      </c>
      <c r="HE309" t="e">
        <f>AND('STERLING CATALOG - FZN &amp; CHILL'!H1514,"AAAAAH6PO9Q=")</f>
        <v>#VALUE!</v>
      </c>
      <c r="HF309" t="e">
        <f>AND('STERLING CATALOG - FZN &amp; CHILL'!I1514,"AAAAAH6PO9U=")</f>
        <v>#VALUE!</v>
      </c>
      <c r="HG309" t="e">
        <f>AND('STERLING CATALOG - FZN &amp; CHILL'!J1514,"AAAAAH6PO9Y=")</f>
        <v>#VALUE!</v>
      </c>
      <c r="HH309">
        <f>IF('STERLING CATALOG - FZN &amp; CHILL'!1515:1515,"AAAAAH6PO9c=",0)</f>
        <v>0</v>
      </c>
      <c r="HI309" t="e">
        <f>AND('STERLING CATALOG - FZN &amp; CHILL'!A1515,"AAAAAH6PO9g=")</f>
        <v>#VALUE!</v>
      </c>
      <c r="HJ309" t="e">
        <f>AND('STERLING CATALOG - FZN &amp; CHILL'!B1515,"AAAAAH6PO9k=")</f>
        <v>#VALUE!</v>
      </c>
      <c r="HK309" t="e">
        <f>AND('STERLING CATALOG - FZN &amp; CHILL'!C1515,"AAAAAH6PO9o=")</f>
        <v>#VALUE!</v>
      </c>
      <c r="HL309" t="e">
        <f>AND('STERLING CATALOG - FZN &amp; CHILL'!D1515,"AAAAAH6PO9s=")</f>
        <v>#VALUE!</v>
      </c>
      <c r="HM309" t="e">
        <f>AND('STERLING CATALOG - FZN &amp; CHILL'!E1515,"AAAAAH6PO9w=")</f>
        <v>#VALUE!</v>
      </c>
      <c r="HN309" t="e">
        <f>AND('STERLING CATALOG - FZN &amp; CHILL'!F1515,"AAAAAH6PO90=")</f>
        <v>#VALUE!</v>
      </c>
      <c r="HO309" t="e">
        <f>AND('STERLING CATALOG - FZN &amp; CHILL'!G1515,"AAAAAH6PO94=")</f>
        <v>#VALUE!</v>
      </c>
      <c r="HP309" t="e">
        <f>AND('STERLING CATALOG - FZN &amp; CHILL'!H1515,"AAAAAH6PO98=")</f>
        <v>#VALUE!</v>
      </c>
      <c r="HQ309" t="e">
        <f>AND('STERLING CATALOG - FZN &amp; CHILL'!I1515,"AAAAAH6PO+A=")</f>
        <v>#VALUE!</v>
      </c>
      <c r="HR309" t="e">
        <f>AND('STERLING CATALOG - FZN &amp; CHILL'!J1515,"AAAAAH6PO+E=")</f>
        <v>#VALUE!</v>
      </c>
      <c r="HS309">
        <f>IF('STERLING CATALOG - FZN &amp; CHILL'!1516:1516,"AAAAAH6PO+I=",0)</f>
        <v>0</v>
      </c>
      <c r="HT309" t="e">
        <f>AND('STERLING CATALOG - FZN &amp; CHILL'!A1516,"AAAAAH6PO+M=")</f>
        <v>#VALUE!</v>
      </c>
      <c r="HU309" t="e">
        <f>AND('STERLING CATALOG - FZN &amp; CHILL'!B1516,"AAAAAH6PO+Q=")</f>
        <v>#VALUE!</v>
      </c>
      <c r="HV309" t="e">
        <f>AND('STERLING CATALOG - FZN &amp; CHILL'!C1516,"AAAAAH6PO+U=")</f>
        <v>#VALUE!</v>
      </c>
      <c r="HW309" t="e">
        <f>AND('STERLING CATALOG - FZN &amp; CHILL'!D1516,"AAAAAH6PO+Y=")</f>
        <v>#VALUE!</v>
      </c>
      <c r="HX309" t="e">
        <f>AND('STERLING CATALOG - FZN &amp; CHILL'!E1516,"AAAAAH6PO+c=")</f>
        <v>#VALUE!</v>
      </c>
      <c r="HY309" t="e">
        <f>AND('STERLING CATALOG - FZN &amp; CHILL'!F1516,"AAAAAH6PO+g=")</f>
        <v>#VALUE!</v>
      </c>
      <c r="HZ309" t="e">
        <f>AND('STERLING CATALOG - FZN &amp; CHILL'!G1516,"AAAAAH6PO+k=")</f>
        <v>#VALUE!</v>
      </c>
      <c r="IA309" t="e">
        <f>AND('STERLING CATALOG - FZN &amp; CHILL'!H1516,"AAAAAH6PO+o=")</f>
        <v>#VALUE!</v>
      </c>
      <c r="IB309" t="e">
        <f>AND('STERLING CATALOG - FZN &amp; CHILL'!I1516,"AAAAAH6PO+s=")</f>
        <v>#VALUE!</v>
      </c>
      <c r="IC309" t="e">
        <f>AND('STERLING CATALOG - FZN &amp; CHILL'!J1516,"AAAAAH6PO+w=")</f>
        <v>#VALUE!</v>
      </c>
      <c r="ID309">
        <f>IF('STERLING CATALOG - FZN &amp; CHILL'!1517:1517,"AAAAAH6PO+0=",0)</f>
        <v>0</v>
      </c>
      <c r="IE309" t="e">
        <f>AND('STERLING CATALOG - FZN &amp; CHILL'!A1517,"AAAAAH6PO+4=")</f>
        <v>#VALUE!</v>
      </c>
      <c r="IF309" t="e">
        <f>AND('STERLING CATALOG - FZN &amp; CHILL'!B1517,"AAAAAH6PO+8=")</f>
        <v>#VALUE!</v>
      </c>
      <c r="IG309" t="e">
        <f>AND('STERLING CATALOG - FZN &amp; CHILL'!C1517,"AAAAAH6PO/A=")</f>
        <v>#VALUE!</v>
      </c>
      <c r="IH309" t="e">
        <f>AND('STERLING CATALOG - FZN &amp; CHILL'!D1517,"AAAAAH6PO/E=")</f>
        <v>#VALUE!</v>
      </c>
      <c r="II309" t="e">
        <f>AND('STERLING CATALOG - FZN &amp; CHILL'!E1517,"AAAAAH6PO/I=")</f>
        <v>#VALUE!</v>
      </c>
      <c r="IJ309" t="e">
        <f>AND('STERLING CATALOG - FZN &amp; CHILL'!F1517,"AAAAAH6PO/M=")</f>
        <v>#VALUE!</v>
      </c>
      <c r="IK309" t="e">
        <f>AND('STERLING CATALOG - FZN &amp; CHILL'!G1517,"AAAAAH6PO/Q=")</f>
        <v>#VALUE!</v>
      </c>
      <c r="IL309" t="e">
        <f>AND('STERLING CATALOG - FZN &amp; CHILL'!H1517,"AAAAAH6PO/U=")</f>
        <v>#VALUE!</v>
      </c>
      <c r="IM309" t="e">
        <f>AND('STERLING CATALOG - FZN &amp; CHILL'!I1517,"AAAAAH6PO/Y=")</f>
        <v>#VALUE!</v>
      </c>
      <c r="IN309" t="e">
        <f>AND('STERLING CATALOG - FZN &amp; CHILL'!J1517,"AAAAAH6PO/c=")</f>
        <v>#VALUE!</v>
      </c>
      <c r="IO309">
        <f>IF('STERLING CATALOG - FZN &amp; CHILL'!1518:1518,"AAAAAH6PO/g=",0)</f>
        <v>0</v>
      </c>
      <c r="IP309" t="e">
        <f>AND('STERLING CATALOG - FZN &amp; CHILL'!A1518,"AAAAAH6PO/k=")</f>
        <v>#VALUE!</v>
      </c>
      <c r="IQ309" t="e">
        <f>AND('STERLING CATALOG - FZN &amp; CHILL'!B1518,"AAAAAH6PO/o=")</f>
        <v>#VALUE!</v>
      </c>
      <c r="IR309" t="e">
        <f>AND('STERLING CATALOG - FZN &amp; CHILL'!C1518,"AAAAAH6PO/s=")</f>
        <v>#VALUE!</v>
      </c>
      <c r="IS309" t="e">
        <f>AND('STERLING CATALOG - FZN &amp; CHILL'!D1518,"AAAAAH6PO/w=")</f>
        <v>#VALUE!</v>
      </c>
      <c r="IT309" t="e">
        <f>AND('STERLING CATALOG - FZN &amp; CHILL'!E1518,"AAAAAH6PO/0=")</f>
        <v>#VALUE!</v>
      </c>
      <c r="IU309" t="e">
        <f>AND('STERLING CATALOG - FZN &amp; CHILL'!F1518,"AAAAAH6PO/4=")</f>
        <v>#VALUE!</v>
      </c>
      <c r="IV309" t="e">
        <f>AND('STERLING CATALOG - FZN &amp; CHILL'!G1518,"AAAAAH6PO/8=")</f>
        <v>#VALUE!</v>
      </c>
    </row>
    <row r="310" spans="1:256">
      <c r="A310" t="e">
        <f>AND('STERLING CATALOG - FZN &amp; CHILL'!H1518,"AAAAAG/+fwA=")</f>
        <v>#VALUE!</v>
      </c>
      <c r="B310" t="e">
        <f>AND('STERLING CATALOG - FZN &amp; CHILL'!I1518,"AAAAAG/+fwE=")</f>
        <v>#VALUE!</v>
      </c>
      <c r="C310" t="e">
        <f>AND('STERLING CATALOG - FZN &amp; CHILL'!J1518,"AAAAAG/+fwI=")</f>
        <v>#VALUE!</v>
      </c>
      <c r="D310">
        <f>IF('STERLING CATALOG - FZN &amp; CHILL'!1519:1519,"AAAAAG/+fwM=",0)</f>
        <v>0</v>
      </c>
      <c r="E310" t="e">
        <f>AND('STERLING CATALOG - FZN &amp; CHILL'!A1519,"AAAAAG/+fwQ=")</f>
        <v>#VALUE!</v>
      </c>
      <c r="F310" t="e">
        <f>AND('STERLING CATALOG - FZN &amp; CHILL'!B1519,"AAAAAG/+fwU=")</f>
        <v>#VALUE!</v>
      </c>
      <c r="G310" t="e">
        <f>AND('STERLING CATALOG - FZN &amp; CHILL'!C1519,"AAAAAG/+fwY=")</f>
        <v>#VALUE!</v>
      </c>
      <c r="H310" t="e">
        <f>AND('STERLING CATALOG - FZN &amp; CHILL'!D1519,"AAAAAG/+fwc=")</f>
        <v>#VALUE!</v>
      </c>
      <c r="I310" t="e">
        <f>AND('STERLING CATALOG - FZN &amp; CHILL'!E1519,"AAAAAG/+fwg=")</f>
        <v>#VALUE!</v>
      </c>
      <c r="J310" t="e">
        <f>AND('STERLING CATALOG - FZN &amp; CHILL'!F1519,"AAAAAG/+fwk=")</f>
        <v>#VALUE!</v>
      </c>
      <c r="K310" t="e">
        <f>AND('STERLING CATALOG - FZN &amp; CHILL'!G1519,"AAAAAG/+fwo=")</f>
        <v>#VALUE!</v>
      </c>
      <c r="L310" t="e">
        <f>AND('STERLING CATALOG - FZN &amp; CHILL'!H1519,"AAAAAG/+fws=")</f>
        <v>#VALUE!</v>
      </c>
      <c r="M310" t="e">
        <f>AND('STERLING CATALOG - FZN &amp; CHILL'!I1519,"AAAAAG/+fww=")</f>
        <v>#VALUE!</v>
      </c>
      <c r="N310" t="e">
        <f>AND('STERLING CATALOG - FZN &amp; CHILL'!J1519,"AAAAAG/+fw0=")</f>
        <v>#VALUE!</v>
      </c>
      <c r="O310">
        <f>IF('STERLING CATALOG - FZN &amp; CHILL'!1520:1520,"AAAAAG/+fw4=",0)</f>
        <v>0</v>
      </c>
      <c r="P310" t="e">
        <f>AND('STERLING CATALOG - FZN &amp; CHILL'!A1520,"AAAAAG/+fw8=")</f>
        <v>#VALUE!</v>
      </c>
      <c r="Q310" t="e">
        <f>AND('STERLING CATALOG - FZN &amp; CHILL'!B1520,"AAAAAG/+fxA=")</f>
        <v>#VALUE!</v>
      </c>
      <c r="R310" t="e">
        <f>AND('STERLING CATALOG - FZN &amp; CHILL'!C1520,"AAAAAG/+fxE=")</f>
        <v>#VALUE!</v>
      </c>
      <c r="S310" t="e">
        <f>AND('STERLING CATALOG - FZN &amp; CHILL'!D1520,"AAAAAG/+fxI=")</f>
        <v>#VALUE!</v>
      </c>
      <c r="T310" t="e">
        <f>AND('STERLING CATALOG - FZN &amp; CHILL'!E1520,"AAAAAG/+fxM=")</f>
        <v>#VALUE!</v>
      </c>
      <c r="U310" t="e">
        <f>AND('STERLING CATALOG - FZN &amp; CHILL'!F1520,"AAAAAG/+fxQ=")</f>
        <v>#VALUE!</v>
      </c>
      <c r="V310" t="e">
        <f>AND('STERLING CATALOG - FZN &amp; CHILL'!G1520,"AAAAAG/+fxU=")</f>
        <v>#VALUE!</v>
      </c>
      <c r="W310" t="e">
        <f>AND('STERLING CATALOG - FZN &amp; CHILL'!H1520,"AAAAAG/+fxY=")</f>
        <v>#VALUE!</v>
      </c>
      <c r="X310" t="e">
        <f>AND('STERLING CATALOG - FZN &amp; CHILL'!I1520,"AAAAAG/+fxc=")</f>
        <v>#VALUE!</v>
      </c>
      <c r="Y310" t="e">
        <f>AND('STERLING CATALOG - FZN &amp; CHILL'!J1520,"AAAAAG/+fxg=")</f>
        <v>#VALUE!</v>
      </c>
      <c r="Z310">
        <f>IF('STERLING CATALOG - FZN &amp; CHILL'!1521:1521,"AAAAAG/+fxk=",0)</f>
        <v>0</v>
      </c>
      <c r="AA310" t="e">
        <f>AND('STERLING CATALOG - FZN &amp; CHILL'!A1521,"AAAAAG/+fxo=")</f>
        <v>#VALUE!</v>
      </c>
      <c r="AB310" t="e">
        <f>AND('STERLING CATALOG - FZN &amp; CHILL'!B1521,"AAAAAG/+fxs=")</f>
        <v>#VALUE!</v>
      </c>
      <c r="AC310" t="e">
        <f>AND('STERLING CATALOG - FZN &amp; CHILL'!C1521,"AAAAAG/+fxw=")</f>
        <v>#VALUE!</v>
      </c>
      <c r="AD310" t="e">
        <f>AND('STERLING CATALOG - FZN &amp; CHILL'!D1521,"AAAAAG/+fx0=")</f>
        <v>#VALUE!</v>
      </c>
      <c r="AE310" t="e">
        <f>AND('STERLING CATALOG - FZN &amp; CHILL'!E1521,"AAAAAG/+fx4=")</f>
        <v>#VALUE!</v>
      </c>
      <c r="AF310" t="e">
        <f>AND('STERLING CATALOG - FZN &amp; CHILL'!F1521,"AAAAAG/+fx8=")</f>
        <v>#VALUE!</v>
      </c>
      <c r="AG310" t="e">
        <f>AND('STERLING CATALOG - FZN &amp; CHILL'!G1521,"AAAAAG/+fyA=")</f>
        <v>#VALUE!</v>
      </c>
      <c r="AH310" t="e">
        <f>AND('STERLING CATALOG - FZN &amp; CHILL'!H1521,"AAAAAG/+fyE=")</f>
        <v>#VALUE!</v>
      </c>
      <c r="AI310" t="e">
        <f>AND('STERLING CATALOG - FZN &amp; CHILL'!I1521,"AAAAAG/+fyI=")</f>
        <v>#VALUE!</v>
      </c>
      <c r="AJ310" t="e">
        <f>AND('STERLING CATALOG - FZN &amp; CHILL'!J1521,"AAAAAG/+fyM=")</f>
        <v>#VALUE!</v>
      </c>
      <c r="AK310">
        <f>IF('STERLING CATALOG - FZN &amp; CHILL'!1522:1522,"AAAAAG/+fyQ=",0)</f>
        <v>0</v>
      </c>
      <c r="AL310" t="e">
        <f>AND('STERLING CATALOG - FZN &amp; CHILL'!A1522,"AAAAAG/+fyU=")</f>
        <v>#VALUE!</v>
      </c>
      <c r="AM310" t="e">
        <f>AND('STERLING CATALOG - FZN &amp; CHILL'!B1522,"AAAAAG/+fyY=")</f>
        <v>#VALUE!</v>
      </c>
      <c r="AN310" t="e">
        <f>AND('STERLING CATALOG - FZN &amp; CHILL'!C1522,"AAAAAG/+fyc=")</f>
        <v>#VALUE!</v>
      </c>
      <c r="AO310" t="e">
        <f>AND('STERLING CATALOG - FZN &amp; CHILL'!D1522,"AAAAAG/+fyg=")</f>
        <v>#VALUE!</v>
      </c>
      <c r="AP310" t="e">
        <f>AND('STERLING CATALOG - FZN &amp; CHILL'!E1522,"AAAAAG/+fyk=")</f>
        <v>#VALUE!</v>
      </c>
      <c r="AQ310" t="e">
        <f>AND('STERLING CATALOG - FZN &amp; CHILL'!F1522,"AAAAAG/+fyo=")</f>
        <v>#VALUE!</v>
      </c>
      <c r="AR310" t="e">
        <f>AND('STERLING CATALOG - FZN &amp; CHILL'!G1522,"AAAAAG/+fys=")</f>
        <v>#VALUE!</v>
      </c>
      <c r="AS310" t="e">
        <f>AND('STERLING CATALOG - FZN &amp; CHILL'!H1522,"AAAAAG/+fyw=")</f>
        <v>#VALUE!</v>
      </c>
      <c r="AT310" t="e">
        <f>AND('STERLING CATALOG - FZN &amp; CHILL'!I1522,"AAAAAG/+fy0=")</f>
        <v>#VALUE!</v>
      </c>
      <c r="AU310" t="e">
        <f>AND('STERLING CATALOG - FZN &amp; CHILL'!J1522,"AAAAAG/+fy4=")</f>
        <v>#VALUE!</v>
      </c>
      <c r="AV310">
        <f>IF('STERLING CATALOG - FZN &amp; CHILL'!1523:1523,"AAAAAG/+fy8=",0)</f>
        <v>0</v>
      </c>
      <c r="AW310" t="e">
        <f>AND('STERLING CATALOG - FZN &amp; CHILL'!A1523,"AAAAAG/+fzA=")</f>
        <v>#VALUE!</v>
      </c>
      <c r="AX310" t="e">
        <f>AND('STERLING CATALOG - FZN &amp; CHILL'!B1523,"AAAAAG/+fzE=")</f>
        <v>#VALUE!</v>
      </c>
      <c r="AY310" t="e">
        <f>AND('STERLING CATALOG - FZN &amp; CHILL'!C1523,"AAAAAG/+fzI=")</f>
        <v>#VALUE!</v>
      </c>
      <c r="AZ310" t="e">
        <f>AND('STERLING CATALOG - FZN &amp; CHILL'!D1523,"AAAAAG/+fzM=")</f>
        <v>#VALUE!</v>
      </c>
      <c r="BA310" t="e">
        <f>AND('STERLING CATALOG - FZN &amp; CHILL'!E1523,"AAAAAG/+fzQ=")</f>
        <v>#VALUE!</v>
      </c>
      <c r="BB310" t="e">
        <f>AND('STERLING CATALOG - FZN &amp; CHILL'!F1523,"AAAAAG/+fzU=")</f>
        <v>#VALUE!</v>
      </c>
      <c r="BC310" t="e">
        <f>AND('STERLING CATALOG - FZN &amp; CHILL'!G1523,"AAAAAG/+fzY=")</f>
        <v>#VALUE!</v>
      </c>
      <c r="BD310" t="e">
        <f>AND('STERLING CATALOG - FZN &amp; CHILL'!H1523,"AAAAAG/+fzc=")</f>
        <v>#VALUE!</v>
      </c>
      <c r="BE310" t="e">
        <f>AND('STERLING CATALOG - FZN &amp; CHILL'!I1523,"AAAAAG/+fzg=")</f>
        <v>#VALUE!</v>
      </c>
      <c r="BF310" t="e">
        <f>AND('STERLING CATALOG - FZN &amp; CHILL'!J1523,"AAAAAG/+fzk=")</f>
        <v>#VALUE!</v>
      </c>
      <c r="BG310">
        <f>IF('STERLING CATALOG - FZN &amp; CHILL'!1524:1524,"AAAAAG/+fzo=",0)</f>
        <v>0</v>
      </c>
      <c r="BH310" t="e">
        <f>AND('STERLING CATALOG - FZN &amp; CHILL'!A1524,"AAAAAG/+fzs=")</f>
        <v>#VALUE!</v>
      </c>
      <c r="BI310" t="e">
        <f>AND('STERLING CATALOG - FZN &amp; CHILL'!B1524,"AAAAAG/+fzw=")</f>
        <v>#VALUE!</v>
      </c>
      <c r="BJ310" t="e">
        <f>AND('STERLING CATALOG - FZN &amp; CHILL'!C1524,"AAAAAG/+fz0=")</f>
        <v>#VALUE!</v>
      </c>
      <c r="BK310" t="e">
        <f>AND('STERLING CATALOG - FZN &amp; CHILL'!D1524,"AAAAAG/+fz4=")</f>
        <v>#VALUE!</v>
      </c>
      <c r="BL310" t="e">
        <f>AND('STERLING CATALOG - FZN &amp; CHILL'!E1524,"AAAAAG/+fz8=")</f>
        <v>#VALUE!</v>
      </c>
      <c r="BM310" t="e">
        <f>AND('STERLING CATALOG - FZN &amp; CHILL'!F1524,"AAAAAG/+f0A=")</f>
        <v>#VALUE!</v>
      </c>
      <c r="BN310" t="e">
        <f>AND('STERLING CATALOG - FZN &amp; CHILL'!G1524,"AAAAAG/+f0E=")</f>
        <v>#VALUE!</v>
      </c>
      <c r="BO310" t="e">
        <f>AND('STERLING CATALOG - FZN &amp; CHILL'!H1524,"AAAAAG/+f0I=")</f>
        <v>#VALUE!</v>
      </c>
      <c r="BP310" t="e">
        <f>AND('STERLING CATALOG - FZN &amp; CHILL'!I1524,"AAAAAG/+f0M=")</f>
        <v>#VALUE!</v>
      </c>
      <c r="BQ310" t="e">
        <f>AND('STERLING CATALOG - FZN &amp; CHILL'!J1524,"AAAAAG/+f0Q=")</f>
        <v>#VALUE!</v>
      </c>
      <c r="BR310">
        <f>IF('STERLING CATALOG - FZN &amp; CHILL'!1525:1525,"AAAAAG/+f0U=",0)</f>
        <v>0</v>
      </c>
      <c r="BS310" t="e">
        <f>AND('STERLING CATALOG - FZN &amp; CHILL'!A1525,"AAAAAG/+f0Y=")</f>
        <v>#VALUE!</v>
      </c>
      <c r="BT310" t="e">
        <f>AND('STERLING CATALOG - FZN &amp; CHILL'!B1525,"AAAAAG/+f0c=")</f>
        <v>#VALUE!</v>
      </c>
      <c r="BU310" t="e">
        <f>AND('STERLING CATALOG - FZN &amp; CHILL'!C1525,"AAAAAG/+f0g=")</f>
        <v>#VALUE!</v>
      </c>
      <c r="BV310" t="e">
        <f>AND('STERLING CATALOG - FZN &amp; CHILL'!D1525,"AAAAAG/+f0k=")</f>
        <v>#VALUE!</v>
      </c>
      <c r="BW310" t="e">
        <f>AND('STERLING CATALOG - FZN &amp; CHILL'!E1525,"AAAAAG/+f0o=")</f>
        <v>#VALUE!</v>
      </c>
      <c r="BX310" t="e">
        <f>AND('STERLING CATALOG - FZN &amp; CHILL'!F1525,"AAAAAG/+f0s=")</f>
        <v>#VALUE!</v>
      </c>
      <c r="BY310" t="e">
        <f>AND('STERLING CATALOG - FZN &amp; CHILL'!G1525,"AAAAAG/+f0w=")</f>
        <v>#VALUE!</v>
      </c>
      <c r="BZ310" t="e">
        <f>AND('STERLING CATALOG - FZN &amp; CHILL'!H1525,"AAAAAG/+f00=")</f>
        <v>#VALUE!</v>
      </c>
      <c r="CA310" t="e">
        <f>AND('STERLING CATALOG - FZN &amp; CHILL'!I1525,"AAAAAG/+f04=")</f>
        <v>#VALUE!</v>
      </c>
      <c r="CB310" t="e">
        <f>AND('STERLING CATALOG - FZN &amp; CHILL'!J1525,"AAAAAG/+f08=")</f>
        <v>#VALUE!</v>
      </c>
      <c r="CC310">
        <f>IF('STERLING CATALOG - FZN &amp; CHILL'!1526:1526,"AAAAAG/+f1A=",0)</f>
        <v>0</v>
      </c>
      <c r="CD310" t="e">
        <f>AND('STERLING CATALOG - FZN &amp; CHILL'!A1526,"AAAAAG/+f1E=")</f>
        <v>#VALUE!</v>
      </c>
      <c r="CE310" t="e">
        <f>AND('STERLING CATALOG - FZN &amp; CHILL'!B1526,"AAAAAG/+f1I=")</f>
        <v>#VALUE!</v>
      </c>
      <c r="CF310" t="e">
        <f>AND('STERLING CATALOG - FZN &amp; CHILL'!C1526,"AAAAAG/+f1M=")</f>
        <v>#VALUE!</v>
      </c>
      <c r="CG310" t="e">
        <f>AND('STERLING CATALOG - FZN &amp; CHILL'!D1526,"AAAAAG/+f1Q=")</f>
        <v>#VALUE!</v>
      </c>
      <c r="CH310" t="e">
        <f>AND('STERLING CATALOG - FZN &amp; CHILL'!E1526,"AAAAAG/+f1U=")</f>
        <v>#VALUE!</v>
      </c>
      <c r="CI310" t="e">
        <f>AND('STERLING CATALOG - FZN &amp; CHILL'!F1526,"AAAAAG/+f1Y=")</f>
        <v>#VALUE!</v>
      </c>
      <c r="CJ310" t="e">
        <f>AND('STERLING CATALOG - FZN &amp; CHILL'!G1526,"AAAAAG/+f1c=")</f>
        <v>#VALUE!</v>
      </c>
      <c r="CK310" t="e">
        <f>AND('STERLING CATALOG - FZN &amp; CHILL'!H1526,"AAAAAG/+f1g=")</f>
        <v>#VALUE!</v>
      </c>
      <c r="CL310" t="e">
        <f>AND('STERLING CATALOG - FZN &amp; CHILL'!I1526,"AAAAAG/+f1k=")</f>
        <v>#VALUE!</v>
      </c>
      <c r="CM310" t="e">
        <f>AND('STERLING CATALOG - FZN &amp; CHILL'!J1526,"AAAAAG/+f1o=")</f>
        <v>#VALUE!</v>
      </c>
      <c r="CN310">
        <f>IF('STERLING CATALOG - FZN &amp; CHILL'!1527:1527,"AAAAAG/+f1s=",0)</f>
        <v>0</v>
      </c>
      <c r="CO310" t="e">
        <f>AND('STERLING CATALOG - FZN &amp; CHILL'!A1527,"AAAAAG/+f1w=")</f>
        <v>#VALUE!</v>
      </c>
      <c r="CP310" t="e">
        <f>AND('STERLING CATALOG - FZN &amp; CHILL'!B1527,"AAAAAG/+f10=")</f>
        <v>#VALUE!</v>
      </c>
      <c r="CQ310" t="e">
        <f>AND('STERLING CATALOG - FZN &amp; CHILL'!C1527,"AAAAAG/+f14=")</f>
        <v>#VALUE!</v>
      </c>
      <c r="CR310" t="e">
        <f>AND('STERLING CATALOG - FZN &amp; CHILL'!D1527,"AAAAAG/+f18=")</f>
        <v>#VALUE!</v>
      </c>
      <c r="CS310" t="e">
        <f>AND('STERLING CATALOG - FZN &amp; CHILL'!E1527,"AAAAAG/+f2A=")</f>
        <v>#VALUE!</v>
      </c>
      <c r="CT310" t="e">
        <f>AND('STERLING CATALOG - FZN &amp; CHILL'!F1527,"AAAAAG/+f2E=")</f>
        <v>#VALUE!</v>
      </c>
      <c r="CU310" t="e">
        <f>AND('STERLING CATALOG - FZN &amp; CHILL'!G1527,"AAAAAG/+f2I=")</f>
        <v>#VALUE!</v>
      </c>
      <c r="CV310" t="e">
        <f>AND('STERLING CATALOG - FZN &amp; CHILL'!H1527,"AAAAAG/+f2M=")</f>
        <v>#VALUE!</v>
      </c>
      <c r="CW310" t="e">
        <f>AND('STERLING CATALOG - FZN &amp; CHILL'!I1527,"AAAAAG/+f2Q=")</f>
        <v>#VALUE!</v>
      </c>
      <c r="CX310" t="e">
        <f>AND('STERLING CATALOG - FZN &amp; CHILL'!J1527,"AAAAAG/+f2U=")</f>
        <v>#VALUE!</v>
      </c>
      <c r="CY310">
        <f>IF('STERLING CATALOG - FZN &amp; CHILL'!1528:1528,"AAAAAG/+f2Y=",0)</f>
        <v>0</v>
      </c>
      <c r="CZ310" t="e">
        <f>AND('STERLING CATALOG - FZN &amp; CHILL'!A1528,"AAAAAG/+f2c=")</f>
        <v>#VALUE!</v>
      </c>
      <c r="DA310" t="e">
        <f>AND('STERLING CATALOG - FZN &amp; CHILL'!B1528,"AAAAAG/+f2g=")</f>
        <v>#VALUE!</v>
      </c>
      <c r="DB310" t="e">
        <f>AND('STERLING CATALOG - FZN &amp; CHILL'!C1528,"AAAAAG/+f2k=")</f>
        <v>#VALUE!</v>
      </c>
      <c r="DC310" t="e">
        <f>AND('STERLING CATALOG - FZN &amp; CHILL'!D1528,"AAAAAG/+f2o=")</f>
        <v>#VALUE!</v>
      </c>
      <c r="DD310" t="e">
        <f>AND('STERLING CATALOG - FZN &amp; CHILL'!E1528,"AAAAAG/+f2s=")</f>
        <v>#VALUE!</v>
      </c>
      <c r="DE310" t="e">
        <f>AND('STERLING CATALOG - FZN &amp; CHILL'!F1528,"AAAAAG/+f2w=")</f>
        <v>#VALUE!</v>
      </c>
      <c r="DF310" t="e">
        <f>AND('STERLING CATALOG - FZN &amp; CHILL'!G1528,"AAAAAG/+f20=")</f>
        <v>#VALUE!</v>
      </c>
      <c r="DG310" t="e">
        <f>AND('STERLING CATALOG - FZN &amp; CHILL'!H1528,"AAAAAG/+f24=")</f>
        <v>#VALUE!</v>
      </c>
      <c r="DH310" t="e">
        <f>AND('STERLING CATALOG - FZN &amp; CHILL'!I1528,"AAAAAG/+f28=")</f>
        <v>#VALUE!</v>
      </c>
      <c r="DI310" t="e">
        <f>AND('STERLING CATALOG - FZN &amp; CHILL'!J1528,"AAAAAG/+f3A=")</f>
        <v>#VALUE!</v>
      </c>
      <c r="DJ310">
        <f>IF('STERLING CATALOG - FZN &amp; CHILL'!1529:1529,"AAAAAG/+f3E=",0)</f>
        <v>0</v>
      </c>
      <c r="DK310" t="e">
        <f>AND('STERLING CATALOG - FZN &amp; CHILL'!A1529,"AAAAAG/+f3I=")</f>
        <v>#VALUE!</v>
      </c>
      <c r="DL310" t="e">
        <f>AND('STERLING CATALOG - FZN &amp; CHILL'!B1529,"AAAAAG/+f3M=")</f>
        <v>#VALUE!</v>
      </c>
      <c r="DM310" t="e">
        <f>AND('STERLING CATALOG - FZN &amp; CHILL'!C1529,"AAAAAG/+f3Q=")</f>
        <v>#VALUE!</v>
      </c>
      <c r="DN310" t="e">
        <f>AND('STERLING CATALOG - FZN &amp; CHILL'!D1529,"AAAAAG/+f3U=")</f>
        <v>#VALUE!</v>
      </c>
      <c r="DO310" t="e">
        <f>AND('STERLING CATALOG - FZN &amp; CHILL'!E1529,"AAAAAG/+f3Y=")</f>
        <v>#VALUE!</v>
      </c>
      <c r="DP310" t="e">
        <f>AND('STERLING CATALOG - FZN &amp; CHILL'!F1529,"AAAAAG/+f3c=")</f>
        <v>#VALUE!</v>
      </c>
      <c r="DQ310" t="e">
        <f>AND('STERLING CATALOG - FZN &amp; CHILL'!G1529,"AAAAAG/+f3g=")</f>
        <v>#VALUE!</v>
      </c>
      <c r="DR310" t="e">
        <f>AND('STERLING CATALOG - FZN &amp; CHILL'!H1529,"AAAAAG/+f3k=")</f>
        <v>#VALUE!</v>
      </c>
      <c r="DS310" t="e">
        <f>AND('STERLING CATALOG - FZN &amp; CHILL'!I1529,"AAAAAG/+f3o=")</f>
        <v>#VALUE!</v>
      </c>
      <c r="DT310" t="e">
        <f>AND('STERLING CATALOG - FZN &amp; CHILL'!J1529,"AAAAAG/+f3s=")</f>
        <v>#VALUE!</v>
      </c>
      <c r="DU310">
        <f>IF('STERLING CATALOG - FZN &amp; CHILL'!1530:1530,"AAAAAG/+f3w=",0)</f>
        <v>0</v>
      </c>
      <c r="DV310" t="e">
        <f>AND('STERLING CATALOG - FZN &amp; CHILL'!A1530,"AAAAAG/+f30=")</f>
        <v>#VALUE!</v>
      </c>
      <c r="DW310" t="e">
        <f>AND('STERLING CATALOG - FZN &amp; CHILL'!B1530,"AAAAAG/+f34=")</f>
        <v>#VALUE!</v>
      </c>
      <c r="DX310" t="e">
        <f>AND('STERLING CATALOG - FZN &amp; CHILL'!C1530,"AAAAAG/+f38=")</f>
        <v>#VALUE!</v>
      </c>
      <c r="DY310" t="e">
        <f>AND('STERLING CATALOG - FZN &amp; CHILL'!D1530,"AAAAAG/+f4A=")</f>
        <v>#VALUE!</v>
      </c>
      <c r="DZ310" t="e">
        <f>AND('STERLING CATALOG - FZN &amp; CHILL'!E1530,"AAAAAG/+f4E=")</f>
        <v>#VALUE!</v>
      </c>
      <c r="EA310" t="e">
        <f>AND('STERLING CATALOG - FZN &amp; CHILL'!F1530,"AAAAAG/+f4I=")</f>
        <v>#VALUE!</v>
      </c>
      <c r="EB310" t="e">
        <f>AND('STERLING CATALOG - FZN &amp; CHILL'!G1530,"AAAAAG/+f4M=")</f>
        <v>#VALUE!</v>
      </c>
      <c r="EC310" t="e">
        <f>AND('STERLING CATALOG - FZN &amp; CHILL'!H1530,"AAAAAG/+f4Q=")</f>
        <v>#VALUE!</v>
      </c>
      <c r="ED310" t="e">
        <f>AND('STERLING CATALOG - FZN &amp; CHILL'!I1530,"AAAAAG/+f4U=")</f>
        <v>#VALUE!</v>
      </c>
      <c r="EE310" t="e">
        <f>AND('STERLING CATALOG - FZN &amp; CHILL'!J1530,"AAAAAG/+f4Y=")</f>
        <v>#VALUE!</v>
      </c>
      <c r="EF310">
        <f>IF('STERLING CATALOG - FZN &amp; CHILL'!1531:1531,"AAAAAG/+f4c=",0)</f>
        <v>0</v>
      </c>
      <c r="EG310" t="e">
        <f>AND('STERLING CATALOG - FZN &amp; CHILL'!A1531,"AAAAAG/+f4g=")</f>
        <v>#VALUE!</v>
      </c>
      <c r="EH310" t="e">
        <f>AND('STERLING CATALOG - FZN &amp; CHILL'!B1531,"AAAAAG/+f4k=")</f>
        <v>#VALUE!</v>
      </c>
      <c r="EI310" t="e">
        <f>AND('STERLING CATALOG - FZN &amp; CHILL'!C1531,"AAAAAG/+f4o=")</f>
        <v>#VALUE!</v>
      </c>
      <c r="EJ310" t="e">
        <f>AND('STERLING CATALOG - FZN &amp; CHILL'!D1531,"AAAAAG/+f4s=")</f>
        <v>#VALUE!</v>
      </c>
      <c r="EK310" t="e">
        <f>AND('STERLING CATALOG - FZN &amp; CHILL'!E1531,"AAAAAG/+f4w=")</f>
        <v>#VALUE!</v>
      </c>
      <c r="EL310" t="e">
        <f>AND('STERLING CATALOG - FZN &amp; CHILL'!F1531,"AAAAAG/+f40=")</f>
        <v>#VALUE!</v>
      </c>
      <c r="EM310" t="e">
        <f>AND('STERLING CATALOG - FZN &amp; CHILL'!G1531,"AAAAAG/+f44=")</f>
        <v>#VALUE!</v>
      </c>
      <c r="EN310" t="e">
        <f>AND('STERLING CATALOG - FZN &amp; CHILL'!H1531,"AAAAAG/+f48=")</f>
        <v>#VALUE!</v>
      </c>
      <c r="EO310" t="e">
        <f>AND('STERLING CATALOG - FZN &amp; CHILL'!I1531,"AAAAAG/+f5A=")</f>
        <v>#VALUE!</v>
      </c>
      <c r="EP310" t="e">
        <f>AND('STERLING CATALOG - FZN &amp; CHILL'!J1531,"AAAAAG/+f5E=")</f>
        <v>#VALUE!</v>
      </c>
      <c r="EQ310">
        <f>IF('STERLING CATALOG - FZN &amp; CHILL'!1532:1532,"AAAAAG/+f5I=",0)</f>
        <v>0</v>
      </c>
      <c r="ER310" t="e">
        <f>AND('STERLING CATALOG - FZN &amp; CHILL'!A1532,"AAAAAG/+f5M=")</f>
        <v>#VALUE!</v>
      </c>
      <c r="ES310" t="e">
        <f>AND('STERLING CATALOG - FZN &amp; CHILL'!B1532,"AAAAAG/+f5Q=")</f>
        <v>#VALUE!</v>
      </c>
      <c r="ET310" t="e">
        <f>AND('STERLING CATALOG - FZN &amp; CHILL'!C1532,"AAAAAG/+f5U=")</f>
        <v>#VALUE!</v>
      </c>
      <c r="EU310" t="e">
        <f>AND('STERLING CATALOG - FZN &amp; CHILL'!D1532,"AAAAAG/+f5Y=")</f>
        <v>#VALUE!</v>
      </c>
      <c r="EV310" t="e">
        <f>AND('STERLING CATALOG - FZN &amp; CHILL'!E1532,"AAAAAG/+f5c=")</f>
        <v>#VALUE!</v>
      </c>
      <c r="EW310" t="e">
        <f>AND('STERLING CATALOG - FZN &amp; CHILL'!F1532,"AAAAAG/+f5g=")</f>
        <v>#VALUE!</v>
      </c>
      <c r="EX310" t="e">
        <f>AND('STERLING CATALOG - FZN &amp; CHILL'!G1532,"AAAAAG/+f5k=")</f>
        <v>#VALUE!</v>
      </c>
      <c r="EY310" t="e">
        <f>AND('STERLING CATALOG - FZN &amp; CHILL'!H1532,"AAAAAG/+f5o=")</f>
        <v>#VALUE!</v>
      </c>
      <c r="EZ310" t="e">
        <f>AND('STERLING CATALOG - FZN &amp; CHILL'!I1532,"AAAAAG/+f5s=")</f>
        <v>#VALUE!</v>
      </c>
      <c r="FA310" t="e">
        <f>AND('STERLING CATALOG - FZN &amp; CHILL'!J1532,"AAAAAG/+f5w=")</f>
        <v>#VALUE!</v>
      </c>
      <c r="FB310">
        <f>IF('STERLING CATALOG - FZN &amp; CHILL'!1533:1533,"AAAAAG/+f50=",0)</f>
        <v>0</v>
      </c>
      <c r="FC310" t="e">
        <f>AND('STERLING CATALOG - FZN &amp; CHILL'!A1533,"AAAAAG/+f54=")</f>
        <v>#VALUE!</v>
      </c>
      <c r="FD310" t="e">
        <f>AND('STERLING CATALOG - FZN &amp; CHILL'!B1533,"AAAAAG/+f58=")</f>
        <v>#VALUE!</v>
      </c>
      <c r="FE310" t="e">
        <f>AND('STERLING CATALOG - FZN &amp; CHILL'!C1533,"AAAAAG/+f6A=")</f>
        <v>#VALUE!</v>
      </c>
      <c r="FF310" t="e">
        <f>AND('STERLING CATALOG - FZN &amp; CHILL'!D1533,"AAAAAG/+f6E=")</f>
        <v>#VALUE!</v>
      </c>
      <c r="FG310" t="e">
        <f>AND('STERLING CATALOG - FZN &amp; CHILL'!E1533,"AAAAAG/+f6I=")</f>
        <v>#VALUE!</v>
      </c>
      <c r="FH310" t="e">
        <f>AND('STERLING CATALOG - FZN &amp; CHILL'!F1533,"AAAAAG/+f6M=")</f>
        <v>#VALUE!</v>
      </c>
      <c r="FI310" t="e">
        <f>AND('STERLING CATALOG - FZN &amp; CHILL'!G1533,"AAAAAG/+f6Q=")</f>
        <v>#VALUE!</v>
      </c>
      <c r="FJ310" t="e">
        <f>AND('STERLING CATALOG - FZN &amp; CHILL'!H1533,"AAAAAG/+f6U=")</f>
        <v>#VALUE!</v>
      </c>
      <c r="FK310" t="e">
        <f>AND('STERLING CATALOG - FZN &amp; CHILL'!I1533,"AAAAAG/+f6Y=")</f>
        <v>#VALUE!</v>
      </c>
      <c r="FL310" t="e">
        <f>AND('STERLING CATALOG - FZN &amp; CHILL'!J1533,"AAAAAG/+f6c=")</f>
        <v>#VALUE!</v>
      </c>
      <c r="FM310">
        <f>IF('STERLING CATALOG - FZN &amp; CHILL'!1534:1534,"AAAAAG/+f6g=",0)</f>
        <v>0</v>
      </c>
      <c r="FN310" t="e">
        <f>AND('STERLING CATALOG - FZN &amp; CHILL'!A1534,"AAAAAG/+f6k=")</f>
        <v>#VALUE!</v>
      </c>
      <c r="FO310" t="e">
        <f>AND('STERLING CATALOG - FZN &amp; CHILL'!B1534,"AAAAAG/+f6o=")</f>
        <v>#VALUE!</v>
      </c>
      <c r="FP310" t="e">
        <f>AND('STERLING CATALOG - FZN &amp; CHILL'!C1534,"AAAAAG/+f6s=")</f>
        <v>#VALUE!</v>
      </c>
      <c r="FQ310" t="e">
        <f>AND('STERLING CATALOG - FZN &amp; CHILL'!D1534,"AAAAAG/+f6w=")</f>
        <v>#VALUE!</v>
      </c>
      <c r="FR310" t="e">
        <f>AND('STERLING CATALOG - FZN &amp; CHILL'!E1534,"AAAAAG/+f60=")</f>
        <v>#VALUE!</v>
      </c>
      <c r="FS310" t="e">
        <f>AND('STERLING CATALOG - FZN &amp; CHILL'!F1534,"AAAAAG/+f64=")</f>
        <v>#VALUE!</v>
      </c>
      <c r="FT310" t="e">
        <f>AND('STERLING CATALOG - FZN &amp; CHILL'!G1534,"AAAAAG/+f68=")</f>
        <v>#VALUE!</v>
      </c>
      <c r="FU310" t="e">
        <f>AND('STERLING CATALOG - FZN &amp; CHILL'!H1534,"AAAAAG/+f7A=")</f>
        <v>#VALUE!</v>
      </c>
      <c r="FV310" t="e">
        <f>AND('STERLING CATALOG - FZN &amp; CHILL'!I1534,"AAAAAG/+f7E=")</f>
        <v>#VALUE!</v>
      </c>
      <c r="FW310" t="e">
        <f>AND('STERLING CATALOG - FZN &amp; CHILL'!J1534,"AAAAAG/+f7I=")</f>
        <v>#VALUE!</v>
      </c>
      <c r="FX310">
        <f>IF('STERLING CATALOG - FZN &amp; CHILL'!1535:1535,"AAAAAG/+f7M=",0)</f>
        <v>0</v>
      </c>
      <c r="FY310" t="e">
        <f>AND('STERLING CATALOG - FZN &amp; CHILL'!A1535,"AAAAAG/+f7Q=")</f>
        <v>#VALUE!</v>
      </c>
      <c r="FZ310" t="e">
        <f>AND('STERLING CATALOG - FZN &amp; CHILL'!B1535,"AAAAAG/+f7U=")</f>
        <v>#VALUE!</v>
      </c>
      <c r="GA310" t="e">
        <f>AND('STERLING CATALOG - FZN &amp; CHILL'!C1535,"AAAAAG/+f7Y=")</f>
        <v>#VALUE!</v>
      </c>
      <c r="GB310" t="e">
        <f>AND('STERLING CATALOG - FZN &amp; CHILL'!D1535,"AAAAAG/+f7c=")</f>
        <v>#VALUE!</v>
      </c>
      <c r="GC310" t="e">
        <f>AND('STERLING CATALOG - FZN &amp; CHILL'!E1535,"AAAAAG/+f7g=")</f>
        <v>#VALUE!</v>
      </c>
      <c r="GD310" t="e">
        <f>AND('STERLING CATALOG - FZN &amp; CHILL'!F1535,"AAAAAG/+f7k=")</f>
        <v>#VALUE!</v>
      </c>
      <c r="GE310" t="e">
        <f>AND('STERLING CATALOG - FZN &amp; CHILL'!G1535,"AAAAAG/+f7o=")</f>
        <v>#VALUE!</v>
      </c>
      <c r="GF310" t="e">
        <f>AND('STERLING CATALOG - FZN &amp; CHILL'!H1535,"AAAAAG/+f7s=")</f>
        <v>#VALUE!</v>
      </c>
      <c r="GG310" t="e">
        <f>AND('STERLING CATALOG - FZN &amp; CHILL'!I1535,"AAAAAG/+f7w=")</f>
        <v>#VALUE!</v>
      </c>
      <c r="GH310" t="e">
        <f>AND('STERLING CATALOG - FZN &amp; CHILL'!J1535,"AAAAAG/+f70=")</f>
        <v>#VALUE!</v>
      </c>
      <c r="GI310">
        <f>IF('STERLING CATALOG - FZN &amp; CHILL'!1536:1536,"AAAAAG/+f74=",0)</f>
        <v>0</v>
      </c>
      <c r="GJ310" t="e">
        <f>AND('STERLING CATALOG - FZN &amp; CHILL'!A1536,"AAAAAG/+f78=")</f>
        <v>#VALUE!</v>
      </c>
      <c r="GK310" t="e">
        <f>AND('STERLING CATALOG - FZN &amp; CHILL'!B1536,"AAAAAG/+f8A=")</f>
        <v>#VALUE!</v>
      </c>
      <c r="GL310" t="e">
        <f>AND('STERLING CATALOG - FZN &amp; CHILL'!C1536,"AAAAAG/+f8E=")</f>
        <v>#VALUE!</v>
      </c>
      <c r="GM310" t="e">
        <f>AND('STERLING CATALOG - FZN &amp; CHILL'!D1536,"AAAAAG/+f8I=")</f>
        <v>#VALUE!</v>
      </c>
      <c r="GN310" t="e">
        <f>AND('STERLING CATALOG - FZN &amp; CHILL'!E1536,"AAAAAG/+f8M=")</f>
        <v>#VALUE!</v>
      </c>
      <c r="GO310" t="e">
        <f>AND('STERLING CATALOG - FZN &amp; CHILL'!F1536,"AAAAAG/+f8Q=")</f>
        <v>#VALUE!</v>
      </c>
      <c r="GP310" t="e">
        <f>AND('STERLING CATALOG - FZN &amp; CHILL'!G1536,"AAAAAG/+f8U=")</f>
        <v>#VALUE!</v>
      </c>
      <c r="GQ310" t="e">
        <f>AND('STERLING CATALOG - FZN &amp; CHILL'!H1536,"AAAAAG/+f8Y=")</f>
        <v>#VALUE!</v>
      </c>
      <c r="GR310" t="e">
        <f>AND('STERLING CATALOG - FZN &amp; CHILL'!I1536,"AAAAAG/+f8c=")</f>
        <v>#VALUE!</v>
      </c>
      <c r="GS310" t="e">
        <f>AND('STERLING CATALOG - FZN &amp; CHILL'!J1536,"AAAAAG/+f8g=")</f>
        <v>#VALUE!</v>
      </c>
      <c r="GT310">
        <f>IF('STERLING CATALOG - FZN &amp; CHILL'!1537:1537,"AAAAAG/+f8k=",0)</f>
        <v>0</v>
      </c>
      <c r="GU310" t="e">
        <f>AND('STERLING CATALOG - FZN &amp; CHILL'!A1537,"AAAAAG/+f8o=")</f>
        <v>#VALUE!</v>
      </c>
      <c r="GV310" t="e">
        <f>AND('STERLING CATALOG - FZN &amp; CHILL'!B1537,"AAAAAG/+f8s=")</f>
        <v>#VALUE!</v>
      </c>
      <c r="GW310" t="e">
        <f>AND('STERLING CATALOG - FZN &amp; CHILL'!C1537,"AAAAAG/+f8w=")</f>
        <v>#VALUE!</v>
      </c>
      <c r="GX310" t="e">
        <f>AND('STERLING CATALOG - FZN &amp; CHILL'!D1537,"AAAAAG/+f80=")</f>
        <v>#VALUE!</v>
      </c>
      <c r="GY310" t="e">
        <f>AND('STERLING CATALOG - FZN &amp; CHILL'!E1537,"AAAAAG/+f84=")</f>
        <v>#VALUE!</v>
      </c>
      <c r="GZ310" t="e">
        <f>AND('STERLING CATALOG - FZN &amp; CHILL'!F1537,"AAAAAG/+f88=")</f>
        <v>#VALUE!</v>
      </c>
      <c r="HA310" t="e">
        <f>AND('STERLING CATALOG - FZN &amp; CHILL'!G1537,"AAAAAG/+f9A=")</f>
        <v>#VALUE!</v>
      </c>
      <c r="HB310" t="e">
        <f>AND('STERLING CATALOG - FZN &amp; CHILL'!H1537,"AAAAAG/+f9E=")</f>
        <v>#VALUE!</v>
      </c>
      <c r="HC310" t="e">
        <f>AND('STERLING CATALOG - FZN &amp; CHILL'!I1537,"AAAAAG/+f9I=")</f>
        <v>#VALUE!</v>
      </c>
      <c r="HD310" t="e">
        <f>AND('STERLING CATALOG - FZN &amp; CHILL'!J1537,"AAAAAG/+f9M=")</f>
        <v>#VALUE!</v>
      </c>
      <c r="HE310">
        <f>IF('STERLING CATALOG - FZN &amp; CHILL'!1538:1538,"AAAAAG/+f9Q=",0)</f>
        <v>0</v>
      </c>
      <c r="HF310" t="e">
        <f>AND('STERLING CATALOG - FZN &amp; CHILL'!A1538,"AAAAAG/+f9U=")</f>
        <v>#VALUE!</v>
      </c>
      <c r="HG310" t="e">
        <f>AND('STERLING CATALOG - FZN &amp; CHILL'!B1538,"AAAAAG/+f9Y=")</f>
        <v>#VALUE!</v>
      </c>
      <c r="HH310" t="e">
        <f>AND('STERLING CATALOG - FZN &amp; CHILL'!C1538,"AAAAAG/+f9c=")</f>
        <v>#VALUE!</v>
      </c>
      <c r="HI310" t="e">
        <f>AND('STERLING CATALOG - FZN &amp; CHILL'!D1538,"AAAAAG/+f9g=")</f>
        <v>#VALUE!</v>
      </c>
      <c r="HJ310" t="e">
        <f>AND('STERLING CATALOG - FZN &amp; CHILL'!E1538,"AAAAAG/+f9k=")</f>
        <v>#VALUE!</v>
      </c>
      <c r="HK310" t="e">
        <f>AND('STERLING CATALOG - FZN &amp; CHILL'!F1538,"AAAAAG/+f9o=")</f>
        <v>#VALUE!</v>
      </c>
      <c r="HL310" t="e">
        <f>AND('STERLING CATALOG - FZN &amp; CHILL'!G1538,"AAAAAG/+f9s=")</f>
        <v>#VALUE!</v>
      </c>
      <c r="HM310" t="e">
        <f>AND('STERLING CATALOG - FZN &amp; CHILL'!H1538,"AAAAAG/+f9w=")</f>
        <v>#VALUE!</v>
      </c>
      <c r="HN310" t="e">
        <f>AND('STERLING CATALOG - FZN &amp; CHILL'!I1538,"AAAAAG/+f90=")</f>
        <v>#VALUE!</v>
      </c>
      <c r="HO310" t="e">
        <f>AND('STERLING CATALOG - FZN &amp; CHILL'!J1538,"AAAAAG/+f94=")</f>
        <v>#VALUE!</v>
      </c>
      <c r="HP310">
        <f>IF('STERLING CATALOG - FZN &amp; CHILL'!1539:1539,"AAAAAG/+f98=",0)</f>
        <v>0</v>
      </c>
      <c r="HQ310" t="e">
        <f>AND('STERLING CATALOG - FZN &amp; CHILL'!A1539,"AAAAAG/+f+A=")</f>
        <v>#VALUE!</v>
      </c>
      <c r="HR310" t="e">
        <f>AND('STERLING CATALOG - FZN &amp; CHILL'!B1539,"AAAAAG/+f+E=")</f>
        <v>#VALUE!</v>
      </c>
      <c r="HS310" t="e">
        <f>AND('STERLING CATALOG - FZN &amp; CHILL'!C1539,"AAAAAG/+f+I=")</f>
        <v>#VALUE!</v>
      </c>
      <c r="HT310" t="e">
        <f>AND('STERLING CATALOG - FZN &amp; CHILL'!D1539,"AAAAAG/+f+M=")</f>
        <v>#VALUE!</v>
      </c>
      <c r="HU310" t="e">
        <f>AND('STERLING CATALOG - FZN &amp; CHILL'!E1539,"AAAAAG/+f+Q=")</f>
        <v>#VALUE!</v>
      </c>
      <c r="HV310" t="e">
        <f>AND('STERLING CATALOG - FZN &amp; CHILL'!F1539,"AAAAAG/+f+U=")</f>
        <v>#VALUE!</v>
      </c>
      <c r="HW310" t="e">
        <f>AND('STERLING CATALOG - FZN &amp; CHILL'!G1539,"AAAAAG/+f+Y=")</f>
        <v>#VALUE!</v>
      </c>
      <c r="HX310" t="e">
        <f>AND('STERLING CATALOG - FZN &amp; CHILL'!H1539,"AAAAAG/+f+c=")</f>
        <v>#VALUE!</v>
      </c>
      <c r="HY310" t="e">
        <f>AND('STERLING CATALOG - FZN &amp; CHILL'!I1539,"AAAAAG/+f+g=")</f>
        <v>#VALUE!</v>
      </c>
      <c r="HZ310" t="e">
        <f>AND('STERLING CATALOG - FZN &amp; CHILL'!J1539,"AAAAAG/+f+k=")</f>
        <v>#VALUE!</v>
      </c>
      <c r="IA310">
        <f>IF('STERLING CATALOG - FZN &amp; CHILL'!1540:1540,"AAAAAG/+f+o=",0)</f>
        <v>0</v>
      </c>
      <c r="IB310" t="e">
        <f>AND('STERLING CATALOG - FZN &amp; CHILL'!A1540,"AAAAAG/+f+s=")</f>
        <v>#VALUE!</v>
      </c>
      <c r="IC310" t="e">
        <f>AND('STERLING CATALOG - FZN &amp; CHILL'!B1540,"AAAAAG/+f+w=")</f>
        <v>#VALUE!</v>
      </c>
      <c r="ID310" t="e">
        <f>AND('STERLING CATALOG - FZN &amp; CHILL'!C1540,"AAAAAG/+f+0=")</f>
        <v>#VALUE!</v>
      </c>
      <c r="IE310" t="e">
        <f>AND('STERLING CATALOG - FZN &amp; CHILL'!D1540,"AAAAAG/+f+4=")</f>
        <v>#VALUE!</v>
      </c>
      <c r="IF310" t="e">
        <f>AND('STERLING CATALOG - FZN &amp; CHILL'!E1540,"AAAAAG/+f+8=")</f>
        <v>#VALUE!</v>
      </c>
      <c r="IG310" t="e">
        <f>AND('STERLING CATALOG - FZN &amp; CHILL'!F1540,"AAAAAG/+f/A=")</f>
        <v>#VALUE!</v>
      </c>
      <c r="IH310" t="e">
        <f>AND('STERLING CATALOG - FZN &amp; CHILL'!G1540,"AAAAAG/+f/E=")</f>
        <v>#VALUE!</v>
      </c>
      <c r="II310" t="e">
        <f>AND('STERLING CATALOG - FZN &amp; CHILL'!H1540,"AAAAAG/+f/I=")</f>
        <v>#VALUE!</v>
      </c>
      <c r="IJ310" t="e">
        <f>AND('STERLING CATALOG - FZN &amp; CHILL'!I1540,"AAAAAG/+f/M=")</f>
        <v>#VALUE!</v>
      </c>
      <c r="IK310" t="e">
        <f>AND('STERLING CATALOG - FZN &amp; CHILL'!J1540,"AAAAAG/+f/Q=")</f>
        <v>#VALUE!</v>
      </c>
      <c r="IL310">
        <f>IF('STERLING CATALOG - FZN &amp; CHILL'!1541:1541,"AAAAAG/+f/U=",0)</f>
        <v>0</v>
      </c>
      <c r="IM310" t="e">
        <f>AND('STERLING CATALOG - FZN &amp; CHILL'!A1541,"AAAAAG/+f/Y=")</f>
        <v>#VALUE!</v>
      </c>
      <c r="IN310" t="e">
        <f>AND('STERLING CATALOG - FZN &amp; CHILL'!B1541,"AAAAAG/+f/c=")</f>
        <v>#VALUE!</v>
      </c>
      <c r="IO310" t="e">
        <f>AND('STERLING CATALOG - FZN &amp; CHILL'!C1541,"AAAAAG/+f/g=")</f>
        <v>#VALUE!</v>
      </c>
      <c r="IP310" t="e">
        <f>AND('STERLING CATALOG - FZN &amp; CHILL'!D1541,"AAAAAG/+f/k=")</f>
        <v>#VALUE!</v>
      </c>
      <c r="IQ310" t="e">
        <f>AND('STERLING CATALOG - FZN &amp; CHILL'!E1541,"AAAAAG/+f/o=")</f>
        <v>#VALUE!</v>
      </c>
      <c r="IR310" t="e">
        <f>AND('STERLING CATALOG - FZN &amp; CHILL'!F1541,"AAAAAG/+f/s=")</f>
        <v>#VALUE!</v>
      </c>
      <c r="IS310" t="e">
        <f>AND('STERLING CATALOG - FZN &amp; CHILL'!G1541,"AAAAAG/+f/w=")</f>
        <v>#VALUE!</v>
      </c>
      <c r="IT310" t="e">
        <f>AND('STERLING CATALOG - FZN &amp; CHILL'!H1541,"AAAAAG/+f/0=")</f>
        <v>#VALUE!</v>
      </c>
      <c r="IU310" t="e">
        <f>AND('STERLING CATALOG - FZN &amp; CHILL'!I1541,"AAAAAG/+f/4=")</f>
        <v>#VALUE!</v>
      </c>
      <c r="IV310" t="e">
        <f>AND('STERLING CATALOG - FZN &amp; CHILL'!J1541,"AAAAAG/+f/8=")</f>
        <v>#VALUE!</v>
      </c>
    </row>
    <row r="311" spans="1:256">
      <c r="A311" t="str">
        <f>IF('STERLING CATALOG - FZN &amp; CHILL'!1542:1542,"AAAAAF7/7wA=",0)</f>
        <v>AAAAAF7/7wA=</v>
      </c>
      <c r="B311" t="e">
        <f>AND('STERLING CATALOG - FZN &amp; CHILL'!A1542,"AAAAAF7/7wE=")</f>
        <v>#VALUE!</v>
      </c>
      <c r="C311" t="e">
        <f>AND('STERLING CATALOG - FZN &amp; CHILL'!B1542,"AAAAAF7/7wI=")</f>
        <v>#VALUE!</v>
      </c>
      <c r="D311" t="e">
        <f>AND('STERLING CATALOG - FZN &amp; CHILL'!C1542,"AAAAAF7/7wM=")</f>
        <v>#VALUE!</v>
      </c>
      <c r="E311" t="e">
        <f>AND('STERLING CATALOG - FZN &amp; CHILL'!D1542,"AAAAAF7/7wQ=")</f>
        <v>#VALUE!</v>
      </c>
      <c r="F311" t="e">
        <f>AND('STERLING CATALOG - FZN &amp; CHILL'!E1542,"AAAAAF7/7wU=")</f>
        <v>#VALUE!</v>
      </c>
      <c r="G311" t="e">
        <f>AND('STERLING CATALOG - FZN &amp; CHILL'!F1542,"AAAAAF7/7wY=")</f>
        <v>#VALUE!</v>
      </c>
      <c r="H311" t="e">
        <f>AND('STERLING CATALOG - FZN &amp; CHILL'!G1542,"AAAAAF7/7wc=")</f>
        <v>#VALUE!</v>
      </c>
      <c r="I311" t="e">
        <f>AND('STERLING CATALOG - FZN &amp; CHILL'!H1542,"AAAAAF7/7wg=")</f>
        <v>#VALUE!</v>
      </c>
      <c r="J311" t="e">
        <f>AND('STERLING CATALOG - FZN &amp; CHILL'!I1542,"AAAAAF7/7wk=")</f>
        <v>#VALUE!</v>
      </c>
      <c r="K311" t="e">
        <f>AND('STERLING CATALOG - FZN &amp; CHILL'!J1542,"AAAAAF7/7wo=")</f>
        <v>#VALUE!</v>
      </c>
      <c r="L311">
        <f>IF('STERLING CATALOG - FZN &amp; CHILL'!1543:1543,"AAAAAF7/7ws=",0)</f>
        <v>0</v>
      </c>
      <c r="M311" t="e">
        <f>AND('STERLING CATALOG - FZN &amp; CHILL'!A1543,"AAAAAF7/7ww=")</f>
        <v>#VALUE!</v>
      </c>
      <c r="N311" t="e">
        <f>AND('STERLING CATALOG - FZN &amp; CHILL'!B1543,"AAAAAF7/7w0=")</f>
        <v>#VALUE!</v>
      </c>
      <c r="O311" t="e">
        <f>AND('STERLING CATALOG - FZN &amp; CHILL'!C1543,"AAAAAF7/7w4=")</f>
        <v>#VALUE!</v>
      </c>
      <c r="P311" t="e">
        <f>AND('STERLING CATALOG - FZN &amp; CHILL'!D1543,"AAAAAF7/7w8=")</f>
        <v>#VALUE!</v>
      </c>
      <c r="Q311" t="e">
        <f>AND('STERLING CATALOG - FZN &amp; CHILL'!E1543,"AAAAAF7/7xA=")</f>
        <v>#VALUE!</v>
      </c>
      <c r="R311" t="e">
        <f>AND('STERLING CATALOG - FZN &amp; CHILL'!F1543,"AAAAAF7/7xE=")</f>
        <v>#VALUE!</v>
      </c>
      <c r="S311" t="e">
        <f>AND('STERLING CATALOG - FZN &amp; CHILL'!G1543,"AAAAAF7/7xI=")</f>
        <v>#VALUE!</v>
      </c>
      <c r="T311" t="e">
        <f>AND('STERLING CATALOG - FZN &amp; CHILL'!H1543,"AAAAAF7/7xM=")</f>
        <v>#VALUE!</v>
      </c>
      <c r="U311" t="e">
        <f>AND('STERLING CATALOG - FZN &amp; CHILL'!I1543,"AAAAAF7/7xQ=")</f>
        <v>#VALUE!</v>
      </c>
      <c r="V311" t="e">
        <f>AND('STERLING CATALOG - FZN &amp; CHILL'!J1543,"AAAAAF7/7xU=")</f>
        <v>#VALUE!</v>
      </c>
      <c r="W311">
        <f>IF('STERLING CATALOG - FZN &amp; CHILL'!1544:1544,"AAAAAF7/7xY=",0)</f>
        <v>0</v>
      </c>
      <c r="X311" t="e">
        <f>AND('STERLING CATALOG - FZN &amp; CHILL'!A1544,"AAAAAF7/7xc=")</f>
        <v>#VALUE!</v>
      </c>
      <c r="Y311" t="e">
        <f>AND('STERLING CATALOG - FZN &amp; CHILL'!B1544,"AAAAAF7/7xg=")</f>
        <v>#VALUE!</v>
      </c>
      <c r="Z311" t="e">
        <f>AND('STERLING CATALOG - FZN &amp; CHILL'!C1544,"AAAAAF7/7xk=")</f>
        <v>#VALUE!</v>
      </c>
      <c r="AA311" t="e">
        <f>AND('STERLING CATALOG - FZN &amp; CHILL'!D1544,"AAAAAF7/7xo=")</f>
        <v>#VALUE!</v>
      </c>
      <c r="AB311" t="e">
        <f>AND('STERLING CATALOG - FZN &amp; CHILL'!E1544,"AAAAAF7/7xs=")</f>
        <v>#VALUE!</v>
      </c>
      <c r="AC311" t="e">
        <f>AND('STERLING CATALOG - FZN &amp; CHILL'!F1544,"AAAAAF7/7xw=")</f>
        <v>#VALUE!</v>
      </c>
      <c r="AD311" t="e">
        <f>AND('STERLING CATALOG - FZN &amp; CHILL'!G1544,"AAAAAF7/7x0=")</f>
        <v>#VALUE!</v>
      </c>
      <c r="AE311" t="e">
        <f>AND('STERLING CATALOG - FZN &amp; CHILL'!H1544,"AAAAAF7/7x4=")</f>
        <v>#VALUE!</v>
      </c>
      <c r="AF311" t="e">
        <f>AND('STERLING CATALOG - FZN &amp; CHILL'!I1544,"AAAAAF7/7x8=")</f>
        <v>#VALUE!</v>
      </c>
      <c r="AG311" t="e">
        <f>AND('STERLING CATALOG - FZN &amp; CHILL'!J1544,"AAAAAF7/7yA=")</f>
        <v>#VALUE!</v>
      </c>
      <c r="AH311">
        <f>IF('STERLING CATALOG - FZN &amp; CHILL'!1545:1545,"AAAAAF7/7yE=",0)</f>
        <v>0</v>
      </c>
      <c r="AI311" t="e">
        <f>AND('STERLING CATALOG - FZN &amp; CHILL'!A1545,"AAAAAF7/7yI=")</f>
        <v>#VALUE!</v>
      </c>
      <c r="AJ311" t="e">
        <f>AND('STERLING CATALOG - FZN &amp; CHILL'!B1545,"AAAAAF7/7yM=")</f>
        <v>#VALUE!</v>
      </c>
      <c r="AK311" t="e">
        <f>AND('STERLING CATALOG - FZN &amp; CHILL'!C1545,"AAAAAF7/7yQ=")</f>
        <v>#VALUE!</v>
      </c>
      <c r="AL311" t="e">
        <f>AND('STERLING CATALOG - FZN &amp; CHILL'!D1545,"AAAAAF7/7yU=")</f>
        <v>#VALUE!</v>
      </c>
      <c r="AM311" t="e">
        <f>AND('STERLING CATALOG - FZN &amp; CHILL'!E1545,"AAAAAF7/7yY=")</f>
        <v>#VALUE!</v>
      </c>
      <c r="AN311" t="e">
        <f>AND('STERLING CATALOG - FZN &amp; CHILL'!F1545,"AAAAAF7/7yc=")</f>
        <v>#VALUE!</v>
      </c>
      <c r="AO311" t="e">
        <f>AND('STERLING CATALOG - FZN &amp; CHILL'!G1545,"AAAAAF7/7yg=")</f>
        <v>#VALUE!</v>
      </c>
      <c r="AP311" t="e">
        <f>AND('STERLING CATALOG - FZN &amp; CHILL'!H1545,"AAAAAF7/7yk=")</f>
        <v>#VALUE!</v>
      </c>
      <c r="AQ311" t="e">
        <f>AND('STERLING CATALOG - FZN &amp; CHILL'!I1545,"AAAAAF7/7yo=")</f>
        <v>#VALUE!</v>
      </c>
      <c r="AR311" t="e">
        <f>AND('STERLING CATALOG - FZN &amp; CHILL'!J1545,"AAAAAF7/7ys=")</f>
        <v>#VALUE!</v>
      </c>
      <c r="AS311">
        <f>IF('STERLING CATALOG - FZN &amp; CHILL'!1546:1546,"AAAAAF7/7yw=",0)</f>
        <v>0</v>
      </c>
      <c r="AT311" t="e">
        <f>AND('STERLING CATALOG - FZN &amp; CHILL'!A1546,"AAAAAF7/7y0=")</f>
        <v>#VALUE!</v>
      </c>
      <c r="AU311" t="e">
        <f>AND('STERLING CATALOG - FZN &amp; CHILL'!B1546,"AAAAAF7/7y4=")</f>
        <v>#VALUE!</v>
      </c>
      <c r="AV311" t="e">
        <f>AND('STERLING CATALOG - FZN &amp; CHILL'!C1546,"AAAAAF7/7y8=")</f>
        <v>#VALUE!</v>
      </c>
      <c r="AW311" t="e">
        <f>AND('STERLING CATALOG - FZN &amp; CHILL'!D1546,"AAAAAF7/7zA=")</f>
        <v>#VALUE!</v>
      </c>
      <c r="AX311" t="e">
        <f>AND('STERLING CATALOG - FZN &amp; CHILL'!E1546,"AAAAAF7/7zE=")</f>
        <v>#VALUE!</v>
      </c>
      <c r="AY311" t="e">
        <f>AND('STERLING CATALOG - FZN &amp; CHILL'!F1546,"AAAAAF7/7zI=")</f>
        <v>#VALUE!</v>
      </c>
      <c r="AZ311" t="e">
        <f>AND('STERLING CATALOG - FZN &amp; CHILL'!G1546,"AAAAAF7/7zM=")</f>
        <v>#VALUE!</v>
      </c>
      <c r="BA311" t="e">
        <f>AND('STERLING CATALOG - FZN &amp; CHILL'!H1546,"AAAAAF7/7zQ=")</f>
        <v>#VALUE!</v>
      </c>
      <c r="BB311" t="e">
        <f>AND('STERLING CATALOG - FZN &amp; CHILL'!I1546,"AAAAAF7/7zU=")</f>
        <v>#VALUE!</v>
      </c>
      <c r="BC311" t="e">
        <f>AND('STERLING CATALOG - FZN &amp; CHILL'!J1546,"AAAAAF7/7zY=")</f>
        <v>#VALUE!</v>
      </c>
      <c r="BD311">
        <f>IF('STERLING CATALOG - FZN &amp; CHILL'!1547:1547,"AAAAAF7/7zc=",0)</f>
        <v>0</v>
      </c>
      <c r="BE311" t="e">
        <f>AND('STERLING CATALOG - FZN &amp; CHILL'!A1547,"AAAAAF7/7zg=")</f>
        <v>#VALUE!</v>
      </c>
      <c r="BF311" t="e">
        <f>AND('STERLING CATALOG - FZN &amp; CHILL'!B1547,"AAAAAF7/7zk=")</f>
        <v>#VALUE!</v>
      </c>
      <c r="BG311" t="e">
        <f>AND('STERLING CATALOG - FZN &amp; CHILL'!C1547,"AAAAAF7/7zo=")</f>
        <v>#VALUE!</v>
      </c>
      <c r="BH311" t="e">
        <f>AND('STERLING CATALOG - FZN &amp; CHILL'!D1547,"AAAAAF7/7zs=")</f>
        <v>#VALUE!</v>
      </c>
      <c r="BI311" t="e">
        <f>AND('STERLING CATALOG - FZN &amp; CHILL'!E1547,"AAAAAF7/7zw=")</f>
        <v>#VALUE!</v>
      </c>
      <c r="BJ311" t="e">
        <f>AND('STERLING CATALOG - FZN &amp; CHILL'!F1547,"AAAAAF7/7z0=")</f>
        <v>#VALUE!</v>
      </c>
      <c r="BK311" t="e">
        <f>AND('STERLING CATALOG - FZN &amp; CHILL'!G1547,"AAAAAF7/7z4=")</f>
        <v>#VALUE!</v>
      </c>
      <c r="BL311" t="e">
        <f>AND('STERLING CATALOG - FZN &amp; CHILL'!H1547,"AAAAAF7/7z8=")</f>
        <v>#VALUE!</v>
      </c>
      <c r="BM311" t="e">
        <f>AND('STERLING CATALOG - FZN &amp; CHILL'!I1547,"AAAAAF7/70A=")</f>
        <v>#VALUE!</v>
      </c>
      <c r="BN311" t="e">
        <f>AND('STERLING CATALOG - FZN &amp; CHILL'!J1547,"AAAAAF7/70E=")</f>
        <v>#VALUE!</v>
      </c>
      <c r="BO311">
        <f>IF('STERLING CATALOG - FZN &amp; CHILL'!1548:1548,"AAAAAF7/70I=",0)</f>
        <v>0</v>
      </c>
      <c r="BP311" t="e">
        <f>AND('STERLING CATALOG - FZN &amp; CHILL'!A1548,"AAAAAF7/70M=")</f>
        <v>#VALUE!</v>
      </c>
      <c r="BQ311" t="e">
        <f>AND('STERLING CATALOG - FZN &amp; CHILL'!B1548,"AAAAAF7/70Q=")</f>
        <v>#VALUE!</v>
      </c>
      <c r="BR311" t="e">
        <f>AND('STERLING CATALOG - FZN &amp; CHILL'!C1548,"AAAAAF7/70U=")</f>
        <v>#VALUE!</v>
      </c>
      <c r="BS311" t="e">
        <f>AND('STERLING CATALOG - FZN &amp; CHILL'!D1548,"AAAAAF7/70Y=")</f>
        <v>#VALUE!</v>
      </c>
      <c r="BT311" t="e">
        <f>AND('STERLING CATALOG - FZN &amp; CHILL'!E1548,"AAAAAF7/70c=")</f>
        <v>#VALUE!</v>
      </c>
      <c r="BU311" t="e">
        <f>AND('STERLING CATALOG - FZN &amp; CHILL'!F1548,"AAAAAF7/70g=")</f>
        <v>#VALUE!</v>
      </c>
      <c r="BV311" t="e">
        <f>AND('STERLING CATALOG - FZN &amp; CHILL'!G1548,"AAAAAF7/70k=")</f>
        <v>#VALUE!</v>
      </c>
      <c r="BW311" t="e">
        <f>AND('STERLING CATALOG - FZN &amp; CHILL'!H1548,"AAAAAF7/70o=")</f>
        <v>#VALUE!</v>
      </c>
      <c r="BX311" t="e">
        <f>AND('STERLING CATALOG - FZN &amp; CHILL'!I1548,"AAAAAF7/70s=")</f>
        <v>#VALUE!</v>
      </c>
      <c r="BY311" t="e">
        <f>AND('STERLING CATALOG - FZN &amp; CHILL'!J1548,"AAAAAF7/70w=")</f>
        <v>#VALUE!</v>
      </c>
      <c r="BZ311">
        <f>IF('STERLING CATALOG - FZN &amp; CHILL'!1549:1549,"AAAAAF7/700=",0)</f>
        <v>0</v>
      </c>
      <c r="CA311" t="e">
        <f>AND('STERLING CATALOG - FZN &amp; CHILL'!A1549,"AAAAAF7/704=")</f>
        <v>#VALUE!</v>
      </c>
      <c r="CB311" t="e">
        <f>AND('STERLING CATALOG - FZN &amp; CHILL'!B1549,"AAAAAF7/708=")</f>
        <v>#VALUE!</v>
      </c>
      <c r="CC311" t="e">
        <f>AND('STERLING CATALOG - FZN &amp; CHILL'!C1549,"AAAAAF7/71A=")</f>
        <v>#VALUE!</v>
      </c>
      <c r="CD311" t="e">
        <f>AND('STERLING CATALOG - FZN &amp; CHILL'!D1549,"AAAAAF7/71E=")</f>
        <v>#VALUE!</v>
      </c>
      <c r="CE311" t="e">
        <f>AND('STERLING CATALOG - FZN &amp; CHILL'!E1549,"AAAAAF7/71I=")</f>
        <v>#VALUE!</v>
      </c>
      <c r="CF311" t="e">
        <f>AND('STERLING CATALOG - FZN &amp; CHILL'!F1549,"AAAAAF7/71M=")</f>
        <v>#VALUE!</v>
      </c>
      <c r="CG311" t="e">
        <f>AND('STERLING CATALOG - FZN &amp; CHILL'!G1549,"AAAAAF7/71Q=")</f>
        <v>#VALUE!</v>
      </c>
      <c r="CH311" t="e">
        <f>AND('STERLING CATALOG - FZN &amp; CHILL'!H1549,"AAAAAF7/71U=")</f>
        <v>#VALUE!</v>
      </c>
      <c r="CI311" t="e">
        <f>AND('STERLING CATALOG - FZN &amp; CHILL'!I1549,"AAAAAF7/71Y=")</f>
        <v>#VALUE!</v>
      </c>
      <c r="CJ311" t="e">
        <f>AND('STERLING CATALOG - FZN &amp; CHILL'!J1549,"AAAAAF7/71c=")</f>
        <v>#VALUE!</v>
      </c>
      <c r="CK311">
        <f>IF('STERLING CATALOG - FZN &amp; CHILL'!1550:1550,"AAAAAF7/71g=",0)</f>
        <v>0</v>
      </c>
      <c r="CL311" t="e">
        <f>AND('STERLING CATALOG - FZN &amp; CHILL'!A1550,"AAAAAF7/71k=")</f>
        <v>#VALUE!</v>
      </c>
      <c r="CM311" t="e">
        <f>AND('STERLING CATALOG - FZN &amp; CHILL'!B1550,"AAAAAF7/71o=")</f>
        <v>#VALUE!</v>
      </c>
      <c r="CN311" t="e">
        <f>AND('STERLING CATALOG - FZN &amp; CHILL'!C1550,"AAAAAF7/71s=")</f>
        <v>#VALUE!</v>
      </c>
      <c r="CO311" t="e">
        <f>AND('STERLING CATALOG - FZN &amp; CHILL'!D1550,"AAAAAF7/71w=")</f>
        <v>#VALUE!</v>
      </c>
      <c r="CP311" t="e">
        <f>AND('STERLING CATALOG - FZN &amp; CHILL'!E1550,"AAAAAF7/710=")</f>
        <v>#VALUE!</v>
      </c>
      <c r="CQ311" t="e">
        <f>AND('STERLING CATALOG - FZN &amp; CHILL'!F1550,"AAAAAF7/714=")</f>
        <v>#VALUE!</v>
      </c>
      <c r="CR311" t="e">
        <f>AND('STERLING CATALOG - FZN &amp; CHILL'!G1550,"AAAAAF7/718=")</f>
        <v>#VALUE!</v>
      </c>
      <c r="CS311" t="e">
        <f>AND('STERLING CATALOG - FZN &amp; CHILL'!H1550,"AAAAAF7/72A=")</f>
        <v>#VALUE!</v>
      </c>
      <c r="CT311" t="e">
        <f>AND('STERLING CATALOG - FZN &amp; CHILL'!I1550,"AAAAAF7/72E=")</f>
        <v>#VALUE!</v>
      </c>
      <c r="CU311" t="e">
        <f>AND('STERLING CATALOG - FZN &amp; CHILL'!J1550,"AAAAAF7/72I=")</f>
        <v>#VALUE!</v>
      </c>
      <c r="CV311">
        <f>IF('STERLING CATALOG - FZN &amp; CHILL'!1551:1551,"AAAAAF7/72M=",0)</f>
        <v>0</v>
      </c>
      <c r="CW311" t="e">
        <f>AND('STERLING CATALOG - FZN &amp; CHILL'!A1551,"AAAAAF7/72Q=")</f>
        <v>#VALUE!</v>
      </c>
      <c r="CX311" t="e">
        <f>AND('STERLING CATALOG - FZN &amp; CHILL'!B1551,"AAAAAF7/72U=")</f>
        <v>#VALUE!</v>
      </c>
      <c r="CY311" t="e">
        <f>AND('STERLING CATALOG - FZN &amp; CHILL'!C1551,"AAAAAF7/72Y=")</f>
        <v>#VALUE!</v>
      </c>
      <c r="CZ311" t="e">
        <f>AND('STERLING CATALOG - FZN &amp; CHILL'!D1551,"AAAAAF7/72c=")</f>
        <v>#VALUE!</v>
      </c>
      <c r="DA311" t="e">
        <f>AND('STERLING CATALOG - FZN &amp; CHILL'!E1551,"AAAAAF7/72g=")</f>
        <v>#VALUE!</v>
      </c>
      <c r="DB311" t="e">
        <f>AND('STERLING CATALOG - FZN &amp; CHILL'!F1551,"AAAAAF7/72k=")</f>
        <v>#VALUE!</v>
      </c>
      <c r="DC311" t="e">
        <f>AND('STERLING CATALOG - FZN &amp; CHILL'!G1551,"AAAAAF7/72o=")</f>
        <v>#VALUE!</v>
      </c>
      <c r="DD311" t="e">
        <f>AND('STERLING CATALOG - FZN &amp; CHILL'!H1551,"AAAAAF7/72s=")</f>
        <v>#VALUE!</v>
      </c>
      <c r="DE311" t="e">
        <f>AND('STERLING CATALOG - FZN &amp; CHILL'!I1551,"AAAAAF7/72w=")</f>
        <v>#VALUE!</v>
      </c>
      <c r="DF311" t="e">
        <f>AND('STERLING CATALOG - FZN &amp; CHILL'!J1551,"AAAAAF7/720=")</f>
        <v>#VALUE!</v>
      </c>
      <c r="DG311">
        <f>IF('STERLING CATALOG - FZN &amp; CHILL'!1552:1552,"AAAAAF7/724=",0)</f>
        <v>0</v>
      </c>
      <c r="DH311" t="e">
        <f>AND('STERLING CATALOG - FZN &amp; CHILL'!A1552,"AAAAAF7/728=")</f>
        <v>#VALUE!</v>
      </c>
      <c r="DI311" t="e">
        <f>AND('STERLING CATALOG - FZN &amp; CHILL'!B1552,"AAAAAF7/73A=")</f>
        <v>#VALUE!</v>
      </c>
      <c r="DJ311" t="e">
        <f>AND('STERLING CATALOG - FZN &amp; CHILL'!C1552,"AAAAAF7/73E=")</f>
        <v>#VALUE!</v>
      </c>
      <c r="DK311" t="e">
        <f>AND('STERLING CATALOG - FZN &amp; CHILL'!D1552,"AAAAAF7/73I=")</f>
        <v>#VALUE!</v>
      </c>
      <c r="DL311" t="e">
        <f>AND('STERLING CATALOG - FZN &amp; CHILL'!E1552,"AAAAAF7/73M=")</f>
        <v>#VALUE!</v>
      </c>
      <c r="DM311" t="e">
        <f>AND('STERLING CATALOG - FZN &amp; CHILL'!F1552,"AAAAAF7/73Q=")</f>
        <v>#VALUE!</v>
      </c>
      <c r="DN311" t="e">
        <f>AND('STERLING CATALOG - FZN &amp; CHILL'!G1552,"AAAAAF7/73U=")</f>
        <v>#VALUE!</v>
      </c>
      <c r="DO311" t="e">
        <f>AND('STERLING CATALOG - FZN &amp; CHILL'!H1552,"AAAAAF7/73Y=")</f>
        <v>#VALUE!</v>
      </c>
      <c r="DP311" t="e">
        <f>AND('STERLING CATALOG - FZN &amp; CHILL'!I1552,"AAAAAF7/73c=")</f>
        <v>#VALUE!</v>
      </c>
      <c r="DQ311" t="e">
        <f>AND('STERLING CATALOG - FZN &amp; CHILL'!J1552,"AAAAAF7/73g=")</f>
        <v>#VALUE!</v>
      </c>
      <c r="DR311">
        <f>IF('STERLING CATALOG - FZN &amp; CHILL'!1553:1553,"AAAAAF7/73k=",0)</f>
        <v>0</v>
      </c>
      <c r="DS311" t="e">
        <f>AND('STERLING CATALOG - FZN &amp; CHILL'!A1553,"AAAAAF7/73o=")</f>
        <v>#VALUE!</v>
      </c>
      <c r="DT311" t="e">
        <f>AND('STERLING CATALOG - FZN &amp; CHILL'!B1553,"AAAAAF7/73s=")</f>
        <v>#VALUE!</v>
      </c>
      <c r="DU311" t="e">
        <f>AND('STERLING CATALOG - FZN &amp; CHILL'!C1553,"AAAAAF7/73w=")</f>
        <v>#VALUE!</v>
      </c>
      <c r="DV311" t="e">
        <f>AND('STERLING CATALOG - FZN &amp; CHILL'!D1553,"AAAAAF7/730=")</f>
        <v>#VALUE!</v>
      </c>
      <c r="DW311" t="e">
        <f>AND('STERLING CATALOG - FZN &amp; CHILL'!E1553,"AAAAAF7/734=")</f>
        <v>#VALUE!</v>
      </c>
      <c r="DX311" t="e">
        <f>AND('STERLING CATALOG - FZN &amp; CHILL'!F1553,"AAAAAF7/738=")</f>
        <v>#VALUE!</v>
      </c>
      <c r="DY311" t="e">
        <f>AND('STERLING CATALOG - FZN &amp; CHILL'!G1553,"AAAAAF7/74A=")</f>
        <v>#VALUE!</v>
      </c>
      <c r="DZ311" t="e">
        <f>AND('STERLING CATALOG - FZN &amp; CHILL'!H1553,"AAAAAF7/74E=")</f>
        <v>#VALUE!</v>
      </c>
      <c r="EA311" t="e">
        <f>AND('STERLING CATALOG - FZN &amp; CHILL'!I1553,"AAAAAF7/74I=")</f>
        <v>#VALUE!</v>
      </c>
      <c r="EB311" t="e">
        <f>AND('STERLING CATALOG - FZN &amp; CHILL'!J1553,"AAAAAF7/74M=")</f>
        <v>#VALUE!</v>
      </c>
      <c r="EC311">
        <f>IF('STERLING CATALOG - FZN &amp; CHILL'!1554:1554,"AAAAAF7/74Q=",0)</f>
        <v>0</v>
      </c>
      <c r="ED311" t="e">
        <f>AND('STERLING CATALOG - FZN &amp; CHILL'!A1554,"AAAAAF7/74U=")</f>
        <v>#VALUE!</v>
      </c>
      <c r="EE311" t="e">
        <f>AND('STERLING CATALOG - FZN &amp; CHILL'!B1554,"AAAAAF7/74Y=")</f>
        <v>#VALUE!</v>
      </c>
      <c r="EF311" t="e">
        <f>AND('STERLING CATALOG - FZN &amp; CHILL'!C1554,"AAAAAF7/74c=")</f>
        <v>#VALUE!</v>
      </c>
      <c r="EG311" t="e">
        <f>AND('STERLING CATALOG - FZN &amp; CHILL'!D1554,"AAAAAF7/74g=")</f>
        <v>#VALUE!</v>
      </c>
      <c r="EH311" t="e">
        <f>AND('STERLING CATALOG - FZN &amp; CHILL'!E1554,"AAAAAF7/74k=")</f>
        <v>#VALUE!</v>
      </c>
      <c r="EI311" t="e">
        <f>AND('STERLING CATALOG - FZN &amp; CHILL'!F1554,"AAAAAF7/74o=")</f>
        <v>#VALUE!</v>
      </c>
      <c r="EJ311" t="e">
        <f>AND('STERLING CATALOG - FZN &amp; CHILL'!G1554,"AAAAAF7/74s=")</f>
        <v>#VALUE!</v>
      </c>
      <c r="EK311" t="e">
        <f>AND('STERLING CATALOG - FZN &amp; CHILL'!H1554,"AAAAAF7/74w=")</f>
        <v>#VALUE!</v>
      </c>
      <c r="EL311" t="e">
        <f>AND('STERLING CATALOG - FZN &amp; CHILL'!I1554,"AAAAAF7/740=")</f>
        <v>#VALUE!</v>
      </c>
      <c r="EM311" t="e">
        <f>AND('STERLING CATALOG - FZN &amp; CHILL'!J1554,"AAAAAF7/744=")</f>
        <v>#VALUE!</v>
      </c>
      <c r="EN311">
        <f>IF('STERLING CATALOG - FZN &amp; CHILL'!1555:1555,"AAAAAF7/748=",0)</f>
        <v>0</v>
      </c>
      <c r="EO311" t="e">
        <f>AND('STERLING CATALOG - FZN &amp; CHILL'!A1555,"AAAAAF7/75A=")</f>
        <v>#VALUE!</v>
      </c>
      <c r="EP311" t="e">
        <f>AND('STERLING CATALOG - FZN &amp; CHILL'!B1555,"AAAAAF7/75E=")</f>
        <v>#VALUE!</v>
      </c>
      <c r="EQ311" t="e">
        <f>AND('STERLING CATALOG - FZN &amp; CHILL'!C1555,"AAAAAF7/75I=")</f>
        <v>#VALUE!</v>
      </c>
      <c r="ER311" t="e">
        <f>AND('STERLING CATALOG - FZN &amp; CHILL'!D1555,"AAAAAF7/75M=")</f>
        <v>#VALUE!</v>
      </c>
      <c r="ES311" t="e">
        <f>AND('STERLING CATALOG - FZN &amp; CHILL'!E1555,"AAAAAF7/75Q=")</f>
        <v>#VALUE!</v>
      </c>
      <c r="ET311" t="e">
        <f>AND('STERLING CATALOG - FZN &amp; CHILL'!F1555,"AAAAAF7/75U=")</f>
        <v>#VALUE!</v>
      </c>
      <c r="EU311" t="e">
        <f>AND('STERLING CATALOG - FZN &amp; CHILL'!G1555,"AAAAAF7/75Y=")</f>
        <v>#VALUE!</v>
      </c>
      <c r="EV311" t="e">
        <f>AND('STERLING CATALOG - FZN &amp; CHILL'!H1555,"AAAAAF7/75c=")</f>
        <v>#VALUE!</v>
      </c>
      <c r="EW311" t="e">
        <f>AND('STERLING CATALOG - FZN &amp; CHILL'!I1555,"AAAAAF7/75g=")</f>
        <v>#VALUE!</v>
      </c>
      <c r="EX311" t="e">
        <f>AND('STERLING CATALOG - FZN &amp; CHILL'!J1555,"AAAAAF7/75k=")</f>
        <v>#VALUE!</v>
      </c>
      <c r="EY311">
        <f>IF('STERLING CATALOG - FZN &amp; CHILL'!1556:1556,"AAAAAF7/75o=",0)</f>
        <v>0</v>
      </c>
      <c r="EZ311" t="e">
        <f>AND('STERLING CATALOG - FZN &amp; CHILL'!A1556,"AAAAAF7/75s=")</f>
        <v>#VALUE!</v>
      </c>
      <c r="FA311" t="e">
        <f>AND('STERLING CATALOG - FZN &amp; CHILL'!B1556,"AAAAAF7/75w=")</f>
        <v>#VALUE!</v>
      </c>
      <c r="FB311" t="e">
        <f>AND('STERLING CATALOG - FZN &amp; CHILL'!C1556,"AAAAAF7/750=")</f>
        <v>#VALUE!</v>
      </c>
      <c r="FC311" t="e">
        <f>AND('STERLING CATALOG - FZN &amp; CHILL'!D1556,"AAAAAF7/754=")</f>
        <v>#VALUE!</v>
      </c>
      <c r="FD311" t="e">
        <f>AND('STERLING CATALOG - FZN &amp; CHILL'!E1556,"AAAAAF7/758=")</f>
        <v>#VALUE!</v>
      </c>
      <c r="FE311" t="e">
        <f>AND('STERLING CATALOG - FZN &amp; CHILL'!F1556,"AAAAAF7/76A=")</f>
        <v>#VALUE!</v>
      </c>
      <c r="FF311" t="e">
        <f>AND('STERLING CATALOG - FZN &amp; CHILL'!G1556,"AAAAAF7/76E=")</f>
        <v>#VALUE!</v>
      </c>
      <c r="FG311" t="e">
        <f>AND('STERLING CATALOG - FZN &amp; CHILL'!H1556,"AAAAAF7/76I=")</f>
        <v>#VALUE!</v>
      </c>
      <c r="FH311" t="e">
        <f>AND('STERLING CATALOG - FZN &amp; CHILL'!I1556,"AAAAAF7/76M=")</f>
        <v>#VALUE!</v>
      </c>
      <c r="FI311" t="e">
        <f>AND('STERLING CATALOG - FZN &amp; CHILL'!J1556,"AAAAAF7/76Q=")</f>
        <v>#VALUE!</v>
      </c>
      <c r="FJ311">
        <f>IF('STERLING CATALOG - FZN &amp; CHILL'!1557:1557,"AAAAAF7/76U=",0)</f>
        <v>0</v>
      </c>
      <c r="FK311" t="e">
        <f>AND('STERLING CATALOG - FZN &amp; CHILL'!A1557,"AAAAAF7/76Y=")</f>
        <v>#VALUE!</v>
      </c>
      <c r="FL311" t="e">
        <f>AND('STERLING CATALOG - FZN &amp; CHILL'!B1557,"AAAAAF7/76c=")</f>
        <v>#VALUE!</v>
      </c>
      <c r="FM311" t="e">
        <f>AND('STERLING CATALOG - FZN &amp; CHILL'!C1557,"AAAAAF7/76g=")</f>
        <v>#VALUE!</v>
      </c>
      <c r="FN311" t="e">
        <f>AND('STERLING CATALOG - FZN &amp; CHILL'!D1557,"AAAAAF7/76k=")</f>
        <v>#VALUE!</v>
      </c>
      <c r="FO311" t="e">
        <f>AND('STERLING CATALOG - FZN &amp; CHILL'!E1557,"AAAAAF7/76o=")</f>
        <v>#VALUE!</v>
      </c>
      <c r="FP311" t="e">
        <f>AND('STERLING CATALOG - FZN &amp; CHILL'!F1557,"AAAAAF7/76s=")</f>
        <v>#VALUE!</v>
      </c>
      <c r="FQ311" t="e">
        <f>AND('STERLING CATALOG - FZN &amp; CHILL'!G1557,"AAAAAF7/76w=")</f>
        <v>#VALUE!</v>
      </c>
      <c r="FR311" t="e">
        <f>AND('STERLING CATALOG - FZN &amp; CHILL'!H1557,"AAAAAF7/760=")</f>
        <v>#VALUE!</v>
      </c>
      <c r="FS311" t="e">
        <f>AND('STERLING CATALOG - FZN &amp; CHILL'!I1557,"AAAAAF7/764=")</f>
        <v>#VALUE!</v>
      </c>
      <c r="FT311" t="e">
        <f>AND('STERLING CATALOG - FZN &amp; CHILL'!J1557,"AAAAAF7/768=")</f>
        <v>#VALUE!</v>
      </c>
      <c r="FU311">
        <f>IF('STERLING CATALOG - FZN &amp; CHILL'!1558:1558,"AAAAAF7/77A=",0)</f>
        <v>0</v>
      </c>
      <c r="FV311" t="e">
        <f>AND('STERLING CATALOG - FZN &amp; CHILL'!A1558,"AAAAAF7/77E=")</f>
        <v>#VALUE!</v>
      </c>
      <c r="FW311" t="e">
        <f>AND('STERLING CATALOG - FZN &amp; CHILL'!B1558,"AAAAAF7/77I=")</f>
        <v>#VALUE!</v>
      </c>
      <c r="FX311" t="e">
        <f>AND('STERLING CATALOG - FZN &amp; CHILL'!C1558,"AAAAAF7/77M=")</f>
        <v>#VALUE!</v>
      </c>
      <c r="FY311" t="e">
        <f>AND('STERLING CATALOG - FZN &amp; CHILL'!D1558,"AAAAAF7/77Q=")</f>
        <v>#VALUE!</v>
      </c>
      <c r="FZ311" t="e">
        <f>AND('STERLING CATALOG - FZN &amp; CHILL'!E1558,"AAAAAF7/77U=")</f>
        <v>#VALUE!</v>
      </c>
      <c r="GA311" t="e">
        <f>AND('STERLING CATALOG - FZN &amp; CHILL'!F1558,"AAAAAF7/77Y=")</f>
        <v>#VALUE!</v>
      </c>
      <c r="GB311" t="e">
        <f>AND('STERLING CATALOG - FZN &amp; CHILL'!G1558,"AAAAAF7/77c=")</f>
        <v>#VALUE!</v>
      </c>
      <c r="GC311" t="e">
        <f>AND('STERLING CATALOG - FZN &amp; CHILL'!H1558,"AAAAAF7/77g=")</f>
        <v>#VALUE!</v>
      </c>
      <c r="GD311" t="e">
        <f>AND('STERLING CATALOG - FZN &amp; CHILL'!I1558,"AAAAAF7/77k=")</f>
        <v>#VALUE!</v>
      </c>
      <c r="GE311" t="e">
        <f>AND('STERLING CATALOG - FZN &amp; CHILL'!J1558,"AAAAAF7/77o=")</f>
        <v>#VALUE!</v>
      </c>
      <c r="GF311">
        <f>IF('STERLING CATALOG - FZN &amp; CHILL'!1559:1559,"AAAAAF7/77s=",0)</f>
        <v>0</v>
      </c>
      <c r="GG311" t="e">
        <f>AND('STERLING CATALOG - FZN &amp; CHILL'!A1559,"AAAAAF7/77w=")</f>
        <v>#VALUE!</v>
      </c>
      <c r="GH311" t="e">
        <f>AND('STERLING CATALOG - FZN &amp; CHILL'!B1559,"AAAAAF7/770=")</f>
        <v>#VALUE!</v>
      </c>
      <c r="GI311" t="e">
        <f>AND('STERLING CATALOG - FZN &amp; CHILL'!C1559,"AAAAAF7/774=")</f>
        <v>#VALUE!</v>
      </c>
      <c r="GJ311" t="e">
        <f>AND('STERLING CATALOG - FZN &amp; CHILL'!D1559,"AAAAAF7/778=")</f>
        <v>#VALUE!</v>
      </c>
      <c r="GK311" t="e">
        <f>AND('STERLING CATALOG - FZN &amp; CHILL'!E1559,"AAAAAF7/78A=")</f>
        <v>#VALUE!</v>
      </c>
      <c r="GL311" t="e">
        <f>AND('STERLING CATALOG - FZN &amp; CHILL'!F1559,"AAAAAF7/78E=")</f>
        <v>#VALUE!</v>
      </c>
      <c r="GM311" t="e">
        <f>AND('STERLING CATALOG - FZN &amp; CHILL'!G1559,"AAAAAF7/78I=")</f>
        <v>#VALUE!</v>
      </c>
      <c r="GN311" t="e">
        <f>AND('STERLING CATALOG - FZN &amp; CHILL'!H1559,"AAAAAF7/78M=")</f>
        <v>#VALUE!</v>
      </c>
      <c r="GO311" t="e">
        <f>AND('STERLING CATALOG - FZN &amp; CHILL'!I1559,"AAAAAF7/78Q=")</f>
        <v>#VALUE!</v>
      </c>
      <c r="GP311" t="e">
        <f>AND('STERLING CATALOG - FZN &amp; CHILL'!J1559,"AAAAAF7/78U=")</f>
        <v>#VALUE!</v>
      </c>
      <c r="GQ311">
        <f>IF('STERLING CATALOG - FZN &amp; CHILL'!1560:1560,"AAAAAF7/78Y=",0)</f>
        <v>0</v>
      </c>
      <c r="GR311" t="e">
        <f>AND('STERLING CATALOG - FZN &amp; CHILL'!A1560,"AAAAAF7/78c=")</f>
        <v>#VALUE!</v>
      </c>
      <c r="GS311" t="e">
        <f>AND('STERLING CATALOG - FZN &amp; CHILL'!B1560,"AAAAAF7/78g=")</f>
        <v>#VALUE!</v>
      </c>
      <c r="GT311" t="e">
        <f>AND('STERLING CATALOG - FZN &amp; CHILL'!C1560,"AAAAAF7/78k=")</f>
        <v>#VALUE!</v>
      </c>
      <c r="GU311" t="e">
        <f>AND('STERLING CATALOG - FZN &amp; CHILL'!D1560,"AAAAAF7/78o=")</f>
        <v>#VALUE!</v>
      </c>
      <c r="GV311" t="e">
        <f>AND('STERLING CATALOG - FZN &amp; CHILL'!E1560,"AAAAAF7/78s=")</f>
        <v>#VALUE!</v>
      </c>
      <c r="GW311" t="e">
        <f>AND('STERLING CATALOG - FZN &amp; CHILL'!F1560,"AAAAAF7/78w=")</f>
        <v>#VALUE!</v>
      </c>
      <c r="GX311" t="e">
        <f>AND('STERLING CATALOG - FZN &amp; CHILL'!G1560,"AAAAAF7/780=")</f>
        <v>#VALUE!</v>
      </c>
      <c r="GY311" t="e">
        <f>AND('STERLING CATALOG - FZN &amp; CHILL'!H1560,"AAAAAF7/784=")</f>
        <v>#VALUE!</v>
      </c>
      <c r="GZ311" t="e">
        <f>AND('STERLING CATALOG - FZN &amp; CHILL'!I1560,"AAAAAF7/788=")</f>
        <v>#VALUE!</v>
      </c>
      <c r="HA311" t="e">
        <f>AND('STERLING CATALOG - FZN &amp; CHILL'!J1560,"AAAAAF7/79A=")</f>
        <v>#VALUE!</v>
      </c>
      <c r="HB311">
        <f>IF('STERLING CATALOG - FZN &amp; CHILL'!1561:1561,"AAAAAF7/79E=",0)</f>
        <v>0</v>
      </c>
      <c r="HC311" t="e">
        <f>AND('STERLING CATALOG - FZN &amp; CHILL'!A1561,"AAAAAF7/79I=")</f>
        <v>#VALUE!</v>
      </c>
      <c r="HD311" t="e">
        <f>AND('STERLING CATALOG - FZN &amp; CHILL'!B1561,"AAAAAF7/79M=")</f>
        <v>#VALUE!</v>
      </c>
      <c r="HE311" t="e">
        <f>AND('STERLING CATALOG - FZN &amp; CHILL'!C1561,"AAAAAF7/79Q=")</f>
        <v>#VALUE!</v>
      </c>
      <c r="HF311" t="e">
        <f>AND('STERLING CATALOG - FZN &amp; CHILL'!D1561,"AAAAAF7/79U=")</f>
        <v>#VALUE!</v>
      </c>
      <c r="HG311" t="e">
        <f>AND('STERLING CATALOG - FZN &amp; CHILL'!E1561,"AAAAAF7/79Y=")</f>
        <v>#VALUE!</v>
      </c>
      <c r="HH311" t="e">
        <f>AND('STERLING CATALOG - FZN &amp; CHILL'!F1561,"AAAAAF7/79c=")</f>
        <v>#VALUE!</v>
      </c>
      <c r="HI311" t="e">
        <f>AND('STERLING CATALOG - FZN &amp; CHILL'!G1561,"AAAAAF7/79g=")</f>
        <v>#VALUE!</v>
      </c>
      <c r="HJ311" t="e">
        <f>AND('STERLING CATALOG - FZN &amp; CHILL'!H1561,"AAAAAF7/79k=")</f>
        <v>#VALUE!</v>
      </c>
      <c r="HK311" t="e">
        <f>AND('STERLING CATALOG - FZN &amp; CHILL'!I1561,"AAAAAF7/79o=")</f>
        <v>#VALUE!</v>
      </c>
      <c r="HL311" t="e">
        <f>AND('STERLING CATALOG - FZN &amp; CHILL'!J1561,"AAAAAF7/79s=")</f>
        <v>#VALUE!</v>
      </c>
      <c r="HM311">
        <f>IF('STERLING CATALOG - FZN &amp; CHILL'!1562:1562,"AAAAAF7/79w=",0)</f>
        <v>0</v>
      </c>
      <c r="HN311" t="e">
        <f>AND('STERLING CATALOG - FZN &amp; CHILL'!A1562,"AAAAAF7/790=")</f>
        <v>#VALUE!</v>
      </c>
      <c r="HO311" t="e">
        <f>AND('STERLING CATALOG - FZN &amp; CHILL'!B1562,"AAAAAF7/794=")</f>
        <v>#VALUE!</v>
      </c>
      <c r="HP311" t="e">
        <f>AND('STERLING CATALOG - FZN &amp; CHILL'!C1562,"AAAAAF7/798=")</f>
        <v>#VALUE!</v>
      </c>
      <c r="HQ311" t="e">
        <f>AND('STERLING CATALOG - FZN &amp; CHILL'!D1562,"AAAAAF7/7+A=")</f>
        <v>#VALUE!</v>
      </c>
      <c r="HR311" t="e">
        <f>AND('STERLING CATALOG - FZN &amp; CHILL'!E1562,"AAAAAF7/7+E=")</f>
        <v>#VALUE!</v>
      </c>
      <c r="HS311" t="e">
        <f>AND('STERLING CATALOG - FZN &amp; CHILL'!F1562,"AAAAAF7/7+I=")</f>
        <v>#VALUE!</v>
      </c>
      <c r="HT311" t="e">
        <f>AND('STERLING CATALOG - FZN &amp; CHILL'!G1562,"AAAAAF7/7+M=")</f>
        <v>#VALUE!</v>
      </c>
      <c r="HU311" t="e">
        <f>AND('STERLING CATALOG - FZN &amp; CHILL'!H1562,"AAAAAF7/7+Q=")</f>
        <v>#VALUE!</v>
      </c>
      <c r="HV311" t="e">
        <f>AND('STERLING CATALOG - FZN &amp; CHILL'!I1562,"AAAAAF7/7+U=")</f>
        <v>#VALUE!</v>
      </c>
      <c r="HW311" t="e">
        <f>AND('STERLING CATALOG - FZN &amp; CHILL'!J1562,"AAAAAF7/7+Y=")</f>
        <v>#VALUE!</v>
      </c>
      <c r="HX311">
        <f>IF('STERLING CATALOG - FZN &amp; CHILL'!1563:1563,"AAAAAF7/7+c=",0)</f>
        <v>0</v>
      </c>
      <c r="HY311" t="e">
        <f>AND('STERLING CATALOG - FZN &amp; CHILL'!A1563,"AAAAAF7/7+g=")</f>
        <v>#VALUE!</v>
      </c>
      <c r="HZ311" t="e">
        <f>AND('STERLING CATALOG - FZN &amp; CHILL'!B1563,"AAAAAF7/7+k=")</f>
        <v>#VALUE!</v>
      </c>
      <c r="IA311" t="e">
        <f>AND('STERLING CATALOG - FZN &amp; CHILL'!C1563,"AAAAAF7/7+o=")</f>
        <v>#VALUE!</v>
      </c>
      <c r="IB311" t="e">
        <f>AND('STERLING CATALOG - FZN &amp; CHILL'!D1563,"AAAAAF7/7+s=")</f>
        <v>#VALUE!</v>
      </c>
      <c r="IC311" t="e">
        <f>AND('STERLING CATALOG - FZN &amp; CHILL'!E1563,"AAAAAF7/7+w=")</f>
        <v>#VALUE!</v>
      </c>
      <c r="ID311" t="e">
        <f>AND('STERLING CATALOG - FZN &amp; CHILL'!F1563,"AAAAAF7/7+0=")</f>
        <v>#VALUE!</v>
      </c>
      <c r="IE311" t="e">
        <f>AND('STERLING CATALOG - FZN &amp; CHILL'!G1563,"AAAAAF7/7+4=")</f>
        <v>#VALUE!</v>
      </c>
      <c r="IF311" t="e">
        <f>AND('STERLING CATALOG - FZN &amp; CHILL'!H1563,"AAAAAF7/7+8=")</f>
        <v>#VALUE!</v>
      </c>
      <c r="IG311" t="e">
        <f>AND('STERLING CATALOG - FZN &amp; CHILL'!I1563,"AAAAAF7/7/A=")</f>
        <v>#VALUE!</v>
      </c>
      <c r="IH311" t="e">
        <f>AND('STERLING CATALOG - FZN &amp; CHILL'!J1563,"AAAAAF7/7/E=")</f>
        <v>#VALUE!</v>
      </c>
      <c r="II311">
        <f>IF('STERLING CATALOG - FZN &amp; CHILL'!1564:1564,"AAAAAF7/7/I=",0)</f>
        <v>0</v>
      </c>
      <c r="IJ311" t="e">
        <f>AND('STERLING CATALOG - FZN &amp; CHILL'!A1564,"AAAAAF7/7/M=")</f>
        <v>#VALUE!</v>
      </c>
      <c r="IK311" t="e">
        <f>AND('STERLING CATALOG - FZN &amp; CHILL'!B1564,"AAAAAF7/7/Q=")</f>
        <v>#VALUE!</v>
      </c>
      <c r="IL311" t="e">
        <f>AND('STERLING CATALOG - FZN &amp; CHILL'!C1564,"AAAAAF7/7/U=")</f>
        <v>#VALUE!</v>
      </c>
      <c r="IM311" t="e">
        <f>AND('STERLING CATALOG - FZN &amp; CHILL'!D1564,"AAAAAF7/7/Y=")</f>
        <v>#VALUE!</v>
      </c>
      <c r="IN311" t="e">
        <f>AND('STERLING CATALOG - FZN &amp; CHILL'!E1564,"AAAAAF7/7/c=")</f>
        <v>#VALUE!</v>
      </c>
      <c r="IO311" t="e">
        <f>AND('STERLING CATALOG - FZN &amp; CHILL'!F1564,"AAAAAF7/7/g=")</f>
        <v>#VALUE!</v>
      </c>
      <c r="IP311" t="e">
        <f>AND('STERLING CATALOG - FZN &amp; CHILL'!G1564,"AAAAAF7/7/k=")</f>
        <v>#VALUE!</v>
      </c>
      <c r="IQ311" t="e">
        <f>AND('STERLING CATALOG - FZN &amp; CHILL'!H1564,"AAAAAF7/7/o=")</f>
        <v>#VALUE!</v>
      </c>
      <c r="IR311" t="e">
        <f>AND('STERLING CATALOG - FZN &amp; CHILL'!I1564,"AAAAAF7/7/s=")</f>
        <v>#VALUE!</v>
      </c>
      <c r="IS311" t="e">
        <f>AND('STERLING CATALOG - FZN &amp; CHILL'!J1564,"AAAAAF7/7/w=")</f>
        <v>#VALUE!</v>
      </c>
      <c r="IT311">
        <f>IF('STERLING CATALOG - FZN &amp; CHILL'!1565:1565,"AAAAAF7/7/0=",0)</f>
        <v>0</v>
      </c>
      <c r="IU311" t="e">
        <f>AND('STERLING CATALOG - FZN &amp; CHILL'!A1565,"AAAAAF7/7/4=")</f>
        <v>#VALUE!</v>
      </c>
      <c r="IV311" t="e">
        <f>AND('STERLING CATALOG - FZN &amp; CHILL'!B1565,"AAAAAF7/7/8=")</f>
        <v>#VALUE!</v>
      </c>
    </row>
    <row r="312" spans="1:256">
      <c r="A312" t="e">
        <f>AND('STERLING CATALOG - FZN &amp; CHILL'!C1565,"AAAAAHf/+wA=")</f>
        <v>#VALUE!</v>
      </c>
      <c r="B312" t="e">
        <f>AND('STERLING CATALOG - FZN &amp; CHILL'!D1565,"AAAAAHf/+wE=")</f>
        <v>#VALUE!</v>
      </c>
      <c r="C312" t="e">
        <f>AND('STERLING CATALOG - FZN &amp; CHILL'!E1565,"AAAAAHf/+wI=")</f>
        <v>#VALUE!</v>
      </c>
      <c r="D312" t="e">
        <f>AND('STERLING CATALOG - FZN &amp; CHILL'!F1565,"AAAAAHf/+wM=")</f>
        <v>#VALUE!</v>
      </c>
      <c r="E312" t="e">
        <f>AND('STERLING CATALOG - FZN &amp; CHILL'!G1565,"AAAAAHf/+wQ=")</f>
        <v>#VALUE!</v>
      </c>
      <c r="F312" t="e">
        <f>AND('STERLING CATALOG - FZN &amp; CHILL'!H1565,"AAAAAHf/+wU=")</f>
        <v>#VALUE!</v>
      </c>
      <c r="G312" t="e">
        <f>AND('STERLING CATALOG - FZN &amp; CHILL'!I1565,"AAAAAHf/+wY=")</f>
        <v>#VALUE!</v>
      </c>
      <c r="H312" t="e">
        <f>AND('STERLING CATALOG - FZN &amp; CHILL'!J1565,"AAAAAHf/+wc=")</f>
        <v>#VALUE!</v>
      </c>
      <c r="I312" t="e">
        <f>IF('STERLING CATALOG - FZN &amp; CHILL'!1566:1566,"AAAAAHf/+wg=",0)</f>
        <v>#VALUE!</v>
      </c>
      <c r="J312" t="e">
        <f>AND('STERLING CATALOG - FZN &amp; CHILL'!A1566,"AAAAAHf/+wk=")</f>
        <v>#VALUE!</v>
      </c>
      <c r="K312" t="e">
        <f>AND('STERLING CATALOG - FZN &amp; CHILL'!B1566,"AAAAAHf/+wo=")</f>
        <v>#VALUE!</v>
      </c>
      <c r="L312" t="e">
        <f>AND('STERLING CATALOG - FZN &amp; CHILL'!C1566,"AAAAAHf/+ws=")</f>
        <v>#VALUE!</v>
      </c>
      <c r="M312" t="e">
        <f>AND('STERLING CATALOG - FZN &amp; CHILL'!D1566,"AAAAAHf/+ww=")</f>
        <v>#VALUE!</v>
      </c>
      <c r="N312" t="e">
        <f>AND('STERLING CATALOG - FZN &amp; CHILL'!E1566,"AAAAAHf/+w0=")</f>
        <v>#VALUE!</v>
      </c>
      <c r="O312" t="e">
        <f>AND('STERLING CATALOG - FZN &amp; CHILL'!F1566,"AAAAAHf/+w4=")</f>
        <v>#VALUE!</v>
      </c>
      <c r="P312" t="e">
        <f>AND('STERLING CATALOG - FZN &amp; CHILL'!G1566,"AAAAAHf/+w8=")</f>
        <v>#VALUE!</v>
      </c>
      <c r="Q312" t="e">
        <f>AND('STERLING CATALOG - FZN &amp; CHILL'!H1566,"AAAAAHf/+xA=")</f>
        <v>#VALUE!</v>
      </c>
      <c r="R312" t="e">
        <f>AND('STERLING CATALOG - FZN &amp; CHILL'!I1566,"AAAAAHf/+xE=")</f>
        <v>#VALUE!</v>
      </c>
      <c r="S312" t="e">
        <f>AND('STERLING CATALOG - FZN &amp; CHILL'!J1566,"AAAAAHf/+xI=")</f>
        <v>#VALUE!</v>
      </c>
      <c r="T312">
        <f>IF('STERLING CATALOG - FZN &amp; CHILL'!1567:1567,"AAAAAHf/+xM=",0)</f>
        <v>0</v>
      </c>
      <c r="U312" t="e">
        <f>AND('STERLING CATALOG - FZN &amp; CHILL'!A1567,"AAAAAHf/+xQ=")</f>
        <v>#VALUE!</v>
      </c>
      <c r="V312" t="e">
        <f>AND('STERLING CATALOG - FZN &amp; CHILL'!B1567,"AAAAAHf/+xU=")</f>
        <v>#VALUE!</v>
      </c>
      <c r="W312" t="e">
        <f>AND('STERLING CATALOG - FZN &amp; CHILL'!C1567,"AAAAAHf/+xY=")</f>
        <v>#VALUE!</v>
      </c>
      <c r="X312" t="e">
        <f>AND('STERLING CATALOG - FZN &amp; CHILL'!D1567,"AAAAAHf/+xc=")</f>
        <v>#VALUE!</v>
      </c>
      <c r="Y312" t="e">
        <f>AND('STERLING CATALOG - FZN &amp; CHILL'!E1567,"AAAAAHf/+xg=")</f>
        <v>#VALUE!</v>
      </c>
      <c r="Z312" t="e">
        <f>AND('STERLING CATALOG - FZN &amp; CHILL'!F1567,"AAAAAHf/+xk=")</f>
        <v>#VALUE!</v>
      </c>
      <c r="AA312" t="e">
        <f>AND('STERLING CATALOG - FZN &amp; CHILL'!G1567,"AAAAAHf/+xo=")</f>
        <v>#VALUE!</v>
      </c>
      <c r="AB312" t="e">
        <f>AND('STERLING CATALOG - FZN &amp; CHILL'!H1567,"AAAAAHf/+xs=")</f>
        <v>#VALUE!</v>
      </c>
      <c r="AC312" t="e">
        <f>AND('STERLING CATALOG - FZN &amp; CHILL'!I1567,"AAAAAHf/+xw=")</f>
        <v>#VALUE!</v>
      </c>
      <c r="AD312" t="e">
        <f>AND('STERLING CATALOG - FZN &amp; CHILL'!J1567,"AAAAAHf/+x0=")</f>
        <v>#VALUE!</v>
      </c>
      <c r="AE312">
        <f>IF('STERLING CATALOG - FZN &amp; CHILL'!1568:1568,"AAAAAHf/+x4=",0)</f>
        <v>0</v>
      </c>
      <c r="AF312" t="e">
        <f>AND('STERLING CATALOG - FZN &amp; CHILL'!A1568,"AAAAAHf/+x8=")</f>
        <v>#VALUE!</v>
      </c>
      <c r="AG312" t="e">
        <f>AND('STERLING CATALOG - FZN &amp; CHILL'!B1568,"AAAAAHf/+yA=")</f>
        <v>#VALUE!</v>
      </c>
      <c r="AH312" t="e">
        <f>AND('STERLING CATALOG - FZN &amp; CHILL'!C1568,"AAAAAHf/+yE=")</f>
        <v>#VALUE!</v>
      </c>
      <c r="AI312" t="e">
        <f>AND('STERLING CATALOG - FZN &amp; CHILL'!D1568,"AAAAAHf/+yI=")</f>
        <v>#VALUE!</v>
      </c>
      <c r="AJ312" t="e">
        <f>AND('STERLING CATALOG - FZN &amp; CHILL'!E1568,"AAAAAHf/+yM=")</f>
        <v>#VALUE!</v>
      </c>
      <c r="AK312" t="e">
        <f>AND('STERLING CATALOG - FZN &amp; CHILL'!F1568,"AAAAAHf/+yQ=")</f>
        <v>#VALUE!</v>
      </c>
      <c r="AL312" t="e">
        <f>AND('STERLING CATALOG - FZN &amp; CHILL'!G1568,"AAAAAHf/+yU=")</f>
        <v>#VALUE!</v>
      </c>
      <c r="AM312" t="e">
        <f>AND('STERLING CATALOG - FZN &amp; CHILL'!H1568,"AAAAAHf/+yY=")</f>
        <v>#VALUE!</v>
      </c>
      <c r="AN312" t="e">
        <f>AND('STERLING CATALOG - FZN &amp; CHILL'!I1568,"AAAAAHf/+yc=")</f>
        <v>#VALUE!</v>
      </c>
      <c r="AO312" t="e">
        <f>AND('STERLING CATALOG - FZN &amp; CHILL'!J1568,"AAAAAHf/+yg=")</f>
        <v>#VALUE!</v>
      </c>
      <c r="AP312">
        <f>IF('STERLING CATALOG - FZN &amp; CHILL'!1569:1569,"AAAAAHf/+yk=",0)</f>
        <v>0</v>
      </c>
      <c r="AQ312" t="e">
        <f>AND('STERLING CATALOG - FZN &amp; CHILL'!A1569,"AAAAAHf/+yo=")</f>
        <v>#VALUE!</v>
      </c>
      <c r="AR312" t="e">
        <f>AND('STERLING CATALOG - FZN &amp; CHILL'!B1569,"AAAAAHf/+ys=")</f>
        <v>#VALUE!</v>
      </c>
      <c r="AS312" t="e">
        <f>AND('STERLING CATALOG - FZN &amp; CHILL'!C1569,"AAAAAHf/+yw=")</f>
        <v>#VALUE!</v>
      </c>
      <c r="AT312" t="e">
        <f>AND('STERLING CATALOG - FZN &amp; CHILL'!D1569,"AAAAAHf/+y0=")</f>
        <v>#VALUE!</v>
      </c>
      <c r="AU312" t="e">
        <f>AND('STERLING CATALOG - FZN &amp; CHILL'!E1569,"AAAAAHf/+y4=")</f>
        <v>#VALUE!</v>
      </c>
      <c r="AV312" t="e">
        <f>AND('STERLING CATALOG - FZN &amp; CHILL'!F1569,"AAAAAHf/+y8=")</f>
        <v>#VALUE!</v>
      </c>
      <c r="AW312" t="e">
        <f>AND('STERLING CATALOG - FZN &amp; CHILL'!G1569,"AAAAAHf/+zA=")</f>
        <v>#VALUE!</v>
      </c>
      <c r="AX312" t="e">
        <f>AND('STERLING CATALOG - FZN &amp; CHILL'!H1569,"AAAAAHf/+zE=")</f>
        <v>#VALUE!</v>
      </c>
      <c r="AY312" t="e">
        <f>AND('STERLING CATALOG - FZN &amp; CHILL'!I1569,"AAAAAHf/+zI=")</f>
        <v>#VALUE!</v>
      </c>
      <c r="AZ312" t="e">
        <f>AND('STERLING CATALOG - FZN &amp; CHILL'!J1569,"AAAAAHf/+zM=")</f>
        <v>#VALUE!</v>
      </c>
      <c r="BA312">
        <f>IF('STERLING CATALOG - FZN &amp; CHILL'!1570:1570,"AAAAAHf/+zQ=",0)</f>
        <v>0</v>
      </c>
      <c r="BB312" t="e">
        <f>AND('STERLING CATALOG - FZN &amp; CHILL'!A1570,"AAAAAHf/+zU=")</f>
        <v>#VALUE!</v>
      </c>
      <c r="BC312" t="e">
        <f>AND('STERLING CATALOG - FZN &amp; CHILL'!B1570,"AAAAAHf/+zY=")</f>
        <v>#VALUE!</v>
      </c>
      <c r="BD312" t="e">
        <f>AND('STERLING CATALOG - FZN &amp; CHILL'!C1570,"AAAAAHf/+zc=")</f>
        <v>#VALUE!</v>
      </c>
      <c r="BE312" t="e">
        <f>AND('STERLING CATALOG - FZN &amp; CHILL'!D1570,"AAAAAHf/+zg=")</f>
        <v>#VALUE!</v>
      </c>
      <c r="BF312" t="e">
        <f>AND('STERLING CATALOG - FZN &amp; CHILL'!E1570,"AAAAAHf/+zk=")</f>
        <v>#VALUE!</v>
      </c>
      <c r="BG312" t="e">
        <f>AND('STERLING CATALOG - FZN &amp; CHILL'!F1570,"AAAAAHf/+zo=")</f>
        <v>#VALUE!</v>
      </c>
      <c r="BH312" t="e">
        <f>AND('STERLING CATALOG - FZN &amp; CHILL'!G1570,"AAAAAHf/+zs=")</f>
        <v>#VALUE!</v>
      </c>
      <c r="BI312" t="e">
        <f>AND('STERLING CATALOG - FZN &amp; CHILL'!H1570,"AAAAAHf/+zw=")</f>
        <v>#VALUE!</v>
      </c>
      <c r="BJ312" t="e">
        <f>AND('STERLING CATALOG - FZN &amp; CHILL'!I1570,"AAAAAHf/+z0=")</f>
        <v>#VALUE!</v>
      </c>
      <c r="BK312" t="e">
        <f>AND('STERLING CATALOG - FZN &amp; CHILL'!J1570,"AAAAAHf/+z4=")</f>
        <v>#VALUE!</v>
      </c>
      <c r="BL312">
        <f>IF('STERLING CATALOG - FZN &amp; CHILL'!1571:1571,"AAAAAHf/+z8=",0)</f>
        <v>0</v>
      </c>
      <c r="BM312" t="e">
        <f>AND('STERLING CATALOG - FZN &amp; CHILL'!A1571,"AAAAAHf/+0A=")</f>
        <v>#VALUE!</v>
      </c>
      <c r="BN312" t="e">
        <f>AND('STERLING CATALOG - FZN &amp; CHILL'!B1571,"AAAAAHf/+0E=")</f>
        <v>#VALUE!</v>
      </c>
      <c r="BO312" t="e">
        <f>AND('STERLING CATALOG - FZN &amp; CHILL'!C1571,"AAAAAHf/+0I=")</f>
        <v>#VALUE!</v>
      </c>
      <c r="BP312" t="e">
        <f>AND('STERLING CATALOG - FZN &amp; CHILL'!D1571,"AAAAAHf/+0M=")</f>
        <v>#VALUE!</v>
      </c>
      <c r="BQ312" t="e">
        <f>AND('STERLING CATALOG - FZN &amp; CHILL'!E1571,"AAAAAHf/+0Q=")</f>
        <v>#VALUE!</v>
      </c>
      <c r="BR312" t="e">
        <f>AND('STERLING CATALOG - FZN &amp; CHILL'!F1571,"AAAAAHf/+0U=")</f>
        <v>#VALUE!</v>
      </c>
      <c r="BS312" t="e">
        <f>AND('STERLING CATALOG - FZN &amp; CHILL'!G1571,"AAAAAHf/+0Y=")</f>
        <v>#VALUE!</v>
      </c>
      <c r="BT312" t="e">
        <f>AND('STERLING CATALOG - FZN &amp; CHILL'!H1571,"AAAAAHf/+0c=")</f>
        <v>#VALUE!</v>
      </c>
      <c r="BU312" t="e">
        <f>AND('STERLING CATALOG - FZN &amp; CHILL'!I1571,"AAAAAHf/+0g=")</f>
        <v>#VALUE!</v>
      </c>
      <c r="BV312" t="e">
        <f>AND('STERLING CATALOG - FZN &amp; CHILL'!J1571,"AAAAAHf/+0k=")</f>
        <v>#VALUE!</v>
      </c>
      <c r="BW312">
        <f>IF('STERLING CATALOG - FZN &amp; CHILL'!1572:1572,"AAAAAHf/+0o=",0)</f>
        <v>0</v>
      </c>
      <c r="BX312" t="e">
        <f>AND('STERLING CATALOG - FZN &amp; CHILL'!A1572,"AAAAAHf/+0s=")</f>
        <v>#VALUE!</v>
      </c>
      <c r="BY312" t="e">
        <f>AND('STERLING CATALOG - FZN &amp; CHILL'!B1572,"AAAAAHf/+0w=")</f>
        <v>#VALUE!</v>
      </c>
      <c r="BZ312" t="e">
        <f>AND('STERLING CATALOG - FZN &amp; CHILL'!C1572,"AAAAAHf/+00=")</f>
        <v>#VALUE!</v>
      </c>
      <c r="CA312" t="e">
        <f>AND('STERLING CATALOG - FZN &amp; CHILL'!D1572,"AAAAAHf/+04=")</f>
        <v>#VALUE!</v>
      </c>
      <c r="CB312" t="e">
        <f>AND('STERLING CATALOG - FZN &amp; CHILL'!E1572,"AAAAAHf/+08=")</f>
        <v>#VALUE!</v>
      </c>
      <c r="CC312" t="e">
        <f>AND('STERLING CATALOG - FZN &amp; CHILL'!F1572,"AAAAAHf/+1A=")</f>
        <v>#VALUE!</v>
      </c>
      <c r="CD312" t="e">
        <f>AND('STERLING CATALOG - FZN &amp; CHILL'!G1572,"AAAAAHf/+1E=")</f>
        <v>#VALUE!</v>
      </c>
      <c r="CE312" t="e">
        <f>AND('STERLING CATALOG - FZN &amp; CHILL'!H1572,"AAAAAHf/+1I=")</f>
        <v>#VALUE!</v>
      </c>
      <c r="CF312" t="e">
        <f>AND('STERLING CATALOG - FZN &amp; CHILL'!I1572,"AAAAAHf/+1M=")</f>
        <v>#VALUE!</v>
      </c>
      <c r="CG312" t="e">
        <f>AND('STERLING CATALOG - FZN &amp; CHILL'!J1572,"AAAAAHf/+1Q=")</f>
        <v>#VALUE!</v>
      </c>
      <c r="CH312">
        <f>IF('STERLING CATALOG - FZN &amp; CHILL'!1573:1573,"AAAAAHf/+1U=",0)</f>
        <v>0</v>
      </c>
      <c r="CI312" t="e">
        <f>AND('STERLING CATALOG - FZN &amp; CHILL'!A1573,"AAAAAHf/+1Y=")</f>
        <v>#VALUE!</v>
      </c>
      <c r="CJ312" t="e">
        <f>AND('STERLING CATALOG - FZN &amp; CHILL'!B1573,"AAAAAHf/+1c=")</f>
        <v>#VALUE!</v>
      </c>
      <c r="CK312" t="e">
        <f>AND('STERLING CATALOG - FZN &amp; CHILL'!C1573,"AAAAAHf/+1g=")</f>
        <v>#VALUE!</v>
      </c>
      <c r="CL312" t="e">
        <f>AND('STERLING CATALOG - FZN &amp; CHILL'!D1573,"AAAAAHf/+1k=")</f>
        <v>#VALUE!</v>
      </c>
      <c r="CM312" t="e">
        <f>AND('STERLING CATALOG - FZN &amp; CHILL'!E1573,"AAAAAHf/+1o=")</f>
        <v>#VALUE!</v>
      </c>
      <c r="CN312" t="e">
        <f>AND('STERLING CATALOG - FZN &amp; CHILL'!F1573,"AAAAAHf/+1s=")</f>
        <v>#VALUE!</v>
      </c>
      <c r="CO312" t="e">
        <f>AND('STERLING CATALOG - FZN &amp; CHILL'!G1573,"AAAAAHf/+1w=")</f>
        <v>#VALUE!</v>
      </c>
      <c r="CP312" t="e">
        <f>AND('STERLING CATALOG - FZN &amp; CHILL'!H1573,"AAAAAHf/+10=")</f>
        <v>#VALUE!</v>
      </c>
      <c r="CQ312" t="e">
        <f>AND('STERLING CATALOG - FZN &amp; CHILL'!I1573,"AAAAAHf/+14=")</f>
        <v>#VALUE!</v>
      </c>
      <c r="CR312" t="e">
        <f>AND('STERLING CATALOG - FZN &amp; CHILL'!J1573,"AAAAAHf/+18=")</f>
        <v>#VALUE!</v>
      </c>
      <c r="CS312">
        <f>IF('STERLING CATALOG - FZN &amp; CHILL'!1574:1574,"AAAAAHf/+2A=",0)</f>
        <v>0</v>
      </c>
      <c r="CT312" t="e">
        <f>AND('STERLING CATALOG - FZN &amp; CHILL'!A1574,"AAAAAHf/+2E=")</f>
        <v>#VALUE!</v>
      </c>
      <c r="CU312" t="e">
        <f>AND('STERLING CATALOG - FZN &amp; CHILL'!B1574,"AAAAAHf/+2I=")</f>
        <v>#VALUE!</v>
      </c>
      <c r="CV312" t="e">
        <f>AND('STERLING CATALOG - FZN &amp; CHILL'!C1574,"AAAAAHf/+2M=")</f>
        <v>#VALUE!</v>
      </c>
      <c r="CW312" t="e">
        <f>AND('STERLING CATALOG - FZN &amp; CHILL'!D1574,"AAAAAHf/+2Q=")</f>
        <v>#VALUE!</v>
      </c>
      <c r="CX312" t="e">
        <f>AND('STERLING CATALOG - FZN &amp; CHILL'!E1574,"AAAAAHf/+2U=")</f>
        <v>#VALUE!</v>
      </c>
      <c r="CY312" t="e">
        <f>AND('STERLING CATALOG - FZN &amp; CHILL'!F1574,"AAAAAHf/+2Y=")</f>
        <v>#VALUE!</v>
      </c>
      <c r="CZ312" t="e">
        <f>AND('STERLING CATALOG - FZN &amp; CHILL'!G1574,"AAAAAHf/+2c=")</f>
        <v>#VALUE!</v>
      </c>
      <c r="DA312" t="e">
        <f>AND('STERLING CATALOG - FZN &amp; CHILL'!H1574,"AAAAAHf/+2g=")</f>
        <v>#VALUE!</v>
      </c>
      <c r="DB312" t="e">
        <f>AND('STERLING CATALOG - FZN &amp; CHILL'!I1574,"AAAAAHf/+2k=")</f>
        <v>#VALUE!</v>
      </c>
      <c r="DC312" t="e">
        <f>AND('STERLING CATALOG - FZN &amp; CHILL'!J1574,"AAAAAHf/+2o=")</f>
        <v>#VALUE!</v>
      </c>
      <c r="DD312">
        <f>IF('STERLING CATALOG - FZN &amp; CHILL'!1575:1575,"AAAAAHf/+2s=",0)</f>
        <v>0</v>
      </c>
      <c r="DE312" t="e">
        <f>AND('STERLING CATALOG - FZN &amp; CHILL'!A1575,"AAAAAHf/+2w=")</f>
        <v>#VALUE!</v>
      </c>
      <c r="DF312" t="e">
        <f>AND('STERLING CATALOG - FZN &amp; CHILL'!B1575,"AAAAAHf/+20=")</f>
        <v>#VALUE!</v>
      </c>
      <c r="DG312" t="e">
        <f>AND('STERLING CATALOG - FZN &amp; CHILL'!C1575,"AAAAAHf/+24=")</f>
        <v>#VALUE!</v>
      </c>
      <c r="DH312" t="e">
        <f>AND('STERLING CATALOG - FZN &amp; CHILL'!D1575,"AAAAAHf/+28=")</f>
        <v>#VALUE!</v>
      </c>
      <c r="DI312" t="e">
        <f>AND('STERLING CATALOG - FZN &amp; CHILL'!E1575,"AAAAAHf/+3A=")</f>
        <v>#VALUE!</v>
      </c>
      <c r="DJ312" t="e">
        <f>AND('STERLING CATALOG - FZN &amp; CHILL'!F1575,"AAAAAHf/+3E=")</f>
        <v>#VALUE!</v>
      </c>
      <c r="DK312" t="e">
        <f>AND('STERLING CATALOG - FZN &amp; CHILL'!G1575,"AAAAAHf/+3I=")</f>
        <v>#VALUE!</v>
      </c>
      <c r="DL312" t="e">
        <f>AND('STERLING CATALOG - FZN &amp; CHILL'!H1575,"AAAAAHf/+3M=")</f>
        <v>#VALUE!</v>
      </c>
      <c r="DM312" t="e">
        <f>AND('STERLING CATALOG - FZN &amp; CHILL'!I1575,"AAAAAHf/+3Q=")</f>
        <v>#VALUE!</v>
      </c>
      <c r="DN312" t="e">
        <f>AND('STERLING CATALOG - FZN &amp; CHILL'!J1575,"AAAAAHf/+3U=")</f>
        <v>#VALUE!</v>
      </c>
      <c r="DO312">
        <f>IF('STERLING CATALOG - FZN &amp; CHILL'!1576:1576,"AAAAAHf/+3Y=",0)</f>
        <v>0</v>
      </c>
      <c r="DP312" t="e">
        <f>AND('STERLING CATALOG - FZN &amp; CHILL'!A1576,"AAAAAHf/+3c=")</f>
        <v>#VALUE!</v>
      </c>
      <c r="DQ312" t="e">
        <f>AND('STERLING CATALOG - FZN &amp; CHILL'!B1576,"AAAAAHf/+3g=")</f>
        <v>#VALUE!</v>
      </c>
      <c r="DR312" t="e">
        <f>AND('STERLING CATALOG - FZN &amp; CHILL'!C1576,"AAAAAHf/+3k=")</f>
        <v>#VALUE!</v>
      </c>
      <c r="DS312" t="e">
        <f>AND('STERLING CATALOG - FZN &amp; CHILL'!D1576,"AAAAAHf/+3o=")</f>
        <v>#VALUE!</v>
      </c>
      <c r="DT312" t="e">
        <f>AND('STERLING CATALOG - FZN &amp; CHILL'!E1576,"AAAAAHf/+3s=")</f>
        <v>#VALUE!</v>
      </c>
      <c r="DU312" t="e">
        <f>AND('STERLING CATALOG - FZN &amp; CHILL'!F1576,"AAAAAHf/+3w=")</f>
        <v>#VALUE!</v>
      </c>
      <c r="DV312" t="e">
        <f>AND('STERLING CATALOG - FZN &amp; CHILL'!G1576,"AAAAAHf/+30=")</f>
        <v>#VALUE!</v>
      </c>
      <c r="DW312" t="e">
        <f>AND('STERLING CATALOG - FZN &amp; CHILL'!H1576,"AAAAAHf/+34=")</f>
        <v>#VALUE!</v>
      </c>
      <c r="DX312" t="e">
        <f>AND('STERLING CATALOG - FZN &amp; CHILL'!I1576,"AAAAAHf/+38=")</f>
        <v>#VALUE!</v>
      </c>
      <c r="DY312" t="e">
        <f>AND('STERLING CATALOG - FZN &amp; CHILL'!J1576,"AAAAAHf/+4A=")</f>
        <v>#VALUE!</v>
      </c>
      <c r="DZ312">
        <f>IF('STERLING CATALOG - FZN &amp; CHILL'!1577:1577,"AAAAAHf/+4E=",0)</f>
        <v>0</v>
      </c>
      <c r="EA312" t="e">
        <f>AND('STERLING CATALOG - FZN &amp; CHILL'!A1577,"AAAAAHf/+4I=")</f>
        <v>#VALUE!</v>
      </c>
      <c r="EB312" t="e">
        <f>AND('STERLING CATALOG - FZN &amp; CHILL'!B1577,"AAAAAHf/+4M=")</f>
        <v>#VALUE!</v>
      </c>
      <c r="EC312" t="e">
        <f>AND('STERLING CATALOG - FZN &amp; CHILL'!C1577,"AAAAAHf/+4Q=")</f>
        <v>#VALUE!</v>
      </c>
      <c r="ED312" t="e">
        <f>AND('STERLING CATALOG - FZN &amp; CHILL'!D1577,"AAAAAHf/+4U=")</f>
        <v>#VALUE!</v>
      </c>
      <c r="EE312" t="e">
        <f>AND('STERLING CATALOG - FZN &amp; CHILL'!E1577,"AAAAAHf/+4Y=")</f>
        <v>#VALUE!</v>
      </c>
      <c r="EF312" t="e">
        <f>AND('STERLING CATALOG - FZN &amp; CHILL'!F1577,"AAAAAHf/+4c=")</f>
        <v>#VALUE!</v>
      </c>
      <c r="EG312" t="e">
        <f>AND('STERLING CATALOG - FZN &amp; CHILL'!G1577,"AAAAAHf/+4g=")</f>
        <v>#VALUE!</v>
      </c>
      <c r="EH312" t="e">
        <f>AND('STERLING CATALOG - FZN &amp; CHILL'!H1577,"AAAAAHf/+4k=")</f>
        <v>#VALUE!</v>
      </c>
      <c r="EI312" t="e">
        <f>AND('STERLING CATALOG - FZN &amp; CHILL'!I1577,"AAAAAHf/+4o=")</f>
        <v>#VALUE!</v>
      </c>
      <c r="EJ312" t="e">
        <f>AND('STERLING CATALOG - FZN &amp; CHILL'!J1577,"AAAAAHf/+4s=")</f>
        <v>#VALUE!</v>
      </c>
      <c r="EK312">
        <f>IF('STERLING CATALOG - FZN &amp; CHILL'!1578:1578,"AAAAAHf/+4w=",0)</f>
        <v>0</v>
      </c>
      <c r="EL312" t="e">
        <f>AND('STERLING CATALOG - FZN &amp; CHILL'!A1578,"AAAAAHf/+40=")</f>
        <v>#VALUE!</v>
      </c>
      <c r="EM312" t="e">
        <f>AND('STERLING CATALOG - FZN &amp; CHILL'!B1578,"AAAAAHf/+44=")</f>
        <v>#VALUE!</v>
      </c>
      <c r="EN312" t="e">
        <f>AND('STERLING CATALOG - FZN &amp; CHILL'!C1578,"AAAAAHf/+48=")</f>
        <v>#VALUE!</v>
      </c>
      <c r="EO312" t="e">
        <f>AND('STERLING CATALOG - FZN &amp; CHILL'!D1578,"AAAAAHf/+5A=")</f>
        <v>#VALUE!</v>
      </c>
      <c r="EP312" t="e">
        <f>AND('STERLING CATALOG - FZN &amp; CHILL'!E1578,"AAAAAHf/+5E=")</f>
        <v>#VALUE!</v>
      </c>
      <c r="EQ312" t="e">
        <f>AND('STERLING CATALOG - FZN &amp; CHILL'!F1578,"AAAAAHf/+5I=")</f>
        <v>#VALUE!</v>
      </c>
      <c r="ER312" t="e">
        <f>AND('STERLING CATALOG - FZN &amp; CHILL'!G1578,"AAAAAHf/+5M=")</f>
        <v>#VALUE!</v>
      </c>
      <c r="ES312" t="e">
        <f>AND('STERLING CATALOG - FZN &amp; CHILL'!H1578,"AAAAAHf/+5Q=")</f>
        <v>#VALUE!</v>
      </c>
      <c r="ET312" t="e">
        <f>AND('STERLING CATALOG - FZN &amp; CHILL'!I1578,"AAAAAHf/+5U=")</f>
        <v>#VALUE!</v>
      </c>
      <c r="EU312" t="e">
        <f>AND('STERLING CATALOG - FZN &amp; CHILL'!J1578,"AAAAAHf/+5Y=")</f>
        <v>#VALUE!</v>
      </c>
      <c r="EV312">
        <f>IF('STERLING CATALOG - FZN &amp; CHILL'!1579:1579,"AAAAAHf/+5c=",0)</f>
        <v>0</v>
      </c>
      <c r="EW312" t="e">
        <f>AND('STERLING CATALOG - FZN &amp; CHILL'!A1579,"AAAAAHf/+5g=")</f>
        <v>#VALUE!</v>
      </c>
      <c r="EX312" t="e">
        <f>AND('STERLING CATALOG - FZN &amp; CHILL'!B1579,"AAAAAHf/+5k=")</f>
        <v>#VALUE!</v>
      </c>
      <c r="EY312" t="e">
        <f>AND('STERLING CATALOG - FZN &amp; CHILL'!C1579,"AAAAAHf/+5o=")</f>
        <v>#VALUE!</v>
      </c>
      <c r="EZ312" t="e">
        <f>AND('STERLING CATALOG - FZN &amp; CHILL'!D1579,"AAAAAHf/+5s=")</f>
        <v>#VALUE!</v>
      </c>
      <c r="FA312" t="e">
        <f>AND('STERLING CATALOG - FZN &amp; CHILL'!E1579,"AAAAAHf/+5w=")</f>
        <v>#VALUE!</v>
      </c>
      <c r="FB312" t="e">
        <f>AND('STERLING CATALOG - FZN &amp; CHILL'!F1579,"AAAAAHf/+50=")</f>
        <v>#VALUE!</v>
      </c>
      <c r="FC312" t="e">
        <f>AND('STERLING CATALOG - FZN &amp; CHILL'!G1579,"AAAAAHf/+54=")</f>
        <v>#VALUE!</v>
      </c>
      <c r="FD312" t="e">
        <f>AND('STERLING CATALOG - FZN &amp; CHILL'!H1579,"AAAAAHf/+58=")</f>
        <v>#VALUE!</v>
      </c>
      <c r="FE312" t="e">
        <f>AND('STERLING CATALOG - FZN &amp; CHILL'!I1579,"AAAAAHf/+6A=")</f>
        <v>#VALUE!</v>
      </c>
      <c r="FF312" t="e">
        <f>AND('STERLING CATALOG - FZN &amp; CHILL'!J1579,"AAAAAHf/+6E=")</f>
        <v>#VALUE!</v>
      </c>
      <c r="FG312">
        <f>IF('STERLING CATALOG - FZN &amp; CHILL'!1580:1580,"AAAAAHf/+6I=",0)</f>
        <v>0</v>
      </c>
      <c r="FH312" t="e">
        <f>AND('STERLING CATALOG - FZN &amp; CHILL'!A1580,"AAAAAHf/+6M=")</f>
        <v>#VALUE!</v>
      </c>
      <c r="FI312" t="e">
        <f>AND('STERLING CATALOG - FZN &amp; CHILL'!B1580,"AAAAAHf/+6Q=")</f>
        <v>#VALUE!</v>
      </c>
      <c r="FJ312" t="e">
        <f>AND('STERLING CATALOG - FZN &amp; CHILL'!C1580,"AAAAAHf/+6U=")</f>
        <v>#VALUE!</v>
      </c>
      <c r="FK312" t="e">
        <f>AND('STERLING CATALOG - FZN &amp; CHILL'!D1580,"AAAAAHf/+6Y=")</f>
        <v>#VALUE!</v>
      </c>
      <c r="FL312" t="e">
        <f>AND('STERLING CATALOG - FZN &amp; CHILL'!E1580,"AAAAAHf/+6c=")</f>
        <v>#VALUE!</v>
      </c>
      <c r="FM312" t="e">
        <f>AND('STERLING CATALOG - FZN &amp; CHILL'!F1580,"AAAAAHf/+6g=")</f>
        <v>#VALUE!</v>
      </c>
      <c r="FN312" t="e">
        <f>AND('STERLING CATALOG - FZN &amp; CHILL'!G1580,"AAAAAHf/+6k=")</f>
        <v>#VALUE!</v>
      </c>
      <c r="FO312" t="e">
        <f>AND('STERLING CATALOG - FZN &amp; CHILL'!H1580,"AAAAAHf/+6o=")</f>
        <v>#VALUE!</v>
      </c>
      <c r="FP312" t="e">
        <f>AND('STERLING CATALOG - FZN &amp; CHILL'!I1580,"AAAAAHf/+6s=")</f>
        <v>#VALUE!</v>
      </c>
      <c r="FQ312" t="e">
        <f>AND('STERLING CATALOG - FZN &amp; CHILL'!J1580,"AAAAAHf/+6w=")</f>
        <v>#VALUE!</v>
      </c>
      <c r="FR312">
        <f>IF('STERLING CATALOG - FZN &amp; CHILL'!1581:1581,"AAAAAHf/+60=",0)</f>
        <v>0</v>
      </c>
      <c r="FS312" t="e">
        <f>AND('STERLING CATALOG - FZN &amp; CHILL'!A1581,"AAAAAHf/+64=")</f>
        <v>#VALUE!</v>
      </c>
      <c r="FT312" t="e">
        <f>AND('STERLING CATALOG - FZN &amp; CHILL'!B1581,"AAAAAHf/+68=")</f>
        <v>#VALUE!</v>
      </c>
      <c r="FU312" t="e">
        <f>AND('STERLING CATALOG - FZN &amp; CHILL'!C1581,"AAAAAHf/+7A=")</f>
        <v>#VALUE!</v>
      </c>
      <c r="FV312" t="e">
        <f>AND('STERLING CATALOG - FZN &amp; CHILL'!D1581,"AAAAAHf/+7E=")</f>
        <v>#VALUE!</v>
      </c>
      <c r="FW312" t="e">
        <f>AND('STERLING CATALOG - FZN &amp; CHILL'!E1581,"AAAAAHf/+7I=")</f>
        <v>#VALUE!</v>
      </c>
      <c r="FX312" t="e">
        <f>AND('STERLING CATALOG - FZN &amp; CHILL'!F1581,"AAAAAHf/+7M=")</f>
        <v>#VALUE!</v>
      </c>
      <c r="FY312" t="e">
        <f>AND('STERLING CATALOG - FZN &amp; CHILL'!G1581,"AAAAAHf/+7Q=")</f>
        <v>#VALUE!</v>
      </c>
      <c r="FZ312" t="e">
        <f>AND('STERLING CATALOG - FZN &amp; CHILL'!H1581,"AAAAAHf/+7U=")</f>
        <v>#VALUE!</v>
      </c>
      <c r="GA312" t="e">
        <f>AND('STERLING CATALOG - FZN &amp; CHILL'!I1581,"AAAAAHf/+7Y=")</f>
        <v>#VALUE!</v>
      </c>
      <c r="GB312" t="e">
        <f>AND('STERLING CATALOG - FZN &amp; CHILL'!J1581,"AAAAAHf/+7c=")</f>
        <v>#VALUE!</v>
      </c>
      <c r="GC312">
        <f>IF('STERLING CATALOG - FZN &amp; CHILL'!1582:1582,"AAAAAHf/+7g=",0)</f>
        <v>0</v>
      </c>
      <c r="GD312" t="e">
        <f>AND('STERLING CATALOG - FZN &amp; CHILL'!A1582,"AAAAAHf/+7k=")</f>
        <v>#VALUE!</v>
      </c>
      <c r="GE312" t="e">
        <f>AND('STERLING CATALOG - FZN &amp; CHILL'!B1582,"AAAAAHf/+7o=")</f>
        <v>#VALUE!</v>
      </c>
      <c r="GF312" t="e">
        <f>AND('STERLING CATALOG - FZN &amp; CHILL'!C1582,"AAAAAHf/+7s=")</f>
        <v>#VALUE!</v>
      </c>
      <c r="GG312" t="e">
        <f>AND('STERLING CATALOG - FZN &amp; CHILL'!D1582,"AAAAAHf/+7w=")</f>
        <v>#VALUE!</v>
      </c>
      <c r="GH312" t="e">
        <f>AND('STERLING CATALOG - FZN &amp; CHILL'!E1582,"AAAAAHf/+70=")</f>
        <v>#VALUE!</v>
      </c>
      <c r="GI312" t="e">
        <f>AND('STERLING CATALOG - FZN &amp; CHILL'!F1582,"AAAAAHf/+74=")</f>
        <v>#VALUE!</v>
      </c>
      <c r="GJ312" t="e">
        <f>AND('STERLING CATALOG - FZN &amp; CHILL'!G1582,"AAAAAHf/+78=")</f>
        <v>#VALUE!</v>
      </c>
      <c r="GK312" t="e">
        <f>AND('STERLING CATALOG - FZN &amp; CHILL'!H1582,"AAAAAHf/+8A=")</f>
        <v>#VALUE!</v>
      </c>
      <c r="GL312" t="e">
        <f>AND('STERLING CATALOG - FZN &amp; CHILL'!I1582,"AAAAAHf/+8E=")</f>
        <v>#VALUE!</v>
      </c>
      <c r="GM312" t="e">
        <f>AND('STERLING CATALOG - FZN &amp; CHILL'!J1582,"AAAAAHf/+8I=")</f>
        <v>#VALUE!</v>
      </c>
      <c r="GN312">
        <f>IF('STERLING CATALOG - FZN &amp; CHILL'!1583:1583,"AAAAAHf/+8M=",0)</f>
        <v>0</v>
      </c>
      <c r="GO312" t="e">
        <f>AND('STERLING CATALOG - FZN &amp; CHILL'!A1583,"AAAAAHf/+8Q=")</f>
        <v>#VALUE!</v>
      </c>
      <c r="GP312" t="e">
        <f>AND('STERLING CATALOG - FZN &amp; CHILL'!B1583,"AAAAAHf/+8U=")</f>
        <v>#VALUE!</v>
      </c>
      <c r="GQ312" t="e">
        <f>AND('STERLING CATALOG - FZN &amp; CHILL'!C1583,"AAAAAHf/+8Y=")</f>
        <v>#VALUE!</v>
      </c>
      <c r="GR312" t="e">
        <f>AND('STERLING CATALOG - FZN &amp; CHILL'!D1583,"AAAAAHf/+8c=")</f>
        <v>#VALUE!</v>
      </c>
      <c r="GS312" t="e">
        <f>AND('STERLING CATALOG - FZN &amp; CHILL'!E1583,"AAAAAHf/+8g=")</f>
        <v>#VALUE!</v>
      </c>
      <c r="GT312" t="e">
        <f>AND('STERLING CATALOG - FZN &amp; CHILL'!F1583,"AAAAAHf/+8k=")</f>
        <v>#VALUE!</v>
      </c>
      <c r="GU312" t="e">
        <f>AND('STERLING CATALOG - FZN &amp; CHILL'!G1583,"AAAAAHf/+8o=")</f>
        <v>#VALUE!</v>
      </c>
      <c r="GV312" t="e">
        <f>AND('STERLING CATALOG - FZN &amp; CHILL'!H1583,"AAAAAHf/+8s=")</f>
        <v>#VALUE!</v>
      </c>
      <c r="GW312" t="e">
        <f>AND('STERLING CATALOG - FZN &amp; CHILL'!I1583,"AAAAAHf/+8w=")</f>
        <v>#VALUE!</v>
      </c>
      <c r="GX312" t="e">
        <f>AND('STERLING CATALOG - FZN &amp; CHILL'!J1583,"AAAAAHf/+80=")</f>
        <v>#VALUE!</v>
      </c>
      <c r="GY312">
        <f>IF('STERLING CATALOG - FZN &amp; CHILL'!1584:1584,"AAAAAHf/+84=",0)</f>
        <v>0</v>
      </c>
      <c r="GZ312" t="e">
        <f>AND('STERLING CATALOG - FZN &amp; CHILL'!A1584,"AAAAAHf/+88=")</f>
        <v>#VALUE!</v>
      </c>
      <c r="HA312" t="e">
        <f>AND('STERLING CATALOG - FZN &amp; CHILL'!B1584,"AAAAAHf/+9A=")</f>
        <v>#VALUE!</v>
      </c>
      <c r="HB312" t="e">
        <f>AND('STERLING CATALOG - FZN &amp; CHILL'!C1584,"AAAAAHf/+9E=")</f>
        <v>#VALUE!</v>
      </c>
      <c r="HC312" t="e">
        <f>AND('STERLING CATALOG - FZN &amp; CHILL'!D1584,"AAAAAHf/+9I=")</f>
        <v>#VALUE!</v>
      </c>
      <c r="HD312" t="e">
        <f>AND('STERLING CATALOG - FZN &amp; CHILL'!E1584,"AAAAAHf/+9M=")</f>
        <v>#VALUE!</v>
      </c>
      <c r="HE312" t="e">
        <f>AND('STERLING CATALOG - FZN &amp; CHILL'!F1584,"AAAAAHf/+9Q=")</f>
        <v>#VALUE!</v>
      </c>
      <c r="HF312" t="e">
        <f>AND('STERLING CATALOG - FZN &amp; CHILL'!G1584,"AAAAAHf/+9U=")</f>
        <v>#VALUE!</v>
      </c>
      <c r="HG312" t="e">
        <f>AND('STERLING CATALOG - FZN &amp; CHILL'!H1584,"AAAAAHf/+9Y=")</f>
        <v>#VALUE!</v>
      </c>
      <c r="HH312" t="e">
        <f>AND('STERLING CATALOG - FZN &amp; CHILL'!I1584,"AAAAAHf/+9c=")</f>
        <v>#VALUE!</v>
      </c>
      <c r="HI312" t="e">
        <f>AND('STERLING CATALOG - FZN &amp; CHILL'!J1584,"AAAAAHf/+9g=")</f>
        <v>#VALUE!</v>
      </c>
      <c r="HJ312">
        <f>IF('STERLING CATALOG - FZN &amp; CHILL'!1585:1585,"AAAAAHf/+9k=",0)</f>
        <v>0</v>
      </c>
      <c r="HK312" t="e">
        <f>AND('STERLING CATALOG - FZN &amp; CHILL'!A1585,"AAAAAHf/+9o=")</f>
        <v>#VALUE!</v>
      </c>
      <c r="HL312" t="e">
        <f>AND('STERLING CATALOG - FZN &amp; CHILL'!B1585,"AAAAAHf/+9s=")</f>
        <v>#VALUE!</v>
      </c>
      <c r="HM312" t="e">
        <f>AND('STERLING CATALOG - FZN &amp; CHILL'!C1585,"AAAAAHf/+9w=")</f>
        <v>#VALUE!</v>
      </c>
      <c r="HN312" t="e">
        <f>AND('STERLING CATALOG - FZN &amp; CHILL'!D1585,"AAAAAHf/+90=")</f>
        <v>#VALUE!</v>
      </c>
      <c r="HO312" t="e">
        <f>AND('STERLING CATALOG - FZN &amp; CHILL'!E1585,"AAAAAHf/+94=")</f>
        <v>#VALUE!</v>
      </c>
      <c r="HP312" t="e">
        <f>AND('STERLING CATALOG - FZN &amp; CHILL'!F1585,"AAAAAHf/+98=")</f>
        <v>#VALUE!</v>
      </c>
      <c r="HQ312" t="e">
        <f>AND('STERLING CATALOG - FZN &amp; CHILL'!G1585,"AAAAAHf/++A=")</f>
        <v>#VALUE!</v>
      </c>
      <c r="HR312" t="e">
        <f>AND('STERLING CATALOG - FZN &amp; CHILL'!H1585,"AAAAAHf/++E=")</f>
        <v>#VALUE!</v>
      </c>
      <c r="HS312" t="e">
        <f>AND('STERLING CATALOG - FZN &amp; CHILL'!I1585,"AAAAAHf/++I=")</f>
        <v>#VALUE!</v>
      </c>
      <c r="HT312" t="e">
        <f>AND('STERLING CATALOG - FZN &amp; CHILL'!J1585,"AAAAAHf/++M=")</f>
        <v>#VALUE!</v>
      </c>
      <c r="HU312">
        <f>IF('STERLING CATALOG - FZN &amp; CHILL'!1586:1586,"AAAAAHf/++Q=",0)</f>
        <v>0</v>
      </c>
      <c r="HV312" t="e">
        <f>AND('STERLING CATALOG - FZN &amp; CHILL'!A1586,"AAAAAHf/++U=")</f>
        <v>#VALUE!</v>
      </c>
      <c r="HW312" t="e">
        <f>AND('STERLING CATALOG - FZN &amp; CHILL'!B1586,"AAAAAHf/++Y=")</f>
        <v>#VALUE!</v>
      </c>
      <c r="HX312" t="e">
        <f>AND('STERLING CATALOG - FZN &amp; CHILL'!C1586,"AAAAAHf/++c=")</f>
        <v>#VALUE!</v>
      </c>
      <c r="HY312" t="e">
        <f>AND('STERLING CATALOG - FZN &amp; CHILL'!D1586,"AAAAAHf/++g=")</f>
        <v>#VALUE!</v>
      </c>
      <c r="HZ312" t="e">
        <f>AND('STERLING CATALOG - FZN &amp; CHILL'!E1586,"AAAAAHf/++k=")</f>
        <v>#VALUE!</v>
      </c>
      <c r="IA312" t="e">
        <f>AND('STERLING CATALOG - FZN &amp; CHILL'!F1586,"AAAAAHf/++o=")</f>
        <v>#VALUE!</v>
      </c>
      <c r="IB312" t="e">
        <f>AND('STERLING CATALOG - FZN &amp; CHILL'!G1586,"AAAAAHf/++s=")</f>
        <v>#VALUE!</v>
      </c>
      <c r="IC312" t="e">
        <f>AND('STERLING CATALOG - FZN &amp; CHILL'!H1586,"AAAAAHf/++w=")</f>
        <v>#VALUE!</v>
      </c>
      <c r="ID312" t="e">
        <f>AND('STERLING CATALOG - FZN &amp; CHILL'!I1586,"AAAAAHf/++0=")</f>
        <v>#VALUE!</v>
      </c>
      <c r="IE312" t="e">
        <f>AND('STERLING CATALOG - FZN &amp; CHILL'!J1586,"AAAAAHf/++4=")</f>
        <v>#VALUE!</v>
      </c>
      <c r="IF312">
        <f>IF('STERLING CATALOG - FZN &amp; CHILL'!1587:1587,"AAAAAHf/++8=",0)</f>
        <v>0</v>
      </c>
      <c r="IG312" t="e">
        <f>AND('STERLING CATALOG - FZN &amp; CHILL'!A1587,"AAAAAHf/+/A=")</f>
        <v>#VALUE!</v>
      </c>
      <c r="IH312" t="e">
        <f>AND('STERLING CATALOG - FZN &amp; CHILL'!B1587,"AAAAAHf/+/E=")</f>
        <v>#VALUE!</v>
      </c>
      <c r="II312" t="e">
        <f>AND('STERLING CATALOG - FZN &amp; CHILL'!C1587,"AAAAAHf/+/I=")</f>
        <v>#VALUE!</v>
      </c>
      <c r="IJ312" t="e">
        <f>AND('STERLING CATALOG - FZN &amp; CHILL'!D1587,"AAAAAHf/+/M=")</f>
        <v>#VALUE!</v>
      </c>
      <c r="IK312" t="e">
        <f>AND('STERLING CATALOG - FZN &amp; CHILL'!E1587,"AAAAAHf/+/Q=")</f>
        <v>#VALUE!</v>
      </c>
      <c r="IL312" t="e">
        <f>AND('STERLING CATALOG - FZN &amp; CHILL'!F1587,"AAAAAHf/+/U=")</f>
        <v>#VALUE!</v>
      </c>
      <c r="IM312" t="e">
        <f>AND('STERLING CATALOG - FZN &amp; CHILL'!G1587,"AAAAAHf/+/Y=")</f>
        <v>#VALUE!</v>
      </c>
      <c r="IN312" t="e">
        <f>AND('STERLING CATALOG - FZN &amp; CHILL'!H1587,"AAAAAHf/+/c=")</f>
        <v>#VALUE!</v>
      </c>
      <c r="IO312" t="e">
        <f>AND('STERLING CATALOG - FZN &amp; CHILL'!I1587,"AAAAAHf/+/g=")</f>
        <v>#VALUE!</v>
      </c>
      <c r="IP312" t="e">
        <f>AND('STERLING CATALOG - FZN &amp; CHILL'!J1587,"AAAAAHf/+/k=")</f>
        <v>#VALUE!</v>
      </c>
      <c r="IQ312">
        <f>IF('STERLING CATALOG - FZN &amp; CHILL'!1588:1588,"AAAAAHf/+/o=",0)</f>
        <v>0</v>
      </c>
      <c r="IR312" t="e">
        <f>AND('STERLING CATALOG - FZN &amp; CHILL'!A1588,"AAAAAHf/+/s=")</f>
        <v>#VALUE!</v>
      </c>
      <c r="IS312" t="e">
        <f>AND('STERLING CATALOG - FZN &amp; CHILL'!B1588,"AAAAAHf/+/w=")</f>
        <v>#VALUE!</v>
      </c>
      <c r="IT312" t="e">
        <f>AND('STERLING CATALOG - FZN &amp; CHILL'!C1588,"AAAAAHf/+/0=")</f>
        <v>#VALUE!</v>
      </c>
      <c r="IU312" t="e">
        <f>AND('STERLING CATALOG - FZN &amp; CHILL'!D1588,"AAAAAHf/+/4=")</f>
        <v>#VALUE!</v>
      </c>
      <c r="IV312" t="e">
        <f>AND('STERLING CATALOG - FZN &amp; CHILL'!E1588,"AAAAAHf/+/8=")</f>
        <v>#VALUE!</v>
      </c>
    </row>
    <row r="313" spans="1:256">
      <c r="A313" t="e">
        <f>AND('STERLING CATALOG - FZN &amp; CHILL'!F1588,"AAAAAE5kNAA=")</f>
        <v>#VALUE!</v>
      </c>
      <c r="B313" t="e">
        <f>AND('STERLING CATALOG - FZN &amp; CHILL'!G1588,"AAAAAE5kNAE=")</f>
        <v>#VALUE!</v>
      </c>
      <c r="C313" t="e">
        <f>AND('STERLING CATALOG - FZN &amp; CHILL'!H1588,"AAAAAE5kNAI=")</f>
        <v>#VALUE!</v>
      </c>
      <c r="D313" t="e">
        <f>AND('STERLING CATALOG - FZN &amp; CHILL'!I1588,"AAAAAE5kNAM=")</f>
        <v>#VALUE!</v>
      </c>
      <c r="E313" t="e">
        <f>AND('STERLING CATALOG - FZN &amp; CHILL'!J1588,"AAAAAE5kNAQ=")</f>
        <v>#VALUE!</v>
      </c>
      <c r="F313" t="str">
        <f>IF('STERLING CATALOG - FZN &amp; CHILL'!1589:1589,"AAAAAE5kNAU=",0)</f>
        <v>AAAAAE5kNAU=</v>
      </c>
      <c r="G313" t="e">
        <f>AND('STERLING CATALOG - FZN &amp; CHILL'!A1589,"AAAAAE5kNAY=")</f>
        <v>#VALUE!</v>
      </c>
      <c r="H313" t="e">
        <f>AND('STERLING CATALOG - FZN &amp; CHILL'!B1589,"AAAAAE5kNAc=")</f>
        <v>#VALUE!</v>
      </c>
      <c r="I313" t="e">
        <f>AND('STERLING CATALOG - FZN &amp; CHILL'!C1589,"AAAAAE5kNAg=")</f>
        <v>#VALUE!</v>
      </c>
      <c r="J313" t="e">
        <f>AND('STERLING CATALOG - FZN &amp; CHILL'!D1589,"AAAAAE5kNAk=")</f>
        <v>#VALUE!</v>
      </c>
      <c r="K313" t="e">
        <f>AND('STERLING CATALOG - FZN &amp; CHILL'!E1589,"AAAAAE5kNAo=")</f>
        <v>#VALUE!</v>
      </c>
      <c r="L313" t="e">
        <f>AND('STERLING CATALOG - FZN &amp; CHILL'!F1589,"AAAAAE5kNAs=")</f>
        <v>#VALUE!</v>
      </c>
      <c r="M313" t="e">
        <f>AND('STERLING CATALOG - FZN &amp; CHILL'!G1589,"AAAAAE5kNAw=")</f>
        <v>#VALUE!</v>
      </c>
      <c r="N313" t="e">
        <f>AND('STERLING CATALOG - FZN &amp; CHILL'!H1589,"AAAAAE5kNA0=")</f>
        <v>#VALUE!</v>
      </c>
      <c r="O313" t="e">
        <f>AND('STERLING CATALOG - FZN &amp; CHILL'!I1589,"AAAAAE5kNA4=")</f>
        <v>#VALUE!</v>
      </c>
      <c r="P313" t="e">
        <f>AND('STERLING CATALOG - FZN &amp; CHILL'!J1589,"AAAAAE5kNA8=")</f>
        <v>#VALUE!</v>
      </c>
      <c r="Q313">
        <f>IF('STERLING CATALOG - FZN &amp; CHILL'!1590:1590,"AAAAAE5kNBA=",0)</f>
        <v>0</v>
      </c>
      <c r="R313" t="e">
        <f>AND('STERLING CATALOG - FZN &amp; CHILL'!A1590,"AAAAAE5kNBE=")</f>
        <v>#VALUE!</v>
      </c>
      <c r="S313" t="e">
        <f>AND('STERLING CATALOG - FZN &amp; CHILL'!B1590,"AAAAAE5kNBI=")</f>
        <v>#VALUE!</v>
      </c>
      <c r="T313" t="e">
        <f>AND('STERLING CATALOG - FZN &amp; CHILL'!C1590,"AAAAAE5kNBM=")</f>
        <v>#VALUE!</v>
      </c>
      <c r="U313" t="e">
        <f>AND('STERLING CATALOG - FZN &amp; CHILL'!D1590,"AAAAAE5kNBQ=")</f>
        <v>#VALUE!</v>
      </c>
      <c r="V313" t="e">
        <f>AND('STERLING CATALOG - FZN &amp; CHILL'!E1590,"AAAAAE5kNBU=")</f>
        <v>#VALUE!</v>
      </c>
      <c r="W313" t="e">
        <f>AND('STERLING CATALOG - FZN &amp; CHILL'!F1590,"AAAAAE5kNBY=")</f>
        <v>#VALUE!</v>
      </c>
      <c r="X313" t="e">
        <f>AND('STERLING CATALOG - FZN &amp; CHILL'!G1590,"AAAAAE5kNBc=")</f>
        <v>#VALUE!</v>
      </c>
      <c r="Y313" t="e">
        <f>AND('STERLING CATALOG - FZN &amp; CHILL'!H1590,"AAAAAE5kNBg=")</f>
        <v>#VALUE!</v>
      </c>
      <c r="Z313" t="e">
        <f>AND('STERLING CATALOG - FZN &amp; CHILL'!I1590,"AAAAAE5kNBk=")</f>
        <v>#VALUE!</v>
      </c>
      <c r="AA313" t="e">
        <f>AND('STERLING CATALOG - FZN &amp; CHILL'!J1590,"AAAAAE5kNBo=")</f>
        <v>#VALUE!</v>
      </c>
      <c r="AB313">
        <f>IF('STERLING CATALOG - FZN &amp; CHILL'!1591:1591,"AAAAAE5kNBs=",0)</f>
        <v>0</v>
      </c>
      <c r="AC313" t="e">
        <f>AND('STERLING CATALOG - FZN &amp; CHILL'!A1591,"AAAAAE5kNBw=")</f>
        <v>#VALUE!</v>
      </c>
      <c r="AD313" t="e">
        <f>AND('STERLING CATALOG - FZN &amp; CHILL'!B1591,"AAAAAE5kNB0=")</f>
        <v>#VALUE!</v>
      </c>
      <c r="AE313" t="e">
        <f>AND('STERLING CATALOG - FZN &amp; CHILL'!C1591,"AAAAAE5kNB4=")</f>
        <v>#VALUE!</v>
      </c>
      <c r="AF313" t="e">
        <f>AND('STERLING CATALOG - FZN &amp; CHILL'!D1591,"AAAAAE5kNB8=")</f>
        <v>#VALUE!</v>
      </c>
      <c r="AG313" t="e">
        <f>AND('STERLING CATALOG - FZN &amp; CHILL'!E1591,"AAAAAE5kNCA=")</f>
        <v>#VALUE!</v>
      </c>
      <c r="AH313" t="e">
        <f>AND('STERLING CATALOG - FZN &amp; CHILL'!F1591,"AAAAAE5kNCE=")</f>
        <v>#VALUE!</v>
      </c>
      <c r="AI313" t="e">
        <f>AND('STERLING CATALOG - FZN &amp; CHILL'!G1591,"AAAAAE5kNCI=")</f>
        <v>#VALUE!</v>
      </c>
      <c r="AJ313" t="e">
        <f>AND('STERLING CATALOG - FZN &amp; CHILL'!H1591,"AAAAAE5kNCM=")</f>
        <v>#VALUE!</v>
      </c>
      <c r="AK313" t="e">
        <f>AND('STERLING CATALOG - FZN &amp; CHILL'!I1591,"AAAAAE5kNCQ=")</f>
        <v>#VALUE!</v>
      </c>
      <c r="AL313" t="e">
        <f>AND('STERLING CATALOG - FZN &amp; CHILL'!J1591,"AAAAAE5kNCU=")</f>
        <v>#VALUE!</v>
      </c>
      <c r="AM313">
        <f>IF('STERLING CATALOG - FZN &amp; CHILL'!1592:1592,"AAAAAE5kNCY=",0)</f>
        <v>0</v>
      </c>
      <c r="AN313" t="e">
        <f>AND('STERLING CATALOG - FZN &amp; CHILL'!A1592,"AAAAAE5kNCc=")</f>
        <v>#VALUE!</v>
      </c>
      <c r="AO313" t="e">
        <f>AND('STERLING CATALOG - FZN &amp; CHILL'!B1592,"AAAAAE5kNCg=")</f>
        <v>#VALUE!</v>
      </c>
      <c r="AP313" t="e">
        <f>AND('STERLING CATALOG - FZN &amp; CHILL'!C1592,"AAAAAE5kNCk=")</f>
        <v>#VALUE!</v>
      </c>
      <c r="AQ313" t="e">
        <f>AND('STERLING CATALOG - FZN &amp; CHILL'!D1592,"AAAAAE5kNCo=")</f>
        <v>#VALUE!</v>
      </c>
      <c r="AR313" t="e">
        <f>AND('STERLING CATALOG - FZN &amp; CHILL'!E1592,"AAAAAE5kNCs=")</f>
        <v>#VALUE!</v>
      </c>
      <c r="AS313" t="e">
        <f>AND('STERLING CATALOG - FZN &amp; CHILL'!F1592,"AAAAAE5kNCw=")</f>
        <v>#VALUE!</v>
      </c>
      <c r="AT313" t="e">
        <f>AND('STERLING CATALOG - FZN &amp; CHILL'!G1592,"AAAAAE5kNC0=")</f>
        <v>#VALUE!</v>
      </c>
      <c r="AU313" t="e">
        <f>AND('STERLING CATALOG - FZN &amp; CHILL'!H1592,"AAAAAE5kNC4=")</f>
        <v>#VALUE!</v>
      </c>
      <c r="AV313" t="e">
        <f>AND('STERLING CATALOG - FZN &amp; CHILL'!I1592,"AAAAAE5kNC8=")</f>
        <v>#VALUE!</v>
      </c>
      <c r="AW313" t="e">
        <f>AND('STERLING CATALOG - FZN &amp; CHILL'!J1592,"AAAAAE5kNDA=")</f>
        <v>#VALUE!</v>
      </c>
      <c r="AX313">
        <f>IF('STERLING CATALOG - FZN &amp; CHILL'!1593:1593,"AAAAAE5kNDE=",0)</f>
        <v>0</v>
      </c>
      <c r="AY313" t="e">
        <f>AND('STERLING CATALOG - FZN &amp; CHILL'!A1593,"AAAAAE5kNDI=")</f>
        <v>#VALUE!</v>
      </c>
      <c r="AZ313" t="e">
        <f>AND('STERLING CATALOG - FZN &amp; CHILL'!B1593,"AAAAAE5kNDM=")</f>
        <v>#VALUE!</v>
      </c>
      <c r="BA313" t="e">
        <f>AND('STERLING CATALOG - FZN &amp; CHILL'!C1593,"AAAAAE5kNDQ=")</f>
        <v>#VALUE!</v>
      </c>
      <c r="BB313" t="e">
        <f>AND('STERLING CATALOG - FZN &amp; CHILL'!D1593,"AAAAAE5kNDU=")</f>
        <v>#VALUE!</v>
      </c>
      <c r="BC313" t="e">
        <f>AND('STERLING CATALOG - FZN &amp; CHILL'!E1593,"AAAAAE5kNDY=")</f>
        <v>#VALUE!</v>
      </c>
      <c r="BD313" t="e">
        <f>AND('STERLING CATALOG - FZN &amp; CHILL'!F1593,"AAAAAE5kNDc=")</f>
        <v>#VALUE!</v>
      </c>
      <c r="BE313" t="e">
        <f>AND('STERLING CATALOG - FZN &amp; CHILL'!G1593,"AAAAAE5kNDg=")</f>
        <v>#VALUE!</v>
      </c>
      <c r="BF313" t="e">
        <f>AND('STERLING CATALOG - FZN &amp; CHILL'!H1593,"AAAAAE5kNDk=")</f>
        <v>#VALUE!</v>
      </c>
      <c r="BG313" t="e">
        <f>AND('STERLING CATALOG - FZN &amp; CHILL'!I1593,"AAAAAE5kNDo=")</f>
        <v>#VALUE!</v>
      </c>
      <c r="BH313" t="e">
        <f>AND('STERLING CATALOG - FZN &amp; CHILL'!J1593,"AAAAAE5kNDs=")</f>
        <v>#VALUE!</v>
      </c>
      <c r="BI313">
        <f>IF('STERLING CATALOG - FZN &amp; CHILL'!1594:1594,"AAAAAE5kNDw=",0)</f>
        <v>0</v>
      </c>
      <c r="BJ313" t="e">
        <f>AND('STERLING CATALOG - FZN &amp; CHILL'!A1594,"AAAAAE5kND0=")</f>
        <v>#VALUE!</v>
      </c>
      <c r="BK313" t="e">
        <f>AND('STERLING CATALOG - FZN &amp; CHILL'!B1594,"AAAAAE5kND4=")</f>
        <v>#VALUE!</v>
      </c>
      <c r="BL313" t="e">
        <f>AND('STERLING CATALOG - FZN &amp; CHILL'!C1594,"AAAAAE5kND8=")</f>
        <v>#VALUE!</v>
      </c>
      <c r="BM313" t="e">
        <f>AND('STERLING CATALOG - FZN &amp; CHILL'!D1594,"AAAAAE5kNEA=")</f>
        <v>#VALUE!</v>
      </c>
      <c r="BN313" t="e">
        <f>AND('STERLING CATALOG - FZN &amp; CHILL'!E1594,"AAAAAE5kNEE=")</f>
        <v>#VALUE!</v>
      </c>
      <c r="BO313" t="e">
        <f>AND('STERLING CATALOG - FZN &amp; CHILL'!F1594,"AAAAAE5kNEI=")</f>
        <v>#VALUE!</v>
      </c>
      <c r="BP313" t="e">
        <f>AND('STERLING CATALOG - FZN &amp; CHILL'!G1594,"AAAAAE5kNEM=")</f>
        <v>#VALUE!</v>
      </c>
      <c r="BQ313" t="e">
        <f>AND('STERLING CATALOG - FZN &amp; CHILL'!H1594,"AAAAAE5kNEQ=")</f>
        <v>#VALUE!</v>
      </c>
      <c r="BR313" t="e">
        <f>AND('STERLING CATALOG - FZN &amp; CHILL'!I1594,"AAAAAE5kNEU=")</f>
        <v>#VALUE!</v>
      </c>
      <c r="BS313" t="e">
        <f>AND('STERLING CATALOG - FZN &amp; CHILL'!J1594,"AAAAAE5kNEY=")</f>
        <v>#VALUE!</v>
      </c>
      <c r="BT313">
        <f>IF('STERLING CATALOG - FZN &amp; CHILL'!1595:1595,"AAAAAE5kNEc=",0)</f>
        <v>0</v>
      </c>
      <c r="BU313" t="e">
        <f>AND('STERLING CATALOG - FZN &amp; CHILL'!A1595,"AAAAAE5kNEg=")</f>
        <v>#VALUE!</v>
      </c>
      <c r="BV313" t="e">
        <f>AND('STERLING CATALOG - FZN &amp; CHILL'!B1595,"AAAAAE5kNEk=")</f>
        <v>#VALUE!</v>
      </c>
      <c r="BW313" t="e">
        <f>AND('STERLING CATALOG - FZN &amp; CHILL'!C1595,"AAAAAE5kNEo=")</f>
        <v>#VALUE!</v>
      </c>
      <c r="BX313" t="e">
        <f>AND('STERLING CATALOG - FZN &amp; CHILL'!D1595,"AAAAAE5kNEs=")</f>
        <v>#VALUE!</v>
      </c>
      <c r="BY313" t="e">
        <f>AND('STERLING CATALOG - FZN &amp; CHILL'!E1595,"AAAAAE5kNEw=")</f>
        <v>#VALUE!</v>
      </c>
      <c r="BZ313" t="e">
        <f>AND('STERLING CATALOG - FZN &amp; CHILL'!F1595,"AAAAAE5kNE0=")</f>
        <v>#VALUE!</v>
      </c>
      <c r="CA313" t="e">
        <f>AND('STERLING CATALOG - FZN &amp; CHILL'!G1595,"AAAAAE5kNE4=")</f>
        <v>#VALUE!</v>
      </c>
      <c r="CB313" t="e">
        <f>AND('STERLING CATALOG - FZN &amp; CHILL'!H1595,"AAAAAE5kNE8=")</f>
        <v>#VALUE!</v>
      </c>
      <c r="CC313" t="e">
        <f>AND('STERLING CATALOG - FZN &amp; CHILL'!I1595,"AAAAAE5kNFA=")</f>
        <v>#VALUE!</v>
      </c>
      <c r="CD313" t="e">
        <f>AND('STERLING CATALOG - FZN &amp; CHILL'!J1595,"AAAAAE5kNFE=")</f>
        <v>#VALUE!</v>
      </c>
      <c r="CE313">
        <f>IF('STERLING CATALOG - FZN &amp; CHILL'!1596:1596,"AAAAAE5kNFI=",0)</f>
        <v>0</v>
      </c>
      <c r="CF313" t="e">
        <f>AND('STERLING CATALOG - FZN &amp; CHILL'!A1596,"AAAAAE5kNFM=")</f>
        <v>#VALUE!</v>
      </c>
      <c r="CG313" t="e">
        <f>AND('STERLING CATALOG - FZN &amp; CHILL'!B1596,"AAAAAE5kNFQ=")</f>
        <v>#VALUE!</v>
      </c>
      <c r="CH313" t="e">
        <f>AND('STERLING CATALOG - FZN &amp; CHILL'!C1596,"AAAAAE5kNFU=")</f>
        <v>#VALUE!</v>
      </c>
      <c r="CI313" t="e">
        <f>AND('STERLING CATALOG - FZN &amp; CHILL'!D1596,"AAAAAE5kNFY=")</f>
        <v>#VALUE!</v>
      </c>
      <c r="CJ313" t="e">
        <f>AND('STERLING CATALOG - FZN &amp; CHILL'!E1596,"AAAAAE5kNFc=")</f>
        <v>#VALUE!</v>
      </c>
      <c r="CK313" t="e">
        <f>AND('STERLING CATALOG - FZN &amp; CHILL'!F1596,"AAAAAE5kNFg=")</f>
        <v>#VALUE!</v>
      </c>
      <c r="CL313" t="e">
        <f>AND('STERLING CATALOG - FZN &amp; CHILL'!G1596,"AAAAAE5kNFk=")</f>
        <v>#VALUE!</v>
      </c>
      <c r="CM313" t="e">
        <f>AND('STERLING CATALOG - FZN &amp; CHILL'!H1596,"AAAAAE5kNFo=")</f>
        <v>#VALUE!</v>
      </c>
      <c r="CN313" t="e">
        <f>AND('STERLING CATALOG - FZN &amp; CHILL'!I1596,"AAAAAE5kNFs=")</f>
        <v>#VALUE!</v>
      </c>
      <c r="CO313" t="e">
        <f>AND('STERLING CATALOG - FZN &amp; CHILL'!J1596,"AAAAAE5kNFw=")</f>
        <v>#VALUE!</v>
      </c>
      <c r="CP313">
        <f>IF('STERLING CATALOG - FZN &amp; CHILL'!1597:1597,"AAAAAE5kNF0=",0)</f>
        <v>0</v>
      </c>
      <c r="CQ313" t="e">
        <f>AND('STERLING CATALOG - FZN &amp; CHILL'!A1597,"AAAAAE5kNF4=")</f>
        <v>#VALUE!</v>
      </c>
      <c r="CR313" t="e">
        <f>AND('STERLING CATALOG - FZN &amp; CHILL'!B1597,"AAAAAE5kNF8=")</f>
        <v>#VALUE!</v>
      </c>
      <c r="CS313" t="e">
        <f>AND('STERLING CATALOG - FZN &amp; CHILL'!C1597,"AAAAAE5kNGA=")</f>
        <v>#VALUE!</v>
      </c>
      <c r="CT313" t="e">
        <f>AND('STERLING CATALOG - FZN &amp; CHILL'!D1597,"AAAAAE5kNGE=")</f>
        <v>#VALUE!</v>
      </c>
      <c r="CU313" t="e">
        <f>AND('STERLING CATALOG - FZN &amp; CHILL'!E1597,"AAAAAE5kNGI=")</f>
        <v>#VALUE!</v>
      </c>
      <c r="CV313" t="e">
        <f>AND('STERLING CATALOG - FZN &amp; CHILL'!F1597,"AAAAAE5kNGM=")</f>
        <v>#VALUE!</v>
      </c>
      <c r="CW313" t="e">
        <f>AND('STERLING CATALOG - FZN &amp; CHILL'!G1597,"AAAAAE5kNGQ=")</f>
        <v>#VALUE!</v>
      </c>
      <c r="CX313" t="e">
        <f>AND('STERLING CATALOG - FZN &amp; CHILL'!H1597,"AAAAAE5kNGU=")</f>
        <v>#VALUE!</v>
      </c>
      <c r="CY313" t="e">
        <f>AND('STERLING CATALOG - FZN &amp; CHILL'!I1597,"AAAAAE5kNGY=")</f>
        <v>#VALUE!</v>
      </c>
      <c r="CZ313" t="e">
        <f>AND('STERLING CATALOG - FZN &amp; CHILL'!J1597,"AAAAAE5kNGc=")</f>
        <v>#VALUE!</v>
      </c>
      <c r="DA313">
        <f>IF('STERLING CATALOG - FZN &amp; CHILL'!1598:1598,"AAAAAE5kNGg=",0)</f>
        <v>0</v>
      </c>
      <c r="DB313" t="e">
        <f>AND('STERLING CATALOG - FZN &amp; CHILL'!A1598,"AAAAAE5kNGk=")</f>
        <v>#VALUE!</v>
      </c>
      <c r="DC313" t="e">
        <f>AND('STERLING CATALOG - FZN &amp; CHILL'!B1598,"AAAAAE5kNGo=")</f>
        <v>#VALUE!</v>
      </c>
      <c r="DD313" t="e">
        <f>AND('STERLING CATALOG - FZN &amp; CHILL'!C1598,"AAAAAE5kNGs=")</f>
        <v>#VALUE!</v>
      </c>
      <c r="DE313" t="e">
        <f>AND('STERLING CATALOG - FZN &amp; CHILL'!D1598,"AAAAAE5kNGw=")</f>
        <v>#VALUE!</v>
      </c>
      <c r="DF313" t="e">
        <f>AND('STERLING CATALOG - FZN &amp; CHILL'!E1598,"AAAAAE5kNG0=")</f>
        <v>#VALUE!</v>
      </c>
      <c r="DG313" t="e">
        <f>AND('STERLING CATALOG - FZN &amp; CHILL'!F1598,"AAAAAE5kNG4=")</f>
        <v>#VALUE!</v>
      </c>
      <c r="DH313" t="e">
        <f>AND('STERLING CATALOG - FZN &amp; CHILL'!G1598,"AAAAAE5kNG8=")</f>
        <v>#VALUE!</v>
      </c>
      <c r="DI313" t="e">
        <f>AND('STERLING CATALOG - FZN &amp; CHILL'!H1598,"AAAAAE5kNHA=")</f>
        <v>#VALUE!</v>
      </c>
      <c r="DJ313" t="e">
        <f>AND('STERLING CATALOG - FZN &amp; CHILL'!I1598,"AAAAAE5kNHE=")</f>
        <v>#VALUE!</v>
      </c>
      <c r="DK313" t="e">
        <f>AND('STERLING CATALOG - FZN &amp; CHILL'!J1598,"AAAAAE5kNHI=")</f>
        <v>#VALUE!</v>
      </c>
      <c r="DL313">
        <f>IF('STERLING CATALOG - FZN &amp; CHILL'!1599:1599,"AAAAAE5kNHM=",0)</f>
        <v>0</v>
      </c>
      <c r="DM313" t="e">
        <f>AND('STERLING CATALOG - FZN &amp; CHILL'!A1599,"AAAAAE5kNHQ=")</f>
        <v>#VALUE!</v>
      </c>
      <c r="DN313" t="e">
        <f>AND('STERLING CATALOG - FZN &amp; CHILL'!B1599,"AAAAAE5kNHU=")</f>
        <v>#VALUE!</v>
      </c>
      <c r="DO313" t="e">
        <f>AND('STERLING CATALOG - FZN &amp; CHILL'!C1599,"AAAAAE5kNHY=")</f>
        <v>#VALUE!</v>
      </c>
      <c r="DP313" t="e">
        <f>AND('STERLING CATALOG - FZN &amp; CHILL'!D1599,"AAAAAE5kNHc=")</f>
        <v>#VALUE!</v>
      </c>
      <c r="DQ313" t="e">
        <f>AND('STERLING CATALOG - FZN &amp; CHILL'!E1599,"AAAAAE5kNHg=")</f>
        <v>#VALUE!</v>
      </c>
      <c r="DR313" t="e">
        <f>AND('STERLING CATALOG - FZN &amp; CHILL'!F1599,"AAAAAE5kNHk=")</f>
        <v>#VALUE!</v>
      </c>
      <c r="DS313" t="e">
        <f>AND('STERLING CATALOG - FZN &amp; CHILL'!G1599,"AAAAAE5kNHo=")</f>
        <v>#VALUE!</v>
      </c>
      <c r="DT313" t="e">
        <f>AND('STERLING CATALOG - FZN &amp; CHILL'!H1599,"AAAAAE5kNHs=")</f>
        <v>#VALUE!</v>
      </c>
      <c r="DU313" t="e">
        <f>AND('STERLING CATALOG - FZN &amp; CHILL'!I1599,"AAAAAE5kNHw=")</f>
        <v>#VALUE!</v>
      </c>
      <c r="DV313" t="e">
        <f>AND('STERLING CATALOG - FZN &amp; CHILL'!J1599,"AAAAAE5kNH0=")</f>
        <v>#VALUE!</v>
      </c>
      <c r="DW313">
        <f>IF('STERLING CATALOG - FZN &amp; CHILL'!1600:1600,"AAAAAE5kNH4=",0)</f>
        <v>0</v>
      </c>
      <c r="DX313" t="e">
        <f>AND('STERLING CATALOG - FZN &amp; CHILL'!A1600,"AAAAAE5kNH8=")</f>
        <v>#VALUE!</v>
      </c>
      <c r="DY313" t="e">
        <f>AND('STERLING CATALOG - FZN &amp; CHILL'!B1600,"AAAAAE5kNIA=")</f>
        <v>#VALUE!</v>
      </c>
      <c r="DZ313" t="e">
        <f>AND('STERLING CATALOG - FZN &amp; CHILL'!C1600,"AAAAAE5kNIE=")</f>
        <v>#VALUE!</v>
      </c>
      <c r="EA313" t="e">
        <f>AND('STERLING CATALOG - FZN &amp; CHILL'!D1600,"AAAAAE5kNII=")</f>
        <v>#VALUE!</v>
      </c>
      <c r="EB313" t="e">
        <f>AND('STERLING CATALOG - FZN &amp; CHILL'!E1600,"AAAAAE5kNIM=")</f>
        <v>#VALUE!</v>
      </c>
      <c r="EC313" t="e">
        <f>AND('STERLING CATALOG - FZN &amp; CHILL'!F1600,"AAAAAE5kNIQ=")</f>
        <v>#VALUE!</v>
      </c>
      <c r="ED313" t="e">
        <f>AND('STERLING CATALOG - FZN &amp; CHILL'!G1600,"AAAAAE5kNIU=")</f>
        <v>#VALUE!</v>
      </c>
      <c r="EE313" t="e">
        <f>AND('STERLING CATALOG - FZN &amp; CHILL'!H1600,"AAAAAE5kNIY=")</f>
        <v>#VALUE!</v>
      </c>
      <c r="EF313" t="e">
        <f>AND('STERLING CATALOG - FZN &amp; CHILL'!I1600,"AAAAAE5kNIc=")</f>
        <v>#VALUE!</v>
      </c>
      <c r="EG313" t="e">
        <f>AND('STERLING CATALOG - FZN &amp; CHILL'!J1600,"AAAAAE5kNIg=")</f>
        <v>#VALUE!</v>
      </c>
      <c r="EH313">
        <f>IF('STERLING CATALOG - FZN &amp; CHILL'!1601:1601,"AAAAAE5kNIk=",0)</f>
        <v>0</v>
      </c>
      <c r="EI313" t="e">
        <f>AND('STERLING CATALOG - FZN &amp; CHILL'!A1601,"AAAAAE5kNIo=")</f>
        <v>#VALUE!</v>
      </c>
      <c r="EJ313" t="e">
        <f>AND('STERLING CATALOG - FZN &amp; CHILL'!B1601,"AAAAAE5kNIs=")</f>
        <v>#VALUE!</v>
      </c>
      <c r="EK313" t="e">
        <f>AND('STERLING CATALOG - FZN &amp; CHILL'!C1601,"AAAAAE5kNIw=")</f>
        <v>#VALUE!</v>
      </c>
      <c r="EL313" t="e">
        <f>AND('STERLING CATALOG - FZN &amp; CHILL'!D1601,"AAAAAE5kNI0=")</f>
        <v>#VALUE!</v>
      </c>
      <c r="EM313" t="e">
        <f>AND('STERLING CATALOG - FZN &amp; CHILL'!E1601,"AAAAAE5kNI4=")</f>
        <v>#VALUE!</v>
      </c>
      <c r="EN313" t="e">
        <f>AND('STERLING CATALOG - FZN &amp; CHILL'!F1601,"AAAAAE5kNI8=")</f>
        <v>#VALUE!</v>
      </c>
      <c r="EO313" t="e">
        <f>AND('STERLING CATALOG - FZN &amp; CHILL'!G1601,"AAAAAE5kNJA=")</f>
        <v>#VALUE!</v>
      </c>
      <c r="EP313" t="e">
        <f>AND('STERLING CATALOG - FZN &amp; CHILL'!H1601,"AAAAAE5kNJE=")</f>
        <v>#VALUE!</v>
      </c>
      <c r="EQ313" t="e">
        <f>AND('STERLING CATALOG - FZN &amp; CHILL'!I1601,"AAAAAE5kNJI=")</f>
        <v>#VALUE!</v>
      </c>
      <c r="ER313" t="e">
        <f>AND('STERLING CATALOG - FZN &amp; CHILL'!J1601,"AAAAAE5kNJM=")</f>
        <v>#VALUE!</v>
      </c>
      <c r="ES313">
        <f>IF('STERLING CATALOG - FZN &amp; CHILL'!1602:1602,"AAAAAE5kNJQ=",0)</f>
        <v>0</v>
      </c>
      <c r="ET313" t="e">
        <f>AND('STERLING CATALOG - FZN &amp; CHILL'!A1602,"AAAAAE5kNJU=")</f>
        <v>#VALUE!</v>
      </c>
      <c r="EU313" t="e">
        <f>AND('STERLING CATALOG - FZN &amp; CHILL'!B1602,"AAAAAE5kNJY=")</f>
        <v>#VALUE!</v>
      </c>
      <c r="EV313" t="e">
        <f>AND('STERLING CATALOG - FZN &amp; CHILL'!C1602,"AAAAAE5kNJc=")</f>
        <v>#VALUE!</v>
      </c>
      <c r="EW313" t="e">
        <f>AND('STERLING CATALOG - FZN &amp; CHILL'!D1602,"AAAAAE5kNJg=")</f>
        <v>#VALUE!</v>
      </c>
      <c r="EX313" t="e">
        <f>AND('STERLING CATALOG - FZN &amp; CHILL'!E1602,"AAAAAE5kNJk=")</f>
        <v>#VALUE!</v>
      </c>
      <c r="EY313" t="e">
        <f>AND('STERLING CATALOG - FZN &amp; CHILL'!F1602,"AAAAAE5kNJo=")</f>
        <v>#VALUE!</v>
      </c>
      <c r="EZ313" t="e">
        <f>AND('STERLING CATALOG - FZN &amp; CHILL'!G1602,"AAAAAE5kNJs=")</f>
        <v>#VALUE!</v>
      </c>
      <c r="FA313" t="e">
        <f>AND('STERLING CATALOG - FZN &amp; CHILL'!H1602,"AAAAAE5kNJw=")</f>
        <v>#VALUE!</v>
      </c>
      <c r="FB313" t="e">
        <f>AND('STERLING CATALOG - FZN &amp; CHILL'!I1602,"AAAAAE5kNJ0=")</f>
        <v>#VALUE!</v>
      </c>
      <c r="FC313" t="e">
        <f>AND('STERLING CATALOG - FZN &amp; CHILL'!J1602,"AAAAAE5kNJ4=")</f>
        <v>#VALUE!</v>
      </c>
      <c r="FD313">
        <f>IF('STERLING CATALOG - FZN &amp; CHILL'!1603:1603,"AAAAAE5kNJ8=",0)</f>
        <v>0</v>
      </c>
      <c r="FE313" t="e">
        <f>AND('STERLING CATALOG - FZN &amp; CHILL'!A1603,"AAAAAE5kNKA=")</f>
        <v>#VALUE!</v>
      </c>
      <c r="FF313" t="e">
        <f>AND('STERLING CATALOG - FZN &amp; CHILL'!B1603,"AAAAAE5kNKE=")</f>
        <v>#VALUE!</v>
      </c>
      <c r="FG313" t="e">
        <f>AND('STERLING CATALOG - FZN &amp; CHILL'!C1603,"AAAAAE5kNKI=")</f>
        <v>#VALUE!</v>
      </c>
      <c r="FH313" t="e">
        <f>AND('STERLING CATALOG - FZN &amp; CHILL'!D1603,"AAAAAE5kNKM=")</f>
        <v>#VALUE!</v>
      </c>
      <c r="FI313" t="e">
        <f>AND('STERLING CATALOG - FZN &amp; CHILL'!E1603,"AAAAAE5kNKQ=")</f>
        <v>#VALUE!</v>
      </c>
      <c r="FJ313" t="e">
        <f>AND('STERLING CATALOG - FZN &amp; CHILL'!F1603,"AAAAAE5kNKU=")</f>
        <v>#VALUE!</v>
      </c>
      <c r="FK313" t="e">
        <f>AND('STERLING CATALOG - FZN &amp; CHILL'!G1603,"AAAAAE5kNKY=")</f>
        <v>#VALUE!</v>
      </c>
      <c r="FL313" t="e">
        <f>AND('STERLING CATALOG - FZN &amp; CHILL'!H1603,"AAAAAE5kNKc=")</f>
        <v>#VALUE!</v>
      </c>
      <c r="FM313" t="e">
        <f>AND('STERLING CATALOG - FZN &amp; CHILL'!I1603,"AAAAAE5kNKg=")</f>
        <v>#VALUE!</v>
      </c>
      <c r="FN313" t="e">
        <f>AND('STERLING CATALOG - FZN &amp; CHILL'!J1603,"AAAAAE5kNKk=")</f>
        <v>#VALUE!</v>
      </c>
      <c r="FO313">
        <f>IF('STERLING CATALOG - FZN &amp; CHILL'!1604:1604,"AAAAAE5kNKo=",0)</f>
        <v>0</v>
      </c>
      <c r="FP313" t="e">
        <f>AND('STERLING CATALOG - FZN &amp; CHILL'!A1604,"AAAAAE5kNKs=")</f>
        <v>#VALUE!</v>
      </c>
      <c r="FQ313" t="e">
        <f>AND('STERLING CATALOG - FZN &amp; CHILL'!B1604,"AAAAAE5kNKw=")</f>
        <v>#VALUE!</v>
      </c>
      <c r="FR313" t="e">
        <f>AND('STERLING CATALOG - FZN &amp; CHILL'!C1604,"AAAAAE5kNK0=")</f>
        <v>#VALUE!</v>
      </c>
      <c r="FS313" t="e">
        <f>AND('STERLING CATALOG - FZN &amp; CHILL'!D1604,"AAAAAE5kNK4=")</f>
        <v>#VALUE!</v>
      </c>
      <c r="FT313" t="e">
        <f>AND('STERLING CATALOG - FZN &amp; CHILL'!E1604,"AAAAAE5kNK8=")</f>
        <v>#VALUE!</v>
      </c>
      <c r="FU313" t="e">
        <f>AND('STERLING CATALOG - FZN &amp; CHILL'!F1604,"AAAAAE5kNLA=")</f>
        <v>#VALUE!</v>
      </c>
      <c r="FV313" t="e">
        <f>AND('STERLING CATALOG - FZN &amp; CHILL'!G1604,"AAAAAE5kNLE=")</f>
        <v>#VALUE!</v>
      </c>
      <c r="FW313" t="e">
        <f>AND('STERLING CATALOG - FZN &amp; CHILL'!H1604,"AAAAAE5kNLI=")</f>
        <v>#VALUE!</v>
      </c>
      <c r="FX313" t="e">
        <f>AND('STERLING CATALOG - FZN &amp; CHILL'!I1604,"AAAAAE5kNLM=")</f>
        <v>#VALUE!</v>
      </c>
      <c r="FY313" t="e">
        <f>AND('STERLING CATALOG - FZN &amp; CHILL'!J1604,"AAAAAE5kNLQ=")</f>
        <v>#VALUE!</v>
      </c>
      <c r="FZ313">
        <f>IF('STERLING CATALOG - FZN &amp; CHILL'!1605:1605,"AAAAAE5kNLU=",0)</f>
        <v>0</v>
      </c>
      <c r="GA313" t="e">
        <f>AND('STERLING CATALOG - FZN &amp; CHILL'!A1605,"AAAAAE5kNLY=")</f>
        <v>#VALUE!</v>
      </c>
      <c r="GB313" t="e">
        <f>AND('STERLING CATALOG - FZN &amp; CHILL'!B1605,"AAAAAE5kNLc=")</f>
        <v>#VALUE!</v>
      </c>
      <c r="GC313" t="e">
        <f>AND('STERLING CATALOG - FZN &amp; CHILL'!C1605,"AAAAAE5kNLg=")</f>
        <v>#VALUE!</v>
      </c>
      <c r="GD313" t="e">
        <f>AND('STERLING CATALOG - FZN &amp; CHILL'!D1605,"AAAAAE5kNLk=")</f>
        <v>#VALUE!</v>
      </c>
      <c r="GE313" t="e">
        <f>AND('STERLING CATALOG - FZN &amp; CHILL'!E1605,"AAAAAE5kNLo=")</f>
        <v>#VALUE!</v>
      </c>
      <c r="GF313" t="e">
        <f>AND('STERLING CATALOG - FZN &amp; CHILL'!F1605,"AAAAAE5kNLs=")</f>
        <v>#VALUE!</v>
      </c>
      <c r="GG313" t="e">
        <f>AND('STERLING CATALOG - FZN &amp; CHILL'!G1605,"AAAAAE5kNLw=")</f>
        <v>#VALUE!</v>
      </c>
      <c r="GH313" t="e">
        <f>AND('STERLING CATALOG - FZN &amp; CHILL'!H1605,"AAAAAE5kNL0=")</f>
        <v>#VALUE!</v>
      </c>
      <c r="GI313" t="e">
        <f>AND('STERLING CATALOG - FZN &amp; CHILL'!I1605,"AAAAAE5kNL4=")</f>
        <v>#VALUE!</v>
      </c>
      <c r="GJ313" t="e">
        <f>AND('STERLING CATALOG - FZN &amp; CHILL'!J1605,"AAAAAE5kNL8=")</f>
        <v>#VALUE!</v>
      </c>
      <c r="GK313">
        <f>IF('STERLING CATALOG - FZN &amp; CHILL'!1606:1606,"AAAAAE5kNMA=",0)</f>
        <v>0</v>
      </c>
      <c r="GL313" t="e">
        <f>AND('STERLING CATALOG - FZN &amp; CHILL'!A1606,"AAAAAE5kNME=")</f>
        <v>#VALUE!</v>
      </c>
      <c r="GM313" t="e">
        <f>AND('STERLING CATALOG - FZN &amp; CHILL'!B1606,"AAAAAE5kNMI=")</f>
        <v>#VALUE!</v>
      </c>
      <c r="GN313" t="e">
        <f>AND('STERLING CATALOG - FZN &amp; CHILL'!C1606,"AAAAAE5kNMM=")</f>
        <v>#VALUE!</v>
      </c>
      <c r="GO313" t="e">
        <f>AND('STERLING CATALOG - FZN &amp; CHILL'!D1606,"AAAAAE5kNMQ=")</f>
        <v>#VALUE!</v>
      </c>
      <c r="GP313" t="e">
        <f>AND('STERLING CATALOG - FZN &amp; CHILL'!E1606,"AAAAAE5kNMU=")</f>
        <v>#VALUE!</v>
      </c>
      <c r="GQ313" t="e">
        <f>AND('STERLING CATALOG - FZN &amp; CHILL'!F1606,"AAAAAE5kNMY=")</f>
        <v>#VALUE!</v>
      </c>
      <c r="GR313" t="e">
        <f>AND('STERLING CATALOG - FZN &amp; CHILL'!G1606,"AAAAAE5kNMc=")</f>
        <v>#VALUE!</v>
      </c>
      <c r="GS313" t="e">
        <f>AND('STERLING CATALOG - FZN &amp; CHILL'!H1606,"AAAAAE5kNMg=")</f>
        <v>#VALUE!</v>
      </c>
      <c r="GT313" t="e">
        <f>AND('STERLING CATALOG - FZN &amp; CHILL'!I1606,"AAAAAE5kNMk=")</f>
        <v>#VALUE!</v>
      </c>
      <c r="GU313" t="e">
        <f>AND('STERLING CATALOG - FZN &amp; CHILL'!J1606,"AAAAAE5kNMo=")</f>
        <v>#VALUE!</v>
      </c>
      <c r="GV313">
        <f>IF('STERLING CATALOG - FZN &amp; CHILL'!1607:1607,"AAAAAE5kNMs=",0)</f>
        <v>0</v>
      </c>
      <c r="GW313" t="e">
        <f>AND('STERLING CATALOG - FZN &amp; CHILL'!A1607,"AAAAAE5kNMw=")</f>
        <v>#VALUE!</v>
      </c>
      <c r="GX313" t="e">
        <f>AND('STERLING CATALOG - FZN &amp; CHILL'!B1607,"AAAAAE5kNM0=")</f>
        <v>#VALUE!</v>
      </c>
      <c r="GY313" t="e">
        <f>AND('STERLING CATALOG - FZN &amp; CHILL'!C1607,"AAAAAE5kNM4=")</f>
        <v>#VALUE!</v>
      </c>
      <c r="GZ313" t="e">
        <f>AND('STERLING CATALOG - FZN &amp; CHILL'!D1607,"AAAAAE5kNM8=")</f>
        <v>#VALUE!</v>
      </c>
      <c r="HA313" t="e">
        <f>AND('STERLING CATALOG - FZN &amp; CHILL'!E1607,"AAAAAE5kNNA=")</f>
        <v>#VALUE!</v>
      </c>
      <c r="HB313" t="e">
        <f>AND('STERLING CATALOG - FZN &amp; CHILL'!F1607,"AAAAAE5kNNE=")</f>
        <v>#VALUE!</v>
      </c>
      <c r="HC313" t="e">
        <f>AND('STERLING CATALOG - FZN &amp; CHILL'!G1607,"AAAAAE5kNNI=")</f>
        <v>#VALUE!</v>
      </c>
      <c r="HD313" t="e">
        <f>AND('STERLING CATALOG - FZN &amp; CHILL'!H1607,"AAAAAE5kNNM=")</f>
        <v>#VALUE!</v>
      </c>
      <c r="HE313" t="e">
        <f>AND('STERLING CATALOG - FZN &amp; CHILL'!I1607,"AAAAAE5kNNQ=")</f>
        <v>#VALUE!</v>
      </c>
      <c r="HF313" t="e">
        <f>AND('STERLING CATALOG - FZN &amp; CHILL'!J1607,"AAAAAE5kNNU=")</f>
        <v>#VALUE!</v>
      </c>
      <c r="HG313">
        <f>IF('STERLING CATALOG - FZN &amp; CHILL'!1608:1608,"AAAAAE5kNNY=",0)</f>
        <v>0</v>
      </c>
      <c r="HH313" t="e">
        <f>AND('STERLING CATALOG - FZN &amp; CHILL'!A1608,"AAAAAE5kNNc=")</f>
        <v>#VALUE!</v>
      </c>
      <c r="HI313" t="e">
        <f>AND('STERLING CATALOG - FZN &amp; CHILL'!B1608,"AAAAAE5kNNg=")</f>
        <v>#VALUE!</v>
      </c>
      <c r="HJ313" t="e">
        <f>AND('STERLING CATALOG - FZN &amp; CHILL'!C1608,"AAAAAE5kNNk=")</f>
        <v>#VALUE!</v>
      </c>
      <c r="HK313" t="e">
        <f>AND('STERLING CATALOG - FZN &amp; CHILL'!D1608,"AAAAAE5kNNo=")</f>
        <v>#VALUE!</v>
      </c>
      <c r="HL313" t="e">
        <f>AND('STERLING CATALOG - FZN &amp; CHILL'!E1608,"AAAAAE5kNNs=")</f>
        <v>#VALUE!</v>
      </c>
      <c r="HM313" t="e">
        <f>AND('STERLING CATALOG - FZN &amp; CHILL'!F1608,"AAAAAE5kNNw=")</f>
        <v>#VALUE!</v>
      </c>
      <c r="HN313" t="e">
        <f>AND('STERLING CATALOG - FZN &amp; CHILL'!G1608,"AAAAAE5kNN0=")</f>
        <v>#VALUE!</v>
      </c>
      <c r="HO313" t="e">
        <f>AND('STERLING CATALOG - FZN &amp; CHILL'!H1608,"AAAAAE5kNN4=")</f>
        <v>#VALUE!</v>
      </c>
      <c r="HP313" t="e">
        <f>AND('STERLING CATALOG - FZN &amp; CHILL'!I1608,"AAAAAE5kNN8=")</f>
        <v>#VALUE!</v>
      </c>
      <c r="HQ313" t="e">
        <f>AND('STERLING CATALOG - FZN &amp; CHILL'!J1608,"AAAAAE5kNOA=")</f>
        <v>#VALUE!</v>
      </c>
      <c r="HR313">
        <f>IF('STERLING CATALOG - FZN &amp; CHILL'!1609:1609,"AAAAAE5kNOE=",0)</f>
        <v>0</v>
      </c>
      <c r="HS313" t="e">
        <f>AND('STERLING CATALOG - FZN &amp; CHILL'!A1609,"AAAAAE5kNOI=")</f>
        <v>#VALUE!</v>
      </c>
      <c r="HT313" t="e">
        <f>AND('STERLING CATALOG - FZN &amp; CHILL'!B1609,"AAAAAE5kNOM=")</f>
        <v>#VALUE!</v>
      </c>
      <c r="HU313" t="e">
        <f>AND('STERLING CATALOG - FZN &amp; CHILL'!C1609,"AAAAAE5kNOQ=")</f>
        <v>#VALUE!</v>
      </c>
      <c r="HV313" t="e">
        <f>AND('STERLING CATALOG - FZN &amp; CHILL'!D1609,"AAAAAE5kNOU=")</f>
        <v>#VALUE!</v>
      </c>
      <c r="HW313" t="e">
        <f>AND('STERLING CATALOG - FZN &amp; CHILL'!E1609,"AAAAAE5kNOY=")</f>
        <v>#VALUE!</v>
      </c>
      <c r="HX313" t="e">
        <f>AND('STERLING CATALOG - FZN &amp; CHILL'!F1609,"AAAAAE5kNOc=")</f>
        <v>#VALUE!</v>
      </c>
      <c r="HY313" t="e">
        <f>AND('STERLING CATALOG - FZN &amp; CHILL'!G1609,"AAAAAE5kNOg=")</f>
        <v>#VALUE!</v>
      </c>
      <c r="HZ313" t="e">
        <f>AND('STERLING CATALOG - FZN &amp; CHILL'!H1609,"AAAAAE5kNOk=")</f>
        <v>#VALUE!</v>
      </c>
      <c r="IA313" t="e">
        <f>AND('STERLING CATALOG - FZN &amp; CHILL'!I1609,"AAAAAE5kNOo=")</f>
        <v>#VALUE!</v>
      </c>
      <c r="IB313" t="e">
        <f>AND('STERLING CATALOG - FZN &amp; CHILL'!J1609,"AAAAAE5kNOs=")</f>
        <v>#VALUE!</v>
      </c>
      <c r="IC313">
        <f>IF('STERLING CATALOG - FZN &amp; CHILL'!1610:1610,"AAAAAE5kNOw=",0)</f>
        <v>0</v>
      </c>
      <c r="ID313" t="e">
        <f>AND('STERLING CATALOG - FZN &amp; CHILL'!A1610,"AAAAAE5kNO0=")</f>
        <v>#VALUE!</v>
      </c>
      <c r="IE313" t="e">
        <f>AND('STERLING CATALOG - FZN &amp; CHILL'!B1610,"AAAAAE5kNO4=")</f>
        <v>#VALUE!</v>
      </c>
      <c r="IF313" t="e">
        <f>AND('STERLING CATALOG - FZN &amp; CHILL'!C1610,"AAAAAE5kNO8=")</f>
        <v>#VALUE!</v>
      </c>
      <c r="IG313" t="e">
        <f>AND('STERLING CATALOG - FZN &amp; CHILL'!D1610,"AAAAAE5kNPA=")</f>
        <v>#VALUE!</v>
      </c>
      <c r="IH313" t="e">
        <f>AND('STERLING CATALOG - FZN &amp; CHILL'!E1610,"AAAAAE5kNPE=")</f>
        <v>#VALUE!</v>
      </c>
      <c r="II313" t="e">
        <f>AND('STERLING CATALOG - FZN &amp; CHILL'!F1610,"AAAAAE5kNPI=")</f>
        <v>#VALUE!</v>
      </c>
      <c r="IJ313" t="e">
        <f>AND('STERLING CATALOG - FZN &amp; CHILL'!G1610,"AAAAAE5kNPM=")</f>
        <v>#VALUE!</v>
      </c>
      <c r="IK313" t="e">
        <f>AND('STERLING CATALOG - FZN &amp; CHILL'!H1610,"AAAAAE5kNPQ=")</f>
        <v>#VALUE!</v>
      </c>
      <c r="IL313" t="e">
        <f>AND('STERLING CATALOG - FZN &amp; CHILL'!I1610,"AAAAAE5kNPU=")</f>
        <v>#VALUE!</v>
      </c>
      <c r="IM313" t="e">
        <f>AND('STERLING CATALOG - FZN &amp; CHILL'!J1610,"AAAAAE5kNPY=")</f>
        <v>#VALUE!</v>
      </c>
      <c r="IN313">
        <f>IF('STERLING CATALOG - FZN &amp; CHILL'!1611:1611,"AAAAAE5kNPc=",0)</f>
        <v>0</v>
      </c>
      <c r="IO313" t="e">
        <f>AND('STERLING CATALOG - FZN &amp; CHILL'!A1611,"AAAAAE5kNPg=")</f>
        <v>#VALUE!</v>
      </c>
      <c r="IP313" t="e">
        <f>AND('STERLING CATALOG - FZN &amp; CHILL'!B1611,"AAAAAE5kNPk=")</f>
        <v>#VALUE!</v>
      </c>
      <c r="IQ313" t="e">
        <f>AND('STERLING CATALOG - FZN &amp; CHILL'!C1611,"AAAAAE5kNPo=")</f>
        <v>#VALUE!</v>
      </c>
      <c r="IR313" t="e">
        <f>AND('STERLING CATALOG - FZN &amp; CHILL'!D1611,"AAAAAE5kNPs=")</f>
        <v>#VALUE!</v>
      </c>
      <c r="IS313" t="e">
        <f>AND('STERLING CATALOG - FZN &amp; CHILL'!E1611,"AAAAAE5kNPw=")</f>
        <v>#VALUE!</v>
      </c>
      <c r="IT313" t="e">
        <f>AND('STERLING CATALOG - FZN &amp; CHILL'!F1611,"AAAAAE5kNP0=")</f>
        <v>#VALUE!</v>
      </c>
      <c r="IU313" t="e">
        <f>AND('STERLING CATALOG - FZN &amp; CHILL'!G1611,"AAAAAE5kNP4=")</f>
        <v>#VALUE!</v>
      </c>
      <c r="IV313" t="e">
        <f>AND('STERLING CATALOG - FZN &amp; CHILL'!H1611,"AAAAAE5kNP8=")</f>
        <v>#VALUE!</v>
      </c>
    </row>
    <row r="314" spans="1:256">
      <c r="A314" t="e">
        <f>AND('STERLING CATALOG - FZN &amp; CHILL'!I1611,"AAAAABY3uwA=")</f>
        <v>#VALUE!</v>
      </c>
      <c r="B314" t="e">
        <f>AND('STERLING CATALOG - FZN &amp; CHILL'!J1611,"AAAAABY3uwE=")</f>
        <v>#VALUE!</v>
      </c>
      <c r="C314" t="str">
        <f>IF('STERLING CATALOG - FZN &amp; CHILL'!1612:1612,"AAAAABY3uwI=",0)</f>
        <v>AAAAABY3uwI=</v>
      </c>
      <c r="D314" t="e">
        <f>AND('STERLING CATALOG - FZN &amp; CHILL'!A1612,"AAAAABY3uwM=")</f>
        <v>#VALUE!</v>
      </c>
      <c r="E314" t="e">
        <f>AND('STERLING CATALOG - FZN &amp; CHILL'!B1612,"AAAAABY3uwQ=")</f>
        <v>#VALUE!</v>
      </c>
      <c r="F314" t="e">
        <f>AND('STERLING CATALOG - FZN &amp; CHILL'!C1612,"AAAAABY3uwU=")</f>
        <v>#VALUE!</v>
      </c>
      <c r="G314" t="e">
        <f>AND('STERLING CATALOG - FZN &amp; CHILL'!D1612,"AAAAABY3uwY=")</f>
        <v>#VALUE!</v>
      </c>
      <c r="H314" t="e">
        <f>AND('STERLING CATALOG - FZN &amp; CHILL'!E1612,"AAAAABY3uwc=")</f>
        <v>#VALUE!</v>
      </c>
      <c r="I314" t="e">
        <f>AND('STERLING CATALOG - FZN &amp; CHILL'!F1612,"AAAAABY3uwg=")</f>
        <v>#VALUE!</v>
      </c>
      <c r="J314" t="e">
        <f>AND('STERLING CATALOG - FZN &amp; CHILL'!G1612,"AAAAABY3uwk=")</f>
        <v>#VALUE!</v>
      </c>
      <c r="K314" t="e">
        <f>AND('STERLING CATALOG - FZN &amp; CHILL'!H1612,"AAAAABY3uwo=")</f>
        <v>#VALUE!</v>
      </c>
      <c r="L314" t="e">
        <f>AND('STERLING CATALOG - FZN &amp; CHILL'!I1612,"AAAAABY3uws=")</f>
        <v>#VALUE!</v>
      </c>
      <c r="M314" t="e">
        <f>AND('STERLING CATALOG - FZN &amp; CHILL'!J1612,"AAAAABY3uww=")</f>
        <v>#VALUE!</v>
      </c>
      <c r="N314">
        <f>IF('STERLING CATALOG - FZN &amp; CHILL'!1613:1613,"AAAAABY3uw0=",0)</f>
        <v>0</v>
      </c>
      <c r="O314" t="e">
        <f>AND('STERLING CATALOG - FZN &amp; CHILL'!A1613,"AAAAABY3uw4=")</f>
        <v>#VALUE!</v>
      </c>
      <c r="P314" t="e">
        <f>AND('STERLING CATALOG - FZN &amp; CHILL'!B1613,"AAAAABY3uw8=")</f>
        <v>#VALUE!</v>
      </c>
      <c r="Q314" t="e">
        <f>AND('STERLING CATALOG - FZN &amp; CHILL'!C1613,"AAAAABY3uxA=")</f>
        <v>#VALUE!</v>
      </c>
      <c r="R314" t="e">
        <f>AND('STERLING CATALOG - FZN &amp; CHILL'!D1613,"AAAAABY3uxE=")</f>
        <v>#VALUE!</v>
      </c>
      <c r="S314" t="e">
        <f>AND('STERLING CATALOG - FZN &amp; CHILL'!E1613,"AAAAABY3uxI=")</f>
        <v>#VALUE!</v>
      </c>
      <c r="T314" t="e">
        <f>AND('STERLING CATALOG - FZN &amp; CHILL'!F1613,"AAAAABY3uxM=")</f>
        <v>#VALUE!</v>
      </c>
      <c r="U314" t="e">
        <f>AND('STERLING CATALOG - FZN &amp; CHILL'!G1613,"AAAAABY3uxQ=")</f>
        <v>#VALUE!</v>
      </c>
      <c r="V314" t="e">
        <f>AND('STERLING CATALOG - FZN &amp; CHILL'!H1613,"AAAAABY3uxU=")</f>
        <v>#VALUE!</v>
      </c>
      <c r="W314" t="e">
        <f>AND('STERLING CATALOG - FZN &amp; CHILL'!I1613,"AAAAABY3uxY=")</f>
        <v>#VALUE!</v>
      </c>
      <c r="X314" t="e">
        <f>AND('STERLING CATALOG - FZN &amp; CHILL'!J1613,"AAAAABY3uxc=")</f>
        <v>#VALUE!</v>
      </c>
      <c r="Y314">
        <f>IF('STERLING CATALOG - FZN &amp; CHILL'!1614:1614,"AAAAABY3uxg=",0)</f>
        <v>0</v>
      </c>
      <c r="Z314" t="e">
        <f>AND('STERLING CATALOG - FZN &amp; CHILL'!A1614,"AAAAABY3uxk=")</f>
        <v>#VALUE!</v>
      </c>
      <c r="AA314" t="e">
        <f>AND('STERLING CATALOG - FZN &amp; CHILL'!B1614,"AAAAABY3uxo=")</f>
        <v>#VALUE!</v>
      </c>
      <c r="AB314" t="e">
        <f>AND('STERLING CATALOG - FZN &amp; CHILL'!C1614,"AAAAABY3uxs=")</f>
        <v>#VALUE!</v>
      </c>
      <c r="AC314" t="e">
        <f>AND('STERLING CATALOG - FZN &amp; CHILL'!D1614,"AAAAABY3uxw=")</f>
        <v>#VALUE!</v>
      </c>
      <c r="AD314" t="e">
        <f>AND('STERLING CATALOG - FZN &amp; CHILL'!E1614,"AAAAABY3ux0=")</f>
        <v>#VALUE!</v>
      </c>
      <c r="AE314" t="e">
        <f>AND('STERLING CATALOG - FZN &amp; CHILL'!F1614,"AAAAABY3ux4=")</f>
        <v>#VALUE!</v>
      </c>
      <c r="AF314" t="e">
        <f>AND('STERLING CATALOG - FZN &amp; CHILL'!G1614,"AAAAABY3ux8=")</f>
        <v>#VALUE!</v>
      </c>
      <c r="AG314" t="e">
        <f>AND('STERLING CATALOG - FZN &amp; CHILL'!H1614,"AAAAABY3uyA=")</f>
        <v>#VALUE!</v>
      </c>
      <c r="AH314" t="e">
        <f>AND('STERLING CATALOG - FZN &amp; CHILL'!I1614,"AAAAABY3uyE=")</f>
        <v>#VALUE!</v>
      </c>
      <c r="AI314" t="e">
        <f>AND('STERLING CATALOG - FZN &amp; CHILL'!J1614,"AAAAABY3uyI=")</f>
        <v>#VALUE!</v>
      </c>
      <c r="AJ314">
        <f>IF('STERLING CATALOG - FZN &amp; CHILL'!1615:1615,"AAAAABY3uyM=",0)</f>
        <v>0</v>
      </c>
      <c r="AK314" t="e">
        <f>AND('STERLING CATALOG - FZN &amp; CHILL'!A1615,"AAAAABY3uyQ=")</f>
        <v>#VALUE!</v>
      </c>
      <c r="AL314" t="e">
        <f>AND('STERLING CATALOG - FZN &amp; CHILL'!B1615,"AAAAABY3uyU=")</f>
        <v>#VALUE!</v>
      </c>
      <c r="AM314" t="e">
        <f>AND('STERLING CATALOG - FZN &amp; CHILL'!C1615,"AAAAABY3uyY=")</f>
        <v>#VALUE!</v>
      </c>
      <c r="AN314" t="e">
        <f>AND('STERLING CATALOG - FZN &amp; CHILL'!D1615,"AAAAABY3uyc=")</f>
        <v>#VALUE!</v>
      </c>
      <c r="AO314" t="e">
        <f>AND('STERLING CATALOG - FZN &amp; CHILL'!E1615,"AAAAABY3uyg=")</f>
        <v>#VALUE!</v>
      </c>
      <c r="AP314" t="e">
        <f>AND('STERLING CATALOG - FZN &amp; CHILL'!F1615,"AAAAABY3uyk=")</f>
        <v>#VALUE!</v>
      </c>
      <c r="AQ314" t="e">
        <f>AND('STERLING CATALOG - FZN &amp; CHILL'!G1615,"AAAAABY3uyo=")</f>
        <v>#VALUE!</v>
      </c>
      <c r="AR314" t="e">
        <f>AND('STERLING CATALOG - FZN &amp; CHILL'!H1615,"AAAAABY3uys=")</f>
        <v>#VALUE!</v>
      </c>
      <c r="AS314" t="e">
        <f>AND('STERLING CATALOG - FZN &amp; CHILL'!I1615,"AAAAABY3uyw=")</f>
        <v>#VALUE!</v>
      </c>
      <c r="AT314" t="e">
        <f>AND('STERLING CATALOG - FZN &amp; CHILL'!J1615,"AAAAABY3uy0=")</f>
        <v>#VALUE!</v>
      </c>
      <c r="AU314">
        <f>IF('STERLING CATALOG - FZN &amp; CHILL'!1616:1616,"AAAAABY3uy4=",0)</f>
        <v>0</v>
      </c>
      <c r="AV314" t="e">
        <f>AND('STERLING CATALOG - FZN &amp; CHILL'!A1616,"AAAAABY3uy8=")</f>
        <v>#VALUE!</v>
      </c>
      <c r="AW314" t="e">
        <f>AND('STERLING CATALOG - FZN &amp; CHILL'!B1616,"AAAAABY3uzA=")</f>
        <v>#VALUE!</v>
      </c>
      <c r="AX314" t="e">
        <f>AND('STERLING CATALOG - FZN &amp; CHILL'!C1616,"AAAAABY3uzE=")</f>
        <v>#VALUE!</v>
      </c>
      <c r="AY314" t="e">
        <f>AND('STERLING CATALOG - FZN &amp; CHILL'!D1616,"AAAAABY3uzI=")</f>
        <v>#VALUE!</v>
      </c>
      <c r="AZ314" t="e">
        <f>AND('STERLING CATALOG - FZN &amp; CHILL'!E1616,"AAAAABY3uzM=")</f>
        <v>#VALUE!</v>
      </c>
      <c r="BA314" t="e">
        <f>AND('STERLING CATALOG - FZN &amp; CHILL'!F1616,"AAAAABY3uzQ=")</f>
        <v>#VALUE!</v>
      </c>
      <c r="BB314" t="e">
        <f>AND('STERLING CATALOG - FZN &amp; CHILL'!G1616,"AAAAABY3uzU=")</f>
        <v>#VALUE!</v>
      </c>
      <c r="BC314" t="e">
        <f>AND('STERLING CATALOG - FZN &amp; CHILL'!H1616,"AAAAABY3uzY=")</f>
        <v>#VALUE!</v>
      </c>
      <c r="BD314" t="e">
        <f>AND('STERLING CATALOG - FZN &amp; CHILL'!I1616,"AAAAABY3uzc=")</f>
        <v>#VALUE!</v>
      </c>
      <c r="BE314" t="e">
        <f>AND('STERLING CATALOG - FZN &amp; CHILL'!J1616,"AAAAABY3uzg=")</f>
        <v>#VALUE!</v>
      </c>
      <c r="BF314">
        <f>IF('STERLING CATALOG - FZN &amp; CHILL'!1617:1617,"AAAAABY3uzk=",0)</f>
        <v>0</v>
      </c>
      <c r="BG314" t="e">
        <f>AND('STERLING CATALOG - FZN &amp; CHILL'!A1617,"AAAAABY3uzo=")</f>
        <v>#VALUE!</v>
      </c>
      <c r="BH314" t="e">
        <f>AND('STERLING CATALOG - FZN &amp; CHILL'!B1617,"AAAAABY3uzs=")</f>
        <v>#VALUE!</v>
      </c>
      <c r="BI314" t="e">
        <f>AND('STERLING CATALOG - FZN &amp; CHILL'!C1617,"AAAAABY3uzw=")</f>
        <v>#VALUE!</v>
      </c>
      <c r="BJ314" t="e">
        <f>AND('STERLING CATALOG - FZN &amp; CHILL'!D1617,"AAAAABY3uz0=")</f>
        <v>#VALUE!</v>
      </c>
      <c r="BK314" t="e">
        <f>AND('STERLING CATALOG - FZN &amp; CHILL'!E1617,"AAAAABY3uz4=")</f>
        <v>#VALUE!</v>
      </c>
      <c r="BL314" t="e">
        <f>AND('STERLING CATALOG - FZN &amp; CHILL'!F1617,"AAAAABY3uz8=")</f>
        <v>#VALUE!</v>
      </c>
      <c r="BM314" t="e">
        <f>AND('STERLING CATALOG - FZN &amp; CHILL'!G1617,"AAAAABY3u0A=")</f>
        <v>#VALUE!</v>
      </c>
      <c r="BN314" t="e">
        <f>AND('STERLING CATALOG - FZN &amp; CHILL'!H1617,"AAAAABY3u0E=")</f>
        <v>#VALUE!</v>
      </c>
      <c r="BO314" t="e">
        <f>AND('STERLING CATALOG - FZN &amp; CHILL'!I1617,"AAAAABY3u0I=")</f>
        <v>#VALUE!</v>
      </c>
      <c r="BP314" t="e">
        <f>AND('STERLING CATALOG - FZN &amp; CHILL'!J1617,"AAAAABY3u0M=")</f>
        <v>#VALUE!</v>
      </c>
      <c r="BQ314">
        <f>IF('STERLING CATALOG - FZN &amp; CHILL'!1618:1618,"AAAAABY3u0Q=",0)</f>
        <v>0</v>
      </c>
      <c r="BR314" t="e">
        <f>AND('STERLING CATALOG - FZN &amp; CHILL'!A1618,"AAAAABY3u0U=")</f>
        <v>#VALUE!</v>
      </c>
      <c r="BS314" t="e">
        <f>AND('STERLING CATALOG - FZN &amp; CHILL'!B1618,"AAAAABY3u0Y=")</f>
        <v>#VALUE!</v>
      </c>
      <c r="BT314" t="e">
        <f>AND('STERLING CATALOG - FZN &amp; CHILL'!C1618,"AAAAABY3u0c=")</f>
        <v>#VALUE!</v>
      </c>
      <c r="BU314" t="e">
        <f>AND('STERLING CATALOG - FZN &amp; CHILL'!D1618,"AAAAABY3u0g=")</f>
        <v>#VALUE!</v>
      </c>
      <c r="BV314" t="e">
        <f>AND('STERLING CATALOG - FZN &amp; CHILL'!E1618,"AAAAABY3u0k=")</f>
        <v>#VALUE!</v>
      </c>
      <c r="BW314" t="e">
        <f>AND('STERLING CATALOG - FZN &amp; CHILL'!F1618,"AAAAABY3u0o=")</f>
        <v>#VALUE!</v>
      </c>
      <c r="BX314" t="e">
        <f>AND('STERLING CATALOG - FZN &amp; CHILL'!G1618,"AAAAABY3u0s=")</f>
        <v>#VALUE!</v>
      </c>
      <c r="BY314" t="e">
        <f>AND('STERLING CATALOG - FZN &amp; CHILL'!H1618,"AAAAABY3u0w=")</f>
        <v>#VALUE!</v>
      </c>
      <c r="BZ314" t="e">
        <f>AND('STERLING CATALOG - FZN &amp; CHILL'!I1618,"AAAAABY3u00=")</f>
        <v>#VALUE!</v>
      </c>
      <c r="CA314" t="e">
        <f>AND('STERLING CATALOG - FZN &amp; CHILL'!J1618,"AAAAABY3u04=")</f>
        <v>#VALUE!</v>
      </c>
      <c r="CB314">
        <f>IF('STERLING CATALOG - FZN &amp; CHILL'!1619:1619,"AAAAABY3u08=",0)</f>
        <v>0</v>
      </c>
      <c r="CC314" t="e">
        <f>AND('STERLING CATALOG - FZN &amp; CHILL'!A1619,"AAAAABY3u1A=")</f>
        <v>#VALUE!</v>
      </c>
      <c r="CD314" t="e">
        <f>AND('STERLING CATALOG - FZN &amp; CHILL'!B1619,"AAAAABY3u1E=")</f>
        <v>#VALUE!</v>
      </c>
      <c r="CE314" t="e">
        <f>AND('STERLING CATALOG - FZN &amp; CHILL'!C1619,"AAAAABY3u1I=")</f>
        <v>#VALUE!</v>
      </c>
      <c r="CF314" t="e">
        <f>AND('STERLING CATALOG - FZN &amp; CHILL'!D1619,"AAAAABY3u1M=")</f>
        <v>#VALUE!</v>
      </c>
      <c r="CG314" t="e">
        <f>AND('STERLING CATALOG - FZN &amp; CHILL'!E1619,"AAAAABY3u1Q=")</f>
        <v>#VALUE!</v>
      </c>
      <c r="CH314" t="e">
        <f>AND('STERLING CATALOG - FZN &amp; CHILL'!F1619,"AAAAABY3u1U=")</f>
        <v>#VALUE!</v>
      </c>
      <c r="CI314" t="e">
        <f>AND('STERLING CATALOG - FZN &amp; CHILL'!G1619,"AAAAABY3u1Y=")</f>
        <v>#VALUE!</v>
      </c>
      <c r="CJ314" t="e">
        <f>AND('STERLING CATALOG - FZN &amp; CHILL'!H1619,"AAAAABY3u1c=")</f>
        <v>#VALUE!</v>
      </c>
      <c r="CK314" t="e">
        <f>AND('STERLING CATALOG - FZN &amp; CHILL'!I1619,"AAAAABY3u1g=")</f>
        <v>#VALUE!</v>
      </c>
      <c r="CL314" t="e">
        <f>AND('STERLING CATALOG - FZN &amp; CHILL'!J1619,"AAAAABY3u1k=")</f>
        <v>#VALUE!</v>
      </c>
      <c r="CM314">
        <f>IF('STERLING CATALOG - FZN &amp; CHILL'!1620:1620,"AAAAABY3u1o=",0)</f>
        <v>0</v>
      </c>
      <c r="CN314" t="e">
        <f>AND('STERLING CATALOG - FZN &amp; CHILL'!A1620,"AAAAABY3u1s=")</f>
        <v>#VALUE!</v>
      </c>
      <c r="CO314" t="e">
        <f>AND('STERLING CATALOG - FZN &amp; CHILL'!B1620,"AAAAABY3u1w=")</f>
        <v>#VALUE!</v>
      </c>
      <c r="CP314" t="e">
        <f>AND('STERLING CATALOG - FZN &amp; CHILL'!C1620,"AAAAABY3u10=")</f>
        <v>#VALUE!</v>
      </c>
      <c r="CQ314" t="e">
        <f>AND('STERLING CATALOG - FZN &amp; CHILL'!D1620,"AAAAABY3u14=")</f>
        <v>#VALUE!</v>
      </c>
      <c r="CR314" t="e">
        <f>AND('STERLING CATALOG - FZN &amp; CHILL'!E1620,"AAAAABY3u18=")</f>
        <v>#VALUE!</v>
      </c>
      <c r="CS314" t="e">
        <f>AND('STERLING CATALOG - FZN &amp; CHILL'!F1620,"AAAAABY3u2A=")</f>
        <v>#VALUE!</v>
      </c>
      <c r="CT314" t="e">
        <f>AND('STERLING CATALOG - FZN &amp; CHILL'!G1620,"AAAAABY3u2E=")</f>
        <v>#VALUE!</v>
      </c>
      <c r="CU314" t="e">
        <f>AND('STERLING CATALOG - FZN &amp; CHILL'!H1620,"AAAAABY3u2I=")</f>
        <v>#VALUE!</v>
      </c>
      <c r="CV314" t="e">
        <f>AND('STERLING CATALOG - FZN &amp; CHILL'!I1620,"AAAAABY3u2M=")</f>
        <v>#VALUE!</v>
      </c>
      <c r="CW314" t="e">
        <f>AND('STERLING CATALOG - FZN &amp; CHILL'!J1620,"AAAAABY3u2Q=")</f>
        <v>#VALUE!</v>
      </c>
      <c r="CX314">
        <f>IF('STERLING CATALOG - FZN &amp; CHILL'!1621:1621,"AAAAABY3u2U=",0)</f>
        <v>0</v>
      </c>
      <c r="CY314" t="e">
        <f>AND('STERLING CATALOG - FZN &amp; CHILL'!A1621,"AAAAABY3u2Y=")</f>
        <v>#VALUE!</v>
      </c>
      <c r="CZ314" t="e">
        <f>AND('STERLING CATALOG - FZN &amp; CHILL'!B1621,"AAAAABY3u2c=")</f>
        <v>#VALUE!</v>
      </c>
      <c r="DA314" t="e">
        <f>AND('STERLING CATALOG - FZN &amp; CHILL'!C1621,"AAAAABY3u2g=")</f>
        <v>#VALUE!</v>
      </c>
      <c r="DB314" t="e">
        <f>AND('STERLING CATALOG - FZN &amp; CHILL'!D1621,"AAAAABY3u2k=")</f>
        <v>#VALUE!</v>
      </c>
      <c r="DC314" t="e">
        <f>AND('STERLING CATALOG - FZN &amp; CHILL'!E1621,"AAAAABY3u2o=")</f>
        <v>#VALUE!</v>
      </c>
      <c r="DD314" t="e">
        <f>AND('STERLING CATALOG - FZN &amp; CHILL'!F1621,"AAAAABY3u2s=")</f>
        <v>#VALUE!</v>
      </c>
      <c r="DE314" t="e">
        <f>AND('STERLING CATALOG - FZN &amp; CHILL'!G1621,"AAAAABY3u2w=")</f>
        <v>#VALUE!</v>
      </c>
      <c r="DF314" t="e">
        <f>AND('STERLING CATALOG - FZN &amp; CHILL'!H1621,"AAAAABY3u20=")</f>
        <v>#VALUE!</v>
      </c>
      <c r="DG314" t="e">
        <f>AND('STERLING CATALOG - FZN &amp; CHILL'!I1621,"AAAAABY3u24=")</f>
        <v>#VALUE!</v>
      </c>
      <c r="DH314" t="e">
        <f>AND('STERLING CATALOG - FZN &amp; CHILL'!J1621,"AAAAABY3u28=")</f>
        <v>#VALUE!</v>
      </c>
      <c r="DI314">
        <f>IF('STERLING CATALOG - FZN &amp; CHILL'!1622:1622,"AAAAABY3u3A=",0)</f>
        <v>0</v>
      </c>
      <c r="DJ314" t="e">
        <f>AND('STERLING CATALOG - FZN &amp; CHILL'!A1622,"AAAAABY3u3E=")</f>
        <v>#VALUE!</v>
      </c>
      <c r="DK314" t="e">
        <f>AND('STERLING CATALOG - FZN &amp; CHILL'!B1622,"AAAAABY3u3I=")</f>
        <v>#VALUE!</v>
      </c>
      <c r="DL314" t="e">
        <f>AND('STERLING CATALOG - FZN &amp; CHILL'!C1622,"AAAAABY3u3M=")</f>
        <v>#VALUE!</v>
      </c>
      <c r="DM314" t="e">
        <f>AND('STERLING CATALOG - FZN &amp; CHILL'!D1622,"AAAAABY3u3Q=")</f>
        <v>#VALUE!</v>
      </c>
      <c r="DN314" t="e">
        <f>AND('STERLING CATALOG - FZN &amp; CHILL'!E1622,"AAAAABY3u3U=")</f>
        <v>#VALUE!</v>
      </c>
      <c r="DO314" t="e">
        <f>AND('STERLING CATALOG - FZN &amp; CHILL'!F1622,"AAAAABY3u3Y=")</f>
        <v>#VALUE!</v>
      </c>
      <c r="DP314" t="e">
        <f>AND('STERLING CATALOG - FZN &amp; CHILL'!G1622,"AAAAABY3u3c=")</f>
        <v>#VALUE!</v>
      </c>
      <c r="DQ314" t="e">
        <f>AND('STERLING CATALOG - FZN &amp; CHILL'!H1622,"AAAAABY3u3g=")</f>
        <v>#VALUE!</v>
      </c>
      <c r="DR314" t="e">
        <f>AND('STERLING CATALOG - FZN &amp; CHILL'!I1622,"AAAAABY3u3k=")</f>
        <v>#VALUE!</v>
      </c>
      <c r="DS314" t="e">
        <f>AND('STERLING CATALOG - FZN &amp; CHILL'!J1622,"AAAAABY3u3o=")</f>
        <v>#VALUE!</v>
      </c>
      <c r="DT314">
        <f>IF('STERLING CATALOG - FZN &amp; CHILL'!1623:1623,"AAAAABY3u3s=",0)</f>
        <v>0</v>
      </c>
      <c r="DU314" t="e">
        <f>AND('STERLING CATALOG - FZN &amp; CHILL'!A1623,"AAAAABY3u3w=")</f>
        <v>#VALUE!</v>
      </c>
      <c r="DV314" t="e">
        <f>AND('STERLING CATALOG - FZN &amp; CHILL'!B1623,"AAAAABY3u30=")</f>
        <v>#VALUE!</v>
      </c>
      <c r="DW314" t="e">
        <f>AND('STERLING CATALOG - FZN &amp; CHILL'!C1623,"AAAAABY3u34=")</f>
        <v>#VALUE!</v>
      </c>
      <c r="DX314" t="e">
        <f>AND('STERLING CATALOG - FZN &amp; CHILL'!D1623,"AAAAABY3u38=")</f>
        <v>#VALUE!</v>
      </c>
      <c r="DY314" t="e">
        <f>AND('STERLING CATALOG - FZN &amp; CHILL'!E1623,"AAAAABY3u4A=")</f>
        <v>#VALUE!</v>
      </c>
      <c r="DZ314" t="e">
        <f>AND('STERLING CATALOG - FZN &amp; CHILL'!F1623,"AAAAABY3u4E=")</f>
        <v>#VALUE!</v>
      </c>
      <c r="EA314" t="e">
        <f>AND('STERLING CATALOG - FZN &amp; CHILL'!G1623,"AAAAABY3u4I=")</f>
        <v>#VALUE!</v>
      </c>
      <c r="EB314" t="e">
        <f>AND('STERLING CATALOG - FZN &amp; CHILL'!H1623,"AAAAABY3u4M=")</f>
        <v>#VALUE!</v>
      </c>
      <c r="EC314" t="e">
        <f>AND('STERLING CATALOG - FZN &amp; CHILL'!I1623,"AAAAABY3u4Q=")</f>
        <v>#VALUE!</v>
      </c>
      <c r="ED314" t="e">
        <f>AND('STERLING CATALOG - FZN &amp; CHILL'!J1623,"AAAAABY3u4U=")</f>
        <v>#VALUE!</v>
      </c>
      <c r="EE314">
        <f>IF('STERLING CATALOG - FZN &amp; CHILL'!1624:1624,"AAAAABY3u4Y=",0)</f>
        <v>0</v>
      </c>
      <c r="EF314" t="e">
        <f>AND('STERLING CATALOG - FZN &amp; CHILL'!A1624,"AAAAABY3u4c=")</f>
        <v>#VALUE!</v>
      </c>
      <c r="EG314" t="e">
        <f>AND('STERLING CATALOG - FZN &amp; CHILL'!B1624,"AAAAABY3u4g=")</f>
        <v>#VALUE!</v>
      </c>
      <c r="EH314" t="e">
        <f>AND('STERLING CATALOG - FZN &amp; CHILL'!C1624,"AAAAABY3u4k=")</f>
        <v>#VALUE!</v>
      </c>
      <c r="EI314" t="e">
        <f>AND('STERLING CATALOG - FZN &amp; CHILL'!D1624,"AAAAABY3u4o=")</f>
        <v>#VALUE!</v>
      </c>
      <c r="EJ314" t="e">
        <f>AND('STERLING CATALOG - FZN &amp; CHILL'!E1624,"AAAAABY3u4s=")</f>
        <v>#VALUE!</v>
      </c>
      <c r="EK314" t="e">
        <f>AND('STERLING CATALOG - FZN &amp; CHILL'!F1624,"AAAAABY3u4w=")</f>
        <v>#VALUE!</v>
      </c>
      <c r="EL314" t="e">
        <f>AND('STERLING CATALOG - FZN &amp; CHILL'!G1624,"AAAAABY3u40=")</f>
        <v>#VALUE!</v>
      </c>
      <c r="EM314" t="e">
        <f>AND('STERLING CATALOG - FZN &amp; CHILL'!H1624,"AAAAABY3u44=")</f>
        <v>#VALUE!</v>
      </c>
      <c r="EN314" t="e">
        <f>AND('STERLING CATALOG - FZN &amp; CHILL'!I1624,"AAAAABY3u48=")</f>
        <v>#VALUE!</v>
      </c>
      <c r="EO314" t="e">
        <f>AND('STERLING CATALOG - FZN &amp; CHILL'!J1624,"AAAAABY3u5A=")</f>
        <v>#VALUE!</v>
      </c>
      <c r="EP314">
        <f>IF('STERLING CATALOG - FZN &amp; CHILL'!1625:1625,"AAAAABY3u5E=",0)</f>
        <v>0</v>
      </c>
      <c r="EQ314" t="e">
        <f>AND('STERLING CATALOG - FZN &amp; CHILL'!A1625,"AAAAABY3u5I=")</f>
        <v>#VALUE!</v>
      </c>
      <c r="ER314" t="e">
        <f>AND('STERLING CATALOG - FZN &amp; CHILL'!B1625,"AAAAABY3u5M=")</f>
        <v>#VALUE!</v>
      </c>
      <c r="ES314" t="e">
        <f>AND('STERLING CATALOG - FZN &amp; CHILL'!C1625,"AAAAABY3u5Q=")</f>
        <v>#VALUE!</v>
      </c>
      <c r="ET314" t="e">
        <f>AND('STERLING CATALOG - FZN &amp; CHILL'!D1625,"AAAAABY3u5U=")</f>
        <v>#VALUE!</v>
      </c>
      <c r="EU314" t="e">
        <f>AND('STERLING CATALOG - FZN &amp; CHILL'!E1625,"AAAAABY3u5Y=")</f>
        <v>#VALUE!</v>
      </c>
      <c r="EV314" t="e">
        <f>AND('STERLING CATALOG - FZN &amp; CHILL'!F1625,"AAAAABY3u5c=")</f>
        <v>#VALUE!</v>
      </c>
      <c r="EW314" t="e">
        <f>AND('STERLING CATALOG - FZN &amp; CHILL'!G1625,"AAAAABY3u5g=")</f>
        <v>#VALUE!</v>
      </c>
      <c r="EX314" t="e">
        <f>AND('STERLING CATALOG - FZN &amp; CHILL'!H1625,"AAAAABY3u5k=")</f>
        <v>#VALUE!</v>
      </c>
      <c r="EY314" t="e">
        <f>AND('STERLING CATALOG - FZN &amp; CHILL'!I1625,"AAAAABY3u5o=")</f>
        <v>#VALUE!</v>
      </c>
      <c r="EZ314" t="e">
        <f>AND('STERLING CATALOG - FZN &amp; CHILL'!J1625,"AAAAABY3u5s=")</f>
        <v>#VALUE!</v>
      </c>
      <c r="FA314">
        <f>IF('STERLING CATALOG - FZN &amp; CHILL'!1626:1626,"AAAAABY3u5w=",0)</f>
        <v>0</v>
      </c>
      <c r="FB314" t="e">
        <f>AND('STERLING CATALOG - FZN &amp; CHILL'!A1626,"AAAAABY3u50=")</f>
        <v>#VALUE!</v>
      </c>
      <c r="FC314" t="e">
        <f>AND('STERLING CATALOG - FZN &amp; CHILL'!B1626,"AAAAABY3u54=")</f>
        <v>#VALUE!</v>
      </c>
      <c r="FD314" t="e">
        <f>AND('STERLING CATALOG - FZN &amp; CHILL'!C1626,"AAAAABY3u58=")</f>
        <v>#VALUE!</v>
      </c>
      <c r="FE314" t="e">
        <f>AND('STERLING CATALOG - FZN &amp; CHILL'!D1626,"AAAAABY3u6A=")</f>
        <v>#VALUE!</v>
      </c>
      <c r="FF314" t="e">
        <f>AND('STERLING CATALOG - FZN &amp; CHILL'!E1626,"AAAAABY3u6E=")</f>
        <v>#VALUE!</v>
      </c>
      <c r="FG314" t="e">
        <f>AND('STERLING CATALOG - FZN &amp; CHILL'!F1626,"AAAAABY3u6I=")</f>
        <v>#VALUE!</v>
      </c>
      <c r="FH314" t="e">
        <f>AND('STERLING CATALOG - FZN &amp; CHILL'!G1626,"AAAAABY3u6M=")</f>
        <v>#VALUE!</v>
      </c>
      <c r="FI314" t="e">
        <f>AND('STERLING CATALOG - FZN &amp; CHILL'!H1626,"AAAAABY3u6Q=")</f>
        <v>#VALUE!</v>
      </c>
      <c r="FJ314" t="e">
        <f>AND('STERLING CATALOG - FZN &amp; CHILL'!I1626,"AAAAABY3u6U=")</f>
        <v>#VALUE!</v>
      </c>
      <c r="FK314" t="e">
        <f>AND('STERLING CATALOG - FZN &amp; CHILL'!J1626,"AAAAABY3u6Y=")</f>
        <v>#VALUE!</v>
      </c>
      <c r="FL314">
        <f>IF('STERLING CATALOG - FZN &amp; CHILL'!1627:1627,"AAAAABY3u6c=",0)</f>
        <v>0</v>
      </c>
      <c r="FM314" t="e">
        <f>AND('STERLING CATALOG - FZN &amp; CHILL'!A1627,"AAAAABY3u6g=")</f>
        <v>#VALUE!</v>
      </c>
      <c r="FN314" t="e">
        <f>AND('STERLING CATALOG - FZN &amp; CHILL'!B1627,"AAAAABY3u6k=")</f>
        <v>#VALUE!</v>
      </c>
      <c r="FO314" t="e">
        <f>AND('STERLING CATALOG - FZN &amp; CHILL'!C1627,"AAAAABY3u6o=")</f>
        <v>#VALUE!</v>
      </c>
      <c r="FP314" t="e">
        <f>AND('STERLING CATALOG - FZN &amp; CHILL'!D1627,"AAAAABY3u6s=")</f>
        <v>#VALUE!</v>
      </c>
      <c r="FQ314" t="e">
        <f>AND('STERLING CATALOG - FZN &amp; CHILL'!E1627,"AAAAABY3u6w=")</f>
        <v>#VALUE!</v>
      </c>
      <c r="FR314" t="e">
        <f>AND('STERLING CATALOG - FZN &amp; CHILL'!F1627,"AAAAABY3u60=")</f>
        <v>#VALUE!</v>
      </c>
      <c r="FS314" t="e">
        <f>AND('STERLING CATALOG - FZN &amp; CHILL'!G1627,"AAAAABY3u64=")</f>
        <v>#VALUE!</v>
      </c>
      <c r="FT314" t="e">
        <f>AND('STERLING CATALOG - FZN &amp; CHILL'!H1627,"AAAAABY3u68=")</f>
        <v>#VALUE!</v>
      </c>
      <c r="FU314" t="e">
        <f>AND('STERLING CATALOG - FZN &amp; CHILL'!I1627,"AAAAABY3u7A=")</f>
        <v>#VALUE!</v>
      </c>
      <c r="FV314" t="e">
        <f>AND('STERLING CATALOG - FZN &amp; CHILL'!J1627,"AAAAABY3u7E=")</f>
        <v>#VALUE!</v>
      </c>
      <c r="FW314">
        <f>IF('STERLING CATALOG - FZN &amp; CHILL'!1628:1628,"AAAAABY3u7I=",0)</f>
        <v>0</v>
      </c>
      <c r="FX314" t="e">
        <f>AND('STERLING CATALOG - FZN &amp; CHILL'!A1628,"AAAAABY3u7M=")</f>
        <v>#VALUE!</v>
      </c>
      <c r="FY314" t="e">
        <f>AND('STERLING CATALOG - FZN &amp; CHILL'!B1628,"AAAAABY3u7Q=")</f>
        <v>#VALUE!</v>
      </c>
      <c r="FZ314" t="e">
        <f>AND('STERLING CATALOG - FZN &amp; CHILL'!C1628,"AAAAABY3u7U=")</f>
        <v>#VALUE!</v>
      </c>
      <c r="GA314" t="e">
        <f>AND('STERLING CATALOG - FZN &amp; CHILL'!D1628,"AAAAABY3u7Y=")</f>
        <v>#VALUE!</v>
      </c>
      <c r="GB314" t="e">
        <f>AND('STERLING CATALOG - FZN &amp; CHILL'!E1628,"AAAAABY3u7c=")</f>
        <v>#VALUE!</v>
      </c>
      <c r="GC314" t="e">
        <f>AND('STERLING CATALOG - FZN &amp; CHILL'!F1628,"AAAAABY3u7g=")</f>
        <v>#VALUE!</v>
      </c>
      <c r="GD314" t="e">
        <f>AND('STERLING CATALOG - FZN &amp; CHILL'!G1628,"AAAAABY3u7k=")</f>
        <v>#VALUE!</v>
      </c>
      <c r="GE314" t="e">
        <f>AND('STERLING CATALOG - FZN &amp; CHILL'!H1628,"AAAAABY3u7o=")</f>
        <v>#VALUE!</v>
      </c>
      <c r="GF314" t="e">
        <f>AND('STERLING CATALOG - FZN &amp; CHILL'!I1628,"AAAAABY3u7s=")</f>
        <v>#VALUE!</v>
      </c>
      <c r="GG314" t="e">
        <f>AND('STERLING CATALOG - FZN &amp; CHILL'!J1628,"AAAAABY3u7w=")</f>
        <v>#VALUE!</v>
      </c>
      <c r="GH314">
        <f>IF('STERLING CATALOG - FZN &amp; CHILL'!1629:1629,"AAAAABY3u70=",0)</f>
        <v>0</v>
      </c>
      <c r="GI314" t="e">
        <f>AND('STERLING CATALOG - FZN &amp; CHILL'!A1629,"AAAAABY3u74=")</f>
        <v>#VALUE!</v>
      </c>
      <c r="GJ314" t="e">
        <f>AND('STERLING CATALOG - FZN &amp; CHILL'!B1629,"AAAAABY3u78=")</f>
        <v>#VALUE!</v>
      </c>
      <c r="GK314" t="e">
        <f>AND('STERLING CATALOG - FZN &amp; CHILL'!C1629,"AAAAABY3u8A=")</f>
        <v>#VALUE!</v>
      </c>
      <c r="GL314" t="e">
        <f>AND('STERLING CATALOG - FZN &amp; CHILL'!D1629,"AAAAABY3u8E=")</f>
        <v>#VALUE!</v>
      </c>
      <c r="GM314" t="e">
        <f>AND('STERLING CATALOG - FZN &amp; CHILL'!E1629,"AAAAABY3u8I=")</f>
        <v>#VALUE!</v>
      </c>
      <c r="GN314" t="e">
        <f>AND('STERLING CATALOG - FZN &amp; CHILL'!F1629,"AAAAABY3u8M=")</f>
        <v>#VALUE!</v>
      </c>
      <c r="GO314" t="e">
        <f>AND('STERLING CATALOG - FZN &amp; CHILL'!G1629,"AAAAABY3u8Q=")</f>
        <v>#VALUE!</v>
      </c>
      <c r="GP314" t="e">
        <f>AND('STERLING CATALOG - FZN &amp; CHILL'!H1629,"AAAAABY3u8U=")</f>
        <v>#VALUE!</v>
      </c>
      <c r="GQ314" t="e">
        <f>AND('STERLING CATALOG - FZN &amp; CHILL'!I1629,"AAAAABY3u8Y=")</f>
        <v>#VALUE!</v>
      </c>
      <c r="GR314" t="e">
        <f>AND('STERLING CATALOG - FZN &amp; CHILL'!J1629,"AAAAABY3u8c=")</f>
        <v>#VALUE!</v>
      </c>
      <c r="GS314">
        <f>IF('STERLING CATALOG - FZN &amp; CHILL'!1630:1630,"AAAAABY3u8g=",0)</f>
        <v>0</v>
      </c>
      <c r="GT314" t="e">
        <f>AND('STERLING CATALOG - FZN &amp; CHILL'!A1630,"AAAAABY3u8k=")</f>
        <v>#VALUE!</v>
      </c>
      <c r="GU314" t="e">
        <f>AND('STERLING CATALOG - FZN &amp; CHILL'!B1630,"AAAAABY3u8o=")</f>
        <v>#VALUE!</v>
      </c>
      <c r="GV314" t="e">
        <f>AND('STERLING CATALOG - FZN &amp; CHILL'!C1630,"AAAAABY3u8s=")</f>
        <v>#VALUE!</v>
      </c>
      <c r="GW314" t="e">
        <f>AND('STERLING CATALOG - FZN &amp; CHILL'!D1630,"AAAAABY3u8w=")</f>
        <v>#VALUE!</v>
      </c>
      <c r="GX314" t="e">
        <f>AND('STERLING CATALOG - FZN &amp; CHILL'!E1630,"AAAAABY3u80=")</f>
        <v>#VALUE!</v>
      </c>
      <c r="GY314" t="e">
        <f>AND('STERLING CATALOG - FZN &amp; CHILL'!F1630,"AAAAABY3u84=")</f>
        <v>#VALUE!</v>
      </c>
      <c r="GZ314" t="e">
        <f>AND('STERLING CATALOG - FZN &amp; CHILL'!G1630,"AAAAABY3u88=")</f>
        <v>#VALUE!</v>
      </c>
      <c r="HA314" t="e">
        <f>AND('STERLING CATALOG - FZN &amp; CHILL'!H1630,"AAAAABY3u9A=")</f>
        <v>#VALUE!</v>
      </c>
      <c r="HB314" t="e">
        <f>AND('STERLING CATALOG - FZN &amp; CHILL'!I1630,"AAAAABY3u9E=")</f>
        <v>#VALUE!</v>
      </c>
      <c r="HC314" t="e">
        <f>AND('STERLING CATALOG - FZN &amp; CHILL'!J1630,"AAAAABY3u9I=")</f>
        <v>#VALUE!</v>
      </c>
      <c r="HD314">
        <f>IF('STERLING CATALOG - FZN &amp; CHILL'!1631:1631,"AAAAABY3u9M=",0)</f>
        <v>0</v>
      </c>
      <c r="HE314" t="e">
        <f>AND('STERLING CATALOG - FZN &amp; CHILL'!A1631,"AAAAABY3u9Q=")</f>
        <v>#VALUE!</v>
      </c>
      <c r="HF314" t="e">
        <f>AND('STERLING CATALOG - FZN &amp; CHILL'!B1631,"AAAAABY3u9U=")</f>
        <v>#VALUE!</v>
      </c>
      <c r="HG314" t="e">
        <f>AND('STERLING CATALOG - FZN &amp; CHILL'!C1631,"AAAAABY3u9Y=")</f>
        <v>#VALUE!</v>
      </c>
      <c r="HH314" t="e">
        <f>AND('STERLING CATALOG - FZN &amp; CHILL'!D1631,"AAAAABY3u9c=")</f>
        <v>#VALUE!</v>
      </c>
      <c r="HI314" t="e">
        <f>AND('STERLING CATALOG - FZN &amp; CHILL'!E1631,"AAAAABY3u9g=")</f>
        <v>#VALUE!</v>
      </c>
      <c r="HJ314" t="e">
        <f>AND('STERLING CATALOG - FZN &amp; CHILL'!F1631,"AAAAABY3u9k=")</f>
        <v>#VALUE!</v>
      </c>
      <c r="HK314" t="e">
        <f>AND('STERLING CATALOG - FZN &amp; CHILL'!G1631,"AAAAABY3u9o=")</f>
        <v>#VALUE!</v>
      </c>
      <c r="HL314" t="e">
        <f>AND('STERLING CATALOG - FZN &amp; CHILL'!H1631,"AAAAABY3u9s=")</f>
        <v>#VALUE!</v>
      </c>
      <c r="HM314" t="e">
        <f>AND('STERLING CATALOG - FZN &amp; CHILL'!I1631,"AAAAABY3u9w=")</f>
        <v>#VALUE!</v>
      </c>
      <c r="HN314" t="e">
        <f>AND('STERLING CATALOG - FZN &amp; CHILL'!J1631,"AAAAABY3u90=")</f>
        <v>#VALUE!</v>
      </c>
      <c r="HO314">
        <f>IF('STERLING CATALOG - FZN &amp; CHILL'!1632:1632,"AAAAABY3u94=",0)</f>
        <v>0</v>
      </c>
      <c r="HP314" t="e">
        <f>AND('STERLING CATALOG - FZN &amp; CHILL'!A1632,"AAAAABY3u98=")</f>
        <v>#VALUE!</v>
      </c>
      <c r="HQ314" t="e">
        <f>AND('STERLING CATALOG - FZN &amp; CHILL'!B1632,"AAAAABY3u+A=")</f>
        <v>#VALUE!</v>
      </c>
      <c r="HR314" t="e">
        <f>AND('STERLING CATALOG - FZN &amp; CHILL'!C1632,"AAAAABY3u+E=")</f>
        <v>#VALUE!</v>
      </c>
      <c r="HS314" t="e">
        <f>AND('STERLING CATALOG - FZN &amp; CHILL'!D1632,"AAAAABY3u+I=")</f>
        <v>#VALUE!</v>
      </c>
      <c r="HT314" t="e">
        <f>AND('STERLING CATALOG - FZN &amp; CHILL'!E1632,"AAAAABY3u+M=")</f>
        <v>#VALUE!</v>
      </c>
      <c r="HU314" t="e">
        <f>AND('STERLING CATALOG - FZN &amp; CHILL'!F1632,"AAAAABY3u+Q=")</f>
        <v>#VALUE!</v>
      </c>
      <c r="HV314" t="e">
        <f>AND('STERLING CATALOG - FZN &amp; CHILL'!G1632,"AAAAABY3u+U=")</f>
        <v>#VALUE!</v>
      </c>
      <c r="HW314" t="e">
        <f>AND('STERLING CATALOG - FZN &amp; CHILL'!H1632,"AAAAABY3u+Y=")</f>
        <v>#VALUE!</v>
      </c>
      <c r="HX314" t="e">
        <f>AND('STERLING CATALOG - FZN &amp; CHILL'!I1632,"AAAAABY3u+c=")</f>
        <v>#VALUE!</v>
      </c>
      <c r="HY314" t="e">
        <f>AND('STERLING CATALOG - FZN &amp; CHILL'!J1632,"AAAAABY3u+g=")</f>
        <v>#VALUE!</v>
      </c>
      <c r="HZ314">
        <f>IF('STERLING CATALOG - FZN &amp; CHILL'!1633:1633,"AAAAABY3u+k=",0)</f>
        <v>0</v>
      </c>
      <c r="IA314" t="e">
        <f>AND('STERLING CATALOG - FZN &amp; CHILL'!A1633,"AAAAABY3u+o=")</f>
        <v>#VALUE!</v>
      </c>
      <c r="IB314" t="e">
        <f>AND('STERLING CATALOG - FZN &amp; CHILL'!B1633,"AAAAABY3u+s=")</f>
        <v>#VALUE!</v>
      </c>
      <c r="IC314" t="e">
        <f>AND('STERLING CATALOG - FZN &amp; CHILL'!C1633,"AAAAABY3u+w=")</f>
        <v>#VALUE!</v>
      </c>
      <c r="ID314" t="e">
        <f>AND('STERLING CATALOG - FZN &amp; CHILL'!D1633,"AAAAABY3u+0=")</f>
        <v>#VALUE!</v>
      </c>
      <c r="IE314" t="e">
        <f>AND('STERLING CATALOG - FZN &amp; CHILL'!E1633,"AAAAABY3u+4=")</f>
        <v>#VALUE!</v>
      </c>
      <c r="IF314" t="e">
        <f>AND('STERLING CATALOG - FZN &amp; CHILL'!F1633,"AAAAABY3u+8=")</f>
        <v>#VALUE!</v>
      </c>
      <c r="IG314" t="e">
        <f>AND('STERLING CATALOG - FZN &amp; CHILL'!G1633,"AAAAABY3u/A=")</f>
        <v>#VALUE!</v>
      </c>
      <c r="IH314" t="e">
        <f>AND('STERLING CATALOG - FZN &amp; CHILL'!H1633,"AAAAABY3u/E=")</f>
        <v>#VALUE!</v>
      </c>
      <c r="II314" t="e">
        <f>AND('STERLING CATALOG - FZN &amp; CHILL'!I1633,"AAAAABY3u/I=")</f>
        <v>#VALUE!</v>
      </c>
      <c r="IJ314" t="e">
        <f>AND('STERLING CATALOG - FZN &amp; CHILL'!J1633,"AAAAABY3u/M=")</f>
        <v>#VALUE!</v>
      </c>
      <c r="IK314">
        <f>IF('STERLING CATALOG - FZN &amp; CHILL'!1634:1634,"AAAAABY3u/Q=",0)</f>
        <v>0</v>
      </c>
      <c r="IL314" t="e">
        <f>AND('STERLING CATALOG - FZN &amp; CHILL'!A1634,"AAAAABY3u/U=")</f>
        <v>#VALUE!</v>
      </c>
      <c r="IM314" t="e">
        <f>AND('STERLING CATALOG - FZN &amp; CHILL'!B1634,"AAAAABY3u/Y=")</f>
        <v>#VALUE!</v>
      </c>
      <c r="IN314" t="e">
        <f>AND('STERLING CATALOG - FZN &amp; CHILL'!C1634,"AAAAABY3u/c=")</f>
        <v>#VALUE!</v>
      </c>
      <c r="IO314" t="e">
        <f>AND('STERLING CATALOG - FZN &amp; CHILL'!D1634,"AAAAABY3u/g=")</f>
        <v>#VALUE!</v>
      </c>
      <c r="IP314" t="e">
        <f>AND('STERLING CATALOG - FZN &amp; CHILL'!E1634,"AAAAABY3u/k=")</f>
        <v>#VALUE!</v>
      </c>
      <c r="IQ314" t="e">
        <f>AND('STERLING CATALOG - FZN &amp; CHILL'!F1634,"AAAAABY3u/o=")</f>
        <v>#VALUE!</v>
      </c>
      <c r="IR314" t="e">
        <f>AND('STERLING CATALOG - FZN &amp; CHILL'!G1634,"AAAAABY3u/s=")</f>
        <v>#VALUE!</v>
      </c>
      <c r="IS314" t="e">
        <f>AND('STERLING CATALOG - FZN &amp; CHILL'!H1634,"AAAAABY3u/w=")</f>
        <v>#VALUE!</v>
      </c>
      <c r="IT314" t="e">
        <f>AND('STERLING CATALOG - FZN &amp; CHILL'!I1634,"AAAAABY3u/0=")</f>
        <v>#VALUE!</v>
      </c>
      <c r="IU314" t="e">
        <f>AND('STERLING CATALOG - FZN &amp; CHILL'!J1634,"AAAAABY3u/4=")</f>
        <v>#VALUE!</v>
      </c>
      <c r="IV314">
        <f>IF('STERLING CATALOG - FZN &amp; CHILL'!1635:1635,"AAAAABY3u/8=",0)</f>
        <v>0</v>
      </c>
    </row>
    <row r="315" spans="1:256">
      <c r="A315" t="e">
        <f>AND('STERLING CATALOG - FZN &amp; CHILL'!A1635,"AAAAAHff/wA=")</f>
        <v>#VALUE!</v>
      </c>
      <c r="B315" t="e">
        <f>AND('STERLING CATALOG - FZN &amp; CHILL'!B1635,"AAAAAHff/wE=")</f>
        <v>#VALUE!</v>
      </c>
      <c r="C315" t="e">
        <f>AND('STERLING CATALOG - FZN &amp; CHILL'!C1635,"AAAAAHff/wI=")</f>
        <v>#VALUE!</v>
      </c>
      <c r="D315" t="e">
        <f>AND('STERLING CATALOG - FZN &amp; CHILL'!D1635,"AAAAAHff/wM=")</f>
        <v>#VALUE!</v>
      </c>
      <c r="E315" t="e">
        <f>AND('STERLING CATALOG - FZN &amp; CHILL'!E1635,"AAAAAHff/wQ=")</f>
        <v>#VALUE!</v>
      </c>
      <c r="F315" t="e">
        <f>AND('STERLING CATALOG - FZN &amp; CHILL'!F1635,"AAAAAHff/wU=")</f>
        <v>#VALUE!</v>
      </c>
      <c r="G315" t="e">
        <f>AND('STERLING CATALOG - FZN &amp; CHILL'!G1635,"AAAAAHff/wY=")</f>
        <v>#VALUE!</v>
      </c>
      <c r="H315" t="e">
        <f>AND('STERLING CATALOG - FZN &amp; CHILL'!H1635,"AAAAAHff/wc=")</f>
        <v>#VALUE!</v>
      </c>
      <c r="I315" t="e">
        <f>AND('STERLING CATALOG - FZN &amp; CHILL'!I1635,"AAAAAHff/wg=")</f>
        <v>#VALUE!</v>
      </c>
      <c r="J315" t="e">
        <f>AND('STERLING CATALOG - FZN &amp; CHILL'!J1635,"AAAAAHff/wk=")</f>
        <v>#VALUE!</v>
      </c>
      <c r="K315">
        <f>IF('STERLING CATALOG - FZN &amp; CHILL'!1636:1636,"AAAAAHff/wo=",0)</f>
        <v>0</v>
      </c>
      <c r="L315" t="e">
        <f>AND('STERLING CATALOG - FZN &amp; CHILL'!A1636,"AAAAAHff/ws=")</f>
        <v>#VALUE!</v>
      </c>
      <c r="M315" t="e">
        <f>AND('STERLING CATALOG - FZN &amp; CHILL'!B1636,"AAAAAHff/ww=")</f>
        <v>#VALUE!</v>
      </c>
      <c r="N315" t="e">
        <f>AND('STERLING CATALOG - FZN &amp; CHILL'!C1636,"AAAAAHff/w0=")</f>
        <v>#VALUE!</v>
      </c>
      <c r="O315" t="e">
        <f>AND('STERLING CATALOG - FZN &amp; CHILL'!D1636,"AAAAAHff/w4=")</f>
        <v>#VALUE!</v>
      </c>
      <c r="P315" t="e">
        <f>AND('STERLING CATALOG - FZN &amp; CHILL'!E1636,"AAAAAHff/w8=")</f>
        <v>#VALUE!</v>
      </c>
      <c r="Q315" t="e">
        <f>AND('STERLING CATALOG - FZN &amp; CHILL'!F1636,"AAAAAHff/xA=")</f>
        <v>#VALUE!</v>
      </c>
      <c r="R315" t="e">
        <f>AND('STERLING CATALOG - FZN &amp; CHILL'!G1636,"AAAAAHff/xE=")</f>
        <v>#VALUE!</v>
      </c>
      <c r="S315" t="e">
        <f>AND('STERLING CATALOG - FZN &amp; CHILL'!H1636,"AAAAAHff/xI=")</f>
        <v>#VALUE!</v>
      </c>
      <c r="T315" t="e">
        <f>AND('STERLING CATALOG - FZN &amp; CHILL'!I1636,"AAAAAHff/xM=")</f>
        <v>#VALUE!</v>
      </c>
      <c r="U315" t="e">
        <f>AND('STERLING CATALOG - FZN &amp; CHILL'!J1636,"AAAAAHff/xQ=")</f>
        <v>#VALUE!</v>
      </c>
      <c r="V315">
        <f>IF('STERLING CATALOG - FZN &amp; CHILL'!1637:1637,"AAAAAHff/xU=",0)</f>
        <v>0</v>
      </c>
      <c r="W315" t="e">
        <f>AND('STERLING CATALOG - FZN &amp; CHILL'!A1637,"AAAAAHff/xY=")</f>
        <v>#VALUE!</v>
      </c>
      <c r="X315" t="e">
        <f>AND('STERLING CATALOG - FZN &amp; CHILL'!B1637,"AAAAAHff/xc=")</f>
        <v>#VALUE!</v>
      </c>
      <c r="Y315" t="e">
        <f>AND('STERLING CATALOG - FZN &amp; CHILL'!C1637,"AAAAAHff/xg=")</f>
        <v>#VALUE!</v>
      </c>
      <c r="Z315" t="e">
        <f>AND('STERLING CATALOG - FZN &amp; CHILL'!D1637,"AAAAAHff/xk=")</f>
        <v>#VALUE!</v>
      </c>
      <c r="AA315" t="e">
        <f>AND('STERLING CATALOG - FZN &amp; CHILL'!E1637,"AAAAAHff/xo=")</f>
        <v>#VALUE!</v>
      </c>
      <c r="AB315" t="e">
        <f>AND('STERLING CATALOG - FZN &amp; CHILL'!F1637,"AAAAAHff/xs=")</f>
        <v>#VALUE!</v>
      </c>
      <c r="AC315" t="e">
        <f>AND('STERLING CATALOG - FZN &amp; CHILL'!G1637,"AAAAAHff/xw=")</f>
        <v>#VALUE!</v>
      </c>
      <c r="AD315" t="e">
        <f>AND('STERLING CATALOG - FZN &amp; CHILL'!H1637,"AAAAAHff/x0=")</f>
        <v>#VALUE!</v>
      </c>
      <c r="AE315" t="e">
        <f>AND('STERLING CATALOG - FZN &amp; CHILL'!I1637,"AAAAAHff/x4=")</f>
        <v>#VALUE!</v>
      </c>
      <c r="AF315" t="e">
        <f>AND('STERLING CATALOG - FZN &amp; CHILL'!J1637,"AAAAAHff/x8=")</f>
        <v>#VALUE!</v>
      </c>
      <c r="AG315">
        <f>IF('STERLING CATALOG - FZN &amp; CHILL'!1638:1638,"AAAAAHff/yA=",0)</f>
        <v>0</v>
      </c>
      <c r="AH315" t="e">
        <f>AND('STERLING CATALOG - FZN &amp; CHILL'!A1638,"AAAAAHff/yE=")</f>
        <v>#VALUE!</v>
      </c>
      <c r="AI315" t="e">
        <f>AND('STERLING CATALOG - FZN &amp; CHILL'!B1638,"AAAAAHff/yI=")</f>
        <v>#VALUE!</v>
      </c>
      <c r="AJ315" t="e">
        <f>AND('STERLING CATALOG - FZN &amp; CHILL'!C1638,"AAAAAHff/yM=")</f>
        <v>#VALUE!</v>
      </c>
      <c r="AK315" t="e">
        <f>AND('STERLING CATALOG - FZN &amp; CHILL'!D1638,"AAAAAHff/yQ=")</f>
        <v>#VALUE!</v>
      </c>
      <c r="AL315" t="e">
        <f>AND('STERLING CATALOG - FZN &amp; CHILL'!E1638,"AAAAAHff/yU=")</f>
        <v>#VALUE!</v>
      </c>
      <c r="AM315" t="e">
        <f>AND('STERLING CATALOG - FZN &amp; CHILL'!F1638,"AAAAAHff/yY=")</f>
        <v>#VALUE!</v>
      </c>
      <c r="AN315" t="e">
        <f>AND('STERLING CATALOG - FZN &amp; CHILL'!G1638,"AAAAAHff/yc=")</f>
        <v>#VALUE!</v>
      </c>
      <c r="AO315" t="e">
        <f>AND('STERLING CATALOG - FZN &amp; CHILL'!H1638,"AAAAAHff/yg=")</f>
        <v>#VALUE!</v>
      </c>
      <c r="AP315" t="e">
        <f>AND('STERLING CATALOG - FZN &amp; CHILL'!I1638,"AAAAAHff/yk=")</f>
        <v>#VALUE!</v>
      </c>
      <c r="AQ315" t="e">
        <f>AND('STERLING CATALOG - FZN &amp; CHILL'!J1638,"AAAAAHff/yo=")</f>
        <v>#VALUE!</v>
      </c>
      <c r="AR315">
        <f>IF('STERLING CATALOG - FZN &amp; CHILL'!1639:1639,"AAAAAHff/ys=",0)</f>
        <v>0</v>
      </c>
      <c r="AS315" t="e">
        <f>AND('STERLING CATALOG - FZN &amp; CHILL'!A1639,"AAAAAHff/yw=")</f>
        <v>#VALUE!</v>
      </c>
      <c r="AT315" t="e">
        <f>AND('STERLING CATALOG - FZN &amp; CHILL'!B1639,"AAAAAHff/y0=")</f>
        <v>#VALUE!</v>
      </c>
      <c r="AU315" t="e">
        <f>AND('STERLING CATALOG - FZN &amp; CHILL'!C1639,"AAAAAHff/y4=")</f>
        <v>#VALUE!</v>
      </c>
      <c r="AV315" t="e">
        <f>AND('STERLING CATALOG - FZN &amp; CHILL'!D1639,"AAAAAHff/y8=")</f>
        <v>#VALUE!</v>
      </c>
      <c r="AW315" t="e">
        <f>AND('STERLING CATALOG - FZN &amp; CHILL'!E1639,"AAAAAHff/zA=")</f>
        <v>#VALUE!</v>
      </c>
      <c r="AX315" t="e">
        <f>AND('STERLING CATALOG - FZN &amp; CHILL'!F1639,"AAAAAHff/zE=")</f>
        <v>#VALUE!</v>
      </c>
      <c r="AY315" t="e">
        <f>AND('STERLING CATALOG - FZN &amp; CHILL'!G1639,"AAAAAHff/zI=")</f>
        <v>#VALUE!</v>
      </c>
      <c r="AZ315" t="e">
        <f>AND('STERLING CATALOG - FZN &amp; CHILL'!H1639,"AAAAAHff/zM=")</f>
        <v>#VALUE!</v>
      </c>
      <c r="BA315" t="e">
        <f>AND('STERLING CATALOG - FZN &amp; CHILL'!I1639,"AAAAAHff/zQ=")</f>
        <v>#VALUE!</v>
      </c>
      <c r="BB315" t="e">
        <f>AND('STERLING CATALOG - FZN &amp; CHILL'!J1639,"AAAAAHff/zU=")</f>
        <v>#VALUE!</v>
      </c>
      <c r="BC315">
        <f>IF('STERLING CATALOG - FZN &amp; CHILL'!1640:1640,"AAAAAHff/zY=",0)</f>
        <v>0</v>
      </c>
      <c r="BD315" t="e">
        <f>AND('STERLING CATALOG - FZN &amp; CHILL'!A1640,"AAAAAHff/zc=")</f>
        <v>#VALUE!</v>
      </c>
      <c r="BE315" t="e">
        <f>AND('STERLING CATALOG - FZN &amp; CHILL'!B1640,"AAAAAHff/zg=")</f>
        <v>#VALUE!</v>
      </c>
      <c r="BF315" t="e">
        <f>AND('STERLING CATALOG - FZN &amp; CHILL'!C1640,"AAAAAHff/zk=")</f>
        <v>#VALUE!</v>
      </c>
      <c r="BG315" t="e">
        <f>AND('STERLING CATALOG - FZN &amp; CHILL'!D1640,"AAAAAHff/zo=")</f>
        <v>#VALUE!</v>
      </c>
      <c r="BH315" t="e">
        <f>AND('STERLING CATALOG - FZN &amp; CHILL'!E1640,"AAAAAHff/zs=")</f>
        <v>#VALUE!</v>
      </c>
      <c r="BI315" t="e">
        <f>AND('STERLING CATALOG - FZN &amp; CHILL'!F1640,"AAAAAHff/zw=")</f>
        <v>#VALUE!</v>
      </c>
      <c r="BJ315" t="e">
        <f>AND('STERLING CATALOG - FZN &amp; CHILL'!G1640,"AAAAAHff/z0=")</f>
        <v>#VALUE!</v>
      </c>
      <c r="BK315" t="e">
        <f>AND('STERLING CATALOG - FZN &amp; CHILL'!H1640,"AAAAAHff/z4=")</f>
        <v>#VALUE!</v>
      </c>
      <c r="BL315" t="e">
        <f>AND('STERLING CATALOG - FZN &amp; CHILL'!I1640,"AAAAAHff/z8=")</f>
        <v>#VALUE!</v>
      </c>
      <c r="BM315" t="e">
        <f>AND('STERLING CATALOG - FZN &amp; CHILL'!J1640,"AAAAAHff/0A=")</f>
        <v>#VALUE!</v>
      </c>
      <c r="BN315">
        <f>IF('STERLING CATALOG - FZN &amp; CHILL'!1641:1641,"AAAAAHff/0E=",0)</f>
        <v>0</v>
      </c>
      <c r="BO315" t="e">
        <f>AND('STERLING CATALOG - FZN &amp; CHILL'!A1641,"AAAAAHff/0I=")</f>
        <v>#VALUE!</v>
      </c>
      <c r="BP315" t="e">
        <f>AND('STERLING CATALOG - FZN &amp; CHILL'!B1641,"AAAAAHff/0M=")</f>
        <v>#VALUE!</v>
      </c>
      <c r="BQ315" t="e">
        <f>AND('STERLING CATALOG - FZN &amp; CHILL'!C1641,"AAAAAHff/0Q=")</f>
        <v>#VALUE!</v>
      </c>
      <c r="BR315" t="e">
        <f>AND('STERLING CATALOG - FZN &amp; CHILL'!D1641,"AAAAAHff/0U=")</f>
        <v>#VALUE!</v>
      </c>
      <c r="BS315" t="e">
        <f>AND('STERLING CATALOG - FZN &amp; CHILL'!E1641,"AAAAAHff/0Y=")</f>
        <v>#VALUE!</v>
      </c>
      <c r="BT315" t="e">
        <f>AND('STERLING CATALOG - FZN &amp; CHILL'!F1641,"AAAAAHff/0c=")</f>
        <v>#VALUE!</v>
      </c>
      <c r="BU315" t="e">
        <f>AND('STERLING CATALOG - FZN &amp; CHILL'!G1641,"AAAAAHff/0g=")</f>
        <v>#VALUE!</v>
      </c>
      <c r="BV315" t="e">
        <f>AND('STERLING CATALOG - FZN &amp; CHILL'!H1641,"AAAAAHff/0k=")</f>
        <v>#VALUE!</v>
      </c>
      <c r="BW315" t="e">
        <f>AND('STERLING CATALOG - FZN &amp; CHILL'!I1641,"AAAAAHff/0o=")</f>
        <v>#VALUE!</v>
      </c>
      <c r="BX315" t="e">
        <f>AND('STERLING CATALOG - FZN &amp; CHILL'!J1641,"AAAAAHff/0s=")</f>
        <v>#VALUE!</v>
      </c>
      <c r="BY315">
        <f>IF('STERLING CATALOG - FZN &amp; CHILL'!1642:1642,"AAAAAHff/0w=",0)</f>
        <v>0</v>
      </c>
      <c r="BZ315" t="e">
        <f>AND('STERLING CATALOG - FZN &amp; CHILL'!A1642,"AAAAAHff/00=")</f>
        <v>#VALUE!</v>
      </c>
      <c r="CA315" t="e">
        <f>AND('STERLING CATALOG - FZN &amp; CHILL'!B1642,"AAAAAHff/04=")</f>
        <v>#VALUE!</v>
      </c>
      <c r="CB315" t="e">
        <f>AND('STERLING CATALOG - FZN &amp; CHILL'!C1642,"AAAAAHff/08=")</f>
        <v>#VALUE!</v>
      </c>
      <c r="CC315" t="e">
        <f>AND('STERLING CATALOG - FZN &amp; CHILL'!D1642,"AAAAAHff/1A=")</f>
        <v>#VALUE!</v>
      </c>
      <c r="CD315" t="e">
        <f>AND('STERLING CATALOG - FZN &amp; CHILL'!E1642,"AAAAAHff/1E=")</f>
        <v>#VALUE!</v>
      </c>
      <c r="CE315" t="e">
        <f>AND('STERLING CATALOG - FZN &amp; CHILL'!F1642,"AAAAAHff/1I=")</f>
        <v>#VALUE!</v>
      </c>
      <c r="CF315" t="e">
        <f>AND('STERLING CATALOG - FZN &amp; CHILL'!G1642,"AAAAAHff/1M=")</f>
        <v>#VALUE!</v>
      </c>
      <c r="CG315" t="e">
        <f>AND('STERLING CATALOG - FZN &amp; CHILL'!H1642,"AAAAAHff/1Q=")</f>
        <v>#VALUE!</v>
      </c>
      <c r="CH315" t="e">
        <f>AND('STERLING CATALOG - FZN &amp; CHILL'!I1642,"AAAAAHff/1U=")</f>
        <v>#VALUE!</v>
      </c>
      <c r="CI315" t="e">
        <f>AND('STERLING CATALOG - FZN &amp; CHILL'!J1642,"AAAAAHff/1Y=")</f>
        <v>#VALUE!</v>
      </c>
      <c r="CJ315">
        <f>IF('STERLING CATALOG - FZN &amp; CHILL'!1643:1643,"AAAAAHff/1c=",0)</f>
        <v>0</v>
      </c>
      <c r="CK315" t="e">
        <f>AND('STERLING CATALOG - FZN &amp; CHILL'!A1643,"AAAAAHff/1g=")</f>
        <v>#VALUE!</v>
      </c>
      <c r="CL315" t="e">
        <f>AND('STERLING CATALOG - FZN &amp; CHILL'!B1643,"AAAAAHff/1k=")</f>
        <v>#VALUE!</v>
      </c>
      <c r="CM315" t="e">
        <f>AND('STERLING CATALOG - FZN &amp; CHILL'!C1643,"AAAAAHff/1o=")</f>
        <v>#VALUE!</v>
      </c>
      <c r="CN315" t="e">
        <f>AND('STERLING CATALOG - FZN &amp; CHILL'!D1643,"AAAAAHff/1s=")</f>
        <v>#VALUE!</v>
      </c>
      <c r="CO315" t="e">
        <f>AND('STERLING CATALOG - FZN &amp; CHILL'!E1643,"AAAAAHff/1w=")</f>
        <v>#VALUE!</v>
      </c>
      <c r="CP315" t="e">
        <f>AND('STERLING CATALOG - FZN &amp; CHILL'!F1643,"AAAAAHff/10=")</f>
        <v>#VALUE!</v>
      </c>
      <c r="CQ315" t="e">
        <f>AND('STERLING CATALOG - FZN &amp; CHILL'!G1643,"AAAAAHff/14=")</f>
        <v>#VALUE!</v>
      </c>
      <c r="CR315" t="e">
        <f>AND('STERLING CATALOG - FZN &amp; CHILL'!H1643,"AAAAAHff/18=")</f>
        <v>#VALUE!</v>
      </c>
      <c r="CS315" t="e">
        <f>AND('STERLING CATALOG - FZN &amp; CHILL'!I1643,"AAAAAHff/2A=")</f>
        <v>#VALUE!</v>
      </c>
      <c r="CT315" t="e">
        <f>AND('STERLING CATALOG - FZN &amp; CHILL'!J1643,"AAAAAHff/2E=")</f>
        <v>#VALUE!</v>
      </c>
      <c r="CU315">
        <f>IF('STERLING CATALOG - FZN &amp; CHILL'!1644:1644,"AAAAAHff/2I=",0)</f>
        <v>0</v>
      </c>
      <c r="CV315" t="e">
        <f>AND('STERLING CATALOG - FZN &amp; CHILL'!A1644,"AAAAAHff/2M=")</f>
        <v>#VALUE!</v>
      </c>
      <c r="CW315" t="e">
        <f>AND('STERLING CATALOG - FZN &amp; CHILL'!B1644,"AAAAAHff/2Q=")</f>
        <v>#VALUE!</v>
      </c>
      <c r="CX315" t="e">
        <f>AND('STERLING CATALOG - FZN &amp; CHILL'!C1644,"AAAAAHff/2U=")</f>
        <v>#VALUE!</v>
      </c>
      <c r="CY315" t="e">
        <f>AND('STERLING CATALOG - FZN &amp; CHILL'!D1644,"AAAAAHff/2Y=")</f>
        <v>#VALUE!</v>
      </c>
      <c r="CZ315" t="e">
        <f>AND('STERLING CATALOG - FZN &amp; CHILL'!E1644,"AAAAAHff/2c=")</f>
        <v>#VALUE!</v>
      </c>
      <c r="DA315" t="e">
        <f>AND('STERLING CATALOG - FZN &amp; CHILL'!F1644,"AAAAAHff/2g=")</f>
        <v>#VALUE!</v>
      </c>
      <c r="DB315" t="e">
        <f>AND('STERLING CATALOG - FZN &amp; CHILL'!G1644,"AAAAAHff/2k=")</f>
        <v>#VALUE!</v>
      </c>
      <c r="DC315" t="e">
        <f>AND('STERLING CATALOG - FZN &amp; CHILL'!H1644,"AAAAAHff/2o=")</f>
        <v>#VALUE!</v>
      </c>
      <c r="DD315" t="e">
        <f>AND('STERLING CATALOG - FZN &amp; CHILL'!I1644,"AAAAAHff/2s=")</f>
        <v>#VALUE!</v>
      </c>
      <c r="DE315" t="e">
        <f>AND('STERLING CATALOG - FZN &amp; CHILL'!J1644,"AAAAAHff/2w=")</f>
        <v>#VALUE!</v>
      </c>
      <c r="DF315">
        <f>IF('STERLING CATALOG - FZN &amp; CHILL'!1645:1645,"AAAAAHff/20=",0)</f>
        <v>0</v>
      </c>
      <c r="DG315" t="e">
        <f>AND('STERLING CATALOG - FZN &amp; CHILL'!A1645,"AAAAAHff/24=")</f>
        <v>#VALUE!</v>
      </c>
      <c r="DH315" t="e">
        <f>AND('STERLING CATALOG - FZN &amp; CHILL'!B1645,"AAAAAHff/28=")</f>
        <v>#VALUE!</v>
      </c>
      <c r="DI315" t="e">
        <f>AND('STERLING CATALOG - FZN &amp; CHILL'!C1645,"AAAAAHff/3A=")</f>
        <v>#VALUE!</v>
      </c>
      <c r="DJ315" t="e">
        <f>AND('STERLING CATALOG - FZN &amp; CHILL'!D1645,"AAAAAHff/3E=")</f>
        <v>#VALUE!</v>
      </c>
      <c r="DK315" t="e">
        <f>AND('STERLING CATALOG - FZN &amp; CHILL'!E1645,"AAAAAHff/3I=")</f>
        <v>#VALUE!</v>
      </c>
      <c r="DL315" t="e">
        <f>AND('STERLING CATALOG - FZN &amp; CHILL'!F1645,"AAAAAHff/3M=")</f>
        <v>#VALUE!</v>
      </c>
      <c r="DM315" t="e">
        <f>AND('STERLING CATALOG - FZN &amp; CHILL'!G1645,"AAAAAHff/3Q=")</f>
        <v>#VALUE!</v>
      </c>
      <c r="DN315" t="e">
        <f>AND('STERLING CATALOG - FZN &amp; CHILL'!H1645,"AAAAAHff/3U=")</f>
        <v>#VALUE!</v>
      </c>
      <c r="DO315" t="e">
        <f>AND('STERLING CATALOG - FZN &amp; CHILL'!I1645,"AAAAAHff/3Y=")</f>
        <v>#VALUE!</v>
      </c>
      <c r="DP315" t="e">
        <f>AND('STERLING CATALOG - FZN &amp; CHILL'!J1645,"AAAAAHff/3c=")</f>
        <v>#VALUE!</v>
      </c>
      <c r="DQ315">
        <f>IF('STERLING CATALOG - FZN &amp; CHILL'!1646:1646,"AAAAAHff/3g=",0)</f>
        <v>0</v>
      </c>
      <c r="DR315" t="e">
        <f>AND('STERLING CATALOG - FZN &amp; CHILL'!A1646,"AAAAAHff/3k=")</f>
        <v>#VALUE!</v>
      </c>
      <c r="DS315" t="e">
        <f>AND('STERLING CATALOG - FZN &amp; CHILL'!B1646,"AAAAAHff/3o=")</f>
        <v>#VALUE!</v>
      </c>
      <c r="DT315" t="e">
        <f>AND('STERLING CATALOG - FZN &amp; CHILL'!C1646,"AAAAAHff/3s=")</f>
        <v>#VALUE!</v>
      </c>
      <c r="DU315" t="e">
        <f>AND('STERLING CATALOG - FZN &amp; CHILL'!D1646,"AAAAAHff/3w=")</f>
        <v>#VALUE!</v>
      </c>
      <c r="DV315" t="e">
        <f>AND('STERLING CATALOG - FZN &amp; CHILL'!E1646,"AAAAAHff/30=")</f>
        <v>#VALUE!</v>
      </c>
      <c r="DW315" t="e">
        <f>AND('STERLING CATALOG - FZN &amp; CHILL'!F1646,"AAAAAHff/34=")</f>
        <v>#VALUE!</v>
      </c>
      <c r="DX315" t="e">
        <f>AND('STERLING CATALOG - FZN &amp; CHILL'!G1646,"AAAAAHff/38=")</f>
        <v>#VALUE!</v>
      </c>
      <c r="DY315" t="e">
        <f>AND('STERLING CATALOG - FZN &amp; CHILL'!H1646,"AAAAAHff/4A=")</f>
        <v>#VALUE!</v>
      </c>
      <c r="DZ315" t="e">
        <f>AND('STERLING CATALOG - FZN &amp; CHILL'!I1646,"AAAAAHff/4E=")</f>
        <v>#VALUE!</v>
      </c>
      <c r="EA315" t="e">
        <f>AND('STERLING CATALOG - FZN &amp; CHILL'!J1646,"AAAAAHff/4I=")</f>
        <v>#VALUE!</v>
      </c>
      <c r="EB315">
        <f>IF('STERLING CATALOG - FZN &amp; CHILL'!1647:1647,"AAAAAHff/4M=",0)</f>
        <v>0</v>
      </c>
      <c r="EC315" t="e">
        <f>AND('STERLING CATALOG - FZN &amp; CHILL'!A1647,"AAAAAHff/4Q=")</f>
        <v>#VALUE!</v>
      </c>
      <c r="ED315" t="e">
        <f>AND('STERLING CATALOG - FZN &amp; CHILL'!B1647,"AAAAAHff/4U=")</f>
        <v>#VALUE!</v>
      </c>
      <c r="EE315" t="e">
        <f>AND('STERLING CATALOG - FZN &amp; CHILL'!C1647,"AAAAAHff/4Y=")</f>
        <v>#VALUE!</v>
      </c>
      <c r="EF315" t="e">
        <f>AND('STERLING CATALOG - FZN &amp; CHILL'!D1647,"AAAAAHff/4c=")</f>
        <v>#VALUE!</v>
      </c>
      <c r="EG315" t="e">
        <f>AND('STERLING CATALOG - FZN &amp; CHILL'!E1647,"AAAAAHff/4g=")</f>
        <v>#VALUE!</v>
      </c>
      <c r="EH315" t="e">
        <f>AND('STERLING CATALOG - FZN &amp; CHILL'!F1647,"AAAAAHff/4k=")</f>
        <v>#VALUE!</v>
      </c>
      <c r="EI315" t="e">
        <f>AND('STERLING CATALOG - FZN &amp; CHILL'!G1647,"AAAAAHff/4o=")</f>
        <v>#VALUE!</v>
      </c>
      <c r="EJ315" t="e">
        <f>AND('STERLING CATALOG - FZN &amp; CHILL'!H1647,"AAAAAHff/4s=")</f>
        <v>#VALUE!</v>
      </c>
      <c r="EK315" t="e">
        <f>AND('STERLING CATALOG - FZN &amp; CHILL'!I1647,"AAAAAHff/4w=")</f>
        <v>#VALUE!</v>
      </c>
      <c r="EL315" t="e">
        <f>AND('STERLING CATALOG - FZN &amp; CHILL'!J1647,"AAAAAHff/40=")</f>
        <v>#VALUE!</v>
      </c>
      <c r="EM315">
        <f>IF('STERLING CATALOG - FZN &amp; CHILL'!1648:1648,"AAAAAHff/44=",0)</f>
        <v>0</v>
      </c>
      <c r="EN315" t="e">
        <f>AND('STERLING CATALOG - FZN &amp; CHILL'!A1648,"AAAAAHff/48=")</f>
        <v>#VALUE!</v>
      </c>
      <c r="EO315" t="e">
        <f>AND('STERLING CATALOG - FZN &amp; CHILL'!B1648,"AAAAAHff/5A=")</f>
        <v>#VALUE!</v>
      </c>
      <c r="EP315" t="e">
        <f>AND('STERLING CATALOG - FZN &amp; CHILL'!C1648,"AAAAAHff/5E=")</f>
        <v>#VALUE!</v>
      </c>
      <c r="EQ315" t="e">
        <f>AND('STERLING CATALOG - FZN &amp; CHILL'!D1648,"AAAAAHff/5I=")</f>
        <v>#VALUE!</v>
      </c>
      <c r="ER315" t="e">
        <f>AND('STERLING CATALOG - FZN &amp; CHILL'!E1648,"AAAAAHff/5M=")</f>
        <v>#VALUE!</v>
      </c>
      <c r="ES315" t="e">
        <f>AND('STERLING CATALOG - FZN &amp; CHILL'!F1648,"AAAAAHff/5Q=")</f>
        <v>#VALUE!</v>
      </c>
      <c r="ET315" t="e">
        <f>AND('STERLING CATALOG - FZN &amp; CHILL'!G1648,"AAAAAHff/5U=")</f>
        <v>#VALUE!</v>
      </c>
      <c r="EU315" t="e">
        <f>AND('STERLING CATALOG - FZN &amp; CHILL'!H1648,"AAAAAHff/5Y=")</f>
        <v>#VALUE!</v>
      </c>
      <c r="EV315" t="e">
        <f>AND('STERLING CATALOG - FZN &amp; CHILL'!I1648,"AAAAAHff/5c=")</f>
        <v>#VALUE!</v>
      </c>
      <c r="EW315" t="e">
        <f>AND('STERLING CATALOG - FZN &amp; CHILL'!J1648,"AAAAAHff/5g=")</f>
        <v>#VALUE!</v>
      </c>
      <c r="EX315">
        <f>IF('STERLING CATALOG - FZN &amp; CHILL'!1649:1649,"AAAAAHff/5k=",0)</f>
        <v>0</v>
      </c>
      <c r="EY315" t="e">
        <f>AND('STERLING CATALOG - FZN &amp; CHILL'!A1649,"AAAAAHff/5o=")</f>
        <v>#VALUE!</v>
      </c>
      <c r="EZ315" t="e">
        <f>AND('STERLING CATALOG - FZN &amp; CHILL'!B1649,"AAAAAHff/5s=")</f>
        <v>#VALUE!</v>
      </c>
      <c r="FA315" t="e">
        <f>AND('STERLING CATALOG - FZN &amp; CHILL'!C1649,"AAAAAHff/5w=")</f>
        <v>#VALUE!</v>
      </c>
      <c r="FB315" t="e">
        <f>AND('STERLING CATALOG - FZN &amp; CHILL'!D1649,"AAAAAHff/50=")</f>
        <v>#VALUE!</v>
      </c>
      <c r="FC315" t="e">
        <f>AND('STERLING CATALOG - FZN &amp; CHILL'!E1649,"AAAAAHff/54=")</f>
        <v>#VALUE!</v>
      </c>
      <c r="FD315" t="e">
        <f>AND('STERLING CATALOG - FZN &amp; CHILL'!F1649,"AAAAAHff/58=")</f>
        <v>#VALUE!</v>
      </c>
      <c r="FE315" t="e">
        <f>AND('STERLING CATALOG - FZN &amp; CHILL'!G1649,"AAAAAHff/6A=")</f>
        <v>#VALUE!</v>
      </c>
      <c r="FF315" t="e">
        <f>AND('STERLING CATALOG - FZN &amp; CHILL'!H1649,"AAAAAHff/6E=")</f>
        <v>#VALUE!</v>
      </c>
      <c r="FG315" t="e">
        <f>AND('STERLING CATALOG - FZN &amp; CHILL'!I1649,"AAAAAHff/6I=")</f>
        <v>#VALUE!</v>
      </c>
      <c r="FH315" t="e">
        <f>AND('STERLING CATALOG - FZN &amp; CHILL'!J1649,"AAAAAHff/6M=")</f>
        <v>#VALUE!</v>
      </c>
      <c r="FI315">
        <f>IF('STERLING CATALOG - FZN &amp; CHILL'!1650:1650,"AAAAAHff/6Q=",0)</f>
        <v>0</v>
      </c>
      <c r="FJ315" t="e">
        <f>AND('STERLING CATALOG - FZN &amp; CHILL'!A1650,"AAAAAHff/6U=")</f>
        <v>#VALUE!</v>
      </c>
      <c r="FK315" t="e">
        <f>AND('STERLING CATALOG - FZN &amp; CHILL'!B1650,"AAAAAHff/6Y=")</f>
        <v>#VALUE!</v>
      </c>
      <c r="FL315" t="e">
        <f>AND('STERLING CATALOG - FZN &amp; CHILL'!C1650,"AAAAAHff/6c=")</f>
        <v>#VALUE!</v>
      </c>
      <c r="FM315" t="e">
        <f>AND('STERLING CATALOG - FZN &amp; CHILL'!D1650,"AAAAAHff/6g=")</f>
        <v>#VALUE!</v>
      </c>
      <c r="FN315" t="e">
        <f>AND('STERLING CATALOG - FZN &amp; CHILL'!E1650,"AAAAAHff/6k=")</f>
        <v>#VALUE!</v>
      </c>
      <c r="FO315" t="e">
        <f>AND('STERLING CATALOG - FZN &amp; CHILL'!F1650,"AAAAAHff/6o=")</f>
        <v>#VALUE!</v>
      </c>
      <c r="FP315" t="e">
        <f>AND('STERLING CATALOG - FZN &amp; CHILL'!G1650,"AAAAAHff/6s=")</f>
        <v>#VALUE!</v>
      </c>
      <c r="FQ315" t="e">
        <f>AND('STERLING CATALOG - FZN &amp; CHILL'!H1650,"AAAAAHff/6w=")</f>
        <v>#VALUE!</v>
      </c>
      <c r="FR315" t="e">
        <f>AND('STERLING CATALOG - FZN &amp; CHILL'!I1650,"AAAAAHff/60=")</f>
        <v>#VALUE!</v>
      </c>
      <c r="FS315" t="e">
        <f>AND('STERLING CATALOG - FZN &amp; CHILL'!J1650,"AAAAAHff/64=")</f>
        <v>#VALUE!</v>
      </c>
      <c r="FT315">
        <f>IF('STERLING CATALOG - FZN &amp; CHILL'!1651:1651,"AAAAAHff/68=",0)</f>
        <v>0</v>
      </c>
      <c r="FU315" t="e">
        <f>AND('STERLING CATALOG - FZN &amp; CHILL'!A1651,"AAAAAHff/7A=")</f>
        <v>#VALUE!</v>
      </c>
      <c r="FV315" t="e">
        <f>AND('STERLING CATALOG - FZN &amp; CHILL'!B1651,"AAAAAHff/7E=")</f>
        <v>#VALUE!</v>
      </c>
      <c r="FW315" t="e">
        <f>AND('STERLING CATALOG - FZN &amp; CHILL'!C1651,"AAAAAHff/7I=")</f>
        <v>#VALUE!</v>
      </c>
      <c r="FX315" t="e">
        <f>AND('STERLING CATALOG - FZN &amp; CHILL'!D1651,"AAAAAHff/7M=")</f>
        <v>#VALUE!</v>
      </c>
      <c r="FY315" t="e">
        <f>AND('STERLING CATALOG - FZN &amp; CHILL'!E1651,"AAAAAHff/7Q=")</f>
        <v>#VALUE!</v>
      </c>
      <c r="FZ315" t="e">
        <f>AND('STERLING CATALOG - FZN &amp; CHILL'!F1651,"AAAAAHff/7U=")</f>
        <v>#VALUE!</v>
      </c>
      <c r="GA315" t="e">
        <f>AND('STERLING CATALOG - FZN &amp; CHILL'!G1651,"AAAAAHff/7Y=")</f>
        <v>#VALUE!</v>
      </c>
      <c r="GB315" t="e">
        <f>AND('STERLING CATALOG - FZN &amp; CHILL'!H1651,"AAAAAHff/7c=")</f>
        <v>#VALUE!</v>
      </c>
      <c r="GC315" t="e">
        <f>AND('STERLING CATALOG - FZN &amp; CHILL'!I1651,"AAAAAHff/7g=")</f>
        <v>#VALUE!</v>
      </c>
      <c r="GD315" t="e">
        <f>AND('STERLING CATALOG - FZN &amp; CHILL'!J1651,"AAAAAHff/7k=")</f>
        <v>#VALUE!</v>
      </c>
      <c r="GE315">
        <f>IF('STERLING CATALOG - FZN &amp; CHILL'!1652:1652,"AAAAAHff/7o=",0)</f>
        <v>0</v>
      </c>
      <c r="GF315" t="e">
        <f>AND('STERLING CATALOG - FZN &amp; CHILL'!A1652,"AAAAAHff/7s=")</f>
        <v>#VALUE!</v>
      </c>
      <c r="GG315" t="e">
        <f>AND('STERLING CATALOG - FZN &amp; CHILL'!B1652,"AAAAAHff/7w=")</f>
        <v>#VALUE!</v>
      </c>
      <c r="GH315" t="e">
        <f>AND('STERLING CATALOG - FZN &amp; CHILL'!C1652,"AAAAAHff/70=")</f>
        <v>#VALUE!</v>
      </c>
      <c r="GI315" t="e">
        <f>AND('STERLING CATALOG - FZN &amp; CHILL'!D1652,"AAAAAHff/74=")</f>
        <v>#VALUE!</v>
      </c>
      <c r="GJ315" t="e">
        <f>AND('STERLING CATALOG - FZN &amp; CHILL'!E1652,"AAAAAHff/78=")</f>
        <v>#VALUE!</v>
      </c>
      <c r="GK315" t="e">
        <f>AND('STERLING CATALOG - FZN &amp; CHILL'!F1652,"AAAAAHff/8A=")</f>
        <v>#VALUE!</v>
      </c>
      <c r="GL315" t="e">
        <f>AND('STERLING CATALOG - FZN &amp; CHILL'!G1652,"AAAAAHff/8E=")</f>
        <v>#VALUE!</v>
      </c>
      <c r="GM315" t="e">
        <f>AND('STERLING CATALOG - FZN &amp; CHILL'!H1652,"AAAAAHff/8I=")</f>
        <v>#VALUE!</v>
      </c>
      <c r="GN315" t="e">
        <f>AND('STERLING CATALOG - FZN &amp; CHILL'!I1652,"AAAAAHff/8M=")</f>
        <v>#VALUE!</v>
      </c>
      <c r="GO315" t="e">
        <f>AND('STERLING CATALOG - FZN &amp; CHILL'!J1652,"AAAAAHff/8Q=")</f>
        <v>#VALUE!</v>
      </c>
      <c r="GP315">
        <f>IF('STERLING CATALOG - FZN &amp; CHILL'!1653:1653,"AAAAAHff/8U=",0)</f>
        <v>0</v>
      </c>
      <c r="GQ315" t="e">
        <f>AND('STERLING CATALOG - FZN &amp; CHILL'!A1653,"AAAAAHff/8Y=")</f>
        <v>#VALUE!</v>
      </c>
      <c r="GR315" t="e">
        <f>AND('STERLING CATALOG - FZN &amp; CHILL'!B1653,"AAAAAHff/8c=")</f>
        <v>#VALUE!</v>
      </c>
      <c r="GS315" t="e">
        <f>AND('STERLING CATALOG - FZN &amp; CHILL'!C1653,"AAAAAHff/8g=")</f>
        <v>#VALUE!</v>
      </c>
      <c r="GT315" t="e">
        <f>AND('STERLING CATALOG - FZN &amp; CHILL'!D1653,"AAAAAHff/8k=")</f>
        <v>#VALUE!</v>
      </c>
      <c r="GU315" t="e">
        <f>AND('STERLING CATALOG - FZN &amp; CHILL'!E1653,"AAAAAHff/8o=")</f>
        <v>#VALUE!</v>
      </c>
      <c r="GV315" t="e">
        <f>AND('STERLING CATALOG - FZN &amp; CHILL'!F1653,"AAAAAHff/8s=")</f>
        <v>#VALUE!</v>
      </c>
      <c r="GW315" t="e">
        <f>AND('STERLING CATALOG - FZN &amp; CHILL'!G1653,"AAAAAHff/8w=")</f>
        <v>#VALUE!</v>
      </c>
      <c r="GX315" t="e">
        <f>AND('STERLING CATALOG - FZN &amp; CHILL'!H1653,"AAAAAHff/80=")</f>
        <v>#VALUE!</v>
      </c>
      <c r="GY315" t="e">
        <f>AND('STERLING CATALOG - FZN &amp; CHILL'!I1653,"AAAAAHff/84=")</f>
        <v>#VALUE!</v>
      </c>
      <c r="GZ315" t="e">
        <f>AND('STERLING CATALOG - FZN &amp; CHILL'!J1653,"AAAAAHff/88=")</f>
        <v>#VALUE!</v>
      </c>
      <c r="HA315">
        <f>IF('STERLING CATALOG - FZN &amp; CHILL'!1654:1654,"AAAAAHff/9A=",0)</f>
        <v>0</v>
      </c>
      <c r="HB315" t="e">
        <f>AND('STERLING CATALOG - FZN &amp; CHILL'!A1654,"AAAAAHff/9E=")</f>
        <v>#VALUE!</v>
      </c>
      <c r="HC315" t="e">
        <f>AND('STERLING CATALOG - FZN &amp; CHILL'!B1654,"AAAAAHff/9I=")</f>
        <v>#VALUE!</v>
      </c>
      <c r="HD315" t="e">
        <f>AND('STERLING CATALOG - FZN &amp; CHILL'!C1654,"AAAAAHff/9M=")</f>
        <v>#VALUE!</v>
      </c>
      <c r="HE315" t="e">
        <f>AND('STERLING CATALOG - FZN &amp; CHILL'!D1654,"AAAAAHff/9Q=")</f>
        <v>#VALUE!</v>
      </c>
      <c r="HF315" t="e">
        <f>AND('STERLING CATALOG - FZN &amp; CHILL'!E1654,"AAAAAHff/9U=")</f>
        <v>#VALUE!</v>
      </c>
      <c r="HG315" t="e">
        <f>AND('STERLING CATALOG - FZN &amp; CHILL'!F1654,"AAAAAHff/9Y=")</f>
        <v>#VALUE!</v>
      </c>
      <c r="HH315" t="e">
        <f>AND('STERLING CATALOG - FZN &amp; CHILL'!G1654,"AAAAAHff/9c=")</f>
        <v>#VALUE!</v>
      </c>
      <c r="HI315" t="e">
        <f>AND('STERLING CATALOG - FZN &amp; CHILL'!H1654,"AAAAAHff/9g=")</f>
        <v>#VALUE!</v>
      </c>
      <c r="HJ315" t="e">
        <f>AND('STERLING CATALOG - FZN &amp; CHILL'!I1654,"AAAAAHff/9k=")</f>
        <v>#VALUE!</v>
      </c>
      <c r="HK315" t="e">
        <f>AND('STERLING CATALOG - FZN &amp; CHILL'!J1654,"AAAAAHff/9o=")</f>
        <v>#VALUE!</v>
      </c>
      <c r="HL315">
        <f>IF('STERLING CATALOG - FZN &amp; CHILL'!1655:1655,"AAAAAHff/9s=",0)</f>
        <v>0</v>
      </c>
      <c r="HM315" t="e">
        <f>AND('STERLING CATALOG - FZN &amp; CHILL'!A1655,"AAAAAHff/9w=")</f>
        <v>#VALUE!</v>
      </c>
      <c r="HN315" t="e">
        <f>AND('STERLING CATALOG - FZN &amp; CHILL'!B1655,"AAAAAHff/90=")</f>
        <v>#VALUE!</v>
      </c>
      <c r="HO315" t="e">
        <f>AND('STERLING CATALOG - FZN &amp; CHILL'!C1655,"AAAAAHff/94=")</f>
        <v>#VALUE!</v>
      </c>
      <c r="HP315" t="e">
        <f>AND('STERLING CATALOG - FZN &amp; CHILL'!D1655,"AAAAAHff/98=")</f>
        <v>#VALUE!</v>
      </c>
      <c r="HQ315" t="e">
        <f>AND('STERLING CATALOG - FZN &amp; CHILL'!E1655,"AAAAAHff/+A=")</f>
        <v>#VALUE!</v>
      </c>
      <c r="HR315" t="e">
        <f>AND('STERLING CATALOG - FZN &amp; CHILL'!F1655,"AAAAAHff/+E=")</f>
        <v>#VALUE!</v>
      </c>
      <c r="HS315" t="e">
        <f>AND('STERLING CATALOG - FZN &amp; CHILL'!G1655,"AAAAAHff/+I=")</f>
        <v>#VALUE!</v>
      </c>
      <c r="HT315" t="e">
        <f>AND('STERLING CATALOG - FZN &amp; CHILL'!H1655,"AAAAAHff/+M=")</f>
        <v>#VALUE!</v>
      </c>
      <c r="HU315" t="e">
        <f>AND('STERLING CATALOG - FZN &amp; CHILL'!I1655,"AAAAAHff/+Q=")</f>
        <v>#VALUE!</v>
      </c>
      <c r="HV315" t="e">
        <f>AND('STERLING CATALOG - FZN &amp; CHILL'!J1655,"AAAAAHff/+U=")</f>
        <v>#VALUE!</v>
      </c>
      <c r="HW315">
        <f>IF('STERLING CATALOG - FZN &amp; CHILL'!1656:1656,"AAAAAHff/+Y=",0)</f>
        <v>0</v>
      </c>
      <c r="HX315" t="e">
        <f>AND('STERLING CATALOG - FZN &amp; CHILL'!A1656,"AAAAAHff/+c=")</f>
        <v>#VALUE!</v>
      </c>
      <c r="HY315" t="e">
        <f>AND('STERLING CATALOG - FZN &amp; CHILL'!B1656,"AAAAAHff/+g=")</f>
        <v>#VALUE!</v>
      </c>
      <c r="HZ315" t="e">
        <f>AND('STERLING CATALOG - FZN &amp; CHILL'!C1656,"AAAAAHff/+k=")</f>
        <v>#VALUE!</v>
      </c>
      <c r="IA315" t="e">
        <f>AND('STERLING CATALOG - FZN &amp; CHILL'!D1656,"AAAAAHff/+o=")</f>
        <v>#VALUE!</v>
      </c>
      <c r="IB315" t="e">
        <f>AND('STERLING CATALOG - FZN &amp; CHILL'!E1656,"AAAAAHff/+s=")</f>
        <v>#VALUE!</v>
      </c>
      <c r="IC315" t="e">
        <f>AND('STERLING CATALOG - FZN &amp; CHILL'!F1656,"AAAAAHff/+w=")</f>
        <v>#VALUE!</v>
      </c>
      <c r="ID315" t="e">
        <f>AND('STERLING CATALOG - FZN &amp; CHILL'!G1656,"AAAAAHff/+0=")</f>
        <v>#VALUE!</v>
      </c>
      <c r="IE315" t="e">
        <f>AND('STERLING CATALOG - FZN &amp; CHILL'!H1656,"AAAAAHff/+4=")</f>
        <v>#VALUE!</v>
      </c>
      <c r="IF315" t="e">
        <f>AND('STERLING CATALOG - FZN &amp; CHILL'!I1656,"AAAAAHff/+8=")</f>
        <v>#VALUE!</v>
      </c>
      <c r="IG315" t="e">
        <f>AND('STERLING CATALOG - FZN &amp; CHILL'!J1656,"AAAAAHff//A=")</f>
        <v>#VALUE!</v>
      </c>
      <c r="IH315">
        <f>IF('STERLING CATALOG - FZN &amp; CHILL'!1657:1657,"AAAAAHff//E=",0)</f>
        <v>0</v>
      </c>
      <c r="II315" t="e">
        <f>AND('STERLING CATALOG - FZN &amp; CHILL'!A1657,"AAAAAHff//I=")</f>
        <v>#VALUE!</v>
      </c>
      <c r="IJ315" t="e">
        <f>AND('STERLING CATALOG - FZN &amp; CHILL'!B1657,"AAAAAHff//M=")</f>
        <v>#VALUE!</v>
      </c>
      <c r="IK315" t="e">
        <f>AND('STERLING CATALOG - FZN &amp; CHILL'!C1657,"AAAAAHff//Q=")</f>
        <v>#VALUE!</v>
      </c>
      <c r="IL315" t="e">
        <f>AND('STERLING CATALOG - FZN &amp; CHILL'!D1657,"AAAAAHff//U=")</f>
        <v>#VALUE!</v>
      </c>
      <c r="IM315" t="e">
        <f>AND('STERLING CATALOG - FZN &amp; CHILL'!E1657,"AAAAAHff//Y=")</f>
        <v>#VALUE!</v>
      </c>
      <c r="IN315" t="e">
        <f>AND('STERLING CATALOG - FZN &amp; CHILL'!F1657,"AAAAAHff//c=")</f>
        <v>#VALUE!</v>
      </c>
      <c r="IO315" t="e">
        <f>AND('STERLING CATALOG - FZN &amp; CHILL'!G1657,"AAAAAHff//g=")</f>
        <v>#VALUE!</v>
      </c>
      <c r="IP315" t="e">
        <f>AND('STERLING CATALOG - FZN &amp; CHILL'!H1657,"AAAAAHff//k=")</f>
        <v>#VALUE!</v>
      </c>
      <c r="IQ315" t="e">
        <f>AND('STERLING CATALOG - FZN &amp; CHILL'!I1657,"AAAAAHff//o=")</f>
        <v>#VALUE!</v>
      </c>
      <c r="IR315" t="e">
        <f>AND('STERLING CATALOG - FZN &amp; CHILL'!J1657,"AAAAAHff//s=")</f>
        <v>#VALUE!</v>
      </c>
      <c r="IS315">
        <f>IF('STERLING CATALOG - FZN &amp; CHILL'!1658:1658,"AAAAAHff//w=",0)</f>
        <v>0</v>
      </c>
      <c r="IT315" t="e">
        <f>AND('STERLING CATALOG - FZN &amp; CHILL'!A1658,"AAAAAHff//0=")</f>
        <v>#VALUE!</v>
      </c>
      <c r="IU315" t="e">
        <f>AND('STERLING CATALOG - FZN &amp; CHILL'!B1658,"AAAAAHff//4=")</f>
        <v>#VALUE!</v>
      </c>
      <c r="IV315" t="e">
        <f>AND('STERLING CATALOG - FZN &amp; CHILL'!C1658,"AAAAAHff//8=")</f>
        <v>#VALUE!</v>
      </c>
    </row>
    <row r="316" spans="1:256">
      <c r="A316" t="e">
        <f>AND('STERLING CATALOG - FZN &amp; CHILL'!D1658,"AAAAABc9vwA=")</f>
        <v>#VALUE!</v>
      </c>
      <c r="B316" t="e">
        <f>AND('STERLING CATALOG - FZN &amp; CHILL'!E1658,"AAAAABc9vwE=")</f>
        <v>#VALUE!</v>
      </c>
      <c r="C316" t="e">
        <f>AND('STERLING CATALOG - FZN &amp; CHILL'!F1658,"AAAAABc9vwI=")</f>
        <v>#VALUE!</v>
      </c>
      <c r="D316" t="e">
        <f>AND('STERLING CATALOG - FZN &amp; CHILL'!G1658,"AAAAABc9vwM=")</f>
        <v>#VALUE!</v>
      </c>
      <c r="E316" t="e">
        <f>AND('STERLING CATALOG - FZN &amp; CHILL'!H1658,"AAAAABc9vwQ=")</f>
        <v>#VALUE!</v>
      </c>
      <c r="F316" t="e">
        <f>AND('STERLING CATALOG - FZN &amp; CHILL'!I1658,"AAAAABc9vwU=")</f>
        <v>#VALUE!</v>
      </c>
      <c r="G316" t="e">
        <f>AND('STERLING CATALOG - FZN &amp; CHILL'!J1658,"AAAAABc9vwY=")</f>
        <v>#VALUE!</v>
      </c>
      <c r="H316" t="str">
        <f>IF('STERLING CATALOG - FZN &amp; CHILL'!1659:1659,"AAAAABc9vwc=",0)</f>
        <v>AAAAABc9vwc=</v>
      </c>
      <c r="I316" t="e">
        <f>AND('STERLING CATALOG - FZN &amp; CHILL'!A1659,"AAAAABc9vwg=")</f>
        <v>#VALUE!</v>
      </c>
      <c r="J316" t="e">
        <f>AND('STERLING CATALOG - FZN &amp; CHILL'!B1659,"AAAAABc9vwk=")</f>
        <v>#VALUE!</v>
      </c>
      <c r="K316" t="e">
        <f>AND('STERLING CATALOG - FZN &amp; CHILL'!C1659,"AAAAABc9vwo=")</f>
        <v>#VALUE!</v>
      </c>
      <c r="L316" t="e">
        <f>AND('STERLING CATALOG - FZN &amp; CHILL'!D1659,"AAAAABc9vws=")</f>
        <v>#VALUE!</v>
      </c>
      <c r="M316" t="e">
        <f>AND('STERLING CATALOG - FZN &amp; CHILL'!E1659,"AAAAABc9vww=")</f>
        <v>#VALUE!</v>
      </c>
      <c r="N316" t="e">
        <f>AND('STERLING CATALOG - FZN &amp; CHILL'!F1659,"AAAAABc9vw0=")</f>
        <v>#VALUE!</v>
      </c>
      <c r="O316" t="e">
        <f>AND('STERLING CATALOG - FZN &amp; CHILL'!G1659,"AAAAABc9vw4=")</f>
        <v>#VALUE!</v>
      </c>
      <c r="P316" t="e">
        <f>AND('STERLING CATALOG - FZN &amp; CHILL'!H1659,"AAAAABc9vw8=")</f>
        <v>#VALUE!</v>
      </c>
      <c r="Q316" t="e">
        <f>AND('STERLING CATALOG - FZN &amp; CHILL'!I1659,"AAAAABc9vxA=")</f>
        <v>#VALUE!</v>
      </c>
      <c r="R316" t="e">
        <f>AND('STERLING CATALOG - FZN &amp; CHILL'!J1659,"AAAAABc9vxE=")</f>
        <v>#VALUE!</v>
      </c>
      <c r="S316">
        <f>IF('STERLING CATALOG - FZN &amp; CHILL'!1660:1660,"AAAAABc9vxI=",0)</f>
        <v>0</v>
      </c>
      <c r="T316" t="e">
        <f>AND('STERLING CATALOG - FZN &amp; CHILL'!A1660,"AAAAABc9vxM=")</f>
        <v>#VALUE!</v>
      </c>
      <c r="U316" t="e">
        <f>AND('STERLING CATALOG - FZN &amp; CHILL'!B1660,"AAAAABc9vxQ=")</f>
        <v>#VALUE!</v>
      </c>
      <c r="V316" t="e">
        <f>AND('STERLING CATALOG - FZN &amp; CHILL'!C1660,"AAAAABc9vxU=")</f>
        <v>#VALUE!</v>
      </c>
      <c r="W316" t="e">
        <f>AND('STERLING CATALOG - FZN &amp; CHILL'!D1660,"AAAAABc9vxY=")</f>
        <v>#VALUE!</v>
      </c>
      <c r="X316" t="e">
        <f>AND('STERLING CATALOG - FZN &amp; CHILL'!E1660,"AAAAABc9vxc=")</f>
        <v>#VALUE!</v>
      </c>
      <c r="Y316" t="e">
        <f>AND('STERLING CATALOG - FZN &amp; CHILL'!F1660,"AAAAABc9vxg=")</f>
        <v>#VALUE!</v>
      </c>
      <c r="Z316" t="e">
        <f>AND('STERLING CATALOG - FZN &amp; CHILL'!G1660,"AAAAABc9vxk=")</f>
        <v>#VALUE!</v>
      </c>
      <c r="AA316" t="e">
        <f>AND('STERLING CATALOG - FZN &amp; CHILL'!H1660,"AAAAABc9vxo=")</f>
        <v>#VALUE!</v>
      </c>
      <c r="AB316" t="e">
        <f>AND('STERLING CATALOG - FZN &amp; CHILL'!I1660,"AAAAABc9vxs=")</f>
        <v>#VALUE!</v>
      </c>
      <c r="AC316" t="e">
        <f>AND('STERLING CATALOG - FZN &amp; CHILL'!J1660,"AAAAABc9vxw=")</f>
        <v>#VALUE!</v>
      </c>
      <c r="AD316">
        <f>IF('STERLING CATALOG - FZN &amp; CHILL'!1661:1661,"AAAAABc9vx0=",0)</f>
        <v>0</v>
      </c>
      <c r="AE316" t="e">
        <f>AND('STERLING CATALOG - FZN &amp; CHILL'!A1661,"AAAAABc9vx4=")</f>
        <v>#VALUE!</v>
      </c>
      <c r="AF316" t="e">
        <f>AND('STERLING CATALOG - FZN &amp; CHILL'!B1661,"AAAAABc9vx8=")</f>
        <v>#VALUE!</v>
      </c>
      <c r="AG316" t="e">
        <f>AND('STERLING CATALOG - FZN &amp; CHILL'!C1661,"AAAAABc9vyA=")</f>
        <v>#VALUE!</v>
      </c>
      <c r="AH316" t="e">
        <f>AND('STERLING CATALOG - FZN &amp; CHILL'!D1661,"AAAAABc9vyE=")</f>
        <v>#VALUE!</v>
      </c>
      <c r="AI316" t="e">
        <f>AND('STERLING CATALOG - FZN &amp; CHILL'!E1661,"AAAAABc9vyI=")</f>
        <v>#VALUE!</v>
      </c>
      <c r="AJ316" t="e">
        <f>AND('STERLING CATALOG - FZN &amp; CHILL'!F1661,"AAAAABc9vyM=")</f>
        <v>#VALUE!</v>
      </c>
      <c r="AK316" t="e">
        <f>AND('STERLING CATALOG - FZN &amp; CHILL'!G1661,"AAAAABc9vyQ=")</f>
        <v>#VALUE!</v>
      </c>
      <c r="AL316" t="e">
        <f>AND('STERLING CATALOG - FZN &amp; CHILL'!H1661,"AAAAABc9vyU=")</f>
        <v>#VALUE!</v>
      </c>
      <c r="AM316" t="e">
        <f>AND('STERLING CATALOG - FZN &amp; CHILL'!I1661,"AAAAABc9vyY=")</f>
        <v>#VALUE!</v>
      </c>
      <c r="AN316" t="e">
        <f>AND('STERLING CATALOG - FZN &amp; CHILL'!J1661,"AAAAABc9vyc=")</f>
        <v>#VALUE!</v>
      </c>
      <c r="AO316">
        <f>IF('STERLING CATALOG - FZN &amp; CHILL'!1662:1662,"AAAAABc9vyg=",0)</f>
        <v>0</v>
      </c>
      <c r="AP316" t="e">
        <f>AND('STERLING CATALOG - FZN &amp; CHILL'!A1662,"AAAAABc9vyk=")</f>
        <v>#VALUE!</v>
      </c>
      <c r="AQ316" t="e">
        <f>AND('STERLING CATALOG - FZN &amp; CHILL'!B1662,"AAAAABc9vyo=")</f>
        <v>#VALUE!</v>
      </c>
      <c r="AR316" t="e">
        <f>AND('STERLING CATALOG - FZN &amp; CHILL'!C1662,"AAAAABc9vys=")</f>
        <v>#VALUE!</v>
      </c>
      <c r="AS316" t="e">
        <f>AND('STERLING CATALOG - FZN &amp; CHILL'!D1662,"AAAAABc9vyw=")</f>
        <v>#VALUE!</v>
      </c>
      <c r="AT316" t="e">
        <f>AND('STERLING CATALOG - FZN &amp; CHILL'!E1662,"AAAAABc9vy0=")</f>
        <v>#VALUE!</v>
      </c>
      <c r="AU316" t="e">
        <f>AND('STERLING CATALOG - FZN &amp; CHILL'!F1662,"AAAAABc9vy4=")</f>
        <v>#VALUE!</v>
      </c>
      <c r="AV316" t="e">
        <f>AND('STERLING CATALOG - FZN &amp; CHILL'!G1662,"AAAAABc9vy8=")</f>
        <v>#VALUE!</v>
      </c>
      <c r="AW316" t="e">
        <f>AND('STERLING CATALOG - FZN &amp; CHILL'!H1662,"AAAAABc9vzA=")</f>
        <v>#VALUE!</v>
      </c>
      <c r="AX316" t="e">
        <f>AND('STERLING CATALOG - FZN &amp; CHILL'!I1662,"AAAAABc9vzE=")</f>
        <v>#VALUE!</v>
      </c>
      <c r="AY316" t="e">
        <f>AND('STERLING CATALOG - FZN &amp; CHILL'!J1662,"AAAAABc9vzI=")</f>
        <v>#VALUE!</v>
      </c>
      <c r="AZ316">
        <f>IF('STERLING CATALOG - FZN &amp; CHILL'!1663:1663,"AAAAABc9vzM=",0)</f>
        <v>0</v>
      </c>
      <c r="BA316" t="e">
        <f>AND('STERLING CATALOG - FZN &amp; CHILL'!A1663,"AAAAABc9vzQ=")</f>
        <v>#VALUE!</v>
      </c>
      <c r="BB316" t="e">
        <f>AND('STERLING CATALOG - FZN &amp; CHILL'!B1663,"AAAAABc9vzU=")</f>
        <v>#VALUE!</v>
      </c>
      <c r="BC316" t="e">
        <f>AND('STERLING CATALOG - FZN &amp; CHILL'!C1663,"AAAAABc9vzY=")</f>
        <v>#VALUE!</v>
      </c>
      <c r="BD316" t="e">
        <f>AND('STERLING CATALOG - FZN &amp; CHILL'!D1663,"AAAAABc9vzc=")</f>
        <v>#VALUE!</v>
      </c>
      <c r="BE316" t="e">
        <f>AND('STERLING CATALOG - FZN &amp; CHILL'!E1663,"AAAAABc9vzg=")</f>
        <v>#VALUE!</v>
      </c>
      <c r="BF316" t="e">
        <f>AND('STERLING CATALOG - FZN &amp; CHILL'!F1663,"AAAAABc9vzk=")</f>
        <v>#VALUE!</v>
      </c>
      <c r="BG316" t="e">
        <f>AND('STERLING CATALOG - FZN &amp; CHILL'!G1663,"AAAAABc9vzo=")</f>
        <v>#VALUE!</v>
      </c>
      <c r="BH316" t="e">
        <f>AND('STERLING CATALOG - FZN &amp; CHILL'!H1663,"AAAAABc9vzs=")</f>
        <v>#VALUE!</v>
      </c>
      <c r="BI316" t="e">
        <f>AND('STERLING CATALOG - FZN &amp; CHILL'!I1663,"AAAAABc9vzw=")</f>
        <v>#VALUE!</v>
      </c>
      <c r="BJ316" t="e">
        <f>AND('STERLING CATALOG - FZN &amp; CHILL'!J1663,"AAAAABc9vz0=")</f>
        <v>#VALUE!</v>
      </c>
      <c r="BK316">
        <f>IF('STERLING CATALOG - FZN &amp; CHILL'!1664:1664,"AAAAABc9vz4=",0)</f>
        <v>0</v>
      </c>
      <c r="BL316" t="e">
        <f>AND('STERLING CATALOG - FZN &amp; CHILL'!A1664,"AAAAABc9vz8=")</f>
        <v>#VALUE!</v>
      </c>
      <c r="BM316" t="e">
        <f>AND('STERLING CATALOG - FZN &amp; CHILL'!B1664,"AAAAABc9v0A=")</f>
        <v>#VALUE!</v>
      </c>
      <c r="BN316" t="e">
        <f>AND('STERLING CATALOG - FZN &amp; CHILL'!C1664,"AAAAABc9v0E=")</f>
        <v>#VALUE!</v>
      </c>
      <c r="BO316" t="e">
        <f>AND('STERLING CATALOG - FZN &amp; CHILL'!D1664,"AAAAABc9v0I=")</f>
        <v>#VALUE!</v>
      </c>
      <c r="BP316" t="e">
        <f>AND('STERLING CATALOG - FZN &amp; CHILL'!E1664,"AAAAABc9v0M=")</f>
        <v>#VALUE!</v>
      </c>
      <c r="BQ316" t="e">
        <f>AND('STERLING CATALOG - FZN &amp; CHILL'!F1664,"AAAAABc9v0Q=")</f>
        <v>#VALUE!</v>
      </c>
      <c r="BR316" t="e">
        <f>AND('STERLING CATALOG - FZN &amp; CHILL'!G1664,"AAAAABc9v0U=")</f>
        <v>#VALUE!</v>
      </c>
      <c r="BS316" t="e">
        <f>AND('STERLING CATALOG - FZN &amp; CHILL'!H1664,"AAAAABc9v0Y=")</f>
        <v>#VALUE!</v>
      </c>
      <c r="BT316" t="e">
        <f>AND('STERLING CATALOG - FZN &amp; CHILL'!I1664,"AAAAABc9v0c=")</f>
        <v>#VALUE!</v>
      </c>
      <c r="BU316" t="e">
        <f>AND('STERLING CATALOG - FZN &amp; CHILL'!J1664,"AAAAABc9v0g=")</f>
        <v>#VALUE!</v>
      </c>
      <c r="BV316">
        <f>IF('STERLING CATALOG - FZN &amp; CHILL'!1665:1665,"AAAAABc9v0k=",0)</f>
        <v>0</v>
      </c>
      <c r="BW316" t="e">
        <f>AND('STERLING CATALOG - FZN &amp; CHILL'!A1665,"AAAAABc9v0o=")</f>
        <v>#VALUE!</v>
      </c>
      <c r="BX316" t="e">
        <f>AND('STERLING CATALOG - FZN &amp; CHILL'!B1665,"AAAAABc9v0s=")</f>
        <v>#VALUE!</v>
      </c>
      <c r="BY316" t="e">
        <f>AND('STERLING CATALOG - FZN &amp; CHILL'!C1665,"AAAAABc9v0w=")</f>
        <v>#VALUE!</v>
      </c>
      <c r="BZ316" t="e">
        <f>AND('STERLING CATALOG - FZN &amp; CHILL'!D1665,"AAAAABc9v00=")</f>
        <v>#VALUE!</v>
      </c>
      <c r="CA316" t="e">
        <f>AND('STERLING CATALOG - FZN &amp; CHILL'!E1665,"AAAAABc9v04=")</f>
        <v>#VALUE!</v>
      </c>
      <c r="CB316" t="e">
        <f>AND('STERLING CATALOG - FZN &amp; CHILL'!F1665,"AAAAABc9v08=")</f>
        <v>#VALUE!</v>
      </c>
      <c r="CC316" t="e">
        <f>AND('STERLING CATALOG - FZN &amp; CHILL'!G1665,"AAAAABc9v1A=")</f>
        <v>#VALUE!</v>
      </c>
      <c r="CD316" t="e">
        <f>AND('STERLING CATALOG - FZN &amp; CHILL'!H1665,"AAAAABc9v1E=")</f>
        <v>#VALUE!</v>
      </c>
      <c r="CE316" t="e">
        <f>AND('STERLING CATALOG - FZN &amp; CHILL'!I1665,"AAAAABc9v1I=")</f>
        <v>#VALUE!</v>
      </c>
      <c r="CF316" t="e">
        <f>AND('STERLING CATALOG - FZN &amp; CHILL'!J1665,"AAAAABc9v1M=")</f>
        <v>#VALUE!</v>
      </c>
      <c r="CG316">
        <f>IF('STERLING CATALOG - FZN &amp; CHILL'!1666:1666,"AAAAABc9v1Q=",0)</f>
        <v>0</v>
      </c>
      <c r="CH316" t="e">
        <f>AND('STERLING CATALOG - FZN &amp; CHILL'!A1666,"AAAAABc9v1U=")</f>
        <v>#VALUE!</v>
      </c>
      <c r="CI316" t="e">
        <f>AND('STERLING CATALOG - FZN &amp; CHILL'!B1666,"AAAAABc9v1Y=")</f>
        <v>#VALUE!</v>
      </c>
      <c r="CJ316" t="e">
        <f>AND('STERLING CATALOG - FZN &amp; CHILL'!C1666,"AAAAABc9v1c=")</f>
        <v>#VALUE!</v>
      </c>
      <c r="CK316" t="e">
        <f>AND('STERLING CATALOG - FZN &amp; CHILL'!D1666,"AAAAABc9v1g=")</f>
        <v>#VALUE!</v>
      </c>
      <c r="CL316" t="e">
        <f>AND('STERLING CATALOG - FZN &amp; CHILL'!E1666,"AAAAABc9v1k=")</f>
        <v>#VALUE!</v>
      </c>
      <c r="CM316" t="e">
        <f>AND('STERLING CATALOG - FZN &amp; CHILL'!F1666,"AAAAABc9v1o=")</f>
        <v>#VALUE!</v>
      </c>
      <c r="CN316" t="e">
        <f>AND('STERLING CATALOG - FZN &amp; CHILL'!G1666,"AAAAABc9v1s=")</f>
        <v>#VALUE!</v>
      </c>
      <c r="CO316" t="e">
        <f>AND('STERLING CATALOG - FZN &amp; CHILL'!H1666,"AAAAABc9v1w=")</f>
        <v>#VALUE!</v>
      </c>
      <c r="CP316" t="e">
        <f>AND('STERLING CATALOG - FZN &amp; CHILL'!I1666,"AAAAABc9v10=")</f>
        <v>#VALUE!</v>
      </c>
      <c r="CQ316" t="e">
        <f>AND('STERLING CATALOG - FZN &amp; CHILL'!J1666,"AAAAABc9v14=")</f>
        <v>#VALUE!</v>
      </c>
      <c r="CR316">
        <f>IF('STERLING CATALOG - FZN &amp; CHILL'!1667:1667,"AAAAABc9v18=",0)</f>
        <v>0</v>
      </c>
      <c r="CS316" t="e">
        <f>AND('STERLING CATALOG - FZN &amp; CHILL'!A1667,"AAAAABc9v2A=")</f>
        <v>#VALUE!</v>
      </c>
      <c r="CT316" t="e">
        <f>AND('STERLING CATALOG - FZN &amp; CHILL'!B1667,"AAAAABc9v2E=")</f>
        <v>#VALUE!</v>
      </c>
      <c r="CU316" t="e">
        <f>AND('STERLING CATALOG - FZN &amp; CHILL'!C1667,"AAAAABc9v2I=")</f>
        <v>#VALUE!</v>
      </c>
      <c r="CV316" t="e">
        <f>AND('STERLING CATALOG - FZN &amp; CHILL'!D1667,"AAAAABc9v2M=")</f>
        <v>#VALUE!</v>
      </c>
      <c r="CW316" t="e">
        <f>AND('STERLING CATALOG - FZN &amp; CHILL'!E1667,"AAAAABc9v2Q=")</f>
        <v>#VALUE!</v>
      </c>
      <c r="CX316" t="e">
        <f>AND('STERLING CATALOG - FZN &amp; CHILL'!F1667,"AAAAABc9v2U=")</f>
        <v>#VALUE!</v>
      </c>
      <c r="CY316" t="e">
        <f>AND('STERLING CATALOG - FZN &amp; CHILL'!G1667,"AAAAABc9v2Y=")</f>
        <v>#VALUE!</v>
      </c>
      <c r="CZ316" t="e">
        <f>AND('STERLING CATALOG - FZN &amp; CHILL'!H1667,"AAAAABc9v2c=")</f>
        <v>#VALUE!</v>
      </c>
      <c r="DA316" t="e">
        <f>AND('STERLING CATALOG - FZN &amp; CHILL'!I1667,"AAAAABc9v2g=")</f>
        <v>#VALUE!</v>
      </c>
      <c r="DB316" t="e">
        <f>AND('STERLING CATALOG - FZN &amp; CHILL'!J1667,"AAAAABc9v2k=")</f>
        <v>#VALUE!</v>
      </c>
      <c r="DC316">
        <f>IF('STERLING CATALOG - FZN &amp; CHILL'!1668:1668,"AAAAABc9v2o=",0)</f>
        <v>0</v>
      </c>
      <c r="DD316" t="e">
        <f>AND('STERLING CATALOG - FZN &amp; CHILL'!A1668,"AAAAABc9v2s=")</f>
        <v>#VALUE!</v>
      </c>
      <c r="DE316" t="e">
        <f>AND('STERLING CATALOG - FZN &amp; CHILL'!B1668,"AAAAABc9v2w=")</f>
        <v>#VALUE!</v>
      </c>
      <c r="DF316" t="e">
        <f>AND('STERLING CATALOG - FZN &amp; CHILL'!C1668,"AAAAABc9v20=")</f>
        <v>#VALUE!</v>
      </c>
      <c r="DG316" t="e">
        <f>AND('STERLING CATALOG - FZN &amp; CHILL'!D1668,"AAAAABc9v24=")</f>
        <v>#VALUE!</v>
      </c>
      <c r="DH316" t="e">
        <f>AND('STERLING CATALOG - FZN &amp; CHILL'!E1668,"AAAAABc9v28=")</f>
        <v>#VALUE!</v>
      </c>
      <c r="DI316" t="e">
        <f>AND('STERLING CATALOG - FZN &amp; CHILL'!F1668,"AAAAABc9v3A=")</f>
        <v>#VALUE!</v>
      </c>
      <c r="DJ316" t="e">
        <f>AND('STERLING CATALOG - FZN &amp; CHILL'!G1668,"AAAAABc9v3E=")</f>
        <v>#VALUE!</v>
      </c>
      <c r="DK316" t="e">
        <f>AND('STERLING CATALOG - FZN &amp; CHILL'!H1668,"AAAAABc9v3I=")</f>
        <v>#VALUE!</v>
      </c>
      <c r="DL316" t="e">
        <f>AND('STERLING CATALOG - FZN &amp; CHILL'!I1668,"AAAAABc9v3M=")</f>
        <v>#VALUE!</v>
      </c>
      <c r="DM316" t="e">
        <f>AND('STERLING CATALOG - FZN &amp; CHILL'!J1668,"AAAAABc9v3Q=")</f>
        <v>#VALUE!</v>
      </c>
      <c r="DN316">
        <f>IF('STERLING CATALOG - FZN &amp; CHILL'!1669:1669,"AAAAABc9v3U=",0)</f>
        <v>0</v>
      </c>
      <c r="DO316" t="e">
        <f>AND('STERLING CATALOG - FZN &amp; CHILL'!A1669,"AAAAABc9v3Y=")</f>
        <v>#VALUE!</v>
      </c>
      <c r="DP316" t="e">
        <f>AND('STERLING CATALOG - FZN &amp; CHILL'!B1669,"AAAAABc9v3c=")</f>
        <v>#VALUE!</v>
      </c>
      <c r="DQ316" t="e">
        <f>AND('STERLING CATALOG - FZN &amp; CHILL'!C1669,"AAAAABc9v3g=")</f>
        <v>#VALUE!</v>
      </c>
      <c r="DR316" t="e">
        <f>AND('STERLING CATALOG - FZN &amp; CHILL'!D1669,"AAAAABc9v3k=")</f>
        <v>#VALUE!</v>
      </c>
      <c r="DS316" t="e">
        <f>AND('STERLING CATALOG - FZN &amp; CHILL'!E1669,"AAAAABc9v3o=")</f>
        <v>#VALUE!</v>
      </c>
      <c r="DT316" t="e">
        <f>AND('STERLING CATALOG - FZN &amp; CHILL'!F1669,"AAAAABc9v3s=")</f>
        <v>#VALUE!</v>
      </c>
      <c r="DU316" t="e">
        <f>AND('STERLING CATALOG - FZN &amp; CHILL'!G1669,"AAAAABc9v3w=")</f>
        <v>#VALUE!</v>
      </c>
      <c r="DV316" t="e">
        <f>AND('STERLING CATALOG - FZN &amp; CHILL'!H1669,"AAAAABc9v30=")</f>
        <v>#VALUE!</v>
      </c>
      <c r="DW316" t="e">
        <f>AND('STERLING CATALOG - FZN &amp; CHILL'!I1669,"AAAAABc9v34=")</f>
        <v>#VALUE!</v>
      </c>
      <c r="DX316" t="e">
        <f>AND('STERLING CATALOG - FZN &amp; CHILL'!J1669,"AAAAABc9v38=")</f>
        <v>#VALUE!</v>
      </c>
      <c r="DY316">
        <f>IF('STERLING CATALOG - FZN &amp; CHILL'!1670:1670,"AAAAABc9v4A=",0)</f>
        <v>0</v>
      </c>
      <c r="DZ316" t="e">
        <f>AND('STERLING CATALOG - FZN &amp; CHILL'!A1670,"AAAAABc9v4E=")</f>
        <v>#VALUE!</v>
      </c>
      <c r="EA316" t="e">
        <f>AND('STERLING CATALOG - FZN &amp; CHILL'!B1670,"AAAAABc9v4I=")</f>
        <v>#VALUE!</v>
      </c>
      <c r="EB316" t="e">
        <f>AND('STERLING CATALOG - FZN &amp; CHILL'!C1670,"AAAAABc9v4M=")</f>
        <v>#VALUE!</v>
      </c>
      <c r="EC316" t="e">
        <f>AND('STERLING CATALOG - FZN &amp; CHILL'!D1670,"AAAAABc9v4Q=")</f>
        <v>#VALUE!</v>
      </c>
      <c r="ED316" t="e">
        <f>AND('STERLING CATALOG - FZN &amp; CHILL'!E1670,"AAAAABc9v4U=")</f>
        <v>#VALUE!</v>
      </c>
      <c r="EE316" t="e">
        <f>AND('STERLING CATALOG - FZN &amp; CHILL'!F1670,"AAAAABc9v4Y=")</f>
        <v>#VALUE!</v>
      </c>
      <c r="EF316" t="e">
        <f>AND('STERLING CATALOG - FZN &amp; CHILL'!G1670,"AAAAABc9v4c=")</f>
        <v>#VALUE!</v>
      </c>
      <c r="EG316" t="e">
        <f>AND('STERLING CATALOG - FZN &amp; CHILL'!H1670,"AAAAABc9v4g=")</f>
        <v>#VALUE!</v>
      </c>
      <c r="EH316" t="e">
        <f>AND('STERLING CATALOG - FZN &amp; CHILL'!I1670,"AAAAABc9v4k=")</f>
        <v>#VALUE!</v>
      </c>
      <c r="EI316" t="e">
        <f>AND('STERLING CATALOG - FZN &amp; CHILL'!J1670,"AAAAABc9v4o=")</f>
        <v>#VALUE!</v>
      </c>
      <c r="EJ316">
        <f>IF('STERLING CATALOG - FZN &amp; CHILL'!1671:1671,"AAAAABc9v4s=",0)</f>
        <v>0</v>
      </c>
      <c r="EK316" t="e">
        <f>AND('STERLING CATALOG - FZN &amp; CHILL'!A1671,"AAAAABc9v4w=")</f>
        <v>#VALUE!</v>
      </c>
      <c r="EL316" t="e">
        <f>AND('STERLING CATALOG - FZN &amp; CHILL'!B1671,"AAAAABc9v40=")</f>
        <v>#VALUE!</v>
      </c>
      <c r="EM316" t="e">
        <f>AND('STERLING CATALOG - FZN &amp; CHILL'!C1671,"AAAAABc9v44=")</f>
        <v>#VALUE!</v>
      </c>
      <c r="EN316" t="e">
        <f>AND('STERLING CATALOG - FZN &amp; CHILL'!D1671,"AAAAABc9v48=")</f>
        <v>#VALUE!</v>
      </c>
      <c r="EO316" t="e">
        <f>AND('STERLING CATALOG - FZN &amp; CHILL'!E1671,"AAAAABc9v5A=")</f>
        <v>#VALUE!</v>
      </c>
      <c r="EP316" t="e">
        <f>AND('STERLING CATALOG - FZN &amp; CHILL'!F1671,"AAAAABc9v5E=")</f>
        <v>#VALUE!</v>
      </c>
      <c r="EQ316" t="e">
        <f>AND('STERLING CATALOG - FZN &amp; CHILL'!G1671,"AAAAABc9v5I=")</f>
        <v>#VALUE!</v>
      </c>
      <c r="ER316" t="e">
        <f>AND('STERLING CATALOG - FZN &amp; CHILL'!H1671,"AAAAABc9v5M=")</f>
        <v>#VALUE!</v>
      </c>
      <c r="ES316" t="e">
        <f>AND('STERLING CATALOG - FZN &amp; CHILL'!I1671,"AAAAABc9v5Q=")</f>
        <v>#VALUE!</v>
      </c>
      <c r="ET316" t="e">
        <f>AND('STERLING CATALOG - FZN &amp; CHILL'!J1671,"AAAAABc9v5U=")</f>
        <v>#VALUE!</v>
      </c>
      <c r="EU316">
        <f>IF('STERLING CATALOG - FZN &amp; CHILL'!1672:1672,"AAAAABc9v5Y=",0)</f>
        <v>0</v>
      </c>
      <c r="EV316" t="e">
        <f>AND('STERLING CATALOG - FZN &amp; CHILL'!A1672,"AAAAABc9v5c=")</f>
        <v>#VALUE!</v>
      </c>
      <c r="EW316" t="e">
        <f>AND('STERLING CATALOG - FZN &amp; CHILL'!B1672,"AAAAABc9v5g=")</f>
        <v>#VALUE!</v>
      </c>
      <c r="EX316" t="e">
        <f>AND('STERLING CATALOG - FZN &amp; CHILL'!C1672,"AAAAABc9v5k=")</f>
        <v>#VALUE!</v>
      </c>
      <c r="EY316" t="e">
        <f>AND('STERLING CATALOG - FZN &amp; CHILL'!D1672,"AAAAABc9v5o=")</f>
        <v>#VALUE!</v>
      </c>
      <c r="EZ316" t="e">
        <f>AND('STERLING CATALOG - FZN &amp; CHILL'!E1672,"AAAAABc9v5s=")</f>
        <v>#VALUE!</v>
      </c>
      <c r="FA316" t="e">
        <f>AND('STERLING CATALOG - FZN &amp; CHILL'!F1672,"AAAAABc9v5w=")</f>
        <v>#VALUE!</v>
      </c>
      <c r="FB316" t="e">
        <f>AND('STERLING CATALOG - FZN &amp; CHILL'!G1672,"AAAAABc9v50=")</f>
        <v>#VALUE!</v>
      </c>
      <c r="FC316" t="e">
        <f>AND('STERLING CATALOG - FZN &amp; CHILL'!H1672,"AAAAABc9v54=")</f>
        <v>#VALUE!</v>
      </c>
      <c r="FD316" t="e">
        <f>AND('STERLING CATALOG - FZN &amp; CHILL'!I1672,"AAAAABc9v58=")</f>
        <v>#VALUE!</v>
      </c>
      <c r="FE316" t="e">
        <f>AND('STERLING CATALOG - FZN &amp; CHILL'!J1672,"AAAAABc9v6A=")</f>
        <v>#VALUE!</v>
      </c>
      <c r="FF316">
        <f>IF('STERLING CATALOG - FZN &amp; CHILL'!1673:1673,"AAAAABc9v6E=",0)</f>
        <v>0</v>
      </c>
      <c r="FG316" t="e">
        <f>AND('STERLING CATALOG - FZN &amp; CHILL'!A1673,"AAAAABc9v6I=")</f>
        <v>#VALUE!</v>
      </c>
      <c r="FH316" t="e">
        <f>AND('STERLING CATALOG - FZN &amp; CHILL'!B1673,"AAAAABc9v6M=")</f>
        <v>#VALUE!</v>
      </c>
      <c r="FI316" t="e">
        <f>AND('STERLING CATALOG - FZN &amp; CHILL'!C1673,"AAAAABc9v6Q=")</f>
        <v>#VALUE!</v>
      </c>
      <c r="FJ316" t="e">
        <f>AND('STERLING CATALOG - FZN &amp; CHILL'!D1673,"AAAAABc9v6U=")</f>
        <v>#VALUE!</v>
      </c>
      <c r="FK316" t="e">
        <f>AND('STERLING CATALOG - FZN &amp; CHILL'!E1673,"AAAAABc9v6Y=")</f>
        <v>#VALUE!</v>
      </c>
      <c r="FL316" t="e">
        <f>AND('STERLING CATALOG - FZN &amp; CHILL'!F1673,"AAAAABc9v6c=")</f>
        <v>#VALUE!</v>
      </c>
      <c r="FM316" t="e">
        <f>AND('STERLING CATALOG - FZN &amp; CHILL'!G1673,"AAAAABc9v6g=")</f>
        <v>#VALUE!</v>
      </c>
      <c r="FN316" t="e">
        <f>AND('STERLING CATALOG - FZN &amp; CHILL'!H1673,"AAAAABc9v6k=")</f>
        <v>#VALUE!</v>
      </c>
      <c r="FO316" t="e">
        <f>AND('STERLING CATALOG - FZN &amp; CHILL'!I1673,"AAAAABc9v6o=")</f>
        <v>#VALUE!</v>
      </c>
      <c r="FP316" t="e">
        <f>AND('STERLING CATALOG - FZN &amp; CHILL'!J1673,"AAAAABc9v6s=")</f>
        <v>#VALUE!</v>
      </c>
      <c r="FQ316">
        <f>IF('STERLING CATALOG - FZN &amp; CHILL'!1674:1674,"AAAAABc9v6w=",0)</f>
        <v>0</v>
      </c>
      <c r="FR316" t="e">
        <f>AND('STERLING CATALOG - FZN &amp; CHILL'!A1674,"AAAAABc9v60=")</f>
        <v>#VALUE!</v>
      </c>
      <c r="FS316" t="e">
        <f>AND('STERLING CATALOG - FZN &amp; CHILL'!B1674,"AAAAABc9v64=")</f>
        <v>#VALUE!</v>
      </c>
      <c r="FT316" t="e">
        <f>AND('STERLING CATALOG - FZN &amp; CHILL'!C1674,"AAAAABc9v68=")</f>
        <v>#VALUE!</v>
      </c>
      <c r="FU316" t="e">
        <f>AND('STERLING CATALOG - FZN &amp; CHILL'!D1674,"AAAAABc9v7A=")</f>
        <v>#VALUE!</v>
      </c>
      <c r="FV316" t="e">
        <f>AND('STERLING CATALOG - FZN &amp; CHILL'!E1674,"AAAAABc9v7E=")</f>
        <v>#VALUE!</v>
      </c>
      <c r="FW316" t="e">
        <f>AND('STERLING CATALOG - FZN &amp; CHILL'!F1674,"AAAAABc9v7I=")</f>
        <v>#VALUE!</v>
      </c>
      <c r="FX316" t="e">
        <f>AND('STERLING CATALOG - FZN &amp; CHILL'!G1674,"AAAAABc9v7M=")</f>
        <v>#VALUE!</v>
      </c>
      <c r="FY316" t="e">
        <f>AND('STERLING CATALOG - FZN &amp; CHILL'!H1674,"AAAAABc9v7Q=")</f>
        <v>#VALUE!</v>
      </c>
      <c r="FZ316" t="e">
        <f>AND('STERLING CATALOG - FZN &amp; CHILL'!I1674,"AAAAABc9v7U=")</f>
        <v>#VALUE!</v>
      </c>
      <c r="GA316" t="e">
        <f>AND('STERLING CATALOG - FZN &amp; CHILL'!J1674,"AAAAABc9v7Y=")</f>
        <v>#VALUE!</v>
      </c>
      <c r="GB316">
        <f>IF('STERLING CATALOG - FZN &amp; CHILL'!1675:1675,"AAAAABc9v7c=",0)</f>
        <v>0</v>
      </c>
      <c r="GC316" t="e">
        <f>AND('STERLING CATALOG - FZN &amp; CHILL'!A1675,"AAAAABc9v7g=")</f>
        <v>#VALUE!</v>
      </c>
      <c r="GD316" t="e">
        <f>AND('STERLING CATALOG - FZN &amp; CHILL'!B1675,"AAAAABc9v7k=")</f>
        <v>#VALUE!</v>
      </c>
      <c r="GE316" t="e">
        <f>AND('STERLING CATALOG - FZN &amp; CHILL'!C1675,"AAAAABc9v7o=")</f>
        <v>#VALUE!</v>
      </c>
      <c r="GF316" t="e">
        <f>AND('STERLING CATALOG - FZN &amp; CHILL'!D1675,"AAAAABc9v7s=")</f>
        <v>#VALUE!</v>
      </c>
      <c r="GG316" t="e">
        <f>AND('STERLING CATALOG - FZN &amp; CHILL'!E1675,"AAAAABc9v7w=")</f>
        <v>#VALUE!</v>
      </c>
      <c r="GH316" t="e">
        <f>AND('STERLING CATALOG - FZN &amp; CHILL'!F1675,"AAAAABc9v70=")</f>
        <v>#VALUE!</v>
      </c>
      <c r="GI316" t="e">
        <f>AND('STERLING CATALOG - FZN &amp; CHILL'!G1675,"AAAAABc9v74=")</f>
        <v>#VALUE!</v>
      </c>
      <c r="GJ316" t="e">
        <f>AND('STERLING CATALOG - FZN &amp; CHILL'!H1675,"AAAAABc9v78=")</f>
        <v>#VALUE!</v>
      </c>
      <c r="GK316" t="e">
        <f>AND('STERLING CATALOG - FZN &amp; CHILL'!I1675,"AAAAABc9v8A=")</f>
        <v>#VALUE!</v>
      </c>
      <c r="GL316" t="e">
        <f>AND('STERLING CATALOG - FZN &amp; CHILL'!J1675,"AAAAABc9v8E=")</f>
        <v>#VALUE!</v>
      </c>
      <c r="GM316">
        <f>IF('STERLING CATALOG - FZN &amp; CHILL'!1676:1676,"AAAAABc9v8I=",0)</f>
        <v>0</v>
      </c>
      <c r="GN316" t="e">
        <f>AND('STERLING CATALOG - FZN &amp; CHILL'!A1676,"AAAAABc9v8M=")</f>
        <v>#VALUE!</v>
      </c>
      <c r="GO316" t="e">
        <f>AND('STERLING CATALOG - FZN &amp; CHILL'!B1676,"AAAAABc9v8Q=")</f>
        <v>#VALUE!</v>
      </c>
      <c r="GP316" t="e">
        <f>AND('STERLING CATALOG - FZN &amp; CHILL'!C1676,"AAAAABc9v8U=")</f>
        <v>#VALUE!</v>
      </c>
      <c r="GQ316" t="e">
        <f>AND('STERLING CATALOG - FZN &amp; CHILL'!D1676,"AAAAABc9v8Y=")</f>
        <v>#VALUE!</v>
      </c>
      <c r="GR316" t="e">
        <f>AND('STERLING CATALOG - FZN &amp; CHILL'!E1676,"AAAAABc9v8c=")</f>
        <v>#VALUE!</v>
      </c>
      <c r="GS316" t="e">
        <f>AND('STERLING CATALOG - FZN &amp; CHILL'!F1676,"AAAAABc9v8g=")</f>
        <v>#VALUE!</v>
      </c>
      <c r="GT316" t="e">
        <f>AND('STERLING CATALOG - FZN &amp; CHILL'!G1676,"AAAAABc9v8k=")</f>
        <v>#VALUE!</v>
      </c>
      <c r="GU316" t="e">
        <f>AND('STERLING CATALOG - FZN &amp; CHILL'!H1676,"AAAAABc9v8o=")</f>
        <v>#VALUE!</v>
      </c>
      <c r="GV316" t="e">
        <f>AND('STERLING CATALOG - FZN &amp; CHILL'!I1676,"AAAAABc9v8s=")</f>
        <v>#VALUE!</v>
      </c>
      <c r="GW316" t="e">
        <f>AND('STERLING CATALOG - FZN &amp; CHILL'!J1676,"AAAAABc9v8w=")</f>
        <v>#VALUE!</v>
      </c>
      <c r="GX316">
        <f>IF('STERLING CATALOG - FZN &amp; CHILL'!1677:1677,"AAAAABc9v80=",0)</f>
        <v>0</v>
      </c>
      <c r="GY316" t="e">
        <f>AND('STERLING CATALOG - FZN &amp; CHILL'!A1677,"AAAAABc9v84=")</f>
        <v>#VALUE!</v>
      </c>
      <c r="GZ316" t="e">
        <f>AND('STERLING CATALOG - FZN &amp; CHILL'!B1677,"AAAAABc9v88=")</f>
        <v>#VALUE!</v>
      </c>
      <c r="HA316" t="e">
        <f>AND('STERLING CATALOG - FZN &amp; CHILL'!C1677,"AAAAABc9v9A=")</f>
        <v>#VALUE!</v>
      </c>
      <c r="HB316" t="e">
        <f>AND('STERLING CATALOG - FZN &amp; CHILL'!D1677,"AAAAABc9v9E=")</f>
        <v>#VALUE!</v>
      </c>
      <c r="HC316" t="e">
        <f>AND('STERLING CATALOG - FZN &amp; CHILL'!E1677,"AAAAABc9v9I=")</f>
        <v>#VALUE!</v>
      </c>
      <c r="HD316" t="e">
        <f>AND('STERLING CATALOG - FZN &amp; CHILL'!F1677,"AAAAABc9v9M=")</f>
        <v>#VALUE!</v>
      </c>
      <c r="HE316" t="e">
        <f>AND('STERLING CATALOG - FZN &amp; CHILL'!G1677,"AAAAABc9v9Q=")</f>
        <v>#VALUE!</v>
      </c>
      <c r="HF316" t="e">
        <f>AND('STERLING CATALOG - FZN &amp; CHILL'!H1677,"AAAAABc9v9U=")</f>
        <v>#VALUE!</v>
      </c>
      <c r="HG316" t="e">
        <f>AND('STERLING CATALOG - FZN &amp; CHILL'!I1677,"AAAAABc9v9Y=")</f>
        <v>#VALUE!</v>
      </c>
      <c r="HH316" t="e">
        <f>AND('STERLING CATALOG - FZN &amp; CHILL'!J1677,"AAAAABc9v9c=")</f>
        <v>#VALUE!</v>
      </c>
      <c r="HI316">
        <f>IF('STERLING CATALOG - FZN &amp; CHILL'!1678:1678,"AAAAABc9v9g=",0)</f>
        <v>0</v>
      </c>
      <c r="HJ316" t="e">
        <f>AND('STERLING CATALOG - FZN &amp; CHILL'!A1678,"AAAAABc9v9k=")</f>
        <v>#VALUE!</v>
      </c>
      <c r="HK316" t="e">
        <f>AND('STERLING CATALOG - FZN &amp; CHILL'!B1678,"AAAAABc9v9o=")</f>
        <v>#VALUE!</v>
      </c>
      <c r="HL316" t="e">
        <f>AND('STERLING CATALOG - FZN &amp; CHILL'!C1678,"AAAAABc9v9s=")</f>
        <v>#VALUE!</v>
      </c>
      <c r="HM316" t="e">
        <f>AND('STERLING CATALOG - FZN &amp; CHILL'!D1678,"AAAAABc9v9w=")</f>
        <v>#VALUE!</v>
      </c>
      <c r="HN316" t="e">
        <f>AND('STERLING CATALOG - FZN &amp; CHILL'!E1678,"AAAAABc9v90=")</f>
        <v>#VALUE!</v>
      </c>
      <c r="HO316" t="e">
        <f>AND('STERLING CATALOG - FZN &amp; CHILL'!F1678,"AAAAABc9v94=")</f>
        <v>#VALUE!</v>
      </c>
      <c r="HP316" t="e">
        <f>AND('STERLING CATALOG - FZN &amp; CHILL'!G1678,"AAAAABc9v98=")</f>
        <v>#VALUE!</v>
      </c>
      <c r="HQ316" t="e">
        <f>AND('STERLING CATALOG - FZN &amp; CHILL'!H1678,"AAAAABc9v+A=")</f>
        <v>#VALUE!</v>
      </c>
      <c r="HR316" t="e">
        <f>AND('STERLING CATALOG - FZN &amp; CHILL'!I1678,"AAAAABc9v+E=")</f>
        <v>#VALUE!</v>
      </c>
      <c r="HS316" t="e">
        <f>AND('STERLING CATALOG - FZN &amp; CHILL'!J1678,"AAAAABc9v+I=")</f>
        <v>#VALUE!</v>
      </c>
      <c r="HT316">
        <f>IF('STERLING CATALOG - FZN &amp; CHILL'!1679:1679,"AAAAABc9v+M=",0)</f>
        <v>0</v>
      </c>
      <c r="HU316" t="e">
        <f>AND('STERLING CATALOG - FZN &amp; CHILL'!A1679,"AAAAABc9v+Q=")</f>
        <v>#VALUE!</v>
      </c>
      <c r="HV316" t="e">
        <f>AND('STERLING CATALOG - FZN &amp; CHILL'!B1679,"AAAAABc9v+U=")</f>
        <v>#VALUE!</v>
      </c>
      <c r="HW316" t="e">
        <f>AND('STERLING CATALOG - FZN &amp; CHILL'!C1679,"AAAAABc9v+Y=")</f>
        <v>#VALUE!</v>
      </c>
      <c r="HX316" t="e">
        <f>AND('STERLING CATALOG - FZN &amp; CHILL'!D1679,"AAAAABc9v+c=")</f>
        <v>#VALUE!</v>
      </c>
      <c r="HY316" t="e">
        <f>AND('STERLING CATALOG - FZN &amp; CHILL'!E1679,"AAAAABc9v+g=")</f>
        <v>#VALUE!</v>
      </c>
      <c r="HZ316" t="e">
        <f>AND('STERLING CATALOG - FZN &amp; CHILL'!F1679,"AAAAABc9v+k=")</f>
        <v>#VALUE!</v>
      </c>
      <c r="IA316" t="e">
        <f>AND('STERLING CATALOG - FZN &amp; CHILL'!G1679,"AAAAABc9v+o=")</f>
        <v>#VALUE!</v>
      </c>
      <c r="IB316" t="e">
        <f>AND('STERLING CATALOG - FZN &amp; CHILL'!H1679,"AAAAABc9v+s=")</f>
        <v>#VALUE!</v>
      </c>
      <c r="IC316" t="e">
        <f>AND('STERLING CATALOG - FZN &amp; CHILL'!I1679,"AAAAABc9v+w=")</f>
        <v>#VALUE!</v>
      </c>
      <c r="ID316" t="e">
        <f>AND('STERLING CATALOG - FZN &amp; CHILL'!J1679,"AAAAABc9v+0=")</f>
        <v>#VALUE!</v>
      </c>
      <c r="IE316">
        <f>IF('STERLING CATALOG - FZN &amp; CHILL'!1680:1680,"AAAAABc9v+4=",0)</f>
        <v>0</v>
      </c>
      <c r="IF316" t="e">
        <f>AND('STERLING CATALOG - FZN &amp; CHILL'!A1680,"AAAAABc9v+8=")</f>
        <v>#VALUE!</v>
      </c>
      <c r="IG316" t="e">
        <f>AND('STERLING CATALOG - FZN &amp; CHILL'!B1680,"AAAAABc9v/A=")</f>
        <v>#VALUE!</v>
      </c>
      <c r="IH316" t="e">
        <f>AND('STERLING CATALOG - FZN &amp; CHILL'!C1680,"AAAAABc9v/E=")</f>
        <v>#VALUE!</v>
      </c>
      <c r="II316" t="e">
        <f>AND('STERLING CATALOG - FZN &amp; CHILL'!D1680,"AAAAABc9v/I=")</f>
        <v>#VALUE!</v>
      </c>
      <c r="IJ316" t="e">
        <f>AND('STERLING CATALOG - FZN &amp; CHILL'!E1680,"AAAAABc9v/M=")</f>
        <v>#VALUE!</v>
      </c>
      <c r="IK316" t="e">
        <f>AND('STERLING CATALOG - FZN &amp; CHILL'!F1680,"AAAAABc9v/Q=")</f>
        <v>#VALUE!</v>
      </c>
      <c r="IL316" t="e">
        <f>AND('STERLING CATALOG - FZN &amp; CHILL'!G1680,"AAAAABc9v/U=")</f>
        <v>#VALUE!</v>
      </c>
      <c r="IM316" t="e">
        <f>AND('STERLING CATALOG - FZN &amp; CHILL'!H1680,"AAAAABc9v/Y=")</f>
        <v>#VALUE!</v>
      </c>
      <c r="IN316" t="e">
        <f>AND('STERLING CATALOG - FZN &amp; CHILL'!I1680,"AAAAABc9v/c=")</f>
        <v>#VALUE!</v>
      </c>
      <c r="IO316" t="e">
        <f>AND('STERLING CATALOG - FZN &amp; CHILL'!J1680,"AAAAABc9v/g=")</f>
        <v>#VALUE!</v>
      </c>
      <c r="IP316">
        <f>IF('STERLING CATALOG - FZN &amp; CHILL'!1681:1681,"AAAAABc9v/k=",0)</f>
        <v>0</v>
      </c>
      <c r="IQ316" t="e">
        <f>AND('STERLING CATALOG - FZN &amp; CHILL'!A1681,"AAAAABc9v/o=")</f>
        <v>#VALUE!</v>
      </c>
      <c r="IR316" t="e">
        <f>AND('STERLING CATALOG - FZN &amp; CHILL'!B1681,"AAAAABc9v/s=")</f>
        <v>#VALUE!</v>
      </c>
      <c r="IS316" t="e">
        <f>AND('STERLING CATALOG - FZN &amp; CHILL'!C1681,"AAAAABc9v/w=")</f>
        <v>#VALUE!</v>
      </c>
      <c r="IT316" t="e">
        <f>AND('STERLING CATALOG - FZN &amp; CHILL'!D1681,"AAAAABc9v/0=")</f>
        <v>#VALUE!</v>
      </c>
      <c r="IU316" t="e">
        <f>AND('STERLING CATALOG - FZN &amp; CHILL'!E1681,"AAAAABc9v/4=")</f>
        <v>#VALUE!</v>
      </c>
      <c r="IV316" t="e">
        <f>AND('STERLING CATALOG - FZN &amp; CHILL'!F1681,"AAAAABc9v/8=")</f>
        <v>#VALUE!</v>
      </c>
    </row>
    <row r="317" spans="1:256">
      <c r="A317" t="e">
        <f>AND('STERLING CATALOG - FZN &amp; CHILL'!G1681,"AAAAABrf/QA=")</f>
        <v>#VALUE!</v>
      </c>
      <c r="B317" t="e">
        <f>AND('STERLING CATALOG - FZN &amp; CHILL'!H1681,"AAAAABrf/QE=")</f>
        <v>#VALUE!</v>
      </c>
      <c r="C317" t="e">
        <f>AND('STERLING CATALOG - FZN &amp; CHILL'!I1681,"AAAAABrf/QI=")</f>
        <v>#VALUE!</v>
      </c>
      <c r="D317" t="e">
        <f>AND('STERLING CATALOG - FZN &amp; CHILL'!J1681,"AAAAABrf/QM=")</f>
        <v>#VALUE!</v>
      </c>
      <c r="E317" t="e">
        <f>IF('STERLING CATALOG - FZN &amp; CHILL'!1682:1682,"AAAAABrf/QQ=",0)</f>
        <v>#VALUE!</v>
      </c>
      <c r="F317" t="e">
        <f>AND('STERLING CATALOG - FZN &amp; CHILL'!A1682,"AAAAABrf/QU=")</f>
        <v>#VALUE!</v>
      </c>
      <c r="G317" t="e">
        <f>AND('STERLING CATALOG - FZN &amp; CHILL'!B1682,"AAAAABrf/QY=")</f>
        <v>#VALUE!</v>
      </c>
      <c r="H317" t="e">
        <f>AND('STERLING CATALOG - FZN &amp; CHILL'!C1682,"AAAAABrf/Qc=")</f>
        <v>#VALUE!</v>
      </c>
      <c r="I317" t="e">
        <f>AND('STERLING CATALOG - FZN &amp; CHILL'!D1682,"AAAAABrf/Qg=")</f>
        <v>#VALUE!</v>
      </c>
      <c r="J317" t="e">
        <f>AND('STERLING CATALOG - FZN &amp; CHILL'!E1682,"AAAAABrf/Qk=")</f>
        <v>#VALUE!</v>
      </c>
      <c r="K317" t="e">
        <f>AND('STERLING CATALOG - FZN &amp; CHILL'!F1682,"AAAAABrf/Qo=")</f>
        <v>#VALUE!</v>
      </c>
      <c r="L317" t="e">
        <f>AND('STERLING CATALOG - FZN &amp; CHILL'!G1682,"AAAAABrf/Qs=")</f>
        <v>#VALUE!</v>
      </c>
      <c r="M317" t="e">
        <f>AND('STERLING CATALOG - FZN &amp; CHILL'!H1682,"AAAAABrf/Qw=")</f>
        <v>#VALUE!</v>
      </c>
      <c r="N317" t="e">
        <f>AND('STERLING CATALOG - FZN &amp; CHILL'!I1682,"AAAAABrf/Q0=")</f>
        <v>#VALUE!</v>
      </c>
      <c r="O317" t="e">
        <f>AND('STERLING CATALOG - FZN &amp; CHILL'!J1682,"AAAAABrf/Q4=")</f>
        <v>#VALUE!</v>
      </c>
      <c r="P317">
        <f>IF('STERLING CATALOG - FZN &amp; CHILL'!1683:1683,"AAAAABrf/Q8=",0)</f>
        <v>0</v>
      </c>
      <c r="Q317" t="e">
        <f>AND('STERLING CATALOG - FZN &amp; CHILL'!A1683,"AAAAABrf/RA=")</f>
        <v>#VALUE!</v>
      </c>
      <c r="R317" t="e">
        <f>AND('STERLING CATALOG - FZN &amp; CHILL'!B1683,"AAAAABrf/RE=")</f>
        <v>#VALUE!</v>
      </c>
      <c r="S317" t="e">
        <f>AND('STERLING CATALOG - FZN &amp; CHILL'!C1683,"AAAAABrf/RI=")</f>
        <v>#VALUE!</v>
      </c>
      <c r="T317" t="e">
        <f>AND('STERLING CATALOG - FZN &amp; CHILL'!D1683,"AAAAABrf/RM=")</f>
        <v>#VALUE!</v>
      </c>
      <c r="U317" t="e">
        <f>AND('STERLING CATALOG - FZN &amp; CHILL'!E1683,"AAAAABrf/RQ=")</f>
        <v>#VALUE!</v>
      </c>
      <c r="V317" t="e">
        <f>AND('STERLING CATALOG - FZN &amp; CHILL'!F1683,"AAAAABrf/RU=")</f>
        <v>#VALUE!</v>
      </c>
      <c r="W317" t="e">
        <f>AND('STERLING CATALOG - FZN &amp; CHILL'!G1683,"AAAAABrf/RY=")</f>
        <v>#VALUE!</v>
      </c>
      <c r="X317" t="e">
        <f>AND('STERLING CATALOG - FZN &amp; CHILL'!H1683,"AAAAABrf/Rc=")</f>
        <v>#VALUE!</v>
      </c>
      <c r="Y317" t="e">
        <f>AND('STERLING CATALOG - FZN &amp; CHILL'!I1683,"AAAAABrf/Rg=")</f>
        <v>#VALUE!</v>
      </c>
      <c r="Z317" t="e">
        <f>AND('STERLING CATALOG - FZN &amp; CHILL'!J1683,"AAAAABrf/Rk=")</f>
        <v>#VALUE!</v>
      </c>
      <c r="AA317">
        <f>IF('STERLING CATALOG - FZN &amp; CHILL'!1684:1684,"AAAAABrf/Ro=",0)</f>
        <v>0</v>
      </c>
      <c r="AB317" t="e">
        <f>AND('STERLING CATALOG - FZN &amp; CHILL'!A1684,"AAAAABrf/Rs=")</f>
        <v>#VALUE!</v>
      </c>
      <c r="AC317" t="e">
        <f>AND('STERLING CATALOG - FZN &amp; CHILL'!B1684,"AAAAABrf/Rw=")</f>
        <v>#VALUE!</v>
      </c>
      <c r="AD317" t="e">
        <f>AND('STERLING CATALOG - FZN &amp; CHILL'!C1684,"AAAAABrf/R0=")</f>
        <v>#VALUE!</v>
      </c>
      <c r="AE317" t="e">
        <f>AND('STERLING CATALOG - FZN &amp; CHILL'!D1684,"AAAAABrf/R4=")</f>
        <v>#VALUE!</v>
      </c>
      <c r="AF317" t="e">
        <f>AND('STERLING CATALOG - FZN &amp; CHILL'!E1684,"AAAAABrf/R8=")</f>
        <v>#VALUE!</v>
      </c>
      <c r="AG317" t="e">
        <f>AND('STERLING CATALOG - FZN &amp; CHILL'!F1684,"AAAAABrf/SA=")</f>
        <v>#VALUE!</v>
      </c>
      <c r="AH317" t="e">
        <f>AND('STERLING CATALOG - FZN &amp; CHILL'!G1684,"AAAAABrf/SE=")</f>
        <v>#VALUE!</v>
      </c>
      <c r="AI317" t="e">
        <f>AND('STERLING CATALOG - FZN &amp; CHILL'!H1684,"AAAAABrf/SI=")</f>
        <v>#VALUE!</v>
      </c>
      <c r="AJ317" t="e">
        <f>AND('STERLING CATALOG - FZN &amp; CHILL'!I1684,"AAAAABrf/SM=")</f>
        <v>#VALUE!</v>
      </c>
      <c r="AK317" t="e">
        <f>AND('STERLING CATALOG - FZN &amp; CHILL'!J1684,"AAAAABrf/SQ=")</f>
        <v>#VALUE!</v>
      </c>
      <c r="AL317">
        <f>IF('STERLING CATALOG - FZN &amp; CHILL'!1685:1685,"AAAAABrf/SU=",0)</f>
        <v>0</v>
      </c>
      <c r="AM317" t="e">
        <f>AND('STERLING CATALOG - FZN &amp; CHILL'!A1685,"AAAAABrf/SY=")</f>
        <v>#VALUE!</v>
      </c>
      <c r="AN317" t="e">
        <f>AND('STERLING CATALOG - FZN &amp; CHILL'!B1685,"AAAAABrf/Sc=")</f>
        <v>#VALUE!</v>
      </c>
      <c r="AO317" t="e">
        <f>AND('STERLING CATALOG - FZN &amp; CHILL'!C1685,"AAAAABrf/Sg=")</f>
        <v>#VALUE!</v>
      </c>
      <c r="AP317" t="e">
        <f>AND('STERLING CATALOG - FZN &amp; CHILL'!D1685,"AAAAABrf/Sk=")</f>
        <v>#VALUE!</v>
      </c>
      <c r="AQ317" t="e">
        <f>AND('STERLING CATALOG - FZN &amp; CHILL'!E1685,"AAAAABrf/So=")</f>
        <v>#VALUE!</v>
      </c>
      <c r="AR317" t="e">
        <f>AND('STERLING CATALOG - FZN &amp; CHILL'!F1685,"AAAAABrf/Ss=")</f>
        <v>#VALUE!</v>
      </c>
      <c r="AS317" t="e">
        <f>AND('STERLING CATALOG - FZN &amp; CHILL'!G1685,"AAAAABrf/Sw=")</f>
        <v>#VALUE!</v>
      </c>
      <c r="AT317" t="e">
        <f>AND('STERLING CATALOG - FZN &amp; CHILL'!H1685,"AAAAABrf/S0=")</f>
        <v>#VALUE!</v>
      </c>
      <c r="AU317" t="e">
        <f>AND('STERLING CATALOG - FZN &amp; CHILL'!I1685,"AAAAABrf/S4=")</f>
        <v>#VALUE!</v>
      </c>
      <c r="AV317" t="e">
        <f>AND('STERLING CATALOG - FZN &amp; CHILL'!J1685,"AAAAABrf/S8=")</f>
        <v>#VALUE!</v>
      </c>
      <c r="AW317">
        <f>IF('STERLING CATALOG - FZN &amp; CHILL'!1686:1686,"AAAAABrf/TA=",0)</f>
        <v>0</v>
      </c>
      <c r="AX317" t="e">
        <f>AND('STERLING CATALOG - FZN &amp; CHILL'!A1686,"AAAAABrf/TE=")</f>
        <v>#VALUE!</v>
      </c>
      <c r="AY317" t="e">
        <f>AND('STERLING CATALOG - FZN &amp; CHILL'!B1686,"AAAAABrf/TI=")</f>
        <v>#VALUE!</v>
      </c>
      <c r="AZ317" t="e">
        <f>AND('STERLING CATALOG - FZN &amp; CHILL'!C1686,"AAAAABrf/TM=")</f>
        <v>#VALUE!</v>
      </c>
      <c r="BA317" t="e">
        <f>AND('STERLING CATALOG - FZN &amp; CHILL'!D1686,"AAAAABrf/TQ=")</f>
        <v>#VALUE!</v>
      </c>
      <c r="BB317" t="e">
        <f>AND('STERLING CATALOG - FZN &amp; CHILL'!E1686,"AAAAABrf/TU=")</f>
        <v>#VALUE!</v>
      </c>
      <c r="BC317" t="e">
        <f>AND('STERLING CATALOG - FZN &amp; CHILL'!F1686,"AAAAABrf/TY=")</f>
        <v>#VALUE!</v>
      </c>
      <c r="BD317" t="e">
        <f>AND('STERLING CATALOG - FZN &amp; CHILL'!G1686,"AAAAABrf/Tc=")</f>
        <v>#VALUE!</v>
      </c>
      <c r="BE317" t="e">
        <f>AND('STERLING CATALOG - FZN &amp; CHILL'!H1686,"AAAAABrf/Tg=")</f>
        <v>#VALUE!</v>
      </c>
      <c r="BF317" t="e">
        <f>AND('STERLING CATALOG - FZN &amp; CHILL'!I1686,"AAAAABrf/Tk=")</f>
        <v>#VALUE!</v>
      </c>
      <c r="BG317" t="e">
        <f>AND('STERLING CATALOG - FZN &amp; CHILL'!J1686,"AAAAABrf/To=")</f>
        <v>#VALUE!</v>
      </c>
      <c r="BH317">
        <f>IF('STERLING CATALOG - FZN &amp; CHILL'!1687:1687,"AAAAABrf/Ts=",0)</f>
        <v>0</v>
      </c>
      <c r="BI317" t="e">
        <f>AND('STERLING CATALOG - FZN &amp; CHILL'!A1687,"AAAAABrf/Tw=")</f>
        <v>#VALUE!</v>
      </c>
      <c r="BJ317" t="e">
        <f>AND('STERLING CATALOG - FZN &amp; CHILL'!B1687,"AAAAABrf/T0=")</f>
        <v>#VALUE!</v>
      </c>
      <c r="BK317" t="e">
        <f>AND('STERLING CATALOG - FZN &amp; CHILL'!C1687,"AAAAABrf/T4=")</f>
        <v>#VALUE!</v>
      </c>
      <c r="BL317" t="e">
        <f>AND('STERLING CATALOG - FZN &amp; CHILL'!D1687,"AAAAABrf/T8=")</f>
        <v>#VALUE!</v>
      </c>
      <c r="BM317" t="e">
        <f>AND('STERLING CATALOG - FZN &amp; CHILL'!E1687,"AAAAABrf/UA=")</f>
        <v>#VALUE!</v>
      </c>
      <c r="BN317" t="e">
        <f>AND('STERLING CATALOG - FZN &amp; CHILL'!F1687,"AAAAABrf/UE=")</f>
        <v>#VALUE!</v>
      </c>
      <c r="BO317" t="e">
        <f>AND('STERLING CATALOG - FZN &amp; CHILL'!G1687,"AAAAABrf/UI=")</f>
        <v>#VALUE!</v>
      </c>
      <c r="BP317" t="e">
        <f>AND('STERLING CATALOG - FZN &amp; CHILL'!H1687,"AAAAABrf/UM=")</f>
        <v>#VALUE!</v>
      </c>
      <c r="BQ317" t="e">
        <f>AND('STERLING CATALOG - FZN &amp; CHILL'!I1687,"AAAAABrf/UQ=")</f>
        <v>#VALUE!</v>
      </c>
      <c r="BR317" t="e">
        <f>AND('STERLING CATALOG - FZN &amp; CHILL'!J1687,"AAAAABrf/UU=")</f>
        <v>#VALUE!</v>
      </c>
      <c r="BS317">
        <f>IF('STERLING CATALOG - FZN &amp; CHILL'!1688:1688,"AAAAABrf/UY=",0)</f>
        <v>0</v>
      </c>
      <c r="BT317" t="e">
        <f>AND('STERLING CATALOG - FZN &amp; CHILL'!A1688,"AAAAABrf/Uc=")</f>
        <v>#VALUE!</v>
      </c>
      <c r="BU317" t="e">
        <f>AND('STERLING CATALOG - FZN &amp; CHILL'!B1688,"AAAAABrf/Ug=")</f>
        <v>#VALUE!</v>
      </c>
      <c r="BV317" t="e">
        <f>AND('STERLING CATALOG - FZN &amp; CHILL'!C1688,"AAAAABrf/Uk=")</f>
        <v>#VALUE!</v>
      </c>
      <c r="BW317" t="e">
        <f>AND('STERLING CATALOG - FZN &amp; CHILL'!D1688,"AAAAABrf/Uo=")</f>
        <v>#VALUE!</v>
      </c>
      <c r="BX317" t="e">
        <f>AND('STERLING CATALOG - FZN &amp; CHILL'!E1688,"AAAAABrf/Us=")</f>
        <v>#VALUE!</v>
      </c>
      <c r="BY317" t="e">
        <f>AND('STERLING CATALOG - FZN &amp; CHILL'!F1688,"AAAAABrf/Uw=")</f>
        <v>#VALUE!</v>
      </c>
      <c r="BZ317" t="e">
        <f>AND('STERLING CATALOG - FZN &amp; CHILL'!G1688,"AAAAABrf/U0=")</f>
        <v>#VALUE!</v>
      </c>
      <c r="CA317" t="e">
        <f>AND('STERLING CATALOG - FZN &amp; CHILL'!H1688,"AAAAABrf/U4=")</f>
        <v>#VALUE!</v>
      </c>
      <c r="CB317" t="e">
        <f>AND('STERLING CATALOG - FZN &amp; CHILL'!I1688,"AAAAABrf/U8=")</f>
        <v>#VALUE!</v>
      </c>
      <c r="CC317" t="e">
        <f>AND('STERLING CATALOG - FZN &amp; CHILL'!J1688,"AAAAABrf/VA=")</f>
        <v>#VALUE!</v>
      </c>
      <c r="CD317">
        <f>IF('STERLING CATALOG - FZN &amp; CHILL'!1689:1689,"AAAAABrf/VE=",0)</f>
        <v>0</v>
      </c>
      <c r="CE317" t="e">
        <f>AND('STERLING CATALOG - FZN &amp; CHILL'!A1689,"AAAAABrf/VI=")</f>
        <v>#VALUE!</v>
      </c>
      <c r="CF317" t="e">
        <f>AND('STERLING CATALOG - FZN &amp; CHILL'!B1689,"AAAAABrf/VM=")</f>
        <v>#VALUE!</v>
      </c>
      <c r="CG317" t="e">
        <f>AND('STERLING CATALOG - FZN &amp; CHILL'!C1689,"AAAAABrf/VQ=")</f>
        <v>#VALUE!</v>
      </c>
      <c r="CH317" t="e">
        <f>AND('STERLING CATALOG - FZN &amp; CHILL'!D1689,"AAAAABrf/VU=")</f>
        <v>#VALUE!</v>
      </c>
      <c r="CI317" t="e">
        <f>AND('STERLING CATALOG - FZN &amp; CHILL'!E1689,"AAAAABrf/VY=")</f>
        <v>#VALUE!</v>
      </c>
      <c r="CJ317" t="e">
        <f>AND('STERLING CATALOG - FZN &amp; CHILL'!F1689,"AAAAABrf/Vc=")</f>
        <v>#VALUE!</v>
      </c>
      <c r="CK317" t="e">
        <f>AND('STERLING CATALOG - FZN &amp; CHILL'!G1689,"AAAAABrf/Vg=")</f>
        <v>#VALUE!</v>
      </c>
      <c r="CL317" t="e">
        <f>AND('STERLING CATALOG - FZN &amp; CHILL'!H1689,"AAAAABrf/Vk=")</f>
        <v>#VALUE!</v>
      </c>
      <c r="CM317" t="e">
        <f>AND('STERLING CATALOG - FZN &amp; CHILL'!I1689,"AAAAABrf/Vo=")</f>
        <v>#VALUE!</v>
      </c>
      <c r="CN317" t="e">
        <f>AND('STERLING CATALOG - FZN &amp; CHILL'!J1689,"AAAAABrf/Vs=")</f>
        <v>#VALUE!</v>
      </c>
      <c r="CO317">
        <f>IF('STERLING CATALOG - FZN &amp; CHILL'!1690:1690,"AAAAABrf/Vw=",0)</f>
        <v>0</v>
      </c>
      <c r="CP317" t="e">
        <f>AND('STERLING CATALOG - FZN &amp; CHILL'!A1690,"AAAAABrf/V0=")</f>
        <v>#VALUE!</v>
      </c>
      <c r="CQ317" t="e">
        <f>AND('STERLING CATALOG - FZN &amp; CHILL'!B1690,"AAAAABrf/V4=")</f>
        <v>#VALUE!</v>
      </c>
      <c r="CR317" t="e">
        <f>AND('STERLING CATALOG - FZN &amp; CHILL'!C1690,"AAAAABrf/V8=")</f>
        <v>#VALUE!</v>
      </c>
      <c r="CS317" t="e">
        <f>AND('STERLING CATALOG - FZN &amp; CHILL'!D1690,"AAAAABrf/WA=")</f>
        <v>#VALUE!</v>
      </c>
      <c r="CT317" t="e">
        <f>AND('STERLING CATALOG - FZN &amp; CHILL'!E1690,"AAAAABrf/WE=")</f>
        <v>#VALUE!</v>
      </c>
      <c r="CU317" t="e">
        <f>AND('STERLING CATALOG - FZN &amp; CHILL'!F1690,"AAAAABrf/WI=")</f>
        <v>#VALUE!</v>
      </c>
      <c r="CV317" t="e">
        <f>AND('STERLING CATALOG - FZN &amp; CHILL'!G1690,"AAAAABrf/WM=")</f>
        <v>#VALUE!</v>
      </c>
      <c r="CW317" t="e">
        <f>AND('STERLING CATALOG - FZN &amp; CHILL'!H1690,"AAAAABrf/WQ=")</f>
        <v>#VALUE!</v>
      </c>
      <c r="CX317" t="e">
        <f>AND('STERLING CATALOG - FZN &amp; CHILL'!I1690,"AAAAABrf/WU=")</f>
        <v>#VALUE!</v>
      </c>
      <c r="CY317" t="e">
        <f>AND('STERLING CATALOG - FZN &amp; CHILL'!J1690,"AAAAABrf/WY=")</f>
        <v>#VALUE!</v>
      </c>
      <c r="CZ317">
        <f>IF('STERLING CATALOG - FZN &amp; CHILL'!1691:1691,"AAAAABrf/Wc=",0)</f>
        <v>0</v>
      </c>
      <c r="DA317" t="e">
        <f>AND('STERLING CATALOG - FZN &amp; CHILL'!A1691,"AAAAABrf/Wg=")</f>
        <v>#VALUE!</v>
      </c>
      <c r="DB317" t="e">
        <f>AND('STERLING CATALOG - FZN &amp; CHILL'!B1691,"AAAAABrf/Wk=")</f>
        <v>#VALUE!</v>
      </c>
      <c r="DC317" t="e">
        <f>AND('STERLING CATALOG - FZN &amp; CHILL'!C1691,"AAAAABrf/Wo=")</f>
        <v>#VALUE!</v>
      </c>
      <c r="DD317" t="e">
        <f>AND('STERLING CATALOG - FZN &amp; CHILL'!D1691,"AAAAABrf/Ws=")</f>
        <v>#VALUE!</v>
      </c>
      <c r="DE317" t="e">
        <f>AND('STERLING CATALOG - FZN &amp; CHILL'!E1691,"AAAAABrf/Ww=")</f>
        <v>#VALUE!</v>
      </c>
      <c r="DF317" t="e">
        <f>AND('STERLING CATALOG - FZN &amp; CHILL'!F1691,"AAAAABrf/W0=")</f>
        <v>#VALUE!</v>
      </c>
      <c r="DG317" t="e">
        <f>AND('STERLING CATALOG - FZN &amp; CHILL'!G1691,"AAAAABrf/W4=")</f>
        <v>#VALUE!</v>
      </c>
      <c r="DH317" t="e">
        <f>AND('STERLING CATALOG - FZN &amp; CHILL'!H1691,"AAAAABrf/W8=")</f>
        <v>#VALUE!</v>
      </c>
      <c r="DI317" t="e">
        <f>AND('STERLING CATALOG - FZN &amp; CHILL'!I1691,"AAAAABrf/XA=")</f>
        <v>#VALUE!</v>
      </c>
      <c r="DJ317" t="e">
        <f>AND('STERLING CATALOG - FZN &amp; CHILL'!J1691,"AAAAABrf/XE=")</f>
        <v>#VALUE!</v>
      </c>
      <c r="DK317">
        <f>IF('STERLING CATALOG - FZN &amp; CHILL'!1692:1692,"AAAAABrf/XI=",0)</f>
        <v>0</v>
      </c>
      <c r="DL317" t="e">
        <f>AND('STERLING CATALOG - FZN &amp; CHILL'!A1692,"AAAAABrf/XM=")</f>
        <v>#VALUE!</v>
      </c>
      <c r="DM317" t="e">
        <f>AND('STERLING CATALOG - FZN &amp; CHILL'!B1692,"AAAAABrf/XQ=")</f>
        <v>#VALUE!</v>
      </c>
      <c r="DN317" t="e">
        <f>AND('STERLING CATALOG - FZN &amp; CHILL'!C1692,"AAAAABrf/XU=")</f>
        <v>#VALUE!</v>
      </c>
      <c r="DO317" t="e">
        <f>AND('STERLING CATALOG - FZN &amp; CHILL'!D1692,"AAAAABrf/XY=")</f>
        <v>#VALUE!</v>
      </c>
      <c r="DP317" t="e">
        <f>AND('STERLING CATALOG - FZN &amp; CHILL'!E1692,"AAAAABrf/Xc=")</f>
        <v>#VALUE!</v>
      </c>
      <c r="DQ317" t="e">
        <f>AND('STERLING CATALOG - FZN &amp; CHILL'!F1692,"AAAAABrf/Xg=")</f>
        <v>#VALUE!</v>
      </c>
      <c r="DR317" t="e">
        <f>AND('STERLING CATALOG - FZN &amp; CHILL'!G1692,"AAAAABrf/Xk=")</f>
        <v>#VALUE!</v>
      </c>
      <c r="DS317" t="e">
        <f>AND('STERLING CATALOG - FZN &amp; CHILL'!H1692,"AAAAABrf/Xo=")</f>
        <v>#VALUE!</v>
      </c>
      <c r="DT317" t="e">
        <f>AND('STERLING CATALOG - FZN &amp; CHILL'!I1692,"AAAAABrf/Xs=")</f>
        <v>#VALUE!</v>
      </c>
      <c r="DU317" t="e">
        <f>AND('STERLING CATALOG - FZN &amp; CHILL'!J1692,"AAAAABrf/Xw=")</f>
        <v>#VALUE!</v>
      </c>
      <c r="DV317">
        <f>IF('STERLING CATALOG - FZN &amp; CHILL'!1693:1693,"AAAAABrf/X0=",0)</f>
        <v>0</v>
      </c>
      <c r="DW317" t="e">
        <f>AND('STERLING CATALOG - FZN &amp; CHILL'!A1693,"AAAAABrf/X4=")</f>
        <v>#VALUE!</v>
      </c>
      <c r="DX317" t="e">
        <f>AND('STERLING CATALOG - FZN &amp; CHILL'!B1693,"AAAAABrf/X8=")</f>
        <v>#VALUE!</v>
      </c>
      <c r="DY317" t="e">
        <f>AND('STERLING CATALOG - FZN &amp; CHILL'!C1693,"AAAAABrf/YA=")</f>
        <v>#VALUE!</v>
      </c>
      <c r="DZ317" t="e">
        <f>AND('STERLING CATALOG - FZN &amp; CHILL'!D1693,"AAAAABrf/YE=")</f>
        <v>#VALUE!</v>
      </c>
      <c r="EA317" t="e">
        <f>AND('STERLING CATALOG - FZN &amp; CHILL'!E1693,"AAAAABrf/YI=")</f>
        <v>#VALUE!</v>
      </c>
      <c r="EB317" t="e">
        <f>AND('STERLING CATALOG - FZN &amp; CHILL'!F1693,"AAAAABrf/YM=")</f>
        <v>#VALUE!</v>
      </c>
      <c r="EC317" t="e">
        <f>AND('STERLING CATALOG - FZN &amp; CHILL'!G1693,"AAAAABrf/YQ=")</f>
        <v>#VALUE!</v>
      </c>
      <c r="ED317" t="e">
        <f>AND('STERLING CATALOG - FZN &amp; CHILL'!H1693,"AAAAABrf/YU=")</f>
        <v>#VALUE!</v>
      </c>
      <c r="EE317" t="e">
        <f>AND('STERLING CATALOG - FZN &amp; CHILL'!I1693,"AAAAABrf/YY=")</f>
        <v>#VALUE!</v>
      </c>
      <c r="EF317" t="e">
        <f>AND('STERLING CATALOG - FZN &amp; CHILL'!J1693,"AAAAABrf/Yc=")</f>
        <v>#VALUE!</v>
      </c>
      <c r="EG317">
        <f>IF('STERLING CATALOG - FZN &amp; CHILL'!1694:1694,"AAAAABrf/Yg=",0)</f>
        <v>0</v>
      </c>
      <c r="EH317" t="e">
        <f>AND('STERLING CATALOG - FZN &amp; CHILL'!A1694,"AAAAABrf/Yk=")</f>
        <v>#VALUE!</v>
      </c>
      <c r="EI317" t="e">
        <f>AND('STERLING CATALOG - FZN &amp; CHILL'!B1694,"AAAAABrf/Yo=")</f>
        <v>#VALUE!</v>
      </c>
      <c r="EJ317" t="e">
        <f>AND('STERLING CATALOG - FZN &amp; CHILL'!C1694,"AAAAABrf/Ys=")</f>
        <v>#VALUE!</v>
      </c>
      <c r="EK317" t="e">
        <f>AND('STERLING CATALOG - FZN &amp; CHILL'!D1694,"AAAAABrf/Yw=")</f>
        <v>#VALUE!</v>
      </c>
      <c r="EL317" t="e">
        <f>AND('STERLING CATALOG - FZN &amp; CHILL'!E1694,"AAAAABrf/Y0=")</f>
        <v>#VALUE!</v>
      </c>
      <c r="EM317" t="e">
        <f>AND('STERLING CATALOG - FZN &amp; CHILL'!F1694,"AAAAABrf/Y4=")</f>
        <v>#VALUE!</v>
      </c>
      <c r="EN317" t="e">
        <f>AND('STERLING CATALOG - FZN &amp; CHILL'!G1694,"AAAAABrf/Y8=")</f>
        <v>#VALUE!</v>
      </c>
      <c r="EO317" t="e">
        <f>AND('STERLING CATALOG - FZN &amp; CHILL'!H1694,"AAAAABrf/ZA=")</f>
        <v>#VALUE!</v>
      </c>
      <c r="EP317" t="e">
        <f>AND('STERLING CATALOG - FZN &amp; CHILL'!I1694,"AAAAABrf/ZE=")</f>
        <v>#VALUE!</v>
      </c>
      <c r="EQ317" t="e">
        <f>AND('STERLING CATALOG - FZN &amp; CHILL'!J1694,"AAAAABrf/ZI=")</f>
        <v>#VALUE!</v>
      </c>
      <c r="ER317">
        <f>IF('STERLING CATALOG - FZN &amp; CHILL'!1695:1695,"AAAAABrf/ZM=",0)</f>
        <v>0</v>
      </c>
      <c r="ES317" t="e">
        <f>AND('STERLING CATALOG - FZN &amp; CHILL'!A1695,"AAAAABrf/ZQ=")</f>
        <v>#VALUE!</v>
      </c>
      <c r="ET317" t="e">
        <f>AND('STERLING CATALOG - FZN &amp; CHILL'!B1695,"AAAAABrf/ZU=")</f>
        <v>#VALUE!</v>
      </c>
      <c r="EU317" t="e">
        <f>AND('STERLING CATALOG - FZN &amp; CHILL'!C1695,"AAAAABrf/ZY=")</f>
        <v>#VALUE!</v>
      </c>
      <c r="EV317" t="e">
        <f>AND('STERLING CATALOG - FZN &amp; CHILL'!D1695,"AAAAABrf/Zc=")</f>
        <v>#VALUE!</v>
      </c>
      <c r="EW317" t="e">
        <f>AND('STERLING CATALOG - FZN &amp; CHILL'!E1695,"AAAAABrf/Zg=")</f>
        <v>#VALUE!</v>
      </c>
      <c r="EX317" t="e">
        <f>AND('STERLING CATALOG - FZN &amp; CHILL'!F1695,"AAAAABrf/Zk=")</f>
        <v>#VALUE!</v>
      </c>
      <c r="EY317" t="e">
        <f>AND('STERLING CATALOG - FZN &amp; CHILL'!G1695,"AAAAABrf/Zo=")</f>
        <v>#VALUE!</v>
      </c>
      <c r="EZ317" t="e">
        <f>AND('STERLING CATALOG - FZN &amp; CHILL'!H1695,"AAAAABrf/Zs=")</f>
        <v>#VALUE!</v>
      </c>
      <c r="FA317" t="e">
        <f>AND('STERLING CATALOG - FZN &amp; CHILL'!I1695,"AAAAABrf/Zw=")</f>
        <v>#VALUE!</v>
      </c>
      <c r="FB317" t="e">
        <f>AND('STERLING CATALOG - FZN &amp; CHILL'!J1695,"AAAAABrf/Z0=")</f>
        <v>#VALUE!</v>
      </c>
      <c r="FC317">
        <f>IF('STERLING CATALOG - FZN &amp; CHILL'!1696:1696,"AAAAABrf/Z4=",0)</f>
        <v>0</v>
      </c>
      <c r="FD317" t="e">
        <f>AND('STERLING CATALOG - FZN &amp; CHILL'!A1696,"AAAAABrf/Z8=")</f>
        <v>#VALUE!</v>
      </c>
      <c r="FE317" t="e">
        <f>AND('STERLING CATALOG - FZN &amp; CHILL'!B1696,"AAAAABrf/aA=")</f>
        <v>#VALUE!</v>
      </c>
      <c r="FF317" t="e">
        <f>AND('STERLING CATALOG - FZN &amp; CHILL'!C1696,"AAAAABrf/aE=")</f>
        <v>#VALUE!</v>
      </c>
      <c r="FG317" t="e">
        <f>AND('STERLING CATALOG - FZN &amp; CHILL'!D1696,"AAAAABrf/aI=")</f>
        <v>#VALUE!</v>
      </c>
      <c r="FH317" t="e">
        <f>AND('STERLING CATALOG - FZN &amp; CHILL'!E1696,"AAAAABrf/aM=")</f>
        <v>#VALUE!</v>
      </c>
      <c r="FI317" t="e">
        <f>AND('STERLING CATALOG - FZN &amp; CHILL'!F1696,"AAAAABrf/aQ=")</f>
        <v>#VALUE!</v>
      </c>
      <c r="FJ317" t="e">
        <f>AND('STERLING CATALOG - FZN &amp; CHILL'!G1696,"AAAAABrf/aU=")</f>
        <v>#VALUE!</v>
      </c>
      <c r="FK317" t="e">
        <f>AND('STERLING CATALOG - FZN &amp; CHILL'!H1696,"AAAAABrf/aY=")</f>
        <v>#VALUE!</v>
      </c>
      <c r="FL317" t="e">
        <f>AND('STERLING CATALOG - FZN &amp; CHILL'!I1696,"AAAAABrf/ac=")</f>
        <v>#VALUE!</v>
      </c>
      <c r="FM317" t="e">
        <f>AND('STERLING CATALOG - FZN &amp; CHILL'!J1696,"AAAAABrf/ag=")</f>
        <v>#VALUE!</v>
      </c>
      <c r="FN317">
        <f>IF('STERLING CATALOG - FZN &amp; CHILL'!1697:1697,"AAAAABrf/ak=",0)</f>
        <v>0</v>
      </c>
      <c r="FO317" t="e">
        <f>AND('STERLING CATALOG - FZN &amp; CHILL'!A1697,"AAAAABrf/ao=")</f>
        <v>#VALUE!</v>
      </c>
      <c r="FP317" t="e">
        <f>AND('STERLING CATALOG - FZN &amp; CHILL'!B1697,"AAAAABrf/as=")</f>
        <v>#VALUE!</v>
      </c>
      <c r="FQ317" t="e">
        <f>AND('STERLING CATALOG - FZN &amp; CHILL'!C1697,"AAAAABrf/aw=")</f>
        <v>#VALUE!</v>
      </c>
      <c r="FR317" t="e">
        <f>AND('STERLING CATALOG - FZN &amp; CHILL'!D1697,"AAAAABrf/a0=")</f>
        <v>#VALUE!</v>
      </c>
      <c r="FS317" t="e">
        <f>AND('STERLING CATALOG - FZN &amp; CHILL'!E1697,"AAAAABrf/a4=")</f>
        <v>#VALUE!</v>
      </c>
      <c r="FT317" t="e">
        <f>AND('STERLING CATALOG - FZN &amp; CHILL'!F1697,"AAAAABrf/a8=")</f>
        <v>#VALUE!</v>
      </c>
      <c r="FU317" t="e">
        <f>AND('STERLING CATALOG - FZN &amp; CHILL'!G1697,"AAAAABrf/bA=")</f>
        <v>#VALUE!</v>
      </c>
      <c r="FV317" t="e">
        <f>AND('STERLING CATALOG - FZN &amp; CHILL'!H1697,"AAAAABrf/bE=")</f>
        <v>#VALUE!</v>
      </c>
      <c r="FW317" t="e">
        <f>AND('STERLING CATALOG - FZN &amp; CHILL'!I1697,"AAAAABrf/bI=")</f>
        <v>#VALUE!</v>
      </c>
      <c r="FX317" t="e">
        <f>AND('STERLING CATALOG - FZN &amp; CHILL'!J1697,"AAAAABrf/bM=")</f>
        <v>#VALUE!</v>
      </c>
      <c r="FY317">
        <f>IF('STERLING CATALOG - FZN &amp; CHILL'!1698:1698,"AAAAABrf/bQ=",0)</f>
        <v>0</v>
      </c>
      <c r="FZ317" t="e">
        <f>AND('STERLING CATALOG - FZN &amp; CHILL'!A1698,"AAAAABrf/bU=")</f>
        <v>#VALUE!</v>
      </c>
      <c r="GA317" t="e">
        <f>AND('STERLING CATALOG - FZN &amp; CHILL'!B1698,"AAAAABrf/bY=")</f>
        <v>#VALUE!</v>
      </c>
      <c r="GB317" t="e">
        <f>AND('STERLING CATALOG - FZN &amp; CHILL'!C1698,"AAAAABrf/bc=")</f>
        <v>#VALUE!</v>
      </c>
      <c r="GC317" t="e">
        <f>AND('STERLING CATALOG - FZN &amp; CHILL'!D1698,"AAAAABrf/bg=")</f>
        <v>#VALUE!</v>
      </c>
      <c r="GD317" t="e">
        <f>AND('STERLING CATALOG - FZN &amp; CHILL'!E1698,"AAAAABrf/bk=")</f>
        <v>#VALUE!</v>
      </c>
      <c r="GE317" t="e">
        <f>AND('STERLING CATALOG - FZN &amp; CHILL'!F1698,"AAAAABrf/bo=")</f>
        <v>#VALUE!</v>
      </c>
      <c r="GF317" t="e">
        <f>AND('STERLING CATALOG - FZN &amp; CHILL'!G1698,"AAAAABrf/bs=")</f>
        <v>#VALUE!</v>
      </c>
      <c r="GG317" t="e">
        <f>AND('STERLING CATALOG - FZN &amp; CHILL'!H1698,"AAAAABrf/bw=")</f>
        <v>#VALUE!</v>
      </c>
      <c r="GH317" t="e">
        <f>AND('STERLING CATALOG - FZN &amp; CHILL'!I1698,"AAAAABrf/b0=")</f>
        <v>#VALUE!</v>
      </c>
      <c r="GI317" t="e">
        <f>AND('STERLING CATALOG - FZN &amp; CHILL'!J1698,"AAAAABrf/b4=")</f>
        <v>#VALUE!</v>
      </c>
      <c r="GJ317">
        <f>IF('STERLING CATALOG - FZN &amp; CHILL'!1699:1699,"AAAAABrf/b8=",0)</f>
        <v>0</v>
      </c>
      <c r="GK317" t="e">
        <f>AND('STERLING CATALOG - FZN &amp; CHILL'!A1699,"AAAAABrf/cA=")</f>
        <v>#VALUE!</v>
      </c>
      <c r="GL317" t="e">
        <f>AND('STERLING CATALOG - FZN &amp; CHILL'!B1699,"AAAAABrf/cE=")</f>
        <v>#VALUE!</v>
      </c>
      <c r="GM317" t="e">
        <f>AND('STERLING CATALOG - FZN &amp; CHILL'!C1699,"AAAAABrf/cI=")</f>
        <v>#VALUE!</v>
      </c>
      <c r="GN317" t="e">
        <f>AND('STERLING CATALOG - FZN &amp; CHILL'!D1699,"AAAAABrf/cM=")</f>
        <v>#VALUE!</v>
      </c>
      <c r="GO317" t="e">
        <f>AND('STERLING CATALOG - FZN &amp; CHILL'!E1699,"AAAAABrf/cQ=")</f>
        <v>#VALUE!</v>
      </c>
      <c r="GP317" t="e">
        <f>AND('STERLING CATALOG - FZN &amp; CHILL'!F1699,"AAAAABrf/cU=")</f>
        <v>#VALUE!</v>
      </c>
      <c r="GQ317" t="e">
        <f>AND('STERLING CATALOG - FZN &amp; CHILL'!G1699,"AAAAABrf/cY=")</f>
        <v>#VALUE!</v>
      </c>
      <c r="GR317" t="e">
        <f>AND('STERLING CATALOG - FZN &amp; CHILL'!H1699,"AAAAABrf/cc=")</f>
        <v>#VALUE!</v>
      </c>
      <c r="GS317" t="e">
        <f>AND('STERLING CATALOG - FZN &amp; CHILL'!I1699,"AAAAABrf/cg=")</f>
        <v>#VALUE!</v>
      </c>
      <c r="GT317" t="e">
        <f>AND('STERLING CATALOG - FZN &amp; CHILL'!J1699,"AAAAABrf/ck=")</f>
        <v>#VALUE!</v>
      </c>
      <c r="GU317">
        <f>IF('STERLING CATALOG - FZN &amp; CHILL'!1700:1700,"AAAAABrf/co=",0)</f>
        <v>0</v>
      </c>
      <c r="GV317" t="e">
        <f>AND('STERLING CATALOG - FZN &amp; CHILL'!A1700,"AAAAABrf/cs=")</f>
        <v>#VALUE!</v>
      </c>
      <c r="GW317" t="e">
        <f>AND('STERLING CATALOG - FZN &amp; CHILL'!B1700,"AAAAABrf/cw=")</f>
        <v>#VALUE!</v>
      </c>
      <c r="GX317" t="e">
        <f>AND('STERLING CATALOG - FZN &amp; CHILL'!C1700,"AAAAABrf/c0=")</f>
        <v>#VALUE!</v>
      </c>
      <c r="GY317" t="e">
        <f>AND('STERLING CATALOG - FZN &amp; CHILL'!D1700,"AAAAABrf/c4=")</f>
        <v>#VALUE!</v>
      </c>
      <c r="GZ317" t="e">
        <f>AND('STERLING CATALOG - FZN &amp; CHILL'!E1700,"AAAAABrf/c8=")</f>
        <v>#VALUE!</v>
      </c>
      <c r="HA317" t="e">
        <f>AND('STERLING CATALOG - FZN &amp; CHILL'!F1700,"AAAAABrf/dA=")</f>
        <v>#VALUE!</v>
      </c>
      <c r="HB317" t="e">
        <f>AND('STERLING CATALOG - FZN &amp; CHILL'!G1700,"AAAAABrf/dE=")</f>
        <v>#VALUE!</v>
      </c>
      <c r="HC317" t="e">
        <f>AND('STERLING CATALOG - FZN &amp; CHILL'!H1700,"AAAAABrf/dI=")</f>
        <v>#VALUE!</v>
      </c>
      <c r="HD317" t="e">
        <f>AND('STERLING CATALOG - FZN &amp; CHILL'!I1700,"AAAAABrf/dM=")</f>
        <v>#VALUE!</v>
      </c>
      <c r="HE317" t="e">
        <f>AND('STERLING CATALOG - FZN &amp; CHILL'!J1700,"AAAAABrf/dQ=")</f>
        <v>#VALUE!</v>
      </c>
      <c r="HF317">
        <f>IF('STERLING CATALOG - FZN &amp; CHILL'!1701:1701,"AAAAABrf/dU=",0)</f>
        <v>0</v>
      </c>
      <c r="HG317" t="e">
        <f>AND('STERLING CATALOG - FZN &amp; CHILL'!A1701,"AAAAABrf/dY=")</f>
        <v>#VALUE!</v>
      </c>
      <c r="HH317" t="e">
        <f>AND('STERLING CATALOG - FZN &amp; CHILL'!B1701,"AAAAABrf/dc=")</f>
        <v>#VALUE!</v>
      </c>
      <c r="HI317" t="e">
        <f>AND('STERLING CATALOG - FZN &amp; CHILL'!C1701,"AAAAABrf/dg=")</f>
        <v>#VALUE!</v>
      </c>
      <c r="HJ317" t="e">
        <f>AND('STERLING CATALOG - FZN &amp; CHILL'!D1701,"AAAAABrf/dk=")</f>
        <v>#VALUE!</v>
      </c>
      <c r="HK317" t="e">
        <f>AND('STERLING CATALOG - FZN &amp; CHILL'!E1701,"AAAAABrf/do=")</f>
        <v>#VALUE!</v>
      </c>
      <c r="HL317" t="e">
        <f>AND('STERLING CATALOG - FZN &amp; CHILL'!F1701,"AAAAABrf/ds=")</f>
        <v>#VALUE!</v>
      </c>
      <c r="HM317" t="e">
        <f>AND('STERLING CATALOG - FZN &amp; CHILL'!G1701,"AAAAABrf/dw=")</f>
        <v>#VALUE!</v>
      </c>
      <c r="HN317" t="e">
        <f>AND('STERLING CATALOG - FZN &amp; CHILL'!H1701,"AAAAABrf/d0=")</f>
        <v>#VALUE!</v>
      </c>
      <c r="HO317" t="e">
        <f>AND('STERLING CATALOG - FZN &amp; CHILL'!I1701,"AAAAABrf/d4=")</f>
        <v>#VALUE!</v>
      </c>
      <c r="HP317" t="e">
        <f>AND('STERLING CATALOG - FZN &amp; CHILL'!J1701,"AAAAABrf/d8=")</f>
        <v>#VALUE!</v>
      </c>
      <c r="HQ317">
        <f>IF('STERLING CATALOG - FZN &amp; CHILL'!1702:1702,"AAAAABrf/eA=",0)</f>
        <v>0</v>
      </c>
      <c r="HR317" t="e">
        <f>AND('STERLING CATALOG - FZN &amp; CHILL'!A1702,"AAAAABrf/eE=")</f>
        <v>#VALUE!</v>
      </c>
      <c r="HS317" t="e">
        <f>AND('STERLING CATALOG - FZN &amp; CHILL'!B1702,"AAAAABrf/eI=")</f>
        <v>#VALUE!</v>
      </c>
      <c r="HT317" t="e">
        <f>AND('STERLING CATALOG - FZN &amp; CHILL'!C1702,"AAAAABrf/eM=")</f>
        <v>#VALUE!</v>
      </c>
      <c r="HU317" t="e">
        <f>AND('STERLING CATALOG - FZN &amp; CHILL'!D1702,"AAAAABrf/eQ=")</f>
        <v>#VALUE!</v>
      </c>
      <c r="HV317" t="e">
        <f>AND('STERLING CATALOG - FZN &amp; CHILL'!E1702,"AAAAABrf/eU=")</f>
        <v>#VALUE!</v>
      </c>
      <c r="HW317" t="e">
        <f>AND('STERLING CATALOG - FZN &amp; CHILL'!F1702,"AAAAABrf/eY=")</f>
        <v>#VALUE!</v>
      </c>
      <c r="HX317" t="e">
        <f>AND('STERLING CATALOG - FZN &amp; CHILL'!G1702,"AAAAABrf/ec=")</f>
        <v>#VALUE!</v>
      </c>
      <c r="HY317" t="e">
        <f>AND('STERLING CATALOG - FZN &amp; CHILL'!H1702,"AAAAABrf/eg=")</f>
        <v>#VALUE!</v>
      </c>
      <c r="HZ317" t="e">
        <f>AND('STERLING CATALOG - FZN &amp; CHILL'!I1702,"AAAAABrf/ek=")</f>
        <v>#VALUE!</v>
      </c>
      <c r="IA317" t="e">
        <f>AND('STERLING CATALOG - FZN &amp; CHILL'!J1702,"AAAAABrf/eo=")</f>
        <v>#VALUE!</v>
      </c>
      <c r="IB317">
        <f>IF('STERLING CATALOG - FZN &amp; CHILL'!1703:1703,"AAAAABrf/es=",0)</f>
        <v>0</v>
      </c>
      <c r="IC317" t="e">
        <f>AND('STERLING CATALOG - FZN &amp; CHILL'!A1703,"AAAAABrf/ew=")</f>
        <v>#VALUE!</v>
      </c>
      <c r="ID317" t="e">
        <f>AND('STERLING CATALOG - FZN &amp; CHILL'!B1703,"AAAAABrf/e0=")</f>
        <v>#VALUE!</v>
      </c>
      <c r="IE317" t="e">
        <f>AND('STERLING CATALOG - FZN &amp; CHILL'!C1703,"AAAAABrf/e4=")</f>
        <v>#VALUE!</v>
      </c>
      <c r="IF317" t="e">
        <f>AND('STERLING CATALOG - FZN &amp; CHILL'!D1703,"AAAAABrf/e8=")</f>
        <v>#VALUE!</v>
      </c>
      <c r="IG317" t="e">
        <f>AND('STERLING CATALOG - FZN &amp; CHILL'!E1703,"AAAAABrf/fA=")</f>
        <v>#VALUE!</v>
      </c>
      <c r="IH317" t="e">
        <f>AND('STERLING CATALOG - FZN &amp; CHILL'!F1703,"AAAAABrf/fE=")</f>
        <v>#VALUE!</v>
      </c>
      <c r="II317" t="e">
        <f>AND('STERLING CATALOG - FZN &amp; CHILL'!G1703,"AAAAABrf/fI=")</f>
        <v>#VALUE!</v>
      </c>
      <c r="IJ317" t="e">
        <f>AND('STERLING CATALOG - FZN &amp; CHILL'!H1703,"AAAAABrf/fM=")</f>
        <v>#VALUE!</v>
      </c>
      <c r="IK317" t="e">
        <f>AND('STERLING CATALOG - FZN &amp; CHILL'!I1703,"AAAAABrf/fQ=")</f>
        <v>#VALUE!</v>
      </c>
      <c r="IL317" t="e">
        <f>AND('STERLING CATALOG - FZN &amp; CHILL'!J1703,"AAAAABrf/fU=")</f>
        <v>#VALUE!</v>
      </c>
      <c r="IM317">
        <f>IF('STERLING CATALOG - FZN &amp; CHILL'!1704:1704,"AAAAABrf/fY=",0)</f>
        <v>0</v>
      </c>
      <c r="IN317" t="e">
        <f>AND('STERLING CATALOG - FZN &amp; CHILL'!A1704,"AAAAABrf/fc=")</f>
        <v>#VALUE!</v>
      </c>
      <c r="IO317" t="e">
        <f>AND('STERLING CATALOG - FZN &amp; CHILL'!B1704,"AAAAABrf/fg=")</f>
        <v>#VALUE!</v>
      </c>
      <c r="IP317" t="e">
        <f>AND('STERLING CATALOG - FZN &amp; CHILL'!C1704,"AAAAABrf/fk=")</f>
        <v>#VALUE!</v>
      </c>
      <c r="IQ317" t="e">
        <f>AND('STERLING CATALOG - FZN &amp; CHILL'!D1704,"AAAAABrf/fo=")</f>
        <v>#VALUE!</v>
      </c>
      <c r="IR317" t="e">
        <f>AND('STERLING CATALOG - FZN &amp; CHILL'!E1704,"AAAAABrf/fs=")</f>
        <v>#VALUE!</v>
      </c>
      <c r="IS317" t="e">
        <f>AND('STERLING CATALOG - FZN &amp; CHILL'!F1704,"AAAAABrf/fw=")</f>
        <v>#VALUE!</v>
      </c>
      <c r="IT317" t="e">
        <f>AND('STERLING CATALOG - FZN &amp; CHILL'!G1704,"AAAAABrf/f0=")</f>
        <v>#VALUE!</v>
      </c>
      <c r="IU317" t="e">
        <f>AND('STERLING CATALOG - FZN &amp; CHILL'!H1704,"AAAAABrf/f4=")</f>
        <v>#VALUE!</v>
      </c>
      <c r="IV317" t="e">
        <f>AND('STERLING CATALOG - FZN &amp; CHILL'!I1704,"AAAAABrf/f8=")</f>
        <v>#VALUE!</v>
      </c>
    </row>
    <row r="318" spans="1:256">
      <c r="A318" t="e">
        <f>AND('STERLING CATALOG - FZN &amp; CHILL'!J1704,"AAAAAC/vcwA=")</f>
        <v>#VALUE!</v>
      </c>
      <c r="B318" t="str">
        <f>IF('STERLING CATALOG - FZN &amp; CHILL'!1705:1705,"AAAAAC/vcwE=",0)</f>
        <v>AAAAAC/vcwE=</v>
      </c>
      <c r="C318" t="e">
        <f>AND('STERLING CATALOG - FZN &amp; CHILL'!A1705,"AAAAAC/vcwI=")</f>
        <v>#VALUE!</v>
      </c>
      <c r="D318" t="e">
        <f>AND('STERLING CATALOG - FZN &amp; CHILL'!B1705,"AAAAAC/vcwM=")</f>
        <v>#VALUE!</v>
      </c>
      <c r="E318" t="e">
        <f>AND('STERLING CATALOG - FZN &amp; CHILL'!C1705,"AAAAAC/vcwQ=")</f>
        <v>#VALUE!</v>
      </c>
      <c r="F318" t="e">
        <f>AND('STERLING CATALOG - FZN &amp; CHILL'!D1705,"AAAAAC/vcwU=")</f>
        <v>#VALUE!</v>
      </c>
      <c r="G318" t="e">
        <f>AND('STERLING CATALOG - FZN &amp; CHILL'!E1705,"AAAAAC/vcwY=")</f>
        <v>#VALUE!</v>
      </c>
      <c r="H318" t="e">
        <f>AND('STERLING CATALOG - FZN &amp; CHILL'!F1705,"AAAAAC/vcwc=")</f>
        <v>#VALUE!</v>
      </c>
      <c r="I318" t="e">
        <f>AND('STERLING CATALOG - FZN &amp; CHILL'!G1705,"AAAAAC/vcwg=")</f>
        <v>#VALUE!</v>
      </c>
      <c r="J318" t="e">
        <f>AND('STERLING CATALOG - FZN &amp; CHILL'!H1705,"AAAAAC/vcwk=")</f>
        <v>#VALUE!</v>
      </c>
      <c r="K318" t="e">
        <f>AND('STERLING CATALOG - FZN &amp; CHILL'!I1705,"AAAAAC/vcwo=")</f>
        <v>#VALUE!</v>
      </c>
      <c r="L318" t="e">
        <f>AND('STERLING CATALOG - FZN &amp; CHILL'!J1705,"AAAAAC/vcws=")</f>
        <v>#VALUE!</v>
      </c>
      <c r="M318">
        <f>IF('STERLING CATALOG - FZN &amp; CHILL'!1706:1706,"AAAAAC/vcww=",0)</f>
        <v>0</v>
      </c>
      <c r="N318" t="e">
        <f>AND('STERLING CATALOG - FZN &amp; CHILL'!A1706,"AAAAAC/vcw0=")</f>
        <v>#VALUE!</v>
      </c>
      <c r="O318" t="e">
        <f>AND('STERLING CATALOG - FZN &amp; CHILL'!B1706,"AAAAAC/vcw4=")</f>
        <v>#VALUE!</v>
      </c>
      <c r="P318" t="e">
        <f>AND('STERLING CATALOG - FZN &amp; CHILL'!C1706,"AAAAAC/vcw8=")</f>
        <v>#VALUE!</v>
      </c>
      <c r="Q318" t="e">
        <f>AND('STERLING CATALOG - FZN &amp; CHILL'!D1706,"AAAAAC/vcxA=")</f>
        <v>#VALUE!</v>
      </c>
      <c r="R318" t="e">
        <f>AND('STERLING CATALOG - FZN &amp; CHILL'!E1706,"AAAAAC/vcxE=")</f>
        <v>#VALUE!</v>
      </c>
      <c r="S318" t="e">
        <f>AND('STERLING CATALOG - FZN &amp; CHILL'!F1706,"AAAAAC/vcxI=")</f>
        <v>#VALUE!</v>
      </c>
      <c r="T318" t="e">
        <f>AND('STERLING CATALOG - FZN &amp; CHILL'!G1706,"AAAAAC/vcxM=")</f>
        <v>#VALUE!</v>
      </c>
      <c r="U318" t="e">
        <f>AND('STERLING CATALOG - FZN &amp; CHILL'!H1706,"AAAAAC/vcxQ=")</f>
        <v>#VALUE!</v>
      </c>
      <c r="V318" t="e">
        <f>AND('STERLING CATALOG - FZN &amp; CHILL'!I1706,"AAAAAC/vcxU=")</f>
        <v>#VALUE!</v>
      </c>
      <c r="W318" t="e">
        <f>AND('STERLING CATALOG - FZN &amp; CHILL'!J1706,"AAAAAC/vcxY=")</f>
        <v>#VALUE!</v>
      </c>
      <c r="X318">
        <f>IF('STERLING CATALOG - FZN &amp; CHILL'!1707:1707,"AAAAAC/vcxc=",0)</f>
        <v>0</v>
      </c>
      <c r="Y318" t="e">
        <f>AND('STERLING CATALOG - FZN &amp; CHILL'!A1707,"AAAAAC/vcxg=")</f>
        <v>#VALUE!</v>
      </c>
      <c r="Z318" t="e">
        <f>AND('STERLING CATALOG - FZN &amp; CHILL'!B1707,"AAAAAC/vcxk=")</f>
        <v>#VALUE!</v>
      </c>
      <c r="AA318" t="e">
        <f>AND('STERLING CATALOG - FZN &amp; CHILL'!C1707,"AAAAAC/vcxo=")</f>
        <v>#VALUE!</v>
      </c>
      <c r="AB318" t="e">
        <f>AND('STERLING CATALOG - FZN &amp; CHILL'!D1707,"AAAAAC/vcxs=")</f>
        <v>#VALUE!</v>
      </c>
      <c r="AC318" t="e">
        <f>AND('STERLING CATALOG - FZN &amp; CHILL'!E1707,"AAAAAC/vcxw=")</f>
        <v>#VALUE!</v>
      </c>
      <c r="AD318" t="e">
        <f>AND('STERLING CATALOG - FZN &amp; CHILL'!F1707,"AAAAAC/vcx0=")</f>
        <v>#VALUE!</v>
      </c>
      <c r="AE318" t="e">
        <f>AND('STERLING CATALOG - FZN &amp; CHILL'!G1707,"AAAAAC/vcx4=")</f>
        <v>#VALUE!</v>
      </c>
      <c r="AF318" t="e">
        <f>AND('STERLING CATALOG - FZN &amp; CHILL'!H1707,"AAAAAC/vcx8=")</f>
        <v>#VALUE!</v>
      </c>
      <c r="AG318" t="e">
        <f>AND('STERLING CATALOG - FZN &amp; CHILL'!I1707,"AAAAAC/vcyA=")</f>
        <v>#VALUE!</v>
      </c>
      <c r="AH318" t="e">
        <f>AND('STERLING CATALOG - FZN &amp; CHILL'!J1707,"AAAAAC/vcyE=")</f>
        <v>#VALUE!</v>
      </c>
      <c r="AI318">
        <f>IF('STERLING CATALOG - FZN &amp; CHILL'!1708:1708,"AAAAAC/vcyI=",0)</f>
        <v>0</v>
      </c>
      <c r="AJ318" t="e">
        <f>AND('STERLING CATALOG - FZN &amp; CHILL'!A1708,"AAAAAC/vcyM=")</f>
        <v>#VALUE!</v>
      </c>
      <c r="AK318" t="e">
        <f>AND('STERLING CATALOG - FZN &amp; CHILL'!B1708,"AAAAAC/vcyQ=")</f>
        <v>#VALUE!</v>
      </c>
      <c r="AL318" t="e">
        <f>AND('STERLING CATALOG - FZN &amp; CHILL'!C1708,"AAAAAC/vcyU=")</f>
        <v>#VALUE!</v>
      </c>
      <c r="AM318" t="e">
        <f>AND('STERLING CATALOG - FZN &amp; CHILL'!D1708,"AAAAAC/vcyY=")</f>
        <v>#VALUE!</v>
      </c>
      <c r="AN318" t="e">
        <f>AND('STERLING CATALOG - FZN &amp; CHILL'!E1708,"AAAAAC/vcyc=")</f>
        <v>#VALUE!</v>
      </c>
      <c r="AO318" t="e">
        <f>AND('STERLING CATALOG - FZN &amp; CHILL'!F1708,"AAAAAC/vcyg=")</f>
        <v>#VALUE!</v>
      </c>
      <c r="AP318" t="e">
        <f>AND('STERLING CATALOG - FZN &amp; CHILL'!G1708,"AAAAAC/vcyk=")</f>
        <v>#VALUE!</v>
      </c>
      <c r="AQ318" t="e">
        <f>AND('STERLING CATALOG - FZN &amp; CHILL'!H1708,"AAAAAC/vcyo=")</f>
        <v>#VALUE!</v>
      </c>
      <c r="AR318" t="e">
        <f>AND('STERLING CATALOG - FZN &amp; CHILL'!I1708,"AAAAAC/vcys=")</f>
        <v>#VALUE!</v>
      </c>
      <c r="AS318" t="e">
        <f>AND('STERLING CATALOG - FZN &amp; CHILL'!J1708,"AAAAAC/vcyw=")</f>
        <v>#VALUE!</v>
      </c>
      <c r="AT318">
        <f>IF('STERLING CATALOG - FZN &amp; CHILL'!1709:1709,"AAAAAC/vcy0=",0)</f>
        <v>0</v>
      </c>
      <c r="AU318" t="e">
        <f>AND('STERLING CATALOG - FZN &amp; CHILL'!A1709,"AAAAAC/vcy4=")</f>
        <v>#VALUE!</v>
      </c>
      <c r="AV318" t="e">
        <f>AND('STERLING CATALOG - FZN &amp; CHILL'!B1709,"AAAAAC/vcy8=")</f>
        <v>#VALUE!</v>
      </c>
      <c r="AW318" t="e">
        <f>AND('STERLING CATALOG - FZN &amp; CHILL'!C1709,"AAAAAC/vczA=")</f>
        <v>#VALUE!</v>
      </c>
      <c r="AX318" t="e">
        <f>AND('STERLING CATALOG - FZN &amp; CHILL'!D1709,"AAAAAC/vczE=")</f>
        <v>#VALUE!</v>
      </c>
      <c r="AY318" t="e">
        <f>AND('STERLING CATALOG - FZN &amp; CHILL'!E1709,"AAAAAC/vczI=")</f>
        <v>#VALUE!</v>
      </c>
      <c r="AZ318" t="e">
        <f>AND('STERLING CATALOG - FZN &amp; CHILL'!F1709,"AAAAAC/vczM=")</f>
        <v>#VALUE!</v>
      </c>
      <c r="BA318" t="e">
        <f>AND('STERLING CATALOG - FZN &amp; CHILL'!G1709,"AAAAAC/vczQ=")</f>
        <v>#VALUE!</v>
      </c>
      <c r="BB318" t="e">
        <f>AND('STERLING CATALOG - FZN &amp; CHILL'!H1709,"AAAAAC/vczU=")</f>
        <v>#VALUE!</v>
      </c>
      <c r="BC318" t="e">
        <f>AND('STERLING CATALOG - FZN &amp; CHILL'!I1709,"AAAAAC/vczY=")</f>
        <v>#VALUE!</v>
      </c>
      <c r="BD318" t="e">
        <f>AND('STERLING CATALOG - FZN &amp; CHILL'!J1709,"AAAAAC/vczc=")</f>
        <v>#VALUE!</v>
      </c>
      <c r="BE318">
        <f>IF('STERLING CATALOG - FZN &amp; CHILL'!1710:1710,"AAAAAC/vczg=",0)</f>
        <v>0</v>
      </c>
      <c r="BF318" t="e">
        <f>AND('STERLING CATALOG - FZN &amp; CHILL'!A1710,"AAAAAC/vczk=")</f>
        <v>#VALUE!</v>
      </c>
      <c r="BG318" t="e">
        <f>AND('STERLING CATALOG - FZN &amp; CHILL'!B1710,"AAAAAC/vczo=")</f>
        <v>#VALUE!</v>
      </c>
      <c r="BH318" t="e">
        <f>AND('STERLING CATALOG - FZN &amp; CHILL'!C1710,"AAAAAC/vczs=")</f>
        <v>#VALUE!</v>
      </c>
      <c r="BI318" t="e">
        <f>AND('STERLING CATALOG - FZN &amp; CHILL'!D1710,"AAAAAC/vczw=")</f>
        <v>#VALUE!</v>
      </c>
      <c r="BJ318" t="e">
        <f>AND('STERLING CATALOG - FZN &amp; CHILL'!E1710,"AAAAAC/vcz0=")</f>
        <v>#VALUE!</v>
      </c>
      <c r="BK318" t="e">
        <f>AND('STERLING CATALOG - FZN &amp; CHILL'!F1710,"AAAAAC/vcz4=")</f>
        <v>#VALUE!</v>
      </c>
      <c r="BL318" t="e">
        <f>AND('STERLING CATALOG - FZN &amp; CHILL'!G1710,"AAAAAC/vcz8=")</f>
        <v>#VALUE!</v>
      </c>
      <c r="BM318" t="e">
        <f>AND('STERLING CATALOG - FZN &amp; CHILL'!H1710,"AAAAAC/vc0A=")</f>
        <v>#VALUE!</v>
      </c>
      <c r="BN318" t="e">
        <f>AND('STERLING CATALOG - FZN &amp; CHILL'!I1710,"AAAAAC/vc0E=")</f>
        <v>#VALUE!</v>
      </c>
      <c r="BO318" t="e">
        <f>AND('STERLING CATALOG - FZN &amp; CHILL'!J1710,"AAAAAC/vc0I=")</f>
        <v>#VALUE!</v>
      </c>
      <c r="BP318">
        <f>IF('STERLING CATALOG - FZN &amp; CHILL'!1711:1711,"AAAAAC/vc0M=",0)</f>
        <v>0</v>
      </c>
      <c r="BQ318" t="e">
        <f>AND('STERLING CATALOG - FZN &amp; CHILL'!A1711,"AAAAAC/vc0Q=")</f>
        <v>#VALUE!</v>
      </c>
      <c r="BR318" t="e">
        <f>AND('STERLING CATALOG - FZN &amp; CHILL'!B1711,"AAAAAC/vc0U=")</f>
        <v>#VALUE!</v>
      </c>
      <c r="BS318" t="e">
        <f>AND('STERLING CATALOG - FZN &amp; CHILL'!C1711,"AAAAAC/vc0Y=")</f>
        <v>#VALUE!</v>
      </c>
      <c r="BT318" t="e">
        <f>AND('STERLING CATALOG - FZN &amp; CHILL'!D1711,"AAAAAC/vc0c=")</f>
        <v>#VALUE!</v>
      </c>
      <c r="BU318" t="e">
        <f>AND('STERLING CATALOG - FZN &amp; CHILL'!E1711,"AAAAAC/vc0g=")</f>
        <v>#VALUE!</v>
      </c>
      <c r="BV318" t="e">
        <f>AND('STERLING CATALOG - FZN &amp; CHILL'!F1711,"AAAAAC/vc0k=")</f>
        <v>#VALUE!</v>
      </c>
      <c r="BW318" t="e">
        <f>AND('STERLING CATALOG - FZN &amp; CHILL'!G1711,"AAAAAC/vc0o=")</f>
        <v>#VALUE!</v>
      </c>
      <c r="BX318" t="e">
        <f>AND('STERLING CATALOG - FZN &amp; CHILL'!H1711,"AAAAAC/vc0s=")</f>
        <v>#VALUE!</v>
      </c>
      <c r="BY318" t="e">
        <f>AND('STERLING CATALOG - FZN &amp; CHILL'!I1711,"AAAAAC/vc0w=")</f>
        <v>#VALUE!</v>
      </c>
      <c r="BZ318" t="e">
        <f>AND('STERLING CATALOG - FZN &amp; CHILL'!J1711,"AAAAAC/vc00=")</f>
        <v>#VALUE!</v>
      </c>
      <c r="CA318">
        <f>IF('STERLING CATALOG - FZN &amp; CHILL'!1712:1712,"AAAAAC/vc04=",0)</f>
        <v>0</v>
      </c>
      <c r="CB318" t="e">
        <f>AND('STERLING CATALOG - FZN &amp; CHILL'!A1712,"AAAAAC/vc08=")</f>
        <v>#VALUE!</v>
      </c>
      <c r="CC318" t="e">
        <f>AND('STERLING CATALOG - FZN &amp; CHILL'!B1712,"AAAAAC/vc1A=")</f>
        <v>#VALUE!</v>
      </c>
      <c r="CD318" t="e">
        <f>AND('STERLING CATALOG - FZN &amp; CHILL'!C1712,"AAAAAC/vc1E=")</f>
        <v>#VALUE!</v>
      </c>
      <c r="CE318" t="e">
        <f>AND('STERLING CATALOG - FZN &amp; CHILL'!D1712,"AAAAAC/vc1I=")</f>
        <v>#VALUE!</v>
      </c>
      <c r="CF318" t="e">
        <f>AND('STERLING CATALOG - FZN &amp; CHILL'!E1712,"AAAAAC/vc1M=")</f>
        <v>#VALUE!</v>
      </c>
      <c r="CG318" t="e">
        <f>AND('STERLING CATALOG - FZN &amp; CHILL'!F1712,"AAAAAC/vc1Q=")</f>
        <v>#VALUE!</v>
      </c>
      <c r="CH318" t="e">
        <f>AND('STERLING CATALOG - FZN &amp; CHILL'!G1712,"AAAAAC/vc1U=")</f>
        <v>#VALUE!</v>
      </c>
      <c r="CI318" t="e">
        <f>AND('STERLING CATALOG - FZN &amp; CHILL'!H1712,"AAAAAC/vc1Y=")</f>
        <v>#VALUE!</v>
      </c>
      <c r="CJ318" t="e">
        <f>AND('STERLING CATALOG - FZN &amp; CHILL'!I1712,"AAAAAC/vc1c=")</f>
        <v>#VALUE!</v>
      </c>
      <c r="CK318" t="e">
        <f>AND('STERLING CATALOG - FZN &amp; CHILL'!J1712,"AAAAAC/vc1g=")</f>
        <v>#VALUE!</v>
      </c>
      <c r="CL318">
        <f>IF('STERLING CATALOG - FZN &amp; CHILL'!1713:1713,"AAAAAC/vc1k=",0)</f>
        <v>0</v>
      </c>
      <c r="CM318" t="e">
        <f>AND('STERLING CATALOG - FZN &amp; CHILL'!A1713,"AAAAAC/vc1o=")</f>
        <v>#VALUE!</v>
      </c>
      <c r="CN318" t="e">
        <f>AND('STERLING CATALOG - FZN &amp; CHILL'!B1713,"AAAAAC/vc1s=")</f>
        <v>#VALUE!</v>
      </c>
      <c r="CO318" t="e">
        <f>AND('STERLING CATALOG - FZN &amp; CHILL'!C1713,"AAAAAC/vc1w=")</f>
        <v>#VALUE!</v>
      </c>
      <c r="CP318" t="e">
        <f>AND('STERLING CATALOG - FZN &amp; CHILL'!D1713,"AAAAAC/vc10=")</f>
        <v>#VALUE!</v>
      </c>
      <c r="CQ318" t="e">
        <f>AND('STERLING CATALOG - FZN &amp; CHILL'!E1713,"AAAAAC/vc14=")</f>
        <v>#VALUE!</v>
      </c>
      <c r="CR318" t="e">
        <f>AND('STERLING CATALOG - FZN &amp; CHILL'!F1713,"AAAAAC/vc18=")</f>
        <v>#VALUE!</v>
      </c>
      <c r="CS318" t="e">
        <f>AND('STERLING CATALOG - FZN &amp; CHILL'!G1713,"AAAAAC/vc2A=")</f>
        <v>#VALUE!</v>
      </c>
      <c r="CT318" t="e">
        <f>AND('STERLING CATALOG - FZN &amp; CHILL'!H1713,"AAAAAC/vc2E=")</f>
        <v>#VALUE!</v>
      </c>
      <c r="CU318" t="e">
        <f>AND('STERLING CATALOG - FZN &amp; CHILL'!I1713,"AAAAAC/vc2I=")</f>
        <v>#VALUE!</v>
      </c>
      <c r="CV318" t="e">
        <f>AND('STERLING CATALOG - FZN &amp; CHILL'!J1713,"AAAAAC/vc2M=")</f>
        <v>#VALUE!</v>
      </c>
      <c r="CW318">
        <f>IF('STERLING CATALOG - FZN &amp; CHILL'!1714:1714,"AAAAAC/vc2Q=",0)</f>
        <v>0</v>
      </c>
      <c r="CX318" t="e">
        <f>AND('STERLING CATALOG - FZN &amp; CHILL'!A1714,"AAAAAC/vc2U=")</f>
        <v>#VALUE!</v>
      </c>
      <c r="CY318" t="e">
        <f>AND('STERLING CATALOG - FZN &amp; CHILL'!B1714,"AAAAAC/vc2Y=")</f>
        <v>#VALUE!</v>
      </c>
      <c r="CZ318" t="e">
        <f>AND('STERLING CATALOG - FZN &amp; CHILL'!C1714,"AAAAAC/vc2c=")</f>
        <v>#VALUE!</v>
      </c>
      <c r="DA318" t="e">
        <f>AND('STERLING CATALOG - FZN &amp; CHILL'!D1714,"AAAAAC/vc2g=")</f>
        <v>#VALUE!</v>
      </c>
      <c r="DB318" t="e">
        <f>AND('STERLING CATALOG - FZN &amp; CHILL'!E1714,"AAAAAC/vc2k=")</f>
        <v>#VALUE!</v>
      </c>
      <c r="DC318" t="e">
        <f>AND('STERLING CATALOG - FZN &amp; CHILL'!F1714,"AAAAAC/vc2o=")</f>
        <v>#VALUE!</v>
      </c>
      <c r="DD318" t="e">
        <f>AND('STERLING CATALOG - FZN &amp; CHILL'!G1714,"AAAAAC/vc2s=")</f>
        <v>#VALUE!</v>
      </c>
      <c r="DE318" t="e">
        <f>AND('STERLING CATALOG - FZN &amp; CHILL'!H1714,"AAAAAC/vc2w=")</f>
        <v>#VALUE!</v>
      </c>
      <c r="DF318" t="e">
        <f>AND('STERLING CATALOG - FZN &amp; CHILL'!I1714,"AAAAAC/vc20=")</f>
        <v>#VALUE!</v>
      </c>
      <c r="DG318" t="e">
        <f>AND('STERLING CATALOG - FZN &amp; CHILL'!J1714,"AAAAAC/vc24=")</f>
        <v>#VALUE!</v>
      </c>
      <c r="DH318">
        <f>IF('STERLING CATALOG - FZN &amp; CHILL'!1715:1715,"AAAAAC/vc28=",0)</f>
        <v>0</v>
      </c>
      <c r="DI318" t="e">
        <f>AND('STERLING CATALOG - FZN &amp; CHILL'!A1715,"AAAAAC/vc3A=")</f>
        <v>#VALUE!</v>
      </c>
      <c r="DJ318" t="e">
        <f>AND('STERLING CATALOG - FZN &amp; CHILL'!B1715,"AAAAAC/vc3E=")</f>
        <v>#VALUE!</v>
      </c>
      <c r="DK318" t="e">
        <f>AND('STERLING CATALOG - FZN &amp; CHILL'!C1715,"AAAAAC/vc3I=")</f>
        <v>#VALUE!</v>
      </c>
      <c r="DL318" t="e">
        <f>AND('STERLING CATALOG - FZN &amp; CHILL'!D1715,"AAAAAC/vc3M=")</f>
        <v>#VALUE!</v>
      </c>
      <c r="DM318" t="e">
        <f>AND('STERLING CATALOG - FZN &amp; CHILL'!E1715,"AAAAAC/vc3Q=")</f>
        <v>#VALUE!</v>
      </c>
      <c r="DN318" t="e">
        <f>AND('STERLING CATALOG - FZN &amp; CHILL'!F1715,"AAAAAC/vc3U=")</f>
        <v>#VALUE!</v>
      </c>
      <c r="DO318" t="e">
        <f>AND('STERLING CATALOG - FZN &amp; CHILL'!G1715,"AAAAAC/vc3Y=")</f>
        <v>#VALUE!</v>
      </c>
      <c r="DP318" t="e">
        <f>AND('STERLING CATALOG - FZN &amp; CHILL'!H1715,"AAAAAC/vc3c=")</f>
        <v>#VALUE!</v>
      </c>
      <c r="DQ318" t="e">
        <f>AND('STERLING CATALOG - FZN &amp; CHILL'!I1715,"AAAAAC/vc3g=")</f>
        <v>#VALUE!</v>
      </c>
      <c r="DR318" t="e">
        <f>AND('STERLING CATALOG - FZN &amp; CHILL'!J1715,"AAAAAC/vc3k=")</f>
        <v>#VALUE!</v>
      </c>
      <c r="DS318">
        <f>IF('STERLING CATALOG - FZN &amp; CHILL'!1716:1716,"AAAAAC/vc3o=",0)</f>
        <v>0</v>
      </c>
      <c r="DT318" t="e">
        <f>AND('STERLING CATALOG - FZN &amp; CHILL'!A1716,"AAAAAC/vc3s=")</f>
        <v>#VALUE!</v>
      </c>
      <c r="DU318" t="e">
        <f>AND('STERLING CATALOG - FZN &amp; CHILL'!B1716,"AAAAAC/vc3w=")</f>
        <v>#VALUE!</v>
      </c>
      <c r="DV318" t="e">
        <f>AND('STERLING CATALOG - FZN &amp; CHILL'!C1716,"AAAAAC/vc30=")</f>
        <v>#VALUE!</v>
      </c>
      <c r="DW318" t="e">
        <f>AND('STERLING CATALOG - FZN &amp; CHILL'!D1716,"AAAAAC/vc34=")</f>
        <v>#VALUE!</v>
      </c>
      <c r="DX318" t="e">
        <f>AND('STERLING CATALOG - FZN &amp; CHILL'!E1716,"AAAAAC/vc38=")</f>
        <v>#VALUE!</v>
      </c>
      <c r="DY318" t="e">
        <f>AND('STERLING CATALOG - FZN &amp; CHILL'!F1716,"AAAAAC/vc4A=")</f>
        <v>#VALUE!</v>
      </c>
      <c r="DZ318" t="e">
        <f>AND('STERLING CATALOG - FZN &amp; CHILL'!G1716,"AAAAAC/vc4E=")</f>
        <v>#VALUE!</v>
      </c>
      <c r="EA318" t="e">
        <f>AND('STERLING CATALOG - FZN &amp; CHILL'!H1716,"AAAAAC/vc4I=")</f>
        <v>#VALUE!</v>
      </c>
      <c r="EB318" t="e">
        <f>AND('STERLING CATALOG - FZN &amp; CHILL'!I1716,"AAAAAC/vc4M=")</f>
        <v>#VALUE!</v>
      </c>
      <c r="EC318" t="e">
        <f>AND('STERLING CATALOG - FZN &amp; CHILL'!J1716,"AAAAAC/vc4Q=")</f>
        <v>#VALUE!</v>
      </c>
      <c r="ED318">
        <f>IF('STERLING CATALOG - FZN &amp; CHILL'!1717:1717,"AAAAAC/vc4U=",0)</f>
        <v>0</v>
      </c>
      <c r="EE318" t="e">
        <f>AND('STERLING CATALOG - FZN &amp; CHILL'!A1717,"AAAAAC/vc4Y=")</f>
        <v>#VALUE!</v>
      </c>
      <c r="EF318" t="e">
        <f>AND('STERLING CATALOG - FZN &amp; CHILL'!B1717,"AAAAAC/vc4c=")</f>
        <v>#VALUE!</v>
      </c>
      <c r="EG318" t="e">
        <f>AND('STERLING CATALOG - FZN &amp; CHILL'!C1717,"AAAAAC/vc4g=")</f>
        <v>#VALUE!</v>
      </c>
      <c r="EH318" t="e">
        <f>AND('STERLING CATALOG - FZN &amp; CHILL'!D1717,"AAAAAC/vc4k=")</f>
        <v>#VALUE!</v>
      </c>
      <c r="EI318" t="e">
        <f>AND('STERLING CATALOG - FZN &amp; CHILL'!E1717,"AAAAAC/vc4o=")</f>
        <v>#VALUE!</v>
      </c>
      <c r="EJ318" t="e">
        <f>AND('STERLING CATALOG - FZN &amp; CHILL'!F1717,"AAAAAC/vc4s=")</f>
        <v>#VALUE!</v>
      </c>
      <c r="EK318" t="e">
        <f>AND('STERLING CATALOG - FZN &amp; CHILL'!G1717,"AAAAAC/vc4w=")</f>
        <v>#VALUE!</v>
      </c>
      <c r="EL318" t="e">
        <f>AND('STERLING CATALOG - FZN &amp; CHILL'!H1717,"AAAAAC/vc40=")</f>
        <v>#VALUE!</v>
      </c>
      <c r="EM318" t="e">
        <f>AND('STERLING CATALOG - FZN &amp; CHILL'!I1717,"AAAAAC/vc44=")</f>
        <v>#VALUE!</v>
      </c>
      <c r="EN318" t="e">
        <f>AND('STERLING CATALOG - FZN &amp; CHILL'!J1717,"AAAAAC/vc48=")</f>
        <v>#VALUE!</v>
      </c>
      <c r="EO318">
        <f>IF('STERLING CATALOG - FZN &amp; CHILL'!1718:1718,"AAAAAC/vc5A=",0)</f>
        <v>0</v>
      </c>
      <c r="EP318" t="e">
        <f>AND('STERLING CATALOG - FZN &amp; CHILL'!A1718,"AAAAAC/vc5E=")</f>
        <v>#VALUE!</v>
      </c>
      <c r="EQ318" t="e">
        <f>AND('STERLING CATALOG - FZN &amp; CHILL'!B1718,"AAAAAC/vc5I=")</f>
        <v>#VALUE!</v>
      </c>
      <c r="ER318" t="e">
        <f>AND('STERLING CATALOG - FZN &amp; CHILL'!C1718,"AAAAAC/vc5M=")</f>
        <v>#VALUE!</v>
      </c>
      <c r="ES318" t="e">
        <f>AND('STERLING CATALOG - FZN &amp; CHILL'!D1718,"AAAAAC/vc5Q=")</f>
        <v>#VALUE!</v>
      </c>
      <c r="ET318" t="e">
        <f>AND('STERLING CATALOG - FZN &amp; CHILL'!E1718,"AAAAAC/vc5U=")</f>
        <v>#VALUE!</v>
      </c>
      <c r="EU318" t="e">
        <f>AND('STERLING CATALOG - FZN &amp; CHILL'!F1718,"AAAAAC/vc5Y=")</f>
        <v>#VALUE!</v>
      </c>
      <c r="EV318" t="e">
        <f>AND('STERLING CATALOG - FZN &amp; CHILL'!G1718,"AAAAAC/vc5c=")</f>
        <v>#VALUE!</v>
      </c>
      <c r="EW318" t="e">
        <f>AND('STERLING CATALOG - FZN &amp; CHILL'!H1718,"AAAAAC/vc5g=")</f>
        <v>#VALUE!</v>
      </c>
      <c r="EX318" t="e">
        <f>AND('STERLING CATALOG - FZN &amp; CHILL'!I1718,"AAAAAC/vc5k=")</f>
        <v>#VALUE!</v>
      </c>
      <c r="EY318" t="e">
        <f>AND('STERLING CATALOG - FZN &amp; CHILL'!J1718,"AAAAAC/vc5o=")</f>
        <v>#VALUE!</v>
      </c>
      <c r="EZ318">
        <f>IF('STERLING CATALOG - FZN &amp; CHILL'!1719:1719,"AAAAAC/vc5s=",0)</f>
        <v>0</v>
      </c>
      <c r="FA318" t="e">
        <f>AND('STERLING CATALOG - FZN &amp; CHILL'!A1719,"AAAAAC/vc5w=")</f>
        <v>#VALUE!</v>
      </c>
      <c r="FB318" t="e">
        <f>AND('STERLING CATALOG - FZN &amp; CHILL'!B1719,"AAAAAC/vc50=")</f>
        <v>#VALUE!</v>
      </c>
      <c r="FC318" t="e">
        <f>AND('STERLING CATALOG - FZN &amp; CHILL'!C1719,"AAAAAC/vc54=")</f>
        <v>#VALUE!</v>
      </c>
      <c r="FD318" t="e">
        <f>AND('STERLING CATALOG - FZN &amp; CHILL'!D1719,"AAAAAC/vc58=")</f>
        <v>#VALUE!</v>
      </c>
      <c r="FE318" t="e">
        <f>AND('STERLING CATALOG - FZN &amp; CHILL'!E1719,"AAAAAC/vc6A=")</f>
        <v>#VALUE!</v>
      </c>
      <c r="FF318" t="e">
        <f>AND('STERLING CATALOG - FZN &amp; CHILL'!F1719,"AAAAAC/vc6E=")</f>
        <v>#VALUE!</v>
      </c>
      <c r="FG318" t="e">
        <f>AND('STERLING CATALOG - FZN &amp; CHILL'!G1719,"AAAAAC/vc6I=")</f>
        <v>#VALUE!</v>
      </c>
      <c r="FH318" t="e">
        <f>AND('STERLING CATALOG - FZN &amp; CHILL'!H1719,"AAAAAC/vc6M=")</f>
        <v>#VALUE!</v>
      </c>
      <c r="FI318" t="e">
        <f>AND('STERLING CATALOG - FZN &amp; CHILL'!I1719,"AAAAAC/vc6Q=")</f>
        <v>#VALUE!</v>
      </c>
      <c r="FJ318" t="e">
        <f>AND('STERLING CATALOG - FZN &amp; CHILL'!J1719,"AAAAAC/vc6U=")</f>
        <v>#VALUE!</v>
      </c>
      <c r="FK318">
        <f>IF('STERLING CATALOG - FZN &amp; CHILL'!1720:1720,"AAAAAC/vc6Y=",0)</f>
        <v>0</v>
      </c>
      <c r="FL318" t="e">
        <f>AND('STERLING CATALOG - FZN &amp; CHILL'!A1720,"AAAAAC/vc6c=")</f>
        <v>#VALUE!</v>
      </c>
      <c r="FM318" t="e">
        <f>AND('STERLING CATALOG - FZN &amp; CHILL'!B1720,"AAAAAC/vc6g=")</f>
        <v>#VALUE!</v>
      </c>
      <c r="FN318" t="e">
        <f>AND('STERLING CATALOG - FZN &amp; CHILL'!C1720,"AAAAAC/vc6k=")</f>
        <v>#VALUE!</v>
      </c>
      <c r="FO318" t="e">
        <f>AND('STERLING CATALOG - FZN &amp; CHILL'!D1720,"AAAAAC/vc6o=")</f>
        <v>#VALUE!</v>
      </c>
      <c r="FP318" t="e">
        <f>AND('STERLING CATALOG - FZN &amp; CHILL'!E1720,"AAAAAC/vc6s=")</f>
        <v>#VALUE!</v>
      </c>
      <c r="FQ318" t="e">
        <f>AND('STERLING CATALOG - FZN &amp; CHILL'!F1720,"AAAAAC/vc6w=")</f>
        <v>#VALUE!</v>
      </c>
      <c r="FR318" t="e">
        <f>AND('STERLING CATALOG - FZN &amp; CHILL'!G1720,"AAAAAC/vc60=")</f>
        <v>#VALUE!</v>
      </c>
      <c r="FS318" t="e">
        <f>AND('STERLING CATALOG - FZN &amp; CHILL'!H1720,"AAAAAC/vc64=")</f>
        <v>#VALUE!</v>
      </c>
      <c r="FT318" t="e">
        <f>AND('STERLING CATALOG - FZN &amp; CHILL'!I1720,"AAAAAC/vc68=")</f>
        <v>#VALUE!</v>
      </c>
      <c r="FU318" t="e">
        <f>AND('STERLING CATALOG - FZN &amp; CHILL'!J1720,"AAAAAC/vc7A=")</f>
        <v>#VALUE!</v>
      </c>
      <c r="FV318">
        <f>IF('STERLING CATALOG - FZN &amp; CHILL'!1721:1721,"AAAAAC/vc7E=",0)</f>
        <v>0</v>
      </c>
      <c r="FW318" t="e">
        <f>AND('STERLING CATALOG - FZN &amp; CHILL'!A1721,"AAAAAC/vc7I=")</f>
        <v>#VALUE!</v>
      </c>
      <c r="FX318" t="e">
        <f>AND('STERLING CATALOG - FZN &amp; CHILL'!B1721,"AAAAAC/vc7M=")</f>
        <v>#VALUE!</v>
      </c>
      <c r="FY318" t="e">
        <f>AND('STERLING CATALOG - FZN &amp; CHILL'!C1721,"AAAAAC/vc7Q=")</f>
        <v>#VALUE!</v>
      </c>
      <c r="FZ318" t="e">
        <f>AND('STERLING CATALOG - FZN &amp; CHILL'!D1721,"AAAAAC/vc7U=")</f>
        <v>#VALUE!</v>
      </c>
      <c r="GA318" t="e">
        <f>AND('STERLING CATALOG - FZN &amp; CHILL'!E1721,"AAAAAC/vc7Y=")</f>
        <v>#VALUE!</v>
      </c>
      <c r="GB318" t="e">
        <f>AND('STERLING CATALOG - FZN &amp; CHILL'!F1721,"AAAAAC/vc7c=")</f>
        <v>#VALUE!</v>
      </c>
      <c r="GC318" t="e">
        <f>AND('STERLING CATALOG - FZN &amp; CHILL'!G1721,"AAAAAC/vc7g=")</f>
        <v>#VALUE!</v>
      </c>
      <c r="GD318" t="e">
        <f>AND('STERLING CATALOG - FZN &amp; CHILL'!H1721,"AAAAAC/vc7k=")</f>
        <v>#VALUE!</v>
      </c>
      <c r="GE318" t="e">
        <f>AND('STERLING CATALOG - FZN &amp; CHILL'!I1721,"AAAAAC/vc7o=")</f>
        <v>#VALUE!</v>
      </c>
      <c r="GF318" t="e">
        <f>AND('STERLING CATALOG - FZN &amp; CHILL'!J1721,"AAAAAC/vc7s=")</f>
        <v>#VALUE!</v>
      </c>
      <c r="GG318">
        <f>IF('STERLING CATALOG - FZN &amp; CHILL'!1722:1722,"AAAAAC/vc7w=",0)</f>
        <v>0</v>
      </c>
      <c r="GH318" t="e">
        <f>AND('STERLING CATALOG - FZN &amp; CHILL'!A1722,"AAAAAC/vc70=")</f>
        <v>#VALUE!</v>
      </c>
      <c r="GI318" t="e">
        <f>AND('STERLING CATALOG - FZN &amp; CHILL'!B1722,"AAAAAC/vc74=")</f>
        <v>#VALUE!</v>
      </c>
      <c r="GJ318" t="e">
        <f>AND('STERLING CATALOG - FZN &amp; CHILL'!C1722,"AAAAAC/vc78=")</f>
        <v>#VALUE!</v>
      </c>
      <c r="GK318" t="e">
        <f>AND('STERLING CATALOG - FZN &amp; CHILL'!D1722,"AAAAAC/vc8A=")</f>
        <v>#VALUE!</v>
      </c>
      <c r="GL318" t="e">
        <f>AND('STERLING CATALOG - FZN &amp; CHILL'!E1722,"AAAAAC/vc8E=")</f>
        <v>#VALUE!</v>
      </c>
      <c r="GM318" t="e">
        <f>AND('STERLING CATALOG - FZN &amp; CHILL'!F1722,"AAAAAC/vc8I=")</f>
        <v>#VALUE!</v>
      </c>
      <c r="GN318" t="e">
        <f>AND('STERLING CATALOG - FZN &amp; CHILL'!G1722,"AAAAAC/vc8M=")</f>
        <v>#VALUE!</v>
      </c>
      <c r="GO318" t="e">
        <f>AND('STERLING CATALOG - FZN &amp; CHILL'!H1722,"AAAAAC/vc8Q=")</f>
        <v>#VALUE!</v>
      </c>
      <c r="GP318" t="e">
        <f>AND('STERLING CATALOG - FZN &amp; CHILL'!I1722,"AAAAAC/vc8U=")</f>
        <v>#VALUE!</v>
      </c>
      <c r="GQ318" t="e">
        <f>AND('STERLING CATALOG - FZN &amp; CHILL'!J1722,"AAAAAC/vc8Y=")</f>
        <v>#VALUE!</v>
      </c>
      <c r="GR318">
        <f>IF('STERLING CATALOG - FZN &amp; CHILL'!1723:1723,"AAAAAC/vc8c=",0)</f>
        <v>0</v>
      </c>
      <c r="GS318" t="e">
        <f>AND('STERLING CATALOG - FZN &amp; CHILL'!A1723,"AAAAAC/vc8g=")</f>
        <v>#VALUE!</v>
      </c>
      <c r="GT318" t="e">
        <f>AND('STERLING CATALOG - FZN &amp; CHILL'!B1723,"AAAAAC/vc8k=")</f>
        <v>#VALUE!</v>
      </c>
      <c r="GU318" t="e">
        <f>AND('STERLING CATALOG - FZN &amp; CHILL'!C1723,"AAAAAC/vc8o=")</f>
        <v>#VALUE!</v>
      </c>
      <c r="GV318" t="e">
        <f>AND('STERLING CATALOG - FZN &amp; CHILL'!D1723,"AAAAAC/vc8s=")</f>
        <v>#VALUE!</v>
      </c>
      <c r="GW318" t="e">
        <f>AND('STERLING CATALOG - FZN &amp; CHILL'!E1723,"AAAAAC/vc8w=")</f>
        <v>#VALUE!</v>
      </c>
      <c r="GX318" t="e">
        <f>AND('STERLING CATALOG - FZN &amp; CHILL'!F1723,"AAAAAC/vc80=")</f>
        <v>#VALUE!</v>
      </c>
      <c r="GY318" t="e">
        <f>AND('STERLING CATALOG - FZN &amp; CHILL'!G1723,"AAAAAC/vc84=")</f>
        <v>#VALUE!</v>
      </c>
      <c r="GZ318" t="e">
        <f>AND('STERLING CATALOG - FZN &amp; CHILL'!H1723,"AAAAAC/vc88=")</f>
        <v>#VALUE!</v>
      </c>
      <c r="HA318" t="e">
        <f>AND('STERLING CATALOG - FZN &amp; CHILL'!I1723,"AAAAAC/vc9A=")</f>
        <v>#VALUE!</v>
      </c>
      <c r="HB318" t="e">
        <f>AND('STERLING CATALOG - FZN &amp; CHILL'!J1723,"AAAAAC/vc9E=")</f>
        <v>#VALUE!</v>
      </c>
      <c r="HC318">
        <f>IF('STERLING CATALOG - FZN &amp; CHILL'!1724:1724,"AAAAAC/vc9I=",0)</f>
        <v>0</v>
      </c>
      <c r="HD318" t="e">
        <f>AND('STERLING CATALOG - FZN &amp; CHILL'!A1724,"AAAAAC/vc9M=")</f>
        <v>#VALUE!</v>
      </c>
      <c r="HE318" t="e">
        <f>AND('STERLING CATALOG - FZN &amp; CHILL'!B1724,"AAAAAC/vc9Q=")</f>
        <v>#VALUE!</v>
      </c>
      <c r="HF318" t="e">
        <f>AND('STERLING CATALOG - FZN &amp; CHILL'!C1724,"AAAAAC/vc9U=")</f>
        <v>#VALUE!</v>
      </c>
      <c r="HG318" t="e">
        <f>AND('STERLING CATALOG - FZN &amp; CHILL'!D1724,"AAAAAC/vc9Y=")</f>
        <v>#VALUE!</v>
      </c>
      <c r="HH318" t="e">
        <f>AND('STERLING CATALOG - FZN &amp; CHILL'!E1724,"AAAAAC/vc9c=")</f>
        <v>#VALUE!</v>
      </c>
      <c r="HI318" t="e">
        <f>AND('STERLING CATALOG - FZN &amp; CHILL'!F1724,"AAAAAC/vc9g=")</f>
        <v>#VALUE!</v>
      </c>
      <c r="HJ318" t="e">
        <f>AND('STERLING CATALOG - FZN &amp; CHILL'!G1724,"AAAAAC/vc9k=")</f>
        <v>#VALUE!</v>
      </c>
      <c r="HK318" t="e">
        <f>AND('STERLING CATALOG - FZN &amp; CHILL'!H1724,"AAAAAC/vc9o=")</f>
        <v>#VALUE!</v>
      </c>
      <c r="HL318" t="e">
        <f>AND('STERLING CATALOG - FZN &amp; CHILL'!I1724,"AAAAAC/vc9s=")</f>
        <v>#VALUE!</v>
      </c>
      <c r="HM318" t="e">
        <f>AND('STERLING CATALOG - FZN &amp; CHILL'!J1724,"AAAAAC/vc9w=")</f>
        <v>#VALUE!</v>
      </c>
      <c r="HN318">
        <f>IF('STERLING CATALOG - FZN &amp; CHILL'!1725:1725,"AAAAAC/vc90=",0)</f>
        <v>0</v>
      </c>
      <c r="HO318" t="e">
        <f>AND('STERLING CATALOG - FZN &amp; CHILL'!A1725,"AAAAAC/vc94=")</f>
        <v>#VALUE!</v>
      </c>
      <c r="HP318" t="e">
        <f>AND('STERLING CATALOG - FZN &amp; CHILL'!B1725,"AAAAAC/vc98=")</f>
        <v>#VALUE!</v>
      </c>
      <c r="HQ318" t="e">
        <f>AND('STERLING CATALOG - FZN &amp; CHILL'!C1725,"AAAAAC/vc+A=")</f>
        <v>#VALUE!</v>
      </c>
      <c r="HR318" t="e">
        <f>AND('STERLING CATALOG - FZN &amp; CHILL'!D1725,"AAAAAC/vc+E=")</f>
        <v>#VALUE!</v>
      </c>
      <c r="HS318" t="e">
        <f>AND('STERLING CATALOG - FZN &amp; CHILL'!E1725,"AAAAAC/vc+I=")</f>
        <v>#VALUE!</v>
      </c>
      <c r="HT318" t="e">
        <f>AND('STERLING CATALOG - FZN &amp; CHILL'!F1725,"AAAAAC/vc+M=")</f>
        <v>#VALUE!</v>
      </c>
      <c r="HU318" t="e">
        <f>AND('STERLING CATALOG - FZN &amp; CHILL'!G1725,"AAAAAC/vc+Q=")</f>
        <v>#VALUE!</v>
      </c>
      <c r="HV318" t="e">
        <f>AND('STERLING CATALOG - FZN &amp; CHILL'!H1725,"AAAAAC/vc+U=")</f>
        <v>#VALUE!</v>
      </c>
      <c r="HW318" t="e">
        <f>AND('STERLING CATALOG - FZN &amp; CHILL'!I1725,"AAAAAC/vc+Y=")</f>
        <v>#VALUE!</v>
      </c>
      <c r="HX318" t="e">
        <f>AND('STERLING CATALOG - FZN &amp; CHILL'!J1725,"AAAAAC/vc+c=")</f>
        <v>#VALUE!</v>
      </c>
      <c r="HY318">
        <f>IF('STERLING CATALOG - FZN &amp; CHILL'!1726:1726,"AAAAAC/vc+g=",0)</f>
        <v>0</v>
      </c>
      <c r="HZ318" t="e">
        <f>AND('STERLING CATALOG - FZN &amp; CHILL'!A1726,"AAAAAC/vc+k=")</f>
        <v>#VALUE!</v>
      </c>
      <c r="IA318" t="e">
        <f>AND('STERLING CATALOG - FZN &amp; CHILL'!B1726,"AAAAAC/vc+o=")</f>
        <v>#VALUE!</v>
      </c>
      <c r="IB318" t="e">
        <f>AND('STERLING CATALOG - FZN &amp; CHILL'!C1726,"AAAAAC/vc+s=")</f>
        <v>#VALUE!</v>
      </c>
      <c r="IC318" t="e">
        <f>AND('STERLING CATALOG - FZN &amp; CHILL'!D1726,"AAAAAC/vc+w=")</f>
        <v>#VALUE!</v>
      </c>
      <c r="ID318" t="e">
        <f>AND('STERLING CATALOG - FZN &amp; CHILL'!E1726,"AAAAAC/vc+0=")</f>
        <v>#VALUE!</v>
      </c>
      <c r="IE318" t="e">
        <f>AND('STERLING CATALOG - FZN &amp; CHILL'!F1726,"AAAAAC/vc+4=")</f>
        <v>#VALUE!</v>
      </c>
      <c r="IF318" t="e">
        <f>AND('STERLING CATALOG - FZN &amp; CHILL'!G1726,"AAAAAC/vc+8=")</f>
        <v>#VALUE!</v>
      </c>
      <c r="IG318" t="e">
        <f>AND('STERLING CATALOG - FZN &amp; CHILL'!H1726,"AAAAAC/vc/A=")</f>
        <v>#VALUE!</v>
      </c>
      <c r="IH318" t="e">
        <f>AND('STERLING CATALOG - FZN &amp; CHILL'!I1726,"AAAAAC/vc/E=")</f>
        <v>#VALUE!</v>
      </c>
      <c r="II318" t="e">
        <f>AND('STERLING CATALOG - FZN &amp; CHILL'!J1726,"AAAAAC/vc/I=")</f>
        <v>#VALUE!</v>
      </c>
      <c r="IJ318">
        <f>IF('STERLING CATALOG - FZN &amp; CHILL'!1727:1727,"AAAAAC/vc/M=",0)</f>
        <v>0</v>
      </c>
      <c r="IK318" t="e">
        <f>AND('STERLING CATALOG - FZN &amp; CHILL'!A1727,"AAAAAC/vc/Q=")</f>
        <v>#VALUE!</v>
      </c>
      <c r="IL318" t="e">
        <f>AND('STERLING CATALOG - FZN &amp; CHILL'!B1727,"AAAAAC/vc/U=")</f>
        <v>#VALUE!</v>
      </c>
      <c r="IM318" t="e">
        <f>AND('STERLING CATALOG - FZN &amp; CHILL'!C1727,"AAAAAC/vc/Y=")</f>
        <v>#VALUE!</v>
      </c>
      <c r="IN318" t="e">
        <f>AND('STERLING CATALOG - FZN &amp; CHILL'!D1727,"AAAAAC/vc/c=")</f>
        <v>#VALUE!</v>
      </c>
      <c r="IO318" t="e">
        <f>AND('STERLING CATALOG - FZN &amp; CHILL'!E1727,"AAAAAC/vc/g=")</f>
        <v>#VALUE!</v>
      </c>
      <c r="IP318" t="e">
        <f>AND('STERLING CATALOG - FZN &amp; CHILL'!F1727,"AAAAAC/vc/k=")</f>
        <v>#VALUE!</v>
      </c>
      <c r="IQ318" t="e">
        <f>AND('STERLING CATALOG - FZN &amp; CHILL'!G1727,"AAAAAC/vc/o=")</f>
        <v>#VALUE!</v>
      </c>
      <c r="IR318" t="e">
        <f>AND('STERLING CATALOG - FZN &amp; CHILL'!H1727,"AAAAAC/vc/s=")</f>
        <v>#VALUE!</v>
      </c>
      <c r="IS318" t="e">
        <f>AND('STERLING CATALOG - FZN &amp; CHILL'!I1727,"AAAAAC/vc/w=")</f>
        <v>#VALUE!</v>
      </c>
      <c r="IT318" t="e">
        <f>AND('STERLING CATALOG - FZN &amp; CHILL'!J1727,"AAAAAC/vc/0=")</f>
        <v>#VALUE!</v>
      </c>
      <c r="IU318">
        <f>IF('STERLING CATALOG - FZN &amp; CHILL'!1728:1728,"AAAAAC/vc/4=",0)</f>
        <v>0</v>
      </c>
      <c r="IV318" t="e">
        <f>AND('STERLING CATALOG - FZN &amp; CHILL'!A1728,"AAAAAC/vc/8=")</f>
        <v>#VALUE!</v>
      </c>
    </row>
    <row r="319" spans="1:256">
      <c r="A319" t="e">
        <f>AND('STERLING CATALOG - FZN &amp; CHILL'!B1728,"AAAAABv/fQA=")</f>
        <v>#VALUE!</v>
      </c>
      <c r="B319" t="e">
        <f>AND('STERLING CATALOG - FZN &amp; CHILL'!C1728,"AAAAABv/fQE=")</f>
        <v>#VALUE!</v>
      </c>
      <c r="C319" t="e">
        <f>AND('STERLING CATALOG - FZN &amp; CHILL'!D1728,"AAAAABv/fQI=")</f>
        <v>#VALUE!</v>
      </c>
      <c r="D319" t="e">
        <f>AND('STERLING CATALOG - FZN &amp; CHILL'!E1728,"AAAAABv/fQM=")</f>
        <v>#VALUE!</v>
      </c>
      <c r="E319" t="e">
        <f>AND('STERLING CATALOG - FZN &amp; CHILL'!F1728,"AAAAABv/fQQ=")</f>
        <v>#VALUE!</v>
      </c>
      <c r="F319" t="e">
        <f>AND('STERLING CATALOG - FZN &amp; CHILL'!G1728,"AAAAABv/fQU=")</f>
        <v>#VALUE!</v>
      </c>
      <c r="G319" t="e">
        <f>AND('STERLING CATALOG - FZN &amp; CHILL'!H1728,"AAAAABv/fQY=")</f>
        <v>#VALUE!</v>
      </c>
      <c r="H319" t="e">
        <f>AND('STERLING CATALOG - FZN &amp; CHILL'!I1728,"AAAAABv/fQc=")</f>
        <v>#VALUE!</v>
      </c>
      <c r="I319" t="e">
        <f>AND('STERLING CATALOG - FZN &amp; CHILL'!J1728,"AAAAABv/fQg=")</f>
        <v>#VALUE!</v>
      </c>
      <c r="J319" t="e">
        <f>IF('STERLING CATALOG - FZN &amp; CHILL'!1729:1729,"AAAAABv/fQk=",0)</f>
        <v>#VALUE!</v>
      </c>
      <c r="K319" t="e">
        <f>AND('STERLING CATALOG - FZN &amp; CHILL'!A1729,"AAAAABv/fQo=")</f>
        <v>#VALUE!</v>
      </c>
      <c r="L319" t="e">
        <f>AND('STERLING CATALOG - FZN &amp; CHILL'!B1729,"AAAAABv/fQs=")</f>
        <v>#VALUE!</v>
      </c>
      <c r="M319" t="e">
        <f>AND('STERLING CATALOG - FZN &amp; CHILL'!C1729,"AAAAABv/fQw=")</f>
        <v>#VALUE!</v>
      </c>
      <c r="N319" t="e">
        <f>AND('STERLING CATALOG - FZN &amp; CHILL'!D1729,"AAAAABv/fQ0=")</f>
        <v>#VALUE!</v>
      </c>
      <c r="O319" t="e">
        <f>AND('STERLING CATALOG - FZN &amp; CHILL'!E1729,"AAAAABv/fQ4=")</f>
        <v>#VALUE!</v>
      </c>
      <c r="P319" t="e">
        <f>AND('STERLING CATALOG - FZN &amp; CHILL'!F1729,"AAAAABv/fQ8=")</f>
        <v>#VALUE!</v>
      </c>
      <c r="Q319" t="e">
        <f>AND('STERLING CATALOG - FZN &amp; CHILL'!G1729,"AAAAABv/fRA=")</f>
        <v>#VALUE!</v>
      </c>
      <c r="R319" t="e">
        <f>AND('STERLING CATALOG - FZN &amp; CHILL'!H1729,"AAAAABv/fRE=")</f>
        <v>#VALUE!</v>
      </c>
      <c r="S319" t="e">
        <f>AND('STERLING CATALOG - FZN &amp; CHILL'!I1729,"AAAAABv/fRI=")</f>
        <v>#VALUE!</v>
      </c>
      <c r="T319" t="e">
        <f>AND('STERLING CATALOG - FZN &amp; CHILL'!J1729,"AAAAABv/fRM=")</f>
        <v>#VALUE!</v>
      </c>
      <c r="U319">
        <f>IF('STERLING CATALOG - FZN &amp; CHILL'!1730:1730,"AAAAABv/fRQ=",0)</f>
        <v>0</v>
      </c>
      <c r="V319" t="e">
        <f>AND('STERLING CATALOG - FZN &amp; CHILL'!A1730,"AAAAABv/fRU=")</f>
        <v>#VALUE!</v>
      </c>
      <c r="W319" t="e">
        <f>AND('STERLING CATALOG - FZN &amp; CHILL'!B1730,"AAAAABv/fRY=")</f>
        <v>#VALUE!</v>
      </c>
      <c r="X319" t="e">
        <f>AND('STERLING CATALOG - FZN &amp; CHILL'!C1730,"AAAAABv/fRc=")</f>
        <v>#VALUE!</v>
      </c>
      <c r="Y319" t="e">
        <f>AND('STERLING CATALOG - FZN &amp; CHILL'!D1730,"AAAAABv/fRg=")</f>
        <v>#VALUE!</v>
      </c>
      <c r="Z319" t="e">
        <f>AND('STERLING CATALOG - FZN &amp; CHILL'!E1730,"AAAAABv/fRk=")</f>
        <v>#VALUE!</v>
      </c>
      <c r="AA319" t="e">
        <f>AND('STERLING CATALOG - FZN &amp; CHILL'!F1730,"AAAAABv/fRo=")</f>
        <v>#VALUE!</v>
      </c>
      <c r="AB319" t="e">
        <f>AND('STERLING CATALOG - FZN &amp; CHILL'!G1730,"AAAAABv/fRs=")</f>
        <v>#VALUE!</v>
      </c>
      <c r="AC319" t="e">
        <f>AND('STERLING CATALOG - FZN &amp; CHILL'!H1730,"AAAAABv/fRw=")</f>
        <v>#VALUE!</v>
      </c>
      <c r="AD319" t="e">
        <f>AND('STERLING CATALOG - FZN &amp; CHILL'!I1730,"AAAAABv/fR0=")</f>
        <v>#VALUE!</v>
      </c>
      <c r="AE319" t="e">
        <f>AND('STERLING CATALOG - FZN &amp; CHILL'!J1730,"AAAAABv/fR4=")</f>
        <v>#VALUE!</v>
      </c>
      <c r="AF319">
        <f>IF('STERLING CATALOG - FZN &amp; CHILL'!1731:1731,"AAAAABv/fR8=",0)</f>
        <v>0</v>
      </c>
      <c r="AG319" t="e">
        <f>AND('STERLING CATALOG - FZN &amp; CHILL'!A1731,"AAAAABv/fSA=")</f>
        <v>#VALUE!</v>
      </c>
      <c r="AH319" t="e">
        <f>AND('STERLING CATALOG - FZN &amp; CHILL'!B1731,"AAAAABv/fSE=")</f>
        <v>#VALUE!</v>
      </c>
      <c r="AI319" t="e">
        <f>AND('STERLING CATALOG - FZN &amp; CHILL'!C1731,"AAAAABv/fSI=")</f>
        <v>#VALUE!</v>
      </c>
      <c r="AJ319" t="e">
        <f>AND('STERLING CATALOG - FZN &amp; CHILL'!D1731,"AAAAABv/fSM=")</f>
        <v>#VALUE!</v>
      </c>
      <c r="AK319" t="e">
        <f>AND('STERLING CATALOG - FZN &amp; CHILL'!E1731,"AAAAABv/fSQ=")</f>
        <v>#VALUE!</v>
      </c>
      <c r="AL319" t="e">
        <f>AND('STERLING CATALOG - FZN &amp; CHILL'!F1731,"AAAAABv/fSU=")</f>
        <v>#VALUE!</v>
      </c>
      <c r="AM319" t="e">
        <f>AND('STERLING CATALOG - FZN &amp; CHILL'!G1731,"AAAAABv/fSY=")</f>
        <v>#VALUE!</v>
      </c>
      <c r="AN319" t="e">
        <f>AND('STERLING CATALOG - FZN &amp; CHILL'!H1731,"AAAAABv/fSc=")</f>
        <v>#VALUE!</v>
      </c>
      <c r="AO319" t="e">
        <f>AND('STERLING CATALOG - FZN &amp; CHILL'!I1731,"AAAAABv/fSg=")</f>
        <v>#VALUE!</v>
      </c>
      <c r="AP319" t="e">
        <f>AND('STERLING CATALOG - FZN &amp; CHILL'!J1731,"AAAAABv/fSk=")</f>
        <v>#VALUE!</v>
      </c>
      <c r="AQ319">
        <f>IF('STERLING CATALOG - FZN &amp; CHILL'!1732:1732,"AAAAABv/fSo=",0)</f>
        <v>0</v>
      </c>
      <c r="AR319" t="e">
        <f>AND('STERLING CATALOG - FZN &amp; CHILL'!A1732,"AAAAABv/fSs=")</f>
        <v>#VALUE!</v>
      </c>
      <c r="AS319" t="e">
        <f>AND('STERLING CATALOG - FZN &amp; CHILL'!B1732,"AAAAABv/fSw=")</f>
        <v>#VALUE!</v>
      </c>
      <c r="AT319" t="e">
        <f>AND('STERLING CATALOG - FZN &amp; CHILL'!C1732,"AAAAABv/fS0=")</f>
        <v>#VALUE!</v>
      </c>
      <c r="AU319" t="e">
        <f>AND('STERLING CATALOG - FZN &amp; CHILL'!D1732,"AAAAABv/fS4=")</f>
        <v>#VALUE!</v>
      </c>
      <c r="AV319" t="e">
        <f>AND('STERLING CATALOG - FZN &amp; CHILL'!E1732,"AAAAABv/fS8=")</f>
        <v>#VALUE!</v>
      </c>
      <c r="AW319" t="e">
        <f>AND('STERLING CATALOG - FZN &amp; CHILL'!F1732,"AAAAABv/fTA=")</f>
        <v>#VALUE!</v>
      </c>
      <c r="AX319" t="e">
        <f>AND('STERLING CATALOG - FZN &amp; CHILL'!G1732,"AAAAABv/fTE=")</f>
        <v>#VALUE!</v>
      </c>
      <c r="AY319" t="e">
        <f>AND('STERLING CATALOG - FZN &amp; CHILL'!H1732,"AAAAABv/fTI=")</f>
        <v>#VALUE!</v>
      </c>
      <c r="AZ319" t="e">
        <f>AND('STERLING CATALOG - FZN &amp; CHILL'!I1732,"AAAAABv/fTM=")</f>
        <v>#VALUE!</v>
      </c>
      <c r="BA319" t="e">
        <f>AND('STERLING CATALOG - FZN &amp; CHILL'!J1732,"AAAAABv/fTQ=")</f>
        <v>#VALUE!</v>
      </c>
      <c r="BB319">
        <f>IF('STERLING CATALOG - FZN &amp; CHILL'!1733:1733,"AAAAABv/fTU=",0)</f>
        <v>0</v>
      </c>
      <c r="BC319" t="e">
        <f>AND('STERLING CATALOG - FZN &amp; CHILL'!A1733,"AAAAABv/fTY=")</f>
        <v>#VALUE!</v>
      </c>
      <c r="BD319" t="e">
        <f>AND('STERLING CATALOG - FZN &amp; CHILL'!B1733,"AAAAABv/fTc=")</f>
        <v>#VALUE!</v>
      </c>
      <c r="BE319" t="e">
        <f>AND('STERLING CATALOG - FZN &amp; CHILL'!C1733,"AAAAABv/fTg=")</f>
        <v>#VALUE!</v>
      </c>
      <c r="BF319" t="e">
        <f>AND('STERLING CATALOG - FZN &amp; CHILL'!D1733,"AAAAABv/fTk=")</f>
        <v>#VALUE!</v>
      </c>
      <c r="BG319" t="e">
        <f>AND('STERLING CATALOG - FZN &amp; CHILL'!E1733,"AAAAABv/fTo=")</f>
        <v>#VALUE!</v>
      </c>
      <c r="BH319" t="e">
        <f>AND('STERLING CATALOG - FZN &amp; CHILL'!F1733,"AAAAABv/fTs=")</f>
        <v>#VALUE!</v>
      </c>
      <c r="BI319" t="e">
        <f>AND('STERLING CATALOG - FZN &amp; CHILL'!G1733,"AAAAABv/fTw=")</f>
        <v>#VALUE!</v>
      </c>
      <c r="BJ319" t="e">
        <f>AND('STERLING CATALOG - FZN &amp; CHILL'!H1733,"AAAAABv/fT0=")</f>
        <v>#VALUE!</v>
      </c>
      <c r="BK319" t="e">
        <f>AND('STERLING CATALOG - FZN &amp; CHILL'!I1733,"AAAAABv/fT4=")</f>
        <v>#VALUE!</v>
      </c>
      <c r="BL319" t="e">
        <f>AND('STERLING CATALOG - FZN &amp; CHILL'!J1733,"AAAAABv/fT8=")</f>
        <v>#VALUE!</v>
      </c>
      <c r="BM319">
        <f>IF('STERLING CATALOG - FZN &amp; CHILL'!1734:1734,"AAAAABv/fUA=",0)</f>
        <v>0</v>
      </c>
      <c r="BN319" t="e">
        <f>AND('STERLING CATALOG - FZN &amp; CHILL'!A1734,"AAAAABv/fUE=")</f>
        <v>#VALUE!</v>
      </c>
      <c r="BO319" t="e">
        <f>AND('STERLING CATALOG - FZN &amp; CHILL'!B1734,"AAAAABv/fUI=")</f>
        <v>#VALUE!</v>
      </c>
      <c r="BP319" t="e">
        <f>AND('STERLING CATALOG - FZN &amp; CHILL'!C1734,"AAAAABv/fUM=")</f>
        <v>#VALUE!</v>
      </c>
      <c r="BQ319" t="e">
        <f>AND('STERLING CATALOG - FZN &amp; CHILL'!D1734,"AAAAABv/fUQ=")</f>
        <v>#VALUE!</v>
      </c>
      <c r="BR319" t="e">
        <f>AND('STERLING CATALOG - FZN &amp; CHILL'!E1734,"AAAAABv/fUU=")</f>
        <v>#VALUE!</v>
      </c>
      <c r="BS319" t="e">
        <f>AND('STERLING CATALOG - FZN &amp; CHILL'!F1734,"AAAAABv/fUY=")</f>
        <v>#VALUE!</v>
      </c>
      <c r="BT319" t="e">
        <f>AND('STERLING CATALOG - FZN &amp; CHILL'!G1734,"AAAAABv/fUc=")</f>
        <v>#VALUE!</v>
      </c>
      <c r="BU319" t="e">
        <f>AND('STERLING CATALOG - FZN &amp; CHILL'!H1734,"AAAAABv/fUg=")</f>
        <v>#VALUE!</v>
      </c>
      <c r="BV319" t="e">
        <f>AND('STERLING CATALOG - FZN &amp; CHILL'!I1734,"AAAAABv/fUk=")</f>
        <v>#VALUE!</v>
      </c>
      <c r="BW319" t="e">
        <f>AND('STERLING CATALOG - FZN &amp; CHILL'!J1734,"AAAAABv/fUo=")</f>
        <v>#VALUE!</v>
      </c>
      <c r="BX319">
        <f>IF('STERLING CATALOG - FZN &amp; CHILL'!1735:1735,"AAAAABv/fUs=",0)</f>
        <v>0</v>
      </c>
      <c r="BY319" t="e">
        <f>AND('STERLING CATALOG - FZN &amp; CHILL'!A1735,"AAAAABv/fUw=")</f>
        <v>#VALUE!</v>
      </c>
      <c r="BZ319" t="e">
        <f>AND('STERLING CATALOG - FZN &amp; CHILL'!B1735,"AAAAABv/fU0=")</f>
        <v>#VALUE!</v>
      </c>
      <c r="CA319" t="e">
        <f>AND('STERLING CATALOG - FZN &amp; CHILL'!C1735,"AAAAABv/fU4=")</f>
        <v>#VALUE!</v>
      </c>
      <c r="CB319" t="e">
        <f>AND('STERLING CATALOG - FZN &amp; CHILL'!D1735,"AAAAABv/fU8=")</f>
        <v>#VALUE!</v>
      </c>
      <c r="CC319" t="e">
        <f>AND('STERLING CATALOG - FZN &amp; CHILL'!E1735,"AAAAABv/fVA=")</f>
        <v>#VALUE!</v>
      </c>
      <c r="CD319" t="e">
        <f>AND('STERLING CATALOG - FZN &amp; CHILL'!F1735,"AAAAABv/fVE=")</f>
        <v>#VALUE!</v>
      </c>
      <c r="CE319" t="e">
        <f>AND('STERLING CATALOG - FZN &amp; CHILL'!G1735,"AAAAABv/fVI=")</f>
        <v>#VALUE!</v>
      </c>
      <c r="CF319" t="e">
        <f>AND('STERLING CATALOG - FZN &amp; CHILL'!H1735,"AAAAABv/fVM=")</f>
        <v>#VALUE!</v>
      </c>
      <c r="CG319" t="e">
        <f>AND('STERLING CATALOG - FZN &amp; CHILL'!I1735,"AAAAABv/fVQ=")</f>
        <v>#VALUE!</v>
      </c>
      <c r="CH319" t="e">
        <f>AND('STERLING CATALOG - FZN &amp; CHILL'!J1735,"AAAAABv/fVU=")</f>
        <v>#VALUE!</v>
      </c>
      <c r="CI319">
        <f>IF('STERLING CATALOG - FZN &amp; CHILL'!1736:1736,"AAAAABv/fVY=",0)</f>
        <v>0</v>
      </c>
      <c r="CJ319" t="e">
        <f>AND('STERLING CATALOG - FZN &amp; CHILL'!A1736,"AAAAABv/fVc=")</f>
        <v>#VALUE!</v>
      </c>
      <c r="CK319" t="e">
        <f>AND('STERLING CATALOG - FZN &amp; CHILL'!B1736,"AAAAABv/fVg=")</f>
        <v>#VALUE!</v>
      </c>
      <c r="CL319" t="e">
        <f>AND('STERLING CATALOG - FZN &amp; CHILL'!C1736,"AAAAABv/fVk=")</f>
        <v>#VALUE!</v>
      </c>
      <c r="CM319" t="e">
        <f>AND('STERLING CATALOG - FZN &amp; CHILL'!D1736,"AAAAABv/fVo=")</f>
        <v>#VALUE!</v>
      </c>
      <c r="CN319" t="e">
        <f>AND('STERLING CATALOG - FZN &amp; CHILL'!E1736,"AAAAABv/fVs=")</f>
        <v>#VALUE!</v>
      </c>
      <c r="CO319" t="e">
        <f>AND('STERLING CATALOG - FZN &amp; CHILL'!F1736,"AAAAABv/fVw=")</f>
        <v>#VALUE!</v>
      </c>
      <c r="CP319" t="e">
        <f>AND('STERLING CATALOG - FZN &amp; CHILL'!G1736,"AAAAABv/fV0=")</f>
        <v>#VALUE!</v>
      </c>
      <c r="CQ319" t="e">
        <f>AND('STERLING CATALOG - FZN &amp; CHILL'!H1736,"AAAAABv/fV4=")</f>
        <v>#VALUE!</v>
      </c>
      <c r="CR319" t="e">
        <f>AND('STERLING CATALOG - FZN &amp; CHILL'!I1736,"AAAAABv/fV8=")</f>
        <v>#VALUE!</v>
      </c>
      <c r="CS319" t="e">
        <f>AND('STERLING CATALOG - FZN &amp; CHILL'!J1736,"AAAAABv/fWA=")</f>
        <v>#VALUE!</v>
      </c>
      <c r="CT319">
        <f>IF('STERLING CATALOG - FZN &amp; CHILL'!1737:1737,"AAAAABv/fWE=",0)</f>
        <v>0</v>
      </c>
      <c r="CU319" t="e">
        <f>AND('STERLING CATALOG - FZN &amp; CHILL'!A1737,"AAAAABv/fWI=")</f>
        <v>#VALUE!</v>
      </c>
      <c r="CV319" t="e">
        <f>AND('STERLING CATALOG - FZN &amp; CHILL'!B1737,"AAAAABv/fWM=")</f>
        <v>#VALUE!</v>
      </c>
      <c r="CW319" t="e">
        <f>AND('STERLING CATALOG - FZN &amp; CHILL'!C1737,"AAAAABv/fWQ=")</f>
        <v>#VALUE!</v>
      </c>
      <c r="CX319" t="e">
        <f>AND('STERLING CATALOG - FZN &amp; CHILL'!D1737,"AAAAABv/fWU=")</f>
        <v>#VALUE!</v>
      </c>
      <c r="CY319" t="e">
        <f>AND('STERLING CATALOG - FZN &amp; CHILL'!E1737,"AAAAABv/fWY=")</f>
        <v>#VALUE!</v>
      </c>
      <c r="CZ319" t="e">
        <f>AND('STERLING CATALOG - FZN &amp; CHILL'!F1737,"AAAAABv/fWc=")</f>
        <v>#VALUE!</v>
      </c>
      <c r="DA319" t="e">
        <f>AND('STERLING CATALOG - FZN &amp; CHILL'!G1737,"AAAAABv/fWg=")</f>
        <v>#VALUE!</v>
      </c>
      <c r="DB319" t="e">
        <f>AND('STERLING CATALOG - FZN &amp; CHILL'!H1737,"AAAAABv/fWk=")</f>
        <v>#VALUE!</v>
      </c>
      <c r="DC319" t="e">
        <f>AND('STERLING CATALOG - FZN &amp; CHILL'!I1737,"AAAAABv/fWo=")</f>
        <v>#VALUE!</v>
      </c>
      <c r="DD319" t="e">
        <f>AND('STERLING CATALOG - FZN &amp; CHILL'!J1737,"AAAAABv/fWs=")</f>
        <v>#VALUE!</v>
      </c>
      <c r="DE319">
        <f>IF('STERLING CATALOG - FZN &amp; CHILL'!1738:1738,"AAAAABv/fWw=",0)</f>
        <v>0</v>
      </c>
      <c r="DF319" t="e">
        <f>AND('STERLING CATALOG - FZN &amp; CHILL'!A1738,"AAAAABv/fW0=")</f>
        <v>#VALUE!</v>
      </c>
      <c r="DG319" t="e">
        <f>AND('STERLING CATALOG - FZN &amp; CHILL'!B1738,"AAAAABv/fW4=")</f>
        <v>#VALUE!</v>
      </c>
      <c r="DH319" t="e">
        <f>AND('STERLING CATALOG - FZN &amp; CHILL'!C1738,"AAAAABv/fW8=")</f>
        <v>#VALUE!</v>
      </c>
      <c r="DI319" t="e">
        <f>AND('STERLING CATALOG - FZN &amp; CHILL'!D1738,"AAAAABv/fXA=")</f>
        <v>#VALUE!</v>
      </c>
      <c r="DJ319" t="e">
        <f>AND('STERLING CATALOG - FZN &amp; CHILL'!E1738,"AAAAABv/fXE=")</f>
        <v>#VALUE!</v>
      </c>
      <c r="DK319" t="e">
        <f>AND('STERLING CATALOG - FZN &amp; CHILL'!F1738,"AAAAABv/fXI=")</f>
        <v>#VALUE!</v>
      </c>
      <c r="DL319" t="e">
        <f>AND('STERLING CATALOG - FZN &amp; CHILL'!G1738,"AAAAABv/fXM=")</f>
        <v>#VALUE!</v>
      </c>
      <c r="DM319" t="e">
        <f>AND('STERLING CATALOG - FZN &amp; CHILL'!H1738,"AAAAABv/fXQ=")</f>
        <v>#VALUE!</v>
      </c>
      <c r="DN319" t="e">
        <f>AND('STERLING CATALOG - FZN &amp; CHILL'!I1738,"AAAAABv/fXU=")</f>
        <v>#VALUE!</v>
      </c>
      <c r="DO319" t="e">
        <f>AND('STERLING CATALOG - FZN &amp; CHILL'!J1738,"AAAAABv/fXY=")</f>
        <v>#VALUE!</v>
      </c>
      <c r="DP319">
        <f>IF('STERLING CATALOG - FZN &amp; CHILL'!1739:1739,"AAAAABv/fXc=",0)</f>
        <v>0</v>
      </c>
      <c r="DQ319" t="e">
        <f>AND('STERLING CATALOG - FZN &amp; CHILL'!A1739,"AAAAABv/fXg=")</f>
        <v>#VALUE!</v>
      </c>
      <c r="DR319" t="e">
        <f>AND('STERLING CATALOG - FZN &amp; CHILL'!B1739,"AAAAABv/fXk=")</f>
        <v>#VALUE!</v>
      </c>
      <c r="DS319" t="e">
        <f>AND('STERLING CATALOG - FZN &amp; CHILL'!C1739,"AAAAABv/fXo=")</f>
        <v>#VALUE!</v>
      </c>
      <c r="DT319" t="e">
        <f>AND('STERLING CATALOG - FZN &amp; CHILL'!D1739,"AAAAABv/fXs=")</f>
        <v>#VALUE!</v>
      </c>
      <c r="DU319" t="e">
        <f>AND('STERLING CATALOG - FZN &amp; CHILL'!E1739,"AAAAABv/fXw=")</f>
        <v>#VALUE!</v>
      </c>
      <c r="DV319" t="e">
        <f>AND('STERLING CATALOG - FZN &amp; CHILL'!F1739,"AAAAABv/fX0=")</f>
        <v>#VALUE!</v>
      </c>
      <c r="DW319" t="e">
        <f>AND('STERLING CATALOG - FZN &amp; CHILL'!G1739,"AAAAABv/fX4=")</f>
        <v>#VALUE!</v>
      </c>
      <c r="DX319" t="e">
        <f>AND('STERLING CATALOG - FZN &amp; CHILL'!H1739,"AAAAABv/fX8=")</f>
        <v>#VALUE!</v>
      </c>
      <c r="DY319" t="e">
        <f>AND('STERLING CATALOG - FZN &amp; CHILL'!I1739,"AAAAABv/fYA=")</f>
        <v>#VALUE!</v>
      </c>
      <c r="DZ319" t="e">
        <f>AND('STERLING CATALOG - FZN &amp; CHILL'!J1739,"AAAAABv/fYE=")</f>
        <v>#VALUE!</v>
      </c>
      <c r="EA319">
        <f>IF('STERLING CATALOG - FZN &amp; CHILL'!1740:1740,"AAAAABv/fYI=",0)</f>
        <v>0</v>
      </c>
      <c r="EB319" t="e">
        <f>AND('STERLING CATALOG - FZN &amp; CHILL'!A1740,"AAAAABv/fYM=")</f>
        <v>#VALUE!</v>
      </c>
      <c r="EC319" t="e">
        <f>AND('STERLING CATALOG - FZN &amp; CHILL'!B1740,"AAAAABv/fYQ=")</f>
        <v>#VALUE!</v>
      </c>
      <c r="ED319" t="e">
        <f>AND('STERLING CATALOG - FZN &amp; CHILL'!C1740,"AAAAABv/fYU=")</f>
        <v>#VALUE!</v>
      </c>
      <c r="EE319" t="e">
        <f>AND('STERLING CATALOG - FZN &amp; CHILL'!D1740,"AAAAABv/fYY=")</f>
        <v>#VALUE!</v>
      </c>
      <c r="EF319" t="e">
        <f>AND('STERLING CATALOG - FZN &amp; CHILL'!E1740,"AAAAABv/fYc=")</f>
        <v>#VALUE!</v>
      </c>
      <c r="EG319" t="e">
        <f>AND('STERLING CATALOG - FZN &amp; CHILL'!F1740,"AAAAABv/fYg=")</f>
        <v>#VALUE!</v>
      </c>
      <c r="EH319" t="e">
        <f>AND('STERLING CATALOG - FZN &amp; CHILL'!G1740,"AAAAABv/fYk=")</f>
        <v>#VALUE!</v>
      </c>
      <c r="EI319" t="e">
        <f>AND('STERLING CATALOG - FZN &amp; CHILL'!H1740,"AAAAABv/fYo=")</f>
        <v>#VALUE!</v>
      </c>
      <c r="EJ319" t="e">
        <f>AND('STERLING CATALOG - FZN &amp; CHILL'!I1740,"AAAAABv/fYs=")</f>
        <v>#VALUE!</v>
      </c>
      <c r="EK319" t="e">
        <f>AND('STERLING CATALOG - FZN &amp; CHILL'!J1740,"AAAAABv/fYw=")</f>
        <v>#VALUE!</v>
      </c>
      <c r="EL319">
        <f>IF('STERLING CATALOG - FZN &amp; CHILL'!1741:1741,"AAAAABv/fY0=",0)</f>
        <v>0</v>
      </c>
      <c r="EM319" t="e">
        <f>AND('STERLING CATALOG - FZN &amp; CHILL'!A1741,"AAAAABv/fY4=")</f>
        <v>#VALUE!</v>
      </c>
      <c r="EN319" t="e">
        <f>AND('STERLING CATALOG - FZN &amp; CHILL'!B1741,"AAAAABv/fY8=")</f>
        <v>#VALUE!</v>
      </c>
      <c r="EO319" t="e">
        <f>AND('STERLING CATALOG - FZN &amp; CHILL'!C1741,"AAAAABv/fZA=")</f>
        <v>#VALUE!</v>
      </c>
      <c r="EP319" t="e">
        <f>AND('STERLING CATALOG - FZN &amp; CHILL'!D1741,"AAAAABv/fZE=")</f>
        <v>#VALUE!</v>
      </c>
      <c r="EQ319" t="e">
        <f>AND('STERLING CATALOG - FZN &amp; CHILL'!E1741,"AAAAABv/fZI=")</f>
        <v>#VALUE!</v>
      </c>
      <c r="ER319" t="e">
        <f>AND('STERLING CATALOG - FZN &amp; CHILL'!F1741,"AAAAABv/fZM=")</f>
        <v>#VALUE!</v>
      </c>
      <c r="ES319" t="e">
        <f>AND('STERLING CATALOG - FZN &amp; CHILL'!G1741,"AAAAABv/fZQ=")</f>
        <v>#VALUE!</v>
      </c>
      <c r="ET319" t="e">
        <f>AND('STERLING CATALOG - FZN &amp; CHILL'!H1741,"AAAAABv/fZU=")</f>
        <v>#VALUE!</v>
      </c>
      <c r="EU319" t="e">
        <f>AND('STERLING CATALOG - FZN &amp; CHILL'!I1741,"AAAAABv/fZY=")</f>
        <v>#VALUE!</v>
      </c>
      <c r="EV319" t="e">
        <f>AND('STERLING CATALOG - FZN &amp; CHILL'!J1741,"AAAAABv/fZc=")</f>
        <v>#VALUE!</v>
      </c>
      <c r="EW319">
        <f>IF('STERLING CATALOG - FZN &amp; CHILL'!1742:1742,"AAAAABv/fZg=",0)</f>
        <v>0</v>
      </c>
      <c r="EX319" t="e">
        <f>AND('STERLING CATALOG - FZN &amp; CHILL'!A1742,"AAAAABv/fZk=")</f>
        <v>#VALUE!</v>
      </c>
      <c r="EY319" t="e">
        <f>AND('STERLING CATALOG - FZN &amp; CHILL'!B1742,"AAAAABv/fZo=")</f>
        <v>#VALUE!</v>
      </c>
      <c r="EZ319" t="e">
        <f>AND('STERLING CATALOG - FZN &amp; CHILL'!C1742,"AAAAABv/fZs=")</f>
        <v>#VALUE!</v>
      </c>
      <c r="FA319" t="e">
        <f>AND('STERLING CATALOG - FZN &amp; CHILL'!D1742,"AAAAABv/fZw=")</f>
        <v>#VALUE!</v>
      </c>
      <c r="FB319" t="e">
        <f>AND('STERLING CATALOG - FZN &amp; CHILL'!E1742,"AAAAABv/fZ0=")</f>
        <v>#VALUE!</v>
      </c>
      <c r="FC319" t="e">
        <f>AND('STERLING CATALOG - FZN &amp; CHILL'!F1742,"AAAAABv/fZ4=")</f>
        <v>#VALUE!</v>
      </c>
      <c r="FD319" t="e">
        <f>AND('STERLING CATALOG - FZN &amp; CHILL'!G1742,"AAAAABv/fZ8=")</f>
        <v>#VALUE!</v>
      </c>
      <c r="FE319" t="e">
        <f>AND('STERLING CATALOG - FZN &amp; CHILL'!H1742,"AAAAABv/faA=")</f>
        <v>#VALUE!</v>
      </c>
      <c r="FF319" t="e">
        <f>AND('STERLING CATALOG - FZN &amp; CHILL'!I1742,"AAAAABv/faE=")</f>
        <v>#VALUE!</v>
      </c>
      <c r="FG319" t="e">
        <f>AND('STERLING CATALOG - FZN &amp; CHILL'!J1742,"AAAAABv/faI=")</f>
        <v>#VALUE!</v>
      </c>
      <c r="FH319">
        <f>IF('STERLING CATALOG - FZN &amp; CHILL'!1743:1743,"AAAAABv/faM=",0)</f>
        <v>0</v>
      </c>
      <c r="FI319" t="e">
        <f>AND('STERLING CATALOG - FZN &amp; CHILL'!A1743,"AAAAABv/faQ=")</f>
        <v>#VALUE!</v>
      </c>
      <c r="FJ319" t="e">
        <f>AND('STERLING CATALOG - FZN &amp; CHILL'!B1743,"AAAAABv/faU=")</f>
        <v>#VALUE!</v>
      </c>
      <c r="FK319" t="e">
        <f>AND('STERLING CATALOG - FZN &amp; CHILL'!C1743,"AAAAABv/faY=")</f>
        <v>#VALUE!</v>
      </c>
      <c r="FL319" t="e">
        <f>AND('STERLING CATALOG - FZN &amp; CHILL'!D1743,"AAAAABv/fac=")</f>
        <v>#VALUE!</v>
      </c>
      <c r="FM319" t="e">
        <f>AND('STERLING CATALOG - FZN &amp; CHILL'!E1743,"AAAAABv/fag=")</f>
        <v>#VALUE!</v>
      </c>
      <c r="FN319" t="e">
        <f>AND('STERLING CATALOG - FZN &amp; CHILL'!F1743,"AAAAABv/fak=")</f>
        <v>#VALUE!</v>
      </c>
      <c r="FO319" t="e">
        <f>AND('STERLING CATALOG - FZN &amp; CHILL'!G1743,"AAAAABv/fao=")</f>
        <v>#VALUE!</v>
      </c>
      <c r="FP319" t="e">
        <f>AND('STERLING CATALOG - FZN &amp; CHILL'!H1743,"AAAAABv/fas=")</f>
        <v>#VALUE!</v>
      </c>
      <c r="FQ319" t="e">
        <f>AND('STERLING CATALOG - FZN &amp; CHILL'!I1743,"AAAAABv/faw=")</f>
        <v>#VALUE!</v>
      </c>
      <c r="FR319" t="e">
        <f>AND('STERLING CATALOG - FZN &amp; CHILL'!J1743,"AAAAABv/fa0=")</f>
        <v>#VALUE!</v>
      </c>
      <c r="FS319">
        <f>IF('STERLING CATALOG - FZN &amp; CHILL'!1744:1744,"AAAAABv/fa4=",0)</f>
        <v>0</v>
      </c>
      <c r="FT319" t="e">
        <f>AND('STERLING CATALOG - FZN &amp; CHILL'!A1744,"AAAAABv/fa8=")</f>
        <v>#VALUE!</v>
      </c>
      <c r="FU319" t="e">
        <f>AND('STERLING CATALOG - FZN &amp; CHILL'!B1744,"AAAAABv/fbA=")</f>
        <v>#VALUE!</v>
      </c>
      <c r="FV319" t="e">
        <f>AND('STERLING CATALOG - FZN &amp; CHILL'!C1744,"AAAAABv/fbE=")</f>
        <v>#VALUE!</v>
      </c>
      <c r="FW319" t="e">
        <f>AND('STERLING CATALOG - FZN &amp; CHILL'!D1744,"AAAAABv/fbI=")</f>
        <v>#VALUE!</v>
      </c>
      <c r="FX319" t="e">
        <f>AND('STERLING CATALOG - FZN &amp; CHILL'!E1744,"AAAAABv/fbM=")</f>
        <v>#VALUE!</v>
      </c>
      <c r="FY319" t="e">
        <f>AND('STERLING CATALOG - FZN &amp; CHILL'!F1744,"AAAAABv/fbQ=")</f>
        <v>#VALUE!</v>
      </c>
      <c r="FZ319" t="e">
        <f>AND('STERLING CATALOG - FZN &amp; CHILL'!G1744,"AAAAABv/fbU=")</f>
        <v>#VALUE!</v>
      </c>
      <c r="GA319" t="e">
        <f>AND('STERLING CATALOG - FZN &amp; CHILL'!H1744,"AAAAABv/fbY=")</f>
        <v>#VALUE!</v>
      </c>
      <c r="GB319" t="e">
        <f>AND('STERLING CATALOG - FZN &amp; CHILL'!I1744,"AAAAABv/fbc=")</f>
        <v>#VALUE!</v>
      </c>
      <c r="GC319" t="e">
        <f>AND('STERLING CATALOG - FZN &amp; CHILL'!J1744,"AAAAABv/fbg=")</f>
        <v>#VALUE!</v>
      </c>
      <c r="GD319">
        <f>IF('STERLING CATALOG - FZN &amp; CHILL'!1745:1745,"AAAAABv/fbk=",0)</f>
        <v>0</v>
      </c>
      <c r="GE319" t="e">
        <f>AND('STERLING CATALOG - FZN &amp; CHILL'!A1745,"AAAAABv/fbo=")</f>
        <v>#VALUE!</v>
      </c>
      <c r="GF319" t="e">
        <f>AND('STERLING CATALOG - FZN &amp; CHILL'!B1745,"AAAAABv/fbs=")</f>
        <v>#VALUE!</v>
      </c>
      <c r="GG319" t="e">
        <f>AND('STERLING CATALOG - FZN &amp; CHILL'!C1745,"AAAAABv/fbw=")</f>
        <v>#VALUE!</v>
      </c>
      <c r="GH319" t="e">
        <f>AND('STERLING CATALOG - FZN &amp; CHILL'!D1745,"AAAAABv/fb0=")</f>
        <v>#VALUE!</v>
      </c>
      <c r="GI319" t="e">
        <f>AND('STERLING CATALOG - FZN &amp; CHILL'!E1745,"AAAAABv/fb4=")</f>
        <v>#VALUE!</v>
      </c>
      <c r="GJ319" t="e">
        <f>AND('STERLING CATALOG - FZN &amp; CHILL'!F1745,"AAAAABv/fb8=")</f>
        <v>#VALUE!</v>
      </c>
      <c r="GK319" t="e">
        <f>AND('STERLING CATALOG - FZN &amp; CHILL'!G1745,"AAAAABv/fcA=")</f>
        <v>#VALUE!</v>
      </c>
      <c r="GL319" t="e">
        <f>AND('STERLING CATALOG - FZN &amp; CHILL'!H1745,"AAAAABv/fcE=")</f>
        <v>#VALUE!</v>
      </c>
      <c r="GM319" t="e">
        <f>AND('STERLING CATALOG - FZN &amp; CHILL'!I1745,"AAAAABv/fcI=")</f>
        <v>#VALUE!</v>
      </c>
      <c r="GN319" t="e">
        <f>AND('STERLING CATALOG - FZN &amp; CHILL'!J1745,"AAAAABv/fcM=")</f>
        <v>#VALUE!</v>
      </c>
      <c r="GO319">
        <f>IF('STERLING CATALOG - FZN &amp; CHILL'!1746:1746,"AAAAABv/fcQ=",0)</f>
        <v>0</v>
      </c>
      <c r="GP319" t="e">
        <f>AND('STERLING CATALOG - FZN &amp; CHILL'!A1746,"AAAAABv/fcU=")</f>
        <v>#VALUE!</v>
      </c>
      <c r="GQ319" t="e">
        <f>AND('STERLING CATALOG - FZN &amp; CHILL'!B1746,"AAAAABv/fcY=")</f>
        <v>#VALUE!</v>
      </c>
      <c r="GR319" t="e">
        <f>AND('STERLING CATALOG - FZN &amp; CHILL'!C1746,"AAAAABv/fcc=")</f>
        <v>#VALUE!</v>
      </c>
      <c r="GS319" t="e">
        <f>AND('STERLING CATALOG - FZN &amp; CHILL'!D1746,"AAAAABv/fcg=")</f>
        <v>#VALUE!</v>
      </c>
      <c r="GT319" t="e">
        <f>AND('STERLING CATALOG - FZN &amp; CHILL'!E1746,"AAAAABv/fck=")</f>
        <v>#VALUE!</v>
      </c>
      <c r="GU319" t="e">
        <f>AND('STERLING CATALOG - FZN &amp; CHILL'!F1746,"AAAAABv/fco=")</f>
        <v>#VALUE!</v>
      </c>
      <c r="GV319" t="e">
        <f>AND('STERLING CATALOG - FZN &amp; CHILL'!G1746,"AAAAABv/fcs=")</f>
        <v>#VALUE!</v>
      </c>
      <c r="GW319" t="e">
        <f>AND('STERLING CATALOG - FZN &amp; CHILL'!H1746,"AAAAABv/fcw=")</f>
        <v>#VALUE!</v>
      </c>
      <c r="GX319" t="e">
        <f>AND('STERLING CATALOG - FZN &amp; CHILL'!I1746,"AAAAABv/fc0=")</f>
        <v>#VALUE!</v>
      </c>
      <c r="GY319" t="e">
        <f>AND('STERLING CATALOG - FZN &amp; CHILL'!J1746,"AAAAABv/fc4=")</f>
        <v>#VALUE!</v>
      </c>
      <c r="GZ319">
        <f>IF('STERLING CATALOG - FZN &amp; CHILL'!1747:1747,"AAAAABv/fc8=",0)</f>
        <v>0</v>
      </c>
      <c r="HA319" t="e">
        <f>AND('STERLING CATALOG - FZN &amp; CHILL'!A1747,"AAAAABv/fdA=")</f>
        <v>#VALUE!</v>
      </c>
      <c r="HB319" t="e">
        <f>AND('STERLING CATALOG - FZN &amp; CHILL'!B1747,"AAAAABv/fdE=")</f>
        <v>#VALUE!</v>
      </c>
      <c r="HC319" t="e">
        <f>AND('STERLING CATALOG - FZN &amp; CHILL'!C1747,"AAAAABv/fdI=")</f>
        <v>#VALUE!</v>
      </c>
      <c r="HD319" t="e">
        <f>AND('STERLING CATALOG - FZN &amp; CHILL'!D1747,"AAAAABv/fdM=")</f>
        <v>#VALUE!</v>
      </c>
      <c r="HE319" t="e">
        <f>AND('STERLING CATALOG - FZN &amp; CHILL'!E1747,"AAAAABv/fdQ=")</f>
        <v>#VALUE!</v>
      </c>
      <c r="HF319" t="e">
        <f>AND('STERLING CATALOG - FZN &amp; CHILL'!F1747,"AAAAABv/fdU=")</f>
        <v>#VALUE!</v>
      </c>
      <c r="HG319" t="e">
        <f>AND('STERLING CATALOG - FZN &amp; CHILL'!G1747,"AAAAABv/fdY=")</f>
        <v>#VALUE!</v>
      </c>
      <c r="HH319" t="e">
        <f>AND('STERLING CATALOG - FZN &amp; CHILL'!H1747,"AAAAABv/fdc=")</f>
        <v>#VALUE!</v>
      </c>
      <c r="HI319" t="e">
        <f>AND('STERLING CATALOG - FZN &amp; CHILL'!I1747,"AAAAABv/fdg=")</f>
        <v>#VALUE!</v>
      </c>
      <c r="HJ319" t="e">
        <f>AND('STERLING CATALOG - FZN &amp; CHILL'!J1747,"AAAAABv/fdk=")</f>
        <v>#VALUE!</v>
      </c>
      <c r="HK319">
        <f>IF('STERLING CATALOG - FZN &amp; CHILL'!1748:1748,"AAAAABv/fdo=",0)</f>
        <v>0</v>
      </c>
      <c r="HL319" t="e">
        <f>AND('STERLING CATALOG - FZN &amp; CHILL'!A1748,"AAAAABv/fds=")</f>
        <v>#VALUE!</v>
      </c>
      <c r="HM319" t="e">
        <f>AND('STERLING CATALOG - FZN &amp; CHILL'!B1748,"AAAAABv/fdw=")</f>
        <v>#VALUE!</v>
      </c>
      <c r="HN319" t="e">
        <f>AND('STERLING CATALOG - FZN &amp; CHILL'!C1748,"AAAAABv/fd0=")</f>
        <v>#VALUE!</v>
      </c>
      <c r="HO319" t="e">
        <f>AND('STERLING CATALOG - FZN &amp; CHILL'!D1748,"AAAAABv/fd4=")</f>
        <v>#VALUE!</v>
      </c>
      <c r="HP319" t="e">
        <f>AND('STERLING CATALOG - FZN &amp; CHILL'!E1748,"AAAAABv/fd8=")</f>
        <v>#VALUE!</v>
      </c>
      <c r="HQ319" t="e">
        <f>AND('STERLING CATALOG - FZN &amp; CHILL'!F1748,"AAAAABv/feA=")</f>
        <v>#VALUE!</v>
      </c>
      <c r="HR319" t="e">
        <f>AND('STERLING CATALOG - FZN &amp; CHILL'!G1748,"AAAAABv/feE=")</f>
        <v>#VALUE!</v>
      </c>
      <c r="HS319" t="e">
        <f>AND('STERLING CATALOG - FZN &amp; CHILL'!H1748,"AAAAABv/feI=")</f>
        <v>#VALUE!</v>
      </c>
      <c r="HT319" t="e">
        <f>AND('STERLING CATALOG - FZN &amp; CHILL'!I1748,"AAAAABv/feM=")</f>
        <v>#VALUE!</v>
      </c>
      <c r="HU319" t="e">
        <f>AND('STERLING CATALOG - FZN &amp; CHILL'!J1748,"AAAAABv/feQ=")</f>
        <v>#VALUE!</v>
      </c>
      <c r="HV319">
        <f>IF('STERLING CATALOG - FZN &amp; CHILL'!1749:1749,"AAAAABv/feU=",0)</f>
        <v>0</v>
      </c>
      <c r="HW319" t="e">
        <f>AND('STERLING CATALOG - FZN &amp; CHILL'!A1749,"AAAAABv/feY=")</f>
        <v>#VALUE!</v>
      </c>
      <c r="HX319" t="e">
        <f>AND('STERLING CATALOG - FZN &amp; CHILL'!B1749,"AAAAABv/fec=")</f>
        <v>#VALUE!</v>
      </c>
      <c r="HY319" t="e">
        <f>AND('STERLING CATALOG - FZN &amp; CHILL'!C1749,"AAAAABv/feg=")</f>
        <v>#VALUE!</v>
      </c>
      <c r="HZ319" t="e">
        <f>AND('STERLING CATALOG - FZN &amp; CHILL'!D1749,"AAAAABv/fek=")</f>
        <v>#VALUE!</v>
      </c>
      <c r="IA319" t="e">
        <f>AND('STERLING CATALOG - FZN &amp; CHILL'!E1749,"AAAAABv/feo=")</f>
        <v>#VALUE!</v>
      </c>
      <c r="IB319" t="e">
        <f>AND('STERLING CATALOG - FZN &amp; CHILL'!F1749,"AAAAABv/fes=")</f>
        <v>#VALUE!</v>
      </c>
      <c r="IC319" t="e">
        <f>AND('STERLING CATALOG - FZN &amp; CHILL'!G1749,"AAAAABv/few=")</f>
        <v>#VALUE!</v>
      </c>
      <c r="ID319" t="e">
        <f>AND('STERLING CATALOG - FZN &amp; CHILL'!H1749,"AAAAABv/fe0=")</f>
        <v>#VALUE!</v>
      </c>
      <c r="IE319" t="e">
        <f>AND('STERLING CATALOG - FZN &amp; CHILL'!I1749,"AAAAABv/fe4=")</f>
        <v>#VALUE!</v>
      </c>
      <c r="IF319" t="e">
        <f>AND('STERLING CATALOG - FZN &amp; CHILL'!J1749,"AAAAABv/fe8=")</f>
        <v>#VALUE!</v>
      </c>
      <c r="IG319">
        <f>IF('STERLING CATALOG - FZN &amp; CHILL'!1750:1750,"AAAAABv/ffA=",0)</f>
        <v>0</v>
      </c>
      <c r="IH319" t="e">
        <f>AND('STERLING CATALOG - FZN &amp; CHILL'!A1750,"AAAAABv/ffE=")</f>
        <v>#VALUE!</v>
      </c>
      <c r="II319" t="e">
        <f>AND('STERLING CATALOG - FZN &amp; CHILL'!B1750,"AAAAABv/ffI=")</f>
        <v>#VALUE!</v>
      </c>
      <c r="IJ319" t="e">
        <f>AND('STERLING CATALOG - FZN &amp; CHILL'!C1750,"AAAAABv/ffM=")</f>
        <v>#VALUE!</v>
      </c>
      <c r="IK319" t="e">
        <f>AND('STERLING CATALOG - FZN &amp; CHILL'!D1750,"AAAAABv/ffQ=")</f>
        <v>#VALUE!</v>
      </c>
      <c r="IL319" t="e">
        <f>AND('STERLING CATALOG - FZN &amp; CHILL'!E1750,"AAAAABv/ffU=")</f>
        <v>#VALUE!</v>
      </c>
      <c r="IM319" t="e">
        <f>AND('STERLING CATALOG - FZN &amp; CHILL'!F1750,"AAAAABv/ffY=")</f>
        <v>#VALUE!</v>
      </c>
      <c r="IN319" t="e">
        <f>AND('STERLING CATALOG - FZN &amp; CHILL'!G1750,"AAAAABv/ffc=")</f>
        <v>#VALUE!</v>
      </c>
      <c r="IO319" t="e">
        <f>AND('STERLING CATALOG - FZN &amp; CHILL'!H1750,"AAAAABv/ffg=")</f>
        <v>#VALUE!</v>
      </c>
      <c r="IP319" t="e">
        <f>AND('STERLING CATALOG - FZN &amp; CHILL'!I1750,"AAAAABv/ffk=")</f>
        <v>#VALUE!</v>
      </c>
      <c r="IQ319" t="e">
        <f>AND('STERLING CATALOG - FZN &amp; CHILL'!J1750,"AAAAABv/ffo=")</f>
        <v>#VALUE!</v>
      </c>
      <c r="IR319">
        <f>IF('STERLING CATALOG - FZN &amp; CHILL'!1751:1751,"AAAAABv/ffs=",0)</f>
        <v>0</v>
      </c>
      <c r="IS319" t="e">
        <f>AND('STERLING CATALOG - FZN &amp; CHILL'!A1751,"AAAAABv/ffw=")</f>
        <v>#VALUE!</v>
      </c>
      <c r="IT319" t="e">
        <f>AND('STERLING CATALOG - FZN &amp; CHILL'!B1751,"AAAAABv/ff0=")</f>
        <v>#VALUE!</v>
      </c>
      <c r="IU319" t="e">
        <f>AND('STERLING CATALOG - FZN &amp; CHILL'!C1751,"AAAAABv/ff4=")</f>
        <v>#VALUE!</v>
      </c>
      <c r="IV319" t="e">
        <f>AND('STERLING CATALOG - FZN &amp; CHILL'!D1751,"AAAAABv/ff8=")</f>
        <v>#VALUE!</v>
      </c>
    </row>
    <row r="320" spans="1:256">
      <c r="A320" t="e">
        <f>AND('STERLING CATALOG - FZN &amp; CHILL'!E1751,"AAAAADf//QA=")</f>
        <v>#VALUE!</v>
      </c>
      <c r="B320" t="e">
        <f>AND('STERLING CATALOG - FZN &amp; CHILL'!F1751,"AAAAADf//QE=")</f>
        <v>#VALUE!</v>
      </c>
      <c r="C320" t="e">
        <f>AND('STERLING CATALOG - FZN &amp; CHILL'!G1751,"AAAAADf//QI=")</f>
        <v>#VALUE!</v>
      </c>
      <c r="D320" t="e">
        <f>AND('STERLING CATALOG - FZN &amp; CHILL'!H1751,"AAAAADf//QM=")</f>
        <v>#VALUE!</v>
      </c>
      <c r="E320" t="e">
        <f>AND('STERLING CATALOG - FZN &amp; CHILL'!I1751,"AAAAADf//QQ=")</f>
        <v>#VALUE!</v>
      </c>
      <c r="F320" t="e">
        <f>AND('STERLING CATALOG - FZN &amp; CHILL'!J1751,"AAAAADf//QU=")</f>
        <v>#VALUE!</v>
      </c>
      <c r="G320" t="str">
        <f>IF('STERLING CATALOG - FZN &amp; CHILL'!1752:1752,"AAAAADf//QY=",0)</f>
        <v>AAAAADf//QY=</v>
      </c>
      <c r="H320" t="e">
        <f>AND('STERLING CATALOG - FZN &amp; CHILL'!A1752,"AAAAADf//Qc=")</f>
        <v>#VALUE!</v>
      </c>
      <c r="I320" t="e">
        <f>AND('STERLING CATALOG - FZN &amp; CHILL'!B1752,"AAAAADf//Qg=")</f>
        <v>#VALUE!</v>
      </c>
      <c r="J320" t="e">
        <f>AND('STERLING CATALOG - FZN &amp; CHILL'!C1752,"AAAAADf//Qk=")</f>
        <v>#VALUE!</v>
      </c>
      <c r="K320" t="e">
        <f>AND('STERLING CATALOG - FZN &amp; CHILL'!D1752,"AAAAADf//Qo=")</f>
        <v>#VALUE!</v>
      </c>
      <c r="L320" t="e">
        <f>AND('STERLING CATALOG - FZN &amp; CHILL'!E1752,"AAAAADf//Qs=")</f>
        <v>#VALUE!</v>
      </c>
      <c r="M320" t="e">
        <f>AND('STERLING CATALOG - FZN &amp; CHILL'!F1752,"AAAAADf//Qw=")</f>
        <v>#VALUE!</v>
      </c>
      <c r="N320" t="e">
        <f>AND('STERLING CATALOG - FZN &amp; CHILL'!G1752,"AAAAADf//Q0=")</f>
        <v>#VALUE!</v>
      </c>
      <c r="O320" t="e">
        <f>AND('STERLING CATALOG - FZN &amp; CHILL'!H1752,"AAAAADf//Q4=")</f>
        <v>#VALUE!</v>
      </c>
      <c r="P320" t="e">
        <f>AND('STERLING CATALOG - FZN &amp; CHILL'!I1752,"AAAAADf//Q8=")</f>
        <v>#VALUE!</v>
      </c>
      <c r="Q320" t="e">
        <f>AND('STERLING CATALOG - FZN &amp; CHILL'!J1752,"AAAAADf//RA=")</f>
        <v>#VALUE!</v>
      </c>
      <c r="R320">
        <f>IF('STERLING CATALOG - FZN &amp; CHILL'!1753:1753,"AAAAADf//RE=",0)</f>
        <v>0</v>
      </c>
      <c r="S320" t="e">
        <f>AND('STERLING CATALOG - FZN &amp; CHILL'!A1753,"AAAAADf//RI=")</f>
        <v>#VALUE!</v>
      </c>
      <c r="T320" t="e">
        <f>AND('STERLING CATALOG - FZN &amp; CHILL'!B1753,"AAAAADf//RM=")</f>
        <v>#VALUE!</v>
      </c>
      <c r="U320" t="e">
        <f>AND('STERLING CATALOG - FZN &amp; CHILL'!C1753,"AAAAADf//RQ=")</f>
        <v>#VALUE!</v>
      </c>
      <c r="V320" t="e">
        <f>AND('STERLING CATALOG - FZN &amp; CHILL'!D1753,"AAAAADf//RU=")</f>
        <v>#VALUE!</v>
      </c>
      <c r="W320" t="e">
        <f>AND('STERLING CATALOG - FZN &amp; CHILL'!E1753,"AAAAADf//RY=")</f>
        <v>#VALUE!</v>
      </c>
      <c r="X320" t="e">
        <f>AND('STERLING CATALOG - FZN &amp; CHILL'!F1753,"AAAAADf//Rc=")</f>
        <v>#VALUE!</v>
      </c>
      <c r="Y320" t="e">
        <f>AND('STERLING CATALOG - FZN &amp; CHILL'!G1753,"AAAAADf//Rg=")</f>
        <v>#VALUE!</v>
      </c>
      <c r="Z320" t="e">
        <f>AND('STERLING CATALOG - FZN &amp; CHILL'!H1753,"AAAAADf//Rk=")</f>
        <v>#VALUE!</v>
      </c>
      <c r="AA320" t="e">
        <f>AND('STERLING CATALOG - FZN &amp; CHILL'!I1753,"AAAAADf//Ro=")</f>
        <v>#VALUE!</v>
      </c>
      <c r="AB320" t="e">
        <f>AND('STERLING CATALOG - FZN &amp; CHILL'!J1753,"AAAAADf//Rs=")</f>
        <v>#VALUE!</v>
      </c>
      <c r="AC320">
        <f>IF('STERLING CATALOG - FZN &amp; CHILL'!1754:1754,"AAAAADf//Rw=",0)</f>
        <v>0</v>
      </c>
      <c r="AD320" t="e">
        <f>AND('STERLING CATALOG - FZN &amp; CHILL'!A1754,"AAAAADf//R0=")</f>
        <v>#VALUE!</v>
      </c>
      <c r="AE320" t="e">
        <f>AND('STERLING CATALOG - FZN &amp; CHILL'!B1754,"AAAAADf//R4=")</f>
        <v>#VALUE!</v>
      </c>
      <c r="AF320" t="e">
        <f>AND('STERLING CATALOG - FZN &amp; CHILL'!C1754,"AAAAADf//R8=")</f>
        <v>#VALUE!</v>
      </c>
      <c r="AG320" t="e">
        <f>AND('STERLING CATALOG - FZN &amp; CHILL'!D1754,"AAAAADf//SA=")</f>
        <v>#VALUE!</v>
      </c>
      <c r="AH320" t="e">
        <f>AND('STERLING CATALOG - FZN &amp; CHILL'!E1754,"AAAAADf//SE=")</f>
        <v>#VALUE!</v>
      </c>
      <c r="AI320" t="e">
        <f>AND('STERLING CATALOG - FZN &amp; CHILL'!F1754,"AAAAADf//SI=")</f>
        <v>#VALUE!</v>
      </c>
      <c r="AJ320" t="e">
        <f>AND('STERLING CATALOG - FZN &amp; CHILL'!G1754,"AAAAADf//SM=")</f>
        <v>#VALUE!</v>
      </c>
      <c r="AK320" t="e">
        <f>AND('STERLING CATALOG - FZN &amp; CHILL'!H1754,"AAAAADf//SQ=")</f>
        <v>#VALUE!</v>
      </c>
      <c r="AL320" t="e">
        <f>AND('STERLING CATALOG - FZN &amp; CHILL'!I1754,"AAAAADf//SU=")</f>
        <v>#VALUE!</v>
      </c>
      <c r="AM320" t="e">
        <f>AND('STERLING CATALOG - FZN &amp; CHILL'!J1754,"AAAAADf//SY=")</f>
        <v>#VALUE!</v>
      </c>
      <c r="AN320">
        <f>IF('STERLING CATALOG - FZN &amp; CHILL'!1755:1755,"AAAAADf//Sc=",0)</f>
        <v>0</v>
      </c>
      <c r="AO320" t="e">
        <f>AND('STERLING CATALOG - FZN &amp; CHILL'!A1755,"AAAAADf//Sg=")</f>
        <v>#VALUE!</v>
      </c>
      <c r="AP320" t="e">
        <f>AND('STERLING CATALOG - FZN &amp; CHILL'!B1755,"AAAAADf//Sk=")</f>
        <v>#VALUE!</v>
      </c>
      <c r="AQ320" t="e">
        <f>AND('STERLING CATALOG - FZN &amp; CHILL'!C1755,"AAAAADf//So=")</f>
        <v>#VALUE!</v>
      </c>
      <c r="AR320" t="e">
        <f>AND('STERLING CATALOG - FZN &amp; CHILL'!D1755,"AAAAADf//Ss=")</f>
        <v>#VALUE!</v>
      </c>
      <c r="AS320" t="e">
        <f>AND('STERLING CATALOG - FZN &amp; CHILL'!E1755,"AAAAADf//Sw=")</f>
        <v>#VALUE!</v>
      </c>
      <c r="AT320" t="e">
        <f>AND('STERLING CATALOG - FZN &amp; CHILL'!F1755,"AAAAADf//S0=")</f>
        <v>#VALUE!</v>
      </c>
      <c r="AU320" t="e">
        <f>AND('STERLING CATALOG - FZN &amp; CHILL'!G1755,"AAAAADf//S4=")</f>
        <v>#VALUE!</v>
      </c>
      <c r="AV320" t="e">
        <f>AND('STERLING CATALOG - FZN &amp; CHILL'!H1755,"AAAAADf//S8=")</f>
        <v>#VALUE!</v>
      </c>
      <c r="AW320" t="e">
        <f>AND('STERLING CATALOG - FZN &amp; CHILL'!I1755,"AAAAADf//TA=")</f>
        <v>#VALUE!</v>
      </c>
      <c r="AX320" t="e">
        <f>AND('STERLING CATALOG - FZN &amp; CHILL'!J1755,"AAAAADf//TE=")</f>
        <v>#VALUE!</v>
      </c>
      <c r="AY320">
        <f>IF('STERLING CATALOG - FZN &amp; CHILL'!1756:1756,"AAAAADf//TI=",0)</f>
        <v>0</v>
      </c>
      <c r="AZ320" t="e">
        <f>AND('STERLING CATALOG - FZN &amp; CHILL'!A1756,"AAAAADf//TM=")</f>
        <v>#VALUE!</v>
      </c>
      <c r="BA320" t="e">
        <f>AND('STERLING CATALOG - FZN &amp; CHILL'!B1756,"AAAAADf//TQ=")</f>
        <v>#VALUE!</v>
      </c>
      <c r="BB320" t="e">
        <f>AND('STERLING CATALOG - FZN &amp; CHILL'!C1756,"AAAAADf//TU=")</f>
        <v>#VALUE!</v>
      </c>
      <c r="BC320" t="e">
        <f>AND('STERLING CATALOG - FZN &amp; CHILL'!D1756,"AAAAADf//TY=")</f>
        <v>#VALUE!</v>
      </c>
      <c r="BD320" t="e">
        <f>AND('STERLING CATALOG - FZN &amp; CHILL'!E1756,"AAAAADf//Tc=")</f>
        <v>#VALUE!</v>
      </c>
      <c r="BE320" t="e">
        <f>AND('STERLING CATALOG - FZN &amp; CHILL'!F1756,"AAAAADf//Tg=")</f>
        <v>#VALUE!</v>
      </c>
      <c r="BF320" t="e">
        <f>AND('STERLING CATALOG - FZN &amp; CHILL'!G1756,"AAAAADf//Tk=")</f>
        <v>#VALUE!</v>
      </c>
      <c r="BG320" t="e">
        <f>AND('STERLING CATALOG - FZN &amp; CHILL'!H1756,"AAAAADf//To=")</f>
        <v>#VALUE!</v>
      </c>
      <c r="BH320" t="e">
        <f>AND('STERLING CATALOG - FZN &amp; CHILL'!I1756,"AAAAADf//Ts=")</f>
        <v>#VALUE!</v>
      </c>
      <c r="BI320" t="e">
        <f>AND('STERLING CATALOG - FZN &amp; CHILL'!J1756,"AAAAADf//Tw=")</f>
        <v>#VALUE!</v>
      </c>
      <c r="BJ320">
        <f>IF('STERLING CATALOG - FZN &amp; CHILL'!1757:1757,"AAAAADf//T0=",0)</f>
        <v>0</v>
      </c>
      <c r="BK320" t="e">
        <f>AND('STERLING CATALOG - FZN &amp; CHILL'!A1757,"AAAAADf//T4=")</f>
        <v>#VALUE!</v>
      </c>
      <c r="BL320" t="e">
        <f>AND('STERLING CATALOG - FZN &amp; CHILL'!B1757,"AAAAADf//T8=")</f>
        <v>#VALUE!</v>
      </c>
      <c r="BM320" t="e">
        <f>AND('STERLING CATALOG - FZN &amp; CHILL'!C1757,"AAAAADf//UA=")</f>
        <v>#VALUE!</v>
      </c>
      <c r="BN320" t="e">
        <f>AND('STERLING CATALOG - FZN &amp; CHILL'!D1757,"AAAAADf//UE=")</f>
        <v>#VALUE!</v>
      </c>
      <c r="BO320" t="e">
        <f>AND('STERLING CATALOG - FZN &amp; CHILL'!E1757,"AAAAADf//UI=")</f>
        <v>#VALUE!</v>
      </c>
      <c r="BP320" t="e">
        <f>AND('STERLING CATALOG - FZN &amp; CHILL'!F1757,"AAAAADf//UM=")</f>
        <v>#VALUE!</v>
      </c>
      <c r="BQ320" t="e">
        <f>AND('STERLING CATALOG - FZN &amp; CHILL'!G1757,"AAAAADf//UQ=")</f>
        <v>#VALUE!</v>
      </c>
      <c r="BR320" t="e">
        <f>AND('STERLING CATALOG - FZN &amp; CHILL'!H1757,"AAAAADf//UU=")</f>
        <v>#VALUE!</v>
      </c>
      <c r="BS320" t="e">
        <f>AND('STERLING CATALOG - FZN &amp; CHILL'!I1757,"AAAAADf//UY=")</f>
        <v>#VALUE!</v>
      </c>
      <c r="BT320" t="e">
        <f>AND('STERLING CATALOG - FZN &amp; CHILL'!J1757,"AAAAADf//Uc=")</f>
        <v>#VALUE!</v>
      </c>
      <c r="BU320">
        <f>IF('STERLING CATALOG - FZN &amp; CHILL'!1758:1758,"AAAAADf//Ug=",0)</f>
        <v>0</v>
      </c>
      <c r="BV320" t="e">
        <f>AND('STERLING CATALOG - FZN &amp; CHILL'!A1758,"AAAAADf//Uk=")</f>
        <v>#VALUE!</v>
      </c>
      <c r="BW320" t="e">
        <f>AND('STERLING CATALOG - FZN &amp; CHILL'!B1758,"AAAAADf//Uo=")</f>
        <v>#VALUE!</v>
      </c>
      <c r="BX320" t="e">
        <f>AND('STERLING CATALOG - FZN &amp; CHILL'!C1758,"AAAAADf//Us=")</f>
        <v>#VALUE!</v>
      </c>
      <c r="BY320" t="e">
        <f>AND('STERLING CATALOG - FZN &amp; CHILL'!D1758,"AAAAADf//Uw=")</f>
        <v>#VALUE!</v>
      </c>
      <c r="BZ320" t="e">
        <f>AND('STERLING CATALOG - FZN &amp; CHILL'!E1758,"AAAAADf//U0=")</f>
        <v>#VALUE!</v>
      </c>
      <c r="CA320" t="e">
        <f>AND('STERLING CATALOG - FZN &amp; CHILL'!F1758,"AAAAADf//U4=")</f>
        <v>#VALUE!</v>
      </c>
      <c r="CB320" t="e">
        <f>AND('STERLING CATALOG - FZN &amp; CHILL'!G1758,"AAAAADf//U8=")</f>
        <v>#VALUE!</v>
      </c>
      <c r="CC320" t="e">
        <f>AND('STERLING CATALOG - FZN &amp; CHILL'!H1758,"AAAAADf//VA=")</f>
        <v>#VALUE!</v>
      </c>
      <c r="CD320" t="e">
        <f>AND('STERLING CATALOG - FZN &amp; CHILL'!I1758,"AAAAADf//VE=")</f>
        <v>#VALUE!</v>
      </c>
      <c r="CE320" t="e">
        <f>AND('STERLING CATALOG - FZN &amp; CHILL'!J1758,"AAAAADf//VI=")</f>
        <v>#VALUE!</v>
      </c>
      <c r="CF320">
        <f>IF('STERLING CATALOG - FZN &amp; CHILL'!1759:1759,"AAAAADf//VM=",0)</f>
        <v>0</v>
      </c>
      <c r="CG320" t="e">
        <f>AND('STERLING CATALOG - FZN &amp; CHILL'!A1759,"AAAAADf//VQ=")</f>
        <v>#VALUE!</v>
      </c>
      <c r="CH320" t="e">
        <f>AND('STERLING CATALOG - FZN &amp; CHILL'!B1759,"AAAAADf//VU=")</f>
        <v>#VALUE!</v>
      </c>
      <c r="CI320" t="e">
        <f>AND('STERLING CATALOG - FZN &amp; CHILL'!C1759,"AAAAADf//VY=")</f>
        <v>#VALUE!</v>
      </c>
      <c r="CJ320" t="e">
        <f>AND('STERLING CATALOG - FZN &amp; CHILL'!D1759,"AAAAADf//Vc=")</f>
        <v>#VALUE!</v>
      </c>
      <c r="CK320" t="e">
        <f>AND('STERLING CATALOG - FZN &amp; CHILL'!E1759,"AAAAADf//Vg=")</f>
        <v>#VALUE!</v>
      </c>
      <c r="CL320" t="e">
        <f>AND('STERLING CATALOG - FZN &amp; CHILL'!F1759,"AAAAADf//Vk=")</f>
        <v>#VALUE!</v>
      </c>
      <c r="CM320" t="e">
        <f>AND('STERLING CATALOG - FZN &amp; CHILL'!G1759,"AAAAADf//Vo=")</f>
        <v>#VALUE!</v>
      </c>
      <c r="CN320" t="e">
        <f>AND('STERLING CATALOG - FZN &amp; CHILL'!H1759,"AAAAADf//Vs=")</f>
        <v>#VALUE!</v>
      </c>
      <c r="CO320" t="e">
        <f>AND('STERLING CATALOG - FZN &amp; CHILL'!I1759,"AAAAADf//Vw=")</f>
        <v>#VALUE!</v>
      </c>
      <c r="CP320" t="e">
        <f>AND('STERLING CATALOG - FZN &amp; CHILL'!J1759,"AAAAADf//V0=")</f>
        <v>#VALUE!</v>
      </c>
      <c r="CQ320">
        <f>IF('STERLING CATALOG - FZN &amp; CHILL'!1760:1760,"AAAAADf//V4=",0)</f>
        <v>0</v>
      </c>
      <c r="CR320" t="e">
        <f>AND('STERLING CATALOG - FZN &amp; CHILL'!A1760,"AAAAADf//V8=")</f>
        <v>#VALUE!</v>
      </c>
      <c r="CS320" t="e">
        <f>AND('STERLING CATALOG - FZN &amp; CHILL'!B1760,"AAAAADf//WA=")</f>
        <v>#VALUE!</v>
      </c>
      <c r="CT320" t="e">
        <f>AND('STERLING CATALOG - FZN &amp; CHILL'!C1760,"AAAAADf//WE=")</f>
        <v>#VALUE!</v>
      </c>
      <c r="CU320" t="e">
        <f>AND('STERLING CATALOG - FZN &amp; CHILL'!D1760,"AAAAADf//WI=")</f>
        <v>#VALUE!</v>
      </c>
      <c r="CV320" t="e">
        <f>AND('STERLING CATALOG - FZN &amp; CHILL'!E1760,"AAAAADf//WM=")</f>
        <v>#VALUE!</v>
      </c>
      <c r="CW320" t="e">
        <f>AND('STERLING CATALOG - FZN &amp; CHILL'!F1760,"AAAAADf//WQ=")</f>
        <v>#VALUE!</v>
      </c>
      <c r="CX320" t="e">
        <f>AND('STERLING CATALOG - FZN &amp; CHILL'!G1760,"AAAAADf//WU=")</f>
        <v>#VALUE!</v>
      </c>
      <c r="CY320" t="e">
        <f>AND('STERLING CATALOG - FZN &amp; CHILL'!H1760,"AAAAADf//WY=")</f>
        <v>#VALUE!</v>
      </c>
      <c r="CZ320" t="e">
        <f>AND('STERLING CATALOG - FZN &amp; CHILL'!I1760,"AAAAADf//Wc=")</f>
        <v>#VALUE!</v>
      </c>
      <c r="DA320" t="e">
        <f>AND('STERLING CATALOG - FZN &amp; CHILL'!J1760,"AAAAADf//Wg=")</f>
        <v>#VALUE!</v>
      </c>
      <c r="DB320">
        <f>IF('STERLING CATALOG - FZN &amp; CHILL'!1761:1761,"AAAAADf//Wk=",0)</f>
        <v>0</v>
      </c>
      <c r="DC320" t="e">
        <f>AND('STERLING CATALOG - FZN &amp; CHILL'!A1761,"AAAAADf//Wo=")</f>
        <v>#VALUE!</v>
      </c>
      <c r="DD320" t="e">
        <f>AND('STERLING CATALOG - FZN &amp; CHILL'!B1761,"AAAAADf//Ws=")</f>
        <v>#VALUE!</v>
      </c>
      <c r="DE320" t="e">
        <f>AND('STERLING CATALOG - FZN &amp; CHILL'!C1761,"AAAAADf//Ww=")</f>
        <v>#VALUE!</v>
      </c>
      <c r="DF320" t="e">
        <f>AND('STERLING CATALOG - FZN &amp; CHILL'!D1761,"AAAAADf//W0=")</f>
        <v>#VALUE!</v>
      </c>
      <c r="DG320" t="e">
        <f>AND('STERLING CATALOG - FZN &amp; CHILL'!E1761,"AAAAADf//W4=")</f>
        <v>#VALUE!</v>
      </c>
      <c r="DH320" t="e">
        <f>AND('STERLING CATALOG - FZN &amp; CHILL'!F1761,"AAAAADf//W8=")</f>
        <v>#VALUE!</v>
      </c>
      <c r="DI320" t="e">
        <f>AND('STERLING CATALOG - FZN &amp; CHILL'!G1761,"AAAAADf//XA=")</f>
        <v>#VALUE!</v>
      </c>
      <c r="DJ320" t="e">
        <f>AND('STERLING CATALOG - FZN &amp; CHILL'!H1761,"AAAAADf//XE=")</f>
        <v>#VALUE!</v>
      </c>
      <c r="DK320" t="e">
        <f>AND('STERLING CATALOG - FZN &amp; CHILL'!I1761,"AAAAADf//XI=")</f>
        <v>#VALUE!</v>
      </c>
      <c r="DL320" t="e">
        <f>AND('STERLING CATALOG - FZN &amp; CHILL'!J1761,"AAAAADf//XM=")</f>
        <v>#VALUE!</v>
      </c>
      <c r="DM320">
        <f>IF('STERLING CATALOG - FZN &amp; CHILL'!1762:1762,"AAAAADf//XQ=",0)</f>
        <v>0</v>
      </c>
      <c r="DN320" t="e">
        <f>AND('STERLING CATALOG - FZN &amp; CHILL'!A1762,"AAAAADf//XU=")</f>
        <v>#VALUE!</v>
      </c>
      <c r="DO320" t="e">
        <f>AND('STERLING CATALOG - FZN &amp; CHILL'!B1762,"AAAAADf//XY=")</f>
        <v>#VALUE!</v>
      </c>
      <c r="DP320" t="e">
        <f>AND('STERLING CATALOG - FZN &amp; CHILL'!C1762,"AAAAADf//Xc=")</f>
        <v>#VALUE!</v>
      </c>
      <c r="DQ320" t="e">
        <f>AND('STERLING CATALOG - FZN &amp; CHILL'!D1762,"AAAAADf//Xg=")</f>
        <v>#VALUE!</v>
      </c>
      <c r="DR320" t="e">
        <f>AND('STERLING CATALOG - FZN &amp; CHILL'!E1762,"AAAAADf//Xk=")</f>
        <v>#VALUE!</v>
      </c>
      <c r="DS320" t="e">
        <f>AND('STERLING CATALOG - FZN &amp; CHILL'!F1762,"AAAAADf//Xo=")</f>
        <v>#VALUE!</v>
      </c>
      <c r="DT320" t="e">
        <f>AND('STERLING CATALOG - FZN &amp; CHILL'!G1762,"AAAAADf//Xs=")</f>
        <v>#VALUE!</v>
      </c>
      <c r="DU320" t="e">
        <f>AND('STERLING CATALOG - FZN &amp; CHILL'!H1762,"AAAAADf//Xw=")</f>
        <v>#VALUE!</v>
      </c>
      <c r="DV320" t="e">
        <f>AND('STERLING CATALOG - FZN &amp; CHILL'!I1762,"AAAAADf//X0=")</f>
        <v>#VALUE!</v>
      </c>
      <c r="DW320" t="e">
        <f>AND('STERLING CATALOG - FZN &amp; CHILL'!J1762,"AAAAADf//X4=")</f>
        <v>#VALUE!</v>
      </c>
      <c r="DX320">
        <f>IF('STERLING CATALOG - FZN &amp; CHILL'!1763:1763,"AAAAADf//X8=",0)</f>
        <v>0</v>
      </c>
      <c r="DY320" t="e">
        <f>AND('STERLING CATALOG - FZN &amp; CHILL'!A1763,"AAAAADf//YA=")</f>
        <v>#VALUE!</v>
      </c>
      <c r="DZ320" t="e">
        <f>AND('STERLING CATALOG - FZN &amp; CHILL'!B1763,"AAAAADf//YE=")</f>
        <v>#VALUE!</v>
      </c>
      <c r="EA320" t="e">
        <f>AND('STERLING CATALOG - FZN &amp; CHILL'!C1763,"AAAAADf//YI=")</f>
        <v>#VALUE!</v>
      </c>
      <c r="EB320" t="e">
        <f>AND('STERLING CATALOG - FZN &amp; CHILL'!D1763,"AAAAADf//YM=")</f>
        <v>#VALUE!</v>
      </c>
      <c r="EC320" t="e">
        <f>AND('STERLING CATALOG - FZN &amp; CHILL'!E1763,"AAAAADf//YQ=")</f>
        <v>#VALUE!</v>
      </c>
      <c r="ED320" t="e">
        <f>AND('STERLING CATALOG - FZN &amp; CHILL'!F1763,"AAAAADf//YU=")</f>
        <v>#VALUE!</v>
      </c>
      <c r="EE320" t="e">
        <f>AND('STERLING CATALOG - FZN &amp; CHILL'!G1763,"AAAAADf//YY=")</f>
        <v>#VALUE!</v>
      </c>
      <c r="EF320" t="e">
        <f>AND('STERLING CATALOG - FZN &amp; CHILL'!H1763,"AAAAADf//Yc=")</f>
        <v>#VALUE!</v>
      </c>
      <c r="EG320" t="e">
        <f>AND('STERLING CATALOG - FZN &amp; CHILL'!I1763,"AAAAADf//Yg=")</f>
        <v>#VALUE!</v>
      </c>
      <c r="EH320" t="e">
        <f>AND('STERLING CATALOG - FZN &amp; CHILL'!J1763,"AAAAADf//Yk=")</f>
        <v>#VALUE!</v>
      </c>
      <c r="EI320">
        <f>IF('STERLING CATALOG - FZN &amp; CHILL'!1764:1764,"AAAAADf//Yo=",0)</f>
        <v>0</v>
      </c>
      <c r="EJ320" t="e">
        <f>AND('STERLING CATALOG - FZN &amp; CHILL'!A1764,"AAAAADf//Ys=")</f>
        <v>#VALUE!</v>
      </c>
      <c r="EK320" t="e">
        <f>AND('STERLING CATALOG - FZN &amp; CHILL'!B1764,"AAAAADf//Yw=")</f>
        <v>#VALUE!</v>
      </c>
      <c r="EL320" t="e">
        <f>AND('STERLING CATALOG - FZN &amp; CHILL'!C1764,"AAAAADf//Y0=")</f>
        <v>#VALUE!</v>
      </c>
      <c r="EM320" t="e">
        <f>AND('STERLING CATALOG - FZN &amp; CHILL'!D1764,"AAAAADf//Y4=")</f>
        <v>#VALUE!</v>
      </c>
      <c r="EN320" t="e">
        <f>AND('STERLING CATALOG - FZN &amp; CHILL'!E1764,"AAAAADf//Y8=")</f>
        <v>#VALUE!</v>
      </c>
      <c r="EO320" t="e">
        <f>AND('STERLING CATALOG - FZN &amp; CHILL'!F1764,"AAAAADf//ZA=")</f>
        <v>#VALUE!</v>
      </c>
      <c r="EP320" t="e">
        <f>AND('STERLING CATALOG - FZN &amp; CHILL'!G1764,"AAAAADf//ZE=")</f>
        <v>#VALUE!</v>
      </c>
      <c r="EQ320" t="e">
        <f>AND('STERLING CATALOG - FZN &amp; CHILL'!H1764,"AAAAADf//ZI=")</f>
        <v>#VALUE!</v>
      </c>
      <c r="ER320" t="e">
        <f>AND('STERLING CATALOG - FZN &amp; CHILL'!I1764,"AAAAADf//ZM=")</f>
        <v>#VALUE!</v>
      </c>
      <c r="ES320" t="e">
        <f>AND('STERLING CATALOG - FZN &amp; CHILL'!J1764,"AAAAADf//ZQ=")</f>
        <v>#VALUE!</v>
      </c>
      <c r="ET320">
        <f>IF('STERLING CATALOG - FZN &amp; CHILL'!1765:1765,"AAAAADf//ZU=",0)</f>
        <v>0</v>
      </c>
      <c r="EU320" t="e">
        <f>AND('STERLING CATALOG - FZN &amp; CHILL'!A1765,"AAAAADf//ZY=")</f>
        <v>#VALUE!</v>
      </c>
      <c r="EV320" t="e">
        <f>AND('STERLING CATALOG - FZN &amp; CHILL'!B1765,"AAAAADf//Zc=")</f>
        <v>#VALUE!</v>
      </c>
      <c r="EW320" t="e">
        <f>AND('STERLING CATALOG - FZN &amp; CHILL'!C1765,"AAAAADf//Zg=")</f>
        <v>#VALUE!</v>
      </c>
      <c r="EX320" t="e">
        <f>AND('STERLING CATALOG - FZN &amp; CHILL'!D1765,"AAAAADf//Zk=")</f>
        <v>#VALUE!</v>
      </c>
      <c r="EY320" t="e">
        <f>AND('STERLING CATALOG - FZN &amp; CHILL'!E1765,"AAAAADf//Zo=")</f>
        <v>#VALUE!</v>
      </c>
      <c r="EZ320" t="e">
        <f>AND('STERLING CATALOG - FZN &amp; CHILL'!F1765,"AAAAADf//Zs=")</f>
        <v>#VALUE!</v>
      </c>
      <c r="FA320" t="e">
        <f>AND('STERLING CATALOG - FZN &amp; CHILL'!G1765,"AAAAADf//Zw=")</f>
        <v>#VALUE!</v>
      </c>
      <c r="FB320" t="e">
        <f>AND('STERLING CATALOG - FZN &amp; CHILL'!H1765,"AAAAADf//Z0=")</f>
        <v>#VALUE!</v>
      </c>
      <c r="FC320" t="e">
        <f>AND('STERLING CATALOG - FZN &amp; CHILL'!I1765,"AAAAADf//Z4=")</f>
        <v>#VALUE!</v>
      </c>
      <c r="FD320" t="e">
        <f>AND('STERLING CATALOG - FZN &amp; CHILL'!J1765,"AAAAADf//Z8=")</f>
        <v>#VALUE!</v>
      </c>
      <c r="FE320">
        <f>IF('STERLING CATALOG - FZN &amp; CHILL'!1766:1766,"AAAAADf//aA=",0)</f>
        <v>0</v>
      </c>
      <c r="FF320" t="e">
        <f>AND('STERLING CATALOG - FZN &amp; CHILL'!A1766,"AAAAADf//aE=")</f>
        <v>#VALUE!</v>
      </c>
      <c r="FG320" t="e">
        <f>AND('STERLING CATALOG - FZN &amp; CHILL'!B1766,"AAAAADf//aI=")</f>
        <v>#VALUE!</v>
      </c>
      <c r="FH320" t="e">
        <f>AND('STERLING CATALOG - FZN &amp; CHILL'!C1766,"AAAAADf//aM=")</f>
        <v>#VALUE!</v>
      </c>
      <c r="FI320" t="e">
        <f>AND('STERLING CATALOG - FZN &amp; CHILL'!D1766,"AAAAADf//aQ=")</f>
        <v>#VALUE!</v>
      </c>
      <c r="FJ320" t="e">
        <f>AND('STERLING CATALOG - FZN &amp; CHILL'!E1766,"AAAAADf//aU=")</f>
        <v>#VALUE!</v>
      </c>
      <c r="FK320" t="e">
        <f>AND('STERLING CATALOG - FZN &amp; CHILL'!F1766,"AAAAADf//aY=")</f>
        <v>#VALUE!</v>
      </c>
      <c r="FL320" t="e">
        <f>AND('STERLING CATALOG - FZN &amp; CHILL'!G1766,"AAAAADf//ac=")</f>
        <v>#VALUE!</v>
      </c>
      <c r="FM320" t="e">
        <f>AND('STERLING CATALOG - FZN &amp; CHILL'!H1766,"AAAAADf//ag=")</f>
        <v>#VALUE!</v>
      </c>
      <c r="FN320" t="e">
        <f>AND('STERLING CATALOG - FZN &amp; CHILL'!I1766,"AAAAADf//ak=")</f>
        <v>#VALUE!</v>
      </c>
      <c r="FO320" t="e">
        <f>AND('STERLING CATALOG - FZN &amp; CHILL'!J1766,"AAAAADf//ao=")</f>
        <v>#VALUE!</v>
      </c>
      <c r="FP320">
        <f>IF('STERLING CATALOG - FZN &amp; CHILL'!1767:1767,"AAAAADf//as=",0)</f>
        <v>0</v>
      </c>
      <c r="FQ320" t="e">
        <f>AND('STERLING CATALOG - FZN &amp; CHILL'!A1767,"AAAAADf//aw=")</f>
        <v>#VALUE!</v>
      </c>
      <c r="FR320" t="e">
        <f>AND('STERLING CATALOG - FZN &amp; CHILL'!B1767,"AAAAADf//a0=")</f>
        <v>#VALUE!</v>
      </c>
      <c r="FS320" t="e">
        <f>AND('STERLING CATALOG - FZN &amp; CHILL'!C1767,"AAAAADf//a4=")</f>
        <v>#VALUE!</v>
      </c>
      <c r="FT320" t="e">
        <f>AND('STERLING CATALOG - FZN &amp; CHILL'!D1767,"AAAAADf//a8=")</f>
        <v>#VALUE!</v>
      </c>
      <c r="FU320" t="e">
        <f>AND('STERLING CATALOG - FZN &amp; CHILL'!E1767,"AAAAADf//bA=")</f>
        <v>#VALUE!</v>
      </c>
      <c r="FV320" t="e">
        <f>AND('STERLING CATALOG - FZN &amp; CHILL'!F1767,"AAAAADf//bE=")</f>
        <v>#VALUE!</v>
      </c>
      <c r="FW320" t="e">
        <f>AND('STERLING CATALOG - FZN &amp; CHILL'!G1767,"AAAAADf//bI=")</f>
        <v>#VALUE!</v>
      </c>
      <c r="FX320" t="e">
        <f>AND('STERLING CATALOG - FZN &amp; CHILL'!H1767,"AAAAADf//bM=")</f>
        <v>#VALUE!</v>
      </c>
      <c r="FY320" t="e">
        <f>AND('STERLING CATALOG - FZN &amp; CHILL'!I1767,"AAAAADf//bQ=")</f>
        <v>#VALUE!</v>
      </c>
      <c r="FZ320" t="e">
        <f>AND('STERLING CATALOG - FZN &amp; CHILL'!J1767,"AAAAADf//bU=")</f>
        <v>#VALUE!</v>
      </c>
      <c r="GA320">
        <f>IF('STERLING CATALOG - FZN &amp; CHILL'!1768:1768,"AAAAADf//bY=",0)</f>
        <v>0</v>
      </c>
      <c r="GB320" t="e">
        <f>AND('STERLING CATALOG - FZN &amp; CHILL'!A1768,"AAAAADf//bc=")</f>
        <v>#VALUE!</v>
      </c>
      <c r="GC320" t="e">
        <f>AND('STERLING CATALOG - FZN &amp; CHILL'!B1768,"AAAAADf//bg=")</f>
        <v>#VALUE!</v>
      </c>
      <c r="GD320" t="e">
        <f>AND('STERLING CATALOG - FZN &amp; CHILL'!C1768,"AAAAADf//bk=")</f>
        <v>#VALUE!</v>
      </c>
      <c r="GE320" t="e">
        <f>AND('STERLING CATALOG - FZN &amp; CHILL'!D1768,"AAAAADf//bo=")</f>
        <v>#VALUE!</v>
      </c>
      <c r="GF320" t="e">
        <f>AND('STERLING CATALOG - FZN &amp; CHILL'!E1768,"AAAAADf//bs=")</f>
        <v>#VALUE!</v>
      </c>
      <c r="GG320" t="e">
        <f>AND('STERLING CATALOG - FZN &amp; CHILL'!F1768,"AAAAADf//bw=")</f>
        <v>#VALUE!</v>
      </c>
      <c r="GH320" t="e">
        <f>AND('STERLING CATALOG - FZN &amp; CHILL'!G1768,"AAAAADf//b0=")</f>
        <v>#VALUE!</v>
      </c>
      <c r="GI320" t="e">
        <f>AND('STERLING CATALOG - FZN &amp; CHILL'!H1768,"AAAAADf//b4=")</f>
        <v>#VALUE!</v>
      </c>
      <c r="GJ320" t="e">
        <f>AND('STERLING CATALOG - FZN &amp; CHILL'!I1768,"AAAAADf//b8=")</f>
        <v>#VALUE!</v>
      </c>
      <c r="GK320" t="e">
        <f>AND('STERLING CATALOG - FZN &amp; CHILL'!J1768,"AAAAADf//cA=")</f>
        <v>#VALUE!</v>
      </c>
      <c r="GL320">
        <f>IF('STERLING CATALOG - FZN &amp; CHILL'!1769:1769,"AAAAADf//cE=",0)</f>
        <v>0</v>
      </c>
      <c r="GM320" t="e">
        <f>AND('STERLING CATALOG - FZN &amp; CHILL'!A1769,"AAAAADf//cI=")</f>
        <v>#VALUE!</v>
      </c>
      <c r="GN320" t="e">
        <f>AND('STERLING CATALOG - FZN &amp; CHILL'!B1769,"AAAAADf//cM=")</f>
        <v>#VALUE!</v>
      </c>
      <c r="GO320" t="e">
        <f>AND('STERLING CATALOG - FZN &amp; CHILL'!C1769,"AAAAADf//cQ=")</f>
        <v>#VALUE!</v>
      </c>
      <c r="GP320" t="e">
        <f>AND('STERLING CATALOG - FZN &amp; CHILL'!D1769,"AAAAADf//cU=")</f>
        <v>#VALUE!</v>
      </c>
      <c r="GQ320" t="e">
        <f>AND('STERLING CATALOG - FZN &amp; CHILL'!E1769,"AAAAADf//cY=")</f>
        <v>#VALUE!</v>
      </c>
      <c r="GR320" t="e">
        <f>AND('STERLING CATALOG - FZN &amp; CHILL'!F1769,"AAAAADf//cc=")</f>
        <v>#VALUE!</v>
      </c>
      <c r="GS320" t="e">
        <f>AND('STERLING CATALOG - FZN &amp; CHILL'!G1769,"AAAAADf//cg=")</f>
        <v>#VALUE!</v>
      </c>
      <c r="GT320" t="e">
        <f>AND('STERLING CATALOG - FZN &amp; CHILL'!H1769,"AAAAADf//ck=")</f>
        <v>#VALUE!</v>
      </c>
      <c r="GU320" t="e">
        <f>AND('STERLING CATALOG - FZN &amp; CHILL'!I1769,"AAAAADf//co=")</f>
        <v>#VALUE!</v>
      </c>
      <c r="GV320" t="e">
        <f>AND('STERLING CATALOG - FZN &amp; CHILL'!J1769,"AAAAADf//cs=")</f>
        <v>#VALUE!</v>
      </c>
      <c r="GW320">
        <f>IF('STERLING CATALOG - FZN &amp; CHILL'!1770:1770,"AAAAADf//cw=",0)</f>
        <v>0</v>
      </c>
      <c r="GX320" t="e">
        <f>AND('STERLING CATALOG - FZN &amp; CHILL'!A1770,"AAAAADf//c0=")</f>
        <v>#VALUE!</v>
      </c>
      <c r="GY320" t="e">
        <f>AND('STERLING CATALOG - FZN &amp; CHILL'!B1770,"AAAAADf//c4=")</f>
        <v>#VALUE!</v>
      </c>
      <c r="GZ320" t="e">
        <f>AND('STERLING CATALOG - FZN &amp; CHILL'!C1770,"AAAAADf//c8=")</f>
        <v>#VALUE!</v>
      </c>
      <c r="HA320" t="e">
        <f>AND('STERLING CATALOG - FZN &amp; CHILL'!D1770,"AAAAADf//dA=")</f>
        <v>#VALUE!</v>
      </c>
      <c r="HB320" t="e">
        <f>AND('STERLING CATALOG - FZN &amp; CHILL'!E1770,"AAAAADf//dE=")</f>
        <v>#VALUE!</v>
      </c>
      <c r="HC320" t="e">
        <f>AND('STERLING CATALOG - FZN &amp; CHILL'!F1770,"AAAAADf//dI=")</f>
        <v>#VALUE!</v>
      </c>
      <c r="HD320" t="e">
        <f>AND('STERLING CATALOG - FZN &amp; CHILL'!G1770,"AAAAADf//dM=")</f>
        <v>#VALUE!</v>
      </c>
      <c r="HE320" t="e">
        <f>AND('STERLING CATALOG - FZN &amp; CHILL'!H1770,"AAAAADf//dQ=")</f>
        <v>#VALUE!</v>
      </c>
      <c r="HF320" t="e">
        <f>AND('STERLING CATALOG - FZN &amp; CHILL'!I1770,"AAAAADf//dU=")</f>
        <v>#VALUE!</v>
      </c>
      <c r="HG320" t="e">
        <f>AND('STERLING CATALOG - FZN &amp; CHILL'!J1770,"AAAAADf//dY=")</f>
        <v>#VALUE!</v>
      </c>
      <c r="HH320">
        <f>IF('STERLING CATALOG - FZN &amp; CHILL'!1771:1771,"AAAAADf//dc=",0)</f>
        <v>0</v>
      </c>
      <c r="HI320" t="e">
        <f>AND('STERLING CATALOG - FZN &amp; CHILL'!A1771,"AAAAADf//dg=")</f>
        <v>#VALUE!</v>
      </c>
      <c r="HJ320" t="e">
        <f>AND('STERLING CATALOG - FZN &amp; CHILL'!B1771,"AAAAADf//dk=")</f>
        <v>#VALUE!</v>
      </c>
      <c r="HK320" t="e">
        <f>AND('STERLING CATALOG - FZN &amp; CHILL'!C1771,"AAAAADf//do=")</f>
        <v>#VALUE!</v>
      </c>
      <c r="HL320" t="e">
        <f>AND('STERLING CATALOG - FZN &amp; CHILL'!D1771,"AAAAADf//ds=")</f>
        <v>#VALUE!</v>
      </c>
      <c r="HM320" t="e">
        <f>AND('STERLING CATALOG - FZN &amp; CHILL'!E1771,"AAAAADf//dw=")</f>
        <v>#VALUE!</v>
      </c>
      <c r="HN320" t="e">
        <f>AND('STERLING CATALOG - FZN &amp; CHILL'!F1771,"AAAAADf//d0=")</f>
        <v>#VALUE!</v>
      </c>
      <c r="HO320" t="e">
        <f>AND('STERLING CATALOG - FZN &amp; CHILL'!G1771,"AAAAADf//d4=")</f>
        <v>#VALUE!</v>
      </c>
      <c r="HP320" t="e">
        <f>AND('STERLING CATALOG - FZN &amp; CHILL'!H1771,"AAAAADf//d8=")</f>
        <v>#VALUE!</v>
      </c>
      <c r="HQ320" t="e">
        <f>AND('STERLING CATALOG - FZN &amp; CHILL'!I1771,"AAAAADf//eA=")</f>
        <v>#VALUE!</v>
      </c>
      <c r="HR320" t="e">
        <f>AND('STERLING CATALOG - FZN &amp; CHILL'!J1771,"AAAAADf//eE=")</f>
        <v>#VALUE!</v>
      </c>
      <c r="HS320">
        <f>IF('STERLING CATALOG - FZN &amp; CHILL'!1772:1772,"AAAAADf//eI=",0)</f>
        <v>0</v>
      </c>
      <c r="HT320" t="e">
        <f>AND('STERLING CATALOG - FZN &amp; CHILL'!A1772,"AAAAADf//eM=")</f>
        <v>#VALUE!</v>
      </c>
      <c r="HU320" t="e">
        <f>AND('STERLING CATALOG - FZN &amp; CHILL'!B1772,"AAAAADf//eQ=")</f>
        <v>#VALUE!</v>
      </c>
      <c r="HV320" t="e">
        <f>AND('STERLING CATALOG - FZN &amp; CHILL'!C1772,"AAAAADf//eU=")</f>
        <v>#VALUE!</v>
      </c>
      <c r="HW320" t="e">
        <f>AND('STERLING CATALOG - FZN &amp; CHILL'!D1772,"AAAAADf//eY=")</f>
        <v>#VALUE!</v>
      </c>
      <c r="HX320" t="e">
        <f>AND('STERLING CATALOG - FZN &amp; CHILL'!E1772,"AAAAADf//ec=")</f>
        <v>#VALUE!</v>
      </c>
      <c r="HY320" t="e">
        <f>AND('STERLING CATALOG - FZN &amp; CHILL'!F1772,"AAAAADf//eg=")</f>
        <v>#VALUE!</v>
      </c>
      <c r="HZ320" t="e">
        <f>AND('STERLING CATALOG - FZN &amp; CHILL'!G1772,"AAAAADf//ek=")</f>
        <v>#VALUE!</v>
      </c>
      <c r="IA320" t="e">
        <f>AND('STERLING CATALOG - FZN &amp; CHILL'!H1772,"AAAAADf//eo=")</f>
        <v>#VALUE!</v>
      </c>
      <c r="IB320" t="e">
        <f>AND('STERLING CATALOG - FZN &amp; CHILL'!I1772,"AAAAADf//es=")</f>
        <v>#VALUE!</v>
      </c>
      <c r="IC320" t="e">
        <f>AND('STERLING CATALOG - FZN &amp; CHILL'!J1772,"AAAAADf//ew=")</f>
        <v>#VALUE!</v>
      </c>
      <c r="ID320">
        <f>IF('STERLING CATALOG - FZN &amp; CHILL'!1773:1773,"AAAAADf//e0=",0)</f>
        <v>0</v>
      </c>
      <c r="IE320" t="e">
        <f>AND('STERLING CATALOG - FZN &amp; CHILL'!A1773,"AAAAADf//e4=")</f>
        <v>#VALUE!</v>
      </c>
      <c r="IF320" t="e">
        <f>AND('STERLING CATALOG - FZN &amp; CHILL'!B1773,"AAAAADf//e8=")</f>
        <v>#VALUE!</v>
      </c>
      <c r="IG320" t="e">
        <f>AND('STERLING CATALOG - FZN &amp; CHILL'!C1773,"AAAAADf//fA=")</f>
        <v>#VALUE!</v>
      </c>
      <c r="IH320" t="e">
        <f>AND('STERLING CATALOG - FZN &amp; CHILL'!D1773,"AAAAADf//fE=")</f>
        <v>#VALUE!</v>
      </c>
      <c r="II320" t="e">
        <f>AND('STERLING CATALOG - FZN &amp; CHILL'!E1773,"AAAAADf//fI=")</f>
        <v>#VALUE!</v>
      </c>
      <c r="IJ320" t="e">
        <f>AND('STERLING CATALOG - FZN &amp; CHILL'!F1773,"AAAAADf//fM=")</f>
        <v>#VALUE!</v>
      </c>
      <c r="IK320" t="e">
        <f>AND('STERLING CATALOG - FZN &amp; CHILL'!G1773,"AAAAADf//fQ=")</f>
        <v>#VALUE!</v>
      </c>
      <c r="IL320" t="e">
        <f>AND('STERLING CATALOG - FZN &amp; CHILL'!H1773,"AAAAADf//fU=")</f>
        <v>#VALUE!</v>
      </c>
      <c r="IM320" t="e">
        <f>AND('STERLING CATALOG - FZN &amp; CHILL'!I1773,"AAAAADf//fY=")</f>
        <v>#VALUE!</v>
      </c>
      <c r="IN320" t="e">
        <f>AND('STERLING CATALOG - FZN &amp; CHILL'!J1773,"AAAAADf//fc=")</f>
        <v>#VALUE!</v>
      </c>
      <c r="IO320">
        <f>IF('STERLING CATALOG - FZN &amp; CHILL'!1774:1774,"AAAAADf//fg=",0)</f>
        <v>0</v>
      </c>
      <c r="IP320" t="e">
        <f>AND('STERLING CATALOG - FZN &amp; CHILL'!A1774,"AAAAADf//fk=")</f>
        <v>#VALUE!</v>
      </c>
      <c r="IQ320" t="e">
        <f>AND('STERLING CATALOG - FZN &amp; CHILL'!B1774,"AAAAADf//fo=")</f>
        <v>#VALUE!</v>
      </c>
      <c r="IR320" t="e">
        <f>AND('STERLING CATALOG - FZN &amp; CHILL'!C1774,"AAAAADf//fs=")</f>
        <v>#VALUE!</v>
      </c>
      <c r="IS320" t="e">
        <f>AND('STERLING CATALOG - FZN &amp; CHILL'!D1774,"AAAAADf//fw=")</f>
        <v>#VALUE!</v>
      </c>
      <c r="IT320" t="e">
        <f>AND('STERLING CATALOG - FZN &amp; CHILL'!E1774,"AAAAADf//f0=")</f>
        <v>#VALUE!</v>
      </c>
      <c r="IU320" t="e">
        <f>AND('STERLING CATALOG - FZN &amp; CHILL'!F1774,"AAAAADf//f4=")</f>
        <v>#VALUE!</v>
      </c>
      <c r="IV320" t="e">
        <f>AND('STERLING CATALOG - FZN &amp; CHILL'!G1774,"AAAAADf//f8=")</f>
        <v>#VALUE!</v>
      </c>
    </row>
    <row r="321" spans="1:256">
      <c r="A321" t="e">
        <f>AND('STERLING CATALOG - FZN &amp; CHILL'!H1774,"AAAAAHf/3AA=")</f>
        <v>#VALUE!</v>
      </c>
      <c r="B321" t="e">
        <f>AND('STERLING CATALOG - FZN &amp; CHILL'!I1774,"AAAAAHf/3AE=")</f>
        <v>#VALUE!</v>
      </c>
      <c r="C321" t="e">
        <f>AND('STERLING CATALOG - FZN &amp; CHILL'!J1774,"AAAAAHf/3AI=")</f>
        <v>#VALUE!</v>
      </c>
      <c r="D321" t="e">
        <f>IF('STERLING CATALOG - FZN &amp; CHILL'!1775:1775,"AAAAAHf/3AM=",0)</f>
        <v>#VALUE!</v>
      </c>
      <c r="E321" t="e">
        <f>AND('STERLING CATALOG - FZN &amp; CHILL'!A1775,"AAAAAHf/3AQ=")</f>
        <v>#VALUE!</v>
      </c>
      <c r="F321" t="e">
        <f>AND('STERLING CATALOG - FZN &amp; CHILL'!B1775,"AAAAAHf/3AU=")</f>
        <v>#VALUE!</v>
      </c>
      <c r="G321" t="e">
        <f>AND('STERLING CATALOG - FZN &amp; CHILL'!C1775,"AAAAAHf/3AY=")</f>
        <v>#VALUE!</v>
      </c>
      <c r="H321" t="e">
        <f>AND('STERLING CATALOG - FZN &amp; CHILL'!D1775,"AAAAAHf/3Ac=")</f>
        <v>#VALUE!</v>
      </c>
      <c r="I321" t="e">
        <f>AND('STERLING CATALOG - FZN &amp; CHILL'!E1775,"AAAAAHf/3Ag=")</f>
        <v>#VALUE!</v>
      </c>
      <c r="J321" t="e">
        <f>AND('STERLING CATALOG - FZN &amp; CHILL'!F1775,"AAAAAHf/3Ak=")</f>
        <v>#VALUE!</v>
      </c>
      <c r="K321" t="e">
        <f>AND('STERLING CATALOG - FZN &amp; CHILL'!G1775,"AAAAAHf/3Ao=")</f>
        <v>#VALUE!</v>
      </c>
      <c r="L321" t="e">
        <f>AND('STERLING CATALOG - FZN &amp; CHILL'!H1775,"AAAAAHf/3As=")</f>
        <v>#VALUE!</v>
      </c>
      <c r="M321" t="e">
        <f>AND('STERLING CATALOG - FZN &amp; CHILL'!I1775,"AAAAAHf/3Aw=")</f>
        <v>#VALUE!</v>
      </c>
      <c r="N321" t="e">
        <f>AND('STERLING CATALOG - FZN &amp; CHILL'!J1775,"AAAAAHf/3A0=")</f>
        <v>#VALUE!</v>
      </c>
      <c r="O321">
        <f>IF('STERLING CATALOG - FZN &amp; CHILL'!1776:1776,"AAAAAHf/3A4=",0)</f>
        <v>0</v>
      </c>
      <c r="P321" t="e">
        <f>AND('STERLING CATALOG - FZN &amp; CHILL'!A1776,"AAAAAHf/3A8=")</f>
        <v>#VALUE!</v>
      </c>
      <c r="Q321" t="e">
        <f>AND('STERLING CATALOG - FZN &amp; CHILL'!B1776,"AAAAAHf/3BA=")</f>
        <v>#VALUE!</v>
      </c>
      <c r="R321" t="e">
        <f>AND('STERLING CATALOG - FZN &amp; CHILL'!C1776,"AAAAAHf/3BE=")</f>
        <v>#VALUE!</v>
      </c>
      <c r="S321" t="e">
        <f>AND('STERLING CATALOG - FZN &amp; CHILL'!D1776,"AAAAAHf/3BI=")</f>
        <v>#VALUE!</v>
      </c>
      <c r="T321" t="e">
        <f>AND('STERLING CATALOG - FZN &amp; CHILL'!E1776,"AAAAAHf/3BM=")</f>
        <v>#VALUE!</v>
      </c>
      <c r="U321" t="e">
        <f>AND('STERLING CATALOG - FZN &amp; CHILL'!F1776,"AAAAAHf/3BQ=")</f>
        <v>#VALUE!</v>
      </c>
      <c r="V321" t="e">
        <f>AND('STERLING CATALOG - FZN &amp; CHILL'!G1776,"AAAAAHf/3BU=")</f>
        <v>#VALUE!</v>
      </c>
      <c r="W321" t="e">
        <f>AND('STERLING CATALOG - FZN &amp; CHILL'!H1776,"AAAAAHf/3BY=")</f>
        <v>#VALUE!</v>
      </c>
      <c r="X321" t="e">
        <f>AND('STERLING CATALOG - FZN &amp; CHILL'!I1776,"AAAAAHf/3Bc=")</f>
        <v>#VALUE!</v>
      </c>
      <c r="Y321" t="e">
        <f>AND('STERLING CATALOG - FZN &amp; CHILL'!J1776,"AAAAAHf/3Bg=")</f>
        <v>#VALUE!</v>
      </c>
      <c r="Z321">
        <f>IF('STERLING CATALOG - FZN &amp; CHILL'!1777:1777,"AAAAAHf/3Bk=",0)</f>
        <v>0</v>
      </c>
      <c r="AA321" t="e">
        <f>AND('STERLING CATALOG - FZN &amp; CHILL'!A1777,"AAAAAHf/3Bo=")</f>
        <v>#VALUE!</v>
      </c>
      <c r="AB321" t="e">
        <f>AND('STERLING CATALOG - FZN &amp; CHILL'!B1777,"AAAAAHf/3Bs=")</f>
        <v>#VALUE!</v>
      </c>
      <c r="AC321" t="e">
        <f>AND('STERLING CATALOG - FZN &amp; CHILL'!C1777,"AAAAAHf/3Bw=")</f>
        <v>#VALUE!</v>
      </c>
      <c r="AD321" t="e">
        <f>AND('STERLING CATALOG - FZN &amp; CHILL'!D1777,"AAAAAHf/3B0=")</f>
        <v>#VALUE!</v>
      </c>
      <c r="AE321" t="e">
        <f>AND('STERLING CATALOG - FZN &amp; CHILL'!E1777,"AAAAAHf/3B4=")</f>
        <v>#VALUE!</v>
      </c>
      <c r="AF321" t="e">
        <f>AND('STERLING CATALOG - FZN &amp; CHILL'!F1777,"AAAAAHf/3B8=")</f>
        <v>#VALUE!</v>
      </c>
      <c r="AG321" t="e">
        <f>AND('STERLING CATALOG - FZN &amp; CHILL'!G1777,"AAAAAHf/3CA=")</f>
        <v>#VALUE!</v>
      </c>
      <c r="AH321" t="e">
        <f>AND('STERLING CATALOG - FZN &amp; CHILL'!H1777,"AAAAAHf/3CE=")</f>
        <v>#VALUE!</v>
      </c>
      <c r="AI321" t="e">
        <f>AND('STERLING CATALOG - FZN &amp; CHILL'!I1777,"AAAAAHf/3CI=")</f>
        <v>#VALUE!</v>
      </c>
      <c r="AJ321" t="e">
        <f>AND('STERLING CATALOG - FZN &amp; CHILL'!J1777,"AAAAAHf/3CM=")</f>
        <v>#VALUE!</v>
      </c>
      <c r="AK321">
        <f>IF('STERLING CATALOG - FZN &amp; CHILL'!1778:1778,"AAAAAHf/3CQ=",0)</f>
        <v>0</v>
      </c>
      <c r="AL321" t="e">
        <f>AND('STERLING CATALOG - FZN &amp; CHILL'!A1778,"AAAAAHf/3CU=")</f>
        <v>#VALUE!</v>
      </c>
      <c r="AM321" t="e">
        <f>AND('STERLING CATALOG - FZN &amp; CHILL'!B1778,"AAAAAHf/3CY=")</f>
        <v>#VALUE!</v>
      </c>
      <c r="AN321" t="e">
        <f>AND('STERLING CATALOG - FZN &amp; CHILL'!C1778,"AAAAAHf/3Cc=")</f>
        <v>#VALUE!</v>
      </c>
      <c r="AO321" t="e">
        <f>AND('STERLING CATALOG - FZN &amp; CHILL'!D1778,"AAAAAHf/3Cg=")</f>
        <v>#VALUE!</v>
      </c>
      <c r="AP321" t="e">
        <f>AND('STERLING CATALOG - FZN &amp; CHILL'!E1778,"AAAAAHf/3Ck=")</f>
        <v>#VALUE!</v>
      </c>
      <c r="AQ321" t="e">
        <f>AND('STERLING CATALOG - FZN &amp; CHILL'!F1778,"AAAAAHf/3Co=")</f>
        <v>#VALUE!</v>
      </c>
      <c r="AR321" t="e">
        <f>AND('STERLING CATALOG - FZN &amp; CHILL'!G1778,"AAAAAHf/3Cs=")</f>
        <v>#VALUE!</v>
      </c>
      <c r="AS321" t="e">
        <f>AND('STERLING CATALOG - FZN &amp; CHILL'!H1778,"AAAAAHf/3Cw=")</f>
        <v>#VALUE!</v>
      </c>
      <c r="AT321" t="e">
        <f>AND('STERLING CATALOG - FZN &amp; CHILL'!I1778,"AAAAAHf/3C0=")</f>
        <v>#VALUE!</v>
      </c>
      <c r="AU321" t="e">
        <f>AND('STERLING CATALOG - FZN &amp; CHILL'!J1778,"AAAAAHf/3C4=")</f>
        <v>#VALUE!</v>
      </c>
      <c r="AV321">
        <f>IF('STERLING CATALOG - FZN &amp; CHILL'!1779:1779,"AAAAAHf/3C8=",0)</f>
        <v>0</v>
      </c>
      <c r="AW321" t="e">
        <f>AND('STERLING CATALOG - FZN &amp; CHILL'!A1779,"AAAAAHf/3DA=")</f>
        <v>#VALUE!</v>
      </c>
      <c r="AX321" t="e">
        <f>AND('STERLING CATALOG - FZN &amp; CHILL'!B1779,"AAAAAHf/3DE=")</f>
        <v>#VALUE!</v>
      </c>
      <c r="AY321" t="e">
        <f>AND('STERLING CATALOG - FZN &amp; CHILL'!C1779,"AAAAAHf/3DI=")</f>
        <v>#VALUE!</v>
      </c>
      <c r="AZ321" t="e">
        <f>AND('STERLING CATALOG - FZN &amp; CHILL'!D1779,"AAAAAHf/3DM=")</f>
        <v>#VALUE!</v>
      </c>
      <c r="BA321" t="e">
        <f>AND('STERLING CATALOG - FZN &amp; CHILL'!E1779,"AAAAAHf/3DQ=")</f>
        <v>#VALUE!</v>
      </c>
      <c r="BB321" t="e">
        <f>AND('STERLING CATALOG - FZN &amp; CHILL'!F1779,"AAAAAHf/3DU=")</f>
        <v>#VALUE!</v>
      </c>
      <c r="BC321" t="e">
        <f>AND('STERLING CATALOG - FZN &amp; CHILL'!G1779,"AAAAAHf/3DY=")</f>
        <v>#VALUE!</v>
      </c>
      <c r="BD321" t="e">
        <f>AND('STERLING CATALOG - FZN &amp; CHILL'!H1779,"AAAAAHf/3Dc=")</f>
        <v>#VALUE!</v>
      </c>
      <c r="BE321" t="e">
        <f>AND('STERLING CATALOG - FZN &amp; CHILL'!I1779,"AAAAAHf/3Dg=")</f>
        <v>#VALUE!</v>
      </c>
      <c r="BF321" t="e">
        <f>AND('STERLING CATALOG - FZN &amp; CHILL'!J1779,"AAAAAHf/3Dk=")</f>
        <v>#VALUE!</v>
      </c>
      <c r="BG321">
        <f>IF('STERLING CATALOG - FZN &amp; CHILL'!1780:1780,"AAAAAHf/3Do=",0)</f>
        <v>0</v>
      </c>
      <c r="BH321" t="e">
        <f>AND('STERLING CATALOG - FZN &amp; CHILL'!A1780,"AAAAAHf/3Ds=")</f>
        <v>#VALUE!</v>
      </c>
      <c r="BI321" t="e">
        <f>AND('STERLING CATALOG - FZN &amp; CHILL'!B1780,"AAAAAHf/3Dw=")</f>
        <v>#VALUE!</v>
      </c>
      <c r="BJ321" t="e">
        <f>AND('STERLING CATALOG - FZN &amp; CHILL'!C1780,"AAAAAHf/3D0=")</f>
        <v>#VALUE!</v>
      </c>
      <c r="BK321" t="e">
        <f>AND('STERLING CATALOG - FZN &amp; CHILL'!D1780,"AAAAAHf/3D4=")</f>
        <v>#VALUE!</v>
      </c>
      <c r="BL321" t="e">
        <f>AND('STERLING CATALOG - FZN &amp; CHILL'!E1780,"AAAAAHf/3D8=")</f>
        <v>#VALUE!</v>
      </c>
      <c r="BM321" t="e">
        <f>AND('STERLING CATALOG - FZN &amp; CHILL'!F1780,"AAAAAHf/3EA=")</f>
        <v>#VALUE!</v>
      </c>
      <c r="BN321" t="e">
        <f>AND('STERLING CATALOG - FZN &amp; CHILL'!G1780,"AAAAAHf/3EE=")</f>
        <v>#VALUE!</v>
      </c>
      <c r="BO321" t="e">
        <f>AND('STERLING CATALOG - FZN &amp; CHILL'!H1780,"AAAAAHf/3EI=")</f>
        <v>#VALUE!</v>
      </c>
      <c r="BP321" t="e">
        <f>AND('STERLING CATALOG - FZN &amp; CHILL'!I1780,"AAAAAHf/3EM=")</f>
        <v>#VALUE!</v>
      </c>
      <c r="BQ321" t="e">
        <f>AND('STERLING CATALOG - FZN &amp; CHILL'!J1780,"AAAAAHf/3EQ=")</f>
        <v>#VALUE!</v>
      </c>
      <c r="BR321">
        <f>IF('STERLING CATALOG - FZN &amp; CHILL'!1781:1781,"AAAAAHf/3EU=",0)</f>
        <v>0</v>
      </c>
      <c r="BS321" t="e">
        <f>AND('STERLING CATALOG - FZN &amp; CHILL'!A1781,"AAAAAHf/3EY=")</f>
        <v>#VALUE!</v>
      </c>
      <c r="BT321" t="e">
        <f>AND('STERLING CATALOG - FZN &amp; CHILL'!B1781,"AAAAAHf/3Ec=")</f>
        <v>#VALUE!</v>
      </c>
      <c r="BU321" t="e">
        <f>AND('STERLING CATALOG - FZN &amp; CHILL'!C1781,"AAAAAHf/3Eg=")</f>
        <v>#VALUE!</v>
      </c>
      <c r="BV321" t="e">
        <f>AND('STERLING CATALOG - FZN &amp; CHILL'!D1781,"AAAAAHf/3Ek=")</f>
        <v>#VALUE!</v>
      </c>
      <c r="BW321" t="e">
        <f>AND('STERLING CATALOG - FZN &amp; CHILL'!E1781,"AAAAAHf/3Eo=")</f>
        <v>#VALUE!</v>
      </c>
      <c r="BX321" t="e">
        <f>AND('STERLING CATALOG - FZN &amp; CHILL'!F1781,"AAAAAHf/3Es=")</f>
        <v>#VALUE!</v>
      </c>
      <c r="BY321" t="e">
        <f>AND('STERLING CATALOG - FZN &amp; CHILL'!G1781,"AAAAAHf/3Ew=")</f>
        <v>#VALUE!</v>
      </c>
      <c r="BZ321" t="e">
        <f>AND('STERLING CATALOG - FZN &amp; CHILL'!H1781,"AAAAAHf/3E0=")</f>
        <v>#VALUE!</v>
      </c>
      <c r="CA321" t="e">
        <f>AND('STERLING CATALOG - FZN &amp; CHILL'!I1781,"AAAAAHf/3E4=")</f>
        <v>#VALUE!</v>
      </c>
      <c r="CB321" t="e">
        <f>AND('STERLING CATALOG - FZN &amp; CHILL'!J1781,"AAAAAHf/3E8=")</f>
        <v>#VALUE!</v>
      </c>
      <c r="CC321">
        <f>IF('STERLING CATALOG - FZN &amp; CHILL'!1782:1782,"AAAAAHf/3FA=",0)</f>
        <v>0</v>
      </c>
      <c r="CD321" t="e">
        <f>AND('STERLING CATALOG - FZN &amp; CHILL'!A1782,"AAAAAHf/3FE=")</f>
        <v>#VALUE!</v>
      </c>
      <c r="CE321" t="e">
        <f>AND('STERLING CATALOG - FZN &amp; CHILL'!B1782,"AAAAAHf/3FI=")</f>
        <v>#VALUE!</v>
      </c>
      <c r="CF321" t="e">
        <f>AND('STERLING CATALOG - FZN &amp; CHILL'!C1782,"AAAAAHf/3FM=")</f>
        <v>#VALUE!</v>
      </c>
      <c r="CG321" t="e">
        <f>AND('STERLING CATALOG - FZN &amp; CHILL'!D1782,"AAAAAHf/3FQ=")</f>
        <v>#VALUE!</v>
      </c>
      <c r="CH321" t="e">
        <f>AND('STERLING CATALOG - FZN &amp; CHILL'!E1782,"AAAAAHf/3FU=")</f>
        <v>#VALUE!</v>
      </c>
      <c r="CI321" t="e">
        <f>AND('STERLING CATALOG - FZN &amp; CHILL'!F1782,"AAAAAHf/3FY=")</f>
        <v>#VALUE!</v>
      </c>
      <c r="CJ321" t="e">
        <f>AND('STERLING CATALOG - FZN &amp; CHILL'!G1782,"AAAAAHf/3Fc=")</f>
        <v>#VALUE!</v>
      </c>
      <c r="CK321" t="e">
        <f>AND('STERLING CATALOG - FZN &amp; CHILL'!H1782,"AAAAAHf/3Fg=")</f>
        <v>#VALUE!</v>
      </c>
      <c r="CL321" t="e">
        <f>AND('STERLING CATALOG - FZN &amp; CHILL'!I1782,"AAAAAHf/3Fk=")</f>
        <v>#VALUE!</v>
      </c>
      <c r="CM321" t="e">
        <f>AND('STERLING CATALOG - FZN &amp; CHILL'!J1782,"AAAAAHf/3Fo=")</f>
        <v>#VALUE!</v>
      </c>
      <c r="CN321">
        <f>IF('STERLING CATALOG - FZN &amp; CHILL'!1783:1783,"AAAAAHf/3Fs=",0)</f>
        <v>0</v>
      </c>
      <c r="CO321" t="e">
        <f>AND('STERLING CATALOG - FZN &amp; CHILL'!A1783,"AAAAAHf/3Fw=")</f>
        <v>#VALUE!</v>
      </c>
      <c r="CP321" t="e">
        <f>AND('STERLING CATALOG - FZN &amp; CHILL'!B1783,"AAAAAHf/3F0=")</f>
        <v>#VALUE!</v>
      </c>
      <c r="CQ321" t="e">
        <f>AND('STERLING CATALOG - FZN &amp; CHILL'!C1783,"AAAAAHf/3F4=")</f>
        <v>#VALUE!</v>
      </c>
      <c r="CR321" t="e">
        <f>AND('STERLING CATALOG - FZN &amp; CHILL'!D1783,"AAAAAHf/3F8=")</f>
        <v>#VALUE!</v>
      </c>
      <c r="CS321" t="e">
        <f>AND('STERLING CATALOG - FZN &amp; CHILL'!E1783,"AAAAAHf/3GA=")</f>
        <v>#VALUE!</v>
      </c>
      <c r="CT321" t="e">
        <f>AND('STERLING CATALOG - FZN &amp; CHILL'!F1783,"AAAAAHf/3GE=")</f>
        <v>#VALUE!</v>
      </c>
      <c r="CU321" t="e">
        <f>AND('STERLING CATALOG - FZN &amp; CHILL'!G1783,"AAAAAHf/3GI=")</f>
        <v>#VALUE!</v>
      </c>
      <c r="CV321" t="e">
        <f>AND('STERLING CATALOG - FZN &amp; CHILL'!H1783,"AAAAAHf/3GM=")</f>
        <v>#VALUE!</v>
      </c>
      <c r="CW321" t="e">
        <f>AND('STERLING CATALOG - FZN &amp; CHILL'!I1783,"AAAAAHf/3GQ=")</f>
        <v>#VALUE!</v>
      </c>
      <c r="CX321" t="e">
        <f>AND('STERLING CATALOG - FZN &amp; CHILL'!J1783,"AAAAAHf/3GU=")</f>
        <v>#VALUE!</v>
      </c>
      <c r="CY321">
        <f>IF('STERLING CATALOG - FZN &amp; CHILL'!1784:1784,"AAAAAHf/3GY=",0)</f>
        <v>0</v>
      </c>
      <c r="CZ321" t="e">
        <f>AND('STERLING CATALOG - FZN &amp; CHILL'!A1784,"AAAAAHf/3Gc=")</f>
        <v>#VALUE!</v>
      </c>
      <c r="DA321" t="e">
        <f>AND('STERLING CATALOG - FZN &amp; CHILL'!B1784,"AAAAAHf/3Gg=")</f>
        <v>#VALUE!</v>
      </c>
      <c r="DB321" t="e">
        <f>AND('STERLING CATALOG - FZN &amp; CHILL'!C1784,"AAAAAHf/3Gk=")</f>
        <v>#VALUE!</v>
      </c>
      <c r="DC321" t="e">
        <f>AND('STERLING CATALOG - FZN &amp; CHILL'!D1784,"AAAAAHf/3Go=")</f>
        <v>#VALUE!</v>
      </c>
      <c r="DD321" t="e">
        <f>AND('STERLING CATALOG - FZN &amp; CHILL'!E1784,"AAAAAHf/3Gs=")</f>
        <v>#VALUE!</v>
      </c>
      <c r="DE321" t="e">
        <f>AND('STERLING CATALOG - FZN &amp; CHILL'!F1784,"AAAAAHf/3Gw=")</f>
        <v>#VALUE!</v>
      </c>
      <c r="DF321" t="e">
        <f>AND('STERLING CATALOG - FZN &amp; CHILL'!G1784,"AAAAAHf/3G0=")</f>
        <v>#VALUE!</v>
      </c>
      <c r="DG321" t="e">
        <f>AND('STERLING CATALOG - FZN &amp; CHILL'!H1784,"AAAAAHf/3G4=")</f>
        <v>#VALUE!</v>
      </c>
      <c r="DH321" t="e">
        <f>AND('STERLING CATALOG - FZN &amp; CHILL'!I1784,"AAAAAHf/3G8=")</f>
        <v>#VALUE!</v>
      </c>
      <c r="DI321" t="e">
        <f>AND('STERLING CATALOG - FZN &amp; CHILL'!J1784,"AAAAAHf/3HA=")</f>
        <v>#VALUE!</v>
      </c>
      <c r="DJ321">
        <f>IF('STERLING CATALOG - FZN &amp; CHILL'!1785:1785,"AAAAAHf/3HE=",0)</f>
        <v>0</v>
      </c>
      <c r="DK321" t="e">
        <f>AND('STERLING CATALOG - FZN &amp; CHILL'!A1785,"AAAAAHf/3HI=")</f>
        <v>#VALUE!</v>
      </c>
      <c r="DL321" t="e">
        <f>AND('STERLING CATALOG - FZN &amp; CHILL'!B1785,"AAAAAHf/3HM=")</f>
        <v>#VALUE!</v>
      </c>
      <c r="DM321" t="e">
        <f>AND('STERLING CATALOG - FZN &amp; CHILL'!C1785,"AAAAAHf/3HQ=")</f>
        <v>#VALUE!</v>
      </c>
      <c r="DN321" t="e">
        <f>AND('STERLING CATALOG - FZN &amp; CHILL'!D1785,"AAAAAHf/3HU=")</f>
        <v>#VALUE!</v>
      </c>
      <c r="DO321" t="e">
        <f>AND('STERLING CATALOG - FZN &amp; CHILL'!E1785,"AAAAAHf/3HY=")</f>
        <v>#VALUE!</v>
      </c>
      <c r="DP321" t="e">
        <f>AND('STERLING CATALOG - FZN &amp; CHILL'!F1785,"AAAAAHf/3Hc=")</f>
        <v>#VALUE!</v>
      </c>
      <c r="DQ321" t="e">
        <f>AND('STERLING CATALOG - FZN &amp; CHILL'!G1785,"AAAAAHf/3Hg=")</f>
        <v>#VALUE!</v>
      </c>
      <c r="DR321" t="e">
        <f>AND('STERLING CATALOG - FZN &amp; CHILL'!H1785,"AAAAAHf/3Hk=")</f>
        <v>#VALUE!</v>
      </c>
      <c r="DS321" t="e">
        <f>AND('STERLING CATALOG - FZN &amp; CHILL'!I1785,"AAAAAHf/3Ho=")</f>
        <v>#VALUE!</v>
      </c>
      <c r="DT321" t="e">
        <f>AND('STERLING CATALOG - FZN &amp; CHILL'!J1785,"AAAAAHf/3Hs=")</f>
        <v>#VALUE!</v>
      </c>
      <c r="DU321">
        <f>IF('STERLING CATALOG - FZN &amp; CHILL'!1786:1786,"AAAAAHf/3Hw=",0)</f>
        <v>0</v>
      </c>
      <c r="DV321" t="e">
        <f>AND('STERLING CATALOG - FZN &amp; CHILL'!A1786,"AAAAAHf/3H0=")</f>
        <v>#VALUE!</v>
      </c>
      <c r="DW321" t="e">
        <f>AND('STERLING CATALOG - FZN &amp; CHILL'!B1786,"AAAAAHf/3H4=")</f>
        <v>#VALUE!</v>
      </c>
      <c r="DX321" t="e">
        <f>AND('STERLING CATALOG - FZN &amp; CHILL'!C1786,"AAAAAHf/3H8=")</f>
        <v>#VALUE!</v>
      </c>
      <c r="DY321" t="e">
        <f>AND('STERLING CATALOG - FZN &amp; CHILL'!D1786,"AAAAAHf/3IA=")</f>
        <v>#VALUE!</v>
      </c>
      <c r="DZ321" t="e">
        <f>AND('STERLING CATALOG - FZN &amp; CHILL'!E1786,"AAAAAHf/3IE=")</f>
        <v>#VALUE!</v>
      </c>
      <c r="EA321" t="e">
        <f>AND('STERLING CATALOG - FZN &amp; CHILL'!F1786,"AAAAAHf/3II=")</f>
        <v>#VALUE!</v>
      </c>
      <c r="EB321" t="e">
        <f>AND('STERLING CATALOG - FZN &amp; CHILL'!G1786,"AAAAAHf/3IM=")</f>
        <v>#VALUE!</v>
      </c>
      <c r="EC321" t="e">
        <f>AND('STERLING CATALOG - FZN &amp; CHILL'!H1786,"AAAAAHf/3IQ=")</f>
        <v>#VALUE!</v>
      </c>
      <c r="ED321" t="e">
        <f>AND('STERLING CATALOG - FZN &amp; CHILL'!I1786,"AAAAAHf/3IU=")</f>
        <v>#VALUE!</v>
      </c>
      <c r="EE321" t="e">
        <f>AND('STERLING CATALOG - FZN &amp; CHILL'!J1786,"AAAAAHf/3IY=")</f>
        <v>#VALUE!</v>
      </c>
      <c r="EF321">
        <f>IF('STERLING CATALOG - FZN &amp; CHILL'!1787:1787,"AAAAAHf/3Ic=",0)</f>
        <v>0</v>
      </c>
      <c r="EG321" t="e">
        <f>AND('STERLING CATALOG - FZN &amp; CHILL'!A1787,"AAAAAHf/3Ig=")</f>
        <v>#VALUE!</v>
      </c>
      <c r="EH321" t="e">
        <f>AND('STERLING CATALOG - FZN &amp; CHILL'!B1787,"AAAAAHf/3Ik=")</f>
        <v>#VALUE!</v>
      </c>
      <c r="EI321" t="e">
        <f>AND('STERLING CATALOG - FZN &amp; CHILL'!C1787,"AAAAAHf/3Io=")</f>
        <v>#VALUE!</v>
      </c>
      <c r="EJ321" t="e">
        <f>AND('STERLING CATALOG - FZN &amp; CHILL'!D1787,"AAAAAHf/3Is=")</f>
        <v>#VALUE!</v>
      </c>
      <c r="EK321" t="e">
        <f>AND('STERLING CATALOG - FZN &amp; CHILL'!E1787,"AAAAAHf/3Iw=")</f>
        <v>#VALUE!</v>
      </c>
      <c r="EL321" t="e">
        <f>AND('STERLING CATALOG - FZN &amp; CHILL'!F1787,"AAAAAHf/3I0=")</f>
        <v>#VALUE!</v>
      </c>
      <c r="EM321" t="e">
        <f>AND('STERLING CATALOG - FZN &amp; CHILL'!G1787,"AAAAAHf/3I4=")</f>
        <v>#VALUE!</v>
      </c>
      <c r="EN321" t="e">
        <f>AND('STERLING CATALOG - FZN &amp; CHILL'!H1787,"AAAAAHf/3I8=")</f>
        <v>#VALUE!</v>
      </c>
      <c r="EO321" t="e">
        <f>AND('STERLING CATALOG - FZN &amp; CHILL'!I1787,"AAAAAHf/3JA=")</f>
        <v>#VALUE!</v>
      </c>
      <c r="EP321" t="e">
        <f>AND('STERLING CATALOG - FZN &amp; CHILL'!J1787,"AAAAAHf/3JE=")</f>
        <v>#VALUE!</v>
      </c>
      <c r="EQ321">
        <f>IF('STERLING CATALOG - FZN &amp; CHILL'!1788:1788,"AAAAAHf/3JI=",0)</f>
        <v>0</v>
      </c>
      <c r="ER321" t="e">
        <f>AND('STERLING CATALOG - FZN &amp; CHILL'!A1788,"AAAAAHf/3JM=")</f>
        <v>#VALUE!</v>
      </c>
      <c r="ES321" t="e">
        <f>AND('STERLING CATALOG - FZN &amp; CHILL'!B1788,"AAAAAHf/3JQ=")</f>
        <v>#VALUE!</v>
      </c>
      <c r="ET321" t="e">
        <f>AND('STERLING CATALOG - FZN &amp; CHILL'!C1788,"AAAAAHf/3JU=")</f>
        <v>#VALUE!</v>
      </c>
      <c r="EU321" t="e">
        <f>AND('STERLING CATALOG - FZN &amp; CHILL'!D1788,"AAAAAHf/3JY=")</f>
        <v>#VALUE!</v>
      </c>
      <c r="EV321" t="e">
        <f>AND('STERLING CATALOG - FZN &amp; CHILL'!E1788,"AAAAAHf/3Jc=")</f>
        <v>#VALUE!</v>
      </c>
      <c r="EW321" t="e">
        <f>AND('STERLING CATALOG - FZN &amp; CHILL'!F1788,"AAAAAHf/3Jg=")</f>
        <v>#VALUE!</v>
      </c>
      <c r="EX321" t="e">
        <f>AND('STERLING CATALOG - FZN &amp; CHILL'!G1788,"AAAAAHf/3Jk=")</f>
        <v>#VALUE!</v>
      </c>
      <c r="EY321" t="e">
        <f>AND('STERLING CATALOG - FZN &amp; CHILL'!H1788,"AAAAAHf/3Jo=")</f>
        <v>#VALUE!</v>
      </c>
      <c r="EZ321" t="e">
        <f>AND('STERLING CATALOG - FZN &amp; CHILL'!I1788,"AAAAAHf/3Js=")</f>
        <v>#VALUE!</v>
      </c>
      <c r="FA321" t="e">
        <f>AND('STERLING CATALOG - FZN &amp; CHILL'!J1788,"AAAAAHf/3Jw=")</f>
        <v>#VALUE!</v>
      </c>
      <c r="FB321">
        <f>IF('STERLING CATALOG - FZN &amp; CHILL'!1789:1789,"AAAAAHf/3J0=",0)</f>
        <v>0</v>
      </c>
      <c r="FC321" t="e">
        <f>AND('STERLING CATALOG - FZN &amp; CHILL'!A1789,"AAAAAHf/3J4=")</f>
        <v>#VALUE!</v>
      </c>
      <c r="FD321" t="e">
        <f>AND('STERLING CATALOG - FZN &amp; CHILL'!B1789,"AAAAAHf/3J8=")</f>
        <v>#VALUE!</v>
      </c>
      <c r="FE321" t="e">
        <f>AND('STERLING CATALOG - FZN &amp; CHILL'!C1789,"AAAAAHf/3KA=")</f>
        <v>#VALUE!</v>
      </c>
      <c r="FF321" t="e">
        <f>AND('STERLING CATALOG - FZN &amp; CHILL'!D1789,"AAAAAHf/3KE=")</f>
        <v>#VALUE!</v>
      </c>
      <c r="FG321" t="e">
        <f>AND('STERLING CATALOG - FZN &amp; CHILL'!E1789,"AAAAAHf/3KI=")</f>
        <v>#VALUE!</v>
      </c>
      <c r="FH321" t="e">
        <f>AND('STERLING CATALOG - FZN &amp; CHILL'!F1789,"AAAAAHf/3KM=")</f>
        <v>#VALUE!</v>
      </c>
      <c r="FI321" t="e">
        <f>AND('STERLING CATALOG - FZN &amp; CHILL'!G1789,"AAAAAHf/3KQ=")</f>
        <v>#VALUE!</v>
      </c>
      <c r="FJ321" t="e">
        <f>AND('STERLING CATALOG - FZN &amp; CHILL'!H1789,"AAAAAHf/3KU=")</f>
        <v>#VALUE!</v>
      </c>
      <c r="FK321" t="e">
        <f>AND('STERLING CATALOG - FZN &amp; CHILL'!I1789,"AAAAAHf/3KY=")</f>
        <v>#VALUE!</v>
      </c>
      <c r="FL321" t="e">
        <f>AND('STERLING CATALOG - FZN &amp; CHILL'!J1789,"AAAAAHf/3Kc=")</f>
        <v>#VALUE!</v>
      </c>
      <c r="FM321">
        <f>IF('STERLING CATALOG - FZN &amp; CHILL'!1790:1790,"AAAAAHf/3Kg=",0)</f>
        <v>0</v>
      </c>
      <c r="FN321" t="e">
        <f>AND('STERLING CATALOG - FZN &amp; CHILL'!A1790,"AAAAAHf/3Kk=")</f>
        <v>#VALUE!</v>
      </c>
      <c r="FO321" t="e">
        <f>AND('STERLING CATALOG - FZN &amp; CHILL'!B1790,"AAAAAHf/3Ko=")</f>
        <v>#VALUE!</v>
      </c>
      <c r="FP321" t="e">
        <f>AND('STERLING CATALOG - FZN &amp; CHILL'!C1790,"AAAAAHf/3Ks=")</f>
        <v>#VALUE!</v>
      </c>
      <c r="FQ321" t="e">
        <f>AND('STERLING CATALOG - FZN &amp; CHILL'!D1790,"AAAAAHf/3Kw=")</f>
        <v>#VALUE!</v>
      </c>
      <c r="FR321" t="e">
        <f>AND('STERLING CATALOG - FZN &amp; CHILL'!E1790,"AAAAAHf/3K0=")</f>
        <v>#VALUE!</v>
      </c>
      <c r="FS321" t="e">
        <f>AND('STERLING CATALOG - FZN &amp; CHILL'!F1790,"AAAAAHf/3K4=")</f>
        <v>#VALUE!</v>
      </c>
      <c r="FT321" t="e">
        <f>AND('STERLING CATALOG - FZN &amp; CHILL'!G1790,"AAAAAHf/3K8=")</f>
        <v>#VALUE!</v>
      </c>
      <c r="FU321" t="e">
        <f>AND('STERLING CATALOG - FZN &amp; CHILL'!H1790,"AAAAAHf/3LA=")</f>
        <v>#VALUE!</v>
      </c>
      <c r="FV321" t="e">
        <f>AND('STERLING CATALOG - FZN &amp; CHILL'!I1790,"AAAAAHf/3LE=")</f>
        <v>#VALUE!</v>
      </c>
      <c r="FW321" t="e">
        <f>AND('STERLING CATALOG - FZN &amp; CHILL'!J1790,"AAAAAHf/3LI=")</f>
        <v>#VALUE!</v>
      </c>
      <c r="FX321">
        <f>IF('STERLING CATALOG - FZN &amp; CHILL'!1791:1791,"AAAAAHf/3LM=",0)</f>
        <v>0</v>
      </c>
      <c r="FY321" t="e">
        <f>AND('STERLING CATALOG - FZN &amp; CHILL'!A1791,"AAAAAHf/3LQ=")</f>
        <v>#VALUE!</v>
      </c>
      <c r="FZ321" t="e">
        <f>AND('STERLING CATALOG - FZN &amp; CHILL'!B1791,"AAAAAHf/3LU=")</f>
        <v>#VALUE!</v>
      </c>
      <c r="GA321" t="e">
        <f>AND('STERLING CATALOG - FZN &amp; CHILL'!C1791,"AAAAAHf/3LY=")</f>
        <v>#VALUE!</v>
      </c>
      <c r="GB321" t="e">
        <f>AND('STERLING CATALOG - FZN &amp; CHILL'!D1791,"AAAAAHf/3Lc=")</f>
        <v>#VALUE!</v>
      </c>
      <c r="GC321" t="e">
        <f>AND('STERLING CATALOG - FZN &amp; CHILL'!E1791,"AAAAAHf/3Lg=")</f>
        <v>#VALUE!</v>
      </c>
      <c r="GD321" t="e">
        <f>AND('STERLING CATALOG - FZN &amp; CHILL'!F1791,"AAAAAHf/3Lk=")</f>
        <v>#VALUE!</v>
      </c>
      <c r="GE321" t="e">
        <f>AND('STERLING CATALOG - FZN &amp; CHILL'!G1791,"AAAAAHf/3Lo=")</f>
        <v>#VALUE!</v>
      </c>
      <c r="GF321" t="e">
        <f>AND('STERLING CATALOG - FZN &amp; CHILL'!H1791,"AAAAAHf/3Ls=")</f>
        <v>#VALUE!</v>
      </c>
      <c r="GG321" t="e">
        <f>AND('STERLING CATALOG - FZN &amp; CHILL'!I1791,"AAAAAHf/3Lw=")</f>
        <v>#VALUE!</v>
      </c>
      <c r="GH321" t="e">
        <f>AND('STERLING CATALOG - FZN &amp; CHILL'!J1791,"AAAAAHf/3L0=")</f>
        <v>#VALUE!</v>
      </c>
      <c r="GI321">
        <f>IF('STERLING CATALOG - FZN &amp; CHILL'!1792:1792,"AAAAAHf/3L4=",0)</f>
        <v>0</v>
      </c>
      <c r="GJ321" t="e">
        <f>AND('STERLING CATALOG - FZN &amp; CHILL'!A1792,"AAAAAHf/3L8=")</f>
        <v>#VALUE!</v>
      </c>
      <c r="GK321" t="e">
        <f>AND('STERLING CATALOG - FZN &amp; CHILL'!B1792,"AAAAAHf/3MA=")</f>
        <v>#VALUE!</v>
      </c>
      <c r="GL321" t="e">
        <f>AND('STERLING CATALOG - FZN &amp; CHILL'!C1792,"AAAAAHf/3ME=")</f>
        <v>#VALUE!</v>
      </c>
      <c r="GM321" t="e">
        <f>AND('STERLING CATALOG - FZN &amp; CHILL'!D1792,"AAAAAHf/3MI=")</f>
        <v>#VALUE!</v>
      </c>
      <c r="GN321" t="e">
        <f>AND('STERLING CATALOG - FZN &amp; CHILL'!E1792,"AAAAAHf/3MM=")</f>
        <v>#VALUE!</v>
      </c>
      <c r="GO321" t="e">
        <f>AND('STERLING CATALOG - FZN &amp; CHILL'!F1792,"AAAAAHf/3MQ=")</f>
        <v>#VALUE!</v>
      </c>
      <c r="GP321" t="e">
        <f>AND('STERLING CATALOG - FZN &amp; CHILL'!G1792,"AAAAAHf/3MU=")</f>
        <v>#VALUE!</v>
      </c>
      <c r="GQ321" t="e">
        <f>AND('STERLING CATALOG - FZN &amp; CHILL'!H1792,"AAAAAHf/3MY=")</f>
        <v>#VALUE!</v>
      </c>
      <c r="GR321" t="e">
        <f>AND('STERLING CATALOG - FZN &amp; CHILL'!I1792,"AAAAAHf/3Mc=")</f>
        <v>#VALUE!</v>
      </c>
      <c r="GS321" t="e">
        <f>AND('STERLING CATALOG - FZN &amp; CHILL'!J1792,"AAAAAHf/3Mg=")</f>
        <v>#VALUE!</v>
      </c>
      <c r="GT321">
        <f>IF('STERLING CATALOG - FZN &amp; CHILL'!1793:1793,"AAAAAHf/3Mk=",0)</f>
        <v>0</v>
      </c>
      <c r="GU321" t="e">
        <f>AND('STERLING CATALOG - FZN &amp; CHILL'!A1793,"AAAAAHf/3Mo=")</f>
        <v>#VALUE!</v>
      </c>
      <c r="GV321" t="e">
        <f>AND('STERLING CATALOG - FZN &amp; CHILL'!B1793,"AAAAAHf/3Ms=")</f>
        <v>#VALUE!</v>
      </c>
      <c r="GW321" t="e">
        <f>AND('STERLING CATALOG - FZN &amp; CHILL'!C1793,"AAAAAHf/3Mw=")</f>
        <v>#VALUE!</v>
      </c>
      <c r="GX321" t="e">
        <f>AND('STERLING CATALOG - FZN &amp; CHILL'!D1793,"AAAAAHf/3M0=")</f>
        <v>#VALUE!</v>
      </c>
      <c r="GY321" t="e">
        <f>AND('STERLING CATALOG - FZN &amp; CHILL'!E1793,"AAAAAHf/3M4=")</f>
        <v>#VALUE!</v>
      </c>
      <c r="GZ321" t="e">
        <f>AND('STERLING CATALOG - FZN &amp; CHILL'!F1793,"AAAAAHf/3M8=")</f>
        <v>#VALUE!</v>
      </c>
      <c r="HA321" t="e">
        <f>AND('STERLING CATALOG - FZN &amp; CHILL'!G1793,"AAAAAHf/3NA=")</f>
        <v>#VALUE!</v>
      </c>
      <c r="HB321" t="e">
        <f>AND('STERLING CATALOG - FZN &amp; CHILL'!H1793,"AAAAAHf/3NE=")</f>
        <v>#VALUE!</v>
      </c>
      <c r="HC321" t="e">
        <f>AND('STERLING CATALOG - FZN &amp; CHILL'!I1793,"AAAAAHf/3NI=")</f>
        <v>#VALUE!</v>
      </c>
      <c r="HD321" t="e">
        <f>AND('STERLING CATALOG - FZN &amp; CHILL'!J1793,"AAAAAHf/3NM=")</f>
        <v>#VALUE!</v>
      </c>
      <c r="HE321">
        <f>IF('STERLING CATALOG - FZN &amp; CHILL'!1794:1794,"AAAAAHf/3NQ=",0)</f>
        <v>0</v>
      </c>
      <c r="HF321" t="e">
        <f>AND('STERLING CATALOG - FZN &amp; CHILL'!A1794,"AAAAAHf/3NU=")</f>
        <v>#VALUE!</v>
      </c>
      <c r="HG321" t="e">
        <f>AND('STERLING CATALOG - FZN &amp; CHILL'!B1794,"AAAAAHf/3NY=")</f>
        <v>#VALUE!</v>
      </c>
      <c r="HH321" t="e">
        <f>AND('STERLING CATALOG - FZN &amp; CHILL'!C1794,"AAAAAHf/3Nc=")</f>
        <v>#VALUE!</v>
      </c>
      <c r="HI321" t="e">
        <f>AND('STERLING CATALOG - FZN &amp; CHILL'!D1794,"AAAAAHf/3Ng=")</f>
        <v>#VALUE!</v>
      </c>
      <c r="HJ321" t="e">
        <f>AND('STERLING CATALOG - FZN &amp; CHILL'!E1794,"AAAAAHf/3Nk=")</f>
        <v>#VALUE!</v>
      </c>
      <c r="HK321" t="e">
        <f>AND('STERLING CATALOG - FZN &amp; CHILL'!F1794,"AAAAAHf/3No=")</f>
        <v>#VALUE!</v>
      </c>
      <c r="HL321" t="e">
        <f>AND('STERLING CATALOG - FZN &amp; CHILL'!G1794,"AAAAAHf/3Ns=")</f>
        <v>#VALUE!</v>
      </c>
      <c r="HM321" t="e">
        <f>AND('STERLING CATALOG - FZN &amp; CHILL'!H1794,"AAAAAHf/3Nw=")</f>
        <v>#VALUE!</v>
      </c>
      <c r="HN321" t="e">
        <f>AND('STERLING CATALOG - FZN &amp; CHILL'!I1794,"AAAAAHf/3N0=")</f>
        <v>#VALUE!</v>
      </c>
      <c r="HO321" t="e">
        <f>AND('STERLING CATALOG - FZN &amp; CHILL'!J1794,"AAAAAHf/3N4=")</f>
        <v>#VALUE!</v>
      </c>
      <c r="HP321">
        <f>IF('STERLING CATALOG - FZN &amp; CHILL'!1795:1795,"AAAAAHf/3N8=",0)</f>
        <v>0</v>
      </c>
      <c r="HQ321" t="e">
        <f>AND('STERLING CATALOG - FZN &amp; CHILL'!A1795,"AAAAAHf/3OA=")</f>
        <v>#VALUE!</v>
      </c>
      <c r="HR321" t="e">
        <f>AND('STERLING CATALOG - FZN &amp; CHILL'!B1795,"AAAAAHf/3OE=")</f>
        <v>#VALUE!</v>
      </c>
      <c r="HS321" t="e">
        <f>AND('STERLING CATALOG - FZN &amp; CHILL'!C1795,"AAAAAHf/3OI=")</f>
        <v>#VALUE!</v>
      </c>
      <c r="HT321" t="e">
        <f>AND('STERLING CATALOG - FZN &amp; CHILL'!D1795,"AAAAAHf/3OM=")</f>
        <v>#VALUE!</v>
      </c>
      <c r="HU321" t="e">
        <f>AND('STERLING CATALOG - FZN &amp; CHILL'!E1795,"AAAAAHf/3OQ=")</f>
        <v>#VALUE!</v>
      </c>
      <c r="HV321" t="e">
        <f>AND('STERLING CATALOG - FZN &amp; CHILL'!F1795,"AAAAAHf/3OU=")</f>
        <v>#VALUE!</v>
      </c>
      <c r="HW321" t="e">
        <f>AND('STERLING CATALOG - FZN &amp; CHILL'!G1795,"AAAAAHf/3OY=")</f>
        <v>#VALUE!</v>
      </c>
      <c r="HX321" t="e">
        <f>AND('STERLING CATALOG - FZN &amp; CHILL'!H1795,"AAAAAHf/3Oc=")</f>
        <v>#VALUE!</v>
      </c>
      <c r="HY321" t="e">
        <f>AND('STERLING CATALOG - FZN &amp; CHILL'!I1795,"AAAAAHf/3Og=")</f>
        <v>#VALUE!</v>
      </c>
      <c r="HZ321" t="e">
        <f>AND('STERLING CATALOG - FZN &amp; CHILL'!J1795,"AAAAAHf/3Ok=")</f>
        <v>#VALUE!</v>
      </c>
      <c r="IA321">
        <f>IF('STERLING CATALOG - FZN &amp; CHILL'!1796:1796,"AAAAAHf/3Oo=",0)</f>
        <v>0</v>
      </c>
      <c r="IB321" t="e">
        <f>AND('STERLING CATALOG - FZN &amp; CHILL'!A1796,"AAAAAHf/3Os=")</f>
        <v>#VALUE!</v>
      </c>
      <c r="IC321" t="e">
        <f>AND('STERLING CATALOG - FZN &amp; CHILL'!B1796,"AAAAAHf/3Ow=")</f>
        <v>#VALUE!</v>
      </c>
      <c r="ID321" t="e">
        <f>AND('STERLING CATALOG - FZN &amp; CHILL'!C1796,"AAAAAHf/3O0=")</f>
        <v>#VALUE!</v>
      </c>
      <c r="IE321" t="e">
        <f>AND('STERLING CATALOG - FZN &amp; CHILL'!D1796,"AAAAAHf/3O4=")</f>
        <v>#VALUE!</v>
      </c>
      <c r="IF321" t="e">
        <f>AND('STERLING CATALOG - FZN &amp; CHILL'!E1796,"AAAAAHf/3O8=")</f>
        <v>#VALUE!</v>
      </c>
      <c r="IG321" t="e">
        <f>AND('STERLING CATALOG - FZN &amp; CHILL'!F1796,"AAAAAHf/3PA=")</f>
        <v>#VALUE!</v>
      </c>
      <c r="IH321" t="e">
        <f>AND('STERLING CATALOG - FZN &amp; CHILL'!G1796,"AAAAAHf/3PE=")</f>
        <v>#VALUE!</v>
      </c>
      <c r="II321" t="e">
        <f>AND('STERLING CATALOG - FZN &amp; CHILL'!H1796,"AAAAAHf/3PI=")</f>
        <v>#VALUE!</v>
      </c>
      <c r="IJ321" t="e">
        <f>AND('STERLING CATALOG - FZN &amp; CHILL'!I1796,"AAAAAHf/3PM=")</f>
        <v>#VALUE!</v>
      </c>
      <c r="IK321" t="e">
        <f>AND('STERLING CATALOG - FZN &amp; CHILL'!J1796,"AAAAAHf/3PQ=")</f>
        <v>#VALUE!</v>
      </c>
      <c r="IL321">
        <f>IF('STERLING CATALOG - FZN &amp; CHILL'!1797:1797,"AAAAAHf/3PU=",0)</f>
        <v>0</v>
      </c>
      <c r="IM321" t="e">
        <f>AND('STERLING CATALOG - FZN &amp; CHILL'!A1797,"AAAAAHf/3PY=")</f>
        <v>#VALUE!</v>
      </c>
      <c r="IN321" t="e">
        <f>AND('STERLING CATALOG - FZN &amp; CHILL'!B1797,"AAAAAHf/3Pc=")</f>
        <v>#VALUE!</v>
      </c>
      <c r="IO321" t="e">
        <f>AND('STERLING CATALOG - FZN &amp; CHILL'!C1797,"AAAAAHf/3Pg=")</f>
        <v>#VALUE!</v>
      </c>
      <c r="IP321" t="e">
        <f>AND('STERLING CATALOG - FZN &amp; CHILL'!D1797,"AAAAAHf/3Pk=")</f>
        <v>#VALUE!</v>
      </c>
      <c r="IQ321" t="e">
        <f>AND('STERLING CATALOG - FZN &amp; CHILL'!E1797,"AAAAAHf/3Po=")</f>
        <v>#VALUE!</v>
      </c>
      <c r="IR321" t="e">
        <f>AND('STERLING CATALOG - FZN &amp; CHILL'!F1797,"AAAAAHf/3Ps=")</f>
        <v>#VALUE!</v>
      </c>
      <c r="IS321" t="e">
        <f>AND('STERLING CATALOG - FZN &amp; CHILL'!G1797,"AAAAAHf/3Pw=")</f>
        <v>#VALUE!</v>
      </c>
      <c r="IT321" t="e">
        <f>AND('STERLING CATALOG - FZN &amp; CHILL'!H1797,"AAAAAHf/3P0=")</f>
        <v>#VALUE!</v>
      </c>
      <c r="IU321" t="e">
        <f>AND('STERLING CATALOG - FZN &amp; CHILL'!I1797,"AAAAAHf/3P4=")</f>
        <v>#VALUE!</v>
      </c>
      <c r="IV321" t="e">
        <f>AND('STERLING CATALOG - FZN &amp; CHILL'!J1797,"AAAAAHf/3P8=")</f>
        <v>#VALUE!</v>
      </c>
    </row>
    <row r="322" spans="1:256">
      <c r="A322" t="str">
        <f>IF('STERLING CATALOG - FZN &amp; CHILL'!1798:1798,"AAAAAH9yyQA=",0)</f>
        <v>AAAAAH9yyQA=</v>
      </c>
      <c r="B322" t="e">
        <f>AND('STERLING CATALOG - FZN &amp; CHILL'!A1798,"AAAAAH9yyQE=")</f>
        <v>#VALUE!</v>
      </c>
      <c r="C322" t="e">
        <f>AND('STERLING CATALOG - FZN &amp; CHILL'!B1798,"AAAAAH9yyQI=")</f>
        <v>#VALUE!</v>
      </c>
      <c r="D322" t="e">
        <f>AND('STERLING CATALOG - FZN &amp; CHILL'!C1798,"AAAAAH9yyQM=")</f>
        <v>#VALUE!</v>
      </c>
      <c r="E322" t="e">
        <f>AND('STERLING CATALOG - FZN &amp; CHILL'!D1798,"AAAAAH9yyQQ=")</f>
        <v>#VALUE!</v>
      </c>
      <c r="F322" t="e">
        <f>AND('STERLING CATALOG - FZN &amp; CHILL'!E1798,"AAAAAH9yyQU=")</f>
        <v>#VALUE!</v>
      </c>
      <c r="G322" t="e">
        <f>AND('STERLING CATALOG - FZN &amp; CHILL'!F1798,"AAAAAH9yyQY=")</f>
        <v>#VALUE!</v>
      </c>
      <c r="H322" t="e">
        <f>AND('STERLING CATALOG - FZN &amp; CHILL'!G1798,"AAAAAH9yyQc=")</f>
        <v>#VALUE!</v>
      </c>
      <c r="I322" t="e">
        <f>AND('STERLING CATALOG - FZN &amp; CHILL'!H1798,"AAAAAH9yyQg=")</f>
        <v>#VALUE!</v>
      </c>
      <c r="J322" t="e">
        <f>AND('STERLING CATALOG - FZN &amp; CHILL'!I1798,"AAAAAH9yyQk=")</f>
        <v>#VALUE!</v>
      </c>
      <c r="K322" t="e">
        <f>AND('STERLING CATALOG - FZN &amp; CHILL'!J1798,"AAAAAH9yyQo=")</f>
        <v>#VALUE!</v>
      </c>
      <c r="L322">
        <f>IF('STERLING CATALOG - FZN &amp; CHILL'!1799:1799,"AAAAAH9yyQs=",0)</f>
        <v>0</v>
      </c>
      <c r="M322" t="e">
        <f>AND('STERLING CATALOG - FZN &amp; CHILL'!A1799,"AAAAAH9yyQw=")</f>
        <v>#VALUE!</v>
      </c>
      <c r="N322" t="e">
        <f>AND('STERLING CATALOG - FZN &amp; CHILL'!B1799,"AAAAAH9yyQ0=")</f>
        <v>#VALUE!</v>
      </c>
      <c r="O322" t="e">
        <f>AND('STERLING CATALOG - FZN &amp; CHILL'!C1799,"AAAAAH9yyQ4=")</f>
        <v>#VALUE!</v>
      </c>
      <c r="P322" t="e">
        <f>AND('STERLING CATALOG - FZN &amp; CHILL'!D1799,"AAAAAH9yyQ8=")</f>
        <v>#VALUE!</v>
      </c>
      <c r="Q322" t="e">
        <f>AND('STERLING CATALOG - FZN &amp; CHILL'!E1799,"AAAAAH9yyRA=")</f>
        <v>#VALUE!</v>
      </c>
      <c r="R322" t="e">
        <f>AND('STERLING CATALOG - FZN &amp; CHILL'!F1799,"AAAAAH9yyRE=")</f>
        <v>#VALUE!</v>
      </c>
      <c r="S322" t="e">
        <f>AND('STERLING CATALOG - FZN &amp; CHILL'!G1799,"AAAAAH9yyRI=")</f>
        <v>#VALUE!</v>
      </c>
      <c r="T322" t="e">
        <f>AND('STERLING CATALOG - FZN &amp; CHILL'!H1799,"AAAAAH9yyRM=")</f>
        <v>#VALUE!</v>
      </c>
      <c r="U322" t="e">
        <f>AND('STERLING CATALOG - FZN &amp; CHILL'!I1799,"AAAAAH9yyRQ=")</f>
        <v>#VALUE!</v>
      </c>
      <c r="V322" t="e">
        <f>AND('STERLING CATALOG - FZN &amp; CHILL'!J1799,"AAAAAH9yyRU=")</f>
        <v>#VALUE!</v>
      </c>
      <c r="W322">
        <f>IF('STERLING CATALOG - FZN &amp; CHILL'!1800:1800,"AAAAAH9yyRY=",0)</f>
        <v>0</v>
      </c>
      <c r="X322" t="e">
        <f>AND('STERLING CATALOG - FZN &amp; CHILL'!A1800,"AAAAAH9yyRc=")</f>
        <v>#VALUE!</v>
      </c>
      <c r="Y322" t="e">
        <f>AND('STERLING CATALOG - FZN &amp; CHILL'!B1800,"AAAAAH9yyRg=")</f>
        <v>#VALUE!</v>
      </c>
      <c r="Z322" t="e">
        <f>AND('STERLING CATALOG - FZN &amp; CHILL'!C1800,"AAAAAH9yyRk=")</f>
        <v>#VALUE!</v>
      </c>
      <c r="AA322" t="e">
        <f>AND('STERLING CATALOG - FZN &amp; CHILL'!D1800,"AAAAAH9yyRo=")</f>
        <v>#VALUE!</v>
      </c>
      <c r="AB322" t="e">
        <f>AND('STERLING CATALOG - FZN &amp; CHILL'!E1800,"AAAAAH9yyRs=")</f>
        <v>#VALUE!</v>
      </c>
      <c r="AC322" t="e">
        <f>AND('STERLING CATALOG - FZN &amp; CHILL'!F1800,"AAAAAH9yyRw=")</f>
        <v>#VALUE!</v>
      </c>
      <c r="AD322" t="e">
        <f>AND('STERLING CATALOG - FZN &amp; CHILL'!G1800,"AAAAAH9yyR0=")</f>
        <v>#VALUE!</v>
      </c>
      <c r="AE322" t="e">
        <f>AND('STERLING CATALOG - FZN &amp; CHILL'!H1800,"AAAAAH9yyR4=")</f>
        <v>#VALUE!</v>
      </c>
      <c r="AF322" t="e">
        <f>AND('STERLING CATALOG - FZN &amp; CHILL'!I1800,"AAAAAH9yyR8=")</f>
        <v>#VALUE!</v>
      </c>
      <c r="AG322" t="e">
        <f>AND('STERLING CATALOG - FZN &amp; CHILL'!J1800,"AAAAAH9yySA=")</f>
        <v>#VALUE!</v>
      </c>
      <c r="AH322">
        <f>IF('STERLING CATALOG - FZN &amp; CHILL'!1801:1801,"AAAAAH9yySE=",0)</f>
        <v>0</v>
      </c>
      <c r="AI322" t="e">
        <f>AND('STERLING CATALOG - FZN &amp; CHILL'!A1801,"AAAAAH9yySI=")</f>
        <v>#VALUE!</v>
      </c>
      <c r="AJ322" t="e">
        <f>AND('STERLING CATALOG - FZN &amp; CHILL'!B1801,"AAAAAH9yySM=")</f>
        <v>#VALUE!</v>
      </c>
      <c r="AK322" t="e">
        <f>AND('STERLING CATALOG - FZN &amp; CHILL'!C1801,"AAAAAH9yySQ=")</f>
        <v>#VALUE!</v>
      </c>
      <c r="AL322" t="e">
        <f>AND('STERLING CATALOG - FZN &amp; CHILL'!D1801,"AAAAAH9yySU=")</f>
        <v>#VALUE!</v>
      </c>
      <c r="AM322" t="e">
        <f>AND('STERLING CATALOG - FZN &amp; CHILL'!E1801,"AAAAAH9yySY=")</f>
        <v>#VALUE!</v>
      </c>
      <c r="AN322" t="e">
        <f>AND('STERLING CATALOG - FZN &amp; CHILL'!F1801,"AAAAAH9yySc=")</f>
        <v>#VALUE!</v>
      </c>
      <c r="AO322" t="e">
        <f>AND('STERLING CATALOG - FZN &amp; CHILL'!G1801,"AAAAAH9yySg=")</f>
        <v>#VALUE!</v>
      </c>
      <c r="AP322" t="e">
        <f>AND('STERLING CATALOG - FZN &amp; CHILL'!H1801,"AAAAAH9yySk=")</f>
        <v>#VALUE!</v>
      </c>
      <c r="AQ322" t="e">
        <f>AND('STERLING CATALOG - FZN &amp; CHILL'!I1801,"AAAAAH9yySo=")</f>
        <v>#VALUE!</v>
      </c>
      <c r="AR322" t="e">
        <f>AND('STERLING CATALOG - FZN &amp; CHILL'!J1801,"AAAAAH9yySs=")</f>
        <v>#VALUE!</v>
      </c>
      <c r="AS322">
        <f>IF('STERLING CATALOG - FZN &amp; CHILL'!1802:1802,"AAAAAH9yySw=",0)</f>
        <v>0</v>
      </c>
      <c r="AT322" t="e">
        <f>AND('STERLING CATALOG - FZN &amp; CHILL'!A1802,"AAAAAH9yyS0=")</f>
        <v>#VALUE!</v>
      </c>
      <c r="AU322" t="e">
        <f>AND('STERLING CATALOG - FZN &amp; CHILL'!B1802,"AAAAAH9yyS4=")</f>
        <v>#VALUE!</v>
      </c>
      <c r="AV322" t="e">
        <f>AND('STERLING CATALOG - FZN &amp; CHILL'!C1802,"AAAAAH9yyS8=")</f>
        <v>#VALUE!</v>
      </c>
      <c r="AW322" t="e">
        <f>AND('STERLING CATALOG - FZN &amp; CHILL'!D1802,"AAAAAH9yyTA=")</f>
        <v>#VALUE!</v>
      </c>
      <c r="AX322" t="e">
        <f>AND('STERLING CATALOG - FZN &amp; CHILL'!E1802,"AAAAAH9yyTE=")</f>
        <v>#VALUE!</v>
      </c>
      <c r="AY322" t="e">
        <f>AND('STERLING CATALOG - FZN &amp; CHILL'!F1802,"AAAAAH9yyTI=")</f>
        <v>#VALUE!</v>
      </c>
      <c r="AZ322" t="e">
        <f>AND('STERLING CATALOG - FZN &amp; CHILL'!G1802,"AAAAAH9yyTM=")</f>
        <v>#VALUE!</v>
      </c>
      <c r="BA322" t="e">
        <f>AND('STERLING CATALOG - FZN &amp; CHILL'!H1802,"AAAAAH9yyTQ=")</f>
        <v>#VALUE!</v>
      </c>
      <c r="BB322" t="e">
        <f>AND('STERLING CATALOG - FZN &amp; CHILL'!I1802,"AAAAAH9yyTU=")</f>
        <v>#VALUE!</v>
      </c>
      <c r="BC322" t="e">
        <f>AND('STERLING CATALOG - FZN &amp; CHILL'!J1802,"AAAAAH9yyTY=")</f>
        <v>#VALUE!</v>
      </c>
      <c r="BD322">
        <f>IF('STERLING CATALOG - FZN &amp; CHILL'!1803:1803,"AAAAAH9yyTc=",0)</f>
        <v>0</v>
      </c>
      <c r="BE322" t="e">
        <f>AND('STERLING CATALOG - FZN &amp; CHILL'!A1803,"AAAAAH9yyTg=")</f>
        <v>#VALUE!</v>
      </c>
      <c r="BF322" t="e">
        <f>AND('STERLING CATALOG - FZN &amp; CHILL'!B1803,"AAAAAH9yyTk=")</f>
        <v>#VALUE!</v>
      </c>
      <c r="BG322" t="e">
        <f>AND('STERLING CATALOG - FZN &amp; CHILL'!C1803,"AAAAAH9yyTo=")</f>
        <v>#VALUE!</v>
      </c>
      <c r="BH322" t="e">
        <f>AND('STERLING CATALOG - FZN &amp; CHILL'!D1803,"AAAAAH9yyTs=")</f>
        <v>#VALUE!</v>
      </c>
      <c r="BI322" t="e">
        <f>AND('STERLING CATALOG - FZN &amp; CHILL'!E1803,"AAAAAH9yyTw=")</f>
        <v>#VALUE!</v>
      </c>
      <c r="BJ322" t="e">
        <f>AND('STERLING CATALOG - FZN &amp; CHILL'!F1803,"AAAAAH9yyT0=")</f>
        <v>#VALUE!</v>
      </c>
      <c r="BK322" t="e">
        <f>AND('STERLING CATALOG - FZN &amp; CHILL'!G1803,"AAAAAH9yyT4=")</f>
        <v>#VALUE!</v>
      </c>
      <c r="BL322" t="e">
        <f>AND('STERLING CATALOG - FZN &amp; CHILL'!H1803,"AAAAAH9yyT8=")</f>
        <v>#VALUE!</v>
      </c>
      <c r="BM322" t="e">
        <f>AND('STERLING CATALOG - FZN &amp; CHILL'!I1803,"AAAAAH9yyUA=")</f>
        <v>#VALUE!</v>
      </c>
      <c r="BN322" t="e">
        <f>AND('STERLING CATALOG - FZN &amp; CHILL'!J1803,"AAAAAH9yyUE=")</f>
        <v>#VALUE!</v>
      </c>
      <c r="BO322">
        <f>IF('STERLING CATALOG - FZN &amp; CHILL'!1804:1804,"AAAAAH9yyUI=",0)</f>
        <v>0</v>
      </c>
      <c r="BP322" t="e">
        <f>AND('STERLING CATALOG - FZN &amp; CHILL'!A1804,"AAAAAH9yyUM=")</f>
        <v>#VALUE!</v>
      </c>
      <c r="BQ322" t="e">
        <f>AND('STERLING CATALOG - FZN &amp; CHILL'!B1804,"AAAAAH9yyUQ=")</f>
        <v>#VALUE!</v>
      </c>
      <c r="BR322" t="e">
        <f>AND('STERLING CATALOG - FZN &amp; CHILL'!C1804,"AAAAAH9yyUU=")</f>
        <v>#VALUE!</v>
      </c>
      <c r="BS322" t="e">
        <f>AND('STERLING CATALOG - FZN &amp; CHILL'!D1804,"AAAAAH9yyUY=")</f>
        <v>#VALUE!</v>
      </c>
      <c r="BT322" t="e">
        <f>AND('STERLING CATALOG - FZN &amp; CHILL'!E1804,"AAAAAH9yyUc=")</f>
        <v>#VALUE!</v>
      </c>
      <c r="BU322" t="e">
        <f>AND('STERLING CATALOG - FZN &amp; CHILL'!F1804,"AAAAAH9yyUg=")</f>
        <v>#VALUE!</v>
      </c>
      <c r="BV322" t="e">
        <f>AND('STERLING CATALOG - FZN &amp; CHILL'!G1804,"AAAAAH9yyUk=")</f>
        <v>#VALUE!</v>
      </c>
      <c r="BW322" t="e">
        <f>AND('STERLING CATALOG - FZN &amp; CHILL'!H1804,"AAAAAH9yyUo=")</f>
        <v>#VALUE!</v>
      </c>
      <c r="BX322" t="e">
        <f>AND('STERLING CATALOG - FZN &amp; CHILL'!I1804,"AAAAAH9yyUs=")</f>
        <v>#VALUE!</v>
      </c>
      <c r="BY322" t="e">
        <f>AND('STERLING CATALOG - FZN &amp; CHILL'!J1804,"AAAAAH9yyUw=")</f>
        <v>#VALUE!</v>
      </c>
      <c r="BZ322">
        <f>IF('STERLING CATALOG - FZN &amp; CHILL'!1805:1805,"AAAAAH9yyU0=",0)</f>
        <v>0</v>
      </c>
      <c r="CA322" t="e">
        <f>AND('STERLING CATALOG - FZN &amp; CHILL'!A1805,"AAAAAH9yyU4=")</f>
        <v>#VALUE!</v>
      </c>
      <c r="CB322" t="e">
        <f>AND('STERLING CATALOG - FZN &amp; CHILL'!B1805,"AAAAAH9yyU8=")</f>
        <v>#VALUE!</v>
      </c>
      <c r="CC322" t="e">
        <f>AND('STERLING CATALOG - FZN &amp; CHILL'!C1805,"AAAAAH9yyVA=")</f>
        <v>#VALUE!</v>
      </c>
      <c r="CD322" t="e">
        <f>AND('STERLING CATALOG - FZN &amp; CHILL'!D1805,"AAAAAH9yyVE=")</f>
        <v>#VALUE!</v>
      </c>
      <c r="CE322" t="e">
        <f>AND('STERLING CATALOG - FZN &amp; CHILL'!E1805,"AAAAAH9yyVI=")</f>
        <v>#VALUE!</v>
      </c>
      <c r="CF322" t="e">
        <f>AND('STERLING CATALOG - FZN &amp; CHILL'!F1805,"AAAAAH9yyVM=")</f>
        <v>#VALUE!</v>
      </c>
      <c r="CG322" t="e">
        <f>AND('STERLING CATALOG - FZN &amp; CHILL'!G1805,"AAAAAH9yyVQ=")</f>
        <v>#VALUE!</v>
      </c>
      <c r="CH322" t="e">
        <f>AND('STERLING CATALOG - FZN &amp; CHILL'!H1805,"AAAAAH9yyVU=")</f>
        <v>#VALUE!</v>
      </c>
      <c r="CI322" t="e">
        <f>AND('STERLING CATALOG - FZN &amp; CHILL'!I1805,"AAAAAH9yyVY=")</f>
        <v>#VALUE!</v>
      </c>
      <c r="CJ322" t="e">
        <f>AND('STERLING CATALOG - FZN &amp; CHILL'!J1805,"AAAAAH9yyVc=")</f>
        <v>#VALUE!</v>
      </c>
      <c r="CK322">
        <f>IF('STERLING CATALOG - FZN &amp; CHILL'!1806:1806,"AAAAAH9yyVg=",0)</f>
        <v>0</v>
      </c>
      <c r="CL322" t="e">
        <f>AND('STERLING CATALOG - FZN &amp; CHILL'!A1806,"AAAAAH9yyVk=")</f>
        <v>#VALUE!</v>
      </c>
      <c r="CM322" t="e">
        <f>AND('STERLING CATALOG - FZN &amp; CHILL'!B1806,"AAAAAH9yyVo=")</f>
        <v>#VALUE!</v>
      </c>
      <c r="CN322" t="e">
        <f>AND('STERLING CATALOG - FZN &amp; CHILL'!C1806,"AAAAAH9yyVs=")</f>
        <v>#VALUE!</v>
      </c>
      <c r="CO322" t="e">
        <f>AND('STERLING CATALOG - FZN &amp; CHILL'!D1806,"AAAAAH9yyVw=")</f>
        <v>#VALUE!</v>
      </c>
      <c r="CP322" t="e">
        <f>AND('STERLING CATALOG - FZN &amp; CHILL'!E1806,"AAAAAH9yyV0=")</f>
        <v>#VALUE!</v>
      </c>
      <c r="CQ322" t="e">
        <f>AND('STERLING CATALOG - FZN &amp; CHILL'!F1806,"AAAAAH9yyV4=")</f>
        <v>#VALUE!</v>
      </c>
      <c r="CR322" t="e">
        <f>AND('STERLING CATALOG - FZN &amp; CHILL'!G1806,"AAAAAH9yyV8=")</f>
        <v>#VALUE!</v>
      </c>
      <c r="CS322" t="e">
        <f>AND('STERLING CATALOG - FZN &amp; CHILL'!H1806,"AAAAAH9yyWA=")</f>
        <v>#VALUE!</v>
      </c>
      <c r="CT322" t="e">
        <f>AND('STERLING CATALOG - FZN &amp; CHILL'!I1806,"AAAAAH9yyWE=")</f>
        <v>#VALUE!</v>
      </c>
      <c r="CU322" t="e">
        <f>AND('STERLING CATALOG - FZN &amp; CHILL'!J1806,"AAAAAH9yyWI=")</f>
        <v>#VALUE!</v>
      </c>
      <c r="CV322">
        <f>IF('STERLING CATALOG - FZN &amp; CHILL'!1807:1807,"AAAAAH9yyWM=",0)</f>
        <v>0</v>
      </c>
      <c r="CW322" t="e">
        <f>AND('STERLING CATALOG - FZN &amp; CHILL'!A1807,"AAAAAH9yyWQ=")</f>
        <v>#VALUE!</v>
      </c>
      <c r="CX322" t="e">
        <f>AND('STERLING CATALOG - FZN &amp; CHILL'!B1807,"AAAAAH9yyWU=")</f>
        <v>#VALUE!</v>
      </c>
      <c r="CY322" t="e">
        <f>AND('STERLING CATALOG - FZN &amp; CHILL'!C1807,"AAAAAH9yyWY=")</f>
        <v>#VALUE!</v>
      </c>
      <c r="CZ322" t="e">
        <f>AND('STERLING CATALOG - FZN &amp; CHILL'!D1807,"AAAAAH9yyWc=")</f>
        <v>#VALUE!</v>
      </c>
      <c r="DA322" t="e">
        <f>AND('STERLING CATALOG - FZN &amp; CHILL'!E1807,"AAAAAH9yyWg=")</f>
        <v>#VALUE!</v>
      </c>
      <c r="DB322" t="e">
        <f>AND('STERLING CATALOG - FZN &amp; CHILL'!F1807,"AAAAAH9yyWk=")</f>
        <v>#VALUE!</v>
      </c>
      <c r="DC322" t="e">
        <f>AND('STERLING CATALOG - FZN &amp; CHILL'!G1807,"AAAAAH9yyWo=")</f>
        <v>#VALUE!</v>
      </c>
      <c r="DD322" t="e">
        <f>AND('STERLING CATALOG - FZN &amp; CHILL'!H1807,"AAAAAH9yyWs=")</f>
        <v>#VALUE!</v>
      </c>
      <c r="DE322" t="e">
        <f>AND('STERLING CATALOG - FZN &amp; CHILL'!I1807,"AAAAAH9yyWw=")</f>
        <v>#VALUE!</v>
      </c>
      <c r="DF322" t="e">
        <f>AND('STERLING CATALOG - FZN &amp; CHILL'!J1807,"AAAAAH9yyW0=")</f>
        <v>#VALUE!</v>
      </c>
      <c r="DG322">
        <f>IF('STERLING CATALOG - FZN &amp; CHILL'!1808:1808,"AAAAAH9yyW4=",0)</f>
        <v>0</v>
      </c>
      <c r="DH322" t="e">
        <f>AND('STERLING CATALOG - FZN &amp; CHILL'!A1808,"AAAAAH9yyW8=")</f>
        <v>#VALUE!</v>
      </c>
      <c r="DI322" t="e">
        <f>AND('STERLING CATALOG - FZN &amp; CHILL'!B1808,"AAAAAH9yyXA=")</f>
        <v>#VALUE!</v>
      </c>
      <c r="DJ322" t="e">
        <f>AND('STERLING CATALOG - FZN &amp; CHILL'!C1808,"AAAAAH9yyXE=")</f>
        <v>#VALUE!</v>
      </c>
      <c r="DK322" t="e">
        <f>AND('STERLING CATALOG - FZN &amp; CHILL'!D1808,"AAAAAH9yyXI=")</f>
        <v>#VALUE!</v>
      </c>
      <c r="DL322" t="e">
        <f>AND('STERLING CATALOG - FZN &amp; CHILL'!E1808,"AAAAAH9yyXM=")</f>
        <v>#VALUE!</v>
      </c>
      <c r="DM322" t="e">
        <f>AND('STERLING CATALOG - FZN &amp; CHILL'!F1808,"AAAAAH9yyXQ=")</f>
        <v>#VALUE!</v>
      </c>
      <c r="DN322" t="e">
        <f>AND('STERLING CATALOG - FZN &amp; CHILL'!G1808,"AAAAAH9yyXU=")</f>
        <v>#VALUE!</v>
      </c>
      <c r="DO322" t="e">
        <f>AND('STERLING CATALOG - FZN &amp; CHILL'!H1808,"AAAAAH9yyXY=")</f>
        <v>#VALUE!</v>
      </c>
      <c r="DP322" t="e">
        <f>AND('STERLING CATALOG - FZN &amp; CHILL'!I1808,"AAAAAH9yyXc=")</f>
        <v>#VALUE!</v>
      </c>
      <c r="DQ322" t="e">
        <f>AND('STERLING CATALOG - FZN &amp; CHILL'!J1808,"AAAAAH9yyXg=")</f>
        <v>#VALUE!</v>
      </c>
      <c r="DR322">
        <f>IF('STERLING CATALOG - FZN &amp; CHILL'!1809:1809,"AAAAAH9yyXk=",0)</f>
        <v>0</v>
      </c>
      <c r="DS322" t="e">
        <f>AND('STERLING CATALOG - FZN &amp; CHILL'!A1809,"AAAAAH9yyXo=")</f>
        <v>#VALUE!</v>
      </c>
      <c r="DT322" t="e">
        <f>AND('STERLING CATALOG - FZN &amp; CHILL'!B1809,"AAAAAH9yyXs=")</f>
        <v>#VALUE!</v>
      </c>
      <c r="DU322" t="e">
        <f>AND('STERLING CATALOG - FZN &amp; CHILL'!C1809,"AAAAAH9yyXw=")</f>
        <v>#VALUE!</v>
      </c>
      <c r="DV322" t="e">
        <f>AND('STERLING CATALOG - FZN &amp; CHILL'!D1809,"AAAAAH9yyX0=")</f>
        <v>#VALUE!</v>
      </c>
      <c r="DW322" t="e">
        <f>AND('STERLING CATALOG - FZN &amp; CHILL'!E1809,"AAAAAH9yyX4=")</f>
        <v>#VALUE!</v>
      </c>
      <c r="DX322" t="e">
        <f>AND('STERLING CATALOG - FZN &amp; CHILL'!F1809,"AAAAAH9yyX8=")</f>
        <v>#VALUE!</v>
      </c>
      <c r="DY322" t="e">
        <f>AND('STERLING CATALOG - FZN &amp; CHILL'!G1809,"AAAAAH9yyYA=")</f>
        <v>#VALUE!</v>
      </c>
      <c r="DZ322" t="e">
        <f>AND('STERLING CATALOG - FZN &amp; CHILL'!H1809,"AAAAAH9yyYE=")</f>
        <v>#VALUE!</v>
      </c>
      <c r="EA322" t="e">
        <f>AND('STERLING CATALOG - FZN &amp; CHILL'!I1809,"AAAAAH9yyYI=")</f>
        <v>#VALUE!</v>
      </c>
      <c r="EB322" t="e">
        <f>AND('STERLING CATALOG - FZN &amp; CHILL'!J1809,"AAAAAH9yyYM=")</f>
        <v>#VALUE!</v>
      </c>
      <c r="EC322">
        <f>IF('STERLING CATALOG - FZN &amp; CHILL'!1810:1810,"AAAAAH9yyYQ=",0)</f>
        <v>0</v>
      </c>
      <c r="ED322" t="e">
        <f>AND('STERLING CATALOG - FZN &amp; CHILL'!A1810,"AAAAAH9yyYU=")</f>
        <v>#VALUE!</v>
      </c>
      <c r="EE322" t="e">
        <f>AND('STERLING CATALOG - FZN &amp; CHILL'!B1810,"AAAAAH9yyYY=")</f>
        <v>#VALUE!</v>
      </c>
      <c r="EF322" t="e">
        <f>AND('STERLING CATALOG - FZN &amp; CHILL'!C1810,"AAAAAH9yyYc=")</f>
        <v>#VALUE!</v>
      </c>
      <c r="EG322" t="e">
        <f>AND('STERLING CATALOG - FZN &amp; CHILL'!D1810,"AAAAAH9yyYg=")</f>
        <v>#VALUE!</v>
      </c>
      <c r="EH322" t="e">
        <f>AND('STERLING CATALOG - FZN &amp; CHILL'!E1810,"AAAAAH9yyYk=")</f>
        <v>#VALUE!</v>
      </c>
      <c r="EI322" t="e">
        <f>AND('STERLING CATALOG - FZN &amp; CHILL'!F1810,"AAAAAH9yyYo=")</f>
        <v>#VALUE!</v>
      </c>
      <c r="EJ322" t="e">
        <f>AND('STERLING CATALOG - FZN &amp; CHILL'!G1810,"AAAAAH9yyYs=")</f>
        <v>#VALUE!</v>
      </c>
      <c r="EK322" t="e">
        <f>AND('STERLING CATALOG - FZN &amp; CHILL'!H1810,"AAAAAH9yyYw=")</f>
        <v>#VALUE!</v>
      </c>
      <c r="EL322" t="e">
        <f>AND('STERLING CATALOG - FZN &amp; CHILL'!I1810,"AAAAAH9yyY0=")</f>
        <v>#VALUE!</v>
      </c>
      <c r="EM322" t="e">
        <f>AND('STERLING CATALOG - FZN &amp; CHILL'!J1810,"AAAAAH9yyY4=")</f>
        <v>#VALUE!</v>
      </c>
      <c r="EN322">
        <f>IF('STERLING CATALOG - FZN &amp; CHILL'!1811:1811,"AAAAAH9yyY8=",0)</f>
        <v>0</v>
      </c>
      <c r="EO322" t="e">
        <f>AND('STERLING CATALOG - FZN &amp; CHILL'!A1811,"AAAAAH9yyZA=")</f>
        <v>#VALUE!</v>
      </c>
      <c r="EP322" t="e">
        <f>AND('STERLING CATALOG - FZN &amp; CHILL'!B1811,"AAAAAH9yyZE=")</f>
        <v>#VALUE!</v>
      </c>
      <c r="EQ322" t="e">
        <f>AND('STERLING CATALOG - FZN &amp; CHILL'!C1811,"AAAAAH9yyZI=")</f>
        <v>#VALUE!</v>
      </c>
      <c r="ER322" t="e">
        <f>AND('STERLING CATALOG - FZN &amp; CHILL'!D1811,"AAAAAH9yyZM=")</f>
        <v>#VALUE!</v>
      </c>
      <c r="ES322" t="e">
        <f>AND('STERLING CATALOG - FZN &amp; CHILL'!E1811,"AAAAAH9yyZQ=")</f>
        <v>#VALUE!</v>
      </c>
      <c r="ET322" t="e">
        <f>AND('STERLING CATALOG - FZN &amp; CHILL'!F1811,"AAAAAH9yyZU=")</f>
        <v>#VALUE!</v>
      </c>
      <c r="EU322" t="e">
        <f>AND('STERLING CATALOG - FZN &amp; CHILL'!G1811,"AAAAAH9yyZY=")</f>
        <v>#VALUE!</v>
      </c>
      <c r="EV322" t="e">
        <f>AND('STERLING CATALOG - FZN &amp; CHILL'!H1811,"AAAAAH9yyZc=")</f>
        <v>#VALUE!</v>
      </c>
      <c r="EW322" t="e">
        <f>AND('STERLING CATALOG - FZN &amp; CHILL'!I1811,"AAAAAH9yyZg=")</f>
        <v>#VALUE!</v>
      </c>
      <c r="EX322" t="e">
        <f>AND('STERLING CATALOG - FZN &amp; CHILL'!J1811,"AAAAAH9yyZk=")</f>
        <v>#VALUE!</v>
      </c>
      <c r="EY322">
        <f>IF('STERLING CATALOG - FZN &amp; CHILL'!1812:1812,"AAAAAH9yyZo=",0)</f>
        <v>0</v>
      </c>
      <c r="EZ322" t="e">
        <f>AND('STERLING CATALOG - FZN &amp; CHILL'!A1812,"AAAAAH9yyZs=")</f>
        <v>#VALUE!</v>
      </c>
      <c r="FA322" t="e">
        <f>AND('STERLING CATALOG - FZN &amp; CHILL'!B1812,"AAAAAH9yyZw=")</f>
        <v>#VALUE!</v>
      </c>
      <c r="FB322" t="e">
        <f>AND('STERLING CATALOG - FZN &amp; CHILL'!C1812,"AAAAAH9yyZ0=")</f>
        <v>#VALUE!</v>
      </c>
      <c r="FC322" t="e">
        <f>AND('STERLING CATALOG - FZN &amp; CHILL'!D1812,"AAAAAH9yyZ4=")</f>
        <v>#VALUE!</v>
      </c>
      <c r="FD322" t="e">
        <f>AND('STERLING CATALOG - FZN &amp; CHILL'!E1812,"AAAAAH9yyZ8=")</f>
        <v>#VALUE!</v>
      </c>
      <c r="FE322" t="e">
        <f>AND('STERLING CATALOG - FZN &amp; CHILL'!F1812,"AAAAAH9yyaA=")</f>
        <v>#VALUE!</v>
      </c>
      <c r="FF322" t="e">
        <f>AND('STERLING CATALOG - FZN &amp; CHILL'!G1812,"AAAAAH9yyaE=")</f>
        <v>#VALUE!</v>
      </c>
      <c r="FG322" t="e">
        <f>AND('STERLING CATALOG - FZN &amp; CHILL'!H1812,"AAAAAH9yyaI=")</f>
        <v>#VALUE!</v>
      </c>
      <c r="FH322" t="e">
        <f>AND('STERLING CATALOG - FZN &amp; CHILL'!I1812,"AAAAAH9yyaM=")</f>
        <v>#VALUE!</v>
      </c>
      <c r="FI322" t="e">
        <f>AND('STERLING CATALOG - FZN &amp; CHILL'!J1812,"AAAAAH9yyaQ=")</f>
        <v>#VALUE!</v>
      </c>
      <c r="FJ322">
        <f>IF('STERLING CATALOG - FZN &amp; CHILL'!1813:1813,"AAAAAH9yyaU=",0)</f>
        <v>0</v>
      </c>
      <c r="FK322" t="e">
        <f>AND('STERLING CATALOG - FZN &amp; CHILL'!A1813,"AAAAAH9yyaY=")</f>
        <v>#VALUE!</v>
      </c>
      <c r="FL322" t="e">
        <f>AND('STERLING CATALOG - FZN &amp; CHILL'!B1813,"AAAAAH9yyac=")</f>
        <v>#VALUE!</v>
      </c>
      <c r="FM322" t="e">
        <f>AND('STERLING CATALOG - FZN &amp; CHILL'!C1813,"AAAAAH9yyag=")</f>
        <v>#VALUE!</v>
      </c>
      <c r="FN322" t="e">
        <f>AND('STERLING CATALOG - FZN &amp; CHILL'!D1813,"AAAAAH9yyak=")</f>
        <v>#VALUE!</v>
      </c>
      <c r="FO322" t="e">
        <f>AND('STERLING CATALOG - FZN &amp; CHILL'!E1813,"AAAAAH9yyao=")</f>
        <v>#VALUE!</v>
      </c>
      <c r="FP322" t="e">
        <f>AND('STERLING CATALOG - FZN &amp; CHILL'!F1813,"AAAAAH9yyas=")</f>
        <v>#VALUE!</v>
      </c>
      <c r="FQ322" t="e">
        <f>AND('STERLING CATALOG - FZN &amp; CHILL'!G1813,"AAAAAH9yyaw=")</f>
        <v>#VALUE!</v>
      </c>
      <c r="FR322" t="e">
        <f>AND('STERLING CATALOG - FZN &amp; CHILL'!H1813,"AAAAAH9yya0=")</f>
        <v>#VALUE!</v>
      </c>
      <c r="FS322" t="e">
        <f>AND('STERLING CATALOG - FZN &amp; CHILL'!I1813,"AAAAAH9yya4=")</f>
        <v>#VALUE!</v>
      </c>
      <c r="FT322" t="e">
        <f>AND('STERLING CATALOG - FZN &amp; CHILL'!J1813,"AAAAAH9yya8=")</f>
        <v>#VALUE!</v>
      </c>
      <c r="FU322">
        <f>IF('STERLING CATALOG - FZN &amp; CHILL'!1814:1814,"AAAAAH9yybA=",0)</f>
        <v>0</v>
      </c>
      <c r="FV322" t="e">
        <f>AND('STERLING CATALOG - FZN &amp; CHILL'!A1814,"AAAAAH9yybE=")</f>
        <v>#VALUE!</v>
      </c>
      <c r="FW322" t="e">
        <f>AND('STERLING CATALOG - FZN &amp; CHILL'!B1814,"AAAAAH9yybI=")</f>
        <v>#VALUE!</v>
      </c>
      <c r="FX322" t="e">
        <f>AND('STERLING CATALOG - FZN &amp; CHILL'!C1814,"AAAAAH9yybM=")</f>
        <v>#VALUE!</v>
      </c>
      <c r="FY322" t="e">
        <f>AND('STERLING CATALOG - FZN &amp; CHILL'!D1814,"AAAAAH9yybQ=")</f>
        <v>#VALUE!</v>
      </c>
      <c r="FZ322" t="e">
        <f>AND('STERLING CATALOG - FZN &amp; CHILL'!E1814,"AAAAAH9yybU=")</f>
        <v>#VALUE!</v>
      </c>
      <c r="GA322" t="e">
        <f>AND('STERLING CATALOG - FZN &amp; CHILL'!F1814,"AAAAAH9yybY=")</f>
        <v>#VALUE!</v>
      </c>
      <c r="GB322" t="e">
        <f>AND('STERLING CATALOG - FZN &amp; CHILL'!G1814,"AAAAAH9yybc=")</f>
        <v>#VALUE!</v>
      </c>
      <c r="GC322" t="e">
        <f>AND('STERLING CATALOG - FZN &amp; CHILL'!H1814,"AAAAAH9yybg=")</f>
        <v>#VALUE!</v>
      </c>
      <c r="GD322" t="e">
        <f>AND('STERLING CATALOG - FZN &amp; CHILL'!I1814,"AAAAAH9yybk=")</f>
        <v>#VALUE!</v>
      </c>
      <c r="GE322" t="e">
        <f>AND('STERLING CATALOG - FZN &amp; CHILL'!J1814,"AAAAAH9yybo=")</f>
        <v>#VALUE!</v>
      </c>
      <c r="GF322">
        <f>IF('STERLING CATALOG - FZN &amp; CHILL'!1815:1815,"AAAAAH9yybs=",0)</f>
        <v>0</v>
      </c>
      <c r="GG322" t="e">
        <f>AND('STERLING CATALOG - FZN &amp; CHILL'!A1815,"AAAAAH9yybw=")</f>
        <v>#VALUE!</v>
      </c>
      <c r="GH322" t="e">
        <f>AND('STERLING CATALOG - FZN &amp; CHILL'!B1815,"AAAAAH9yyb0=")</f>
        <v>#VALUE!</v>
      </c>
      <c r="GI322" t="e">
        <f>AND('STERLING CATALOG - FZN &amp; CHILL'!C1815,"AAAAAH9yyb4=")</f>
        <v>#VALUE!</v>
      </c>
      <c r="GJ322" t="e">
        <f>AND('STERLING CATALOG - FZN &amp; CHILL'!D1815,"AAAAAH9yyb8=")</f>
        <v>#VALUE!</v>
      </c>
      <c r="GK322" t="e">
        <f>AND('STERLING CATALOG - FZN &amp; CHILL'!E1815,"AAAAAH9yycA=")</f>
        <v>#VALUE!</v>
      </c>
      <c r="GL322" t="e">
        <f>AND('STERLING CATALOG - FZN &amp; CHILL'!F1815,"AAAAAH9yycE=")</f>
        <v>#VALUE!</v>
      </c>
      <c r="GM322" t="e">
        <f>AND('STERLING CATALOG - FZN &amp; CHILL'!G1815,"AAAAAH9yycI=")</f>
        <v>#VALUE!</v>
      </c>
      <c r="GN322" t="e">
        <f>AND('STERLING CATALOG - FZN &amp; CHILL'!H1815,"AAAAAH9yycM=")</f>
        <v>#VALUE!</v>
      </c>
      <c r="GO322" t="e">
        <f>AND('STERLING CATALOG - FZN &amp; CHILL'!I1815,"AAAAAH9yycQ=")</f>
        <v>#VALUE!</v>
      </c>
      <c r="GP322" t="e">
        <f>AND('STERLING CATALOG - FZN &amp; CHILL'!J1815,"AAAAAH9yycU=")</f>
        <v>#VALUE!</v>
      </c>
      <c r="GQ322">
        <f>IF('STERLING CATALOG - FZN &amp; CHILL'!1816:1816,"AAAAAH9yycY=",0)</f>
        <v>0</v>
      </c>
      <c r="GR322" t="e">
        <f>AND('STERLING CATALOG - FZN &amp; CHILL'!A1816,"AAAAAH9yycc=")</f>
        <v>#VALUE!</v>
      </c>
      <c r="GS322" t="e">
        <f>AND('STERLING CATALOG - FZN &amp; CHILL'!B1816,"AAAAAH9yycg=")</f>
        <v>#VALUE!</v>
      </c>
      <c r="GT322" t="e">
        <f>AND('STERLING CATALOG - FZN &amp; CHILL'!C1816,"AAAAAH9yyck=")</f>
        <v>#VALUE!</v>
      </c>
      <c r="GU322" t="e">
        <f>AND('STERLING CATALOG - FZN &amp; CHILL'!D1816,"AAAAAH9yyco=")</f>
        <v>#VALUE!</v>
      </c>
      <c r="GV322" t="e">
        <f>AND('STERLING CATALOG - FZN &amp; CHILL'!E1816,"AAAAAH9yycs=")</f>
        <v>#VALUE!</v>
      </c>
      <c r="GW322" t="e">
        <f>AND('STERLING CATALOG - FZN &amp; CHILL'!F1816,"AAAAAH9yycw=")</f>
        <v>#VALUE!</v>
      </c>
      <c r="GX322" t="e">
        <f>AND('STERLING CATALOG - FZN &amp; CHILL'!G1816,"AAAAAH9yyc0=")</f>
        <v>#VALUE!</v>
      </c>
      <c r="GY322" t="e">
        <f>AND('STERLING CATALOG - FZN &amp; CHILL'!H1816,"AAAAAH9yyc4=")</f>
        <v>#VALUE!</v>
      </c>
      <c r="GZ322" t="e">
        <f>AND('STERLING CATALOG - FZN &amp; CHILL'!I1816,"AAAAAH9yyc8=")</f>
        <v>#VALUE!</v>
      </c>
      <c r="HA322" t="e">
        <f>AND('STERLING CATALOG - FZN &amp; CHILL'!J1816,"AAAAAH9yydA=")</f>
        <v>#VALUE!</v>
      </c>
      <c r="HB322">
        <f>IF('STERLING CATALOG - FZN &amp; CHILL'!1817:1817,"AAAAAH9yydE=",0)</f>
        <v>0</v>
      </c>
      <c r="HC322" t="e">
        <f>AND('STERLING CATALOG - FZN &amp; CHILL'!A1817,"AAAAAH9yydI=")</f>
        <v>#VALUE!</v>
      </c>
      <c r="HD322" t="e">
        <f>AND('STERLING CATALOG - FZN &amp; CHILL'!B1817,"AAAAAH9yydM=")</f>
        <v>#VALUE!</v>
      </c>
      <c r="HE322" t="e">
        <f>AND('STERLING CATALOG - FZN &amp; CHILL'!C1817,"AAAAAH9yydQ=")</f>
        <v>#VALUE!</v>
      </c>
      <c r="HF322" t="e">
        <f>AND('STERLING CATALOG - FZN &amp; CHILL'!D1817,"AAAAAH9yydU=")</f>
        <v>#VALUE!</v>
      </c>
      <c r="HG322" t="e">
        <f>AND('STERLING CATALOG - FZN &amp; CHILL'!E1817,"AAAAAH9yydY=")</f>
        <v>#VALUE!</v>
      </c>
      <c r="HH322" t="e">
        <f>AND('STERLING CATALOG - FZN &amp; CHILL'!F1817,"AAAAAH9yydc=")</f>
        <v>#VALUE!</v>
      </c>
      <c r="HI322" t="e">
        <f>AND('STERLING CATALOG - FZN &amp; CHILL'!G1817,"AAAAAH9yydg=")</f>
        <v>#VALUE!</v>
      </c>
      <c r="HJ322" t="e">
        <f>AND('STERLING CATALOG - FZN &amp; CHILL'!H1817,"AAAAAH9yydk=")</f>
        <v>#VALUE!</v>
      </c>
      <c r="HK322" t="e">
        <f>AND('STERLING CATALOG - FZN &amp; CHILL'!I1817,"AAAAAH9yydo=")</f>
        <v>#VALUE!</v>
      </c>
      <c r="HL322" t="e">
        <f>AND('STERLING CATALOG - FZN &amp; CHILL'!J1817,"AAAAAH9yyds=")</f>
        <v>#VALUE!</v>
      </c>
      <c r="HM322">
        <f>IF('STERLING CATALOG - FZN &amp; CHILL'!1818:1818,"AAAAAH9yydw=",0)</f>
        <v>0</v>
      </c>
      <c r="HN322" t="e">
        <f>AND('STERLING CATALOG - FZN &amp; CHILL'!A1818,"AAAAAH9yyd0=")</f>
        <v>#VALUE!</v>
      </c>
      <c r="HO322" t="e">
        <f>AND('STERLING CATALOG - FZN &amp; CHILL'!B1818,"AAAAAH9yyd4=")</f>
        <v>#VALUE!</v>
      </c>
      <c r="HP322" t="e">
        <f>AND('STERLING CATALOG - FZN &amp; CHILL'!C1818,"AAAAAH9yyd8=")</f>
        <v>#VALUE!</v>
      </c>
      <c r="HQ322" t="e">
        <f>AND('STERLING CATALOG - FZN &amp; CHILL'!D1818,"AAAAAH9yyeA=")</f>
        <v>#VALUE!</v>
      </c>
      <c r="HR322" t="e">
        <f>AND('STERLING CATALOG - FZN &amp; CHILL'!E1818,"AAAAAH9yyeE=")</f>
        <v>#VALUE!</v>
      </c>
      <c r="HS322" t="e">
        <f>AND('STERLING CATALOG - FZN &amp; CHILL'!F1818,"AAAAAH9yyeI=")</f>
        <v>#VALUE!</v>
      </c>
      <c r="HT322" t="e">
        <f>AND('STERLING CATALOG - FZN &amp; CHILL'!G1818,"AAAAAH9yyeM=")</f>
        <v>#VALUE!</v>
      </c>
      <c r="HU322" t="e">
        <f>AND('STERLING CATALOG - FZN &amp; CHILL'!H1818,"AAAAAH9yyeQ=")</f>
        <v>#VALUE!</v>
      </c>
      <c r="HV322" t="e">
        <f>AND('STERLING CATALOG - FZN &amp; CHILL'!I1818,"AAAAAH9yyeU=")</f>
        <v>#VALUE!</v>
      </c>
      <c r="HW322" t="e">
        <f>AND('STERLING CATALOG - FZN &amp; CHILL'!J1818,"AAAAAH9yyeY=")</f>
        <v>#VALUE!</v>
      </c>
      <c r="HX322">
        <f>IF('STERLING CATALOG - FZN &amp; CHILL'!1819:1819,"AAAAAH9yyec=",0)</f>
        <v>0</v>
      </c>
      <c r="HY322" t="e">
        <f>AND('STERLING CATALOG - FZN &amp; CHILL'!A1819,"AAAAAH9yyeg=")</f>
        <v>#VALUE!</v>
      </c>
      <c r="HZ322" t="e">
        <f>AND('STERLING CATALOG - FZN &amp; CHILL'!B1819,"AAAAAH9yyek=")</f>
        <v>#VALUE!</v>
      </c>
      <c r="IA322" t="e">
        <f>AND('STERLING CATALOG - FZN &amp; CHILL'!C1819,"AAAAAH9yyeo=")</f>
        <v>#VALUE!</v>
      </c>
      <c r="IB322" t="e">
        <f>AND('STERLING CATALOG - FZN &amp; CHILL'!D1819,"AAAAAH9yyes=")</f>
        <v>#VALUE!</v>
      </c>
      <c r="IC322" t="e">
        <f>AND('STERLING CATALOG - FZN &amp; CHILL'!E1819,"AAAAAH9yyew=")</f>
        <v>#VALUE!</v>
      </c>
      <c r="ID322" t="e">
        <f>AND('STERLING CATALOG - FZN &amp; CHILL'!F1819,"AAAAAH9yye0=")</f>
        <v>#VALUE!</v>
      </c>
      <c r="IE322" t="e">
        <f>AND('STERLING CATALOG - FZN &amp; CHILL'!G1819,"AAAAAH9yye4=")</f>
        <v>#VALUE!</v>
      </c>
      <c r="IF322" t="e">
        <f>AND('STERLING CATALOG - FZN &amp; CHILL'!H1819,"AAAAAH9yye8=")</f>
        <v>#VALUE!</v>
      </c>
      <c r="IG322" t="e">
        <f>AND('STERLING CATALOG - FZN &amp; CHILL'!I1819,"AAAAAH9yyfA=")</f>
        <v>#VALUE!</v>
      </c>
      <c r="IH322" t="e">
        <f>AND('STERLING CATALOG - FZN &amp; CHILL'!J1819,"AAAAAH9yyfE=")</f>
        <v>#VALUE!</v>
      </c>
      <c r="II322">
        <f>IF('STERLING CATALOG - FZN &amp; CHILL'!1820:1820,"AAAAAH9yyfI=",0)</f>
        <v>0</v>
      </c>
      <c r="IJ322" t="e">
        <f>AND('STERLING CATALOG - FZN &amp; CHILL'!A1820,"AAAAAH9yyfM=")</f>
        <v>#VALUE!</v>
      </c>
      <c r="IK322" t="e">
        <f>AND('STERLING CATALOG - FZN &amp; CHILL'!B1820,"AAAAAH9yyfQ=")</f>
        <v>#VALUE!</v>
      </c>
      <c r="IL322" t="e">
        <f>AND('STERLING CATALOG - FZN &amp; CHILL'!C1820,"AAAAAH9yyfU=")</f>
        <v>#VALUE!</v>
      </c>
      <c r="IM322" t="e">
        <f>AND('STERLING CATALOG - FZN &amp; CHILL'!D1820,"AAAAAH9yyfY=")</f>
        <v>#VALUE!</v>
      </c>
      <c r="IN322" t="e">
        <f>AND('STERLING CATALOG - FZN &amp; CHILL'!E1820,"AAAAAH9yyfc=")</f>
        <v>#VALUE!</v>
      </c>
      <c r="IO322" t="e">
        <f>AND('STERLING CATALOG - FZN &amp; CHILL'!F1820,"AAAAAH9yyfg=")</f>
        <v>#VALUE!</v>
      </c>
      <c r="IP322" t="e">
        <f>AND('STERLING CATALOG - FZN &amp; CHILL'!G1820,"AAAAAH9yyfk=")</f>
        <v>#VALUE!</v>
      </c>
      <c r="IQ322" t="e">
        <f>AND('STERLING CATALOG - FZN &amp; CHILL'!H1820,"AAAAAH9yyfo=")</f>
        <v>#VALUE!</v>
      </c>
      <c r="IR322" t="e">
        <f>AND('STERLING CATALOG - FZN &amp; CHILL'!I1820,"AAAAAH9yyfs=")</f>
        <v>#VALUE!</v>
      </c>
      <c r="IS322" t="e">
        <f>AND('STERLING CATALOG - FZN &amp; CHILL'!J1820,"AAAAAH9yyfw=")</f>
        <v>#VALUE!</v>
      </c>
      <c r="IT322">
        <f>IF('STERLING CATALOG - FZN &amp; CHILL'!1821:1821,"AAAAAH9yyf0=",0)</f>
        <v>0</v>
      </c>
      <c r="IU322" t="e">
        <f>AND('STERLING CATALOG - FZN &amp; CHILL'!A1821,"AAAAAH9yyf4=")</f>
        <v>#VALUE!</v>
      </c>
      <c r="IV322" t="e">
        <f>AND('STERLING CATALOG - FZN &amp; CHILL'!B1821,"AAAAAH9yyf8=")</f>
        <v>#VALUE!</v>
      </c>
    </row>
    <row r="323" spans="1:256">
      <c r="A323" t="e">
        <f>AND('STERLING CATALOG - FZN &amp; CHILL'!C1821,"AAAAAG/+/wA=")</f>
        <v>#VALUE!</v>
      </c>
      <c r="B323" t="e">
        <f>AND('STERLING CATALOG - FZN &amp; CHILL'!D1821,"AAAAAG/+/wE=")</f>
        <v>#VALUE!</v>
      </c>
      <c r="C323" t="e">
        <f>AND('STERLING CATALOG - FZN &amp; CHILL'!E1821,"AAAAAG/+/wI=")</f>
        <v>#VALUE!</v>
      </c>
      <c r="D323" t="e">
        <f>AND('STERLING CATALOG - FZN &amp; CHILL'!F1821,"AAAAAG/+/wM=")</f>
        <v>#VALUE!</v>
      </c>
      <c r="E323" t="e">
        <f>AND('STERLING CATALOG - FZN &amp; CHILL'!G1821,"AAAAAG/+/wQ=")</f>
        <v>#VALUE!</v>
      </c>
      <c r="F323" t="e">
        <f>AND('STERLING CATALOG - FZN &amp; CHILL'!H1821,"AAAAAG/+/wU=")</f>
        <v>#VALUE!</v>
      </c>
      <c r="G323" t="e">
        <f>AND('STERLING CATALOG - FZN &amp; CHILL'!I1821,"AAAAAG/+/wY=")</f>
        <v>#VALUE!</v>
      </c>
      <c r="H323" t="e">
        <f>AND('STERLING CATALOG - FZN &amp; CHILL'!J1821,"AAAAAG/+/wc=")</f>
        <v>#VALUE!</v>
      </c>
      <c r="I323" t="e">
        <f>IF('STERLING CATALOG - FZN &amp; CHILL'!1822:1822,"AAAAAG/+/wg=",0)</f>
        <v>#VALUE!</v>
      </c>
      <c r="J323" t="e">
        <f>AND('STERLING CATALOG - FZN &amp; CHILL'!A1822,"AAAAAG/+/wk=")</f>
        <v>#VALUE!</v>
      </c>
      <c r="K323" t="e">
        <f>AND('STERLING CATALOG - FZN &amp; CHILL'!B1822,"AAAAAG/+/wo=")</f>
        <v>#VALUE!</v>
      </c>
      <c r="L323" t="e">
        <f>AND('STERLING CATALOG - FZN &amp; CHILL'!C1822,"AAAAAG/+/ws=")</f>
        <v>#VALUE!</v>
      </c>
      <c r="M323" t="e">
        <f>AND('STERLING CATALOG - FZN &amp; CHILL'!D1822,"AAAAAG/+/ww=")</f>
        <v>#VALUE!</v>
      </c>
      <c r="N323" t="e">
        <f>AND('STERLING CATALOG - FZN &amp; CHILL'!E1822,"AAAAAG/+/w0=")</f>
        <v>#VALUE!</v>
      </c>
      <c r="O323" t="e">
        <f>AND('STERLING CATALOG - FZN &amp; CHILL'!F1822,"AAAAAG/+/w4=")</f>
        <v>#VALUE!</v>
      </c>
      <c r="P323" t="e">
        <f>AND('STERLING CATALOG - FZN &amp; CHILL'!G1822,"AAAAAG/+/w8=")</f>
        <v>#VALUE!</v>
      </c>
      <c r="Q323" t="e">
        <f>AND('STERLING CATALOG - FZN &amp; CHILL'!H1822,"AAAAAG/+/xA=")</f>
        <v>#VALUE!</v>
      </c>
      <c r="R323" t="e">
        <f>AND('STERLING CATALOG - FZN &amp; CHILL'!I1822,"AAAAAG/+/xE=")</f>
        <v>#VALUE!</v>
      </c>
      <c r="S323" t="e">
        <f>AND('STERLING CATALOG - FZN &amp; CHILL'!J1822,"AAAAAG/+/xI=")</f>
        <v>#VALUE!</v>
      </c>
      <c r="T323">
        <f>IF('STERLING CATALOG - FZN &amp; CHILL'!1823:1823,"AAAAAG/+/xM=",0)</f>
        <v>0</v>
      </c>
      <c r="U323" t="e">
        <f>AND('STERLING CATALOG - FZN &amp; CHILL'!A1823,"AAAAAG/+/xQ=")</f>
        <v>#VALUE!</v>
      </c>
      <c r="V323" t="e">
        <f>AND('STERLING CATALOG - FZN &amp; CHILL'!B1823,"AAAAAG/+/xU=")</f>
        <v>#VALUE!</v>
      </c>
      <c r="W323" t="e">
        <f>AND('STERLING CATALOG - FZN &amp; CHILL'!C1823,"AAAAAG/+/xY=")</f>
        <v>#VALUE!</v>
      </c>
      <c r="X323" t="e">
        <f>AND('STERLING CATALOG - FZN &amp; CHILL'!D1823,"AAAAAG/+/xc=")</f>
        <v>#VALUE!</v>
      </c>
      <c r="Y323" t="e">
        <f>AND('STERLING CATALOG - FZN &amp; CHILL'!E1823,"AAAAAG/+/xg=")</f>
        <v>#VALUE!</v>
      </c>
      <c r="Z323" t="e">
        <f>AND('STERLING CATALOG - FZN &amp; CHILL'!F1823,"AAAAAG/+/xk=")</f>
        <v>#VALUE!</v>
      </c>
      <c r="AA323" t="e">
        <f>AND('STERLING CATALOG - FZN &amp; CHILL'!G1823,"AAAAAG/+/xo=")</f>
        <v>#VALUE!</v>
      </c>
      <c r="AB323" t="e">
        <f>AND('STERLING CATALOG - FZN &amp; CHILL'!H1823,"AAAAAG/+/xs=")</f>
        <v>#VALUE!</v>
      </c>
      <c r="AC323" t="e">
        <f>AND('STERLING CATALOG - FZN &amp; CHILL'!I1823,"AAAAAG/+/xw=")</f>
        <v>#VALUE!</v>
      </c>
      <c r="AD323" t="e">
        <f>AND('STERLING CATALOG - FZN &amp; CHILL'!J1823,"AAAAAG/+/x0=")</f>
        <v>#VALUE!</v>
      </c>
      <c r="AE323">
        <f>IF('STERLING CATALOG - FZN &amp; CHILL'!1824:1824,"AAAAAG/+/x4=",0)</f>
        <v>0</v>
      </c>
      <c r="AF323" t="e">
        <f>AND('STERLING CATALOG - FZN &amp; CHILL'!A1824,"AAAAAG/+/x8=")</f>
        <v>#VALUE!</v>
      </c>
      <c r="AG323" t="e">
        <f>AND('STERLING CATALOG - FZN &amp; CHILL'!B1824,"AAAAAG/+/yA=")</f>
        <v>#VALUE!</v>
      </c>
      <c r="AH323" t="e">
        <f>AND('STERLING CATALOG - FZN &amp; CHILL'!C1824,"AAAAAG/+/yE=")</f>
        <v>#VALUE!</v>
      </c>
      <c r="AI323" t="e">
        <f>AND('STERLING CATALOG - FZN &amp; CHILL'!D1824,"AAAAAG/+/yI=")</f>
        <v>#VALUE!</v>
      </c>
      <c r="AJ323" t="e">
        <f>AND('STERLING CATALOG - FZN &amp; CHILL'!E1824,"AAAAAG/+/yM=")</f>
        <v>#VALUE!</v>
      </c>
      <c r="AK323" t="e">
        <f>AND('STERLING CATALOG - FZN &amp; CHILL'!F1824,"AAAAAG/+/yQ=")</f>
        <v>#VALUE!</v>
      </c>
      <c r="AL323" t="e">
        <f>AND('STERLING CATALOG - FZN &amp; CHILL'!G1824,"AAAAAG/+/yU=")</f>
        <v>#VALUE!</v>
      </c>
      <c r="AM323" t="e">
        <f>AND('STERLING CATALOG - FZN &amp; CHILL'!H1824,"AAAAAG/+/yY=")</f>
        <v>#VALUE!</v>
      </c>
      <c r="AN323" t="e">
        <f>AND('STERLING CATALOG - FZN &amp; CHILL'!I1824,"AAAAAG/+/yc=")</f>
        <v>#VALUE!</v>
      </c>
      <c r="AO323" t="e">
        <f>AND('STERLING CATALOG - FZN &amp; CHILL'!J1824,"AAAAAG/+/yg=")</f>
        <v>#VALUE!</v>
      </c>
      <c r="AP323">
        <f>IF('STERLING CATALOG - FZN &amp; CHILL'!1825:1825,"AAAAAG/+/yk=",0)</f>
        <v>0</v>
      </c>
      <c r="AQ323" t="e">
        <f>AND('STERLING CATALOG - FZN &amp; CHILL'!A1825,"AAAAAG/+/yo=")</f>
        <v>#VALUE!</v>
      </c>
      <c r="AR323" t="e">
        <f>AND('STERLING CATALOG - FZN &amp; CHILL'!B1825,"AAAAAG/+/ys=")</f>
        <v>#VALUE!</v>
      </c>
      <c r="AS323" t="e">
        <f>AND('STERLING CATALOG - FZN &amp; CHILL'!C1825,"AAAAAG/+/yw=")</f>
        <v>#VALUE!</v>
      </c>
      <c r="AT323" t="e">
        <f>AND('STERLING CATALOG - FZN &amp; CHILL'!D1825,"AAAAAG/+/y0=")</f>
        <v>#VALUE!</v>
      </c>
      <c r="AU323" t="e">
        <f>AND('STERLING CATALOG - FZN &amp; CHILL'!E1825,"AAAAAG/+/y4=")</f>
        <v>#VALUE!</v>
      </c>
      <c r="AV323" t="e">
        <f>AND('STERLING CATALOG - FZN &amp; CHILL'!F1825,"AAAAAG/+/y8=")</f>
        <v>#VALUE!</v>
      </c>
      <c r="AW323" t="e">
        <f>AND('STERLING CATALOG - FZN &amp; CHILL'!G1825,"AAAAAG/+/zA=")</f>
        <v>#VALUE!</v>
      </c>
      <c r="AX323" t="e">
        <f>AND('STERLING CATALOG - FZN &amp; CHILL'!H1825,"AAAAAG/+/zE=")</f>
        <v>#VALUE!</v>
      </c>
      <c r="AY323" t="e">
        <f>AND('STERLING CATALOG - FZN &amp; CHILL'!I1825,"AAAAAG/+/zI=")</f>
        <v>#VALUE!</v>
      </c>
      <c r="AZ323" t="e">
        <f>AND('STERLING CATALOG - FZN &amp; CHILL'!J1825,"AAAAAG/+/zM=")</f>
        <v>#VALUE!</v>
      </c>
      <c r="BA323">
        <f>IF('STERLING CATALOG - FZN &amp; CHILL'!1826:1826,"AAAAAG/+/zQ=",0)</f>
        <v>0</v>
      </c>
      <c r="BB323" t="e">
        <f>AND('STERLING CATALOG - FZN &amp; CHILL'!A1826,"AAAAAG/+/zU=")</f>
        <v>#VALUE!</v>
      </c>
      <c r="BC323" t="e">
        <f>AND('STERLING CATALOG - FZN &amp; CHILL'!B1826,"AAAAAG/+/zY=")</f>
        <v>#VALUE!</v>
      </c>
      <c r="BD323" t="e">
        <f>AND('STERLING CATALOG - FZN &amp; CHILL'!C1826,"AAAAAG/+/zc=")</f>
        <v>#VALUE!</v>
      </c>
      <c r="BE323" t="e">
        <f>AND('STERLING CATALOG - FZN &amp; CHILL'!D1826,"AAAAAG/+/zg=")</f>
        <v>#VALUE!</v>
      </c>
      <c r="BF323" t="e">
        <f>AND('STERLING CATALOG - FZN &amp; CHILL'!E1826,"AAAAAG/+/zk=")</f>
        <v>#VALUE!</v>
      </c>
      <c r="BG323" t="e">
        <f>AND('STERLING CATALOG - FZN &amp; CHILL'!F1826,"AAAAAG/+/zo=")</f>
        <v>#VALUE!</v>
      </c>
      <c r="BH323" t="e">
        <f>AND('STERLING CATALOG - FZN &amp; CHILL'!G1826,"AAAAAG/+/zs=")</f>
        <v>#VALUE!</v>
      </c>
      <c r="BI323" t="e">
        <f>AND('STERLING CATALOG - FZN &amp; CHILL'!H1826,"AAAAAG/+/zw=")</f>
        <v>#VALUE!</v>
      </c>
      <c r="BJ323" t="e">
        <f>AND('STERLING CATALOG - FZN &amp; CHILL'!I1826,"AAAAAG/+/z0=")</f>
        <v>#VALUE!</v>
      </c>
      <c r="BK323" t="e">
        <f>AND('STERLING CATALOG - FZN &amp; CHILL'!J1826,"AAAAAG/+/z4=")</f>
        <v>#VALUE!</v>
      </c>
      <c r="BL323">
        <f>IF('STERLING CATALOG - FZN &amp; CHILL'!1827:1827,"AAAAAG/+/z8=",0)</f>
        <v>0</v>
      </c>
      <c r="BM323" t="e">
        <f>AND('STERLING CATALOG - FZN &amp; CHILL'!A1827,"AAAAAG/+/0A=")</f>
        <v>#VALUE!</v>
      </c>
      <c r="BN323" t="e">
        <f>AND('STERLING CATALOG - FZN &amp; CHILL'!B1827,"AAAAAG/+/0E=")</f>
        <v>#VALUE!</v>
      </c>
      <c r="BO323" t="e">
        <f>AND('STERLING CATALOG - FZN &amp; CHILL'!C1827,"AAAAAG/+/0I=")</f>
        <v>#VALUE!</v>
      </c>
      <c r="BP323" t="e">
        <f>AND('STERLING CATALOG - FZN &amp; CHILL'!D1827,"AAAAAG/+/0M=")</f>
        <v>#VALUE!</v>
      </c>
      <c r="BQ323" t="e">
        <f>AND('STERLING CATALOG - FZN &amp; CHILL'!E1827,"AAAAAG/+/0Q=")</f>
        <v>#VALUE!</v>
      </c>
      <c r="BR323" t="e">
        <f>AND('STERLING CATALOG - FZN &amp; CHILL'!F1827,"AAAAAG/+/0U=")</f>
        <v>#VALUE!</v>
      </c>
      <c r="BS323" t="e">
        <f>AND('STERLING CATALOG - FZN &amp; CHILL'!G1827,"AAAAAG/+/0Y=")</f>
        <v>#VALUE!</v>
      </c>
      <c r="BT323" t="e">
        <f>AND('STERLING CATALOG - FZN &amp; CHILL'!H1827,"AAAAAG/+/0c=")</f>
        <v>#VALUE!</v>
      </c>
      <c r="BU323" t="e">
        <f>AND('STERLING CATALOG - FZN &amp; CHILL'!I1827,"AAAAAG/+/0g=")</f>
        <v>#VALUE!</v>
      </c>
      <c r="BV323" t="e">
        <f>AND('STERLING CATALOG - FZN &amp; CHILL'!J1827,"AAAAAG/+/0k=")</f>
        <v>#VALUE!</v>
      </c>
      <c r="BW323">
        <f>IF('STERLING CATALOG - FZN &amp; CHILL'!1828:1828,"AAAAAG/+/0o=",0)</f>
        <v>0</v>
      </c>
      <c r="BX323" t="e">
        <f>AND('STERLING CATALOG - FZN &amp; CHILL'!A1828,"AAAAAG/+/0s=")</f>
        <v>#VALUE!</v>
      </c>
      <c r="BY323" t="e">
        <f>AND('STERLING CATALOG - FZN &amp; CHILL'!B1828,"AAAAAG/+/0w=")</f>
        <v>#VALUE!</v>
      </c>
      <c r="BZ323" t="e">
        <f>AND('STERLING CATALOG - FZN &amp; CHILL'!C1828,"AAAAAG/+/00=")</f>
        <v>#VALUE!</v>
      </c>
      <c r="CA323" t="e">
        <f>AND('STERLING CATALOG - FZN &amp; CHILL'!D1828,"AAAAAG/+/04=")</f>
        <v>#VALUE!</v>
      </c>
      <c r="CB323" t="e">
        <f>AND('STERLING CATALOG - FZN &amp; CHILL'!E1828,"AAAAAG/+/08=")</f>
        <v>#VALUE!</v>
      </c>
      <c r="CC323" t="e">
        <f>AND('STERLING CATALOG - FZN &amp; CHILL'!F1828,"AAAAAG/+/1A=")</f>
        <v>#VALUE!</v>
      </c>
      <c r="CD323" t="e">
        <f>AND('STERLING CATALOG - FZN &amp; CHILL'!G1828,"AAAAAG/+/1E=")</f>
        <v>#VALUE!</v>
      </c>
      <c r="CE323" t="e">
        <f>AND('STERLING CATALOG - FZN &amp; CHILL'!H1828,"AAAAAG/+/1I=")</f>
        <v>#VALUE!</v>
      </c>
      <c r="CF323" t="e">
        <f>AND('STERLING CATALOG - FZN &amp; CHILL'!I1828,"AAAAAG/+/1M=")</f>
        <v>#VALUE!</v>
      </c>
      <c r="CG323" t="e">
        <f>AND('STERLING CATALOG - FZN &amp; CHILL'!J1828,"AAAAAG/+/1Q=")</f>
        <v>#VALUE!</v>
      </c>
      <c r="CH323">
        <f>IF('STERLING CATALOG - FZN &amp; CHILL'!1829:1829,"AAAAAG/+/1U=",0)</f>
        <v>0</v>
      </c>
      <c r="CI323" t="e">
        <f>AND('STERLING CATALOG - FZN &amp; CHILL'!A1829,"AAAAAG/+/1Y=")</f>
        <v>#VALUE!</v>
      </c>
      <c r="CJ323" t="e">
        <f>AND('STERLING CATALOG - FZN &amp; CHILL'!B1829,"AAAAAG/+/1c=")</f>
        <v>#VALUE!</v>
      </c>
      <c r="CK323" t="e">
        <f>AND('STERLING CATALOG - FZN &amp; CHILL'!C1829,"AAAAAG/+/1g=")</f>
        <v>#VALUE!</v>
      </c>
      <c r="CL323" t="e">
        <f>AND('STERLING CATALOG - FZN &amp; CHILL'!D1829,"AAAAAG/+/1k=")</f>
        <v>#VALUE!</v>
      </c>
      <c r="CM323" t="e">
        <f>AND('STERLING CATALOG - FZN &amp; CHILL'!E1829,"AAAAAG/+/1o=")</f>
        <v>#VALUE!</v>
      </c>
      <c r="CN323" t="e">
        <f>AND('STERLING CATALOG - FZN &amp; CHILL'!F1829,"AAAAAG/+/1s=")</f>
        <v>#VALUE!</v>
      </c>
      <c r="CO323" t="e">
        <f>AND('STERLING CATALOG - FZN &amp; CHILL'!G1829,"AAAAAG/+/1w=")</f>
        <v>#VALUE!</v>
      </c>
      <c r="CP323" t="e">
        <f>AND('STERLING CATALOG - FZN &amp; CHILL'!H1829,"AAAAAG/+/10=")</f>
        <v>#VALUE!</v>
      </c>
      <c r="CQ323" t="e">
        <f>AND('STERLING CATALOG - FZN &amp; CHILL'!I1829,"AAAAAG/+/14=")</f>
        <v>#VALUE!</v>
      </c>
      <c r="CR323" t="e">
        <f>AND('STERLING CATALOG - FZN &amp; CHILL'!J1829,"AAAAAG/+/18=")</f>
        <v>#VALUE!</v>
      </c>
      <c r="CS323">
        <f>IF('STERLING CATALOG - FZN &amp; CHILL'!1830:1830,"AAAAAG/+/2A=",0)</f>
        <v>0</v>
      </c>
      <c r="CT323" t="e">
        <f>AND('STERLING CATALOG - FZN &amp; CHILL'!A1830,"AAAAAG/+/2E=")</f>
        <v>#VALUE!</v>
      </c>
      <c r="CU323" t="e">
        <f>AND('STERLING CATALOG - FZN &amp; CHILL'!B1830,"AAAAAG/+/2I=")</f>
        <v>#VALUE!</v>
      </c>
      <c r="CV323" t="e">
        <f>AND('STERLING CATALOG - FZN &amp; CHILL'!C1830,"AAAAAG/+/2M=")</f>
        <v>#VALUE!</v>
      </c>
      <c r="CW323" t="e">
        <f>AND('STERLING CATALOG - FZN &amp; CHILL'!D1830,"AAAAAG/+/2Q=")</f>
        <v>#VALUE!</v>
      </c>
      <c r="CX323" t="e">
        <f>AND('STERLING CATALOG - FZN &amp; CHILL'!E1830,"AAAAAG/+/2U=")</f>
        <v>#VALUE!</v>
      </c>
      <c r="CY323" t="e">
        <f>AND('STERLING CATALOG - FZN &amp; CHILL'!F1830,"AAAAAG/+/2Y=")</f>
        <v>#VALUE!</v>
      </c>
      <c r="CZ323" t="e">
        <f>AND('STERLING CATALOG - FZN &amp; CHILL'!G1830,"AAAAAG/+/2c=")</f>
        <v>#VALUE!</v>
      </c>
      <c r="DA323" t="e">
        <f>AND('STERLING CATALOG - FZN &amp; CHILL'!H1830,"AAAAAG/+/2g=")</f>
        <v>#VALUE!</v>
      </c>
      <c r="DB323" t="e">
        <f>AND('STERLING CATALOG - FZN &amp; CHILL'!I1830,"AAAAAG/+/2k=")</f>
        <v>#VALUE!</v>
      </c>
      <c r="DC323" t="e">
        <f>AND('STERLING CATALOG - FZN &amp; CHILL'!J1830,"AAAAAG/+/2o=")</f>
        <v>#VALUE!</v>
      </c>
      <c r="DD323">
        <f>IF('STERLING CATALOG - FZN &amp; CHILL'!1831:1831,"AAAAAG/+/2s=",0)</f>
        <v>0</v>
      </c>
      <c r="DE323" t="e">
        <f>AND('STERLING CATALOG - FZN &amp; CHILL'!A1831,"AAAAAG/+/2w=")</f>
        <v>#VALUE!</v>
      </c>
      <c r="DF323" t="e">
        <f>AND('STERLING CATALOG - FZN &amp; CHILL'!B1831,"AAAAAG/+/20=")</f>
        <v>#VALUE!</v>
      </c>
      <c r="DG323" t="e">
        <f>AND('STERLING CATALOG - FZN &amp; CHILL'!C1831,"AAAAAG/+/24=")</f>
        <v>#VALUE!</v>
      </c>
      <c r="DH323" t="e">
        <f>AND('STERLING CATALOG - FZN &amp; CHILL'!D1831,"AAAAAG/+/28=")</f>
        <v>#VALUE!</v>
      </c>
      <c r="DI323" t="e">
        <f>AND('STERLING CATALOG - FZN &amp; CHILL'!E1831,"AAAAAG/+/3A=")</f>
        <v>#VALUE!</v>
      </c>
      <c r="DJ323" t="e">
        <f>AND('STERLING CATALOG - FZN &amp; CHILL'!F1831,"AAAAAG/+/3E=")</f>
        <v>#VALUE!</v>
      </c>
      <c r="DK323" t="e">
        <f>AND('STERLING CATALOG - FZN &amp; CHILL'!G1831,"AAAAAG/+/3I=")</f>
        <v>#VALUE!</v>
      </c>
      <c r="DL323" t="e">
        <f>AND('STERLING CATALOG - FZN &amp; CHILL'!H1831,"AAAAAG/+/3M=")</f>
        <v>#VALUE!</v>
      </c>
      <c r="DM323" t="e">
        <f>AND('STERLING CATALOG - FZN &amp; CHILL'!I1831,"AAAAAG/+/3Q=")</f>
        <v>#VALUE!</v>
      </c>
      <c r="DN323" t="e">
        <f>AND('STERLING CATALOG - FZN &amp; CHILL'!J1831,"AAAAAG/+/3U=")</f>
        <v>#VALUE!</v>
      </c>
      <c r="DO323">
        <f>IF('STERLING CATALOG - FZN &amp; CHILL'!1832:1832,"AAAAAG/+/3Y=",0)</f>
        <v>0</v>
      </c>
      <c r="DP323" t="e">
        <f>AND('STERLING CATALOG - FZN &amp; CHILL'!A1832,"AAAAAG/+/3c=")</f>
        <v>#VALUE!</v>
      </c>
      <c r="DQ323" t="e">
        <f>AND('STERLING CATALOG - FZN &amp; CHILL'!B1832,"AAAAAG/+/3g=")</f>
        <v>#VALUE!</v>
      </c>
      <c r="DR323" t="e">
        <f>AND('STERLING CATALOG - FZN &amp; CHILL'!C1832,"AAAAAG/+/3k=")</f>
        <v>#VALUE!</v>
      </c>
      <c r="DS323" t="e">
        <f>AND('STERLING CATALOG - FZN &amp; CHILL'!D1832,"AAAAAG/+/3o=")</f>
        <v>#VALUE!</v>
      </c>
      <c r="DT323" t="e">
        <f>AND('STERLING CATALOG - FZN &amp; CHILL'!E1832,"AAAAAG/+/3s=")</f>
        <v>#VALUE!</v>
      </c>
      <c r="DU323" t="e">
        <f>AND('STERLING CATALOG - FZN &amp; CHILL'!F1832,"AAAAAG/+/3w=")</f>
        <v>#VALUE!</v>
      </c>
      <c r="DV323" t="e">
        <f>AND('STERLING CATALOG - FZN &amp; CHILL'!G1832,"AAAAAG/+/30=")</f>
        <v>#VALUE!</v>
      </c>
      <c r="DW323" t="e">
        <f>AND('STERLING CATALOG - FZN &amp; CHILL'!H1832,"AAAAAG/+/34=")</f>
        <v>#VALUE!</v>
      </c>
      <c r="DX323" t="e">
        <f>AND('STERLING CATALOG - FZN &amp; CHILL'!I1832,"AAAAAG/+/38=")</f>
        <v>#VALUE!</v>
      </c>
      <c r="DY323" t="e">
        <f>AND('STERLING CATALOG - FZN &amp; CHILL'!J1832,"AAAAAG/+/4A=")</f>
        <v>#VALUE!</v>
      </c>
      <c r="DZ323">
        <f>IF('STERLING CATALOG - FZN &amp; CHILL'!1833:1833,"AAAAAG/+/4E=",0)</f>
        <v>0</v>
      </c>
      <c r="EA323" t="e">
        <f>AND('STERLING CATALOG - FZN &amp; CHILL'!A1833,"AAAAAG/+/4I=")</f>
        <v>#VALUE!</v>
      </c>
      <c r="EB323" t="e">
        <f>AND('STERLING CATALOG - FZN &amp; CHILL'!B1833,"AAAAAG/+/4M=")</f>
        <v>#VALUE!</v>
      </c>
      <c r="EC323" t="e">
        <f>AND('STERLING CATALOG - FZN &amp; CHILL'!C1833,"AAAAAG/+/4Q=")</f>
        <v>#VALUE!</v>
      </c>
      <c r="ED323" t="e">
        <f>AND('STERLING CATALOG - FZN &amp; CHILL'!D1833,"AAAAAG/+/4U=")</f>
        <v>#VALUE!</v>
      </c>
      <c r="EE323" t="e">
        <f>AND('STERLING CATALOG - FZN &amp; CHILL'!E1833,"AAAAAG/+/4Y=")</f>
        <v>#VALUE!</v>
      </c>
      <c r="EF323" t="e">
        <f>AND('STERLING CATALOG - FZN &amp; CHILL'!F1833,"AAAAAG/+/4c=")</f>
        <v>#VALUE!</v>
      </c>
      <c r="EG323" t="e">
        <f>AND('STERLING CATALOG - FZN &amp; CHILL'!G1833,"AAAAAG/+/4g=")</f>
        <v>#VALUE!</v>
      </c>
      <c r="EH323" t="e">
        <f>AND('STERLING CATALOG - FZN &amp; CHILL'!H1833,"AAAAAG/+/4k=")</f>
        <v>#VALUE!</v>
      </c>
      <c r="EI323" t="e">
        <f>AND('STERLING CATALOG - FZN &amp; CHILL'!I1833,"AAAAAG/+/4o=")</f>
        <v>#VALUE!</v>
      </c>
      <c r="EJ323" t="e">
        <f>AND('STERLING CATALOG - FZN &amp; CHILL'!J1833,"AAAAAG/+/4s=")</f>
        <v>#VALUE!</v>
      </c>
      <c r="EK323">
        <f>IF('STERLING CATALOG - FZN &amp; CHILL'!1834:1834,"AAAAAG/+/4w=",0)</f>
        <v>0</v>
      </c>
      <c r="EL323" t="e">
        <f>AND('STERLING CATALOG - FZN &amp; CHILL'!A1834,"AAAAAG/+/40=")</f>
        <v>#VALUE!</v>
      </c>
      <c r="EM323" t="e">
        <f>AND('STERLING CATALOG - FZN &amp; CHILL'!B1834,"AAAAAG/+/44=")</f>
        <v>#VALUE!</v>
      </c>
      <c r="EN323" t="e">
        <f>AND('STERLING CATALOG - FZN &amp; CHILL'!C1834,"AAAAAG/+/48=")</f>
        <v>#VALUE!</v>
      </c>
      <c r="EO323" t="e">
        <f>AND('STERLING CATALOG - FZN &amp; CHILL'!D1834,"AAAAAG/+/5A=")</f>
        <v>#VALUE!</v>
      </c>
      <c r="EP323" t="e">
        <f>AND('STERLING CATALOG - FZN &amp; CHILL'!E1834,"AAAAAG/+/5E=")</f>
        <v>#VALUE!</v>
      </c>
      <c r="EQ323" t="e">
        <f>AND('STERLING CATALOG - FZN &amp; CHILL'!F1834,"AAAAAG/+/5I=")</f>
        <v>#VALUE!</v>
      </c>
      <c r="ER323" t="e">
        <f>AND('STERLING CATALOG - FZN &amp; CHILL'!G1834,"AAAAAG/+/5M=")</f>
        <v>#VALUE!</v>
      </c>
      <c r="ES323" t="e">
        <f>AND('STERLING CATALOG - FZN &amp; CHILL'!H1834,"AAAAAG/+/5Q=")</f>
        <v>#VALUE!</v>
      </c>
      <c r="ET323" t="e">
        <f>AND('STERLING CATALOG - FZN &amp; CHILL'!I1834,"AAAAAG/+/5U=")</f>
        <v>#VALUE!</v>
      </c>
      <c r="EU323" t="e">
        <f>AND('STERLING CATALOG - FZN &amp; CHILL'!J1834,"AAAAAG/+/5Y=")</f>
        <v>#VALUE!</v>
      </c>
      <c r="EV323">
        <f>IF('STERLING CATALOG - FZN &amp; CHILL'!1835:1835,"AAAAAG/+/5c=",0)</f>
        <v>0</v>
      </c>
      <c r="EW323" t="e">
        <f>AND('STERLING CATALOG - FZN &amp; CHILL'!A1835,"AAAAAG/+/5g=")</f>
        <v>#VALUE!</v>
      </c>
      <c r="EX323" t="e">
        <f>AND('STERLING CATALOG - FZN &amp; CHILL'!B1835,"AAAAAG/+/5k=")</f>
        <v>#VALUE!</v>
      </c>
      <c r="EY323" t="e">
        <f>AND('STERLING CATALOG - FZN &amp; CHILL'!C1835,"AAAAAG/+/5o=")</f>
        <v>#VALUE!</v>
      </c>
      <c r="EZ323" t="e">
        <f>AND('STERLING CATALOG - FZN &amp; CHILL'!D1835,"AAAAAG/+/5s=")</f>
        <v>#VALUE!</v>
      </c>
      <c r="FA323" t="e">
        <f>AND('STERLING CATALOG - FZN &amp; CHILL'!E1835,"AAAAAG/+/5w=")</f>
        <v>#VALUE!</v>
      </c>
      <c r="FB323" t="e">
        <f>AND('STERLING CATALOG - FZN &amp; CHILL'!F1835,"AAAAAG/+/50=")</f>
        <v>#VALUE!</v>
      </c>
      <c r="FC323" t="e">
        <f>AND('STERLING CATALOG - FZN &amp; CHILL'!G1835,"AAAAAG/+/54=")</f>
        <v>#VALUE!</v>
      </c>
      <c r="FD323" t="e">
        <f>AND('STERLING CATALOG - FZN &amp; CHILL'!H1835,"AAAAAG/+/58=")</f>
        <v>#VALUE!</v>
      </c>
      <c r="FE323" t="e">
        <f>AND('STERLING CATALOG - FZN &amp; CHILL'!I1835,"AAAAAG/+/6A=")</f>
        <v>#VALUE!</v>
      </c>
      <c r="FF323" t="e">
        <f>AND('STERLING CATALOG - FZN &amp; CHILL'!J1835,"AAAAAG/+/6E=")</f>
        <v>#VALUE!</v>
      </c>
      <c r="FG323">
        <f>IF('STERLING CATALOG - FZN &amp; CHILL'!1836:1836,"AAAAAG/+/6I=",0)</f>
        <v>0</v>
      </c>
      <c r="FH323" t="e">
        <f>AND('STERLING CATALOG - FZN &amp; CHILL'!A1836,"AAAAAG/+/6M=")</f>
        <v>#VALUE!</v>
      </c>
      <c r="FI323" t="e">
        <f>AND('STERLING CATALOG - FZN &amp; CHILL'!B1836,"AAAAAG/+/6Q=")</f>
        <v>#VALUE!</v>
      </c>
      <c r="FJ323" t="e">
        <f>AND('STERLING CATALOG - FZN &amp; CHILL'!C1836,"AAAAAG/+/6U=")</f>
        <v>#VALUE!</v>
      </c>
      <c r="FK323" t="e">
        <f>AND('STERLING CATALOG - FZN &amp; CHILL'!D1836,"AAAAAG/+/6Y=")</f>
        <v>#VALUE!</v>
      </c>
      <c r="FL323" t="e">
        <f>AND('STERLING CATALOG - FZN &amp; CHILL'!E1836,"AAAAAG/+/6c=")</f>
        <v>#VALUE!</v>
      </c>
      <c r="FM323" t="e">
        <f>AND('STERLING CATALOG - FZN &amp; CHILL'!F1836,"AAAAAG/+/6g=")</f>
        <v>#VALUE!</v>
      </c>
      <c r="FN323" t="e">
        <f>AND('STERLING CATALOG - FZN &amp; CHILL'!G1836,"AAAAAG/+/6k=")</f>
        <v>#VALUE!</v>
      </c>
      <c r="FO323" t="e">
        <f>AND('STERLING CATALOG - FZN &amp; CHILL'!H1836,"AAAAAG/+/6o=")</f>
        <v>#VALUE!</v>
      </c>
      <c r="FP323" t="e">
        <f>AND('STERLING CATALOG - FZN &amp; CHILL'!I1836,"AAAAAG/+/6s=")</f>
        <v>#VALUE!</v>
      </c>
      <c r="FQ323" t="e">
        <f>AND('STERLING CATALOG - FZN &amp; CHILL'!J1836,"AAAAAG/+/6w=")</f>
        <v>#VALUE!</v>
      </c>
      <c r="FR323">
        <f>IF('STERLING CATALOG - FZN &amp; CHILL'!1837:1837,"AAAAAG/+/60=",0)</f>
        <v>0</v>
      </c>
      <c r="FS323" t="e">
        <f>AND('STERLING CATALOG - FZN &amp; CHILL'!A1837,"AAAAAG/+/64=")</f>
        <v>#VALUE!</v>
      </c>
      <c r="FT323" t="e">
        <f>AND('STERLING CATALOG - FZN &amp; CHILL'!B1837,"AAAAAG/+/68=")</f>
        <v>#VALUE!</v>
      </c>
      <c r="FU323" t="e">
        <f>AND('STERLING CATALOG - FZN &amp; CHILL'!C1837,"AAAAAG/+/7A=")</f>
        <v>#VALUE!</v>
      </c>
      <c r="FV323" t="e">
        <f>AND('STERLING CATALOG - FZN &amp; CHILL'!D1837,"AAAAAG/+/7E=")</f>
        <v>#VALUE!</v>
      </c>
      <c r="FW323" t="e">
        <f>AND('STERLING CATALOG - FZN &amp; CHILL'!E1837,"AAAAAG/+/7I=")</f>
        <v>#VALUE!</v>
      </c>
      <c r="FX323" t="e">
        <f>AND('STERLING CATALOG - FZN &amp; CHILL'!F1837,"AAAAAG/+/7M=")</f>
        <v>#VALUE!</v>
      </c>
      <c r="FY323" t="e">
        <f>AND('STERLING CATALOG - FZN &amp; CHILL'!G1837,"AAAAAG/+/7Q=")</f>
        <v>#VALUE!</v>
      </c>
      <c r="FZ323" t="e">
        <f>AND('STERLING CATALOG - FZN &amp; CHILL'!H1837,"AAAAAG/+/7U=")</f>
        <v>#VALUE!</v>
      </c>
      <c r="GA323" t="e">
        <f>AND('STERLING CATALOG - FZN &amp; CHILL'!I1837,"AAAAAG/+/7Y=")</f>
        <v>#VALUE!</v>
      </c>
      <c r="GB323" t="e">
        <f>AND('STERLING CATALOG - FZN &amp; CHILL'!J1837,"AAAAAG/+/7c=")</f>
        <v>#VALUE!</v>
      </c>
      <c r="GC323">
        <f>IF('STERLING CATALOG - FZN &amp; CHILL'!1838:1838,"AAAAAG/+/7g=",0)</f>
        <v>0</v>
      </c>
      <c r="GD323" t="e">
        <f>AND('STERLING CATALOG - FZN &amp; CHILL'!A1838,"AAAAAG/+/7k=")</f>
        <v>#VALUE!</v>
      </c>
      <c r="GE323" t="e">
        <f>AND('STERLING CATALOG - FZN &amp; CHILL'!B1838,"AAAAAG/+/7o=")</f>
        <v>#VALUE!</v>
      </c>
      <c r="GF323" t="e">
        <f>AND('STERLING CATALOG - FZN &amp; CHILL'!C1838,"AAAAAG/+/7s=")</f>
        <v>#VALUE!</v>
      </c>
      <c r="GG323" t="e">
        <f>AND('STERLING CATALOG - FZN &amp; CHILL'!D1838,"AAAAAG/+/7w=")</f>
        <v>#VALUE!</v>
      </c>
      <c r="GH323" t="e">
        <f>AND('STERLING CATALOG - FZN &amp; CHILL'!E1838,"AAAAAG/+/70=")</f>
        <v>#VALUE!</v>
      </c>
      <c r="GI323" t="e">
        <f>AND('STERLING CATALOG - FZN &amp; CHILL'!F1838,"AAAAAG/+/74=")</f>
        <v>#VALUE!</v>
      </c>
      <c r="GJ323" t="e">
        <f>AND('STERLING CATALOG - FZN &amp; CHILL'!G1838,"AAAAAG/+/78=")</f>
        <v>#VALUE!</v>
      </c>
      <c r="GK323" t="e">
        <f>AND('STERLING CATALOG - FZN &amp; CHILL'!H1838,"AAAAAG/+/8A=")</f>
        <v>#VALUE!</v>
      </c>
      <c r="GL323" t="e">
        <f>AND('STERLING CATALOG - FZN &amp; CHILL'!I1838,"AAAAAG/+/8E=")</f>
        <v>#VALUE!</v>
      </c>
      <c r="GM323" t="e">
        <f>AND('STERLING CATALOG - FZN &amp; CHILL'!J1838,"AAAAAG/+/8I=")</f>
        <v>#VALUE!</v>
      </c>
      <c r="GN323">
        <f>IF('STERLING CATALOG - FZN &amp; CHILL'!1839:1839,"AAAAAG/+/8M=",0)</f>
        <v>0</v>
      </c>
      <c r="GO323" t="e">
        <f>AND('STERLING CATALOG - FZN &amp; CHILL'!A1839,"AAAAAG/+/8Q=")</f>
        <v>#VALUE!</v>
      </c>
      <c r="GP323" t="e">
        <f>AND('STERLING CATALOG - FZN &amp; CHILL'!B1839,"AAAAAG/+/8U=")</f>
        <v>#VALUE!</v>
      </c>
      <c r="GQ323" t="e">
        <f>AND('STERLING CATALOG - FZN &amp; CHILL'!C1839,"AAAAAG/+/8Y=")</f>
        <v>#VALUE!</v>
      </c>
      <c r="GR323" t="e">
        <f>AND('STERLING CATALOG - FZN &amp; CHILL'!D1839,"AAAAAG/+/8c=")</f>
        <v>#VALUE!</v>
      </c>
      <c r="GS323" t="e">
        <f>AND('STERLING CATALOG - FZN &amp; CHILL'!E1839,"AAAAAG/+/8g=")</f>
        <v>#VALUE!</v>
      </c>
      <c r="GT323" t="e">
        <f>AND('STERLING CATALOG - FZN &amp; CHILL'!F1839,"AAAAAG/+/8k=")</f>
        <v>#VALUE!</v>
      </c>
      <c r="GU323" t="e">
        <f>AND('STERLING CATALOG - FZN &amp; CHILL'!G1839,"AAAAAG/+/8o=")</f>
        <v>#VALUE!</v>
      </c>
      <c r="GV323" t="e">
        <f>AND('STERLING CATALOG - FZN &amp; CHILL'!H1839,"AAAAAG/+/8s=")</f>
        <v>#VALUE!</v>
      </c>
      <c r="GW323" t="e">
        <f>AND('STERLING CATALOG - FZN &amp; CHILL'!I1839,"AAAAAG/+/8w=")</f>
        <v>#VALUE!</v>
      </c>
      <c r="GX323" t="e">
        <f>AND('STERLING CATALOG - FZN &amp; CHILL'!J1839,"AAAAAG/+/80=")</f>
        <v>#VALUE!</v>
      </c>
      <c r="GY323">
        <f>IF('STERLING CATALOG - FZN &amp; CHILL'!1840:1840,"AAAAAG/+/84=",0)</f>
        <v>0</v>
      </c>
      <c r="GZ323" t="e">
        <f>AND('STERLING CATALOG - FZN &amp; CHILL'!A1840,"AAAAAG/+/88=")</f>
        <v>#VALUE!</v>
      </c>
      <c r="HA323" t="e">
        <f>AND('STERLING CATALOG - FZN &amp; CHILL'!B1840,"AAAAAG/+/9A=")</f>
        <v>#VALUE!</v>
      </c>
      <c r="HB323" t="e">
        <f>AND('STERLING CATALOG - FZN &amp; CHILL'!C1840,"AAAAAG/+/9E=")</f>
        <v>#VALUE!</v>
      </c>
      <c r="HC323" t="e">
        <f>AND('STERLING CATALOG - FZN &amp; CHILL'!D1840,"AAAAAG/+/9I=")</f>
        <v>#VALUE!</v>
      </c>
      <c r="HD323" t="e">
        <f>AND('STERLING CATALOG - FZN &amp; CHILL'!E1840,"AAAAAG/+/9M=")</f>
        <v>#VALUE!</v>
      </c>
      <c r="HE323" t="e">
        <f>AND('STERLING CATALOG - FZN &amp; CHILL'!F1840,"AAAAAG/+/9Q=")</f>
        <v>#VALUE!</v>
      </c>
      <c r="HF323" t="e">
        <f>AND('STERLING CATALOG - FZN &amp; CHILL'!G1840,"AAAAAG/+/9U=")</f>
        <v>#VALUE!</v>
      </c>
      <c r="HG323" t="e">
        <f>AND('STERLING CATALOG - FZN &amp; CHILL'!H1840,"AAAAAG/+/9Y=")</f>
        <v>#VALUE!</v>
      </c>
      <c r="HH323" t="e">
        <f>AND('STERLING CATALOG - FZN &amp; CHILL'!I1840,"AAAAAG/+/9c=")</f>
        <v>#VALUE!</v>
      </c>
      <c r="HI323" t="e">
        <f>AND('STERLING CATALOG - FZN &amp; CHILL'!J1840,"AAAAAG/+/9g=")</f>
        <v>#VALUE!</v>
      </c>
      <c r="HJ323">
        <f>IF('STERLING CATALOG - FZN &amp; CHILL'!1841:1841,"AAAAAG/+/9k=",0)</f>
        <v>0</v>
      </c>
      <c r="HK323" t="e">
        <f>AND('STERLING CATALOG - FZN &amp; CHILL'!A1841,"AAAAAG/+/9o=")</f>
        <v>#VALUE!</v>
      </c>
      <c r="HL323" t="e">
        <f>AND('STERLING CATALOG - FZN &amp; CHILL'!B1841,"AAAAAG/+/9s=")</f>
        <v>#VALUE!</v>
      </c>
      <c r="HM323" t="e">
        <f>AND('STERLING CATALOG - FZN &amp; CHILL'!C1841,"AAAAAG/+/9w=")</f>
        <v>#VALUE!</v>
      </c>
      <c r="HN323" t="e">
        <f>AND('STERLING CATALOG - FZN &amp; CHILL'!D1841,"AAAAAG/+/90=")</f>
        <v>#VALUE!</v>
      </c>
      <c r="HO323" t="e">
        <f>AND('STERLING CATALOG - FZN &amp; CHILL'!E1841,"AAAAAG/+/94=")</f>
        <v>#VALUE!</v>
      </c>
      <c r="HP323" t="e">
        <f>AND('STERLING CATALOG - FZN &amp; CHILL'!F1841,"AAAAAG/+/98=")</f>
        <v>#VALUE!</v>
      </c>
      <c r="HQ323" t="e">
        <f>AND('STERLING CATALOG - FZN &amp; CHILL'!G1841,"AAAAAG/+/+A=")</f>
        <v>#VALUE!</v>
      </c>
      <c r="HR323" t="e">
        <f>AND('STERLING CATALOG - FZN &amp; CHILL'!H1841,"AAAAAG/+/+E=")</f>
        <v>#VALUE!</v>
      </c>
      <c r="HS323" t="e">
        <f>AND('STERLING CATALOG - FZN &amp; CHILL'!I1841,"AAAAAG/+/+I=")</f>
        <v>#VALUE!</v>
      </c>
      <c r="HT323" t="e">
        <f>AND('STERLING CATALOG - FZN &amp; CHILL'!J1841,"AAAAAG/+/+M=")</f>
        <v>#VALUE!</v>
      </c>
      <c r="HU323">
        <f>IF('STERLING CATALOG - FZN &amp; CHILL'!1842:1842,"AAAAAG/+/+Q=",0)</f>
        <v>0</v>
      </c>
      <c r="HV323" t="e">
        <f>AND('STERLING CATALOG - FZN &amp; CHILL'!A1842,"AAAAAG/+/+U=")</f>
        <v>#VALUE!</v>
      </c>
      <c r="HW323" t="e">
        <f>AND('STERLING CATALOG - FZN &amp; CHILL'!B1842,"AAAAAG/+/+Y=")</f>
        <v>#VALUE!</v>
      </c>
      <c r="HX323" t="e">
        <f>AND('STERLING CATALOG - FZN &amp; CHILL'!C1842,"AAAAAG/+/+c=")</f>
        <v>#VALUE!</v>
      </c>
      <c r="HY323" t="e">
        <f>AND('STERLING CATALOG - FZN &amp; CHILL'!D1842,"AAAAAG/+/+g=")</f>
        <v>#VALUE!</v>
      </c>
      <c r="HZ323" t="e">
        <f>AND('STERLING CATALOG - FZN &amp; CHILL'!E1842,"AAAAAG/+/+k=")</f>
        <v>#VALUE!</v>
      </c>
      <c r="IA323" t="e">
        <f>AND('STERLING CATALOG - FZN &amp; CHILL'!F1842,"AAAAAG/+/+o=")</f>
        <v>#VALUE!</v>
      </c>
      <c r="IB323" t="e">
        <f>AND('STERLING CATALOG - FZN &amp; CHILL'!G1842,"AAAAAG/+/+s=")</f>
        <v>#VALUE!</v>
      </c>
      <c r="IC323" t="e">
        <f>AND('STERLING CATALOG - FZN &amp; CHILL'!H1842,"AAAAAG/+/+w=")</f>
        <v>#VALUE!</v>
      </c>
      <c r="ID323" t="e">
        <f>AND('STERLING CATALOG - FZN &amp; CHILL'!I1842,"AAAAAG/+/+0=")</f>
        <v>#VALUE!</v>
      </c>
      <c r="IE323" t="e">
        <f>AND('STERLING CATALOG - FZN &amp; CHILL'!J1842,"AAAAAG/+/+4=")</f>
        <v>#VALUE!</v>
      </c>
      <c r="IF323">
        <f>IF('STERLING CATALOG - FZN &amp; CHILL'!1843:1843,"AAAAAG/+/+8=",0)</f>
        <v>0</v>
      </c>
      <c r="IG323" t="e">
        <f>AND('STERLING CATALOG - FZN &amp; CHILL'!A1843,"AAAAAG/+//A=")</f>
        <v>#VALUE!</v>
      </c>
      <c r="IH323" t="e">
        <f>AND('STERLING CATALOG - FZN &amp; CHILL'!B1843,"AAAAAG/+//E=")</f>
        <v>#VALUE!</v>
      </c>
      <c r="II323" t="e">
        <f>AND('STERLING CATALOG - FZN &amp; CHILL'!C1843,"AAAAAG/+//I=")</f>
        <v>#VALUE!</v>
      </c>
      <c r="IJ323" t="e">
        <f>AND('STERLING CATALOG - FZN &amp; CHILL'!D1843,"AAAAAG/+//M=")</f>
        <v>#VALUE!</v>
      </c>
      <c r="IK323" t="e">
        <f>AND('STERLING CATALOG - FZN &amp; CHILL'!E1843,"AAAAAG/+//Q=")</f>
        <v>#VALUE!</v>
      </c>
      <c r="IL323" t="e">
        <f>AND('STERLING CATALOG - FZN &amp; CHILL'!F1843,"AAAAAG/+//U=")</f>
        <v>#VALUE!</v>
      </c>
      <c r="IM323" t="e">
        <f>AND('STERLING CATALOG - FZN &amp; CHILL'!G1843,"AAAAAG/+//Y=")</f>
        <v>#VALUE!</v>
      </c>
      <c r="IN323" t="e">
        <f>AND('STERLING CATALOG - FZN &amp; CHILL'!H1843,"AAAAAG/+//c=")</f>
        <v>#VALUE!</v>
      </c>
      <c r="IO323" t="e">
        <f>AND('STERLING CATALOG - FZN &amp; CHILL'!I1843,"AAAAAG/+//g=")</f>
        <v>#VALUE!</v>
      </c>
      <c r="IP323" t="e">
        <f>AND('STERLING CATALOG - FZN &amp; CHILL'!J1843,"AAAAAG/+//k=")</f>
        <v>#VALUE!</v>
      </c>
      <c r="IQ323">
        <f>IF('STERLING CATALOG - FZN &amp; CHILL'!1844:1844,"AAAAAG/+//o=",0)</f>
        <v>0</v>
      </c>
      <c r="IR323" t="e">
        <f>AND('STERLING CATALOG - FZN &amp; CHILL'!A1844,"AAAAAG/+//s=")</f>
        <v>#VALUE!</v>
      </c>
      <c r="IS323" t="e">
        <f>AND('STERLING CATALOG - FZN &amp; CHILL'!B1844,"AAAAAG/+//w=")</f>
        <v>#VALUE!</v>
      </c>
      <c r="IT323" t="e">
        <f>AND('STERLING CATALOG - FZN &amp; CHILL'!C1844,"AAAAAG/+//0=")</f>
        <v>#VALUE!</v>
      </c>
      <c r="IU323" t="e">
        <f>AND('STERLING CATALOG - FZN &amp; CHILL'!D1844,"AAAAAG/+//4=")</f>
        <v>#VALUE!</v>
      </c>
      <c r="IV323" t="e">
        <f>AND('STERLING CATALOG - FZN &amp; CHILL'!E1844,"AAAAAG/+//8=")</f>
        <v>#VALUE!</v>
      </c>
    </row>
    <row r="324" spans="1:256">
      <c r="A324" t="e">
        <f>AND('STERLING CATALOG - FZN &amp; CHILL'!F1844,"AAAAAFnvvgA=")</f>
        <v>#VALUE!</v>
      </c>
      <c r="B324" t="e">
        <f>AND('STERLING CATALOG - FZN &amp; CHILL'!G1844,"AAAAAFnvvgE=")</f>
        <v>#VALUE!</v>
      </c>
      <c r="C324" t="e">
        <f>AND('STERLING CATALOG - FZN &amp; CHILL'!H1844,"AAAAAFnvvgI=")</f>
        <v>#VALUE!</v>
      </c>
      <c r="D324" t="e">
        <f>AND('STERLING CATALOG - FZN &amp; CHILL'!I1844,"AAAAAFnvvgM=")</f>
        <v>#VALUE!</v>
      </c>
      <c r="E324" t="e">
        <f>AND('STERLING CATALOG - FZN &amp; CHILL'!J1844,"AAAAAFnvvgQ=")</f>
        <v>#VALUE!</v>
      </c>
      <c r="F324" t="str">
        <f>IF('STERLING CATALOG - FZN &amp; CHILL'!1845:1845,"AAAAAFnvvgU=",0)</f>
        <v>AAAAAFnvvgU=</v>
      </c>
      <c r="G324" t="e">
        <f>AND('STERLING CATALOG - FZN &amp; CHILL'!A1845,"AAAAAFnvvgY=")</f>
        <v>#VALUE!</v>
      </c>
      <c r="H324" t="e">
        <f>AND('STERLING CATALOG - FZN &amp; CHILL'!B1845,"AAAAAFnvvgc=")</f>
        <v>#VALUE!</v>
      </c>
      <c r="I324" t="e">
        <f>AND('STERLING CATALOG - FZN &amp; CHILL'!C1845,"AAAAAFnvvgg=")</f>
        <v>#VALUE!</v>
      </c>
      <c r="J324" t="e">
        <f>AND('STERLING CATALOG - FZN &amp; CHILL'!D1845,"AAAAAFnvvgk=")</f>
        <v>#VALUE!</v>
      </c>
      <c r="K324" t="e">
        <f>AND('STERLING CATALOG - FZN &amp; CHILL'!E1845,"AAAAAFnvvgo=")</f>
        <v>#VALUE!</v>
      </c>
      <c r="L324" t="e">
        <f>AND('STERLING CATALOG - FZN &amp; CHILL'!F1845,"AAAAAFnvvgs=")</f>
        <v>#VALUE!</v>
      </c>
      <c r="M324" t="e">
        <f>AND('STERLING CATALOG - FZN &amp; CHILL'!G1845,"AAAAAFnvvgw=")</f>
        <v>#VALUE!</v>
      </c>
      <c r="N324" t="e">
        <f>AND('STERLING CATALOG - FZN &amp; CHILL'!H1845,"AAAAAFnvvg0=")</f>
        <v>#VALUE!</v>
      </c>
      <c r="O324" t="e">
        <f>AND('STERLING CATALOG - FZN &amp; CHILL'!I1845,"AAAAAFnvvg4=")</f>
        <v>#VALUE!</v>
      </c>
      <c r="P324" t="e">
        <f>AND('STERLING CATALOG - FZN &amp; CHILL'!J1845,"AAAAAFnvvg8=")</f>
        <v>#VALUE!</v>
      </c>
      <c r="Q324">
        <f>IF('STERLING CATALOG - FZN &amp; CHILL'!1846:1846,"AAAAAFnvvhA=",0)</f>
        <v>0</v>
      </c>
      <c r="R324" t="e">
        <f>AND('STERLING CATALOG - FZN &amp; CHILL'!A1846,"AAAAAFnvvhE=")</f>
        <v>#VALUE!</v>
      </c>
      <c r="S324" t="e">
        <f>AND('STERLING CATALOG - FZN &amp; CHILL'!B1846,"AAAAAFnvvhI=")</f>
        <v>#VALUE!</v>
      </c>
      <c r="T324" t="e">
        <f>AND('STERLING CATALOG - FZN &amp; CHILL'!C1846,"AAAAAFnvvhM=")</f>
        <v>#VALUE!</v>
      </c>
      <c r="U324" t="e">
        <f>AND('STERLING CATALOG - FZN &amp; CHILL'!D1846,"AAAAAFnvvhQ=")</f>
        <v>#VALUE!</v>
      </c>
      <c r="V324" t="e">
        <f>AND('STERLING CATALOG - FZN &amp; CHILL'!E1846,"AAAAAFnvvhU=")</f>
        <v>#VALUE!</v>
      </c>
      <c r="W324" t="e">
        <f>AND('STERLING CATALOG - FZN &amp; CHILL'!F1846,"AAAAAFnvvhY=")</f>
        <v>#VALUE!</v>
      </c>
      <c r="X324" t="e">
        <f>AND('STERLING CATALOG - FZN &amp; CHILL'!G1846,"AAAAAFnvvhc=")</f>
        <v>#VALUE!</v>
      </c>
      <c r="Y324" t="e">
        <f>AND('STERLING CATALOG - FZN &amp; CHILL'!H1846,"AAAAAFnvvhg=")</f>
        <v>#VALUE!</v>
      </c>
      <c r="Z324" t="e">
        <f>AND('STERLING CATALOG - FZN &amp; CHILL'!I1846,"AAAAAFnvvhk=")</f>
        <v>#VALUE!</v>
      </c>
      <c r="AA324" t="e">
        <f>AND('STERLING CATALOG - FZN &amp; CHILL'!J1846,"AAAAAFnvvho=")</f>
        <v>#VALUE!</v>
      </c>
      <c r="AB324">
        <f>IF('STERLING CATALOG - FZN &amp; CHILL'!1847:1847,"AAAAAFnvvhs=",0)</f>
        <v>0</v>
      </c>
      <c r="AC324" t="e">
        <f>AND('STERLING CATALOG - FZN &amp; CHILL'!A1847,"AAAAAFnvvhw=")</f>
        <v>#VALUE!</v>
      </c>
      <c r="AD324" t="e">
        <f>AND('STERLING CATALOG - FZN &amp; CHILL'!B1847,"AAAAAFnvvh0=")</f>
        <v>#VALUE!</v>
      </c>
      <c r="AE324" t="e">
        <f>AND('STERLING CATALOG - FZN &amp; CHILL'!C1847,"AAAAAFnvvh4=")</f>
        <v>#VALUE!</v>
      </c>
      <c r="AF324" t="e">
        <f>AND('STERLING CATALOG - FZN &amp; CHILL'!D1847,"AAAAAFnvvh8=")</f>
        <v>#VALUE!</v>
      </c>
      <c r="AG324" t="e">
        <f>AND('STERLING CATALOG - FZN &amp; CHILL'!E1847,"AAAAAFnvviA=")</f>
        <v>#VALUE!</v>
      </c>
      <c r="AH324" t="e">
        <f>AND('STERLING CATALOG - FZN &amp; CHILL'!F1847,"AAAAAFnvviE=")</f>
        <v>#VALUE!</v>
      </c>
      <c r="AI324" t="e">
        <f>AND('STERLING CATALOG - FZN &amp; CHILL'!G1847,"AAAAAFnvviI=")</f>
        <v>#VALUE!</v>
      </c>
      <c r="AJ324" t="e">
        <f>AND('STERLING CATALOG - FZN &amp; CHILL'!H1847,"AAAAAFnvviM=")</f>
        <v>#VALUE!</v>
      </c>
      <c r="AK324" t="e">
        <f>AND('STERLING CATALOG - FZN &amp; CHILL'!I1847,"AAAAAFnvviQ=")</f>
        <v>#VALUE!</v>
      </c>
      <c r="AL324" t="e">
        <f>AND('STERLING CATALOG - FZN &amp; CHILL'!J1847,"AAAAAFnvviU=")</f>
        <v>#VALUE!</v>
      </c>
      <c r="AM324">
        <f>IF('STERLING CATALOG - FZN &amp; CHILL'!1848:1848,"AAAAAFnvviY=",0)</f>
        <v>0</v>
      </c>
      <c r="AN324" t="e">
        <f>AND('STERLING CATALOG - FZN &amp; CHILL'!A1848,"AAAAAFnvvic=")</f>
        <v>#VALUE!</v>
      </c>
      <c r="AO324" t="e">
        <f>AND('STERLING CATALOG - FZN &amp; CHILL'!B1848,"AAAAAFnvvig=")</f>
        <v>#VALUE!</v>
      </c>
      <c r="AP324" t="e">
        <f>AND('STERLING CATALOG - FZN &amp; CHILL'!C1848,"AAAAAFnvvik=")</f>
        <v>#VALUE!</v>
      </c>
      <c r="AQ324" t="e">
        <f>AND('STERLING CATALOG - FZN &amp; CHILL'!D1848,"AAAAAFnvvio=")</f>
        <v>#VALUE!</v>
      </c>
      <c r="AR324" t="e">
        <f>AND('STERLING CATALOG - FZN &amp; CHILL'!E1848,"AAAAAFnvvis=")</f>
        <v>#VALUE!</v>
      </c>
      <c r="AS324" t="e">
        <f>AND('STERLING CATALOG - FZN &amp; CHILL'!F1848,"AAAAAFnvviw=")</f>
        <v>#VALUE!</v>
      </c>
      <c r="AT324" t="e">
        <f>AND('STERLING CATALOG - FZN &amp; CHILL'!G1848,"AAAAAFnvvi0=")</f>
        <v>#VALUE!</v>
      </c>
      <c r="AU324" t="e">
        <f>AND('STERLING CATALOG - FZN &amp; CHILL'!H1848,"AAAAAFnvvi4=")</f>
        <v>#VALUE!</v>
      </c>
      <c r="AV324" t="e">
        <f>AND('STERLING CATALOG - FZN &amp; CHILL'!I1848,"AAAAAFnvvi8=")</f>
        <v>#VALUE!</v>
      </c>
      <c r="AW324" t="e">
        <f>AND('STERLING CATALOG - FZN &amp; CHILL'!J1848,"AAAAAFnvvjA=")</f>
        <v>#VALUE!</v>
      </c>
      <c r="AX324">
        <f>IF('STERLING CATALOG - FZN &amp; CHILL'!1849:1849,"AAAAAFnvvjE=",0)</f>
        <v>0</v>
      </c>
      <c r="AY324" t="e">
        <f>AND('STERLING CATALOG - FZN &amp; CHILL'!A1849,"AAAAAFnvvjI=")</f>
        <v>#VALUE!</v>
      </c>
      <c r="AZ324" t="e">
        <f>AND('STERLING CATALOG - FZN &amp; CHILL'!B1849,"AAAAAFnvvjM=")</f>
        <v>#VALUE!</v>
      </c>
      <c r="BA324" t="e">
        <f>AND('STERLING CATALOG - FZN &amp; CHILL'!C1849,"AAAAAFnvvjQ=")</f>
        <v>#VALUE!</v>
      </c>
      <c r="BB324" t="e">
        <f>AND('STERLING CATALOG - FZN &amp; CHILL'!D1849,"AAAAAFnvvjU=")</f>
        <v>#VALUE!</v>
      </c>
      <c r="BC324" t="e">
        <f>AND('STERLING CATALOG - FZN &amp; CHILL'!E1849,"AAAAAFnvvjY=")</f>
        <v>#VALUE!</v>
      </c>
      <c r="BD324" t="e">
        <f>AND('STERLING CATALOG - FZN &amp; CHILL'!F1849,"AAAAAFnvvjc=")</f>
        <v>#VALUE!</v>
      </c>
      <c r="BE324" t="e">
        <f>AND('STERLING CATALOG - FZN &amp; CHILL'!G1849,"AAAAAFnvvjg=")</f>
        <v>#VALUE!</v>
      </c>
      <c r="BF324" t="e">
        <f>AND('STERLING CATALOG - FZN &amp; CHILL'!H1849,"AAAAAFnvvjk=")</f>
        <v>#VALUE!</v>
      </c>
      <c r="BG324" t="e">
        <f>AND('STERLING CATALOG - FZN &amp; CHILL'!I1849,"AAAAAFnvvjo=")</f>
        <v>#VALUE!</v>
      </c>
      <c r="BH324" t="e">
        <f>AND('STERLING CATALOG - FZN &amp; CHILL'!J1849,"AAAAAFnvvjs=")</f>
        <v>#VALUE!</v>
      </c>
      <c r="BI324">
        <f>IF('STERLING CATALOG - FZN &amp; CHILL'!1850:1850,"AAAAAFnvvjw=",0)</f>
        <v>0</v>
      </c>
      <c r="BJ324" t="e">
        <f>AND('STERLING CATALOG - FZN &amp; CHILL'!A1850,"AAAAAFnvvj0=")</f>
        <v>#VALUE!</v>
      </c>
      <c r="BK324" t="e">
        <f>AND('STERLING CATALOG - FZN &amp; CHILL'!B1850,"AAAAAFnvvj4=")</f>
        <v>#VALUE!</v>
      </c>
      <c r="BL324" t="e">
        <f>AND('STERLING CATALOG - FZN &amp; CHILL'!C1850,"AAAAAFnvvj8=")</f>
        <v>#VALUE!</v>
      </c>
      <c r="BM324" t="e">
        <f>AND('STERLING CATALOG - FZN &amp; CHILL'!D1850,"AAAAAFnvvkA=")</f>
        <v>#VALUE!</v>
      </c>
      <c r="BN324" t="e">
        <f>AND('STERLING CATALOG - FZN &amp; CHILL'!E1850,"AAAAAFnvvkE=")</f>
        <v>#VALUE!</v>
      </c>
      <c r="BO324" t="e">
        <f>AND('STERLING CATALOG - FZN &amp; CHILL'!F1850,"AAAAAFnvvkI=")</f>
        <v>#VALUE!</v>
      </c>
      <c r="BP324" t="e">
        <f>AND('STERLING CATALOG - FZN &amp; CHILL'!G1850,"AAAAAFnvvkM=")</f>
        <v>#VALUE!</v>
      </c>
      <c r="BQ324" t="e">
        <f>AND('STERLING CATALOG - FZN &amp; CHILL'!H1850,"AAAAAFnvvkQ=")</f>
        <v>#VALUE!</v>
      </c>
      <c r="BR324" t="e">
        <f>AND('STERLING CATALOG - FZN &amp; CHILL'!I1850,"AAAAAFnvvkU=")</f>
        <v>#VALUE!</v>
      </c>
      <c r="BS324" t="e">
        <f>AND('STERLING CATALOG - FZN &amp; CHILL'!J1850,"AAAAAFnvvkY=")</f>
        <v>#VALUE!</v>
      </c>
      <c r="BT324">
        <f>IF('STERLING CATALOG - FZN &amp; CHILL'!1851:1851,"AAAAAFnvvkc=",0)</f>
        <v>0</v>
      </c>
      <c r="BU324" t="e">
        <f>AND('STERLING CATALOG - FZN &amp; CHILL'!A1851,"AAAAAFnvvkg=")</f>
        <v>#VALUE!</v>
      </c>
      <c r="BV324" t="e">
        <f>AND('STERLING CATALOG - FZN &amp; CHILL'!B1851,"AAAAAFnvvkk=")</f>
        <v>#VALUE!</v>
      </c>
      <c r="BW324" t="e">
        <f>AND('STERLING CATALOG - FZN &amp; CHILL'!C1851,"AAAAAFnvvko=")</f>
        <v>#VALUE!</v>
      </c>
      <c r="BX324" t="e">
        <f>AND('STERLING CATALOG - FZN &amp; CHILL'!D1851,"AAAAAFnvvks=")</f>
        <v>#VALUE!</v>
      </c>
      <c r="BY324" t="e">
        <f>AND('STERLING CATALOG - FZN &amp; CHILL'!E1851,"AAAAAFnvvkw=")</f>
        <v>#VALUE!</v>
      </c>
      <c r="BZ324" t="e">
        <f>AND('STERLING CATALOG - FZN &amp; CHILL'!F1851,"AAAAAFnvvk0=")</f>
        <v>#VALUE!</v>
      </c>
      <c r="CA324" t="e">
        <f>AND('STERLING CATALOG - FZN &amp; CHILL'!G1851,"AAAAAFnvvk4=")</f>
        <v>#VALUE!</v>
      </c>
      <c r="CB324" t="e">
        <f>AND('STERLING CATALOG - FZN &amp; CHILL'!H1851,"AAAAAFnvvk8=")</f>
        <v>#VALUE!</v>
      </c>
      <c r="CC324" t="e">
        <f>AND('STERLING CATALOG - FZN &amp; CHILL'!I1851,"AAAAAFnvvlA=")</f>
        <v>#VALUE!</v>
      </c>
      <c r="CD324" t="e">
        <f>AND('STERLING CATALOG - FZN &amp; CHILL'!J1851,"AAAAAFnvvlE=")</f>
        <v>#VALUE!</v>
      </c>
      <c r="CE324">
        <f>IF('STERLING CATALOG - FZN &amp; CHILL'!1852:1852,"AAAAAFnvvlI=",0)</f>
        <v>0</v>
      </c>
      <c r="CF324" t="e">
        <f>AND('STERLING CATALOG - FZN &amp; CHILL'!A1852,"AAAAAFnvvlM=")</f>
        <v>#VALUE!</v>
      </c>
      <c r="CG324" t="e">
        <f>AND('STERLING CATALOG - FZN &amp; CHILL'!B1852,"AAAAAFnvvlQ=")</f>
        <v>#VALUE!</v>
      </c>
      <c r="CH324" t="e">
        <f>AND('STERLING CATALOG - FZN &amp; CHILL'!C1852,"AAAAAFnvvlU=")</f>
        <v>#VALUE!</v>
      </c>
      <c r="CI324" t="e">
        <f>AND('STERLING CATALOG - FZN &amp; CHILL'!D1852,"AAAAAFnvvlY=")</f>
        <v>#VALUE!</v>
      </c>
      <c r="CJ324" t="e">
        <f>AND('STERLING CATALOG - FZN &amp; CHILL'!E1852,"AAAAAFnvvlc=")</f>
        <v>#VALUE!</v>
      </c>
      <c r="CK324" t="e">
        <f>AND('STERLING CATALOG - FZN &amp; CHILL'!F1852,"AAAAAFnvvlg=")</f>
        <v>#VALUE!</v>
      </c>
      <c r="CL324" t="e">
        <f>AND('STERLING CATALOG - FZN &amp; CHILL'!G1852,"AAAAAFnvvlk=")</f>
        <v>#VALUE!</v>
      </c>
      <c r="CM324" t="e">
        <f>AND('STERLING CATALOG - FZN &amp; CHILL'!H1852,"AAAAAFnvvlo=")</f>
        <v>#VALUE!</v>
      </c>
      <c r="CN324" t="e">
        <f>AND('STERLING CATALOG - FZN &amp; CHILL'!I1852,"AAAAAFnvvls=")</f>
        <v>#VALUE!</v>
      </c>
      <c r="CO324" t="e">
        <f>AND('STERLING CATALOG - FZN &amp; CHILL'!J1852,"AAAAAFnvvlw=")</f>
        <v>#VALUE!</v>
      </c>
      <c r="CP324">
        <f>IF('STERLING CATALOG - FZN &amp; CHILL'!1853:1853,"AAAAAFnvvl0=",0)</f>
        <v>0</v>
      </c>
      <c r="CQ324" t="e">
        <f>AND('STERLING CATALOG - FZN &amp; CHILL'!A1853,"AAAAAFnvvl4=")</f>
        <v>#VALUE!</v>
      </c>
      <c r="CR324" t="e">
        <f>AND('STERLING CATALOG - FZN &amp; CHILL'!B1853,"AAAAAFnvvl8=")</f>
        <v>#VALUE!</v>
      </c>
      <c r="CS324" t="e">
        <f>AND('STERLING CATALOG - FZN &amp; CHILL'!C1853,"AAAAAFnvvmA=")</f>
        <v>#VALUE!</v>
      </c>
      <c r="CT324" t="e">
        <f>AND('STERLING CATALOG - FZN &amp; CHILL'!D1853,"AAAAAFnvvmE=")</f>
        <v>#VALUE!</v>
      </c>
      <c r="CU324" t="e">
        <f>AND('STERLING CATALOG - FZN &amp; CHILL'!E1853,"AAAAAFnvvmI=")</f>
        <v>#VALUE!</v>
      </c>
      <c r="CV324" t="e">
        <f>AND('STERLING CATALOG - FZN &amp; CHILL'!F1853,"AAAAAFnvvmM=")</f>
        <v>#VALUE!</v>
      </c>
      <c r="CW324" t="e">
        <f>AND('STERLING CATALOG - FZN &amp; CHILL'!G1853,"AAAAAFnvvmQ=")</f>
        <v>#VALUE!</v>
      </c>
      <c r="CX324" t="e">
        <f>AND('STERLING CATALOG - FZN &amp; CHILL'!H1853,"AAAAAFnvvmU=")</f>
        <v>#VALUE!</v>
      </c>
      <c r="CY324" t="e">
        <f>AND('STERLING CATALOG - FZN &amp; CHILL'!I1853,"AAAAAFnvvmY=")</f>
        <v>#VALUE!</v>
      </c>
      <c r="CZ324" t="e">
        <f>AND('STERLING CATALOG - FZN &amp; CHILL'!J1853,"AAAAAFnvvmc=")</f>
        <v>#VALUE!</v>
      </c>
      <c r="DA324">
        <f>IF('STERLING CATALOG - FZN &amp; CHILL'!1854:1854,"AAAAAFnvvmg=",0)</f>
        <v>0</v>
      </c>
      <c r="DB324" t="e">
        <f>AND('STERLING CATALOG - FZN &amp; CHILL'!A1854,"AAAAAFnvvmk=")</f>
        <v>#VALUE!</v>
      </c>
      <c r="DC324" t="e">
        <f>AND('STERLING CATALOG - FZN &amp; CHILL'!B1854,"AAAAAFnvvmo=")</f>
        <v>#VALUE!</v>
      </c>
      <c r="DD324" t="e">
        <f>AND('STERLING CATALOG - FZN &amp; CHILL'!C1854,"AAAAAFnvvms=")</f>
        <v>#VALUE!</v>
      </c>
      <c r="DE324" t="e">
        <f>AND('STERLING CATALOG - FZN &amp; CHILL'!D1854,"AAAAAFnvvmw=")</f>
        <v>#VALUE!</v>
      </c>
      <c r="DF324" t="e">
        <f>AND('STERLING CATALOG - FZN &amp; CHILL'!E1854,"AAAAAFnvvm0=")</f>
        <v>#VALUE!</v>
      </c>
      <c r="DG324" t="e">
        <f>AND('STERLING CATALOG - FZN &amp; CHILL'!F1854,"AAAAAFnvvm4=")</f>
        <v>#VALUE!</v>
      </c>
      <c r="DH324" t="e">
        <f>AND('STERLING CATALOG - FZN &amp; CHILL'!G1854,"AAAAAFnvvm8=")</f>
        <v>#VALUE!</v>
      </c>
      <c r="DI324" t="e">
        <f>AND('STERLING CATALOG - FZN &amp; CHILL'!H1854,"AAAAAFnvvnA=")</f>
        <v>#VALUE!</v>
      </c>
      <c r="DJ324" t="e">
        <f>AND('STERLING CATALOG - FZN &amp; CHILL'!I1854,"AAAAAFnvvnE=")</f>
        <v>#VALUE!</v>
      </c>
      <c r="DK324" t="e">
        <f>AND('STERLING CATALOG - FZN &amp; CHILL'!J1854,"AAAAAFnvvnI=")</f>
        <v>#VALUE!</v>
      </c>
      <c r="DL324">
        <f>IF('STERLING CATALOG - FZN &amp; CHILL'!1855:1855,"AAAAAFnvvnM=",0)</f>
        <v>0</v>
      </c>
      <c r="DM324" t="e">
        <f>AND('STERLING CATALOG - FZN &amp; CHILL'!A1855,"AAAAAFnvvnQ=")</f>
        <v>#VALUE!</v>
      </c>
      <c r="DN324" t="e">
        <f>AND('STERLING CATALOG - FZN &amp; CHILL'!B1855,"AAAAAFnvvnU=")</f>
        <v>#VALUE!</v>
      </c>
      <c r="DO324" t="e">
        <f>AND('STERLING CATALOG - FZN &amp; CHILL'!C1855,"AAAAAFnvvnY=")</f>
        <v>#VALUE!</v>
      </c>
      <c r="DP324" t="e">
        <f>AND('STERLING CATALOG - FZN &amp; CHILL'!D1855,"AAAAAFnvvnc=")</f>
        <v>#VALUE!</v>
      </c>
      <c r="DQ324" t="e">
        <f>AND('STERLING CATALOG - FZN &amp; CHILL'!E1855,"AAAAAFnvvng=")</f>
        <v>#VALUE!</v>
      </c>
      <c r="DR324" t="e">
        <f>AND('STERLING CATALOG - FZN &amp; CHILL'!F1855,"AAAAAFnvvnk=")</f>
        <v>#VALUE!</v>
      </c>
      <c r="DS324" t="e">
        <f>AND('STERLING CATALOG - FZN &amp; CHILL'!G1855,"AAAAAFnvvno=")</f>
        <v>#VALUE!</v>
      </c>
      <c r="DT324" t="e">
        <f>AND('STERLING CATALOG - FZN &amp; CHILL'!H1855,"AAAAAFnvvns=")</f>
        <v>#VALUE!</v>
      </c>
      <c r="DU324" t="e">
        <f>AND('STERLING CATALOG - FZN &amp; CHILL'!I1855,"AAAAAFnvvnw=")</f>
        <v>#VALUE!</v>
      </c>
      <c r="DV324" t="e">
        <f>AND('STERLING CATALOG - FZN &amp; CHILL'!J1855,"AAAAAFnvvn0=")</f>
        <v>#VALUE!</v>
      </c>
      <c r="DW324">
        <f>IF('STERLING CATALOG - FZN &amp; CHILL'!1856:1856,"AAAAAFnvvn4=",0)</f>
        <v>0</v>
      </c>
      <c r="DX324" t="e">
        <f>AND('STERLING CATALOG - FZN &amp; CHILL'!A1856,"AAAAAFnvvn8=")</f>
        <v>#VALUE!</v>
      </c>
      <c r="DY324" t="e">
        <f>AND('STERLING CATALOG - FZN &amp; CHILL'!B1856,"AAAAAFnvvoA=")</f>
        <v>#VALUE!</v>
      </c>
      <c r="DZ324" t="e">
        <f>AND('STERLING CATALOG - FZN &amp; CHILL'!C1856,"AAAAAFnvvoE=")</f>
        <v>#VALUE!</v>
      </c>
      <c r="EA324" t="e">
        <f>AND('STERLING CATALOG - FZN &amp; CHILL'!D1856,"AAAAAFnvvoI=")</f>
        <v>#VALUE!</v>
      </c>
      <c r="EB324" t="e">
        <f>AND('STERLING CATALOG - FZN &amp; CHILL'!E1856,"AAAAAFnvvoM=")</f>
        <v>#VALUE!</v>
      </c>
      <c r="EC324" t="e">
        <f>AND('STERLING CATALOG - FZN &amp; CHILL'!F1856,"AAAAAFnvvoQ=")</f>
        <v>#VALUE!</v>
      </c>
      <c r="ED324" t="e">
        <f>AND('STERLING CATALOG - FZN &amp; CHILL'!G1856,"AAAAAFnvvoU=")</f>
        <v>#VALUE!</v>
      </c>
      <c r="EE324" t="e">
        <f>AND('STERLING CATALOG - FZN &amp; CHILL'!H1856,"AAAAAFnvvoY=")</f>
        <v>#VALUE!</v>
      </c>
      <c r="EF324" t="e">
        <f>AND('STERLING CATALOG - FZN &amp; CHILL'!I1856,"AAAAAFnvvoc=")</f>
        <v>#VALUE!</v>
      </c>
      <c r="EG324" t="e">
        <f>AND('STERLING CATALOG - FZN &amp; CHILL'!J1856,"AAAAAFnvvog=")</f>
        <v>#VALUE!</v>
      </c>
      <c r="EH324">
        <f>IF('STERLING CATALOG - FZN &amp; CHILL'!1857:1857,"AAAAAFnvvok=",0)</f>
        <v>0</v>
      </c>
      <c r="EI324" t="e">
        <f>AND('STERLING CATALOG - FZN &amp; CHILL'!A1857,"AAAAAFnvvoo=")</f>
        <v>#VALUE!</v>
      </c>
      <c r="EJ324" t="e">
        <f>AND('STERLING CATALOG - FZN &amp; CHILL'!B1857,"AAAAAFnvvos=")</f>
        <v>#VALUE!</v>
      </c>
      <c r="EK324" t="e">
        <f>AND('STERLING CATALOG - FZN &amp; CHILL'!C1857,"AAAAAFnvvow=")</f>
        <v>#VALUE!</v>
      </c>
      <c r="EL324" t="e">
        <f>AND('STERLING CATALOG - FZN &amp; CHILL'!D1857,"AAAAAFnvvo0=")</f>
        <v>#VALUE!</v>
      </c>
      <c r="EM324" t="e">
        <f>AND('STERLING CATALOG - FZN &amp; CHILL'!E1857,"AAAAAFnvvo4=")</f>
        <v>#VALUE!</v>
      </c>
      <c r="EN324" t="e">
        <f>AND('STERLING CATALOG - FZN &amp; CHILL'!F1857,"AAAAAFnvvo8=")</f>
        <v>#VALUE!</v>
      </c>
      <c r="EO324" t="e">
        <f>AND('STERLING CATALOG - FZN &amp; CHILL'!G1857,"AAAAAFnvvpA=")</f>
        <v>#VALUE!</v>
      </c>
      <c r="EP324" t="e">
        <f>AND('STERLING CATALOG - FZN &amp; CHILL'!H1857,"AAAAAFnvvpE=")</f>
        <v>#VALUE!</v>
      </c>
      <c r="EQ324" t="e">
        <f>AND('STERLING CATALOG - FZN &amp; CHILL'!I1857,"AAAAAFnvvpI=")</f>
        <v>#VALUE!</v>
      </c>
      <c r="ER324" t="e">
        <f>AND('STERLING CATALOG - FZN &amp; CHILL'!J1857,"AAAAAFnvvpM=")</f>
        <v>#VALUE!</v>
      </c>
      <c r="ES324">
        <f>IF('STERLING CATALOG - FZN &amp; CHILL'!1858:1858,"AAAAAFnvvpQ=",0)</f>
        <v>0</v>
      </c>
      <c r="ET324" t="e">
        <f>AND('STERLING CATALOG - FZN &amp; CHILL'!A1858,"AAAAAFnvvpU=")</f>
        <v>#VALUE!</v>
      </c>
      <c r="EU324" t="e">
        <f>AND('STERLING CATALOG - FZN &amp; CHILL'!B1858,"AAAAAFnvvpY=")</f>
        <v>#VALUE!</v>
      </c>
      <c r="EV324" t="e">
        <f>AND('STERLING CATALOG - FZN &amp; CHILL'!C1858,"AAAAAFnvvpc=")</f>
        <v>#VALUE!</v>
      </c>
      <c r="EW324" t="e">
        <f>AND('STERLING CATALOG - FZN &amp; CHILL'!D1858,"AAAAAFnvvpg=")</f>
        <v>#VALUE!</v>
      </c>
      <c r="EX324" t="e">
        <f>AND('STERLING CATALOG - FZN &amp; CHILL'!E1858,"AAAAAFnvvpk=")</f>
        <v>#VALUE!</v>
      </c>
      <c r="EY324" t="e">
        <f>AND('STERLING CATALOG - FZN &amp; CHILL'!F1858,"AAAAAFnvvpo=")</f>
        <v>#VALUE!</v>
      </c>
      <c r="EZ324" t="e">
        <f>AND('STERLING CATALOG - FZN &amp; CHILL'!G1858,"AAAAAFnvvps=")</f>
        <v>#VALUE!</v>
      </c>
      <c r="FA324" t="e">
        <f>AND('STERLING CATALOG - FZN &amp; CHILL'!H1858,"AAAAAFnvvpw=")</f>
        <v>#VALUE!</v>
      </c>
      <c r="FB324" t="e">
        <f>AND('STERLING CATALOG - FZN &amp; CHILL'!I1858,"AAAAAFnvvp0=")</f>
        <v>#VALUE!</v>
      </c>
      <c r="FC324" t="e">
        <f>AND('STERLING CATALOG - FZN &amp; CHILL'!J1858,"AAAAAFnvvp4=")</f>
        <v>#VALUE!</v>
      </c>
      <c r="FD324">
        <f>IF('STERLING CATALOG - FZN &amp; CHILL'!1859:1859,"AAAAAFnvvp8=",0)</f>
        <v>0</v>
      </c>
      <c r="FE324" t="e">
        <f>AND('STERLING CATALOG - FZN &amp; CHILL'!A1859,"AAAAAFnvvqA=")</f>
        <v>#VALUE!</v>
      </c>
      <c r="FF324" t="e">
        <f>AND('STERLING CATALOG - FZN &amp; CHILL'!B1859,"AAAAAFnvvqE=")</f>
        <v>#VALUE!</v>
      </c>
      <c r="FG324" t="e">
        <f>AND('STERLING CATALOG - FZN &amp; CHILL'!C1859,"AAAAAFnvvqI=")</f>
        <v>#VALUE!</v>
      </c>
      <c r="FH324" t="e">
        <f>AND('STERLING CATALOG - FZN &amp; CHILL'!D1859,"AAAAAFnvvqM=")</f>
        <v>#VALUE!</v>
      </c>
      <c r="FI324" t="e">
        <f>AND('STERLING CATALOG - FZN &amp; CHILL'!E1859,"AAAAAFnvvqQ=")</f>
        <v>#VALUE!</v>
      </c>
      <c r="FJ324" t="e">
        <f>AND('STERLING CATALOG - FZN &amp; CHILL'!F1859,"AAAAAFnvvqU=")</f>
        <v>#VALUE!</v>
      </c>
      <c r="FK324" t="e">
        <f>AND('STERLING CATALOG - FZN &amp; CHILL'!G1859,"AAAAAFnvvqY=")</f>
        <v>#VALUE!</v>
      </c>
      <c r="FL324" t="e">
        <f>AND('STERLING CATALOG - FZN &amp; CHILL'!H1859,"AAAAAFnvvqc=")</f>
        <v>#VALUE!</v>
      </c>
      <c r="FM324" t="e">
        <f>AND('STERLING CATALOG - FZN &amp; CHILL'!I1859,"AAAAAFnvvqg=")</f>
        <v>#VALUE!</v>
      </c>
      <c r="FN324" t="e">
        <f>AND('STERLING CATALOG - FZN &amp; CHILL'!J1859,"AAAAAFnvvqk=")</f>
        <v>#VALUE!</v>
      </c>
      <c r="FO324">
        <f>IF('STERLING CATALOG - FZN &amp; CHILL'!1860:1860,"AAAAAFnvvqo=",0)</f>
        <v>0</v>
      </c>
      <c r="FP324" t="e">
        <f>AND('STERLING CATALOG - FZN &amp; CHILL'!A1860,"AAAAAFnvvqs=")</f>
        <v>#VALUE!</v>
      </c>
      <c r="FQ324" t="e">
        <f>AND('STERLING CATALOG - FZN &amp; CHILL'!B1860,"AAAAAFnvvqw=")</f>
        <v>#VALUE!</v>
      </c>
      <c r="FR324" t="e">
        <f>AND('STERLING CATALOG - FZN &amp; CHILL'!C1860,"AAAAAFnvvq0=")</f>
        <v>#VALUE!</v>
      </c>
      <c r="FS324" t="e">
        <f>AND('STERLING CATALOG - FZN &amp; CHILL'!D1860,"AAAAAFnvvq4=")</f>
        <v>#VALUE!</v>
      </c>
      <c r="FT324" t="e">
        <f>AND('STERLING CATALOG - FZN &amp; CHILL'!E1860,"AAAAAFnvvq8=")</f>
        <v>#VALUE!</v>
      </c>
      <c r="FU324" t="e">
        <f>AND('STERLING CATALOG - FZN &amp; CHILL'!F1860,"AAAAAFnvvrA=")</f>
        <v>#VALUE!</v>
      </c>
      <c r="FV324" t="e">
        <f>AND('STERLING CATALOG - FZN &amp; CHILL'!G1860,"AAAAAFnvvrE=")</f>
        <v>#VALUE!</v>
      </c>
      <c r="FW324" t="e">
        <f>AND('STERLING CATALOG - FZN &amp; CHILL'!H1860,"AAAAAFnvvrI=")</f>
        <v>#VALUE!</v>
      </c>
      <c r="FX324" t="e">
        <f>AND('STERLING CATALOG - FZN &amp; CHILL'!I1860,"AAAAAFnvvrM=")</f>
        <v>#VALUE!</v>
      </c>
      <c r="FY324" t="e">
        <f>AND('STERLING CATALOG - FZN &amp; CHILL'!J1860,"AAAAAFnvvrQ=")</f>
        <v>#VALUE!</v>
      </c>
      <c r="FZ324">
        <f>IF('STERLING CATALOG - FZN &amp; CHILL'!1861:1861,"AAAAAFnvvrU=",0)</f>
        <v>0</v>
      </c>
      <c r="GA324" t="e">
        <f>AND('STERLING CATALOG - FZN &amp; CHILL'!A1861,"AAAAAFnvvrY=")</f>
        <v>#VALUE!</v>
      </c>
      <c r="GB324" t="e">
        <f>AND('STERLING CATALOG - FZN &amp; CHILL'!B1861,"AAAAAFnvvrc=")</f>
        <v>#VALUE!</v>
      </c>
      <c r="GC324" t="e">
        <f>AND('STERLING CATALOG - FZN &amp; CHILL'!C1861,"AAAAAFnvvrg=")</f>
        <v>#VALUE!</v>
      </c>
      <c r="GD324" t="e">
        <f>AND('STERLING CATALOG - FZN &amp; CHILL'!D1861,"AAAAAFnvvrk=")</f>
        <v>#VALUE!</v>
      </c>
      <c r="GE324" t="e">
        <f>AND('STERLING CATALOG - FZN &amp; CHILL'!E1861,"AAAAAFnvvro=")</f>
        <v>#VALUE!</v>
      </c>
      <c r="GF324" t="e">
        <f>AND('STERLING CATALOG - FZN &amp; CHILL'!F1861,"AAAAAFnvvrs=")</f>
        <v>#VALUE!</v>
      </c>
      <c r="GG324" t="e">
        <f>AND('STERLING CATALOG - FZN &amp; CHILL'!G1861,"AAAAAFnvvrw=")</f>
        <v>#VALUE!</v>
      </c>
      <c r="GH324" t="e">
        <f>AND('STERLING CATALOG - FZN &amp; CHILL'!H1861,"AAAAAFnvvr0=")</f>
        <v>#VALUE!</v>
      </c>
      <c r="GI324" t="e">
        <f>AND('STERLING CATALOG - FZN &amp; CHILL'!I1861,"AAAAAFnvvr4=")</f>
        <v>#VALUE!</v>
      </c>
      <c r="GJ324" t="e">
        <f>AND('STERLING CATALOG - FZN &amp; CHILL'!J1861,"AAAAAFnvvr8=")</f>
        <v>#VALUE!</v>
      </c>
      <c r="GK324">
        <f>IF('STERLING CATALOG - FZN &amp; CHILL'!1862:1862,"AAAAAFnvvsA=",0)</f>
        <v>0</v>
      </c>
      <c r="GL324" t="e">
        <f>AND('STERLING CATALOG - FZN &amp; CHILL'!A1862,"AAAAAFnvvsE=")</f>
        <v>#VALUE!</v>
      </c>
      <c r="GM324" t="e">
        <f>AND('STERLING CATALOG - FZN &amp; CHILL'!B1862,"AAAAAFnvvsI=")</f>
        <v>#VALUE!</v>
      </c>
      <c r="GN324" t="e">
        <f>AND('STERLING CATALOG - FZN &amp; CHILL'!C1862,"AAAAAFnvvsM=")</f>
        <v>#VALUE!</v>
      </c>
      <c r="GO324" t="e">
        <f>AND('STERLING CATALOG - FZN &amp; CHILL'!D1862,"AAAAAFnvvsQ=")</f>
        <v>#VALUE!</v>
      </c>
      <c r="GP324" t="e">
        <f>AND('STERLING CATALOG - FZN &amp; CHILL'!E1862,"AAAAAFnvvsU=")</f>
        <v>#VALUE!</v>
      </c>
      <c r="GQ324" t="e">
        <f>AND('STERLING CATALOG - FZN &amp; CHILL'!F1862,"AAAAAFnvvsY=")</f>
        <v>#VALUE!</v>
      </c>
      <c r="GR324" t="e">
        <f>AND('STERLING CATALOG - FZN &amp; CHILL'!G1862,"AAAAAFnvvsc=")</f>
        <v>#VALUE!</v>
      </c>
      <c r="GS324" t="e">
        <f>AND('STERLING CATALOG - FZN &amp; CHILL'!H1862,"AAAAAFnvvsg=")</f>
        <v>#VALUE!</v>
      </c>
      <c r="GT324" t="e">
        <f>AND('STERLING CATALOG - FZN &amp; CHILL'!I1862,"AAAAAFnvvsk=")</f>
        <v>#VALUE!</v>
      </c>
      <c r="GU324" t="e">
        <f>AND('STERLING CATALOG - FZN &amp; CHILL'!J1862,"AAAAAFnvvso=")</f>
        <v>#VALUE!</v>
      </c>
      <c r="GV324">
        <f>IF('STERLING CATALOG - FZN &amp; CHILL'!1863:1863,"AAAAAFnvvss=",0)</f>
        <v>0</v>
      </c>
      <c r="GW324" t="e">
        <f>AND('STERLING CATALOG - FZN &amp; CHILL'!A1863,"AAAAAFnvvsw=")</f>
        <v>#VALUE!</v>
      </c>
      <c r="GX324" t="e">
        <f>AND('STERLING CATALOG - FZN &amp; CHILL'!B1863,"AAAAAFnvvs0=")</f>
        <v>#VALUE!</v>
      </c>
      <c r="GY324" t="e">
        <f>AND('STERLING CATALOG - FZN &amp; CHILL'!C1863,"AAAAAFnvvs4=")</f>
        <v>#VALUE!</v>
      </c>
      <c r="GZ324" t="e">
        <f>AND('STERLING CATALOG - FZN &amp; CHILL'!D1863,"AAAAAFnvvs8=")</f>
        <v>#VALUE!</v>
      </c>
      <c r="HA324" t="e">
        <f>AND('STERLING CATALOG - FZN &amp; CHILL'!E1863,"AAAAAFnvvtA=")</f>
        <v>#VALUE!</v>
      </c>
      <c r="HB324" t="e">
        <f>AND('STERLING CATALOG - FZN &amp; CHILL'!F1863,"AAAAAFnvvtE=")</f>
        <v>#VALUE!</v>
      </c>
      <c r="HC324" t="e">
        <f>AND('STERLING CATALOG - FZN &amp; CHILL'!G1863,"AAAAAFnvvtI=")</f>
        <v>#VALUE!</v>
      </c>
      <c r="HD324" t="e">
        <f>AND('STERLING CATALOG - FZN &amp; CHILL'!H1863,"AAAAAFnvvtM=")</f>
        <v>#VALUE!</v>
      </c>
      <c r="HE324" t="e">
        <f>AND('STERLING CATALOG - FZN &amp; CHILL'!I1863,"AAAAAFnvvtQ=")</f>
        <v>#VALUE!</v>
      </c>
      <c r="HF324" t="e">
        <f>AND('STERLING CATALOG - FZN &amp; CHILL'!J1863,"AAAAAFnvvtU=")</f>
        <v>#VALUE!</v>
      </c>
      <c r="HG324">
        <f>IF('STERLING CATALOG - FZN &amp; CHILL'!1864:1864,"AAAAAFnvvtY=",0)</f>
        <v>0</v>
      </c>
      <c r="HH324" t="e">
        <f>AND('STERLING CATALOG - FZN &amp; CHILL'!A1864,"AAAAAFnvvtc=")</f>
        <v>#VALUE!</v>
      </c>
      <c r="HI324" t="e">
        <f>AND('STERLING CATALOG - FZN &amp; CHILL'!B1864,"AAAAAFnvvtg=")</f>
        <v>#VALUE!</v>
      </c>
      <c r="HJ324" t="e">
        <f>AND('STERLING CATALOG - FZN &amp; CHILL'!C1864,"AAAAAFnvvtk=")</f>
        <v>#VALUE!</v>
      </c>
      <c r="HK324" t="e">
        <f>AND('STERLING CATALOG - FZN &amp; CHILL'!D1864,"AAAAAFnvvto=")</f>
        <v>#VALUE!</v>
      </c>
      <c r="HL324" t="e">
        <f>AND('STERLING CATALOG - FZN &amp; CHILL'!E1864,"AAAAAFnvvts=")</f>
        <v>#VALUE!</v>
      </c>
      <c r="HM324" t="e">
        <f>AND('STERLING CATALOG - FZN &amp; CHILL'!F1864,"AAAAAFnvvtw=")</f>
        <v>#VALUE!</v>
      </c>
      <c r="HN324" t="e">
        <f>AND('STERLING CATALOG - FZN &amp; CHILL'!G1864,"AAAAAFnvvt0=")</f>
        <v>#VALUE!</v>
      </c>
      <c r="HO324" t="e">
        <f>AND('STERLING CATALOG - FZN &amp; CHILL'!H1864,"AAAAAFnvvt4=")</f>
        <v>#VALUE!</v>
      </c>
      <c r="HP324" t="e">
        <f>AND('STERLING CATALOG - FZN &amp; CHILL'!I1864,"AAAAAFnvvt8=")</f>
        <v>#VALUE!</v>
      </c>
      <c r="HQ324" t="e">
        <f>AND('STERLING CATALOG - FZN &amp; CHILL'!J1864,"AAAAAFnvvuA=")</f>
        <v>#VALUE!</v>
      </c>
      <c r="HR324">
        <f>IF('STERLING CATALOG - FZN &amp; CHILL'!1865:1865,"AAAAAFnvvuE=",0)</f>
        <v>0</v>
      </c>
      <c r="HS324" t="e">
        <f>AND('STERLING CATALOG - FZN &amp; CHILL'!A1865,"AAAAAFnvvuI=")</f>
        <v>#VALUE!</v>
      </c>
      <c r="HT324" t="e">
        <f>AND('STERLING CATALOG - FZN &amp; CHILL'!B1865,"AAAAAFnvvuM=")</f>
        <v>#VALUE!</v>
      </c>
      <c r="HU324" t="e">
        <f>AND('STERLING CATALOG - FZN &amp; CHILL'!C1865,"AAAAAFnvvuQ=")</f>
        <v>#VALUE!</v>
      </c>
      <c r="HV324" t="e">
        <f>AND('STERLING CATALOG - FZN &amp; CHILL'!D1865,"AAAAAFnvvuU=")</f>
        <v>#VALUE!</v>
      </c>
      <c r="HW324" t="e">
        <f>AND('STERLING CATALOG - FZN &amp; CHILL'!E1865,"AAAAAFnvvuY=")</f>
        <v>#VALUE!</v>
      </c>
      <c r="HX324" t="e">
        <f>AND('STERLING CATALOG - FZN &amp; CHILL'!F1865,"AAAAAFnvvuc=")</f>
        <v>#VALUE!</v>
      </c>
      <c r="HY324" t="e">
        <f>AND('STERLING CATALOG - FZN &amp; CHILL'!G1865,"AAAAAFnvvug=")</f>
        <v>#VALUE!</v>
      </c>
      <c r="HZ324" t="e">
        <f>AND('STERLING CATALOG - FZN &amp; CHILL'!H1865,"AAAAAFnvvuk=")</f>
        <v>#VALUE!</v>
      </c>
      <c r="IA324" t="e">
        <f>AND('STERLING CATALOG - FZN &amp; CHILL'!I1865,"AAAAAFnvvuo=")</f>
        <v>#VALUE!</v>
      </c>
      <c r="IB324" t="e">
        <f>AND('STERLING CATALOG - FZN &amp; CHILL'!J1865,"AAAAAFnvvus=")</f>
        <v>#VALUE!</v>
      </c>
      <c r="IC324">
        <f>IF('STERLING CATALOG - FZN &amp; CHILL'!1866:1866,"AAAAAFnvvuw=",0)</f>
        <v>0</v>
      </c>
      <c r="ID324" t="e">
        <f>AND('STERLING CATALOG - FZN &amp; CHILL'!A1866,"AAAAAFnvvu0=")</f>
        <v>#VALUE!</v>
      </c>
      <c r="IE324" t="e">
        <f>AND('STERLING CATALOG - FZN &amp; CHILL'!B1866,"AAAAAFnvvu4=")</f>
        <v>#VALUE!</v>
      </c>
      <c r="IF324" t="e">
        <f>AND('STERLING CATALOG - FZN &amp; CHILL'!C1866,"AAAAAFnvvu8=")</f>
        <v>#VALUE!</v>
      </c>
      <c r="IG324" t="e">
        <f>AND('STERLING CATALOG - FZN &amp; CHILL'!D1866,"AAAAAFnvvvA=")</f>
        <v>#VALUE!</v>
      </c>
      <c r="IH324" t="e">
        <f>AND('STERLING CATALOG - FZN &amp; CHILL'!E1866,"AAAAAFnvvvE=")</f>
        <v>#VALUE!</v>
      </c>
      <c r="II324" t="e">
        <f>AND('STERLING CATALOG - FZN &amp; CHILL'!F1866,"AAAAAFnvvvI=")</f>
        <v>#VALUE!</v>
      </c>
      <c r="IJ324" t="e">
        <f>AND('STERLING CATALOG - FZN &amp; CHILL'!G1866,"AAAAAFnvvvM=")</f>
        <v>#VALUE!</v>
      </c>
      <c r="IK324" t="e">
        <f>AND('STERLING CATALOG - FZN &amp; CHILL'!H1866,"AAAAAFnvvvQ=")</f>
        <v>#VALUE!</v>
      </c>
      <c r="IL324" t="e">
        <f>AND('STERLING CATALOG - FZN &amp; CHILL'!I1866,"AAAAAFnvvvU=")</f>
        <v>#VALUE!</v>
      </c>
      <c r="IM324" t="e">
        <f>AND('STERLING CATALOG - FZN &amp; CHILL'!J1866,"AAAAAFnvvvY=")</f>
        <v>#VALUE!</v>
      </c>
      <c r="IN324">
        <f>IF('STERLING CATALOG - FZN &amp; CHILL'!1867:1867,"AAAAAFnvvvc=",0)</f>
        <v>0</v>
      </c>
      <c r="IO324" t="e">
        <f>AND('STERLING CATALOG - FZN &amp; CHILL'!A1867,"AAAAAFnvvvg=")</f>
        <v>#VALUE!</v>
      </c>
      <c r="IP324" t="e">
        <f>AND('STERLING CATALOG - FZN &amp; CHILL'!B1867,"AAAAAFnvvvk=")</f>
        <v>#VALUE!</v>
      </c>
      <c r="IQ324" t="e">
        <f>AND('STERLING CATALOG - FZN &amp; CHILL'!C1867,"AAAAAFnvvvo=")</f>
        <v>#VALUE!</v>
      </c>
      <c r="IR324" t="e">
        <f>AND('STERLING CATALOG - FZN &amp; CHILL'!D1867,"AAAAAFnvvvs=")</f>
        <v>#VALUE!</v>
      </c>
      <c r="IS324" t="e">
        <f>AND('STERLING CATALOG - FZN &amp; CHILL'!E1867,"AAAAAFnvvvw=")</f>
        <v>#VALUE!</v>
      </c>
      <c r="IT324" t="e">
        <f>AND('STERLING CATALOG - FZN &amp; CHILL'!F1867,"AAAAAFnvvv0=")</f>
        <v>#VALUE!</v>
      </c>
      <c r="IU324" t="e">
        <f>AND('STERLING CATALOG - FZN &amp; CHILL'!G1867,"AAAAAFnvvv4=")</f>
        <v>#VALUE!</v>
      </c>
      <c r="IV324" t="e">
        <f>AND('STERLING CATALOG - FZN &amp; CHILL'!H1867,"AAAAAFnvvv8=")</f>
        <v>#VALUE!</v>
      </c>
    </row>
    <row r="325" spans="1:256">
      <c r="A325" t="e">
        <f>AND('STERLING CATALOG - FZN &amp; CHILL'!I1867,"AAAAAGNb/QA=")</f>
        <v>#VALUE!</v>
      </c>
      <c r="B325" t="e">
        <f>AND('STERLING CATALOG - FZN &amp; CHILL'!J1867,"AAAAAGNb/QE=")</f>
        <v>#VALUE!</v>
      </c>
      <c r="C325" t="str">
        <f>IF('STERLING CATALOG - FZN &amp; CHILL'!1868:1868,"AAAAAGNb/QI=",0)</f>
        <v>AAAAAGNb/QI=</v>
      </c>
      <c r="D325" t="e">
        <f>AND('STERLING CATALOG - FZN &amp; CHILL'!A1868,"AAAAAGNb/QM=")</f>
        <v>#VALUE!</v>
      </c>
      <c r="E325" t="e">
        <f>AND('STERLING CATALOG - FZN &amp; CHILL'!B1868,"AAAAAGNb/QQ=")</f>
        <v>#VALUE!</v>
      </c>
      <c r="F325" t="e">
        <f>AND('STERLING CATALOG - FZN &amp; CHILL'!C1868,"AAAAAGNb/QU=")</f>
        <v>#VALUE!</v>
      </c>
      <c r="G325" t="e">
        <f>AND('STERLING CATALOG - FZN &amp; CHILL'!D1868,"AAAAAGNb/QY=")</f>
        <v>#VALUE!</v>
      </c>
      <c r="H325" t="e">
        <f>AND('STERLING CATALOG - FZN &amp; CHILL'!E1868,"AAAAAGNb/Qc=")</f>
        <v>#VALUE!</v>
      </c>
      <c r="I325" t="e">
        <f>AND('STERLING CATALOG - FZN &amp; CHILL'!F1868,"AAAAAGNb/Qg=")</f>
        <v>#VALUE!</v>
      </c>
      <c r="J325" t="e">
        <f>AND('STERLING CATALOG - FZN &amp; CHILL'!G1868,"AAAAAGNb/Qk=")</f>
        <v>#VALUE!</v>
      </c>
      <c r="K325" t="e">
        <f>AND('STERLING CATALOG - FZN &amp; CHILL'!H1868,"AAAAAGNb/Qo=")</f>
        <v>#VALUE!</v>
      </c>
      <c r="L325" t="e">
        <f>AND('STERLING CATALOG - FZN &amp; CHILL'!I1868,"AAAAAGNb/Qs=")</f>
        <v>#VALUE!</v>
      </c>
      <c r="M325" t="e">
        <f>AND('STERLING CATALOG - FZN &amp; CHILL'!J1868,"AAAAAGNb/Qw=")</f>
        <v>#VALUE!</v>
      </c>
      <c r="N325">
        <f>IF('STERLING CATALOG - FZN &amp; CHILL'!1869:1869,"AAAAAGNb/Q0=",0)</f>
        <v>0</v>
      </c>
      <c r="O325" t="e">
        <f>AND('STERLING CATALOG - FZN &amp; CHILL'!A1869,"AAAAAGNb/Q4=")</f>
        <v>#VALUE!</v>
      </c>
      <c r="P325" t="e">
        <f>AND('STERLING CATALOG - FZN &amp; CHILL'!B1869,"AAAAAGNb/Q8=")</f>
        <v>#VALUE!</v>
      </c>
      <c r="Q325" t="e">
        <f>AND('STERLING CATALOG - FZN &amp; CHILL'!C1869,"AAAAAGNb/RA=")</f>
        <v>#VALUE!</v>
      </c>
      <c r="R325" t="e">
        <f>AND('STERLING CATALOG - FZN &amp; CHILL'!D1869,"AAAAAGNb/RE=")</f>
        <v>#VALUE!</v>
      </c>
      <c r="S325" t="e">
        <f>AND('STERLING CATALOG - FZN &amp; CHILL'!E1869,"AAAAAGNb/RI=")</f>
        <v>#VALUE!</v>
      </c>
      <c r="T325" t="e">
        <f>AND('STERLING CATALOG - FZN &amp; CHILL'!F1869,"AAAAAGNb/RM=")</f>
        <v>#VALUE!</v>
      </c>
      <c r="U325" t="e">
        <f>AND('STERLING CATALOG - FZN &amp; CHILL'!G1869,"AAAAAGNb/RQ=")</f>
        <v>#VALUE!</v>
      </c>
      <c r="V325" t="e">
        <f>AND('STERLING CATALOG - FZN &amp; CHILL'!H1869,"AAAAAGNb/RU=")</f>
        <v>#VALUE!</v>
      </c>
      <c r="W325" t="e">
        <f>AND('STERLING CATALOG - FZN &amp; CHILL'!I1869,"AAAAAGNb/RY=")</f>
        <v>#VALUE!</v>
      </c>
      <c r="X325" t="e">
        <f>AND('STERLING CATALOG - FZN &amp; CHILL'!J1869,"AAAAAGNb/Rc=")</f>
        <v>#VALUE!</v>
      </c>
      <c r="Y325">
        <f>IF('STERLING CATALOG - FZN &amp; CHILL'!1870:1870,"AAAAAGNb/Rg=",0)</f>
        <v>0</v>
      </c>
      <c r="Z325" t="e">
        <f>AND('STERLING CATALOG - FZN &amp; CHILL'!A1870,"AAAAAGNb/Rk=")</f>
        <v>#VALUE!</v>
      </c>
      <c r="AA325" t="e">
        <f>AND('STERLING CATALOG - FZN &amp; CHILL'!B1870,"AAAAAGNb/Ro=")</f>
        <v>#VALUE!</v>
      </c>
      <c r="AB325" t="e">
        <f>AND('STERLING CATALOG - FZN &amp; CHILL'!C1870,"AAAAAGNb/Rs=")</f>
        <v>#VALUE!</v>
      </c>
      <c r="AC325" t="e">
        <f>AND('STERLING CATALOG - FZN &amp; CHILL'!D1870,"AAAAAGNb/Rw=")</f>
        <v>#VALUE!</v>
      </c>
      <c r="AD325" t="e">
        <f>AND('STERLING CATALOG - FZN &amp; CHILL'!E1870,"AAAAAGNb/R0=")</f>
        <v>#VALUE!</v>
      </c>
      <c r="AE325" t="e">
        <f>AND('STERLING CATALOG - FZN &amp; CHILL'!F1870,"AAAAAGNb/R4=")</f>
        <v>#VALUE!</v>
      </c>
      <c r="AF325" t="e">
        <f>AND('STERLING CATALOG - FZN &amp; CHILL'!G1870,"AAAAAGNb/R8=")</f>
        <v>#VALUE!</v>
      </c>
      <c r="AG325" t="e">
        <f>AND('STERLING CATALOG - FZN &amp; CHILL'!H1870,"AAAAAGNb/SA=")</f>
        <v>#VALUE!</v>
      </c>
      <c r="AH325" t="e">
        <f>AND('STERLING CATALOG - FZN &amp; CHILL'!I1870,"AAAAAGNb/SE=")</f>
        <v>#VALUE!</v>
      </c>
      <c r="AI325" t="e">
        <f>AND('STERLING CATALOG - FZN &amp; CHILL'!J1870,"AAAAAGNb/SI=")</f>
        <v>#VALUE!</v>
      </c>
      <c r="AJ325">
        <f>IF('STERLING CATALOG - FZN &amp; CHILL'!1871:1871,"AAAAAGNb/SM=",0)</f>
        <v>0</v>
      </c>
      <c r="AK325" t="e">
        <f>AND('STERLING CATALOG - FZN &amp; CHILL'!A1871,"AAAAAGNb/SQ=")</f>
        <v>#VALUE!</v>
      </c>
      <c r="AL325" t="e">
        <f>AND('STERLING CATALOG - FZN &amp; CHILL'!B1871,"AAAAAGNb/SU=")</f>
        <v>#VALUE!</v>
      </c>
      <c r="AM325" t="e">
        <f>AND('STERLING CATALOG - FZN &amp; CHILL'!C1871,"AAAAAGNb/SY=")</f>
        <v>#VALUE!</v>
      </c>
      <c r="AN325" t="e">
        <f>AND('STERLING CATALOG - FZN &amp; CHILL'!D1871,"AAAAAGNb/Sc=")</f>
        <v>#VALUE!</v>
      </c>
      <c r="AO325" t="e">
        <f>AND('STERLING CATALOG - FZN &amp; CHILL'!E1871,"AAAAAGNb/Sg=")</f>
        <v>#VALUE!</v>
      </c>
      <c r="AP325" t="e">
        <f>AND('STERLING CATALOG - FZN &amp; CHILL'!F1871,"AAAAAGNb/Sk=")</f>
        <v>#VALUE!</v>
      </c>
      <c r="AQ325" t="e">
        <f>AND('STERLING CATALOG - FZN &amp; CHILL'!G1871,"AAAAAGNb/So=")</f>
        <v>#VALUE!</v>
      </c>
      <c r="AR325" t="e">
        <f>AND('STERLING CATALOG - FZN &amp; CHILL'!H1871,"AAAAAGNb/Ss=")</f>
        <v>#VALUE!</v>
      </c>
      <c r="AS325" t="e">
        <f>AND('STERLING CATALOG - FZN &amp; CHILL'!I1871,"AAAAAGNb/Sw=")</f>
        <v>#VALUE!</v>
      </c>
      <c r="AT325" t="e">
        <f>AND('STERLING CATALOG - FZN &amp; CHILL'!J1871,"AAAAAGNb/S0=")</f>
        <v>#VALUE!</v>
      </c>
      <c r="AU325">
        <f>IF('STERLING CATALOG - FZN &amp; CHILL'!1872:1872,"AAAAAGNb/S4=",0)</f>
        <v>0</v>
      </c>
      <c r="AV325" t="e">
        <f>AND('STERLING CATALOG - FZN &amp; CHILL'!A1872,"AAAAAGNb/S8=")</f>
        <v>#VALUE!</v>
      </c>
      <c r="AW325" t="e">
        <f>AND('STERLING CATALOG - FZN &amp; CHILL'!B1872,"AAAAAGNb/TA=")</f>
        <v>#VALUE!</v>
      </c>
      <c r="AX325" t="e">
        <f>AND('STERLING CATALOG - FZN &amp; CHILL'!C1872,"AAAAAGNb/TE=")</f>
        <v>#VALUE!</v>
      </c>
      <c r="AY325" t="e">
        <f>AND('STERLING CATALOG - FZN &amp; CHILL'!D1872,"AAAAAGNb/TI=")</f>
        <v>#VALUE!</v>
      </c>
      <c r="AZ325" t="e">
        <f>AND('STERLING CATALOG - FZN &amp; CHILL'!E1872,"AAAAAGNb/TM=")</f>
        <v>#VALUE!</v>
      </c>
      <c r="BA325" t="e">
        <f>AND('STERLING CATALOG - FZN &amp; CHILL'!F1872,"AAAAAGNb/TQ=")</f>
        <v>#VALUE!</v>
      </c>
      <c r="BB325" t="e">
        <f>AND('STERLING CATALOG - FZN &amp; CHILL'!G1872,"AAAAAGNb/TU=")</f>
        <v>#VALUE!</v>
      </c>
      <c r="BC325" t="e">
        <f>AND('STERLING CATALOG - FZN &amp; CHILL'!H1872,"AAAAAGNb/TY=")</f>
        <v>#VALUE!</v>
      </c>
      <c r="BD325" t="e">
        <f>AND('STERLING CATALOG - FZN &amp; CHILL'!I1872,"AAAAAGNb/Tc=")</f>
        <v>#VALUE!</v>
      </c>
      <c r="BE325" t="e">
        <f>AND('STERLING CATALOG - FZN &amp; CHILL'!J1872,"AAAAAGNb/Tg=")</f>
        <v>#VALUE!</v>
      </c>
      <c r="BF325">
        <f>IF('STERLING CATALOG - FZN &amp; CHILL'!1873:1873,"AAAAAGNb/Tk=",0)</f>
        <v>0</v>
      </c>
      <c r="BG325" t="e">
        <f>AND('STERLING CATALOG - FZN &amp; CHILL'!A1873,"AAAAAGNb/To=")</f>
        <v>#VALUE!</v>
      </c>
      <c r="BH325" t="e">
        <f>AND('STERLING CATALOG - FZN &amp; CHILL'!B1873,"AAAAAGNb/Ts=")</f>
        <v>#VALUE!</v>
      </c>
      <c r="BI325" t="e">
        <f>AND('STERLING CATALOG - FZN &amp; CHILL'!C1873,"AAAAAGNb/Tw=")</f>
        <v>#VALUE!</v>
      </c>
      <c r="BJ325" t="e">
        <f>AND('STERLING CATALOG - FZN &amp; CHILL'!D1873,"AAAAAGNb/T0=")</f>
        <v>#VALUE!</v>
      </c>
      <c r="BK325" t="e">
        <f>AND('STERLING CATALOG - FZN &amp; CHILL'!E1873,"AAAAAGNb/T4=")</f>
        <v>#VALUE!</v>
      </c>
      <c r="BL325" t="e">
        <f>AND('STERLING CATALOG - FZN &amp; CHILL'!F1873,"AAAAAGNb/T8=")</f>
        <v>#VALUE!</v>
      </c>
      <c r="BM325" t="e">
        <f>AND('STERLING CATALOG - FZN &amp; CHILL'!G1873,"AAAAAGNb/UA=")</f>
        <v>#VALUE!</v>
      </c>
      <c r="BN325" t="e">
        <f>AND('STERLING CATALOG - FZN &amp; CHILL'!H1873,"AAAAAGNb/UE=")</f>
        <v>#VALUE!</v>
      </c>
      <c r="BO325" t="e">
        <f>AND('STERLING CATALOG - FZN &amp; CHILL'!I1873,"AAAAAGNb/UI=")</f>
        <v>#VALUE!</v>
      </c>
      <c r="BP325" t="e">
        <f>AND('STERLING CATALOG - FZN &amp; CHILL'!J1873,"AAAAAGNb/UM=")</f>
        <v>#VALUE!</v>
      </c>
      <c r="BQ325">
        <f>IF('STERLING CATALOG - FZN &amp; CHILL'!1874:1874,"AAAAAGNb/UQ=",0)</f>
        <v>0</v>
      </c>
      <c r="BR325" t="e">
        <f>AND('STERLING CATALOG - FZN &amp; CHILL'!A1874,"AAAAAGNb/UU=")</f>
        <v>#VALUE!</v>
      </c>
      <c r="BS325" t="e">
        <f>AND('STERLING CATALOG - FZN &amp; CHILL'!B1874,"AAAAAGNb/UY=")</f>
        <v>#VALUE!</v>
      </c>
      <c r="BT325" t="e">
        <f>AND('STERLING CATALOG - FZN &amp; CHILL'!C1874,"AAAAAGNb/Uc=")</f>
        <v>#VALUE!</v>
      </c>
      <c r="BU325" t="e">
        <f>AND('STERLING CATALOG - FZN &amp; CHILL'!D1874,"AAAAAGNb/Ug=")</f>
        <v>#VALUE!</v>
      </c>
      <c r="BV325" t="e">
        <f>AND('STERLING CATALOG - FZN &amp; CHILL'!E1874,"AAAAAGNb/Uk=")</f>
        <v>#VALUE!</v>
      </c>
      <c r="BW325" t="e">
        <f>AND('STERLING CATALOG - FZN &amp; CHILL'!F1874,"AAAAAGNb/Uo=")</f>
        <v>#VALUE!</v>
      </c>
      <c r="BX325" t="e">
        <f>AND('STERLING CATALOG - FZN &amp; CHILL'!G1874,"AAAAAGNb/Us=")</f>
        <v>#VALUE!</v>
      </c>
      <c r="BY325" t="e">
        <f>AND('STERLING CATALOG - FZN &amp; CHILL'!H1874,"AAAAAGNb/Uw=")</f>
        <v>#VALUE!</v>
      </c>
      <c r="BZ325" t="e">
        <f>AND('STERLING CATALOG - FZN &amp; CHILL'!I1874,"AAAAAGNb/U0=")</f>
        <v>#VALUE!</v>
      </c>
      <c r="CA325" t="e">
        <f>AND('STERLING CATALOG - FZN &amp; CHILL'!J1874,"AAAAAGNb/U4=")</f>
        <v>#VALUE!</v>
      </c>
      <c r="CB325">
        <f>IF('STERLING CATALOG - FZN &amp; CHILL'!1875:1875,"AAAAAGNb/U8=",0)</f>
        <v>0</v>
      </c>
      <c r="CC325" t="e">
        <f>AND('STERLING CATALOG - FZN &amp; CHILL'!A1875,"AAAAAGNb/VA=")</f>
        <v>#VALUE!</v>
      </c>
      <c r="CD325" t="e">
        <f>AND('STERLING CATALOG - FZN &amp; CHILL'!B1875,"AAAAAGNb/VE=")</f>
        <v>#VALUE!</v>
      </c>
      <c r="CE325" t="e">
        <f>AND('STERLING CATALOG - FZN &amp; CHILL'!C1875,"AAAAAGNb/VI=")</f>
        <v>#VALUE!</v>
      </c>
      <c r="CF325" t="e">
        <f>AND('STERLING CATALOG - FZN &amp; CHILL'!D1875,"AAAAAGNb/VM=")</f>
        <v>#VALUE!</v>
      </c>
      <c r="CG325" t="e">
        <f>AND('STERLING CATALOG - FZN &amp; CHILL'!E1875,"AAAAAGNb/VQ=")</f>
        <v>#VALUE!</v>
      </c>
      <c r="CH325" t="e">
        <f>AND('STERLING CATALOG - FZN &amp; CHILL'!F1875,"AAAAAGNb/VU=")</f>
        <v>#VALUE!</v>
      </c>
      <c r="CI325" t="e">
        <f>AND('STERLING CATALOG - FZN &amp; CHILL'!G1875,"AAAAAGNb/VY=")</f>
        <v>#VALUE!</v>
      </c>
      <c r="CJ325" t="e">
        <f>AND('STERLING CATALOG - FZN &amp; CHILL'!H1875,"AAAAAGNb/Vc=")</f>
        <v>#VALUE!</v>
      </c>
      <c r="CK325" t="e">
        <f>AND('STERLING CATALOG - FZN &amp; CHILL'!I1875,"AAAAAGNb/Vg=")</f>
        <v>#VALUE!</v>
      </c>
      <c r="CL325" t="e">
        <f>AND('STERLING CATALOG - FZN &amp; CHILL'!J1875,"AAAAAGNb/Vk=")</f>
        <v>#VALUE!</v>
      </c>
      <c r="CM325">
        <f>IF('STERLING CATALOG - FZN &amp; CHILL'!1876:1876,"AAAAAGNb/Vo=",0)</f>
        <v>0</v>
      </c>
      <c r="CN325" t="e">
        <f>AND('STERLING CATALOG - FZN &amp; CHILL'!A1876,"AAAAAGNb/Vs=")</f>
        <v>#VALUE!</v>
      </c>
      <c r="CO325" t="e">
        <f>AND('STERLING CATALOG - FZN &amp; CHILL'!B1876,"AAAAAGNb/Vw=")</f>
        <v>#VALUE!</v>
      </c>
      <c r="CP325" t="e">
        <f>AND('STERLING CATALOG - FZN &amp; CHILL'!C1876,"AAAAAGNb/V0=")</f>
        <v>#VALUE!</v>
      </c>
      <c r="CQ325" t="e">
        <f>AND('STERLING CATALOG - FZN &amp; CHILL'!D1876,"AAAAAGNb/V4=")</f>
        <v>#VALUE!</v>
      </c>
      <c r="CR325" t="e">
        <f>AND('STERLING CATALOG - FZN &amp; CHILL'!E1876,"AAAAAGNb/V8=")</f>
        <v>#VALUE!</v>
      </c>
      <c r="CS325" t="e">
        <f>AND('STERLING CATALOG - FZN &amp; CHILL'!F1876,"AAAAAGNb/WA=")</f>
        <v>#VALUE!</v>
      </c>
      <c r="CT325" t="e">
        <f>AND('STERLING CATALOG - FZN &amp; CHILL'!G1876,"AAAAAGNb/WE=")</f>
        <v>#VALUE!</v>
      </c>
      <c r="CU325" t="e">
        <f>AND('STERLING CATALOG - FZN &amp; CHILL'!H1876,"AAAAAGNb/WI=")</f>
        <v>#VALUE!</v>
      </c>
      <c r="CV325" t="e">
        <f>AND('STERLING CATALOG - FZN &amp; CHILL'!I1876,"AAAAAGNb/WM=")</f>
        <v>#VALUE!</v>
      </c>
      <c r="CW325" t="e">
        <f>AND('STERLING CATALOG - FZN &amp; CHILL'!J1876,"AAAAAGNb/WQ=")</f>
        <v>#VALUE!</v>
      </c>
      <c r="CX325">
        <f>IF('STERLING CATALOG - FZN &amp; CHILL'!1877:1877,"AAAAAGNb/WU=",0)</f>
        <v>0</v>
      </c>
      <c r="CY325" t="e">
        <f>AND('STERLING CATALOG - FZN &amp; CHILL'!A1877,"AAAAAGNb/WY=")</f>
        <v>#VALUE!</v>
      </c>
      <c r="CZ325" t="e">
        <f>AND('STERLING CATALOG - FZN &amp; CHILL'!B1877,"AAAAAGNb/Wc=")</f>
        <v>#VALUE!</v>
      </c>
      <c r="DA325" t="e">
        <f>AND('STERLING CATALOG - FZN &amp; CHILL'!C1877,"AAAAAGNb/Wg=")</f>
        <v>#VALUE!</v>
      </c>
      <c r="DB325" t="e">
        <f>AND('STERLING CATALOG - FZN &amp; CHILL'!D1877,"AAAAAGNb/Wk=")</f>
        <v>#VALUE!</v>
      </c>
      <c r="DC325" t="e">
        <f>AND('STERLING CATALOG - FZN &amp; CHILL'!E1877,"AAAAAGNb/Wo=")</f>
        <v>#VALUE!</v>
      </c>
      <c r="DD325" t="e">
        <f>AND('STERLING CATALOG - FZN &amp; CHILL'!F1877,"AAAAAGNb/Ws=")</f>
        <v>#VALUE!</v>
      </c>
      <c r="DE325" t="e">
        <f>AND('STERLING CATALOG - FZN &amp; CHILL'!G1877,"AAAAAGNb/Ww=")</f>
        <v>#VALUE!</v>
      </c>
      <c r="DF325" t="e">
        <f>AND('STERLING CATALOG - FZN &amp; CHILL'!H1877,"AAAAAGNb/W0=")</f>
        <v>#VALUE!</v>
      </c>
      <c r="DG325" t="e">
        <f>AND('STERLING CATALOG - FZN &amp; CHILL'!I1877,"AAAAAGNb/W4=")</f>
        <v>#VALUE!</v>
      </c>
      <c r="DH325" t="e">
        <f>AND('STERLING CATALOG - FZN &amp; CHILL'!J1877,"AAAAAGNb/W8=")</f>
        <v>#VALUE!</v>
      </c>
      <c r="DI325">
        <f>IF('STERLING CATALOG - FZN &amp; CHILL'!1878:1878,"AAAAAGNb/XA=",0)</f>
        <v>0</v>
      </c>
      <c r="DJ325" t="e">
        <f>AND('STERLING CATALOG - FZN &amp; CHILL'!A1878,"AAAAAGNb/XE=")</f>
        <v>#VALUE!</v>
      </c>
      <c r="DK325" t="e">
        <f>AND('STERLING CATALOG - FZN &amp; CHILL'!B1878,"AAAAAGNb/XI=")</f>
        <v>#VALUE!</v>
      </c>
      <c r="DL325" t="e">
        <f>AND('STERLING CATALOG - FZN &amp; CHILL'!C1878,"AAAAAGNb/XM=")</f>
        <v>#VALUE!</v>
      </c>
      <c r="DM325" t="e">
        <f>AND('STERLING CATALOG - FZN &amp; CHILL'!D1878,"AAAAAGNb/XQ=")</f>
        <v>#VALUE!</v>
      </c>
      <c r="DN325" t="e">
        <f>AND('STERLING CATALOG - FZN &amp; CHILL'!E1878,"AAAAAGNb/XU=")</f>
        <v>#VALUE!</v>
      </c>
      <c r="DO325" t="e">
        <f>AND('STERLING CATALOG - FZN &amp; CHILL'!F1878,"AAAAAGNb/XY=")</f>
        <v>#VALUE!</v>
      </c>
      <c r="DP325" t="e">
        <f>AND('STERLING CATALOG - FZN &amp; CHILL'!G1878,"AAAAAGNb/Xc=")</f>
        <v>#VALUE!</v>
      </c>
      <c r="DQ325" t="e">
        <f>AND('STERLING CATALOG - FZN &amp; CHILL'!H1878,"AAAAAGNb/Xg=")</f>
        <v>#VALUE!</v>
      </c>
      <c r="DR325" t="e">
        <f>AND('STERLING CATALOG - FZN &amp; CHILL'!I1878,"AAAAAGNb/Xk=")</f>
        <v>#VALUE!</v>
      </c>
      <c r="DS325" t="e">
        <f>AND('STERLING CATALOG - FZN &amp; CHILL'!J1878,"AAAAAGNb/Xo=")</f>
        <v>#VALUE!</v>
      </c>
      <c r="DT325">
        <f>IF('STERLING CATALOG - FZN &amp; CHILL'!1879:1879,"AAAAAGNb/Xs=",0)</f>
        <v>0</v>
      </c>
      <c r="DU325" t="e">
        <f>AND('STERLING CATALOG - FZN &amp; CHILL'!A1879,"AAAAAGNb/Xw=")</f>
        <v>#VALUE!</v>
      </c>
      <c r="DV325" t="e">
        <f>AND('STERLING CATALOG - FZN &amp; CHILL'!B1879,"AAAAAGNb/X0=")</f>
        <v>#VALUE!</v>
      </c>
      <c r="DW325" t="e">
        <f>AND('STERLING CATALOG - FZN &amp; CHILL'!C1879,"AAAAAGNb/X4=")</f>
        <v>#VALUE!</v>
      </c>
      <c r="DX325" t="e">
        <f>AND('STERLING CATALOG - FZN &amp; CHILL'!D1879,"AAAAAGNb/X8=")</f>
        <v>#VALUE!</v>
      </c>
      <c r="DY325" t="e">
        <f>AND('STERLING CATALOG - FZN &amp; CHILL'!E1879,"AAAAAGNb/YA=")</f>
        <v>#VALUE!</v>
      </c>
      <c r="DZ325" t="e">
        <f>AND('STERLING CATALOG - FZN &amp; CHILL'!F1879,"AAAAAGNb/YE=")</f>
        <v>#VALUE!</v>
      </c>
      <c r="EA325" t="e">
        <f>AND('STERLING CATALOG - FZN &amp; CHILL'!G1879,"AAAAAGNb/YI=")</f>
        <v>#VALUE!</v>
      </c>
      <c r="EB325" t="e">
        <f>AND('STERLING CATALOG - FZN &amp; CHILL'!H1879,"AAAAAGNb/YM=")</f>
        <v>#VALUE!</v>
      </c>
      <c r="EC325" t="e">
        <f>AND('STERLING CATALOG - FZN &amp; CHILL'!I1879,"AAAAAGNb/YQ=")</f>
        <v>#VALUE!</v>
      </c>
      <c r="ED325" t="e">
        <f>AND('STERLING CATALOG - FZN &amp; CHILL'!J1879,"AAAAAGNb/YU=")</f>
        <v>#VALUE!</v>
      </c>
      <c r="EE325">
        <f>IF('STERLING CATALOG - FZN &amp; CHILL'!1880:1880,"AAAAAGNb/YY=",0)</f>
        <v>0</v>
      </c>
      <c r="EF325" t="e">
        <f>AND('STERLING CATALOG - FZN &amp; CHILL'!A1880,"AAAAAGNb/Yc=")</f>
        <v>#VALUE!</v>
      </c>
      <c r="EG325" t="e">
        <f>AND('STERLING CATALOG - FZN &amp; CHILL'!B1880,"AAAAAGNb/Yg=")</f>
        <v>#VALUE!</v>
      </c>
      <c r="EH325" t="e">
        <f>AND('STERLING CATALOG - FZN &amp; CHILL'!C1880,"AAAAAGNb/Yk=")</f>
        <v>#VALUE!</v>
      </c>
      <c r="EI325" t="e">
        <f>AND('STERLING CATALOG - FZN &amp; CHILL'!D1880,"AAAAAGNb/Yo=")</f>
        <v>#VALUE!</v>
      </c>
      <c r="EJ325" t="e">
        <f>AND('STERLING CATALOG - FZN &amp; CHILL'!E1880,"AAAAAGNb/Ys=")</f>
        <v>#VALUE!</v>
      </c>
      <c r="EK325" t="e">
        <f>AND('STERLING CATALOG - FZN &amp; CHILL'!F1880,"AAAAAGNb/Yw=")</f>
        <v>#VALUE!</v>
      </c>
      <c r="EL325" t="e">
        <f>AND('STERLING CATALOG - FZN &amp; CHILL'!G1880,"AAAAAGNb/Y0=")</f>
        <v>#VALUE!</v>
      </c>
      <c r="EM325" t="e">
        <f>AND('STERLING CATALOG - FZN &amp; CHILL'!H1880,"AAAAAGNb/Y4=")</f>
        <v>#VALUE!</v>
      </c>
      <c r="EN325" t="e">
        <f>AND('STERLING CATALOG - FZN &amp; CHILL'!I1880,"AAAAAGNb/Y8=")</f>
        <v>#VALUE!</v>
      </c>
      <c r="EO325" t="e">
        <f>AND('STERLING CATALOG - FZN &amp; CHILL'!J1880,"AAAAAGNb/ZA=")</f>
        <v>#VALUE!</v>
      </c>
      <c r="EP325">
        <f>IF('STERLING CATALOG - FZN &amp; CHILL'!1881:1881,"AAAAAGNb/ZE=",0)</f>
        <v>0</v>
      </c>
      <c r="EQ325" t="e">
        <f>AND('STERLING CATALOG - FZN &amp; CHILL'!A1881,"AAAAAGNb/ZI=")</f>
        <v>#VALUE!</v>
      </c>
      <c r="ER325" t="e">
        <f>AND('STERLING CATALOG - FZN &amp; CHILL'!B1881,"AAAAAGNb/ZM=")</f>
        <v>#VALUE!</v>
      </c>
      <c r="ES325" t="e">
        <f>AND('STERLING CATALOG - FZN &amp; CHILL'!C1881,"AAAAAGNb/ZQ=")</f>
        <v>#VALUE!</v>
      </c>
      <c r="ET325" t="e">
        <f>AND('STERLING CATALOG - FZN &amp; CHILL'!D1881,"AAAAAGNb/ZU=")</f>
        <v>#VALUE!</v>
      </c>
      <c r="EU325" t="e">
        <f>AND('STERLING CATALOG - FZN &amp; CHILL'!E1881,"AAAAAGNb/ZY=")</f>
        <v>#VALUE!</v>
      </c>
      <c r="EV325" t="e">
        <f>AND('STERLING CATALOG - FZN &amp; CHILL'!F1881,"AAAAAGNb/Zc=")</f>
        <v>#VALUE!</v>
      </c>
      <c r="EW325" t="e">
        <f>AND('STERLING CATALOG - FZN &amp; CHILL'!G1881,"AAAAAGNb/Zg=")</f>
        <v>#VALUE!</v>
      </c>
      <c r="EX325" t="e">
        <f>AND('STERLING CATALOG - FZN &amp; CHILL'!H1881,"AAAAAGNb/Zk=")</f>
        <v>#VALUE!</v>
      </c>
      <c r="EY325" t="e">
        <f>AND('STERLING CATALOG - FZN &amp; CHILL'!I1881,"AAAAAGNb/Zo=")</f>
        <v>#VALUE!</v>
      </c>
      <c r="EZ325" t="e">
        <f>AND('STERLING CATALOG - FZN &amp; CHILL'!J1881,"AAAAAGNb/Zs=")</f>
        <v>#VALUE!</v>
      </c>
      <c r="FA325">
        <f>IF('STERLING CATALOG - FZN &amp; CHILL'!1882:1882,"AAAAAGNb/Zw=",0)</f>
        <v>0</v>
      </c>
      <c r="FB325" t="e">
        <f>AND('STERLING CATALOG - FZN &amp; CHILL'!A1882,"AAAAAGNb/Z0=")</f>
        <v>#VALUE!</v>
      </c>
      <c r="FC325" t="e">
        <f>AND('STERLING CATALOG - FZN &amp; CHILL'!B1882,"AAAAAGNb/Z4=")</f>
        <v>#VALUE!</v>
      </c>
      <c r="FD325" t="e">
        <f>AND('STERLING CATALOG - FZN &amp; CHILL'!C1882,"AAAAAGNb/Z8=")</f>
        <v>#VALUE!</v>
      </c>
      <c r="FE325" t="e">
        <f>AND('STERLING CATALOG - FZN &amp; CHILL'!D1882,"AAAAAGNb/aA=")</f>
        <v>#VALUE!</v>
      </c>
      <c r="FF325" t="e">
        <f>AND('STERLING CATALOG - FZN &amp; CHILL'!E1882,"AAAAAGNb/aE=")</f>
        <v>#VALUE!</v>
      </c>
      <c r="FG325" t="e">
        <f>AND('STERLING CATALOG - FZN &amp; CHILL'!F1882,"AAAAAGNb/aI=")</f>
        <v>#VALUE!</v>
      </c>
      <c r="FH325" t="e">
        <f>AND('STERLING CATALOG - FZN &amp; CHILL'!G1882,"AAAAAGNb/aM=")</f>
        <v>#VALUE!</v>
      </c>
      <c r="FI325" t="e">
        <f>AND('STERLING CATALOG - FZN &amp; CHILL'!H1882,"AAAAAGNb/aQ=")</f>
        <v>#VALUE!</v>
      </c>
      <c r="FJ325" t="e">
        <f>AND('STERLING CATALOG - FZN &amp; CHILL'!I1882,"AAAAAGNb/aU=")</f>
        <v>#VALUE!</v>
      </c>
      <c r="FK325" t="e">
        <f>AND('STERLING CATALOG - FZN &amp; CHILL'!J1882,"AAAAAGNb/aY=")</f>
        <v>#VALUE!</v>
      </c>
      <c r="FL325">
        <f>IF('STERLING CATALOG - FZN &amp; CHILL'!1883:1883,"AAAAAGNb/ac=",0)</f>
        <v>0</v>
      </c>
      <c r="FM325" t="e">
        <f>AND('STERLING CATALOG - FZN &amp; CHILL'!A1883,"AAAAAGNb/ag=")</f>
        <v>#VALUE!</v>
      </c>
      <c r="FN325" t="e">
        <f>AND('STERLING CATALOG - FZN &amp; CHILL'!B1883,"AAAAAGNb/ak=")</f>
        <v>#VALUE!</v>
      </c>
      <c r="FO325" t="e">
        <f>AND('STERLING CATALOG - FZN &amp; CHILL'!C1883,"AAAAAGNb/ao=")</f>
        <v>#VALUE!</v>
      </c>
      <c r="FP325" t="e">
        <f>AND('STERLING CATALOG - FZN &amp; CHILL'!D1883,"AAAAAGNb/as=")</f>
        <v>#VALUE!</v>
      </c>
      <c r="FQ325" t="e">
        <f>AND('STERLING CATALOG - FZN &amp; CHILL'!E1883,"AAAAAGNb/aw=")</f>
        <v>#VALUE!</v>
      </c>
      <c r="FR325" t="e">
        <f>AND('STERLING CATALOG - FZN &amp; CHILL'!F1883,"AAAAAGNb/a0=")</f>
        <v>#VALUE!</v>
      </c>
      <c r="FS325" t="e">
        <f>AND('STERLING CATALOG - FZN &amp; CHILL'!G1883,"AAAAAGNb/a4=")</f>
        <v>#VALUE!</v>
      </c>
      <c r="FT325" t="e">
        <f>AND('STERLING CATALOG - FZN &amp; CHILL'!H1883,"AAAAAGNb/a8=")</f>
        <v>#VALUE!</v>
      </c>
      <c r="FU325" t="e">
        <f>AND('STERLING CATALOG - FZN &amp; CHILL'!I1883,"AAAAAGNb/bA=")</f>
        <v>#VALUE!</v>
      </c>
      <c r="FV325" t="e">
        <f>AND('STERLING CATALOG - FZN &amp; CHILL'!J1883,"AAAAAGNb/bE=")</f>
        <v>#VALUE!</v>
      </c>
      <c r="FW325">
        <f>IF('STERLING CATALOG - FZN &amp; CHILL'!1884:1884,"AAAAAGNb/bI=",0)</f>
        <v>0</v>
      </c>
      <c r="FX325" t="e">
        <f>AND('STERLING CATALOG - FZN &amp; CHILL'!A1884,"AAAAAGNb/bM=")</f>
        <v>#VALUE!</v>
      </c>
      <c r="FY325" t="e">
        <f>AND('STERLING CATALOG - FZN &amp; CHILL'!B1884,"AAAAAGNb/bQ=")</f>
        <v>#VALUE!</v>
      </c>
      <c r="FZ325" t="e">
        <f>AND('STERLING CATALOG - FZN &amp; CHILL'!C1884,"AAAAAGNb/bU=")</f>
        <v>#VALUE!</v>
      </c>
      <c r="GA325" t="e">
        <f>AND('STERLING CATALOG - FZN &amp; CHILL'!D1884,"AAAAAGNb/bY=")</f>
        <v>#VALUE!</v>
      </c>
      <c r="GB325" t="e">
        <f>AND('STERLING CATALOG - FZN &amp; CHILL'!E1884,"AAAAAGNb/bc=")</f>
        <v>#VALUE!</v>
      </c>
      <c r="GC325" t="e">
        <f>AND('STERLING CATALOG - FZN &amp; CHILL'!F1884,"AAAAAGNb/bg=")</f>
        <v>#VALUE!</v>
      </c>
      <c r="GD325" t="e">
        <f>AND('STERLING CATALOG - FZN &amp; CHILL'!G1884,"AAAAAGNb/bk=")</f>
        <v>#VALUE!</v>
      </c>
      <c r="GE325" t="e">
        <f>AND('STERLING CATALOG - FZN &amp; CHILL'!H1884,"AAAAAGNb/bo=")</f>
        <v>#VALUE!</v>
      </c>
      <c r="GF325" t="e">
        <f>AND('STERLING CATALOG - FZN &amp; CHILL'!I1884,"AAAAAGNb/bs=")</f>
        <v>#VALUE!</v>
      </c>
      <c r="GG325" t="e">
        <f>AND('STERLING CATALOG - FZN &amp; CHILL'!J1884,"AAAAAGNb/bw=")</f>
        <v>#VALUE!</v>
      </c>
      <c r="GH325">
        <f>IF('STERLING CATALOG - FZN &amp; CHILL'!1885:1885,"AAAAAGNb/b0=",0)</f>
        <v>0</v>
      </c>
      <c r="GI325" t="e">
        <f>AND('STERLING CATALOG - FZN &amp; CHILL'!A1885,"AAAAAGNb/b4=")</f>
        <v>#VALUE!</v>
      </c>
      <c r="GJ325" t="e">
        <f>AND('STERLING CATALOG - FZN &amp; CHILL'!B1885,"AAAAAGNb/b8=")</f>
        <v>#VALUE!</v>
      </c>
      <c r="GK325" t="e">
        <f>AND('STERLING CATALOG - FZN &amp; CHILL'!C1885,"AAAAAGNb/cA=")</f>
        <v>#VALUE!</v>
      </c>
      <c r="GL325" t="e">
        <f>AND('STERLING CATALOG - FZN &amp; CHILL'!D1885,"AAAAAGNb/cE=")</f>
        <v>#VALUE!</v>
      </c>
      <c r="GM325" t="e">
        <f>AND('STERLING CATALOG - FZN &amp; CHILL'!E1885,"AAAAAGNb/cI=")</f>
        <v>#VALUE!</v>
      </c>
      <c r="GN325" t="e">
        <f>AND('STERLING CATALOG - FZN &amp; CHILL'!F1885,"AAAAAGNb/cM=")</f>
        <v>#VALUE!</v>
      </c>
      <c r="GO325" t="e">
        <f>AND('STERLING CATALOG - FZN &amp; CHILL'!G1885,"AAAAAGNb/cQ=")</f>
        <v>#VALUE!</v>
      </c>
      <c r="GP325" t="e">
        <f>AND('STERLING CATALOG - FZN &amp; CHILL'!H1885,"AAAAAGNb/cU=")</f>
        <v>#VALUE!</v>
      </c>
      <c r="GQ325" t="e">
        <f>AND('STERLING CATALOG - FZN &amp; CHILL'!I1885,"AAAAAGNb/cY=")</f>
        <v>#VALUE!</v>
      </c>
      <c r="GR325" t="e">
        <f>AND('STERLING CATALOG - FZN &amp; CHILL'!J1885,"AAAAAGNb/cc=")</f>
        <v>#VALUE!</v>
      </c>
      <c r="GS325">
        <f>IF('STERLING CATALOG - FZN &amp; CHILL'!1886:1886,"AAAAAGNb/cg=",0)</f>
        <v>0</v>
      </c>
      <c r="GT325" t="e">
        <f>AND('STERLING CATALOG - FZN &amp; CHILL'!A1886,"AAAAAGNb/ck=")</f>
        <v>#VALUE!</v>
      </c>
      <c r="GU325" t="e">
        <f>AND('STERLING CATALOG - FZN &amp; CHILL'!B1886,"AAAAAGNb/co=")</f>
        <v>#VALUE!</v>
      </c>
      <c r="GV325" t="e">
        <f>AND('STERLING CATALOG - FZN &amp; CHILL'!C1886,"AAAAAGNb/cs=")</f>
        <v>#VALUE!</v>
      </c>
      <c r="GW325" t="e">
        <f>AND('STERLING CATALOG - FZN &amp; CHILL'!D1886,"AAAAAGNb/cw=")</f>
        <v>#VALUE!</v>
      </c>
      <c r="GX325" t="e">
        <f>AND('STERLING CATALOG - FZN &amp; CHILL'!E1886,"AAAAAGNb/c0=")</f>
        <v>#VALUE!</v>
      </c>
      <c r="GY325" t="e">
        <f>AND('STERLING CATALOG - FZN &amp; CHILL'!F1886,"AAAAAGNb/c4=")</f>
        <v>#VALUE!</v>
      </c>
      <c r="GZ325" t="e">
        <f>AND('STERLING CATALOG - FZN &amp; CHILL'!G1886,"AAAAAGNb/c8=")</f>
        <v>#VALUE!</v>
      </c>
      <c r="HA325" t="e">
        <f>AND('STERLING CATALOG - FZN &amp; CHILL'!H1886,"AAAAAGNb/dA=")</f>
        <v>#VALUE!</v>
      </c>
      <c r="HB325" t="e">
        <f>AND('STERLING CATALOG - FZN &amp; CHILL'!I1886,"AAAAAGNb/dE=")</f>
        <v>#VALUE!</v>
      </c>
      <c r="HC325" t="e">
        <f>AND('STERLING CATALOG - FZN &amp; CHILL'!J1886,"AAAAAGNb/dI=")</f>
        <v>#VALUE!</v>
      </c>
      <c r="HD325">
        <f>IF('STERLING CATALOG - FZN &amp; CHILL'!1887:1887,"AAAAAGNb/dM=",0)</f>
        <v>0</v>
      </c>
      <c r="HE325" t="e">
        <f>AND('STERLING CATALOG - FZN &amp; CHILL'!A1887,"AAAAAGNb/dQ=")</f>
        <v>#VALUE!</v>
      </c>
      <c r="HF325" t="e">
        <f>AND('STERLING CATALOG - FZN &amp; CHILL'!B1887,"AAAAAGNb/dU=")</f>
        <v>#VALUE!</v>
      </c>
      <c r="HG325" t="e">
        <f>AND('STERLING CATALOG - FZN &amp; CHILL'!C1887,"AAAAAGNb/dY=")</f>
        <v>#VALUE!</v>
      </c>
      <c r="HH325" t="e">
        <f>AND('STERLING CATALOG - FZN &amp; CHILL'!D1887,"AAAAAGNb/dc=")</f>
        <v>#VALUE!</v>
      </c>
      <c r="HI325" t="e">
        <f>AND('STERLING CATALOG - FZN &amp; CHILL'!E1887,"AAAAAGNb/dg=")</f>
        <v>#VALUE!</v>
      </c>
      <c r="HJ325" t="e">
        <f>AND('STERLING CATALOG - FZN &amp; CHILL'!F1887,"AAAAAGNb/dk=")</f>
        <v>#VALUE!</v>
      </c>
      <c r="HK325" t="e">
        <f>AND('STERLING CATALOG - FZN &amp; CHILL'!G1887,"AAAAAGNb/do=")</f>
        <v>#VALUE!</v>
      </c>
      <c r="HL325" t="e">
        <f>AND('STERLING CATALOG - FZN &amp; CHILL'!H1887,"AAAAAGNb/ds=")</f>
        <v>#VALUE!</v>
      </c>
      <c r="HM325" t="e">
        <f>AND('STERLING CATALOG - FZN &amp; CHILL'!I1887,"AAAAAGNb/dw=")</f>
        <v>#VALUE!</v>
      </c>
      <c r="HN325" t="e">
        <f>AND('STERLING CATALOG - FZN &amp; CHILL'!J1887,"AAAAAGNb/d0=")</f>
        <v>#VALUE!</v>
      </c>
      <c r="HO325">
        <f>IF('STERLING CATALOG - FZN &amp; CHILL'!1888:1888,"AAAAAGNb/d4=",0)</f>
        <v>0</v>
      </c>
      <c r="HP325" t="e">
        <f>AND('STERLING CATALOG - FZN &amp; CHILL'!A1888,"AAAAAGNb/d8=")</f>
        <v>#VALUE!</v>
      </c>
      <c r="HQ325" t="e">
        <f>AND('STERLING CATALOG - FZN &amp; CHILL'!B1888,"AAAAAGNb/eA=")</f>
        <v>#VALUE!</v>
      </c>
      <c r="HR325" t="e">
        <f>AND('STERLING CATALOG - FZN &amp; CHILL'!C1888,"AAAAAGNb/eE=")</f>
        <v>#VALUE!</v>
      </c>
      <c r="HS325" t="e">
        <f>AND('STERLING CATALOG - FZN &amp; CHILL'!D1888,"AAAAAGNb/eI=")</f>
        <v>#VALUE!</v>
      </c>
      <c r="HT325" t="e">
        <f>AND('STERLING CATALOG - FZN &amp; CHILL'!E1888,"AAAAAGNb/eM=")</f>
        <v>#VALUE!</v>
      </c>
      <c r="HU325" t="e">
        <f>AND('STERLING CATALOG - FZN &amp; CHILL'!F1888,"AAAAAGNb/eQ=")</f>
        <v>#VALUE!</v>
      </c>
      <c r="HV325" t="e">
        <f>AND('STERLING CATALOG - FZN &amp; CHILL'!G1888,"AAAAAGNb/eU=")</f>
        <v>#VALUE!</v>
      </c>
      <c r="HW325" t="e">
        <f>AND('STERLING CATALOG - FZN &amp; CHILL'!H1888,"AAAAAGNb/eY=")</f>
        <v>#VALUE!</v>
      </c>
      <c r="HX325" t="e">
        <f>AND('STERLING CATALOG - FZN &amp; CHILL'!I1888,"AAAAAGNb/ec=")</f>
        <v>#VALUE!</v>
      </c>
      <c r="HY325" t="e">
        <f>AND('STERLING CATALOG - FZN &amp; CHILL'!J1888,"AAAAAGNb/eg=")</f>
        <v>#VALUE!</v>
      </c>
      <c r="HZ325">
        <f>IF('STERLING CATALOG - FZN &amp; CHILL'!1889:1889,"AAAAAGNb/ek=",0)</f>
        <v>0</v>
      </c>
      <c r="IA325" t="e">
        <f>AND('STERLING CATALOG - FZN &amp; CHILL'!A1889,"AAAAAGNb/eo=")</f>
        <v>#VALUE!</v>
      </c>
      <c r="IB325" t="e">
        <f>AND('STERLING CATALOG - FZN &amp; CHILL'!B1889,"AAAAAGNb/es=")</f>
        <v>#VALUE!</v>
      </c>
      <c r="IC325" t="e">
        <f>AND('STERLING CATALOG - FZN &amp; CHILL'!C1889,"AAAAAGNb/ew=")</f>
        <v>#VALUE!</v>
      </c>
      <c r="ID325" t="e">
        <f>AND('STERLING CATALOG - FZN &amp; CHILL'!D1889,"AAAAAGNb/e0=")</f>
        <v>#VALUE!</v>
      </c>
      <c r="IE325" t="e">
        <f>AND('STERLING CATALOG - FZN &amp; CHILL'!E1889,"AAAAAGNb/e4=")</f>
        <v>#VALUE!</v>
      </c>
      <c r="IF325" t="e">
        <f>AND('STERLING CATALOG - FZN &amp; CHILL'!F1889,"AAAAAGNb/e8=")</f>
        <v>#VALUE!</v>
      </c>
      <c r="IG325" t="e">
        <f>AND('STERLING CATALOG - FZN &amp; CHILL'!G1889,"AAAAAGNb/fA=")</f>
        <v>#VALUE!</v>
      </c>
      <c r="IH325" t="e">
        <f>AND('STERLING CATALOG - FZN &amp; CHILL'!H1889,"AAAAAGNb/fE=")</f>
        <v>#VALUE!</v>
      </c>
      <c r="II325" t="e">
        <f>AND('STERLING CATALOG - FZN &amp; CHILL'!I1889,"AAAAAGNb/fI=")</f>
        <v>#VALUE!</v>
      </c>
      <c r="IJ325" t="e">
        <f>AND('STERLING CATALOG - FZN &amp; CHILL'!J1889,"AAAAAGNb/fM=")</f>
        <v>#VALUE!</v>
      </c>
      <c r="IK325">
        <f>IF('STERLING CATALOG - FZN &amp; CHILL'!1890:1890,"AAAAAGNb/fQ=",0)</f>
        <v>0</v>
      </c>
      <c r="IL325" t="e">
        <f>AND('STERLING CATALOG - FZN &amp; CHILL'!A1890,"AAAAAGNb/fU=")</f>
        <v>#VALUE!</v>
      </c>
      <c r="IM325" t="e">
        <f>AND('STERLING CATALOG - FZN &amp; CHILL'!B1890,"AAAAAGNb/fY=")</f>
        <v>#VALUE!</v>
      </c>
      <c r="IN325" t="e">
        <f>AND('STERLING CATALOG - FZN &amp; CHILL'!C1890,"AAAAAGNb/fc=")</f>
        <v>#VALUE!</v>
      </c>
      <c r="IO325" t="e">
        <f>AND('STERLING CATALOG - FZN &amp; CHILL'!D1890,"AAAAAGNb/fg=")</f>
        <v>#VALUE!</v>
      </c>
      <c r="IP325" t="e">
        <f>AND('STERLING CATALOG - FZN &amp; CHILL'!E1890,"AAAAAGNb/fk=")</f>
        <v>#VALUE!</v>
      </c>
      <c r="IQ325" t="e">
        <f>AND('STERLING CATALOG - FZN &amp; CHILL'!F1890,"AAAAAGNb/fo=")</f>
        <v>#VALUE!</v>
      </c>
      <c r="IR325" t="e">
        <f>AND('STERLING CATALOG - FZN &amp; CHILL'!G1890,"AAAAAGNb/fs=")</f>
        <v>#VALUE!</v>
      </c>
      <c r="IS325" t="e">
        <f>AND('STERLING CATALOG - FZN &amp; CHILL'!H1890,"AAAAAGNb/fw=")</f>
        <v>#VALUE!</v>
      </c>
      <c r="IT325" t="e">
        <f>AND('STERLING CATALOG - FZN &amp; CHILL'!I1890,"AAAAAGNb/f0=")</f>
        <v>#VALUE!</v>
      </c>
      <c r="IU325" t="e">
        <f>AND('STERLING CATALOG - FZN &amp; CHILL'!J1890,"AAAAAGNb/f4=")</f>
        <v>#VALUE!</v>
      </c>
      <c r="IV325">
        <f>IF('STERLING CATALOG - FZN &amp; CHILL'!1891:1891,"AAAAAGNb/f8=",0)</f>
        <v>0</v>
      </c>
    </row>
    <row r="326" spans="1:256">
      <c r="A326" t="e">
        <f>AND('STERLING CATALOG - FZN &amp; CHILL'!A1891,"AAAAAF5u7wA=")</f>
        <v>#VALUE!</v>
      </c>
      <c r="B326" t="e">
        <f>AND('STERLING CATALOG - FZN &amp; CHILL'!B1891,"AAAAAF5u7wE=")</f>
        <v>#VALUE!</v>
      </c>
      <c r="C326" t="e">
        <f>AND('STERLING CATALOG - FZN &amp; CHILL'!C1891,"AAAAAF5u7wI=")</f>
        <v>#VALUE!</v>
      </c>
      <c r="D326" t="e">
        <f>AND('STERLING CATALOG - FZN &amp; CHILL'!D1891,"AAAAAF5u7wM=")</f>
        <v>#VALUE!</v>
      </c>
      <c r="E326" t="e">
        <f>AND('STERLING CATALOG - FZN &amp; CHILL'!E1891,"AAAAAF5u7wQ=")</f>
        <v>#VALUE!</v>
      </c>
      <c r="F326" t="e">
        <f>AND('STERLING CATALOG - FZN &amp; CHILL'!F1891,"AAAAAF5u7wU=")</f>
        <v>#VALUE!</v>
      </c>
      <c r="G326" t="e">
        <f>AND('STERLING CATALOG - FZN &amp; CHILL'!G1891,"AAAAAF5u7wY=")</f>
        <v>#VALUE!</v>
      </c>
      <c r="H326" t="e">
        <f>AND('STERLING CATALOG - FZN &amp; CHILL'!H1891,"AAAAAF5u7wc=")</f>
        <v>#VALUE!</v>
      </c>
      <c r="I326" t="e">
        <f>AND('STERLING CATALOG - FZN &amp; CHILL'!I1891,"AAAAAF5u7wg=")</f>
        <v>#VALUE!</v>
      </c>
      <c r="J326" t="e">
        <f>AND('STERLING CATALOG - FZN &amp; CHILL'!J1891,"AAAAAF5u7wk=")</f>
        <v>#VALUE!</v>
      </c>
      <c r="K326">
        <f>IF('STERLING CATALOG - FZN &amp; CHILL'!1892:1892,"AAAAAF5u7wo=",0)</f>
        <v>0</v>
      </c>
      <c r="L326" t="e">
        <f>AND('STERLING CATALOG - FZN &amp; CHILL'!A1892,"AAAAAF5u7ws=")</f>
        <v>#VALUE!</v>
      </c>
      <c r="M326" t="e">
        <f>AND('STERLING CATALOG - FZN &amp; CHILL'!B1892,"AAAAAF5u7ww=")</f>
        <v>#VALUE!</v>
      </c>
      <c r="N326" t="e">
        <f>AND('STERLING CATALOG - FZN &amp; CHILL'!C1892,"AAAAAF5u7w0=")</f>
        <v>#VALUE!</v>
      </c>
      <c r="O326" t="e">
        <f>AND('STERLING CATALOG - FZN &amp; CHILL'!D1892,"AAAAAF5u7w4=")</f>
        <v>#VALUE!</v>
      </c>
      <c r="P326" t="e">
        <f>AND('STERLING CATALOG - FZN &amp; CHILL'!E1892,"AAAAAF5u7w8=")</f>
        <v>#VALUE!</v>
      </c>
      <c r="Q326" t="e">
        <f>AND('STERLING CATALOG - FZN &amp; CHILL'!F1892,"AAAAAF5u7xA=")</f>
        <v>#VALUE!</v>
      </c>
      <c r="R326" t="e">
        <f>AND('STERLING CATALOG - FZN &amp; CHILL'!G1892,"AAAAAF5u7xE=")</f>
        <v>#VALUE!</v>
      </c>
      <c r="S326" t="e">
        <f>AND('STERLING CATALOG - FZN &amp; CHILL'!H1892,"AAAAAF5u7xI=")</f>
        <v>#VALUE!</v>
      </c>
      <c r="T326" t="e">
        <f>AND('STERLING CATALOG - FZN &amp; CHILL'!I1892,"AAAAAF5u7xM=")</f>
        <v>#VALUE!</v>
      </c>
      <c r="U326" t="e">
        <f>AND('STERLING CATALOG - FZN &amp; CHILL'!J1892,"AAAAAF5u7xQ=")</f>
        <v>#VALUE!</v>
      </c>
      <c r="V326">
        <f>IF('STERLING CATALOG - FZN &amp; CHILL'!1893:1893,"AAAAAF5u7xU=",0)</f>
        <v>0</v>
      </c>
      <c r="W326" t="e">
        <f>AND('STERLING CATALOG - FZN &amp; CHILL'!A1893,"AAAAAF5u7xY=")</f>
        <v>#VALUE!</v>
      </c>
      <c r="X326" t="e">
        <f>AND('STERLING CATALOG - FZN &amp; CHILL'!B1893,"AAAAAF5u7xc=")</f>
        <v>#VALUE!</v>
      </c>
      <c r="Y326" t="e">
        <f>AND('STERLING CATALOG - FZN &amp; CHILL'!C1893,"AAAAAF5u7xg=")</f>
        <v>#VALUE!</v>
      </c>
      <c r="Z326" t="e">
        <f>AND('STERLING CATALOG - FZN &amp; CHILL'!D1893,"AAAAAF5u7xk=")</f>
        <v>#VALUE!</v>
      </c>
      <c r="AA326" t="e">
        <f>AND('STERLING CATALOG - FZN &amp; CHILL'!E1893,"AAAAAF5u7xo=")</f>
        <v>#VALUE!</v>
      </c>
      <c r="AB326" t="e">
        <f>AND('STERLING CATALOG - FZN &amp; CHILL'!F1893,"AAAAAF5u7xs=")</f>
        <v>#VALUE!</v>
      </c>
      <c r="AC326" t="e">
        <f>AND('STERLING CATALOG - FZN &amp; CHILL'!G1893,"AAAAAF5u7xw=")</f>
        <v>#VALUE!</v>
      </c>
      <c r="AD326" t="e">
        <f>AND('STERLING CATALOG - FZN &amp; CHILL'!H1893,"AAAAAF5u7x0=")</f>
        <v>#VALUE!</v>
      </c>
      <c r="AE326" t="e">
        <f>AND('STERLING CATALOG - FZN &amp; CHILL'!I1893,"AAAAAF5u7x4=")</f>
        <v>#VALUE!</v>
      </c>
      <c r="AF326" t="e">
        <f>AND('STERLING CATALOG - FZN &amp; CHILL'!J1893,"AAAAAF5u7x8=")</f>
        <v>#VALUE!</v>
      </c>
      <c r="AG326">
        <f>IF('STERLING CATALOG - FZN &amp; CHILL'!1894:1894,"AAAAAF5u7yA=",0)</f>
        <v>0</v>
      </c>
      <c r="AH326" t="e">
        <f>AND('STERLING CATALOG - FZN &amp; CHILL'!A1894,"AAAAAF5u7yE=")</f>
        <v>#VALUE!</v>
      </c>
      <c r="AI326" t="e">
        <f>AND('STERLING CATALOG - FZN &amp; CHILL'!B1894,"AAAAAF5u7yI=")</f>
        <v>#VALUE!</v>
      </c>
      <c r="AJ326" t="e">
        <f>AND('STERLING CATALOG - FZN &amp; CHILL'!C1894,"AAAAAF5u7yM=")</f>
        <v>#VALUE!</v>
      </c>
      <c r="AK326" t="e">
        <f>AND('STERLING CATALOG - FZN &amp; CHILL'!D1894,"AAAAAF5u7yQ=")</f>
        <v>#VALUE!</v>
      </c>
      <c r="AL326" t="e">
        <f>AND('STERLING CATALOG - FZN &amp; CHILL'!E1894,"AAAAAF5u7yU=")</f>
        <v>#VALUE!</v>
      </c>
      <c r="AM326" t="e">
        <f>AND('STERLING CATALOG - FZN &amp; CHILL'!F1894,"AAAAAF5u7yY=")</f>
        <v>#VALUE!</v>
      </c>
      <c r="AN326" t="e">
        <f>AND('STERLING CATALOG - FZN &amp; CHILL'!G1894,"AAAAAF5u7yc=")</f>
        <v>#VALUE!</v>
      </c>
      <c r="AO326" t="e">
        <f>AND('STERLING CATALOG - FZN &amp; CHILL'!H1894,"AAAAAF5u7yg=")</f>
        <v>#VALUE!</v>
      </c>
      <c r="AP326" t="e">
        <f>AND('STERLING CATALOG - FZN &amp; CHILL'!I1894,"AAAAAF5u7yk=")</f>
        <v>#VALUE!</v>
      </c>
      <c r="AQ326" t="e">
        <f>AND('STERLING CATALOG - FZN &amp; CHILL'!J1894,"AAAAAF5u7yo=")</f>
        <v>#VALUE!</v>
      </c>
      <c r="AR326">
        <f>IF('STERLING CATALOG - FZN &amp; CHILL'!1895:1895,"AAAAAF5u7ys=",0)</f>
        <v>0</v>
      </c>
      <c r="AS326" t="e">
        <f>AND('STERLING CATALOG - FZN &amp; CHILL'!A1895,"AAAAAF5u7yw=")</f>
        <v>#VALUE!</v>
      </c>
      <c r="AT326" t="e">
        <f>AND('STERLING CATALOG - FZN &amp; CHILL'!B1895,"AAAAAF5u7y0=")</f>
        <v>#VALUE!</v>
      </c>
      <c r="AU326" t="e">
        <f>AND('STERLING CATALOG - FZN &amp; CHILL'!C1895,"AAAAAF5u7y4=")</f>
        <v>#VALUE!</v>
      </c>
      <c r="AV326" t="e">
        <f>AND('STERLING CATALOG - FZN &amp; CHILL'!D1895,"AAAAAF5u7y8=")</f>
        <v>#VALUE!</v>
      </c>
      <c r="AW326" t="e">
        <f>AND('STERLING CATALOG - FZN &amp; CHILL'!E1895,"AAAAAF5u7zA=")</f>
        <v>#VALUE!</v>
      </c>
      <c r="AX326" t="e">
        <f>AND('STERLING CATALOG - FZN &amp; CHILL'!F1895,"AAAAAF5u7zE=")</f>
        <v>#VALUE!</v>
      </c>
      <c r="AY326" t="e">
        <f>AND('STERLING CATALOG - FZN &amp; CHILL'!G1895,"AAAAAF5u7zI=")</f>
        <v>#VALUE!</v>
      </c>
      <c r="AZ326" t="e">
        <f>AND('STERLING CATALOG - FZN &amp; CHILL'!H1895,"AAAAAF5u7zM=")</f>
        <v>#VALUE!</v>
      </c>
      <c r="BA326" t="e">
        <f>AND('STERLING CATALOG - FZN &amp; CHILL'!I1895,"AAAAAF5u7zQ=")</f>
        <v>#VALUE!</v>
      </c>
      <c r="BB326" t="e">
        <f>AND('STERLING CATALOG - FZN &amp; CHILL'!J1895,"AAAAAF5u7zU=")</f>
        <v>#VALUE!</v>
      </c>
      <c r="BC326">
        <f>IF('STERLING CATALOG - FZN &amp; CHILL'!1896:1896,"AAAAAF5u7zY=",0)</f>
        <v>0</v>
      </c>
      <c r="BD326" t="e">
        <f>AND('STERLING CATALOG - FZN &amp; CHILL'!A1896,"AAAAAF5u7zc=")</f>
        <v>#VALUE!</v>
      </c>
      <c r="BE326" t="e">
        <f>AND('STERLING CATALOG - FZN &amp; CHILL'!B1896,"AAAAAF5u7zg=")</f>
        <v>#VALUE!</v>
      </c>
      <c r="BF326" t="e">
        <f>AND('STERLING CATALOG - FZN &amp; CHILL'!C1896,"AAAAAF5u7zk=")</f>
        <v>#VALUE!</v>
      </c>
      <c r="BG326" t="e">
        <f>AND('STERLING CATALOG - FZN &amp; CHILL'!D1896,"AAAAAF5u7zo=")</f>
        <v>#VALUE!</v>
      </c>
      <c r="BH326" t="e">
        <f>AND('STERLING CATALOG - FZN &amp; CHILL'!E1896,"AAAAAF5u7zs=")</f>
        <v>#VALUE!</v>
      </c>
      <c r="BI326" t="e">
        <f>AND('STERLING CATALOG - FZN &amp; CHILL'!F1896,"AAAAAF5u7zw=")</f>
        <v>#VALUE!</v>
      </c>
      <c r="BJ326" t="e">
        <f>AND('STERLING CATALOG - FZN &amp; CHILL'!G1896,"AAAAAF5u7z0=")</f>
        <v>#VALUE!</v>
      </c>
      <c r="BK326" t="e">
        <f>AND('STERLING CATALOG - FZN &amp; CHILL'!H1896,"AAAAAF5u7z4=")</f>
        <v>#VALUE!</v>
      </c>
      <c r="BL326" t="e">
        <f>AND('STERLING CATALOG - FZN &amp; CHILL'!I1896,"AAAAAF5u7z8=")</f>
        <v>#VALUE!</v>
      </c>
      <c r="BM326" t="e">
        <f>AND('STERLING CATALOG - FZN &amp; CHILL'!J1896,"AAAAAF5u70A=")</f>
        <v>#VALUE!</v>
      </c>
      <c r="BN326">
        <f>IF('STERLING CATALOG - FZN &amp; CHILL'!1897:1897,"AAAAAF5u70E=",0)</f>
        <v>0</v>
      </c>
      <c r="BO326" t="e">
        <f>AND('STERLING CATALOG - FZN &amp; CHILL'!A1897,"AAAAAF5u70I=")</f>
        <v>#VALUE!</v>
      </c>
      <c r="BP326" t="e">
        <f>AND('STERLING CATALOG - FZN &amp; CHILL'!B1897,"AAAAAF5u70M=")</f>
        <v>#VALUE!</v>
      </c>
      <c r="BQ326" t="e">
        <f>AND('STERLING CATALOG - FZN &amp; CHILL'!C1897,"AAAAAF5u70Q=")</f>
        <v>#VALUE!</v>
      </c>
      <c r="BR326" t="e">
        <f>AND('STERLING CATALOG - FZN &amp; CHILL'!D1897,"AAAAAF5u70U=")</f>
        <v>#VALUE!</v>
      </c>
      <c r="BS326" t="e">
        <f>AND('STERLING CATALOG - FZN &amp; CHILL'!E1897,"AAAAAF5u70Y=")</f>
        <v>#VALUE!</v>
      </c>
      <c r="BT326" t="e">
        <f>AND('STERLING CATALOG - FZN &amp; CHILL'!F1897,"AAAAAF5u70c=")</f>
        <v>#VALUE!</v>
      </c>
      <c r="BU326" t="e">
        <f>AND('STERLING CATALOG - FZN &amp; CHILL'!G1897,"AAAAAF5u70g=")</f>
        <v>#VALUE!</v>
      </c>
      <c r="BV326" t="e">
        <f>AND('STERLING CATALOG - FZN &amp; CHILL'!H1897,"AAAAAF5u70k=")</f>
        <v>#VALUE!</v>
      </c>
      <c r="BW326" t="e">
        <f>AND('STERLING CATALOG - FZN &amp; CHILL'!I1897,"AAAAAF5u70o=")</f>
        <v>#VALUE!</v>
      </c>
      <c r="BX326" t="e">
        <f>AND('STERLING CATALOG - FZN &amp; CHILL'!J1897,"AAAAAF5u70s=")</f>
        <v>#VALUE!</v>
      </c>
      <c r="BY326">
        <f>IF('STERLING CATALOG - FZN &amp; CHILL'!1898:1898,"AAAAAF5u70w=",0)</f>
        <v>0</v>
      </c>
      <c r="BZ326" t="e">
        <f>AND('STERLING CATALOG - FZN &amp; CHILL'!A1898,"AAAAAF5u700=")</f>
        <v>#VALUE!</v>
      </c>
      <c r="CA326" t="e">
        <f>AND('STERLING CATALOG - FZN &amp; CHILL'!B1898,"AAAAAF5u704=")</f>
        <v>#VALUE!</v>
      </c>
      <c r="CB326" t="e">
        <f>AND('STERLING CATALOG - FZN &amp; CHILL'!C1898,"AAAAAF5u708=")</f>
        <v>#VALUE!</v>
      </c>
      <c r="CC326" t="e">
        <f>AND('STERLING CATALOG - FZN &amp; CHILL'!D1898,"AAAAAF5u71A=")</f>
        <v>#VALUE!</v>
      </c>
      <c r="CD326" t="e">
        <f>AND('STERLING CATALOG - FZN &amp; CHILL'!E1898,"AAAAAF5u71E=")</f>
        <v>#VALUE!</v>
      </c>
      <c r="CE326" t="e">
        <f>AND('STERLING CATALOG - FZN &amp; CHILL'!F1898,"AAAAAF5u71I=")</f>
        <v>#VALUE!</v>
      </c>
      <c r="CF326" t="e">
        <f>AND('STERLING CATALOG - FZN &amp; CHILL'!G1898,"AAAAAF5u71M=")</f>
        <v>#VALUE!</v>
      </c>
      <c r="CG326" t="e">
        <f>AND('STERLING CATALOG - FZN &amp; CHILL'!H1898,"AAAAAF5u71Q=")</f>
        <v>#VALUE!</v>
      </c>
      <c r="CH326" t="e">
        <f>AND('STERLING CATALOG - FZN &amp; CHILL'!I1898,"AAAAAF5u71U=")</f>
        <v>#VALUE!</v>
      </c>
      <c r="CI326" t="e">
        <f>AND('STERLING CATALOG - FZN &amp; CHILL'!J1898,"AAAAAF5u71Y=")</f>
        <v>#VALUE!</v>
      </c>
      <c r="CJ326">
        <f>IF('STERLING CATALOG - FZN &amp; CHILL'!1899:1899,"AAAAAF5u71c=",0)</f>
        <v>0</v>
      </c>
      <c r="CK326" t="e">
        <f>AND('STERLING CATALOG - FZN &amp; CHILL'!A1899,"AAAAAF5u71g=")</f>
        <v>#VALUE!</v>
      </c>
      <c r="CL326" t="e">
        <f>AND('STERLING CATALOG - FZN &amp; CHILL'!B1899,"AAAAAF5u71k=")</f>
        <v>#VALUE!</v>
      </c>
      <c r="CM326" t="e">
        <f>AND('STERLING CATALOG - FZN &amp; CHILL'!C1899,"AAAAAF5u71o=")</f>
        <v>#VALUE!</v>
      </c>
      <c r="CN326" t="e">
        <f>AND('STERLING CATALOG - FZN &amp; CHILL'!D1899,"AAAAAF5u71s=")</f>
        <v>#VALUE!</v>
      </c>
      <c r="CO326" t="e">
        <f>AND('STERLING CATALOG - FZN &amp; CHILL'!E1899,"AAAAAF5u71w=")</f>
        <v>#VALUE!</v>
      </c>
      <c r="CP326" t="e">
        <f>AND('STERLING CATALOG - FZN &amp; CHILL'!F1899,"AAAAAF5u710=")</f>
        <v>#VALUE!</v>
      </c>
      <c r="CQ326" t="e">
        <f>AND('STERLING CATALOG - FZN &amp; CHILL'!G1899,"AAAAAF5u714=")</f>
        <v>#VALUE!</v>
      </c>
      <c r="CR326" t="e">
        <f>AND('STERLING CATALOG - FZN &amp; CHILL'!H1899,"AAAAAF5u718=")</f>
        <v>#VALUE!</v>
      </c>
      <c r="CS326" t="e">
        <f>AND('STERLING CATALOG - FZN &amp; CHILL'!I1899,"AAAAAF5u72A=")</f>
        <v>#VALUE!</v>
      </c>
      <c r="CT326" t="e">
        <f>AND('STERLING CATALOG - FZN &amp; CHILL'!J1899,"AAAAAF5u72E=")</f>
        <v>#VALUE!</v>
      </c>
      <c r="CU326">
        <f>IF('STERLING CATALOG - FZN &amp; CHILL'!1900:1900,"AAAAAF5u72I=",0)</f>
        <v>0</v>
      </c>
      <c r="CV326" t="e">
        <f>AND('STERLING CATALOG - FZN &amp; CHILL'!A1900,"AAAAAF5u72M=")</f>
        <v>#VALUE!</v>
      </c>
      <c r="CW326" t="e">
        <f>AND('STERLING CATALOG - FZN &amp; CHILL'!B1900,"AAAAAF5u72Q=")</f>
        <v>#VALUE!</v>
      </c>
      <c r="CX326" t="e">
        <f>AND('STERLING CATALOG - FZN &amp; CHILL'!C1900,"AAAAAF5u72U=")</f>
        <v>#VALUE!</v>
      </c>
      <c r="CY326" t="e">
        <f>AND('STERLING CATALOG - FZN &amp; CHILL'!D1900,"AAAAAF5u72Y=")</f>
        <v>#VALUE!</v>
      </c>
      <c r="CZ326" t="e">
        <f>AND('STERLING CATALOG - FZN &amp; CHILL'!E1900,"AAAAAF5u72c=")</f>
        <v>#VALUE!</v>
      </c>
      <c r="DA326" t="e">
        <f>AND('STERLING CATALOG - FZN &amp; CHILL'!F1900,"AAAAAF5u72g=")</f>
        <v>#VALUE!</v>
      </c>
      <c r="DB326" t="e">
        <f>AND('STERLING CATALOG - FZN &amp; CHILL'!G1900,"AAAAAF5u72k=")</f>
        <v>#VALUE!</v>
      </c>
      <c r="DC326" t="e">
        <f>AND('STERLING CATALOG - FZN &amp; CHILL'!H1900,"AAAAAF5u72o=")</f>
        <v>#VALUE!</v>
      </c>
      <c r="DD326" t="e">
        <f>AND('STERLING CATALOG - FZN &amp; CHILL'!I1900,"AAAAAF5u72s=")</f>
        <v>#VALUE!</v>
      </c>
      <c r="DE326" t="e">
        <f>AND('STERLING CATALOG - FZN &amp; CHILL'!J1900,"AAAAAF5u72w=")</f>
        <v>#VALUE!</v>
      </c>
      <c r="DF326">
        <f>IF('STERLING CATALOG - FZN &amp; CHILL'!1901:1901,"AAAAAF5u720=",0)</f>
        <v>0</v>
      </c>
      <c r="DG326" t="e">
        <f>AND('STERLING CATALOG - FZN &amp; CHILL'!A1901,"AAAAAF5u724=")</f>
        <v>#VALUE!</v>
      </c>
      <c r="DH326" t="e">
        <f>AND('STERLING CATALOG - FZN &amp; CHILL'!B1901,"AAAAAF5u728=")</f>
        <v>#VALUE!</v>
      </c>
      <c r="DI326" t="e">
        <f>AND('STERLING CATALOG - FZN &amp; CHILL'!C1901,"AAAAAF5u73A=")</f>
        <v>#VALUE!</v>
      </c>
      <c r="DJ326" t="e">
        <f>AND('STERLING CATALOG - FZN &amp; CHILL'!D1901,"AAAAAF5u73E=")</f>
        <v>#VALUE!</v>
      </c>
      <c r="DK326" t="e">
        <f>AND('STERLING CATALOG - FZN &amp; CHILL'!E1901,"AAAAAF5u73I=")</f>
        <v>#VALUE!</v>
      </c>
      <c r="DL326" t="e">
        <f>AND('STERLING CATALOG - FZN &amp; CHILL'!F1901,"AAAAAF5u73M=")</f>
        <v>#VALUE!</v>
      </c>
      <c r="DM326" t="e">
        <f>AND('STERLING CATALOG - FZN &amp; CHILL'!G1901,"AAAAAF5u73Q=")</f>
        <v>#VALUE!</v>
      </c>
      <c r="DN326" t="e">
        <f>AND('STERLING CATALOG - FZN &amp; CHILL'!H1901,"AAAAAF5u73U=")</f>
        <v>#VALUE!</v>
      </c>
      <c r="DO326" t="e">
        <f>AND('STERLING CATALOG - FZN &amp; CHILL'!I1901,"AAAAAF5u73Y=")</f>
        <v>#VALUE!</v>
      </c>
      <c r="DP326" t="e">
        <f>AND('STERLING CATALOG - FZN &amp; CHILL'!J1901,"AAAAAF5u73c=")</f>
        <v>#VALUE!</v>
      </c>
      <c r="DQ326">
        <f>IF('STERLING CATALOG - FZN &amp; CHILL'!1902:1902,"AAAAAF5u73g=",0)</f>
        <v>0</v>
      </c>
      <c r="DR326" t="e">
        <f>AND('STERLING CATALOG - FZN &amp; CHILL'!A1902,"AAAAAF5u73k=")</f>
        <v>#VALUE!</v>
      </c>
      <c r="DS326" t="e">
        <f>AND('STERLING CATALOG - FZN &amp; CHILL'!B1902,"AAAAAF5u73o=")</f>
        <v>#VALUE!</v>
      </c>
      <c r="DT326" t="e">
        <f>AND('STERLING CATALOG - FZN &amp; CHILL'!C1902,"AAAAAF5u73s=")</f>
        <v>#VALUE!</v>
      </c>
      <c r="DU326" t="e">
        <f>AND('STERLING CATALOG - FZN &amp; CHILL'!D1902,"AAAAAF5u73w=")</f>
        <v>#VALUE!</v>
      </c>
      <c r="DV326" t="e">
        <f>AND('STERLING CATALOG - FZN &amp; CHILL'!E1902,"AAAAAF5u730=")</f>
        <v>#VALUE!</v>
      </c>
      <c r="DW326" t="e">
        <f>AND('STERLING CATALOG - FZN &amp; CHILL'!F1902,"AAAAAF5u734=")</f>
        <v>#VALUE!</v>
      </c>
      <c r="DX326" t="e">
        <f>AND('STERLING CATALOG - FZN &amp; CHILL'!G1902,"AAAAAF5u738=")</f>
        <v>#VALUE!</v>
      </c>
      <c r="DY326" t="e">
        <f>AND('STERLING CATALOG - FZN &amp; CHILL'!H1902,"AAAAAF5u74A=")</f>
        <v>#VALUE!</v>
      </c>
      <c r="DZ326" t="e">
        <f>AND('STERLING CATALOG - FZN &amp; CHILL'!I1902,"AAAAAF5u74E=")</f>
        <v>#VALUE!</v>
      </c>
      <c r="EA326" t="e">
        <f>AND('STERLING CATALOG - FZN &amp; CHILL'!J1902,"AAAAAF5u74I=")</f>
        <v>#VALUE!</v>
      </c>
      <c r="EB326">
        <f>IF('STERLING CATALOG - FZN &amp; CHILL'!1903:1903,"AAAAAF5u74M=",0)</f>
        <v>0</v>
      </c>
      <c r="EC326" t="e">
        <f>AND('STERLING CATALOG - FZN &amp; CHILL'!A1903,"AAAAAF5u74Q=")</f>
        <v>#VALUE!</v>
      </c>
      <c r="ED326" t="e">
        <f>AND('STERLING CATALOG - FZN &amp; CHILL'!B1903,"AAAAAF5u74U=")</f>
        <v>#VALUE!</v>
      </c>
      <c r="EE326" t="e">
        <f>AND('STERLING CATALOG - FZN &amp; CHILL'!C1903,"AAAAAF5u74Y=")</f>
        <v>#VALUE!</v>
      </c>
      <c r="EF326" t="e">
        <f>AND('STERLING CATALOG - FZN &amp; CHILL'!D1903,"AAAAAF5u74c=")</f>
        <v>#VALUE!</v>
      </c>
      <c r="EG326" t="e">
        <f>AND('STERLING CATALOG - FZN &amp; CHILL'!E1903,"AAAAAF5u74g=")</f>
        <v>#VALUE!</v>
      </c>
      <c r="EH326" t="e">
        <f>AND('STERLING CATALOG - FZN &amp; CHILL'!F1903,"AAAAAF5u74k=")</f>
        <v>#VALUE!</v>
      </c>
      <c r="EI326" t="e">
        <f>AND('STERLING CATALOG - FZN &amp; CHILL'!G1903,"AAAAAF5u74o=")</f>
        <v>#VALUE!</v>
      </c>
      <c r="EJ326" t="e">
        <f>AND('STERLING CATALOG - FZN &amp; CHILL'!H1903,"AAAAAF5u74s=")</f>
        <v>#VALUE!</v>
      </c>
      <c r="EK326" t="e">
        <f>AND('STERLING CATALOG - FZN &amp; CHILL'!I1903,"AAAAAF5u74w=")</f>
        <v>#VALUE!</v>
      </c>
      <c r="EL326" t="e">
        <f>AND('STERLING CATALOG - FZN &amp; CHILL'!J1903,"AAAAAF5u740=")</f>
        <v>#VALUE!</v>
      </c>
      <c r="EM326">
        <f>IF('STERLING CATALOG - FZN &amp; CHILL'!1904:1904,"AAAAAF5u744=",0)</f>
        <v>0</v>
      </c>
      <c r="EN326" t="e">
        <f>AND('STERLING CATALOG - FZN &amp; CHILL'!A1904,"AAAAAF5u748=")</f>
        <v>#VALUE!</v>
      </c>
      <c r="EO326" t="e">
        <f>AND('STERLING CATALOG - FZN &amp; CHILL'!B1904,"AAAAAF5u75A=")</f>
        <v>#VALUE!</v>
      </c>
      <c r="EP326" t="e">
        <f>AND('STERLING CATALOG - FZN &amp; CHILL'!C1904,"AAAAAF5u75E=")</f>
        <v>#VALUE!</v>
      </c>
      <c r="EQ326" t="e">
        <f>AND('STERLING CATALOG - FZN &amp; CHILL'!D1904,"AAAAAF5u75I=")</f>
        <v>#VALUE!</v>
      </c>
      <c r="ER326" t="e">
        <f>AND('STERLING CATALOG - FZN &amp; CHILL'!E1904,"AAAAAF5u75M=")</f>
        <v>#VALUE!</v>
      </c>
      <c r="ES326" t="e">
        <f>AND('STERLING CATALOG - FZN &amp; CHILL'!F1904,"AAAAAF5u75Q=")</f>
        <v>#VALUE!</v>
      </c>
      <c r="ET326" t="e">
        <f>AND('STERLING CATALOG - FZN &amp; CHILL'!G1904,"AAAAAF5u75U=")</f>
        <v>#VALUE!</v>
      </c>
      <c r="EU326" t="e">
        <f>AND('STERLING CATALOG - FZN &amp; CHILL'!H1904,"AAAAAF5u75Y=")</f>
        <v>#VALUE!</v>
      </c>
      <c r="EV326" t="e">
        <f>AND('STERLING CATALOG - FZN &amp; CHILL'!I1904,"AAAAAF5u75c=")</f>
        <v>#VALUE!</v>
      </c>
      <c r="EW326" t="e">
        <f>AND('STERLING CATALOG - FZN &amp; CHILL'!J1904,"AAAAAF5u75g=")</f>
        <v>#VALUE!</v>
      </c>
      <c r="EX326">
        <f>IF('STERLING CATALOG - FZN &amp; CHILL'!1905:1905,"AAAAAF5u75k=",0)</f>
        <v>0</v>
      </c>
      <c r="EY326" t="e">
        <f>AND('STERLING CATALOG - FZN &amp; CHILL'!A1905,"AAAAAF5u75o=")</f>
        <v>#VALUE!</v>
      </c>
      <c r="EZ326" t="e">
        <f>AND('STERLING CATALOG - FZN &amp; CHILL'!B1905,"AAAAAF5u75s=")</f>
        <v>#VALUE!</v>
      </c>
      <c r="FA326" t="e">
        <f>AND('STERLING CATALOG - FZN &amp; CHILL'!C1905,"AAAAAF5u75w=")</f>
        <v>#VALUE!</v>
      </c>
      <c r="FB326" t="e">
        <f>AND('STERLING CATALOG - FZN &amp; CHILL'!D1905,"AAAAAF5u750=")</f>
        <v>#VALUE!</v>
      </c>
      <c r="FC326" t="e">
        <f>AND('STERLING CATALOG - FZN &amp; CHILL'!E1905,"AAAAAF5u754=")</f>
        <v>#VALUE!</v>
      </c>
      <c r="FD326" t="e">
        <f>AND('STERLING CATALOG - FZN &amp; CHILL'!F1905,"AAAAAF5u758=")</f>
        <v>#VALUE!</v>
      </c>
      <c r="FE326" t="e">
        <f>AND('STERLING CATALOG - FZN &amp; CHILL'!G1905,"AAAAAF5u76A=")</f>
        <v>#VALUE!</v>
      </c>
      <c r="FF326" t="e">
        <f>AND('STERLING CATALOG - FZN &amp; CHILL'!H1905,"AAAAAF5u76E=")</f>
        <v>#VALUE!</v>
      </c>
      <c r="FG326" t="e">
        <f>AND('STERLING CATALOG - FZN &amp; CHILL'!I1905,"AAAAAF5u76I=")</f>
        <v>#VALUE!</v>
      </c>
      <c r="FH326" t="e">
        <f>AND('STERLING CATALOG - FZN &amp; CHILL'!J1905,"AAAAAF5u76M=")</f>
        <v>#VALUE!</v>
      </c>
      <c r="FI326">
        <f>IF('STERLING CATALOG - FZN &amp; CHILL'!1906:1906,"AAAAAF5u76Q=",0)</f>
        <v>0</v>
      </c>
      <c r="FJ326" t="e">
        <f>AND('STERLING CATALOG - FZN &amp; CHILL'!A1906,"AAAAAF5u76U=")</f>
        <v>#VALUE!</v>
      </c>
      <c r="FK326" t="e">
        <f>AND('STERLING CATALOG - FZN &amp; CHILL'!B1906,"AAAAAF5u76Y=")</f>
        <v>#VALUE!</v>
      </c>
      <c r="FL326" t="e">
        <f>AND('STERLING CATALOG - FZN &amp; CHILL'!C1906,"AAAAAF5u76c=")</f>
        <v>#VALUE!</v>
      </c>
      <c r="FM326" t="e">
        <f>AND('STERLING CATALOG - FZN &amp; CHILL'!D1906,"AAAAAF5u76g=")</f>
        <v>#VALUE!</v>
      </c>
      <c r="FN326" t="e">
        <f>AND('STERLING CATALOG - FZN &amp; CHILL'!E1906,"AAAAAF5u76k=")</f>
        <v>#VALUE!</v>
      </c>
      <c r="FO326" t="e">
        <f>AND('STERLING CATALOG - FZN &amp; CHILL'!F1906,"AAAAAF5u76o=")</f>
        <v>#VALUE!</v>
      </c>
      <c r="FP326" t="e">
        <f>AND('STERLING CATALOG - FZN &amp; CHILL'!G1906,"AAAAAF5u76s=")</f>
        <v>#VALUE!</v>
      </c>
      <c r="FQ326" t="e">
        <f>AND('STERLING CATALOG - FZN &amp; CHILL'!H1906,"AAAAAF5u76w=")</f>
        <v>#VALUE!</v>
      </c>
      <c r="FR326" t="e">
        <f>AND('STERLING CATALOG - FZN &amp; CHILL'!I1906,"AAAAAF5u760=")</f>
        <v>#VALUE!</v>
      </c>
      <c r="FS326" t="e">
        <f>AND('STERLING CATALOG - FZN &amp; CHILL'!J1906,"AAAAAF5u764=")</f>
        <v>#VALUE!</v>
      </c>
      <c r="FT326">
        <f>IF('STERLING CATALOG - FZN &amp; CHILL'!1907:1907,"AAAAAF5u768=",0)</f>
        <v>0</v>
      </c>
      <c r="FU326" t="e">
        <f>AND('STERLING CATALOG - FZN &amp; CHILL'!A1907,"AAAAAF5u77A=")</f>
        <v>#VALUE!</v>
      </c>
      <c r="FV326" t="e">
        <f>AND('STERLING CATALOG - FZN &amp; CHILL'!B1907,"AAAAAF5u77E=")</f>
        <v>#VALUE!</v>
      </c>
      <c r="FW326" t="e">
        <f>AND('STERLING CATALOG - FZN &amp; CHILL'!C1907,"AAAAAF5u77I=")</f>
        <v>#VALUE!</v>
      </c>
      <c r="FX326" t="e">
        <f>AND('STERLING CATALOG - FZN &amp; CHILL'!D1907,"AAAAAF5u77M=")</f>
        <v>#VALUE!</v>
      </c>
      <c r="FY326" t="e">
        <f>AND('STERLING CATALOG - FZN &amp; CHILL'!E1907,"AAAAAF5u77Q=")</f>
        <v>#VALUE!</v>
      </c>
      <c r="FZ326" t="e">
        <f>AND('STERLING CATALOG - FZN &amp; CHILL'!F1907,"AAAAAF5u77U=")</f>
        <v>#VALUE!</v>
      </c>
      <c r="GA326" t="e">
        <f>AND('STERLING CATALOG - FZN &amp; CHILL'!G1907,"AAAAAF5u77Y=")</f>
        <v>#VALUE!</v>
      </c>
      <c r="GB326" t="e">
        <f>AND('STERLING CATALOG - FZN &amp; CHILL'!H1907,"AAAAAF5u77c=")</f>
        <v>#VALUE!</v>
      </c>
      <c r="GC326" t="e">
        <f>AND('STERLING CATALOG - FZN &amp; CHILL'!I1907,"AAAAAF5u77g=")</f>
        <v>#VALUE!</v>
      </c>
      <c r="GD326" t="e">
        <f>AND('STERLING CATALOG - FZN &amp; CHILL'!J1907,"AAAAAF5u77k=")</f>
        <v>#VALUE!</v>
      </c>
      <c r="GE326">
        <f>IF('STERLING CATALOG - FZN &amp; CHILL'!1908:1908,"AAAAAF5u77o=",0)</f>
        <v>0</v>
      </c>
      <c r="GF326" t="e">
        <f>AND('STERLING CATALOG - FZN &amp; CHILL'!A1908,"AAAAAF5u77s=")</f>
        <v>#VALUE!</v>
      </c>
      <c r="GG326" t="e">
        <f>AND('STERLING CATALOG - FZN &amp; CHILL'!B1908,"AAAAAF5u77w=")</f>
        <v>#VALUE!</v>
      </c>
      <c r="GH326" t="e">
        <f>AND('STERLING CATALOG - FZN &amp; CHILL'!C1908,"AAAAAF5u770=")</f>
        <v>#VALUE!</v>
      </c>
      <c r="GI326" t="e">
        <f>AND('STERLING CATALOG - FZN &amp; CHILL'!D1908,"AAAAAF5u774=")</f>
        <v>#VALUE!</v>
      </c>
      <c r="GJ326" t="e">
        <f>AND('STERLING CATALOG - FZN &amp; CHILL'!E1908,"AAAAAF5u778=")</f>
        <v>#VALUE!</v>
      </c>
      <c r="GK326" t="e">
        <f>AND('STERLING CATALOG - FZN &amp; CHILL'!F1908,"AAAAAF5u78A=")</f>
        <v>#VALUE!</v>
      </c>
      <c r="GL326" t="e">
        <f>AND('STERLING CATALOG - FZN &amp; CHILL'!G1908,"AAAAAF5u78E=")</f>
        <v>#VALUE!</v>
      </c>
      <c r="GM326" t="e">
        <f>AND('STERLING CATALOG - FZN &amp; CHILL'!H1908,"AAAAAF5u78I=")</f>
        <v>#VALUE!</v>
      </c>
      <c r="GN326" t="e">
        <f>AND('STERLING CATALOG - FZN &amp; CHILL'!I1908,"AAAAAF5u78M=")</f>
        <v>#VALUE!</v>
      </c>
      <c r="GO326" t="e">
        <f>AND('STERLING CATALOG - FZN &amp; CHILL'!J1908,"AAAAAF5u78Q=")</f>
        <v>#VALUE!</v>
      </c>
      <c r="GP326">
        <f>IF('STERLING CATALOG - FZN &amp; CHILL'!1909:1909,"AAAAAF5u78U=",0)</f>
        <v>0</v>
      </c>
      <c r="GQ326" t="e">
        <f>AND('STERLING CATALOG - FZN &amp; CHILL'!A1909,"AAAAAF5u78Y=")</f>
        <v>#VALUE!</v>
      </c>
      <c r="GR326" t="e">
        <f>AND('STERLING CATALOG - FZN &amp; CHILL'!B1909,"AAAAAF5u78c=")</f>
        <v>#VALUE!</v>
      </c>
      <c r="GS326" t="e">
        <f>AND('STERLING CATALOG - FZN &amp; CHILL'!C1909,"AAAAAF5u78g=")</f>
        <v>#VALUE!</v>
      </c>
      <c r="GT326" t="e">
        <f>AND('STERLING CATALOG - FZN &amp; CHILL'!D1909,"AAAAAF5u78k=")</f>
        <v>#VALUE!</v>
      </c>
      <c r="GU326" t="e">
        <f>AND('STERLING CATALOG - FZN &amp; CHILL'!E1909,"AAAAAF5u78o=")</f>
        <v>#VALUE!</v>
      </c>
      <c r="GV326" t="e">
        <f>AND('STERLING CATALOG - FZN &amp; CHILL'!F1909,"AAAAAF5u78s=")</f>
        <v>#VALUE!</v>
      </c>
      <c r="GW326" t="e">
        <f>AND('STERLING CATALOG - FZN &amp; CHILL'!G1909,"AAAAAF5u78w=")</f>
        <v>#VALUE!</v>
      </c>
      <c r="GX326" t="e">
        <f>AND('STERLING CATALOG - FZN &amp; CHILL'!H1909,"AAAAAF5u780=")</f>
        <v>#VALUE!</v>
      </c>
      <c r="GY326" t="e">
        <f>AND('STERLING CATALOG - FZN &amp; CHILL'!I1909,"AAAAAF5u784=")</f>
        <v>#VALUE!</v>
      </c>
      <c r="GZ326" t="e">
        <f>AND('STERLING CATALOG - FZN &amp; CHILL'!J1909,"AAAAAF5u788=")</f>
        <v>#VALUE!</v>
      </c>
      <c r="HA326">
        <f>IF('STERLING CATALOG - FZN &amp; CHILL'!1910:1910,"AAAAAF5u79A=",0)</f>
        <v>0</v>
      </c>
      <c r="HB326" t="e">
        <f>AND('STERLING CATALOG - FZN &amp; CHILL'!A1910,"AAAAAF5u79E=")</f>
        <v>#VALUE!</v>
      </c>
      <c r="HC326" t="e">
        <f>AND('STERLING CATALOG - FZN &amp; CHILL'!B1910,"AAAAAF5u79I=")</f>
        <v>#VALUE!</v>
      </c>
      <c r="HD326" t="e">
        <f>AND('STERLING CATALOG - FZN &amp; CHILL'!C1910,"AAAAAF5u79M=")</f>
        <v>#VALUE!</v>
      </c>
      <c r="HE326" t="e">
        <f>AND('STERLING CATALOG - FZN &amp; CHILL'!D1910,"AAAAAF5u79Q=")</f>
        <v>#VALUE!</v>
      </c>
      <c r="HF326" t="e">
        <f>AND('STERLING CATALOG - FZN &amp; CHILL'!E1910,"AAAAAF5u79U=")</f>
        <v>#VALUE!</v>
      </c>
      <c r="HG326" t="e">
        <f>AND('STERLING CATALOG - FZN &amp; CHILL'!F1910,"AAAAAF5u79Y=")</f>
        <v>#VALUE!</v>
      </c>
      <c r="HH326" t="e">
        <f>AND('STERLING CATALOG - FZN &amp; CHILL'!G1910,"AAAAAF5u79c=")</f>
        <v>#VALUE!</v>
      </c>
      <c r="HI326" t="e">
        <f>AND('STERLING CATALOG - FZN &amp; CHILL'!H1910,"AAAAAF5u79g=")</f>
        <v>#VALUE!</v>
      </c>
      <c r="HJ326" t="e">
        <f>AND('STERLING CATALOG - FZN &amp; CHILL'!I1910,"AAAAAF5u79k=")</f>
        <v>#VALUE!</v>
      </c>
      <c r="HK326" t="e">
        <f>AND('STERLING CATALOG - FZN &amp; CHILL'!J1910,"AAAAAF5u79o=")</f>
        <v>#VALUE!</v>
      </c>
      <c r="HL326">
        <f>IF('STERLING CATALOG - FZN &amp; CHILL'!1911:1911,"AAAAAF5u79s=",0)</f>
        <v>0</v>
      </c>
      <c r="HM326" t="e">
        <f>AND('STERLING CATALOG - FZN &amp; CHILL'!A1911,"AAAAAF5u79w=")</f>
        <v>#VALUE!</v>
      </c>
      <c r="HN326" t="e">
        <f>AND('STERLING CATALOG - FZN &amp; CHILL'!B1911,"AAAAAF5u790=")</f>
        <v>#VALUE!</v>
      </c>
      <c r="HO326" t="e">
        <f>AND('STERLING CATALOG - FZN &amp; CHILL'!C1911,"AAAAAF5u794=")</f>
        <v>#VALUE!</v>
      </c>
      <c r="HP326" t="e">
        <f>AND('STERLING CATALOG - FZN &amp; CHILL'!D1911,"AAAAAF5u798=")</f>
        <v>#VALUE!</v>
      </c>
      <c r="HQ326" t="e">
        <f>AND('STERLING CATALOG - FZN &amp; CHILL'!E1911,"AAAAAF5u7+A=")</f>
        <v>#VALUE!</v>
      </c>
      <c r="HR326" t="e">
        <f>AND('STERLING CATALOG - FZN &amp; CHILL'!F1911,"AAAAAF5u7+E=")</f>
        <v>#VALUE!</v>
      </c>
      <c r="HS326" t="e">
        <f>AND('STERLING CATALOG - FZN &amp; CHILL'!G1911,"AAAAAF5u7+I=")</f>
        <v>#VALUE!</v>
      </c>
      <c r="HT326" t="e">
        <f>AND('STERLING CATALOG - FZN &amp; CHILL'!H1911,"AAAAAF5u7+M=")</f>
        <v>#VALUE!</v>
      </c>
      <c r="HU326" t="e">
        <f>AND('STERLING CATALOG - FZN &amp; CHILL'!I1911,"AAAAAF5u7+Q=")</f>
        <v>#VALUE!</v>
      </c>
      <c r="HV326" t="e">
        <f>AND('STERLING CATALOG - FZN &amp; CHILL'!J1911,"AAAAAF5u7+U=")</f>
        <v>#VALUE!</v>
      </c>
      <c r="HW326">
        <f>IF('STERLING CATALOG - FZN &amp; CHILL'!1912:1912,"AAAAAF5u7+Y=",0)</f>
        <v>0</v>
      </c>
      <c r="HX326" t="e">
        <f>AND('STERLING CATALOG - FZN &amp; CHILL'!A1912,"AAAAAF5u7+c=")</f>
        <v>#VALUE!</v>
      </c>
      <c r="HY326" t="e">
        <f>AND('STERLING CATALOG - FZN &amp; CHILL'!B1912,"AAAAAF5u7+g=")</f>
        <v>#VALUE!</v>
      </c>
      <c r="HZ326" t="e">
        <f>AND('STERLING CATALOG - FZN &amp; CHILL'!C1912,"AAAAAF5u7+k=")</f>
        <v>#VALUE!</v>
      </c>
      <c r="IA326" t="e">
        <f>AND('STERLING CATALOG - FZN &amp; CHILL'!D1912,"AAAAAF5u7+o=")</f>
        <v>#VALUE!</v>
      </c>
      <c r="IB326" t="e">
        <f>AND('STERLING CATALOG - FZN &amp; CHILL'!E1912,"AAAAAF5u7+s=")</f>
        <v>#VALUE!</v>
      </c>
      <c r="IC326" t="e">
        <f>AND('STERLING CATALOG - FZN &amp; CHILL'!F1912,"AAAAAF5u7+w=")</f>
        <v>#VALUE!</v>
      </c>
      <c r="ID326" t="e">
        <f>AND('STERLING CATALOG - FZN &amp; CHILL'!G1912,"AAAAAF5u7+0=")</f>
        <v>#VALUE!</v>
      </c>
      <c r="IE326" t="e">
        <f>AND('STERLING CATALOG - FZN &amp; CHILL'!H1912,"AAAAAF5u7+4=")</f>
        <v>#VALUE!</v>
      </c>
      <c r="IF326" t="e">
        <f>AND('STERLING CATALOG - FZN &amp; CHILL'!I1912,"AAAAAF5u7+8=")</f>
        <v>#VALUE!</v>
      </c>
      <c r="IG326" t="e">
        <f>AND('STERLING CATALOG - FZN &amp; CHILL'!J1912,"AAAAAF5u7/A=")</f>
        <v>#VALUE!</v>
      </c>
      <c r="IH326">
        <f>IF('STERLING CATALOG - FZN &amp; CHILL'!1913:1913,"AAAAAF5u7/E=",0)</f>
        <v>0</v>
      </c>
      <c r="II326" t="e">
        <f>AND('STERLING CATALOG - FZN &amp; CHILL'!A1913,"AAAAAF5u7/I=")</f>
        <v>#VALUE!</v>
      </c>
      <c r="IJ326" t="e">
        <f>AND('STERLING CATALOG - FZN &amp; CHILL'!B1913,"AAAAAF5u7/M=")</f>
        <v>#VALUE!</v>
      </c>
      <c r="IK326" t="e">
        <f>AND('STERLING CATALOG - FZN &amp; CHILL'!C1913,"AAAAAF5u7/Q=")</f>
        <v>#VALUE!</v>
      </c>
      <c r="IL326" t="e">
        <f>AND('STERLING CATALOG - FZN &amp; CHILL'!D1913,"AAAAAF5u7/U=")</f>
        <v>#VALUE!</v>
      </c>
      <c r="IM326" t="e">
        <f>AND('STERLING CATALOG - FZN &amp; CHILL'!E1913,"AAAAAF5u7/Y=")</f>
        <v>#VALUE!</v>
      </c>
      <c r="IN326" t="e">
        <f>AND('STERLING CATALOG - FZN &amp; CHILL'!F1913,"AAAAAF5u7/c=")</f>
        <v>#VALUE!</v>
      </c>
      <c r="IO326" t="e">
        <f>AND('STERLING CATALOG - FZN &amp; CHILL'!G1913,"AAAAAF5u7/g=")</f>
        <v>#VALUE!</v>
      </c>
      <c r="IP326" t="e">
        <f>AND('STERLING CATALOG - FZN &amp; CHILL'!H1913,"AAAAAF5u7/k=")</f>
        <v>#VALUE!</v>
      </c>
      <c r="IQ326" t="e">
        <f>AND('STERLING CATALOG - FZN &amp; CHILL'!I1913,"AAAAAF5u7/o=")</f>
        <v>#VALUE!</v>
      </c>
      <c r="IR326" t="e">
        <f>AND('STERLING CATALOG - FZN &amp; CHILL'!J1913,"AAAAAF5u7/s=")</f>
        <v>#VALUE!</v>
      </c>
      <c r="IS326">
        <f>IF('STERLING CATALOG - FZN &amp; CHILL'!1914:1914,"AAAAAF5u7/w=",0)</f>
        <v>0</v>
      </c>
      <c r="IT326" t="e">
        <f>AND('STERLING CATALOG - FZN &amp; CHILL'!A1914,"AAAAAF5u7/0=")</f>
        <v>#VALUE!</v>
      </c>
      <c r="IU326" t="e">
        <f>AND('STERLING CATALOG - FZN &amp; CHILL'!B1914,"AAAAAF5u7/4=")</f>
        <v>#VALUE!</v>
      </c>
      <c r="IV326" t="e">
        <f>AND('STERLING CATALOG - FZN &amp; CHILL'!C1914,"AAAAAF5u7/8=")</f>
        <v>#VALUE!</v>
      </c>
    </row>
    <row r="327" spans="1:256">
      <c r="A327" t="e">
        <f>AND('STERLING CATALOG - FZN &amp; CHILL'!D1914,"AAAAAHf/6wA=")</f>
        <v>#VALUE!</v>
      </c>
      <c r="B327" t="e">
        <f>AND('STERLING CATALOG - FZN &amp; CHILL'!E1914,"AAAAAHf/6wE=")</f>
        <v>#VALUE!</v>
      </c>
      <c r="C327" t="e">
        <f>AND('STERLING CATALOG - FZN &amp; CHILL'!F1914,"AAAAAHf/6wI=")</f>
        <v>#VALUE!</v>
      </c>
      <c r="D327" t="e">
        <f>AND('STERLING CATALOG - FZN &amp; CHILL'!G1914,"AAAAAHf/6wM=")</f>
        <v>#VALUE!</v>
      </c>
      <c r="E327" t="e">
        <f>AND('STERLING CATALOG - FZN &amp; CHILL'!H1914,"AAAAAHf/6wQ=")</f>
        <v>#VALUE!</v>
      </c>
      <c r="F327" t="e">
        <f>AND('STERLING CATALOG - FZN &amp; CHILL'!I1914,"AAAAAHf/6wU=")</f>
        <v>#VALUE!</v>
      </c>
      <c r="G327" t="e">
        <f>AND('STERLING CATALOG - FZN &amp; CHILL'!J1914,"AAAAAHf/6wY=")</f>
        <v>#VALUE!</v>
      </c>
      <c r="H327" t="str">
        <f>IF('STERLING CATALOG - FZN &amp; CHILL'!1915:1915,"AAAAAHf/6wc=",0)</f>
        <v>AAAAAHf/6wc=</v>
      </c>
      <c r="I327" t="e">
        <f>AND('STERLING CATALOG - FZN &amp; CHILL'!A1915,"AAAAAHf/6wg=")</f>
        <v>#VALUE!</v>
      </c>
      <c r="J327" t="e">
        <f>AND('STERLING CATALOG - FZN &amp; CHILL'!B1915,"AAAAAHf/6wk=")</f>
        <v>#VALUE!</v>
      </c>
      <c r="K327" t="e">
        <f>AND('STERLING CATALOG - FZN &amp; CHILL'!C1915,"AAAAAHf/6wo=")</f>
        <v>#VALUE!</v>
      </c>
      <c r="L327" t="e">
        <f>AND('STERLING CATALOG - FZN &amp; CHILL'!D1915,"AAAAAHf/6ws=")</f>
        <v>#VALUE!</v>
      </c>
      <c r="M327" t="e">
        <f>AND('STERLING CATALOG - FZN &amp; CHILL'!E1915,"AAAAAHf/6ww=")</f>
        <v>#VALUE!</v>
      </c>
      <c r="N327" t="e">
        <f>AND('STERLING CATALOG - FZN &amp; CHILL'!F1915,"AAAAAHf/6w0=")</f>
        <v>#VALUE!</v>
      </c>
      <c r="O327" t="e">
        <f>AND('STERLING CATALOG - FZN &amp; CHILL'!G1915,"AAAAAHf/6w4=")</f>
        <v>#VALUE!</v>
      </c>
      <c r="P327" t="e">
        <f>AND('STERLING CATALOG - FZN &amp; CHILL'!H1915,"AAAAAHf/6w8=")</f>
        <v>#VALUE!</v>
      </c>
      <c r="Q327" t="e">
        <f>AND('STERLING CATALOG - FZN &amp; CHILL'!I1915,"AAAAAHf/6xA=")</f>
        <v>#VALUE!</v>
      </c>
      <c r="R327" t="e">
        <f>AND('STERLING CATALOG - FZN &amp; CHILL'!J1915,"AAAAAHf/6xE=")</f>
        <v>#VALUE!</v>
      </c>
      <c r="S327">
        <f>IF('STERLING CATALOG - FZN &amp; CHILL'!1916:1916,"AAAAAHf/6xI=",0)</f>
        <v>0</v>
      </c>
      <c r="T327" t="e">
        <f>AND('STERLING CATALOG - FZN &amp; CHILL'!A1916,"AAAAAHf/6xM=")</f>
        <v>#VALUE!</v>
      </c>
      <c r="U327" t="e">
        <f>AND('STERLING CATALOG - FZN &amp; CHILL'!B1916,"AAAAAHf/6xQ=")</f>
        <v>#VALUE!</v>
      </c>
      <c r="V327" t="e">
        <f>AND('STERLING CATALOG - FZN &amp; CHILL'!C1916,"AAAAAHf/6xU=")</f>
        <v>#VALUE!</v>
      </c>
      <c r="W327" t="e">
        <f>AND('STERLING CATALOG - FZN &amp; CHILL'!D1916,"AAAAAHf/6xY=")</f>
        <v>#VALUE!</v>
      </c>
      <c r="X327" t="e">
        <f>AND('STERLING CATALOG - FZN &amp; CHILL'!E1916,"AAAAAHf/6xc=")</f>
        <v>#VALUE!</v>
      </c>
      <c r="Y327" t="e">
        <f>AND('STERLING CATALOG - FZN &amp; CHILL'!F1916,"AAAAAHf/6xg=")</f>
        <v>#VALUE!</v>
      </c>
      <c r="Z327" t="e">
        <f>AND('STERLING CATALOG - FZN &amp; CHILL'!G1916,"AAAAAHf/6xk=")</f>
        <v>#VALUE!</v>
      </c>
      <c r="AA327" t="e">
        <f>AND('STERLING CATALOG - FZN &amp; CHILL'!H1916,"AAAAAHf/6xo=")</f>
        <v>#VALUE!</v>
      </c>
      <c r="AB327" t="e">
        <f>AND('STERLING CATALOG - FZN &amp; CHILL'!I1916,"AAAAAHf/6xs=")</f>
        <v>#VALUE!</v>
      </c>
      <c r="AC327" t="e">
        <f>AND('STERLING CATALOG - FZN &amp; CHILL'!J1916,"AAAAAHf/6xw=")</f>
        <v>#VALUE!</v>
      </c>
      <c r="AD327">
        <f>IF('STERLING CATALOG - FZN &amp; CHILL'!1917:1917,"AAAAAHf/6x0=",0)</f>
        <v>0</v>
      </c>
      <c r="AE327" t="e">
        <f>AND('STERLING CATALOG - FZN &amp; CHILL'!A1917,"AAAAAHf/6x4=")</f>
        <v>#VALUE!</v>
      </c>
      <c r="AF327" t="e">
        <f>AND('STERLING CATALOG - FZN &amp; CHILL'!B1917,"AAAAAHf/6x8=")</f>
        <v>#VALUE!</v>
      </c>
      <c r="AG327" t="e">
        <f>AND('STERLING CATALOG - FZN &amp; CHILL'!C1917,"AAAAAHf/6yA=")</f>
        <v>#VALUE!</v>
      </c>
      <c r="AH327" t="e">
        <f>AND('STERLING CATALOG - FZN &amp; CHILL'!D1917,"AAAAAHf/6yE=")</f>
        <v>#VALUE!</v>
      </c>
      <c r="AI327" t="e">
        <f>AND('STERLING CATALOG - FZN &amp; CHILL'!E1917,"AAAAAHf/6yI=")</f>
        <v>#VALUE!</v>
      </c>
      <c r="AJ327" t="e">
        <f>AND('STERLING CATALOG - FZN &amp; CHILL'!F1917,"AAAAAHf/6yM=")</f>
        <v>#VALUE!</v>
      </c>
      <c r="AK327" t="e">
        <f>AND('STERLING CATALOG - FZN &amp; CHILL'!G1917,"AAAAAHf/6yQ=")</f>
        <v>#VALUE!</v>
      </c>
      <c r="AL327" t="e">
        <f>AND('STERLING CATALOG - FZN &amp; CHILL'!H1917,"AAAAAHf/6yU=")</f>
        <v>#VALUE!</v>
      </c>
      <c r="AM327" t="e">
        <f>AND('STERLING CATALOG - FZN &amp; CHILL'!I1917,"AAAAAHf/6yY=")</f>
        <v>#VALUE!</v>
      </c>
      <c r="AN327" t="e">
        <f>AND('STERLING CATALOG - FZN &amp; CHILL'!J1917,"AAAAAHf/6yc=")</f>
        <v>#VALUE!</v>
      </c>
      <c r="AO327">
        <f>IF('STERLING CATALOG - FZN &amp; CHILL'!1918:1918,"AAAAAHf/6yg=",0)</f>
        <v>0</v>
      </c>
      <c r="AP327" t="e">
        <f>AND('STERLING CATALOG - FZN &amp; CHILL'!A1918,"AAAAAHf/6yk=")</f>
        <v>#VALUE!</v>
      </c>
      <c r="AQ327" t="e">
        <f>AND('STERLING CATALOG - FZN &amp; CHILL'!B1918,"AAAAAHf/6yo=")</f>
        <v>#VALUE!</v>
      </c>
      <c r="AR327" t="e">
        <f>AND('STERLING CATALOG - FZN &amp; CHILL'!C1918,"AAAAAHf/6ys=")</f>
        <v>#VALUE!</v>
      </c>
      <c r="AS327" t="e">
        <f>AND('STERLING CATALOG - FZN &amp; CHILL'!D1918,"AAAAAHf/6yw=")</f>
        <v>#VALUE!</v>
      </c>
      <c r="AT327" t="e">
        <f>AND('STERLING CATALOG - FZN &amp; CHILL'!E1918,"AAAAAHf/6y0=")</f>
        <v>#VALUE!</v>
      </c>
      <c r="AU327" t="e">
        <f>AND('STERLING CATALOG - FZN &amp; CHILL'!F1918,"AAAAAHf/6y4=")</f>
        <v>#VALUE!</v>
      </c>
      <c r="AV327" t="e">
        <f>AND('STERLING CATALOG - FZN &amp; CHILL'!G1918,"AAAAAHf/6y8=")</f>
        <v>#VALUE!</v>
      </c>
      <c r="AW327" t="e">
        <f>AND('STERLING CATALOG - FZN &amp; CHILL'!H1918,"AAAAAHf/6zA=")</f>
        <v>#VALUE!</v>
      </c>
      <c r="AX327" t="e">
        <f>AND('STERLING CATALOG - FZN &amp; CHILL'!I1918,"AAAAAHf/6zE=")</f>
        <v>#VALUE!</v>
      </c>
      <c r="AY327" t="e">
        <f>AND('STERLING CATALOG - FZN &amp; CHILL'!J1918,"AAAAAHf/6zI=")</f>
        <v>#VALUE!</v>
      </c>
      <c r="AZ327">
        <f>IF('STERLING CATALOG - FZN &amp; CHILL'!1919:1919,"AAAAAHf/6zM=",0)</f>
        <v>0</v>
      </c>
      <c r="BA327" t="e">
        <f>AND('STERLING CATALOG - FZN &amp; CHILL'!A1919,"AAAAAHf/6zQ=")</f>
        <v>#VALUE!</v>
      </c>
      <c r="BB327" t="e">
        <f>AND('STERLING CATALOG - FZN &amp; CHILL'!B1919,"AAAAAHf/6zU=")</f>
        <v>#VALUE!</v>
      </c>
      <c r="BC327" t="e">
        <f>AND('STERLING CATALOG - FZN &amp; CHILL'!C1919,"AAAAAHf/6zY=")</f>
        <v>#VALUE!</v>
      </c>
      <c r="BD327" t="e">
        <f>AND('STERLING CATALOG - FZN &amp; CHILL'!D1919,"AAAAAHf/6zc=")</f>
        <v>#VALUE!</v>
      </c>
      <c r="BE327" t="e">
        <f>AND('STERLING CATALOG - FZN &amp; CHILL'!E1919,"AAAAAHf/6zg=")</f>
        <v>#VALUE!</v>
      </c>
      <c r="BF327" t="e">
        <f>AND('STERLING CATALOG - FZN &amp; CHILL'!F1919,"AAAAAHf/6zk=")</f>
        <v>#VALUE!</v>
      </c>
      <c r="BG327" t="e">
        <f>AND('STERLING CATALOG - FZN &amp; CHILL'!G1919,"AAAAAHf/6zo=")</f>
        <v>#VALUE!</v>
      </c>
      <c r="BH327" t="e">
        <f>AND('STERLING CATALOG - FZN &amp; CHILL'!H1919,"AAAAAHf/6zs=")</f>
        <v>#VALUE!</v>
      </c>
      <c r="BI327" t="e">
        <f>AND('STERLING CATALOG - FZN &amp; CHILL'!I1919,"AAAAAHf/6zw=")</f>
        <v>#VALUE!</v>
      </c>
      <c r="BJ327" t="e">
        <f>AND('STERLING CATALOG - FZN &amp; CHILL'!J1919,"AAAAAHf/6z0=")</f>
        <v>#VALUE!</v>
      </c>
      <c r="BK327">
        <f>IF('STERLING CATALOG - FZN &amp; CHILL'!1920:1920,"AAAAAHf/6z4=",0)</f>
        <v>0</v>
      </c>
      <c r="BL327" t="e">
        <f>AND('STERLING CATALOG - FZN &amp; CHILL'!A1920,"AAAAAHf/6z8=")</f>
        <v>#VALUE!</v>
      </c>
      <c r="BM327" t="e">
        <f>AND('STERLING CATALOG - FZN &amp; CHILL'!B1920,"AAAAAHf/60A=")</f>
        <v>#VALUE!</v>
      </c>
      <c r="BN327" t="e">
        <f>AND('STERLING CATALOG - FZN &amp; CHILL'!C1920,"AAAAAHf/60E=")</f>
        <v>#VALUE!</v>
      </c>
      <c r="BO327" t="e">
        <f>AND('STERLING CATALOG - FZN &amp; CHILL'!D1920,"AAAAAHf/60I=")</f>
        <v>#VALUE!</v>
      </c>
      <c r="BP327" t="e">
        <f>AND('STERLING CATALOG - FZN &amp; CHILL'!E1920,"AAAAAHf/60M=")</f>
        <v>#VALUE!</v>
      </c>
      <c r="BQ327" t="e">
        <f>AND('STERLING CATALOG - FZN &amp; CHILL'!F1920,"AAAAAHf/60Q=")</f>
        <v>#VALUE!</v>
      </c>
      <c r="BR327" t="e">
        <f>AND('STERLING CATALOG - FZN &amp; CHILL'!G1920,"AAAAAHf/60U=")</f>
        <v>#VALUE!</v>
      </c>
      <c r="BS327" t="e">
        <f>AND('STERLING CATALOG - FZN &amp; CHILL'!H1920,"AAAAAHf/60Y=")</f>
        <v>#VALUE!</v>
      </c>
      <c r="BT327" t="e">
        <f>AND('STERLING CATALOG - FZN &amp; CHILL'!I1920,"AAAAAHf/60c=")</f>
        <v>#VALUE!</v>
      </c>
      <c r="BU327" t="e">
        <f>AND('STERLING CATALOG - FZN &amp; CHILL'!J1920,"AAAAAHf/60g=")</f>
        <v>#VALUE!</v>
      </c>
      <c r="BV327">
        <f>IF('STERLING CATALOG - FZN &amp; CHILL'!1921:1921,"AAAAAHf/60k=",0)</f>
        <v>0</v>
      </c>
      <c r="BW327" t="e">
        <f>AND('STERLING CATALOG - FZN &amp; CHILL'!A1921,"AAAAAHf/60o=")</f>
        <v>#VALUE!</v>
      </c>
      <c r="BX327" t="e">
        <f>AND('STERLING CATALOG - FZN &amp; CHILL'!B1921,"AAAAAHf/60s=")</f>
        <v>#VALUE!</v>
      </c>
      <c r="BY327" t="e">
        <f>AND('STERLING CATALOG - FZN &amp; CHILL'!C1921,"AAAAAHf/60w=")</f>
        <v>#VALUE!</v>
      </c>
      <c r="BZ327" t="e">
        <f>AND('STERLING CATALOG - FZN &amp; CHILL'!D1921,"AAAAAHf/600=")</f>
        <v>#VALUE!</v>
      </c>
      <c r="CA327" t="e">
        <f>AND('STERLING CATALOG - FZN &amp; CHILL'!E1921,"AAAAAHf/604=")</f>
        <v>#VALUE!</v>
      </c>
      <c r="CB327" t="e">
        <f>AND('STERLING CATALOG - FZN &amp; CHILL'!F1921,"AAAAAHf/608=")</f>
        <v>#VALUE!</v>
      </c>
      <c r="CC327" t="e">
        <f>AND('STERLING CATALOG - FZN &amp; CHILL'!G1921,"AAAAAHf/61A=")</f>
        <v>#VALUE!</v>
      </c>
      <c r="CD327" t="e">
        <f>AND('STERLING CATALOG - FZN &amp; CHILL'!H1921,"AAAAAHf/61E=")</f>
        <v>#VALUE!</v>
      </c>
      <c r="CE327" t="e">
        <f>AND('STERLING CATALOG - FZN &amp; CHILL'!I1921,"AAAAAHf/61I=")</f>
        <v>#VALUE!</v>
      </c>
      <c r="CF327" t="e">
        <f>AND('STERLING CATALOG - FZN &amp; CHILL'!J1921,"AAAAAHf/61M=")</f>
        <v>#VALUE!</v>
      </c>
      <c r="CG327">
        <f>IF('STERLING CATALOG - FZN &amp; CHILL'!1922:1922,"AAAAAHf/61Q=",0)</f>
        <v>0</v>
      </c>
      <c r="CH327" t="e">
        <f>AND('STERLING CATALOG - FZN &amp; CHILL'!A1922,"AAAAAHf/61U=")</f>
        <v>#VALUE!</v>
      </c>
      <c r="CI327" t="e">
        <f>AND('STERLING CATALOG - FZN &amp; CHILL'!B1922,"AAAAAHf/61Y=")</f>
        <v>#VALUE!</v>
      </c>
      <c r="CJ327" t="e">
        <f>AND('STERLING CATALOG - FZN &amp; CHILL'!C1922,"AAAAAHf/61c=")</f>
        <v>#VALUE!</v>
      </c>
      <c r="CK327" t="e">
        <f>AND('STERLING CATALOG - FZN &amp; CHILL'!D1922,"AAAAAHf/61g=")</f>
        <v>#VALUE!</v>
      </c>
      <c r="CL327" t="e">
        <f>AND('STERLING CATALOG - FZN &amp; CHILL'!E1922,"AAAAAHf/61k=")</f>
        <v>#VALUE!</v>
      </c>
      <c r="CM327" t="e">
        <f>AND('STERLING CATALOG - FZN &amp; CHILL'!F1922,"AAAAAHf/61o=")</f>
        <v>#VALUE!</v>
      </c>
      <c r="CN327" t="e">
        <f>AND('STERLING CATALOG - FZN &amp; CHILL'!G1922,"AAAAAHf/61s=")</f>
        <v>#VALUE!</v>
      </c>
      <c r="CO327" t="e">
        <f>AND('STERLING CATALOG - FZN &amp; CHILL'!H1922,"AAAAAHf/61w=")</f>
        <v>#VALUE!</v>
      </c>
      <c r="CP327" t="e">
        <f>AND('STERLING CATALOG - FZN &amp; CHILL'!I1922,"AAAAAHf/610=")</f>
        <v>#VALUE!</v>
      </c>
      <c r="CQ327" t="e">
        <f>AND('STERLING CATALOG - FZN &amp; CHILL'!J1922,"AAAAAHf/614=")</f>
        <v>#VALUE!</v>
      </c>
      <c r="CR327">
        <f>IF('STERLING CATALOG - FZN &amp; CHILL'!1923:1923,"AAAAAHf/618=",0)</f>
        <v>0</v>
      </c>
      <c r="CS327" t="e">
        <f>AND('STERLING CATALOG - FZN &amp; CHILL'!A1923,"AAAAAHf/62A=")</f>
        <v>#VALUE!</v>
      </c>
      <c r="CT327" t="e">
        <f>AND('STERLING CATALOG - FZN &amp; CHILL'!B1923,"AAAAAHf/62E=")</f>
        <v>#VALUE!</v>
      </c>
      <c r="CU327" t="e">
        <f>AND('STERLING CATALOG - FZN &amp; CHILL'!C1923,"AAAAAHf/62I=")</f>
        <v>#VALUE!</v>
      </c>
      <c r="CV327" t="e">
        <f>AND('STERLING CATALOG - FZN &amp; CHILL'!D1923,"AAAAAHf/62M=")</f>
        <v>#VALUE!</v>
      </c>
      <c r="CW327" t="e">
        <f>AND('STERLING CATALOG - FZN &amp; CHILL'!E1923,"AAAAAHf/62Q=")</f>
        <v>#VALUE!</v>
      </c>
      <c r="CX327" t="e">
        <f>AND('STERLING CATALOG - FZN &amp; CHILL'!F1923,"AAAAAHf/62U=")</f>
        <v>#VALUE!</v>
      </c>
      <c r="CY327" t="e">
        <f>AND('STERLING CATALOG - FZN &amp; CHILL'!G1923,"AAAAAHf/62Y=")</f>
        <v>#VALUE!</v>
      </c>
      <c r="CZ327" t="e">
        <f>AND('STERLING CATALOG - FZN &amp; CHILL'!H1923,"AAAAAHf/62c=")</f>
        <v>#VALUE!</v>
      </c>
      <c r="DA327" t="e">
        <f>AND('STERLING CATALOG - FZN &amp; CHILL'!I1923,"AAAAAHf/62g=")</f>
        <v>#VALUE!</v>
      </c>
      <c r="DB327" t="e">
        <f>AND('STERLING CATALOG - FZN &amp; CHILL'!J1923,"AAAAAHf/62k=")</f>
        <v>#VALUE!</v>
      </c>
      <c r="DC327">
        <f>IF('STERLING CATALOG - FZN &amp; CHILL'!1924:1924,"AAAAAHf/62o=",0)</f>
        <v>0</v>
      </c>
      <c r="DD327" t="e">
        <f>AND('STERLING CATALOG - FZN &amp; CHILL'!A1924,"AAAAAHf/62s=")</f>
        <v>#VALUE!</v>
      </c>
      <c r="DE327" t="e">
        <f>AND('STERLING CATALOG - FZN &amp; CHILL'!B1924,"AAAAAHf/62w=")</f>
        <v>#VALUE!</v>
      </c>
      <c r="DF327" t="e">
        <f>AND('STERLING CATALOG - FZN &amp; CHILL'!C1924,"AAAAAHf/620=")</f>
        <v>#VALUE!</v>
      </c>
      <c r="DG327" t="e">
        <f>AND('STERLING CATALOG - FZN &amp; CHILL'!D1924,"AAAAAHf/624=")</f>
        <v>#VALUE!</v>
      </c>
      <c r="DH327" t="e">
        <f>AND('STERLING CATALOG - FZN &amp; CHILL'!E1924,"AAAAAHf/628=")</f>
        <v>#VALUE!</v>
      </c>
      <c r="DI327" t="e">
        <f>AND('STERLING CATALOG - FZN &amp; CHILL'!F1924,"AAAAAHf/63A=")</f>
        <v>#VALUE!</v>
      </c>
      <c r="DJ327" t="e">
        <f>AND('STERLING CATALOG - FZN &amp; CHILL'!G1924,"AAAAAHf/63E=")</f>
        <v>#VALUE!</v>
      </c>
      <c r="DK327" t="e">
        <f>AND('STERLING CATALOG - FZN &amp; CHILL'!H1924,"AAAAAHf/63I=")</f>
        <v>#VALUE!</v>
      </c>
      <c r="DL327" t="e">
        <f>AND('STERLING CATALOG - FZN &amp; CHILL'!I1924,"AAAAAHf/63M=")</f>
        <v>#VALUE!</v>
      </c>
      <c r="DM327" t="e">
        <f>AND('STERLING CATALOG - FZN &amp; CHILL'!J1924,"AAAAAHf/63Q=")</f>
        <v>#VALUE!</v>
      </c>
      <c r="DN327">
        <f>IF('STERLING CATALOG - FZN &amp; CHILL'!1925:1925,"AAAAAHf/63U=",0)</f>
        <v>0</v>
      </c>
      <c r="DO327" t="e">
        <f>AND('STERLING CATALOG - FZN &amp; CHILL'!A1925,"AAAAAHf/63Y=")</f>
        <v>#VALUE!</v>
      </c>
      <c r="DP327" t="e">
        <f>AND('STERLING CATALOG - FZN &amp; CHILL'!B1925,"AAAAAHf/63c=")</f>
        <v>#VALUE!</v>
      </c>
      <c r="DQ327" t="e">
        <f>AND('STERLING CATALOG - FZN &amp; CHILL'!C1925,"AAAAAHf/63g=")</f>
        <v>#VALUE!</v>
      </c>
      <c r="DR327" t="e">
        <f>AND('STERLING CATALOG - FZN &amp; CHILL'!D1925,"AAAAAHf/63k=")</f>
        <v>#VALUE!</v>
      </c>
      <c r="DS327" t="e">
        <f>AND('STERLING CATALOG - FZN &amp; CHILL'!E1925,"AAAAAHf/63o=")</f>
        <v>#VALUE!</v>
      </c>
      <c r="DT327" t="e">
        <f>AND('STERLING CATALOG - FZN &amp; CHILL'!F1925,"AAAAAHf/63s=")</f>
        <v>#VALUE!</v>
      </c>
      <c r="DU327" t="e">
        <f>AND('STERLING CATALOG - FZN &amp; CHILL'!G1925,"AAAAAHf/63w=")</f>
        <v>#VALUE!</v>
      </c>
      <c r="DV327" t="e">
        <f>AND('STERLING CATALOG - FZN &amp; CHILL'!H1925,"AAAAAHf/630=")</f>
        <v>#VALUE!</v>
      </c>
      <c r="DW327" t="e">
        <f>AND('STERLING CATALOG - FZN &amp; CHILL'!I1925,"AAAAAHf/634=")</f>
        <v>#VALUE!</v>
      </c>
      <c r="DX327" t="e">
        <f>AND('STERLING CATALOG - FZN &amp; CHILL'!J1925,"AAAAAHf/638=")</f>
        <v>#VALUE!</v>
      </c>
      <c r="DY327">
        <f>IF('STERLING CATALOG - FZN &amp; CHILL'!1926:1926,"AAAAAHf/64A=",0)</f>
        <v>0</v>
      </c>
      <c r="DZ327" t="e">
        <f>AND('STERLING CATALOG - FZN &amp; CHILL'!A1926,"AAAAAHf/64E=")</f>
        <v>#VALUE!</v>
      </c>
      <c r="EA327" t="e">
        <f>AND('STERLING CATALOG - FZN &amp; CHILL'!B1926,"AAAAAHf/64I=")</f>
        <v>#VALUE!</v>
      </c>
      <c r="EB327" t="e">
        <f>AND('STERLING CATALOG - FZN &amp; CHILL'!C1926,"AAAAAHf/64M=")</f>
        <v>#VALUE!</v>
      </c>
      <c r="EC327" t="e">
        <f>AND('STERLING CATALOG - FZN &amp; CHILL'!D1926,"AAAAAHf/64Q=")</f>
        <v>#VALUE!</v>
      </c>
      <c r="ED327" t="e">
        <f>AND('STERLING CATALOG - FZN &amp; CHILL'!E1926,"AAAAAHf/64U=")</f>
        <v>#VALUE!</v>
      </c>
      <c r="EE327" t="e">
        <f>AND('STERLING CATALOG - FZN &amp; CHILL'!F1926,"AAAAAHf/64Y=")</f>
        <v>#VALUE!</v>
      </c>
      <c r="EF327" t="e">
        <f>AND('STERLING CATALOG - FZN &amp; CHILL'!G1926,"AAAAAHf/64c=")</f>
        <v>#VALUE!</v>
      </c>
      <c r="EG327" t="e">
        <f>AND('STERLING CATALOG - FZN &amp; CHILL'!H1926,"AAAAAHf/64g=")</f>
        <v>#VALUE!</v>
      </c>
      <c r="EH327" t="e">
        <f>AND('STERLING CATALOG - FZN &amp; CHILL'!I1926,"AAAAAHf/64k=")</f>
        <v>#VALUE!</v>
      </c>
      <c r="EI327" t="e">
        <f>AND('STERLING CATALOG - FZN &amp; CHILL'!J1926,"AAAAAHf/64o=")</f>
        <v>#VALUE!</v>
      </c>
      <c r="EJ327">
        <f>IF('STERLING CATALOG - FZN &amp; CHILL'!1927:1927,"AAAAAHf/64s=",0)</f>
        <v>0</v>
      </c>
      <c r="EK327" t="e">
        <f>AND('STERLING CATALOG - FZN &amp; CHILL'!A1927,"AAAAAHf/64w=")</f>
        <v>#VALUE!</v>
      </c>
      <c r="EL327" t="e">
        <f>AND('STERLING CATALOG - FZN &amp; CHILL'!B1927,"AAAAAHf/640=")</f>
        <v>#VALUE!</v>
      </c>
      <c r="EM327" t="e">
        <f>AND('STERLING CATALOG - FZN &amp; CHILL'!C1927,"AAAAAHf/644=")</f>
        <v>#VALUE!</v>
      </c>
      <c r="EN327" t="e">
        <f>AND('STERLING CATALOG - FZN &amp; CHILL'!D1927,"AAAAAHf/648=")</f>
        <v>#VALUE!</v>
      </c>
      <c r="EO327" t="e">
        <f>AND('STERLING CATALOG - FZN &amp; CHILL'!E1927,"AAAAAHf/65A=")</f>
        <v>#VALUE!</v>
      </c>
      <c r="EP327" t="e">
        <f>AND('STERLING CATALOG - FZN &amp; CHILL'!F1927,"AAAAAHf/65E=")</f>
        <v>#VALUE!</v>
      </c>
      <c r="EQ327" t="e">
        <f>AND('STERLING CATALOG - FZN &amp; CHILL'!G1927,"AAAAAHf/65I=")</f>
        <v>#VALUE!</v>
      </c>
      <c r="ER327" t="e">
        <f>AND('STERLING CATALOG - FZN &amp; CHILL'!H1927,"AAAAAHf/65M=")</f>
        <v>#VALUE!</v>
      </c>
      <c r="ES327" t="e">
        <f>AND('STERLING CATALOG - FZN &amp; CHILL'!I1927,"AAAAAHf/65Q=")</f>
        <v>#VALUE!</v>
      </c>
      <c r="ET327" t="e">
        <f>AND('STERLING CATALOG - FZN &amp; CHILL'!J1927,"AAAAAHf/65U=")</f>
        <v>#VALUE!</v>
      </c>
      <c r="EU327">
        <f>IF('STERLING CATALOG - FZN &amp; CHILL'!1928:1928,"AAAAAHf/65Y=",0)</f>
        <v>0</v>
      </c>
      <c r="EV327" t="e">
        <f>AND('STERLING CATALOG - FZN &amp; CHILL'!A1928,"AAAAAHf/65c=")</f>
        <v>#VALUE!</v>
      </c>
      <c r="EW327" t="e">
        <f>AND('STERLING CATALOG - FZN &amp; CHILL'!B1928,"AAAAAHf/65g=")</f>
        <v>#VALUE!</v>
      </c>
      <c r="EX327" t="e">
        <f>AND('STERLING CATALOG - FZN &amp; CHILL'!C1928,"AAAAAHf/65k=")</f>
        <v>#VALUE!</v>
      </c>
      <c r="EY327" t="e">
        <f>AND('STERLING CATALOG - FZN &amp; CHILL'!D1928,"AAAAAHf/65o=")</f>
        <v>#VALUE!</v>
      </c>
      <c r="EZ327" t="e">
        <f>AND('STERLING CATALOG - FZN &amp; CHILL'!E1928,"AAAAAHf/65s=")</f>
        <v>#VALUE!</v>
      </c>
      <c r="FA327" t="e">
        <f>AND('STERLING CATALOG - FZN &amp; CHILL'!F1928,"AAAAAHf/65w=")</f>
        <v>#VALUE!</v>
      </c>
      <c r="FB327" t="e">
        <f>AND('STERLING CATALOG - FZN &amp; CHILL'!G1928,"AAAAAHf/650=")</f>
        <v>#VALUE!</v>
      </c>
      <c r="FC327" t="e">
        <f>AND('STERLING CATALOG - FZN &amp; CHILL'!H1928,"AAAAAHf/654=")</f>
        <v>#VALUE!</v>
      </c>
      <c r="FD327" t="e">
        <f>AND('STERLING CATALOG - FZN &amp; CHILL'!I1928,"AAAAAHf/658=")</f>
        <v>#VALUE!</v>
      </c>
      <c r="FE327" t="e">
        <f>AND('STERLING CATALOG - FZN &amp; CHILL'!J1928,"AAAAAHf/66A=")</f>
        <v>#VALUE!</v>
      </c>
      <c r="FF327">
        <f>IF('STERLING CATALOG - FZN &amp; CHILL'!1929:1929,"AAAAAHf/66E=",0)</f>
        <v>0</v>
      </c>
      <c r="FG327" t="e">
        <f>AND('STERLING CATALOG - FZN &amp; CHILL'!A1929,"AAAAAHf/66I=")</f>
        <v>#VALUE!</v>
      </c>
      <c r="FH327" t="e">
        <f>AND('STERLING CATALOG - FZN &amp; CHILL'!B1929,"AAAAAHf/66M=")</f>
        <v>#VALUE!</v>
      </c>
      <c r="FI327" t="e">
        <f>AND('STERLING CATALOG - FZN &amp; CHILL'!C1929,"AAAAAHf/66Q=")</f>
        <v>#VALUE!</v>
      </c>
      <c r="FJ327" t="e">
        <f>AND('STERLING CATALOG - FZN &amp; CHILL'!D1929,"AAAAAHf/66U=")</f>
        <v>#VALUE!</v>
      </c>
      <c r="FK327" t="e">
        <f>AND('STERLING CATALOG - FZN &amp; CHILL'!E1929,"AAAAAHf/66Y=")</f>
        <v>#VALUE!</v>
      </c>
      <c r="FL327" t="e">
        <f>AND('STERLING CATALOG - FZN &amp; CHILL'!F1929,"AAAAAHf/66c=")</f>
        <v>#VALUE!</v>
      </c>
      <c r="FM327" t="e">
        <f>AND('STERLING CATALOG - FZN &amp; CHILL'!G1929,"AAAAAHf/66g=")</f>
        <v>#VALUE!</v>
      </c>
      <c r="FN327" t="e">
        <f>AND('STERLING CATALOG - FZN &amp; CHILL'!H1929,"AAAAAHf/66k=")</f>
        <v>#VALUE!</v>
      </c>
      <c r="FO327" t="e">
        <f>AND('STERLING CATALOG - FZN &amp; CHILL'!I1929,"AAAAAHf/66o=")</f>
        <v>#VALUE!</v>
      </c>
      <c r="FP327" t="e">
        <f>AND('STERLING CATALOG - FZN &amp; CHILL'!J1929,"AAAAAHf/66s=")</f>
        <v>#VALUE!</v>
      </c>
      <c r="FQ327">
        <f>IF('STERLING CATALOG - FZN &amp; CHILL'!1930:1930,"AAAAAHf/66w=",0)</f>
        <v>0</v>
      </c>
      <c r="FR327" t="e">
        <f>AND('STERLING CATALOG - FZN &amp; CHILL'!A1930,"AAAAAHf/660=")</f>
        <v>#VALUE!</v>
      </c>
      <c r="FS327" t="e">
        <f>AND('STERLING CATALOG - FZN &amp; CHILL'!B1930,"AAAAAHf/664=")</f>
        <v>#VALUE!</v>
      </c>
      <c r="FT327" t="e">
        <f>AND('STERLING CATALOG - FZN &amp; CHILL'!C1930,"AAAAAHf/668=")</f>
        <v>#VALUE!</v>
      </c>
      <c r="FU327" t="e">
        <f>AND('STERLING CATALOG - FZN &amp; CHILL'!D1930,"AAAAAHf/67A=")</f>
        <v>#VALUE!</v>
      </c>
      <c r="FV327" t="e">
        <f>AND('STERLING CATALOG - FZN &amp; CHILL'!E1930,"AAAAAHf/67E=")</f>
        <v>#VALUE!</v>
      </c>
      <c r="FW327" t="e">
        <f>AND('STERLING CATALOG - FZN &amp; CHILL'!F1930,"AAAAAHf/67I=")</f>
        <v>#VALUE!</v>
      </c>
      <c r="FX327" t="e">
        <f>AND('STERLING CATALOG - FZN &amp; CHILL'!G1930,"AAAAAHf/67M=")</f>
        <v>#VALUE!</v>
      </c>
      <c r="FY327" t="e">
        <f>AND('STERLING CATALOG - FZN &amp; CHILL'!H1930,"AAAAAHf/67Q=")</f>
        <v>#VALUE!</v>
      </c>
      <c r="FZ327" t="e">
        <f>AND('STERLING CATALOG - FZN &amp; CHILL'!I1930,"AAAAAHf/67U=")</f>
        <v>#VALUE!</v>
      </c>
      <c r="GA327" t="e">
        <f>AND('STERLING CATALOG - FZN &amp; CHILL'!J1930,"AAAAAHf/67Y=")</f>
        <v>#VALUE!</v>
      </c>
      <c r="GB327">
        <f>IF('STERLING CATALOG - FZN &amp; CHILL'!1931:1931,"AAAAAHf/67c=",0)</f>
        <v>0</v>
      </c>
      <c r="GC327" t="e">
        <f>AND('STERLING CATALOG - FZN &amp; CHILL'!A1931,"AAAAAHf/67g=")</f>
        <v>#VALUE!</v>
      </c>
      <c r="GD327" t="e">
        <f>AND('STERLING CATALOG - FZN &amp; CHILL'!B1931,"AAAAAHf/67k=")</f>
        <v>#VALUE!</v>
      </c>
      <c r="GE327" t="e">
        <f>AND('STERLING CATALOG - FZN &amp; CHILL'!C1931,"AAAAAHf/67o=")</f>
        <v>#VALUE!</v>
      </c>
      <c r="GF327" t="e">
        <f>AND('STERLING CATALOG - FZN &amp; CHILL'!D1931,"AAAAAHf/67s=")</f>
        <v>#VALUE!</v>
      </c>
      <c r="GG327" t="e">
        <f>AND('STERLING CATALOG - FZN &amp; CHILL'!E1931,"AAAAAHf/67w=")</f>
        <v>#VALUE!</v>
      </c>
      <c r="GH327" t="e">
        <f>AND('STERLING CATALOG - FZN &amp; CHILL'!F1931,"AAAAAHf/670=")</f>
        <v>#VALUE!</v>
      </c>
      <c r="GI327" t="e">
        <f>AND('STERLING CATALOG - FZN &amp; CHILL'!G1931,"AAAAAHf/674=")</f>
        <v>#VALUE!</v>
      </c>
      <c r="GJ327" t="e">
        <f>AND('STERLING CATALOG - FZN &amp; CHILL'!H1931,"AAAAAHf/678=")</f>
        <v>#VALUE!</v>
      </c>
      <c r="GK327" t="e">
        <f>AND('STERLING CATALOG - FZN &amp; CHILL'!I1931,"AAAAAHf/68A=")</f>
        <v>#VALUE!</v>
      </c>
      <c r="GL327" t="e">
        <f>AND('STERLING CATALOG - FZN &amp; CHILL'!J1931,"AAAAAHf/68E=")</f>
        <v>#VALUE!</v>
      </c>
      <c r="GM327">
        <f>IF('STERLING CATALOG - FZN &amp; CHILL'!1932:1932,"AAAAAHf/68I=",0)</f>
        <v>0</v>
      </c>
      <c r="GN327" t="e">
        <f>AND('STERLING CATALOG - FZN &amp; CHILL'!A1932,"AAAAAHf/68M=")</f>
        <v>#VALUE!</v>
      </c>
      <c r="GO327" t="e">
        <f>AND('STERLING CATALOG - FZN &amp; CHILL'!B1932,"AAAAAHf/68Q=")</f>
        <v>#VALUE!</v>
      </c>
      <c r="GP327" t="e">
        <f>AND('STERLING CATALOG - FZN &amp; CHILL'!C1932,"AAAAAHf/68U=")</f>
        <v>#VALUE!</v>
      </c>
      <c r="GQ327" t="e">
        <f>AND('STERLING CATALOG - FZN &amp; CHILL'!D1932,"AAAAAHf/68Y=")</f>
        <v>#VALUE!</v>
      </c>
      <c r="GR327" t="e">
        <f>AND('STERLING CATALOG - FZN &amp; CHILL'!E1932,"AAAAAHf/68c=")</f>
        <v>#VALUE!</v>
      </c>
      <c r="GS327" t="e">
        <f>AND('STERLING CATALOG - FZN &amp; CHILL'!F1932,"AAAAAHf/68g=")</f>
        <v>#VALUE!</v>
      </c>
      <c r="GT327" t="e">
        <f>AND('STERLING CATALOG - FZN &amp; CHILL'!G1932,"AAAAAHf/68k=")</f>
        <v>#VALUE!</v>
      </c>
      <c r="GU327" t="e">
        <f>AND('STERLING CATALOG - FZN &amp; CHILL'!H1932,"AAAAAHf/68o=")</f>
        <v>#VALUE!</v>
      </c>
      <c r="GV327" t="e">
        <f>AND('STERLING CATALOG - FZN &amp; CHILL'!I1932,"AAAAAHf/68s=")</f>
        <v>#VALUE!</v>
      </c>
      <c r="GW327" t="e">
        <f>AND('STERLING CATALOG - FZN &amp; CHILL'!J1932,"AAAAAHf/68w=")</f>
        <v>#VALUE!</v>
      </c>
      <c r="GX327">
        <f>IF('STERLING CATALOG - FZN &amp; CHILL'!1933:1933,"AAAAAHf/680=",0)</f>
        <v>0</v>
      </c>
      <c r="GY327" t="e">
        <f>AND('STERLING CATALOG - FZN &amp; CHILL'!A1933,"AAAAAHf/684=")</f>
        <v>#VALUE!</v>
      </c>
      <c r="GZ327" t="e">
        <f>AND('STERLING CATALOG - FZN &amp; CHILL'!B1933,"AAAAAHf/688=")</f>
        <v>#VALUE!</v>
      </c>
      <c r="HA327" t="e">
        <f>AND('STERLING CATALOG - FZN &amp; CHILL'!C1933,"AAAAAHf/69A=")</f>
        <v>#VALUE!</v>
      </c>
      <c r="HB327" t="e">
        <f>AND('STERLING CATALOG - FZN &amp; CHILL'!D1933,"AAAAAHf/69E=")</f>
        <v>#VALUE!</v>
      </c>
      <c r="HC327" t="e">
        <f>AND('STERLING CATALOG - FZN &amp; CHILL'!E1933,"AAAAAHf/69I=")</f>
        <v>#VALUE!</v>
      </c>
      <c r="HD327" t="e">
        <f>AND('STERLING CATALOG - FZN &amp; CHILL'!F1933,"AAAAAHf/69M=")</f>
        <v>#VALUE!</v>
      </c>
      <c r="HE327" t="e">
        <f>AND('STERLING CATALOG - FZN &amp; CHILL'!G1933,"AAAAAHf/69Q=")</f>
        <v>#VALUE!</v>
      </c>
      <c r="HF327" t="e">
        <f>AND('STERLING CATALOG - FZN &amp; CHILL'!H1933,"AAAAAHf/69U=")</f>
        <v>#VALUE!</v>
      </c>
      <c r="HG327" t="e">
        <f>AND('STERLING CATALOG - FZN &amp; CHILL'!I1933,"AAAAAHf/69Y=")</f>
        <v>#VALUE!</v>
      </c>
      <c r="HH327" t="e">
        <f>AND('STERLING CATALOG - FZN &amp; CHILL'!J1933,"AAAAAHf/69c=")</f>
        <v>#VALUE!</v>
      </c>
      <c r="HI327">
        <f>IF('STERLING CATALOG - FZN &amp; CHILL'!1934:1934,"AAAAAHf/69g=",0)</f>
        <v>0</v>
      </c>
      <c r="HJ327" t="e">
        <f>AND('STERLING CATALOG - FZN &amp; CHILL'!A1934,"AAAAAHf/69k=")</f>
        <v>#VALUE!</v>
      </c>
      <c r="HK327" t="e">
        <f>AND('STERLING CATALOG - FZN &amp; CHILL'!B1934,"AAAAAHf/69o=")</f>
        <v>#VALUE!</v>
      </c>
      <c r="HL327" t="e">
        <f>AND('STERLING CATALOG - FZN &amp; CHILL'!C1934,"AAAAAHf/69s=")</f>
        <v>#VALUE!</v>
      </c>
      <c r="HM327" t="e">
        <f>AND('STERLING CATALOG - FZN &amp; CHILL'!D1934,"AAAAAHf/69w=")</f>
        <v>#VALUE!</v>
      </c>
      <c r="HN327" t="e">
        <f>AND('STERLING CATALOG - FZN &amp; CHILL'!E1934,"AAAAAHf/690=")</f>
        <v>#VALUE!</v>
      </c>
      <c r="HO327" t="e">
        <f>AND('STERLING CATALOG - FZN &amp; CHILL'!F1934,"AAAAAHf/694=")</f>
        <v>#VALUE!</v>
      </c>
      <c r="HP327" t="e">
        <f>AND('STERLING CATALOG - FZN &amp; CHILL'!G1934,"AAAAAHf/698=")</f>
        <v>#VALUE!</v>
      </c>
      <c r="HQ327" t="e">
        <f>AND('STERLING CATALOG - FZN &amp; CHILL'!H1934,"AAAAAHf/6+A=")</f>
        <v>#VALUE!</v>
      </c>
      <c r="HR327" t="e">
        <f>AND('STERLING CATALOG - FZN &amp; CHILL'!I1934,"AAAAAHf/6+E=")</f>
        <v>#VALUE!</v>
      </c>
      <c r="HS327" t="e">
        <f>AND('STERLING CATALOG - FZN &amp; CHILL'!J1934,"AAAAAHf/6+I=")</f>
        <v>#VALUE!</v>
      </c>
      <c r="HT327">
        <f>IF('STERLING CATALOG - FZN &amp; CHILL'!1935:1935,"AAAAAHf/6+M=",0)</f>
        <v>0</v>
      </c>
      <c r="HU327" t="e">
        <f>AND('STERLING CATALOG - FZN &amp; CHILL'!A1935,"AAAAAHf/6+Q=")</f>
        <v>#VALUE!</v>
      </c>
      <c r="HV327" t="e">
        <f>AND('STERLING CATALOG - FZN &amp; CHILL'!B1935,"AAAAAHf/6+U=")</f>
        <v>#VALUE!</v>
      </c>
      <c r="HW327" t="e">
        <f>AND('STERLING CATALOG - FZN &amp; CHILL'!C1935,"AAAAAHf/6+Y=")</f>
        <v>#VALUE!</v>
      </c>
      <c r="HX327" t="e">
        <f>AND('STERLING CATALOG - FZN &amp; CHILL'!D1935,"AAAAAHf/6+c=")</f>
        <v>#VALUE!</v>
      </c>
      <c r="HY327" t="e">
        <f>AND('STERLING CATALOG - FZN &amp; CHILL'!E1935,"AAAAAHf/6+g=")</f>
        <v>#VALUE!</v>
      </c>
      <c r="HZ327" t="e">
        <f>AND('STERLING CATALOG - FZN &amp; CHILL'!F1935,"AAAAAHf/6+k=")</f>
        <v>#VALUE!</v>
      </c>
      <c r="IA327" t="e">
        <f>AND('STERLING CATALOG - FZN &amp; CHILL'!G1935,"AAAAAHf/6+o=")</f>
        <v>#VALUE!</v>
      </c>
      <c r="IB327" t="e">
        <f>AND('STERLING CATALOG - FZN &amp; CHILL'!H1935,"AAAAAHf/6+s=")</f>
        <v>#VALUE!</v>
      </c>
      <c r="IC327" t="e">
        <f>AND('STERLING CATALOG - FZN &amp; CHILL'!I1935,"AAAAAHf/6+w=")</f>
        <v>#VALUE!</v>
      </c>
      <c r="ID327" t="e">
        <f>AND('STERLING CATALOG - FZN &amp; CHILL'!J1935,"AAAAAHf/6+0=")</f>
        <v>#VALUE!</v>
      </c>
      <c r="IE327">
        <f>IF('STERLING CATALOG - FZN &amp; CHILL'!1936:1936,"AAAAAHf/6+4=",0)</f>
        <v>0</v>
      </c>
      <c r="IF327" t="e">
        <f>AND('STERLING CATALOG - FZN &amp; CHILL'!A1936,"AAAAAHf/6+8=")</f>
        <v>#VALUE!</v>
      </c>
      <c r="IG327" t="e">
        <f>AND('STERLING CATALOG - FZN &amp; CHILL'!B1936,"AAAAAHf/6/A=")</f>
        <v>#VALUE!</v>
      </c>
      <c r="IH327" t="e">
        <f>AND('STERLING CATALOG - FZN &amp; CHILL'!C1936,"AAAAAHf/6/E=")</f>
        <v>#VALUE!</v>
      </c>
      <c r="II327" t="e">
        <f>AND('STERLING CATALOG - FZN &amp; CHILL'!D1936,"AAAAAHf/6/I=")</f>
        <v>#VALUE!</v>
      </c>
      <c r="IJ327" t="e">
        <f>AND('STERLING CATALOG - FZN &amp; CHILL'!E1936,"AAAAAHf/6/M=")</f>
        <v>#VALUE!</v>
      </c>
      <c r="IK327" t="e">
        <f>AND('STERLING CATALOG - FZN &amp; CHILL'!F1936,"AAAAAHf/6/Q=")</f>
        <v>#VALUE!</v>
      </c>
      <c r="IL327" t="e">
        <f>AND('STERLING CATALOG - FZN &amp; CHILL'!G1936,"AAAAAHf/6/U=")</f>
        <v>#VALUE!</v>
      </c>
      <c r="IM327" t="e">
        <f>AND('STERLING CATALOG - FZN &amp; CHILL'!H1936,"AAAAAHf/6/Y=")</f>
        <v>#VALUE!</v>
      </c>
      <c r="IN327" t="e">
        <f>AND('STERLING CATALOG - FZN &amp; CHILL'!I1936,"AAAAAHf/6/c=")</f>
        <v>#VALUE!</v>
      </c>
      <c r="IO327" t="e">
        <f>AND('STERLING CATALOG - FZN &amp; CHILL'!J1936,"AAAAAHf/6/g=")</f>
        <v>#VALUE!</v>
      </c>
      <c r="IP327">
        <f>IF('STERLING CATALOG - FZN &amp; CHILL'!1937:1937,"AAAAAHf/6/k=",0)</f>
        <v>0</v>
      </c>
      <c r="IQ327" t="e">
        <f>AND('STERLING CATALOG - FZN &amp; CHILL'!A1937,"AAAAAHf/6/o=")</f>
        <v>#VALUE!</v>
      </c>
      <c r="IR327" t="e">
        <f>AND('STERLING CATALOG - FZN &amp; CHILL'!B1937,"AAAAAHf/6/s=")</f>
        <v>#VALUE!</v>
      </c>
      <c r="IS327" t="e">
        <f>AND('STERLING CATALOG - FZN &amp; CHILL'!C1937,"AAAAAHf/6/w=")</f>
        <v>#VALUE!</v>
      </c>
      <c r="IT327" t="e">
        <f>AND('STERLING CATALOG - FZN &amp; CHILL'!D1937,"AAAAAHf/6/0=")</f>
        <v>#VALUE!</v>
      </c>
      <c r="IU327" t="e">
        <f>AND('STERLING CATALOG - FZN &amp; CHILL'!E1937,"AAAAAHf/6/4=")</f>
        <v>#VALUE!</v>
      </c>
      <c r="IV327" t="e">
        <f>AND('STERLING CATALOG - FZN &amp; CHILL'!F1937,"AAAAAHf/6/8=")</f>
        <v>#VALUE!</v>
      </c>
    </row>
    <row r="328" spans="1:256">
      <c r="A328" t="e">
        <f>AND('STERLING CATALOG - FZN &amp; CHILL'!G1937,"AAAAAHv1pwA=")</f>
        <v>#VALUE!</v>
      </c>
      <c r="B328" t="e">
        <f>AND('STERLING CATALOG - FZN &amp; CHILL'!H1937,"AAAAAHv1pwE=")</f>
        <v>#VALUE!</v>
      </c>
      <c r="C328" t="e">
        <f>AND('STERLING CATALOG - FZN &amp; CHILL'!I1937,"AAAAAHv1pwI=")</f>
        <v>#VALUE!</v>
      </c>
      <c r="D328" t="e">
        <f>AND('STERLING CATALOG - FZN &amp; CHILL'!J1937,"AAAAAHv1pwM=")</f>
        <v>#VALUE!</v>
      </c>
      <c r="E328" t="e">
        <f>IF('STERLING CATALOG - FZN &amp; CHILL'!1938:1938,"AAAAAHv1pwQ=",0)</f>
        <v>#VALUE!</v>
      </c>
      <c r="F328" t="e">
        <f>AND('STERLING CATALOG - FZN &amp; CHILL'!A1938,"AAAAAHv1pwU=")</f>
        <v>#VALUE!</v>
      </c>
      <c r="G328" t="e">
        <f>AND('STERLING CATALOG - FZN &amp; CHILL'!B1938,"AAAAAHv1pwY=")</f>
        <v>#VALUE!</v>
      </c>
      <c r="H328" t="e">
        <f>AND('STERLING CATALOG - FZN &amp; CHILL'!C1938,"AAAAAHv1pwc=")</f>
        <v>#VALUE!</v>
      </c>
      <c r="I328" t="e">
        <f>AND('STERLING CATALOG - FZN &amp; CHILL'!D1938,"AAAAAHv1pwg=")</f>
        <v>#VALUE!</v>
      </c>
      <c r="J328" t="e">
        <f>AND('STERLING CATALOG - FZN &amp; CHILL'!E1938,"AAAAAHv1pwk=")</f>
        <v>#VALUE!</v>
      </c>
      <c r="K328" t="e">
        <f>AND('STERLING CATALOG - FZN &amp; CHILL'!F1938,"AAAAAHv1pwo=")</f>
        <v>#VALUE!</v>
      </c>
      <c r="L328" t="e">
        <f>AND('STERLING CATALOG - FZN &amp; CHILL'!G1938,"AAAAAHv1pws=")</f>
        <v>#VALUE!</v>
      </c>
      <c r="M328" t="e">
        <f>AND('STERLING CATALOG - FZN &amp; CHILL'!H1938,"AAAAAHv1pww=")</f>
        <v>#VALUE!</v>
      </c>
      <c r="N328" t="e">
        <f>AND('STERLING CATALOG - FZN &amp; CHILL'!I1938,"AAAAAHv1pw0=")</f>
        <v>#VALUE!</v>
      </c>
      <c r="O328" t="e">
        <f>AND('STERLING CATALOG - FZN &amp; CHILL'!J1938,"AAAAAHv1pw4=")</f>
        <v>#VALUE!</v>
      </c>
      <c r="P328">
        <f>IF('STERLING CATALOG - FZN &amp; CHILL'!1939:1939,"AAAAAHv1pw8=",0)</f>
        <v>0</v>
      </c>
      <c r="Q328" t="e">
        <f>AND('STERLING CATALOG - FZN &amp; CHILL'!A1939,"AAAAAHv1pxA=")</f>
        <v>#VALUE!</v>
      </c>
      <c r="R328" t="e">
        <f>AND('STERLING CATALOG - FZN &amp; CHILL'!B1939,"AAAAAHv1pxE=")</f>
        <v>#VALUE!</v>
      </c>
      <c r="S328" t="e">
        <f>AND('STERLING CATALOG - FZN &amp; CHILL'!C1939,"AAAAAHv1pxI=")</f>
        <v>#VALUE!</v>
      </c>
      <c r="T328" t="e">
        <f>AND('STERLING CATALOG - FZN &amp; CHILL'!D1939,"AAAAAHv1pxM=")</f>
        <v>#VALUE!</v>
      </c>
      <c r="U328" t="e">
        <f>AND('STERLING CATALOG - FZN &amp; CHILL'!E1939,"AAAAAHv1pxQ=")</f>
        <v>#VALUE!</v>
      </c>
      <c r="V328" t="e">
        <f>AND('STERLING CATALOG - FZN &amp; CHILL'!F1939,"AAAAAHv1pxU=")</f>
        <v>#VALUE!</v>
      </c>
      <c r="W328" t="e">
        <f>AND('STERLING CATALOG - FZN &amp; CHILL'!G1939,"AAAAAHv1pxY=")</f>
        <v>#VALUE!</v>
      </c>
      <c r="X328" t="e">
        <f>AND('STERLING CATALOG - FZN &amp; CHILL'!H1939,"AAAAAHv1pxc=")</f>
        <v>#VALUE!</v>
      </c>
      <c r="Y328" t="e">
        <f>AND('STERLING CATALOG - FZN &amp; CHILL'!I1939,"AAAAAHv1pxg=")</f>
        <v>#VALUE!</v>
      </c>
      <c r="Z328" t="e">
        <f>AND('STERLING CATALOG - FZN &amp; CHILL'!J1939,"AAAAAHv1pxk=")</f>
        <v>#VALUE!</v>
      </c>
      <c r="AA328">
        <f>IF('STERLING CATALOG - FZN &amp; CHILL'!1940:1940,"AAAAAHv1pxo=",0)</f>
        <v>0</v>
      </c>
      <c r="AB328" t="e">
        <f>AND('STERLING CATALOG - FZN &amp; CHILL'!A1940,"AAAAAHv1pxs=")</f>
        <v>#VALUE!</v>
      </c>
      <c r="AC328" t="e">
        <f>AND('STERLING CATALOG - FZN &amp; CHILL'!B1940,"AAAAAHv1pxw=")</f>
        <v>#VALUE!</v>
      </c>
      <c r="AD328" t="e">
        <f>AND('STERLING CATALOG - FZN &amp; CHILL'!C1940,"AAAAAHv1px0=")</f>
        <v>#VALUE!</v>
      </c>
      <c r="AE328" t="e">
        <f>AND('STERLING CATALOG - FZN &amp; CHILL'!D1940,"AAAAAHv1px4=")</f>
        <v>#VALUE!</v>
      </c>
      <c r="AF328" t="e">
        <f>AND('STERLING CATALOG - FZN &amp; CHILL'!E1940,"AAAAAHv1px8=")</f>
        <v>#VALUE!</v>
      </c>
      <c r="AG328" t="e">
        <f>AND('STERLING CATALOG - FZN &amp; CHILL'!F1940,"AAAAAHv1pyA=")</f>
        <v>#VALUE!</v>
      </c>
      <c r="AH328" t="e">
        <f>AND('STERLING CATALOG - FZN &amp; CHILL'!G1940,"AAAAAHv1pyE=")</f>
        <v>#VALUE!</v>
      </c>
      <c r="AI328" t="e">
        <f>AND('STERLING CATALOG - FZN &amp; CHILL'!H1940,"AAAAAHv1pyI=")</f>
        <v>#VALUE!</v>
      </c>
      <c r="AJ328" t="e">
        <f>AND('STERLING CATALOG - FZN &amp; CHILL'!I1940,"AAAAAHv1pyM=")</f>
        <v>#VALUE!</v>
      </c>
      <c r="AK328" t="e">
        <f>AND('STERLING CATALOG - FZN &amp; CHILL'!J1940,"AAAAAHv1pyQ=")</f>
        <v>#VALUE!</v>
      </c>
      <c r="AL328">
        <f>IF('STERLING CATALOG - FZN &amp; CHILL'!1941:1941,"AAAAAHv1pyU=",0)</f>
        <v>0</v>
      </c>
      <c r="AM328" t="e">
        <f>AND('STERLING CATALOG - FZN &amp; CHILL'!A1941,"AAAAAHv1pyY=")</f>
        <v>#VALUE!</v>
      </c>
      <c r="AN328" t="e">
        <f>AND('STERLING CATALOG - FZN &amp; CHILL'!B1941,"AAAAAHv1pyc=")</f>
        <v>#VALUE!</v>
      </c>
      <c r="AO328" t="e">
        <f>AND('STERLING CATALOG - FZN &amp; CHILL'!C1941,"AAAAAHv1pyg=")</f>
        <v>#VALUE!</v>
      </c>
      <c r="AP328" t="e">
        <f>AND('STERLING CATALOG - FZN &amp; CHILL'!D1941,"AAAAAHv1pyk=")</f>
        <v>#VALUE!</v>
      </c>
      <c r="AQ328" t="e">
        <f>AND('STERLING CATALOG - FZN &amp; CHILL'!E1941,"AAAAAHv1pyo=")</f>
        <v>#VALUE!</v>
      </c>
      <c r="AR328" t="e">
        <f>AND('STERLING CATALOG - FZN &amp; CHILL'!F1941,"AAAAAHv1pys=")</f>
        <v>#VALUE!</v>
      </c>
      <c r="AS328" t="e">
        <f>AND('STERLING CATALOG - FZN &amp; CHILL'!G1941,"AAAAAHv1pyw=")</f>
        <v>#VALUE!</v>
      </c>
      <c r="AT328" t="e">
        <f>AND('STERLING CATALOG - FZN &amp; CHILL'!H1941,"AAAAAHv1py0=")</f>
        <v>#VALUE!</v>
      </c>
      <c r="AU328" t="e">
        <f>AND('STERLING CATALOG - FZN &amp; CHILL'!I1941,"AAAAAHv1py4=")</f>
        <v>#VALUE!</v>
      </c>
      <c r="AV328" t="e">
        <f>AND('STERLING CATALOG - FZN &amp; CHILL'!J1941,"AAAAAHv1py8=")</f>
        <v>#VALUE!</v>
      </c>
      <c r="AW328">
        <f>IF('STERLING CATALOG - FZN &amp; CHILL'!1942:1942,"AAAAAHv1pzA=",0)</f>
        <v>0</v>
      </c>
      <c r="AX328" t="e">
        <f>AND('STERLING CATALOG - FZN &amp; CHILL'!A1942,"AAAAAHv1pzE=")</f>
        <v>#VALUE!</v>
      </c>
      <c r="AY328" t="e">
        <f>AND('STERLING CATALOG - FZN &amp; CHILL'!B1942,"AAAAAHv1pzI=")</f>
        <v>#VALUE!</v>
      </c>
      <c r="AZ328" t="e">
        <f>AND('STERLING CATALOG - FZN &amp; CHILL'!C1942,"AAAAAHv1pzM=")</f>
        <v>#VALUE!</v>
      </c>
      <c r="BA328" t="e">
        <f>AND('STERLING CATALOG - FZN &amp; CHILL'!D1942,"AAAAAHv1pzQ=")</f>
        <v>#VALUE!</v>
      </c>
      <c r="BB328" t="e">
        <f>AND('STERLING CATALOG - FZN &amp; CHILL'!E1942,"AAAAAHv1pzU=")</f>
        <v>#VALUE!</v>
      </c>
      <c r="BC328" t="e">
        <f>AND('STERLING CATALOG - FZN &amp; CHILL'!F1942,"AAAAAHv1pzY=")</f>
        <v>#VALUE!</v>
      </c>
      <c r="BD328" t="e">
        <f>AND('STERLING CATALOG - FZN &amp; CHILL'!G1942,"AAAAAHv1pzc=")</f>
        <v>#VALUE!</v>
      </c>
      <c r="BE328" t="e">
        <f>AND('STERLING CATALOG - FZN &amp; CHILL'!H1942,"AAAAAHv1pzg=")</f>
        <v>#VALUE!</v>
      </c>
      <c r="BF328" t="e">
        <f>AND('STERLING CATALOG - FZN &amp; CHILL'!I1942,"AAAAAHv1pzk=")</f>
        <v>#VALUE!</v>
      </c>
      <c r="BG328" t="e">
        <f>AND('STERLING CATALOG - FZN &amp; CHILL'!J1942,"AAAAAHv1pzo=")</f>
        <v>#VALUE!</v>
      </c>
      <c r="BH328">
        <f>IF('STERLING CATALOG - FZN &amp; CHILL'!1943:1943,"AAAAAHv1pzs=",0)</f>
        <v>0</v>
      </c>
      <c r="BI328" t="e">
        <f>AND('STERLING CATALOG - FZN &amp; CHILL'!A1943,"AAAAAHv1pzw=")</f>
        <v>#VALUE!</v>
      </c>
      <c r="BJ328" t="e">
        <f>AND('STERLING CATALOG - FZN &amp; CHILL'!B1943,"AAAAAHv1pz0=")</f>
        <v>#VALUE!</v>
      </c>
      <c r="BK328" t="e">
        <f>AND('STERLING CATALOG - FZN &amp; CHILL'!C1943,"AAAAAHv1pz4=")</f>
        <v>#VALUE!</v>
      </c>
      <c r="BL328" t="e">
        <f>AND('STERLING CATALOG - FZN &amp; CHILL'!D1943,"AAAAAHv1pz8=")</f>
        <v>#VALUE!</v>
      </c>
      <c r="BM328" t="e">
        <f>AND('STERLING CATALOG - FZN &amp; CHILL'!E1943,"AAAAAHv1p0A=")</f>
        <v>#VALUE!</v>
      </c>
      <c r="BN328" t="e">
        <f>AND('STERLING CATALOG - FZN &amp; CHILL'!F1943,"AAAAAHv1p0E=")</f>
        <v>#VALUE!</v>
      </c>
      <c r="BO328" t="e">
        <f>AND('STERLING CATALOG - FZN &amp; CHILL'!G1943,"AAAAAHv1p0I=")</f>
        <v>#VALUE!</v>
      </c>
      <c r="BP328" t="e">
        <f>AND('STERLING CATALOG - FZN &amp; CHILL'!H1943,"AAAAAHv1p0M=")</f>
        <v>#VALUE!</v>
      </c>
      <c r="BQ328" t="e">
        <f>AND('STERLING CATALOG - FZN &amp; CHILL'!I1943,"AAAAAHv1p0Q=")</f>
        <v>#VALUE!</v>
      </c>
      <c r="BR328" t="e">
        <f>AND('STERLING CATALOG - FZN &amp; CHILL'!J1943,"AAAAAHv1p0U=")</f>
        <v>#VALUE!</v>
      </c>
      <c r="BS328">
        <f>IF('STERLING CATALOG - FZN &amp; CHILL'!1944:1944,"AAAAAHv1p0Y=",0)</f>
        <v>0</v>
      </c>
      <c r="BT328" t="e">
        <f>AND('STERLING CATALOG - FZN &amp; CHILL'!A1944,"AAAAAHv1p0c=")</f>
        <v>#VALUE!</v>
      </c>
      <c r="BU328" t="e">
        <f>AND('STERLING CATALOG - FZN &amp; CHILL'!B1944,"AAAAAHv1p0g=")</f>
        <v>#VALUE!</v>
      </c>
      <c r="BV328" t="e">
        <f>AND('STERLING CATALOG - FZN &amp; CHILL'!C1944,"AAAAAHv1p0k=")</f>
        <v>#VALUE!</v>
      </c>
      <c r="BW328" t="e">
        <f>AND('STERLING CATALOG - FZN &amp; CHILL'!D1944,"AAAAAHv1p0o=")</f>
        <v>#VALUE!</v>
      </c>
      <c r="BX328" t="e">
        <f>AND('STERLING CATALOG - FZN &amp; CHILL'!E1944,"AAAAAHv1p0s=")</f>
        <v>#VALUE!</v>
      </c>
      <c r="BY328" t="e">
        <f>AND('STERLING CATALOG - FZN &amp; CHILL'!F1944,"AAAAAHv1p0w=")</f>
        <v>#VALUE!</v>
      </c>
      <c r="BZ328" t="e">
        <f>AND('STERLING CATALOG - FZN &amp; CHILL'!G1944,"AAAAAHv1p00=")</f>
        <v>#VALUE!</v>
      </c>
      <c r="CA328" t="e">
        <f>AND('STERLING CATALOG - FZN &amp; CHILL'!H1944,"AAAAAHv1p04=")</f>
        <v>#VALUE!</v>
      </c>
      <c r="CB328" t="e">
        <f>AND('STERLING CATALOG - FZN &amp; CHILL'!I1944,"AAAAAHv1p08=")</f>
        <v>#VALUE!</v>
      </c>
      <c r="CC328" t="e">
        <f>AND('STERLING CATALOG - FZN &amp; CHILL'!J1944,"AAAAAHv1p1A=")</f>
        <v>#VALUE!</v>
      </c>
      <c r="CD328">
        <f>IF('STERLING CATALOG - FZN &amp; CHILL'!1945:1945,"AAAAAHv1p1E=",0)</f>
        <v>0</v>
      </c>
      <c r="CE328" t="e">
        <f>AND('STERLING CATALOG - FZN &amp; CHILL'!A1945,"AAAAAHv1p1I=")</f>
        <v>#VALUE!</v>
      </c>
      <c r="CF328" t="e">
        <f>AND('STERLING CATALOG - FZN &amp; CHILL'!B1945,"AAAAAHv1p1M=")</f>
        <v>#VALUE!</v>
      </c>
      <c r="CG328" t="e">
        <f>AND('STERLING CATALOG - FZN &amp; CHILL'!C1945,"AAAAAHv1p1Q=")</f>
        <v>#VALUE!</v>
      </c>
      <c r="CH328" t="e">
        <f>AND('STERLING CATALOG - FZN &amp; CHILL'!D1945,"AAAAAHv1p1U=")</f>
        <v>#VALUE!</v>
      </c>
      <c r="CI328" t="e">
        <f>AND('STERLING CATALOG - FZN &amp; CHILL'!E1945,"AAAAAHv1p1Y=")</f>
        <v>#VALUE!</v>
      </c>
      <c r="CJ328" t="e">
        <f>AND('STERLING CATALOG - FZN &amp; CHILL'!F1945,"AAAAAHv1p1c=")</f>
        <v>#VALUE!</v>
      </c>
      <c r="CK328" t="e">
        <f>AND('STERLING CATALOG - FZN &amp; CHILL'!G1945,"AAAAAHv1p1g=")</f>
        <v>#VALUE!</v>
      </c>
      <c r="CL328" t="e">
        <f>AND('STERLING CATALOG - FZN &amp; CHILL'!H1945,"AAAAAHv1p1k=")</f>
        <v>#VALUE!</v>
      </c>
      <c r="CM328" t="e">
        <f>AND('STERLING CATALOG - FZN &amp; CHILL'!I1945,"AAAAAHv1p1o=")</f>
        <v>#VALUE!</v>
      </c>
      <c r="CN328" t="e">
        <f>AND('STERLING CATALOG - FZN &amp; CHILL'!J1945,"AAAAAHv1p1s=")</f>
        <v>#VALUE!</v>
      </c>
      <c r="CO328">
        <f>IF('STERLING CATALOG - FZN &amp; CHILL'!1946:1946,"AAAAAHv1p1w=",0)</f>
        <v>0</v>
      </c>
      <c r="CP328" t="e">
        <f>AND('STERLING CATALOG - FZN &amp; CHILL'!A1946,"AAAAAHv1p10=")</f>
        <v>#VALUE!</v>
      </c>
      <c r="CQ328" t="e">
        <f>AND('STERLING CATALOG - FZN &amp; CHILL'!B1946,"AAAAAHv1p14=")</f>
        <v>#VALUE!</v>
      </c>
      <c r="CR328" t="e">
        <f>AND('STERLING CATALOG - FZN &amp; CHILL'!C1946,"AAAAAHv1p18=")</f>
        <v>#VALUE!</v>
      </c>
      <c r="CS328" t="e">
        <f>AND('STERLING CATALOG - FZN &amp; CHILL'!D1946,"AAAAAHv1p2A=")</f>
        <v>#VALUE!</v>
      </c>
      <c r="CT328" t="e">
        <f>AND('STERLING CATALOG - FZN &amp; CHILL'!E1946,"AAAAAHv1p2E=")</f>
        <v>#VALUE!</v>
      </c>
      <c r="CU328" t="e">
        <f>AND('STERLING CATALOG - FZN &amp; CHILL'!F1946,"AAAAAHv1p2I=")</f>
        <v>#VALUE!</v>
      </c>
      <c r="CV328" t="e">
        <f>AND('STERLING CATALOG - FZN &amp; CHILL'!G1946,"AAAAAHv1p2M=")</f>
        <v>#VALUE!</v>
      </c>
      <c r="CW328" t="e">
        <f>AND('STERLING CATALOG - FZN &amp; CHILL'!H1946,"AAAAAHv1p2Q=")</f>
        <v>#VALUE!</v>
      </c>
      <c r="CX328" t="e">
        <f>AND('STERLING CATALOG - FZN &amp; CHILL'!I1946,"AAAAAHv1p2U=")</f>
        <v>#VALUE!</v>
      </c>
      <c r="CY328" t="e">
        <f>AND('STERLING CATALOG - FZN &amp; CHILL'!J1946,"AAAAAHv1p2Y=")</f>
        <v>#VALUE!</v>
      </c>
      <c r="CZ328">
        <f>IF('STERLING CATALOG - FZN &amp; CHILL'!1947:1947,"AAAAAHv1p2c=",0)</f>
        <v>0</v>
      </c>
      <c r="DA328" t="e">
        <f>AND('STERLING CATALOG - FZN &amp; CHILL'!A1947,"AAAAAHv1p2g=")</f>
        <v>#VALUE!</v>
      </c>
      <c r="DB328" t="e">
        <f>AND('STERLING CATALOG - FZN &amp; CHILL'!B1947,"AAAAAHv1p2k=")</f>
        <v>#VALUE!</v>
      </c>
      <c r="DC328" t="e">
        <f>AND('STERLING CATALOG - FZN &amp; CHILL'!C1947,"AAAAAHv1p2o=")</f>
        <v>#VALUE!</v>
      </c>
      <c r="DD328" t="e">
        <f>AND('STERLING CATALOG - FZN &amp; CHILL'!D1947,"AAAAAHv1p2s=")</f>
        <v>#VALUE!</v>
      </c>
      <c r="DE328" t="e">
        <f>AND('STERLING CATALOG - FZN &amp; CHILL'!E1947,"AAAAAHv1p2w=")</f>
        <v>#VALUE!</v>
      </c>
      <c r="DF328" t="e">
        <f>AND('STERLING CATALOG - FZN &amp; CHILL'!F1947,"AAAAAHv1p20=")</f>
        <v>#VALUE!</v>
      </c>
      <c r="DG328" t="e">
        <f>AND('STERLING CATALOG - FZN &amp; CHILL'!G1947,"AAAAAHv1p24=")</f>
        <v>#VALUE!</v>
      </c>
      <c r="DH328" t="e">
        <f>AND('STERLING CATALOG - FZN &amp; CHILL'!H1947,"AAAAAHv1p28=")</f>
        <v>#VALUE!</v>
      </c>
      <c r="DI328" t="e">
        <f>AND('STERLING CATALOG - FZN &amp; CHILL'!I1947,"AAAAAHv1p3A=")</f>
        <v>#VALUE!</v>
      </c>
      <c r="DJ328" t="e">
        <f>AND('STERLING CATALOG - FZN &amp; CHILL'!J1947,"AAAAAHv1p3E=")</f>
        <v>#VALUE!</v>
      </c>
      <c r="DK328">
        <f>IF('STERLING CATALOG - FZN &amp; CHILL'!1948:1948,"AAAAAHv1p3I=",0)</f>
        <v>0</v>
      </c>
      <c r="DL328" t="e">
        <f>AND('STERLING CATALOG - FZN &amp; CHILL'!A1948,"AAAAAHv1p3M=")</f>
        <v>#VALUE!</v>
      </c>
      <c r="DM328" t="e">
        <f>AND('STERLING CATALOG - FZN &amp; CHILL'!B1948,"AAAAAHv1p3Q=")</f>
        <v>#VALUE!</v>
      </c>
      <c r="DN328" t="e">
        <f>AND('STERLING CATALOG - FZN &amp; CHILL'!C1948,"AAAAAHv1p3U=")</f>
        <v>#VALUE!</v>
      </c>
      <c r="DO328" t="e">
        <f>AND('STERLING CATALOG - FZN &amp; CHILL'!D1948,"AAAAAHv1p3Y=")</f>
        <v>#VALUE!</v>
      </c>
      <c r="DP328" t="e">
        <f>AND('STERLING CATALOG - FZN &amp; CHILL'!E1948,"AAAAAHv1p3c=")</f>
        <v>#VALUE!</v>
      </c>
      <c r="DQ328" t="e">
        <f>AND('STERLING CATALOG - FZN &amp; CHILL'!F1948,"AAAAAHv1p3g=")</f>
        <v>#VALUE!</v>
      </c>
      <c r="DR328" t="e">
        <f>AND('STERLING CATALOG - FZN &amp; CHILL'!G1948,"AAAAAHv1p3k=")</f>
        <v>#VALUE!</v>
      </c>
      <c r="DS328" t="e">
        <f>AND('STERLING CATALOG - FZN &amp; CHILL'!H1948,"AAAAAHv1p3o=")</f>
        <v>#VALUE!</v>
      </c>
      <c r="DT328" t="e">
        <f>AND('STERLING CATALOG - FZN &amp; CHILL'!I1948,"AAAAAHv1p3s=")</f>
        <v>#VALUE!</v>
      </c>
      <c r="DU328" t="e">
        <f>AND('STERLING CATALOG - FZN &amp; CHILL'!J1948,"AAAAAHv1p3w=")</f>
        <v>#VALUE!</v>
      </c>
      <c r="DV328">
        <f>IF('STERLING CATALOG - FZN &amp; CHILL'!1949:1949,"AAAAAHv1p30=",0)</f>
        <v>0</v>
      </c>
      <c r="DW328" t="e">
        <f>AND('STERLING CATALOG - FZN &amp; CHILL'!A1949,"AAAAAHv1p34=")</f>
        <v>#VALUE!</v>
      </c>
      <c r="DX328" t="e">
        <f>AND('STERLING CATALOG - FZN &amp; CHILL'!B1949,"AAAAAHv1p38=")</f>
        <v>#VALUE!</v>
      </c>
      <c r="DY328" t="e">
        <f>AND('STERLING CATALOG - FZN &amp; CHILL'!C1949,"AAAAAHv1p4A=")</f>
        <v>#VALUE!</v>
      </c>
      <c r="DZ328" t="e">
        <f>AND('STERLING CATALOG - FZN &amp; CHILL'!D1949,"AAAAAHv1p4E=")</f>
        <v>#VALUE!</v>
      </c>
      <c r="EA328" t="e">
        <f>AND('STERLING CATALOG - FZN &amp; CHILL'!E1949,"AAAAAHv1p4I=")</f>
        <v>#VALUE!</v>
      </c>
      <c r="EB328" t="e">
        <f>AND('STERLING CATALOG - FZN &amp; CHILL'!F1949,"AAAAAHv1p4M=")</f>
        <v>#VALUE!</v>
      </c>
      <c r="EC328" t="e">
        <f>AND('STERLING CATALOG - FZN &amp; CHILL'!G1949,"AAAAAHv1p4Q=")</f>
        <v>#VALUE!</v>
      </c>
      <c r="ED328" t="e">
        <f>AND('STERLING CATALOG - FZN &amp; CHILL'!H1949,"AAAAAHv1p4U=")</f>
        <v>#VALUE!</v>
      </c>
      <c r="EE328" t="e">
        <f>AND('STERLING CATALOG - FZN &amp; CHILL'!I1949,"AAAAAHv1p4Y=")</f>
        <v>#VALUE!</v>
      </c>
      <c r="EF328" t="e">
        <f>AND('STERLING CATALOG - FZN &amp; CHILL'!J1949,"AAAAAHv1p4c=")</f>
        <v>#VALUE!</v>
      </c>
      <c r="EG328">
        <f>IF('STERLING CATALOG - FZN &amp; CHILL'!1950:1950,"AAAAAHv1p4g=",0)</f>
        <v>0</v>
      </c>
      <c r="EH328" t="e">
        <f>AND('STERLING CATALOG - FZN &amp; CHILL'!A1950,"AAAAAHv1p4k=")</f>
        <v>#VALUE!</v>
      </c>
      <c r="EI328" t="e">
        <f>AND('STERLING CATALOG - FZN &amp; CHILL'!B1950,"AAAAAHv1p4o=")</f>
        <v>#VALUE!</v>
      </c>
      <c r="EJ328" t="e">
        <f>AND('STERLING CATALOG - FZN &amp; CHILL'!C1950,"AAAAAHv1p4s=")</f>
        <v>#VALUE!</v>
      </c>
      <c r="EK328" t="e">
        <f>AND('STERLING CATALOG - FZN &amp; CHILL'!D1950,"AAAAAHv1p4w=")</f>
        <v>#VALUE!</v>
      </c>
      <c r="EL328" t="e">
        <f>AND('STERLING CATALOG - FZN &amp; CHILL'!E1950,"AAAAAHv1p40=")</f>
        <v>#VALUE!</v>
      </c>
      <c r="EM328" t="e">
        <f>AND('STERLING CATALOG - FZN &amp; CHILL'!F1950,"AAAAAHv1p44=")</f>
        <v>#VALUE!</v>
      </c>
      <c r="EN328" t="e">
        <f>AND('STERLING CATALOG - FZN &amp; CHILL'!G1950,"AAAAAHv1p48=")</f>
        <v>#VALUE!</v>
      </c>
      <c r="EO328" t="e">
        <f>AND('STERLING CATALOG - FZN &amp; CHILL'!H1950,"AAAAAHv1p5A=")</f>
        <v>#VALUE!</v>
      </c>
      <c r="EP328" t="e">
        <f>AND('STERLING CATALOG - FZN &amp; CHILL'!I1950,"AAAAAHv1p5E=")</f>
        <v>#VALUE!</v>
      </c>
      <c r="EQ328" t="e">
        <f>AND('STERLING CATALOG - FZN &amp; CHILL'!J1950,"AAAAAHv1p5I=")</f>
        <v>#VALUE!</v>
      </c>
      <c r="ER328">
        <f>IF('STERLING CATALOG - FZN &amp; CHILL'!1951:1951,"AAAAAHv1p5M=",0)</f>
        <v>0</v>
      </c>
      <c r="ES328" t="e">
        <f>AND('STERLING CATALOG - FZN &amp; CHILL'!A1951,"AAAAAHv1p5Q=")</f>
        <v>#VALUE!</v>
      </c>
      <c r="ET328" t="e">
        <f>AND('STERLING CATALOG - FZN &amp; CHILL'!B1951,"AAAAAHv1p5U=")</f>
        <v>#VALUE!</v>
      </c>
      <c r="EU328" t="e">
        <f>AND('STERLING CATALOG - FZN &amp; CHILL'!C1951,"AAAAAHv1p5Y=")</f>
        <v>#VALUE!</v>
      </c>
      <c r="EV328" t="e">
        <f>AND('STERLING CATALOG - FZN &amp; CHILL'!D1951,"AAAAAHv1p5c=")</f>
        <v>#VALUE!</v>
      </c>
      <c r="EW328" t="e">
        <f>AND('STERLING CATALOG - FZN &amp; CHILL'!E1951,"AAAAAHv1p5g=")</f>
        <v>#VALUE!</v>
      </c>
      <c r="EX328" t="e">
        <f>AND('STERLING CATALOG - FZN &amp; CHILL'!F1951,"AAAAAHv1p5k=")</f>
        <v>#VALUE!</v>
      </c>
      <c r="EY328" t="e">
        <f>AND('STERLING CATALOG - FZN &amp; CHILL'!G1951,"AAAAAHv1p5o=")</f>
        <v>#VALUE!</v>
      </c>
      <c r="EZ328" t="e">
        <f>AND('STERLING CATALOG - FZN &amp; CHILL'!H1951,"AAAAAHv1p5s=")</f>
        <v>#VALUE!</v>
      </c>
      <c r="FA328" t="e">
        <f>AND('STERLING CATALOG - FZN &amp; CHILL'!I1951,"AAAAAHv1p5w=")</f>
        <v>#VALUE!</v>
      </c>
      <c r="FB328" t="e">
        <f>AND('STERLING CATALOG - FZN &amp; CHILL'!J1951,"AAAAAHv1p50=")</f>
        <v>#VALUE!</v>
      </c>
      <c r="FC328">
        <f>IF('STERLING CATALOG - FZN &amp; CHILL'!1952:1952,"AAAAAHv1p54=",0)</f>
        <v>0</v>
      </c>
      <c r="FD328" t="e">
        <f>AND('STERLING CATALOG - FZN &amp; CHILL'!A1952,"AAAAAHv1p58=")</f>
        <v>#VALUE!</v>
      </c>
      <c r="FE328" t="e">
        <f>AND('STERLING CATALOG - FZN &amp; CHILL'!B1952,"AAAAAHv1p6A=")</f>
        <v>#VALUE!</v>
      </c>
      <c r="FF328" t="e">
        <f>AND('STERLING CATALOG - FZN &amp; CHILL'!C1952,"AAAAAHv1p6E=")</f>
        <v>#VALUE!</v>
      </c>
      <c r="FG328" t="e">
        <f>AND('STERLING CATALOG - FZN &amp; CHILL'!D1952,"AAAAAHv1p6I=")</f>
        <v>#VALUE!</v>
      </c>
      <c r="FH328" t="e">
        <f>AND('STERLING CATALOG - FZN &amp; CHILL'!E1952,"AAAAAHv1p6M=")</f>
        <v>#VALUE!</v>
      </c>
      <c r="FI328" t="e">
        <f>AND('STERLING CATALOG - FZN &amp; CHILL'!F1952,"AAAAAHv1p6Q=")</f>
        <v>#VALUE!</v>
      </c>
      <c r="FJ328" t="e">
        <f>AND('STERLING CATALOG - FZN &amp; CHILL'!G1952,"AAAAAHv1p6U=")</f>
        <v>#VALUE!</v>
      </c>
      <c r="FK328" t="e">
        <f>AND('STERLING CATALOG - FZN &amp; CHILL'!H1952,"AAAAAHv1p6Y=")</f>
        <v>#VALUE!</v>
      </c>
      <c r="FL328" t="e">
        <f>AND('STERLING CATALOG - FZN &amp; CHILL'!I1952,"AAAAAHv1p6c=")</f>
        <v>#VALUE!</v>
      </c>
      <c r="FM328" t="e">
        <f>AND('STERLING CATALOG - FZN &amp; CHILL'!J1952,"AAAAAHv1p6g=")</f>
        <v>#VALUE!</v>
      </c>
      <c r="FN328">
        <f>IF('STERLING CATALOG - FZN &amp; CHILL'!1953:1953,"AAAAAHv1p6k=",0)</f>
        <v>0</v>
      </c>
      <c r="FO328" t="e">
        <f>AND('STERLING CATALOG - FZN &amp; CHILL'!A1953,"AAAAAHv1p6o=")</f>
        <v>#VALUE!</v>
      </c>
      <c r="FP328" t="e">
        <f>AND('STERLING CATALOG - FZN &amp; CHILL'!B1953,"AAAAAHv1p6s=")</f>
        <v>#VALUE!</v>
      </c>
      <c r="FQ328" t="e">
        <f>AND('STERLING CATALOG - FZN &amp; CHILL'!C1953,"AAAAAHv1p6w=")</f>
        <v>#VALUE!</v>
      </c>
      <c r="FR328" t="e">
        <f>AND('STERLING CATALOG - FZN &amp; CHILL'!D1953,"AAAAAHv1p60=")</f>
        <v>#VALUE!</v>
      </c>
      <c r="FS328" t="e">
        <f>AND('STERLING CATALOG - FZN &amp; CHILL'!E1953,"AAAAAHv1p64=")</f>
        <v>#VALUE!</v>
      </c>
      <c r="FT328" t="e">
        <f>AND('STERLING CATALOG - FZN &amp; CHILL'!F1953,"AAAAAHv1p68=")</f>
        <v>#VALUE!</v>
      </c>
      <c r="FU328" t="e">
        <f>AND('STERLING CATALOG - FZN &amp; CHILL'!G1953,"AAAAAHv1p7A=")</f>
        <v>#VALUE!</v>
      </c>
      <c r="FV328" t="e">
        <f>AND('STERLING CATALOG - FZN &amp; CHILL'!H1953,"AAAAAHv1p7E=")</f>
        <v>#VALUE!</v>
      </c>
      <c r="FW328" t="e">
        <f>AND('STERLING CATALOG - FZN &amp; CHILL'!I1953,"AAAAAHv1p7I=")</f>
        <v>#VALUE!</v>
      </c>
      <c r="FX328" t="e">
        <f>AND('STERLING CATALOG - FZN &amp; CHILL'!J1953,"AAAAAHv1p7M=")</f>
        <v>#VALUE!</v>
      </c>
      <c r="FY328">
        <f>IF('STERLING CATALOG - FZN &amp; CHILL'!1954:1954,"AAAAAHv1p7Q=",0)</f>
        <v>0</v>
      </c>
      <c r="FZ328" t="e">
        <f>AND('STERLING CATALOG - FZN &amp; CHILL'!A1954,"AAAAAHv1p7U=")</f>
        <v>#VALUE!</v>
      </c>
      <c r="GA328" t="e">
        <f>AND('STERLING CATALOG - FZN &amp; CHILL'!B1954,"AAAAAHv1p7Y=")</f>
        <v>#VALUE!</v>
      </c>
      <c r="GB328" t="e">
        <f>AND('STERLING CATALOG - FZN &amp; CHILL'!C1954,"AAAAAHv1p7c=")</f>
        <v>#VALUE!</v>
      </c>
      <c r="GC328" t="e">
        <f>AND('STERLING CATALOG - FZN &amp; CHILL'!D1954,"AAAAAHv1p7g=")</f>
        <v>#VALUE!</v>
      </c>
      <c r="GD328" t="e">
        <f>AND('STERLING CATALOG - FZN &amp; CHILL'!E1954,"AAAAAHv1p7k=")</f>
        <v>#VALUE!</v>
      </c>
      <c r="GE328" t="e">
        <f>AND('STERLING CATALOG - FZN &amp; CHILL'!F1954,"AAAAAHv1p7o=")</f>
        <v>#VALUE!</v>
      </c>
      <c r="GF328" t="e">
        <f>AND('STERLING CATALOG - FZN &amp; CHILL'!G1954,"AAAAAHv1p7s=")</f>
        <v>#VALUE!</v>
      </c>
      <c r="GG328" t="e">
        <f>AND('STERLING CATALOG - FZN &amp; CHILL'!H1954,"AAAAAHv1p7w=")</f>
        <v>#VALUE!</v>
      </c>
      <c r="GH328" t="e">
        <f>AND('STERLING CATALOG - FZN &amp; CHILL'!I1954,"AAAAAHv1p70=")</f>
        <v>#VALUE!</v>
      </c>
      <c r="GI328" t="e">
        <f>AND('STERLING CATALOG - FZN &amp; CHILL'!J1954,"AAAAAHv1p74=")</f>
        <v>#VALUE!</v>
      </c>
      <c r="GJ328">
        <f>IF('STERLING CATALOG - FZN &amp; CHILL'!1955:1955,"AAAAAHv1p78=",0)</f>
        <v>0</v>
      </c>
      <c r="GK328" t="e">
        <f>AND('STERLING CATALOG - FZN &amp; CHILL'!A1955,"AAAAAHv1p8A=")</f>
        <v>#VALUE!</v>
      </c>
      <c r="GL328" t="e">
        <f>AND('STERLING CATALOG - FZN &amp; CHILL'!B1955,"AAAAAHv1p8E=")</f>
        <v>#VALUE!</v>
      </c>
      <c r="GM328" t="e">
        <f>AND('STERLING CATALOG - FZN &amp; CHILL'!C1955,"AAAAAHv1p8I=")</f>
        <v>#VALUE!</v>
      </c>
      <c r="GN328" t="e">
        <f>AND('STERLING CATALOG - FZN &amp; CHILL'!D1955,"AAAAAHv1p8M=")</f>
        <v>#VALUE!</v>
      </c>
      <c r="GO328" t="e">
        <f>AND('STERLING CATALOG - FZN &amp; CHILL'!E1955,"AAAAAHv1p8Q=")</f>
        <v>#VALUE!</v>
      </c>
      <c r="GP328" t="e">
        <f>AND('STERLING CATALOG - FZN &amp; CHILL'!F1955,"AAAAAHv1p8U=")</f>
        <v>#VALUE!</v>
      </c>
      <c r="GQ328" t="e">
        <f>AND('STERLING CATALOG - FZN &amp; CHILL'!G1955,"AAAAAHv1p8Y=")</f>
        <v>#VALUE!</v>
      </c>
      <c r="GR328" t="e">
        <f>AND('STERLING CATALOG - FZN &amp; CHILL'!H1955,"AAAAAHv1p8c=")</f>
        <v>#VALUE!</v>
      </c>
      <c r="GS328" t="e">
        <f>AND('STERLING CATALOG - FZN &amp; CHILL'!I1955,"AAAAAHv1p8g=")</f>
        <v>#VALUE!</v>
      </c>
      <c r="GT328" t="e">
        <f>AND('STERLING CATALOG - FZN &amp; CHILL'!J1955,"AAAAAHv1p8k=")</f>
        <v>#VALUE!</v>
      </c>
      <c r="GU328">
        <f>IF('STERLING CATALOG - FZN &amp; CHILL'!1956:1956,"AAAAAHv1p8o=",0)</f>
        <v>0</v>
      </c>
      <c r="GV328" t="e">
        <f>AND('STERLING CATALOG - FZN &amp; CHILL'!A1956,"AAAAAHv1p8s=")</f>
        <v>#VALUE!</v>
      </c>
      <c r="GW328" t="e">
        <f>AND('STERLING CATALOG - FZN &amp; CHILL'!B1956,"AAAAAHv1p8w=")</f>
        <v>#VALUE!</v>
      </c>
      <c r="GX328" t="e">
        <f>AND('STERLING CATALOG - FZN &amp; CHILL'!C1956,"AAAAAHv1p80=")</f>
        <v>#VALUE!</v>
      </c>
      <c r="GY328" t="e">
        <f>AND('STERLING CATALOG - FZN &amp; CHILL'!D1956,"AAAAAHv1p84=")</f>
        <v>#VALUE!</v>
      </c>
      <c r="GZ328" t="e">
        <f>AND('STERLING CATALOG - FZN &amp; CHILL'!E1956,"AAAAAHv1p88=")</f>
        <v>#VALUE!</v>
      </c>
      <c r="HA328" t="e">
        <f>AND('STERLING CATALOG - FZN &amp; CHILL'!F1956,"AAAAAHv1p9A=")</f>
        <v>#VALUE!</v>
      </c>
      <c r="HB328" t="e">
        <f>AND('STERLING CATALOG - FZN &amp; CHILL'!G1956,"AAAAAHv1p9E=")</f>
        <v>#VALUE!</v>
      </c>
      <c r="HC328" t="e">
        <f>AND('STERLING CATALOG - FZN &amp; CHILL'!H1956,"AAAAAHv1p9I=")</f>
        <v>#VALUE!</v>
      </c>
      <c r="HD328" t="e">
        <f>AND('STERLING CATALOG - FZN &amp; CHILL'!I1956,"AAAAAHv1p9M=")</f>
        <v>#VALUE!</v>
      </c>
      <c r="HE328" t="e">
        <f>AND('STERLING CATALOG - FZN &amp; CHILL'!J1956,"AAAAAHv1p9Q=")</f>
        <v>#VALUE!</v>
      </c>
      <c r="HF328">
        <f>IF('STERLING CATALOG - FZN &amp; CHILL'!1957:1957,"AAAAAHv1p9U=",0)</f>
        <v>0</v>
      </c>
      <c r="HG328" t="e">
        <f>AND('STERLING CATALOG - FZN &amp; CHILL'!A1957,"AAAAAHv1p9Y=")</f>
        <v>#VALUE!</v>
      </c>
      <c r="HH328" t="e">
        <f>AND('STERLING CATALOG - FZN &amp; CHILL'!B1957,"AAAAAHv1p9c=")</f>
        <v>#VALUE!</v>
      </c>
      <c r="HI328" t="e">
        <f>AND('STERLING CATALOG - FZN &amp; CHILL'!C1957,"AAAAAHv1p9g=")</f>
        <v>#VALUE!</v>
      </c>
      <c r="HJ328" t="e">
        <f>AND('STERLING CATALOG - FZN &amp; CHILL'!D1957,"AAAAAHv1p9k=")</f>
        <v>#VALUE!</v>
      </c>
      <c r="HK328" t="e">
        <f>AND('STERLING CATALOG - FZN &amp; CHILL'!E1957,"AAAAAHv1p9o=")</f>
        <v>#VALUE!</v>
      </c>
      <c r="HL328" t="e">
        <f>AND('STERLING CATALOG - FZN &amp; CHILL'!F1957,"AAAAAHv1p9s=")</f>
        <v>#VALUE!</v>
      </c>
      <c r="HM328" t="e">
        <f>AND('STERLING CATALOG - FZN &amp; CHILL'!G1957,"AAAAAHv1p9w=")</f>
        <v>#VALUE!</v>
      </c>
      <c r="HN328" t="e">
        <f>AND('STERLING CATALOG - FZN &amp; CHILL'!H1957,"AAAAAHv1p90=")</f>
        <v>#VALUE!</v>
      </c>
      <c r="HO328" t="e">
        <f>AND('STERLING CATALOG - FZN &amp; CHILL'!I1957,"AAAAAHv1p94=")</f>
        <v>#VALUE!</v>
      </c>
      <c r="HP328" t="e">
        <f>AND('STERLING CATALOG - FZN &amp; CHILL'!J1957,"AAAAAHv1p98=")</f>
        <v>#VALUE!</v>
      </c>
      <c r="HQ328">
        <f>IF('STERLING CATALOG - FZN &amp; CHILL'!1958:1958,"AAAAAHv1p+A=",0)</f>
        <v>0</v>
      </c>
      <c r="HR328" t="e">
        <f>AND('STERLING CATALOG - FZN &amp; CHILL'!A1958,"AAAAAHv1p+E=")</f>
        <v>#VALUE!</v>
      </c>
      <c r="HS328" t="e">
        <f>AND('STERLING CATALOG - FZN &amp; CHILL'!B1958,"AAAAAHv1p+I=")</f>
        <v>#VALUE!</v>
      </c>
      <c r="HT328" t="e">
        <f>AND('STERLING CATALOG - FZN &amp; CHILL'!C1958,"AAAAAHv1p+M=")</f>
        <v>#VALUE!</v>
      </c>
      <c r="HU328" t="e">
        <f>AND('STERLING CATALOG - FZN &amp; CHILL'!D1958,"AAAAAHv1p+Q=")</f>
        <v>#VALUE!</v>
      </c>
      <c r="HV328" t="e">
        <f>AND('STERLING CATALOG - FZN &amp; CHILL'!E1958,"AAAAAHv1p+U=")</f>
        <v>#VALUE!</v>
      </c>
      <c r="HW328" t="e">
        <f>AND('STERLING CATALOG - FZN &amp; CHILL'!F1958,"AAAAAHv1p+Y=")</f>
        <v>#VALUE!</v>
      </c>
      <c r="HX328" t="e">
        <f>AND('STERLING CATALOG - FZN &amp; CHILL'!G1958,"AAAAAHv1p+c=")</f>
        <v>#VALUE!</v>
      </c>
      <c r="HY328" t="e">
        <f>AND('STERLING CATALOG - FZN &amp; CHILL'!H1958,"AAAAAHv1p+g=")</f>
        <v>#VALUE!</v>
      </c>
      <c r="HZ328" t="e">
        <f>AND('STERLING CATALOG - FZN &amp; CHILL'!I1958,"AAAAAHv1p+k=")</f>
        <v>#VALUE!</v>
      </c>
      <c r="IA328" t="e">
        <f>AND('STERLING CATALOG - FZN &amp; CHILL'!J1958,"AAAAAHv1p+o=")</f>
        <v>#VALUE!</v>
      </c>
      <c r="IB328">
        <f>IF('STERLING CATALOG - FZN &amp; CHILL'!1959:1959,"AAAAAHv1p+s=",0)</f>
        <v>0</v>
      </c>
      <c r="IC328" t="e">
        <f>AND('STERLING CATALOG - FZN &amp; CHILL'!A1959,"AAAAAHv1p+w=")</f>
        <v>#VALUE!</v>
      </c>
      <c r="ID328" t="e">
        <f>AND('STERLING CATALOG - FZN &amp; CHILL'!B1959,"AAAAAHv1p+0=")</f>
        <v>#VALUE!</v>
      </c>
      <c r="IE328" t="e">
        <f>AND('STERLING CATALOG - FZN &amp; CHILL'!C1959,"AAAAAHv1p+4=")</f>
        <v>#VALUE!</v>
      </c>
      <c r="IF328" t="e">
        <f>AND('STERLING CATALOG - FZN &amp; CHILL'!D1959,"AAAAAHv1p+8=")</f>
        <v>#VALUE!</v>
      </c>
      <c r="IG328" t="e">
        <f>AND('STERLING CATALOG - FZN &amp; CHILL'!E1959,"AAAAAHv1p/A=")</f>
        <v>#VALUE!</v>
      </c>
      <c r="IH328" t="e">
        <f>AND('STERLING CATALOG - FZN &amp; CHILL'!F1959,"AAAAAHv1p/E=")</f>
        <v>#VALUE!</v>
      </c>
      <c r="II328" t="e">
        <f>AND('STERLING CATALOG - FZN &amp; CHILL'!G1959,"AAAAAHv1p/I=")</f>
        <v>#VALUE!</v>
      </c>
      <c r="IJ328" t="e">
        <f>AND('STERLING CATALOG - FZN &amp; CHILL'!H1959,"AAAAAHv1p/M=")</f>
        <v>#VALUE!</v>
      </c>
      <c r="IK328" t="e">
        <f>AND('STERLING CATALOG - FZN &amp; CHILL'!I1959,"AAAAAHv1p/Q=")</f>
        <v>#VALUE!</v>
      </c>
      <c r="IL328" t="e">
        <f>AND('STERLING CATALOG - FZN &amp; CHILL'!J1959,"AAAAAHv1p/U=")</f>
        <v>#VALUE!</v>
      </c>
      <c r="IM328">
        <f>IF('STERLING CATALOG - FZN &amp; CHILL'!1960:1960,"AAAAAHv1p/Y=",0)</f>
        <v>0</v>
      </c>
      <c r="IN328" t="e">
        <f>AND('STERLING CATALOG - FZN &amp; CHILL'!A1960,"AAAAAHv1p/c=")</f>
        <v>#VALUE!</v>
      </c>
      <c r="IO328" t="e">
        <f>AND('STERLING CATALOG - FZN &amp; CHILL'!B1960,"AAAAAHv1p/g=")</f>
        <v>#VALUE!</v>
      </c>
      <c r="IP328" t="e">
        <f>AND('STERLING CATALOG - FZN &amp; CHILL'!C1960,"AAAAAHv1p/k=")</f>
        <v>#VALUE!</v>
      </c>
      <c r="IQ328" t="e">
        <f>AND('STERLING CATALOG - FZN &amp; CHILL'!D1960,"AAAAAHv1p/o=")</f>
        <v>#VALUE!</v>
      </c>
      <c r="IR328" t="e">
        <f>AND('STERLING CATALOG - FZN &amp; CHILL'!E1960,"AAAAAHv1p/s=")</f>
        <v>#VALUE!</v>
      </c>
      <c r="IS328" t="e">
        <f>AND('STERLING CATALOG - FZN &amp; CHILL'!F1960,"AAAAAHv1p/w=")</f>
        <v>#VALUE!</v>
      </c>
      <c r="IT328" t="e">
        <f>AND('STERLING CATALOG - FZN &amp; CHILL'!G1960,"AAAAAHv1p/0=")</f>
        <v>#VALUE!</v>
      </c>
      <c r="IU328" t="e">
        <f>AND('STERLING CATALOG - FZN &amp; CHILL'!H1960,"AAAAAHv1p/4=")</f>
        <v>#VALUE!</v>
      </c>
      <c r="IV328" t="e">
        <f>AND('STERLING CATALOG - FZN &amp; CHILL'!I1960,"AAAAAHv1p/8=")</f>
        <v>#VALUE!</v>
      </c>
    </row>
    <row r="329" spans="1:256">
      <c r="A329" t="e">
        <f>AND('STERLING CATALOG - FZN &amp; CHILL'!J1960,"AAAAAB17vQA=")</f>
        <v>#VALUE!</v>
      </c>
      <c r="B329" t="str">
        <f>IF('STERLING CATALOG - FZN &amp; CHILL'!1961:1961,"AAAAAB17vQE=",0)</f>
        <v>AAAAAB17vQE=</v>
      </c>
      <c r="C329" t="e">
        <f>AND('STERLING CATALOG - FZN &amp; CHILL'!A1961,"AAAAAB17vQI=")</f>
        <v>#VALUE!</v>
      </c>
      <c r="D329" t="e">
        <f>AND('STERLING CATALOG - FZN &amp; CHILL'!B1961,"AAAAAB17vQM=")</f>
        <v>#VALUE!</v>
      </c>
      <c r="E329" t="e">
        <f>AND('STERLING CATALOG - FZN &amp; CHILL'!C1961,"AAAAAB17vQQ=")</f>
        <v>#VALUE!</v>
      </c>
      <c r="F329" t="e">
        <f>AND('STERLING CATALOG - FZN &amp; CHILL'!D1961,"AAAAAB17vQU=")</f>
        <v>#VALUE!</v>
      </c>
      <c r="G329" t="e">
        <f>AND('STERLING CATALOG - FZN &amp; CHILL'!E1961,"AAAAAB17vQY=")</f>
        <v>#VALUE!</v>
      </c>
      <c r="H329" t="e">
        <f>AND('STERLING CATALOG - FZN &amp; CHILL'!F1961,"AAAAAB17vQc=")</f>
        <v>#VALUE!</v>
      </c>
      <c r="I329" t="e">
        <f>AND('STERLING CATALOG - FZN &amp; CHILL'!G1961,"AAAAAB17vQg=")</f>
        <v>#VALUE!</v>
      </c>
      <c r="J329" t="e">
        <f>AND('STERLING CATALOG - FZN &amp; CHILL'!H1961,"AAAAAB17vQk=")</f>
        <v>#VALUE!</v>
      </c>
      <c r="K329" t="e">
        <f>AND('STERLING CATALOG - FZN &amp; CHILL'!I1961,"AAAAAB17vQo=")</f>
        <v>#VALUE!</v>
      </c>
      <c r="L329" t="e">
        <f>AND('STERLING CATALOG - FZN &amp; CHILL'!J1961,"AAAAAB17vQs=")</f>
        <v>#VALUE!</v>
      </c>
      <c r="M329">
        <f>IF('STERLING CATALOG - FZN &amp; CHILL'!1962:1962,"AAAAAB17vQw=",0)</f>
        <v>0</v>
      </c>
      <c r="N329" t="e">
        <f>AND('STERLING CATALOG - FZN &amp; CHILL'!A1962,"AAAAAB17vQ0=")</f>
        <v>#VALUE!</v>
      </c>
      <c r="O329" t="e">
        <f>AND('STERLING CATALOG - FZN &amp; CHILL'!B1962,"AAAAAB17vQ4=")</f>
        <v>#VALUE!</v>
      </c>
      <c r="P329" t="e">
        <f>AND('STERLING CATALOG - FZN &amp; CHILL'!C1962,"AAAAAB17vQ8=")</f>
        <v>#VALUE!</v>
      </c>
      <c r="Q329" t="e">
        <f>AND('STERLING CATALOG - FZN &amp; CHILL'!D1962,"AAAAAB17vRA=")</f>
        <v>#VALUE!</v>
      </c>
      <c r="R329" t="e">
        <f>AND('STERLING CATALOG - FZN &amp; CHILL'!E1962,"AAAAAB17vRE=")</f>
        <v>#VALUE!</v>
      </c>
      <c r="S329" t="e">
        <f>AND('STERLING CATALOG - FZN &amp; CHILL'!F1962,"AAAAAB17vRI=")</f>
        <v>#VALUE!</v>
      </c>
      <c r="T329" t="e">
        <f>AND('STERLING CATALOG - FZN &amp; CHILL'!G1962,"AAAAAB17vRM=")</f>
        <v>#VALUE!</v>
      </c>
      <c r="U329" t="e">
        <f>AND('STERLING CATALOG - FZN &amp; CHILL'!H1962,"AAAAAB17vRQ=")</f>
        <v>#VALUE!</v>
      </c>
      <c r="V329" t="e">
        <f>AND('STERLING CATALOG - FZN &amp; CHILL'!I1962,"AAAAAB17vRU=")</f>
        <v>#VALUE!</v>
      </c>
      <c r="W329" t="e">
        <f>AND('STERLING CATALOG - FZN &amp; CHILL'!J1962,"AAAAAB17vRY=")</f>
        <v>#VALUE!</v>
      </c>
      <c r="X329">
        <f>IF('STERLING CATALOG - FZN &amp; CHILL'!1963:1963,"AAAAAB17vRc=",0)</f>
        <v>0</v>
      </c>
      <c r="Y329" t="e">
        <f>AND('STERLING CATALOG - FZN &amp; CHILL'!A1963,"AAAAAB17vRg=")</f>
        <v>#VALUE!</v>
      </c>
      <c r="Z329" t="e">
        <f>AND('STERLING CATALOG - FZN &amp; CHILL'!B1963,"AAAAAB17vRk=")</f>
        <v>#VALUE!</v>
      </c>
      <c r="AA329" t="e">
        <f>AND('STERLING CATALOG - FZN &amp; CHILL'!C1963,"AAAAAB17vRo=")</f>
        <v>#VALUE!</v>
      </c>
      <c r="AB329" t="e">
        <f>AND('STERLING CATALOG - FZN &amp; CHILL'!D1963,"AAAAAB17vRs=")</f>
        <v>#VALUE!</v>
      </c>
      <c r="AC329" t="e">
        <f>AND('STERLING CATALOG - FZN &amp; CHILL'!E1963,"AAAAAB17vRw=")</f>
        <v>#VALUE!</v>
      </c>
      <c r="AD329" t="e">
        <f>AND('STERLING CATALOG - FZN &amp; CHILL'!F1963,"AAAAAB17vR0=")</f>
        <v>#VALUE!</v>
      </c>
      <c r="AE329" t="e">
        <f>AND('STERLING CATALOG - FZN &amp; CHILL'!G1963,"AAAAAB17vR4=")</f>
        <v>#VALUE!</v>
      </c>
      <c r="AF329" t="e">
        <f>AND('STERLING CATALOG - FZN &amp; CHILL'!H1963,"AAAAAB17vR8=")</f>
        <v>#VALUE!</v>
      </c>
      <c r="AG329" t="e">
        <f>AND('STERLING CATALOG - FZN &amp; CHILL'!I1963,"AAAAAB17vSA=")</f>
        <v>#VALUE!</v>
      </c>
      <c r="AH329" t="e">
        <f>AND('STERLING CATALOG - FZN &amp; CHILL'!J1963,"AAAAAB17vSE=")</f>
        <v>#VALUE!</v>
      </c>
      <c r="AI329">
        <f>IF('STERLING CATALOG - FZN &amp; CHILL'!1964:1964,"AAAAAB17vSI=",0)</f>
        <v>0</v>
      </c>
      <c r="AJ329" t="e">
        <f>AND('STERLING CATALOG - FZN &amp; CHILL'!A1964,"AAAAAB17vSM=")</f>
        <v>#VALUE!</v>
      </c>
      <c r="AK329" t="e">
        <f>AND('STERLING CATALOG - FZN &amp; CHILL'!B1964,"AAAAAB17vSQ=")</f>
        <v>#VALUE!</v>
      </c>
      <c r="AL329" t="e">
        <f>AND('STERLING CATALOG - FZN &amp; CHILL'!C1964,"AAAAAB17vSU=")</f>
        <v>#VALUE!</v>
      </c>
      <c r="AM329" t="e">
        <f>AND('STERLING CATALOG - FZN &amp; CHILL'!D1964,"AAAAAB17vSY=")</f>
        <v>#VALUE!</v>
      </c>
      <c r="AN329" t="e">
        <f>AND('STERLING CATALOG - FZN &amp; CHILL'!E1964,"AAAAAB17vSc=")</f>
        <v>#VALUE!</v>
      </c>
      <c r="AO329" t="e">
        <f>AND('STERLING CATALOG - FZN &amp; CHILL'!F1964,"AAAAAB17vSg=")</f>
        <v>#VALUE!</v>
      </c>
      <c r="AP329" t="e">
        <f>AND('STERLING CATALOG - FZN &amp; CHILL'!G1964,"AAAAAB17vSk=")</f>
        <v>#VALUE!</v>
      </c>
      <c r="AQ329" t="e">
        <f>AND('STERLING CATALOG - FZN &amp; CHILL'!H1964,"AAAAAB17vSo=")</f>
        <v>#VALUE!</v>
      </c>
      <c r="AR329" t="e">
        <f>AND('STERLING CATALOG - FZN &amp; CHILL'!I1964,"AAAAAB17vSs=")</f>
        <v>#VALUE!</v>
      </c>
      <c r="AS329" t="e">
        <f>AND('STERLING CATALOG - FZN &amp; CHILL'!J1964,"AAAAAB17vSw=")</f>
        <v>#VALUE!</v>
      </c>
      <c r="AT329">
        <f>IF('STERLING CATALOG - FZN &amp; CHILL'!1965:1965,"AAAAAB17vS0=",0)</f>
        <v>0</v>
      </c>
      <c r="AU329" t="e">
        <f>AND('STERLING CATALOG - FZN &amp; CHILL'!A1965,"AAAAAB17vS4=")</f>
        <v>#VALUE!</v>
      </c>
      <c r="AV329" t="e">
        <f>AND('STERLING CATALOG - FZN &amp; CHILL'!B1965,"AAAAAB17vS8=")</f>
        <v>#VALUE!</v>
      </c>
      <c r="AW329" t="e">
        <f>AND('STERLING CATALOG - FZN &amp; CHILL'!C1965,"AAAAAB17vTA=")</f>
        <v>#VALUE!</v>
      </c>
      <c r="AX329" t="e">
        <f>AND('STERLING CATALOG - FZN &amp; CHILL'!D1965,"AAAAAB17vTE=")</f>
        <v>#VALUE!</v>
      </c>
      <c r="AY329" t="e">
        <f>AND('STERLING CATALOG - FZN &amp; CHILL'!E1965,"AAAAAB17vTI=")</f>
        <v>#VALUE!</v>
      </c>
      <c r="AZ329" t="e">
        <f>AND('STERLING CATALOG - FZN &amp; CHILL'!F1965,"AAAAAB17vTM=")</f>
        <v>#VALUE!</v>
      </c>
      <c r="BA329" t="e">
        <f>AND('STERLING CATALOG - FZN &amp; CHILL'!G1965,"AAAAAB17vTQ=")</f>
        <v>#VALUE!</v>
      </c>
      <c r="BB329" t="e">
        <f>AND('STERLING CATALOG - FZN &amp; CHILL'!H1965,"AAAAAB17vTU=")</f>
        <v>#VALUE!</v>
      </c>
      <c r="BC329" t="e">
        <f>AND('STERLING CATALOG - FZN &amp; CHILL'!I1965,"AAAAAB17vTY=")</f>
        <v>#VALUE!</v>
      </c>
      <c r="BD329" t="e">
        <f>AND('STERLING CATALOG - FZN &amp; CHILL'!J1965,"AAAAAB17vTc=")</f>
        <v>#VALUE!</v>
      </c>
      <c r="BE329">
        <f>IF('STERLING CATALOG - FZN &amp; CHILL'!1966:1966,"AAAAAB17vTg=",0)</f>
        <v>0</v>
      </c>
      <c r="BF329" t="e">
        <f>AND('STERLING CATALOG - FZN &amp; CHILL'!A1966,"AAAAAB17vTk=")</f>
        <v>#VALUE!</v>
      </c>
      <c r="BG329" t="e">
        <f>AND('STERLING CATALOG - FZN &amp; CHILL'!B1966,"AAAAAB17vTo=")</f>
        <v>#VALUE!</v>
      </c>
      <c r="BH329" t="e">
        <f>AND('STERLING CATALOG - FZN &amp; CHILL'!C1966,"AAAAAB17vTs=")</f>
        <v>#VALUE!</v>
      </c>
      <c r="BI329" t="e">
        <f>AND('STERLING CATALOG - FZN &amp; CHILL'!D1966,"AAAAAB17vTw=")</f>
        <v>#VALUE!</v>
      </c>
      <c r="BJ329" t="e">
        <f>AND('STERLING CATALOG - FZN &amp; CHILL'!E1966,"AAAAAB17vT0=")</f>
        <v>#VALUE!</v>
      </c>
      <c r="BK329" t="e">
        <f>AND('STERLING CATALOG - FZN &amp; CHILL'!F1966,"AAAAAB17vT4=")</f>
        <v>#VALUE!</v>
      </c>
      <c r="BL329" t="e">
        <f>AND('STERLING CATALOG - FZN &amp; CHILL'!G1966,"AAAAAB17vT8=")</f>
        <v>#VALUE!</v>
      </c>
      <c r="BM329" t="e">
        <f>AND('STERLING CATALOG - FZN &amp; CHILL'!H1966,"AAAAAB17vUA=")</f>
        <v>#VALUE!</v>
      </c>
      <c r="BN329" t="e">
        <f>AND('STERLING CATALOG - FZN &amp; CHILL'!I1966,"AAAAAB17vUE=")</f>
        <v>#VALUE!</v>
      </c>
      <c r="BO329" t="e">
        <f>AND('STERLING CATALOG - FZN &amp; CHILL'!J1966,"AAAAAB17vUI=")</f>
        <v>#VALUE!</v>
      </c>
      <c r="BP329">
        <f>IF('STERLING CATALOG - FZN &amp; CHILL'!1967:1967,"AAAAAB17vUM=",0)</f>
        <v>0</v>
      </c>
      <c r="BQ329" t="e">
        <f>AND('STERLING CATALOG - FZN &amp; CHILL'!A1967,"AAAAAB17vUQ=")</f>
        <v>#VALUE!</v>
      </c>
      <c r="BR329" t="e">
        <f>AND('STERLING CATALOG - FZN &amp; CHILL'!B1967,"AAAAAB17vUU=")</f>
        <v>#VALUE!</v>
      </c>
      <c r="BS329" t="e">
        <f>AND('STERLING CATALOG - FZN &amp; CHILL'!C1967,"AAAAAB17vUY=")</f>
        <v>#VALUE!</v>
      </c>
      <c r="BT329" t="e">
        <f>AND('STERLING CATALOG - FZN &amp; CHILL'!D1967,"AAAAAB17vUc=")</f>
        <v>#VALUE!</v>
      </c>
      <c r="BU329" t="e">
        <f>AND('STERLING CATALOG - FZN &amp; CHILL'!E1967,"AAAAAB17vUg=")</f>
        <v>#VALUE!</v>
      </c>
      <c r="BV329" t="e">
        <f>AND('STERLING CATALOG - FZN &amp; CHILL'!F1967,"AAAAAB17vUk=")</f>
        <v>#VALUE!</v>
      </c>
      <c r="BW329" t="e">
        <f>AND('STERLING CATALOG - FZN &amp; CHILL'!G1967,"AAAAAB17vUo=")</f>
        <v>#VALUE!</v>
      </c>
      <c r="BX329" t="e">
        <f>AND('STERLING CATALOG - FZN &amp; CHILL'!H1967,"AAAAAB17vUs=")</f>
        <v>#VALUE!</v>
      </c>
      <c r="BY329" t="e">
        <f>AND('STERLING CATALOG - FZN &amp; CHILL'!I1967,"AAAAAB17vUw=")</f>
        <v>#VALUE!</v>
      </c>
      <c r="BZ329" t="e">
        <f>AND('STERLING CATALOG - FZN &amp; CHILL'!J1967,"AAAAAB17vU0=")</f>
        <v>#VALUE!</v>
      </c>
      <c r="CA329">
        <f>IF('STERLING CATALOG - FZN &amp; CHILL'!1968:1968,"AAAAAB17vU4=",0)</f>
        <v>0</v>
      </c>
      <c r="CB329" t="e">
        <f>AND('STERLING CATALOG - FZN &amp; CHILL'!A1968,"AAAAAB17vU8=")</f>
        <v>#VALUE!</v>
      </c>
      <c r="CC329" t="e">
        <f>AND('STERLING CATALOG - FZN &amp; CHILL'!B1968,"AAAAAB17vVA=")</f>
        <v>#VALUE!</v>
      </c>
      <c r="CD329" t="e">
        <f>AND('STERLING CATALOG - FZN &amp; CHILL'!C1968,"AAAAAB17vVE=")</f>
        <v>#VALUE!</v>
      </c>
      <c r="CE329" t="e">
        <f>AND('STERLING CATALOG - FZN &amp; CHILL'!D1968,"AAAAAB17vVI=")</f>
        <v>#VALUE!</v>
      </c>
      <c r="CF329" t="e">
        <f>AND('STERLING CATALOG - FZN &amp; CHILL'!E1968,"AAAAAB17vVM=")</f>
        <v>#VALUE!</v>
      </c>
      <c r="CG329" t="e">
        <f>AND('STERLING CATALOG - FZN &amp; CHILL'!F1968,"AAAAAB17vVQ=")</f>
        <v>#VALUE!</v>
      </c>
      <c r="CH329" t="e">
        <f>AND('STERLING CATALOG - FZN &amp; CHILL'!G1968,"AAAAAB17vVU=")</f>
        <v>#VALUE!</v>
      </c>
      <c r="CI329" t="e">
        <f>AND('STERLING CATALOG - FZN &amp; CHILL'!H1968,"AAAAAB17vVY=")</f>
        <v>#VALUE!</v>
      </c>
      <c r="CJ329" t="e">
        <f>AND('STERLING CATALOG - FZN &amp; CHILL'!I1968,"AAAAAB17vVc=")</f>
        <v>#VALUE!</v>
      </c>
      <c r="CK329" t="e">
        <f>AND('STERLING CATALOG - FZN &amp; CHILL'!J1968,"AAAAAB17vVg=")</f>
        <v>#VALUE!</v>
      </c>
      <c r="CL329">
        <f>IF('STERLING CATALOG - FZN &amp; CHILL'!1969:1969,"AAAAAB17vVk=",0)</f>
        <v>0</v>
      </c>
      <c r="CM329" t="e">
        <f>AND('STERLING CATALOG - FZN &amp; CHILL'!A1969,"AAAAAB17vVo=")</f>
        <v>#VALUE!</v>
      </c>
      <c r="CN329" t="e">
        <f>AND('STERLING CATALOG - FZN &amp; CHILL'!B1969,"AAAAAB17vVs=")</f>
        <v>#VALUE!</v>
      </c>
      <c r="CO329" t="e">
        <f>AND('STERLING CATALOG - FZN &amp; CHILL'!C1969,"AAAAAB17vVw=")</f>
        <v>#VALUE!</v>
      </c>
      <c r="CP329" t="e">
        <f>AND('STERLING CATALOG - FZN &amp; CHILL'!D1969,"AAAAAB17vV0=")</f>
        <v>#VALUE!</v>
      </c>
      <c r="CQ329" t="e">
        <f>AND('STERLING CATALOG - FZN &amp; CHILL'!E1969,"AAAAAB17vV4=")</f>
        <v>#VALUE!</v>
      </c>
      <c r="CR329" t="e">
        <f>AND('STERLING CATALOG - FZN &amp; CHILL'!F1969,"AAAAAB17vV8=")</f>
        <v>#VALUE!</v>
      </c>
      <c r="CS329" t="e">
        <f>AND('STERLING CATALOG - FZN &amp; CHILL'!G1969,"AAAAAB17vWA=")</f>
        <v>#VALUE!</v>
      </c>
      <c r="CT329" t="e">
        <f>AND('STERLING CATALOG - FZN &amp; CHILL'!H1969,"AAAAAB17vWE=")</f>
        <v>#VALUE!</v>
      </c>
      <c r="CU329" t="e">
        <f>AND('STERLING CATALOG - FZN &amp; CHILL'!I1969,"AAAAAB17vWI=")</f>
        <v>#VALUE!</v>
      </c>
      <c r="CV329" t="e">
        <f>AND('STERLING CATALOG - FZN &amp; CHILL'!J1969,"AAAAAB17vWM=")</f>
        <v>#VALUE!</v>
      </c>
      <c r="CW329">
        <f>IF('STERLING CATALOG - FZN &amp; CHILL'!1970:1970,"AAAAAB17vWQ=",0)</f>
        <v>0</v>
      </c>
      <c r="CX329" t="e">
        <f>AND('STERLING CATALOG - FZN &amp; CHILL'!A1970,"AAAAAB17vWU=")</f>
        <v>#VALUE!</v>
      </c>
      <c r="CY329" t="e">
        <f>AND('STERLING CATALOG - FZN &amp; CHILL'!B1970,"AAAAAB17vWY=")</f>
        <v>#VALUE!</v>
      </c>
      <c r="CZ329" t="e">
        <f>AND('STERLING CATALOG - FZN &amp; CHILL'!C1970,"AAAAAB17vWc=")</f>
        <v>#VALUE!</v>
      </c>
      <c r="DA329" t="e">
        <f>AND('STERLING CATALOG - FZN &amp; CHILL'!D1970,"AAAAAB17vWg=")</f>
        <v>#VALUE!</v>
      </c>
      <c r="DB329" t="e">
        <f>AND('STERLING CATALOG - FZN &amp; CHILL'!E1970,"AAAAAB17vWk=")</f>
        <v>#VALUE!</v>
      </c>
      <c r="DC329" t="e">
        <f>AND('STERLING CATALOG - FZN &amp; CHILL'!F1970,"AAAAAB17vWo=")</f>
        <v>#VALUE!</v>
      </c>
      <c r="DD329" t="e">
        <f>AND('STERLING CATALOG - FZN &amp; CHILL'!G1970,"AAAAAB17vWs=")</f>
        <v>#VALUE!</v>
      </c>
      <c r="DE329" t="e">
        <f>AND('STERLING CATALOG - FZN &amp; CHILL'!H1970,"AAAAAB17vWw=")</f>
        <v>#VALUE!</v>
      </c>
      <c r="DF329" t="e">
        <f>AND('STERLING CATALOG - FZN &amp; CHILL'!I1970,"AAAAAB17vW0=")</f>
        <v>#VALUE!</v>
      </c>
      <c r="DG329" t="e">
        <f>AND('STERLING CATALOG - FZN &amp; CHILL'!J1970,"AAAAAB17vW4=")</f>
        <v>#VALUE!</v>
      </c>
      <c r="DH329">
        <f>IF('STERLING CATALOG - FZN &amp; CHILL'!1971:1971,"AAAAAB17vW8=",0)</f>
        <v>0</v>
      </c>
      <c r="DI329" t="e">
        <f>AND('STERLING CATALOG - FZN &amp; CHILL'!A1971,"AAAAAB17vXA=")</f>
        <v>#VALUE!</v>
      </c>
      <c r="DJ329" t="e">
        <f>AND('STERLING CATALOG - FZN &amp; CHILL'!B1971,"AAAAAB17vXE=")</f>
        <v>#VALUE!</v>
      </c>
      <c r="DK329" t="e">
        <f>AND('STERLING CATALOG - FZN &amp; CHILL'!C1971,"AAAAAB17vXI=")</f>
        <v>#VALUE!</v>
      </c>
      <c r="DL329" t="e">
        <f>AND('STERLING CATALOG - FZN &amp; CHILL'!D1971,"AAAAAB17vXM=")</f>
        <v>#VALUE!</v>
      </c>
      <c r="DM329" t="e">
        <f>AND('STERLING CATALOG - FZN &amp; CHILL'!E1971,"AAAAAB17vXQ=")</f>
        <v>#VALUE!</v>
      </c>
      <c r="DN329" t="e">
        <f>AND('STERLING CATALOG - FZN &amp; CHILL'!F1971,"AAAAAB17vXU=")</f>
        <v>#VALUE!</v>
      </c>
      <c r="DO329" t="e">
        <f>AND('STERLING CATALOG - FZN &amp; CHILL'!G1971,"AAAAAB17vXY=")</f>
        <v>#VALUE!</v>
      </c>
      <c r="DP329" t="e">
        <f>AND('STERLING CATALOG - FZN &amp; CHILL'!H1971,"AAAAAB17vXc=")</f>
        <v>#VALUE!</v>
      </c>
      <c r="DQ329" t="e">
        <f>AND('STERLING CATALOG - FZN &amp; CHILL'!I1971,"AAAAAB17vXg=")</f>
        <v>#VALUE!</v>
      </c>
      <c r="DR329" t="e">
        <f>AND('STERLING CATALOG - FZN &amp; CHILL'!J1971,"AAAAAB17vXk=")</f>
        <v>#VALUE!</v>
      </c>
      <c r="DS329">
        <f>IF('STERLING CATALOG - FZN &amp; CHILL'!1972:1972,"AAAAAB17vXo=",0)</f>
        <v>0</v>
      </c>
      <c r="DT329" t="e">
        <f>AND('STERLING CATALOG - FZN &amp; CHILL'!A1972,"AAAAAB17vXs=")</f>
        <v>#VALUE!</v>
      </c>
      <c r="DU329" t="e">
        <f>AND('STERLING CATALOG - FZN &amp; CHILL'!B1972,"AAAAAB17vXw=")</f>
        <v>#VALUE!</v>
      </c>
      <c r="DV329" t="e">
        <f>AND('STERLING CATALOG - FZN &amp; CHILL'!C1972,"AAAAAB17vX0=")</f>
        <v>#VALUE!</v>
      </c>
      <c r="DW329" t="e">
        <f>AND('STERLING CATALOG - FZN &amp; CHILL'!D1972,"AAAAAB17vX4=")</f>
        <v>#VALUE!</v>
      </c>
      <c r="DX329" t="e">
        <f>AND('STERLING CATALOG - FZN &amp; CHILL'!E1972,"AAAAAB17vX8=")</f>
        <v>#VALUE!</v>
      </c>
      <c r="DY329" t="e">
        <f>AND('STERLING CATALOG - FZN &amp; CHILL'!F1972,"AAAAAB17vYA=")</f>
        <v>#VALUE!</v>
      </c>
      <c r="DZ329" t="e">
        <f>AND('STERLING CATALOG - FZN &amp; CHILL'!G1972,"AAAAAB17vYE=")</f>
        <v>#VALUE!</v>
      </c>
      <c r="EA329" t="e">
        <f>AND('STERLING CATALOG - FZN &amp; CHILL'!H1972,"AAAAAB17vYI=")</f>
        <v>#VALUE!</v>
      </c>
      <c r="EB329" t="e">
        <f>AND('STERLING CATALOG - FZN &amp; CHILL'!I1972,"AAAAAB17vYM=")</f>
        <v>#VALUE!</v>
      </c>
      <c r="EC329" t="e">
        <f>AND('STERLING CATALOG - FZN &amp; CHILL'!J1972,"AAAAAB17vYQ=")</f>
        <v>#VALUE!</v>
      </c>
      <c r="ED329">
        <f>IF('STERLING CATALOG - FZN &amp; CHILL'!1973:1973,"AAAAAB17vYU=",0)</f>
        <v>0</v>
      </c>
      <c r="EE329" t="e">
        <f>AND('STERLING CATALOG - FZN &amp; CHILL'!A1973,"AAAAAB17vYY=")</f>
        <v>#VALUE!</v>
      </c>
      <c r="EF329" t="e">
        <f>AND('STERLING CATALOG - FZN &amp; CHILL'!B1973,"AAAAAB17vYc=")</f>
        <v>#VALUE!</v>
      </c>
      <c r="EG329" t="e">
        <f>AND('STERLING CATALOG - FZN &amp; CHILL'!C1973,"AAAAAB17vYg=")</f>
        <v>#VALUE!</v>
      </c>
      <c r="EH329" t="e">
        <f>AND('STERLING CATALOG - FZN &amp; CHILL'!D1973,"AAAAAB17vYk=")</f>
        <v>#VALUE!</v>
      </c>
      <c r="EI329" t="e">
        <f>AND('STERLING CATALOG - FZN &amp; CHILL'!E1973,"AAAAAB17vYo=")</f>
        <v>#VALUE!</v>
      </c>
      <c r="EJ329" t="e">
        <f>AND('STERLING CATALOG - FZN &amp; CHILL'!F1973,"AAAAAB17vYs=")</f>
        <v>#VALUE!</v>
      </c>
      <c r="EK329" t="e">
        <f>AND('STERLING CATALOG - FZN &amp; CHILL'!G1973,"AAAAAB17vYw=")</f>
        <v>#VALUE!</v>
      </c>
      <c r="EL329" t="e">
        <f>AND('STERLING CATALOG - FZN &amp; CHILL'!H1973,"AAAAAB17vY0=")</f>
        <v>#VALUE!</v>
      </c>
      <c r="EM329" t="e">
        <f>AND('STERLING CATALOG - FZN &amp; CHILL'!I1973,"AAAAAB17vY4=")</f>
        <v>#VALUE!</v>
      </c>
      <c r="EN329" t="e">
        <f>AND('STERLING CATALOG - FZN &amp; CHILL'!J1973,"AAAAAB17vY8=")</f>
        <v>#VALUE!</v>
      </c>
      <c r="EO329">
        <f>IF('STERLING CATALOG - FZN &amp; CHILL'!1974:1974,"AAAAAB17vZA=",0)</f>
        <v>0</v>
      </c>
      <c r="EP329" t="e">
        <f>AND('STERLING CATALOG - FZN &amp; CHILL'!A1974,"AAAAAB17vZE=")</f>
        <v>#VALUE!</v>
      </c>
      <c r="EQ329" t="e">
        <f>AND('STERLING CATALOG - FZN &amp; CHILL'!B1974,"AAAAAB17vZI=")</f>
        <v>#VALUE!</v>
      </c>
      <c r="ER329" t="e">
        <f>AND('STERLING CATALOG - FZN &amp; CHILL'!C1974,"AAAAAB17vZM=")</f>
        <v>#VALUE!</v>
      </c>
      <c r="ES329" t="e">
        <f>AND('STERLING CATALOG - FZN &amp; CHILL'!D1974,"AAAAAB17vZQ=")</f>
        <v>#VALUE!</v>
      </c>
      <c r="ET329" t="e">
        <f>AND('STERLING CATALOG - FZN &amp; CHILL'!E1974,"AAAAAB17vZU=")</f>
        <v>#VALUE!</v>
      </c>
      <c r="EU329" t="e">
        <f>AND('STERLING CATALOG - FZN &amp; CHILL'!F1974,"AAAAAB17vZY=")</f>
        <v>#VALUE!</v>
      </c>
      <c r="EV329" t="e">
        <f>AND('STERLING CATALOG - FZN &amp; CHILL'!G1974,"AAAAAB17vZc=")</f>
        <v>#VALUE!</v>
      </c>
      <c r="EW329" t="e">
        <f>AND('STERLING CATALOG - FZN &amp; CHILL'!H1974,"AAAAAB17vZg=")</f>
        <v>#VALUE!</v>
      </c>
      <c r="EX329" t="e">
        <f>AND('STERLING CATALOG - FZN &amp; CHILL'!I1974,"AAAAAB17vZk=")</f>
        <v>#VALUE!</v>
      </c>
      <c r="EY329" t="e">
        <f>AND('STERLING CATALOG - FZN &amp; CHILL'!J1974,"AAAAAB17vZo=")</f>
        <v>#VALUE!</v>
      </c>
      <c r="EZ329">
        <f>IF('STERLING CATALOG - FZN &amp; CHILL'!1975:1975,"AAAAAB17vZs=",0)</f>
        <v>0</v>
      </c>
      <c r="FA329" t="e">
        <f>AND('STERLING CATALOG - FZN &amp; CHILL'!A1975,"AAAAAB17vZw=")</f>
        <v>#VALUE!</v>
      </c>
      <c r="FB329" t="e">
        <f>AND('STERLING CATALOG - FZN &amp; CHILL'!B1975,"AAAAAB17vZ0=")</f>
        <v>#VALUE!</v>
      </c>
      <c r="FC329" t="e">
        <f>AND('STERLING CATALOG - FZN &amp; CHILL'!C1975,"AAAAAB17vZ4=")</f>
        <v>#VALUE!</v>
      </c>
      <c r="FD329" t="e">
        <f>AND('STERLING CATALOG - FZN &amp; CHILL'!D1975,"AAAAAB17vZ8=")</f>
        <v>#VALUE!</v>
      </c>
      <c r="FE329" t="e">
        <f>AND('STERLING CATALOG - FZN &amp; CHILL'!E1975,"AAAAAB17vaA=")</f>
        <v>#VALUE!</v>
      </c>
      <c r="FF329" t="e">
        <f>AND('STERLING CATALOG - FZN &amp; CHILL'!F1975,"AAAAAB17vaE=")</f>
        <v>#VALUE!</v>
      </c>
      <c r="FG329" t="e">
        <f>AND('STERLING CATALOG - FZN &amp; CHILL'!G1975,"AAAAAB17vaI=")</f>
        <v>#VALUE!</v>
      </c>
      <c r="FH329" t="e">
        <f>AND('STERLING CATALOG - FZN &amp; CHILL'!H1975,"AAAAAB17vaM=")</f>
        <v>#VALUE!</v>
      </c>
      <c r="FI329" t="e">
        <f>AND('STERLING CATALOG - FZN &amp; CHILL'!I1975,"AAAAAB17vaQ=")</f>
        <v>#VALUE!</v>
      </c>
      <c r="FJ329" t="e">
        <f>AND('STERLING CATALOG - FZN &amp; CHILL'!J1975,"AAAAAB17vaU=")</f>
        <v>#VALUE!</v>
      </c>
      <c r="FK329">
        <f>IF('STERLING CATALOG - FZN &amp; CHILL'!1976:1976,"AAAAAB17vaY=",0)</f>
        <v>0</v>
      </c>
      <c r="FL329" t="e">
        <f>AND('STERLING CATALOG - FZN &amp; CHILL'!A1976,"AAAAAB17vac=")</f>
        <v>#VALUE!</v>
      </c>
      <c r="FM329" t="e">
        <f>AND('STERLING CATALOG - FZN &amp; CHILL'!B1976,"AAAAAB17vag=")</f>
        <v>#VALUE!</v>
      </c>
      <c r="FN329" t="e">
        <f>AND('STERLING CATALOG - FZN &amp; CHILL'!C1976,"AAAAAB17vak=")</f>
        <v>#VALUE!</v>
      </c>
      <c r="FO329" t="e">
        <f>AND('STERLING CATALOG - FZN &amp; CHILL'!D1976,"AAAAAB17vao=")</f>
        <v>#VALUE!</v>
      </c>
      <c r="FP329" t="e">
        <f>AND('STERLING CATALOG - FZN &amp; CHILL'!E1976,"AAAAAB17vas=")</f>
        <v>#VALUE!</v>
      </c>
      <c r="FQ329" t="e">
        <f>AND('STERLING CATALOG - FZN &amp; CHILL'!F1976,"AAAAAB17vaw=")</f>
        <v>#VALUE!</v>
      </c>
      <c r="FR329" t="e">
        <f>AND('STERLING CATALOG - FZN &amp; CHILL'!G1976,"AAAAAB17va0=")</f>
        <v>#VALUE!</v>
      </c>
      <c r="FS329" t="e">
        <f>AND('STERLING CATALOG - FZN &amp; CHILL'!H1976,"AAAAAB17va4=")</f>
        <v>#VALUE!</v>
      </c>
      <c r="FT329" t="e">
        <f>AND('STERLING CATALOG - FZN &amp; CHILL'!I1976,"AAAAAB17va8=")</f>
        <v>#VALUE!</v>
      </c>
      <c r="FU329" t="e">
        <f>AND('STERLING CATALOG - FZN &amp; CHILL'!J1976,"AAAAAB17vbA=")</f>
        <v>#VALUE!</v>
      </c>
      <c r="FV329">
        <f>IF('STERLING CATALOG - FZN &amp; CHILL'!1977:1977,"AAAAAB17vbE=",0)</f>
        <v>0</v>
      </c>
      <c r="FW329" t="e">
        <f>AND('STERLING CATALOG - FZN &amp; CHILL'!A1977,"AAAAAB17vbI=")</f>
        <v>#VALUE!</v>
      </c>
      <c r="FX329" t="e">
        <f>AND('STERLING CATALOG - FZN &amp; CHILL'!B1977,"AAAAAB17vbM=")</f>
        <v>#VALUE!</v>
      </c>
      <c r="FY329" t="e">
        <f>AND('STERLING CATALOG - FZN &amp; CHILL'!C1977,"AAAAAB17vbQ=")</f>
        <v>#VALUE!</v>
      </c>
      <c r="FZ329" t="e">
        <f>AND('STERLING CATALOG - FZN &amp; CHILL'!D1977,"AAAAAB17vbU=")</f>
        <v>#VALUE!</v>
      </c>
      <c r="GA329" t="e">
        <f>AND('STERLING CATALOG - FZN &amp; CHILL'!E1977,"AAAAAB17vbY=")</f>
        <v>#VALUE!</v>
      </c>
      <c r="GB329" t="e">
        <f>AND('STERLING CATALOG - FZN &amp; CHILL'!F1977,"AAAAAB17vbc=")</f>
        <v>#VALUE!</v>
      </c>
      <c r="GC329" t="e">
        <f>AND('STERLING CATALOG - FZN &amp; CHILL'!G1977,"AAAAAB17vbg=")</f>
        <v>#VALUE!</v>
      </c>
      <c r="GD329" t="e">
        <f>AND('STERLING CATALOG - FZN &amp; CHILL'!H1977,"AAAAAB17vbk=")</f>
        <v>#VALUE!</v>
      </c>
      <c r="GE329" t="e">
        <f>AND('STERLING CATALOG - FZN &amp; CHILL'!I1977,"AAAAAB17vbo=")</f>
        <v>#VALUE!</v>
      </c>
      <c r="GF329" t="e">
        <f>AND('STERLING CATALOG - FZN &amp; CHILL'!J1977,"AAAAAB17vbs=")</f>
        <v>#VALUE!</v>
      </c>
      <c r="GG329">
        <f>IF('STERLING CATALOG - FZN &amp; CHILL'!1978:1978,"AAAAAB17vbw=",0)</f>
        <v>0</v>
      </c>
      <c r="GH329" t="e">
        <f>AND('STERLING CATALOG - FZN &amp; CHILL'!A1978,"AAAAAB17vb0=")</f>
        <v>#VALUE!</v>
      </c>
      <c r="GI329" t="e">
        <f>AND('STERLING CATALOG - FZN &amp; CHILL'!B1978,"AAAAAB17vb4=")</f>
        <v>#VALUE!</v>
      </c>
      <c r="GJ329" t="e">
        <f>AND('STERLING CATALOG - FZN &amp; CHILL'!C1978,"AAAAAB17vb8=")</f>
        <v>#VALUE!</v>
      </c>
      <c r="GK329" t="e">
        <f>AND('STERLING CATALOG - FZN &amp; CHILL'!D1978,"AAAAAB17vcA=")</f>
        <v>#VALUE!</v>
      </c>
      <c r="GL329" t="e">
        <f>AND('STERLING CATALOG - FZN &amp; CHILL'!E1978,"AAAAAB17vcE=")</f>
        <v>#VALUE!</v>
      </c>
      <c r="GM329" t="e">
        <f>AND('STERLING CATALOG - FZN &amp; CHILL'!F1978,"AAAAAB17vcI=")</f>
        <v>#VALUE!</v>
      </c>
      <c r="GN329" t="e">
        <f>AND('STERLING CATALOG - FZN &amp; CHILL'!G1978,"AAAAAB17vcM=")</f>
        <v>#VALUE!</v>
      </c>
      <c r="GO329" t="e">
        <f>AND('STERLING CATALOG - FZN &amp; CHILL'!H1978,"AAAAAB17vcQ=")</f>
        <v>#VALUE!</v>
      </c>
      <c r="GP329" t="e">
        <f>AND('STERLING CATALOG - FZN &amp; CHILL'!I1978,"AAAAAB17vcU=")</f>
        <v>#VALUE!</v>
      </c>
      <c r="GQ329" t="e">
        <f>AND('STERLING CATALOG - FZN &amp; CHILL'!J1978,"AAAAAB17vcY=")</f>
        <v>#VALUE!</v>
      </c>
      <c r="GR329">
        <f>IF('STERLING CATALOG - FZN &amp; CHILL'!1979:1979,"AAAAAB17vcc=",0)</f>
        <v>0</v>
      </c>
      <c r="GS329" t="e">
        <f>AND('STERLING CATALOG - FZN &amp; CHILL'!A1979,"AAAAAB17vcg=")</f>
        <v>#VALUE!</v>
      </c>
      <c r="GT329" t="e">
        <f>AND('STERLING CATALOG - FZN &amp; CHILL'!B1979,"AAAAAB17vck=")</f>
        <v>#VALUE!</v>
      </c>
      <c r="GU329" t="e">
        <f>AND('STERLING CATALOG - FZN &amp; CHILL'!C1979,"AAAAAB17vco=")</f>
        <v>#VALUE!</v>
      </c>
      <c r="GV329" t="e">
        <f>AND('STERLING CATALOG - FZN &amp; CHILL'!D1979,"AAAAAB17vcs=")</f>
        <v>#VALUE!</v>
      </c>
      <c r="GW329" t="e">
        <f>AND('STERLING CATALOG - FZN &amp; CHILL'!E1979,"AAAAAB17vcw=")</f>
        <v>#VALUE!</v>
      </c>
      <c r="GX329" t="e">
        <f>AND('STERLING CATALOG - FZN &amp; CHILL'!F1979,"AAAAAB17vc0=")</f>
        <v>#VALUE!</v>
      </c>
      <c r="GY329" t="e">
        <f>AND('STERLING CATALOG - FZN &amp; CHILL'!G1979,"AAAAAB17vc4=")</f>
        <v>#VALUE!</v>
      </c>
      <c r="GZ329" t="e">
        <f>AND('STERLING CATALOG - FZN &amp; CHILL'!H1979,"AAAAAB17vc8=")</f>
        <v>#VALUE!</v>
      </c>
      <c r="HA329" t="e">
        <f>AND('STERLING CATALOG - FZN &amp; CHILL'!I1979,"AAAAAB17vdA=")</f>
        <v>#VALUE!</v>
      </c>
      <c r="HB329" t="e">
        <f>AND('STERLING CATALOG - FZN &amp; CHILL'!J1979,"AAAAAB17vdE=")</f>
        <v>#VALUE!</v>
      </c>
      <c r="HC329">
        <f>IF('STERLING CATALOG - FZN &amp; CHILL'!1980:1980,"AAAAAB17vdI=",0)</f>
        <v>0</v>
      </c>
      <c r="HD329" t="e">
        <f>AND('STERLING CATALOG - FZN &amp; CHILL'!A1980,"AAAAAB17vdM=")</f>
        <v>#VALUE!</v>
      </c>
      <c r="HE329" t="e">
        <f>AND('STERLING CATALOG - FZN &amp; CHILL'!B1980,"AAAAAB17vdQ=")</f>
        <v>#VALUE!</v>
      </c>
      <c r="HF329" t="e">
        <f>AND('STERLING CATALOG - FZN &amp; CHILL'!C1980,"AAAAAB17vdU=")</f>
        <v>#VALUE!</v>
      </c>
      <c r="HG329" t="e">
        <f>AND('STERLING CATALOG - FZN &amp; CHILL'!D1980,"AAAAAB17vdY=")</f>
        <v>#VALUE!</v>
      </c>
      <c r="HH329" t="e">
        <f>AND('STERLING CATALOG - FZN &amp; CHILL'!E1980,"AAAAAB17vdc=")</f>
        <v>#VALUE!</v>
      </c>
      <c r="HI329" t="e">
        <f>AND('STERLING CATALOG - FZN &amp; CHILL'!F1980,"AAAAAB17vdg=")</f>
        <v>#VALUE!</v>
      </c>
      <c r="HJ329" t="e">
        <f>AND('STERLING CATALOG - FZN &amp; CHILL'!G1980,"AAAAAB17vdk=")</f>
        <v>#VALUE!</v>
      </c>
      <c r="HK329" t="e">
        <f>AND('STERLING CATALOG - FZN &amp; CHILL'!H1980,"AAAAAB17vdo=")</f>
        <v>#VALUE!</v>
      </c>
      <c r="HL329" t="e">
        <f>AND('STERLING CATALOG - FZN &amp; CHILL'!I1980,"AAAAAB17vds=")</f>
        <v>#VALUE!</v>
      </c>
      <c r="HM329" t="e">
        <f>AND('STERLING CATALOG - FZN &amp; CHILL'!J1980,"AAAAAB17vdw=")</f>
        <v>#VALUE!</v>
      </c>
      <c r="HN329">
        <f>IF('STERLING CATALOG - FZN &amp; CHILL'!1981:1981,"AAAAAB17vd0=",0)</f>
        <v>0</v>
      </c>
      <c r="HO329" t="e">
        <f>AND('STERLING CATALOG - FZN &amp; CHILL'!A1981,"AAAAAB17vd4=")</f>
        <v>#VALUE!</v>
      </c>
      <c r="HP329" t="e">
        <f>AND('STERLING CATALOG - FZN &amp; CHILL'!B1981,"AAAAAB17vd8=")</f>
        <v>#VALUE!</v>
      </c>
      <c r="HQ329" t="e">
        <f>AND('STERLING CATALOG - FZN &amp; CHILL'!C1981,"AAAAAB17veA=")</f>
        <v>#VALUE!</v>
      </c>
      <c r="HR329" t="e">
        <f>AND('STERLING CATALOG - FZN &amp; CHILL'!D1981,"AAAAAB17veE=")</f>
        <v>#VALUE!</v>
      </c>
      <c r="HS329" t="e">
        <f>AND('STERLING CATALOG - FZN &amp; CHILL'!E1981,"AAAAAB17veI=")</f>
        <v>#VALUE!</v>
      </c>
      <c r="HT329" t="e">
        <f>AND('STERLING CATALOG - FZN &amp; CHILL'!F1981,"AAAAAB17veM=")</f>
        <v>#VALUE!</v>
      </c>
      <c r="HU329" t="e">
        <f>AND('STERLING CATALOG - FZN &amp; CHILL'!G1981,"AAAAAB17veQ=")</f>
        <v>#VALUE!</v>
      </c>
      <c r="HV329" t="e">
        <f>AND('STERLING CATALOG - FZN &amp; CHILL'!H1981,"AAAAAB17veU=")</f>
        <v>#VALUE!</v>
      </c>
      <c r="HW329" t="e">
        <f>AND('STERLING CATALOG - FZN &amp; CHILL'!I1981,"AAAAAB17veY=")</f>
        <v>#VALUE!</v>
      </c>
      <c r="HX329" t="e">
        <f>AND('STERLING CATALOG - FZN &amp; CHILL'!J1981,"AAAAAB17vec=")</f>
        <v>#VALUE!</v>
      </c>
      <c r="HY329">
        <f>IF('STERLING CATALOG - FZN &amp; CHILL'!1982:1982,"AAAAAB17veg=",0)</f>
        <v>0</v>
      </c>
      <c r="HZ329" t="e">
        <f>AND('STERLING CATALOG - FZN &amp; CHILL'!A1982,"AAAAAB17vek=")</f>
        <v>#VALUE!</v>
      </c>
      <c r="IA329" t="e">
        <f>AND('STERLING CATALOG - FZN &amp; CHILL'!B1982,"AAAAAB17veo=")</f>
        <v>#VALUE!</v>
      </c>
      <c r="IB329" t="e">
        <f>AND('STERLING CATALOG - FZN &amp; CHILL'!C1982,"AAAAAB17ves=")</f>
        <v>#VALUE!</v>
      </c>
      <c r="IC329" t="e">
        <f>AND('STERLING CATALOG - FZN &amp; CHILL'!D1982,"AAAAAB17vew=")</f>
        <v>#VALUE!</v>
      </c>
      <c r="ID329" t="e">
        <f>AND('STERLING CATALOG - FZN &amp; CHILL'!E1982,"AAAAAB17ve0=")</f>
        <v>#VALUE!</v>
      </c>
      <c r="IE329" t="e">
        <f>AND('STERLING CATALOG - FZN &amp; CHILL'!F1982,"AAAAAB17ve4=")</f>
        <v>#VALUE!</v>
      </c>
      <c r="IF329" t="e">
        <f>AND('STERLING CATALOG - FZN &amp; CHILL'!G1982,"AAAAAB17ve8=")</f>
        <v>#VALUE!</v>
      </c>
      <c r="IG329" t="e">
        <f>AND('STERLING CATALOG - FZN &amp; CHILL'!H1982,"AAAAAB17vfA=")</f>
        <v>#VALUE!</v>
      </c>
      <c r="IH329" t="e">
        <f>AND('STERLING CATALOG - FZN &amp; CHILL'!I1982,"AAAAAB17vfE=")</f>
        <v>#VALUE!</v>
      </c>
      <c r="II329" t="e">
        <f>AND('STERLING CATALOG - FZN &amp; CHILL'!J1982,"AAAAAB17vfI=")</f>
        <v>#VALUE!</v>
      </c>
      <c r="IJ329">
        <f>IF('STERLING CATALOG - FZN &amp; CHILL'!1983:1983,"AAAAAB17vfM=",0)</f>
        <v>0</v>
      </c>
      <c r="IK329" t="e">
        <f>AND('STERLING CATALOG - FZN &amp; CHILL'!A1983,"AAAAAB17vfQ=")</f>
        <v>#VALUE!</v>
      </c>
      <c r="IL329" t="e">
        <f>AND('STERLING CATALOG - FZN &amp; CHILL'!B1983,"AAAAAB17vfU=")</f>
        <v>#VALUE!</v>
      </c>
      <c r="IM329" t="e">
        <f>AND('STERLING CATALOG - FZN &amp; CHILL'!C1983,"AAAAAB17vfY=")</f>
        <v>#VALUE!</v>
      </c>
      <c r="IN329" t="e">
        <f>AND('STERLING CATALOG - FZN &amp; CHILL'!D1983,"AAAAAB17vfc=")</f>
        <v>#VALUE!</v>
      </c>
      <c r="IO329" t="e">
        <f>AND('STERLING CATALOG - FZN &amp; CHILL'!E1983,"AAAAAB17vfg=")</f>
        <v>#VALUE!</v>
      </c>
      <c r="IP329" t="e">
        <f>AND('STERLING CATALOG - FZN &amp; CHILL'!F1983,"AAAAAB17vfk=")</f>
        <v>#VALUE!</v>
      </c>
      <c r="IQ329" t="e">
        <f>AND('STERLING CATALOG - FZN &amp; CHILL'!G1983,"AAAAAB17vfo=")</f>
        <v>#VALUE!</v>
      </c>
      <c r="IR329" t="e">
        <f>AND('STERLING CATALOG - FZN &amp; CHILL'!H1983,"AAAAAB17vfs=")</f>
        <v>#VALUE!</v>
      </c>
      <c r="IS329" t="e">
        <f>AND('STERLING CATALOG - FZN &amp; CHILL'!I1983,"AAAAAB17vfw=")</f>
        <v>#VALUE!</v>
      </c>
      <c r="IT329" t="e">
        <f>AND('STERLING CATALOG - FZN &amp; CHILL'!J1983,"AAAAAB17vf0=")</f>
        <v>#VALUE!</v>
      </c>
      <c r="IU329">
        <f>IF('STERLING CATALOG - FZN &amp; CHILL'!1984:1984,"AAAAAB17vf4=",0)</f>
        <v>0</v>
      </c>
      <c r="IV329" t="e">
        <f>AND('STERLING CATALOG - FZN &amp; CHILL'!A1984,"AAAAAB17vf8=")</f>
        <v>#VALUE!</v>
      </c>
    </row>
    <row r="330" spans="1:256">
      <c r="A330" t="e">
        <f>AND('STERLING CATALOG - FZN &amp; CHILL'!B1984,"AAAAAFT3+wA=")</f>
        <v>#VALUE!</v>
      </c>
      <c r="B330" t="e">
        <f>AND('STERLING CATALOG - FZN &amp; CHILL'!C1984,"AAAAAFT3+wE=")</f>
        <v>#VALUE!</v>
      </c>
      <c r="C330" t="e">
        <f>AND('STERLING CATALOG - FZN &amp; CHILL'!D1984,"AAAAAFT3+wI=")</f>
        <v>#VALUE!</v>
      </c>
      <c r="D330" t="e">
        <f>AND('STERLING CATALOG - FZN &amp; CHILL'!E1984,"AAAAAFT3+wM=")</f>
        <v>#VALUE!</v>
      </c>
      <c r="E330" t="e">
        <f>AND('STERLING CATALOG - FZN &amp; CHILL'!F1984,"AAAAAFT3+wQ=")</f>
        <v>#VALUE!</v>
      </c>
      <c r="F330" t="e">
        <f>AND('STERLING CATALOG - FZN &amp; CHILL'!G1984,"AAAAAFT3+wU=")</f>
        <v>#VALUE!</v>
      </c>
      <c r="G330" t="e">
        <f>AND('STERLING CATALOG - FZN &amp; CHILL'!H1984,"AAAAAFT3+wY=")</f>
        <v>#VALUE!</v>
      </c>
      <c r="H330" t="e">
        <f>AND('STERLING CATALOG - FZN &amp; CHILL'!I1984,"AAAAAFT3+wc=")</f>
        <v>#VALUE!</v>
      </c>
      <c r="I330" t="e">
        <f>AND('STERLING CATALOG - FZN &amp; CHILL'!J1984,"AAAAAFT3+wg=")</f>
        <v>#VALUE!</v>
      </c>
      <c r="J330" t="e">
        <f>IF('STERLING CATALOG - FZN &amp; CHILL'!1985:1985,"AAAAAFT3+wk=",0)</f>
        <v>#VALUE!</v>
      </c>
      <c r="K330" t="e">
        <f>AND('STERLING CATALOG - FZN &amp; CHILL'!A1985,"AAAAAFT3+wo=")</f>
        <v>#VALUE!</v>
      </c>
      <c r="L330" t="e">
        <f>AND('STERLING CATALOG - FZN &amp; CHILL'!B1985,"AAAAAFT3+ws=")</f>
        <v>#VALUE!</v>
      </c>
      <c r="M330" t="e">
        <f>AND('STERLING CATALOG - FZN &amp; CHILL'!C1985,"AAAAAFT3+ww=")</f>
        <v>#VALUE!</v>
      </c>
      <c r="N330" t="e">
        <f>AND('STERLING CATALOG - FZN &amp; CHILL'!D1985,"AAAAAFT3+w0=")</f>
        <v>#VALUE!</v>
      </c>
      <c r="O330" t="e">
        <f>AND('STERLING CATALOG - FZN &amp; CHILL'!E1985,"AAAAAFT3+w4=")</f>
        <v>#VALUE!</v>
      </c>
      <c r="P330" t="e">
        <f>AND('STERLING CATALOG - FZN &amp; CHILL'!F1985,"AAAAAFT3+w8=")</f>
        <v>#VALUE!</v>
      </c>
      <c r="Q330" t="e">
        <f>AND('STERLING CATALOG - FZN &amp; CHILL'!G1985,"AAAAAFT3+xA=")</f>
        <v>#VALUE!</v>
      </c>
      <c r="R330" t="e">
        <f>AND('STERLING CATALOG - FZN &amp; CHILL'!H1985,"AAAAAFT3+xE=")</f>
        <v>#VALUE!</v>
      </c>
      <c r="S330" t="e">
        <f>AND('STERLING CATALOG - FZN &amp; CHILL'!I1985,"AAAAAFT3+xI=")</f>
        <v>#VALUE!</v>
      </c>
      <c r="T330" t="e">
        <f>AND('STERLING CATALOG - FZN &amp; CHILL'!J1985,"AAAAAFT3+xM=")</f>
        <v>#VALUE!</v>
      </c>
      <c r="U330">
        <f>IF('STERLING CATALOG - FZN &amp; CHILL'!1986:1986,"AAAAAFT3+xQ=",0)</f>
        <v>0</v>
      </c>
      <c r="V330" t="e">
        <f>AND('STERLING CATALOG - FZN &amp; CHILL'!A1986,"AAAAAFT3+xU=")</f>
        <v>#VALUE!</v>
      </c>
      <c r="W330" t="e">
        <f>AND('STERLING CATALOG - FZN &amp; CHILL'!B1986,"AAAAAFT3+xY=")</f>
        <v>#VALUE!</v>
      </c>
      <c r="X330" t="e">
        <f>AND('STERLING CATALOG - FZN &amp; CHILL'!C1986,"AAAAAFT3+xc=")</f>
        <v>#VALUE!</v>
      </c>
      <c r="Y330" t="e">
        <f>AND('STERLING CATALOG - FZN &amp; CHILL'!D1986,"AAAAAFT3+xg=")</f>
        <v>#VALUE!</v>
      </c>
      <c r="Z330" t="e">
        <f>AND('STERLING CATALOG - FZN &amp; CHILL'!E1986,"AAAAAFT3+xk=")</f>
        <v>#VALUE!</v>
      </c>
      <c r="AA330" t="e">
        <f>AND('STERLING CATALOG - FZN &amp; CHILL'!F1986,"AAAAAFT3+xo=")</f>
        <v>#VALUE!</v>
      </c>
      <c r="AB330" t="e">
        <f>AND('STERLING CATALOG - FZN &amp; CHILL'!G1986,"AAAAAFT3+xs=")</f>
        <v>#VALUE!</v>
      </c>
      <c r="AC330" t="e">
        <f>AND('STERLING CATALOG - FZN &amp; CHILL'!H1986,"AAAAAFT3+xw=")</f>
        <v>#VALUE!</v>
      </c>
      <c r="AD330" t="e">
        <f>AND('STERLING CATALOG - FZN &amp; CHILL'!I1986,"AAAAAFT3+x0=")</f>
        <v>#VALUE!</v>
      </c>
      <c r="AE330" t="e">
        <f>AND('STERLING CATALOG - FZN &amp; CHILL'!J1986,"AAAAAFT3+x4=")</f>
        <v>#VALUE!</v>
      </c>
      <c r="AF330">
        <f>IF('STERLING CATALOG - FZN &amp; CHILL'!1987:1987,"AAAAAFT3+x8=",0)</f>
        <v>0</v>
      </c>
      <c r="AG330" t="e">
        <f>AND('STERLING CATALOG - FZN &amp; CHILL'!A1987,"AAAAAFT3+yA=")</f>
        <v>#VALUE!</v>
      </c>
      <c r="AH330" t="e">
        <f>AND('STERLING CATALOG - FZN &amp; CHILL'!B1987,"AAAAAFT3+yE=")</f>
        <v>#VALUE!</v>
      </c>
      <c r="AI330" t="e">
        <f>AND('STERLING CATALOG - FZN &amp; CHILL'!C1987,"AAAAAFT3+yI=")</f>
        <v>#VALUE!</v>
      </c>
      <c r="AJ330" t="e">
        <f>AND('STERLING CATALOG - FZN &amp; CHILL'!D1987,"AAAAAFT3+yM=")</f>
        <v>#VALUE!</v>
      </c>
      <c r="AK330" t="e">
        <f>AND('STERLING CATALOG - FZN &amp; CHILL'!E1987,"AAAAAFT3+yQ=")</f>
        <v>#VALUE!</v>
      </c>
      <c r="AL330" t="e">
        <f>AND('STERLING CATALOG - FZN &amp; CHILL'!F1987,"AAAAAFT3+yU=")</f>
        <v>#VALUE!</v>
      </c>
      <c r="AM330" t="e">
        <f>AND('STERLING CATALOG - FZN &amp; CHILL'!G1987,"AAAAAFT3+yY=")</f>
        <v>#VALUE!</v>
      </c>
      <c r="AN330" t="e">
        <f>AND('STERLING CATALOG - FZN &amp; CHILL'!H1987,"AAAAAFT3+yc=")</f>
        <v>#VALUE!</v>
      </c>
      <c r="AO330" t="e">
        <f>AND('STERLING CATALOG - FZN &amp; CHILL'!I1987,"AAAAAFT3+yg=")</f>
        <v>#VALUE!</v>
      </c>
      <c r="AP330" t="e">
        <f>AND('STERLING CATALOG - FZN &amp; CHILL'!J1987,"AAAAAFT3+yk=")</f>
        <v>#VALUE!</v>
      </c>
      <c r="AQ330">
        <f>IF('STERLING CATALOG - FZN &amp; CHILL'!1988:1988,"AAAAAFT3+yo=",0)</f>
        <v>0</v>
      </c>
      <c r="AR330" t="e">
        <f>AND('STERLING CATALOG - FZN &amp; CHILL'!A1988,"AAAAAFT3+ys=")</f>
        <v>#VALUE!</v>
      </c>
      <c r="AS330" t="e">
        <f>AND('STERLING CATALOG - FZN &amp; CHILL'!B1988,"AAAAAFT3+yw=")</f>
        <v>#VALUE!</v>
      </c>
      <c r="AT330" t="e">
        <f>AND('STERLING CATALOG - FZN &amp; CHILL'!C1988,"AAAAAFT3+y0=")</f>
        <v>#VALUE!</v>
      </c>
      <c r="AU330" t="e">
        <f>AND('STERLING CATALOG - FZN &amp; CHILL'!D1988,"AAAAAFT3+y4=")</f>
        <v>#VALUE!</v>
      </c>
      <c r="AV330" t="e">
        <f>AND('STERLING CATALOG - FZN &amp; CHILL'!E1988,"AAAAAFT3+y8=")</f>
        <v>#VALUE!</v>
      </c>
      <c r="AW330" t="e">
        <f>AND('STERLING CATALOG - FZN &amp; CHILL'!F1988,"AAAAAFT3+zA=")</f>
        <v>#VALUE!</v>
      </c>
      <c r="AX330" t="e">
        <f>AND('STERLING CATALOG - FZN &amp; CHILL'!G1988,"AAAAAFT3+zE=")</f>
        <v>#VALUE!</v>
      </c>
      <c r="AY330" t="e">
        <f>AND('STERLING CATALOG - FZN &amp; CHILL'!H1988,"AAAAAFT3+zI=")</f>
        <v>#VALUE!</v>
      </c>
      <c r="AZ330" t="e">
        <f>AND('STERLING CATALOG - FZN &amp; CHILL'!I1988,"AAAAAFT3+zM=")</f>
        <v>#VALUE!</v>
      </c>
      <c r="BA330" t="e">
        <f>AND('STERLING CATALOG - FZN &amp; CHILL'!J1988,"AAAAAFT3+zQ=")</f>
        <v>#VALUE!</v>
      </c>
      <c r="BB330">
        <f>IF('STERLING CATALOG - FZN &amp; CHILL'!1989:1989,"AAAAAFT3+zU=",0)</f>
        <v>0</v>
      </c>
      <c r="BC330" t="e">
        <f>AND('STERLING CATALOG - FZN &amp; CHILL'!A1989,"AAAAAFT3+zY=")</f>
        <v>#VALUE!</v>
      </c>
      <c r="BD330" t="e">
        <f>AND('STERLING CATALOG - FZN &amp; CHILL'!B1989,"AAAAAFT3+zc=")</f>
        <v>#VALUE!</v>
      </c>
      <c r="BE330" t="e">
        <f>AND('STERLING CATALOG - FZN &amp; CHILL'!C1989,"AAAAAFT3+zg=")</f>
        <v>#VALUE!</v>
      </c>
      <c r="BF330" t="e">
        <f>AND('STERLING CATALOG - FZN &amp; CHILL'!D1989,"AAAAAFT3+zk=")</f>
        <v>#VALUE!</v>
      </c>
      <c r="BG330" t="e">
        <f>AND('STERLING CATALOG - FZN &amp; CHILL'!E1989,"AAAAAFT3+zo=")</f>
        <v>#VALUE!</v>
      </c>
      <c r="BH330" t="e">
        <f>AND('STERLING CATALOG - FZN &amp; CHILL'!F1989,"AAAAAFT3+zs=")</f>
        <v>#VALUE!</v>
      </c>
      <c r="BI330" t="e">
        <f>AND('STERLING CATALOG - FZN &amp; CHILL'!G1989,"AAAAAFT3+zw=")</f>
        <v>#VALUE!</v>
      </c>
      <c r="BJ330" t="e">
        <f>AND('STERLING CATALOG - FZN &amp; CHILL'!H1989,"AAAAAFT3+z0=")</f>
        <v>#VALUE!</v>
      </c>
      <c r="BK330" t="e">
        <f>AND('STERLING CATALOG - FZN &amp; CHILL'!I1989,"AAAAAFT3+z4=")</f>
        <v>#VALUE!</v>
      </c>
      <c r="BL330" t="e">
        <f>AND('STERLING CATALOG - FZN &amp; CHILL'!J1989,"AAAAAFT3+z8=")</f>
        <v>#VALUE!</v>
      </c>
      <c r="BM330">
        <f>IF('STERLING CATALOG - FZN &amp; CHILL'!1990:1990,"AAAAAFT3+0A=",0)</f>
        <v>0</v>
      </c>
      <c r="BN330" t="e">
        <f>AND('STERLING CATALOG - FZN &amp; CHILL'!A1990,"AAAAAFT3+0E=")</f>
        <v>#VALUE!</v>
      </c>
      <c r="BO330" t="e">
        <f>AND('STERLING CATALOG - FZN &amp; CHILL'!B1990,"AAAAAFT3+0I=")</f>
        <v>#VALUE!</v>
      </c>
      <c r="BP330" t="e">
        <f>AND('STERLING CATALOG - FZN &amp; CHILL'!C1990,"AAAAAFT3+0M=")</f>
        <v>#VALUE!</v>
      </c>
      <c r="BQ330" t="e">
        <f>AND('STERLING CATALOG - FZN &amp; CHILL'!D1990,"AAAAAFT3+0Q=")</f>
        <v>#VALUE!</v>
      </c>
      <c r="BR330" t="e">
        <f>AND('STERLING CATALOG - FZN &amp; CHILL'!E1990,"AAAAAFT3+0U=")</f>
        <v>#VALUE!</v>
      </c>
      <c r="BS330" t="e">
        <f>AND('STERLING CATALOG - FZN &amp; CHILL'!F1990,"AAAAAFT3+0Y=")</f>
        <v>#VALUE!</v>
      </c>
      <c r="BT330" t="e">
        <f>AND('STERLING CATALOG - FZN &amp; CHILL'!G1990,"AAAAAFT3+0c=")</f>
        <v>#VALUE!</v>
      </c>
      <c r="BU330" t="e">
        <f>AND('STERLING CATALOG - FZN &amp; CHILL'!H1990,"AAAAAFT3+0g=")</f>
        <v>#VALUE!</v>
      </c>
      <c r="BV330" t="e">
        <f>AND('STERLING CATALOG - FZN &amp; CHILL'!I1990,"AAAAAFT3+0k=")</f>
        <v>#VALUE!</v>
      </c>
      <c r="BW330" t="e">
        <f>AND('STERLING CATALOG - FZN &amp; CHILL'!J1990,"AAAAAFT3+0o=")</f>
        <v>#VALUE!</v>
      </c>
      <c r="BX330">
        <f>IF('STERLING CATALOG - FZN &amp; CHILL'!1991:1991,"AAAAAFT3+0s=",0)</f>
        <v>0</v>
      </c>
      <c r="BY330" t="e">
        <f>AND('STERLING CATALOG - FZN &amp; CHILL'!A1991,"AAAAAFT3+0w=")</f>
        <v>#VALUE!</v>
      </c>
      <c r="BZ330" t="e">
        <f>AND('STERLING CATALOG - FZN &amp; CHILL'!B1991,"AAAAAFT3+00=")</f>
        <v>#VALUE!</v>
      </c>
      <c r="CA330" t="e">
        <f>AND('STERLING CATALOG - FZN &amp; CHILL'!C1991,"AAAAAFT3+04=")</f>
        <v>#VALUE!</v>
      </c>
      <c r="CB330" t="e">
        <f>AND('STERLING CATALOG - FZN &amp; CHILL'!D1991,"AAAAAFT3+08=")</f>
        <v>#VALUE!</v>
      </c>
      <c r="CC330" t="e">
        <f>AND('STERLING CATALOG - FZN &amp; CHILL'!E1991,"AAAAAFT3+1A=")</f>
        <v>#VALUE!</v>
      </c>
      <c r="CD330" t="e">
        <f>AND('STERLING CATALOG - FZN &amp; CHILL'!F1991,"AAAAAFT3+1E=")</f>
        <v>#VALUE!</v>
      </c>
      <c r="CE330" t="e">
        <f>AND('STERLING CATALOG - FZN &amp; CHILL'!G1991,"AAAAAFT3+1I=")</f>
        <v>#VALUE!</v>
      </c>
      <c r="CF330" t="e">
        <f>AND('STERLING CATALOG - FZN &amp; CHILL'!H1991,"AAAAAFT3+1M=")</f>
        <v>#VALUE!</v>
      </c>
      <c r="CG330" t="e">
        <f>AND('STERLING CATALOG - FZN &amp; CHILL'!I1991,"AAAAAFT3+1Q=")</f>
        <v>#VALUE!</v>
      </c>
      <c r="CH330" t="e">
        <f>AND('STERLING CATALOG - FZN &amp; CHILL'!J1991,"AAAAAFT3+1U=")</f>
        <v>#VALUE!</v>
      </c>
      <c r="CI330">
        <f>IF('STERLING CATALOG - FZN &amp; CHILL'!1992:1992,"AAAAAFT3+1Y=",0)</f>
        <v>0</v>
      </c>
      <c r="CJ330" t="e">
        <f>AND('STERLING CATALOG - FZN &amp; CHILL'!A1992,"AAAAAFT3+1c=")</f>
        <v>#VALUE!</v>
      </c>
      <c r="CK330" t="e">
        <f>AND('STERLING CATALOG - FZN &amp; CHILL'!B1992,"AAAAAFT3+1g=")</f>
        <v>#VALUE!</v>
      </c>
      <c r="CL330" t="e">
        <f>AND('STERLING CATALOG - FZN &amp; CHILL'!C1992,"AAAAAFT3+1k=")</f>
        <v>#VALUE!</v>
      </c>
      <c r="CM330" t="e">
        <f>AND('STERLING CATALOG - FZN &amp; CHILL'!D1992,"AAAAAFT3+1o=")</f>
        <v>#VALUE!</v>
      </c>
      <c r="CN330" t="e">
        <f>AND('STERLING CATALOG - FZN &amp; CHILL'!E1992,"AAAAAFT3+1s=")</f>
        <v>#VALUE!</v>
      </c>
      <c r="CO330" t="e">
        <f>AND('STERLING CATALOG - FZN &amp; CHILL'!F1992,"AAAAAFT3+1w=")</f>
        <v>#VALUE!</v>
      </c>
      <c r="CP330" t="e">
        <f>AND('STERLING CATALOG - FZN &amp; CHILL'!G1992,"AAAAAFT3+10=")</f>
        <v>#VALUE!</v>
      </c>
      <c r="CQ330" t="e">
        <f>AND('STERLING CATALOG - FZN &amp; CHILL'!H1992,"AAAAAFT3+14=")</f>
        <v>#VALUE!</v>
      </c>
      <c r="CR330" t="e">
        <f>AND('STERLING CATALOG - FZN &amp; CHILL'!I1992,"AAAAAFT3+18=")</f>
        <v>#VALUE!</v>
      </c>
      <c r="CS330" t="e">
        <f>AND('STERLING CATALOG - FZN &amp; CHILL'!J1992,"AAAAAFT3+2A=")</f>
        <v>#VALUE!</v>
      </c>
      <c r="CT330">
        <f>IF('STERLING CATALOG - FZN &amp; CHILL'!1993:1993,"AAAAAFT3+2E=",0)</f>
        <v>0</v>
      </c>
      <c r="CU330" t="e">
        <f>AND('STERLING CATALOG - FZN &amp; CHILL'!A1993,"AAAAAFT3+2I=")</f>
        <v>#VALUE!</v>
      </c>
      <c r="CV330" t="e">
        <f>AND('STERLING CATALOG - FZN &amp; CHILL'!B1993,"AAAAAFT3+2M=")</f>
        <v>#VALUE!</v>
      </c>
      <c r="CW330" t="e">
        <f>AND('STERLING CATALOG - FZN &amp; CHILL'!C1993,"AAAAAFT3+2Q=")</f>
        <v>#VALUE!</v>
      </c>
      <c r="CX330" t="e">
        <f>AND('STERLING CATALOG - FZN &amp; CHILL'!D1993,"AAAAAFT3+2U=")</f>
        <v>#VALUE!</v>
      </c>
      <c r="CY330" t="e">
        <f>AND('STERLING CATALOG - FZN &amp; CHILL'!E1993,"AAAAAFT3+2Y=")</f>
        <v>#VALUE!</v>
      </c>
      <c r="CZ330" t="e">
        <f>AND('STERLING CATALOG - FZN &amp; CHILL'!F1993,"AAAAAFT3+2c=")</f>
        <v>#VALUE!</v>
      </c>
      <c r="DA330" t="e">
        <f>AND('STERLING CATALOG - FZN &amp; CHILL'!G1993,"AAAAAFT3+2g=")</f>
        <v>#VALUE!</v>
      </c>
      <c r="DB330" t="e">
        <f>AND('STERLING CATALOG - FZN &amp; CHILL'!H1993,"AAAAAFT3+2k=")</f>
        <v>#VALUE!</v>
      </c>
      <c r="DC330" t="e">
        <f>AND('STERLING CATALOG - FZN &amp; CHILL'!I1993,"AAAAAFT3+2o=")</f>
        <v>#VALUE!</v>
      </c>
      <c r="DD330" t="e">
        <f>AND('STERLING CATALOG - FZN &amp; CHILL'!J1993,"AAAAAFT3+2s=")</f>
        <v>#VALUE!</v>
      </c>
      <c r="DE330">
        <f>IF('STERLING CATALOG - FZN &amp; CHILL'!1994:1994,"AAAAAFT3+2w=",0)</f>
        <v>0</v>
      </c>
      <c r="DF330" t="e">
        <f>AND('STERLING CATALOG - FZN &amp; CHILL'!A1994,"AAAAAFT3+20=")</f>
        <v>#VALUE!</v>
      </c>
      <c r="DG330" t="e">
        <f>AND('STERLING CATALOG - FZN &amp; CHILL'!B1994,"AAAAAFT3+24=")</f>
        <v>#VALUE!</v>
      </c>
      <c r="DH330" t="e">
        <f>AND('STERLING CATALOG - FZN &amp; CHILL'!C1994,"AAAAAFT3+28=")</f>
        <v>#VALUE!</v>
      </c>
      <c r="DI330" t="e">
        <f>AND('STERLING CATALOG - FZN &amp; CHILL'!D1994,"AAAAAFT3+3A=")</f>
        <v>#VALUE!</v>
      </c>
      <c r="DJ330" t="e">
        <f>AND('STERLING CATALOG - FZN &amp; CHILL'!E1994,"AAAAAFT3+3E=")</f>
        <v>#VALUE!</v>
      </c>
      <c r="DK330" t="e">
        <f>AND('STERLING CATALOG - FZN &amp; CHILL'!F1994,"AAAAAFT3+3I=")</f>
        <v>#VALUE!</v>
      </c>
      <c r="DL330" t="e">
        <f>AND('STERLING CATALOG - FZN &amp; CHILL'!G1994,"AAAAAFT3+3M=")</f>
        <v>#VALUE!</v>
      </c>
      <c r="DM330" t="e">
        <f>AND('STERLING CATALOG - FZN &amp; CHILL'!H1994,"AAAAAFT3+3Q=")</f>
        <v>#VALUE!</v>
      </c>
      <c r="DN330" t="e">
        <f>AND('STERLING CATALOG - FZN &amp; CHILL'!I1994,"AAAAAFT3+3U=")</f>
        <v>#VALUE!</v>
      </c>
      <c r="DO330" t="e">
        <f>AND('STERLING CATALOG - FZN &amp; CHILL'!J1994,"AAAAAFT3+3Y=")</f>
        <v>#VALUE!</v>
      </c>
      <c r="DP330">
        <f>IF('STERLING CATALOG - FZN &amp; CHILL'!1995:1995,"AAAAAFT3+3c=",0)</f>
        <v>0</v>
      </c>
      <c r="DQ330" t="e">
        <f>AND('STERLING CATALOG - FZN &amp; CHILL'!A1995,"AAAAAFT3+3g=")</f>
        <v>#VALUE!</v>
      </c>
      <c r="DR330" t="e">
        <f>AND('STERLING CATALOG - FZN &amp; CHILL'!B1995,"AAAAAFT3+3k=")</f>
        <v>#VALUE!</v>
      </c>
      <c r="DS330" t="e">
        <f>AND('STERLING CATALOG - FZN &amp; CHILL'!C1995,"AAAAAFT3+3o=")</f>
        <v>#VALUE!</v>
      </c>
      <c r="DT330" t="e">
        <f>AND('STERLING CATALOG - FZN &amp; CHILL'!D1995,"AAAAAFT3+3s=")</f>
        <v>#VALUE!</v>
      </c>
      <c r="DU330" t="e">
        <f>AND('STERLING CATALOG - FZN &amp; CHILL'!E1995,"AAAAAFT3+3w=")</f>
        <v>#VALUE!</v>
      </c>
      <c r="DV330" t="e">
        <f>AND('STERLING CATALOG - FZN &amp; CHILL'!F1995,"AAAAAFT3+30=")</f>
        <v>#VALUE!</v>
      </c>
      <c r="DW330" t="e">
        <f>AND('STERLING CATALOG - FZN &amp; CHILL'!G1995,"AAAAAFT3+34=")</f>
        <v>#VALUE!</v>
      </c>
      <c r="DX330" t="e">
        <f>AND('STERLING CATALOG - FZN &amp; CHILL'!H1995,"AAAAAFT3+38=")</f>
        <v>#VALUE!</v>
      </c>
      <c r="DY330" t="e">
        <f>AND('STERLING CATALOG - FZN &amp; CHILL'!I1995,"AAAAAFT3+4A=")</f>
        <v>#VALUE!</v>
      </c>
      <c r="DZ330" t="e">
        <f>AND('STERLING CATALOG - FZN &amp; CHILL'!J1995,"AAAAAFT3+4E=")</f>
        <v>#VALUE!</v>
      </c>
      <c r="EA330">
        <f>IF('STERLING CATALOG - FZN &amp; CHILL'!1996:1996,"AAAAAFT3+4I=",0)</f>
        <v>0</v>
      </c>
      <c r="EB330" t="e">
        <f>AND('STERLING CATALOG - FZN &amp; CHILL'!A1996,"AAAAAFT3+4M=")</f>
        <v>#VALUE!</v>
      </c>
      <c r="EC330" t="e">
        <f>AND('STERLING CATALOG - FZN &amp; CHILL'!B1996,"AAAAAFT3+4Q=")</f>
        <v>#VALUE!</v>
      </c>
      <c r="ED330" t="e">
        <f>AND('STERLING CATALOG - FZN &amp; CHILL'!C1996,"AAAAAFT3+4U=")</f>
        <v>#VALUE!</v>
      </c>
      <c r="EE330" t="e">
        <f>AND('STERLING CATALOG - FZN &amp; CHILL'!D1996,"AAAAAFT3+4Y=")</f>
        <v>#VALUE!</v>
      </c>
      <c r="EF330" t="e">
        <f>AND('STERLING CATALOG - FZN &amp; CHILL'!E1996,"AAAAAFT3+4c=")</f>
        <v>#VALUE!</v>
      </c>
      <c r="EG330" t="e">
        <f>AND('STERLING CATALOG - FZN &amp; CHILL'!F1996,"AAAAAFT3+4g=")</f>
        <v>#VALUE!</v>
      </c>
      <c r="EH330" t="e">
        <f>AND('STERLING CATALOG - FZN &amp; CHILL'!G1996,"AAAAAFT3+4k=")</f>
        <v>#VALUE!</v>
      </c>
      <c r="EI330" t="e">
        <f>AND('STERLING CATALOG - FZN &amp; CHILL'!H1996,"AAAAAFT3+4o=")</f>
        <v>#VALUE!</v>
      </c>
      <c r="EJ330" t="e">
        <f>AND('STERLING CATALOG - FZN &amp; CHILL'!I1996,"AAAAAFT3+4s=")</f>
        <v>#VALUE!</v>
      </c>
      <c r="EK330" t="e">
        <f>AND('STERLING CATALOG - FZN &amp; CHILL'!J1996,"AAAAAFT3+4w=")</f>
        <v>#VALUE!</v>
      </c>
      <c r="EL330">
        <f>IF('STERLING CATALOG - FZN &amp; CHILL'!1997:1997,"AAAAAFT3+40=",0)</f>
        <v>0</v>
      </c>
      <c r="EM330" t="e">
        <f>AND('STERLING CATALOG - FZN &amp; CHILL'!A1997,"AAAAAFT3+44=")</f>
        <v>#VALUE!</v>
      </c>
      <c r="EN330" t="e">
        <f>AND('STERLING CATALOG - FZN &amp; CHILL'!B1997,"AAAAAFT3+48=")</f>
        <v>#VALUE!</v>
      </c>
      <c r="EO330" t="e">
        <f>AND('STERLING CATALOG - FZN &amp; CHILL'!C1997,"AAAAAFT3+5A=")</f>
        <v>#VALUE!</v>
      </c>
      <c r="EP330" t="e">
        <f>AND('STERLING CATALOG - FZN &amp; CHILL'!D1997,"AAAAAFT3+5E=")</f>
        <v>#VALUE!</v>
      </c>
      <c r="EQ330" t="e">
        <f>AND('STERLING CATALOG - FZN &amp; CHILL'!E1997,"AAAAAFT3+5I=")</f>
        <v>#VALUE!</v>
      </c>
      <c r="ER330" t="e">
        <f>AND('STERLING CATALOG - FZN &amp; CHILL'!F1997,"AAAAAFT3+5M=")</f>
        <v>#VALUE!</v>
      </c>
      <c r="ES330" t="e">
        <f>AND('STERLING CATALOG - FZN &amp; CHILL'!G1997,"AAAAAFT3+5Q=")</f>
        <v>#VALUE!</v>
      </c>
      <c r="ET330" t="e">
        <f>AND('STERLING CATALOG - FZN &amp; CHILL'!H1997,"AAAAAFT3+5U=")</f>
        <v>#VALUE!</v>
      </c>
      <c r="EU330" t="e">
        <f>AND('STERLING CATALOG - FZN &amp; CHILL'!I1997,"AAAAAFT3+5Y=")</f>
        <v>#VALUE!</v>
      </c>
      <c r="EV330" t="e">
        <f>AND('STERLING CATALOG - FZN &amp; CHILL'!J1997,"AAAAAFT3+5c=")</f>
        <v>#VALUE!</v>
      </c>
      <c r="EW330">
        <f>IF('STERLING CATALOG - FZN &amp; CHILL'!1998:1998,"AAAAAFT3+5g=",0)</f>
        <v>0</v>
      </c>
      <c r="EX330" t="e">
        <f>AND('STERLING CATALOG - FZN &amp; CHILL'!A1998,"AAAAAFT3+5k=")</f>
        <v>#VALUE!</v>
      </c>
      <c r="EY330" t="e">
        <f>AND('STERLING CATALOG - FZN &amp; CHILL'!B1998,"AAAAAFT3+5o=")</f>
        <v>#VALUE!</v>
      </c>
      <c r="EZ330" t="e">
        <f>AND('STERLING CATALOG - FZN &amp; CHILL'!C1998,"AAAAAFT3+5s=")</f>
        <v>#VALUE!</v>
      </c>
      <c r="FA330" t="e">
        <f>AND('STERLING CATALOG - FZN &amp; CHILL'!D1998,"AAAAAFT3+5w=")</f>
        <v>#VALUE!</v>
      </c>
      <c r="FB330" t="e">
        <f>AND('STERLING CATALOG - FZN &amp; CHILL'!E1998,"AAAAAFT3+50=")</f>
        <v>#VALUE!</v>
      </c>
      <c r="FC330" t="e">
        <f>AND('STERLING CATALOG - FZN &amp; CHILL'!F1998,"AAAAAFT3+54=")</f>
        <v>#VALUE!</v>
      </c>
      <c r="FD330" t="e">
        <f>AND('STERLING CATALOG - FZN &amp; CHILL'!G1998,"AAAAAFT3+58=")</f>
        <v>#VALUE!</v>
      </c>
      <c r="FE330" t="e">
        <f>AND('STERLING CATALOG - FZN &amp; CHILL'!H1998,"AAAAAFT3+6A=")</f>
        <v>#VALUE!</v>
      </c>
      <c r="FF330" t="e">
        <f>AND('STERLING CATALOG - FZN &amp; CHILL'!I1998,"AAAAAFT3+6E=")</f>
        <v>#VALUE!</v>
      </c>
      <c r="FG330" t="e">
        <f>AND('STERLING CATALOG - FZN &amp; CHILL'!J1998,"AAAAAFT3+6I=")</f>
        <v>#VALUE!</v>
      </c>
      <c r="FH330">
        <f>IF('STERLING CATALOG - FZN &amp; CHILL'!1999:1999,"AAAAAFT3+6M=",0)</f>
        <v>0</v>
      </c>
      <c r="FI330" t="e">
        <f>AND('STERLING CATALOG - FZN &amp; CHILL'!A1999,"AAAAAFT3+6Q=")</f>
        <v>#VALUE!</v>
      </c>
      <c r="FJ330" t="e">
        <f>AND('STERLING CATALOG - FZN &amp; CHILL'!B1999,"AAAAAFT3+6U=")</f>
        <v>#VALUE!</v>
      </c>
      <c r="FK330" t="e">
        <f>AND('STERLING CATALOG - FZN &amp; CHILL'!C1999,"AAAAAFT3+6Y=")</f>
        <v>#VALUE!</v>
      </c>
      <c r="FL330" t="e">
        <f>AND('STERLING CATALOG - FZN &amp; CHILL'!D1999,"AAAAAFT3+6c=")</f>
        <v>#VALUE!</v>
      </c>
      <c r="FM330" t="e">
        <f>AND('STERLING CATALOG - FZN &amp; CHILL'!E1999,"AAAAAFT3+6g=")</f>
        <v>#VALUE!</v>
      </c>
      <c r="FN330" t="e">
        <f>AND('STERLING CATALOG - FZN &amp; CHILL'!F1999,"AAAAAFT3+6k=")</f>
        <v>#VALUE!</v>
      </c>
      <c r="FO330" t="e">
        <f>AND('STERLING CATALOG - FZN &amp; CHILL'!G1999,"AAAAAFT3+6o=")</f>
        <v>#VALUE!</v>
      </c>
      <c r="FP330" t="e">
        <f>AND('STERLING CATALOG - FZN &amp; CHILL'!H1999,"AAAAAFT3+6s=")</f>
        <v>#VALUE!</v>
      </c>
      <c r="FQ330" t="e">
        <f>AND('STERLING CATALOG - FZN &amp; CHILL'!I1999,"AAAAAFT3+6w=")</f>
        <v>#VALUE!</v>
      </c>
      <c r="FR330" t="e">
        <f>AND('STERLING CATALOG - FZN &amp; CHILL'!J1999,"AAAAAFT3+60=")</f>
        <v>#VALUE!</v>
      </c>
      <c r="FS330">
        <f>IF('STERLING CATALOG - FZN &amp; CHILL'!2000:2000,"AAAAAFT3+64=",0)</f>
        <v>0</v>
      </c>
      <c r="FT330" t="e">
        <f>AND('STERLING CATALOG - FZN &amp; CHILL'!A2000,"AAAAAFT3+68=")</f>
        <v>#VALUE!</v>
      </c>
      <c r="FU330" t="e">
        <f>AND('STERLING CATALOG - FZN &amp; CHILL'!B2000,"AAAAAFT3+7A=")</f>
        <v>#VALUE!</v>
      </c>
      <c r="FV330" t="e">
        <f>AND('STERLING CATALOG - FZN &amp; CHILL'!C2000,"AAAAAFT3+7E=")</f>
        <v>#VALUE!</v>
      </c>
      <c r="FW330" t="e">
        <f>AND('STERLING CATALOG - FZN &amp; CHILL'!D2000,"AAAAAFT3+7I=")</f>
        <v>#VALUE!</v>
      </c>
      <c r="FX330" t="e">
        <f>AND('STERLING CATALOG - FZN &amp; CHILL'!E2000,"AAAAAFT3+7M=")</f>
        <v>#VALUE!</v>
      </c>
      <c r="FY330" t="e">
        <f>AND('STERLING CATALOG - FZN &amp; CHILL'!F2000,"AAAAAFT3+7Q=")</f>
        <v>#VALUE!</v>
      </c>
      <c r="FZ330" t="e">
        <f>AND('STERLING CATALOG - FZN &amp; CHILL'!G2000,"AAAAAFT3+7U=")</f>
        <v>#VALUE!</v>
      </c>
      <c r="GA330" t="e">
        <f>AND('STERLING CATALOG - FZN &amp; CHILL'!H2000,"AAAAAFT3+7Y=")</f>
        <v>#VALUE!</v>
      </c>
      <c r="GB330" t="e">
        <f>AND('STERLING CATALOG - FZN &amp; CHILL'!I2000,"AAAAAFT3+7c=")</f>
        <v>#VALUE!</v>
      </c>
      <c r="GC330" t="e">
        <f>AND('STERLING CATALOG - FZN &amp; CHILL'!J2000,"AAAAAFT3+7g=")</f>
        <v>#VALUE!</v>
      </c>
      <c r="GD330">
        <f>IF('STERLING CATALOG - FZN &amp; CHILL'!2001:2001,"AAAAAFT3+7k=",0)</f>
        <v>0</v>
      </c>
      <c r="GE330" t="e">
        <f>AND('STERLING CATALOG - FZN &amp; CHILL'!A2001,"AAAAAFT3+7o=")</f>
        <v>#VALUE!</v>
      </c>
      <c r="GF330" t="e">
        <f>AND('STERLING CATALOG - FZN &amp; CHILL'!B2001,"AAAAAFT3+7s=")</f>
        <v>#VALUE!</v>
      </c>
      <c r="GG330" t="e">
        <f>AND('STERLING CATALOG - FZN &amp; CHILL'!C2001,"AAAAAFT3+7w=")</f>
        <v>#VALUE!</v>
      </c>
      <c r="GH330" t="e">
        <f>AND('STERLING CATALOG - FZN &amp; CHILL'!D2001,"AAAAAFT3+70=")</f>
        <v>#VALUE!</v>
      </c>
      <c r="GI330" t="e">
        <f>AND('STERLING CATALOG - FZN &amp; CHILL'!E2001,"AAAAAFT3+74=")</f>
        <v>#VALUE!</v>
      </c>
      <c r="GJ330" t="e">
        <f>AND('STERLING CATALOG - FZN &amp; CHILL'!F2001,"AAAAAFT3+78=")</f>
        <v>#VALUE!</v>
      </c>
      <c r="GK330" t="e">
        <f>AND('STERLING CATALOG - FZN &amp; CHILL'!G2001,"AAAAAFT3+8A=")</f>
        <v>#VALUE!</v>
      </c>
      <c r="GL330" t="e">
        <f>AND('STERLING CATALOG - FZN &amp; CHILL'!H2001,"AAAAAFT3+8E=")</f>
        <v>#VALUE!</v>
      </c>
      <c r="GM330" t="e">
        <f>AND('STERLING CATALOG - FZN &amp; CHILL'!I2001,"AAAAAFT3+8I=")</f>
        <v>#VALUE!</v>
      </c>
      <c r="GN330" t="e">
        <f>AND('STERLING CATALOG - FZN &amp; CHILL'!J2001,"AAAAAFT3+8M=")</f>
        <v>#VALUE!</v>
      </c>
      <c r="GO330">
        <f>IF('STERLING CATALOG - FZN &amp; CHILL'!2002:2002,"AAAAAFT3+8Q=",0)</f>
        <v>0</v>
      </c>
      <c r="GP330" t="e">
        <f>AND('STERLING CATALOG - FZN &amp; CHILL'!A2002,"AAAAAFT3+8U=")</f>
        <v>#VALUE!</v>
      </c>
      <c r="GQ330" t="e">
        <f>AND('STERLING CATALOG - FZN &amp; CHILL'!B2002,"AAAAAFT3+8Y=")</f>
        <v>#VALUE!</v>
      </c>
      <c r="GR330" t="e">
        <f>AND('STERLING CATALOG - FZN &amp; CHILL'!C2002,"AAAAAFT3+8c=")</f>
        <v>#VALUE!</v>
      </c>
      <c r="GS330" t="e">
        <f>AND('STERLING CATALOG - FZN &amp; CHILL'!D2002,"AAAAAFT3+8g=")</f>
        <v>#VALUE!</v>
      </c>
      <c r="GT330" t="e">
        <f>AND('STERLING CATALOG - FZN &amp; CHILL'!E2002,"AAAAAFT3+8k=")</f>
        <v>#VALUE!</v>
      </c>
      <c r="GU330" t="e">
        <f>AND('STERLING CATALOG - FZN &amp; CHILL'!F2002,"AAAAAFT3+8o=")</f>
        <v>#VALUE!</v>
      </c>
      <c r="GV330" t="e">
        <f>AND('STERLING CATALOG - FZN &amp; CHILL'!G2002,"AAAAAFT3+8s=")</f>
        <v>#VALUE!</v>
      </c>
      <c r="GW330" t="e">
        <f>AND('STERLING CATALOG - FZN &amp; CHILL'!H2002,"AAAAAFT3+8w=")</f>
        <v>#VALUE!</v>
      </c>
      <c r="GX330" t="e">
        <f>AND('STERLING CATALOG - FZN &amp; CHILL'!I2002,"AAAAAFT3+80=")</f>
        <v>#VALUE!</v>
      </c>
      <c r="GY330" t="e">
        <f>AND('STERLING CATALOG - FZN &amp; CHILL'!J2002,"AAAAAFT3+84=")</f>
        <v>#VALUE!</v>
      </c>
      <c r="GZ330">
        <f>IF('STERLING CATALOG - FZN &amp; CHILL'!2003:2003,"AAAAAFT3+88=",0)</f>
        <v>0</v>
      </c>
      <c r="HA330" t="e">
        <f>AND('STERLING CATALOG - FZN &amp; CHILL'!A2003,"AAAAAFT3+9A=")</f>
        <v>#VALUE!</v>
      </c>
      <c r="HB330" t="e">
        <f>AND('STERLING CATALOG - FZN &amp; CHILL'!B2003,"AAAAAFT3+9E=")</f>
        <v>#VALUE!</v>
      </c>
      <c r="HC330" t="e">
        <f>AND('STERLING CATALOG - FZN &amp; CHILL'!C2003,"AAAAAFT3+9I=")</f>
        <v>#VALUE!</v>
      </c>
      <c r="HD330" t="e">
        <f>AND('STERLING CATALOG - FZN &amp; CHILL'!D2003,"AAAAAFT3+9M=")</f>
        <v>#VALUE!</v>
      </c>
      <c r="HE330" t="e">
        <f>AND('STERLING CATALOG - FZN &amp; CHILL'!E2003,"AAAAAFT3+9Q=")</f>
        <v>#VALUE!</v>
      </c>
      <c r="HF330" t="e">
        <f>AND('STERLING CATALOG - FZN &amp; CHILL'!F2003,"AAAAAFT3+9U=")</f>
        <v>#VALUE!</v>
      </c>
      <c r="HG330" t="e">
        <f>AND('STERLING CATALOG - FZN &amp; CHILL'!G2003,"AAAAAFT3+9Y=")</f>
        <v>#VALUE!</v>
      </c>
      <c r="HH330" t="e">
        <f>AND('STERLING CATALOG - FZN &amp; CHILL'!H2003,"AAAAAFT3+9c=")</f>
        <v>#VALUE!</v>
      </c>
      <c r="HI330" t="e">
        <f>AND('STERLING CATALOG - FZN &amp; CHILL'!I2003,"AAAAAFT3+9g=")</f>
        <v>#VALUE!</v>
      </c>
      <c r="HJ330" t="e">
        <f>AND('STERLING CATALOG - FZN &amp; CHILL'!J2003,"AAAAAFT3+9k=")</f>
        <v>#VALUE!</v>
      </c>
      <c r="HK330">
        <f>IF('STERLING CATALOG - FZN &amp; CHILL'!2004:2004,"AAAAAFT3+9o=",0)</f>
        <v>0</v>
      </c>
      <c r="HL330" t="e">
        <f>AND('STERLING CATALOG - FZN &amp; CHILL'!A2004,"AAAAAFT3+9s=")</f>
        <v>#VALUE!</v>
      </c>
      <c r="HM330" t="e">
        <f>AND('STERLING CATALOG - FZN &amp; CHILL'!B2004,"AAAAAFT3+9w=")</f>
        <v>#VALUE!</v>
      </c>
      <c r="HN330" t="e">
        <f>AND('STERLING CATALOG - FZN &amp; CHILL'!C2004,"AAAAAFT3+90=")</f>
        <v>#VALUE!</v>
      </c>
      <c r="HO330" t="e">
        <f>AND('STERLING CATALOG - FZN &amp; CHILL'!D2004,"AAAAAFT3+94=")</f>
        <v>#VALUE!</v>
      </c>
      <c r="HP330" t="e">
        <f>AND('STERLING CATALOG - FZN &amp; CHILL'!E2004,"AAAAAFT3+98=")</f>
        <v>#VALUE!</v>
      </c>
      <c r="HQ330" t="e">
        <f>AND('STERLING CATALOG - FZN &amp; CHILL'!F2004,"AAAAAFT3++A=")</f>
        <v>#VALUE!</v>
      </c>
      <c r="HR330" t="e">
        <f>AND('STERLING CATALOG - FZN &amp; CHILL'!G2004,"AAAAAFT3++E=")</f>
        <v>#VALUE!</v>
      </c>
      <c r="HS330" t="e">
        <f>AND('STERLING CATALOG - FZN &amp; CHILL'!H2004,"AAAAAFT3++I=")</f>
        <v>#VALUE!</v>
      </c>
      <c r="HT330" t="e">
        <f>AND('STERLING CATALOG - FZN &amp; CHILL'!I2004,"AAAAAFT3++M=")</f>
        <v>#VALUE!</v>
      </c>
      <c r="HU330" t="e">
        <f>AND('STERLING CATALOG - FZN &amp; CHILL'!J2004,"AAAAAFT3++Q=")</f>
        <v>#VALUE!</v>
      </c>
      <c r="HV330">
        <f>IF('STERLING CATALOG - FZN &amp; CHILL'!2005:2005,"AAAAAFT3++U=",0)</f>
        <v>0</v>
      </c>
      <c r="HW330" t="e">
        <f>AND('STERLING CATALOG - FZN &amp; CHILL'!A2005,"AAAAAFT3++Y=")</f>
        <v>#VALUE!</v>
      </c>
      <c r="HX330" t="e">
        <f>AND('STERLING CATALOG - FZN &amp; CHILL'!B2005,"AAAAAFT3++c=")</f>
        <v>#VALUE!</v>
      </c>
      <c r="HY330" t="e">
        <f>AND('STERLING CATALOG - FZN &amp; CHILL'!C2005,"AAAAAFT3++g=")</f>
        <v>#VALUE!</v>
      </c>
      <c r="HZ330" t="e">
        <f>AND('STERLING CATALOG - FZN &amp; CHILL'!D2005,"AAAAAFT3++k=")</f>
        <v>#VALUE!</v>
      </c>
      <c r="IA330" t="e">
        <f>AND('STERLING CATALOG - FZN &amp; CHILL'!E2005,"AAAAAFT3++o=")</f>
        <v>#VALUE!</v>
      </c>
      <c r="IB330" t="e">
        <f>AND('STERLING CATALOG - FZN &amp; CHILL'!F2005,"AAAAAFT3++s=")</f>
        <v>#VALUE!</v>
      </c>
      <c r="IC330" t="e">
        <f>AND('STERLING CATALOG - FZN &amp; CHILL'!G2005,"AAAAAFT3++w=")</f>
        <v>#VALUE!</v>
      </c>
      <c r="ID330" t="e">
        <f>AND('STERLING CATALOG - FZN &amp; CHILL'!H2005,"AAAAAFT3++0=")</f>
        <v>#VALUE!</v>
      </c>
      <c r="IE330" t="e">
        <f>AND('STERLING CATALOG - FZN &amp; CHILL'!I2005,"AAAAAFT3++4=")</f>
        <v>#VALUE!</v>
      </c>
      <c r="IF330" t="e">
        <f>AND('STERLING CATALOG - FZN &amp; CHILL'!J2005,"AAAAAFT3++8=")</f>
        <v>#VALUE!</v>
      </c>
      <c r="IG330">
        <f>IF('STERLING CATALOG - FZN &amp; CHILL'!2006:2006,"AAAAAFT3+/A=",0)</f>
        <v>0</v>
      </c>
      <c r="IH330" t="e">
        <f>AND('STERLING CATALOG - FZN &amp; CHILL'!A2006,"AAAAAFT3+/E=")</f>
        <v>#VALUE!</v>
      </c>
      <c r="II330" t="e">
        <f>AND('STERLING CATALOG - FZN &amp; CHILL'!B2006,"AAAAAFT3+/I=")</f>
        <v>#VALUE!</v>
      </c>
      <c r="IJ330" t="e">
        <f>AND('STERLING CATALOG - FZN &amp; CHILL'!C2006,"AAAAAFT3+/M=")</f>
        <v>#VALUE!</v>
      </c>
      <c r="IK330" t="e">
        <f>AND('STERLING CATALOG - FZN &amp; CHILL'!D2006,"AAAAAFT3+/Q=")</f>
        <v>#VALUE!</v>
      </c>
      <c r="IL330" t="e">
        <f>AND('STERLING CATALOG - FZN &amp; CHILL'!E2006,"AAAAAFT3+/U=")</f>
        <v>#VALUE!</v>
      </c>
      <c r="IM330" t="e">
        <f>AND('STERLING CATALOG - FZN &amp; CHILL'!F2006,"AAAAAFT3+/Y=")</f>
        <v>#VALUE!</v>
      </c>
      <c r="IN330" t="e">
        <f>AND('STERLING CATALOG - FZN &amp; CHILL'!G2006,"AAAAAFT3+/c=")</f>
        <v>#VALUE!</v>
      </c>
      <c r="IO330" t="e">
        <f>AND('STERLING CATALOG - FZN &amp; CHILL'!H2006,"AAAAAFT3+/g=")</f>
        <v>#VALUE!</v>
      </c>
      <c r="IP330" t="e">
        <f>AND('STERLING CATALOG - FZN &amp; CHILL'!I2006,"AAAAAFT3+/k=")</f>
        <v>#VALUE!</v>
      </c>
      <c r="IQ330" t="e">
        <f>AND('STERLING CATALOG - FZN &amp; CHILL'!J2006,"AAAAAFT3+/o=")</f>
        <v>#VALUE!</v>
      </c>
      <c r="IR330">
        <f>IF('STERLING CATALOG - FZN &amp; CHILL'!2007:2007,"AAAAAFT3+/s=",0)</f>
        <v>0</v>
      </c>
      <c r="IS330" t="e">
        <f>AND('STERLING CATALOG - FZN &amp; CHILL'!A2007,"AAAAAFT3+/w=")</f>
        <v>#VALUE!</v>
      </c>
      <c r="IT330" t="e">
        <f>AND('STERLING CATALOG - FZN &amp; CHILL'!B2007,"AAAAAFT3+/0=")</f>
        <v>#VALUE!</v>
      </c>
      <c r="IU330" t="e">
        <f>AND('STERLING CATALOG - FZN &amp; CHILL'!C2007,"AAAAAFT3+/4=")</f>
        <v>#VALUE!</v>
      </c>
      <c r="IV330" t="e">
        <f>AND('STERLING CATALOG - FZN &amp; CHILL'!D2007,"AAAAAFT3+/8=")</f>
        <v>#VALUE!</v>
      </c>
    </row>
    <row r="331" spans="1:256">
      <c r="A331" t="e">
        <f>AND('STERLING CATALOG - FZN &amp; CHILL'!E2007,"AAAAAH329wA=")</f>
        <v>#VALUE!</v>
      </c>
      <c r="B331" t="e">
        <f>AND('STERLING CATALOG - FZN &amp; CHILL'!F2007,"AAAAAH329wE=")</f>
        <v>#VALUE!</v>
      </c>
      <c r="C331" t="e">
        <f>AND('STERLING CATALOG - FZN &amp; CHILL'!G2007,"AAAAAH329wI=")</f>
        <v>#VALUE!</v>
      </c>
      <c r="D331" t="e">
        <f>AND('STERLING CATALOG - FZN &amp; CHILL'!H2007,"AAAAAH329wM=")</f>
        <v>#VALUE!</v>
      </c>
      <c r="E331" t="e">
        <f>AND('STERLING CATALOG - FZN &amp; CHILL'!I2007,"AAAAAH329wQ=")</f>
        <v>#VALUE!</v>
      </c>
      <c r="F331" t="e">
        <f>AND('STERLING CATALOG - FZN &amp; CHILL'!J2007,"AAAAAH329wU=")</f>
        <v>#VALUE!</v>
      </c>
      <c r="G331" t="str">
        <f>IF('STERLING CATALOG - FZN &amp; CHILL'!2008:2008,"AAAAAH329wY=",0)</f>
        <v>AAAAAH329wY=</v>
      </c>
      <c r="H331" t="e">
        <f>AND('STERLING CATALOG - FZN &amp; CHILL'!A2008,"AAAAAH329wc=")</f>
        <v>#VALUE!</v>
      </c>
      <c r="I331" t="e">
        <f>AND('STERLING CATALOG - FZN &amp; CHILL'!B2008,"AAAAAH329wg=")</f>
        <v>#VALUE!</v>
      </c>
      <c r="J331" t="e">
        <f>AND('STERLING CATALOG - FZN &amp; CHILL'!C2008,"AAAAAH329wk=")</f>
        <v>#VALUE!</v>
      </c>
      <c r="K331" t="e">
        <f>AND('STERLING CATALOG - FZN &amp; CHILL'!D2008,"AAAAAH329wo=")</f>
        <v>#VALUE!</v>
      </c>
      <c r="L331" t="e">
        <f>AND('STERLING CATALOG - FZN &amp; CHILL'!E2008,"AAAAAH329ws=")</f>
        <v>#VALUE!</v>
      </c>
      <c r="M331" t="e">
        <f>AND('STERLING CATALOG - FZN &amp; CHILL'!F2008,"AAAAAH329ww=")</f>
        <v>#VALUE!</v>
      </c>
      <c r="N331" t="e">
        <f>AND('STERLING CATALOG - FZN &amp; CHILL'!G2008,"AAAAAH329w0=")</f>
        <v>#VALUE!</v>
      </c>
      <c r="O331" t="e">
        <f>AND('STERLING CATALOG - FZN &amp; CHILL'!H2008,"AAAAAH329w4=")</f>
        <v>#VALUE!</v>
      </c>
      <c r="P331" t="e">
        <f>AND('STERLING CATALOG - FZN &amp; CHILL'!I2008,"AAAAAH329w8=")</f>
        <v>#VALUE!</v>
      </c>
      <c r="Q331" t="e">
        <f>AND('STERLING CATALOG - FZN &amp; CHILL'!J2008,"AAAAAH329xA=")</f>
        <v>#VALUE!</v>
      </c>
      <c r="R331">
        <f>IF('STERLING CATALOG - FZN &amp; CHILL'!2009:2009,"AAAAAH329xE=",0)</f>
        <v>0</v>
      </c>
      <c r="S331" t="e">
        <f>AND('STERLING CATALOG - FZN &amp; CHILL'!A2009,"AAAAAH329xI=")</f>
        <v>#VALUE!</v>
      </c>
      <c r="T331" t="e">
        <f>AND('STERLING CATALOG - FZN &amp; CHILL'!B2009,"AAAAAH329xM=")</f>
        <v>#VALUE!</v>
      </c>
      <c r="U331" t="e">
        <f>AND('STERLING CATALOG - FZN &amp; CHILL'!C2009,"AAAAAH329xQ=")</f>
        <v>#VALUE!</v>
      </c>
      <c r="V331" t="e">
        <f>AND('STERLING CATALOG - FZN &amp; CHILL'!D2009,"AAAAAH329xU=")</f>
        <v>#VALUE!</v>
      </c>
      <c r="W331" t="e">
        <f>AND('STERLING CATALOG - FZN &amp; CHILL'!E2009,"AAAAAH329xY=")</f>
        <v>#VALUE!</v>
      </c>
      <c r="X331" t="e">
        <f>AND('STERLING CATALOG - FZN &amp; CHILL'!F2009,"AAAAAH329xc=")</f>
        <v>#VALUE!</v>
      </c>
      <c r="Y331" t="e">
        <f>AND('STERLING CATALOG - FZN &amp; CHILL'!G2009,"AAAAAH329xg=")</f>
        <v>#VALUE!</v>
      </c>
      <c r="Z331" t="e">
        <f>AND('STERLING CATALOG - FZN &amp; CHILL'!H2009,"AAAAAH329xk=")</f>
        <v>#VALUE!</v>
      </c>
      <c r="AA331" t="e">
        <f>AND('STERLING CATALOG - FZN &amp; CHILL'!I2009,"AAAAAH329xo=")</f>
        <v>#VALUE!</v>
      </c>
      <c r="AB331" t="e">
        <f>AND('STERLING CATALOG - FZN &amp; CHILL'!J2009,"AAAAAH329xs=")</f>
        <v>#VALUE!</v>
      </c>
      <c r="AC331">
        <f>IF('STERLING CATALOG - FZN &amp; CHILL'!2010:2010,"AAAAAH329xw=",0)</f>
        <v>0</v>
      </c>
      <c r="AD331" t="e">
        <f>AND('STERLING CATALOG - FZN &amp; CHILL'!A2010,"AAAAAH329x0=")</f>
        <v>#VALUE!</v>
      </c>
      <c r="AE331" t="e">
        <f>AND('STERLING CATALOG - FZN &amp; CHILL'!B2010,"AAAAAH329x4=")</f>
        <v>#VALUE!</v>
      </c>
      <c r="AF331" t="e">
        <f>AND('STERLING CATALOG - FZN &amp; CHILL'!C2010,"AAAAAH329x8=")</f>
        <v>#VALUE!</v>
      </c>
      <c r="AG331" t="e">
        <f>AND('STERLING CATALOG - FZN &amp; CHILL'!D2010,"AAAAAH329yA=")</f>
        <v>#VALUE!</v>
      </c>
      <c r="AH331" t="e">
        <f>AND('STERLING CATALOG - FZN &amp; CHILL'!E2010,"AAAAAH329yE=")</f>
        <v>#VALUE!</v>
      </c>
      <c r="AI331" t="e">
        <f>AND('STERLING CATALOG - FZN &amp; CHILL'!F2010,"AAAAAH329yI=")</f>
        <v>#VALUE!</v>
      </c>
      <c r="AJ331" t="e">
        <f>AND('STERLING CATALOG - FZN &amp; CHILL'!G2010,"AAAAAH329yM=")</f>
        <v>#VALUE!</v>
      </c>
      <c r="AK331" t="e">
        <f>AND('STERLING CATALOG - FZN &amp; CHILL'!H2010,"AAAAAH329yQ=")</f>
        <v>#VALUE!</v>
      </c>
      <c r="AL331" t="e">
        <f>AND('STERLING CATALOG - FZN &amp; CHILL'!I2010,"AAAAAH329yU=")</f>
        <v>#VALUE!</v>
      </c>
      <c r="AM331" t="e">
        <f>AND('STERLING CATALOG - FZN &amp; CHILL'!J2010,"AAAAAH329yY=")</f>
        <v>#VALUE!</v>
      </c>
      <c r="AN331">
        <f>IF('STERLING CATALOG - FZN &amp; CHILL'!2011:2011,"AAAAAH329yc=",0)</f>
        <v>0</v>
      </c>
      <c r="AO331" t="e">
        <f>AND('STERLING CATALOG - FZN &amp; CHILL'!A2011,"AAAAAH329yg=")</f>
        <v>#VALUE!</v>
      </c>
      <c r="AP331" t="e">
        <f>AND('STERLING CATALOG - FZN &amp; CHILL'!B2011,"AAAAAH329yk=")</f>
        <v>#VALUE!</v>
      </c>
      <c r="AQ331" t="e">
        <f>AND('STERLING CATALOG - FZN &amp; CHILL'!C2011,"AAAAAH329yo=")</f>
        <v>#VALUE!</v>
      </c>
      <c r="AR331" t="e">
        <f>AND('STERLING CATALOG - FZN &amp; CHILL'!D2011,"AAAAAH329ys=")</f>
        <v>#VALUE!</v>
      </c>
      <c r="AS331" t="e">
        <f>AND('STERLING CATALOG - FZN &amp; CHILL'!E2011,"AAAAAH329yw=")</f>
        <v>#VALUE!</v>
      </c>
      <c r="AT331" t="e">
        <f>AND('STERLING CATALOG - FZN &amp; CHILL'!F2011,"AAAAAH329y0=")</f>
        <v>#VALUE!</v>
      </c>
      <c r="AU331" t="e">
        <f>AND('STERLING CATALOG - FZN &amp; CHILL'!G2011,"AAAAAH329y4=")</f>
        <v>#VALUE!</v>
      </c>
      <c r="AV331" t="e">
        <f>AND('STERLING CATALOG - FZN &amp; CHILL'!H2011,"AAAAAH329y8=")</f>
        <v>#VALUE!</v>
      </c>
      <c r="AW331" t="e">
        <f>AND('STERLING CATALOG - FZN &amp; CHILL'!I2011,"AAAAAH329zA=")</f>
        <v>#VALUE!</v>
      </c>
      <c r="AX331" t="e">
        <f>AND('STERLING CATALOG - FZN &amp; CHILL'!J2011,"AAAAAH329zE=")</f>
        <v>#VALUE!</v>
      </c>
      <c r="AY331">
        <f>IF('STERLING CATALOG - FZN &amp; CHILL'!2012:2012,"AAAAAH329zI=",0)</f>
        <v>0</v>
      </c>
      <c r="AZ331" t="e">
        <f>AND('STERLING CATALOG - FZN &amp; CHILL'!A2012,"AAAAAH329zM=")</f>
        <v>#VALUE!</v>
      </c>
      <c r="BA331" t="e">
        <f>AND('STERLING CATALOG - FZN &amp; CHILL'!B2012,"AAAAAH329zQ=")</f>
        <v>#VALUE!</v>
      </c>
      <c r="BB331" t="e">
        <f>AND('STERLING CATALOG - FZN &amp; CHILL'!C2012,"AAAAAH329zU=")</f>
        <v>#VALUE!</v>
      </c>
      <c r="BC331" t="e">
        <f>AND('STERLING CATALOG - FZN &amp; CHILL'!D2012,"AAAAAH329zY=")</f>
        <v>#VALUE!</v>
      </c>
      <c r="BD331" t="e">
        <f>AND('STERLING CATALOG - FZN &amp; CHILL'!E2012,"AAAAAH329zc=")</f>
        <v>#VALUE!</v>
      </c>
      <c r="BE331" t="e">
        <f>AND('STERLING CATALOG - FZN &amp; CHILL'!F2012,"AAAAAH329zg=")</f>
        <v>#VALUE!</v>
      </c>
      <c r="BF331" t="e">
        <f>AND('STERLING CATALOG - FZN &amp; CHILL'!G2012,"AAAAAH329zk=")</f>
        <v>#VALUE!</v>
      </c>
      <c r="BG331" t="e">
        <f>AND('STERLING CATALOG - FZN &amp; CHILL'!H2012,"AAAAAH329zo=")</f>
        <v>#VALUE!</v>
      </c>
      <c r="BH331" t="e">
        <f>AND('STERLING CATALOG - FZN &amp; CHILL'!I2012,"AAAAAH329zs=")</f>
        <v>#VALUE!</v>
      </c>
      <c r="BI331" t="e">
        <f>AND('STERLING CATALOG - FZN &amp; CHILL'!J2012,"AAAAAH329zw=")</f>
        <v>#VALUE!</v>
      </c>
      <c r="BJ331">
        <f>IF('STERLING CATALOG - FZN &amp; CHILL'!2013:2013,"AAAAAH329z0=",0)</f>
        <v>0</v>
      </c>
      <c r="BK331" t="e">
        <f>AND('STERLING CATALOG - FZN &amp; CHILL'!A2013,"AAAAAH329z4=")</f>
        <v>#VALUE!</v>
      </c>
      <c r="BL331" t="e">
        <f>AND('STERLING CATALOG - FZN &amp; CHILL'!B2013,"AAAAAH329z8=")</f>
        <v>#VALUE!</v>
      </c>
      <c r="BM331" t="e">
        <f>AND('STERLING CATALOG - FZN &amp; CHILL'!C2013,"AAAAAH3290A=")</f>
        <v>#VALUE!</v>
      </c>
      <c r="BN331" t="e">
        <f>AND('STERLING CATALOG - FZN &amp; CHILL'!D2013,"AAAAAH3290E=")</f>
        <v>#VALUE!</v>
      </c>
      <c r="BO331" t="e">
        <f>AND('STERLING CATALOG - FZN &amp; CHILL'!E2013,"AAAAAH3290I=")</f>
        <v>#VALUE!</v>
      </c>
      <c r="BP331" t="e">
        <f>AND('STERLING CATALOG - FZN &amp; CHILL'!F2013,"AAAAAH3290M=")</f>
        <v>#VALUE!</v>
      </c>
      <c r="BQ331" t="e">
        <f>AND('STERLING CATALOG - FZN &amp; CHILL'!G2013,"AAAAAH3290Q=")</f>
        <v>#VALUE!</v>
      </c>
      <c r="BR331" t="e">
        <f>AND('STERLING CATALOG - FZN &amp; CHILL'!H2013,"AAAAAH3290U=")</f>
        <v>#VALUE!</v>
      </c>
      <c r="BS331" t="e">
        <f>AND('STERLING CATALOG - FZN &amp; CHILL'!I2013,"AAAAAH3290Y=")</f>
        <v>#VALUE!</v>
      </c>
      <c r="BT331" t="e">
        <f>AND('STERLING CATALOG - FZN &amp; CHILL'!J2013,"AAAAAH3290c=")</f>
        <v>#VALUE!</v>
      </c>
      <c r="BU331">
        <f>IF('STERLING CATALOG - FZN &amp; CHILL'!2014:2014,"AAAAAH3290g=",0)</f>
        <v>0</v>
      </c>
      <c r="BV331" t="e">
        <f>AND('STERLING CATALOG - FZN &amp; CHILL'!A2014,"AAAAAH3290k=")</f>
        <v>#VALUE!</v>
      </c>
      <c r="BW331" t="e">
        <f>AND('STERLING CATALOG - FZN &amp; CHILL'!B2014,"AAAAAH3290o=")</f>
        <v>#VALUE!</v>
      </c>
      <c r="BX331" t="e">
        <f>AND('STERLING CATALOG - FZN &amp; CHILL'!C2014,"AAAAAH3290s=")</f>
        <v>#VALUE!</v>
      </c>
      <c r="BY331" t="e">
        <f>AND('STERLING CATALOG - FZN &amp; CHILL'!D2014,"AAAAAH3290w=")</f>
        <v>#VALUE!</v>
      </c>
      <c r="BZ331" t="e">
        <f>AND('STERLING CATALOG - FZN &amp; CHILL'!E2014,"AAAAAH32900=")</f>
        <v>#VALUE!</v>
      </c>
      <c r="CA331" t="e">
        <f>AND('STERLING CATALOG - FZN &amp; CHILL'!F2014,"AAAAAH32904=")</f>
        <v>#VALUE!</v>
      </c>
      <c r="CB331" t="e">
        <f>AND('STERLING CATALOG - FZN &amp; CHILL'!G2014,"AAAAAH32908=")</f>
        <v>#VALUE!</v>
      </c>
      <c r="CC331" t="e">
        <f>AND('STERLING CATALOG - FZN &amp; CHILL'!H2014,"AAAAAH3291A=")</f>
        <v>#VALUE!</v>
      </c>
      <c r="CD331" t="e">
        <f>AND('STERLING CATALOG - FZN &amp; CHILL'!I2014,"AAAAAH3291E=")</f>
        <v>#VALUE!</v>
      </c>
      <c r="CE331" t="e">
        <f>AND('STERLING CATALOG - FZN &amp; CHILL'!J2014,"AAAAAH3291I=")</f>
        <v>#VALUE!</v>
      </c>
      <c r="CF331">
        <f>IF('STERLING CATALOG - FZN &amp; CHILL'!2015:2015,"AAAAAH3291M=",0)</f>
        <v>0</v>
      </c>
      <c r="CG331" t="e">
        <f>AND('STERLING CATALOG - FZN &amp; CHILL'!A2015,"AAAAAH3291Q=")</f>
        <v>#VALUE!</v>
      </c>
      <c r="CH331" t="e">
        <f>AND('STERLING CATALOG - FZN &amp; CHILL'!B2015,"AAAAAH3291U=")</f>
        <v>#VALUE!</v>
      </c>
      <c r="CI331" t="e">
        <f>AND('STERLING CATALOG - FZN &amp; CHILL'!C2015,"AAAAAH3291Y=")</f>
        <v>#VALUE!</v>
      </c>
      <c r="CJ331" t="e">
        <f>AND('STERLING CATALOG - FZN &amp; CHILL'!D2015,"AAAAAH3291c=")</f>
        <v>#VALUE!</v>
      </c>
      <c r="CK331" t="e">
        <f>AND('STERLING CATALOG - FZN &amp; CHILL'!E2015,"AAAAAH3291g=")</f>
        <v>#VALUE!</v>
      </c>
      <c r="CL331" t="e">
        <f>AND('STERLING CATALOG - FZN &amp; CHILL'!F2015,"AAAAAH3291k=")</f>
        <v>#VALUE!</v>
      </c>
      <c r="CM331" t="e">
        <f>AND('STERLING CATALOG - FZN &amp; CHILL'!G2015,"AAAAAH3291o=")</f>
        <v>#VALUE!</v>
      </c>
      <c r="CN331" t="e">
        <f>AND('STERLING CATALOG - FZN &amp; CHILL'!H2015,"AAAAAH3291s=")</f>
        <v>#VALUE!</v>
      </c>
      <c r="CO331" t="e">
        <f>AND('STERLING CATALOG - FZN &amp; CHILL'!I2015,"AAAAAH3291w=")</f>
        <v>#VALUE!</v>
      </c>
      <c r="CP331" t="e">
        <f>AND('STERLING CATALOG - FZN &amp; CHILL'!J2015,"AAAAAH32910=")</f>
        <v>#VALUE!</v>
      </c>
      <c r="CQ331">
        <f>IF('STERLING CATALOG - FZN &amp; CHILL'!2016:2016,"AAAAAH32914=",0)</f>
        <v>0</v>
      </c>
      <c r="CR331" t="e">
        <f>AND('STERLING CATALOG - FZN &amp; CHILL'!A2016,"AAAAAH32918=")</f>
        <v>#VALUE!</v>
      </c>
      <c r="CS331" t="e">
        <f>AND('STERLING CATALOG - FZN &amp; CHILL'!B2016,"AAAAAH3292A=")</f>
        <v>#VALUE!</v>
      </c>
      <c r="CT331" t="e">
        <f>AND('STERLING CATALOG - FZN &amp; CHILL'!C2016,"AAAAAH3292E=")</f>
        <v>#VALUE!</v>
      </c>
      <c r="CU331" t="e">
        <f>AND('STERLING CATALOG - FZN &amp; CHILL'!D2016,"AAAAAH3292I=")</f>
        <v>#VALUE!</v>
      </c>
      <c r="CV331" t="e">
        <f>AND('STERLING CATALOG - FZN &amp; CHILL'!E2016,"AAAAAH3292M=")</f>
        <v>#VALUE!</v>
      </c>
      <c r="CW331" t="e">
        <f>AND('STERLING CATALOG - FZN &amp; CHILL'!F2016,"AAAAAH3292Q=")</f>
        <v>#VALUE!</v>
      </c>
      <c r="CX331" t="e">
        <f>AND('STERLING CATALOG - FZN &amp; CHILL'!G2016,"AAAAAH3292U=")</f>
        <v>#VALUE!</v>
      </c>
      <c r="CY331" t="e">
        <f>AND('STERLING CATALOG - FZN &amp; CHILL'!H2016,"AAAAAH3292Y=")</f>
        <v>#VALUE!</v>
      </c>
      <c r="CZ331" t="e">
        <f>AND('STERLING CATALOG - FZN &amp; CHILL'!I2016,"AAAAAH3292c=")</f>
        <v>#VALUE!</v>
      </c>
      <c r="DA331" t="e">
        <f>AND('STERLING CATALOG - FZN &amp; CHILL'!J2016,"AAAAAH3292g=")</f>
        <v>#VALUE!</v>
      </c>
      <c r="DB331">
        <f>IF('STERLING CATALOG - FZN &amp; CHILL'!2017:2017,"AAAAAH3292k=",0)</f>
        <v>0</v>
      </c>
      <c r="DC331" t="e">
        <f>AND('STERLING CATALOG - FZN &amp; CHILL'!A2017,"AAAAAH3292o=")</f>
        <v>#VALUE!</v>
      </c>
      <c r="DD331" t="e">
        <f>AND('STERLING CATALOG - FZN &amp; CHILL'!B2017,"AAAAAH3292s=")</f>
        <v>#VALUE!</v>
      </c>
      <c r="DE331" t="e">
        <f>AND('STERLING CATALOG - FZN &amp; CHILL'!C2017,"AAAAAH3292w=")</f>
        <v>#VALUE!</v>
      </c>
      <c r="DF331" t="e">
        <f>AND('STERLING CATALOG - FZN &amp; CHILL'!D2017,"AAAAAH32920=")</f>
        <v>#VALUE!</v>
      </c>
      <c r="DG331" t="e">
        <f>AND('STERLING CATALOG - FZN &amp; CHILL'!E2017,"AAAAAH32924=")</f>
        <v>#VALUE!</v>
      </c>
      <c r="DH331" t="e">
        <f>AND('STERLING CATALOG - FZN &amp; CHILL'!F2017,"AAAAAH32928=")</f>
        <v>#VALUE!</v>
      </c>
      <c r="DI331" t="e">
        <f>AND('STERLING CATALOG - FZN &amp; CHILL'!G2017,"AAAAAH3293A=")</f>
        <v>#VALUE!</v>
      </c>
      <c r="DJ331" t="e">
        <f>AND('STERLING CATALOG - FZN &amp; CHILL'!H2017,"AAAAAH3293E=")</f>
        <v>#VALUE!</v>
      </c>
      <c r="DK331" t="e">
        <f>AND('STERLING CATALOG - FZN &amp; CHILL'!I2017,"AAAAAH3293I=")</f>
        <v>#VALUE!</v>
      </c>
      <c r="DL331" t="e">
        <f>AND('STERLING CATALOG - FZN &amp; CHILL'!J2017,"AAAAAH3293M=")</f>
        <v>#VALUE!</v>
      </c>
      <c r="DM331">
        <f>IF('STERLING CATALOG - FZN &amp; CHILL'!2018:2018,"AAAAAH3293Q=",0)</f>
        <v>0</v>
      </c>
      <c r="DN331" t="e">
        <f>AND('STERLING CATALOG - FZN &amp; CHILL'!A2018,"AAAAAH3293U=")</f>
        <v>#VALUE!</v>
      </c>
      <c r="DO331" t="e">
        <f>AND('STERLING CATALOG - FZN &amp; CHILL'!B2018,"AAAAAH3293Y=")</f>
        <v>#VALUE!</v>
      </c>
      <c r="DP331" t="e">
        <f>AND('STERLING CATALOG - FZN &amp; CHILL'!C2018,"AAAAAH3293c=")</f>
        <v>#VALUE!</v>
      </c>
      <c r="DQ331" t="e">
        <f>AND('STERLING CATALOG - FZN &amp; CHILL'!D2018,"AAAAAH3293g=")</f>
        <v>#VALUE!</v>
      </c>
      <c r="DR331" t="e">
        <f>AND('STERLING CATALOG - FZN &amp; CHILL'!E2018,"AAAAAH3293k=")</f>
        <v>#VALUE!</v>
      </c>
      <c r="DS331" t="e">
        <f>AND('STERLING CATALOG - FZN &amp; CHILL'!F2018,"AAAAAH3293o=")</f>
        <v>#VALUE!</v>
      </c>
      <c r="DT331" t="e">
        <f>AND('STERLING CATALOG - FZN &amp; CHILL'!G2018,"AAAAAH3293s=")</f>
        <v>#VALUE!</v>
      </c>
      <c r="DU331" t="e">
        <f>AND('STERLING CATALOG - FZN &amp; CHILL'!H2018,"AAAAAH3293w=")</f>
        <v>#VALUE!</v>
      </c>
      <c r="DV331" t="e">
        <f>AND('STERLING CATALOG - FZN &amp; CHILL'!I2018,"AAAAAH32930=")</f>
        <v>#VALUE!</v>
      </c>
      <c r="DW331" t="e">
        <f>AND('STERLING CATALOG - FZN &amp; CHILL'!J2018,"AAAAAH32934=")</f>
        <v>#VALUE!</v>
      </c>
      <c r="DX331">
        <f>IF('STERLING CATALOG - FZN &amp; CHILL'!2019:2019,"AAAAAH32938=",0)</f>
        <v>0</v>
      </c>
      <c r="DY331" t="e">
        <f>AND('STERLING CATALOG - FZN &amp; CHILL'!A2019,"AAAAAH3294A=")</f>
        <v>#VALUE!</v>
      </c>
      <c r="DZ331" t="e">
        <f>AND('STERLING CATALOG - FZN &amp; CHILL'!B2019,"AAAAAH3294E=")</f>
        <v>#VALUE!</v>
      </c>
      <c r="EA331" t="e">
        <f>AND('STERLING CATALOG - FZN &amp; CHILL'!C2019,"AAAAAH3294I=")</f>
        <v>#VALUE!</v>
      </c>
      <c r="EB331" t="e">
        <f>AND('STERLING CATALOG - FZN &amp; CHILL'!D2019,"AAAAAH3294M=")</f>
        <v>#VALUE!</v>
      </c>
      <c r="EC331" t="e">
        <f>AND('STERLING CATALOG - FZN &amp; CHILL'!E2019,"AAAAAH3294Q=")</f>
        <v>#VALUE!</v>
      </c>
      <c r="ED331" t="e">
        <f>AND('STERLING CATALOG - FZN &amp; CHILL'!F2019,"AAAAAH3294U=")</f>
        <v>#VALUE!</v>
      </c>
      <c r="EE331" t="e">
        <f>AND('STERLING CATALOG - FZN &amp; CHILL'!G2019,"AAAAAH3294Y=")</f>
        <v>#VALUE!</v>
      </c>
      <c r="EF331" t="e">
        <f>AND('STERLING CATALOG - FZN &amp; CHILL'!H2019,"AAAAAH3294c=")</f>
        <v>#VALUE!</v>
      </c>
      <c r="EG331" t="e">
        <f>AND('STERLING CATALOG - FZN &amp; CHILL'!I2019,"AAAAAH3294g=")</f>
        <v>#VALUE!</v>
      </c>
      <c r="EH331" t="e">
        <f>AND('STERLING CATALOG - FZN &amp; CHILL'!J2019,"AAAAAH3294k=")</f>
        <v>#VALUE!</v>
      </c>
      <c r="EI331">
        <f>IF('STERLING CATALOG - FZN &amp; CHILL'!2020:2020,"AAAAAH3294o=",0)</f>
        <v>0</v>
      </c>
      <c r="EJ331" t="e">
        <f>AND('STERLING CATALOG - FZN &amp; CHILL'!A2020,"AAAAAH3294s=")</f>
        <v>#VALUE!</v>
      </c>
      <c r="EK331" t="e">
        <f>AND('STERLING CATALOG - FZN &amp; CHILL'!B2020,"AAAAAH3294w=")</f>
        <v>#VALUE!</v>
      </c>
      <c r="EL331" t="e">
        <f>AND('STERLING CATALOG - FZN &amp; CHILL'!C2020,"AAAAAH32940=")</f>
        <v>#VALUE!</v>
      </c>
      <c r="EM331" t="e">
        <f>AND('STERLING CATALOG - FZN &amp; CHILL'!D2020,"AAAAAH32944=")</f>
        <v>#VALUE!</v>
      </c>
      <c r="EN331" t="e">
        <f>AND('STERLING CATALOG - FZN &amp; CHILL'!E2020,"AAAAAH32948=")</f>
        <v>#VALUE!</v>
      </c>
      <c r="EO331" t="e">
        <f>AND('STERLING CATALOG - FZN &amp; CHILL'!F2020,"AAAAAH3295A=")</f>
        <v>#VALUE!</v>
      </c>
      <c r="EP331" t="e">
        <f>AND('STERLING CATALOG - FZN &amp; CHILL'!G2020,"AAAAAH3295E=")</f>
        <v>#VALUE!</v>
      </c>
      <c r="EQ331" t="e">
        <f>AND('STERLING CATALOG - FZN &amp; CHILL'!H2020,"AAAAAH3295I=")</f>
        <v>#VALUE!</v>
      </c>
      <c r="ER331" t="e">
        <f>AND('STERLING CATALOG - FZN &amp; CHILL'!I2020,"AAAAAH3295M=")</f>
        <v>#VALUE!</v>
      </c>
      <c r="ES331" t="e">
        <f>AND('STERLING CATALOG - FZN &amp; CHILL'!J2020,"AAAAAH3295Q=")</f>
        <v>#VALUE!</v>
      </c>
      <c r="ET331">
        <f>IF('STERLING CATALOG - FZN &amp; CHILL'!2021:2021,"AAAAAH3295U=",0)</f>
        <v>0</v>
      </c>
      <c r="EU331" t="e">
        <f>AND('STERLING CATALOG - FZN &amp; CHILL'!A2021,"AAAAAH3295Y=")</f>
        <v>#VALUE!</v>
      </c>
      <c r="EV331" t="e">
        <f>AND('STERLING CATALOG - FZN &amp; CHILL'!B2021,"AAAAAH3295c=")</f>
        <v>#VALUE!</v>
      </c>
      <c r="EW331" t="e">
        <f>AND('STERLING CATALOG - FZN &amp; CHILL'!C2021,"AAAAAH3295g=")</f>
        <v>#VALUE!</v>
      </c>
      <c r="EX331" t="e">
        <f>AND('STERLING CATALOG - FZN &amp; CHILL'!D2021,"AAAAAH3295k=")</f>
        <v>#VALUE!</v>
      </c>
      <c r="EY331" t="e">
        <f>AND('STERLING CATALOG - FZN &amp; CHILL'!E2021,"AAAAAH3295o=")</f>
        <v>#VALUE!</v>
      </c>
      <c r="EZ331" t="e">
        <f>AND('STERLING CATALOG - FZN &amp; CHILL'!F2021,"AAAAAH3295s=")</f>
        <v>#VALUE!</v>
      </c>
      <c r="FA331" t="e">
        <f>AND('STERLING CATALOG - FZN &amp; CHILL'!G2021,"AAAAAH3295w=")</f>
        <v>#VALUE!</v>
      </c>
      <c r="FB331" t="e">
        <f>AND('STERLING CATALOG - FZN &amp; CHILL'!H2021,"AAAAAH32950=")</f>
        <v>#VALUE!</v>
      </c>
      <c r="FC331" t="e">
        <f>AND('STERLING CATALOG - FZN &amp; CHILL'!I2021,"AAAAAH32954=")</f>
        <v>#VALUE!</v>
      </c>
      <c r="FD331" t="e">
        <f>AND('STERLING CATALOG - FZN &amp; CHILL'!J2021,"AAAAAH32958=")</f>
        <v>#VALUE!</v>
      </c>
      <c r="FE331">
        <f>IF('STERLING CATALOG - FZN &amp; CHILL'!2022:2022,"AAAAAH3296A=",0)</f>
        <v>0</v>
      </c>
      <c r="FF331" t="e">
        <f>AND('STERLING CATALOG - FZN &amp; CHILL'!A2022,"AAAAAH3296E=")</f>
        <v>#VALUE!</v>
      </c>
      <c r="FG331" t="e">
        <f>AND('STERLING CATALOG - FZN &amp; CHILL'!B2022,"AAAAAH3296I=")</f>
        <v>#VALUE!</v>
      </c>
      <c r="FH331" t="e">
        <f>AND('STERLING CATALOG - FZN &amp; CHILL'!C2022,"AAAAAH3296M=")</f>
        <v>#VALUE!</v>
      </c>
      <c r="FI331" t="e">
        <f>AND('STERLING CATALOG - FZN &amp; CHILL'!D2022,"AAAAAH3296Q=")</f>
        <v>#VALUE!</v>
      </c>
      <c r="FJ331" t="e">
        <f>AND('STERLING CATALOG - FZN &amp; CHILL'!E2022,"AAAAAH3296U=")</f>
        <v>#VALUE!</v>
      </c>
      <c r="FK331" t="e">
        <f>AND('STERLING CATALOG - FZN &amp; CHILL'!F2022,"AAAAAH3296Y=")</f>
        <v>#VALUE!</v>
      </c>
      <c r="FL331" t="e">
        <f>AND('STERLING CATALOG - FZN &amp; CHILL'!G2022,"AAAAAH3296c=")</f>
        <v>#VALUE!</v>
      </c>
      <c r="FM331" t="e">
        <f>AND('STERLING CATALOG - FZN &amp; CHILL'!H2022,"AAAAAH3296g=")</f>
        <v>#VALUE!</v>
      </c>
      <c r="FN331" t="e">
        <f>AND('STERLING CATALOG - FZN &amp; CHILL'!I2022,"AAAAAH3296k=")</f>
        <v>#VALUE!</v>
      </c>
      <c r="FO331" t="e">
        <f>AND('STERLING CATALOG - FZN &amp; CHILL'!J2022,"AAAAAH3296o=")</f>
        <v>#VALUE!</v>
      </c>
      <c r="FP331">
        <f>IF('STERLING CATALOG - FZN &amp; CHILL'!2023:2023,"AAAAAH3296s=",0)</f>
        <v>0</v>
      </c>
      <c r="FQ331" t="e">
        <f>AND('STERLING CATALOG - FZN &amp; CHILL'!A2023,"AAAAAH3296w=")</f>
        <v>#VALUE!</v>
      </c>
      <c r="FR331" t="e">
        <f>AND('STERLING CATALOG - FZN &amp; CHILL'!B2023,"AAAAAH32960=")</f>
        <v>#VALUE!</v>
      </c>
      <c r="FS331" t="e">
        <f>AND('STERLING CATALOG - FZN &amp; CHILL'!C2023,"AAAAAH32964=")</f>
        <v>#VALUE!</v>
      </c>
      <c r="FT331" t="e">
        <f>AND('STERLING CATALOG - FZN &amp; CHILL'!D2023,"AAAAAH32968=")</f>
        <v>#VALUE!</v>
      </c>
      <c r="FU331" t="e">
        <f>AND('STERLING CATALOG - FZN &amp; CHILL'!E2023,"AAAAAH3297A=")</f>
        <v>#VALUE!</v>
      </c>
      <c r="FV331" t="e">
        <f>AND('STERLING CATALOG - FZN &amp; CHILL'!F2023,"AAAAAH3297E=")</f>
        <v>#VALUE!</v>
      </c>
      <c r="FW331" t="e">
        <f>AND('STERLING CATALOG - FZN &amp; CHILL'!G2023,"AAAAAH3297I=")</f>
        <v>#VALUE!</v>
      </c>
      <c r="FX331" t="e">
        <f>AND('STERLING CATALOG - FZN &amp; CHILL'!H2023,"AAAAAH3297M=")</f>
        <v>#VALUE!</v>
      </c>
      <c r="FY331" t="e">
        <f>AND('STERLING CATALOG - FZN &amp; CHILL'!I2023,"AAAAAH3297Q=")</f>
        <v>#VALUE!</v>
      </c>
      <c r="FZ331" t="e">
        <f>AND('STERLING CATALOG - FZN &amp; CHILL'!J2023,"AAAAAH3297U=")</f>
        <v>#VALUE!</v>
      </c>
      <c r="GA331">
        <f>IF('STERLING CATALOG - FZN &amp; CHILL'!2024:2024,"AAAAAH3297Y=",0)</f>
        <v>0</v>
      </c>
      <c r="GB331" t="e">
        <f>AND('STERLING CATALOG - FZN &amp; CHILL'!A2024,"AAAAAH3297c=")</f>
        <v>#VALUE!</v>
      </c>
      <c r="GC331" t="e">
        <f>AND('STERLING CATALOG - FZN &amp; CHILL'!B2024,"AAAAAH3297g=")</f>
        <v>#VALUE!</v>
      </c>
      <c r="GD331" t="e">
        <f>AND('STERLING CATALOG - FZN &amp; CHILL'!C2024,"AAAAAH3297k=")</f>
        <v>#VALUE!</v>
      </c>
      <c r="GE331" t="e">
        <f>AND('STERLING CATALOG - FZN &amp; CHILL'!D2024,"AAAAAH3297o=")</f>
        <v>#VALUE!</v>
      </c>
      <c r="GF331" t="e">
        <f>AND('STERLING CATALOG - FZN &amp; CHILL'!E2024,"AAAAAH3297s=")</f>
        <v>#VALUE!</v>
      </c>
      <c r="GG331" t="e">
        <f>AND('STERLING CATALOG - FZN &amp; CHILL'!F2024,"AAAAAH3297w=")</f>
        <v>#VALUE!</v>
      </c>
      <c r="GH331" t="e">
        <f>AND('STERLING CATALOG - FZN &amp; CHILL'!G2024,"AAAAAH32970=")</f>
        <v>#VALUE!</v>
      </c>
      <c r="GI331" t="e">
        <f>AND('STERLING CATALOG - FZN &amp; CHILL'!H2024,"AAAAAH32974=")</f>
        <v>#VALUE!</v>
      </c>
      <c r="GJ331" t="e">
        <f>AND('STERLING CATALOG - FZN &amp; CHILL'!I2024,"AAAAAH32978=")</f>
        <v>#VALUE!</v>
      </c>
      <c r="GK331" t="e">
        <f>AND('STERLING CATALOG - FZN &amp; CHILL'!J2024,"AAAAAH3298A=")</f>
        <v>#VALUE!</v>
      </c>
      <c r="GL331">
        <f>IF('STERLING CATALOG - FZN &amp; CHILL'!2025:2025,"AAAAAH3298E=",0)</f>
        <v>0</v>
      </c>
      <c r="GM331" t="e">
        <f>AND('STERLING CATALOG - FZN &amp; CHILL'!A2025,"AAAAAH3298I=")</f>
        <v>#VALUE!</v>
      </c>
      <c r="GN331" t="e">
        <f>AND('STERLING CATALOG - FZN &amp; CHILL'!B2025,"AAAAAH3298M=")</f>
        <v>#VALUE!</v>
      </c>
      <c r="GO331" t="e">
        <f>AND('STERLING CATALOG - FZN &amp; CHILL'!C2025,"AAAAAH3298Q=")</f>
        <v>#VALUE!</v>
      </c>
      <c r="GP331" t="e">
        <f>AND('STERLING CATALOG - FZN &amp; CHILL'!D2025,"AAAAAH3298U=")</f>
        <v>#VALUE!</v>
      </c>
      <c r="GQ331" t="e">
        <f>AND('STERLING CATALOG - FZN &amp; CHILL'!E2025,"AAAAAH3298Y=")</f>
        <v>#VALUE!</v>
      </c>
      <c r="GR331" t="e">
        <f>AND('STERLING CATALOG - FZN &amp; CHILL'!F2025,"AAAAAH3298c=")</f>
        <v>#VALUE!</v>
      </c>
      <c r="GS331" t="e">
        <f>AND('STERLING CATALOG - FZN &amp; CHILL'!G2025,"AAAAAH3298g=")</f>
        <v>#VALUE!</v>
      </c>
      <c r="GT331" t="e">
        <f>AND('STERLING CATALOG - FZN &amp; CHILL'!H2025,"AAAAAH3298k=")</f>
        <v>#VALUE!</v>
      </c>
      <c r="GU331" t="e">
        <f>AND('STERLING CATALOG - FZN &amp; CHILL'!I2025,"AAAAAH3298o=")</f>
        <v>#VALUE!</v>
      </c>
      <c r="GV331" t="e">
        <f>AND('STERLING CATALOG - FZN &amp; CHILL'!J2025,"AAAAAH3298s=")</f>
        <v>#VALUE!</v>
      </c>
      <c r="GW331">
        <f>IF('STERLING CATALOG - FZN &amp; CHILL'!2026:2026,"AAAAAH3298w=",0)</f>
        <v>0</v>
      </c>
      <c r="GX331" t="e">
        <f>AND('STERLING CATALOG - FZN &amp; CHILL'!A2026,"AAAAAH32980=")</f>
        <v>#VALUE!</v>
      </c>
      <c r="GY331" t="e">
        <f>AND('STERLING CATALOG - FZN &amp; CHILL'!B2026,"AAAAAH32984=")</f>
        <v>#VALUE!</v>
      </c>
      <c r="GZ331" t="e">
        <f>AND('STERLING CATALOG - FZN &amp; CHILL'!C2026,"AAAAAH32988=")</f>
        <v>#VALUE!</v>
      </c>
      <c r="HA331" t="e">
        <f>AND('STERLING CATALOG - FZN &amp; CHILL'!D2026,"AAAAAH3299A=")</f>
        <v>#VALUE!</v>
      </c>
      <c r="HB331" t="e">
        <f>AND('STERLING CATALOG - FZN &amp; CHILL'!E2026,"AAAAAH3299E=")</f>
        <v>#VALUE!</v>
      </c>
      <c r="HC331" t="e">
        <f>AND('STERLING CATALOG - FZN &amp; CHILL'!F2026,"AAAAAH3299I=")</f>
        <v>#VALUE!</v>
      </c>
      <c r="HD331" t="e">
        <f>AND('STERLING CATALOG - FZN &amp; CHILL'!G2026,"AAAAAH3299M=")</f>
        <v>#VALUE!</v>
      </c>
      <c r="HE331" t="e">
        <f>AND('STERLING CATALOG - FZN &amp; CHILL'!H2026,"AAAAAH3299Q=")</f>
        <v>#VALUE!</v>
      </c>
      <c r="HF331" t="e">
        <f>AND('STERLING CATALOG - FZN &amp; CHILL'!I2026,"AAAAAH3299U=")</f>
        <v>#VALUE!</v>
      </c>
      <c r="HG331" t="e">
        <f>AND('STERLING CATALOG - FZN &amp; CHILL'!J2026,"AAAAAH3299Y=")</f>
        <v>#VALUE!</v>
      </c>
      <c r="HH331">
        <f>IF('STERLING CATALOG - FZN &amp; CHILL'!2027:2027,"AAAAAH3299c=",0)</f>
        <v>0</v>
      </c>
      <c r="HI331" t="e">
        <f>AND('STERLING CATALOG - FZN &amp; CHILL'!A2027,"AAAAAH3299g=")</f>
        <v>#VALUE!</v>
      </c>
      <c r="HJ331" t="e">
        <f>AND('STERLING CATALOG - FZN &amp; CHILL'!B2027,"AAAAAH3299k=")</f>
        <v>#VALUE!</v>
      </c>
      <c r="HK331" t="e">
        <f>AND('STERLING CATALOG - FZN &amp; CHILL'!C2027,"AAAAAH3299o=")</f>
        <v>#VALUE!</v>
      </c>
      <c r="HL331" t="e">
        <f>AND('STERLING CATALOG - FZN &amp; CHILL'!D2027,"AAAAAH3299s=")</f>
        <v>#VALUE!</v>
      </c>
      <c r="HM331" t="e">
        <f>AND('STERLING CATALOG - FZN &amp; CHILL'!E2027,"AAAAAH3299w=")</f>
        <v>#VALUE!</v>
      </c>
      <c r="HN331" t="e">
        <f>AND('STERLING CATALOG - FZN &amp; CHILL'!F2027,"AAAAAH32990=")</f>
        <v>#VALUE!</v>
      </c>
      <c r="HO331" t="e">
        <f>AND('STERLING CATALOG - FZN &amp; CHILL'!G2027,"AAAAAH32994=")</f>
        <v>#VALUE!</v>
      </c>
      <c r="HP331" t="e">
        <f>AND('STERLING CATALOG - FZN &amp; CHILL'!H2027,"AAAAAH32998=")</f>
        <v>#VALUE!</v>
      </c>
      <c r="HQ331" t="e">
        <f>AND('STERLING CATALOG - FZN &amp; CHILL'!I2027,"AAAAAH329+A=")</f>
        <v>#VALUE!</v>
      </c>
      <c r="HR331" t="e">
        <f>AND('STERLING CATALOG - FZN &amp; CHILL'!J2027,"AAAAAH329+E=")</f>
        <v>#VALUE!</v>
      </c>
      <c r="HS331">
        <f>IF('STERLING CATALOG - FZN &amp; CHILL'!2028:2028,"AAAAAH329+I=",0)</f>
        <v>0</v>
      </c>
      <c r="HT331" t="e">
        <f>AND('STERLING CATALOG - FZN &amp; CHILL'!A2028,"AAAAAH329+M=")</f>
        <v>#VALUE!</v>
      </c>
      <c r="HU331" t="e">
        <f>AND('STERLING CATALOG - FZN &amp; CHILL'!B2028,"AAAAAH329+Q=")</f>
        <v>#VALUE!</v>
      </c>
      <c r="HV331" t="e">
        <f>AND('STERLING CATALOG - FZN &amp; CHILL'!C2028,"AAAAAH329+U=")</f>
        <v>#VALUE!</v>
      </c>
      <c r="HW331" t="e">
        <f>AND('STERLING CATALOG - FZN &amp; CHILL'!D2028,"AAAAAH329+Y=")</f>
        <v>#VALUE!</v>
      </c>
      <c r="HX331" t="e">
        <f>AND('STERLING CATALOG - FZN &amp; CHILL'!E2028,"AAAAAH329+c=")</f>
        <v>#VALUE!</v>
      </c>
      <c r="HY331" t="e">
        <f>AND('STERLING CATALOG - FZN &amp; CHILL'!F2028,"AAAAAH329+g=")</f>
        <v>#VALUE!</v>
      </c>
      <c r="HZ331" t="e">
        <f>AND('STERLING CATALOG - FZN &amp; CHILL'!G2028,"AAAAAH329+k=")</f>
        <v>#VALUE!</v>
      </c>
      <c r="IA331" t="e">
        <f>AND('STERLING CATALOG - FZN &amp; CHILL'!H2028,"AAAAAH329+o=")</f>
        <v>#VALUE!</v>
      </c>
      <c r="IB331" t="e">
        <f>AND('STERLING CATALOG - FZN &amp; CHILL'!I2028,"AAAAAH329+s=")</f>
        <v>#VALUE!</v>
      </c>
      <c r="IC331" t="e">
        <f>AND('STERLING CATALOG - FZN &amp; CHILL'!J2028,"AAAAAH329+w=")</f>
        <v>#VALUE!</v>
      </c>
      <c r="ID331">
        <f>IF('STERLING CATALOG - FZN &amp; CHILL'!2029:2029,"AAAAAH329+0=",0)</f>
        <v>0</v>
      </c>
      <c r="IE331" t="e">
        <f>AND('STERLING CATALOG - FZN &amp; CHILL'!A2029,"AAAAAH329+4=")</f>
        <v>#VALUE!</v>
      </c>
      <c r="IF331" t="e">
        <f>AND('STERLING CATALOG - FZN &amp; CHILL'!B2029,"AAAAAH329+8=")</f>
        <v>#VALUE!</v>
      </c>
      <c r="IG331" t="e">
        <f>AND('STERLING CATALOG - FZN &amp; CHILL'!C2029,"AAAAAH329/A=")</f>
        <v>#VALUE!</v>
      </c>
      <c r="IH331" t="e">
        <f>AND('STERLING CATALOG - FZN &amp; CHILL'!D2029,"AAAAAH329/E=")</f>
        <v>#VALUE!</v>
      </c>
      <c r="II331" t="e">
        <f>AND('STERLING CATALOG - FZN &amp; CHILL'!E2029,"AAAAAH329/I=")</f>
        <v>#VALUE!</v>
      </c>
      <c r="IJ331" t="e">
        <f>AND('STERLING CATALOG - FZN &amp; CHILL'!F2029,"AAAAAH329/M=")</f>
        <v>#VALUE!</v>
      </c>
      <c r="IK331" t="e">
        <f>AND('STERLING CATALOG - FZN &amp; CHILL'!G2029,"AAAAAH329/Q=")</f>
        <v>#VALUE!</v>
      </c>
      <c r="IL331" t="e">
        <f>AND('STERLING CATALOG - FZN &amp; CHILL'!H2029,"AAAAAH329/U=")</f>
        <v>#VALUE!</v>
      </c>
      <c r="IM331" t="e">
        <f>AND('STERLING CATALOG - FZN &amp; CHILL'!I2029,"AAAAAH329/Y=")</f>
        <v>#VALUE!</v>
      </c>
      <c r="IN331" t="e">
        <f>AND('STERLING CATALOG - FZN &amp; CHILL'!J2029,"AAAAAH329/c=")</f>
        <v>#VALUE!</v>
      </c>
      <c r="IO331">
        <f>IF('STERLING CATALOG - FZN &amp; CHILL'!2030:2030,"AAAAAH329/g=",0)</f>
        <v>0</v>
      </c>
      <c r="IP331" t="e">
        <f>AND('STERLING CATALOG - FZN &amp; CHILL'!A2030,"AAAAAH329/k=")</f>
        <v>#VALUE!</v>
      </c>
      <c r="IQ331" t="e">
        <f>AND('STERLING CATALOG - FZN &amp; CHILL'!B2030,"AAAAAH329/o=")</f>
        <v>#VALUE!</v>
      </c>
      <c r="IR331" t="e">
        <f>AND('STERLING CATALOG - FZN &amp; CHILL'!C2030,"AAAAAH329/s=")</f>
        <v>#VALUE!</v>
      </c>
      <c r="IS331" t="e">
        <f>AND('STERLING CATALOG - FZN &amp; CHILL'!D2030,"AAAAAH329/w=")</f>
        <v>#VALUE!</v>
      </c>
      <c r="IT331" t="e">
        <f>AND('STERLING CATALOG - FZN &amp; CHILL'!E2030,"AAAAAH329/0=")</f>
        <v>#VALUE!</v>
      </c>
      <c r="IU331" t="e">
        <f>AND('STERLING CATALOG - FZN &amp; CHILL'!F2030,"AAAAAH329/4=")</f>
        <v>#VALUE!</v>
      </c>
      <c r="IV331" t="e">
        <f>AND('STERLING CATALOG - FZN &amp; CHILL'!G2030,"AAAAAH329/8=")</f>
        <v>#VALUE!</v>
      </c>
    </row>
    <row r="332" spans="1:256">
      <c r="A332" t="e">
        <f>AND('STERLING CATALOG - FZN &amp; CHILL'!H2030,"AAAAAC27vQA=")</f>
        <v>#VALUE!</v>
      </c>
      <c r="B332" t="e">
        <f>AND('STERLING CATALOG - FZN &amp; CHILL'!I2030,"AAAAAC27vQE=")</f>
        <v>#VALUE!</v>
      </c>
      <c r="C332" t="e">
        <f>AND('STERLING CATALOG - FZN &amp; CHILL'!J2030,"AAAAAC27vQI=")</f>
        <v>#VALUE!</v>
      </c>
      <c r="D332" t="e">
        <f>IF('STERLING CATALOG - FZN &amp; CHILL'!2031:2031,"AAAAAC27vQM=",0)</f>
        <v>#VALUE!</v>
      </c>
      <c r="E332" t="e">
        <f>AND('STERLING CATALOG - FZN &amp; CHILL'!A2031,"AAAAAC27vQQ=")</f>
        <v>#VALUE!</v>
      </c>
      <c r="F332" t="e">
        <f>AND('STERLING CATALOG - FZN &amp; CHILL'!B2031,"AAAAAC27vQU=")</f>
        <v>#VALUE!</v>
      </c>
      <c r="G332" t="e">
        <f>AND('STERLING CATALOG - FZN &amp; CHILL'!C2031,"AAAAAC27vQY=")</f>
        <v>#VALUE!</v>
      </c>
      <c r="H332" t="e">
        <f>AND('STERLING CATALOG - FZN &amp; CHILL'!D2031,"AAAAAC27vQc=")</f>
        <v>#VALUE!</v>
      </c>
      <c r="I332" t="e">
        <f>AND('STERLING CATALOG - FZN &amp; CHILL'!E2031,"AAAAAC27vQg=")</f>
        <v>#VALUE!</v>
      </c>
      <c r="J332" t="e">
        <f>AND('STERLING CATALOG - FZN &amp; CHILL'!F2031,"AAAAAC27vQk=")</f>
        <v>#VALUE!</v>
      </c>
      <c r="K332" t="e">
        <f>AND('STERLING CATALOG - FZN &amp; CHILL'!G2031,"AAAAAC27vQo=")</f>
        <v>#VALUE!</v>
      </c>
      <c r="L332" t="e">
        <f>AND('STERLING CATALOG - FZN &amp; CHILL'!H2031,"AAAAAC27vQs=")</f>
        <v>#VALUE!</v>
      </c>
      <c r="M332" t="e">
        <f>AND('STERLING CATALOG - FZN &amp; CHILL'!I2031,"AAAAAC27vQw=")</f>
        <v>#VALUE!</v>
      </c>
      <c r="N332" t="e">
        <f>AND('STERLING CATALOG - FZN &amp; CHILL'!J2031,"AAAAAC27vQ0=")</f>
        <v>#VALUE!</v>
      </c>
      <c r="O332">
        <f>IF('STERLING CATALOG - FZN &amp; CHILL'!2032:2032,"AAAAAC27vQ4=",0)</f>
        <v>0</v>
      </c>
      <c r="P332" t="e">
        <f>AND('STERLING CATALOG - FZN &amp; CHILL'!A2032,"AAAAAC27vQ8=")</f>
        <v>#VALUE!</v>
      </c>
      <c r="Q332" t="e">
        <f>AND('STERLING CATALOG - FZN &amp; CHILL'!B2032,"AAAAAC27vRA=")</f>
        <v>#VALUE!</v>
      </c>
      <c r="R332" t="e">
        <f>AND('STERLING CATALOG - FZN &amp; CHILL'!C2032,"AAAAAC27vRE=")</f>
        <v>#VALUE!</v>
      </c>
      <c r="S332" t="e">
        <f>AND('STERLING CATALOG - FZN &amp; CHILL'!D2032,"AAAAAC27vRI=")</f>
        <v>#VALUE!</v>
      </c>
      <c r="T332" t="e">
        <f>AND('STERLING CATALOG - FZN &amp; CHILL'!E2032,"AAAAAC27vRM=")</f>
        <v>#VALUE!</v>
      </c>
      <c r="U332" t="e">
        <f>AND('STERLING CATALOG - FZN &amp; CHILL'!F2032,"AAAAAC27vRQ=")</f>
        <v>#VALUE!</v>
      </c>
      <c r="V332" t="e">
        <f>AND('STERLING CATALOG - FZN &amp; CHILL'!G2032,"AAAAAC27vRU=")</f>
        <v>#VALUE!</v>
      </c>
      <c r="W332" t="e">
        <f>AND('STERLING CATALOG - FZN &amp; CHILL'!H2032,"AAAAAC27vRY=")</f>
        <v>#VALUE!</v>
      </c>
      <c r="X332" t="e">
        <f>AND('STERLING CATALOG - FZN &amp; CHILL'!I2032,"AAAAAC27vRc=")</f>
        <v>#VALUE!</v>
      </c>
      <c r="Y332" t="e">
        <f>AND('STERLING CATALOG - FZN &amp; CHILL'!J2032,"AAAAAC27vRg=")</f>
        <v>#VALUE!</v>
      </c>
      <c r="Z332">
        <f>IF('STERLING CATALOG - FZN &amp; CHILL'!2033:2033,"AAAAAC27vRk=",0)</f>
        <v>0</v>
      </c>
      <c r="AA332" t="e">
        <f>AND('STERLING CATALOG - FZN &amp; CHILL'!A2033,"AAAAAC27vRo=")</f>
        <v>#VALUE!</v>
      </c>
      <c r="AB332" t="e">
        <f>AND('STERLING CATALOG - FZN &amp; CHILL'!B2033,"AAAAAC27vRs=")</f>
        <v>#VALUE!</v>
      </c>
      <c r="AC332" t="e">
        <f>AND('STERLING CATALOG - FZN &amp; CHILL'!C2033,"AAAAAC27vRw=")</f>
        <v>#VALUE!</v>
      </c>
      <c r="AD332" t="e">
        <f>AND('STERLING CATALOG - FZN &amp; CHILL'!D2033,"AAAAAC27vR0=")</f>
        <v>#VALUE!</v>
      </c>
      <c r="AE332" t="e">
        <f>AND('STERLING CATALOG - FZN &amp; CHILL'!E2033,"AAAAAC27vR4=")</f>
        <v>#VALUE!</v>
      </c>
      <c r="AF332" t="e">
        <f>AND('STERLING CATALOG - FZN &amp; CHILL'!F2033,"AAAAAC27vR8=")</f>
        <v>#VALUE!</v>
      </c>
      <c r="AG332" t="e">
        <f>AND('STERLING CATALOG - FZN &amp; CHILL'!G2033,"AAAAAC27vSA=")</f>
        <v>#VALUE!</v>
      </c>
      <c r="AH332" t="e">
        <f>AND('STERLING CATALOG - FZN &amp; CHILL'!H2033,"AAAAAC27vSE=")</f>
        <v>#VALUE!</v>
      </c>
      <c r="AI332" t="e">
        <f>AND('STERLING CATALOG - FZN &amp; CHILL'!I2033,"AAAAAC27vSI=")</f>
        <v>#VALUE!</v>
      </c>
      <c r="AJ332" t="e">
        <f>AND('STERLING CATALOG - FZN &amp; CHILL'!J2033,"AAAAAC27vSM=")</f>
        <v>#VALUE!</v>
      </c>
      <c r="AK332">
        <f>IF('STERLING CATALOG - FZN &amp; CHILL'!2034:2034,"AAAAAC27vSQ=",0)</f>
        <v>0</v>
      </c>
      <c r="AL332" t="e">
        <f>AND('STERLING CATALOG - FZN &amp; CHILL'!A2034,"AAAAAC27vSU=")</f>
        <v>#VALUE!</v>
      </c>
      <c r="AM332" t="e">
        <f>AND('STERLING CATALOG - FZN &amp; CHILL'!B2034,"AAAAAC27vSY=")</f>
        <v>#VALUE!</v>
      </c>
      <c r="AN332" t="e">
        <f>AND('STERLING CATALOG - FZN &amp; CHILL'!C2034,"AAAAAC27vSc=")</f>
        <v>#VALUE!</v>
      </c>
      <c r="AO332" t="e">
        <f>AND('STERLING CATALOG - FZN &amp; CHILL'!D2034,"AAAAAC27vSg=")</f>
        <v>#VALUE!</v>
      </c>
      <c r="AP332" t="e">
        <f>AND('STERLING CATALOG - FZN &amp; CHILL'!E2034,"AAAAAC27vSk=")</f>
        <v>#VALUE!</v>
      </c>
      <c r="AQ332" t="e">
        <f>AND('STERLING CATALOG - FZN &amp; CHILL'!F2034,"AAAAAC27vSo=")</f>
        <v>#VALUE!</v>
      </c>
      <c r="AR332" t="e">
        <f>AND('STERLING CATALOG - FZN &amp; CHILL'!G2034,"AAAAAC27vSs=")</f>
        <v>#VALUE!</v>
      </c>
      <c r="AS332" t="e">
        <f>AND('STERLING CATALOG - FZN &amp; CHILL'!H2034,"AAAAAC27vSw=")</f>
        <v>#VALUE!</v>
      </c>
      <c r="AT332" t="e">
        <f>AND('STERLING CATALOG - FZN &amp; CHILL'!I2034,"AAAAAC27vS0=")</f>
        <v>#VALUE!</v>
      </c>
      <c r="AU332" t="e">
        <f>AND('STERLING CATALOG - FZN &amp; CHILL'!J2034,"AAAAAC27vS4=")</f>
        <v>#VALUE!</v>
      </c>
      <c r="AV332">
        <f>IF('STERLING CATALOG - FZN &amp; CHILL'!2035:2035,"AAAAAC27vS8=",0)</f>
        <v>0</v>
      </c>
      <c r="AW332" t="e">
        <f>AND('STERLING CATALOG - FZN &amp; CHILL'!A2035,"AAAAAC27vTA=")</f>
        <v>#VALUE!</v>
      </c>
      <c r="AX332" t="e">
        <f>AND('STERLING CATALOG - FZN &amp; CHILL'!B2035,"AAAAAC27vTE=")</f>
        <v>#VALUE!</v>
      </c>
      <c r="AY332" t="e">
        <f>AND('STERLING CATALOG - FZN &amp; CHILL'!C2035,"AAAAAC27vTI=")</f>
        <v>#VALUE!</v>
      </c>
      <c r="AZ332" t="e">
        <f>AND('STERLING CATALOG - FZN &amp; CHILL'!D2035,"AAAAAC27vTM=")</f>
        <v>#VALUE!</v>
      </c>
      <c r="BA332" t="e">
        <f>AND('STERLING CATALOG - FZN &amp; CHILL'!E2035,"AAAAAC27vTQ=")</f>
        <v>#VALUE!</v>
      </c>
      <c r="BB332" t="e">
        <f>AND('STERLING CATALOG - FZN &amp; CHILL'!F2035,"AAAAAC27vTU=")</f>
        <v>#VALUE!</v>
      </c>
      <c r="BC332" t="e">
        <f>AND('STERLING CATALOG - FZN &amp; CHILL'!G2035,"AAAAAC27vTY=")</f>
        <v>#VALUE!</v>
      </c>
      <c r="BD332" t="e">
        <f>AND('STERLING CATALOG - FZN &amp; CHILL'!H2035,"AAAAAC27vTc=")</f>
        <v>#VALUE!</v>
      </c>
      <c r="BE332" t="e">
        <f>AND('STERLING CATALOG - FZN &amp; CHILL'!I2035,"AAAAAC27vTg=")</f>
        <v>#VALUE!</v>
      </c>
      <c r="BF332" t="e">
        <f>AND('STERLING CATALOG - FZN &amp; CHILL'!J2035,"AAAAAC27vTk=")</f>
        <v>#VALUE!</v>
      </c>
      <c r="BG332">
        <f>IF('STERLING CATALOG - FZN &amp; CHILL'!2036:2036,"AAAAAC27vTo=",0)</f>
        <v>0</v>
      </c>
      <c r="BH332" t="e">
        <f>AND('STERLING CATALOG - FZN &amp; CHILL'!A2036,"AAAAAC27vTs=")</f>
        <v>#VALUE!</v>
      </c>
      <c r="BI332" t="e">
        <f>AND('STERLING CATALOG - FZN &amp; CHILL'!B2036,"AAAAAC27vTw=")</f>
        <v>#VALUE!</v>
      </c>
      <c r="BJ332" t="e">
        <f>AND('STERLING CATALOG - FZN &amp; CHILL'!C2036,"AAAAAC27vT0=")</f>
        <v>#VALUE!</v>
      </c>
      <c r="BK332" t="e">
        <f>AND('STERLING CATALOG - FZN &amp; CHILL'!D2036,"AAAAAC27vT4=")</f>
        <v>#VALUE!</v>
      </c>
      <c r="BL332" t="e">
        <f>AND('STERLING CATALOG - FZN &amp; CHILL'!E2036,"AAAAAC27vT8=")</f>
        <v>#VALUE!</v>
      </c>
      <c r="BM332" t="e">
        <f>AND('STERLING CATALOG - FZN &amp; CHILL'!F2036,"AAAAAC27vUA=")</f>
        <v>#VALUE!</v>
      </c>
      <c r="BN332" t="e">
        <f>AND('STERLING CATALOG - FZN &amp; CHILL'!G2036,"AAAAAC27vUE=")</f>
        <v>#VALUE!</v>
      </c>
      <c r="BO332" t="e">
        <f>AND('STERLING CATALOG - FZN &amp; CHILL'!H2036,"AAAAAC27vUI=")</f>
        <v>#VALUE!</v>
      </c>
      <c r="BP332" t="e">
        <f>AND('STERLING CATALOG - FZN &amp; CHILL'!I2036,"AAAAAC27vUM=")</f>
        <v>#VALUE!</v>
      </c>
      <c r="BQ332" t="e">
        <f>AND('STERLING CATALOG - FZN &amp; CHILL'!J2036,"AAAAAC27vUQ=")</f>
        <v>#VALUE!</v>
      </c>
      <c r="BR332">
        <f>IF('STERLING CATALOG - FZN &amp; CHILL'!2037:2037,"AAAAAC27vUU=",0)</f>
        <v>0</v>
      </c>
      <c r="BS332" t="e">
        <f>AND('STERLING CATALOG - FZN &amp; CHILL'!A2037,"AAAAAC27vUY=")</f>
        <v>#VALUE!</v>
      </c>
      <c r="BT332" t="e">
        <f>AND('STERLING CATALOG - FZN &amp; CHILL'!B2037,"AAAAAC27vUc=")</f>
        <v>#VALUE!</v>
      </c>
      <c r="BU332" t="e">
        <f>AND('STERLING CATALOG - FZN &amp; CHILL'!C2037,"AAAAAC27vUg=")</f>
        <v>#VALUE!</v>
      </c>
      <c r="BV332" t="e">
        <f>AND('STERLING CATALOG - FZN &amp; CHILL'!D2037,"AAAAAC27vUk=")</f>
        <v>#VALUE!</v>
      </c>
      <c r="BW332" t="e">
        <f>AND('STERLING CATALOG - FZN &amp; CHILL'!E2037,"AAAAAC27vUo=")</f>
        <v>#VALUE!</v>
      </c>
      <c r="BX332" t="e">
        <f>AND('STERLING CATALOG - FZN &amp; CHILL'!F2037,"AAAAAC27vUs=")</f>
        <v>#VALUE!</v>
      </c>
      <c r="BY332" t="e">
        <f>AND('STERLING CATALOG - FZN &amp; CHILL'!G2037,"AAAAAC27vUw=")</f>
        <v>#VALUE!</v>
      </c>
      <c r="BZ332" t="e">
        <f>AND('STERLING CATALOG - FZN &amp; CHILL'!H2037,"AAAAAC27vU0=")</f>
        <v>#VALUE!</v>
      </c>
      <c r="CA332" t="e">
        <f>AND('STERLING CATALOG - FZN &amp; CHILL'!I2037,"AAAAAC27vU4=")</f>
        <v>#VALUE!</v>
      </c>
      <c r="CB332" t="e">
        <f>AND('STERLING CATALOG - FZN &amp; CHILL'!J2037,"AAAAAC27vU8=")</f>
        <v>#VALUE!</v>
      </c>
      <c r="CC332">
        <f>IF('STERLING CATALOG - FZN &amp; CHILL'!2038:2038,"AAAAAC27vVA=",0)</f>
        <v>0</v>
      </c>
      <c r="CD332" t="e">
        <f>AND('STERLING CATALOG - FZN &amp; CHILL'!A2038,"AAAAAC27vVE=")</f>
        <v>#VALUE!</v>
      </c>
      <c r="CE332" t="e">
        <f>AND('STERLING CATALOG - FZN &amp; CHILL'!B2038,"AAAAAC27vVI=")</f>
        <v>#VALUE!</v>
      </c>
      <c r="CF332" t="e">
        <f>AND('STERLING CATALOG - FZN &amp; CHILL'!C2038,"AAAAAC27vVM=")</f>
        <v>#VALUE!</v>
      </c>
      <c r="CG332" t="e">
        <f>AND('STERLING CATALOG - FZN &amp; CHILL'!D2038,"AAAAAC27vVQ=")</f>
        <v>#VALUE!</v>
      </c>
      <c r="CH332" t="e">
        <f>AND('STERLING CATALOG - FZN &amp; CHILL'!E2038,"AAAAAC27vVU=")</f>
        <v>#VALUE!</v>
      </c>
      <c r="CI332" t="e">
        <f>AND('STERLING CATALOG - FZN &amp; CHILL'!F2038,"AAAAAC27vVY=")</f>
        <v>#VALUE!</v>
      </c>
      <c r="CJ332" t="e">
        <f>AND('STERLING CATALOG - FZN &amp; CHILL'!G2038,"AAAAAC27vVc=")</f>
        <v>#VALUE!</v>
      </c>
      <c r="CK332" t="e">
        <f>AND('STERLING CATALOG - FZN &amp; CHILL'!H2038,"AAAAAC27vVg=")</f>
        <v>#VALUE!</v>
      </c>
      <c r="CL332" t="e">
        <f>AND('STERLING CATALOG - FZN &amp; CHILL'!I2038,"AAAAAC27vVk=")</f>
        <v>#VALUE!</v>
      </c>
      <c r="CM332" t="e">
        <f>AND('STERLING CATALOG - FZN &amp; CHILL'!J2038,"AAAAAC27vVo=")</f>
        <v>#VALUE!</v>
      </c>
      <c r="CN332">
        <f>IF('STERLING CATALOG - FZN &amp; CHILL'!2039:2039,"AAAAAC27vVs=",0)</f>
        <v>0</v>
      </c>
      <c r="CO332" t="e">
        <f>AND('STERLING CATALOG - FZN &amp; CHILL'!A2039,"AAAAAC27vVw=")</f>
        <v>#VALUE!</v>
      </c>
      <c r="CP332" t="e">
        <f>AND('STERLING CATALOG - FZN &amp; CHILL'!B2039,"AAAAAC27vV0=")</f>
        <v>#VALUE!</v>
      </c>
      <c r="CQ332" t="e">
        <f>AND('STERLING CATALOG - FZN &amp; CHILL'!C2039,"AAAAAC27vV4=")</f>
        <v>#VALUE!</v>
      </c>
      <c r="CR332" t="e">
        <f>AND('STERLING CATALOG - FZN &amp; CHILL'!D2039,"AAAAAC27vV8=")</f>
        <v>#VALUE!</v>
      </c>
      <c r="CS332" t="e">
        <f>AND('STERLING CATALOG - FZN &amp; CHILL'!E2039,"AAAAAC27vWA=")</f>
        <v>#VALUE!</v>
      </c>
      <c r="CT332" t="e">
        <f>AND('STERLING CATALOG - FZN &amp; CHILL'!F2039,"AAAAAC27vWE=")</f>
        <v>#VALUE!</v>
      </c>
      <c r="CU332" t="e">
        <f>AND('STERLING CATALOG - FZN &amp; CHILL'!G2039,"AAAAAC27vWI=")</f>
        <v>#VALUE!</v>
      </c>
      <c r="CV332" t="e">
        <f>AND('STERLING CATALOG - FZN &amp; CHILL'!H2039,"AAAAAC27vWM=")</f>
        <v>#VALUE!</v>
      </c>
      <c r="CW332" t="e">
        <f>AND('STERLING CATALOG - FZN &amp; CHILL'!I2039,"AAAAAC27vWQ=")</f>
        <v>#VALUE!</v>
      </c>
      <c r="CX332" t="e">
        <f>AND('STERLING CATALOG - FZN &amp; CHILL'!J2039,"AAAAAC27vWU=")</f>
        <v>#VALUE!</v>
      </c>
      <c r="CY332">
        <f>IF('STERLING CATALOG - FZN &amp; CHILL'!2040:2040,"AAAAAC27vWY=",0)</f>
        <v>0</v>
      </c>
      <c r="CZ332" t="e">
        <f>AND('STERLING CATALOG - FZN &amp; CHILL'!A2040,"AAAAAC27vWc=")</f>
        <v>#VALUE!</v>
      </c>
      <c r="DA332" t="e">
        <f>AND('STERLING CATALOG - FZN &amp; CHILL'!B2040,"AAAAAC27vWg=")</f>
        <v>#VALUE!</v>
      </c>
      <c r="DB332" t="e">
        <f>AND('STERLING CATALOG - FZN &amp; CHILL'!C2040,"AAAAAC27vWk=")</f>
        <v>#VALUE!</v>
      </c>
      <c r="DC332" t="e">
        <f>AND('STERLING CATALOG - FZN &amp; CHILL'!D2040,"AAAAAC27vWo=")</f>
        <v>#VALUE!</v>
      </c>
      <c r="DD332" t="e">
        <f>AND('STERLING CATALOG - FZN &amp; CHILL'!E2040,"AAAAAC27vWs=")</f>
        <v>#VALUE!</v>
      </c>
      <c r="DE332" t="e">
        <f>AND('STERLING CATALOG - FZN &amp; CHILL'!F2040,"AAAAAC27vWw=")</f>
        <v>#VALUE!</v>
      </c>
      <c r="DF332" t="e">
        <f>AND('STERLING CATALOG - FZN &amp; CHILL'!G2040,"AAAAAC27vW0=")</f>
        <v>#VALUE!</v>
      </c>
      <c r="DG332" t="e">
        <f>AND('STERLING CATALOG - FZN &amp; CHILL'!H2040,"AAAAAC27vW4=")</f>
        <v>#VALUE!</v>
      </c>
      <c r="DH332" t="e">
        <f>AND('STERLING CATALOG - FZN &amp; CHILL'!I2040,"AAAAAC27vW8=")</f>
        <v>#VALUE!</v>
      </c>
      <c r="DI332" t="e">
        <f>AND('STERLING CATALOG - FZN &amp; CHILL'!J2040,"AAAAAC27vXA=")</f>
        <v>#VALUE!</v>
      </c>
      <c r="DJ332">
        <f>IF('STERLING CATALOG - FZN &amp; CHILL'!2041:2041,"AAAAAC27vXE=",0)</f>
        <v>0</v>
      </c>
      <c r="DK332" t="e">
        <f>AND('STERLING CATALOG - FZN &amp; CHILL'!A2041,"AAAAAC27vXI=")</f>
        <v>#VALUE!</v>
      </c>
      <c r="DL332" t="e">
        <f>AND('STERLING CATALOG - FZN &amp; CHILL'!B2041,"AAAAAC27vXM=")</f>
        <v>#VALUE!</v>
      </c>
      <c r="DM332" t="e">
        <f>AND('STERLING CATALOG - FZN &amp; CHILL'!C2041,"AAAAAC27vXQ=")</f>
        <v>#VALUE!</v>
      </c>
      <c r="DN332" t="e">
        <f>AND('STERLING CATALOG - FZN &amp; CHILL'!D2041,"AAAAAC27vXU=")</f>
        <v>#VALUE!</v>
      </c>
      <c r="DO332" t="e">
        <f>AND('STERLING CATALOG - FZN &amp; CHILL'!E2041,"AAAAAC27vXY=")</f>
        <v>#VALUE!</v>
      </c>
      <c r="DP332" t="e">
        <f>AND('STERLING CATALOG - FZN &amp; CHILL'!F2041,"AAAAAC27vXc=")</f>
        <v>#VALUE!</v>
      </c>
      <c r="DQ332" t="e">
        <f>AND('STERLING CATALOG - FZN &amp; CHILL'!G2041,"AAAAAC27vXg=")</f>
        <v>#VALUE!</v>
      </c>
      <c r="DR332" t="e">
        <f>AND('STERLING CATALOG - FZN &amp; CHILL'!H2041,"AAAAAC27vXk=")</f>
        <v>#VALUE!</v>
      </c>
      <c r="DS332" t="e">
        <f>AND('STERLING CATALOG - FZN &amp; CHILL'!I2041,"AAAAAC27vXo=")</f>
        <v>#VALUE!</v>
      </c>
      <c r="DT332" t="e">
        <f>AND('STERLING CATALOG - FZN &amp; CHILL'!J2041,"AAAAAC27vXs=")</f>
        <v>#VALUE!</v>
      </c>
      <c r="DU332">
        <f>IF('STERLING CATALOG - FZN &amp; CHILL'!2042:2042,"AAAAAC27vXw=",0)</f>
        <v>0</v>
      </c>
      <c r="DV332" t="e">
        <f>AND('STERLING CATALOG - FZN &amp; CHILL'!A2042,"AAAAAC27vX0=")</f>
        <v>#VALUE!</v>
      </c>
      <c r="DW332" t="e">
        <f>AND('STERLING CATALOG - FZN &amp; CHILL'!B2042,"AAAAAC27vX4=")</f>
        <v>#VALUE!</v>
      </c>
      <c r="DX332" t="e">
        <f>AND('STERLING CATALOG - FZN &amp; CHILL'!C2042,"AAAAAC27vX8=")</f>
        <v>#VALUE!</v>
      </c>
      <c r="DY332" t="e">
        <f>AND('STERLING CATALOG - FZN &amp; CHILL'!D2042,"AAAAAC27vYA=")</f>
        <v>#VALUE!</v>
      </c>
      <c r="DZ332" t="e">
        <f>AND('STERLING CATALOG - FZN &amp; CHILL'!E2042,"AAAAAC27vYE=")</f>
        <v>#VALUE!</v>
      </c>
      <c r="EA332" t="e">
        <f>AND('STERLING CATALOG - FZN &amp; CHILL'!F2042,"AAAAAC27vYI=")</f>
        <v>#VALUE!</v>
      </c>
      <c r="EB332" t="e">
        <f>AND('STERLING CATALOG - FZN &amp; CHILL'!G2042,"AAAAAC27vYM=")</f>
        <v>#VALUE!</v>
      </c>
      <c r="EC332" t="e">
        <f>AND('STERLING CATALOG - FZN &amp; CHILL'!H2042,"AAAAAC27vYQ=")</f>
        <v>#VALUE!</v>
      </c>
      <c r="ED332" t="e">
        <f>AND('STERLING CATALOG - FZN &amp; CHILL'!I2042,"AAAAAC27vYU=")</f>
        <v>#VALUE!</v>
      </c>
      <c r="EE332" t="e">
        <f>AND('STERLING CATALOG - FZN &amp; CHILL'!J2042,"AAAAAC27vYY=")</f>
        <v>#VALUE!</v>
      </c>
      <c r="EF332">
        <f>IF('STERLING CATALOG - FZN &amp; CHILL'!2043:2043,"AAAAAC27vYc=",0)</f>
        <v>0</v>
      </c>
      <c r="EG332" t="e">
        <f>AND('STERLING CATALOG - FZN &amp; CHILL'!A2043,"AAAAAC27vYg=")</f>
        <v>#VALUE!</v>
      </c>
      <c r="EH332" t="e">
        <f>AND('STERLING CATALOG - FZN &amp; CHILL'!B2043,"AAAAAC27vYk=")</f>
        <v>#VALUE!</v>
      </c>
      <c r="EI332" t="e">
        <f>AND('STERLING CATALOG - FZN &amp; CHILL'!C2043,"AAAAAC27vYo=")</f>
        <v>#VALUE!</v>
      </c>
      <c r="EJ332" t="e">
        <f>AND('STERLING CATALOG - FZN &amp; CHILL'!D2043,"AAAAAC27vYs=")</f>
        <v>#VALUE!</v>
      </c>
      <c r="EK332" t="e">
        <f>AND('STERLING CATALOG - FZN &amp; CHILL'!E2043,"AAAAAC27vYw=")</f>
        <v>#VALUE!</v>
      </c>
      <c r="EL332" t="e">
        <f>AND('STERLING CATALOG - FZN &amp; CHILL'!F2043,"AAAAAC27vY0=")</f>
        <v>#VALUE!</v>
      </c>
      <c r="EM332" t="e">
        <f>AND('STERLING CATALOG - FZN &amp; CHILL'!G2043,"AAAAAC27vY4=")</f>
        <v>#VALUE!</v>
      </c>
      <c r="EN332" t="e">
        <f>AND('STERLING CATALOG - FZN &amp; CHILL'!H2043,"AAAAAC27vY8=")</f>
        <v>#VALUE!</v>
      </c>
      <c r="EO332" t="e">
        <f>AND('STERLING CATALOG - FZN &amp; CHILL'!I2043,"AAAAAC27vZA=")</f>
        <v>#VALUE!</v>
      </c>
      <c r="EP332" t="e">
        <f>AND('STERLING CATALOG - FZN &amp; CHILL'!J2043,"AAAAAC27vZE=")</f>
        <v>#VALUE!</v>
      </c>
      <c r="EQ332">
        <f>IF('STERLING CATALOG - FZN &amp; CHILL'!2044:2044,"AAAAAC27vZI=",0)</f>
        <v>0</v>
      </c>
      <c r="ER332" t="e">
        <f>AND('STERLING CATALOG - FZN &amp; CHILL'!A2044,"AAAAAC27vZM=")</f>
        <v>#VALUE!</v>
      </c>
      <c r="ES332" t="e">
        <f>AND('STERLING CATALOG - FZN &amp; CHILL'!B2044,"AAAAAC27vZQ=")</f>
        <v>#VALUE!</v>
      </c>
      <c r="ET332" t="e">
        <f>AND('STERLING CATALOG - FZN &amp; CHILL'!C2044,"AAAAAC27vZU=")</f>
        <v>#VALUE!</v>
      </c>
      <c r="EU332" t="e">
        <f>AND('STERLING CATALOG - FZN &amp; CHILL'!D2044,"AAAAAC27vZY=")</f>
        <v>#VALUE!</v>
      </c>
      <c r="EV332" t="e">
        <f>AND('STERLING CATALOG - FZN &amp; CHILL'!E2044,"AAAAAC27vZc=")</f>
        <v>#VALUE!</v>
      </c>
      <c r="EW332" t="e">
        <f>AND('STERLING CATALOG - FZN &amp; CHILL'!F2044,"AAAAAC27vZg=")</f>
        <v>#VALUE!</v>
      </c>
      <c r="EX332" t="e">
        <f>AND('STERLING CATALOG - FZN &amp; CHILL'!G2044,"AAAAAC27vZk=")</f>
        <v>#VALUE!</v>
      </c>
      <c r="EY332" t="e">
        <f>AND('STERLING CATALOG - FZN &amp; CHILL'!H2044,"AAAAAC27vZo=")</f>
        <v>#VALUE!</v>
      </c>
      <c r="EZ332" t="e">
        <f>AND('STERLING CATALOG - FZN &amp; CHILL'!I2044,"AAAAAC27vZs=")</f>
        <v>#VALUE!</v>
      </c>
      <c r="FA332" t="e">
        <f>AND('STERLING CATALOG - FZN &amp; CHILL'!J2044,"AAAAAC27vZw=")</f>
        <v>#VALUE!</v>
      </c>
      <c r="FB332">
        <f>IF('STERLING CATALOG - FZN &amp; CHILL'!2045:2045,"AAAAAC27vZ0=",0)</f>
        <v>0</v>
      </c>
      <c r="FC332" t="e">
        <f>AND('STERLING CATALOG - FZN &amp; CHILL'!A2045,"AAAAAC27vZ4=")</f>
        <v>#VALUE!</v>
      </c>
      <c r="FD332" t="e">
        <f>AND('STERLING CATALOG - FZN &amp; CHILL'!B2045,"AAAAAC27vZ8=")</f>
        <v>#VALUE!</v>
      </c>
      <c r="FE332" t="e">
        <f>AND('STERLING CATALOG - FZN &amp; CHILL'!C2045,"AAAAAC27vaA=")</f>
        <v>#VALUE!</v>
      </c>
      <c r="FF332" t="e">
        <f>AND('STERLING CATALOG - FZN &amp; CHILL'!D2045,"AAAAAC27vaE=")</f>
        <v>#VALUE!</v>
      </c>
      <c r="FG332" t="e">
        <f>AND('STERLING CATALOG - FZN &amp; CHILL'!E2045,"AAAAAC27vaI=")</f>
        <v>#VALUE!</v>
      </c>
      <c r="FH332" t="e">
        <f>AND('STERLING CATALOG - FZN &amp; CHILL'!F2045,"AAAAAC27vaM=")</f>
        <v>#VALUE!</v>
      </c>
      <c r="FI332" t="e">
        <f>AND('STERLING CATALOG - FZN &amp; CHILL'!G2045,"AAAAAC27vaQ=")</f>
        <v>#VALUE!</v>
      </c>
      <c r="FJ332" t="e">
        <f>AND('STERLING CATALOG - FZN &amp; CHILL'!H2045,"AAAAAC27vaU=")</f>
        <v>#VALUE!</v>
      </c>
      <c r="FK332" t="e">
        <f>AND('STERLING CATALOG - FZN &amp; CHILL'!I2045,"AAAAAC27vaY=")</f>
        <v>#VALUE!</v>
      </c>
      <c r="FL332" t="e">
        <f>AND('STERLING CATALOG - FZN &amp; CHILL'!J2045,"AAAAAC27vac=")</f>
        <v>#VALUE!</v>
      </c>
      <c r="FM332">
        <f>IF('STERLING CATALOG - FZN &amp; CHILL'!2046:2046,"AAAAAC27vag=",0)</f>
        <v>0</v>
      </c>
      <c r="FN332" t="e">
        <f>AND('STERLING CATALOG - FZN &amp; CHILL'!A2046,"AAAAAC27vak=")</f>
        <v>#VALUE!</v>
      </c>
      <c r="FO332" t="e">
        <f>AND('STERLING CATALOG - FZN &amp; CHILL'!B2046,"AAAAAC27vao=")</f>
        <v>#VALUE!</v>
      </c>
      <c r="FP332" t="e">
        <f>AND('STERLING CATALOG - FZN &amp; CHILL'!C2046,"AAAAAC27vas=")</f>
        <v>#VALUE!</v>
      </c>
      <c r="FQ332" t="e">
        <f>AND('STERLING CATALOG - FZN &amp; CHILL'!D2046,"AAAAAC27vaw=")</f>
        <v>#VALUE!</v>
      </c>
      <c r="FR332" t="e">
        <f>AND('STERLING CATALOG - FZN &amp; CHILL'!E2046,"AAAAAC27va0=")</f>
        <v>#VALUE!</v>
      </c>
      <c r="FS332" t="e">
        <f>AND('STERLING CATALOG - FZN &amp; CHILL'!F2046,"AAAAAC27va4=")</f>
        <v>#VALUE!</v>
      </c>
      <c r="FT332" t="e">
        <f>AND('STERLING CATALOG - FZN &amp; CHILL'!G2046,"AAAAAC27va8=")</f>
        <v>#VALUE!</v>
      </c>
      <c r="FU332" t="e">
        <f>AND('STERLING CATALOG - FZN &amp; CHILL'!H2046,"AAAAAC27vbA=")</f>
        <v>#VALUE!</v>
      </c>
      <c r="FV332" t="e">
        <f>AND('STERLING CATALOG - FZN &amp; CHILL'!I2046,"AAAAAC27vbE=")</f>
        <v>#VALUE!</v>
      </c>
      <c r="FW332" t="e">
        <f>AND('STERLING CATALOG - FZN &amp; CHILL'!J2046,"AAAAAC27vbI=")</f>
        <v>#VALUE!</v>
      </c>
      <c r="FX332">
        <f>IF('STERLING CATALOG - FZN &amp; CHILL'!2047:2047,"AAAAAC27vbM=",0)</f>
        <v>0</v>
      </c>
      <c r="FY332" t="e">
        <f>AND('STERLING CATALOG - FZN &amp; CHILL'!A2047,"AAAAAC27vbQ=")</f>
        <v>#VALUE!</v>
      </c>
      <c r="FZ332" t="e">
        <f>AND('STERLING CATALOG - FZN &amp; CHILL'!B2047,"AAAAAC27vbU=")</f>
        <v>#VALUE!</v>
      </c>
      <c r="GA332" t="e">
        <f>AND('STERLING CATALOG - FZN &amp; CHILL'!C2047,"AAAAAC27vbY=")</f>
        <v>#VALUE!</v>
      </c>
      <c r="GB332" t="e">
        <f>AND('STERLING CATALOG - FZN &amp; CHILL'!D2047,"AAAAAC27vbc=")</f>
        <v>#VALUE!</v>
      </c>
      <c r="GC332" t="e">
        <f>AND('STERLING CATALOG - FZN &amp; CHILL'!E2047,"AAAAAC27vbg=")</f>
        <v>#VALUE!</v>
      </c>
      <c r="GD332" t="e">
        <f>AND('STERLING CATALOG - FZN &amp; CHILL'!F2047,"AAAAAC27vbk=")</f>
        <v>#VALUE!</v>
      </c>
      <c r="GE332" t="e">
        <f>AND('STERLING CATALOG - FZN &amp; CHILL'!G2047,"AAAAAC27vbo=")</f>
        <v>#VALUE!</v>
      </c>
      <c r="GF332" t="e">
        <f>AND('STERLING CATALOG - FZN &amp; CHILL'!H2047,"AAAAAC27vbs=")</f>
        <v>#VALUE!</v>
      </c>
      <c r="GG332" t="e">
        <f>AND('STERLING CATALOG - FZN &amp; CHILL'!I2047,"AAAAAC27vbw=")</f>
        <v>#VALUE!</v>
      </c>
      <c r="GH332" t="e">
        <f>AND('STERLING CATALOG - FZN &amp; CHILL'!J2047,"AAAAAC27vb0=")</f>
        <v>#VALUE!</v>
      </c>
      <c r="GI332">
        <f>IF('STERLING CATALOG - FZN &amp; CHILL'!2048:2048,"AAAAAC27vb4=",0)</f>
        <v>0</v>
      </c>
      <c r="GJ332" t="e">
        <f>AND('STERLING CATALOG - FZN &amp; CHILL'!A2048,"AAAAAC27vb8=")</f>
        <v>#VALUE!</v>
      </c>
      <c r="GK332" t="e">
        <f>AND('STERLING CATALOG - FZN &amp; CHILL'!B2048,"AAAAAC27vcA=")</f>
        <v>#VALUE!</v>
      </c>
      <c r="GL332" t="e">
        <f>AND('STERLING CATALOG - FZN &amp; CHILL'!C2048,"AAAAAC27vcE=")</f>
        <v>#VALUE!</v>
      </c>
      <c r="GM332" t="e">
        <f>AND('STERLING CATALOG - FZN &amp; CHILL'!D2048,"AAAAAC27vcI=")</f>
        <v>#VALUE!</v>
      </c>
      <c r="GN332" t="e">
        <f>AND('STERLING CATALOG - FZN &amp; CHILL'!E2048,"AAAAAC27vcM=")</f>
        <v>#VALUE!</v>
      </c>
      <c r="GO332" t="e">
        <f>AND('STERLING CATALOG - FZN &amp; CHILL'!F2048,"AAAAAC27vcQ=")</f>
        <v>#VALUE!</v>
      </c>
      <c r="GP332" t="e">
        <f>AND('STERLING CATALOG - FZN &amp; CHILL'!G2048,"AAAAAC27vcU=")</f>
        <v>#VALUE!</v>
      </c>
      <c r="GQ332" t="e">
        <f>AND('STERLING CATALOG - FZN &amp; CHILL'!H2048,"AAAAAC27vcY=")</f>
        <v>#VALUE!</v>
      </c>
      <c r="GR332" t="e">
        <f>AND('STERLING CATALOG - FZN &amp; CHILL'!I2048,"AAAAAC27vcc=")</f>
        <v>#VALUE!</v>
      </c>
      <c r="GS332" t="e">
        <f>AND('STERLING CATALOG - FZN &amp; CHILL'!J2048,"AAAAAC27vcg=")</f>
        <v>#VALUE!</v>
      </c>
      <c r="GT332">
        <f>IF('STERLING CATALOG - FZN &amp; CHILL'!2049:2049,"AAAAAC27vck=",0)</f>
        <v>0</v>
      </c>
      <c r="GU332" t="e">
        <f>AND('STERLING CATALOG - FZN &amp; CHILL'!A2049,"AAAAAC27vco=")</f>
        <v>#VALUE!</v>
      </c>
      <c r="GV332" t="e">
        <f>AND('STERLING CATALOG - FZN &amp; CHILL'!B2049,"AAAAAC27vcs=")</f>
        <v>#VALUE!</v>
      </c>
      <c r="GW332" t="e">
        <f>AND('STERLING CATALOG - FZN &amp; CHILL'!C2049,"AAAAAC27vcw=")</f>
        <v>#VALUE!</v>
      </c>
      <c r="GX332" t="e">
        <f>AND('STERLING CATALOG - FZN &amp; CHILL'!D2049,"AAAAAC27vc0=")</f>
        <v>#VALUE!</v>
      </c>
      <c r="GY332" t="e">
        <f>AND('STERLING CATALOG - FZN &amp; CHILL'!E2049,"AAAAAC27vc4=")</f>
        <v>#VALUE!</v>
      </c>
      <c r="GZ332" t="e">
        <f>AND('STERLING CATALOG - FZN &amp; CHILL'!F2049,"AAAAAC27vc8=")</f>
        <v>#VALUE!</v>
      </c>
      <c r="HA332" t="e">
        <f>AND('STERLING CATALOG - FZN &amp; CHILL'!G2049,"AAAAAC27vdA=")</f>
        <v>#VALUE!</v>
      </c>
      <c r="HB332" t="e">
        <f>AND('STERLING CATALOG - FZN &amp; CHILL'!H2049,"AAAAAC27vdE=")</f>
        <v>#VALUE!</v>
      </c>
      <c r="HC332" t="e">
        <f>AND('STERLING CATALOG - FZN &amp; CHILL'!I2049,"AAAAAC27vdI=")</f>
        <v>#VALUE!</v>
      </c>
      <c r="HD332" t="e">
        <f>AND('STERLING CATALOG - FZN &amp; CHILL'!J2049,"AAAAAC27vdM=")</f>
        <v>#VALUE!</v>
      </c>
      <c r="HE332">
        <f>IF('STERLING CATALOG - FZN &amp; CHILL'!2050:2050,"AAAAAC27vdQ=",0)</f>
        <v>0</v>
      </c>
      <c r="HF332" t="e">
        <f>AND('STERLING CATALOG - FZN &amp; CHILL'!A2050,"AAAAAC27vdU=")</f>
        <v>#VALUE!</v>
      </c>
      <c r="HG332" t="e">
        <f>AND('STERLING CATALOG - FZN &amp; CHILL'!B2050,"AAAAAC27vdY=")</f>
        <v>#VALUE!</v>
      </c>
      <c r="HH332" t="e">
        <f>AND('STERLING CATALOG - FZN &amp; CHILL'!C2050,"AAAAAC27vdc=")</f>
        <v>#VALUE!</v>
      </c>
      <c r="HI332" t="e">
        <f>AND('STERLING CATALOG - FZN &amp; CHILL'!D2050,"AAAAAC27vdg=")</f>
        <v>#VALUE!</v>
      </c>
      <c r="HJ332" t="e">
        <f>AND('STERLING CATALOG - FZN &amp; CHILL'!E2050,"AAAAAC27vdk=")</f>
        <v>#VALUE!</v>
      </c>
      <c r="HK332" t="e">
        <f>AND('STERLING CATALOG - FZN &amp; CHILL'!F2050,"AAAAAC27vdo=")</f>
        <v>#VALUE!</v>
      </c>
      <c r="HL332" t="e">
        <f>AND('STERLING CATALOG - FZN &amp; CHILL'!G2050,"AAAAAC27vds=")</f>
        <v>#VALUE!</v>
      </c>
      <c r="HM332" t="e">
        <f>AND('STERLING CATALOG - FZN &amp; CHILL'!H2050,"AAAAAC27vdw=")</f>
        <v>#VALUE!</v>
      </c>
      <c r="HN332" t="e">
        <f>AND('STERLING CATALOG - FZN &amp; CHILL'!I2050,"AAAAAC27vd0=")</f>
        <v>#VALUE!</v>
      </c>
      <c r="HO332" t="e">
        <f>AND('STERLING CATALOG - FZN &amp; CHILL'!J2050,"AAAAAC27vd4=")</f>
        <v>#VALUE!</v>
      </c>
      <c r="HP332">
        <f>IF('STERLING CATALOG - FZN &amp; CHILL'!2051:2051,"AAAAAC27vd8=",0)</f>
        <v>0</v>
      </c>
      <c r="HQ332" t="e">
        <f>AND('STERLING CATALOG - FZN &amp; CHILL'!A2051,"AAAAAC27veA=")</f>
        <v>#VALUE!</v>
      </c>
      <c r="HR332" t="e">
        <f>AND('STERLING CATALOG - FZN &amp; CHILL'!B2051,"AAAAAC27veE=")</f>
        <v>#VALUE!</v>
      </c>
      <c r="HS332" t="e">
        <f>AND('STERLING CATALOG - FZN &amp; CHILL'!C2051,"AAAAAC27veI=")</f>
        <v>#VALUE!</v>
      </c>
      <c r="HT332" t="e">
        <f>AND('STERLING CATALOG - FZN &amp; CHILL'!D2051,"AAAAAC27veM=")</f>
        <v>#VALUE!</v>
      </c>
      <c r="HU332" t="e">
        <f>AND('STERLING CATALOG - FZN &amp; CHILL'!E2051,"AAAAAC27veQ=")</f>
        <v>#VALUE!</v>
      </c>
      <c r="HV332" t="e">
        <f>AND('STERLING CATALOG - FZN &amp; CHILL'!F2051,"AAAAAC27veU=")</f>
        <v>#VALUE!</v>
      </c>
      <c r="HW332" t="e">
        <f>AND('STERLING CATALOG - FZN &amp; CHILL'!G2051,"AAAAAC27veY=")</f>
        <v>#VALUE!</v>
      </c>
      <c r="HX332" t="e">
        <f>AND('STERLING CATALOG - FZN &amp; CHILL'!H2051,"AAAAAC27vec=")</f>
        <v>#VALUE!</v>
      </c>
      <c r="HY332" t="e">
        <f>AND('STERLING CATALOG - FZN &amp; CHILL'!I2051,"AAAAAC27veg=")</f>
        <v>#VALUE!</v>
      </c>
      <c r="HZ332" t="e">
        <f>AND('STERLING CATALOG - FZN &amp; CHILL'!J2051,"AAAAAC27vek=")</f>
        <v>#VALUE!</v>
      </c>
      <c r="IA332">
        <f>IF('STERLING CATALOG - FZN &amp; CHILL'!2052:2052,"AAAAAC27veo=",0)</f>
        <v>0</v>
      </c>
      <c r="IB332" t="e">
        <f>AND('STERLING CATALOG - FZN &amp; CHILL'!A2052,"AAAAAC27ves=")</f>
        <v>#VALUE!</v>
      </c>
      <c r="IC332" t="e">
        <f>AND('STERLING CATALOG - FZN &amp; CHILL'!B2052,"AAAAAC27vew=")</f>
        <v>#VALUE!</v>
      </c>
      <c r="ID332" t="e">
        <f>AND('STERLING CATALOG - FZN &amp; CHILL'!C2052,"AAAAAC27ve0=")</f>
        <v>#VALUE!</v>
      </c>
      <c r="IE332" t="e">
        <f>AND('STERLING CATALOG - FZN &amp; CHILL'!D2052,"AAAAAC27ve4=")</f>
        <v>#VALUE!</v>
      </c>
      <c r="IF332" t="e">
        <f>AND('STERLING CATALOG - FZN &amp; CHILL'!E2052,"AAAAAC27ve8=")</f>
        <v>#VALUE!</v>
      </c>
      <c r="IG332" t="e">
        <f>AND('STERLING CATALOG - FZN &amp; CHILL'!F2052,"AAAAAC27vfA=")</f>
        <v>#VALUE!</v>
      </c>
      <c r="IH332" t="e">
        <f>AND('STERLING CATALOG - FZN &amp; CHILL'!G2052,"AAAAAC27vfE=")</f>
        <v>#VALUE!</v>
      </c>
      <c r="II332" t="e">
        <f>AND('STERLING CATALOG - FZN &amp; CHILL'!H2052,"AAAAAC27vfI=")</f>
        <v>#VALUE!</v>
      </c>
      <c r="IJ332" t="e">
        <f>AND('STERLING CATALOG - FZN &amp; CHILL'!I2052,"AAAAAC27vfM=")</f>
        <v>#VALUE!</v>
      </c>
      <c r="IK332" t="e">
        <f>AND('STERLING CATALOG - FZN &amp; CHILL'!J2052,"AAAAAC27vfQ=")</f>
        <v>#VALUE!</v>
      </c>
      <c r="IL332">
        <f>IF('STERLING CATALOG - FZN &amp; CHILL'!2053:2053,"AAAAAC27vfU=",0)</f>
        <v>0</v>
      </c>
      <c r="IM332" t="e">
        <f>AND('STERLING CATALOG - FZN &amp; CHILL'!A2053,"AAAAAC27vfY=")</f>
        <v>#VALUE!</v>
      </c>
      <c r="IN332" t="e">
        <f>AND('STERLING CATALOG - FZN &amp; CHILL'!B2053,"AAAAAC27vfc=")</f>
        <v>#VALUE!</v>
      </c>
      <c r="IO332" t="e">
        <f>AND('STERLING CATALOG - FZN &amp; CHILL'!C2053,"AAAAAC27vfg=")</f>
        <v>#VALUE!</v>
      </c>
      <c r="IP332" t="e">
        <f>AND('STERLING CATALOG - FZN &amp; CHILL'!D2053,"AAAAAC27vfk=")</f>
        <v>#VALUE!</v>
      </c>
      <c r="IQ332" t="e">
        <f>AND('STERLING CATALOG - FZN &amp; CHILL'!E2053,"AAAAAC27vfo=")</f>
        <v>#VALUE!</v>
      </c>
      <c r="IR332" t="e">
        <f>AND('STERLING CATALOG - FZN &amp; CHILL'!F2053,"AAAAAC27vfs=")</f>
        <v>#VALUE!</v>
      </c>
      <c r="IS332" t="e">
        <f>AND('STERLING CATALOG - FZN &amp; CHILL'!G2053,"AAAAAC27vfw=")</f>
        <v>#VALUE!</v>
      </c>
      <c r="IT332" t="e">
        <f>AND('STERLING CATALOG - FZN &amp; CHILL'!H2053,"AAAAAC27vf0=")</f>
        <v>#VALUE!</v>
      </c>
      <c r="IU332" t="e">
        <f>AND('STERLING CATALOG - FZN &amp; CHILL'!I2053,"AAAAAC27vf4=")</f>
        <v>#VALUE!</v>
      </c>
      <c r="IV332" t="e">
        <f>AND('STERLING CATALOG - FZN &amp; CHILL'!J2053,"AAAAAC27vf8=")</f>
        <v>#VALUE!</v>
      </c>
    </row>
    <row r="333" spans="1:256">
      <c r="A333" t="str">
        <f>IF('STERLING CATALOG - FZN &amp; CHILL'!2054:2054,"AAAAADJWHQA=",0)</f>
        <v>AAAAADJWHQA=</v>
      </c>
      <c r="B333" t="e">
        <f>AND('STERLING CATALOG - FZN &amp; CHILL'!A2054,"AAAAADJWHQE=")</f>
        <v>#VALUE!</v>
      </c>
      <c r="C333" t="e">
        <f>AND('STERLING CATALOG - FZN &amp; CHILL'!B2054,"AAAAADJWHQI=")</f>
        <v>#VALUE!</v>
      </c>
      <c r="D333" t="e">
        <f>AND('STERLING CATALOG - FZN &amp; CHILL'!C2054,"AAAAADJWHQM=")</f>
        <v>#VALUE!</v>
      </c>
      <c r="E333" t="e">
        <f>AND('STERLING CATALOG - FZN &amp; CHILL'!D2054,"AAAAADJWHQQ=")</f>
        <v>#VALUE!</v>
      </c>
      <c r="F333" t="e">
        <f>AND('STERLING CATALOG - FZN &amp; CHILL'!E2054,"AAAAADJWHQU=")</f>
        <v>#VALUE!</v>
      </c>
      <c r="G333" t="e">
        <f>AND('STERLING CATALOG - FZN &amp; CHILL'!F2054,"AAAAADJWHQY=")</f>
        <v>#VALUE!</v>
      </c>
      <c r="H333" t="e">
        <f>AND('STERLING CATALOG - FZN &amp; CHILL'!G2054,"AAAAADJWHQc=")</f>
        <v>#VALUE!</v>
      </c>
      <c r="I333" t="e">
        <f>AND('STERLING CATALOG - FZN &amp; CHILL'!H2054,"AAAAADJWHQg=")</f>
        <v>#VALUE!</v>
      </c>
      <c r="J333" t="e">
        <f>AND('STERLING CATALOG - FZN &amp; CHILL'!I2054,"AAAAADJWHQk=")</f>
        <v>#VALUE!</v>
      </c>
      <c r="K333" t="e">
        <f>AND('STERLING CATALOG - FZN &amp; CHILL'!J2054,"AAAAADJWHQo=")</f>
        <v>#VALUE!</v>
      </c>
      <c r="L333">
        <f>IF('STERLING CATALOG - FZN &amp; CHILL'!2055:2055,"AAAAADJWHQs=",0)</f>
        <v>0</v>
      </c>
      <c r="M333" t="e">
        <f>AND('STERLING CATALOG - FZN &amp; CHILL'!A2055,"AAAAADJWHQw=")</f>
        <v>#VALUE!</v>
      </c>
      <c r="N333" t="e">
        <f>AND('STERLING CATALOG - FZN &amp; CHILL'!B2055,"AAAAADJWHQ0=")</f>
        <v>#VALUE!</v>
      </c>
      <c r="O333" t="e">
        <f>AND('STERLING CATALOG - FZN &amp; CHILL'!C2055,"AAAAADJWHQ4=")</f>
        <v>#VALUE!</v>
      </c>
      <c r="P333" t="e">
        <f>AND('STERLING CATALOG - FZN &amp; CHILL'!D2055,"AAAAADJWHQ8=")</f>
        <v>#VALUE!</v>
      </c>
      <c r="Q333" t="e">
        <f>AND('STERLING CATALOG - FZN &amp; CHILL'!E2055,"AAAAADJWHRA=")</f>
        <v>#VALUE!</v>
      </c>
      <c r="R333" t="e">
        <f>AND('STERLING CATALOG - FZN &amp; CHILL'!F2055,"AAAAADJWHRE=")</f>
        <v>#VALUE!</v>
      </c>
      <c r="S333" t="e">
        <f>AND('STERLING CATALOG - FZN &amp; CHILL'!G2055,"AAAAADJWHRI=")</f>
        <v>#VALUE!</v>
      </c>
      <c r="T333" t="e">
        <f>AND('STERLING CATALOG - FZN &amp; CHILL'!H2055,"AAAAADJWHRM=")</f>
        <v>#VALUE!</v>
      </c>
      <c r="U333" t="e">
        <f>AND('STERLING CATALOG - FZN &amp; CHILL'!I2055,"AAAAADJWHRQ=")</f>
        <v>#VALUE!</v>
      </c>
      <c r="V333" t="e">
        <f>AND('STERLING CATALOG - FZN &amp; CHILL'!J2055,"AAAAADJWHRU=")</f>
        <v>#VALUE!</v>
      </c>
      <c r="W333">
        <f>IF('STERLING CATALOG - FZN &amp; CHILL'!2056:2056,"AAAAADJWHRY=",0)</f>
        <v>0</v>
      </c>
      <c r="X333" t="e">
        <f>AND('STERLING CATALOG - FZN &amp; CHILL'!A2056,"AAAAADJWHRc=")</f>
        <v>#VALUE!</v>
      </c>
      <c r="Y333" t="e">
        <f>AND('STERLING CATALOG - FZN &amp; CHILL'!B2056,"AAAAADJWHRg=")</f>
        <v>#VALUE!</v>
      </c>
      <c r="Z333" t="e">
        <f>AND('STERLING CATALOG - FZN &amp; CHILL'!C2056,"AAAAADJWHRk=")</f>
        <v>#VALUE!</v>
      </c>
      <c r="AA333" t="e">
        <f>AND('STERLING CATALOG - FZN &amp; CHILL'!D2056,"AAAAADJWHRo=")</f>
        <v>#VALUE!</v>
      </c>
      <c r="AB333" t="e">
        <f>AND('STERLING CATALOG - FZN &amp; CHILL'!E2056,"AAAAADJWHRs=")</f>
        <v>#VALUE!</v>
      </c>
      <c r="AC333" t="e">
        <f>AND('STERLING CATALOG - FZN &amp; CHILL'!F2056,"AAAAADJWHRw=")</f>
        <v>#VALUE!</v>
      </c>
      <c r="AD333" t="e">
        <f>AND('STERLING CATALOG - FZN &amp; CHILL'!G2056,"AAAAADJWHR0=")</f>
        <v>#VALUE!</v>
      </c>
      <c r="AE333" t="e">
        <f>AND('STERLING CATALOG - FZN &amp; CHILL'!H2056,"AAAAADJWHR4=")</f>
        <v>#VALUE!</v>
      </c>
      <c r="AF333" t="e">
        <f>AND('STERLING CATALOG - FZN &amp; CHILL'!I2056,"AAAAADJWHR8=")</f>
        <v>#VALUE!</v>
      </c>
      <c r="AG333" t="e">
        <f>AND('STERLING CATALOG - FZN &amp; CHILL'!J2056,"AAAAADJWHSA=")</f>
        <v>#VALUE!</v>
      </c>
      <c r="AH333">
        <f>IF('STERLING CATALOG - FZN &amp; CHILL'!2057:2057,"AAAAADJWHSE=",0)</f>
        <v>0</v>
      </c>
      <c r="AI333" t="e">
        <f>AND('STERLING CATALOG - FZN &amp; CHILL'!A2057,"AAAAADJWHSI=")</f>
        <v>#VALUE!</v>
      </c>
      <c r="AJ333" t="e">
        <f>AND('STERLING CATALOG - FZN &amp; CHILL'!B2057,"AAAAADJWHSM=")</f>
        <v>#VALUE!</v>
      </c>
      <c r="AK333" t="e">
        <f>AND('STERLING CATALOG - FZN &amp; CHILL'!C2057,"AAAAADJWHSQ=")</f>
        <v>#VALUE!</v>
      </c>
      <c r="AL333" t="e">
        <f>AND('STERLING CATALOG - FZN &amp; CHILL'!D2057,"AAAAADJWHSU=")</f>
        <v>#VALUE!</v>
      </c>
      <c r="AM333" t="e">
        <f>AND('STERLING CATALOG - FZN &amp; CHILL'!E2057,"AAAAADJWHSY=")</f>
        <v>#VALUE!</v>
      </c>
      <c r="AN333" t="e">
        <f>AND('STERLING CATALOG - FZN &amp; CHILL'!F2057,"AAAAADJWHSc=")</f>
        <v>#VALUE!</v>
      </c>
      <c r="AO333" t="e">
        <f>AND('STERLING CATALOG - FZN &amp; CHILL'!G2057,"AAAAADJWHSg=")</f>
        <v>#VALUE!</v>
      </c>
      <c r="AP333" t="e">
        <f>AND('STERLING CATALOG - FZN &amp; CHILL'!H2057,"AAAAADJWHSk=")</f>
        <v>#VALUE!</v>
      </c>
      <c r="AQ333" t="e">
        <f>AND('STERLING CATALOG - FZN &amp; CHILL'!I2057,"AAAAADJWHSo=")</f>
        <v>#VALUE!</v>
      </c>
      <c r="AR333" t="e">
        <f>AND('STERLING CATALOG - FZN &amp; CHILL'!J2057,"AAAAADJWHSs=")</f>
        <v>#VALUE!</v>
      </c>
      <c r="AS333">
        <f>IF('STERLING CATALOG - FZN &amp; CHILL'!2058:2058,"AAAAADJWHSw=",0)</f>
        <v>0</v>
      </c>
      <c r="AT333" t="e">
        <f>AND('STERLING CATALOG - FZN &amp; CHILL'!A2058,"AAAAADJWHS0=")</f>
        <v>#VALUE!</v>
      </c>
      <c r="AU333" t="e">
        <f>AND('STERLING CATALOG - FZN &amp; CHILL'!B2058,"AAAAADJWHS4=")</f>
        <v>#VALUE!</v>
      </c>
      <c r="AV333" t="e">
        <f>AND('STERLING CATALOG - FZN &amp; CHILL'!C2058,"AAAAADJWHS8=")</f>
        <v>#VALUE!</v>
      </c>
      <c r="AW333" t="e">
        <f>AND('STERLING CATALOG - FZN &amp; CHILL'!D2058,"AAAAADJWHTA=")</f>
        <v>#VALUE!</v>
      </c>
      <c r="AX333" t="e">
        <f>AND('STERLING CATALOG - FZN &amp; CHILL'!E2058,"AAAAADJWHTE=")</f>
        <v>#VALUE!</v>
      </c>
      <c r="AY333" t="e">
        <f>AND('STERLING CATALOG - FZN &amp; CHILL'!F2058,"AAAAADJWHTI=")</f>
        <v>#VALUE!</v>
      </c>
      <c r="AZ333" t="e">
        <f>AND('STERLING CATALOG - FZN &amp; CHILL'!G2058,"AAAAADJWHTM=")</f>
        <v>#VALUE!</v>
      </c>
      <c r="BA333" t="e">
        <f>AND('STERLING CATALOG - FZN &amp; CHILL'!H2058,"AAAAADJWHTQ=")</f>
        <v>#VALUE!</v>
      </c>
      <c r="BB333" t="e">
        <f>AND('STERLING CATALOG - FZN &amp; CHILL'!I2058,"AAAAADJWHTU=")</f>
        <v>#VALUE!</v>
      </c>
      <c r="BC333" t="e">
        <f>AND('STERLING CATALOG - FZN &amp; CHILL'!J2058,"AAAAADJWHTY=")</f>
        <v>#VALUE!</v>
      </c>
      <c r="BD333">
        <f>IF('STERLING CATALOG - FZN &amp; CHILL'!2059:2059,"AAAAADJWHTc=",0)</f>
        <v>0</v>
      </c>
      <c r="BE333" t="e">
        <f>AND('STERLING CATALOG - FZN &amp; CHILL'!A2059,"AAAAADJWHTg=")</f>
        <v>#VALUE!</v>
      </c>
      <c r="BF333" t="e">
        <f>AND('STERLING CATALOG - FZN &amp; CHILL'!B2059,"AAAAADJWHTk=")</f>
        <v>#VALUE!</v>
      </c>
      <c r="BG333" t="e">
        <f>AND('STERLING CATALOG - FZN &amp; CHILL'!C2059,"AAAAADJWHTo=")</f>
        <v>#VALUE!</v>
      </c>
      <c r="BH333" t="e">
        <f>AND('STERLING CATALOG - FZN &amp; CHILL'!D2059,"AAAAADJWHTs=")</f>
        <v>#VALUE!</v>
      </c>
      <c r="BI333" t="e">
        <f>AND('STERLING CATALOG - FZN &amp; CHILL'!E2059,"AAAAADJWHTw=")</f>
        <v>#VALUE!</v>
      </c>
      <c r="BJ333" t="e">
        <f>AND('STERLING CATALOG - FZN &amp; CHILL'!F2059,"AAAAADJWHT0=")</f>
        <v>#VALUE!</v>
      </c>
      <c r="BK333" t="e">
        <f>AND('STERLING CATALOG - FZN &amp; CHILL'!G2059,"AAAAADJWHT4=")</f>
        <v>#VALUE!</v>
      </c>
      <c r="BL333" t="e">
        <f>AND('STERLING CATALOG - FZN &amp; CHILL'!H2059,"AAAAADJWHT8=")</f>
        <v>#VALUE!</v>
      </c>
      <c r="BM333" t="e">
        <f>AND('STERLING CATALOG - FZN &amp; CHILL'!I2059,"AAAAADJWHUA=")</f>
        <v>#VALUE!</v>
      </c>
      <c r="BN333" t="e">
        <f>AND('STERLING CATALOG - FZN &amp; CHILL'!J2059,"AAAAADJWHUE=")</f>
        <v>#VALUE!</v>
      </c>
      <c r="BO333">
        <f>IF('STERLING CATALOG - FZN &amp; CHILL'!2060:2060,"AAAAADJWHUI=",0)</f>
        <v>0</v>
      </c>
      <c r="BP333" t="e">
        <f>AND('STERLING CATALOG - FZN &amp; CHILL'!A2060,"AAAAADJWHUM=")</f>
        <v>#VALUE!</v>
      </c>
      <c r="BQ333" t="e">
        <f>AND('STERLING CATALOG - FZN &amp; CHILL'!B2060,"AAAAADJWHUQ=")</f>
        <v>#VALUE!</v>
      </c>
      <c r="BR333" t="e">
        <f>AND('STERLING CATALOG - FZN &amp; CHILL'!C2060,"AAAAADJWHUU=")</f>
        <v>#VALUE!</v>
      </c>
      <c r="BS333" t="e">
        <f>AND('STERLING CATALOG - FZN &amp; CHILL'!D2060,"AAAAADJWHUY=")</f>
        <v>#VALUE!</v>
      </c>
      <c r="BT333" t="e">
        <f>AND('STERLING CATALOG - FZN &amp; CHILL'!E2060,"AAAAADJWHUc=")</f>
        <v>#VALUE!</v>
      </c>
      <c r="BU333" t="e">
        <f>AND('STERLING CATALOG - FZN &amp; CHILL'!F2060,"AAAAADJWHUg=")</f>
        <v>#VALUE!</v>
      </c>
      <c r="BV333" t="e">
        <f>AND('STERLING CATALOG - FZN &amp; CHILL'!G2060,"AAAAADJWHUk=")</f>
        <v>#VALUE!</v>
      </c>
      <c r="BW333" t="e">
        <f>AND('STERLING CATALOG - FZN &amp; CHILL'!H2060,"AAAAADJWHUo=")</f>
        <v>#VALUE!</v>
      </c>
      <c r="BX333" t="e">
        <f>AND('STERLING CATALOG - FZN &amp; CHILL'!I2060,"AAAAADJWHUs=")</f>
        <v>#VALUE!</v>
      </c>
      <c r="BY333" t="e">
        <f>AND('STERLING CATALOG - FZN &amp; CHILL'!J2060,"AAAAADJWHUw=")</f>
        <v>#VALUE!</v>
      </c>
      <c r="BZ333">
        <f>IF('STERLING CATALOG - FZN &amp; CHILL'!2061:2061,"AAAAADJWHU0=",0)</f>
        <v>0</v>
      </c>
      <c r="CA333" t="e">
        <f>AND('STERLING CATALOG - FZN &amp; CHILL'!A2061,"AAAAADJWHU4=")</f>
        <v>#VALUE!</v>
      </c>
      <c r="CB333" t="e">
        <f>AND('STERLING CATALOG - FZN &amp; CHILL'!B2061,"AAAAADJWHU8=")</f>
        <v>#VALUE!</v>
      </c>
      <c r="CC333" t="e">
        <f>AND('STERLING CATALOG - FZN &amp; CHILL'!C2061,"AAAAADJWHVA=")</f>
        <v>#VALUE!</v>
      </c>
      <c r="CD333" t="e">
        <f>AND('STERLING CATALOG - FZN &amp; CHILL'!D2061,"AAAAADJWHVE=")</f>
        <v>#VALUE!</v>
      </c>
      <c r="CE333" t="e">
        <f>AND('STERLING CATALOG - FZN &amp; CHILL'!E2061,"AAAAADJWHVI=")</f>
        <v>#VALUE!</v>
      </c>
      <c r="CF333" t="e">
        <f>AND('STERLING CATALOG - FZN &amp; CHILL'!F2061,"AAAAADJWHVM=")</f>
        <v>#VALUE!</v>
      </c>
      <c r="CG333" t="e">
        <f>AND('STERLING CATALOG - FZN &amp; CHILL'!G2061,"AAAAADJWHVQ=")</f>
        <v>#VALUE!</v>
      </c>
      <c r="CH333" t="e">
        <f>AND('STERLING CATALOG - FZN &amp; CHILL'!H2061,"AAAAADJWHVU=")</f>
        <v>#VALUE!</v>
      </c>
      <c r="CI333" t="e">
        <f>AND('STERLING CATALOG - FZN &amp; CHILL'!I2061,"AAAAADJWHVY=")</f>
        <v>#VALUE!</v>
      </c>
      <c r="CJ333" t="e">
        <f>AND('STERLING CATALOG - FZN &amp; CHILL'!J2061,"AAAAADJWHVc=")</f>
        <v>#VALUE!</v>
      </c>
      <c r="CK333">
        <f>IF('STERLING CATALOG - FZN &amp; CHILL'!2062:2062,"AAAAADJWHVg=",0)</f>
        <v>0</v>
      </c>
      <c r="CL333" t="e">
        <f>AND('STERLING CATALOG - FZN &amp; CHILL'!A2062,"AAAAADJWHVk=")</f>
        <v>#VALUE!</v>
      </c>
      <c r="CM333" t="e">
        <f>AND('STERLING CATALOG - FZN &amp; CHILL'!B2062,"AAAAADJWHVo=")</f>
        <v>#VALUE!</v>
      </c>
      <c r="CN333" t="e">
        <f>AND('STERLING CATALOG - FZN &amp; CHILL'!C2062,"AAAAADJWHVs=")</f>
        <v>#VALUE!</v>
      </c>
      <c r="CO333" t="e">
        <f>AND('STERLING CATALOG - FZN &amp; CHILL'!D2062,"AAAAADJWHVw=")</f>
        <v>#VALUE!</v>
      </c>
      <c r="CP333" t="e">
        <f>AND('STERLING CATALOG - FZN &amp; CHILL'!E2062,"AAAAADJWHV0=")</f>
        <v>#VALUE!</v>
      </c>
      <c r="CQ333" t="e">
        <f>AND('STERLING CATALOG - FZN &amp; CHILL'!F2062,"AAAAADJWHV4=")</f>
        <v>#VALUE!</v>
      </c>
      <c r="CR333" t="e">
        <f>AND('STERLING CATALOG - FZN &amp; CHILL'!G2062,"AAAAADJWHV8=")</f>
        <v>#VALUE!</v>
      </c>
      <c r="CS333" t="e">
        <f>AND('STERLING CATALOG - FZN &amp; CHILL'!H2062,"AAAAADJWHWA=")</f>
        <v>#VALUE!</v>
      </c>
      <c r="CT333" t="e">
        <f>AND('STERLING CATALOG - FZN &amp; CHILL'!I2062,"AAAAADJWHWE=")</f>
        <v>#VALUE!</v>
      </c>
      <c r="CU333" t="e">
        <f>AND('STERLING CATALOG - FZN &amp; CHILL'!J2062,"AAAAADJWHWI=")</f>
        <v>#VALUE!</v>
      </c>
      <c r="CV333">
        <f>IF('STERLING CATALOG - FZN &amp; CHILL'!2063:2063,"AAAAADJWHWM=",0)</f>
        <v>0</v>
      </c>
      <c r="CW333" t="e">
        <f>AND('STERLING CATALOG - FZN &amp; CHILL'!A2063,"AAAAADJWHWQ=")</f>
        <v>#VALUE!</v>
      </c>
      <c r="CX333" t="e">
        <f>AND('STERLING CATALOG - FZN &amp; CHILL'!B2063,"AAAAADJWHWU=")</f>
        <v>#VALUE!</v>
      </c>
      <c r="CY333" t="e">
        <f>AND('STERLING CATALOG - FZN &amp; CHILL'!C2063,"AAAAADJWHWY=")</f>
        <v>#VALUE!</v>
      </c>
      <c r="CZ333" t="e">
        <f>AND('STERLING CATALOG - FZN &amp; CHILL'!D2063,"AAAAADJWHWc=")</f>
        <v>#VALUE!</v>
      </c>
      <c r="DA333" t="e">
        <f>AND('STERLING CATALOG - FZN &amp; CHILL'!E2063,"AAAAADJWHWg=")</f>
        <v>#VALUE!</v>
      </c>
      <c r="DB333" t="e">
        <f>AND('STERLING CATALOG - FZN &amp; CHILL'!F2063,"AAAAADJWHWk=")</f>
        <v>#VALUE!</v>
      </c>
      <c r="DC333" t="e">
        <f>AND('STERLING CATALOG - FZN &amp; CHILL'!G2063,"AAAAADJWHWo=")</f>
        <v>#VALUE!</v>
      </c>
      <c r="DD333" t="e">
        <f>AND('STERLING CATALOG - FZN &amp; CHILL'!H2063,"AAAAADJWHWs=")</f>
        <v>#VALUE!</v>
      </c>
      <c r="DE333" t="e">
        <f>AND('STERLING CATALOG - FZN &amp; CHILL'!I2063,"AAAAADJWHWw=")</f>
        <v>#VALUE!</v>
      </c>
      <c r="DF333" t="e">
        <f>AND('STERLING CATALOG - FZN &amp; CHILL'!J2063,"AAAAADJWHW0=")</f>
        <v>#VALUE!</v>
      </c>
      <c r="DG333">
        <f>IF('STERLING CATALOG - FZN &amp; CHILL'!2064:2064,"AAAAADJWHW4=",0)</f>
        <v>0</v>
      </c>
      <c r="DH333" t="e">
        <f>AND('STERLING CATALOG - FZN &amp; CHILL'!A2064,"AAAAADJWHW8=")</f>
        <v>#VALUE!</v>
      </c>
      <c r="DI333" t="e">
        <f>AND('STERLING CATALOG - FZN &amp; CHILL'!B2064,"AAAAADJWHXA=")</f>
        <v>#VALUE!</v>
      </c>
      <c r="DJ333" t="e">
        <f>AND('STERLING CATALOG - FZN &amp; CHILL'!C2064,"AAAAADJWHXE=")</f>
        <v>#VALUE!</v>
      </c>
      <c r="DK333" t="e">
        <f>AND('STERLING CATALOG - FZN &amp; CHILL'!D2064,"AAAAADJWHXI=")</f>
        <v>#VALUE!</v>
      </c>
      <c r="DL333" t="e">
        <f>AND('STERLING CATALOG - FZN &amp; CHILL'!E2064,"AAAAADJWHXM=")</f>
        <v>#VALUE!</v>
      </c>
      <c r="DM333" t="e">
        <f>AND('STERLING CATALOG - FZN &amp; CHILL'!F2064,"AAAAADJWHXQ=")</f>
        <v>#VALUE!</v>
      </c>
      <c r="DN333" t="e">
        <f>AND('STERLING CATALOG - FZN &amp; CHILL'!G2064,"AAAAADJWHXU=")</f>
        <v>#VALUE!</v>
      </c>
      <c r="DO333" t="e">
        <f>AND('STERLING CATALOG - FZN &amp; CHILL'!H2064,"AAAAADJWHXY=")</f>
        <v>#VALUE!</v>
      </c>
      <c r="DP333" t="e">
        <f>AND('STERLING CATALOG - FZN &amp; CHILL'!I2064,"AAAAADJWHXc=")</f>
        <v>#VALUE!</v>
      </c>
      <c r="DQ333" t="e">
        <f>AND('STERLING CATALOG - FZN &amp; CHILL'!J2064,"AAAAADJWHXg=")</f>
        <v>#VALUE!</v>
      </c>
      <c r="DR333">
        <f>IF('STERLING CATALOG - FZN &amp; CHILL'!2065:2065,"AAAAADJWHXk=",0)</f>
        <v>0</v>
      </c>
      <c r="DS333" t="e">
        <f>AND('STERLING CATALOG - FZN &amp; CHILL'!A2065,"AAAAADJWHXo=")</f>
        <v>#VALUE!</v>
      </c>
      <c r="DT333" t="e">
        <f>AND('STERLING CATALOG - FZN &amp; CHILL'!B2065,"AAAAADJWHXs=")</f>
        <v>#VALUE!</v>
      </c>
      <c r="DU333" t="e">
        <f>AND('STERLING CATALOG - FZN &amp; CHILL'!C2065,"AAAAADJWHXw=")</f>
        <v>#VALUE!</v>
      </c>
      <c r="DV333" t="e">
        <f>AND('STERLING CATALOG - FZN &amp; CHILL'!D2065,"AAAAADJWHX0=")</f>
        <v>#VALUE!</v>
      </c>
      <c r="DW333" t="e">
        <f>AND('STERLING CATALOG - FZN &amp; CHILL'!E2065,"AAAAADJWHX4=")</f>
        <v>#VALUE!</v>
      </c>
      <c r="DX333" t="e">
        <f>AND('STERLING CATALOG - FZN &amp; CHILL'!F2065,"AAAAADJWHX8=")</f>
        <v>#VALUE!</v>
      </c>
      <c r="DY333" t="e">
        <f>AND('STERLING CATALOG - FZN &amp; CHILL'!G2065,"AAAAADJWHYA=")</f>
        <v>#VALUE!</v>
      </c>
      <c r="DZ333" t="e">
        <f>AND('STERLING CATALOG - FZN &amp; CHILL'!H2065,"AAAAADJWHYE=")</f>
        <v>#VALUE!</v>
      </c>
      <c r="EA333" t="e">
        <f>AND('STERLING CATALOG - FZN &amp; CHILL'!I2065,"AAAAADJWHYI=")</f>
        <v>#VALUE!</v>
      </c>
      <c r="EB333" t="e">
        <f>AND('STERLING CATALOG - FZN &amp; CHILL'!J2065,"AAAAADJWHYM=")</f>
        <v>#VALUE!</v>
      </c>
      <c r="EC333">
        <f>IF('STERLING CATALOG - FZN &amp; CHILL'!2066:2066,"AAAAADJWHYQ=",0)</f>
        <v>0</v>
      </c>
      <c r="ED333" t="e">
        <f>AND('STERLING CATALOG - FZN &amp; CHILL'!A2066,"AAAAADJWHYU=")</f>
        <v>#VALUE!</v>
      </c>
      <c r="EE333" t="e">
        <f>AND('STERLING CATALOG - FZN &amp; CHILL'!B2066,"AAAAADJWHYY=")</f>
        <v>#VALUE!</v>
      </c>
      <c r="EF333" t="e">
        <f>AND('STERLING CATALOG - FZN &amp; CHILL'!C2066,"AAAAADJWHYc=")</f>
        <v>#VALUE!</v>
      </c>
      <c r="EG333" t="e">
        <f>AND('STERLING CATALOG - FZN &amp; CHILL'!D2066,"AAAAADJWHYg=")</f>
        <v>#VALUE!</v>
      </c>
      <c r="EH333" t="e">
        <f>AND('STERLING CATALOG - FZN &amp; CHILL'!E2066,"AAAAADJWHYk=")</f>
        <v>#VALUE!</v>
      </c>
      <c r="EI333" t="e">
        <f>AND('STERLING CATALOG - FZN &amp; CHILL'!F2066,"AAAAADJWHYo=")</f>
        <v>#VALUE!</v>
      </c>
      <c r="EJ333" t="e">
        <f>AND('STERLING CATALOG - FZN &amp; CHILL'!G2066,"AAAAADJWHYs=")</f>
        <v>#VALUE!</v>
      </c>
      <c r="EK333" t="e">
        <f>AND('STERLING CATALOG - FZN &amp; CHILL'!H2066,"AAAAADJWHYw=")</f>
        <v>#VALUE!</v>
      </c>
      <c r="EL333" t="e">
        <f>AND('STERLING CATALOG - FZN &amp; CHILL'!I2066,"AAAAADJWHY0=")</f>
        <v>#VALUE!</v>
      </c>
      <c r="EM333" t="e">
        <f>AND('STERLING CATALOG - FZN &amp; CHILL'!J2066,"AAAAADJWHY4=")</f>
        <v>#VALUE!</v>
      </c>
      <c r="EN333">
        <f>IF('STERLING CATALOG - FZN &amp; CHILL'!2067:2067,"AAAAADJWHY8=",0)</f>
        <v>0</v>
      </c>
      <c r="EO333" t="e">
        <f>AND('STERLING CATALOG - FZN &amp; CHILL'!A2067,"AAAAADJWHZA=")</f>
        <v>#VALUE!</v>
      </c>
      <c r="EP333" t="e">
        <f>AND('STERLING CATALOG - FZN &amp; CHILL'!B2067,"AAAAADJWHZE=")</f>
        <v>#VALUE!</v>
      </c>
      <c r="EQ333" t="e">
        <f>AND('STERLING CATALOG - FZN &amp; CHILL'!C2067,"AAAAADJWHZI=")</f>
        <v>#VALUE!</v>
      </c>
      <c r="ER333" t="e">
        <f>AND('STERLING CATALOG - FZN &amp; CHILL'!D2067,"AAAAADJWHZM=")</f>
        <v>#VALUE!</v>
      </c>
      <c r="ES333" t="e">
        <f>AND('STERLING CATALOG - FZN &amp; CHILL'!E2067,"AAAAADJWHZQ=")</f>
        <v>#VALUE!</v>
      </c>
      <c r="ET333" t="e">
        <f>AND('STERLING CATALOG - FZN &amp; CHILL'!F2067,"AAAAADJWHZU=")</f>
        <v>#VALUE!</v>
      </c>
      <c r="EU333" t="e">
        <f>AND('STERLING CATALOG - FZN &amp; CHILL'!G2067,"AAAAADJWHZY=")</f>
        <v>#VALUE!</v>
      </c>
      <c r="EV333" t="e">
        <f>AND('STERLING CATALOG - FZN &amp; CHILL'!H2067,"AAAAADJWHZc=")</f>
        <v>#VALUE!</v>
      </c>
      <c r="EW333" t="e">
        <f>AND('STERLING CATALOG - FZN &amp; CHILL'!I2067,"AAAAADJWHZg=")</f>
        <v>#VALUE!</v>
      </c>
      <c r="EX333" t="e">
        <f>AND('STERLING CATALOG - FZN &amp; CHILL'!J2067,"AAAAADJWHZk=")</f>
        <v>#VALUE!</v>
      </c>
      <c r="EY333">
        <f>IF('STERLING CATALOG - FZN &amp; CHILL'!2068:2068,"AAAAADJWHZo=",0)</f>
        <v>0</v>
      </c>
      <c r="EZ333" t="e">
        <f>AND('STERLING CATALOG - FZN &amp; CHILL'!A2068,"AAAAADJWHZs=")</f>
        <v>#VALUE!</v>
      </c>
      <c r="FA333" t="e">
        <f>AND('STERLING CATALOG - FZN &amp; CHILL'!B2068,"AAAAADJWHZw=")</f>
        <v>#VALUE!</v>
      </c>
      <c r="FB333" t="e">
        <f>AND('STERLING CATALOG - FZN &amp; CHILL'!C2068,"AAAAADJWHZ0=")</f>
        <v>#VALUE!</v>
      </c>
      <c r="FC333" t="e">
        <f>AND('STERLING CATALOG - FZN &amp; CHILL'!D2068,"AAAAADJWHZ4=")</f>
        <v>#VALUE!</v>
      </c>
      <c r="FD333" t="e">
        <f>AND('STERLING CATALOG - FZN &amp; CHILL'!E2068,"AAAAADJWHZ8=")</f>
        <v>#VALUE!</v>
      </c>
      <c r="FE333" t="e">
        <f>AND('STERLING CATALOG - FZN &amp; CHILL'!F2068,"AAAAADJWHaA=")</f>
        <v>#VALUE!</v>
      </c>
      <c r="FF333" t="e">
        <f>AND('STERLING CATALOG - FZN &amp; CHILL'!G2068,"AAAAADJWHaE=")</f>
        <v>#VALUE!</v>
      </c>
      <c r="FG333" t="e">
        <f>AND('STERLING CATALOG - FZN &amp; CHILL'!H2068,"AAAAADJWHaI=")</f>
        <v>#VALUE!</v>
      </c>
      <c r="FH333" t="e">
        <f>AND('STERLING CATALOG - FZN &amp; CHILL'!I2068,"AAAAADJWHaM=")</f>
        <v>#VALUE!</v>
      </c>
      <c r="FI333" t="e">
        <f>AND('STERLING CATALOG - FZN &amp; CHILL'!J2068,"AAAAADJWHaQ=")</f>
        <v>#VALUE!</v>
      </c>
      <c r="FJ333">
        <f>IF('STERLING CATALOG - FZN &amp; CHILL'!2069:2069,"AAAAADJWHaU=",0)</f>
        <v>0</v>
      </c>
      <c r="FK333" t="e">
        <f>AND('STERLING CATALOG - FZN &amp; CHILL'!A2069,"AAAAADJWHaY=")</f>
        <v>#VALUE!</v>
      </c>
      <c r="FL333" t="e">
        <f>AND('STERLING CATALOG - FZN &amp; CHILL'!B2069,"AAAAADJWHac=")</f>
        <v>#VALUE!</v>
      </c>
      <c r="FM333" t="e">
        <f>AND('STERLING CATALOG - FZN &amp; CHILL'!C2069,"AAAAADJWHag=")</f>
        <v>#VALUE!</v>
      </c>
      <c r="FN333" t="e">
        <f>AND('STERLING CATALOG - FZN &amp; CHILL'!D2069,"AAAAADJWHak=")</f>
        <v>#VALUE!</v>
      </c>
      <c r="FO333" t="e">
        <f>AND('STERLING CATALOG - FZN &amp; CHILL'!E2069,"AAAAADJWHao=")</f>
        <v>#VALUE!</v>
      </c>
      <c r="FP333" t="e">
        <f>AND('STERLING CATALOG - FZN &amp; CHILL'!F2069,"AAAAADJWHas=")</f>
        <v>#VALUE!</v>
      </c>
      <c r="FQ333" t="e">
        <f>AND('STERLING CATALOG - FZN &amp; CHILL'!G2069,"AAAAADJWHaw=")</f>
        <v>#VALUE!</v>
      </c>
      <c r="FR333" t="e">
        <f>AND('STERLING CATALOG - FZN &amp; CHILL'!H2069,"AAAAADJWHa0=")</f>
        <v>#VALUE!</v>
      </c>
      <c r="FS333" t="e">
        <f>AND('STERLING CATALOG - FZN &amp; CHILL'!I2069,"AAAAADJWHa4=")</f>
        <v>#VALUE!</v>
      </c>
      <c r="FT333" t="e">
        <f>AND('STERLING CATALOG - FZN &amp; CHILL'!J2069,"AAAAADJWHa8=")</f>
        <v>#VALUE!</v>
      </c>
      <c r="FU333">
        <f>IF('STERLING CATALOG - FZN &amp; CHILL'!2070:2070,"AAAAADJWHbA=",0)</f>
        <v>0</v>
      </c>
      <c r="FV333" t="e">
        <f>AND('STERLING CATALOG - FZN &amp; CHILL'!A2070,"AAAAADJWHbE=")</f>
        <v>#VALUE!</v>
      </c>
      <c r="FW333" t="e">
        <f>AND('STERLING CATALOG - FZN &amp; CHILL'!B2070,"AAAAADJWHbI=")</f>
        <v>#VALUE!</v>
      </c>
      <c r="FX333" t="e">
        <f>AND('STERLING CATALOG - FZN &amp; CHILL'!C2070,"AAAAADJWHbM=")</f>
        <v>#VALUE!</v>
      </c>
      <c r="FY333" t="e">
        <f>AND('STERLING CATALOG - FZN &amp; CHILL'!D2070,"AAAAADJWHbQ=")</f>
        <v>#VALUE!</v>
      </c>
      <c r="FZ333" t="e">
        <f>AND('STERLING CATALOG - FZN &amp; CHILL'!E2070,"AAAAADJWHbU=")</f>
        <v>#VALUE!</v>
      </c>
      <c r="GA333" t="e">
        <f>AND('STERLING CATALOG - FZN &amp; CHILL'!F2070,"AAAAADJWHbY=")</f>
        <v>#VALUE!</v>
      </c>
      <c r="GB333" t="e">
        <f>AND('STERLING CATALOG - FZN &amp; CHILL'!G2070,"AAAAADJWHbc=")</f>
        <v>#VALUE!</v>
      </c>
      <c r="GC333" t="e">
        <f>AND('STERLING CATALOG - FZN &amp; CHILL'!H2070,"AAAAADJWHbg=")</f>
        <v>#VALUE!</v>
      </c>
      <c r="GD333" t="e">
        <f>AND('STERLING CATALOG - FZN &amp; CHILL'!I2070,"AAAAADJWHbk=")</f>
        <v>#VALUE!</v>
      </c>
      <c r="GE333" t="e">
        <f>AND('STERLING CATALOG - FZN &amp; CHILL'!J2070,"AAAAADJWHbo=")</f>
        <v>#VALUE!</v>
      </c>
      <c r="GF333">
        <f>IF('STERLING CATALOG - FZN &amp; CHILL'!2071:2071,"AAAAADJWHbs=",0)</f>
        <v>0</v>
      </c>
      <c r="GG333" t="e">
        <f>AND('STERLING CATALOG - FZN &amp; CHILL'!A2071,"AAAAADJWHbw=")</f>
        <v>#VALUE!</v>
      </c>
      <c r="GH333" t="e">
        <f>AND('STERLING CATALOG - FZN &amp; CHILL'!B2071,"AAAAADJWHb0=")</f>
        <v>#VALUE!</v>
      </c>
      <c r="GI333" t="e">
        <f>AND('STERLING CATALOG - FZN &amp; CHILL'!C2071,"AAAAADJWHb4=")</f>
        <v>#VALUE!</v>
      </c>
      <c r="GJ333" t="e">
        <f>AND('STERLING CATALOG - FZN &amp; CHILL'!D2071,"AAAAADJWHb8=")</f>
        <v>#VALUE!</v>
      </c>
      <c r="GK333" t="e">
        <f>AND('STERLING CATALOG - FZN &amp; CHILL'!E2071,"AAAAADJWHcA=")</f>
        <v>#VALUE!</v>
      </c>
      <c r="GL333" t="e">
        <f>AND('STERLING CATALOG - FZN &amp; CHILL'!F2071,"AAAAADJWHcE=")</f>
        <v>#VALUE!</v>
      </c>
      <c r="GM333" t="e">
        <f>AND('STERLING CATALOG - FZN &amp; CHILL'!G2071,"AAAAADJWHcI=")</f>
        <v>#VALUE!</v>
      </c>
      <c r="GN333" t="e">
        <f>AND('STERLING CATALOG - FZN &amp; CHILL'!H2071,"AAAAADJWHcM=")</f>
        <v>#VALUE!</v>
      </c>
      <c r="GO333" t="e">
        <f>AND('STERLING CATALOG - FZN &amp; CHILL'!I2071,"AAAAADJWHcQ=")</f>
        <v>#VALUE!</v>
      </c>
      <c r="GP333" t="e">
        <f>AND('STERLING CATALOG - FZN &amp; CHILL'!J2071,"AAAAADJWHcU=")</f>
        <v>#VALUE!</v>
      </c>
      <c r="GQ333">
        <f>IF('STERLING CATALOG - FZN &amp; CHILL'!2072:2072,"AAAAADJWHcY=",0)</f>
        <v>0</v>
      </c>
      <c r="GR333" t="e">
        <f>AND('STERLING CATALOG - FZN &amp; CHILL'!A2072,"AAAAADJWHcc=")</f>
        <v>#VALUE!</v>
      </c>
      <c r="GS333" t="e">
        <f>AND('STERLING CATALOG - FZN &amp; CHILL'!B2072,"AAAAADJWHcg=")</f>
        <v>#VALUE!</v>
      </c>
      <c r="GT333" t="e">
        <f>AND('STERLING CATALOG - FZN &amp; CHILL'!C2072,"AAAAADJWHck=")</f>
        <v>#VALUE!</v>
      </c>
      <c r="GU333" t="e">
        <f>AND('STERLING CATALOG - FZN &amp; CHILL'!D2072,"AAAAADJWHco=")</f>
        <v>#VALUE!</v>
      </c>
      <c r="GV333" t="e">
        <f>AND('STERLING CATALOG - FZN &amp; CHILL'!E2072,"AAAAADJWHcs=")</f>
        <v>#VALUE!</v>
      </c>
      <c r="GW333" t="e">
        <f>AND('STERLING CATALOG - FZN &amp; CHILL'!F2072,"AAAAADJWHcw=")</f>
        <v>#VALUE!</v>
      </c>
      <c r="GX333" t="e">
        <f>AND('STERLING CATALOG - FZN &amp; CHILL'!G2072,"AAAAADJWHc0=")</f>
        <v>#VALUE!</v>
      </c>
      <c r="GY333" t="e">
        <f>AND('STERLING CATALOG - FZN &amp; CHILL'!H2072,"AAAAADJWHc4=")</f>
        <v>#VALUE!</v>
      </c>
      <c r="GZ333" t="e">
        <f>AND('STERLING CATALOG - FZN &amp; CHILL'!I2072,"AAAAADJWHc8=")</f>
        <v>#VALUE!</v>
      </c>
      <c r="HA333" t="e">
        <f>AND('STERLING CATALOG - FZN &amp; CHILL'!J2072,"AAAAADJWHdA=")</f>
        <v>#VALUE!</v>
      </c>
      <c r="HB333">
        <f>IF('STERLING CATALOG - FZN &amp; CHILL'!2073:2073,"AAAAADJWHdE=",0)</f>
        <v>0</v>
      </c>
      <c r="HC333" t="e">
        <f>AND('STERLING CATALOG - FZN &amp; CHILL'!A2073,"AAAAADJWHdI=")</f>
        <v>#VALUE!</v>
      </c>
      <c r="HD333" t="e">
        <f>AND('STERLING CATALOG - FZN &amp; CHILL'!B2073,"AAAAADJWHdM=")</f>
        <v>#VALUE!</v>
      </c>
      <c r="HE333" t="e">
        <f>AND('STERLING CATALOG - FZN &amp; CHILL'!C2073,"AAAAADJWHdQ=")</f>
        <v>#VALUE!</v>
      </c>
      <c r="HF333" t="e">
        <f>AND('STERLING CATALOG - FZN &amp; CHILL'!D2073,"AAAAADJWHdU=")</f>
        <v>#VALUE!</v>
      </c>
      <c r="HG333" t="e">
        <f>AND('STERLING CATALOG - FZN &amp; CHILL'!E2073,"AAAAADJWHdY=")</f>
        <v>#VALUE!</v>
      </c>
      <c r="HH333" t="e">
        <f>AND('STERLING CATALOG - FZN &amp; CHILL'!F2073,"AAAAADJWHdc=")</f>
        <v>#VALUE!</v>
      </c>
      <c r="HI333" t="e">
        <f>AND('STERLING CATALOG - FZN &amp; CHILL'!G2073,"AAAAADJWHdg=")</f>
        <v>#VALUE!</v>
      </c>
      <c r="HJ333" t="e">
        <f>AND('STERLING CATALOG - FZN &amp; CHILL'!H2073,"AAAAADJWHdk=")</f>
        <v>#VALUE!</v>
      </c>
      <c r="HK333" t="e">
        <f>AND('STERLING CATALOG - FZN &amp; CHILL'!I2073,"AAAAADJWHdo=")</f>
        <v>#VALUE!</v>
      </c>
      <c r="HL333" t="e">
        <f>AND('STERLING CATALOG - FZN &amp; CHILL'!J2073,"AAAAADJWHds=")</f>
        <v>#VALUE!</v>
      </c>
      <c r="HM333">
        <f>IF('STERLING CATALOG - FZN &amp; CHILL'!2074:2074,"AAAAADJWHdw=",0)</f>
        <v>0</v>
      </c>
      <c r="HN333" t="e">
        <f>AND('STERLING CATALOG - FZN &amp; CHILL'!A2074,"AAAAADJWHd0=")</f>
        <v>#VALUE!</v>
      </c>
      <c r="HO333" t="e">
        <f>AND('STERLING CATALOG - FZN &amp; CHILL'!B2074,"AAAAADJWHd4=")</f>
        <v>#VALUE!</v>
      </c>
      <c r="HP333" t="e">
        <f>AND('STERLING CATALOG - FZN &amp; CHILL'!C2074,"AAAAADJWHd8=")</f>
        <v>#VALUE!</v>
      </c>
      <c r="HQ333" t="e">
        <f>AND('STERLING CATALOG - FZN &amp; CHILL'!D2074,"AAAAADJWHeA=")</f>
        <v>#VALUE!</v>
      </c>
      <c r="HR333" t="e">
        <f>AND('STERLING CATALOG - FZN &amp; CHILL'!E2074,"AAAAADJWHeE=")</f>
        <v>#VALUE!</v>
      </c>
      <c r="HS333" t="e">
        <f>AND('STERLING CATALOG - FZN &amp; CHILL'!F2074,"AAAAADJWHeI=")</f>
        <v>#VALUE!</v>
      </c>
      <c r="HT333" t="e">
        <f>AND('STERLING CATALOG - FZN &amp; CHILL'!G2074,"AAAAADJWHeM=")</f>
        <v>#VALUE!</v>
      </c>
      <c r="HU333" t="e">
        <f>AND('STERLING CATALOG - FZN &amp; CHILL'!H2074,"AAAAADJWHeQ=")</f>
        <v>#VALUE!</v>
      </c>
      <c r="HV333" t="e">
        <f>AND('STERLING CATALOG - FZN &amp; CHILL'!I2074,"AAAAADJWHeU=")</f>
        <v>#VALUE!</v>
      </c>
      <c r="HW333" t="e">
        <f>AND('STERLING CATALOG - FZN &amp; CHILL'!J2074,"AAAAADJWHeY=")</f>
        <v>#VALUE!</v>
      </c>
      <c r="HX333">
        <f>IF('STERLING CATALOG - FZN &amp; CHILL'!2075:2075,"AAAAADJWHec=",0)</f>
        <v>0</v>
      </c>
      <c r="HY333" t="e">
        <f>AND('STERLING CATALOG - FZN &amp; CHILL'!A2075,"AAAAADJWHeg=")</f>
        <v>#VALUE!</v>
      </c>
      <c r="HZ333" t="e">
        <f>AND('STERLING CATALOG - FZN &amp; CHILL'!B2075,"AAAAADJWHek=")</f>
        <v>#VALUE!</v>
      </c>
      <c r="IA333" t="e">
        <f>AND('STERLING CATALOG - FZN &amp; CHILL'!C2075,"AAAAADJWHeo=")</f>
        <v>#VALUE!</v>
      </c>
      <c r="IB333" t="e">
        <f>AND('STERLING CATALOG - FZN &amp; CHILL'!D2075,"AAAAADJWHes=")</f>
        <v>#VALUE!</v>
      </c>
      <c r="IC333" t="e">
        <f>AND('STERLING CATALOG - FZN &amp; CHILL'!E2075,"AAAAADJWHew=")</f>
        <v>#VALUE!</v>
      </c>
      <c r="ID333" t="e">
        <f>AND('STERLING CATALOG - FZN &amp; CHILL'!F2075,"AAAAADJWHe0=")</f>
        <v>#VALUE!</v>
      </c>
      <c r="IE333" t="e">
        <f>AND('STERLING CATALOG - FZN &amp; CHILL'!G2075,"AAAAADJWHe4=")</f>
        <v>#VALUE!</v>
      </c>
      <c r="IF333" t="e">
        <f>AND('STERLING CATALOG - FZN &amp; CHILL'!H2075,"AAAAADJWHe8=")</f>
        <v>#VALUE!</v>
      </c>
      <c r="IG333" t="e">
        <f>AND('STERLING CATALOG - FZN &amp; CHILL'!I2075,"AAAAADJWHfA=")</f>
        <v>#VALUE!</v>
      </c>
      <c r="IH333" t="e">
        <f>AND('STERLING CATALOG - FZN &amp; CHILL'!J2075,"AAAAADJWHfE=")</f>
        <v>#VALUE!</v>
      </c>
      <c r="II333">
        <f>IF('STERLING CATALOG - FZN &amp; CHILL'!2076:2076,"AAAAADJWHfI=",0)</f>
        <v>0</v>
      </c>
      <c r="IJ333" t="e">
        <f>AND('STERLING CATALOG - FZN &amp; CHILL'!A2076,"AAAAADJWHfM=")</f>
        <v>#VALUE!</v>
      </c>
      <c r="IK333" t="e">
        <f>AND('STERLING CATALOG - FZN &amp; CHILL'!B2076,"AAAAADJWHfQ=")</f>
        <v>#VALUE!</v>
      </c>
      <c r="IL333" t="e">
        <f>AND('STERLING CATALOG - FZN &amp; CHILL'!C2076,"AAAAADJWHfU=")</f>
        <v>#VALUE!</v>
      </c>
      <c r="IM333" t="e">
        <f>AND('STERLING CATALOG - FZN &amp; CHILL'!D2076,"AAAAADJWHfY=")</f>
        <v>#VALUE!</v>
      </c>
      <c r="IN333" t="e">
        <f>AND('STERLING CATALOG - FZN &amp; CHILL'!E2076,"AAAAADJWHfc=")</f>
        <v>#VALUE!</v>
      </c>
      <c r="IO333" t="e">
        <f>AND('STERLING CATALOG - FZN &amp; CHILL'!F2076,"AAAAADJWHfg=")</f>
        <v>#VALUE!</v>
      </c>
      <c r="IP333" t="e">
        <f>AND('STERLING CATALOG - FZN &amp; CHILL'!G2076,"AAAAADJWHfk=")</f>
        <v>#VALUE!</v>
      </c>
      <c r="IQ333" t="e">
        <f>AND('STERLING CATALOG - FZN &amp; CHILL'!H2076,"AAAAADJWHfo=")</f>
        <v>#VALUE!</v>
      </c>
      <c r="IR333" t="e">
        <f>AND('STERLING CATALOG - FZN &amp; CHILL'!I2076,"AAAAADJWHfs=")</f>
        <v>#VALUE!</v>
      </c>
      <c r="IS333" t="e">
        <f>AND('STERLING CATALOG - FZN &amp; CHILL'!J2076,"AAAAADJWHfw=")</f>
        <v>#VALUE!</v>
      </c>
      <c r="IT333">
        <f>IF('STERLING CATALOG - FZN &amp; CHILL'!2077:2077,"AAAAADJWHf0=",0)</f>
        <v>0</v>
      </c>
      <c r="IU333" t="e">
        <f>AND('STERLING CATALOG - FZN &amp; CHILL'!A2077,"AAAAADJWHf4=")</f>
        <v>#VALUE!</v>
      </c>
      <c r="IV333" t="e">
        <f>AND('STERLING CATALOG - FZN &amp; CHILL'!B2077,"AAAAADJWHf8=")</f>
        <v>#VALUE!</v>
      </c>
    </row>
    <row r="334" spans="1:256">
      <c r="A334" t="e">
        <f>AND('STERLING CATALOG - FZN &amp; CHILL'!C2077,"AAAAAD//+wA=")</f>
        <v>#VALUE!</v>
      </c>
      <c r="B334" t="e">
        <f>AND('STERLING CATALOG - FZN &amp; CHILL'!D2077,"AAAAAD//+wE=")</f>
        <v>#VALUE!</v>
      </c>
      <c r="C334" t="e">
        <f>AND('STERLING CATALOG - FZN &amp; CHILL'!E2077,"AAAAAD//+wI=")</f>
        <v>#VALUE!</v>
      </c>
      <c r="D334" t="e">
        <f>AND('STERLING CATALOG - FZN &amp; CHILL'!F2077,"AAAAAD//+wM=")</f>
        <v>#VALUE!</v>
      </c>
      <c r="E334" t="e">
        <f>AND('STERLING CATALOG - FZN &amp; CHILL'!G2077,"AAAAAD//+wQ=")</f>
        <v>#VALUE!</v>
      </c>
      <c r="F334" t="e">
        <f>AND('STERLING CATALOG - FZN &amp; CHILL'!H2077,"AAAAAD//+wU=")</f>
        <v>#VALUE!</v>
      </c>
      <c r="G334" t="e">
        <f>AND('STERLING CATALOG - FZN &amp; CHILL'!I2077,"AAAAAD//+wY=")</f>
        <v>#VALUE!</v>
      </c>
      <c r="H334" t="e">
        <f>AND('STERLING CATALOG - FZN &amp; CHILL'!J2077,"AAAAAD//+wc=")</f>
        <v>#VALUE!</v>
      </c>
      <c r="I334" t="e">
        <f>IF('STERLING CATALOG - FZN &amp; CHILL'!2078:2078,"AAAAAD//+wg=",0)</f>
        <v>#VALUE!</v>
      </c>
      <c r="J334" t="e">
        <f>AND('STERLING CATALOG - FZN &amp; CHILL'!A2078,"AAAAAD//+wk=")</f>
        <v>#VALUE!</v>
      </c>
      <c r="K334" t="e">
        <f>AND('STERLING CATALOG - FZN &amp; CHILL'!B2078,"AAAAAD//+wo=")</f>
        <v>#VALUE!</v>
      </c>
      <c r="L334" t="e">
        <f>AND('STERLING CATALOG - FZN &amp; CHILL'!C2078,"AAAAAD//+ws=")</f>
        <v>#VALUE!</v>
      </c>
      <c r="M334" t="e">
        <f>AND('STERLING CATALOG - FZN &amp; CHILL'!D2078,"AAAAAD//+ww=")</f>
        <v>#VALUE!</v>
      </c>
      <c r="N334" t="e">
        <f>AND('STERLING CATALOG - FZN &amp; CHILL'!E2078,"AAAAAD//+w0=")</f>
        <v>#VALUE!</v>
      </c>
      <c r="O334" t="e">
        <f>AND('STERLING CATALOG - FZN &amp; CHILL'!F2078,"AAAAAD//+w4=")</f>
        <v>#VALUE!</v>
      </c>
      <c r="P334" t="e">
        <f>AND('STERLING CATALOG - FZN &amp; CHILL'!G2078,"AAAAAD//+w8=")</f>
        <v>#VALUE!</v>
      </c>
      <c r="Q334" t="e">
        <f>AND('STERLING CATALOG - FZN &amp; CHILL'!H2078,"AAAAAD//+xA=")</f>
        <v>#VALUE!</v>
      </c>
      <c r="R334" t="e">
        <f>AND('STERLING CATALOG - FZN &amp; CHILL'!I2078,"AAAAAD//+xE=")</f>
        <v>#VALUE!</v>
      </c>
      <c r="S334" t="e">
        <f>AND('STERLING CATALOG - FZN &amp; CHILL'!J2078,"AAAAAD//+xI=")</f>
        <v>#VALUE!</v>
      </c>
      <c r="T334">
        <f>IF('STERLING CATALOG - FZN &amp; CHILL'!2079:2079,"AAAAAD//+xM=",0)</f>
        <v>0</v>
      </c>
      <c r="U334" t="e">
        <f>AND('STERLING CATALOG - FZN &amp; CHILL'!A2079,"AAAAAD//+xQ=")</f>
        <v>#VALUE!</v>
      </c>
      <c r="V334" t="e">
        <f>AND('STERLING CATALOG - FZN &amp; CHILL'!B2079,"AAAAAD//+xU=")</f>
        <v>#VALUE!</v>
      </c>
      <c r="W334" t="e">
        <f>AND('STERLING CATALOG - FZN &amp; CHILL'!C2079,"AAAAAD//+xY=")</f>
        <v>#VALUE!</v>
      </c>
      <c r="X334" t="e">
        <f>AND('STERLING CATALOG - FZN &amp; CHILL'!D2079,"AAAAAD//+xc=")</f>
        <v>#VALUE!</v>
      </c>
      <c r="Y334" t="e">
        <f>AND('STERLING CATALOG - FZN &amp; CHILL'!E2079,"AAAAAD//+xg=")</f>
        <v>#VALUE!</v>
      </c>
      <c r="Z334" t="e">
        <f>AND('STERLING CATALOG - FZN &amp; CHILL'!F2079,"AAAAAD//+xk=")</f>
        <v>#VALUE!</v>
      </c>
      <c r="AA334" t="e">
        <f>AND('STERLING CATALOG - FZN &amp; CHILL'!G2079,"AAAAAD//+xo=")</f>
        <v>#VALUE!</v>
      </c>
      <c r="AB334" t="e">
        <f>AND('STERLING CATALOG - FZN &amp; CHILL'!H2079,"AAAAAD//+xs=")</f>
        <v>#VALUE!</v>
      </c>
      <c r="AC334" t="e">
        <f>AND('STERLING CATALOG - FZN &amp; CHILL'!I2079,"AAAAAD//+xw=")</f>
        <v>#VALUE!</v>
      </c>
      <c r="AD334" t="e">
        <f>AND('STERLING CATALOG - FZN &amp; CHILL'!J2079,"AAAAAD//+x0=")</f>
        <v>#VALUE!</v>
      </c>
      <c r="AE334">
        <f>IF('STERLING CATALOG - FZN &amp; CHILL'!2080:2080,"AAAAAD//+x4=",0)</f>
        <v>0</v>
      </c>
      <c r="AF334" t="e">
        <f>AND('STERLING CATALOG - FZN &amp; CHILL'!A2080,"AAAAAD//+x8=")</f>
        <v>#VALUE!</v>
      </c>
      <c r="AG334" t="e">
        <f>AND('STERLING CATALOG - FZN &amp; CHILL'!B2080,"AAAAAD//+yA=")</f>
        <v>#VALUE!</v>
      </c>
      <c r="AH334" t="e">
        <f>AND('STERLING CATALOG - FZN &amp; CHILL'!C2080,"AAAAAD//+yE=")</f>
        <v>#VALUE!</v>
      </c>
      <c r="AI334" t="e">
        <f>AND('STERLING CATALOG - FZN &amp; CHILL'!D2080,"AAAAAD//+yI=")</f>
        <v>#VALUE!</v>
      </c>
      <c r="AJ334" t="e">
        <f>AND('STERLING CATALOG - FZN &amp; CHILL'!E2080,"AAAAAD//+yM=")</f>
        <v>#VALUE!</v>
      </c>
      <c r="AK334" t="e">
        <f>AND('STERLING CATALOG - FZN &amp; CHILL'!F2080,"AAAAAD//+yQ=")</f>
        <v>#VALUE!</v>
      </c>
      <c r="AL334" t="e">
        <f>AND('STERLING CATALOG - FZN &amp; CHILL'!G2080,"AAAAAD//+yU=")</f>
        <v>#VALUE!</v>
      </c>
      <c r="AM334" t="e">
        <f>AND('STERLING CATALOG - FZN &amp; CHILL'!H2080,"AAAAAD//+yY=")</f>
        <v>#VALUE!</v>
      </c>
      <c r="AN334" t="e">
        <f>AND('STERLING CATALOG - FZN &amp; CHILL'!I2080,"AAAAAD//+yc=")</f>
        <v>#VALUE!</v>
      </c>
      <c r="AO334" t="e">
        <f>AND('STERLING CATALOG - FZN &amp; CHILL'!J2080,"AAAAAD//+yg=")</f>
        <v>#VALUE!</v>
      </c>
      <c r="AP334">
        <f>IF('STERLING CATALOG - FZN &amp; CHILL'!2081:2081,"AAAAAD//+yk=",0)</f>
        <v>0</v>
      </c>
      <c r="AQ334" t="e">
        <f>AND('STERLING CATALOG - FZN &amp; CHILL'!A2081,"AAAAAD//+yo=")</f>
        <v>#VALUE!</v>
      </c>
      <c r="AR334" t="e">
        <f>AND('STERLING CATALOG - FZN &amp; CHILL'!B2081,"AAAAAD//+ys=")</f>
        <v>#VALUE!</v>
      </c>
      <c r="AS334" t="e">
        <f>AND('STERLING CATALOG - FZN &amp; CHILL'!C2081,"AAAAAD//+yw=")</f>
        <v>#VALUE!</v>
      </c>
      <c r="AT334" t="e">
        <f>AND('STERLING CATALOG - FZN &amp; CHILL'!D2081,"AAAAAD//+y0=")</f>
        <v>#VALUE!</v>
      </c>
      <c r="AU334" t="e">
        <f>AND('STERLING CATALOG - FZN &amp; CHILL'!E2081,"AAAAAD//+y4=")</f>
        <v>#VALUE!</v>
      </c>
      <c r="AV334" t="e">
        <f>AND('STERLING CATALOG - FZN &amp; CHILL'!F2081,"AAAAAD//+y8=")</f>
        <v>#VALUE!</v>
      </c>
      <c r="AW334" t="e">
        <f>AND('STERLING CATALOG - FZN &amp; CHILL'!G2081,"AAAAAD//+zA=")</f>
        <v>#VALUE!</v>
      </c>
      <c r="AX334" t="e">
        <f>AND('STERLING CATALOG - FZN &amp; CHILL'!H2081,"AAAAAD//+zE=")</f>
        <v>#VALUE!</v>
      </c>
      <c r="AY334" t="e">
        <f>AND('STERLING CATALOG - FZN &amp; CHILL'!I2081,"AAAAAD//+zI=")</f>
        <v>#VALUE!</v>
      </c>
      <c r="AZ334" t="e">
        <f>AND('STERLING CATALOG - FZN &amp; CHILL'!J2081,"AAAAAD//+zM=")</f>
        <v>#VALUE!</v>
      </c>
      <c r="BA334">
        <f>IF('STERLING CATALOG - FZN &amp; CHILL'!2082:2082,"AAAAAD//+zQ=",0)</f>
        <v>0</v>
      </c>
      <c r="BB334" t="e">
        <f>AND('STERLING CATALOG - FZN &amp; CHILL'!A2082,"AAAAAD//+zU=")</f>
        <v>#VALUE!</v>
      </c>
      <c r="BC334" t="e">
        <f>AND('STERLING CATALOG - FZN &amp; CHILL'!B2082,"AAAAAD//+zY=")</f>
        <v>#VALUE!</v>
      </c>
      <c r="BD334" t="e">
        <f>AND('STERLING CATALOG - FZN &amp; CHILL'!C2082,"AAAAAD//+zc=")</f>
        <v>#VALUE!</v>
      </c>
      <c r="BE334" t="e">
        <f>AND('STERLING CATALOG - FZN &amp; CHILL'!D2082,"AAAAAD//+zg=")</f>
        <v>#VALUE!</v>
      </c>
      <c r="BF334" t="e">
        <f>AND('STERLING CATALOG - FZN &amp; CHILL'!E2082,"AAAAAD//+zk=")</f>
        <v>#VALUE!</v>
      </c>
      <c r="BG334" t="e">
        <f>AND('STERLING CATALOG - FZN &amp; CHILL'!F2082,"AAAAAD//+zo=")</f>
        <v>#VALUE!</v>
      </c>
      <c r="BH334" t="e">
        <f>AND('STERLING CATALOG - FZN &amp; CHILL'!G2082,"AAAAAD//+zs=")</f>
        <v>#VALUE!</v>
      </c>
      <c r="BI334" t="e">
        <f>AND('STERLING CATALOG - FZN &amp; CHILL'!H2082,"AAAAAD//+zw=")</f>
        <v>#VALUE!</v>
      </c>
      <c r="BJ334" t="e">
        <f>AND('STERLING CATALOG - FZN &amp; CHILL'!I2082,"AAAAAD//+z0=")</f>
        <v>#VALUE!</v>
      </c>
      <c r="BK334" t="e">
        <f>AND('STERLING CATALOG - FZN &amp; CHILL'!J2082,"AAAAAD//+z4=")</f>
        <v>#VALUE!</v>
      </c>
      <c r="BL334">
        <f>IF('STERLING CATALOG - FZN &amp; CHILL'!2083:2083,"AAAAAD//+z8=",0)</f>
        <v>0</v>
      </c>
      <c r="BM334" t="e">
        <f>AND('STERLING CATALOG - FZN &amp; CHILL'!A2083,"AAAAAD//+0A=")</f>
        <v>#VALUE!</v>
      </c>
      <c r="BN334" t="e">
        <f>AND('STERLING CATALOG - FZN &amp; CHILL'!B2083,"AAAAAD//+0E=")</f>
        <v>#VALUE!</v>
      </c>
      <c r="BO334" t="e">
        <f>AND('STERLING CATALOG - FZN &amp; CHILL'!C2083,"AAAAAD//+0I=")</f>
        <v>#VALUE!</v>
      </c>
      <c r="BP334" t="e">
        <f>AND('STERLING CATALOG - FZN &amp; CHILL'!D2083,"AAAAAD//+0M=")</f>
        <v>#VALUE!</v>
      </c>
      <c r="BQ334" t="e">
        <f>AND('STERLING CATALOG - FZN &amp; CHILL'!E2083,"AAAAAD//+0Q=")</f>
        <v>#VALUE!</v>
      </c>
      <c r="BR334" t="e">
        <f>AND('STERLING CATALOG - FZN &amp; CHILL'!F2083,"AAAAAD//+0U=")</f>
        <v>#VALUE!</v>
      </c>
      <c r="BS334" t="e">
        <f>AND('STERLING CATALOG - FZN &amp; CHILL'!G2083,"AAAAAD//+0Y=")</f>
        <v>#VALUE!</v>
      </c>
      <c r="BT334" t="e">
        <f>AND('STERLING CATALOG - FZN &amp; CHILL'!H2083,"AAAAAD//+0c=")</f>
        <v>#VALUE!</v>
      </c>
      <c r="BU334" t="e">
        <f>AND('STERLING CATALOG - FZN &amp; CHILL'!I2083,"AAAAAD//+0g=")</f>
        <v>#VALUE!</v>
      </c>
      <c r="BV334" t="e">
        <f>AND('STERLING CATALOG - FZN &amp; CHILL'!J2083,"AAAAAD//+0k=")</f>
        <v>#VALUE!</v>
      </c>
      <c r="BW334">
        <f>IF('STERLING CATALOG - FZN &amp; CHILL'!2084:2084,"AAAAAD//+0o=",0)</f>
        <v>0</v>
      </c>
      <c r="BX334" t="e">
        <f>AND('STERLING CATALOG - FZN &amp; CHILL'!A2084,"AAAAAD//+0s=")</f>
        <v>#VALUE!</v>
      </c>
      <c r="BY334" t="e">
        <f>AND('STERLING CATALOG - FZN &amp; CHILL'!B2084,"AAAAAD//+0w=")</f>
        <v>#VALUE!</v>
      </c>
      <c r="BZ334" t="e">
        <f>AND('STERLING CATALOG - FZN &amp; CHILL'!C2084,"AAAAAD//+00=")</f>
        <v>#VALUE!</v>
      </c>
      <c r="CA334" t="e">
        <f>AND('STERLING CATALOG - FZN &amp; CHILL'!D2084,"AAAAAD//+04=")</f>
        <v>#VALUE!</v>
      </c>
      <c r="CB334" t="e">
        <f>AND('STERLING CATALOG - FZN &amp; CHILL'!E2084,"AAAAAD//+08=")</f>
        <v>#VALUE!</v>
      </c>
      <c r="CC334" t="e">
        <f>AND('STERLING CATALOG - FZN &amp; CHILL'!F2084,"AAAAAD//+1A=")</f>
        <v>#VALUE!</v>
      </c>
      <c r="CD334" t="e">
        <f>AND('STERLING CATALOG - FZN &amp; CHILL'!G2084,"AAAAAD//+1E=")</f>
        <v>#VALUE!</v>
      </c>
      <c r="CE334" t="e">
        <f>AND('STERLING CATALOG - FZN &amp; CHILL'!H2084,"AAAAAD//+1I=")</f>
        <v>#VALUE!</v>
      </c>
      <c r="CF334" t="e">
        <f>AND('STERLING CATALOG - FZN &amp; CHILL'!I2084,"AAAAAD//+1M=")</f>
        <v>#VALUE!</v>
      </c>
      <c r="CG334" t="e">
        <f>AND('STERLING CATALOG - FZN &amp; CHILL'!J2084,"AAAAAD//+1Q=")</f>
        <v>#VALUE!</v>
      </c>
      <c r="CH334">
        <f>IF('STERLING CATALOG - FZN &amp; CHILL'!2085:2085,"AAAAAD//+1U=",0)</f>
        <v>0</v>
      </c>
      <c r="CI334" t="e">
        <f>AND('STERLING CATALOG - FZN &amp; CHILL'!A2085,"AAAAAD//+1Y=")</f>
        <v>#VALUE!</v>
      </c>
      <c r="CJ334" t="e">
        <f>AND('STERLING CATALOG - FZN &amp; CHILL'!B2085,"AAAAAD//+1c=")</f>
        <v>#VALUE!</v>
      </c>
      <c r="CK334" t="e">
        <f>AND('STERLING CATALOG - FZN &amp; CHILL'!C2085,"AAAAAD//+1g=")</f>
        <v>#VALUE!</v>
      </c>
      <c r="CL334" t="e">
        <f>AND('STERLING CATALOG - FZN &amp; CHILL'!D2085,"AAAAAD//+1k=")</f>
        <v>#VALUE!</v>
      </c>
      <c r="CM334" t="e">
        <f>AND('STERLING CATALOG - FZN &amp; CHILL'!E2085,"AAAAAD//+1o=")</f>
        <v>#VALUE!</v>
      </c>
      <c r="CN334" t="e">
        <f>AND('STERLING CATALOG - FZN &amp; CHILL'!F2085,"AAAAAD//+1s=")</f>
        <v>#VALUE!</v>
      </c>
      <c r="CO334" t="e">
        <f>AND('STERLING CATALOG - FZN &amp; CHILL'!G2085,"AAAAAD//+1w=")</f>
        <v>#VALUE!</v>
      </c>
      <c r="CP334" t="e">
        <f>AND('STERLING CATALOG - FZN &amp; CHILL'!H2085,"AAAAAD//+10=")</f>
        <v>#VALUE!</v>
      </c>
      <c r="CQ334" t="e">
        <f>AND('STERLING CATALOG - FZN &amp; CHILL'!I2085,"AAAAAD//+14=")</f>
        <v>#VALUE!</v>
      </c>
      <c r="CR334" t="e">
        <f>AND('STERLING CATALOG - FZN &amp; CHILL'!J2085,"AAAAAD//+18=")</f>
        <v>#VALUE!</v>
      </c>
      <c r="CS334">
        <f>IF('STERLING CATALOG - FZN &amp; CHILL'!2086:2086,"AAAAAD//+2A=",0)</f>
        <v>0</v>
      </c>
      <c r="CT334" t="e">
        <f>AND('STERLING CATALOG - FZN &amp; CHILL'!A2086,"AAAAAD//+2E=")</f>
        <v>#VALUE!</v>
      </c>
      <c r="CU334" t="e">
        <f>AND('STERLING CATALOG - FZN &amp; CHILL'!B2086,"AAAAAD//+2I=")</f>
        <v>#VALUE!</v>
      </c>
      <c r="CV334" t="e">
        <f>AND('STERLING CATALOG - FZN &amp; CHILL'!C2086,"AAAAAD//+2M=")</f>
        <v>#VALUE!</v>
      </c>
      <c r="CW334" t="e">
        <f>AND('STERLING CATALOG - FZN &amp; CHILL'!D2086,"AAAAAD//+2Q=")</f>
        <v>#VALUE!</v>
      </c>
      <c r="CX334" t="e">
        <f>AND('STERLING CATALOG - FZN &amp; CHILL'!E2086,"AAAAAD//+2U=")</f>
        <v>#VALUE!</v>
      </c>
      <c r="CY334" t="e">
        <f>AND('STERLING CATALOG - FZN &amp; CHILL'!F2086,"AAAAAD//+2Y=")</f>
        <v>#VALUE!</v>
      </c>
      <c r="CZ334" t="e">
        <f>AND('STERLING CATALOG - FZN &amp; CHILL'!G2086,"AAAAAD//+2c=")</f>
        <v>#VALUE!</v>
      </c>
      <c r="DA334" t="e">
        <f>AND('STERLING CATALOG - FZN &amp; CHILL'!H2086,"AAAAAD//+2g=")</f>
        <v>#VALUE!</v>
      </c>
      <c r="DB334" t="e">
        <f>AND('STERLING CATALOG - FZN &amp; CHILL'!I2086,"AAAAAD//+2k=")</f>
        <v>#VALUE!</v>
      </c>
      <c r="DC334" t="e">
        <f>AND('STERLING CATALOG - FZN &amp; CHILL'!J2086,"AAAAAD//+2o=")</f>
        <v>#VALUE!</v>
      </c>
      <c r="DD334">
        <f>IF('STERLING CATALOG - FZN &amp; CHILL'!2087:2087,"AAAAAD//+2s=",0)</f>
        <v>0</v>
      </c>
      <c r="DE334" t="e">
        <f>AND('STERLING CATALOG - FZN &amp; CHILL'!A2087,"AAAAAD//+2w=")</f>
        <v>#VALUE!</v>
      </c>
      <c r="DF334" t="e">
        <f>AND('STERLING CATALOG - FZN &amp; CHILL'!B2087,"AAAAAD//+20=")</f>
        <v>#VALUE!</v>
      </c>
      <c r="DG334" t="e">
        <f>AND('STERLING CATALOG - FZN &amp; CHILL'!C2087,"AAAAAD//+24=")</f>
        <v>#VALUE!</v>
      </c>
      <c r="DH334" t="e">
        <f>AND('STERLING CATALOG - FZN &amp; CHILL'!D2087,"AAAAAD//+28=")</f>
        <v>#VALUE!</v>
      </c>
      <c r="DI334" t="e">
        <f>AND('STERLING CATALOG - FZN &amp; CHILL'!E2087,"AAAAAD//+3A=")</f>
        <v>#VALUE!</v>
      </c>
      <c r="DJ334" t="e">
        <f>AND('STERLING CATALOG - FZN &amp; CHILL'!F2087,"AAAAAD//+3E=")</f>
        <v>#VALUE!</v>
      </c>
      <c r="DK334" t="e">
        <f>AND('STERLING CATALOG - FZN &amp; CHILL'!G2087,"AAAAAD//+3I=")</f>
        <v>#VALUE!</v>
      </c>
      <c r="DL334" t="e">
        <f>AND('STERLING CATALOG - FZN &amp; CHILL'!H2087,"AAAAAD//+3M=")</f>
        <v>#VALUE!</v>
      </c>
      <c r="DM334" t="e">
        <f>AND('STERLING CATALOG - FZN &amp; CHILL'!I2087,"AAAAAD//+3Q=")</f>
        <v>#VALUE!</v>
      </c>
      <c r="DN334" t="e">
        <f>AND('STERLING CATALOG - FZN &amp; CHILL'!J2087,"AAAAAD//+3U=")</f>
        <v>#VALUE!</v>
      </c>
      <c r="DO334">
        <f>IF('STERLING CATALOG - FZN &amp; CHILL'!2088:2088,"AAAAAD//+3Y=",0)</f>
        <v>0</v>
      </c>
      <c r="DP334" t="e">
        <f>AND('STERLING CATALOG - FZN &amp; CHILL'!A2088,"AAAAAD//+3c=")</f>
        <v>#VALUE!</v>
      </c>
      <c r="DQ334" t="e">
        <f>AND('STERLING CATALOG - FZN &amp; CHILL'!B2088,"AAAAAD//+3g=")</f>
        <v>#VALUE!</v>
      </c>
      <c r="DR334" t="e">
        <f>AND('STERLING CATALOG - FZN &amp; CHILL'!C2088,"AAAAAD//+3k=")</f>
        <v>#VALUE!</v>
      </c>
      <c r="DS334" t="e">
        <f>AND('STERLING CATALOG - FZN &amp; CHILL'!D2088,"AAAAAD//+3o=")</f>
        <v>#VALUE!</v>
      </c>
      <c r="DT334" t="e">
        <f>AND('STERLING CATALOG - FZN &amp; CHILL'!E2088,"AAAAAD//+3s=")</f>
        <v>#VALUE!</v>
      </c>
      <c r="DU334" t="e">
        <f>AND('STERLING CATALOG - FZN &amp; CHILL'!F2088,"AAAAAD//+3w=")</f>
        <v>#VALUE!</v>
      </c>
      <c r="DV334" t="e">
        <f>AND('STERLING CATALOG - FZN &amp; CHILL'!G2088,"AAAAAD//+30=")</f>
        <v>#VALUE!</v>
      </c>
      <c r="DW334" t="e">
        <f>AND('STERLING CATALOG - FZN &amp; CHILL'!H2088,"AAAAAD//+34=")</f>
        <v>#VALUE!</v>
      </c>
      <c r="DX334" t="e">
        <f>AND('STERLING CATALOG - FZN &amp; CHILL'!I2088,"AAAAAD//+38=")</f>
        <v>#VALUE!</v>
      </c>
      <c r="DY334" t="e">
        <f>AND('STERLING CATALOG - FZN &amp; CHILL'!J2088,"AAAAAD//+4A=")</f>
        <v>#VALUE!</v>
      </c>
      <c r="DZ334">
        <f>IF('STERLING CATALOG - FZN &amp; CHILL'!2089:2089,"AAAAAD//+4E=",0)</f>
        <v>0</v>
      </c>
      <c r="EA334" t="e">
        <f>AND('STERLING CATALOG - FZN &amp; CHILL'!A2089,"AAAAAD//+4I=")</f>
        <v>#VALUE!</v>
      </c>
      <c r="EB334" t="e">
        <f>AND('STERLING CATALOG - FZN &amp; CHILL'!B2089,"AAAAAD//+4M=")</f>
        <v>#VALUE!</v>
      </c>
      <c r="EC334" t="e">
        <f>AND('STERLING CATALOG - FZN &amp; CHILL'!C2089,"AAAAAD//+4Q=")</f>
        <v>#VALUE!</v>
      </c>
      <c r="ED334" t="e">
        <f>AND('STERLING CATALOG - FZN &amp; CHILL'!D2089,"AAAAAD//+4U=")</f>
        <v>#VALUE!</v>
      </c>
      <c r="EE334" t="e">
        <f>AND('STERLING CATALOG - FZN &amp; CHILL'!E2089,"AAAAAD//+4Y=")</f>
        <v>#VALUE!</v>
      </c>
      <c r="EF334" t="e">
        <f>AND('STERLING CATALOG - FZN &amp; CHILL'!F2089,"AAAAAD//+4c=")</f>
        <v>#VALUE!</v>
      </c>
      <c r="EG334" t="e">
        <f>AND('STERLING CATALOG - FZN &amp; CHILL'!G2089,"AAAAAD//+4g=")</f>
        <v>#VALUE!</v>
      </c>
      <c r="EH334" t="e">
        <f>AND('STERLING CATALOG - FZN &amp; CHILL'!H2089,"AAAAAD//+4k=")</f>
        <v>#VALUE!</v>
      </c>
      <c r="EI334" t="e">
        <f>AND('STERLING CATALOG - FZN &amp; CHILL'!I2089,"AAAAAD//+4o=")</f>
        <v>#VALUE!</v>
      </c>
      <c r="EJ334" t="e">
        <f>AND('STERLING CATALOG - FZN &amp; CHILL'!J2089,"AAAAAD//+4s=")</f>
        <v>#VALUE!</v>
      </c>
      <c r="EK334">
        <f>IF('STERLING CATALOG - FZN &amp; CHILL'!2090:2090,"AAAAAD//+4w=",0)</f>
        <v>0</v>
      </c>
      <c r="EL334" t="e">
        <f>AND('STERLING CATALOG - FZN &amp; CHILL'!A2090,"AAAAAD//+40=")</f>
        <v>#VALUE!</v>
      </c>
      <c r="EM334" t="e">
        <f>AND('STERLING CATALOG - FZN &amp; CHILL'!B2090,"AAAAAD//+44=")</f>
        <v>#VALUE!</v>
      </c>
      <c r="EN334" t="e">
        <f>AND('STERLING CATALOG - FZN &amp; CHILL'!C2090,"AAAAAD//+48=")</f>
        <v>#VALUE!</v>
      </c>
      <c r="EO334" t="e">
        <f>AND('STERLING CATALOG - FZN &amp; CHILL'!D2090,"AAAAAD//+5A=")</f>
        <v>#VALUE!</v>
      </c>
      <c r="EP334" t="e">
        <f>AND('STERLING CATALOG - FZN &amp; CHILL'!E2090,"AAAAAD//+5E=")</f>
        <v>#VALUE!</v>
      </c>
      <c r="EQ334" t="e">
        <f>AND('STERLING CATALOG - FZN &amp; CHILL'!F2090,"AAAAAD//+5I=")</f>
        <v>#VALUE!</v>
      </c>
      <c r="ER334" t="e">
        <f>AND('STERLING CATALOG - FZN &amp; CHILL'!G2090,"AAAAAD//+5M=")</f>
        <v>#VALUE!</v>
      </c>
      <c r="ES334" t="e">
        <f>AND('STERLING CATALOG - FZN &amp; CHILL'!H2090,"AAAAAD//+5Q=")</f>
        <v>#VALUE!</v>
      </c>
      <c r="ET334" t="e">
        <f>AND('STERLING CATALOG - FZN &amp; CHILL'!I2090,"AAAAAD//+5U=")</f>
        <v>#VALUE!</v>
      </c>
      <c r="EU334" t="e">
        <f>AND('STERLING CATALOG - FZN &amp; CHILL'!J2090,"AAAAAD//+5Y=")</f>
        <v>#VALUE!</v>
      </c>
      <c r="EV334">
        <f>IF('STERLING CATALOG - FZN &amp; CHILL'!2091:2091,"AAAAAD//+5c=",0)</f>
        <v>0</v>
      </c>
      <c r="EW334" t="e">
        <f>AND('STERLING CATALOG - FZN &amp; CHILL'!A2091,"AAAAAD//+5g=")</f>
        <v>#VALUE!</v>
      </c>
      <c r="EX334" t="e">
        <f>AND('STERLING CATALOG - FZN &amp; CHILL'!B2091,"AAAAAD//+5k=")</f>
        <v>#VALUE!</v>
      </c>
      <c r="EY334" t="e">
        <f>AND('STERLING CATALOG - FZN &amp; CHILL'!C2091,"AAAAAD//+5o=")</f>
        <v>#VALUE!</v>
      </c>
      <c r="EZ334" t="e">
        <f>AND('STERLING CATALOG - FZN &amp; CHILL'!D2091,"AAAAAD//+5s=")</f>
        <v>#VALUE!</v>
      </c>
      <c r="FA334" t="e">
        <f>AND('STERLING CATALOG - FZN &amp; CHILL'!E2091,"AAAAAD//+5w=")</f>
        <v>#VALUE!</v>
      </c>
      <c r="FB334" t="e">
        <f>AND('STERLING CATALOG - FZN &amp; CHILL'!F2091,"AAAAAD//+50=")</f>
        <v>#VALUE!</v>
      </c>
      <c r="FC334" t="e">
        <f>AND('STERLING CATALOG - FZN &amp; CHILL'!G2091,"AAAAAD//+54=")</f>
        <v>#VALUE!</v>
      </c>
      <c r="FD334" t="e">
        <f>AND('STERLING CATALOG - FZN &amp; CHILL'!H2091,"AAAAAD//+58=")</f>
        <v>#VALUE!</v>
      </c>
      <c r="FE334" t="e">
        <f>AND('STERLING CATALOG - FZN &amp; CHILL'!I2091,"AAAAAD//+6A=")</f>
        <v>#VALUE!</v>
      </c>
      <c r="FF334" t="e">
        <f>AND('STERLING CATALOG - FZN &amp; CHILL'!J2091,"AAAAAD//+6E=")</f>
        <v>#VALUE!</v>
      </c>
      <c r="FG334">
        <f>IF('STERLING CATALOG - FZN &amp; CHILL'!2092:2092,"AAAAAD//+6I=",0)</f>
        <v>0</v>
      </c>
      <c r="FH334" t="e">
        <f>AND('STERLING CATALOG - FZN &amp; CHILL'!A2092,"AAAAAD//+6M=")</f>
        <v>#VALUE!</v>
      </c>
      <c r="FI334" t="e">
        <f>AND('STERLING CATALOG - FZN &amp; CHILL'!B2092,"AAAAAD//+6Q=")</f>
        <v>#VALUE!</v>
      </c>
      <c r="FJ334" t="e">
        <f>AND('STERLING CATALOG - FZN &amp; CHILL'!C2092,"AAAAAD//+6U=")</f>
        <v>#VALUE!</v>
      </c>
      <c r="FK334" t="e">
        <f>AND('STERLING CATALOG - FZN &amp; CHILL'!D2092,"AAAAAD//+6Y=")</f>
        <v>#VALUE!</v>
      </c>
      <c r="FL334" t="e">
        <f>AND('STERLING CATALOG - FZN &amp; CHILL'!E2092,"AAAAAD//+6c=")</f>
        <v>#VALUE!</v>
      </c>
      <c r="FM334" t="e">
        <f>AND('STERLING CATALOG - FZN &amp; CHILL'!F2092,"AAAAAD//+6g=")</f>
        <v>#VALUE!</v>
      </c>
      <c r="FN334" t="e">
        <f>AND('STERLING CATALOG - FZN &amp; CHILL'!G2092,"AAAAAD//+6k=")</f>
        <v>#VALUE!</v>
      </c>
      <c r="FO334" t="e">
        <f>AND('STERLING CATALOG - FZN &amp; CHILL'!H2092,"AAAAAD//+6o=")</f>
        <v>#VALUE!</v>
      </c>
      <c r="FP334" t="e">
        <f>AND('STERLING CATALOG - FZN &amp; CHILL'!I2092,"AAAAAD//+6s=")</f>
        <v>#VALUE!</v>
      </c>
      <c r="FQ334" t="e">
        <f>AND('STERLING CATALOG - FZN &amp; CHILL'!J2092,"AAAAAD//+6w=")</f>
        <v>#VALUE!</v>
      </c>
      <c r="FR334">
        <f>IF('STERLING CATALOG - FZN &amp; CHILL'!2093:2093,"AAAAAD//+60=",0)</f>
        <v>0</v>
      </c>
      <c r="FS334" t="e">
        <f>AND('STERLING CATALOG - FZN &amp; CHILL'!A2093,"AAAAAD//+64=")</f>
        <v>#VALUE!</v>
      </c>
      <c r="FT334" t="e">
        <f>AND('STERLING CATALOG - FZN &amp; CHILL'!B2093,"AAAAAD//+68=")</f>
        <v>#VALUE!</v>
      </c>
      <c r="FU334" t="e">
        <f>AND('STERLING CATALOG - FZN &amp; CHILL'!C2093,"AAAAAD//+7A=")</f>
        <v>#VALUE!</v>
      </c>
      <c r="FV334" t="e">
        <f>AND('STERLING CATALOG - FZN &amp; CHILL'!D2093,"AAAAAD//+7E=")</f>
        <v>#VALUE!</v>
      </c>
      <c r="FW334" t="e">
        <f>AND('STERLING CATALOG - FZN &amp; CHILL'!E2093,"AAAAAD//+7I=")</f>
        <v>#VALUE!</v>
      </c>
      <c r="FX334" t="e">
        <f>AND('STERLING CATALOG - FZN &amp; CHILL'!F2093,"AAAAAD//+7M=")</f>
        <v>#VALUE!</v>
      </c>
      <c r="FY334" t="e">
        <f>AND('STERLING CATALOG - FZN &amp; CHILL'!G2093,"AAAAAD//+7Q=")</f>
        <v>#VALUE!</v>
      </c>
      <c r="FZ334" t="e">
        <f>AND('STERLING CATALOG - FZN &amp; CHILL'!H2093,"AAAAAD//+7U=")</f>
        <v>#VALUE!</v>
      </c>
      <c r="GA334" t="e">
        <f>AND('STERLING CATALOG - FZN &amp; CHILL'!I2093,"AAAAAD//+7Y=")</f>
        <v>#VALUE!</v>
      </c>
      <c r="GB334" t="e">
        <f>AND('STERLING CATALOG - FZN &amp; CHILL'!J2093,"AAAAAD//+7c=")</f>
        <v>#VALUE!</v>
      </c>
      <c r="GC334">
        <f>IF('STERLING CATALOG - FZN &amp; CHILL'!2094:2094,"AAAAAD//+7g=",0)</f>
        <v>0</v>
      </c>
      <c r="GD334" t="e">
        <f>AND('STERLING CATALOG - FZN &amp; CHILL'!A2094,"AAAAAD//+7k=")</f>
        <v>#VALUE!</v>
      </c>
      <c r="GE334" t="e">
        <f>AND('STERLING CATALOG - FZN &amp; CHILL'!B2094,"AAAAAD//+7o=")</f>
        <v>#VALUE!</v>
      </c>
      <c r="GF334" t="e">
        <f>AND('STERLING CATALOG - FZN &amp; CHILL'!C2094,"AAAAAD//+7s=")</f>
        <v>#VALUE!</v>
      </c>
      <c r="GG334" t="e">
        <f>AND('STERLING CATALOG - FZN &amp; CHILL'!D2094,"AAAAAD//+7w=")</f>
        <v>#VALUE!</v>
      </c>
      <c r="GH334" t="e">
        <f>AND('STERLING CATALOG - FZN &amp; CHILL'!E2094,"AAAAAD//+70=")</f>
        <v>#VALUE!</v>
      </c>
      <c r="GI334" t="e">
        <f>AND('STERLING CATALOG - FZN &amp; CHILL'!F2094,"AAAAAD//+74=")</f>
        <v>#VALUE!</v>
      </c>
      <c r="GJ334" t="e">
        <f>AND('STERLING CATALOG - FZN &amp; CHILL'!G2094,"AAAAAD//+78=")</f>
        <v>#VALUE!</v>
      </c>
      <c r="GK334" t="e">
        <f>AND('STERLING CATALOG - FZN &amp; CHILL'!H2094,"AAAAAD//+8A=")</f>
        <v>#VALUE!</v>
      </c>
      <c r="GL334" t="e">
        <f>AND('STERLING CATALOG - FZN &amp; CHILL'!I2094,"AAAAAD//+8E=")</f>
        <v>#VALUE!</v>
      </c>
      <c r="GM334" t="e">
        <f>AND('STERLING CATALOG - FZN &amp; CHILL'!J2094,"AAAAAD//+8I=")</f>
        <v>#VALUE!</v>
      </c>
      <c r="GN334">
        <f>IF('STERLING CATALOG - FZN &amp; CHILL'!2095:2095,"AAAAAD//+8M=",0)</f>
        <v>0</v>
      </c>
      <c r="GO334" t="e">
        <f>AND('STERLING CATALOG - FZN &amp; CHILL'!A2095,"AAAAAD//+8Q=")</f>
        <v>#VALUE!</v>
      </c>
      <c r="GP334" t="e">
        <f>AND('STERLING CATALOG - FZN &amp; CHILL'!B2095,"AAAAAD//+8U=")</f>
        <v>#VALUE!</v>
      </c>
      <c r="GQ334" t="e">
        <f>AND('STERLING CATALOG - FZN &amp; CHILL'!C2095,"AAAAAD//+8Y=")</f>
        <v>#VALUE!</v>
      </c>
      <c r="GR334" t="e">
        <f>AND('STERLING CATALOG - FZN &amp; CHILL'!D2095,"AAAAAD//+8c=")</f>
        <v>#VALUE!</v>
      </c>
      <c r="GS334" t="e">
        <f>AND('STERLING CATALOG - FZN &amp; CHILL'!E2095,"AAAAAD//+8g=")</f>
        <v>#VALUE!</v>
      </c>
      <c r="GT334" t="e">
        <f>AND('STERLING CATALOG - FZN &amp; CHILL'!F2095,"AAAAAD//+8k=")</f>
        <v>#VALUE!</v>
      </c>
      <c r="GU334" t="e">
        <f>AND('STERLING CATALOG - FZN &amp; CHILL'!G2095,"AAAAAD//+8o=")</f>
        <v>#VALUE!</v>
      </c>
      <c r="GV334" t="e">
        <f>AND('STERLING CATALOG - FZN &amp; CHILL'!H2095,"AAAAAD//+8s=")</f>
        <v>#VALUE!</v>
      </c>
      <c r="GW334" t="e">
        <f>AND('STERLING CATALOG - FZN &amp; CHILL'!I2095,"AAAAAD//+8w=")</f>
        <v>#VALUE!</v>
      </c>
      <c r="GX334" t="e">
        <f>AND('STERLING CATALOG - FZN &amp; CHILL'!J2095,"AAAAAD//+80=")</f>
        <v>#VALUE!</v>
      </c>
      <c r="GY334">
        <f>IF('STERLING CATALOG - FZN &amp; CHILL'!2096:2096,"AAAAAD//+84=",0)</f>
        <v>0</v>
      </c>
      <c r="GZ334" t="e">
        <f>AND('STERLING CATALOG - FZN &amp; CHILL'!A2096,"AAAAAD//+88=")</f>
        <v>#VALUE!</v>
      </c>
      <c r="HA334" t="e">
        <f>AND('STERLING CATALOG - FZN &amp; CHILL'!B2096,"AAAAAD//+9A=")</f>
        <v>#VALUE!</v>
      </c>
      <c r="HB334" t="e">
        <f>AND('STERLING CATALOG - FZN &amp; CHILL'!C2096,"AAAAAD//+9E=")</f>
        <v>#VALUE!</v>
      </c>
      <c r="HC334" t="e">
        <f>AND('STERLING CATALOG - FZN &amp; CHILL'!D2096,"AAAAAD//+9I=")</f>
        <v>#VALUE!</v>
      </c>
      <c r="HD334" t="e">
        <f>AND('STERLING CATALOG - FZN &amp; CHILL'!E2096,"AAAAAD//+9M=")</f>
        <v>#VALUE!</v>
      </c>
      <c r="HE334" t="e">
        <f>AND('STERLING CATALOG - FZN &amp; CHILL'!F2096,"AAAAAD//+9Q=")</f>
        <v>#VALUE!</v>
      </c>
      <c r="HF334" t="e">
        <f>AND('STERLING CATALOG - FZN &amp; CHILL'!G2096,"AAAAAD//+9U=")</f>
        <v>#VALUE!</v>
      </c>
      <c r="HG334" t="e">
        <f>AND('STERLING CATALOG - FZN &amp; CHILL'!H2096,"AAAAAD//+9Y=")</f>
        <v>#VALUE!</v>
      </c>
      <c r="HH334" t="e">
        <f>AND('STERLING CATALOG - FZN &amp; CHILL'!I2096,"AAAAAD//+9c=")</f>
        <v>#VALUE!</v>
      </c>
      <c r="HI334" t="e">
        <f>AND('STERLING CATALOG - FZN &amp; CHILL'!J2096,"AAAAAD//+9g=")</f>
        <v>#VALUE!</v>
      </c>
      <c r="HJ334">
        <f>IF('STERLING CATALOG - FZN &amp; CHILL'!2097:2097,"AAAAAD//+9k=",0)</f>
        <v>0</v>
      </c>
      <c r="HK334" t="e">
        <f>AND('STERLING CATALOG - FZN &amp; CHILL'!A2097,"AAAAAD//+9o=")</f>
        <v>#VALUE!</v>
      </c>
      <c r="HL334" t="e">
        <f>AND('STERLING CATALOG - FZN &amp; CHILL'!B2097,"AAAAAD//+9s=")</f>
        <v>#VALUE!</v>
      </c>
      <c r="HM334" t="e">
        <f>AND('STERLING CATALOG - FZN &amp; CHILL'!C2097,"AAAAAD//+9w=")</f>
        <v>#VALUE!</v>
      </c>
      <c r="HN334" t="e">
        <f>AND('STERLING CATALOG - FZN &amp; CHILL'!D2097,"AAAAAD//+90=")</f>
        <v>#VALUE!</v>
      </c>
      <c r="HO334" t="e">
        <f>AND('STERLING CATALOG - FZN &amp; CHILL'!E2097,"AAAAAD//+94=")</f>
        <v>#VALUE!</v>
      </c>
      <c r="HP334" t="e">
        <f>AND('STERLING CATALOG - FZN &amp; CHILL'!F2097,"AAAAAD//+98=")</f>
        <v>#VALUE!</v>
      </c>
      <c r="HQ334" t="e">
        <f>AND('STERLING CATALOG - FZN &amp; CHILL'!G2097,"AAAAAD//++A=")</f>
        <v>#VALUE!</v>
      </c>
      <c r="HR334" t="e">
        <f>AND('STERLING CATALOG - FZN &amp; CHILL'!H2097,"AAAAAD//++E=")</f>
        <v>#VALUE!</v>
      </c>
      <c r="HS334" t="e">
        <f>AND('STERLING CATALOG - FZN &amp; CHILL'!I2097,"AAAAAD//++I=")</f>
        <v>#VALUE!</v>
      </c>
      <c r="HT334" t="e">
        <f>AND('STERLING CATALOG - FZN &amp; CHILL'!J2097,"AAAAAD//++M=")</f>
        <v>#VALUE!</v>
      </c>
      <c r="HU334">
        <f>IF('STERLING CATALOG - FZN &amp; CHILL'!2098:2098,"AAAAAD//++Q=",0)</f>
        <v>0</v>
      </c>
      <c r="HV334" t="e">
        <f>AND('STERLING CATALOG - FZN &amp; CHILL'!A2098,"AAAAAD//++U=")</f>
        <v>#VALUE!</v>
      </c>
      <c r="HW334" t="e">
        <f>AND('STERLING CATALOG - FZN &amp; CHILL'!B2098,"AAAAAD//++Y=")</f>
        <v>#VALUE!</v>
      </c>
      <c r="HX334" t="e">
        <f>AND('STERLING CATALOG - FZN &amp; CHILL'!C2098,"AAAAAD//++c=")</f>
        <v>#VALUE!</v>
      </c>
      <c r="HY334" t="e">
        <f>AND('STERLING CATALOG - FZN &amp; CHILL'!D2098,"AAAAAD//++g=")</f>
        <v>#VALUE!</v>
      </c>
      <c r="HZ334" t="e">
        <f>AND('STERLING CATALOG - FZN &amp; CHILL'!E2098,"AAAAAD//++k=")</f>
        <v>#VALUE!</v>
      </c>
      <c r="IA334" t="e">
        <f>AND('STERLING CATALOG - FZN &amp; CHILL'!F2098,"AAAAAD//++o=")</f>
        <v>#VALUE!</v>
      </c>
      <c r="IB334" t="e">
        <f>AND('STERLING CATALOG - FZN &amp; CHILL'!G2098,"AAAAAD//++s=")</f>
        <v>#VALUE!</v>
      </c>
      <c r="IC334" t="e">
        <f>AND('STERLING CATALOG - FZN &amp; CHILL'!H2098,"AAAAAD//++w=")</f>
        <v>#VALUE!</v>
      </c>
      <c r="ID334" t="e">
        <f>AND('STERLING CATALOG - FZN &amp; CHILL'!I2098,"AAAAAD//++0=")</f>
        <v>#VALUE!</v>
      </c>
      <c r="IE334" t="e">
        <f>AND('STERLING CATALOG - FZN &amp; CHILL'!J2098,"AAAAAD//++4=")</f>
        <v>#VALUE!</v>
      </c>
      <c r="IF334">
        <f>IF('STERLING CATALOG - FZN &amp; CHILL'!2099:2099,"AAAAAD//++8=",0)</f>
        <v>0</v>
      </c>
      <c r="IG334" t="e">
        <f>AND('STERLING CATALOG - FZN &amp; CHILL'!A2099,"AAAAAD//+/A=")</f>
        <v>#VALUE!</v>
      </c>
      <c r="IH334" t="e">
        <f>AND('STERLING CATALOG - FZN &amp; CHILL'!B2099,"AAAAAD//+/E=")</f>
        <v>#VALUE!</v>
      </c>
      <c r="II334" t="e">
        <f>AND('STERLING CATALOG - FZN &amp; CHILL'!C2099,"AAAAAD//+/I=")</f>
        <v>#VALUE!</v>
      </c>
      <c r="IJ334" t="e">
        <f>AND('STERLING CATALOG - FZN &amp; CHILL'!D2099,"AAAAAD//+/M=")</f>
        <v>#VALUE!</v>
      </c>
      <c r="IK334" t="e">
        <f>AND('STERLING CATALOG - FZN &amp; CHILL'!E2099,"AAAAAD//+/Q=")</f>
        <v>#VALUE!</v>
      </c>
      <c r="IL334" t="e">
        <f>AND('STERLING CATALOG - FZN &amp; CHILL'!F2099,"AAAAAD//+/U=")</f>
        <v>#VALUE!</v>
      </c>
      <c r="IM334" t="e">
        <f>AND('STERLING CATALOG - FZN &amp; CHILL'!G2099,"AAAAAD//+/Y=")</f>
        <v>#VALUE!</v>
      </c>
      <c r="IN334" t="e">
        <f>AND('STERLING CATALOG - FZN &amp; CHILL'!H2099,"AAAAAD//+/c=")</f>
        <v>#VALUE!</v>
      </c>
      <c r="IO334" t="e">
        <f>AND('STERLING CATALOG - FZN &amp; CHILL'!I2099,"AAAAAD//+/g=")</f>
        <v>#VALUE!</v>
      </c>
      <c r="IP334" t="e">
        <f>AND('STERLING CATALOG - FZN &amp; CHILL'!J2099,"AAAAAD//+/k=")</f>
        <v>#VALUE!</v>
      </c>
      <c r="IQ334">
        <f>IF('STERLING CATALOG - FZN &amp; CHILL'!2100:2100,"AAAAAD//+/o=",0)</f>
        <v>0</v>
      </c>
      <c r="IR334" t="e">
        <f>AND('STERLING CATALOG - FZN &amp; CHILL'!A2100,"AAAAAD//+/s=")</f>
        <v>#VALUE!</v>
      </c>
      <c r="IS334" t="e">
        <f>AND('STERLING CATALOG - FZN &amp; CHILL'!B2100,"AAAAAD//+/w=")</f>
        <v>#VALUE!</v>
      </c>
      <c r="IT334" t="e">
        <f>AND('STERLING CATALOG - FZN &amp; CHILL'!C2100,"AAAAAD//+/0=")</f>
        <v>#VALUE!</v>
      </c>
      <c r="IU334" t="e">
        <f>AND('STERLING CATALOG - FZN &amp; CHILL'!D2100,"AAAAAD//+/4=")</f>
        <v>#VALUE!</v>
      </c>
      <c r="IV334" t="e">
        <f>AND('STERLING CATALOG - FZN &amp; CHILL'!E2100,"AAAAAD//+/8=")</f>
        <v>#VALUE!</v>
      </c>
    </row>
    <row r="335" spans="1:256">
      <c r="A335" t="e">
        <f>AND('STERLING CATALOG - FZN &amp; CHILL'!F2100,"AAAAAH7/6AA=")</f>
        <v>#VALUE!</v>
      </c>
      <c r="B335" t="e">
        <f>AND('STERLING CATALOG - FZN &amp; CHILL'!G2100,"AAAAAH7/6AE=")</f>
        <v>#VALUE!</v>
      </c>
      <c r="C335" t="e">
        <f>AND('STERLING CATALOG - FZN &amp; CHILL'!H2100,"AAAAAH7/6AI=")</f>
        <v>#VALUE!</v>
      </c>
      <c r="D335" t="e">
        <f>AND('STERLING CATALOG - FZN &amp; CHILL'!I2100,"AAAAAH7/6AM=")</f>
        <v>#VALUE!</v>
      </c>
      <c r="E335" t="e">
        <f>AND('STERLING CATALOG - FZN &amp; CHILL'!J2100,"AAAAAH7/6AQ=")</f>
        <v>#VALUE!</v>
      </c>
      <c r="F335" t="str">
        <f>IF('STERLING CATALOG - FZN &amp; CHILL'!2101:2101,"AAAAAH7/6AU=",0)</f>
        <v>AAAAAH7/6AU=</v>
      </c>
      <c r="G335" t="e">
        <f>AND('STERLING CATALOG - FZN &amp; CHILL'!A2101,"AAAAAH7/6AY=")</f>
        <v>#VALUE!</v>
      </c>
      <c r="H335" t="e">
        <f>AND('STERLING CATALOG - FZN &amp; CHILL'!B2101,"AAAAAH7/6Ac=")</f>
        <v>#VALUE!</v>
      </c>
      <c r="I335" t="e">
        <f>AND('STERLING CATALOG - FZN &amp; CHILL'!C2101,"AAAAAH7/6Ag=")</f>
        <v>#VALUE!</v>
      </c>
      <c r="J335" t="e">
        <f>AND('STERLING CATALOG - FZN &amp; CHILL'!D2101,"AAAAAH7/6Ak=")</f>
        <v>#VALUE!</v>
      </c>
      <c r="K335" t="e">
        <f>AND('STERLING CATALOG - FZN &amp; CHILL'!E2101,"AAAAAH7/6Ao=")</f>
        <v>#VALUE!</v>
      </c>
      <c r="L335" t="e">
        <f>AND('STERLING CATALOG - FZN &amp; CHILL'!F2101,"AAAAAH7/6As=")</f>
        <v>#VALUE!</v>
      </c>
      <c r="M335" t="e">
        <f>AND('STERLING CATALOG - FZN &amp; CHILL'!G2101,"AAAAAH7/6Aw=")</f>
        <v>#VALUE!</v>
      </c>
      <c r="N335" t="e">
        <f>AND('STERLING CATALOG - FZN &amp; CHILL'!H2101,"AAAAAH7/6A0=")</f>
        <v>#VALUE!</v>
      </c>
      <c r="O335" t="e">
        <f>AND('STERLING CATALOG - FZN &amp; CHILL'!I2101,"AAAAAH7/6A4=")</f>
        <v>#VALUE!</v>
      </c>
      <c r="P335" t="e">
        <f>AND('STERLING CATALOG - FZN &amp; CHILL'!J2101,"AAAAAH7/6A8=")</f>
        <v>#VALUE!</v>
      </c>
      <c r="Q335">
        <f>IF('STERLING CATALOG - FZN &amp; CHILL'!2102:2102,"AAAAAH7/6BA=",0)</f>
        <v>0</v>
      </c>
      <c r="R335" t="e">
        <f>AND('STERLING CATALOG - FZN &amp; CHILL'!A2102,"AAAAAH7/6BE=")</f>
        <v>#VALUE!</v>
      </c>
      <c r="S335" t="e">
        <f>AND('STERLING CATALOG - FZN &amp; CHILL'!B2102,"AAAAAH7/6BI=")</f>
        <v>#VALUE!</v>
      </c>
      <c r="T335" t="e">
        <f>AND('STERLING CATALOG - FZN &amp; CHILL'!C2102,"AAAAAH7/6BM=")</f>
        <v>#VALUE!</v>
      </c>
      <c r="U335" t="e">
        <f>AND('STERLING CATALOG - FZN &amp; CHILL'!D2102,"AAAAAH7/6BQ=")</f>
        <v>#VALUE!</v>
      </c>
      <c r="V335" t="e">
        <f>AND('STERLING CATALOG - FZN &amp; CHILL'!E2102,"AAAAAH7/6BU=")</f>
        <v>#VALUE!</v>
      </c>
      <c r="W335" t="e">
        <f>AND('STERLING CATALOG - FZN &amp; CHILL'!F2102,"AAAAAH7/6BY=")</f>
        <v>#VALUE!</v>
      </c>
      <c r="X335" t="e">
        <f>AND('STERLING CATALOG - FZN &amp; CHILL'!G2102,"AAAAAH7/6Bc=")</f>
        <v>#VALUE!</v>
      </c>
      <c r="Y335" t="e">
        <f>AND('STERLING CATALOG - FZN &amp; CHILL'!H2102,"AAAAAH7/6Bg=")</f>
        <v>#VALUE!</v>
      </c>
      <c r="Z335" t="e">
        <f>AND('STERLING CATALOG - FZN &amp; CHILL'!I2102,"AAAAAH7/6Bk=")</f>
        <v>#VALUE!</v>
      </c>
      <c r="AA335" t="e">
        <f>AND('STERLING CATALOG - FZN &amp; CHILL'!J2102,"AAAAAH7/6Bo=")</f>
        <v>#VALUE!</v>
      </c>
      <c r="AB335">
        <f>IF('STERLING CATALOG - FZN &amp; CHILL'!2103:2103,"AAAAAH7/6Bs=",0)</f>
        <v>0</v>
      </c>
      <c r="AC335" t="e">
        <f>AND('STERLING CATALOG - FZN &amp; CHILL'!A2103,"AAAAAH7/6Bw=")</f>
        <v>#VALUE!</v>
      </c>
      <c r="AD335" t="e">
        <f>AND('STERLING CATALOG - FZN &amp; CHILL'!B2103,"AAAAAH7/6B0=")</f>
        <v>#VALUE!</v>
      </c>
      <c r="AE335" t="e">
        <f>AND('STERLING CATALOG - FZN &amp; CHILL'!C2103,"AAAAAH7/6B4=")</f>
        <v>#VALUE!</v>
      </c>
      <c r="AF335" t="e">
        <f>AND('STERLING CATALOG - FZN &amp; CHILL'!D2103,"AAAAAH7/6B8=")</f>
        <v>#VALUE!</v>
      </c>
      <c r="AG335" t="e">
        <f>AND('STERLING CATALOG - FZN &amp; CHILL'!E2103,"AAAAAH7/6CA=")</f>
        <v>#VALUE!</v>
      </c>
      <c r="AH335" t="e">
        <f>AND('STERLING CATALOG - FZN &amp; CHILL'!F2103,"AAAAAH7/6CE=")</f>
        <v>#VALUE!</v>
      </c>
      <c r="AI335" t="e">
        <f>AND('STERLING CATALOG - FZN &amp; CHILL'!G2103,"AAAAAH7/6CI=")</f>
        <v>#VALUE!</v>
      </c>
      <c r="AJ335" t="e">
        <f>AND('STERLING CATALOG - FZN &amp; CHILL'!H2103,"AAAAAH7/6CM=")</f>
        <v>#VALUE!</v>
      </c>
      <c r="AK335" t="e">
        <f>AND('STERLING CATALOG - FZN &amp; CHILL'!I2103,"AAAAAH7/6CQ=")</f>
        <v>#VALUE!</v>
      </c>
      <c r="AL335" t="e">
        <f>AND('STERLING CATALOG - FZN &amp; CHILL'!J2103,"AAAAAH7/6CU=")</f>
        <v>#VALUE!</v>
      </c>
      <c r="AM335">
        <f>IF('STERLING CATALOG - FZN &amp; CHILL'!2104:2104,"AAAAAH7/6CY=",0)</f>
        <v>0</v>
      </c>
      <c r="AN335" t="e">
        <f>AND('STERLING CATALOG - FZN &amp; CHILL'!A2104,"AAAAAH7/6Cc=")</f>
        <v>#VALUE!</v>
      </c>
      <c r="AO335" t="e">
        <f>AND('STERLING CATALOG - FZN &amp; CHILL'!B2104,"AAAAAH7/6Cg=")</f>
        <v>#VALUE!</v>
      </c>
      <c r="AP335" t="e">
        <f>AND('STERLING CATALOG - FZN &amp; CHILL'!C2104,"AAAAAH7/6Ck=")</f>
        <v>#VALUE!</v>
      </c>
      <c r="AQ335" t="e">
        <f>AND('STERLING CATALOG - FZN &amp; CHILL'!D2104,"AAAAAH7/6Co=")</f>
        <v>#VALUE!</v>
      </c>
      <c r="AR335" t="e">
        <f>AND('STERLING CATALOG - FZN &amp; CHILL'!E2104,"AAAAAH7/6Cs=")</f>
        <v>#VALUE!</v>
      </c>
      <c r="AS335" t="e">
        <f>AND('STERLING CATALOG - FZN &amp; CHILL'!F2104,"AAAAAH7/6Cw=")</f>
        <v>#VALUE!</v>
      </c>
      <c r="AT335" t="e">
        <f>AND('STERLING CATALOG - FZN &amp; CHILL'!G2104,"AAAAAH7/6C0=")</f>
        <v>#VALUE!</v>
      </c>
      <c r="AU335" t="e">
        <f>AND('STERLING CATALOG - FZN &amp; CHILL'!H2104,"AAAAAH7/6C4=")</f>
        <v>#VALUE!</v>
      </c>
      <c r="AV335" t="e">
        <f>AND('STERLING CATALOG - FZN &amp; CHILL'!I2104,"AAAAAH7/6C8=")</f>
        <v>#VALUE!</v>
      </c>
      <c r="AW335" t="e">
        <f>AND('STERLING CATALOG - FZN &amp; CHILL'!J2104,"AAAAAH7/6DA=")</f>
        <v>#VALUE!</v>
      </c>
      <c r="AX335">
        <f>IF('STERLING CATALOG - FZN &amp; CHILL'!2105:2105,"AAAAAH7/6DE=",0)</f>
        <v>0</v>
      </c>
      <c r="AY335" t="e">
        <f>AND('STERLING CATALOG - FZN &amp; CHILL'!A2105,"AAAAAH7/6DI=")</f>
        <v>#VALUE!</v>
      </c>
      <c r="AZ335" t="e">
        <f>AND('STERLING CATALOG - FZN &amp; CHILL'!B2105,"AAAAAH7/6DM=")</f>
        <v>#VALUE!</v>
      </c>
      <c r="BA335" t="e">
        <f>AND('STERLING CATALOG - FZN &amp; CHILL'!C2105,"AAAAAH7/6DQ=")</f>
        <v>#VALUE!</v>
      </c>
      <c r="BB335" t="e">
        <f>AND('STERLING CATALOG - FZN &amp; CHILL'!D2105,"AAAAAH7/6DU=")</f>
        <v>#VALUE!</v>
      </c>
      <c r="BC335" t="e">
        <f>AND('STERLING CATALOG - FZN &amp; CHILL'!E2105,"AAAAAH7/6DY=")</f>
        <v>#VALUE!</v>
      </c>
      <c r="BD335" t="e">
        <f>AND('STERLING CATALOG - FZN &amp; CHILL'!F2105,"AAAAAH7/6Dc=")</f>
        <v>#VALUE!</v>
      </c>
      <c r="BE335" t="e">
        <f>AND('STERLING CATALOG - FZN &amp; CHILL'!G2105,"AAAAAH7/6Dg=")</f>
        <v>#VALUE!</v>
      </c>
      <c r="BF335" t="e">
        <f>AND('STERLING CATALOG - FZN &amp; CHILL'!H2105,"AAAAAH7/6Dk=")</f>
        <v>#VALUE!</v>
      </c>
      <c r="BG335" t="e">
        <f>AND('STERLING CATALOG - FZN &amp; CHILL'!I2105,"AAAAAH7/6Do=")</f>
        <v>#VALUE!</v>
      </c>
      <c r="BH335" t="e">
        <f>AND('STERLING CATALOG - FZN &amp; CHILL'!J2105,"AAAAAH7/6Ds=")</f>
        <v>#VALUE!</v>
      </c>
      <c r="BI335">
        <f>IF('STERLING CATALOG - FZN &amp; CHILL'!2106:2106,"AAAAAH7/6Dw=",0)</f>
        <v>0</v>
      </c>
      <c r="BJ335" t="e">
        <f>AND('STERLING CATALOG - FZN &amp; CHILL'!A2106,"AAAAAH7/6D0=")</f>
        <v>#VALUE!</v>
      </c>
      <c r="BK335" t="e">
        <f>AND('STERLING CATALOG - FZN &amp; CHILL'!B2106,"AAAAAH7/6D4=")</f>
        <v>#VALUE!</v>
      </c>
      <c r="BL335" t="e">
        <f>AND('STERLING CATALOG - FZN &amp; CHILL'!C2106,"AAAAAH7/6D8=")</f>
        <v>#VALUE!</v>
      </c>
      <c r="BM335" t="e">
        <f>AND('STERLING CATALOG - FZN &amp; CHILL'!D2106,"AAAAAH7/6EA=")</f>
        <v>#VALUE!</v>
      </c>
      <c r="BN335" t="e">
        <f>AND('STERLING CATALOG - FZN &amp; CHILL'!E2106,"AAAAAH7/6EE=")</f>
        <v>#VALUE!</v>
      </c>
      <c r="BO335" t="e">
        <f>AND('STERLING CATALOG - FZN &amp; CHILL'!F2106,"AAAAAH7/6EI=")</f>
        <v>#VALUE!</v>
      </c>
      <c r="BP335" t="e">
        <f>AND('STERLING CATALOG - FZN &amp; CHILL'!G2106,"AAAAAH7/6EM=")</f>
        <v>#VALUE!</v>
      </c>
      <c r="BQ335" t="e">
        <f>AND('STERLING CATALOG - FZN &amp; CHILL'!H2106,"AAAAAH7/6EQ=")</f>
        <v>#VALUE!</v>
      </c>
      <c r="BR335" t="e">
        <f>AND('STERLING CATALOG - FZN &amp; CHILL'!I2106,"AAAAAH7/6EU=")</f>
        <v>#VALUE!</v>
      </c>
      <c r="BS335" t="e">
        <f>AND('STERLING CATALOG - FZN &amp; CHILL'!J2106,"AAAAAH7/6EY=")</f>
        <v>#VALUE!</v>
      </c>
      <c r="BT335">
        <f>IF('STERLING CATALOG - FZN &amp; CHILL'!2107:2107,"AAAAAH7/6Ec=",0)</f>
        <v>0</v>
      </c>
      <c r="BU335" t="e">
        <f>AND('STERLING CATALOG - FZN &amp; CHILL'!A2107,"AAAAAH7/6Eg=")</f>
        <v>#VALUE!</v>
      </c>
      <c r="BV335" t="e">
        <f>AND('STERLING CATALOG - FZN &amp; CHILL'!B2107,"AAAAAH7/6Ek=")</f>
        <v>#VALUE!</v>
      </c>
      <c r="BW335" t="e">
        <f>AND('STERLING CATALOG - FZN &amp; CHILL'!C2107,"AAAAAH7/6Eo=")</f>
        <v>#VALUE!</v>
      </c>
      <c r="BX335" t="e">
        <f>AND('STERLING CATALOG - FZN &amp; CHILL'!D2107,"AAAAAH7/6Es=")</f>
        <v>#VALUE!</v>
      </c>
      <c r="BY335" t="e">
        <f>AND('STERLING CATALOG - FZN &amp; CHILL'!E2107,"AAAAAH7/6Ew=")</f>
        <v>#VALUE!</v>
      </c>
      <c r="BZ335" t="e">
        <f>AND('STERLING CATALOG - FZN &amp; CHILL'!F2107,"AAAAAH7/6E0=")</f>
        <v>#VALUE!</v>
      </c>
      <c r="CA335" t="e">
        <f>AND('STERLING CATALOG - FZN &amp; CHILL'!G2107,"AAAAAH7/6E4=")</f>
        <v>#VALUE!</v>
      </c>
      <c r="CB335" t="e">
        <f>AND('STERLING CATALOG - FZN &amp; CHILL'!H2107,"AAAAAH7/6E8=")</f>
        <v>#VALUE!</v>
      </c>
      <c r="CC335" t="e">
        <f>AND('STERLING CATALOG - FZN &amp; CHILL'!I2107,"AAAAAH7/6FA=")</f>
        <v>#VALUE!</v>
      </c>
      <c r="CD335" t="e">
        <f>AND('STERLING CATALOG - FZN &amp; CHILL'!J2107,"AAAAAH7/6FE=")</f>
        <v>#VALUE!</v>
      </c>
      <c r="CE335">
        <f>IF('STERLING CATALOG - FZN &amp; CHILL'!2108:2108,"AAAAAH7/6FI=",0)</f>
        <v>0</v>
      </c>
      <c r="CF335" t="e">
        <f>AND('STERLING CATALOG - FZN &amp; CHILL'!A2108,"AAAAAH7/6FM=")</f>
        <v>#VALUE!</v>
      </c>
      <c r="CG335" t="e">
        <f>AND('STERLING CATALOG - FZN &amp; CHILL'!B2108,"AAAAAH7/6FQ=")</f>
        <v>#VALUE!</v>
      </c>
      <c r="CH335" t="e">
        <f>AND('STERLING CATALOG - FZN &amp; CHILL'!C2108,"AAAAAH7/6FU=")</f>
        <v>#VALUE!</v>
      </c>
      <c r="CI335" t="e">
        <f>AND('STERLING CATALOG - FZN &amp; CHILL'!D2108,"AAAAAH7/6FY=")</f>
        <v>#VALUE!</v>
      </c>
      <c r="CJ335" t="e">
        <f>AND('STERLING CATALOG - FZN &amp; CHILL'!E2108,"AAAAAH7/6Fc=")</f>
        <v>#VALUE!</v>
      </c>
      <c r="CK335" t="e">
        <f>AND('STERLING CATALOG - FZN &amp; CHILL'!F2108,"AAAAAH7/6Fg=")</f>
        <v>#VALUE!</v>
      </c>
      <c r="CL335" t="e">
        <f>AND('STERLING CATALOG - FZN &amp; CHILL'!G2108,"AAAAAH7/6Fk=")</f>
        <v>#VALUE!</v>
      </c>
      <c r="CM335" t="e">
        <f>AND('STERLING CATALOG - FZN &amp; CHILL'!H2108,"AAAAAH7/6Fo=")</f>
        <v>#VALUE!</v>
      </c>
      <c r="CN335" t="e">
        <f>AND('STERLING CATALOG - FZN &amp; CHILL'!I2108,"AAAAAH7/6Fs=")</f>
        <v>#VALUE!</v>
      </c>
      <c r="CO335" t="e">
        <f>AND('STERLING CATALOG - FZN &amp; CHILL'!J2108,"AAAAAH7/6Fw=")</f>
        <v>#VALUE!</v>
      </c>
      <c r="CP335">
        <f>IF('STERLING CATALOG - FZN &amp; CHILL'!2109:2109,"AAAAAH7/6F0=",0)</f>
        <v>0</v>
      </c>
      <c r="CQ335" t="e">
        <f>AND('STERLING CATALOG - FZN &amp; CHILL'!A2109,"AAAAAH7/6F4=")</f>
        <v>#VALUE!</v>
      </c>
      <c r="CR335" t="e">
        <f>AND('STERLING CATALOG - FZN &amp; CHILL'!B2109,"AAAAAH7/6F8=")</f>
        <v>#VALUE!</v>
      </c>
      <c r="CS335" t="e">
        <f>AND('STERLING CATALOG - FZN &amp; CHILL'!C2109,"AAAAAH7/6GA=")</f>
        <v>#VALUE!</v>
      </c>
      <c r="CT335" t="e">
        <f>AND('STERLING CATALOG - FZN &amp; CHILL'!D2109,"AAAAAH7/6GE=")</f>
        <v>#VALUE!</v>
      </c>
      <c r="CU335" t="e">
        <f>AND('STERLING CATALOG - FZN &amp; CHILL'!E2109,"AAAAAH7/6GI=")</f>
        <v>#VALUE!</v>
      </c>
      <c r="CV335" t="e">
        <f>AND('STERLING CATALOG - FZN &amp; CHILL'!F2109,"AAAAAH7/6GM=")</f>
        <v>#VALUE!</v>
      </c>
      <c r="CW335" t="e">
        <f>AND('STERLING CATALOG - FZN &amp; CHILL'!G2109,"AAAAAH7/6GQ=")</f>
        <v>#VALUE!</v>
      </c>
      <c r="CX335" t="e">
        <f>AND('STERLING CATALOG - FZN &amp; CHILL'!H2109,"AAAAAH7/6GU=")</f>
        <v>#VALUE!</v>
      </c>
      <c r="CY335" t="e">
        <f>AND('STERLING CATALOG - FZN &amp; CHILL'!I2109,"AAAAAH7/6GY=")</f>
        <v>#VALUE!</v>
      </c>
      <c r="CZ335" t="e">
        <f>AND('STERLING CATALOG - FZN &amp; CHILL'!J2109,"AAAAAH7/6Gc=")</f>
        <v>#VALUE!</v>
      </c>
      <c r="DA335">
        <f>IF('STERLING CATALOG - FZN &amp; CHILL'!2110:2110,"AAAAAH7/6Gg=",0)</f>
        <v>0</v>
      </c>
      <c r="DB335" t="e">
        <f>AND('STERLING CATALOG - FZN &amp; CHILL'!A2110,"AAAAAH7/6Gk=")</f>
        <v>#VALUE!</v>
      </c>
      <c r="DC335" t="e">
        <f>AND('STERLING CATALOG - FZN &amp; CHILL'!B2110,"AAAAAH7/6Go=")</f>
        <v>#VALUE!</v>
      </c>
      <c r="DD335" t="e">
        <f>AND('STERLING CATALOG - FZN &amp; CHILL'!C2110,"AAAAAH7/6Gs=")</f>
        <v>#VALUE!</v>
      </c>
      <c r="DE335" t="e">
        <f>AND('STERLING CATALOG - FZN &amp; CHILL'!D2110,"AAAAAH7/6Gw=")</f>
        <v>#VALUE!</v>
      </c>
      <c r="DF335" t="e">
        <f>AND('STERLING CATALOG - FZN &amp; CHILL'!E2110,"AAAAAH7/6G0=")</f>
        <v>#VALUE!</v>
      </c>
      <c r="DG335" t="e">
        <f>AND('STERLING CATALOG - FZN &amp; CHILL'!F2110,"AAAAAH7/6G4=")</f>
        <v>#VALUE!</v>
      </c>
      <c r="DH335" t="e">
        <f>AND('STERLING CATALOG - FZN &amp; CHILL'!G2110,"AAAAAH7/6G8=")</f>
        <v>#VALUE!</v>
      </c>
      <c r="DI335" t="e">
        <f>AND('STERLING CATALOG - FZN &amp; CHILL'!H2110,"AAAAAH7/6HA=")</f>
        <v>#VALUE!</v>
      </c>
      <c r="DJ335" t="e">
        <f>AND('STERLING CATALOG - FZN &amp; CHILL'!I2110,"AAAAAH7/6HE=")</f>
        <v>#VALUE!</v>
      </c>
      <c r="DK335" t="e">
        <f>AND('STERLING CATALOG - FZN &amp; CHILL'!J2110,"AAAAAH7/6HI=")</f>
        <v>#VALUE!</v>
      </c>
      <c r="DL335">
        <f>IF('STERLING CATALOG - FZN &amp; CHILL'!2111:2111,"AAAAAH7/6HM=",0)</f>
        <v>0</v>
      </c>
      <c r="DM335" t="e">
        <f>AND('STERLING CATALOG - FZN &amp; CHILL'!A2111,"AAAAAH7/6HQ=")</f>
        <v>#VALUE!</v>
      </c>
      <c r="DN335" t="e">
        <f>AND('STERLING CATALOG - FZN &amp; CHILL'!B2111,"AAAAAH7/6HU=")</f>
        <v>#VALUE!</v>
      </c>
      <c r="DO335" t="e">
        <f>AND('STERLING CATALOG - FZN &amp; CHILL'!C2111,"AAAAAH7/6HY=")</f>
        <v>#VALUE!</v>
      </c>
      <c r="DP335" t="e">
        <f>AND('STERLING CATALOG - FZN &amp; CHILL'!D2111,"AAAAAH7/6Hc=")</f>
        <v>#VALUE!</v>
      </c>
      <c r="DQ335" t="e">
        <f>AND('STERLING CATALOG - FZN &amp; CHILL'!E2111,"AAAAAH7/6Hg=")</f>
        <v>#VALUE!</v>
      </c>
      <c r="DR335" t="e">
        <f>AND('STERLING CATALOG - FZN &amp; CHILL'!F2111,"AAAAAH7/6Hk=")</f>
        <v>#VALUE!</v>
      </c>
      <c r="DS335" t="e">
        <f>AND('STERLING CATALOG - FZN &amp; CHILL'!G2111,"AAAAAH7/6Ho=")</f>
        <v>#VALUE!</v>
      </c>
      <c r="DT335" t="e">
        <f>AND('STERLING CATALOG - FZN &amp; CHILL'!H2111,"AAAAAH7/6Hs=")</f>
        <v>#VALUE!</v>
      </c>
      <c r="DU335" t="e">
        <f>AND('STERLING CATALOG - FZN &amp; CHILL'!I2111,"AAAAAH7/6Hw=")</f>
        <v>#VALUE!</v>
      </c>
      <c r="DV335" t="e">
        <f>AND('STERLING CATALOG - FZN &amp; CHILL'!J2111,"AAAAAH7/6H0=")</f>
        <v>#VALUE!</v>
      </c>
      <c r="DW335">
        <f>IF('STERLING CATALOG - FZN &amp; CHILL'!2112:2112,"AAAAAH7/6H4=",0)</f>
        <v>0</v>
      </c>
      <c r="DX335" t="e">
        <f>AND('STERLING CATALOG - FZN &amp; CHILL'!A2112,"AAAAAH7/6H8=")</f>
        <v>#VALUE!</v>
      </c>
      <c r="DY335" t="e">
        <f>AND('STERLING CATALOG - FZN &amp; CHILL'!B2112,"AAAAAH7/6IA=")</f>
        <v>#VALUE!</v>
      </c>
      <c r="DZ335" t="e">
        <f>AND('STERLING CATALOG - FZN &amp; CHILL'!C2112,"AAAAAH7/6IE=")</f>
        <v>#VALUE!</v>
      </c>
      <c r="EA335" t="e">
        <f>AND('STERLING CATALOG - FZN &amp; CHILL'!D2112,"AAAAAH7/6II=")</f>
        <v>#VALUE!</v>
      </c>
      <c r="EB335" t="e">
        <f>AND('STERLING CATALOG - FZN &amp; CHILL'!E2112,"AAAAAH7/6IM=")</f>
        <v>#VALUE!</v>
      </c>
      <c r="EC335" t="e">
        <f>AND('STERLING CATALOG - FZN &amp; CHILL'!F2112,"AAAAAH7/6IQ=")</f>
        <v>#VALUE!</v>
      </c>
      <c r="ED335" t="e">
        <f>AND('STERLING CATALOG - FZN &amp; CHILL'!G2112,"AAAAAH7/6IU=")</f>
        <v>#VALUE!</v>
      </c>
      <c r="EE335" t="e">
        <f>AND('STERLING CATALOG - FZN &amp; CHILL'!H2112,"AAAAAH7/6IY=")</f>
        <v>#VALUE!</v>
      </c>
      <c r="EF335" t="e">
        <f>AND('STERLING CATALOG - FZN &amp; CHILL'!I2112,"AAAAAH7/6Ic=")</f>
        <v>#VALUE!</v>
      </c>
      <c r="EG335" t="e">
        <f>AND('STERLING CATALOG - FZN &amp; CHILL'!J2112,"AAAAAH7/6Ig=")</f>
        <v>#VALUE!</v>
      </c>
      <c r="EH335">
        <f>IF('STERLING CATALOG - FZN &amp; CHILL'!2113:2113,"AAAAAH7/6Ik=",0)</f>
        <v>0</v>
      </c>
      <c r="EI335" t="e">
        <f>AND('STERLING CATALOG - FZN &amp; CHILL'!A2113,"AAAAAH7/6Io=")</f>
        <v>#VALUE!</v>
      </c>
      <c r="EJ335" t="e">
        <f>AND('STERLING CATALOG - FZN &amp; CHILL'!B2113,"AAAAAH7/6Is=")</f>
        <v>#VALUE!</v>
      </c>
      <c r="EK335" t="e">
        <f>AND('STERLING CATALOG - FZN &amp; CHILL'!C2113,"AAAAAH7/6Iw=")</f>
        <v>#VALUE!</v>
      </c>
      <c r="EL335" t="e">
        <f>AND('STERLING CATALOG - FZN &amp; CHILL'!D2113,"AAAAAH7/6I0=")</f>
        <v>#VALUE!</v>
      </c>
      <c r="EM335" t="e">
        <f>AND('STERLING CATALOG - FZN &amp; CHILL'!E2113,"AAAAAH7/6I4=")</f>
        <v>#VALUE!</v>
      </c>
      <c r="EN335" t="e">
        <f>AND('STERLING CATALOG - FZN &amp; CHILL'!F2113,"AAAAAH7/6I8=")</f>
        <v>#VALUE!</v>
      </c>
      <c r="EO335" t="e">
        <f>AND('STERLING CATALOG - FZN &amp; CHILL'!G2113,"AAAAAH7/6JA=")</f>
        <v>#VALUE!</v>
      </c>
      <c r="EP335" t="e">
        <f>AND('STERLING CATALOG - FZN &amp; CHILL'!H2113,"AAAAAH7/6JE=")</f>
        <v>#VALUE!</v>
      </c>
      <c r="EQ335" t="e">
        <f>AND('STERLING CATALOG - FZN &amp; CHILL'!I2113,"AAAAAH7/6JI=")</f>
        <v>#VALUE!</v>
      </c>
      <c r="ER335" t="e">
        <f>AND('STERLING CATALOG - FZN &amp; CHILL'!J2113,"AAAAAH7/6JM=")</f>
        <v>#VALUE!</v>
      </c>
      <c r="ES335">
        <f>IF('STERLING CATALOG - FZN &amp; CHILL'!2114:2114,"AAAAAH7/6JQ=",0)</f>
        <v>0</v>
      </c>
      <c r="ET335" t="e">
        <f>AND('STERLING CATALOG - FZN &amp; CHILL'!A2114,"AAAAAH7/6JU=")</f>
        <v>#VALUE!</v>
      </c>
      <c r="EU335" t="e">
        <f>AND('STERLING CATALOG - FZN &amp; CHILL'!B2114,"AAAAAH7/6JY=")</f>
        <v>#VALUE!</v>
      </c>
      <c r="EV335" t="e">
        <f>AND('STERLING CATALOG - FZN &amp; CHILL'!C2114,"AAAAAH7/6Jc=")</f>
        <v>#VALUE!</v>
      </c>
      <c r="EW335" t="e">
        <f>AND('STERLING CATALOG - FZN &amp; CHILL'!D2114,"AAAAAH7/6Jg=")</f>
        <v>#VALUE!</v>
      </c>
      <c r="EX335" t="e">
        <f>AND('STERLING CATALOG - FZN &amp; CHILL'!E2114,"AAAAAH7/6Jk=")</f>
        <v>#VALUE!</v>
      </c>
      <c r="EY335" t="e">
        <f>AND('STERLING CATALOG - FZN &amp; CHILL'!F2114,"AAAAAH7/6Jo=")</f>
        <v>#VALUE!</v>
      </c>
      <c r="EZ335" t="e">
        <f>AND('STERLING CATALOG - FZN &amp; CHILL'!G2114,"AAAAAH7/6Js=")</f>
        <v>#VALUE!</v>
      </c>
      <c r="FA335" t="e">
        <f>AND('STERLING CATALOG - FZN &amp; CHILL'!H2114,"AAAAAH7/6Jw=")</f>
        <v>#VALUE!</v>
      </c>
      <c r="FB335" t="e">
        <f>AND('STERLING CATALOG - FZN &amp; CHILL'!I2114,"AAAAAH7/6J0=")</f>
        <v>#VALUE!</v>
      </c>
      <c r="FC335" t="e">
        <f>AND('STERLING CATALOG - FZN &amp; CHILL'!J2114,"AAAAAH7/6J4=")</f>
        <v>#VALUE!</v>
      </c>
      <c r="FD335">
        <f>IF('STERLING CATALOG - FZN &amp; CHILL'!2115:2115,"AAAAAH7/6J8=",0)</f>
        <v>0</v>
      </c>
      <c r="FE335" t="e">
        <f>AND('STERLING CATALOG - FZN &amp; CHILL'!A2115,"AAAAAH7/6KA=")</f>
        <v>#VALUE!</v>
      </c>
      <c r="FF335" t="e">
        <f>AND('STERLING CATALOG - FZN &amp; CHILL'!B2115,"AAAAAH7/6KE=")</f>
        <v>#VALUE!</v>
      </c>
      <c r="FG335" t="e">
        <f>AND('STERLING CATALOG - FZN &amp; CHILL'!C2115,"AAAAAH7/6KI=")</f>
        <v>#VALUE!</v>
      </c>
      <c r="FH335" t="e">
        <f>AND('STERLING CATALOG - FZN &amp; CHILL'!D2115,"AAAAAH7/6KM=")</f>
        <v>#VALUE!</v>
      </c>
      <c r="FI335" t="e">
        <f>AND('STERLING CATALOG - FZN &amp; CHILL'!E2115,"AAAAAH7/6KQ=")</f>
        <v>#VALUE!</v>
      </c>
      <c r="FJ335" t="e">
        <f>AND('STERLING CATALOG - FZN &amp; CHILL'!F2115,"AAAAAH7/6KU=")</f>
        <v>#VALUE!</v>
      </c>
      <c r="FK335" t="e">
        <f>AND('STERLING CATALOG - FZN &amp; CHILL'!G2115,"AAAAAH7/6KY=")</f>
        <v>#VALUE!</v>
      </c>
      <c r="FL335" t="e">
        <f>AND('STERLING CATALOG - FZN &amp; CHILL'!H2115,"AAAAAH7/6Kc=")</f>
        <v>#VALUE!</v>
      </c>
      <c r="FM335" t="e">
        <f>AND('STERLING CATALOG - FZN &amp; CHILL'!I2115,"AAAAAH7/6Kg=")</f>
        <v>#VALUE!</v>
      </c>
      <c r="FN335" t="e">
        <f>AND('STERLING CATALOG - FZN &amp; CHILL'!J2115,"AAAAAH7/6Kk=")</f>
        <v>#VALUE!</v>
      </c>
      <c r="FO335">
        <f>IF('STERLING CATALOG - FZN &amp; CHILL'!2116:2116,"AAAAAH7/6Ko=",0)</f>
        <v>0</v>
      </c>
      <c r="FP335" t="e">
        <f>AND('STERLING CATALOG - FZN &amp; CHILL'!A2116,"AAAAAH7/6Ks=")</f>
        <v>#VALUE!</v>
      </c>
      <c r="FQ335" t="e">
        <f>AND('STERLING CATALOG - FZN &amp; CHILL'!B2116,"AAAAAH7/6Kw=")</f>
        <v>#VALUE!</v>
      </c>
      <c r="FR335" t="e">
        <f>AND('STERLING CATALOG - FZN &amp; CHILL'!C2116,"AAAAAH7/6K0=")</f>
        <v>#VALUE!</v>
      </c>
      <c r="FS335" t="e">
        <f>AND('STERLING CATALOG - FZN &amp; CHILL'!D2116,"AAAAAH7/6K4=")</f>
        <v>#VALUE!</v>
      </c>
      <c r="FT335" t="e">
        <f>AND('STERLING CATALOG - FZN &amp; CHILL'!E2116,"AAAAAH7/6K8=")</f>
        <v>#VALUE!</v>
      </c>
      <c r="FU335" t="e">
        <f>AND('STERLING CATALOG - FZN &amp; CHILL'!F2116,"AAAAAH7/6LA=")</f>
        <v>#VALUE!</v>
      </c>
      <c r="FV335" t="e">
        <f>AND('STERLING CATALOG - FZN &amp; CHILL'!G2116,"AAAAAH7/6LE=")</f>
        <v>#VALUE!</v>
      </c>
      <c r="FW335" t="e">
        <f>AND('STERLING CATALOG - FZN &amp; CHILL'!H2116,"AAAAAH7/6LI=")</f>
        <v>#VALUE!</v>
      </c>
      <c r="FX335" t="e">
        <f>AND('STERLING CATALOG - FZN &amp; CHILL'!I2116,"AAAAAH7/6LM=")</f>
        <v>#VALUE!</v>
      </c>
      <c r="FY335" t="e">
        <f>AND('STERLING CATALOG - FZN &amp; CHILL'!J2116,"AAAAAH7/6LQ=")</f>
        <v>#VALUE!</v>
      </c>
      <c r="FZ335">
        <f>IF('STERLING CATALOG - FZN &amp; CHILL'!2117:2117,"AAAAAH7/6LU=",0)</f>
        <v>0</v>
      </c>
      <c r="GA335" t="e">
        <f>AND('STERLING CATALOG - FZN &amp; CHILL'!A2117,"AAAAAH7/6LY=")</f>
        <v>#VALUE!</v>
      </c>
      <c r="GB335" t="e">
        <f>AND('STERLING CATALOG - FZN &amp; CHILL'!B2117,"AAAAAH7/6Lc=")</f>
        <v>#VALUE!</v>
      </c>
      <c r="GC335" t="e">
        <f>AND('STERLING CATALOG - FZN &amp; CHILL'!C2117,"AAAAAH7/6Lg=")</f>
        <v>#VALUE!</v>
      </c>
      <c r="GD335" t="e">
        <f>AND('STERLING CATALOG - FZN &amp; CHILL'!D2117,"AAAAAH7/6Lk=")</f>
        <v>#VALUE!</v>
      </c>
      <c r="GE335" t="e">
        <f>AND('STERLING CATALOG - FZN &amp; CHILL'!E2117,"AAAAAH7/6Lo=")</f>
        <v>#VALUE!</v>
      </c>
      <c r="GF335" t="e">
        <f>AND('STERLING CATALOG - FZN &amp; CHILL'!F2117,"AAAAAH7/6Ls=")</f>
        <v>#VALUE!</v>
      </c>
      <c r="GG335" t="e">
        <f>AND('STERLING CATALOG - FZN &amp; CHILL'!G2117,"AAAAAH7/6Lw=")</f>
        <v>#VALUE!</v>
      </c>
      <c r="GH335" t="e">
        <f>AND('STERLING CATALOG - FZN &amp; CHILL'!H2117,"AAAAAH7/6L0=")</f>
        <v>#VALUE!</v>
      </c>
      <c r="GI335" t="e">
        <f>AND('STERLING CATALOG - FZN &amp; CHILL'!I2117,"AAAAAH7/6L4=")</f>
        <v>#VALUE!</v>
      </c>
      <c r="GJ335" t="e">
        <f>AND('STERLING CATALOG - FZN &amp; CHILL'!J2117,"AAAAAH7/6L8=")</f>
        <v>#VALUE!</v>
      </c>
      <c r="GK335">
        <f>IF('STERLING CATALOG - FZN &amp; CHILL'!2118:2118,"AAAAAH7/6MA=",0)</f>
        <v>0</v>
      </c>
      <c r="GL335" t="e">
        <f>AND('STERLING CATALOG - FZN &amp; CHILL'!A2118,"AAAAAH7/6ME=")</f>
        <v>#VALUE!</v>
      </c>
      <c r="GM335" t="e">
        <f>AND('STERLING CATALOG - FZN &amp; CHILL'!B2118,"AAAAAH7/6MI=")</f>
        <v>#VALUE!</v>
      </c>
      <c r="GN335" t="e">
        <f>AND('STERLING CATALOG - FZN &amp; CHILL'!C2118,"AAAAAH7/6MM=")</f>
        <v>#VALUE!</v>
      </c>
      <c r="GO335" t="e">
        <f>AND('STERLING CATALOG - FZN &amp; CHILL'!D2118,"AAAAAH7/6MQ=")</f>
        <v>#VALUE!</v>
      </c>
      <c r="GP335" t="e">
        <f>AND('STERLING CATALOG - FZN &amp; CHILL'!E2118,"AAAAAH7/6MU=")</f>
        <v>#VALUE!</v>
      </c>
      <c r="GQ335" t="e">
        <f>AND('STERLING CATALOG - FZN &amp; CHILL'!F2118,"AAAAAH7/6MY=")</f>
        <v>#VALUE!</v>
      </c>
      <c r="GR335" t="e">
        <f>AND('STERLING CATALOG - FZN &amp; CHILL'!G2118,"AAAAAH7/6Mc=")</f>
        <v>#VALUE!</v>
      </c>
      <c r="GS335" t="e">
        <f>AND('STERLING CATALOG - FZN &amp; CHILL'!H2118,"AAAAAH7/6Mg=")</f>
        <v>#VALUE!</v>
      </c>
      <c r="GT335" t="e">
        <f>AND('STERLING CATALOG - FZN &amp; CHILL'!I2118,"AAAAAH7/6Mk=")</f>
        <v>#VALUE!</v>
      </c>
      <c r="GU335" t="e">
        <f>AND('STERLING CATALOG - FZN &amp; CHILL'!J2118,"AAAAAH7/6Mo=")</f>
        <v>#VALUE!</v>
      </c>
      <c r="GV335">
        <f>IF('STERLING CATALOG - FZN &amp; CHILL'!2119:2119,"AAAAAH7/6Ms=",0)</f>
        <v>0</v>
      </c>
      <c r="GW335" t="e">
        <f>AND('STERLING CATALOG - FZN &amp; CHILL'!A2119,"AAAAAH7/6Mw=")</f>
        <v>#VALUE!</v>
      </c>
      <c r="GX335" t="e">
        <f>AND('STERLING CATALOG - FZN &amp; CHILL'!B2119,"AAAAAH7/6M0=")</f>
        <v>#VALUE!</v>
      </c>
      <c r="GY335" t="e">
        <f>AND('STERLING CATALOG - FZN &amp; CHILL'!C2119,"AAAAAH7/6M4=")</f>
        <v>#VALUE!</v>
      </c>
      <c r="GZ335" t="e">
        <f>AND('STERLING CATALOG - FZN &amp; CHILL'!D2119,"AAAAAH7/6M8=")</f>
        <v>#VALUE!</v>
      </c>
      <c r="HA335" t="e">
        <f>AND('STERLING CATALOG - FZN &amp; CHILL'!E2119,"AAAAAH7/6NA=")</f>
        <v>#VALUE!</v>
      </c>
      <c r="HB335" t="e">
        <f>AND('STERLING CATALOG - FZN &amp; CHILL'!F2119,"AAAAAH7/6NE=")</f>
        <v>#VALUE!</v>
      </c>
      <c r="HC335" t="e">
        <f>AND('STERLING CATALOG - FZN &amp; CHILL'!G2119,"AAAAAH7/6NI=")</f>
        <v>#VALUE!</v>
      </c>
      <c r="HD335" t="e">
        <f>AND('STERLING CATALOG - FZN &amp; CHILL'!H2119,"AAAAAH7/6NM=")</f>
        <v>#VALUE!</v>
      </c>
      <c r="HE335" t="e">
        <f>AND('STERLING CATALOG - FZN &amp; CHILL'!I2119,"AAAAAH7/6NQ=")</f>
        <v>#VALUE!</v>
      </c>
      <c r="HF335" t="e">
        <f>AND('STERLING CATALOG - FZN &amp; CHILL'!J2119,"AAAAAH7/6NU=")</f>
        <v>#VALUE!</v>
      </c>
      <c r="HG335">
        <f>IF('STERLING CATALOG - FZN &amp; CHILL'!2120:2120,"AAAAAH7/6NY=",0)</f>
        <v>0</v>
      </c>
      <c r="HH335" t="e">
        <f>AND('STERLING CATALOG - FZN &amp; CHILL'!A2120,"AAAAAH7/6Nc=")</f>
        <v>#VALUE!</v>
      </c>
      <c r="HI335" t="e">
        <f>AND('STERLING CATALOG - FZN &amp; CHILL'!B2120,"AAAAAH7/6Ng=")</f>
        <v>#VALUE!</v>
      </c>
      <c r="HJ335" t="e">
        <f>AND('STERLING CATALOG - FZN &amp; CHILL'!C2120,"AAAAAH7/6Nk=")</f>
        <v>#VALUE!</v>
      </c>
      <c r="HK335" t="e">
        <f>AND('STERLING CATALOG - FZN &amp; CHILL'!D2120,"AAAAAH7/6No=")</f>
        <v>#VALUE!</v>
      </c>
      <c r="HL335" t="e">
        <f>AND('STERLING CATALOG - FZN &amp; CHILL'!E2120,"AAAAAH7/6Ns=")</f>
        <v>#VALUE!</v>
      </c>
      <c r="HM335" t="e">
        <f>AND('STERLING CATALOG - FZN &amp; CHILL'!F2120,"AAAAAH7/6Nw=")</f>
        <v>#VALUE!</v>
      </c>
      <c r="HN335" t="e">
        <f>AND('STERLING CATALOG - FZN &amp; CHILL'!G2120,"AAAAAH7/6N0=")</f>
        <v>#VALUE!</v>
      </c>
      <c r="HO335" t="e">
        <f>AND('STERLING CATALOG - FZN &amp; CHILL'!H2120,"AAAAAH7/6N4=")</f>
        <v>#VALUE!</v>
      </c>
      <c r="HP335" t="e">
        <f>AND('STERLING CATALOG - FZN &amp; CHILL'!I2120,"AAAAAH7/6N8=")</f>
        <v>#VALUE!</v>
      </c>
      <c r="HQ335" t="e">
        <f>AND('STERLING CATALOG - FZN &amp; CHILL'!J2120,"AAAAAH7/6OA=")</f>
        <v>#VALUE!</v>
      </c>
      <c r="HR335">
        <f>IF('STERLING CATALOG - FZN &amp; CHILL'!2121:2121,"AAAAAH7/6OE=",0)</f>
        <v>0</v>
      </c>
      <c r="HS335" t="e">
        <f>AND('STERLING CATALOG - FZN &amp; CHILL'!A2121,"AAAAAH7/6OI=")</f>
        <v>#VALUE!</v>
      </c>
      <c r="HT335" t="e">
        <f>AND('STERLING CATALOG - FZN &amp; CHILL'!B2121,"AAAAAH7/6OM=")</f>
        <v>#VALUE!</v>
      </c>
      <c r="HU335" t="e">
        <f>AND('STERLING CATALOG - FZN &amp; CHILL'!C2121,"AAAAAH7/6OQ=")</f>
        <v>#VALUE!</v>
      </c>
      <c r="HV335" t="e">
        <f>AND('STERLING CATALOG - FZN &amp; CHILL'!D2121,"AAAAAH7/6OU=")</f>
        <v>#VALUE!</v>
      </c>
      <c r="HW335" t="e">
        <f>AND('STERLING CATALOG - FZN &amp; CHILL'!E2121,"AAAAAH7/6OY=")</f>
        <v>#VALUE!</v>
      </c>
      <c r="HX335" t="e">
        <f>AND('STERLING CATALOG - FZN &amp; CHILL'!F2121,"AAAAAH7/6Oc=")</f>
        <v>#VALUE!</v>
      </c>
      <c r="HY335" t="e">
        <f>AND('STERLING CATALOG - FZN &amp; CHILL'!G2121,"AAAAAH7/6Og=")</f>
        <v>#VALUE!</v>
      </c>
      <c r="HZ335" t="e">
        <f>AND('STERLING CATALOG - FZN &amp; CHILL'!H2121,"AAAAAH7/6Ok=")</f>
        <v>#VALUE!</v>
      </c>
      <c r="IA335" t="e">
        <f>AND('STERLING CATALOG - FZN &amp; CHILL'!I2121,"AAAAAH7/6Oo=")</f>
        <v>#VALUE!</v>
      </c>
      <c r="IB335" t="e">
        <f>AND('STERLING CATALOG - FZN &amp; CHILL'!J2121,"AAAAAH7/6Os=")</f>
        <v>#VALUE!</v>
      </c>
      <c r="IC335">
        <f>IF('STERLING CATALOG - FZN &amp; CHILL'!2122:2122,"AAAAAH7/6Ow=",0)</f>
        <v>0</v>
      </c>
      <c r="ID335" t="e">
        <f>AND('STERLING CATALOG - FZN &amp; CHILL'!A2122,"AAAAAH7/6O0=")</f>
        <v>#VALUE!</v>
      </c>
      <c r="IE335" t="e">
        <f>AND('STERLING CATALOG - FZN &amp; CHILL'!B2122,"AAAAAH7/6O4=")</f>
        <v>#VALUE!</v>
      </c>
      <c r="IF335" t="e">
        <f>AND('STERLING CATALOG - FZN &amp; CHILL'!C2122,"AAAAAH7/6O8=")</f>
        <v>#VALUE!</v>
      </c>
      <c r="IG335" t="e">
        <f>AND('STERLING CATALOG - FZN &amp; CHILL'!D2122,"AAAAAH7/6PA=")</f>
        <v>#VALUE!</v>
      </c>
      <c r="IH335" t="e">
        <f>AND('STERLING CATALOG - FZN &amp; CHILL'!E2122,"AAAAAH7/6PE=")</f>
        <v>#VALUE!</v>
      </c>
      <c r="II335" t="e">
        <f>AND('STERLING CATALOG - FZN &amp; CHILL'!F2122,"AAAAAH7/6PI=")</f>
        <v>#VALUE!</v>
      </c>
      <c r="IJ335" t="e">
        <f>AND('STERLING CATALOG - FZN &amp; CHILL'!G2122,"AAAAAH7/6PM=")</f>
        <v>#VALUE!</v>
      </c>
      <c r="IK335" t="e">
        <f>AND('STERLING CATALOG - FZN &amp; CHILL'!H2122,"AAAAAH7/6PQ=")</f>
        <v>#VALUE!</v>
      </c>
      <c r="IL335" t="e">
        <f>AND('STERLING CATALOG - FZN &amp; CHILL'!I2122,"AAAAAH7/6PU=")</f>
        <v>#VALUE!</v>
      </c>
      <c r="IM335" t="e">
        <f>AND('STERLING CATALOG - FZN &amp; CHILL'!J2122,"AAAAAH7/6PY=")</f>
        <v>#VALUE!</v>
      </c>
      <c r="IN335">
        <f>IF('STERLING CATALOG - FZN &amp; CHILL'!2123:2123,"AAAAAH7/6Pc=",0)</f>
        <v>0</v>
      </c>
      <c r="IO335" t="e">
        <f>AND('STERLING CATALOG - FZN &amp; CHILL'!A2123,"AAAAAH7/6Pg=")</f>
        <v>#VALUE!</v>
      </c>
      <c r="IP335" t="e">
        <f>AND('STERLING CATALOG - FZN &amp; CHILL'!B2123,"AAAAAH7/6Pk=")</f>
        <v>#VALUE!</v>
      </c>
      <c r="IQ335" t="e">
        <f>AND('STERLING CATALOG - FZN &amp; CHILL'!C2123,"AAAAAH7/6Po=")</f>
        <v>#VALUE!</v>
      </c>
      <c r="IR335" t="e">
        <f>AND('STERLING CATALOG - FZN &amp; CHILL'!D2123,"AAAAAH7/6Ps=")</f>
        <v>#VALUE!</v>
      </c>
      <c r="IS335" t="e">
        <f>AND('STERLING CATALOG - FZN &amp; CHILL'!E2123,"AAAAAH7/6Pw=")</f>
        <v>#VALUE!</v>
      </c>
      <c r="IT335" t="e">
        <f>AND('STERLING CATALOG - FZN &amp; CHILL'!F2123,"AAAAAH7/6P0=")</f>
        <v>#VALUE!</v>
      </c>
      <c r="IU335" t="e">
        <f>AND('STERLING CATALOG - FZN &amp; CHILL'!G2123,"AAAAAH7/6P4=")</f>
        <v>#VALUE!</v>
      </c>
      <c r="IV335" t="e">
        <f>AND('STERLING CATALOG - FZN &amp; CHILL'!H2123,"AAAAAH7/6P8=")</f>
        <v>#VALUE!</v>
      </c>
    </row>
    <row r="336" spans="1:256">
      <c r="A336" t="e">
        <f>AND('STERLING CATALOG - FZN &amp; CHILL'!I2123,"AAAAAD+/2wA=")</f>
        <v>#VALUE!</v>
      </c>
      <c r="B336" t="e">
        <f>AND('STERLING CATALOG - FZN &amp; CHILL'!J2123,"AAAAAD+/2wE=")</f>
        <v>#VALUE!</v>
      </c>
      <c r="C336" t="str">
        <f>IF('STERLING CATALOG - FZN &amp; CHILL'!2124:2124,"AAAAAD+/2wI=",0)</f>
        <v>AAAAAD+/2wI=</v>
      </c>
      <c r="D336" t="e">
        <f>AND('STERLING CATALOG - FZN &amp; CHILL'!A2124,"AAAAAD+/2wM=")</f>
        <v>#VALUE!</v>
      </c>
      <c r="E336" t="e">
        <f>AND('STERLING CATALOG - FZN &amp; CHILL'!B2124,"AAAAAD+/2wQ=")</f>
        <v>#VALUE!</v>
      </c>
      <c r="F336" t="e">
        <f>AND('STERLING CATALOG - FZN &amp; CHILL'!C2124,"AAAAAD+/2wU=")</f>
        <v>#VALUE!</v>
      </c>
      <c r="G336" t="e">
        <f>AND('STERLING CATALOG - FZN &amp; CHILL'!D2124,"AAAAAD+/2wY=")</f>
        <v>#VALUE!</v>
      </c>
      <c r="H336" t="e">
        <f>AND('STERLING CATALOG - FZN &amp; CHILL'!E2124,"AAAAAD+/2wc=")</f>
        <v>#VALUE!</v>
      </c>
      <c r="I336" t="e">
        <f>AND('STERLING CATALOG - FZN &amp; CHILL'!F2124,"AAAAAD+/2wg=")</f>
        <v>#VALUE!</v>
      </c>
      <c r="J336" t="e">
        <f>AND('STERLING CATALOG - FZN &amp; CHILL'!G2124,"AAAAAD+/2wk=")</f>
        <v>#VALUE!</v>
      </c>
      <c r="K336" t="e">
        <f>AND('STERLING CATALOG - FZN &amp; CHILL'!H2124,"AAAAAD+/2wo=")</f>
        <v>#VALUE!</v>
      </c>
      <c r="L336" t="e">
        <f>AND('STERLING CATALOG - FZN &amp; CHILL'!I2124,"AAAAAD+/2ws=")</f>
        <v>#VALUE!</v>
      </c>
      <c r="M336" t="e">
        <f>AND('STERLING CATALOG - FZN &amp; CHILL'!J2124,"AAAAAD+/2ww=")</f>
        <v>#VALUE!</v>
      </c>
      <c r="N336">
        <f>IF('STERLING CATALOG - FZN &amp; CHILL'!2125:2125,"AAAAAD+/2w0=",0)</f>
        <v>0</v>
      </c>
      <c r="O336" t="e">
        <f>AND('STERLING CATALOG - FZN &amp; CHILL'!A2125,"AAAAAD+/2w4=")</f>
        <v>#VALUE!</v>
      </c>
      <c r="P336" t="e">
        <f>AND('STERLING CATALOG - FZN &amp; CHILL'!B2125,"AAAAAD+/2w8=")</f>
        <v>#VALUE!</v>
      </c>
      <c r="Q336" t="e">
        <f>AND('STERLING CATALOG - FZN &amp; CHILL'!C2125,"AAAAAD+/2xA=")</f>
        <v>#VALUE!</v>
      </c>
      <c r="R336" t="e">
        <f>AND('STERLING CATALOG - FZN &amp; CHILL'!D2125,"AAAAAD+/2xE=")</f>
        <v>#VALUE!</v>
      </c>
      <c r="S336" t="e">
        <f>AND('STERLING CATALOG - FZN &amp; CHILL'!E2125,"AAAAAD+/2xI=")</f>
        <v>#VALUE!</v>
      </c>
      <c r="T336" t="e">
        <f>AND('STERLING CATALOG - FZN &amp; CHILL'!F2125,"AAAAAD+/2xM=")</f>
        <v>#VALUE!</v>
      </c>
      <c r="U336" t="e">
        <f>AND('STERLING CATALOG - FZN &amp; CHILL'!G2125,"AAAAAD+/2xQ=")</f>
        <v>#VALUE!</v>
      </c>
      <c r="V336" t="e">
        <f>AND('STERLING CATALOG - FZN &amp; CHILL'!H2125,"AAAAAD+/2xU=")</f>
        <v>#VALUE!</v>
      </c>
      <c r="W336" t="e">
        <f>AND('STERLING CATALOG - FZN &amp; CHILL'!I2125,"AAAAAD+/2xY=")</f>
        <v>#VALUE!</v>
      </c>
      <c r="X336" t="e">
        <f>AND('STERLING CATALOG - FZN &amp; CHILL'!J2125,"AAAAAD+/2xc=")</f>
        <v>#VALUE!</v>
      </c>
      <c r="Y336">
        <f>IF('STERLING CATALOG - FZN &amp; CHILL'!2126:2126,"AAAAAD+/2xg=",0)</f>
        <v>0</v>
      </c>
      <c r="Z336" t="e">
        <f>AND('STERLING CATALOG - FZN &amp; CHILL'!A2126,"AAAAAD+/2xk=")</f>
        <v>#VALUE!</v>
      </c>
      <c r="AA336" t="e">
        <f>AND('STERLING CATALOG - FZN &amp; CHILL'!B2126,"AAAAAD+/2xo=")</f>
        <v>#VALUE!</v>
      </c>
      <c r="AB336" t="e">
        <f>AND('STERLING CATALOG - FZN &amp; CHILL'!C2126,"AAAAAD+/2xs=")</f>
        <v>#VALUE!</v>
      </c>
      <c r="AC336" t="e">
        <f>AND('STERLING CATALOG - FZN &amp; CHILL'!D2126,"AAAAAD+/2xw=")</f>
        <v>#VALUE!</v>
      </c>
      <c r="AD336" t="e">
        <f>AND('STERLING CATALOG - FZN &amp; CHILL'!E2126,"AAAAAD+/2x0=")</f>
        <v>#VALUE!</v>
      </c>
      <c r="AE336" t="e">
        <f>AND('STERLING CATALOG - FZN &amp; CHILL'!F2126,"AAAAAD+/2x4=")</f>
        <v>#VALUE!</v>
      </c>
      <c r="AF336" t="e">
        <f>AND('STERLING CATALOG - FZN &amp; CHILL'!G2126,"AAAAAD+/2x8=")</f>
        <v>#VALUE!</v>
      </c>
      <c r="AG336" t="e">
        <f>AND('STERLING CATALOG - FZN &amp; CHILL'!H2126,"AAAAAD+/2yA=")</f>
        <v>#VALUE!</v>
      </c>
      <c r="AH336" t="e">
        <f>AND('STERLING CATALOG - FZN &amp; CHILL'!I2126,"AAAAAD+/2yE=")</f>
        <v>#VALUE!</v>
      </c>
      <c r="AI336" t="e">
        <f>AND('STERLING CATALOG - FZN &amp; CHILL'!J2126,"AAAAAD+/2yI=")</f>
        <v>#VALUE!</v>
      </c>
      <c r="AJ336">
        <f>IF('STERLING CATALOG - FZN &amp; CHILL'!2127:2127,"AAAAAD+/2yM=",0)</f>
        <v>0</v>
      </c>
      <c r="AK336" t="e">
        <f>AND('STERLING CATALOG - FZN &amp; CHILL'!A2127,"AAAAAD+/2yQ=")</f>
        <v>#VALUE!</v>
      </c>
      <c r="AL336" t="e">
        <f>AND('STERLING CATALOG - FZN &amp; CHILL'!B2127,"AAAAAD+/2yU=")</f>
        <v>#VALUE!</v>
      </c>
      <c r="AM336" t="e">
        <f>AND('STERLING CATALOG - FZN &amp; CHILL'!C2127,"AAAAAD+/2yY=")</f>
        <v>#VALUE!</v>
      </c>
      <c r="AN336" t="e">
        <f>AND('STERLING CATALOG - FZN &amp; CHILL'!D2127,"AAAAAD+/2yc=")</f>
        <v>#VALUE!</v>
      </c>
      <c r="AO336" t="e">
        <f>AND('STERLING CATALOG - FZN &amp; CHILL'!E2127,"AAAAAD+/2yg=")</f>
        <v>#VALUE!</v>
      </c>
      <c r="AP336" t="e">
        <f>AND('STERLING CATALOG - FZN &amp; CHILL'!F2127,"AAAAAD+/2yk=")</f>
        <v>#VALUE!</v>
      </c>
      <c r="AQ336" t="e">
        <f>AND('STERLING CATALOG - FZN &amp; CHILL'!G2127,"AAAAAD+/2yo=")</f>
        <v>#VALUE!</v>
      </c>
      <c r="AR336" t="e">
        <f>AND('STERLING CATALOG - FZN &amp; CHILL'!H2127,"AAAAAD+/2ys=")</f>
        <v>#VALUE!</v>
      </c>
      <c r="AS336" t="e">
        <f>AND('STERLING CATALOG - FZN &amp; CHILL'!I2127,"AAAAAD+/2yw=")</f>
        <v>#VALUE!</v>
      </c>
      <c r="AT336" t="e">
        <f>AND('STERLING CATALOG - FZN &amp; CHILL'!J2127,"AAAAAD+/2y0=")</f>
        <v>#VALUE!</v>
      </c>
      <c r="AU336">
        <f>IF('STERLING CATALOG - FZN &amp; CHILL'!2128:2128,"AAAAAD+/2y4=",0)</f>
        <v>0</v>
      </c>
      <c r="AV336" t="e">
        <f>AND('STERLING CATALOG - FZN &amp; CHILL'!A2128,"AAAAAD+/2y8=")</f>
        <v>#VALUE!</v>
      </c>
      <c r="AW336" t="e">
        <f>AND('STERLING CATALOG - FZN &amp; CHILL'!B2128,"AAAAAD+/2zA=")</f>
        <v>#VALUE!</v>
      </c>
      <c r="AX336" t="e">
        <f>AND('STERLING CATALOG - FZN &amp; CHILL'!C2128,"AAAAAD+/2zE=")</f>
        <v>#VALUE!</v>
      </c>
      <c r="AY336" t="e">
        <f>AND('STERLING CATALOG - FZN &amp; CHILL'!D2128,"AAAAAD+/2zI=")</f>
        <v>#VALUE!</v>
      </c>
      <c r="AZ336" t="e">
        <f>AND('STERLING CATALOG - FZN &amp; CHILL'!E2128,"AAAAAD+/2zM=")</f>
        <v>#VALUE!</v>
      </c>
      <c r="BA336" t="e">
        <f>AND('STERLING CATALOG - FZN &amp; CHILL'!F2128,"AAAAAD+/2zQ=")</f>
        <v>#VALUE!</v>
      </c>
      <c r="BB336" t="e">
        <f>AND('STERLING CATALOG - FZN &amp; CHILL'!G2128,"AAAAAD+/2zU=")</f>
        <v>#VALUE!</v>
      </c>
      <c r="BC336" t="e">
        <f>AND('STERLING CATALOG - FZN &amp; CHILL'!H2128,"AAAAAD+/2zY=")</f>
        <v>#VALUE!</v>
      </c>
      <c r="BD336" t="e">
        <f>AND('STERLING CATALOG - FZN &amp; CHILL'!I2128,"AAAAAD+/2zc=")</f>
        <v>#VALUE!</v>
      </c>
      <c r="BE336" t="e">
        <f>AND('STERLING CATALOG - FZN &amp; CHILL'!J2128,"AAAAAD+/2zg=")</f>
        <v>#VALUE!</v>
      </c>
      <c r="BF336">
        <f>IF('STERLING CATALOG - FZN &amp; CHILL'!2129:2129,"AAAAAD+/2zk=",0)</f>
        <v>0</v>
      </c>
      <c r="BG336" t="e">
        <f>AND('STERLING CATALOG - FZN &amp; CHILL'!A2129,"AAAAAD+/2zo=")</f>
        <v>#VALUE!</v>
      </c>
      <c r="BH336" t="e">
        <f>AND('STERLING CATALOG - FZN &amp; CHILL'!B2129,"AAAAAD+/2zs=")</f>
        <v>#VALUE!</v>
      </c>
      <c r="BI336" t="e">
        <f>AND('STERLING CATALOG - FZN &amp; CHILL'!C2129,"AAAAAD+/2zw=")</f>
        <v>#VALUE!</v>
      </c>
      <c r="BJ336" t="e">
        <f>AND('STERLING CATALOG - FZN &amp; CHILL'!D2129,"AAAAAD+/2z0=")</f>
        <v>#VALUE!</v>
      </c>
      <c r="BK336" t="e">
        <f>AND('STERLING CATALOG - FZN &amp; CHILL'!E2129,"AAAAAD+/2z4=")</f>
        <v>#VALUE!</v>
      </c>
      <c r="BL336" t="e">
        <f>AND('STERLING CATALOG - FZN &amp; CHILL'!F2129,"AAAAAD+/2z8=")</f>
        <v>#VALUE!</v>
      </c>
      <c r="BM336" t="e">
        <f>AND('STERLING CATALOG - FZN &amp; CHILL'!G2129,"AAAAAD+/20A=")</f>
        <v>#VALUE!</v>
      </c>
      <c r="BN336" t="e">
        <f>AND('STERLING CATALOG - FZN &amp; CHILL'!H2129,"AAAAAD+/20E=")</f>
        <v>#VALUE!</v>
      </c>
      <c r="BO336" t="e">
        <f>AND('STERLING CATALOG - FZN &amp; CHILL'!I2129,"AAAAAD+/20I=")</f>
        <v>#VALUE!</v>
      </c>
      <c r="BP336" t="e">
        <f>AND('STERLING CATALOG - FZN &amp; CHILL'!J2129,"AAAAAD+/20M=")</f>
        <v>#VALUE!</v>
      </c>
      <c r="BQ336">
        <f>IF('STERLING CATALOG - FZN &amp; CHILL'!2130:2130,"AAAAAD+/20Q=",0)</f>
        <v>0</v>
      </c>
      <c r="BR336" t="e">
        <f>AND('STERLING CATALOG - FZN &amp; CHILL'!A2130,"AAAAAD+/20U=")</f>
        <v>#VALUE!</v>
      </c>
      <c r="BS336" t="e">
        <f>AND('STERLING CATALOG - FZN &amp; CHILL'!B2130,"AAAAAD+/20Y=")</f>
        <v>#VALUE!</v>
      </c>
      <c r="BT336" t="e">
        <f>AND('STERLING CATALOG - FZN &amp; CHILL'!C2130,"AAAAAD+/20c=")</f>
        <v>#VALUE!</v>
      </c>
      <c r="BU336" t="e">
        <f>AND('STERLING CATALOG - FZN &amp; CHILL'!D2130,"AAAAAD+/20g=")</f>
        <v>#VALUE!</v>
      </c>
      <c r="BV336" t="e">
        <f>AND('STERLING CATALOG - FZN &amp; CHILL'!E2130,"AAAAAD+/20k=")</f>
        <v>#VALUE!</v>
      </c>
      <c r="BW336" t="e">
        <f>AND('STERLING CATALOG - FZN &amp; CHILL'!F2130,"AAAAAD+/20o=")</f>
        <v>#VALUE!</v>
      </c>
      <c r="BX336" t="e">
        <f>AND('STERLING CATALOG - FZN &amp; CHILL'!G2130,"AAAAAD+/20s=")</f>
        <v>#VALUE!</v>
      </c>
      <c r="BY336" t="e">
        <f>AND('STERLING CATALOG - FZN &amp; CHILL'!H2130,"AAAAAD+/20w=")</f>
        <v>#VALUE!</v>
      </c>
      <c r="BZ336" t="e">
        <f>AND('STERLING CATALOG - FZN &amp; CHILL'!I2130,"AAAAAD+/200=")</f>
        <v>#VALUE!</v>
      </c>
      <c r="CA336" t="e">
        <f>AND('STERLING CATALOG - FZN &amp; CHILL'!J2130,"AAAAAD+/204=")</f>
        <v>#VALUE!</v>
      </c>
      <c r="CB336">
        <f>IF('STERLING CATALOG - FZN &amp; CHILL'!2131:2131,"AAAAAD+/208=",0)</f>
        <v>0</v>
      </c>
      <c r="CC336" t="e">
        <f>AND('STERLING CATALOG - FZN &amp; CHILL'!A2131,"AAAAAD+/21A=")</f>
        <v>#VALUE!</v>
      </c>
      <c r="CD336" t="e">
        <f>AND('STERLING CATALOG - FZN &amp; CHILL'!B2131,"AAAAAD+/21E=")</f>
        <v>#VALUE!</v>
      </c>
      <c r="CE336" t="e">
        <f>AND('STERLING CATALOG - FZN &amp; CHILL'!C2131,"AAAAAD+/21I=")</f>
        <v>#VALUE!</v>
      </c>
      <c r="CF336" t="e">
        <f>AND('STERLING CATALOG - FZN &amp; CHILL'!D2131,"AAAAAD+/21M=")</f>
        <v>#VALUE!</v>
      </c>
      <c r="CG336" t="e">
        <f>AND('STERLING CATALOG - FZN &amp; CHILL'!E2131,"AAAAAD+/21Q=")</f>
        <v>#VALUE!</v>
      </c>
      <c r="CH336" t="e">
        <f>AND('STERLING CATALOG - FZN &amp; CHILL'!F2131,"AAAAAD+/21U=")</f>
        <v>#VALUE!</v>
      </c>
      <c r="CI336" t="e">
        <f>AND('STERLING CATALOG - FZN &amp; CHILL'!G2131,"AAAAAD+/21Y=")</f>
        <v>#VALUE!</v>
      </c>
      <c r="CJ336" t="e">
        <f>AND('STERLING CATALOG - FZN &amp; CHILL'!H2131,"AAAAAD+/21c=")</f>
        <v>#VALUE!</v>
      </c>
      <c r="CK336" t="e">
        <f>AND('STERLING CATALOG - FZN &amp; CHILL'!I2131,"AAAAAD+/21g=")</f>
        <v>#VALUE!</v>
      </c>
      <c r="CL336" t="e">
        <f>AND('STERLING CATALOG - FZN &amp; CHILL'!J2131,"AAAAAD+/21k=")</f>
        <v>#VALUE!</v>
      </c>
      <c r="CM336">
        <f>IF('STERLING CATALOG - FZN &amp; CHILL'!2132:2132,"AAAAAD+/21o=",0)</f>
        <v>0</v>
      </c>
      <c r="CN336" t="e">
        <f>AND('STERLING CATALOG - FZN &amp; CHILL'!A2132,"AAAAAD+/21s=")</f>
        <v>#VALUE!</v>
      </c>
      <c r="CO336" t="e">
        <f>AND('STERLING CATALOG - FZN &amp; CHILL'!B2132,"AAAAAD+/21w=")</f>
        <v>#VALUE!</v>
      </c>
      <c r="CP336" t="e">
        <f>AND('STERLING CATALOG - FZN &amp; CHILL'!C2132,"AAAAAD+/210=")</f>
        <v>#VALUE!</v>
      </c>
      <c r="CQ336" t="e">
        <f>AND('STERLING CATALOG - FZN &amp; CHILL'!D2132,"AAAAAD+/214=")</f>
        <v>#VALUE!</v>
      </c>
      <c r="CR336" t="e">
        <f>AND('STERLING CATALOG - FZN &amp; CHILL'!E2132,"AAAAAD+/218=")</f>
        <v>#VALUE!</v>
      </c>
      <c r="CS336" t="e">
        <f>AND('STERLING CATALOG - FZN &amp; CHILL'!F2132,"AAAAAD+/22A=")</f>
        <v>#VALUE!</v>
      </c>
      <c r="CT336" t="e">
        <f>AND('STERLING CATALOG - FZN &amp; CHILL'!G2132,"AAAAAD+/22E=")</f>
        <v>#VALUE!</v>
      </c>
      <c r="CU336" t="e">
        <f>AND('STERLING CATALOG - FZN &amp; CHILL'!H2132,"AAAAAD+/22I=")</f>
        <v>#VALUE!</v>
      </c>
      <c r="CV336" t="e">
        <f>AND('STERLING CATALOG - FZN &amp; CHILL'!I2132,"AAAAAD+/22M=")</f>
        <v>#VALUE!</v>
      </c>
      <c r="CW336" t="e">
        <f>AND('STERLING CATALOG - FZN &amp; CHILL'!J2132,"AAAAAD+/22Q=")</f>
        <v>#VALUE!</v>
      </c>
      <c r="CX336">
        <f>IF('STERLING CATALOG - FZN &amp; CHILL'!2133:2133,"AAAAAD+/22U=",0)</f>
        <v>0</v>
      </c>
      <c r="CY336" t="e">
        <f>AND('STERLING CATALOG - FZN &amp; CHILL'!A2133,"AAAAAD+/22Y=")</f>
        <v>#VALUE!</v>
      </c>
      <c r="CZ336" t="e">
        <f>AND('STERLING CATALOG - FZN &amp; CHILL'!B2133,"AAAAAD+/22c=")</f>
        <v>#VALUE!</v>
      </c>
      <c r="DA336" t="e">
        <f>AND('STERLING CATALOG - FZN &amp; CHILL'!C2133,"AAAAAD+/22g=")</f>
        <v>#VALUE!</v>
      </c>
      <c r="DB336" t="e">
        <f>AND('STERLING CATALOG - FZN &amp; CHILL'!D2133,"AAAAAD+/22k=")</f>
        <v>#VALUE!</v>
      </c>
      <c r="DC336" t="e">
        <f>AND('STERLING CATALOG - FZN &amp; CHILL'!E2133,"AAAAAD+/22o=")</f>
        <v>#VALUE!</v>
      </c>
      <c r="DD336" t="e">
        <f>AND('STERLING CATALOG - FZN &amp; CHILL'!F2133,"AAAAAD+/22s=")</f>
        <v>#VALUE!</v>
      </c>
      <c r="DE336" t="e">
        <f>AND('STERLING CATALOG - FZN &amp; CHILL'!G2133,"AAAAAD+/22w=")</f>
        <v>#VALUE!</v>
      </c>
      <c r="DF336" t="e">
        <f>AND('STERLING CATALOG - FZN &amp; CHILL'!H2133,"AAAAAD+/220=")</f>
        <v>#VALUE!</v>
      </c>
      <c r="DG336" t="e">
        <f>AND('STERLING CATALOG - FZN &amp; CHILL'!I2133,"AAAAAD+/224=")</f>
        <v>#VALUE!</v>
      </c>
      <c r="DH336" t="e">
        <f>AND('STERLING CATALOG - FZN &amp; CHILL'!J2133,"AAAAAD+/228=")</f>
        <v>#VALUE!</v>
      </c>
      <c r="DI336">
        <f>IF('STERLING CATALOG - FZN &amp; CHILL'!2134:2134,"AAAAAD+/23A=",0)</f>
        <v>0</v>
      </c>
      <c r="DJ336" t="e">
        <f>AND('STERLING CATALOG - FZN &amp; CHILL'!A2134,"AAAAAD+/23E=")</f>
        <v>#VALUE!</v>
      </c>
      <c r="DK336" t="e">
        <f>AND('STERLING CATALOG - FZN &amp; CHILL'!B2134,"AAAAAD+/23I=")</f>
        <v>#VALUE!</v>
      </c>
      <c r="DL336" t="e">
        <f>AND('STERLING CATALOG - FZN &amp; CHILL'!C2134,"AAAAAD+/23M=")</f>
        <v>#VALUE!</v>
      </c>
      <c r="DM336" t="e">
        <f>AND('STERLING CATALOG - FZN &amp; CHILL'!D2134,"AAAAAD+/23Q=")</f>
        <v>#VALUE!</v>
      </c>
      <c r="DN336" t="e">
        <f>AND('STERLING CATALOG - FZN &amp; CHILL'!E2134,"AAAAAD+/23U=")</f>
        <v>#VALUE!</v>
      </c>
      <c r="DO336" t="e">
        <f>AND('STERLING CATALOG - FZN &amp; CHILL'!F2134,"AAAAAD+/23Y=")</f>
        <v>#VALUE!</v>
      </c>
      <c r="DP336" t="e">
        <f>AND('STERLING CATALOG - FZN &amp; CHILL'!G2134,"AAAAAD+/23c=")</f>
        <v>#VALUE!</v>
      </c>
      <c r="DQ336" t="e">
        <f>AND('STERLING CATALOG - FZN &amp; CHILL'!H2134,"AAAAAD+/23g=")</f>
        <v>#VALUE!</v>
      </c>
      <c r="DR336" t="e">
        <f>AND('STERLING CATALOG - FZN &amp; CHILL'!I2134,"AAAAAD+/23k=")</f>
        <v>#VALUE!</v>
      </c>
      <c r="DS336" t="e">
        <f>AND('STERLING CATALOG - FZN &amp; CHILL'!J2134,"AAAAAD+/23o=")</f>
        <v>#VALUE!</v>
      </c>
      <c r="DT336">
        <f>IF('STERLING CATALOG - FZN &amp; CHILL'!2135:2135,"AAAAAD+/23s=",0)</f>
        <v>0</v>
      </c>
      <c r="DU336" t="e">
        <f>AND('STERLING CATALOG - FZN &amp; CHILL'!A2135,"AAAAAD+/23w=")</f>
        <v>#VALUE!</v>
      </c>
      <c r="DV336" t="e">
        <f>AND('STERLING CATALOG - FZN &amp; CHILL'!B2135,"AAAAAD+/230=")</f>
        <v>#VALUE!</v>
      </c>
      <c r="DW336" t="e">
        <f>AND('STERLING CATALOG - FZN &amp; CHILL'!C2135,"AAAAAD+/234=")</f>
        <v>#VALUE!</v>
      </c>
      <c r="DX336" t="e">
        <f>AND('STERLING CATALOG - FZN &amp; CHILL'!D2135,"AAAAAD+/238=")</f>
        <v>#VALUE!</v>
      </c>
      <c r="DY336" t="e">
        <f>AND('STERLING CATALOG - FZN &amp; CHILL'!E2135,"AAAAAD+/24A=")</f>
        <v>#VALUE!</v>
      </c>
      <c r="DZ336" t="e">
        <f>AND('STERLING CATALOG - FZN &amp; CHILL'!F2135,"AAAAAD+/24E=")</f>
        <v>#VALUE!</v>
      </c>
      <c r="EA336" t="e">
        <f>AND('STERLING CATALOG - FZN &amp; CHILL'!G2135,"AAAAAD+/24I=")</f>
        <v>#VALUE!</v>
      </c>
      <c r="EB336" t="e">
        <f>AND('STERLING CATALOG - FZN &amp; CHILL'!H2135,"AAAAAD+/24M=")</f>
        <v>#VALUE!</v>
      </c>
      <c r="EC336" t="e">
        <f>AND('STERLING CATALOG - FZN &amp; CHILL'!I2135,"AAAAAD+/24Q=")</f>
        <v>#VALUE!</v>
      </c>
      <c r="ED336" t="e">
        <f>AND('STERLING CATALOG - FZN &amp; CHILL'!J2135,"AAAAAD+/24U=")</f>
        <v>#VALUE!</v>
      </c>
      <c r="EE336">
        <f>IF('STERLING CATALOG - FZN &amp; CHILL'!2136:2136,"AAAAAD+/24Y=",0)</f>
        <v>0</v>
      </c>
      <c r="EF336" t="e">
        <f>AND('STERLING CATALOG - FZN &amp; CHILL'!A2136,"AAAAAD+/24c=")</f>
        <v>#VALUE!</v>
      </c>
      <c r="EG336" t="e">
        <f>AND('STERLING CATALOG - FZN &amp; CHILL'!B2136,"AAAAAD+/24g=")</f>
        <v>#VALUE!</v>
      </c>
      <c r="EH336" t="e">
        <f>AND('STERLING CATALOG - FZN &amp; CHILL'!C2136,"AAAAAD+/24k=")</f>
        <v>#VALUE!</v>
      </c>
      <c r="EI336" t="e">
        <f>AND('STERLING CATALOG - FZN &amp; CHILL'!D2136,"AAAAAD+/24o=")</f>
        <v>#VALUE!</v>
      </c>
      <c r="EJ336" t="e">
        <f>AND('STERLING CATALOG - FZN &amp; CHILL'!E2136,"AAAAAD+/24s=")</f>
        <v>#VALUE!</v>
      </c>
      <c r="EK336" t="e">
        <f>AND('STERLING CATALOG - FZN &amp; CHILL'!F2136,"AAAAAD+/24w=")</f>
        <v>#VALUE!</v>
      </c>
      <c r="EL336" t="e">
        <f>AND('STERLING CATALOG - FZN &amp; CHILL'!G2136,"AAAAAD+/240=")</f>
        <v>#VALUE!</v>
      </c>
      <c r="EM336" t="e">
        <f>AND('STERLING CATALOG - FZN &amp; CHILL'!H2136,"AAAAAD+/244=")</f>
        <v>#VALUE!</v>
      </c>
      <c r="EN336" t="e">
        <f>AND('STERLING CATALOG - FZN &amp; CHILL'!I2136,"AAAAAD+/248=")</f>
        <v>#VALUE!</v>
      </c>
      <c r="EO336" t="e">
        <f>AND('STERLING CATALOG - FZN &amp; CHILL'!J2136,"AAAAAD+/25A=")</f>
        <v>#VALUE!</v>
      </c>
      <c r="EP336">
        <f>IF('STERLING CATALOG - FZN &amp; CHILL'!2137:2137,"AAAAAD+/25E=",0)</f>
        <v>0</v>
      </c>
      <c r="EQ336" t="e">
        <f>AND('STERLING CATALOG - FZN &amp; CHILL'!A2137,"AAAAAD+/25I=")</f>
        <v>#VALUE!</v>
      </c>
      <c r="ER336" t="e">
        <f>AND('STERLING CATALOG - FZN &amp; CHILL'!B2137,"AAAAAD+/25M=")</f>
        <v>#VALUE!</v>
      </c>
      <c r="ES336" t="e">
        <f>AND('STERLING CATALOG - FZN &amp; CHILL'!C2137,"AAAAAD+/25Q=")</f>
        <v>#VALUE!</v>
      </c>
      <c r="ET336" t="e">
        <f>AND('STERLING CATALOG - FZN &amp; CHILL'!D2137,"AAAAAD+/25U=")</f>
        <v>#VALUE!</v>
      </c>
      <c r="EU336" t="e">
        <f>AND('STERLING CATALOG - FZN &amp; CHILL'!E2137,"AAAAAD+/25Y=")</f>
        <v>#VALUE!</v>
      </c>
      <c r="EV336" t="e">
        <f>AND('STERLING CATALOG - FZN &amp; CHILL'!F2137,"AAAAAD+/25c=")</f>
        <v>#VALUE!</v>
      </c>
      <c r="EW336" t="e">
        <f>AND('STERLING CATALOG - FZN &amp; CHILL'!G2137,"AAAAAD+/25g=")</f>
        <v>#VALUE!</v>
      </c>
      <c r="EX336" t="e">
        <f>AND('STERLING CATALOG - FZN &amp; CHILL'!H2137,"AAAAAD+/25k=")</f>
        <v>#VALUE!</v>
      </c>
      <c r="EY336" t="e">
        <f>AND('STERLING CATALOG - FZN &amp; CHILL'!I2137,"AAAAAD+/25o=")</f>
        <v>#VALUE!</v>
      </c>
      <c r="EZ336" t="e">
        <f>AND('STERLING CATALOG - FZN &amp; CHILL'!J2137,"AAAAAD+/25s=")</f>
        <v>#VALUE!</v>
      </c>
      <c r="FA336">
        <f>IF('STERLING CATALOG - FZN &amp; CHILL'!2138:2138,"AAAAAD+/25w=",0)</f>
        <v>0</v>
      </c>
      <c r="FB336" t="e">
        <f>AND('STERLING CATALOG - FZN &amp; CHILL'!A2138,"AAAAAD+/250=")</f>
        <v>#VALUE!</v>
      </c>
      <c r="FC336" t="e">
        <f>AND('STERLING CATALOG - FZN &amp; CHILL'!B2138,"AAAAAD+/254=")</f>
        <v>#VALUE!</v>
      </c>
      <c r="FD336" t="e">
        <f>AND('STERLING CATALOG - FZN &amp; CHILL'!C2138,"AAAAAD+/258=")</f>
        <v>#VALUE!</v>
      </c>
      <c r="FE336" t="e">
        <f>AND('STERLING CATALOG - FZN &amp; CHILL'!D2138,"AAAAAD+/26A=")</f>
        <v>#VALUE!</v>
      </c>
      <c r="FF336" t="e">
        <f>AND('STERLING CATALOG - FZN &amp; CHILL'!E2138,"AAAAAD+/26E=")</f>
        <v>#VALUE!</v>
      </c>
      <c r="FG336" t="e">
        <f>AND('STERLING CATALOG - FZN &amp; CHILL'!F2138,"AAAAAD+/26I=")</f>
        <v>#VALUE!</v>
      </c>
      <c r="FH336" t="e">
        <f>AND('STERLING CATALOG - FZN &amp; CHILL'!G2138,"AAAAAD+/26M=")</f>
        <v>#VALUE!</v>
      </c>
      <c r="FI336" t="e">
        <f>AND('STERLING CATALOG - FZN &amp; CHILL'!H2138,"AAAAAD+/26Q=")</f>
        <v>#VALUE!</v>
      </c>
      <c r="FJ336" t="e">
        <f>AND('STERLING CATALOG - FZN &amp; CHILL'!I2138,"AAAAAD+/26U=")</f>
        <v>#VALUE!</v>
      </c>
      <c r="FK336" t="e">
        <f>AND('STERLING CATALOG - FZN &amp; CHILL'!J2138,"AAAAAD+/26Y=")</f>
        <v>#VALUE!</v>
      </c>
      <c r="FL336">
        <f>IF('STERLING CATALOG - FZN &amp; CHILL'!2139:2139,"AAAAAD+/26c=",0)</f>
        <v>0</v>
      </c>
      <c r="FM336" t="e">
        <f>AND('STERLING CATALOG - FZN &amp; CHILL'!A2139,"AAAAAD+/26g=")</f>
        <v>#VALUE!</v>
      </c>
      <c r="FN336" t="e">
        <f>AND('STERLING CATALOG - FZN &amp; CHILL'!B2139,"AAAAAD+/26k=")</f>
        <v>#VALUE!</v>
      </c>
      <c r="FO336" t="e">
        <f>AND('STERLING CATALOG - FZN &amp; CHILL'!C2139,"AAAAAD+/26o=")</f>
        <v>#VALUE!</v>
      </c>
      <c r="FP336" t="e">
        <f>AND('STERLING CATALOG - FZN &amp; CHILL'!D2139,"AAAAAD+/26s=")</f>
        <v>#VALUE!</v>
      </c>
      <c r="FQ336" t="e">
        <f>AND('STERLING CATALOG - FZN &amp; CHILL'!E2139,"AAAAAD+/26w=")</f>
        <v>#VALUE!</v>
      </c>
      <c r="FR336" t="e">
        <f>AND('STERLING CATALOG - FZN &amp; CHILL'!F2139,"AAAAAD+/260=")</f>
        <v>#VALUE!</v>
      </c>
      <c r="FS336" t="e">
        <f>AND('STERLING CATALOG - FZN &amp; CHILL'!G2139,"AAAAAD+/264=")</f>
        <v>#VALUE!</v>
      </c>
      <c r="FT336" t="e">
        <f>AND('STERLING CATALOG - FZN &amp; CHILL'!H2139,"AAAAAD+/268=")</f>
        <v>#VALUE!</v>
      </c>
      <c r="FU336" t="e">
        <f>AND('STERLING CATALOG - FZN &amp; CHILL'!I2139,"AAAAAD+/27A=")</f>
        <v>#VALUE!</v>
      </c>
      <c r="FV336" t="e">
        <f>AND('STERLING CATALOG - FZN &amp; CHILL'!J2139,"AAAAAD+/27E=")</f>
        <v>#VALUE!</v>
      </c>
      <c r="FW336">
        <f>IF('STERLING CATALOG - FZN &amp; CHILL'!2140:2140,"AAAAAD+/27I=",0)</f>
        <v>0</v>
      </c>
      <c r="FX336" t="e">
        <f>AND('STERLING CATALOG - FZN &amp; CHILL'!A2140,"AAAAAD+/27M=")</f>
        <v>#VALUE!</v>
      </c>
      <c r="FY336" t="e">
        <f>AND('STERLING CATALOG - FZN &amp; CHILL'!B2140,"AAAAAD+/27Q=")</f>
        <v>#VALUE!</v>
      </c>
      <c r="FZ336" t="e">
        <f>AND('STERLING CATALOG - FZN &amp; CHILL'!C2140,"AAAAAD+/27U=")</f>
        <v>#VALUE!</v>
      </c>
      <c r="GA336" t="e">
        <f>AND('STERLING CATALOG - FZN &amp; CHILL'!D2140,"AAAAAD+/27Y=")</f>
        <v>#VALUE!</v>
      </c>
      <c r="GB336" t="e">
        <f>AND('STERLING CATALOG - FZN &amp; CHILL'!E2140,"AAAAAD+/27c=")</f>
        <v>#VALUE!</v>
      </c>
      <c r="GC336" t="e">
        <f>AND('STERLING CATALOG - FZN &amp; CHILL'!F2140,"AAAAAD+/27g=")</f>
        <v>#VALUE!</v>
      </c>
      <c r="GD336" t="e">
        <f>AND('STERLING CATALOG - FZN &amp; CHILL'!G2140,"AAAAAD+/27k=")</f>
        <v>#VALUE!</v>
      </c>
      <c r="GE336" t="e">
        <f>AND('STERLING CATALOG - FZN &amp; CHILL'!H2140,"AAAAAD+/27o=")</f>
        <v>#VALUE!</v>
      </c>
      <c r="GF336" t="e">
        <f>AND('STERLING CATALOG - FZN &amp; CHILL'!I2140,"AAAAAD+/27s=")</f>
        <v>#VALUE!</v>
      </c>
      <c r="GG336" t="e">
        <f>AND('STERLING CATALOG - FZN &amp; CHILL'!J2140,"AAAAAD+/27w=")</f>
        <v>#VALUE!</v>
      </c>
      <c r="GH336">
        <f>IF('STERLING CATALOG - FZN &amp; CHILL'!2141:2141,"AAAAAD+/270=",0)</f>
        <v>0</v>
      </c>
      <c r="GI336" t="e">
        <f>AND('STERLING CATALOG - FZN &amp; CHILL'!A2141,"AAAAAD+/274=")</f>
        <v>#VALUE!</v>
      </c>
      <c r="GJ336" t="e">
        <f>AND('STERLING CATALOG - FZN &amp; CHILL'!B2141,"AAAAAD+/278=")</f>
        <v>#VALUE!</v>
      </c>
      <c r="GK336" t="e">
        <f>AND('STERLING CATALOG - FZN &amp; CHILL'!C2141,"AAAAAD+/28A=")</f>
        <v>#VALUE!</v>
      </c>
      <c r="GL336" t="e">
        <f>AND('STERLING CATALOG - FZN &amp; CHILL'!D2141,"AAAAAD+/28E=")</f>
        <v>#VALUE!</v>
      </c>
      <c r="GM336" t="e">
        <f>AND('STERLING CATALOG - FZN &amp; CHILL'!E2141,"AAAAAD+/28I=")</f>
        <v>#VALUE!</v>
      </c>
      <c r="GN336" t="e">
        <f>AND('STERLING CATALOG - FZN &amp; CHILL'!F2141,"AAAAAD+/28M=")</f>
        <v>#VALUE!</v>
      </c>
      <c r="GO336" t="e">
        <f>AND('STERLING CATALOG - FZN &amp; CHILL'!G2141,"AAAAAD+/28Q=")</f>
        <v>#VALUE!</v>
      </c>
      <c r="GP336" t="e">
        <f>AND('STERLING CATALOG - FZN &amp; CHILL'!H2141,"AAAAAD+/28U=")</f>
        <v>#VALUE!</v>
      </c>
      <c r="GQ336" t="e">
        <f>AND('STERLING CATALOG - FZN &amp; CHILL'!I2141,"AAAAAD+/28Y=")</f>
        <v>#VALUE!</v>
      </c>
      <c r="GR336" t="e">
        <f>AND('STERLING CATALOG - FZN &amp; CHILL'!J2141,"AAAAAD+/28c=")</f>
        <v>#VALUE!</v>
      </c>
      <c r="GS336">
        <f>IF('STERLING CATALOG - FZN &amp; CHILL'!2142:2142,"AAAAAD+/28g=",0)</f>
        <v>0</v>
      </c>
      <c r="GT336" t="e">
        <f>AND('STERLING CATALOG - FZN &amp; CHILL'!A2142,"AAAAAD+/28k=")</f>
        <v>#VALUE!</v>
      </c>
      <c r="GU336" t="e">
        <f>AND('STERLING CATALOG - FZN &amp; CHILL'!B2142,"AAAAAD+/28o=")</f>
        <v>#VALUE!</v>
      </c>
      <c r="GV336" t="e">
        <f>AND('STERLING CATALOG - FZN &amp; CHILL'!C2142,"AAAAAD+/28s=")</f>
        <v>#VALUE!</v>
      </c>
      <c r="GW336" t="e">
        <f>AND('STERLING CATALOG - FZN &amp; CHILL'!D2142,"AAAAAD+/28w=")</f>
        <v>#VALUE!</v>
      </c>
      <c r="GX336" t="e">
        <f>AND('STERLING CATALOG - FZN &amp; CHILL'!E2142,"AAAAAD+/280=")</f>
        <v>#VALUE!</v>
      </c>
      <c r="GY336" t="e">
        <f>AND('STERLING CATALOG - FZN &amp; CHILL'!F2142,"AAAAAD+/284=")</f>
        <v>#VALUE!</v>
      </c>
      <c r="GZ336" t="e">
        <f>AND('STERLING CATALOG - FZN &amp; CHILL'!G2142,"AAAAAD+/288=")</f>
        <v>#VALUE!</v>
      </c>
      <c r="HA336" t="e">
        <f>AND('STERLING CATALOG - FZN &amp; CHILL'!H2142,"AAAAAD+/29A=")</f>
        <v>#VALUE!</v>
      </c>
      <c r="HB336" t="e">
        <f>AND('STERLING CATALOG - FZN &amp; CHILL'!I2142,"AAAAAD+/29E=")</f>
        <v>#VALUE!</v>
      </c>
      <c r="HC336" t="e">
        <f>AND('STERLING CATALOG - FZN &amp; CHILL'!J2142,"AAAAAD+/29I=")</f>
        <v>#VALUE!</v>
      </c>
      <c r="HD336">
        <f>IF('STERLING CATALOG - FZN &amp; CHILL'!2143:2143,"AAAAAD+/29M=",0)</f>
        <v>0</v>
      </c>
      <c r="HE336" t="e">
        <f>AND('STERLING CATALOG - FZN &amp; CHILL'!A2143,"AAAAAD+/29Q=")</f>
        <v>#VALUE!</v>
      </c>
      <c r="HF336" t="e">
        <f>AND('STERLING CATALOG - FZN &amp; CHILL'!B2143,"AAAAAD+/29U=")</f>
        <v>#VALUE!</v>
      </c>
      <c r="HG336" t="e">
        <f>AND('STERLING CATALOG - FZN &amp; CHILL'!C2143,"AAAAAD+/29Y=")</f>
        <v>#VALUE!</v>
      </c>
      <c r="HH336" t="e">
        <f>AND('STERLING CATALOG - FZN &amp; CHILL'!D2143,"AAAAAD+/29c=")</f>
        <v>#VALUE!</v>
      </c>
      <c r="HI336" t="e">
        <f>AND('STERLING CATALOG - FZN &amp; CHILL'!E2143,"AAAAAD+/29g=")</f>
        <v>#VALUE!</v>
      </c>
      <c r="HJ336" t="e">
        <f>AND('STERLING CATALOG - FZN &amp; CHILL'!F2143,"AAAAAD+/29k=")</f>
        <v>#VALUE!</v>
      </c>
      <c r="HK336" t="e">
        <f>AND('STERLING CATALOG - FZN &amp; CHILL'!G2143,"AAAAAD+/29o=")</f>
        <v>#VALUE!</v>
      </c>
      <c r="HL336" t="e">
        <f>AND('STERLING CATALOG - FZN &amp; CHILL'!H2143,"AAAAAD+/29s=")</f>
        <v>#VALUE!</v>
      </c>
      <c r="HM336" t="e">
        <f>AND('STERLING CATALOG - FZN &amp; CHILL'!I2143,"AAAAAD+/29w=")</f>
        <v>#VALUE!</v>
      </c>
      <c r="HN336" t="e">
        <f>AND('STERLING CATALOG - FZN &amp; CHILL'!J2143,"AAAAAD+/290=")</f>
        <v>#VALUE!</v>
      </c>
      <c r="HO336">
        <f>IF('STERLING CATALOG - FZN &amp; CHILL'!2144:2144,"AAAAAD+/294=",0)</f>
        <v>0</v>
      </c>
      <c r="HP336" t="e">
        <f>AND('STERLING CATALOG - FZN &amp; CHILL'!A2144,"AAAAAD+/298=")</f>
        <v>#VALUE!</v>
      </c>
      <c r="HQ336" t="e">
        <f>AND('STERLING CATALOG - FZN &amp; CHILL'!B2144,"AAAAAD+/2+A=")</f>
        <v>#VALUE!</v>
      </c>
      <c r="HR336" t="e">
        <f>AND('STERLING CATALOG - FZN &amp; CHILL'!C2144,"AAAAAD+/2+E=")</f>
        <v>#VALUE!</v>
      </c>
      <c r="HS336" t="e">
        <f>AND('STERLING CATALOG - FZN &amp; CHILL'!D2144,"AAAAAD+/2+I=")</f>
        <v>#VALUE!</v>
      </c>
      <c r="HT336" t="e">
        <f>AND('STERLING CATALOG - FZN &amp; CHILL'!E2144,"AAAAAD+/2+M=")</f>
        <v>#VALUE!</v>
      </c>
      <c r="HU336" t="e">
        <f>AND('STERLING CATALOG - FZN &amp; CHILL'!F2144,"AAAAAD+/2+Q=")</f>
        <v>#VALUE!</v>
      </c>
      <c r="HV336" t="e">
        <f>AND('STERLING CATALOG - FZN &amp; CHILL'!G2144,"AAAAAD+/2+U=")</f>
        <v>#VALUE!</v>
      </c>
      <c r="HW336" t="e">
        <f>AND('STERLING CATALOG - FZN &amp; CHILL'!H2144,"AAAAAD+/2+Y=")</f>
        <v>#VALUE!</v>
      </c>
      <c r="HX336" t="e">
        <f>AND('STERLING CATALOG - FZN &amp; CHILL'!I2144,"AAAAAD+/2+c=")</f>
        <v>#VALUE!</v>
      </c>
      <c r="HY336" t="e">
        <f>AND('STERLING CATALOG - FZN &amp; CHILL'!J2144,"AAAAAD+/2+g=")</f>
        <v>#VALUE!</v>
      </c>
      <c r="HZ336">
        <f>IF('STERLING CATALOG - FZN &amp; CHILL'!2145:2145,"AAAAAD+/2+k=",0)</f>
        <v>0</v>
      </c>
      <c r="IA336" t="e">
        <f>AND('STERLING CATALOG - FZN &amp; CHILL'!A2145,"AAAAAD+/2+o=")</f>
        <v>#VALUE!</v>
      </c>
      <c r="IB336" t="e">
        <f>AND('STERLING CATALOG - FZN &amp; CHILL'!B2145,"AAAAAD+/2+s=")</f>
        <v>#VALUE!</v>
      </c>
      <c r="IC336" t="e">
        <f>AND('STERLING CATALOG - FZN &amp; CHILL'!C2145,"AAAAAD+/2+w=")</f>
        <v>#VALUE!</v>
      </c>
      <c r="ID336" t="e">
        <f>AND('STERLING CATALOG - FZN &amp; CHILL'!D2145,"AAAAAD+/2+0=")</f>
        <v>#VALUE!</v>
      </c>
      <c r="IE336" t="e">
        <f>AND('STERLING CATALOG - FZN &amp; CHILL'!E2145,"AAAAAD+/2+4=")</f>
        <v>#VALUE!</v>
      </c>
      <c r="IF336" t="e">
        <f>AND('STERLING CATALOG - FZN &amp; CHILL'!F2145,"AAAAAD+/2+8=")</f>
        <v>#VALUE!</v>
      </c>
      <c r="IG336" t="e">
        <f>AND('STERLING CATALOG - FZN &amp; CHILL'!G2145,"AAAAAD+/2/A=")</f>
        <v>#VALUE!</v>
      </c>
      <c r="IH336" t="e">
        <f>AND('STERLING CATALOG - FZN &amp; CHILL'!H2145,"AAAAAD+/2/E=")</f>
        <v>#VALUE!</v>
      </c>
      <c r="II336" t="e">
        <f>AND('STERLING CATALOG - FZN &amp; CHILL'!I2145,"AAAAAD+/2/I=")</f>
        <v>#VALUE!</v>
      </c>
      <c r="IJ336" t="e">
        <f>AND('STERLING CATALOG - FZN &amp; CHILL'!J2145,"AAAAAD+/2/M=")</f>
        <v>#VALUE!</v>
      </c>
      <c r="IK336">
        <f>IF('STERLING CATALOG - FZN &amp; CHILL'!2146:2146,"AAAAAD+/2/Q=",0)</f>
        <v>0</v>
      </c>
      <c r="IL336" t="e">
        <f>AND('STERLING CATALOG - FZN &amp; CHILL'!A2146,"AAAAAD+/2/U=")</f>
        <v>#VALUE!</v>
      </c>
      <c r="IM336" t="e">
        <f>AND('STERLING CATALOG - FZN &amp; CHILL'!B2146,"AAAAAD+/2/Y=")</f>
        <v>#VALUE!</v>
      </c>
      <c r="IN336" t="e">
        <f>AND('STERLING CATALOG - FZN &amp; CHILL'!C2146,"AAAAAD+/2/c=")</f>
        <v>#VALUE!</v>
      </c>
      <c r="IO336" t="e">
        <f>AND('STERLING CATALOG - FZN &amp; CHILL'!D2146,"AAAAAD+/2/g=")</f>
        <v>#VALUE!</v>
      </c>
      <c r="IP336" t="e">
        <f>AND('STERLING CATALOG - FZN &amp; CHILL'!E2146,"AAAAAD+/2/k=")</f>
        <v>#VALUE!</v>
      </c>
      <c r="IQ336" t="e">
        <f>AND('STERLING CATALOG - FZN &amp; CHILL'!F2146,"AAAAAD+/2/o=")</f>
        <v>#VALUE!</v>
      </c>
      <c r="IR336" t="e">
        <f>AND('STERLING CATALOG - FZN &amp; CHILL'!G2146,"AAAAAD+/2/s=")</f>
        <v>#VALUE!</v>
      </c>
      <c r="IS336" t="e">
        <f>AND('STERLING CATALOG - FZN &amp; CHILL'!H2146,"AAAAAD+/2/w=")</f>
        <v>#VALUE!</v>
      </c>
      <c r="IT336" t="e">
        <f>AND('STERLING CATALOG - FZN &amp; CHILL'!I2146,"AAAAAD+/2/0=")</f>
        <v>#VALUE!</v>
      </c>
      <c r="IU336" t="e">
        <f>AND('STERLING CATALOG - FZN &amp; CHILL'!J2146,"AAAAAD+/2/4=")</f>
        <v>#VALUE!</v>
      </c>
      <c r="IV336">
        <f>IF('STERLING CATALOG - FZN &amp; CHILL'!2147:2147,"AAAAAD+/2/8=",0)</f>
        <v>0</v>
      </c>
    </row>
    <row r="337" spans="1:256">
      <c r="A337" t="e">
        <f>AND('STERLING CATALOG - FZN &amp; CHILL'!A2147,"AAAAAF9/fQA=")</f>
        <v>#VALUE!</v>
      </c>
      <c r="B337" t="e">
        <f>AND('STERLING CATALOG - FZN &amp; CHILL'!B2147,"AAAAAF9/fQE=")</f>
        <v>#VALUE!</v>
      </c>
      <c r="C337" t="e">
        <f>AND('STERLING CATALOG - FZN &amp; CHILL'!C2147,"AAAAAF9/fQI=")</f>
        <v>#VALUE!</v>
      </c>
      <c r="D337" t="e">
        <f>AND('STERLING CATALOG - FZN &amp; CHILL'!D2147,"AAAAAF9/fQM=")</f>
        <v>#VALUE!</v>
      </c>
      <c r="E337" t="e">
        <f>AND('STERLING CATALOG - FZN &amp; CHILL'!E2147,"AAAAAF9/fQQ=")</f>
        <v>#VALUE!</v>
      </c>
      <c r="F337" t="e">
        <f>AND('STERLING CATALOG - FZN &amp; CHILL'!F2147,"AAAAAF9/fQU=")</f>
        <v>#VALUE!</v>
      </c>
      <c r="G337" t="e">
        <f>AND('STERLING CATALOG - FZN &amp; CHILL'!G2147,"AAAAAF9/fQY=")</f>
        <v>#VALUE!</v>
      </c>
      <c r="H337" t="e">
        <f>AND('STERLING CATALOG - FZN &amp; CHILL'!H2147,"AAAAAF9/fQc=")</f>
        <v>#VALUE!</v>
      </c>
      <c r="I337" t="e">
        <f>AND('STERLING CATALOG - FZN &amp; CHILL'!I2147,"AAAAAF9/fQg=")</f>
        <v>#VALUE!</v>
      </c>
      <c r="J337" t="e">
        <f>AND('STERLING CATALOG - FZN &amp; CHILL'!J2147,"AAAAAF9/fQk=")</f>
        <v>#VALUE!</v>
      </c>
      <c r="K337">
        <f>IF('STERLING CATALOG - FZN &amp; CHILL'!2148:2148,"AAAAAF9/fQo=",0)</f>
        <v>0</v>
      </c>
      <c r="L337" t="e">
        <f>AND('STERLING CATALOG - FZN &amp; CHILL'!A2148,"AAAAAF9/fQs=")</f>
        <v>#VALUE!</v>
      </c>
      <c r="M337" t="e">
        <f>AND('STERLING CATALOG - FZN &amp; CHILL'!B2148,"AAAAAF9/fQw=")</f>
        <v>#VALUE!</v>
      </c>
      <c r="N337" t="e">
        <f>AND('STERLING CATALOG - FZN &amp; CHILL'!C2148,"AAAAAF9/fQ0=")</f>
        <v>#VALUE!</v>
      </c>
      <c r="O337" t="e">
        <f>AND('STERLING CATALOG - FZN &amp; CHILL'!D2148,"AAAAAF9/fQ4=")</f>
        <v>#VALUE!</v>
      </c>
      <c r="P337" t="e">
        <f>AND('STERLING CATALOG - FZN &amp; CHILL'!E2148,"AAAAAF9/fQ8=")</f>
        <v>#VALUE!</v>
      </c>
      <c r="Q337" t="e">
        <f>AND('STERLING CATALOG - FZN &amp; CHILL'!F2148,"AAAAAF9/fRA=")</f>
        <v>#VALUE!</v>
      </c>
      <c r="R337" t="e">
        <f>AND('STERLING CATALOG - FZN &amp; CHILL'!G2148,"AAAAAF9/fRE=")</f>
        <v>#VALUE!</v>
      </c>
      <c r="S337" t="e">
        <f>AND('STERLING CATALOG - FZN &amp; CHILL'!H2148,"AAAAAF9/fRI=")</f>
        <v>#VALUE!</v>
      </c>
      <c r="T337" t="e">
        <f>AND('STERLING CATALOG - FZN &amp; CHILL'!I2148,"AAAAAF9/fRM=")</f>
        <v>#VALUE!</v>
      </c>
      <c r="U337" t="e">
        <f>AND('STERLING CATALOG - FZN &amp; CHILL'!J2148,"AAAAAF9/fRQ=")</f>
        <v>#VALUE!</v>
      </c>
      <c r="V337">
        <f>IF('STERLING CATALOG - FZN &amp; CHILL'!2149:2149,"AAAAAF9/fRU=",0)</f>
        <v>0</v>
      </c>
      <c r="W337" t="e">
        <f>AND('STERLING CATALOG - FZN &amp; CHILL'!A2149,"AAAAAF9/fRY=")</f>
        <v>#VALUE!</v>
      </c>
      <c r="X337" t="e">
        <f>AND('STERLING CATALOG - FZN &amp; CHILL'!B2149,"AAAAAF9/fRc=")</f>
        <v>#VALUE!</v>
      </c>
      <c r="Y337" t="e">
        <f>AND('STERLING CATALOG - FZN &amp; CHILL'!C2149,"AAAAAF9/fRg=")</f>
        <v>#VALUE!</v>
      </c>
      <c r="Z337" t="e">
        <f>AND('STERLING CATALOG - FZN &amp; CHILL'!D2149,"AAAAAF9/fRk=")</f>
        <v>#VALUE!</v>
      </c>
      <c r="AA337" t="e">
        <f>AND('STERLING CATALOG - FZN &amp; CHILL'!E2149,"AAAAAF9/fRo=")</f>
        <v>#VALUE!</v>
      </c>
      <c r="AB337" t="e">
        <f>AND('STERLING CATALOG - FZN &amp; CHILL'!F2149,"AAAAAF9/fRs=")</f>
        <v>#VALUE!</v>
      </c>
      <c r="AC337" t="e">
        <f>AND('STERLING CATALOG - FZN &amp; CHILL'!G2149,"AAAAAF9/fRw=")</f>
        <v>#VALUE!</v>
      </c>
      <c r="AD337" t="e">
        <f>AND('STERLING CATALOG - FZN &amp; CHILL'!H2149,"AAAAAF9/fR0=")</f>
        <v>#VALUE!</v>
      </c>
      <c r="AE337" t="e">
        <f>AND('STERLING CATALOG - FZN &amp; CHILL'!I2149,"AAAAAF9/fR4=")</f>
        <v>#VALUE!</v>
      </c>
      <c r="AF337" t="e">
        <f>AND('STERLING CATALOG - FZN &amp; CHILL'!J2149,"AAAAAF9/fR8=")</f>
        <v>#VALUE!</v>
      </c>
      <c r="AG337">
        <f>IF('STERLING CATALOG - FZN &amp; CHILL'!2150:2150,"AAAAAF9/fSA=",0)</f>
        <v>0</v>
      </c>
      <c r="AH337" t="e">
        <f>AND('STERLING CATALOG - FZN &amp; CHILL'!A2150,"AAAAAF9/fSE=")</f>
        <v>#VALUE!</v>
      </c>
      <c r="AI337" t="e">
        <f>AND('STERLING CATALOG - FZN &amp; CHILL'!B2150,"AAAAAF9/fSI=")</f>
        <v>#VALUE!</v>
      </c>
      <c r="AJ337" t="e">
        <f>AND('STERLING CATALOG - FZN &amp; CHILL'!C2150,"AAAAAF9/fSM=")</f>
        <v>#VALUE!</v>
      </c>
      <c r="AK337" t="e">
        <f>AND('STERLING CATALOG - FZN &amp; CHILL'!D2150,"AAAAAF9/fSQ=")</f>
        <v>#VALUE!</v>
      </c>
      <c r="AL337" t="e">
        <f>AND('STERLING CATALOG - FZN &amp; CHILL'!E2150,"AAAAAF9/fSU=")</f>
        <v>#VALUE!</v>
      </c>
      <c r="AM337" t="e">
        <f>AND('STERLING CATALOG - FZN &amp; CHILL'!F2150,"AAAAAF9/fSY=")</f>
        <v>#VALUE!</v>
      </c>
      <c r="AN337" t="e">
        <f>AND('STERLING CATALOG - FZN &amp; CHILL'!G2150,"AAAAAF9/fSc=")</f>
        <v>#VALUE!</v>
      </c>
      <c r="AO337" t="e">
        <f>AND('STERLING CATALOG - FZN &amp; CHILL'!H2150,"AAAAAF9/fSg=")</f>
        <v>#VALUE!</v>
      </c>
      <c r="AP337" t="e">
        <f>AND('STERLING CATALOG - FZN &amp; CHILL'!I2150,"AAAAAF9/fSk=")</f>
        <v>#VALUE!</v>
      </c>
      <c r="AQ337" t="e">
        <f>AND('STERLING CATALOG - FZN &amp; CHILL'!J2150,"AAAAAF9/fSo=")</f>
        <v>#VALUE!</v>
      </c>
      <c r="AR337">
        <f>IF('STERLING CATALOG - FZN &amp; CHILL'!2151:2151,"AAAAAF9/fSs=",0)</f>
        <v>0</v>
      </c>
      <c r="AS337" t="e">
        <f>AND('STERLING CATALOG - FZN &amp; CHILL'!A2151,"AAAAAF9/fSw=")</f>
        <v>#VALUE!</v>
      </c>
      <c r="AT337" t="e">
        <f>AND('STERLING CATALOG - FZN &amp; CHILL'!B2151,"AAAAAF9/fS0=")</f>
        <v>#VALUE!</v>
      </c>
      <c r="AU337" t="e">
        <f>AND('STERLING CATALOG - FZN &amp; CHILL'!C2151,"AAAAAF9/fS4=")</f>
        <v>#VALUE!</v>
      </c>
      <c r="AV337" t="e">
        <f>AND('STERLING CATALOG - FZN &amp; CHILL'!D2151,"AAAAAF9/fS8=")</f>
        <v>#VALUE!</v>
      </c>
      <c r="AW337" t="e">
        <f>AND('STERLING CATALOG - FZN &amp; CHILL'!E2151,"AAAAAF9/fTA=")</f>
        <v>#VALUE!</v>
      </c>
      <c r="AX337" t="e">
        <f>AND('STERLING CATALOG - FZN &amp; CHILL'!F2151,"AAAAAF9/fTE=")</f>
        <v>#VALUE!</v>
      </c>
      <c r="AY337" t="e">
        <f>AND('STERLING CATALOG - FZN &amp; CHILL'!G2151,"AAAAAF9/fTI=")</f>
        <v>#VALUE!</v>
      </c>
      <c r="AZ337" t="e">
        <f>AND('STERLING CATALOG - FZN &amp; CHILL'!H2151,"AAAAAF9/fTM=")</f>
        <v>#VALUE!</v>
      </c>
      <c r="BA337" t="e">
        <f>AND('STERLING CATALOG - FZN &amp; CHILL'!I2151,"AAAAAF9/fTQ=")</f>
        <v>#VALUE!</v>
      </c>
      <c r="BB337" t="e">
        <f>AND('STERLING CATALOG - FZN &amp; CHILL'!J2151,"AAAAAF9/fTU=")</f>
        <v>#VALUE!</v>
      </c>
      <c r="BC337">
        <f>IF('STERLING CATALOG - FZN &amp; CHILL'!2152:2152,"AAAAAF9/fTY=",0)</f>
        <v>0</v>
      </c>
      <c r="BD337" t="e">
        <f>AND('STERLING CATALOG - FZN &amp; CHILL'!A2152,"AAAAAF9/fTc=")</f>
        <v>#VALUE!</v>
      </c>
      <c r="BE337" t="e">
        <f>AND('STERLING CATALOG - FZN &amp; CHILL'!B2152,"AAAAAF9/fTg=")</f>
        <v>#VALUE!</v>
      </c>
      <c r="BF337" t="e">
        <f>AND('STERLING CATALOG - FZN &amp; CHILL'!C2152,"AAAAAF9/fTk=")</f>
        <v>#VALUE!</v>
      </c>
      <c r="BG337" t="e">
        <f>AND('STERLING CATALOG - FZN &amp; CHILL'!D2152,"AAAAAF9/fTo=")</f>
        <v>#VALUE!</v>
      </c>
      <c r="BH337" t="e">
        <f>AND('STERLING CATALOG - FZN &amp; CHILL'!E2152,"AAAAAF9/fTs=")</f>
        <v>#VALUE!</v>
      </c>
      <c r="BI337" t="e">
        <f>AND('STERLING CATALOG - FZN &amp; CHILL'!F2152,"AAAAAF9/fTw=")</f>
        <v>#VALUE!</v>
      </c>
      <c r="BJ337" t="e">
        <f>AND('STERLING CATALOG - FZN &amp; CHILL'!G2152,"AAAAAF9/fT0=")</f>
        <v>#VALUE!</v>
      </c>
      <c r="BK337" t="e">
        <f>AND('STERLING CATALOG - FZN &amp; CHILL'!H2152,"AAAAAF9/fT4=")</f>
        <v>#VALUE!</v>
      </c>
      <c r="BL337" t="e">
        <f>AND('STERLING CATALOG - FZN &amp; CHILL'!I2152,"AAAAAF9/fT8=")</f>
        <v>#VALUE!</v>
      </c>
      <c r="BM337" t="e">
        <f>AND('STERLING CATALOG - FZN &amp; CHILL'!J2152,"AAAAAF9/fUA=")</f>
        <v>#VALUE!</v>
      </c>
      <c r="BN337">
        <f>IF('STERLING CATALOG - FZN &amp; CHILL'!2153:2153,"AAAAAF9/fUE=",0)</f>
        <v>0</v>
      </c>
      <c r="BO337" t="e">
        <f>AND('STERLING CATALOG - FZN &amp; CHILL'!A2153,"AAAAAF9/fUI=")</f>
        <v>#VALUE!</v>
      </c>
      <c r="BP337" t="e">
        <f>AND('STERLING CATALOG - FZN &amp; CHILL'!B2153,"AAAAAF9/fUM=")</f>
        <v>#VALUE!</v>
      </c>
      <c r="BQ337" t="e">
        <f>AND('STERLING CATALOG - FZN &amp; CHILL'!C2153,"AAAAAF9/fUQ=")</f>
        <v>#VALUE!</v>
      </c>
      <c r="BR337" t="e">
        <f>AND('STERLING CATALOG - FZN &amp; CHILL'!D2153,"AAAAAF9/fUU=")</f>
        <v>#VALUE!</v>
      </c>
      <c r="BS337" t="e">
        <f>AND('STERLING CATALOG - FZN &amp; CHILL'!E2153,"AAAAAF9/fUY=")</f>
        <v>#VALUE!</v>
      </c>
      <c r="BT337" t="e">
        <f>AND('STERLING CATALOG - FZN &amp; CHILL'!F2153,"AAAAAF9/fUc=")</f>
        <v>#VALUE!</v>
      </c>
      <c r="BU337" t="e">
        <f>AND('STERLING CATALOG - FZN &amp; CHILL'!G2153,"AAAAAF9/fUg=")</f>
        <v>#VALUE!</v>
      </c>
      <c r="BV337" t="e">
        <f>AND('STERLING CATALOG - FZN &amp; CHILL'!H2153,"AAAAAF9/fUk=")</f>
        <v>#VALUE!</v>
      </c>
      <c r="BW337" t="e">
        <f>AND('STERLING CATALOG - FZN &amp; CHILL'!I2153,"AAAAAF9/fUo=")</f>
        <v>#VALUE!</v>
      </c>
      <c r="BX337" t="e">
        <f>AND('STERLING CATALOG - FZN &amp; CHILL'!J2153,"AAAAAF9/fUs=")</f>
        <v>#VALUE!</v>
      </c>
      <c r="BY337">
        <f>IF('STERLING CATALOG - FZN &amp; CHILL'!2154:2154,"AAAAAF9/fUw=",0)</f>
        <v>0</v>
      </c>
      <c r="BZ337" t="e">
        <f>AND('STERLING CATALOG - FZN &amp; CHILL'!A2154,"AAAAAF9/fU0=")</f>
        <v>#VALUE!</v>
      </c>
      <c r="CA337" t="e">
        <f>AND('STERLING CATALOG - FZN &amp; CHILL'!B2154,"AAAAAF9/fU4=")</f>
        <v>#VALUE!</v>
      </c>
      <c r="CB337" t="e">
        <f>AND('STERLING CATALOG - FZN &amp; CHILL'!C2154,"AAAAAF9/fU8=")</f>
        <v>#VALUE!</v>
      </c>
      <c r="CC337" t="e">
        <f>AND('STERLING CATALOG - FZN &amp; CHILL'!D2154,"AAAAAF9/fVA=")</f>
        <v>#VALUE!</v>
      </c>
      <c r="CD337" t="e">
        <f>AND('STERLING CATALOG - FZN &amp; CHILL'!E2154,"AAAAAF9/fVE=")</f>
        <v>#VALUE!</v>
      </c>
      <c r="CE337" t="e">
        <f>AND('STERLING CATALOG - FZN &amp; CHILL'!F2154,"AAAAAF9/fVI=")</f>
        <v>#VALUE!</v>
      </c>
      <c r="CF337" t="e">
        <f>AND('STERLING CATALOG - FZN &amp; CHILL'!G2154,"AAAAAF9/fVM=")</f>
        <v>#VALUE!</v>
      </c>
      <c r="CG337" t="e">
        <f>AND('STERLING CATALOG - FZN &amp; CHILL'!H2154,"AAAAAF9/fVQ=")</f>
        <v>#VALUE!</v>
      </c>
      <c r="CH337" t="e">
        <f>AND('STERLING CATALOG - FZN &amp; CHILL'!I2154,"AAAAAF9/fVU=")</f>
        <v>#VALUE!</v>
      </c>
      <c r="CI337" t="e">
        <f>AND('STERLING CATALOG - FZN &amp; CHILL'!J2154,"AAAAAF9/fVY=")</f>
        <v>#VALUE!</v>
      </c>
      <c r="CJ337">
        <f>IF('STERLING CATALOG - FZN &amp; CHILL'!2155:2155,"AAAAAF9/fVc=",0)</f>
        <v>0</v>
      </c>
      <c r="CK337" t="e">
        <f>AND('STERLING CATALOG - FZN &amp; CHILL'!A2155,"AAAAAF9/fVg=")</f>
        <v>#VALUE!</v>
      </c>
      <c r="CL337" t="e">
        <f>AND('STERLING CATALOG - FZN &amp; CHILL'!B2155,"AAAAAF9/fVk=")</f>
        <v>#VALUE!</v>
      </c>
      <c r="CM337" t="e">
        <f>AND('STERLING CATALOG - FZN &amp; CHILL'!C2155,"AAAAAF9/fVo=")</f>
        <v>#VALUE!</v>
      </c>
      <c r="CN337" t="e">
        <f>AND('STERLING CATALOG - FZN &amp; CHILL'!D2155,"AAAAAF9/fVs=")</f>
        <v>#VALUE!</v>
      </c>
      <c r="CO337" t="e">
        <f>AND('STERLING CATALOG - FZN &amp; CHILL'!E2155,"AAAAAF9/fVw=")</f>
        <v>#VALUE!</v>
      </c>
      <c r="CP337" t="e">
        <f>AND('STERLING CATALOG - FZN &amp; CHILL'!F2155,"AAAAAF9/fV0=")</f>
        <v>#VALUE!</v>
      </c>
      <c r="CQ337" t="e">
        <f>AND('STERLING CATALOG - FZN &amp; CHILL'!G2155,"AAAAAF9/fV4=")</f>
        <v>#VALUE!</v>
      </c>
      <c r="CR337" t="e">
        <f>AND('STERLING CATALOG - FZN &amp; CHILL'!H2155,"AAAAAF9/fV8=")</f>
        <v>#VALUE!</v>
      </c>
      <c r="CS337" t="e">
        <f>AND('STERLING CATALOG - FZN &amp; CHILL'!I2155,"AAAAAF9/fWA=")</f>
        <v>#VALUE!</v>
      </c>
      <c r="CT337" t="e">
        <f>AND('STERLING CATALOG - FZN &amp; CHILL'!J2155,"AAAAAF9/fWE=")</f>
        <v>#VALUE!</v>
      </c>
      <c r="CU337">
        <f>IF('STERLING CATALOG - FZN &amp; CHILL'!2156:2156,"AAAAAF9/fWI=",0)</f>
        <v>0</v>
      </c>
      <c r="CV337" t="e">
        <f>AND('STERLING CATALOG - FZN &amp; CHILL'!A2156,"AAAAAF9/fWM=")</f>
        <v>#VALUE!</v>
      </c>
      <c r="CW337" t="e">
        <f>AND('STERLING CATALOG - FZN &amp; CHILL'!B2156,"AAAAAF9/fWQ=")</f>
        <v>#VALUE!</v>
      </c>
      <c r="CX337" t="e">
        <f>AND('STERLING CATALOG - FZN &amp; CHILL'!C2156,"AAAAAF9/fWU=")</f>
        <v>#VALUE!</v>
      </c>
      <c r="CY337" t="e">
        <f>AND('STERLING CATALOG - FZN &amp; CHILL'!D2156,"AAAAAF9/fWY=")</f>
        <v>#VALUE!</v>
      </c>
      <c r="CZ337" t="e">
        <f>AND('STERLING CATALOG - FZN &amp; CHILL'!E2156,"AAAAAF9/fWc=")</f>
        <v>#VALUE!</v>
      </c>
      <c r="DA337" t="e">
        <f>AND('STERLING CATALOG - FZN &amp; CHILL'!F2156,"AAAAAF9/fWg=")</f>
        <v>#VALUE!</v>
      </c>
      <c r="DB337" t="e">
        <f>AND('STERLING CATALOG - FZN &amp; CHILL'!G2156,"AAAAAF9/fWk=")</f>
        <v>#VALUE!</v>
      </c>
      <c r="DC337" t="e">
        <f>AND('STERLING CATALOG - FZN &amp; CHILL'!H2156,"AAAAAF9/fWo=")</f>
        <v>#VALUE!</v>
      </c>
      <c r="DD337" t="e">
        <f>AND('STERLING CATALOG - FZN &amp; CHILL'!I2156,"AAAAAF9/fWs=")</f>
        <v>#VALUE!</v>
      </c>
      <c r="DE337" t="e">
        <f>AND('STERLING CATALOG - FZN &amp; CHILL'!J2156,"AAAAAF9/fWw=")</f>
        <v>#VALUE!</v>
      </c>
      <c r="DF337">
        <f>IF('STERLING CATALOG - FZN &amp; CHILL'!2157:2157,"AAAAAF9/fW0=",0)</f>
        <v>0</v>
      </c>
      <c r="DG337" t="e">
        <f>AND('STERLING CATALOG - FZN &amp; CHILL'!A2157,"AAAAAF9/fW4=")</f>
        <v>#VALUE!</v>
      </c>
      <c r="DH337" t="e">
        <f>AND('STERLING CATALOG - FZN &amp; CHILL'!B2157,"AAAAAF9/fW8=")</f>
        <v>#VALUE!</v>
      </c>
      <c r="DI337" t="e">
        <f>AND('STERLING CATALOG - FZN &amp; CHILL'!C2157,"AAAAAF9/fXA=")</f>
        <v>#VALUE!</v>
      </c>
      <c r="DJ337" t="e">
        <f>AND('STERLING CATALOG - FZN &amp; CHILL'!D2157,"AAAAAF9/fXE=")</f>
        <v>#VALUE!</v>
      </c>
      <c r="DK337" t="e">
        <f>AND('STERLING CATALOG - FZN &amp; CHILL'!E2157,"AAAAAF9/fXI=")</f>
        <v>#VALUE!</v>
      </c>
      <c r="DL337" t="e">
        <f>AND('STERLING CATALOG - FZN &amp; CHILL'!F2157,"AAAAAF9/fXM=")</f>
        <v>#VALUE!</v>
      </c>
      <c r="DM337" t="e">
        <f>AND('STERLING CATALOG - FZN &amp; CHILL'!G2157,"AAAAAF9/fXQ=")</f>
        <v>#VALUE!</v>
      </c>
      <c r="DN337" t="e">
        <f>AND('STERLING CATALOG - FZN &amp; CHILL'!H2157,"AAAAAF9/fXU=")</f>
        <v>#VALUE!</v>
      </c>
      <c r="DO337" t="e">
        <f>AND('STERLING CATALOG - FZN &amp; CHILL'!I2157,"AAAAAF9/fXY=")</f>
        <v>#VALUE!</v>
      </c>
      <c r="DP337" t="e">
        <f>AND('STERLING CATALOG - FZN &amp; CHILL'!J2157,"AAAAAF9/fXc=")</f>
        <v>#VALUE!</v>
      </c>
      <c r="DQ337">
        <f>IF('STERLING CATALOG - FZN &amp; CHILL'!2158:2158,"AAAAAF9/fXg=",0)</f>
        <v>0</v>
      </c>
      <c r="DR337" t="e">
        <f>AND('STERLING CATALOG - FZN &amp; CHILL'!A2158,"AAAAAF9/fXk=")</f>
        <v>#VALUE!</v>
      </c>
      <c r="DS337" t="e">
        <f>AND('STERLING CATALOG - FZN &amp; CHILL'!B2158,"AAAAAF9/fXo=")</f>
        <v>#VALUE!</v>
      </c>
      <c r="DT337" t="e">
        <f>AND('STERLING CATALOG - FZN &amp; CHILL'!C2158,"AAAAAF9/fXs=")</f>
        <v>#VALUE!</v>
      </c>
      <c r="DU337" t="e">
        <f>AND('STERLING CATALOG - FZN &amp; CHILL'!D2158,"AAAAAF9/fXw=")</f>
        <v>#VALUE!</v>
      </c>
      <c r="DV337" t="e">
        <f>AND('STERLING CATALOG - FZN &amp; CHILL'!E2158,"AAAAAF9/fX0=")</f>
        <v>#VALUE!</v>
      </c>
      <c r="DW337" t="e">
        <f>AND('STERLING CATALOG - FZN &amp; CHILL'!F2158,"AAAAAF9/fX4=")</f>
        <v>#VALUE!</v>
      </c>
      <c r="DX337" t="e">
        <f>AND('STERLING CATALOG - FZN &amp; CHILL'!G2158,"AAAAAF9/fX8=")</f>
        <v>#VALUE!</v>
      </c>
      <c r="DY337" t="e">
        <f>AND('STERLING CATALOG - FZN &amp; CHILL'!H2158,"AAAAAF9/fYA=")</f>
        <v>#VALUE!</v>
      </c>
      <c r="DZ337" t="e">
        <f>AND('STERLING CATALOG - FZN &amp; CHILL'!I2158,"AAAAAF9/fYE=")</f>
        <v>#VALUE!</v>
      </c>
      <c r="EA337" t="e">
        <f>AND('STERLING CATALOG - FZN &amp; CHILL'!J2158,"AAAAAF9/fYI=")</f>
        <v>#VALUE!</v>
      </c>
      <c r="EB337">
        <f>IF('STERLING CATALOG - FZN &amp; CHILL'!2159:2159,"AAAAAF9/fYM=",0)</f>
        <v>0</v>
      </c>
      <c r="EC337" t="e">
        <f>AND('STERLING CATALOG - FZN &amp; CHILL'!A2159,"AAAAAF9/fYQ=")</f>
        <v>#VALUE!</v>
      </c>
      <c r="ED337" t="e">
        <f>AND('STERLING CATALOG - FZN &amp; CHILL'!B2159,"AAAAAF9/fYU=")</f>
        <v>#VALUE!</v>
      </c>
      <c r="EE337" t="e">
        <f>AND('STERLING CATALOG - FZN &amp; CHILL'!C2159,"AAAAAF9/fYY=")</f>
        <v>#VALUE!</v>
      </c>
      <c r="EF337" t="e">
        <f>AND('STERLING CATALOG - FZN &amp; CHILL'!D2159,"AAAAAF9/fYc=")</f>
        <v>#VALUE!</v>
      </c>
      <c r="EG337" t="e">
        <f>AND('STERLING CATALOG - FZN &amp; CHILL'!E2159,"AAAAAF9/fYg=")</f>
        <v>#VALUE!</v>
      </c>
      <c r="EH337" t="e">
        <f>AND('STERLING CATALOG - FZN &amp; CHILL'!F2159,"AAAAAF9/fYk=")</f>
        <v>#VALUE!</v>
      </c>
      <c r="EI337" t="e">
        <f>AND('STERLING CATALOG - FZN &amp; CHILL'!G2159,"AAAAAF9/fYo=")</f>
        <v>#VALUE!</v>
      </c>
      <c r="EJ337" t="e">
        <f>AND('STERLING CATALOG - FZN &amp; CHILL'!H2159,"AAAAAF9/fYs=")</f>
        <v>#VALUE!</v>
      </c>
      <c r="EK337" t="e">
        <f>AND('STERLING CATALOG - FZN &amp; CHILL'!I2159,"AAAAAF9/fYw=")</f>
        <v>#VALUE!</v>
      </c>
      <c r="EL337" t="e">
        <f>AND('STERLING CATALOG - FZN &amp; CHILL'!J2159,"AAAAAF9/fY0=")</f>
        <v>#VALUE!</v>
      </c>
      <c r="EM337">
        <f>IF('STERLING CATALOG - FZN &amp; CHILL'!2160:2160,"AAAAAF9/fY4=",0)</f>
        <v>0</v>
      </c>
      <c r="EN337" t="e">
        <f>AND('STERLING CATALOG - FZN &amp; CHILL'!A2160,"AAAAAF9/fY8=")</f>
        <v>#VALUE!</v>
      </c>
      <c r="EO337" t="e">
        <f>AND('STERLING CATALOG - FZN &amp; CHILL'!B2160,"AAAAAF9/fZA=")</f>
        <v>#VALUE!</v>
      </c>
      <c r="EP337" t="e">
        <f>AND('STERLING CATALOG - FZN &amp; CHILL'!C2160,"AAAAAF9/fZE=")</f>
        <v>#VALUE!</v>
      </c>
      <c r="EQ337" t="e">
        <f>AND('STERLING CATALOG - FZN &amp; CHILL'!D2160,"AAAAAF9/fZI=")</f>
        <v>#VALUE!</v>
      </c>
      <c r="ER337" t="e">
        <f>AND('STERLING CATALOG - FZN &amp; CHILL'!E2160,"AAAAAF9/fZM=")</f>
        <v>#VALUE!</v>
      </c>
      <c r="ES337" t="e">
        <f>AND('STERLING CATALOG - FZN &amp; CHILL'!F2160,"AAAAAF9/fZQ=")</f>
        <v>#VALUE!</v>
      </c>
      <c r="ET337" t="e">
        <f>AND('STERLING CATALOG - FZN &amp; CHILL'!G2160,"AAAAAF9/fZU=")</f>
        <v>#VALUE!</v>
      </c>
      <c r="EU337" t="e">
        <f>AND('STERLING CATALOG - FZN &amp; CHILL'!H2160,"AAAAAF9/fZY=")</f>
        <v>#VALUE!</v>
      </c>
      <c r="EV337" t="e">
        <f>AND('STERLING CATALOG - FZN &amp; CHILL'!I2160,"AAAAAF9/fZc=")</f>
        <v>#VALUE!</v>
      </c>
      <c r="EW337" t="e">
        <f>AND('STERLING CATALOG - FZN &amp; CHILL'!J2160,"AAAAAF9/fZg=")</f>
        <v>#VALUE!</v>
      </c>
      <c r="EX337">
        <f>IF('STERLING CATALOG - FZN &amp; CHILL'!2161:2161,"AAAAAF9/fZk=",0)</f>
        <v>0</v>
      </c>
      <c r="EY337" t="e">
        <f>AND('STERLING CATALOG - FZN &amp; CHILL'!A2161,"AAAAAF9/fZo=")</f>
        <v>#VALUE!</v>
      </c>
      <c r="EZ337" t="e">
        <f>AND('STERLING CATALOG - FZN &amp; CHILL'!B2161,"AAAAAF9/fZs=")</f>
        <v>#VALUE!</v>
      </c>
      <c r="FA337" t="e">
        <f>AND('STERLING CATALOG - FZN &amp; CHILL'!C2161,"AAAAAF9/fZw=")</f>
        <v>#VALUE!</v>
      </c>
      <c r="FB337" t="e">
        <f>AND('STERLING CATALOG - FZN &amp; CHILL'!D2161,"AAAAAF9/fZ0=")</f>
        <v>#VALUE!</v>
      </c>
      <c r="FC337" t="e">
        <f>AND('STERLING CATALOG - FZN &amp; CHILL'!E2161,"AAAAAF9/fZ4=")</f>
        <v>#VALUE!</v>
      </c>
      <c r="FD337" t="e">
        <f>AND('STERLING CATALOG - FZN &amp; CHILL'!F2161,"AAAAAF9/fZ8=")</f>
        <v>#VALUE!</v>
      </c>
      <c r="FE337" t="e">
        <f>AND('STERLING CATALOG - FZN &amp; CHILL'!G2161,"AAAAAF9/faA=")</f>
        <v>#VALUE!</v>
      </c>
      <c r="FF337" t="e">
        <f>AND('STERLING CATALOG - FZN &amp; CHILL'!H2161,"AAAAAF9/faE=")</f>
        <v>#VALUE!</v>
      </c>
      <c r="FG337" t="e">
        <f>AND('STERLING CATALOG - FZN &amp; CHILL'!I2161,"AAAAAF9/faI=")</f>
        <v>#VALUE!</v>
      </c>
      <c r="FH337" t="e">
        <f>AND('STERLING CATALOG - FZN &amp; CHILL'!J2161,"AAAAAF9/faM=")</f>
        <v>#VALUE!</v>
      </c>
      <c r="FI337">
        <f>IF('STERLING CATALOG - FZN &amp; CHILL'!2162:2162,"AAAAAF9/faQ=",0)</f>
        <v>0</v>
      </c>
      <c r="FJ337" t="e">
        <f>AND('STERLING CATALOG - FZN &amp; CHILL'!A2162,"AAAAAF9/faU=")</f>
        <v>#VALUE!</v>
      </c>
      <c r="FK337" t="e">
        <f>AND('STERLING CATALOG - FZN &amp; CHILL'!B2162,"AAAAAF9/faY=")</f>
        <v>#VALUE!</v>
      </c>
      <c r="FL337" t="e">
        <f>AND('STERLING CATALOG - FZN &amp; CHILL'!C2162,"AAAAAF9/fac=")</f>
        <v>#VALUE!</v>
      </c>
      <c r="FM337" t="e">
        <f>AND('STERLING CATALOG - FZN &amp; CHILL'!D2162,"AAAAAF9/fag=")</f>
        <v>#VALUE!</v>
      </c>
      <c r="FN337" t="e">
        <f>AND('STERLING CATALOG - FZN &amp; CHILL'!E2162,"AAAAAF9/fak=")</f>
        <v>#VALUE!</v>
      </c>
      <c r="FO337" t="e">
        <f>AND('STERLING CATALOG - FZN &amp; CHILL'!F2162,"AAAAAF9/fao=")</f>
        <v>#VALUE!</v>
      </c>
      <c r="FP337" t="e">
        <f>AND('STERLING CATALOG - FZN &amp; CHILL'!G2162,"AAAAAF9/fas=")</f>
        <v>#VALUE!</v>
      </c>
      <c r="FQ337" t="e">
        <f>AND('STERLING CATALOG - FZN &amp; CHILL'!H2162,"AAAAAF9/faw=")</f>
        <v>#VALUE!</v>
      </c>
      <c r="FR337" t="e">
        <f>AND('STERLING CATALOG - FZN &amp; CHILL'!I2162,"AAAAAF9/fa0=")</f>
        <v>#VALUE!</v>
      </c>
      <c r="FS337" t="e">
        <f>AND('STERLING CATALOG - FZN &amp; CHILL'!J2162,"AAAAAF9/fa4=")</f>
        <v>#VALUE!</v>
      </c>
      <c r="FT337">
        <f>IF('STERLING CATALOG - FZN &amp; CHILL'!2163:2163,"AAAAAF9/fa8=",0)</f>
        <v>0</v>
      </c>
      <c r="FU337" t="e">
        <f>AND('STERLING CATALOG - FZN &amp; CHILL'!A2163,"AAAAAF9/fbA=")</f>
        <v>#VALUE!</v>
      </c>
      <c r="FV337" t="e">
        <f>AND('STERLING CATALOG - FZN &amp; CHILL'!B2163,"AAAAAF9/fbE=")</f>
        <v>#VALUE!</v>
      </c>
      <c r="FW337" t="e">
        <f>AND('STERLING CATALOG - FZN &amp; CHILL'!C2163,"AAAAAF9/fbI=")</f>
        <v>#VALUE!</v>
      </c>
      <c r="FX337" t="e">
        <f>AND('STERLING CATALOG - FZN &amp; CHILL'!D2163,"AAAAAF9/fbM=")</f>
        <v>#VALUE!</v>
      </c>
      <c r="FY337" t="e">
        <f>AND('STERLING CATALOG - FZN &amp; CHILL'!E2163,"AAAAAF9/fbQ=")</f>
        <v>#VALUE!</v>
      </c>
      <c r="FZ337" t="e">
        <f>AND('STERLING CATALOG - FZN &amp; CHILL'!F2163,"AAAAAF9/fbU=")</f>
        <v>#VALUE!</v>
      </c>
      <c r="GA337" t="e">
        <f>AND('STERLING CATALOG - FZN &amp; CHILL'!G2163,"AAAAAF9/fbY=")</f>
        <v>#VALUE!</v>
      </c>
      <c r="GB337" t="e">
        <f>AND('STERLING CATALOG - FZN &amp; CHILL'!H2163,"AAAAAF9/fbc=")</f>
        <v>#VALUE!</v>
      </c>
      <c r="GC337" t="e">
        <f>AND('STERLING CATALOG - FZN &amp; CHILL'!I2163,"AAAAAF9/fbg=")</f>
        <v>#VALUE!</v>
      </c>
      <c r="GD337" t="e">
        <f>AND('STERLING CATALOG - FZN &amp; CHILL'!J2163,"AAAAAF9/fbk=")</f>
        <v>#VALUE!</v>
      </c>
      <c r="GE337">
        <f>IF('STERLING CATALOG - FZN &amp; CHILL'!2164:2164,"AAAAAF9/fbo=",0)</f>
        <v>0</v>
      </c>
      <c r="GF337" t="e">
        <f>AND('STERLING CATALOG - FZN &amp; CHILL'!A2164,"AAAAAF9/fbs=")</f>
        <v>#VALUE!</v>
      </c>
      <c r="GG337" t="e">
        <f>AND('STERLING CATALOG - FZN &amp; CHILL'!B2164,"AAAAAF9/fbw=")</f>
        <v>#VALUE!</v>
      </c>
      <c r="GH337" t="e">
        <f>AND('STERLING CATALOG - FZN &amp; CHILL'!C2164,"AAAAAF9/fb0=")</f>
        <v>#VALUE!</v>
      </c>
      <c r="GI337" t="e">
        <f>AND('STERLING CATALOG - FZN &amp; CHILL'!D2164,"AAAAAF9/fb4=")</f>
        <v>#VALUE!</v>
      </c>
      <c r="GJ337" t="e">
        <f>AND('STERLING CATALOG - FZN &amp; CHILL'!E2164,"AAAAAF9/fb8=")</f>
        <v>#VALUE!</v>
      </c>
      <c r="GK337" t="e">
        <f>AND('STERLING CATALOG - FZN &amp; CHILL'!F2164,"AAAAAF9/fcA=")</f>
        <v>#VALUE!</v>
      </c>
      <c r="GL337" t="e">
        <f>AND('STERLING CATALOG - FZN &amp; CHILL'!G2164,"AAAAAF9/fcE=")</f>
        <v>#VALUE!</v>
      </c>
      <c r="GM337" t="e">
        <f>AND('STERLING CATALOG - FZN &amp; CHILL'!H2164,"AAAAAF9/fcI=")</f>
        <v>#VALUE!</v>
      </c>
      <c r="GN337" t="e">
        <f>AND('STERLING CATALOG - FZN &amp; CHILL'!I2164,"AAAAAF9/fcM=")</f>
        <v>#VALUE!</v>
      </c>
      <c r="GO337" t="e">
        <f>AND('STERLING CATALOG - FZN &amp; CHILL'!J2164,"AAAAAF9/fcQ=")</f>
        <v>#VALUE!</v>
      </c>
      <c r="GP337">
        <f>IF('STERLING CATALOG - FZN &amp; CHILL'!2165:2165,"AAAAAF9/fcU=",0)</f>
        <v>0</v>
      </c>
      <c r="GQ337" t="e">
        <f>AND('STERLING CATALOG - FZN &amp; CHILL'!A2165,"AAAAAF9/fcY=")</f>
        <v>#VALUE!</v>
      </c>
      <c r="GR337" t="e">
        <f>AND('STERLING CATALOG - FZN &amp; CHILL'!B2165,"AAAAAF9/fcc=")</f>
        <v>#VALUE!</v>
      </c>
      <c r="GS337" t="e">
        <f>AND('STERLING CATALOG - FZN &amp; CHILL'!C2165,"AAAAAF9/fcg=")</f>
        <v>#VALUE!</v>
      </c>
      <c r="GT337" t="e">
        <f>AND('STERLING CATALOG - FZN &amp; CHILL'!D2165,"AAAAAF9/fck=")</f>
        <v>#VALUE!</v>
      </c>
      <c r="GU337" t="e">
        <f>AND('STERLING CATALOG - FZN &amp; CHILL'!E2165,"AAAAAF9/fco=")</f>
        <v>#VALUE!</v>
      </c>
      <c r="GV337" t="e">
        <f>AND('STERLING CATALOG - FZN &amp; CHILL'!F2165,"AAAAAF9/fcs=")</f>
        <v>#VALUE!</v>
      </c>
      <c r="GW337" t="e">
        <f>AND('STERLING CATALOG - FZN &amp; CHILL'!G2165,"AAAAAF9/fcw=")</f>
        <v>#VALUE!</v>
      </c>
      <c r="GX337" t="e">
        <f>AND('STERLING CATALOG - FZN &amp; CHILL'!H2165,"AAAAAF9/fc0=")</f>
        <v>#VALUE!</v>
      </c>
      <c r="GY337" t="e">
        <f>AND('STERLING CATALOG - FZN &amp; CHILL'!I2165,"AAAAAF9/fc4=")</f>
        <v>#VALUE!</v>
      </c>
      <c r="GZ337" t="e">
        <f>AND('STERLING CATALOG - FZN &amp; CHILL'!J2165,"AAAAAF9/fc8=")</f>
        <v>#VALUE!</v>
      </c>
      <c r="HA337">
        <f>IF('STERLING CATALOG - FZN &amp; CHILL'!2166:2166,"AAAAAF9/fdA=",0)</f>
        <v>0</v>
      </c>
      <c r="HB337" t="e">
        <f>AND('STERLING CATALOG - FZN &amp; CHILL'!A2166,"AAAAAF9/fdE=")</f>
        <v>#VALUE!</v>
      </c>
      <c r="HC337" t="e">
        <f>AND('STERLING CATALOG - FZN &amp; CHILL'!B2166,"AAAAAF9/fdI=")</f>
        <v>#VALUE!</v>
      </c>
      <c r="HD337" t="e">
        <f>AND('STERLING CATALOG - FZN &amp; CHILL'!C2166,"AAAAAF9/fdM=")</f>
        <v>#VALUE!</v>
      </c>
      <c r="HE337" t="e">
        <f>AND('STERLING CATALOG - FZN &amp; CHILL'!D2166,"AAAAAF9/fdQ=")</f>
        <v>#VALUE!</v>
      </c>
      <c r="HF337" t="e">
        <f>AND('STERLING CATALOG - FZN &amp; CHILL'!E2166,"AAAAAF9/fdU=")</f>
        <v>#VALUE!</v>
      </c>
      <c r="HG337" t="e">
        <f>AND('STERLING CATALOG - FZN &amp; CHILL'!F2166,"AAAAAF9/fdY=")</f>
        <v>#VALUE!</v>
      </c>
      <c r="HH337" t="e">
        <f>AND('STERLING CATALOG - FZN &amp; CHILL'!G2166,"AAAAAF9/fdc=")</f>
        <v>#VALUE!</v>
      </c>
      <c r="HI337" t="e">
        <f>AND('STERLING CATALOG - FZN &amp; CHILL'!H2166,"AAAAAF9/fdg=")</f>
        <v>#VALUE!</v>
      </c>
      <c r="HJ337" t="e">
        <f>AND('STERLING CATALOG - FZN &amp; CHILL'!I2166,"AAAAAF9/fdk=")</f>
        <v>#VALUE!</v>
      </c>
      <c r="HK337" t="e">
        <f>AND('STERLING CATALOG - FZN &amp; CHILL'!J2166,"AAAAAF9/fdo=")</f>
        <v>#VALUE!</v>
      </c>
      <c r="HL337">
        <f>IF('STERLING CATALOG - FZN &amp; CHILL'!2167:2167,"AAAAAF9/fds=",0)</f>
        <v>0</v>
      </c>
      <c r="HM337" t="e">
        <f>AND('STERLING CATALOG - FZN &amp; CHILL'!A2167,"AAAAAF9/fdw=")</f>
        <v>#VALUE!</v>
      </c>
      <c r="HN337" t="e">
        <f>AND('STERLING CATALOG - FZN &amp; CHILL'!B2167,"AAAAAF9/fd0=")</f>
        <v>#VALUE!</v>
      </c>
      <c r="HO337" t="e">
        <f>AND('STERLING CATALOG - FZN &amp; CHILL'!C2167,"AAAAAF9/fd4=")</f>
        <v>#VALUE!</v>
      </c>
      <c r="HP337" t="e">
        <f>AND('STERLING CATALOG - FZN &amp; CHILL'!D2167,"AAAAAF9/fd8=")</f>
        <v>#VALUE!</v>
      </c>
      <c r="HQ337" t="e">
        <f>AND('STERLING CATALOG - FZN &amp; CHILL'!E2167,"AAAAAF9/feA=")</f>
        <v>#VALUE!</v>
      </c>
      <c r="HR337" t="e">
        <f>AND('STERLING CATALOG - FZN &amp; CHILL'!F2167,"AAAAAF9/feE=")</f>
        <v>#VALUE!</v>
      </c>
      <c r="HS337" t="e">
        <f>AND('STERLING CATALOG - FZN &amp; CHILL'!G2167,"AAAAAF9/feI=")</f>
        <v>#VALUE!</v>
      </c>
      <c r="HT337" t="e">
        <f>AND('STERLING CATALOG - FZN &amp; CHILL'!H2167,"AAAAAF9/feM=")</f>
        <v>#VALUE!</v>
      </c>
      <c r="HU337" t="e">
        <f>AND('STERLING CATALOG - FZN &amp; CHILL'!I2167,"AAAAAF9/feQ=")</f>
        <v>#VALUE!</v>
      </c>
      <c r="HV337" t="e">
        <f>AND('STERLING CATALOG - FZN &amp; CHILL'!J2167,"AAAAAF9/feU=")</f>
        <v>#VALUE!</v>
      </c>
      <c r="HW337">
        <f>IF('STERLING CATALOG - FZN &amp; CHILL'!2168:2168,"AAAAAF9/feY=",0)</f>
        <v>0</v>
      </c>
      <c r="HX337" t="e">
        <f>AND('STERLING CATALOG - FZN &amp; CHILL'!A2168,"AAAAAF9/fec=")</f>
        <v>#VALUE!</v>
      </c>
      <c r="HY337" t="e">
        <f>AND('STERLING CATALOG - FZN &amp; CHILL'!B2168,"AAAAAF9/feg=")</f>
        <v>#VALUE!</v>
      </c>
      <c r="HZ337" t="e">
        <f>AND('STERLING CATALOG - FZN &amp; CHILL'!C2168,"AAAAAF9/fek=")</f>
        <v>#VALUE!</v>
      </c>
      <c r="IA337" t="e">
        <f>AND('STERLING CATALOG - FZN &amp; CHILL'!D2168,"AAAAAF9/feo=")</f>
        <v>#VALUE!</v>
      </c>
      <c r="IB337" t="e">
        <f>AND('STERLING CATALOG - FZN &amp; CHILL'!E2168,"AAAAAF9/fes=")</f>
        <v>#VALUE!</v>
      </c>
      <c r="IC337" t="e">
        <f>AND('STERLING CATALOG - FZN &amp; CHILL'!F2168,"AAAAAF9/few=")</f>
        <v>#VALUE!</v>
      </c>
      <c r="ID337" t="e">
        <f>AND('STERLING CATALOG - FZN &amp; CHILL'!G2168,"AAAAAF9/fe0=")</f>
        <v>#VALUE!</v>
      </c>
      <c r="IE337" t="e">
        <f>AND('STERLING CATALOG - FZN &amp; CHILL'!H2168,"AAAAAF9/fe4=")</f>
        <v>#VALUE!</v>
      </c>
      <c r="IF337" t="e">
        <f>AND('STERLING CATALOG - FZN &amp; CHILL'!I2168,"AAAAAF9/fe8=")</f>
        <v>#VALUE!</v>
      </c>
      <c r="IG337" t="e">
        <f>AND('STERLING CATALOG - FZN &amp; CHILL'!J2168,"AAAAAF9/ffA=")</f>
        <v>#VALUE!</v>
      </c>
      <c r="IH337">
        <f>IF('STERLING CATALOG - FZN &amp; CHILL'!2169:2169,"AAAAAF9/ffE=",0)</f>
        <v>0</v>
      </c>
      <c r="II337" t="e">
        <f>AND('STERLING CATALOG - FZN &amp; CHILL'!A2169,"AAAAAF9/ffI=")</f>
        <v>#VALUE!</v>
      </c>
      <c r="IJ337" t="e">
        <f>AND('STERLING CATALOG - FZN &amp; CHILL'!B2169,"AAAAAF9/ffM=")</f>
        <v>#VALUE!</v>
      </c>
      <c r="IK337" t="e">
        <f>AND('STERLING CATALOG - FZN &amp; CHILL'!C2169,"AAAAAF9/ffQ=")</f>
        <v>#VALUE!</v>
      </c>
      <c r="IL337" t="e">
        <f>AND('STERLING CATALOG - FZN &amp; CHILL'!D2169,"AAAAAF9/ffU=")</f>
        <v>#VALUE!</v>
      </c>
      <c r="IM337" t="e">
        <f>AND('STERLING CATALOG - FZN &amp; CHILL'!E2169,"AAAAAF9/ffY=")</f>
        <v>#VALUE!</v>
      </c>
      <c r="IN337" t="e">
        <f>AND('STERLING CATALOG - FZN &amp; CHILL'!F2169,"AAAAAF9/ffc=")</f>
        <v>#VALUE!</v>
      </c>
      <c r="IO337" t="e">
        <f>AND('STERLING CATALOG - FZN &amp; CHILL'!G2169,"AAAAAF9/ffg=")</f>
        <v>#VALUE!</v>
      </c>
      <c r="IP337" t="e">
        <f>AND('STERLING CATALOG - FZN &amp; CHILL'!H2169,"AAAAAF9/ffk=")</f>
        <v>#VALUE!</v>
      </c>
      <c r="IQ337" t="e">
        <f>AND('STERLING CATALOG - FZN &amp; CHILL'!I2169,"AAAAAF9/ffo=")</f>
        <v>#VALUE!</v>
      </c>
      <c r="IR337" t="e">
        <f>AND('STERLING CATALOG - FZN &amp; CHILL'!J2169,"AAAAAF9/ffs=")</f>
        <v>#VALUE!</v>
      </c>
      <c r="IS337">
        <f>IF('STERLING CATALOG - FZN &amp; CHILL'!2170:2170,"AAAAAF9/ffw=",0)</f>
        <v>0</v>
      </c>
      <c r="IT337" t="e">
        <f>AND('STERLING CATALOG - FZN &amp; CHILL'!A2170,"AAAAAF9/ff0=")</f>
        <v>#VALUE!</v>
      </c>
      <c r="IU337" t="e">
        <f>AND('STERLING CATALOG - FZN &amp; CHILL'!B2170,"AAAAAF9/ff4=")</f>
        <v>#VALUE!</v>
      </c>
      <c r="IV337" t="e">
        <f>AND('STERLING CATALOG - FZN &amp; CHILL'!C2170,"AAAAAF9/ff8=")</f>
        <v>#VALUE!</v>
      </c>
    </row>
    <row r="338" spans="1:256">
      <c r="A338" t="e">
        <f>AND('STERLING CATALOG - FZN &amp; CHILL'!D2170,"AAAAADp/9wA=")</f>
        <v>#VALUE!</v>
      </c>
      <c r="B338" t="e">
        <f>AND('STERLING CATALOG - FZN &amp; CHILL'!E2170,"AAAAADp/9wE=")</f>
        <v>#VALUE!</v>
      </c>
      <c r="C338" t="e">
        <f>AND('STERLING CATALOG - FZN &amp; CHILL'!F2170,"AAAAADp/9wI=")</f>
        <v>#VALUE!</v>
      </c>
      <c r="D338" t="e">
        <f>AND('STERLING CATALOG - FZN &amp; CHILL'!G2170,"AAAAADp/9wM=")</f>
        <v>#VALUE!</v>
      </c>
      <c r="E338" t="e">
        <f>AND('STERLING CATALOG - FZN &amp; CHILL'!H2170,"AAAAADp/9wQ=")</f>
        <v>#VALUE!</v>
      </c>
      <c r="F338" t="e">
        <f>AND('STERLING CATALOG - FZN &amp; CHILL'!I2170,"AAAAADp/9wU=")</f>
        <v>#VALUE!</v>
      </c>
      <c r="G338" t="e">
        <f>AND('STERLING CATALOG - FZN &amp; CHILL'!J2170,"AAAAADp/9wY=")</f>
        <v>#VALUE!</v>
      </c>
      <c r="H338" t="str">
        <f>IF('STERLING CATALOG - FZN &amp; CHILL'!2171:2171,"AAAAADp/9wc=",0)</f>
        <v>AAAAADp/9wc=</v>
      </c>
      <c r="I338" t="e">
        <f>AND('STERLING CATALOG - FZN &amp; CHILL'!A2171,"AAAAADp/9wg=")</f>
        <v>#VALUE!</v>
      </c>
      <c r="J338" t="e">
        <f>AND('STERLING CATALOG - FZN &amp; CHILL'!B2171,"AAAAADp/9wk=")</f>
        <v>#VALUE!</v>
      </c>
      <c r="K338" t="e">
        <f>AND('STERLING CATALOG - FZN &amp; CHILL'!C2171,"AAAAADp/9wo=")</f>
        <v>#VALUE!</v>
      </c>
      <c r="L338" t="e">
        <f>AND('STERLING CATALOG - FZN &amp; CHILL'!D2171,"AAAAADp/9ws=")</f>
        <v>#VALUE!</v>
      </c>
      <c r="M338" t="e">
        <f>AND('STERLING CATALOG - FZN &amp; CHILL'!E2171,"AAAAADp/9ww=")</f>
        <v>#VALUE!</v>
      </c>
      <c r="N338" t="e">
        <f>AND('STERLING CATALOG - FZN &amp; CHILL'!F2171,"AAAAADp/9w0=")</f>
        <v>#VALUE!</v>
      </c>
      <c r="O338" t="e">
        <f>AND('STERLING CATALOG - FZN &amp; CHILL'!G2171,"AAAAADp/9w4=")</f>
        <v>#VALUE!</v>
      </c>
      <c r="P338" t="e">
        <f>AND('STERLING CATALOG - FZN &amp; CHILL'!H2171,"AAAAADp/9w8=")</f>
        <v>#VALUE!</v>
      </c>
      <c r="Q338" t="e">
        <f>AND('STERLING CATALOG - FZN &amp; CHILL'!I2171,"AAAAADp/9xA=")</f>
        <v>#VALUE!</v>
      </c>
      <c r="R338" t="e">
        <f>AND('STERLING CATALOG - FZN &amp; CHILL'!J2171,"AAAAADp/9xE=")</f>
        <v>#VALUE!</v>
      </c>
      <c r="S338">
        <f>IF('STERLING CATALOG - FZN &amp; CHILL'!2172:2172,"AAAAADp/9xI=",0)</f>
        <v>0</v>
      </c>
      <c r="T338" t="e">
        <f>AND('STERLING CATALOG - FZN &amp; CHILL'!A2172,"AAAAADp/9xM=")</f>
        <v>#VALUE!</v>
      </c>
      <c r="U338" t="e">
        <f>AND('STERLING CATALOG - FZN &amp; CHILL'!B2172,"AAAAADp/9xQ=")</f>
        <v>#VALUE!</v>
      </c>
      <c r="V338" t="e">
        <f>AND('STERLING CATALOG - FZN &amp; CHILL'!C2172,"AAAAADp/9xU=")</f>
        <v>#VALUE!</v>
      </c>
      <c r="W338" t="e">
        <f>AND('STERLING CATALOG - FZN &amp; CHILL'!D2172,"AAAAADp/9xY=")</f>
        <v>#VALUE!</v>
      </c>
      <c r="X338" t="e">
        <f>AND('STERLING CATALOG - FZN &amp; CHILL'!E2172,"AAAAADp/9xc=")</f>
        <v>#VALUE!</v>
      </c>
      <c r="Y338" t="e">
        <f>AND('STERLING CATALOG - FZN &amp; CHILL'!F2172,"AAAAADp/9xg=")</f>
        <v>#VALUE!</v>
      </c>
      <c r="Z338" t="e">
        <f>AND('STERLING CATALOG - FZN &amp; CHILL'!G2172,"AAAAADp/9xk=")</f>
        <v>#VALUE!</v>
      </c>
      <c r="AA338" t="e">
        <f>AND('STERLING CATALOG - FZN &amp; CHILL'!H2172,"AAAAADp/9xo=")</f>
        <v>#VALUE!</v>
      </c>
      <c r="AB338" t="e">
        <f>AND('STERLING CATALOG - FZN &amp; CHILL'!I2172,"AAAAADp/9xs=")</f>
        <v>#VALUE!</v>
      </c>
      <c r="AC338" t="e">
        <f>AND('STERLING CATALOG - FZN &amp; CHILL'!J2172,"AAAAADp/9xw=")</f>
        <v>#VALUE!</v>
      </c>
      <c r="AD338">
        <f>IF('STERLING CATALOG - FZN &amp; CHILL'!2173:2173,"AAAAADp/9x0=",0)</f>
        <v>0</v>
      </c>
      <c r="AE338" t="e">
        <f>AND('STERLING CATALOG - FZN &amp; CHILL'!A2173,"AAAAADp/9x4=")</f>
        <v>#VALUE!</v>
      </c>
      <c r="AF338" t="e">
        <f>AND('STERLING CATALOG - FZN &amp; CHILL'!B2173,"AAAAADp/9x8=")</f>
        <v>#VALUE!</v>
      </c>
      <c r="AG338" t="e">
        <f>AND('STERLING CATALOG - FZN &amp; CHILL'!C2173,"AAAAADp/9yA=")</f>
        <v>#VALUE!</v>
      </c>
      <c r="AH338" t="e">
        <f>AND('STERLING CATALOG - FZN &amp; CHILL'!D2173,"AAAAADp/9yE=")</f>
        <v>#VALUE!</v>
      </c>
      <c r="AI338" t="e">
        <f>AND('STERLING CATALOG - FZN &amp; CHILL'!E2173,"AAAAADp/9yI=")</f>
        <v>#VALUE!</v>
      </c>
      <c r="AJ338" t="e">
        <f>AND('STERLING CATALOG - FZN &amp; CHILL'!F2173,"AAAAADp/9yM=")</f>
        <v>#VALUE!</v>
      </c>
      <c r="AK338" t="e">
        <f>AND('STERLING CATALOG - FZN &amp; CHILL'!G2173,"AAAAADp/9yQ=")</f>
        <v>#VALUE!</v>
      </c>
      <c r="AL338" t="e">
        <f>AND('STERLING CATALOG - FZN &amp; CHILL'!H2173,"AAAAADp/9yU=")</f>
        <v>#VALUE!</v>
      </c>
      <c r="AM338" t="e">
        <f>AND('STERLING CATALOG - FZN &amp; CHILL'!I2173,"AAAAADp/9yY=")</f>
        <v>#VALUE!</v>
      </c>
      <c r="AN338" t="e">
        <f>AND('STERLING CATALOG - FZN &amp; CHILL'!J2173,"AAAAADp/9yc=")</f>
        <v>#VALUE!</v>
      </c>
      <c r="AO338">
        <f>IF('STERLING CATALOG - FZN &amp; CHILL'!2174:2174,"AAAAADp/9yg=",0)</f>
        <v>0</v>
      </c>
      <c r="AP338" t="e">
        <f>AND('STERLING CATALOG - FZN &amp; CHILL'!A2174,"AAAAADp/9yk=")</f>
        <v>#VALUE!</v>
      </c>
      <c r="AQ338" t="e">
        <f>AND('STERLING CATALOG - FZN &amp; CHILL'!B2174,"AAAAADp/9yo=")</f>
        <v>#VALUE!</v>
      </c>
      <c r="AR338" t="e">
        <f>AND('STERLING CATALOG - FZN &amp; CHILL'!C2174,"AAAAADp/9ys=")</f>
        <v>#VALUE!</v>
      </c>
      <c r="AS338" t="e">
        <f>AND('STERLING CATALOG - FZN &amp; CHILL'!D2174,"AAAAADp/9yw=")</f>
        <v>#VALUE!</v>
      </c>
      <c r="AT338" t="e">
        <f>AND('STERLING CATALOG - FZN &amp; CHILL'!E2174,"AAAAADp/9y0=")</f>
        <v>#VALUE!</v>
      </c>
      <c r="AU338" t="e">
        <f>AND('STERLING CATALOG - FZN &amp; CHILL'!F2174,"AAAAADp/9y4=")</f>
        <v>#VALUE!</v>
      </c>
      <c r="AV338" t="e">
        <f>AND('STERLING CATALOG - FZN &amp; CHILL'!G2174,"AAAAADp/9y8=")</f>
        <v>#VALUE!</v>
      </c>
      <c r="AW338" t="e">
        <f>AND('STERLING CATALOG - FZN &amp; CHILL'!H2174,"AAAAADp/9zA=")</f>
        <v>#VALUE!</v>
      </c>
      <c r="AX338" t="e">
        <f>AND('STERLING CATALOG - FZN &amp; CHILL'!I2174,"AAAAADp/9zE=")</f>
        <v>#VALUE!</v>
      </c>
      <c r="AY338" t="e">
        <f>AND('STERLING CATALOG - FZN &amp; CHILL'!J2174,"AAAAADp/9zI=")</f>
        <v>#VALUE!</v>
      </c>
      <c r="AZ338">
        <f>IF('STERLING CATALOG - FZN &amp; CHILL'!2175:2175,"AAAAADp/9zM=",0)</f>
        <v>0</v>
      </c>
      <c r="BA338" t="e">
        <f>AND('STERLING CATALOG - FZN &amp; CHILL'!A2175,"AAAAADp/9zQ=")</f>
        <v>#VALUE!</v>
      </c>
      <c r="BB338" t="e">
        <f>AND('STERLING CATALOG - FZN &amp; CHILL'!B2175,"AAAAADp/9zU=")</f>
        <v>#VALUE!</v>
      </c>
      <c r="BC338" t="e">
        <f>AND('STERLING CATALOG - FZN &amp; CHILL'!C2175,"AAAAADp/9zY=")</f>
        <v>#VALUE!</v>
      </c>
      <c r="BD338" t="e">
        <f>AND('STERLING CATALOG - FZN &amp; CHILL'!D2175,"AAAAADp/9zc=")</f>
        <v>#VALUE!</v>
      </c>
      <c r="BE338" t="e">
        <f>AND('STERLING CATALOG - FZN &amp; CHILL'!E2175,"AAAAADp/9zg=")</f>
        <v>#VALUE!</v>
      </c>
      <c r="BF338" t="e">
        <f>AND('STERLING CATALOG - FZN &amp; CHILL'!F2175,"AAAAADp/9zk=")</f>
        <v>#VALUE!</v>
      </c>
      <c r="BG338" t="e">
        <f>AND('STERLING CATALOG - FZN &amp; CHILL'!G2175,"AAAAADp/9zo=")</f>
        <v>#VALUE!</v>
      </c>
      <c r="BH338" t="e">
        <f>AND('STERLING CATALOG - FZN &amp; CHILL'!H2175,"AAAAADp/9zs=")</f>
        <v>#VALUE!</v>
      </c>
      <c r="BI338" t="e">
        <f>AND('STERLING CATALOG - FZN &amp; CHILL'!I2175,"AAAAADp/9zw=")</f>
        <v>#VALUE!</v>
      </c>
      <c r="BJ338" t="e">
        <f>AND('STERLING CATALOG - FZN &amp; CHILL'!J2175,"AAAAADp/9z0=")</f>
        <v>#VALUE!</v>
      </c>
      <c r="BK338">
        <f>IF('STERLING CATALOG - FZN &amp; CHILL'!2176:2176,"AAAAADp/9z4=",0)</f>
        <v>0</v>
      </c>
      <c r="BL338" t="e">
        <f>AND('STERLING CATALOG - FZN &amp; CHILL'!A2176,"AAAAADp/9z8=")</f>
        <v>#VALUE!</v>
      </c>
      <c r="BM338" t="e">
        <f>AND('STERLING CATALOG - FZN &amp; CHILL'!B2176,"AAAAADp/90A=")</f>
        <v>#VALUE!</v>
      </c>
      <c r="BN338" t="e">
        <f>AND('STERLING CATALOG - FZN &amp; CHILL'!C2176,"AAAAADp/90E=")</f>
        <v>#VALUE!</v>
      </c>
      <c r="BO338" t="e">
        <f>AND('STERLING CATALOG - FZN &amp; CHILL'!D2176,"AAAAADp/90I=")</f>
        <v>#VALUE!</v>
      </c>
      <c r="BP338" t="e">
        <f>AND('STERLING CATALOG - FZN &amp; CHILL'!E2176,"AAAAADp/90M=")</f>
        <v>#VALUE!</v>
      </c>
      <c r="BQ338" t="e">
        <f>AND('STERLING CATALOG - FZN &amp; CHILL'!F2176,"AAAAADp/90Q=")</f>
        <v>#VALUE!</v>
      </c>
      <c r="BR338" t="e">
        <f>AND('STERLING CATALOG - FZN &amp; CHILL'!G2176,"AAAAADp/90U=")</f>
        <v>#VALUE!</v>
      </c>
      <c r="BS338" t="e">
        <f>AND('STERLING CATALOG - FZN &amp; CHILL'!H2176,"AAAAADp/90Y=")</f>
        <v>#VALUE!</v>
      </c>
      <c r="BT338" t="e">
        <f>AND('STERLING CATALOG - FZN &amp; CHILL'!I2176,"AAAAADp/90c=")</f>
        <v>#VALUE!</v>
      </c>
      <c r="BU338" t="e">
        <f>AND('STERLING CATALOG - FZN &amp; CHILL'!J2176,"AAAAADp/90g=")</f>
        <v>#VALUE!</v>
      </c>
      <c r="BV338">
        <f>IF('STERLING CATALOG - FZN &amp; CHILL'!2177:2177,"AAAAADp/90k=",0)</f>
        <v>0</v>
      </c>
      <c r="BW338" t="e">
        <f>AND('STERLING CATALOG - FZN &amp; CHILL'!A2177,"AAAAADp/90o=")</f>
        <v>#VALUE!</v>
      </c>
      <c r="BX338" t="e">
        <f>AND('STERLING CATALOG - FZN &amp; CHILL'!B2177,"AAAAADp/90s=")</f>
        <v>#VALUE!</v>
      </c>
      <c r="BY338" t="e">
        <f>AND('STERLING CATALOG - FZN &amp; CHILL'!C2177,"AAAAADp/90w=")</f>
        <v>#VALUE!</v>
      </c>
      <c r="BZ338" t="e">
        <f>AND('STERLING CATALOG - FZN &amp; CHILL'!D2177,"AAAAADp/900=")</f>
        <v>#VALUE!</v>
      </c>
      <c r="CA338" t="e">
        <f>AND('STERLING CATALOG - FZN &amp; CHILL'!E2177,"AAAAADp/904=")</f>
        <v>#VALUE!</v>
      </c>
      <c r="CB338" t="e">
        <f>AND('STERLING CATALOG - FZN &amp; CHILL'!F2177,"AAAAADp/908=")</f>
        <v>#VALUE!</v>
      </c>
      <c r="CC338" t="e">
        <f>AND('STERLING CATALOG - FZN &amp; CHILL'!G2177,"AAAAADp/91A=")</f>
        <v>#VALUE!</v>
      </c>
      <c r="CD338" t="e">
        <f>AND('STERLING CATALOG - FZN &amp; CHILL'!H2177,"AAAAADp/91E=")</f>
        <v>#VALUE!</v>
      </c>
      <c r="CE338" t="e">
        <f>AND('STERLING CATALOG - FZN &amp; CHILL'!I2177,"AAAAADp/91I=")</f>
        <v>#VALUE!</v>
      </c>
      <c r="CF338" t="e">
        <f>AND('STERLING CATALOG - FZN &amp; CHILL'!J2177,"AAAAADp/91M=")</f>
        <v>#VALUE!</v>
      </c>
      <c r="CG338">
        <f>IF('STERLING CATALOG - FZN &amp; CHILL'!2178:2178,"AAAAADp/91Q=",0)</f>
        <v>0</v>
      </c>
      <c r="CH338" t="e">
        <f>AND('STERLING CATALOG - FZN &amp; CHILL'!A2178,"AAAAADp/91U=")</f>
        <v>#VALUE!</v>
      </c>
      <c r="CI338" t="e">
        <f>AND('STERLING CATALOG - FZN &amp; CHILL'!B2178,"AAAAADp/91Y=")</f>
        <v>#VALUE!</v>
      </c>
      <c r="CJ338" t="e">
        <f>AND('STERLING CATALOG - FZN &amp; CHILL'!C2178,"AAAAADp/91c=")</f>
        <v>#VALUE!</v>
      </c>
      <c r="CK338" t="e">
        <f>AND('STERLING CATALOG - FZN &amp; CHILL'!D2178,"AAAAADp/91g=")</f>
        <v>#VALUE!</v>
      </c>
      <c r="CL338" t="e">
        <f>AND('STERLING CATALOG - FZN &amp; CHILL'!E2178,"AAAAADp/91k=")</f>
        <v>#VALUE!</v>
      </c>
      <c r="CM338" t="e">
        <f>AND('STERLING CATALOG - FZN &amp; CHILL'!F2178,"AAAAADp/91o=")</f>
        <v>#VALUE!</v>
      </c>
      <c r="CN338" t="e">
        <f>AND('STERLING CATALOG - FZN &amp; CHILL'!G2178,"AAAAADp/91s=")</f>
        <v>#VALUE!</v>
      </c>
      <c r="CO338" t="e">
        <f>AND('STERLING CATALOG - FZN &amp; CHILL'!H2178,"AAAAADp/91w=")</f>
        <v>#VALUE!</v>
      </c>
      <c r="CP338" t="e">
        <f>AND('STERLING CATALOG - FZN &amp; CHILL'!I2178,"AAAAADp/910=")</f>
        <v>#VALUE!</v>
      </c>
      <c r="CQ338" t="e">
        <f>AND('STERLING CATALOG - FZN &amp; CHILL'!J2178,"AAAAADp/914=")</f>
        <v>#VALUE!</v>
      </c>
      <c r="CR338">
        <f>IF('STERLING CATALOG - FZN &amp; CHILL'!2179:2179,"AAAAADp/918=",0)</f>
        <v>0</v>
      </c>
      <c r="CS338" t="e">
        <f>AND('STERLING CATALOG - FZN &amp; CHILL'!A2179,"AAAAADp/92A=")</f>
        <v>#VALUE!</v>
      </c>
      <c r="CT338" t="e">
        <f>AND('STERLING CATALOG - FZN &amp; CHILL'!B2179,"AAAAADp/92E=")</f>
        <v>#VALUE!</v>
      </c>
      <c r="CU338" t="e">
        <f>AND('STERLING CATALOG - FZN &amp; CHILL'!C2179,"AAAAADp/92I=")</f>
        <v>#VALUE!</v>
      </c>
      <c r="CV338" t="e">
        <f>AND('STERLING CATALOG - FZN &amp; CHILL'!D2179,"AAAAADp/92M=")</f>
        <v>#VALUE!</v>
      </c>
      <c r="CW338" t="e">
        <f>AND('STERLING CATALOG - FZN &amp; CHILL'!E2179,"AAAAADp/92Q=")</f>
        <v>#VALUE!</v>
      </c>
      <c r="CX338" t="e">
        <f>AND('STERLING CATALOG - FZN &amp; CHILL'!F2179,"AAAAADp/92U=")</f>
        <v>#VALUE!</v>
      </c>
      <c r="CY338" t="e">
        <f>AND('STERLING CATALOG - FZN &amp; CHILL'!G2179,"AAAAADp/92Y=")</f>
        <v>#VALUE!</v>
      </c>
      <c r="CZ338" t="e">
        <f>AND('STERLING CATALOG - FZN &amp; CHILL'!H2179,"AAAAADp/92c=")</f>
        <v>#VALUE!</v>
      </c>
      <c r="DA338" t="e">
        <f>AND('STERLING CATALOG - FZN &amp; CHILL'!I2179,"AAAAADp/92g=")</f>
        <v>#VALUE!</v>
      </c>
      <c r="DB338" t="e">
        <f>AND('STERLING CATALOG - FZN &amp; CHILL'!J2179,"AAAAADp/92k=")</f>
        <v>#VALUE!</v>
      </c>
      <c r="DC338">
        <f>IF('STERLING CATALOG - FZN &amp; CHILL'!2180:2180,"AAAAADp/92o=",0)</f>
        <v>0</v>
      </c>
      <c r="DD338" t="e">
        <f>AND('STERLING CATALOG - FZN &amp; CHILL'!A2180,"AAAAADp/92s=")</f>
        <v>#VALUE!</v>
      </c>
      <c r="DE338" t="e">
        <f>AND('STERLING CATALOG - FZN &amp; CHILL'!B2180,"AAAAADp/92w=")</f>
        <v>#VALUE!</v>
      </c>
      <c r="DF338" t="e">
        <f>AND('STERLING CATALOG - FZN &amp; CHILL'!C2180,"AAAAADp/920=")</f>
        <v>#VALUE!</v>
      </c>
      <c r="DG338" t="e">
        <f>AND('STERLING CATALOG - FZN &amp; CHILL'!D2180,"AAAAADp/924=")</f>
        <v>#VALUE!</v>
      </c>
      <c r="DH338" t="e">
        <f>AND('STERLING CATALOG - FZN &amp; CHILL'!E2180,"AAAAADp/928=")</f>
        <v>#VALUE!</v>
      </c>
      <c r="DI338" t="e">
        <f>AND('STERLING CATALOG - FZN &amp; CHILL'!F2180,"AAAAADp/93A=")</f>
        <v>#VALUE!</v>
      </c>
      <c r="DJ338" t="e">
        <f>AND('STERLING CATALOG - FZN &amp; CHILL'!G2180,"AAAAADp/93E=")</f>
        <v>#VALUE!</v>
      </c>
      <c r="DK338" t="e">
        <f>AND('STERLING CATALOG - FZN &amp; CHILL'!H2180,"AAAAADp/93I=")</f>
        <v>#VALUE!</v>
      </c>
      <c r="DL338" t="e">
        <f>AND('STERLING CATALOG - FZN &amp; CHILL'!I2180,"AAAAADp/93M=")</f>
        <v>#VALUE!</v>
      </c>
      <c r="DM338" t="e">
        <f>AND('STERLING CATALOG - FZN &amp; CHILL'!J2180,"AAAAADp/93Q=")</f>
        <v>#VALUE!</v>
      </c>
      <c r="DN338">
        <f>IF('STERLING CATALOG - FZN &amp; CHILL'!2181:2181,"AAAAADp/93U=",0)</f>
        <v>0</v>
      </c>
      <c r="DO338" t="e">
        <f>AND('STERLING CATALOG - FZN &amp; CHILL'!A2181,"AAAAADp/93Y=")</f>
        <v>#VALUE!</v>
      </c>
      <c r="DP338" t="e">
        <f>AND('STERLING CATALOG - FZN &amp; CHILL'!B2181,"AAAAADp/93c=")</f>
        <v>#VALUE!</v>
      </c>
      <c r="DQ338" t="e">
        <f>AND('STERLING CATALOG - FZN &amp; CHILL'!C2181,"AAAAADp/93g=")</f>
        <v>#VALUE!</v>
      </c>
      <c r="DR338" t="e">
        <f>AND('STERLING CATALOG - FZN &amp; CHILL'!D2181,"AAAAADp/93k=")</f>
        <v>#VALUE!</v>
      </c>
      <c r="DS338" t="e">
        <f>AND('STERLING CATALOG - FZN &amp; CHILL'!E2181,"AAAAADp/93o=")</f>
        <v>#VALUE!</v>
      </c>
      <c r="DT338" t="e">
        <f>AND('STERLING CATALOG - FZN &amp; CHILL'!F2181,"AAAAADp/93s=")</f>
        <v>#VALUE!</v>
      </c>
      <c r="DU338" t="e">
        <f>AND('STERLING CATALOG - FZN &amp; CHILL'!G2181,"AAAAADp/93w=")</f>
        <v>#VALUE!</v>
      </c>
      <c r="DV338" t="e">
        <f>AND('STERLING CATALOG - FZN &amp; CHILL'!H2181,"AAAAADp/930=")</f>
        <v>#VALUE!</v>
      </c>
      <c r="DW338" t="e">
        <f>AND('STERLING CATALOG - FZN &amp; CHILL'!I2181,"AAAAADp/934=")</f>
        <v>#VALUE!</v>
      </c>
      <c r="DX338" t="e">
        <f>AND('STERLING CATALOG - FZN &amp; CHILL'!J2181,"AAAAADp/938=")</f>
        <v>#VALUE!</v>
      </c>
      <c r="DY338">
        <f>IF('STERLING CATALOG - FZN &amp; CHILL'!2182:2182,"AAAAADp/94A=",0)</f>
        <v>0</v>
      </c>
      <c r="DZ338" t="e">
        <f>AND('STERLING CATALOG - FZN &amp; CHILL'!A2182,"AAAAADp/94E=")</f>
        <v>#VALUE!</v>
      </c>
      <c r="EA338" t="e">
        <f>AND('STERLING CATALOG - FZN &amp; CHILL'!B2182,"AAAAADp/94I=")</f>
        <v>#VALUE!</v>
      </c>
      <c r="EB338" t="e">
        <f>AND('STERLING CATALOG - FZN &amp; CHILL'!C2182,"AAAAADp/94M=")</f>
        <v>#VALUE!</v>
      </c>
      <c r="EC338" t="e">
        <f>AND('STERLING CATALOG - FZN &amp; CHILL'!D2182,"AAAAADp/94Q=")</f>
        <v>#VALUE!</v>
      </c>
      <c r="ED338" t="e">
        <f>AND('STERLING CATALOG - FZN &amp; CHILL'!E2182,"AAAAADp/94U=")</f>
        <v>#VALUE!</v>
      </c>
      <c r="EE338" t="e">
        <f>AND('STERLING CATALOG - FZN &amp; CHILL'!F2182,"AAAAADp/94Y=")</f>
        <v>#VALUE!</v>
      </c>
      <c r="EF338" t="e">
        <f>AND('STERLING CATALOG - FZN &amp; CHILL'!G2182,"AAAAADp/94c=")</f>
        <v>#VALUE!</v>
      </c>
      <c r="EG338" t="e">
        <f>AND('STERLING CATALOG - FZN &amp; CHILL'!H2182,"AAAAADp/94g=")</f>
        <v>#VALUE!</v>
      </c>
      <c r="EH338" t="e">
        <f>AND('STERLING CATALOG - FZN &amp; CHILL'!I2182,"AAAAADp/94k=")</f>
        <v>#VALUE!</v>
      </c>
      <c r="EI338" t="e">
        <f>AND('STERLING CATALOG - FZN &amp; CHILL'!J2182,"AAAAADp/94o=")</f>
        <v>#VALUE!</v>
      </c>
      <c r="EJ338">
        <f>IF('STERLING CATALOG - FZN &amp; CHILL'!2183:2183,"AAAAADp/94s=",0)</f>
        <v>0</v>
      </c>
      <c r="EK338" t="e">
        <f>AND('STERLING CATALOG - FZN &amp; CHILL'!A2183,"AAAAADp/94w=")</f>
        <v>#VALUE!</v>
      </c>
      <c r="EL338" t="e">
        <f>AND('STERLING CATALOG - FZN &amp; CHILL'!B2183,"AAAAADp/940=")</f>
        <v>#VALUE!</v>
      </c>
      <c r="EM338" t="e">
        <f>AND('STERLING CATALOG - FZN &amp; CHILL'!C2183,"AAAAADp/944=")</f>
        <v>#VALUE!</v>
      </c>
      <c r="EN338" t="e">
        <f>AND('STERLING CATALOG - FZN &amp; CHILL'!D2183,"AAAAADp/948=")</f>
        <v>#VALUE!</v>
      </c>
      <c r="EO338" t="e">
        <f>AND('STERLING CATALOG - FZN &amp; CHILL'!E2183,"AAAAADp/95A=")</f>
        <v>#VALUE!</v>
      </c>
      <c r="EP338" t="e">
        <f>AND('STERLING CATALOG - FZN &amp; CHILL'!F2183,"AAAAADp/95E=")</f>
        <v>#VALUE!</v>
      </c>
      <c r="EQ338" t="e">
        <f>AND('STERLING CATALOG - FZN &amp; CHILL'!G2183,"AAAAADp/95I=")</f>
        <v>#VALUE!</v>
      </c>
      <c r="ER338" t="e">
        <f>AND('STERLING CATALOG - FZN &amp; CHILL'!H2183,"AAAAADp/95M=")</f>
        <v>#VALUE!</v>
      </c>
      <c r="ES338" t="e">
        <f>AND('STERLING CATALOG - FZN &amp; CHILL'!I2183,"AAAAADp/95Q=")</f>
        <v>#VALUE!</v>
      </c>
      <c r="ET338" t="e">
        <f>AND('STERLING CATALOG - FZN &amp; CHILL'!J2183,"AAAAADp/95U=")</f>
        <v>#VALUE!</v>
      </c>
      <c r="EU338">
        <f>IF('STERLING CATALOG - FZN &amp; CHILL'!2184:2184,"AAAAADp/95Y=",0)</f>
        <v>0</v>
      </c>
      <c r="EV338" t="e">
        <f>AND('STERLING CATALOG - FZN &amp; CHILL'!A2184,"AAAAADp/95c=")</f>
        <v>#VALUE!</v>
      </c>
      <c r="EW338" t="e">
        <f>AND('STERLING CATALOG - FZN &amp; CHILL'!B2184,"AAAAADp/95g=")</f>
        <v>#VALUE!</v>
      </c>
      <c r="EX338" t="e">
        <f>AND('STERLING CATALOG - FZN &amp; CHILL'!C2184,"AAAAADp/95k=")</f>
        <v>#VALUE!</v>
      </c>
      <c r="EY338" t="e">
        <f>AND('STERLING CATALOG - FZN &amp; CHILL'!D2184,"AAAAADp/95o=")</f>
        <v>#VALUE!</v>
      </c>
      <c r="EZ338" t="e">
        <f>AND('STERLING CATALOG - FZN &amp; CHILL'!E2184,"AAAAADp/95s=")</f>
        <v>#VALUE!</v>
      </c>
      <c r="FA338" t="e">
        <f>AND('STERLING CATALOG - FZN &amp; CHILL'!F2184,"AAAAADp/95w=")</f>
        <v>#VALUE!</v>
      </c>
      <c r="FB338" t="e">
        <f>AND('STERLING CATALOG - FZN &amp; CHILL'!G2184,"AAAAADp/950=")</f>
        <v>#VALUE!</v>
      </c>
      <c r="FC338" t="e">
        <f>AND('STERLING CATALOG - FZN &amp; CHILL'!H2184,"AAAAADp/954=")</f>
        <v>#VALUE!</v>
      </c>
      <c r="FD338" t="e">
        <f>AND('STERLING CATALOG - FZN &amp; CHILL'!I2184,"AAAAADp/958=")</f>
        <v>#VALUE!</v>
      </c>
      <c r="FE338" t="e">
        <f>AND('STERLING CATALOG - FZN &amp; CHILL'!J2184,"AAAAADp/96A=")</f>
        <v>#VALUE!</v>
      </c>
      <c r="FF338">
        <f>IF('STERLING CATALOG - FZN &amp; CHILL'!2185:2185,"AAAAADp/96E=",0)</f>
        <v>0</v>
      </c>
      <c r="FG338" t="e">
        <f>AND('STERLING CATALOG - FZN &amp; CHILL'!A2185,"AAAAADp/96I=")</f>
        <v>#VALUE!</v>
      </c>
      <c r="FH338" t="e">
        <f>AND('STERLING CATALOG - FZN &amp; CHILL'!B2185,"AAAAADp/96M=")</f>
        <v>#VALUE!</v>
      </c>
      <c r="FI338" t="e">
        <f>AND('STERLING CATALOG - FZN &amp; CHILL'!C2185,"AAAAADp/96Q=")</f>
        <v>#VALUE!</v>
      </c>
      <c r="FJ338" t="e">
        <f>AND('STERLING CATALOG - FZN &amp; CHILL'!D2185,"AAAAADp/96U=")</f>
        <v>#VALUE!</v>
      </c>
      <c r="FK338" t="e">
        <f>AND('STERLING CATALOG - FZN &amp; CHILL'!E2185,"AAAAADp/96Y=")</f>
        <v>#VALUE!</v>
      </c>
      <c r="FL338" t="e">
        <f>AND('STERLING CATALOG - FZN &amp; CHILL'!F2185,"AAAAADp/96c=")</f>
        <v>#VALUE!</v>
      </c>
      <c r="FM338" t="e">
        <f>AND('STERLING CATALOG - FZN &amp; CHILL'!G2185,"AAAAADp/96g=")</f>
        <v>#VALUE!</v>
      </c>
      <c r="FN338" t="e">
        <f>AND('STERLING CATALOG - FZN &amp; CHILL'!H2185,"AAAAADp/96k=")</f>
        <v>#VALUE!</v>
      </c>
      <c r="FO338" t="e">
        <f>AND('STERLING CATALOG - FZN &amp; CHILL'!I2185,"AAAAADp/96o=")</f>
        <v>#VALUE!</v>
      </c>
      <c r="FP338" t="e">
        <f>AND('STERLING CATALOG - FZN &amp; CHILL'!J2185,"AAAAADp/96s=")</f>
        <v>#VALUE!</v>
      </c>
      <c r="FQ338">
        <f>IF('STERLING CATALOG - FZN &amp; CHILL'!2186:2186,"AAAAADp/96w=",0)</f>
        <v>0</v>
      </c>
      <c r="FR338" t="e">
        <f>AND('STERLING CATALOG - FZN &amp; CHILL'!A2186,"AAAAADp/960=")</f>
        <v>#VALUE!</v>
      </c>
      <c r="FS338" t="e">
        <f>AND('STERLING CATALOG - FZN &amp; CHILL'!B2186,"AAAAADp/964=")</f>
        <v>#VALUE!</v>
      </c>
      <c r="FT338" t="e">
        <f>AND('STERLING CATALOG - FZN &amp; CHILL'!C2186,"AAAAADp/968=")</f>
        <v>#VALUE!</v>
      </c>
      <c r="FU338" t="e">
        <f>AND('STERLING CATALOG - FZN &amp; CHILL'!D2186,"AAAAADp/97A=")</f>
        <v>#VALUE!</v>
      </c>
      <c r="FV338" t="e">
        <f>AND('STERLING CATALOG - FZN &amp; CHILL'!E2186,"AAAAADp/97E=")</f>
        <v>#VALUE!</v>
      </c>
      <c r="FW338" t="e">
        <f>AND('STERLING CATALOG - FZN &amp; CHILL'!F2186,"AAAAADp/97I=")</f>
        <v>#VALUE!</v>
      </c>
      <c r="FX338" t="e">
        <f>AND('STERLING CATALOG - FZN &amp; CHILL'!G2186,"AAAAADp/97M=")</f>
        <v>#VALUE!</v>
      </c>
      <c r="FY338" t="e">
        <f>AND('STERLING CATALOG - FZN &amp; CHILL'!H2186,"AAAAADp/97Q=")</f>
        <v>#VALUE!</v>
      </c>
      <c r="FZ338" t="e">
        <f>AND('STERLING CATALOG - FZN &amp; CHILL'!I2186,"AAAAADp/97U=")</f>
        <v>#VALUE!</v>
      </c>
      <c r="GA338" t="e">
        <f>AND('STERLING CATALOG - FZN &amp; CHILL'!J2186,"AAAAADp/97Y=")</f>
        <v>#VALUE!</v>
      </c>
      <c r="GB338">
        <f>IF('STERLING CATALOG - FZN &amp; CHILL'!2187:2187,"AAAAADp/97c=",0)</f>
        <v>0</v>
      </c>
      <c r="GC338" t="e">
        <f>AND('STERLING CATALOG - FZN &amp; CHILL'!A2187,"AAAAADp/97g=")</f>
        <v>#VALUE!</v>
      </c>
      <c r="GD338" t="e">
        <f>AND('STERLING CATALOG - FZN &amp; CHILL'!B2187,"AAAAADp/97k=")</f>
        <v>#VALUE!</v>
      </c>
      <c r="GE338" t="e">
        <f>AND('STERLING CATALOG - FZN &amp; CHILL'!C2187,"AAAAADp/97o=")</f>
        <v>#VALUE!</v>
      </c>
      <c r="GF338" t="e">
        <f>AND('STERLING CATALOG - FZN &amp; CHILL'!D2187,"AAAAADp/97s=")</f>
        <v>#VALUE!</v>
      </c>
      <c r="GG338" t="e">
        <f>AND('STERLING CATALOG - FZN &amp; CHILL'!E2187,"AAAAADp/97w=")</f>
        <v>#VALUE!</v>
      </c>
      <c r="GH338" t="e">
        <f>AND('STERLING CATALOG - FZN &amp; CHILL'!F2187,"AAAAADp/970=")</f>
        <v>#VALUE!</v>
      </c>
      <c r="GI338" t="e">
        <f>AND('STERLING CATALOG - FZN &amp; CHILL'!G2187,"AAAAADp/974=")</f>
        <v>#VALUE!</v>
      </c>
      <c r="GJ338" t="e">
        <f>AND('STERLING CATALOG - FZN &amp; CHILL'!H2187,"AAAAADp/978=")</f>
        <v>#VALUE!</v>
      </c>
      <c r="GK338" t="e">
        <f>AND('STERLING CATALOG - FZN &amp; CHILL'!I2187,"AAAAADp/98A=")</f>
        <v>#VALUE!</v>
      </c>
      <c r="GL338" t="e">
        <f>AND('STERLING CATALOG - FZN &amp; CHILL'!J2187,"AAAAADp/98E=")</f>
        <v>#VALUE!</v>
      </c>
      <c r="GM338">
        <f>IF('STERLING CATALOG - FZN &amp; CHILL'!2188:2188,"AAAAADp/98I=",0)</f>
        <v>0</v>
      </c>
      <c r="GN338" t="e">
        <f>AND('STERLING CATALOG - FZN &amp; CHILL'!A2188,"AAAAADp/98M=")</f>
        <v>#VALUE!</v>
      </c>
      <c r="GO338" t="e">
        <f>AND('STERLING CATALOG - FZN &amp; CHILL'!B2188,"AAAAADp/98Q=")</f>
        <v>#VALUE!</v>
      </c>
      <c r="GP338" t="e">
        <f>AND('STERLING CATALOG - FZN &amp; CHILL'!C2188,"AAAAADp/98U=")</f>
        <v>#VALUE!</v>
      </c>
      <c r="GQ338" t="e">
        <f>AND('STERLING CATALOG - FZN &amp; CHILL'!D2188,"AAAAADp/98Y=")</f>
        <v>#VALUE!</v>
      </c>
      <c r="GR338" t="e">
        <f>AND('STERLING CATALOG - FZN &amp; CHILL'!E2188,"AAAAADp/98c=")</f>
        <v>#VALUE!</v>
      </c>
      <c r="GS338" t="e">
        <f>AND('STERLING CATALOG - FZN &amp; CHILL'!F2188,"AAAAADp/98g=")</f>
        <v>#VALUE!</v>
      </c>
      <c r="GT338" t="e">
        <f>AND('STERLING CATALOG - FZN &amp; CHILL'!G2188,"AAAAADp/98k=")</f>
        <v>#VALUE!</v>
      </c>
      <c r="GU338" t="e">
        <f>AND('STERLING CATALOG - FZN &amp; CHILL'!H2188,"AAAAADp/98o=")</f>
        <v>#VALUE!</v>
      </c>
      <c r="GV338" t="e">
        <f>AND('STERLING CATALOG - FZN &amp; CHILL'!I2188,"AAAAADp/98s=")</f>
        <v>#VALUE!</v>
      </c>
      <c r="GW338" t="e">
        <f>AND('STERLING CATALOG - FZN &amp; CHILL'!J2188,"AAAAADp/98w=")</f>
        <v>#VALUE!</v>
      </c>
      <c r="GX338">
        <f>IF('STERLING CATALOG - FZN &amp; CHILL'!2189:2189,"AAAAADp/980=",0)</f>
        <v>0</v>
      </c>
      <c r="GY338" t="e">
        <f>AND('STERLING CATALOG - FZN &amp; CHILL'!A2189,"AAAAADp/984=")</f>
        <v>#VALUE!</v>
      </c>
      <c r="GZ338" t="e">
        <f>AND('STERLING CATALOG - FZN &amp; CHILL'!B2189,"AAAAADp/988=")</f>
        <v>#VALUE!</v>
      </c>
      <c r="HA338" t="e">
        <f>AND('STERLING CATALOG - FZN &amp; CHILL'!C2189,"AAAAADp/99A=")</f>
        <v>#VALUE!</v>
      </c>
      <c r="HB338" t="e">
        <f>AND('STERLING CATALOG - FZN &amp; CHILL'!D2189,"AAAAADp/99E=")</f>
        <v>#VALUE!</v>
      </c>
      <c r="HC338" t="e">
        <f>AND('STERLING CATALOG - FZN &amp; CHILL'!E2189,"AAAAADp/99I=")</f>
        <v>#VALUE!</v>
      </c>
      <c r="HD338" t="e">
        <f>AND('STERLING CATALOG - FZN &amp; CHILL'!F2189,"AAAAADp/99M=")</f>
        <v>#VALUE!</v>
      </c>
      <c r="HE338" t="e">
        <f>AND('STERLING CATALOG - FZN &amp; CHILL'!G2189,"AAAAADp/99Q=")</f>
        <v>#VALUE!</v>
      </c>
      <c r="HF338" t="e">
        <f>AND('STERLING CATALOG - FZN &amp; CHILL'!H2189,"AAAAADp/99U=")</f>
        <v>#VALUE!</v>
      </c>
      <c r="HG338" t="e">
        <f>AND('STERLING CATALOG - FZN &amp; CHILL'!I2189,"AAAAADp/99Y=")</f>
        <v>#VALUE!</v>
      </c>
      <c r="HH338" t="e">
        <f>AND('STERLING CATALOG - FZN &amp; CHILL'!J2189,"AAAAADp/99c=")</f>
        <v>#VALUE!</v>
      </c>
      <c r="HI338">
        <f>IF('STERLING CATALOG - FZN &amp; CHILL'!2190:2190,"AAAAADp/99g=",0)</f>
        <v>0</v>
      </c>
      <c r="HJ338" t="e">
        <f>AND('STERLING CATALOG - FZN &amp; CHILL'!A2190,"AAAAADp/99k=")</f>
        <v>#VALUE!</v>
      </c>
      <c r="HK338" t="e">
        <f>AND('STERLING CATALOG - FZN &amp; CHILL'!B2190,"AAAAADp/99o=")</f>
        <v>#VALUE!</v>
      </c>
      <c r="HL338" t="e">
        <f>AND('STERLING CATALOG - FZN &amp; CHILL'!C2190,"AAAAADp/99s=")</f>
        <v>#VALUE!</v>
      </c>
      <c r="HM338" t="e">
        <f>AND('STERLING CATALOG - FZN &amp; CHILL'!D2190,"AAAAADp/99w=")</f>
        <v>#VALUE!</v>
      </c>
      <c r="HN338" t="e">
        <f>AND('STERLING CATALOG - FZN &amp; CHILL'!E2190,"AAAAADp/990=")</f>
        <v>#VALUE!</v>
      </c>
      <c r="HO338" t="e">
        <f>AND('STERLING CATALOG - FZN &amp; CHILL'!F2190,"AAAAADp/994=")</f>
        <v>#VALUE!</v>
      </c>
      <c r="HP338" t="e">
        <f>AND('STERLING CATALOG - FZN &amp; CHILL'!G2190,"AAAAADp/998=")</f>
        <v>#VALUE!</v>
      </c>
      <c r="HQ338" t="e">
        <f>AND('STERLING CATALOG - FZN &amp; CHILL'!H2190,"AAAAADp/9+A=")</f>
        <v>#VALUE!</v>
      </c>
      <c r="HR338" t="e">
        <f>AND('STERLING CATALOG - FZN &amp; CHILL'!I2190,"AAAAADp/9+E=")</f>
        <v>#VALUE!</v>
      </c>
      <c r="HS338" t="e">
        <f>AND('STERLING CATALOG - FZN &amp; CHILL'!J2190,"AAAAADp/9+I=")</f>
        <v>#VALUE!</v>
      </c>
      <c r="HT338">
        <f>IF('STERLING CATALOG - FZN &amp; CHILL'!2191:2191,"AAAAADp/9+M=",0)</f>
        <v>0</v>
      </c>
      <c r="HU338" t="e">
        <f>AND('STERLING CATALOG - FZN &amp; CHILL'!A2191,"AAAAADp/9+Q=")</f>
        <v>#VALUE!</v>
      </c>
      <c r="HV338" t="e">
        <f>AND('STERLING CATALOG - FZN &amp; CHILL'!B2191,"AAAAADp/9+U=")</f>
        <v>#VALUE!</v>
      </c>
      <c r="HW338" t="e">
        <f>AND('STERLING CATALOG - FZN &amp; CHILL'!C2191,"AAAAADp/9+Y=")</f>
        <v>#VALUE!</v>
      </c>
      <c r="HX338" t="e">
        <f>AND('STERLING CATALOG - FZN &amp; CHILL'!D2191,"AAAAADp/9+c=")</f>
        <v>#VALUE!</v>
      </c>
      <c r="HY338" t="e">
        <f>AND('STERLING CATALOG - FZN &amp; CHILL'!E2191,"AAAAADp/9+g=")</f>
        <v>#VALUE!</v>
      </c>
      <c r="HZ338" t="e">
        <f>AND('STERLING CATALOG - FZN &amp; CHILL'!F2191,"AAAAADp/9+k=")</f>
        <v>#VALUE!</v>
      </c>
      <c r="IA338" t="e">
        <f>AND('STERLING CATALOG - FZN &amp; CHILL'!G2191,"AAAAADp/9+o=")</f>
        <v>#VALUE!</v>
      </c>
      <c r="IB338" t="e">
        <f>AND('STERLING CATALOG - FZN &amp; CHILL'!H2191,"AAAAADp/9+s=")</f>
        <v>#VALUE!</v>
      </c>
      <c r="IC338" t="e">
        <f>AND('STERLING CATALOG - FZN &amp; CHILL'!I2191,"AAAAADp/9+w=")</f>
        <v>#VALUE!</v>
      </c>
      <c r="ID338" t="e">
        <f>AND('STERLING CATALOG - FZN &amp; CHILL'!J2191,"AAAAADp/9+0=")</f>
        <v>#VALUE!</v>
      </c>
      <c r="IE338">
        <f>IF('STERLING CATALOG - FZN &amp; CHILL'!2192:2192,"AAAAADp/9+4=",0)</f>
        <v>0</v>
      </c>
      <c r="IF338" t="e">
        <f>AND('STERLING CATALOG - FZN &amp; CHILL'!A2192,"AAAAADp/9+8=")</f>
        <v>#VALUE!</v>
      </c>
      <c r="IG338" t="e">
        <f>AND('STERLING CATALOG - FZN &amp; CHILL'!B2192,"AAAAADp/9/A=")</f>
        <v>#VALUE!</v>
      </c>
      <c r="IH338" t="e">
        <f>AND('STERLING CATALOG - FZN &amp; CHILL'!C2192,"AAAAADp/9/E=")</f>
        <v>#VALUE!</v>
      </c>
      <c r="II338" t="e">
        <f>AND('STERLING CATALOG - FZN &amp; CHILL'!D2192,"AAAAADp/9/I=")</f>
        <v>#VALUE!</v>
      </c>
      <c r="IJ338" t="e">
        <f>AND('STERLING CATALOG - FZN &amp; CHILL'!E2192,"AAAAADp/9/M=")</f>
        <v>#VALUE!</v>
      </c>
      <c r="IK338" t="e">
        <f>AND('STERLING CATALOG - FZN &amp; CHILL'!F2192,"AAAAADp/9/Q=")</f>
        <v>#VALUE!</v>
      </c>
      <c r="IL338" t="e">
        <f>AND('STERLING CATALOG - FZN &amp; CHILL'!G2192,"AAAAADp/9/U=")</f>
        <v>#VALUE!</v>
      </c>
      <c r="IM338" t="e">
        <f>AND('STERLING CATALOG - FZN &amp; CHILL'!H2192,"AAAAADp/9/Y=")</f>
        <v>#VALUE!</v>
      </c>
      <c r="IN338" t="e">
        <f>AND('STERLING CATALOG - FZN &amp; CHILL'!I2192,"AAAAADp/9/c=")</f>
        <v>#VALUE!</v>
      </c>
      <c r="IO338" t="e">
        <f>AND('STERLING CATALOG - FZN &amp; CHILL'!J2192,"AAAAADp/9/g=")</f>
        <v>#VALUE!</v>
      </c>
      <c r="IP338">
        <f>IF('STERLING CATALOG - FZN &amp; CHILL'!2193:2193,"AAAAADp/9/k=",0)</f>
        <v>0</v>
      </c>
      <c r="IQ338" t="e">
        <f>AND('STERLING CATALOG - FZN &amp; CHILL'!A2193,"AAAAADp/9/o=")</f>
        <v>#VALUE!</v>
      </c>
      <c r="IR338" t="e">
        <f>AND('STERLING CATALOG - FZN &amp; CHILL'!B2193,"AAAAADp/9/s=")</f>
        <v>#VALUE!</v>
      </c>
      <c r="IS338" t="e">
        <f>AND('STERLING CATALOG - FZN &amp; CHILL'!C2193,"AAAAADp/9/w=")</f>
        <v>#VALUE!</v>
      </c>
      <c r="IT338" t="e">
        <f>AND('STERLING CATALOG - FZN &amp; CHILL'!D2193,"AAAAADp/9/0=")</f>
        <v>#VALUE!</v>
      </c>
      <c r="IU338" t="e">
        <f>AND('STERLING CATALOG - FZN &amp; CHILL'!E2193,"AAAAADp/9/4=")</f>
        <v>#VALUE!</v>
      </c>
      <c r="IV338" t="e">
        <f>AND('STERLING CATALOG - FZN &amp; CHILL'!F2193,"AAAAADp/9/8=")</f>
        <v>#VALUE!</v>
      </c>
    </row>
    <row r="339" spans="1:256">
      <c r="A339" t="e">
        <f>AND('STERLING CATALOG - FZN &amp; CHILL'!G2193,"AAAAAGbfswA=")</f>
        <v>#VALUE!</v>
      </c>
      <c r="B339" t="e">
        <f>AND('STERLING CATALOG - FZN &amp; CHILL'!H2193,"AAAAAGbfswE=")</f>
        <v>#VALUE!</v>
      </c>
      <c r="C339" t="e">
        <f>AND('STERLING CATALOG - FZN &amp; CHILL'!I2193,"AAAAAGbfswI=")</f>
        <v>#VALUE!</v>
      </c>
      <c r="D339" t="e">
        <f>AND('STERLING CATALOG - FZN &amp; CHILL'!J2193,"AAAAAGbfswM=")</f>
        <v>#VALUE!</v>
      </c>
      <c r="E339" t="e">
        <f>IF('STERLING CATALOG - FZN &amp; CHILL'!2194:2194,"AAAAAGbfswQ=",0)</f>
        <v>#VALUE!</v>
      </c>
      <c r="F339" t="e">
        <f>AND('STERLING CATALOG - FZN &amp; CHILL'!A2194,"AAAAAGbfswU=")</f>
        <v>#VALUE!</v>
      </c>
      <c r="G339" t="e">
        <f>AND('STERLING CATALOG - FZN &amp; CHILL'!B2194,"AAAAAGbfswY=")</f>
        <v>#VALUE!</v>
      </c>
      <c r="H339" t="e">
        <f>AND('STERLING CATALOG - FZN &amp; CHILL'!C2194,"AAAAAGbfswc=")</f>
        <v>#VALUE!</v>
      </c>
      <c r="I339" t="e">
        <f>AND('STERLING CATALOG - FZN &amp; CHILL'!D2194,"AAAAAGbfswg=")</f>
        <v>#VALUE!</v>
      </c>
      <c r="J339" t="e">
        <f>AND('STERLING CATALOG - FZN &amp; CHILL'!E2194,"AAAAAGbfswk=")</f>
        <v>#VALUE!</v>
      </c>
      <c r="K339" t="e">
        <f>AND('STERLING CATALOG - FZN &amp; CHILL'!F2194,"AAAAAGbfswo=")</f>
        <v>#VALUE!</v>
      </c>
      <c r="L339" t="e">
        <f>AND('STERLING CATALOG - FZN &amp; CHILL'!G2194,"AAAAAGbfsws=")</f>
        <v>#VALUE!</v>
      </c>
      <c r="M339" t="e">
        <f>AND('STERLING CATALOG - FZN &amp; CHILL'!H2194,"AAAAAGbfsww=")</f>
        <v>#VALUE!</v>
      </c>
      <c r="N339" t="e">
        <f>AND('STERLING CATALOG - FZN &amp; CHILL'!I2194,"AAAAAGbfsw0=")</f>
        <v>#VALUE!</v>
      </c>
      <c r="O339" t="e">
        <f>AND('STERLING CATALOG - FZN &amp; CHILL'!J2194,"AAAAAGbfsw4=")</f>
        <v>#VALUE!</v>
      </c>
      <c r="P339">
        <f>IF('STERLING CATALOG - FZN &amp; CHILL'!2195:2195,"AAAAAGbfsw8=",0)</f>
        <v>0</v>
      </c>
      <c r="Q339" t="e">
        <f>AND('STERLING CATALOG - FZN &amp; CHILL'!A2195,"AAAAAGbfsxA=")</f>
        <v>#VALUE!</v>
      </c>
      <c r="R339" t="e">
        <f>AND('STERLING CATALOG - FZN &amp; CHILL'!B2195,"AAAAAGbfsxE=")</f>
        <v>#VALUE!</v>
      </c>
      <c r="S339" t="e">
        <f>AND('STERLING CATALOG - FZN &amp; CHILL'!C2195,"AAAAAGbfsxI=")</f>
        <v>#VALUE!</v>
      </c>
      <c r="T339" t="e">
        <f>AND('STERLING CATALOG - FZN &amp; CHILL'!D2195,"AAAAAGbfsxM=")</f>
        <v>#VALUE!</v>
      </c>
      <c r="U339" t="e">
        <f>AND('STERLING CATALOG - FZN &amp; CHILL'!E2195,"AAAAAGbfsxQ=")</f>
        <v>#VALUE!</v>
      </c>
      <c r="V339" t="e">
        <f>AND('STERLING CATALOG - FZN &amp; CHILL'!F2195,"AAAAAGbfsxU=")</f>
        <v>#VALUE!</v>
      </c>
      <c r="W339" t="e">
        <f>AND('STERLING CATALOG - FZN &amp; CHILL'!G2195,"AAAAAGbfsxY=")</f>
        <v>#VALUE!</v>
      </c>
      <c r="X339" t="e">
        <f>AND('STERLING CATALOG - FZN &amp; CHILL'!H2195,"AAAAAGbfsxc=")</f>
        <v>#VALUE!</v>
      </c>
      <c r="Y339" t="e">
        <f>AND('STERLING CATALOG - FZN &amp; CHILL'!I2195,"AAAAAGbfsxg=")</f>
        <v>#VALUE!</v>
      </c>
      <c r="Z339" t="e">
        <f>AND('STERLING CATALOG - FZN &amp; CHILL'!J2195,"AAAAAGbfsxk=")</f>
        <v>#VALUE!</v>
      </c>
      <c r="AA339">
        <f>IF('STERLING CATALOG - FZN &amp; CHILL'!2196:2196,"AAAAAGbfsxo=",0)</f>
        <v>0</v>
      </c>
      <c r="AB339" t="e">
        <f>AND('STERLING CATALOG - FZN &amp; CHILL'!A2196,"AAAAAGbfsxs=")</f>
        <v>#VALUE!</v>
      </c>
      <c r="AC339" t="e">
        <f>AND('STERLING CATALOG - FZN &amp; CHILL'!B2196,"AAAAAGbfsxw=")</f>
        <v>#VALUE!</v>
      </c>
      <c r="AD339" t="e">
        <f>AND('STERLING CATALOG - FZN &amp; CHILL'!C2196,"AAAAAGbfsx0=")</f>
        <v>#VALUE!</v>
      </c>
      <c r="AE339" t="e">
        <f>AND('STERLING CATALOG - FZN &amp; CHILL'!D2196,"AAAAAGbfsx4=")</f>
        <v>#VALUE!</v>
      </c>
      <c r="AF339" t="e">
        <f>AND('STERLING CATALOG - FZN &amp; CHILL'!E2196,"AAAAAGbfsx8=")</f>
        <v>#VALUE!</v>
      </c>
      <c r="AG339" t="e">
        <f>AND('STERLING CATALOG - FZN &amp; CHILL'!F2196,"AAAAAGbfsyA=")</f>
        <v>#VALUE!</v>
      </c>
      <c r="AH339" t="e">
        <f>AND('STERLING CATALOG - FZN &amp; CHILL'!G2196,"AAAAAGbfsyE=")</f>
        <v>#VALUE!</v>
      </c>
      <c r="AI339" t="e">
        <f>AND('STERLING CATALOG - FZN &amp; CHILL'!H2196,"AAAAAGbfsyI=")</f>
        <v>#VALUE!</v>
      </c>
      <c r="AJ339" t="e">
        <f>AND('STERLING CATALOG - FZN &amp; CHILL'!I2196,"AAAAAGbfsyM=")</f>
        <v>#VALUE!</v>
      </c>
      <c r="AK339" t="e">
        <f>AND('STERLING CATALOG - FZN &amp; CHILL'!J2196,"AAAAAGbfsyQ=")</f>
        <v>#VALUE!</v>
      </c>
      <c r="AL339">
        <f>IF('STERLING CATALOG - FZN &amp; CHILL'!2197:2197,"AAAAAGbfsyU=",0)</f>
        <v>0</v>
      </c>
      <c r="AM339" t="e">
        <f>AND('STERLING CATALOG - FZN &amp; CHILL'!A2197,"AAAAAGbfsyY=")</f>
        <v>#VALUE!</v>
      </c>
      <c r="AN339" t="e">
        <f>AND('STERLING CATALOG - FZN &amp; CHILL'!B2197,"AAAAAGbfsyc=")</f>
        <v>#VALUE!</v>
      </c>
      <c r="AO339" t="e">
        <f>AND('STERLING CATALOG - FZN &amp; CHILL'!C2197,"AAAAAGbfsyg=")</f>
        <v>#VALUE!</v>
      </c>
      <c r="AP339" t="e">
        <f>AND('STERLING CATALOG - FZN &amp; CHILL'!D2197,"AAAAAGbfsyk=")</f>
        <v>#VALUE!</v>
      </c>
      <c r="AQ339" t="e">
        <f>AND('STERLING CATALOG - FZN &amp; CHILL'!E2197,"AAAAAGbfsyo=")</f>
        <v>#VALUE!</v>
      </c>
      <c r="AR339" t="e">
        <f>AND('STERLING CATALOG - FZN &amp; CHILL'!F2197,"AAAAAGbfsys=")</f>
        <v>#VALUE!</v>
      </c>
      <c r="AS339" t="e">
        <f>AND('STERLING CATALOG - FZN &amp; CHILL'!G2197,"AAAAAGbfsyw=")</f>
        <v>#VALUE!</v>
      </c>
      <c r="AT339" t="e">
        <f>AND('STERLING CATALOG - FZN &amp; CHILL'!H2197,"AAAAAGbfsy0=")</f>
        <v>#VALUE!</v>
      </c>
      <c r="AU339" t="e">
        <f>AND('STERLING CATALOG - FZN &amp; CHILL'!I2197,"AAAAAGbfsy4=")</f>
        <v>#VALUE!</v>
      </c>
      <c r="AV339" t="e">
        <f>AND('STERLING CATALOG - FZN &amp; CHILL'!J2197,"AAAAAGbfsy8=")</f>
        <v>#VALUE!</v>
      </c>
      <c r="AW339">
        <f>IF('STERLING CATALOG - FZN &amp; CHILL'!2198:2198,"AAAAAGbfszA=",0)</f>
        <v>0</v>
      </c>
      <c r="AX339" t="e">
        <f>AND('STERLING CATALOG - FZN &amp; CHILL'!A2198,"AAAAAGbfszE=")</f>
        <v>#VALUE!</v>
      </c>
      <c r="AY339" t="e">
        <f>AND('STERLING CATALOG - FZN &amp; CHILL'!B2198,"AAAAAGbfszI=")</f>
        <v>#VALUE!</v>
      </c>
      <c r="AZ339" t="e">
        <f>AND('STERLING CATALOG - FZN &amp; CHILL'!C2198,"AAAAAGbfszM=")</f>
        <v>#VALUE!</v>
      </c>
      <c r="BA339" t="e">
        <f>AND('STERLING CATALOG - FZN &amp; CHILL'!D2198,"AAAAAGbfszQ=")</f>
        <v>#VALUE!</v>
      </c>
      <c r="BB339" t="e">
        <f>AND('STERLING CATALOG - FZN &amp; CHILL'!E2198,"AAAAAGbfszU=")</f>
        <v>#VALUE!</v>
      </c>
      <c r="BC339" t="e">
        <f>AND('STERLING CATALOG - FZN &amp; CHILL'!F2198,"AAAAAGbfszY=")</f>
        <v>#VALUE!</v>
      </c>
      <c r="BD339" t="e">
        <f>AND('STERLING CATALOG - FZN &amp; CHILL'!G2198,"AAAAAGbfszc=")</f>
        <v>#VALUE!</v>
      </c>
      <c r="BE339" t="e">
        <f>AND('STERLING CATALOG - FZN &amp; CHILL'!H2198,"AAAAAGbfszg=")</f>
        <v>#VALUE!</v>
      </c>
      <c r="BF339" t="e">
        <f>AND('STERLING CATALOG - FZN &amp; CHILL'!I2198,"AAAAAGbfszk=")</f>
        <v>#VALUE!</v>
      </c>
      <c r="BG339" t="e">
        <f>AND('STERLING CATALOG - FZN &amp; CHILL'!J2198,"AAAAAGbfszo=")</f>
        <v>#VALUE!</v>
      </c>
      <c r="BH339">
        <f>IF('STERLING CATALOG - FZN &amp; CHILL'!2199:2199,"AAAAAGbfszs=",0)</f>
        <v>0</v>
      </c>
      <c r="BI339" t="e">
        <f>AND('STERLING CATALOG - FZN &amp; CHILL'!A2199,"AAAAAGbfszw=")</f>
        <v>#VALUE!</v>
      </c>
      <c r="BJ339" t="e">
        <f>AND('STERLING CATALOG - FZN &amp; CHILL'!B2199,"AAAAAGbfsz0=")</f>
        <v>#VALUE!</v>
      </c>
      <c r="BK339" t="e">
        <f>AND('STERLING CATALOG - FZN &amp; CHILL'!C2199,"AAAAAGbfsz4=")</f>
        <v>#VALUE!</v>
      </c>
      <c r="BL339" t="e">
        <f>AND('STERLING CATALOG - FZN &amp; CHILL'!D2199,"AAAAAGbfsz8=")</f>
        <v>#VALUE!</v>
      </c>
      <c r="BM339" t="e">
        <f>AND('STERLING CATALOG - FZN &amp; CHILL'!E2199,"AAAAAGbfs0A=")</f>
        <v>#VALUE!</v>
      </c>
      <c r="BN339" t="e">
        <f>AND('STERLING CATALOG - FZN &amp; CHILL'!F2199,"AAAAAGbfs0E=")</f>
        <v>#VALUE!</v>
      </c>
      <c r="BO339" t="e">
        <f>AND('STERLING CATALOG - FZN &amp; CHILL'!G2199,"AAAAAGbfs0I=")</f>
        <v>#VALUE!</v>
      </c>
      <c r="BP339" t="e">
        <f>AND('STERLING CATALOG - FZN &amp; CHILL'!H2199,"AAAAAGbfs0M=")</f>
        <v>#VALUE!</v>
      </c>
      <c r="BQ339" t="e">
        <f>AND('STERLING CATALOG - FZN &amp; CHILL'!I2199,"AAAAAGbfs0Q=")</f>
        <v>#VALUE!</v>
      </c>
      <c r="BR339" t="e">
        <f>AND('STERLING CATALOG - FZN &amp; CHILL'!J2199,"AAAAAGbfs0U=")</f>
        <v>#VALUE!</v>
      </c>
      <c r="BS339">
        <f>IF('STERLING CATALOG - FZN &amp; CHILL'!2200:2200,"AAAAAGbfs0Y=",0)</f>
        <v>0</v>
      </c>
      <c r="BT339" t="e">
        <f>AND('STERLING CATALOG - FZN &amp; CHILL'!A2200,"AAAAAGbfs0c=")</f>
        <v>#VALUE!</v>
      </c>
      <c r="BU339" t="e">
        <f>AND('STERLING CATALOG - FZN &amp; CHILL'!B2200,"AAAAAGbfs0g=")</f>
        <v>#VALUE!</v>
      </c>
      <c r="BV339" t="e">
        <f>AND('STERLING CATALOG - FZN &amp; CHILL'!C2200,"AAAAAGbfs0k=")</f>
        <v>#VALUE!</v>
      </c>
      <c r="BW339" t="e">
        <f>AND('STERLING CATALOG - FZN &amp; CHILL'!D2200,"AAAAAGbfs0o=")</f>
        <v>#VALUE!</v>
      </c>
      <c r="BX339" t="e">
        <f>AND('STERLING CATALOG - FZN &amp; CHILL'!E2200,"AAAAAGbfs0s=")</f>
        <v>#VALUE!</v>
      </c>
      <c r="BY339" t="e">
        <f>AND('STERLING CATALOG - FZN &amp; CHILL'!F2200,"AAAAAGbfs0w=")</f>
        <v>#VALUE!</v>
      </c>
      <c r="BZ339" t="e">
        <f>AND('STERLING CATALOG - FZN &amp; CHILL'!G2200,"AAAAAGbfs00=")</f>
        <v>#VALUE!</v>
      </c>
      <c r="CA339" t="e">
        <f>AND('STERLING CATALOG - FZN &amp; CHILL'!H2200,"AAAAAGbfs04=")</f>
        <v>#VALUE!</v>
      </c>
      <c r="CB339" t="e">
        <f>AND('STERLING CATALOG - FZN &amp; CHILL'!I2200,"AAAAAGbfs08=")</f>
        <v>#VALUE!</v>
      </c>
      <c r="CC339" t="e">
        <f>AND('STERLING CATALOG - FZN &amp; CHILL'!J2200,"AAAAAGbfs1A=")</f>
        <v>#VALUE!</v>
      </c>
      <c r="CD339">
        <f>IF('STERLING CATALOG - FZN &amp; CHILL'!2201:2201,"AAAAAGbfs1E=",0)</f>
        <v>0</v>
      </c>
      <c r="CE339" t="e">
        <f>AND('STERLING CATALOG - FZN &amp; CHILL'!A2201,"AAAAAGbfs1I=")</f>
        <v>#VALUE!</v>
      </c>
      <c r="CF339" t="e">
        <f>AND('STERLING CATALOG - FZN &amp; CHILL'!B2201,"AAAAAGbfs1M=")</f>
        <v>#VALUE!</v>
      </c>
      <c r="CG339" t="e">
        <f>AND('STERLING CATALOG - FZN &amp; CHILL'!C2201,"AAAAAGbfs1Q=")</f>
        <v>#VALUE!</v>
      </c>
      <c r="CH339" t="e">
        <f>AND('STERLING CATALOG - FZN &amp; CHILL'!D2201,"AAAAAGbfs1U=")</f>
        <v>#VALUE!</v>
      </c>
      <c r="CI339" t="e">
        <f>AND('STERLING CATALOG - FZN &amp; CHILL'!E2201,"AAAAAGbfs1Y=")</f>
        <v>#VALUE!</v>
      </c>
      <c r="CJ339" t="e">
        <f>AND('STERLING CATALOG - FZN &amp; CHILL'!F2201,"AAAAAGbfs1c=")</f>
        <v>#VALUE!</v>
      </c>
      <c r="CK339" t="e">
        <f>AND('STERLING CATALOG - FZN &amp; CHILL'!G2201,"AAAAAGbfs1g=")</f>
        <v>#VALUE!</v>
      </c>
      <c r="CL339" t="e">
        <f>AND('STERLING CATALOG - FZN &amp; CHILL'!H2201,"AAAAAGbfs1k=")</f>
        <v>#VALUE!</v>
      </c>
      <c r="CM339" t="e">
        <f>AND('STERLING CATALOG - FZN &amp; CHILL'!I2201,"AAAAAGbfs1o=")</f>
        <v>#VALUE!</v>
      </c>
      <c r="CN339" t="e">
        <f>AND('STERLING CATALOG - FZN &amp; CHILL'!J2201,"AAAAAGbfs1s=")</f>
        <v>#VALUE!</v>
      </c>
      <c r="CO339">
        <f>IF('STERLING CATALOG - FZN &amp; CHILL'!2202:2202,"AAAAAGbfs1w=",0)</f>
        <v>0</v>
      </c>
      <c r="CP339" t="e">
        <f>AND('STERLING CATALOG - FZN &amp; CHILL'!A2202,"AAAAAGbfs10=")</f>
        <v>#VALUE!</v>
      </c>
      <c r="CQ339" t="e">
        <f>AND('STERLING CATALOG - FZN &amp; CHILL'!B2202,"AAAAAGbfs14=")</f>
        <v>#VALUE!</v>
      </c>
      <c r="CR339" t="e">
        <f>AND('STERLING CATALOG - FZN &amp; CHILL'!C2202,"AAAAAGbfs18=")</f>
        <v>#VALUE!</v>
      </c>
      <c r="CS339" t="e">
        <f>AND('STERLING CATALOG - FZN &amp; CHILL'!D2202,"AAAAAGbfs2A=")</f>
        <v>#VALUE!</v>
      </c>
      <c r="CT339" t="e">
        <f>AND('STERLING CATALOG - FZN &amp; CHILL'!E2202,"AAAAAGbfs2E=")</f>
        <v>#VALUE!</v>
      </c>
      <c r="CU339" t="e">
        <f>AND('STERLING CATALOG - FZN &amp; CHILL'!F2202,"AAAAAGbfs2I=")</f>
        <v>#VALUE!</v>
      </c>
      <c r="CV339" t="e">
        <f>AND('STERLING CATALOG - FZN &amp; CHILL'!G2202,"AAAAAGbfs2M=")</f>
        <v>#VALUE!</v>
      </c>
      <c r="CW339" t="e">
        <f>AND('STERLING CATALOG - FZN &amp; CHILL'!H2202,"AAAAAGbfs2Q=")</f>
        <v>#VALUE!</v>
      </c>
      <c r="CX339" t="e">
        <f>AND('STERLING CATALOG - FZN &amp; CHILL'!I2202,"AAAAAGbfs2U=")</f>
        <v>#VALUE!</v>
      </c>
      <c r="CY339" t="e">
        <f>AND('STERLING CATALOG - FZN &amp; CHILL'!J2202,"AAAAAGbfs2Y=")</f>
        <v>#VALUE!</v>
      </c>
      <c r="CZ339">
        <f>IF('STERLING CATALOG - FZN &amp; CHILL'!2203:2203,"AAAAAGbfs2c=",0)</f>
        <v>0</v>
      </c>
      <c r="DA339" t="e">
        <f>AND('STERLING CATALOG - FZN &amp; CHILL'!A2203,"AAAAAGbfs2g=")</f>
        <v>#VALUE!</v>
      </c>
      <c r="DB339" t="e">
        <f>AND('STERLING CATALOG - FZN &amp; CHILL'!B2203,"AAAAAGbfs2k=")</f>
        <v>#VALUE!</v>
      </c>
      <c r="DC339" t="e">
        <f>AND('STERLING CATALOG - FZN &amp; CHILL'!C2203,"AAAAAGbfs2o=")</f>
        <v>#VALUE!</v>
      </c>
      <c r="DD339" t="e">
        <f>AND('STERLING CATALOG - FZN &amp; CHILL'!D2203,"AAAAAGbfs2s=")</f>
        <v>#VALUE!</v>
      </c>
      <c r="DE339" t="e">
        <f>AND('STERLING CATALOG - FZN &amp; CHILL'!E2203,"AAAAAGbfs2w=")</f>
        <v>#VALUE!</v>
      </c>
      <c r="DF339" t="e">
        <f>AND('STERLING CATALOG - FZN &amp; CHILL'!F2203,"AAAAAGbfs20=")</f>
        <v>#VALUE!</v>
      </c>
      <c r="DG339" t="e">
        <f>AND('STERLING CATALOG - FZN &amp; CHILL'!G2203,"AAAAAGbfs24=")</f>
        <v>#VALUE!</v>
      </c>
      <c r="DH339" t="e">
        <f>AND('STERLING CATALOG - FZN &amp; CHILL'!H2203,"AAAAAGbfs28=")</f>
        <v>#VALUE!</v>
      </c>
      <c r="DI339" t="e">
        <f>AND('STERLING CATALOG - FZN &amp; CHILL'!I2203,"AAAAAGbfs3A=")</f>
        <v>#VALUE!</v>
      </c>
      <c r="DJ339" t="e">
        <f>AND('STERLING CATALOG - FZN &amp; CHILL'!J2203,"AAAAAGbfs3E=")</f>
        <v>#VALUE!</v>
      </c>
      <c r="DK339">
        <f>IF('STERLING CATALOG - FZN &amp; CHILL'!2204:2204,"AAAAAGbfs3I=",0)</f>
        <v>0</v>
      </c>
      <c r="DL339" t="e">
        <f>AND('STERLING CATALOG - FZN &amp; CHILL'!A2204,"AAAAAGbfs3M=")</f>
        <v>#VALUE!</v>
      </c>
      <c r="DM339" t="e">
        <f>AND('STERLING CATALOG - FZN &amp; CHILL'!B2204,"AAAAAGbfs3Q=")</f>
        <v>#VALUE!</v>
      </c>
      <c r="DN339" t="e">
        <f>AND('STERLING CATALOG - FZN &amp; CHILL'!C2204,"AAAAAGbfs3U=")</f>
        <v>#VALUE!</v>
      </c>
      <c r="DO339" t="e">
        <f>AND('STERLING CATALOG - FZN &amp; CHILL'!D2204,"AAAAAGbfs3Y=")</f>
        <v>#VALUE!</v>
      </c>
      <c r="DP339" t="e">
        <f>AND('STERLING CATALOG - FZN &amp; CHILL'!E2204,"AAAAAGbfs3c=")</f>
        <v>#VALUE!</v>
      </c>
      <c r="DQ339" t="e">
        <f>AND('STERLING CATALOG - FZN &amp; CHILL'!F2204,"AAAAAGbfs3g=")</f>
        <v>#VALUE!</v>
      </c>
      <c r="DR339" t="e">
        <f>AND('STERLING CATALOG - FZN &amp; CHILL'!G2204,"AAAAAGbfs3k=")</f>
        <v>#VALUE!</v>
      </c>
      <c r="DS339" t="e">
        <f>AND('STERLING CATALOG - FZN &amp; CHILL'!H2204,"AAAAAGbfs3o=")</f>
        <v>#VALUE!</v>
      </c>
      <c r="DT339" t="e">
        <f>AND('STERLING CATALOG - FZN &amp; CHILL'!I2204,"AAAAAGbfs3s=")</f>
        <v>#VALUE!</v>
      </c>
      <c r="DU339" t="e">
        <f>AND('STERLING CATALOG - FZN &amp; CHILL'!J2204,"AAAAAGbfs3w=")</f>
        <v>#VALUE!</v>
      </c>
      <c r="DV339">
        <f>IF('STERLING CATALOG - FZN &amp; CHILL'!2205:2205,"AAAAAGbfs30=",0)</f>
        <v>0</v>
      </c>
      <c r="DW339" t="e">
        <f>AND('STERLING CATALOG - FZN &amp; CHILL'!A2205,"AAAAAGbfs34=")</f>
        <v>#VALUE!</v>
      </c>
      <c r="DX339" t="e">
        <f>AND('STERLING CATALOG - FZN &amp; CHILL'!B2205,"AAAAAGbfs38=")</f>
        <v>#VALUE!</v>
      </c>
      <c r="DY339" t="e">
        <f>AND('STERLING CATALOG - FZN &amp; CHILL'!C2205,"AAAAAGbfs4A=")</f>
        <v>#VALUE!</v>
      </c>
      <c r="DZ339" t="e">
        <f>AND('STERLING CATALOG - FZN &amp; CHILL'!D2205,"AAAAAGbfs4E=")</f>
        <v>#VALUE!</v>
      </c>
      <c r="EA339" t="e">
        <f>AND('STERLING CATALOG - FZN &amp; CHILL'!E2205,"AAAAAGbfs4I=")</f>
        <v>#VALUE!</v>
      </c>
      <c r="EB339" t="e">
        <f>AND('STERLING CATALOG - FZN &amp; CHILL'!F2205,"AAAAAGbfs4M=")</f>
        <v>#VALUE!</v>
      </c>
      <c r="EC339" t="e">
        <f>AND('STERLING CATALOG - FZN &amp; CHILL'!G2205,"AAAAAGbfs4Q=")</f>
        <v>#VALUE!</v>
      </c>
      <c r="ED339" t="e">
        <f>AND('STERLING CATALOG - FZN &amp; CHILL'!H2205,"AAAAAGbfs4U=")</f>
        <v>#VALUE!</v>
      </c>
      <c r="EE339" t="e">
        <f>AND('STERLING CATALOG - FZN &amp; CHILL'!I2205,"AAAAAGbfs4Y=")</f>
        <v>#VALUE!</v>
      </c>
      <c r="EF339" t="e">
        <f>AND('STERLING CATALOG - FZN &amp; CHILL'!J2205,"AAAAAGbfs4c=")</f>
        <v>#VALUE!</v>
      </c>
      <c r="EG339">
        <f>IF('STERLING CATALOG - FZN &amp; CHILL'!2206:2206,"AAAAAGbfs4g=",0)</f>
        <v>0</v>
      </c>
      <c r="EH339" t="e">
        <f>AND('STERLING CATALOG - FZN &amp; CHILL'!A2206,"AAAAAGbfs4k=")</f>
        <v>#VALUE!</v>
      </c>
      <c r="EI339" t="e">
        <f>AND('STERLING CATALOG - FZN &amp; CHILL'!B2206,"AAAAAGbfs4o=")</f>
        <v>#VALUE!</v>
      </c>
      <c r="EJ339" t="e">
        <f>AND('STERLING CATALOG - FZN &amp; CHILL'!C2206,"AAAAAGbfs4s=")</f>
        <v>#VALUE!</v>
      </c>
      <c r="EK339" t="e">
        <f>AND('STERLING CATALOG - FZN &amp; CHILL'!D2206,"AAAAAGbfs4w=")</f>
        <v>#VALUE!</v>
      </c>
      <c r="EL339" t="e">
        <f>AND('STERLING CATALOG - FZN &amp; CHILL'!E2206,"AAAAAGbfs40=")</f>
        <v>#VALUE!</v>
      </c>
      <c r="EM339" t="e">
        <f>AND('STERLING CATALOG - FZN &amp; CHILL'!F2206,"AAAAAGbfs44=")</f>
        <v>#VALUE!</v>
      </c>
      <c r="EN339" t="e">
        <f>AND('STERLING CATALOG - FZN &amp; CHILL'!G2206,"AAAAAGbfs48=")</f>
        <v>#VALUE!</v>
      </c>
      <c r="EO339" t="e">
        <f>AND('STERLING CATALOG - FZN &amp; CHILL'!H2206,"AAAAAGbfs5A=")</f>
        <v>#VALUE!</v>
      </c>
      <c r="EP339" t="e">
        <f>AND('STERLING CATALOG - FZN &amp; CHILL'!I2206,"AAAAAGbfs5E=")</f>
        <v>#VALUE!</v>
      </c>
      <c r="EQ339" t="e">
        <f>AND('STERLING CATALOG - FZN &amp; CHILL'!J2206,"AAAAAGbfs5I=")</f>
        <v>#VALUE!</v>
      </c>
      <c r="ER339">
        <f>IF('STERLING CATALOG - FZN &amp; CHILL'!2207:2207,"AAAAAGbfs5M=",0)</f>
        <v>0</v>
      </c>
      <c r="ES339" t="e">
        <f>AND('STERLING CATALOG - FZN &amp; CHILL'!A2207,"AAAAAGbfs5Q=")</f>
        <v>#VALUE!</v>
      </c>
      <c r="ET339" t="e">
        <f>AND('STERLING CATALOG - FZN &amp; CHILL'!B2207,"AAAAAGbfs5U=")</f>
        <v>#VALUE!</v>
      </c>
      <c r="EU339" t="e">
        <f>AND('STERLING CATALOG - FZN &amp; CHILL'!C2207,"AAAAAGbfs5Y=")</f>
        <v>#VALUE!</v>
      </c>
      <c r="EV339" t="e">
        <f>AND('STERLING CATALOG - FZN &amp; CHILL'!D2207,"AAAAAGbfs5c=")</f>
        <v>#VALUE!</v>
      </c>
      <c r="EW339" t="e">
        <f>AND('STERLING CATALOG - FZN &amp; CHILL'!E2207,"AAAAAGbfs5g=")</f>
        <v>#VALUE!</v>
      </c>
      <c r="EX339" t="e">
        <f>AND('STERLING CATALOG - FZN &amp; CHILL'!F2207,"AAAAAGbfs5k=")</f>
        <v>#VALUE!</v>
      </c>
      <c r="EY339" t="e">
        <f>AND('STERLING CATALOG - FZN &amp; CHILL'!G2207,"AAAAAGbfs5o=")</f>
        <v>#VALUE!</v>
      </c>
      <c r="EZ339" t="e">
        <f>AND('STERLING CATALOG - FZN &amp; CHILL'!H2207,"AAAAAGbfs5s=")</f>
        <v>#VALUE!</v>
      </c>
      <c r="FA339" t="e">
        <f>AND('STERLING CATALOG - FZN &amp; CHILL'!I2207,"AAAAAGbfs5w=")</f>
        <v>#VALUE!</v>
      </c>
      <c r="FB339" t="e">
        <f>AND('STERLING CATALOG - FZN &amp; CHILL'!J2207,"AAAAAGbfs50=")</f>
        <v>#VALUE!</v>
      </c>
      <c r="FC339">
        <f>IF('STERLING CATALOG - FZN &amp; CHILL'!2208:2208,"AAAAAGbfs54=",0)</f>
        <v>0</v>
      </c>
      <c r="FD339" t="e">
        <f>AND('STERLING CATALOG - FZN &amp; CHILL'!A2208,"AAAAAGbfs58=")</f>
        <v>#VALUE!</v>
      </c>
      <c r="FE339" t="e">
        <f>AND('STERLING CATALOG - FZN &amp; CHILL'!B2208,"AAAAAGbfs6A=")</f>
        <v>#VALUE!</v>
      </c>
      <c r="FF339" t="e">
        <f>AND('STERLING CATALOG - FZN &amp; CHILL'!C2208,"AAAAAGbfs6E=")</f>
        <v>#VALUE!</v>
      </c>
      <c r="FG339" t="e">
        <f>AND('STERLING CATALOG - FZN &amp; CHILL'!D2208,"AAAAAGbfs6I=")</f>
        <v>#VALUE!</v>
      </c>
      <c r="FH339" t="e">
        <f>AND('STERLING CATALOG - FZN &amp; CHILL'!E2208,"AAAAAGbfs6M=")</f>
        <v>#VALUE!</v>
      </c>
      <c r="FI339" t="e">
        <f>AND('STERLING CATALOG - FZN &amp; CHILL'!F2208,"AAAAAGbfs6Q=")</f>
        <v>#VALUE!</v>
      </c>
      <c r="FJ339" t="e">
        <f>AND('STERLING CATALOG - FZN &amp; CHILL'!G2208,"AAAAAGbfs6U=")</f>
        <v>#VALUE!</v>
      </c>
      <c r="FK339" t="e">
        <f>AND('STERLING CATALOG - FZN &amp; CHILL'!H2208,"AAAAAGbfs6Y=")</f>
        <v>#VALUE!</v>
      </c>
      <c r="FL339" t="e">
        <f>AND('STERLING CATALOG - FZN &amp; CHILL'!I2208,"AAAAAGbfs6c=")</f>
        <v>#VALUE!</v>
      </c>
      <c r="FM339" t="e">
        <f>AND('STERLING CATALOG - FZN &amp; CHILL'!J2208,"AAAAAGbfs6g=")</f>
        <v>#VALUE!</v>
      </c>
      <c r="FN339">
        <f>IF('STERLING CATALOG - FZN &amp; CHILL'!2209:2209,"AAAAAGbfs6k=",0)</f>
        <v>0</v>
      </c>
      <c r="FO339" t="e">
        <f>AND('STERLING CATALOG - FZN &amp; CHILL'!A2209,"AAAAAGbfs6o=")</f>
        <v>#VALUE!</v>
      </c>
      <c r="FP339" t="e">
        <f>AND('STERLING CATALOG - FZN &amp; CHILL'!B2209,"AAAAAGbfs6s=")</f>
        <v>#VALUE!</v>
      </c>
      <c r="FQ339" t="e">
        <f>AND('STERLING CATALOG - FZN &amp; CHILL'!C2209,"AAAAAGbfs6w=")</f>
        <v>#VALUE!</v>
      </c>
      <c r="FR339" t="e">
        <f>AND('STERLING CATALOG - FZN &amp; CHILL'!D2209,"AAAAAGbfs60=")</f>
        <v>#VALUE!</v>
      </c>
      <c r="FS339" t="e">
        <f>AND('STERLING CATALOG - FZN &amp; CHILL'!E2209,"AAAAAGbfs64=")</f>
        <v>#VALUE!</v>
      </c>
      <c r="FT339" t="e">
        <f>AND('STERLING CATALOG - FZN &amp; CHILL'!F2209,"AAAAAGbfs68=")</f>
        <v>#VALUE!</v>
      </c>
      <c r="FU339" t="e">
        <f>AND('STERLING CATALOG - FZN &amp; CHILL'!G2209,"AAAAAGbfs7A=")</f>
        <v>#VALUE!</v>
      </c>
      <c r="FV339" t="e">
        <f>AND('STERLING CATALOG - FZN &amp; CHILL'!H2209,"AAAAAGbfs7E=")</f>
        <v>#VALUE!</v>
      </c>
      <c r="FW339" t="e">
        <f>AND('STERLING CATALOG - FZN &amp; CHILL'!I2209,"AAAAAGbfs7I=")</f>
        <v>#VALUE!</v>
      </c>
      <c r="FX339" t="e">
        <f>AND('STERLING CATALOG - FZN &amp; CHILL'!J2209,"AAAAAGbfs7M=")</f>
        <v>#VALUE!</v>
      </c>
      <c r="FY339">
        <f>IF('STERLING CATALOG - FZN &amp; CHILL'!2210:2210,"AAAAAGbfs7Q=",0)</f>
        <v>0</v>
      </c>
      <c r="FZ339" t="e">
        <f>AND('STERLING CATALOG - FZN &amp; CHILL'!A2210,"AAAAAGbfs7U=")</f>
        <v>#VALUE!</v>
      </c>
      <c r="GA339" t="e">
        <f>AND('STERLING CATALOG - FZN &amp; CHILL'!B2210,"AAAAAGbfs7Y=")</f>
        <v>#VALUE!</v>
      </c>
      <c r="GB339" t="e">
        <f>AND('STERLING CATALOG - FZN &amp; CHILL'!C2210,"AAAAAGbfs7c=")</f>
        <v>#VALUE!</v>
      </c>
      <c r="GC339" t="e">
        <f>AND('STERLING CATALOG - FZN &amp; CHILL'!D2210,"AAAAAGbfs7g=")</f>
        <v>#VALUE!</v>
      </c>
      <c r="GD339" t="e">
        <f>AND('STERLING CATALOG - FZN &amp; CHILL'!E2210,"AAAAAGbfs7k=")</f>
        <v>#VALUE!</v>
      </c>
      <c r="GE339" t="e">
        <f>AND('STERLING CATALOG - FZN &amp; CHILL'!F2210,"AAAAAGbfs7o=")</f>
        <v>#VALUE!</v>
      </c>
      <c r="GF339" t="e">
        <f>AND('STERLING CATALOG - FZN &amp; CHILL'!G2210,"AAAAAGbfs7s=")</f>
        <v>#VALUE!</v>
      </c>
      <c r="GG339" t="e">
        <f>AND('STERLING CATALOG - FZN &amp; CHILL'!H2210,"AAAAAGbfs7w=")</f>
        <v>#VALUE!</v>
      </c>
      <c r="GH339" t="e">
        <f>AND('STERLING CATALOG - FZN &amp; CHILL'!I2210,"AAAAAGbfs70=")</f>
        <v>#VALUE!</v>
      </c>
      <c r="GI339" t="e">
        <f>AND('STERLING CATALOG - FZN &amp; CHILL'!J2210,"AAAAAGbfs74=")</f>
        <v>#VALUE!</v>
      </c>
      <c r="GJ339">
        <f>IF('STERLING CATALOG - FZN &amp; CHILL'!2211:2211,"AAAAAGbfs78=",0)</f>
        <v>0</v>
      </c>
      <c r="GK339" t="e">
        <f>AND('STERLING CATALOG - FZN &amp; CHILL'!A2211,"AAAAAGbfs8A=")</f>
        <v>#VALUE!</v>
      </c>
      <c r="GL339" t="e">
        <f>AND('STERLING CATALOG - FZN &amp; CHILL'!B2211,"AAAAAGbfs8E=")</f>
        <v>#VALUE!</v>
      </c>
      <c r="GM339" t="e">
        <f>AND('STERLING CATALOG - FZN &amp; CHILL'!C2211,"AAAAAGbfs8I=")</f>
        <v>#VALUE!</v>
      </c>
      <c r="GN339" t="e">
        <f>AND('STERLING CATALOG - FZN &amp; CHILL'!D2211,"AAAAAGbfs8M=")</f>
        <v>#VALUE!</v>
      </c>
      <c r="GO339" t="e">
        <f>AND('STERLING CATALOG - FZN &amp; CHILL'!E2211,"AAAAAGbfs8Q=")</f>
        <v>#VALUE!</v>
      </c>
      <c r="GP339" t="e">
        <f>AND('STERLING CATALOG - FZN &amp; CHILL'!F2211,"AAAAAGbfs8U=")</f>
        <v>#VALUE!</v>
      </c>
      <c r="GQ339" t="e">
        <f>AND('STERLING CATALOG - FZN &amp; CHILL'!G2211,"AAAAAGbfs8Y=")</f>
        <v>#VALUE!</v>
      </c>
      <c r="GR339" t="e">
        <f>AND('STERLING CATALOG - FZN &amp; CHILL'!H2211,"AAAAAGbfs8c=")</f>
        <v>#VALUE!</v>
      </c>
      <c r="GS339" t="e">
        <f>AND('STERLING CATALOG - FZN &amp; CHILL'!I2211,"AAAAAGbfs8g=")</f>
        <v>#VALUE!</v>
      </c>
      <c r="GT339" t="e">
        <f>AND('STERLING CATALOG - FZN &amp; CHILL'!J2211,"AAAAAGbfs8k=")</f>
        <v>#VALUE!</v>
      </c>
      <c r="GU339">
        <f>IF('STERLING CATALOG - FZN &amp; CHILL'!2212:2212,"AAAAAGbfs8o=",0)</f>
        <v>0</v>
      </c>
      <c r="GV339" t="e">
        <f>AND('STERLING CATALOG - FZN &amp; CHILL'!A2212,"AAAAAGbfs8s=")</f>
        <v>#VALUE!</v>
      </c>
      <c r="GW339" t="e">
        <f>AND('STERLING CATALOG - FZN &amp; CHILL'!B2212,"AAAAAGbfs8w=")</f>
        <v>#VALUE!</v>
      </c>
      <c r="GX339" t="e">
        <f>AND('STERLING CATALOG - FZN &amp; CHILL'!C2212,"AAAAAGbfs80=")</f>
        <v>#VALUE!</v>
      </c>
      <c r="GY339" t="e">
        <f>AND('STERLING CATALOG - FZN &amp; CHILL'!D2212,"AAAAAGbfs84=")</f>
        <v>#VALUE!</v>
      </c>
      <c r="GZ339" t="e">
        <f>AND('STERLING CATALOG - FZN &amp; CHILL'!E2212,"AAAAAGbfs88=")</f>
        <v>#VALUE!</v>
      </c>
      <c r="HA339" t="e">
        <f>AND('STERLING CATALOG - FZN &amp; CHILL'!F2212,"AAAAAGbfs9A=")</f>
        <v>#VALUE!</v>
      </c>
      <c r="HB339" t="e">
        <f>AND('STERLING CATALOG - FZN &amp; CHILL'!G2212,"AAAAAGbfs9E=")</f>
        <v>#VALUE!</v>
      </c>
      <c r="HC339" t="e">
        <f>AND('STERLING CATALOG - FZN &amp; CHILL'!H2212,"AAAAAGbfs9I=")</f>
        <v>#VALUE!</v>
      </c>
      <c r="HD339" t="e">
        <f>AND('STERLING CATALOG - FZN &amp; CHILL'!I2212,"AAAAAGbfs9M=")</f>
        <v>#VALUE!</v>
      </c>
      <c r="HE339" t="e">
        <f>AND('STERLING CATALOG - FZN &amp; CHILL'!J2212,"AAAAAGbfs9Q=")</f>
        <v>#VALUE!</v>
      </c>
      <c r="HF339">
        <f>IF('STERLING CATALOG - FZN &amp; CHILL'!2213:2213,"AAAAAGbfs9U=",0)</f>
        <v>0</v>
      </c>
      <c r="HG339" t="e">
        <f>AND('STERLING CATALOG - FZN &amp; CHILL'!A2213,"AAAAAGbfs9Y=")</f>
        <v>#VALUE!</v>
      </c>
      <c r="HH339" t="e">
        <f>AND('STERLING CATALOG - FZN &amp; CHILL'!B2213,"AAAAAGbfs9c=")</f>
        <v>#VALUE!</v>
      </c>
      <c r="HI339" t="e">
        <f>AND('STERLING CATALOG - FZN &amp; CHILL'!C2213,"AAAAAGbfs9g=")</f>
        <v>#VALUE!</v>
      </c>
      <c r="HJ339" t="e">
        <f>AND('STERLING CATALOG - FZN &amp; CHILL'!D2213,"AAAAAGbfs9k=")</f>
        <v>#VALUE!</v>
      </c>
      <c r="HK339" t="e">
        <f>AND('STERLING CATALOG - FZN &amp; CHILL'!E2213,"AAAAAGbfs9o=")</f>
        <v>#VALUE!</v>
      </c>
      <c r="HL339" t="e">
        <f>AND('STERLING CATALOG - FZN &amp; CHILL'!F2213,"AAAAAGbfs9s=")</f>
        <v>#VALUE!</v>
      </c>
      <c r="HM339" t="e">
        <f>AND('STERLING CATALOG - FZN &amp; CHILL'!G2213,"AAAAAGbfs9w=")</f>
        <v>#VALUE!</v>
      </c>
      <c r="HN339" t="e">
        <f>AND('STERLING CATALOG - FZN &amp; CHILL'!H2213,"AAAAAGbfs90=")</f>
        <v>#VALUE!</v>
      </c>
      <c r="HO339" t="e">
        <f>AND('STERLING CATALOG - FZN &amp; CHILL'!I2213,"AAAAAGbfs94=")</f>
        <v>#VALUE!</v>
      </c>
      <c r="HP339" t="e">
        <f>AND('STERLING CATALOG - FZN &amp; CHILL'!J2213,"AAAAAGbfs98=")</f>
        <v>#VALUE!</v>
      </c>
      <c r="HQ339">
        <f>IF('STERLING CATALOG - FZN &amp; CHILL'!2214:2214,"AAAAAGbfs+A=",0)</f>
        <v>0</v>
      </c>
      <c r="HR339" t="e">
        <f>AND('STERLING CATALOG - FZN &amp; CHILL'!A2214,"AAAAAGbfs+E=")</f>
        <v>#VALUE!</v>
      </c>
      <c r="HS339" t="e">
        <f>AND('STERLING CATALOG - FZN &amp; CHILL'!B2214,"AAAAAGbfs+I=")</f>
        <v>#VALUE!</v>
      </c>
      <c r="HT339" t="e">
        <f>AND('STERLING CATALOG - FZN &amp; CHILL'!C2214,"AAAAAGbfs+M=")</f>
        <v>#VALUE!</v>
      </c>
      <c r="HU339" t="e">
        <f>AND('STERLING CATALOG - FZN &amp; CHILL'!D2214,"AAAAAGbfs+Q=")</f>
        <v>#VALUE!</v>
      </c>
      <c r="HV339" t="e">
        <f>AND('STERLING CATALOG - FZN &amp; CHILL'!E2214,"AAAAAGbfs+U=")</f>
        <v>#VALUE!</v>
      </c>
      <c r="HW339" t="e">
        <f>AND('STERLING CATALOG - FZN &amp; CHILL'!F2214,"AAAAAGbfs+Y=")</f>
        <v>#VALUE!</v>
      </c>
      <c r="HX339" t="e">
        <f>AND('STERLING CATALOG - FZN &amp; CHILL'!G2214,"AAAAAGbfs+c=")</f>
        <v>#VALUE!</v>
      </c>
      <c r="HY339" t="e">
        <f>AND('STERLING CATALOG - FZN &amp; CHILL'!H2214,"AAAAAGbfs+g=")</f>
        <v>#VALUE!</v>
      </c>
      <c r="HZ339" t="e">
        <f>AND('STERLING CATALOG - FZN &amp; CHILL'!I2214,"AAAAAGbfs+k=")</f>
        <v>#VALUE!</v>
      </c>
      <c r="IA339" t="e">
        <f>AND('STERLING CATALOG - FZN &amp; CHILL'!J2214,"AAAAAGbfs+o=")</f>
        <v>#VALUE!</v>
      </c>
      <c r="IB339">
        <f>IF('STERLING CATALOG - FZN &amp; CHILL'!2215:2215,"AAAAAGbfs+s=",0)</f>
        <v>0</v>
      </c>
      <c r="IC339" t="e">
        <f>AND('STERLING CATALOG - FZN &amp; CHILL'!A2215,"AAAAAGbfs+w=")</f>
        <v>#VALUE!</v>
      </c>
      <c r="ID339" t="e">
        <f>AND('STERLING CATALOG - FZN &amp; CHILL'!B2215,"AAAAAGbfs+0=")</f>
        <v>#VALUE!</v>
      </c>
      <c r="IE339" t="e">
        <f>AND('STERLING CATALOG - FZN &amp; CHILL'!C2215,"AAAAAGbfs+4=")</f>
        <v>#VALUE!</v>
      </c>
      <c r="IF339" t="e">
        <f>AND('STERLING CATALOG - FZN &amp; CHILL'!D2215,"AAAAAGbfs+8=")</f>
        <v>#VALUE!</v>
      </c>
      <c r="IG339" t="e">
        <f>AND('STERLING CATALOG - FZN &amp; CHILL'!E2215,"AAAAAGbfs/A=")</f>
        <v>#VALUE!</v>
      </c>
      <c r="IH339" t="e">
        <f>AND('STERLING CATALOG - FZN &amp; CHILL'!F2215,"AAAAAGbfs/E=")</f>
        <v>#VALUE!</v>
      </c>
      <c r="II339" t="e">
        <f>AND('STERLING CATALOG - FZN &amp; CHILL'!G2215,"AAAAAGbfs/I=")</f>
        <v>#VALUE!</v>
      </c>
      <c r="IJ339" t="e">
        <f>AND('STERLING CATALOG - FZN &amp; CHILL'!H2215,"AAAAAGbfs/M=")</f>
        <v>#VALUE!</v>
      </c>
      <c r="IK339" t="e">
        <f>AND('STERLING CATALOG - FZN &amp; CHILL'!I2215,"AAAAAGbfs/Q=")</f>
        <v>#VALUE!</v>
      </c>
      <c r="IL339" t="e">
        <f>AND('STERLING CATALOG - FZN &amp; CHILL'!J2215,"AAAAAGbfs/U=")</f>
        <v>#VALUE!</v>
      </c>
      <c r="IM339">
        <f>IF('STERLING CATALOG - FZN &amp; CHILL'!2216:2216,"AAAAAGbfs/Y=",0)</f>
        <v>0</v>
      </c>
      <c r="IN339" t="e">
        <f>AND('STERLING CATALOG - FZN &amp; CHILL'!A2216,"AAAAAGbfs/c=")</f>
        <v>#VALUE!</v>
      </c>
      <c r="IO339" t="e">
        <f>AND('STERLING CATALOG - FZN &amp; CHILL'!B2216,"AAAAAGbfs/g=")</f>
        <v>#VALUE!</v>
      </c>
      <c r="IP339" t="e">
        <f>AND('STERLING CATALOG - FZN &amp; CHILL'!C2216,"AAAAAGbfs/k=")</f>
        <v>#VALUE!</v>
      </c>
      <c r="IQ339" t="e">
        <f>AND('STERLING CATALOG - FZN &amp; CHILL'!D2216,"AAAAAGbfs/o=")</f>
        <v>#VALUE!</v>
      </c>
      <c r="IR339" t="e">
        <f>AND('STERLING CATALOG - FZN &amp; CHILL'!E2216,"AAAAAGbfs/s=")</f>
        <v>#VALUE!</v>
      </c>
      <c r="IS339" t="e">
        <f>AND('STERLING CATALOG - FZN &amp; CHILL'!F2216,"AAAAAGbfs/w=")</f>
        <v>#VALUE!</v>
      </c>
      <c r="IT339" t="e">
        <f>AND('STERLING CATALOG - FZN &amp; CHILL'!G2216,"AAAAAGbfs/0=")</f>
        <v>#VALUE!</v>
      </c>
      <c r="IU339" t="e">
        <f>AND('STERLING CATALOG - FZN &amp; CHILL'!H2216,"AAAAAGbfs/4=")</f>
        <v>#VALUE!</v>
      </c>
      <c r="IV339" t="e">
        <f>AND('STERLING CATALOG - FZN &amp; CHILL'!I2216,"AAAAAGbfs/8=")</f>
        <v>#VALUE!</v>
      </c>
    </row>
    <row r="340" spans="1:256">
      <c r="A340" t="e">
        <f>AND('STERLING CATALOG - FZN &amp; CHILL'!J2216,"AAAAAD+v3gA=")</f>
        <v>#VALUE!</v>
      </c>
      <c r="B340" t="e">
        <f>IF('STERLING CATALOG - FZN &amp; CHILL'!2217:2217,"AAAAAD+v3gE=",0)</f>
        <v>#VALUE!</v>
      </c>
      <c r="C340" t="e">
        <f>AND('STERLING CATALOG - FZN &amp; CHILL'!A2217,"AAAAAD+v3gI=")</f>
        <v>#VALUE!</v>
      </c>
      <c r="D340" t="e">
        <f>AND('STERLING CATALOG - FZN &amp; CHILL'!B2217,"AAAAAD+v3gM=")</f>
        <v>#VALUE!</v>
      </c>
      <c r="E340" t="e">
        <f>AND('STERLING CATALOG - FZN &amp; CHILL'!C2217,"AAAAAD+v3gQ=")</f>
        <v>#VALUE!</v>
      </c>
      <c r="F340" t="e">
        <f>AND('STERLING CATALOG - FZN &amp; CHILL'!D2217,"AAAAAD+v3gU=")</f>
        <v>#VALUE!</v>
      </c>
      <c r="G340" t="e">
        <f>AND('STERLING CATALOG - FZN &amp; CHILL'!E2217,"AAAAAD+v3gY=")</f>
        <v>#VALUE!</v>
      </c>
      <c r="H340" t="e">
        <f>AND('STERLING CATALOG - FZN &amp; CHILL'!F2217,"AAAAAD+v3gc=")</f>
        <v>#VALUE!</v>
      </c>
      <c r="I340" t="e">
        <f>AND('STERLING CATALOG - FZN &amp; CHILL'!G2217,"AAAAAD+v3gg=")</f>
        <v>#VALUE!</v>
      </c>
      <c r="J340" t="e">
        <f>AND('STERLING CATALOG - FZN &amp; CHILL'!H2217,"AAAAAD+v3gk=")</f>
        <v>#VALUE!</v>
      </c>
      <c r="K340" t="e">
        <f>AND('STERLING CATALOG - FZN &amp; CHILL'!I2217,"AAAAAD+v3go=")</f>
        <v>#VALUE!</v>
      </c>
      <c r="L340" t="e">
        <f>AND('STERLING CATALOG - FZN &amp; CHILL'!J2217,"AAAAAD+v3gs=")</f>
        <v>#VALUE!</v>
      </c>
      <c r="M340">
        <f>IF('STERLING CATALOG - FZN &amp; CHILL'!2218:2218,"AAAAAD+v3gw=",0)</f>
        <v>0</v>
      </c>
      <c r="N340" t="e">
        <f>AND('STERLING CATALOG - FZN &amp; CHILL'!A2218,"AAAAAD+v3g0=")</f>
        <v>#VALUE!</v>
      </c>
      <c r="O340" t="e">
        <f>AND('STERLING CATALOG - FZN &amp; CHILL'!B2218,"AAAAAD+v3g4=")</f>
        <v>#VALUE!</v>
      </c>
      <c r="P340" t="e">
        <f>AND('STERLING CATALOG - FZN &amp; CHILL'!C2218,"AAAAAD+v3g8=")</f>
        <v>#VALUE!</v>
      </c>
      <c r="Q340" t="e">
        <f>AND('STERLING CATALOG - FZN &amp; CHILL'!D2218,"AAAAAD+v3hA=")</f>
        <v>#VALUE!</v>
      </c>
      <c r="R340" t="e">
        <f>AND('STERLING CATALOG - FZN &amp; CHILL'!E2218,"AAAAAD+v3hE=")</f>
        <v>#VALUE!</v>
      </c>
      <c r="S340" t="e">
        <f>AND('STERLING CATALOG - FZN &amp; CHILL'!F2218,"AAAAAD+v3hI=")</f>
        <v>#VALUE!</v>
      </c>
      <c r="T340" t="e">
        <f>AND('STERLING CATALOG - FZN &amp; CHILL'!G2218,"AAAAAD+v3hM=")</f>
        <v>#VALUE!</v>
      </c>
      <c r="U340" t="e">
        <f>AND('STERLING CATALOG - FZN &amp; CHILL'!H2218,"AAAAAD+v3hQ=")</f>
        <v>#VALUE!</v>
      </c>
      <c r="V340" t="e">
        <f>AND('STERLING CATALOG - FZN &amp; CHILL'!I2218,"AAAAAD+v3hU=")</f>
        <v>#VALUE!</v>
      </c>
      <c r="W340" t="e">
        <f>AND('STERLING CATALOG - FZN &amp; CHILL'!J2218,"AAAAAD+v3hY=")</f>
        <v>#VALUE!</v>
      </c>
      <c r="X340">
        <f>IF('STERLING CATALOG - FZN &amp; CHILL'!2219:2219,"AAAAAD+v3hc=",0)</f>
        <v>0</v>
      </c>
      <c r="Y340" t="e">
        <f>AND('STERLING CATALOG - FZN &amp; CHILL'!A2219,"AAAAAD+v3hg=")</f>
        <v>#VALUE!</v>
      </c>
      <c r="Z340" t="e">
        <f>AND('STERLING CATALOG - FZN &amp; CHILL'!B2219,"AAAAAD+v3hk=")</f>
        <v>#VALUE!</v>
      </c>
      <c r="AA340" t="e">
        <f>AND('STERLING CATALOG - FZN &amp; CHILL'!C2219,"AAAAAD+v3ho=")</f>
        <v>#VALUE!</v>
      </c>
      <c r="AB340" t="e">
        <f>AND('STERLING CATALOG - FZN &amp; CHILL'!D2219,"AAAAAD+v3hs=")</f>
        <v>#VALUE!</v>
      </c>
      <c r="AC340" t="e">
        <f>AND('STERLING CATALOG - FZN &amp; CHILL'!E2219,"AAAAAD+v3hw=")</f>
        <v>#VALUE!</v>
      </c>
      <c r="AD340" t="e">
        <f>AND('STERLING CATALOG - FZN &amp; CHILL'!F2219,"AAAAAD+v3h0=")</f>
        <v>#VALUE!</v>
      </c>
      <c r="AE340" t="e">
        <f>AND('STERLING CATALOG - FZN &amp; CHILL'!G2219,"AAAAAD+v3h4=")</f>
        <v>#VALUE!</v>
      </c>
      <c r="AF340" t="e">
        <f>AND('STERLING CATALOG - FZN &amp; CHILL'!H2219,"AAAAAD+v3h8=")</f>
        <v>#VALUE!</v>
      </c>
      <c r="AG340" t="e">
        <f>AND('STERLING CATALOG - FZN &amp; CHILL'!I2219,"AAAAAD+v3iA=")</f>
        <v>#VALUE!</v>
      </c>
      <c r="AH340" t="e">
        <f>AND('STERLING CATALOG - FZN &amp; CHILL'!J2219,"AAAAAD+v3iE=")</f>
        <v>#VALUE!</v>
      </c>
      <c r="AI340">
        <f>IF('STERLING CATALOG - FZN &amp; CHILL'!2220:2220,"AAAAAD+v3iI=",0)</f>
        <v>0</v>
      </c>
      <c r="AJ340" t="e">
        <f>AND('STERLING CATALOG - FZN &amp; CHILL'!A2220,"AAAAAD+v3iM=")</f>
        <v>#VALUE!</v>
      </c>
      <c r="AK340" t="e">
        <f>AND('STERLING CATALOG - FZN &amp; CHILL'!B2220,"AAAAAD+v3iQ=")</f>
        <v>#VALUE!</v>
      </c>
      <c r="AL340" t="e">
        <f>AND('STERLING CATALOG - FZN &amp; CHILL'!C2220,"AAAAAD+v3iU=")</f>
        <v>#VALUE!</v>
      </c>
      <c r="AM340" t="e">
        <f>AND('STERLING CATALOG - FZN &amp; CHILL'!D2220,"AAAAAD+v3iY=")</f>
        <v>#VALUE!</v>
      </c>
      <c r="AN340" t="e">
        <f>AND('STERLING CATALOG - FZN &amp; CHILL'!E2220,"AAAAAD+v3ic=")</f>
        <v>#VALUE!</v>
      </c>
      <c r="AO340" t="e">
        <f>AND('STERLING CATALOG - FZN &amp; CHILL'!F2220,"AAAAAD+v3ig=")</f>
        <v>#VALUE!</v>
      </c>
      <c r="AP340" t="e">
        <f>AND('STERLING CATALOG - FZN &amp; CHILL'!G2220,"AAAAAD+v3ik=")</f>
        <v>#VALUE!</v>
      </c>
      <c r="AQ340" t="e">
        <f>AND('STERLING CATALOG - FZN &amp; CHILL'!H2220,"AAAAAD+v3io=")</f>
        <v>#VALUE!</v>
      </c>
      <c r="AR340" t="e">
        <f>AND('STERLING CATALOG - FZN &amp; CHILL'!I2220,"AAAAAD+v3is=")</f>
        <v>#VALUE!</v>
      </c>
      <c r="AS340" t="e">
        <f>AND('STERLING CATALOG - FZN &amp; CHILL'!J2220,"AAAAAD+v3iw=")</f>
        <v>#VALUE!</v>
      </c>
      <c r="AT340">
        <f>IF('STERLING CATALOG - FZN &amp; CHILL'!2221:2221,"AAAAAD+v3i0=",0)</f>
        <v>0</v>
      </c>
      <c r="AU340" t="e">
        <f>AND('STERLING CATALOG - FZN &amp; CHILL'!A2221,"AAAAAD+v3i4=")</f>
        <v>#VALUE!</v>
      </c>
      <c r="AV340" t="e">
        <f>AND('STERLING CATALOG - FZN &amp; CHILL'!B2221,"AAAAAD+v3i8=")</f>
        <v>#VALUE!</v>
      </c>
      <c r="AW340" t="e">
        <f>AND('STERLING CATALOG - FZN &amp; CHILL'!C2221,"AAAAAD+v3jA=")</f>
        <v>#VALUE!</v>
      </c>
      <c r="AX340" t="e">
        <f>AND('STERLING CATALOG - FZN &amp; CHILL'!D2221,"AAAAAD+v3jE=")</f>
        <v>#VALUE!</v>
      </c>
      <c r="AY340" t="e">
        <f>AND('STERLING CATALOG - FZN &amp; CHILL'!E2221,"AAAAAD+v3jI=")</f>
        <v>#VALUE!</v>
      </c>
      <c r="AZ340" t="e">
        <f>AND('STERLING CATALOG - FZN &amp; CHILL'!F2221,"AAAAAD+v3jM=")</f>
        <v>#VALUE!</v>
      </c>
      <c r="BA340" t="e">
        <f>AND('STERLING CATALOG - FZN &amp; CHILL'!G2221,"AAAAAD+v3jQ=")</f>
        <v>#VALUE!</v>
      </c>
      <c r="BB340" t="e">
        <f>AND('STERLING CATALOG - FZN &amp; CHILL'!H2221,"AAAAAD+v3jU=")</f>
        <v>#VALUE!</v>
      </c>
      <c r="BC340" t="e">
        <f>AND('STERLING CATALOG - FZN &amp; CHILL'!I2221,"AAAAAD+v3jY=")</f>
        <v>#VALUE!</v>
      </c>
      <c r="BD340" t="e">
        <f>AND('STERLING CATALOG - FZN &amp; CHILL'!J2221,"AAAAAD+v3jc=")</f>
        <v>#VALUE!</v>
      </c>
      <c r="BE340">
        <f>IF('STERLING CATALOG - FZN &amp; CHILL'!2222:2222,"AAAAAD+v3jg=",0)</f>
        <v>0</v>
      </c>
      <c r="BF340" t="e">
        <f>AND('STERLING CATALOG - FZN &amp; CHILL'!A2222,"AAAAAD+v3jk=")</f>
        <v>#VALUE!</v>
      </c>
      <c r="BG340" t="e">
        <f>AND('STERLING CATALOG - FZN &amp; CHILL'!B2222,"AAAAAD+v3jo=")</f>
        <v>#VALUE!</v>
      </c>
      <c r="BH340" t="e">
        <f>AND('STERLING CATALOG - FZN &amp; CHILL'!C2222,"AAAAAD+v3js=")</f>
        <v>#VALUE!</v>
      </c>
      <c r="BI340" t="e">
        <f>AND('STERLING CATALOG - FZN &amp; CHILL'!D2222,"AAAAAD+v3jw=")</f>
        <v>#VALUE!</v>
      </c>
      <c r="BJ340" t="e">
        <f>AND('STERLING CATALOG - FZN &amp; CHILL'!E2222,"AAAAAD+v3j0=")</f>
        <v>#VALUE!</v>
      </c>
      <c r="BK340" t="e">
        <f>AND('STERLING CATALOG - FZN &amp; CHILL'!F2222,"AAAAAD+v3j4=")</f>
        <v>#VALUE!</v>
      </c>
      <c r="BL340" t="e">
        <f>AND('STERLING CATALOG - FZN &amp; CHILL'!G2222,"AAAAAD+v3j8=")</f>
        <v>#VALUE!</v>
      </c>
      <c r="BM340" t="e">
        <f>AND('STERLING CATALOG - FZN &amp; CHILL'!H2222,"AAAAAD+v3kA=")</f>
        <v>#VALUE!</v>
      </c>
      <c r="BN340" t="e">
        <f>AND('STERLING CATALOG - FZN &amp; CHILL'!I2222,"AAAAAD+v3kE=")</f>
        <v>#VALUE!</v>
      </c>
      <c r="BO340" t="e">
        <f>AND('STERLING CATALOG - FZN &amp; CHILL'!J2222,"AAAAAD+v3kI=")</f>
        <v>#VALUE!</v>
      </c>
      <c r="BP340">
        <f>IF('STERLING CATALOG - FZN &amp; CHILL'!2223:2223,"AAAAAD+v3kM=",0)</f>
        <v>0</v>
      </c>
      <c r="BQ340" t="e">
        <f>AND('STERLING CATALOG - FZN &amp; CHILL'!A2223,"AAAAAD+v3kQ=")</f>
        <v>#VALUE!</v>
      </c>
      <c r="BR340" t="e">
        <f>AND('STERLING CATALOG - FZN &amp; CHILL'!B2223,"AAAAAD+v3kU=")</f>
        <v>#VALUE!</v>
      </c>
      <c r="BS340" t="e">
        <f>AND('STERLING CATALOG - FZN &amp; CHILL'!C2223,"AAAAAD+v3kY=")</f>
        <v>#VALUE!</v>
      </c>
      <c r="BT340" t="e">
        <f>AND('STERLING CATALOG - FZN &amp; CHILL'!D2223,"AAAAAD+v3kc=")</f>
        <v>#VALUE!</v>
      </c>
      <c r="BU340" t="e">
        <f>AND('STERLING CATALOG - FZN &amp; CHILL'!E2223,"AAAAAD+v3kg=")</f>
        <v>#VALUE!</v>
      </c>
      <c r="BV340" t="e">
        <f>AND('STERLING CATALOG - FZN &amp; CHILL'!F2223,"AAAAAD+v3kk=")</f>
        <v>#VALUE!</v>
      </c>
      <c r="BW340" t="e">
        <f>AND('STERLING CATALOG - FZN &amp; CHILL'!G2223,"AAAAAD+v3ko=")</f>
        <v>#VALUE!</v>
      </c>
      <c r="BX340" t="e">
        <f>AND('STERLING CATALOG - FZN &amp; CHILL'!H2223,"AAAAAD+v3ks=")</f>
        <v>#VALUE!</v>
      </c>
      <c r="BY340" t="e">
        <f>AND('STERLING CATALOG - FZN &amp; CHILL'!I2223,"AAAAAD+v3kw=")</f>
        <v>#VALUE!</v>
      </c>
      <c r="BZ340" t="e">
        <f>AND('STERLING CATALOG - FZN &amp; CHILL'!J2223,"AAAAAD+v3k0=")</f>
        <v>#VALUE!</v>
      </c>
      <c r="CA340">
        <f>IF('STERLING CATALOG - FZN &amp; CHILL'!2224:2224,"AAAAAD+v3k4=",0)</f>
        <v>0</v>
      </c>
      <c r="CB340" t="e">
        <f>AND('STERLING CATALOG - FZN &amp; CHILL'!A2224,"AAAAAD+v3k8=")</f>
        <v>#VALUE!</v>
      </c>
      <c r="CC340" t="e">
        <f>AND('STERLING CATALOG - FZN &amp; CHILL'!B2224,"AAAAAD+v3lA=")</f>
        <v>#VALUE!</v>
      </c>
      <c r="CD340" t="e">
        <f>AND('STERLING CATALOG - FZN &amp; CHILL'!C2224,"AAAAAD+v3lE=")</f>
        <v>#VALUE!</v>
      </c>
      <c r="CE340" t="e">
        <f>AND('STERLING CATALOG - FZN &amp; CHILL'!D2224,"AAAAAD+v3lI=")</f>
        <v>#VALUE!</v>
      </c>
      <c r="CF340" t="e">
        <f>AND('STERLING CATALOG - FZN &amp; CHILL'!E2224,"AAAAAD+v3lM=")</f>
        <v>#VALUE!</v>
      </c>
      <c r="CG340" t="e">
        <f>AND('STERLING CATALOG - FZN &amp; CHILL'!F2224,"AAAAAD+v3lQ=")</f>
        <v>#VALUE!</v>
      </c>
      <c r="CH340" t="e">
        <f>AND('STERLING CATALOG - FZN &amp; CHILL'!G2224,"AAAAAD+v3lU=")</f>
        <v>#VALUE!</v>
      </c>
      <c r="CI340" t="e">
        <f>AND('STERLING CATALOG - FZN &amp; CHILL'!H2224,"AAAAAD+v3lY=")</f>
        <v>#VALUE!</v>
      </c>
      <c r="CJ340" t="e">
        <f>AND('STERLING CATALOG - FZN &amp; CHILL'!I2224,"AAAAAD+v3lc=")</f>
        <v>#VALUE!</v>
      </c>
      <c r="CK340" t="e">
        <f>AND('STERLING CATALOG - FZN &amp; CHILL'!J2224,"AAAAAD+v3lg=")</f>
        <v>#VALUE!</v>
      </c>
      <c r="CL340">
        <f>IF('STERLING CATALOG - FZN &amp; CHILL'!2225:2225,"AAAAAD+v3lk=",0)</f>
        <v>0</v>
      </c>
      <c r="CM340" t="e">
        <f>AND('STERLING CATALOG - FZN &amp; CHILL'!A2225,"AAAAAD+v3lo=")</f>
        <v>#VALUE!</v>
      </c>
      <c r="CN340" t="e">
        <f>AND('STERLING CATALOG - FZN &amp; CHILL'!B2225,"AAAAAD+v3ls=")</f>
        <v>#VALUE!</v>
      </c>
      <c r="CO340" t="e">
        <f>AND('STERLING CATALOG - FZN &amp; CHILL'!C2225,"AAAAAD+v3lw=")</f>
        <v>#VALUE!</v>
      </c>
      <c r="CP340" t="e">
        <f>AND('STERLING CATALOG - FZN &amp; CHILL'!D2225,"AAAAAD+v3l0=")</f>
        <v>#VALUE!</v>
      </c>
      <c r="CQ340" t="e">
        <f>AND('STERLING CATALOG - FZN &amp; CHILL'!E2225,"AAAAAD+v3l4=")</f>
        <v>#VALUE!</v>
      </c>
      <c r="CR340" t="e">
        <f>AND('STERLING CATALOG - FZN &amp; CHILL'!F2225,"AAAAAD+v3l8=")</f>
        <v>#VALUE!</v>
      </c>
      <c r="CS340" t="e">
        <f>AND('STERLING CATALOG - FZN &amp; CHILL'!G2225,"AAAAAD+v3mA=")</f>
        <v>#VALUE!</v>
      </c>
      <c r="CT340" t="e">
        <f>AND('STERLING CATALOG - FZN &amp; CHILL'!H2225,"AAAAAD+v3mE=")</f>
        <v>#VALUE!</v>
      </c>
      <c r="CU340" t="e">
        <f>AND('STERLING CATALOG - FZN &amp; CHILL'!I2225,"AAAAAD+v3mI=")</f>
        <v>#VALUE!</v>
      </c>
      <c r="CV340" t="e">
        <f>AND('STERLING CATALOG - FZN &amp; CHILL'!J2225,"AAAAAD+v3mM=")</f>
        <v>#VALUE!</v>
      </c>
      <c r="CW340">
        <f>IF('STERLING CATALOG - FZN &amp; CHILL'!2226:2226,"AAAAAD+v3mQ=",0)</f>
        <v>0</v>
      </c>
      <c r="CX340" t="e">
        <f>AND('STERLING CATALOG - FZN &amp; CHILL'!A2226,"AAAAAD+v3mU=")</f>
        <v>#VALUE!</v>
      </c>
      <c r="CY340" t="e">
        <f>AND('STERLING CATALOG - FZN &amp; CHILL'!B2226,"AAAAAD+v3mY=")</f>
        <v>#VALUE!</v>
      </c>
      <c r="CZ340" t="e">
        <f>AND('STERLING CATALOG - FZN &amp; CHILL'!C2226,"AAAAAD+v3mc=")</f>
        <v>#VALUE!</v>
      </c>
      <c r="DA340" t="e">
        <f>AND('STERLING CATALOG - FZN &amp; CHILL'!D2226,"AAAAAD+v3mg=")</f>
        <v>#VALUE!</v>
      </c>
      <c r="DB340" t="e">
        <f>AND('STERLING CATALOG - FZN &amp; CHILL'!E2226,"AAAAAD+v3mk=")</f>
        <v>#VALUE!</v>
      </c>
      <c r="DC340" t="e">
        <f>AND('STERLING CATALOG - FZN &amp; CHILL'!F2226,"AAAAAD+v3mo=")</f>
        <v>#VALUE!</v>
      </c>
      <c r="DD340" t="e">
        <f>AND('STERLING CATALOG - FZN &amp; CHILL'!G2226,"AAAAAD+v3ms=")</f>
        <v>#VALUE!</v>
      </c>
      <c r="DE340" t="e">
        <f>AND('STERLING CATALOG - FZN &amp; CHILL'!H2226,"AAAAAD+v3mw=")</f>
        <v>#VALUE!</v>
      </c>
      <c r="DF340" t="e">
        <f>AND('STERLING CATALOG - FZN &amp; CHILL'!I2226,"AAAAAD+v3m0=")</f>
        <v>#VALUE!</v>
      </c>
      <c r="DG340" t="e">
        <f>AND('STERLING CATALOG - FZN &amp; CHILL'!J2226,"AAAAAD+v3m4=")</f>
        <v>#VALUE!</v>
      </c>
      <c r="DH340">
        <f>IF('STERLING CATALOG - FZN &amp; CHILL'!2227:2227,"AAAAAD+v3m8=",0)</f>
        <v>0</v>
      </c>
      <c r="DI340" t="e">
        <f>AND('STERLING CATALOG - FZN &amp; CHILL'!A2227,"AAAAAD+v3nA=")</f>
        <v>#VALUE!</v>
      </c>
      <c r="DJ340" t="e">
        <f>AND('STERLING CATALOG - FZN &amp; CHILL'!B2227,"AAAAAD+v3nE=")</f>
        <v>#VALUE!</v>
      </c>
      <c r="DK340" t="e">
        <f>AND('STERLING CATALOG - FZN &amp; CHILL'!C2227,"AAAAAD+v3nI=")</f>
        <v>#VALUE!</v>
      </c>
      <c r="DL340" t="e">
        <f>AND('STERLING CATALOG - FZN &amp; CHILL'!D2227,"AAAAAD+v3nM=")</f>
        <v>#VALUE!</v>
      </c>
      <c r="DM340" t="e">
        <f>AND('STERLING CATALOG - FZN &amp; CHILL'!E2227,"AAAAAD+v3nQ=")</f>
        <v>#VALUE!</v>
      </c>
      <c r="DN340" t="e">
        <f>AND('STERLING CATALOG - FZN &amp; CHILL'!F2227,"AAAAAD+v3nU=")</f>
        <v>#VALUE!</v>
      </c>
      <c r="DO340" t="e">
        <f>AND('STERLING CATALOG - FZN &amp; CHILL'!G2227,"AAAAAD+v3nY=")</f>
        <v>#VALUE!</v>
      </c>
      <c r="DP340" t="e">
        <f>AND('STERLING CATALOG - FZN &amp; CHILL'!H2227,"AAAAAD+v3nc=")</f>
        <v>#VALUE!</v>
      </c>
      <c r="DQ340" t="e">
        <f>AND('STERLING CATALOG - FZN &amp; CHILL'!I2227,"AAAAAD+v3ng=")</f>
        <v>#VALUE!</v>
      </c>
      <c r="DR340" t="e">
        <f>AND('STERLING CATALOG - FZN &amp; CHILL'!J2227,"AAAAAD+v3nk=")</f>
        <v>#VALUE!</v>
      </c>
      <c r="DS340">
        <f>IF('STERLING CATALOG - FZN &amp; CHILL'!2228:2228,"AAAAAD+v3no=",0)</f>
        <v>0</v>
      </c>
      <c r="DT340" t="e">
        <f>AND('STERLING CATALOG - FZN &amp; CHILL'!A2228,"AAAAAD+v3ns=")</f>
        <v>#VALUE!</v>
      </c>
      <c r="DU340" t="e">
        <f>AND('STERLING CATALOG - FZN &amp; CHILL'!B2228,"AAAAAD+v3nw=")</f>
        <v>#VALUE!</v>
      </c>
      <c r="DV340" t="e">
        <f>AND('STERLING CATALOG - FZN &amp; CHILL'!C2228,"AAAAAD+v3n0=")</f>
        <v>#VALUE!</v>
      </c>
      <c r="DW340" t="e">
        <f>AND('STERLING CATALOG - FZN &amp; CHILL'!D2228,"AAAAAD+v3n4=")</f>
        <v>#VALUE!</v>
      </c>
      <c r="DX340" t="e">
        <f>AND('STERLING CATALOG - FZN &amp; CHILL'!E2228,"AAAAAD+v3n8=")</f>
        <v>#VALUE!</v>
      </c>
      <c r="DY340" t="e">
        <f>AND('STERLING CATALOG - FZN &amp; CHILL'!F2228,"AAAAAD+v3oA=")</f>
        <v>#VALUE!</v>
      </c>
      <c r="DZ340" t="e">
        <f>AND('STERLING CATALOG - FZN &amp; CHILL'!G2228,"AAAAAD+v3oE=")</f>
        <v>#VALUE!</v>
      </c>
      <c r="EA340" t="e">
        <f>AND('STERLING CATALOG - FZN &amp; CHILL'!H2228,"AAAAAD+v3oI=")</f>
        <v>#VALUE!</v>
      </c>
      <c r="EB340" t="e">
        <f>AND('STERLING CATALOG - FZN &amp; CHILL'!I2228,"AAAAAD+v3oM=")</f>
        <v>#VALUE!</v>
      </c>
      <c r="EC340" t="e">
        <f>AND('STERLING CATALOG - FZN &amp; CHILL'!J2228,"AAAAAD+v3oQ=")</f>
        <v>#VALUE!</v>
      </c>
      <c r="ED340">
        <f>IF('STERLING CATALOG - FZN &amp; CHILL'!2229:2229,"AAAAAD+v3oU=",0)</f>
        <v>0</v>
      </c>
      <c r="EE340" t="e">
        <f>AND('STERLING CATALOG - FZN &amp; CHILL'!A2229,"AAAAAD+v3oY=")</f>
        <v>#VALUE!</v>
      </c>
      <c r="EF340" t="e">
        <f>AND('STERLING CATALOG - FZN &amp; CHILL'!B2229,"AAAAAD+v3oc=")</f>
        <v>#VALUE!</v>
      </c>
      <c r="EG340" t="e">
        <f>AND('STERLING CATALOG - FZN &amp; CHILL'!C2229,"AAAAAD+v3og=")</f>
        <v>#VALUE!</v>
      </c>
      <c r="EH340" t="e">
        <f>AND('STERLING CATALOG - FZN &amp; CHILL'!D2229,"AAAAAD+v3ok=")</f>
        <v>#VALUE!</v>
      </c>
      <c r="EI340" t="e">
        <f>AND('STERLING CATALOG - FZN &amp; CHILL'!E2229,"AAAAAD+v3oo=")</f>
        <v>#VALUE!</v>
      </c>
      <c r="EJ340" t="e">
        <f>AND('STERLING CATALOG - FZN &amp; CHILL'!F2229,"AAAAAD+v3os=")</f>
        <v>#VALUE!</v>
      </c>
      <c r="EK340" t="e">
        <f>AND('STERLING CATALOG - FZN &amp; CHILL'!G2229,"AAAAAD+v3ow=")</f>
        <v>#VALUE!</v>
      </c>
      <c r="EL340" t="e">
        <f>AND('STERLING CATALOG - FZN &amp; CHILL'!H2229,"AAAAAD+v3o0=")</f>
        <v>#VALUE!</v>
      </c>
      <c r="EM340" t="e">
        <f>AND('STERLING CATALOG - FZN &amp; CHILL'!I2229,"AAAAAD+v3o4=")</f>
        <v>#VALUE!</v>
      </c>
      <c r="EN340" t="e">
        <f>AND('STERLING CATALOG - FZN &amp; CHILL'!J2229,"AAAAAD+v3o8=")</f>
        <v>#VALUE!</v>
      </c>
      <c r="EO340">
        <f>IF('STERLING CATALOG - FZN &amp; CHILL'!2230:2230,"AAAAAD+v3pA=",0)</f>
        <v>0</v>
      </c>
      <c r="EP340" t="e">
        <f>AND('STERLING CATALOG - FZN &amp; CHILL'!A2230,"AAAAAD+v3pE=")</f>
        <v>#VALUE!</v>
      </c>
      <c r="EQ340" t="e">
        <f>AND('STERLING CATALOG - FZN &amp; CHILL'!B2230,"AAAAAD+v3pI=")</f>
        <v>#VALUE!</v>
      </c>
      <c r="ER340" t="e">
        <f>AND('STERLING CATALOG - FZN &amp; CHILL'!C2230,"AAAAAD+v3pM=")</f>
        <v>#VALUE!</v>
      </c>
      <c r="ES340" t="e">
        <f>AND('STERLING CATALOG - FZN &amp; CHILL'!D2230,"AAAAAD+v3pQ=")</f>
        <v>#VALUE!</v>
      </c>
      <c r="ET340" t="e">
        <f>AND('STERLING CATALOG - FZN &amp; CHILL'!E2230,"AAAAAD+v3pU=")</f>
        <v>#VALUE!</v>
      </c>
      <c r="EU340" t="e">
        <f>AND('STERLING CATALOG - FZN &amp; CHILL'!F2230,"AAAAAD+v3pY=")</f>
        <v>#VALUE!</v>
      </c>
      <c r="EV340" t="e">
        <f>AND('STERLING CATALOG - FZN &amp; CHILL'!G2230,"AAAAAD+v3pc=")</f>
        <v>#VALUE!</v>
      </c>
      <c r="EW340" t="e">
        <f>AND('STERLING CATALOG - FZN &amp; CHILL'!H2230,"AAAAAD+v3pg=")</f>
        <v>#VALUE!</v>
      </c>
      <c r="EX340" t="e">
        <f>AND('STERLING CATALOG - FZN &amp; CHILL'!I2230,"AAAAAD+v3pk=")</f>
        <v>#VALUE!</v>
      </c>
      <c r="EY340" t="e">
        <f>AND('STERLING CATALOG - FZN &amp; CHILL'!J2230,"AAAAAD+v3po=")</f>
        <v>#VALUE!</v>
      </c>
      <c r="EZ340">
        <f>IF('STERLING CATALOG - FZN &amp; CHILL'!2231:2231,"AAAAAD+v3ps=",0)</f>
        <v>0</v>
      </c>
      <c r="FA340" t="e">
        <f>AND('STERLING CATALOG - FZN &amp; CHILL'!A2231,"AAAAAD+v3pw=")</f>
        <v>#VALUE!</v>
      </c>
      <c r="FB340" t="e">
        <f>AND('STERLING CATALOG - FZN &amp; CHILL'!B2231,"AAAAAD+v3p0=")</f>
        <v>#VALUE!</v>
      </c>
      <c r="FC340" t="e">
        <f>AND('STERLING CATALOG - FZN &amp; CHILL'!C2231,"AAAAAD+v3p4=")</f>
        <v>#VALUE!</v>
      </c>
      <c r="FD340" t="e">
        <f>AND('STERLING CATALOG - FZN &amp; CHILL'!D2231,"AAAAAD+v3p8=")</f>
        <v>#VALUE!</v>
      </c>
      <c r="FE340" t="e">
        <f>AND('STERLING CATALOG - FZN &amp; CHILL'!E2231,"AAAAAD+v3qA=")</f>
        <v>#VALUE!</v>
      </c>
      <c r="FF340" t="e">
        <f>AND('STERLING CATALOG - FZN &amp; CHILL'!F2231,"AAAAAD+v3qE=")</f>
        <v>#VALUE!</v>
      </c>
      <c r="FG340" t="e">
        <f>AND('STERLING CATALOG - FZN &amp; CHILL'!G2231,"AAAAAD+v3qI=")</f>
        <v>#VALUE!</v>
      </c>
      <c r="FH340" t="e">
        <f>AND('STERLING CATALOG - FZN &amp; CHILL'!H2231,"AAAAAD+v3qM=")</f>
        <v>#VALUE!</v>
      </c>
      <c r="FI340" t="e">
        <f>AND('STERLING CATALOG - FZN &amp; CHILL'!I2231,"AAAAAD+v3qQ=")</f>
        <v>#VALUE!</v>
      </c>
      <c r="FJ340" t="e">
        <f>AND('STERLING CATALOG - FZN &amp; CHILL'!J2231,"AAAAAD+v3qU=")</f>
        <v>#VALUE!</v>
      </c>
      <c r="FK340">
        <f>IF('STERLING CATALOG - FZN &amp; CHILL'!2232:2232,"AAAAAD+v3qY=",0)</f>
        <v>0</v>
      </c>
      <c r="FL340" t="e">
        <f>AND('STERLING CATALOG - FZN &amp; CHILL'!A2232,"AAAAAD+v3qc=")</f>
        <v>#VALUE!</v>
      </c>
      <c r="FM340" t="e">
        <f>AND('STERLING CATALOG - FZN &amp; CHILL'!B2232,"AAAAAD+v3qg=")</f>
        <v>#VALUE!</v>
      </c>
      <c r="FN340" t="e">
        <f>AND('STERLING CATALOG - FZN &amp; CHILL'!C2232,"AAAAAD+v3qk=")</f>
        <v>#VALUE!</v>
      </c>
      <c r="FO340" t="e">
        <f>AND('STERLING CATALOG - FZN &amp; CHILL'!D2232,"AAAAAD+v3qo=")</f>
        <v>#VALUE!</v>
      </c>
      <c r="FP340" t="e">
        <f>AND('STERLING CATALOG - FZN &amp; CHILL'!E2232,"AAAAAD+v3qs=")</f>
        <v>#VALUE!</v>
      </c>
      <c r="FQ340" t="e">
        <f>AND('STERLING CATALOG - FZN &amp; CHILL'!F2232,"AAAAAD+v3qw=")</f>
        <v>#VALUE!</v>
      </c>
      <c r="FR340" t="e">
        <f>AND('STERLING CATALOG - FZN &amp; CHILL'!G2232,"AAAAAD+v3q0=")</f>
        <v>#VALUE!</v>
      </c>
      <c r="FS340" t="e">
        <f>AND('STERLING CATALOG - FZN &amp; CHILL'!H2232,"AAAAAD+v3q4=")</f>
        <v>#VALUE!</v>
      </c>
      <c r="FT340" t="e">
        <f>AND('STERLING CATALOG - FZN &amp; CHILL'!I2232,"AAAAAD+v3q8=")</f>
        <v>#VALUE!</v>
      </c>
      <c r="FU340" t="e">
        <f>AND('STERLING CATALOG - FZN &amp; CHILL'!J2232,"AAAAAD+v3rA=")</f>
        <v>#VALUE!</v>
      </c>
      <c r="FV340">
        <f>IF('STERLING CATALOG - FZN &amp; CHILL'!2233:2233,"AAAAAD+v3rE=",0)</f>
        <v>0</v>
      </c>
      <c r="FW340" t="e">
        <f>AND('STERLING CATALOG - FZN &amp; CHILL'!A2233,"AAAAAD+v3rI=")</f>
        <v>#VALUE!</v>
      </c>
      <c r="FX340" t="e">
        <f>AND('STERLING CATALOG - FZN &amp; CHILL'!B2233,"AAAAAD+v3rM=")</f>
        <v>#VALUE!</v>
      </c>
      <c r="FY340" t="e">
        <f>AND('STERLING CATALOG - FZN &amp; CHILL'!C2233,"AAAAAD+v3rQ=")</f>
        <v>#VALUE!</v>
      </c>
      <c r="FZ340" t="e">
        <f>AND('STERLING CATALOG - FZN &amp; CHILL'!D2233,"AAAAAD+v3rU=")</f>
        <v>#VALUE!</v>
      </c>
      <c r="GA340" t="e">
        <f>AND('STERLING CATALOG - FZN &amp; CHILL'!E2233,"AAAAAD+v3rY=")</f>
        <v>#VALUE!</v>
      </c>
      <c r="GB340" t="e">
        <f>AND('STERLING CATALOG - FZN &amp; CHILL'!F2233,"AAAAAD+v3rc=")</f>
        <v>#VALUE!</v>
      </c>
      <c r="GC340" t="e">
        <f>AND('STERLING CATALOG - FZN &amp; CHILL'!G2233,"AAAAAD+v3rg=")</f>
        <v>#VALUE!</v>
      </c>
      <c r="GD340" t="e">
        <f>AND('STERLING CATALOG - FZN &amp; CHILL'!H2233,"AAAAAD+v3rk=")</f>
        <v>#VALUE!</v>
      </c>
      <c r="GE340" t="e">
        <f>AND('STERLING CATALOG - FZN &amp; CHILL'!I2233,"AAAAAD+v3ro=")</f>
        <v>#VALUE!</v>
      </c>
      <c r="GF340" t="e">
        <f>AND('STERLING CATALOG - FZN &amp; CHILL'!J2233,"AAAAAD+v3rs=")</f>
        <v>#VALUE!</v>
      </c>
      <c r="GG340">
        <f>IF('STERLING CATALOG - FZN &amp; CHILL'!2234:2234,"AAAAAD+v3rw=",0)</f>
        <v>0</v>
      </c>
      <c r="GH340" t="e">
        <f>AND('STERLING CATALOG - FZN &amp; CHILL'!A2234,"AAAAAD+v3r0=")</f>
        <v>#VALUE!</v>
      </c>
      <c r="GI340" t="e">
        <f>AND('STERLING CATALOG - FZN &amp; CHILL'!B2234,"AAAAAD+v3r4=")</f>
        <v>#VALUE!</v>
      </c>
      <c r="GJ340" t="e">
        <f>AND('STERLING CATALOG - FZN &amp; CHILL'!C2234,"AAAAAD+v3r8=")</f>
        <v>#VALUE!</v>
      </c>
      <c r="GK340" t="e">
        <f>AND('STERLING CATALOG - FZN &amp; CHILL'!D2234,"AAAAAD+v3sA=")</f>
        <v>#VALUE!</v>
      </c>
      <c r="GL340" t="e">
        <f>AND('STERLING CATALOG - FZN &amp; CHILL'!E2234,"AAAAAD+v3sE=")</f>
        <v>#VALUE!</v>
      </c>
      <c r="GM340" t="e">
        <f>AND('STERLING CATALOG - FZN &amp; CHILL'!F2234,"AAAAAD+v3sI=")</f>
        <v>#VALUE!</v>
      </c>
      <c r="GN340" t="e">
        <f>AND('STERLING CATALOG - FZN &amp; CHILL'!G2234,"AAAAAD+v3sM=")</f>
        <v>#VALUE!</v>
      </c>
      <c r="GO340" t="e">
        <f>AND('STERLING CATALOG - FZN &amp; CHILL'!H2234,"AAAAAD+v3sQ=")</f>
        <v>#VALUE!</v>
      </c>
      <c r="GP340" t="e">
        <f>AND('STERLING CATALOG - FZN &amp; CHILL'!I2234,"AAAAAD+v3sU=")</f>
        <v>#VALUE!</v>
      </c>
      <c r="GQ340" t="e">
        <f>AND('STERLING CATALOG - FZN &amp; CHILL'!J2234,"AAAAAD+v3sY=")</f>
        <v>#VALUE!</v>
      </c>
      <c r="GR340">
        <f>IF('STERLING CATALOG - FZN &amp; CHILL'!2235:2235,"AAAAAD+v3sc=",0)</f>
        <v>0</v>
      </c>
      <c r="GS340" t="e">
        <f>AND('STERLING CATALOG - FZN &amp; CHILL'!A2235,"AAAAAD+v3sg=")</f>
        <v>#VALUE!</v>
      </c>
      <c r="GT340" t="e">
        <f>AND('STERLING CATALOG - FZN &amp; CHILL'!B2235,"AAAAAD+v3sk=")</f>
        <v>#VALUE!</v>
      </c>
      <c r="GU340" t="e">
        <f>AND('STERLING CATALOG - FZN &amp; CHILL'!C2235,"AAAAAD+v3so=")</f>
        <v>#VALUE!</v>
      </c>
      <c r="GV340" t="e">
        <f>AND('STERLING CATALOG - FZN &amp; CHILL'!D2235,"AAAAAD+v3ss=")</f>
        <v>#VALUE!</v>
      </c>
      <c r="GW340" t="e">
        <f>AND('STERLING CATALOG - FZN &amp; CHILL'!E2235,"AAAAAD+v3sw=")</f>
        <v>#VALUE!</v>
      </c>
      <c r="GX340" t="e">
        <f>AND('STERLING CATALOG - FZN &amp; CHILL'!F2235,"AAAAAD+v3s0=")</f>
        <v>#VALUE!</v>
      </c>
      <c r="GY340" t="e">
        <f>AND('STERLING CATALOG - FZN &amp; CHILL'!G2235,"AAAAAD+v3s4=")</f>
        <v>#VALUE!</v>
      </c>
      <c r="GZ340" t="e">
        <f>AND('STERLING CATALOG - FZN &amp; CHILL'!H2235,"AAAAAD+v3s8=")</f>
        <v>#VALUE!</v>
      </c>
      <c r="HA340" t="e">
        <f>AND('STERLING CATALOG - FZN &amp; CHILL'!I2235,"AAAAAD+v3tA=")</f>
        <v>#VALUE!</v>
      </c>
      <c r="HB340" t="e">
        <f>AND('STERLING CATALOG - FZN &amp; CHILL'!J2235,"AAAAAD+v3tE=")</f>
        <v>#VALUE!</v>
      </c>
      <c r="HC340">
        <f>IF('STERLING CATALOG - FZN &amp; CHILL'!2236:2236,"AAAAAD+v3tI=",0)</f>
        <v>0</v>
      </c>
      <c r="HD340" t="e">
        <f>AND('STERLING CATALOG - FZN &amp; CHILL'!A2236,"AAAAAD+v3tM=")</f>
        <v>#VALUE!</v>
      </c>
      <c r="HE340" t="e">
        <f>AND('STERLING CATALOG - FZN &amp; CHILL'!B2236,"AAAAAD+v3tQ=")</f>
        <v>#VALUE!</v>
      </c>
      <c r="HF340" t="e">
        <f>AND('STERLING CATALOG - FZN &amp; CHILL'!C2236,"AAAAAD+v3tU=")</f>
        <v>#VALUE!</v>
      </c>
      <c r="HG340" t="e">
        <f>AND('STERLING CATALOG - FZN &amp; CHILL'!D2236,"AAAAAD+v3tY=")</f>
        <v>#VALUE!</v>
      </c>
      <c r="HH340" t="e">
        <f>AND('STERLING CATALOG - FZN &amp; CHILL'!E2236,"AAAAAD+v3tc=")</f>
        <v>#VALUE!</v>
      </c>
      <c r="HI340" t="e">
        <f>AND('STERLING CATALOG - FZN &amp; CHILL'!F2236,"AAAAAD+v3tg=")</f>
        <v>#VALUE!</v>
      </c>
      <c r="HJ340" t="e">
        <f>AND('STERLING CATALOG - FZN &amp; CHILL'!G2236,"AAAAAD+v3tk=")</f>
        <v>#VALUE!</v>
      </c>
      <c r="HK340" t="e">
        <f>AND('STERLING CATALOG - FZN &amp; CHILL'!H2236,"AAAAAD+v3to=")</f>
        <v>#VALUE!</v>
      </c>
      <c r="HL340" t="e">
        <f>AND('STERLING CATALOG - FZN &amp; CHILL'!I2236,"AAAAAD+v3ts=")</f>
        <v>#VALUE!</v>
      </c>
      <c r="HM340" t="e">
        <f>AND('STERLING CATALOG - FZN &amp; CHILL'!J2236,"AAAAAD+v3tw=")</f>
        <v>#VALUE!</v>
      </c>
      <c r="HN340">
        <f>IF('STERLING CATALOG - FZN &amp; CHILL'!2237:2237,"AAAAAD+v3t0=",0)</f>
        <v>0</v>
      </c>
      <c r="HO340" t="e">
        <f>AND('STERLING CATALOG - FZN &amp; CHILL'!A2237,"AAAAAD+v3t4=")</f>
        <v>#VALUE!</v>
      </c>
      <c r="HP340" t="e">
        <f>AND('STERLING CATALOG - FZN &amp; CHILL'!B2237,"AAAAAD+v3t8=")</f>
        <v>#VALUE!</v>
      </c>
      <c r="HQ340" t="e">
        <f>AND('STERLING CATALOG - FZN &amp; CHILL'!C2237,"AAAAAD+v3uA=")</f>
        <v>#VALUE!</v>
      </c>
      <c r="HR340" t="e">
        <f>AND('STERLING CATALOG - FZN &amp; CHILL'!D2237,"AAAAAD+v3uE=")</f>
        <v>#VALUE!</v>
      </c>
      <c r="HS340" t="e">
        <f>AND('STERLING CATALOG - FZN &amp; CHILL'!E2237,"AAAAAD+v3uI=")</f>
        <v>#VALUE!</v>
      </c>
      <c r="HT340" t="e">
        <f>AND('STERLING CATALOG - FZN &amp; CHILL'!F2237,"AAAAAD+v3uM=")</f>
        <v>#VALUE!</v>
      </c>
      <c r="HU340" t="e">
        <f>AND('STERLING CATALOG - FZN &amp; CHILL'!G2237,"AAAAAD+v3uQ=")</f>
        <v>#VALUE!</v>
      </c>
      <c r="HV340" t="e">
        <f>AND('STERLING CATALOG - FZN &amp; CHILL'!H2237,"AAAAAD+v3uU=")</f>
        <v>#VALUE!</v>
      </c>
      <c r="HW340" t="e">
        <f>AND('STERLING CATALOG - FZN &amp; CHILL'!I2237,"AAAAAD+v3uY=")</f>
        <v>#VALUE!</v>
      </c>
      <c r="HX340" t="e">
        <f>AND('STERLING CATALOG - FZN &amp; CHILL'!J2237,"AAAAAD+v3uc=")</f>
        <v>#VALUE!</v>
      </c>
      <c r="HY340">
        <f>IF('STERLING CATALOG - FZN &amp; CHILL'!2238:2238,"AAAAAD+v3ug=",0)</f>
        <v>0</v>
      </c>
      <c r="HZ340" t="e">
        <f>AND('STERLING CATALOG - FZN &amp; CHILL'!A2238,"AAAAAD+v3uk=")</f>
        <v>#VALUE!</v>
      </c>
      <c r="IA340" t="e">
        <f>AND('STERLING CATALOG - FZN &amp; CHILL'!B2238,"AAAAAD+v3uo=")</f>
        <v>#VALUE!</v>
      </c>
      <c r="IB340" t="e">
        <f>AND('STERLING CATALOG - FZN &amp; CHILL'!C2238,"AAAAAD+v3us=")</f>
        <v>#VALUE!</v>
      </c>
      <c r="IC340" t="e">
        <f>AND('STERLING CATALOG - FZN &amp; CHILL'!D2238,"AAAAAD+v3uw=")</f>
        <v>#VALUE!</v>
      </c>
      <c r="ID340" t="e">
        <f>AND('STERLING CATALOG - FZN &amp; CHILL'!E2238,"AAAAAD+v3u0=")</f>
        <v>#VALUE!</v>
      </c>
      <c r="IE340" t="e">
        <f>AND('STERLING CATALOG - FZN &amp; CHILL'!F2238,"AAAAAD+v3u4=")</f>
        <v>#VALUE!</v>
      </c>
      <c r="IF340" t="e">
        <f>AND('STERLING CATALOG - FZN &amp; CHILL'!G2238,"AAAAAD+v3u8=")</f>
        <v>#VALUE!</v>
      </c>
      <c r="IG340" t="e">
        <f>AND('STERLING CATALOG - FZN &amp; CHILL'!H2238,"AAAAAD+v3vA=")</f>
        <v>#VALUE!</v>
      </c>
      <c r="IH340" t="e">
        <f>AND('STERLING CATALOG - FZN &amp; CHILL'!I2238,"AAAAAD+v3vE=")</f>
        <v>#VALUE!</v>
      </c>
      <c r="II340" t="e">
        <f>AND('STERLING CATALOG - FZN &amp; CHILL'!J2238,"AAAAAD+v3vI=")</f>
        <v>#VALUE!</v>
      </c>
      <c r="IJ340">
        <f>IF('STERLING CATALOG - FZN &amp; CHILL'!2239:2239,"AAAAAD+v3vM=",0)</f>
        <v>0</v>
      </c>
      <c r="IK340" t="e">
        <f>AND('STERLING CATALOG - FZN &amp; CHILL'!A2239,"AAAAAD+v3vQ=")</f>
        <v>#VALUE!</v>
      </c>
      <c r="IL340" t="e">
        <f>AND('STERLING CATALOG - FZN &amp; CHILL'!B2239,"AAAAAD+v3vU=")</f>
        <v>#VALUE!</v>
      </c>
      <c r="IM340" t="e">
        <f>AND('STERLING CATALOG - FZN &amp; CHILL'!C2239,"AAAAAD+v3vY=")</f>
        <v>#VALUE!</v>
      </c>
      <c r="IN340" t="e">
        <f>AND('STERLING CATALOG - FZN &amp; CHILL'!D2239,"AAAAAD+v3vc=")</f>
        <v>#VALUE!</v>
      </c>
      <c r="IO340" t="e">
        <f>AND('STERLING CATALOG - FZN &amp; CHILL'!E2239,"AAAAAD+v3vg=")</f>
        <v>#VALUE!</v>
      </c>
      <c r="IP340" t="e">
        <f>AND('STERLING CATALOG - FZN &amp; CHILL'!F2239,"AAAAAD+v3vk=")</f>
        <v>#VALUE!</v>
      </c>
      <c r="IQ340" t="e">
        <f>AND('STERLING CATALOG - FZN &amp; CHILL'!G2239,"AAAAAD+v3vo=")</f>
        <v>#VALUE!</v>
      </c>
      <c r="IR340" t="e">
        <f>AND('STERLING CATALOG - FZN &amp; CHILL'!H2239,"AAAAAD+v3vs=")</f>
        <v>#VALUE!</v>
      </c>
      <c r="IS340" t="e">
        <f>AND('STERLING CATALOG - FZN &amp; CHILL'!I2239,"AAAAAD+v3vw=")</f>
        <v>#VALUE!</v>
      </c>
      <c r="IT340" t="e">
        <f>AND('STERLING CATALOG - FZN &amp; CHILL'!J2239,"AAAAAD+v3v0=")</f>
        <v>#VALUE!</v>
      </c>
      <c r="IU340">
        <f>IF('STERLING CATALOG - FZN &amp; CHILL'!2240:2240,"AAAAAD+v3v4=",0)</f>
        <v>0</v>
      </c>
      <c r="IV340" t="e">
        <f>AND('STERLING CATALOG - FZN &amp; CHILL'!A2240,"AAAAAD+v3v8=")</f>
        <v>#VALUE!</v>
      </c>
    </row>
    <row r="341" spans="1:256">
      <c r="A341" t="e">
        <f>AND('STERLING CATALOG - FZN &amp; CHILL'!B2240,"AAAAAH/ZnwA=")</f>
        <v>#VALUE!</v>
      </c>
      <c r="B341" t="e">
        <f>AND('STERLING CATALOG - FZN &amp; CHILL'!C2240,"AAAAAH/ZnwE=")</f>
        <v>#VALUE!</v>
      </c>
      <c r="C341" t="e">
        <f>AND('STERLING CATALOG - FZN &amp; CHILL'!D2240,"AAAAAH/ZnwI=")</f>
        <v>#VALUE!</v>
      </c>
      <c r="D341" t="e">
        <f>AND('STERLING CATALOG - FZN &amp; CHILL'!E2240,"AAAAAH/ZnwM=")</f>
        <v>#VALUE!</v>
      </c>
      <c r="E341" t="e">
        <f>AND('STERLING CATALOG - FZN &amp; CHILL'!F2240,"AAAAAH/ZnwQ=")</f>
        <v>#VALUE!</v>
      </c>
      <c r="F341" t="e">
        <f>AND('STERLING CATALOG - FZN &amp; CHILL'!G2240,"AAAAAH/ZnwU=")</f>
        <v>#VALUE!</v>
      </c>
      <c r="G341" t="e">
        <f>AND('STERLING CATALOG - FZN &amp; CHILL'!H2240,"AAAAAH/ZnwY=")</f>
        <v>#VALUE!</v>
      </c>
      <c r="H341" t="e">
        <f>AND('STERLING CATALOG - FZN &amp; CHILL'!I2240,"AAAAAH/Znwc=")</f>
        <v>#VALUE!</v>
      </c>
      <c r="I341" t="e">
        <f>AND('STERLING CATALOG - FZN &amp; CHILL'!J2240,"AAAAAH/Znwg=")</f>
        <v>#VALUE!</v>
      </c>
      <c r="J341" t="e">
        <f>IF('STERLING CATALOG - FZN &amp; CHILL'!2241:2241,"AAAAAH/Znwk=",0)</f>
        <v>#VALUE!</v>
      </c>
      <c r="K341" t="e">
        <f>AND('STERLING CATALOG - FZN &amp; CHILL'!A2241,"AAAAAH/Znwo=")</f>
        <v>#VALUE!</v>
      </c>
      <c r="L341" t="e">
        <f>AND('STERLING CATALOG - FZN &amp; CHILL'!B2241,"AAAAAH/Znws=")</f>
        <v>#VALUE!</v>
      </c>
      <c r="M341" t="e">
        <f>AND('STERLING CATALOG - FZN &amp; CHILL'!C2241,"AAAAAH/Znww=")</f>
        <v>#VALUE!</v>
      </c>
      <c r="N341" t="e">
        <f>AND('STERLING CATALOG - FZN &amp; CHILL'!D2241,"AAAAAH/Znw0=")</f>
        <v>#VALUE!</v>
      </c>
      <c r="O341" t="e">
        <f>AND('STERLING CATALOG - FZN &amp; CHILL'!E2241,"AAAAAH/Znw4=")</f>
        <v>#VALUE!</v>
      </c>
      <c r="P341" t="e">
        <f>AND('STERLING CATALOG - FZN &amp; CHILL'!F2241,"AAAAAH/Znw8=")</f>
        <v>#VALUE!</v>
      </c>
      <c r="Q341" t="e">
        <f>AND('STERLING CATALOG - FZN &amp; CHILL'!G2241,"AAAAAH/ZnxA=")</f>
        <v>#VALUE!</v>
      </c>
      <c r="R341" t="e">
        <f>AND('STERLING CATALOG - FZN &amp; CHILL'!H2241,"AAAAAH/ZnxE=")</f>
        <v>#VALUE!</v>
      </c>
      <c r="S341" t="e">
        <f>AND('STERLING CATALOG - FZN &amp; CHILL'!I2241,"AAAAAH/ZnxI=")</f>
        <v>#VALUE!</v>
      </c>
      <c r="T341" t="e">
        <f>AND('STERLING CATALOG - FZN &amp; CHILL'!J2241,"AAAAAH/ZnxM=")</f>
        <v>#VALUE!</v>
      </c>
      <c r="U341">
        <f>IF('STERLING CATALOG - FZN &amp; CHILL'!2242:2242,"AAAAAH/ZnxQ=",0)</f>
        <v>0</v>
      </c>
      <c r="V341" t="e">
        <f>AND('STERLING CATALOG - FZN &amp; CHILL'!A2242,"AAAAAH/ZnxU=")</f>
        <v>#VALUE!</v>
      </c>
      <c r="W341" t="e">
        <f>AND('STERLING CATALOG - FZN &amp; CHILL'!B2242,"AAAAAH/ZnxY=")</f>
        <v>#VALUE!</v>
      </c>
      <c r="X341" t="e">
        <f>AND('STERLING CATALOG - FZN &amp; CHILL'!C2242,"AAAAAH/Znxc=")</f>
        <v>#VALUE!</v>
      </c>
      <c r="Y341" t="e">
        <f>AND('STERLING CATALOG - FZN &amp; CHILL'!D2242,"AAAAAH/Znxg=")</f>
        <v>#VALUE!</v>
      </c>
      <c r="Z341" t="e">
        <f>AND('STERLING CATALOG - FZN &amp; CHILL'!E2242,"AAAAAH/Znxk=")</f>
        <v>#VALUE!</v>
      </c>
      <c r="AA341" t="e">
        <f>AND('STERLING CATALOG - FZN &amp; CHILL'!F2242,"AAAAAH/Znxo=")</f>
        <v>#VALUE!</v>
      </c>
      <c r="AB341" t="e">
        <f>AND('STERLING CATALOG - FZN &amp; CHILL'!G2242,"AAAAAH/Znxs=")</f>
        <v>#VALUE!</v>
      </c>
      <c r="AC341" t="e">
        <f>AND('STERLING CATALOG - FZN &amp; CHILL'!H2242,"AAAAAH/Znxw=")</f>
        <v>#VALUE!</v>
      </c>
      <c r="AD341" t="e">
        <f>AND('STERLING CATALOG - FZN &amp; CHILL'!I2242,"AAAAAH/Znx0=")</f>
        <v>#VALUE!</v>
      </c>
      <c r="AE341" t="e">
        <f>AND('STERLING CATALOG - FZN &amp; CHILL'!J2242,"AAAAAH/Znx4=")</f>
        <v>#VALUE!</v>
      </c>
      <c r="AF341">
        <f>IF('STERLING CATALOG - FZN &amp; CHILL'!2243:2243,"AAAAAH/Znx8=",0)</f>
        <v>0</v>
      </c>
      <c r="AG341" t="e">
        <f>AND('STERLING CATALOG - FZN &amp; CHILL'!A2243,"AAAAAH/ZnyA=")</f>
        <v>#VALUE!</v>
      </c>
      <c r="AH341" t="e">
        <f>AND('STERLING CATALOG - FZN &amp; CHILL'!B2243,"AAAAAH/ZnyE=")</f>
        <v>#VALUE!</v>
      </c>
      <c r="AI341" t="e">
        <f>AND('STERLING CATALOG - FZN &amp; CHILL'!C2243,"AAAAAH/ZnyI=")</f>
        <v>#VALUE!</v>
      </c>
      <c r="AJ341" t="e">
        <f>AND('STERLING CATALOG - FZN &amp; CHILL'!D2243,"AAAAAH/ZnyM=")</f>
        <v>#VALUE!</v>
      </c>
      <c r="AK341" t="e">
        <f>AND('STERLING CATALOG - FZN &amp; CHILL'!E2243,"AAAAAH/ZnyQ=")</f>
        <v>#VALUE!</v>
      </c>
      <c r="AL341" t="e">
        <f>AND('STERLING CATALOG - FZN &amp; CHILL'!F2243,"AAAAAH/ZnyU=")</f>
        <v>#VALUE!</v>
      </c>
      <c r="AM341" t="e">
        <f>AND('STERLING CATALOG - FZN &amp; CHILL'!G2243,"AAAAAH/ZnyY=")</f>
        <v>#VALUE!</v>
      </c>
      <c r="AN341" t="e">
        <f>AND('STERLING CATALOG - FZN &amp; CHILL'!H2243,"AAAAAH/Znyc=")</f>
        <v>#VALUE!</v>
      </c>
      <c r="AO341" t="e">
        <f>AND('STERLING CATALOG - FZN &amp; CHILL'!I2243,"AAAAAH/Znyg=")</f>
        <v>#VALUE!</v>
      </c>
      <c r="AP341" t="e">
        <f>AND('STERLING CATALOG - FZN &amp; CHILL'!J2243,"AAAAAH/Znyk=")</f>
        <v>#VALUE!</v>
      </c>
      <c r="AQ341">
        <f>IF('STERLING CATALOG - FZN &amp; CHILL'!2244:2244,"AAAAAH/Znyo=",0)</f>
        <v>0</v>
      </c>
      <c r="AR341" t="e">
        <f>AND('STERLING CATALOG - FZN &amp; CHILL'!A2244,"AAAAAH/Znys=")</f>
        <v>#VALUE!</v>
      </c>
      <c r="AS341" t="e">
        <f>AND('STERLING CATALOG - FZN &amp; CHILL'!B2244,"AAAAAH/Znyw=")</f>
        <v>#VALUE!</v>
      </c>
      <c r="AT341" t="e">
        <f>AND('STERLING CATALOG - FZN &amp; CHILL'!C2244,"AAAAAH/Zny0=")</f>
        <v>#VALUE!</v>
      </c>
      <c r="AU341" t="e">
        <f>AND('STERLING CATALOG - FZN &amp; CHILL'!D2244,"AAAAAH/Zny4=")</f>
        <v>#VALUE!</v>
      </c>
      <c r="AV341" t="e">
        <f>AND('STERLING CATALOG - FZN &amp; CHILL'!E2244,"AAAAAH/Zny8=")</f>
        <v>#VALUE!</v>
      </c>
      <c r="AW341" t="e">
        <f>AND('STERLING CATALOG - FZN &amp; CHILL'!F2244,"AAAAAH/ZnzA=")</f>
        <v>#VALUE!</v>
      </c>
      <c r="AX341" t="e">
        <f>AND('STERLING CATALOG - FZN &amp; CHILL'!G2244,"AAAAAH/ZnzE=")</f>
        <v>#VALUE!</v>
      </c>
      <c r="AY341" t="e">
        <f>AND('STERLING CATALOG - FZN &amp; CHILL'!H2244,"AAAAAH/ZnzI=")</f>
        <v>#VALUE!</v>
      </c>
      <c r="AZ341" t="e">
        <f>AND('STERLING CATALOG - FZN &amp; CHILL'!I2244,"AAAAAH/ZnzM=")</f>
        <v>#VALUE!</v>
      </c>
      <c r="BA341" t="e">
        <f>AND('STERLING CATALOG - FZN &amp; CHILL'!J2244,"AAAAAH/ZnzQ=")</f>
        <v>#VALUE!</v>
      </c>
      <c r="BB341">
        <f>IF('STERLING CATALOG - FZN &amp; CHILL'!2245:2245,"AAAAAH/ZnzU=",0)</f>
        <v>0</v>
      </c>
      <c r="BC341" t="e">
        <f>AND('STERLING CATALOG - FZN &amp; CHILL'!A2245,"AAAAAH/ZnzY=")</f>
        <v>#VALUE!</v>
      </c>
      <c r="BD341" t="e">
        <f>AND('STERLING CATALOG - FZN &amp; CHILL'!B2245,"AAAAAH/Znzc=")</f>
        <v>#VALUE!</v>
      </c>
      <c r="BE341" t="e">
        <f>AND('STERLING CATALOG - FZN &amp; CHILL'!C2245,"AAAAAH/Znzg=")</f>
        <v>#VALUE!</v>
      </c>
      <c r="BF341" t="e">
        <f>AND('STERLING CATALOG - FZN &amp; CHILL'!D2245,"AAAAAH/Znzk=")</f>
        <v>#VALUE!</v>
      </c>
      <c r="BG341" t="e">
        <f>AND('STERLING CATALOG - FZN &amp; CHILL'!E2245,"AAAAAH/Znzo=")</f>
        <v>#VALUE!</v>
      </c>
      <c r="BH341" t="e">
        <f>AND('STERLING CATALOG - FZN &amp; CHILL'!F2245,"AAAAAH/Znzs=")</f>
        <v>#VALUE!</v>
      </c>
      <c r="BI341" t="e">
        <f>AND('STERLING CATALOG - FZN &amp; CHILL'!G2245,"AAAAAH/Znzw=")</f>
        <v>#VALUE!</v>
      </c>
      <c r="BJ341" t="e">
        <f>AND('STERLING CATALOG - FZN &amp; CHILL'!H2245,"AAAAAH/Znz0=")</f>
        <v>#VALUE!</v>
      </c>
      <c r="BK341" t="e">
        <f>AND('STERLING CATALOG - FZN &amp; CHILL'!I2245,"AAAAAH/Znz4=")</f>
        <v>#VALUE!</v>
      </c>
      <c r="BL341" t="e">
        <f>AND('STERLING CATALOG - FZN &amp; CHILL'!J2245,"AAAAAH/Znz8=")</f>
        <v>#VALUE!</v>
      </c>
      <c r="BM341">
        <f>IF('STERLING CATALOG - FZN &amp; CHILL'!2246:2246,"AAAAAH/Zn0A=",0)</f>
        <v>0</v>
      </c>
      <c r="BN341" t="e">
        <f>AND('STERLING CATALOG - FZN &amp; CHILL'!A2246,"AAAAAH/Zn0E=")</f>
        <v>#VALUE!</v>
      </c>
      <c r="BO341" t="e">
        <f>AND('STERLING CATALOG - FZN &amp; CHILL'!B2246,"AAAAAH/Zn0I=")</f>
        <v>#VALUE!</v>
      </c>
      <c r="BP341" t="e">
        <f>AND('STERLING CATALOG - FZN &amp; CHILL'!C2246,"AAAAAH/Zn0M=")</f>
        <v>#VALUE!</v>
      </c>
      <c r="BQ341" t="e">
        <f>AND('STERLING CATALOG - FZN &amp; CHILL'!D2246,"AAAAAH/Zn0Q=")</f>
        <v>#VALUE!</v>
      </c>
      <c r="BR341" t="e">
        <f>AND('STERLING CATALOG - FZN &amp; CHILL'!E2246,"AAAAAH/Zn0U=")</f>
        <v>#VALUE!</v>
      </c>
      <c r="BS341" t="e">
        <f>AND('STERLING CATALOG - FZN &amp; CHILL'!F2246,"AAAAAH/Zn0Y=")</f>
        <v>#VALUE!</v>
      </c>
      <c r="BT341" t="e">
        <f>AND('STERLING CATALOG - FZN &amp; CHILL'!G2246,"AAAAAH/Zn0c=")</f>
        <v>#VALUE!</v>
      </c>
      <c r="BU341" t="e">
        <f>AND('STERLING CATALOG - FZN &amp; CHILL'!H2246,"AAAAAH/Zn0g=")</f>
        <v>#VALUE!</v>
      </c>
      <c r="BV341" t="e">
        <f>AND('STERLING CATALOG - FZN &amp; CHILL'!I2246,"AAAAAH/Zn0k=")</f>
        <v>#VALUE!</v>
      </c>
      <c r="BW341" t="e">
        <f>AND('STERLING CATALOG - FZN &amp; CHILL'!J2246,"AAAAAH/Zn0o=")</f>
        <v>#VALUE!</v>
      </c>
      <c r="BX341">
        <f>IF('STERLING CATALOG - FZN &amp; CHILL'!2247:2247,"AAAAAH/Zn0s=",0)</f>
        <v>0</v>
      </c>
      <c r="BY341" t="e">
        <f>AND('STERLING CATALOG - FZN &amp; CHILL'!A2247,"AAAAAH/Zn0w=")</f>
        <v>#VALUE!</v>
      </c>
      <c r="BZ341" t="e">
        <f>AND('STERLING CATALOG - FZN &amp; CHILL'!B2247,"AAAAAH/Zn00=")</f>
        <v>#VALUE!</v>
      </c>
      <c r="CA341" t="e">
        <f>AND('STERLING CATALOG - FZN &amp; CHILL'!C2247,"AAAAAH/Zn04=")</f>
        <v>#VALUE!</v>
      </c>
      <c r="CB341" t="e">
        <f>AND('STERLING CATALOG - FZN &amp; CHILL'!D2247,"AAAAAH/Zn08=")</f>
        <v>#VALUE!</v>
      </c>
      <c r="CC341" t="e">
        <f>AND('STERLING CATALOG - FZN &amp; CHILL'!E2247,"AAAAAH/Zn1A=")</f>
        <v>#VALUE!</v>
      </c>
      <c r="CD341" t="e">
        <f>AND('STERLING CATALOG - FZN &amp; CHILL'!F2247,"AAAAAH/Zn1E=")</f>
        <v>#VALUE!</v>
      </c>
      <c r="CE341" t="e">
        <f>AND('STERLING CATALOG - FZN &amp; CHILL'!G2247,"AAAAAH/Zn1I=")</f>
        <v>#VALUE!</v>
      </c>
      <c r="CF341" t="e">
        <f>AND('STERLING CATALOG - FZN &amp; CHILL'!H2247,"AAAAAH/Zn1M=")</f>
        <v>#VALUE!</v>
      </c>
      <c r="CG341" t="e">
        <f>AND('STERLING CATALOG - FZN &amp; CHILL'!I2247,"AAAAAH/Zn1Q=")</f>
        <v>#VALUE!</v>
      </c>
      <c r="CH341" t="e">
        <f>AND('STERLING CATALOG - FZN &amp; CHILL'!J2247,"AAAAAH/Zn1U=")</f>
        <v>#VALUE!</v>
      </c>
      <c r="CI341">
        <f>IF('STERLING CATALOG - FZN &amp; CHILL'!2248:2248,"AAAAAH/Zn1Y=",0)</f>
        <v>0</v>
      </c>
      <c r="CJ341" t="e">
        <f>AND('STERLING CATALOG - FZN &amp; CHILL'!A2248,"AAAAAH/Zn1c=")</f>
        <v>#VALUE!</v>
      </c>
      <c r="CK341" t="e">
        <f>AND('STERLING CATALOG - FZN &amp; CHILL'!B2248,"AAAAAH/Zn1g=")</f>
        <v>#VALUE!</v>
      </c>
      <c r="CL341" t="e">
        <f>AND('STERLING CATALOG - FZN &amp; CHILL'!C2248,"AAAAAH/Zn1k=")</f>
        <v>#VALUE!</v>
      </c>
      <c r="CM341" t="e">
        <f>AND('STERLING CATALOG - FZN &amp; CHILL'!D2248,"AAAAAH/Zn1o=")</f>
        <v>#VALUE!</v>
      </c>
      <c r="CN341" t="e">
        <f>AND('STERLING CATALOG - FZN &amp; CHILL'!E2248,"AAAAAH/Zn1s=")</f>
        <v>#VALUE!</v>
      </c>
      <c r="CO341" t="e">
        <f>AND('STERLING CATALOG - FZN &amp; CHILL'!F2248,"AAAAAH/Zn1w=")</f>
        <v>#VALUE!</v>
      </c>
      <c r="CP341" t="e">
        <f>AND('STERLING CATALOG - FZN &amp; CHILL'!G2248,"AAAAAH/Zn10=")</f>
        <v>#VALUE!</v>
      </c>
      <c r="CQ341" t="e">
        <f>AND('STERLING CATALOG - FZN &amp; CHILL'!H2248,"AAAAAH/Zn14=")</f>
        <v>#VALUE!</v>
      </c>
      <c r="CR341" t="e">
        <f>AND('STERLING CATALOG - FZN &amp; CHILL'!I2248,"AAAAAH/Zn18=")</f>
        <v>#VALUE!</v>
      </c>
      <c r="CS341" t="e">
        <f>AND('STERLING CATALOG - FZN &amp; CHILL'!J2248,"AAAAAH/Zn2A=")</f>
        <v>#VALUE!</v>
      </c>
      <c r="CT341">
        <f>IF('STERLING CATALOG - FZN &amp; CHILL'!2249:2249,"AAAAAH/Zn2E=",0)</f>
        <v>0</v>
      </c>
      <c r="CU341" t="e">
        <f>AND('STERLING CATALOG - FZN &amp; CHILL'!A2249,"AAAAAH/Zn2I=")</f>
        <v>#VALUE!</v>
      </c>
      <c r="CV341" t="e">
        <f>AND('STERLING CATALOG - FZN &amp; CHILL'!B2249,"AAAAAH/Zn2M=")</f>
        <v>#VALUE!</v>
      </c>
      <c r="CW341" t="e">
        <f>AND('STERLING CATALOG - FZN &amp; CHILL'!C2249,"AAAAAH/Zn2Q=")</f>
        <v>#VALUE!</v>
      </c>
      <c r="CX341" t="e">
        <f>AND('STERLING CATALOG - FZN &amp; CHILL'!D2249,"AAAAAH/Zn2U=")</f>
        <v>#VALUE!</v>
      </c>
      <c r="CY341" t="e">
        <f>AND('STERLING CATALOG - FZN &amp; CHILL'!E2249,"AAAAAH/Zn2Y=")</f>
        <v>#VALUE!</v>
      </c>
      <c r="CZ341" t="e">
        <f>AND('STERLING CATALOG - FZN &amp; CHILL'!F2249,"AAAAAH/Zn2c=")</f>
        <v>#VALUE!</v>
      </c>
      <c r="DA341" t="e">
        <f>AND('STERLING CATALOG - FZN &amp; CHILL'!G2249,"AAAAAH/Zn2g=")</f>
        <v>#VALUE!</v>
      </c>
      <c r="DB341" t="e">
        <f>AND('STERLING CATALOG - FZN &amp; CHILL'!H2249,"AAAAAH/Zn2k=")</f>
        <v>#VALUE!</v>
      </c>
      <c r="DC341" t="e">
        <f>AND('STERLING CATALOG - FZN &amp; CHILL'!I2249,"AAAAAH/Zn2o=")</f>
        <v>#VALUE!</v>
      </c>
      <c r="DD341" t="e">
        <f>AND('STERLING CATALOG - FZN &amp; CHILL'!J2249,"AAAAAH/Zn2s=")</f>
        <v>#VALUE!</v>
      </c>
      <c r="DE341">
        <f>IF('STERLING CATALOG - FZN &amp; CHILL'!2250:2250,"AAAAAH/Zn2w=",0)</f>
        <v>0</v>
      </c>
      <c r="DF341" t="e">
        <f>AND('STERLING CATALOG - FZN &amp; CHILL'!A2250,"AAAAAH/Zn20=")</f>
        <v>#VALUE!</v>
      </c>
      <c r="DG341" t="e">
        <f>AND('STERLING CATALOG - FZN &amp; CHILL'!B2250,"AAAAAH/Zn24=")</f>
        <v>#VALUE!</v>
      </c>
      <c r="DH341" t="e">
        <f>AND('STERLING CATALOG - FZN &amp; CHILL'!C2250,"AAAAAH/Zn28=")</f>
        <v>#VALUE!</v>
      </c>
      <c r="DI341" t="e">
        <f>AND('STERLING CATALOG - FZN &amp; CHILL'!D2250,"AAAAAH/Zn3A=")</f>
        <v>#VALUE!</v>
      </c>
      <c r="DJ341" t="e">
        <f>AND('STERLING CATALOG - FZN &amp; CHILL'!E2250,"AAAAAH/Zn3E=")</f>
        <v>#VALUE!</v>
      </c>
      <c r="DK341" t="e">
        <f>AND('STERLING CATALOG - FZN &amp; CHILL'!F2250,"AAAAAH/Zn3I=")</f>
        <v>#VALUE!</v>
      </c>
      <c r="DL341" t="e">
        <f>AND('STERLING CATALOG - FZN &amp; CHILL'!G2250,"AAAAAH/Zn3M=")</f>
        <v>#VALUE!</v>
      </c>
      <c r="DM341" t="e">
        <f>AND('STERLING CATALOG - FZN &amp; CHILL'!H2250,"AAAAAH/Zn3Q=")</f>
        <v>#VALUE!</v>
      </c>
      <c r="DN341" t="e">
        <f>AND('STERLING CATALOG - FZN &amp; CHILL'!I2250,"AAAAAH/Zn3U=")</f>
        <v>#VALUE!</v>
      </c>
      <c r="DO341" t="e">
        <f>AND('STERLING CATALOG - FZN &amp; CHILL'!J2250,"AAAAAH/Zn3Y=")</f>
        <v>#VALUE!</v>
      </c>
      <c r="DP341">
        <f>IF('STERLING CATALOG - FZN &amp; CHILL'!2251:2251,"AAAAAH/Zn3c=",0)</f>
        <v>0</v>
      </c>
      <c r="DQ341" t="e">
        <f>AND('STERLING CATALOG - FZN &amp; CHILL'!A2251,"AAAAAH/Zn3g=")</f>
        <v>#VALUE!</v>
      </c>
      <c r="DR341" t="e">
        <f>AND('STERLING CATALOG - FZN &amp; CHILL'!B2251,"AAAAAH/Zn3k=")</f>
        <v>#VALUE!</v>
      </c>
      <c r="DS341" t="e">
        <f>AND('STERLING CATALOG - FZN &amp; CHILL'!C2251,"AAAAAH/Zn3o=")</f>
        <v>#VALUE!</v>
      </c>
      <c r="DT341" t="e">
        <f>AND('STERLING CATALOG - FZN &amp; CHILL'!D2251,"AAAAAH/Zn3s=")</f>
        <v>#VALUE!</v>
      </c>
      <c r="DU341" t="e">
        <f>AND('STERLING CATALOG - FZN &amp; CHILL'!E2251,"AAAAAH/Zn3w=")</f>
        <v>#VALUE!</v>
      </c>
      <c r="DV341" t="e">
        <f>AND('STERLING CATALOG - FZN &amp; CHILL'!F2251,"AAAAAH/Zn30=")</f>
        <v>#VALUE!</v>
      </c>
      <c r="DW341" t="e">
        <f>AND('STERLING CATALOG - FZN &amp; CHILL'!G2251,"AAAAAH/Zn34=")</f>
        <v>#VALUE!</v>
      </c>
      <c r="DX341" t="e">
        <f>AND('STERLING CATALOG - FZN &amp; CHILL'!H2251,"AAAAAH/Zn38=")</f>
        <v>#VALUE!</v>
      </c>
      <c r="DY341" t="e">
        <f>AND('STERLING CATALOG - FZN &amp; CHILL'!I2251,"AAAAAH/Zn4A=")</f>
        <v>#VALUE!</v>
      </c>
      <c r="DZ341" t="e">
        <f>AND('STERLING CATALOG - FZN &amp; CHILL'!J2251,"AAAAAH/Zn4E=")</f>
        <v>#VALUE!</v>
      </c>
      <c r="EA341">
        <f>IF('STERLING CATALOG - FZN &amp; CHILL'!2252:2252,"AAAAAH/Zn4I=",0)</f>
        <v>0</v>
      </c>
      <c r="EB341" t="e">
        <f>AND('STERLING CATALOG - FZN &amp; CHILL'!A2252,"AAAAAH/Zn4M=")</f>
        <v>#VALUE!</v>
      </c>
      <c r="EC341" t="e">
        <f>AND('STERLING CATALOG - FZN &amp; CHILL'!B2252,"AAAAAH/Zn4Q=")</f>
        <v>#VALUE!</v>
      </c>
      <c r="ED341" t="e">
        <f>AND('STERLING CATALOG - FZN &amp; CHILL'!C2252,"AAAAAH/Zn4U=")</f>
        <v>#VALUE!</v>
      </c>
      <c r="EE341" t="e">
        <f>AND('STERLING CATALOG - FZN &amp; CHILL'!D2252,"AAAAAH/Zn4Y=")</f>
        <v>#VALUE!</v>
      </c>
      <c r="EF341" t="e">
        <f>AND('STERLING CATALOG - FZN &amp; CHILL'!E2252,"AAAAAH/Zn4c=")</f>
        <v>#VALUE!</v>
      </c>
      <c r="EG341" t="e">
        <f>AND('STERLING CATALOG - FZN &amp; CHILL'!F2252,"AAAAAH/Zn4g=")</f>
        <v>#VALUE!</v>
      </c>
      <c r="EH341" t="e">
        <f>AND('STERLING CATALOG - FZN &amp; CHILL'!G2252,"AAAAAH/Zn4k=")</f>
        <v>#VALUE!</v>
      </c>
      <c r="EI341" t="e">
        <f>AND('STERLING CATALOG - FZN &amp; CHILL'!H2252,"AAAAAH/Zn4o=")</f>
        <v>#VALUE!</v>
      </c>
      <c r="EJ341" t="e">
        <f>AND('STERLING CATALOG - FZN &amp; CHILL'!I2252,"AAAAAH/Zn4s=")</f>
        <v>#VALUE!</v>
      </c>
      <c r="EK341" t="e">
        <f>AND('STERLING CATALOG - FZN &amp; CHILL'!J2252,"AAAAAH/Zn4w=")</f>
        <v>#VALUE!</v>
      </c>
      <c r="EL341">
        <f>IF('STERLING CATALOG - FZN &amp; CHILL'!2253:2253,"AAAAAH/Zn40=",0)</f>
        <v>0</v>
      </c>
      <c r="EM341" t="e">
        <f>AND('STERLING CATALOG - FZN &amp; CHILL'!A2253,"AAAAAH/Zn44=")</f>
        <v>#VALUE!</v>
      </c>
      <c r="EN341" t="e">
        <f>AND('STERLING CATALOG - FZN &amp; CHILL'!B2253,"AAAAAH/Zn48=")</f>
        <v>#VALUE!</v>
      </c>
      <c r="EO341" t="e">
        <f>AND('STERLING CATALOG - FZN &amp; CHILL'!C2253,"AAAAAH/Zn5A=")</f>
        <v>#VALUE!</v>
      </c>
      <c r="EP341" t="e">
        <f>AND('STERLING CATALOG - FZN &amp; CHILL'!D2253,"AAAAAH/Zn5E=")</f>
        <v>#VALUE!</v>
      </c>
      <c r="EQ341" t="e">
        <f>AND('STERLING CATALOG - FZN &amp; CHILL'!E2253,"AAAAAH/Zn5I=")</f>
        <v>#VALUE!</v>
      </c>
      <c r="ER341" t="e">
        <f>AND('STERLING CATALOG - FZN &amp; CHILL'!F2253,"AAAAAH/Zn5M=")</f>
        <v>#VALUE!</v>
      </c>
      <c r="ES341" t="e">
        <f>AND('STERLING CATALOG - FZN &amp; CHILL'!G2253,"AAAAAH/Zn5Q=")</f>
        <v>#VALUE!</v>
      </c>
      <c r="ET341" t="e">
        <f>AND('STERLING CATALOG - FZN &amp; CHILL'!H2253,"AAAAAH/Zn5U=")</f>
        <v>#VALUE!</v>
      </c>
      <c r="EU341" t="e">
        <f>AND('STERLING CATALOG - FZN &amp; CHILL'!I2253,"AAAAAH/Zn5Y=")</f>
        <v>#VALUE!</v>
      </c>
      <c r="EV341" t="e">
        <f>AND('STERLING CATALOG - FZN &amp; CHILL'!J2253,"AAAAAH/Zn5c=")</f>
        <v>#VALUE!</v>
      </c>
      <c r="EW341">
        <f>IF('STERLING CATALOG - FZN &amp; CHILL'!2254:2254,"AAAAAH/Zn5g=",0)</f>
        <v>0</v>
      </c>
      <c r="EX341" t="e">
        <f>AND('STERLING CATALOG - FZN &amp; CHILL'!A2254,"AAAAAH/Zn5k=")</f>
        <v>#VALUE!</v>
      </c>
      <c r="EY341" t="e">
        <f>AND('STERLING CATALOG - FZN &amp; CHILL'!B2254,"AAAAAH/Zn5o=")</f>
        <v>#VALUE!</v>
      </c>
      <c r="EZ341" t="e">
        <f>AND('STERLING CATALOG - FZN &amp; CHILL'!C2254,"AAAAAH/Zn5s=")</f>
        <v>#VALUE!</v>
      </c>
      <c r="FA341" t="e">
        <f>AND('STERLING CATALOG - FZN &amp; CHILL'!D2254,"AAAAAH/Zn5w=")</f>
        <v>#VALUE!</v>
      </c>
      <c r="FB341" t="e">
        <f>AND('STERLING CATALOG - FZN &amp; CHILL'!E2254,"AAAAAH/Zn50=")</f>
        <v>#VALUE!</v>
      </c>
      <c r="FC341" t="e">
        <f>AND('STERLING CATALOG - FZN &amp; CHILL'!F2254,"AAAAAH/Zn54=")</f>
        <v>#VALUE!</v>
      </c>
      <c r="FD341" t="e">
        <f>AND('STERLING CATALOG - FZN &amp; CHILL'!G2254,"AAAAAH/Zn58=")</f>
        <v>#VALUE!</v>
      </c>
      <c r="FE341" t="e">
        <f>AND('STERLING CATALOG - FZN &amp; CHILL'!H2254,"AAAAAH/Zn6A=")</f>
        <v>#VALUE!</v>
      </c>
      <c r="FF341" t="e">
        <f>AND('STERLING CATALOG - FZN &amp; CHILL'!I2254,"AAAAAH/Zn6E=")</f>
        <v>#VALUE!</v>
      </c>
      <c r="FG341" t="e">
        <f>AND('STERLING CATALOG - FZN &amp; CHILL'!J2254,"AAAAAH/Zn6I=")</f>
        <v>#VALUE!</v>
      </c>
      <c r="FH341">
        <f>IF('STERLING CATALOG - FZN &amp; CHILL'!2255:2255,"AAAAAH/Zn6M=",0)</f>
        <v>0</v>
      </c>
      <c r="FI341" t="e">
        <f>AND('STERLING CATALOG - FZN &amp; CHILL'!A2255,"AAAAAH/Zn6Q=")</f>
        <v>#VALUE!</v>
      </c>
      <c r="FJ341" t="e">
        <f>AND('STERLING CATALOG - FZN &amp; CHILL'!B2255,"AAAAAH/Zn6U=")</f>
        <v>#VALUE!</v>
      </c>
      <c r="FK341" t="e">
        <f>AND('STERLING CATALOG - FZN &amp; CHILL'!C2255,"AAAAAH/Zn6Y=")</f>
        <v>#VALUE!</v>
      </c>
      <c r="FL341" t="e">
        <f>AND('STERLING CATALOG - FZN &amp; CHILL'!D2255,"AAAAAH/Zn6c=")</f>
        <v>#VALUE!</v>
      </c>
      <c r="FM341" t="e">
        <f>AND('STERLING CATALOG - FZN &amp; CHILL'!E2255,"AAAAAH/Zn6g=")</f>
        <v>#VALUE!</v>
      </c>
      <c r="FN341" t="e">
        <f>AND('STERLING CATALOG - FZN &amp; CHILL'!F2255,"AAAAAH/Zn6k=")</f>
        <v>#VALUE!</v>
      </c>
      <c r="FO341" t="e">
        <f>AND('STERLING CATALOG - FZN &amp; CHILL'!G2255,"AAAAAH/Zn6o=")</f>
        <v>#VALUE!</v>
      </c>
      <c r="FP341" t="e">
        <f>AND('STERLING CATALOG - FZN &amp; CHILL'!H2255,"AAAAAH/Zn6s=")</f>
        <v>#VALUE!</v>
      </c>
      <c r="FQ341" t="e">
        <f>AND('STERLING CATALOG - FZN &amp; CHILL'!I2255,"AAAAAH/Zn6w=")</f>
        <v>#VALUE!</v>
      </c>
      <c r="FR341" t="e">
        <f>AND('STERLING CATALOG - FZN &amp; CHILL'!J2255,"AAAAAH/Zn60=")</f>
        <v>#VALUE!</v>
      </c>
      <c r="FS341">
        <f>IF('STERLING CATALOG - FZN &amp; CHILL'!2256:2256,"AAAAAH/Zn64=",0)</f>
        <v>0</v>
      </c>
      <c r="FT341" t="e">
        <f>AND('STERLING CATALOG - FZN &amp; CHILL'!A2256,"AAAAAH/Zn68=")</f>
        <v>#VALUE!</v>
      </c>
      <c r="FU341" t="e">
        <f>AND('STERLING CATALOG - FZN &amp; CHILL'!B2256,"AAAAAH/Zn7A=")</f>
        <v>#VALUE!</v>
      </c>
      <c r="FV341" t="e">
        <f>AND('STERLING CATALOG - FZN &amp; CHILL'!C2256,"AAAAAH/Zn7E=")</f>
        <v>#VALUE!</v>
      </c>
      <c r="FW341" t="e">
        <f>AND('STERLING CATALOG - FZN &amp; CHILL'!D2256,"AAAAAH/Zn7I=")</f>
        <v>#VALUE!</v>
      </c>
      <c r="FX341" t="e">
        <f>AND('STERLING CATALOG - FZN &amp; CHILL'!E2256,"AAAAAH/Zn7M=")</f>
        <v>#VALUE!</v>
      </c>
      <c r="FY341" t="e">
        <f>AND('STERLING CATALOG - FZN &amp; CHILL'!F2256,"AAAAAH/Zn7Q=")</f>
        <v>#VALUE!</v>
      </c>
      <c r="FZ341" t="e">
        <f>AND('STERLING CATALOG - FZN &amp; CHILL'!G2256,"AAAAAH/Zn7U=")</f>
        <v>#VALUE!</v>
      </c>
      <c r="GA341" t="e">
        <f>AND('STERLING CATALOG - FZN &amp; CHILL'!H2256,"AAAAAH/Zn7Y=")</f>
        <v>#VALUE!</v>
      </c>
      <c r="GB341" t="e">
        <f>AND('STERLING CATALOG - FZN &amp; CHILL'!I2256,"AAAAAH/Zn7c=")</f>
        <v>#VALUE!</v>
      </c>
      <c r="GC341" t="e">
        <f>AND('STERLING CATALOG - FZN &amp; CHILL'!J2256,"AAAAAH/Zn7g=")</f>
        <v>#VALUE!</v>
      </c>
      <c r="GD341">
        <f>IF('STERLING CATALOG - FZN &amp; CHILL'!2257:2257,"AAAAAH/Zn7k=",0)</f>
        <v>0</v>
      </c>
      <c r="GE341" t="e">
        <f>AND('STERLING CATALOG - FZN &amp; CHILL'!A2257,"AAAAAH/Zn7o=")</f>
        <v>#VALUE!</v>
      </c>
      <c r="GF341" t="e">
        <f>AND('STERLING CATALOG - FZN &amp; CHILL'!B2257,"AAAAAH/Zn7s=")</f>
        <v>#VALUE!</v>
      </c>
      <c r="GG341" t="e">
        <f>AND('STERLING CATALOG - FZN &amp; CHILL'!C2257,"AAAAAH/Zn7w=")</f>
        <v>#VALUE!</v>
      </c>
      <c r="GH341" t="e">
        <f>AND('STERLING CATALOG - FZN &amp; CHILL'!D2257,"AAAAAH/Zn70=")</f>
        <v>#VALUE!</v>
      </c>
      <c r="GI341" t="e">
        <f>AND('STERLING CATALOG - FZN &amp; CHILL'!E2257,"AAAAAH/Zn74=")</f>
        <v>#VALUE!</v>
      </c>
      <c r="GJ341" t="e">
        <f>AND('STERLING CATALOG - FZN &amp; CHILL'!F2257,"AAAAAH/Zn78=")</f>
        <v>#VALUE!</v>
      </c>
      <c r="GK341" t="e">
        <f>AND('STERLING CATALOG - FZN &amp; CHILL'!G2257,"AAAAAH/Zn8A=")</f>
        <v>#VALUE!</v>
      </c>
      <c r="GL341" t="e">
        <f>AND('STERLING CATALOG - FZN &amp; CHILL'!H2257,"AAAAAH/Zn8E=")</f>
        <v>#VALUE!</v>
      </c>
      <c r="GM341" t="e">
        <f>AND('STERLING CATALOG - FZN &amp; CHILL'!I2257,"AAAAAH/Zn8I=")</f>
        <v>#VALUE!</v>
      </c>
      <c r="GN341" t="e">
        <f>AND('STERLING CATALOG - FZN &amp; CHILL'!J2257,"AAAAAH/Zn8M=")</f>
        <v>#VALUE!</v>
      </c>
      <c r="GO341">
        <f>IF('STERLING CATALOG - FZN &amp; CHILL'!2258:2258,"AAAAAH/Zn8Q=",0)</f>
        <v>0</v>
      </c>
      <c r="GP341" t="e">
        <f>AND('STERLING CATALOG - FZN &amp; CHILL'!A2258,"AAAAAH/Zn8U=")</f>
        <v>#VALUE!</v>
      </c>
      <c r="GQ341" t="e">
        <f>AND('STERLING CATALOG - FZN &amp; CHILL'!B2258,"AAAAAH/Zn8Y=")</f>
        <v>#VALUE!</v>
      </c>
      <c r="GR341" t="e">
        <f>AND('STERLING CATALOG - FZN &amp; CHILL'!C2258,"AAAAAH/Zn8c=")</f>
        <v>#VALUE!</v>
      </c>
      <c r="GS341" t="e">
        <f>AND('STERLING CATALOG - FZN &amp; CHILL'!D2258,"AAAAAH/Zn8g=")</f>
        <v>#VALUE!</v>
      </c>
      <c r="GT341" t="e">
        <f>AND('STERLING CATALOG - FZN &amp; CHILL'!E2258,"AAAAAH/Zn8k=")</f>
        <v>#VALUE!</v>
      </c>
      <c r="GU341" t="e">
        <f>AND('STERLING CATALOG - FZN &amp; CHILL'!F2258,"AAAAAH/Zn8o=")</f>
        <v>#VALUE!</v>
      </c>
      <c r="GV341" t="e">
        <f>AND('STERLING CATALOG - FZN &amp; CHILL'!G2258,"AAAAAH/Zn8s=")</f>
        <v>#VALUE!</v>
      </c>
      <c r="GW341" t="e">
        <f>AND('STERLING CATALOG - FZN &amp; CHILL'!H2258,"AAAAAH/Zn8w=")</f>
        <v>#VALUE!</v>
      </c>
      <c r="GX341" t="e">
        <f>AND('STERLING CATALOG - FZN &amp; CHILL'!I2258,"AAAAAH/Zn80=")</f>
        <v>#VALUE!</v>
      </c>
      <c r="GY341" t="e">
        <f>AND('STERLING CATALOG - FZN &amp; CHILL'!J2258,"AAAAAH/Zn84=")</f>
        <v>#VALUE!</v>
      </c>
      <c r="GZ341">
        <f>IF('STERLING CATALOG - FZN &amp; CHILL'!2259:2259,"AAAAAH/Zn88=",0)</f>
        <v>0</v>
      </c>
      <c r="HA341" t="e">
        <f>AND('STERLING CATALOG - FZN &amp; CHILL'!A2259,"AAAAAH/Zn9A=")</f>
        <v>#VALUE!</v>
      </c>
      <c r="HB341" t="e">
        <f>AND('STERLING CATALOG - FZN &amp; CHILL'!B2259,"AAAAAH/Zn9E=")</f>
        <v>#VALUE!</v>
      </c>
      <c r="HC341" t="e">
        <f>AND('STERLING CATALOG - FZN &amp; CHILL'!C2259,"AAAAAH/Zn9I=")</f>
        <v>#VALUE!</v>
      </c>
      <c r="HD341" t="e">
        <f>AND('STERLING CATALOG - FZN &amp; CHILL'!D2259,"AAAAAH/Zn9M=")</f>
        <v>#VALUE!</v>
      </c>
      <c r="HE341" t="e">
        <f>AND('STERLING CATALOG - FZN &amp; CHILL'!E2259,"AAAAAH/Zn9Q=")</f>
        <v>#VALUE!</v>
      </c>
      <c r="HF341" t="e">
        <f>AND('STERLING CATALOG - FZN &amp; CHILL'!F2259,"AAAAAH/Zn9U=")</f>
        <v>#VALUE!</v>
      </c>
      <c r="HG341" t="e">
        <f>AND('STERLING CATALOG - FZN &amp; CHILL'!G2259,"AAAAAH/Zn9Y=")</f>
        <v>#VALUE!</v>
      </c>
      <c r="HH341" t="e">
        <f>AND('STERLING CATALOG - FZN &amp; CHILL'!H2259,"AAAAAH/Zn9c=")</f>
        <v>#VALUE!</v>
      </c>
      <c r="HI341" t="e">
        <f>AND('STERLING CATALOG - FZN &amp; CHILL'!I2259,"AAAAAH/Zn9g=")</f>
        <v>#VALUE!</v>
      </c>
      <c r="HJ341" t="e">
        <f>AND('STERLING CATALOG - FZN &amp; CHILL'!J2259,"AAAAAH/Zn9k=")</f>
        <v>#VALUE!</v>
      </c>
      <c r="HK341">
        <f>IF('STERLING CATALOG - FZN &amp; CHILL'!2260:2260,"AAAAAH/Zn9o=",0)</f>
        <v>0</v>
      </c>
      <c r="HL341" t="e">
        <f>AND('STERLING CATALOG - FZN &amp; CHILL'!A2260,"AAAAAH/Zn9s=")</f>
        <v>#VALUE!</v>
      </c>
      <c r="HM341" t="e">
        <f>AND('STERLING CATALOG - FZN &amp; CHILL'!B2260,"AAAAAH/Zn9w=")</f>
        <v>#VALUE!</v>
      </c>
      <c r="HN341" t="e">
        <f>AND('STERLING CATALOG - FZN &amp; CHILL'!C2260,"AAAAAH/Zn90=")</f>
        <v>#VALUE!</v>
      </c>
      <c r="HO341" t="e">
        <f>AND('STERLING CATALOG - FZN &amp; CHILL'!D2260,"AAAAAH/Zn94=")</f>
        <v>#VALUE!</v>
      </c>
      <c r="HP341" t="e">
        <f>AND('STERLING CATALOG - FZN &amp; CHILL'!E2260,"AAAAAH/Zn98=")</f>
        <v>#VALUE!</v>
      </c>
      <c r="HQ341" t="e">
        <f>AND('STERLING CATALOG - FZN &amp; CHILL'!F2260,"AAAAAH/Zn+A=")</f>
        <v>#VALUE!</v>
      </c>
      <c r="HR341" t="e">
        <f>AND('STERLING CATALOG - FZN &amp; CHILL'!G2260,"AAAAAH/Zn+E=")</f>
        <v>#VALUE!</v>
      </c>
      <c r="HS341" t="e">
        <f>AND('STERLING CATALOG - FZN &amp; CHILL'!H2260,"AAAAAH/Zn+I=")</f>
        <v>#VALUE!</v>
      </c>
      <c r="HT341" t="e">
        <f>AND('STERLING CATALOG - FZN &amp; CHILL'!I2260,"AAAAAH/Zn+M=")</f>
        <v>#VALUE!</v>
      </c>
      <c r="HU341" t="e">
        <f>AND('STERLING CATALOG - FZN &amp; CHILL'!J2260,"AAAAAH/Zn+Q=")</f>
        <v>#VALUE!</v>
      </c>
      <c r="HV341">
        <f>IF('STERLING CATALOG - FZN &amp; CHILL'!2261:2261,"AAAAAH/Zn+U=",0)</f>
        <v>0</v>
      </c>
      <c r="HW341" t="e">
        <f>AND('STERLING CATALOG - FZN &amp; CHILL'!A2261,"AAAAAH/Zn+Y=")</f>
        <v>#VALUE!</v>
      </c>
      <c r="HX341" t="e">
        <f>AND('STERLING CATALOG - FZN &amp; CHILL'!B2261,"AAAAAH/Zn+c=")</f>
        <v>#VALUE!</v>
      </c>
      <c r="HY341" t="e">
        <f>AND('STERLING CATALOG - FZN &amp; CHILL'!C2261,"AAAAAH/Zn+g=")</f>
        <v>#VALUE!</v>
      </c>
      <c r="HZ341" t="e">
        <f>AND('STERLING CATALOG - FZN &amp; CHILL'!D2261,"AAAAAH/Zn+k=")</f>
        <v>#VALUE!</v>
      </c>
      <c r="IA341" t="e">
        <f>AND('STERLING CATALOG - FZN &amp; CHILL'!E2261,"AAAAAH/Zn+o=")</f>
        <v>#VALUE!</v>
      </c>
      <c r="IB341" t="e">
        <f>AND('STERLING CATALOG - FZN &amp; CHILL'!F2261,"AAAAAH/Zn+s=")</f>
        <v>#VALUE!</v>
      </c>
      <c r="IC341" t="e">
        <f>AND('STERLING CATALOG - FZN &amp; CHILL'!G2261,"AAAAAH/Zn+w=")</f>
        <v>#VALUE!</v>
      </c>
      <c r="ID341" t="e">
        <f>AND('STERLING CATALOG - FZN &amp; CHILL'!H2261,"AAAAAH/Zn+0=")</f>
        <v>#VALUE!</v>
      </c>
      <c r="IE341" t="e">
        <f>AND('STERLING CATALOG - FZN &amp; CHILL'!I2261,"AAAAAH/Zn+4=")</f>
        <v>#VALUE!</v>
      </c>
      <c r="IF341" t="e">
        <f>AND('STERLING CATALOG - FZN &amp; CHILL'!J2261,"AAAAAH/Zn+8=")</f>
        <v>#VALUE!</v>
      </c>
      <c r="IG341">
        <f>IF('STERLING CATALOG - FZN &amp; CHILL'!2262:2262,"AAAAAH/Zn/A=",0)</f>
        <v>0</v>
      </c>
      <c r="IH341" t="e">
        <f>AND('STERLING CATALOG - FZN &amp; CHILL'!A2262,"AAAAAH/Zn/E=")</f>
        <v>#VALUE!</v>
      </c>
      <c r="II341" t="e">
        <f>AND('STERLING CATALOG - FZN &amp; CHILL'!B2262,"AAAAAH/Zn/I=")</f>
        <v>#VALUE!</v>
      </c>
      <c r="IJ341" t="e">
        <f>AND('STERLING CATALOG - FZN &amp; CHILL'!C2262,"AAAAAH/Zn/M=")</f>
        <v>#VALUE!</v>
      </c>
      <c r="IK341" t="e">
        <f>AND('STERLING CATALOG - FZN &amp; CHILL'!D2262,"AAAAAH/Zn/Q=")</f>
        <v>#VALUE!</v>
      </c>
      <c r="IL341" t="e">
        <f>AND('STERLING CATALOG - FZN &amp; CHILL'!E2262,"AAAAAH/Zn/U=")</f>
        <v>#VALUE!</v>
      </c>
      <c r="IM341" t="e">
        <f>AND('STERLING CATALOG - FZN &amp; CHILL'!F2262,"AAAAAH/Zn/Y=")</f>
        <v>#VALUE!</v>
      </c>
      <c r="IN341" t="e">
        <f>AND('STERLING CATALOG - FZN &amp; CHILL'!G2262,"AAAAAH/Zn/c=")</f>
        <v>#VALUE!</v>
      </c>
      <c r="IO341" t="e">
        <f>AND('STERLING CATALOG - FZN &amp; CHILL'!H2262,"AAAAAH/Zn/g=")</f>
        <v>#VALUE!</v>
      </c>
      <c r="IP341" t="e">
        <f>AND('STERLING CATALOG - FZN &amp; CHILL'!I2262,"AAAAAH/Zn/k=")</f>
        <v>#VALUE!</v>
      </c>
      <c r="IQ341" t="e">
        <f>AND('STERLING CATALOG - FZN &amp; CHILL'!J2262,"AAAAAH/Zn/o=")</f>
        <v>#VALUE!</v>
      </c>
      <c r="IR341">
        <f>IF('STERLING CATALOG - FZN &amp; CHILL'!2263:2263,"AAAAAH/Zn/s=",0)</f>
        <v>0</v>
      </c>
      <c r="IS341" t="e">
        <f>AND('STERLING CATALOG - FZN &amp; CHILL'!A2263,"AAAAAH/Zn/w=")</f>
        <v>#VALUE!</v>
      </c>
      <c r="IT341" t="e">
        <f>AND('STERLING CATALOG - FZN &amp; CHILL'!B2263,"AAAAAH/Zn/0=")</f>
        <v>#VALUE!</v>
      </c>
      <c r="IU341" t="e">
        <f>AND('STERLING CATALOG - FZN &amp; CHILL'!C2263,"AAAAAH/Zn/4=")</f>
        <v>#VALUE!</v>
      </c>
      <c r="IV341" t="e">
        <f>AND('STERLING CATALOG - FZN &amp; CHILL'!D2263,"AAAAAH/Zn/8=")</f>
        <v>#VALUE!</v>
      </c>
    </row>
    <row r="342" spans="1:256">
      <c r="A342" t="e">
        <f>AND('STERLING CATALOG - FZN &amp; CHILL'!E2263,"AAAAAH7f/wA=")</f>
        <v>#VALUE!</v>
      </c>
      <c r="B342" t="e">
        <f>AND('STERLING CATALOG - FZN &amp; CHILL'!F2263,"AAAAAH7f/wE=")</f>
        <v>#VALUE!</v>
      </c>
      <c r="C342" t="e">
        <f>AND('STERLING CATALOG - FZN &amp; CHILL'!G2263,"AAAAAH7f/wI=")</f>
        <v>#VALUE!</v>
      </c>
      <c r="D342" t="e">
        <f>AND('STERLING CATALOG - FZN &amp; CHILL'!H2263,"AAAAAH7f/wM=")</f>
        <v>#VALUE!</v>
      </c>
      <c r="E342" t="e">
        <f>AND('STERLING CATALOG - FZN &amp; CHILL'!I2263,"AAAAAH7f/wQ=")</f>
        <v>#VALUE!</v>
      </c>
      <c r="F342" t="e">
        <f>AND('STERLING CATALOG - FZN &amp; CHILL'!J2263,"AAAAAH7f/wU=")</f>
        <v>#VALUE!</v>
      </c>
      <c r="G342" t="str">
        <f>IF('STERLING CATALOG - FZN &amp; CHILL'!2264:2264,"AAAAAH7f/wY=",0)</f>
        <v>AAAAAH7f/wY=</v>
      </c>
      <c r="H342" t="e">
        <f>AND('STERLING CATALOG - FZN &amp; CHILL'!A2264,"AAAAAH7f/wc=")</f>
        <v>#VALUE!</v>
      </c>
      <c r="I342" t="e">
        <f>AND('STERLING CATALOG - FZN &amp; CHILL'!B2264,"AAAAAH7f/wg=")</f>
        <v>#VALUE!</v>
      </c>
      <c r="J342" t="e">
        <f>AND('STERLING CATALOG - FZN &amp; CHILL'!C2264,"AAAAAH7f/wk=")</f>
        <v>#VALUE!</v>
      </c>
      <c r="K342" t="e">
        <f>AND('STERLING CATALOG - FZN &amp; CHILL'!D2264,"AAAAAH7f/wo=")</f>
        <v>#VALUE!</v>
      </c>
      <c r="L342" t="e">
        <f>AND('STERLING CATALOG - FZN &amp; CHILL'!E2264,"AAAAAH7f/ws=")</f>
        <v>#VALUE!</v>
      </c>
      <c r="M342" t="e">
        <f>AND('STERLING CATALOG - FZN &amp; CHILL'!F2264,"AAAAAH7f/ww=")</f>
        <v>#VALUE!</v>
      </c>
      <c r="N342" t="e">
        <f>AND('STERLING CATALOG - FZN &amp; CHILL'!G2264,"AAAAAH7f/w0=")</f>
        <v>#VALUE!</v>
      </c>
      <c r="O342" t="e">
        <f>AND('STERLING CATALOG - FZN &amp; CHILL'!H2264,"AAAAAH7f/w4=")</f>
        <v>#VALUE!</v>
      </c>
      <c r="P342" t="e">
        <f>AND('STERLING CATALOG - FZN &amp; CHILL'!I2264,"AAAAAH7f/w8=")</f>
        <v>#VALUE!</v>
      </c>
      <c r="Q342" t="e">
        <f>AND('STERLING CATALOG - FZN &amp; CHILL'!J2264,"AAAAAH7f/xA=")</f>
        <v>#VALUE!</v>
      </c>
      <c r="R342">
        <f>IF('STERLING CATALOG - FZN &amp; CHILL'!2265:2265,"AAAAAH7f/xE=",0)</f>
        <v>0</v>
      </c>
      <c r="S342" t="e">
        <f>AND('STERLING CATALOG - FZN &amp; CHILL'!A2265,"AAAAAH7f/xI=")</f>
        <v>#VALUE!</v>
      </c>
      <c r="T342" t="e">
        <f>AND('STERLING CATALOG - FZN &amp; CHILL'!B2265,"AAAAAH7f/xM=")</f>
        <v>#VALUE!</v>
      </c>
      <c r="U342" t="e">
        <f>AND('STERLING CATALOG - FZN &amp; CHILL'!C2265,"AAAAAH7f/xQ=")</f>
        <v>#VALUE!</v>
      </c>
      <c r="V342" t="e">
        <f>AND('STERLING CATALOG - FZN &amp; CHILL'!D2265,"AAAAAH7f/xU=")</f>
        <v>#VALUE!</v>
      </c>
      <c r="W342" t="e">
        <f>AND('STERLING CATALOG - FZN &amp; CHILL'!E2265,"AAAAAH7f/xY=")</f>
        <v>#VALUE!</v>
      </c>
      <c r="X342" t="e">
        <f>AND('STERLING CATALOG - FZN &amp; CHILL'!F2265,"AAAAAH7f/xc=")</f>
        <v>#VALUE!</v>
      </c>
      <c r="Y342" t="e">
        <f>AND('STERLING CATALOG - FZN &amp; CHILL'!G2265,"AAAAAH7f/xg=")</f>
        <v>#VALUE!</v>
      </c>
      <c r="Z342" t="e">
        <f>AND('STERLING CATALOG - FZN &amp; CHILL'!H2265,"AAAAAH7f/xk=")</f>
        <v>#VALUE!</v>
      </c>
      <c r="AA342" t="e">
        <f>AND('STERLING CATALOG - FZN &amp; CHILL'!I2265,"AAAAAH7f/xo=")</f>
        <v>#VALUE!</v>
      </c>
      <c r="AB342" t="e">
        <f>AND('STERLING CATALOG - FZN &amp; CHILL'!J2265,"AAAAAH7f/xs=")</f>
        <v>#VALUE!</v>
      </c>
      <c r="AC342">
        <f>IF('STERLING CATALOG - FZN &amp; CHILL'!2266:2266,"AAAAAH7f/xw=",0)</f>
        <v>0</v>
      </c>
      <c r="AD342" t="e">
        <f>AND('STERLING CATALOG - FZN &amp; CHILL'!A2266,"AAAAAH7f/x0=")</f>
        <v>#VALUE!</v>
      </c>
      <c r="AE342" t="e">
        <f>AND('STERLING CATALOG - FZN &amp; CHILL'!B2266,"AAAAAH7f/x4=")</f>
        <v>#VALUE!</v>
      </c>
      <c r="AF342" t="e">
        <f>AND('STERLING CATALOG - FZN &amp; CHILL'!C2266,"AAAAAH7f/x8=")</f>
        <v>#VALUE!</v>
      </c>
      <c r="AG342" t="e">
        <f>AND('STERLING CATALOG - FZN &amp; CHILL'!D2266,"AAAAAH7f/yA=")</f>
        <v>#VALUE!</v>
      </c>
      <c r="AH342" t="e">
        <f>AND('STERLING CATALOG - FZN &amp; CHILL'!E2266,"AAAAAH7f/yE=")</f>
        <v>#VALUE!</v>
      </c>
      <c r="AI342" t="e">
        <f>AND('STERLING CATALOG - FZN &amp; CHILL'!F2266,"AAAAAH7f/yI=")</f>
        <v>#VALUE!</v>
      </c>
      <c r="AJ342" t="e">
        <f>AND('STERLING CATALOG - FZN &amp; CHILL'!G2266,"AAAAAH7f/yM=")</f>
        <v>#VALUE!</v>
      </c>
      <c r="AK342" t="e">
        <f>AND('STERLING CATALOG - FZN &amp; CHILL'!H2266,"AAAAAH7f/yQ=")</f>
        <v>#VALUE!</v>
      </c>
      <c r="AL342" t="e">
        <f>AND('STERLING CATALOG - FZN &amp; CHILL'!I2266,"AAAAAH7f/yU=")</f>
        <v>#VALUE!</v>
      </c>
      <c r="AM342" t="e">
        <f>AND('STERLING CATALOG - FZN &amp; CHILL'!J2266,"AAAAAH7f/yY=")</f>
        <v>#VALUE!</v>
      </c>
      <c r="AN342">
        <f>IF('STERLING CATALOG - FZN &amp; CHILL'!2267:2267,"AAAAAH7f/yc=",0)</f>
        <v>0</v>
      </c>
      <c r="AO342" t="e">
        <f>AND('STERLING CATALOG - FZN &amp; CHILL'!A2267,"AAAAAH7f/yg=")</f>
        <v>#VALUE!</v>
      </c>
      <c r="AP342" t="e">
        <f>AND('STERLING CATALOG - FZN &amp; CHILL'!B2267,"AAAAAH7f/yk=")</f>
        <v>#VALUE!</v>
      </c>
      <c r="AQ342" t="e">
        <f>AND('STERLING CATALOG - FZN &amp; CHILL'!C2267,"AAAAAH7f/yo=")</f>
        <v>#VALUE!</v>
      </c>
      <c r="AR342" t="e">
        <f>AND('STERLING CATALOG - FZN &amp; CHILL'!D2267,"AAAAAH7f/ys=")</f>
        <v>#VALUE!</v>
      </c>
      <c r="AS342" t="e">
        <f>AND('STERLING CATALOG - FZN &amp; CHILL'!E2267,"AAAAAH7f/yw=")</f>
        <v>#VALUE!</v>
      </c>
      <c r="AT342" t="e">
        <f>AND('STERLING CATALOG - FZN &amp; CHILL'!F2267,"AAAAAH7f/y0=")</f>
        <v>#VALUE!</v>
      </c>
      <c r="AU342" t="e">
        <f>AND('STERLING CATALOG - FZN &amp; CHILL'!G2267,"AAAAAH7f/y4=")</f>
        <v>#VALUE!</v>
      </c>
      <c r="AV342" t="e">
        <f>AND('STERLING CATALOG - FZN &amp; CHILL'!H2267,"AAAAAH7f/y8=")</f>
        <v>#VALUE!</v>
      </c>
      <c r="AW342" t="e">
        <f>AND('STERLING CATALOG - FZN &amp; CHILL'!I2267,"AAAAAH7f/zA=")</f>
        <v>#VALUE!</v>
      </c>
      <c r="AX342" t="e">
        <f>AND('STERLING CATALOG - FZN &amp; CHILL'!J2267,"AAAAAH7f/zE=")</f>
        <v>#VALUE!</v>
      </c>
      <c r="AY342">
        <f>IF('STERLING CATALOG - FZN &amp; CHILL'!2268:2268,"AAAAAH7f/zI=",0)</f>
        <v>0</v>
      </c>
      <c r="AZ342" t="e">
        <f>AND('STERLING CATALOG - FZN &amp; CHILL'!A2268,"AAAAAH7f/zM=")</f>
        <v>#VALUE!</v>
      </c>
      <c r="BA342" t="e">
        <f>AND('STERLING CATALOG - FZN &amp; CHILL'!B2268,"AAAAAH7f/zQ=")</f>
        <v>#VALUE!</v>
      </c>
      <c r="BB342" t="e">
        <f>AND('STERLING CATALOG - FZN &amp; CHILL'!C2268,"AAAAAH7f/zU=")</f>
        <v>#VALUE!</v>
      </c>
      <c r="BC342" t="e">
        <f>AND('STERLING CATALOG - FZN &amp; CHILL'!D2268,"AAAAAH7f/zY=")</f>
        <v>#VALUE!</v>
      </c>
      <c r="BD342" t="e">
        <f>AND('STERLING CATALOG - FZN &amp; CHILL'!E2268,"AAAAAH7f/zc=")</f>
        <v>#VALUE!</v>
      </c>
      <c r="BE342" t="e">
        <f>AND('STERLING CATALOG - FZN &amp; CHILL'!F2268,"AAAAAH7f/zg=")</f>
        <v>#VALUE!</v>
      </c>
      <c r="BF342" t="e">
        <f>AND('STERLING CATALOG - FZN &amp; CHILL'!G2268,"AAAAAH7f/zk=")</f>
        <v>#VALUE!</v>
      </c>
      <c r="BG342" t="e">
        <f>AND('STERLING CATALOG - FZN &amp; CHILL'!H2268,"AAAAAH7f/zo=")</f>
        <v>#VALUE!</v>
      </c>
      <c r="BH342" t="e">
        <f>AND('STERLING CATALOG - FZN &amp; CHILL'!I2268,"AAAAAH7f/zs=")</f>
        <v>#VALUE!</v>
      </c>
      <c r="BI342" t="e">
        <f>AND('STERLING CATALOG - FZN &amp; CHILL'!J2268,"AAAAAH7f/zw=")</f>
        <v>#VALUE!</v>
      </c>
      <c r="BJ342">
        <f>IF('STERLING CATALOG - FZN &amp; CHILL'!2269:2269,"AAAAAH7f/z0=",0)</f>
        <v>0</v>
      </c>
      <c r="BK342" t="e">
        <f>AND('STERLING CATALOG - FZN &amp; CHILL'!A2269,"AAAAAH7f/z4=")</f>
        <v>#VALUE!</v>
      </c>
      <c r="BL342" t="e">
        <f>AND('STERLING CATALOG - FZN &amp; CHILL'!B2269,"AAAAAH7f/z8=")</f>
        <v>#VALUE!</v>
      </c>
      <c r="BM342" t="e">
        <f>AND('STERLING CATALOG - FZN &amp; CHILL'!C2269,"AAAAAH7f/0A=")</f>
        <v>#VALUE!</v>
      </c>
      <c r="BN342" t="e">
        <f>AND('STERLING CATALOG - FZN &amp; CHILL'!D2269,"AAAAAH7f/0E=")</f>
        <v>#VALUE!</v>
      </c>
      <c r="BO342" t="e">
        <f>AND('STERLING CATALOG - FZN &amp; CHILL'!E2269,"AAAAAH7f/0I=")</f>
        <v>#VALUE!</v>
      </c>
      <c r="BP342" t="e">
        <f>AND('STERLING CATALOG - FZN &amp; CHILL'!F2269,"AAAAAH7f/0M=")</f>
        <v>#VALUE!</v>
      </c>
      <c r="BQ342" t="e">
        <f>AND('STERLING CATALOG - FZN &amp; CHILL'!G2269,"AAAAAH7f/0Q=")</f>
        <v>#VALUE!</v>
      </c>
      <c r="BR342" t="e">
        <f>AND('STERLING CATALOG - FZN &amp; CHILL'!H2269,"AAAAAH7f/0U=")</f>
        <v>#VALUE!</v>
      </c>
      <c r="BS342" t="e">
        <f>AND('STERLING CATALOG - FZN &amp; CHILL'!I2269,"AAAAAH7f/0Y=")</f>
        <v>#VALUE!</v>
      </c>
      <c r="BT342" t="e">
        <f>AND('STERLING CATALOG - FZN &amp; CHILL'!J2269,"AAAAAH7f/0c=")</f>
        <v>#VALUE!</v>
      </c>
      <c r="BU342">
        <f>IF('STERLING CATALOG - FZN &amp; CHILL'!2270:2270,"AAAAAH7f/0g=",0)</f>
        <v>0</v>
      </c>
      <c r="BV342" t="e">
        <f>AND('STERLING CATALOG - FZN &amp; CHILL'!A2270,"AAAAAH7f/0k=")</f>
        <v>#VALUE!</v>
      </c>
      <c r="BW342" t="e">
        <f>AND('STERLING CATALOG - FZN &amp; CHILL'!B2270,"AAAAAH7f/0o=")</f>
        <v>#VALUE!</v>
      </c>
      <c r="BX342" t="e">
        <f>AND('STERLING CATALOG - FZN &amp; CHILL'!C2270,"AAAAAH7f/0s=")</f>
        <v>#VALUE!</v>
      </c>
      <c r="BY342" t="e">
        <f>AND('STERLING CATALOG - FZN &amp; CHILL'!D2270,"AAAAAH7f/0w=")</f>
        <v>#VALUE!</v>
      </c>
      <c r="BZ342" t="e">
        <f>AND('STERLING CATALOG - FZN &amp; CHILL'!E2270,"AAAAAH7f/00=")</f>
        <v>#VALUE!</v>
      </c>
      <c r="CA342" t="e">
        <f>AND('STERLING CATALOG - FZN &amp; CHILL'!F2270,"AAAAAH7f/04=")</f>
        <v>#VALUE!</v>
      </c>
      <c r="CB342" t="e">
        <f>AND('STERLING CATALOG - FZN &amp; CHILL'!G2270,"AAAAAH7f/08=")</f>
        <v>#VALUE!</v>
      </c>
      <c r="CC342" t="e">
        <f>AND('STERLING CATALOG - FZN &amp; CHILL'!H2270,"AAAAAH7f/1A=")</f>
        <v>#VALUE!</v>
      </c>
      <c r="CD342" t="e">
        <f>AND('STERLING CATALOG - FZN &amp; CHILL'!I2270,"AAAAAH7f/1E=")</f>
        <v>#VALUE!</v>
      </c>
      <c r="CE342" t="e">
        <f>AND('STERLING CATALOG - FZN &amp; CHILL'!J2270,"AAAAAH7f/1I=")</f>
        <v>#VALUE!</v>
      </c>
      <c r="CF342">
        <f>IF('STERLING CATALOG - FZN &amp; CHILL'!2271:2271,"AAAAAH7f/1M=",0)</f>
        <v>0</v>
      </c>
      <c r="CG342" t="e">
        <f>AND('STERLING CATALOG - FZN &amp; CHILL'!A2271,"AAAAAH7f/1Q=")</f>
        <v>#VALUE!</v>
      </c>
      <c r="CH342" t="e">
        <f>AND('STERLING CATALOG - FZN &amp; CHILL'!B2271,"AAAAAH7f/1U=")</f>
        <v>#VALUE!</v>
      </c>
      <c r="CI342" t="e">
        <f>AND('STERLING CATALOG - FZN &amp; CHILL'!C2271,"AAAAAH7f/1Y=")</f>
        <v>#VALUE!</v>
      </c>
      <c r="CJ342" t="e">
        <f>AND('STERLING CATALOG - FZN &amp; CHILL'!D2271,"AAAAAH7f/1c=")</f>
        <v>#VALUE!</v>
      </c>
      <c r="CK342" t="e">
        <f>AND('STERLING CATALOG - FZN &amp; CHILL'!E2271,"AAAAAH7f/1g=")</f>
        <v>#VALUE!</v>
      </c>
      <c r="CL342" t="e">
        <f>AND('STERLING CATALOG - FZN &amp; CHILL'!F2271,"AAAAAH7f/1k=")</f>
        <v>#VALUE!</v>
      </c>
      <c r="CM342" t="e">
        <f>AND('STERLING CATALOG - FZN &amp; CHILL'!G2271,"AAAAAH7f/1o=")</f>
        <v>#VALUE!</v>
      </c>
      <c r="CN342" t="e">
        <f>AND('STERLING CATALOG - FZN &amp; CHILL'!H2271,"AAAAAH7f/1s=")</f>
        <v>#VALUE!</v>
      </c>
      <c r="CO342" t="e">
        <f>AND('STERLING CATALOG - FZN &amp; CHILL'!I2271,"AAAAAH7f/1w=")</f>
        <v>#VALUE!</v>
      </c>
      <c r="CP342" t="e">
        <f>AND('STERLING CATALOG - FZN &amp; CHILL'!J2271,"AAAAAH7f/10=")</f>
        <v>#VALUE!</v>
      </c>
      <c r="CQ342">
        <f>IF('STERLING CATALOG - FZN &amp; CHILL'!2272:2272,"AAAAAH7f/14=",0)</f>
        <v>0</v>
      </c>
      <c r="CR342" t="e">
        <f>AND('STERLING CATALOG - FZN &amp; CHILL'!A2272,"AAAAAH7f/18=")</f>
        <v>#VALUE!</v>
      </c>
      <c r="CS342" t="e">
        <f>AND('STERLING CATALOG - FZN &amp; CHILL'!B2272,"AAAAAH7f/2A=")</f>
        <v>#VALUE!</v>
      </c>
      <c r="CT342" t="e">
        <f>AND('STERLING CATALOG - FZN &amp; CHILL'!C2272,"AAAAAH7f/2E=")</f>
        <v>#VALUE!</v>
      </c>
      <c r="CU342" t="e">
        <f>AND('STERLING CATALOG - FZN &amp; CHILL'!D2272,"AAAAAH7f/2I=")</f>
        <v>#VALUE!</v>
      </c>
      <c r="CV342" t="e">
        <f>AND('STERLING CATALOG - FZN &amp; CHILL'!E2272,"AAAAAH7f/2M=")</f>
        <v>#VALUE!</v>
      </c>
      <c r="CW342" t="e">
        <f>AND('STERLING CATALOG - FZN &amp; CHILL'!F2272,"AAAAAH7f/2Q=")</f>
        <v>#VALUE!</v>
      </c>
      <c r="CX342" t="e">
        <f>AND('STERLING CATALOG - FZN &amp; CHILL'!G2272,"AAAAAH7f/2U=")</f>
        <v>#VALUE!</v>
      </c>
      <c r="CY342" t="e">
        <f>AND('STERLING CATALOG - FZN &amp; CHILL'!H2272,"AAAAAH7f/2Y=")</f>
        <v>#VALUE!</v>
      </c>
      <c r="CZ342" t="e">
        <f>AND('STERLING CATALOG - FZN &amp; CHILL'!I2272,"AAAAAH7f/2c=")</f>
        <v>#VALUE!</v>
      </c>
      <c r="DA342" t="e">
        <f>AND('STERLING CATALOG - FZN &amp; CHILL'!J2272,"AAAAAH7f/2g=")</f>
        <v>#VALUE!</v>
      </c>
      <c r="DB342">
        <f>IF('STERLING CATALOG - FZN &amp; CHILL'!2273:2273,"AAAAAH7f/2k=",0)</f>
        <v>0</v>
      </c>
      <c r="DC342" t="e">
        <f>AND('STERLING CATALOG - FZN &amp; CHILL'!A2273,"AAAAAH7f/2o=")</f>
        <v>#VALUE!</v>
      </c>
      <c r="DD342" t="e">
        <f>AND('STERLING CATALOG - FZN &amp; CHILL'!B2273,"AAAAAH7f/2s=")</f>
        <v>#VALUE!</v>
      </c>
      <c r="DE342" t="e">
        <f>AND('STERLING CATALOG - FZN &amp; CHILL'!C2273,"AAAAAH7f/2w=")</f>
        <v>#VALUE!</v>
      </c>
      <c r="DF342" t="e">
        <f>AND('STERLING CATALOG - FZN &amp; CHILL'!D2273,"AAAAAH7f/20=")</f>
        <v>#VALUE!</v>
      </c>
      <c r="DG342" t="e">
        <f>AND('STERLING CATALOG - FZN &amp; CHILL'!E2273,"AAAAAH7f/24=")</f>
        <v>#VALUE!</v>
      </c>
      <c r="DH342" t="e">
        <f>AND('STERLING CATALOG - FZN &amp; CHILL'!F2273,"AAAAAH7f/28=")</f>
        <v>#VALUE!</v>
      </c>
      <c r="DI342" t="e">
        <f>AND('STERLING CATALOG - FZN &amp; CHILL'!G2273,"AAAAAH7f/3A=")</f>
        <v>#VALUE!</v>
      </c>
      <c r="DJ342" t="e">
        <f>AND('STERLING CATALOG - FZN &amp; CHILL'!H2273,"AAAAAH7f/3E=")</f>
        <v>#VALUE!</v>
      </c>
      <c r="DK342" t="e">
        <f>AND('STERLING CATALOG - FZN &amp; CHILL'!I2273,"AAAAAH7f/3I=")</f>
        <v>#VALUE!</v>
      </c>
      <c r="DL342" t="e">
        <f>AND('STERLING CATALOG - FZN &amp; CHILL'!J2273,"AAAAAH7f/3M=")</f>
        <v>#VALUE!</v>
      </c>
      <c r="DM342">
        <f>IF('STERLING CATALOG - FZN &amp; CHILL'!2274:2274,"AAAAAH7f/3Q=",0)</f>
        <v>0</v>
      </c>
      <c r="DN342" t="e">
        <f>AND('STERLING CATALOG - FZN &amp; CHILL'!A2274,"AAAAAH7f/3U=")</f>
        <v>#VALUE!</v>
      </c>
      <c r="DO342" t="e">
        <f>AND('STERLING CATALOG - FZN &amp; CHILL'!B2274,"AAAAAH7f/3Y=")</f>
        <v>#VALUE!</v>
      </c>
      <c r="DP342" t="e">
        <f>AND('STERLING CATALOG - FZN &amp; CHILL'!C2274,"AAAAAH7f/3c=")</f>
        <v>#VALUE!</v>
      </c>
      <c r="DQ342" t="e">
        <f>AND('STERLING CATALOG - FZN &amp; CHILL'!D2274,"AAAAAH7f/3g=")</f>
        <v>#VALUE!</v>
      </c>
      <c r="DR342" t="e">
        <f>AND('STERLING CATALOG - FZN &amp; CHILL'!E2274,"AAAAAH7f/3k=")</f>
        <v>#VALUE!</v>
      </c>
      <c r="DS342" t="e">
        <f>AND('STERLING CATALOG - FZN &amp; CHILL'!F2274,"AAAAAH7f/3o=")</f>
        <v>#VALUE!</v>
      </c>
      <c r="DT342" t="e">
        <f>AND('STERLING CATALOG - FZN &amp; CHILL'!G2274,"AAAAAH7f/3s=")</f>
        <v>#VALUE!</v>
      </c>
      <c r="DU342" t="e">
        <f>AND('STERLING CATALOG - FZN &amp; CHILL'!H2274,"AAAAAH7f/3w=")</f>
        <v>#VALUE!</v>
      </c>
      <c r="DV342" t="e">
        <f>AND('STERLING CATALOG - FZN &amp; CHILL'!I2274,"AAAAAH7f/30=")</f>
        <v>#VALUE!</v>
      </c>
      <c r="DW342" t="e">
        <f>AND('STERLING CATALOG - FZN &amp; CHILL'!J2274,"AAAAAH7f/34=")</f>
        <v>#VALUE!</v>
      </c>
      <c r="DX342">
        <f>IF('STERLING CATALOG - FZN &amp; CHILL'!2275:2275,"AAAAAH7f/38=",0)</f>
        <v>0</v>
      </c>
      <c r="DY342" t="e">
        <f>AND('STERLING CATALOG - FZN &amp; CHILL'!A2275,"AAAAAH7f/4A=")</f>
        <v>#VALUE!</v>
      </c>
      <c r="DZ342" t="e">
        <f>AND('STERLING CATALOG - FZN &amp; CHILL'!B2275,"AAAAAH7f/4E=")</f>
        <v>#VALUE!</v>
      </c>
      <c r="EA342" t="e">
        <f>AND('STERLING CATALOG - FZN &amp; CHILL'!C2275,"AAAAAH7f/4I=")</f>
        <v>#VALUE!</v>
      </c>
      <c r="EB342" t="e">
        <f>AND('STERLING CATALOG - FZN &amp; CHILL'!D2275,"AAAAAH7f/4M=")</f>
        <v>#VALUE!</v>
      </c>
      <c r="EC342" t="e">
        <f>AND('STERLING CATALOG - FZN &amp; CHILL'!E2275,"AAAAAH7f/4Q=")</f>
        <v>#VALUE!</v>
      </c>
      <c r="ED342" t="e">
        <f>AND('STERLING CATALOG - FZN &amp; CHILL'!F2275,"AAAAAH7f/4U=")</f>
        <v>#VALUE!</v>
      </c>
      <c r="EE342" t="e">
        <f>AND('STERLING CATALOG - FZN &amp; CHILL'!G2275,"AAAAAH7f/4Y=")</f>
        <v>#VALUE!</v>
      </c>
      <c r="EF342" t="e">
        <f>AND('STERLING CATALOG - FZN &amp; CHILL'!H2275,"AAAAAH7f/4c=")</f>
        <v>#VALUE!</v>
      </c>
      <c r="EG342" t="e">
        <f>AND('STERLING CATALOG - FZN &amp; CHILL'!I2275,"AAAAAH7f/4g=")</f>
        <v>#VALUE!</v>
      </c>
      <c r="EH342" t="e">
        <f>AND('STERLING CATALOG - FZN &amp; CHILL'!J2275,"AAAAAH7f/4k=")</f>
        <v>#VALUE!</v>
      </c>
      <c r="EI342">
        <f>IF('STERLING CATALOG - FZN &amp; CHILL'!2276:2276,"AAAAAH7f/4o=",0)</f>
        <v>0</v>
      </c>
      <c r="EJ342" t="e">
        <f>AND('STERLING CATALOG - FZN &amp; CHILL'!A2276,"AAAAAH7f/4s=")</f>
        <v>#VALUE!</v>
      </c>
      <c r="EK342" t="e">
        <f>AND('STERLING CATALOG - FZN &amp; CHILL'!B2276,"AAAAAH7f/4w=")</f>
        <v>#VALUE!</v>
      </c>
      <c r="EL342" t="e">
        <f>AND('STERLING CATALOG - FZN &amp; CHILL'!C2276,"AAAAAH7f/40=")</f>
        <v>#VALUE!</v>
      </c>
      <c r="EM342" t="e">
        <f>AND('STERLING CATALOG - FZN &amp; CHILL'!D2276,"AAAAAH7f/44=")</f>
        <v>#VALUE!</v>
      </c>
      <c r="EN342" t="e">
        <f>AND('STERLING CATALOG - FZN &amp; CHILL'!E2276,"AAAAAH7f/48=")</f>
        <v>#VALUE!</v>
      </c>
      <c r="EO342" t="e">
        <f>AND('STERLING CATALOG - FZN &amp; CHILL'!F2276,"AAAAAH7f/5A=")</f>
        <v>#VALUE!</v>
      </c>
      <c r="EP342" t="e">
        <f>AND('STERLING CATALOG - FZN &amp; CHILL'!G2276,"AAAAAH7f/5E=")</f>
        <v>#VALUE!</v>
      </c>
      <c r="EQ342" t="e">
        <f>AND('STERLING CATALOG - FZN &amp; CHILL'!H2276,"AAAAAH7f/5I=")</f>
        <v>#VALUE!</v>
      </c>
      <c r="ER342" t="e">
        <f>AND('STERLING CATALOG - FZN &amp; CHILL'!I2276,"AAAAAH7f/5M=")</f>
        <v>#VALUE!</v>
      </c>
      <c r="ES342" t="e">
        <f>AND('STERLING CATALOG - FZN &amp; CHILL'!J2276,"AAAAAH7f/5Q=")</f>
        <v>#VALUE!</v>
      </c>
      <c r="ET342">
        <f>IF('STERLING CATALOG - FZN &amp; CHILL'!2277:2277,"AAAAAH7f/5U=",0)</f>
        <v>0</v>
      </c>
      <c r="EU342" t="e">
        <f>AND('STERLING CATALOG - FZN &amp; CHILL'!A2277,"AAAAAH7f/5Y=")</f>
        <v>#VALUE!</v>
      </c>
      <c r="EV342" t="e">
        <f>AND('STERLING CATALOG - FZN &amp; CHILL'!B2277,"AAAAAH7f/5c=")</f>
        <v>#VALUE!</v>
      </c>
      <c r="EW342" t="e">
        <f>AND('STERLING CATALOG - FZN &amp; CHILL'!C2277,"AAAAAH7f/5g=")</f>
        <v>#VALUE!</v>
      </c>
      <c r="EX342" t="e">
        <f>AND('STERLING CATALOG - FZN &amp; CHILL'!D2277,"AAAAAH7f/5k=")</f>
        <v>#VALUE!</v>
      </c>
      <c r="EY342" t="e">
        <f>AND('STERLING CATALOG - FZN &amp; CHILL'!E2277,"AAAAAH7f/5o=")</f>
        <v>#VALUE!</v>
      </c>
      <c r="EZ342" t="e">
        <f>AND('STERLING CATALOG - FZN &amp; CHILL'!F2277,"AAAAAH7f/5s=")</f>
        <v>#VALUE!</v>
      </c>
      <c r="FA342" t="e">
        <f>AND('STERLING CATALOG - FZN &amp; CHILL'!G2277,"AAAAAH7f/5w=")</f>
        <v>#VALUE!</v>
      </c>
      <c r="FB342" t="e">
        <f>AND('STERLING CATALOG - FZN &amp; CHILL'!H2277,"AAAAAH7f/50=")</f>
        <v>#VALUE!</v>
      </c>
      <c r="FC342" t="e">
        <f>AND('STERLING CATALOG - FZN &amp; CHILL'!I2277,"AAAAAH7f/54=")</f>
        <v>#VALUE!</v>
      </c>
      <c r="FD342" t="e">
        <f>AND('STERLING CATALOG - FZN &amp; CHILL'!J2277,"AAAAAH7f/58=")</f>
        <v>#VALUE!</v>
      </c>
      <c r="FE342">
        <f>IF('STERLING CATALOG - FZN &amp; CHILL'!2278:2278,"AAAAAH7f/6A=",0)</f>
        <v>0</v>
      </c>
      <c r="FF342" t="e">
        <f>AND('STERLING CATALOG - FZN &amp; CHILL'!A2278,"AAAAAH7f/6E=")</f>
        <v>#VALUE!</v>
      </c>
      <c r="FG342" t="e">
        <f>AND('STERLING CATALOG - FZN &amp; CHILL'!B2278,"AAAAAH7f/6I=")</f>
        <v>#VALUE!</v>
      </c>
      <c r="FH342" t="e">
        <f>AND('STERLING CATALOG - FZN &amp; CHILL'!C2278,"AAAAAH7f/6M=")</f>
        <v>#VALUE!</v>
      </c>
      <c r="FI342" t="e">
        <f>AND('STERLING CATALOG - FZN &amp; CHILL'!D2278,"AAAAAH7f/6Q=")</f>
        <v>#VALUE!</v>
      </c>
      <c r="FJ342" t="e">
        <f>AND('STERLING CATALOG - FZN &amp; CHILL'!E2278,"AAAAAH7f/6U=")</f>
        <v>#VALUE!</v>
      </c>
      <c r="FK342" t="e">
        <f>AND('STERLING CATALOG - FZN &amp; CHILL'!F2278,"AAAAAH7f/6Y=")</f>
        <v>#VALUE!</v>
      </c>
      <c r="FL342" t="e">
        <f>AND('STERLING CATALOG - FZN &amp; CHILL'!G2278,"AAAAAH7f/6c=")</f>
        <v>#VALUE!</v>
      </c>
      <c r="FM342" t="e">
        <f>AND('STERLING CATALOG - FZN &amp; CHILL'!H2278,"AAAAAH7f/6g=")</f>
        <v>#VALUE!</v>
      </c>
      <c r="FN342" t="e">
        <f>AND('STERLING CATALOG - FZN &amp; CHILL'!I2278,"AAAAAH7f/6k=")</f>
        <v>#VALUE!</v>
      </c>
      <c r="FO342" t="e">
        <f>AND('STERLING CATALOG - FZN &amp; CHILL'!J2278,"AAAAAH7f/6o=")</f>
        <v>#VALUE!</v>
      </c>
      <c r="FP342">
        <f>IF('STERLING CATALOG - FZN &amp; CHILL'!2279:2279,"AAAAAH7f/6s=",0)</f>
        <v>0</v>
      </c>
      <c r="FQ342" t="e">
        <f>AND('STERLING CATALOG - FZN &amp; CHILL'!A2279,"AAAAAH7f/6w=")</f>
        <v>#VALUE!</v>
      </c>
      <c r="FR342" t="e">
        <f>AND('STERLING CATALOG - FZN &amp; CHILL'!B2279,"AAAAAH7f/60=")</f>
        <v>#VALUE!</v>
      </c>
      <c r="FS342" t="e">
        <f>AND('STERLING CATALOG - FZN &amp; CHILL'!C2279,"AAAAAH7f/64=")</f>
        <v>#VALUE!</v>
      </c>
      <c r="FT342" t="e">
        <f>AND('STERLING CATALOG - FZN &amp; CHILL'!D2279,"AAAAAH7f/68=")</f>
        <v>#VALUE!</v>
      </c>
      <c r="FU342" t="e">
        <f>AND('STERLING CATALOG - FZN &amp; CHILL'!E2279,"AAAAAH7f/7A=")</f>
        <v>#VALUE!</v>
      </c>
      <c r="FV342" t="e">
        <f>AND('STERLING CATALOG - FZN &amp; CHILL'!F2279,"AAAAAH7f/7E=")</f>
        <v>#VALUE!</v>
      </c>
      <c r="FW342" t="e">
        <f>AND('STERLING CATALOG - FZN &amp; CHILL'!G2279,"AAAAAH7f/7I=")</f>
        <v>#VALUE!</v>
      </c>
      <c r="FX342" t="e">
        <f>AND('STERLING CATALOG - FZN &amp; CHILL'!H2279,"AAAAAH7f/7M=")</f>
        <v>#VALUE!</v>
      </c>
      <c r="FY342" t="e">
        <f>AND('STERLING CATALOG - FZN &amp; CHILL'!I2279,"AAAAAH7f/7Q=")</f>
        <v>#VALUE!</v>
      </c>
      <c r="FZ342" t="e">
        <f>AND('STERLING CATALOG - FZN &amp; CHILL'!J2279,"AAAAAH7f/7U=")</f>
        <v>#VALUE!</v>
      </c>
      <c r="GA342">
        <f>IF('STERLING CATALOG - FZN &amp; CHILL'!2280:2280,"AAAAAH7f/7Y=",0)</f>
        <v>0</v>
      </c>
      <c r="GB342" t="e">
        <f>AND('STERLING CATALOG - FZN &amp; CHILL'!A2280,"AAAAAH7f/7c=")</f>
        <v>#VALUE!</v>
      </c>
      <c r="GC342" t="e">
        <f>AND('STERLING CATALOG - FZN &amp; CHILL'!B2280,"AAAAAH7f/7g=")</f>
        <v>#VALUE!</v>
      </c>
      <c r="GD342" t="e">
        <f>AND('STERLING CATALOG - FZN &amp; CHILL'!C2280,"AAAAAH7f/7k=")</f>
        <v>#VALUE!</v>
      </c>
      <c r="GE342" t="e">
        <f>AND('STERLING CATALOG - FZN &amp; CHILL'!D2280,"AAAAAH7f/7o=")</f>
        <v>#VALUE!</v>
      </c>
      <c r="GF342" t="e">
        <f>AND('STERLING CATALOG - FZN &amp; CHILL'!E2280,"AAAAAH7f/7s=")</f>
        <v>#VALUE!</v>
      </c>
      <c r="GG342" t="e">
        <f>AND('STERLING CATALOG - FZN &amp; CHILL'!F2280,"AAAAAH7f/7w=")</f>
        <v>#VALUE!</v>
      </c>
      <c r="GH342" t="e">
        <f>AND('STERLING CATALOG - FZN &amp; CHILL'!G2280,"AAAAAH7f/70=")</f>
        <v>#VALUE!</v>
      </c>
      <c r="GI342" t="e">
        <f>AND('STERLING CATALOG - FZN &amp; CHILL'!H2280,"AAAAAH7f/74=")</f>
        <v>#VALUE!</v>
      </c>
      <c r="GJ342" t="e">
        <f>AND('STERLING CATALOG - FZN &amp; CHILL'!I2280,"AAAAAH7f/78=")</f>
        <v>#VALUE!</v>
      </c>
      <c r="GK342" t="e">
        <f>AND('STERLING CATALOG - FZN &amp; CHILL'!J2280,"AAAAAH7f/8A=")</f>
        <v>#VALUE!</v>
      </c>
      <c r="GL342">
        <f>IF('STERLING CATALOG - FZN &amp; CHILL'!2281:2281,"AAAAAH7f/8E=",0)</f>
        <v>0</v>
      </c>
      <c r="GM342" t="e">
        <f>AND('STERLING CATALOG - FZN &amp; CHILL'!A2281,"AAAAAH7f/8I=")</f>
        <v>#VALUE!</v>
      </c>
      <c r="GN342" t="e">
        <f>AND('STERLING CATALOG - FZN &amp; CHILL'!B2281,"AAAAAH7f/8M=")</f>
        <v>#VALUE!</v>
      </c>
      <c r="GO342" t="e">
        <f>AND('STERLING CATALOG - FZN &amp; CHILL'!C2281,"AAAAAH7f/8Q=")</f>
        <v>#VALUE!</v>
      </c>
      <c r="GP342" t="e">
        <f>AND('STERLING CATALOG - FZN &amp; CHILL'!D2281,"AAAAAH7f/8U=")</f>
        <v>#VALUE!</v>
      </c>
      <c r="GQ342" t="e">
        <f>AND('STERLING CATALOG - FZN &amp; CHILL'!E2281,"AAAAAH7f/8Y=")</f>
        <v>#VALUE!</v>
      </c>
      <c r="GR342" t="e">
        <f>AND('STERLING CATALOG - FZN &amp; CHILL'!F2281,"AAAAAH7f/8c=")</f>
        <v>#VALUE!</v>
      </c>
      <c r="GS342" t="e">
        <f>AND('STERLING CATALOG - FZN &amp; CHILL'!G2281,"AAAAAH7f/8g=")</f>
        <v>#VALUE!</v>
      </c>
      <c r="GT342" t="e">
        <f>AND('STERLING CATALOG - FZN &amp; CHILL'!H2281,"AAAAAH7f/8k=")</f>
        <v>#VALUE!</v>
      </c>
      <c r="GU342" t="e">
        <f>AND('STERLING CATALOG - FZN &amp; CHILL'!I2281,"AAAAAH7f/8o=")</f>
        <v>#VALUE!</v>
      </c>
      <c r="GV342" t="e">
        <f>AND('STERLING CATALOG - FZN &amp; CHILL'!J2281,"AAAAAH7f/8s=")</f>
        <v>#VALUE!</v>
      </c>
      <c r="GW342">
        <f>IF('STERLING CATALOG - FZN &amp; CHILL'!2282:2282,"AAAAAH7f/8w=",0)</f>
        <v>0</v>
      </c>
      <c r="GX342" t="e">
        <f>AND('STERLING CATALOG - FZN &amp; CHILL'!A2282,"AAAAAH7f/80=")</f>
        <v>#VALUE!</v>
      </c>
      <c r="GY342" t="e">
        <f>AND('STERLING CATALOG - FZN &amp; CHILL'!B2282,"AAAAAH7f/84=")</f>
        <v>#VALUE!</v>
      </c>
      <c r="GZ342" t="e">
        <f>AND('STERLING CATALOG - FZN &amp; CHILL'!C2282,"AAAAAH7f/88=")</f>
        <v>#VALUE!</v>
      </c>
      <c r="HA342" t="e">
        <f>AND('STERLING CATALOG - FZN &amp; CHILL'!D2282,"AAAAAH7f/9A=")</f>
        <v>#VALUE!</v>
      </c>
      <c r="HB342" t="e">
        <f>AND('STERLING CATALOG - FZN &amp; CHILL'!E2282,"AAAAAH7f/9E=")</f>
        <v>#VALUE!</v>
      </c>
      <c r="HC342" t="e">
        <f>AND('STERLING CATALOG - FZN &amp; CHILL'!F2282,"AAAAAH7f/9I=")</f>
        <v>#VALUE!</v>
      </c>
      <c r="HD342" t="e">
        <f>AND('STERLING CATALOG - FZN &amp; CHILL'!G2282,"AAAAAH7f/9M=")</f>
        <v>#VALUE!</v>
      </c>
      <c r="HE342" t="e">
        <f>AND('STERLING CATALOG - FZN &amp; CHILL'!H2282,"AAAAAH7f/9Q=")</f>
        <v>#VALUE!</v>
      </c>
      <c r="HF342" t="e">
        <f>AND('STERLING CATALOG - FZN &amp; CHILL'!I2282,"AAAAAH7f/9U=")</f>
        <v>#VALUE!</v>
      </c>
      <c r="HG342" t="e">
        <f>AND('STERLING CATALOG - FZN &amp; CHILL'!J2282,"AAAAAH7f/9Y=")</f>
        <v>#VALUE!</v>
      </c>
      <c r="HH342">
        <f>IF('STERLING CATALOG - FZN &amp; CHILL'!2283:2283,"AAAAAH7f/9c=",0)</f>
        <v>0</v>
      </c>
      <c r="HI342" t="e">
        <f>AND('STERLING CATALOG - FZN &amp; CHILL'!A2283,"AAAAAH7f/9g=")</f>
        <v>#VALUE!</v>
      </c>
      <c r="HJ342" t="e">
        <f>AND('STERLING CATALOG - FZN &amp; CHILL'!B2283,"AAAAAH7f/9k=")</f>
        <v>#VALUE!</v>
      </c>
      <c r="HK342" t="e">
        <f>AND('STERLING CATALOG - FZN &amp; CHILL'!C2283,"AAAAAH7f/9o=")</f>
        <v>#VALUE!</v>
      </c>
      <c r="HL342" t="e">
        <f>AND('STERLING CATALOG - FZN &amp; CHILL'!D2283,"AAAAAH7f/9s=")</f>
        <v>#VALUE!</v>
      </c>
      <c r="HM342" t="e">
        <f>AND('STERLING CATALOG - FZN &amp; CHILL'!E2283,"AAAAAH7f/9w=")</f>
        <v>#VALUE!</v>
      </c>
      <c r="HN342" t="e">
        <f>AND('STERLING CATALOG - FZN &amp; CHILL'!F2283,"AAAAAH7f/90=")</f>
        <v>#VALUE!</v>
      </c>
      <c r="HO342" t="e">
        <f>AND('STERLING CATALOG - FZN &amp; CHILL'!G2283,"AAAAAH7f/94=")</f>
        <v>#VALUE!</v>
      </c>
      <c r="HP342" t="e">
        <f>AND('STERLING CATALOG - FZN &amp; CHILL'!H2283,"AAAAAH7f/98=")</f>
        <v>#VALUE!</v>
      </c>
      <c r="HQ342" t="e">
        <f>AND('STERLING CATALOG - FZN &amp; CHILL'!I2283,"AAAAAH7f/+A=")</f>
        <v>#VALUE!</v>
      </c>
      <c r="HR342" t="e">
        <f>AND('STERLING CATALOG - FZN &amp; CHILL'!J2283,"AAAAAH7f/+E=")</f>
        <v>#VALUE!</v>
      </c>
      <c r="HS342">
        <f>IF('STERLING CATALOG - FZN &amp; CHILL'!2284:2284,"AAAAAH7f/+I=",0)</f>
        <v>0</v>
      </c>
      <c r="HT342" t="e">
        <f>AND('STERLING CATALOG - FZN &amp; CHILL'!A2284,"AAAAAH7f/+M=")</f>
        <v>#VALUE!</v>
      </c>
      <c r="HU342" t="e">
        <f>AND('STERLING CATALOG - FZN &amp; CHILL'!B2284,"AAAAAH7f/+Q=")</f>
        <v>#VALUE!</v>
      </c>
      <c r="HV342" t="e">
        <f>AND('STERLING CATALOG - FZN &amp; CHILL'!C2284,"AAAAAH7f/+U=")</f>
        <v>#VALUE!</v>
      </c>
      <c r="HW342" t="e">
        <f>AND('STERLING CATALOG - FZN &amp; CHILL'!D2284,"AAAAAH7f/+Y=")</f>
        <v>#VALUE!</v>
      </c>
      <c r="HX342" t="e">
        <f>AND('STERLING CATALOG - FZN &amp; CHILL'!E2284,"AAAAAH7f/+c=")</f>
        <v>#VALUE!</v>
      </c>
      <c r="HY342" t="e">
        <f>AND('STERLING CATALOG - FZN &amp; CHILL'!F2284,"AAAAAH7f/+g=")</f>
        <v>#VALUE!</v>
      </c>
      <c r="HZ342" t="e">
        <f>AND('STERLING CATALOG - FZN &amp; CHILL'!G2284,"AAAAAH7f/+k=")</f>
        <v>#VALUE!</v>
      </c>
      <c r="IA342" t="e">
        <f>AND('STERLING CATALOG - FZN &amp; CHILL'!H2284,"AAAAAH7f/+o=")</f>
        <v>#VALUE!</v>
      </c>
      <c r="IB342" t="e">
        <f>AND('STERLING CATALOG - FZN &amp; CHILL'!I2284,"AAAAAH7f/+s=")</f>
        <v>#VALUE!</v>
      </c>
      <c r="IC342" t="e">
        <f>AND('STERLING CATALOG - FZN &amp; CHILL'!J2284,"AAAAAH7f/+w=")</f>
        <v>#VALUE!</v>
      </c>
      <c r="ID342">
        <f>IF('STERLING CATALOG - FZN &amp; CHILL'!2285:2285,"AAAAAH7f/+0=",0)</f>
        <v>0</v>
      </c>
      <c r="IE342" t="e">
        <f>AND('STERLING CATALOG - FZN &amp; CHILL'!A2285,"AAAAAH7f/+4=")</f>
        <v>#VALUE!</v>
      </c>
      <c r="IF342" t="e">
        <f>AND('STERLING CATALOG - FZN &amp; CHILL'!B2285,"AAAAAH7f/+8=")</f>
        <v>#VALUE!</v>
      </c>
      <c r="IG342" t="e">
        <f>AND('STERLING CATALOG - FZN &amp; CHILL'!C2285,"AAAAAH7f//A=")</f>
        <v>#VALUE!</v>
      </c>
      <c r="IH342" t="e">
        <f>AND('STERLING CATALOG - FZN &amp; CHILL'!D2285,"AAAAAH7f//E=")</f>
        <v>#VALUE!</v>
      </c>
      <c r="II342" t="e">
        <f>AND('STERLING CATALOG - FZN &amp; CHILL'!E2285,"AAAAAH7f//I=")</f>
        <v>#VALUE!</v>
      </c>
      <c r="IJ342" t="e">
        <f>AND('STERLING CATALOG - FZN &amp; CHILL'!F2285,"AAAAAH7f//M=")</f>
        <v>#VALUE!</v>
      </c>
      <c r="IK342" t="e">
        <f>AND('STERLING CATALOG - FZN &amp; CHILL'!G2285,"AAAAAH7f//Q=")</f>
        <v>#VALUE!</v>
      </c>
      <c r="IL342" t="e">
        <f>AND('STERLING CATALOG - FZN &amp; CHILL'!H2285,"AAAAAH7f//U=")</f>
        <v>#VALUE!</v>
      </c>
      <c r="IM342" t="e">
        <f>AND('STERLING CATALOG - FZN &amp; CHILL'!I2285,"AAAAAH7f//Y=")</f>
        <v>#VALUE!</v>
      </c>
      <c r="IN342" t="e">
        <f>AND('STERLING CATALOG - FZN &amp; CHILL'!J2285,"AAAAAH7f//c=")</f>
        <v>#VALUE!</v>
      </c>
      <c r="IO342">
        <f>IF('STERLING CATALOG - FZN &amp; CHILL'!2286:2286,"AAAAAH7f//g=",0)</f>
        <v>0</v>
      </c>
      <c r="IP342" t="e">
        <f>AND('STERLING CATALOG - FZN &amp; CHILL'!A2286,"AAAAAH7f//k=")</f>
        <v>#VALUE!</v>
      </c>
      <c r="IQ342" t="e">
        <f>AND('STERLING CATALOG - FZN &amp; CHILL'!B2286,"AAAAAH7f//o=")</f>
        <v>#VALUE!</v>
      </c>
      <c r="IR342" t="e">
        <f>AND('STERLING CATALOG - FZN &amp; CHILL'!C2286,"AAAAAH7f//s=")</f>
        <v>#VALUE!</v>
      </c>
      <c r="IS342" t="e">
        <f>AND('STERLING CATALOG - FZN &amp; CHILL'!D2286,"AAAAAH7f//w=")</f>
        <v>#VALUE!</v>
      </c>
      <c r="IT342" t="e">
        <f>AND('STERLING CATALOG - FZN &amp; CHILL'!E2286,"AAAAAH7f//0=")</f>
        <v>#VALUE!</v>
      </c>
      <c r="IU342" t="e">
        <f>AND('STERLING CATALOG - FZN &amp; CHILL'!F2286,"AAAAAH7f//4=")</f>
        <v>#VALUE!</v>
      </c>
      <c r="IV342" t="e">
        <f>AND('STERLING CATALOG - FZN &amp; CHILL'!G2286,"AAAAAH7f//8=")</f>
        <v>#VALUE!</v>
      </c>
    </row>
    <row r="343" spans="1:256">
      <c r="A343" t="e">
        <f>AND('STERLING CATALOG - FZN &amp; CHILL'!H2286,"AAAAAH/7/wA=")</f>
        <v>#VALUE!</v>
      </c>
      <c r="B343" t="e">
        <f>AND('STERLING CATALOG - FZN &amp; CHILL'!I2286,"AAAAAH/7/wE=")</f>
        <v>#VALUE!</v>
      </c>
      <c r="C343" t="e">
        <f>AND('STERLING CATALOG - FZN &amp; CHILL'!J2286,"AAAAAH/7/wI=")</f>
        <v>#VALUE!</v>
      </c>
      <c r="D343" t="e">
        <f>IF('STERLING CATALOG - FZN &amp; CHILL'!2287:2287,"AAAAAH/7/wM=",0)</f>
        <v>#VALUE!</v>
      </c>
      <c r="E343" t="e">
        <f>AND('STERLING CATALOG - FZN &amp; CHILL'!A2287,"AAAAAH/7/wQ=")</f>
        <v>#VALUE!</v>
      </c>
      <c r="F343" t="e">
        <f>AND('STERLING CATALOG - FZN &amp; CHILL'!B2287,"AAAAAH/7/wU=")</f>
        <v>#VALUE!</v>
      </c>
      <c r="G343" t="e">
        <f>AND('STERLING CATALOG - FZN &amp; CHILL'!C2287,"AAAAAH/7/wY=")</f>
        <v>#VALUE!</v>
      </c>
      <c r="H343" t="e">
        <f>AND('STERLING CATALOG - FZN &amp; CHILL'!D2287,"AAAAAH/7/wc=")</f>
        <v>#VALUE!</v>
      </c>
      <c r="I343" t="e">
        <f>AND('STERLING CATALOG - FZN &amp; CHILL'!E2287,"AAAAAH/7/wg=")</f>
        <v>#VALUE!</v>
      </c>
      <c r="J343" t="e">
        <f>AND('STERLING CATALOG - FZN &amp; CHILL'!F2287,"AAAAAH/7/wk=")</f>
        <v>#VALUE!</v>
      </c>
      <c r="K343" t="e">
        <f>AND('STERLING CATALOG - FZN &amp; CHILL'!G2287,"AAAAAH/7/wo=")</f>
        <v>#VALUE!</v>
      </c>
      <c r="L343" t="e">
        <f>AND('STERLING CATALOG - FZN &amp; CHILL'!H2287,"AAAAAH/7/ws=")</f>
        <v>#VALUE!</v>
      </c>
      <c r="M343" t="e">
        <f>AND('STERLING CATALOG - FZN &amp; CHILL'!I2287,"AAAAAH/7/ww=")</f>
        <v>#VALUE!</v>
      </c>
      <c r="N343" t="e">
        <f>AND('STERLING CATALOG - FZN &amp; CHILL'!J2287,"AAAAAH/7/w0=")</f>
        <v>#VALUE!</v>
      </c>
      <c r="O343">
        <f>IF('STERLING CATALOG - FZN &amp; CHILL'!2288:2288,"AAAAAH/7/w4=",0)</f>
        <v>0</v>
      </c>
      <c r="P343" t="e">
        <f>AND('STERLING CATALOG - FZN &amp; CHILL'!A2288,"AAAAAH/7/w8=")</f>
        <v>#VALUE!</v>
      </c>
      <c r="Q343" t="e">
        <f>AND('STERLING CATALOG - FZN &amp; CHILL'!B2288,"AAAAAH/7/xA=")</f>
        <v>#VALUE!</v>
      </c>
      <c r="R343" t="e">
        <f>AND('STERLING CATALOG - FZN &amp; CHILL'!C2288,"AAAAAH/7/xE=")</f>
        <v>#VALUE!</v>
      </c>
      <c r="S343" t="e">
        <f>AND('STERLING CATALOG - FZN &amp; CHILL'!D2288,"AAAAAH/7/xI=")</f>
        <v>#VALUE!</v>
      </c>
      <c r="T343" t="e">
        <f>AND('STERLING CATALOG - FZN &amp; CHILL'!E2288,"AAAAAH/7/xM=")</f>
        <v>#VALUE!</v>
      </c>
      <c r="U343" t="e">
        <f>AND('STERLING CATALOG - FZN &amp; CHILL'!F2288,"AAAAAH/7/xQ=")</f>
        <v>#VALUE!</v>
      </c>
      <c r="V343" t="e">
        <f>AND('STERLING CATALOG - FZN &amp; CHILL'!G2288,"AAAAAH/7/xU=")</f>
        <v>#VALUE!</v>
      </c>
      <c r="W343" t="e">
        <f>AND('STERLING CATALOG - FZN &amp; CHILL'!H2288,"AAAAAH/7/xY=")</f>
        <v>#VALUE!</v>
      </c>
      <c r="X343" t="e">
        <f>AND('STERLING CATALOG - FZN &amp; CHILL'!I2288,"AAAAAH/7/xc=")</f>
        <v>#VALUE!</v>
      </c>
      <c r="Y343" t="e">
        <f>AND('STERLING CATALOG - FZN &amp; CHILL'!J2288,"AAAAAH/7/xg=")</f>
        <v>#VALUE!</v>
      </c>
      <c r="Z343">
        <f>IF('STERLING CATALOG - FZN &amp; CHILL'!2289:2289,"AAAAAH/7/xk=",0)</f>
        <v>0</v>
      </c>
      <c r="AA343" t="e">
        <f>AND('STERLING CATALOG - FZN &amp; CHILL'!A2289,"AAAAAH/7/xo=")</f>
        <v>#VALUE!</v>
      </c>
      <c r="AB343" t="e">
        <f>AND('STERLING CATALOG - FZN &amp; CHILL'!B2289,"AAAAAH/7/xs=")</f>
        <v>#VALUE!</v>
      </c>
      <c r="AC343" t="e">
        <f>AND('STERLING CATALOG - FZN &amp; CHILL'!C2289,"AAAAAH/7/xw=")</f>
        <v>#VALUE!</v>
      </c>
      <c r="AD343" t="e">
        <f>AND('STERLING CATALOG - FZN &amp; CHILL'!D2289,"AAAAAH/7/x0=")</f>
        <v>#VALUE!</v>
      </c>
      <c r="AE343" t="e">
        <f>AND('STERLING CATALOG - FZN &amp; CHILL'!E2289,"AAAAAH/7/x4=")</f>
        <v>#VALUE!</v>
      </c>
      <c r="AF343" t="e">
        <f>AND('STERLING CATALOG - FZN &amp; CHILL'!F2289,"AAAAAH/7/x8=")</f>
        <v>#VALUE!</v>
      </c>
      <c r="AG343" t="e">
        <f>AND('STERLING CATALOG - FZN &amp; CHILL'!G2289,"AAAAAH/7/yA=")</f>
        <v>#VALUE!</v>
      </c>
      <c r="AH343" t="e">
        <f>AND('STERLING CATALOG - FZN &amp; CHILL'!H2289,"AAAAAH/7/yE=")</f>
        <v>#VALUE!</v>
      </c>
      <c r="AI343" t="e">
        <f>AND('STERLING CATALOG - FZN &amp; CHILL'!I2289,"AAAAAH/7/yI=")</f>
        <v>#VALUE!</v>
      </c>
      <c r="AJ343" t="e">
        <f>AND('STERLING CATALOG - FZN &amp; CHILL'!J2289,"AAAAAH/7/yM=")</f>
        <v>#VALUE!</v>
      </c>
      <c r="AK343">
        <f>IF('STERLING CATALOG - FZN &amp; CHILL'!2290:2290,"AAAAAH/7/yQ=",0)</f>
        <v>0</v>
      </c>
      <c r="AL343" t="e">
        <f>AND('STERLING CATALOG - FZN &amp; CHILL'!A2290,"AAAAAH/7/yU=")</f>
        <v>#VALUE!</v>
      </c>
      <c r="AM343" t="e">
        <f>AND('STERLING CATALOG - FZN &amp; CHILL'!B2290,"AAAAAH/7/yY=")</f>
        <v>#VALUE!</v>
      </c>
      <c r="AN343" t="e">
        <f>AND('STERLING CATALOG - FZN &amp; CHILL'!C2290,"AAAAAH/7/yc=")</f>
        <v>#VALUE!</v>
      </c>
      <c r="AO343" t="e">
        <f>AND('STERLING CATALOG - FZN &amp; CHILL'!D2290,"AAAAAH/7/yg=")</f>
        <v>#VALUE!</v>
      </c>
      <c r="AP343" t="e">
        <f>AND('STERLING CATALOG - FZN &amp; CHILL'!E2290,"AAAAAH/7/yk=")</f>
        <v>#VALUE!</v>
      </c>
      <c r="AQ343" t="e">
        <f>AND('STERLING CATALOG - FZN &amp; CHILL'!F2290,"AAAAAH/7/yo=")</f>
        <v>#VALUE!</v>
      </c>
      <c r="AR343" t="e">
        <f>AND('STERLING CATALOG - FZN &amp; CHILL'!G2290,"AAAAAH/7/ys=")</f>
        <v>#VALUE!</v>
      </c>
      <c r="AS343" t="e">
        <f>AND('STERLING CATALOG - FZN &amp; CHILL'!H2290,"AAAAAH/7/yw=")</f>
        <v>#VALUE!</v>
      </c>
      <c r="AT343" t="e">
        <f>AND('STERLING CATALOG - FZN &amp; CHILL'!I2290,"AAAAAH/7/y0=")</f>
        <v>#VALUE!</v>
      </c>
      <c r="AU343" t="e">
        <f>AND('STERLING CATALOG - FZN &amp; CHILL'!J2290,"AAAAAH/7/y4=")</f>
        <v>#VALUE!</v>
      </c>
      <c r="AV343">
        <f>IF('STERLING CATALOG - FZN &amp; CHILL'!2291:2291,"AAAAAH/7/y8=",0)</f>
        <v>0</v>
      </c>
      <c r="AW343" t="e">
        <f>AND('STERLING CATALOG - FZN &amp; CHILL'!A2291,"AAAAAH/7/zA=")</f>
        <v>#VALUE!</v>
      </c>
      <c r="AX343" t="e">
        <f>AND('STERLING CATALOG - FZN &amp; CHILL'!B2291,"AAAAAH/7/zE=")</f>
        <v>#VALUE!</v>
      </c>
      <c r="AY343" t="e">
        <f>AND('STERLING CATALOG - FZN &amp; CHILL'!C2291,"AAAAAH/7/zI=")</f>
        <v>#VALUE!</v>
      </c>
      <c r="AZ343" t="e">
        <f>AND('STERLING CATALOG - FZN &amp; CHILL'!D2291,"AAAAAH/7/zM=")</f>
        <v>#VALUE!</v>
      </c>
      <c r="BA343" t="e">
        <f>AND('STERLING CATALOG - FZN &amp; CHILL'!E2291,"AAAAAH/7/zQ=")</f>
        <v>#VALUE!</v>
      </c>
      <c r="BB343" t="e">
        <f>AND('STERLING CATALOG - FZN &amp; CHILL'!F2291,"AAAAAH/7/zU=")</f>
        <v>#VALUE!</v>
      </c>
      <c r="BC343" t="e">
        <f>AND('STERLING CATALOG - FZN &amp; CHILL'!G2291,"AAAAAH/7/zY=")</f>
        <v>#VALUE!</v>
      </c>
      <c r="BD343" t="e">
        <f>AND('STERLING CATALOG - FZN &amp; CHILL'!H2291,"AAAAAH/7/zc=")</f>
        <v>#VALUE!</v>
      </c>
      <c r="BE343" t="e">
        <f>AND('STERLING CATALOG - FZN &amp; CHILL'!I2291,"AAAAAH/7/zg=")</f>
        <v>#VALUE!</v>
      </c>
      <c r="BF343" t="e">
        <f>AND('STERLING CATALOG - FZN &amp; CHILL'!J2291,"AAAAAH/7/zk=")</f>
        <v>#VALUE!</v>
      </c>
      <c r="BG343">
        <f>IF('STERLING CATALOG - FZN &amp; CHILL'!2292:2292,"AAAAAH/7/zo=",0)</f>
        <v>0</v>
      </c>
      <c r="BH343" t="e">
        <f>AND('STERLING CATALOG - FZN &amp; CHILL'!A2292,"AAAAAH/7/zs=")</f>
        <v>#VALUE!</v>
      </c>
      <c r="BI343" t="e">
        <f>AND('STERLING CATALOG - FZN &amp; CHILL'!B2292,"AAAAAH/7/zw=")</f>
        <v>#VALUE!</v>
      </c>
      <c r="BJ343" t="e">
        <f>AND('STERLING CATALOG - FZN &amp; CHILL'!C2292,"AAAAAH/7/z0=")</f>
        <v>#VALUE!</v>
      </c>
      <c r="BK343" t="e">
        <f>AND('STERLING CATALOG - FZN &amp; CHILL'!D2292,"AAAAAH/7/z4=")</f>
        <v>#VALUE!</v>
      </c>
      <c r="BL343" t="e">
        <f>AND('STERLING CATALOG - FZN &amp; CHILL'!E2292,"AAAAAH/7/z8=")</f>
        <v>#VALUE!</v>
      </c>
      <c r="BM343" t="e">
        <f>AND('STERLING CATALOG - FZN &amp; CHILL'!F2292,"AAAAAH/7/0A=")</f>
        <v>#VALUE!</v>
      </c>
      <c r="BN343" t="e">
        <f>AND('STERLING CATALOG - FZN &amp; CHILL'!G2292,"AAAAAH/7/0E=")</f>
        <v>#VALUE!</v>
      </c>
      <c r="BO343" t="e">
        <f>AND('STERLING CATALOG - FZN &amp; CHILL'!H2292,"AAAAAH/7/0I=")</f>
        <v>#VALUE!</v>
      </c>
      <c r="BP343" t="e">
        <f>AND('STERLING CATALOG - FZN &amp; CHILL'!I2292,"AAAAAH/7/0M=")</f>
        <v>#VALUE!</v>
      </c>
      <c r="BQ343" t="e">
        <f>AND('STERLING CATALOG - FZN &amp; CHILL'!J2292,"AAAAAH/7/0Q=")</f>
        <v>#VALUE!</v>
      </c>
      <c r="BR343">
        <f>IF('STERLING CATALOG - FZN &amp; CHILL'!2293:2293,"AAAAAH/7/0U=",0)</f>
        <v>0</v>
      </c>
      <c r="BS343" t="e">
        <f>AND('STERLING CATALOG - FZN &amp; CHILL'!A2293,"AAAAAH/7/0Y=")</f>
        <v>#VALUE!</v>
      </c>
      <c r="BT343" t="e">
        <f>AND('STERLING CATALOG - FZN &amp; CHILL'!B2293,"AAAAAH/7/0c=")</f>
        <v>#VALUE!</v>
      </c>
      <c r="BU343" t="e">
        <f>AND('STERLING CATALOG - FZN &amp; CHILL'!C2293,"AAAAAH/7/0g=")</f>
        <v>#VALUE!</v>
      </c>
      <c r="BV343" t="e">
        <f>AND('STERLING CATALOG - FZN &amp; CHILL'!D2293,"AAAAAH/7/0k=")</f>
        <v>#VALUE!</v>
      </c>
      <c r="BW343" t="e">
        <f>AND('STERLING CATALOG - FZN &amp; CHILL'!E2293,"AAAAAH/7/0o=")</f>
        <v>#VALUE!</v>
      </c>
      <c r="BX343" t="e">
        <f>AND('STERLING CATALOG - FZN &amp; CHILL'!F2293,"AAAAAH/7/0s=")</f>
        <v>#VALUE!</v>
      </c>
      <c r="BY343" t="e">
        <f>AND('STERLING CATALOG - FZN &amp; CHILL'!G2293,"AAAAAH/7/0w=")</f>
        <v>#VALUE!</v>
      </c>
      <c r="BZ343" t="e">
        <f>AND('STERLING CATALOG - FZN &amp; CHILL'!H2293,"AAAAAH/7/00=")</f>
        <v>#VALUE!</v>
      </c>
      <c r="CA343" t="e">
        <f>AND('STERLING CATALOG - FZN &amp; CHILL'!I2293,"AAAAAH/7/04=")</f>
        <v>#VALUE!</v>
      </c>
      <c r="CB343" t="e">
        <f>AND('STERLING CATALOG - FZN &amp; CHILL'!J2293,"AAAAAH/7/08=")</f>
        <v>#VALUE!</v>
      </c>
      <c r="CC343">
        <f>IF('STERLING CATALOG - FZN &amp; CHILL'!2294:2294,"AAAAAH/7/1A=",0)</f>
        <v>0</v>
      </c>
      <c r="CD343" t="e">
        <f>AND('STERLING CATALOG - FZN &amp; CHILL'!A2294,"AAAAAH/7/1E=")</f>
        <v>#VALUE!</v>
      </c>
      <c r="CE343" t="e">
        <f>AND('STERLING CATALOG - FZN &amp; CHILL'!B2294,"AAAAAH/7/1I=")</f>
        <v>#VALUE!</v>
      </c>
      <c r="CF343" t="e">
        <f>AND('STERLING CATALOG - FZN &amp; CHILL'!C2294,"AAAAAH/7/1M=")</f>
        <v>#VALUE!</v>
      </c>
      <c r="CG343" t="e">
        <f>AND('STERLING CATALOG - FZN &amp; CHILL'!D2294,"AAAAAH/7/1Q=")</f>
        <v>#VALUE!</v>
      </c>
      <c r="CH343" t="e">
        <f>AND('STERLING CATALOG - FZN &amp; CHILL'!E2294,"AAAAAH/7/1U=")</f>
        <v>#VALUE!</v>
      </c>
      <c r="CI343" t="e">
        <f>AND('STERLING CATALOG - FZN &amp; CHILL'!F2294,"AAAAAH/7/1Y=")</f>
        <v>#VALUE!</v>
      </c>
      <c r="CJ343" t="e">
        <f>AND('STERLING CATALOG - FZN &amp; CHILL'!G2294,"AAAAAH/7/1c=")</f>
        <v>#VALUE!</v>
      </c>
      <c r="CK343" t="e">
        <f>AND('STERLING CATALOG - FZN &amp; CHILL'!H2294,"AAAAAH/7/1g=")</f>
        <v>#VALUE!</v>
      </c>
      <c r="CL343" t="e">
        <f>AND('STERLING CATALOG - FZN &amp; CHILL'!I2294,"AAAAAH/7/1k=")</f>
        <v>#VALUE!</v>
      </c>
      <c r="CM343" t="e">
        <f>AND('STERLING CATALOG - FZN &amp; CHILL'!J2294,"AAAAAH/7/1o=")</f>
        <v>#VALUE!</v>
      </c>
      <c r="CN343">
        <f>IF('STERLING CATALOG - FZN &amp; CHILL'!2295:2295,"AAAAAH/7/1s=",0)</f>
        <v>0</v>
      </c>
      <c r="CO343" t="e">
        <f>AND('STERLING CATALOG - FZN &amp; CHILL'!A2295,"AAAAAH/7/1w=")</f>
        <v>#VALUE!</v>
      </c>
      <c r="CP343" t="e">
        <f>AND('STERLING CATALOG - FZN &amp; CHILL'!B2295,"AAAAAH/7/10=")</f>
        <v>#VALUE!</v>
      </c>
      <c r="CQ343" t="e">
        <f>AND('STERLING CATALOG - FZN &amp; CHILL'!C2295,"AAAAAH/7/14=")</f>
        <v>#VALUE!</v>
      </c>
      <c r="CR343" t="e">
        <f>AND('STERLING CATALOG - FZN &amp; CHILL'!D2295,"AAAAAH/7/18=")</f>
        <v>#VALUE!</v>
      </c>
      <c r="CS343" t="e">
        <f>AND('STERLING CATALOG - FZN &amp; CHILL'!E2295,"AAAAAH/7/2A=")</f>
        <v>#VALUE!</v>
      </c>
      <c r="CT343" t="e">
        <f>AND('STERLING CATALOG - FZN &amp; CHILL'!F2295,"AAAAAH/7/2E=")</f>
        <v>#VALUE!</v>
      </c>
      <c r="CU343" t="e">
        <f>AND('STERLING CATALOG - FZN &amp; CHILL'!G2295,"AAAAAH/7/2I=")</f>
        <v>#VALUE!</v>
      </c>
      <c r="CV343" t="e">
        <f>AND('STERLING CATALOG - FZN &amp; CHILL'!H2295,"AAAAAH/7/2M=")</f>
        <v>#VALUE!</v>
      </c>
      <c r="CW343" t="e">
        <f>AND('STERLING CATALOG - FZN &amp; CHILL'!I2295,"AAAAAH/7/2Q=")</f>
        <v>#VALUE!</v>
      </c>
      <c r="CX343" t="e">
        <f>AND('STERLING CATALOG - FZN &amp; CHILL'!J2295,"AAAAAH/7/2U=")</f>
        <v>#VALUE!</v>
      </c>
      <c r="CY343">
        <f>IF('STERLING CATALOG - FZN &amp; CHILL'!2296:2296,"AAAAAH/7/2Y=",0)</f>
        <v>0</v>
      </c>
      <c r="CZ343" t="e">
        <f>AND('STERLING CATALOG - FZN &amp; CHILL'!A2296,"AAAAAH/7/2c=")</f>
        <v>#VALUE!</v>
      </c>
      <c r="DA343" t="e">
        <f>AND('STERLING CATALOG - FZN &amp; CHILL'!B2296,"AAAAAH/7/2g=")</f>
        <v>#VALUE!</v>
      </c>
      <c r="DB343" t="e">
        <f>AND('STERLING CATALOG - FZN &amp; CHILL'!C2296,"AAAAAH/7/2k=")</f>
        <v>#VALUE!</v>
      </c>
      <c r="DC343" t="e">
        <f>AND('STERLING CATALOG - FZN &amp; CHILL'!D2296,"AAAAAH/7/2o=")</f>
        <v>#VALUE!</v>
      </c>
      <c r="DD343" t="e">
        <f>AND('STERLING CATALOG - FZN &amp; CHILL'!E2296,"AAAAAH/7/2s=")</f>
        <v>#VALUE!</v>
      </c>
      <c r="DE343" t="e">
        <f>AND('STERLING CATALOG - FZN &amp; CHILL'!F2296,"AAAAAH/7/2w=")</f>
        <v>#VALUE!</v>
      </c>
      <c r="DF343" t="e">
        <f>AND('STERLING CATALOG - FZN &amp; CHILL'!G2296,"AAAAAH/7/20=")</f>
        <v>#VALUE!</v>
      </c>
      <c r="DG343" t="e">
        <f>AND('STERLING CATALOG - FZN &amp; CHILL'!H2296,"AAAAAH/7/24=")</f>
        <v>#VALUE!</v>
      </c>
      <c r="DH343" t="e">
        <f>AND('STERLING CATALOG - FZN &amp; CHILL'!I2296,"AAAAAH/7/28=")</f>
        <v>#VALUE!</v>
      </c>
      <c r="DI343" t="e">
        <f>AND('STERLING CATALOG - FZN &amp; CHILL'!J2296,"AAAAAH/7/3A=")</f>
        <v>#VALUE!</v>
      </c>
      <c r="DJ343">
        <f>IF('STERLING CATALOG - FZN &amp; CHILL'!2297:2297,"AAAAAH/7/3E=",0)</f>
        <v>0</v>
      </c>
      <c r="DK343" t="e">
        <f>AND('STERLING CATALOG - FZN &amp; CHILL'!A2297,"AAAAAH/7/3I=")</f>
        <v>#VALUE!</v>
      </c>
      <c r="DL343" t="e">
        <f>AND('STERLING CATALOG - FZN &amp; CHILL'!B2297,"AAAAAH/7/3M=")</f>
        <v>#VALUE!</v>
      </c>
      <c r="DM343" t="e">
        <f>AND('STERLING CATALOG - FZN &amp; CHILL'!C2297,"AAAAAH/7/3Q=")</f>
        <v>#VALUE!</v>
      </c>
      <c r="DN343" t="e">
        <f>AND('STERLING CATALOG - FZN &amp; CHILL'!D2297,"AAAAAH/7/3U=")</f>
        <v>#VALUE!</v>
      </c>
      <c r="DO343" t="e">
        <f>AND('STERLING CATALOG - FZN &amp; CHILL'!E2297,"AAAAAH/7/3Y=")</f>
        <v>#VALUE!</v>
      </c>
      <c r="DP343" t="e">
        <f>AND('STERLING CATALOG - FZN &amp; CHILL'!F2297,"AAAAAH/7/3c=")</f>
        <v>#VALUE!</v>
      </c>
      <c r="DQ343" t="e">
        <f>AND('STERLING CATALOG - FZN &amp; CHILL'!G2297,"AAAAAH/7/3g=")</f>
        <v>#VALUE!</v>
      </c>
      <c r="DR343" t="e">
        <f>AND('STERLING CATALOG - FZN &amp; CHILL'!H2297,"AAAAAH/7/3k=")</f>
        <v>#VALUE!</v>
      </c>
      <c r="DS343" t="e">
        <f>AND('STERLING CATALOG - FZN &amp; CHILL'!I2297,"AAAAAH/7/3o=")</f>
        <v>#VALUE!</v>
      </c>
      <c r="DT343" t="e">
        <f>AND('STERLING CATALOG - FZN &amp; CHILL'!J2297,"AAAAAH/7/3s=")</f>
        <v>#VALUE!</v>
      </c>
      <c r="DU343">
        <f>IF('STERLING CATALOG - FZN &amp; CHILL'!2298:2298,"AAAAAH/7/3w=",0)</f>
        <v>0</v>
      </c>
      <c r="DV343" t="e">
        <f>AND('STERLING CATALOG - FZN &amp; CHILL'!A2298,"AAAAAH/7/30=")</f>
        <v>#VALUE!</v>
      </c>
      <c r="DW343" t="e">
        <f>AND('STERLING CATALOG - FZN &amp; CHILL'!B2298,"AAAAAH/7/34=")</f>
        <v>#VALUE!</v>
      </c>
      <c r="DX343" t="e">
        <f>AND('STERLING CATALOG - FZN &amp; CHILL'!C2298,"AAAAAH/7/38=")</f>
        <v>#VALUE!</v>
      </c>
      <c r="DY343" t="e">
        <f>AND('STERLING CATALOG - FZN &amp; CHILL'!D2298,"AAAAAH/7/4A=")</f>
        <v>#VALUE!</v>
      </c>
      <c r="DZ343" t="e">
        <f>AND('STERLING CATALOG - FZN &amp; CHILL'!E2298,"AAAAAH/7/4E=")</f>
        <v>#VALUE!</v>
      </c>
      <c r="EA343" t="e">
        <f>AND('STERLING CATALOG - FZN &amp; CHILL'!F2298,"AAAAAH/7/4I=")</f>
        <v>#VALUE!</v>
      </c>
      <c r="EB343" t="e">
        <f>AND('STERLING CATALOG - FZN &amp; CHILL'!G2298,"AAAAAH/7/4M=")</f>
        <v>#VALUE!</v>
      </c>
      <c r="EC343" t="e">
        <f>AND('STERLING CATALOG - FZN &amp; CHILL'!H2298,"AAAAAH/7/4Q=")</f>
        <v>#VALUE!</v>
      </c>
      <c r="ED343" t="e">
        <f>AND('STERLING CATALOG - FZN &amp; CHILL'!I2298,"AAAAAH/7/4U=")</f>
        <v>#VALUE!</v>
      </c>
      <c r="EE343" t="e">
        <f>AND('STERLING CATALOG - FZN &amp; CHILL'!J2298,"AAAAAH/7/4Y=")</f>
        <v>#VALUE!</v>
      </c>
      <c r="EF343">
        <f>IF('STERLING CATALOG - FZN &amp; CHILL'!2299:2299,"AAAAAH/7/4c=",0)</f>
        <v>0</v>
      </c>
      <c r="EG343" t="e">
        <f>AND('STERLING CATALOG - FZN &amp; CHILL'!A2299,"AAAAAH/7/4g=")</f>
        <v>#VALUE!</v>
      </c>
      <c r="EH343" t="e">
        <f>AND('STERLING CATALOG - FZN &amp; CHILL'!B2299,"AAAAAH/7/4k=")</f>
        <v>#VALUE!</v>
      </c>
      <c r="EI343" t="e">
        <f>AND('STERLING CATALOG - FZN &amp; CHILL'!C2299,"AAAAAH/7/4o=")</f>
        <v>#VALUE!</v>
      </c>
      <c r="EJ343" t="e">
        <f>AND('STERLING CATALOG - FZN &amp; CHILL'!D2299,"AAAAAH/7/4s=")</f>
        <v>#VALUE!</v>
      </c>
      <c r="EK343" t="e">
        <f>AND('STERLING CATALOG - FZN &amp; CHILL'!E2299,"AAAAAH/7/4w=")</f>
        <v>#VALUE!</v>
      </c>
      <c r="EL343" t="e">
        <f>AND('STERLING CATALOG - FZN &amp; CHILL'!F2299,"AAAAAH/7/40=")</f>
        <v>#VALUE!</v>
      </c>
      <c r="EM343" t="e">
        <f>AND('STERLING CATALOG - FZN &amp; CHILL'!G2299,"AAAAAH/7/44=")</f>
        <v>#VALUE!</v>
      </c>
      <c r="EN343" t="e">
        <f>AND('STERLING CATALOG - FZN &amp; CHILL'!H2299,"AAAAAH/7/48=")</f>
        <v>#VALUE!</v>
      </c>
      <c r="EO343" t="e">
        <f>AND('STERLING CATALOG - FZN &amp; CHILL'!I2299,"AAAAAH/7/5A=")</f>
        <v>#VALUE!</v>
      </c>
      <c r="EP343" t="e">
        <f>AND('STERLING CATALOG - FZN &amp; CHILL'!J2299,"AAAAAH/7/5E=")</f>
        <v>#VALUE!</v>
      </c>
      <c r="EQ343">
        <f>IF('STERLING CATALOG - FZN &amp; CHILL'!2300:2300,"AAAAAH/7/5I=",0)</f>
        <v>0</v>
      </c>
      <c r="ER343" t="e">
        <f>AND('STERLING CATALOG - FZN &amp; CHILL'!A2300,"AAAAAH/7/5M=")</f>
        <v>#VALUE!</v>
      </c>
      <c r="ES343" t="e">
        <f>AND('STERLING CATALOG - FZN &amp; CHILL'!B2300,"AAAAAH/7/5Q=")</f>
        <v>#VALUE!</v>
      </c>
      <c r="ET343" t="e">
        <f>AND('STERLING CATALOG - FZN &amp; CHILL'!C2300,"AAAAAH/7/5U=")</f>
        <v>#VALUE!</v>
      </c>
      <c r="EU343" t="e">
        <f>AND('STERLING CATALOG - FZN &amp; CHILL'!D2300,"AAAAAH/7/5Y=")</f>
        <v>#VALUE!</v>
      </c>
      <c r="EV343" t="e">
        <f>AND('STERLING CATALOG - FZN &amp; CHILL'!E2300,"AAAAAH/7/5c=")</f>
        <v>#VALUE!</v>
      </c>
      <c r="EW343" t="e">
        <f>AND('STERLING CATALOG - FZN &amp; CHILL'!F2300,"AAAAAH/7/5g=")</f>
        <v>#VALUE!</v>
      </c>
      <c r="EX343" t="e">
        <f>AND('STERLING CATALOG - FZN &amp; CHILL'!G2300,"AAAAAH/7/5k=")</f>
        <v>#VALUE!</v>
      </c>
      <c r="EY343" t="e">
        <f>AND('STERLING CATALOG - FZN &amp; CHILL'!H2300,"AAAAAH/7/5o=")</f>
        <v>#VALUE!</v>
      </c>
      <c r="EZ343" t="e">
        <f>AND('STERLING CATALOG - FZN &amp; CHILL'!I2300,"AAAAAH/7/5s=")</f>
        <v>#VALUE!</v>
      </c>
      <c r="FA343" t="e">
        <f>AND('STERLING CATALOG - FZN &amp; CHILL'!J2300,"AAAAAH/7/5w=")</f>
        <v>#VALUE!</v>
      </c>
      <c r="FB343">
        <f>IF('STERLING CATALOG - FZN &amp; CHILL'!2301:2301,"AAAAAH/7/50=",0)</f>
        <v>0</v>
      </c>
      <c r="FC343" t="e">
        <f>AND('STERLING CATALOG - FZN &amp; CHILL'!A2301,"AAAAAH/7/54=")</f>
        <v>#VALUE!</v>
      </c>
      <c r="FD343" t="e">
        <f>AND('STERLING CATALOG - FZN &amp; CHILL'!B2301,"AAAAAH/7/58=")</f>
        <v>#VALUE!</v>
      </c>
      <c r="FE343" t="e">
        <f>AND('STERLING CATALOG - FZN &amp; CHILL'!C2301,"AAAAAH/7/6A=")</f>
        <v>#VALUE!</v>
      </c>
      <c r="FF343" t="e">
        <f>AND('STERLING CATALOG - FZN &amp; CHILL'!D2301,"AAAAAH/7/6E=")</f>
        <v>#VALUE!</v>
      </c>
      <c r="FG343" t="e">
        <f>AND('STERLING CATALOG - FZN &amp; CHILL'!E2301,"AAAAAH/7/6I=")</f>
        <v>#VALUE!</v>
      </c>
      <c r="FH343" t="e">
        <f>AND('STERLING CATALOG - FZN &amp; CHILL'!F2301,"AAAAAH/7/6M=")</f>
        <v>#VALUE!</v>
      </c>
      <c r="FI343" t="e">
        <f>AND('STERLING CATALOG - FZN &amp; CHILL'!G2301,"AAAAAH/7/6Q=")</f>
        <v>#VALUE!</v>
      </c>
      <c r="FJ343" t="e">
        <f>AND('STERLING CATALOG - FZN &amp; CHILL'!H2301,"AAAAAH/7/6U=")</f>
        <v>#VALUE!</v>
      </c>
      <c r="FK343" t="e">
        <f>AND('STERLING CATALOG - FZN &amp; CHILL'!I2301,"AAAAAH/7/6Y=")</f>
        <v>#VALUE!</v>
      </c>
      <c r="FL343" t="e">
        <f>AND('STERLING CATALOG - FZN &amp; CHILL'!J2301,"AAAAAH/7/6c=")</f>
        <v>#VALUE!</v>
      </c>
      <c r="FM343">
        <f>IF('STERLING CATALOG - FZN &amp; CHILL'!2302:2302,"AAAAAH/7/6g=",0)</f>
        <v>0</v>
      </c>
      <c r="FN343" t="e">
        <f>AND('STERLING CATALOG - FZN &amp; CHILL'!A2302,"AAAAAH/7/6k=")</f>
        <v>#VALUE!</v>
      </c>
      <c r="FO343" t="e">
        <f>AND('STERLING CATALOG - FZN &amp; CHILL'!B2302,"AAAAAH/7/6o=")</f>
        <v>#VALUE!</v>
      </c>
      <c r="FP343" t="e">
        <f>AND('STERLING CATALOG - FZN &amp; CHILL'!C2302,"AAAAAH/7/6s=")</f>
        <v>#VALUE!</v>
      </c>
      <c r="FQ343" t="e">
        <f>AND('STERLING CATALOG - FZN &amp; CHILL'!D2302,"AAAAAH/7/6w=")</f>
        <v>#VALUE!</v>
      </c>
      <c r="FR343" t="e">
        <f>AND('STERLING CATALOG - FZN &amp; CHILL'!E2302,"AAAAAH/7/60=")</f>
        <v>#VALUE!</v>
      </c>
      <c r="FS343" t="e">
        <f>AND('STERLING CATALOG - FZN &amp; CHILL'!F2302,"AAAAAH/7/64=")</f>
        <v>#VALUE!</v>
      </c>
      <c r="FT343" t="e">
        <f>AND('STERLING CATALOG - FZN &amp; CHILL'!G2302,"AAAAAH/7/68=")</f>
        <v>#VALUE!</v>
      </c>
      <c r="FU343" t="e">
        <f>AND('STERLING CATALOG - FZN &amp; CHILL'!H2302,"AAAAAH/7/7A=")</f>
        <v>#VALUE!</v>
      </c>
      <c r="FV343" t="e">
        <f>AND('STERLING CATALOG - FZN &amp; CHILL'!I2302,"AAAAAH/7/7E=")</f>
        <v>#VALUE!</v>
      </c>
      <c r="FW343" t="e">
        <f>AND('STERLING CATALOG - FZN &amp; CHILL'!J2302,"AAAAAH/7/7I=")</f>
        <v>#VALUE!</v>
      </c>
      <c r="FX343">
        <f>IF('STERLING CATALOG - FZN &amp; CHILL'!2303:2303,"AAAAAH/7/7M=",0)</f>
        <v>0</v>
      </c>
      <c r="FY343" t="e">
        <f>AND('STERLING CATALOG - FZN &amp; CHILL'!A2303,"AAAAAH/7/7Q=")</f>
        <v>#VALUE!</v>
      </c>
      <c r="FZ343" t="e">
        <f>AND('STERLING CATALOG - FZN &amp; CHILL'!B2303,"AAAAAH/7/7U=")</f>
        <v>#VALUE!</v>
      </c>
      <c r="GA343" t="e">
        <f>AND('STERLING CATALOG - FZN &amp; CHILL'!C2303,"AAAAAH/7/7Y=")</f>
        <v>#VALUE!</v>
      </c>
      <c r="GB343" t="e">
        <f>AND('STERLING CATALOG - FZN &amp; CHILL'!D2303,"AAAAAH/7/7c=")</f>
        <v>#VALUE!</v>
      </c>
      <c r="GC343" t="e">
        <f>AND('STERLING CATALOG - FZN &amp; CHILL'!E2303,"AAAAAH/7/7g=")</f>
        <v>#VALUE!</v>
      </c>
      <c r="GD343" t="e">
        <f>AND('STERLING CATALOG - FZN &amp; CHILL'!F2303,"AAAAAH/7/7k=")</f>
        <v>#VALUE!</v>
      </c>
      <c r="GE343" t="e">
        <f>AND('STERLING CATALOG - FZN &amp; CHILL'!G2303,"AAAAAH/7/7o=")</f>
        <v>#VALUE!</v>
      </c>
      <c r="GF343" t="e">
        <f>AND('STERLING CATALOG - FZN &amp; CHILL'!H2303,"AAAAAH/7/7s=")</f>
        <v>#VALUE!</v>
      </c>
      <c r="GG343" t="e">
        <f>AND('STERLING CATALOG - FZN &amp; CHILL'!I2303,"AAAAAH/7/7w=")</f>
        <v>#VALUE!</v>
      </c>
      <c r="GH343" t="e">
        <f>AND('STERLING CATALOG - FZN &amp; CHILL'!J2303,"AAAAAH/7/70=")</f>
        <v>#VALUE!</v>
      </c>
      <c r="GI343">
        <f>IF('STERLING CATALOG - FZN &amp; CHILL'!2304:2304,"AAAAAH/7/74=",0)</f>
        <v>0</v>
      </c>
      <c r="GJ343" t="e">
        <f>AND('STERLING CATALOG - FZN &amp; CHILL'!A2304,"AAAAAH/7/78=")</f>
        <v>#VALUE!</v>
      </c>
      <c r="GK343" t="e">
        <f>AND('STERLING CATALOG - FZN &amp; CHILL'!B2304,"AAAAAH/7/8A=")</f>
        <v>#VALUE!</v>
      </c>
      <c r="GL343" t="e">
        <f>AND('STERLING CATALOG - FZN &amp; CHILL'!C2304,"AAAAAH/7/8E=")</f>
        <v>#VALUE!</v>
      </c>
      <c r="GM343" t="e">
        <f>AND('STERLING CATALOG - FZN &amp; CHILL'!D2304,"AAAAAH/7/8I=")</f>
        <v>#VALUE!</v>
      </c>
      <c r="GN343" t="e">
        <f>AND('STERLING CATALOG - FZN &amp; CHILL'!E2304,"AAAAAH/7/8M=")</f>
        <v>#VALUE!</v>
      </c>
      <c r="GO343" t="e">
        <f>AND('STERLING CATALOG - FZN &amp; CHILL'!F2304,"AAAAAH/7/8Q=")</f>
        <v>#VALUE!</v>
      </c>
      <c r="GP343" t="e">
        <f>AND('STERLING CATALOG - FZN &amp; CHILL'!G2304,"AAAAAH/7/8U=")</f>
        <v>#VALUE!</v>
      </c>
      <c r="GQ343" t="e">
        <f>AND('STERLING CATALOG - FZN &amp; CHILL'!H2304,"AAAAAH/7/8Y=")</f>
        <v>#VALUE!</v>
      </c>
      <c r="GR343" t="e">
        <f>AND('STERLING CATALOG - FZN &amp; CHILL'!I2304,"AAAAAH/7/8c=")</f>
        <v>#VALUE!</v>
      </c>
      <c r="GS343" t="e">
        <f>AND('STERLING CATALOG - FZN &amp; CHILL'!J2304,"AAAAAH/7/8g=")</f>
        <v>#VALUE!</v>
      </c>
      <c r="GT343">
        <f>IF('STERLING CATALOG - FZN &amp; CHILL'!2305:2305,"AAAAAH/7/8k=",0)</f>
        <v>0</v>
      </c>
      <c r="GU343" t="e">
        <f>AND('STERLING CATALOG - FZN &amp; CHILL'!A2305,"AAAAAH/7/8o=")</f>
        <v>#VALUE!</v>
      </c>
      <c r="GV343" t="e">
        <f>AND('STERLING CATALOG - FZN &amp; CHILL'!B2305,"AAAAAH/7/8s=")</f>
        <v>#VALUE!</v>
      </c>
      <c r="GW343" t="e">
        <f>AND('STERLING CATALOG - FZN &amp; CHILL'!C2305,"AAAAAH/7/8w=")</f>
        <v>#VALUE!</v>
      </c>
      <c r="GX343" t="e">
        <f>AND('STERLING CATALOG - FZN &amp; CHILL'!D2305,"AAAAAH/7/80=")</f>
        <v>#VALUE!</v>
      </c>
      <c r="GY343" t="e">
        <f>AND('STERLING CATALOG - FZN &amp; CHILL'!E2305,"AAAAAH/7/84=")</f>
        <v>#VALUE!</v>
      </c>
      <c r="GZ343" t="e">
        <f>AND('STERLING CATALOG - FZN &amp; CHILL'!F2305,"AAAAAH/7/88=")</f>
        <v>#VALUE!</v>
      </c>
      <c r="HA343" t="e">
        <f>AND('STERLING CATALOG - FZN &amp; CHILL'!G2305,"AAAAAH/7/9A=")</f>
        <v>#VALUE!</v>
      </c>
      <c r="HB343" t="e">
        <f>AND('STERLING CATALOG - FZN &amp; CHILL'!H2305,"AAAAAH/7/9E=")</f>
        <v>#VALUE!</v>
      </c>
      <c r="HC343" t="e">
        <f>AND('STERLING CATALOG - FZN &amp; CHILL'!I2305,"AAAAAH/7/9I=")</f>
        <v>#VALUE!</v>
      </c>
      <c r="HD343" t="e">
        <f>AND('STERLING CATALOG - FZN &amp; CHILL'!J2305,"AAAAAH/7/9M=")</f>
        <v>#VALUE!</v>
      </c>
      <c r="HE343">
        <f>IF('STERLING CATALOG - FZN &amp; CHILL'!2306:2306,"AAAAAH/7/9Q=",0)</f>
        <v>0</v>
      </c>
      <c r="HF343" t="e">
        <f>AND('STERLING CATALOG - FZN &amp; CHILL'!A2306,"AAAAAH/7/9U=")</f>
        <v>#VALUE!</v>
      </c>
      <c r="HG343" t="e">
        <f>AND('STERLING CATALOG - FZN &amp; CHILL'!B2306,"AAAAAH/7/9Y=")</f>
        <v>#VALUE!</v>
      </c>
      <c r="HH343" t="e">
        <f>AND('STERLING CATALOG - FZN &amp; CHILL'!C2306,"AAAAAH/7/9c=")</f>
        <v>#VALUE!</v>
      </c>
      <c r="HI343" t="e">
        <f>AND('STERLING CATALOG - FZN &amp; CHILL'!D2306,"AAAAAH/7/9g=")</f>
        <v>#VALUE!</v>
      </c>
      <c r="HJ343" t="e">
        <f>AND('STERLING CATALOG - FZN &amp; CHILL'!E2306,"AAAAAH/7/9k=")</f>
        <v>#VALUE!</v>
      </c>
      <c r="HK343" t="e">
        <f>AND('STERLING CATALOG - FZN &amp; CHILL'!F2306,"AAAAAH/7/9o=")</f>
        <v>#VALUE!</v>
      </c>
      <c r="HL343" t="e">
        <f>AND('STERLING CATALOG - FZN &amp; CHILL'!G2306,"AAAAAH/7/9s=")</f>
        <v>#VALUE!</v>
      </c>
      <c r="HM343" t="e">
        <f>AND('STERLING CATALOG - FZN &amp; CHILL'!H2306,"AAAAAH/7/9w=")</f>
        <v>#VALUE!</v>
      </c>
      <c r="HN343" t="e">
        <f>AND('STERLING CATALOG - FZN &amp; CHILL'!I2306,"AAAAAH/7/90=")</f>
        <v>#VALUE!</v>
      </c>
      <c r="HO343" t="e">
        <f>AND('STERLING CATALOG - FZN &amp; CHILL'!J2306,"AAAAAH/7/94=")</f>
        <v>#VALUE!</v>
      </c>
      <c r="HP343">
        <f>IF('STERLING CATALOG - FZN &amp; CHILL'!2307:2307,"AAAAAH/7/98=",0)</f>
        <v>0</v>
      </c>
      <c r="HQ343" t="e">
        <f>AND('STERLING CATALOG - FZN &amp; CHILL'!A2307,"AAAAAH/7/+A=")</f>
        <v>#VALUE!</v>
      </c>
      <c r="HR343" t="e">
        <f>AND('STERLING CATALOG - FZN &amp; CHILL'!B2307,"AAAAAH/7/+E=")</f>
        <v>#VALUE!</v>
      </c>
      <c r="HS343" t="e">
        <f>AND('STERLING CATALOG - FZN &amp; CHILL'!C2307,"AAAAAH/7/+I=")</f>
        <v>#VALUE!</v>
      </c>
      <c r="HT343" t="e">
        <f>AND('STERLING CATALOG - FZN &amp; CHILL'!D2307,"AAAAAH/7/+M=")</f>
        <v>#VALUE!</v>
      </c>
      <c r="HU343" t="e">
        <f>AND('STERLING CATALOG - FZN &amp; CHILL'!E2307,"AAAAAH/7/+Q=")</f>
        <v>#VALUE!</v>
      </c>
      <c r="HV343" t="e">
        <f>AND('STERLING CATALOG - FZN &amp; CHILL'!F2307,"AAAAAH/7/+U=")</f>
        <v>#VALUE!</v>
      </c>
      <c r="HW343" t="e">
        <f>AND('STERLING CATALOG - FZN &amp; CHILL'!G2307,"AAAAAH/7/+Y=")</f>
        <v>#VALUE!</v>
      </c>
      <c r="HX343" t="e">
        <f>AND('STERLING CATALOG - FZN &amp; CHILL'!H2307,"AAAAAH/7/+c=")</f>
        <v>#VALUE!</v>
      </c>
      <c r="HY343" t="e">
        <f>AND('STERLING CATALOG - FZN &amp; CHILL'!I2307,"AAAAAH/7/+g=")</f>
        <v>#VALUE!</v>
      </c>
      <c r="HZ343" t="e">
        <f>AND('STERLING CATALOG - FZN &amp; CHILL'!J2307,"AAAAAH/7/+k=")</f>
        <v>#VALUE!</v>
      </c>
      <c r="IA343">
        <f>IF('STERLING CATALOG - FZN &amp; CHILL'!2308:2308,"AAAAAH/7/+o=",0)</f>
        <v>0</v>
      </c>
      <c r="IB343" t="e">
        <f>AND('STERLING CATALOG - FZN &amp; CHILL'!A2308,"AAAAAH/7/+s=")</f>
        <v>#VALUE!</v>
      </c>
      <c r="IC343" t="e">
        <f>AND('STERLING CATALOG - FZN &amp; CHILL'!B2308,"AAAAAH/7/+w=")</f>
        <v>#VALUE!</v>
      </c>
      <c r="ID343" t="e">
        <f>AND('STERLING CATALOG - FZN &amp; CHILL'!C2308,"AAAAAH/7/+0=")</f>
        <v>#VALUE!</v>
      </c>
      <c r="IE343" t="e">
        <f>AND('STERLING CATALOG - FZN &amp; CHILL'!D2308,"AAAAAH/7/+4=")</f>
        <v>#VALUE!</v>
      </c>
      <c r="IF343" t="e">
        <f>AND('STERLING CATALOG - FZN &amp; CHILL'!E2308,"AAAAAH/7/+8=")</f>
        <v>#VALUE!</v>
      </c>
      <c r="IG343" t="e">
        <f>AND('STERLING CATALOG - FZN &amp; CHILL'!F2308,"AAAAAH/7//A=")</f>
        <v>#VALUE!</v>
      </c>
      <c r="IH343" t="e">
        <f>AND('STERLING CATALOG - FZN &amp; CHILL'!G2308,"AAAAAH/7//E=")</f>
        <v>#VALUE!</v>
      </c>
      <c r="II343" t="e">
        <f>AND('STERLING CATALOG - FZN &amp; CHILL'!H2308,"AAAAAH/7//I=")</f>
        <v>#VALUE!</v>
      </c>
      <c r="IJ343" t="e">
        <f>AND('STERLING CATALOG - FZN &amp; CHILL'!I2308,"AAAAAH/7//M=")</f>
        <v>#VALUE!</v>
      </c>
      <c r="IK343" t="e">
        <f>AND('STERLING CATALOG - FZN &amp; CHILL'!J2308,"AAAAAH/7//Q=")</f>
        <v>#VALUE!</v>
      </c>
      <c r="IL343">
        <f>IF('STERLING CATALOG - FZN &amp; CHILL'!2309:2309,"AAAAAH/7//U=",0)</f>
        <v>0</v>
      </c>
      <c r="IM343" t="e">
        <f>AND('STERLING CATALOG - FZN &amp; CHILL'!A2309,"AAAAAH/7//Y=")</f>
        <v>#VALUE!</v>
      </c>
      <c r="IN343" t="e">
        <f>AND('STERLING CATALOG - FZN &amp; CHILL'!B2309,"AAAAAH/7//c=")</f>
        <v>#VALUE!</v>
      </c>
      <c r="IO343" t="e">
        <f>AND('STERLING CATALOG - FZN &amp; CHILL'!C2309,"AAAAAH/7//g=")</f>
        <v>#VALUE!</v>
      </c>
      <c r="IP343" t="e">
        <f>AND('STERLING CATALOG - FZN &amp; CHILL'!D2309,"AAAAAH/7//k=")</f>
        <v>#VALUE!</v>
      </c>
      <c r="IQ343" t="e">
        <f>AND('STERLING CATALOG - FZN &amp; CHILL'!E2309,"AAAAAH/7//o=")</f>
        <v>#VALUE!</v>
      </c>
      <c r="IR343" t="e">
        <f>AND('STERLING CATALOG - FZN &amp; CHILL'!F2309,"AAAAAH/7//s=")</f>
        <v>#VALUE!</v>
      </c>
      <c r="IS343" t="e">
        <f>AND('STERLING CATALOG - FZN &amp; CHILL'!G2309,"AAAAAH/7//w=")</f>
        <v>#VALUE!</v>
      </c>
      <c r="IT343" t="e">
        <f>AND('STERLING CATALOG - FZN &amp; CHILL'!H2309,"AAAAAH/7//0=")</f>
        <v>#VALUE!</v>
      </c>
      <c r="IU343" t="e">
        <f>AND('STERLING CATALOG - FZN &amp; CHILL'!I2309,"AAAAAH/7//4=")</f>
        <v>#VALUE!</v>
      </c>
      <c r="IV343" t="e">
        <f>AND('STERLING CATALOG - FZN &amp; CHILL'!J2309,"AAAAAH/7//8=")</f>
        <v>#VALUE!</v>
      </c>
    </row>
    <row r="344" spans="1:256">
      <c r="A344" t="str">
        <f>IF('STERLING CATALOG - FZN &amp; CHILL'!2310:2310,"AAAAAH1d1gA=",0)</f>
        <v>AAAAAH1d1gA=</v>
      </c>
      <c r="B344" t="e">
        <f>AND('STERLING CATALOG - FZN &amp; CHILL'!A2310,"AAAAAH1d1gE=")</f>
        <v>#VALUE!</v>
      </c>
      <c r="C344" t="e">
        <f>AND('STERLING CATALOG - FZN &amp; CHILL'!B2310,"AAAAAH1d1gI=")</f>
        <v>#VALUE!</v>
      </c>
      <c r="D344" t="e">
        <f>AND('STERLING CATALOG - FZN &amp; CHILL'!C2310,"AAAAAH1d1gM=")</f>
        <v>#VALUE!</v>
      </c>
      <c r="E344" t="e">
        <f>AND('STERLING CATALOG - FZN &amp; CHILL'!D2310,"AAAAAH1d1gQ=")</f>
        <v>#VALUE!</v>
      </c>
      <c r="F344" t="e">
        <f>AND('STERLING CATALOG - FZN &amp; CHILL'!E2310,"AAAAAH1d1gU=")</f>
        <v>#VALUE!</v>
      </c>
      <c r="G344" t="e">
        <f>AND('STERLING CATALOG - FZN &amp; CHILL'!F2310,"AAAAAH1d1gY=")</f>
        <v>#VALUE!</v>
      </c>
      <c r="H344" t="e">
        <f>AND('STERLING CATALOG - FZN &amp; CHILL'!G2310,"AAAAAH1d1gc=")</f>
        <v>#VALUE!</v>
      </c>
      <c r="I344" t="e">
        <f>AND('STERLING CATALOG - FZN &amp; CHILL'!H2310,"AAAAAH1d1gg=")</f>
        <v>#VALUE!</v>
      </c>
      <c r="J344" t="e">
        <f>AND('STERLING CATALOG - FZN &amp; CHILL'!I2310,"AAAAAH1d1gk=")</f>
        <v>#VALUE!</v>
      </c>
      <c r="K344" t="e">
        <f>AND('STERLING CATALOG - FZN &amp; CHILL'!J2310,"AAAAAH1d1go=")</f>
        <v>#VALUE!</v>
      </c>
      <c r="L344">
        <f>IF('STERLING CATALOG - FZN &amp; CHILL'!2311:2311,"AAAAAH1d1gs=",0)</f>
        <v>0</v>
      </c>
      <c r="M344" t="e">
        <f>AND('STERLING CATALOG - FZN &amp; CHILL'!A2311,"AAAAAH1d1gw=")</f>
        <v>#VALUE!</v>
      </c>
      <c r="N344" t="e">
        <f>AND('STERLING CATALOG - FZN &amp; CHILL'!B2311,"AAAAAH1d1g0=")</f>
        <v>#VALUE!</v>
      </c>
      <c r="O344" t="e">
        <f>AND('STERLING CATALOG - FZN &amp; CHILL'!C2311,"AAAAAH1d1g4=")</f>
        <v>#VALUE!</v>
      </c>
      <c r="P344" t="e">
        <f>AND('STERLING CATALOG - FZN &amp; CHILL'!D2311,"AAAAAH1d1g8=")</f>
        <v>#VALUE!</v>
      </c>
      <c r="Q344" t="e">
        <f>AND('STERLING CATALOG - FZN &amp; CHILL'!E2311,"AAAAAH1d1hA=")</f>
        <v>#VALUE!</v>
      </c>
      <c r="R344" t="e">
        <f>AND('STERLING CATALOG - FZN &amp; CHILL'!F2311,"AAAAAH1d1hE=")</f>
        <v>#VALUE!</v>
      </c>
      <c r="S344" t="e">
        <f>AND('STERLING CATALOG - FZN &amp; CHILL'!G2311,"AAAAAH1d1hI=")</f>
        <v>#VALUE!</v>
      </c>
      <c r="T344" t="e">
        <f>AND('STERLING CATALOG - FZN &amp; CHILL'!H2311,"AAAAAH1d1hM=")</f>
        <v>#VALUE!</v>
      </c>
      <c r="U344" t="e">
        <f>AND('STERLING CATALOG - FZN &amp; CHILL'!I2311,"AAAAAH1d1hQ=")</f>
        <v>#VALUE!</v>
      </c>
      <c r="V344" t="e">
        <f>AND('STERLING CATALOG - FZN &amp; CHILL'!J2311,"AAAAAH1d1hU=")</f>
        <v>#VALUE!</v>
      </c>
      <c r="W344">
        <f>IF('STERLING CATALOG - FZN &amp; CHILL'!2312:2312,"AAAAAH1d1hY=",0)</f>
        <v>0</v>
      </c>
      <c r="X344" t="e">
        <f>AND('STERLING CATALOG - FZN &amp; CHILL'!A2312,"AAAAAH1d1hc=")</f>
        <v>#VALUE!</v>
      </c>
      <c r="Y344" t="e">
        <f>AND('STERLING CATALOG - FZN &amp; CHILL'!B2312,"AAAAAH1d1hg=")</f>
        <v>#VALUE!</v>
      </c>
      <c r="Z344" t="e">
        <f>AND('STERLING CATALOG - FZN &amp; CHILL'!C2312,"AAAAAH1d1hk=")</f>
        <v>#VALUE!</v>
      </c>
      <c r="AA344" t="e">
        <f>AND('STERLING CATALOG - FZN &amp; CHILL'!D2312,"AAAAAH1d1ho=")</f>
        <v>#VALUE!</v>
      </c>
      <c r="AB344" t="e">
        <f>AND('STERLING CATALOG - FZN &amp; CHILL'!E2312,"AAAAAH1d1hs=")</f>
        <v>#VALUE!</v>
      </c>
      <c r="AC344" t="e">
        <f>AND('STERLING CATALOG - FZN &amp; CHILL'!F2312,"AAAAAH1d1hw=")</f>
        <v>#VALUE!</v>
      </c>
      <c r="AD344" t="e">
        <f>AND('STERLING CATALOG - FZN &amp; CHILL'!G2312,"AAAAAH1d1h0=")</f>
        <v>#VALUE!</v>
      </c>
      <c r="AE344" t="e">
        <f>AND('STERLING CATALOG - FZN &amp; CHILL'!H2312,"AAAAAH1d1h4=")</f>
        <v>#VALUE!</v>
      </c>
      <c r="AF344" t="e">
        <f>AND('STERLING CATALOG - FZN &amp; CHILL'!I2312,"AAAAAH1d1h8=")</f>
        <v>#VALUE!</v>
      </c>
      <c r="AG344" t="e">
        <f>AND('STERLING CATALOG - FZN &amp; CHILL'!J2312,"AAAAAH1d1iA=")</f>
        <v>#VALUE!</v>
      </c>
      <c r="AH344">
        <f>IF('STERLING CATALOG - FZN &amp; CHILL'!2313:2313,"AAAAAH1d1iE=",0)</f>
        <v>0</v>
      </c>
      <c r="AI344" t="e">
        <f>AND('STERLING CATALOG - FZN &amp; CHILL'!A2313,"AAAAAH1d1iI=")</f>
        <v>#VALUE!</v>
      </c>
      <c r="AJ344" t="e">
        <f>AND('STERLING CATALOG - FZN &amp; CHILL'!B2313,"AAAAAH1d1iM=")</f>
        <v>#VALUE!</v>
      </c>
      <c r="AK344" t="e">
        <f>AND('STERLING CATALOG - FZN &amp; CHILL'!C2313,"AAAAAH1d1iQ=")</f>
        <v>#VALUE!</v>
      </c>
      <c r="AL344" t="e">
        <f>AND('STERLING CATALOG - FZN &amp; CHILL'!D2313,"AAAAAH1d1iU=")</f>
        <v>#VALUE!</v>
      </c>
      <c r="AM344" t="e">
        <f>AND('STERLING CATALOG - FZN &amp; CHILL'!E2313,"AAAAAH1d1iY=")</f>
        <v>#VALUE!</v>
      </c>
      <c r="AN344" t="e">
        <f>AND('STERLING CATALOG - FZN &amp; CHILL'!F2313,"AAAAAH1d1ic=")</f>
        <v>#VALUE!</v>
      </c>
      <c r="AO344" t="e">
        <f>AND('STERLING CATALOG - FZN &amp; CHILL'!G2313,"AAAAAH1d1ig=")</f>
        <v>#VALUE!</v>
      </c>
      <c r="AP344" t="e">
        <f>AND('STERLING CATALOG - FZN &amp; CHILL'!H2313,"AAAAAH1d1ik=")</f>
        <v>#VALUE!</v>
      </c>
      <c r="AQ344" t="e">
        <f>AND('STERLING CATALOG - FZN &amp; CHILL'!I2313,"AAAAAH1d1io=")</f>
        <v>#VALUE!</v>
      </c>
      <c r="AR344" t="e">
        <f>AND('STERLING CATALOG - FZN &amp; CHILL'!J2313,"AAAAAH1d1is=")</f>
        <v>#VALUE!</v>
      </c>
      <c r="AS344">
        <f>IF('STERLING CATALOG - FZN &amp; CHILL'!2314:2314,"AAAAAH1d1iw=",0)</f>
        <v>0</v>
      </c>
      <c r="AT344" t="e">
        <f>AND('STERLING CATALOG - FZN &amp; CHILL'!A2314,"AAAAAH1d1i0=")</f>
        <v>#VALUE!</v>
      </c>
      <c r="AU344" t="e">
        <f>AND('STERLING CATALOG - FZN &amp; CHILL'!B2314,"AAAAAH1d1i4=")</f>
        <v>#VALUE!</v>
      </c>
      <c r="AV344" t="e">
        <f>AND('STERLING CATALOG - FZN &amp; CHILL'!C2314,"AAAAAH1d1i8=")</f>
        <v>#VALUE!</v>
      </c>
      <c r="AW344" t="e">
        <f>AND('STERLING CATALOG - FZN &amp; CHILL'!D2314,"AAAAAH1d1jA=")</f>
        <v>#VALUE!</v>
      </c>
      <c r="AX344" t="e">
        <f>AND('STERLING CATALOG - FZN &amp; CHILL'!E2314,"AAAAAH1d1jE=")</f>
        <v>#VALUE!</v>
      </c>
      <c r="AY344" t="e">
        <f>AND('STERLING CATALOG - FZN &amp; CHILL'!F2314,"AAAAAH1d1jI=")</f>
        <v>#VALUE!</v>
      </c>
      <c r="AZ344" t="e">
        <f>AND('STERLING CATALOG - FZN &amp; CHILL'!G2314,"AAAAAH1d1jM=")</f>
        <v>#VALUE!</v>
      </c>
      <c r="BA344" t="e">
        <f>AND('STERLING CATALOG - FZN &amp; CHILL'!H2314,"AAAAAH1d1jQ=")</f>
        <v>#VALUE!</v>
      </c>
      <c r="BB344" t="e">
        <f>AND('STERLING CATALOG - FZN &amp; CHILL'!I2314,"AAAAAH1d1jU=")</f>
        <v>#VALUE!</v>
      </c>
      <c r="BC344" t="e">
        <f>AND('STERLING CATALOG - FZN &amp; CHILL'!J2314,"AAAAAH1d1jY=")</f>
        <v>#VALUE!</v>
      </c>
      <c r="BD344">
        <f>IF('STERLING CATALOG - FZN &amp; CHILL'!2315:2315,"AAAAAH1d1jc=",0)</f>
        <v>0</v>
      </c>
      <c r="BE344" t="e">
        <f>AND('STERLING CATALOG - FZN &amp; CHILL'!A2315,"AAAAAH1d1jg=")</f>
        <v>#VALUE!</v>
      </c>
      <c r="BF344" t="e">
        <f>AND('STERLING CATALOG - FZN &amp; CHILL'!B2315,"AAAAAH1d1jk=")</f>
        <v>#VALUE!</v>
      </c>
      <c r="BG344" t="e">
        <f>AND('STERLING CATALOG - FZN &amp; CHILL'!C2315,"AAAAAH1d1jo=")</f>
        <v>#VALUE!</v>
      </c>
      <c r="BH344" t="e">
        <f>AND('STERLING CATALOG - FZN &amp; CHILL'!D2315,"AAAAAH1d1js=")</f>
        <v>#VALUE!</v>
      </c>
      <c r="BI344" t="e">
        <f>AND('STERLING CATALOG - FZN &amp; CHILL'!E2315,"AAAAAH1d1jw=")</f>
        <v>#VALUE!</v>
      </c>
      <c r="BJ344" t="e">
        <f>AND('STERLING CATALOG - FZN &amp; CHILL'!F2315,"AAAAAH1d1j0=")</f>
        <v>#VALUE!</v>
      </c>
      <c r="BK344" t="e">
        <f>AND('STERLING CATALOG - FZN &amp; CHILL'!G2315,"AAAAAH1d1j4=")</f>
        <v>#VALUE!</v>
      </c>
      <c r="BL344" t="e">
        <f>AND('STERLING CATALOG - FZN &amp; CHILL'!H2315,"AAAAAH1d1j8=")</f>
        <v>#VALUE!</v>
      </c>
      <c r="BM344" t="e">
        <f>AND('STERLING CATALOG - FZN &amp; CHILL'!I2315,"AAAAAH1d1kA=")</f>
        <v>#VALUE!</v>
      </c>
      <c r="BN344" t="e">
        <f>AND('STERLING CATALOG - FZN &amp; CHILL'!J2315,"AAAAAH1d1kE=")</f>
        <v>#VALUE!</v>
      </c>
      <c r="BO344">
        <f>IF('STERLING CATALOG - FZN &amp; CHILL'!2316:2316,"AAAAAH1d1kI=",0)</f>
        <v>0</v>
      </c>
      <c r="BP344" t="e">
        <f>AND('STERLING CATALOG - FZN &amp; CHILL'!A2316,"AAAAAH1d1kM=")</f>
        <v>#VALUE!</v>
      </c>
      <c r="BQ344" t="e">
        <f>AND('STERLING CATALOG - FZN &amp; CHILL'!B2316,"AAAAAH1d1kQ=")</f>
        <v>#VALUE!</v>
      </c>
      <c r="BR344" t="e">
        <f>AND('STERLING CATALOG - FZN &amp; CHILL'!C2316,"AAAAAH1d1kU=")</f>
        <v>#VALUE!</v>
      </c>
      <c r="BS344" t="e">
        <f>AND('STERLING CATALOG - FZN &amp; CHILL'!D2316,"AAAAAH1d1kY=")</f>
        <v>#VALUE!</v>
      </c>
      <c r="BT344" t="e">
        <f>AND('STERLING CATALOG - FZN &amp; CHILL'!E2316,"AAAAAH1d1kc=")</f>
        <v>#VALUE!</v>
      </c>
      <c r="BU344" t="e">
        <f>AND('STERLING CATALOG - FZN &amp; CHILL'!F2316,"AAAAAH1d1kg=")</f>
        <v>#VALUE!</v>
      </c>
      <c r="BV344" t="e">
        <f>AND('STERLING CATALOG - FZN &amp; CHILL'!G2316,"AAAAAH1d1kk=")</f>
        <v>#VALUE!</v>
      </c>
      <c r="BW344" t="e">
        <f>AND('STERLING CATALOG - FZN &amp; CHILL'!H2316,"AAAAAH1d1ko=")</f>
        <v>#VALUE!</v>
      </c>
      <c r="BX344" t="e">
        <f>AND('STERLING CATALOG - FZN &amp; CHILL'!I2316,"AAAAAH1d1ks=")</f>
        <v>#VALUE!</v>
      </c>
      <c r="BY344" t="e">
        <f>AND('STERLING CATALOG - FZN &amp; CHILL'!J2316,"AAAAAH1d1kw=")</f>
        <v>#VALUE!</v>
      </c>
      <c r="BZ344">
        <f>IF('STERLING CATALOG - FZN &amp; CHILL'!2317:2317,"AAAAAH1d1k0=",0)</f>
        <v>0</v>
      </c>
      <c r="CA344" t="e">
        <f>AND('STERLING CATALOG - FZN &amp; CHILL'!A2317,"AAAAAH1d1k4=")</f>
        <v>#VALUE!</v>
      </c>
      <c r="CB344" t="e">
        <f>AND('STERLING CATALOG - FZN &amp; CHILL'!B2317,"AAAAAH1d1k8=")</f>
        <v>#VALUE!</v>
      </c>
      <c r="CC344" t="e">
        <f>AND('STERLING CATALOG - FZN &amp; CHILL'!C2317,"AAAAAH1d1lA=")</f>
        <v>#VALUE!</v>
      </c>
      <c r="CD344" t="e">
        <f>AND('STERLING CATALOG - FZN &amp; CHILL'!D2317,"AAAAAH1d1lE=")</f>
        <v>#VALUE!</v>
      </c>
      <c r="CE344" t="e">
        <f>AND('STERLING CATALOG - FZN &amp; CHILL'!E2317,"AAAAAH1d1lI=")</f>
        <v>#VALUE!</v>
      </c>
      <c r="CF344" t="e">
        <f>AND('STERLING CATALOG - FZN &amp; CHILL'!F2317,"AAAAAH1d1lM=")</f>
        <v>#VALUE!</v>
      </c>
      <c r="CG344" t="e">
        <f>AND('STERLING CATALOG - FZN &amp; CHILL'!G2317,"AAAAAH1d1lQ=")</f>
        <v>#VALUE!</v>
      </c>
      <c r="CH344" t="e">
        <f>AND('STERLING CATALOG - FZN &amp; CHILL'!H2317,"AAAAAH1d1lU=")</f>
        <v>#VALUE!</v>
      </c>
      <c r="CI344" t="e">
        <f>AND('STERLING CATALOG - FZN &amp; CHILL'!I2317,"AAAAAH1d1lY=")</f>
        <v>#VALUE!</v>
      </c>
      <c r="CJ344" t="e">
        <f>AND('STERLING CATALOG - FZN &amp; CHILL'!J2317,"AAAAAH1d1lc=")</f>
        <v>#VALUE!</v>
      </c>
      <c r="CK344">
        <f>IF('STERLING CATALOG - FZN &amp; CHILL'!2318:2318,"AAAAAH1d1lg=",0)</f>
        <v>0</v>
      </c>
      <c r="CL344" t="e">
        <f>AND('STERLING CATALOG - FZN &amp; CHILL'!A2318,"AAAAAH1d1lk=")</f>
        <v>#VALUE!</v>
      </c>
      <c r="CM344" t="e">
        <f>AND('STERLING CATALOG - FZN &amp; CHILL'!B2318,"AAAAAH1d1lo=")</f>
        <v>#VALUE!</v>
      </c>
      <c r="CN344" t="e">
        <f>AND('STERLING CATALOG - FZN &amp; CHILL'!C2318,"AAAAAH1d1ls=")</f>
        <v>#VALUE!</v>
      </c>
      <c r="CO344" t="e">
        <f>AND('STERLING CATALOG - FZN &amp; CHILL'!D2318,"AAAAAH1d1lw=")</f>
        <v>#VALUE!</v>
      </c>
      <c r="CP344" t="e">
        <f>AND('STERLING CATALOG - FZN &amp; CHILL'!E2318,"AAAAAH1d1l0=")</f>
        <v>#VALUE!</v>
      </c>
      <c r="CQ344" t="e">
        <f>AND('STERLING CATALOG - FZN &amp; CHILL'!F2318,"AAAAAH1d1l4=")</f>
        <v>#VALUE!</v>
      </c>
      <c r="CR344" t="e">
        <f>AND('STERLING CATALOG - FZN &amp; CHILL'!G2318,"AAAAAH1d1l8=")</f>
        <v>#VALUE!</v>
      </c>
      <c r="CS344" t="e">
        <f>AND('STERLING CATALOG - FZN &amp; CHILL'!H2318,"AAAAAH1d1mA=")</f>
        <v>#VALUE!</v>
      </c>
      <c r="CT344" t="e">
        <f>AND('STERLING CATALOG - FZN &amp; CHILL'!I2318,"AAAAAH1d1mE=")</f>
        <v>#VALUE!</v>
      </c>
      <c r="CU344" t="e">
        <f>AND('STERLING CATALOG - FZN &amp; CHILL'!J2318,"AAAAAH1d1mI=")</f>
        <v>#VALUE!</v>
      </c>
      <c r="CV344">
        <f>IF('STERLING CATALOG - FZN &amp; CHILL'!2319:2319,"AAAAAH1d1mM=",0)</f>
        <v>0</v>
      </c>
      <c r="CW344" t="e">
        <f>AND('STERLING CATALOG - FZN &amp; CHILL'!A2319,"AAAAAH1d1mQ=")</f>
        <v>#VALUE!</v>
      </c>
      <c r="CX344" t="e">
        <f>AND('STERLING CATALOG - FZN &amp; CHILL'!B2319,"AAAAAH1d1mU=")</f>
        <v>#VALUE!</v>
      </c>
      <c r="CY344" t="e">
        <f>AND('STERLING CATALOG - FZN &amp; CHILL'!C2319,"AAAAAH1d1mY=")</f>
        <v>#VALUE!</v>
      </c>
      <c r="CZ344" t="e">
        <f>AND('STERLING CATALOG - FZN &amp; CHILL'!D2319,"AAAAAH1d1mc=")</f>
        <v>#VALUE!</v>
      </c>
      <c r="DA344" t="e">
        <f>AND('STERLING CATALOG - FZN &amp; CHILL'!E2319,"AAAAAH1d1mg=")</f>
        <v>#VALUE!</v>
      </c>
      <c r="DB344" t="e">
        <f>AND('STERLING CATALOG - FZN &amp; CHILL'!F2319,"AAAAAH1d1mk=")</f>
        <v>#VALUE!</v>
      </c>
      <c r="DC344" t="e">
        <f>AND('STERLING CATALOG - FZN &amp; CHILL'!G2319,"AAAAAH1d1mo=")</f>
        <v>#VALUE!</v>
      </c>
      <c r="DD344" t="e">
        <f>AND('STERLING CATALOG - FZN &amp; CHILL'!H2319,"AAAAAH1d1ms=")</f>
        <v>#VALUE!</v>
      </c>
      <c r="DE344" t="e">
        <f>AND('STERLING CATALOG - FZN &amp; CHILL'!I2319,"AAAAAH1d1mw=")</f>
        <v>#VALUE!</v>
      </c>
      <c r="DF344" t="e">
        <f>AND('STERLING CATALOG - FZN &amp; CHILL'!J2319,"AAAAAH1d1m0=")</f>
        <v>#VALUE!</v>
      </c>
      <c r="DG344">
        <f>IF('STERLING CATALOG - FZN &amp; CHILL'!2320:2320,"AAAAAH1d1m4=",0)</f>
        <v>0</v>
      </c>
      <c r="DH344" t="e">
        <f>AND('STERLING CATALOG - FZN &amp; CHILL'!A2320,"AAAAAH1d1m8=")</f>
        <v>#VALUE!</v>
      </c>
      <c r="DI344" t="e">
        <f>AND('STERLING CATALOG - FZN &amp; CHILL'!B2320,"AAAAAH1d1nA=")</f>
        <v>#VALUE!</v>
      </c>
      <c r="DJ344" t="e">
        <f>AND('STERLING CATALOG - FZN &amp; CHILL'!C2320,"AAAAAH1d1nE=")</f>
        <v>#VALUE!</v>
      </c>
      <c r="DK344" t="e">
        <f>AND('STERLING CATALOG - FZN &amp; CHILL'!D2320,"AAAAAH1d1nI=")</f>
        <v>#VALUE!</v>
      </c>
      <c r="DL344" t="e">
        <f>AND('STERLING CATALOG - FZN &amp; CHILL'!E2320,"AAAAAH1d1nM=")</f>
        <v>#VALUE!</v>
      </c>
      <c r="DM344" t="e">
        <f>AND('STERLING CATALOG - FZN &amp; CHILL'!F2320,"AAAAAH1d1nQ=")</f>
        <v>#VALUE!</v>
      </c>
      <c r="DN344" t="e">
        <f>AND('STERLING CATALOG - FZN &amp; CHILL'!G2320,"AAAAAH1d1nU=")</f>
        <v>#VALUE!</v>
      </c>
      <c r="DO344" t="e">
        <f>AND('STERLING CATALOG - FZN &amp; CHILL'!H2320,"AAAAAH1d1nY=")</f>
        <v>#VALUE!</v>
      </c>
      <c r="DP344" t="e">
        <f>AND('STERLING CATALOG - FZN &amp; CHILL'!I2320,"AAAAAH1d1nc=")</f>
        <v>#VALUE!</v>
      </c>
      <c r="DQ344" t="e">
        <f>AND('STERLING CATALOG - FZN &amp; CHILL'!J2320,"AAAAAH1d1ng=")</f>
        <v>#VALUE!</v>
      </c>
      <c r="DR344">
        <f>IF('STERLING CATALOG - FZN &amp; CHILL'!2321:2321,"AAAAAH1d1nk=",0)</f>
        <v>0</v>
      </c>
      <c r="DS344" t="e">
        <f>AND('STERLING CATALOG - FZN &amp; CHILL'!A2321,"AAAAAH1d1no=")</f>
        <v>#VALUE!</v>
      </c>
      <c r="DT344" t="e">
        <f>AND('STERLING CATALOG - FZN &amp; CHILL'!B2321,"AAAAAH1d1ns=")</f>
        <v>#VALUE!</v>
      </c>
      <c r="DU344" t="e">
        <f>AND('STERLING CATALOG - FZN &amp; CHILL'!C2321,"AAAAAH1d1nw=")</f>
        <v>#VALUE!</v>
      </c>
      <c r="DV344" t="e">
        <f>AND('STERLING CATALOG - FZN &amp; CHILL'!D2321,"AAAAAH1d1n0=")</f>
        <v>#VALUE!</v>
      </c>
      <c r="DW344" t="e">
        <f>AND('STERLING CATALOG - FZN &amp; CHILL'!E2321,"AAAAAH1d1n4=")</f>
        <v>#VALUE!</v>
      </c>
      <c r="DX344" t="e">
        <f>AND('STERLING CATALOG - FZN &amp; CHILL'!F2321,"AAAAAH1d1n8=")</f>
        <v>#VALUE!</v>
      </c>
      <c r="DY344" t="e">
        <f>AND('STERLING CATALOG - FZN &amp; CHILL'!G2321,"AAAAAH1d1oA=")</f>
        <v>#VALUE!</v>
      </c>
      <c r="DZ344" t="e">
        <f>AND('STERLING CATALOG - FZN &amp; CHILL'!H2321,"AAAAAH1d1oE=")</f>
        <v>#VALUE!</v>
      </c>
      <c r="EA344" t="e">
        <f>AND('STERLING CATALOG - FZN &amp; CHILL'!I2321,"AAAAAH1d1oI=")</f>
        <v>#VALUE!</v>
      </c>
      <c r="EB344" t="e">
        <f>AND('STERLING CATALOG - FZN &amp; CHILL'!J2321,"AAAAAH1d1oM=")</f>
        <v>#VALUE!</v>
      </c>
      <c r="EC344">
        <f>IF('STERLING CATALOG - FZN &amp; CHILL'!2322:2322,"AAAAAH1d1oQ=",0)</f>
        <v>0</v>
      </c>
      <c r="ED344" t="e">
        <f>AND('STERLING CATALOG - FZN &amp; CHILL'!A2322,"AAAAAH1d1oU=")</f>
        <v>#VALUE!</v>
      </c>
      <c r="EE344" t="e">
        <f>AND('STERLING CATALOG - FZN &amp; CHILL'!B2322,"AAAAAH1d1oY=")</f>
        <v>#VALUE!</v>
      </c>
      <c r="EF344" t="e">
        <f>AND('STERLING CATALOG - FZN &amp; CHILL'!C2322,"AAAAAH1d1oc=")</f>
        <v>#VALUE!</v>
      </c>
      <c r="EG344" t="e">
        <f>AND('STERLING CATALOG - FZN &amp; CHILL'!D2322,"AAAAAH1d1og=")</f>
        <v>#VALUE!</v>
      </c>
      <c r="EH344" t="e">
        <f>AND('STERLING CATALOG - FZN &amp; CHILL'!E2322,"AAAAAH1d1ok=")</f>
        <v>#VALUE!</v>
      </c>
      <c r="EI344" t="e">
        <f>AND('STERLING CATALOG - FZN &amp; CHILL'!F2322,"AAAAAH1d1oo=")</f>
        <v>#VALUE!</v>
      </c>
      <c r="EJ344" t="e">
        <f>AND('STERLING CATALOG - FZN &amp; CHILL'!G2322,"AAAAAH1d1os=")</f>
        <v>#VALUE!</v>
      </c>
      <c r="EK344" t="e">
        <f>AND('STERLING CATALOG - FZN &amp; CHILL'!H2322,"AAAAAH1d1ow=")</f>
        <v>#VALUE!</v>
      </c>
      <c r="EL344" t="e">
        <f>AND('STERLING CATALOG - FZN &amp; CHILL'!I2322,"AAAAAH1d1o0=")</f>
        <v>#VALUE!</v>
      </c>
      <c r="EM344" t="e">
        <f>AND('STERLING CATALOG - FZN &amp; CHILL'!J2322,"AAAAAH1d1o4=")</f>
        <v>#VALUE!</v>
      </c>
      <c r="EN344">
        <f>IF('STERLING CATALOG - FZN &amp; CHILL'!2323:2323,"AAAAAH1d1o8=",0)</f>
        <v>0</v>
      </c>
      <c r="EO344" t="e">
        <f>AND('STERLING CATALOG - FZN &amp; CHILL'!A2323,"AAAAAH1d1pA=")</f>
        <v>#VALUE!</v>
      </c>
      <c r="EP344" t="e">
        <f>AND('STERLING CATALOG - FZN &amp; CHILL'!B2323,"AAAAAH1d1pE=")</f>
        <v>#VALUE!</v>
      </c>
      <c r="EQ344" t="e">
        <f>AND('STERLING CATALOG - FZN &amp; CHILL'!C2323,"AAAAAH1d1pI=")</f>
        <v>#VALUE!</v>
      </c>
      <c r="ER344" t="e">
        <f>AND('STERLING CATALOG - FZN &amp; CHILL'!D2323,"AAAAAH1d1pM=")</f>
        <v>#VALUE!</v>
      </c>
      <c r="ES344" t="e">
        <f>AND('STERLING CATALOG - FZN &amp; CHILL'!E2323,"AAAAAH1d1pQ=")</f>
        <v>#VALUE!</v>
      </c>
      <c r="ET344" t="e">
        <f>AND('STERLING CATALOG - FZN &amp; CHILL'!F2323,"AAAAAH1d1pU=")</f>
        <v>#VALUE!</v>
      </c>
      <c r="EU344" t="e">
        <f>AND('STERLING CATALOG - FZN &amp; CHILL'!G2323,"AAAAAH1d1pY=")</f>
        <v>#VALUE!</v>
      </c>
      <c r="EV344" t="e">
        <f>AND('STERLING CATALOG - FZN &amp; CHILL'!H2323,"AAAAAH1d1pc=")</f>
        <v>#VALUE!</v>
      </c>
      <c r="EW344" t="e">
        <f>AND('STERLING CATALOG - FZN &amp; CHILL'!I2323,"AAAAAH1d1pg=")</f>
        <v>#VALUE!</v>
      </c>
      <c r="EX344" t="e">
        <f>AND('STERLING CATALOG - FZN &amp; CHILL'!J2323,"AAAAAH1d1pk=")</f>
        <v>#VALUE!</v>
      </c>
      <c r="EY344">
        <f>IF('STERLING CATALOG - FZN &amp; CHILL'!2324:2324,"AAAAAH1d1po=",0)</f>
        <v>0</v>
      </c>
      <c r="EZ344" t="e">
        <f>AND('STERLING CATALOG - FZN &amp; CHILL'!A2324,"AAAAAH1d1ps=")</f>
        <v>#VALUE!</v>
      </c>
      <c r="FA344" t="e">
        <f>AND('STERLING CATALOG - FZN &amp; CHILL'!B2324,"AAAAAH1d1pw=")</f>
        <v>#VALUE!</v>
      </c>
      <c r="FB344" t="e">
        <f>AND('STERLING CATALOG - FZN &amp; CHILL'!C2324,"AAAAAH1d1p0=")</f>
        <v>#VALUE!</v>
      </c>
      <c r="FC344" t="e">
        <f>AND('STERLING CATALOG - FZN &amp; CHILL'!D2324,"AAAAAH1d1p4=")</f>
        <v>#VALUE!</v>
      </c>
      <c r="FD344" t="e">
        <f>AND('STERLING CATALOG - FZN &amp; CHILL'!E2324,"AAAAAH1d1p8=")</f>
        <v>#VALUE!</v>
      </c>
      <c r="FE344" t="e">
        <f>AND('STERLING CATALOG - FZN &amp; CHILL'!F2324,"AAAAAH1d1qA=")</f>
        <v>#VALUE!</v>
      </c>
      <c r="FF344" t="e">
        <f>AND('STERLING CATALOG - FZN &amp; CHILL'!G2324,"AAAAAH1d1qE=")</f>
        <v>#VALUE!</v>
      </c>
      <c r="FG344" t="e">
        <f>AND('STERLING CATALOG - FZN &amp; CHILL'!H2324,"AAAAAH1d1qI=")</f>
        <v>#VALUE!</v>
      </c>
      <c r="FH344" t="e">
        <f>AND('STERLING CATALOG - FZN &amp; CHILL'!I2324,"AAAAAH1d1qM=")</f>
        <v>#VALUE!</v>
      </c>
      <c r="FI344" t="e">
        <f>AND('STERLING CATALOG - FZN &amp; CHILL'!J2324,"AAAAAH1d1qQ=")</f>
        <v>#VALUE!</v>
      </c>
      <c r="FJ344">
        <f>IF('STERLING CATALOG - FZN &amp; CHILL'!2325:2325,"AAAAAH1d1qU=",0)</f>
        <v>0</v>
      </c>
      <c r="FK344" t="e">
        <f>AND('STERLING CATALOG - FZN &amp; CHILL'!A2325,"AAAAAH1d1qY=")</f>
        <v>#VALUE!</v>
      </c>
      <c r="FL344" t="e">
        <f>AND('STERLING CATALOG - FZN &amp; CHILL'!B2325,"AAAAAH1d1qc=")</f>
        <v>#VALUE!</v>
      </c>
      <c r="FM344" t="e">
        <f>AND('STERLING CATALOG - FZN &amp; CHILL'!C2325,"AAAAAH1d1qg=")</f>
        <v>#VALUE!</v>
      </c>
      <c r="FN344" t="e">
        <f>AND('STERLING CATALOG - FZN &amp; CHILL'!D2325,"AAAAAH1d1qk=")</f>
        <v>#VALUE!</v>
      </c>
      <c r="FO344" t="e">
        <f>AND('STERLING CATALOG - FZN &amp; CHILL'!E2325,"AAAAAH1d1qo=")</f>
        <v>#VALUE!</v>
      </c>
      <c r="FP344" t="e">
        <f>AND('STERLING CATALOG - FZN &amp; CHILL'!F2325,"AAAAAH1d1qs=")</f>
        <v>#VALUE!</v>
      </c>
      <c r="FQ344" t="e">
        <f>AND('STERLING CATALOG - FZN &amp; CHILL'!G2325,"AAAAAH1d1qw=")</f>
        <v>#VALUE!</v>
      </c>
      <c r="FR344" t="e">
        <f>AND('STERLING CATALOG - FZN &amp; CHILL'!H2325,"AAAAAH1d1q0=")</f>
        <v>#VALUE!</v>
      </c>
      <c r="FS344" t="e">
        <f>AND('STERLING CATALOG - FZN &amp; CHILL'!I2325,"AAAAAH1d1q4=")</f>
        <v>#VALUE!</v>
      </c>
      <c r="FT344" t="e">
        <f>AND('STERLING CATALOG - FZN &amp; CHILL'!J2325,"AAAAAH1d1q8=")</f>
        <v>#VALUE!</v>
      </c>
      <c r="FU344">
        <f>IF('STERLING CATALOG - FZN &amp; CHILL'!2326:2326,"AAAAAH1d1rA=",0)</f>
        <v>0</v>
      </c>
      <c r="FV344" t="e">
        <f>AND('STERLING CATALOG - FZN &amp; CHILL'!A2326,"AAAAAH1d1rE=")</f>
        <v>#VALUE!</v>
      </c>
      <c r="FW344" t="e">
        <f>AND('STERLING CATALOG - FZN &amp; CHILL'!B2326,"AAAAAH1d1rI=")</f>
        <v>#VALUE!</v>
      </c>
      <c r="FX344" t="e">
        <f>AND('STERLING CATALOG - FZN &amp; CHILL'!C2326,"AAAAAH1d1rM=")</f>
        <v>#VALUE!</v>
      </c>
      <c r="FY344" t="e">
        <f>AND('STERLING CATALOG - FZN &amp; CHILL'!D2326,"AAAAAH1d1rQ=")</f>
        <v>#VALUE!</v>
      </c>
      <c r="FZ344" t="e">
        <f>AND('STERLING CATALOG - FZN &amp; CHILL'!E2326,"AAAAAH1d1rU=")</f>
        <v>#VALUE!</v>
      </c>
      <c r="GA344" t="e">
        <f>AND('STERLING CATALOG - FZN &amp; CHILL'!F2326,"AAAAAH1d1rY=")</f>
        <v>#VALUE!</v>
      </c>
      <c r="GB344" t="e">
        <f>AND('STERLING CATALOG - FZN &amp; CHILL'!G2326,"AAAAAH1d1rc=")</f>
        <v>#VALUE!</v>
      </c>
      <c r="GC344" t="e">
        <f>AND('STERLING CATALOG - FZN &amp; CHILL'!H2326,"AAAAAH1d1rg=")</f>
        <v>#VALUE!</v>
      </c>
      <c r="GD344" t="e">
        <f>AND('STERLING CATALOG - FZN &amp; CHILL'!I2326,"AAAAAH1d1rk=")</f>
        <v>#VALUE!</v>
      </c>
      <c r="GE344" t="e">
        <f>AND('STERLING CATALOG - FZN &amp; CHILL'!J2326,"AAAAAH1d1ro=")</f>
        <v>#VALUE!</v>
      </c>
      <c r="GF344">
        <f>IF('STERLING CATALOG - FZN &amp; CHILL'!2327:2327,"AAAAAH1d1rs=",0)</f>
        <v>0</v>
      </c>
      <c r="GG344" t="e">
        <f>AND('STERLING CATALOG - FZN &amp; CHILL'!A2327,"AAAAAH1d1rw=")</f>
        <v>#VALUE!</v>
      </c>
      <c r="GH344" t="e">
        <f>AND('STERLING CATALOG - FZN &amp; CHILL'!B2327,"AAAAAH1d1r0=")</f>
        <v>#VALUE!</v>
      </c>
      <c r="GI344" t="e">
        <f>AND('STERLING CATALOG - FZN &amp; CHILL'!C2327,"AAAAAH1d1r4=")</f>
        <v>#VALUE!</v>
      </c>
      <c r="GJ344" t="e">
        <f>AND('STERLING CATALOG - FZN &amp; CHILL'!D2327,"AAAAAH1d1r8=")</f>
        <v>#VALUE!</v>
      </c>
      <c r="GK344" t="e">
        <f>AND('STERLING CATALOG - FZN &amp; CHILL'!E2327,"AAAAAH1d1sA=")</f>
        <v>#VALUE!</v>
      </c>
      <c r="GL344" t="e">
        <f>AND('STERLING CATALOG - FZN &amp; CHILL'!F2327,"AAAAAH1d1sE=")</f>
        <v>#VALUE!</v>
      </c>
      <c r="GM344" t="e">
        <f>AND('STERLING CATALOG - FZN &amp; CHILL'!G2327,"AAAAAH1d1sI=")</f>
        <v>#VALUE!</v>
      </c>
      <c r="GN344" t="e">
        <f>AND('STERLING CATALOG - FZN &amp; CHILL'!H2327,"AAAAAH1d1sM=")</f>
        <v>#VALUE!</v>
      </c>
      <c r="GO344" t="e">
        <f>AND('STERLING CATALOG - FZN &amp; CHILL'!I2327,"AAAAAH1d1sQ=")</f>
        <v>#VALUE!</v>
      </c>
      <c r="GP344" t="e">
        <f>AND('STERLING CATALOG - FZN &amp; CHILL'!J2327,"AAAAAH1d1sU=")</f>
        <v>#VALUE!</v>
      </c>
      <c r="GQ344">
        <f>IF('STERLING CATALOG - FZN &amp; CHILL'!2328:2328,"AAAAAH1d1sY=",0)</f>
        <v>0</v>
      </c>
      <c r="GR344" t="e">
        <f>AND('STERLING CATALOG - FZN &amp; CHILL'!A2328,"AAAAAH1d1sc=")</f>
        <v>#VALUE!</v>
      </c>
      <c r="GS344" t="e">
        <f>AND('STERLING CATALOG - FZN &amp; CHILL'!B2328,"AAAAAH1d1sg=")</f>
        <v>#VALUE!</v>
      </c>
      <c r="GT344" t="e">
        <f>AND('STERLING CATALOG - FZN &amp; CHILL'!C2328,"AAAAAH1d1sk=")</f>
        <v>#VALUE!</v>
      </c>
      <c r="GU344" t="e">
        <f>AND('STERLING CATALOG - FZN &amp; CHILL'!D2328,"AAAAAH1d1so=")</f>
        <v>#VALUE!</v>
      </c>
      <c r="GV344" t="e">
        <f>AND('STERLING CATALOG - FZN &amp; CHILL'!E2328,"AAAAAH1d1ss=")</f>
        <v>#VALUE!</v>
      </c>
      <c r="GW344" t="e">
        <f>AND('STERLING CATALOG - FZN &amp; CHILL'!F2328,"AAAAAH1d1sw=")</f>
        <v>#VALUE!</v>
      </c>
      <c r="GX344" t="e">
        <f>AND('STERLING CATALOG - FZN &amp; CHILL'!G2328,"AAAAAH1d1s0=")</f>
        <v>#VALUE!</v>
      </c>
      <c r="GY344" t="e">
        <f>AND('STERLING CATALOG - FZN &amp; CHILL'!H2328,"AAAAAH1d1s4=")</f>
        <v>#VALUE!</v>
      </c>
      <c r="GZ344" t="e">
        <f>AND('STERLING CATALOG - FZN &amp; CHILL'!I2328,"AAAAAH1d1s8=")</f>
        <v>#VALUE!</v>
      </c>
      <c r="HA344" t="e">
        <f>AND('STERLING CATALOG - FZN &amp; CHILL'!J2328,"AAAAAH1d1tA=")</f>
        <v>#VALUE!</v>
      </c>
      <c r="HB344">
        <f>IF('STERLING CATALOG - FZN &amp; CHILL'!2329:2329,"AAAAAH1d1tE=",0)</f>
        <v>0</v>
      </c>
      <c r="HC344" t="e">
        <f>AND('STERLING CATALOG - FZN &amp; CHILL'!A2329,"AAAAAH1d1tI=")</f>
        <v>#VALUE!</v>
      </c>
      <c r="HD344" t="e">
        <f>AND('STERLING CATALOG - FZN &amp; CHILL'!B2329,"AAAAAH1d1tM=")</f>
        <v>#VALUE!</v>
      </c>
      <c r="HE344" t="e">
        <f>AND('STERLING CATALOG - FZN &amp; CHILL'!C2329,"AAAAAH1d1tQ=")</f>
        <v>#VALUE!</v>
      </c>
      <c r="HF344" t="e">
        <f>AND('STERLING CATALOG - FZN &amp; CHILL'!D2329,"AAAAAH1d1tU=")</f>
        <v>#VALUE!</v>
      </c>
      <c r="HG344" t="e">
        <f>AND('STERLING CATALOG - FZN &amp; CHILL'!E2329,"AAAAAH1d1tY=")</f>
        <v>#VALUE!</v>
      </c>
      <c r="HH344" t="e">
        <f>AND('STERLING CATALOG - FZN &amp; CHILL'!F2329,"AAAAAH1d1tc=")</f>
        <v>#VALUE!</v>
      </c>
      <c r="HI344" t="e">
        <f>AND('STERLING CATALOG - FZN &amp; CHILL'!G2329,"AAAAAH1d1tg=")</f>
        <v>#VALUE!</v>
      </c>
      <c r="HJ344" t="e">
        <f>AND('STERLING CATALOG - FZN &amp; CHILL'!H2329,"AAAAAH1d1tk=")</f>
        <v>#VALUE!</v>
      </c>
      <c r="HK344" t="e">
        <f>AND('STERLING CATALOG - FZN &amp; CHILL'!I2329,"AAAAAH1d1to=")</f>
        <v>#VALUE!</v>
      </c>
      <c r="HL344" t="e">
        <f>AND('STERLING CATALOG - FZN &amp; CHILL'!J2329,"AAAAAH1d1ts=")</f>
        <v>#VALUE!</v>
      </c>
      <c r="HM344">
        <f>IF('STERLING CATALOG - FZN &amp; CHILL'!2330:2330,"AAAAAH1d1tw=",0)</f>
        <v>0</v>
      </c>
      <c r="HN344" t="e">
        <f>AND('STERLING CATALOG - FZN &amp; CHILL'!A2330,"AAAAAH1d1t0=")</f>
        <v>#VALUE!</v>
      </c>
      <c r="HO344" t="e">
        <f>AND('STERLING CATALOG - FZN &amp; CHILL'!B2330,"AAAAAH1d1t4=")</f>
        <v>#VALUE!</v>
      </c>
      <c r="HP344" t="e">
        <f>AND('STERLING CATALOG - FZN &amp; CHILL'!C2330,"AAAAAH1d1t8=")</f>
        <v>#VALUE!</v>
      </c>
      <c r="HQ344" t="e">
        <f>AND('STERLING CATALOG - FZN &amp; CHILL'!D2330,"AAAAAH1d1uA=")</f>
        <v>#VALUE!</v>
      </c>
      <c r="HR344" t="e">
        <f>AND('STERLING CATALOG - FZN &amp; CHILL'!E2330,"AAAAAH1d1uE=")</f>
        <v>#VALUE!</v>
      </c>
      <c r="HS344" t="e">
        <f>AND('STERLING CATALOG - FZN &amp; CHILL'!F2330,"AAAAAH1d1uI=")</f>
        <v>#VALUE!</v>
      </c>
      <c r="HT344" t="e">
        <f>AND('STERLING CATALOG - FZN &amp; CHILL'!G2330,"AAAAAH1d1uM=")</f>
        <v>#VALUE!</v>
      </c>
      <c r="HU344" t="e">
        <f>AND('STERLING CATALOG - FZN &amp; CHILL'!H2330,"AAAAAH1d1uQ=")</f>
        <v>#VALUE!</v>
      </c>
      <c r="HV344" t="e">
        <f>AND('STERLING CATALOG - FZN &amp; CHILL'!I2330,"AAAAAH1d1uU=")</f>
        <v>#VALUE!</v>
      </c>
      <c r="HW344" t="e">
        <f>AND('STERLING CATALOG - FZN &amp; CHILL'!J2330,"AAAAAH1d1uY=")</f>
        <v>#VALUE!</v>
      </c>
      <c r="HX344">
        <f>IF('STERLING CATALOG - FZN &amp; CHILL'!2331:2331,"AAAAAH1d1uc=",0)</f>
        <v>0</v>
      </c>
      <c r="HY344" t="e">
        <f>AND('STERLING CATALOG - FZN &amp; CHILL'!A2331,"AAAAAH1d1ug=")</f>
        <v>#VALUE!</v>
      </c>
      <c r="HZ344" t="e">
        <f>AND('STERLING CATALOG - FZN &amp; CHILL'!B2331,"AAAAAH1d1uk=")</f>
        <v>#VALUE!</v>
      </c>
      <c r="IA344" t="e">
        <f>AND('STERLING CATALOG - FZN &amp; CHILL'!C2331,"AAAAAH1d1uo=")</f>
        <v>#VALUE!</v>
      </c>
      <c r="IB344" t="e">
        <f>AND('STERLING CATALOG - FZN &amp; CHILL'!D2331,"AAAAAH1d1us=")</f>
        <v>#VALUE!</v>
      </c>
      <c r="IC344" t="e">
        <f>AND('STERLING CATALOG - FZN &amp; CHILL'!E2331,"AAAAAH1d1uw=")</f>
        <v>#VALUE!</v>
      </c>
      <c r="ID344" t="e">
        <f>AND('STERLING CATALOG - FZN &amp; CHILL'!F2331,"AAAAAH1d1u0=")</f>
        <v>#VALUE!</v>
      </c>
      <c r="IE344" t="e">
        <f>AND('STERLING CATALOG - FZN &amp; CHILL'!G2331,"AAAAAH1d1u4=")</f>
        <v>#VALUE!</v>
      </c>
      <c r="IF344" t="e">
        <f>AND('STERLING CATALOG - FZN &amp; CHILL'!H2331,"AAAAAH1d1u8=")</f>
        <v>#VALUE!</v>
      </c>
      <c r="IG344" t="e">
        <f>AND('STERLING CATALOG - FZN &amp; CHILL'!I2331,"AAAAAH1d1vA=")</f>
        <v>#VALUE!</v>
      </c>
      <c r="IH344" t="e">
        <f>AND('STERLING CATALOG - FZN &amp; CHILL'!J2331,"AAAAAH1d1vE=")</f>
        <v>#VALUE!</v>
      </c>
      <c r="II344">
        <f>IF('STERLING CATALOG - FZN &amp; CHILL'!2332:2332,"AAAAAH1d1vI=",0)</f>
        <v>0</v>
      </c>
      <c r="IJ344" t="e">
        <f>AND('STERLING CATALOG - FZN &amp; CHILL'!A2332,"AAAAAH1d1vM=")</f>
        <v>#VALUE!</v>
      </c>
      <c r="IK344" t="e">
        <f>AND('STERLING CATALOG - FZN &amp; CHILL'!B2332,"AAAAAH1d1vQ=")</f>
        <v>#VALUE!</v>
      </c>
      <c r="IL344" t="e">
        <f>AND('STERLING CATALOG - FZN &amp; CHILL'!C2332,"AAAAAH1d1vU=")</f>
        <v>#VALUE!</v>
      </c>
      <c r="IM344" t="e">
        <f>AND('STERLING CATALOG - FZN &amp; CHILL'!D2332,"AAAAAH1d1vY=")</f>
        <v>#VALUE!</v>
      </c>
      <c r="IN344" t="e">
        <f>AND('STERLING CATALOG - FZN &amp; CHILL'!E2332,"AAAAAH1d1vc=")</f>
        <v>#VALUE!</v>
      </c>
      <c r="IO344" t="e">
        <f>AND('STERLING CATALOG - FZN &amp; CHILL'!F2332,"AAAAAH1d1vg=")</f>
        <v>#VALUE!</v>
      </c>
      <c r="IP344" t="e">
        <f>AND('STERLING CATALOG - FZN &amp; CHILL'!G2332,"AAAAAH1d1vk=")</f>
        <v>#VALUE!</v>
      </c>
      <c r="IQ344" t="e">
        <f>AND('STERLING CATALOG - FZN &amp; CHILL'!H2332,"AAAAAH1d1vo=")</f>
        <v>#VALUE!</v>
      </c>
      <c r="IR344" t="e">
        <f>AND('STERLING CATALOG - FZN &amp; CHILL'!I2332,"AAAAAH1d1vs=")</f>
        <v>#VALUE!</v>
      </c>
      <c r="IS344" t="e">
        <f>AND('STERLING CATALOG - FZN &amp; CHILL'!J2332,"AAAAAH1d1vw=")</f>
        <v>#VALUE!</v>
      </c>
      <c r="IT344">
        <f>IF('STERLING CATALOG - FZN &amp; CHILL'!2333:2333,"AAAAAH1d1v0=",0)</f>
        <v>0</v>
      </c>
      <c r="IU344" t="e">
        <f>AND('STERLING CATALOG - FZN &amp; CHILL'!A2333,"AAAAAH1d1v4=")</f>
        <v>#VALUE!</v>
      </c>
      <c r="IV344" t="e">
        <f>AND('STERLING CATALOG - FZN &amp; CHILL'!B2333,"AAAAAH1d1v8=")</f>
        <v>#VALUE!</v>
      </c>
    </row>
    <row r="345" spans="1:256">
      <c r="A345" t="e">
        <f>AND('STERLING CATALOG - FZN &amp; CHILL'!C2333,"AAAAAD7+nwA=")</f>
        <v>#VALUE!</v>
      </c>
      <c r="B345" t="e">
        <f>AND('STERLING CATALOG - FZN &amp; CHILL'!D2333,"AAAAAD7+nwE=")</f>
        <v>#VALUE!</v>
      </c>
      <c r="C345" t="e">
        <f>AND('STERLING CATALOG - FZN &amp; CHILL'!E2333,"AAAAAD7+nwI=")</f>
        <v>#VALUE!</v>
      </c>
      <c r="D345" t="e">
        <f>AND('STERLING CATALOG - FZN &amp; CHILL'!F2333,"AAAAAD7+nwM=")</f>
        <v>#VALUE!</v>
      </c>
      <c r="E345" t="e">
        <f>AND('STERLING CATALOG - FZN &amp; CHILL'!G2333,"AAAAAD7+nwQ=")</f>
        <v>#VALUE!</v>
      </c>
      <c r="F345" t="e">
        <f>AND('STERLING CATALOG - FZN &amp; CHILL'!H2333,"AAAAAD7+nwU=")</f>
        <v>#VALUE!</v>
      </c>
      <c r="G345" t="e">
        <f>AND('STERLING CATALOG - FZN &amp; CHILL'!I2333,"AAAAAD7+nwY=")</f>
        <v>#VALUE!</v>
      </c>
      <c r="H345" t="e">
        <f>AND('STERLING CATALOG - FZN &amp; CHILL'!J2333,"AAAAAD7+nwc=")</f>
        <v>#VALUE!</v>
      </c>
      <c r="I345" t="e">
        <f>IF('STERLING CATALOG - FZN &amp; CHILL'!2334:2334,"AAAAAD7+nwg=",0)</f>
        <v>#VALUE!</v>
      </c>
      <c r="J345" t="e">
        <f>AND('STERLING CATALOG - FZN &amp; CHILL'!A2334,"AAAAAD7+nwk=")</f>
        <v>#VALUE!</v>
      </c>
      <c r="K345" t="e">
        <f>AND('STERLING CATALOG - FZN &amp; CHILL'!B2334,"AAAAAD7+nwo=")</f>
        <v>#VALUE!</v>
      </c>
      <c r="L345" t="e">
        <f>AND('STERLING CATALOG - FZN &amp; CHILL'!C2334,"AAAAAD7+nws=")</f>
        <v>#VALUE!</v>
      </c>
      <c r="M345" t="e">
        <f>AND('STERLING CATALOG - FZN &amp; CHILL'!D2334,"AAAAAD7+nww=")</f>
        <v>#VALUE!</v>
      </c>
      <c r="N345" t="e">
        <f>AND('STERLING CATALOG - FZN &amp; CHILL'!E2334,"AAAAAD7+nw0=")</f>
        <v>#VALUE!</v>
      </c>
      <c r="O345" t="e">
        <f>AND('STERLING CATALOG - FZN &amp; CHILL'!F2334,"AAAAAD7+nw4=")</f>
        <v>#VALUE!</v>
      </c>
      <c r="P345" t="e">
        <f>AND('STERLING CATALOG - FZN &amp; CHILL'!G2334,"AAAAAD7+nw8=")</f>
        <v>#VALUE!</v>
      </c>
      <c r="Q345" t="e">
        <f>AND('STERLING CATALOG - FZN &amp; CHILL'!H2334,"AAAAAD7+nxA=")</f>
        <v>#VALUE!</v>
      </c>
      <c r="R345" t="e">
        <f>AND('STERLING CATALOG - FZN &amp; CHILL'!I2334,"AAAAAD7+nxE=")</f>
        <v>#VALUE!</v>
      </c>
      <c r="S345" t="e">
        <f>AND('STERLING CATALOG - FZN &amp; CHILL'!J2334,"AAAAAD7+nxI=")</f>
        <v>#VALUE!</v>
      </c>
      <c r="T345">
        <f>IF('STERLING CATALOG - FZN &amp; CHILL'!2335:2335,"AAAAAD7+nxM=",0)</f>
        <v>0</v>
      </c>
      <c r="U345" t="e">
        <f>AND('STERLING CATALOG - FZN &amp; CHILL'!A2335,"AAAAAD7+nxQ=")</f>
        <v>#VALUE!</v>
      </c>
      <c r="V345" t="e">
        <f>AND('STERLING CATALOG - FZN &amp; CHILL'!B2335,"AAAAAD7+nxU=")</f>
        <v>#VALUE!</v>
      </c>
      <c r="W345" t="e">
        <f>AND('STERLING CATALOG - FZN &amp; CHILL'!C2335,"AAAAAD7+nxY=")</f>
        <v>#VALUE!</v>
      </c>
      <c r="X345" t="e">
        <f>AND('STERLING CATALOG - FZN &amp; CHILL'!D2335,"AAAAAD7+nxc=")</f>
        <v>#VALUE!</v>
      </c>
      <c r="Y345" t="e">
        <f>AND('STERLING CATALOG - FZN &amp; CHILL'!E2335,"AAAAAD7+nxg=")</f>
        <v>#VALUE!</v>
      </c>
      <c r="Z345" t="e">
        <f>AND('STERLING CATALOG - FZN &amp; CHILL'!F2335,"AAAAAD7+nxk=")</f>
        <v>#VALUE!</v>
      </c>
      <c r="AA345" t="e">
        <f>AND('STERLING CATALOG - FZN &amp; CHILL'!G2335,"AAAAAD7+nxo=")</f>
        <v>#VALUE!</v>
      </c>
      <c r="AB345" t="e">
        <f>AND('STERLING CATALOG - FZN &amp; CHILL'!H2335,"AAAAAD7+nxs=")</f>
        <v>#VALUE!</v>
      </c>
      <c r="AC345" t="e">
        <f>AND('STERLING CATALOG - FZN &amp; CHILL'!I2335,"AAAAAD7+nxw=")</f>
        <v>#VALUE!</v>
      </c>
      <c r="AD345" t="e">
        <f>AND('STERLING CATALOG - FZN &amp; CHILL'!J2335,"AAAAAD7+nx0=")</f>
        <v>#VALUE!</v>
      </c>
      <c r="AE345">
        <f>IF('STERLING CATALOG - FZN &amp; CHILL'!2336:2336,"AAAAAD7+nx4=",0)</f>
        <v>0</v>
      </c>
      <c r="AF345" t="e">
        <f>AND('STERLING CATALOG - FZN &amp; CHILL'!A2336,"AAAAAD7+nx8=")</f>
        <v>#VALUE!</v>
      </c>
      <c r="AG345" t="e">
        <f>AND('STERLING CATALOG - FZN &amp; CHILL'!B2336,"AAAAAD7+nyA=")</f>
        <v>#VALUE!</v>
      </c>
      <c r="AH345" t="e">
        <f>AND('STERLING CATALOG - FZN &amp; CHILL'!C2336,"AAAAAD7+nyE=")</f>
        <v>#VALUE!</v>
      </c>
      <c r="AI345" t="e">
        <f>AND('STERLING CATALOG - FZN &amp; CHILL'!D2336,"AAAAAD7+nyI=")</f>
        <v>#VALUE!</v>
      </c>
      <c r="AJ345" t="e">
        <f>AND('STERLING CATALOG - FZN &amp; CHILL'!E2336,"AAAAAD7+nyM=")</f>
        <v>#VALUE!</v>
      </c>
      <c r="AK345" t="e">
        <f>AND('STERLING CATALOG - FZN &amp; CHILL'!F2336,"AAAAAD7+nyQ=")</f>
        <v>#VALUE!</v>
      </c>
      <c r="AL345" t="e">
        <f>AND('STERLING CATALOG - FZN &amp; CHILL'!G2336,"AAAAAD7+nyU=")</f>
        <v>#VALUE!</v>
      </c>
      <c r="AM345" t="e">
        <f>AND('STERLING CATALOG - FZN &amp; CHILL'!H2336,"AAAAAD7+nyY=")</f>
        <v>#VALUE!</v>
      </c>
      <c r="AN345" t="e">
        <f>AND('STERLING CATALOG - FZN &amp; CHILL'!I2336,"AAAAAD7+nyc=")</f>
        <v>#VALUE!</v>
      </c>
      <c r="AO345" t="e">
        <f>AND('STERLING CATALOG - FZN &amp; CHILL'!J2336,"AAAAAD7+nyg=")</f>
        <v>#VALUE!</v>
      </c>
      <c r="AP345">
        <f>IF('STERLING CATALOG - FZN &amp; CHILL'!2337:2337,"AAAAAD7+nyk=",0)</f>
        <v>0</v>
      </c>
      <c r="AQ345" t="e">
        <f>AND('STERLING CATALOG - FZN &amp; CHILL'!A2337,"AAAAAD7+nyo=")</f>
        <v>#VALUE!</v>
      </c>
      <c r="AR345" t="e">
        <f>AND('STERLING CATALOG - FZN &amp; CHILL'!B2337,"AAAAAD7+nys=")</f>
        <v>#VALUE!</v>
      </c>
      <c r="AS345" t="e">
        <f>AND('STERLING CATALOG - FZN &amp; CHILL'!C2337,"AAAAAD7+nyw=")</f>
        <v>#VALUE!</v>
      </c>
      <c r="AT345" t="e">
        <f>AND('STERLING CATALOG - FZN &amp; CHILL'!D2337,"AAAAAD7+ny0=")</f>
        <v>#VALUE!</v>
      </c>
      <c r="AU345" t="e">
        <f>AND('STERLING CATALOG - FZN &amp; CHILL'!E2337,"AAAAAD7+ny4=")</f>
        <v>#VALUE!</v>
      </c>
      <c r="AV345" t="e">
        <f>AND('STERLING CATALOG - FZN &amp; CHILL'!F2337,"AAAAAD7+ny8=")</f>
        <v>#VALUE!</v>
      </c>
      <c r="AW345" t="e">
        <f>AND('STERLING CATALOG - FZN &amp; CHILL'!G2337,"AAAAAD7+nzA=")</f>
        <v>#VALUE!</v>
      </c>
      <c r="AX345" t="e">
        <f>AND('STERLING CATALOG - FZN &amp; CHILL'!H2337,"AAAAAD7+nzE=")</f>
        <v>#VALUE!</v>
      </c>
      <c r="AY345" t="e">
        <f>AND('STERLING CATALOG - FZN &amp; CHILL'!I2337,"AAAAAD7+nzI=")</f>
        <v>#VALUE!</v>
      </c>
      <c r="AZ345" t="e">
        <f>AND('STERLING CATALOG - FZN &amp; CHILL'!J2337,"AAAAAD7+nzM=")</f>
        <v>#VALUE!</v>
      </c>
      <c r="BA345">
        <f>IF('STERLING CATALOG - FZN &amp; CHILL'!2338:2338,"AAAAAD7+nzQ=",0)</f>
        <v>0</v>
      </c>
      <c r="BB345" t="e">
        <f>AND('STERLING CATALOG - FZN &amp; CHILL'!A2338,"AAAAAD7+nzU=")</f>
        <v>#VALUE!</v>
      </c>
      <c r="BC345" t="e">
        <f>AND('STERLING CATALOG - FZN &amp; CHILL'!B2338,"AAAAAD7+nzY=")</f>
        <v>#VALUE!</v>
      </c>
      <c r="BD345" t="e">
        <f>AND('STERLING CATALOG - FZN &amp; CHILL'!C2338,"AAAAAD7+nzc=")</f>
        <v>#VALUE!</v>
      </c>
      <c r="BE345" t="e">
        <f>AND('STERLING CATALOG - FZN &amp; CHILL'!D2338,"AAAAAD7+nzg=")</f>
        <v>#VALUE!</v>
      </c>
      <c r="BF345" t="e">
        <f>AND('STERLING CATALOG - FZN &amp; CHILL'!E2338,"AAAAAD7+nzk=")</f>
        <v>#VALUE!</v>
      </c>
      <c r="BG345" t="e">
        <f>AND('STERLING CATALOG - FZN &amp; CHILL'!F2338,"AAAAAD7+nzo=")</f>
        <v>#VALUE!</v>
      </c>
      <c r="BH345" t="e">
        <f>AND('STERLING CATALOG - FZN &amp; CHILL'!G2338,"AAAAAD7+nzs=")</f>
        <v>#VALUE!</v>
      </c>
      <c r="BI345" t="e">
        <f>AND('STERLING CATALOG - FZN &amp; CHILL'!H2338,"AAAAAD7+nzw=")</f>
        <v>#VALUE!</v>
      </c>
      <c r="BJ345" t="e">
        <f>AND('STERLING CATALOG - FZN &amp; CHILL'!I2338,"AAAAAD7+nz0=")</f>
        <v>#VALUE!</v>
      </c>
      <c r="BK345" t="e">
        <f>AND('STERLING CATALOG - FZN &amp; CHILL'!J2338,"AAAAAD7+nz4=")</f>
        <v>#VALUE!</v>
      </c>
      <c r="BL345">
        <f>IF('STERLING CATALOG - FZN &amp; CHILL'!2339:2339,"AAAAAD7+nz8=",0)</f>
        <v>0</v>
      </c>
      <c r="BM345" t="e">
        <f>AND('STERLING CATALOG - FZN &amp; CHILL'!A2339,"AAAAAD7+n0A=")</f>
        <v>#VALUE!</v>
      </c>
      <c r="BN345" t="e">
        <f>AND('STERLING CATALOG - FZN &amp; CHILL'!B2339,"AAAAAD7+n0E=")</f>
        <v>#VALUE!</v>
      </c>
      <c r="BO345" t="e">
        <f>AND('STERLING CATALOG - FZN &amp; CHILL'!C2339,"AAAAAD7+n0I=")</f>
        <v>#VALUE!</v>
      </c>
      <c r="BP345" t="e">
        <f>AND('STERLING CATALOG - FZN &amp; CHILL'!D2339,"AAAAAD7+n0M=")</f>
        <v>#VALUE!</v>
      </c>
      <c r="BQ345" t="e">
        <f>AND('STERLING CATALOG - FZN &amp; CHILL'!E2339,"AAAAAD7+n0Q=")</f>
        <v>#VALUE!</v>
      </c>
      <c r="BR345" t="e">
        <f>AND('STERLING CATALOG - FZN &amp; CHILL'!F2339,"AAAAAD7+n0U=")</f>
        <v>#VALUE!</v>
      </c>
      <c r="BS345" t="e">
        <f>AND('STERLING CATALOG - FZN &amp; CHILL'!G2339,"AAAAAD7+n0Y=")</f>
        <v>#VALUE!</v>
      </c>
      <c r="BT345" t="e">
        <f>AND('STERLING CATALOG - FZN &amp; CHILL'!H2339,"AAAAAD7+n0c=")</f>
        <v>#VALUE!</v>
      </c>
      <c r="BU345" t="e">
        <f>AND('STERLING CATALOG - FZN &amp; CHILL'!I2339,"AAAAAD7+n0g=")</f>
        <v>#VALUE!</v>
      </c>
      <c r="BV345" t="e">
        <f>AND('STERLING CATALOG - FZN &amp; CHILL'!J2339,"AAAAAD7+n0k=")</f>
        <v>#VALUE!</v>
      </c>
      <c r="BW345">
        <f>IF('STERLING CATALOG - FZN &amp; CHILL'!2340:2340,"AAAAAD7+n0o=",0)</f>
        <v>0</v>
      </c>
      <c r="BX345" t="e">
        <f>AND('STERLING CATALOG - FZN &amp; CHILL'!A2340,"AAAAAD7+n0s=")</f>
        <v>#VALUE!</v>
      </c>
      <c r="BY345" t="e">
        <f>AND('STERLING CATALOG - FZN &amp; CHILL'!B2340,"AAAAAD7+n0w=")</f>
        <v>#VALUE!</v>
      </c>
      <c r="BZ345" t="e">
        <f>AND('STERLING CATALOG - FZN &amp; CHILL'!C2340,"AAAAAD7+n00=")</f>
        <v>#VALUE!</v>
      </c>
      <c r="CA345" t="e">
        <f>AND('STERLING CATALOG - FZN &amp; CHILL'!D2340,"AAAAAD7+n04=")</f>
        <v>#VALUE!</v>
      </c>
      <c r="CB345" t="e">
        <f>AND('STERLING CATALOG - FZN &amp; CHILL'!E2340,"AAAAAD7+n08=")</f>
        <v>#VALUE!</v>
      </c>
      <c r="CC345" t="e">
        <f>AND('STERLING CATALOG - FZN &amp; CHILL'!F2340,"AAAAAD7+n1A=")</f>
        <v>#VALUE!</v>
      </c>
      <c r="CD345" t="e">
        <f>AND('STERLING CATALOG - FZN &amp; CHILL'!G2340,"AAAAAD7+n1E=")</f>
        <v>#VALUE!</v>
      </c>
      <c r="CE345" t="e">
        <f>AND('STERLING CATALOG - FZN &amp; CHILL'!H2340,"AAAAAD7+n1I=")</f>
        <v>#VALUE!</v>
      </c>
      <c r="CF345" t="e">
        <f>AND('STERLING CATALOG - FZN &amp; CHILL'!I2340,"AAAAAD7+n1M=")</f>
        <v>#VALUE!</v>
      </c>
      <c r="CG345" t="e">
        <f>AND('STERLING CATALOG - FZN &amp; CHILL'!J2340,"AAAAAD7+n1Q=")</f>
        <v>#VALUE!</v>
      </c>
      <c r="CH345">
        <f>IF('STERLING CATALOG - FZN &amp; CHILL'!2341:2341,"AAAAAD7+n1U=",0)</f>
        <v>0</v>
      </c>
      <c r="CI345" t="e">
        <f>AND('STERLING CATALOG - FZN &amp; CHILL'!A2341,"AAAAAD7+n1Y=")</f>
        <v>#VALUE!</v>
      </c>
      <c r="CJ345" t="e">
        <f>AND('STERLING CATALOG - FZN &amp; CHILL'!B2341,"AAAAAD7+n1c=")</f>
        <v>#VALUE!</v>
      </c>
      <c r="CK345" t="e">
        <f>AND('STERLING CATALOG - FZN &amp; CHILL'!C2341,"AAAAAD7+n1g=")</f>
        <v>#VALUE!</v>
      </c>
      <c r="CL345" t="e">
        <f>AND('STERLING CATALOG - FZN &amp; CHILL'!D2341,"AAAAAD7+n1k=")</f>
        <v>#VALUE!</v>
      </c>
      <c r="CM345" t="e">
        <f>AND('STERLING CATALOG - FZN &amp; CHILL'!E2341,"AAAAAD7+n1o=")</f>
        <v>#VALUE!</v>
      </c>
      <c r="CN345" t="e">
        <f>AND('STERLING CATALOG - FZN &amp; CHILL'!F2341,"AAAAAD7+n1s=")</f>
        <v>#VALUE!</v>
      </c>
      <c r="CO345" t="e">
        <f>AND('STERLING CATALOG - FZN &amp; CHILL'!G2341,"AAAAAD7+n1w=")</f>
        <v>#VALUE!</v>
      </c>
      <c r="CP345" t="e">
        <f>AND('STERLING CATALOG - FZN &amp; CHILL'!H2341,"AAAAAD7+n10=")</f>
        <v>#VALUE!</v>
      </c>
      <c r="CQ345" t="e">
        <f>AND('STERLING CATALOG - FZN &amp; CHILL'!I2341,"AAAAAD7+n14=")</f>
        <v>#VALUE!</v>
      </c>
      <c r="CR345" t="e">
        <f>AND('STERLING CATALOG - FZN &amp; CHILL'!J2341,"AAAAAD7+n18=")</f>
        <v>#VALUE!</v>
      </c>
      <c r="CS345">
        <f>IF('STERLING CATALOG - FZN &amp; CHILL'!2342:2342,"AAAAAD7+n2A=",0)</f>
        <v>0</v>
      </c>
      <c r="CT345" t="e">
        <f>AND('STERLING CATALOG - FZN &amp; CHILL'!A2342,"AAAAAD7+n2E=")</f>
        <v>#VALUE!</v>
      </c>
      <c r="CU345" t="e">
        <f>AND('STERLING CATALOG - FZN &amp; CHILL'!B2342,"AAAAAD7+n2I=")</f>
        <v>#VALUE!</v>
      </c>
      <c r="CV345" t="e">
        <f>AND('STERLING CATALOG - FZN &amp; CHILL'!C2342,"AAAAAD7+n2M=")</f>
        <v>#VALUE!</v>
      </c>
      <c r="CW345" t="e">
        <f>AND('STERLING CATALOG - FZN &amp; CHILL'!D2342,"AAAAAD7+n2Q=")</f>
        <v>#VALUE!</v>
      </c>
      <c r="CX345" t="e">
        <f>AND('STERLING CATALOG - FZN &amp; CHILL'!E2342,"AAAAAD7+n2U=")</f>
        <v>#VALUE!</v>
      </c>
      <c r="CY345" t="e">
        <f>AND('STERLING CATALOG - FZN &amp; CHILL'!F2342,"AAAAAD7+n2Y=")</f>
        <v>#VALUE!</v>
      </c>
      <c r="CZ345" t="e">
        <f>AND('STERLING CATALOG - FZN &amp; CHILL'!G2342,"AAAAAD7+n2c=")</f>
        <v>#VALUE!</v>
      </c>
      <c r="DA345" t="e">
        <f>AND('STERLING CATALOG - FZN &amp; CHILL'!H2342,"AAAAAD7+n2g=")</f>
        <v>#VALUE!</v>
      </c>
      <c r="DB345" t="e">
        <f>AND('STERLING CATALOG - FZN &amp; CHILL'!I2342,"AAAAAD7+n2k=")</f>
        <v>#VALUE!</v>
      </c>
      <c r="DC345" t="e">
        <f>AND('STERLING CATALOG - FZN &amp; CHILL'!J2342,"AAAAAD7+n2o=")</f>
        <v>#VALUE!</v>
      </c>
      <c r="DD345">
        <f>IF('STERLING CATALOG - FZN &amp; CHILL'!2343:2343,"AAAAAD7+n2s=",0)</f>
        <v>0</v>
      </c>
      <c r="DE345" t="e">
        <f>AND('STERLING CATALOG - FZN &amp; CHILL'!A2343,"AAAAAD7+n2w=")</f>
        <v>#VALUE!</v>
      </c>
      <c r="DF345" t="e">
        <f>AND('STERLING CATALOG - FZN &amp; CHILL'!B2343,"AAAAAD7+n20=")</f>
        <v>#VALUE!</v>
      </c>
      <c r="DG345" t="e">
        <f>AND('STERLING CATALOG - FZN &amp; CHILL'!C2343,"AAAAAD7+n24=")</f>
        <v>#VALUE!</v>
      </c>
      <c r="DH345" t="e">
        <f>AND('STERLING CATALOG - FZN &amp; CHILL'!D2343,"AAAAAD7+n28=")</f>
        <v>#VALUE!</v>
      </c>
      <c r="DI345" t="e">
        <f>AND('STERLING CATALOG - FZN &amp; CHILL'!E2343,"AAAAAD7+n3A=")</f>
        <v>#VALUE!</v>
      </c>
      <c r="DJ345" t="e">
        <f>AND('STERLING CATALOG - FZN &amp; CHILL'!F2343,"AAAAAD7+n3E=")</f>
        <v>#VALUE!</v>
      </c>
      <c r="DK345" t="e">
        <f>AND('STERLING CATALOG - FZN &amp; CHILL'!G2343,"AAAAAD7+n3I=")</f>
        <v>#VALUE!</v>
      </c>
      <c r="DL345" t="e">
        <f>AND('STERLING CATALOG - FZN &amp; CHILL'!H2343,"AAAAAD7+n3M=")</f>
        <v>#VALUE!</v>
      </c>
      <c r="DM345" t="e">
        <f>AND('STERLING CATALOG - FZN &amp; CHILL'!I2343,"AAAAAD7+n3Q=")</f>
        <v>#VALUE!</v>
      </c>
      <c r="DN345" t="e">
        <f>AND('STERLING CATALOG - FZN &amp; CHILL'!J2343,"AAAAAD7+n3U=")</f>
        <v>#VALUE!</v>
      </c>
      <c r="DO345">
        <f>IF('STERLING CATALOG - FZN &amp; CHILL'!2344:2344,"AAAAAD7+n3Y=",0)</f>
        <v>0</v>
      </c>
      <c r="DP345" t="e">
        <f>AND('STERLING CATALOG - FZN &amp; CHILL'!A2344,"AAAAAD7+n3c=")</f>
        <v>#VALUE!</v>
      </c>
      <c r="DQ345" t="e">
        <f>AND('STERLING CATALOG - FZN &amp; CHILL'!B2344,"AAAAAD7+n3g=")</f>
        <v>#VALUE!</v>
      </c>
      <c r="DR345" t="e">
        <f>AND('STERLING CATALOG - FZN &amp; CHILL'!C2344,"AAAAAD7+n3k=")</f>
        <v>#VALUE!</v>
      </c>
      <c r="DS345" t="e">
        <f>AND('STERLING CATALOG - FZN &amp; CHILL'!D2344,"AAAAAD7+n3o=")</f>
        <v>#VALUE!</v>
      </c>
      <c r="DT345" t="e">
        <f>AND('STERLING CATALOG - FZN &amp; CHILL'!E2344,"AAAAAD7+n3s=")</f>
        <v>#VALUE!</v>
      </c>
      <c r="DU345" t="e">
        <f>AND('STERLING CATALOG - FZN &amp; CHILL'!F2344,"AAAAAD7+n3w=")</f>
        <v>#VALUE!</v>
      </c>
      <c r="DV345" t="e">
        <f>AND('STERLING CATALOG - FZN &amp; CHILL'!G2344,"AAAAAD7+n30=")</f>
        <v>#VALUE!</v>
      </c>
      <c r="DW345" t="e">
        <f>AND('STERLING CATALOG - FZN &amp; CHILL'!H2344,"AAAAAD7+n34=")</f>
        <v>#VALUE!</v>
      </c>
      <c r="DX345" t="e">
        <f>AND('STERLING CATALOG - FZN &amp; CHILL'!I2344,"AAAAAD7+n38=")</f>
        <v>#VALUE!</v>
      </c>
      <c r="DY345" t="e">
        <f>AND('STERLING CATALOG - FZN &amp; CHILL'!J2344,"AAAAAD7+n4A=")</f>
        <v>#VALUE!</v>
      </c>
      <c r="DZ345">
        <f>IF('STERLING CATALOG - FZN &amp; CHILL'!2345:2345,"AAAAAD7+n4E=",0)</f>
        <v>0</v>
      </c>
      <c r="EA345" t="e">
        <f>AND('STERLING CATALOG - FZN &amp; CHILL'!A2345,"AAAAAD7+n4I=")</f>
        <v>#VALUE!</v>
      </c>
      <c r="EB345" t="e">
        <f>AND('STERLING CATALOG - FZN &amp; CHILL'!B2345,"AAAAAD7+n4M=")</f>
        <v>#VALUE!</v>
      </c>
      <c r="EC345" t="e">
        <f>AND('STERLING CATALOG - FZN &amp; CHILL'!C2345,"AAAAAD7+n4Q=")</f>
        <v>#VALUE!</v>
      </c>
      <c r="ED345" t="e">
        <f>AND('STERLING CATALOG - FZN &amp; CHILL'!D2345,"AAAAAD7+n4U=")</f>
        <v>#VALUE!</v>
      </c>
      <c r="EE345" t="e">
        <f>AND('STERLING CATALOG - FZN &amp; CHILL'!E2345,"AAAAAD7+n4Y=")</f>
        <v>#VALUE!</v>
      </c>
      <c r="EF345" t="e">
        <f>AND('STERLING CATALOG - FZN &amp; CHILL'!F2345,"AAAAAD7+n4c=")</f>
        <v>#VALUE!</v>
      </c>
      <c r="EG345" t="e">
        <f>AND('STERLING CATALOG - FZN &amp; CHILL'!G2345,"AAAAAD7+n4g=")</f>
        <v>#VALUE!</v>
      </c>
      <c r="EH345" t="e">
        <f>AND('STERLING CATALOG - FZN &amp; CHILL'!H2345,"AAAAAD7+n4k=")</f>
        <v>#VALUE!</v>
      </c>
      <c r="EI345" t="e">
        <f>AND('STERLING CATALOG - FZN &amp; CHILL'!I2345,"AAAAAD7+n4o=")</f>
        <v>#VALUE!</v>
      </c>
      <c r="EJ345" t="e">
        <f>AND('STERLING CATALOG - FZN &amp; CHILL'!J2345,"AAAAAD7+n4s=")</f>
        <v>#VALUE!</v>
      </c>
      <c r="EK345">
        <f>IF('STERLING CATALOG - FZN &amp; CHILL'!2346:2346,"AAAAAD7+n4w=",0)</f>
        <v>0</v>
      </c>
      <c r="EL345" t="e">
        <f>AND('STERLING CATALOG - FZN &amp; CHILL'!A2346,"AAAAAD7+n40=")</f>
        <v>#VALUE!</v>
      </c>
      <c r="EM345" t="e">
        <f>AND('STERLING CATALOG - FZN &amp; CHILL'!B2346,"AAAAAD7+n44=")</f>
        <v>#VALUE!</v>
      </c>
      <c r="EN345" t="e">
        <f>AND('STERLING CATALOG - FZN &amp; CHILL'!C2346,"AAAAAD7+n48=")</f>
        <v>#VALUE!</v>
      </c>
      <c r="EO345" t="e">
        <f>AND('STERLING CATALOG - FZN &amp; CHILL'!D2346,"AAAAAD7+n5A=")</f>
        <v>#VALUE!</v>
      </c>
      <c r="EP345" t="e">
        <f>AND('STERLING CATALOG - FZN &amp; CHILL'!E2346,"AAAAAD7+n5E=")</f>
        <v>#VALUE!</v>
      </c>
      <c r="EQ345" t="e">
        <f>AND('STERLING CATALOG - FZN &amp; CHILL'!F2346,"AAAAAD7+n5I=")</f>
        <v>#VALUE!</v>
      </c>
      <c r="ER345" t="e">
        <f>AND('STERLING CATALOG - FZN &amp; CHILL'!G2346,"AAAAAD7+n5M=")</f>
        <v>#VALUE!</v>
      </c>
      <c r="ES345" t="e">
        <f>AND('STERLING CATALOG - FZN &amp; CHILL'!H2346,"AAAAAD7+n5Q=")</f>
        <v>#VALUE!</v>
      </c>
      <c r="ET345" t="e">
        <f>AND('STERLING CATALOG - FZN &amp; CHILL'!I2346,"AAAAAD7+n5U=")</f>
        <v>#VALUE!</v>
      </c>
      <c r="EU345" t="e">
        <f>AND('STERLING CATALOG - FZN &amp; CHILL'!J2346,"AAAAAD7+n5Y=")</f>
        <v>#VALUE!</v>
      </c>
      <c r="EV345">
        <f>IF('STERLING CATALOG - FZN &amp; CHILL'!2347:2347,"AAAAAD7+n5c=",0)</f>
        <v>0</v>
      </c>
      <c r="EW345" t="e">
        <f>AND('STERLING CATALOG - FZN &amp; CHILL'!A2347,"AAAAAD7+n5g=")</f>
        <v>#VALUE!</v>
      </c>
      <c r="EX345" t="e">
        <f>AND('STERLING CATALOG - FZN &amp; CHILL'!B2347,"AAAAAD7+n5k=")</f>
        <v>#VALUE!</v>
      </c>
      <c r="EY345" t="e">
        <f>AND('STERLING CATALOG - FZN &amp; CHILL'!C2347,"AAAAAD7+n5o=")</f>
        <v>#VALUE!</v>
      </c>
      <c r="EZ345" t="e">
        <f>AND('STERLING CATALOG - FZN &amp; CHILL'!D2347,"AAAAAD7+n5s=")</f>
        <v>#VALUE!</v>
      </c>
      <c r="FA345" t="e">
        <f>AND('STERLING CATALOG - FZN &amp; CHILL'!E2347,"AAAAAD7+n5w=")</f>
        <v>#VALUE!</v>
      </c>
      <c r="FB345" t="e">
        <f>AND('STERLING CATALOG - FZN &amp; CHILL'!F2347,"AAAAAD7+n50=")</f>
        <v>#VALUE!</v>
      </c>
      <c r="FC345" t="e">
        <f>AND('STERLING CATALOG - FZN &amp; CHILL'!G2347,"AAAAAD7+n54=")</f>
        <v>#VALUE!</v>
      </c>
      <c r="FD345" t="e">
        <f>AND('STERLING CATALOG - FZN &amp; CHILL'!H2347,"AAAAAD7+n58=")</f>
        <v>#VALUE!</v>
      </c>
      <c r="FE345" t="e">
        <f>AND('STERLING CATALOG - FZN &amp; CHILL'!I2347,"AAAAAD7+n6A=")</f>
        <v>#VALUE!</v>
      </c>
      <c r="FF345" t="e">
        <f>AND('STERLING CATALOG - FZN &amp; CHILL'!J2347,"AAAAAD7+n6E=")</f>
        <v>#VALUE!</v>
      </c>
      <c r="FG345">
        <f>IF('STERLING CATALOG - FZN &amp; CHILL'!2348:2348,"AAAAAD7+n6I=",0)</f>
        <v>0</v>
      </c>
      <c r="FH345" t="e">
        <f>AND('STERLING CATALOG - FZN &amp; CHILL'!A2348,"AAAAAD7+n6M=")</f>
        <v>#VALUE!</v>
      </c>
      <c r="FI345" t="e">
        <f>AND('STERLING CATALOG - FZN &amp; CHILL'!B2348,"AAAAAD7+n6Q=")</f>
        <v>#VALUE!</v>
      </c>
      <c r="FJ345" t="e">
        <f>AND('STERLING CATALOG - FZN &amp; CHILL'!C2348,"AAAAAD7+n6U=")</f>
        <v>#VALUE!</v>
      </c>
      <c r="FK345" t="e">
        <f>AND('STERLING CATALOG - FZN &amp; CHILL'!D2348,"AAAAAD7+n6Y=")</f>
        <v>#VALUE!</v>
      </c>
      <c r="FL345" t="e">
        <f>AND('STERLING CATALOG - FZN &amp; CHILL'!E2348,"AAAAAD7+n6c=")</f>
        <v>#VALUE!</v>
      </c>
      <c r="FM345" t="e">
        <f>AND('STERLING CATALOG - FZN &amp; CHILL'!F2348,"AAAAAD7+n6g=")</f>
        <v>#VALUE!</v>
      </c>
      <c r="FN345" t="e">
        <f>AND('STERLING CATALOG - FZN &amp; CHILL'!G2348,"AAAAAD7+n6k=")</f>
        <v>#VALUE!</v>
      </c>
      <c r="FO345" t="e">
        <f>AND('STERLING CATALOG - FZN &amp; CHILL'!H2348,"AAAAAD7+n6o=")</f>
        <v>#VALUE!</v>
      </c>
      <c r="FP345" t="e">
        <f>AND('STERLING CATALOG - FZN &amp; CHILL'!I2348,"AAAAAD7+n6s=")</f>
        <v>#VALUE!</v>
      </c>
      <c r="FQ345" t="e">
        <f>AND('STERLING CATALOG - FZN &amp; CHILL'!J2348,"AAAAAD7+n6w=")</f>
        <v>#VALUE!</v>
      </c>
      <c r="FR345">
        <f>IF('STERLING CATALOG - FZN &amp; CHILL'!2349:2349,"AAAAAD7+n60=",0)</f>
        <v>0</v>
      </c>
      <c r="FS345" t="e">
        <f>AND('STERLING CATALOG - FZN &amp; CHILL'!A2349,"AAAAAD7+n64=")</f>
        <v>#VALUE!</v>
      </c>
      <c r="FT345" t="e">
        <f>AND('STERLING CATALOG - FZN &amp; CHILL'!B2349,"AAAAAD7+n68=")</f>
        <v>#VALUE!</v>
      </c>
      <c r="FU345" t="e">
        <f>AND('STERLING CATALOG - FZN &amp; CHILL'!C2349,"AAAAAD7+n7A=")</f>
        <v>#VALUE!</v>
      </c>
      <c r="FV345" t="e">
        <f>AND('STERLING CATALOG - FZN &amp; CHILL'!D2349,"AAAAAD7+n7E=")</f>
        <v>#VALUE!</v>
      </c>
      <c r="FW345" t="e">
        <f>AND('STERLING CATALOG - FZN &amp; CHILL'!E2349,"AAAAAD7+n7I=")</f>
        <v>#VALUE!</v>
      </c>
      <c r="FX345" t="e">
        <f>AND('STERLING CATALOG - FZN &amp; CHILL'!F2349,"AAAAAD7+n7M=")</f>
        <v>#VALUE!</v>
      </c>
      <c r="FY345" t="e">
        <f>AND('STERLING CATALOG - FZN &amp; CHILL'!G2349,"AAAAAD7+n7Q=")</f>
        <v>#VALUE!</v>
      </c>
      <c r="FZ345" t="e">
        <f>AND('STERLING CATALOG - FZN &amp; CHILL'!H2349,"AAAAAD7+n7U=")</f>
        <v>#VALUE!</v>
      </c>
      <c r="GA345" t="e">
        <f>AND('STERLING CATALOG - FZN &amp; CHILL'!I2349,"AAAAAD7+n7Y=")</f>
        <v>#VALUE!</v>
      </c>
      <c r="GB345" t="e">
        <f>AND('STERLING CATALOG - FZN &amp; CHILL'!J2349,"AAAAAD7+n7c=")</f>
        <v>#VALUE!</v>
      </c>
      <c r="GC345">
        <f>IF('STERLING CATALOG - FZN &amp; CHILL'!2350:2350,"AAAAAD7+n7g=",0)</f>
        <v>0</v>
      </c>
      <c r="GD345" t="e">
        <f>AND('STERLING CATALOG - FZN &amp; CHILL'!A2350,"AAAAAD7+n7k=")</f>
        <v>#VALUE!</v>
      </c>
      <c r="GE345" t="e">
        <f>AND('STERLING CATALOG - FZN &amp; CHILL'!B2350,"AAAAAD7+n7o=")</f>
        <v>#VALUE!</v>
      </c>
      <c r="GF345" t="e">
        <f>AND('STERLING CATALOG - FZN &amp; CHILL'!C2350,"AAAAAD7+n7s=")</f>
        <v>#VALUE!</v>
      </c>
      <c r="GG345" t="e">
        <f>AND('STERLING CATALOG - FZN &amp; CHILL'!D2350,"AAAAAD7+n7w=")</f>
        <v>#VALUE!</v>
      </c>
      <c r="GH345" t="e">
        <f>AND('STERLING CATALOG - FZN &amp; CHILL'!E2350,"AAAAAD7+n70=")</f>
        <v>#VALUE!</v>
      </c>
      <c r="GI345" t="e">
        <f>AND('STERLING CATALOG - FZN &amp; CHILL'!F2350,"AAAAAD7+n74=")</f>
        <v>#VALUE!</v>
      </c>
      <c r="GJ345" t="e">
        <f>AND('STERLING CATALOG - FZN &amp; CHILL'!G2350,"AAAAAD7+n78=")</f>
        <v>#VALUE!</v>
      </c>
      <c r="GK345" t="e">
        <f>AND('STERLING CATALOG - FZN &amp; CHILL'!H2350,"AAAAAD7+n8A=")</f>
        <v>#VALUE!</v>
      </c>
      <c r="GL345" t="e">
        <f>AND('STERLING CATALOG - FZN &amp; CHILL'!I2350,"AAAAAD7+n8E=")</f>
        <v>#VALUE!</v>
      </c>
      <c r="GM345" t="e">
        <f>AND('STERLING CATALOG - FZN &amp; CHILL'!J2350,"AAAAAD7+n8I=")</f>
        <v>#VALUE!</v>
      </c>
      <c r="GN345">
        <f>IF('STERLING CATALOG - FZN &amp; CHILL'!2351:2351,"AAAAAD7+n8M=",0)</f>
        <v>0</v>
      </c>
      <c r="GO345" t="e">
        <f>AND('STERLING CATALOG - FZN &amp; CHILL'!A2351,"AAAAAD7+n8Q=")</f>
        <v>#VALUE!</v>
      </c>
      <c r="GP345" t="e">
        <f>AND('STERLING CATALOG - FZN &amp; CHILL'!B2351,"AAAAAD7+n8U=")</f>
        <v>#VALUE!</v>
      </c>
      <c r="GQ345" t="e">
        <f>AND('STERLING CATALOG - FZN &amp; CHILL'!C2351,"AAAAAD7+n8Y=")</f>
        <v>#VALUE!</v>
      </c>
      <c r="GR345" t="e">
        <f>AND('STERLING CATALOG - FZN &amp; CHILL'!D2351,"AAAAAD7+n8c=")</f>
        <v>#VALUE!</v>
      </c>
      <c r="GS345" t="e">
        <f>AND('STERLING CATALOG - FZN &amp; CHILL'!E2351,"AAAAAD7+n8g=")</f>
        <v>#VALUE!</v>
      </c>
      <c r="GT345" t="e">
        <f>AND('STERLING CATALOG - FZN &amp; CHILL'!F2351,"AAAAAD7+n8k=")</f>
        <v>#VALUE!</v>
      </c>
      <c r="GU345" t="e">
        <f>AND('STERLING CATALOG - FZN &amp; CHILL'!G2351,"AAAAAD7+n8o=")</f>
        <v>#VALUE!</v>
      </c>
      <c r="GV345" t="e">
        <f>AND('STERLING CATALOG - FZN &amp; CHILL'!H2351,"AAAAAD7+n8s=")</f>
        <v>#VALUE!</v>
      </c>
      <c r="GW345" t="e">
        <f>AND('STERLING CATALOG - FZN &amp; CHILL'!I2351,"AAAAAD7+n8w=")</f>
        <v>#VALUE!</v>
      </c>
      <c r="GX345" t="e">
        <f>AND('STERLING CATALOG - FZN &amp; CHILL'!J2351,"AAAAAD7+n80=")</f>
        <v>#VALUE!</v>
      </c>
      <c r="GY345">
        <f>IF('STERLING CATALOG - FZN &amp; CHILL'!2352:2352,"AAAAAD7+n84=",0)</f>
        <v>0</v>
      </c>
      <c r="GZ345" t="e">
        <f>AND('STERLING CATALOG - FZN &amp; CHILL'!A2352,"AAAAAD7+n88=")</f>
        <v>#VALUE!</v>
      </c>
      <c r="HA345" t="e">
        <f>AND('STERLING CATALOG - FZN &amp; CHILL'!B2352,"AAAAAD7+n9A=")</f>
        <v>#VALUE!</v>
      </c>
      <c r="HB345" t="e">
        <f>AND('STERLING CATALOG - FZN &amp; CHILL'!C2352,"AAAAAD7+n9E=")</f>
        <v>#VALUE!</v>
      </c>
      <c r="HC345" t="e">
        <f>AND('STERLING CATALOG - FZN &amp; CHILL'!D2352,"AAAAAD7+n9I=")</f>
        <v>#VALUE!</v>
      </c>
      <c r="HD345" t="e">
        <f>AND('STERLING CATALOG - FZN &amp; CHILL'!E2352,"AAAAAD7+n9M=")</f>
        <v>#VALUE!</v>
      </c>
      <c r="HE345" t="e">
        <f>AND('STERLING CATALOG - FZN &amp; CHILL'!F2352,"AAAAAD7+n9Q=")</f>
        <v>#VALUE!</v>
      </c>
      <c r="HF345" t="e">
        <f>AND('STERLING CATALOG - FZN &amp; CHILL'!G2352,"AAAAAD7+n9U=")</f>
        <v>#VALUE!</v>
      </c>
      <c r="HG345" t="e">
        <f>AND('STERLING CATALOG - FZN &amp; CHILL'!H2352,"AAAAAD7+n9Y=")</f>
        <v>#VALUE!</v>
      </c>
      <c r="HH345" t="e">
        <f>AND('STERLING CATALOG - FZN &amp; CHILL'!I2352,"AAAAAD7+n9c=")</f>
        <v>#VALUE!</v>
      </c>
      <c r="HI345" t="e">
        <f>AND('STERLING CATALOG - FZN &amp; CHILL'!J2352,"AAAAAD7+n9g=")</f>
        <v>#VALUE!</v>
      </c>
      <c r="HJ345">
        <f>IF('STERLING CATALOG - FZN &amp; CHILL'!2353:2353,"AAAAAD7+n9k=",0)</f>
        <v>0</v>
      </c>
      <c r="HK345" t="e">
        <f>AND('STERLING CATALOG - FZN &amp; CHILL'!A2353,"AAAAAD7+n9o=")</f>
        <v>#VALUE!</v>
      </c>
      <c r="HL345" t="e">
        <f>AND('STERLING CATALOG - FZN &amp; CHILL'!B2353,"AAAAAD7+n9s=")</f>
        <v>#VALUE!</v>
      </c>
      <c r="HM345" t="e">
        <f>AND('STERLING CATALOG - FZN &amp; CHILL'!C2353,"AAAAAD7+n9w=")</f>
        <v>#VALUE!</v>
      </c>
      <c r="HN345" t="e">
        <f>AND('STERLING CATALOG - FZN &amp; CHILL'!D2353,"AAAAAD7+n90=")</f>
        <v>#VALUE!</v>
      </c>
      <c r="HO345" t="e">
        <f>AND('STERLING CATALOG - FZN &amp; CHILL'!E2353,"AAAAAD7+n94=")</f>
        <v>#VALUE!</v>
      </c>
      <c r="HP345" t="e">
        <f>AND('STERLING CATALOG - FZN &amp; CHILL'!F2353,"AAAAAD7+n98=")</f>
        <v>#VALUE!</v>
      </c>
      <c r="HQ345" t="e">
        <f>AND('STERLING CATALOG - FZN &amp; CHILL'!G2353,"AAAAAD7+n+A=")</f>
        <v>#VALUE!</v>
      </c>
      <c r="HR345" t="e">
        <f>AND('STERLING CATALOG - FZN &amp; CHILL'!H2353,"AAAAAD7+n+E=")</f>
        <v>#VALUE!</v>
      </c>
      <c r="HS345" t="e">
        <f>AND('STERLING CATALOG - FZN &amp; CHILL'!I2353,"AAAAAD7+n+I=")</f>
        <v>#VALUE!</v>
      </c>
      <c r="HT345" t="e">
        <f>AND('STERLING CATALOG - FZN &amp; CHILL'!J2353,"AAAAAD7+n+M=")</f>
        <v>#VALUE!</v>
      </c>
      <c r="HU345">
        <f>IF('STERLING CATALOG - FZN &amp; CHILL'!2354:2354,"AAAAAD7+n+Q=",0)</f>
        <v>0</v>
      </c>
      <c r="HV345" t="e">
        <f>AND('STERLING CATALOG - FZN &amp; CHILL'!A2354,"AAAAAD7+n+U=")</f>
        <v>#VALUE!</v>
      </c>
      <c r="HW345" t="e">
        <f>AND('STERLING CATALOG - FZN &amp; CHILL'!B2354,"AAAAAD7+n+Y=")</f>
        <v>#VALUE!</v>
      </c>
      <c r="HX345" t="e">
        <f>AND('STERLING CATALOG - FZN &amp; CHILL'!C2354,"AAAAAD7+n+c=")</f>
        <v>#VALUE!</v>
      </c>
      <c r="HY345" t="e">
        <f>AND('STERLING CATALOG - FZN &amp; CHILL'!D2354,"AAAAAD7+n+g=")</f>
        <v>#VALUE!</v>
      </c>
      <c r="HZ345" t="e">
        <f>AND('STERLING CATALOG - FZN &amp; CHILL'!E2354,"AAAAAD7+n+k=")</f>
        <v>#VALUE!</v>
      </c>
      <c r="IA345" t="e">
        <f>AND('STERLING CATALOG - FZN &amp; CHILL'!F2354,"AAAAAD7+n+o=")</f>
        <v>#VALUE!</v>
      </c>
      <c r="IB345" t="e">
        <f>AND('STERLING CATALOG - FZN &amp; CHILL'!G2354,"AAAAAD7+n+s=")</f>
        <v>#VALUE!</v>
      </c>
      <c r="IC345" t="e">
        <f>AND('STERLING CATALOG - FZN &amp; CHILL'!H2354,"AAAAAD7+n+w=")</f>
        <v>#VALUE!</v>
      </c>
      <c r="ID345" t="e">
        <f>AND('STERLING CATALOG - FZN &amp; CHILL'!I2354,"AAAAAD7+n+0=")</f>
        <v>#VALUE!</v>
      </c>
      <c r="IE345" t="e">
        <f>AND('STERLING CATALOG - FZN &amp; CHILL'!J2354,"AAAAAD7+n+4=")</f>
        <v>#VALUE!</v>
      </c>
      <c r="IF345">
        <f>IF('STERLING CATALOG - FZN &amp; CHILL'!2355:2355,"AAAAAD7+n+8=",0)</f>
        <v>0</v>
      </c>
      <c r="IG345" t="e">
        <f>AND('STERLING CATALOG - FZN &amp; CHILL'!A2355,"AAAAAD7+n/A=")</f>
        <v>#VALUE!</v>
      </c>
      <c r="IH345" t="e">
        <f>AND('STERLING CATALOG - FZN &amp; CHILL'!B2355,"AAAAAD7+n/E=")</f>
        <v>#VALUE!</v>
      </c>
      <c r="II345" t="e">
        <f>AND('STERLING CATALOG - FZN &amp; CHILL'!C2355,"AAAAAD7+n/I=")</f>
        <v>#VALUE!</v>
      </c>
      <c r="IJ345" t="e">
        <f>AND('STERLING CATALOG - FZN &amp; CHILL'!D2355,"AAAAAD7+n/M=")</f>
        <v>#VALUE!</v>
      </c>
      <c r="IK345" t="e">
        <f>AND('STERLING CATALOG - FZN &amp; CHILL'!E2355,"AAAAAD7+n/Q=")</f>
        <v>#VALUE!</v>
      </c>
      <c r="IL345" t="e">
        <f>AND('STERLING CATALOG - FZN &amp; CHILL'!F2355,"AAAAAD7+n/U=")</f>
        <v>#VALUE!</v>
      </c>
      <c r="IM345" t="e">
        <f>AND('STERLING CATALOG - FZN &amp; CHILL'!G2355,"AAAAAD7+n/Y=")</f>
        <v>#VALUE!</v>
      </c>
      <c r="IN345" t="e">
        <f>AND('STERLING CATALOG - FZN &amp; CHILL'!H2355,"AAAAAD7+n/c=")</f>
        <v>#VALUE!</v>
      </c>
      <c r="IO345" t="e">
        <f>AND('STERLING CATALOG - FZN &amp; CHILL'!I2355,"AAAAAD7+n/g=")</f>
        <v>#VALUE!</v>
      </c>
      <c r="IP345" t="e">
        <f>AND('STERLING CATALOG - FZN &amp; CHILL'!J2355,"AAAAAD7+n/k=")</f>
        <v>#VALUE!</v>
      </c>
      <c r="IQ345">
        <f>IF('STERLING CATALOG - FZN &amp; CHILL'!2356:2356,"AAAAAD7+n/o=",0)</f>
        <v>0</v>
      </c>
      <c r="IR345" t="e">
        <f>AND('STERLING CATALOG - FZN &amp; CHILL'!A2356,"AAAAAD7+n/s=")</f>
        <v>#VALUE!</v>
      </c>
      <c r="IS345" t="e">
        <f>AND('STERLING CATALOG - FZN &amp; CHILL'!B2356,"AAAAAD7+n/w=")</f>
        <v>#VALUE!</v>
      </c>
      <c r="IT345" t="e">
        <f>AND('STERLING CATALOG - FZN &amp; CHILL'!C2356,"AAAAAD7+n/0=")</f>
        <v>#VALUE!</v>
      </c>
      <c r="IU345" t="e">
        <f>AND('STERLING CATALOG - FZN &amp; CHILL'!D2356,"AAAAAD7+n/4=")</f>
        <v>#VALUE!</v>
      </c>
      <c r="IV345" t="e">
        <f>AND('STERLING CATALOG - FZN &amp; CHILL'!E2356,"AAAAAD7+n/8=")</f>
        <v>#VALUE!</v>
      </c>
    </row>
    <row r="346" spans="1:256">
      <c r="A346" t="e">
        <f>AND('STERLING CATALOG - FZN &amp; CHILL'!F2356,"AAAAAH9/lwA=")</f>
        <v>#VALUE!</v>
      </c>
      <c r="B346" t="e">
        <f>AND('STERLING CATALOG - FZN &amp; CHILL'!G2356,"AAAAAH9/lwE=")</f>
        <v>#VALUE!</v>
      </c>
      <c r="C346" t="e">
        <f>AND('STERLING CATALOG - FZN &amp; CHILL'!H2356,"AAAAAH9/lwI=")</f>
        <v>#VALUE!</v>
      </c>
      <c r="D346" t="e">
        <f>AND('STERLING CATALOG - FZN &amp; CHILL'!I2356,"AAAAAH9/lwM=")</f>
        <v>#VALUE!</v>
      </c>
      <c r="E346" t="e">
        <f>AND('STERLING CATALOG - FZN &amp; CHILL'!J2356,"AAAAAH9/lwQ=")</f>
        <v>#VALUE!</v>
      </c>
      <c r="F346" t="str">
        <f>IF('STERLING CATALOG - FZN &amp; CHILL'!2357:2357,"AAAAAH9/lwU=",0)</f>
        <v>AAAAAH9/lwU=</v>
      </c>
      <c r="G346" t="e">
        <f>AND('STERLING CATALOG - FZN &amp; CHILL'!A2357,"AAAAAH9/lwY=")</f>
        <v>#VALUE!</v>
      </c>
      <c r="H346" t="e">
        <f>AND('STERLING CATALOG - FZN &amp; CHILL'!B2357,"AAAAAH9/lwc=")</f>
        <v>#VALUE!</v>
      </c>
      <c r="I346" t="e">
        <f>AND('STERLING CATALOG - FZN &amp; CHILL'!C2357,"AAAAAH9/lwg=")</f>
        <v>#VALUE!</v>
      </c>
      <c r="J346" t="e">
        <f>AND('STERLING CATALOG - FZN &amp; CHILL'!D2357,"AAAAAH9/lwk=")</f>
        <v>#VALUE!</v>
      </c>
      <c r="K346" t="e">
        <f>AND('STERLING CATALOG - FZN &amp; CHILL'!E2357,"AAAAAH9/lwo=")</f>
        <v>#VALUE!</v>
      </c>
      <c r="L346" t="e">
        <f>AND('STERLING CATALOG - FZN &amp; CHILL'!F2357,"AAAAAH9/lws=")</f>
        <v>#VALUE!</v>
      </c>
      <c r="M346" t="e">
        <f>AND('STERLING CATALOG - FZN &amp; CHILL'!G2357,"AAAAAH9/lww=")</f>
        <v>#VALUE!</v>
      </c>
      <c r="N346" t="e">
        <f>AND('STERLING CATALOG - FZN &amp; CHILL'!H2357,"AAAAAH9/lw0=")</f>
        <v>#VALUE!</v>
      </c>
      <c r="O346" t="e">
        <f>AND('STERLING CATALOG - FZN &amp; CHILL'!I2357,"AAAAAH9/lw4=")</f>
        <v>#VALUE!</v>
      </c>
      <c r="P346" t="e">
        <f>AND('STERLING CATALOG - FZN &amp; CHILL'!J2357,"AAAAAH9/lw8=")</f>
        <v>#VALUE!</v>
      </c>
      <c r="Q346">
        <f>IF('STERLING CATALOG - FZN &amp; CHILL'!2358:2358,"AAAAAH9/lxA=",0)</f>
        <v>0</v>
      </c>
      <c r="R346" t="e">
        <f>AND('STERLING CATALOG - FZN &amp; CHILL'!A2358,"AAAAAH9/lxE=")</f>
        <v>#VALUE!</v>
      </c>
      <c r="S346" t="e">
        <f>AND('STERLING CATALOG - FZN &amp; CHILL'!B2358,"AAAAAH9/lxI=")</f>
        <v>#VALUE!</v>
      </c>
      <c r="T346" t="e">
        <f>AND('STERLING CATALOG - FZN &amp; CHILL'!C2358,"AAAAAH9/lxM=")</f>
        <v>#VALUE!</v>
      </c>
      <c r="U346" t="e">
        <f>AND('STERLING CATALOG - FZN &amp; CHILL'!D2358,"AAAAAH9/lxQ=")</f>
        <v>#VALUE!</v>
      </c>
      <c r="V346" t="e">
        <f>AND('STERLING CATALOG - FZN &amp; CHILL'!E2358,"AAAAAH9/lxU=")</f>
        <v>#VALUE!</v>
      </c>
      <c r="W346" t="e">
        <f>AND('STERLING CATALOG - FZN &amp; CHILL'!F2358,"AAAAAH9/lxY=")</f>
        <v>#VALUE!</v>
      </c>
      <c r="X346" t="e">
        <f>AND('STERLING CATALOG - FZN &amp; CHILL'!G2358,"AAAAAH9/lxc=")</f>
        <v>#VALUE!</v>
      </c>
      <c r="Y346" t="e">
        <f>AND('STERLING CATALOG - FZN &amp; CHILL'!H2358,"AAAAAH9/lxg=")</f>
        <v>#VALUE!</v>
      </c>
      <c r="Z346" t="e">
        <f>AND('STERLING CATALOG - FZN &amp; CHILL'!I2358,"AAAAAH9/lxk=")</f>
        <v>#VALUE!</v>
      </c>
      <c r="AA346" t="e">
        <f>AND('STERLING CATALOG - FZN &amp; CHILL'!J2358,"AAAAAH9/lxo=")</f>
        <v>#VALUE!</v>
      </c>
      <c r="AB346">
        <f>IF('STERLING CATALOG - FZN &amp; CHILL'!2359:2359,"AAAAAH9/lxs=",0)</f>
        <v>0</v>
      </c>
      <c r="AC346" t="e">
        <f>AND('STERLING CATALOG - FZN &amp; CHILL'!A2359,"AAAAAH9/lxw=")</f>
        <v>#VALUE!</v>
      </c>
      <c r="AD346" t="e">
        <f>AND('STERLING CATALOG - FZN &amp; CHILL'!B2359,"AAAAAH9/lx0=")</f>
        <v>#VALUE!</v>
      </c>
      <c r="AE346" t="e">
        <f>AND('STERLING CATALOG - FZN &amp; CHILL'!C2359,"AAAAAH9/lx4=")</f>
        <v>#VALUE!</v>
      </c>
      <c r="AF346" t="e">
        <f>AND('STERLING CATALOG - FZN &amp; CHILL'!D2359,"AAAAAH9/lx8=")</f>
        <v>#VALUE!</v>
      </c>
      <c r="AG346" t="e">
        <f>AND('STERLING CATALOG - FZN &amp; CHILL'!E2359,"AAAAAH9/lyA=")</f>
        <v>#VALUE!</v>
      </c>
      <c r="AH346" t="e">
        <f>AND('STERLING CATALOG - FZN &amp; CHILL'!F2359,"AAAAAH9/lyE=")</f>
        <v>#VALUE!</v>
      </c>
      <c r="AI346" t="e">
        <f>AND('STERLING CATALOG - FZN &amp; CHILL'!G2359,"AAAAAH9/lyI=")</f>
        <v>#VALUE!</v>
      </c>
      <c r="AJ346" t="e">
        <f>AND('STERLING CATALOG - FZN &amp; CHILL'!H2359,"AAAAAH9/lyM=")</f>
        <v>#VALUE!</v>
      </c>
      <c r="AK346" t="e">
        <f>AND('STERLING CATALOG - FZN &amp; CHILL'!I2359,"AAAAAH9/lyQ=")</f>
        <v>#VALUE!</v>
      </c>
      <c r="AL346" t="e">
        <f>AND('STERLING CATALOG - FZN &amp; CHILL'!J2359,"AAAAAH9/lyU=")</f>
        <v>#VALUE!</v>
      </c>
      <c r="AM346">
        <f>IF('STERLING CATALOG - FZN &amp; CHILL'!2360:2360,"AAAAAH9/lyY=",0)</f>
        <v>0</v>
      </c>
      <c r="AN346" t="e">
        <f>AND('STERLING CATALOG - FZN &amp; CHILL'!A2360,"AAAAAH9/lyc=")</f>
        <v>#VALUE!</v>
      </c>
      <c r="AO346" t="e">
        <f>AND('STERLING CATALOG - FZN &amp; CHILL'!B2360,"AAAAAH9/lyg=")</f>
        <v>#VALUE!</v>
      </c>
      <c r="AP346" t="e">
        <f>AND('STERLING CATALOG - FZN &amp; CHILL'!C2360,"AAAAAH9/lyk=")</f>
        <v>#VALUE!</v>
      </c>
      <c r="AQ346" t="e">
        <f>AND('STERLING CATALOG - FZN &amp; CHILL'!D2360,"AAAAAH9/lyo=")</f>
        <v>#VALUE!</v>
      </c>
      <c r="AR346" t="e">
        <f>AND('STERLING CATALOG - FZN &amp; CHILL'!E2360,"AAAAAH9/lys=")</f>
        <v>#VALUE!</v>
      </c>
      <c r="AS346" t="e">
        <f>AND('STERLING CATALOG - FZN &amp; CHILL'!F2360,"AAAAAH9/lyw=")</f>
        <v>#VALUE!</v>
      </c>
      <c r="AT346" t="e">
        <f>AND('STERLING CATALOG - FZN &amp; CHILL'!G2360,"AAAAAH9/ly0=")</f>
        <v>#VALUE!</v>
      </c>
      <c r="AU346" t="e">
        <f>AND('STERLING CATALOG - FZN &amp; CHILL'!H2360,"AAAAAH9/ly4=")</f>
        <v>#VALUE!</v>
      </c>
      <c r="AV346" t="e">
        <f>AND('STERLING CATALOG - FZN &amp; CHILL'!I2360,"AAAAAH9/ly8=")</f>
        <v>#VALUE!</v>
      </c>
      <c r="AW346" t="e">
        <f>AND('STERLING CATALOG - FZN &amp; CHILL'!J2360,"AAAAAH9/lzA=")</f>
        <v>#VALUE!</v>
      </c>
      <c r="AX346">
        <f>IF('STERLING CATALOG - FZN &amp; CHILL'!2361:2361,"AAAAAH9/lzE=",0)</f>
        <v>0</v>
      </c>
      <c r="AY346" t="e">
        <f>AND('STERLING CATALOG - FZN &amp; CHILL'!A2361,"AAAAAH9/lzI=")</f>
        <v>#VALUE!</v>
      </c>
      <c r="AZ346" t="e">
        <f>AND('STERLING CATALOG - FZN &amp; CHILL'!B2361,"AAAAAH9/lzM=")</f>
        <v>#VALUE!</v>
      </c>
      <c r="BA346" t="e">
        <f>AND('STERLING CATALOG - FZN &amp; CHILL'!C2361,"AAAAAH9/lzQ=")</f>
        <v>#VALUE!</v>
      </c>
      <c r="BB346" t="e">
        <f>AND('STERLING CATALOG - FZN &amp; CHILL'!D2361,"AAAAAH9/lzU=")</f>
        <v>#VALUE!</v>
      </c>
      <c r="BC346" t="e">
        <f>AND('STERLING CATALOG - FZN &amp; CHILL'!E2361,"AAAAAH9/lzY=")</f>
        <v>#VALUE!</v>
      </c>
      <c r="BD346" t="e">
        <f>AND('STERLING CATALOG - FZN &amp; CHILL'!F2361,"AAAAAH9/lzc=")</f>
        <v>#VALUE!</v>
      </c>
      <c r="BE346" t="e">
        <f>AND('STERLING CATALOG - FZN &amp; CHILL'!G2361,"AAAAAH9/lzg=")</f>
        <v>#VALUE!</v>
      </c>
      <c r="BF346" t="e">
        <f>AND('STERLING CATALOG - FZN &amp; CHILL'!H2361,"AAAAAH9/lzk=")</f>
        <v>#VALUE!</v>
      </c>
      <c r="BG346" t="e">
        <f>AND('STERLING CATALOG - FZN &amp; CHILL'!I2361,"AAAAAH9/lzo=")</f>
        <v>#VALUE!</v>
      </c>
      <c r="BH346" t="e">
        <f>AND('STERLING CATALOG - FZN &amp; CHILL'!J2361,"AAAAAH9/lzs=")</f>
        <v>#VALUE!</v>
      </c>
      <c r="BI346">
        <f>IF('STERLING CATALOG - FZN &amp; CHILL'!2362:2362,"AAAAAH9/lzw=",0)</f>
        <v>0</v>
      </c>
      <c r="BJ346" t="e">
        <f>AND('STERLING CATALOG - FZN &amp; CHILL'!A2362,"AAAAAH9/lz0=")</f>
        <v>#VALUE!</v>
      </c>
      <c r="BK346" t="e">
        <f>AND('STERLING CATALOG - FZN &amp; CHILL'!B2362,"AAAAAH9/lz4=")</f>
        <v>#VALUE!</v>
      </c>
      <c r="BL346" t="e">
        <f>AND('STERLING CATALOG - FZN &amp; CHILL'!C2362,"AAAAAH9/lz8=")</f>
        <v>#VALUE!</v>
      </c>
      <c r="BM346" t="e">
        <f>AND('STERLING CATALOG - FZN &amp; CHILL'!D2362,"AAAAAH9/l0A=")</f>
        <v>#VALUE!</v>
      </c>
      <c r="BN346" t="e">
        <f>AND('STERLING CATALOG - FZN &amp; CHILL'!E2362,"AAAAAH9/l0E=")</f>
        <v>#VALUE!</v>
      </c>
      <c r="BO346" t="e">
        <f>AND('STERLING CATALOG - FZN &amp; CHILL'!F2362,"AAAAAH9/l0I=")</f>
        <v>#VALUE!</v>
      </c>
      <c r="BP346" t="e">
        <f>AND('STERLING CATALOG - FZN &amp; CHILL'!G2362,"AAAAAH9/l0M=")</f>
        <v>#VALUE!</v>
      </c>
      <c r="BQ346" t="e">
        <f>AND('STERLING CATALOG - FZN &amp; CHILL'!H2362,"AAAAAH9/l0Q=")</f>
        <v>#VALUE!</v>
      </c>
      <c r="BR346" t="e">
        <f>AND('STERLING CATALOG - FZN &amp; CHILL'!I2362,"AAAAAH9/l0U=")</f>
        <v>#VALUE!</v>
      </c>
      <c r="BS346" t="e">
        <f>AND('STERLING CATALOG - FZN &amp; CHILL'!J2362,"AAAAAH9/l0Y=")</f>
        <v>#VALUE!</v>
      </c>
      <c r="BT346">
        <f>IF('STERLING CATALOG - FZN &amp; CHILL'!2363:2363,"AAAAAH9/l0c=",0)</f>
        <v>0</v>
      </c>
      <c r="BU346" t="e">
        <f>AND('STERLING CATALOG - FZN &amp; CHILL'!A2363,"AAAAAH9/l0g=")</f>
        <v>#VALUE!</v>
      </c>
      <c r="BV346" t="e">
        <f>AND('STERLING CATALOG - FZN &amp; CHILL'!B2363,"AAAAAH9/l0k=")</f>
        <v>#VALUE!</v>
      </c>
      <c r="BW346" t="e">
        <f>AND('STERLING CATALOG - FZN &amp; CHILL'!C2363,"AAAAAH9/l0o=")</f>
        <v>#VALUE!</v>
      </c>
      <c r="BX346" t="e">
        <f>AND('STERLING CATALOG - FZN &amp; CHILL'!D2363,"AAAAAH9/l0s=")</f>
        <v>#VALUE!</v>
      </c>
      <c r="BY346" t="e">
        <f>AND('STERLING CATALOG - FZN &amp; CHILL'!E2363,"AAAAAH9/l0w=")</f>
        <v>#VALUE!</v>
      </c>
      <c r="BZ346" t="e">
        <f>AND('STERLING CATALOG - FZN &amp; CHILL'!F2363,"AAAAAH9/l00=")</f>
        <v>#VALUE!</v>
      </c>
      <c r="CA346" t="e">
        <f>AND('STERLING CATALOG - FZN &amp; CHILL'!G2363,"AAAAAH9/l04=")</f>
        <v>#VALUE!</v>
      </c>
      <c r="CB346" t="e">
        <f>AND('STERLING CATALOG - FZN &amp; CHILL'!H2363,"AAAAAH9/l08=")</f>
        <v>#VALUE!</v>
      </c>
      <c r="CC346" t="e">
        <f>AND('STERLING CATALOG - FZN &amp; CHILL'!I2363,"AAAAAH9/l1A=")</f>
        <v>#VALUE!</v>
      </c>
      <c r="CD346" t="e">
        <f>AND('STERLING CATALOG - FZN &amp; CHILL'!J2363,"AAAAAH9/l1E=")</f>
        <v>#VALUE!</v>
      </c>
      <c r="CE346">
        <f>IF('STERLING CATALOG - FZN &amp; CHILL'!2364:2364,"AAAAAH9/l1I=",0)</f>
        <v>0</v>
      </c>
      <c r="CF346" t="e">
        <f>AND('STERLING CATALOG - FZN &amp; CHILL'!A2364,"AAAAAH9/l1M=")</f>
        <v>#VALUE!</v>
      </c>
      <c r="CG346" t="e">
        <f>AND('STERLING CATALOG - FZN &amp; CHILL'!B2364,"AAAAAH9/l1Q=")</f>
        <v>#VALUE!</v>
      </c>
      <c r="CH346" t="e">
        <f>AND('STERLING CATALOG - FZN &amp; CHILL'!C2364,"AAAAAH9/l1U=")</f>
        <v>#VALUE!</v>
      </c>
      <c r="CI346" t="e">
        <f>AND('STERLING CATALOG - FZN &amp; CHILL'!D2364,"AAAAAH9/l1Y=")</f>
        <v>#VALUE!</v>
      </c>
      <c r="CJ346" t="e">
        <f>AND('STERLING CATALOG - FZN &amp; CHILL'!E2364,"AAAAAH9/l1c=")</f>
        <v>#VALUE!</v>
      </c>
      <c r="CK346" t="e">
        <f>AND('STERLING CATALOG - FZN &amp; CHILL'!F2364,"AAAAAH9/l1g=")</f>
        <v>#VALUE!</v>
      </c>
      <c r="CL346" t="e">
        <f>AND('STERLING CATALOG - FZN &amp; CHILL'!G2364,"AAAAAH9/l1k=")</f>
        <v>#VALUE!</v>
      </c>
      <c r="CM346" t="e">
        <f>AND('STERLING CATALOG - FZN &amp; CHILL'!H2364,"AAAAAH9/l1o=")</f>
        <v>#VALUE!</v>
      </c>
      <c r="CN346" t="e">
        <f>AND('STERLING CATALOG - FZN &amp; CHILL'!I2364,"AAAAAH9/l1s=")</f>
        <v>#VALUE!</v>
      </c>
      <c r="CO346" t="e">
        <f>AND('STERLING CATALOG - FZN &amp; CHILL'!J2364,"AAAAAH9/l1w=")</f>
        <v>#VALUE!</v>
      </c>
      <c r="CP346">
        <f>IF('STERLING CATALOG - FZN &amp; CHILL'!2365:2365,"AAAAAH9/l10=",0)</f>
        <v>0</v>
      </c>
      <c r="CQ346" t="e">
        <f>AND('STERLING CATALOG - FZN &amp; CHILL'!A2365,"AAAAAH9/l14=")</f>
        <v>#VALUE!</v>
      </c>
      <c r="CR346" t="e">
        <f>AND('STERLING CATALOG - FZN &amp; CHILL'!B2365,"AAAAAH9/l18=")</f>
        <v>#VALUE!</v>
      </c>
      <c r="CS346" t="e">
        <f>AND('STERLING CATALOG - FZN &amp; CHILL'!C2365,"AAAAAH9/l2A=")</f>
        <v>#VALUE!</v>
      </c>
      <c r="CT346" t="e">
        <f>AND('STERLING CATALOG - FZN &amp; CHILL'!D2365,"AAAAAH9/l2E=")</f>
        <v>#VALUE!</v>
      </c>
      <c r="CU346" t="e">
        <f>AND('STERLING CATALOG - FZN &amp; CHILL'!E2365,"AAAAAH9/l2I=")</f>
        <v>#VALUE!</v>
      </c>
      <c r="CV346" t="e">
        <f>AND('STERLING CATALOG - FZN &amp; CHILL'!F2365,"AAAAAH9/l2M=")</f>
        <v>#VALUE!</v>
      </c>
      <c r="CW346" t="e">
        <f>AND('STERLING CATALOG - FZN &amp; CHILL'!G2365,"AAAAAH9/l2Q=")</f>
        <v>#VALUE!</v>
      </c>
      <c r="CX346" t="e">
        <f>AND('STERLING CATALOG - FZN &amp; CHILL'!H2365,"AAAAAH9/l2U=")</f>
        <v>#VALUE!</v>
      </c>
      <c r="CY346" t="e">
        <f>AND('STERLING CATALOG - FZN &amp; CHILL'!I2365,"AAAAAH9/l2Y=")</f>
        <v>#VALUE!</v>
      </c>
      <c r="CZ346" t="e">
        <f>AND('STERLING CATALOG - FZN &amp; CHILL'!J2365,"AAAAAH9/l2c=")</f>
        <v>#VALUE!</v>
      </c>
      <c r="DA346">
        <f>IF('STERLING CATALOG - FZN &amp; CHILL'!2366:2366,"AAAAAH9/l2g=",0)</f>
        <v>0</v>
      </c>
      <c r="DB346" t="e">
        <f>AND('STERLING CATALOG - FZN &amp; CHILL'!A2366,"AAAAAH9/l2k=")</f>
        <v>#VALUE!</v>
      </c>
      <c r="DC346" t="e">
        <f>AND('STERLING CATALOG - FZN &amp; CHILL'!B2366,"AAAAAH9/l2o=")</f>
        <v>#VALUE!</v>
      </c>
      <c r="DD346" t="e">
        <f>AND('STERLING CATALOG - FZN &amp; CHILL'!C2366,"AAAAAH9/l2s=")</f>
        <v>#VALUE!</v>
      </c>
      <c r="DE346" t="e">
        <f>AND('STERLING CATALOG - FZN &amp; CHILL'!D2366,"AAAAAH9/l2w=")</f>
        <v>#VALUE!</v>
      </c>
      <c r="DF346" t="e">
        <f>AND('STERLING CATALOG - FZN &amp; CHILL'!E2366,"AAAAAH9/l20=")</f>
        <v>#VALUE!</v>
      </c>
      <c r="DG346" t="e">
        <f>AND('STERLING CATALOG - FZN &amp; CHILL'!F2366,"AAAAAH9/l24=")</f>
        <v>#VALUE!</v>
      </c>
      <c r="DH346" t="e">
        <f>AND('STERLING CATALOG - FZN &amp; CHILL'!G2366,"AAAAAH9/l28=")</f>
        <v>#VALUE!</v>
      </c>
      <c r="DI346" t="e">
        <f>AND('STERLING CATALOG - FZN &amp; CHILL'!H2366,"AAAAAH9/l3A=")</f>
        <v>#VALUE!</v>
      </c>
      <c r="DJ346" t="e">
        <f>AND('STERLING CATALOG - FZN &amp; CHILL'!I2366,"AAAAAH9/l3E=")</f>
        <v>#VALUE!</v>
      </c>
      <c r="DK346" t="e">
        <f>AND('STERLING CATALOG - FZN &amp; CHILL'!J2366,"AAAAAH9/l3I=")</f>
        <v>#VALUE!</v>
      </c>
      <c r="DL346">
        <f>IF('STERLING CATALOG - FZN &amp; CHILL'!2367:2367,"AAAAAH9/l3M=",0)</f>
        <v>0</v>
      </c>
      <c r="DM346" t="e">
        <f>AND('STERLING CATALOG - FZN &amp; CHILL'!A2367,"AAAAAH9/l3Q=")</f>
        <v>#VALUE!</v>
      </c>
      <c r="DN346" t="e">
        <f>AND('STERLING CATALOG - FZN &amp; CHILL'!B2367,"AAAAAH9/l3U=")</f>
        <v>#VALUE!</v>
      </c>
      <c r="DO346" t="e">
        <f>AND('STERLING CATALOG - FZN &amp; CHILL'!C2367,"AAAAAH9/l3Y=")</f>
        <v>#VALUE!</v>
      </c>
      <c r="DP346" t="e">
        <f>AND('STERLING CATALOG - FZN &amp; CHILL'!D2367,"AAAAAH9/l3c=")</f>
        <v>#VALUE!</v>
      </c>
      <c r="DQ346" t="e">
        <f>AND('STERLING CATALOG - FZN &amp; CHILL'!E2367,"AAAAAH9/l3g=")</f>
        <v>#VALUE!</v>
      </c>
      <c r="DR346" t="e">
        <f>AND('STERLING CATALOG - FZN &amp; CHILL'!F2367,"AAAAAH9/l3k=")</f>
        <v>#VALUE!</v>
      </c>
      <c r="DS346" t="e">
        <f>AND('STERLING CATALOG - FZN &amp; CHILL'!G2367,"AAAAAH9/l3o=")</f>
        <v>#VALUE!</v>
      </c>
      <c r="DT346" t="e">
        <f>AND('STERLING CATALOG - FZN &amp; CHILL'!H2367,"AAAAAH9/l3s=")</f>
        <v>#VALUE!</v>
      </c>
      <c r="DU346" t="e">
        <f>AND('STERLING CATALOG - FZN &amp; CHILL'!I2367,"AAAAAH9/l3w=")</f>
        <v>#VALUE!</v>
      </c>
      <c r="DV346" t="e">
        <f>AND('STERLING CATALOG - FZN &amp; CHILL'!J2367,"AAAAAH9/l30=")</f>
        <v>#VALUE!</v>
      </c>
      <c r="DW346">
        <f>IF('STERLING CATALOG - FZN &amp; CHILL'!2368:2368,"AAAAAH9/l34=",0)</f>
        <v>0</v>
      </c>
      <c r="DX346" t="e">
        <f>AND('STERLING CATALOG - FZN &amp; CHILL'!A2368,"AAAAAH9/l38=")</f>
        <v>#VALUE!</v>
      </c>
      <c r="DY346" t="e">
        <f>AND('STERLING CATALOG - FZN &amp; CHILL'!B2368,"AAAAAH9/l4A=")</f>
        <v>#VALUE!</v>
      </c>
      <c r="DZ346" t="e">
        <f>AND('STERLING CATALOG - FZN &amp; CHILL'!C2368,"AAAAAH9/l4E=")</f>
        <v>#VALUE!</v>
      </c>
      <c r="EA346" t="e">
        <f>AND('STERLING CATALOG - FZN &amp; CHILL'!D2368,"AAAAAH9/l4I=")</f>
        <v>#VALUE!</v>
      </c>
      <c r="EB346" t="e">
        <f>AND('STERLING CATALOG - FZN &amp; CHILL'!E2368,"AAAAAH9/l4M=")</f>
        <v>#VALUE!</v>
      </c>
      <c r="EC346" t="e">
        <f>AND('STERLING CATALOG - FZN &amp; CHILL'!F2368,"AAAAAH9/l4Q=")</f>
        <v>#VALUE!</v>
      </c>
      <c r="ED346" t="e">
        <f>AND('STERLING CATALOG - FZN &amp; CHILL'!G2368,"AAAAAH9/l4U=")</f>
        <v>#VALUE!</v>
      </c>
      <c r="EE346" t="e">
        <f>AND('STERLING CATALOG - FZN &amp; CHILL'!H2368,"AAAAAH9/l4Y=")</f>
        <v>#VALUE!</v>
      </c>
      <c r="EF346" t="e">
        <f>AND('STERLING CATALOG - FZN &amp; CHILL'!I2368,"AAAAAH9/l4c=")</f>
        <v>#VALUE!</v>
      </c>
      <c r="EG346" t="e">
        <f>AND('STERLING CATALOG - FZN &amp; CHILL'!J2368,"AAAAAH9/l4g=")</f>
        <v>#VALUE!</v>
      </c>
      <c r="EH346">
        <f>IF('STERLING CATALOG - FZN &amp; CHILL'!2369:2369,"AAAAAH9/l4k=",0)</f>
        <v>0</v>
      </c>
      <c r="EI346" t="e">
        <f>AND('STERLING CATALOG - FZN &amp; CHILL'!A2369,"AAAAAH9/l4o=")</f>
        <v>#VALUE!</v>
      </c>
      <c r="EJ346" t="e">
        <f>AND('STERLING CATALOG - FZN &amp; CHILL'!B2369,"AAAAAH9/l4s=")</f>
        <v>#VALUE!</v>
      </c>
      <c r="EK346" t="e">
        <f>AND('STERLING CATALOG - FZN &amp; CHILL'!C2369,"AAAAAH9/l4w=")</f>
        <v>#VALUE!</v>
      </c>
      <c r="EL346" t="e">
        <f>AND('STERLING CATALOG - FZN &amp; CHILL'!D2369,"AAAAAH9/l40=")</f>
        <v>#VALUE!</v>
      </c>
      <c r="EM346" t="e">
        <f>AND('STERLING CATALOG - FZN &amp; CHILL'!E2369,"AAAAAH9/l44=")</f>
        <v>#VALUE!</v>
      </c>
      <c r="EN346" t="e">
        <f>AND('STERLING CATALOG - FZN &amp; CHILL'!F2369,"AAAAAH9/l48=")</f>
        <v>#VALUE!</v>
      </c>
      <c r="EO346" t="e">
        <f>AND('STERLING CATALOG - FZN &amp; CHILL'!G2369,"AAAAAH9/l5A=")</f>
        <v>#VALUE!</v>
      </c>
      <c r="EP346" t="e">
        <f>AND('STERLING CATALOG - FZN &amp; CHILL'!H2369,"AAAAAH9/l5E=")</f>
        <v>#VALUE!</v>
      </c>
      <c r="EQ346" t="e">
        <f>AND('STERLING CATALOG - FZN &amp; CHILL'!I2369,"AAAAAH9/l5I=")</f>
        <v>#VALUE!</v>
      </c>
      <c r="ER346" t="e">
        <f>AND('STERLING CATALOG - FZN &amp; CHILL'!J2369,"AAAAAH9/l5M=")</f>
        <v>#VALUE!</v>
      </c>
      <c r="ES346">
        <f>IF('STERLING CATALOG - FZN &amp; CHILL'!2370:2370,"AAAAAH9/l5Q=",0)</f>
        <v>0</v>
      </c>
      <c r="ET346" t="e">
        <f>AND('STERLING CATALOG - FZN &amp; CHILL'!A2370,"AAAAAH9/l5U=")</f>
        <v>#VALUE!</v>
      </c>
      <c r="EU346" t="e">
        <f>AND('STERLING CATALOG - FZN &amp; CHILL'!B2370,"AAAAAH9/l5Y=")</f>
        <v>#VALUE!</v>
      </c>
      <c r="EV346" t="e">
        <f>AND('STERLING CATALOG - FZN &amp; CHILL'!C2370,"AAAAAH9/l5c=")</f>
        <v>#VALUE!</v>
      </c>
      <c r="EW346" t="e">
        <f>AND('STERLING CATALOG - FZN &amp; CHILL'!D2370,"AAAAAH9/l5g=")</f>
        <v>#VALUE!</v>
      </c>
      <c r="EX346" t="e">
        <f>AND('STERLING CATALOG - FZN &amp; CHILL'!E2370,"AAAAAH9/l5k=")</f>
        <v>#VALUE!</v>
      </c>
      <c r="EY346" t="e">
        <f>AND('STERLING CATALOG - FZN &amp; CHILL'!F2370,"AAAAAH9/l5o=")</f>
        <v>#VALUE!</v>
      </c>
      <c r="EZ346" t="e">
        <f>AND('STERLING CATALOG - FZN &amp; CHILL'!G2370,"AAAAAH9/l5s=")</f>
        <v>#VALUE!</v>
      </c>
      <c r="FA346" t="e">
        <f>AND('STERLING CATALOG - FZN &amp; CHILL'!H2370,"AAAAAH9/l5w=")</f>
        <v>#VALUE!</v>
      </c>
      <c r="FB346" t="e">
        <f>AND('STERLING CATALOG - FZN &amp; CHILL'!I2370,"AAAAAH9/l50=")</f>
        <v>#VALUE!</v>
      </c>
      <c r="FC346" t="e">
        <f>AND('STERLING CATALOG - FZN &amp; CHILL'!J2370,"AAAAAH9/l54=")</f>
        <v>#VALUE!</v>
      </c>
      <c r="FD346">
        <f>IF('STERLING CATALOG - FZN &amp; CHILL'!2371:2371,"AAAAAH9/l58=",0)</f>
        <v>0</v>
      </c>
      <c r="FE346" t="e">
        <f>AND('STERLING CATALOG - FZN &amp; CHILL'!A2371,"AAAAAH9/l6A=")</f>
        <v>#VALUE!</v>
      </c>
      <c r="FF346" t="e">
        <f>AND('STERLING CATALOG - FZN &amp; CHILL'!B2371,"AAAAAH9/l6E=")</f>
        <v>#VALUE!</v>
      </c>
      <c r="FG346" t="e">
        <f>AND('STERLING CATALOG - FZN &amp; CHILL'!C2371,"AAAAAH9/l6I=")</f>
        <v>#VALUE!</v>
      </c>
      <c r="FH346" t="e">
        <f>AND('STERLING CATALOG - FZN &amp; CHILL'!D2371,"AAAAAH9/l6M=")</f>
        <v>#VALUE!</v>
      </c>
      <c r="FI346" t="e">
        <f>AND('STERLING CATALOG - FZN &amp; CHILL'!E2371,"AAAAAH9/l6Q=")</f>
        <v>#VALUE!</v>
      </c>
      <c r="FJ346" t="e">
        <f>AND('STERLING CATALOG - FZN &amp; CHILL'!F2371,"AAAAAH9/l6U=")</f>
        <v>#VALUE!</v>
      </c>
      <c r="FK346" t="e">
        <f>AND('STERLING CATALOG - FZN &amp; CHILL'!G2371,"AAAAAH9/l6Y=")</f>
        <v>#VALUE!</v>
      </c>
      <c r="FL346" t="e">
        <f>AND('STERLING CATALOG - FZN &amp; CHILL'!H2371,"AAAAAH9/l6c=")</f>
        <v>#VALUE!</v>
      </c>
      <c r="FM346" t="e">
        <f>AND('STERLING CATALOG - FZN &amp; CHILL'!I2371,"AAAAAH9/l6g=")</f>
        <v>#VALUE!</v>
      </c>
      <c r="FN346" t="e">
        <f>AND('STERLING CATALOG - FZN &amp; CHILL'!J2371,"AAAAAH9/l6k=")</f>
        <v>#VALUE!</v>
      </c>
      <c r="FO346">
        <f>IF('STERLING CATALOG - FZN &amp; CHILL'!2372:2372,"AAAAAH9/l6o=",0)</f>
        <v>0</v>
      </c>
      <c r="FP346" t="e">
        <f>AND('STERLING CATALOG - FZN &amp; CHILL'!A2372,"AAAAAH9/l6s=")</f>
        <v>#VALUE!</v>
      </c>
      <c r="FQ346" t="e">
        <f>AND('STERLING CATALOG - FZN &amp; CHILL'!B2372,"AAAAAH9/l6w=")</f>
        <v>#VALUE!</v>
      </c>
      <c r="FR346" t="e">
        <f>AND('STERLING CATALOG - FZN &amp; CHILL'!C2372,"AAAAAH9/l60=")</f>
        <v>#VALUE!</v>
      </c>
      <c r="FS346" t="e">
        <f>AND('STERLING CATALOG - FZN &amp; CHILL'!D2372,"AAAAAH9/l64=")</f>
        <v>#VALUE!</v>
      </c>
      <c r="FT346" t="e">
        <f>AND('STERLING CATALOG - FZN &amp; CHILL'!E2372,"AAAAAH9/l68=")</f>
        <v>#VALUE!</v>
      </c>
      <c r="FU346" t="e">
        <f>AND('STERLING CATALOG - FZN &amp; CHILL'!F2372,"AAAAAH9/l7A=")</f>
        <v>#VALUE!</v>
      </c>
      <c r="FV346" t="e">
        <f>AND('STERLING CATALOG - FZN &amp; CHILL'!G2372,"AAAAAH9/l7E=")</f>
        <v>#VALUE!</v>
      </c>
      <c r="FW346" t="e">
        <f>AND('STERLING CATALOG - FZN &amp; CHILL'!H2372,"AAAAAH9/l7I=")</f>
        <v>#VALUE!</v>
      </c>
      <c r="FX346" t="e">
        <f>AND('STERLING CATALOG - FZN &amp; CHILL'!I2372,"AAAAAH9/l7M=")</f>
        <v>#VALUE!</v>
      </c>
      <c r="FY346" t="e">
        <f>AND('STERLING CATALOG - FZN &amp; CHILL'!J2372,"AAAAAH9/l7Q=")</f>
        <v>#VALUE!</v>
      </c>
      <c r="FZ346">
        <f>IF('STERLING CATALOG - FZN &amp; CHILL'!2373:2373,"AAAAAH9/l7U=",0)</f>
        <v>0</v>
      </c>
      <c r="GA346" t="e">
        <f>AND('STERLING CATALOG - FZN &amp; CHILL'!A2373,"AAAAAH9/l7Y=")</f>
        <v>#VALUE!</v>
      </c>
      <c r="GB346" t="e">
        <f>AND('STERLING CATALOG - FZN &amp; CHILL'!B2373,"AAAAAH9/l7c=")</f>
        <v>#VALUE!</v>
      </c>
      <c r="GC346" t="e">
        <f>AND('STERLING CATALOG - FZN &amp; CHILL'!C2373,"AAAAAH9/l7g=")</f>
        <v>#VALUE!</v>
      </c>
      <c r="GD346" t="e">
        <f>AND('STERLING CATALOG - FZN &amp; CHILL'!D2373,"AAAAAH9/l7k=")</f>
        <v>#VALUE!</v>
      </c>
      <c r="GE346" t="e">
        <f>AND('STERLING CATALOG - FZN &amp; CHILL'!E2373,"AAAAAH9/l7o=")</f>
        <v>#VALUE!</v>
      </c>
      <c r="GF346" t="e">
        <f>AND('STERLING CATALOG - FZN &amp; CHILL'!F2373,"AAAAAH9/l7s=")</f>
        <v>#VALUE!</v>
      </c>
      <c r="GG346" t="e">
        <f>AND('STERLING CATALOG - FZN &amp; CHILL'!G2373,"AAAAAH9/l7w=")</f>
        <v>#VALUE!</v>
      </c>
      <c r="GH346" t="e">
        <f>AND('STERLING CATALOG - FZN &amp; CHILL'!H2373,"AAAAAH9/l70=")</f>
        <v>#VALUE!</v>
      </c>
      <c r="GI346" t="e">
        <f>AND('STERLING CATALOG - FZN &amp; CHILL'!I2373,"AAAAAH9/l74=")</f>
        <v>#VALUE!</v>
      </c>
      <c r="GJ346" t="e">
        <f>AND('STERLING CATALOG - FZN &amp; CHILL'!J2373,"AAAAAH9/l78=")</f>
        <v>#VALUE!</v>
      </c>
      <c r="GK346">
        <f>IF('STERLING CATALOG - FZN &amp; CHILL'!2374:2374,"AAAAAH9/l8A=",0)</f>
        <v>0</v>
      </c>
      <c r="GL346" t="e">
        <f>AND('STERLING CATALOG - FZN &amp; CHILL'!A2374,"AAAAAH9/l8E=")</f>
        <v>#VALUE!</v>
      </c>
      <c r="GM346" t="e">
        <f>AND('STERLING CATALOG - FZN &amp; CHILL'!B2374,"AAAAAH9/l8I=")</f>
        <v>#VALUE!</v>
      </c>
      <c r="GN346" t="e">
        <f>AND('STERLING CATALOG - FZN &amp; CHILL'!C2374,"AAAAAH9/l8M=")</f>
        <v>#VALUE!</v>
      </c>
      <c r="GO346" t="e">
        <f>AND('STERLING CATALOG - FZN &amp; CHILL'!D2374,"AAAAAH9/l8Q=")</f>
        <v>#VALUE!</v>
      </c>
      <c r="GP346" t="e">
        <f>AND('STERLING CATALOG - FZN &amp; CHILL'!E2374,"AAAAAH9/l8U=")</f>
        <v>#VALUE!</v>
      </c>
      <c r="GQ346" t="e">
        <f>AND('STERLING CATALOG - FZN &amp; CHILL'!F2374,"AAAAAH9/l8Y=")</f>
        <v>#VALUE!</v>
      </c>
      <c r="GR346" t="e">
        <f>AND('STERLING CATALOG - FZN &amp; CHILL'!G2374,"AAAAAH9/l8c=")</f>
        <v>#VALUE!</v>
      </c>
      <c r="GS346" t="e">
        <f>AND('STERLING CATALOG - FZN &amp; CHILL'!H2374,"AAAAAH9/l8g=")</f>
        <v>#VALUE!</v>
      </c>
      <c r="GT346" t="e">
        <f>AND('STERLING CATALOG - FZN &amp; CHILL'!I2374,"AAAAAH9/l8k=")</f>
        <v>#VALUE!</v>
      </c>
      <c r="GU346" t="e">
        <f>AND('STERLING CATALOG - FZN &amp; CHILL'!J2374,"AAAAAH9/l8o=")</f>
        <v>#VALUE!</v>
      </c>
      <c r="GV346">
        <f>IF('STERLING CATALOG - FZN &amp; CHILL'!2375:2375,"AAAAAH9/l8s=",0)</f>
        <v>0</v>
      </c>
      <c r="GW346" t="e">
        <f>AND('STERLING CATALOG - FZN &amp; CHILL'!A2375,"AAAAAH9/l8w=")</f>
        <v>#VALUE!</v>
      </c>
      <c r="GX346" t="e">
        <f>AND('STERLING CATALOG - FZN &amp; CHILL'!B2375,"AAAAAH9/l80=")</f>
        <v>#VALUE!</v>
      </c>
      <c r="GY346" t="e">
        <f>AND('STERLING CATALOG - FZN &amp; CHILL'!C2375,"AAAAAH9/l84=")</f>
        <v>#VALUE!</v>
      </c>
      <c r="GZ346" t="e">
        <f>AND('STERLING CATALOG - FZN &amp; CHILL'!D2375,"AAAAAH9/l88=")</f>
        <v>#VALUE!</v>
      </c>
      <c r="HA346" t="e">
        <f>AND('STERLING CATALOG - FZN &amp; CHILL'!E2375,"AAAAAH9/l9A=")</f>
        <v>#VALUE!</v>
      </c>
      <c r="HB346" t="e">
        <f>AND('STERLING CATALOG - FZN &amp; CHILL'!F2375,"AAAAAH9/l9E=")</f>
        <v>#VALUE!</v>
      </c>
      <c r="HC346" t="e">
        <f>AND('STERLING CATALOG - FZN &amp; CHILL'!G2375,"AAAAAH9/l9I=")</f>
        <v>#VALUE!</v>
      </c>
      <c r="HD346" t="e">
        <f>AND('STERLING CATALOG - FZN &amp; CHILL'!H2375,"AAAAAH9/l9M=")</f>
        <v>#VALUE!</v>
      </c>
      <c r="HE346" t="e">
        <f>AND('STERLING CATALOG - FZN &amp; CHILL'!I2375,"AAAAAH9/l9Q=")</f>
        <v>#VALUE!</v>
      </c>
      <c r="HF346" t="e">
        <f>AND('STERLING CATALOG - FZN &amp; CHILL'!J2375,"AAAAAH9/l9U=")</f>
        <v>#VALUE!</v>
      </c>
      <c r="HG346">
        <f>IF('STERLING CATALOG - FZN &amp; CHILL'!2376:2376,"AAAAAH9/l9Y=",0)</f>
        <v>0</v>
      </c>
      <c r="HH346" t="e">
        <f>AND('STERLING CATALOG - FZN &amp; CHILL'!A2376,"AAAAAH9/l9c=")</f>
        <v>#VALUE!</v>
      </c>
      <c r="HI346" t="e">
        <f>AND('STERLING CATALOG - FZN &amp; CHILL'!B2376,"AAAAAH9/l9g=")</f>
        <v>#VALUE!</v>
      </c>
      <c r="HJ346" t="e">
        <f>AND('STERLING CATALOG - FZN &amp; CHILL'!C2376,"AAAAAH9/l9k=")</f>
        <v>#VALUE!</v>
      </c>
      <c r="HK346" t="e">
        <f>AND('STERLING CATALOG - FZN &amp; CHILL'!D2376,"AAAAAH9/l9o=")</f>
        <v>#VALUE!</v>
      </c>
      <c r="HL346" t="e">
        <f>AND('STERLING CATALOG - FZN &amp; CHILL'!E2376,"AAAAAH9/l9s=")</f>
        <v>#VALUE!</v>
      </c>
      <c r="HM346" t="e">
        <f>AND('STERLING CATALOG - FZN &amp; CHILL'!F2376,"AAAAAH9/l9w=")</f>
        <v>#VALUE!</v>
      </c>
      <c r="HN346" t="e">
        <f>AND('STERLING CATALOG - FZN &amp; CHILL'!G2376,"AAAAAH9/l90=")</f>
        <v>#VALUE!</v>
      </c>
      <c r="HO346" t="e">
        <f>AND('STERLING CATALOG - FZN &amp; CHILL'!H2376,"AAAAAH9/l94=")</f>
        <v>#VALUE!</v>
      </c>
      <c r="HP346" t="e">
        <f>AND('STERLING CATALOG - FZN &amp; CHILL'!I2376,"AAAAAH9/l98=")</f>
        <v>#VALUE!</v>
      </c>
      <c r="HQ346" t="e">
        <f>AND('STERLING CATALOG - FZN &amp; CHILL'!J2376,"AAAAAH9/l+A=")</f>
        <v>#VALUE!</v>
      </c>
      <c r="HR346">
        <f>IF('STERLING CATALOG - FZN &amp; CHILL'!2377:2377,"AAAAAH9/l+E=",0)</f>
        <v>0</v>
      </c>
      <c r="HS346" t="e">
        <f>AND('STERLING CATALOG - FZN &amp; CHILL'!A2377,"AAAAAH9/l+I=")</f>
        <v>#VALUE!</v>
      </c>
      <c r="HT346" t="e">
        <f>AND('STERLING CATALOG - FZN &amp; CHILL'!B2377,"AAAAAH9/l+M=")</f>
        <v>#VALUE!</v>
      </c>
      <c r="HU346" t="e">
        <f>AND('STERLING CATALOG - FZN &amp; CHILL'!C2377,"AAAAAH9/l+Q=")</f>
        <v>#VALUE!</v>
      </c>
      <c r="HV346" t="e">
        <f>AND('STERLING CATALOG - FZN &amp; CHILL'!D2377,"AAAAAH9/l+U=")</f>
        <v>#VALUE!</v>
      </c>
      <c r="HW346" t="e">
        <f>AND('STERLING CATALOG - FZN &amp; CHILL'!E2377,"AAAAAH9/l+Y=")</f>
        <v>#VALUE!</v>
      </c>
      <c r="HX346" t="e">
        <f>AND('STERLING CATALOG - FZN &amp; CHILL'!F2377,"AAAAAH9/l+c=")</f>
        <v>#VALUE!</v>
      </c>
      <c r="HY346" t="e">
        <f>AND('STERLING CATALOG - FZN &amp; CHILL'!G2377,"AAAAAH9/l+g=")</f>
        <v>#VALUE!</v>
      </c>
      <c r="HZ346" t="e">
        <f>AND('STERLING CATALOG - FZN &amp; CHILL'!H2377,"AAAAAH9/l+k=")</f>
        <v>#VALUE!</v>
      </c>
      <c r="IA346" t="e">
        <f>AND('STERLING CATALOG - FZN &amp; CHILL'!I2377,"AAAAAH9/l+o=")</f>
        <v>#VALUE!</v>
      </c>
      <c r="IB346" t="e">
        <f>AND('STERLING CATALOG - FZN &amp; CHILL'!J2377,"AAAAAH9/l+s=")</f>
        <v>#VALUE!</v>
      </c>
      <c r="IC346">
        <f>IF('STERLING CATALOG - FZN &amp; CHILL'!2378:2378,"AAAAAH9/l+w=",0)</f>
        <v>0</v>
      </c>
      <c r="ID346" t="e">
        <f>AND('STERLING CATALOG - FZN &amp; CHILL'!A2378,"AAAAAH9/l+0=")</f>
        <v>#VALUE!</v>
      </c>
      <c r="IE346" t="e">
        <f>AND('STERLING CATALOG - FZN &amp; CHILL'!B2378,"AAAAAH9/l+4=")</f>
        <v>#VALUE!</v>
      </c>
      <c r="IF346" t="e">
        <f>AND('STERLING CATALOG - FZN &amp; CHILL'!C2378,"AAAAAH9/l+8=")</f>
        <v>#VALUE!</v>
      </c>
      <c r="IG346" t="e">
        <f>AND('STERLING CATALOG - FZN &amp; CHILL'!D2378,"AAAAAH9/l/A=")</f>
        <v>#VALUE!</v>
      </c>
      <c r="IH346" t="e">
        <f>AND('STERLING CATALOG - FZN &amp; CHILL'!E2378,"AAAAAH9/l/E=")</f>
        <v>#VALUE!</v>
      </c>
      <c r="II346" t="e">
        <f>AND('STERLING CATALOG - FZN &amp; CHILL'!F2378,"AAAAAH9/l/I=")</f>
        <v>#VALUE!</v>
      </c>
      <c r="IJ346" t="e">
        <f>AND('STERLING CATALOG - FZN &amp; CHILL'!G2378,"AAAAAH9/l/M=")</f>
        <v>#VALUE!</v>
      </c>
      <c r="IK346" t="e">
        <f>AND('STERLING CATALOG - FZN &amp; CHILL'!H2378,"AAAAAH9/l/Q=")</f>
        <v>#VALUE!</v>
      </c>
      <c r="IL346" t="e">
        <f>AND('STERLING CATALOG - FZN &amp; CHILL'!I2378,"AAAAAH9/l/U=")</f>
        <v>#VALUE!</v>
      </c>
      <c r="IM346" t="e">
        <f>AND('STERLING CATALOG - FZN &amp; CHILL'!J2378,"AAAAAH9/l/Y=")</f>
        <v>#VALUE!</v>
      </c>
      <c r="IN346">
        <f>IF('STERLING CATALOG - FZN &amp; CHILL'!2379:2379,"AAAAAH9/l/c=",0)</f>
        <v>0</v>
      </c>
      <c r="IO346" t="e">
        <f>AND('STERLING CATALOG - FZN &amp; CHILL'!A2379,"AAAAAH9/l/g=")</f>
        <v>#VALUE!</v>
      </c>
      <c r="IP346" t="e">
        <f>AND('STERLING CATALOG - FZN &amp; CHILL'!B2379,"AAAAAH9/l/k=")</f>
        <v>#VALUE!</v>
      </c>
      <c r="IQ346" t="e">
        <f>AND('STERLING CATALOG - FZN &amp; CHILL'!C2379,"AAAAAH9/l/o=")</f>
        <v>#VALUE!</v>
      </c>
      <c r="IR346" t="e">
        <f>AND('STERLING CATALOG - FZN &amp; CHILL'!D2379,"AAAAAH9/l/s=")</f>
        <v>#VALUE!</v>
      </c>
      <c r="IS346" t="e">
        <f>AND('STERLING CATALOG - FZN &amp; CHILL'!E2379,"AAAAAH9/l/w=")</f>
        <v>#VALUE!</v>
      </c>
      <c r="IT346" t="e">
        <f>AND('STERLING CATALOG - FZN &amp; CHILL'!F2379,"AAAAAH9/l/0=")</f>
        <v>#VALUE!</v>
      </c>
      <c r="IU346" t="e">
        <f>AND('STERLING CATALOG - FZN &amp; CHILL'!G2379,"AAAAAH9/l/4=")</f>
        <v>#VALUE!</v>
      </c>
      <c r="IV346" t="e">
        <f>AND('STERLING CATALOG - FZN &amp; CHILL'!H2379,"AAAAAH9/l/8=")</f>
        <v>#VALUE!</v>
      </c>
    </row>
    <row r="347" spans="1:256">
      <c r="A347" t="e">
        <f>AND('STERLING CATALOG - FZN &amp; CHILL'!I2379,"AAAAAHTP2wA=")</f>
        <v>#VALUE!</v>
      </c>
      <c r="B347" t="e">
        <f>AND('STERLING CATALOG - FZN &amp; CHILL'!J2379,"AAAAAHTP2wE=")</f>
        <v>#VALUE!</v>
      </c>
      <c r="C347">
        <f>IF('STERLING CATALOG - FZN &amp; CHILL'!2380:2380,"AAAAAHTP2wI=",0)</f>
        <v>0</v>
      </c>
      <c r="D347" t="e">
        <f>AND('STERLING CATALOG - FZN &amp; CHILL'!A2380,"AAAAAHTP2wM=")</f>
        <v>#VALUE!</v>
      </c>
      <c r="E347" t="e">
        <f>AND('STERLING CATALOG - FZN &amp; CHILL'!B2380,"AAAAAHTP2wQ=")</f>
        <v>#VALUE!</v>
      </c>
      <c r="F347" t="e">
        <f>AND('STERLING CATALOG - FZN &amp; CHILL'!C2380,"AAAAAHTP2wU=")</f>
        <v>#VALUE!</v>
      </c>
      <c r="G347" t="e">
        <f>AND('STERLING CATALOG - FZN &amp; CHILL'!D2380,"AAAAAHTP2wY=")</f>
        <v>#VALUE!</v>
      </c>
      <c r="H347" t="e">
        <f>AND('STERLING CATALOG - FZN &amp; CHILL'!E2380,"AAAAAHTP2wc=")</f>
        <v>#VALUE!</v>
      </c>
      <c r="I347" t="e">
        <f>AND('STERLING CATALOG - FZN &amp; CHILL'!F2380,"AAAAAHTP2wg=")</f>
        <v>#VALUE!</v>
      </c>
      <c r="J347" t="e">
        <f>AND('STERLING CATALOG - FZN &amp; CHILL'!G2380,"AAAAAHTP2wk=")</f>
        <v>#VALUE!</v>
      </c>
      <c r="K347" t="e">
        <f>AND('STERLING CATALOG - FZN &amp; CHILL'!H2380,"AAAAAHTP2wo=")</f>
        <v>#VALUE!</v>
      </c>
      <c r="L347" t="e">
        <f>AND('STERLING CATALOG - FZN &amp; CHILL'!I2380,"AAAAAHTP2ws=")</f>
        <v>#VALUE!</v>
      </c>
      <c r="M347" t="e">
        <f>AND('STERLING CATALOG - FZN &amp; CHILL'!J2380,"AAAAAHTP2ww=")</f>
        <v>#VALUE!</v>
      </c>
      <c r="N347">
        <f>IF('STERLING CATALOG - FZN &amp; CHILL'!2381:2381,"AAAAAHTP2w0=",0)</f>
        <v>0</v>
      </c>
      <c r="O347" t="e">
        <f>AND('STERLING CATALOG - FZN &amp; CHILL'!A2381,"AAAAAHTP2w4=")</f>
        <v>#VALUE!</v>
      </c>
      <c r="P347" t="e">
        <f>AND('STERLING CATALOG - FZN &amp; CHILL'!B2381,"AAAAAHTP2w8=")</f>
        <v>#VALUE!</v>
      </c>
      <c r="Q347" t="e">
        <f>AND('STERLING CATALOG - FZN &amp; CHILL'!C2381,"AAAAAHTP2xA=")</f>
        <v>#VALUE!</v>
      </c>
      <c r="R347" t="e">
        <f>AND('STERLING CATALOG - FZN &amp; CHILL'!D2381,"AAAAAHTP2xE=")</f>
        <v>#VALUE!</v>
      </c>
      <c r="S347" t="e">
        <f>AND('STERLING CATALOG - FZN &amp; CHILL'!E2381,"AAAAAHTP2xI=")</f>
        <v>#VALUE!</v>
      </c>
      <c r="T347" t="e">
        <f>AND('STERLING CATALOG - FZN &amp; CHILL'!F2381,"AAAAAHTP2xM=")</f>
        <v>#VALUE!</v>
      </c>
      <c r="U347" t="e">
        <f>AND('STERLING CATALOG - FZN &amp; CHILL'!G2381,"AAAAAHTP2xQ=")</f>
        <v>#VALUE!</v>
      </c>
      <c r="V347" t="e">
        <f>AND('STERLING CATALOG - FZN &amp; CHILL'!H2381,"AAAAAHTP2xU=")</f>
        <v>#VALUE!</v>
      </c>
      <c r="W347" t="e">
        <f>AND('STERLING CATALOG - FZN &amp; CHILL'!I2381,"AAAAAHTP2xY=")</f>
        <v>#VALUE!</v>
      </c>
      <c r="X347" t="e">
        <f>AND('STERLING CATALOG - FZN &amp; CHILL'!J2381,"AAAAAHTP2xc=")</f>
        <v>#VALUE!</v>
      </c>
      <c r="Y347">
        <f>IF('STERLING CATALOG - FZN &amp; CHILL'!2382:2382,"AAAAAHTP2xg=",0)</f>
        <v>0</v>
      </c>
      <c r="Z347" t="e">
        <f>AND('STERLING CATALOG - FZN &amp; CHILL'!A2382,"AAAAAHTP2xk=")</f>
        <v>#VALUE!</v>
      </c>
      <c r="AA347" t="e">
        <f>AND('STERLING CATALOG - FZN &amp; CHILL'!B2382,"AAAAAHTP2xo=")</f>
        <v>#VALUE!</v>
      </c>
      <c r="AB347" t="e">
        <f>AND('STERLING CATALOG - FZN &amp; CHILL'!C2382,"AAAAAHTP2xs=")</f>
        <v>#VALUE!</v>
      </c>
      <c r="AC347" t="e">
        <f>AND('STERLING CATALOG - FZN &amp; CHILL'!D2382,"AAAAAHTP2xw=")</f>
        <v>#VALUE!</v>
      </c>
      <c r="AD347" t="e">
        <f>AND('STERLING CATALOG - FZN &amp; CHILL'!E2382,"AAAAAHTP2x0=")</f>
        <v>#VALUE!</v>
      </c>
      <c r="AE347" t="e">
        <f>AND('STERLING CATALOG - FZN &amp; CHILL'!F2382,"AAAAAHTP2x4=")</f>
        <v>#VALUE!</v>
      </c>
      <c r="AF347" t="e">
        <f>AND('STERLING CATALOG - FZN &amp; CHILL'!G2382,"AAAAAHTP2x8=")</f>
        <v>#VALUE!</v>
      </c>
      <c r="AG347" t="e">
        <f>AND('STERLING CATALOG - FZN &amp; CHILL'!H2382,"AAAAAHTP2yA=")</f>
        <v>#VALUE!</v>
      </c>
      <c r="AH347" t="e">
        <f>AND('STERLING CATALOG - FZN &amp; CHILL'!I2382,"AAAAAHTP2yE=")</f>
        <v>#VALUE!</v>
      </c>
      <c r="AI347" t="e">
        <f>AND('STERLING CATALOG - FZN &amp; CHILL'!J2382,"AAAAAHTP2yI=")</f>
        <v>#VALUE!</v>
      </c>
      <c r="AJ347">
        <f>IF('STERLING CATALOG - FZN &amp; CHILL'!2383:2383,"AAAAAHTP2yM=",0)</f>
        <v>0</v>
      </c>
      <c r="AK347" t="e">
        <f>AND('STERLING CATALOG - FZN &amp; CHILL'!A2383,"AAAAAHTP2yQ=")</f>
        <v>#VALUE!</v>
      </c>
      <c r="AL347" t="e">
        <f>AND('STERLING CATALOG - FZN &amp; CHILL'!B2383,"AAAAAHTP2yU=")</f>
        <v>#VALUE!</v>
      </c>
      <c r="AM347" t="e">
        <f>AND('STERLING CATALOG - FZN &amp; CHILL'!C2383,"AAAAAHTP2yY=")</f>
        <v>#VALUE!</v>
      </c>
      <c r="AN347" t="e">
        <f>AND('STERLING CATALOG - FZN &amp; CHILL'!D2383,"AAAAAHTP2yc=")</f>
        <v>#VALUE!</v>
      </c>
      <c r="AO347" t="e">
        <f>AND('STERLING CATALOG - FZN &amp; CHILL'!E2383,"AAAAAHTP2yg=")</f>
        <v>#VALUE!</v>
      </c>
      <c r="AP347" t="e">
        <f>AND('STERLING CATALOG - FZN &amp; CHILL'!F2383,"AAAAAHTP2yk=")</f>
        <v>#VALUE!</v>
      </c>
      <c r="AQ347" t="e">
        <f>AND('STERLING CATALOG - FZN &amp; CHILL'!G2383,"AAAAAHTP2yo=")</f>
        <v>#VALUE!</v>
      </c>
      <c r="AR347" t="e">
        <f>AND('STERLING CATALOG - FZN &amp; CHILL'!H2383,"AAAAAHTP2ys=")</f>
        <v>#VALUE!</v>
      </c>
      <c r="AS347" t="e">
        <f>AND('STERLING CATALOG - FZN &amp; CHILL'!I2383,"AAAAAHTP2yw=")</f>
        <v>#VALUE!</v>
      </c>
      <c r="AT347" t="e">
        <f>AND('STERLING CATALOG - FZN &amp; CHILL'!J2383,"AAAAAHTP2y0=")</f>
        <v>#VALUE!</v>
      </c>
      <c r="AU347">
        <f>IF('STERLING CATALOG - FZN &amp; CHILL'!2384:2384,"AAAAAHTP2y4=",0)</f>
        <v>0</v>
      </c>
      <c r="AV347" t="e">
        <f>AND('STERLING CATALOG - FZN &amp; CHILL'!A2384,"AAAAAHTP2y8=")</f>
        <v>#VALUE!</v>
      </c>
      <c r="AW347" t="e">
        <f>AND('STERLING CATALOG - FZN &amp; CHILL'!B2384,"AAAAAHTP2zA=")</f>
        <v>#VALUE!</v>
      </c>
      <c r="AX347" t="e">
        <f>AND('STERLING CATALOG - FZN &amp; CHILL'!C2384,"AAAAAHTP2zE=")</f>
        <v>#VALUE!</v>
      </c>
      <c r="AY347" t="e">
        <f>AND('STERLING CATALOG - FZN &amp; CHILL'!D2384,"AAAAAHTP2zI=")</f>
        <v>#VALUE!</v>
      </c>
      <c r="AZ347" t="e">
        <f>AND('STERLING CATALOG - FZN &amp; CHILL'!E2384,"AAAAAHTP2zM=")</f>
        <v>#VALUE!</v>
      </c>
      <c r="BA347" t="e">
        <f>AND('STERLING CATALOG - FZN &amp; CHILL'!F2384,"AAAAAHTP2zQ=")</f>
        <v>#VALUE!</v>
      </c>
      <c r="BB347" t="e">
        <f>AND('STERLING CATALOG - FZN &amp; CHILL'!G2384,"AAAAAHTP2zU=")</f>
        <v>#VALUE!</v>
      </c>
      <c r="BC347" t="e">
        <f>AND('STERLING CATALOG - FZN &amp; CHILL'!H2384,"AAAAAHTP2zY=")</f>
        <v>#VALUE!</v>
      </c>
      <c r="BD347" t="e">
        <f>AND('STERLING CATALOG - FZN &amp; CHILL'!I2384,"AAAAAHTP2zc=")</f>
        <v>#VALUE!</v>
      </c>
      <c r="BE347" t="e">
        <f>AND('STERLING CATALOG - FZN &amp; CHILL'!J2384,"AAAAAHTP2zg=")</f>
        <v>#VALUE!</v>
      </c>
      <c r="BF347">
        <f>IF('STERLING CATALOG - FZN &amp; CHILL'!2385:2385,"AAAAAHTP2zk=",0)</f>
        <v>0</v>
      </c>
      <c r="BG347" t="e">
        <f>AND('STERLING CATALOG - FZN &amp; CHILL'!A2385,"AAAAAHTP2zo=")</f>
        <v>#VALUE!</v>
      </c>
      <c r="BH347" t="e">
        <f>AND('STERLING CATALOG - FZN &amp; CHILL'!B2385,"AAAAAHTP2zs=")</f>
        <v>#VALUE!</v>
      </c>
      <c r="BI347" t="e">
        <f>AND('STERLING CATALOG - FZN &amp; CHILL'!C2385,"AAAAAHTP2zw=")</f>
        <v>#VALUE!</v>
      </c>
      <c r="BJ347" t="e">
        <f>AND('STERLING CATALOG - FZN &amp; CHILL'!D2385,"AAAAAHTP2z0=")</f>
        <v>#VALUE!</v>
      </c>
      <c r="BK347" t="e">
        <f>AND('STERLING CATALOG - FZN &amp; CHILL'!E2385,"AAAAAHTP2z4=")</f>
        <v>#VALUE!</v>
      </c>
      <c r="BL347" t="e">
        <f>AND('STERLING CATALOG - FZN &amp; CHILL'!F2385,"AAAAAHTP2z8=")</f>
        <v>#VALUE!</v>
      </c>
      <c r="BM347" t="e">
        <f>AND('STERLING CATALOG - FZN &amp; CHILL'!G2385,"AAAAAHTP20A=")</f>
        <v>#VALUE!</v>
      </c>
      <c r="BN347" t="e">
        <f>AND('STERLING CATALOG - FZN &amp; CHILL'!H2385,"AAAAAHTP20E=")</f>
        <v>#VALUE!</v>
      </c>
      <c r="BO347" t="e">
        <f>AND('STERLING CATALOG - FZN &amp; CHILL'!I2385,"AAAAAHTP20I=")</f>
        <v>#VALUE!</v>
      </c>
      <c r="BP347" t="e">
        <f>AND('STERLING CATALOG - FZN &amp; CHILL'!J2385,"AAAAAHTP20M=")</f>
        <v>#VALUE!</v>
      </c>
      <c r="BQ347">
        <f>IF('STERLING CATALOG - FZN &amp; CHILL'!2386:2386,"AAAAAHTP20Q=",0)</f>
        <v>0</v>
      </c>
      <c r="BR347" t="e">
        <f>AND('STERLING CATALOG - FZN &amp; CHILL'!A2386,"AAAAAHTP20U=")</f>
        <v>#VALUE!</v>
      </c>
      <c r="BS347" t="e">
        <f>AND('STERLING CATALOG - FZN &amp; CHILL'!B2386,"AAAAAHTP20Y=")</f>
        <v>#VALUE!</v>
      </c>
      <c r="BT347" t="e">
        <f>AND('STERLING CATALOG - FZN &amp; CHILL'!C2386,"AAAAAHTP20c=")</f>
        <v>#VALUE!</v>
      </c>
      <c r="BU347" t="e">
        <f>AND('STERLING CATALOG - FZN &amp; CHILL'!D2386,"AAAAAHTP20g=")</f>
        <v>#VALUE!</v>
      </c>
      <c r="BV347" t="e">
        <f>AND('STERLING CATALOG - FZN &amp; CHILL'!E2386,"AAAAAHTP20k=")</f>
        <v>#VALUE!</v>
      </c>
      <c r="BW347" t="e">
        <f>AND('STERLING CATALOG - FZN &amp; CHILL'!F2386,"AAAAAHTP20o=")</f>
        <v>#VALUE!</v>
      </c>
      <c r="BX347" t="e">
        <f>AND('STERLING CATALOG - FZN &amp; CHILL'!G2386,"AAAAAHTP20s=")</f>
        <v>#VALUE!</v>
      </c>
      <c r="BY347" t="e">
        <f>AND('STERLING CATALOG - FZN &amp; CHILL'!H2386,"AAAAAHTP20w=")</f>
        <v>#VALUE!</v>
      </c>
      <c r="BZ347" t="e">
        <f>AND('STERLING CATALOG - FZN &amp; CHILL'!I2386,"AAAAAHTP200=")</f>
        <v>#VALUE!</v>
      </c>
      <c r="CA347" t="e">
        <f>AND('STERLING CATALOG - FZN &amp; CHILL'!J2386,"AAAAAHTP204=")</f>
        <v>#VALUE!</v>
      </c>
      <c r="CB347">
        <f>IF('STERLING CATALOG - FZN &amp; CHILL'!2387:2387,"AAAAAHTP208=",0)</f>
        <v>0</v>
      </c>
      <c r="CC347" t="e">
        <f>AND('STERLING CATALOG - FZN &amp; CHILL'!A2387,"AAAAAHTP21A=")</f>
        <v>#VALUE!</v>
      </c>
      <c r="CD347" t="e">
        <f>AND('STERLING CATALOG - FZN &amp; CHILL'!B2387,"AAAAAHTP21E=")</f>
        <v>#VALUE!</v>
      </c>
      <c r="CE347" t="e">
        <f>AND('STERLING CATALOG - FZN &amp; CHILL'!C2387,"AAAAAHTP21I=")</f>
        <v>#VALUE!</v>
      </c>
      <c r="CF347" t="e">
        <f>AND('STERLING CATALOG - FZN &amp; CHILL'!D2387,"AAAAAHTP21M=")</f>
        <v>#VALUE!</v>
      </c>
      <c r="CG347" t="e">
        <f>AND('STERLING CATALOG - FZN &amp; CHILL'!E2387,"AAAAAHTP21Q=")</f>
        <v>#VALUE!</v>
      </c>
      <c r="CH347" t="e">
        <f>AND('STERLING CATALOG - FZN &amp; CHILL'!F2387,"AAAAAHTP21U=")</f>
        <v>#VALUE!</v>
      </c>
      <c r="CI347" t="e">
        <f>AND('STERLING CATALOG - FZN &amp; CHILL'!G2387,"AAAAAHTP21Y=")</f>
        <v>#VALUE!</v>
      </c>
      <c r="CJ347" t="e">
        <f>AND('STERLING CATALOG - FZN &amp; CHILL'!H2387,"AAAAAHTP21c=")</f>
        <v>#VALUE!</v>
      </c>
      <c r="CK347" t="e">
        <f>AND('STERLING CATALOG - FZN &amp; CHILL'!I2387,"AAAAAHTP21g=")</f>
        <v>#VALUE!</v>
      </c>
      <c r="CL347" t="e">
        <f>AND('STERLING CATALOG - FZN &amp; CHILL'!J2387,"AAAAAHTP21k=")</f>
        <v>#VALUE!</v>
      </c>
      <c r="CM347">
        <f>IF('STERLING CATALOG - FZN &amp; CHILL'!2388:2388,"AAAAAHTP21o=",0)</f>
        <v>0</v>
      </c>
      <c r="CN347" t="e">
        <f>AND('STERLING CATALOG - FZN &amp; CHILL'!A2388,"AAAAAHTP21s=")</f>
        <v>#VALUE!</v>
      </c>
      <c r="CO347" t="e">
        <f>AND('STERLING CATALOG - FZN &amp; CHILL'!B2388,"AAAAAHTP21w=")</f>
        <v>#VALUE!</v>
      </c>
      <c r="CP347" t="e">
        <f>AND('STERLING CATALOG - FZN &amp; CHILL'!C2388,"AAAAAHTP210=")</f>
        <v>#VALUE!</v>
      </c>
      <c r="CQ347" t="e">
        <f>AND('STERLING CATALOG - FZN &amp; CHILL'!D2388,"AAAAAHTP214=")</f>
        <v>#VALUE!</v>
      </c>
      <c r="CR347" t="e">
        <f>AND('STERLING CATALOG - FZN &amp; CHILL'!E2388,"AAAAAHTP218=")</f>
        <v>#VALUE!</v>
      </c>
      <c r="CS347" t="e">
        <f>AND('STERLING CATALOG - FZN &amp; CHILL'!F2388,"AAAAAHTP22A=")</f>
        <v>#VALUE!</v>
      </c>
      <c r="CT347" t="e">
        <f>AND('STERLING CATALOG - FZN &amp; CHILL'!G2388,"AAAAAHTP22E=")</f>
        <v>#VALUE!</v>
      </c>
      <c r="CU347" t="e">
        <f>AND('STERLING CATALOG - FZN &amp; CHILL'!H2388,"AAAAAHTP22I=")</f>
        <v>#VALUE!</v>
      </c>
      <c r="CV347" t="e">
        <f>AND('STERLING CATALOG - FZN &amp; CHILL'!I2388,"AAAAAHTP22M=")</f>
        <v>#VALUE!</v>
      </c>
      <c r="CW347" t="e">
        <f>AND('STERLING CATALOG - FZN &amp; CHILL'!J2388,"AAAAAHTP22Q=")</f>
        <v>#VALUE!</v>
      </c>
      <c r="CX347">
        <f>IF('STERLING CATALOG - FZN &amp; CHILL'!2389:2389,"AAAAAHTP22U=",0)</f>
        <v>0</v>
      </c>
      <c r="CY347" t="e">
        <f>AND('STERLING CATALOG - FZN &amp; CHILL'!A2389,"AAAAAHTP22Y=")</f>
        <v>#VALUE!</v>
      </c>
      <c r="CZ347" t="e">
        <f>AND('STERLING CATALOG - FZN &amp; CHILL'!B2389,"AAAAAHTP22c=")</f>
        <v>#VALUE!</v>
      </c>
      <c r="DA347" t="e">
        <f>AND('STERLING CATALOG - FZN &amp; CHILL'!C2389,"AAAAAHTP22g=")</f>
        <v>#VALUE!</v>
      </c>
      <c r="DB347" t="e">
        <f>AND('STERLING CATALOG - FZN &amp; CHILL'!D2389,"AAAAAHTP22k=")</f>
        <v>#VALUE!</v>
      </c>
      <c r="DC347" t="e">
        <f>AND('STERLING CATALOG - FZN &amp; CHILL'!E2389,"AAAAAHTP22o=")</f>
        <v>#VALUE!</v>
      </c>
      <c r="DD347" t="e">
        <f>AND('STERLING CATALOG - FZN &amp; CHILL'!F2389,"AAAAAHTP22s=")</f>
        <v>#VALUE!</v>
      </c>
      <c r="DE347" t="e">
        <f>AND('STERLING CATALOG - FZN &amp; CHILL'!G2389,"AAAAAHTP22w=")</f>
        <v>#VALUE!</v>
      </c>
      <c r="DF347" t="e">
        <f>AND('STERLING CATALOG - FZN &amp; CHILL'!H2389,"AAAAAHTP220=")</f>
        <v>#VALUE!</v>
      </c>
      <c r="DG347" t="e">
        <f>AND('STERLING CATALOG - FZN &amp; CHILL'!I2389,"AAAAAHTP224=")</f>
        <v>#VALUE!</v>
      </c>
      <c r="DH347" t="e">
        <f>AND('STERLING CATALOG - FZN &amp; CHILL'!J2389,"AAAAAHTP228=")</f>
        <v>#VALUE!</v>
      </c>
      <c r="DI347">
        <f>IF('STERLING CATALOG - FZN &amp; CHILL'!2390:2390,"AAAAAHTP23A=",0)</f>
        <v>0</v>
      </c>
      <c r="DJ347" t="e">
        <f>AND('STERLING CATALOG - FZN &amp; CHILL'!A2390,"AAAAAHTP23E=")</f>
        <v>#VALUE!</v>
      </c>
      <c r="DK347" t="e">
        <f>AND('STERLING CATALOG - FZN &amp; CHILL'!B2390,"AAAAAHTP23I=")</f>
        <v>#VALUE!</v>
      </c>
      <c r="DL347" t="e">
        <f>AND('STERLING CATALOG - FZN &amp; CHILL'!C2390,"AAAAAHTP23M=")</f>
        <v>#VALUE!</v>
      </c>
      <c r="DM347" t="e">
        <f>AND('STERLING CATALOG - FZN &amp; CHILL'!D2390,"AAAAAHTP23Q=")</f>
        <v>#VALUE!</v>
      </c>
      <c r="DN347" t="e">
        <f>AND('STERLING CATALOG - FZN &amp; CHILL'!E2390,"AAAAAHTP23U=")</f>
        <v>#VALUE!</v>
      </c>
      <c r="DO347" t="e">
        <f>AND('STERLING CATALOG - FZN &amp; CHILL'!F2390,"AAAAAHTP23Y=")</f>
        <v>#VALUE!</v>
      </c>
      <c r="DP347" t="e">
        <f>AND('STERLING CATALOG - FZN &amp; CHILL'!G2390,"AAAAAHTP23c=")</f>
        <v>#VALUE!</v>
      </c>
      <c r="DQ347" t="e">
        <f>AND('STERLING CATALOG - FZN &amp; CHILL'!H2390,"AAAAAHTP23g=")</f>
        <v>#VALUE!</v>
      </c>
      <c r="DR347" t="e">
        <f>AND('STERLING CATALOG - FZN &amp; CHILL'!I2390,"AAAAAHTP23k=")</f>
        <v>#VALUE!</v>
      </c>
      <c r="DS347" t="e">
        <f>AND('STERLING CATALOG - FZN &amp; CHILL'!J2390,"AAAAAHTP23o=")</f>
        <v>#VALUE!</v>
      </c>
      <c r="DT347">
        <f>IF('STERLING CATALOG - FZN &amp; CHILL'!2391:2391,"AAAAAHTP23s=",0)</f>
        <v>0</v>
      </c>
      <c r="DU347" t="e">
        <f>AND('STERLING CATALOG - FZN &amp; CHILL'!A2391,"AAAAAHTP23w=")</f>
        <v>#VALUE!</v>
      </c>
      <c r="DV347" t="e">
        <f>AND('STERLING CATALOG - FZN &amp; CHILL'!B2391,"AAAAAHTP230=")</f>
        <v>#VALUE!</v>
      </c>
      <c r="DW347" t="e">
        <f>AND('STERLING CATALOG - FZN &amp; CHILL'!C2391,"AAAAAHTP234=")</f>
        <v>#VALUE!</v>
      </c>
      <c r="DX347" t="e">
        <f>AND('STERLING CATALOG - FZN &amp; CHILL'!D2391,"AAAAAHTP238=")</f>
        <v>#VALUE!</v>
      </c>
      <c r="DY347" t="e">
        <f>AND('STERLING CATALOG - FZN &amp; CHILL'!E2391,"AAAAAHTP24A=")</f>
        <v>#VALUE!</v>
      </c>
      <c r="DZ347" t="e">
        <f>AND('STERLING CATALOG - FZN &amp; CHILL'!F2391,"AAAAAHTP24E=")</f>
        <v>#VALUE!</v>
      </c>
      <c r="EA347" t="e">
        <f>AND('STERLING CATALOG - FZN &amp; CHILL'!G2391,"AAAAAHTP24I=")</f>
        <v>#VALUE!</v>
      </c>
      <c r="EB347" t="e">
        <f>AND('STERLING CATALOG - FZN &amp; CHILL'!H2391,"AAAAAHTP24M=")</f>
        <v>#VALUE!</v>
      </c>
      <c r="EC347" t="e">
        <f>AND('STERLING CATALOG - FZN &amp; CHILL'!I2391,"AAAAAHTP24Q=")</f>
        <v>#VALUE!</v>
      </c>
      <c r="ED347" t="e">
        <f>AND('STERLING CATALOG - FZN &amp; CHILL'!J2391,"AAAAAHTP24U=")</f>
        <v>#VALUE!</v>
      </c>
      <c r="EE347">
        <f>IF('STERLING CATALOG - FZN &amp; CHILL'!2392:2392,"AAAAAHTP24Y=",0)</f>
        <v>0</v>
      </c>
      <c r="EF347" t="e">
        <f>AND('STERLING CATALOG - FZN &amp; CHILL'!A2392,"AAAAAHTP24c=")</f>
        <v>#VALUE!</v>
      </c>
      <c r="EG347" t="e">
        <f>AND('STERLING CATALOG - FZN &amp; CHILL'!B2392,"AAAAAHTP24g=")</f>
        <v>#VALUE!</v>
      </c>
      <c r="EH347" t="e">
        <f>AND('STERLING CATALOG - FZN &amp; CHILL'!C2392,"AAAAAHTP24k=")</f>
        <v>#VALUE!</v>
      </c>
      <c r="EI347" t="e">
        <f>AND('STERLING CATALOG - FZN &amp; CHILL'!D2392,"AAAAAHTP24o=")</f>
        <v>#VALUE!</v>
      </c>
      <c r="EJ347" t="e">
        <f>AND('STERLING CATALOG - FZN &amp; CHILL'!E2392,"AAAAAHTP24s=")</f>
        <v>#VALUE!</v>
      </c>
      <c r="EK347" t="e">
        <f>AND('STERLING CATALOG - FZN &amp; CHILL'!F2392,"AAAAAHTP24w=")</f>
        <v>#VALUE!</v>
      </c>
      <c r="EL347" t="e">
        <f>AND('STERLING CATALOG - FZN &amp; CHILL'!G2392,"AAAAAHTP240=")</f>
        <v>#VALUE!</v>
      </c>
      <c r="EM347" t="e">
        <f>AND('STERLING CATALOG - FZN &amp; CHILL'!H2392,"AAAAAHTP244=")</f>
        <v>#VALUE!</v>
      </c>
      <c r="EN347" t="e">
        <f>AND('STERLING CATALOG - FZN &amp; CHILL'!I2392,"AAAAAHTP248=")</f>
        <v>#VALUE!</v>
      </c>
      <c r="EO347" t="e">
        <f>AND('STERLING CATALOG - FZN &amp; CHILL'!J2392,"AAAAAHTP25A=")</f>
        <v>#VALUE!</v>
      </c>
      <c r="EP347">
        <f>IF('STERLING CATALOG - FZN &amp; CHILL'!2393:2393,"AAAAAHTP25E=",0)</f>
        <v>0</v>
      </c>
      <c r="EQ347" t="e">
        <f>AND('STERLING CATALOG - FZN &amp; CHILL'!A2393,"AAAAAHTP25I=")</f>
        <v>#VALUE!</v>
      </c>
      <c r="ER347" t="e">
        <f>AND('STERLING CATALOG - FZN &amp; CHILL'!B2393,"AAAAAHTP25M=")</f>
        <v>#VALUE!</v>
      </c>
      <c r="ES347" t="e">
        <f>AND('STERLING CATALOG - FZN &amp; CHILL'!C2393,"AAAAAHTP25Q=")</f>
        <v>#VALUE!</v>
      </c>
      <c r="ET347" t="e">
        <f>AND('STERLING CATALOG - FZN &amp; CHILL'!D2393,"AAAAAHTP25U=")</f>
        <v>#VALUE!</v>
      </c>
      <c r="EU347" t="e">
        <f>AND('STERLING CATALOG - FZN &amp; CHILL'!E2393,"AAAAAHTP25Y=")</f>
        <v>#VALUE!</v>
      </c>
      <c r="EV347" t="e">
        <f>AND('STERLING CATALOG - FZN &amp; CHILL'!F2393,"AAAAAHTP25c=")</f>
        <v>#VALUE!</v>
      </c>
      <c r="EW347" t="e">
        <f>AND('STERLING CATALOG - FZN &amp; CHILL'!G2393,"AAAAAHTP25g=")</f>
        <v>#VALUE!</v>
      </c>
      <c r="EX347" t="e">
        <f>AND('STERLING CATALOG - FZN &amp; CHILL'!H2393,"AAAAAHTP25k=")</f>
        <v>#VALUE!</v>
      </c>
      <c r="EY347" t="e">
        <f>AND('STERLING CATALOG - FZN &amp; CHILL'!I2393,"AAAAAHTP25o=")</f>
        <v>#VALUE!</v>
      </c>
      <c r="EZ347" t="e">
        <f>AND('STERLING CATALOG - FZN &amp; CHILL'!J2393,"AAAAAHTP25s=")</f>
        <v>#VALUE!</v>
      </c>
      <c r="FA347">
        <f>IF('STERLING CATALOG - FZN &amp; CHILL'!2394:2394,"AAAAAHTP25w=",0)</f>
        <v>0</v>
      </c>
      <c r="FB347" t="e">
        <f>AND('STERLING CATALOG - FZN &amp; CHILL'!A2394,"AAAAAHTP250=")</f>
        <v>#VALUE!</v>
      </c>
      <c r="FC347" t="e">
        <f>AND('STERLING CATALOG - FZN &amp; CHILL'!B2394,"AAAAAHTP254=")</f>
        <v>#VALUE!</v>
      </c>
      <c r="FD347" t="e">
        <f>AND('STERLING CATALOG - FZN &amp; CHILL'!C2394,"AAAAAHTP258=")</f>
        <v>#VALUE!</v>
      </c>
      <c r="FE347" t="e">
        <f>AND('STERLING CATALOG - FZN &amp; CHILL'!D2394,"AAAAAHTP26A=")</f>
        <v>#VALUE!</v>
      </c>
      <c r="FF347" t="e">
        <f>AND('STERLING CATALOG - FZN &amp; CHILL'!E2394,"AAAAAHTP26E=")</f>
        <v>#VALUE!</v>
      </c>
      <c r="FG347" t="e">
        <f>AND('STERLING CATALOG - FZN &amp; CHILL'!F2394,"AAAAAHTP26I=")</f>
        <v>#VALUE!</v>
      </c>
      <c r="FH347" t="e">
        <f>AND('STERLING CATALOG - FZN &amp; CHILL'!G2394,"AAAAAHTP26M=")</f>
        <v>#VALUE!</v>
      </c>
      <c r="FI347" t="e">
        <f>AND('STERLING CATALOG - FZN &amp; CHILL'!H2394,"AAAAAHTP26Q=")</f>
        <v>#VALUE!</v>
      </c>
      <c r="FJ347" t="e">
        <f>AND('STERLING CATALOG - FZN &amp; CHILL'!I2394,"AAAAAHTP26U=")</f>
        <v>#VALUE!</v>
      </c>
      <c r="FK347" t="e">
        <f>AND('STERLING CATALOG - FZN &amp; CHILL'!J2394,"AAAAAHTP26Y=")</f>
        <v>#VALUE!</v>
      </c>
      <c r="FL347">
        <f>IF('STERLING CATALOG - FZN &amp; CHILL'!2395:2395,"AAAAAHTP26c=",0)</f>
        <v>0</v>
      </c>
      <c r="FM347" t="e">
        <f>AND('STERLING CATALOG - FZN &amp; CHILL'!A2395,"AAAAAHTP26g=")</f>
        <v>#VALUE!</v>
      </c>
      <c r="FN347" t="e">
        <f>AND('STERLING CATALOG - FZN &amp; CHILL'!B2395,"AAAAAHTP26k=")</f>
        <v>#VALUE!</v>
      </c>
      <c r="FO347" t="e">
        <f>AND('STERLING CATALOG - FZN &amp; CHILL'!C2395,"AAAAAHTP26o=")</f>
        <v>#VALUE!</v>
      </c>
      <c r="FP347" t="e">
        <f>AND('STERLING CATALOG - FZN &amp; CHILL'!D2395,"AAAAAHTP26s=")</f>
        <v>#VALUE!</v>
      </c>
      <c r="FQ347" t="e">
        <f>AND('STERLING CATALOG - FZN &amp; CHILL'!E2395,"AAAAAHTP26w=")</f>
        <v>#VALUE!</v>
      </c>
      <c r="FR347" t="e">
        <f>AND('STERLING CATALOG - FZN &amp; CHILL'!F2395,"AAAAAHTP260=")</f>
        <v>#VALUE!</v>
      </c>
      <c r="FS347" t="e">
        <f>AND('STERLING CATALOG - FZN &amp; CHILL'!G2395,"AAAAAHTP264=")</f>
        <v>#VALUE!</v>
      </c>
      <c r="FT347" t="e">
        <f>AND('STERLING CATALOG - FZN &amp; CHILL'!H2395,"AAAAAHTP268=")</f>
        <v>#VALUE!</v>
      </c>
      <c r="FU347" t="e">
        <f>AND('STERLING CATALOG - FZN &amp; CHILL'!I2395,"AAAAAHTP27A=")</f>
        <v>#VALUE!</v>
      </c>
      <c r="FV347" t="e">
        <f>AND('STERLING CATALOG - FZN &amp; CHILL'!J2395,"AAAAAHTP27E=")</f>
        <v>#VALUE!</v>
      </c>
      <c r="FW347">
        <f>IF('STERLING CATALOG - FZN &amp; CHILL'!2396:2396,"AAAAAHTP27I=",0)</f>
        <v>0</v>
      </c>
      <c r="FX347" t="e">
        <f>AND('STERLING CATALOG - FZN &amp; CHILL'!A2396,"AAAAAHTP27M=")</f>
        <v>#VALUE!</v>
      </c>
      <c r="FY347" t="e">
        <f>AND('STERLING CATALOG - FZN &amp; CHILL'!B2396,"AAAAAHTP27Q=")</f>
        <v>#VALUE!</v>
      </c>
      <c r="FZ347" t="e">
        <f>AND('STERLING CATALOG - FZN &amp; CHILL'!C2396,"AAAAAHTP27U=")</f>
        <v>#VALUE!</v>
      </c>
      <c r="GA347" t="e">
        <f>AND('STERLING CATALOG - FZN &amp; CHILL'!D2396,"AAAAAHTP27Y=")</f>
        <v>#VALUE!</v>
      </c>
      <c r="GB347" t="e">
        <f>AND('STERLING CATALOG - FZN &amp; CHILL'!E2396,"AAAAAHTP27c=")</f>
        <v>#VALUE!</v>
      </c>
      <c r="GC347" t="e">
        <f>AND('STERLING CATALOG - FZN &amp; CHILL'!F2396,"AAAAAHTP27g=")</f>
        <v>#VALUE!</v>
      </c>
      <c r="GD347" t="e">
        <f>AND('STERLING CATALOG - FZN &amp; CHILL'!G2396,"AAAAAHTP27k=")</f>
        <v>#VALUE!</v>
      </c>
      <c r="GE347" t="e">
        <f>AND('STERLING CATALOG - FZN &amp; CHILL'!H2396,"AAAAAHTP27o=")</f>
        <v>#VALUE!</v>
      </c>
      <c r="GF347" t="e">
        <f>AND('STERLING CATALOG - FZN &amp; CHILL'!I2396,"AAAAAHTP27s=")</f>
        <v>#VALUE!</v>
      </c>
      <c r="GG347" t="e">
        <f>AND('STERLING CATALOG - FZN &amp; CHILL'!J2396,"AAAAAHTP27w=")</f>
        <v>#VALUE!</v>
      </c>
      <c r="GH347">
        <f>IF('STERLING CATALOG - FZN &amp; CHILL'!2397:2397,"AAAAAHTP270=",0)</f>
        <v>0</v>
      </c>
      <c r="GI347" t="e">
        <f>AND('STERLING CATALOG - FZN &amp; CHILL'!A2397,"AAAAAHTP274=")</f>
        <v>#VALUE!</v>
      </c>
      <c r="GJ347" t="e">
        <f>AND('STERLING CATALOG - FZN &amp; CHILL'!B2397,"AAAAAHTP278=")</f>
        <v>#VALUE!</v>
      </c>
      <c r="GK347" t="e">
        <f>AND('STERLING CATALOG - FZN &amp; CHILL'!C2397,"AAAAAHTP28A=")</f>
        <v>#VALUE!</v>
      </c>
      <c r="GL347" t="e">
        <f>AND('STERLING CATALOG - FZN &amp; CHILL'!D2397,"AAAAAHTP28E=")</f>
        <v>#VALUE!</v>
      </c>
      <c r="GM347" t="e">
        <f>AND('STERLING CATALOG - FZN &amp; CHILL'!E2397,"AAAAAHTP28I=")</f>
        <v>#VALUE!</v>
      </c>
      <c r="GN347" t="e">
        <f>AND('STERLING CATALOG - FZN &amp; CHILL'!F2397,"AAAAAHTP28M=")</f>
        <v>#VALUE!</v>
      </c>
      <c r="GO347" t="e">
        <f>AND('STERLING CATALOG - FZN &amp; CHILL'!G2397,"AAAAAHTP28Q=")</f>
        <v>#VALUE!</v>
      </c>
      <c r="GP347" t="e">
        <f>AND('STERLING CATALOG - FZN &amp; CHILL'!H2397,"AAAAAHTP28U=")</f>
        <v>#VALUE!</v>
      </c>
      <c r="GQ347" t="e">
        <f>AND('STERLING CATALOG - FZN &amp; CHILL'!I2397,"AAAAAHTP28Y=")</f>
        <v>#VALUE!</v>
      </c>
      <c r="GR347" t="e">
        <f>AND('STERLING CATALOG - FZN &amp; CHILL'!J2397,"AAAAAHTP28c=")</f>
        <v>#VALUE!</v>
      </c>
      <c r="GS347">
        <f>IF('STERLING CATALOG - FZN &amp; CHILL'!2398:2398,"AAAAAHTP28g=",0)</f>
        <v>0</v>
      </c>
      <c r="GT347" t="e">
        <f>AND('STERLING CATALOG - FZN &amp; CHILL'!A2398,"AAAAAHTP28k=")</f>
        <v>#VALUE!</v>
      </c>
      <c r="GU347" t="e">
        <f>AND('STERLING CATALOG - FZN &amp; CHILL'!B2398,"AAAAAHTP28o=")</f>
        <v>#VALUE!</v>
      </c>
      <c r="GV347" t="e">
        <f>AND('STERLING CATALOG - FZN &amp; CHILL'!C2398,"AAAAAHTP28s=")</f>
        <v>#VALUE!</v>
      </c>
      <c r="GW347" t="e">
        <f>AND('STERLING CATALOG - FZN &amp; CHILL'!D2398,"AAAAAHTP28w=")</f>
        <v>#VALUE!</v>
      </c>
      <c r="GX347" t="e">
        <f>AND('STERLING CATALOG - FZN &amp; CHILL'!E2398,"AAAAAHTP280=")</f>
        <v>#VALUE!</v>
      </c>
      <c r="GY347" t="e">
        <f>AND('STERLING CATALOG - FZN &amp; CHILL'!F2398,"AAAAAHTP284=")</f>
        <v>#VALUE!</v>
      </c>
      <c r="GZ347" t="e">
        <f>AND('STERLING CATALOG - FZN &amp; CHILL'!G2398,"AAAAAHTP288=")</f>
        <v>#VALUE!</v>
      </c>
      <c r="HA347" t="e">
        <f>AND('STERLING CATALOG - FZN &amp; CHILL'!H2398,"AAAAAHTP29A=")</f>
        <v>#VALUE!</v>
      </c>
      <c r="HB347" t="e">
        <f>AND('STERLING CATALOG - FZN &amp; CHILL'!I2398,"AAAAAHTP29E=")</f>
        <v>#VALUE!</v>
      </c>
      <c r="HC347" t="e">
        <f>AND('STERLING CATALOG - FZN &amp; CHILL'!J2398,"AAAAAHTP29I=")</f>
        <v>#VALUE!</v>
      </c>
      <c r="HD347">
        <f>IF('STERLING CATALOG - FZN &amp; CHILL'!2399:2399,"AAAAAHTP29M=",0)</f>
        <v>0</v>
      </c>
      <c r="HE347" t="e">
        <f>AND('STERLING CATALOG - FZN &amp; CHILL'!A2399,"AAAAAHTP29Q=")</f>
        <v>#VALUE!</v>
      </c>
      <c r="HF347" t="e">
        <f>AND('STERLING CATALOG - FZN &amp; CHILL'!B2399,"AAAAAHTP29U=")</f>
        <v>#VALUE!</v>
      </c>
      <c r="HG347" t="e">
        <f>AND('STERLING CATALOG - FZN &amp; CHILL'!C2399,"AAAAAHTP29Y=")</f>
        <v>#VALUE!</v>
      </c>
      <c r="HH347" t="e">
        <f>AND('STERLING CATALOG - FZN &amp; CHILL'!D2399,"AAAAAHTP29c=")</f>
        <v>#VALUE!</v>
      </c>
      <c r="HI347" t="e">
        <f>AND('STERLING CATALOG - FZN &amp; CHILL'!E2399,"AAAAAHTP29g=")</f>
        <v>#VALUE!</v>
      </c>
      <c r="HJ347" t="e">
        <f>AND('STERLING CATALOG - FZN &amp; CHILL'!F2399,"AAAAAHTP29k=")</f>
        <v>#VALUE!</v>
      </c>
      <c r="HK347" t="e">
        <f>AND('STERLING CATALOG - FZN &amp; CHILL'!G2399,"AAAAAHTP29o=")</f>
        <v>#VALUE!</v>
      </c>
      <c r="HL347" t="e">
        <f>AND('STERLING CATALOG - FZN &amp; CHILL'!H2399,"AAAAAHTP29s=")</f>
        <v>#VALUE!</v>
      </c>
      <c r="HM347" t="e">
        <f>AND('STERLING CATALOG - FZN &amp; CHILL'!I2399,"AAAAAHTP29w=")</f>
        <v>#VALUE!</v>
      </c>
      <c r="HN347" t="e">
        <f>AND('STERLING CATALOG - FZN &amp; CHILL'!J2399,"AAAAAHTP290=")</f>
        <v>#VALUE!</v>
      </c>
      <c r="HO347">
        <f>IF('STERLING CATALOG - FZN &amp; CHILL'!2400:2400,"AAAAAHTP294=",0)</f>
        <v>0</v>
      </c>
      <c r="HP347" t="e">
        <f>AND('STERLING CATALOG - FZN &amp; CHILL'!A2400,"AAAAAHTP298=")</f>
        <v>#VALUE!</v>
      </c>
      <c r="HQ347" t="e">
        <f>AND('STERLING CATALOG - FZN &amp; CHILL'!B2400,"AAAAAHTP2+A=")</f>
        <v>#VALUE!</v>
      </c>
      <c r="HR347" t="e">
        <f>AND('STERLING CATALOG - FZN &amp; CHILL'!C2400,"AAAAAHTP2+E=")</f>
        <v>#VALUE!</v>
      </c>
      <c r="HS347" t="e">
        <f>AND('STERLING CATALOG - FZN &amp; CHILL'!D2400,"AAAAAHTP2+I=")</f>
        <v>#VALUE!</v>
      </c>
      <c r="HT347" t="e">
        <f>AND('STERLING CATALOG - FZN &amp; CHILL'!E2400,"AAAAAHTP2+M=")</f>
        <v>#VALUE!</v>
      </c>
      <c r="HU347" t="e">
        <f>AND('STERLING CATALOG - FZN &amp; CHILL'!F2400,"AAAAAHTP2+Q=")</f>
        <v>#VALUE!</v>
      </c>
      <c r="HV347" t="e">
        <f>AND('STERLING CATALOG - FZN &amp; CHILL'!G2400,"AAAAAHTP2+U=")</f>
        <v>#VALUE!</v>
      </c>
      <c r="HW347" t="e">
        <f>AND('STERLING CATALOG - FZN &amp; CHILL'!H2400,"AAAAAHTP2+Y=")</f>
        <v>#VALUE!</v>
      </c>
      <c r="HX347" t="e">
        <f>AND('STERLING CATALOG - FZN &amp; CHILL'!I2400,"AAAAAHTP2+c=")</f>
        <v>#VALUE!</v>
      </c>
      <c r="HY347" t="e">
        <f>AND('STERLING CATALOG - FZN &amp; CHILL'!J2400,"AAAAAHTP2+g=")</f>
        <v>#VALUE!</v>
      </c>
      <c r="HZ347">
        <f>IF('STERLING CATALOG - FZN &amp; CHILL'!2401:2401,"AAAAAHTP2+k=",0)</f>
        <v>0</v>
      </c>
      <c r="IA347" t="e">
        <f>AND('STERLING CATALOG - FZN &amp; CHILL'!A2401,"AAAAAHTP2+o=")</f>
        <v>#VALUE!</v>
      </c>
      <c r="IB347" t="e">
        <f>AND('STERLING CATALOG - FZN &amp; CHILL'!B2401,"AAAAAHTP2+s=")</f>
        <v>#VALUE!</v>
      </c>
      <c r="IC347" t="e">
        <f>AND('STERLING CATALOG - FZN &amp; CHILL'!C2401,"AAAAAHTP2+w=")</f>
        <v>#VALUE!</v>
      </c>
      <c r="ID347" t="e">
        <f>AND('STERLING CATALOG - FZN &amp; CHILL'!D2401,"AAAAAHTP2+0=")</f>
        <v>#VALUE!</v>
      </c>
      <c r="IE347" t="e">
        <f>AND('STERLING CATALOG - FZN &amp; CHILL'!E2401,"AAAAAHTP2+4=")</f>
        <v>#VALUE!</v>
      </c>
      <c r="IF347" t="e">
        <f>AND('STERLING CATALOG - FZN &amp; CHILL'!F2401,"AAAAAHTP2+8=")</f>
        <v>#VALUE!</v>
      </c>
      <c r="IG347" t="e">
        <f>AND('STERLING CATALOG - FZN &amp; CHILL'!G2401,"AAAAAHTP2/A=")</f>
        <v>#VALUE!</v>
      </c>
      <c r="IH347" t="e">
        <f>AND('STERLING CATALOG - FZN &amp; CHILL'!H2401,"AAAAAHTP2/E=")</f>
        <v>#VALUE!</v>
      </c>
      <c r="II347" t="e">
        <f>AND('STERLING CATALOG - FZN &amp; CHILL'!I2401,"AAAAAHTP2/I=")</f>
        <v>#VALUE!</v>
      </c>
      <c r="IJ347" t="e">
        <f>AND('STERLING CATALOG - FZN &amp; CHILL'!J2401,"AAAAAHTP2/M=")</f>
        <v>#VALUE!</v>
      </c>
      <c r="IK347">
        <f>IF('STERLING CATALOG - FZN &amp; CHILL'!2402:2402,"AAAAAHTP2/Q=",0)</f>
        <v>0</v>
      </c>
      <c r="IL347" t="e">
        <f>AND('STERLING CATALOG - FZN &amp; CHILL'!A2402,"AAAAAHTP2/U=")</f>
        <v>#VALUE!</v>
      </c>
      <c r="IM347" t="e">
        <f>AND('STERLING CATALOG - FZN &amp; CHILL'!B2402,"AAAAAHTP2/Y=")</f>
        <v>#VALUE!</v>
      </c>
      <c r="IN347" t="e">
        <f>AND('STERLING CATALOG - FZN &amp; CHILL'!C2402,"AAAAAHTP2/c=")</f>
        <v>#VALUE!</v>
      </c>
      <c r="IO347" t="e">
        <f>AND('STERLING CATALOG - FZN &amp; CHILL'!D2402,"AAAAAHTP2/g=")</f>
        <v>#VALUE!</v>
      </c>
      <c r="IP347" t="e">
        <f>AND('STERLING CATALOG - FZN &amp; CHILL'!E2402,"AAAAAHTP2/k=")</f>
        <v>#VALUE!</v>
      </c>
      <c r="IQ347" t="e">
        <f>AND('STERLING CATALOG - FZN &amp; CHILL'!F2402,"AAAAAHTP2/o=")</f>
        <v>#VALUE!</v>
      </c>
      <c r="IR347" t="e">
        <f>AND('STERLING CATALOG - FZN &amp; CHILL'!G2402,"AAAAAHTP2/s=")</f>
        <v>#VALUE!</v>
      </c>
      <c r="IS347" t="e">
        <f>AND('STERLING CATALOG - FZN &amp; CHILL'!H2402,"AAAAAHTP2/w=")</f>
        <v>#VALUE!</v>
      </c>
      <c r="IT347" t="e">
        <f>AND('STERLING CATALOG - FZN &amp; CHILL'!I2402,"AAAAAHTP2/0=")</f>
        <v>#VALUE!</v>
      </c>
      <c r="IU347" t="e">
        <f>AND('STERLING CATALOG - FZN &amp; CHILL'!J2402,"AAAAAHTP2/4=")</f>
        <v>#VALUE!</v>
      </c>
      <c r="IV347">
        <f>IF('STERLING CATALOG - FZN &amp; CHILL'!2403:2403,"AAAAAHTP2/8=",0)</f>
        <v>0</v>
      </c>
    </row>
    <row r="348" spans="1:256">
      <c r="A348" t="e">
        <f>AND('STERLING CATALOG - FZN &amp; CHILL'!A2403,"AAAAAF/bVwA=")</f>
        <v>#VALUE!</v>
      </c>
      <c r="B348" t="e">
        <f>AND('STERLING CATALOG - FZN &amp; CHILL'!B2403,"AAAAAF/bVwE=")</f>
        <v>#VALUE!</v>
      </c>
      <c r="C348" t="e">
        <f>AND('STERLING CATALOG - FZN &amp; CHILL'!C2403,"AAAAAF/bVwI=")</f>
        <v>#VALUE!</v>
      </c>
      <c r="D348" t="e">
        <f>AND('STERLING CATALOG - FZN &amp; CHILL'!D2403,"AAAAAF/bVwM=")</f>
        <v>#VALUE!</v>
      </c>
      <c r="E348" t="e">
        <f>AND('STERLING CATALOG - FZN &amp; CHILL'!E2403,"AAAAAF/bVwQ=")</f>
        <v>#VALUE!</v>
      </c>
      <c r="F348" t="e">
        <f>AND('STERLING CATALOG - FZN &amp; CHILL'!F2403,"AAAAAF/bVwU=")</f>
        <v>#VALUE!</v>
      </c>
      <c r="G348" t="e">
        <f>AND('STERLING CATALOG - FZN &amp; CHILL'!G2403,"AAAAAF/bVwY=")</f>
        <v>#VALUE!</v>
      </c>
      <c r="H348" t="e">
        <f>AND('STERLING CATALOG - FZN &amp; CHILL'!H2403,"AAAAAF/bVwc=")</f>
        <v>#VALUE!</v>
      </c>
      <c r="I348" t="e">
        <f>AND('STERLING CATALOG - FZN &amp; CHILL'!I2403,"AAAAAF/bVwg=")</f>
        <v>#VALUE!</v>
      </c>
      <c r="J348" t="e">
        <f>AND('STERLING CATALOG - FZN &amp; CHILL'!J2403,"AAAAAF/bVwk=")</f>
        <v>#VALUE!</v>
      </c>
      <c r="K348">
        <f>IF('STERLING CATALOG - FZN &amp; CHILL'!2404:2404,"AAAAAF/bVwo=",0)</f>
        <v>0</v>
      </c>
      <c r="L348" t="e">
        <f>AND('STERLING CATALOG - FZN &amp; CHILL'!A2404,"AAAAAF/bVws=")</f>
        <v>#VALUE!</v>
      </c>
      <c r="M348" t="e">
        <f>AND('STERLING CATALOG - FZN &amp; CHILL'!B2404,"AAAAAF/bVww=")</f>
        <v>#VALUE!</v>
      </c>
      <c r="N348" t="e">
        <f>AND('STERLING CATALOG - FZN &amp; CHILL'!C2404,"AAAAAF/bVw0=")</f>
        <v>#VALUE!</v>
      </c>
      <c r="O348" t="e">
        <f>AND('STERLING CATALOG - FZN &amp; CHILL'!D2404,"AAAAAF/bVw4=")</f>
        <v>#VALUE!</v>
      </c>
      <c r="P348" t="e">
        <f>AND('STERLING CATALOG - FZN &amp; CHILL'!E2404,"AAAAAF/bVw8=")</f>
        <v>#VALUE!</v>
      </c>
      <c r="Q348" t="e">
        <f>AND('STERLING CATALOG - FZN &amp; CHILL'!F2404,"AAAAAF/bVxA=")</f>
        <v>#VALUE!</v>
      </c>
      <c r="R348" t="e">
        <f>AND('STERLING CATALOG - FZN &amp; CHILL'!G2404,"AAAAAF/bVxE=")</f>
        <v>#VALUE!</v>
      </c>
      <c r="S348" t="e">
        <f>AND('STERLING CATALOG - FZN &amp; CHILL'!H2404,"AAAAAF/bVxI=")</f>
        <v>#VALUE!</v>
      </c>
      <c r="T348" t="e">
        <f>AND('STERLING CATALOG - FZN &amp; CHILL'!I2404,"AAAAAF/bVxM=")</f>
        <v>#VALUE!</v>
      </c>
      <c r="U348" t="e">
        <f>AND('STERLING CATALOG - FZN &amp; CHILL'!J2404,"AAAAAF/bVxQ=")</f>
        <v>#VALUE!</v>
      </c>
      <c r="V348">
        <f>IF('STERLING CATALOG - FZN &amp; CHILL'!2405:2405,"AAAAAF/bVxU=",0)</f>
        <v>0</v>
      </c>
      <c r="W348" t="e">
        <f>AND('STERLING CATALOG - FZN &amp; CHILL'!A2405,"AAAAAF/bVxY=")</f>
        <v>#VALUE!</v>
      </c>
      <c r="X348" t="e">
        <f>AND('STERLING CATALOG - FZN &amp; CHILL'!B2405,"AAAAAF/bVxc=")</f>
        <v>#VALUE!</v>
      </c>
      <c r="Y348" t="e">
        <f>AND('STERLING CATALOG - FZN &amp; CHILL'!C2405,"AAAAAF/bVxg=")</f>
        <v>#VALUE!</v>
      </c>
      <c r="Z348" t="e">
        <f>AND('STERLING CATALOG - FZN &amp; CHILL'!D2405,"AAAAAF/bVxk=")</f>
        <v>#VALUE!</v>
      </c>
      <c r="AA348" t="e">
        <f>AND('STERLING CATALOG - FZN &amp; CHILL'!E2405,"AAAAAF/bVxo=")</f>
        <v>#VALUE!</v>
      </c>
      <c r="AB348" t="e">
        <f>AND('STERLING CATALOG - FZN &amp; CHILL'!F2405,"AAAAAF/bVxs=")</f>
        <v>#VALUE!</v>
      </c>
      <c r="AC348" t="e">
        <f>AND('STERLING CATALOG - FZN &amp; CHILL'!G2405,"AAAAAF/bVxw=")</f>
        <v>#VALUE!</v>
      </c>
      <c r="AD348" t="e">
        <f>AND('STERLING CATALOG - FZN &amp; CHILL'!H2405,"AAAAAF/bVx0=")</f>
        <v>#VALUE!</v>
      </c>
      <c r="AE348" t="e">
        <f>AND('STERLING CATALOG - FZN &amp; CHILL'!I2405,"AAAAAF/bVx4=")</f>
        <v>#VALUE!</v>
      </c>
      <c r="AF348" t="e">
        <f>AND('STERLING CATALOG - FZN &amp; CHILL'!J2405,"AAAAAF/bVx8=")</f>
        <v>#VALUE!</v>
      </c>
      <c r="AG348">
        <f>IF('STERLING CATALOG - FZN &amp; CHILL'!2406:2406,"AAAAAF/bVyA=",0)</f>
        <v>0</v>
      </c>
      <c r="AH348" t="e">
        <f>AND('STERLING CATALOG - FZN &amp; CHILL'!A2406,"AAAAAF/bVyE=")</f>
        <v>#VALUE!</v>
      </c>
      <c r="AI348" t="e">
        <f>AND('STERLING CATALOG - FZN &amp; CHILL'!B2406,"AAAAAF/bVyI=")</f>
        <v>#VALUE!</v>
      </c>
      <c r="AJ348" t="e">
        <f>AND('STERLING CATALOG - FZN &amp; CHILL'!C2406,"AAAAAF/bVyM=")</f>
        <v>#VALUE!</v>
      </c>
      <c r="AK348" t="e">
        <f>AND('STERLING CATALOG - FZN &amp; CHILL'!D2406,"AAAAAF/bVyQ=")</f>
        <v>#VALUE!</v>
      </c>
      <c r="AL348" t="e">
        <f>AND('STERLING CATALOG - FZN &amp; CHILL'!E2406,"AAAAAF/bVyU=")</f>
        <v>#VALUE!</v>
      </c>
      <c r="AM348" t="e">
        <f>AND('STERLING CATALOG - FZN &amp; CHILL'!F2406,"AAAAAF/bVyY=")</f>
        <v>#VALUE!</v>
      </c>
      <c r="AN348" t="e">
        <f>AND('STERLING CATALOG - FZN &amp; CHILL'!G2406,"AAAAAF/bVyc=")</f>
        <v>#VALUE!</v>
      </c>
      <c r="AO348" t="e">
        <f>AND('STERLING CATALOG - FZN &amp; CHILL'!H2406,"AAAAAF/bVyg=")</f>
        <v>#VALUE!</v>
      </c>
      <c r="AP348" t="e">
        <f>AND('STERLING CATALOG - FZN &amp; CHILL'!I2406,"AAAAAF/bVyk=")</f>
        <v>#VALUE!</v>
      </c>
      <c r="AQ348" t="e">
        <f>AND('STERLING CATALOG - FZN &amp; CHILL'!J2406,"AAAAAF/bVyo=")</f>
        <v>#VALUE!</v>
      </c>
      <c r="AR348">
        <f>IF('STERLING CATALOG - FZN &amp; CHILL'!2407:2407,"AAAAAF/bVys=",0)</f>
        <v>0</v>
      </c>
      <c r="AS348" t="e">
        <f>AND('STERLING CATALOG - FZN &amp; CHILL'!A2407,"AAAAAF/bVyw=")</f>
        <v>#VALUE!</v>
      </c>
      <c r="AT348" t="e">
        <f>AND('STERLING CATALOG - FZN &amp; CHILL'!B2407,"AAAAAF/bVy0=")</f>
        <v>#VALUE!</v>
      </c>
      <c r="AU348" t="e">
        <f>AND('STERLING CATALOG - FZN &amp; CHILL'!C2407,"AAAAAF/bVy4=")</f>
        <v>#VALUE!</v>
      </c>
      <c r="AV348" t="e">
        <f>AND('STERLING CATALOG - FZN &amp; CHILL'!D2407,"AAAAAF/bVy8=")</f>
        <v>#VALUE!</v>
      </c>
      <c r="AW348" t="e">
        <f>AND('STERLING CATALOG - FZN &amp; CHILL'!E2407,"AAAAAF/bVzA=")</f>
        <v>#VALUE!</v>
      </c>
      <c r="AX348" t="e">
        <f>AND('STERLING CATALOG - FZN &amp; CHILL'!F2407,"AAAAAF/bVzE=")</f>
        <v>#VALUE!</v>
      </c>
      <c r="AY348" t="e">
        <f>AND('STERLING CATALOG - FZN &amp; CHILL'!G2407,"AAAAAF/bVzI=")</f>
        <v>#VALUE!</v>
      </c>
      <c r="AZ348" t="e">
        <f>AND('STERLING CATALOG - FZN &amp; CHILL'!H2407,"AAAAAF/bVzM=")</f>
        <v>#VALUE!</v>
      </c>
      <c r="BA348" t="e">
        <f>AND('STERLING CATALOG - FZN &amp; CHILL'!I2407,"AAAAAF/bVzQ=")</f>
        <v>#VALUE!</v>
      </c>
      <c r="BB348" t="e">
        <f>AND('STERLING CATALOG - FZN &amp; CHILL'!J2407,"AAAAAF/bVzU=")</f>
        <v>#VALUE!</v>
      </c>
      <c r="BC348">
        <f>IF('STERLING CATALOG - FZN &amp; CHILL'!2408:2408,"AAAAAF/bVzY=",0)</f>
        <v>0</v>
      </c>
      <c r="BD348" t="e">
        <f>AND('STERLING CATALOG - FZN &amp; CHILL'!A2408,"AAAAAF/bVzc=")</f>
        <v>#VALUE!</v>
      </c>
      <c r="BE348" t="e">
        <f>AND('STERLING CATALOG - FZN &amp; CHILL'!B2408,"AAAAAF/bVzg=")</f>
        <v>#VALUE!</v>
      </c>
      <c r="BF348" t="e">
        <f>AND('STERLING CATALOG - FZN &amp; CHILL'!C2408,"AAAAAF/bVzk=")</f>
        <v>#VALUE!</v>
      </c>
      <c r="BG348" t="e">
        <f>AND('STERLING CATALOG - FZN &amp; CHILL'!D2408,"AAAAAF/bVzo=")</f>
        <v>#VALUE!</v>
      </c>
      <c r="BH348" t="e">
        <f>AND('STERLING CATALOG - FZN &amp; CHILL'!E2408,"AAAAAF/bVzs=")</f>
        <v>#VALUE!</v>
      </c>
      <c r="BI348" t="e">
        <f>AND('STERLING CATALOG - FZN &amp; CHILL'!F2408,"AAAAAF/bVzw=")</f>
        <v>#VALUE!</v>
      </c>
      <c r="BJ348" t="e">
        <f>AND('STERLING CATALOG - FZN &amp; CHILL'!G2408,"AAAAAF/bVz0=")</f>
        <v>#VALUE!</v>
      </c>
      <c r="BK348" t="e">
        <f>AND('STERLING CATALOG - FZN &amp; CHILL'!H2408,"AAAAAF/bVz4=")</f>
        <v>#VALUE!</v>
      </c>
      <c r="BL348" t="e">
        <f>AND('STERLING CATALOG - FZN &amp; CHILL'!I2408,"AAAAAF/bVz8=")</f>
        <v>#VALUE!</v>
      </c>
      <c r="BM348" t="e">
        <f>AND('STERLING CATALOG - FZN &amp; CHILL'!J2408,"AAAAAF/bV0A=")</f>
        <v>#VALUE!</v>
      </c>
      <c r="BN348">
        <f>IF('STERLING CATALOG - FZN &amp; CHILL'!2409:2409,"AAAAAF/bV0E=",0)</f>
        <v>0</v>
      </c>
      <c r="BO348" t="e">
        <f>AND('STERLING CATALOG - FZN &amp; CHILL'!A2409,"AAAAAF/bV0I=")</f>
        <v>#VALUE!</v>
      </c>
      <c r="BP348" t="e">
        <f>AND('STERLING CATALOG - FZN &amp; CHILL'!B2409,"AAAAAF/bV0M=")</f>
        <v>#VALUE!</v>
      </c>
      <c r="BQ348" t="e">
        <f>AND('STERLING CATALOG - FZN &amp; CHILL'!C2409,"AAAAAF/bV0Q=")</f>
        <v>#VALUE!</v>
      </c>
      <c r="BR348" t="e">
        <f>AND('STERLING CATALOG - FZN &amp; CHILL'!D2409,"AAAAAF/bV0U=")</f>
        <v>#VALUE!</v>
      </c>
      <c r="BS348" t="e">
        <f>AND('STERLING CATALOG - FZN &amp; CHILL'!E2409,"AAAAAF/bV0Y=")</f>
        <v>#VALUE!</v>
      </c>
      <c r="BT348" t="e">
        <f>AND('STERLING CATALOG - FZN &amp; CHILL'!F2409,"AAAAAF/bV0c=")</f>
        <v>#VALUE!</v>
      </c>
      <c r="BU348" t="e">
        <f>AND('STERLING CATALOG - FZN &amp; CHILL'!G2409,"AAAAAF/bV0g=")</f>
        <v>#VALUE!</v>
      </c>
      <c r="BV348" t="e">
        <f>AND('STERLING CATALOG - FZN &amp; CHILL'!H2409,"AAAAAF/bV0k=")</f>
        <v>#VALUE!</v>
      </c>
      <c r="BW348" t="e">
        <f>AND('STERLING CATALOG - FZN &amp; CHILL'!I2409,"AAAAAF/bV0o=")</f>
        <v>#VALUE!</v>
      </c>
      <c r="BX348" t="e">
        <f>AND('STERLING CATALOG - FZN &amp; CHILL'!J2409,"AAAAAF/bV0s=")</f>
        <v>#VALUE!</v>
      </c>
      <c r="BY348">
        <f>IF('STERLING CATALOG - FZN &amp; CHILL'!2410:2410,"AAAAAF/bV0w=",0)</f>
        <v>0</v>
      </c>
      <c r="BZ348" t="e">
        <f>AND('STERLING CATALOG - FZN &amp; CHILL'!A2410,"AAAAAF/bV00=")</f>
        <v>#VALUE!</v>
      </c>
      <c r="CA348" t="e">
        <f>AND('STERLING CATALOG - FZN &amp; CHILL'!B2410,"AAAAAF/bV04=")</f>
        <v>#VALUE!</v>
      </c>
      <c r="CB348" t="e">
        <f>AND('STERLING CATALOG - FZN &amp; CHILL'!C2410,"AAAAAF/bV08=")</f>
        <v>#VALUE!</v>
      </c>
      <c r="CC348" t="e">
        <f>AND('STERLING CATALOG - FZN &amp; CHILL'!D2410,"AAAAAF/bV1A=")</f>
        <v>#VALUE!</v>
      </c>
      <c r="CD348" t="e">
        <f>AND('STERLING CATALOG - FZN &amp; CHILL'!E2410,"AAAAAF/bV1E=")</f>
        <v>#VALUE!</v>
      </c>
      <c r="CE348" t="e">
        <f>AND('STERLING CATALOG - FZN &amp; CHILL'!F2410,"AAAAAF/bV1I=")</f>
        <v>#VALUE!</v>
      </c>
      <c r="CF348" t="e">
        <f>AND('STERLING CATALOG - FZN &amp; CHILL'!G2410,"AAAAAF/bV1M=")</f>
        <v>#VALUE!</v>
      </c>
      <c r="CG348" t="e">
        <f>AND('STERLING CATALOG - FZN &amp; CHILL'!H2410,"AAAAAF/bV1Q=")</f>
        <v>#VALUE!</v>
      </c>
      <c r="CH348" t="e">
        <f>AND('STERLING CATALOG - FZN &amp; CHILL'!I2410,"AAAAAF/bV1U=")</f>
        <v>#VALUE!</v>
      </c>
      <c r="CI348" t="e">
        <f>AND('STERLING CATALOG - FZN &amp; CHILL'!J2410,"AAAAAF/bV1Y=")</f>
        <v>#VALUE!</v>
      </c>
      <c r="CJ348">
        <f>IF('STERLING CATALOG - FZN &amp; CHILL'!2411:2411,"AAAAAF/bV1c=",0)</f>
        <v>0</v>
      </c>
      <c r="CK348" t="e">
        <f>AND('STERLING CATALOG - FZN &amp; CHILL'!A2411,"AAAAAF/bV1g=")</f>
        <v>#VALUE!</v>
      </c>
      <c r="CL348" t="e">
        <f>AND('STERLING CATALOG - FZN &amp; CHILL'!B2411,"AAAAAF/bV1k=")</f>
        <v>#VALUE!</v>
      </c>
      <c r="CM348" t="e">
        <f>AND('STERLING CATALOG - FZN &amp; CHILL'!C2411,"AAAAAF/bV1o=")</f>
        <v>#VALUE!</v>
      </c>
      <c r="CN348" t="e">
        <f>AND('STERLING CATALOG - FZN &amp; CHILL'!D2411,"AAAAAF/bV1s=")</f>
        <v>#VALUE!</v>
      </c>
      <c r="CO348" t="e">
        <f>AND('STERLING CATALOG - FZN &amp; CHILL'!E2411,"AAAAAF/bV1w=")</f>
        <v>#VALUE!</v>
      </c>
      <c r="CP348" t="e">
        <f>AND('STERLING CATALOG - FZN &amp; CHILL'!F2411,"AAAAAF/bV10=")</f>
        <v>#VALUE!</v>
      </c>
      <c r="CQ348" t="e">
        <f>AND('STERLING CATALOG - FZN &amp; CHILL'!G2411,"AAAAAF/bV14=")</f>
        <v>#VALUE!</v>
      </c>
      <c r="CR348" t="e">
        <f>AND('STERLING CATALOG - FZN &amp; CHILL'!H2411,"AAAAAF/bV18=")</f>
        <v>#VALUE!</v>
      </c>
      <c r="CS348" t="e">
        <f>AND('STERLING CATALOG - FZN &amp; CHILL'!I2411,"AAAAAF/bV2A=")</f>
        <v>#VALUE!</v>
      </c>
      <c r="CT348" t="e">
        <f>AND('STERLING CATALOG - FZN &amp; CHILL'!J2411,"AAAAAF/bV2E=")</f>
        <v>#VALUE!</v>
      </c>
      <c r="CU348">
        <f>IF('STERLING CATALOG - FZN &amp; CHILL'!2412:2412,"AAAAAF/bV2I=",0)</f>
        <v>0</v>
      </c>
      <c r="CV348" t="e">
        <f>AND('STERLING CATALOG - FZN &amp; CHILL'!A2412,"AAAAAF/bV2M=")</f>
        <v>#VALUE!</v>
      </c>
      <c r="CW348" t="e">
        <f>AND('STERLING CATALOG - FZN &amp; CHILL'!B2412,"AAAAAF/bV2Q=")</f>
        <v>#VALUE!</v>
      </c>
      <c r="CX348" t="e">
        <f>AND('STERLING CATALOG - FZN &amp; CHILL'!C2412,"AAAAAF/bV2U=")</f>
        <v>#VALUE!</v>
      </c>
      <c r="CY348" t="e">
        <f>AND('STERLING CATALOG - FZN &amp; CHILL'!D2412,"AAAAAF/bV2Y=")</f>
        <v>#VALUE!</v>
      </c>
      <c r="CZ348" t="e">
        <f>AND('STERLING CATALOG - FZN &amp; CHILL'!E2412,"AAAAAF/bV2c=")</f>
        <v>#VALUE!</v>
      </c>
      <c r="DA348" t="e">
        <f>AND('STERLING CATALOG - FZN &amp; CHILL'!F2412,"AAAAAF/bV2g=")</f>
        <v>#VALUE!</v>
      </c>
      <c r="DB348" t="e">
        <f>AND('STERLING CATALOG - FZN &amp; CHILL'!G2412,"AAAAAF/bV2k=")</f>
        <v>#VALUE!</v>
      </c>
      <c r="DC348" t="e">
        <f>AND('STERLING CATALOG - FZN &amp; CHILL'!H2412,"AAAAAF/bV2o=")</f>
        <v>#VALUE!</v>
      </c>
      <c r="DD348" t="e">
        <f>AND('STERLING CATALOG - FZN &amp; CHILL'!I2412,"AAAAAF/bV2s=")</f>
        <v>#VALUE!</v>
      </c>
      <c r="DE348" t="e">
        <f>AND('STERLING CATALOG - FZN &amp; CHILL'!J2412,"AAAAAF/bV2w=")</f>
        <v>#VALUE!</v>
      </c>
      <c r="DF348">
        <f>IF('STERLING CATALOG - FZN &amp; CHILL'!2413:2413,"AAAAAF/bV20=",0)</f>
        <v>0</v>
      </c>
      <c r="DG348" t="e">
        <f>AND('STERLING CATALOG - FZN &amp; CHILL'!A2413,"AAAAAF/bV24=")</f>
        <v>#VALUE!</v>
      </c>
      <c r="DH348" t="e">
        <f>AND('STERLING CATALOG - FZN &amp; CHILL'!B2413,"AAAAAF/bV28=")</f>
        <v>#VALUE!</v>
      </c>
      <c r="DI348" t="e">
        <f>AND('STERLING CATALOG - FZN &amp; CHILL'!C2413,"AAAAAF/bV3A=")</f>
        <v>#VALUE!</v>
      </c>
      <c r="DJ348" t="e">
        <f>AND('STERLING CATALOG - FZN &amp; CHILL'!D2413,"AAAAAF/bV3E=")</f>
        <v>#VALUE!</v>
      </c>
      <c r="DK348" t="e">
        <f>AND('STERLING CATALOG - FZN &amp; CHILL'!E2413,"AAAAAF/bV3I=")</f>
        <v>#VALUE!</v>
      </c>
      <c r="DL348" t="e">
        <f>AND('STERLING CATALOG - FZN &amp; CHILL'!F2413,"AAAAAF/bV3M=")</f>
        <v>#VALUE!</v>
      </c>
      <c r="DM348" t="e">
        <f>AND('STERLING CATALOG - FZN &amp; CHILL'!G2413,"AAAAAF/bV3Q=")</f>
        <v>#VALUE!</v>
      </c>
      <c r="DN348" t="e">
        <f>AND('STERLING CATALOG - FZN &amp; CHILL'!H2413,"AAAAAF/bV3U=")</f>
        <v>#VALUE!</v>
      </c>
      <c r="DO348" t="e">
        <f>AND('STERLING CATALOG - FZN &amp; CHILL'!I2413,"AAAAAF/bV3Y=")</f>
        <v>#VALUE!</v>
      </c>
      <c r="DP348" t="e">
        <f>AND('STERLING CATALOG - FZN &amp; CHILL'!J2413,"AAAAAF/bV3c=")</f>
        <v>#VALUE!</v>
      </c>
      <c r="DQ348">
        <f>IF('STERLING CATALOG - FZN &amp; CHILL'!2414:2414,"AAAAAF/bV3g=",0)</f>
        <v>0</v>
      </c>
      <c r="DR348" t="e">
        <f>AND('STERLING CATALOG - FZN &amp; CHILL'!A2414,"AAAAAF/bV3k=")</f>
        <v>#VALUE!</v>
      </c>
      <c r="DS348" t="e">
        <f>AND('STERLING CATALOG - FZN &amp; CHILL'!B2414,"AAAAAF/bV3o=")</f>
        <v>#VALUE!</v>
      </c>
      <c r="DT348" t="e">
        <f>AND('STERLING CATALOG - FZN &amp; CHILL'!C2414,"AAAAAF/bV3s=")</f>
        <v>#VALUE!</v>
      </c>
      <c r="DU348" t="e">
        <f>AND('STERLING CATALOG - FZN &amp; CHILL'!D2414,"AAAAAF/bV3w=")</f>
        <v>#VALUE!</v>
      </c>
      <c r="DV348" t="e">
        <f>AND('STERLING CATALOG - FZN &amp; CHILL'!E2414,"AAAAAF/bV30=")</f>
        <v>#VALUE!</v>
      </c>
      <c r="DW348" t="e">
        <f>AND('STERLING CATALOG - FZN &amp; CHILL'!F2414,"AAAAAF/bV34=")</f>
        <v>#VALUE!</v>
      </c>
      <c r="DX348" t="e">
        <f>AND('STERLING CATALOG - FZN &amp; CHILL'!G2414,"AAAAAF/bV38=")</f>
        <v>#VALUE!</v>
      </c>
      <c r="DY348" t="e">
        <f>AND('STERLING CATALOG - FZN &amp; CHILL'!H2414,"AAAAAF/bV4A=")</f>
        <v>#VALUE!</v>
      </c>
      <c r="DZ348" t="e">
        <f>AND('STERLING CATALOG - FZN &amp; CHILL'!I2414,"AAAAAF/bV4E=")</f>
        <v>#VALUE!</v>
      </c>
      <c r="EA348" t="e">
        <f>AND('STERLING CATALOG - FZN &amp; CHILL'!J2414,"AAAAAF/bV4I=")</f>
        <v>#VALUE!</v>
      </c>
      <c r="EB348">
        <f>IF('STERLING CATALOG - FZN &amp; CHILL'!2415:2415,"AAAAAF/bV4M=",0)</f>
        <v>0</v>
      </c>
      <c r="EC348" t="e">
        <f>AND('STERLING CATALOG - FZN &amp; CHILL'!A2415,"AAAAAF/bV4Q=")</f>
        <v>#VALUE!</v>
      </c>
      <c r="ED348" t="e">
        <f>AND('STERLING CATALOG - FZN &amp; CHILL'!B2415,"AAAAAF/bV4U=")</f>
        <v>#VALUE!</v>
      </c>
      <c r="EE348" t="e">
        <f>AND('STERLING CATALOG - FZN &amp; CHILL'!C2415,"AAAAAF/bV4Y=")</f>
        <v>#VALUE!</v>
      </c>
      <c r="EF348" t="e">
        <f>AND('STERLING CATALOG - FZN &amp; CHILL'!D2415,"AAAAAF/bV4c=")</f>
        <v>#VALUE!</v>
      </c>
      <c r="EG348" t="e">
        <f>AND('STERLING CATALOG - FZN &amp; CHILL'!E2415,"AAAAAF/bV4g=")</f>
        <v>#VALUE!</v>
      </c>
      <c r="EH348" t="e">
        <f>AND('STERLING CATALOG - FZN &amp; CHILL'!F2415,"AAAAAF/bV4k=")</f>
        <v>#VALUE!</v>
      </c>
      <c r="EI348" t="e">
        <f>AND('STERLING CATALOG - FZN &amp; CHILL'!G2415,"AAAAAF/bV4o=")</f>
        <v>#VALUE!</v>
      </c>
      <c r="EJ348" t="e">
        <f>AND('STERLING CATALOG - FZN &amp; CHILL'!H2415,"AAAAAF/bV4s=")</f>
        <v>#VALUE!</v>
      </c>
      <c r="EK348" t="e">
        <f>AND('STERLING CATALOG - FZN &amp; CHILL'!I2415,"AAAAAF/bV4w=")</f>
        <v>#VALUE!</v>
      </c>
      <c r="EL348" t="e">
        <f>AND('STERLING CATALOG - FZN &amp; CHILL'!J2415,"AAAAAF/bV40=")</f>
        <v>#VALUE!</v>
      </c>
      <c r="EM348">
        <f>IF('STERLING CATALOG - FZN &amp; CHILL'!2416:2416,"AAAAAF/bV44=",0)</f>
        <v>0</v>
      </c>
      <c r="EN348" t="e">
        <f>AND('STERLING CATALOG - FZN &amp; CHILL'!A2416,"AAAAAF/bV48=")</f>
        <v>#VALUE!</v>
      </c>
      <c r="EO348" t="e">
        <f>AND('STERLING CATALOG - FZN &amp; CHILL'!B2416,"AAAAAF/bV5A=")</f>
        <v>#VALUE!</v>
      </c>
      <c r="EP348" t="e">
        <f>AND('STERLING CATALOG - FZN &amp; CHILL'!C2416,"AAAAAF/bV5E=")</f>
        <v>#VALUE!</v>
      </c>
      <c r="EQ348" t="e">
        <f>AND('STERLING CATALOG - FZN &amp; CHILL'!D2416,"AAAAAF/bV5I=")</f>
        <v>#VALUE!</v>
      </c>
      <c r="ER348" t="e">
        <f>AND('STERLING CATALOG - FZN &amp; CHILL'!E2416,"AAAAAF/bV5M=")</f>
        <v>#VALUE!</v>
      </c>
      <c r="ES348" t="e">
        <f>AND('STERLING CATALOG - FZN &amp; CHILL'!F2416,"AAAAAF/bV5Q=")</f>
        <v>#VALUE!</v>
      </c>
      <c r="ET348" t="e">
        <f>AND('STERLING CATALOG - FZN &amp; CHILL'!G2416,"AAAAAF/bV5U=")</f>
        <v>#VALUE!</v>
      </c>
      <c r="EU348" t="e">
        <f>AND('STERLING CATALOG - FZN &amp; CHILL'!H2416,"AAAAAF/bV5Y=")</f>
        <v>#VALUE!</v>
      </c>
      <c r="EV348" t="e">
        <f>AND('STERLING CATALOG - FZN &amp; CHILL'!I2416,"AAAAAF/bV5c=")</f>
        <v>#VALUE!</v>
      </c>
      <c r="EW348" t="e">
        <f>AND('STERLING CATALOG - FZN &amp; CHILL'!J2416,"AAAAAF/bV5g=")</f>
        <v>#VALUE!</v>
      </c>
      <c r="EX348">
        <f>IF('STERLING CATALOG - FZN &amp; CHILL'!2417:2417,"AAAAAF/bV5k=",0)</f>
        <v>0</v>
      </c>
      <c r="EY348" t="e">
        <f>AND('STERLING CATALOG - FZN &amp; CHILL'!A2417,"AAAAAF/bV5o=")</f>
        <v>#VALUE!</v>
      </c>
      <c r="EZ348" t="e">
        <f>AND('STERLING CATALOG - FZN &amp; CHILL'!B2417,"AAAAAF/bV5s=")</f>
        <v>#VALUE!</v>
      </c>
      <c r="FA348" t="e">
        <f>AND('STERLING CATALOG - FZN &amp; CHILL'!C2417,"AAAAAF/bV5w=")</f>
        <v>#VALUE!</v>
      </c>
      <c r="FB348" t="e">
        <f>AND('STERLING CATALOG - FZN &amp; CHILL'!D2417,"AAAAAF/bV50=")</f>
        <v>#VALUE!</v>
      </c>
      <c r="FC348" t="e">
        <f>AND('STERLING CATALOG - FZN &amp; CHILL'!E2417,"AAAAAF/bV54=")</f>
        <v>#VALUE!</v>
      </c>
      <c r="FD348" t="e">
        <f>AND('STERLING CATALOG - FZN &amp; CHILL'!F2417,"AAAAAF/bV58=")</f>
        <v>#VALUE!</v>
      </c>
      <c r="FE348" t="e">
        <f>AND('STERLING CATALOG - FZN &amp; CHILL'!G2417,"AAAAAF/bV6A=")</f>
        <v>#VALUE!</v>
      </c>
      <c r="FF348" t="e">
        <f>AND('STERLING CATALOG - FZN &amp; CHILL'!H2417,"AAAAAF/bV6E=")</f>
        <v>#VALUE!</v>
      </c>
      <c r="FG348" t="e">
        <f>AND('STERLING CATALOG - FZN &amp; CHILL'!I2417,"AAAAAF/bV6I=")</f>
        <v>#VALUE!</v>
      </c>
      <c r="FH348" t="e">
        <f>AND('STERLING CATALOG - FZN &amp; CHILL'!J2417,"AAAAAF/bV6M=")</f>
        <v>#VALUE!</v>
      </c>
      <c r="FI348">
        <f>IF('STERLING CATALOG - FZN &amp; CHILL'!2418:2418,"AAAAAF/bV6Q=",0)</f>
        <v>0</v>
      </c>
      <c r="FJ348" t="e">
        <f>AND('STERLING CATALOG - FZN &amp; CHILL'!A2418,"AAAAAF/bV6U=")</f>
        <v>#VALUE!</v>
      </c>
      <c r="FK348" t="e">
        <f>AND('STERLING CATALOG - FZN &amp; CHILL'!B2418,"AAAAAF/bV6Y=")</f>
        <v>#VALUE!</v>
      </c>
      <c r="FL348" t="e">
        <f>AND('STERLING CATALOG - FZN &amp; CHILL'!C2418,"AAAAAF/bV6c=")</f>
        <v>#VALUE!</v>
      </c>
      <c r="FM348" t="e">
        <f>AND('STERLING CATALOG - FZN &amp; CHILL'!D2418,"AAAAAF/bV6g=")</f>
        <v>#VALUE!</v>
      </c>
      <c r="FN348" t="e">
        <f>AND('STERLING CATALOG - FZN &amp; CHILL'!E2418,"AAAAAF/bV6k=")</f>
        <v>#VALUE!</v>
      </c>
      <c r="FO348" t="e">
        <f>AND('STERLING CATALOG - FZN &amp; CHILL'!F2418,"AAAAAF/bV6o=")</f>
        <v>#VALUE!</v>
      </c>
      <c r="FP348" t="e">
        <f>AND('STERLING CATALOG - FZN &amp; CHILL'!G2418,"AAAAAF/bV6s=")</f>
        <v>#VALUE!</v>
      </c>
      <c r="FQ348" t="e">
        <f>AND('STERLING CATALOG - FZN &amp; CHILL'!H2418,"AAAAAF/bV6w=")</f>
        <v>#VALUE!</v>
      </c>
      <c r="FR348" t="e">
        <f>AND('STERLING CATALOG - FZN &amp; CHILL'!I2418,"AAAAAF/bV60=")</f>
        <v>#VALUE!</v>
      </c>
      <c r="FS348" t="e">
        <f>AND('STERLING CATALOG - FZN &amp; CHILL'!J2418,"AAAAAF/bV64=")</f>
        <v>#VALUE!</v>
      </c>
      <c r="FT348">
        <f>IF('STERLING CATALOG - FZN &amp; CHILL'!2419:2419,"AAAAAF/bV68=",0)</f>
        <v>0</v>
      </c>
      <c r="FU348" t="e">
        <f>AND('STERLING CATALOG - FZN &amp; CHILL'!A2419,"AAAAAF/bV7A=")</f>
        <v>#VALUE!</v>
      </c>
      <c r="FV348" t="e">
        <f>AND('STERLING CATALOG - FZN &amp; CHILL'!B2419,"AAAAAF/bV7E=")</f>
        <v>#VALUE!</v>
      </c>
      <c r="FW348" t="e">
        <f>AND('STERLING CATALOG - FZN &amp; CHILL'!C2419,"AAAAAF/bV7I=")</f>
        <v>#VALUE!</v>
      </c>
      <c r="FX348" t="e">
        <f>AND('STERLING CATALOG - FZN &amp; CHILL'!D2419,"AAAAAF/bV7M=")</f>
        <v>#VALUE!</v>
      </c>
      <c r="FY348" t="e">
        <f>AND('STERLING CATALOG - FZN &amp; CHILL'!E2419,"AAAAAF/bV7Q=")</f>
        <v>#VALUE!</v>
      </c>
      <c r="FZ348" t="e">
        <f>AND('STERLING CATALOG - FZN &amp; CHILL'!F2419,"AAAAAF/bV7U=")</f>
        <v>#VALUE!</v>
      </c>
      <c r="GA348" t="e">
        <f>AND('STERLING CATALOG - FZN &amp; CHILL'!G2419,"AAAAAF/bV7Y=")</f>
        <v>#VALUE!</v>
      </c>
      <c r="GB348" t="e">
        <f>AND('STERLING CATALOG - FZN &amp; CHILL'!H2419,"AAAAAF/bV7c=")</f>
        <v>#VALUE!</v>
      </c>
      <c r="GC348" t="e">
        <f>AND('STERLING CATALOG - FZN &amp; CHILL'!I2419,"AAAAAF/bV7g=")</f>
        <v>#VALUE!</v>
      </c>
      <c r="GD348" t="e">
        <f>AND('STERLING CATALOG - FZN &amp; CHILL'!J2419,"AAAAAF/bV7k=")</f>
        <v>#VALUE!</v>
      </c>
      <c r="GE348">
        <f>IF('STERLING CATALOG - FZN &amp; CHILL'!2420:2420,"AAAAAF/bV7o=",0)</f>
        <v>0</v>
      </c>
      <c r="GF348" t="e">
        <f>AND('STERLING CATALOG - FZN &amp; CHILL'!A2420,"AAAAAF/bV7s=")</f>
        <v>#VALUE!</v>
      </c>
      <c r="GG348" t="e">
        <f>AND('STERLING CATALOG - FZN &amp; CHILL'!B2420,"AAAAAF/bV7w=")</f>
        <v>#VALUE!</v>
      </c>
      <c r="GH348" t="e">
        <f>AND('STERLING CATALOG - FZN &amp; CHILL'!C2420,"AAAAAF/bV70=")</f>
        <v>#VALUE!</v>
      </c>
      <c r="GI348" t="e">
        <f>AND('STERLING CATALOG - FZN &amp; CHILL'!D2420,"AAAAAF/bV74=")</f>
        <v>#VALUE!</v>
      </c>
      <c r="GJ348" t="e">
        <f>AND('STERLING CATALOG - FZN &amp; CHILL'!E2420,"AAAAAF/bV78=")</f>
        <v>#VALUE!</v>
      </c>
      <c r="GK348" t="e">
        <f>AND('STERLING CATALOG - FZN &amp; CHILL'!F2420,"AAAAAF/bV8A=")</f>
        <v>#VALUE!</v>
      </c>
      <c r="GL348" t="e">
        <f>AND('STERLING CATALOG - FZN &amp; CHILL'!G2420,"AAAAAF/bV8E=")</f>
        <v>#VALUE!</v>
      </c>
      <c r="GM348" t="e">
        <f>AND('STERLING CATALOG - FZN &amp; CHILL'!H2420,"AAAAAF/bV8I=")</f>
        <v>#VALUE!</v>
      </c>
      <c r="GN348" t="e">
        <f>AND('STERLING CATALOG - FZN &amp; CHILL'!I2420,"AAAAAF/bV8M=")</f>
        <v>#VALUE!</v>
      </c>
      <c r="GO348" t="e">
        <f>AND('STERLING CATALOG - FZN &amp; CHILL'!J2420,"AAAAAF/bV8Q=")</f>
        <v>#VALUE!</v>
      </c>
      <c r="GP348">
        <f>IF('STERLING CATALOG - FZN &amp; CHILL'!2421:2421,"AAAAAF/bV8U=",0)</f>
        <v>0</v>
      </c>
      <c r="GQ348" t="e">
        <f>AND('STERLING CATALOG - FZN &amp; CHILL'!A2421,"AAAAAF/bV8Y=")</f>
        <v>#VALUE!</v>
      </c>
      <c r="GR348" t="e">
        <f>AND('STERLING CATALOG - FZN &amp; CHILL'!B2421,"AAAAAF/bV8c=")</f>
        <v>#VALUE!</v>
      </c>
      <c r="GS348" t="e">
        <f>AND('STERLING CATALOG - FZN &amp; CHILL'!C2421,"AAAAAF/bV8g=")</f>
        <v>#VALUE!</v>
      </c>
      <c r="GT348" t="e">
        <f>AND('STERLING CATALOG - FZN &amp; CHILL'!D2421,"AAAAAF/bV8k=")</f>
        <v>#VALUE!</v>
      </c>
      <c r="GU348" t="e">
        <f>AND('STERLING CATALOG - FZN &amp; CHILL'!E2421,"AAAAAF/bV8o=")</f>
        <v>#VALUE!</v>
      </c>
      <c r="GV348" t="e">
        <f>AND('STERLING CATALOG - FZN &amp; CHILL'!F2421,"AAAAAF/bV8s=")</f>
        <v>#VALUE!</v>
      </c>
      <c r="GW348" t="e">
        <f>AND('STERLING CATALOG - FZN &amp; CHILL'!G2421,"AAAAAF/bV8w=")</f>
        <v>#VALUE!</v>
      </c>
      <c r="GX348" t="e">
        <f>AND('STERLING CATALOG - FZN &amp; CHILL'!H2421,"AAAAAF/bV80=")</f>
        <v>#VALUE!</v>
      </c>
      <c r="GY348" t="e">
        <f>AND('STERLING CATALOG - FZN &amp; CHILL'!I2421,"AAAAAF/bV84=")</f>
        <v>#VALUE!</v>
      </c>
      <c r="GZ348" t="e">
        <f>AND('STERLING CATALOG - FZN &amp; CHILL'!J2421,"AAAAAF/bV88=")</f>
        <v>#VALUE!</v>
      </c>
      <c r="HA348">
        <f>IF('STERLING CATALOG - FZN &amp; CHILL'!2422:2422,"AAAAAF/bV9A=",0)</f>
        <v>0</v>
      </c>
      <c r="HB348" t="e">
        <f>AND('STERLING CATALOG - FZN &amp; CHILL'!A2422,"AAAAAF/bV9E=")</f>
        <v>#VALUE!</v>
      </c>
      <c r="HC348" t="e">
        <f>AND('STERLING CATALOG - FZN &amp; CHILL'!B2422,"AAAAAF/bV9I=")</f>
        <v>#VALUE!</v>
      </c>
      <c r="HD348" t="e">
        <f>AND('STERLING CATALOG - FZN &amp; CHILL'!C2422,"AAAAAF/bV9M=")</f>
        <v>#VALUE!</v>
      </c>
      <c r="HE348" t="e">
        <f>AND('STERLING CATALOG - FZN &amp; CHILL'!D2422,"AAAAAF/bV9Q=")</f>
        <v>#VALUE!</v>
      </c>
      <c r="HF348" t="e">
        <f>AND('STERLING CATALOG - FZN &amp; CHILL'!E2422,"AAAAAF/bV9U=")</f>
        <v>#VALUE!</v>
      </c>
      <c r="HG348" t="e">
        <f>AND('STERLING CATALOG - FZN &amp; CHILL'!F2422,"AAAAAF/bV9Y=")</f>
        <v>#VALUE!</v>
      </c>
      <c r="HH348" t="e">
        <f>AND('STERLING CATALOG - FZN &amp; CHILL'!G2422,"AAAAAF/bV9c=")</f>
        <v>#VALUE!</v>
      </c>
      <c r="HI348" t="e">
        <f>AND('STERLING CATALOG - FZN &amp; CHILL'!H2422,"AAAAAF/bV9g=")</f>
        <v>#VALUE!</v>
      </c>
      <c r="HJ348" t="e">
        <f>AND('STERLING CATALOG - FZN &amp; CHILL'!I2422,"AAAAAF/bV9k=")</f>
        <v>#VALUE!</v>
      </c>
      <c r="HK348" t="e">
        <f>AND('STERLING CATALOG - FZN &amp; CHILL'!J2422,"AAAAAF/bV9o=")</f>
        <v>#VALUE!</v>
      </c>
      <c r="HL348">
        <f>IF('STERLING CATALOG - FZN &amp; CHILL'!2423:2423,"AAAAAF/bV9s=",0)</f>
        <v>0</v>
      </c>
      <c r="HM348" t="e">
        <f>AND('STERLING CATALOG - FZN &amp; CHILL'!A2423,"AAAAAF/bV9w=")</f>
        <v>#VALUE!</v>
      </c>
      <c r="HN348" t="e">
        <f>AND('STERLING CATALOG - FZN &amp; CHILL'!B2423,"AAAAAF/bV90=")</f>
        <v>#VALUE!</v>
      </c>
      <c r="HO348" t="e">
        <f>AND('STERLING CATALOG - FZN &amp; CHILL'!C2423,"AAAAAF/bV94=")</f>
        <v>#VALUE!</v>
      </c>
      <c r="HP348" t="e">
        <f>AND('STERLING CATALOG - FZN &amp; CHILL'!D2423,"AAAAAF/bV98=")</f>
        <v>#VALUE!</v>
      </c>
      <c r="HQ348" t="e">
        <f>AND('STERLING CATALOG - FZN &amp; CHILL'!E2423,"AAAAAF/bV+A=")</f>
        <v>#VALUE!</v>
      </c>
      <c r="HR348" t="e">
        <f>AND('STERLING CATALOG - FZN &amp; CHILL'!F2423,"AAAAAF/bV+E=")</f>
        <v>#VALUE!</v>
      </c>
      <c r="HS348" t="e">
        <f>AND('STERLING CATALOG - FZN &amp; CHILL'!G2423,"AAAAAF/bV+I=")</f>
        <v>#VALUE!</v>
      </c>
      <c r="HT348" t="e">
        <f>AND('STERLING CATALOG - FZN &amp; CHILL'!H2423,"AAAAAF/bV+M=")</f>
        <v>#VALUE!</v>
      </c>
      <c r="HU348" t="e">
        <f>AND('STERLING CATALOG - FZN &amp; CHILL'!I2423,"AAAAAF/bV+Q=")</f>
        <v>#VALUE!</v>
      </c>
      <c r="HV348" t="e">
        <f>AND('STERLING CATALOG - FZN &amp; CHILL'!J2423,"AAAAAF/bV+U=")</f>
        <v>#VALUE!</v>
      </c>
      <c r="HW348">
        <f>IF('STERLING CATALOG - FZN &amp; CHILL'!2424:2424,"AAAAAF/bV+Y=",0)</f>
        <v>0</v>
      </c>
      <c r="HX348" t="e">
        <f>AND('STERLING CATALOG - FZN &amp; CHILL'!A2424,"AAAAAF/bV+c=")</f>
        <v>#VALUE!</v>
      </c>
      <c r="HY348" t="e">
        <f>AND('STERLING CATALOG - FZN &amp; CHILL'!B2424,"AAAAAF/bV+g=")</f>
        <v>#VALUE!</v>
      </c>
      <c r="HZ348" t="e">
        <f>AND('STERLING CATALOG - FZN &amp; CHILL'!C2424,"AAAAAF/bV+k=")</f>
        <v>#VALUE!</v>
      </c>
      <c r="IA348" t="e">
        <f>AND('STERLING CATALOG - FZN &amp; CHILL'!D2424,"AAAAAF/bV+o=")</f>
        <v>#VALUE!</v>
      </c>
      <c r="IB348" t="e">
        <f>AND('STERLING CATALOG - FZN &amp; CHILL'!E2424,"AAAAAF/bV+s=")</f>
        <v>#VALUE!</v>
      </c>
      <c r="IC348" t="e">
        <f>AND('STERLING CATALOG - FZN &amp; CHILL'!F2424,"AAAAAF/bV+w=")</f>
        <v>#VALUE!</v>
      </c>
      <c r="ID348" t="e">
        <f>AND('STERLING CATALOG - FZN &amp; CHILL'!G2424,"AAAAAF/bV+0=")</f>
        <v>#VALUE!</v>
      </c>
      <c r="IE348" t="e">
        <f>AND('STERLING CATALOG - FZN &amp; CHILL'!H2424,"AAAAAF/bV+4=")</f>
        <v>#VALUE!</v>
      </c>
      <c r="IF348" t="e">
        <f>AND('STERLING CATALOG - FZN &amp; CHILL'!I2424,"AAAAAF/bV+8=")</f>
        <v>#VALUE!</v>
      </c>
      <c r="IG348" t="e">
        <f>AND('STERLING CATALOG - FZN &amp; CHILL'!J2424,"AAAAAF/bV/A=")</f>
        <v>#VALUE!</v>
      </c>
      <c r="IH348">
        <f>IF('STERLING CATALOG - FZN &amp; CHILL'!2425:2425,"AAAAAF/bV/E=",0)</f>
        <v>0</v>
      </c>
      <c r="II348" t="e">
        <f>AND('STERLING CATALOG - FZN &amp; CHILL'!A2425,"AAAAAF/bV/I=")</f>
        <v>#VALUE!</v>
      </c>
      <c r="IJ348" t="e">
        <f>AND('STERLING CATALOG - FZN &amp; CHILL'!B2425,"AAAAAF/bV/M=")</f>
        <v>#VALUE!</v>
      </c>
      <c r="IK348" t="e">
        <f>AND('STERLING CATALOG - FZN &amp; CHILL'!C2425,"AAAAAF/bV/Q=")</f>
        <v>#VALUE!</v>
      </c>
      <c r="IL348" t="e">
        <f>AND('STERLING CATALOG - FZN &amp; CHILL'!D2425,"AAAAAF/bV/U=")</f>
        <v>#VALUE!</v>
      </c>
      <c r="IM348" t="e">
        <f>AND('STERLING CATALOG - FZN &amp; CHILL'!E2425,"AAAAAF/bV/Y=")</f>
        <v>#VALUE!</v>
      </c>
      <c r="IN348" t="e">
        <f>AND('STERLING CATALOG - FZN &amp; CHILL'!F2425,"AAAAAF/bV/c=")</f>
        <v>#VALUE!</v>
      </c>
      <c r="IO348" t="e">
        <f>AND('STERLING CATALOG - FZN &amp; CHILL'!G2425,"AAAAAF/bV/g=")</f>
        <v>#VALUE!</v>
      </c>
      <c r="IP348" t="e">
        <f>AND('STERLING CATALOG - FZN &amp; CHILL'!H2425,"AAAAAF/bV/k=")</f>
        <v>#VALUE!</v>
      </c>
      <c r="IQ348" t="e">
        <f>AND('STERLING CATALOG - FZN &amp; CHILL'!I2425,"AAAAAF/bV/o=")</f>
        <v>#VALUE!</v>
      </c>
      <c r="IR348" t="e">
        <f>AND('STERLING CATALOG - FZN &amp; CHILL'!J2425,"AAAAAF/bV/s=")</f>
        <v>#VALUE!</v>
      </c>
      <c r="IS348">
        <f>IF('STERLING CATALOG - FZN &amp; CHILL'!2426:2426,"AAAAAF/bV/w=",0)</f>
        <v>0</v>
      </c>
      <c r="IT348" t="e">
        <f>AND('STERLING CATALOG - FZN &amp; CHILL'!A2426,"AAAAAF/bV/0=")</f>
        <v>#VALUE!</v>
      </c>
      <c r="IU348" t="e">
        <f>AND('STERLING CATALOG - FZN &amp; CHILL'!B2426,"AAAAAF/bV/4=")</f>
        <v>#VALUE!</v>
      </c>
      <c r="IV348" t="e">
        <f>AND('STERLING CATALOG - FZN &amp; CHILL'!C2426,"AAAAAF/bV/8=")</f>
        <v>#VALUE!</v>
      </c>
    </row>
    <row r="349" spans="1:256">
      <c r="A349" t="e">
        <f>AND('STERLING CATALOG - FZN &amp; CHILL'!D2426,"AAAAAFhfnwA=")</f>
        <v>#VALUE!</v>
      </c>
      <c r="B349" t="e">
        <f>AND('STERLING CATALOG - FZN &amp; CHILL'!E2426,"AAAAAFhfnwE=")</f>
        <v>#VALUE!</v>
      </c>
      <c r="C349" t="e">
        <f>AND('STERLING CATALOG - FZN &amp; CHILL'!F2426,"AAAAAFhfnwI=")</f>
        <v>#VALUE!</v>
      </c>
      <c r="D349" t="e">
        <f>AND('STERLING CATALOG - FZN &amp; CHILL'!G2426,"AAAAAFhfnwM=")</f>
        <v>#VALUE!</v>
      </c>
      <c r="E349" t="e">
        <f>AND('STERLING CATALOG - FZN &amp; CHILL'!H2426,"AAAAAFhfnwQ=")</f>
        <v>#VALUE!</v>
      </c>
      <c r="F349" t="e">
        <f>AND('STERLING CATALOG - FZN &amp; CHILL'!I2426,"AAAAAFhfnwU=")</f>
        <v>#VALUE!</v>
      </c>
      <c r="G349" t="e">
        <f>AND('STERLING CATALOG - FZN &amp; CHILL'!J2426,"AAAAAFhfnwY=")</f>
        <v>#VALUE!</v>
      </c>
      <c r="H349" t="str">
        <f>IF('STERLING CATALOG - FZN &amp; CHILL'!2427:2427,"AAAAAFhfnwc=",0)</f>
        <v>AAAAAFhfnwc=</v>
      </c>
      <c r="I349" t="e">
        <f>AND('STERLING CATALOG - FZN &amp; CHILL'!A2427,"AAAAAFhfnwg=")</f>
        <v>#VALUE!</v>
      </c>
      <c r="J349" t="e">
        <f>AND('STERLING CATALOG - FZN &amp; CHILL'!B2427,"AAAAAFhfnwk=")</f>
        <v>#VALUE!</v>
      </c>
      <c r="K349" t="e">
        <f>AND('STERLING CATALOG - FZN &amp; CHILL'!C2427,"AAAAAFhfnwo=")</f>
        <v>#VALUE!</v>
      </c>
      <c r="L349" t="e">
        <f>AND('STERLING CATALOG - FZN &amp; CHILL'!D2427,"AAAAAFhfnws=")</f>
        <v>#VALUE!</v>
      </c>
      <c r="M349" t="e">
        <f>AND('STERLING CATALOG - FZN &amp; CHILL'!E2427,"AAAAAFhfnww=")</f>
        <v>#VALUE!</v>
      </c>
      <c r="N349" t="e">
        <f>AND('STERLING CATALOG - FZN &amp; CHILL'!F2427,"AAAAAFhfnw0=")</f>
        <v>#VALUE!</v>
      </c>
      <c r="O349" t="e">
        <f>AND('STERLING CATALOG - FZN &amp; CHILL'!G2427,"AAAAAFhfnw4=")</f>
        <v>#VALUE!</v>
      </c>
      <c r="P349" t="e">
        <f>AND('STERLING CATALOG - FZN &amp; CHILL'!H2427,"AAAAAFhfnw8=")</f>
        <v>#VALUE!</v>
      </c>
      <c r="Q349" t="e">
        <f>AND('STERLING CATALOG - FZN &amp; CHILL'!I2427,"AAAAAFhfnxA=")</f>
        <v>#VALUE!</v>
      </c>
      <c r="R349" t="e">
        <f>AND('STERLING CATALOG - FZN &amp; CHILL'!J2427,"AAAAAFhfnxE=")</f>
        <v>#VALUE!</v>
      </c>
      <c r="S349">
        <f>IF('STERLING CATALOG - FZN &amp; CHILL'!2428:2428,"AAAAAFhfnxI=",0)</f>
        <v>0</v>
      </c>
      <c r="T349" t="e">
        <f>AND('STERLING CATALOG - FZN &amp; CHILL'!A2428,"AAAAAFhfnxM=")</f>
        <v>#VALUE!</v>
      </c>
      <c r="U349" t="e">
        <f>AND('STERLING CATALOG - FZN &amp; CHILL'!B2428,"AAAAAFhfnxQ=")</f>
        <v>#VALUE!</v>
      </c>
      <c r="V349" t="e">
        <f>AND('STERLING CATALOG - FZN &amp; CHILL'!C2428,"AAAAAFhfnxU=")</f>
        <v>#VALUE!</v>
      </c>
      <c r="W349" t="e">
        <f>AND('STERLING CATALOG - FZN &amp; CHILL'!D2428,"AAAAAFhfnxY=")</f>
        <v>#VALUE!</v>
      </c>
      <c r="X349" t="e">
        <f>AND('STERLING CATALOG - FZN &amp; CHILL'!E2428,"AAAAAFhfnxc=")</f>
        <v>#VALUE!</v>
      </c>
      <c r="Y349" t="e">
        <f>AND('STERLING CATALOG - FZN &amp; CHILL'!F2428,"AAAAAFhfnxg=")</f>
        <v>#VALUE!</v>
      </c>
      <c r="Z349" t="e">
        <f>AND('STERLING CATALOG - FZN &amp; CHILL'!G2428,"AAAAAFhfnxk=")</f>
        <v>#VALUE!</v>
      </c>
      <c r="AA349" t="e">
        <f>AND('STERLING CATALOG - FZN &amp; CHILL'!H2428,"AAAAAFhfnxo=")</f>
        <v>#VALUE!</v>
      </c>
      <c r="AB349" t="e">
        <f>AND('STERLING CATALOG - FZN &amp; CHILL'!I2428,"AAAAAFhfnxs=")</f>
        <v>#VALUE!</v>
      </c>
      <c r="AC349" t="e">
        <f>AND('STERLING CATALOG - FZN &amp; CHILL'!J2428,"AAAAAFhfnxw=")</f>
        <v>#VALUE!</v>
      </c>
      <c r="AD349">
        <f>IF('STERLING CATALOG - FZN &amp; CHILL'!2429:2429,"AAAAAFhfnx0=",0)</f>
        <v>0</v>
      </c>
      <c r="AE349" t="e">
        <f>AND('STERLING CATALOG - FZN &amp; CHILL'!A2429,"AAAAAFhfnx4=")</f>
        <v>#VALUE!</v>
      </c>
      <c r="AF349" t="e">
        <f>AND('STERLING CATALOG - FZN &amp; CHILL'!B2429,"AAAAAFhfnx8=")</f>
        <v>#VALUE!</v>
      </c>
      <c r="AG349" t="e">
        <f>AND('STERLING CATALOG - FZN &amp; CHILL'!C2429,"AAAAAFhfnyA=")</f>
        <v>#VALUE!</v>
      </c>
      <c r="AH349" t="e">
        <f>AND('STERLING CATALOG - FZN &amp; CHILL'!D2429,"AAAAAFhfnyE=")</f>
        <v>#VALUE!</v>
      </c>
      <c r="AI349" t="e">
        <f>AND('STERLING CATALOG - FZN &amp; CHILL'!E2429,"AAAAAFhfnyI=")</f>
        <v>#VALUE!</v>
      </c>
      <c r="AJ349" t="e">
        <f>AND('STERLING CATALOG - FZN &amp; CHILL'!F2429,"AAAAAFhfnyM=")</f>
        <v>#VALUE!</v>
      </c>
      <c r="AK349" t="e">
        <f>AND('STERLING CATALOG - FZN &amp; CHILL'!G2429,"AAAAAFhfnyQ=")</f>
        <v>#VALUE!</v>
      </c>
      <c r="AL349" t="e">
        <f>AND('STERLING CATALOG - FZN &amp; CHILL'!H2429,"AAAAAFhfnyU=")</f>
        <v>#VALUE!</v>
      </c>
      <c r="AM349" t="e">
        <f>AND('STERLING CATALOG - FZN &amp; CHILL'!I2429,"AAAAAFhfnyY=")</f>
        <v>#VALUE!</v>
      </c>
      <c r="AN349" t="e">
        <f>AND('STERLING CATALOG - FZN &amp; CHILL'!J2429,"AAAAAFhfnyc=")</f>
        <v>#VALUE!</v>
      </c>
      <c r="AO349">
        <f>IF('STERLING CATALOG - FZN &amp; CHILL'!2430:2430,"AAAAAFhfnyg=",0)</f>
        <v>0</v>
      </c>
      <c r="AP349" t="e">
        <f>AND('STERLING CATALOG - FZN &amp; CHILL'!A2430,"AAAAAFhfnyk=")</f>
        <v>#VALUE!</v>
      </c>
      <c r="AQ349" t="e">
        <f>AND('STERLING CATALOG - FZN &amp; CHILL'!B2430,"AAAAAFhfnyo=")</f>
        <v>#VALUE!</v>
      </c>
      <c r="AR349" t="e">
        <f>AND('STERLING CATALOG - FZN &amp; CHILL'!C2430,"AAAAAFhfnys=")</f>
        <v>#VALUE!</v>
      </c>
      <c r="AS349" t="e">
        <f>AND('STERLING CATALOG - FZN &amp; CHILL'!D2430,"AAAAAFhfnyw=")</f>
        <v>#VALUE!</v>
      </c>
      <c r="AT349" t="e">
        <f>AND('STERLING CATALOG - FZN &amp; CHILL'!E2430,"AAAAAFhfny0=")</f>
        <v>#VALUE!</v>
      </c>
      <c r="AU349" t="e">
        <f>AND('STERLING CATALOG - FZN &amp; CHILL'!F2430,"AAAAAFhfny4=")</f>
        <v>#VALUE!</v>
      </c>
      <c r="AV349" t="e">
        <f>AND('STERLING CATALOG - FZN &amp; CHILL'!G2430,"AAAAAFhfny8=")</f>
        <v>#VALUE!</v>
      </c>
      <c r="AW349" t="e">
        <f>AND('STERLING CATALOG - FZN &amp; CHILL'!H2430,"AAAAAFhfnzA=")</f>
        <v>#VALUE!</v>
      </c>
      <c r="AX349" t="e">
        <f>AND('STERLING CATALOG - FZN &amp; CHILL'!I2430,"AAAAAFhfnzE=")</f>
        <v>#VALUE!</v>
      </c>
      <c r="AY349" t="e">
        <f>AND('STERLING CATALOG - FZN &amp; CHILL'!J2430,"AAAAAFhfnzI=")</f>
        <v>#VALUE!</v>
      </c>
      <c r="AZ349">
        <f>IF('STERLING CATALOG - FZN &amp; CHILL'!2431:2431,"AAAAAFhfnzM=",0)</f>
        <v>0</v>
      </c>
      <c r="BA349" t="e">
        <f>AND('STERLING CATALOG - FZN &amp; CHILL'!A2431,"AAAAAFhfnzQ=")</f>
        <v>#VALUE!</v>
      </c>
      <c r="BB349" t="e">
        <f>AND('STERLING CATALOG - FZN &amp; CHILL'!B2431,"AAAAAFhfnzU=")</f>
        <v>#VALUE!</v>
      </c>
      <c r="BC349" t="e">
        <f>AND('STERLING CATALOG - FZN &amp; CHILL'!C2431,"AAAAAFhfnzY=")</f>
        <v>#VALUE!</v>
      </c>
      <c r="BD349" t="e">
        <f>AND('STERLING CATALOG - FZN &amp; CHILL'!D2431,"AAAAAFhfnzc=")</f>
        <v>#VALUE!</v>
      </c>
      <c r="BE349" t="e">
        <f>AND('STERLING CATALOG - FZN &amp; CHILL'!E2431,"AAAAAFhfnzg=")</f>
        <v>#VALUE!</v>
      </c>
      <c r="BF349" t="e">
        <f>AND('STERLING CATALOG - FZN &amp; CHILL'!F2431,"AAAAAFhfnzk=")</f>
        <v>#VALUE!</v>
      </c>
      <c r="BG349" t="e">
        <f>AND('STERLING CATALOG - FZN &amp; CHILL'!G2431,"AAAAAFhfnzo=")</f>
        <v>#VALUE!</v>
      </c>
      <c r="BH349" t="e">
        <f>AND('STERLING CATALOG - FZN &amp; CHILL'!H2431,"AAAAAFhfnzs=")</f>
        <v>#VALUE!</v>
      </c>
      <c r="BI349" t="e">
        <f>AND('STERLING CATALOG - FZN &amp; CHILL'!I2431,"AAAAAFhfnzw=")</f>
        <v>#VALUE!</v>
      </c>
      <c r="BJ349" t="e">
        <f>AND('STERLING CATALOG - FZN &amp; CHILL'!J2431,"AAAAAFhfnz0=")</f>
        <v>#VALUE!</v>
      </c>
      <c r="BK349">
        <f>IF('STERLING CATALOG - FZN &amp; CHILL'!2432:2432,"AAAAAFhfnz4=",0)</f>
        <v>0</v>
      </c>
      <c r="BL349" t="e">
        <f>AND('STERLING CATALOG - FZN &amp; CHILL'!A2432,"AAAAAFhfnz8=")</f>
        <v>#VALUE!</v>
      </c>
      <c r="BM349" t="e">
        <f>AND('STERLING CATALOG - FZN &amp; CHILL'!B2432,"AAAAAFhfn0A=")</f>
        <v>#VALUE!</v>
      </c>
      <c r="BN349" t="e">
        <f>AND('STERLING CATALOG - FZN &amp; CHILL'!C2432,"AAAAAFhfn0E=")</f>
        <v>#VALUE!</v>
      </c>
      <c r="BO349" t="e">
        <f>AND('STERLING CATALOG - FZN &amp; CHILL'!D2432,"AAAAAFhfn0I=")</f>
        <v>#VALUE!</v>
      </c>
      <c r="BP349" t="e">
        <f>AND('STERLING CATALOG - FZN &amp; CHILL'!E2432,"AAAAAFhfn0M=")</f>
        <v>#VALUE!</v>
      </c>
      <c r="BQ349" t="e">
        <f>AND('STERLING CATALOG - FZN &amp; CHILL'!F2432,"AAAAAFhfn0Q=")</f>
        <v>#VALUE!</v>
      </c>
      <c r="BR349" t="e">
        <f>AND('STERLING CATALOG - FZN &amp; CHILL'!G2432,"AAAAAFhfn0U=")</f>
        <v>#VALUE!</v>
      </c>
      <c r="BS349" t="e">
        <f>AND('STERLING CATALOG - FZN &amp; CHILL'!H2432,"AAAAAFhfn0Y=")</f>
        <v>#VALUE!</v>
      </c>
      <c r="BT349" t="e">
        <f>AND('STERLING CATALOG - FZN &amp; CHILL'!I2432,"AAAAAFhfn0c=")</f>
        <v>#VALUE!</v>
      </c>
      <c r="BU349" t="e">
        <f>AND('STERLING CATALOG - FZN &amp; CHILL'!J2432,"AAAAAFhfn0g=")</f>
        <v>#VALUE!</v>
      </c>
      <c r="BV349">
        <f>IF('STERLING CATALOG - FZN &amp; CHILL'!2433:2433,"AAAAAFhfn0k=",0)</f>
        <v>0</v>
      </c>
      <c r="BW349" t="e">
        <f>AND('STERLING CATALOG - FZN &amp; CHILL'!A2433,"AAAAAFhfn0o=")</f>
        <v>#VALUE!</v>
      </c>
      <c r="BX349" t="e">
        <f>AND('STERLING CATALOG - FZN &amp; CHILL'!B2433,"AAAAAFhfn0s=")</f>
        <v>#VALUE!</v>
      </c>
      <c r="BY349" t="e">
        <f>AND('STERLING CATALOG - FZN &amp; CHILL'!C2433,"AAAAAFhfn0w=")</f>
        <v>#VALUE!</v>
      </c>
      <c r="BZ349" t="e">
        <f>AND('STERLING CATALOG - FZN &amp; CHILL'!D2433,"AAAAAFhfn00=")</f>
        <v>#VALUE!</v>
      </c>
      <c r="CA349" t="e">
        <f>AND('STERLING CATALOG - FZN &amp; CHILL'!E2433,"AAAAAFhfn04=")</f>
        <v>#VALUE!</v>
      </c>
      <c r="CB349" t="e">
        <f>AND('STERLING CATALOG - FZN &amp; CHILL'!F2433,"AAAAAFhfn08=")</f>
        <v>#VALUE!</v>
      </c>
      <c r="CC349" t="e">
        <f>AND('STERLING CATALOG - FZN &amp; CHILL'!G2433,"AAAAAFhfn1A=")</f>
        <v>#VALUE!</v>
      </c>
      <c r="CD349" t="e">
        <f>AND('STERLING CATALOG - FZN &amp; CHILL'!H2433,"AAAAAFhfn1E=")</f>
        <v>#VALUE!</v>
      </c>
      <c r="CE349" t="e">
        <f>AND('STERLING CATALOG - FZN &amp; CHILL'!I2433,"AAAAAFhfn1I=")</f>
        <v>#VALUE!</v>
      </c>
      <c r="CF349" t="e">
        <f>AND('STERLING CATALOG - FZN &amp; CHILL'!J2433,"AAAAAFhfn1M=")</f>
        <v>#VALUE!</v>
      </c>
      <c r="CG349">
        <f>IF('STERLING CATALOG - FZN &amp; CHILL'!2434:2434,"AAAAAFhfn1Q=",0)</f>
        <v>0</v>
      </c>
      <c r="CH349" t="e">
        <f>AND('STERLING CATALOG - FZN &amp; CHILL'!A2434,"AAAAAFhfn1U=")</f>
        <v>#VALUE!</v>
      </c>
      <c r="CI349" t="e">
        <f>AND('STERLING CATALOG - FZN &amp; CHILL'!B2434,"AAAAAFhfn1Y=")</f>
        <v>#VALUE!</v>
      </c>
      <c r="CJ349" t="e">
        <f>AND('STERLING CATALOG - FZN &amp; CHILL'!C2434,"AAAAAFhfn1c=")</f>
        <v>#VALUE!</v>
      </c>
      <c r="CK349" t="e">
        <f>AND('STERLING CATALOG - FZN &amp; CHILL'!D2434,"AAAAAFhfn1g=")</f>
        <v>#VALUE!</v>
      </c>
      <c r="CL349" t="e">
        <f>AND('STERLING CATALOG - FZN &amp; CHILL'!E2434,"AAAAAFhfn1k=")</f>
        <v>#VALUE!</v>
      </c>
      <c r="CM349" t="e">
        <f>AND('STERLING CATALOG - FZN &amp; CHILL'!F2434,"AAAAAFhfn1o=")</f>
        <v>#VALUE!</v>
      </c>
      <c r="CN349" t="e">
        <f>AND('STERLING CATALOG - FZN &amp; CHILL'!G2434,"AAAAAFhfn1s=")</f>
        <v>#VALUE!</v>
      </c>
      <c r="CO349" t="e">
        <f>AND('STERLING CATALOG - FZN &amp; CHILL'!H2434,"AAAAAFhfn1w=")</f>
        <v>#VALUE!</v>
      </c>
      <c r="CP349" t="e">
        <f>AND('STERLING CATALOG - FZN &amp; CHILL'!I2434,"AAAAAFhfn10=")</f>
        <v>#VALUE!</v>
      </c>
      <c r="CQ349" t="e">
        <f>AND('STERLING CATALOG - FZN &amp; CHILL'!J2434,"AAAAAFhfn14=")</f>
        <v>#VALUE!</v>
      </c>
      <c r="CR349">
        <f>IF('STERLING CATALOG - FZN &amp; CHILL'!2435:2435,"AAAAAFhfn18=",0)</f>
        <v>0</v>
      </c>
      <c r="CS349" t="e">
        <f>AND('STERLING CATALOG - FZN &amp; CHILL'!A2435,"AAAAAFhfn2A=")</f>
        <v>#VALUE!</v>
      </c>
      <c r="CT349" t="e">
        <f>AND('STERLING CATALOG - FZN &amp; CHILL'!B2435,"AAAAAFhfn2E=")</f>
        <v>#VALUE!</v>
      </c>
      <c r="CU349" t="e">
        <f>AND('STERLING CATALOG - FZN &amp; CHILL'!C2435,"AAAAAFhfn2I=")</f>
        <v>#VALUE!</v>
      </c>
      <c r="CV349" t="e">
        <f>AND('STERLING CATALOG - FZN &amp; CHILL'!D2435,"AAAAAFhfn2M=")</f>
        <v>#VALUE!</v>
      </c>
      <c r="CW349" t="e">
        <f>AND('STERLING CATALOG - FZN &amp; CHILL'!E2435,"AAAAAFhfn2Q=")</f>
        <v>#VALUE!</v>
      </c>
      <c r="CX349" t="e">
        <f>AND('STERLING CATALOG - FZN &amp; CHILL'!F2435,"AAAAAFhfn2U=")</f>
        <v>#VALUE!</v>
      </c>
      <c r="CY349" t="e">
        <f>AND('STERLING CATALOG - FZN &amp; CHILL'!G2435,"AAAAAFhfn2Y=")</f>
        <v>#VALUE!</v>
      </c>
      <c r="CZ349" t="e">
        <f>AND('STERLING CATALOG - FZN &amp; CHILL'!H2435,"AAAAAFhfn2c=")</f>
        <v>#VALUE!</v>
      </c>
      <c r="DA349" t="e">
        <f>AND('STERLING CATALOG - FZN &amp; CHILL'!I2435,"AAAAAFhfn2g=")</f>
        <v>#VALUE!</v>
      </c>
      <c r="DB349" t="e">
        <f>AND('STERLING CATALOG - FZN &amp; CHILL'!J2435,"AAAAAFhfn2k=")</f>
        <v>#VALUE!</v>
      </c>
      <c r="DC349">
        <f>IF('STERLING CATALOG - FZN &amp; CHILL'!2436:2436,"AAAAAFhfn2o=",0)</f>
        <v>0</v>
      </c>
      <c r="DD349" t="e">
        <f>AND('STERLING CATALOG - FZN &amp; CHILL'!A2436,"AAAAAFhfn2s=")</f>
        <v>#VALUE!</v>
      </c>
      <c r="DE349" t="e">
        <f>AND('STERLING CATALOG - FZN &amp; CHILL'!B2436,"AAAAAFhfn2w=")</f>
        <v>#VALUE!</v>
      </c>
      <c r="DF349" t="e">
        <f>AND('STERLING CATALOG - FZN &amp; CHILL'!C2436,"AAAAAFhfn20=")</f>
        <v>#VALUE!</v>
      </c>
      <c r="DG349" t="e">
        <f>AND('STERLING CATALOG - FZN &amp; CHILL'!D2436,"AAAAAFhfn24=")</f>
        <v>#VALUE!</v>
      </c>
      <c r="DH349" t="e">
        <f>AND('STERLING CATALOG - FZN &amp; CHILL'!E2436,"AAAAAFhfn28=")</f>
        <v>#VALUE!</v>
      </c>
      <c r="DI349" t="e">
        <f>AND('STERLING CATALOG - FZN &amp; CHILL'!F2436,"AAAAAFhfn3A=")</f>
        <v>#VALUE!</v>
      </c>
      <c r="DJ349" t="e">
        <f>AND('STERLING CATALOG - FZN &amp; CHILL'!G2436,"AAAAAFhfn3E=")</f>
        <v>#VALUE!</v>
      </c>
      <c r="DK349" t="e">
        <f>AND('STERLING CATALOG - FZN &amp; CHILL'!H2436,"AAAAAFhfn3I=")</f>
        <v>#VALUE!</v>
      </c>
      <c r="DL349" t="e">
        <f>AND('STERLING CATALOG - FZN &amp; CHILL'!I2436,"AAAAAFhfn3M=")</f>
        <v>#VALUE!</v>
      </c>
      <c r="DM349" t="e">
        <f>AND('STERLING CATALOG - FZN &amp; CHILL'!J2436,"AAAAAFhfn3Q=")</f>
        <v>#VALUE!</v>
      </c>
      <c r="DN349">
        <f>IF('STERLING CATALOG - FZN &amp; CHILL'!2437:2437,"AAAAAFhfn3U=",0)</f>
        <v>0</v>
      </c>
      <c r="DO349" t="e">
        <f>AND('STERLING CATALOG - FZN &amp; CHILL'!A2437,"AAAAAFhfn3Y=")</f>
        <v>#VALUE!</v>
      </c>
      <c r="DP349" t="e">
        <f>AND('STERLING CATALOG - FZN &amp; CHILL'!B2437,"AAAAAFhfn3c=")</f>
        <v>#VALUE!</v>
      </c>
      <c r="DQ349" t="e">
        <f>AND('STERLING CATALOG - FZN &amp; CHILL'!C2437,"AAAAAFhfn3g=")</f>
        <v>#VALUE!</v>
      </c>
      <c r="DR349" t="e">
        <f>AND('STERLING CATALOG - FZN &amp; CHILL'!D2437,"AAAAAFhfn3k=")</f>
        <v>#VALUE!</v>
      </c>
      <c r="DS349" t="e">
        <f>AND('STERLING CATALOG - FZN &amp; CHILL'!E2437,"AAAAAFhfn3o=")</f>
        <v>#VALUE!</v>
      </c>
      <c r="DT349" t="e">
        <f>AND('STERLING CATALOG - FZN &amp; CHILL'!F2437,"AAAAAFhfn3s=")</f>
        <v>#VALUE!</v>
      </c>
      <c r="DU349" t="e">
        <f>AND('STERLING CATALOG - FZN &amp; CHILL'!G2437,"AAAAAFhfn3w=")</f>
        <v>#VALUE!</v>
      </c>
      <c r="DV349" t="e">
        <f>AND('STERLING CATALOG - FZN &amp; CHILL'!H2437,"AAAAAFhfn30=")</f>
        <v>#VALUE!</v>
      </c>
      <c r="DW349" t="e">
        <f>AND('STERLING CATALOG - FZN &amp; CHILL'!I2437,"AAAAAFhfn34=")</f>
        <v>#VALUE!</v>
      </c>
      <c r="DX349" t="e">
        <f>AND('STERLING CATALOG - FZN &amp; CHILL'!J2437,"AAAAAFhfn38=")</f>
        <v>#VALUE!</v>
      </c>
      <c r="DY349">
        <f>IF('STERLING CATALOG - FZN &amp; CHILL'!2438:2438,"AAAAAFhfn4A=",0)</f>
        <v>0</v>
      </c>
      <c r="DZ349" t="e">
        <f>AND('STERLING CATALOG - FZN &amp; CHILL'!A2438,"AAAAAFhfn4E=")</f>
        <v>#VALUE!</v>
      </c>
      <c r="EA349" t="e">
        <f>AND('STERLING CATALOG - FZN &amp; CHILL'!B2438,"AAAAAFhfn4I=")</f>
        <v>#VALUE!</v>
      </c>
      <c r="EB349" t="e">
        <f>AND('STERLING CATALOG - FZN &amp; CHILL'!C2438,"AAAAAFhfn4M=")</f>
        <v>#VALUE!</v>
      </c>
      <c r="EC349" t="e">
        <f>AND('STERLING CATALOG - FZN &amp; CHILL'!D2438,"AAAAAFhfn4Q=")</f>
        <v>#VALUE!</v>
      </c>
      <c r="ED349" t="e">
        <f>AND('STERLING CATALOG - FZN &amp; CHILL'!E2438,"AAAAAFhfn4U=")</f>
        <v>#VALUE!</v>
      </c>
      <c r="EE349" t="e">
        <f>AND('STERLING CATALOG - FZN &amp; CHILL'!F2438,"AAAAAFhfn4Y=")</f>
        <v>#VALUE!</v>
      </c>
      <c r="EF349" t="e">
        <f>AND('STERLING CATALOG - FZN &amp; CHILL'!G2438,"AAAAAFhfn4c=")</f>
        <v>#VALUE!</v>
      </c>
      <c r="EG349" t="e">
        <f>AND('STERLING CATALOG - FZN &amp; CHILL'!H2438,"AAAAAFhfn4g=")</f>
        <v>#VALUE!</v>
      </c>
      <c r="EH349" t="e">
        <f>AND('STERLING CATALOG - FZN &amp; CHILL'!I2438,"AAAAAFhfn4k=")</f>
        <v>#VALUE!</v>
      </c>
      <c r="EI349" t="e">
        <f>AND('STERLING CATALOG - FZN &amp; CHILL'!J2438,"AAAAAFhfn4o=")</f>
        <v>#VALUE!</v>
      </c>
      <c r="EJ349">
        <f>IF('STERLING CATALOG - FZN &amp; CHILL'!2439:2439,"AAAAAFhfn4s=",0)</f>
        <v>0</v>
      </c>
      <c r="EK349" t="e">
        <f>AND('STERLING CATALOG - FZN &amp; CHILL'!A2439,"AAAAAFhfn4w=")</f>
        <v>#VALUE!</v>
      </c>
      <c r="EL349" t="e">
        <f>AND('STERLING CATALOG - FZN &amp; CHILL'!B2439,"AAAAAFhfn40=")</f>
        <v>#VALUE!</v>
      </c>
      <c r="EM349" t="e">
        <f>AND('STERLING CATALOG - FZN &amp; CHILL'!C2439,"AAAAAFhfn44=")</f>
        <v>#VALUE!</v>
      </c>
      <c r="EN349" t="e">
        <f>AND('STERLING CATALOG - FZN &amp; CHILL'!D2439,"AAAAAFhfn48=")</f>
        <v>#VALUE!</v>
      </c>
      <c r="EO349" t="e">
        <f>AND('STERLING CATALOG - FZN &amp; CHILL'!E2439,"AAAAAFhfn5A=")</f>
        <v>#VALUE!</v>
      </c>
      <c r="EP349" t="e">
        <f>AND('STERLING CATALOG - FZN &amp; CHILL'!F2439,"AAAAAFhfn5E=")</f>
        <v>#VALUE!</v>
      </c>
      <c r="EQ349" t="e">
        <f>AND('STERLING CATALOG - FZN &amp; CHILL'!G2439,"AAAAAFhfn5I=")</f>
        <v>#VALUE!</v>
      </c>
      <c r="ER349" t="e">
        <f>AND('STERLING CATALOG - FZN &amp; CHILL'!H2439,"AAAAAFhfn5M=")</f>
        <v>#VALUE!</v>
      </c>
      <c r="ES349" t="e">
        <f>AND('STERLING CATALOG - FZN &amp; CHILL'!I2439,"AAAAAFhfn5Q=")</f>
        <v>#VALUE!</v>
      </c>
      <c r="ET349" t="e">
        <f>AND('STERLING CATALOG - FZN &amp; CHILL'!J2439,"AAAAAFhfn5U=")</f>
        <v>#VALUE!</v>
      </c>
      <c r="EU349">
        <f>IF('STERLING CATALOG - FZN &amp; CHILL'!2440:2440,"AAAAAFhfn5Y=",0)</f>
        <v>0</v>
      </c>
      <c r="EV349" t="e">
        <f>AND('STERLING CATALOG - FZN &amp; CHILL'!A2440,"AAAAAFhfn5c=")</f>
        <v>#VALUE!</v>
      </c>
      <c r="EW349" t="e">
        <f>AND('STERLING CATALOG - FZN &amp; CHILL'!B2440,"AAAAAFhfn5g=")</f>
        <v>#VALUE!</v>
      </c>
      <c r="EX349" t="e">
        <f>AND('STERLING CATALOG - FZN &amp; CHILL'!C2440,"AAAAAFhfn5k=")</f>
        <v>#VALUE!</v>
      </c>
      <c r="EY349" t="e">
        <f>AND('STERLING CATALOG - FZN &amp; CHILL'!D2440,"AAAAAFhfn5o=")</f>
        <v>#VALUE!</v>
      </c>
      <c r="EZ349" t="e">
        <f>AND('STERLING CATALOG - FZN &amp; CHILL'!E2440,"AAAAAFhfn5s=")</f>
        <v>#VALUE!</v>
      </c>
      <c r="FA349" t="e">
        <f>AND('STERLING CATALOG - FZN &amp; CHILL'!F2440,"AAAAAFhfn5w=")</f>
        <v>#VALUE!</v>
      </c>
      <c r="FB349" t="e">
        <f>AND('STERLING CATALOG - FZN &amp; CHILL'!G2440,"AAAAAFhfn50=")</f>
        <v>#VALUE!</v>
      </c>
      <c r="FC349" t="e">
        <f>AND('STERLING CATALOG - FZN &amp; CHILL'!H2440,"AAAAAFhfn54=")</f>
        <v>#VALUE!</v>
      </c>
      <c r="FD349" t="e">
        <f>AND('STERLING CATALOG - FZN &amp; CHILL'!I2440,"AAAAAFhfn58=")</f>
        <v>#VALUE!</v>
      </c>
      <c r="FE349" t="e">
        <f>AND('STERLING CATALOG - FZN &amp; CHILL'!J2440,"AAAAAFhfn6A=")</f>
        <v>#VALUE!</v>
      </c>
      <c r="FF349">
        <f>IF('STERLING CATALOG - FZN &amp; CHILL'!2441:2441,"AAAAAFhfn6E=",0)</f>
        <v>0</v>
      </c>
      <c r="FG349" t="e">
        <f>AND('STERLING CATALOG - FZN &amp; CHILL'!A2441,"AAAAAFhfn6I=")</f>
        <v>#VALUE!</v>
      </c>
      <c r="FH349" t="e">
        <f>AND('STERLING CATALOG - FZN &amp; CHILL'!B2441,"AAAAAFhfn6M=")</f>
        <v>#VALUE!</v>
      </c>
      <c r="FI349" t="e">
        <f>AND('STERLING CATALOG - FZN &amp; CHILL'!C2441,"AAAAAFhfn6Q=")</f>
        <v>#VALUE!</v>
      </c>
      <c r="FJ349" t="e">
        <f>AND('STERLING CATALOG - FZN &amp; CHILL'!D2441,"AAAAAFhfn6U=")</f>
        <v>#VALUE!</v>
      </c>
      <c r="FK349" t="e">
        <f>AND('STERLING CATALOG - FZN &amp; CHILL'!E2441,"AAAAAFhfn6Y=")</f>
        <v>#VALUE!</v>
      </c>
      <c r="FL349" t="e">
        <f>AND('STERLING CATALOG - FZN &amp; CHILL'!F2441,"AAAAAFhfn6c=")</f>
        <v>#VALUE!</v>
      </c>
      <c r="FM349" t="e">
        <f>AND('STERLING CATALOG - FZN &amp; CHILL'!G2441,"AAAAAFhfn6g=")</f>
        <v>#VALUE!</v>
      </c>
      <c r="FN349" t="e">
        <f>AND('STERLING CATALOG - FZN &amp; CHILL'!H2441,"AAAAAFhfn6k=")</f>
        <v>#VALUE!</v>
      </c>
      <c r="FO349" t="e">
        <f>AND('STERLING CATALOG - FZN &amp; CHILL'!I2441,"AAAAAFhfn6o=")</f>
        <v>#VALUE!</v>
      </c>
      <c r="FP349" t="e">
        <f>AND('STERLING CATALOG - FZN &amp; CHILL'!J2441,"AAAAAFhfn6s=")</f>
        <v>#VALUE!</v>
      </c>
      <c r="FQ349">
        <f>IF('STERLING CATALOG - FZN &amp; CHILL'!2442:2442,"AAAAAFhfn6w=",0)</f>
        <v>0</v>
      </c>
      <c r="FR349" t="e">
        <f>AND('STERLING CATALOG - FZN &amp; CHILL'!A2442,"AAAAAFhfn60=")</f>
        <v>#VALUE!</v>
      </c>
      <c r="FS349" t="e">
        <f>AND('STERLING CATALOG - FZN &amp; CHILL'!B2442,"AAAAAFhfn64=")</f>
        <v>#VALUE!</v>
      </c>
      <c r="FT349" t="e">
        <f>AND('STERLING CATALOG - FZN &amp; CHILL'!C2442,"AAAAAFhfn68=")</f>
        <v>#VALUE!</v>
      </c>
      <c r="FU349" t="e">
        <f>AND('STERLING CATALOG - FZN &amp; CHILL'!D2442,"AAAAAFhfn7A=")</f>
        <v>#VALUE!</v>
      </c>
      <c r="FV349" t="e">
        <f>AND('STERLING CATALOG - FZN &amp; CHILL'!E2442,"AAAAAFhfn7E=")</f>
        <v>#VALUE!</v>
      </c>
      <c r="FW349" t="e">
        <f>AND('STERLING CATALOG - FZN &amp; CHILL'!F2442,"AAAAAFhfn7I=")</f>
        <v>#VALUE!</v>
      </c>
      <c r="FX349" t="e">
        <f>AND('STERLING CATALOG - FZN &amp; CHILL'!G2442,"AAAAAFhfn7M=")</f>
        <v>#VALUE!</v>
      </c>
      <c r="FY349" t="e">
        <f>AND('STERLING CATALOG - FZN &amp; CHILL'!H2442,"AAAAAFhfn7Q=")</f>
        <v>#VALUE!</v>
      </c>
      <c r="FZ349" t="e">
        <f>AND('STERLING CATALOG - FZN &amp; CHILL'!I2442,"AAAAAFhfn7U=")</f>
        <v>#VALUE!</v>
      </c>
      <c r="GA349" t="e">
        <f>AND('STERLING CATALOG - FZN &amp; CHILL'!J2442,"AAAAAFhfn7Y=")</f>
        <v>#VALUE!</v>
      </c>
      <c r="GB349">
        <f>IF('STERLING CATALOG - FZN &amp; CHILL'!2443:2443,"AAAAAFhfn7c=",0)</f>
        <v>0</v>
      </c>
      <c r="GC349" t="e">
        <f>AND('STERLING CATALOG - FZN &amp; CHILL'!A2443,"AAAAAFhfn7g=")</f>
        <v>#VALUE!</v>
      </c>
      <c r="GD349" t="e">
        <f>AND('STERLING CATALOG - FZN &amp; CHILL'!B2443,"AAAAAFhfn7k=")</f>
        <v>#VALUE!</v>
      </c>
      <c r="GE349" t="e">
        <f>AND('STERLING CATALOG - FZN &amp; CHILL'!C2443,"AAAAAFhfn7o=")</f>
        <v>#VALUE!</v>
      </c>
      <c r="GF349" t="e">
        <f>AND('STERLING CATALOG - FZN &amp; CHILL'!D2443,"AAAAAFhfn7s=")</f>
        <v>#VALUE!</v>
      </c>
      <c r="GG349" t="e">
        <f>AND('STERLING CATALOG - FZN &amp; CHILL'!E2443,"AAAAAFhfn7w=")</f>
        <v>#VALUE!</v>
      </c>
      <c r="GH349" t="e">
        <f>AND('STERLING CATALOG - FZN &amp; CHILL'!F2443,"AAAAAFhfn70=")</f>
        <v>#VALUE!</v>
      </c>
      <c r="GI349" t="e">
        <f>AND('STERLING CATALOG - FZN &amp; CHILL'!G2443,"AAAAAFhfn74=")</f>
        <v>#VALUE!</v>
      </c>
      <c r="GJ349" t="e">
        <f>AND('STERLING CATALOG - FZN &amp; CHILL'!H2443,"AAAAAFhfn78=")</f>
        <v>#VALUE!</v>
      </c>
      <c r="GK349" t="e">
        <f>AND('STERLING CATALOG - FZN &amp; CHILL'!I2443,"AAAAAFhfn8A=")</f>
        <v>#VALUE!</v>
      </c>
      <c r="GL349" t="e">
        <f>AND('STERLING CATALOG - FZN &amp; CHILL'!J2443,"AAAAAFhfn8E=")</f>
        <v>#VALUE!</v>
      </c>
      <c r="GM349">
        <f>IF('STERLING CATALOG - FZN &amp; CHILL'!2444:2444,"AAAAAFhfn8I=",0)</f>
        <v>0</v>
      </c>
      <c r="GN349" t="e">
        <f>AND('STERLING CATALOG - FZN &amp; CHILL'!A2444,"AAAAAFhfn8M=")</f>
        <v>#VALUE!</v>
      </c>
      <c r="GO349" t="e">
        <f>AND('STERLING CATALOG - FZN &amp; CHILL'!B2444,"AAAAAFhfn8Q=")</f>
        <v>#VALUE!</v>
      </c>
      <c r="GP349" t="e">
        <f>AND('STERLING CATALOG - FZN &amp; CHILL'!C2444,"AAAAAFhfn8U=")</f>
        <v>#VALUE!</v>
      </c>
      <c r="GQ349" t="e">
        <f>AND('STERLING CATALOG - FZN &amp; CHILL'!D2444,"AAAAAFhfn8Y=")</f>
        <v>#VALUE!</v>
      </c>
      <c r="GR349" t="e">
        <f>AND('STERLING CATALOG - FZN &amp; CHILL'!E2444,"AAAAAFhfn8c=")</f>
        <v>#VALUE!</v>
      </c>
      <c r="GS349" t="e">
        <f>AND('STERLING CATALOG - FZN &amp; CHILL'!F2444,"AAAAAFhfn8g=")</f>
        <v>#VALUE!</v>
      </c>
      <c r="GT349" t="e">
        <f>AND('STERLING CATALOG - FZN &amp; CHILL'!G2444,"AAAAAFhfn8k=")</f>
        <v>#VALUE!</v>
      </c>
      <c r="GU349" t="e">
        <f>AND('STERLING CATALOG - FZN &amp; CHILL'!H2444,"AAAAAFhfn8o=")</f>
        <v>#VALUE!</v>
      </c>
      <c r="GV349" t="e">
        <f>AND('STERLING CATALOG - FZN &amp; CHILL'!I2444,"AAAAAFhfn8s=")</f>
        <v>#VALUE!</v>
      </c>
      <c r="GW349" t="e">
        <f>AND('STERLING CATALOG - FZN &amp; CHILL'!J2444,"AAAAAFhfn8w=")</f>
        <v>#VALUE!</v>
      </c>
      <c r="GX349">
        <f>IF('STERLING CATALOG - FZN &amp; CHILL'!2445:2445,"AAAAAFhfn80=",0)</f>
        <v>0</v>
      </c>
      <c r="GY349" t="e">
        <f>AND('STERLING CATALOG - FZN &amp; CHILL'!A2445,"AAAAAFhfn84=")</f>
        <v>#VALUE!</v>
      </c>
      <c r="GZ349" t="e">
        <f>AND('STERLING CATALOG - FZN &amp; CHILL'!B2445,"AAAAAFhfn88=")</f>
        <v>#VALUE!</v>
      </c>
      <c r="HA349" t="e">
        <f>AND('STERLING CATALOG - FZN &amp; CHILL'!C2445,"AAAAAFhfn9A=")</f>
        <v>#VALUE!</v>
      </c>
      <c r="HB349" t="e">
        <f>AND('STERLING CATALOG - FZN &amp; CHILL'!D2445,"AAAAAFhfn9E=")</f>
        <v>#VALUE!</v>
      </c>
      <c r="HC349" t="e">
        <f>AND('STERLING CATALOG - FZN &amp; CHILL'!E2445,"AAAAAFhfn9I=")</f>
        <v>#VALUE!</v>
      </c>
      <c r="HD349" t="e">
        <f>AND('STERLING CATALOG - FZN &amp; CHILL'!F2445,"AAAAAFhfn9M=")</f>
        <v>#VALUE!</v>
      </c>
      <c r="HE349" t="e">
        <f>AND('STERLING CATALOG - FZN &amp; CHILL'!G2445,"AAAAAFhfn9Q=")</f>
        <v>#VALUE!</v>
      </c>
      <c r="HF349" t="e">
        <f>AND('STERLING CATALOG - FZN &amp; CHILL'!H2445,"AAAAAFhfn9U=")</f>
        <v>#VALUE!</v>
      </c>
      <c r="HG349" t="e">
        <f>AND('STERLING CATALOG - FZN &amp; CHILL'!I2445,"AAAAAFhfn9Y=")</f>
        <v>#VALUE!</v>
      </c>
      <c r="HH349" t="e">
        <f>AND('STERLING CATALOG - FZN &amp; CHILL'!J2445,"AAAAAFhfn9c=")</f>
        <v>#VALUE!</v>
      </c>
      <c r="HI349">
        <f>IF('STERLING CATALOG - FZN &amp; CHILL'!2446:2446,"AAAAAFhfn9g=",0)</f>
        <v>0</v>
      </c>
      <c r="HJ349" t="e">
        <f>AND('STERLING CATALOG - FZN &amp; CHILL'!A2446,"AAAAAFhfn9k=")</f>
        <v>#VALUE!</v>
      </c>
      <c r="HK349" t="e">
        <f>AND('STERLING CATALOG - FZN &amp; CHILL'!B2446,"AAAAAFhfn9o=")</f>
        <v>#VALUE!</v>
      </c>
      <c r="HL349" t="e">
        <f>AND('STERLING CATALOG - FZN &amp; CHILL'!C2446,"AAAAAFhfn9s=")</f>
        <v>#VALUE!</v>
      </c>
      <c r="HM349" t="e">
        <f>AND('STERLING CATALOG - FZN &amp; CHILL'!D2446,"AAAAAFhfn9w=")</f>
        <v>#VALUE!</v>
      </c>
      <c r="HN349" t="e">
        <f>AND('STERLING CATALOG - FZN &amp; CHILL'!E2446,"AAAAAFhfn90=")</f>
        <v>#VALUE!</v>
      </c>
      <c r="HO349" t="e">
        <f>AND('STERLING CATALOG - FZN &amp; CHILL'!F2446,"AAAAAFhfn94=")</f>
        <v>#VALUE!</v>
      </c>
      <c r="HP349" t="e">
        <f>AND('STERLING CATALOG - FZN &amp; CHILL'!G2446,"AAAAAFhfn98=")</f>
        <v>#VALUE!</v>
      </c>
      <c r="HQ349" t="e">
        <f>AND('STERLING CATALOG - FZN &amp; CHILL'!H2446,"AAAAAFhfn+A=")</f>
        <v>#VALUE!</v>
      </c>
      <c r="HR349" t="e">
        <f>AND('STERLING CATALOG - FZN &amp; CHILL'!I2446,"AAAAAFhfn+E=")</f>
        <v>#VALUE!</v>
      </c>
      <c r="HS349" t="e">
        <f>AND('STERLING CATALOG - FZN &amp; CHILL'!J2446,"AAAAAFhfn+I=")</f>
        <v>#VALUE!</v>
      </c>
      <c r="HT349">
        <f>IF('STERLING CATALOG - FZN &amp; CHILL'!2447:2447,"AAAAAFhfn+M=",0)</f>
        <v>0</v>
      </c>
      <c r="HU349" t="e">
        <f>AND('STERLING CATALOG - FZN &amp; CHILL'!A2447,"AAAAAFhfn+Q=")</f>
        <v>#VALUE!</v>
      </c>
      <c r="HV349" t="e">
        <f>AND('STERLING CATALOG - FZN &amp; CHILL'!B2447,"AAAAAFhfn+U=")</f>
        <v>#VALUE!</v>
      </c>
      <c r="HW349" t="e">
        <f>AND('STERLING CATALOG - FZN &amp; CHILL'!C2447,"AAAAAFhfn+Y=")</f>
        <v>#VALUE!</v>
      </c>
      <c r="HX349" t="e">
        <f>AND('STERLING CATALOG - FZN &amp; CHILL'!D2447,"AAAAAFhfn+c=")</f>
        <v>#VALUE!</v>
      </c>
      <c r="HY349" t="e">
        <f>AND('STERLING CATALOG - FZN &amp; CHILL'!E2447,"AAAAAFhfn+g=")</f>
        <v>#VALUE!</v>
      </c>
      <c r="HZ349" t="e">
        <f>AND('STERLING CATALOG - FZN &amp; CHILL'!F2447,"AAAAAFhfn+k=")</f>
        <v>#VALUE!</v>
      </c>
      <c r="IA349" t="e">
        <f>AND('STERLING CATALOG - FZN &amp; CHILL'!G2447,"AAAAAFhfn+o=")</f>
        <v>#VALUE!</v>
      </c>
      <c r="IB349" t="e">
        <f>AND('STERLING CATALOG - FZN &amp; CHILL'!H2447,"AAAAAFhfn+s=")</f>
        <v>#VALUE!</v>
      </c>
      <c r="IC349" t="e">
        <f>AND('STERLING CATALOG - FZN &amp; CHILL'!I2447,"AAAAAFhfn+w=")</f>
        <v>#VALUE!</v>
      </c>
      <c r="ID349" t="e">
        <f>AND('STERLING CATALOG - FZN &amp; CHILL'!J2447,"AAAAAFhfn+0=")</f>
        <v>#VALUE!</v>
      </c>
      <c r="IE349">
        <f>IF('STERLING CATALOG - FZN &amp; CHILL'!2448:2448,"AAAAAFhfn+4=",0)</f>
        <v>0</v>
      </c>
      <c r="IF349" t="e">
        <f>AND('STERLING CATALOG - FZN &amp; CHILL'!A2448,"AAAAAFhfn+8=")</f>
        <v>#VALUE!</v>
      </c>
      <c r="IG349" t="e">
        <f>AND('STERLING CATALOG - FZN &amp; CHILL'!B2448,"AAAAAFhfn/A=")</f>
        <v>#VALUE!</v>
      </c>
      <c r="IH349" t="e">
        <f>AND('STERLING CATALOG - FZN &amp; CHILL'!C2448,"AAAAAFhfn/E=")</f>
        <v>#VALUE!</v>
      </c>
      <c r="II349" t="e">
        <f>AND('STERLING CATALOG - FZN &amp; CHILL'!D2448,"AAAAAFhfn/I=")</f>
        <v>#VALUE!</v>
      </c>
      <c r="IJ349" t="e">
        <f>AND('STERLING CATALOG - FZN &amp; CHILL'!E2448,"AAAAAFhfn/M=")</f>
        <v>#VALUE!</v>
      </c>
      <c r="IK349" t="e">
        <f>AND('STERLING CATALOG - FZN &amp; CHILL'!F2448,"AAAAAFhfn/Q=")</f>
        <v>#VALUE!</v>
      </c>
      <c r="IL349" t="e">
        <f>AND('STERLING CATALOG - FZN &amp; CHILL'!G2448,"AAAAAFhfn/U=")</f>
        <v>#VALUE!</v>
      </c>
      <c r="IM349" t="e">
        <f>AND('STERLING CATALOG - FZN &amp; CHILL'!H2448,"AAAAAFhfn/Y=")</f>
        <v>#VALUE!</v>
      </c>
      <c r="IN349" t="e">
        <f>AND('STERLING CATALOG - FZN &amp; CHILL'!I2448,"AAAAAFhfn/c=")</f>
        <v>#VALUE!</v>
      </c>
      <c r="IO349" t="e">
        <f>AND('STERLING CATALOG - FZN &amp; CHILL'!J2448,"AAAAAFhfn/g=")</f>
        <v>#VALUE!</v>
      </c>
      <c r="IP349">
        <f>IF('STERLING CATALOG - FZN &amp; CHILL'!2449:2449,"AAAAAFhfn/k=",0)</f>
        <v>0</v>
      </c>
      <c r="IQ349" t="e">
        <f>AND('STERLING CATALOG - FZN &amp; CHILL'!A2449,"AAAAAFhfn/o=")</f>
        <v>#VALUE!</v>
      </c>
      <c r="IR349" t="e">
        <f>AND('STERLING CATALOG - FZN &amp; CHILL'!B2449,"AAAAAFhfn/s=")</f>
        <v>#VALUE!</v>
      </c>
      <c r="IS349" t="e">
        <f>AND('STERLING CATALOG - FZN &amp; CHILL'!C2449,"AAAAAFhfn/w=")</f>
        <v>#VALUE!</v>
      </c>
      <c r="IT349" t="e">
        <f>AND('STERLING CATALOG - FZN &amp; CHILL'!D2449,"AAAAAFhfn/0=")</f>
        <v>#VALUE!</v>
      </c>
      <c r="IU349" t="e">
        <f>AND('STERLING CATALOG - FZN &amp; CHILL'!E2449,"AAAAAFhfn/4=")</f>
        <v>#VALUE!</v>
      </c>
      <c r="IV349" t="e">
        <f>AND('STERLING CATALOG - FZN &amp; CHILL'!F2449,"AAAAAFhfn/8=")</f>
        <v>#VALUE!</v>
      </c>
    </row>
    <row r="350" spans="1:256">
      <c r="A350" t="e">
        <f>AND('STERLING CATALOG - FZN &amp; CHILL'!G2449,"AAAAAH9v/AA=")</f>
        <v>#VALUE!</v>
      </c>
      <c r="B350" t="e">
        <f>AND('STERLING CATALOG - FZN &amp; CHILL'!H2449,"AAAAAH9v/AE=")</f>
        <v>#VALUE!</v>
      </c>
      <c r="C350" t="e">
        <f>AND('STERLING CATALOG - FZN &amp; CHILL'!I2449,"AAAAAH9v/AI=")</f>
        <v>#VALUE!</v>
      </c>
      <c r="D350" t="e">
        <f>AND('STERLING CATALOG - FZN &amp; CHILL'!J2449,"AAAAAH9v/AM=")</f>
        <v>#VALUE!</v>
      </c>
      <c r="E350" t="e">
        <f>IF('STERLING CATALOG - FZN &amp; CHILL'!2450:2450,"AAAAAH9v/AQ=",0)</f>
        <v>#VALUE!</v>
      </c>
      <c r="F350" t="e">
        <f>AND('STERLING CATALOG - FZN &amp; CHILL'!A2450,"AAAAAH9v/AU=")</f>
        <v>#VALUE!</v>
      </c>
      <c r="G350" t="e">
        <f>AND('STERLING CATALOG - FZN &amp; CHILL'!B2450,"AAAAAH9v/AY=")</f>
        <v>#VALUE!</v>
      </c>
      <c r="H350" t="e">
        <f>AND('STERLING CATALOG - FZN &amp; CHILL'!C2450,"AAAAAH9v/Ac=")</f>
        <v>#VALUE!</v>
      </c>
      <c r="I350" t="e">
        <f>AND('STERLING CATALOG - FZN &amp; CHILL'!D2450,"AAAAAH9v/Ag=")</f>
        <v>#VALUE!</v>
      </c>
      <c r="J350" t="e">
        <f>AND('STERLING CATALOG - FZN &amp; CHILL'!E2450,"AAAAAH9v/Ak=")</f>
        <v>#VALUE!</v>
      </c>
      <c r="K350" t="e">
        <f>AND('STERLING CATALOG - FZN &amp; CHILL'!F2450,"AAAAAH9v/Ao=")</f>
        <v>#VALUE!</v>
      </c>
      <c r="L350" t="e">
        <f>AND('STERLING CATALOG - FZN &amp; CHILL'!G2450,"AAAAAH9v/As=")</f>
        <v>#VALUE!</v>
      </c>
      <c r="M350" t="e">
        <f>AND('STERLING CATALOG - FZN &amp; CHILL'!H2450,"AAAAAH9v/Aw=")</f>
        <v>#VALUE!</v>
      </c>
      <c r="N350" t="e">
        <f>AND('STERLING CATALOG - FZN &amp; CHILL'!I2450,"AAAAAH9v/A0=")</f>
        <v>#VALUE!</v>
      </c>
      <c r="O350" t="e">
        <f>AND('STERLING CATALOG - FZN &amp; CHILL'!J2450,"AAAAAH9v/A4=")</f>
        <v>#VALUE!</v>
      </c>
      <c r="P350">
        <f>IF('STERLING CATALOG - FZN &amp; CHILL'!2451:2451,"AAAAAH9v/A8=",0)</f>
        <v>0</v>
      </c>
      <c r="Q350" t="e">
        <f>AND('STERLING CATALOG - FZN &amp; CHILL'!A2451,"AAAAAH9v/BA=")</f>
        <v>#VALUE!</v>
      </c>
      <c r="R350" t="e">
        <f>AND('STERLING CATALOG - FZN &amp; CHILL'!B2451,"AAAAAH9v/BE=")</f>
        <v>#VALUE!</v>
      </c>
      <c r="S350" t="e">
        <f>AND('STERLING CATALOG - FZN &amp; CHILL'!C2451,"AAAAAH9v/BI=")</f>
        <v>#VALUE!</v>
      </c>
      <c r="T350" t="e">
        <f>AND('STERLING CATALOG - FZN &amp; CHILL'!D2451,"AAAAAH9v/BM=")</f>
        <v>#VALUE!</v>
      </c>
      <c r="U350" t="e">
        <f>AND('STERLING CATALOG - FZN &amp; CHILL'!E2451,"AAAAAH9v/BQ=")</f>
        <v>#VALUE!</v>
      </c>
      <c r="V350" t="e">
        <f>AND('STERLING CATALOG - FZN &amp; CHILL'!F2451,"AAAAAH9v/BU=")</f>
        <v>#VALUE!</v>
      </c>
      <c r="W350" t="e">
        <f>AND('STERLING CATALOG - FZN &amp; CHILL'!G2451,"AAAAAH9v/BY=")</f>
        <v>#VALUE!</v>
      </c>
      <c r="X350" t="e">
        <f>AND('STERLING CATALOG - FZN &amp; CHILL'!H2451,"AAAAAH9v/Bc=")</f>
        <v>#VALUE!</v>
      </c>
      <c r="Y350" t="e">
        <f>AND('STERLING CATALOG - FZN &amp; CHILL'!I2451,"AAAAAH9v/Bg=")</f>
        <v>#VALUE!</v>
      </c>
      <c r="Z350" t="e">
        <f>AND('STERLING CATALOG - FZN &amp; CHILL'!J2451,"AAAAAH9v/Bk=")</f>
        <v>#VALUE!</v>
      </c>
      <c r="AA350">
        <f>IF('STERLING CATALOG - FZN &amp; CHILL'!2452:2452,"AAAAAH9v/Bo=",0)</f>
        <v>0</v>
      </c>
      <c r="AB350" t="e">
        <f>AND('STERLING CATALOG - FZN &amp; CHILL'!A2452,"AAAAAH9v/Bs=")</f>
        <v>#VALUE!</v>
      </c>
      <c r="AC350" t="e">
        <f>AND('STERLING CATALOG - FZN &amp; CHILL'!B2452,"AAAAAH9v/Bw=")</f>
        <v>#VALUE!</v>
      </c>
      <c r="AD350" t="e">
        <f>AND('STERLING CATALOG - FZN &amp; CHILL'!C2452,"AAAAAH9v/B0=")</f>
        <v>#VALUE!</v>
      </c>
      <c r="AE350" t="e">
        <f>AND('STERLING CATALOG - FZN &amp; CHILL'!D2452,"AAAAAH9v/B4=")</f>
        <v>#VALUE!</v>
      </c>
      <c r="AF350" t="e">
        <f>AND('STERLING CATALOG - FZN &amp; CHILL'!E2452,"AAAAAH9v/B8=")</f>
        <v>#VALUE!</v>
      </c>
      <c r="AG350" t="e">
        <f>AND('STERLING CATALOG - FZN &amp; CHILL'!F2452,"AAAAAH9v/CA=")</f>
        <v>#VALUE!</v>
      </c>
      <c r="AH350" t="e">
        <f>AND('STERLING CATALOG - FZN &amp; CHILL'!G2452,"AAAAAH9v/CE=")</f>
        <v>#VALUE!</v>
      </c>
      <c r="AI350" t="e">
        <f>AND('STERLING CATALOG - FZN &amp; CHILL'!H2452,"AAAAAH9v/CI=")</f>
        <v>#VALUE!</v>
      </c>
      <c r="AJ350" t="e">
        <f>AND('STERLING CATALOG - FZN &amp; CHILL'!I2452,"AAAAAH9v/CM=")</f>
        <v>#VALUE!</v>
      </c>
      <c r="AK350" t="e">
        <f>AND('STERLING CATALOG - FZN &amp; CHILL'!J2452,"AAAAAH9v/CQ=")</f>
        <v>#VALUE!</v>
      </c>
      <c r="AL350">
        <f>IF('STERLING CATALOG - FZN &amp; CHILL'!2453:2453,"AAAAAH9v/CU=",0)</f>
        <v>0</v>
      </c>
      <c r="AM350" t="e">
        <f>AND('STERLING CATALOG - FZN &amp; CHILL'!A2453,"AAAAAH9v/CY=")</f>
        <v>#VALUE!</v>
      </c>
      <c r="AN350" t="e">
        <f>AND('STERLING CATALOG - FZN &amp; CHILL'!B2453,"AAAAAH9v/Cc=")</f>
        <v>#VALUE!</v>
      </c>
      <c r="AO350" t="e">
        <f>AND('STERLING CATALOG - FZN &amp; CHILL'!C2453,"AAAAAH9v/Cg=")</f>
        <v>#VALUE!</v>
      </c>
      <c r="AP350" t="e">
        <f>AND('STERLING CATALOG - FZN &amp; CHILL'!D2453,"AAAAAH9v/Ck=")</f>
        <v>#VALUE!</v>
      </c>
      <c r="AQ350" t="e">
        <f>AND('STERLING CATALOG - FZN &amp; CHILL'!E2453,"AAAAAH9v/Co=")</f>
        <v>#VALUE!</v>
      </c>
      <c r="AR350" t="e">
        <f>AND('STERLING CATALOG - FZN &amp; CHILL'!F2453,"AAAAAH9v/Cs=")</f>
        <v>#VALUE!</v>
      </c>
      <c r="AS350" t="e">
        <f>AND('STERLING CATALOG - FZN &amp; CHILL'!G2453,"AAAAAH9v/Cw=")</f>
        <v>#VALUE!</v>
      </c>
      <c r="AT350" t="e">
        <f>AND('STERLING CATALOG - FZN &amp; CHILL'!H2453,"AAAAAH9v/C0=")</f>
        <v>#VALUE!</v>
      </c>
      <c r="AU350" t="e">
        <f>AND('STERLING CATALOG - FZN &amp; CHILL'!I2453,"AAAAAH9v/C4=")</f>
        <v>#VALUE!</v>
      </c>
      <c r="AV350" t="e">
        <f>AND('STERLING CATALOG - FZN &amp; CHILL'!J2453,"AAAAAH9v/C8=")</f>
        <v>#VALUE!</v>
      </c>
      <c r="AW350">
        <f>IF('STERLING CATALOG - FZN &amp; CHILL'!2454:2454,"AAAAAH9v/DA=",0)</f>
        <v>0</v>
      </c>
      <c r="AX350" t="e">
        <f>AND('STERLING CATALOG - FZN &amp; CHILL'!A2454,"AAAAAH9v/DE=")</f>
        <v>#VALUE!</v>
      </c>
      <c r="AY350" t="e">
        <f>AND('STERLING CATALOG - FZN &amp; CHILL'!B2454,"AAAAAH9v/DI=")</f>
        <v>#VALUE!</v>
      </c>
      <c r="AZ350" t="e">
        <f>AND('STERLING CATALOG - FZN &amp; CHILL'!C2454,"AAAAAH9v/DM=")</f>
        <v>#VALUE!</v>
      </c>
      <c r="BA350" t="e">
        <f>AND('STERLING CATALOG - FZN &amp; CHILL'!D2454,"AAAAAH9v/DQ=")</f>
        <v>#VALUE!</v>
      </c>
      <c r="BB350" t="e">
        <f>AND('STERLING CATALOG - FZN &amp; CHILL'!E2454,"AAAAAH9v/DU=")</f>
        <v>#VALUE!</v>
      </c>
      <c r="BC350" t="e">
        <f>AND('STERLING CATALOG - FZN &amp; CHILL'!F2454,"AAAAAH9v/DY=")</f>
        <v>#VALUE!</v>
      </c>
      <c r="BD350" t="e">
        <f>AND('STERLING CATALOG - FZN &amp; CHILL'!G2454,"AAAAAH9v/Dc=")</f>
        <v>#VALUE!</v>
      </c>
      <c r="BE350" t="e">
        <f>AND('STERLING CATALOG - FZN &amp; CHILL'!H2454,"AAAAAH9v/Dg=")</f>
        <v>#VALUE!</v>
      </c>
      <c r="BF350" t="e">
        <f>AND('STERLING CATALOG - FZN &amp; CHILL'!I2454,"AAAAAH9v/Dk=")</f>
        <v>#VALUE!</v>
      </c>
      <c r="BG350" t="e">
        <f>AND('STERLING CATALOG - FZN &amp; CHILL'!J2454,"AAAAAH9v/Do=")</f>
        <v>#VALUE!</v>
      </c>
      <c r="BH350">
        <f>IF('STERLING CATALOG - FZN &amp; CHILL'!2455:2455,"AAAAAH9v/Ds=",0)</f>
        <v>0</v>
      </c>
      <c r="BI350" t="e">
        <f>AND('STERLING CATALOG - FZN &amp; CHILL'!A2455,"AAAAAH9v/Dw=")</f>
        <v>#VALUE!</v>
      </c>
      <c r="BJ350" t="e">
        <f>AND('STERLING CATALOG - FZN &amp; CHILL'!B2455,"AAAAAH9v/D0=")</f>
        <v>#VALUE!</v>
      </c>
      <c r="BK350" t="e">
        <f>AND('STERLING CATALOG - FZN &amp; CHILL'!C2455,"AAAAAH9v/D4=")</f>
        <v>#VALUE!</v>
      </c>
      <c r="BL350" t="e">
        <f>AND('STERLING CATALOG - FZN &amp; CHILL'!D2455,"AAAAAH9v/D8=")</f>
        <v>#VALUE!</v>
      </c>
      <c r="BM350" t="e">
        <f>AND('STERLING CATALOG - FZN &amp; CHILL'!E2455,"AAAAAH9v/EA=")</f>
        <v>#VALUE!</v>
      </c>
      <c r="BN350" t="e">
        <f>AND('STERLING CATALOG - FZN &amp; CHILL'!F2455,"AAAAAH9v/EE=")</f>
        <v>#VALUE!</v>
      </c>
      <c r="BO350" t="e">
        <f>AND('STERLING CATALOG - FZN &amp; CHILL'!G2455,"AAAAAH9v/EI=")</f>
        <v>#VALUE!</v>
      </c>
      <c r="BP350" t="e">
        <f>AND('STERLING CATALOG - FZN &amp; CHILL'!H2455,"AAAAAH9v/EM=")</f>
        <v>#VALUE!</v>
      </c>
      <c r="BQ350" t="e">
        <f>AND('STERLING CATALOG - FZN &amp; CHILL'!I2455,"AAAAAH9v/EQ=")</f>
        <v>#VALUE!</v>
      </c>
      <c r="BR350" t="e">
        <f>AND('STERLING CATALOG - FZN &amp; CHILL'!J2455,"AAAAAH9v/EU=")</f>
        <v>#VALUE!</v>
      </c>
      <c r="BS350">
        <f>IF('STERLING CATALOG - FZN &amp; CHILL'!2456:2456,"AAAAAH9v/EY=",0)</f>
        <v>0</v>
      </c>
      <c r="BT350" t="e">
        <f>AND('STERLING CATALOG - FZN &amp; CHILL'!A2456,"AAAAAH9v/Ec=")</f>
        <v>#VALUE!</v>
      </c>
      <c r="BU350" t="e">
        <f>AND('STERLING CATALOG - FZN &amp; CHILL'!B2456,"AAAAAH9v/Eg=")</f>
        <v>#VALUE!</v>
      </c>
      <c r="BV350" t="e">
        <f>AND('STERLING CATALOG - FZN &amp; CHILL'!C2456,"AAAAAH9v/Ek=")</f>
        <v>#VALUE!</v>
      </c>
      <c r="BW350" t="e">
        <f>AND('STERLING CATALOG - FZN &amp; CHILL'!D2456,"AAAAAH9v/Eo=")</f>
        <v>#VALUE!</v>
      </c>
      <c r="BX350" t="e">
        <f>AND('STERLING CATALOG - FZN &amp; CHILL'!E2456,"AAAAAH9v/Es=")</f>
        <v>#VALUE!</v>
      </c>
      <c r="BY350" t="e">
        <f>AND('STERLING CATALOG - FZN &amp; CHILL'!F2456,"AAAAAH9v/Ew=")</f>
        <v>#VALUE!</v>
      </c>
      <c r="BZ350" t="e">
        <f>AND('STERLING CATALOG - FZN &amp; CHILL'!G2456,"AAAAAH9v/E0=")</f>
        <v>#VALUE!</v>
      </c>
      <c r="CA350" t="e">
        <f>AND('STERLING CATALOG - FZN &amp; CHILL'!H2456,"AAAAAH9v/E4=")</f>
        <v>#VALUE!</v>
      </c>
      <c r="CB350" t="e">
        <f>AND('STERLING CATALOG - FZN &amp; CHILL'!I2456,"AAAAAH9v/E8=")</f>
        <v>#VALUE!</v>
      </c>
      <c r="CC350" t="e">
        <f>AND('STERLING CATALOG - FZN &amp; CHILL'!J2456,"AAAAAH9v/FA=")</f>
        <v>#VALUE!</v>
      </c>
      <c r="CD350">
        <f>IF('STERLING CATALOG - FZN &amp; CHILL'!2457:2457,"AAAAAH9v/FE=",0)</f>
        <v>0</v>
      </c>
      <c r="CE350" t="e">
        <f>AND('STERLING CATALOG - FZN &amp; CHILL'!A2457,"AAAAAH9v/FI=")</f>
        <v>#VALUE!</v>
      </c>
      <c r="CF350" t="e">
        <f>AND('STERLING CATALOG - FZN &amp; CHILL'!B2457,"AAAAAH9v/FM=")</f>
        <v>#VALUE!</v>
      </c>
      <c r="CG350" t="e">
        <f>AND('STERLING CATALOG - FZN &amp; CHILL'!C2457,"AAAAAH9v/FQ=")</f>
        <v>#VALUE!</v>
      </c>
      <c r="CH350" t="e">
        <f>AND('STERLING CATALOG - FZN &amp; CHILL'!D2457,"AAAAAH9v/FU=")</f>
        <v>#VALUE!</v>
      </c>
      <c r="CI350" t="e">
        <f>AND('STERLING CATALOG - FZN &amp; CHILL'!E2457,"AAAAAH9v/FY=")</f>
        <v>#VALUE!</v>
      </c>
      <c r="CJ350" t="e">
        <f>AND('STERLING CATALOG - FZN &amp; CHILL'!F2457,"AAAAAH9v/Fc=")</f>
        <v>#VALUE!</v>
      </c>
      <c r="CK350" t="e">
        <f>AND('STERLING CATALOG - FZN &amp; CHILL'!G2457,"AAAAAH9v/Fg=")</f>
        <v>#VALUE!</v>
      </c>
      <c r="CL350" t="e">
        <f>AND('STERLING CATALOG - FZN &amp; CHILL'!H2457,"AAAAAH9v/Fk=")</f>
        <v>#VALUE!</v>
      </c>
      <c r="CM350" t="e">
        <f>AND('STERLING CATALOG - FZN &amp; CHILL'!I2457,"AAAAAH9v/Fo=")</f>
        <v>#VALUE!</v>
      </c>
      <c r="CN350" t="e">
        <f>AND('STERLING CATALOG - FZN &amp; CHILL'!J2457,"AAAAAH9v/Fs=")</f>
        <v>#VALUE!</v>
      </c>
      <c r="CO350">
        <f>IF('STERLING CATALOG - FZN &amp; CHILL'!2458:2458,"AAAAAH9v/Fw=",0)</f>
        <v>0</v>
      </c>
      <c r="CP350" t="e">
        <f>AND('STERLING CATALOG - FZN &amp; CHILL'!A2458,"AAAAAH9v/F0=")</f>
        <v>#VALUE!</v>
      </c>
      <c r="CQ350" t="e">
        <f>AND('STERLING CATALOG - FZN &amp; CHILL'!B2458,"AAAAAH9v/F4=")</f>
        <v>#VALUE!</v>
      </c>
      <c r="CR350" t="e">
        <f>AND('STERLING CATALOG - FZN &amp; CHILL'!C2458,"AAAAAH9v/F8=")</f>
        <v>#VALUE!</v>
      </c>
      <c r="CS350" t="e">
        <f>AND('STERLING CATALOG - FZN &amp; CHILL'!D2458,"AAAAAH9v/GA=")</f>
        <v>#VALUE!</v>
      </c>
      <c r="CT350" t="e">
        <f>AND('STERLING CATALOG - FZN &amp; CHILL'!E2458,"AAAAAH9v/GE=")</f>
        <v>#VALUE!</v>
      </c>
      <c r="CU350" t="e">
        <f>AND('STERLING CATALOG - FZN &amp; CHILL'!F2458,"AAAAAH9v/GI=")</f>
        <v>#VALUE!</v>
      </c>
      <c r="CV350" t="e">
        <f>AND('STERLING CATALOG - FZN &amp; CHILL'!G2458,"AAAAAH9v/GM=")</f>
        <v>#VALUE!</v>
      </c>
      <c r="CW350" t="e">
        <f>AND('STERLING CATALOG - FZN &amp; CHILL'!H2458,"AAAAAH9v/GQ=")</f>
        <v>#VALUE!</v>
      </c>
      <c r="CX350" t="e">
        <f>AND('STERLING CATALOG - FZN &amp; CHILL'!I2458,"AAAAAH9v/GU=")</f>
        <v>#VALUE!</v>
      </c>
      <c r="CY350" t="e">
        <f>AND('STERLING CATALOG - FZN &amp; CHILL'!J2458,"AAAAAH9v/GY=")</f>
        <v>#VALUE!</v>
      </c>
      <c r="CZ350">
        <f>IF('STERLING CATALOG - FZN &amp; CHILL'!2459:2459,"AAAAAH9v/Gc=",0)</f>
        <v>0</v>
      </c>
      <c r="DA350" t="e">
        <f>AND('STERLING CATALOG - FZN &amp; CHILL'!A2459,"AAAAAH9v/Gg=")</f>
        <v>#VALUE!</v>
      </c>
      <c r="DB350" t="e">
        <f>AND('STERLING CATALOG - FZN &amp; CHILL'!B2459,"AAAAAH9v/Gk=")</f>
        <v>#VALUE!</v>
      </c>
      <c r="DC350" t="e">
        <f>AND('STERLING CATALOG - FZN &amp; CHILL'!C2459,"AAAAAH9v/Go=")</f>
        <v>#VALUE!</v>
      </c>
      <c r="DD350" t="e">
        <f>AND('STERLING CATALOG - FZN &amp; CHILL'!D2459,"AAAAAH9v/Gs=")</f>
        <v>#VALUE!</v>
      </c>
      <c r="DE350" t="e">
        <f>AND('STERLING CATALOG - FZN &amp; CHILL'!E2459,"AAAAAH9v/Gw=")</f>
        <v>#VALUE!</v>
      </c>
      <c r="DF350" t="e">
        <f>AND('STERLING CATALOG - FZN &amp; CHILL'!F2459,"AAAAAH9v/G0=")</f>
        <v>#VALUE!</v>
      </c>
      <c r="DG350" t="e">
        <f>AND('STERLING CATALOG - FZN &amp; CHILL'!G2459,"AAAAAH9v/G4=")</f>
        <v>#VALUE!</v>
      </c>
      <c r="DH350" t="e">
        <f>AND('STERLING CATALOG - FZN &amp; CHILL'!H2459,"AAAAAH9v/G8=")</f>
        <v>#VALUE!</v>
      </c>
      <c r="DI350" t="e">
        <f>AND('STERLING CATALOG - FZN &amp; CHILL'!I2459,"AAAAAH9v/HA=")</f>
        <v>#VALUE!</v>
      </c>
      <c r="DJ350" t="e">
        <f>AND('STERLING CATALOG - FZN &amp; CHILL'!J2459,"AAAAAH9v/HE=")</f>
        <v>#VALUE!</v>
      </c>
      <c r="DK350">
        <f>IF('STERLING CATALOG - FZN &amp; CHILL'!2460:2460,"AAAAAH9v/HI=",0)</f>
        <v>0</v>
      </c>
      <c r="DL350" t="e">
        <f>AND('STERLING CATALOG - FZN &amp; CHILL'!A2460,"AAAAAH9v/HM=")</f>
        <v>#VALUE!</v>
      </c>
      <c r="DM350" t="e">
        <f>AND('STERLING CATALOG - FZN &amp; CHILL'!B2460,"AAAAAH9v/HQ=")</f>
        <v>#VALUE!</v>
      </c>
      <c r="DN350" t="e">
        <f>AND('STERLING CATALOG - FZN &amp; CHILL'!C2460,"AAAAAH9v/HU=")</f>
        <v>#VALUE!</v>
      </c>
      <c r="DO350" t="e">
        <f>AND('STERLING CATALOG - FZN &amp; CHILL'!D2460,"AAAAAH9v/HY=")</f>
        <v>#VALUE!</v>
      </c>
      <c r="DP350" t="e">
        <f>AND('STERLING CATALOG - FZN &amp; CHILL'!E2460,"AAAAAH9v/Hc=")</f>
        <v>#VALUE!</v>
      </c>
      <c r="DQ350" t="e">
        <f>AND('STERLING CATALOG - FZN &amp; CHILL'!F2460,"AAAAAH9v/Hg=")</f>
        <v>#VALUE!</v>
      </c>
      <c r="DR350" t="e">
        <f>AND('STERLING CATALOG - FZN &amp; CHILL'!G2460,"AAAAAH9v/Hk=")</f>
        <v>#VALUE!</v>
      </c>
      <c r="DS350" t="e">
        <f>AND('STERLING CATALOG - FZN &amp; CHILL'!H2460,"AAAAAH9v/Ho=")</f>
        <v>#VALUE!</v>
      </c>
      <c r="DT350" t="e">
        <f>AND('STERLING CATALOG - FZN &amp; CHILL'!I2460,"AAAAAH9v/Hs=")</f>
        <v>#VALUE!</v>
      </c>
      <c r="DU350" t="e">
        <f>AND('STERLING CATALOG - FZN &amp; CHILL'!J2460,"AAAAAH9v/Hw=")</f>
        <v>#VALUE!</v>
      </c>
      <c r="DV350">
        <f>IF('STERLING CATALOG - FZN &amp; CHILL'!2461:2461,"AAAAAH9v/H0=",0)</f>
        <v>0</v>
      </c>
      <c r="DW350" t="e">
        <f>AND('STERLING CATALOG - FZN &amp; CHILL'!A2461,"AAAAAH9v/H4=")</f>
        <v>#VALUE!</v>
      </c>
      <c r="DX350" t="e">
        <f>AND('STERLING CATALOG - FZN &amp; CHILL'!B2461,"AAAAAH9v/H8=")</f>
        <v>#VALUE!</v>
      </c>
      <c r="DY350" t="e">
        <f>AND('STERLING CATALOG - FZN &amp; CHILL'!C2461,"AAAAAH9v/IA=")</f>
        <v>#VALUE!</v>
      </c>
      <c r="DZ350" t="e">
        <f>AND('STERLING CATALOG - FZN &amp; CHILL'!D2461,"AAAAAH9v/IE=")</f>
        <v>#VALUE!</v>
      </c>
      <c r="EA350" t="e">
        <f>AND('STERLING CATALOG - FZN &amp; CHILL'!E2461,"AAAAAH9v/II=")</f>
        <v>#VALUE!</v>
      </c>
      <c r="EB350" t="e">
        <f>AND('STERLING CATALOG - FZN &amp; CHILL'!F2461,"AAAAAH9v/IM=")</f>
        <v>#VALUE!</v>
      </c>
      <c r="EC350" t="e">
        <f>AND('STERLING CATALOG - FZN &amp; CHILL'!G2461,"AAAAAH9v/IQ=")</f>
        <v>#VALUE!</v>
      </c>
      <c r="ED350" t="e">
        <f>AND('STERLING CATALOG - FZN &amp; CHILL'!H2461,"AAAAAH9v/IU=")</f>
        <v>#VALUE!</v>
      </c>
      <c r="EE350" t="e">
        <f>AND('STERLING CATALOG - FZN &amp; CHILL'!I2461,"AAAAAH9v/IY=")</f>
        <v>#VALUE!</v>
      </c>
      <c r="EF350" t="e">
        <f>AND('STERLING CATALOG - FZN &amp; CHILL'!J2461,"AAAAAH9v/Ic=")</f>
        <v>#VALUE!</v>
      </c>
      <c r="EG350">
        <f>IF('STERLING CATALOG - FZN &amp; CHILL'!2462:2462,"AAAAAH9v/Ig=",0)</f>
        <v>0</v>
      </c>
      <c r="EH350" t="e">
        <f>AND('STERLING CATALOG - FZN &amp; CHILL'!A2462,"AAAAAH9v/Ik=")</f>
        <v>#VALUE!</v>
      </c>
      <c r="EI350" t="e">
        <f>AND('STERLING CATALOG - FZN &amp; CHILL'!B2462,"AAAAAH9v/Io=")</f>
        <v>#VALUE!</v>
      </c>
      <c r="EJ350" t="e">
        <f>AND('STERLING CATALOG - FZN &amp; CHILL'!C2462,"AAAAAH9v/Is=")</f>
        <v>#VALUE!</v>
      </c>
      <c r="EK350" t="e">
        <f>AND('STERLING CATALOG - FZN &amp; CHILL'!D2462,"AAAAAH9v/Iw=")</f>
        <v>#VALUE!</v>
      </c>
      <c r="EL350" t="e">
        <f>AND('STERLING CATALOG - FZN &amp; CHILL'!E2462,"AAAAAH9v/I0=")</f>
        <v>#VALUE!</v>
      </c>
      <c r="EM350" t="e">
        <f>AND('STERLING CATALOG - FZN &amp; CHILL'!F2462,"AAAAAH9v/I4=")</f>
        <v>#VALUE!</v>
      </c>
      <c r="EN350" t="e">
        <f>AND('STERLING CATALOG - FZN &amp; CHILL'!G2462,"AAAAAH9v/I8=")</f>
        <v>#VALUE!</v>
      </c>
      <c r="EO350" t="e">
        <f>AND('STERLING CATALOG - FZN &amp; CHILL'!H2462,"AAAAAH9v/JA=")</f>
        <v>#VALUE!</v>
      </c>
      <c r="EP350" t="e">
        <f>AND('STERLING CATALOG - FZN &amp; CHILL'!I2462,"AAAAAH9v/JE=")</f>
        <v>#VALUE!</v>
      </c>
      <c r="EQ350" t="e">
        <f>AND('STERLING CATALOG - FZN &amp; CHILL'!J2462,"AAAAAH9v/JI=")</f>
        <v>#VALUE!</v>
      </c>
      <c r="ER350">
        <f>IF('STERLING CATALOG - FZN &amp; CHILL'!2463:2463,"AAAAAH9v/JM=",0)</f>
        <v>0</v>
      </c>
      <c r="ES350" t="e">
        <f>AND('STERLING CATALOG - FZN &amp; CHILL'!A2463,"AAAAAH9v/JQ=")</f>
        <v>#VALUE!</v>
      </c>
      <c r="ET350" t="e">
        <f>AND('STERLING CATALOG - FZN &amp; CHILL'!B2463,"AAAAAH9v/JU=")</f>
        <v>#VALUE!</v>
      </c>
      <c r="EU350" t="e">
        <f>AND('STERLING CATALOG - FZN &amp; CHILL'!C2463,"AAAAAH9v/JY=")</f>
        <v>#VALUE!</v>
      </c>
      <c r="EV350" t="e">
        <f>AND('STERLING CATALOG - FZN &amp; CHILL'!D2463,"AAAAAH9v/Jc=")</f>
        <v>#VALUE!</v>
      </c>
      <c r="EW350" t="e">
        <f>AND('STERLING CATALOG - FZN &amp; CHILL'!E2463,"AAAAAH9v/Jg=")</f>
        <v>#VALUE!</v>
      </c>
      <c r="EX350" t="e">
        <f>AND('STERLING CATALOG - FZN &amp; CHILL'!F2463,"AAAAAH9v/Jk=")</f>
        <v>#VALUE!</v>
      </c>
      <c r="EY350" t="e">
        <f>AND('STERLING CATALOG - FZN &amp; CHILL'!G2463,"AAAAAH9v/Jo=")</f>
        <v>#VALUE!</v>
      </c>
      <c r="EZ350" t="e">
        <f>AND('STERLING CATALOG - FZN &amp; CHILL'!H2463,"AAAAAH9v/Js=")</f>
        <v>#VALUE!</v>
      </c>
      <c r="FA350" t="e">
        <f>AND('STERLING CATALOG - FZN &amp; CHILL'!I2463,"AAAAAH9v/Jw=")</f>
        <v>#VALUE!</v>
      </c>
      <c r="FB350" t="e">
        <f>AND('STERLING CATALOG - FZN &amp; CHILL'!J2463,"AAAAAH9v/J0=")</f>
        <v>#VALUE!</v>
      </c>
      <c r="FC350">
        <f>IF('STERLING CATALOG - FZN &amp; CHILL'!2464:2464,"AAAAAH9v/J4=",0)</f>
        <v>0</v>
      </c>
      <c r="FD350" t="e">
        <f>AND('STERLING CATALOG - FZN &amp; CHILL'!A2464,"AAAAAH9v/J8=")</f>
        <v>#VALUE!</v>
      </c>
      <c r="FE350" t="e">
        <f>AND('STERLING CATALOG - FZN &amp; CHILL'!B2464,"AAAAAH9v/KA=")</f>
        <v>#VALUE!</v>
      </c>
      <c r="FF350" t="e">
        <f>AND('STERLING CATALOG - FZN &amp; CHILL'!C2464,"AAAAAH9v/KE=")</f>
        <v>#VALUE!</v>
      </c>
      <c r="FG350" t="e">
        <f>AND('STERLING CATALOG - FZN &amp; CHILL'!D2464,"AAAAAH9v/KI=")</f>
        <v>#VALUE!</v>
      </c>
      <c r="FH350" t="e">
        <f>AND('STERLING CATALOG - FZN &amp; CHILL'!E2464,"AAAAAH9v/KM=")</f>
        <v>#VALUE!</v>
      </c>
      <c r="FI350" t="e">
        <f>AND('STERLING CATALOG - FZN &amp; CHILL'!F2464,"AAAAAH9v/KQ=")</f>
        <v>#VALUE!</v>
      </c>
      <c r="FJ350" t="e">
        <f>AND('STERLING CATALOG - FZN &amp; CHILL'!G2464,"AAAAAH9v/KU=")</f>
        <v>#VALUE!</v>
      </c>
      <c r="FK350" t="e">
        <f>AND('STERLING CATALOG - FZN &amp; CHILL'!H2464,"AAAAAH9v/KY=")</f>
        <v>#VALUE!</v>
      </c>
      <c r="FL350" t="e">
        <f>AND('STERLING CATALOG - FZN &amp; CHILL'!I2464,"AAAAAH9v/Kc=")</f>
        <v>#VALUE!</v>
      </c>
      <c r="FM350" t="e">
        <f>AND('STERLING CATALOG - FZN &amp; CHILL'!J2464,"AAAAAH9v/Kg=")</f>
        <v>#VALUE!</v>
      </c>
      <c r="FN350">
        <f>IF('STERLING CATALOG - FZN &amp; CHILL'!2465:2465,"AAAAAH9v/Kk=",0)</f>
        <v>0</v>
      </c>
      <c r="FO350" t="e">
        <f>AND('STERLING CATALOG - FZN &amp; CHILL'!A2465,"AAAAAH9v/Ko=")</f>
        <v>#VALUE!</v>
      </c>
      <c r="FP350" t="e">
        <f>AND('STERLING CATALOG - FZN &amp; CHILL'!B2465,"AAAAAH9v/Ks=")</f>
        <v>#VALUE!</v>
      </c>
      <c r="FQ350" t="e">
        <f>AND('STERLING CATALOG - FZN &amp; CHILL'!C2465,"AAAAAH9v/Kw=")</f>
        <v>#VALUE!</v>
      </c>
      <c r="FR350" t="e">
        <f>AND('STERLING CATALOG - FZN &amp; CHILL'!D2465,"AAAAAH9v/K0=")</f>
        <v>#VALUE!</v>
      </c>
      <c r="FS350" t="e">
        <f>AND('STERLING CATALOG - FZN &amp; CHILL'!E2465,"AAAAAH9v/K4=")</f>
        <v>#VALUE!</v>
      </c>
      <c r="FT350" t="e">
        <f>AND('STERLING CATALOG - FZN &amp; CHILL'!F2465,"AAAAAH9v/K8=")</f>
        <v>#VALUE!</v>
      </c>
      <c r="FU350" t="e">
        <f>AND('STERLING CATALOG - FZN &amp; CHILL'!G2465,"AAAAAH9v/LA=")</f>
        <v>#VALUE!</v>
      </c>
      <c r="FV350" t="e">
        <f>AND('STERLING CATALOG - FZN &amp; CHILL'!H2465,"AAAAAH9v/LE=")</f>
        <v>#VALUE!</v>
      </c>
      <c r="FW350" t="e">
        <f>AND('STERLING CATALOG - FZN &amp; CHILL'!I2465,"AAAAAH9v/LI=")</f>
        <v>#VALUE!</v>
      </c>
      <c r="FX350" t="e">
        <f>AND('STERLING CATALOG - FZN &amp; CHILL'!J2465,"AAAAAH9v/LM=")</f>
        <v>#VALUE!</v>
      </c>
      <c r="FY350">
        <f>IF('STERLING CATALOG - FZN &amp; CHILL'!2466:2466,"AAAAAH9v/LQ=",0)</f>
        <v>0</v>
      </c>
      <c r="FZ350" t="e">
        <f>AND('STERLING CATALOG - FZN &amp; CHILL'!A2466,"AAAAAH9v/LU=")</f>
        <v>#VALUE!</v>
      </c>
      <c r="GA350" t="e">
        <f>AND('STERLING CATALOG - FZN &amp; CHILL'!B2466,"AAAAAH9v/LY=")</f>
        <v>#VALUE!</v>
      </c>
      <c r="GB350" t="e">
        <f>AND('STERLING CATALOG - FZN &amp; CHILL'!C2466,"AAAAAH9v/Lc=")</f>
        <v>#VALUE!</v>
      </c>
      <c r="GC350" t="e">
        <f>AND('STERLING CATALOG - FZN &amp; CHILL'!D2466,"AAAAAH9v/Lg=")</f>
        <v>#VALUE!</v>
      </c>
      <c r="GD350" t="e">
        <f>AND('STERLING CATALOG - FZN &amp; CHILL'!E2466,"AAAAAH9v/Lk=")</f>
        <v>#VALUE!</v>
      </c>
      <c r="GE350" t="e">
        <f>AND('STERLING CATALOG - FZN &amp; CHILL'!F2466,"AAAAAH9v/Lo=")</f>
        <v>#VALUE!</v>
      </c>
      <c r="GF350" t="e">
        <f>AND('STERLING CATALOG - FZN &amp; CHILL'!G2466,"AAAAAH9v/Ls=")</f>
        <v>#VALUE!</v>
      </c>
      <c r="GG350" t="e">
        <f>AND('STERLING CATALOG - FZN &amp; CHILL'!H2466,"AAAAAH9v/Lw=")</f>
        <v>#VALUE!</v>
      </c>
      <c r="GH350" t="e">
        <f>AND('STERLING CATALOG - FZN &amp; CHILL'!I2466,"AAAAAH9v/L0=")</f>
        <v>#VALUE!</v>
      </c>
      <c r="GI350" t="e">
        <f>AND('STERLING CATALOG - FZN &amp; CHILL'!J2466,"AAAAAH9v/L4=")</f>
        <v>#VALUE!</v>
      </c>
      <c r="GJ350">
        <f>IF('STERLING CATALOG - FZN &amp; CHILL'!2467:2467,"AAAAAH9v/L8=",0)</f>
        <v>0</v>
      </c>
      <c r="GK350" t="e">
        <f>AND('STERLING CATALOG - FZN &amp; CHILL'!A2467,"AAAAAH9v/MA=")</f>
        <v>#VALUE!</v>
      </c>
      <c r="GL350" t="e">
        <f>AND('STERLING CATALOG - FZN &amp; CHILL'!B2467,"AAAAAH9v/ME=")</f>
        <v>#VALUE!</v>
      </c>
      <c r="GM350" t="e">
        <f>AND('STERLING CATALOG - FZN &amp; CHILL'!C2467,"AAAAAH9v/MI=")</f>
        <v>#VALUE!</v>
      </c>
      <c r="GN350" t="e">
        <f>AND('STERLING CATALOG - FZN &amp; CHILL'!D2467,"AAAAAH9v/MM=")</f>
        <v>#VALUE!</v>
      </c>
      <c r="GO350" t="e">
        <f>AND('STERLING CATALOG - FZN &amp; CHILL'!E2467,"AAAAAH9v/MQ=")</f>
        <v>#VALUE!</v>
      </c>
      <c r="GP350" t="e">
        <f>AND('STERLING CATALOG - FZN &amp; CHILL'!F2467,"AAAAAH9v/MU=")</f>
        <v>#VALUE!</v>
      </c>
      <c r="GQ350" t="e">
        <f>AND('STERLING CATALOG - FZN &amp; CHILL'!G2467,"AAAAAH9v/MY=")</f>
        <v>#VALUE!</v>
      </c>
      <c r="GR350" t="e">
        <f>AND('STERLING CATALOG - FZN &amp; CHILL'!H2467,"AAAAAH9v/Mc=")</f>
        <v>#VALUE!</v>
      </c>
      <c r="GS350" t="e">
        <f>AND('STERLING CATALOG - FZN &amp; CHILL'!I2467,"AAAAAH9v/Mg=")</f>
        <v>#VALUE!</v>
      </c>
      <c r="GT350" t="e">
        <f>AND('STERLING CATALOG - FZN &amp; CHILL'!J2467,"AAAAAH9v/Mk=")</f>
        <v>#VALUE!</v>
      </c>
      <c r="GU350">
        <f>IF('STERLING CATALOG - FZN &amp; CHILL'!2468:2468,"AAAAAH9v/Mo=",0)</f>
        <v>0</v>
      </c>
      <c r="GV350" t="e">
        <f>AND('STERLING CATALOG - FZN &amp; CHILL'!A2468,"AAAAAH9v/Ms=")</f>
        <v>#VALUE!</v>
      </c>
      <c r="GW350" t="e">
        <f>AND('STERLING CATALOG - FZN &amp; CHILL'!B2468,"AAAAAH9v/Mw=")</f>
        <v>#VALUE!</v>
      </c>
      <c r="GX350" t="e">
        <f>AND('STERLING CATALOG - FZN &amp; CHILL'!C2468,"AAAAAH9v/M0=")</f>
        <v>#VALUE!</v>
      </c>
      <c r="GY350" t="e">
        <f>AND('STERLING CATALOG - FZN &amp; CHILL'!D2468,"AAAAAH9v/M4=")</f>
        <v>#VALUE!</v>
      </c>
      <c r="GZ350" t="e">
        <f>AND('STERLING CATALOG - FZN &amp; CHILL'!E2468,"AAAAAH9v/M8=")</f>
        <v>#VALUE!</v>
      </c>
      <c r="HA350" t="e">
        <f>AND('STERLING CATALOG - FZN &amp; CHILL'!F2468,"AAAAAH9v/NA=")</f>
        <v>#VALUE!</v>
      </c>
      <c r="HB350" t="e">
        <f>AND('STERLING CATALOG - FZN &amp; CHILL'!G2468,"AAAAAH9v/NE=")</f>
        <v>#VALUE!</v>
      </c>
      <c r="HC350" t="e">
        <f>AND('STERLING CATALOG - FZN &amp; CHILL'!H2468,"AAAAAH9v/NI=")</f>
        <v>#VALUE!</v>
      </c>
      <c r="HD350" t="e">
        <f>AND('STERLING CATALOG - FZN &amp; CHILL'!I2468,"AAAAAH9v/NM=")</f>
        <v>#VALUE!</v>
      </c>
      <c r="HE350" t="e">
        <f>AND('STERLING CATALOG - FZN &amp; CHILL'!J2468,"AAAAAH9v/NQ=")</f>
        <v>#VALUE!</v>
      </c>
      <c r="HF350">
        <f>IF('STERLING CATALOG - FZN &amp; CHILL'!2469:2469,"AAAAAH9v/NU=",0)</f>
        <v>0</v>
      </c>
      <c r="HG350" t="e">
        <f>AND('STERLING CATALOG - FZN &amp; CHILL'!A2469,"AAAAAH9v/NY=")</f>
        <v>#VALUE!</v>
      </c>
      <c r="HH350" t="e">
        <f>AND('STERLING CATALOG - FZN &amp; CHILL'!B2469,"AAAAAH9v/Nc=")</f>
        <v>#VALUE!</v>
      </c>
      <c r="HI350" t="e">
        <f>AND('STERLING CATALOG - FZN &amp; CHILL'!C2469,"AAAAAH9v/Ng=")</f>
        <v>#VALUE!</v>
      </c>
      <c r="HJ350" t="e">
        <f>AND('STERLING CATALOG - FZN &amp; CHILL'!D2469,"AAAAAH9v/Nk=")</f>
        <v>#VALUE!</v>
      </c>
      <c r="HK350" t="e">
        <f>AND('STERLING CATALOG - FZN &amp; CHILL'!E2469,"AAAAAH9v/No=")</f>
        <v>#VALUE!</v>
      </c>
      <c r="HL350" t="e">
        <f>AND('STERLING CATALOG - FZN &amp; CHILL'!F2469,"AAAAAH9v/Ns=")</f>
        <v>#VALUE!</v>
      </c>
      <c r="HM350" t="e">
        <f>AND('STERLING CATALOG - FZN &amp; CHILL'!G2469,"AAAAAH9v/Nw=")</f>
        <v>#VALUE!</v>
      </c>
      <c r="HN350" t="e">
        <f>AND('STERLING CATALOG - FZN &amp; CHILL'!H2469,"AAAAAH9v/N0=")</f>
        <v>#VALUE!</v>
      </c>
      <c r="HO350" t="e">
        <f>AND('STERLING CATALOG - FZN &amp; CHILL'!I2469,"AAAAAH9v/N4=")</f>
        <v>#VALUE!</v>
      </c>
      <c r="HP350" t="e">
        <f>AND('STERLING CATALOG - FZN &amp; CHILL'!J2469,"AAAAAH9v/N8=")</f>
        <v>#VALUE!</v>
      </c>
      <c r="HQ350">
        <f>IF('STERLING CATALOG - FZN &amp; CHILL'!2470:2470,"AAAAAH9v/OA=",0)</f>
        <v>0</v>
      </c>
      <c r="HR350" t="e">
        <f>AND('STERLING CATALOG - FZN &amp; CHILL'!A2470,"AAAAAH9v/OE=")</f>
        <v>#VALUE!</v>
      </c>
      <c r="HS350" t="e">
        <f>AND('STERLING CATALOG - FZN &amp; CHILL'!B2470,"AAAAAH9v/OI=")</f>
        <v>#VALUE!</v>
      </c>
      <c r="HT350" t="e">
        <f>AND('STERLING CATALOG - FZN &amp; CHILL'!C2470,"AAAAAH9v/OM=")</f>
        <v>#VALUE!</v>
      </c>
      <c r="HU350" t="e">
        <f>AND('STERLING CATALOG - FZN &amp; CHILL'!D2470,"AAAAAH9v/OQ=")</f>
        <v>#VALUE!</v>
      </c>
      <c r="HV350" t="e">
        <f>AND('STERLING CATALOG - FZN &amp; CHILL'!E2470,"AAAAAH9v/OU=")</f>
        <v>#VALUE!</v>
      </c>
      <c r="HW350" t="e">
        <f>AND('STERLING CATALOG - FZN &amp; CHILL'!F2470,"AAAAAH9v/OY=")</f>
        <v>#VALUE!</v>
      </c>
      <c r="HX350" t="e">
        <f>AND('STERLING CATALOG - FZN &amp; CHILL'!G2470,"AAAAAH9v/Oc=")</f>
        <v>#VALUE!</v>
      </c>
      <c r="HY350" t="e">
        <f>AND('STERLING CATALOG - FZN &amp; CHILL'!H2470,"AAAAAH9v/Og=")</f>
        <v>#VALUE!</v>
      </c>
      <c r="HZ350" t="e">
        <f>AND('STERLING CATALOG - FZN &amp; CHILL'!I2470,"AAAAAH9v/Ok=")</f>
        <v>#VALUE!</v>
      </c>
      <c r="IA350" t="e">
        <f>AND('STERLING CATALOG - FZN &amp; CHILL'!J2470,"AAAAAH9v/Oo=")</f>
        <v>#VALUE!</v>
      </c>
      <c r="IB350">
        <f>IF('STERLING CATALOG - FZN &amp; CHILL'!2471:2471,"AAAAAH9v/Os=",0)</f>
        <v>0</v>
      </c>
      <c r="IC350" t="e">
        <f>AND('STERLING CATALOG - FZN &amp; CHILL'!A2471,"AAAAAH9v/Ow=")</f>
        <v>#VALUE!</v>
      </c>
      <c r="ID350" t="e">
        <f>AND('STERLING CATALOG - FZN &amp; CHILL'!B2471,"AAAAAH9v/O0=")</f>
        <v>#VALUE!</v>
      </c>
      <c r="IE350" t="e">
        <f>AND('STERLING CATALOG - FZN &amp; CHILL'!C2471,"AAAAAH9v/O4=")</f>
        <v>#VALUE!</v>
      </c>
      <c r="IF350" t="e">
        <f>AND('STERLING CATALOG - FZN &amp; CHILL'!D2471,"AAAAAH9v/O8=")</f>
        <v>#VALUE!</v>
      </c>
      <c r="IG350" t="e">
        <f>AND('STERLING CATALOG - FZN &amp; CHILL'!E2471,"AAAAAH9v/PA=")</f>
        <v>#VALUE!</v>
      </c>
      <c r="IH350" t="e">
        <f>AND('STERLING CATALOG - FZN &amp; CHILL'!F2471,"AAAAAH9v/PE=")</f>
        <v>#VALUE!</v>
      </c>
      <c r="II350" t="e">
        <f>AND('STERLING CATALOG - FZN &amp; CHILL'!G2471,"AAAAAH9v/PI=")</f>
        <v>#VALUE!</v>
      </c>
      <c r="IJ350" t="e">
        <f>AND('STERLING CATALOG - FZN &amp; CHILL'!H2471,"AAAAAH9v/PM=")</f>
        <v>#VALUE!</v>
      </c>
      <c r="IK350" t="e">
        <f>AND('STERLING CATALOG - FZN &amp; CHILL'!I2471,"AAAAAH9v/PQ=")</f>
        <v>#VALUE!</v>
      </c>
      <c r="IL350" t="e">
        <f>AND('STERLING CATALOG - FZN &amp; CHILL'!J2471,"AAAAAH9v/PU=")</f>
        <v>#VALUE!</v>
      </c>
      <c r="IM350">
        <f>IF('STERLING CATALOG - FZN &amp; CHILL'!2472:2472,"AAAAAH9v/PY=",0)</f>
        <v>0</v>
      </c>
      <c r="IN350" t="e">
        <f>AND('STERLING CATALOG - FZN &amp; CHILL'!A2472,"AAAAAH9v/Pc=")</f>
        <v>#VALUE!</v>
      </c>
      <c r="IO350" t="e">
        <f>AND('STERLING CATALOG - FZN &amp; CHILL'!B2472,"AAAAAH9v/Pg=")</f>
        <v>#VALUE!</v>
      </c>
      <c r="IP350" t="e">
        <f>AND('STERLING CATALOG - FZN &amp; CHILL'!C2472,"AAAAAH9v/Pk=")</f>
        <v>#VALUE!</v>
      </c>
      <c r="IQ350" t="e">
        <f>AND('STERLING CATALOG - FZN &amp; CHILL'!D2472,"AAAAAH9v/Po=")</f>
        <v>#VALUE!</v>
      </c>
      <c r="IR350" t="e">
        <f>AND('STERLING CATALOG - FZN &amp; CHILL'!E2472,"AAAAAH9v/Ps=")</f>
        <v>#VALUE!</v>
      </c>
      <c r="IS350" t="e">
        <f>AND('STERLING CATALOG - FZN &amp; CHILL'!F2472,"AAAAAH9v/Pw=")</f>
        <v>#VALUE!</v>
      </c>
      <c r="IT350" t="e">
        <f>AND('STERLING CATALOG - FZN &amp; CHILL'!G2472,"AAAAAH9v/P0=")</f>
        <v>#VALUE!</v>
      </c>
      <c r="IU350" t="e">
        <f>AND('STERLING CATALOG - FZN &amp; CHILL'!H2472,"AAAAAH9v/P4=")</f>
        <v>#VALUE!</v>
      </c>
      <c r="IV350" t="e">
        <f>AND('STERLING CATALOG - FZN &amp; CHILL'!I2472,"AAAAAH9v/P8=")</f>
        <v>#VALUE!</v>
      </c>
    </row>
    <row r="351" spans="1:256">
      <c r="A351" t="e">
        <f>AND('STERLING CATALOG - FZN &amp; CHILL'!J2472,"AAAAAH//wwA=")</f>
        <v>#VALUE!</v>
      </c>
      <c r="B351" t="str">
        <f>IF('STERLING CATALOG - FZN &amp; CHILL'!2473:2473,"AAAAAH//wwE=",0)</f>
        <v>AAAAAH//wwE=</v>
      </c>
      <c r="C351" t="e">
        <f>AND('STERLING CATALOG - FZN &amp; CHILL'!A2473,"AAAAAH//wwI=")</f>
        <v>#VALUE!</v>
      </c>
      <c r="D351" t="e">
        <f>AND('STERLING CATALOG - FZN &amp; CHILL'!B2473,"AAAAAH//wwM=")</f>
        <v>#VALUE!</v>
      </c>
      <c r="E351" t="e">
        <f>AND('STERLING CATALOG - FZN &amp; CHILL'!C2473,"AAAAAH//wwQ=")</f>
        <v>#VALUE!</v>
      </c>
      <c r="F351" t="e">
        <f>AND('STERLING CATALOG - FZN &amp; CHILL'!D2473,"AAAAAH//wwU=")</f>
        <v>#VALUE!</v>
      </c>
      <c r="G351" t="e">
        <f>AND('STERLING CATALOG - FZN &amp; CHILL'!E2473,"AAAAAH//wwY=")</f>
        <v>#VALUE!</v>
      </c>
      <c r="H351" t="e">
        <f>AND('STERLING CATALOG - FZN &amp; CHILL'!F2473,"AAAAAH//wwc=")</f>
        <v>#VALUE!</v>
      </c>
      <c r="I351" t="e">
        <f>AND('STERLING CATALOG - FZN &amp; CHILL'!G2473,"AAAAAH//wwg=")</f>
        <v>#VALUE!</v>
      </c>
      <c r="J351" t="e">
        <f>AND('STERLING CATALOG - FZN &amp; CHILL'!H2473,"AAAAAH//wwk=")</f>
        <v>#VALUE!</v>
      </c>
      <c r="K351" t="e">
        <f>AND('STERLING CATALOG - FZN &amp; CHILL'!I2473,"AAAAAH//wwo=")</f>
        <v>#VALUE!</v>
      </c>
      <c r="L351" t="e">
        <f>AND('STERLING CATALOG - FZN &amp; CHILL'!J2473,"AAAAAH//wws=")</f>
        <v>#VALUE!</v>
      </c>
      <c r="M351">
        <f>IF('STERLING CATALOG - FZN &amp; CHILL'!2474:2474,"AAAAAH//www=",0)</f>
        <v>0</v>
      </c>
      <c r="N351" t="e">
        <f>AND('STERLING CATALOG - FZN &amp; CHILL'!A2474,"AAAAAH//ww0=")</f>
        <v>#VALUE!</v>
      </c>
      <c r="O351" t="e">
        <f>AND('STERLING CATALOG - FZN &amp; CHILL'!B2474,"AAAAAH//ww4=")</f>
        <v>#VALUE!</v>
      </c>
      <c r="P351" t="e">
        <f>AND('STERLING CATALOG - FZN &amp; CHILL'!C2474,"AAAAAH//ww8=")</f>
        <v>#VALUE!</v>
      </c>
      <c r="Q351" t="e">
        <f>AND('STERLING CATALOG - FZN &amp; CHILL'!D2474,"AAAAAH//wxA=")</f>
        <v>#VALUE!</v>
      </c>
      <c r="R351" t="e">
        <f>AND('STERLING CATALOG - FZN &amp; CHILL'!E2474,"AAAAAH//wxE=")</f>
        <v>#VALUE!</v>
      </c>
      <c r="S351" t="e">
        <f>AND('STERLING CATALOG - FZN &amp; CHILL'!F2474,"AAAAAH//wxI=")</f>
        <v>#VALUE!</v>
      </c>
      <c r="T351" t="e">
        <f>AND('STERLING CATALOG - FZN &amp; CHILL'!G2474,"AAAAAH//wxM=")</f>
        <v>#VALUE!</v>
      </c>
      <c r="U351" t="e">
        <f>AND('STERLING CATALOG - FZN &amp; CHILL'!H2474,"AAAAAH//wxQ=")</f>
        <v>#VALUE!</v>
      </c>
      <c r="V351" t="e">
        <f>AND('STERLING CATALOG - FZN &amp; CHILL'!I2474,"AAAAAH//wxU=")</f>
        <v>#VALUE!</v>
      </c>
      <c r="W351" t="e">
        <f>AND('STERLING CATALOG - FZN &amp; CHILL'!J2474,"AAAAAH//wxY=")</f>
        <v>#VALUE!</v>
      </c>
      <c r="X351">
        <f>IF('STERLING CATALOG - FZN &amp; CHILL'!2475:2475,"AAAAAH//wxc=",0)</f>
        <v>0</v>
      </c>
      <c r="Y351" t="e">
        <f>AND('STERLING CATALOG - FZN &amp; CHILL'!A2475,"AAAAAH//wxg=")</f>
        <v>#VALUE!</v>
      </c>
      <c r="Z351" t="e">
        <f>AND('STERLING CATALOG - FZN &amp; CHILL'!B2475,"AAAAAH//wxk=")</f>
        <v>#VALUE!</v>
      </c>
      <c r="AA351" t="e">
        <f>AND('STERLING CATALOG - FZN &amp; CHILL'!C2475,"AAAAAH//wxo=")</f>
        <v>#VALUE!</v>
      </c>
      <c r="AB351" t="e">
        <f>AND('STERLING CATALOG - FZN &amp; CHILL'!D2475,"AAAAAH//wxs=")</f>
        <v>#VALUE!</v>
      </c>
      <c r="AC351" t="e">
        <f>AND('STERLING CATALOG - FZN &amp; CHILL'!E2475,"AAAAAH//wxw=")</f>
        <v>#VALUE!</v>
      </c>
      <c r="AD351" t="e">
        <f>AND('STERLING CATALOG - FZN &amp; CHILL'!F2475,"AAAAAH//wx0=")</f>
        <v>#VALUE!</v>
      </c>
      <c r="AE351" t="e">
        <f>AND('STERLING CATALOG - FZN &amp; CHILL'!G2475,"AAAAAH//wx4=")</f>
        <v>#VALUE!</v>
      </c>
      <c r="AF351" t="e">
        <f>AND('STERLING CATALOG - FZN &amp; CHILL'!H2475,"AAAAAH//wx8=")</f>
        <v>#VALUE!</v>
      </c>
      <c r="AG351" t="e">
        <f>AND('STERLING CATALOG - FZN &amp; CHILL'!I2475,"AAAAAH//wyA=")</f>
        <v>#VALUE!</v>
      </c>
      <c r="AH351" t="e">
        <f>AND('STERLING CATALOG - FZN &amp; CHILL'!J2475,"AAAAAH//wyE=")</f>
        <v>#VALUE!</v>
      </c>
      <c r="AI351">
        <f>IF('STERLING CATALOG - FZN &amp; CHILL'!2476:2476,"AAAAAH//wyI=",0)</f>
        <v>0</v>
      </c>
      <c r="AJ351" t="e">
        <f>AND('STERLING CATALOG - FZN &amp; CHILL'!A2476,"AAAAAH//wyM=")</f>
        <v>#VALUE!</v>
      </c>
      <c r="AK351" t="e">
        <f>AND('STERLING CATALOG - FZN &amp; CHILL'!B2476,"AAAAAH//wyQ=")</f>
        <v>#VALUE!</v>
      </c>
      <c r="AL351" t="e">
        <f>AND('STERLING CATALOG - FZN &amp; CHILL'!C2476,"AAAAAH//wyU=")</f>
        <v>#VALUE!</v>
      </c>
      <c r="AM351" t="e">
        <f>AND('STERLING CATALOG - FZN &amp; CHILL'!D2476,"AAAAAH//wyY=")</f>
        <v>#VALUE!</v>
      </c>
      <c r="AN351" t="e">
        <f>AND('STERLING CATALOG - FZN &amp; CHILL'!E2476,"AAAAAH//wyc=")</f>
        <v>#VALUE!</v>
      </c>
      <c r="AO351" t="e">
        <f>AND('STERLING CATALOG - FZN &amp; CHILL'!F2476,"AAAAAH//wyg=")</f>
        <v>#VALUE!</v>
      </c>
      <c r="AP351" t="e">
        <f>AND('STERLING CATALOG - FZN &amp; CHILL'!G2476,"AAAAAH//wyk=")</f>
        <v>#VALUE!</v>
      </c>
      <c r="AQ351" t="e">
        <f>AND('STERLING CATALOG - FZN &amp; CHILL'!H2476,"AAAAAH//wyo=")</f>
        <v>#VALUE!</v>
      </c>
      <c r="AR351" t="e">
        <f>AND('STERLING CATALOG - FZN &amp; CHILL'!I2476,"AAAAAH//wys=")</f>
        <v>#VALUE!</v>
      </c>
      <c r="AS351" t="e">
        <f>AND('STERLING CATALOG - FZN &amp; CHILL'!J2476,"AAAAAH//wyw=")</f>
        <v>#VALUE!</v>
      </c>
      <c r="AT351">
        <f>IF('STERLING CATALOG - FZN &amp; CHILL'!2477:2477,"AAAAAH//wy0=",0)</f>
        <v>0</v>
      </c>
      <c r="AU351" t="e">
        <f>AND('STERLING CATALOG - FZN &amp; CHILL'!A2477,"AAAAAH//wy4=")</f>
        <v>#VALUE!</v>
      </c>
      <c r="AV351" t="e">
        <f>AND('STERLING CATALOG - FZN &amp; CHILL'!B2477,"AAAAAH//wy8=")</f>
        <v>#VALUE!</v>
      </c>
      <c r="AW351" t="e">
        <f>AND('STERLING CATALOG - FZN &amp; CHILL'!C2477,"AAAAAH//wzA=")</f>
        <v>#VALUE!</v>
      </c>
      <c r="AX351" t="e">
        <f>AND('STERLING CATALOG - FZN &amp; CHILL'!D2477,"AAAAAH//wzE=")</f>
        <v>#VALUE!</v>
      </c>
      <c r="AY351" t="e">
        <f>AND('STERLING CATALOG - FZN &amp; CHILL'!E2477,"AAAAAH//wzI=")</f>
        <v>#VALUE!</v>
      </c>
      <c r="AZ351" t="e">
        <f>AND('STERLING CATALOG - FZN &amp; CHILL'!F2477,"AAAAAH//wzM=")</f>
        <v>#VALUE!</v>
      </c>
      <c r="BA351" t="e">
        <f>AND('STERLING CATALOG - FZN &amp; CHILL'!G2477,"AAAAAH//wzQ=")</f>
        <v>#VALUE!</v>
      </c>
      <c r="BB351" t="e">
        <f>AND('STERLING CATALOG - FZN &amp; CHILL'!H2477,"AAAAAH//wzU=")</f>
        <v>#VALUE!</v>
      </c>
      <c r="BC351" t="e">
        <f>AND('STERLING CATALOG - FZN &amp; CHILL'!I2477,"AAAAAH//wzY=")</f>
        <v>#VALUE!</v>
      </c>
      <c r="BD351" t="e">
        <f>AND('STERLING CATALOG - FZN &amp; CHILL'!J2477,"AAAAAH//wzc=")</f>
        <v>#VALUE!</v>
      </c>
      <c r="BE351">
        <f>IF('STERLING CATALOG - FZN &amp; CHILL'!2478:2478,"AAAAAH//wzg=",0)</f>
        <v>0</v>
      </c>
      <c r="BF351" t="e">
        <f>AND('STERLING CATALOG - FZN &amp; CHILL'!A2478,"AAAAAH//wzk=")</f>
        <v>#VALUE!</v>
      </c>
      <c r="BG351" t="e">
        <f>AND('STERLING CATALOG - FZN &amp; CHILL'!B2478,"AAAAAH//wzo=")</f>
        <v>#VALUE!</v>
      </c>
      <c r="BH351" t="e">
        <f>AND('STERLING CATALOG - FZN &amp; CHILL'!C2478,"AAAAAH//wzs=")</f>
        <v>#VALUE!</v>
      </c>
      <c r="BI351" t="e">
        <f>AND('STERLING CATALOG - FZN &amp; CHILL'!D2478,"AAAAAH//wzw=")</f>
        <v>#VALUE!</v>
      </c>
      <c r="BJ351" t="e">
        <f>AND('STERLING CATALOG - FZN &amp; CHILL'!E2478,"AAAAAH//wz0=")</f>
        <v>#VALUE!</v>
      </c>
      <c r="BK351" t="e">
        <f>AND('STERLING CATALOG - FZN &amp; CHILL'!F2478,"AAAAAH//wz4=")</f>
        <v>#VALUE!</v>
      </c>
      <c r="BL351" t="e">
        <f>AND('STERLING CATALOG - FZN &amp; CHILL'!G2478,"AAAAAH//wz8=")</f>
        <v>#VALUE!</v>
      </c>
      <c r="BM351" t="e">
        <f>AND('STERLING CATALOG - FZN &amp; CHILL'!H2478,"AAAAAH//w0A=")</f>
        <v>#VALUE!</v>
      </c>
      <c r="BN351" t="e">
        <f>AND('STERLING CATALOG - FZN &amp; CHILL'!I2478,"AAAAAH//w0E=")</f>
        <v>#VALUE!</v>
      </c>
      <c r="BO351" t="e">
        <f>AND('STERLING CATALOG - FZN &amp; CHILL'!J2478,"AAAAAH//w0I=")</f>
        <v>#VALUE!</v>
      </c>
      <c r="BP351">
        <f>IF('STERLING CATALOG - FZN &amp; CHILL'!2479:2479,"AAAAAH//w0M=",0)</f>
        <v>0</v>
      </c>
      <c r="BQ351" t="e">
        <f>AND('STERLING CATALOG - FZN &amp; CHILL'!A2479,"AAAAAH//w0Q=")</f>
        <v>#VALUE!</v>
      </c>
      <c r="BR351" t="e">
        <f>AND('STERLING CATALOG - FZN &amp; CHILL'!B2479,"AAAAAH//w0U=")</f>
        <v>#VALUE!</v>
      </c>
      <c r="BS351" t="e">
        <f>AND('STERLING CATALOG - FZN &amp; CHILL'!C2479,"AAAAAH//w0Y=")</f>
        <v>#VALUE!</v>
      </c>
      <c r="BT351" t="e">
        <f>AND('STERLING CATALOG - FZN &amp; CHILL'!D2479,"AAAAAH//w0c=")</f>
        <v>#VALUE!</v>
      </c>
      <c r="BU351" t="e">
        <f>AND('STERLING CATALOG - FZN &amp; CHILL'!E2479,"AAAAAH//w0g=")</f>
        <v>#VALUE!</v>
      </c>
      <c r="BV351" t="e">
        <f>AND('STERLING CATALOG - FZN &amp; CHILL'!F2479,"AAAAAH//w0k=")</f>
        <v>#VALUE!</v>
      </c>
      <c r="BW351" t="e">
        <f>AND('STERLING CATALOG - FZN &amp; CHILL'!G2479,"AAAAAH//w0o=")</f>
        <v>#VALUE!</v>
      </c>
      <c r="BX351" t="e">
        <f>AND('STERLING CATALOG - FZN &amp; CHILL'!H2479,"AAAAAH//w0s=")</f>
        <v>#VALUE!</v>
      </c>
      <c r="BY351" t="e">
        <f>AND('STERLING CATALOG - FZN &amp; CHILL'!I2479,"AAAAAH//w0w=")</f>
        <v>#VALUE!</v>
      </c>
      <c r="BZ351" t="e">
        <f>AND('STERLING CATALOG - FZN &amp; CHILL'!J2479,"AAAAAH//w00=")</f>
        <v>#VALUE!</v>
      </c>
      <c r="CA351">
        <f>IF('STERLING CATALOG - FZN &amp; CHILL'!2480:2480,"AAAAAH//w04=",0)</f>
        <v>0</v>
      </c>
      <c r="CB351" t="e">
        <f>AND('STERLING CATALOG - FZN &amp; CHILL'!A2480,"AAAAAH//w08=")</f>
        <v>#VALUE!</v>
      </c>
      <c r="CC351" t="e">
        <f>AND('STERLING CATALOG - FZN &amp; CHILL'!B2480,"AAAAAH//w1A=")</f>
        <v>#VALUE!</v>
      </c>
      <c r="CD351" t="e">
        <f>AND('STERLING CATALOG - FZN &amp; CHILL'!C2480,"AAAAAH//w1E=")</f>
        <v>#VALUE!</v>
      </c>
      <c r="CE351" t="e">
        <f>AND('STERLING CATALOG - FZN &amp; CHILL'!D2480,"AAAAAH//w1I=")</f>
        <v>#VALUE!</v>
      </c>
      <c r="CF351" t="e">
        <f>AND('STERLING CATALOG - FZN &amp; CHILL'!E2480,"AAAAAH//w1M=")</f>
        <v>#VALUE!</v>
      </c>
      <c r="CG351" t="e">
        <f>AND('STERLING CATALOG - FZN &amp; CHILL'!F2480,"AAAAAH//w1Q=")</f>
        <v>#VALUE!</v>
      </c>
      <c r="CH351" t="e">
        <f>AND('STERLING CATALOG - FZN &amp; CHILL'!G2480,"AAAAAH//w1U=")</f>
        <v>#VALUE!</v>
      </c>
      <c r="CI351" t="e">
        <f>AND('STERLING CATALOG - FZN &amp; CHILL'!H2480,"AAAAAH//w1Y=")</f>
        <v>#VALUE!</v>
      </c>
      <c r="CJ351" t="e">
        <f>AND('STERLING CATALOG - FZN &amp; CHILL'!I2480,"AAAAAH//w1c=")</f>
        <v>#VALUE!</v>
      </c>
      <c r="CK351" t="e">
        <f>AND('STERLING CATALOG - FZN &amp; CHILL'!J2480,"AAAAAH//w1g=")</f>
        <v>#VALUE!</v>
      </c>
      <c r="CL351">
        <f>IF('STERLING CATALOG - FZN &amp; CHILL'!2481:2481,"AAAAAH//w1k=",0)</f>
        <v>0</v>
      </c>
      <c r="CM351" t="e">
        <f>AND('STERLING CATALOG - FZN &amp; CHILL'!A2481,"AAAAAH//w1o=")</f>
        <v>#VALUE!</v>
      </c>
      <c r="CN351" t="e">
        <f>AND('STERLING CATALOG - FZN &amp; CHILL'!B2481,"AAAAAH//w1s=")</f>
        <v>#VALUE!</v>
      </c>
      <c r="CO351" t="e">
        <f>AND('STERLING CATALOG - FZN &amp; CHILL'!C2481,"AAAAAH//w1w=")</f>
        <v>#VALUE!</v>
      </c>
      <c r="CP351" t="e">
        <f>AND('STERLING CATALOG - FZN &amp; CHILL'!D2481,"AAAAAH//w10=")</f>
        <v>#VALUE!</v>
      </c>
      <c r="CQ351" t="e">
        <f>AND('STERLING CATALOG - FZN &amp; CHILL'!E2481,"AAAAAH//w14=")</f>
        <v>#VALUE!</v>
      </c>
      <c r="CR351" t="e">
        <f>AND('STERLING CATALOG - FZN &amp; CHILL'!F2481,"AAAAAH//w18=")</f>
        <v>#VALUE!</v>
      </c>
      <c r="CS351" t="e">
        <f>AND('STERLING CATALOG - FZN &amp; CHILL'!G2481,"AAAAAH//w2A=")</f>
        <v>#VALUE!</v>
      </c>
      <c r="CT351" t="e">
        <f>AND('STERLING CATALOG - FZN &amp; CHILL'!H2481,"AAAAAH//w2E=")</f>
        <v>#VALUE!</v>
      </c>
      <c r="CU351" t="e">
        <f>AND('STERLING CATALOG - FZN &amp; CHILL'!I2481,"AAAAAH//w2I=")</f>
        <v>#VALUE!</v>
      </c>
      <c r="CV351" t="e">
        <f>AND('STERLING CATALOG - FZN &amp; CHILL'!J2481,"AAAAAH//w2M=")</f>
        <v>#VALUE!</v>
      </c>
      <c r="CW351">
        <f>IF('STERLING CATALOG - FZN &amp; CHILL'!2482:2482,"AAAAAH//w2Q=",0)</f>
        <v>0</v>
      </c>
      <c r="CX351" t="e">
        <f>AND('STERLING CATALOG - FZN &amp; CHILL'!A2482,"AAAAAH//w2U=")</f>
        <v>#VALUE!</v>
      </c>
      <c r="CY351" t="e">
        <f>AND('STERLING CATALOG - FZN &amp; CHILL'!B2482,"AAAAAH//w2Y=")</f>
        <v>#VALUE!</v>
      </c>
      <c r="CZ351" t="e">
        <f>AND('STERLING CATALOG - FZN &amp; CHILL'!C2482,"AAAAAH//w2c=")</f>
        <v>#VALUE!</v>
      </c>
      <c r="DA351" t="e">
        <f>AND('STERLING CATALOG - FZN &amp; CHILL'!D2482,"AAAAAH//w2g=")</f>
        <v>#VALUE!</v>
      </c>
      <c r="DB351" t="e">
        <f>AND('STERLING CATALOG - FZN &amp; CHILL'!E2482,"AAAAAH//w2k=")</f>
        <v>#VALUE!</v>
      </c>
      <c r="DC351" t="e">
        <f>AND('STERLING CATALOG - FZN &amp; CHILL'!F2482,"AAAAAH//w2o=")</f>
        <v>#VALUE!</v>
      </c>
      <c r="DD351" t="e">
        <f>AND('STERLING CATALOG - FZN &amp; CHILL'!G2482,"AAAAAH//w2s=")</f>
        <v>#VALUE!</v>
      </c>
      <c r="DE351" t="e">
        <f>AND('STERLING CATALOG - FZN &amp; CHILL'!H2482,"AAAAAH//w2w=")</f>
        <v>#VALUE!</v>
      </c>
      <c r="DF351" t="e">
        <f>AND('STERLING CATALOG - FZN &amp; CHILL'!I2482,"AAAAAH//w20=")</f>
        <v>#VALUE!</v>
      </c>
      <c r="DG351" t="e">
        <f>AND('STERLING CATALOG - FZN &amp; CHILL'!J2482,"AAAAAH//w24=")</f>
        <v>#VALUE!</v>
      </c>
      <c r="DH351">
        <f>IF('STERLING CATALOG - FZN &amp; CHILL'!2483:2483,"AAAAAH//w28=",0)</f>
        <v>0</v>
      </c>
      <c r="DI351" t="e">
        <f>AND('STERLING CATALOG - FZN &amp; CHILL'!A2483,"AAAAAH//w3A=")</f>
        <v>#VALUE!</v>
      </c>
      <c r="DJ351" t="e">
        <f>AND('STERLING CATALOG - FZN &amp; CHILL'!B2483,"AAAAAH//w3E=")</f>
        <v>#VALUE!</v>
      </c>
      <c r="DK351" t="e">
        <f>AND('STERLING CATALOG - FZN &amp; CHILL'!C2483,"AAAAAH//w3I=")</f>
        <v>#VALUE!</v>
      </c>
      <c r="DL351" t="e">
        <f>AND('STERLING CATALOG - FZN &amp; CHILL'!D2483,"AAAAAH//w3M=")</f>
        <v>#VALUE!</v>
      </c>
      <c r="DM351" t="e">
        <f>AND('STERLING CATALOG - FZN &amp; CHILL'!E2483,"AAAAAH//w3Q=")</f>
        <v>#VALUE!</v>
      </c>
      <c r="DN351" t="e">
        <f>AND('STERLING CATALOG - FZN &amp; CHILL'!F2483,"AAAAAH//w3U=")</f>
        <v>#VALUE!</v>
      </c>
      <c r="DO351" t="e">
        <f>AND('STERLING CATALOG - FZN &amp; CHILL'!G2483,"AAAAAH//w3Y=")</f>
        <v>#VALUE!</v>
      </c>
      <c r="DP351" t="e">
        <f>AND('STERLING CATALOG - FZN &amp; CHILL'!H2483,"AAAAAH//w3c=")</f>
        <v>#VALUE!</v>
      </c>
      <c r="DQ351" t="e">
        <f>AND('STERLING CATALOG - FZN &amp; CHILL'!I2483,"AAAAAH//w3g=")</f>
        <v>#VALUE!</v>
      </c>
      <c r="DR351" t="e">
        <f>AND('STERLING CATALOG - FZN &amp; CHILL'!J2483,"AAAAAH//w3k=")</f>
        <v>#VALUE!</v>
      </c>
      <c r="DS351">
        <f>IF('STERLING CATALOG - FZN &amp; CHILL'!2484:2484,"AAAAAH//w3o=",0)</f>
        <v>0</v>
      </c>
      <c r="DT351" t="e">
        <f>AND('STERLING CATALOG - FZN &amp; CHILL'!A2484,"AAAAAH//w3s=")</f>
        <v>#VALUE!</v>
      </c>
      <c r="DU351" t="e">
        <f>AND('STERLING CATALOG - FZN &amp; CHILL'!B2484,"AAAAAH//w3w=")</f>
        <v>#VALUE!</v>
      </c>
      <c r="DV351" t="e">
        <f>AND('STERLING CATALOG - FZN &amp; CHILL'!C2484,"AAAAAH//w30=")</f>
        <v>#VALUE!</v>
      </c>
      <c r="DW351" t="e">
        <f>AND('STERLING CATALOG - FZN &amp; CHILL'!D2484,"AAAAAH//w34=")</f>
        <v>#VALUE!</v>
      </c>
      <c r="DX351" t="e">
        <f>AND('STERLING CATALOG - FZN &amp; CHILL'!E2484,"AAAAAH//w38=")</f>
        <v>#VALUE!</v>
      </c>
      <c r="DY351" t="e">
        <f>AND('STERLING CATALOG - FZN &amp; CHILL'!F2484,"AAAAAH//w4A=")</f>
        <v>#VALUE!</v>
      </c>
      <c r="DZ351" t="e">
        <f>AND('STERLING CATALOG - FZN &amp; CHILL'!G2484,"AAAAAH//w4E=")</f>
        <v>#VALUE!</v>
      </c>
      <c r="EA351" t="e">
        <f>AND('STERLING CATALOG - FZN &amp; CHILL'!H2484,"AAAAAH//w4I=")</f>
        <v>#VALUE!</v>
      </c>
      <c r="EB351" t="e">
        <f>AND('STERLING CATALOG - FZN &amp; CHILL'!I2484,"AAAAAH//w4M=")</f>
        <v>#VALUE!</v>
      </c>
      <c r="EC351" t="e">
        <f>AND('STERLING CATALOG - FZN &amp; CHILL'!J2484,"AAAAAH//w4Q=")</f>
        <v>#VALUE!</v>
      </c>
      <c r="ED351">
        <f>IF('STERLING CATALOG - FZN &amp; CHILL'!2485:2485,"AAAAAH//w4U=",0)</f>
        <v>0</v>
      </c>
      <c r="EE351" t="e">
        <f>AND('STERLING CATALOG - FZN &amp; CHILL'!A2485,"AAAAAH//w4Y=")</f>
        <v>#VALUE!</v>
      </c>
      <c r="EF351" t="e">
        <f>AND('STERLING CATALOG - FZN &amp; CHILL'!B2485,"AAAAAH//w4c=")</f>
        <v>#VALUE!</v>
      </c>
      <c r="EG351" t="e">
        <f>AND('STERLING CATALOG - FZN &amp; CHILL'!C2485,"AAAAAH//w4g=")</f>
        <v>#VALUE!</v>
      </c>
      <c r="EH351" t="e">
        <f>AND('STERLING CATALOG - FZN &amp; CHILL'!D2485,"AAAAAH//w4k=")</f>
        <v>#VALUE!</v>
      </c>
      <c r="EI351" t="e">
        <f>AND('STERLING CATALOG - FZN &amp; CHILL'!E2485,"AAAAAH//w4o=")</f>
        <v>#VALUE!</v>
      </c>
      <c r="EJ351" t="e">
        <f>AND('STERLING CATALOG - FZN &amp; CHILL'!F2485,"AAAAAH//w4s=")</f>
        <v>#VALUE!</v>
      </c>
      <c r="EK351" t="e">
        <f>AND('STERLING CATALOG - FZN &amp; CHILL'!G2485,"AAAAAH//w4w=")</f>
        <v>#VALUE!</v>
      </c>
      <c r="EL351" t="e">
        <f>AND('STERLING CATALOG - FZN &amp; CHILL'!H2485,"AAAAAH//w40=")</f>
        <v>#VALUE!</v>
      </c>
      <c r="EM351" t="e">
        <f>AND('STERLING CATALOG - FZN &amp; CHILL'!I2485,"AAAAAH//w44=")</f>
        <v>#VALUE!</v>
      </c>
      <c r="EN351" t="e">
        <f>AND('STERLING CATALOG - FZN &amp; CHILL'!J2485,"AAAAAH//w48=")</f>
        <v>#VALUE!</v>
      </c>
      <c r="EO351">
        <f>IF('STERLING CATALOG - FZN &amp; CHILL'!2486:2486,"AAAAAH//w5A=",0)</f>
        <v>0</v>
      </c>
      <c r="EP351" t="e">
        <f>AND('STERLING CATALOG - FZN &amp; CHILL'!A2486,"AAAAAH//w5E=")</f>
        <v>#VALUE!</v>
      </c>
      <c r="EQ351" t="e">
        <f>AND('STERLING CATALOG - FZN &amp; CHILL'!B2486,"AAAAAH//w5I=")</f>
        <v>#VALUE!</v>
      </c>
      <c r="ER351" t="e">
        <f>AND('STERLING CATALOG - FZN &amp; CHILL'!C2486,"AAAAAH//w5M=")</f>
        <v>#VALUE!</v>
      </c>
      <c r="ES351" t="e">
        <f>AND('STERLING CATALOG - FZN &amp; CHILL'!D2486,"AAAAAH//w5Q=")</f>
        <v>#VALUE!</v>
      </c>
      <c r="ET351" t="e">
        <f>AND('STERLING CATALOG - FZN &amp; CHILL'!E2486,"AAAAAH//w5U=")</f>
        <v>#VALUE!</v>
      </c>
      <c r="EU351" t="e">
        <f>AND('STERLING CATALOG - FZN &amp; CHILL'!F2486,"AAAAAH//w5Y=")</f>
        <v>#VALUE!</v>
      </c>
      <c r="EV351" t="e">
        <f>AND('STERLING CATALOG - FZN &amp; CHILL'!G2486,"AAAAAH//w5c=")</f>
        <v>#VALUE!</v>
      </c>
      <c r="EW351" t="e">
        <f>AND('STERLING CATALOG - FZN &amp; CHILL'!H2486,"AAAAAH//w5g=")</f>
        <v>#VALUE!</v>
      </c>
      <c r="EX351" t="e">
        <f>AND('STERLING CATALOG - FZN &amp; CHILL'!I2486,"AAAAAH//w5k=")</f>
        <v>#VALUE!</v>
      </c>
      <c r="EY351" t="e">
        <f>AND('STERLING CATALOG - FZN &amp; CHILL'!J2486,"AAAAAH//w5o=")</f>
        <v>#VALUE!</v>
      </c>
      <c r="EZ351">
        <f>IF('STERLING CATALOG - FZN &amp; CHILL'!2487:2487,"AAAAAH//w5s=",0)</f>
        <v>0</v>
      </c>
      <c r="FA351" t="e">
        <f>AND('STERLING CATALOG - FZN &amp; CHILL'!A2487,"AAAAAH//w5w=")</f>
        <v>#VALUE!</v>
      </c>
      <c r="FB351" t="e">
        <f>AND('STERLING CATALOG - FZN &amp; CHILL'!B2487,"AAAAAH//w50=")</f>
        <v>#VALUE!</v>
      </c>
      <c r="FC351" t="e">
        <f>AND('STERLING CATALOG - FZN &amp; CHILL'!C2487,"AAAAAH//w54=")</f>
        <v>#VALUE!</v>
      </c>
      <c r="FD351" t="e">
        <f>AND('STERLING CATALOG - FZN &amp; CHILL'!D2487,"AAAAAH//w58=")</f>
        <v>#VALUE!</v>
      </c>
      <c r="FE351" t="e">
        <f>AND('STERLING CATALOG - FZN &amp; CHILL'!E2487,"AAAAAH//w6A=")</f>
        <v>#VALUE!</v>
      </c>
      <c r="FF351" t="e">
        <f>AND('STERLING CATALOG - FZN &amp; CHILL'!F2487,"AAAAAH//w6E=")</f>
        <v>#VALUE!</v>
      </c>
      <c r="FG351" t="e">
        <f>AND('STERLING CATALOG - FZN &amp; CHILL'!G2487,"AAAAAH//w6I=")</f>
        <v>#VALUE!</v>
      </c>
      <c r="FH351" t="e">
        <f>AND('STERLING CATALOG - FZN &amp; CHILL'!H2487,"AAAAAH//w6M=")</f>
        <v>#VALUE!</v>
      </c>
      <c r="FI351" t="e">
        <f>AND('STERLING CATALOG - FZN &amp; CHILL'!I2487,"AAAAAH//w6Q=")</f>
        <v>#VALUE!</v>
      </c>
      <c r="FJ351" t="e">
        <f>AND('STERLING CATALOG - FZN &amp; CHILL'!J2487,"AAAAAH//w6U=")</f>
        <v>#VALUE!</v>
      </c>
      <c r="FK351">
        <f>IF('STERLING CATALOG - FZN &amp; CHILL'!2488:2488,"AAAAAH//w6Y=",0)</f>
        <v>0</v>
      </c>
      <c r="FL351" t="e">
        <f>AND('STERLING CATALOG - FZN &amp; CHILL'!A2488,"AAAAAH//w6c=")</f>
        <v>#VALUE!</v>
      </c>
      <c r="FM351" t="e">
        <f>AND('STERLING CATALOG - FZN &amp; CHILL'!B2488,"AAAAAH//w6g=")</f>
        <v>#VALUE!</v>
      </c>
      <c r="FN351" t="e">
        <f>AND('STERLING CATALOG - FZN &amp; CHILL'!C2488,"AAAAAH//w6k=")</f>
        <v>#VALUE!</v>
      </c>
      <c r="FO351" t="e">
        <f>AND('STERLING CATALOG - FZN &amp; CHILL'!D2488,"AAAAAH//w6o=")</f>
        <v>#VALUE!</v>
      </c>
      <c r="FP351" t="e">
        <f>AND('STERLING CATALOG - FZN &amp; CHILL'!E2488,"AAAAAH//w6s=")</f>
        <v>#VALUE!</v>
      </c>
      <c r="FQ351" t="e">
        <f>AND('STERLING CATALOG - FZN &amp; CHILL'!F2488,"AAAAAH//w6w=")</f>
        <v>#VALUE!</v>
      </c>
      <c r="FR351" t="e">
        <f>AND('STERLING CATALOG - FZN &amp; CHILL'!G2488,"AAAAAH//w60=")</f>
        <v>#VALUE!</v>
      </c>
      <c r="FS351" t="e">
        <f>AND('STERLING CATALOG - FZN &amp; CHILL'!H2488,"AAAAAH//w64=")</f>
        <v>#VALUE!</v>
      </c>
      <c r="FT351" t="e">
        <f>AND('STERLING CATALOG - FZN &amp; CHILL'!I2488,"AAAAAH//w68=")</f>
        <v>#VALUE!</v>
      </c>
      <c r="FU351" t="e">
        <f>AND('STERLING CATALOG - FZN &amp; CHILL'!J2488,"AAAAAH//w7A=")</f>
        <v>#VALUE!</v>
      </c>
      <c r="FV351">
        <f>IF('STERLING CATALOG - FZN &amp; CHILL'!2489:2489,"AAAAAH//w7E=",0)</f>
        <v>0</v>
      </c>
      <c r="FW351" t="e">
        <f>AND('STERLING CATALOG - FZN &amp; CHILL'!A2489,"AAAAAH//w7I=")</f>
        <v>#VALUE!</v>
      </c>
      <c r="FX351" t="e">
        <f>AND('STERLING CATALOG - FZN &amp; CHILL'!B2489,"AAAAAH//w7M=")</f>
        <v>#VALUE!</v>
      </c>
      <c r="FY351" t="e">
        <f>AND('STERLING CATALOG - FZN &amp; CHILL'!C2489,"AAAAAH//w7Q=")</f>
        <v>#VALUE!</v>
      </c>
      <c r="FZ351" t="e">
        <f>AND('STERLING CATALOG - FZN &amp; CHILL'!D2489,"AAAAAH//w7U=")</f>
        <v>#VALUE!</v>
      </c>
      <c r="GA351" t="e">
        <f>AND('STERLING CATALOG - FZN &amp; CHILL'!E2489,"AAAAAH//w7Y=")</f>
        <v>#VALUE!</v>
      </c>
      <c r="GB351" t="e">
        <f>AND('STERLING CATALOG - FZN &amp; CHILL'!F2489,"AAAAAH//w7c=")</f>
        <v>#VALUE!</v>
      </c>
      <c r="GC351" t="e">
        <f>AND('STERLING CATALOG - FZN &amp; CHILL'!G2489,"AAAAAH//w7g=")</f>
        <v>#VALUE!</v>
      </c>
      <c r="GD351" t="e">
        <f>AND('STERLING CATALOG - FZN &amp; CHILL'!H2489,"AAAAAH//w7k=")</f>
        <v>#VALUE!</v>
      </c>
      <c r="GE351" t="e">
        <f>AND('STERLING CATALOG - FZN &amp; CHILL'!I2489,"AAAAAH//w7o=")</f>
        <v>#VALUE!</v>
      </c>
      <c r="GF351" t="e">
        <f>AND('STERLING CATALOG - FZN &amp; CHILL'!J2489,"AAAAAH//w7s=")</f>
        <v>#VALUE!</v>
      </c>
      <c r="GG351">
        <f>IF('STERLING CATALOG - FZN &amp; CHILL'!2490:2490,"AAAAAH//w7w=",0)</f>
        <v>0</v>
      </c>
      <c r="GH351" t="e">
        <f>AND('STERLING CATALOG - FZN &amp; CHILL'!A2490,"AAAAAH//w70=")</f>
        <v>#VALUE!</v>
      </c>
      <c r="GI351" t="e">
        <f>AND('STERLING CATALOG - FZN &amp; CHILL'!B2490,"AAAAAH//w74=")</f>
        <v>#VALUE!</v>
      </c>
      <c r="GJ351" t="e">
        <f>AND('STERLING CATALOG - FZN &amp; CHILL'!C2490,"AAAAAH//w78=")</f>
        <v>#VALUE!</v>
      </c>
      <c r="GK351" t="e">
        <f>AND('STERLING CATALOG - FZN &amp; CHILL'!D2490,"AAAAAH//w8A=")</f>
        <v>#VALUE!</v>
      </c>
      <c r="GL351" t="e">
        <f>AND('STERLING CATALOG - FZN &amp; CHILL'!E2490,"AAAAAH//w8E=")</f>
        <v>#VALUE!</v>
      </c>
      <c r="GM351" t="e">
        <f>AND('STERLING CATALOG - FZN &amp; CHILL'!F2490,"AAAAAH//w8I=")</f>
        <v>#VALUE!</v>
      </c>
      <c r="GN351" t="e">
        <f>AND('STERLING CATALOG - FZN &amp; CHILL'!G2490,"AAAAAH//w8M=")</f>
        <v>#VALUE!</v>
      </c>
      <c r="GO351" t="e">
        <f>AND('STERLING CATALOG - FZN &amp; CHILL'!H2490,"AAAAAH//w8Q=")</f>
        <v>#VALUE!</v>
      </c>
      <c r="GP351" t="e">
        <f>AND('STERLING CATALOG - FZN &amp; CHILL'!I2490,"AAAAAH//w8U=")</f>
        <v>#VALUE!</v>
      </c>
      <c r="GQ351" t="e">
        <f>AND('STERLING CATALOG - FZN &amp; CHILL'!J2490,"AAAAAH//w8Y=")</f>
        <v>#VALUE!</v>
      </c>
      <c r="GR351">
        <f>IF('STERLING CATALOG - FZN &amp; CHILL'!2491:2491,"AAAAAH//w8c=",0)</f>
        <v>0</v>
      </c>
      <c r="GS351" t="e">
        <f>AND('STERLING CATALOG - FZN &amp; CHILL'!A2491,"AAAAAH//w8g=")</f>
        <v>#VALUE!</v>
      </c>
      <c r="GT351" t="e">
        <f>AND('STERLING CATALOG - FZN &amp; CHILL'!B2491,"AAAAAH//w8k=")</f>
        <v>#VALUE!</v>
      </c>
      <c r="GU351" t="e">
        <f>AND('STERLING CATALOG - FZN &amp; CHILL'!C2491,"AAAAAH//w8o=")</f>
        <v>#VALUE!</v>
      </c>
      <c r="GV351" t="e">
        <f>AND('STERLING CATALOG - FZN &amp; CHILL'!D2491,"AAAAAH//w8s=")</f>
        <v>#VALUE!</v>
      </c>
      <c r="GW351" t="e">
        <f>AND('STERLING CATALOG - FZN &amp; CHILL'!E2491,"AAAAAH//w8w=")</f>
        <v>#VALUE!</v>
      </c>
      <c r="GX351" t="e">
        <f>AND('STERLING CATALOG - FZN &amp; CHILL'!F2491,"AAAAAH//w80=")</f>
        <v>#VALUE!</v>
      </c>
      <c r="GY351" t="e">
        <f>AND('STERLING CATALOG - FZN &amp; CHILL'!G2491,"AAAAAH//w84=")</f>
        <v>#VALUE!</v>
      </c>
      <c r="GZ351" t="e">
        <f>AND('STERLING CATALOG - FZN &amp; CHILL'!H2491,"AAAAAH//w88=")</f>
        <v>#VALUE!</v>
      </c>
      <c r="HA351" t="e">
        <f>AND('STERLING CATALOG - FZN &amp; CHILL'!I2491,"AAAAAH//w9A=")</f>
        <v>#VALUE!</v>
      </c>
      <c r="HB351" t="e">
        <f>AND('STERLING CATALOG - FZN &amp; CHILL'!J2491,"AAAAAH//w9E=")</f>
        <v>#VALUE!</v>
      </c>
      <c r="HC351">
        <f>IF('STERLING CATALOG - FZN &amp; CHILL'!2492:2492,"AAAAAH//w9I=",0)</f>
        <v>0</v>
      </c>
      <c r="HD351" t="e">
        <f>AND('STERLING CATALOG - FZN &amp; CHILL'!A2492,"AAAAAH//w9M=")</f>
        <v>#VALUE!</v>
      </c>
      <c r="HE351" t="e">
        <f>AND('STERLING CATALOG - FZN &amp; CHILL'!B2492,"AAAAAH//w9Q=")</f>
        <v>#VALUE!</v>
      </c>
      <c r="HF351" t="e">
        <f>AND('STERLING CATALOG - FZN &amp; CHILL'!C2492,"AAAAAH//w9U=")</f>
        <v>#VALUE!</v>
      </c>
      <c r="HG351" t="e">
        <f>AND('STERLING CATALOG - FZN &amp; CHILL'!D2492,"AAAAAH//w9Y=")</f>
        <v>#VALUE!</v>
      </c>
      <c r="HH351" t="e">
        <f>AND('STERLING CATALOG - FZN &amp; CHILL'!E2492,"AAAAAH//w9c=")</f>
        <v>#VALUE!</v>
      </c>
      <c r="HI351" t="e">
        <f>AND('STERLING CATALOG - FZN &amp; CHILL'!F2492,"AAAAAH//w9g=")</f>
        <v>#VALUE!</v>
      </c>
      <c r="HJ351" t="e">
        <f>AND('STERLING CATALOG - FZN &amp; CHILL'!G2492,"AAAAAH//w9k=")</f>
        <v>#VALUE!</v>
      </c>
      <c r="HK351" t="e">
        <f>AND('STERLING CATALOG - FZN &amp; CHILL'!H2492,"AAAAAH//w9o=")</f>
        <v>#VALUE!</v>
      </c>
      <c r="HL351" t="e">
        <f>AND('STERLING CATALOG - FZN &amp; CHILL'!I2492,"AAAAAH//w9s=")</f>
        <v>#VALUE!</v>
      </c>
      <c r="HM351" t="e">
        <f>AND('STERLING CATALOG - FZN &amp; CHILL'!J2492,"AAAAAH//w9w=")</f>
        <v>#VALUE!</v>
      </c>
      <c r="HN351">
        <f>IF('STERLING CATALOG - FZN &amp; CHILL'!2493:2493,"AAAAAH//w90=",0)</f>
        <v>0</v>
      </c>
      <c r="HO351" t="e">
        <f>AND('STERLING CATALOG - FZN &amp; CHILL'!A2493,"AAAAAH//w94=")</f>
        <v>#VALUE!</v>
      </c>
      <c r="HP351" t="e">
        <f>AND('STERLING CATALOG - FZN &amp; CHILL'!B2493,"AAAAAH//w98=")</f>
        <v>#VALUE!</v>
      </c>
      <c r="HQ351" t="e">
        <f>AND('STERLING CATALOG - FZN &amp; CHILL'!C2493,"AAAAAH//w+A=")</f>
        <v>#VALUE!</v>
      </c>
      <c r="HR351" t="e">
        <f>AND('STERLING CATALOG - FZN &amp; CHILL'!D2493,"AAAAAH//w+E=")</f>
        <v>#VALUE!</v>
      </c>
      <c r="HS351" t="e">
        <f>AND('STERLING CATALOG - FZN &amp; CHILL'!E2493,"AAAAAH//w+I=")</f>
        <v>#VALUE!</v>
      </c>
      <c r="HT351" t="e">
        <f>AND('STERLING CATALOG - FZN &amp; CHILL'!F2493,"AAAAAH//w+M=")</f>
        <v>#VALUE!</v>
      </c>
      <c r="HU351" t="e">
        <f>AND('STERLING CATALOG - FZN &amp; CHILL'!G2493,"AAAAAH//w+Q=")</f>
        <v>#VALUE!</v>
      </c>
      <c r="HV351" t="e">
        <f>AND('STERLING CATALOG - FZN &amp; CHILL'!H2493,"AAAAAH//w+U=")</f>
        <v>#VALUE!</v>
      </c>
      <c r="HW351" t="e">
        <f>AND('STERLING CATALOG - FZN &amp; CHILL'!I2493,"AAAAAH//w+Y=")</f>
        <v>#VALUE!</v>
      </c>
      <c r="HX351" t="e">
        <f>AND('STERLING CATALOG - FZN &amp; CHILL'!J2493,"AAAAAH//w+c=")</f>
        <v>#VALUE!</v>
      </c>
      <c r="HY351">
        <f>IF('STERLING CATALOG - FZN &amp; CHILL'!2494:2494,"AAAAAH//w+g=",0)</f>
        <v>0</v>
      </c>
      <c r="HZ351" t="e">
        <f>AND('STERLING CATALOG - FZN &amp; CHILL'!A2494,"AAAAAH//w+k=")</f>
        <v>#VALUE!</v>
      </c>
      <c r="IA351" t="e">
        <f>AND('STERLING CATALOG - FZN &amp; CHILL'!B2494,"AAAAAH//w+o=")</f>
        <v>#VALUE!</v>
      </c>
      <c r="IB351" t="e">
        <f>AND('STERLING CATALOG - FZN &amp; CHILL'!C2494,"AAAAAH//w+s=")</f>
        <v>#VALUE!</v>
      </c>
      <c r="IC351" t="e">
        <f>AND('STERLING CATALOG - FZN &amp; CHILL'!D2494,"AAAAAH//w+w=")</f>
        <v>#VALUE!</v>
      </c>
      <c r="ID351" t="e">
        <f>AND('STERLING CATALOG - FZN &amp; CHILL'!E2494,"AAAAAH//w+0=")</f>
        <v>#VALUE!</v>
      </c>
      <c r="IE351" t="e">
        <f>AND('STERLING CATALOG - FZN &amp; CHILL'!F2494,"AAAAAH//w+4=")</f>
        <v>#VALUE!</v>
      </c>
      <c r="IF351" t="e">
        <f>AND('STERLING CATALOG - FZN &amp; CHILL'!G2494,"AAAAAH//w+8=")</f>
        <v>#VALUE!</v>
      </c>
      <c r="IG351" t="e">
        <f>AND('STERLING CATALOG - FZN &amp; CHILL'!H2494,"AAAAAH//w/A=")</f>
        <v>#VALUE!</v>
      </c>
      <c r="IH351" t="e">
        <f>AND('STERLING CATALOG - FZN &amp; CHILL'!I2494,"AAAAAH//w/E=")</f>
        <v>#VALUE!</v>
      </c>
      <c r="II351" t="e">
        <f>AND('STERLING CATALOG - FZN &amp; CHILL'!J2494,"AAAAAH//w/I=")</f>
        <v>#VALUE!</v>
      </c>
      <c r="IJ351">
        <f>IF('STERLING CATALOG - FZN &amp; CHILL'!2495:2495,"AAAAAH//w/M=",0)</f>
        <v>0</v>
      </c>
      <c r="IK351" t="e">
        <f>AND('STERLING CATALOG - FZN &amp; CHILL'!A2495,"AAAAAH//w/Q=")</f>
        <v>#VALUE!</v>
      </c>
      <c r="IL351" t="e">
        <f>AND('STERLING CATALOG - FZN &amp; CHILL'!B2495,"AAAAAH//w/U=")</f>
        <v>#VALUE!</v>
      </c>
      <c r="IM351" t="e">
        <f>AND('STERLING CATALOG - FZN &amp; CHILL'!C2495,"AAAAAH//w/Y=")</f>
        <v>#VALUE!</v>
      </c>
      <c r="IN351" t="e">
        <f>AND('STERLING CATALOG - FZN &amp; CHILL'!D2495,"AAAAAH//w/c=")</f>
        <v>#VALUE!</v>
      </c>
      <c r="IO351" t="e">
        <f>AND('STERLING CATALOG - FZN &amp; CHILL'!E2495,"AAAAAH//w/g=")</f>
        <v>#VALUE!</v>
      </c>
      <c r="IP351" t="e">
        <f>AND('STERLING CATALOG - FZN &amp; CHILL'!F2495,"AAAAAH//w/k=")</f>
        <v>#VALUE!</v>
      </c>
      <c r="IQ351" t="e">
        <f>AND('STERLING CATALOG - FZN &amp; CHILL'!G2495,"AAAAAH//w/o=")</f>
        <v>#VALUE!</v>
      </c>
      <c r="IR351" t="e">
        <f>AND('STERLING CATALOG - FZN &amp; CHILL'!H2495,"AAAAAH//w/s=")</f>
        <v>#VALUE!</v>
      </c>
      <c r="IS351" t="e">
        <f>AND('STERLING CATALOG - FZN &amp; CHILL'!I2495,"AAAAAH//w/w=")</f>
        <v>#VALUE!</v>
      </c>
      <c r="IT351" t="e">
        <f>AND('STERLING CATALOG - FZN &amp; CHILL'!J2495,"AAAAAH//w/0=")</f>
        <v>#VALUE!</v>
      </c>
      <c r="IU351">
        <f>IF('STERLING CATALOG - FZN &amp; CHILL'!2496:2496,"AAAAAH//w/4=",0)</f>
        <v>0</v>
      </c>
      <c r="IV351" t="e">
        <f>AND('STERLING CATALOG - FZN &amp; CHILL'!A2496,"AAAAAH//w/8=")</f>
        <v>#VALUE!</v>
      </c>
    </row>
    <row r="352" spans="1:256">
      <c r="A352" t="e">
        <f>AND('STERLING CATALOG - FZN &amp; CHILL'!B2496,"AAAAAGx61wA=")</f>
        <v>#VALUE!</v>
      </c>
      <c r="B352" t="e">
        <f>AND('STERLING CATALOG - FZN &amp; CHILL'!C2496,"AAAAAGx61wE=")</f>
        <v>#VALUE!</v>
      </c>
      <c r="C352" t="e">
        <f>AND('STERLING CATALOG - FZN &amp; CHILL'!D2496,"AAAAAGx61wI=")</f>
        <v>#VALUE!</v>
      </c>
      <c r="D352" t="e">
        <f>AND('STERLING CATALOG - FZN &amp; CHILL'!E2496,"AAAAAGx61wM=")</f>
        <v>#VALUE!</v>
      </c>
      <c r="E352" t="e">
        <f>AND('STERLING CATALOG - FZN &amp; CHILL'!F2496,"AAAAAGx61wQ=")</f>
        <v>#VALUE!</v>
      </c>
      <c r="F352" t="e">
        <f>AND('STERLING CATALOG - FZN &amp; CHILL'!G2496,"AAAAAGx61wU=")</f>
        <v>#VALUE!</v>
      </c>
      <c r="G352" t="e">
        <f>AND('STERLING CATALOG - FZN &amp; CHILL'!H2496,"AAAAAGx61wY=")</f>
        <v>#VALUE!</v>
      </c>
      <c r="H352" t="e">
        <f>AND('STERLING CATALOG - FZN &amp; CHILL'!I2496,"AAAAAGx61wc=")</f>
        <v>#VALUE!</v>
      </c>
      <c r="I352" t="e">
        <f>AND('STERLING CATALOG - FZN &amp; CHILL'!J2496,"AAAAAGx61wg=")</f>
        <v>#VALUE!</v>
      </c>
      <c r="J352" t="e">
        <f>IF('STERLING CATALOG - FZN &amp; CHILL'!2497:2497,"AAAAAGx61wk=",0)</f>
        <v>#VALUE!</v>
      </c>
      <c r="K352" t="e">
        <f>AND('STERLING CATALOG - FZN &amp; CHILL'!A2497,"AAAAAGx61wo=")</f>
        <v>#VALUE!</v>
      </c>
      <c r="L352" t="e">
        <f>AND('STERLING CATALOG - FZN &amp; CHILL'!B2497,"AAAAAGx61ws=")</f>
        <v>#VALUE!</v>
      </c>
      <c r="M352" t="e">
        <f>AND('STERLING CATALOG - FZN &amp; CHILL'!C2497,"AAAAAGx61ww=")</f>
        <v>#VALUE!</v>
      </c>
      <c r="N352" t="e">
        <f>AND('STERLING CATALOG - FZN &amp; CHILL'!D2497,"AAAAAGx61w0=")</f>
        <v>#VALUE!</v>
      </c>
      <c r="O352" t="e">
        <f>AND('STERLING CATALOG - FZN &amp; CHILL'!E2497,"AAAAAGx61w4=")</f>
        <v>#VALUE!</v>
      </c>
      <c r="P352" t="e">
        <f>AND('STERLING CATALOG - FZN &amp; CHILL'!F2497,"AAAAAGx61w8=")</f>
        <v>#VALUE!</v>
      </c>
      <c r="Q352" t="e">
        <f>AND('STERLING CATALOG - FZN &amp; CHILL'!G2497,"AAAAAGx61xA=")</f>
        <v>#VALUE!</v>
      </c>
      <c r="R352" t="e">
        <f>AND('STERLING CATALOG - FZN &amp; CHILL'!H2497,"AAAAAGx61xE=")</f>
        <v>#VALUE!</v>
      </c>
      <c r="S352" t="e">
        <f>AND('STERLING CATALOG - FZN &amp; CHILL'!I2497,"AAAAAGx61xI=")</f>
        <v>#VALUE!</v>
      </c>
      <c r="T352" t="e">
        <f>AND('STERLING CATALOG - FZN &amp; CHILL'!J2497,"AAAAAGx61xM=")</f>
        <v>#VALUE!</v>
      </c>
      <c r="U352">
        <f>IF('STERLING CATALOG - FZN &amp; CHILL'!2498:2498,"AAAAAGx61xQ=",0)</f>
        <v>0</v>
      </c>
      <c r="V352" t="e">
        <f>AND('STERLING CATALOG - FZN &amp; CHILL'!A2498,"AAAAAGx61xU=")</f>
        <v>#VALUE!</v>
      </c>
      <c r="W352" t="e">
        <f>AND('STERLING CATALOG - FZN &amp; CHILL'!B2498,"AAAAAGx61xY=")</f>
        <v>#VALUE!</v>
      </c>
      <c r="X352" t="e">
        <f>AND('STERLING CATALOG - FZN &amp; CHILL'!C2498,"AAAAAGx61xc=")</f>
        <v>#VALUE!</v>
      </c>
      <c r="Y352" t="e">
        <f>AND('STERLING CATALOG - FZN &amp; CHILL'!D2498,"AAAAAGx61xg=")</f>
        <v>#VALUE!</v>
      </c>
      <c r="Z352" t="e">
        <f>AND('STERLING CATALOG - FZN &amp; CHILL'!E2498,"AAAAAGx61xk=")</f>
        <v>#VALUE!</v>
      </c>
      <c r="AA352" t="e">
        <f>AND('STERLING CATALOG - FZN &amp; CHILL'!F2498,"AAAAAGx61xo=")</f>
        <v>#VALUE!</v>
      </c>
      <c r="AB352" t="e">
        <f>AND('STERLING CATALOG - FZN &amp; CHILL'!G2498,"AAAAAGx61xs=")</f>
        <v>#VALUE!</v>
      </c>
      <c r="AC352" t="e">
        <f>AND('STERLING CATALOG - FZN &amp; CHILL'!H2498,"AAAAAGx61xw=")</f>
        <v>#VALUE!</v>
      </c>
      <c r="AD352" t="e">
        <f>AND('STERLING CATALOG - FZN &amp; CHILL'!I2498,"AAAAAGx61x0=")</f>
        <v>#VALUE!</v>
      </c>
      <c r="AE352" t="e">
        <f>AND('STERLING CATALOG - FZN &amp; CHILL'!J2498,"AAAAAGx61x4=")</f>
        <v>#VALUE!</v>
      </c>
      <c r="AF352">
        <f>IF('STERLING CATALOG - FZN &amp; CHILL'!2499:2499,"AAAAAGx61x8=",0)</f>
        <v>0</v>
      </c>
      <c r="AG352" t="e">
        <f>AND('STERLING CATALOG - FZN &amp; CHILL'!A2499,"AAAAAGx61yA=")</f>
        <v>#VALUE!</v>
      </c>
      <c r="AH352" t="e">
        <f>AND('STERLING CATALOG - FZN &amp; CHILL'!B2499,"AAAAAGx61yE=")</f>
        <v>#VALUE!</v>
      </c>
      <c r="AI352" t="e">
        <f>AND('STERLING CATALOG - FZN &amp; CHILL'!C2499,"AAAAAGx61yI=")</f>
        <v>#VALUE!</v>
      </c>
      <c r="AJ352" t="e">
        <f>AND('STERLING CATALOG - FZN &amp; CHILL'!D2499,"AAAAAGx61yM=")</f>
        <v>#VALUE!</v>
      </c>
      <c r="AK352" t="e">
        <f>AND('STERLING CATALOG - FZN &amp; CHILL'!E2499,"AAAAAGx61yQ=")</f>
        <v>#VALUE!</v>
      </c>
      <c r="AL352" t="e">
        <f>AND('STERLING CATALOG - FZN &amp; CHILL'!F2499,"AAAAAGx61yU=")</f>
        <v>#VALUE!</v>
      </c>
      <c r="AM352" t="e">
        <f>AND('STERLING CATALOG - FZN &amp; CHILL'!G2499,"AAAAAGx61yY=")</f>
        <v>#VALUE!</v>
      </c>
      <c r="AN352" t="e">
        <f>AND('STERLING CATALOG - FZN &amp; CHILL'!H2499,"AAAAAGx61yc=")</f>
        <v>#VALUE!</v>
      </c>
      <c r="AO352" t="e">
        <f>AND('STERLING CATALOG - FZN &amp; CHILL'!I2499,"AAAAAGx61yg=")</f>
        <v>#VALUE!</v>
      </c>
      <c r="AP352" t="e">
        <f>AND('STERLING CATALOG - FZN &amp; CHILL'!J2499,"AAAAAGx61yk=")</f>
        <v>#VALUE!</v>
      </c>
      <c r="AQ352">
        <f>IF('STERLING CATALOG - FZN &amp; CHILL'!2500:2500,"AAAAAGx61yo=",0)</f>
        <v>0</v>
      </c>
      <c r="AR352" t="e">
        <f>AND('STERLING CATALOG - FZN &amp; CHILL'!A2500,"AAAAAGx61ys=")</f>
        <v>#VALUE!</v>
      </c>
      <c r="AS352" t="e">
        <f>AND('STERLING CATALOG - FZN &amp; CHILL'!B2500,"AAAAAGx61yw=")</f>
        <v>#VALUE!</v>
      </c>
      <c r="AT352" t="e">
        <f>AND('STERLING CATALOG - FZN &amp; CHILL'!C2500,"AAAAAGx61y0=")</f>
        <v>#VALUE!</v>
      </c>
      <c r="AU352" t="e">
        <f>AND('STERLING CATALOG - FZN &amp; CHILL'!D2500,"AAAAAGx61y4=")</f>
        <v>#VALUE!</v>
      </c>
      <c r="AV352" t="e">
        <f>AND('STERLING CATALOG - FZN &amp; CHILL'!E2500,"AAAAAGx61y8=")</f>
        <v>#VALUE!</v>
      </c>
      <c r="AW352" t="e">
        <f>AND('STERLING CATALOG - FZN &amp; CHILL'!F2500,"AAAAAGx61zA=")</f>
        <v>#VALUE!</v>
      </c>
      <c r="AX352" t="e">
        <f>AND('STERLING CATALOG - FZN &amp; CHILL'!G2500,"AAAAAGx61zE=")</f>
        <v>#VALUE!</v>
      </c>
      <c r="AY352" t="e">
        <f>AND('STERLING CATALOG - FZN &amp; CHILL'!H2500,"AAAAAGx61zI=")</f>
        <v>#VALUE!</v>
      </c>
      <c r="AZ352" t="e">
        <f>AND('STERLING CATALOG - FZN &amp; CHILL'!I2500,"AAAAAGx61zM=")</f>
        <v>#VALUE!</v>
      </c>
      <c r="BA352" t="e">
        <f>AND('STERLING CATALOG - FZN &amp; CHILL'!J2500,"AAAAAGx61zQ=")</f>
        <v>#VALUE!</v>
      </c>
      <c r="BB352">
        <f>IF('STERLING CATALOG - FZN &amp; CHILL'!2501:2501,"AAAAAGx61zU=",0)</f>
        <v>0</v>
      </c>
      <c r="BC352" t="e">
        <f>AND('STERLING CATALOG - FZN &amp; CHILL'!A2501,"AAAAAGx61zY=")</f>
        <v>#VALUE!</v>
      </c>
      <c r="BD352" t="e">
        <f>AND('STERLING CATALOG - FZN &amp; CHILL'!B2501,"AAAAAGx61zc=")</f>
        <v>#VALUE!</v>
      </c>
      <c r="BE352" t="e">
        <f>AND('STERLING CATALOG - FZN &amp; CHILL'!C2501,"AAAAAGx61zg=")</f>
        <v>#VALUE!</v>
      </c>
      <c r="BF352" t="e">
        <f>AND('STERLING CATALOG - FZN &amp; CHILL'!D2501,"AAAAAGx61zk=")</f>
        <v>#VALUE!</v>
      </c>
      <c r="BG352" t="e">
        <f>AND('STERLING CATALOG - FZN &amp; CHILL'!E2501,"AAAAAGx61zo=")</f>
        <v>#VALUE!</v>
      </c>
      <c r="BH352" t="e">
        <f>AND('STERLING CATALOG - FZN &amp; CHILL'!F2501,"AAAAAGx61zs=")</f>
        <v>#VALUE!</v>
      </c>
      <c r="BI352" t="e">
        <f>AND('STERLING CATALOG - FZN &amp; CHILL'!G2501,"AAAAAGx61zw=")</f>
        <v>#VALUE!</v>
      </c>
      <c r="BJ352" t="e">
        <f>AND('STERLING CATALOG - FZN &amp; CHILL'!H2501,"AAAAAGx61z0=")</f>
        <v>#VALUE!</v>
      </c>
      <c r="BK352" t="e">
        <f>AND('STERLING CATALOG - FZN &amp; CHILL'!I2501,"AAAAAGx61z4=")</f>
        <v>#VALUE!</v>
      </c>
      <c r="BL352" t="e">
        <f>AND('STERLING CATALOG - FZN &amp; CHILL'!J2501,"AAAAAGx61z8=")</f>
        <v>#VALUE!</v>
      </c>
      <c r="BM352">
        <f>IF('STERLING CATALOG - FZN &amp; CHILL'!2502:2502,"AAAAAGx610A=",0)</f>
        <v>0</v>
      </c>
      <c r="BN352" t="e">
        <f>AND('STERLING CATALOG - FZN &amp; CHILL'!A2502,"AAAAAGx610E=")</f>
        <v>#VALUE!</v>
      </c>
      <c r="BO352" t="e">
        <f>AND('STERLING CATALOG - FZN &amp; CHILL'!B2502,"AAAAAGx610I=")</f>
        <v>#VALUE!</v>
      </c>
      <c r="BP352" t="e">
        <f>AND('STERLING CATALOG - FZN &amp; CHILL'!C2502,"AAAAAGx610M=")</f>
        <v>#VALUE!</v>
      </c>
      <c r="BQ352" t="e">
        <f>AND('STERLING CATALOG - FZN &amp; CHILL'!D2502,"AAAAAGx610Q=")</f>
        <v>#VALUE!</v>
      </c>
      <c r="BR352" t="e">
        <f>AND('STERLING CATALOG - FZN &amp; CHILL'!E2502,"AAAAAGx610U=")</f>
        <v>#VALUE!</v>
      </c>
      <c r="BS352" t="e">
        <f>AND('STERLING CATALOG - FZN &amp; CHILL'!F2502,"AAAAAGx610Y=")</f>
        <v>#VALUE!</v>
      </c>
      <c r="BT352" t="e">
        <f>AND('STERLING CATALOG - FZN &amp; CHILL'!G2502,"AAAAAGx610c=")</f>
        <v>#VALUE!</v>
      </c>
      <c r="BU352" t="e">
        <f>AND('STERLING CATALOG - FZN &amp; CHILL'!H2502,"AAAAAGx610g=")</f>
        <v>#VALUE!</v>
      </c>
      <c r="BV352" t="e">
        <f>AND('STERLING CATALOG - FZN &amp; CHILL'!I2502,"AAAAAGx610k=")</f>
        <v>#VALUE!</v>
      </c>
      <c r="BW352" t="e">
        <f>AND('STERLING CATALOG - FZN &amp; CHILL'!J2502,"AAAAAGx610o=")</f>
        <v>#VALUE!</v>
      </c>
      <c r="BX352">
        <f>IF('STERLING CATALOG - FZN &amp; CHILL'!2503:2503,"AAAAAGx610s=",0)</f>
        <v>0</v>
      </c>
      <c r="BY352" t="e">
        <f>AND('STERLING CATALOG - FZN &amp; CHILL'!A2503,"AAAAAGx610w=")</f>
        <v>#VALUE!</v>
      </c>
      <c r="BZ352" t="e">
        <f>AND('STERLING CATALOG - FZN &amp; CHILL'!B2503,"AAAAAGx6100=")</f>
        <v>#VALUE!</v>
      </c>
      <c r="CA352" t="e">
        <f>AND('STERLING CATALOG - FZN &amp; CHILL'!C2503,"AAAAAGx6104=")</f>
        <v>#VALUE!</v>
      </c>
      <c r="CB352" t="e">
        <f>AND('STERLING CATALOG - FZN &amp; CHILL'!D2503,"AAAAAGx6108=")</f>
        <v>#VALUE!</v>
      </c>
      <c r="CC352" t="e">
        <f>AND('STERLING CATALOG - FZN &amp; CHILL'!E2503,"AAAAAGx611A=")</f>
        <v>#VALUE!</v>
      </c>
      <c r="CD352" t="e">
        <f>AND('STERLING CATALOG - FZN &amp; CHILL'!F2503,"AAAAAGx611E=")</f>
        <v>#VALUE!</v>
      </c>
      <c r="CE352" t="e">
        <f>AND('STERLING CATALOG - FZN &amp; CHILL'!G2503,"AAAAAGx611I=")</f>
        <v>#VALUE!</v>
      </c>
      <c r="CF352" t="e">
        <f>AND('STERLING CATALOG - FZN &amp; CHILL'!H2503,"AAAAAGx611M=")</f>
        <v>#VALUE!</v>
      </c>
      <c r="CG352" t="e">
        <f>AND('STERLING CATALOG - FZN &amp; CHILL'!I2503,"AAAAAGx611Q=")</f>
        <v>#VALUE!</v>
      </c>
      <c r="CH352" t="e">
        <f>AND('STERLING CATALOG - FZN &amp; CHILL'!J2503,"AAAAAGx611U=")</f>
        <v>#VALUE!</v>
      </c>
      <c r="CI352">
        <f>IF('STERLING CATALOG - FZN &amp; CHILL'!2504:2504,"AAAAAGx611Y=",0)</f>
        <v>0</v>
      </c>
      <c r="CJ352" t="e">
        <f>AND('STERLING CATALOG - FZN &amp; CHILL'!A2504,"AAAAAGx611c=")</f>
        <v>#VALUE!</v>
      </c>
      <c r="CK352" t="e">
        <f>AND('STERLING CATALOG - FZN &amp; CHILL'!B2504,"AAAAAGx611g=")</f>
        <v>#VALUE!</v>
      </c>
      <c r="CL352" t="e">
        <f>AND('STERLING CATALOG - FZN &amp; CHILL'!C2504,"AAAAAGx611k=")</f>
        <v>#VALUE!</v>
      </c>
      <c r="CM352" t="e">
        <f>AND('STERLING CATALOG - FZN &amp; CHILL'!D2504,"AAAAAGx611o=")</f>
        <v>#VALUE!</v>
      </c>
      <c r="CN352" t="e">
        <f>AND('STERLING CATALOG - FZN &amp; CHILL'!E2504,"AAAAAGx611s=")</f>
        <v>#VALUE!</v>
      </c>
      <c r="CO352" t="e">
        <f>AND('STERLING CATALOG - FZN &amp; CHILL'!F2504,"AAAAAGx611w=")</f>
        <v>#VALUE!</v>
      </c>
      <c r="CP352" t="e">
        <f>AND('STERLING CATALOG - FZN &amp; CHILL'!G2504,"AAAAAGx6110=")</f>
        <v>#VALUE!</v>
      </c>
      <c r="CQ352" t="e">
        <f>AND('STERLING CATALOG - FZN &amp; CHILL'!H2504,"AAAAAGx6114=")</f>
        <v>#VALUE!</v>
      </c>
      <c r="CR352" t="e">
        <f>AND('STERLING CATALOG - FZN &amp; CHILL'!I2504,"AAAAAGx6118=")</f>
        <v>#VALUE!</v>
      </c>
      <c r="CS352" t="e">
        <f>AND('STERLING CATALOG - FZN &amp; CHILL'!J2504,"AAAAAGx612A=")</f>
        <v>#VALUE!</v>
      </c>
      <c r="CT352">
        <f>IF('STERLING CATALOG - FZN &amp; CHILL'!2505:2505,"AAAAAGx612E=",0)</f>
        <v>0</v>
      </c>
      <c r="CU352" t="e">
        <f>AND('STERLING CATALOG - FZN &amp; CHILL'!A2505,"AAAAAGx612I=")</f>
        <v>#VALUE!</v>
      </c>
      <c r="CV352" t="e">
        <f>AND('STERLING CATALOG - FZN &amp; CHILL'!B2505,"AAAAAGx612M=")</f>
        <v>#VALUE!</v>
      </c>
      <c r="CW352" t="e">
        <f>AND('STERLING CATALOG - FZN &amp; CHILL'!C2505,"AAAAAGx612Q=")</f>
        <v>#VALUE!</v>
      </c>
      <c r="CX352" t="e">
        <f>AND('STERLING CATALOG - FZN &amp; CHILL'!D2505,"AAAAAGx612U=")</f>
        <v>#VALUE!</v>
      </c>
      <c r="CY352" t="e">
        <f>AND('STERLING CATALOG - FZN &amp; CHILL'!E2505,"AAAAAGx612Y=")</f>
        <v>#VALUE!</v>
      </c>
      <c r="CZ352" t="e">
        <f>AND('STERLING CATALOG - FZN &amp; CHILL'!F2505,"AAAAAGx612c=")</f>
        <v>#VALUE!</v>
      </c>
      <c r="DA352" t="e">
        <f>AND('STERLING CATALOG - FZN &amp; CHILL'!G2505,"AAAAAGx612g=")</f>
        <v>#VALUE!</v>
      </c>
      <c r="DB352" t="e">
        <f>AND('STERLING CATALOG - FZN &amp; CHILL'!H2505,"AAAAAGx612k=")</f>
        <v>#VALUE!</v>
      </c>
      <c r="DC352" t="e">
        <f>AND('STERLING CATALOG - FZN &amp; CHILL'!I2505,"AAAAAGx612o=")</f>
        <v>#VALUE!</v>
      </c>
      <c r="DD352" t="e">
        <f>AND('STERLING CATALOG - FZN &amp; CHILL'!J2505,"AAAAAGx612s=")</f>
        <v>#VALUE!</v>
      </c>
      <c r="DE352">
        <f>IF('STERLING CATALOG - FZN &amp; CHILL'!2506:2506,"AAAAAGx612w=",0)</f>
        <v>0</v>
      </c>
      <c r="DF352" t="e">
        <f>AND('STERLING CATALOG - FZN &amp; CHILL'!A2506,"AAAAAGx6120=")</f>
        <v>#VALUE!</v>
      </c>
      <c r="DG352" t="e">
        <f>AND('STERLING CATALOG - FZN &amp; CHILL'!B2506,"AAAAAGx6124=")</f>
        <v>#VALUE!</v>
      </c>
      <c r="DH352" t="e">
        <f>AND('STERLING CATALOG - FZN &amp; CHILL'!C2506,"AAAAAGx6128=")</f>
        <v>#VALUE!</v>
      </c>
      <c r="DI352" t="e">
        <f>AND('STERLING CATALOG - FZN &amp; CHILL'!D2506,"AAAAAGx613A=")</f>
        <v>#VALUE!</v>
      </c>
      <c r="DJ352" t="e">
        <f>AND('STERLING CATALOG - FZN &amp; CHILL'!E2506,"AAAAAGx613E=")</f>
        <v>#VALUE!</v>
      </c>
      <c r="DK352" t="e">
        <f>AND('STERLING CATALOG - FZN &amp; CHILL'!F2506,"AAAAAGx613I=")</f>
        <v>#VALUE!</v>
      </c>
      <c r="DL352" t="e">
        <f>AND('STERLING CATALOG - FZN &amp; CHILL'!G2506,"AAAAAGx613M=")</f>
        <v>#VALUE!</v>
      </c>
      <c r="DM352" t="e">
        <f>AND('STERLING CATALOG - FZN &amp; CHILL'!H2506,"AAAAAGx613Q=")</f>
        <v>#VALUE!</v>
      </c>
      <c r="DN352" t="e">
        <f>AND('STERLING CATALOG - FZN &amp; CHILL'!I2506,"AAAAAGx613U=")</f>
        <v>#VALUE!</v>
      </c>
      <c r="DO352" t="e">
        <f>AND('STERLING CATALOG - FZN &amp; CHILL'!J2506,"AAAAAGx613Y=")</f>
        <v>#VALUE!</v>
      </c>
      <c r="DP352">
        <f>IF('STERLING CATALOG - FZN &amp; CHILL'!2507:2507,"AAAAAGx613c=",0)</f>
        <v>0</v>
      </c>
      <c r="DQ352" t="e">
        <f>AND('STERLING CATALOG - FZN &amp; CHILL'!A2507,"AAAAAGx613g=")</f>
        <v>#VALUE!</v>
      </c>
      <c r="DR352" t="e">
        <f>AND('STERLING CATALOG - FZN &amp; CHILL'!B2507,"AAAAAGx613k=")</f>
        <v>#VALUE!</v>
      </c>
      <c r="DS352" t="e">
        <f>AND('STERLING CATALOG - FZN &amp; CHILL'!C2507,"AAAAAGx613o=")</f>
        <v>#VALUE!</v>
      </c>
      <c r="DT352" t="e">
        <f>AND('STERLING CATALOG - FZN &amp; CHILL'!D2507,"AAAAAGx613s=")</f>
        <v>#VALUE!</v>
      </c>
      <c r="DU352" t="e">
        <f>AND('STERLING CATALOG - FZN &amp; CHILL'!E2507,"AAAAAGx613w=")</f>
        <v>#VALUE!</v>
      </c>
      <c r="DV352" t="e">
        <f>AND('STERLING CATALOG - FZN &amp; CHILL'!F2507,"AAAAAGx6130=")</f>
        <v>#VALUE!</v>
      </c>
      <c r="DW352" t="e">
        <f>AND('STERLING CATALOG - FZN &amp; CHILL'!G2507,"AAAAAGx6134=")</f>
        <v>#VALUE!</v>
      </c>
      <c r="DX352" t="e">
        <f>AND('STERLING CATALOG - FZN &amp; CHILL'!H2507,"AAAAAGx6138=")</f>
        <v>#VALUE!</v>
      </c>
      <c r="DY352" t="e">
        <f>AND('STERLING CATALOG - FZN &amp; CHILL'!I2507,"AAAAAGx614A=")</f>
        <v>#VALUE!</v>
      </c>
      <c r="DZ352" t="e">
        <f>AND('STERLING CATALOG - FZN &amp; CHILL'!J2507,"AAAAAGx614E=")</f>
        <v>#VALUE!</v>
      </c>
      <c r="EA352">
        <f>IF('STERLING CATALOG - FZN &amp; CHILL'!2508:2508,"AAAAAGx614I=",0)</f>
        <v>0</v>
      </c>
      <c r="EB352" t="e">
        <f>AND('STERLING CATALOG - FZN &amp; CHILL'!A2508,"AAAAAGx614M=")</f>
        <v>#VALUE!</v>
      </c>
      <c r="EC352" t="e">
        <f>AND('STERLING CATALOG - FZN &amp; CHILL'!B2508,"AAAAAGx614Q=")</f>
        <v>#VALUE!</v>
      </c>
      <c r="ED352" t="e">
        <f>AND('STERLING CATALOG - FZN &amp; CHILL'!C2508,"AAAAAGx614U=")</f>
        <v>#VALUE!</v>
      </c>
      <c r="EE352" t="e">
        <f>AND('STERLING CATALOG - FZN &amp; CHILL'!D2508,"AAAAAGx614Y=")</f>
        <v>#VALUE!</v>
      </c>
      <c r="EF352" t="e">
        <f>AND('STERLING CATALOG - FZN &amp; CHILL'!E2508,"AAAAAGx614c=")</f>
        <v>#VALUE!</v>
      </c>
      <c r="EG352" t="e">
        <f>AND('STERLING CATALOG - FZN &amp; CHILL'!F2508,"AAAAAGx614g=")</f>
        <v>#VALUE!</v>
      </c>
      <c r="EH352" t="e">
        <f>AND('STERLING CATALOG - FZN &amp; CHILL'!G2508,"AAAAAGx614k=")</f>
        <v>#VALUE!</v>
      </c>
      <c r="EI352" t="e">
        <f>AND('STERLING CATALOG - FZN &amp; CHILL'!H2508,"AAAAAGx614o=")</f>
        <v>#VALUE!</v>
      </c>
      <c r="EJ352" t="e">
        <f>AND('STERLING CATALOG - FZN &amp; CHILL'!I2508,"AAAAAGx614s=")</f>
        <v>#VALUE!</v>
      </c>
      <c r="EK352" t="e">
        <f>AND('STERLING CATALOG - FZN &amp; CHILL'!J2508,"AAAAAGx614w=")</f>
        <v>#VALUE!</v>
      </c>
      <c r="EL352">
        <f>IF('STERLING CATALOG - FZN &amp; CHILL'!2509:2509,"AAAAAGx6140=",0)</f>
        <v>0</v>
      </c>
      <c r="EM352" t="e">
        <f>AND('STERLING CATALOG - FZN &amp; CHILL'!A2509,"AAAAAGx6144=")</f>
        <v>#VALUE!</v>
      </c>
      <c r="EN352" t="e">
        <f>AND('STERLING CATALOG - FZN &amp; CHILL'!B2509,"AAAAAGx6148=")</f>
        <v>#VALUE!</v>
      </c>
      <c r="EO352" t="e">
        <f>AND('STERLING CATALOG - FZN &amp; CHILL'!C2509,"AAAAAGx615A=")</f>
        <v>#VALUE!</v>
      </c>
      <c r="EP352" t="e">
        <f>AND('STERLING CATALOG - FZN &amp; CHILL'!D2509,"AAAAAGx615E=")</f>
        <v>#VALUE!</v>
      </c>
      <c r="EQ352" t="e">
        <f>AND('STERLING CATALOG - FZN &amp; CHILL'!E2509,"AAAAAGx615I=")</f>
        <v>#VALUE!</v>
      </c>
      <c r="ER352" t="e">
        <f>AND('STERLING CATALOG - FZN &amp; CHILL'!F2509,"AAAAAGx615M=")</f>
        <v>#VALUE!</v>
      </c>
      <c r="ES352" t="e">
        <f>AND('STERLING CATALOG - FZN &amp; CHILL'!G2509,"AAAAAGx615Q=")</f>
        <v>#VALUE!</v>
      </c>
      <c r="ET352" t="e">
        <f>AND('STERLING CATALOG - FZN &amp; CHILL'!H2509,"AAAAAGx615U=")</f>
        <v>#VALUE!</v>
      </c>
      <c r="EU352" t="e">
        <f>AND('STERLING CATALOG - FZN &amp; CHILL'!I2509,"AAAAAGx615Y=")</f>
        <v>#VALUE!</v>
      </c>
      <c r="EV352" t="e">
        <f>AND('STERLING CATALOG - FZN &amp; CHILL'!J2509,"AAAAAGx615c=")</f>
        <v>#VALUE!</v>
      </c>
      <c r="EW352">
        <f>IF('STERLING CATALOG - FZN &amp; CHILL'!2510:2510,"AAAAAGx615g=",0)</f>
        <v>0</v>
      </c>
      <c r="EX352" t="e">
        <f>AND('STERLING CATALOG - FZN &amp; CHILL'!A2510,"AAAAAGx615k=")</f>
        <v>#VALUE!</v>
      </c>
      <c r="EY352" t="e">
        <f>AND('STERLING CATALOG - FZN &amp; CHILL'!B2510,"AAAAAGx615o=")</f>
        <v>#VALUE!</v>
      </c>
      <c r="EZ352" t="e">
        <f>AND('STERLING CATALOG - FZN &amp; CHILL'!C2510,"AAAAAGx615s=")</f>
        <v>#VALUE!</v>
      </c>
      <c r="FA352" t="e">
        <f>AND('STERLING CATALOG - FZN &amp; CHILL'!D2510,"AAAAAGx615w=")</f>
        <v>#VALUE!</v>
      </c>
      <c r="FB352" t="e">
        <f>AND('STERLING CATALOG - FZN &amp; CHILL'!E2510,"AAAAAGx6150=")</f>
        <v>#VALUE!</v>
      </c>
      <c r="FC352" t="e">
        <f>AND('STERLING CATALOG - FZN &amp; CHILL'!F2510,"AAAAAGx6154=")</f>
        <v>#VALUE!</v>
      </c>
      <c r="FD352" t="e">
        <f>AND('STERLING CATALOG - FZN &amp; CHILL'!G2510,"AAAAAGx6158=")</f>
        <v>#VALUE!</v>
      </c>
      <c r="FE352" t="e">
        <f>AND('STERLING CATALOG - FZN &amp; CHILL'!H2510,"AAAAAGx616A=")</f>
        <v>#VALUE!</v>
      </c>
      <c r="FF352" t="e">
        <f>AND('STERLING CATALOG - FZN &amp; CHILL'!I2510,"AAAAAGx616E=")</f>
        <v>#VALUE!</v>
      </c>
      <c r="FG352" t="e">
        <f>AND('STERLING CATALOG - FZN &amp; CHILL'!J2510,"AAAAAGx616I=")</f>
        <v>#VALUE!</v>
      </c>
      <c r="FH352">
        <f>IF('STERLING CATALOG - FZN &amp; CHILL'!2511:2511,"AAAAAGx616M=",0)</f>
        <v>0</v>
      </c>
      <c r="FI352" t="e">
        <f>AND('STERLING CATALOG - FZN &amp; CHILL'!A2511,"AAAAAGx616Q=")</f>
        <v>#VALUE!</v>
      </c>
      <c r="FJ352" t="e">
        <f>AND('STERLING CATALOG - FZN &amp; CHILL'!B2511,"AAAAAGx616U=")</f>
        <v>#VALUE!</v>
      </c>
      <c r="FK352" t="e">
        <f>AND('STERLING CATALOG - FZN &amp; CHILL'!C2511,"AAAAAGx616Y=")</f>
        <v>#VALUE!</v>
      </c>
      <c r="FL352" t="e">
        <f>AND('STERLING CATALOG - FZN &amp; CHILL'!D2511,"AAAAAGx616c=")</f>
        <v>#VALUE!</v>
      </c>
      <c r="FM352" t="e">
        <f>AND('STERLING CATALOG - FZN &amp; CHILL'!E2511,"AAAAAGx616g=")</f>
        <v>#VALUE!</v>
      </c>
      <c r="FN352" t="e">
        <f>AND('STERLING CATALOG - FZN &amp; CHILL'!F2511,"AAAAAGx616k=")</f>
        <v>#VALUE!</v>
      </c>
      <c r="FO352" t="e">
        <f>AND('STERLING CATALOG - FZN &amp; CHILL'!G2511,"AAAAAGx616o=")</f>
        <v>#VALUE!</v>
      </c>
      <c r="FP352" t="e">
        <f>AND('STERLING CATALOG - FZN &amp; CHILL'!H2511,"AAAAAGx616s=")</f>
        <v>#VALUE!</v>
      </c>
      <c r="FQ352" t="e">
        <f>AND('STERLING CATALOG - FZN &amp; CHILL'!I2511,"AAAAAGx616w=")</f>
        <v>#VALUE!</v>
      </c>
      <c r="FR352" t="e">
        <f>AND('STERLING CATALOG - FZN &amp; CHILL'!J2511,"AAAAAGx6160=")</f>
        <v>#VALUE!</v>
      </c>
      <c r="FS352">
        <f>IF('STERLING CATALOG - FZN &amp; CHILL'!2512:2512,"AAAAAGx6164=",0)</f>
        <v>0</v>
      </c>
      <c r="FT352" t="e">
        <f>AND('STERLING CATALOG - FZN &amp; CHILL'!A2512,"AAAAAGx6168=")</f>
        <v>#VALUE!</v>
      </c>
      <c r="FU352" t="e">
        <f>AND('STERLING CATALOG - FZN &amp; CHILL'!B2512,"AAAAAGx617A=")</f>
        <v>#VALUE!</v>
      </c>
      <c r="FV352" t="e">
        <f>AND('STERLING CATALOG - FZN &amp; CHILL'!C2512,"AAAAAGx617E=")</f>
        <v>#VALUE!</v>
      </c>
      <c r="FW352" t="e">
        <f>AND('STERLING CATALOG - FZN &amp; CHILL'!D2512,"AAAAAGx617I=")</f>
        <v>#VALUE!</v>
      </c>
      <c r="FX352" t="e">
        <f>AND('STERLING CATALOG - FZN &amp; CHILL'!E2512,"AAAAAGx617M=")</f>
        <v>#VALUE!</v>
      </c>
      <c r="FY352" t="e">
        <f>AND('STERLING CATALOG - FZN &amp; CHILL'!F2512,"AAAAAGx617Q=")</f>
        <v>#VALUE!</v>
      </c>
      <c r="FZ352" t="e">
        <f>AND('STERLING CATALOG - FZN &amp; CHILL'!G2512,"AAAAAGx617U=")</f>
        <v>#VALUE!</v>
      </c>
      <c r="GA352" t="e">
        <f>AND('STERLING CATALOG - FZN &amp; CHILL'!H2512,"AAAAAGx617Y=")</f>
        <v>#VALUE!</v>
      </c>
      <c r="GB352" t="e">
        <f>AND('STERLING CATALOG - FZN &amp; CHILL'!I2512,"AAAAAGx617c=")</f>
        <v>#VALUE!</v>
      </c>
      <c r="GC352" t="e">
        <f>AND('STERLING CATALOG - FZN &amp; CHILL'!J2512,"AAAAAGx617g=")</f>
        <v>#VALUE!</v>
      </c>
      <c r="GD352">
        <f>IF('STERLING CATALOG - FZN &amp; CHILL'!2513:2513,"AAAAAGx617k=",0)</f>
        <v>0</v>
      </c>
      <c r="GE352" t="e">
        <f>AND('STERLING CATALOG - FZN &amp; CHILL'!A2513,"AAAAAGx617o=")</f>
        <v>#VALUE!</v>
      </c>
      <c r="GF352" t="e">
        <f>AND('STERLING CATALOG - FZN &amp; CHILL'!B2513,"AAAAAGx617s=")</f>
        <v>#VALUE!</v>
      </c>
      <c r="GG352" t="e">
        <f>AND('STERLING CATALOG - FZN &amp; CHILL'!C2513,"AAAAAGx617w=")</f>
        <v>#VALUE!</v>
      </c>
      <c r="GH352" t="e">
        <f>AND('STERLING CATALOG - FZN &amp; CHILL'!D2513,"AAAAAGx6170=")</f>
        <v>#VALUE!</v>
      </c>
      <c r="GI352" t="e">
        <f>AND('STERLING CATALOG - FZN &amp; CHILL'!E2513,"AAAAAGx6174=")</f>
        <v>#VALUE!</v>
      </c>
      <c r="GJ352" t="e">
        <f>AND('STERLING CATALOG - FZN &amp; CHILL'!F2513,"AAAAAGx6178=")</f>
        <v>#VALUE!</v>
      </c>
      <c r="GK352" t="e">
        <f>AND('STERLING CATALOG - FZN &amp; CHILL'!G2513,"AAAAAGx618A=")</f>
        <v>#VALUE!</v>
      </c>
      <c r="GL352" t="e">
        <f>AND('STERLING CATALOG - FZN &amp; CHILL'!H2513,"AAAAAGx618E=")</f>
        <v>#VALUE!</v>
      </c>
      <c r="GM352" t="e">
        <f>AND('STERLING CATALOG - FZN &amp; CHILL'!I2513,"AAAAAGx618I=")</f>
        <v>#VALUE!</v>
      </c>
      <c r="GN352" t="e">
        <f>AND('STERLING CATALOG - FZN &amp; CHILL'!J2513,"AAAAAGx618M=")</f>
        <v>#VALUE!</v>
      </c>
      <c r="GO352">
        <f>IF('STERLING CATALOG - FZN &amp; CHILL'!2514:2514,"AAAAAGx618Q=",0)</f>
        <v>0</v>
      </c>
      <c r="GP352" t="e">
        <f>AND('STERLING CATALOG - FZN &amp; CHILL'!A2514,"AAAAAGx618U=")</f>
        <v>#VALUE!</v>
      </c>
      <c r="GQ352" t="e">
        <f>AND('STERLING CATALOG - FZN &amp; CHILL'!B2514,"AAAAAGx618Y=")</f>
        <v>#VALUE!</v>
      </c>
      <c r="GR352" t="e">
        <f>AND('STERLING CATALOG - FZN &amp; CHILL'!C2514,"AAAAAGx618c=")</f>
        <v>#VALUE!</v>
      </c>
      <c r="GS352" t="e">
        <f>AND('STERLING CATALOG - FZN &amp; CHILL'!D2514,"AAAAAGx618g=")</f>
        <v>#VALUE!</v>
      </c>
      <c r="GT352" t="e">
        <f>AND('STERLING CATALOG - FZN &amp; CHILL'!E2514,"AAAAAGx618k=")</f>
        <v>#VALUE!</v>
      </c>
      <c r="GU352" t="e">
        <f>AND('STERLING CATALOG - FZN &amp; CHILL'!F2514,"AAAAAGx618o=")</f>
        <v>#VALUE!</v>
      </c>
      <c r="GV352" t="e">
        <f>AND('STERLING CATALOG - FZN &amp; CHILL'!G2514,"AAAAAGx618s=")</f>
        <v>#VALUE!</v>
      </c>
      <c r="GW352" t="e">
        <f>AND('STERLING CATALOG - FZN &amp; CHILL'!H2514,"AAAAAGx618w=")</f>
        <v>#VALUE!</v>
      </c>
      <c r="GX352" t="e">
        <f>AND('STERLING CATALOG - FZN &amp; CHILL'!I2514,"AAAAAGx6180=")</f>
        <v>#VALUE!</v>
      </c>
      <c r="GY352" t="e">
        <f>AND('STERLING CATALOG - FZN &amp; CHILL'!J2514,"AAAAAGx6184=")</f>
        <v>#VALUE!</v>
      </c>
      <c r="GZ352">
        <f>IF('STERLING CATALOG - FZN &amp; CHILL'!2515:2515,"AAAAAGx6188=",0)</f>
        <v>0</v>
      </c>
      <c r="HA352" t="e">
        <f>AND('STERLING CATALOG - FZN &amp; CHILL'!A2515,"AAAAAGx619A=")</f>
        <v>#VALUE!</v>
      </c>
      <c r="HB352" t="e">
        <f>AND('STERLING CATALOG - FZN &amp; CHILL'!B2515,"AAAAAGx619E=")</f>
        <v>#VALUE!</v>
      </c>
      <c r="HC352" t="e">
        <f>AND('STERLING CATALOG - FZN &amp; CHILL'!C2515,"AAAAAGx619I=")</f>
        <v>#VALUE!</v>
      </c>
      <c r="HD352" t="e">
        <f>AND('STERLING CATALOG - FZN &amp; CHILL'!D2515,"AAAAAGx619M=")</f>
        <v>#VALUE!</v>
      </c>
      <c r="HE352" t="e">
        <f>AND('STERLING CATALOG - FZN &amp; CHILL'!E2515,"AAAAAGx619Q=")</f>
        <v>#VALUE!</v>
      </c>
      <c r="HF352" t="e">
        <f>AND('STERLING CATALOG - FZN &amp; CHILL'!F2515,"AAAAAGx619U=")</f>
        <v>#VALUE!</v>
      </c>
      <c r="HG352" t="e">
        <f>AND('STERLING CATALOG - FZN &amp; CHILL'!G2515,"AAAAAGx619Y=")</f>
        <v>#VALUE!</v>
      </c>
      <c r="HH352" t="e">
        <f>AND('STERLING CATALOG - FZN &amp; CHILL'!H2515,"AAAAAGx619c=")</f>
        <v>#VALUE!</v>
      </c>
      <c r="HI352" t="e">
        <f>AND('STERLING CATALOG - FZN &amp; CHILL'!I2515,"AAAAAGx619g=")</f>
        <v>#VALUE!</v>
      </c>
      <c r="HJ352" t="e">
        <f>AND('STERLING CATALOG - FZN &amp; CHILL'!J2515,"AAAAAGx619k=")</f>
        <v>#VALUE!</v>
      </c>
      <c r="HK352">
        <f>IF('STERLING CATALOG - FZN &amp; CHILL'!2516:2516,"AAAAAGx619o=",0)</f>
        <v>0</v>
      </c>
      <c r="HL352" t="e">
        <f>AND('STERLING CATALOG - FZN &amp; CHILL'!A2516,"AAAAAGx619s=")</f>
        <v>#VALUE!</v>
      </c>
      <c r="HM352" t="e">
        <f>AND('STERLING CATALOG - FZN &amp; CHILL'!B2516,"AAAAAGx619w=")</f>
        <v>#VALUE!</v>
      </c>
      <c r="HN352" t="e">
        <f>AND('STERLING CATALOG - FZN &amp; CHILL'!C2516,"AAAAAGx6190=")</f>
        <v>#VALUE!</v>
      </c>
      <c r="HO352" t="e">
        <f>AND('STERLING CATALOG - FZN &amp; CHILL'!D2516,"AAAAAGx6194=")</f>
        <v>#VALUE!</v>
      </c>
      <c r="HP352" t="e">
        <f>AND('STERLING CATALOG - FZN &amp; CHILL'!E2516,"AAAAAGx6198=")</f>
        <v>#VALUE!</v>
      </c>
      <c r="HQ352" t="e">
        <f>AND('STERLING CATALOG - FZN &amp; CHILL'!F2516,"AAAAAGx61+A=")</f>
        <v>#VALUE!</v>
      </c>
      <c r="HR352" t="e">
        <f>AND('STERLING CATALOG - FZN &amp; CHILL'!G2516,"AAAAAGx61+E=")</f>
        <v>#VALUE!</v>
      </c>
      <c r="HS352" t="e">
        <f>AND('STERLING CATALOG - FZN &amp; CHILL'!H2516,"AAAAAGx61+I=")</f>
        <v>#VALUE!</v>
      </c>
      <c r="HT352" t="e">
        <f>AND('STERLING CATALOG - FZN &amp; CHILL'!I2516,"AAAAAGx61+M=")</f>
        <v>#VALUE!</v>
      </c>
      <c r="HU352" t="e">
        <f>AND('STERLING CATALOG - FZN &amp; CHILL'!J2516,"AAAAAGx61+Q=")</f>
        <v>#VALUE!</v>
      </c>
      <c r="HV352">
        <f>IF('STERLING CATALOG - FZN &amp; CHILL'!2517:2517,"AAAAAGx61+U=",0)</f>
        <v>0</v>
      </c>
      <c r="HW352" t="e">
        <f>AND('STERLING CATALOG - FZN &amp; CHILL'!A2517,"AAAAAGx61+Y=")</f>
        <v>#VALUE!</v>
      </c>
      <c r="HX352" t="e">
        <f>AND('STERLING CATALOG - FZN &amp; CHILL'!B2517,"AAAAAGx61+c=")</f>
        <v>#VALUE!</v>
      </c>
      <c r="HY352" t="e">
        <f>AND('STERLING CATALOG - FZN &amp; CHILL'!C2517,"AAAAAGx61+g=")</f>
        <v>#VALUE!</v>
      </c>
      <c r="HZ352" t="e">
        <f>AND('STERLING CATALOG - FZN &amp; CHILL'!D2517,"AAAAAGx61+k=")</f>
        <v>#VALUE!</v>
      </c>
      <c r="IA352" t="e">
        <f>AND('STERLING CATALOG - FZN &amp; CHILL'!E2517,"AAAAAGx61+o=")</f>
        <v>#VALUE!</v>
      </c>
      <c r="IB352" t="e">
        <f>AND('STERLING CATALOG - FZN &amp; CHILL'!F2517,"AAAAAGx61+s=")</f>
        <v>#VALUE!</v>
      </c>
      <c r="IC352" t="e">
        <f>AND('STERLING CATALOG - FZN &amp; CHILL'!G2517,"AAAAAGx61+w=")</f>
        <v>#VALUE!</v>
      </c>
      <c r="ID352" t="e">
        <f>AND('STERLING CATALOG - FZN &amp; CHILL'!H2517,"AAAAAGx61+0=")</f>
        <v>#VALUE!</v>
      </c>
      <c r="IE352" t="e">
        <f>AND('STERLING CATALOG - FZN &amp; CHILL'!I2517,"AAAAAGx61+4=")</f>
        <v>#VALUE!</v>
      </c>
      <c r="IF352" t="e">
        <f>AND('STERLING CATALOG - FZN &amp; CHILL'!J2517,"AAAAAGx61+8=")</f>
        <v>#VALUE!</v>
      </c>
      <c r="IG352">
        <f>IF('STERLING CATALOG - FZN &amp; CHILL'!2518:2518,"AAAAAGx61/A=",0)</f>
        <v>0</v>
      </c>
      <c r="IH352" t="e">
        <f>AND('STERLING CATALOG - FZN &amp; CHILL'!A2518,"AAAAAGx61/E=")</f>
        <v>#VALUE!</v>
      </c>
      <c r="II352" t="e">
        <f>AND('STERLING CATALOG - FZN &amp; CHILL'!B2518,"AAAAAGx61/I=")</f>
        <v>#VALUE!</v>
      </c>
      <c r="IJ352" t="e">
        <f>AND('STERLING CATALOG - FZN &amp; CHILL'!C2518,"AAAAAGx61/M=")</f>
        <v>#VALUE!</v>
      </c>
      <c r="IK352" t="e">
        <f>AND('STERLING CATALOG - FZN &amp; CHILL'!D2518,"AAAAAGx61/Q=")</f>
        <v>#VALUE!</v>
      </c>
      <c r="IL352" t="e">
        <f>AND('STERLING CATALOG - FZN &amp; CHILL'!E2518,"AAAAAGx61/U=")</f>
        <v>#VALUE!</v>
      </c>
      <c r="IM352" t="e">
        <f>AND('STERLING CATALOG - FZN &amp; CHILL'!F2518,"AAAAAGx61/Y=")</f>
        <v>#VALUE!</v>
      </c>
      <c r="IN352" t="e">
        <f>AND('STERLING CATALOG - FZN &amp; CHILL'!G2518,"AAAAAGx61/c=")</f>
        <v>#VALUE!</v>
      </c>
      <c r="IO352" t="e">
        <f>AND('STERLING CATALOG - FZN &amp; CHILL'!H2518,"AAAAAGx61/g=")</f>
        <v>#VALUE!</v>
      </c>
      <c r="IP352" t="e">
        <f>AND('STERLING CATALOG - FZN &amp; CHILL'!I2518,"AAAAAGx61/k=")</f>
        <v>#VALUE!</v>
      </c>
      <c r="IQ352" t="e">
        <f>AND('STERLING CATALOG - FZN &amp; CHILL'!J2518,"AAAAAGx61/o=")</f>
        <v>#VALUE!</v>
      </c>
      <c r="IR352">
        <f>IF('STERLING CATALOG - FZN &amp; CHILL'!2519:2519,"AAAAAGx61/s=",0)</f>
        <v>0</v>
      </c>
      <c r="IS352" t="e">
        <f>AND('STERLING CATALOG - FZN &amp; CHILL'!A2519,"AAAAAGx61/w=")</f>
        <v>#VALUE!</v>
      </c>
      <c r="IT352" t="e">
        <f>AND('STERLING CATALOG - FZN &amp; CHILL'!B2519,"AAAAAGx61/0=")</f>
        <v>#VALUE!</v>
      </c>
      <c r="IU352" t="e">
        <f>AND('STERLING CATALOG - FZN &amp; CHILL'!C2519,"AAAAAGx61/4=")</f>
        <v>#VALUE!</v>
      </c>
      <c r="IV352" t="e">
        <f>AND('STERLING CATALOG - FZN &amp; CHILL'!D2519,"AAAAAGx61/8=")</f>
        <v>#VALUE!</v>
      </c>
    </row>
    <row r="353" spans="1:256">
      <c r="A353" t="e">
        <f>AND('STERLING CATALOG - FZN &amp; CHILL'!E2519,"AAAAAD7WWwA=")</f>
        <v>#VALUE!</v>
      </c>
      <c r="B353" t="e">
        <f>AND('STERLING CATALOG - FZN &amp; CHILL'!F2519,"AAAAAD7WWwE=")</f>
        <v>#VALUE!</v>
      </c>
      <c r="C353" t="e">
        <f>AND('STERLING CATALOG - FZN &amp; CHILL'!G2519,"AAAAAD7WWwI=")</f>
        <v>#VALUE!</v>
      </c>
      <c r="D353" t="e">
        <f>AND('STERLING CATALOG - FZN &amp; CHILL'!H2519,"AAAAAD7WWwM=")</f>
        <v>#VALUE!</v>
      </c>
      <c r="E353" t="e">
        <f>AND('STERLING CATALOG - FZN &amp; CHILL'!I2519,"AAAAAD7WWwQ=")</f>
        <v>#VALUE!</v>
      </c>
      <c r="F353" t="e">
        <f>AND('STERLING CATALOG - FZN &amp; CHILL'!J2519,"AAAAAD7WWwU=")</f>
        <v>#VALUE!</v>
      </c>
      <c r="G353" t="str">
        <f>IF('STERLING CATALOG - FZN &amp; CHILL'!2520:2520,"AAAAAD7WWwY=",0)</f>
        <v>AAAAAD7WWwY=</v>
      </c>
      <c r="H353" t="e">
        <f>AND('STERLING CATALOG - FZN &amp; CHILL'!A2520,"AAAAAD7WWwc=")</f>
        <v>#VALUE!</v>
      </c>
      <c r="I353" t="e">
        <f>AND('STERLING CATALOG - FZN &amp; CHILL'!B2520,"AAAAAD7WWwg=")</f>
        <v>#VALUE!</v>
      </c>
      <c r="J353" t="e">
        <f>AND('STERLING CATALOG - FZN &amp; CHILL'!C2520,"AAAAAD7WWwk=")</f>
        <v>#VALUE!</v>
      </c>
      <c r="K353" t="e">
        <f>AND('STERLING CATALOG - FZN &amp; CHILL'!D2520,"AAAAAD7WWwo=")</f>
        <v>#VALUE!</v>
      </c>
      <c r="L353" t="e">
        <f>AND('STERLING CATALOG - FZN &amp; CHILL'!E2520,"AAAAAD7WWws=")</f>
        <v>#VALUE!</v>
      </c>
      <c r="M353" t="e">
        <f>AND('STERLING CATALOG - FZN &amp; CHILL'!F2520,"AAAAAD7WWww=")</f>
        <v>#VALUE!</v>
      </c>
      <c r="N353" t="e">
        <f>AND('STERLING CATALOG - FZN &amp; CHILL'!G2520,"AAAAAD7WWw0=")</f>
        <v>#VALUE!</v>
      </c>
      <c r="O353" t="e">
        <f>AND('STERLING CATALOG - FZN &amp; CHILL'!H2520,"AAAAAD7WWw4=")</f>
        <v>#VALUE!</v>
      </c>
      <c r="P353" t="e">
        <f>AND('STERLING CATALOG - FZN &amp; CHILL'!I2520,"AAAAAD7WWw8=")</f>
        <v>#VALUE!</v>
      </c>
      <c r="Q353" t="e">
        <f>AND('STERLING CATALOG - FZN &amp; CHILL'!J2520,"AAAAAD7WWxA=")</f>
        <v>#VALUE!</v>
      </c>
      <c r="R353">
        <f>IF('STERLING CATALOG - FZN &amp; CHILL'!2521:2521,"AAAAAD7WWxE=",0)</f>
        <v>0</v>
      </c>
      <c r="S353" t="e">
        <f>AND('STERLING CATALOG - FZN &amp; CHILL'!A2521,"AAAAAD7WWxI=")</f>
        <v>#VALUE!</v>
      </c>
      <c r="T353" t="e">
        <f>AND('STERLING CATALOG - FZN &amp; CHILL'!B2521,"AAAAAD7WWxM=")</f>
        <v>#VALUE!</v>
      </c>
      <c r="U353" t="e">
        <f>AND('STERLING CATALOG - FZN &amp; CHILL'!C2521,"AAAAAD7WWxQ=")</f>
        <v>#VALUE!</v>
      </c>
      <c r="V353" t="e">
        <f>AND('STERLING CATALOG - FZN &amp; CHILL'!D2521,"AAAAAD7WWxU=")</f>
        <v>#VALUE!</v>
      </c>
      <c r="W353" t="e">
        <f>AND('STERLING CATALOG - FZN &amp; CHILL'!E2521,"AAAAAD7WWxY=")</f>
        <v>#VALUE!</v>
      </c>
      <c r="X353" t="e">
        <f>AND('STERLING CATALOG - FZN &amp; CHILL'!F2521,"AAAAAD7WWxc=")</f>
        <v>#VALUE!</v>
      </c>
      <c r="Y353" t="e">
        <f>AND('STERLING CATALOG - FZN &amp; CHILL'!G2521,"AAAAAD7WWxg=")</f>
        <v>#VALUE!</v>
      </c>
      <c r="Z353" t="e">
        <f>AND('STERLING CATALOG - FZN &amp; CHILL'!H2521,"AAAAAD7WWxk=")</f>
        <v>#VALUE!</v>
      </c>
      <c r="AA353" t="e">
        <f>AND('STERLING CATALOG - FZN &amp; CHILL'!I2521,"AAAAAD7WWxo=")</f>
        <v>#VALUE!</v>
      </c>
      <c r="AB353" t="e">
        <f>AND('STERLING CATALOG - FZN &amp; CHILL'!J2521,"AAAAAD7WWxs=")</f>
        <v>#VALUE!</v>
      </c>
      <c r="AC353">
        <f>IF('STERLING CATALOG - FZN &amp; CHILL'!2522:2522,"AAAAAD7WWxw=",0)</f>
        <v>0</v>
      </c>
      <c r="AD353" t="e">
        <f>AND('STERLING CATALOG - FZN &amp; CHILL'!A2522,"AAAAAD7WWx0=")</f>
        <v>#VALUE!</v>
      </c>
      <c r="AE353" t="e">
        <f>AND('STERLING CATALOG - FZN &amp; CHILL'!B2522,"AAAAAD7WWx4=")</f>
        <v>#VALUE!</v>
      </c>
      <c r="AF353" t="e">
        <f>AND('STERLING CATALOG - FZN &amp; CHILL'!C2522,"AAAAAD7WWx8=")</f>
        <v>#VALUE!</v>
      </c>
      <c r="AG353" t="e">
        <f>AND('STERLING CATALOG - FZN &amp; CHILL'!D2522,"AAAAAD7WWyA=")</f>
        <v>#VALUE!</v>
      </c>
      <c r="AH353" t="e">
        <f>AND('STERLING CATALOG - FZN &amp; CHILL'!E2522,"AAAAAD7WWyE=")</f>
        <v>#VALUE!</v>
      </c>
      <c r="AI353" t="e">
        <f>AND('STERLING CATALOG - FZN &amp; CHILL'!F2522,"AAAAAD7WWyI=")</f>
        <v>#VALUE!</v>
      </c>
      <c r="AJ353" t="e">
        <f>AND('STERLING CATALOG - FZN &amp; CHILL'!G2522,"AAAAAD7WWyM=")</f>
        <v>#VALUE!</v>
      </c>
      <c r="AK353" t="e">
        <f>AND('STERLING CATALOG - FZN &amp; CHILL'!H2522,"AAAAAD7WWyQ=")</f>
        <v>#VALUE!</v>
      </c>
      <c r="AL353" t="e">
        <f>AND('STERLING CATALOG - FZN &amp; CHILL'!I2522,"AAAAAD7WWyU=")</f>
        <v>#VALUE!</v>
      </c>
      <c r="AM353" t="e">
        <f>AND('STERLING CATALOG - FZN &amp; CHILL'!J2522,"AAAAAD7WWyY=")</f>
        <v>#VALUE!</v>
      </c>
      <c r="AN353">
        <f>IF('STERLING CATALOG - FZN &amp; CHILL'!2523:2523,"AAAAAD7WWyc=",0)</f>
        <v>0</v>
      </c>
      <c r="AO353" t="e">
        <f>AND('STERLING CATALOG - FZN &amp; CHILL'!A2523,"AAAAAD7WWyg=")</f>
        <v>#VALUE!</v>
      </c>
      <c r="AP353" t="e">
        <f>AND('STERLING CATALOG - FZN &amp; CHILL'!B2523,"AAAAAD7WWyk=")</f>
        <v>#VALUE!</v>
      </c>
      <c r="AQ353" t="e">
        <f>AND('STERLING CATALOG - FZN &amp; CHILL'!C2523,"AAAAAD7WWyo=")</f>
        <v>#VALUE!</v>
      </c>
      <c r="AR353" t="e">
        <f>AND('STERLING CATALOG - FZN &amp; CHILL'!D2523,"AAAAAD7WWys=")</f>
        <v>#VALUE!</v>
      </c>
      <c r="AS353" t="e">
        <f>AND('STERLING CATALOG - FZN &amp; CHILL'!E2523,"AAAAAD7WWyw=")</f>
        <v>#VALUE!</v>
      </c>
      <c r="AT353" t="e">
        <f>AND('STERLING CATALOG - FZN &amp; CHILL'!F2523,"AAAAAD7WWy0=")</f>
        <v>#VALUE!</v>
      </c>
      <c r="AU353" t="e">
        <f>AND('STERLING CATALOG - FZN &amp; CHILL'!G2523,"AAAAAD7WWy4=")</f>
        <v>#VALUE!</v>
      </c>
      <c r="AV353" t="e">
        <f>AND('STERLING CATALOG - FZN &amp; CHILL'!H2523,"AAAAAD7WWy8=")</f>
        <v>#VALUE!</v>
      </c>
      <c r="AW353" t="e">
        <f>AND('STERLING CATALOG - FZN &amp; CHILL'!I2523,"AAAAAD7WWzA=")</f>
        <v>#VALUE!</v>
      </c>
      <c r="AX353" t="e">
        <f>AND('STERLING CATALOG - FZN &amp; CHILL'!J2523,"AAAAAD7WWzE=")</f>
        <v>#VALUE!</v>
      </c>
      <c r="AY353">
        <f>IF('STERLING CATALOG - FZN &amp; CHILL'!2524:2524,"AAAAAD7WWzI=",0)</f>
        <v>0</v>
      </c>
      <c r="AZ353" t="e">
        <f>AND('STERLING CATALOG - FZN &amp; CHILL'!A2524,"AAAAAD7WWzM=")</f>
        <v>#VALUE!</v>
      </c>
      <c r="BA353" t="e">
        <f>AND('STERLING CATALOG - FZN &amp; CHILL'!B2524,"AAAAAD7WWzQ=")</f>
        <v>#VALUE!</v>
      </c>
      <c r="BB353" t="e">
        <f>AND('STERLING CATALOG - FZN &amp; CHILL'!C2524,"AAAAAD7WWzU=")</f>
        <v>#VALUE!</v>
      </c>
      <c r="BC353" t="e">
        <f>AND('STERLING CATALOG - FZN &amp; CHILL'!D2524,"AAAAAD7WWzY=")</f>
        <v>#VALUE!</v>
      </c>
      <c r="BD353" t="e">
        <f>AND('STERLING CATALOG - FZN &amp; CHILL'!E2524,"AAAAAD7WWzc=")</f>
        <v>#VALUE!</v>
      </c>
      <c r="BE353" t="e">
        <f>AND('STERLING CATALOG - FZN &amp; CHILL'!F2524,"AAAAAD7WWzg=")</f>
        <v>#VALUE!</v>
      </c>
      <c r="BF353" t="e">
        <f>AND('STERLING CATALOG - FZN &amp; CHILL'!G2524,"AAAAAD7WWzk=")</f>
        <v>#VALUE!</v>
      </c>
      <c r="BG353" t="e">
        <f>AND('STERLING CATALOG - FZN &amp; CHILL'!H2524,"AAAAAD7WWzo=")</f>
        <v>#VALUE!</v>
      </c>
      <c r="BH353" t="e">
        <f>AND('STERLING CATALOG - FZN &amp; CHILL'!I2524,"AAAAAD7WWzs=")</f>
        <v>#VALUE!</v>
      </c>
      <c r="BI353" t="e">
        <f>AND('STERLING CATALOG - FZN &amp; CHILL'!J2524,"AAAAAD7WWzw=")</f>
        <v>#VALUE!</v>
      </c>
      <c r="BJ353">
        <f>IF('STERLING CATALOG - FZN &amp; CHILL'!2525:2525,"AAAAAD7WWz0=",0)</f>
        <v>0</v>
      </c>
      <c r="BK353" t="e">
        <f>AND('STERLING CATALOG - FZN &amp; CHILL'!A2525,"AAAAAD7WWz4=")</f>
        <v>#VALUE!</v>
      </c>
      <c r="BL353" t="e">
        <f>AND('STERLING CATALOG - FZN &amp; CHILL'!B2525,"AAAAAD7WWz8=")</f>
        <v>#VALUE!</v>
      </c>
      <c r="BM353" t="e">
        <f>AND('STERLING CATALOG - FZN &amp; CHILL'!C2525,"AAAAAD7WW0A=")</f>
        <v>#VALUE!</v>
      </c>
      <c r="BN353" t="e">
        <f>AND('STERLING CATALOG - FZN &amp; CHILL'!D2525,"AAAAAD7WW0E=")</f>
        <v>#VALUE!</v>
      </c>
      <c r="BO353" t="e">
        <f>AND('STERLING CATALOG - FZN &amp; CHILL'!E2525,"AAAAAD7WW0I=")</f>
        <v>#VALUE!</v>
      </c>
      <c r="BP353" t="e">
        <f>AND('STERLING CATALOG - FZN &amp; CHILL'!F2525,"AAAAAD7WW0M=")</f>
        <v>#VALUE!</v>
      </c>
      <c r="BQ353" t="e">
        <f>AND('STERLING CATALOG - FZN &amp; CHILL'!G2525,"AAAAAD7WW0Q=")</f>
        <v>#VALUE!</v>
      </c>
      <c r="BR353" t="e">
        <f>AND('STERLING CATALOG - FZN &amp; CHILL'!H2525,"AAAAAD7WW0U=")</f>
        <v>#VALUE!</v>
      </c>
      <c r="BS353" t="e">
        <f>AND('STERLING CATALOG - FZN &amp; CHILL'!I2525,"AAAAAD7WW0Y=")</f>
        <v>#VALUE!</v>
      </c>
      <c r="BT353" t="e">
        <f>AND('STERLING CATALOG - FZN &amp; CHILL'!J2525,"AAAAAD7WW0c=")</f>
        <v>#VALUE!</v>
      </c>
      <c r="BU353">
        <f>IF('STERLING CATALOG - FZN &amp; CHILL'!2526:2526,"AAAAAD7WW0g=",0)</f>
        <v>0</v>
      </c>
      <c r="BV353" t="e">
        <f>AND('STERLING CATALOG - FZN &amp; CHILL'!A2526,"AAAAAD7WW0k=")</f>
        <v>#VALUE!</v>
      </c>
      <c r="BW353" t="e">
        <f>AND('STERLING CATALOG - FZN &amp; CHILL'!B2526,"AAAAAD7WW0o=")</f>
        <v>#VALUE!</v>
      </c>
      <c r="BX353" t="e">
        <f>AND('STERLING CATALOG - FZN &amp; CHILL'!C2526,"AAAAAD7WW0s=")</f>
        <v>#VALUE!</v>
      </c>
      <c r="BY353" t="e">
        <f>AND('STERLING CATALOG - FZN &amp; CHILL'!D2526,"AAAAAD7WW0w=")</f>
        <v>#VALUE!</v>
      </c>
      <c r="BZ353" t="e">
        <f>AND('STERLING CATALOG - FZN &amp; CHILL'!E2526,"AAAAAD7WW00=")</f>
        <v>#VALUE!</v>
      </c>
      <c r="CA353" t="e">
        <f>AND('STERLING CATALOG - FZN &amp; CHILL'!F2526,"AAAAAD7WW04=")</f>
        <v>#VALUE!</v>
      </c>
      <c r="CB353" t="e">
        <f>AND('STERLING CATALOG - FZN &amp; CHILL'!G2526,"AAAAAD7WW08=")</f>
        <v>#VALUE!</v>
      </c>
      <c r="CC353" t="e">
        <f>AND('STERLING CATALOG - FZN &amp; CHILL'!H2526,"AAAAAD7WW1A=")</f>
        <v>#VALUE!</v>
      </c>
      <c r="CD353" t="e">
        <f>AND('STERLING CATALOG - FZN &amp; CHILL'!I2526,"AAAAAD7WW1E=")</f>
        <v>#VALUE!</v>
      </c>
      <c r="CE353" t="e">
        <f>AND('STERLING CATALOG - FZN &amp; CHILL'!J2526,"AAAAAD7WW1I=")</f>
        <v>#VALUE!</v>
      </c>
      <c r="CF353">
        <f>IF('STERLING CATALOG - FZN &amp; CHILL'!2527:2527,"AAAAAD7WW1M=",0)</f>
        <v>0</v>
      </c>
      <c r="CG353" t="e">
        <f>AND('STERLING CATALOG - FZN &amp; CHILL'!A2527,"AAAAAD7WW1Q=")</f>
        <v>#VALUE!</v>
      </c>
      <c r="CH353" t="e">
        <f>AND('STERLING CATALOG - FZN &amp; CHILL'!B2527,"AAAAAD7WW1U=")</f>
        <v>#VALUE!</v>
      </c>
      <c r="CI353" t="e">
        <f>AND('STERLING CATALOG - FZN &amp; CHILL'!C2527,"AAAAAD7WW1Y=")</f>
        <v>#VALUE!</v>
      </c>
      <c r="CJ353" t="e">
        <f>AND('STERLING CATALOG - FZN &amp; CHILL'!D2527,"AAAAAD7WW1c=")</f>
        <v>#VALUE!</v>
      </c>
      <c r="CK353" t="e">
        <f>AND('STERLING CATALOG - FZN &amp; CHILL'!E2527,"AAAAAD7WW1g=")</f>
        <v>#VALUE!</v>
      </c>
      <c r="CL353" t="e">
        <f>AND('STERLING CATALOG - FZN &amp; CHILL'!F2527,"AAAAAD7WW1k=")</f>
        <v>#VALUE!</v>
      </c>
      <c r="CM353" t="e">
        <f>AND('STERLING CATALOG - FZN &amp; CHILL'!G2527,"AAAAAD7WW1o=")</f>
        <v>#VALUE!</v>
      </c>
      <c r="CN353" t="e">
        <f>AND('STERLING CATALOG - FZN &amp; CHILL'!H2527,"AAAAAD7WW1s=")</f>
        <v>#VALUE!</v>
      </c>
      <c r="CO353" t="e">
        <f>AND('STERLING CATALOG - FZN &amp; CHILL'!I2527,"AAAAAD7WW1w=")</f>
        <v>#VALUE!</v>
      </c>
      <c r="CP353" t="e">
        <f>AND('STERLING CATALOG - FZN &amp; CHILL'!J2527,"AAAAAD7WW10=")</f>
        <v>#VALUE!</v>
      </c>
      <c r="CQ353">
        <f>IF('STERLING CATALOG - FZN &amp; CHILL'!2528:2528,"AAAAAD7WW14=",0)</f>
        <v>0</v>
      </c>
      <c r="CR353" t="e">
        <f>AND('STERLING CATALOG - FZN &amp; CHILL'!A2528,"AAAAAD7WW18=")</f>
        <v>#VALUE!</v>
      </c>
      <c r="CS353" t="e">
        <f>AND('STERLING CATALOG - FZN &amp; CHILL'!B2528,"AAAAAD7WW2A=")</f>
        <v>#VALUE!</v>
      </c>
      <c r="CT353" t="e">
        <f>AND('STERLING CATALOG - FZN &amp; CHILL'!C2528,"AAAAAD7WW2E=")</f>
        <v>#VALUE!</v>
      </c>
      <c r="CU353" t="e">
        <f>AND('STERLING CATALOG - FZN &amp; CHILL'!D2528,"AAAAAD7WW2I=")</f>
        <v>#VALUE!</v>
      </c>
      <c r="CV353" t="e">
        <f>AND('STERLING CATALOG - FZN &amp; CHILL'!E2528,"AAAAAD7WW2M=")</f>
        <v>#VALUE!</v>
      </c>
      <c r="CW353" t="e">
        <f>AND('STERLING CATALOG - FZN &amp; CHILL'!F2528,"AAAAAD7WW2Q=")</f>
        <v>#VALUE!</v>
      </c>
      <c r="CX353" t="e">
        <f>AND('STERLING CATALOG - FZN &amp; CHILL'!G2528,"AAAAAD7WW2U=")</f>
        <v>#VALUE!</v>
      </c>
      <c r="CY353" t="e">
        <f>AND('STERLING CATALOG - FZN &amp; CHILL'!H2528,"AAAAAD7WW2Y=")</f>
        <v>#VALUE!</v>
      </c>
      <c r="CZ353" t="e">
        <f>AND('STERLING CATALOG - FZN &amp; CHILL'!I2528,"AAAAAD7WW2c=")</f>
        <v>#VALUE!</v>
      </c>
      <c r="DA353" t="e">
        <f>AND('STERLING CATALOG - FZN &amp; CHILL'!J2528,"AAAAAD7WW2g=")</f>
        <v>#VALUE!</v>
      </c>
      <c r="DB353">
        <f>IF('STERLING CATALOG - FZN &amp; CHILL'!2529:2529,"AAAAAD7WW2k=",0)</f>
        <v>0</v>
      </c>
      <c r="DC353" t="e">
        <f>AND('STERLING CATALOG - FZN &amp; CHILL'!A2529,"AAAAAD7WW2o=")</f>
        <v>#VALUE!</v>
      </c>
      <c r="DD353" t="e">
        <f>AND('STERLING CATALOG - FZN &amp; CHILL'!B2529,"AAAAAD7WW2s=")</f>
        <v>#VALUE!</v>
      </c>
      <c r="DE353" t="e">
        <f>AND('STERLING CATALOG - FZN &amp; CHILL'!C2529,"AAAAAD7WW2w=")</f>
        <v>#VALUE!</v>
      </c>
      <c r="DF353" t="e">
        <f>AND('STERLING CATALOG - FZN &amp; CHILL'!D2529,"AAAAAD7WW20=")</f>
        <v>#VALUE!</v>
      </c>
      <c r="DG353" t="e">
        <f>AND('STERLING CATALOG - FZN &amp; CHILL'!E2529,"AAAAAD7WW24=")</f>
        <v>#VALUE!</v>
      </c>
      <c r="DH353" t="e">
        <f>AND('STERLING CATALOG - FZN &amp; CHILL'!F2529,"AAAAAD7WW28=")</f>
        <v>#VALUE!</v>
      </c>
      <c r="DI353" t="e">
        <f>AND('STERLING CATALOG - FZN &amp; CHILL'!G2529,"AAAAAD7WW3A=")</f>
        <v>#VALUE!</v>
      </c>
      <c r="DJ353" t="e">
        <f>AND('STERLING CATALOG - FZN &amp; CHILL'!H2529,"AAAAAD7WW3E=")</f>
        <v>#VALUE!</v>
      </c>
      <c r="DK353" t="e">
        <f>AND('STERLING CATALOG - FZN &amp; CHILL'!I2529,"AAAAAD7WW3I=")</f>
        <v>#VALUE!</v>
      </c>
      <c r="DL353" t="e">
        <f>AND('STERLING CATALOG - FZN &amp; CHILL'!J2529,"AAAAAD7WW3M=")</f>
        <v>#VALUE!</v>
      </c>
      <c r="DM353">
        <f>IF('STERLING CATALOG - FZN &amp; CHILL'!2530:2530,"AAAAAD7WW3Q=",0)</f>
        <v>0</v>
      </c>
      <c r="DN353" t="e">
        <f>AND('STERLING CATALOG - FZN &amp; CHILL'!A2530,"AAAAAD7WW3U=")</f>
        <v>#VALUE!</v>
      </c>
      <c r="DO353" t="e">
        <f>AND('STERLING CATALOG - FZN &amp; CHILL'!B2530,"AAAAAD7WW3Y=")</f>
        <v>#VALUE!</v>
      </c>
      <c r="DP353" t="e">
        <f>AND('STERLING CATALOG - FZN &amp; CHILL'!C2530,"AAAAAD7WW3c=")</f>
        <v>#VALUE!</v>
      </c>
      <c r="DQ353" t="e">
        <f>AND('STERLING CATALOG - FZN &amp; CHILL'!D2530,"AAAAAD7WW3g=")</f>
        <v>#VALUE!</v>
      </c>
      <c r="DR353" t="e">
        <f>AND('STERLING CATALOG - FZN &amp; CHILL'!E2530,"AAAAAD7WW3k=")</f>
        <v>#VALUE!</v>
      </c>
      <c r="DS353" t="e">
        <f>AND('STERLING CATALOG - FZN &amp; CHILL'!F2530,"AAAAAD7WW3o=")</f>
        <v>#VALUE!</v>
      </c>
      <c r="DT353" t="e">
        <f>AND('STERLING CATALOG - FZN &amp; CHILL'!G2530,"AAAAAD7WW3s=")</f>
        <v>#VALUE!</v>
      </c>
      <c r="DU353" t="e">
        <f>AND('STERLING CATALOG - FZN &amp; CHILL'!H2530,"AAAAAD7WW3w=")</f>
        <v>#VALUE!</v>
      </c>
      <c r="DV353" t="e">
        <f>AND('STERLING CATALOG - FZN &amp; CHILL'!I2530,"AAAAAD7WW30=")</f>
        <v>#VALUE!</v>
      </c>
      <c r="DW353" t="e">
        <f>AND('STERLING CATALOG - FZN &amp; CHILL'!J2530,"AAAAAD7WW34=")</f>
        <v>#VALUE!</v>
      </c>
      <c r="DX353">
        <f>IF('STERLING CATALOG - FZN &amp; CHILL'!2531:2531,"AAAAAD7WW38=",0)</f>
        <v>0</v>
      </c>
      <c r="DY353" t="e">
        <f>AND('STERLING CATALOG - FZN &amp; CHILL'!A2531,"AAAAAD7WW4A=")</f>
        <v>#VALUE!</v>
      </c>
      <c r="DZ353" t="e">
        <f>AND('STERLING CATALOG - FZN &amp; CHILL'!B2531,"AAAAAD7WW4E=")</f>
        <v>#VALUE!</v>
      </c>
      <c r="EA353" t="e">
        <f>AND('STERLING CATALOG - FZN &amp; CHILL'!C2531,"AAAAAD7WW4I=")</f>
        <v>#VALUE!</v>
      </c>
      <c r="EB353" t="e">
        <f>AND('STERLING CATALOG - FZN &amp; CHILL'!D2531,"AAAAAD7WW4M=")</f>
        <v>#VALUE!</v>
      </c>
      <c r="EC353" t="e">
        <f>AND('STERLING CATALOG - FZN &amp; CHILL'!E2531,"AAAAAD7WW4Q=")</f>
        <v>#VALUE!</v>
      </c>
      <c r="ED353" t="e">
        <f>AND('STERLING CATALOG - FZN &amp; CHILL'!F2531,"AAAAAD7WW4U=")</f>
        <v>#VALUE!</v>
      </c>
      <c r="EE353" t="e">
        <f>AND('STERLING CATALOG - FZN &amp; CHILL'!G2531,"AAAAAD7WW4Y=")</f>
        <v>#VALUE!</v>
      </c>
      <c r="EF353" t="e">
        <f>AND('STERLING CATALOG - FZN &amp; CHILL'!H2531,"AAAAAD7WW4c=")</f>
        <v>#VALUE!</v>
      </c>
      <c r="EG353" t="e">
        <f>AND('STERLING CATALOG - FZN &amp; CHILL'!I2531,"AAAAAD7WW4g=")</f>
        <v>#VALUE!</v>
      </c>
      <c r="EH353" t="e">
        <f>AND('STERLING CATALOG - FZN &amp; CHILL'!J2531,"AAAAAD7WW4k=")</f>
        <v>#VALUE!</v>
      </c>
      <c r="EI353">
        <f>IF('STERLING CATALOG - FZN &amp; CHILL'!2532:2532,"AAAAAD7WW4o=",0)</f>
        <v>0</v>
      </c>
      <c r="EJ353" t="e">
        <f>AND('STERLING CATALOG - FZN &amp; CHILL'!A2532,"AAAAAD7WW4s=")</f>
        <v>#VALUE!</v>
      </c>
      <c r="EK353" t="e">
        <f>AND('STERLING CATALOG - FZN &amp; CHILL'!B2532,"AAAAAD7WW4w=")</f>
        <v>#VALUE!</v>
      </c>
      <c r="EL353" t="e">
        <f>AND('STERLING CATALOG - FZN &amp; CHILL'!C2532,"AAAAAD7WW40=")</f>
        <v>#VALUE!</v>
      </c>
      <c r="EM353" t="e">
        <f>AND('STERLING CATALOG - FZN &amp; CHILL'!D2532,"AAAAAD7WW44=")</f>
        <v>#VALUE!</v>
      </c>
      <c r="EN353" t="e">
        <f>AND('STERLING CATALOG - FZN &amp; CHILL'!E2532,"AAAAAD7WW48=")</f>
        <v>#VALUE!</v>
      </c>
      <c r="EO353" t="e">
        <f>AND('STERLING CATALOG - FZN &amp; CHILL'!F2532,"AAAAAD7WW5A=")</f>
        <v>#VALUE!</v>
      </c>
      <c r="EP353" t="e">
        <f>AND('STERLING CATALOG - FZN &amp; CHILL'!G2532,"AAAAAD7WW5E=")</f>
        <v>#VALUE!</v>
      </c>
      <c r="EQ353" t="e">
        <f>AND('STERLING CATALOG - FZN &amp; CHILL'!H2532,"AAAAAD7WW5I=")</f>
        <v>#VALUE!</v>
      </c>
      <c r="ER353" t="e">
        <f>AND('STERLING CATALOG - FZN &amp; CHILL'!I2532,"AAAAAD7WW5M=")</f>
        <v>#VALUE!</v>
      </c>
      <c r="ES353" t="e">
        <f>AND('STERLING CATALOG - FZN &amp; CHILL'!J2532,"AAAAAD7WW5Q=")</f>
        <v>#VALUE!</v>
      </c>
      <c r="ET353">
        <f>IF('STERLING CATALOG - FZN &amp; CHILL'!2533:2533,"AAAAAD7WW5U=",0)</f>
        <v>0</v>
      </c>
      <c r="EU353" t="e">
        <f>AND('STERLING CATALOG - FZN &amp; CHILL'!A2533,"AAAAAD7WW5Y=")</f>
        <v>#VALUE!</v>
      </c>
      <c r="EV353" t="e">
        <f>AND('STERLING CATALOG - FZN &amp; CHILL'!B2533,"AAAAAD7WW5c=")</f>
        <v>#VALUE!</v>
      </c>
      <c r="EW353" t="e">
        <f>AND('STERLING CATALOG - FZN &amp; CHILL'!C2533,"AAAAAD7WW5g=")</f>
        <v>#VALUE!</v>
      </c>
      <c r="EX353" t="e">
        <f>AND('STERLING CATALOG - FZN &amp; CHILL'!D2533,"AAAAAD7WW5k=")</f>
        <v>#VALUE!</v>
      </c>
      <c r="EY353" t="e">
        <f>AND('STERLING CATALOG - FZN &amp; CHILL'!E2533,"AAAAAD7WW5o=")</f>
        <v>#VALUE!</v>
      </c>
      <c r="EZ353" t="e">
        <f>AND('STERLING CATALOG - FZN &amp; CHILL'!F2533,"AAAAAD7WW5s=")</f>
        <v>#VALUE!</v>
      </c>
      <c r="FA353" t="e">
        <f>AND('STERLING CATALOG - FZN &amp; CHILL'!G2533,"AAAAAD7WW5w=")</f>
        <v>#VALUE!</v>
      </c>
      <c r="FB353" t="e">
        <f>AND('STERLING CATALOG - FZN &amp; CHILL'!H2533,"AAAAAD7WW50=")</f>
        <v>#VALUE!</v>
      </c>
      <c r="FC353" t="e">
        <f>AND('STERLING CATALOG - FZN &amp; CHILL'!I2533,"AAAAAD7WW54=")</f>
        <v>#VALUE!</v>
      </c>
      <c r="FD353" t="e">
        <f>AND('STERLING CATALOG - FZN &amp; CHILL'!J2533,"AAAAAD7WW58=")</f>
        <v>#VALUE!</v>
      </c>
      <c r="FE353">
        <f>IF('STERLING CATALOG - FZN &amp; CHILL'!2534:2534,"AAAAAD7WW6A=",0)</f>
        <v>0</v>
      </c>
      <c r="FF353" t="e">
        <f>AND('STERLING CATALOG - FZN &amp; CHILL'!A2534,"AAAAAD7WW6E=")</f>
        <v>#VALUE!</v>
      </c>
      <c r="FG353" t="e">
        <f>AND('STERLING CATALOG - FZN &amp; CHILL'!B2534,"AAAAAD7WW6I=")</f>
        <v>#VALUE!</v>
      </c>
      <c r="FH353" t="e">
        <f>AND('STERLING CATALOG - FZN &amp; CHILL'!C2534,"AAAAAD7WW6M=")</f>
        <v>#VALUE!</v>
      </c>
      <c r="FI353" t="e">
        <f>AND('STERLING CATALOG - FZN &amp; CHILL'!D2534,"AAAAAD7WW6Q=")</f>
        <v>#VALUE!</v>
      </c>
      <c r="FJ353" t="e">
        <f>AND('STERLING CATALOG - FZN &amp; CHILL'!E2534,"AAAAAD7WW6U=")</f>
        <v>#VALUE!</v>
      </c>
      <c r="FK353" t="e">
        <f>AND('STERLING CATALOG - FZN &amp; CHILL'!F2534,"AAAAAD7WW6Y=")</f>
        <v>#VALUE!</v>
      </c>
      <c r="FL353" t="e">
        <f>AND('STERLING CATALOG - FZN &amp; CHILL'!G2534,"AAAAAD7WW6c=")</f>
        <v>#VALUE!</v>
      </c>
      <c r="FM353" t="e">
        <f>AND('STERLING CATALOG - FZN &amp; CHILL'!H2534,"AAAAAD7WW6g=")</f>
        <v>#VALUE!</v>
      </c>
      <c r="FN353" t="e">
        <f>AND('STERLING CATALOG - FZN &amp; CHILL'!I2534,"AAAAAD7WW6k=")</f>
        <v>#VALUE!</v>
      </c>
      <c r="FO353" t="e">
        <f>AND('STERLING CATALOG - FZN &amp; CHILL'!J2534,"AAAAAD7WW6o=")</f>
        <v>#VALUE!</v>
      </c>
      <c r="FP353">
        <f>IF('STERLING CATALOG - FZN &amp; CHILL'!2535:2535,"AAAAAD7WW6s=",0)</f>
        <v>0</v>
      </c>
      <c r="FQ353" t="e">
        <f>AND('STERLING CATALOG - FZN &amp; CHILL'!A2535,"AAAAAD7WW6w=")</f>
        <v>#VALUE!</v>
      </c>
      <c r="FR353" t="e">
        <f>AND('STERLING CATALOG - FZN &amp; CHILL'!B2535,"AAAAAD7WW60=")</f>
        <v>#VALUE!</v>
      </c>
      <c r="FS353" t="e">
        <f>AND('STERLING CATALOG - FZN &amp; CHILL'!C2535,"AAAAAD7WW64=")</f>
        <v>#VALUE!</v>
      </c>
      <c r="FT353" t="e">
        <f>AND('STERLING CATALOG - FZN &amp; CHILL'!D2535,"AAAAAD7WW68=")</f>
        <v>#VALUE!</v>
      </c>
      <c r="FU353" t="e">
        <f>AND('STERLING CATALOG - FZN &amp; CHILL'!E2535,"AAAAAD7WW7A=")</f>
        <v>#VALUE!</v>
      </c>
      <c r="FV353" t="e">
        <f>AND('STERLING CATALOG - FZN &amp; CHILL'!F2535,"AAAAAD7WW7E=")</f>
        <v>#VALUE!</v>
      </c>
      <c r="FW353" t="e">
        <f>AND('STERLING CATALOG - FZN &amp; CHILL'!G2535,"AAAAAD7WW7I=")</f>
        <v>#VALUE!</v>
      </c>
      <c r="FX353" t="e">
        <f>AND('STERLING CATALOG - FZN &amp; CHILL'!H2535,"AAAAAD7WW7M=")</f>
        <v>#VALUE!</v>
      </c>
      <c r="FY353" t="e">
        <f>AND('STERLING CATALOG - FZN &amp; CHILL'!I2535,"AAAAAD7WW7Q=")</f>
        <v>#VALUE!</v>
      </c>
      <c r="FZ353" t="e">
        <f>AND('STERLING CATALOG - FZN &amp; CHILL'!J2535,"AAAAAD7WW7U=")</f>
        <v>#VALUE!</v>
      </c>
      <c r="GA353">
        <f>IF('STERLING CATALOG - FZN &amp; CHILL'!2536:2536,"AAAAAD7WW7Y=",0)</f>
        <v>0</v>
      </c>
      <c r="GB353" t="e">
        <f>AND('STERLING CATALOG - FZN &amp; CHILL'!A2536,"AAAAAD7WW7c=")</f>
        <v>#VALUE!</v>
      </c>
      <c r="GC353" t="e">
        <f>AND('STERLING CATALOG - FZN &amp; CHILL'!B2536,"AAAAAD7WW7g=")</f>
        <v>#VALUE!</v>
      </c>
      <c r="GD353" t="e">
        <f>AND('STERLING CATALOG - FZN &amp; CHILL'!C2536,"AAAAAD7WW7k=")</f>
        <v>#VALUE!</v>
      </c>
      <c r="GE353" t="e">
        <f>AND('STERLING CATALOG - FZN &amp; CHILL'!D2536,"AAAAAD7WW7o=")</f>
        <v>#VALUE!</v>
      </c>
      <c r="GF353" t="e">
        <f>AND('STERLING CATALOG - FZN &amp; CHILL'!E2536,"AAAAAD7WW7s=")</f>
        <v>#VALUE!</v>
      </c>
      <c r="GG353" t="e">
        <f>AND('STERLING CATALOG - FZN &amp; CHILL'!F2536,"AAAAAD7WW7w=")</f>
        <v>#VALUE!</v>
      </c>
      <c r="GH353" t="e">
        <f>AND('STERLING CATALOG - FZN &amp; CHILL'!G2536,"AAAAAD7WW70=")</f>
        <v>#VALUE!</v>
      </c>
      <c r="GI353" t="e">
        <f>AND('STERLING CATALOG - FZN &amp; CHILL'!H2536,"AAAAAD7WW74=")</f>
        <v>#VALUE!</v>
      </c>
      <c r="GJ353" t="e">
        <f>AND('STERLING CATALOG - FZN &amp; CHILL'!I2536,"AAAAAD7WW78=")</f>
        <v>#VALUE!</v>
      </c>
      <c r="GK353" t="e">
        <f>AND('STERLING CATALOG - FZN &amp; CHILL'!J2536,"AAAAAD7WW8A=")</f>
        <v>#VALUE!</v>
      </c>
      <c r="GL353">
        <f>IF('STERLING CATALOG - FZN &amp; CHILL'!2537:2537,"AAAAAD7WW8E=",0)</f>
        <v>0</v>
      </c>
      <c r="GM353" t="e">
        <f>AND('STERLING CATALOG - FZN &amp; CHILL'!A2537,"AAAAAD7WW8I=")</f>
        <v>#VALUE!</v>
      </c>
      <c r="GN353" t="e">
        <f>AND('STERLING CATALOG - FZN &amp; CHILL'!B2537,"AAAAAD7WW8M=")</f>
        <v>#VALUE!</v>
      </c>
      <c r="GO353" t="e">
        <f>AND('STERLING CATALOG - FZN &amp; CHILL'!C2537,"AAAAAD7WW8Q=")</f>
        <v>#VALUE!</v>
      </c>
      <c r="GP353" t="e">
        <f>AND('STERLING CATALOG - FZN &amp; CHILL'!D2537,"AAAAAD7WW8U=")</f>
        <v>#VALUE!</v>
      </c>
      <c r="GQ353" t="e">
        <f>AND('STERLING CATALOG - FZN &amp; CHILL'!E2537,"AAAAAD7WW8Y=")</f>
        <v>#VALUE!</v>
      </c>
      <c r="GR353" t="e">
        <f>AND('STERLING CATALOG - FZN &amp; CHILL'!F2537,"AAAAAD7WW8c=")</f>
        <v>#VALUE!</v>
      </c>
      <c r="GS353" t="e">
        <f>AND('STERLING CATALOG - FZN &amp; CHILL'!G2537,"AAAAAD7WW8g=")</f>
        <v>#VALUE!</v>
      </c>
      <c r="GT353" t="e">
        <f>AND('STERLING CATALOG - FZN &amp; CHILL'!H2537,"AAAAAD7WW8k=")</f>
        <v>#VALUE!</v>
      </c>
      <c r="GU353" t="e">
        <f>AND('STERLING CATALOG - FZN &amp; CHILL'!I2537,"AAAAAD7WW8o=")</f>
        <v>#VALUE!</v>
      </c>
      <c r="GV353" t="e">
        <f>AND('STERLING CATALOG - FZN &amp; CHILL'!J2537,"AAAAAD7WW8s=")</f>
        <v>#VALUE!</v>
      </c>
      <c r="GW353">
        <f>IF('STERLING CATALOG - FZN &amp; CHILL'!2538:2538,"AAAAAD7WW8w=",0)</f>
        <v>0</v>
      </c>
      <c r="GX353" t="e">
        <f>AND('STERLING CATALOG - FZN &amp; CHILL'!A2538,"AAAAAD7WW80=")</f>
        <v>#VALUE!</v>
      </c>
      <c r="GY353" t="e">
        <f>AND('STERLING CATALOG - FZN &amp; CHILL'!B2538,"AAAAAD7WW84=")</f>
        <v>#VALUE!</v>
      </c>
      <c r="GZ353" t="e">
        <f>AND('STERLING CATALOG - FZN &amp; CHILL'!C2538,"AAAAAD7WW88=")</f>
        <v>#VALUE!</v>
      </c>
      <c r="HA353" t="e">
        <f>AND('STERLING CATALOG - FZN &amp; CHILL'!D2538,"AAAAAD7WW9A=")</f>
        <v>#VALUE!</v>
      </c>
      <c r="HB353" t="e">
        <f>AND('STERLING CATALOG - FZN &amp; CHILL'!E2538,"AAAAAD7WW9E=")</f>
        <v>#VALUE!</v>
      </c>
      <c r="HC353" t="e">
        <f>AND('STERLING CATALOG - FZN &amp; CHILL'!F2538,"AAAAAD7WW9I=")</f>
        <v>#VALUE!</v>
      </c>
      <c r="HD353" t="e">
        <f>AND('STERLING CATALOG - FZN &amp; CHILL'!G2538,"AAAAAD7WW9M=")</f>
        <v>#VALUE!</v>
      </c>
      <c r="HE353" t="e">
        <f>AND('STERLING CATALOG - FZN &amp; CHILL'!H2538,"AAAAAD7WW9Q=")</f>
        <v>#VALUE!</v>
      </c>
      <c r="HF353" t="e">
        <f>AND('STERLING CATALOG - FZN &amp; CHILL'!I2538,"AAAAAD7WW9U=")</f>
        <v>#VALUE!</v>
      </c>
      <c r="HG353" t="e">
        <f>AND('STERLING CATALOG - FZN &amp; CHILL'!J2538,"AAAAAD7WW9Y=")</f>
        <v>#VALUE!</v>
      </c>
      <c r="HH353">
        <f>IF('STERLING CATALOG - FZN &amp; CHILL'!2539:2539,"AAAAAD7WW9c=",0)</f>
        <v>0</v>
      </c>
      <c r="HI353" t="e">
        <f>AND('STERLING CATALOG - FZN &amp; CHILL'!A2539,"AAAAAD7WW9g=")</f>
        <v>#VALUE!</v>
      </c>
      <c r="HJ353" t="e">
        <f>AND('STERLING CATALOG - FZN &amp; CHILL'!B2539,"AAAAAD7WW9k=")</f>
        <v>#VALUE!</v>
      </c>
      <c r="HK353" t="e">
        <f>AND('STERLING CATALOG - FZN &amp; CHILL'!C2539,"AAAAAD7WW9o=")</f>
        <v>#VALUE!</v>
      </c>
      <c r="HL353" t="e">
        <f>AND('STERLING CATALOG - FZN &amp; CHILL'!D2539,"AAAAAD7WW9s=")</f>
        <v>#VALUE!</v>
      </c>
      <c r="HM353" t="e">
        <f>AND('STERLING CATALOG - FZN &amp; CHILL'!E2539,"AAAAAD7WW9w=")</f>
        <v>#VALUE!</v>
      </c>
      <c r="HN353" t="e">
        <f>AND('STERLING CATALOG - FZN &amp; CHILL'!F2539,"AAAAAD7WW90=")</f>
        <v>#VALUE!</v>
      </c>
      <c r="HO353" t="e">
        <f>AND('STERLING CATALOG - FZN &amp; CHILL'!G2539,"AAAAAD7WW94=")</f>
        <v>#VALUE!</v>
      </c>
      <c r="HP353" t="e">
        <f>AND('STERLING CATALOG - FZN &amp; CHILL'!H2539,"AAAAAD7WW98=")</f>
        <v>#VALUE!</v>
      </c>
      <c r="HQ353" t="e">
        <f>AND('STERLING CATALOG - FZN &amp; CHILL'!I2539,"AAAAAD7WW+A=")</f>
        <v>#VALUE!</v>
      </c>
      <c r="HR353" t="e">
        <f>AND('STERLING CATALOG - FZN &amp; CHILL'!J2539,"AAAAAD7WW+E=")</f>
        <v>#VALUE!</v>
      </c>
      <c r="HS353">
        <f>IF('STERLING CATALOG - FZN &amp; CHILL'!2540:2540,"AAAAAD7WW+I=",0)</f>
        <v>0</v>
      </c>
      <c r="HT353" t="e">
        <f>AND('STERLING CATALOG - FZN &amp; CHILL'!A2540,"AAAAAD7WW+M=")</f>
        <v>#VALUE!</v>
      </c>
      <c r="HU353" t="e">
        <f>AND('STERLING CATALOG - FZN &amp; CHILL'!B2540,"AAAAAD7WW+Q=")</f>
        <v>#VALUE!</v>
      </c>
      <c r="HV353" t="e">
        <f>AND('STERLING CATALOG - FZN &amp; CHILL'!C2540,"AAAAAD7WW+U=")</f>
        <v>#VALUE!</v>
      </c>
      <c r="HW353" t="e">
        <f>AND('STERLING CATALOG - FZN &amp; CHILL'!D2540,"AAAAAD7WW+Y=")</f>
        <v>#VALUE!</v>
      </c>
      <c r="HX353" t="e">
        <f>AND('STERLING CATALOG - FZN &amp; CHILL'!E2540,"AAAAAD7WW+c=")</f>
        <v>#VALUE!</v>
      </c>
      <c r="HY353" t="e">
        <f>AND('STERLING CATALOG - FZN &amp; CHILL'!F2540,"AAAAAD7WW+g=")</f>
        <v>#VALUE!</v>
      </c>
      <c r="HZ353" t="e">
        <f>AND('STERLING CATALOG - FZN &amp; CHILL'!G2540,"AAAAAD7WW+k=")</f>
        <v>#VALUE!</v>
      </c>
      <c r="IA353" t="e">
        <f>AND('STERLING CATALOG - FZN &amp; CHILL'!H2540,"AAAAAD7WW+o=")</f>
        <v>#VALUE!</v>
      </c>
      <c r="IB353" t="e">
        <f>AND('STERLING CATALOG - FZN &amp; CHILL'!I2540,"AAAAAD7WW+s=")</f>
        <v>#VALUE!</v>
      </c>
      <c r="IC353" t="e">
        <f>AND('STERLING CATALOG - FZN &amp; CHILL'!J2540,"AAAAAD7WW+w=")</f>
        <v>#VALUE!</v>
      </c>
      <c r="ID353">
        <f>IF('STERLING CATALOG - FZN &amp; CHILL'!2541:2541,"AAAAAD7WW+0=",0)</f>
        <v>0</v>
      </c>
      <c r="IE353" t="e">
        <f>AND('STERLING CATALOG - FZN &amp; CHILL'!A2541,"AAAAAD7WW+4=")</f>
        <v>#VALUE!</v>
      </c>
      <c r="IF353" t="e">
        <f>AND('STERLING CATALOG - FZN &amp; CHILL'!B2541,"AAAAAD7WW+8=")</f>
        <v>#VALUE!</v>
      </c>
      <c r="IG353" t="e">
        <f>AND('STERLING CATALOG - FZN &amp; CHILL'!C2541,"AAAAAD7WW/A=")</f>
        <v>#VALUE!</v>
      </c>
      <c r="IH353" t="e">
        <f>AND('STERLING CATALOG - FZN &amp; CHILL'!D2541,"AAAAAD7WW/E=")</f>
        <v>#VALUE!</v>
      </c>
      <c r="II353" t="e">
        <f>AND('STERLING CATALOG - FZN &amp; CHILL'!E2541,"AAAAAD7WW/I=")</f>
        <v>#VALUE!</v>
      </c>
      <c r="IJ353" t="e">
        <f>AND('STERLING CATALOG - FZN &amp; CHILL'!F2541,"AAAAAD7WW/M=")</f>
        <v>#VALUE!</v>
      </c>
      <c r="IK353" t="e">
        <f>AND('STERLING CATALOG - FZN &amp; CHILL'!G2541,"AAAAAD7WW/Q=")</f>
        <v>#VALUE!</v>
      </c>
      <c r="IL353" t="e">
        <f>AND('STERLING CATALOG - FZN &amp; CHILL'!H2541,"AAAAAD7WW/U=")</f>
        <v>#VALUE!</v>
      </c>
      <c r="IM353" t="e">
        <f>AND('STERLING CATALOG - FZN &amp; CHILL'!I2541,"AAAAAD7WW/Y=")</f>
        <v>#VALUE!</v>
      </c>
      <c r="IN353" t="e">
        <f>AND('STERLING CATALOG - FZN &amp; CHILL'!J2541,"AAAAAD7WW/c=")</f>
        <v>#VALUE!</v>
      </c>
      <c r="IO353">
        <f>IF('STERLING CATALOG - FZN &amp; CHILL'!2542:2542,"AAAAAD7WW/g=",0)</f>
        <v>0</v>
      </c>
      <c r="IP353" t="e">
        <f>AND('STERLING CATALOG - FZN &amp; CHILL'!A2542,"AAAAAD7WW/k=")</f>
        <v>#VALUE!</v>
      </c>
      <c r="IQ353" t="e">
        <f>AND('STERLING CATALOG - FZN &amp; CHILL'!B2542,"AAAAAD7WW/o=")</f>
        <v>#VALUE!</v>
      </c>
      <c r="IR353" t="e">
        <f>AND('STERLING CATALOG - FZN &amp; CHILL'!C2542,"AAAAAD7WW/s=")</f>
        <v>#VALUE!</v>
      </c>
      <c r="IS353" t="e">
        <f>AND('STERLING CATALOG - FZN &amp; CHILL'!D2542,"AAAAAD7WW/w=")</f>
        <v>#VALUE!</v>
      </c>
      <c r="IT353" t="e">
        <f>AND('STERLING CATALOG - FZN &amp; CHILL'!E2542,"AAAAAD7WW/0=")</f>
        <v>#VALUE!</v>
      </c>
      <c r="IU353" t="e">
        <f>AND('STERLING CATALOG - FZN &amp; CHILL'!F2542,"AAAAAD7WW/4=")</f>
        <v>#VALUE!</v>
      </c>
      <c r="IV353" t="e">
        <f>AND('STERLING CATALOG - FZN &amp; CHILL'!G2542,"AAAAAD7WW/8=")</f>
        <v>#VALUE!</v>
      </c>
    </row>
    <row r="354" spans="1:256">
      <c r="A354" t="e">
        <f>AND('STERLING CATALOG - FZN &amp; CHILL'!H2542,"AAAAAGj9vwA=")</f>
        <v>#VALUE!</v>
      </c>
      <c r="B354" t="e">
        <f>AND('STERLING CATALOG - FZN &amp; CHILL'!I2542,"AAAAAGj9vwE=")</f>
        <v>#VALUE!</v>
      </c>
      <c r="C354" t="e">
        <f>AND('STERLING CATALOG - FZN &amp; CHILL'!J2542,"AAAAAGj9vwI=")</f>
        <v>#VALUE!</v>
      </c>
      <c r="D354" t="e">
        <f>IF('STERLING CATALOG - FZN &amp; CHILL'!2543:2543,"AAAAAGj9vwM=",0)</f>
        <v>#VALUE!</v>
      </c>
      <c r="E354" t="e">
        <f>AND('STERLING CATALOG - FZN &amp; CHILL'!A2543,"AAAAAGj9vwQ=")</f>
        <v>#VALUE!</v>
      </c>
      <c r="F354" t="e">
        <f>AND('STERLING CATALOG - FZN &amp; CHILL'!B2543,"AAAAAGj9vwU=")</f>
        <v>#VALUE!</v>
      </c>
      <c r="G354" t="e">
        <f>AND('STERLING CATALOG - FZN &amp; CHILL'!C2543,"AAAAAGj9vwY=")</f>
        <v>#VALUE!</v>
      </c>
      <c r="H354" t="e">
        <f>AND('STERLING CATALOG - FZN &amp; CHILL'!D2543,"AAAAAGj9vwc=")</f>
        <v>#VALUE!</v>
      </c>
      <c r="I354" t="e">
        <f>AND('STERLING CATALOG - FZN &amp; CHILL'!E2543,"AAAAAGj9vwg=")</f>
        <v>#VALUE!</v>
      </c>
      <c r="J354" t="e">
        <f>AND('STERLING CATALOG - FZN &amp; CHILL'!F2543,"AAAAAGj9vwk=")</f>
        <v>#VALUE!</v>
      </c>
      <c r="K354" t="e">
        <f>AND('STERLING CATALOG - FZN &amp; CHILL'!G2543,"AAAAAGj9vwo=")</f>
        <v>#VALUE!</v>
      </c>
      <c r="L354" t="e">
        <f>AND('STERLING CATALOG - FZN &amp; CHILL'!H2543,"AAAAAGj9vws=")</f>
        <v>#VALUE!</v>
      </c>
      <c r="M354" t="e">
        <f>AND('STERLING CATALOG - FZN &amp; CHILL'!I2543,"AAAAAGj9vww=")</f>
        <v>#VALUE!</v>
      </c>
      <c r="N354" t="e">
        <f>AND('STERLING CATALOG - FZN &amp; CHILL'!J2543,"AAAAAGj9vw0=")</f>
        <v>#VALUE!</v>
      </c>
      <c r="O354">
        <f>IF('STERLING CATALOG - FZN &amp; CHILL'!2544:2544,"AAAAAGj9vw4=",0)</f>
        <v>0</v>
      </c>
      <c r="P354" t="e">
        <f>AND('STERLING CATALOG - FZN &amp; CHILL'!A2544,"AAAAAGj9vw8=")</f>
        <v>#VALUE!</v>
      </c>
      <c r="Q354" t="e">
        <f>AND('STERLING CATALOG - FZN &amp; CHILL'!B2544,"AAAAAGj9vxA=")</f>
        <v>#VALUE!</v>
      </c>
      <c r="R354" t="e">
        <f>AND('STERLING CATALOG - FZN &amp; CHILL'!C2544,"AAAAAGj9vxE=")</f>
        <v>#VALUE!</v>
      </c>
      <c r="S354" t="e">
        <f>AND('STERLING CATALOG - FZN &amp; CHILL'!D2544,"AAAAAGj9vxI=")</f>
        <v>#VALUE!</v>
      </c>
      <c r="T354" t="e">
        <f>AND('STERLING CATALOG - FZN &amp; CHILL'!E2544,"AAAAAGj9vxM=")</f>
        <v>#VALUE!</v>
      </c>
      <c r="U354" t="e">
        <f>AND('STERLING CATALOG - FZN &amp; CHILL'!F2544,"AAAAAGj9vxQ=")</f>
        <v>#VALUE!</v>
      </c>
      <c r="V354" t="e">
        <f>AND('STERLING CATALOG - FZN &amp; CHILL'!G2544,"AAAAAGj9vxU=")</f>
        <v>#VALUE!</v>
      </c>
      <c r="W354" t="e">
        <f>AND('STERLING CATALOG - FZN &amp; CHILL'!H2544,"AAAAAGj9vxY=")</f>
        <v>#VALUE!</v>
      </c>
      <c r="X354" t="e">
        <f>AND('STERLING CATALOG - FZN &amp; CHILL'!I2544,"AAAAAGj9vxc=")</f>
        <v>#VALUE!</v>
      </c>
      <c r="Y354" t="e">
        <f>AND('STERLING CATALOG - FZN &amp; CHILL'!J2544,"AAAAAGj9vxg=")</f>
        <v>#VALUE!</v>
      </c>
      <c r="Z354">
        <f>IF('STERLING CATALOG - FZN &amp; CHILL'!2545:2545,"AAAAAGj9vxk=",0)</f>
        <v>0</v>
      </c>
      <c r="AA354" t="e">
        <f>AND('STERLING CATALOG - FZN &amp; CHILL'!A2545,"AAAAAGj9vxo=")</f>
        <v>#VALUE!</v>
      </c>
      <c r="AB354" t="e">
        <f>AND('STERLING CATALOG - FZN &amp; CHILL'!B2545,"AAAAAGj9vxs=")</f>
        <v>#VALUE!</v>
      </c>
      <c r="AC354" t="e">
        <f>AND('STERLING CATALOG - FZN &amp; CHILL'!C2545,"AAAAAGj9vxw=")</f>
        <v>#VALUE!</v>
      </c>
      <c r="AD354" t="e">
        <f>AND('STERLING CATALOG - FZN &amp; CHILL'!D2545,"AAAAAGj9vx0=")</f>
        <v>#VALUE!</v>
      </c>
      <c r="AE354" t="e">
        <f>AND('STERLING CATALOG - FZN &amp; CHILL'!E2545,"AAAAAGj9vx4=")</f>
        <v>#VALUE!</v>
      </c>
      <c r="AF354" t="e">
        <f>AND('STERLING CATALOG - FZN &amp; CHILL'!F2545,"AAAAAGj9vx8=")</f>
        <v>#VALUE!</v>
      </c>
      <c r="AG354" t="e">
        <f>AND('STERLING CATALOG - FZN &amp; CHILL'!G2545,"AAAAAGj9vyA=")</f>
        <v>#VALUE!</v>
      </c>
      <c r="AH354" t="e">
        <f>AND('STERLING CATALOG - FZN &amp; CHILL'!H2545,"AAAAAGj9vyE=")</f>
        <v>#VALUE!</v>
      </c>
      <c r="AI354" t="e">
        <f>AND('STERLING CATALOG - FZN &amp; CHILL'!I2545,"AAAAAGj9vyI=")</f>
        <v>#VALUE!</v>
      </c>
      <c r="AJ354" t="e">
        <f>AND('STERLING CATALOG - FZN &amp; CHILL'!J2545,"AAAAAGj9vyM=")</f>
        <v>#VALUE!</v>
      </c>
      <c r="AK354">
        <f>IF('STERLING CATALOG - FZN &amp; CHILL'!2546:2546,"AAAAAGj9vyQ=",0)</f>
        <v>0</v>
      </c>
      <c r="AL354" t="e">
        <f>AND('STERLING CATALOG - FZN &amp; CHILL'!A2546,"AAAAAGj9vyU=")</f>
        <v>#VALUE!</v>
      </c>
      <c r="AM354" t="e">
        <f>AND('STERLING CATALOG - FZN &amp; CHILL'!B2546,"AAAAAGj9vyY=")</f>
        <v>#VALUE!</v>
      </c>
      <c r="AN354" t="e">
        <f>AND('STERLING CATALOG - FZN &amp; CHILL'!C2546,"AAAAAGj9vyc=")</f>
        <v>#VALUE!</v>
      </c>
      <c r="AO354" t="e">
        <f>AND('STERLING CATALOG - FZN &amp; CHILL'!D2546,"AAAAAGj9vyg=")</f>
        <v>#VALUE!</v>
      </c>
      <c r="AP354" t="e">
        <f>AND('STERLING CATALOG - FZN &amp; CHILL'!E2546,"AAAAAGj9vyk=")</f>
        <v>#VALUE!</v>
      </c>
      <c r="AQ354" t="e">
        <f>AND('STERLING CATALOG - FZN &amp; CHILL'!F2546,"AAAAAGj9vyo=")</f>
        <v>#VALUE!</v>
      </c>
      <c r="AR354" t="e">
        <f>AND('STERLING CATALOG - FZN &amp; CHILL'!G2546,"AAAAAGj9vys=")</f>
        <v>#VALUE!</v>
      </c>
      <c r="AS354" t="e">
        <f>AND('STERLING CATALOG - FZN &amp; CHILL'!H2546,"AAAAAGj9vyw=")</f>
        <v>#VALUE!</v>
      </c>
      <c r="AT354" t="e">
        <f>AND('STERLING CATALOG - FZN &amp; CHILL'!I2546,"AAAAAGj9vy0=")</f>
        <v>#VALUE!</v>
      </c>
      <c r="AU354" t="e">
        <f>AND('STERLING CATALOG - FZN &amp; CHILL'!J2546,"AAAAAGj9vy4=")</f>
        <v>#VALUE!</v>
      </c>
      <c r="AV354">
        <f>IF('STERLING CATALOG - FZN &amp; CHILL'!2547:2547,"AAAAAGj9vy8=",0)</f>
        <v>0</v>
      </c>
      <c r="AW354" t="e">
        <f>AND('STERLING CATALOG - FZN &amp; CHILL'!A2547,"AAAAAGj9vzA=")</f>
        <v>#VALUE!</v>
      </c>
      <c r="AX354" t="e">
        <f>AND('STERLING CATALOG - FZN &amp; CHILL'!B2547,"AAAAAGj9vzE=")</f>
        <v>#VALUE!</v>
      </c>
      <c r="AY354" t="e">
        <f>AND('STERLING CATALOG - FZN &amp; CHILL'!C2547,"AAAAAGj9vzI=")</f>
        <v>#VALUE!</v>
      </c>
      <c r="AZ354" t="e">
        <f>AND('STERLING CATALOG - FZN &amp; CHILL'!D2547,"AAAAAGj9vzM=")</f>
        <v>#VALUE!</v>
      </c>
      <c r="BA354" t="e">
        <f>AND('STERLING CATALOG - FZN &amp; CHILL'!E2547,"AAAAAGj9vzQ=")</f>
        <v>#VALUE!</v>
      </c>
      <c r="BB354" t="e">
        <f>AND('STERLING CATALOG - FZN &amp; CHILL'!F2547,"AAAAAGj9vzU=")</f>
        <v>#VALUE!</v>
      </c>
      <c r="BC354" t="e">
        <f>AND('STERLING CATALOG - FZN &amp; CHILL'!G2547,"AAAAAGj9vzY=")</f>
        <v>#VALUE!</v>
      </c>
      <c r="BD354" t="e">
        <f>AND('STERLING CATALOG - FZN &amp; CHILL'!H2547,"AAAAAGj9vzc=")</f>
        <v>#VALUE!</v>
      </c>
      <c r="BE354" t="e">
        <f>AND('STERLING CATALOG - FZN &amp; CHILL'!I2547,"AAAAAGj9vzg=")</f>
        <v>#VALUE!</v>
      </c>
      <c r="BF354" t="e">
        <f>AND('STERLING CATALOG - FZN &amp; CHILL'!J2547,"AAAAAGj9vzk=")</f>
        <v>#VALUE!</v>
      </c>
      <c r="BG354">
        <f>IF('STERLING CATALOG - FZN &amp; CHILL'!2548:2548,"AAAAAGj9vzo=",0)</f>
        <v>0</v>
      </c>
      <c r="BH354" t="e">
        <f>AND('STERLING CATALOG - FZN &amp; CHILL'!A2548,"AAAAAGj9vzs=")</f>
        <v>#VALUE!</v>
      </c>
      <c r="BI354" t="e">
        <f>AND('STERLING CATALOG - FZN &amp; CHILL'!B2548,"AAAAAGj9vzw=")</f>
        <v>#VALUE!</v>
      </c>
      <c r="BJ354" t="e">
        <f>AND('STERLING CATALOG - FZN &amp; CHILL'!C2548,"AAAAAGj9vz0=")</f>
        <v>#VALUE!</v>
      </c>
      <c r="BK354" t="e">
        <f>AND('STERLING CATALOG - FZN &amp; CHILL'!D2548,"AAAAAGj9vz4=")</f>
        <v>#VALUE!</v>
      </c>
      <c r="BL354" t="e">
        <f>AND('STERLING CATALOG - FZN &amp; CHILL'!E2548,"AAAAAGj9vz8=")</f>
        <v>#VALUE!</v>
      </c>
      <c r="BM354" t="e">
        <f>AND('STERLING CATALOG - FZN &amp; CHILL'!F2548,"AAAAAGj9v0A=")</f>
        <v>#VALUE!</v>
      </c>
      <c r="BN354" t="e">
        <f>AND('STERLING CATALOG - FZN &amp; CHILL'!G2548,"AAAAAGj9v0E=")</f>
        <v>#VALUE!</v>
      </c>
      <c r="BO354" t="e">
        <f>AND('STERLING CATALOG - FZN &amp; CHILL'!H2548,"AAAAAGj9v0I=")</f>
        <v>#VALUE!</v>
      </c>
      <c r="BP354" t="e">
        <f>AND('STERLING CATALOG - FZN &amp; CHILL'!I2548,"AAAAAGj9v0M=")</f>
        <v>#VALUE!</v>
      </c>
      <c r="BQ354" t="e">
        <f>AND('STERLING CATALOG - FZN &amp; CHILL'!J2548,"AAAAAGj9v0Q=")</f>
        <v>#VALUE!</v>
      </c>
      <c r="BR354">
        <f>IF('STERLING CATALOG - FZN &amp; CHILL'!2549:2549,"AAAAAGj9v0U=",0)</f>
        <v>0</v>
      </c>
      <c r="BS354" t="e">
        <f>AND('STERLING CATALOG - FZN &amp; CHILL'!A2549,"AAAAAGj9v0Y=")</f>
        <v>#VALUE!</v>
      </c>
      <c r="BT354" t="e">
        <f>AND('STERLING CATALOG - FZN &amp; CHILL'!B2549,"AAAAAGj9v0c=")</f>
        <v>#VALUE!</v>
      </c>
      <c r="BU354" t="e">
        <f>AND('STERLING CATALOG - FZN &amp; CHILL'!C2549,"AAAAAGj9v0g=")</f>
        <v>#VALUE!</v>
      </c>
      <c r="BV354" t="e">
        <f>AND('STERLING CATALOG - FZN &amp; CHILL'!D2549,"AAAAAGj9v0k=")</f>
        <v>#VALUE!</v>
      </c>
      <c r="BW354" t="e">
        <f>AND('STERLING CATALOG - FZN &amp; CHILL'!E2549,"AAAAAGj9v0o=")</f>
        <v>#VALUE!</v>
      </c>
      <c r="BX354" t="e">
        <f>AND('STERLING CATALOG - FZN &amp; CHILL'!F2549,"AAAAAGj9v0s=")</f>
        <v>#VALUE!</v>
      </c>
      <c r="BY354" t="e">
        <f>AND('STERLING CATALOG - FZN &amp; CHILL'!G2549,"AAAAAGj9v0w=")</f>
        <v>#VALUE!</v>
      </c>
      <c r="BZ354" t="e">
        <f>AND('STERLING CATALOG - FZN &amp; CHILL'!H2549,"AAAAAGj9v00=")</f>
        <v>#VALUE!</v>
      </c>
      <c r="CA354" t="e">
        <f>AND('STERLING CATALOG - FZN &amp; CHILL'!I2549,"AAAAAGj9v04=")</f>
        <v>#VALUE!</v>
      </c>
      <c r="CB354" t="e">
        <f>AND('STERLING CATALOG - FZN &amp; CHILL'!J2549,"AAAAAGj9v08=")</f>
        <v>#VALUE!</v>
      </c>
      <c r="CC354">
        <f>IF('STERLING CATALOG - FZN &amp; CHILL'!2550:2550,"AAAAAGj9v1A=",0)</f>
        <v>0</v>
      </c>
      <c r="CD354" t="e">
        <f>AND('STERLING CATALOG - FZN &amp; CHILL'!A2550,"AAAAAGj9v1E=")</f>
        <v>#VALUE!</v>
      </c>
      <c r="CE354" t="e">
        <f>AND('STERLING CATALOG - FZN &amp; CHILL'!B2550,"AAAAAGj9v1I=")</f>
        <v>#VALUE!</v>
      </c>
      <c r="CF354" t="e">
        <f>AND('STERLING CATALOG - FZN &amp; CHILL'!C2550,"AAAAAGj9v1M=")</f>
        <v>#VALUE!</v>
      </c>
      <c r="CG354" t="e">
        <f>AND('STERLING CATALOG - FZN &amp; CHILL'!D2550,"AAAAAGj9v1Q=")</f>
        <v>#VALUE!</v>
      </c>
      <c r="CH354" t="e">
        <f>AND('STERLING CATALOG - FZN &amp; CHILL'!E2550,"AAAAAGj9v1U=")</f>
        <v>#VALUE!</v>
      </c>
      <c r="CI354" t="e">
        <f>AND('STERLING CATALOG - FZN &amp; CHILL'!F2550,"AAAAAGj9v1Y=")</f>
        <v>#VALUE!</v>
      </c>
      <c r="CJ354" t="e">
        <f>AND('STERLING CATALOG - FZN &amp; CHILL'!G2550,"AAAAAGj9v1c=")</f>
        <v>#VALUE!</v>
      </c>
      <c r="CK354" t="e">
        <f>AND('STERLING CATALOG - FZN &amp; CHILL'!H2550,"AAAAAGj9v1g=")</f>
        <v>#VALUE!</v>
      </c>
      <c r="CL354" t="e">
        <f>AND('STERLING CATALOG - FZN &amp; CHILL'!I2550,"AAAAAGj9v1k=")</f>
        <v>#VALUE!</v>
      </c>
      <c r="CM354" t="e">
        <f>AND('STERLING CATALOG - FZN &amp; CHILL'!J2550,"AAAAAGj9v1o=")</f>
        <v>#VALUE!</v>
      </c>
      <c r="CN354">
        <f>IF('STERLING CATALOG - FZN &amp; CHILL'!2551:2551,"AAAAAGj9v1s=",0)</f>
        <v>0</v>
      </c>
      <c r="CO354" t="e">
        <f>AND('STERLING CATALOG - FZN &amp; CHILL'!A2551,"AAAAAGj9v1w=")</f>
        <v>#VALUE!</v>
      </c>
      <c r="CP354" t="e">
        <f>AND('STERLING CATALOG - FZN &amp; CHILL'!B2551,"AAAAAGj9v10=")</f>
        <v>#VALUE!</v>
      </c>
      <c r="CQ354" t="e">
        <f>AND('STERLING CATALOG - FZN &amp; CHILL'!C2551,"AAAAAGj9v14=")</f>
        <v>#VALUE!</v>
      </c>
      <c r="CR354" t="e">
        <f>AND('STERLING CATALOG - FZN &amp; CHILL'!D2551,"AAAAAGj9v18=")</f>
        <v>#VALUE!</v>
      </c>
      <c r="CS354" t="e">
        <f>AND('STERLING CATALOG - FZN &amp; CHILL'!E2551,"AAAAAGj9v2A=")</f>
        <v>#VALUE!</v>
      </c>
      <c r="CT354" t="e">
        <f>AND('STERLING CATALOG - FZN &amp; CHILL'!F2551,"AAAAAGj9v2E=")</f>
        <v>#VALUE!</v>
      </c>
      <c r="CU354" t="e">
        <f>AND('STERLING CATALOG - FZN &amp; CHILL'!G2551,"AAAAAGj9v2I=")</f>
        <v>#VALUE!</v>
      </c>
      <c r="CV354" t="e">
        <f>AND('STERLING CATALOG - FZN &amp; CHILL'!H2551,"AAAAAGj9v2M=")</f>
        <v>#VALUE!</v>
      </c>
      <c r="CW354" t="e">
        <f>AND('STERLING CATALOG - FZN &amp; CHILL'!I2551,"AAAAAGj9v2Q=")</f>
        <v>#VALUE!</v>
      </c>
      <c r="CX354" t="e">
        <f>AND('STERLING CATALOG - FZN &amp; CHILL'!J2551,"AAAAAGj9v2U=")</f>
        <v>#VALUE!</v>
      </c>
      <c r="CY354">
        <f>IF('STERLING CATALOG - FZN &amp; CHILL'!2552:2552,"AAAAAGj9v2Y=",0)</f>
        <v>0</v>
      </c>
      <c r="CZ354" t="e">
        <f>AND('STERLING CATALOG - FZN &amp; CHILL'!A2552,"AAAAAGj9v2c=")</f>
        <v>#VALUE!</v>
      </c>
      <c r="DA354" t="e">
        <f>AND('STERLING CATALOG - FZN &amp; CHILL'!B2552,"AAAAAGj9v2g=")</f>
        <v>#VALUE!</v>
      </c>
      <c r="DB354" t="e">
        <f>AND('STERLING CATALOG - FZN &amp; CHILL'!C2552,"AAAAAGj9v2k=")</f>
        <v>#VALUE!</v>
      </c>
      <c r="DC354" t="e">
        <f>AND('STERLING CATALOG - FZN &amp; CHILL'!D2552,"AAAAAGj9v2o=")</f>
        <v>#VALUE!</v>
      </c>
      <c r="DD354" t="e">
        <f>AND('STERLING CATALOG - FZN &amp; CHILL'!E2552,"AAAAAGj9v2s=")</f>
        <v>#VALUE!</v>
      </c>
      <c r="DE354" t="e">
        <f>AND('STERLING CATALOG - FZN &amp; CHILL'!F2552,"AAAAAGj9v2w=")</f>
        <v>#VALUE!</v>
      </c>
      <c r="DF354" t="e">
        <f>AND('STERLING CATALOG - FZN &amp; CHILL'!G2552,"AAAAAGj9v20=")</f>
        <v>#VALUE!</v>
      </c>
      <c r="DG354" t="e">
        <f>AND('STERLING CATALOG - FZN &amp; CHILL'!H2552,"AAAAAGj9v24=")</f>
        <v>#VALUE!</v>
      </c>
      <c r="DH354" t="e">
        <f>AND('STERLING CATALOG - FZN &amp; CHILL'!I2552,"AAAAAGj9v28=")</f>
        <v>#VALUE!</v>
      </c>
      <c r="DI354" t="e">
        <f>AND('STERLING CATALOG - FZN &amp; CHILL'!J2552,"AAAAAGj9v3A=")</f>
        <v>#VALUE!</v>
      </c>
      <c r="DJ354">
        <f>IF('STERLING CATALOG - FZN &amp; CHILL'!2553:2553,"AAAAAGj9v3E=",0)</f>
        <v>0</v>
      </c>
      <c r="DK354" t="e">
        <f>AND('STERLING CATALOG - FZN &amp; CHILL'!A2553,"AAAAAGj9v3I=")</f>
        <v>#VALUE!</v>
      </c>
      <c r="DL354" t="e">
        <f>AND('STERLING CATALOG - FZN &amp; CHILL'!B2553,"AAAAAGj9v3M=")</f>
        <v>#VALUE!</v>
      </c>
      <c r="DM354" t="e">
        <f>AND('STERLING CATALOG - FZN &amp; CHILL'!C2553,"AAAAAGj9v3Q=")</f>
        <v>#VALUE!</v>
      </c>
      <c r="DN354" t="e">
        <f>AND('STERLING CATALOG - FZN &amp; CHILL'!D2553,"AAAAAGj9v3U=")</f>
        <v>#VALUE!</v>
      </c>
      <c r="DO354" t="e">
        <f>AND('STERLING CATALOG - FZN &amp; CHILL'!E2553,"AAAAAGj9v3Y=")</f>
        <v>#VALUE!</v>
      </c>
      <c r="DP354" t="e">
        <f>AND('STERLING CATALOG - FZN &amp; CHILL'!F2553,"AAAAAGj9v3c=")</f>
        <v>#VALUE!</v>
      </c>
      <c r="DQ354" t="e">
        <f>AND('STERLING CATALOG - FZN &amp; CHILL'!G2553,"AAAAAGj9v3g=")</f>
        <v>#VALUE!</v>
      </c>
      <c r="DR354" t="e">
        <f>AND('STERLING CATALOG - FZN &amp; CHILL'!H2553,"AAAAAGj9v3k=")</f>
        <v>#VALUE!</v>
      </c>
      <c r="DS354" t="e">
        <f>AND('STERLING CATALOG - FZN &amp; CHILL'!I2553,"AAAAAGj9v3o=")</f>
        <v>#VALUE!</v>
      </c>
      <c r="DT354" t="e">
        <f>AND('STERLING CATALOG - FZN &amp; CHILL'!J2553,"AAAAAGj9v3s=")</f>
        <v>#VALUE!</v>
      </c>
      <c r="DU354">
        <f>IF('STERLING CATALOG - FZN &amp; CHILL'!2554:2554,"AAAAAGj9v3w=",0)</f>
        <v>0</v>
      </c>
      <c r="DV354" t="e">
        <f>AND('STERLING CATALOG - FZN &amp; CHILL'!A2554,"AAAAAGj9v30=")</f>
        <v>#VALUE!</v>
      </c>
      <c r="DW354" t="e">
        <f>AND('STERLING CATALOG - FZN &amp; CHILL'!B2554,"AAAAAGj9v34=")</f>
        <v>#VALUE!</v>
      </c>
      <c r="DX354" t="e">
        <f>AND('STERLING CATALOG - FZN &amp; CHILL'!C2554,"AAAAAGj9v38=")</f>
        <v>#VALUE!</v>
      </c>
      <c r="DY354" t="e">
        <f>AND('STERLING CATALOG - FZN &amp; CHILL'!D2554,"AAAAAGj9v4A=")</f>
        <v>#VALUE!</v>
      </c>
      <c r="DZ354" t="e">
        <f>AND('STERLING CATALOG - FZN &amp; CHILL'!E2554,"AAAAAGj9v4E=")</f>
        <v>#VALUE!</v>
      </c>
      <c r="EA354" t="e">
        <f>AND('STERLING CATALOG - FZN &amp; CHILL'!F2554,"AAAAAGj9v4I=")</f>
        <v>#VALUE!</v>
      </c>
      <c r="EB354" t="e">
        <f>AND('STERLING CATALOG - FZN &amp; CHILL'!G2554,"AAAAAGj9v4M=")</f>
        <v>#VALUE!</v>
      </c>
      <c r="EC354" t="e">
        <f>AND('STERLING CATALOG - FZN &amp; CHILL'!H2554,"AAAAAGj9v4Q=")</f>
        <v>#VALUE!</v>
      </c>
      <c r="ED354" t="e">
        <f>AND('STERLING CATALOG - FZN &amp; CHILL'!I2554,"AAAAAGj9v4U=")</f>
        <v>#VALUE!</v>
      </c>
      <c r="EE354" t="e">
        <f>AND('STERLING CATALOG - FZN &amp; CHILL'!J2554,"AAAAAGj9v4Y=")</f>
        <v>#VALUE!</v>
      </c>
      <c r="EF354">
        <f>IF('STERLING CATALOG - FZN &amp; CHILL'!2555:2555,"AAAAAGj9v4c=",0)</f>
        <v>0</v>
      </c>
      <c r="EG354" t="e">
        <f>AND('STERLING CATALOG - FZN &amp; CHILL'!A2555,"AAAAAGj9v4g=")</f>
        <v>#VALUE!</v>
      </c>
      <c r="EH354" t="e">
        <f>AND('STERLING CATALOG - FZN &amp; CHILL'!B2555,"AAAAAGj9v4k=")</f>
        <v>#VALUE!</v>
      </c>
      <c r="EI354" t="e">
        <f>AND('STERLING CATALOG - FZN &amp; CHILL'!C2555,"AAAAAGj9v4o=")</f>
        <v>#VALUE!</v>
      </c>
      <c r="EJ354" t="e">
        <f>AND('STERLING CATALOG - FZN &amp; CHILL'!D2555,"AAAAAGj9v4s=")</f>
        <v>#VALUE!</v>
      </c>
      <c r="EK354" t="e">
        <f>AND('STERLING CATALOG - FZN &amp; CHILL'!E2555,"AAAAAGj9v4w=")</f>
        <v>#VALUE!</v>
      </c>
      <c r="EL354" t="e">
        <f>AND('STERLING CATALOG - FZN &amp; CHILL'!F2555,"AAAAAGj9v40=")</f>
        <v>#VALUE!</v>
      </c>
      <c r="EM354" t="e">
        <f>AND('STERLING CATALOG - FZN &amp; CHILL'!G2555,"AAAAAGj9v44=")</f>
        <v>#VALUE!</v>
      </c>
      <c r="EN354" t="e">
        <f>AND('STERLING CATALOG - FZN &amp; CHILL'!H2555,"AAAAAGj9v48=")</f>
        <v>#VALUE!</v>
      </c>
      <c r="EO354" t="e">
        <f>AND('STERLING CATALOG - FZN &amp; CHILL'!I2555,"AAAAAGj9v5A=")</f>
        <v>#VALUE!</v>
      </c>
      <c r="EP354" t="e">
        <f>AND('STERLING CATALOG - FZN &amp; CHILL'!J2555,"AAAAAGj9v5E=")</f>
        <v>#VALUE!</v>
      </c>
      <c r="EQ354">
        <f>IF('STERLING CATALOG - FZN &amp; CHILL'!2556:2556,"AAAAAGj9v5I=",0)</f>
        <v>0</v>
      </c>
      <c r="ER354" t="e">
        <f>AND('STERLING CATALOG - FZN &amp; CHILL'!A2556,"AAAAAGj9v5M=")</f>
        <v>#VALUE!</v>
      </c>
      <c r="ES354" t="e">
        <f>AND('STERLING CATALOG - FZN &amp; CHILL'!B2556,"AAAAAGj9v5Q=")</f>
        <v>#VALUE!</v>
      </c>
      <c r="ET354" t="e">
        <f>AND('STERLING CATALOG - FZN &amp; CHILL'!C2556,"AAAAAGj9v5U=")</f>
        <v>#VALUE!</v>
      </c>
      <c r="EU354" t="e">
        <f>AND('STERLING CATALOG - FZN &amp; CHILL'!D2556,"AAAAAGj9v5Y=")</f>
        <v>#VALUE!</v>
      </c>
      <c r="EV354" t="e">
        <f>AND('STERLING CATALOG - FZN &amp; CHILL'!E2556,"AAAAAGj9v5c=")</f>
        <v>#VALUE!</v>
      </c>
      <c r="EW354" t="e">
        <f>AND('STERLING CATALOG - FZN &amp; CHILL'!F2556,"AAAAAGj9v5g=")</f>
        <v>#VALUE!</v>
      </c>
      <c r="EX354" t="e">
        <f>AND('STERLING CATALOG - FZN &amp; CHILL'!G2556,"AAAAAGj9v5k=")</f>
        <v>#VALUE!</v>
      </c>
      <c r="EY354" t="e">
        <f>AND('STERLING CATALOG - FZN &amp; CHILL'!H2556,"AAAAAGj9v5o=")</f>
        <v>#VALUE!</v>
      </c>
      <c r="EZ354" t="e">
        <f>AND('STERLING CATALOG - FZN &amp; CHILL'!I2556,"AAAAAGj9v5s=")</f>
        <v>#VALUE!</v>
      </c>
      <c r="FA354" t="e">
        <f>AND('STERLING CATALOG - FZN &amp; CHILL'!J2556,"AAAAAGj9v5w=")</f>
        <v>#VALUE!</v>
      </c>
      <c r="FB354">
        <f>IF('STERLING CATALOG - FZN &amp; CHILL'!2557:2557,"AAAAAGj9v50=",0)</f>
        <v>0</v>
      </c>
      <c r="FC354" t="e">
        <f>AND('STERLING CATALOG - FZN &amp; CHILL'!A2557,"AAAAAGj9v54=")</f>
        <v>#VALUE!</v>
      </c>
      <c r="FD354" t="e">
        <f>AND('STERLING CATALOG - FZN &amp; CHILL'!B2557,"AAAAAGj9v58=")</f>
        <v>#VALUE!</v>
      </c>
      <c r="FE354" t="e">
        <f>AND('STERLING CATALOG - FZN &amp; CHILL'!C2557,"AAAAAGj9v6A=")</f>
        <v>#VALUE!</v>
      </c>
      <c r="FF354" t="e">
        <f>AND('STERLING CATALOG - FZN &amp; CHILL'!D2557,"AAAAAGj9v6E=")</f>
        <v>#VALUE!</v>
      </c>
      <c r="FG354" t="e">
        <f>AND('STERLING CATALOG - FZN &amp; CHILL'!E2557,"AAAAAGj9v6I=")</f>
        <v>#VALUE!</v>
      </c>
      <c r="FH354" t="e">
        <f>AND('STERLING CATALOG - FZN &amp; CHILL'!F2557,"AAAAAGj9v6M=")</f>
        <v>#VALUE!</v>
      </c>
      <c r="FI354" t="e">
        <f>AND('STERLING CATALOG - FZN &amp; CHILL'!G2557,"AAAAAGj9v6Q=")</f>
        <v>#VALUE!</v>
      </c>
      <c r="FJ354" t="e">
        <f>AND('STERLING CATALOG - FZN &amp; CHILL'!H2557,"AAAAAGj9v6U=")</f>
        <v>#VALUE!</v>
      </c>
      <c r="FK354" t="e">
        <f>AND('STERLING CATALOG - FZN &amp; CHILL'!I2557,"AAAAAGj9v6Y=")</f>
        <v>#VALUE!</v>
      </c>
      <c r="FL354" t="e">
        <f>AND('STERLING CATALOG - FZN &amp; CHILL'!J2557,"AAAAAGj9v6c=")</f>
        <v>#VALUE!</v>
      </c>
      <c r="FM354">
        <f>IF('STERLING CATALOG - FZN &amp; CHILL'!2558:2558,"AAAAAGj9v6g=",0)</f>
        <v>0</v>
      </c>
      <c r="FN354" t="e">
        <f>AND('STERLING CATALOG - FZN &amp; CHILL'!A2558,"AAAAAGj9v6k=")</f>
        <v>#VALUE!</v>
      </c>
      <c r="FO354" t="e">
        <f>AND('STERLING CATALOG - FZN &amp; CHILL'!B2558,"AAAAAGj9v6o=")</f>
        <v>#VALUE!</v>
      </c>
      <c r="FP354" t="e">
        <f>AND('STERLING CATALOG - FZN &amp; CHILL'!C2558,"AAAAAGj9v6s=")</f>
        <v>#VALUE!</v>
      </c>
      <c r="FQ354" t="e">
        <f>AND('STERLING CATALOG - FZN &amp; CHILL'!D2558,"AAAAAGj9v6w=")</f>
        <v>#VALUE!</v>
      </c>
      <c r="FR354" t="e">
        <f>AND('STERLING CATALOG - FZN &amp; CHILL'!E2558,"AAAAAGj9v60=")</f>
        <v>#VALUE!</v>
      </c>
      <c r="FS354" t="e">
        <f>AND('STERLING CATALOG - FZN &amp; CHILL'!F2558,"AAAAAGj9v64=")</f>
        <v>#VALUE!</v>
      </c>
      <c r="FT354" t="e">
        <f>AND('STERLING CATALOG - FZN &amp; CHILL'!G2558,"AAAAAGj9v68=")</f>
        <v>#VALUE!</v>
      </c>
      <c r="FU354" t="e">
        <f>AND('STERLING CATALOG - FZN &amp; CHILL'!H2558,"AAAAAGj9v7A=")</f>
        <v>#VALUE!</v>
      </c>
      <c r="FV354" t="e">
        <f>AND('STERLING CATALOG - FZN &amp; CHILL'!I2558,"AAAAAGj9v7E=")</f>
        <v>#VALUE!</v>
      </c>
      <c r="FW354" t="e">
        <f>AND('STERLING CATALOG - FZN &amp; CHILL'!J2558,"AAAAAGj9v7I=")</f>
        <v>#VALUE!</v>
      </c>
      <c r="FX354">
        <f>IF('STERLING CATALOG - FZN &amp; CHILL'!2559:2559,"AAAAAGj9v7M=",0)</f>
        <v>0</v>
      </c>
      <c r="FY354" t="e">
        <f>AND('STERLING CATALOG - FZN &amp; CHILL'!A2559,"AAAAAGj9v7Q=")</f>
        <v>#VALUE!</v>
      </c>
      <c r="FZ354" t="e">
        <f>AND('STERLING CATALOG - FZN &amp; CHILL'!B2559,"AAAAAGj9v7U=")</f>
        <v>#VALUE!</v>
      </c>
      <c r="GA354" t="e">
        <f>AND('STERLING CATALOG - FZN &amp; CHILL'!C2559,"AAAAAGj9v7Y=")</f>
        <v>#VALUE!</v>
      </c>
      <c r="GB354" t="e">
        <f>AND('STERLING CATALOG - FZN &amp; CHILL'!D2559,"AAAAAGj9v7c=")</f>
        <v>#VALUE!</v>
      </c>
      <c r="GC354" t="e">
        <f>AND('STERLING CATALOG - FZN &amp; CHILL'!E2559,"AAAAAGj9v7g=")</f>
        <v>#VALUE!</v>
      </c>
      <c r="GD354" t="e">
        <f>AND('STERLING CATALOG - FZN &amp; CHILL'!F2559,"AAAAAGj9v7k=")</f>
        <v>#VALUE!</v>
      </c>
      <c r="GE354" t="e">
        <f>AND('STERLING CATALOG - FZN &amp; CHILL'!G2559,"AAAAAGj9v7o=")</f>
        <v>#VALUE!</v>
      </c>
      <c r="GF354" t="e">
        <f>AND('STERLING CATALOG - FZN &amp; CHILL'!H2559,"AAAAAGj9v7s=")</f>
        <v>#VALUE!</v>
      </c>
      <c r="GG354" t="e">
        <f>AND('STERLING CATALOG - FZN &amp; CHILL'!I2559,"AAAAAGj9v7w=")</f>
        <v>#VALUE!</v>
      </c>
      <c r="GH354" t="e">
        <f>AND('STERLING CATALOG - FZN &amp; CHILL'!J2559,"AAAAAGj9v70=")</f>
        <v>#VALUE!</v>
      </c>
      <c r="GI354">
        <f>IF('STERLING CATALOG - FZN &amp; CHILL'!2560:2560,"AAAAAGj9v74=",0)</f>
        <v>0</v>
      </c>
      <c r="GJ354" t="e">
        <f>AND('STERLING CATALOG - FZN &amp; CHILL'!A2560,"AAAAAGj9v78=")</f>
        <v>#VALUE!</v>
      </c>
      <c r="GK354" t="e">
        <f>AND('STERLING CATALOG - FZN &amp; CHILL'!B2560,"AAAAAGj9v8A=")</f>
        <v>#VALUE!</v>
      </c>
      <c r="GL354" t="e">
        <f>AND('STERLING CATALOG - FZN &amp; CHILL'!C2560,"AAAAAGj9v8E=")</f>
        <v>#VALUE!</v>
      </c>
      <c r="GM354" t="e">
        <f>AND('STERLING CATALOG - FZN &amp; CHILL'!D2560,"AAAAAGj9v8I=")</f>
        <v>#VALUE!</v>
      </c>
      <c r="GN354" t="e">
        <f>AND('STERLING CATALOG - FZN &amp; CHILL'!E2560,"AAAAAGj9v8M=")</f>
        <v>#VALUE!</v>
      </c>
      <c r="GO354" t="e">
        <f>AND('STERLING CATALOG - FZN &amp; CHILL'!F2560,"AAAAAGj9v8Q=")</f>
        <v>#VALUE!</v>
      </c>
      <c r="GP354" t="e">
        <f>AND('STERLING CATALOG - FZN &amp; CHILL'!G2560,"AAAAAGj9v8U=")</f>
        <v>#VALUE!</v>
      </c>
      <c r="GQ354" t="e">
        <f>AND('STERLING CATALOG - FZN &amp; CHILL'!H2560,"AAAAAGj9v8Y=")</f>
        <v>#VALUE!</v>
      </c>
      <c r="GR354" t="e">
        <f>AND('STERLING CATALOG - FZN &amp; CHILL'!I2560,"AAAAAGj9v8c=")</f>
        <v>#VALUE!</v>
      </c>
      <c r="GS354" t="e">
        <f>AND('STERLING CATALOG - FZN &amp; CHILL'!J2560,"AAAAAGj9v8g=")</f>
        <v>#VALUE!</v>
      </c>
      <c r="GT354">
        <f>IF('STERLING CATALOG - FZN &amp; CHILL'!2561:2561,"AAAAAGj9v8k=",0)</f>
        <v>0</v>
      </c>
      <c r="GU354" t="e">
        <f>AND('STERLING CATALOG - FZN &amp; CHILL'!A2561,"AAAAAGj9v8o=")</f>
        <v>#VALUE!</v>
      </c>
      <c r="GV354" t="e">
        <f>AND('STERLING CATALOG - FZN &amp; CHILL'!B2561,"AAAAAGj9v8s=")</f>
        <v>#VALUE!</v>
      </c>
      <c r="GW354" t="e">
        <f>AND('STERLING CATALOG - FZN &amp; CHILL'!C2561,"AAAAAGj9v8w=")</f>
        <v>#VALUE!</v>
      </c>
      <c r="GX354" t="e">
        <f>AND('STERLING CATALOG - FZN &amp; CHILL'!D2561,"AAAAAGj9v80=")</f>
        <v>#VALUE!</v>
      </c>
      <c r="GY354" t="e">
        <f>AND('STERLING CATALOG - FZN &amp; CHILL'!E2561,"AAAAAGj9v84=")</f>
        <v>#VALUE!</v>
      </c>
      <c r="GZ354" t="e">
        <f>AND('STERLING CATALOG - FZN &amp; CHILL'!F2561,"AAAAAGj9v88=")</f>
        <v>#VALUE!</v>
      </c>
      <c r="HA354" t="e">
        <f>AND('STERLING CATALOG - FZN &amp; CHILL'!G2561,"AAAAAGj9v9A=")</f>
        <v>#VALUE!</v>
      </c>
      <c r="HB354" t="e">
        <f>AND('STERLING CATALOG - FZN &amp; CHILL'!H2561,"AAAAAGj9v9E=")</f>
        <v>#VALUE!</v>
      </c>
      <c r="HC354" t="e">
        <f>AND('STERLING CATALOG - FZN &amp; CHILL'!I2561,"AAAAAGj9v9I=")</f>
        <v>#VALUE!</v>
      </c>
      <c r="HD354" t="e">
        <f>AND('STERLING CATALOG - FZN &amp; CHILL'!J2561,"AAAAAGj9v9M=")</f>
        <v>#VALUE!</v>
      </c>
      <c r="HE354">
        <f>IF('STERLING CATALOG - FZN &amp; CHILL'!2562:2562,"AAAAAGj9v9Q=",0)</f>
        <v>0</v>
      </c>
      <c r="HF354" t="e">
        <f>AND('STERLING CATALOG - FZN &amp; CHILL'!A2562,"AAAAAGj9v9U=")</f>
        <v>#VALUE!</v>
      </c>
      <c r="HG354" t="e">
        <f>AND('STERLING CATALOG - FZN &amp; CHILL'!B2562,"AAAAAGj9v9Y=")</f>
        <v>#VALUE!</v>
      </c>
      <c r="HH354" t="e">
        <f>AND('STERLING CATALOG - FZN &amp; CHILL'!C2562,"AAAAAGj9v9c=")</f>
        <v>#VALUE!</v>
      </c>
      <c r="HI354" t="e">
        <f>AND('STERLING CATALOG - FZN &amp; CHILL'!D2562,"AAAAAGj9v9g=")</f>
        <v>#VALUE!</v>
      </c>
      <c r="HJ354" t="e">
        <f>AND('STERLING CATALOG - FZN &amp; CHILL'!E2562,"AAAAAGj9v9k=")</f>
        <v>#VALUE!</v>
      </c>
      <c r="HK354" t="e">
        <f>AND('STERLING CATALOG - FZN &amp; CHILL'!F2562,"AAAAAGj9v9o=")</f>
        <v>#VALUE!</v>
      </c>
      <c r="HL354" t="e">
        <f>AND('STERLING CATALOG - FZN &amp; CHILL'!G2562,"AAAAAGj9v9s=")</f>
        <v>#VALUE!</v>
      </c>
      <c r="HM354" t="e">
        <f>AND('STERLING CATALOG - FZN &amp; CHILL'!H2562,"AAAAAGj9v9w=")</f>
        <v>#VALUE!</v>
      </c>
      <c r="HN354" t="e">
        <f>AND('STERLING CATALOG - FZN &amp; CHILL'!I2562,"AAAAAGj9v90=")</f>
        <v>#VALUE!</v>
      </c>
      <c r="HO354" t="e">
        <f>AND('STERLING CATALOG - FZN &amp; CHILL'!J2562,"AAAAAGj9v94=")</f>
        <v>#VALUE!</v>
      </c>
      <c r="HP354">
        <f>IF('STERLING CATALOG - FZN &amp; CHILL'!2563:2563,"AAAAAGj9v98=",0)</f>
        <v>0</v>
      </c>
      <c r="HQ354" t="e">
        <f>AND('STERLING CATALOG - FZN &amp; CHILL'!A2563,"AAAAAGj9v+A=")</f>
        <v>#VALUE!</v>
      </c>
      <c r="HR354" t="e">
        <f>AND('STERLING CATALOG - FZN &amp; CHILL'!B2563,"AAAAAGj9v+E=")</f>
        <v>#VALUE!</v>
      </c>
      <c r="HS354" t="e">
        <f>AND('STERLING CATALOG - FZN &amp; CHILL'!C2563,"AAAAAGj9v+I=")</f>
        <v>#VALUE!</v>
      </c>
      <c r="HT354" t="e">
        <f>AND('STERLING CATALOG - FZN &amp; CHILL'!D2563,"AAAAAGj9v+M=")</f>
        <v>#VALUE!</v>
      </c>
      <c r="HU354" t="e">
        <f>AND('STERLING CATALOG - FZN &amp; CHILL'!E2563,"AAAAAGj9v+Q=")</f>
        <v>#VALUE!</v>
      </c>
      <c r="HV354" t="e">
        <f>AND('STERLING CATALOG - FZN &amp; CHILL'!F2563,"AAAAAGj9v+U=")</f>
        <v>#VALUE!</v>
      </c>
      <c r="HW354" t="e">
        <f>AND('STERLING CATALOG - FZN &amp; CHILL'!G2563,"AAAAAGj9v+Y=")</f>
        <v>#VALUE!</v>
      </c>
      <c r="HX354" t="e">
        <f>AND('STERLING CATALOG - FZN &amp; CHILL'!H2563,"AAAAAGj9v+c=")</f>
        <v>#VALUE!</v>
      </c>
      <c r="HY354" t="e">
        <f>AND('STERLING CATALOG - FZN &amp; CHILL'!I2563,"AAAAAGj9v+g=")</f>
        <v>#VALUE!</v>
      </c>
      <c r="HZ354" t="e">
        <f>AND('STERLING CATALOG - FZN &amp; CHILL'!J2563,"AAAAAGj9v+k=")</f>
        <v>#VALUE!</v>
      </c>
      <c r="IA354">
        <f>IF('STERLING CATALOG - FZN &amp; CHILL'!2564:2564,"AAAAAGj9v+o=",0)</f>
        <v>0</v>
      </c>
      <c r="IB354" t="e">
        <f>AND('STERLING CATALOG - FZN &amp; CHILL'!A2564,"AAAAAGj9v+s=")</f>
        <v>#VALUE!</v>
      </c>
      <c r="IC354" t="e">
        <f>AND('STERLING CATALOG - FZN &amp; CHILL'!B2564,"AAAAAGj9v+w=")</f>
        <v>#VALUE!</v>
      </c>
      <c r="ID354" t="e">
        <f>AND('STERLING CATALOG - FZN &amp; CHILL'!C2564,"AAAAAGj9v+0=")</f>
        <v>#VALUE!</v>
      </c>
      <c r="IE354" t="e">
        <f>AND('STERLING CATALOG - FZN &amp; CHILL'!D2564,"AAAAAGj9v+4=")</f>
        <v>#VALUE!</v>
      </c>
      <c r="IF354" t="e">
        <f>AND('STERLING CATALOG - FZN &amp; CHILL'!E2564,"AAAAAGj9v+8=")</f>
        <v>#VALUE!</v>
      </c>
      <c r="IG354" t="e">
        <f>AND('STERLING CATALOG - FZN &amp; CHILL'!F2564,"AAAAAGj9v/A=")</f>
        <v>#VALUE!</v>
      </c>
      <c r="IH354" t="e">
        <f>AND('STERLING CATALOG - FZN &amp; CHILL'!G2564,"AAAAAGj9v/E=")</f>
        <v>#VALUE!</v>
      </c>
      <c r="II354" t="e">
        <f>AND('STERLING CATALOG - FZN &amp; CHILL'!H2564,"AAAAAGj9v/I=")</f>
        <v>#VALUE!</v>
      </c>
      <c r="IJ354" t="e">
        <f>AND('STERLING CATALOG - FZN &amp; CHILL'!I2564,"AAAAAGj9v/M=")</f>
        <v>#VALUE!</v>
      </c>
      <c r="IK354" t="e">
        <f>AND('STERLING CATALOG - FZN &amp; CHILL'!J2564,"AAAAAGj9v/Q=")</f>
        <v>#VALUE!</v>
      </c>
      <c r="IL354">
        <f>IF('STERLING CATALOG - FZN &amp; CHILL'!2565:2565,"AAAAAGj9v/U=",0)</f>
        <v>0</v>
      </c>
      <c r="IM354" t="e">
        <f>AND('STERLING CATALOG - FZN &amp; CHILL'!A2565,"AAAAAGj9v/Y=")</f>
        <v>#VALUE!</v>
      </c>
      <c r="IN354" t="e">
        <f>AND('STERLING CATALOG - FZN &amp; CHILL'!B2565,"AAAAAGj9v/c=")</f>
        <v>#VALUE!</v>
      </c>
      <c r="IO354" t="e">
        <f>AND('STERLING CATALOG - FZN &amp; CHILL'!C2565,"AAAAAGj9v/g=")</f>
        <v>#VALUE!</v>
      </c>
      <c r="IP354" t="e">
        <f>AND('STERLING CATALOG - FZN &amp; CHILL'!D2565,"AAAAAGj9v/k=")</f>
        <v>#VALUE!</v>
      </c>
      <c r="IQ354" t="e">
        <f>AND('STERLING CATALOG - FZN &amp; CHILL'!E2565,"AAAAAGj9v/o=")</f>
        <v>#VALUE!</v>
      </c>
      <c r="IR354" t="e">
        <f>AND('STERLING CATALOG - FZN &amp; CHILL'!F2565,"AAAAAGj9v/s=")</f>
        <v>#VALUE!</v>
      </c>
      <c r="IS354" t="e">
        <f>AND('STERLING CATALOG - FZN &amp; CHILL'!G2565,"AAAAAGj9v/w=")</f>
        <v>#VALUE!</v>
      </c>
      <c r="IT354" t="e">
        <f>AND('STERLING CATALOG - FZN &amp; CHILL'!H2565,"AAAAAGj9v/0=")</f>
        <v>#VALUE!</v>
      </c>
      <c r="IU354" t="e">
        <f>AND('STERLING CATALOG - FZN &amp; CHILL'!I2565,"AAAAAGj9v/4=")</f>
        <v>#VALUE!</v>
      </c>
      <c r="IV354" t="e">
        <f>AND('STERLING CATALOG - FZN &amp; CHILL'!J2565,"AAAAAGj9v/8=")</f>
        <v>#VALUE!</v>
      </c>
    </row>
    <row r="355" spans="1:256">
      <c r="A355" t="str">
        <f>IF('STERLING CATALOG - FZN &amp; CHILL'!2566:2566,"AAAAAG33/wA=",0)</f>
        <v>AAAAAG33/wA=</v>
      </c>
      <c r="B355" t="e">
        <f>AND('STERLING CATALOG - FZN &amp; CHILL'!A2566,"AAAAAG33/wE=")</f>
        <v>#VALUE!</v>
      </c>
      <c r="C355" t="e">
        <f>AND('STERLING CATALOG - FZN &amp; CHILL'!B2566,"AAAAAG33/wI=")</f>
        <v>#VALUE!</v>
      </c>
      <c r="D355" t="e">
        <f>AND('STERLING CATALOG - FZN &amp; CHILL'!C2566,"AAAAAG33/wM=")</f>
        <v>#VALUE!</v>
      </c>
      <c r="E355" t="e">
        <f>AND('STERLING CATALOG - FZN &amp; CHILL'!D2566,"AAAAAG33/wQ=")</f>
        <v>#VALUE!</v>
      </c>
      <c r="F355" t="e">
        <f>AND('STERLING CATALOG - FZN &amp; CHILL'!E2566,"AAAAAG33/wU=")</f>
        <v>#VALUE!</v>
      </c>
      <c r="G355" t="e">
        <f>AND('STERLING CATALOG - FZN &amp; CHILL'!F2566,"AAAAAG33/wY=")</f>
        <v>#VALUE!</v>
      </c>
      <c r="H355" t="e">
        <f>AND('STERLING CATALOG - FZN &amp; CHILL'!G2566,"AAAAAG33/wc=")</f>
        <v>#VALUE!</v>
      </c>
      <c r="I355" t="e">
        <f>AND('STERLING CATALOG - FZN &amp; CHILL'!H2566,"AAAAAG33/wg=")</f>
        <v>#VALUE!</v>
      </c>
      <c r="J355" t="e">
        <f>AND('STERLING CATALOG - FZN &amp; CHILL'!I2566,"AAAAAG33/wk=")</f>
        <v>#VALUE!</v>
      </c>
      <c r="K355" t="e">
        <f>AND('STERLING CATALOG - FZN &amp; CHILL'!J2566,"AAAAAG33/wo=")</f>
        <v>#VALUE!</v>
      </c>
      <c r="L355">
        <f>IF('STERLING CATALOG - FZN &amp; CHILL'!2567:2567,"AAAAAG33/ws=",0)</f>
        <v>0</v>
      </c>
      <c r="M355" t="e">
        <f>AND('STERLING CATALOG - FZN &amp; CHILL'!A2567,"AAAAAG33/ww=")</f>
        <v>#VALUE!</v>
      </c>
      <c r="N355" t="e">
        <f>AND('STERLING CATALOG - FZN &amp; CHILL'!B2567,"AAAAAG33/w0=")</f>
        <v>#VALUE!</v>
      </c>
      <c r="O355" t="e">
        <f>AND('STERLING CATALOG - FZN &amp; CHILL'!C2567,"AAAAAG33/w4=")</f>
        <v>#VALUE!</v>
      </c>
      <c r="P355" t="e">
        <f>AND('STERLING CATALOG - FZN &amp; CHILL'!D2567,"AAAAAG33/w8=")</f>
        <v>#VALUE!</v>
      </c>
      <c r="Q355" t="e">
        <f>AND('STERLING CATALOG - FZN &amp; CHILL'!E2567,"AAAAAG33/xA=")</f>
        <v>#VALUE!</v>
      </c>
      <c r="R355" t="e">
        <f>AND('STERLING CATALOG - FZN &amp; CHILL'!F2567,"AAAAAG33/xE=")</f>
        <v>#VALUE!</v>
      </c>
      <c r="S355" t="e">
        <f>AND('STERLING CATALOG - FZN &amp; CHILL'!G2567,"AAAAAG33/xI=")</f>
        <v>#VALUE!</v>
      </c>
      <c r="T355" t="e">
        <f>AND('STERLING CATALOG - FZN &amp; CHILL'!H2567,"AAAAAG33/xM=")</f>
        <v>#VALUE!</v>
      </c>
      <c r="U355" t="e">
        <f>AND('STERLING CATALOG - FZN &amp; CHILL'!I2567,"AAAAAG33/xQ=")</f>
        <v>#VALUE!</v>
      </c>
      <c r="V355" t="e">
        <f>AND('STERLING CATALOG - FZN &amp; CHILL'!J2567,"AAAAAG33/xU=")</f>
        <v>#VALUE!</v>
      </c>
      <c r="W355">
        <f>IF('STERLING CATALOG - FZN &amp; CHILL'!2568:2568,"AAAAAG33/xY=",0)</f>
        <v>0</v>
      </c>
      <c r="X355" t="e">
        <f>AND('STERLING CATALOG - FZN &amp; CHILL'!A2568,"AAAAAG33/xc=")</f>
        <v>#VALUE!</v>
      </c>
      <c r="Y355" t="e">
        <f>AND('STERLING CATALOG - FZN &amp; CHILL'!B2568,"AAAAAG33/xg=")</f>
        <v>#VALUE!</v>
      </c>
      <c r="Z355" t="e">
        <f>AND('STERLING CATALOG - FZN &amp; CHILL'!C2568,"AAAAAG33/xk=")</f>
        <v>#VALUE!</v>
      </c>
      <c r="AA355" t="e">
        <f>AND('STERLING CATALOG - FZN &amp; CHILL'!D2568,"AAAAAG33/xo=")</f>
        <v>#VALUE!</v>
      </c>
      <c r="AB355" t="e">
        <f>AND('STERLING CATALOG - FZN &amp; CHILL'!E2568,"AAAAAG33/xs=")</f>
        <v>#VALUE!</v>
      </c>
      <c r="AC355" t="e">
        <f>AND('STERLING CATALOG - FZN &amp; CHILL'!F2568,"AAAAAG33/xw=")</f>
        <v>#VALUE!</v>
      </c>
      <c r="AD355" t="e">
        <f>AND('STERLING CATALOG - FZN &amp; CHILL'!G2568,"AAAAAG33/x0=")</f>
        <v>#VALUE!</v>
      </c>
      <c r="AE355" t="e">
        <f>AND('STERLING CATALOG - FZN &amp; CHILL'!H2568,"AAAAAG33/x4=")</f>
        <v>#VALUE!</v>
      </c>
      <c r="AF355" t="e">
        <f>AND('STERLING CATALOG - FZN &amp; CHILL'!I2568,"AAAAAG33/x8=")</f>
        <v>#VALUE!</v>
      </c>
      <c r="AG355" t="e">
        <f>AND('STERLING CATALOG - FZN &amp; CHILL'!J2568,"AAAAAG33/yA=")</f>
        <v>#VALUE!</v>
      </c>
      <c r="AH355">
        <f>IF('STERLING CATALOG - FZN &amp; CHILL'!2569:2569,"AAAAAG33/yE=",0)</f>
        <v>0</v>
      </c>
      <c r="AI355" t="e">
        <f>AND('STERLING CATALOG - FZN &amp; CHILL'!A2569,"AAAAAG33/yI=")</f>
        <v>#VALUE!</v>
      </c>
      <c r="AJ355" t="e">
        <f>AND('STERLING CATALOG - FZN &amp; CHILL'!B2569,"AAAAAG33/yM=")</f>
        <v>#VALUE!</v>
      </c>
      <c r="AK355" t="e">
        <f>AND('STERLING CATALOG - FZN &amp; CHILL'!C2569,"AAAAAG33/yQ=")</f>
        <v>#VALUE!</v>
      </c>
      <c r="AL355" t="e">
        <f>AND('STERLING CATALOG - FZN &amp; CHILL'!D2569,"AAAAAG33/yU=")</f>
        <v>#VALUE!</v>
      </c>
      <c r="AM355" t="e">
        <f>AND('STERLING CATALOG - FZN &amp; CHILL'!E2569,"AAAAAG33/yY=")</f>
        <v>#VALUE!</v>
      </c>
      <c r="AN355" t="e">
        <f>AND('STERLING CATALOG - FZN &amp; CHILL'!F2569,"AAAAAG33/yc=")</f>
        <v>#VALUE!</v>
      </c>
      <c r="AO355" t="e">
        <f>AND('STERLING CATALOG - FZN &amp; CHILL'!G2569,"AAAAAG33/yg=")</f>
        <v>#VALUE!</v>
      </c>
      <c r="AP355" t="e">
        <f>AND('STERLING CATALOG - FZN &amp; CHILL'!H2569,"AAAAAG33/yk=")</f>
        <v>#VALUE!</v>
      </c>
      <c r="AQ355" t="e">
        <f>AND('STERLING CATALOG - FZN &amp; CHILL'!I2569,"AAAAAG33/yo=")</f>
        <v>#VALUE!</v>
      </c>
      <c r="AR355" t="e">
        <f>AND('STERLING CATALOG - FZN &amp; CHILL'!J2569,"AAAAAG33/ys=")</f>
        <v>#VALUE!</v>
      </c>
      <c r="AS355">
        <f>IF('STERLING CATALOG - FZN &amp; CHILL'!2570:2570,"AAAAAG33/yw=",0)</f>
        <v>0</v>
      </c>
      <c r="AT355" t="e">
        <f>AND('STERLING CATALOG - FZN &amp; CHILL'!A2570,"AAAAAG33/y0=")</f>
        <v>#VALUE!</v>
      </c>
      <c r="AU355" t="e">
        <f>AND('STERLING CATALOG - FZN &amp; CHILL'!B2570,"AAAAAG33/y4=")</f>
        <v>#VALUE!</v>
      </c>
      <c r="AV355" t="e">
        <f>AND('STERLING CATALOG - FZN &amp; CHILL'!C2570,"AAAAAG33/y8=")</f>
        <v>#VALUE!</v>
      </c>
      <c r="AW355" t="e">
        <f>AND('STERLING CATALOG - FZN &amp; CHILL'!D2570,"AAAAAG33/zA=")</f>
        <v>#VALUE!</v>
      </c>
      <c r="AX355" t="e">
        <f>AND('STERLING CATALOG - FZN &amp; CHILL'!E2570,"AAAAAG33/zE=")</f>
        <v>#VALUE!</v>
      </c>
      <c r="AY355" t="e">
        <f>AND('STERLING CATALOG - FZN &amp; CHILL'!F2570,"AAAAAG33/zI=")</f>
        <v>#VALUE!</v>
      </c>
      <c r="AZ355" t="e">
        <f>AND('STERLING CATALOG - FZN &amp; CHILL'!G2570,"AAAAAG33/zM=")</f>
        <v>#VALUE!</v>
      </c>
      <c r="BA355" t="e">
        <f>AND('STERLING CATALOG - FZN &amp; CHILL'!H2570,"AAAAAG33/zQ=")</f>
        <v>#VALUE!</v>
      </c>
      <c r="BB355" t="e">
        <f>AND('STERLING CATALOG - FZN &amp; CHILL'!I2570,"AAAAAG33/zU=")</f>
        <v>#VALUE!</v>
      </c>
      <c r="BC355" t="e">
        <f>AND('STERLING CATALOG - FZN &amp; CHILL'!J2570,"AAAAAG33/zY=")</f>
        <v>#VALUE!</v>
      </c>
      <c r="BD355">
        <f>IF('STERLING CATALOG - FZN &amp; CHILL'!2571:2571,"AAAAAG33/zc=",0)</f>
        <v>0</v>
      </c>
      <c r="BE355" t="e">
        <f>AND('STERLING CATALOG - FZN &amp; CHILL'!A2571,"AAAAAG33/zg=")</f>
        <v>#VALUE!</v>
      </c>
      <c r="BF355" t="e">
        <f>AND('STERLING CATALOG - FZN &amp; CHILL'!B2571,"AAAAAG33/zk=")</f>
        <v>#VALUE!</v>
      </c>
      <c r="BG355" t="e">
        <f>AND('STERLING CATALOG - FZN &amp; CHILL'!C2571,"AAAAAG33/zo=")</f>
        <v>#VALUE!</v>
      </c>
      <c r="BH355" t="e">
        <f>AND('STERLING CATALOG - FZN &amp; CHILL'!D2571,"AAAAAG33/zs=")</f>
        <v>#VALUE!</v>
      </c>
      <c r="BI355" t="e">
        <f>AND('STERLING CATALOG - FZN &amp; CHILL'!E2571,"AAAAAG33/zw=")</f>
        <v>#VALUE!</v>
      </c>
      <c r="BJ355" t="e">
        <f>AND('STERLING CATALOG - FZN &amp; CHILL'!F2571,"AAAAAG33/z0=")</f>
        <v>#VALUE!</v>
      </c>
      <c r="BK355" t="e">
        <f>AND('STERLING CATALOG - FZN &amp; CHILL'!G2571,"AAAAAG33/z4=")</f>
        <v>#VALUE!</v>
      </c>
      <c r="BL355" t="e">
        <f>AND('STERLING CATALOG - FZN &amp; CHILL'!H2571,"AAAAAG33/z8=")</f>
        <v>#VALUE!</v>
      </c>
      <c r="BM355" t="e">
        <f>AND('STERLING CATALOG - FZN &amp; CHILL'!I2571,"AAAAAG33/0A=")</f>
        <v>#VALUE!</v>
      </c>
      <c r="BN355" t="e">
        <f>AND('STERLING CATALOG - FZN &amp; CHILL'!J2571,"AAAAAG33/0E=")</f>
        <v>#VALUE!</v>
      </c>
      <c r="BO355">
        <f>IF('STERLING CATALOG - FZN &amp; CHILL'!2572:2572,"AAAAAG33/0I=",0)</f>
        <v>0</v>
      </c>
      <c r="BP355" t="e">
        <f>AND('STERLING CATALOG - FZN &amp; CHILL'!A2572,"AAAAAG33/0M=")</f>
        <v>#VALUE!</v>
      </c>
      <c r="BQ355" t="e">
        <f>AND('STERLING CATALOG - FZN &amp; CHILL'!B2572,"AAAAAG33/0Q=")</f>
        <v>#VALUE!</v>
      </c>
      <c r="BR355" t="e">
        <f>AND('STERLING CATALOG - FZN &amp; CHILL'!C2572,"AAAAAG33/0U=")</f>
        <v>#VALUE!</v>
      </c>
      <c r="BS355" t="e">
        <f>AND('STERLING CATALOG - FZN &amp; CHILL'!D2572,"AAAAAG33/0Y=")</f>
        <v>#VALUE!</v>
      </c>
      <c r="BT355" t="e">
        <f>AND('STERLING CATALOG - FZN &amp; CHILL'!E2572,"AAAAAG33/0c=")</f>
        <v>#VALUE!</v>
      </c>
      <c r="BU355" t="e">
        <f>AND('STERLING CATALOG - FZN &amp; CHILL'!F2572,"AAAAAG33/0g=")</f>
        <v>#VALUE!</v>
      </c>
      <c r="BV355" t="e">
        <f>AND('STERLING CATALOG - FZN &amp; CHILL'!G2572,"AAAAAG33/0k=")</f>
        <v>#VALUE!</v>
      </c>
      <c r="BW355" t="e">
        <f>AND('STERLING CATALOG - FZN &amp; CHILL'!H2572,"AAAAAG33/0o=")</f>
        <v>#VALUE!</v>
      </c>
      <c r="BX355" t="e">
        <f>AND('STERLING CATALOG - FZN &amp; CHILL'!I2572,"AAAAAG33/0s=")</f>
        <v>#VALUE!</v>
      </c>
      <c r="BY355" t="e">
        <f>AND('STERLING CATALOG - FZN &amp; CHILL'!J2572,"AAAAAG33/0w=")</f>
        <v>#VALUE!</v>
      </c>
      <c r="BZ355">
        <f>IF('STERLING CATALOG - FZN &amp; CHILL'!2573:2573,"AAAAAG33/00=",0)</f>
        <v>0</v>
      </c>
      <c r="CA355" t="e">
        <f>AND('STERLING CATALOG - FZN &amp; CHILL'!A2573,"AAAAAG33/04=")</f>
        <v>#VALUE!</v>
      </c>
      <c r="CB355" t="e">
        <f>AND('STERLING CATALOG - FZN &amp; CHILL'!B2573,"AAAAAG33/08=")</f>
        <v>#VALUE!</v>
      </c>
      <c r="CC355" t="e">
        <f>AND('STERLING CATALOG - FZN &amp; CHILL'!C2573,"AAAAAG33/1A=")</f>
        <v>#VALUE!</v>
      </c>
      <c r="CD355" t="e">
        <f>AND('STERLING CATALOG - FZN &amp; CHILL'!D2573,"AAAAAG33/1E=")</f>
        <v>#VALUE!</v>
      </c>
      <c r="CE355" t="e">
        <f>AND('STERLING CATALOG - FZN &amp; CHILL'!E2573,"AAAAAG33/1I=")</f>
        <v>#VALUE!</v>
      </c>
      <c r="CF355" t="e">
        <f>AND('STERLING CATALOG - FZN &amp; CHILL'!F2573,"AAAAAG33/1M=")</f>
        <v>#VALUE!</v>
      </c>
      <c r="CG355" t="e">
        <f>AND('STERLING CATALOG - FZN &amp; CHILL'!G2573,"AAAAAG33/1Q=")</f>
        <v>#VALUE!</v>
      </c>
      <c r="CH355" t="e">
        <f>AND('STERLING CATALOG - FZN &amp; CHILL'!H2573,"AAAAAG33/1U=")</f>
        <v>#VALUE!</v>
      </c>
      <c r="CI355" t="e">
        <f>AND('STERLING CATALOG - FZN &amp; CHILL'!I2573,"AAAAAG33/1Y=")</f>
        <v>#VALUE!</v>
      </c>
      <c r="CJ355" t="e">
        <f>AND('STERLING CATALOG - FZN &amp; CHILL'!J2573,"AAAAAG33/1c=")</f>
        <v>#VALUE!</v>
      </c>
      <c r="CK355">
        <f>IF('STERLING CATALOG - FZN &amp; CHILL'!2574:2574,"AAAAAG33/1g=",0)</f>
        <v>0</v>
      </c>
      <c r="CL355" t="e">
        <f>AND('STERLING CATALOG - FZN &amp; CHILL'!A2574,"AAAAAG33/1k=")</f>
        <v>#VALUE!</v>
      </c>
      <c r="CM355" t="e">
        <f>AND('STERLING CATALOG - FZN &amp; CHILL'!B2574,"AAAAAG33/1o=")</f>
        <v>#VALUE!</v>
      </c>
      <c r="CN355" t="e">
        <f>AND('STERLING CATALOG - FZN &amp; CHILL'!C2574,"AAAAAG33/1s=")</f>
        <v>#VALUE!</v>
      </c>
      <c r="CO355" t="e">
        <f>AND('STERLING CATALOG - FZN &amp; CHILL'!D2574,"AAAAAG33/1w=")</f>
        <v>#VALUE!</v>
      </c>
      <c r="CP355" t="e">
        <f>AND('STERLING CATALOG - FZN &amp; CHILL'!E2574,"AAAAAG33/10=")</f>
        <v>#VALUE!</v>
      </c>
      <c r="CQ355" t="e">
        <f>AND('STERLING CATALOG - FZN &amp; CHILL'!F2574,"AAAAAG33/14=")</f>
        <v>#VALUE!</v>
      </c>
      <c r="CR355" t="e">
        <f>AND('STERLING CATALOG - FZN &amp; CHILL'!G2574,"AAAAAG33/18=")</f>
        <v>#VALUE!</v>
      </c>
      <c r="CS355" t="e">
        <f>AND('STERLING CATALOG - FZN &amp; CHILL'!H2574,"AAAAAG33/2A=")</f>
        <v>#VALUE!</v>
      </c>
      <c r="CT355" t="e">
        <f>AND('STERLING CATALOG - FZN &amp; CHILL'!I2574,"AAAAAG33/2E=")</f>
        <v>#VALUE!</v>
      </c>
      <c r="CU355" t="e">
        <f>AND('STERLING CATALOG - FZN &amp; CHILL'!J2574,"AAAAAG33/2I=")</f>
        <v>#VALUE!</v>
      </c>
      <c r="CV355">
        <f>IF('STERLING CATALOG - FZN &amp; CHILL'!2575:2575,"AAAAAG33/2M=",0)</f>
        <v>0</v>
      </c>
      <c r="CW355" t="e">
        <f>AND('STERLING CATALOG - FZN &amp; CHILL'!A2575,"AAAAAG33/2Q=")</f>
        <v>#VALUE!</v>
      </c>
      <c r="CX355" t="e">
        <f>AND('STERLING CATALOG - FZN &amp; CHILL'!B2575,"AAAAAG33/2U=")</f>
        <v>#VALUE!</v>
      </c>
      <c r="CY355" t="e">
        <f>AND('STERLING CATALOG - FZN &amp; CHILL'!C2575,"AAAAAG33/2Y=")</f>
        <v>#VALUE!</v>
      </c>
      <c r="CZ355" t="e">
        <f>AND('STERLING CATALOG - FZN &amp; CHILL'!D2575,"AAAAAG33/2c=")</f>
        <v>#VALUE!</v>
      </c>
      <c r="DA355" t="e">
        <f>AND('STERLING CATALOG - FZN &amp; CHILL'!E2575,"AAAAAG33/2g=")</f>
        <v>#VALUE!</v>
      </c>
      <c r="DB355" t="e">
        <f>AND('STERLING CATALOG - FZN &amp; CHILL'!F2575,"AAAAAG33/2k=")</f>
        <v>#VALUE!</v>
      </c>
      <c r="DC355" t="e">
        <f>AND('STERLING CATALOG - FZN &amp; CHILL'!G2575,"AAAAAG33/2o=")</f>
        <v>#VALUE!</v>
      </c>
      <c r="DD355" t="e">
        <f>AND('STERLING CATALOG - FZN &amp; CHILL'!H2575,"AAAAAG33/2s=")</f>
        <v>#VALUE!</v>
      </c>
      <c r="DE355" t="e">
        <f>AND('STERLING CATALOG - FZN &amp; CHILL'!I2575,"AAAAAG33/2w=")</f>
        <v>#VALUE!</v>
      </c>
      <c r="DF355" t="e">
        <f>AND('STERLING CATALOG - FZN &amp; CHILL'!J2575,"AAAAAG33/20=")</f>
        <v>#VALUE!</v>
      </c>
      <c r="DG355">
        <f>IF('STERLING CATALOG - FZN &amp; CHILL'!2576:2576,"AAAAAG33/24=",0)</f>
        <v>0</v>
      </c>
      <c r="DH355" t="e">
        <f>AND('STERLING CATALOG - FZN &amp; CHILL'!A2576,"AAAAAG33/28=")</f>
        <v>#VALUE!</v>
      </c>
      <c r="DI355" t="e">
        <f>AND('STERLING CATALOG - FZN &amp; CHILL'!B2576,"AAAAAG33/3A=")</f>
        <v>#VALUE!</v>
      </c>
      <c r="DJ355" t="e">
        <f>AND('STERLING CATALOG - FZN &amp; CHILL'!C2576,"AAAAAG33/3E=")</f>
        <v>#VALUE!</v>
      </c>
      <c r="DK355" t="e">
        <f>AND('STERLING CATALOG - FZN &amp; CHILL'!D2576,"AAAAAG33/3I=")</f>
        <v>#VALUE!</v>
      </c>
      <c r="DL355" t="e">
        <f>AND('STERLING CATALOG - FZN &amp; CHILL'!E2576,"AAAAAG33/3M=")</f>
        <v>#VALUE!</v>
      </c>
      <c r="DM355" t="e">
        <f>AND('STERLING CATALOG - FZN &amp; CHILL'!F2576,"AAAAAG33/3Q=")</f>
        <v>#VALUE!</v>
      </c>
      <c r="DN355" t="e">
        <f>AND('STERLING CATALOG - FZN &amp; CHILL'!G2576,"AAAAAG33/3U=")</f>
        <v>#VALUE!</v>
      </c>
      <c r="DO355" t="e">
        <f>AND('STERLING CATALOG - FZN &amp; CHILL'!H2576,"AAAAAG33/3Y=")</f>
        <v>#VALUE!</v>
      </c>
      <c r="DP355" t="e">
        <f>AND('STERLING CATALOG - FZN &amp; CHILL'!I2576,"AAAAAG33/3c=")</f>
        <v>#VALUE!</v>
      </c>
      <c r="DQ355" t="e">
        <f>AND('STERLING CATALOG - FZN &amp; CHILL'!J2576,"AAAAAG33/3g=")</f>
        <v>#VALUE!</v>
      </c>
      <c r="DR355">
        <f>IF('STERLING CATALOG - FZN &amp; CHILL'!2577:2577,"AAAAAG33/3k=",0)</f>
        <v>0</v>
      </c>
      <c r="DS355" t="e">
        <f>AND('STERLING CATALOG - FZN &amp; CHILL'!A2577,"AAAAAG33/3o=")</f>
        <v>#VALUE!</v>
      </c>
      <c r="DT355" t="e">
        <f>AND('STERLING CATALOG - FZN &amp; CHILL'!B2577,"AAAAAG33/3s=")</f>
        <v>#VALUE!</v>
      </c>
      <c r="DU355" t="e">
        <f>AND('STERLING CATALOG - FZN &amp; CHILL'!C2577,"AAAAAG33/3w=")</f>
        <v>#VALUE!</v>
      </c>
      <c r="DV355" t="e">
        <f>AND('STERLING CATALOG - FZN &amp; CHILL'!D2577,"AAAAAG33/30=")</f>
        <v>#VALUE!</v>
      </c>
      <c r="DW355" t="e">
        <f>AND('STERLING CATALOG - FZN &amp; CHILL'!E2577,"AAAAAG33/34=")</f>
        <v>#VALUE!</v>
      </c>
      <c r="DX355" t="e">
        <f>AND('STERLING CATALOG - FZN &amp; CHILL'!F2577,"AAAAAG33/38=")</f>
        <v>#VALUE!</v>
      </c>
      <c r="DY355" t="e">
        <f>AND('STERLING CATALOG - FZN &amp; CHILL'!G2577,"AAAAAG33/4A=")</f>
        <v>#VALUE!</v>
      </c>
      <c r="DZ355" t="e">
        <f>AND('STERLING CATALOG - FZN &amp; CHILL'!H2577,"AAAAAG33/4E=")</f>
        <v>#VALUE!</v>
      </c>
      <c r="EA355" t="e">
        <f>AND('STERLING CATALOG - FZN &amp; CHILL'!I2577,"AAAAAG33/4I=")</f>
        <v>#VALUE!</v>
      </c>
      <c r="EB355" t="e">
        <f>AND('STERLING CATALOG - FZN &amp; CHILL'!J2577,"AAAAAG33/4M=")</f>
        <v>#VALUE!</v>
      </c>
      <c r="EC355">
        <f>IF('STERLING CATALOG - FZN &amp; CHILL'!2578:2578,"AAAAAG33/4Q=",0)</f>
        <v>0</v>
      </c>
      <c r="ED355" t="e">
        <f>AND('STERLING CATALOG - FZN &amp; CHILL'!A2578,"AAAAAG33/4U=")</f>
        <v>#VALUE!</v>
      </c>
      <c r="EE355" t="e">
        <f>AND('STERLING CATALOG - FZN &amp; CHILL'!B2578,"AAAAAG33/4Y=")</f>
        <v>#VALUE!</v>
      </c>
      <c r="EF355" t="e">
        <f>AND('STERLING CATALOG - FZN &amp; CHILL'!C2578,"AAAAAG33/4c=")</f>
        <v>#VALUE!</v>
      </c>
      <c r="EG355" t="e">
        <f>AND('STERLING CATALOG - FZN &amp; CHILL'!D2578,"AAAAAG33/4g=")</f>
        <v>#VALUE!</v>
      </c>
      <c r="EH355" t="e">
        <f>AND('STERLING CATALOG - FZN &amp; CHILL'!E2578,"AAAAAG33/4k=")</f>
        <v>#VALUE!</v>
      </c>
      <c r="EI355" t="e">
        <f>AND('STERLING CATALOG - FZN &amp; CHILL'!F2578,"AAAAAG33/4o=")</f>
        <v>#VALUE!</v>
      </c>
      <c r="EJ355" t="e">
        <f>AND('STERLING CATALOG - FZN &amp; CHILL'!G2578,"AAAAAG33/4s=")</f>
        <v>#VALUE!</v>
      </c>
      <c r="EK355" t="e">
        <f>AND('STERLING CATALOG - FZN &amp; CHILL'!H2578,"AAAAAG33/4w=")</f>
        <v>#VALUE!</v>
      </c>
      <c r="EL355" t="e">
        <f>AND('STERLING CATALOG - FZN &amp; CHILL'!I2578,"AAAAAG33/40=")</f>
        <v>#VALUE!</v>
      </c>
      <c r="EM355" t="e">
        <f>AND('STERLING CATALOG - FZN &amp; CHILL'!J2578,"AAAAAG33/44=")</f>
        <v>#VALUE!</v>
      </c>
      <c r="EN355">
        <f>IF('STERLING CATALOG - FZN &amp; CHILL'!2579:2579,"AAAAAG33/48=",0)</f>
        <v>0</v>
      </c>
      <c r="EO355" t="e">
        <f>AND('STERLING CATALOG - FZN &amp; CHILL'!A2579,"AAAAAG33/5A=")</f>
        <v>#VALUE!</v>
      </c>
      <c r="EP355" t="e">
        <f>AND('STERLING CATALOG - FZN &amp; CHILL'!B2579,"AAAAAG33/5E=")</f>
        <v>#VALUE!</v>
      </c>
      <c r="EQ355" t="e">
        <f>AND('STERLING CATALOG - FZN &amp; CHILL'!C2579,"AAAAAG33/5I=")</f>
        <v>#VALUE!</v>
      </c>
      <c r="ER355" t="e">
        <f>AND('STERLING CATALOG - FZN &amp; CHILL'!D2579,"AAAAAG33/5M=")</f>
        <v>#VALUE!</v>
      </c>
      <c r="ES355" t="e">
        <f>AND('STERLING CATALOG - FZN &amp; CHILL'!E2579,"AAAAAG33/5Q=")</f>
        <v>#VALUE!</v>
      </c>
      <c r="ET355" t="e">
        <f>AND('STERLING CATALOG - FZN &amp; CHILL'!F2579,"AAAAAG33/5U=")</f>
        <v>#VALUE!</v>
      </c>
      <c r="EU355" t="e">
        <f>AND('STERLING CATALOG - FZN &amp; CHILL'!G2579,"AAAAAG33/5Y=")</f>
        <v>#VALUE!</v>
      </c>
      <c r="EV355" t="e">
        <f>AND('STERLING CATALOG - FZN &amp; CHILL'!H2579,"AAAAAG33/5c=")</f>
        <v>#VALUE!</v>
      </c>
      <c r="EW355" t="e">
        <f>AND('STERLING CATALOG - FZN &amp; CHILL'!I2579,"AAAAAG33/5g=")</f>
        <v>#VALUE!</v>
      </c>
      <c r="EX355" t="e">
        <f>AND('STERLING CATALOG - FZN &amp; CHILL'!J2579,"AAAAAG33/5k=")</f>
        <v>#VALUE!</v>
      </c>
      <c r="EY355">
        <f>IF('STERLING CATALOG - FZN &amp; CHILL'!2580:2580,"AAAAAG33/5o=",0)</f>
        <v>0</v>
      </c>
      <c r="EZ355" t="e">
        <f>AND('STERLING CATALOG - FZN &amp; CHILL'!A2580,"AAAAAG33/5s=")</f>
        <v>#VALUE!</v>
      </c>
      <c r="FA355" t="e">
        <f>AND('STERLING CATALOG - FZN &amp; CHILL'!B2580,"AAAAAG33/5w=")</f>
        <v>#VALUE!</v>
      </c>
      <c r="FB355" t="e">
        <f>AND('STERLING CATALOG - FZN &amp; CHILL'!C2580,"AAAAAG33/50=")</f>
        <v>#VALUE!</v>
      </c>
      <c r="FC355" t="e">
        <f>AND('STERLING CATALOG - FZN &amp; CHILL'!D2580,"AAAAAG33/54=")</f>
        <v>#VALUE!</v>
      </c>
      <c r="FD355" t="e">
        <f>AND('STERLING CATALOG - FZN &amp; CHILL'!E2580,"AAAAAG33/58=")</f>
        <v>#VALUE!</v>
      </c>
      <c r="FE355" t="e">
        <f>AND('STERLING CATALOG - FZN &amp; CHILL'!F2580,"AAAAAG33/6A=")</f>
        <v>#VALUE!</v>
      </c>
      <c r="FF355" t="e">
        <f>AND('STERLING CATALOG - FZN &amp; CHILL'!G2580,"AAAAAG33/6E=")</f>
        <v>#VALUE!</v>
      </c>
      <c r="FG355" t="e">
        <f>AND('STERLING CATALOG - FZN &amp; CHILL'!H2580,"AAAAAG33/6I=")</f>
        <v>#VALUE!</v>
      </c>
      <c r="FH355" t="e">
        <f>AND('STERLING CATALOG - FZN &amp; CHILL'!I2580,"AAAAAG33/6M=")</f>
        <v>#VALUE!</v>
      </c>
      <c r="FI355" t="e">
        <f>AND('STERLING CATALOG - FZN &amp; CHILL'!J2580,"AAAAAG33/6Q=")</f>
        <v>#VALUE!</v>
      </c>
      <c r="FJ355">
        <f>IF('STERLING CATALOG - FZN &amp; CHILL'!2581:2581,"AAAAAG33/6U=",0)</f>
        <v>0</v>
      </c>
      <c r="FK355" t="e">
        <f>AND('STERLING CATALOG - FZN &amp; CHILL'!A2581,"AAAAAG33/6Y=")</f>
        <v>#VALUE!</v>
      </c>
      <c r="FL355" t="e">
        <f>AND('STERLING CATALOG - FZN &amp; CHILL'!B2581,"AAAAAG33/6c=")</f>
        <v>#VALUE!</v>
      </c>
      <c r="FM355" t="e">
        <f>AND('STERLING CATALOG - FZN &amp; CHILL'!C2581,"AAAAAG33/6g=")</f>
        <v>#VALUE!</v>
      </c>
      <c r="FN355" t="e">
        <f>AND('STERLING CATALOG - FZN &amp; CHILL'!D2581,"AAAAAG33/6k=")</f>
        <v>#VALUE!</v>
      </c>
      <c r="FO355" t="e">
        <f>AND('STERLING CATALOG - FZN &amp; CHILL'!E2581,"AAAAAG33/6o=")</f>
        <v>#VALUE!</v>
      </c>
      <c r="FP355" t="e">
        <f>AND('STERLING CATALOG - FZN &amp; CHILL'!F2581,"AAAAAG33/6s=")</f>
        <v>#VALUE!</v>
      </c>
      <c r="FQ355" t="e">
        <f>AND('STERLING CATALOG - FZN &amp; CHILL'!G2581,"AAAAAG33/6w=")</f>
        <v>#VALUE!</v>
      </c>
      <c r="FR355" t="e">
        <f>AND('STERLING CATALOG - FZN &amp; CHILL'!H2581,"AAAAAG33/60=")</f>
        <v>#VALUE!</v>
      </c>
      <c r="FS355" t="e">
        <f>AND('STERLING CATALOG - FZN &amp; CHILL'!I2581,"AAAAAG33/64=")</f>
        <v>#VALUE!</v>
      </c>
      <c r="FT355" t="e">
        <f>AND('STERLING CATALOG - FZN &amp; CHILL'!J2581,"AAAAAG33/68=")</f>
        <v>#VALUE!</v>
      </c>
      <c r="FU355">
        <f>IF('STERLING CATALOG - FZN &amp; CHILL'!2582:2582,"AAAAAG33/7A=",0)</f>
        <v>0</v>
      </c>
      <c r="FV355" t="e">
        <f>AND('STERLING CATALOG - FZN &amp; CHILL'!A2582,"AAAAAG33/7E=")</f>
        <v>#VALUE!</v>
      </c>
      <c r="FW355" t="e">
        <f>AND('STERLING CATALOG - FZN &amp; CHILL'!B2582,"AAAAAG33/7I=")</f>
        <v>#VALUE!</v>
      </c>
      <c r="FX355" t="e">
        <f>AND('STERLING CATALOG - FZN &amp; CHILL'!C2582,"AAAAAG33/7M=")</f>
        <v>#VALUE!</v>
      </c>
      <c r="FY355" t="e">
        <f>AND('STERLING CATALOG - FZN &amp; CHILL'!D2582,"AAAAAG33/7Q=")</f>
        <v>#VALUE!</v>
      </c>
      <c r="FZ355" t="e">
        <f>AND('STERLING CATALOG - FZN &amp; CHILL'!E2582,"AAAAAG33/7U=")</f>
        <v>#VALUE!</v>
      </c>
      <c r="GA355" t="e">
        <f>AND('STERLING CATALOG - FZN &amp; CHILL'!F2582,"AAAAAG33/7Y=")</f>
        <v>#VALUE!</v>
      </c>
      <c r="GB355" t="e">
        <f>AND('STERLING CATALOG - FZN &amp; CHILL'!G2582,"AAAAAG33/7c=")</f>
        <v>#VALUE!</v>
      </c>
      <c r="GC355" t="e">
        <f>AND('STERLING CATALOG - FZN &amp; CHILL'!H2582,"AAAAAG33/7g=")</f>
        <v>#VALUE!</v>
      </c>
      <c r="GD355" t="e">
        <f>AND('STERLING CATALOG - FZN &amp; CHILL'!I2582,"AAAAAG33/7k=")</f>
        <v>#VALUE!</v>
      </c>
      <c r="GE355" t="e">
        <f>AND('STERLING CATALOG - FZN &amp; CHILL'!J2582,"AAAAAG33/7o=")</f>
        <v>#VALUE!</v>
      </c>
      <c r="GF355">
        <f>IF('STERLING CATALOG - FZN &amp; CHILL'!2583:2583,"AAAAAG33/7s=",0)</f>
        <v>0</v>
      </c>
      <c r="GG355" t="e">
        <f>AND('STERLING CATALOG - FZN &amp; CHILL'!A2583,"AAAAAG33/7w=")</f>
        <v>#VALUE!</v>
      </c>
      <c r="GH355" t="e">
        <f>AND('STERLING CATALOG - FZN &amp; CHILL'!B2583,"AAAAAG33/70=")</f>
        <v>#VALUE!</v>
      </c>
      <c r="GI355" t="e">
        <f>AND('STERLING CATALOG - FZN &amp; CHILL'!C2583,"AAAAAG33/74=")</f>
        <v>#VALUE!</v>
      </c>
      <c r="GJ355" t="e">
        <f>AND('STERLING CATALOG - FZN &amp; CHILL'!D2583,"AAAAAG33/78=")</f>
        <v>#VALUE!</v>
      </c>
      <c r="GK355" t="e">
        <f>AND('STERLING CATALOG - FZN &amp; CHILL'!E2583,"AAAAAG33/8A=")</f>
        <v>#VALUE!</v>
      </c>
      <c r="GL355" t="e">
        <f>AND('STERLING CATALOG - FZN &amp; CHILL'!F2583,"AAAAAG33/8E=")</f>
        <v>#VALUE!</v>
      </c>
      <c r="GM355" t="e">
        <f>AND('STERLING CATALOG - FZN &amp; CHILL'!G2583,"AAAAAG33/8I=")</f>
        <v>#VALUE!</v>
      </c>
      <c r="GN355" t="e">
        <f>AND('STERLING CATALOG - FZN &amp; CHILL'!H2583,"AAAAAG33/8M=")</f>
        <v>#VALUE!</v>
      </c>
      <c r="GO355" t="e">
        <f>AND('STERLING CATALOG - FZN &amp; CHILL'!I2583,"AAAAAG33/8Q=")</f>
        <v>#VALUE!</v>
      </c>
      <c r="GP355" t="e">
        <f>AND('STERLING CATALOG - FZN &amp; CHILL'!J2583,"AAAAAG33/8U=")</f>
        <v>#VALUE!</v>
      </c>
      <c r="GQ355">
        <f>IF('STERLING CATALOG - FZN &amp; CHILL'!2584:2584,"AAAAAG33/8Y=",0)</f>
        <v>0</v>
      </c>
      <c r="GR355" t="e">
        <f>AND('STERLING CATALOG - FZN &amp; CHILL'!A2584,"AAAAAG33/8c=")</f>
        <v>#VALUE!</v>
      </c>
      <c r="GS355" t="e">
        <f>AND('STERLING CATALOG - FZN &amp; CHILL'!B2584,"AAAAAG33/8g=")</f>
        <v>#VALUE!</v>
      </c>
      <c r="GT355" t="e">
        <f>AND('STERLING CATALOG - FZN &amp; CHILL'!C2584,"AAAAAG33/8k=")</f>
        <v>#VALUE!</v>
      </c>
      <c r="GU355" t="e">
        <f>AND('STERLING CATALOG - FZN &amp; CHILL'!D2584,"AAAAAG33/8o=")</f>
        <v>#VALUE!</v>
      </c>
      <c r="GV355" t="e">
        <f>AND('STERLING CATALOG - FZN &amp; CHILL'!E2584,"AAAAAG33/8s=")</f>
        <v>#VALUE!</v>
      </c>
      <c r="GW355" t="e">
        <f>AND('STERLING CATALOG - FZN &amp; CHILL'!F2584,"AAAAAG33/8w=")</f>
        <v>#VALUE!</v>
      </c>
      <c r="GX355" t="e">
        <f>AND('STERLING CATALOG - FZN &amp; CHILL'!G2584,"AAAAAG33/80=")</f>
        <v>#VALUE!</v>
      </c>
      <c r="GY355" t="e">
        <f>AND('STERLING CATALOG - FZN &amp; CHILL'!H2584,"AAAAAG33/84=")</f>
        <v>#VALUE!</v>
      </c>
      <c r="GZ355" t="e">
        <f>AND('STERLING CATALOG - FZN &amp; CHILL'!I2584,"AAAAAG33/88=")</f>
        <v>#VALUE!</v>
      </c>
      <c r="HA355" t="e">
        <f>AND('STERLING CATALOG - FZN &amp; CHILL'!J2584,"AAAAAG33/9A=")</f>
        <v>#VALUE!</v>
      </c>
      <c r="HB355">
        <f>IF('STERLING CATALOG - FZN &amp; CHILL'!2585:2585,"AAAAAG33/9E=",0)</f>
        <v>0</v>
      </c>
      <c r="HC355" t="e">
        <f>AND('STERLING CATALOG - FZN &amp; CHILL'!A2585,"AAAAAG33/9I=")</f>
        <v>#VALUE!</v>
      </c>
      <c r="HD355" t="e">
        <f>AND('STERLING CATALOG - FZN &amp; CHILL'!B2585,"AAAAAG33/9M=")</f>
        <v>#VALUE!</v>
      </c>
      <c r="HE355" t="e">
        <f>AND('STERLING CATALOG - FZN &amp; CHILL'!C2585,"AAAAAG33/9Q=")</f>
        <v>#VALUE!</v>
      </c>
      <c r="HF355" t="e">
        <f>AND('STERLING CATALOG - FZN &amp; CHILL'!D2585,"AAAAAG33/9U=")</f>
        <v>#VALUE!</v>
      </c>
      <c r="HG355" t="e">
        <f>AND('STERLING CATALOG - FZN &amp; CHILL'!E2585,"AAAAAG33/9Y=")</f>
        <v>#VALUE!</v>
      </c>
      <c r="HH355" t="e">
        <f>AND('STERLING CATALOG - FZN &amp; CHILL'!F2585,"AAAAAG33/9c=")</f>
        <v>#VALUE!</v>
      </c>
      <c r="HI355" t="e">
        <f>AND('STERLING CATALOG - FZN &amp; CHILL'!G2585,"AAAAAG33/9g=")</f>
        <v>#VALUE!</v>
      </c>
      <c r="HJ355" t="e">
        <f>AND('STERLING CATALOG - FZN &amp; CHILL'!H2585,"AAAAAG33/9k=")</f>
        <v>#VALUE!</v>
      </c>
      <c r="HK355" t="e">
        <f>AND('STERLING CATALOG - FZN &amp; CHILL'!I2585,"AAAAAG33/9o=")</f>
        <v>#VALUE!</v>
      </c>
      <c r="HL355" t="e">
        <f>AND('STERLING CATALOG - FZN &amp; CHILL'!J2585,"AAAAAG33/9s=")</f>
        <v>#VALUE!</v>
      </c>
      <c r="HM355">
        <f>IF('STERLING CATALOG - FZN &amp; CHILL'!2586:2586,"AAAAAG33/9w=",0)</f>
        <v>0</v>
      </c>
      <c r="HN355" t="e">
        <f>AND('STERLING CATALOG - FZN &amp; CHILL'!A2586,"AAAAAG33/90=")</f>
        <v>#VALUE!</v>
      </c>
      <c r="HO355" t="e">
        <f>AND('STERLING CATALOG - FZN &amp; CHILL'!B2586,"AAAAAG33/94=")</f>
        <v>#VALUE!</v>
      </c>
      <c r="HP355" t="e">
        <f>AND('STERLING CATALOG - FZN &amp; CHILL'!C2586,"AAAAAG33/98=")</f>
        <v>#VALUE!</v>
      </c>
      <c r="HQ355" t="e">
        <f>AND('STERLING CATALOG - FZN &amp; CHILL'!D2586,"AAAAAG33/+A=")</f>
        <v>#VALUE!</v>
      </c>
      <c r="HR355" t="e">
        <f>AND('STERLING CATALOG - FZN &amp; CHILL'!E2586,"AAAAAG33/+E=")</f>
        <v>#VALUE!</v>
      </c>
      <c r="HS355" t="e">
        <f>AND('STERLING CATALOG - FZN &amp; CHILL'!F2586,"AAAAAG33/+I=")</f>
        <v>#VALUE!</v>
      </c>
      <c r="HT355" t="e">
        <f>AND('STERLING CATALOG - FZN &amp; CHILL'!G2586,"AAAAAG33/+M=")</f>
        <v>#VALUE!</v>
      </c>
      <c r="HU355" t="e">
        <f>AND('STERLING CATALOG - FZN &amp; CHILL'!H2586,"AAAAAG33/+Q=")</f>
        <v>#VALUE!</v>
      </c>
      <c r="HV355" t="e">
        <f>AND('STERLING CATALOG - FZN &amp; CHILL'!I2586,"AAAAAG33/+U=")</f>
        <v>#VALUE!</v>
      </c>
      <c r="HW355" t="e">
        <f>AND('STERLING CATALOG - FZN &amp; CHILL'!J2586,"AAAAAG33/+Y=")</f>
        <v>#VALUE!</v>
      </c>
      <c r="HX355">
        <f>IF('STERLING CATALOG - FZN &amp; CHILL'!2587:2587,"AAAAAG33/+c=",0)</f>
        <v>0</v>
      </c>
      <c r="HY355" t="e">
        <f>AND('STERLING CATALOG - FZN &amp; CHILL'!A2587,"AAAAAG33/+g=")</f>
        <v>#VALUE!</v>
      </c>
      <c r="HZ355" t="e">
        <f>AND('STERLING CATALOG - FZN &amp; CHILL'!B2587,"AAAAAG33/+k=")</f>
        <v>#VALUE!</v>
      </c>
      <c r="IA355" t="e">
        <f>AND('STERLING CATALOG - FZN &amp; CHILL'!C2587,"AAAAAG33/+o=")</f>
        <v>#VALUE!</v>
      </c>
      <c r="IB355" t="e">
        <f>AND('STERLING CATALOG - FZN &amp; CHILL'!D2587,"AAAAAG33/+s=")</f>
        <v>#VALUE!</v>
      </c>
      <c r="IC355" t="e">
        <f>AND('STERLING CATALOG - FZN &amp; CHILL'!E2587,"AAAAAG33/+w=")</f>
        <v>#VALUE!</v>
      </c>
      <c r="ID355" t="e">
        <f>AND('STERLING CATALOG - FZN &amp; CHILL'!F2587,"AAAAAG33/+0=")</f>
        <v>#VALUE!</v>
      </c>
      <c r="IE355" t="e">
        <f>AND('STERLING CATALOG - FZN &amp; CHILL'!G2587,"AAAAAG33/+4=")</f>
        <v>#VALUE!</v>
      </c>
      <c r="IF355" t="e">
        <f>AND('STERLING CATALOG - FZN &amp; CHILL'!H2587,"AAAAAG33/+8=")</f>
        <v>#VALUE!</v>
      </c>
      <c r="IG355" t="e">
        <f>AND('STERLING CATALOG - FZN &amp; CHILL'!I2587,"AAAAAG33//A=")</f>
        <v>#VALUE!</v>
      </c>
      <c r="IH355" t="e">
        <f>AND('STERLING CATALOG - FZN &amp; CHILL'!J2587,"AAAAAG33//E=")</f>
        <v>#VALUE!</v>
      </c>
      <c r="II355">
        <f>IF('STERLING CATALOG - FZN &amp; CHILL'!2588:2588,"AAAAAG33//I=",0)</f>
        <v>0</v>
      </c>
      <c r="IJ355" t="e">
        <f>AND('STERLING CATALOG - FZN &amp; CHILL'!A2588,"AAAAAG33//M=")</f>
        <v>#VALUE!</v>
      </c>
      <c r="IK355" t="e">
        <f>AND('STERLING CATALOG - FZN &amp; CHILL'!B2588,"AAAAAG33//Q=")</f>
        <v>#VALUE!</v>
      </c>
      <c r="IL355" t="e">
        <f>AND('STERLING CATALOG - FZN &amp; CHILL'!C2588,"AAAAAG33//U=")</f>
        <v>#VALUE!</v>
      </c>
      <c r="IM355" t="e">
        <f>AND('STERLING CATALOG - FZN &amp; CHILL'!D2588,"AAAAAG33//Y=")</f>
        <v>#VALUE!</v>
      </c>
      <c r="IN355" t="e">
        <f>AND('STERLING CATALOG - FZN &amp; CHILL'!E2588,"AAAAAG33//c=")</f>
        <v>#VALUE!</v>
      </c>
      <c r="IO355" t="e">
        <f>AND('STERLING CATALOG - FZN &amp; CHILL'!F2588,"AAAAAG33//g=")</f>
        <v>#VALUE!</v>
      </c>
      <c r="IP355" t="e">
        <f>AND('STERLING CATALOG - FZN &amp; CHILL'!G2588,"AAAAAG33//k=")</f>
        <v>#VALUE!</v>
      </c>
      <c r="IQ355" t="e">
        <f>AND('STERLING CATALOG - FZN &amp; CHILL'!H2588,"AAAAAG33//o=")</f>
        <v>#VALUE!</v>
      </c>
      <c r="IR355" t="e">
        <f>AND('STERLING CATALOG - FZN &amp; CHILL'!I2588,"AAAAAG33//s=")</f>
        <v>#VALUE!</v>
      </c>
      <c r="IS355" t="e">
        <f>AND('STERLING CATALOG - FZN &amp; CHILL'!J2588,"AAAAAG33//w=")</f>
        <v>#VALUE!</v>
      </c>
      <c r="IT355">
        <f>IF('STERLING CATALOG - FZN &amp; CHILL'!2589:2589,"AAAAAG33//0=",0)</f>
        <v>0</v>
      </c>
      <c r="IU355" t="e">
        <f>AND('STERLING CATALOG - FZN &amp; CHILL'!A2589,"AAAAAG33//4=")</f>
        <v>#VALUE!</v>
      </c>
      <c r="IV355" t="e">
        <f>AND('STERLING CATALOG - FZN &amp; CHILL'!B2589,"AAAAAG33//8=")</f>
        <v>#VALUE!</v>
      </c>
    </row>
    <row r="356" spans="1:256">
      <c r="A356" t="e">
        <f>AND('STERLING CATALOG - FZN &amp; CHILL'!C2589,"AAAAAG72bwA=")</f>
        <v>#VALUE!</v>
      </c>
      <c r="B356" t="e">
        <f>AND('STERLING CATALOG - FZN &amp; CHILL'!D2589,"AAAAAG72bwE=")</f>
        <v>#VALUE!</v>
      </c>
      <c r="C356" t="e">
        <f>AND('STERLING CATALOG - FZN &amp; CHILL'!E2589,"AAAAAG72bwI=")</f>
        <v>#VALUE!</v>
      </c>
      <c r="D356" t="e">
        <f>AND('STERLING CATALOG - FZN &amp; CHILL'!F2589,"AAAAAG72bwM=")</f>
        <v>#VALUE!</v>
      </c>
      <c r="E356" t="e">
        <f>AND('STERLING CATALOG - FZN &amp; CHILL'!G2589,"AAAAAG72bwQ=")</f>
        <v>#VALUE!</v>
      </c>
      <c r="F356" t="e">
        <f>AND('STERLING CATALOG - FZN &amp; CHILL'!H2589,"AAAAAG72bwU=")</f>
        <v>#VALUE!</v>
      </c>
      <c r="G356" t="e">
        <f>AND('STERLING CATALOG - FZN &amp; CHILL'!I2589,"AAAAAG72bwY=")</f>
        <v>#VALUE!</v>
      </c>
      <c r="H356" t="e">
        <f>AND('STERLING CATALOG - FZN &amp; CHILL'!J2589,"AAAAAG72bwc=")</f>
        <v>#VALUE!</v>
      </c>
      <c r="I356" t="e">
        <f>IF('STERLING CATALOG - FZN &amp; CHILL'!2590:2590,"AAAAAG72bwg=",0)</f>
        <v>#VALUE!</v>
      </c>
      <c r="J356" t="e">
        <f>AND('STERLING CATALOG - FZN &amp; CHILL'!A2590,"AAAAAG72bwk=")</f>
        <v>#VALUE!</v>
      </c>
      <c r="K356" t="e">
        <f>AND('STERLING CATALOG - FZN &amp; CHILL'!B2590,"AAAAAG72bwo=")</f>
        <v>#VALUE!</v>
      </c>
      <c r="L356" t="e">
        <f>AND('STERLING CATALOG - FZN &amp; CHILL'!C2590,"AAAAAG72bws=")</f>
        <v>#VALUE!</v>
      </c>
      <c r="M356" t="e">
        <f>AND('STERLING CATALOG - FZN &amp; CHILL'!D2590,"AAAAAG72bww=")</f>
        <v>#VALUE!</v>
      </c>
      <c r="N356" t="e">
        <f>AND('STERLING CATALOG - FZN &amp; CHILL'!E2590,"AAAAAG72bw0=")</f>
        <v>#VALUE!</v>
      </c>
      <c r="O356" t="e">
        <f>AND('STERLING CATALOG - FZN &amp; CHILL'!F2590,"AAAAAG72bw4=")</f>
        <v>#VALUE!</v>
      </c>
      <c r="P356" t="e">
        <f>AND('STERLING CATALOG - FZN &amp; CHILL'!G2590,"AAAAAG72bw8=")</f>
        <v>#VALUE!</v>
      </c>
      <c r="Q356" t="e">
        <f>AND('STERLING CATALOG - FZN &amp; CHILL'!H2590,"AAAAAG72bxA=")</f>
        <v>#VALUE!</v>
      </c>
      <c r="R356" t="e">
        <f>AND('STERLING CATALOG - FZN &amp; CHILL'!I2590,"AAAAAG72bxE=")</f>
        <v>#VALUE!</v>
      </c>
      <c r="S356" t="e">
        <f>AND('STERLING CATALOG - FZN &amp; CHILL'!J2590,"AAAAAG72bxI=")</f>
        <v>#VALUE!</v>
      </c>
      <c r="T356">
        <f>IF('STERLING CATALOG - FZN &amp; CHILL'!2591:2591,"AAAAAG72bxM=",0)</f>
        <v>0</v>
      </c>
      <c r="U356" t="e">
        <f>AND('STERLING CATALOG - FZN &amp; CHILL'!A2591,"AAAAAG72bxQ=")</f>
        <v>#VALUE!</v>
      </c>
      <c r="V356" t="e">
        <f>AND('STERLING CATALOG - FZN &amp; CHILL'!B2591,"AAAAAG72bxU=")</f>
        <v>#VALUE!</v>
      </c>
      <c r="W356" t="e">
        <f>AND('STERLING CATALOG - FZN &amp; CHILL'!C2591,"AAAAAG72bxY=")</f>
        <v>#VALUE!</v>
      </c>
      <c r="X356" t="e">
        <f>AND('STERLING CATALOG - FZN &amp; CHILL'!D2591,"AAAAAG72bxc=")</f>
        <v>#VALUE!</v>
      </c>
      <c r="Y356" t="e">
        <f>AND('STERLING CATALOG - FZN &amp; CHILL'!E2591,"AAAAAG72bxg=")</f>
        <v>#VALUE!</v>
      </c>
      <c r="Z356" t="e">
        <f>AND('STERLING CATALOG - FZN &amp; CHILL'!F2591,"AAAAAG72bxk=")</f>
        <v>#VALUE!</v>
      </c>
      <c r="AA356" t="e">
        <f>AND('STERLING CATALOG - FZN &amp; CHILL'!G2591,"AAAAAG72bxo=")</f>
        <v>#VALUE!</v>
      </c>
      <c r="AB356" t="e">
        <f>AND('STERLING CATALOG - FZN &amp; CHILL'!H2591,"AAAAAG72bxs=")</f>
        <v>#VALUE!</v>
      </c>
      <c r="AC356" t="e">
        <f>AND('STERLING CATALOG - FZN &amp; CHILL'!I2591,"AAAAAG72bxw=")</f>
        <v>#VALUE!</v>
      </c>
      <c r="AD356" t="e">
        <f>AND('STERLING CATALOG - FZN &amp; CHILL'!J2591,"AAAAAG72bx0=")</f>
        <v>#VALUE!</v>
      </c>
      <c r="AE356">
        <f>IF('STERLING CATALOG - FZN &amp; CHILL'!2592:2592,"AAAAAG72bx4=",0)</f>
        <v>0</v>
      </c>
      <c r="AF356" t="e">
        <f>AND('STERLING CATALOG - FZN &amp; CHILL'!A2592,"AAAAAG72bx8=")</f>
        <v>#VALUE!</v>
      </c>
      <c r="AG356" t="e">
        <f>AND('STERLING CATALOG - FZN &amp; CHILL'!B2592,"AAAAAG72byA=")</f>
        <v>#VALUE!</v>
      </c>
      <c r="AH356" t="e">
        <f>AND('STERLING CATALOG - FZN &amp; CHILL'!C2592,"AAAAAG72byE=")</f>
        <v>#VALUE!</v>
      </c>
      <c r="AI356" t="e">
        <f>AND('STERLING CATALOG - FZN &amp; CHILL'!D2592,"AAAAAG72byI=")</f>
        <v>#VALUE!</v>
      </c>
      <c r="AJ356" t="e">
        <f>AND('STERLING CATALOG - FZN &amp; CHILL'!E2592,"AAAAAG72byM=")</f>
        <v>#VALUE!</v>
      </c>
      <c r="AK356" t="e">
        <f>AND('STERLING CATALOG - FZN &amp; CHILL'!F2592,"AAAAAG72byQ=")</f>
        <v>#VALUE!</v>
      </c>
      <c r="AL356" t="e">
        <f>AND('STERLING CATALOG - FZN &amp; CHILL'!G2592,"AAAAAG72byU=")</f>
        <v>#VALUE!</v>
      </c>
      <c r="AM356" t="e">
        <f>AND('STERLING CATALOG - FZN &amp; CHILL'!H2592,"AAAAAG72byY=")</f>
        <v>#VALUE!</v>
      </c>
      <c r="AN356" t="e">
        <f>AND('STERLING CATALOG - FZN &amp; CHILL'!I2592,"AAAAAG72byc=")</f>
        <v>#VALUE!</v>
      </c>
      <c r="AO356" t="e">
        <f>AND('STERLING CATALOG - FZN &amp; CHILL'!J2592,"AAAAAG72byg=")</f>
        <v>#VALUE!</v>
      </c>
      <c r="AP356">
        <f>IF('STERLING CATALOG - FZN &amp; CHILL'!2593:2593,"AAAAAG72byk=",0)</f>
        <v>0</v>
      </c>
      <c r="AQ356" t="e">
        <f>AND('STERLING CATALOG - FZN &amp; CHILL'!A2593,"AAAAAG72byo=")</f>
        <v>#VALUE!</v>
      </c>
      <c r="AR356" t="e">
        <f>AND('STERLING CATALOG - FZN &amp; CHILL'!B2593,"AAAAAG72bys=")</f>
        <v>#VALUE!</v>
      </c>
      <c r="AS356" t="e">
        <f>AND('STERLING CATALOG - FZN &amp; CHILL'!C2593,"AAAAAG72byw=")</f>
        <v>#VALUE!</v>
      </c>
      <c r="AT356" t="e">
        <f>AND('STERLING CATALOG - FZN &amp; CHILL'!D2593,"AAAAAG72by0=")</f>
        <v>#VALUE!</v>
      </c>
      <c r="AU356" t="e">
        <f>AND('STERLING CATALOG - FZN &amp; CHILL'!E2593,"AAAAAG72by4=")</f>
        <v>#VALUE!</v>
      </c>
      <c r="AV356" t="e">
        <f>AND('STERLING CATALOG - FZN &amp; CHILL'!F2593,"AAAAAG72by8=")</f>
        <v>#VALUE!</v>
      </c>
      <c r="AW356" t="e">
        <f>AND('STERLING CATALOG - FZN &amp; CHILL'!G2593,"AAAAAG72bzA=")</f>
        <v>#VALUE!</v>
      </c>
      <c r="AX356" t="e">
        <f>AND('STERLING CATALOG - FZN &amp; CHILL'!H2593,"AAAAAG72bzE=")</f>
        <v>#VALUE!</v>
      </c>
      <c r="AY356" t="e">
        <f>AND('STERLING CATALOG - FZN &amp; CHILL'!I2593,"AAAAAG72bzI=")</f>
        <v>#VALUE!</v>
      </c>
      <c r="AZ356" t="e">
        <f>AND('STERLING CATALOG - FZN &amp; CHILL'!J2593,"AAAAAG72bzM=")</f>
        <v>#VALUE!</v>
      </c>
      <c r="BA356">
        <f>IF('STERLING CATALOG - FZN &amp; CHILL'!2594:2594,"AAAAAG72bzQ=",0)</f>
        <v>0</v>
      </c>
      <c r="BB356" t="e">
        <f>AND('STERLING CATALOG - FZN &amp; CHILL'!A2594,"AAAAAG72bzU=")</f>
        <v>#VALUE!</v>
      </c>
      <c r="BC356" t="e">
        <f>AND('STERLING CATALOG - FZN &amp; CHILL'!B2594,"AAAAAG72bzY=")</f>
        <v>#VALUE!</v>
      </c>
      <c r="BD356" t="e">
        <f>AND('STERLING CATALOG - FZN &amp; CHILL'!C2594,"AAAAAG72bzc=")</f>
        <v>#VALUE!</v>
      </c>
      <c r="BE356" t="e">
        <f>AND('STERLING CATALOG - FZN &amp; CHILL'!D2594,"AAAAAG72bzg=")</f>
        <v>#VALUE!</v>
      </c>
      <c r="BF356" t="e">
        <f>AND('STERLING CATALOG - FZN &amp; CHILL'!E2594,"AAAAAG72bzk=")</f>
        <v>#VALUE!</v>
      </c>
      <c r="BG356" t="e">
        <f>AND('STERLING CATALOG - FZN &amp; CHILL'!F2594,"AAAAAG72bzo=")</f>
        <v>#VALUE!</v>
      </c>
      <c r="BH356" t="e">
        <f>AND('STERLING CATALOG - FZN &amp; CHILL'!G2594,"AAAAAG72bzs=")</f>
        <v>#VALUE!</v>
      </c>
      <c r="BI356" t="e">
        <f>AND('STERLING CATALOG - FZN &amp; CHILL'!H2594,"AAAAAG72bzw=")</f>
        <v>#VALUE!</v>
      </c>
      <c r="BJ356" t="e">
        <f>AND('STERLING CATALOG - FZN &amp; CHILL'!I2594,"AAAAAG72bz0=")</f>
        <v>#VALUE!</v>
      </c>
      <c r="BK356" t="e">
        <f>AND('STERLING CATALOG - FZN &amp; CHILL'!J2594,"AAAAAG72bz4=")</f>
        <v>#VALUE!</v>
      </c>
      <c r="BL356">
        <f>IF('STERLING CATALOG - FZN &amp; CHILL'!2595:2595,"AAAAAG72bz8=",0)</f>
        <v>0</v>
      </c>
      <c r="BM356" t="e">
        <f>AND('STERLING CATALOG - FZN &amp; CHILL'!A2595,"AAAAAG72b0A=")</f>
        <v>#VALUE!</v>
      </c>
      <c r="BN356" t="e">
        <f>AND('STERLING CATALOG - FZN &amp; CHILL'!B2595,"AAAAAG72b0E=")</f>
        <v>#VALUE!</v>
      </c>
      <c r="BO356" t="e">
        <f>AND('STERLING CATALOG - FZN &amp; CHILL'!C2595,"AAAAAG72b0I=")</f>
        <v>#VALUE!</v>
      </c>
      <c r="BP356" t="e">
        <f>AND('STERLING CATALOG - FZN &amp; CHILL'!D2595,"AAAAAG72b0M=")</f>
        <v>#VALUE!</v>
      </c>
      <c r="BQ356" t="e">
        <f>AND('STERLING CATALOG - FZN &amp; CHILL'!E2595,"AAAAAG72b0Q=")</f>
        <v>#VALUE!</v>
      </c>
      <c r="BR356" t="e">
        <f>AND('STERLING CATALOG - FZN &amp; CHILL'!F2595,"AAAAAG72b0U=")</f>
        <v>#VALUE!</v>
      </c>
      <c r="BS356" t="e">
        <f>AND('STERLING CATALOG - FZN &amp; CHILL'!G2595,"AAAAAG72b0Y=")</f>
        <v>#VALUE!</v>
      </c>
      <c r="BT356" t="e">
        <f>AND('STERLING CATALOG - FZN &amp; CHILL'!H2595,"AAAAAG72b0c=")</f>
        <v>#VALUE!</v>
      </c>
      <c r="BU356" t="e">
        <f>AND('STERLING CATALOG - FZN &amp; CHILL'!I2595,"AAAAAG72b0g=")</f>
        <v>#VALUE!</v>
      </c>
      <c r="BV356" t="e">
        <f>AND('STERLING CATALOG - FZN &amp; CHILL'!J2595,"AAAAAG72b0k=")</f>
        <v>#VALUE!</v>
      </c>
      <c r="BW356">
        <f>IF('STERLING CATALOG - FZN &amp; CHILL'!2596:2596,"AAAAAG72b0o=",0)</f>
        <v>0</v>
      </c>
      <c r="BX356" t="e">
        <f>AND('STERLING CATALOG - FZN &amp; CHILL'!A2596,"AAAAAG72b0s=")</f>
        <v>#VALUE!</v>
      </c>
      <c r="BY356" t="e">
        <f>AND('STERLING CATALOG - FZN &amp; CHILL'!B2596,"AAAAAG72b0w=")</f>
        <v>#VALUE!</v>
      </c>
      <c r="BZ356" t="e">
        <f>AND('STERLING CATALOG - FZN &amp; CHILL'!C2596,"AAAAAG72b00=")</f>
        <v>#VALUE!</v>
      </c>
      <c r="CA356" t="e">
        <f>AND('STERLING CATALOG - FZN &amp; CHILL'!D2596,"AAAAAG72b04=")</f>
        <v>#VALUE!</v>
      </c>
      <c r="CB356" t="e">
        <f>AND('STERLING CATALOG - FZN &amp; CHILL'!E2596,"AAAAAG72b08=")</f>
        <v>#VALUE!</v>
      </c>
      <c r="CC356" t="e">
        <f>AND('STERLING CATALOG - FZN &amp; CHILL'!F2596,"AAAAAG72b1A=")</f>
        <v>#VALUE!</v>
      </c>
      <c r="CD356" t="e">
        <f>AND('STERLING CATALOG - FZN &amp; CHILL'!G2596,"AAAAAG72b1E=")</f>
        <v>#VALUE!</v>
      </c>
      <c r="CE356" t="e">
        <f>AND('STERLING CATALOG - FZN &amp; CHILL'!H2596,"AAAAAG72b1I=")</f>
        <v>#VALUE!</v>
      </c>
      <c r="CF356" t="e">
        <f>AND('STERLING CATALOG - FZN &amp; CHILL'!I2596,"AAAAAG72b1M=")</f>
        <v>#VALUE!</v>
      </c>
      <c r="CG356" t="e">
        <f>AND('STERLING CATALOG - FZN &amp; CHILL'!J2596,"AAAAAG72b1Q=")</f>
        <v>#VALUE!</v>
      </c>
      <c r="CH356">
        <f>IF('STERLING CATALOG - FZN &amp; CHILL'!2597:2597,"AAAAAG72b1U=",0)</f>
        <v>0</v>
      </c>
      <c r="CI356" t="e">
        <f>AND('STERLING CATALOG - FZN &amp; CHILL'!A2597,"AAAAAG72b1Y=")</f>
        <v>#VALUE!</v>
      </c>
      <c r="CJ356" t="e">
        <f>AND('STERLING CATALOG - FZN &amp; CHILL'!B2597,"AAAAAG72b1c=")</f>
        <v>#VALUE!</v>
      </c>
      <c r="CK356" t="e">
        <f>AND('STERLING CATALOG - FZN &amp; CHILL'!C2597,"AAAAAG72b1g=")</f>
        <v>#VALUE!</v>
      </c>
      <c r="CL356" t="e">
        <f>AND('STERLING CATALOG - FZN &amp; CHILL'!D2597,"AAAAAG72b1k=")</f>
        <v>#VALUE!</v>
      </c>
      <c r="CM356" t="e">
        <f>AND('STERLING CATALOG - FZN &amp; CHILL'!E2597,"AAAAAG72b1o=")</f>
        <v>#VALUE!</v>
      </c>
      <c r="CN356" t="e">
        <f>AND('STERLING CATALOG - FZN &amp; CHILL'!F2597,"AAAAAG72b1s=")</f>
        <v>#VALUE!</v>
      </c>
      <c r="CO356" t="e">
        <f>AND('STERLING CATALOG - FZN &amp; CHILL'!G2597,"AAAAAG72b1w=")</f>
        <v>#VALUE!</v>
      </c>
      <c r="CP356" t="e">
        <f>AND('STERLING CATALOG - FZN &amp; CHILL'!H2597,"AAAAAG72b10=")</f>
        <v>#VALUE!</v>
      </c>
      <c r="CQ356" t="e">
        <f>AND('STERLING CATALOG - FZN &amp; CHILL'!I2597,"AAAAAG72b14=")</f>
        <v>#VALUE!</v>
      </c>
      <c r="CR356" t="e">
        <f>AND('STERLING CATALOG - FZN &amp; CHILL'!J2597,"AAAAAG72b18=")</f>
        <v>#VALUE!</v>
      </c>
      <c r="CS356">
        <f>IF('STERLING CATALOG - FZN &amp; CHILL'!2598:2598,"AAAAAG72b2A=",0)</f>
        <v>0</v>
      </c>
      <c r="CT356" t="e">
        <f>AND('STERLING CATALOG - FZN &amp; CHILL'!A2598,"AAAAAG72b2E=")</f>
        <v>#VALUE!</v>
      </c>
      <c r="CU356" t="e">
        <f>AND('STERLING CATALOG - FZN &amp; CHILL'!B2598,"AAAAAG72b2I=")</f>
        <v>#VALUE!</v>
      </c>
      <c r="CV356" t="e">
        <f>AND('STERLING CATALOG - FZN &amp; CHILL'!C2598,"AAAAAG72b2M=")</f>
        <v>#VALUE!</v>
      </c>
      <c r="CW356" t="e">
        <f>AND('STERLING CATALOG - FZN &amp; CHILL'!D2598,"AAAAAG72b2Q=")</f>
        <v>#VALUE!</v>
      </c>
      <c r="CX356" t="e">
        <f>AND('STERLING CATALOG - FZN &amp; CHILL'!E2598,"AAAAAG72b2U=")</f>
        <v>#VALUE!</v>
      </c>
      <c r="CY356" t="e">
        <f>AND('STERLING CATALOG - FZN &amp; CHILL'!F2598,"AAAAAG72b2Y=")</f>
        <v>#VALUE!</v>
      </c>
      <c r="CZ356" t="e">
        <f>AND('STERLING CATALOG - FZN &amp; CHILL'!G2598,"AAAAAG72b2c=")</f>
        <v>#VALUE!</v>
      </c>
      <c r="DA356" t="e">
        <f>AND('STERLING CATALOG - FZN &amp; CHILL'!H2598,"AAAAAG72b2g=")</f>
        <v>#VALUE!</v>
      </c>
      <c r="DB356" t="e">
        <f>AND('STERLING CATALOG - FZN &amp; CHILL'!I2598,"AAAAAG72b2k=")</f>
        <v>#VALUE!</v>
      </c>
      <c r="DC356" t="e">
        <f>AND('STERLING CATALOG - FZN &amp; CHILL'!J2598,"AAAAAG72b2o=")</f>
        <v>#VALUE!</v>
      </c>
      <c r="DD356">
        <f>IF('STERLING CATALOG - FZN &amp; CHILL'!2599:2599,"AAAAAG72b2s=",0)</f>
        <v>0</v>
      </c>
      <c r="DE356" t="e">
        <f>AND('STERLING CATALOG - FZN &amp; CHILL'!A2599,"AAAAAG72b2w=")</f>
        <v>#VALUE!</v>
      </c>
      <c r="DF356" t="e">
        <f>AND('STERLING CATALOG - FZN &amp; CHILL'!B2599,"AAAAAG72b20=")</f>
        <v>#VALUE!</v>
      </c>
      <c r="DG356" t="e">
        <f>AND('STERLING CATALOG - FZN &amp; CHILL'!C2599,"AAAAAG72b24=")</f>
        <v>#VALUE!</v>
      </c>
      <c r="DH356" t="e">
        <f>AND('STERLING CATALOG - FZN &amp; CHILL'!D2599,"AAAAAG72b28=")</f>
        <v>#VALUE!</v>
      </c>
      <c r="DI356" t="e">
        <f>AND('STERLING CATALOG - FZN &amp; CHILL'!E2599,"AAAAAG72b3A=")</f>
        <v>#VALUE!</v>
      </c>
      <c r="DJ356" t="e">
        <f>AND('STERLING CATALOG - FZN &amp; CHILL'!F2599,"AAAAAG72b3E=")</f>
        <v>#VALUE!</v>
      </c>
      <c r="DK356" t="e">
        <f>AND('STERLING CATALOG - FZN &amp; CHILL'!G2599,"AAAAAG72b3I=")</f>
        <v>#VALUE!</v>
      </c>
      <c r="DL356" t="e">
        <f>AND('STERLING CATALOG - FZN &amp; CHILL'!H2599,"AAAAAG72b3M=")</f>
        <v>#VALUE!</v>
      </c>
      <c r="DM356" t="e">
        <f>AND('STERLING CATALOG - FZN &amp; CHILL'!I2599,"AAAAAG72b3Q=")</f>
        <v>#VALUE!</v>
      </c>
      <c r="DN356" t="e">
        <f>AND('STERLING CATALOG - FZN &amp; CHILL'!J2599,"AAAAAG72b3U=")</f>
        <v>#VALUE!</v>
      </c>
      <c r="DO356">
        <f>IF('STERLING CATALOG - FZN &amp; CHILL'!2600:2600,"AAAAAG72b3Y=",0)</f>
        <v>0</v>
      </c>
      <c r="DP356" t="e">
        <f>AND('STERLING CATALOG - FZN &amp; CHILL'!A2600,"AAAAAG72b3c=")</f>
        <v>#VALUE!</v>
      </c>
      <c r="DQ356" t="e">
        <f>AND('STERLING CATALOG - FZN &amp; CHILL'!B2600,"AAAAAG72b3g=")</f>
        <v>#VALUE!</v>
      </c>
      <c r="DR356" t="e">
        <f>AND('STERLING CATALOG - FZN &amp; CHILL'!C2600,"AAAAAG72b3k=")</f>
        <v>#VALUE!</v>
      </c>
      <c r="DS356" t="e">
        <f>AND('STERLING CATALOG - FZN &amp; CHILL'!D2600,"AAAAAG72b3o=")</f>
        <v>#VALUE!</v>
      </c>
      <c r="DT356" t="e">
        <f>AND('STERLING CATALOG - FZN &amp; CHILL'!E2600,"AAAAAG72b3s=")</f>
        <v>#VALUE!</v>
      </c>
      <c r="DU356" t="e">
        <f>AND('STERLING CATALOG - FZN &amp; CHILL'!F2600,"AAAAAG72b3w=")</f>
        <v>#VALUE!</v>
      </c>
      <c r="DV356" t="e">
        <f>AND('STERLING CATALOG - FZN &amp; CHILL'!G2600,"AAAAAG72b30=")</f>
        <v>#VALUE!</v>
      </c>
      <c r="DW356" t="e">
        <f>AND('STERLING CATALOG - FZN &amp; CHILL'!H2600,"AAAAAG72b34=")</f>
        <v>#VALUE!</v>
      </c>
      <c r="DX356" t="e">
        <f>AND('STERLING CATALOG - FZN &amp; CHILL'!I2600,"AAAAAG72b38=")</f>
        <v>#VALUE!</v>
      </c>
      <c r="DY356" t="e">
        <f>AND('STERLING CATALOG - FZN &amp; CHILL'!J2600,"AAAAAG72b4A=")</f>
        <v>#VALUE!</v>
      </c>
      <c r="DZ356">
        <f>IF('STERLING CATALOG - FZN &amp; CHILL'!2601:2601,"AAAAAG72b4E=",0)</f>
        <v>0</v>
      </c>
      <c r="EA356" t="e">
        <f>AND('STERLING CATALOG - FZN &amp; CHILL'!A2601,"AAAAAG72b4I=")</f>
        <v>#VALUE!</v>
      </c>
      <c r="EB356" t="e">
        <f>AND('STERLING CATALOG - FZN &amp; CHILL'!B2601,"AAAAAG72b4M=")</f>
        <v>#VALUE!</v>
      </c>
      <c r="EC356" t="e">
        <f>AND('STERLING CATALOG - FZN &amp; CHILL'!C2601,"AAAAAG72b4Q=")</f>
        <v>#VALUE!</v>
      </c>
      <c r="ED356" t="e">
        <f>AND('STERLING CATALOG - FZN &amp; CHILL'!D2601,"AAAAAG72b4U=")</f>
        <v>#VALUE!</v>
      </c>
      <c r="EE356" t="e">
        <f>AND('STERLING CATALOG - FZN &amp; CHILL'!E2601,"AAAAAG72b4Y=")</f>
        <v>#VALUE!</v>
      </c>
      <c r="EF356" t="e">
        <f>AND('STERLING CATALOG - FZN &amp; CHILL'!F2601,"AAAAAG72b4c=")</f>
        <v>#VALUE!</v>
      </c>
      <c r="EG356" t="e">
        <f>AND('STERLING CATALOG - FZN &amp; CHILL'!G2601,"AAAAAG72b4g=")</f>
        <v>#VALUE!</v>
      </c>
      <c r="EH356" t="e">
        <f>AND('STERLING CATALOG - FZN &amp; CHILL'!H2601,"AAAAAG72b4k=")</f>
        <v>#VALUE!</v>
      </c>
      <c r="EI356" t="e">
        <f>AND('STERLING CATALOG - FZN &amp; CHILL'!I2601,"AAAAAG72b4o=")</f>
        <v>#VALUE!</v>
      </c>
      <c r="EJ356" t="e">
        <f>AND('STERLING CATALOG - FZN &amp; CHILL'!J2601,"AAAAAG72b4s=")</f>
        <v>#VALUE!</v>
      </c>
      <c r="EK356">
        <f>IF('STERLING CATALOG - FZN &amp; CHILL'!2602:2602,"AAAAAG72b4w=",0)</f>
        <v>0</v>
      </c>
      <c r="EL356" t="e">
        <f>AND('STERLING CATALOG - FZN &amp; CHILL'!A2602,"AAAAAG72b40=")</f>
        <v>#VALUE!</v>
      </c>
      <c r="EM356" t="e">
        <f>AND('STERLING CATALOG - FZN &amp; CHILL'!B2602,"AAAAAG72b44=")</f>
        <v>#VALUE!</v>
      </c>
      <c r="EN356" t="e">
        <f>AND('STERLING CATALOG - FZN &amp; CHILL'!C2602,"AAAAAG72b48=")</f>
        <v>#VALUE!</v>
      </c>
      <c r="EO356" t="e">
        <f>AND('STERLING CATALOG - FZN &amp; CHILL'!D2602,"AAAAAG72b5A=")</f>
        <v>#VALUE!</v>
      </c>
      <c r="EP356" t="e">
        <f>AND('STERLING CATALOG - FZN &amp; CHILL'!E2602,"AAAAAG72b5E=")</f>
        <v>#VALUE!</v>
      </c>
      <c r="EQ356" t="e">
        <f>AND('STERLING CATALOG - FZN &amp; CHILL'!F2602,"AAAAAG72b5I=")</f>
        <v>#VALUE!</v>
      </c>
      <c r="ER356" t="e">
        <f>AND('STERLING CATALOG - FZN &amp; CHILL'!G2602,"AAAAAG72b5M=")</f>
        <v>#VALUE!</v>
      </c>
      <c r="ES356" t="e">
        <f>AND('STERLING CATALOG - FZN &amp; CHILL'!H2602,"AAAAAG72b5Q=")</f>
        <v>#VALUE!</v>
      </c>
      <c r="ET356" t="e">
        <f>AND('STERLING CATALOG - FZN &amp; CHILL'!I2602,"AAAAAG72b5U=")</f>
        <v>#VALUE!</v>
      </c>
      <c r="EU356" t="e">
        <f>AND('STERLING CATALOG - FZN &amp; CHILL'!J2602,"AAAAAG72b5Y=")</f>
        <v>#VALUE!</v>
      </c>
      <c r="EV356">
        <f>IF('STERLING CATALOG - FZN &amp; CHILL'!2603:2603,"AAAAAG72b5c=",0)</f>
        <v>0</v>
      </c>
      <c r="EW356" t="e">
        <f>AND('STERLING CATALOG - FZN &amp; CHILL'!A2603,"AAAAAG72b5g=")</f>
        <v>#VALUE!</v>
      </c>
      <c r="EX356" t="e">
        <f>AND('STERLING CATALOG - FZN &amp; CHILL'!B2603,"AAAAAG72b5k=")</f>
        <v>#VALUE!</v>
      </c>
      <c r="EY356" t="e">
        <f>AND('STERLING CATALOG - FZN &amp; CHILL'!C2603,"AAAAAG72b5o=")</f>
        <v>#VALUE!</v>
      </c>
      <c r="EZ356" t="e">
        <f>AND('STERLING CATALOG - FZN &amp; CHILL'!D2603,"AAAAAG72b5s=")</f>
        <v>#VALUE!</v>
      </c>
      <c r="FA356" t="e">
        <f>AND('STERLING CATALOG - FZN &amp; CHILL'!E2603,"AAAAAG72b5w=")</f>
        <v>#VALUE!</v>
      </c>
      <c r="FB356" t="e">
        <f>AND('STERLING CATALOG - FZN &amp; CHILL'!F2603,"AAAAAG72b50=")</f>
        <v>#VALUE!</v>
      </c>
      <c r="FC356" t="e">
        <f>AND('STERLING CATALOG - FZN &amp; CHILL'!G2603,"AAAAAG72b54=")</f>
        <v>#VALUE!</v>
      </c>
      <c r="FD356" t="e">
        <f>AND('STERLING CATALOG - FZN &amp; CHILL'!H2603,"AAAAAG72b58=")</f>
        <v>#VALUE!</v>
      </c>
      <c r="FE356" t="e">
        <f>AND('STERLING CATALOG - FZN &amp; CHILL'!I2603,"AAAAAG72b6A=")</f>
        <v>#VALUE!</v>
      </c>
      <c r="FF356" t="e">
        <f>AND('STERLING CATALOG - FZN &amp; CHILL'!J2603,"AAAAAG72b6E=")</f>
        <v>#VALUE!</v>
      </c>
      <c r="FG356">
        <f>IF('STERLING CATALOG - FZN &amp; CHILL'!2604:2604,"AAAAAG72b6I=",0)</f>
        <v>0</v>
      </c>
      <c r="FH356" t="e">
        <f>AND('STERLING CATALOG - FZN &amp; CHILL'!A2604,"AAAAAG72b6M=")</f>
        <v>#VALUE!</v>
      </c>
      <c r="FI356" t="e">
        <f>AND('STERLING CATALOG - FZN &amp; CHILL'!B2604,"AAAAAG72b6Q=")</f>
        <v>#VALUE!</v>
      </c>
      <c r="FJ356" t="e">
        <f>AND('STERLING CATALOG - FZN &amp; CHILL'!C2604,"AAAAAG72b6U=")</f>
        <v>#VALUE!</v>
      </c>
      <c r="FK356" t="e">
        <f>AND('STERLING CATALOG - FZN &amp; CHILL'!D2604,"AAAAAG72b6Y=")</f>
        <v>#VALUE!</v>
      </c>
      <c r="FL356" t="e">
        <f>AND('STERLING CATALOG - FZN &amp; CHILL'!E2604,"AAAAAG72b6c=")</f>
        <v>#VALUE!</v>
      </c>
      <c r="FM356" t="e">
        <f>AND('STERLING CATALOG - FZN &amp; CHILL'!F2604,"AAAAAG72b6g=")</f>
        <v>#VALUE!</v>
      </c>
      <c r="FN356" t="e">
        <f>AND('STERLING CATALOG - FZN &amp; CHILL'!G2604,"AAAAAG72b6k=")</f>
        <v>#VALUE!</v>
      </c>
      <c r="FO356" t="e">
        <f>AND('STERLING CATALOG - FZN &amp; CHILL'!H2604,"AAAAAG72b6o=")</f>
        <v>#VALUE!</v>
      </c>
      <c r="FP356" t="e">
        <f>AND('STERLING CATALOG - FZN &amp; CHILL'!I2604,"AAAAAG72b6s=")</f>
        <v>#VALUE!</v>
      </c>
      <c r="FQ356" t="e">
        <f>AND('STERLING CATALOG - FZN &amp; CHILL'!J2604,"AAAAAG72b6w=")</f>
        <v>#VALUE!</v>
      </c>
      <c r="FR356">
        <f>IF('STERLING CATALOG - FZN &amp; CHILL'!2605:2605,"AAAAAG72b60=",0)</f>
        <v>0</v>
      </c>
      <c r="FS356" t="e">
        <f>AND('STERLING CATALOG - FZN &amp; CHILL'!A2605,"AAAAAG72b64=")</f>
        <v>#VALUE!</v>
      </c>
      <c r="FT356" t="e">
        <f>AND('STERLING CATALOG - FZN &amp; CHILL'!B2605,"AAAAAG72b68=")</f>
        <v>#VALUE!</v>
      </c>
      <c r="FU356" t="e">
        <f>AND('STERLING CATALOG - FZN &amp; CHILL'!C2605,"AAAAAG72b7A=")</f>
        <v>#VALUE!</v>
      </c>
      <c r="FV356" t="e">
        <f>AND('STERLING CATALOG - FZN &amp; CHILL'!D2605,"AAAAAG72b7E=")</f>
        <v>#VALUE!</v>
      </c>
      <c r="FW356" t="e">
        <f>AND('STERLING CATALOG - FZN &amp; CHILL'!E2605,"AAAAAG72b7I=")</f>
        <v>#VALUE!</v>
      </c>
      <c r="FX356" t="e">
        <f>AND('STERLING CATALOG - FZN &amp; CHILL'!F2605,"AAAAAG72b7M=")</f>
        <v>#VALUE!</v>
      </c>
      <c r="FY356" t="e">
        <f>AND('STERLING CATALOG - FZN &amp; CHILL'!G2605,"AAAAAG72b7Q=")</f>
        <v>#VALUE!</v>
      </c>
      <c r="FZ356" t="e">
        <f>AND('STERLING CATALOG - FZN &amp; CHILL'!H2605,"AAAAAG72b7U=")</f>
        <v>#VALUE!</v>
      </c>
      <c r="GA356" t="e">
        <f>AND('STERLING CATALOG - FZN &amp; CHILL'!I2605,"AAAAAG72b7Y=")</f>
        <v>#VALUE!</v>
      </c>
      <c r="GB356" t="e">
        <f>AND('STERLING CATALOG - FZN &amp; CHILL'!J2605,"AAAAAG72b7c=")</f>
        <v>#VALUE!</v>
      </c>
      <c r="GC356">
        <f>IF('STERLING CATALOG - FZN &amp; CHILL'!2606:2606,"AAAAAG72b7g=",0)</f>
        <v>0</v>
      </c>
      <c r="GD356" t="e">
        <f>AND('STERLING CATALOG - FZN &amp; CHILL'!A2606,"AAAAAG72b7k=")</f>
        <v>#VALUE!</v>
      </c>
      <c r="GE356" t="e">
        <f>AND('STERLING CATALOG - FZN &amp; CHILL'!B2606,"AAAAAG72b7o=")</f>
        <v>#VALUE!</v>
      </c>
      <c r="GF356" t="e">
        <f>AND('STERLING CATALOG - FZN &amp; CHILL'!C2606,"AAAAAG72b7s=")</f>
        <v>#VALUE!</v>
      </c>
      <c r="GG356" t="e">
        <f>AND('STERLING CATALOG - FZN &amp; CHILL'!D2606,"AAAAAG72b7w=")</f>
        <v>#VALUE!</v>
      </c>
      <c r="GH356" t="e">
        <f>AND('STERLING CATALOG - FZN &amp; CHILL'!E2606,"AAAAAG72b70=")</f>
        <v>#VALUE!</v>
      </c>
      <c r="GI356" t="e">
        <f>AND('STERLING CATALOG - FZN &amp; CHILL'!F2606,"AAAAAG72b74=")</f>
        <v>#VALUE!</v>
      </c>
      <c r="GJ356" t="e">
        <f>AND('STERLING CATALOG - FZN &amp; CHILL'!G2606,"AAAAAG72b78=")</f>
        <v>#VALUE!</v>
      </c>
      <c r="GK356" t="e">
        <f>AND('STERLING CATALOG - FZN &amp; CHILL'!H2606,"AAAAAG72b8A=")</f>
        <v>#VALUE!</v>
      </c>
      <c r="GL356" t="e">
        <f>AND('STERLING CATALOG - FZN &amp; CHILL'!I2606,"AAAAAG72b8E=")</f>
        <v>#VALUE!</v>
      </c>
      <c r="GM356" t="e">
        <f>AND('STERLING CATALOG - FZN &amp; CHILL'!J2606,"AAAAAG72b8I=")</f>
        <v>#VALUE!</v>
      </c>
      <c r="GN356">
        <f>IF('STERLING CATALOG - FZN &amp; CHILL'!2607:2607,"AAAAAG72b8M=",0)</f>
        <v>0</v>
      </c>
      <c r="GO356" t="e">
        <f>AND('STERLING CATALOG - FZN &amp; CHILL'!A2607,"AAAAAG72b8Q=")</f>
        <v>#VALUE!</v>
      </c>
      <c r="GP356" t="e">
        <f>AND('STERLING CATALOG - FZN &amp; CHILL'!B2607,"AAAAAG72b8U=")</f>
        <v>#VALUE!</v>
      </c>
      <c r="GQ356" t="e">
        <f>AND('STERLING CATALOG - FZN &amp; CHILL'!C2607,"AAAAAG72b8Y=")</f>
        <v>#VALUE!</v>
      </c>
      <c r="GR356" t="e">
        <f>AND('STERLING CATALOG - FZN &amp; CHILL'!D2607,"AAAAAG72b8c=")</f>
        <v>#VALUE!</v>
      </c>
      <c r="GS356" t="e">
        <f>AND('STERLING CATALOG - FZN &amp; CHILL'!E2607,"AAAAAG72b8g=")</f>
        <v>#VALUE!</v>
      </c>
      <c r="GT356" t="e">
        <f>AND('STERLING CATALOG - FZN &amp; CHILL'!F2607,"AAAAAG72b8k=")</f>
        <v>#VALUE!</v>
      </c>
      <c r="GU356" t="e">
        <f>AND('STERLING CATALOG - FZN &amp; CHILL'!G2607,"AAAAAG72b8o=")</f>
        <v>#VALUE!</v>
      </c>
      <c r="GV356" t="e">
        <f>AND('STERLING CATALOG - FZN &amp; CHILL'!H2607,"AAAAAG72b8s=")</f>
        <v>#VALUE!</v>
      </c>
      <c r="GW356" t="e">
        <f>AND('STERLING CATALOG - FZN &amp; CHILL'!I2607,"AAAAAG72b8w=")</f>
        <v>#VALUE!</v>
      </c>
      <c r="GX356" t="e">
        <f>AND('STERLING CATALOG - FZN &amp; CHILL'!J2607,"AAAAAG72b80=")</f>
        <v>#VALUE!</v>
      </c>
      <c r="GY356">
        <f>IF('STERLING CATALOG - FZN &amp; CHILL'!2608:2608,"AAAAAG72b84=",0)</f>
        <v>0</v>
      </c>
      <c r="GZ356" t="e">
        <f>AND('STERLING CATALOG - FZN &amp; CHILL'!A2608,"AAAAAG72b88=")</f>
        <v>#VALUE!</v>
      </c>
      <c r="HA356" t="e">
        <f>AND('STERLING CATALOG - FZN &amp; CHILL'!B2608,"AAAAAG72b9A=")</f>
        <v>#VALUE!</v>
      </c>
      <c r="HB356" t="e">
        <f>AND('STERLING CATALOG - FZN &amp; CHILL'!C2608,"AAAAAG72b9E=")</f>
        <v>#VALUE!</v>
      </c>
      <c r="HC356" t="e">
        <f>AND('STERLING CATALOG - FZN &amp; CHILL'!D2608,"AAAAAG72b9I=")</f>
        <v>#VALUE!</v>
      </c>
      <c r="HD356" t="e">
        <f>AND('STERLING CATALOG - FZN &amp; CHILL'!E2608,"AAAAAG72b9M=")</f>
        <v>#VALUE!</v>
      </c>
      <c r="HE356" t="e">
        <f>AND('STERLING CATALOG - FZN &amp; CHILL'!F2608,"AAAAAG72b9Q=")</f>
        <v>#VALUE!</v>
      </c>
      <c r="HF356" t="e">
        <f>AND('STERLING CATALOG - FZN &amp; CHILL'!G2608,"AAAAAG72b9U=")</f>
        <v>#VALUE!</v>
      </c>
      <c r="HG356" t="e">
        <f>AND('STERLING CATALOG - FZN &amp; CHILL'!H2608,"AAAAAG72b9Y=")</f>
        <v>#VALUE!</v>
      </c>
      <c r="HH356" t="e">
        <f>AND('STERLING CATALOG - FZN &amp; CHILL'!I2608,"AAAAAG72b9c=")</f>
        <v>#VALUE!</v>
      </c>
      <c r="HI356" t="e">
        <f>AND('STERLING CATALOG - FZN &amp; CHILL'!J2608,"AAAAAG72b9g=")</f>
        <v>#VALUE!</v>
      </c>
      <c r="HJ356">
        <f>IF('STERLING CATALOG - FZN &amp; CHILL'!2609:2609,"AAAAAG72b9k=",0)</f>
        <v>0</v>
      </c>
      <c r="HK356" t="e">
        <f>AND('STERLING CATALOG - FZN &amp; CHILL'!A2609,"AAAAAG72b9o=")</f>
        <v>#VALUE!</v>
      </c>
      <c r="HL356" t="e">
        <f>AND('STERLING CATALOG - FZN &amp; CHILL'!B2609,"AAAAAG72b9s=")</f>
        <v>#VALUE!</v>
      </c>
      <c r="HM356" t="e">
        <f>AND('STERLING CATALOG - FZN &amp; CHILL'!C2609,"AAAAAG72b9w=")</f>
        <v>#VALUE!</v>
      </c>
      <c r="HN356" t="e">
        <f>AND('STERLING CATALOG - FZN &amp; CHILL'!D2609,"AAAAAG72b90=")</f>
        <v>#VALUE!</v>
      </c>
      <c r="HO356" t="e">
        <f>AND('STERLING CATALOG - FZN &amp; CHILL'!E2609,"AAAAAG72b94=")</f>
        <v>#VALUE!</v>
      </c>
      <c r="HP356" t="e">
        <f>AND('STERLING CATALOG - FZN &amp; CHILL'!F2609,"AAAAAG72b98=")</f>
        <v>#VALUE!</v>
      </c>
      <c r="HQ356" t="e">
        <f>AND('STERLING CATALOG - FZN &amp; CHILL'!G2609,"AAAAAG72b+A=")</f>
        <v>#VALUE!</v>
      </c>
      <c r="HR356" t="e">
        <f>AND('STERLING CATALOG - FZN &amp; CHILL'!H2609,"AAAAAG72b+E=")</f>
        <v>#VALUE!</v>
      </c>
      <c r="HS356" t="e">
        <f>AND('STERLING CATALOG - FZN &amp; CHILL'!I2609,"AAAAAG72b+I=")</f>
        <v>#VALUE!</v>
      </c>
      <c r="HT356" t="e">
        <f>AND('STERLING CATALOG - FZN &amp; CHILL'!J2609,"AAAAAG72b+M=")</f>
        <v>#VALUE!</v>
      </c>
      <c r="HU356">
        <f>IF('STERLING CATALOG - FZN &amp; CHILL'!2610:2610,"AAAAAG72b+Q=",0)</f>
        <v>0</v>
      </c>
      <c r="HV356" t="e">
        <f>AND('STERLING CATALOG - FZN &amp; CHILL'!A2610,"AAAAAG72b+U=")</f>
        <v>#VALUE!</v>
      </c>
      <c r="HW356" t="e">
        <f>AND('STERLING CATALOG - FZN &amp; CHILL'!B2610,"AAAAAG72b+Y=")</f>
        <v>#VALUE!</v>
      </c>
      <c r="HX356" t="e">
        <f>AND('STERLING CATALOG - FZN &amp; CHILL'!C2610,"AAAAAG72b+c=")</f>
        <v>#VALUE!</v>
      </c>
      <c r="HY356" t="e">
        <f>AND('STERLING CATALOG - FZN &amp; CHILL'!D2610,"AAAAAG72b+g=")</f>
        <v>#VALUE!</v>
      </c>
      <c r="HZ356" t="e">
        <f>AND('STERLING CATALOG - FZN &amp; CHILL'!E2610,"AAAAAG72b+k=")</f>
        <v>#VALUE!</v>
      </c>
      <c r="IA356" t="e">
        <f>AND('STERLING CATALOG - FZN &amp; CHILL'!F2610,"AAAAAG72b+o=")</f>
        <v>#VALUE!</v>
      </c>
      <c r="IB356" t="e">
        <f>AND('STERLING CATALOG - FZN &amp; CHILL'!G2610,"AAAAAG72b+s=")</f>
        <v>#VALUE!</v>
      </c>
      <c r="IC356" t="e">
        <f>AND('STERLING CATALOG - FZN &amp; CHILL'!H2610,"AAAAAG72b+w=")</f>
        <v>#VALUE!</v>
      </c>
      <c r="ID356" t="e">
        <f>AND('STERLING CATALOG - FZN &amp; CHILL'!I2610,"AAAAAG72b+0=")</f>
        <v>#VALUE!</v>
      </c>
      <c r="IE356" t="e">
        <f>AND('STERLING CATALOG - FZN &amp; CHILL'!J2610,"AAAAAG72b+4=")</f>
        <v>#VALUE!</v>
      </c>
      <c r="IF356">
        <f>IF('STERLING CATALOG - FZN &amp; CHILL'!2611:2611,"AAAAAG72b+8=",0)</f>
        <v>0</v>
      </c>
      <c r="IG356" t="e">
        <f>AND('STERLING CATALOG - FZN &amp; CHILL'!A2611,"AAAAAG72b/A=")</f>
        <v>#VALUE!</v>
      </c>
      <c r="IH356" t="e">
        <f>AND('STERLING CATALOG - FZN &amp; CHILL'!B2611,"AAAAAG72b/E=")</f>
        <v>#VALUE!</v>
      </c>
      <c r="II356" t="e">
        <f>AND('STERLING CATALOG - FZN &amp; CHILL'!C2611,"AAAAAG72b/I=")</f>
        <v>#VALUE!</v>
      </c>
      <c r="IJ356" t="e">
        <f>AND('STERLING CATALOG - FZN &amp; CHILL'!D2611,"AAAAAG72b/M=")</f>
        <v>#VALUE!</v>
      </c>
      <c r="IK356" t="e">
        <f>AND('STERLING CATALOG - FZN &amp; CHILL'!E2611,"AAAAAG72b/Q=")</f>
        <v>#VALUE!</v>
      </c>
      <c r="IL356" t="e">
        <f>AND('STERLING CATALOG - FZN &amp; CHILL'!F2611,"AAAAAG72b/U=")</f>
        <v>#VALUE!</v>
      </c>
      <c r="IM356" t="e">
        <f>AND('STERLING CATALOG - FZN &amp; CHILL'!G2611,"AAAAAG72b/Y=")</f>
        <v>#VALUE!</v>
      </c>
      <c r="IN356" t="e">
        <f>AND('STERLING CATALOG - FZN &amp; CHILL'!H2611,"AAAAAG72b/c=")</f>
        <v>#VALUE!</v>
      </c>
      <c r="IO356" t="e">
        <f>AND('STERLING CATALOG - FZN &amp; CHILL'!I2611,"AAAAAG72b/g=")</f>
        <v>#VALUE!</v>
      </c>
      <c r="IP356" t="e">
        <f>AND('STERLING CATALOG - FZN &amp; CHILL'!J2611,"AAAAAG72b/k=")</f>
        <v>#VALUE!</v>
      </c>
      <c r="IQ356">
        <f>IF('STERLING CATALOG - FZN &amp; CHILL'!2612:2612,"AAAAAG72b/o=",0)</f>
        <v>0</v>
      </c>
      <c r="IR356" t="e">
        <f>AND('STERLING CATALOG - FZN &amp; CHILL'!A2612,"AAAAAG72b/s=")</f>
        <v>#VALUE!</v>
      </c>
      <c r="IS356" t="e">
        <f>AND('STERLING CATALOG - FZN &amp; CHILL'!B2612,"AAAAAG72b/w=")</f>
        <v>#VALUE!</v>
      </c>
      <c r="IT356" t="e">
        <f>AND('STERLING CATALOG - FZN &amp; CHILL'!C2612,"AAAAAG72b/0=")</f>
        <v>#VALUE!</v>
      </c>
      <c r="IU356" t="e">
        <f>AND('STERLING CATALOG - FZN &amp; CHILL'!D2612,"AAAAAG72b/4=")</f>
        <v>#VALUE!</v>
      </c>
      <c r="IV356" t="e">
        <f>AND('STERLING CATALOG - FZN &amp; CHILL'!E2612,"AAAAAG72b/8=")</f>
        <v>#VALUE!</v>
      </c>
    </row>
    <row r="357" spans="1:256">
      <c r="A357" t="e">
        <f>AND('STERLING CATALOG - FZN &amp; CHILL'!F2612,"AAAAAE7v2wA=")</f>
        <v>#VALUE!</v>
      </c>
      <c r="B357" t="e">
        <f>AND('STERLING CATALOG - FZN &amp; CHILL'!G2612,"AAAAAE7v2wE=")</f>
        <v>#VALUE!</v>
      </c>
      <c r="C357" t="e">
        <f>AND('STERLING CATALOG - FZN &amp; CHILL'!H2612,"AAAAAE7v2wI=")</f>
        <v>#VALUE!</v>
      </c>
      <c r="D357" t="e">
        <f>AND('STERLING CATALOG - FZN &amp; CHILL'!I2612,"AAAAAE7v2wM=")</f>
        <v>#VALUE!</v>
      </c>
      <c r="E357" t="e">
        <f>AND('STERLING CATALOG - FZN &amp; CHILL'!J2612,"AAAAAE7v2wQ=")</f>
        <v>#VALUE!</v>
      </c>
      <c r="F357" t="str">
        <f>IF('STERLING CATALOG - FZN &amp; CHILL'!2613:2613,"AAAAAE7v2wU=",0)</f>
        <v>AAAAAE7v2wU=</v>
      </c>
      <c r="G357" t="e">
        <f>AND('STERLING CATALOG - FZN &amp; CHILL'!A2613,"AAAAAE7v2wY=")</f>
        <v>#VALUE!</v>
      </c>
      <c r="H357" t="e">
        <f>AND('STERLING CATALOG - FZN &amp; CHILL'!B2613,"AAAAAE7v2wc=")</f>
        <v>#VALUE!</v>
      </c>
      <c r="I357" t="e">
        <f>AND('STERLING CATALOG - FZN &amp; CHILL'!C2613,"AAAAAE7v2wg=")</f>
        <v>#VALUE!</v>
      </c>
      <c r="J357" t="e">
        <f>AND('STERLING CATALOG - FZN &amp; CHILL'!D2613,"AAAAAE7v2wk=")</f>
        <v>#VALUE!</v>
      </c>
      <c r="K357" t="e">
        <f>AND('STERLING CATALOG - FZN &amp; CHILL'!E2613,"AAAAAE7v2wo=")</f>
        <v>#VALUE!</v>
      </c>
      <c r="L357" t="e">
        <f>AND('STERLING CATALOG - FZN &amp; CHILL'!F2613,"AAAAAE7v2ws=")</f>
        <v>#VALUE!</v>
      </c>
      <c r="M357" t="e">
        <f>AND('STERLING CATALOG - FZN &amp; CHILL'!G2613,"AAAAAE7v2ww=")</f>
        <v>#VALUE!</v>
      </c>
      <c r="N357" t="e">
        <f>AND('STERLING CATALOG - FZN &amp; CHILL'!H2613,"AAAAAE7v2w0=")</f>
        <v>#VALUE!</v>
      </c>
      <c r="O357" t="e">
        <f>AND('STERLING CATALOG - FZN &amp; CHILL'!I2613,"AAAAAE7v2w4=")</f>
        <v>#VALUE!</v>
      </c>
      <c r="P357" t="e">
        <f>AND('STERLING CATALOG - FZN &amp; CHILL'!J2613,"AAAAAE7v2w8=")</f>
        <v>#VALUE!</v>
      </c>
      <c r="Q357">
        <f>IF('STERLING CATALOG - FZN &amp; CHILL'!2614:2614,"AAAAAE7v2xA=",0)</f>
        <v>0</v>
      </c>
      <c r="R357" t="e">
        <f>AND('STERLING CATALOG - FZN &amp; CHILL'!A2614,"AAAAAE7v2xE=")</f>
        <v>#VALUE!</v>
      </c>
      <c r="S357" t="e">
        <f>AND('STERLING CATALOG - FZN &amp; CHILL'!B2614,"AAAAAE7v2xI=")</f>
        <v>#VALUE!</v>
      </c>
      <c r="T357" t="e">
        <f>AND('STERLING CATALOG - FZN &amp; CHILL'!C2614,"AAAAAE7v2xM=")</f>
        <v>#VALUE!</v>
      </c>
      <c r="U357" t="e">
        <f>AND('STERLING CATALOG - FZN &amp; CHILL'!D2614,"AAAAAE7v2xQ=")</f>
        <v>#VALUE!</v>
      </c>
      <c r="V357" t="e">
        <f>AND('STERLING CATALOG - FZN &amp; CHILL'!E2614,"AAAAAE7v2xU=")</f>
        <v>#VALUE!</v>
      </c>
      <c r="W357" t="e">
        <f>AND('STERLING CATALOG - FZN &amp; CHILL'!F2614,"AAAAAE7v2xY=")</f>
        <v>#VALUE!</v>
      </c>
      <c r="X357" t="e">
        <f>AND('STERLING CATALOG - FZN &amp; CHILL'!G2614,"AAAAAE7v2xc=")</f>
        <v>#VALUE!</v>
      </c>
      <c r="Y357" t="e">
        <f>AND('STERLING CATALOG - FZN &amp; CHILL'!H2614,"AAAAAE7v2xg=")</f>
        <v>#VALUE!</v>
      </c>
      <c r="Z357" t="e">
        <f>AND('STERLING CATALOG - FZN &amp; CHILL'!I2614,"AAAAAE7v2xk=")</f>
        <v>#VALUE!</v>
      </c>
      <c r="AA357" t="e">
        <f>AND('STERLING CATALOG - FZN &amp; CHILL'!J2614,"AAAAAE7v2xo=")</f>
        <v>#VALUE!</v>
      </c>
      <c r="AB357">
        <f>IF('STERLING CATALOG - FZN &amp; CHILL'!2615:2615,"AAAAAE7v2xs=",0)</f>
        <v>0</v>
      </c>
      <c r="AC357" t="e">
        <f>AND('STERLING CATALOG - FZN &amp; CHILL'!A2615,"AAAAAE7v2xw=")</f>
        <v>#VALUE!</v>
      </c>
      <c r="AD357" t="e">
        <f>AND('STERLING CATALOG - FZN &amp; CHILL'!B2615,"AAAAAE7v2x0=")</f>
        <v>#VALUE!</v>
      </c>
      <c r="AE357" t="e">
        <f>AND('STERLING CATALOG - FZN &amp; CHILL'!C2615,"AAAAAE7v2x4=")</f>
        <v>#VALUE!</v>
      </c>
      <c r="AF357" t="e">
        <f>AND('STERLING CATALOG - FZN &amp; CHILL'!D2615,"AAAAAE7v2x8=")</f>
        <v>#VALUE!</v>
      </c>
      <c r="AG357" t="e">
        <f>AND('STERLING CATALOG - FZN &amp; CHILL'!E2615,"AAAAAE7v2yA=")</f>
        <v>#VALUE!</v>
      </c>
      <c r="AH357" t="e">
        <f>AND('STERLING CATALOG - FZN &amp; CHILL'!F2615,"AAAAAE7v2yE=")</f>
        <v>#VALUE!</v>
      </c>
      <c r="AI357" t="e">
        <f>AND('STERLING CATALOG - FZN &amp; CHILL'!G2615,"AAAAAE7v2yI=")</f>
        <v>#VALUE!</v>
      </c>
      <c r="AJ357" t="e">
        <f>AND('STERLING CATALOG - FZN &amp; CHILL'!H2615,"AAAAAE7v2yM=")</f>
        <v>#VALUE!</v>
      </c>
      <c r="AK357" t="e">
        <f>AND('STERLING CATALOG - FZN &amp; CHILL'!I2615,"AAAAAE7v2yQ=")</f>
        <v>#VALUE!</v>
      </c>
      <c r="AL357" t="e">
        <f>AND('STERLING CATALOG - FZN &amp; CHILL'!J2615,"AAAAAE7v2yU=")</f>
        <v>#VALUE!</v>
      </c>
      <c r="AM357">
        <f>IF('STERLING CATALOG - FZN &amp; CHILL'!2616:2616,"AAAAAE7v2yY=",0)</f>
        <v>0</v>
      </c>
      <c r="AN357" t="e">
        <f>AND('STERLING CATALOG - FZN &amp; CHILL'!A2616,"AAAAAE7v2yc=")</f>
        <v>#VALUE!</v>
      </c>
      <c r="AO357" t="e">
        <f>AND('STERLING CATALOG - FZN &amp; CHILL'!B2616,"AAAAAE7v2yg=")</f>
        <v>#VALUE!</v>
      </c>
      <c r="AP357" t="e">
        <f>AND('STERLING CATALOG - FZN &amp; CHILL'!C2616,"AAAAAE7v2yk=")</f>
        <v>#VALUE!</v>
      </c>
      <c r="AQ357" t="e">
        <f>AND('STERLING CATALOG - FZN &amp; CHILL'!D2616,"AAAAAE7v2yo=")</f>
        <v>#VALUE!</v>
      </c>
      <c r="AR357" t="e">
        <f>AND('STERLING CATALOG - FZN &amp; CHILL'!E2616,"AAAAAE7v2ys=")</f>
        <v>#VALUE!</v>
      </c>
      <c r="AS357" t="e">
        <f>AND('STERLING CATALOG - FZN &amp; CHILL'!F2616,"AAAAAE7v2yw=")</f>
        <v>#VALUE!</v>
      </c>
      <c r="AT357" t="e">
        <f>AND('STERLING CATALOG - FZN &amp; CHILL'!G2616,"AAAAAE7v2y0=")</f>
        <v>#VALUE!</v>
      </c>
      <c r="AU357" t="e">
        <f>AND('STERLING CATALOG - FZN &amp; CHILL'!H2616,"AAAAAE7v2y4=")</f>
        <v>#VALUE!</v>
      </c>
      <c r="AV357" t="e">
        <f>AND('STERLING CATALOG - FZN &amp; CHILL'!I2616,"AAAAAE7v2y8=")</f>
        <v>#VALUE!</v>
      </c>
      <c r="AW357" t="e">
        <f>AND('STERLING CATALOG - FZN &amp; CHILL'!J2616,"AAAAAE7v2zA=")</f>
        <v>#VALUE!</v>
      </c>
      <c r="AX357">
        <f>IF('STERLING CATALOG - FZN &amp; CHILL'!2617:2617,"AAAAAE7v2zE=",0)</f>
        <v>0</v>
      </c>
      <c r="AY357" t="e">
        <f>AND('STERLING CATALOG - FZN &amp; CHILL'!A2617,"AAAAAE7v2zI=")</f>
        <v>#VALUE!</v>
      </c>
      <c r="AZ357" t="e">
        <f>AND('STERLING CATALOG - FZN &amp; CHILL'!B2617,"AAAAAE7v2zM=")</f>
        <v>#VALUE!</v>
      </c>
      <c r="BA357" t="e">
        <f>AND('STERLING CATALOG - FZN &amp; CHILL'!C2617,"AAAAAE7v2zQ=")</f>
        <v>#VALUE!</v>
      </c>
      <c r="BB357" t="e">
        <f>AND('STERLING CATALOG - FZN &amp; CHILL'!D2617,"AAAAAE7v2zU=")</f>
        <v>#VALUE!</v>
      </c>
      <c r="BC357" t="e">
        <f>AND('STERLING CATALOG - FZN &amp; CHILL'!E2617,"AAAAAE7v2zY=")</f>
        <v>#VALUE!</v>
      </c>
      <c r="BD357" t="e">
        <f>AND('STERLING CATALOG - FZN &amp; CHILL'!F2617,"AAAAAE7v2zc=")</f>
        <v>#VALUE!</v>
      </c>
      <c r="BE357" t="e">
        <f>AND('STERLING CATALOG - FZN &amp; CHILL'!G2617,"AAAAAE7v2zg=")</f>
        <v>#VALUE!</v>
      </c>
      <c r="BF357" t="e">
        <f>AND('STERLING CATALOG - FZN &amp; CHILL'!H2617,"AAAAAE7v2zk=")</f>
        <v>#VALUE!</v>
      </c>
      <c r="BG357" t="e">
        <f>AND('STERLING CATALOG - FZN &amp; CHILL'!I2617,"AAAAAE7v2zo=")</f>
        <v>#VALUE!</v>
      </c>
      <c r="BH357" t="e">
        <f>AND('STERLING CATALOG - FZN &amp; CHILL'!J2617,"AAAAAE7v2zs=")</f>
        <v>#VALUE!</v>
      </c>
      <c r="BI357">
        <f>IF('STERLING CATALOG - FZN &amp; CHILL'!2618:2618,"AAAAAE7v2zw=",0)</f>
        <v>0</v>
      </c>
      <c r="BJ357" t="e">
        <f>AND('STERLING CATALOG - FZN &amp; CHILL'!A2618,"AAAAAE7v2z0=")</f>
        <v>#VALUE!</v>
      </c>
      <c r="BK357" t="e">
        <f>AND('STERLING CATALOG - FZN &amp; CHILL'!B2618,"AAAAAE7v2z4=")</f>
        <v>#VALUE!</v>
      </c>
      <c r="BL357" t="e">
        <f>AND('STERLING CATALOG - FZN &amp; CHILL'!C2618,"AAAAAE7v2z8=")</f>
        <v>#VALUE!</v>
      </c>
      <c r="BM357" t="e">
        <f>AND('STERLING CATALOG - FZN &amp; CHILL'!D2618,"AAAAAE7v20A=")</f>
        <v>#VALUE!</v>
      </c>
      <c r="BN357" t="e">
        <f>AND('STERLING CATALOG - FZN &amp; CHILL'!E2618,"AAAAAE7v20E=")</f>
        <v>#VALUE!</v>
      </c>
      <c r="BO357" t="e">
        <f>AND('STERLING CATALOG - FZN &amp; CHILL'!F2618,"AAAAAE7v20I=")</f>
        <v>#VALUE!</v>
      </c>
      <c r="BP357" t="e">
        <f>AND('STERLING CATALOG - FZN &amp; CHILL'!G2618,"AAAAAE7v20M=")</f>
        <v>#VALUE!</v>
      </c>
      <c r="BQ357" t="e">
        <f>AND('STERLING CATALOG - FZN &amp; CHILL'!H2618,"AAAAAE7v20Q=")</f>
        <v>#VALUE!</v>
      </c>
      <c r="BR357" t="e">
        <f>AND('STERLING CATALOG - FZN &amp; CHILL'!I2618,"AAAAAE7v20U=")</f>
        <v>#VALUE!</v>
      </c>
      <c r="BS357" t="e">
        <f>AND('STERLING CATALOG - FZN &amp; CHILL'!J2618,"AAAAAE7v20Y=")</f>
        <v>#VALUE!</v>
      </c>
      <c r="BT357">
        <f>IF('STERLING CATALOG - FZN &amp; CHILL'!2619:2619,"AAAAAE7v20c=",0)</f>
        <v>0</v>
      </c>
      <c r="BU357" t="e">
        <f>AND('STERLING CATALOG - FZN &amp; CHILL'!A2619,"AAAAAE7v20g=")</f>
        <v>#VALUE!</v>
      </c>
      <c r="BV357" t="e">
        <f>AND('STERLING CATALOG - FZN &amp; CHILL'!B2619,"AAAAAE7v20k=")</f>
        <v>#VALUE!</v>
      </c>
      <c r="BW357" t="e">
        <f>AND('STERLING CATALOG - FZN &amp; CHILL'!C2619,"AAAAAE7v20o=")</f>
        <v>#VALUE!</v>
      </c>
      <c r="BX357" t="e">
        <f>AND('STERLING CATALOG - FZN &amp; CHILL'!D2619,"AAAAAE7v20s=")</f>
        <v>#VALUE!</v>
      </c>
      <c r="BY357" t="e">
        <f>AND('STERLING CATALOG - FZN &amp; CHILL'!E2619,"AAAAAE7v20w=")</f>
        <v>#VALUE!</v>
      </c>
      <c r="BZ357" t="e">
        <f>AND('STERLING CATALOG - FZN &amp; CHILL'!F2619,"AAAAAE7v200=")</f>
        <v>#VALUE!</v>
      </c>
      <c r="CA357" t="e">
        <f>AND('STERLING CATALOG - FZN &amp; CHILL'!G2619,"AAAAAE7v204=")</f>
        <v>#VALUE!</v>
      </c>
      <c r="CB357" t="e">
        <f>AND('STERLING CATALOG - FZN &amp; CHILL'!H2619,"AAAAAE7v208=")</f>
        <v>#VALUE!</v>
      </c>
      <c r="CC357" t="e">
        <f>AND('STERLING CATALOG - FZN &amp; CHILL'!I2619,"AAAAAE7v21A=")</f>
        <v>#VALUE!</v>
      </c>
      <c r="CD357" t="e">
        <f>AND('STERLING CATALOG - FZN &amp; CHILL'!J2619,"AAAAAE7v21E=")</f>
        <v>#VALUE!</v>
      </c>
      <c r="CE357">
        <f>IF('STERLING CATALOG - FZN &amp; CHILL'!2620:2620,"AAAAAE7v21I=",0)</f>
        <v>0</v>
      </c>
      <c r="CF357" t="e">
        <f>AND('STERLING CATALOG - FZN &amp; CHILL'!A2620,"AAAAAE7v21M=")</f>
        <v>#VALUE!</v>
      </c>
      <c r="CG357" t="e">
        <f>AND('STERLING CATALOG - FZN &amp; CHILL'!B2620,"AAAAAE7v21Q=")</f>
        <v>#VALUE!</v>
      </c>
      <c r="CH357" t="e">
        <f>AND('STERLING CATALOG - FZN &amp; CHILL'!C2620,"AAAAAE7v21U=")</f>
        <v>#VALUE!</v>
      </c>
      <c r="CI357" t="e">
        <f>AND('STERLING CATALOG - FZN &amp; CHILL'!D2620,"AAAAAE7v21Y=")</f>
        <v>#VALUE!</v>
      </c>
      <c r="CJ357" t="e">
        <f>AND('STERLING CATALOG - FZN &amp; CHILL'!E2620,"AAAAAE7v21c=")</f>
        <v>#VALUE!</v>
      </c>
      <c r="CK357" t="e">
        <f>AND('STERLING CATALOG - FZN &amp; CHILL'!F2620,"AAAAAE7v21g=")</f>
        <v>#VALUE!</v>
      </c>
      <c r="CL357" t="e">
        <f>AND('STERLING CATALOG - FZN &amp; CHILL'!G2620,"AAAAAE7v21k=")</f>
        <v>#VALUE!</v>
      </c>
      <c r="CM357" t="e">
        <f>AND('STERLING CATALOG - FZN &amp; CHILL'!H2620,"AAAAAE7v21o=")</f>
        <v>#VALUE!</v>
      </c>
      <c r="CN357" t="e">
        <f>AND('STERLING CATALOG - FZN &amp; CHILL'!I2620,"AAAAAE7v21s=")</f>
        <v>#VALUE!</v>
      </c>
      <c r="CO357" t="e">
        <f>AND('STERLING CATALOG - FZN &amp; CHILL'!J2620,"AAAAAE7v21w=")</f>
        <v>#VALUE!</v>
      </c>
      <c r="CP357">
        <f>IF('STERLING CATALOG - FZN &amp; CHILL'!2621:2621,"AAAAAE7v210=",0)</f>
        <v>0</v>
      </c>
      <c r="CQ357" t="e">
        <f>AND('STERLING CATALOG - FZN &amp; CHILL'!A2621,"AAAAAE7v214=")</f>
        <v>#VALUE!</v>
      </c>
      <c r="CR357" t="e">
        <f>AND('STERLING CATALOG - FZN &amp; CHILL'!B2621,"AAAAAE7v218=")</f>
        <v>#VALUE!</v>
      </c>
      <c r="CS357" t="e">
        <f>AND('STERLING CATALOG - FZN &amp; CHILL'!C2621,"AAAAAE7v22A=")</f>
        <v>#VALUE!</v>
      </c>
      <c r="CT357" t="e">
        <f>AND('STERLING CATALOG - FZN &amp; CHILL'!D2621,"AAAAAE7v22E=")</f>
        <v>#VALUE!</v>
      </c>
      <c r="CU357" t="e">
        <f>AND('STERLING CATALOG - FZN &amp; CHILL'!E2621,"AAAAAE7v22I=")</f>
        <v>#VALUE!</v>
      </c>
      <c r="CV357" t="e">
        <f>AND('STERLING CATALOG - FZN &amp; CHILL'!F2621,"AAAAAE7v22M=")</f>
        <v>#VALUE!</v>
      </c>
      <c r="CW357" t="e">
        <f>AND('STERLING CATALOG - FZN &amp; CHILL'!G2621,"AAAAAE7v22Q=")</f>
        <v>#VALUE!</v>
      </c>
      <c r="CX357" t="e">
        <f>AND('STERLING CATALOG - FZN &amp; CHILL'!H2621,"AAAAAE7v22U=")</f>
        <v>#VALUE!</v>
      </c>
      <c r="CY357" t="e">
        <f>AND('STERLING CATALOG - FZN &amp; CHILL'!I2621,"AAAAAE7v22Y=")</f>
        <v>#VALUE!</v>
      </c>
      <c r="CZ357" t="e">
        <f>AND('STERLING CATALOG - FZN &amp; CHILL'!J2621,"AAAAAE7v22c=")</f>
        <v>#VALUE!</v>
      </c>
      <c r="DA357">
        <f>IF('STERLING CATALOG - FZN &amp; CHILL'!2622:2622,"AAAAAE7v22g=",0)</f>
        <v>0</v>
      </c>
      <c r="DB357" t="e">
        <f>AND('STERLING CATALOG - FZN &amp; CHILL'!A2622,"AAAAAE7v22k=")</f>
        <v>#VALUE!</v>
      </c>
      <c r="DC357" t="e">
        <f>AND('STERLING CATALOG - FZN &amp; CHILL'!B2622,"AAAAAE7v22o=")</f>
        <v>#VALUE!</v>
      </c>
      <c r="DD357" t="e">
        <f>AND('STERLING CATALOG - FZN &amp; CHILL'!C2622,"AAAAAE7v22s=")</f>
        <v>#VALUE!</v>
      </c>
      <c r="DE357" t="e">
        <f>AND('STERLING CATALOG - FZN &amp; CHILL'!D2622,"AAAAAE7v22w=")</f>
        <v>#VALUE!</v>
      </c>
      <c r="DF357" t="e">
        <f>AND('STERLING CATALOG - FZN &amp; CHILL'!E2622,"AAAAAE7v220=")</f>
        <v>#VALUE!</v>
      </c>
      <c r="DG357" t="e">
        <f>AND('STERLING CATALOG - FZN &amp; CHILL'!F2622,"AAAAAE7v224=")</f>
        <v>#VALUE!</v>
      </c>
      <c r="DH357" t="e">
        <f>AND('STERLING CATALOG - FZN &amp; CHILL'!G2622,"AAAAAE7v228=")</f>
        <v>#VALUE!</v>
      </c>
      <c r="DI357" t="e">
        <f>AND('STERLING CATALOG - FZN &amp; CHILL'!H2622,"AAAAAE7v23A=")</f>
        <v>#VALUE!</v>
      </c>
      <c r="DJ357" t="e">
        <f>AND('STERLING CATALOG - FZN &amp; CHILL'!I2622,"AAAAAE7v23E=")</f>
        <v>#VALUE!</v>
      </c>
      <c r="DK357" t="e">
        <f>AND('STERLING CATALOG - FZN &amp; CHILL'!J2622,"AAAAAE7v23I=")</f>
        <v>#VALUE!</v>
      </c>
      <c r="DL357">
        <f>IF('STERLING CATALOG - FZN &amp; CHILL'!2623:2623,"AAAAAE7v23M=",0)</f>
        <v>0</v>
      </c>
      <c r="DM357" t="e">
        <f>AND('STERLING CATALOG - FZN &amp; CHILL'!A2623,"AAAAAE7v23Q=")</f>
        <v>#VALUE!</v>
      </c>
      <c r="DN357" t="e">
        <f>AND('STERLING CATALOG - FZN &amp; CHILL'!B2623,"AAAAAE7v23U=")</f>
        <v>#VALUE!</v>
      </c>
      <c r="DO357" t="e">
        <f>AND('STERLING CATALOG - FZN &amp; CHILL'!C2623,"AAAAAE7v23Y=")</f>
        <v>#VALUE!</v>
      </c>
      <c r="DP357" t="e">
        <f>AND('STERLING CATALOG - FZN &amp; CHILL'!D2623,"AAAAAE7v23c=")</f>
        <v>#VALUE!</v>
      </c>
      <c r="DQ357" t="e">
        <f>AND('STERLING CATALOG - FZN &amp; CHILL'!E2623,"AAAAAE7v23g=")</f>
        <v>#VALUE!</v>
      </c>
      <c r="DR357" t="e">
        <f>AND('STERLING CATALOG - FZN &amp; CHILL'!F2623,"AAAAAE7v23k=")</f>
        <v>#VALUE!</v>
      </c>
      <c r="DS357" t="e">
        <f>AND('STERLING CATALOG - FZN &amp; CHILL'!G2623,"AAAAAE7v23o=")</f>
        <v>#VALUE!</v>
      </c>
      <c r="DT357" t="e">
        <f>AND('STERLING CATALOG - FZN &amp; CHILL'!H2623,"AAAAAE7v23s=")</f>
        <v>#VALUE!</v>
      </c>
      <c r="DU357" t="e">
        <f>AND('STERLING CATALOG - FZN &amp; CHILL'!I2623,"AAAAAE7v23w=")</f>
        <v>#VALUE!</v>
      </c>
      <c r="DV357" t="e">
        <f>AND('STERLING CATALOG - FZN &amp; CHILL'!J2623,"AAAAAE7v230=")</f>
        <v>#VALUE!</v>
      </c>
      <c r="DW357">
        <f>IF('STERLING CATALOG - FZN &amp; CHILL'!2624:2624,"AAAAAE7v234=",0)</f>
        <v>0</v>
      </c>
      <c r="DX357" t="e">
        <f>AND('STERLING CATALOG - FZN &amp; CHILL'!A2624,"AAAAAE7v238=")</f>
        <v>#VALUE!</v>
      </c>
      <c r="DY357" t="e">
        <f>AND('STERLING CATALOG - FZN &amp; CHILL'!B2624,"AAAAAE7v24A=")</f>
        <v>#VALUE!</v>
      </c>
      <c r="DZ357" t="e">
        <f>AND('STERLING CATALOG - FZN &amp; CHILL'!C2624,"AAAAAE7v24E=")</f>
        <v>#VALUE!</v>
      </c>
      <c r="EA357" t="e">
        <f>AND('STERLING CATALOG - FZN &amp; CHILL'!D2624,"AAAAAE7v24I=")</f>
        <v>#VALUE!</v>
      </c>
      <c r="EB357" t="e">
        <f>AND('STERLING CATALOG - FZN &amp; CHILL'!E2624,"AAAAAE7v24M=")</f>
        <v>#VALUE!</v>
      </c>
      <c r="EC357" t="e">
        <f>AND('STERLING CATALOG - FZN &amp; CHILL'!F2624,"AAAAAE7v24Q=")</f>
        <v>#VALUE!</v>
      </c>
      <c r="ED357" t="e">
        <f>AND('STERLING CATALOG - FZN &amp; CHILL'!G2624,"AAAAAE7v24U=")</f>
        <v>#VALUE!</v>
      </c>
      <c r="EE357" t="e">
        <f>AND('STERLING CATALOG - FZN &amp; CHILL'!H2624,"AAAAAE7v24Y=")</f>
        <v>#VALUE!</v>
      </c>
      <c r="EF357" t="e">
        <f>AND('STERLING CATALOG - FZN &amp; CHILL'!I2624,"AAAAAE7v24c=")</f>
        <v>#VALUE!</v>
      </c>
      <c r="EG357" t="e">
        <f>AND('STERLING CATALOG - FZN &amp; CHILL'!J2624,"AAAAAE7v24g=")</f>
        <v>#VALUE!</v>
      </c>
      <c r="EH357">
        <f>IF('STERLING CATALOG - FZN &amp; CHILL'!2625:2625,"AAAAAE7v24k=",0)</f>
        <v>0</v>
      </c>
      <c r="EI357" t="e">
        <f>AND('STERLING CATALOG - FZN &amp; CHILL'!A2625,"AAAAAE7v24o=")</f>
        <v>#VALUE!</v>
      </c>
      <c r="EJ357" t="e">
        <f>AND('STERLING CATALOG - FZN &amp; CHILL'!B2625,"AAAAAE7v24s=")</f>
        <v>#VALUE!</v>
      </c>
      <c r="EK357" t="e">
        <f>AND('STERLING CATALOG - FZN &amp; CHILL'!C2625,"AAAAAE7v24w=")</f>
        <v>#VALUE!</v>
      </c>
      <c r="EL357" t="e">
        <f>AND('STERLING CATALOG - FZN &amp; CHILL'!D2625,"AAAAAE7v240=")</f>
        <v>#VALUE!</v>
      </c>
      <c r="EM357" t="e">
        <f>AND('STERLING CATALOG - FZN &amp; CHILL'!E2625,"AAAAAE7v244=")</f>
        <v>#VALUE!</v>
      </c>
      <c r="EN357" t="e">
        <f>AND('STERLING CATALOG - FZN &amp; CHILL'!F2625,"AAAAAE7v248=")</f>
        <v>#VALUE!</v>
      </c>
      <c r="EO357" t="e">
        <f>AND('STERLING CATALOG - FZN &amp; CHILL'!G2625,"AAAAAE7v25A=")</f>
        <v>#VALUE!</v>
      </c>
      <c r="EP357" t="e">
        <f>AND('STERLING CATALOG - FZN &amp; CHILL'!H2625,"AAAAAE7v25E=")</f>
        <v>#VALUE!</v>
      </c>
      <c r="EQ357" t="e">
        <f>AND('STERLING CATALOG - FZN &amp; CHILL'!I2625,"AAAAAE7v25I=")</f>
        <v>#VALUE!</v>
      </c>
      <c r="ER357" t="e">
        <f>AND('STERLING CATALOG - FZN &amp; CHILL'!J2625,"AAAAAE7v25M=")</f>
        <v>#VALUE!</v>
      </c>
      <c r="ES357">
        <f>IF('STERLING CATALOG - FZN &amp; CHILL'!2626:2626,"AAAAAE7v25Q=",0)</f>
        <v>0</v>
      </c>
      <c r="ET357" t="e">
        <f>AND('STERLING CATALOG - FZN &amp; CHILL'!A2626,"AAAAAE7v25U=")</f>
        <v>#VALUE!</v>
      </c>
      <c r="EU357" t="e">
        <f>AND('STERLING CATALOG - FZN &amp; CHILL'!B2626,"AAAAAE7v25Y=")</f>
        <v>#VALUE!</v>
      </c>
      <c r="EV357" t="e">
        <f>AND('STERLING CATALOG - FZN &amp; CHILL'!C2626,"AAAAAE7v25c=")</f>
        <v>#VALUE!</v>
      </c>
      <c r="EW357" t="e">
        <f>AND('STERLING CATALOG - FZN &amp; CHILL'!D2626,"AAAAAE7v25g=")</f>
        <v>#VALUE!</v>
      </c>
      <c r="EX357" t="e">
        <f>AND('STERLING CATALOG - FZN &amp; CHILL'!E2626,"AAAAAE7v25k=")</f>
        <v>#VALUE!</v>
      </c>
      <c r="EY357" t="e">
        <f>AND('STERLING CATALOG - FZN &amp; CHILL'!F2626,"AAAAAE7v25o=")</f>
        <v>#VALUE!</v>
      </c>
      <c r="EZ357" t="e">
        <f>AND('STERLING CATALOG - FZN &amp; CHILL'!G2626,"AAAAAE7v25s=")</f>
        <v>#VALUE!</v>
      </c>
      <c r="FA357" t="e">
        <f>AND('STERLING CATALOG - FZN &amp; CHILL'!H2626,"AAAAAE7v25w=")</f>
        <v>#VALUE!</v>
      </c>
      <c r="FB357" t="e">
        <f>AND('STERLING CATALOG - FZN &amp; CHILL'!I2626,"AAAAAE7v250=")</f>
        <v>#VALUE!</v>
      </c>
      <c r="FC357" t="e">
        <f>AND('STERLING CATALOG - FZN &amp; CHILL'!J2626,"AAAAAE7v254=")</f>
        <v>#VALUE!</v>
      </c>
      <c r="FD357">
        <f>IF('STERLING CATALOG - FZN &amp; CHILL'!2627:2627,"AAAAAE7v258=",0)</f>
        <v>0</v>
      </c>
      <c r="FE357" t="e">
        <f>AND('STERLING CATALOG - FZN &amp; CHILL'!A2627,"AAAAAE7v26A=")</f>
        <v>#VALUE!</v>
      </c>
      <c r="FF357" t="e">
        <f>AND('STERLING CATALOG - FZN &amp; CHILL'!B2627,"AAAAAE7v26E=")</f>
        <v>#VALUE!</v>
      </c>
      <c r="FG357" t="e">
        <f>AND('STERLING CATALOG - FZN &amp; CHILL'!C2627,"AAAAAE7v26I=")</f>
        <v>#VALUE!</v>
      </c>
      <c r="FH357" t="e">
        <f>AND('STERLING CATALOG - FZN &amp; CHILL'!D2627,"AAAAAE7v26M=")</f>
        <v>#VALUE!</v>
      </c>
      <c r="FI357" t="e">
        <f>AND('STERLING CATALOG - FZN &amp; CHILL'!E2627,"AAAAAE7v26Q=")</f>
        <v>#VALUE!</v>
      </c>
      <c r="FJ357" t="e">
        <f>AND('STERLING CATALOG - FZN &amp; CHILL'!F2627,"AAAAAE7v26U=")</f>
        <v>#VALUE!</v>
      </c>
      <c r="FK357" t="e">
        <f>AND('STERLING CATALOG - FZN &amp; CHILL'!G2627,"AAAAAE7v26Y=")</f>
        <v>#VALUE!</v>
      </c>
      <c r="FL357" t="e">
        <f>AND('STERLING CATALOG - FZN &amp; CHILL'!H2627,"AAAAAE7v26c=")</f>
        <v>#VALUE!</v>
      </c>
      <c r="FM357" t="e">
        <f>AND('STERLING CATALOG - FZN &amp; CHILL'!I2627,"AAAAAE7v26g=")</f>
        <v>#VALUE!</v>
      </c>
      <c r="FN357" t="e">
        <f>AND('STERLING CATALOG - FZN &amp; CHILL'!J2627,"AAAAAE7v26k=")</f>
        <v>#VALUE!</v>
      </c>
      <c r="FO357">
        <f>IF('STERLING CATALOG - FZN &amp; CHILL'!2628:2628,"AAAAAE7v26o=",0)</f>
        <v>0</v>
      </c>
      <c r="FP357" t="e">
        <f>AND('STERLING CATALOG - FZN &amp; CHILL'!A2628,"AAAAAE7v26s=")</f>
        <v>#VALUE!</v>
      </c>
      <c r="FQ357" t="e">
        <f>AND('STERLING CATALOG - FZN &amp; CHILL'!B2628,"AAAAAE7v26w=")</f>
        <v>#VALUE!</v>
      </c>
      <c r="FR357" t="e">
        <f>AND('STERLING CATALOG - FZN &amp; CHILL'!C2628,"AAAAAE7v260=")</f>
        <v>#VALUE!</v>
      </c>
      <c r="FS357" t="e">
        <f>AND('STERLING CATALOG - FZN &amp; CHILL'!D2628,"AAAAAE7v264=")</f>
        <v>#VALUE!</v>
      </c>
      <c r="FT357" t="e">
        <f>AND('STERLING CATALOG - FZN &amp; CHILL'!E2628,"AAAAAE7v268=")</f>
        <v>#VALUE!</v>
      </c>
      <c r="FU357" t="e">
        <f>AND('STERLING CATALOG - FZN &amp; CHILL'!F2628,"AAAAAE7v27A=")</f>
        <v>#VALUE!</v>
      </c>
      <c r="FV357" t="e">
        <f>AND('STERLING CATALOG - FZN &amp; CHILL'!G2628,"AAAAAE7v27E=")</f>
        <v>#VALUE!</v>
      </c>
      <c r="FW357" t="e">
        <f>AND('STERLING CATALOG - FZN &amp; CHILL'!H2628,"AAAAAE7v27I=")</f>
        <v>#VALUE!</v>
      </c>
      <c r="FX357" t="e">
        <f>AND('STERLING CATALOG - FZN &amp; CHILL'!I2628,"AAAAAE7v27M=")</f>
        <v>#VALUE!</v>
      </c>
      <c r="FY357" t="e">
        <f>AND('STERLING CATALOG - FZN &amp; CHILL'!J2628,"AAAAAE7v27Q=")</f>
        <v>#VALUE!</v>
      </c>
      <c r="FZ357">
        <f>IF('STERLING CATALOG - FZN &amp; CHILL'!2629:2629,"AAAAAE7v27U=",0)</f>
        <v>0</v>
      </c>
      <c r="GA357" t="e">
        <f>AND('STERLING CATALOG - FZN &amp; CHILL'!A2629,"AAAAAE7v27Y=")</f>
        <v>#VALUE!</v>
      </c>
      <c r="GB357" t="e">
        <f>AND('STERLING CATALOG - FZN &amp; CHILL'!B2629,"AAAAAE7v27c=")</f>
        <v>#VALUE!</v>
      </c>
      <c r="GC357" t="e">
        <f>AND('STERLING CATALOG - FZN &amp; CHILL'!C2629,"AAAAAE7v27g=")</f>
        <v>#VALUE!</v>
      </c>
      <c r="GD357" t="e">
        <f>AND('STERLING CATALOG - FZN &amp; CHILL'!D2629,"AAAAAE7v27k=")</f>
        <v>#VALUE!</v>
      </c>
      <c r="GE357" t="e">
        <f>AND('STERLING CATALOG - FZN &amp; CHILL'!E2629,"AAAAAE7v27o=")</f>
        <v>#VALUE!</v>
      </c>
      <c r="GF357" t="e">
        <f>AND('STERLING CATALOG - FZN &amp; CHILL'!F2629,"AAAAAE7v27s=")</f>
        <v>#VALUE!</v>
      </c>
      <c r="GG357" t="e">
        <f>AND('STERLING CATALOG - FZN &amp; CHILL'!G2629,"AAAAAE7v27w=")</f>
        <v>#VALUE!</v>
      </c>
      <c r="GH357" t="e">
        <f>AND('STERLING CATALOG - FZN &amp; CHILL'!H2629,"AAAAAE7v270=")</f>
        <v>#VALUE!</v>
      </c>
      <c r="GI357" t="e">
        <f>AND('STERLING CATALOG - FZN &amp; CHILL'!I2629,"AAAAAE7v274=")</f>
        <v>#VALUE!</v>
      </c>
      <c r="GJ357" t="e">
        <f>AND('STERLING CATALOG - FZN &amp; CHILL'!J2629,"AAAAAE7v278=")</f>
        <v>#VALUE!</v>
      </c>
      <c r="GK357">
        <f>IF('STERLING CATALOG - FZN &amp; CHILL'!2630:2630,"AAAAAE7v28A=",0)</f>
        <v>0</v>
      </c>
      <c r="GL357" t="e">
        <f>AND('STERLING CATALOG - FZN &amp; CHILL'!A2630,"AAAAAE7v28E=")</f>
        <v>#VALUE!</v>
      </c>
      <c r="GM357" t="e">
        <f>AND('STERLING CATALOG - FZN &amp; CHILL'!B2630,"AAAAAE7v28I=")</f>
        <v>#VALUE!</v>
      </c>
      <c r="GN357" t="e">
        <f>AND('STERLING CATALOG - FZN &amp; CHILL'!C2630,"AAAAAE7v28M=")</f>
        <v>#VALUE!</v>
      </c>
      <c r="GO357" t="e">
        <f>AND('STERLING CATALOG - FZN &amp; CHILL'!D2630,"AAAAAE7v28Q=")</f>
        <v>#VALUE!</v>
      </c>
      <c r="GP357" t="e">
        <f>AND('STERLING CATALOG - FZN &amp; CHILL'!E2630,"AAAAAE7v28U=")</f>
        <v>#VALUE!</v>
      </c>
      <c r="GQ357" t="e">
        <f>AND('STERLING CATALOG - FZN &amp; CHILL'!F2630,"AAAAAE7v28Y=")</f>
        <v>#VALUE!</v>
      </c>
      <c r="GR357" t="e">
        <f>AND('STERLING CATALOG - FZN &amp; CHILL'!G2630,"AAAAAE7v28c=")</f>
        <v>#VALUE!</v>
      </c>
      <c r="GS357" t="e">
        <f>AND('STERLING CATALOG - FZN &amp; CHILL'!H2630,"AAAAAE7v28g=")</f>
        <v>#VALUE!</v>
      </c>
      <c r="GT357" t="e">
        <f>AND('STERLING CATALOG - FZN &amp; CHILL'!I2630,"AAAAAE7v28k=")</f>
        <v>#VALUE!</v>
      </c>
      <c r="GU357" t="e">
        <f>AND('STERLING CATALOG - FZN &amp; CHILL'!J2630,"AAAAAE7v28o=")</f>
        <v>#VALUE!</v>
      </c>
      <c r="GV357">
        <f>IF('STERLING CATALOG - FZN &amp; CHILL'!2631:2631,"AAAAAE7v28s=",0)</f>
        <v>0</v>
      </c>
      <c r="GW357" t="e">
        <f>AND('STERLING CATALOG - FZN &amp; CHILL'!A2631,"AAAAAE7v28w=")</f>
        <v>#VALUE!</v>
      </c>
      <c r="GX357" t="e">
        <f>AND('STERLING CATALOG - FZN &amp; CHILL'!B2631,"AAAAAE7v280=")</f>
        <v>#VALUE!</v>
      </c>
      <c r="GY357" t="e">
        <f>AND('STERLING CATALOG - FZN &amp; CHILL'!C2631,"AAAAAE7v284=")</f>
        <v>#VALUE!</v>
      </c>
      <c r="GZ357" t="e">
        <f>AND('STERLING CATALOG - FZN &amp; CHILL'!D2631,"AAAAAE7v288=")</f>
        <v>#VALUE!</v>
      </c>
      <c r="HA357" t="e">
        <f>AND('STERLING CATALOG - FZN &amp; CHILL'!E2631,"AAAAAE7v29A=")</f>
        <v>#VALUE!</v>
      </c>
      <c r="HB357" t="e">
        <f>AND('STERLING CATALOG - FZN &amp; CHILL'!F2631,"AAAAAE7v29E=")</f>
        <v>#VALUE!</v>
      </c>
      <c r="HC357" t="e">
        <f>AND('STERLING CATALOG - FZN &amp; CHILL'!G2631,"AAAAAE7v29I=")</f>
        <v>#VALUE!</v>
      </c>
      <c r="HD357" t="e">
        <f>AND('STERLING CATALOG - FZN &amp; CHILL'!H2631,"AAAAAE7v29M=")</f>
        <v>#VALUE!</v>
      </c>
      <c r="HE357" t="e">
        <f>AND('STERLING CATALOG - FZN &amp; CHILL'!I2631,"AAAAAE7v29Q=")</f>
        <v>#VALUE!</v>
      </c>
      <c r="HF357" t="e">
        <f>AND('STERLING CATALOG - FZN &amp; CHILL'!J2631,"AAAAAE7v29U=")</f>
        <v>#VALUE!</v>
      </c>
      <c r="HG357">
        <f>IF('STERLING CATALOG - FZN &amp; CHILL'!2632:2632,"AAAAAE7v29Y=",0)</f>
        <v>0</v>
      </c>
      <c r="HH357" t="e">
        <f>AND('STERLING CATALOG - FZN &amp; CHILL'!A2632,"AAAAAE7v29c=")</f>
        <v>#VALUE!</v>
      </c>
      <c r="HI357" t="e">
        <f>AND('STERLING CATALOG - FZN &amp; CHILL'!B2632,"AAAAAE7v29g=")</f>
        <v>#VALUE!</v>
      </c>
      <c r="HJ357" t="e">
        <f>AND('STERLING CATALOG - FZN &amp; CHILL'!C2632,"AAAAAE7v29k=")</f>
        <v>#VALUE!</v>
      </c>
      <c r="HK357" t="e">
        <f>AND('STERLING CATALOG - FZN &amp; CHILL'!D2632,"AAAAAE7v29o=")</f>
        <v>#VALUE!</v>
      </c>
      <c r="HL357" t="e">
        <f>AND('STERLING CATALOG - FZN &amp; CHILL'!E2632,"AAAAAE7v29s=")</f>
        <v>#VALUE!</v>
      </c>
      <c r="HM357" t="e">
        <f>AND('STERLING CATALOG - FZN &amp; CHILL'!F2632,"AAAAAE7v29w=")</f>
        <v>#VALUE!</v>
      </c>
      <c r="HN357" t="e">
        <f>AND('STERLING CATALOG - FZN &amp; CHILL'!G2632,"AAAAAE7v290=")</f>
        <v>#VALUE!</v>
      </c>
      <c r="HO357" t="e">
        <f>AND('STERLING CATALOG - FZN &amp; CHILL'!H2632,"AAAAAE7v294=")</f>
        <v>#VALUE!</v>
      </c>
      <c r="HP357" t="e">
        <f>AND('STERLING CATALOG - FZN &amp; CHILL'!I2632,"AAAAAE7v298=")</f>
        <v>#VALUE!</v>
      </c>
      <c r="HQ357" t="e">
        <f>AND('STERLING CATALOG - FZN &amp; CHILL'!J2632,"AAAAAE7v2+A=")</f>
        <v>#VALUE!</v>
      </c>
      <c r="HR357">
        <f>IF('STERLING CATALOG - FZN &amp; CHILL'!2633:2633,"AAAAAE7v2+E=",0)</f>
        <v>0</v>
      </c>
      <c r="HS357" t="e">
        <f>AND('STERLING CATALOG - FZN &amp; CHILL'!A2633,"AAAAAE7v2+I=")</f>
        <v>#VALUE!</v>
      </c>
      <c r="HT357" t="e">
        <f>AND('STERLING CATALOG - FZN &amp; CHILL'!B2633,"AAAAAE7v2+M=")</f>
        <v>#VALUE!</v>
      </c>
      <c r="HU357" t="e">
        <f>AND('STERLING CATALOG - FZN &amp; CHILL'!C2633,"AAAAAE7v2+Q=")</f>
        <v>#VALUE!</v>
      </c>
      <c r="HV357" t="e">
        <f>AND('STERLING CATALOG - FZN &amp; CHILL'!D2633,"AAAAAE7v2+U=")</f>
        <v>#VALUE!</v>
      </c>
      <c r="HW357" t="e">
        <f>AND('STERLING CATALOG - FZN &amp; CHILL'!E2633,"AAAAAE7v2+Y=")</f>
        <v>#VALUE!</v>
      </c>
      <c r="HX357" t="e">
        <f>AND('STERLING CATALOG - FZN &amp; CHILL'!F2633,"AAAAAE7v2+c=")</f>
        <v>#VALUE!</v>
      </c>
      <c r="HY357" t="e">
        <f>AND('STERLING CATALOG - FZN &amp; CHILL'!G2633,"AAAAAE7v2+g=")</f>
        <v>#VALUE!</v>
      </c>
      <c r="HZ357" t="e">
        <f>AND('STERLING CATALOG - FZN &amp; CHILL'!H2633,"AAAAAE7v2+k=")</f>
        <v>#VALUE!</v>
      </c>
      <c r="IA357" t="e">
        <f>AND('STERLING CATALOG - FZN &amp; CHILL'!I2633,"AAAAAE7v2+o=")</f>
        <v>#VALUE!</v>
      </c>
      <c r="IB357" t="e">
        <f>AND('STERLING CATALOG - FZN &amp; CHILL'!J2633,"AAAAAE7v2+s=")</f>
        <v>#VALUE!</v>
      </c>
      <c r="IC357">
        <f>IF('STERLING CATALOG - FZN &amp; CHILL'!2634:2634,"AAAAAE7v2+w=",0)</f>
        <v>0</v>
      </c>
      <c r="ID357" t="e">
        <f>AND('STERLING CATALOG - FZN &amp; CHILL'!A2634,"AAAAAE7v2+0=")</f>
        <v>#VALUE!</v>
      </c>
      <c r="IE357" t="e">
        <f>AND('STERLING CATALOG - FZN &amp; CHILL'!B2634,"AAAAAE7v2+4=")</f>
        <v>#VALUE!</v>
      </c>
      <c r="IF357" t="e">
        <f>AND('STERLING CATALOG - FZN &amp; CHILL'!C2634,"AAAAAE7v2+8=")</f>
        <v>#VALUE!</v>
      </c>
      <c r="IG357" t="e">
        <f>AND('STERLING CATALOG - FZN &amp; CHILL'!D2634,"AAAAAE7v2/A=")</f>
        <v>#VALUE!</v>
      </c>
      <c r="IH357" t="e">
        <f>AND('STERLING CATALOG - FZN &amp; CHILL'!E2634,"AAAAAE7v2/E=")</f>
        <v>#VALUE!</v>
      </c>
      <c r="II357" t="e">
        <f>AND('STERLING CATALOG - FZN &amp; CHILL'!F2634,"AAAAAE7v2/I=")</f>
        <v>#VALUE!</v>
      </c>
      <c r="IJ357" t="e">
        <f>AND('STERLING CATALOG - FZN &amp; CHILL'!G2634,"AAAAAE7v2/M=")</f>
        <v>#VALUE!</v>
      </c>
      <c r="IK357" t="e">
        <f>AND('STERLING CATALOG - FZN &amp; CHILL'!H2634,"AAAAAE7v2/Q=")</f>
        <v>#VALUE!</v>
      </c>
      <c r="IL357" t="e">
        <f>AND('STERLING CATALOG - FZN &amp; CHILL'!I2634,"AAAAAE7v2/U=")</f>
        <v>#VALUE!</v>
      </c>
      <c r="IM357" t="e">
        <f>AND('STERLING CATALOG - FZN &amp; CHILL'!J2634,"AAAAAE7v2/Y=")</f>
        <v>#VALUE!</v>
      </c>
      <c r="IN357">
        <f>IF('STERLING CATALOG - FZN &amp; CHILL'!2635:2635,"AAAAAE7v2/c=",0)</f>
        <v>0</v>
      </c>
      <c r="IO357" t="e">
        <f>AND('STERLING CATALOG - FZN &amp; CHILL'!A2635,"AAAAAE7v2/g=")</f>
        <v>#VALUE!</v>
      </c>
      <c r="IP357" t="e">
        <f>AND('STERLING CATALOG - FZN &amp; CHILL'!B2635,"AAAAAE7v2/k=")</f>
        <v>#VALUE!</v>
      </c>
      <c r="IQ357" t="e">
        <f>AND('STERLING CATALOG - FZN &amp; CHILL'!C2635,"AAAAAE7v2/o=")</f>
        <v>#VALUE!</v>
      </c>
      <c r="IR357" t="e">
        <f>AND('STERLING CATALOG - FZN &amp; CHILL'!D2635,"AAAAAE7v2/s=")</f>
        <v>#VALUE!</v>
      </c>
      <c r="IS357" t="e">
        <f>AND('STERLING CATALOG - FZN &amp; CHILL'!E2635,"AAAAAE7v2/w=")</f>
        <v>#VALUE!</v>
      </c>
      <c r="IT357" t="e">
        <f>AND('STERLING CATALOG - FZN &amp; CHILL'!F2635,"AAAAAE7v2/0=")</f>
        <v>#VALUE!</v>
      </c>
      <c r="IU357" t="e">
        <f>AND('STERLING CATALOG - FZN &amp; CHILL'!G2635,"AAAAAE7v2/4=")</f>
        <v>#VALUE!</v>
      </c>
      <c r="IV357" t="e">
        <f>AND('STERLING CATALOG - FZN &amp; CHILL'!H2635,"AAAAAE7v2/8=")</f>
        <v>#VALUE!</v>
      </c>
    </row>
    <row r="358" spans="1:256">
      <c r="A358" t="e">
        <f>AND('STERLING CATALOG - FZN &amp; CHILL'!I2635,"AAAAAH9t3wA=")</f>
        <v>#VALUE!</v>
      </c>
      <c r="B358" t="e">
        <f>AND('STERLING CATALOG - FZN &amp; CHILL'!J2635,"AAAAAH9t3wE=")</f>
        <v>#VALUE!</v>
      </c>
      <c r="C358" t="str">
        <f>IF('STERLING CATALOG - FZN &amp; CHILL'!2636:2636,"AAAAAH9t3wI=",0)</f>
        <v>AAAAAH9t3wI=</v>
      </c>
      <c r="D358" t="e">
        <f>AND('STERLING CATALOG - FZN &amp; CHILL'!A2636,"AAAAAH9t3wM=")</f>
        <v>#VALUE!</v>
      </c>
      <c r="E358" t="e">
        <f>AND('STERLING CATALOG - FZN &amp; CHILL'!B2636,"AAAAAH9t3wQ=")</f>
        <v>#VALUE!</v>
      </c>
      <c r="F358" t="e">
        <f>AND('STERLING CATALOG - FZN &amp; CHILL'!C2636,"AAAAAH9t3wU=")</f>
        <v>#VALUE!</v>
      </c>
      <c r="G358" t="e">
        <f>AND('STERLING CATALOG - FZN &amp; CHILL'!D2636,"AAAAAH9t3wY=")</f>
        <v>#VALUE!</v>
      </c>
      <c r="H358" t="e">
        <f>AND('STERLING CATALOG - FZN &amp; CHILL'!E2636,"AAAAAH9t3wc=")</f>
        <v>#VALUE!</v>
      </c>
      <c r="I358" t="e">
        <f>AND('STERLING CATALOG - FZN &amp; CHILL'!F2636,"AAAAAH9t3wg=")</f>
        <v>#VALUE!</v>
      </c>
      <c r="J358" t="e">
        <f>AND('STERLING CATALOG - FZN &amp; CHILL'!G2636,"AAAAAH9t3wk=")</f>
        <v>#VALUE!</v>
      </c>
      <c r="K358" t="e">
        <f>AND('STERLING CATALOG - FZN &amp; CHILL'!H2636,"AAAAAH9t3wo=")</f>
        <v>#VALUE!</v>
      </c>
      <c r="L358" t="e">
        <f>AND('STERLING CATALOG - FZN &amp; CHILL'!I2636,"AAAAAH9t3ws=")</f>
        <v>#VALUE!</v>
      </c>
      <c r="M358" t="e">
        <f>AND('STERLING CATALOG - FZN &amp; CHILL'!J2636,"AAAAAH9t3ww=")</f>
        <v>#VALUE!</v>
      </c>
      <c r="N358">
        <f>IF('STERLING CATALOG - FZN &amp; CHILL'!2637:2637,"AAAAAH9t3w0=",0)</f>
        <v>0</v>
      </c>
      <c r="O358" t="e">
        <f>AND('STERLING CATALOG - FZN &amp; CHILL'!A2637,"AAAAAH9t3w4=")</f>
        <v>#VALUE!</v>
      </c>
      <c r="P358" t="e">
        <f>AND('STERLING CATALOG - FZN &amp; CHILL'!B2637,"AAAAAH9t3w8=")</f>
        <v>#VALUE!</v>
      </c>
      <c r="Q358" t="e">
        <f>AND('STERLING CATALOG - FZN &amp; CHILL'!C2637,"AAAAAH9t3xA=")</f>
        <v>#VALUE!</v>
      </c>
      <c r="R358" t="e">
        <f>AND('STERLING CATALOG - FZN &amp; CHILL'!D2637,"AAAAAH9t3xE=")</f>
        <v>#VALUE!</v>
      </c>
      <c r="S358" t="e">
        <f>AND('STERLING CATALOG - FZN &amp; CHILL'!E2637,"AAAAAH9t3xI=")</f>
        <v>#VALUE!</v>
      </c>
      <c r="T358" t="e">
        <f>AND('STERLING CATALOG - FZN &amp; CHILL'!F2637,"AAAAAH9t3xM=")</f>
        <v>#VALUE!</v>
      </c>
      <c r="U358" t="e">
        <f>AND('STERLING CATALOG - FZN &amp; CHILL'!G2637,"AAAAAH9t3xQ=")</f>
        <v>#VALUE!</v>
      </c>
      <c r="V358" t="e">
        <f>AND('STERLING CATALOG - FZN &amp; CHILL'!H2637,"AAAAAH9t3xU=")</f>
        <v>#VALUE!</v>
      </c>
      <c r="W358" t="e">
        <f>AND('STERLING CATALOG - FZN &amp; CHILL'!I2637,"AAAAAH9t3xY=")</f>
        <v>#VALUE!</v>
      </c>
      <c r="X358" t="e">
        <f>AND('STERLING CATALOG - FZN &amp; CHILL'!J2637,"AAAAAH9t3xc=")</f>
        <v>#VALUE!</v>
      </c>
      <c r="Y358">
        <f>IF('STERLING CATALOG - FZN &amp; CHILL'!2638:2638,"AAAAAH9t3xg=",0)</f>
        <v>0</v>
      </c>
      <c r="Z358" t="e">
        <f>AND('STERLING CATALOG - FZN &amp; CHILL'!A2638,"AAAAAH9t3xk=")</f>
        <v>#VALUE!</v>
      </c>
      <c r="AA358" t="e">
        <f>AND('STERLING CATALOG - FZN &amp; CHILL'!B2638,"AAAAAH9t3xo=")</f>
        <v>#VALUE!</v>
      </c>
      <c r="AB358" t="e">
        <f>AND('STERLING CATALOG - FZN &amp; CHILL'!C2638,"AAAAAH9t3xs=")</f>
        <v>#VALUE!</v>
      </c>
      <c r="AC358" t="e">
        <f>AND('STERLING CATALOG - FZN &amp; CHILL'!D2638,"AAAAAH9t3xw=")</f>
        <v>#VALUE!</v>
      </c>
      <c r="AD358" t="e">
        <f>AND('STERLING CATALOG - FZN &amp; CHILL'!E2638,"AAAAAH9t3x0=")</f>
        <v>#VALUE!</v>
      </c>
      <c r="AE358" t="e">
        <f>AND('STERLING CATALOG - FZN &amp; CHILL'!F2638,"AAAAAH9t3x4=")</f>
        <v>#VALUE!</v>
      </c>
      <c r="AF358" t="e">
        <f>AND('STERLING CATALOG - FZN &amp; CHILL'!G2638,"AAAAAH9t3x8=")</f>
        <v>#VALUE!</v>
      </c>
      <c r="AG358" t="e">
        <f>AND('STERLING CATALOG - FZN &amp; CHILL'!H2638,"AAAAAH9t3yA=")</f>
        <v>#VALUE!</v>
      </c>
      <c r="AH358" t="e">
        <f>AND('STERLING CATALOG - FZN &amp; CHILL'!I2638,"AAAAAH9t3yE=")</f>
        <v>#VALUE!</v>
      </c>
      <c r="AI358" t="e">
        <f>AND('STERLING CATALOG - FZN &amp; CHILL'!J2638,"AAAAAH9t3yI=")</f>
        <v>#VALUE!</v>
      </c>
      <c r="AJ358">
        <f>IF('STERLING CATALOG - FZN &amp; CHILL'!2639:2639,"AAAAAH9t3yM=",0)</f>
        <v>0</v>
      </c>
      <c r="AK358" t="e">
        <f>AND('STERLING CATALOG - FZN &amp; CHILL'!A2639,"AAAAAH9t3yQ=")</f>
        <v>#VALUE!</v>
      </c>
      <c r="AL358" t="e">
        <f>AND('STERLING CATALOG - FZN &amp; CHILL'!B2639,"AAAAAH9t3yU=")</f>
        <v>#VALUE!</v>
      </c>
      <c r="AM358" t="e">
        <f>AND('STERLING CATALOG - FZN &amp; CHILL'!C2639,"AAAAAH9t3yY=")</f>
        <v>#VALUE!</v>
      </c>
      <c r="AN358" t="e">
        <f>AND('STERLING CATALOG - FZN &amp; CHILL'!D2639,"AAAAAH9t3yc=")</f>
        <v>#VALUE!</v>
      </c>
      <c r="AO358" t="e">
        <f>AND('STERLING CATALOG - FZN &amp; CHILL'!E2639,"AAAAAH9t3yg=")</f>
        <v>#VALUE!</v>
      </c>
      <c r="AP358" t="e">
        <f>AND('STERLING CATALOG - FZN &amp; CHILL'!F2639,"AAAAAH9t3yk=")</f>
        <v>#VALUE!</v>
      </c>
      <c r="AQ358" t="e">
        <f>AND('STERLING CATALOG - FZN &amp; CHILL'!G2639,"AAAAAH9t3yo=")</f>
        <v>#VALUE!</v>
      </c>
      <c r="AR358" t="e">
        <f>AND('STERLING CATALOG - FZN &amp; CHILL'!H2639,"AAAAAH9t3ys=")</f>
        <v>#VALUE!</v>
      </c>
      <c r="AS358" t="e">
        <f>AND('STERLING CATALOG - FZN &amp; CHILL'!I2639,"AAAAAH9t3yw=")</f>
        <v>#VALUE!</v>
      </c>
      <c r="AT358" t="e">
        <f>AND('STERLING CATALOG - FZN &amp; CHILL'!J2639,"AAAAAH9t3y0=")</f>
        <v>#VALUE!</v>
      </c>
      <c r="AU358">
        <f>IF('STERLING CATALOG - FZN &amp; CHILL'!2640:2640,"AAAAAH9t3y4=",0)</f>
        <v>0</v>
      </c>
      <c r="AV358" t="e">
        <f>AND('STERLING CATALOG - FZN &amp; CHILL'!A2640,"AAAAAH9t3y8=")</f>
        <v>#VALUE!</v>
      </c>
      <c r="AW358" t="e">
        <f>AND('STERLING CATALOG - FZN &amp; CHILL'!B2640,"AAAAAH9t3zA=")</f>
        <v>#VALUE!</v>
      </c>
      <c r="AX358" t="e">
        <f>AND('STERLING CATALOG - FZN &amp; CHILL'!C2640,"AAAAAH9t3zE=")</f>
        <v>#VALUE!</v>
      </c>
      <c r="AY358" t="e">
        <f>AND('STERLING CATALOG - FZN &amp; CHILL'!D2640,"AAAAAH9t3zI=")</f>
        <v>#VALUE!</v>
      </c>
      <c r="AZ358" t="e">
        <f>AND('STERLING CATALOG - FZN &amp; CHILL'!E2640,"AAAAAH9t3zM=")</f>
        <v>#VALUE!</v>
      </c>
      <c r="BA358" t="e">
        <f>AND('STERLING CATALOG - FZN &amp; CHILL'!F2640,"AAAAAH9t3zQ=")</f>
        <v>#VALUE!</v>
      </c>
      <c r="BB358" t="e">
        <f>AND('STERLING CATALOG - FZN &amp; CHILL'!G2640,"AAAAAH9t3zU=")</f>
        <v>#VALUE!</v>
      </c>
      <c r="BC358" t="e">
        <f>AND('STERLING CATALOG - FZN &amp; CHILL'!H2640,"AAAAAH9t3zY=")</f>
        <v>#VALUE!</v>
      </c>
      <c r="BD358" t="e">
        <f>AND('STERLING CATALOG - FZN &amp; CHILL'!I2640,"AAAAAH9t3zc=")</f>
        <v>#VALUE!</v>
      </c>
      <c r="BE358" t="e">
        <f>AND('STERLING CATALOG - FZN &amp; CHILL'!J2640,"AAAAAH9t3zg=")</f>
        <v>#VALUE!</v>
      </c>
      <c r="BF358">
        <f>IF('STERLING CATALOG - FZN &amp; CHILL'!2641:2641,"AAAAAH9t3zk=",0)</f>
        <v>0</v>
      </c>
      <c r="BG358" t="e">
        <f>AND('STERLING CATALOG - FZN &amp; CHILL'!A2641,"AAAAAH9t3zo=")</f>
        <v>#VALUE!</v>
      </c>
      <c r="BH358" t="e">
        <f>AND('STERLING CATALOG - FZN &amp; CHILL'!B2641,"AAAAAH9t3zs=")</f>
        <v>#VALUE!</v>
      </c>
      <c r="BI358" t="e">
        <f>AND('STERLING CATALOG - FZN &amp; CHILL'!C2641,"AAAAAH9t3zw=")</f>
        <v>#VALUE!</v>
      </c>
      <c r="BJ358" t="e">
        <f>AND('STERLING CATALOG - FZN &amp; CHILL'!D2641,"AAAAAH9t3z0=")</f>
        <v>#VALUE!</v>
      </c>
      <c r="BK358" t="e">
        <f>AND('STERLING CATALOG - FZN &amp; CHILL'!E2641,"AAAAAH9t3z4=")</f>
        <v>#VALUE!</v>
      </c>
      <c r="BL358" t="e">
        <f>AND('STERLING CATALOG - FZN &amp; CHILL'!F2641,"AAAAAH9t3z8=")</f>
        <v>#VALUE!</v>
      </c>
      <c r="BM358" t="e">
        <f>AND('STERLING CATALOG - FZN &amp; CHILL'!G2641,"AAAAAH9t30A=")</f>
        <v>#VALUE!</v>
      </c>
      <c r="BN358" t="e">
        <f>AND('STERLING CATALOG - FZN &amp; CHILL'!H2641,"AAAAAH9t30E=")</f>
        <v>#VALUE!</v>
      </c>
      <c r="BO358" t="e">
        <f>AND('STERLING CATALOG - FZN &amp; CHILL'!I2641,"AAAAAH9t30I=")</f>
        <v>#VALUE!</v>
      </c>
      <c r="BP358" t="e">
        <f>AND('STERLING CATALOG - FZN &amp; CHILL'!J2641,"AAAAAH9t30M=")</f>
        <v>#VALUE!</v>
      </c>
      <c r="BQ358">
        <f>IF('STERLING CATALOG - FZN &amp; CHILL'!2642:2642,"AAAAAH9t30Q=",0)</f>
        <v>0</v>
      </c>
      <c r="BR358" t="e">
        <f>AND('STERLING CATALOG - FZN &amp; CHILL'!A2642,"AAAAAH9t30U=")</f>
        <v>#VALUE!</v>
      </c>
      <c r="BS358" t="e">
        <f>AND('STERLING CATALOG - FZN &amp; CHILL'!B2642,"AAAAAH9t30Y=")</f>
        <v>#VALUE!</v>
      </c>
      <c r="BT358" t="e">
        <f>AND('STERLING CATALOG - FZN &amp; CHILL'!C2642,"AAAAAH9t30c=")</f>
        <v>#VALUE!</v>
      </c>
      <c r="BU358" t="e">
        <f>AND('STERLING CATALOG - FZN &amp; CHILL'!D2642,"AAAAAH9t30g=")</f>
        <v>#VALUE!</v>
      </c>
      <c r="BV358" t="e">
        <f>AND('STERLING CATALOG - FZN &amp; CHILL'!E2642,"AAAAAH9t30k=")</f>
        <v>#VALUE!</v>
      </c>
      <c r="BW358" t="e">
        <f>AND('STERLING CATALOG - FZN &amp; CHILL'!F2642,"AAAAAH9t30o=")</f>
        <v>#VALUE!</v>
      </c>
      <c r="BX358" t="e">
        <f>AND('STERLING CATALOG - FZN &amp; CHILL'!G2642,"AAAAAH9t30s=")</f>
        <v>#VALUE!</v>
      </c>
      <c r="BY358" t="e">
        <f>AND('STERLING CATALOG - FZN &amp; CHILL'!H2642,"AAAAAH9t30w=")</f>
        <v>#VALUE!</v>
      </c>
      <c r="BZ358" t="e">
        <f>AND('STERLING CATALOG - FZN &amp; CHILL'!I2642,"AAAAAH9t300=")</f>
        <v>#VALUE!</v>
      </c>
      <c r="CA358" t="e">
        <f>AND('STERLING CATALOG - FZN &amp; CHILL'!J2642,"AAAAAH9t304=")</f>
        <v>#VALUE!</v>
      </c>
      <c r="CB358">
        <f>IF('STERLING CATALOG - FZN &amp; CHILL'!2643:2643,"AAAAAH9t308=",0)</f>
        <v>0</v>
      </c>
      <c r="CC358" t="e">
        <f>AND('STERLING CATALOG - FZN &amp; CHILL'!A2643,"AAAAAH9t31A=")</f>
        <v>#VALUE!</v>
      </c>
      <c r="CD358" t="e">
        <f>AND('STERLING CATALOG - FZN &amp; CHILL'!B2643,"AAAAAH9t31E=")</f>
        <v>#VALUE!</v>
      </c>
      <c r="CE358" t="e">
        <f>AND('STERLING CATALOG - FZN &amp; CHILL'!C2643,"AAAAAH9t31I=")</f>
        <v>#VALUE!</v>
      </c>
      <c r="CF358" t="e">
        <f>AND('STERLING CATALOG - FZN &amp; CHILL'!D2643,"AAAAAH9t31M=")</f>
        <v>#VALUE!</v>
      </c>
      <c r="CG358" t="e">
        <f>AND('STERLING CATALOG - FZN &amp; CHILL'!E2643,"AAAAAH9t31Q=")</f>
        <v>#VALUE!</v>
      </c>
      <c r="CH358" t="e">
        <f>AND('STERLING CATALOG - FZN &amp; CHILL'!F2643,"AAAAAH9t31U=")</f>
        <v>#VALUE!</v>
      </c>
      <c r="CI358" t="e">
        <f>AND('STERLING CATALOG - FZN &amp; CHILL'!G2643,"AAAAAH9t31Y=")</f>
        <v>#VALUE!</v>
      </c>
      <c r="CJ358" t="e">
        <f>AND('STERLING CATALOG - FZN &amp; CHILL'!H2643,"AAAAAH9t31c=")</f>
        <v>#VALUE!</v>
      </c>
      <c r="CK358" t="e">
        <f>AND('STERLING CATALOG - FZN &amp; CHILL'!I2643,"AAAAAH9t31g=")</f>
        <v>#VALUE!</v>
      </c>
      <c r="CL358" t="e">
        <f>AND('STERLING CATALOG - FZN &amp; CHILL'!J2643,"AAAAAH9t31k=")</f>
        <v>#VALUE!</v>
      </c>
      <c r="CM358">
        <f>IF('STERLING CATALOG - FZN &amp; CHILL'!2644:2644,"AAAAAH9t31o=",0)</f>
        <v>0</v>
      </c>
      <c r="CN358" t="e">
        <f>AND('STERLING CATALOG - FZN &amp; CHILL'!A2644,"AAAAAH9t31s=")</f>
        <v>#VALUE!</v>
      </c>
      <c r="CO358" t="e">
        <f>AND('STERLING CATALOG - FZN &amp; CHILL'!B2644,"AAAAAH9t31w=")</f>
        <v>#VALUE!</v>
      </c>
      <c r="CP358" t="e">
        <f>AND('STERLING CATALOG - FZN &amp; CHILL'!C2644,"AAAAAH9t310=")</f>
        <v>#VALUE!</v>
      </c>
      <c r="CQ358" t="e">
        <f>AND('STERLING CATALOG - FZN &amp; CHILL'!D2644,"AAAAAH9t314=")</f>
        <v>#VALUE!</v>
      </c>
      <c r="CR358" t="e">
        <f>AND('STERLING CATALOG - FZN &amp; CHILL'!E2644,"AAAAAH9t318=")</f>
        <v>#VALUE!</v>
      </c>
      <c r="CS358" t="e">
        <f>AND('STERLING CATALOG - FZN &amp; CHILL'!F2644,"AAAAAH9t32A=")</f>
        <v>#VALUE!</v>
      </c>
      <c r="CT358" t="e">
        <f>AND('STERLING CATALOG - FZN &amp; CHILL'!G2644,"AAAAAH9t32E=")</f>
        <v>#VALUE!</v>
      </c>
      <c r="CU358" t="e">
        <f>AND('STERLING CATALOG - FZN &amp; CHILL'!H2644,"AAAAAH9t32I=")</f>
        <v>#VALUE!</v>
      </c>
      <c r="CV358" t="e">
        <f>AND('STERLING CATALOG - FZN &amp; CHILL'!I2644,"AAAAAH9t32M=")</f>
        <v>#VALUE!</v>
      </c>
      <c r="CW358" t="e">
        <f>AND('STERLING CATALOG - FZN &amp; CHILL'!J2644,"AAAAAH9t32Q=")</f>
        <v>#VALUE!</v>
      </c>
      <c r="CX358">
        <f>IF('STERLING CATALOG - FZN &amp; CHILL'!2645:2645,"AAAAAH9t32U=",0)</f>
        <v>0</v>
      </c>
      <c r="CY358" t="e">
        <f>AND('STERLING CATALOG - FZN &amp; CHILL'!A2645,"AAAAAH9t32Y=")</f>
        <v>#VALUE!</v>
      </c>
      <c r="CZ358" t="e">
        <f>AND('STERLING CATALOG - FZN &amp; CHILL'!B2645,"AAAAAH9t32c=")</f>
        <v>#VALUE!</v>
      </c>
      <c r="DA358" t="e">
        <f>AND('STERLING CATALOG - FZN &amp; CHILL'!C2645,"AAAAAH9t32g=")</f>
        <v>#VALUE!</v>
      </c>
      <c r="DB358" t="e">
        <f>AND('STERLING CATALOG - FZN &amp; CHILL'!D2645,"AAAAAH9t32k=")</f>
        <v>#VALUE!</v>
      </c>
      <c r="DC358" t="e">
        <f>AND('STERLING CATALOG - FZN &amp; CHILL'!E2645,"AAAAAH9t32o=")</f>
        <v>#VALUE!</v>
      </c>
      <c r="DD358" t="e">
        <f>AND('STERLING CATALOG - FZN &amp; CHILL'!F2645,"AAAAAH9t32s=")</f>
        <v>#VALUE!</v>
      </c>
      <c r="DE358" t="e">
        <f>AND('STERLING CATALOG - FZN &amp; CHILL'!G2645,"AAAAAH9t32w=")</f>
        <v>#VALUE!</v>
      </c>
      <c r="DF358" t="e">
        <f>AND('STERLING CATALOG - FZN &amp; CHILL'!H2645,"AAAAAH9t320=")</f>
        <v>#VALUE!</v>
      </c>
      <c r="DG358" t="e">
        <f>AND('STERLING CATALOG - FZN &amp; CHILL'!I2645,"AAAAAH9t324=")</f>
        <v>#VALUE!</v>
      </c>
      <c r="DH358" t="e">
        <f>AND('STERLING CATALOG - FZN &amp; CHILL'!J2645,"AAAAAH9t328=")</f>
        <v>#VALUE!</v>
      </c>
      <c r="DI358">
        <f>IF('STERLING CATALOG - FZN &amp; CHILL'!2646:2646,"AAAAAH9t33A=",0)</f>
        <v>0</v>
      </c>
      <c r="DJ358" t="e">
        <f>AND('STERLING CATALOG - FZN &amp; CHILL'!A2646,"AAAAAH9t33E=")</f>
        <v>#VALUE!</v>
      </c>
      <c r="DK358" t="e">
        <f>AND('STERLING CATALOG - FZN &amp; CHILL'!B2646,"AAAAAH9t33I=")</f>
        <v>#VALUE!</v>
      </c>
      <c r="DL358" t="e">
        <f>AND('STERLING CATALOG - FZN &amp; CHILL'!C2646,"AAAAAH9t33M=")</f>
        <v>#VALUE!</v>
      </c>
      <c r="DM358" t="e">
        <f>AND('STERLING CATALOG - FZN &amp; CHILL'!D2646,"AAAAAH9t33Q=")</f>
        <v>#VALUE!</v>
      </c>
      <c r="DN358" t="e">
        <f>AND('STERLING CATALOG - FZN &amp; CHILL'!E2646,"AAAAAH9t33U=")</f>
        <v>#VALUE!</v>
      </c>
      <c r="DO358" t="e">
        <f>AND('STERLING CATALOG - FZN &amp; CHILL'!F2646,"AAAAAH9t33Y=")</f>
        <v>#VALUE!</v>
      </c>
      <c r="DP358" t="e">
        <f>AND('STERLING CATALOG - FZN &amp; CHILL'!G2646,"AAAAAH9t33c=")</f>
        <v>#VALUE!</v>
      </c>
      <c r="DQ358" t="e">
        <f>AND('STERLING CATALOG - FZN &amp; CHILL'!H2646,"AAAAAH9t33g=")</f>
        <v>#VALUE!</v>
      </c>
      <c r="DR358" t="e">
        <f>AND('STERLING CATALOG - FZN &amp; CHILL'!I2646,"AAAAAH9t33k=")</f>
        <v>#VALUE!</v>
      </c>
      <c r="DS358" t="e">
        <f>AND('STERLING CATALOG - FZN &amp; CHILL'!J2646,"AAAAAH9t33o=")</f>
        <v>#VALUE!</v>
      </c>
      <c r="DT358">
        <f>IF('STERLING CATALOG - FZN &amp; CHILL'!2647:2647,"AAAAAH9t33s=",0)</f>
        <v>0</v>
      </c>
      <c r="DU358" t="e">
        <f>AND('STERLING CATALOG - FZN &amp; CHILL'!A2647,"AAAAAH9t33w=")</f>
        <v>#VALUE!</v>
      </c>
      <c r="DV358" t="e">
        <f>AND('STERLING CATALOG - FZN &amp; CHILL'!B2647,"AAAAAH9t330=")</f>
        <v>#VALUE!</v>
      </c>
      <c r="DW358" t="e">
        <f>AND('STERLING CATALOG - FZN &amp; CHILL'!C2647,"AAAAAH9t334=")</f>
        <v>#VALUE!</v>
      </c>
      <c r="DX358" t="e">
        <f>AND('STERLING CATALOG - FZN &amp; CHILL'!D2647,"AAAAAH9t338=")</f>
        <v>#VALUE!</v>
      </c>
      <c r="DY358" t="e">
        <f>AND('STERLING CATALOG - FZN &amp; CHILL'!E2647,"AAAAAH9t34A=")</f>
        <v>#VALUE!</v>
      </c>
      <c r="DZ358" t="e">
        <f>AND('STERLING CATALOG - FZN &amp; CHILL'!F2647,"AAAAAH9t34E=")</f>
        <v>#VALUE!</v>
      </c>
      <c r="EA358" t="e">
        <f>AND('STERLING CATALOG - FZN &amp; CHILL'!G2647,"AAAAAH9t34I=")</f>
        <v>#VALUE!</v>
      </c>
      <c r="EB358" t="e">
        <f>AND('STERLING CATALOG - FZN &amp; CHILL'!H2647,"AAAAAH9t34M=")</f>
        <v>#VALUE!</v>
      </c>
      <c r="EC358" t="e">
        <f>AND('STERLING CATALOG - FZN &amp; CHILL'!I2647,"AAAAAH9t34Q=")</f>
        <v>#VALUE!</v>
      </c>
      <c r="ED358" t="e">
        <f>AND('STERLING CATALOG - FZN &amp; CHILL'!J2647,"AAAAAH9t34U=")</f>
        <v>#VALUE!</v>
      </c>
      <c r="EE358">
        <f>IF('STERLING CATALOG - FZN &amp; CHILL'!2648:2648,"AAAAAH9t34Y=",0)</f>
        <v>0</v>
      </c>
      <c r="EF358" t="e">
        <f>AND('STERLING CATALOG - FZN &amp; CHILL'!A2648,"AAAAAH9t34c=")</f>
        <v>#VALUE!</v>
      </c>
      <c r="EG358" t="e">
        <f>AND('STERLING CATALOG - FZN &amp; CHILL'!B2648,"AAAAAH9t34g=")</f>
        <v>#VALUE!</v>
      </c>
      <c r="EH358" t="e">
        <f>AND('STERLING CATALOG - FZN &amp; CHILL'!C2648,"AAAAAH9t34k=")</f>
        <v>#VALUE!</v>
      </c>
      <c r="EI358" t="e">
        <f>AND('STERLING CATALOG - FZN &amp; CHILL'!D2648,"AAAAAH9t34o=")</f>
        <v>#VALUE!</v>
      </c>
      <c r="EJ358" t="e">
        <f>AND('STERLING CATALOG - FZN &amp; CHILL'!E2648,"AAAAAH9t34s=")</f>
        <v>#VALUE!</v>
      </c>
      <c r="EK358" t="e">
        <f>AND('STERLING CATALOG - FZN &amp; CHILL'!F2648,"AAAAAH9t34w=")</f>
        <v>#VALUE!</v>
      </c>
      <c r="EL358" t="e">
        <f>AND('STERLING CATALOG - FZN &amp; CHILL'!G2648,"AAAAAH9t340=")</f>
        <v>#VALUE!</v>
      </c>
      <c r="EM358" t="e">
        <f>AND('STERLING CATALOG - FZN &amp; CHILL'!H2648,"AAAAAH9t344=")</f>
        <v>#VALUE!</v>
      </c>
      <c r="EN358" t="e">
        <f>AND('STERLING CATALOG - FZN &amp; CHILL'!I2648,"AAAAAH9t348=")</f>
        <v>#VALUE!</v>
      </c>
      <c r="EO358" t="e">
        <f>AND('STERLING CATALOG - FZN &amp; CHILL'!J2648,"AAAAAH9t35A=")</f>
        <v>#VALUE!</v>
      </c>
      <c r="EP358">
        <f>IF('STERLING CATALOG - FZN &amp; CHILL'!2649:2649,"AAAAAH9t35E=",0)</f>
        <v>0</v>
      </c>
      <c r="EQ358" t="e">
        <f>AND('STERLING CATALOG - FZN &amp; CHILL'!A2649,"AAAAAH9t35I=")</f>
        <v>#VALUE!</v>
      </c>
      <c r="ER358" t="e">
        <f>AND('STERLING CATALOG - FZN &amp; CHILL'!B2649,"AAAAAH9t35M=")</f>
        <v>#VALUE!</v>
      </c>
      <c r="ES358" t="e">
        <f>AND('STERLING CATALOG - FZN &amp; CHILL'!C2649,"AAAAAH9t35Q=")</f>
        <v>#VALUE!</v>
      </c>
      <c r="ET358" t="e">
        <f>AND('STERLING CATALOG - FZN &amp; CHILL'!D2649,"AAAAAH9t35U=")</f>
        <v>#VALUE!</v>
      </c>
      <c r="EU358" t="e">
        <f>AND('STERLING CATALOG - FZN &amp; CHILL'!E2649,"AAAAAH9t35Y=")</f>
        <v>#VALUE!</v>
      </c>
      <c r="EV358" t="e">
        <f>AND('STERLING CATALOG - FZN &amp; CHILL'!F2649,"AAAAAH9t35c=")</f>
        <v>#VALUE!</v>
      </c>
      <c r="EW358" t="e">
        <f>AND('STERLING CATALOG - FZN &amp; CHILL'!G2649,"AAAAAH9t35g=")</f>
        <v>#VALUE!</v>
      </c>
      <c r="EX358" t="e">
        <f>AND('STERLING CATALOG - FZN &amp; CHILL'!H2649,"AAAAAH9t35k=")</f>
        <v>#VALUE!</v>
      </c>
      <c r="EY358" t="e">
        <f>AND('STERLING CATALOG - FZN &amp; CHILL'!I2649,"AAAAAH9t35o=")</f>
        <v>#VALUE!</v>
      </c>
      <c r="EZ358" t="e">
        <f>AND('STERLING CATALOG - FZN &amp; CHILL'!J2649,"AAAAAH9t35s=")</f>
        <v>#VALUE!</v>
      </c>
      <c r="FA358">
        <f>IF('STERLING CATALOG - FZN &amp; CHILL'!2650:2650,"AAAAAH9t35w=",0)</f>
        <v>0</v>
      </c>
      <c r="FB358" t="e">
        <f>AND('STERLING CATALOG - FZN &amp; CHILL'!A2650,"AAAAAH9t350=")</f>
        <v>#VALUE!</v>
      </c>
      <c r="FC358" t="e">
        <f>AND('STERLING CATALOG - FZN &amp; CHILL'!B2650,"AAAAAH9t354=")</f>
        <v>#VALUE!</v>
      </c>
      <c r="FD358" t="e">
        <f>AND('STERLING CATALOG - FZN &amp; CHILL'!C2650,"AAAAAH9t358=")</f>
        <v>#VALUE!</v>
      </c>
      <c r="FE358" t="e">
        <f>AND('STERLING CATALOG - FZN &amp; CHILL'!D2650,"AAAAAH9t36A=")</f>
        <v>#VALUE!</v>
      </c>
      <c r="FF358" t="e">
        <f>AND('STERLING CATALOG - FZN &amp; CHILL'!E2650,"AAAAAH9t36E=")</f>
        <v>#VALUE!</v>
      </c>
      <c r="FG358" t="e">
        <f>AND('STERLING CATALOG - FZN &amp; CHILL'!F2650,"AAAAAH9t36I=")</f>
        <v>#VALUE!</v>
      </c>
      <c r="FH358" t="e">
        <f>AND('STERLING CATALOG - FZN &amp; CHILL'!G2650,"AAAAAH9t36M=")</f>
        <v>#VALUE!</v>
      </c>
      <c r="FI358" t="e">
        <f>AND('STERLING CATALOG - FZN &amp; CHILL'!H2650,"AAAAAH9t36Q=")</f>
        <v>#VALUE!</v>
      </c>
      <c r="FJ358" t="e">
        <f>AND('STERLING CATALOG - FZN &amp; CHILL'!I2650,"AAAAAH9t36U=")</f>
        <v>#VALUE!</v>
      </c>
      <c r="FK358" t="e">
        <f>AND('STERLING CATALOG - FZN &amp; CHILL'!J2650,"AAAAAH9t36Y=")</f>
        <v>#VALUE!</v>
      </c>
      <c r="FL358">
        <f>IF('STERLING CATALOG - FZN &amp; CHILL'!2651:2651,"AAAAAH9t36c=",0)</f>
        <v>0</v>
      </c>
      <c r="FM358" t="e">
        <f>AND('STERLING CATALOG - FZN &amp; CHILL'!A2651,"AAAAAH9t36g=")</f>
        <v>#VALUE!</v>
      </c>
      <c r="FN358" t="e">
        <f>AND('STERLING CATALOG - FZN &amp; CHILL'!B2651,"AAAAAH9t36k=")</f>
        <v>#VALUE!</v>
      </c>
      <c r="FO358" t="e">
        <f>AND('STERLING CATALOG - FZN &amp; CHILL'!C2651,"AAAAAH9t36o=")</f>
        <v>#VALUE!</v>
      </c>
      <c r="FP358" t="e">
        <f>AND('STERLING CATALOG - FZN &amp; CHILL'!D2651,"AAAAAH9t36s=")</f>
        <v>#VALUE!</v>
      </c>
      <c r="FQ358" t="e">
        <f>AND('STERLING CATALOG - FZN &amp; CHILL'!E2651,"AAAAAH9t36w=")</f>
        <v>#VALUE!</v>
      </c>
      <c r="FR358" t="e">
        <f>AND('STERLING CATALOG - FZN &amp; CHILL'!F2651,"AAAAAH9t360=")</f>
        <v>#VALUE!</v>
      </c>
      <c r="FS358" t="e">
        <f>AND('STERLING CATALOG - FZN &amp; CHILL'!G2651,"AAAAAH9t364=")</f>
        <v>#VALUE!</v>
      </c>
      <c r="FT358" t="e">
        <f>AND('STERLING CATALOG - FZN &amp; CHILL'!H2651,"AAAAAH9t368=")</f>
        <v>#VALUE!</v>
      </c>
      <c r="FU358" t="e">
        <f>AND('STERLING CATALOG - FZN &amp; CHILL'!I2651,"AAAAAH9t37A=")</f>
        <v>#VALUE!</v>
      </c>
      <c r="FV358" t="e">
        <f>AND('STERLING CATALOG - FZN &amp; CHILL'!J2651,"AAAAAH9t37E=")</f>
        <v>#VALUE!</v>
      </c>
      <c r="FW358">
        <f>IF('STERLING CATALOG - FZN &amp; CHILL'!2652:2652,"AAAAAH9t37I=",0)</f>
        <v>0</v>
      </c>
      <c r="FX358" t="e">
        <f>AND('STERLING CATALOG - FZN &amp; CHILL'!A2652,"AAAAAH9t37M=")</f>
        <v>#VALUE!</v>
      </c>
      <c r="FY358" t="e">
        <f>AND('STERLING CATALOG - FZN &amp; CHILL'!B2652,"AAAAAH9t37Q=")</f>
        <v>#VALUE!</v>
      </c>
      <c r="FZ358" t="e">
        <f>AND('STERLING CATALOG - FZN &amp; CHILL'!C2652,"AAAAAH9t37U=")</f>
        <v>#VALUE!</v>
      </c>
      <c r="GA358" t="e">
        <f>AND('STERLING CATALOG - FZN &amp; CHILL'!D2652,"AAAAAH9t37Y=")</f>
        <v>#VALUE!</v>
      </c>
      <c r="GB358" t="e">
        <f>AND('STERLING CATALOG - FZN &amp; CHILL'!E2652,"AAAAAH9t37c=")</f>
        <v>#VALUE!</v>
      </c>
      <c r="GC358" t="e">
        <f>AND('STERLING CATALOG - FZN &amp; CHILL'!F2652,"AAAAAH9t37g=")</f>
        <v>#VALUE!</v>
      </c>
      <c r="GD358" t="e">
        <f>AND('STERLING CATALOG - FZN &amp; CHILL'!G2652,"AAAAAH9t37k=")</f>
        <v>#VALUE!</v>
      </c>
      <c r="GE358" t="e">
        <f>AND('STERLING CATALOG - FZN &amp; CHILL'!H2652,"AAAAAH9t37o=")</f>
        <v>#VALUE!</v>
      </c>
      <c r="GF358" t="e">
        <f>AND('STERLING CATALOG - FZN &amp; CHILL'!I2652,"AAAAAH9t37s=")</f>
        <v>#VALUE!</v>
      </c>
      <c r="GG358" t="e">
        <f>AND('STERLING CATALOG - FZN &amp; CHILL'!J2652,"AAAAAH9t37w=")</f>
        <v>#VALUE!</v>
      </c>
      <c r="GH358">
        <f>IF('STERLING CATALOG - FZN &amp; CHILL'!2653:2653,"AAAAAH9t370=",0)</f>
        <v>0</v>
      </c>
      <c r="GI358" t="e">
        <f>AND('STERLING CATALOG - FZN &amp; CHILL'!A2653,"AAAAAH9t374=")</f>
        <v>#VALUE!</v>
      </c>
      <c r="GJ358" t="e">
        <f>AND('STERLING CATALOG - FZN &amp; CHILL'!B2653,"AAAAAH9t378=")</f>
        <v>#VALUE!</v>
      </c>
      <c r="GK358" t="e">
        <f>AND('STERLING CATALOG - FZN &amp; CHILL'!C2653,"AAAAAH9t38A=")</f>
        <v>#VALUE!</v>
      </c>
      <c r="GL358" t="e">
        <f>AND('STERLING CATALOG - FZN &amp; CHILL'!D2653,"AAAAAH9t38E=")</f>
        <v>#VALUE!</v>
      </c>
      <c r="GM358" t="e">
        <f>AND('STERLING CATALOG - FZN &amp; CHILL'!E2653,"AAAAAH9t38I=")</f>
        <v>#VALUE!</v>
      </c>
      <c r="GN358" t="e">
        <f>AND('STERLING CATALOG - FZN &amp; CHILL'!F2653,"AAAAAH9t38M=")</f>
        <v>#VALUE!</v>
      </c>
      <c r="GO358" t="e">
        <f>AND('STERLING CATALOG - FZN &amp; CHILL'!G2653,"AAAAAH9t38Q=")</f>
        <v>#VALUE!</v>
      </c>
      <c r="GP358" t="e">
        <f>AND('STERLING CATALOG - FZN &amp; CHILL'!H2653,"AAAAAH9t38U=")</f>
        <v>#VALUE!</v>
      </c>
      <c r="GQ358" t="e">
        <f>AND('STERLING CATALOG - FZN &amp; CHILL'!I2653,"AAAAAH9t38Y=")</f>
        <v>#VALUE!</v>
      </c>
      <c r="GR358" t="e">
        <f>AND('STERLING CATALOG - FZN &amp; CHILL'!J2653,"AAAAAH9t38c=")</f>
        <v>#VALUE!</v>
      </c>
      <c r="GS358">
        <f>IF('STERLING CATALOG - FZN &amp; CHILL'!2654:2654,"AAAAAH9t38g=",0)</f>
        <v>0</v>
      </c>
      <c r="GT358" t="e">
        <f>AND('STERLING CATALOG - FZN &amp; CHILL'!A2654,"AAAAAH9t38k=")</f>
        <v>#VALUE!</v>
      </c>
      <c r="GU358" t="e">
        <f>AND('STERLING CATALOG - FZN &amp; CHILL'!B2654,"AAAAAH9t38o=")</f>
        <v>#VALUE!</v>
      </c>
      <c r="GV358" t="e">
        <f>AND('STERLING CATALOG - FZN &amp; CHILL'!C2654,"AAAAAH9t38s=")</f>
        <v>#VALUE!</v>
      </c>
      <c r="GW358" t="e">
        <f>AND('STERLING CATALOG - FZN &amp; CHILL'!D2654,"AAAAAH9t38w=")</f>
        <v>#VALUE!</v>
      </c>
      <c r="GX358" t="e">
        <f>AND('STERLING CATALOG - FZN &amp; CHILL'!E2654,"AAAAAH9t380=")</f>
        <v>#VALUE!</v>
      </c>
      <c r="GY358" t="e">
        <f>AND('STERLING CATALOG - FZN &amp; CHILL'!F2654,"AAAAAH9t384=")</f>
        <v>#VALUE!</v>
      </c>
      <c r="GZ358" t="e">
        <f>AND('STERLING CATALOG - FZN &amp; CHILL'!G2654,"AAAAAH9t388=")</f>
        <v>#VALUE!</v>
      </c>
      <c r="HA358" t="e">
        <f>AND('STERLING CATALOG - FZN &amp; CHILL'!H2654,"AAAAAH9t39A=")</f>
        <v>#VALUE!</v>
      </c>
      <c r="HB358" t="e">
        <f>AND('STERLING CATALOG - FZN &amp; CHILL'!I2654,"AAAAAH9t39E=")</f>
        <v>#VALUE!</v>
      </c>
      <c r="HC358" t="e">
        <f>AND('STERLING CATALOG - FZN &amp; CHILL'!J2654,"AAAAAH9t39I=")</f>
        <v>#VALUE!</v>
      </c>
      <c r="HD358">
        <f>IF('STERLING CATALOG - FZN &amp; CHILL'!2655:2655,"AAAAAH9t39M=",0)</f>
        <v>0</v>
      </c>
      <c r="HE358" t="e">
        <f>AND('STERLING CATALOG - FZN &amp; CHILL'!A2655,"AAAAAH9t39Q=")</f>
        <v>#VALUE!</v>
      </c>
      <c r="HF358" t="e">
        <f>AND('STERLING CATALOG - FZN &amp; CHILL'!B2655,"AAAAAH9t39U=")</f>
        <v>#VALUE!</v>
      </c>
      <c r="HG358" t="e">
        <f>AND('STERLING CATALOG - FZN &amp; CHILL'!C2655,"AAAAAH9t39Y=")</f>
        <v>#VALUE!</v>
      </c>
      <c r="HH358" t="e">
        <f>AND('STERLING CATALOG - FZN &amp; CHILL'!D2655,"AAAAAH9t39c=")</f>
        <v>#VALUE!</v>
      </c>
      <c r="HI358" t="e">
        <f>AND('STERLING CATALOG - FZN &amp; CHILL'!E2655,"AAAAAH9t39g=")</f>
        <v>#VALUE!</v>
      </c>
      <c r="HJ358" t="e">
        <f>AND('STERLING CATALOG - FZN &amp; CHILL'!F2655,"AAAAAH9t39k=")</f>
        <v>#VALUE!</v>
      </c>
      <c r="HK358" t="e">
        <f>AND('STERLING CATALOG - FZN &amp; CHILL'!G2655,"AAAAAH9t39o=")</f>
        <v>#VALUE!</v>
      </c>
      <c r="HL358" t="e">
        <f>AND('STERLING CATALOG - FZN &amp; CHILL'!H2655,"AAAAAH9t39s=")</f>
        <v>#VALUE!</v>
      </c>
      <c r="HM358" t="e">
        <f>AND('STERLING CATALOG - FZN &amp; CHILL'!I2655,"AAAAAH9t39w=")</f>
        <v>#VALUE!</v>
      </c>
      <c r="HN358" t="e">
        <f>AND('STERLING CATALOG - FZN &amp; CHILL'!J2655,"AAAAAH9t390=")</f>
        <v>#VALUE!</v>
      </c>
      <c r="HO358">
        <f>IF('STERLING CATALOG - FZN &amp; CHILL'!2656:2656,"AAAAAH9t394=",0)</f>
        <v>0</v>
      </c>
      <c r="HP358" t="e">
        <f>AND('STERLING CATALOG - FZN &amp; CHILL'!A2656,"AAAAAH9t398=")</f>
        <v>#VALUE!</v>
      </c>
      <c r="HQ358" t="e">
        <f>AND('STERLING CATALOG - FZN &amp; CHILL'!B2656,"AAAAAH9t3+A=")</f>
        <v>#VALUE!</v>
      </c>
      <c r="HR358" t="e">
        <f>AND('STERLING CATALOG - FZN &amp; CHILL'!C2656,"AAAAAH9t3+E=")</f>
        <v>#VALUE!</v>
      </c>
      <c r="HS358" t="e">
        <f>AND('STERLING CATALOG - FZN &amp; CHILL'!D2656,"AAAAAH9t3+I=")</f>
        <v>#VALUE!</v>
      </c>
      <c r="HT358" t="e">
        <f>AND('STERLING CATALOG - FZN &amp; CHILL'!E2656,"AAAAAH9t3+M=")</f>
        <v>#VALUE!</v>
      </c>
      <c r="HU358" t="e">
        <f>AND('STERLING CATALOG - FZN &amp; CHILL'!F2656,"AAAAAH9t3+Q=")</f>
        <v>#VALUE!</v>
      </c>
      <c r="HV358" t="e">
        <f>AND('STERLING CATALOG - FZN &amp; CHILL'!G2656,"AAAAAH9t3+U=")</f>
        <v>#VALUE!</v>
      </c>
      <c r="HW358" t="e">
        <f>AND('STERLING CATALOG - FZN &amp; CHILL'!H2656,"AAAAAH9t3+Y=")</f>
        <v>#VALUE!</v>
      </c>
      <c r="HX358" t="e">
        <f>AND('STERLING CATALOG - FZN &amp; CHILL'!I2656,"AAAAAH9t3+c=")</f>
        <v>#VALUE!</v>
      </c>
      <c r="HY358" t="e">
        <f>AND('STERLING CATALOG - FZN &amp; CHILL'!J2656,"AAAAAH9t3+g=")</f>
        <v>#VALUE!</v>
      </c>
      <c r="HZ358">
        <f>IF('STERLING CATALOG - FZN &amp; CHILL'!2657:2657,"AAAAAH9t3+k=",0)</f>
        <v>0</v>
      </c>
      <c r="IA358" t="e">
        <f>AND('STERLING CATALOG - FZN &amp; CHILL'!A2657,"AAAAAH9t3+o=")</f>
        <v>#VALUE!</v>
      </c>
      <c r="IB358" t="e">
        <f>AND('STERLING CATALOG - FZN &amp; CHILL'!B2657,"AAAAAH9t3+s=")</f>
        <v>#VALUE!</v>
      </c>
      <c r="IC358" t="e">
        <f>AND('STERLING CATALOG - FZN &amp; CHILL'!C2657,"AAAAAH9t3+w=")</f>
        <v>#VALUE!</v>
      </c>
      <c r="ID358" t="e">
        <f>AND('STERLING CATALOG - FZN &amp; CHILL'!D2657,"AAAAAH9t3+0=")</f>
        <v>#VALUE!</v>
      </c>
      <c r="IE358" t="e">
        <f>AND('STERLING CATALOG - FZN &amp; CHILL'!E2657,"AAAAAH9t3+4=")</f>
        <v>#VALUE!</v>
      </c>
      <c r="IF358" t="e">
        <f>AND('STERLING CATALOG - FZN &amp; CHILL'!F2657,"AAAAAH9t3+8=")</f>
        <v>#VALUE!</v>
      </c>
      <c r="IG358" t="e">
        <f>AND('STERLING CATALOG - FZN &amp; CHILL'!G2657,"AAAAAH9t3/A=")</f>
        <v>#VALUE!</v>
      </c>
      <c r="IH358" t="e">
        <f>AND('STERLING CATALOG - FZN &amp; CHILL'!H2657,"AAAAAH9t3/E=")</f>
        <v>#VALUE!</v>
      </c>
      <c r="II358" t="e">
        <f>AND('STERLING CATALOG - FZN &amp; CHILL'!I2657,"AAAAAH9t3/I=")</f>
        <v>#VALUE!</v>
      </c>
      <c r="IJ358" t="e">
        <f>AND('STERLING CATALOG - FZN &amp; CHILL'!J2657,"AAAAAH9t3/M=")</f>
        <v>#VALUE!</v>
      </c>
      <c r="IK358">
        <f>IF('STERLING CATALOG - FZN &amp; CHILL'!2658:2658,"AAAAAH9t3/Q=",0)</f>
        <v>0</v>
      </c>
      <c r="IL358" t="e">
        <f>AND('STERLING CATALOG - FZN &amp; CHILL'!A2658,"AAAAAH9t3/U=")</f>
        <v>#VALUE!</v>
      </c>
      <c r="IM358" t="e">
        <f>AND('STERLING CATALOG - FZN &amp; CHILL'!B2658,"AAAAAH9t3/Y=")</f>
        <v>#VALUE!</v>
      </c>
      <c r="IN358" t="e">
        <f>AND('STERLING CATALOG - FZN &amp; CHILL'!C2658,"AAAAAH9t3/c=")</f>
        <v>#VALUE!</v>
      </c>
      <c r="IO358" t="e">
        <f>AND('STERLING CATALOG - FZN &amp; CHILL'!D2658,"AAAAAH9t3/g=")</f>
        <v>#VALUE!</v>
      </c>
      <c r="IP358" t="e">
        <f>AND('STERLING CATALOG - FZN &amp; CHILL'!E2658,"AAAAAH9t3/k=")</f>
        <v>#VALUE!</v>
      </c>
      <c r="IQ358" t="e">
        <f>AND('STERLING CATALOG - FZN &amp; CHILL'!F2658,"AAAAAH9t3/o=")</f>
        <v>#VALUE!</v>
      </c>
      <c r="IR358" t="e">
        <f>AND('STERLING CATALOG - FZN &amp; CHILL'!G2658,"AAAAAH9t3/s=")</f>
        <v>#VALUE!</v>
      </c>
      <c r="IS358" t="e">
        <f>AND('STERLING CATALOG - FZN &amp; CHILL'!H2658,"AAAAAH9t3/w=")</f>
        <v>#VALUE!</v>
      </c>
      <c r="IT358" t="e">
        <f>AND('STERLING CATALOG - FZN &amp; CHILL'!I2658,"AAAAAH9t3/0=")</f>
        <v>#VALUE!</v>
      </c>
      <c r="IU358" t="e">
        <f>AND('STERLING CATALOG - FZN &amp; CHILL'!J2658,"AAAAAH9t3/4=")</f>
        <v>#VALUE!</v>
      </c>
      <c r="IV358">
        <f>IF('STERLING CATALOG - FZN &amp; CHILL'!2659:2659,"AAAAAH9t3/8=",0)</f>
        <v>0</v>
      </c>
    </row>
    <row r="359" spans="1:256">
      <c r="A359" t="e">
        <f>AND('STERLING CATALOG - FZN &amp; CHILL'!A2659,"AAAAADfrfwA=")</f>
        <v>#VALUE!</v>
      </c>
      <c r="B359" t="e">
        <f>AND('STERLING CATALOG - FZN &amp; CHILL'!B2659,"AAAAADfrfwE=")</f>
        <v>#VALUE!</v>
      </c>
      <c r="C359" t="e">
        <f>AND('STERLING CATALOG - FZN &amp; CHILL'!C2659,"AAAAADfrfwI=")</f>
        <v>#VALUE!</v>
      </c>
      <c r="D359" t="e">
        <f>AND('STERLING CATALOG - FZN &amp; CHILL'!D2659,"AAAAADfrfwM=")</f>
        <v>#VALUE!</v>
      </c>
      <c r="E359" t="e">
        <f>AND('STERLING CATALOG - FZN &amp; CHILL'!E2659,"AAAAADfrfwQ=")</f>
        <v>#VALUE!</v>
      </c>
      <c r="F359" t="e">
        <f>AND('STERLING CATALOG - FZN &amp; CHILL'!F2659,"AAAAADfrfwU=")</f>
        <v>#VALUE!</v>
      </c>
      <c r="G359" t="e">
        <f>AND('STERLING CATALOG - FZN &amp; CHILL'!G2659,"AAAAADfrfwY=")</f>
        <v>#VALUE!</v>
      </c>
      <c r="H359" t="e">
        <f>AND('STERLING CATALOG - FZN &amp; CHILL'!H2659,"AAAAADfrfwc=")</f>
        <v>#VALUE!</v>
      </c>
      <c r="I359" t="e">
        <f>AND('STERLING CATALOG - FZN &amp; CHILL'!I2659,"AAAAADfrfwg=")</f>
        <v>#VALUE!</v>
      </c>
      <c r="J359" t="e">
        <f>AND('STERLING CATALOG - FZN &amp; CHILL'!J2659,"AAAAADfrfwk=")</f>
        <v>#VALUE!</v>
      </c>
      <c r="K359">
        <f>IF('STERLING CATALOG - FZN &amp; CHILL'!2660:2660,"AAAAADfrfwo=",0)</f>
        <v>0</v>
      </c>
      <c r="L359" t="e">
        <f>AND('STERLING CATALOG - FZN &amp; CHILL'!A2660,"AAAAADfrfws=")</f>
        <v>#VALUE!</v>
      </c>
      <c r="M359" t="e">
        <f>AND('STERLING CATALOG - FZN &amp; CHILL'!B2660,"AAAAADfrfww=")</f>
        <v>#VALUE!</v>
      </c>
      <c r="N359" t="e">
        <f>AND('STERLING CATALOG - FZN &amp; CHILL'!C2660,"AAAAADfrfw0=")</f>
        <v>#VALUE!</v>
      </c>
      <c r="O359" t="e">
        <f>AND('STERLING CATALOG - FZN &amp; CHILL'!D2660,"AAAAADfrfw4=")</f>
        <v>#VALUE!</v>
      </c>
      <c r="P359" t="e">
        <f>AND('STERLING CATALOG - FZN &amp; CHILL'!E2660,"AAAAADfrfw8=")</f>
        <v>#VALUE!</v>
      </c>
      <c r="Q359" t="e">
        <f>AND('STERLING CATALOG - FZN &amp; CHILL'!F2660,"AAAAADfrfxA=")</f>
        <v>#VALUE!</v>
      </c>
      <c r="R359" t="e">
        <f>AND('STERLING CATALOG - FZN &amp; CHILL'!G2660,"AAAAADfrfxE=")</f>
        <v>#VALUE!</v>
      </c>
      <c r="S359" t="e">
        <f>AND('STERLING CATALOG - FZN &amp; CHILL'!H2660,"AAAAADfrfxI=")</f>
        <v>#VALUE!</v>
      </c>
      <c r="T359" t="e">
        <f>AND('STERLING CATALOG - FZN &amp; CHILL'!I2660,"AAAAADfrfxM=")</f>
        <v>#VALUE!</v>
      </c>
      <c r="U359" t="e">
        <f>AND('STERLING CATALOG - FZN &amp; CHILL'!J2660,"AAAAADfrfxQ=")</f>
        <v>#VALUE!</v>
      </c>
      <c r="V359">
        <f>IF('STERLING CATALOG - FZN &amp; CHILL'!2661:2661,"AAAAADfrfxU=",0)</f>
        <v>0</v>
      </c>
      <c r="W359" t="e">
        <f>AND('STERLING CATALOG - FZN &amp; CHILL'!A2661,"AAAAADfrfxY=")</f>
        <v>#VALUE!</v>
      </c>
      <c r="X359" t="e">
        <f>AND('STERLING CATALOG - FZN &amp; CHILL'!B2661,"AAAAADfrfxc=")</f>
        <v>#VALUE!</v>
      </c>
      <c r="Y359" t="e">
        <f>AND('STERLING CATALOG - FZN &amp; CHILL'!C2661,"AAAAADfrfxg=")</f>
        <v>#VALUE!</v>
      </c>
      <c r="Z359" t="e">
        <f>AND('STERLING CATALOG - FZN &amp; CHILL'!D2661,"AAAAADfrfxk=")</f>
        <v>#VALUE!</v>
      </c>
      <c r="AA359" t="e">
        <f>AND('STERLING CATALOG - FZN &amp; CHILL'!E2661,"AAAAADfrfxo=")</f>
        <v>#VALUE!</v>
      </c>
      <c r="AB359" t="e">
        <f>AND('STERLING CATALOG - FZN &amp; CHILL'!F2661,"AAAAADfrfxs=")</f>
        <v>#VALUE!</v>
      </c>
      <c r="AC359" t="e">
        <f>AND('STERLING CATALOG - FZN &amp; CHILL'!G2661,"AAAAADfrfxw=")</f>
        <v>#VALUE!</v>
      </c>
      <c r="AD359" t="e">
        <f>AND('STERLING CATALOG - FZN &amp; CHILL'!H2661,"AAAAADfrfx0=")</f>
        <v>#VALUE!</v>
      </c>
      <c r="AE359" t="e">
        <f>AND('STERLING CATALOG - FZN &amp; CHILL'!I2661,"AAAAADfrfx4=")</f>
        <v>#VALUE!</v>
      </c>
      <c r="AF359" t="e">
        <f>AND('STERLING CATALOG - FZN &amp; CHILL'!J2661,"AAAAADfrfx8=")</f>
        <v>#VALUE!</v>
      </c>
      <c r="AG359">
        <f>IF('STERLING CATALOG - FZN &amp; CHILL'!2662:2662,"AAAAADfrfyA=",0)</f>
        <v>0</v>
      </c>
      <c r="AH359" t="e">
        <f>AND('STERLING CATALOG - FZN &amp; CHILL'!A2662,"AAAAADfrfyE=")</f>
        <v>#VALUE!</v>
      </c>
      <c r="AI359" t="e">
        <f>AND('STERLING CATALOG - FZN &amp; CHILL'!B2662,"AAAAADfrfyI=")</f>
        <v>#VALUE!</v>
      </c>
      <c r="AJ359" t="e">
        <f>AND('STERLING CATALOG - FZN &amp; CHILL'!C2662,"AAAAADfrfyM=")</f>
        <v>#VALUE!</v>
      </c>
      <c r="AK359" t="e">
        <f>AND('STERLING CATALOG - FZN &amp; CHILL'!D2662,"AAAAADfrfyQ=")</f>
        <v>#VALUE!</v>
      </c>
      <c r="AL359" t="e">
        <f>AND('STERLING CATALOG - FZN &amp; CHILL'!E2662,"AAAAADfrfyU=")</f>
        <v>#VALUE!</v>
      </c>
      <c r="AM359" t="e">
        <f>AND('STERLING CATALOG - FZN &amp; CHILL'!F2662,"AAAAADfrfyY=")</f>
        <v>#VALUE!</v>
      </c>
      <c r="AN359" t="e">
        <f>AND('STERLING CATALOG - FZN &amp; CHILL'!G2662,"AAAAADfrfyc=")</f>
        <v>#VALUE!</v>
      </c>
      <c r="AO359" t="e">
        <f>AND('STERLING CATALOG - FZN &amp; CHILL'!H2662,"AAAAADfrfyg=")</f>
        <v>#VALUE!</v>
      </c>
      <c r="AP359" t="e">
        <f>AND('STERLING CATALOG - FZN &amp; CHILL'!I2662,"AAAAADfrfyk=")</f>
        <v>#VALUE!</v>
      </c>
      <c r="AQ359" t="e">
        <f>AND('STERLING CATALOG - FZN &amp; CHILL'!J2662,"AAAAADfrfyo=")</f>
        <v>#VALUE!</v>
      </c>
      <c r="AR359">
        <f>IF('STERLING CATALOG - FZN &amp; CHILL'!2663:2663,"AAAAADfrfys=",0)</f>
        <v>0</v>
      </c>
      <c r="AS359" t="e">
        <f>AND('STERLING CATALOG - FZN &amp; CHILL'!A2663,"AAAAADfrfyw=")</f>
        <v>#VALUE!</v>
      </c>
      <c r="AT359" t="e">
        <f>AND('STERLING CATALOG - FZN &amp; CHILL'!B2663,"AAAAADfrfy0=")</f>
        <v>#VALUE!</v>
      </c>
      <c r="AU359" t="e">
        <f>AND('STERLING CATALOG - FZN &amp; CHILL'!C2663,"AAAAADfrfy4=")</f>
        <v>#VALUE!</v>
      </c>
      <c r="AV359" t="e">
        <f>AND('STERLING CATALOG - FZN &amp; CHILL'!D2663,"AAAAADfrfy8=")</f>
        <v>#VALUE!</v>
      </c>
      <c r="AW359" t="e">
        <f>AND('STERLING CATALOG - FZN &amp; CHILL'!E2663,"AAAAADfrfzA=")</f>
        <v>#VALUE!</v>
      </c>
      <c r="AX359" t="e">
        <f>AND('STERLING CATALOG - FZN &amp; CHILL'!F2663,"AAAAADfrfzE=")</f>
        <v>#VALUE!</v>
      </c>
      <c r="AY359" t="e">
        <f>AND('STERLING CATALOG - FZN &amp; CHILL'!G2663,"AAAAADfrfzI=")</f>
        <v>#VALUE!</v>
      </c>
      <c r="AZ359" t="e">
        <f>AND('STERLING CATALOG - FZN &amp; CHILL'!H2663,"AAAAADfrfzM=")</f>
        <v>#VALUE!</v>
      </c>
      <c r="BA359" t="e">
        <f>AND('STERLING CATALOG - FZN &amp; CHILL'!I2663,"AAAAADfrfzQ=")</f>
        <v>#VALUE!</v>
      </c>
      <c r="BB359" t="e">
        <f>AND('STERLING CATALOG - FZN &amp; CHILL'!J2663,"AAAAADfrfzU=")</f>
        <v>#VALUE!</v>
      </c>
      <c r="BC359">
        <f>IF('STERLING CATALOG - FZN &amp; CHILL'!2664:2664,"AAAAADfrfzY=",0)</f>
        <v>0</v>
      </c>
      <c r="BD359" t="e">
        <f>AND('STERLING CATALOG - FZN &amp; CHILL'!A2664,"AAAAADfrfzc=")</f>
        <v>#VALUE!</v>
      </c>
      <c r="BE359" t="e">
        <f>AND('STERLING CATALOG - FZN &amp; CHILL'!B2664,"AAAAADfrfzg=")</f>
        <v>#VALUE!</v>
      </c>
      <c r="BF359" t="e">
        <f>AND('STERLING CATALOG - FZN &amp; CHILL'!C2664,"AAAAADfrfzk=")</f>
        <v>#VALUE!</v>
      </c>
      <c r="BG359" t="e">
        <f>AND('STERLING CATALOG - FZN &amp; CHILL'!D2664,"AAAAADfrfzo=")</f>
        <v>#VALUE!</v>
      </c>
      <c r="BH359" t="e">
        <f>AND('STERLING CATALOG - FZN &amp; CHILL'!E2664,"AAAAADfrfzs=")</f>
        <v>#VALUE!</v>
      </c>
      <c r="BI359" t="e">
        <f>AND('STERLING CATALOG - FZN &amp; CHILL'!F2664,"AAAAADfrfzw=")</f>
        <v>#VALUE!</v>
      </c>
      <c r="BJ359" t="e">
        <f>AND('STERLING CATALOG - FZN &amp; CHILL'!G2664,"AAAAADfrfz0=")</f>
        <v>#VALUE!</v>
      </c>
      <c r="BK359" t="e">
        <f>AND('STERLING CATALOG - FZN &amp; CHILL'!H2664,"AAAAADfrfz4=")</f>
        <v>#VALUE!</v>
      </c>
      <c r="BL359" t="e">
        <f>AND('STERLING CATALOG - FZN &amp; CHILL'!I2664,"AAAAADfrfz8=")</f>
        <v>#VALUE!</v>
      </c>
      <c r="BM359" t="e">
        <f>AND('STERLING CATALOG - FZN &amp; CHILL'!J2664,"AAAAADfrf0A=")</f>
        <v>#VALUE!</v>
      </c>
      <c r="BN359">
        <f>IF('STERLING CATALOG - FZN &amp; CHILL'!2665:2665,"AAAAADfrf0E=",0)</f>
        <v>0</v>
      </c>
      <c r="BO359" t="e">
        <f>AND('STERLING CATALOG - FZN &amp; CHILL'!A2665,"AAAAADfrf0I=")</f>
        <v>#VALUE!</v>
      </c>
      <c r="BP359" t="e">
        <f>AND('STERLING CATALOG - FZN &amp; CHILL'!B2665,"AAAAADfrf0M=")</f>
        <v>#VALUE!</v>
      </c>
      <c r="BQ359" t="e">
        <f>AND('STERLING CATALOG - FZN &amp; CHILL'!C2665,"AAAAADfrf0Q=")</f>
        <v>#VALUE!</v>
      </c>
      <c r="BR359" t="e">
        <f>AND('STERLING CATALOG - FZN &amp; CHILL'!D2665,"AAAAADfrf0U=")</f>
        <v>#VALUE!</v>
      </c>
      <c r="BS359" t="e">
        <f>AND('STERLING CATALOG - FZN &amp; CHILL'!E2665,"AAAAADfrf0Y=")</f>
        <v>#VALUE!</v>
      </c>
      <c r="BT359" t="e">
        <f>AND('STERLING CATALOG - FZN &amp; CHILL'!F2665,"AAAAADfrf0c=")</f>
        <v>#VALUE!</v>
      </c>
      <c r="BU359" t="e">
        <f>AND('STERLING CATALOG - FZN &amp; CHILL'!G2665,"AAAAADfrf0g=")</f>
        <v>#VALUE!</v>
      </c>
      <c r="BV359" t="e">
        <f>AND('STERLING CATALOG - FZN &amp; CHILL'!H2665,"AAAAADfrf0k=")</f>
        <v>#VALUE!</v>
      </c>
      <c r="BW359" t="e">
        <f>AND('STERLING CATALOG - FZN &amp; CHILL'!I2665,"AAAAADfrf0o=")</f>
        <v>#VALUE!</v>
      </c>
      <c r="BX359" t="e">
        <f>AND('STERLING CATALOG - FZN &amp; CHILL'!J2665,"AAAAADfrf0s=")</f>
        <v>#VALUE!</v>
      </c>
      <c r="BY359">
        <f>IF('STERLING CATALOG - FZN &amp; CHILL'!2666:2666,"AAAAADfrf0w=",0)</f>
        <v>0</v>
      </c>
      <c r="BZ359" t="e">
        <f>AND('STERLING CATALOG - FZN &amp; CHILL'!A2666,"AAAAADfrf00=")</f>
        <v>#VALUE!</v>
      </c>
      <c r="CA359" t="e">
        <f>AND('STERLING CATALOG - FZN &amp; CHILL'!B2666,"AAAAADfrf04=")</f>
        <v>#VALUE!</v>
      </c>
      <c r="CB359" t="e">
        <f>AND('STERLING CATALOG - FZN &amp; CHILL'!C2666,"AAAAADfrf08=")</f>
        <v>#VALUE!</v>
      </c>
      <c r="CC359" t="e">
        <f>AND('STERLING CATALOG - FZN &amp; CHILL'!D2666,"AAAAADfrf1A=")</f>
        <v>#VALUE!</v>
      </c>
      <c r="CD359" t="e">
        <f>AND('STERLING CATALOG - FZN &amp; CHILL'!E2666,"AAAAADfrf1E=")</f>
        <v>#VALUE!</v>
      </c>
      <c r="CE359" t="e">
        <f>AND('STERLING CATALOG - FZN &amp; CHILL'!F2666,"AAAAADfrf1I=")</f>
        <v>#VALUE!</v>
      </c>
      <c r="CF359" t="e">
        <f>AND('STERLING CATALOG - FZN &amp; CHILL'!G2666,"AAAAADfrf1M=")</f>
        <v>#VALUE!</v>
      </c>
      <c r="CG359" t="e">
        <f>AND('STERLING CATALOG - FZN &amp; CHILL'!H2666,"AAAAADfrf1Q=")</f>
        <v>#VALUE!</v>
      </c>
      <c r="CH359" t="e">
        <f>AND('STERLING CATALOG - FZN &amp; CHILL'!I2666,"AAAAADfrf1U=")</f>
        <v>#VALUE!</v>
      </c>
      <c r="CI359" t="e">
        <f>AND('STERLING CATALOG - FZN &amp; CHILL'!J2666,"AAAAADfrf1Y=")</f>
        <v>#VALUE!</v>
      </c>
      <c r="CJ359">
        <f>IF('STERLING CATALOG - FZN &amp; CHILL'!2667:2667,"AAAAADfrf1c=",0)</f>
        <v>0</v>
      </c>
      <c r="CK359" t="e">
        <f>AND('STERLING CATALOG - FZN &amp; CHILL'!A2667,"AAAAADfrf1g=")</f>
        <v>#VALUE!</v>
      </c>
      <c r="CL359" t="e">
        <f>AND('STERLING CATALOG - FZN &amp; CHILL'!B2667,"AAAAADfrf1k=")</f>
        <v>#VALUE!</v>
      </c>
      <c r="CM359" t="e">
        <f>AND('STERLING CATALOG - FZN &amp; CHILL'!C2667,"AAAAADfrf1o=")</f>
        <v>#VALUE!</v>
      </c>
      <c r="CN359" t="e">
        <f>AND('STERLING CATALOG - FZN &amp; CHILL'!D2667,"AAAAADfrf1s=")</f>
        <v>#VALUE!</v>
      </c>
      <c r="CO359" t="e">
        <f>AND('STERLING CATALOG - FZN &amp; CHILL'!E2667,"AAAAADfrf1w=")</f>
        <v>#VALUE!</v>
      </c>
      <c r="CP359" t="e">
        <f>AND('STERLING CATALOG - FZN &amp; CHILL'!F2667,"AAAAADfrf10=")</f>
        <v>#VALUE!</v>
      </c>
      <c r="CQ359" t="e">
        <f>AND('STERLING CATALOG - FZN &amp; CHILL'!G2667,"AAAAADfrf14=")</f>
        <v>#VALUE!</v>
      </c>
      <c r="CR359" t="e">
        <f>AND('STERLING CATALOG - FZN &amp; CHILL'!H2667,"AAAAADfrf18=")</f>
        <v>#VALUE!</v>
      </c>
      <c r="CS359" t="e">
        <f>AND('STERLING CATALOG - FZN &amp; CHILL'!I2667,"AAAAADfrf2A=")</f>
        <v>#VALUE!</v>
      </c>
      <c r="CT359" t="e">
        <f>AND('STERLING CATALOG - FZN &amp; CHILL'!J2667,"AAAAADfrf2E=")</f>
        <v>#VALUE!</v>
      </c>
      <c r="CU359">
        <f>IF('STERLING CATALOG - FZN &amp; CHILL'!2668:2668,"AAAAADfrf2I=",0)</f>
        <v>0</v>
      </c>
      <c r="CV359" t="e">
        <f>AND('STERLING CATALOG - FZN &amp; CHILL'!A2668,"AAAAADfrf2M=")</f>
        <v>#VALUE!</v>
      </c>
      <c r="CW359" t="e">
        <f>AND('STERLING CATALOG - FZN &amp; CHILL'!B2668,"AAAAADfrf2Q=")</f>
        <v>#VALUE!</v>
      </c>
      <c r="CX359" t="e">
        <f>AND('STERLING CATALOG - FZN &amp; CHILL'!C2668,"AAAAADfrf2U=")</f>
        <v>#VALUE!</v>
      </c>
      <c r="CY359" t="e">
        <f>AND('STERLING CATALOG - FZN &amp; CHILL'!D2668,"AAAAADfrf2Y=")</f>
        <v>#VALUE!</v>
      </c>
      <c r="CZ359" t="e">
        <f>AND('STERLING CATALOG - FZN &amp; CHILL'!E2668,"AAAAADfrf2c=")</f>
        <v>#VALUE!</v>
      </c>
      <c r="DA359" t="e">
        <f>AND('STERLING CATALOG - FZN &amp; CHILL'!F2668,"AAAAADfrf2g=")</f>
        <v>#VALUE!</v>
      </c>
      <c r="DB359" t="e">
        <f>AND('STERLING CATALOG - FZN &amp; CHILL'!G2668,"AAAAADfrf2k=")</f>
        <v>#VALUE!</v>
      </c>
      <c r="DC359" t="e">
        <f>AND('STERLING CATALOG - FZN &amp; CHILL'!H2668,"AAAAADfrf2o=")</f>
        <v>#VALUE!</v>
      </c>
      <c r="DD359" t="e">
        <f>AND('STERLING CATALOG - FZN &amp; CHILL'!I2668,"AAAAADfrf2s=")</f>
        <v>#VALUE!</v>
      </c>
      <c r="DE359" t="e">
        <f>AND('STERLING CATALOG - FZN &amp; CHILL'!J2668,"AAAAADfrf2w=")</f>
        <v>#VALUE!</v>
      </c>
      <c r="DF359">
        <f>IF('STERLING CATALOG - FZN &amp; CHILL'!2669:2669,"AAAAADfrf20=",0)</f>
        <v>0</v>
      </c>
      <c r="DG359" t="e">
        <f>AND('STERLING CATALOG - FZN &amp; CHILL'!A2669,"AAAAADfrf24=")</f>
        <v>#VALUE!</v>
      </c>
      <c r="DH359" t="e">
        <f>AND('STERLING CATALOG - FZN &amp; CHILL'!B2669,"AAAAADfrf28=")</f>
        <v>#VALUE!</v>
      </c>
      <c r="DI359" t="e">
        <f>AND('STERLING CATALOG - FZN &amp; CHILL'!C2669,"AAAAADfrf3A=")</f>
        <v>#VALUE!</v>
      </c>
      <c r="DJ359" t="e">
        <f>AND('STERLING CATALOG - FZN &amp; CHILL'!D2669,"AAAAADfrf3E=")</f>
        <v>#VALUE!</v>
      </c>
      <c r="DK359" t="e">
        <f>AND('STERLING CATALOG - FZN &amp; CHILL'!E2669,"AAAAADfrf3I=")</f>
        <v>#VALUE!</v>
      </c>
      <c r="DL359" t="e">
        <f>AND('STERLING CATALOG - FZN &amp; CHILL'!F2669,"AAAAADfrf3M=")</f>
        <v>#VALUE!</v>
      </c>
      <c r="DM359" t="e">
        <f>AND('STERLING CATALOG - FZN &amp; CHILL'!G2669,"AAAAADfrf3Q=")</f>
        <v>#VALUE!</v>
      </c>
      <c r="DN359" t="e">
        <f>AND('STERLING CATALOG - FZN &amp; CHILL'!H2669,"AAAAADfrf3U=")</f>
        <v>#VALUE!</v>
      </c>
      <c r="DO359" t="e">
        <f>AND('STERLING CATALOG - FZN &amp; CHILL'!I2669,"AAAAADfrf3Y=")</f>
        <v>#VALUE!</v>
      </c>
      <c r="DP359" t="e">
        <f>AND('STERLING CATALOG - FZN &amp; CHILL'!J2669,"AAAAADfrf3c=")</f>
        <v>#VALUE!</v>
      </c>
      <c r="DQ359">
        <f>IF('STERLING CATALOG - FZN &amp; CHILL'!2670:2670,"AAAAADfrf3g=",0)</f>
        <v>0</v>
      </c>
      <c r="DR359" t="e">
        <f>AND('STERLING CATALOG - FZN &amp; CHILL'!A2670,"AAAAADfrf3k=")</f>
        <v>#VALUE!</v>
      </c>
      <c r="DS359" t="e">
        <f>AND('STERLING CATALOG - FZN &amp; CHILL'!B2670,"AAAAADfrf3o=")</f>
        <v>#VALUE!</v>
      </c>
      <c r="DT359" t="e">
        <f>AND('STERLING CATALOG - FZN &amp; CHILL'!C2670,"AAAAADfrf3s=")</f>
        <v>#VALUE!</v>
      </c>
      <c r="DU359" t="e">
        <f>AND('STERLING CATALOG - FZN &amp; CHILL'!D2670,"AAAAADfrf3w=")</f>
        <v>#VALUE!</v>
      </c>
      <c r="DV359" t="e">
        <f>AND('STERLING CATALOG - FZN &amp; CHILL'!E2670,"AAAAADfrf30=")</f>
        <v>#VALUE!</v>
      </c>
      <c r="DW359" t="e">
        <f>AND('STERLING CATALOG - FZN &amp; CHILL'!F2670,"AAAAADfrf34=")</f>
        <v>#VALUE!</v>
      </c>
      <c r="DX359" t="e">
        <f>AND('STERLING CATALOG - FZN &amp; CHILL'!G2670,"AAAAADfrf38=")</f>
        <v>#VALUE!</v>
      </c>
      <c r="DY359" t="e">
        <f>AND('STERLING CATALOG - FZN &amp; CHILL'!H2670,"AAAAADfrf4A=")</f>
        <v>#VALUE!</v>
      </c>
      <c r="DZ359" t="e">
        <f>AND('STERLING CATALOG - FZN &amp; CHILL'!I2670,"AAAAADfrf4E=")</f>
        <v>#VALUE!</v>
      </c>
      <c r="EA359" t="e">
        <f>AND('STERLING CATALOG - FZN &amp; CHILL'!J2670,"AAAAADfrf4I=")</f>
        <v>#VALUE!</v>
      </c>
      <c r="EB359">
        <f>IF('STERLING CATALOG - FZN &amp; CHILL'!2671:2671,"AAAAADfrf4M=",0)</f>
        <v>0</v>
      </c>
      <c r="EC359" t="e">
        <f>AND('STERLING CATALOG - FZN &amp; CHILL'!A2671,"AAAAADfrf4Q=")</f>
        <v>#VALUE!</v>
      </c>
      <c r="ED359" t="e">
        <f>AND('STERLING CATALOG - FZN &amp; CHILL'!B2671,"AAAAADfrf4U=")</f>
        <v>#VALUE!</v>
      </c>
      <c r="EE359" t="e">
        <f>AND('STERLING CATALOG - FZN &amp; CHILL'!C2671,"AAAAADfrf4Y=")</f>
        <v>#VALUE!</v>
      </c>
      <c r="EF359" t="e">
        <f>AND('STERLING CATALOG - FZN &amp; CHILL'!D2671,"AAAAADfrf4c=")</f>
        <v>#VALUE!</v>
      </c>
      <c r="EG359" t="e">
        <f>AND('STERLING CATALOG - FZN &amp; CHILL'!E2671,"AAAAADfrf4g=")</f>
        <v>#VALUE!</v>
      </c>
      <c r="EH359" t="e">
        <f>AND('STERLING CATALOG - FZN &amp; CHILL'!F2671,"AAAAADfrf4k=")</f>
        <v>#VALUE!</v>
      </c>
      <c r="EI359" t="e">
        <f>AND('STERLING CATALOG - FZN &amp; CHILL'!G2671,"AAAAADfrf4o=")</f>
        <v>#VALUE!</v>
      </c>
      <c r="EJ359" t="e">
        <f>AND('STERLING CATALOG - FZN &amp; CHILL'!H2671,"AAAAADfrf4s=")</f>
        <v>#VALUE!</v>
      </c>
      <c r="EK359" t="e">
        <f>AND('STERLING CATALOG - FZN &amp; CHILL'!I2671,"AAAAADfrf4w=")</f>
        <v>#VALUE!</v>
      </c>
      <c r="EL359" t="e">
        <f>AND('STERLING CATALOG - FZN &amp; CHILL'!J2671,"AAAAADfrf40=")</f>
        <v>#VALUE!</v>
      </c>
      <c r="EM359">
        <f>IF('STERLING CATALOG - FZN &amp; CHILL'!2672:2672,"AAAAADfrf44=",0)</f>
        <v>0</v>
      </c>
      <c r="EN359" t="e">
        <f>AND('STERLING CATALOG - FZN &amp; CHILL'!A2672,"AAAAADfrf48=")</f>
        <v>#VALUE!</v>
      </c>
      <c r="EO359" t="e">
        <f>AND('STERLING CATALOG - FZN &amp; CHILL'!B2672,"AAAAADfrf5A=")</f>
        <v>#VALUE!</v>
      </c>
      <c r="EP359" t="e">
        <f>AND('STERLING CATALOG - FZN &amp; CHILL'!C2672,"AAAAADfrf5E=")</f>
        <v>#VALUE!</v>
      </c>
      <c r="EQ359" t="e">
        <f>AND('STERLING CATALOG - FZN &amp; CHILL'!D2672,"AAAAADfrf5I=")</f>
        <v>#VALUE!</v>
      </c>
      <c r="ER359" t="e">
        <f>AND('STERLING CATALOG - FZN &amp; CHILL'!E2672,"AAAAADfrf5M=")</f>
        <v>#VALUE!</v>
      </c>
      <c r="ES359" t="e">
        <f>AND('STERLING CATALOG - FZN &amp; CHILL'!F2672,"AAAAADfrf5Q=")</f>
        <v>#VALUE!</v>
      </c>
      <c r="ET359" t="e">
        <f>AND('STERLING CATALOG - FZN &amp; CHILL'!G2672,"AAAAADfrf5U=")</f>
        <v>#VALUE!</v>
      </c>
      <c r="EU359" t="e">
        <f>AND('STERLING CATALOG - FZN &amp; CHILL'!H2672,"AAAAADfrf5Y=")</f>
        <v>#VALUE!</v>
      </c>
      <c r="EV359" t="e">
        <f>AND('STERLING CATALOG - FZN &amp; CHILL'!I2672,"AAAAADfrf5c=")</f>
        <v>#VALUE!</v>
      </c>
      <c r="EW359" t="e">
        <f>AND('STERLING CATALOG - FZN &amp; CHILL'!J2672,"AAAAADfrf5g=")</f>
        <v>#VALUE!</v>
      </c>
      <c r="EX359">
        <f>IF('STERLING CATALOG - FZN &amp; CHILL'!2673:2673,"AAAAADfrf5k=",0)</f>
        <v>0</v>
      </c>
      <c r="EY359" t="e">
        <f>AND('STERLING CATALOG - FZN &amp; CHILL'!A2673,"AAAAADfrf5o=")</f>
        <v>#VALUE!</v>
      </c>
      <c r="EZ359" t="e">
        <f>AND('STERLING CATALOG - FZN &amp; CHILL'!B2673,"AAAAADfrf5s=")</f>
        <v>#VALUE!</v>
      </c>
      <c r="FA359" t="e">
        <f>AND('STERLING CATALOG - FZN &amp; CHILL'!C2673,"AAAAADfrf5w=")</f>
        <v>#VALUE!</v>
      </c>
      <c r="FB359" t="e">
        <f>AND('STERLING CATALOG - FZN &amp; CHILL'!D2673,"AAAAADfrf50=")</f>
        <v>#VALUE!</v>
      </c>
      <c r="FC359" t="e">
        <f>AND('STERLING CATALOG - FZN &amp; CHILL'!E2673,"AAAAADfrf54=")</f>
        <v>#VALUE!</v>
      </c>
      <c r="FD359" t="e">
        <f>AND('STERLING CATALOG - FZN &amp; CHILL'!F2673,"AAAAADfrf58=")</f>
        <v>#VALUE!</v>
      </c>
      <c r="FE359" t="e">
        <f>AND('STERLING CATALOG - FZN &amp; CHILL'!G2673,"AAAAADfrf6A=")</f>
        <v>#VALUE!</v>
      </c>
      <c r="FF359" t="e">
        <f>AND('STERLING CATALOG - FZN &amp; CHILL'!H2673,"AAAAADfrf6E=")</f>
        <v>#VALUE!</v>
      </c>
      <c r="FG359" t="e">
        <f>AND('STERLING CATALOG - FZN &amp; CHILL'!I2673,"AAAAADfrf6I=")</f>
        <v>#VALUE!</v>
      </c>
      <c r="FH359" t="e">
        <f>AND('STERLING CATALOG - FZN &amp; CHILL'!J2673,"AAAAADfrf6M=")</f>
        <v>#VALUE!</v>
      </c>
      <c r="FI359">
        <f>IF('STERLING CATALOG - FZN &amp; CHILL'!2674:2674,"AAAAADfrf6Q=",0)</f>
        <v>0</v>
      </c>
      <c r="FJ359" t="e">
        <f>AND('STERLING CATALOG - FZN &amp; CHILL'!A2674,"AAAAADfrf6U=")</f>
        <v>#VALUE!</v>
      </c>
      <c r="FK359" t="e">
        <f>AND('STERLING CATALOG - FZN &amp; CHILL'!B2674,"AAAAADfrf6Y=")</f>
        <v>#VALUE!</v>
      </c>
      <c r="FL359" t="e">
        <f>AND('STERLING CATALOG - FZN &amp; CHILL'!C2674,"AAAAADfrf6c=")</f>
        <v>#VALUE!</v>
      </c>
      <c r="FM359" t="e">
        <f>AND('STERLING CATALOG - FZN &amp; CHILL'!D2674,"AAAAADfrf6g=")</f>
        <v>#VALUE!</v>
      </c>
      <c r="FN359" t="e">
        <f>AND('STERLING CATALOG - FZN &amp; CHILL'!E2674,"AAAAADfrf6k=")</f>
        <v>#VALUE!</v>
      </c>
      <c r="FO359" t="e">
        <f>AND('STERLING CATALOG - FZN &amp; CHILL'!F2674,"AAAAADfrf6o=")</f>
        <v>#VALUE!</v>
      </c>
      <c r="FP359" t="e">
        <f>AND('STERLING CATALOG - FZN &amp; CHILL'!G2674,"AAAAADfrf6s=")</f>
        <v>#VALUE!</v>
      </c>
      <c r="FQ359" t="e">
        <f>AND('STERLING CATALOG - FZN &amp; CHILL'!H2674,"AAAAADfrf6w=")</f>
        <v>#VALUE!</v>
      </c>
      <c r="FR359" t="e">
        <f>AND('STERLING CATALOG - FZN &amp; CHILL'!I2674,"AAAAADfrf60=")</f>
        <v>#VALUE!</v>
      </c>
      <c r="FS359" t="e">
        <f>AND('STERLING CATALOG - FZN &amp; CHILL'!J2674,"AAAAADfrf64=")</f>
        <v>#VALUE!</v>
      </c>
      <c r="FT359">
        <f>IF('STERLING CATALOG - FZN &amp; CHILL'!2675:2675,"AAAAADfrf68=",0)</f>
        <v>0</v>
      </c>
      <c r="FU359" t="e">
        <f>AND('STERLING CATALOG - FZN &amp; CHILL'!A2675,"AAAAADfrf7A=")</f>
        <v>#VALUE!</v>
      </c>
      <c r="FV359" t="e">
        <f>AND('STERLING CATALOG - FZN &amp; CHILL'!B2675,"AAAAADfrf7E=")</f>
        <v>#VALUE!</v>
      </c>
      <c r="FW359" t="e">
        <f>AND('STERLING CATALOG - FZN &amp; CHILL'!C2675,"AAAAADfrf7I=")</f>
        <v>#VALUE!</v>
      </c>
      <c r="FX359" t="e">
        <f>AND('STERLING CATALOG - FZN &amp; CHILL'!D2675,"AAAAADfrf7M=")</f>
        <v>#VALUE!</v>
      </c>
      <c r="FY359" t="e">
        <f>AND('STERLING CATALOG - FZN &amp; CHILL'!E2675,"AAAAADfrf7Q=")</f>
        <v>#VALUE!</v>
      </c>
      <c r="FZ359" t="e">
        <f>AND('STERLING CATALOG - FZN &amp; CHILL'!F2675,"AAAAADfrf7U=")</f>
        <v>#VALUE!</v>
      </c>
      <c r="GA359" t="e">
        <f>AND('STERLING CATALOG - FZN &amp; CHILL'!G2675,"AAAAADfrf7Y=")</f>
        <v>#VALUE!</v>
      </c>
      <c r="GB359" t="e">
        <f>AND('STERLING CATALOG - FZN &amp; CHILL'!H2675,"AAAAADfrf7c=")</f>
        <v>#VALUE!</v>
      </c>
      <c r="GC359" t="e">
        <f>AND('STERLING CATALOG - FZN &amp; CHILL'!I2675,"AAAAADfrf7g=")</f>
        <v>#VALUE!</v>
      </c>
      <c r="GD359" t="e">
        <f>AND('STERLING CATALOG - FZN &amp; CHILL'!J2675,"AAAAADfrf7k=")</f>
        <v>#VALUE!</v>
      </c>
      <c r="GE359">
        <f>IF('STERLING CATALOG - FZN &amp; CHILL'!2676:2676,"AAAAADfrf7o=",0)</f>
        <v>0</v>
      </c>
      <c r="GF359" t="e">
        <f>AND('STERLING CATALOG - FZN &amp; CHILL'!A2676,"AAAAADfrf7s=")</f>
        <v>#VALUE!</v>
      </c>
      <c r="GG359" t="e">
        <f>AND('STERLING CATALOG - FZN &amp; CHILL'!B2676,"AAAAADfrf7w=")</f>
        <v>#VALUE!</v>
      </c>
      <c r="GH359" t="e">
        <f>AND('STERLING CATALOG - FZN &amp; CHILL'!C2676,"AAAAADfrf70=")</f>
        <v>#VALUE!</v>
      </c>
      <c r="GI359" t="e">
        <f>AND('STERLING CATALOG - FZN &amp; CHILL'!D2676,"AAAAADfrf74=")</f>
        <v>#VALUE!</v>
      </c>
      <c r="GJ359" t="e">
        <f>AND('STERLING CATALOG - FZN &amp; CHILL'!E2676,"AAAAADfrf78=")</f>
        <v>#VALUE!</v>
      </c>
      <c r="GK359" t="e">
        <f>AND('STERLING CATALOG - FZN &amp; CHILL'!F2676,"AAAAADfrf8A=")</f>
        <v>#VALUE!</v>
      </c>
      <c r="GL359" t="e">
        <f>AND('STERLING CATALOG - FZN &amp; CHILL'!G2676,"AAAAADfrf8E=")</f>
        <v>#VALUE!</v>
      </c>
      <c r="GM359" t="e">
        <f>AND('STERLING CATALOG - FZN &amp; CHILL'!H2676,"AAAAADfrf8I=")</f>
        <v>#VALUE!</v>
      </c>
      <c r="GN359" t="e">
        <f>AND('STERLING CATALOG - FZN &amp; CHILL'!I2676,"AAAAADfrf8M=")</f>
        <v>#VALUE!</v>
      </c>
      <c r="GO359" t="e">
        <f>AND('STERLING CATALOG - FZN &amp; CHILL'!J2676,"AAAAADfrf8Q=")</f>
        <v>#VALUE!</v>
      </c>
      <c r="GP359">
        <f>IF('STERLING CATALOG - FZN &amp; CHILL'!2677:2677,"AAAAADfrf8U=",0)</f>
        <v>0</v>
      </c>
      <c r="GQ359" t="e">
        <f>AND('STERLING CATALOG - FZN &amp; CHILL'!A2677,"AAAAADfrf8Y=")</f>
        <v>#VALUE!</v>
      </c>
      <c r="GR359" t="e">
        <f>AND('STERLING CATALOG - FZN &amp; CHILL'!B2677,"AAAAADfrf8c=")</f>
        <v>#VALUE!</v>
      </c>
      <c r="GS359" t="e">
        <f>AND('STERLING CATALOG - FZN &amp; CHILL'!C2677,"AAAAADfrf8g=")</f>
        <v>#VALUE!</v>
      </c>
      <c r="GT359" t="e">
        <f>AND('STERLING CATALOG - FZN &amp; CHILL'!D2677,"AAAAADfrf8k=")</f>
        <v>#VALUE!</v>
      </c>
      <c r="GU359" t="e">
        <f>AND('STERLING CATALOG - FZN &amp; CHILL'!E2677,"AAAAADfrf8o=")</f>
        <v>#VALUE!</v>
      </c>
      <c r="GV359" t="e">
        <f>AND('STERLING CATALOG - FZN &amp; CHILL'!F2677,"AAAAADfrf8s=")</f>
        <v>#VALUE!</v>
      </c>
      <c r="GW359" t="e">
        <f>AND('STERLING CATALOG - FZN &amp; CHILL'!G2677,"AAAAADfrf8w=")</f>
        <v>#VALUE!</v>
      </c>
      <c r="GX359" t="e">
        <f>AND('STERLING CATALOG - FZN &amp; CHILL'!H2677,"AAAAADfrf80=")</f>
        <v>#VALUE!</v>
      </c>
      <c r="GY359" t="e">
        <f>AND('STERLING CATALOG - FZN &amp; CHILL'!I2677,"AAAAADfrf84=")</f>
        <v>#VALUE!</v>
      </c>
      <c r="GZ359" t="e">
        <f>AND('STERLING CATALOG - FZN &amp; CHILL'!J2677,"AAAAADfrf88=")</f>
        <v>#VALUE!</v>
      </c>
      <c r="HA359">
        <f>IF('STERLING CATALOG - FZN &amp; CHILL'!2678:2678,"AAAAADfrf9A=",0)</f>
        <v>0</v>
      </c>
      <c r="HB359" t="e">
        <f>AND('STERLING CATALOG - FZN &amp; CHILL'!A2678,"AAAAADfrf9E=")</f>
        <v>#VALUE!</v>
      </c>
      <c r="HC359" t="e">
        <f>AND('STERLING CATALOG - FZN &amp; CHILL'!B2678,"AAAAADfrf9I=")</f>
        <v>#VALUE!</v>
      </c>
      <c r="HD359" t="e">
        <f>AND('STERLING CATALOG - FZN &amp; CHILL'!C2678,"AAAAADfrf9M=")</f>
        <v>#VALUE!</v>
      </c>
      <c r="HE359" t="e">
        <f>AND('STERLING CATALOG - FZN &amp; CHILL'!D2678,"AAAAADfrf9Q=")</f>
        <v>#VALUE!</v>
      </c>
      <c r="HF359" t="e">
        <f>AND('STERLING CATALOG - FZN &amp; CHILL'!E2678,"AAAAADfrf9U=")</f>
        <v>#VALUE!</v>
      </c>
      <c r="HG359" t="e">
        <f>AND('STERLING CATALOG - FZN &amp; CHILL'!F2678,"AAAAADfrf9Y=")</f>
        <v>#VALUE!</v>
      </c>
      <c r="HH359" t="e">
        <f>AND('STERLING CATALOG - FZN &amp; CHILL'!G2678,"AAAAADfrf9c=")</f>
        <v>#VALUE!</v>
      </c>
      <c r="HI359" t="e">
        <f>AND('STERLING CATALOG - FZN &amp; CHILL'!H2678,"AAAAADfrf9g=")</f>
        <v>#VALUE!</v>
      </c>
      <c r="HJ359" t="e">
        <f>AND('STERLING CATALOG - FZN &amp; CHILL'!I2678,"AAAAADfrf9k=")</f>
        <v>#VALUE!</v>
      </c>
      <c r="HK359" t="e">
        <f>AND('STERLING CATALOG - FZN &amp; CHILL'!J2678,"AAAAADfrf9o=")</f>
        <v>#VALUE!</v>
      </c>
      <c r="HL359">
        <f>IF('STERLING CATALOG - FZN &amp; CHILL'!2679:2679,"AAAAADfrf9s=",0)</f>
        <v>0</v>
      </c>
      <c r="HM359" t="e">
        <f>AND('STERLING CATALOG - FZN &amp; CHILL'!A2679,"AAAAADfrf9w=")</f>
        <v>#VALUE!</v>
      </c>
      <c r="HN359" t="e">
        <f>AND('STERLING CATALOG - FZN &amp; CHILL'!B2679,"AAAAADfrf90=")</f>
        <v>#VALUE!</v>
      </c>
      <c r="HO359" t="e">
        <f>AND('STERLING CATALOG - FZN &amp; CHILL'!C2679,"AAAAADfrf94=")</f>
        <v>#VALUE!</v>
      </c>
      <c r="HP359" t="e">
        <f>AND('STERLING CATALOG - FZN &amp; CHILL'!D2679,"AAAAADfrf98=")</f>
        <v>#VALUE!</v>
      </c>
      <c r="HQ359" t="e">
        <f>AND('STERLING CATALOG - FZN &amp; CHILL'!E2679,"AAAAADfrf+A=")</f>
        <v>#VALUE!</v>
      </c>
      <c r="HR359" t="e">
        <f>AND('STERLING CATALOG - FZN &amp; CHILL'!F2679,"AAAAADfrf+E=")</f>
        <v>#VALUE!</v>
      </c>
      <c r="HS359" t="e">
        <f>AND('STERLING CATALOG - FZN &amp; CHILL'!G2679,"AAAAADfrf+I=")</f>
        <v>#VALUE!</v>
      </c>
      <c r="HT359" t="e">
        <f>AND('STERLING CATALOG - FZN &amp; CHILL'!H2679,"AAAAADfrf+M=")</f>
        <v>#VALUE!</v>
      </c>
      <c r="HU359" t="e">
        <f>AND('STERLING CATALOG - FZN &amp; CHILL'!I2679,"AAAAADfrf+Q=")</f>
        <v>#VALUE!</v>
      </c>
      <c r="HV359" t="e">
        <f>AND('STERLING CATALOG - FZN &amp; CHILL'!J2679,"AAAAADfrf+U=")</f>
        <v>#VALUE!</v>
      </c>
      <c r="HW359">
        <f>IF('STERLING CATALOG - FZN &amp; CHILL'!2680:2680,"AAAAADfrf+Y=",0)</f>
        <v>0</v>
      </c>
      <c r="HX359" t="e">
        <f>AND('STERLING CATALOG - FZN &amp; CHILL'!A2680,"AAAAADfrf+c=")</f>
        <v>#VALUE!</v>
      </c>
      <c r="HY359" t="e">
        <f>AND('STERLING CATALOG - FZN &amp; CHILL'!B2680,"AAAAADfrf+g=")</f>
        <v>#VALUE!</v>
      </c>
      <c r="HZ359" t="e">
        <f>AND('STERLING CATALOG - FZN &amp; CHILL'!C2680,"AAAAADfrf+k=")</f>
        <v>#VALUE!</v>
      </c>
      <c r="IA359" t="e">
        <f>AND('STERLING CATALOG - FZN &amp; CHILL'!D2680,"AAAAADfrf+o=")</f>
        <v>#VALUE!</v>
      </c>
      <c r="IB359" t="e">
        <f>AND('STERLING CATALOG - FZN &amp; CHILL'!E2680,"AAAAADfrf+s=")</f>
        <v>#VALUE!</v>
      </c>
      <c r="IC359" t="e">
        <f>AND('STERLING CATALOG - FZN &amp; CHILL'!F2680,"AAAAADfrf+w=")</f>
        <v>#VALUE!</v>
      </c>
      <c r="ID359" t="e">
        <f>AND('STERLING CATALOG - FZN &amp; CHILL'!G2680,"AAAAADfrf+0=")</f>
        <v>#VALUE!</v>
      </c>
      <c r="IE359" t="e">
        <f>AND('STERLING CATALOG - FZN &amp; CHILL'!H2680,"AAAAADfrf+4=")</f>
        <v>#VALUE!</v>
      </c>
      <c r="IF359" t="e">
        <f>AND('STERLING CATALOG - FZN &amp; CHILL'!I2680,"AAAAADfrf+8=")</f>
        <v>#VALUE!</v>
      </c>
      <c r="IG359" t="e">
        <f>AND('STERLING CATALOG - FZN &amp; CHILL'!J2680,"AAAAADfrf/A=")</f>
        <v>#VALUE!</v>
      </c>
      <c r="IH359">
        <f>IF('STERLING CATALOG - FZN &amp; CHILL'!2681:2681,"AAAAADfrf/E=",0)</f>
        <v>0</v>
      </c>
      <c r="II359" t="e">
        <f>AND('STERLING CATALOG - FZN &amp; CHILL'!A2681,"AAAAADfrf/I=")</f>
        <v>#VALUE!</v>
      </c>
      <c r="IJ359" t="e">
        <f>AND('STERLING CATALOG - FZN &amp; CHILL'!B2681,"AAAAADfrf/M=")</f>
        <v>#VALUE!</v>
      </c>
      <c r="IK359" t="e">
        <f>AND('STERLING CATALOG - FZN &amp; CHILL'!C2681,"AAAAADfrf/Q=")</f>
        <v>#VALUE!</v>
      </c>
      <c r="IL359" t="e">
        <f>AND('STERLING CATALOG - FZN &amp; CHILL'!D2681,"AAAAADfrf/U=")</f>
        <v>#VALUE!</v>
      </c>
      <c r="IM359" t="e">
        <f>AND('STERLING CATALOG - FZN &amp; CHILL'!E2681,"AAAAADfrf/Y=")</f>
        <v>#VALUE!</v>
      </c>
      <c r="IN359" t="e">
        <f>AND('STERLING CATALOG - FZN &amp; CHILL'!F2681,"AAAAADfrf/c=")</f>
        <v>#VALUE!</v>
      </c>
      <c r="IO359" t="e">
        <f>AND('STERLING CATALOG - FZN &amp; CHILL'!G2681,"AAAAADfrf/g=")</f>
        <v>#VALUE!</v>
      </c>
      <c r="IP359" t="e">
        <f>AND('STERLING CATALOG - FZN &amp; CHILL'!H2681,"AAAAADfrf/k=")</f>
        <v>#VALUE!</v>
      </c>
      <c r="IQ359" t="e">
        <f>AND('STERLING CATALOG - FZN &amp; CHILL'!I2681,"AAAAADfrf/o=")</f>
        <v>#VALUE!</v>
      </c>
      <c r="IR359" t="e">
        <f>AND('STERLING CATALOG - FZN &amp; CHILL'!J2681,"AAAAADfrf/s=")</f>
        <v>#VALUE!</v>
      </c>
      <c r="IS359">
        <f>IF('STERLING CATALOG - FZN &amp; CHILL'!2682:2682,"AAAAADfrf/w=",0)</f>
        <v>0</v>
      </c>
      <c r="IT359" t="e">
        <f>AND('STERLING CATALOG - FZN &amp; CHILL'!A2682,"AAAAADfrf/0=")</f>
        <v>#VALUE!</v>
      </c>
      <c r="IU359" t="e">
        <f>AND('STERLING CATALOG - FZN &amp; CHILL'!B2682,"AAAAADfrf/4=")</f>
        <v>#VALUE!</v>
      </c>
      <c r="IV359" t="e">
        <f>AND('STERLING CATALOG - FZN &amp; CHILL'!C2682,"AAAAADfrf/8=")</f>
        <v>#VALUE!</v>
      </c>
    </row>
    <row r="360" spans="1:256">
      <c r="A360" t="e">
        <f>AND('STERLING CATALOG - FZN &amp; CHILL'!D2682,"AAAAADr/bwA=")</f>
        <v>#VALUE!</v>
      </c>
      <c r="B360" t="e">
        <f>AND('STERLING CATALOG - FZN &amp; CHILL'!E2682,"AAAAADr/bwE=")</f>
        <v>#VALUE!</v>
      </c>
      <c r="C360" t="e">
        <f>AND('STERLING CATALOG - FZN &amp; CHILL'!F2682,"AAAAADr/bwI=")</f>
        <v>#VALUE!</v>
      </c>
      <c r="D360" t="e">
        <f>AND('STERLING CATALOG - FZN &amp; CHILL'!G2682,"AAAAADr/bwM=")</f>
        <v>#VALUE!</v>
      </c>
      <c r="E360" t="e">
        <f>AND('STERLING CATALOG - FZN &amp; CHILL'!H2682,"AAAAADr/bwQ=")</f>
        <v>#VALUE!</v>
      </c>
      <c r="F360" t="e">
        <f>AND('STERLING CATALOG - FZN &amp; CHILL'!I2682,"AAAAADr/bwU=")</f>
        <v>#VALUE!</v>
      </c>
      <c r="G360" t="e">
        <f>AND('STERLING CATALOG - FZN &amp; CHILL'!J2682,"AAAAADr/bwY=")</f>
        <v>#VALUE!</v>
      </c>
      <c r="H360" t="str">
        <f>IF('STERLING CATALOG - FZN &amp; CHILL'!2683:2683,"AAAAADr/bwc=",0)</f>
        <v>AAAAADr/bwc=</v>
      </c>
      <c r="I360" t="e">
        <f>AND('STERLING CATALOG - FZN &amp; CHILL'!A2683,"AAAAADr/bwg=")</f>
        <v>#VALUE!</v>
      </c>
      <c r="J360" t="e">
        <f>AND('STERLING CATALOG - FZN &amp; CHILL'!B2683,"AAAAADr/bwk=")</f>
        <v>#VALUE!</v>
      </c>
      <c r="K360" t="e">
        <f>AND('STERLING CATALOG - FZN &amp; CHILL'!C2683,"AAAAADr/bwo=")</f>
        <v>#VALUE!</v>
      </c>
      <c r="L360" t="e">
        <f>AND('STERLING CATALOG - FZN &amp; CHILL'!D2683,"AAAAADr/bws=")</f>
        <v>#VALUE!</v>
      </c>
      <c r="M360" t="e">
        <f>AND('STERLING CATALOG - FZN &amp; CHILL'!E2683,"AAAAADr/bww=")</f>
        <v>#VALUE!</v>
      </c>
      <c r="N360" t="e">
        <f>AND('STERLING CATALOG - FZN &amp; CHILL'!F2683,"AAAAADr/bw0=")</f>
        <v>#VALUE!</v>
      </c>
      <c r="O360" t="e">
        <f>AND('STERLING CATALOG - FZN &amp; CHILL'!G2683,"AAAAADr/bw4=")</f>
        <v>#VALUE!</v>
      </c>
      <c r="P360" t="e">
        <f>AND('STERLING CATALOG - FZN &amp; CHILL'!H2683,"AAAAADr/bw8=")</f>
        <v>#VALUE!</v>
      </c>
      <c r="Q360" t="e">
        <f>AND('STERLING CATALOG - FZN &amp; CHILL'!I2683,"AAAAADr/bxA=")</f>
        <v>#VALUE!</v>
      </c>
      <c r="R360" t="e">
        <f>AND('STERLING CATALOG - FZN &amp; CHILL'!J2683,"AAAAADr/bxE=")</f>
        <v>#VALUE!</v>
      </c>
      <c r="S360">
        <f>IF('STERLING CATALOG - FZN &amp; CHILL'!2684:2684,"AAAAADr/bxI=",0)</f>
        <v>0</v>
      </c>
      <c r="T360" t="e">
        <f>AND('STERLING CATALOG - FZN &amp; CHILL'!A2684,"AAAAADr/bxM=")</f>
        <v>#VALUE!</v>
      </c>
      <c r="U360" t="e">
        <f>AND('STERLING CATALOG - FZN &amp; CHILL'!B2684,"AAAAADr/bxQ=")</f>
        <v>#VALUE!</v>
      </c>
      <c r="V360" t="e">
        <f>AND('STERLING CATALOG - FZN &amp; CHILL'!C2684,"AAAAADr/bxU=")</f>
        <v>#VALUE!</v>
      </c>
      <c r="W360" t="e">
        <f>AND('STERLING CATALOG - FZN &amp; CHILL'!D2684,"AAAAADr/bxY=")</f>
        <v>#VALUE!</v>
      </c>
      <c r="X360" t="e">
        <f>AND('STERLING CATALOG - FZN &amp; CHILL'!E2684,"AAAAADr/bxc=")</f>
        <v>#VALUE!</v>
      </c>
      <c r="Y360" t="e">
        <f>AND('STERLING CATALOG - FZN &amp; CHILL'!F2684,"AAAAADr/bxg=")</f>
        <v>#VALUE!</v>
      </c>
      <c r="Z360" t="e">
        <f>AND('STERLING CATALOG - FZN &amp; CHILL'!G2684,"AAAAADr/bxk=")</f>
        <v>#VALUE!</v>
      </c>
      <c r="AA360" t="e">
        <f>AND('STERLING CATALOG - FZN &amp; CHILL'!H2684,"AAAAADr/bxo=")</f>
        <v>#VALUE!</v>
      </c>
      <c r="AB360" t="e">
        <f>AND('STERLING CATALOG - FZN &amp; CHILL'!I2684,"AAAAADr/bxs=")</f>
        <v>#VALUE!</v>
      </c>
      <c r="AC360" t="e">
        <f>AND('STERLING CATALOG - FZN &amp; CHILL'!J2684,"AAAAADr/bxw=")</f>
        <v>#VALUE!</v>
      </c>
      <c r="AD360">
        <f>IF('STERLING CATALOG - FZN &amp; CHILL'!2685:2685,"AAAAADr/bx0=",0)</f>
        <v>0</v>
      </c>
      <c r="AE360" t="e">
        <f>AND('STERLING CATALOG - FZN &amp; CHILL'!A2685,"AAAAADr/bx4=")</f>
        <v>#VALUE!</v>
      </c>
      <c r="AF360" t="e">
        <f>AND('STERLING CATALOG - FZN &amp; CHILL'!B2685,"AAAAADr/bx8=")</f>
        <v>#VALUE!</v>
      </c>
      <c r="AG360" t="e">
        <f>AND('STERLING CATALOG - FZN &amp; CHILL'!C2685,"AAAAADr/byA=")</f>
        <v>#VALUE!</v>
      </c>
      <c r="AH360" t="e">
        <f>AND('STERLING CATALOG - FZN &amp; CHILL'!D2685,"AAAAADr/byE=")</f>
        <v>#VALUE!</v>
      </c>
      <c r="AI360" t="e">
        <f>AND('STERLING CATALOG - FZN &amp; CHILL'!E2685,"AAAAADr/byI=")</f>
        <v>#VALUE!</v>
      </c>
      <c r="AJ360" t="e">
        <f>AND('STERLING CATALOG - FZN &amp; CHILL'!F2685,"AAAAADr/byM=")</f>
        <v>#VALUE!</v>
      </c>
      <c r="AK360" t="e">
        <f>AND('STERLING CATALOG - FZN &amp; CHILL'!G2685,"AAAAADr/byQ=")</f>
        <v>#VALUE!</v>
      </c>
      <c r="AL360" t="e">
        <f>AND('STERLING CATALOG - FZN &amp; CHILL'!H2685,"AAAAADr/byU=")</f>
        <v>#VALUE!</v>
      </c>
      <c r="AM360" t="e">
        <f>AND('STERLING CATALOG - FZN &amp; CHILL'!I2685,"AAAAADr/byY=")</f>
        <v>#VALUE!</v>
      </c>
      <c r="AN360" t="e">
        <f>AND('STERLING CATALOG - FZN &amp; CHILL'!J2685,"AAAAADr/byc=")</f>
        <v>#VALUE!</v>
      </c>
      <c r="AO360">
        <f>IF('STERLING CATALOG - FZN &amp; CHILL'!2686:2686,"AAAAADr/byg=",0)</f>
        <v>0</v>
      </c>
      <c r="AP360" t="e">
        <f>AND('STERLING CATALOG - FZN &amp; CHILL'!A2686,"AAAAADr/byk=")</f>
        <v>#VALUE!</v>
      </c>
      <c r="AQ360" t="e">
        <f>AND('STERLING CATALOG - FZN &amp; CHILL'!B2686,"AAAAADr/byo=")</f>
        <v>#VALUE!</v>
      </c>
      <c r="AR360" t="e">
        <f>AND('STERLING CATALOG - FZN &amp; CHILL'!C2686,"AAAAADr/bys=")</f>
        <v>#VALUE!</v>
      </c>
      <c r="AS360" t="e">
        <f>AND('STERLING CATALOG - FZN &amp; CHILL'!D2686,"AAAAADr/byw=")</f>
        <v>#VALUE!</v>
      </c>
      <c r="AT360" t="e">
        <f>AND('STERLING CATALOG - FZN &amp; CHILL'!E2686,"AAAAADr/by0=")</f>
        <v>#VALUE!</v>
      </c>
      <c r="AU360" t="e">
        <f>AND('STERLING CATALOG - FZN &amp; CHILL'!F2686,"AAAAADr/by4=")</f>
        <v>#VALUE!</v>
      </c>
      <c r="AV360" t="e">
        <f>AND('STERLING CATALOG - FZN &amp; CHILL'!G2686,"AAAAADr/by8=")</f>
        <v>#VALUE!</v>
      </c>
      <c r="AW360" t="e">
        <f>AND('STERLING CATALOG - FZN &amp; CHILL'!H2686,"AAAAADr/bzA=")</f>
        <v>#VALUE!</v>
      </c>
      <c r="AX360" t="e">
        <f>AND('STERLING CATALOG - FZN &amp; CHILL'!I2686,"AAAAADr/bzE=")</f>
        <v>#VALUE!</v>
      </c>
      <c r="AY360" t="e">
        <f>AND('STERLING CATALOG - FZN &amp; CHILL'!J2686,"AAAAADr/bzI=")</f>
        <v>#VALUE!</v>
      </c>
      <c r="AZ360">
        <f>IF('STERLING CATALOG - FZN &amp; CHILL'!2687:2687,"AAAAADr/bzM=",0)</f>
        <v>0</v>
      </c>
      <c r="BA360" t="e">
        <f>AND('STERLING CATALOG - FZN &amp; CHILL'!A2687,"AAAAADr/bzQ=")</f>
        <v>#VALUE!</v>
      </c>
      <c r="BB360" t="e">
        <f>AND('STERLING CATALOG - FZN &amp; CHILL'!B2687,"AAAAADr/bzU=")</f>
        <v>#VALUE!</v>
      </c>
      <c r="BC360" t="e">
        <f>AND('STERLING CATALOG - FZN &amp; CHILL'!C2687,"AAAAADr/bzY=")</f>
        <v>#VALUE!</v>
      </c>
      <c r="BD360" t="e">
        <f>AND('STERLING CATALOG - FZN &amp; CHILL'!D2687,"AAAAADr/bzc=")</f>
        <v>#VALUE!</v>
      </c>
      <c r="BE360" t="e">
        <f>AND('STERLING CATALOG - FZN &amp; CHILL'!E2687,"AAAAADr/bzg=")</f>
        <v>#VALUE!</v>
      </c>
      <c r="BF360" t="e">
        <f>AND('STERLING CATALOG - FZN &amp; CHILL'!F2687,"AAAAADr/bzk=")</f>
        <v>#VALUE!</v>
      </c>
      <c r="BG360" t="e">
        <f>AND('STERLING CATALOG - FZN &amp; CHILL'!G2687,"AAAAADr/bzo=")</f>
        <v>#VALUE!</v>
      </c>
      <c r="BH360" t="e">
        <f>AND('STERLING CATALOG - FZN &amp; CHILL'!H2687,"AAAAADr/bzs=")</f>
        <v>#VALUE!</v>
      </c>
      <c r="BI360" t="e">
        <f>AND('STERLING CATALOG - FZN &amp; CHILL'!I2687,"AAAAADr/bzw=")</f>
        <v>#VALUE!</v>
      </c>
      <c r="BJ360" t="e">
        <f>AND('STERLING CATALOG - FZN &amp; CHILL'!J2687,"AAAAADr/bz0=")</f>
        <v>#VALUE!</v>
      </c>
      <c r="BK360">
        <f>IF('STERLING CATALOG - FZN &amp; CHILL'!2688:2688,"AAAAADr/bz4=",0)</f>
        <v>0</v>
      </c>
      <c r="BL360" t="e">
        <f>AND('STERLING CATALOG - FZN &amp; CHILL'!A2688,"AAAAADr/bz8=")</f>
        <v>#VALUE!</v>
      </c>
      <c r="BM360" t="e">
        <f>AND('STERLING CATALOG - FZN &amp; CHILL'!B2688,"AAAAADr/b0A=")</f>
        <v>#VALUE!</v>
      </c>
      <c r="BN360" t="e">
        <f>AND('STERLING CATALOG - FZN &amp; CHILL'!C2688,"AAAAADr/b0E=")</f>
        <v>#VALUE!</v>
      </c>
      <c r="BO360" t="e">
        <f>AND('STERLING CATALOG - FZN &amp; CHILL'!D2688,"AAAAADr/b0I=")</f>
        <v>#VALUE!</v>
      </c>
      <c r="BP360" t="e">
        <f>AND('STERLING CATALOG - FZN &amp; CHILL'!E2688,"AAAAADr/b0M=")</f>
        <v>#VALUE!</v>
      </c>
      <c r="BQ360" t="e">
        <f>AND('STERLING CATALOG - FZN &amp; CHILL'!F2688,"AAAAADr/b0Q=")</f>
        <v>#VALUE!</v>
      </c>
      <c r="BR360" t="e">
        <f>AND('STERLING CATALOG - FZN &amp; CHILL'!G2688,"AAAAADr/b0U=")</f>
        <v>#VALUE!</v>
      </c>
      <c r="BS360" t="e">
        <f>AND('STERLING CATALOG - FZN &amp; CHILL'!H2688,"AAAAADr/b0Y=")</f>
        <v>#VALUE!</v>
      </c>
      <c r="BT360" t="e">
        <f>AND('STERLING CATALOG - FZN &amp; CHILL'!I2688,"AAAAADr/b0c=")</f>
        <v>#VALUE!</v>
      </c>
      <c r="BU360" t="e">
        <f>AND('STERLING CATALOG - FZN &amp; CHILL'!J2688,"AAAAADr/b0g=")</f>
        <v>#VALUE!</v>
      </c>
      <c r="BV360">
        <f>IF('STERLING CATALOG - FZN &amp; CHILL'!2689:2689,"AAAAADr/b0k=",0)</f>
        <v>0</v>
      </c>
      <c r="BW360" t="e">
        <f>AND('STERLING CATALOG - FZN &amp; CHILL'!A2689,"AAAAADr/b0o=")</f>
        <v>#VALUE!</v>
      </c>
      <c r="BX360" t="e">
        <f>AND('STERLING CATALOG - FZN &amp; CHILL'!B2689,"AAAAADr/b0s=")</f>
        <v>#VALUE!</v>
      </c>
      <c r="BY360" t="e">
        <f>AND('STERLING CATALOG - FZN &amp; CHILL'!C2689,"AAAAADr/b0w=")</f>
        <v>#VALUE!</v>
      </c>
      <c r="BZ360" t="e">
        <f>AND('STERLING CATALOG - FZN &amp; CHILL'!D2689,"AAAAADr/b00=")</f>
        <v>#VALUE!</v>
      </c>
      <c r="CA360" t="e">
        <f>AND('STERLING CATALOG - FZN &amp; CHILL'!E2689,"AAAAADr/b04=")</f>
        <v>#VALUE!</v>
      </c>
      <c r="CB360" t="e">
        <f>AND('STERLING CATALOG - FZN &amp; CHILL'!F2689,"AAAAADr/b08=")</f>
        <v>#VALUE!</v>
      </c>
      <c r="CC360" t="e">
        <f>AND('STERLING CATALOG - FZN &amp; CHILL'!G2689,"AAAAADr/b1A=")</f>
        <v>#VALUE!</v>
      </c>
      <c r="CD360" t="e">
        <f>AND('STERLING CATALOG - FZN &amp; CHILL'!H2689,"AAAAADr/b1E=")</f>
        <v>#VALUE!</v>
      </c>
      <c r="CE360" t="e">
        <f>AND('STERLING CATALOG - FZN &amp; CHILL'!I2689,"AAAAADr/b1I=")</f>
        <v>#VALUE!</v>
      </c>
      <c r="CF360" t="e">
        <f>AND('STERLING CATALOG - FZN &amp; CHILL'!J2689,"AAAAADr/b1M=")</f>
        <v>#VALUE!</v>
      </c>
      <c r="CG360">
        <f>IF('STERLING CATALOG - FZN &amp; CHILL'!2690:2690,"AAAAADr/b1Q=",0)</f>
        <v>0</v>
      </c>
      <c r="CH360" t="e">
        <f>AND('STERLING CATALOG - FZN &amp; CHILL'!A2690,"AAAAADr/b1U=")</f>
        <v>#VALUE!</v>
      </c>
      <c r="CI360" t="e">
        <f>AND('STERLING CATALOG - FZN &amp; CHILL'!B2690,"AAAAADr/b1Y=")</f>
        <v>#VALUE!</v>
      </c>
      <c r="CJ360" t="e">
        <f>AND('STERLING CATALOG - FZN &amp; CHILL'!C2690,"AAAAADr/b1c=")</f>
        <v>#VALUE!</v>
      </c>
      <c r="CK360" t="e">
        <f>AND('STERLING CATALOG - FZN &amp; CHILL'!D2690,"AAAAADr/b1g=")</f>
        <v>#VALUE!</v>
      </c>
      <c r="CL360" t="e">
        <f>AND('STERLING CATALOG - FZN &amp; CHILL'!E2690,"AAAAADr/b1k=")</f>
        <v>#VALUE!</v>
      </c>
      <c r="CM360" t="e">
        <f>AND('STERLING CATALOG - FZN &amp; CHILL'!F2690,"AAAAADr/b1o=")</f>
        <v>#VALUE!</v>
      </c>
      <c r="CN360" t="e">
        <f>AND('STERLING CATALOG - FZN &amp; CHILL'!G2690,"AAAAADr/b1s=")</f>
        <v>#VALUE!</v>
      </c>
      <c r="CO360" t="e">
        <f>AND('STERLING CATALOG - FZN &amp; CHILL'!H2690,"AAAAADr/b1w=")</f>
        <v>#VALUE!</v>
      </c>
      <c r="CP360" t="e">
        <f>AND('STERLING CATALOG - FZN &amp; CHILL'!I2690,"AAAAADr/b10=")</f>
        <v>#VALUE!</v>
      </c>
      <c r="CQ360" t="e">
        <f>AND('STERLING CATALOG - FZN &amp; CHILL'!J2690,"AAAAADr/b14=")</f>
        <v>#VALUE!</v>
      </c>
      <c r="CR360">
        <f>IF('STERLING CATALOG - FZN &amp; CHILL'!2691:2691,"AAAAADr/b18=",0)</f>
        <v>0</v>
      </c>
      <c r="CS360" t="e">
        <f>AND('STERLING CATALOG - FZN &amp; CHILL'!A2691,"AAAAADr/b2A=")</f>
        <v>#VALUE!</v>
      </c>
      <c r="CT360" t="e">
        <f>AND('STERLING CATALOG - FZN &amp; CHILL'!B2691,"AAAAADr/b2E=")</f>
        <v>#VALUE!</v>
      </c>
      <c r="CU360" t="e">
        <f>AND('STERLING CATALOG - FZN &amp; CHILL'!C2691,"AAAAADr/b2I=")</f>
        <v>#VALUE!</v>
      </c>
      <c r="CV360" t="e">
        <f>AND('STERLING CATALOG - FZN &amp; CHILL'!D2691,"AAAAADr/b2M=")</f>
        <v>#VALUE!</v>
      </c>
      <c r="CW360" t="e">
        <f>AND('STERLING CATALOG - FZN &amp; CHILL'!E2691,"AAAAADr/b2Q=")</f>
        <v>#VALUE!</v>
      </c>
      <c r="CX360" t="e">
        <f>AND('STERLING CATALOG - FZN &amp; CHILL'!F2691,"AAAAADr/b2U=")</f>
        <v>#VALUE!</v>
      </c>
      <c r="CY360" t="e">
        <f>AND('STERLING CATALOG - FZN &amp; CHILL'!G2691,"AAAAADr/b2Y=")</f>
        <v>#VALUE!</v>
      </c>
      <c r="CZ360" t="e">
        <f>AND('STERLING CATALOG - FZN &amp; CHILL'!H2691,"AAAAADr/b2c=")</f>
        <v>#VALUE!</v>
      </c>
      <c r="DA360" t="e">
        <f>AND('STERLING CATALOG - FZN &amp; CHILL'!I2691,"AAAAADr/b2g=")</f>
        <v>#VALUE!</v>
      </c>
      <c r="DB360" t="e">
        <f>AND('STERLING CATALOG - FZN &amp; CHILL'!J2691,"AAAAADr/b2k=")</f>
        <v>#VALUE!</v>
      </c>
      <c r="DC360">
        <f>IF('STERLING CATALOG - FZN &amp; CHILL'!2692:2692,"AAAAADr/b2o=",0)</f>
        <v>0</v>
      </c>
      <c r="DD360" t="e">
        <f>AND('STERLING CATALOG - FZN &amp; CHILL'!A2692,"AAAAADr/b2s=")</f>
        <v>#VALUE!</v>
      </c>
      <c r="DE360" t="e">
        <f>AND('STERLING CATALOG - FZN &amp; CHILL'!B2692,"AAAAADr/b2w=")</f>
        <v>#VALUE!</v>
      </c>
      <c r="DF360" t="e">
        <f>AND('STERLING CATALOG - FZN &amp; CHILL'!C2692,"AAAAADr/b20=")</f>
        <v>#VALUE!</v>
      </c>
      <c r="DG360" t="e">
        <f>AND('STERLING CATALOG - FZN &amp; CHILL'!D2692,"AAAAADr/b24=")</f>
        <v>#VALUE!</v>
      </c>
      <c r="DH360" t="e">
        <f>AND('STERLING CATALOG - FZN &amp; CHILL'!E2692,"AAAAADr/b28=")</f>
        <v>#VALUE!</v>
      </c>
      <c r="DI360" t="e">
        <f>AND('STERLING CATALOG - FZN &amp; CHILL'!F2692,"AAAAADr/b3A=")</f>
        <v>#VALUE!</v>
      </c>
      <c r="DJ360" t="e">
        <f>AND('STERLING CATALOG - FZN &amp; CHILL'!G2692,"AAAAADr/b3E=")</f>
        <v>#VALUE!</v>
      </c>
      <c r="DK360" t="e">
        <f>AND('STERLING CATALOG - FZN &amp; CHILL'!H2692,"AAAAADr/b3I=")</f>
        <v>#VALUE!</v>
      </c>
      <c r="DL360" t="e">
        <f>AND('STERLING CATALOG - FZN &amp; CHILL'!I2692,"AAAAADr/b3M=")</f>
        <v>#VALUE!</v>
      </c>
      <c r="DM360" t="e">
        <f>AND('STERLING CATALOG - FZN &amp; CHILL'!J2692,"AAAAADr/b3Q=")</f>
        <v>#VALUE!</v>
      </c>
      <c r="DN360">
        <f>IF('STERLING CATALOG - FZN &amp; CHILL'!2693:2693,"AAAAADr/b3U=",0)</f>
        <v>0</v>
      </c>
      <c r="DO360" t="e">
        <f>AND('STERLING CATALOG - FZN &amp; CHILL'!A2693,"AAAAADr/b3Y=")</f>
        <v>#VALUE!</v>
      </c>
      <c r="DP360" t="e">
        <f>AND('STERLING CATALOG - FZN &amp; CHILL'!B2693,"AAAAADr/b3c=")</f>
        <v>#VALUE!</v>
      </c>
      <c r="DQ360" t="e">
        <f>AND('STERLING CATALOG - FZN &amp; CHILL'!C2693,"AAAAADr/b3g=")</f>
        <v>#VALUE!</v>
      </c>
      <c r="DR360" t="e">
        <f>AND('STERLING CATALOG - FZN &amp; CHILL'!D2693,"AAAAADr/b3k=")</f>
        <v>#VALUE!</v>
      </c>
      <c r="DS360" t="e">
        <f>AND('STERLING CATALOG - FZN &amp; CHILL'!E2693,"AAAAADr/b3o=")</f>
        <v>#VALUE!</v>
      </c>
      <c r="DT360" t="e">
        <f>AND('STERLING CATALOG - FZN &amp; CHILL'!F2693,"AAAAADr/b3s=")</f>
        <v>#VALUE!</v>
      </c>
      <c r="DU360" t="e">
        <f>AND('STERLING CATALOG - FZN &amp; CHILL'!G2693,"AAAAADr/b3w=")</f>
        <v>#VALUE!</v>
      </c>
      <c r="DV360" t="e">
        <f>AND('STERLING CATALOG - FZN &amp; CHILL'!H2693,"AAAAADr/b30=")</f>
        <v>#VALUE!</v>
      </c>
      <c r="DW360" t="e">
        <f>AND('STERLING CATALOG - FZN &amp; CHILL'!I2693,"AAAAADr/b34=")</f>
        <v>#VALUE!</v>
      </c>
      <c r="DX360" t="e">
        <f>AND('STERLING CATALOG - FZN &amp; CHILL'!J2693,"AAAAADr/b38=")</f>
        <v>#VALUE!</v>
      </c>
      <c r="DY360">
        <f>IF('STERLING CATALOG - FZN &amp; CHILL'!2694:2694,"AAAAADr/b4A=",0)</f>
        <v>0</v>
      </c>
      <c r="DZ360" t="e">
        <f>AND('STERLING CATALOG - FZN &amp; CHILL'!A2694,"AAAAADr/b4E=")</f>
        <v>#VALUE!</v>
      </c>
      <c r="EA360" t="e">
        <f>AND('STERLING CATALOG - FZN &amp; CHILL'!B2694,"AAAAADr/b4I=")</f>
        <v>#VALUE!</v>
      </c>
      <c r="EB360" t="e">
        <f>AND('STERLING CATALOG - FZN &amp; CHILL'!C2694,"AAAAADr/b4M=")</f>
        <v>#VALUE!</v>
      </c>
      <c r="EC360" t="e">
        <f>AND('STERLING CATALOG - FZN &amp; CHILL'!D2694,"AAAAADr/b4Q=")</f>
        <v>#VALUE!</v>
      </c>
      <c r="ED360" t="e">
        <f>AND('STERLING CATALOG - FZN &amp; CHILL'!E2694,"AAAAADr/b4U=")</f>
        <v>#VALUE!</v>
      </c>
      <c r="EE360" t="e">
        <f>AND('STERLING CATALOG - FZN &amp; CHILL'!F2694,"AAAAADr/b4Y=")</f>
        <v>#VALUE!</v>
      </c>
      <c r="EF360" t="e">
        <f>AND('STERLING CATALOG - FZN &amp; CHILL'!G2694,"AAAAADr/b4c=")</f>
        <v>#VALUE!</v>
      </c>
      <c r="EG360" t="e">
        <f>AND('STERLING CATALOG - FZN &amp; CHILL'!H2694,"AAAAADr/b4g=")</f>
        <v>#VALUE!</v>
      </c>
      <c r="EH360" t="e">
        <f>AND('STERLING CATALOG - FZN &amp; CHILL'!I2694,"AAAAADr/b4k=")</f>
        <v>#VALUE!</v>
      </c>
      <c r="EI360" t="e">
        <f>AND('STERLING CATALOG - FZN &amp; CHILL'!J2694,"AAAAADr/b4o=")</f>
        <v>#VALUE!</v>
      </c>
      <c r="EJ360">
        <f>IF('STERLING CATALOG - FZN &amp; CHILL'!2695:2695,"AAAAADr/b4s=",0)</f>
        <v>0</v>
      </c>
      <c r="EK360" t="e">
        <f>AND('STERLING CATALOG - FZN &amp; CHILL'!A2695,"AAAAADr/b4w=")</f>
        <v>#VALUE!</v>
      </c>
      <c r="EL360" t="e">
        <f>AND('STERLING CATALOG - FZN &amp; CHILL'!B2695,"AAAAADr/b40=")</f>
        <v>#VALUE!</v>
      </c>
      <c r="EM360" t="e">
        <f>AND('STERLING CATALOG - FZN &amp; CHILL'!C2695,"AAAAADr/b44=")</f>
        <v>#VALUE!</v>
      </c>
      <c r="EN360" t="e">
        <f>AND('STERLING CATALOG - FZN &amp; CHILL'!D2695,"AAAAADr/b48=")</f>
        <v>#VALUE!</v>
      </c>
      <c r="EO360" t="e">
        <f>AND('STERLING CATALOG - FZN &amp; CHILL'!E2695,"AAAAADr/b5A=")</f>
        <v>#VALUE!</v>
      </c>
      <c r="EP360" t="e">
        <f>AND('STERLING CATALOG - FZN &amp; CHILL'!F2695,"AAAAADr/b5E=")</f>
        <v>#VALUE!</v>
      </c>
      <c r="EQ360" t="e">
        <f>AND('STERLING CATALOG - FZN &amp; CHILL'!G2695,"AAAAADr/b5I=")</f>
        <v>#VALUE!</v>
      </c>
      <c r="ER360" t="e">
        <f>AND('STERLING CATALOG - FZN &amp; CHILL'!H2695,"AAAAADr/b5M=")</f>
        <v>#VALUE!</v>
      </c>
      <c r="ES360" t="e">
        <f>AND('STERLING CATALOG - FZN &amp; CHILL'!I2695,"AAAAADr/b5Q=")</f>
        <v>#VALUE!</v>
      </c>
      <c r="ET360" t="e">
        <f>AND('STERLING CATALOG - FZN &amp; CHILL'!J2695,"AAAAADr/b5U=")</f>
        <v>#VALUE!</v>
      </c>
      <c r="EU360">
        <f>IF('STERLING CATALOG - FZN &amp; CHILL'!2696:2696,"AAAAADr/b5Y=",0)</f>
        <v>0</v>
      </c>
      <c r="EV360" t="e">
        <f>AND('STERLING CATALOG - FZN &amp; CHILL'!A2696,"AAAAADr/b5c=")</f>
        <v>#VALUE!</v>
      </c>
      <c r="EW360" t="e">
        <f>AND('STERLING CATALOG - FZN &amp; CHILL'!B2696,"AAAAADr/b5g=")</f>
        <v>#VALUE!</v>
      </c>
      <c r="EX360" t="e">
        <f>AND('STERLING CATALOG - FZN &amp; CHILL'!C2696,"AAAAADr/b5k=")</f>
        <v>#VALUE!</v>
      </c>
      <c r="EY360" t="e">
        <f>AND('STERLING CATALOG - FZN &amp; CHILL'!D2696,"AAAAADr/b5o=")</f>
        <v>#VALUE!</v>
      </c>
      <c r="EZ360" t="e">
        <f>AND('STERLING CATALOG - FZN &amp; CHILL'!E2696,"AAAAADr/b5s=")</f>
        <v>#VALUE!</v>
      </c>
      <c r="FA360" t="e">
        <f>AND('STERLING CATALOG - FZN &amp; CHILL'!F2696,"AAAAADr/b5w=")</f>
        <v>#VALUE!</v>
      </c>
      <c r="FB360" t="e">
        <f>AND('STERLING CATALOG - FZN &amp; CHILL'!G2696,"AAAAADr/b50=")</f>
        <v>#VALUE!</v>
      </c>
      <c r="FC360" t="e">
        <f>AND('STERLING CATALOG - FZN &amp; CHILL'!H2696,"AAAAADr/b54=")</f>
        <v>#VALUE!</v>
      </c>
      <c r="FD360" t="e">
        <f>AND('STERLING CATALOG - FZN &amp; CHILL'!I2696,"AAAAADr/b58=")</f>
        <v>#VALUE!</v>
      </c>
      <c r="FE360" t="e">
        <f>AND('STERLING CATALOG - FZN &amp; CHILL'!J2696,"AAAAADr/b6A=")</f>
        <v>#VALUE!</v>
      </c>
      <c r="FF360">
        <f>IF('STERLING CATALOG - FZN &amp; CHILL'!2697:2697,"AAAAADr/b6E=",0)</f>
        <v>0</v>
      </c>
      <c r="FG360" t="e">
        <f>AND('STERLING CATALOG - FZN &amp; CHILL'!A2697,"AAAAADr/b6I=")</f>
        <v>#VALUE!</v>
      </c>
      <c r="FH360" t="e">
        <f>AND('STERLING CATALOG - FZN &amp; CHILL'!B2697,"AAAAADr/b6M=")</f>
        <v>#VALUE!</v>
      </c>
      <c r="FI360" t="e">
        <f>AND('STERLING CATALOG - FZN &amp; CHILL'!C2697,"AAAAADr/b6Q=")</f>
        <v>#VALUE!</v>
      </c>
      <c r="FJ360" t="e">
        <f>AND('STERLING CATALOG - FZN &amp; CHILL'!D2697,"AAAAADr/b6U=")</f>
        <v>#VALUE!</v>
      </c>
      <c r="FK360" t="e">
        <f>AND('STERLING CATALOG - FZN &amp; CHILL'!E2697,"AAAAADr/b6Y=")</f>
        <v>#VALUE!</v>
      </c>
      <c r="FL360" t="e">
        <f>AND('STERLING CATALOG - FZN &amp; CHILL'!F2697,"AAAAADr/b6c=")</f>
        <v>#VALUE!</v>
      </c>
      <c r="FM360" t="e">
        <f>AND('STERLING CATALOG - FZN &amp; CHILL'!G2697,"AAAAADr/b6g=")</f>
        <v>#VALUE!</v>
      </c>
      <c r="FN360" t="e">
        <f>AND('STERLING CATALOG - FZN &amp; CHILL'!H2697,"AAAAADr/b6k=")</f>
        <v>#VALUE!</v>
      </c>
      <c r="FO360" t="e">
        <f>AND('STERLING CATALOG - FZN &amp; CHILL'!I2697,"AAAAADr/b6o=")</f>
        <v>#VALUE!</v>
      </c>
      <c r="FP360" t="e">
        <f>AND('STERLING CATALOG - FZN &amp; CHILL'!J2697,"AAAAADr/b6s=")</f>
        <v>#VALUE!</v>
      </c>
      <c r="FQ360">
        <f>IF('STERLING CATALOG - FZN &amp; CHILL'!2698:2698,"AAAAADr/b6w=",0)</f>
        <v>0</v>
      </c>
      <c r="FR360" t="e">
        <f>AND('STERLING CATALOG - FZN &amp; CHILL'!A2698,"AAAAADr/b60=")</f>
        <v>#VALUE!</v>
      </c>
      <c r="FS360" t="e">
        <f>AND('STERLING CATALOG - FZN &amp; CHILL'!B2698,"AAAAADr/b64=")</f>
        <v>#VALUE!</v>
      </c>
      <c r="FT360" t="e">
        <f>AND('STERLING CATALOG - FZN &amp; CHILL'!C2698,"AAAAADr/b68=")</f>
        <v>#VALUE!</v>
      </c>
      <c r="FU360" t="e">
        <f>AND('STERLING CATALOG - FZN &amp; CHILL'!D2698,"AAAAADr/b7A=")</f>
        <v>#VALUE!</v>
      </c>
      <c r="FV360" t="e">
        <f>AND('STERLING CATALOG - FZN &amp; CHILL'!E2698,"AAAAADr/b7E=")</f>
        <v>#VALUE!</v>
      </c>
      <c r="FW360" t="e">
        <f>AND('STERLING CATALOG - FZN &amp; CHILL'!F2698,"AAAAADr/b7I=")</f>
        <v>#VALUE!</v>
      </c>
      <c r="FX360" t="e">
        <f>AND('STERLING CATALOG - FZN &amp; CHILL'!G2698,"AAAAADr/b7M=")</f>
        <v>#VALUE!</v>
      </c>
      <c r="FY360" t="e">
        <f>AND('STERLING CATALOG - FZN &amp; CHILL'!H2698,"AAAAADr/b7Q=")</f>
        <v>#VALUE!</v>
      </c>
      <c r="FZ360" t="e">
        <f>AND('STERLING CATALOG - FZN &amp; CHILL'!I2698,"AAAAADr/b7U=")</f>
        <v>#VALUE!</v>
      </c>
      <c r="GA360" t="e">
        <f>AND('STERLING CATALOG - FZN &amp; CHILL'!J2698,"AAAAADr/b7Y=")</f>
        <v>#VALUE!</v>
      </c>
      <c r="GB360">
        <f>IF('STERLING CATALOG - FZN &amp; CHILL'!2699:2699,"AAAAADr/b7c=",0)</f>
        <v>0</v>
      </c>
      <c r="GC360" t="e">
        <f>AND('STERLING CATALOG - FZN &amp; CHILL'!A2699,"AAAAADr/b7g=")</f>
        <v>#VALUE!</v>
      </c>
      <c r="GD360" t="e">
        <f>AND('STERLING CATALOG - FZN &amp; CHILL'!B2699,"AAAAADr/b7k=")</f>
        <v>#VALUE!</v>
      </c>
      <c r="GE360" t="e">
        <f>AND('STERLING CATALOG - FZN &amp; CHILL'!C2699,"AAAAADr/b7o=")</f>
        <v>#VALUE!</v>
      </c>
      <c r="GF360" t="e">
        <f>AND('STERLING CATALOG - FZN &amp; CHILL'!D2699,"AAAAADr/b7s=")</f>
        <v>#VALUE!</v>
      </c>
      <c r="GG360" t="e">
        <f>AND('STERLING CATALOG - FZN &amp; CHILL'!E2699,"AAAAADr/b7w=")</f>
        <v>#VALUE!</v>
      </c>
      <c r="GH360" t="e">
        <f>AND('STERLING CATALOG - FZN &amp; CHILL'!F2699,"AAAAADr/b70=")</f>
        <v>#VALUE!</v>
      </c>
      <c r="GI360" t="e">
        <f>AND('STERLING CATALOG - FZN &amp; CHILL'!G2699,"AAAAADr/b74=")</f>
        <v>#VALUE!</v>
      </c>
      <c r="GJ360" t="e">
        <f>AND('STERLING CATALOG - FZN &amp; CHILL'!H2699,"AAAAADr/b78=")</f>
        <v>#VALUE!</v>
      </c>
      <c r="GK360" t="e">
        <f>AND('STERLING CATALOG - FZN &amp; CHILL'!I2699,"AAAAADr/b8A=")</f>
        <v>#VALUE!</v>
      </c>
      <c r="GL360" t="e">
        <f>AND('STERLING CATALOG - FZN &amp; CHILL'!J2699,"AAAAADr/b8E=")</f>
        <v>#VALUE!</v>
      </c>
      <c r="GM360">
        <f>IF('STERLING CATALOG - FZN &amp; CHILL'!2700:2700,"AAAAADr/b8I=",0)</f>
        <v>0</v>
      </c>
      <c r="GN360" t="e">
        <f>AND('STERLING CATALOG - FZN &amp; CHILL'!A2700,"AAAAADr/b8M=")</f>
        <v>#VALUE!</v>
      </c>
      <c r="GO360" t="e">
        <f>AND('STERLING CATALOG - FZN &amp; CHILL'!B2700,"AAAAADr/b8Q=")</f>
        <v>#VALUE!</v>
      </c>
      <c r="GP360" t="e">
        <f>AND('STERLING CATALOG - FZN &amp; CHILL'!C2700,"AAAAADr/b8U=")</f>
        <v>#VALUE!</v>
      </c>
      <c r="GQ360" t="e">
        <f>AND('STERLING CATALOG - FZN &amp; CHILL'!D2700,"AAAAADr/b8Y=")</f>
        <v>#VALUE!</v>
      </c>
      <c r="GR360" t="e">
        <f>AND('STERLING CATALOG - FZN &amp; CHILL'!E2700,"AAAAADr/b8c=")</f>
        <v>#VALUE!</v>
      </c>
      <c r="GS360" t="e">
        <f>AND('STERLING CATALOG - FZN &amp; CHILL'!F2700,"AAAAADr/b8g=")</f>
        <v>#VALUE!</v>
      </c>
      <c r="GT360" t="e">
        <f>AND('STERLING CATALOG - FZN &amp; CHILL'!G2700,"AAAAADr/b8k=")</f>
        <v>#VALUE!</v>
      </c>
      <c r="GU360" t="e">
        <f>AND('STERLING CATALOG - FZN &amp; CHILL'!H2700,"AAAAADr/b8o=")</f>
        <v>#VALUE!</v>
      </c>
      <c r="GV360" t="e">
        <f>AND('STERLING CATALOG - FZN &amp; CHILL'!I2700,"AAAAADr/b8s=")</f>
        <v>#VALUE!</v>
      </c>
      <c r="GW360" t="e">
        <f>AND('STERLING CATALOG - FZN &amp; CHILL'!J2700,"AAAAADr/b8w=")</f>
        <v>#VALUE!</v>
      </c>
      <c r="GX360">
        <f>IF('STERLING CATALOG - FZN &amp; CHILL'!2701:2701,"AAAAADr/b80=",0)</f>
        <v>0</v>
      </c>
      <c r="GY360" t="e">
        <f>AND('STERLING CATALOG - FZN &amp; CHILL'!A2701,"AAAAADr/b84=")</f>
        <v>#VALUE!</v>
      </c>
      <c r="GZ360" t="e">
        <f>AND('STERLING CATALOG - FZN &amp; CHILL'!B2701,"AAAAADr/b88=")</f>
        <v>#VALUE!</v>
      </c>
      <c r="HA360" t="e">
        <f>AND('STERLING CATALOG - FZN &amp; CHILL'!C2701,"AAAAADr/b9A=")</f>
        <v>#VALUE!</v>
      </c>
      <c r="HB360" t="e">
        <f>AND('STERLING CATALOG - FZN &amp; CHILL'!D2701,"AAAAADr/b9E=")</f>
        <v>#VALUE!</v>
      </c>
      <c r="HC360" t="e">
        <f>AND('STERLING CATALOG - FZN &amp; CHILL'!E2701,"AAAAADr/b9I=")</f>
        <v>#VALUE!</v>
      </c>
      <c r="HD360" t="e">
        <f>AND('STERLING CATALOG - FZN &amp; CHILL'!F2701,"AAAAADr/b9M=")</f>
        <v>#VALUE!</v>
      </c>
      <c r="HE360" t="e">
        <f>AND('STERLING CATALOG - FZN &amp; CHILL'!G2701,"AAAAADr/b9Q=")</f>
        <v>#VALUE!</v>
      </c>
      <c r="HF360" t="e">
        <f>AND('STERLING CATALOG - FZN &amp; CHILL'!H2701,"AAAAADr/b9U=")</f>
        <v>#VALUE!</v>
      </c>
      <c r="HG360" t="e">
        <f>AND('STERLING CATALOG - FZN &amp; CHILL'!I2701,"AAAAADr/b9Y=")</f>
        <v>#VALUE!</v>
      </c>
      <c r="HH360" t="e">
        <f>AND('STERLING CATALOG - FZN &amp; CHILL'!J2701,"AAAAADr/b9c=")</f>
        <v>#VALUE!</v>
      </c>
      <c r="HI360">
        <f>IF('STERLING CATALOG - FZN &amp; CHILL'!2702:2702,"AAAAADr/b9g=",0)</f>
        <v>0</v>
      </c>
      <c r="HJ360" t="e">
        <f>AND('STERLING CATALOG - FZN &amp; CHILL'!A2702,"AAAAADr/b9k=")</f>
        <v>#VALUE!</v>
      </c>
      <c r="HK360" t="e">
        <f>AND('STERLING CATALOG - FZN &amp; CHILL'!B2702,"AAAAADr/b9o=")</f>
        <v>#VALUE!</v>
      </c>
      <c r="HL360" t="e">
        <f>AND('STERLING CATALOG - FZN &amp; CHILL'!C2702,"AAAAADr/b9s=")</f>
        <v>#VALUE!</v>
      </c>
      <c r="HM360" t="e">
        <f>AND('STERLING CATALOG - FZN &amp; CHILL'!D2702,"AAAAADr/b9w=")</f>
        <v>#VALUE!</v>
      </c>
      <c r="HN360" t="e">
        <f>AND('STERLING CATALOG - FZN &amp; CHILL'!E2702,"AAAAADr/b90=")</f>
        <v>#VALUE!</v>
      </c>
      <c r="HO360" t="e">
        <f>AND('STERLING CATALOG - FZN &amp; CHILL'!F2702,"AAAAADr/b94=")</f>
        <v>#VALUE!</v>
      </c>
      <c r="HP360" t="e">
        <f>AND('STERLING CATALOG - FZN &amp; CHILL'!G2702,"AAAAADr/b98=")</f>
        <v>#VALUE!</v>
      </c>
      <c r="HQ360" t="e">
        <f>AND('STERLING CATALOG - FZN &amp; CHILL'!H2702,"AAAAADr/b+A=")</f>
        <v>#VALUE!</v>
      </c>
      <c r="HR360" t="e">
        <f>AND('STERLING CATALOG - FZN &amp; CHILL'!I2702,"AAAAADr/b+E=")</f>
        <v>#VALUE!</v>
      </c>
      <c r="HS360" t="e">
        <f>AND('STERLING CATALOG - FZN &amp; CHILL'!J2702,"AAAAADr/b+I=")</f>
        <v>#VALUE!</v>
      </c>
      <c r="HT360">
        <f>IF('STERLING CATALOG - FZN &amp; CHILL'!2703:2703,"AAAAADr/b+M=",0)</f>
        <v>0</v>
      </c>
      <c r="HU360" t="e">
        <f>AND('STERLING CATALOG - FZN &amp; CHILL'!A2703,"AAAAADr/b+Q=")</f>
        <v>#VALUE!</v>
      </c>
      <c r="HV360" t="e">
        <f>AND('STERLING CATALOG - FZN &amp; CHILL'!B2703,"AAAAADr/b+U=")</f>
        <v>#VALUE!</v>
      </c>
      <c r="HW360" t="e">
        <f>AND('STERLING CATALOG - FZN &amp; CHILL'!C2703,"AAAAADr/b+Y=")</f>
        <v>#VALUE!</v>
      </c>
      <c r="HX360" t="e">
        <f>AND('STERLING CATALOG - FZN &amp; CHILL'!D2703,"AAAAADr/b+c=")</f>
        <v>#VALUE!</v>
      </c>
      <c r="HY360" t="e">
        <f>AND('STERLING CATALOG - FZN &amp; CHILL'!E2703,"AAAAADr/b+g=")</f>
        <v>#VALUE!</v>
      </c>
      <c r="HZ360" t="e">
        <f>AND('STERLING CATALOG - FZN &amp; CHILL'!F2703,"AAAAADr/b+k=")</f>
        <v>#VALUE!</v>
      </c>
      <c r="IA360" t="e">
        <f>AND('STERLING CATALOG - FZN &amp; CHILL'!G2703,"AAAAADr/b+o=")</f>
        <v>#VALUE!</v>
      </c>
      <c r="IB360" t="e">
        <f>AND('STERLING CATALOG - FZN &amp; CHILL'!H2703,"AAAAADr/b+s=")</f>
        <v>#VALUE!</v>
      </c>
      <c r="IC360" t="e">
        <f>AND('STERLING CATALOG - FZN &amp; CHILL'!I2703,"AAAAADr/b+w=")</f>
        <v>#VALUE!</v>
      </c>
      <c r="ID360" t="e">
        <f>AND('STERLING CATALOG - FZN &amp; CHILL'!J2703,"AAAAADr/b+0=")</f>
        <v>#VALUE!</v>
      </c>
      <c r="IE360">
        <f>IF('STERLING CATALOG - FZN &amp; CHILL'!2704:2704,"AAAAADr/b+4=",0)</f>
        <v>0</v>
      </c>
      <c r="IF360" t="e">
        <f>AND('STERLING CATALOG - FZN &amp; CHILL'!A2704,"AAAAADr/b+8=")</f>
        <v>#VALUE!</v>
      </c>
      <c r="IG360" t="e">
        <f>AND('STERLING CATALOG - FZN &amp; CHILL'!B2704,"AAAAADr/b/A=")</f>
        <v>#VALUE!</v>
      </c>
      <c r="IH360" t="e">
        <f>AND('STERLING CATALOG - FZN &amp; CHILL'!C2704,"AAAAADr/b/E=")</f>
        <v>#VALUE!</v>
      </c>
      <c r="II360" t="e">
        <f>AND('STERLING CATALOG - FZN &amp; CHILL'!D2704,"AAAAADr/b/I=")</f>
        <v>#VALUE!</v>
      </c>
      <c r="IJ360" t="e">
        <f>AND('STERLING CATALOG - FZN &amp; CHILL'!E2704,"AAAAADr/b/M=")</f>
        <v>#VALUE!</v>
      </c>
      <c r="IK360" t="e">
        <f>AND('STERLING CATALOG - FZN &amp; CHILL'!F2704,"AAAAADr/b/Q=")</f>
        <v>#VALUE!</v>
      </c>
      <c r="IL360" t="e">
        <f>AND('STERLING CATALOG - FZN &amp; CHILL'!G2704,"AAAAADr/b/U=")</f>
        <v>#VALUE!</v>
      </c>
      <c r="IM360" t="e">
        <f>AND('STERLING CATALOG - FZN &amp; CHILL'!H2704,"AAAAADr/b/Y=")</f>
        <v>#VALUE!</v>
      </c>
      <c r="IN360" t="e">
        <f>AND('STERLING CATALOG - FZN &amp; CHILL'!I2704,"AAAAADr/b/c=")</f>
        <v>#VALUE!</v>
      </c>
      <c r="IO360" t="e">
        <f>AND('STERLING CATALOG - FZN &amp; CHILL'!J2704,"AAAAADr/b/g=")</f>
        <v>#VALUE!</v>
      </c>
      <c r="IP360">
        <f>IF('STERLING CATALOG - FZN &amp; CHILL'!2705:2705,"AAAAADr/b/k=",0)</f>
        <v>0</v>
      </c>
      <c r="IQ360" t="e">
        <f>AND('STERLING CATALOG - FZN &amp; CHILL'!A2705,"AAAAADr/b/o=")</f>
        <v>#VALUE!</v>
      </c>
      <c r="IR360" t="e">
        <f>AND('STERLING CATALOG - FZN &amp; CHILL'!B2705,"AAAAADr/b/s=")</f>
        <v>#VALUE!</v>
      </c>
      <c r="IS360" t="e">
        <f>AND('STERLING CATALOG - FZN &amp; CHILL'!C2705,"AAAAADr/b/w=")</f>
        <v>#VALUE!</v>
      </c>
      <c r="IT360" t="e">
        <f>AND('STERLING CATALOG - FZN &amp; CHILL'!D2705,"AAAAADr/b/0=")</f>
        <v>#VALUE!</v>
      </c>
      <c r="IU360" t="e">
        <f>AND('STERLING CATALOG - FZN &amp; CHILL'!E2705,"AAAAADr/b/4=")</f>
        <v>#VALUE!</v>
      </c>
      <c r="IV360" t="e">
        <f>AND('STERLING CATALOG - FZN &amp; CHILL'!F2705,"AAAAADr/b/8=")</f>
        <v>#VALUE!</v>
      </c>
    </row>
    <row r="361" spans="1:256">
      <c r="A361" t="e">
        <f>AND('STERLING CATALOG - FZN &amp; CHILL'!G2705,"AAAAAF867gA=")</f>
        <v>#VALUE!</v>
      </c>
      <c r="B361" t="e">
        <f>AND('STERLING CATALOG - FZN &amp; CHILL'!H2705,"AAAAAF867gE=")</f>
        <v>#VALUE!</v>
      </c>
      <c r="C361" t="e">
        <f>AND('STERLING CATALOG - FZN &amp; CHILL'!I2705,"AAAAAF867gI=")</f>
        <v>#VALUE!</v>
      </c>
      <c r="D361" t="e">
        <f>AND('STERLING CATALOG - FZN &amp; CHILL'!J2705,"AAAAAF867gM=")</f>
        <v>#VALUE!</v>
      </c>
      <c r="E361" t="e">
        <f>IF('STERLING CATALOG - FZN &amp; CHILL'!2706:2706,"AAAAAF867gQ=",0)</f>
        <v>#VALUE!</v>
      </c>
      <c r="F361" t="e">
        <f>AND('STERLING CATALOG - FZN &amp; CHILL'!A2706,"AAAAAF867gU=")</f>
        <v>#VALUE!</v>
      </c>
      <c r="G361" t="e">
        <f>AND('STERLING CATALOG - FZN &amp; CHILL'!B2706,"AAAAAF867gY=")</f>
        <v>#VALUE!</v>
      </c>
      <c r="H361" t="e">
        <f>AND('STERLING CATALOG - FZN &amp; CHILL'!C2706,"AAAAAF867gc=")</f>
        <v>#VALUE!</v>
      </c>
      <c r="I361" t="e">
        <f>AND('STERLING CATALOG - FZN &amp; CHILL'!D2706,"AAAAAF867gg=")</f>
        <v>#VALUE!</v>
      </c>
      <c r="J361" t="e">
        <f>AND('STERLING CATALOG - FZN &amp; CHILL'!E2706,"AAAAAF867gk=")</f>
        <v>#VALUE!</v>
      </c>
      <c r="K361" t="e">
        <f>AND('STERLING CATALOG - FZN &amp; CHILL'!F2706,"AAAAAF867go=")</f>
        <v>#VALUE!</v>
      </c>
      <c r="L361" t="e">
        <f>AND('STERLING CATALOG - FZN &amp; CHILL'!G2706,"AAAAAF867gs=")</f>
        <v>#VALUE!</v>
      </c>
      <c r="M361" t="e">
        <f>AND('STERLING CATALOG - FZN &amp; CHILL'!H2706,"AAAAAF867gw=")</f>
        <v>#VALUE!</v>
      </c>
      <c r="N361" t="e">
        <f>AND('STERLING CATALOG - FZN &amp; CHILL'!I2706,"AAAAAF867g0=")</f>
        <v>#VALUE!</v>
      </c>
      <c r="O361" t="e">
        <f>AND('STERLING CATALOG - FZN &amp; CHILL'!J2706,"AAAAAF867g4=")</f>
        <v>#VALUE!</v>
      </c>
      <c r="P361">
        <f>IF('STERLING CATALOG - FZN &amp; CHILL'!2707:2707,"AAAAAF867g8=",0)</f>
        <v>0</v>
      </c>
      <c r="Q361" t="e">
        <f>AND('STERLING CATALOG - FZN &amp; CHILL'!A2707,"AAAAAF867hA=")</f>
        <v>#VALUE!</v>
      </c>
      <c r="R361" t="e">
        <f>AND('STERLING CATALOG - FZN &amp; CHILL'!B2707,"AAAAAF867hE=")</f>
        <v>#VALUE!</v>
      </c>
      <c r="S361" t="e">
        <f>AND('STERLING CATALOG - FZN &amp; CHILL'!C2707,"AAAAAF867hI=")</f>
        <v>#VALUE!</v>
      </c>
      <c r="T361" t="e">
        <f>AND('STERLING CATALOG - FZN &amp; CHILL'!D2707,"AAAAAF867hM=")</f>
        <v>#VALUE!</v>
      </c>
      <c r="U361" t="e">
        <f>AND('STERLING CATALOG - FZN &amp; CHILL'!E2707,"AAAAAF867hQ=")</f>
        <v>#VALUE!</v>
      </c>
      <c r="V361" t="e">
        <f>AND('STERLING CATALOG - FZN &amp; CHILL'!F2707,"AAAAAF867hU=")</f>
        <v>#VALUE!</v>
      </c>
      <c r="W361" t="e">
        <f>AND('STERLING CATALOG - FZN &amp; CHILL'!G2707,"AAAAAF867hY=")</f>
        <v>#VALUE!</v>
      </c>
      <c r="X361" t="e">
        <f>AND('STERLING CATALOG - FZN &amp; CHILL'!H2707,"AAAAAF867hc=")</f>
        <v>#VALUE!</v>
      </c>
      <c r="Y361" t="e">
        <f>AND('STERLING CATALOG - FZN &amp; CHILL'!I2707,"AAAAAF867hg=")</f>
        <v>#VALUE!</v>
      </c>
      <c r="Z361" t="e">
        <f>AND('STERLING CATALOG - FZN &amp; CHILL'!J2707,"AAAAAF867hk=")</f>
        <v>#VALUE!</v>
      </c>
      <c r="AA361">
        <f>IF('STERLING CATALOG - FZN &amp; CHILL'!2708:2708,"AAAAAF867ho=",0)</f>
        <v>0</v>
      </c>
      <c r="AB361" t="e">
        <f>AND('STERLING CATALOG - FZN &amp; CHILL'!A2708,"AAAAAF867hs=")</f>
        <v>#VALUE!</v>
      </c>
      <c r="AC361" t="e">
        <f>AND('STERLING CATALOG - FZN &amp; CHILL'!B2708,"AAAAAF867hw=")</f>
        <v>#VALUE!</v>
      </c>
      <c r="AD361" t="e">
        <f>AND('STERLING CATALOG - FZN &amp; CHILL'!C2708,"AAAAAF867h0=")</f>
        <v>#VALUE!</v>
      </c>
      <c r="AE361" t="e">
        <f>AND('STERLING CATALOG - FZN &amp; CHILL'!D2708,"AAAAAF867h4=")</f>
        <v>#VALUE!</v>
      </c>
      <c r="AF361" t="e">
        <f>AND('STERLING CATALOG - FZN &amp; CHILL'!E2708,"AAAAAF867h8=")</f>
        <v>#VALUE!</v>
      </c>
      <c r="AG361" t="e">
        <f>AND('STERLING CATALOG - FZN &amp; CHILL'!F2708,"AAAAAF867iA=")</f>
        <v>#VALUE!</v>
      </c>
      <c r="AH361" t="e">
        <f>AND('STERLING CATALOG - FZN &amp; CHILL'!G2708,"AAAAAF867iE=")</f>
        <v>#VALUE!</v>
      </c>
      <c r="AI361" t="e">
        <f>AND('STERLING CATALOG - FZN &amp; CHILL'!H2708,"AAAAAF867iI=")</f>
        <v>#VALUE!</v>
      </c>
      <c r="AJ361" t="e">
        <f>AND('STERLING CATALOG - FZN &amp; CHILL'!I2708,"AAAAAF867iM=")</f>
        <v>#VALUE!</v>
      </c>
      <c r="AK361" t="e">
        <f>AND('STERLING CATALOG - FZN &amp; CHILL'!J2708,"AAAAAF867iQ=")</f>
        <v>#VALUE!</v>
      </c>
      <c r="AL361">
        <f>IF('STERLING CATALOG - FZN &amp; CHILL'!2709:2709,"AAAAAF867iU=",0)</f>
        <v>0</v>
      </c>
      <c r="AM361" t="e">
        <f>AND('STERLING CATALOG - FZN &amp; CHILL'!A2709,"AAAAAF867iY=")</f>
        <v>#VALUE!</v>
      </c>
      <c r="AN361" t="e">
        <f>AND('STERLING CATALOG - FZN &amp; CHILL'!B2709,"AAAAAF867ic=")</f>
        <v>#VALUE!</v>
      </c>
      <c r="AO361" t="e">
        <f>AND('STERLING CATALOG - FZN &amp; CHILL'!C2709,"AAAAAF867ig=")</f>
        <v>#VALUE!</v>
      </c>
      <c r="AP361" t="e">
        <f>AND('STERLING CATALOG - FZN &amp; CHILL'!D2709,"AAAAAF867ik=")</f>
        <v>#VALUE!</v>
      </c>
      <c r="AQ361" t="e">
        <f>AND('STERLING CATALOG - FZN &amp; CHILL'!E2709,"AAAAAF867io=")</f>
        <v>#VALUE!</v>
      </c>
      <c r="AR361" t="e">
        <f>AND('STERLING CATALOG - FZN &amp; CHILL'!F2709,"AAAAAF867is=")</f>
        <v>#VALUE!</v>
      </c>
      <c r="AS361" t="e">
        <f>AND('STERLING CATALOG - FZN &amp; CHILL'!G2709,"AAAAAF867iw=")</f>
        <v>#VALUE!</v>
      </c>
      <c r="AT361" t="e">
        <f>AND('STERLING CATALOG - FZN &amp; CHILL'!H2709,"AAAAAF867i0=")</f>
        <v>#VALUE!</v>
      </c>
      <c r="AU361" t="e">
        <f>AND('STERLING CATALOG - FZN &amp; CHILL'!I2709,"AAAAAF867i4=")</f>
        <v>#VALUE!</v>
      </c>
      <c r="AV361" t="e">
        <f>AND('STERLING CATALOG - FZN &amp; CHILL'!J2709,"AAAAAF867i8=")</f>
        <v>#VALUE!</v>
      </c>
      <c r="AW361">
        <f>IF('STERLING CATALOG - FZN &amp; CHILL'!2710:2710,"AAAAAF867jA=",0)</f>
        <v>0</v>
      </c>
      <c r="AX361" t="e">
        <f>AND('STERLING CATALOG - FZN &amp; CHILL'!A2710,"AAAAAF867jE=")</f>
        <v>#VALUE!</v>
      </c>
      <c r="AY361" t="e">
        <f>AND('STERLING CATALOG - FZN &amp; CHILL'!B2710,"AAAAAF867jI=")</f>
        <v>#VALUE!</v>
      </c>
      <c r="AZ361" t="e">
        <f>AND('STERLING CATALOG - FZN &amp; CHILL'!C2710,"AAAAAF867jM=")</f>
        <v>#VALUE!</v>
      </c>
      <c r="BA361" t="e">
        <f>AND('STERLING CATALOG - FZN &amp; CHILL'!D2710,"AAAAAF867jQ=")</f>
        <v>#VALUE!</v>
      </c>
      <c r="BB361" t="e">
        <f>AND('STERLING CATALOG - FZN &amp; CHILL'!E2710,"AAAAAF867jU=")</f>
        <v>#VALUE!</v>
      </c>
      <c r="BC361" t="e">
        <f>AND('STERLING CATALOG - FZN &amp; CHILL'!F2710,"AAAAAF867jY=")</f>
        <v>#VALUE!</v>
      </c>
      <c r="BD361" t="e">
        <f>AND('STERLING CATALOG - FZN &amp; CHILL'!G2710,"AAAAAF867jc=")</f>
        <v>#VALUE!</v>
      </c>
      <c r="BE361" t="e">
        <f>AND('STERLING CATALOG - FZN &amp; CHILL'!H2710,"AAAAAF867jg=")</f>
        <v>#VALUE!</v>
      </c>
      <c r="BF361" t="e">
        <f>AND('STERLING CATALOG - FZN &amp; CHILL'!I2710,"AAAAAF867jk=")</f>
        <v>#VALUE!</v>
      </c>
      <c r="BG361" t="e">
        <f>AND('STERLING CATALOG - FZN &amp; CHILL'!J2710,"AAAAAF867jo=")</f>
        <v>#VALUE!</v>
      </c>
      <c r="BH361">
        <f>IF('STERLING CATALOG - FZN &amp; CHILL'!2711:2711,"AAAAAF867js=",0)</f>
        <v>0</v>
      </c>
      <c r="BI361" t="e">
        <f>AND('STERLING CATALOG - FZN &amp; CHILL'!A2711,"AAAAAF867jw=")</f>
        <v>#VALUE!</v>
      </c>
      <c r="BJ361" t="e">
        <f>AND('STERLING CATALOG - FZN &amp; CHILL'!B2711,"AAAAAF867j0=")</f>
        <v>#VALUE!</v>
      </c>
      <c r="BK361" t="e">
        <f>AND('STERLING CATALOG - FZN &amp; CHILL'!C2711,"AAAAAF867j4=")</f>
        <v>#VALUE!</v>
      </c>
      <c r="BL361" t="e">
        <f>AND('STERLING CATALOG - FZN &amp; CHILL'!D2711,"AAAAAF867j8=")</f>
        <v>#VALUE!</v>
      </c>
      <c r="BM361" t="e">
        <f>AND('STERLING CATALOG - FZN &amp; CHILL'!E2711,"AAAAAF867kA=")</f>
        <v>#VALUE!</v>
      </c>
      <c r="BN361" t="e">
        <f>AND('STERLING CATALOG - FZN &amp; CHILL'!F2711,"AAAAAF867kE=")</f>
        <v>#VALUE!</v>
      </c>
      <c r="BO361" t="e">
        <f>AND('STERLING CATALOG - FZN &amp; CHILL'!G2711,"AAAAAF867kI=")</f>
        <v>#VALUE!</v>
      </c>
      <c r="BP361" t="e">
        <f>AND('STERLING CATALOG - FZN &amp; CHILL'!H2711,"AAAAAF867kM=")</f>
        <v>#VALUE!</v>
      </c>
      <c r="BQ361" t="e">
        <f>AND('STERLING CATALOG - FZN &amp; CHILL'!I2711,"AAAAAF867kQ=")</f>
        <v>#VALUE!</v>
      </c>
      <c r="BR361" t="e">
        <f>AND('STERLING CATALOG - FZN &amp; CHILL'!J2711,"AAAAAF867kU=")</f>
        <v>#VALUE!</v>
      </c>
      <c r="BS361">
        <f>IF('STERLING CATALOG - FZN &amp; CHILL'!2712:2712,"AAAAAF867kY=",0)</f>
        <v>0</v>
      </c>
      <c r="BT361" t="e">
        <f>AND('STERLING CATALOG - FZN &amp; CHILL'!A2712,"AAAAAF867kc=")</f>
        <v>#VALUE!</v>
      </c>
      <c r="BU361" t="e">
        <f>AND('STERLING CATALOG - FZN &amp; CHILL'!B2712,"AAAAAF867kg=")</f>
        <v>#VALUE!</v>
      </c>
      <c r="BV361" t="e">
        <f>AND('STERLING CATALOG - FZN &amp; CHILL'!C2712,"AAAAAF867kk=")</f>
        <v>#VALUE!</v>
      </c>
      <c r="BW361" t="e">
        <f>AND('STERLING CATALOG - FZN &amp; CHILL'!D2712,"AAAAAF867ko=")</f>
        <v>#VALUE!</v>
      </c>
      <c r="BX361" t="e">
        <f>AND('STERLING CATALOG - FZN &amp; CHILL'!E2712,"AAAAAF867ks=")</f>
        <v>#VALUE!</v>
      </c>
      <c r="BY361" t="e">
        <f>AND('STERLING CATALOG - FZN &amp; CHILL'!F2712,"AAAAAF867kw=")</f>
        <v>#VALUE!</v>
      </c>
      <c r="BZ361" t="e">
        <f>AND('STERLING CATALOG - FZN &amp; CHILL'!G2712,"AAAAAF867k0=")</f>
        <v>#VALUE!</v>
      </c>
      <c r="CA361" t="e">
        <f>AND('STERLING CATALOG - FZN &amp; CHILL'!H2712,"AAAAAF867k4=")</f>
        <v>#VALUE!</v>
      </c>
      <c r="CB361" t="e">
        <f>AND('STERLING CATALOG - FZN &amp; CHILL'!I2712,"AAAAAF867k8=")</f>
        <v>#VALUE!</v>
      </c>
      <c r="CC361" t="e">
        <f>AND('STERLING CATALOG - FZN &amp; CHILL'!J2712,"AAAAAF867lA=")</f>
        <v>#VALUE!</v>
      </c>
      <c r="CD361">
        <f>IF('STERLING CATALOG - FZN &amp; CHILL'!2713:2713,"AAAAAF867lE=",0)</f>
        <v>0</v>
      </c>
      <c r="CE361" t="e">
        <f>AND('STERLING CATALOG - FZN &amp; CHILL'!A2713,"AAAAAF867lI=")</f>
        <v>#VALUE!</v>
      </c>
      <c r="CF361" t="e">
        <f>AND('STERLING CATALOG - FZN &amp; CHILL'!B2713,"AAAAAF867lM=")</f>
        <v>#VALUE!</v>
      </c>
      <c r="CG361" t="e">
        <f>AND('STERLING CATALOG - FZN &amp; CHILL'!C2713,"AAAAAF867lQ=")</f>
        <v>#VALUE!</v>
      </c>
      <c r="CH361" t="e">
        <f>AND('STERLING CATALOG - FZN &amp; CHILL'!D2713,"AAAAAF867lU=")</f>
        <v>#VALUE!</v>
      </c>
      <c r="CI361" t="e">
        <f>AND('STERLING CATALOG - FZN &amp; CHILL'!E2713,"AAAAAF867lY=")</f>
        <v>#VALUE!</v>
      </c>
      <c r="CJ361" t="e">
        <f>AND('STERLING CATALOG - FZN &amp; CHILL'!F2713,"AAAAAF867lc=")</f>
        <v>#VALUE!</v>
      </c>
      <c r="CK361" t="e">
        <f>AND('STERLING CATALOG - FZN &amp; CHILL'!G2713,"AAAAAF867lg=")</f>
        <v>#VALUE!</v>
      </c>
      <c r="CL361" t="e">
        <f>AND('STERLING CATALOG - FZN &amp; CHILL'!H2713,"AAAAAF867lk=")</f>
        <v>#VALUE!</v>
      </c>
      <c r="CM361" t="e">
        <f>AND('STERLING CATALOG - FZN &amp; CHILL'!I2713,"AAAAAF867lo=")</f>
        <v>#VALUE!</v>
      </c>
      <c r="CN361" t="e">
        <f>AND('STERLING CATALOG - FZN &amp; CHILL'!J2713,"AAAAAF867ls=")</f>
        <v>#VALUE!</v>
      </c>
      <c r="CO361">
        <f>IF('STERLING CATALOG - FZN &amp; CHILL'!2714:2714,"AAAAAF867lw=",0)</f>
        <v>0</v>
      </c>
      <c r="CP361" t="e">
        <f>AND('STERLING CATALOG - FZN &amp; CHILL'!A2714,"AAAAAF867l0=")</f>
        <v>#VALUE!</v>
      </c>
      <c r="CQ361" t="e">
        <f>AND('STERLING CATALOG - FZN &amp; CHILL'!B2714,"AAAAAF867l4=")</f>
        <v>#VALUE!</v>
      </c>
      <c r="CR361" t="e">
        <f>AND('STERLING CATALOG - FZN &amp; CHILL'!C2714,"AAAAAF867l8=")</f>
        <v>#VALUE!</v>
      </c>
      <c r="CS361" t="e">
        <f>AND('STERLING CATALOG - FZN &amp; CHILL'!D2714,"AAAAAF867mA=")</f>
        <v>#VALUE!</v>
      </c>
      <c r="CT361" t="e">
        <f>AND('STERLING CATALOG - FZN &amp; CHILL'!E2714,"AAAAAF867mE=")</f>
        <v>#VALUE!</v>
      </c>
      <c r="CU361" t="e">
        <f>AND('STERLING CATALOG - FZN &amp; CHILL'!F2714,"AAAAAF867mI=")</f>
        <v>#VALUE!</v>
      </c>
      <c r="CV361" t="e">
        <f>AND('STERLING CATALOG - FZN &amp; CHILL'!G2714,"AAAAAF867mM=")</f>
        <v>#VALUE!</v>
      </c>
      <c r="CW361" t="e">
        <f>AND('STERLING CATALOG - FZN &amp; CHILL'!H2714,"AAAAAF867mQ=")</f>
        <v>#VALUE!</v>
      </c>
      <c r="CX361" t="e">
        <f>AND('STERLING CATALOG - FZN &amp; CHILL'!I2714,"AAAAAF867mU=")</f>
        <v>#VALUE!</v>
      </c>
      <c r="CY361" t="e">
        <f>AND('STERLING CATALOG - FZN &amp; CHILL'!J2714,"AAAAAF867mY=")</f>
        <v>#VALUE!</v>
      </c>
      <c r="CZ361">
        <f>IF('STERLING CATALOG - FZN &amp; CHILL'!2715:2715,"AAAAAF867mc=",0)</f>
        <v>0</v>
      </c>
      <c r="DA361" t="e">
        <f>AND('STERLING CATALOG - FZN &amp; CHILL'!A2715,"AAAAAF867mg=")</f>
        <v>#VALUE!</v>
      </c>
      <c r="DB361" t="e">
        <f>AND('STERLING CATALOG - FZN &amp; CHILL'!B2715,"AAAAAF867mk=")</f>
        <v>#VALUE!</v>
      </c>
      <c r="DC361" t="e">
        <f>AND('STERLING CATALOG - FZN &amp; CHILL'!C2715,"AAAAAF867mo=")</f>
        <v>#VALUE!</v>
      </c>
      <c r="DD361" t="e">
        <f>AND('STERLING CATALOG - FZN &amp; CHILL'!D2715,"AAAAAF867ms=")</f>
        <v>#VALUE!</v>
      </c>
      <c r="DE361" t="e">
        <f>AND('STERLING CATALOG - FZN &amp; CHILL'!E2715,"AAAAAF867mw=")</f>
        <v>#VALUE!</v>
      </c>
      <c r="DF361" t="e">
        <f>AND('STERLING CATALOG - FZN &amp; CHILL'!F2715,"AAAAAF867m0=")</f>
        <v>#VALUE!</v>
      </c>
      <c r="DG361" t="e">
        <f>AND('STERLING CATALOG - FZN &amp; CHILL'!G2715,"AAAAAF867m4=")</f>
        <v>#VALUE!</v>
      </c>
      <c r="DH361" t="e">
        <f>AND('STERLING CATALOG - FZN &amp; CHILL'!H2715,"AAAAAF867m8=")</f>
        <v>#VALUE!</v>
      </c>
      <c r="DI361" t="e">
        <f>AND('STERLING CATALOG - FZN &amp; CHILL'!I2715,"AAAAAF867nA=")</f>
        <v>#VALUE!</v>
      </c>
      <c r="DJ361" t="e">
        <f>AND('STERLING CATALOG - FZN &amp; CHILL'!J2715,"AAAAAF867nE=")</f>
        <v>#VALUE!</v>
      </c>
      <c r="DK361">
        <f>IF('STERLING CATALOG - FZN &amp; CHILL'!2716:2716,"AAAAAF867nI=",0)</f>
        <v>0</v>
      </c>
      <c r="DL361" t="e">
        <f>AND('STERLING CATALOG - FZN &amp; CHILL'!A2716,"AAAAAF867nM=")</f>
        <v>#VALUE!</v>
      </c>
      <c r="DM361" t="e">
        <f>AND('STERLING CATALOG - FZN &amp; CHILL'!B2716,"AAAAAF867nQ=")</f>
        <v>#VALUE!</v>
      </c>
      <c r="DN361" t="e">
        <f>AND('STERLING CATALOG - FZN &amp; CHILL'!C2716,"AAAAAF867nU=")</f>
        <v>#VALUE!</v>
      </c>
      <c r="DO361" t="e">
        <f>AND('STERLING CATALOG - FZN &amp; CHILL'!D2716,"AAAAAF867nY=")</f>
        <v>#VALUE!</v>
      </c>
      <c r="DP361" t="e">
        <f>AND('STERLING CATALOG - FZN &amp; CHILL'!E2716,"AAAAAF867nc=")</f>
        <v>#VALUE!</v>
      </c>
      <c r="DQ361" t="e">
        <f>AND('STERLING CATALOG - FZN &amp; CHILL'!F2716,"AAAAAF867ng=")</f>
        <v>#VALUE!</v>
      </c>
      <c r="DR361" t="e">
        <f>AND('STERLING CATALOG - FZN &amp; CHILL'!G2716,"AAAAAF867nk=")</f>
        <v>#VALUE!</v>
      </c>
      <c r="DS361" t="e">
        <f>AND('STERLING CATALOG - FZN &amp; CHILL'!H2716,"AAAAAF867no=")</f>
        <v>#VALUE!</v>
      </c>
      <c r="DT361" t="e">
        <f>AND('STERLING CATALOG - FZN &amp; CHILL'!I2716,"AAAAAF867ns=")</f>
        <v>#VALUE!</v>
      </c>
      <c r="DU361" t="e">
        <f>AND('STERLING CATALOG - FZN &amp; CHILL'!J2716,"AAAAAF867nw=")</f>
        <v>#VALUE!</v>
      </c>
      <c r="DV361">
        <f>IF('STERLING CATALOG - FZN &amp; CHILL'!2717:2717,"AAAAAF867n0=",0)</f>
        <v>0</v>
      </c>
      <c r="DW361" t="e">
        <f>AND('STERLING CATALOG - FZN &amp; CHILL'!A2717,"AAAAAF867n4=")</f>
        <v>#VALUE!</v>
      </c>
      <c r="DX361" t="e">
        <f>AND('STERLING CATALOG - FZN &amp; CHILL'!B2717,"AAAAAF867n8=")</f>
        <v>#VALUE!</v>
      </c>
      <c r="DY361" t="e">
        <f>AND('STERLING CATALOG - FZN &amp; CHILL'!C2717,"AAAAAF867oA=")</f>
        <v>#VALUE!</v>
      </c>
      <c r="DZ361" t="e">
        <f>AND('STERLING CATALOG - FZN &amp; CHILL'!D2717,"AAAAAF867oE=")</f>
        <v>#VALUE!</v>
      </c>
      <c r="EA361" t="e">
        <f>AND('STERLING CATALOG - FZN &amp; CHILL'!E2717,"AAAAAF867oI=")</f>
        <v>#VALUE!</v>
      </c>
      <c r="EB361" t="e">
        <f>AND('STERLING CATALOG - FZN &amp; CHILL'!F2717,"AAAAAF867oM=")</f>
        <v>#VALUE!</v>
      </c>
      <c r="EC361" t="e">
        <f>AND('STERLING CATALOG - FZN &amp; CHILL'!G2717,"AAAAAF867oQ=")</f>
        <v>#VALUE!</v>
      </c>
      <c r="ED361" t="e">
        <f>AND('STERLING CATALOG - FZN &amp; CHILL'!H2717,"AAAAAF867oU=")</f>
        <v>#VALUE!</v>
      </c>
      <c r="EE361" t="e">
        <f>AND('STERLING CATALOG - FZN &amp; CHILL'!I2717,"AAAAAF867oY=")</f>
        <v>#VALUE!</v>
      </c>
      <c r="EF361" t="e">
        <f>AND('STERLING CATALOG - FZN &amp; CHILL'!J2717,"AAAAAF867oc=")</f>
        <v>#VALUE!</v>
      </c>
      <c r="EG361">
        <f>IF('STERLING CATALOG - FZN &amp; CHILL'!2718:2718,"AAAAAF867og=",0)</f>
        <v>0</v>
      </c>
      <c r="EH361" t="e">
        <f>AND('STERLING CATALOG - FZN &amp; CHILL'!A2718,"AAAAAF867ok=")</f>
        <v>#VALUE!</v>
      </c>
      <c r="EI361" t="e">
        <f>AND('STERLING CATALOG - FZN &amp; CHILL'!B2718,"AAAAAF867oo=")</f>
        <v>#VALUE!</v>
      </c>
      <c r="EJ361" t="e">
        <f>AND('STERLING CATALOG - FZN &amp; CHILL'!C2718,"AAAAAF867os=")</f>
        <v>#VALUE!</v>
      </c>
      <c r="EK361" t="e">
        <f>AND('STERLING CATALOG - FZN &amp; CHILL'!D2718,"AAAAAF867ow=")</f>
        <v>#VALUE!</v>
      </c>
      <c r="EL361" t="e">
        <f>AND('STERLING CATALOG - FZN &amp; CHILL'!E2718,"AAAAAF867o0=")</f>
        <v>#VALUE!</v>
      </c>
      <c r="EM361" t="e">
        <f>AND('STERLING CATALOG - FZN &amp; CHILL'!F2718,"AAAAAF867o4=")</f>
        <v>#VALUE!</v>
      </c>
      <c r="EN361" t="e">
        <f>AND('STERLING CATALOG - FZN &amp; CHILL'!G2718,"AAAAAF867o8=")</f>
        <v>#VALUE!</v>
      </c>
      <c r="EO361" t="e">
        <f>AND('STERLING CATALOG - FZN &amp; CHILL'!H2718,"AAAAAF867pA=")</f>
        <v>#VALUE!</v>
      </c>
      <c r="EP361" t="e">
        <f>AND('STERLING CATALOG - FZN &amp; CHILL'!I2718,"AAAAAF867pE=")</f>
        <v>#VALUE!</v>
      </c>
      <c r="EQ361" t="e">
        <f>AND('STERLING CATALOG - FZN &amp; CHILL'!J2718,"AAAAAF867pI=")</f>
        <v>#VALUE!</v>
      </c>
      <c r="ER361">
        <f>IF('STERLING CATALOG - FZN &amp; CHILL'!2719:2719,"AAAAAF867pM=",0)</f>
        <v>0</v>
      </c>
      <c r="ES361" t="e">
        <f>AND('STERLING CATALOG - FZN &amp; CHILL'!A2719,"AAAAAF867pQ=")</f>
        <v>#VALUE!</v>
      </c>
      <c r="ET361" t="e">
        <f>AND('STERLING CATALOG - FZN &amp; CHILL'!B2719,"AAAAAF867pU=")</f>
        <v>#VALUE!</v>
      </c>
      <c r="EU361" t="e">
        <f>AND('STERLING CATALOG - FZN &amp; CHILL'!C2719,"AAAAAF867pY=")</f>
        <v>#VALUE!</v>
      </c>
      <c r="EV361" t="e">
        <f>AND('STERLING CATALOG - FZN &amp; CHILL'!D2719,"AAAAAF867pc=")</f>
        <v>#VALUE!</v>
      </c>
      <c r="EW361" t="e">
        <f>AND('STERLING CATALOG - FZN &amp; CHILL'!E2719,"AAAAAF867pg=")</f>
        <v>#VALUE!</v>
      </c>
      <c r="EX361" t="e">
        <f>AND('STERLING CATALOG - FZN &amp; CHILL'!F2719,"AAAAAF867pk=")</f>
        <v>#VALUE!</v>
      </c>
      <c r="EY361" t="e">
        <f>AND('STERLING CATALOG - FZN &amp; CHILL'!G2719,"AAAAAF867po=")</f>
        <v>#VALUE!</v>
      </c>
      <c r="EZ361" t="e">
        <f>AND('STERLING CATALOG - FZN &amp; CHILL'!H2719,"AAAAAF867ps=")</f>
        <v>#VALUE!</v>
      </c>
      <c r="FA361" t="e">
        <f>AND('STERLING CATALOG - FZN &amp; CHILL'!I2719,"AAAAAF867pw=")</f>
        <v>#VALUE!</v>
      </c>
      <c r="FB361" t="e">
        <f>AND('STERLING CATALOG - FZN &amp; CHILL'!J2719,"AAAAAF867p0=")</f>
        <v>#VALUE!</v>
      </c>
      <c r="FC361">
        <f>IF('STERLING CATALOG - FZN &amp; CHILL'!2720:2720,"AAAAAF867p4=",0)</f>
        <v>0</v>
      </c>
      <c r="FD361" t="e">
        <f>AND('STERLING CATALOG - FZN &amp; CHILL'!A2720,"AAAAAF867p8=")</f>
        <v>#VALUE!</v>
      </c>
      <c r="FE361" t="e">
        <f>AND('STERLING CATALOG - FZN &amp; CHILL'!B2720,"AAAAAF867qA=")</f>
        <v>#VALUE!</v>
      </c>
      <c r="FF361" t="e">
        <f>AND('STERLING CATALOG - FZN &amp; CHILL'!C2720,"AAAAAF867qE=")</f>
        <v>#VALUE!</v>
      </c>
      <c r="FG361" t="e">
        <f>AND('STERLING CATALOG - FZN &amp; CHILL'!D2720,"AAAAAF867qI=")</f>
        <v>#VALUE!</v>
      </c>
      <c r="FH361" t="e">
        <f>AND('STERLING CATALOG - FZN &amp; CHILL'!E2720,"AAAAAF867qM=")</f>
        <v>#VALUE!</v>
      </c>
      <c r="FI361" t="e">
        <f>AND('STERLING CATALOG - FZN &amp; CHILL'!F2720,"AAAAAF867qQ=")</f>
        <v>#VALUE!</v>
      </c>
      <c r="FJ361" t="e">
        <f>AND('STERLING CATALOG - FZN &amp; CHILL'!G2720,"AAAAAF867qU=")</f>
        <v>#VALUE!</v>
      </c>
      <c r="FK361" t="e">
        <f>AND('STERLING CATALOG - FZN &amp; CHILL'!H2720,"AAAAAF867qY=")</f>
        <v>#VALUE!</v>
      </c>
      <c r="FL361" t="e">
        <f>AND('STERLING CATALOG - FZN &amp; CHILL'!I2720,"AAAAAF867qc=")</f>
        <v>#VALUE!</v>
      </c>
      <c r="FM361" t="e">
        <f>AND('STERLING CATALOG - FZN &amp; CHILL'!J2720,"AAAAAF867qg=")</f>
        <v>#VALUE!</v>
      </c>
      <c r="FN361">
        <f>IF('STERLING CATALOG - FZN &amp; CHILL'!2721:2721,"AAAAAF867qk=",0)</f>
        <v>0</v>
      </c>
      <c r="FO361" t="e">
        <f>AND('STERLING CATALOG - FZN &amp; CHILL'!A2721,"AAAAAF867qo=")</f>
        <v>#VALUE!</v>
      </c>
      <c r="FP361" t="e">
        <f>AND('STERLING CATALOG - FZN &amp; CHILL'!B2721,"AAAAAF867qs=")</f>
        <v>#VALUE!</v>
      </c>
      <c r="FQ361" t="e">
        <f>AND('STERLING CATALOG - FZN &amp; CHILL'!C2721,"AAAAAF867qw=")</f>
        <v>#VALUE!</v>
      </c>
      <c r="FR361" t="e">
        <f>AND('STERLING CATALOG - FZN &amp; CHILL'!D2721,"AAAAAF867q0=")</f>
        <v>#VALUE!</v>
      </c>
      <c r="FS361" t="e">
        <f>AND('STERLING CATALOG - FZN &amp; CHILL'!E2721,"AAAAAF867q4=")</f>
        <v>#VALUE!</v>
      </c>
      <c r="FT361" t="e">
        <f>AND('STERLING CATALOG - FZN &amp; CHILL'!F2721,"AAAAAF867q8=")</f>
        <v>#VALUE!</v>
      </c>
      <c r="FU361" t="e">
        <f>AND('STERLING CATALOG - FZN &amp; CHILL'!G2721,"AAAAAF867rA=")</f>
        <v>#VALUE!</v>
      </c>
      <c r="FV361" t="e">
        <f>AND('STERLING CATALOG - FZN &amp; CHILL'!H2721,"AAAAAF867rE=")</f>
        <v>#VALUE!</v>
      </c>
      <c r="FW361" t="e">
        <f>AND('STERLING CATALOG - FZN &amp; CHILL'!I2721,"AAAAAF867rI=")</f>
        <v>#VALUE!</v>
      </c>
      <c r="FX361" t="e">
        <f>AND('STERLING CATALOG - FZN &amp; CHILL'!J2721,"AAAAAF867rM=")</f>
        <v>#VALUE!</v>
      </c>
      <c r="FY361">
        <f>IF('STERLING CATALOG - FZN &amp; CHILL'!2722:2722,"AAAAAF867rQ=",0)</f>
        <v>0</v>
      </c>
      <c r="FZ361" t="e">
        <f>AND('STERLING CATALOG - FZN &amp; CHILL'!A2722,"AAAAAF867rU=")</f>
        <v>#VALUE!</v>
      </c>
      <c r="GA361" t="e">
        <f>AND('STERLING CATALOG - FZN &amp; CHILL'!B2722,"AAAAAF867rY=")</f>
        <v>#VALUE!</v>
      </c>
      <c r="GB361" t="e">
        <f>AND('STERLING CATALOG - FZN &amp; CHILL'!C2722,"AAAAAF867rc=")</f>
        <v>#VALUE!</v>
      </c>
      <c r="GC361" t="e">
        <f>AND('STERLING CATALOG - FZN &amp; CHILL'!D2722,"AAAAAF867rg=")</f>
        <v>#VALUE!</v>
      </c>
      <c r="GD361" t="e">
        <f>AND('STERLING CATALOG - FZN &amp; CHILL'!E2722,"AAAAAF867rk=")</f>
        <v>#VALUE!</v>
      </c>
      <c r="GE361" t="e">
        <f>AND('STERLING CATALOG - FZN &amp; CHILL'!F2722,"AAAAAF867ro=")</f>
        <v>#VALUE!</v>
      </c>
      <c r="GF361" t="e">
        <f>AND('STERLING CATALOG - FZN &amp; CHILL'!G2722,"AAAAAF867rs=")</f>
        <v>#VALUE!</v>
      </c>
      <c r="GG361" t="e">
        <f>AND('STERLING CATALOG - FZN &amp; CHILL'!H2722,"AAAAAF867rw=")</f>
        <v>#VALUE!</v>
      </c>
      <c r="GH361" t="e">
        <f>AND('STERLING CATALOG - FZN &amp; CHILL'!I2722,"AAAAAF867r0=")</f>
        <v>#VALUE!</v>
      </c>
      <c r="GI361" t="e">
        <f>AND('STERLING CATALOG - FZN &amp; CHILL'!J2722,"AAAAAF867r4=")</f>
        <v>#VALUE!</v>
      </c>
      <c r="GJ361">
        <f>IF('STERLING CATALOG - FZN &amp; CHILL'!2723:2723,"AAAAAF867r8=",0)</f>
        <v>0</v>
      </c>
      <c r="GK361" t="e">
        <f>AND('STERLING CATALOG - FZN &amp; CHILL'!A2723,"AAAAAF867sA=")</f>
        <v>#VALUE!</v>
      </c>
      <c r="GL361" t="e">
        <f>AND('STERLING CATALOG - FZN &amp; CHILL'!B2723,"AAAAAF867sE=")</f>
        <v>#VALUE!</v>
      </c>
      <c r="GM361" t="e">
        <f>AND('STERLING CATALOG - FZN &amp; CHILL'!C2723,"AAAAAF867sI=")</f>
        <v>#VALUE!</v>
      </c>
      <c r="GN361" t="e">
        <f>AND('STERLING CATALOG - FZN &amp; CHILL'!D2723,"AAAAAF867sM=")</f>
        <v>#VALUE!</v>
      </c>
      <c r="GO361" t="e">
        <f>AND('STERLING CATALOG - FZN &amp; CHILL'!E2723,"AAAAAF867sQ=")</f>
        <v>#VALUE!</v>
      </c>
      <c r="GP361" t="e">
        <f>AND('STERLING CATALOG - FZN &amp; CHILL'!F2723,"AAAAAF867sU=")</f>
        <v>#VALUE!</v>
      </c>
      <c r="GQ361" t="e">
        <f>AND('STERLING CATALOG - FZN &amp; CHILL'!G2723,"AAAAAF867sY=")</f>
        <v>#VALUE!</v>
      </c>
      <c r="GR361" t="e">
        <f>AND('STERLING CATALOG - FZN &amp; CHILL'!H2723,"AAAAAF867sc=")</f>
        <v>#VALUE!</v>
      </c>
      <c r="GS361" t="e">
        <f>AND('STERLING CATALOG - FZN &amp; CHILL'!I2723,"AAAAAF867sg=")</f>
        <v>#VALUE!</v>
      </c>
      <c r="GT361" t="e">
        <f>AND('STERLING CATALOG - FZN &amp; CHILL'!J2723,"AAAAAF867sk=")</f>
        <v>#VALUE!</v>
      </c>
      <c r="GU361">
        <f>IF('STERLING CATALOG - FZN &amp; CHILL'!2724:2724,"AAAAAF867so=",0)</f>
        <v>0</v>
      </c>
      <c r="GV361" t="e">
        <f>AND('STERLING CATALOG - FZN &amp; CHILL'!A2724,"AAAAAF867ss=")</f>
        <v>#VALUE!</v>
      </c>
      <c r="GW361" t="e">
        <f>AND('STERLING CATALOG - FZN &amp; CHILL'!B2724,"AAAAAF867sw=")</f>
        <v>#VALUE!</v>
      </c>
      <c r="GX361" t="e">
        <f>AND('STERLING CATALOG - FZN &amp; CHILL'!C2724,"AAAAAF867s0=")</f>
        <v>#VALUE!</v>
      </c>
      <c r="GY361" t="e">
        <f>AND('STERLING CATALOG - FZN &amp; CHILL'!D2724,"AAAAAF867s4=")</f>
        <v>#VALUE!</v>
      </c>
      <c r="GZ361" t="e">
        <f>AND('STERLING CATALOG - FZN &amp; CHILL'!E2724,"AAAAAF867s8=")</f>
        <v>#VALUE!</v>
      </c>
      <c r="HA361" t="e">
        <f>AND('STERLING CATALOG - FZN &amp; CHILL'!F2724,"AAAAAF867tA=")</f>
        <v>#VALUE!</v>
      </c>
      <c r="HB361" t="e">
        <f>AND('STERLING CATALOG - FZN &amp; CHILL'!G2724,"AAAAAF867tE=")</f>
        <v>#VALUE!</v>
      </c>
      <c r="HC361" t="e">
        <f>AND('STERLING CATALOG - FZN &amp; CHILL'!H2724,"AAAAAF867tI=")</f>
        <v>#VALUE!</v>
      </c>
      <c r="HD361" t="e">
        <f>AND('STERLING CATALOG - FZN &amp; CHILL'!I2724,"AAAAAF867tM=")</f>
        <v>#VALUE!</v>
      </c>
      <c r="HE361" t="e">
        <f>AND('STERLING CATALOG - FZN &amp; CHILL'!J2724,"AAAAAF867tQ=")</f>
        <v>#VALUE!</v>
      </c>
      <c r="HF361">
        <f>IF('STERLING CATALOG - FZN &amp; CHILL'!2725:2725,"AAAAAF867tU=",0)</f>
        <v>0</v>
      </c>
      <c r="HG361" t="e">
        <f>AND('STERLING CATALOG - FZN &amp; CHILL'!A2725,"AAAAAF867tY=")</f>
        <v>#VALUE!</v>
      </c>
      <c r="HH361" t="e">
        <f>AND('STERLING CATALOG - FZN &amp; CHILL'!B2725,"AAAAAF867tc=")</f>
        <v>#VALUE!</v>
      </c>
      <c r="HI361" t="e">
        <f>AND('STERLING CATALOG - FZN &amp; CHILL'!C2725,"AAAAAF867tg=")</f>
        <v>#VALUE!</v>
      </c>
      <c r="HJ361" t="e">
        <f>AND('STERLING CATALOG - FZN &amp; CHILL'!D2725,"AAAAAF867tk=")</f>
        <v>#VALUE!</v>
      </c>
      <c r="HK361" t="e">
        <f>AND('STERLING CATALOG - FZN &amp; CHILL'!E2725,"AAAAAF867to=")</f>
        <v>#VALUE!</v>
      </c>
      <c r="HL361" t="e">
        <f>AND('STERLING CATALOG - FZN &amp; CHILL'!F2725,"AAAAAF867ts=")</f>
        <v>#VALUE!</v>
      </c>
      <c r="HM361" t="e">
        <f>AND('STERLING CATALOG - FZN &amp; CHILL'!G2725,"AAAAAF867tw=")</f>
        <v>#VALUE!</v>
      </c>
      <c r="HN361" t="e">
        <f>AND('STERLING CATALOG - FZN &amp; CHILL'!H2725,"AAAAAF867t0=")</f>
        <v>#VALUE!</v>
      </c>
      <c r="HO361" t="e">
        <f>AND('STERLING CATALOG - FZN &amp; CHILL'!I2725,"AAAAAF867t4=")</f>
        <v>#VALUE!</v>
      </c>
      <c r="HP361" t="e">
        <f>AND('STERLING CATALOG - FZN &amp; CHILL'!J2725,"AAAAAF867t8=")</f>
        <v>#VALUE!</v>
      </c>
      <c r="HQ361">
        <f>IF('STERLING CATALOG - FZN &amp; CHILL'!2726:2726,"AAAAAF867uA=",0)</f>
        <v>0</v>
      </c>
      <c r="HR361" t="e">
        <f>AND('STERLING CATALOG - FZN &amp; CHILL'!A2726,"AAAAAF867uE=")</f>
        <v>#VALUE!</v>
      </c>
      <c r="HS361" t="e">
        <f>AND('STERLING CATALOG - FZN &amp; CHILL'!B2726,"AAAAAF867uI=")</f>
        <v>#VALUE!</v>
      </c>
      <c r="HT361" t="e">
        <f>AND('STERLING CATALOG - FZN &amp; CHILL'!C2726,"AAAAAF867uM=")</f>
        <v>#VALUE!</v>
      </c>
      <c r="HU361" t="e">
        <f>AND('STERLING CATALOG - FZN &amp; CHILL'!D2726,"AAAAAF867uQ=")</f>
        <v>#VALUE!</v>
      </c>
      <c r="HV361" t="e">
        <f>AND('STERLING CATALOG - FZN &amp; CHILL'!E2726,"AAAAAF867uU=")</f>
        <v>#VALUE!</v>
      </c>
      <c r="HW361" t="e">
        <f>AND('STERLING CATALOG - FZN &amp; CHILL'!F2726,"AAAAAF867uY=")</f>
        <v>#VALUE!</v>
      </c>
      <c r="HX361" t="e">
        <f>AND('STERLING CATALOG - FZN &amp; CHILL'!G2726,"AAAAAF867uc=")</f>
        <v>#VALUE!</v>
      </c>
      <c r="HY361" t="e">
        <f>AND('STERLING CATALOG - FZN &amp; CHILL'!H2726,"AAAAAF867ug=")</f>
        <v>#VALUE!</v>
      </c>
      <c r="HZ361" t="e">
        <f>AND('STERLING CATALOG - FZN &amp; CHILL'!I2726,"AAAAAF867uk=")</f>
        <v>#VALUE!</v>
      </c>
      <c r="IA361" t="e">
        <f>AND('STERLING CATALOG - FZN &amp; CHILL'!J2726,"AAAAAF867uo=")</f>
        <v>#VALUE!</v>
      </c>
      <c r="IB361">
        <f>IF('STERLING CATALOG - FZN &amp; CHILL'!2727:2727,"AAAAAF867us=",0)</f>
        <v>0</v>
      </c>
      <c r="IC361" t="e">
        <f>AND('STERLING CATALOG - FZN &amp; CHILL'!A2727,"AAAAAF867uw=")</f>
        <v>#VALUE!</v>
      </c>
      <c r="ID361" t="e">
        <f>AND('STERLING CATALOG - FZN &amp; CHILL'!B2727,"AAAAAF867u0=")</f>
        <v>#VALUE!</v>
      </c>
      <c r="IE361" t="e">
        <f>AND('STERLING CATALOG - FZN &amp; CHILL'!C2727,"AAAAAF867u4=")</f>
        <v>#VALUE!</v>
      </c>
      <c r="IF361" t="e">
        <f>AND('STERLING CATALOG - FZN &amp; CHILL'!D2727,"AAAAAF867u8=")</f>
        <v>#VALUE!</v>
      </c>
      <c r="IG361" t="e">
        <f>AND('STERLING CATALOG - FZN &amp; CHILL'!E2727,"AAAAAF867vA=")</f>
        <v>#VALUE!</v>
      </c>
      <c r="IH361" t="e">
        <f>AND('STERLING CATALOG - FZN &amp; CHILL'!F2727,"AAAAAF867vE=")</f>
        <v>#VALUE!</v>
      </c>
      <c r="II361" t="e">
        <f>AND('STERLING CATALOG - FZN &amp; CHILL'!G2727,"AAAAAF867vI=")</f>
        <v>#VALUE!</v>
      </c>
      <c r="IJ361" t="e">
        <f>AND('STERLING CATALOG - FZN &amp; CHILL'!H2727,"AAAAAF867vM=")</f>
        <v>#VALUE!</v>
      </c>
      <c r="IK361" t="e">
        <f>AND('STERLING CATALOG - FZN &amp; CHILL'!I2727,"AAAAAF867vQ=")</f>
        <v>#VALUE!</v>
      </c>
      <c r="IL361" t="e">
        <f>AND('STERLING CATALOG - FZN &amp; CHILL'!J2727,"AAAAAF867vU=")</f>
        <v>#VALUE!</v>
      </c>
      <c r="IM361">
        <f>IF('STERLING CATALOG - FZN &amp; CHILL'!2728:2728,"AAAAAF867vY=",0)</f>
        <v>0</v>
      </c>
      <c r="IN361" t="e">
        <f>AND('STERLING CATALOG - FZN &amp; CHILL'!A2728,"AAAAAF867vc=")</f>
        <v>#VALUE!</v>
      </c>
      <c r="IO361" t="e">
        <f>AND('STERLING CATALOG - FZN &amp; CHILL'!B2728,"AAAAAF867vg=")</f>
        <v>#VALUE!</v>
      </c>
      <c r="IP361" t="e">
        <f>AND('STERLING CATALOG - FZN &amp; CHILL'!C2728,"AAAAAF867vk=")</f>
        <v>#VALUE!</v>
      </c>
      <c r="IQ361" t="e">
        <f>AND('STERLING CATALOG - FZN &amp; CHILL'!D2728,"AAAAAF867vo=")</f>
        <v>#VALUE!</v>
      </c>
      <c r="IR361" t="e">
        <f>AND('STERLING CATALOG - FZN &amp; CHILL'!E2728,"AAAAAF867vs=")</f>
        <v>#VALUE!</v>
      </c>
      <c r="IS361" t="e">
        <f>AND('STERLING CATALOG - FZN &amp; CHILL'!F2728,"AAAAAF867vw=")</f>
        <v>#VALUE!</v>
      </c>
      <c r="IT361" t="e">
        <f>AND('STERLING CATALOG - FZN &amp; CHILL'!G2728,"AAAAAF867v0=")</f>
        <v>#VALUE!</v>
      </c>
      <c r="IU361" t="e">
        <f>AND('STERLING CATALOG - FZN &amp; CHILL'!H2728,"AAAAAF867v4=")</f>
        <v>#VALUE!</v>
      </c>
      <c r="IV361" t="e">
        <f>AND('STERLING CATALOG - FZN &amp; CHILL'!I2728,"AAAAAF867v8=")</f>
        <v>#VALUE!</v>
      </c>
    </row>
    <row r="362" spans="1:256">
      <c r="A362" t="e">
        <f>AND('STERLING CATALOG - FZN &amp; CHILL'!J2728,"AAAAAF0/xwA=")</f>
        <v>#VALUE!</v>
      </c>
      <c r="B362" t="str">
        <f>IF('STERLING CATALOG - FZN &amp; CHILL'!2729:2729,"AAAAAF0/xwE=",0)</f>
        <v>AAAAAF0/xwE=</v>
      </c>
      <c r="C362" t="e">
        <f>AND('STERLING CATALOG - FZN &amp; CHILL'!A2729,"AAAAAF0/xwI=")</f>
        <v>#VALUE!</v>
      </c>
      <c r="D362" t="e">
        <f>AND('STERLING CATALOG - FZN &amp; CHILL'!B2729,"AAAAAF0/xwM=")</f>
        <v>#VALUE!</v>
      </c>
      <c r="E362" t="e">
        <f>AND('STERLING CATALOG - FZN &amp; CHILL'!C2729,"AAAAAF0/xwQ=")</f>
        <v>#VALUE!</v>
      </c>
      <c r="F362" t="e">
        <f>AND('STERLING CATALOG - FZN &amp; CHILL'!D2729,"AAAAAF0/xwU=")</f>
        <v>#VALUE!</v>
      </c>
      <c r="G362" t="e">
        <f>AND('STERLING CATALOG - FZN &amp; CHILL'!E2729,"AAAAAF0/xwY=")</f>
        <v>#VALUE!</v>
      </c>
      <c r="H362" t="e">
        <f>AND('STERLING CATALOG - FZN &amp; CHILL'!F2729,"AAAAAF0/xwc=")</f>
        <v>#VALUE!</v>
      </c>
      <c r="I362" t="e">
        <f>AND('STERLING CATALOG - FZN &amp; CHILL'!G2729,"AAAAAF0/xwg=")</f>
        <v>#VALUE!</v>
      </c>
      <c r="J362" t="e">
        <f>AND('STERLING CATALOG - FZN &amp; CHILL'!H2729,"AAAAAF0/xwk=")</f>
        <v>#VALUE!</v>
      </c>
      <c r="K362" t="e">
        <f>AND('STERLING CATALOG - FZN &amp; CHILL'!I2729,"AAAAAF0/xwo=")</f>
        <v>#VALUE!</v>
      </c>
      <c r="L362" t="e">
        <f>AND('STERLING CATALOG - FZN &amp; CHILL'!J2729,"AAAAAF0/xws=")</f>
        <v>#VALUE!</v>
      </c>
      <c r="M362">
        <f>IF('STERLING CATALOG - FZN &amp; CHILL'!2730:2730,"AAAAAF0/xww=",0)</f>
        <v>0</v>
      </c>
      <c r="N362" t="e">
        <f>AND('STERLING CATALOG - FZN &amp; CHILL'!A2730,"AAAAAF0/xw0=")</f>
        <v>#VALUE!</v>
      </c>
      <c r="O362" t="e">
        <f>AND('STERLING CATALOG - FZN &amp; CHILL'!B2730,"AAAAAF0/xw4=")</f>
        <v>#VALUE!</v>
      </c>
      <c r="P362" t="e">
        <f>AND('STERLING CATALOG - FZN &amp; CHILL'!C2730,"AAAAAF0/xw8=")</f>
        <v>#VALUE!</v>
      </c>
      <c r="Q362" t="e">
        <f>AND('STERLING CATALOG - FZN &amp; CHILL'!D2730,"AAAAAF0/xxA=")</f>
        <v>#VALUE!</v>
      </c>
      <c r="R362" t="e">
        <f>AND('STERLING CATALOG - FZN &amp; CHILL'!E2730,"AAAAAF0/xxE=")</f>
        <v>#VALUE!</v>
      </c>
      <c r="S362" t="e">
        <f>AND('STERLING CATALOG - FZN &amp; CHILL'!F2730,"AAAAAF0/xxI=")</f>
        <v>#VALUE!</v>
      </c>
      <c r="T362" t="e">
        <f>AND('STERLING CATALOG - FZN &amp; CHILL'!G2730,"AAAAAF0/xxM=")</f>
        <v>#VALUE!</v>
      </c>
      <c r="U362" t="e">
        <f>AND('STERLING CATALOG - FZN &amp; CHILL'!H2730,"AAAAAF0/xxQ=")</f>
        <v>#VALUE!</v>
      </c>
      <c r="V362" t="e">
        <f>AND('STERLING CATALOG - FZN &amp; CHILL'!I2730,"AAAAAF0/xxU=")</f>
        <v>#VALUE!</v>
      </c>
      <c r="W362" t="e">
        <f>AND('STERLING CATALOG - FZN &amp; CHILL'!J2730,"AAAAAF0/xxY=")</f>
        <v>#VALUE!</v>
      </c>
      <c r="X362">
        <f>IF('STERLING CATALOG - FZN &amp; CHILL'!2731:2731,"AAAAAF0/xxc=",0)</f>
        <v>0</v>
      </c>
      <c r="Y362" t="e">
        <f>AND('STERLING CATALOG - FZN &amp; CHILL'!A2731,"AAAAAF0/xxg=")</f>
        <v>#VALUE!</v>
      </c>
      <c r="Z362" t="e">
        <f>AND('STERLING CATALOG - FZN &amp; CHILL'!B2731,"AAAAAF0/xxk=")</f>
        <v>#VALUE!</v>
      </c>
      <c r="AA362" t="e">
        <f>AND('STERLING CATALOG - FZN &amp; CHILL'!C2731,"AAAAAF0/xxo=")</f>
        <v>#VALUE!</v>
      </c>
      <c r="AB362" t="e">
        <f>AND('STERLING CATALOG - FZN &amp; CHILL'!D2731,"AAAAAF0/xxs=")</f>
        <v>#VALUE!</v>
      </c>
      <c r="AC362" t="e">
        <f>AND('STERLING CATALOG - FZN &amp; CHILL'!E2731,"AAAAAF0/xxw=")</f>
        <v>#VALUE!</v>
      </c>
      <c r="AD362" t="e">
        <f>AND('STERLING CATALOG - FZN &amp; CHILL'!F2731,"AAAAAF0/xx0=")</f>
        <v>#VALUE!</v>
      </c>
      <c r="AE362" t="e">
        <f>AND('STERLING CATALOG - FZN &amp; CHILL'!G2731,"AAAAAF0/xx4=")</f>
        <v>#VALUE!</v>
      </c>
      <c r="AF362" t="e">
        <f>AND('STERLING CATALOG - FZN &amp; CHILL'!H2731,"AAAAAF0/xx8=")</f>
        <v>#VALUE!</v>
      </c>
      <c r="AG362" t="e">
        <f>AND('STERLING CATALOG - FZN &amp; CHILL'!I2731,"AAAAAF0/xyA=")</f>
        <v>#VALUE!</v>
      </c>
      <c r="AH362" t="e">
        <f>AND('STERLING CATALOG - FZN &amp; CHILL'!J2731,"AAAAAF0/xyE=")</f>
        <v>#VALUE!</v>
      </c>
      <c r="AI362">
        <f>IF('STERLING CATALOG - FZN &amp; CHILL'!2732:2732,"AAAAAF0/xyI=",0)</f>
        <v>0</v>
      </c>
      <c r="AJ362" t="e">
        <f>AND('STERLING CATALOG - FZN &amp; CHILL'!A2732,"AAAAAF0/xyM=")</f>
        <v>#VALUE!</v>
      </c>
      <c r="AK362" t="e">
        <f>AND('STERLING CATALOG - FZN &amp; CHILL'!B2732,"AAAAAF0/xyQ=")</f>
        <v>#VALUE!</v>
      </c>
      <c r="AL362" t="e">
        <f>AND('STERLING CATALOG - FZN &amp; CHILL'!C2732,"AAAAAF0/xyU=")</f>
        <v>#VALUE!</v>
      </c>
      <c r="AM362" t="e">
        <f>AND('STERLING CATALOG - FZN &amp; CHILL'!D2732,"AAAAAF0/xyY=")</f>
        <v>#VALUE!</v>
      </c>
      <c r="AN362" t="e">
        <f>AND('STERLING CATALOG - FZN &amp; CHILL'!E2732,"AAAAAF0/xyc=")</f>
        <v>#VALUE!</v>
      </c>
      <c r="AO362" t="e">
        <f>AND('STERLING CATALOG - FZN &amp; CHILL'!F2732,"AAAAAF0/xyg=")</f>
        <v>#VALUE!</v>
      </c>
      <c r="AP362" t="e">
        <f>AND('STERLING CATALOG - FZN &amp; CHILL'!G2732,"AAAAAF0/xyk=")</f>
        <v>#VALUE!</v>
      </c>
      <c r="AQ362" t="e">
        <f>AND('STERLING CATALOG - FZN &amp; CHILL'!H2732,"AAAAAF0/xyo=")</f>
        <v>#VALUE!</v>
      </c>
      <c r="AR362" t="e">
        <f>AND('STERLING CATALOG - FZN &amp; CHILL'!I2732,"AAAAAF0/xys=")</f>
        <v>#VALUE!</v>
      </c>
      <c r="AS362" t="e">
        <f>AND('STERLING CATALOG - FZN &amp; CHILL'!J2732,"AAAAAF0/xyw=")</f>
        <v>#VALUE!</v>
      </c>
      <c r="AT362">
        <f>IF('STERLING CATALOG - FZN &amp; CHILL'!2733:2733,"AAAAAF0/xy0=",0)</f>
        <v>0</v>
      </c>
      <c r="AU362" t="e">
        <f>AND('STERLING CATALOG - FZN &amp; CHILL'!A2733,"AAAAAF0/xy4=")</f>
        <v>#VALUE!</v>
      </c>
      <c r="AV362" t="e">
        <f>AND('STERLING CATALOG - FZN &amp; CHILL'!B2733,"AAAAAF0/xy8=")</f>
        <v>#VALUE!</v>
      </c>
      <c r="AW362" t="e">
        <f>AND('STERLING CATALOG - FZN &amp; CHILL'!C2733,"AAAAAF0/xzA=")</f>
        <v>#VALUE!</v>
      </c>
      <c r="AX362" t="e">
        <f>AND('STERLING CATALOG - FZN &amp; CHILL'!D2733,"AAAAAF0/xzE=")</f>
        <v>#VALUE!</v>
      </c>
      <c r="AY362" t="e">
        <f>AND('STERLING CATALOG - FZN &amp; CHILL'!E2733,"AAAAAF0/xzI=")</f>
        <v>#VALUE!</v>
      </c>
      <c r="AZ362" t="e">
        <f>AND('STERLING CATALOG - FZN &amp; CHILL'!F2733,"AAAAAF0/xzM=")</f>
        <v>#VALUE!</v>
      </c>
      <c r="BA362" t="e">
        <f>AND('STERLING CATALOG - FZN &amp; CHILL'!G2733,"AAAAAF0/xzQ=")</f>
        <v>#VALUE!</v>
      </c>
      <c r="BB362" t="e">
        <f>AND('STERLING CATALOG - FZN &amp; CHILL'!H2733,"AAAAAF0/xzU=")</f>
        <v>#VALUE!</v>
      </c>
      <c r="BC362" t="e">
        <f>AND('STERLING CATALOG - FZN &amp; CHILL'!I2733,"AAAAAF0/xzY=")</f>
        <v>#VALUE!</v>
      </c>
      <c r="BD362" t="e">
        <f>AND('STERLING CATALOG - FZN &amp; CHILL'!J2733,"AAAAAF0/xzc=")</f>
        <v>#VALUE!</v>
      </c>
      <c r="BE362">
        <f>IF('STERLING CATALOG - FZN &amp; CHILL'!2734:2734,"AAAAAF0/xzg=",0)</f>
        <v>0</v>
      </c>
      <c r="BF362" t="e">
        <f>AND('STERLING CATALOG - FZN &amp; CHILL'!A2734,"AAAAAF0/xzk=")</f>
        <v>#VALUE!</v>
      </c>
      <c r="BG362" t="e">
        <f>AND('STERLING CATALOG - FZN &amp; CHILL'!B2734,"AAAAAF0/xzo=")</f>
        <v>#VALUE!</v>
      </c>
      <c r="BH362" t="e">
        <f>AND('STERLING CATALOG - FZN &amp; CHILL'!C2734,"AAAAAF0/xzs=")</f>
        <v>#VALUE!</v>
      </c>
      <c r="BI362" t="e">
        <f>AND('STERLING CATALOG - FZN &amp; CHILL'!D2734,"AAAAAF0/xzw=")</f>
        <v>#VALUE!</v>
      </c>
      <c r="BJ362" t="e">
        <f>AND('STERLING CATALOG - FZN &amp; CHILL'!E2734,"AAAAAF0/xz0=")</f>
        <v>#VALUE!</v>
      </c>
      <c r="BK362" t="e">
        <f>AND('STERLING CATALOG - FZN &amp; CHILL'!F2734,"AAAAAF0/xz4=")</f>
        <v>#VALUE!</v>
      </c>
      <c r="BL362" t="e">
        <f>AND('STERLING CATALOG - FZN &amp; CHILL'!G2734,"AAAAAF0/xz8=")</f>
        <v>#VALUE!</v>
      </c>
      <c r="BM362" t="e">
        <f>AND('STERLING CATALOG - FZN &amp; CHILL'!H2734,"AAAAAF0/x0A=")</f>
        <v>#VALUE!</v>
      </c>
      <c r="BN362" t="e">
        <f>AND('STERLING CATALOG - FZN &amp; CHILL'!I2734,"AAAAAF0/x0E=")</f>
        <v>#VALUE!</v>
      </c>
      <c r="BO362" t="e">
        <f>AND('STERLING CATALOG - FZN &amp; CHILL'!J2734,"AAAAAF0/x0I=")</f>
        <v>#VALUE!</v>
      </c>
      <c r="BP362">
        <f>IF('STERLING CATALOG - FZN &amp; CHILL'!2735:2735,"AAAAAF0/x0M=",0)</f>
        <v>0</v>
      </c>
      <c r="BQ362" t="e">
        <f>AND('STERLING CATALOG - FZN &amp; CHILL'!A2735,"AAAAAF0/x0Q=")</f>
        <v>#VALUE!</v>
      </c>
      <c r="BR362" t="e">
        <f>AND('STERLING CATALOG - FZN &amp; CHILL'!B2735,"AAAAAF0/x0U=")</f>
        <v>#VALUE!</v>
      </c>
      <c r="BS362" t="e">
        <f>AND('STERLING CATALOG - FZN &amp; CHILL'!C2735,"AAAAAF0/x0Y=")</f>
        <v>#VALUE!</v>
      </c>
      <c r="BT362" t="e">
        <f>AND('STERLING CATALOG - FZN &amp; CHILL'!D2735,"AAAAAF0/x0c=")</f>
        <v>#VALUE!</v>
      </c>
      <c r="BU362" t="e">
        <f>AND('STERLING CATALOG - FZN &amp; CHILL'!E2735,"AAAAAF0/x0g=")</f>
        <v>#VALUE!</v>
      </c>
      <c r="BV362" t="e">
        <f>AND('STERLING CATALOG - FZN &amp; CHILL'!F2735,"AAAAAF0/x0k=")</f>
        <v>#VALUE!</v>
      </c>
      <c r="BW362" t="e">
        <f>AND('STERLING CATALOG - FZN &amp; CHILL'!G2735,"AAAAAF0/x0o=")</f>
        <v>#VALUE!</v>
      </c>
      <c r="BX362" t="e">
        <f>AND('STERLING CATALOG - FZN &amp; CHILL'!H2735,"AAAAAF0/x0s=")</f>
        <v>#VALUE!</v>
      </c>
      <c r="BY362" t="e">
        <f>AND('STERLING CATALOG - FZN &amp; CHILL'!I2735,"AAAAAF0/x0w=")</f>
        <v>#VALUE!</v>
      </c>
      <c r="BZ362" t="e">
        <f>AND('STERLING CATALOG - FZN &amp; CHILL'!J2735,"AAAAAF0/x00=")</f>
        <v>#VALUE!</v>
      </c>
      <c r="CA362">
        <f>IF('STERLING CATALOG - FZN &amp; CHILL'!2736:2736,"AAAAAF0/x04=",0)</f>
        <v>0</v>
      </c>
      <c r="CB362" t="e">
        <f>AND('STERLING CATALOG - FZN &amp; CHILL'!A2736,"AAAAAF0/x08=")</f>
        <v>#VALUE!</v>
      </c>
      <c r="CC362" t="e">
        <f>AND('STERLING CATALOG - FZN &amp; CHILL'!B2736,"AAAAAF0/x1A=")</f>
        <v>#VALUE!</v>
      </c>
      <c r="CD362" t="e">
        <f>AND('STERLING CATALOG - FZN &amp; CHILL'!C2736,"AAAAAF0/x1E=")</f>
        <v>#VALUE!</v>
      </c>
      <c r="CE362" t="e">
        <f>AND('STERLING CATALOG - FZN &amp; CHILL'!D2736,"AAAAAF0/x1I=")</f>
        <v>#VALUE!</v>
      </c>
      <c r="CF362" t="e">
        <f>AND('STERLING CATALOG - FZN &amp; CHILL'!E2736,"AAAAAF0/x1M=")</f>
        <v>#VALUE!</v>
      </c>
      <c r="CG362" t="e">
        <f>AND('STERLING CATALOG - FZN &amp; CHILL'!F2736,"AAAAAF0/x1Q=")</f>
        <v>#VALUE!</v>
      </c>
      <c r="CH362" t="e">
        <f>AND('STERLING CATALOG - FZN &amp; CHILL'!G2736,"AAAAAF0/x1U=")</f>
        <v>#VALUE!</v>
      </c>
      <c r="CI362" t="e">
        <f>AND('STERLING CATALOG - FZN &amp; CHILL'!H2736,"AAAAAF0/x1Y=")</f>
        <v>#VALUE!</v>
      </c>
      <c r="CJ362" t="e">
        <f>AND('STERLING CATALOG - FZN &amp; CHILL'!I2736,"AAAAAF0/x1c=")</f>
        <v>#VALUE!</v>
      </c>
      <c r="CK362" t="e">
        <f>AND('STERLING CATALOG - FZN &amp; CHILL'!J2736,"AAAAAF0/x1g=")</f>
        <v>#VALUE!</v>
      </c>
      <c r="CL362">
        <f>IF('STERLING CATALOG - FZN &amp; CHILL'!2737:2737,"AAAAAF0/x1k=",0)</f>
        <v>0</v>
      </c>
      <c r="CM362" t="e">
        <f>AND('STERLING CATALOG - FZN &amp; CHILL'!A2737,"AAAAAF0/x1o=")</f>
        <v>#VALUE!</v>
      </c>
      <c r="CN362" t="e">
        <f>AND('STERLING CATALOG - FZN &amp; CHILL'!B2737,"AAAAAF0/x1s=")</f>
        <v>#VALUE!</v>
      </c>
      <c r="CO362" t="e">
        <f>AND('STERLING CATALOG - FZN &amp; CHILL'!C2737,"AAAAAF0/x1w=")</f>
        <v>#VALUE!</v>
      </c>
      <c r="CP362" t="e">
        <f>AND('STERLING CATALOG - FZN &amp; CHILL'!D2737,"AAAAAF0/x10=")</f>
        <v>#VALUE!</v>
      </c>
      <c r="CQ362" t="e">
        <f>AND('STERLING CATALOG - FZN &amp; CHILL'!E2737,"AAAAAF0/x14=")</f>
        <v>#VALUE!</v>
      </c>
      <c r="CR362" t="e">
        <f>AND('STERLING CATALOG - FZN &amp; CHILL'!F2737,"AAAAAF0/x18=")</f>
        <v>#VALUE!</v>
      </c>
      <c r="CS362" t="e">
        <f>AND('STERLING CATALOG - FZN &amp; CHILL'!G2737,"AAAAAF0/x2A=")</f>
        <v>#VALUE!</v>
      </c>
      <c r="CT362" t="e">
        <f>AND('STERLING CATALOG - FZN &amp; CHILL'!H2737,"AAAAAF0/x2E=")</f>
        <v>#VALUE!</v>
      </c>
      <c r="CU362" t="e">
        <f>AND('STERLING CATALOG - FZN &amp; CHILL'!I2737,"AAAAAF0/x2I=")</f>
        <v>#VALUE!</v>
      </c>
      <c r="CV362" t="e">
        <f>AND('STERLING CATALOG - FZN &amp; CHILL'!J2737,"AAAAAF0/x2M=")</f>
        <v>#VALUE!</v>
      </c>
      <c r="CW362">
        <f>IF('STERLING CATALOG - FZN &amp; CHILL'!2738:2738,"AAAAAF0/x2Q=",0)</f>
        <v>0</v>
      </c>
      <c r="CX362" t="e">
        <f>AND('STERLING CATALOG - FZN &amp; CHILL'!A2738,"AAAAAF0/x2U=")</f>
        <v>#VALUE!</v>
      </c>
      <c r="CY362" t="e">
        <f>AND('STERLING CATALOG - FZN &amp; CHILL'!B2738,"AAAAAF0/x2Y=")</f>
        <v>#VALUE!</v>
      </c>
      <c r="CZ362" t="e">
        <f>AND('STERLING CATALOG - FZN &amp; CHILL'!C2738,"AAAAAF0/x2c=")</f>
        <v>#VALUE!</v>
      </c>
      <c r="DA362" t="e">
        <f>AND('STERLING CATALOG - FZN &amp; CHILL'!D2738,"AAAAAF0/x2g=")</f>
        <v>#VALUE!</v>
      </c>
      <c r="DB362" t="e">
        <f>AND('STERLING CATALOG - FZN &amp; CHILL'!E2738,"AAAAAF0/x2k=")</f>
        <v>#VALUE!</v>
      </c>
      <c r="DC362" t="e">
        <f>AND('STERLING CATALOG - FZN &amp; CHILL'!F2738,"AAAAAF0/x2o=")</f>
        <v>#VALUE!</v>
      </c>
      <c r="DD362" t="e">
        <f>AND('STERLING CATALOG - FZN &amp; CHILL'!G2738,"AAAAAF0/x2s=")</f>
        <v>#VALUE!</v>
      </c>
      <c r="DE362" t="e">
        <f>AND('STERLING CATALOG - FZN &amp; CHILL'!H2738,"AAAAAF0/x2w=")</f>
        <v>#VALUE!</v>
      </c>
      <c r="DF362" t="e">
        <f>AND('STERLING CATALOG - FZN &amp; CHILL'!I2738,"AAAAAF0/x20=")</f>
        <v>#VALUE!</v>
      </c>
      <c r="DG362" t="e">
        <f>AND('STERLING CATALOG - FZN &amp; CHILL'!J2738,"AAAAAF0/x24=")</f>
        <v>#VALUE!</v>
      </c>
      <c r="DH362">
        <f>IF('STERLING CATALOG - FZN &amp; CHILL'!2739:2739,"AAAAAF0/x28=",0)</f>
        <v>0</v>
      </c>
      <c r="DI362" t="e">
        <f>AND('STERLING CATALOG - FZN &amp; CHILL'!A2739,"AAAAAF0/x3A=")</f>
        <v>#VALUE!</v>
      </c>
      <c r="DJ362" t="e">
        <f>AND('STERLING CATALOG - FZN &amp; CHILL'!B2739,"AAAAAF0/x3E=")</f>
        <v>#VALUE!</v>
      </c>
      <c r="DK362" t="e">
        <f>AND('STERLING CATALOG - FZN &amp; CHILL'!C2739,"AAAAAF0/x3I=")</f>
        <v>#VALUE!</v>
      </c>
      <c r="DL362" t="e">
        <f>AND('STERLING CATALOG - FZN &amp; CHILL'!D2739,"AAAAAF0/x3M=")</f>
        <v>#VALUE!</v>
      </c>
      <c r="DM362" t="e">
        <f>AND('STERLING CATALOG - FZN &amp; CHILL'!E2739,"AAAAAF0/x3Q=")</f>
        <v>#VALUE!</v>
      </c>
      <c r="DN362" t="e">
        <f>AND('STERLING CATALOG - FZN &amp; CHILL'!F2739,"AAAAAF0/x3U=")</f>
        <v>#VALUE!</v>
      </c>
      <c r="DO362" t="e">
        <f>AND('STERLING CATALOG - FZN &amp; CHILL'!G2739,"AAAAAF0/x3Y=")</f>
        <v>#VALUE!</v>
      </c>
      <c r="DP362" t="e">
        <f>AND('STERLING CATALOG - FZN &amp; CHILL'!H2739,"AAAAAF0/x3c=")</f>
        <v>#VALUE!</v>
      </c>
      <c r="DQ362" t="e">
        <f>AND('STERLING CATALOG - FZN &amp; CHILL'!I2739,"AAAAAF0/x3g=")</f>
        <v>#VALUE!</v>
      </c>
      <c r="DR362" t="e">
        <f>AND('STERLING CATALOG - FZN &amp; CHILL'!J2739,"AAAAAF0/x3k=")</f>
        <v>#VALUE!</v>
      </c>
      <c r="DS362">
        <f>IF('STERLING CATALOG - FZN &amp; CHILL'!2740:2740,"AAAAAF0/x3o=",0)</f>
        <v>0</v>
      </c>
      <c r="DT362" t="e">
        <f>AND('STERLING CATALOG - FZN &amp; CHILL'!A2740,"AAAAAF0/x3s=")</f>
        <v>#VALUE!</v>
      </c>
      <c r="DU362" t="e">
        <f>AND('STERLING CATALOG - FZN &amp; CHILL'!B2740,"AAAAAF0/x3w=")</f>
        <v>#VALUE!</v>
      </c>
      <c r="DV362" t="e">
        <f>AND('STERLING CATALOG - FZN &amp; CHILL'!C2740,"AAAAAF0/x30=")</f>
        <v>#VALUE!</v>
      </c>
      <c r="DW362" t="e">
        <f>AND('STERLING CATALOG - FZN &amp; CHILL'!D2740,"AAAAAF0/x34=")</f>
        <v>#VALUE!</v>
      </c>
      <c r="DX362" t="e">
        <f>AND('STERLING CATALOG - FZN &amp; CHILL'!E2740,"AAAAAF0/x38=")</f>
        <v>#VALUE!</v>
      </c>
      <c r="DY362" t="e">
        <f>AND('STERLING CATALOG - FZN &amp; CHILL'!F2740,"AAAAAF0/x4A=")</f>
        <v>#VALUE!</v>
      </c>
      <c r="DZ362" t="e">
        <f>AND('STERLING CATALOG - FZN &amp; CHILL'!G2740,"AAAAAF0/x4E=")</f>
        <v>#VALUE!</v>
      </c>
      <c r="EA362" t="e">
        <f>AND('STERLING CATALOG - FZN &amp; CHILL'!H2740,"AAAAAF0/x4I=")</f>
        <v>#VALUE!</v>
      </c>
      <c r="EB362" t="e">
        <f>AND('STERLING CATALOG - FZN &amp; CHILL'!I2740,"AAAAAF0/x4M=")</f>
        <v>#VALUE!</v>
      </c>
      <c r="EC362" t="e">
        <f>AND('STERLING CATALOG - FZN &amp; CHILL'!J2740,"AAAAAF0/x4Q=")</f>
        <v>#VALUE!</v>
      </c>
      <c r="ED362">
        <f>IF('STERLING CATALOG - FZN &amp; CHILL'!2741:2741,"AAAAAF0/x4U=",0)</f>
        <v>0</v>
      </c>
      <c r="EE362" t="e">
        <f>AND('STERLING CATALOG - FZN &amp; CHILL'!A2741,"AAAAAF0/x4Y=")</f>
        <v>#VALUE!</v>
      </c>
      <c r="EF362" t="e">
        <f>AND('STERLING CATALOG - FZN &amp; CHILL'!B2741,"AAAAAF0/x4c=")</f>
        <v>#VALUE!</v>
      </c>
      <c r="EG362" t="e">
        <f>AND('STERLING CATALOG - FZN &amp; CHILL'!C2741,"AAAAAF0/x4g=")</f>
        <v>#VALUE!</v>
      </c>
      <c r="EH362" t="e">
        <f>AND('STERLING CATALOG - FZN &amp; CHILL'!D2741,"AAAAAF0/x4k=")</f>
        <v>#VALUE!</v>
      </c>
      <c r="EI362" t="e">
        <f>AND('STERLING CATALOG - FZN &amp; CHILL'!E2741,"AAAAAF0/x4o=")</f>
        <v>#VALUE!</v>
      </c>
      <c r="EJ362" t="e">
        <f>AND('STERLING CATALOG - FZN &amp; CHILL'!F2741,"AAAAAF0/x4s=")</f>
        <v>#VALUE!</v>
      </c>
      <c r="EK362" t="e">
        <f>AND('STERLING CATALOG - FZN &amp; CHILL'!G2741,"AAAAAF0/x4w=")</f>
        <v>#VALUE!</v>
      </c>
      <c r="EL362" t="e">
        <f>AND('STERLING CATALOG - FZN &amp; CHILL'!H2741,"AAAAAF0/x40=")</f>
        <v>#VALUE!</v>
      </c>
      <c r="EM362" t="e">
        <f>AND('STERLING CATALOG - FZN &amp; CHILL'!I2741,"AAAAAF0/x44=")</f>
        <v>#VALUE!</v>
      </c>
      <c r="EN362" t="e">
        <f>AND('STERLING CATALOG - FZN &amp; CHILL'!J2741,"AAAAAF0/x48=")</f>
        <v>#VALUE!</v>
      </c>
      <c r="EO362">
        <f>IF('STERLING CATALOG - FZN &amp; CHILL'!2742:2742,"AAAAAF0/x5A=",0)</f>
        <v>0</v>
      </c>
      <c r="EP362" t="e">
        <f>AND('STERLING CATALOG - FZN &amp; CHILL'!A2742,"AAAAAF0/x5E=")</f>
        <v>#VALUE!</v>
      </c>
      <c r="EQ362" t="e">
        <f>AND('STERLING CATALOG - FZN &amp; CHILL'!B2742,"AAAAAF0/x5I=")</f>
        <v>#VALUE!</v>
      </c>
      <c r="ER362" t="e">
        <f>AND('STERLING CATALOG - FZN &amp; CHILL'!C2742,"AAAAAF0/x5M=")</f>
        <v>#VALUE!</v>
      </c>
      <c r="ES362" t="e">
        <f>AND('STERLING CATALOG - FZN &amp; CHILL'!D2742,"AAAAAF0/x5Q=")</f>
        <v>#VALUE!</v>
      </c>
      <c r="ET362" t="e">
        <f>AND('STERLING CATALOG - FZN &amp; CHILL'!E2742,"AAAAAF0/x5U=")</f>
        <v>#VALUE!</v>
      </c>
      <c r="EU362" t="e">
        <f>AND('STERLING CATALOG - FZN &amp; CHILL'!F2742,"AAAAAF0/x5Y=")</f>
        <v>#VALUE!</v>
      </c>
      <c r="EV362" t="e">
        <f>AND('STERLING CATALOG - FZN &amp; CHILL'!G2742,"AAAAAF0/x5c=")</f>
        <v>#VALUE!</v>
      </c>
      <c r="EW362" t="e">
        <f>AND('STERLING CATALOG - FZN &amp; CHILL'!H2742,"AAAAAF0/x5g=")</f>
        <v>#VALUE!</v>
      </c>
      <c r="EX362" t="e">
        <f>AND('STERLING CATALOG - FZN &amp; CHILL'!I2742,"AAAAAF0/x5k=")</f>
        <v>#VALUE!</v>
      </c>
      <c r="EY362" t="e">
        <f>AND('STERLING CATALOG - FZN &amp; CHILL'!J2742,"AAAAAF0/x5o=")</f>
        <v>#VALUE!</v>
      </c>
      <c r="EZ362">
        <f>IF('STERLING CATALOG - FZN &amp; CHILL'!2743:2743,"AAAAAF0/x5s=",0)</f>
        <v>0</v>
      </c>
      <c r="FA362" t="e">
        <f>AND('STERLING CATALOG - FZN &amp; CHILL'!A2743,"AAAAAF0/x5w=")</f>
        <v>#VALUE!</v>
      </c>
      <c r="FB362" t="e">
        <f>AND('STERLING CATALOG - FZN &amp; CHILL'!B2743,"AAAAAF0/x50=")</f>
        <v>#VALUE!</v>
      </c>
      <c r="FC362" t="e">
        <f>AND('STERLING CATALOG - FZN &amp; CHILL'!C2743,"AAAAAF0/x54=")</f>
        <v>#VALUE!</v>
      </c>
      <c r="FD362" t="e">
        <f>AND('STERLING CATALOG - FZN &amp; CHILL'!D2743,"AAAAAF0/x58=")</f>
        <v>#VALUE!</v>
      </c>
      <c r="FE362" t="e">
        <f>AND('STERLING CATALOG - FZN &amp; CHILL'!E2743,"AAAAAF0/x6A=")</f>
        <v>#VALUE!</v>
      </c>
      <c r="FF362" t="e">
        <f>AND('STERLING CATALOG - FZN &amp; CHILL'!F2743,"AAAAAF0/x6E=")</f>
        <v>#VALUE!</v>
      </c>
      <c r="FG362" t="e">
        <f>AND('STERLING CATALOG - FZN &amp; CHILL'!G2743,"AAAAAF0/x6I=")</f>
        <v>#VALUE!</v>
      </c>
      <c r="FH362" t="e">
        <f>AND('STERLING CATALOG - FZN &amp; CHILL'!H2743,"AAAAAF0/x6M=")</f>
        <v>#VALUE!</v>
      </c>
      <c r="FI362" t="e">
        <f>AND('STERLING CATALOG - FZN &amp; CHILL'!I2743,"AAAAAF0/x6Q=")</f>
        <v>#VALUE!</v>
      </c>
      <c r="FJ362" t="e">
        <f>AND('STERLING CATALOG - FZN &amp; CHILL'!J2743,"AAAAAF0/x6U=")</f>
        <v>#VALUE!</v>
      </c>
      <c r="FK362">
        <f>IF('STERLING CATALOG - FZN &amp; CHILL'!2744:2744,"AAAAAF0/x6Y=",0)</f>
        <v>0</v>
      </c>
      <c r="FL362" t="e">
        <f>AND('STERLING CATALOG - FZN &amp; CHILL'!A2744,"AAAAAF0/x6c=")</f>
        <v>#VALUE!</v>
      </c>
      <c r="FM362" t="e">
        <f>AND('STERLING CATALOG - FZN &amp; CHILL'!B2744,"AAAAAF0/x6g=")</f>
        <v>#VALUE!</v>
      </c>
      <c r="FN362" t="e">
        <f>AND('STERLING CATALOG - FZN &amp; CHILL'!C2744,"AAAAAF0/x6k=")</f>
        <v>#VALUE!</v>
      </c>
      <c r="FO362" t="e">
        <f>AND('STERLING CATALOG - FZN &amp; CHILL'!D2744,"AAAAAF0/x6o=")</f>
        <v>#VALUE!</v>
      </c>
      <c r="FP362" t="e">
        <f>AND('STERLING CATALOG - FZN &amp; CHILL'!E2744,"AAAAAF0/x6s=")</f>
        <v>#VALUE!</v>
      </c>
      <c r="FQ362" t="e">
        <f>AND('STERLING CATALOG - FZN &amp; CHILL'!F2744,"AAAAAF0/x6w=")</f>
        <v>#VALUE!</v>
      </c>
      <c r="FR362" t="e">
        <f>AND('STERLING CATALOG - FZN &amp; CHILL'!G2744,"AAAAAF0/x60=")</f>
        <v>#VALUE!</v>
      </c>
      <c r="FS362" t="e">
        <f>AND('STERLING CATALOG - FZN &amp; CHILL'!H2744,"AAAAAF0/x64=")</f>
        <v>#VALUE!</v>
      </c>
      <c r="FT362" t="e">
        <f>AND('STERLING CATALOG - FZN &amp; CHILL'!I2744,"AAAAAF0/x68=")</f>
        <v>#VALUE!</v>
      </c>
      <c r="FU362" t="e">
        <f>AND('STERLING CATALOG - FZN &amp; CHILL'!J2744,"AAAAAF0/x7A=")</f>
        <v>#VALUE!</v>
      </c>
      <c r="FV362">
        <f>IF('STERLING CATALOG - FZN &amp; CHILL'!2745:2745,"AAAAAF0/x7E=",0)</f>
        <v>0</v>
      </c>
      <c r="FW362" t="e">
        <f>AND('STERLING CATALOG - FZN &amp; CHILL'!A2745,"AAAAAF0/x7I=")</f>
        <v>#VALUE!</v>
      </c>
      <c r="FX362" t="e">
        <f>AND('STERLING CATALOG - FZN &amp; CHILL'!B2745,"AAAAAF0/x7M=")</f>
        <v>#VALUE!</v>
      </c>
      <c r="FY362" t="e">
        <f>AND('STERLING CATALOG - FZN &amp; CHILL'!C2745,"AAAAAF0/x7Q=")</f>
        <v>#VALUE!</v>
      </c>
      <c r="FZ362" t="e">
        <f>AND('STERLING CATALOG - FZN &amp; CHILL'!D2745,"AAAAAF0/x7U=")</f>
        <v>#VALUE!</v>
      </c>
      <c r="GA362" t="e">
        <f>AND('STERLING CATALOG - FZN &amp; CHILL'!E2745,"AAAAAF0/x7Y=")</f>
        <v>#VALUE!</v>
      </c>
      <c r="GB362" t="e">
        <f>AND('STERLING CATALOG - FZN &amp; CHILL'!F2745,"AAAAAF0/x7c=")</f>
        <v>#VALUE!</v>
      </c>
      <c r="GC362" t="e">
        <f>AND('STERLING CATALOG - FZN &amp; CHILL'!G2745,"AAAAAF0/x7g=")</f>
        <v>#VALUE!</v>
      </c>
      <c r="GD362" t="e">
        <f>AND('STERLING CATALOG - FZN &amp; CHILL'!H2745,"AAAAAF0/x7k=")</f>
        <v>#VALUE!</v>
      </c>
      <c r="GE362" t="e">
        <f>AND('STERLING CATALOG - FZN &amp; CHILL'!I2745,"AAAAAF0/x7o=")</f>
        <v>#VALUE!</v>
      </c>
      <c r="GF362" t="e">
        <f>AND('STERLING CATALOG - FZN &amp; CHILL'!J2745,"AAAAAF0/x7s=")</f>
        <v>#VALUE!</v>
      </c>
      <c r="GG362">
        <f>IF('STERLING CATALOG - FZN &amp; CHILL'!2746:2746,"AAAAAF0/x7w=",0)</f>
        <v>0</v>
      </c>
      <c r="GH362" t="e">
        <f>AND('STERLING CATALOG - FZN &amp; CHILL'!A2746,"AAAAAF0/x70=")</f>
        <v>#VALUE!</v>
      </c>
      <c r="GI362" t="e">
        <f>AND('STERLING CATALOG - FZN &amp; CHILL'!B2746,"AAAAAF0/x74=")</f>
        <v>#VALUE!</v>
      </c>
      <c r="GJ362" t="e">
        <f>AND('STERLING CATALOG - FZN &amp; CHILL'!C2746,"AAAAAF0/x78=")</f>
        <v>#VALUE!</v>
      </c>
      <c r="GK362" t="e">
        <f>AND('STERLING CATALOG - FZN &amp; CHILL'!D2746,"AAAAAF0/x8A=")</f>
        <v>#VALUE!</v>
      </c>
      <c r="GL362" t="e">
        <f>AND('STERLING CATALOG - FZN &amp; CHILL'!E2746,"AAAAAF0/x8E=")</f>
        <v>#VALUE!</v>
      </c>
      <c r="GM362" t="e">
        <f>AND('STERLING CATALOG - FZN &amp; CHILL'!F2746,"AAAAAF0/x8I=")</f>
        <v>#VALUE!</v>
      </c>
      <c r="GN362" t="e">
        <f>AND('STERLING CATALOG - FZN &amp; CHILL'!G2746,"AAAAAF0/x8M=")</f>
        <v>#VALUE!</v>
      </c>
      <c r="GO362" t="e">
        <f>AND('STERLING CATALOG - FZN &amp; CHILL'!H2746,"AAAAAF0/x8Q=")</f>
        <v>#VALUE!</v>
      </c>
      <c r="GP362" t="e">
        <f>AND('STERLING CATALOG - FZN &amp; CHILL'!I2746,"AAAAAF0/x8U=")</f>
        <v>#VALUE!</v>
      </c>
      <c r="GQ362" t="e">
        <f>AND('STERLING CATALOG - FZN &amp; CHILL'!J2746,"AAAAAF0/x8Y=")</f>
        <v>#VALUE!</v>
      </c>
      <c r="GR362">
        <f>IF('STERLING CATALOG - FZN &amp; CHILL'!2747:2747,"AAAAAF0/x8c=",0)</f>
        <v>0</v>
      </c>
      <c r="GS362" t="e">
        <f>AND('STERLING CATALOG - FZN &amp; CHILL'!A2747,"AAAAAF0/x8g=")</f>
        <v>#VALUE!</v>
      </c>
      <c r="GT362" t="e">
        <f>AND('STERLING CATALOG - FZN &amp; CHILL'!B2747,"AAAAAF0/x8k=")</f>
        <v>#VALUE!</v>
      </c>
      <c r="GU362" t="e">
        <f>AND('STERLING CATALOG - FZN &amp; CHILL'!C2747,"AAAAAF0/x8o=")</f>
        <v>#VALUE!</v>
      </c>
      <c r="GV362" t="e">
        <f>AND('STERLING CATALOG - FZN &amp; CHILL'!D2747,"AAAAAF0/x8s=")</f>
        <v>#VALUE!</v>
      </c>
      <c r="GW362" t="e">
        <f>AND('STERLING CATALOG - FZN &amp; CHILL'!E2747,"AAAAAF0/x8w=")</f>
        <v>#VALUE!</v>
      </c>
      <c r="GX362" t="e">
        <f>AND('STERLING CATALOG - FZN &amp; CHILL'!F2747,"AAAAAF0/x80=")</f>
        <v>#VALUE!</v>
      </c>
      <c r="GY362" t="e">
        <f>AND('STERLING CATALOG - FZN &amp; CHILL'!G2747,"AAAAAF0/x84=")</f>
        <v>#VALUE!</v>
      </c>
      <c r="GZ362" t="e">
        <f>AND('STERLING CATALOG - FZN &amp; CHILL'!H2747,"AAAAAF0/x88=")</f>
        <v>#VALUE!</v>
      </c>
      <c r="HA362" t="e">
        <f>AND('STERLING CATALOG - FZN &amp; CHILL'!I2747,"AAAAAF0/x9A=")</f>
        <v>#VALUE!</v>
      </c>
      <c r="HB362" t="e">
        <f>AND('STERLING CATALOG - FZN &amp; CHILL'!J2747,"AAAAAF0/x9E=")</f>
        <v>#VALUE!</v>
      </c>
      <c r="HC362">
        <f>IF('STERLING CATALOG - FZN &amp; CHILL'!2748:2748,"AAAAAF0/x9I=",0)</f>
        <v>0</v>
      </c>
      <c r="HD362" t="e">
        <f>AND('STERLING CATALOG - FZN &amp; CHILL'!A2748,"AAAAAF0/x9M=")</f>
        <v>#VALUE!</v>
      </c>
      <c r="HE362" t="e">
        <f>AND('STERLING CATALOG - FZN &amp; CHILL'!B2748,"AAAAAF0/x9Q=")</f>
        <v>#VALUE!</v>
      </c>
      <c r="HF362" t="e">
        <f>AND('STERLING CATALOG - FZN &amp; CHILL'!C2748,"AAAAAF0/x9U=")</f>
        <v>#VALUE!</v>
      </c>
      <c r="HG362" t="e">
        <f>AND('STERLING CATALOG - FZN &amp; CHILL'!D2748,"AAAAAF0/x9Y=")</f>
        <v>#VALUE!</v>
      </c>
      <c r="HH362" t="e">
        <f>AND('STERLING CATALOG - FZN &amp; CHILL'!E2748,"AAAAAF0/x9c=")</f>
        <v>#VALUE!</v>
      </c>
      <c r="HI362" t="e">
        <f>AND('STERLING CATALOG - FZN &amp; CHILL'!F2748,"AAAAAF0/x9g=")</f>
        <v>#VALUE!</v>
      </c>
      <c r="HJ362" t="e">
        <f>AND('STERLING CATALOG - FZN &amp; CHILL'!G2748,"AAAAAF0/x9k=")</f>
        <v>#VALUE!</v>
      </c>
      <c r="HK362" t="e">
        <f>AND('STERLING CATALOG - FZN &amp; CHILL'!H2748,"AAAAAF0/x9o=")</f>
        <v>#VALUE!</v>
      </c>
      <c r="HL362" t="e">
        <f>AND('STERLING CATALOG - FZN &amp; CHILL'!I2748,"AAAAAF0/x9s=")</f>
        <v>#VALUE!</v>
      </c>
      <c r="HM362" t="e">
        <f>AND('STERLING CATALOG - FZN &amp; CHILL'!J2748,"AAAAAF0/x9w=")</f>
        <v>#VALUE!</v>
      </c>
      <c r="HN362">
        <f>IF('STERLING CATALOG - FZN &amp; CHILL'!2749:2749,"AAAAAF0/x90=",0)</f>
        <v>0</v>
      </c>
      <c r="HO362" t="e">
        <f>AND('STERLING CATALOG - FZN &amp; CHILL'!A2749,"AAAAAF0/x94=")</f>
        <v>#VALUE!</v>
      </c>
      <c r="HP362" t="e">
        <f>AND('STERLING CATALOG - FZN &amp; CHILL'!B2749,"AAAAAF0/x98=")</f>
        <v>#VALUE!</v>
      </c>
      <c r="HQ362" t="e">
        <f>AND('STERLING CATALOG - FZN &amp; CHILL'!C2749,"AAAAAF0/x+A=")</f>
        <v>#VALUE!</v>
      </c>
      <c r="HR362" t="e">
        <f>AND('STERLING CATALOG - FZN &amp; CHILL'!D2749,"AAAAAF0/x+E=")</f>
        <v>#VALUE!</v>
      </c>
      <c r="HS362" t="e">
        <f>AND('STERLING CATALOG - FZN &amp; CHILL'!E2749,"AAAAAF0/x+I=")</f>
        <v>#VALUE!</v>
      </c>
      <c r="HT362" t="e">
        <f>AND('STERLING CATALOG - FZN &amp; CHILL'!F2749,"AAAAAF0/x+M=")</f>
        <v>#VALUE!</v>
      </c>
      <c r="HU362" t="e">
        <f>AND('STERLING CATALOG - FZN &amp; CHILL'!G2749,"AAAAAF0/x+Q=")</f>
        <v>#VALUE!</v>
      </c>
      <c r="HV362" t="e">
        <f>AND('STERLING CATALOG - FZN &amp; CHILL'!H2749,"AAAAAF0/x+U=")</f>
        <v>#VALUE!</v>
      </c>
      <c r="HW362" t="e">
        <f>AND('STERLING CATALOG - FZN &amp; CHILL'!I2749,"AAAAAF0/x+Y=")</f>
        <v>#VALUE!</v>
      </c>
      <c r="HX362" t="e">
        <f>AND('STERLING CATALOG - FZN &amp; CHILL'!J2749,"AAAAAF0/x+c=")</f>
        <v>#VALUE!</v>
      </c>
      <c r="HY362">
        <f>IF('STERLING CATALOG - FZN &amp; CHILL'!2750:2750,"AAAAAF0/x+g=",0)</f>
        <v>0</v>
      </c>
      <c r="HZ362" t="e">
        <f>AND('STERLING CATALOG - FZN &amp; CHILL'!A2750,"AAAAAF0/x+k=")</f>
        <v>#VALUE!</v>
      </c>
      <c r="IA362" t="e">
        <f>AND('STERLING CATALOG - FZN &amp; CHILL'!B2750,"AAAAAF0/x+o=")</f>
        <v>#VALUE!</v>
      </c>
      <c r="IB362" t="e">
        <f>AND('STERLING CATALOG - FZN &amp; CHILL'!C2750,"AAAAAF0/x+s=")</f>
        <v>#VALUE!</v>
      </c>
      <c r="IC362" t="e">
        <f>AND('STERLING CATALOG - FZN &amp; CHILL'!D2750,"AAAAAF0/x+w=")</f>
        <v>#VALUE!</v>
      </c>
      <c r="ID362" t="e">
        <f>AND('STERLING CATALOG - FZN &amp; CHILL'!E2750,"AAAAAF0/x+0=")</f>
        <v>#VALUE!</v>
      </c>
      <c r="IE362" t="e">
        <f>AND('STERLING CATALOG - FZN &amp; CHILL'!F2750,"AAAAAF0/x+4=")</f>
        <v>#VALUE!</v>
      </c>
      <c r="IF362" t="e">
        <f>AND('STERLING CATALOG - FZN &amp; CHILL'!G2750,"AAAAAF0/x+8=")</f>
        <v>#VALUE!</v>
      </c>
      <c r="IG362" t="e">
        <f>AND('STERLING CATALOG - FZN &amp; CHILL'!H2750,"AAAAAF0/x/A=")</f>
        <v>#VALUE!</v>
      </c>
      <c r="IH362" t="e">
        <f>AND('STERLING CATALOG - FZN &amp; CHILL'!I2750,"AAAAAF0/x/E=")</f>
        <v>#VALUE!</v>
      </c>
      <c r="II362" t="e">
        <f>AND('STERLING CATALOG - FZN &amp; CHILL'!J2750,"AAAAAF0/x/I=")</f>
        <v>#VALUE!</v>
      </c>
      <c r="IJ362">
        <f>IF('STERLING CATALOG - FZN &amp; CHILL'!2751:2751,"AAAAAF0/x/M=",0)</f>
        <v>0</v>
      </c>
      <c r="IK362" t="e">
        <f>AND('STERLING CATALOG - FZN &amp; CHILL'!A2751,"AAAAAF0/x/Q=")</f>
        <v>#VALUE!</v>
      </c>
      <c r="IL362" t="e">
        <f>AND('STERLING CATALOG - FZN &amp; CHILL'!B2751,"AAAAAF0/x/U=")</f>
        <v>#VALUE!</v>
      </c>
      <c r="IM362" t="e">
        <f>AND('STERLING CATALOG - FZN &amp; CHILL'!C2751,"AAAAAF0/x/Y=")</f>
        <v>#VALUE!</v>
      </c>
      <c r="IN362" t="e">
        <f>AND('STERLING CATALOG - FZN &amp; CHILL'!D2751,"AAAAAF0/x/c=")</f>
        <v>#VALUE!</v>
      </c>
      <c r="IO362" t="e">
        <f>AND('STERLING CATALOG - FZN &amp; CHILL'!E2751,"AAAAAF0/x/g=")</f>
        <v>#VALUE!</v>
      </c>
      <c r="IP362" t="e">
        <f>AND('STERLING CATALOG - FZN &amp; CHILL'!F2751,"AAAAAF0/x/k=")</f>
        <v>#VALUE!</v>
      </c>
      <c r="IQ362" t="e">
        <f>AND('STERLING CATALOG - FZN &amp; CHILL'!G2751,"AAAAAF0/x/o=")</f>
        <v>#VALUE!</v>
      </c>
      <c r="IR362" t="e">
        <f>AND('STERLING CATALOG - FZN &amp; CHILL'!H2751,"AAAAAF0/x/s=")</f>
        <v>#VALUE!</v>
      </c>
      <c r="IS362" t="e">
        <f>AND('STERLING CATALOG - FZN &amp; CHILL'!I2751,"AAAAAF0/x/w=")</f>
        <v>#VALUE!</v>
      </c>
      <c r="IT362" t="e">
        <f>AND('STERLING CATALOG - FZN &amp; CHILL'!J2751,"AAAAAF0/x/0=")</f>
        <v>#VALUE!</v>
      </c>
      <c r="IU362">
        <f>IF('STERLING CATALOG - FZN &amp; CHILL'!2752:2752,"AAAAAF0/x/4=",0)</f>
        <v>0</v>
      </c>
      <c r="IV362" t="e">
        <f>AND('STERLING CATALOG - FZN &amp; CHILL'!A2752,"AAAAAF0/x/8=")</f>
        <v>#VALUE!</v>
      </c>
    </row>
    <row r="363" spans="1:256">
      <c r="A363" t="e">
        <f>AND('STERLING CATALOG - FZN &amp; CHILL'!B2752,"AAAAAHbfPgA=")</f>
        <v>#VALUE!</v>
      </c>
      <c r="B363" t="e">
        <f>AND('STERLING CATALOG - FZN &amp; CHILL'!C2752,"AAAAAHbfPgE=")</f>
        <v>#VALUE!</v>
      </c>
      <c r="C363" t="e">
        <f>AND('STERLING CATALOG - FZN &amp; CHILL'!D2752,"AAAAAHbfPgI=")</f>
        <v>#VALUE!</v>
      </c>
      <c r="D363" t="e">
        <f>AND('STERLING CATALOG - FZN &amp; CHILL'!E2752,"AAAAAHbfPgM=")</f>
        <v>#VALUE!</v>
      </c>
      <c r="E363" t="e">
        <f>AND('STERLING CATALOG - FZN &amp; CHILL'!F2752,"AAAAAHbfPgQ=")</f>
        <v>#VALUE!</v>
      </c>
      <c r="F363" t="e">
        <f>AND('STERLING CATALOG - FZN &amp; CHILL'!G2752,"AAAAAHbfPgU=")</f>
        <v>#VALUE!</v>
      </c>
      <c r="G363" t="e">
        <f>AND('STERLING CATALOG - FZN &amp; CHILL'!H2752,"AAAAAHbfPgY=")</f>
        <v>#VALUE!</v>
      </c>
      <c r="H363" t="e">
        <f>AND('STERLING CATALOG - FZN &amp; CHILL'!I2752,"AAAAAHbfPgc=")</f>
        <v>#VALUE!</v>
      </c>
      <c r="I363" t="e">
        <f>AND('STERLING CATALOG - FZN &amp; CHILL'!J2752,"AAAAAHbfPgg=")</f>
        <v>#VALUE!</v>
      </c>
      <c r="J363" t="e">
        <f>IF('STERLING CATALOG - FZN &amp; CHILL'!2753:2753,"AAAAAHbfPgk=",0)</f>
        <v>#VALUE!</v>
      </c>
      <c r="K363" t="e">
        <f>AND('STERLING CATALOG - FZN &amp; CHILL'!A2753,"AAAAAHbfPgo=")</f>
        <v>#VALUE!</v>
      </c>
      <c r="L363" t="e">
        <f>AND('STERLING CATALOG - FZN &amp; CHILL'!B2753,"AAAAAHbfPgs=")</f>
        <v>#VALUE!</v>
      </c>
      <c r="M363" t="e">
        <f>AND('STERLING CATALOG - FZN &amp; CHILL'!C2753,"AAAAAHbfPgw=")</f>
        <v>#VALUE!</v>
      </c>
      <c r="N363" t="e">
        <f>AND('STERLING CATALOG - FZN &amp; CHILL'!D2753,"AAAAAHbfPg0=")</f>
        <v>#VALUE!</v>
      </c>
      <c r="O363" t="e">
        <f>AND('STERLING CATALOG - FZN &amp; CHILL'!E2753,"AAAAAHbfPg4=")</f>
        <v>#VALUE!</v>
      </c>
      <c r="P363" t="e">
        <f>AND('STERLING CATALOG - FZN &amp; CHILL'!F2753,"AAAAAHbfPg8=")</f>
        <v>#VALUE!</v>
      </c>
      <c r="Q363" t="e">
        <f>AND('STERLING CATALOG - FZN &amp; CHILL'!G2753,"AAAAAHbfPhA=")</f>
        <v>#VALUE!</v>
      </c>
      <c r="R363" t="e">
        <f>AND('STERLING CATALOG - FZN &amp; CHILL'!H2753,"AAAAAHbfPhE=")</f>
        <v>#VALUE!</v>
      </c>
      <c r="S363" t="e">
        <f>AND('STERLING CATALOG - FZN &amp; CHILL'!I2753,"AAAAAHbfPhI=")</f>
        <v>#VALUE!</v>
      </c>
      <c r="T363" t="e">
        <f>AND('STERLING CATALOG - FZN &amp; CHILL'!J2753,"AAAAAHbfPhM=")</f>
        <v>#VALUE!</v>
      </c>
      <c r="U363">
        <f>IF('STERLING CATALOG - FZN &amp; CHILL'!2754:2754,"AAAAAHbfPhQ=",0)</f>
        <v>0</v>
      </c>
      <c r="V363" t="e">
        <f>AND('STERLING CATALOG - FZN &amp; CHILL'!A2754,"AAAAAHbfPhU=")</f>
        <v>#VALUE!</v>
      </c>
      <c r="W363" t="e">
        <f>AND('STERLING CATALOG - FZN &amp; CHILL'!B2754,"AAAAAHbfPhY=")</f>
        <v>#VALUE!</v>
      </c>
      <c r="X363" t="e">
        <f>AND('STERLING CATALOG - FZN &amp; CHILL'!C2754,"AAAAAHbfPhc=")</f>
        <v>#VALUE!</v>
      </c>
      <c r="Y363" t="e">
        <f>AND('STERLING CATALOG - FZN &amp; CHILL'!D2754,"AAAAAHbfPhg=")</f>
        <v>#VALUE!</v>
      </c>
      <c r="Z363" t="e">
        <f>AND('STERLING CATALOG - FZN &amp; CHILL'!E2754,"AAAAAHbfPhk=")</f>
        <v>#VALUE!</v>
      </c>
      <c r="AA363" t="e">
        <f>AND('STERLING CATALOG - FZN &amp; CHILL'!F2754,"AAAAAHbfPho=")</f>
        <v>#VALUE!</v>
      </c>
      <c r="AB363" t="e">
        <f>AND('STERLING CATALOG - FZN &amp; CHILL'!G2754,"AAAAAHbfPhs=")</f>
        <v>#VALUE!</v>
      </c>
      <c r="AC363" t="e">
        <f>AND('STERLING CATALOG - FZN &amp; CHILL'!H2754,"AAAAAHbfPhw=")</f>
        <v>#VALUE!</v>
      </c>
      <c r="AD363" t="e">
        <f>AND('STERLING CATALOG - FZN &amp; CHILL'!I2754,"AAAAAHbfPh0=")</f>
        <v>#VALUE!</v>
      </c>
      <c r="AE363" t="e">
        <f>AND('STERLING CATALOG - FZN &amp; CHILL'!J2754,"AAAAAHbfPh4=")</f>
        <v>#VALUE!</v>
      </c>
      <c r="AF363">
        <f>IF('STERLING CATALOG - FZN &amp; CHILL'!2755:2755,"AAAAAHbfPh8=",0)</f>
        <v>0</v>
      </c>
      <c r="AG363" t="e">
        <f>AND('STERLING CATALOG - FZN &amp; CHILL'!A2755,"AAAAAHbfPiA=")</f>
        <v>#VALUE!</v>
      </c>
      <c r="AH363" t="e">
        <f>AND('STERLING CATALOG - FZN &amp; CHILL'!B2755,"AAAAAHbfPiE=")</f>
        <v>#VALUE!</v>
      </c>
      <c r="AI363" t="e">
        <f>AND('STERLING CATALOG - FZN &amp; CHILL'!C2755,"AAAAAHbfPiI=")</f>
        <v>#VALUE!</v>
      </c>
      <c r="AJ363" t="e">
        <f>AND('STERLING CATALOG - FZN &amp; CHILL'!D2755,"AAAAAHbfPiM=")</f>
        <v>#VALUE!</v>
      </c>
      <c r="AK363" t="e">
        <f>AND('STERLING CATALOG - FZN &amp; CHILL'!E2755,"AAAAAHbfPiQ=")</f>
        <v>#VALUE!</v>
      </c>
      <c r="AL363" t="e">
        <f>AND('STERLING CATALOG - FZN &amp; CHILL'!F2755,"AAAAAHbfPiU=")</f>
        <v>#VALUE!</v>
      </c>
      <c r="AM363" t="e">
        <f>AND('STERLING CATALOG - FZN &amp; CHILL'!G2755,"AAAAAHbfPiY=")</f>
        <v>#VALUE!</v>
      </c>
      <c r="AN363" t="e">
        <f>AND('STERLING CATALOG - FZN &amp; CHILL'!H2755,"AAAAAHbfPic=")</f>
        <v>#VALUE!</v>
      </c>
      <c r="AO363" t="e">
        <f>AND('STERLING CATALOG - FZN &amp; CHILL'!I2755,"AAAAAHbfPig=")</f>
        <v>#VALUE!</v>
      </c>
      <c r="AP363" t="e">
        <f>AND('STERLING CATALOG - FZN &amp; CHILL'!J2755,"AAAAAHbfPik=")</f>
        <v>#VALUE!</v>
      </c>
      <c r="AQ363">
        <f>IF('STERLING CATALOG - FZN &amp; CHILL'!2756:2756,"AAAAAHbfPio=",0)</f>
        <v>0</v>
      </c>
      <c r="AR363" t="e">
        <f>AND('STERLING CATALOG - FZN &amp; CHILL'!A2756,"AAAAAHbfPis=")</f>
        <v>#VALUE!</v>
      </c>
      <c r="AS363" t="e">
        <f>AND('STERLING CATALOG - FZN &amp; CHILL'!B2756,"AAAAAHbfPiw=")</f>
        <v>#VALUE!</v>
      </c>
      <c r="AT363" t="e">
        <f>AND('STERLING CATALOG - FZN &amp; CHILL'!C2756,"AAAAAHbfPi0=")</f>
        <v>#VALUE!</v>
      </c>
      <c r="AU363" t="e">
        <f>AND('STERLING CATALOG - FZN &amp; CHILL'!D2756,"AAAAAHbfPi4=")</f>
        <v>#VALUE!</v>
      </c>
      <c r="AV363" t="e">
        <f>AND('STERLING CATALOG - FZN &amp; CHILL'!E2756,"AAAAAHbfPi8=")</f>
        <v>#VALUE!</v>
      </c>
      <c r="AW363" t="e">
        <f>AND('STERLING CATALOG - FZN &amp; CHILL'!F2756,"AAAAAHbfPjA=")</f>
        <v>#VALUE!</v>
      </c>
      <c r="AX363" t="e">
        <f>AND('STERLING CATALOG - FZN &amp; CHILL'!G2756,"AAAAAHbfPjE=")</f>
        <v>#VALUE!</v>
      </c>
      <c r="AY363" t="e">
        <f>AND('STERLING CATALOG - FZN &amp; CHILL'!H2756,"AAAAAHbfPjI=")</f>
        <v>#VALUE!</v>
      </c>
      <c r="AZ363" t="e">
        <f>AND('STERLING CATALOG - FZN &amp; CHILL'!I2756,"AAAAAHbfPjM=")</f>
        <v>#VALUE!</v>
      </c>
      <c r="BA363" t="e">
        <f>AND('STERLING CATALOG - FZN &amp; CHILL'!J2756,"AAAAAHbfPjQ=")</f>
        <v>#VALUE!</v>
      </c>
      <c r="BB363">
        <f>IF('STERLING CATALOG - FZN &amp; CHILL'!2757:2757,"AAAAAHbfPjU=",0)</f>
        <v>0</v>
      </c>
      <c r="BC363" t="e">
        <f>AND('STERLING CATALOG - FZN &amp; CHILL'!A2757,"AAAAAHbfPjY=")</f>
        <v>#VALUE!</v>
      </c>
      <c r="BD363" t="e">
        <f>AND('STERLING CATALOG - FZN &amp; CHILL'!B2757,"AAAAAHbfPjc=")</f>
        <v>#VALUE!</v>
      </c>
      <c r="BE363" t="e">
        <f>AND('STERLING CATALOG - FZN &amp; CHILL'!C2757,"AAAAAHbfPjg=")</f>
        <v>#VALUE!</v>
      </c>
      <c r="BF363" t="e">
        <f>AND('STERLING CATALOG - FZN &amp; CHILL'!D2757,"AAAAAHbfPjk=")</f>
        <v>#VALUE!</v>
      </c>
      <c r="BG363" t="e">
        <f>AND('STERLING CATALOG - FZN &amp; CHILL'!E2757,"AAAAAHbfPjo=")</f>
        <v>#VALUE!</v>
      </c>
      <c r="BH363" t="e">
        <f>AND('STERLING CATALOG - FZN &amp; CHILL'!F2757,"AAAAAHbfPjs=")</f>
        <v>#VALUE!</v>
      </c>
      <c r="BI363" t="e">
        <f>AND('STERLING CATALOG - FZN &amp; CHILL'!G2757,"AAAAAHbfPjw=")</f>
        <v>#VALUE!</v>
      </c>
      <c r="BJ363" t="e">
        <f>AND('STERLING CATALOG - FZN &amp; CHILL'!H2757,"AAAAAHbfPj0=")</f>
        <v>#VALUE!</v>
      </c>
      <c r="BK363" t="e">
        <f>AND('STERLING CATALOG - FZN &amp; CHILL'!I2757,"AAAAAHbfPj4=")</f>
        <v>#VALUE!</v>
      </c>
      <c r="BL363" t="e">
        <f>AND('STERLING CATALOG - FZN &amp; CHILL'!J2757,"AAAAAHbfPj8=")</f>
        <v>#VALUE!</v>
      </c>
      <c r="BM363">
        <f>IF('STERLING CATALOG - FZN &amp; CHILL'!2758:2758,"AAAAAHbfPkA=",0)</f>
        <v>0</v>
      </c>
      <c r="BN363" t="e">
        <f>AND('STERLING CATALOG - FZN &amp; CHILL'!A2758,"AAAAAHbfPkE=")</f>
        <v>#VALUE!</v>
      </c>
      <c r="BO363" t="e">
        <f>AND('STERLING CATALOG - FZN &amp; CHILL'!B2758,"AAAAAHbfPkI=")</f>
        <v>#VALUE!</v>
      </c>
      <c r="BP363" t="e">
        <f>AND('STERLING CATALOG - FZN &amp; CHILL'!C2758,"AAAAAHbfPkM=")</f>
        <v>#VALUE!</v>
      </c>
      <c r="BQ363" t="e">
        <f>AND('STERLING CATALOG - FZN &amp; CHILL'!D2758,"AAAAAHbfPkQ=")</f>
        <v>#VALUE!</v>
      </c>
      <c r="BR363" t="e">
        <f>AND('STERLING CATALOG - FZN &amp; CHILL'!E2758,"AAAAAHbfPkU=")</f>
        <v>#VALUE!</v>
      </c>
      <c r="BS363" t="e">
        <f>AND('STERLING CATALOG - FZN &amp; CHILL'!F2758,"AAAAAHbfPkY=")</f>
        <v>#VALUE!</v>
      </c>
      <c r="BT363" t="e">
        <f>AND('STERLING CATALOG - FZN &amp; CHILL'!G2758,"AAAAAHbfPkc=")</f>
        <v>#VALUE!</v>
      </c>
      <c r="BU363" t="e">
        <f>AND('STERLING CATALOG - FZN &amp; CHILL'!H2758,"AAAAAHbfPkg=")</f>
        <v>#VALUE!</v>
      </c>
      <c r="BV363" t="e">
        <f>AND('STERLING CATALOG - FZN &amp; CHILL'!I2758,"AAAAAHbfPkk=")</f>
        <v>#VALUE!</v>
      </c>
      <c r="BW363" t="e">
        <f>AND('STERLING CATALOG - FZN &amp; CHILL'!J2758,"AAAAAHbfPko=")</f>
        <v>#VALUE!</v>
      </c>
      <c r="BX363">
        <f>IF('STERLING CATALOG - FZN &amp; CHILL'!2759:2759,"AAAAAHbfPks=",0)</f>
        <v>0</v>
      </c>
      <c r="BY363" t="e">
        <f>AND('STERLING CATALOG - FZN &amp; CHILL'!A2759,"AAAAAHbfPkw=")</f>
        <v>#VALUE!</v>
      </c>
      <c r="BZ363" t="e">
        <f>AND('STERLING CATALOG - FZN &amp; CHILL'!B2759,"AAAAAHbfPk0=")</f>
        <v>#VALUE!</v>
      </c>
      <c r="CA363" t="e">
        <f>AND('STERLING CATALOG - FZN &amp; CHILL'!C2759,"AAAAAHbfPk4=")</f>
        <v>#VALUE!</v>
      </c>
      <c r="CB363" t="e">
        <f>AND('STERLING CATALOG - FZN &amp; CHILL'!D2759,"AAAAAHbfPk8=")</f>
        <v>#VALUE!</v>
      </c>
      <c r="CC363" t="e">
        <f>AND('STERLING CATALOG - FZN &amp; CHILL'!E2759,"AAAAAHbfPlA=")</f>
        <v>#VALUE!</v>
      </c>
      <c r="CD363" t="e">
        <f>AND('STERLING CATALOG - FZN &amp; CHILL'!F2759,"AAAAAHbfPlE=")</f>
        <v>#VALUE!</v>
      </c>
      <c r="CE363" t="e">
        <f>AND('STERLING CATALOG - FZN &amp; CHILL'!G2759,"AAAAAHbfPlI=")</f>
        <v>#VALUE!</v>
      </c>
      <c r="CF363" t="e">
        <f>AND('STERLING CATALOG - FZN &amp; CHILL'!H2759,"AAAAAHbfPlM=")</f>
        <v>#VALUE!</v>
      </c>
      <c r="CG363" t="e">
        <f>AND('STERLING CATALOG - FZN &amp; CHILL'!I2759,"AAAAAHbfPlQ=")</f>
        <v>#VALUE!</v>
      </c>
      <c r="CH363" t="e">
        <f>AND('STERLING CATALOG - FZN &amp; CHILL'!J2759,"AAAAAHbfPlU=")</f>
        <v>#VALUE!</v>
      </c>
      <c r="CI363">
        <f>IF('STERLING CATALOG - FZN &amp; CHILL'!2760:2760,"AAAAAHbfPlY=",0)</f>
        <v>0</v>
      </c>
      <c r="CJ363" t="e">
        <f>AND('STERLING CATALOG - FZN &amp; CHILL'!A2760,"AAAAAHbfPlc=")</f>
        <v>#VALUE!</v>
      </c>
      <c r="CK363" t="e">
        <f>AND('STERLING CATALOG - FZN &amp; CHILL'!B2760,"AAAAAHbfPlg=")</f>
        <v>#VALUE!</v>
      </c>
      <c r="CL363" t="e">
        <f>AND('STERLING CATALOG - FZN &amp; CHILL'!C2760,"AAAAAHbfPlk=")</f>
        <v>#VALUE!</v>
      </c>
      <c r="CM363" t="e">
        <f>AND('STERLING CATALOG - FZN &amp; CHILL'!D2760,"AAAAAHbfPlo=")</f>
        <v>#VALUE!</v>
      </c>
      <c r="CN363" t="e">
        <f>AND('STERLING CATALOG - FZN &amp; CHILL'!E2760,"AAAAAHbfPls=")</f>
        <v>#VALUE!</v>
      </c>
      <c r="CO363" t="e">
        <f>AND('STERLING CATALOG - FZN &amp; CHILL'!F2760,"AAAAAHbfPlw=")</f>
        <v>#VALUE!</v>
      </c>
      <c r="CP363" t="e">
        <f>AND('STERLING CATALOG - FZN &amp; CHILL'!G2760,"AAAAAHbfPl0=")</f>
        <v>#VALUE!</v>
      </c>
      <c r="CQ363" t="e">
        <f>AND('STERLING CATALOG - FZN &amp; CHILL'!H2760,"AAAAAHbfPl4=")</f>
        <v>#VALUE!</v>
      </c>
      <c r="CR363" t="e">
        <f>AND('STERLING CATALOG - FZN &amp; CHILL'!I2760,"AAAAAHbfPl8=")</f>
        <v>#VALUE!</v>
      </c>
      <c r="CS363" t="e">
        <f>AND('STERLING CATALOG - FZN &amp; CHILL'!J2760,"AAAAAHbfPmA=")</f>
        <v>#VALUE!</v>
      </c>
      <c r="CT363">
        <f>IF('STERLING CATALOG - FZN &amp; CHILL'!2761:2761,"AAAAAHbfPmE=",0)</f>
        <v>0</v>
      </c>
      <c r="CU363" t="e">
        <f>AND('STERLING CATALOG - FZN &amp; CHILL'!A2761,"AAAAAHbfPmI=")</f>
        <v>#VALUE!</v>
      </c>
      <c r="CV363" t="e">
        <f>AND('STERLING CATALOG - FZN &amp; CHILL'!B2761,"AAAAAHbfPmM=")</f>
        <v>#VALUE!</v>
      </c>
      <c r="CW363" t="e">
        <f>AND('STERLING CATALOG - FZN &amp; CHILL'!C2761,"AAAAAHbfPmQ=")</f>
        <v>#VALUE!</v>
      </c>
      <c r="CX363" t="e">
        <f>AND('STERLING CATALOG - FZN &amp; CHILL'!D2761,"AAAAAHbfPmU=")</f>
        <v>#VALUE!</v>
      </c>
      <c r="CY363" t="e">
        <f>AND('STERLING CATALOG - FZN &amp; CHILL'!E2761,"AAAAAHbfPmY=")</f>
        <v>#VALUE!</v>
      </c>
      <c r="CZ363" t="e">
        <f>AND('STERLING CATALOG - FZN &amp; CHILL'!F2761,"AAAAAHbfPmc=")</f>
        <v>#VALUE!</v>
      </c>
      <c r="DA363" t="e">
        <f>AND('STERLING CATALOG - FZN &amp; CHILL'!G2761,"AAAAAHbfPmg=")</f>
        <v>#VALUE!</v>
      </c>
      <c r="DB363" t="e">
        <f>AND('STERLING CATALOG - FZN &amp; CHILL'!H2761,"AAAAAHbfPmk=")</f>
        <v>#VALUE!</v>
      </c>
      <c r="DC363" t="e">
        <f>AND('STERLING CATALOG - FZN &amp; CHILL'!I2761,"AAAAAHbfPmo=")</f>
        <v>#VALUE!</v>
      </c>
      <c r="DD363" t="e">
        <f>AND('STERLING CATALOG - FZN &amp; CHILL'!J2761,"AAAAAHbfPms=")</f>
        <v>#VALUE!</v>
      </c>
      <c r="DE363">
        <f>IF('STERLING CATALOG - FZN &amp; CHILL'!2762:2762,"AAAAAHbfPmw=",0)</f>
        <v>0</v>
      </c>
      <c r="DF363" t="e">
        <f>AND('STERLING CATALOG - FZN &amp; CHILL'!A2762,"AAAAAHbfPm0=")</f>
        <v>#VALUE!</v>
      </c>
      <c r="DG363" t="e">
        <f>AND('STERLING CATALOG - FZN &amp; CHILL'!B2762,"AAAAAHbfPm4=")</f>
        <v>#VALUE!</v>
      </c>
      <c r="DH363" t="e">
        <f>AND('STERLING CATALOG - FZN &amp; CHILL'!C2762,"AAAAAHbfPm8=")</f>
        <v>#VALUE!</v>
      </c>
      <c r="DI363" t="e">
        <f>AND('STERLING CATALOG - FZN &amp; CHILL'!D2762,"AAAAAHbfPnA=")</f>
        <v>#VALUE!</v>
      </c>
      <c r="DJ363" t="e">
        <f>AND('STERLING CATALOG - FZN &amp; CHILL'!E2762,"AAAAAHbfPnE=")</f>
        <v>#VALUE!</v>
      </c>
      <c r="DK363" t="e">
        <f>AND('STERLING CATALOG - FZN &amp; CHILL'!F2762,"AAAAAHbfPnI=")</f>
        <v>#VALUE!</v>
      </c>
      <c r="DL363" t="e">
        <f>AND('STERLING CATALOG - FZN &amp; CHILL'!G2762,"AAAAAHbfPnM=")</f>
        <v>#VALUE!</v>
      </c>
      <c r="DM363" t="e">
        <f>AND('STERLING CATALOG - FZN &amp; CHILL'!H2762,"AAAAAHbfPnQ=")</f>
        <v>#VALUE!</v>
      </c>
      <c r="DN363" t="e">
        <f>AND('STERLING CATALOG - FZN &amp; CHILL'!I2762,"AAAAAHbfPnU=")</f>
        <v>#VALUE!</v>
      </c>
      <c r="DO363" t="e">
        <f>AND('STERLING CATALOG - FZN &amp; CHILL'!J2762,"AAAAAHbfPnY=")</f>
        <v>#VALUE!</v>
      </c>
      <c r="DP363">
        <f>IF('STERLING CATALOG - FZN &amp; CHILL'!2763:2763,"AAAAAHbfPnc=",0)</f>
        <v>0</v>
      </c>
      <c r="DQ363" t="e">
        <f>AND('STERLING CATALOG - FZN &amp; CHILL'!A2763,"AAAAAHbfPng=")</f>
        <v>#VALUE!</v>
      </c>
      <c r="DR363" t="e">
        <f>AND('STERLING CATALOG - FZN &amp; CHILL'!B2763,"AAAAAHbfPnk=")</f>
        <v>#VALUE!</v>
      </c>
      <c r="DS363" t="e">
        <f>AND('STERLING CATALOG - FZN &amp; CHILL'!C2763,"AAAAAHbfPno=")</f>
        <v>#VALUE!</v>
      </c>
      <c r="DT363" t="e">
        <f>AND('STERLING CATALOG - FZN &amp; CHILL'!D2763,"AAAAAHbfPns=")</f>
        <v>#VALUE!</v>
      </c>
      <c r="DU363" t="e">
        <f>AND('STERLING CATALOG - FZN &amp; CHILL'!E2763,"AAAAAHbfPnw=")</f>
        <v>#VALUE!</v>
      </c>
      <c r="DV363" t="e">
        <f>AND('STERLING CATALOG - FZN &amp; CHILL'!F2763,"AAAAAHbfPn0=")</f>
        <v>#VALUE!</v>
      </c>
      <c r="DW363" t="e">
        <f>AND('STERLING CATALOG - FZN &amp; CHILL'!G2763,"AAAAAHbfPn4=")</f>
        <v>#VALUE!</v>
      </c>
      <c r="DX363" t="e">
        <f>AND('STERLING CATALOG - FZN &amp; CHILL'!H2763,"AAAAAHbfPn8=")</f>
        <v>#VALUE!</v>
      </c>
      <c r="DY363" t="e">
        <f>AND('STERLING CATALOG - FZN &amp; CHILL'!I2763,"AAAAAHbfPoA=")</f>
        <v>#VALUE!</v>
      </c>
      <c r="DZ363" t="e">
        <f>AND('STERLING CATALOG - FZN &amp; CHILL'!J2763,"AAAAAHbfPoE=")</f>
        <v>#VALUE!</v>
      </c>
      <c r="EA363">
        <f>IF('STERLING CATALOG - FZN &amp; CHILL'!2764:2764,"AAAAAHbfPoI=",0)</f>
        <v>0</v>
      </c>
      <c r="EB363" t="e">
        <f>AND('STERLING CATALOG - FZN &amp; CHILL'!A2764,"AAAAAHbfPoM=")</f>
        <v>#VALUE!</v>
      </c>
      <c r="EC363" t="e">
        <f>AND('STERLING CATALOG - FZN &amp; CHILL'!B2764,"AAAAAHbfPoQ=")</f>
        <v>#VALUE!</v>
      </c>
      <c r="ED363" t="e">
        <f>AND('STERLING CATALOG - FZN &amp; CHILL'!C2764,"AAAAAHbfPoU=")</f>
        <v>#VALUE!</v>
      </c>
      <c r="EE363" t="e">
        <f>AND('STERLING CATALOG - FZN &amp; CHILL'!D2764,"AAAAAHbfPoY=")</f>
        <v>#VALUE!</v>
      </c>
      <c r="EF363" t="e">
        <f>AND('STERLING CATALOG - FZN &amp; CHILL'!E2764,"AAAAAHbfPoc=")</f>
        <v>#VALUE!</v>
      </c>
      <c r="EG363" t="e">
        <f>AND('STERLING CATALOG - FZN &amp; CHILL'!F2764,"AAAAAHbfPog=")</f>
        <v>#VALUE!</v>
      </c>
      <c r="EH363" t="e">
        <f>AND('STERLING CATALOG - FZN &amp; CHILL'!G2764,"AAAAAHbfPok=")</f>
        <v>#VALUE!</v>
      </c>
      <c r="EI363" t="e">
        <f>AND('STERLING CATALOG - FZN &amp; CHILL'!H2764,"AAAAAHbfPoo=")</f>
        <v>#VALUE!</v>
      </c>
      <c r="EJ363" t="e">
        <f>AND('STERLING CATALOG - FZN &amp; CHILL'!I2764,"AAAAAHbfPos=")</f>
        <v>#VALUE!</v>
      </c>
      <c r="EK363" t="e">
        <f>AND('STERLING CATALOG - FZN &amp; CHILL'!J2764,"AAAAAHbfPow=")</f>
        <v>#VALUE!</v>
      </c>
      <c r="EL363">
        <f>IF('STERLING CATALOG - FZN &amp; CHILL'!2765:2765,"AAAAAHbfPo0=",0)</f>
        <v>0</v>
      </c>
      <c r="EM363" t="e">
        <f>AND('STERLING CATALOG - FZN &amp; CHILL'!A2765,"AAAAAHbfPo4=")</f>
        <v>#VALUE!</v>
      </c>
      <c r="EN363" t="e">
        <f>AND('STERLING CATALOG - FZN &amp; CHILL'!B2765,"AAAAAHbfPo8=")</f>
        <v>#VALUE!</v>
      </c>
      <c r="EO363" t="e">
        <f>AND('STERLING CATALOG - FZN &amp; CHILL'!C2765,"AAAAAHbfPpA=")</f>
        <v>#VALUE!</v>
      </c>
      <c r="EP363" t="e">
        <f>AND('STERLING CATALOG - FZN &amp; CHILL'!D2765,"AAAAAHbfPpE=")</f>
        <v>#VALUE!</v>
      </c>
      <c r="EQ363" t="e">
        <f>AND('STERLING CATALOG - FZN &amp; CHILL'!E2765,"AAAAAHbfPpI=")</f>
        <v>#VALUE!</v>
      </c>
      <c r="ER363" t="e">
        <f>AND('STERLING CATALOG - FZN &amp; CHILL'!F2765,"AAAAAHbfPpM=")</f>
        <v>#VALUE!</v>
      </c>
      <c r="ES363" t="e">
        <f>AND('STERLING CATALOG - FZN &amp; CHILL'!G2765,"AAAAAHbfPpQ=")</f>
        <v>#VALUE!</v>
      </c>
      <c r="ET363" t="e">
        <f>AND('STERLING CATALOG - FZN &amp; CHILL'!H2765,"AAAAAHbfPpU=")</f>
        <v>#VALUE!</v>
      </c>
      <c r="EU363" t="e">
        <f>AND('STERLING CATALOG - FZN &amp; CHILL'!I2765,"AAAAAHbfPpY=")</f>
        <v>#VALUE!</v>
      </c>
      <c r="EV363" t="e">
        <f>AND('STERLING CATALOG - FZN &amp; CHILL'!J2765,"AAAAAHbfPpc=")</f>
        <v>#VALUE!</v>
      </c>
      <c r="EW363">
        <f>IF('STERLING CATALOG - FZN &amp; CHILL'!2766:2766,"AAAAAHbfPpg=",0)</f>
        <v>0</v>
      </c>
      <c r="EX363" t="e">
        <f>AND('STERLING CATALOG - FZN &amp; CHILL'!A2766,"AAAAAHbfPpk=")</f>
        <v>#VALUE!</v>
      </c>
      <c r="EY363" t="e">
        <f>AND('STERLING CATALOG - FZN &amp; CHILL'!B2766,"AAAAAHbfPpo=")</f>
        <v>#VALUE!</v>
      </c>
      <c r="EZ363" t="e">
        <f>AND('STERLING CATALOG - FZN &amp; CHILL'!C2766,"AAAAAHbfPps=")</f>
        <v>#VALUE!</v>
      </c>
      <c r="FA363" t="e">
        <f>AND('STERLING CATALOG - FZN &amp; CHILL'!D2766,"AAAAAHbfPpw=")</f>
        <v>#VALUE!</v>
      </c>
      <c r="FB363" t="e">
        <f>AND('STERLING CATALOG - FZN &amp; CHILL'!E2766,"AAAAAHbfPp0=")</f>
        <v>#VALUE!</v>
      </c>
      <c r="FC363" t="e">
        <f>AND('STERLING CATALOG - FZN &amp; CHILL'!F2766,"AAAAAHbfPp4=")</f>
        <v>#VALUE!</v>
      </c>
      <c r="FD363" t="e">
        <f>AND('STERLING CATALOG - FZN &amp; CHILL'!G2766,"AAAAAHbfPp8=")</f>
        <v>#VALUE!</v>
      </c>
      <c r="FE363" t="e">
        <f>AND('STERLING CATALOG - FZN &amp; CHILL'!H2766,"AAAAAHbfPqA=")</f>
        <v>#VALUE!</v>
      </c>
      <c r="FF363" t="e">
        <f>AND('STERLING CATALOG - FZN &amp; CHILL'!I2766,"AAAAAHbfPqE=")</f>
        <v>#VALUE!</v>
      </c>
      <c r="FG363" t="e">
        <f>AND('STERLING CATALOG - FZN &amp; CHILL'!J2766,"AAAAAHbfPqI=")</f>
        <v>#VALUE!</v>
      </c>
      <c r="FH363">
        <f>IF('STERLING CATALOG - FZN &amp; CHILL'!2767:2767,"AAAAAHbfPqM=",0)</f>
        <v>0</v>
      </c>
      <c r="FI363" t="e">
        <f>AND('STERLING CATALOG - FZN &amp; CHILL'!A2767,"AAAAAHbfPqQ=")</f>
        <v>#VALUE!</v>
      </c>
      <c r="FJ363" t="e">
        <f>AND('STERLING CATALOG - FZN &amp; CHILL'!B2767,"AAAAAHbfPqU=")</f>
        <v>#VALUE!</v>
      </c>
      <c r="FK363" t="e">
        <f>AND('STERLING CATALOG - FZN &amp; CHILL'!C2767,"AAAAAHbfPqY=")</f>
        <v>#VALUE!</v>
      </c>
      <c r="FL363" t="e">
        <f>AND('STERLING CATALOG - FZN &amp; CHILL'!D2767,"AAAAAHbfPqc=")</f>
        <v>#VALUE!</v>
      </c>
      <c r="FM363" t="e">
        <f>AND('STERLING CATALOG - FZN &amp; CHILL'!E2767,"AAAAAHbfPqg=")</f>
        <v>#VALUE!</v>
      </c>
      <c r="FN363" t="e">
        <f>AND('STERLING CATALOG - FZN &amp; CHILL'!F2767,"AAAAAHbfPqk=")</f>
        <v>#VALUE!</v>
      </c>
      <c r="FO363" t="e">
        <f>AND('STERLING CATALOG - FZN &amp; CHILL'!G2767,"AAAAAHbfPqo=")</f>
        <v>#VALUE!</v>
      </c>
      <c r="FP363" t="e">
        <f>AND('STERLING CATALOG - FZN &amp; CHILL'!H2767,"AAAAAHbfPqs=")</f>
        <v>#VALUE!</v>
      </c>
      <c r="FQ363" t="e">
        <f>AND('STERLING CATALOG - FZN &amp; CHILL'!I2767,"AAAAAHbfPqw=")</f>
        <v>#VALUE!</v>
      </c>
      <c r="FR363" t="e">
        <f>AND('STERLING CATALOG - FZN &amp; CHILL'!J2767,"AAAAAHbfPq0=")</f>
        <v>#VALUE!</v>
      </c>
      <c r="FS363">
        <f>IF('STERLING CATALOG - FZN &amp; CHILL'!2768:2768,"AAAAAHbfPq4=",0)</f>
        <v>0</v>
      </c>
      <c r="FT363" t="e">
        <f>AND('STERLING CATALOG - FZN &amp; CHILL'!A2768,"AAAAAHbfPq8=")</f>
        <v>#VALUE!</v>
      </c>
      <c r="FU363" t="e">
        <f>AND('STERLING CATALOG - FZN &amp; CHILL'!B2768,"AAAAAHbfPrA=")</f>
        <v>#VALUE!</v>
      </c>
      <c r="FV363" t="e">
        <f>AND('STERLING CATALOG - FZN &amp; CHILL'!C2768,"AAAAAHbfPrE=")</f>
        <v>#VALUE!</v>
      </c>
      <c r="FW363" t="e">
        <f>AND('STERLING CATALOG - FZN &amp; CHILL'!D2768,"AAAAAHbfPrI=")</f>
        <v>#VALUE!</v>
      </c>
      <c r="FX363" t="e">
        <f>AND('STERLING CATALOG - FZN &amp; CHILL'!E2768,"AAAAAHbfPrM=")</f>
        <v>#VALUE!</v>
      </c>
      <c r="FY363" t="e">
        <f>AND('STERLING CATALOG - FZN &amp; CHILL'!F2768,"AAAAAHbfPrQ=")</f>
        <v>#VALUE!</v>
      </c>
      <c r="FZ363" t="e">
        <f>AND('STERLING CATALOG - FZN &amp; CHILL'!G2768,"AAAAAHbfPrU=")</f>
        <v>#VALUE!</v>
      </c>
      <c r="GA363" t="e">
        <f>AND('STERLING CATALOG - FZN &amp; CHILL'!H2768,"AAAAAHbfPrY=")</f>
        <v>#VALUE!</v>
      </c>
      <c r="GB363" t="e">
        <f>AND('STERLING CATALOG - FZN &amp; CHILL'!I2768,"AAAAAHbfPrc=")</f>
        <v>#VALUE!</v>
      </c>
      <c r="GC363" t="e">
        <f>AND('STERLING CATALOG - FZN &amp; CHILL'!J2768,"AAAAAHbfPrg=")</f>
        <v>#VALUE!</v>
      </c>
      <c r="GD363">
        <f>IF('STERLING CATALOG - FZN &amp; CHILL'!2769:2769,"AAAAAHbfPrk=",0)</f>
        <v>0</v>
      </c>
      <c r="GE363" t="e">
        <f>AND('STERLING CATALOG - FZN &amp; CHILL'!A2769,"AAAAAHbfPro=")</f>
        <v>#VALUE!</v>
      </c>
      <c r="GF363" t="e">
        <f>AND('STERLING CATALOG - FZN &amp; CHILL'!B2769,"AAAAAHbfPrs=")</f>
        <v>#VALUE!</v>
      </c>
      <c r="GG363" t="e">
        <f>AND('STERLING CATALOG - FZN &amp; CHILL'!C2769,"AAAAAHbfPrw=")</f>
        <v>#VALUE!</v>
      </c>
      <c r="GH363" t="e">
        <f>AND('STERLING CATALOG - FZN &amp; CHILL'!D2769,"AAAAAHbfPr0=")</f>
        <v>#VALUE!</v>
      </c>
      <c r="GI363" t="e">
        <f>AND('STERLING CATALOG - FZN &amp; CHILL'!E2769,"AAAAAHbfPr4=")</f>
        <v>#VALUE!</v>
      </c>
      <c r="GJ363" t="e">
        <f>AND('STERLING CATALOG - FZN &amp; CHILL'!F2769,"AAAAAHbfPr8=")</f>
        <v>#VALUE!</v>
      </c>
      <c r="GK363" t="e">
        <f>AND('STERLING CATALOG - FZN &amp; CHILL'!G2769,"AAAAAHbfPsA=")</f>
        <v>#VALUE!</v>
      </c>
      <c r="GL363" t="e">
        <f>AND('STERLING CATALOG - FZN &amp; CHILL'!H2769,"AAAAAHbfPsE=")</f>
        <v>#VALUE!</v>
      </c>
      <c r="GM363" t="e">
        <f>AND('STERLING CATALOG - FZN &amp; CHILL'!I2769,"AAAAAHbfPsI=")</f>
        <v>#VALUE!</v>
      </c>
      <c r="GN363" t="e">
        <f>AND('STERLING CATALOG - FZN &amp; CHILL'!J2769,"AAAAAHbfPsM=")</f>
        <v>#VALUE!</v>
      </c>
      <c r="GO363">
        <f>IF('STERLING CATALOG - FZN &amp; CHILL'!2770:2770,"AAAAAHbfPsQ=",0)</f>
        <v>0</v>
      </c>
      <c r="GP363" t="e">
        <f>AND('STERLING CATALOG - FZN &amp; CHILL'!A2770,"AAAAAHbfPsU=")</f>
        <v>#VALUE!</v>
      </c>
      <c r="GQ363" t="e">
        <f>AND('STERLING CATALOG - FZN &amp; CHILL'!B2770,"AAAAAHbfPsY=")</f>
        <v>#VALUE!</v>
      </c>
      <c r="GR363" t="e">
        <f>AND('STERLING CATALOG - FZN &amp; CHILL'!C2770,"AAAAAHbfPsc=")</f>
        <v>#VALUE!</v>
      </c>
      <c r="GS363" t="e">
        <f>AND('STERLING CATALOG - FZN &amp; CHILL'!D2770,"AAAAAHbfPsg=")</f>
        <v>#VALUE!</v>
      </c>
      <c r="GT363" t="e">
        <f>AND('STERLING CATALOG - FZN &amp; CHILL'!E2770,"AAAAAHbfPsk=")</f>
        <v>#VALUE!</v>
      </c>
      <c r="GU363" t="e">
        <f>AND('STERLING CATALOG - FZN &amp; CHILL'!F2770,"AAAAAHbfPso=")</f>
        <v>#VALUE!</v>
      </c>
      <c r="GV363" t="e">
        <f>AND('STERLING CATALOG - FZN &amp; CHILL'!G2770,"AAAAAHbfPss=")</f>
        <v>#VALUE!</v>
      </c>
      <c r="GW363" t="e">
        <f>AND('STERLING CATALOG - FZN &amp; CHILL'!H2770,"AAAAAHbfPsw=")</f>
        <v>#VALUE!</v>
      </c>
      <c r="GX363" t="e">
        <f>AND('STERLING CATALOG - FZN &amp; CHILL'!I2770,"AAAAAHbfPs0=")</f>
        <v>#VALUE!</v>
      </c>
      <c r="GY363" t="e">
        <f>AND('STERLING CATALOG - FZN &amp; CHILL'!J2770,"AAAAAHbfPs4=")</f>
        <v>#VALUE!</v>
      </c>
      <c r="GZ363">
        <f>IF('STERLING CATALOG - FZN &amp; CHILL'!2771:2771,"AAAAAHbfPs8=",0)</f>
        <v>0</v>
      </c>
      <c r="HA363" t="e">
        <f>AND('STERLING CATALOG - FZN &amp; CHILL'!A2771,"AAAAAHbfPtA=")</f>
        <v>#VALUE!</v>
      </c>
      <c r="HB363" t="e">
        <f>AND('STERLING CATALOG - FZN &amp; CHILL'!B2771,"AAAAAHbfPtE=")</f>
        <v>#VALUE!</v>
      </c>
      <c r="HC363" t="e">
        <f>AND('STERLING CATALOG - FZN &amp; CHILL'!C2771,"AAAAAHbfPtI=")</f>
        <v>#VALUE!</v>
      </c>
      <c r="HD363" t="e">
        <f>AND('STERLING CATALOG - FZN &amp; CHILL'!D2771,"AAAAAHbfPtM=")</f>
        <v>#VALUE!</v>
      </c>
      <c r="HE363" t="e">
        <f>AND('STERLING CATALOG - FZN &amp; CHILL'!E2771,"AAAAAHbfPtQ=")</f>
        <v>#VALUE!</v>
      </c>
      <c r="HF363" t="e">
        <f>AND('STERLING CATALOG - FZN &amp; CHILL'!F2771,"AAAAAHbfPtU=")</f>
        <v>#VALUE!</v>
      </c>
      <c r="HG363" t="e">
        <f>AND('STERLING CATALOG - FZN &amp; CHILL'!G2771,"AAAAAHbfPtY=")</f>
        <v>#VALUE!</v>
      </c>
      <c r="HH363" t="e">
        <f>AND('STERLING CATALOG - FZN &amp; CHILL'!H2771,"AAAAAHbfPtc=")</f>
        <v>#VALUE!</v>
      </c>
      <c r="HI363" t="e">
        <f>AND('STERLING CATALOG - FZN &amp; CHILL'!I2771,"AAAAAHbfPtg=")</f>
        <v>#VALUE!</v>
      </c>
      <c r="HJ363" t="e">
        <f>AND('STERLING CATALOG - FZN &amp; CHILL'!J2771,"AAAAAHbfPtk=")</f>
        <v>#VALUE!</v>
      </c>
      <c r="HK363">
        <f>IF('STERLING CATALOG - FZN &amp; CHILL'!2772:2772,"AAAAAHbfPto=",0)</f>
        <v>0</v>
      </c>
      <c r="HL363" t="e">
        <f>AND('STERLING CATALOG - FZN &amp; CHILL'!A2772,"AAAAAHbfPts=")</f>
        <v>#VALUE!</v>
      </c>
      <c r="HM363" t="e">
        <f>AND('STERLING CATALOG - FZN &amp; CHILL'!B2772,"AAAAAHbfPtw=")</f>
        <v>#VALUE!</v>
      </c>
      <c r="HN363" t="e">
        <f>AND('STERLING CATALOG - FZN &amp; CHILL'!C2772,"AAAAAHbfPt0=")</f>
        <v>#VALUE!</v>
      </c>
      <c r="HO363" t="e">
        <f>AND('STERLING CATALOG - FZN &amp; CHILL'!D2772,"AAAAAHbfPt4=")</f>
        <v>#VALUE!</v>
      </c>
      <c r="HP363" t="e">
        <f>AND('STERLING CATALOG - FZN &amp; CHILL'!E2772,"AAAAAHbfPt8=")</f>
        <v>#VALUE!</v>
      </c>
      <c r="HQ363" t="e">
        <f>AND('STERLING CATALOG - FZN &amp; CHILL'!F2772,"AAAAAHbfPuA=")</f>
        <v>#VALUE!</v>
      </c>
      <c r="HR363" t="e">
        <f>AND('STERLING CATALOG - FZN &amp; CHILL'!G2772,"AAAAAHbfPuE=")</f>
        <v>#VALUE!</v>
      </c>
      <c r="HS363" t="e">
        <f>AND('STERLING CATALOG - FZN &amp; CHILL'!H2772,"AAAAAHbfPuI=")</f>
        <v>#VALUE!</v>
      </c>
      <c r="HT363" t="e">
        <f>AND('STERLING CATALOG - FZN &amp; CHILL'!I2772,"AAAAAHbfPuM=")</f>
        <v>#VALUE!</v>
      </c>
      <c r="HU363" t="e">
        <f>AND('STERLING CATALOG - FZN &amp; CHILL'!J2772,"AAAAAHbfPuQ=")</f>
        <v>#VALUE!</v>
      </c>
      <c r="HV363">
        <f>IF('STERLING CATALOG - FZN &amp; CHILL'!2773:2773,"AAAAAHbfPuU=",0)</f>
        <v>0</v>
      </c>
      <c r="HW363" t="e">
        <f>AND('STERLING CATALOG - FZN &amp; CHILL'!A2773,"AAAAAHbfPuY=")</f>
        <v>#VALUE!</v>
      </c>
      <c r="HX363" t="e">
        <f>AND('STERLING CATALOG - FZN &amp; CHILL'!B2773,"AAAAAHbfPuc=")</f>
        <v>#VALUE!</v>
      </c>
      <c r="HY363" t="e">
        <f>AND('STERLING CATALOG - FZN &amp; CHILL'!C2773,"AAAAAHbfPug=")</f>
        <v>#VALUE!</v>
      </c>
      <c r="HZ363" t="e">
        <f>AND('STERLING CATALOG - FZN &amp; CHILL'!D2773,"AAAAAHbfPuk=")</f>
        <v>#VALUE!</v>
      </c>
      <c r="IA363" t="e">
        <f>AND('STERLING CATALOG - FZN &amp; CHILL'!E2773,"AAAAAHbfPuo=")</f>
        <v>#VALUE!</v>
      </c>
      <c r="IB363" t="e">
        <f>AND('STERLING CATALOG - FZN &amp; CHILL'!F2773,"AAAAAHbfPus=")</f>
        <v>#VALUE!</v>
      </c>
      <c r="IC363" t="e">
        <f>AND('STERLING CATALOG - FZN &amp; CHILL'!G2773,"AAAAAHbfPuw=")</f>
        <v>#VALUE!</v>
      </c>
      <c r="ID363" t="e">
        <f>AND('STERLING CATALOG - FZN &amp; CHILL'!H2773,"AAAAAHbfPu0=")</f>
        <v>#VALUE!</v>
      </c>
      <c r="IE363" t="e">
        <f>AND('STERLING CATALOG - FZN &amp; CHILL'!I2773,"AAAAAHbfPu4=")</f>
        <v>#VALUE!</v>
      </c>
      <c r="IF363" t="e">
        <f>AND('STERLING CATALOG - FZN &amp; CHILL'!J2773,"AAAAAHbfPu8=")</f>
        <v>#VALUE!</v>
      </c>
      <c r="IG363">
        <f>IF('STERLING CATALOG - FZN &amp; CHILL'!2774:2774,"AAAAAHbfPvA=",0)</f>
        <v>0</v>
      </c>
      <c r="IH363" t="e">
        <f>AND('STERLING CATALOG - FZN &amp; CHILL'!A2774,"AAAAAHbfPvE=")</f>
        <v>#VALUE!</v>
      </c>
      <c r="II363" t="e">
        <f>AND('STERLING CATALOG - FZN &amp; CHILL'!B2774,"AAAAAHbfPvI=")</f>
        <v>#VALUE!</v>
      </c>
      <c r="IJ363" t="e">
        <f>AND('STERLING CATALOG - FZN &amp; CHILL'!C2774,"AAAAAHbfPvM=")</f>
        <v>#VALUE!</v>
      </c>
      <c r="IK363" t="e">
        <f>AND('STERLING CATALOG - FZN &amp; CHILL'!D2774,"AAAAAHbfPvQ=")</f>
        <v>#VALUE!</v>
      </c>
      <c r="IL363" t="e">
        <f>AND('STERLING CATALOG - FZN &amp; CHILL'!E2774,"AAAAAHbfPvU=")</f>
        <v>#VALUE!</v>
      </c>
      <c r="IM363" t="e">
        <f>AND('STERLING CATALOG - FZN &amp; CHILL'!F2774,"AAAAAHbfPvY=")</f>
        <v>#VALUE!</v>
      </c>
      <c r="IN363" t="e">
        <f>AND('STERLING CATALOG - FZN &amp; CHILL'!G2774,"AAAAAHbfPvc=")</f>
        <v>#VALUE!</v>
      </c>
      <c r="IO363" t="e">
        <f>AND('STERLING CATALOG - FZN &amp; CHILL'!H2774,"AAAAAHbfPvg=")</f>
        <v>#VALUE!</v>
      </c>
      <c r="IP363" t="e">
        <f>AND('STERLING CATALOG - FZN &amp; CHILL'!I2774,"AAAAAHbfPvk=")</f>
        <v>#VALUE!</v>
      </c>
      <c r="IQ363" t="e">
        <f>AND('STERLING CATALOG - FZN &amp; CHILL'!J2774,"AAAAAHbfPvo=")</f>
        <v>#VALUE!</v>
      </c>
      <c r="IR363">
        <f>IF('STERLING CATALOG - FZN &amp; CHILL'!2775:2775,"AAAAAHbfPvs=",0)</f>
        <v>0</v>
      </c>
      <c r="IS363" t="e">
        <f>AND('STERLING CATALOG - FZN &amp; CHILL'!A2775,"AAAAAHbfPvw=")</f>
        <v>#VALUE!</v>
      </c>
      <c r="IT363" t="e">
        <f>AND('STERLING CATALOG - FZN &amp; CHILL'!B2775,"AAAAAHbfPv0=")</f>
        <v>#VALUE!</v>
      </c>
      <c r="IU363" t="e">
        <f>AND('STERLING CATALOG - FZN &amp; CHILL'!C2775,"AAAAAHbfPv4=")</f>
        <v>#VALUE!</v>
      </c>
      <c r="IV363" t="e">
        <f>AND('STERLING CATALOG - FZN &amp; CHILL'!D2775,"AAAAAHbfPv8=")</f>
        <v>#VALUE!</v>
      </c>
    </row>
    <row r="364" spans="1:256">
      <c r="A364" t="e">
        <f>AND('STERLING CATALOG - FZN &amp; CHILL'!E2775,"AAAAAD29sgA=")</f>
        <v>#VALUE!</v>
      </c>
      <c r="B364" t="e">
        <f>AND('STERLING CATALOG - FZN &amp; CHILL'!F2775,"AAAAAD29sgE=")</f>
        <v>#VALUE!</v>
      </c>
      <c r="C364" t="e">
        <f>AND('STERLING CATALOG - FZN &amp; CHILL'!G2775,"AAAAAD29sgI=")</f>
        <v>#VALUE!</v>
      </c>
      <c r="D364" t="e">
        <f>AND('STERLING CATALOG - FZN &amp; CHILL'!H2775,"AAAAAD29sgM=")</f>
        <v>#VALUE!</v>
      </c>
      <c r="E364" t="e">
        <f>AND('STERLING CATALOG - FZN &amp; CHILL'!I2775,"AAAAAD29sgQ=")</f>
        <v>#VALUE!</v>
      </c>
      <c r="F364" t="e">
        <f>AND('STERLING CATALOG - FZN &amp; CHILL'!J2775,"AAAAAD29sgU=")</f>
        <v>#VALUE!</v>
      </c>
      <c r="G364" t="str">
        <f>IF('STERLING CATALOG - FZN &amp; CHILL'!2776:2776,"AAAAAD29sgY=",0)</f>
        <v>AAAAAD29sgY=</v>
      </c>
      <c r="H364" t="e">
        <f>AND('STERLING CATALOG - FZN &amp; CHILL'!A2776,"AAAAAD29sgc=")</f>
        <v>#VALUE!</v>
      </c>
      <c r="I364" t="e">
        <f>AND('STERLING CATALOG - FZN &amp; CHILL'!B2776,"AAAAAD29sgg=")</f>
        <v>#VALUE!</v>
      </c>
      <c r="J364" t="e">
        <f>AND('STERLING CATALOG - FZN &amp; CHILL'!C2776,"AAAAAD29sgk=")</f>
        <v>#VALUE!</v>
      </c>
      <c r="K364" t="e">
        <f>AND('STERLING CATALOG - FZN &amp; CHILL'!D2776,"AAAAAD29sgo=")</f>
        <v>#VALUE!</v>
      </c>
      <c r="L364" t="e">
        <f>AND('STERLING CATALOG - FZN &amp; CHILL'!E2776,"AAAAAD29sgs=")</f>
        <v>#VALUE!</v>
      </c>
      <c r="M364" t="e">
        <f>AND('STERLING CATALOG - FZN &amp; CHILL'!F2776,"AAAAAD29sgw=")</f>
        <v>#VALUE!</v>
      </c>
      <c r="N364" t="e">
        <f>AND('STERLING CATALOG - FZN &amp; CHILL'!G2776,"AAAAAD29sg0=")</f>
        <v>#VALUE!</v>
      </c>
      <c r="O364" t="e">
        <f>AND('STERLING CATALOG - FZN &amp; CHILL'!H2776,"AAAAAD29sg4=")</f>
        <v>#VALUE!</v>
      </c>
      <c r="P364" t="e">
        <f>AND('STERLING CATALOG - FZN &amp; CHILL'!I2776,"AAAAAD29sg8=")</f>
        <v>#VALUE!</v>
      </c>
      <c r="Q364" t="e">
        <f>AND('STERLING CATALOG - FZN &amp; CHILL'!J2776,"AAAAAD29shA=")</f>
        <v>#VALUE!</v>
      </c>
      <c r="R364">
        <f>IF('STERLING CATALOG - FZN &amp; CHILL'!2777:2777,"AAAAAD29shE=",0)</f>
        <v>0</v>
      </c>
      <c r="S364" t="e">
        <f>AND('STERLING CATALOG - FZN &amp; CHILL'!A2777,"AAAAAD29shI=")</f>
        <v>#VALUE!</v>
      </c>
      <c r="T364" t="e">
        <f>AND('STERLING CATALOG - FZN &amp; CHILL'!B2777,"AAAAAD29shM=")</f>
        <v>#VALUE!</v>
      </c>
      <c r="U364" t="e">
        <f>AND('STERLING CATALOG - FZN &amp; CHILL'!C2777,"AAAAAD29shQ=")</f>
        <v>#VALUE!</v>
      </c>
      <c r="V364" t="e">
        <f>AND('STERLING CATALOG - FZN &amp; CHILL'!D2777,"AAAAAD29shU=")</f>
        <v>#VALUE!</v>
      </c>
      <c r="W364" t="e">
        <f>AND('STERLING CATALOG - FZN &amp; CHILL'!E2777,"AAAAAD29shY=")</f>
        <v>#VALUE!</v>
      </c>
      <c r="X364" t="e">
        <f>AND('STERLING CATALOG - FZN &amp; CHILL'!F2777,"AAAAAD29shc=")</f>
        <v>#VALUE!</v>
      </c>
      <c r="Y364" t="e">
        <f>AND('STERLING CATALOG - FZN &amp; CHILL'!G2777,"AAAAAD29shg=")</f>
        <v>#VALUE!</v>
      </c>
      <c r="Z364" t="e">
        <f>AND('STERLING CATALOG - FZN &amp; CHILL'!H2777,"AAAAAD29shk=")</f>
        <v>#VALUE!</v>
      </c>
      <c r="AA364" t="e">
        <f>AND('STERLING CATALOG - FZN &amp; CHILL'!I2777,"AAAAAD29sho=")</f>
        <v>#VALUE!</v>
      </c>
      <c r="AB364" t="e">
        <f>AND('STERLING CATALOG - FZN &amp; CHILL'!J2777,"AAAAAD29shs=")</f>
        <v>#VALUE!</v>
      </c>
      <c r="AC364">
        <f>IF('STERLING CATALOG - FZN &amp; CHILL'!2778:2778,"AAAAAD29shw=",0)</f>
        <v>0</v>
      </c>
      <c r="AD364" t="e">
        <f>AND('STERLING CATALOG - FZN &amp; CHILL'!A2778,"AAAAAD29sh0=")</f>
        <v>#VALUE!</v>
      </c>
      <c r="AE364" t="e">
        <f>AND('STERLING CATALOG - FZN &amp; CHILL'!B2778,"AAAAAD29sh4=")</f>
        <v>#VALUE!</v>
      </c>
      <c r="AF364" t="e">
        <f>AND('STERLING CATALOG - FZN &amp; CHILL'!C2778,"AAAAAD29sh8=")</f>
        <v>#VALUE!</v>
      </c>
      <c r="AG364" t="e">
        <f>AND('STERLING CATALOG - FZN &amp; CHILL'!D2778,"AAAAAD29siA=")</f>
        <v>#VALUE!</v>
      </c>
      <c r="AH364" t="e">
        <f>AND('STERLING CATALOG - FZN &amp; CHILL'!E2778,"AAAAAD29siE=")</f>
        <v>#VALUE!</v>
      </c>
      <c r="AI364" t="e">
        <f>AND('STERLING CATALOG - FZN &amp; CHILL'!F2778,"AAAAAD29siI=")</f>
        <v>#VALUE!</v>
      </c>
      <c r="AJ364" t="e">
        <f>AND('STERLING CATALOG - FZN &amp; CHILL'!G2778,"AAAAAD29siM=")</f>
        <v>#VALUE!</v>
      </c>
      <c r="AK364" t="e">
        <f>AND('STERLING CATALOG - FZN &amp; CHILL'!H2778,"AAAAAD29siQ=")</f>
        <v>#VALUE!</v>
      </c>
      <c r="AL364" t="e">
        <f>AND('STERLING CATALOG - FZN &amp; CHILL'!I2778,"AAAAAD29siU=")</f>
        <v>#VALUE!</v>
      </c>
      <c r="AM364" t="e">
        <f>AND('STERLING CATALOG - FZN &amp; CHILL'!J2778,"AAAAAD29siY=")</f>
        <v>#VALUE!</v>
      </c>
      <c r="AN364">
        <f>IF('STERLING CATALOG - FZN &amp; CHILL'!2779:2779,"AAAAAD29sic=",0)</f>
        <v>0</v>
      </c>
      <c r="AO364" t="e">
        <f>AND('STERLING CATALOG - FZN &amp; CHILL'!A2779,"AAAAAD29sig=")</f>
        <v>#VALUE!</v>
      </c>
      <c r="AP364" t="e">
        <f>AND('STERLING CATALOG - FZN &amp; CHILL'!B2779,"AAAAAD29sik=")</f>
        <v>#VALUE!</v>
      </c>
      <c r="AQ364" t="e">
        <f>AND('STERLING CATALOG - FZN &amp; CHILL'!C2779,"AAAAAD29sio=")</f>
        <v>#VALUE!</v>
      </c>
      <c r="AR364" t="e">
        <f>AND('STERLING CATALOG - FZN &amp; CHILL'!D2779,"AAAAAD29sis=")</f>
        <v>#VALUE!</v>
      </c>
      <c r="AS364" t="e">
        <f>AND('STERLING CATALOG - FZN &amp; CHILL'!E2779,"AAAAAD29siw=")</f>
        <v>#VALUE!</v>
      </c>
      <c r="AT364" t="e">
        <f>AND('STERLING CATALOG - FZN &amp; CHILL'!F2779,"AAAAAD29si0=")</f>
        <v>#VALUE!</v>
      </c>
      <c r="AU364" t="e">
        <f>AND('STERLING CATALOG - FZN &amp; CHILL'!G2779,"AAAAAD29si4=")</f>
        <v>#VALUE!</v>
      </c>
      <c r="AV364" t="e">
        <f>AND('STERLING CATALOG - FZN &amp; CHILL'!H2779,"AAAAAD29si8=")</f>
        <v>#VALUE!</v>
      </c>
      <c r="AW364" t="e">
        <f>AND('STERLING CATALOG - FZN &amp; CHILL'!I2779,"AAAAAD29sjA=")</f>
        <v>#VALUE!</v>
      </c>
      <c r="AX364" t="e">
        <f>AND('STERLING CATALOG - FZN &amp; CHILL'!J2779,"AAAAAD29sjE=")</f>
        <v>#VALUE!</v>
      </c>
      <c r="AY364">
        <f>IF('STERLING CATALOG - FZN &amp; CHILL'!2780:2780,"AAAAAD29sjI=",0)</f>
        <v>0</v>
      </c>
      <c r="AZ364" t="e">
        <f>AND('STERLING CATALOG - FZN &amp; CHILL'!A2780,"AAAAAD29sjM=")</f>
        <v>#VALUE!</v>
      </c>
      <c r="BA364" t="e">
        <f>AND('STERLING CATALOG - FZN &amp; CHILL'!B2780,"AAAAAD29sjQ=")</f>
        <v>#VALUE!</v>
      </c>
      <c r="BB364" t="e">
        <f>AND('STERLING CATALOG - FZN &amp; CHILL'!C2780,"AAAAAD29sjU=")</f>
        <v>#VALUE!</v>
      </c>
      <c r="BC364" t="e">
        <f>AND('STERLING CATALOG - FZN &amp; CHILL'!D2780,"AAAAAD29sjY=")</f>
        <v>#VALUE!</v>
      </c>
      <c r="BD364" t="e">
        <f>AND('STERLING CATALOG - FZN &amp; CHILL'!E2780,"AAAAAD29sjc=")</f>
        <v>#VALUE!</v>
      </c>
      <c r="BE364" t="e">
        <f>AND('STERLING CATALOG - FZN &amp; CHILL'!F2780,"AAAAAD29sjg=")</f>
        <v>#VALUE!</v>
      </c>
      <c r="BF364" t="e">
        <f>AND('STERLING CATALOG - FZN &amp; CHILL'!G2780,"AAAAAD29sjk=")</f>
        <v>#VALUE!</v>
      </c>
      <c r="BG364" t="e">
        <f>AND('STERLING CATALOG - FZN &amp; CHILL'!H2780,"AAAAAD29sjo=")</f>
        <v>#VALUE!</v>
      </c>
      <c r="BH364" t="e">
        <f>AND('STERLING CATALOG - FZN &amp; CHILL'!I2780,"AAAAAD29sjs=")</f>
        <v>#VALUE!</v>
      </c>
      <c r="BI364" t="e">
        <f>AND('STERLING CATALOG - FZN &amp; CHILL'!J2780,"AAAAAD29sjw=")</f>
        <v>#VALUE!</v>
      </c>
      <c r="BJ364">
        <f>IF('STERLING CATALOG - FZN &amp; CHILL'!2781:2781,"AAAAAD29sj0=",0)</f>
        <v>0</v>
      </c>
      <c r="BK364" t="e">
        <f>AND('STERLING CATALOG - FZN &amp; CHILL'!A2781,"AAAAAD29sj4=")</f>
        <v>#VALUE!</v>
      </c>
      <c r="BL364" t="e">
        <f>AND('STERLING CATALOG - FZN &amp; CHILL'!B2781,"AAAAAD29sj8=")</f>
        <v>#VALUE!</v>
      </c>
      <c r="BM364" t="e">
        <f>AND('STERLING CATALOG - FZN &amp; CHILL'!C2781,"AAAAAD29skA=")</f>
        <v>#VALUE!</v>
      </c>
      <c r="BN364" t="e">
        <f>AND('STERLING CATALOG - FZN &amp; CHILL'!D2781,"AAAAAD29skE=")</f>
        <v>#VALUE!</v>
      </c>
      <c r="BO364" t="e">
        <f>AND('STERLING CATALOG - FZN &amp; CHILL'!E2781,"AAAAAD29skI=")</f>
        <v>#VALUE!</v>
      </c>
      <c r="BP364" t="e">
        <f>AND('STERLING CATALOG - FZN &amp; CHILL'!F2781,"AAAAAD29skM=")</f>
        <v>#VALUE!</v>
      </c>
      <c r="BQ364" t="e">
        <f>AND('STERLING CATALOG - FZN &amp; CHILL'!G2781,"AAAAAD29skQ=")</f>
        <v>#VALUE!</v>
      </c>
      <c r="BR364" t="e">
        <f>AND('STERLING CATALOG - FZN &amp; CHILL'!H2781,"AAAAAD29skU=")</f>
        <v>#VALUE!</v>
      </c>
      <c r="BS364" t="e">
        <f>AND('STERLING CATALOG - FZN &amp; CHILL'!I2781,"AAAAAD29skY=")</f>
        <v>#VALUE!</v>
      </c>
      <c r="BT364" t="e">
        <f>AND('STERLING CATALOG - FZN &amp; CHILL'!J2781,"AAAAAD29skc=")</f>
        <v>#VALUE!</v>
      </c>
      <c r="BU364">
        <f>IF('STERLING CATALOG - FZN &amp; CHILL'!2782:2782,"AAAAAD29skg=",0)</f>
        <v>0</v>
      </c>
      <c r="BV364" t="e">
        <f>AND('STERLING CATALOG - FZN &amp; CHILL'!A2782,"AAAAAD29skk=")</f>
        <v>#VALUE!</v>
      </c>
      <c r="BW364" t="e">
        <f>AND('STERLING CATALOG - FZN &amp; CHILL'!B2782,"AAAAAD29sko=")</f>
        <v>#VALUE!</v>
      </c>
      <c r="BX364" t="e">
        <f>AND('STERLING CATALOG - FZN &amp; CHILL'!C2782,"AAAAAD29sks=")</f>
        <v>#VALUE!</v>
      </c>
      <c r="BY364" t="e">
        <f>AND('STERLING CATALOG - FZN &amp; CHILL'!D2782,"AAAAAD29skw=")</f>
        <v>#VALUE!</v>
      </c>
      <c r="BZ364" t="e">
        <f>AND('STERLING CATALOG - FZN &amp; CHILL'!E2782,"AAAAAD29sk0=")</f>
        <v>#VALUE!</v>
      </c>
      <c r="CA364" t="e">
        <f>AND('STERLING CATALOG - FZN &amp; CHILL'!F2782,"AAAAAD29sk4=")</f>
        <v>#VALUE!</v>
      </c>
      <c r="CB364" t="e">
        <f>AND('STERLING CATALOG - FZN &amp; CHILL'!G2782,"AAAAAD29sk8=")</f>
        <v>#VALUE!</v>
      </c>
      <c r="CC364" t="e">
        <f>AND('STERLING CATALOG - FZN &amp; CHILL'!H2782,"AAAAAD29slA=")</f>
        <v>#VALUE!</v>
      </c>
      <c r="CD364" t="e">
        <f>AND('STERLING CATALOG - FZN &amp; CHILL'!I2782,"AAAAAD29slE=")</f>
        <v>#VALUE!</v>
      </c>
      <c r="CE364" t="e">
        <f>AND('STERLING CATALOG - FZN &amp; CHILL'!J2782,"AAAAAD29slI=")</f>
        <v>#VALUE!</v>
      </c>
      <c r="CF364">
        <f>IF('STERLING CATALOG - FZN &amp; CHILL'!2783:2783,"AAAAAD29slM=",0)</f>
        <v>0</v>
      </c>
      <c r="CG364" t="e">
        <f>AND('STERLING CATALOG - FZN &amp; CHILL'!A2783,"AAAAAD29slQ=")</f>
        <v>#VALUE!</v>
      </c>
      <c r="CH364" t="e">
        <f>AND('STERLING CATALOG - FZN &amp; CHILL'!B2783,"AAAAAD29slU=")</f>
        <v>#VALUE!</v>
      </c>
      <c r="CI364" t="e">
        <f>AND('STERLING CATALOG - FZN &amp; CHILL'!C2783,"AAAAAD29slY=")</f>
        <v>#VALUE!</v>
      </c>
      <c r="CJ364" t="e">
        <f>AND('STERLING CATALOG - FZN &amp; CHILL'!D2783,"AAAAAD29slc=")</f>
        <v>#VALUE!</v>
      </c>
      <c r="CK364" t="e">
        <f>AND('STERLING CATALOG - FZN &amp; CHILL'!E2783,"AAAAAD29slg=")</f>
        <v>#VALUE!</v>
      </c>
      <c r="CL364" t="e">
        <f>AND('STERLING CATALOG - FZN &amp; CHILL'!F2783,"AAAAAD29slk=")</f>
        <v>#VALUE!</v>
      </c>
      <c r="CM364" t="e">
        <f>AND('STERLING CATALOG - FZN &amp; CHILL'!G2783,"AAAAAD29slo=")</f>
        <v>#VALUE!</v>
      </c>
      <c r="CN364" t="e">
        <f>AND('STERLING CATALOG - FZN &amp; CHILL'!H2783,"AAAAAD29sls=")</f>
        <v>#VALUE!</v>
      </c>
      <c r="CO364" t="e">
        <f>AND('STERLING CATALOG - FZN &amp; CHILL'!I2783,"AAAAAD29slw=")</f>
        <v>#VALUE!</v>
      </c>
      <c r="CP364" t="e">
        <f>AND('STERLING CATALOG - FZN &amp; CHILL'!J2783,"AAAAAD29sl0=")</f>
        <v>#VALUE!</v>
      </c>
      <c r="CQ364">
        <f>IF('STERLING CATALOG - FZN &amp; CHILL'!2784:2784,"AAAAAD29sl4=",0)</f>
        <v>0</v>
      </c>
      <c r="CR364" t="e">
        <f>AND('STERLING CATALOG - FZN &amp; CHILL'!A2784,"AAAAAD29sl8=")</f>
        <v>#VALUE!</v>
      </c>
      <c r="CS364" t="e">
        <f>AND('STERLING CATALOG - FZN &amp; CHILL'!B2784,"AAAAAD29smA=")</f>
        <v>#VALUE!</v>
      </c>
      <c r="CT364" t="e">
        <f>AND('STERLING CATALOG - FZN &amp; CHILL'!C2784,"AAAAAD29smE=")</f>
        <v>#VALUE!</v>
      </c>
      <c r="CU364" t="e">
        <f>AND('STERLING CATALOG - FZN &amp; CHILL'!D2784,"AAAAAD29smI=")</f>
        <v>#VALUE!</v>
      </c>
      <c r="CV364" t="e">
        <f>AND('STERLING CATALOG - FZN &amp; CHILL'!E2784,"AAAAAD29smM=")</f>
        <v>#VALUE!</v>
      </c>
      <c r="CW364" t="e">
        <f>AND('STERLING CATALOG - FZN &amp; CHILL'!F2784,"AAAAAD29smQ=")</f>
        <v>#VALUE!</v>
      </c>
      <c r="CX364" t="e">
        <f>AND('STERLING CATALOG - FZN &amp; CHILL'!G2784,"AAAAAD29smU=")</f>
        <v>#VALUE!</v>
      </c>
      <c r="CY364" t="e">
        <f>AND('STERLING CATALOG - FZN &amp; CHILL'!H2784,"AAAAAD29smY=")</f>
        <v>#VALUE!</v>
      </c>
      <c r="CZ364" t="e">
        <f>AND('STERLING CATALOG - FZN &amp; CHILL'!I2784,"AAAAAD29smc=")</f>
        <v>#VALUE!</v>
      </c>
      <c r="DA364" t="e">
        <f>AND('STERLING CATALOG - FZN &amp; CHILL'!J2784,"AAAAAD29smg=")</f>
        <v>#VALUE!</v>
      </c>
      <c r="DB364">
        <f>IF('STERLING CATALOG - FZN &amp; CHILL'!2785:2785,"AAAAAD29smk=",0)</f>
        <v>0</v>
      </c>
      <c r="DC364" t="e">
        <f>AND('STERLING CATALOG - FZN &amp; CHILL'!A2785,"AAAAAD29smo=")</f>
        <v>#VALUE!</v>
      </c>
      <c r="DD364" t="e">
        <f>AND('STERLING CATALOG - FZN &amp; CHILL'!B2785,"AAAAAD29sms=")</f>
        <v>#VALUE!</v>
      </c>
      <c r="DE364" t="e">
        <f>AND('STERLING CATALOG - FZN &amp; CHILL'!C2785,"AAAAAD29smw=")</f>
        <v>#VALUE!</v>
      </c>
      <c r="DF364" t="e">
        <f>AND('STERLING CATALOG - FZN &amp; CHILL'!D2785,"AAAAAD29sm0=")</f>
        <v>#VALUE!</v>
      </c>
      <c r="DG364" t="e">
        <f>AND('STERLING CATALOG - FZN &amp; CHILL'!E2785,"AAAAAD29sm4=")</f>
        <v>#VALUE!</v>
      </c>
      <c r="DH364" t="e">
        <f>AND('STERLING CATALOG - FZN &amp; CHILL'!F2785,"AAAAAD29sm8=")</f>
        <v>#VALUE!</v>
      </c>
      <c r="DI364" t="e">
        <f>AND('STERLING CATALOG - FZN &amp; CHILL'!G2785,"AAAAAD29snA=")</f>
        <v>#VALUE!</v>
      </c>
      <c r="DJ364" t="e">
        <f>AND('STERLING CATALOG - FZN &amp; CHILL'!H2785,"AAAAAD29snE=")</f>
        <v>#VALUE!</v>
      </c>
      <c r="DK364" t="e">
        <f>AND('STERLING CATALOG - FZN &amp; CHILL'!I2785,"AAAAAD29snI=")</f>
        <v>#VALUE!</v>
      </c>
      <c r="DL364" t="e">
        <f>AND('STERLING CATALOG - FZN &amp; CHILL'!J2785,"AAAAAD29snM=")</f>
        <v>#VALUE!</v>
      </c>
      <c r="DM364">
        <f>IF('STERLING CATALOG - FZN &amp; CHILL'!2786:2786,"AAAAAD29snQ=",0)</f>
        <v>0</v>
      </c>
      <c r="DN364" t="e">
        <f>AND('STERLING CATALOG - FZN &amp; CHILL'!A2786,"AAAAAD29snU=")</f>
        <v>#VALUE!</v>
      </c>
      <c r="DO364" t="e">
        <f>AND('STERLING CATALOG - FZN &amp; CHILL'!B2786,"AAAAAD29snY=")</f>
        <v>#VALUE!</v>
      </c>
      <c r="DP364" t="e">
        <f>AND('STERLING CATALOG - FZN &amp; CHILL'!C2786,"AAAAAD29snc=")</f>
        <v>#VALUE!</v>
      </c>
      <c r="DQ364" t="e">
        <f>AND('STERLING CATALOG - FZN &amp; CHILL'!D2786,"AAAAAD29sng=")</f>
        <v>#VALUE!</v>
      </c>
      <c r="DR364" t="e">
        <f>AND('STERLING CATALOG - FZN &amp; CHILL'!E2786,"AAAAAD29snk=")</f>
        <v>#VALUE!</v>
      </c>
      <c r="DS364" t="e">
        <f>AND('STERLING CATALOG - FZN &amp; CHILL'!F2786,"AAAAAD29sno=")</f>
        <v>#VALUE!</v>
      </c>
      <c r="DT364" t="e">
        <f>AND('STERLING CATALOG - FZN &amp; CHILL'!G2786,"AAAAAD29sns=")</f>
        <v>#VALUE!</v>
      </c>
      <c r="DU364" t="e">
        <f>AND('STERLING CATALOG - FZN &amp; CHILL'!H2786,"AAAAAD29snw=")</f>
        <v>#VALUE!</v>
      </c>
      <c r="DV364" t="e">
        <f>AND('STERLING CATALOG - FZN &amp; CHILL'!I2786,"AAAAAD29sn0=")</f>
        <v>#VALUE!</v>
      </c>
      <c r="DW364" t="e">
        <f>AND('STERLING CATALOG - FZN &amp; CHILL'!J2786,"AAAAAD29sn4=")</f>
        <v>#VALUE!</v>
      </c>
      <c r="DX364">
        <f>IF('STERLING CATALOG - FZN &amp; CHILL'!2787:2787,"AAAAAD29sn8=",0)</f>
        <v>0</v>
      </c>
      <c r="DY364" t="e">
        <f>AND('STERLING CATALOG - FZN &amp; CHILL'!A2787,"AAAAAD29soA=")</f>
        <v>#VALUE!</v>
      </c>
      <c r="DZ364" t="e">
        <f>AND('STERLING CATALOG - FZN &amp; CHILL'!B2787,"AAAAAD29soE=")</f>
        <v>#VALUE!</v>
      </c>
      <c r="EA364" t="e">
        <f>AND('STERLING CATALOG - FZN &amp; CHILL'!C2787,"AAAAAD29soI=")</f>
        <v>#VALUE!</v>
      </c>
      <c r="EB364" t="e">
        <f>AND('STERLING CATALOG - FZN &amp; CHILL'!D2787,"AAAAAD29soM=")</f>
        <v>#VALUE!</v>
      </c>
      <c r="EC364" t="e">
        <f>AND('STERLING CATALOG - FZN &amp; CHILL'!E2787,"AAAAAD29soQ=")</f>
        <v>#VALUE!</v>
      </c>
      <c r="ED364" t="e">
        <f>AND('STERLING CATALOG - FZN &amp; CHILL'!F2787,"AAAAAD29soU=")</f>
        <v>#VALUE!</v>
      </c>
      <c r="EE364" t="e">
        <f>AND('STERLING CATALOG - FZN &amp; CHILL'!G2787,"AAAAAD29soY=")</f>
        <v>#VALUE!</v>
      </c>
      <c r="EF364" t="e">
        <f>AND('STERLING CATALOG - FZN &amp; CHILL'!H2787,"AAAAAD29soc=")</f>
        <v>#VALUE!</v>
      </c>
      <c r="EG364" t="e">
        <f>AND('STERLING CATALOG - FZN &amp; CHILL'!I2787,"AAAAAD29sog=")</f>
        <v>#VALUE!</v>
      </c>
      <c r="EH364" t="e">
        <f>AND('STERLING CATALOG - FZN &amp; CHILL'!J2787,"AAAAAD29sok=")</f>
        <v>#VALUE!</v>
      </c>
      <c r="EI364">
        <f>IF('STERLING CATALOG - FZN &amp; CHILL'!2788:2788,"AAAAAD29soo=",0)</f>
        <v>0</v>
      </c>
      <c r="EJ364" t="e">
        <f>AND('STERLING CATALOG - FZN &amp; CHILL'!A2788,"AAAAAD29sos=")</f>
        <v>#VALUE!</v>
      </c>
      <c r="EK364" t="e">
        <f>AND('STERLING CATALOG - FZN &amp; CHILL'!B2788,"AAAAAD29sow=")</f>
        <v>#VALUE!</v>
      </c>
      <c r="EL364" t="e">
        <f>AND('STERLING CATALOG - FZN &amp; CHILL'!C2788,"AAAAAD29so0=")</f>
        <v>#VALUE!</v>
      </c>
      <c r="EM364" t="e">
        <f>AND('STERLING CATALOG - FZN &amp; CHILL'!D2788,"AAAAAD29so4=")</f>
        <v>#VALUE!</v>
      </c>
      <c r="EN364" t="e">
        <f>AND('STERLING CATALOG - FZN &amp; CHILL'!E2788,"AAAAAD29so8=")</f>
        <v>#VALUE!</v>
      </c>
      <c r="EO364" t="e">
        <f>AND('STERLING CATALOG - FZN &amp; CHILL'!F2788,"AAAAAD29spA=")</f>
        <v>#VALUE!</v>
      </c>
      <c r="EP364" t="e">
        <f>AND('STERLING CATALOG - FZN &amp; CHILL'!G2788,"AAAAAD29spE=")</f>
        <v>#VALUE!</v>
      </c>
      <c r="EQ364" t="e">
        <f>AND('STERLING CATALOG - FZN &amp; CHILL'!H2788,"AAAAAD29spI=")</f>
        <v>#VALUE!</v>
      </c>
      <c r="ER364" t="e">
        <f>AND('STERLING CATALOG - FZN &amp; CHILL'!I2788,"AAAAAD29spM=")</f>
        <v>#VALUE!</v>
      </c>
      <c r="ES364" t="e">
        <f>AND('STERLING CATALOG - FZN &amp; CHILL'!J2788,"AAAAAD29spQ=")</f>
        <v>#VALUE!</v>
      </c>
      <c r="ET364">
        <f>IF('STERLING CATALOG - FZN &amp; CHILL'!2789:2789,"AAAAAD29spU=",0)</f>
        <v>0</v>
      </c>
      <c r="EU364" t="e">
        <f>AND('STERLING CATALOG - FZN &amp; CHILL'!A2789,"AAAAAD29spY=")</f>
        <v>#VALUE!</v>
      </c>
      <c r="EV364" t="e">
        <f>AND('STERLING CATALOG - FZN &amp; CHILL'!B2789,"AAAAAD29spc=")</f>
        <v>#VALUE!</v>
      </c>
      <c r="EW364" t="e">
        <f>AND('STERLING CATALOG - FZN &amp; CHILL'!C2789,"AAAAAD29spg=")</f>
        <v>#VALUE!</v>
      </c>
      <c r="EX364" t="e">
        <f>AND('STERLING CATALOG - FZN &amp; CHILL'!D2789,"AAAAAD29spk=")</f>
        <v>#VALUE!</v>
      </c>
      <c r="EY364" t="e">
        <f>AND('STERLING CATALOG - FZN &amp; CHILL'!E2789,"AAAAAD29spo=")</f>
        <v>#VALUE!</v>
      </c>
      <c r="EZ364" t="e">
        <f>AND('STERLING CATALOG - FZN &amp; CHILL'!F2789,"AAAAAD29sps=")</f>
        <v>#VALUE!</v>
      </c>
      <c r="FA364" t="e">
        <f>AND('STERLING CATALOG - FZN &amp; CHILL'!G2789,"AAAAAD29spw=")</f>
        <v>#VALUE!</v>
      </c>
      <c r="FB364" t="e">
        <f>AND('STERLING CATALOG - FZN &amp; CHILL'!H2789,"AAAAAD29sp0=")</f>
        <v>#VALUE!</v>
      </c>
      <c r="FC364" t="e">
        <f>AND('STERLING CATALOG - FZN &amp; CHILL'!I2789,"AAAAAD29sp4=")</f>
        <v>#VALUE!</v>
      </c>
      <c r="FD364" t="e">
        <f>AND('STERLING CATALOG - FZN &amp; CHILL'!J2789,"AAAAAD29sp8=")</f>
        <v>#VALUE!</v>
      </c>
      <c r="FE364">
        <f>IF('STERLING CATALOG - FZN &amp; CHILL'!2790:2790,"AAAAAD29sqA=",0)</f>
        <v>0</v>
      </c>
      <c r="FF364" t="e">
        <f>AND('STERLING CATALOG - FZN &amp; CHILL'!A2790,"AAAAAD29sqE=")</f>
        <v>#VALUE!</v>
      </c>
      <c r="FG364" t="e">
        <f>AND('STERLING CATALOG - FZN &amp; CHILL'!B2790,"AAAAAD29sqI=")</f>
        <v>#VALUE!</v>
      </c>
      <c r="FH364" t="e">
        <f>AND('STERLING CATALOG - FZN &amp; CHILL'!C2790,"AAAAAD29sqM=")</f>
        <v>#VALUE!</v>
      </c>
      <c r="FI364" t="e">
        <f>AND('STERLING CATALOG - FZN &amp; CHILL'!D2790,"AAAAAD29sqQ=")</f>
        <v>#VALUE!</v>
      </c>
      <c r="FJ364" t="e">
        <f>AND('STERLING CATALOG - FZN &amp; CHILL'!E2790,"AAAAAD29sqU=")</f>
        <v>#VALUE!</v>
      </c>
      <c r="FK364" t="e">
        <f>AND('STERLING CATALOG - FZN &amp; CHILL'!F2790,"AAAAAD29sqY=")</f>
        <v>#VALUE!</v>
      </c>
      <c r="FL364" t="e">
        <f>AND('STERLING CATALOG - FZN &amp; CHILL'!G2790,"AAAAAD29sqc=")</f>
        <v>#VALUE!</v>
      </c>
      <c r="FM364" t="e">
        <f>AND('STERLING CATALOG - FZN &amp; CHILL'!H2790,"AAAAAD29sqg=")</f>
        <v>#VALUE!</v>
      </c>
      <c r="FN364" t="e">
        <f>AND('STERLING CATALOG - FZN &amp; CHILL'!I2790,"AAAAAD29sqk=")</f>
        <v>#VALUE!</v>
      </c>
      <c r="FO364" t="e">
        <f>AND('STERLING CATALOG - FZN &amp; CHILL'!J2790,"AAAAAD29sqo=")</f>
        <v>#VALUE!</v>
      </c>
      <c r="FP364">
        <f>IF('STERLING CATALOG - FZN &amp; CHILL'!2791:2791,"AAAAAD29sqs=",0)</f>
        <v>0</v>
      </c>
      <c r="FQ364" t="e">
        <f>AND('STERLING CATALOG - FZN &amp; CHILL'!A2791,"AAAAAD29sqw=")</f>
        <v>#VALUE!</v>
      </c>
      <c r="FR364" t="e">
        <f>AND('STERLING CATALOG - FZN &amp; CHILL'!B2791,"AAAAAD29sq0=")</f>
        <v>#VALUE!</v>
      </c>
      <c r="FS364" t="e">
        <f>AND('STERLING CATALOG - FZN &amp; CHILL'!C2791,"AAAAAD29sq4=")</f>
        <v>#VALUE!</v>
      </c>
      <c r="FT364" t="e">
        <f>AND('STERLING CATALOG - FZN &amp; CHILL'!D2791,"AAAAAD29sq8=")</f>
        <v>#VALUE!</v>
      </c>
      <c r="FU364" t="e">
        <f>AND('STERLING CATALOG - FZN &amp; CHILL'!E2791,"AAAAAD29srA=")</f>
        <v>#VALUE!</v>
      </c>
      <c r="FV364" t="e">
        <f>AND('STERLING CATALOG - FZN &amp; CHILL'!F2791,"AAAAAD29srE=")</f>
        <v>#VALUE!</v>
      </c>
      <c r="FW364" t="e">
        <f>AND('STERLING CATALOG - FZN &amp; CHILL'!G2791,"AAAAAD29srI=")</f>
        <v>#VALUE!</v>
      </c>
      <c r="FX364" t="e">
        <f>AND('STERLING CATALOG - FZN &amp; CHILL'!H2791,"AAAAAD29srM=")</f>
        <v>#VALUE!</v>
      </c>
      <c r="FY364" t="e">
        <f>AND('STERLING CATALOG - FZN &amp; CHILL'!I2791,"AAAAAD29srQ=")</f>
        <v>#VALUE!</v>
      </c>
      <c r="FZ364" t="e">
        <f>AND('STERLING CATALOG - FZN &amp; CHILL'!J2791,"AAAAAD29srU=")</f>
        <v>#VALUE!</v>
      </c>
      <c r="GA364">
        <f>IF('STERLING CATALOG - FZN &amp; CHILL'!2792:2792,"AAAAAD29srY=",0)</f>
        <v>0</v>
      </c>
      <c r="GB364" t="e">
        <f>AND('STERLING CATALOG - FZN &amp; CHILL'!A2792,"AAAAAD29src=")</f>
        <v>#VALUE!</v>
      </c>
      <c r="GC364" t="e">
        <f>AND('STERLING CATALOG - FZN &amp; CHILL'!B2792,"AAAAAD29srg=")</f>
        <v>#VALUE!</v>
      </c>
      <c r="GD364" t="e">
        <f>AND('STERLING CATALOG - FZN &amp; CHILL'!C2792,"AAAAAD29srk=")</f>
        <v>#VALUE!</v>
      </c>
      <c r="GE364" t="e">
        <f>AND('STERLING CATALOG - FZN &amp; CHILL'!D2792,"AAAAAD29sro=")</f>
        <v>#VALUE!</v>
      </c>
      <c r="GF364" t="e">
        <f>AND('STERLING CATALOG - FZN &amp; CHILL'!E2792,"AAAAAD29srs=")</f>
        <v>#VALUE!</v>
      </c>
      <c r="GG364" t="e">
        <f>AND('STERLING CATALOG - FZN &amp; CHILL'!F2792,"AAAAAD29srw=")</f>
        <v>#VALUE!</v>
      </c>
      <c r="GH364" t="e">
        <f>AND('STERLING CATALOG - FZN &amp; CHILL'!G2792,"AAAAAD29sr0=")</f>
        <v>#VALUE!</v>
      </c>
      <c r="GI364" t="e">
        <f>AND('STERLING CATALOG - FZN &amp; CHILL'!H2792,"AAAAAD29sr4=")</f>
        <v>#VALUE!</v>
      </c>
      <c r="GJ364" t="e">
        <f>AND('STERLING CATALOG - FZN &amp; CHILL'!I2792,"AAAAAD29sr8=")</f>
        <v>#VALUE!</v>
      </c>
      <c r="GK364" t="e">
        <f>AND('STERLING CATALOG - FZN &amp; CHILL'!J2792,"AAAAAD29ssA=")</f>
        <v>#VALUE!</v>
      </c>
      <c r="GL364">
        <f>IF('STERLING CATALOG - FZN &amp; CHILL'!2793:2793,"AAAAAD29ssE=",0)</f>
        <v>0</v>
      </c>
      <c r="GM364" t="e">
        <f>AND('STERLING CATALOG - FZN &amp; CHILL'!A2793,"AAAAAD29ssI=")</f>
        <v>#VALUE!</v>
      </c>
      <c r="GN364" t="e">
        <f>AND('STERLING CATALOG - FZN &amp; CHILL'!B2793,"AAAAAD29ssM=")</f>
        <v>#VALUE!</v>
      </c>
      <c r="GO364" t="e">
        <f>AND('STERLING CATALOG - FZN &amp; CHILL'!C2793,"AAAAAD29ssQ=")</f>
        <v>#VALUE!</v>
      </c>
      <c r="GP364" t="e">
        <f>AND('STERLING CATALOG - FZN &amp; CHILL'!D2793,"AAAAAD29ssU=")</f>
        <v>#VALUE!</v>
      </c>
      <c r="GQ364" t="e">
        <f>AND('STERLING CATALOG - FZN &amp; CHILL'!E2793,"AAAAAD29ssY=")</f>
        <v>#VALUE!</v>
      </c>
      <c r="GR364" t="e">
        <f>AND('STERLING CATALOG - FZN &amp; CHILL'!F2793,"AAAAAD29ssc=")</f>
        <v>#VALUE!</v>
      </c>
      <c r="GS364" t="e">
        <f>AND('STERLING CATALOG - FZN &amp; CHILL'!G2793,"AAAAAD29ssg=")</f>
        <v>#VALUE!</v>
      </c>
      <c r="GT364" t="e">
        <f>AND('STERLING CATALOG - FZN &amp; CHILL'!H2793,"AAAAAD29ssk=")</f>
        <v>#VALUE!</v>
      </c>
      <c r="GU364" t="e">
        <f>AND('STERLING CATALOG - FZN &amp; CHILL'!I2793,"AAAAAD29sso=")</f>
        <v>#VALUE!</v>
      </c>
      <c r="GV364" t="e">
        <f>AND('STERLING CATALOG - FZN &amp; CHILL'!J2793,"AAAAAD29sss=")</f>
        <v>#VALUE!</v>
      </c>
      <c r="GW364">
        <f>IF('STERLING CATALOG - FZN &amp; CHILL'!2794:2794,"AAAAAD29ssw=",0)</f>
        <v>0</v>
      </c>
      <c r="GX364" t="e">
        <f>AND('STERLING CATALOG - FZN &amp; CHILL'!A2794,"AAAAAD29ss0=")</f>
        <v>#VALUE!</v>
      </c>
      <c r="GY364" t="e">
        <f>AND('STERLING CATALOG - FZN &amp; CHILL'!B2794,"AAAAAD29ss4=")</f>
        <v>#VALUE!</v>
      </c>
      <c r="GZ364" t="e">
        <f>AND('STERLING CATALOG - FZN &amp; CHILL'!C2794,"AAAAAD29ss8=")</f>
        <v>#VALUE!</v>
      </c>
      <c r="HA364" t="e">
        <f>AND('STERLING CATALOG - FZN &amp; CHILL'!D2794,"AAAAAD29stA=")</f>
        <v>#VALUE!</v>
      </c>
      <c r="HB364" t="e">
        <f>AND('STERLING CATALOG - FZN &amp; CHILL'!E2794,"AAAAAD29stE=")</f>
        <v>#VALUE!</v>
      </c>
      <c r="HC364" t="e">
        <f>AND('STERLING CATALOG - FZN &amp; CHILL'!F2794,"AAAAAD29stI=")</f>
        <v>#VALUE!</v>
      </c>
      <c r="HD364" t="e">
        <f>AND('STERLING CATALOG - FZN &amp; CHILL'!G2794,"AAAAAD29stM=")</f>
        <v>#VALUE!</v>
      </c>
      <c r="HE364" t="e">
        <f>AND('STERLING CATALOG - FZN &amp; CHILL'!H2794,"AAAAAD29stQ=")</f>
        <v>#VALUE!</v>
      </c>
      <c r="HF364" t="e">
        <f>AND('STERLING CATALOG - FZN &amp; CHILL'!I2794,"AAAAAD29stU=")</f>
        <v>#VALUE!</v>
      </c>
      <c r="HG364" t="e">
        <f>AND('STERLING CATALOG - FZN &amp; CHILL'!J2794,"AAAAAD29stY=")</f>
        <v>#VALUE!</v>
      </c>
      <c r="HH364">
        <f>IF('STERLING CATALOG - FZN &amp; CHILL'!2795:2795,"AAAAAD29stc=",0)</f>
        <v>0</v>
      </c>
      <c r="HI364" t="e">
        <f>AND('STERLING CATALOG - FZN &amp; CHILL'!A2795,"AAAAAD29stg=")</f>
        <v>#VALUE!</v>
      </c>
      <c r="HJ364" t="e">
        <f>AND('STERLING CATALOG - FZN &amp; CHILL'!B2795,"AAAAAD29stk=")</f>
        <v>#VALUE!</v>
      </c>
      <c r="HK364" t="e">
        <f>AND('STERLING CATALOG - FZN &amp; CHILL'!C2795,"AAAAAD29sto=")</f>
        <v>#VALUE!</v>
      </c>
      <c r="HL364" t="e">
        <f>AND('STERLING CATALOG - FZN &amp; CHILL'!D2795,"AAAAAD29sts=")</f>
        <v>#VALUE!</v>
      </c>
      <c r="HM364" t="e">
        <f>AND('STERLING CATALOG - FZN &amp; CHILL'!E2795,"AAAAAD29stw=")</f>
        <v>#VALUE!</v>
      </c>
      <c r="HN364" t="e">
        <f>AND('STERLING CATALOG - FZN &amp; CHILL'!F2795,"AAAAAD29st0=")</f>
        <v>#VALUE!</v>
      </c>
      <c r="HO364" t="e">
        <f>AND('STERLING CATALOG - FZN &amp; CHILL'!G2795,"AAAAAD29st4=")</f>
        <v>#VALUE!</v>
      </c>
      <c r="HP364" t="e">
        <f>AND('STERLING CATALOG - FZN &amp; CHILL'!H2795,"AAAAAD29st8=")</f>
        <v>#VALUE!</v>
      </c>
      <c r="HQ364" t="e">
        <f>AND('STERLING CATALOG - FZN &amp; CHILL'!I2795,"AAAAAD29suA=")</f>
        <v>#VALUE!</v>
      </c>
      <c r="HR364" t="e">
        <f>AND('STERLING CATALOG - FZN &amp; CHILL'!J2795,"AAAAAD29suE=")</f>
        <v>#VALUE!</v>
      </c>
      <c r="HS364">
        <f>IF('STERLING CATALOG - FZN &amp; CHILL'!2796:2796,"AAAAAD29suI=",0)</f>
        <v>0</v>
      </c>
      <c r="HT364" t="e">
        <f>AND('STERLING CATALOG - FZN &amp; CHILL'!A2796,"AAAAAD29suM=")</f>
        <v>#VALUE!</v>
      </c>
      <c r="HU364" t="e">
        <f>AND('STERLING CATALOG - FZN &amp; CHILL'!B2796,"AAAAAD29suQ=")</f>
        <v>#VALUE!</v>
      </c>
      <c r="HV364" t="e">
        <f>AND('STERLING CATALOG - FZN &amp; CHILL'!C2796,"AAAAAD29suU=")</f>
        <v>#VALUE!</v>
      </c>
      <c r="HW364" t="e">
        <f>AND('STERLING CATALOG - FZN &amp; CHILL'!D2796,"AAAAAD29suY=")</f>
        <v>#VALUE!</v>
      </c>
      <c r="HX364" t="e">
        <f>AND('STERLING CATALOG - FZN &amp; CHILL'!E2796,"AAAAAD29suc=")</f>
        <v>#VALUE!</v>
      </c>
      <c r="HY364" t="e">
        <f>AND('STERLING CATALOG - FZN &amp; CHILL'!F2796,"AAAAAD29sug=")</f>
        <v>#VALUE!</v>
      </c>
      <c r="HZ364" t="e">
        <f>AND('STERLING CATALOG - FZN &amp; CHILL'!G2796,"AAAAAD29suk=")</f>
        <v>#VALUE!</v>
      </c>
      <c r="IA364" t="e">
        <f>AND('STERLING CATALOG - FZN &amp; CHILL'!H2796,"AAAAAD29suo=")</f>
        <v>#VALUE!</v>
      </c>
      <c r="IB364" t="e">
        <f>AND('STERLING CATALOG - FZN &amp; CHILL'!I2796,"AAAAAD29sus=")</f>
        <v>#VALUE!</v>
      </c>
      <c r="IC364" t="e">
        <f>AND('STERLING CATALOG - FZN &amp; CHILL'!J2796,"AAAAAD29suw=")</f>
        <v>#VALUE!</v>
      </c>
      <c r="ID364">
        <f>IF('STERLING CATALOG - FZN &amp; CHILL'!2797:2797,"AAAAAD29su0=",0)</f>
        <v>0</v>
      </c>
      <c r="IE364" t="e">
        <f>AND('STERLING CATALOG - FZN &amp; CHILL'!A2797,"AAAAAD29su4=")</f>
        <v>#VALUE!</v>
      </c>
      <c r="IF364" t="e">
        <f>AND('STERLING CATALOG - FZN &amp; CHILL'!B2797,"AAAAAD29su8=")</f>
        <v>#VALUE!</v>
      </c>
      <c r="IG364" t="e">
        <f>AND('STERLING CATALOG - FZN &amp; CHILL'!C2797,"AAAAAD29svA=")</f>
        <v>#VALUE!</v>
      </c>
      <c r="IH364" t="e">
        <f>AND('STERLING CATALOG - FZN &amp; CHILL'!D2797,"AAAAAD29svE=")</f>
        <v>#VALUE!</v>
      </c>
      <c r="II364" t="e">
        <f>AND('STERLING CATALOG - FZN &amp; CHILL'!E2797,"AAAAAD29svI=")</f>
        <v>#VALUE!</v>
      </c>
      <c r="IJ364" t="e">
        <f>AND('STERLING CATALOG - FZN &amp; CHILL'!F2797,"AAAAAD29svM=")</f>
        <v>#VALUE!</v>
      </c>
      <c r="IK364" t="e">
        <f>AND('STERLING CATALOG - FZN &amp; CHILL'!G2797,"AAAAAD29svQ=")</f>
        <v>#VALUE!</v>
      </c>
      <c r="IL364" t="e">
        <f>AND('STERLING CATALOG - FZN &amp; CHILL'!H2797,"AAAAAD29svU=")</f>
        <v>#VALUE!</v>
      </c>
      <c r="IM364" t="e">
        <f>AND('STERLING CATALOG - FZN &amp; CHILL'!I2797,"AAAAAD29svY=")</f>
        <v>#VALUE!</v>
      </c>
      <c r="IN364" t="e">
        <f>AND('STERLING CATALOG - FZN &amp; CHILL'!J2797,"AAAAAD29svc=")</f>
        <v>#VALUE!</v>
      </c>
      <c r="IO364">
        <f>IF('STERLING CATALOG - FZN &amp; CHILL'!2798:2798,"AAAAAD29svg=",0)</f>
        <v>0</v>
      </c>
      <c r="IP364" t="e">
        <f>AND('STERLING CATALOG - FZN &amp; CHILL'!A2798,"AAAAAD29svk=")</f>
        <v>#VALUE!</v>
      </c>
      <c r="IQ364" t="e">
        <f>AND('STERLING CATALOG - FZN &amp; CHILL'!B2798,"AAAAAD29svo=")</f>
        <v>#VALUE!</v>
      </c>
      <c r="IR364" t="e">
        <f>AND('STERLING CATALOG - FZN &amp; CHILL'!C2798,"AAAAAD29svs=")</f>
        <v>#VALUE!</v>
      </c>
      <c r="IS364" t="e">
        <f>AND('STERLING CATALOG - FZN &amp; CHILL'!D2798,"AAAAAD29svw=")</f>
        <v>#VALUE!</v>
      </c>
      <c r="IT364" t="e">
        <f>AND('STERLING CATALOG - FZN &amp; CHILL'!E2798,"AAAAAD29sv0=")</f>
        <v>#VALUE!</v>
      </c>
      <c r="IU364" t="e">
        <f>AND('STERLING CATALOG - FZN &amp; CHILL'!F2798,"AAAAAD29sv4=")</f>
        <v>#VALUE!</v>
      </c>
      <c r="IV364" t="e">
        <f>AND('STERLING CATALOG - FZN &amp; CHILL'!G2798,"AAAAAD29sv8=")</f>
        <v>#VALUE!</v>
      </c>
    </row>
    <row r="365" spans="1:256">
      <c r="A365" t="e">
        <f>AND('STERLING CATALOG - FZN &amp; CHILL'!H2798,"AAAAAHXf/QA=")</f>
        <v>#VALUE!</v>
      </c>
      <c r="B365" t="e">
        <f>AND('STERLING CATALOG - FZN &amp; CHILL'!I2798,"AAAAAHXf/QE=")</f>
        <v>#VALUE!</v>
      </c>
      <c r="C365" t="e">
        <f>AND('STERLING CATALOG - FZN &amp; CHILL'!J2798,"AAAAAHXf/QI=")</f>
        <v>#VALUE!</v>
      </c>
      <c r="D365" t="e">
        <f>IF('STERLING CATALOG - FZN &amp; CHILL'!2799:2799,"AAAAAHXf/QM=",0)</f>
        <v>#VALUE!</v>
      </c>
      <c r="E365" t="e">
        <f>AND('STERLING CATALOG - FZN &amp; CHILL'!A2799,"AAAAAHXf/QQ=")</f>
        <v>#VALUE!</v>
      </c>
      <c r="F365" t="e">
        <f>AND('STERLING CATALOG - FZN &amp; CHILL'!B2799,"AAAAAHXf/QU=")</f>
        <v>#VALUE!</v>
      </c>
      <c r="G365" t="e">
        <f>AND('STERLING CATALOG - FZN &amp; CHILL'!C2799,"AAAAAHXf/QY=")</f>
        <v>#VALUE!</v>
      </c>
      <c r="H365" t="e">
        <f>AND('STERLING CATALOG - FZN &amp; CHILL'!D2799,"AAAAAHXf/Qc=")</f>
        <v>#VALUE!</v>
      </c>
      <c r="I365" t="e">
        <f>AND('STERLING CATALOG - FZN &amp; CHILL'!E2799,"AAAAAHXf/Qg=")</f>
        <v>#VALUE!</v>
      </c>
      <c r="J365" t="e">
        <f>AND('STERLING CATALOG - FZN &amp; CHILL'!F2799,"AAAAAHXf/Qk=")</f>
        <v>#VALUE!</v>
      </c>
      <c r="K365" t="e">
        <f>AND('STERLING CATALOG - FZN &amp; CHILL'!G2799,"AAAAAHXf/Qo=")</f>
        <v>#VALUE!</v>
      </c>
      <c r="L365" t="e">
        <f>AND('STERLING CATALOG - FZN &amp; CHILL'!H2799,"AAAAAHXf/Qs=")</f>
        <v>#VALUE!</v>
      </c>
      <c r="M365" t="e">
        <f>AND('STERLING CATALOG - FZN &amp; CHILL'!I2799,"AAAAAHXf/Qw=")</f>
        <v>#VALUE!</v>
      </c>
      <c r="N365" t="e">
        <f>AND('STERLING CATALOG - FZN &amp; CHILL'!J2799,"AAAAAHXf/Q0=")</f>
        <v>#VALUE!</v>
      </c>
      <c r="O365">
        <f>IF('STERLING CATALOG - FZN &amp; CHILL'!2800:2800,"AAAAAHXf/Q4=",0)</f>
        <v>0</v>
      </c>
      <c r="P365" t="e">
        <f>AND('STERLING CATALOG - FZN &amp; CHILL'!A2800,"AAAAAHXf/Q8=")</f>
        <v>#VALUE!</v>
      </c>
      <c r="Q365" t="e">
        <f>AND('STERLING CATALOG - FZN &amp; CHILL'!B2800,"AAAAAHXf/RA=")</f>
        <v>#VALUE!</v>
      </c>
      <c r="R365" t="e">
        <f>AND('STERLING CATALOG - FZN &amp; CHILL'!C2800,"AAAAAHXf/RE=")</f>
        <v>#VALUE!</v>
      </c>
      <c r="S365" t="e">
        <f>AND('STERLING CATALOG - FZN &amp; CHILL'!D2800,"AAAAAHXf/RI=")</f>
        <v>#VALUE!</v>
      </c>
      <c r="T365" t="e">
        <f>AND('STERLING CATALOG - FZN &amp; CHILL'!E2800,"AAAAAHXf/RM=")</f>
        <v>#VALUE!</v>
      </c>
      <c r="U365" t="e">
        <f>AND('STERLING CATALOG - FZN &amp; CHILL'!F2800,"AAAAAHXf/RQ=")</f>
        <v>#VALUE!</v>
      </c>
      <c r="V365" t="e">
        <f>AND('STERLING CATALOG - FZN &amp; CHILL'!G2800,"AAAAAHXf/RU=")</f>
        <v>#VALUE!</v>
      </c>
      <c r="W365" t="e">
        <f>AND('STERLING CATALOG - FZN &amp; CHILL'!H2800,"AAAAAHXf/RY=")</f>
        <v>#VALUE!</v>
      </c>
      <c r="X365" t="e">
        <f>AND('STERLING CATALOG - FZN &amp; CHILL'!I2800,"AAAAAHXf/Rc=")</f>
        <v>#VALUE!</v>
      </c>
      <c r="Y365" t="e">
        <f>AND('STERLING CATALOG - FZN &amp; CHILL'!J2800,"AAAAAHXf/Rg=")</f>
        <v>#VALUE!</v>
      </c>
      <c r="Z365">
        <f>IF('STERLING CATALOG - FZN &amp; CHILL'!2801:2801,"AAAAAHXf/Rk=",0)</f>
        <v>0</v>
      </c>
      <c r="AA365" t="e">
        <f>AND('STERLING CATALOG - FZN &amp; CHILL'!A2801,"AAAAAHXf/Ro=")</f>
        <v>#VALUE!</v>
      </c>
      <c r="AB365" t="e">
        <f>AND('STERLING CATALOG - FZN &amp; CHILL'!B2801,"AAAAAHXf/Rs=")</f>
        <v>#VALUE!</v>
      </c>
      <c r="AC365" t="e">
        <f>AND('STERLING CATALOG - FZN &amp; CHILL'!C2801,"AAAAAHXf/Rw=")</f>
        <v>#VALUE!</v>
      </c>
      <c r="AD365" t="e">
        <f>AND('STERLING CATALOG - FZN &amp; CHILL'!D2801,"AAAAAHXf/R0=")</f>
        <v>#VALUE!</v>
      </c>
      <c r="AE365" t="e">
        <f>AND('STERLING CATALOG - FZN &amp; CHILL'!E2801,"AAAAAHXf/R4=")</f>
        <v>#VALUE!</v>
      </c>
      <c r="AF365" t="e">
        <f>AND('STERLING CATALOG - FZN &amp; CHILL'!F2801,"AAAAAHXf/R8=")</f>
        <v>#VALUE!</v>
      </c>
      <c r="AG365" t="e">
        <f>AND('STERLING CATALOG - FZN &amp; CHILL'!G2801,"AAAAAHXf/SA=")</f>
        <v>#VALUE!</v>
      </c>
      <c r="AH365" t="e">
        <f>AND('STERLING CATALOG - FZN &amp; CHILL'!H2801,"AAAAAHXf/SE=")</f>
        <v>#VALUE!</v>
      </c>
      <c r="AI365" t="e">
        <f>AND('STERLING CATALOG - FZN &amp; CHILL'!I2801,"AAAAAHXf/SI=")</f>
        <v>#VALUE!</v>
      </c>
      <c r="AJ365" t="e">
        <f>AND('STERLING CATALOG - FZN &amp; CHILL'!J2801,"AAAAAHXf/SM=")</f>
        <v>#VALUE!</v>
      </c>
      <c r="AK365">
        <f>IF('STERLING CATALOG - FZN &amp; CHILL'!2802:2802,"AAAAAHXf/SQ=",0)</f>
        <v>0</v>
      </c>
      <c r="AL365" t="e">
        <f>AND('STERLING CATALOG - FZN &amp; CHILL'!A2802,"AAAAAHXf/SU=")</f>
        <v>#VALUE!</v>
      </c>
      <c r="AM365" t="e">
        <f>AND('STERLING CATALOG - FZN &amp; CHILL'!B2802,"AAAAAHXf/SY=")</f>
        <v>#VALUE!</v>
      </c>
      <c r="AN365" t="e">
        <f>AND('STERLING CATALOG - FZN &amp; CHILL'!C2802,"AAAAAHXf/Sc=")</f>
        <v>#VALUE!</v>
      </c>
      <c r="AO365" t="e">
        <f>AND('STERLING CATALOG - FZN &amp; CHILL'!D2802,"AAAAAHXf/Sg=")</f>
        <v>#VALUE!</v>
      </c>
      <c r="AP365" t="e">
        <f>AND('STERLING CATALOG - FZN &amp; CHILL'!E2802,"AAAAAHXf/Sk=")</f>
        <v>#VALUE!</v>
      </c>
      <c r="AQ365" t="e">
        <f>AND('STERLING CATALOG - FZN &amp; CHILL'!F2802,"AAAAAHXf/So=")</f>
        <v>#VALUE!</v>
      </c>
      <c r="AR365" t="e">
        <f>AND('STERLING CATALOG - FZN &amp; CHILL'!G2802,"AAAAAHXf/Ss=")</f>
        <v>#VALUE!</v>
      </c>
      <c r="AS365" t="e">
        <f>AND('STERLING CATALOG - FZN &amp; CHILL'!H2802,"AAAAAHXf/Sw=")</f>
        <v>#VALUE!</v>
      </c>
      <c r="AT365" t="e">
        <f>AND('STERLING CATALOG - FZN &amp; CHILL'!I2802,"AAAAAHXf/S0=")</f>
        <v>#VALUE!</v>
      </c>
      <c r="AU365" t="e">
        <f>AND('STERLING CATALOG - FZN &amp; CHILL'!J2802,"AAAAAHXf/S4=")</f>
        <v>#VALUE!</v>
      </c>
      <c r="AV365">
        <f>IF('STERLING CATALOG - FZN &amp; CHILL'!2803:2803,"AAAAAHXf/S8=",0)</f>
        <v>0</v>
      </c>
      <c r="AW365" t="e">
        <f>AND('STERLING CATALOG - FZN &amp; CHILL'!A2803,"AAAAAHXf/TA=")</f>
        <v>#VALUE!</v>
      </c>
      <c r="AX365" t="e">
        <f>AND('STERLING CATALOG - FZN &amp; CHILL'!B2803,"AAAAAHXf/TE=")</f>
        <v>#VALUE!</v>
      </c>
      <c r="AY365" t="e">
        <f>AND('STERLING CATALOG - FZN &amp; CHILL'!C2803,"AAAAAHXf/TI=")</f>
        <v>#VALUE!</v>
      </c>
      <c r="AZ365" t="e">
        <f>AND('STERLING CATALOG - FZN &amp; CHILL'!D2803,"AAAAAHXf/TM=")</f>
        <v>#VALUE!</v>
      </c>
      <c r="BA365" t="e">
        <f>AND('STERLING CATALOG - FZN &amp; CHILL'!E2803,"AAAAAHXf/TQ=")</f>
        <v>#VALUE!</v>
      </c>
      <c r="BB365" t="e">
        <f>AND('STERLING CATALOG - FZN &amp; CHILL'!F2803,"AAAAAHXf/TU=")</f>
        <v>#VALUE!</v>
      </c>
      <c r="BC365" t="e">
        <f>AND('STERLING CATALOG - FZN &amp; CHILL'!G2803,"AAAAAHXf/TY=")</f>
        <v>#VALUE!</v>
      </c>
      <c r="BD365" t="e">
        <f>AND('STERLING CATALOG - FZN &amp; CHILL'!H2803,"AAAAAHXf/Tc=")</f>
        <v>#VALUE!</v>
      </c>
      <c r="BE365" t="e">
        <f>AND('STERLING CATALOG - FZN &amp; CHILL'!I2803,"AAAAAHXf/Tg=")</f>
        <v>#VALUE!</v>
      </c>
      <c r="BF365" t="e">
        <f>AND('STERLING CATALOG - FZN &amp; CHILL'!J2803,"AAAAAHXf/Tk=")</f>
        <v>#VALUE!</v>
      </c>
      <c r="BG365">
        <f>IF('STERLING CATALOG - FZN &amp; CHILL'!2804:2804,"AAAAAHXf/To=",0)</f>
        <v>0</v>
      </c>
      <c r="BH365" t="e">
        <f>AND('STERLING CATALOG - FZN &amp; CHILL'!A2804,"AAAAAHXf/Ts=")</f>
        <v>#VALUE!</v>
      </c>
      <c r="BI365" t="e">
        <f>AND('STERLING CATALOG - FZN &amp; CHILL'!B2804,"AAAAAHXf/Tw=")</f>
        <v>#VALUE!</v>
      </c>
      <c r="BJ365" t="e">
        <f>AND('STERLING CATALOG - FZN &amp; CHILL'!C2804,"AAAAAHXf/T0=")</f>
        <v>#VALUE!</v>
      </c>
      <c r="BK365" t="e">
        <f>AND('STERLING CATALOG - FZN &amp; CHILL'!D2804,"AAAAAHXf/T4=")</f>
        <v>#VALUE!</v>
      </c>
      <c r="BL365" t="e">
        <f>AND('STERLING CATALOG - FZN &amp; CHILL'!E2804,"AAAAAHXf/T8=")</f>
        <v>#VALUE!</v>
      </c>
      <c r="BM365" t="e">
        <f>AND('STERLING CATALOG - FZN &amp; CHILL'!F2804,"AAAAAHXf/UA=")</f>
        <v>#VALUE!</v>
      </c>
      <c r="BN365" t="e">
        <f>AND('STERLING CATALOG - FZN &amp; CHILL'!G2804,"AAAAAHXf/UE=")</f>
        <v>#VALUE!</v>
      </c>
      <c r="BO365" t="e">
        <f>AND('STERLING CATALOG - FZN &amp; CHILL'!H2804,"AAAAAHXf/UI=")</f>
        <v>#VALUE!</v>
      </c>
      <c r="BP365" t="e">
        <f>AND('STERLING CATALOG - FZN &amp; CHILL'!I2804,"AAAAAHXf/UM=")</f>
        <v>#VALUE!</v>
      </c>
      <c r="BQ365" t="e">
        <f>AND('STERLING CATALOG - FZN &amp; CHILL'!J2804,"AAAAAHXf/UQ=")</f>
        <v>#VALUE!</v>
      </c>
      <c r="BR365">
        <f>IF('STERLING CATALOG - FZN &amp; CHILL'!2805:2805,"AAAAAHXf/UU=",0)</f>
        <v>0</v>
      </c>
      <c r="BS365" t="e">
        <f>AND('STERLING CATALOG - FZN &amp; CHILL'!A2805,"AAAAAHXf/UY=")</f>
        <v>#VALUE!</v>
      </c>
      <c r="BT365" t="e">
        <f>AND('STERLING CATALOG - FZN &amp; CHILL'!B2805,"AAAAAHXf/Uc=")</f>
        <v>#VALUE!</v>
      </c>
      <c r="BU365" t="e">
        <f>AND('STERLING CATALOG - FZN &amp; CHILL'!C2805,"AAAAAHXf/Ug=")</f>
        <v>#VALUE!</v>
      </c>
      <c r="BV365" t="e">
        <f>AND('STERLING CATALOG - FZN &amp; CHILL'!D2805,"AAAAAHXf/Uk=")</f>
        <v>#VALUE!</v>
      </c>
      <c r="BW365" t="e">
        <f>AND('STERLING CATALOG - FZN &amp; CHILL'!E2805,"AAAAAHXf/Uo=")</f>
        <v>#VALUE!</v>
      </c>
      <c r="BX365" t="e">
        <f>AND('STERLING CATALOG - FZN &amp; CHILL'!F2805,"AAAAAHXf/Us=")</f>
        <v>#VALUE!</v>
      </c>
      <c r="BY365" t="e">
        <f>AND('STERLING CATALOG - FZN &amp; CHILL'!G2805,"AAAAAHXf/Uw=")</f>
        <v>#VALUE!</v>
      </c>
      <c r="BZ365" t="e">
        <f>AND('STERLING CATALOG - FZN &amp; CHILL'!H2805,"AAAAAHXf/U0=")</f>
        <v>#VALUE!</v>
      </c>
      <c r="CA365" t="e">
        <f>AND('STERLING CATALOG - FZN &amp; CHILL'!I2805,"AAAAAHXf/U4=")</f>
        <v>#VALUE!</v>
      </c>
      <c r="CB365" t="e">
        <f>AND('STERLING CATALOG - FZN &amp; CHILL'!J2805,"AAAAAHXf/U8=")</f>
        <v>#VALUE!</v>
      </c>
      <c r="CC365">
        <f>IF('STERLING CATALOG - FZN &amp; CHILL'!2806:2806,"AAAAAHXf/VA=",0)</f>
        <v>0</v>
      </c>
      <c r="CD365" t="e">
        <f>AND('STERLING CATALOG - FZN &amp; CHILL'!A2806,"AAAAAHXf/VE=")</f>
        <v>#VALUE!</v>
      </c>
      <c r="CE365" t="e">
        <f>AND('STERLING CATALOG - FZN &amp; CHILL'!B2806,"AAAAAHXf/VI=")</f>
        <v>#VALUE!</v>
      </c>
      <c r="CF365" t="e">
        <f>AND('STERLING CATALOG - FZN &amp; CHILL'!C2806,"AAAAAHXf/VM=")</f>
        <v>#VALUE!</v>
      </c>
      <c r="CG365" t="e">
        <f>AND('STERLING CATALOG - FZN &amp; CHILL'!D2806,"AAAAAHXf/VQ=")</f>
        <v>#VALUE!</v>
      </c>
      <c r="CH365" t="e">
        <f>AND('STERLING CATALOG - FZN &amp; CHILL'!E2806,"AAAAAHXf/VU=")</f>
        <v>#VALUE!</v>
      </c>
      <c r="CI365" t="e">
        <f>AND('STERLING CATALOG - FZN &amp; CHILL'!F2806,"AAAAAHXf/VY=")</f>
        <v>#VALUE!</v>
      </c>
      <c r="CJ365" t="e">
        <f>AND('STERLING CATALOG - FZN &amp; CHILL'!G2806,"AAAAAHXf/Vc=")</f>
        <v>#VALUE!</v>
      </c>
      <c r="CK365" t="e">
        <f>AND('STERLING CATALOG - FZN &amp; CHILL'!H2806,"AAAAAHXf/Vg=")</f>
        <v>#VALUE!</v>
      </c>
      <c r="CL365" t="e">
        <f>AND('STERLING CATALOG - FZN &amp; CHILL'!I2806,"AAAAAHXf/Vk=")</f>
        <v>#VALUE!</v>
      </c>
      <c r="CM365" t="e">
        <f>AND('STERLING CATALOG - FZN &amp; CHILL'!J2806,"AAAAAHXf/Vo=")</f>
        <v>#VALUE!</v>
      </c>
      <c r="CN365">
        <f>IF('STERLING CATALOG - FZN &amp; CHILL'!2807:2807,"AAAAAHXf/Vs=",0)</f>
        <v>0</v>
      </c>
      <c r="CO365" t="e">
        <f>AND('STERLING CATALOG - FZN &amp; CHILL'!A2807,"AAAAAHXf/Vw=")</f>
        <v>#VALUE!</v>
      </c>
      <c r="CP365" t="e">
        <f>AND('STERLING CATALOG - FZN &amp; CHILL'!B2807,"AAAAAHXf/V0=")</f>
        <v>#VALUE!</v>
      </c>
      <c r="CQ365" t="e">
        <f>AND('STERLING CATALOG - FZN &amp; CHILL'!C2807,"AAAAAHXf/V4=")</f>
        <v>#VALUE!</v>
      </c>
      <c r="CR365" t="e">
        <f>AND('STERLING CATALOG - FZN &amp; CHILL'!D2807,"AAAAAHXf/V8=")</f>
        <v>#VALUE!</v>
      </c>
      <c r="CS365" t="e">
        <f>AND('STERLING CATALOG - FZN &amp; CHILL'!E2807,"AAAAAHXf/WA=")</f>
        <v>#VALUE!</v>
      </c>
      <c r="CT365" t="e">
        <f>AND('STERLING CATALOG - FZN &amp; CHILL'!F2807,"AAAAAHXf/WE=")</f>
        <v>#VALUE!</v>
      </c>
      <c r="CU365" t="e">
        <f>AND('STERLING CATALOG - FZN &amp; CHILL'!G2807,"AAAAAHXf/WI=")</f>
        <v>#VALUE!</v>
      </c>
      <c r="CV365" t="e">
        <f>AND('STERLING CATALOG - FZN &amp; CHILL'!H2807,"AAAAAHXf/WM=")</f>
        <v>#VALUE!</v>
      </c>
      <c r="CW365" t="e">
        <f>AND('STERLING CATALOG - FZN &amp; CHILL'!I2807,"AAAAAHXf/WQ=")</f>
        <v>#VALUE!</v>
      </c>
      <c r="CX365" t="e">
        <f>AND('STERLING CATALOG - FZN &amp; CHILL'!J2807,"AAAAAHXf/WU=")</f>
        <v>#VALUE!</v>
      </c>
      <c r="CY365">
        <f>IF('STERLING CATALOG - FZN &amp; CHILL'!2808:2808,"AAAAAHXf/WY=",0)</f>
        <v>0</v>
      </c>
      <c r="CZ365" t="e">
        <f>AND('STERLING CATALOG - FZN &amp; CHILL'!A2808,"AAAAAHXf/Wc=")</f>
        <v>#VALUE!</v>
      </c>
      <c r="DA365" t="e">
        <f>AND('STERLING CATALOG - FZN &amp; CHILL'!B2808,"AAAAAHXf/Wg=")</f>
        <v>#VALUE!</v>
      </c>
      <c r="DB365" t="e">
        <f>AND('STERLING CATALOG - FZN &amp; CHILL'!C2808,"AAAAAHXf/Wk=")</f>
        <v>#VALUE!</v>
      </c>
      <c r="DC365" t="e">
        <f>AND('STERLING CATALOG - FZN &amp; CHILL'!D2808,"AAAAAHXf/Wo=")</f>
        <v>#VALUE!</v>
      </c>
      <c r="DD365" t="e">
        <f>AND('STERLING CATALOG - FZN &amp; CHILL'!E2808,"AAAAAHXf/Ws=")</f>
        <v>#VALUE!</v>
      </c>
      <c r="DE365" t="e">
        <f>AND('STERLING CATALOG - FZN &amp; CHILL'!F2808,"AAAAAHXf/Ww=")</f>
        <v>#VALUE!</v>
      </c>
      <c r="DF365" t="e">
        <f>AND('STERLING CATALOG - FZN &amp; CHILL'!G2808,"AAAAAHXf/W0=")</f>
        <v>#VALUE!</v>
      </c>
      <c r="DG365" t="e">
        <f>AND('STERLING CATALOG - FZN &amp; CHILL'!H2808,"AAAAAHXf/W4=")</f>
        <v>#VALUE!</v>
      </c>
      <c r="DH365" t="e">
        <f>AND('STERLING CATALOG - FZN &amp; CHILL'!I2808,"AAAAAHXf/W8=")</f>
        <v>#VALUE!</v>
      </c>
      <c r="DI365" t="e">
        <f>AND('STERLING CATALOG - FZN &amp; CHILL'!J2808,"AAAAAHXf/XA=")</f>
        <v>#VALUE!</v>
      </c>
      <c r="DJ365">
        <f>IF('STERLING CATALOG - FZN &amp; CHILL'!2809:2809,"AAAAAHXf/XE=",0)</f>
        <v>0</v>
      </c>
      <c r="DK365" t="e">
        <f>AND('STERLING CATALOG - FZN &amp; CHILL'!A2809,"AAAAAHXf/XI=")</f>
        <v>#VALUE!</v>
      </c>
      <c r="DL365" t="e">
        <f>AND('STERLING CATALOG - FZN &amp; CHILL'!B2809,"AAAAAHXf/XM=")</f>
        <v>#VALUE!</v>
      </c>
      <c r="DM365" t="e">
        <f>AND('STERLING CATALOG - FZN &amp; CHILL'!C2809,"AAAAAHXf/XQ=")</f>
        <v>#VALUE!</v>
      </c>
      <c r="DN365" t="e">
        <f>AND('STERLING CATALOG - FZN &amp; CHILL'!D2809,"AAAAAHXf/XU=")</f>
        <v>#VALUE!</v>
      </c>
      <c r="DO365" t="e">
        <f>AND('STERLING CATALOG - FZN &amp; CHILL'!E2809,"AAAAAHXf/XY=")</f>
        <v>#VALUE!</v>
      </c>
      <c r="DP365" t="e">
        <f>AND('STERLING CATALOG - FZN &amp; CHILL'!F2809,"AAAAAHXf/Xc=")</f>
        <v>#VALUE!</v>
      </c>
      <c r="DQ365" t="e">
        <f>AND('STERLING CATALOG - FZN &amp; CHILL'!G2809,"AAAAAHXf/Xg=")</f>
        <v>#VALUE!</v>
      </c>
      <c r="DR365" t="e">
        <f>AND('STERLING CATALOG - FZN &amp; CHILL'!H2809,"AAAAAHXf/Xk=")</f>
        <v>#VALUE!</v>
      </c>
      <c r="DS365" t="e">
        <f>AND('STERLING CATALOG - FZN &amp; CHILL'!I2809,"AAAAAHXf/Xo=")</f>
        <v>#VALUE!</v>
      </c>
      <c r="DT365" t="e">
        <f>AND('STERLING CATALOG - FZN &amp; CHILL'!J2809,"AAAAAHXf/Xs=")</f>
        <v>#VALUE!</v>
      </c>
      <c r="DU365">
        <f>IF('STERLING CATALOG - FZN &amp; CHILL'!2810:2810,"AAAAAHXf/Xw=",0)</f>
        <v>0</v>
      </c>
      <c r="DV365" t="e">
        <f>AND('STERLING CATALOG - FZN &amp; CHILL'!A2810,"AAAAAHXf/X0=")</f>
        <v>#VALUE!</v>
      </c>
      <c r="DW365" t="e">
        <f>AND('STERLING CATALOG - FZN &amp; CHILL'!B2810,"AAAAAHXf/X4=")</f>
        <v>#VALUE!</v>
      </c>
      <c r="DX365" t="e">
        <f>AND('STERLING CATALOG - FZN &amp; CHILL'!C2810,"AAAAAHXf/X8=")</f>
        <v>#VALUE!</v>
      </c>
      <c r="DY365" t="e">
        <f>AND('STERLING CATALOG - FZN &amp; CHILL'!D2810,"AAAAAHXf/YA=")</f>
        <v>#VALUE!</v>
      </c>
      <c r="DZ365" t="e">
        <f>AND('STERLING CATALOG - FZN &amp; CHILL'!E2810,"AAAAAHXf/YE=")</f>
        <v>#VALUE!</v>
      </c>
      <c r="EA365" t="e">
        <f>AND('STERLING CATALOG - FZN &amp; CHILL'!F2810,"AAAAAHXf/YI=")</f>
        <v>#VALUE!</v>
      </c>
      <c r="EB365" t="e">
        <f>AND('STERLING CATALOG - FZN &amp; CHILL'!G2810,"AAAAAHXf/YM=")</f>
        <v>#VALUE!</v>
      </c>
      <c r="EC365" t="e">
        <f>AND('STERLING CATALOG - FZN &amp; CHILL'!H2810,"AAAAAHXf/YQ=")</f>
        <v>#VALUE!</v>
      </c>
      <c r="ED365" t="e">
        <f>AND('STERLING CATALOG - FZN &amp; CHILL'!I2810,"AAAAAHXf/YU=")</f>
        <v>#VALUE!</v>
      </c>
      <c r="EE365" t="e">
        <f>AND('STERLING CATALOG - FZN &amp; CHILL'!J2810,"AAAAAHXf/YY=")</f>
        <v>#VALUE!</v>
      </c>
      <c r="EF365">
        <f>IF('STERLING CATALOG - FZN &amp; CHILL'!2811:2811,"AAAAAHXf/Yc=",0)</f>
        <v>0</v>
      </c>
      <c r="EG365" t="e">
        <f>AND('STERLING CATALOG - FZN &amp; CHILL'!A2811,"AAAAAHXf/Yg=")</f>
        <v>#VALUE!</v>
      </c>
      <c r="EH365" t="e">
        <f>AND('STERLING CATALOG - FZN &amp; CHILL'!B2811,"AAAAAHXf/Yk=")</f>
        <v>#VALUE!</v>
      </c>
      <c r="EI365" t="e">
        <f>AND('STERLING CATALOG - FZN &amp; CHILL'!C2811,"AAAAAHXf/Yo=")</f>
        <v>#VALUE!</v>
      </c>
      <c r="EJ365" t="e">
        <f>AND('STERLING CATALOG - FZN &amp; CHILL'!D2811,"AAAAAHXf/Ys=")</f>
        <v>#VALUE!</v>
      </c>
      <c r="EK365" t="e">
        <f>AND('STERLING CATALOG - FZN &amp; CHILL'!E2811,"AAAAAHXf/Yw=")</f>
        <v>#VALUE!</v>
      </c>
      <c r="EL365" t="e">
        <f>AND('STERLING CATALOG - FZN &amp; CHILL'!F2811,"AAAAAHXf/Y0=")</f>
        <v>#VALUE!</v>
      </c>
      <c r="EM365" t="e">
        <f>AND('STERLING CATALOG - FZN &amp; CHILL'!G2811,"AAAAAHXf/Y4=")</f>
        <v>#VALUE!</v>
      </c>
      <c r="EN365" t="e">
        <f>AND('STERLING CATALOG - FZN &amp; CHILL'!H2811,"AAAAAHXf/Y8=")</f>
        <v>#VALUE!</v>
      </c>
      <c r="EO365" t="e">
        <f>AND('STERLING CATALOG - FZN &amp; CHILL'!I2811,"AAAAAHXf/ZA=")</f>
        <v>#VALUE!</v>
      </c>
      <c r="EP365" t="e">
        <f>AND('STERLING CATALOG - FZN &amp; CHILL'!J2811,"AAAAAHXf/ZE=")</f>
        <v>#VALUE!</v>
      </c>
      <c r="EQ365">
        <f>IF('STERLING CATALOG - FZN &amp; CHILL'!2812:2812,"AAAAAHXf/ZI=",0)</f>
        <v>0</v>
      </c>
      <c r="ER365" t="e">
        <f>AND('STERLING CATALOG - FZN &amp; CHILL'!A2812,"AAAAAHXf/ZM=")</f>
        <v>#VALUE!</v>
      </c>
      <c r="ES365" t="e">
        <f>AND('STERLING CATALOG - FZN &amp; CHILL'!B2812,"AAAAAHXf/ZQ=")</f>
        <v>#VALUE!</v>
      </c>
      <c r="ET365" t="e">
        <f>AND('STERLING CATALOG - FZN &amp; CHILL'!C2812,"AAAAAHXf/ZU=")</f>
        <v>#VALUE!</v>
      </c>
      <c r="EU365" t="e">
        <f>AND('STERLING CATALOG - FZN &amp; CHILL'!D2812,"AAAAAHXf/ZY=")</f>
        <v>#VALUE!</v>
      </c>
      <c r="EV365" t="e">
        <f>AND('STERLING CATALOG - FZN &amp; CHILL'!E2812,"AAAAAHXf/Zc=")</f>
        <v>#VALUE!</v>
      </c>
      <c r="EW365" t="e">
        <f>AND('STERLING CATALOG - FZN &amp; CHILL'!F2812,"AAAAAHXf/Zg=")</f>
        <v>#VALUE!</v>
      </c>
      <c r="EX365" t="e">
        <f>AND('STERLING CATALOG - FZN &amp; CHILL'!G2812,"AAAAAHXf/Zk=")</f>
        <v>#VALUE!</v>
      </c>
      <c r="EY365" t="e">
        <f>AND('STERLING CATALOG - FZN &amp; CHILL'!H2812,"AAAAAHXf/Zo=")</f>
        <v>#VALUE!</v>
      </c>
      <c r="EZ365" t="e">
        <f>AND('STERLING CATALOG - FZN &amp; CHILL'!I2812,"AAAAAHXf/Zs=")</f>
        <v>#VALUE!</v>
      </c>
      <c r="FA365" t="e">
        <f>AND('STERLING CATALOG - FZN &amp; CHILL'!J2812,"AAAAAHXf/Zw=")</f>
        <v>#VALUE!</v>
      </c>
      <c r="FB365">
        <f>IF('STERLING CATALOG - FZN &amp; CHILL'!2813:2813,"AAAAAHXf/Z0=",0)</f>
        <v>0</v>
      </c>
      <c r="FC365" t="e">
        <f>AND('STERLING CATALOG - FZN &amp; CHILL'!A2813,"AAAAAHXf/Z4=")</f>
        <v>#VALUE!</v>
      </c>
      <c r="FD365" t="e">
        <f>AND('STERLING CATALOG - FZN &amp; CHILL'!B2813,"AAAAAHXf/Z8=")</f>
        <v>#VALUE!</v>
      </c>
      <c r="FE365" t="e">
        <f>AND('STERLING CATALOG - FZN &amp; CHILL'!C2813,"AAAAAHXf/aA=")</f>
        <v>#VALUE!</v>
      </c>
      <c r="FF365" t="e">
        <f>AND('STERLING CATALOG - FZN &amp; CHILL'!D2813,"AAAAAHXf/aE=")</f>
        <v>#VALUE!</v>
      </c>
      <c r="FG365" t="e">
        <f>AND('STERLING CATALOG - FZN &amp; CHILL'!E2813,"AAAAAHXf/aI=")</f>
        <v>#VALUE!</v>
      </c>
      <c r="FH365" t="e">
        <f>AND('STERLING CATALOG - FZN &amp; CHILL'!F2813,"AAAAAHXf/aM=")</f>
        <v>#VALUE!</v>
      </c>
      <c r="FI365" t="e">
        <f>AND('STERLING CATALOG - FZN &amp; CHILL'!G2813,"AAAAAHXf/aQ=")</f>
        <v>#VALUE!</v>
      </c>
      <c r="FJ365" t="e">
        <f>AND('STERLING CATALOG - FZN &amp; CHILL'!H2813,"AAAAAHXf/aU=")</f>
        <v>#VALUE!</v>
      </c>
      <c r="FK365" t="e">
        <f>AND('STERLING CATALOG - FZN &amp; CHILL'!I2813,"AAAAAHXf/aY=")</f>
        <v>#VALUE!</v>
      </c>
      <c r="FL365" t="e">
        <f>AND('STERLING CATALOG - FZN &amp; CHILL'!J2813,"AAAAAHXf/ac=")</f>
        <v>#VALUE!</v>
      </c>
      <c r="FM365">
        <f>IF('STERLING CATALOG - FZN &amp; CHILL'!2814:2814,"AAAAAHXf/ag=",0)</f>
        <v>0</v>
      </c>
      <c r="FN365" t="e">
        <f>AND('STERLING CATALOG - FZN &amp; CHILL'!A2814,"AAAAAHXf/ak=")</f>
        <v>#VALUE!</v>
      </c>
      <c r="FO365" t="e">
        <f>AND('STERLING CATALOG - FZN &amp; CHILL'!B2814,"AAAAAHXf/ao=")</f>
        <v>#VALUE!</v>
      </c>
      <c r="FP365" t="e">
        <f>AND('STERLING CATALOG - FZN &amp; CHILL'!C2814,"AAAAAHXf/as=")</f>
        <v>#VALUE!</v>
      </c>
      <c r="FQ365" t="e">
        <f>AND('STERLING CATALOG - FZN &amp; CHILL'!D2814,"AAAAAHXf/aw=")</f>
        <v>#VALUE!</v>
      </c>
      <c r="FR365" t="e">
        <f>AND('STERLING CATALOG - FZN &amp; CHILL'!E2814,"AAAAAHXf/a0=")</f>
        <v>#VALUE!</v>
      </c>
      <c r="FS365" t="e">
        <f>AND('STERLING CATALOG - FZN &amp; CHILL'!F2814,"AAAAAHXf/a4=")</f>
        <v>#VALUE!</v>
      </c>
      <c r="FT365" t="e">
        <f>AND('STERLING CATALOG - FZN &amp; CHILL'!G2814,"AAAAAHXf/a8=")</f>
        <v>#VALUE!</v>
      </c>
      <c r="FU365" t="e">
        <f>AND('STERLING CATALOG - FZN &amp; CHILL'!H2814,"AAAAAHXf/bA=")</f>
        <v>#VALUE!</v>
      </c>
      <c r="FV365" t="e">
        <f>AND('STERLING CATALOG - FZN &amp; CHILL'!I2814,"AAAAAHXf/bE=")</f>
        <v>#VALUE!</v>
      </c>
      <c r="FW365" t="e">
        <f>AND('STERLING CATALOG - FZN &amp; CHILL'!J2814,"AAAAAHXf/bI=")</f>
        <v>#VALUE!</v>
      </c>
      <c r="FX365">
        <f>IF('STERLING CATALOG - FZN &amp; CHILL'!2815:2815,"AAAAAHXf/bM=",0)</f>
        <v>0</v>
      </c>
      <c r="FY365" t="e">
        <f>AND('STERLING CATALOG - FZN &amp; CHILL'!A2815,"AAAAAHXf/bQ=")</f>
        <v>#VALUE!</v>
      </c>
      <c r="FZ365" t="e">
        <f>AND('STERLING CATALOG - FZN &amp; CHILL'!B2815,"AAAAAHXf/bU=")</f>
        <v>#VALUE!</v>
      </c>
      <c r="GA365" t="e">
        <f>AND('STERLING CATALOG - FZN &amp; CHILL'!C2815,"AAAAAHXf/bY=")</f>
        <v>#VALUE!</v>
      </c>
      <c r="GB365" t="e">
        <f>AND('STERLING CATALOG - FZN &amp; CHILL'!D2815,"AAAAAHXf/bc=")</f>
        <v>#VALUE!</v>
      </c>
      <c r="GC365" t="e">
        <f>AND('STERLING CATALOG - FZN &amp; CHILL'!E2815,"AAAAAHXf/bg=")</f>
        <v>#VALUE!</v>
      </c>
      <c r="GD365" t="e">
        <f>AND('STERLING CATALOG - FZN &amp; CHILL'!F2815,"AAAAAHXf/bk=")</f>
        <v>#VALUE!</v>
      </c>
      <c r="GE365" t="e">
        <f>AND('STERLING CATALOG - FZN &amp; CHILL'!G2815,"AAAAAHXf/bo=")</f>
        <v>#VALUE!</v>
      </c>
      <c r="GF365" t="e">
        <f>AND('STERLING CATALOG - FZN &amp; CHILL'!H2815,"AAAAAHXf/bs=")</f>
        <v>#VALUE!</v>
      </c>
      <c r="GG365" t="e">
        <f>AND('STERLING CATALOG - FZN &amp; CHILL'!I2815,"AAAAAHXf/bw=")</f>
        <v>#VALUE!</v>
      </c>
      <c r="GH365" t="e">
        <f>AND('STERLING CATALOG - FZN &amp; CHILL'!J2815,"AAAAAHXf/b0=")</f>
        <v>#VALUE!</v>
      </c>
      <c r="GI365">
        <f>IF('STERLING CATALOG - FZN &amp; CHILL'!2816:2816,"AAAAAHXf/b4=",0)</f>
        <v>0</v>
      </c>
      <c r="GJ365" t="e">
        <f>AND('STERLING CATALOG - FZN &amp; CHILL'!A2816,"AAAAAHXf/b8=")</f>
        <v>#VALUE!</v>
      </c>
      <c r="GK365" t="e">
        <f>AND('STERLING CATALOG - FZN &amp; CHILL'!B2816,"AAAAAHXf/cA=")</f>
        <v>#VALUE!</v>
      </c>
      <c r="GL365" t="e">
        <f>AND('STERLING CATALOG - FZN &amp; CHILL'!C2816,"AAAAAHXf/cE=")</f>
        <v>#VALUE!</v>
      </c>
      <c r="GM365" t="e">
        <f>AND('STERLING CATALOG - FZN &amp; CHILL'!D2816,"AAAAAHXf/cI=")</f>
        <v>#VALUE!</v>
      </c>
      <c r="GN365" t="e">
        <f>AND('STERLING CATALOG - FZN &amp; CHILL'!E2816,"AAAAAHXf/cM=")</f>
        <v>#VALUE!</v>
      </c>
      <c r="GO365" t="e">
        <f>AND('STERLING CATALOG - FZN &amp; CHILL'!F2816,"AAAAAHXf/cQ=")</f>
        <v>#VALUE!</v>
      </c>
      <c r="GP365" t="e">
        <f>AND('STERLING CATALOG - FZN &amp; CHILL'!G2816,"AAAAAHXf/cU=")</f>
        <v>#VALUE!</v>
      </c>
      <c r="GQ365" t="e">
        <f>AND('STERLING CATALOG - FZN &amp; CHILL'!H2816,"AAAAAHXf/cY=")</f>
        <v>#VALUE!</v>
      </c>
      <c r="GR365" t="e">
        <f>AND('STERLING CATALOG - FZN &amp; CHILL'!I2816,"AAAAAHXf/cc=")</f>
        <v>#VALUE!</v>
      </c>
      <c r="GS365" t="e">
        <f>AND('STERLING CATALOG - FZN &amp; CHILL'!J2816,"AAAAAHXf/cg=")</f>
        <v>#VALUE!</v>
      </c>
      <c r="GT365">
        <f>IF('STERLING CATALOG - FZN &amp; CHILL'!2817:2817,"AAAAAHXf/ck=",0)</f>
        <v>0</v>
      </c>
      <c r="GU365" t="e">
        <f>AND('STERLING CATALOG - FZN &amp; CHILL'!A2817,"AAAAAHXf/co=")</f>
        <v>#VALUE!</v>
      </c>
      <c r="GV365" t="e">
        <f>AND('STERLING CATALOG - FZN &amp; CHILL'!B2817,"AAAAAHXf/cs=")</f>
        <v>#VALUE!</v>
      </c>
      <c r="GW365" t="e">
        <f>AND('STERLING CATALOG - FZN &amp; CHILL'!C2817,"AAAAAHXf/cw=")</f>
        <v>#VALUE!</v>
      </c>
      <c r="GX365" t="e">
        <f>AND('STERLING CATALOG - FZN &amp; CHILL'!D2817,"AAAAAHXf/c0=")</f>
        <v>#VALUE!</v>
      </c>
      <c r="GY365" t="e">
        <f>AND('STERLING CATALOG - FZN &amp; CHILL'!E2817,"AAAAAHXf/c4=")</f>
        <v>#VALUE!</v>
      </c>
      <c r="GZ365" t="e">
        <f>AND('STERLING CATALOG - FZN &amp; CHILL'!F2817,"AAAAAHXf/c8=")</f>
        <v>#VALUE!</v>
      </c>
      <c r="HA365" t="e">
        <f>AND('STERLING CATALOG - FZN &amp; CHILL'!G2817,"AAAAAHXf/dA=")</f>
        <v>#VALUE!</v>
      </c>
      <c r="HB365" t="e">
        <f>AND('STERLING CATALOG - FZN &amp; CHILL'!H2817,"AAAAAHXf/dE=")</f>
        <v>#VALUE!</v>
      </c>
      <c r="HC365" t="e">
        <f>AND('STERLING CATALOG - FZN &amp; CHILL'!I2817,"AAAAAHXf/dI=")</f>
        <v>#VALUE!</v>
      </c>
      <c r="HD365" t="e">
        <f>AND('STERLING CATALOG - FZN &amp; CHILL'!J2817,"AAAAAHXf/dM=")</f>
        <v>#VALUE!</v>
      </c>
      <c r="HE365">
        <f>IF('STERLING CATALOG - FZN &amp; CHILL'!2818:2818,"AAAAAHXf/dQ=",0)</f>
        <v>0</v>
      </c>
      <c r="HF365" t="e">
        <f>AND('STERLING CATALOG - FZN &amp; CHILL'!A2818,"AAAAAHXf/dU=")</f>
        <v>#VALUE!</v>
      </c>
      <c r="HG365" t="e">
        <f>AND('STERLING CATALOG - FZN &amp; CHILL'!B2818,"AAAAAHXf/dY=")</f>
        <v>#VALUE!</v>
      </c>
      <c r="HH365" t="e">
        <f>AND('STERLING CATALOG - FZN &amp; CHILL'!C2818,"AAAAAHXf/dc=")</f>
        <v>#VALUE!</v>
      </c>
      <c r="HI365" t="e">
        <f>AND('STERLING CATALOG - FZN &amp; CHILL'!D2818,"AAAAAHXf/dg=")</f>
        <v>#VALUE!</v>
      </c>
      <c r="HJ365" t="e">
        <f>AND('STERLING CATALOG - FZN &amp; CHILL'!E2818,"AAAAAHXf/dk=")</f>
        <v>#VALUE!</v>
      </c>
      <c r="HK365" t="e">
        <f>AND('STERLING CATALOG - FZN &amp; CHILL'!F2818,"AAAAAHXf/do=")</f>
        <v>#VALUE!</v>
      </c>
      <c r="HL365" t="e">
        <f>AND('STERLING CATALOG - FZN &amp; CHILL'!G2818,"AAAAAHXf/ds=")</f>
        <v>#VALUE!</v>
      </c>
      <c r="HM365" t="e">
        <f>AND('STERLING CATALOG - FZN &amp; CHILL'!H2818,"AAAAAHXf/dw=")</f>
        <v>#VALUE!</v>
      </c>
      <c r="HN365" t="e">
        <f>AND('STERLING CATALOG - FZN &amp; CHILL'!I2818,"AAAAAHXf/d0=")</f>
        <v>#VALUE!</v>
      </c>
      <c r="HO365" t="e">
        <f>AND('STERLING CATALOG - FZN &amp; CHILL'!J2818,"AAAAAHXf/d4=")</f>
        <v>#VALUE!</v>
      </c>
      <c r="HP365">
        <f>IF('STERLING CATALOG - FZN &amp; CHILL'!2819:2819,"AAAAAHXf/d8=",0)</f>
        <v>0</v>
      </c>
      <c r="HQ365" t="e">
        <f>AND('STERLING CATALOG - FZN &amp; CHILL'!A2819,"AAAAAHXf/eA=")</f>
        <v>#VALUE!</v>
      </c>
      <c r="HR365" t="e">
        <f>AND('STERLING CATALOG - FZN &amp; CHILL'!B2819,"AAAAAHXf/eE=")</f>
        <v>#VALUE!</v>
      </c>
      <c r="HS365" t="e">
        <f>AND('STERLING CATALOG - FZN &amp; CHILL'!C2819,"AAAAAHXf/eI=")</f>
        <v>#VALUE!</v>
      </c>
      <c r="HT365" t="e">
        <f>AND('STERLING CATALOG - FZN &amp; CHILL'!D2819,"AAAAAHXf/eM=")</f>
        <v>#VALUE!</v>
      </c>
      <c r="HU365" t="e">
        <f>AND('STERLING CATALOG - FZN &amp; CHILL'!E2819,"AAAAAHXf/eQ=")</f>
        <v>#VALUE!</v>
      </c>
      <c r="HV365" t="e">
        <f>AND('STERLING CATALOG - FZN &amp; CHILL'!F2819,"AAAAAHXf/eU=")</f>
        <v>#VALUE!</v>
      </c>
      <c r="HW365" t="e">
        <f>AND('STERLING CATALOG - FZN &amp; CHILL'!G2819,"AAAAAHXf/eY=")</f>
        <v>#VALUE!</v>
      </c>
      <c r="HX365" t="e">
        <f>AND('STERLING CATALOG - FZN &amp; CHILL'!H2819,"AAAAAHXf/ec=")</f>
        <v>#VALUE!</v>
      </c>
      <c r="HY365" t="e">
        <f>AND('STERLING CATALOG - FZN &amp; CHILL'!I2819,"AAAAAHXf/eg=")</f>
        <v>#VALUE!</v>
      </c>
      <c r="HZ365" t="e">
        <f>AND('STERLING CATALOG - FZN &amp; CHILL'!J2819,"AAAAAHXf/ek=")</f>
        <v>#VALUE!</v>
      </c>
      <c r="IA365">
        <f>IF('STERLING CATALOG - FZN &amp; CHILL'!2820:2820,"AAAAAHXf/eo=",0)</f>
        <v>0</v>
      </c>
      <c r="IB365" t="e">
        <f>AND('STERLING CATALOG - FZN &amp; CHILL'!A2820,"AAAAAHXf/es=")</f>
        <v>#VALUE!</v>
      </c>
      <c r="IC365" t="e">
        <f>AND('STERLING CATALOG - FZN &amp; CHILL'!B2820,"AAAAAHXf/ew=")</f>
        <v>#VALUE!</v>
      </c>
      <c r="ID365" t="e">
        <f>AND('STERLING CATALOG - FZN &amp; CHILL'!C2820,"AAAAAHXf/e0=")</f>
        <v>#VALUE!</v>
      </c>
      <c r="IE365" t="e">
        <f>AND('STERLING CATALOG - FZN &amp; CHILL'!D2820,"AAAAAHXf/e4=")</f>
        <v>#VALUE!</v>
      </c>
      <c r="IF365" t="e">
        <f>AND('STERLING CATALOG - FZN &amp; CHILL'!E2820,"AAAAAHXf/e8=")</f>
        <v>#VALUE!</v>
      </c>
      <c r="IG365" t="e">
        <f>AND('STERLING CATALOG - FZN &amp; CHILL'!F2820,"AAAAAHXf/fA=")</f>
        <v>#VALUE!</v>
      </c>
      <c r="IH365" t="e">
        <f>AND('STERLING CATALOG - FZN &amp; CHILL'!G2820,"AAAAAHXf/fE=")</f>
        <v>#VALUE!</v>
      </c>
      <c r="II365" t="e">
        <f>AND('STERLING CATALOG - FZN &amp; CHILL'!H2820,"AAAAAHXf/fI=")</f>
        <v>#VALUE!</v>
      </c>
      <c r="IJ365" t="e">
        <f>AND('STERLING CATALOG - FZN &amp; CHILL'!I2820,"AAAAAHXf/fM=")</f>
        <v>#VALUE!</v>
      </c>
      <c r="IK365" t="e">
        <f>AND('STERLING CATALOG - FZN &amp; CHILL'!J2820,"AAAAAHXf/fQ=")</f>
        <v>#VALUE!</v>
      </c>
      <c r="IL365">
        <f>IF('STERLING CATALOG - FZN &amp; CHILL'!2821:2821,"AAAAAHXf/fU=",0)</f>
        <v>0</v>
      </c>
      <c r="IM365" t="e">
        <f>AND('STERLING CATALOG - FZN &amp; CHILL'!A2821,"AAAAAHXf/fY=")</f>
        <v>#VALUE!</v>
      </c>
      <c r="IN365" t="e">
        <f>AND('STERLING CATALOG - FZN &amp; CHILL'!B2821,"AAAAAHXf/fc=")</f>
        <v>#VALUE!</v>
      </c>
      <c r="IO365" t="e">
        <f>AND('STERLING CATALOG - FZN &amp; CHILL'!C2821,"AAAAAHXf/fg=")</f>
        <v>#VALUE!</v>
      </c>
      <c r="IP365" t="e">
        <f>AND('STERLING CATALOG - FZN &amp; CHILL'!D2821,"AAAAAHXf/fk=")</f>
        <v>#VALUE!</v>
      </c>
      <c r="IQ365" t="e">
        <f>AND('STERLING CATALOG - FZN &amp; CHILL'!E2821,"AAAAAHXf/fo=")</f>
        <v>#VALUE!</v>
      </c>
      <c r="IR365" t="e">
        <f>AND('STERLING CATALOG - FZN &amp; CHILL'!F2821,"AAAAAHXf/fs=")</f>
        <v>#VALUE!</v>
      </c>
      <c r="IS365" t="e">
        <f>AND('STERLING CATALOG - FZN &amp; CHILL'!G2821,"AAAAAHXf/fw=")</f>
        <v>#VALUE!</v>
      </c>
      <c r="IT365" t="e">
        <f>AND('STERLING CATALOG - FZN &amp; CHILL'!H2821,"AAAAAHXf/f0=")</f>
        <v>#VALUE!</v>
      </c>
      <c r="IU365" t="e">
        <f>AND('STERLING CATALOG - FZN &amp; CHILL'!I2821,"AAAAAHXf/f4=")</f>
        <v>#VALUE!</v>
      </c>
      <c r="IV365" t="e">
        <f>AND('STERLING CATALOG - FZN &amp; CHILL'!J2821,"AAAAAHXf/f8=")</f>
        <v>#VALUE!</v>
      </c>
    </row>
    <row r="366" spans="1:256">
      <c r="A366" t="str">
        <f>IF('STERLING CATALOG - FZN &amp; CHILL'!2822:2822,"AAAAAB4XRwA=",0)</f>
        <v>AAAAAB4XRwA=</v>
      </c>
      <c r="B366" t="e">
        <f>AND('STERLING CATALOG - FZN &amp; CHILL'!A2822,"AAAAAB4XRwE=")</f>
        <v>#VALUE!</v>
      </c>
      <c r="C366" t="e">
        <f>AND('STERLING CATALOG - FZN &amp; CHILL'!B2822,"AAAAAB4XRwI=")</f>
        <v>#VALUE!</v>
      </c>
      <c r="D366" t="e">
        <f>AND('STERLING CATALOG - FZN &amp; CHILL'!C2822,"AAAAAB4XRwM=")</f>
        <v>#VALUE!</v>
      </c>
      <c r="E366" t="e">
        <f>AND('STERLING CATALOG - FZN &amp; CHILL'!D2822,"AAAAAB4XRwQ=")</f>
        <v>#VALUE!</v>
      </c>
      <c r="F366" t="e">
        <f>AND('STERLING CATALOG - FZN &amp; CHILL'!E2822,"AAAAAB4XRwU=")</f>
        <v>#VALUE!</v>
      </c>
      <c r="G366" t="e">
        <f>AND('STERLING CATALOG - FZN &amp; CHILL'!F2822,"AAAAAB4XRwY=")</f>
        <v>#VALUE!</v>
      </c>
      <c r="H366" t="e">
        <f>AND('STERLING CATALOG - FZN &amp; CHILL'!G2822,"AAAAAB4XRwc=")</f>
        <v>#VALUE!</v>
      </c>
      <c r="I366" t="e">
        <f>AND('STERLING CATALOG - FZN &amp; CHILL'!H2822,"AAAAAB4XRwg=")</f>
        <v>#VALUE!</v>
      </c>
      <c r="J366" t="e">
        <f>AND('STERLING CATALOG - FZN &amp; CHILL'!I2822,"AAAAAB4XRwk=")</f>
        <v>#VALUE!</v>
      </c>
      <c r="K366" t="e">
        <f>AND('STERLING CATALOG - FZN &amp; CHILL'!J2822,"AAAAAB4XRwo=")</f>
        <v>#VALUE!</v>
      </c>
      <c r="L366">
        <f>IF('STERLING CATALOG - FZN &amp; CHILL'!2823:2823,"AAAAAB4XRws=",0)</f>
        <v>0</v>
      </c>
      <c r="M366" t="e">
        <f>AND('STERLING CATALOG - FZN &amp; CHILL'!A2823,"AAAAAB4XRww=")</f>
        <v>#VALUE!</v>
      </c>
      <c r="N366" t="e">
        <f>AND('STERLING CATALOG - FZN &amp; CHILL'!B2823,"AAAAAB4XRw0=")</f>
        <v>#VALUE!</v>
      </c>
      <c r="O366" t="e">
        <f>AND('STERLING CATALOG - FZN &amp; CHILL'!C2823,"AAAAAB4XRw4=")</f>
        <v>#VALUE!</v>
      </c>
      <c r="P366" t="e">
        <f>AND('STERLING CATALOG - FZN &amp; CHILL'!D2823,"AAAAAB4XRw8=")</f>
        <v>#VALUE!</v>
      </c>
      <c r="Q366" t="e">
        <f>AND('STERLING CATALOG - FZN &amp; CHILL'!E2823,"AAAAAB4XRxA=")</f>
        <v>#VALUE!</v>
      </c>
      <c r="R366" t="e">
        <f>AND('STERLING CATALOG - FZN &amp; CHILL'!F2823,"AAAAAB4XRxE=")</f>
        <v>#VALUE!</v>
      </c>
      <c r="S366" t="e">
        <f>AND('STERLING CATALOG - FZN &amp; CHILL'!G2823,"AAAAAB4XRxI=")</f>
        <v>#VALUE!</v>
      </c>
      <c r="T366" t="e">
        <f>AND('STERLING CATALOG - FZN &amp; CHILL'!H2823,"AAAAAB4XRxM=")</f>
        <v>#VALUE!</v>
      </c>
      <c r="U366" t="e">
        <f>AND('STERLING CATALOG - FZN &amp; CHILL'!I2823,"AAAAAB4XRxQ=")</f>
        <v>#VALUE!</v>
      </c>
      <c r="V366" t="e">
        <f>AND('STERLING CATALOG - FZN &amp; CHILL'!J2823,"AAAAAB4XRxU=")</f>
        <v>#VALUE!</v>
      </c>
      <c r="W366">
        <f>IF('STERLING CATALOG - FZN &amp; CHILL'!2824:2824,"AAAAAB4XRxY=",0)</f>
        <v>0</v>
      </c>
      <c r="X366" t="e">
        <f>AND('STERLING CATALOG - FZN &amp; CHILL'!A2824,"AAAAAB4XRxc=")</f>
        <v>#VALUE!</v>
      </c>
      <c r="Y366" t="e">
        <f>AND('STERLING CATALOG - FZN &amp; CHILL'!B2824,"AAAAAB4XRxg=")</f>
        <v>#VALUE!</v>
      </c>
      <c r="Z366" t="e">
        <f>AND('STERLING CATALOG - FZN &amp; CHILL'!C2824,"AAAAAB4XRxk=")</f>
        <v>#VALUE!</v>
      </c>
      <c r="AA366" t="e">
        <f>AND('STERLING CATALOG - FZN &amp; CHILL'!D2824,"AAAAAB4XRxo=")</f>
        <v>#VALUE!</v>
      </c>
      <c r="AB366" t="e">
        <f>AND('STERLING CATALOG - FZN &amp; CHILL'!E2824,"AAAAAB4XRxs=")</f>
        <v>#VALUE!</v>
      </c>
      <c r="AC366" t="e">
        <f>AND('STERLING CATALOG - FZN &amp; CHILL'!F2824,"AAAAAB4XRxw=")</f>
        <v>#VALUE!</v>
      </c>
      <c r="AD366" t="e">
        <f>AND('STERLING CATALOG - FZN &amp; CHILL'!G2824,"AAAAAB4XRx0=")</f>
        <v>#VALUE!</v>
      </c>
      <c r="AE366" t="e">
        <f>AND('STERLING CATALOG - FZN &amp; CHILL'!H2824,"AAAAAB4XRx4=")</f>
        <v>#VALUE!</v>
      </c>
      <c r="AF366" t="e">
        <f>AND('STERLING CATALOG - FZN &amp; CHILL'!I2824,"AAAAAB4XRx8=")</f>
        <v>#VALUE!</v>
      </c>
      <c r="AG366" t="e">
        <f>AND('STERLING CATALOG - FZN &amp; CHILL'!J2824,"AAAAAB4XRyA=")</f>
        <v>#VALUE!</v>
      </c>
      <c r="AH366">
        <f>IF('STERLING CATALOG - FZN &amp; CHILL'!2825:2825,"AAAAAB4XRyE=",0)</f>
        <v>0</v>
      </c>
      <c r="AI366" t="e">
        <f>AND('STERLING CATALOG - FZN &amp; CHILL'!A2825,"AAAAAB4XRyI=")</f>
        <v>#VALUE!</v>
      </c>
      <c r="AJ366" t="e">
        <f>AND('STERLING CATALOG - FZN &amp; CHILL'!B2825,"AAAAAB4XRyM=")</f>
        <v>#VALUE!</v>
      </c>
      <c r="AK366" t="e">
        <f>AND('STERLING CATALOG - FZN &amp; CHILL'!C2825,"AAAAAB4XRyQ=")</f>
        <v>#VALUE!</v>
      </c>
      <c r="AL366" t="e">
        <f>AND('STERLING CATALOG - FZN &amp; CHILL'!D2825,"AAAAAB4XRyU=")</f>
        <v>#VALUE!</v>
      </c>
      <c r="AM366" t="e">
        <f>AND('STERLING CATALOG - FZN &amp; CHILL'!E2825,"AAAAAB4XRyY=")</f>
        <v>#VALUE!</v>
      </c>
      <c r="AN366" t="e">
        <f>AND('STERLING CATALOG - FZN &amp; CHILL'!F2825,"AAAAAB4XRyc=")</f>
        <v>#VALUE!</v>
      </c>
      <c r="AO366" t="e">
        <f>AND('STERLING CATALOG - FZN &amp; CHILL'!G2825,"AAAAAB4XRyg=")</f>
        <v>#VALUE!</v>
      </c>
      <c r="AP366" t="e">
        <f>AND('STERLING CATALOG - FZN &amp; CHILL'!H2825,"AAAAAB4XRyk=")</f>
        <v>#VALUE!</v>
      </c>
      <c r="AQ366" t="e">
        <f>AND('STERLING CATALOG - FZN &amp; CHILL'!I2825,"AAAAAB4XRyo=")</f>
        <v>#VALUE!</v>
      </c>
      <c r="AR366" t="e">
        <f>AND('STERLING CATALOG - FZN &amp; CHILL'!J2825,"AAAAAB4XRys=")</f>
        <v>#VALUE!</v>
      </c>
      <c r="AS366">
        <f>IF('STERLING CATALOG - FZN &amp; CHILL'!2826:2826,"AAAAAB4XRyw=",0)</f>
        <v>0</v>
      </c>
      <c r="AT366" t="e">
        <f>AND('STERLING CATALOG - FZN &amp; CHILL'!A2826,"AAAAAB4XRy0=")</f>
        <v>#VALUE!</v>
      </c>
      <c r="AU366" t="e">
        <f>AND('STERLING CATALOG - FZN &amp; CHILL'!B2826,"AAAAAB4XRy4=")</f>
        <v>#VALUE!</v>
      </c>
      <c r="AV366" t="e">
        <f>AND('STERLING CATALOG - FZN &amp; CHILL'!C2826,"AAAAAB4XRy8=")</f>
        <v>#VALUE!</v>
      </c>
      <c r="AW366" t="e">
        <f>AND('STERLING CATALOG - FZN &amp; CHILL'!D2826,"AAAAAB4XRzA=")</f>
        <v>#VALUE!</v>
      </c>
      <c r="AX366" t="e">
        <f>AND('STERLING CATALOG - FZN &amp; CHILL'!E2826,"AAAAAB4XRzE=")</f>
        <v>#VALUE!</v>
      </c>
      <c r="AY366" t="e">
        <f>AND('STERLING CATALOG - FZN &amp; CHILL'!F2826,"AAAAAB4XRzI=")</f>
        <v>#VALUE!</v>
      </c>
      <c r="AZ366" t="e">
        <f>AND('STERLING CATALOG - FZN &amp; CHILL'!G2826,"AAAAAB4XRzM=")</f>
        <v>#VALUE!</v>
      </c>
      <c r="BA366" t="e">
        <f>AND('STERLING CATALOG - FZN &amp; CHILL'!H2826,"AAAAAB4XRzQ=")</f>
        <v>#VALUE!</v>
      </c>
      <c r="BB366" t="e">
        <f>AND('STERLING CATALOG - FZN &amp; CHILL'!I2826,"AAAAAB4XRzU=")</f>
        <v>#VALUE!</v>
      </c>
      <c r="BC366" t="e">
        <f>AND('STERLING CATALOG - FZN &amp; CHILL'!J2826,"AAAAAB4XRzY=")</f>
        <v>#VALUE!</v>
      </c>
      <c r="BD366">
        <f>IF('STERLING CATALOG - FZN &amp; CHILL'!2827:2827,"AAAAAB4XRzc=",0)</f>
        <v>0</v>
      </c>
      <c r="BE366" t="e">
        <f>AND('STERLING CATALOG - FZN &amp; CHILL'!A2827,"AAAAAB4XRzg=")</f>
        <v>#VALUE!</v>
      </c>
      <c r="BF366" t="e">
        <f>AND('STERLING CATALOG - FZN &amp; CHILL'!B2827,"AAAAAB4XRzk=")</f>
        <v>#VALUE!</v>
      </c>
      <c r="BG366" t="e">
        <f>AND('STERLING CATALOG - FZN &amp; CHILL'!C2827,"AAAAAB4XRzo=")</f>
        <v>#VALUE!</v>
      </c>
      <c r="BH366" t="e">
        <f>AND('STERLING CATALOG - FZN &amp; CHILL'!D2827,"AAAAAB4XRzs=")</f>
        <v>#VALUE!</v>
      </c>
      <c r="BI366" t="e">
        <f>AND('STERLING CATALOG - FZN &amp; CHILL'!E2827,"AAAAAB4XRzw=")</f>
        <v>#VALUE!</v>
      </c>
      <c r="BJ366" t="e">
        <f>AND('STERLING CATALOG - FZN &amp; CHILL'!F2827,"AAAAAB4XRz0=")</f>
        <v>#VALUE!</v>
      </c>
      <c r="BK366" t="e">
        <f>AND('STERLING CATALOG - FZN &amp; CHILL'!G2827,"AAAAAB4XRz4=")</f>
        <v>#VALUE!</v>
      </c>
      <c r="BL366" t="e">
        <f>AND('STERLING CATALOG - FZN &amp; CHILL'!H2827,"AAAAAB4XRz8=")</f>
        <v>#VALUE!</v>
      </c>
      <c r="BM366" t="e">
        <f>AND('STERLING CATALOG - FZN &amp; CHILL'!I2827,"AAAAAB4XR0A=")</f>
        <v>#VALUE!</v>
      </c>
      <c r="BN366" t="e">
        <f>AND('STERLING CATALOG - FZN &amp; CHILL'!J2827,"AAAAAB4XR0E=")</f>
        <v>#VALUE!</v>
      </c>
      <c r="BO366">
        <f>IF('STERLING CATALOG - FZN &amp; CHILL'!2828:2828,"AAAAAB4XR0I=",0)</f>
        <v>0</v>
      </c>
      <c r="BP366" t="e">
        <f>AND('STERLING CATALOG - FZN &amp; CHILL'!A2828,"AAAAAB4XR0M=")</f>
        <v>#VALUE!</v>
      </c>
      <c r="BQ366" t="e">
        <f>AND('STERLING CATALOG - FZN &amp; CHILL'!B2828,"AAAAAB4XR0Q=")</f>
        <v>#VALUE!</v>
      </c>
      <c r="BR366" t="e">
        <f>AND('STERLING CATALOG - FZN &amp; CHILL'!C2828,"AAAAAB4XR0U=")</f>
        <v>#VALUE!</v>
      </c>
      <c r="BS366" t="e">
        <f>AND('STERLING CATALOG - FZN &amp; CHILL'!D2828,"AAAAAB4XR0Y=")</f>
        <v>#VALUE!</v>
      </c>
      <c r="BT366" t="e">
        <f>AND('STERLING CATALOG - FZN &amp; CHILL'!E2828,"AAAAAB4XR0c=")</f>
        <v>#VALUE!</v>
      </c>
      <c r="BU366" t="e">
        <f>AND('STERLING CATALOG - FZN &amp; CHILL'!F2828,"AAAAAB4XR0g=")</f>
        <v>#VALUE!</v>
      </c>
      <c r="BV366" t="e">
        <f>AND('STERLING CATALOG - FZN &amp; CHILL'!G2828,"AAAAAB4XR0k=")</f>
        <v>#VALUE!</v>
      </c>
      <c r="BW366" t="e">
        <f>AND('STERLING CATALOG - FZN &amp; CHILL'!H2828,"AAAAAB4XR0o=")</f>
        <v>#VALUE!</v>
      </c>
      <c r="BX366" t="e">
        <f>AND('STERLING CATALOG - FZN &amp; CHILL'!I2828,"AAAAAB4XR0s=")</f>
        <v>#VALUE!</v>
      </c>
      <c r="BY366" t="e">
        <f>AND('STERLING CATALOG - FZN &amp; CHILL'!J2828,"AAAAAB4XR0w=")</f>
        <v>#VALUE!</v>
      </c>
      <c r="BZ366">
        <f>IF('STERLING CATALOG - FZN &amp; CHILL'!2829:2829,"AAAAAB4XR00=",0)</f>
        <v>0</v>
      </c>
      <c r="CA366" t="e">
        <f>AND('STERLING CATALOG - FZN &amp; CHILL'!A2829,"AAAAAB4XR04=")</f>
        <v>#VALUE!</v>
      </c>
      <c r="CB366" t="e">
        <f>AND('STERLING CATALOG - FZN &amp; CHILL'!B2829,"AAAAAB4XR08=")</f>
        <v>#VALUE!</v>
      </c>
      <c r="CC366" t="e">
        <f>AND('STERLING CATALOG - FZN &amp; CHILL'!C2829,"AAAAAB4XR1A=")</f>
        <v>#VALUE!</v>
      </c>
      <c r="CD366" t="e">
        <f>AND('STERLING CATALOG - FZN &amp; CHILL'!D2829,"AAAAAB4XR1E=")</f>
        <v>#VALUE!</v>
      </c>
      <c r="CE366" t="e">
        <f>AND('STERLING CATALOG - FZN &amp; CHILL'!E2829,"AAAAAB4XR1I=")</f>
        <v>#VALUE!</v>
      </c>
      <c r="CF366" t="e">
        <f>AND('STERLING CATALOG - FZN &amp; CHILL'!F2829,"AAAAAB4XR1M=")</f>
        <v>#VALUE!</v>
      </c>
      <c r="CG366" t="e">
        <f>AND('STERLING CATALOG - FZN &amp; CHILL'!G2829,"AAAAAB4XR1Q=")</f>
        <v>#VALUE!</v>
      </c>
      <c r="CH366" t="e">
        <f>AND('STERLING CATALOG - FZN &amp; CHILL'!H2829,"AAAAAB4XR1U=")</f>
        <v>#VALUE!</v>
      </c>
      <c r="CI366" t="e">
        <f>AND('STERLING CATALOG - FZN &amp; CHILL'!I2829,"AAAAAB4XR1Y=")</f>
        <v>#VALUE!</v>
      </c>
      <c r="CJ366" t="e">
        <f>AND('STERLING CATALOG - FZN &amp; CHILL'!J2829,"AAAAAB4XR1c=")</f>
        <v>#VALUE!</v>
      </c>
      <c r="CK366">
        <f>IF('STERLING CATALOG - FZN &amp; CHILL'!2830:2830,"AAAAAB4XR1g=",0)</f>
        <v>0</v>
      </c>
      <c r="CL366" t="e">
        <f>AND('STERLING CATALOG - FZN &amp; CHILL'!A2830,"AAAAAB4XR1k=")</f>
        <v>#VALUE!</v>
      </c>
      <c r="CM366" t="e">
        <f>AND('STERLING CATALOG - FZN &amp; CHILL'!B2830,"AAAAAB4XR1o=")</f>
        <v>#VALUE!</v>
      </c>
      <c r="CN366" t="e">
        <f>AND('STERLING CATALOG - FZN &amp; CHILL'!C2830,"AAAAAB4XR1s=")</f>
        <v>#VALUE!</v>
      </c>
      <c r="CO366" t="e">
        <f>AND('STERLING CATALOG - FZN &amp; CHILL'!D2830,"AAAAAB4XR1w=")</f>
        <v>#VALUE!</v>
      </c>
      <c r="CP366" t="e">
        <f>AND('STERLING CATALOG - FZN &amp; CHILL'!E2830,"AAAAAB4XR10=")</f>
        <v>#VALUE!</v>
      </c>
      <c r="CQ366" t="e">
        <f>AND('STERLING CATALOG - FZN &amp; CHILL'!F2830,"AAAAAB4XR14=")</f>
        <v>#VALUE!</v>
      </c>
      <c r="CR366" t="e">
        <f>AND('STERLING CATALOG - FZN &amp; CHILL'!G2830,"AAAAAB4XR18=")</f>
        <v>#VALUE!</v>
      </c>
      <c r="CS366" t="e">
        <f>AND('STERLING CATALOG - FZN &amp; CHILL'!H2830,"AAAAAB4XR2A=")</f>
        <v>#VALUE!</v>
      </c>
      <c r="CT366" t="e">
        <f>AND('STERLING CATALOG - FZN &amp; CHILL'!I2830,"AAAAAB4XR2E=")</f>
        <v>#VALUE!</v>
      </c>
      <c r="CU366" t="e">
        <f>AND('STERLING CATALOG - FZN &amp; CHILL'!J2830,"AAAAAB4XR2I=")</f>
        <v>#VALUE!</v>
      </c>
      <c r="CV366">
        <f>IF('STERLING CATALOG - FZN &amp; CHILL'!2831:2831,"AAAAAB4XR2M=",0)</f>
        <v>0</v>
      </c>
      <c r="CW366" t="e">
        <f>AND('STERLING CATALOG - FZN &amp; CHILL'!A2831,"AAAAAB4XR2Q=")</f>
        <v>#VALUE!</v>
      </c>
      <c r="CX366" t="e">
        <f>AND('STERLING CATALOG - FZN &amp; CHILL'!B2831,"AAAAAB4XR2U=")</f>
        <v>#VALUE!</v>
      </c>
      <c r="CY366" t="e">
        <f>AND('STERLING CATALOG - FZN &amp; CHILL'!C2831,"AAAAAB4XR2Y=")</f>
        <v>#VALUE!</v>
      </c>
      <c r="CZ366" t="e">
        <f>AND('STERLING CATALOG - FZN &amp; CHILL'!D2831,"AAAAAB4XR2c=")</f>
        <v>#VALUE!</v>
      </c>
      <c r="DA366" t="e">
        <f>AND('STERLING CATALOG - FZN &amp; CHILL'!E2831,"AAAAAB4XR2g=")</f>
        <v>#VALUE!</v>
      </c>
      <c r="DB366" t="e">
        <f>AND('STERLING CATALOG - FZN &amp; CHILL'!F2831,"AAAAAB4XR2k=")</f>
        <v>#VALUE!</v>
      </c>
      <c r="DC366" t="e">
        <f>AND('STERLING CATALOG - FZN &amp; CHILL'!G2831,"AAAAAB4XR2o=")</f>
        <v>#VALUE!</v>
      </c>
      <c r="DD366" t="e">
        <f>AND('STERLING CATALOG - FZN &amp; CHILL'!H2831,"AAAAAB4XR2s=")</f>
        <v>#VALUE!</v>
      </c>
      <c r="DE366" t="e">
        <f>AND('STERLING CATALOG - FZN &amp; CHILL'!I2831,"AAAAAB4XR2w=")</f>
        <v>#VALUE!</v>
      </c>
      <c r="DF366" t="e">
        <f>AND('STERLING CATALOG - FZN &amp; CHILL'!J2831,"AAAAAB4XR20=")</f>
        <v>#VALUE!</v>
      </c>
      <c r="DG366">
        <f>IF('STERLING CATALOG - FZN &amp; CHILL'!2832:2832,"AAAAAB4XR24=",0)</f>
        <v>0</v>
      </c>
      <c r="DH366" t="e">
        <f>AND('STERLING CATALOG - FZN &amp; CHILL'!A2832,"AAAAAB4XR28=")</f>
        <v>#VALUE!</v>
      </c>
      <c r="DI366" t="e">
        <f>AND('STERLING CATALOG - FZN &amp; CHILL'!B2832,"AAAAAB4XR3A=")</f>
        <v>#VALUE!</v>
      </c>
      <c r="DJ366" t="e">
        <f>AND('STERLING CATALOG - FZN &amp; CHILL'!C2832,"AAAAAB4XR3E=")</f>
        <v>#VALUE!</v>
      </c>
      <c r="DK366" t="e">
        <f>AND('STERLING CATALOG - FZN &amp; CHILL'!D2832,"AAAAAB4XR3I=")</f>
        <v>#VALUE!</v>
      </c>
      <c r="DL366" t="e">
        <f>AND('STERLING CATALOG - FZN &amp; CHILL'!E2832,"AAAAAB4XR3M=")</f>
        <v>#VALUE!</v>
      </c>
      <c r="DM366" t="e">
        <f>AND('STERLING CATALOG - FZN &amp; CHILL'!F2832,"AAAAAB4XR3Q=")</f>
        <v>#VALUE!</v>
      </c>
      <c r="DN366" t="e">
        <f>AND('STERLING CATALOG - FZN &amp; CHILL'!G2832,"AAAAAB4XR3U=")</f>
        <v>#VALUE!</v>
      </c>
      <c r="DO366" t="e">
        <f>AND('STERLING CATALOG - FZN &amp; CHILL'!H2832,"AAAAAB4XR3Y=")</f>
        <v>#VALUE!</v>
      </c>
      <c r="DP366" t="e">
        <f>AND('STERLING CATALOG - FZN &amp; CHILL'!I2832,"AAAAAB4XR3c=")</f>
        <v>#VALUE!</v>
      </c>
      <c r="DQ366" t="e">
        <f>AND('STERLING CATALOG - FZN &amp; CHILL'!J2832,"AAAAAB4XR3g=")</f>
        <v>#VALUE!</v>
      </c>
      <c r="DR366">
        <f>IF('STERLING CATALOG - FZN &amp; CHILL'!2833:2833,"AAAAAB4XR3k=",0)</f>
        <v>0</v>
      </c>
      <c r="DS366" t="e">
        <f>AND('STERLING CATALOG - FZN &amp; CHILL'!A2833,"AAAAAB4XR3o=")</f>
        <v>#VALUE!</v>
      </c>
      <c r="DT366" t="e">
        <f>AND('STERLING CATALOG - FZN &amp; CHILL'!B2833,"AAAAAB4XR3s=")</f>
        <v>#VALUE!</v>
      </c>
      <c r="DU366" t="e">
        <f>AND('STERLING CATALOG - FZN &amp; CHILL'!C2833,"AAAAAB4XR3w=")</f>
        <v>#VALUE!</v>
      </c>
      <c r="DV366" t="e">
        <f>AND('STERLING CATALOG - FZN &amp; CHILL'!D2833,"AAAAAB4XR30=")</f>
        <v>#VALUE!</v>
      </c>
      <c r="DW366" t="e">
        <f>AND('STERLING CATALOG - FZN &amp; CHILL'!E2833,"AAAAAB4XR34=")</f>
        <v>#VALUE!</v>
      </c>
      <c r="DX366" t="e">
        <f>AND('STERLING CATALOG - FZN &amp; CHILL'!F2833,"AAAAAB4XR38=")</f>
        <v>#VALUE!</v>
      </c>
      <c r="DY366" t="e">
        <f>AND('STERLING CATALOG - FZN &amp; CHILL'!G2833,"AAAAAB4XR4A=")</f>
        <v>#VALUE!</v>
      </c>
      <c r="DZ366" t="e">
        <f>AND('STERLING CATALOG - FZN &amp; CHILL'!H2833,"AAAAAB4XR4E=")</f>
        <v>#VALUE!</v>
      </c>
      <c r="EA366" t="e">
        <f>AND('STERLING CATALOG - FZN &amp; CHILL'!I2833,"AAAAAB4XR4I=")</f>
        <v>#VALUE!</v>
      </c>
      <c r="EB366" t="e">
        <f>AND('STERLING CATALOG - FZN &amp; CHILL'!J2833,"AAAAAB4XR4M=")</f>
        <v>#VALUE!</v>
      </c>
      <c r="EC366">
        <f>IF('STERLING CATALOG - FZN &amp; CHILL'!2834:2834,"AAAAAB4XR4Q=",0)</f>
        <v>0</v>
      </c>
      <c r="ED366" t="e">
        <f>AND('STERLING CATALOG - FZN &amp; CHILL'!A2834,"AAAAAB4XR4U=")</f>
        <v>#VALUE!</v>
      </c>
      <c r="EE366" t="e">
        <f>AND('STERLING CATALOG - FZN &amp; CHILL'!B2834,"AAAAAB4XR4Y=")</f>
        <v>#VALUE!</v>
      </c>
      <c r="EF366" t="e">
        <f>AND('STERLING CATALOG - FZN &amp; CHILL'!C2834,"AAAAAB4XR4c=")</f>
        <v>#VALUE!</v>
      </c>
      <c r="EG366" t="e">
        <f>AND('STERLING CATALOG - FZN &amp; CHILL'!D2834,"AAAAAB4XR4g=")</f>
        <v>#VALUE!</v>
      </c>
      <c r="EH366" t="e">
        <f>AND('STERLING CATALOG - FZN &amp; CHILL'!E2834,"AAAAAB4XR4k=")</f>
        <v>#VALUE!</v>
      </c>
      <c r="EI366" t="e">
        <f>AND('STERLING CATALOG - FZN &amp; CHILL'!F2834,"AAAAAB4XR4o=")</f>
        <v>#VALUE!</v>
      </c>
      <c r="EJ366" t="e">
        <f>AND('STERLING CATALOG - FZN &amp; CHILL'!G2834,"AAAAAB4XR4s=")</f>
        <v>#VALUE!</v>
      </c>
      <c r="EK366" t="e">
        <f>AND('STERLING CATALOG - FZN &amp; CHILL'!H2834,"AAAAAB4XR4w=")</f>
        <v>#VALUE!</v>
      </c>
      <c r="EL366" t="e">
        <f>AND('STERLING CATALOG - FZN &amp; CHILL'!I2834,"AAAAAB4XR40=")</f>
        <v>#VALUE!</v>
      </c>
      <c r="EM366" t="e">
        <f>AND('STERLING CATALOG - FZN &amp; CHILL'!J2834,"AAAAAB4XR44=")</f>
        <v>#VALUE!</v>
      </c>
      <c r="EN366">
        <f>IF('STERLING CATALOG - FZN &amp; CHILL'!2835:2835,"AAAAAB4XR48=",0)</f>
        <v>0</v>
      </c>
      <c r="EO366" t="e">
        <f>AND('STERLING CATALOG - FZN &amp; CHILL'!A2835,"AAAAAB4XR5A=")</f>
        <v>#VALUE!</v>
      </c>
      <c r="EP366" t="e">
        <f>AND('STERLING CATALOG - FZN &amp; CHILL'!B2835,"AAAAAB4XR5E=")</f>
        <v>#VALUE!</v>
      </c>
      <c r="EQ366" t="e">
        <f>AND('STERLING CATALOG - FZN &amp; CHILL'!C2835,"AAAAAB4XR5I=")</f>
        <v>#VALUE!</v>
      </c>
      <c r="ER366" t="e">
        <f>AND('STERLING CATALOG - FZN &amp; CHILL'!D2835,"AAAAAB4XR5M=")</f>
        <v>#VALUE!</v>
      </c>
      <c r="ES366" t="e">
        <f>AND('STERLING CATALOG - FZN &amp; CHILL'!E2835,"AAAAAB4XR5Q=")</f>
        <v>#VALUE!</v>
      </c>
      <c r="ET366" t="e">
        <f>AND('STERLING CATALOG - FZN &amp; CHILL'!F2835,"AAAAAB4XR5U=")</f>
        <v>#VALUE!</v>
      </c>
      <c r="EU366" t="e">
        <f>AND('STERLING CATALOG - FZN &amp; CHILL'!G2835,"AAAAAB4XR5Y=")</f>
        <v>#VALUE!</v>
      </c>
      <c r="EV366" t="e">
        <f>AND('STERLING CATALOG - FZN &amp; CHILL'!H2835,"AAAAAB4XR5c=")</f>
        <v>#VALUE!</v>
      </c>
      <c r="EW366" t="e">
        <f>AND('STERLING CATALOG - FZN &amp; CHILL'!I2835,"AAAAAB4XR5g=")</f>
        <v>#VALUE!</v>
      </c>
      <c r="EX366" t="e">
        <f>AND('STERLING CATALOG - FZN &amp; CHILL'!J2835,"AAAAAB4XR5k=")</f>
        <v>#VALUE!</v>
      </c>
      <c r="EY366">
        <f>IF('STERLING CATALOG - FZN &amp; CHILL'!2836:2836,"AAAAAB4XR5o=",0)</f>
        <v>0</v>
      </c>
      <c r="EZ366" t="e">
        <f>AND('STERLING CATALOG - FZN &amp; CHILL'!A2836,"AAAAAB4XR5s=")</f>
        <v>#VALUE!</v>
      </c>
      <c r="FA366" t="e">
        <f>AND('STERLING CATALOG - FZN &amp; CHILL'!B2836,"AAAAAB4XR5w=")</f>
        <v>#VALUE!</v>
      </c>
      <c r="FB366" t="e">
        <f>AND('STERLING CATALOG - FZN &amp; CHILL'!C2836,"AAAAAB4XR50=")</f>
        <v>#VALUE!</v>
      </c>
      <c r="FC366" t="e">
        <f>AND('STERLING CATALOG - FZN &amp; CHILL'!D2836,"AAAAAB4XR54=")</f>
        <v>#VALUE!</v>
      </c>
      <c r="FD366" t="e">
        <f>AND('STERLING CATALOG - FZN &amp; CHILL'!E2836,"AAAAAB4XR58=")</f>
        <v>#VALUE!</v>
      </c>
      <c r="FE366" t="e">
        <f>AND('STERLING CATALOG - FZN &amp; CHILL'!F2836,"AAAAAB4XR6A=")</f>
        <v>#VALUE!</v>
      </c>
      <c r="FF366" t="e">
        <f>AND('STERLING CATALOG - FZN &amp; CHILL'!G2836,"AAAAAB4XR6E=")</f>
        <v>#VALUE!</v>
      </c>
      <c r="FG366" t="e">
        <f>AND('STERLING CATALOG - FZN &amp; CHILL'!H2836,"AAAAAB4XR6I=")</f>
        <v>#VALUE!</v>
      </c>
      <c r="FH366" t="e">
        <f>AND('STERLING CATALOG - FZN &amp; CHILL'!I2836,"AAAAAB4XR6M=")</f>
        <v>#VALUE!</v>
      </c>
      <c r="FI366" t="e">
        <f>AND('STERLING CATALOG - FZN &amp; CHILL'!J2836,"AAAAAB4XR6Q=")</f>
        <v>#VALUE!</v>
      </c>
      <c r="FJ366">
        <f>IF('STERLING CATALOG - FZN &amp; CHILL'!2837:2837,"AAAAAB4XR6U=",0)</f>
        <v>0</v>
      </c>
      <c r="FK366" t="e">
        <f>AND('STERLING CATALOG - FZN &amp; CHILL'!A2837,"AAAAAB4XR6Y=")</f>
        <v>#VALUE!</v>
      </c>
      <c r="FL366" t="e">
        <f>AND('STERLING CATALOG - FZN &amp; CHILL'!B2837,"AAAAAB4XR6c=")</f>
        <v>#VALUE!</v>
      </c>
      <c r="FM366" t="e">
        <f>AND('STERLING CATALOG - FZN &amp; CHILL'!C2837,"AAAAAB4XR6g=")</f>
        <v>#VALUE!</v>
      </c>
      <c r="FN366" t="e">
        <f>AND('STERLING CATALOG - FZN &amp; CHILL'!D2837,"AAAAAB4XR6k=")</f>
        <v>#VALUE!</v>
      </c>
      <c r="FO366" t="e">
        <f>AND('STERLING CATALOG - FZN &amp; CHILL'!E2837,"AAAAAB4XR6o=")</f>
        <v>#VALUE!</v>
      </c>
      <c r="FP366" t="e">
        <f>AND('STERLING CATALOG - FZN &amp; CHILL'!F2837,"AAAAAB4XR6s=")</f>
        <v>#VALUE!</v>
      </c>
      <c r="FQ366" t="e">
        <f>AND('STERLING CATALOG - FZN &amp; CHILL'!G2837,"AAAAAB4XR6w=")</f>
        <v>#VALUE!</v>
      </c>
      <c r="FR366" t="e">
        <f>AND('STERLING CATALOG - FZN &amp; CHILL'!H2837,"AAAAAB4XR60=")</f>
        <v>#VALUE!</v>
      </c>
      <c r="FS366" t="e">
        <f>AND('STERLING CATALOG - FZN &amp; CHILL'!I2837,"AAAAAB4XR64=")</f>
        <v>#VALUE!</v>
      </c>
      <c r="FT366" t="e">
        <f>AND('STERLING CATALOG - FZN &amp; CHILL'!J2837,"AAAAAB4XR68=")</f>
        <v>#VALUE!</v>
      </c>
      <c r="FU366">
        <f>IF('STERLING CATALOG - FZN &amp; CHILL'!2838:2838,"AAAAAB4XR7A=",0)</f>
        <v>0</v>
      </c>
      <c r="FV366" t="e">
        <f>AND('STERLING CATALOG - FZN &amp; CHILL'!A2838,"AAAAAB4XR7E=")</f>
        <v>#VALUE!</v>
      </c>
      <c r="FW366" t="e">
        <f>AND('STERLING CATALOG - FZN &amp; CHILL'!B2838,"AAAAAB4XR7I=")</f>
        <v>#VALUE!</v>
      </c>
      <c r="FX366" t="e">
        <f>AND('STERLING CATALOG - FZN &amp; CHILL'!C2838,"AAAAAB4XR7M=")</f>
        <v>#VALUE!</v>
      </c>
      <c r="FY366" t="e">
        <f>AND('STERLING CATALOG - FZN &amp; CHILL'!D2838,"AAAAAB4XR7Q=")</f>
        <v>#VALUE!</v>
      </c>
      <c r="FZ366" t="e">
        <f>AND('STERLING CATALOG - FZN &amp; CHILL'!E2838,"AAAAAB4XR7U=")</f>
        <v>#VALUE!</v>
      </c>
      <c r="GA366" t="e">
        <f>AND('STERLING CATALOG - FZN &amp; CHILL'!F2838,"AAAAAB4XR7Y=")</f>
        <v>#VALUE!</v>
      </c>
      <c r="GB366" t="e">
        <f>AND('STERLING CATALOG - FZN &amp; CHILL'!G2838,"AAAAAB4XR7c=")</f>
        <v>#VALUE!</v>
      </c>
      <c r="GC366" t="e">
        <f>AND('STERLING CATALOG - FZN &amp; CHILL'!H2838,"AAAAAB4XR7g=")</f>
        <v>#VALUE!</v>
      </c>
      <c r="GD366" t="e">
        <f>AND('STERLING CATALOG - FZN &amp; CHILL'!I2838,"AAAAAB4XR7k=")</f>
        <v>#VALUE!</v>
      </c>
      <c r="GE366" t="e">
        <f>AND('STERLING CATALOG - FZN &amp; CHILL'!J2838,"AAAAAB4XR7o=")</f>
        <v>#VALUE!</v>
      </c>
      <c r="GF366">
        <f>IF('STERLING CATALOG - FZN &amp; CHILL'!2839:2839,"AAAAAB4XR7s=",0)</f>
        <v>0</v>
      </c>
      <c r="GG366" t="e">
        <f>AND('STERLING CATALOG - FZN &amp; CHILL'!A2839,"AAAAAB4XR7w=")</f>
        <v>#VALUE!</v>
      </c>
      <c r="GH366" t="e">
        <f>AND('STERLING CATALOG - FZN &amp; CHILL'!B2839,"AAAAAB4XR70=")</f>
        <v>#VALUE!</v>
      </c>
      <c r="GI366" t="e">
        <f>AND('STERLING CATALOG - FZN &amp; CHILL'!C2839,"AAAAAB4XR74=")</f>
        <v>#VALUE!</v>
      </c>
      <c r="GJ366" t="e">
        <f>AND('STERLING CATALOG - FZN &amp; CHILL'!D2839,"AAAAAB4XR78=")</f>
        <v>#VALUE!</v>
      </c>
      <c r="GK366" t="e">
        <f>AND('STERLING CATALOG - FZN &amp; CHILL'!E2839,"AAAAAB4XR8A=")</f>
        <v>#VALUE!</v>
      </c>
      <c r="GL366" t="e">
        <f>AND('STERLING CATALOG - FZN &amp; CHILL'!F2839,"AAAAAB4XR8E=")</f>
        <v>#VALUE!</v>
      </c>
      <c r="GM366" t="e">
        <f>AND('STERLING CATALOG - FZN &amp; CHILL'!G2839,"AAAAAB4XR8I=")</f>
        <v>#VALUE!</v>
      </c>
      <c r="GN366" t="e">
        <f>AND('STERLING CATALOG - FZN &amp; CHILL'!H2839,"AAAAAB4XR8M=")</f>
        <v>#VALUE!</v>
      </c>
      <c r="GO366" t="e">
        <f>AND('STERLING CATALOG - FZN &amp; CHILL'!I2839,"AAAAAB4XR8Q=")</f>
        <v>#VALUE!</v>
      </c>
      <c r="GP366" t="e">
        <f>AND('STERLING CATALOG - FZN &amp; CHILL'!J2839,"AAAAAB4XR8U=")</f>
        <v>#VALUE!</v>
      </c>
      <c r="GQ366">
        <f>IF('STERLING CATALOG - FZN &amp; CHILL'!2840:2840,"AAAAAB4XR8Y=",0)</f>
        <v>0</v>
      </c>
      <c r="GR366" t="e">
        <f>AND('STERLING CATALOG - FZN &amp; CHILL'!A2840,"AAAAAB4XR8c=")</f>
        <v>#VALUE!</v>
      </c>
      <c r="GS366" t="e">
        <f>AND('STERLING CATALOG - FZN &amp; CHILL'!B2840,"AAAAAB4XR8g=")</f>
        <v>#VALUE!</v>
      </c>
      <c r="GT366" t="e">
        <f>AND('STERLING CATALOG - FZN &amp; CHILL'!C2840,"AAAAAB4XR8k=")</f>
        <v>#VALUE!</v>
      </c>
      <c r="GU366" t="e">
        <f>AND('STERLING CATALOG - FZN &amp; CHILL'!D2840,"AAAAAB4XR8o=")</f>
        <v>#VALUE!</v>
      </c>
      <c r="GV366" t="e">
        <f>AND('STERLING CATALOG - FZN &amp; CHILL'!E2840,"AAAAAB4XR8s=")</f>
        <v>#VALUE!</v>
      </c>
      <c r="GW366" t="e">
        <f>AND('STERLING CATALOG - FZN &amp; CHILL'!F2840,"AAAAAB4XR8w=")</f>
        <v>#VALUE!</v>
      </c>
      <c r="GX366" t="e">
        <f>AND('STERLING CATALOG - FZN &amp; CHILL'!G2840,"AAAAAB4XR80=")</f>
        <v>#VALUE!</v>
      </c>
      <c r="GY366" t="e">
        <f>AND('STERLING CATALOG - FZN &amp; CHILL'!H2840,"AAAAAB4XR84=")</f>
        <v>#VALUE!</v>
      </c>
      <c r="GZ366" t="e">
        <f>AND('STERLING CATALOG - FZN &amp; CHILL'!I2840,"AAAAAB4XR88=")</f>
        <v>#VALUE!</v>
      </c>
      <c r="HA366" t="e">
        <f>AND('STERLING CATALOG - FZN &amp; CHILL'!J2840,"AAAAAB4XR9A=")</f>
        <v>#VALUE!</v>
      </c>
      <c r="HB366">
        <f>IF('STERLING CATALOG - FZN &amp; CHILL'!2841:2841,"AAAAAB4XR9E=",0)</f>
        <v>0</v>
      </c>
      <c r="HC366" t="e">
        <f>AND('STERLING CATALOG - FZN &amp; CHILL'!A2841,"AAAAAB4XR9I=")</f>
        <v>#VALUE!</v>
      </c>
      <c r="HD366" t="e">
        <f>AND('STERLING CATALOG - FZN &amp; CHILL'!B2841,"AAAAAB4XR9M=")</f>
        <v>#VALUE!</v>
      </c>
      <c r="HE366" t="e">
        <f>AND('STERLING CATALOG - FZN &amp; CHILL'!C2841,"AAAAAB4XR9Q=")</f>
        <v>#VALUE!</v>
      </c>
      <c r="HF366" t="e">
        <f>AND('STERLING CATALOG - FZN &amp; CHILL'!D2841,"AAAAAB4XR9U=")</f>
        <v>#VALUE!</v>
      </c>
      <c r="HG366" t="e">
        <f>AND('STERLING CATALOG - FZN &amp; CHILL'!E2841,"AAAAAB4XR9Y=")</f>
        <v>#VALUE!</v>
      </c>
      <c r="HH366" t="e">
        <f>AND('STERLING CATALOG - FZN &amp; CHILL'!F2841,"AAAAAB4XR9c=")</f>
        <v>#VALUE!</v>
      </c>
      <c r="HI366" t="e">
        <f>AND('STERLING CATALOG - FZN &amp; CHILL'!G2841,"AAAAAB4XR9g=")</f>
        <v>#VALUE!</v>
      </c>
      <c r="HJ366" t="e">
        <f>AND('STERLING CATALOG - FZN &amp; CHILL'!H2841,"AAAAAB4XR9k=")</f>
        <v>#VALUE!</v>
      </c>
      <c r="HK366" t="e">
        <f>AND('STERLING CATALOG - FZN &amp; CHILL'!I2841,"AAAAAB4XR9o=")</f>
        <v>#VALUE!</v>
      </c>
      <c r="HL366" t="e">
        <f>AND('STERLING CATALOG - FZN &amp; CHILL'!J2841,"AAAAAB4XR9s=")</f>
        <v>#VALUE!</v>
      </c>
      <c r="HM366">
        <f>IF('STERLING CATALOG - FZN &amp; CHILL'!2842:2842,"AAAAAB4XR9w=",0)</f>
        <v>0</v>
      </c>
      <c r="HN366" t="e">
        <f>AND('STERLING CATALOG - FZN &amp; CHILL'!A2842,"AAAAAB4XR90=")</f>
        <v>#VALUE!</v>
      </c>
      <c r="HO366" t="e">
        <f>AND('STERLING CATALOG - FZN &amp; CHILL'!B2842,"AAAAAB4XR94=")</f>
        <v>#VALUE!</v>
      </c>
      <c r="HP366" t="e">
        <f>AND('STERLING CATALOG - FZN &amp; CHILL'!C2842,"AAAAAB4XR98=")</f>
        <v>#VALUE!</v>
      </c>
      <c r="HQ366" t="e">
        <f>AND('STERLING CATALOG - FZN &amp; CHILL'!D2842,"AAAAAB4XR+A=")</f>
        <v>#VALUE!</v>
      </c>
      <c r="HR366" t="e">
        <f>AND('STERLING CATALOG - FZN &amp; CHILL'!E2842,"AAAAAB4XR+E=")</f>
        <v>#VALUE!</v>
      </c>
      <c r="HS366" t="e">
        <f>AND('STERLING CATALOG - FZN &amp; CHILL'!F2842,"AAAAAB4XR+I=")</f>
        <v>#VALUE!</v>
      </c>
      <c r="HT366" t="e">
        <f>AND('STERLING CATALOG - FZN &amp; CHILL'!G2842,"AAAAAB4XR+M=")</f>
        <v>#VALUE!</v>
      </c>
      <c r="HU366" t="e">
        <f>AND('STERLING CATALOG - FZN &amp; CHILL'!H2842,"AAAAAB4XR+Q=")</f>
        <v>#VALUE!</v>
      </c>
      <c r="HV366" t="e">
        <f>AND('STERLING CATALOG - FZN &amp; CHILL'!I2842,"AAAAAB4XR+U=")</f>
        <v>#VALUE!</v>
      </c>
      <c r="HW366" t="e">
        <f>AND('STERLING CATALOG - FZN &amp; CHILL'!J2842,"AAAAAB4XR+Y=")</f>
        <v>#VALUE!</v>
      </c>
      <c r="HX366">
        <f>IF('STERLING CATALOG - FZN &amp; CHILL'!2843:2843,"AAAAAB4XR+c=",0)</f>
        <v>0</v>
      </c>
      <c r="HY366" t="e">
        <f>AND('STERLING CATALOG - FZN &amp; CHILL'!A2843,"AAAAAB4XR+g=")</f>
        <v>#VALUE!</v>
      </c>
      <c r="HZ366" t="e">
        <f>AND('STERLING CATALOG - FZN &amp; CHILL'!B2843,"AAAAAB4XR+k=")</f>
        <v>#VALUE!</v>
      </c>
      <c r="IA366" t="e">
        <f>AND('STERLING CATALOG - FZN &amp; CHILL'!C2843,"AAAAAB4XR+o=")</f>
        <v>#VALUE!</v>
      </c>
      <c r="IB366" t="e">
        <f>AND('STERLING CATALOG - FZN &amp; CHILL'!D2843,"AAAAAB4XR+s=")</f>
        <v>#VALUE!</v>
      </c>
      <c r="IC366" t="e">
        <f>AND('STERLING CATALOG - FZN &amp; CHILL'!E2843,"AAAAAB4XR+w=")</f>
        <v>#VALUE!</v>
      </c>
      <c r="ID366" t="e">
        <f>AND('STERLING CATALOG - FZN &amp; CHILL'!F2843,"AAAAAB4XR+0=")</f>
        <v>#VALUE!</v>
      </c>
      <c r="IE366" t="e">
        <f>AND('STERLING CATALOG - FZN &amp; CHILL'!G2843,"AAAAAB4XR+4=")</f>
        <v>#VALUE!</v>
      </c>
      <c r="IF366" t="e">
        <f>AND('STERLING CATALOG - FZN &amp; CHILL'!H2843,"AAAAAB4XR+8=")</f>
        <v>#VALUE!</v>
      </c>
      <c r="IG366" t="e">
        <f>AND('STERLING CATALOG - FZN &amp; CHILL'!I2843,"AAAAAB4XR/A=")</f>
        <v>#VALUE!</v>
      </c>
      <c r="IH366" t="e">
        <f>AND('STERLING CATALOG - FZN &amp; CHILL'!J2843,"AAAAAB4XR/E=")</f>
        <v>#VALUE!</v>
      </c>
      <c r="II366">
        <f>IF('STERLING CATALOG - FZN &amp; CHILL'!2844:2844,"AAAAAB4XR/I=",0)</f>
        <v>0</v>
      </c>
      <c r="IJ366" t="e">
        <f>AND('STERLING CATALOG - FZN &amp; CHILL'!A2844,"AAAAAB4XR/M=")</f>
        <v>#VALUE!</v>
      </c>
      <c r="IK366" t="e">
        <f>AND('STERLING CATALOG - FZN &amp; CHILL'!B2844,"AAAAAB4XR/Q=")</f>
        <v>#VALUE!</v>
      </c>
      <c r="IL366" t="e">
        <f>AND('STERLING CATALOG - FZN &amp; CHILL'!C2844,"AAAAAB4XR/U=")</f>
        <v>#VALUE!</v>
      </c>
      <c r="IM366" t="e">
        <f>AND('STERLING CATALOG - FZN &amp; CHILL'!D2844,"AAAAAB4XR/Y=")</f>
        <v>#VALUE!</v>
      </c>
      <c r="IN366" t="e">
        <f>AND('STERLING CATALOG - FZN &amp; CHILL'!E2844,"AAAAAB4XR/c=")</f>
        <v>#VALUE!</v>
      </c>
      <c r="IO366" t="e">
        <f>AND('STERLING CATALOG - FZN &amp; CHILL'!F2844,"AAAAAB4XR/g=")</f>
        <v>#VALUE!</v>
      </c>
      <c r="IP366" t="e">
        <f>AND('STERLING CATALOG - FZN &amp; CHILL'!G2844,"AAAAAB4XR/k=")</f>
        <v>#VALUE!</v>
      </c>
      <c r="IQ366" t="e">
        <f>AND('STERLING CATALOG - FZN &amp; CHILL'!H2844,"AAAAAB4XR/o=")</f>
        <v>#VALUE!</v>
      </c>
      <c r="IR366" t="e">
        <f>AND('STERLING CATALOG - FZN &amp; CHILL'!I2844,"AAAAAB4XR/s=")</f>
        <v>#VALUE!</v>
      </c>
      <c r="IS366" t="e">
        <f>AND('STERLING CATALOG - FZN &amp; CHILL'!J2844,"AAAAAB4XR/w=")</f>
        <v>#VALUE!</v>
      </c>
      <c r="IT366">
        <f>IF('STERLING CATALOG - FZN &amp; CHILL'!2845:2845,"AAAAAB4XR/0=",0)</f>
        <v>0</v>
      </c>
      <c r="IU366" t="e">
        <f>AND('STERLING CATALOG - FZN &amp; CHILL'!A2845,"AAAAAB4XR/4=")</f>
        <v>#VALUE!</v>
      </c>
      <c r="IV366" t="e">
        <f>AND('STERLING CATALOG - FZN &amp; CHILL'!B2845,"AAAAAB4XR/8=")</f>
        <v>#VALUE!</v>
      </c>
    </row>
    <row r="367" spans="1:256">
      <c r="A367" t="e">
        <f>AND('STERLING CATALOG - FZN &amp; CHILL'!C2845,"AAAAAEs7zgA=")</f>
        <v>#VALUE!</v>
      </c>
      <c r="B367" t="e">
        <f>AND('STERLING CATALOG - FZN &amp; CHILL'!D2845,"AAAAAEs7zgE=")</f>
        <v>#VALUE!</v>
      </c>
      <c r="C367" t="e">
        <f>AND('STERLING CATALOG - FZN &amp; CHILL'!E2845,"AAAAAEs7zgI=")</f>
        <v>#VALUE!</v>
      </c>
      <c r="D367" t="e">
        <f>AND('STERLING CATALOG - FZN &amp; CHILL'!F2845,"AAAAAEs7zgM=")</f>
        <v>#VALUE!</v>
      </c>
      <c r="E367" t="e">
        <f>AND('STERLING CATALOG - FZN &amp; CHILL'!G2845,"AAAAAEs7zgQ=")</f>
        <v>#VALUE!</v>
      </c>
      <c r="F367" t="e">
        <f>AND('STERLING CATALOG - FZN &amp; CHILL'!H2845,"AAAAAEs7zgU=")</f>
        <v>#VALUE!</v>
      </c>
      <c r="G367" t="e">
        <f>AND('STERLING CATALOG - FZN &amp; CHILL'!I2845,"AAAAAEs7zgY=")</f>
        <v>#VALUE!</v>
      </c>
      <c r="H367" t="e">
        <f>AND('STERLING CATALOG - FZN &amp; CHILL'!J2845,"AAAAAEs7zgc=")</f>
        <v>#VALUE!</v>
      </c>
      <c r="I367" t="e">
        <f>IF('STERLING CATALOG - FZN &amp; CHILL'!2846:2846,"AAAAAEs7zgg=",0)</f>
        <v>#VALUE!</v>
      </c>
      <c r="J367" t="e">
        <f>AND('STERLING CATALOG - FZN &amp; CHILL'!A2846,"AAAAAEs7zgk=")</f>
        <v>#VALUE!</v>
      </c>
      <c r="K367" t="e">
        <f>AND('STERLING CATALOG - FZN &amp; CHILL'!B2846,"AAAAAEs7zgo=")</f>
        <v>#VALUE!</v>
      </c>
      <c r="L367" t="e">
        <f>AND('STERLING CATALOG - FZN &amp; CHILL'!C2846,"AAAAAEs7zgs=")</f>
        <v>#VALUE!</v>
      </c>
      <c r="M367" t="e">
        <f>AND('STERLING CATALOG - FZN &amp; CHILL'!D2846,"AAAAAEs7zgw=")</f>
        <v>#VALUE!</v>
      </c>
      <c r="N367" t="e">
        <f>AND('STERLING CATALOG - FZN &amp; CHILL'!E2846,"AAAAAEs7zg0=")</f>
        <v>#VALUE!</v>
      </c>
      <c r="O367" t="e">
        <f>AND('STERLING CATALOG - FZN &amp; CHILL'!F2846,"AAAAAEs7zg4=")</f>
        <v>#VALUE!</v>
      </c>
      <c r="P367" t="e">
        <f>AND('STERLING CATALOG - FZN &amp; CHILL'!G2846,"AAAAAEs7zg8=")</f>
        <v>#VALUE!</v>
      </c>
      <c r="Q367" t="e">
        <f>AND('STERLING CATALOG - FZN &amp; CHILL'!H2846,"AAAAAEs7zhA=")</f>
        <v>#VALUE!</v>
      </c>
      <c r="R367" t="e">
        <f>AND('STERLING CATALOG - FZN &amp; CHILL'!I2846,"AAAAAEs7zhE=")</f>
        <v>#VALUE!</v>
      </c>
      <c r="S367" t="e">
        <f>AND('STERLING CATALOG - FZN &amp; CHILL'!J2846,"AAAAAEs7zhI=")</f>
        <v>#VALUE!</v>
      </c>
      <c r="T367">
        <f>IF('STERLING CATALOG - FZN &amp; CHILL'!2847:2847,"AAAAAEs7zhM=",0)</f>
        <v>0</v>
      </c>
      <c r="U367" t="e">
        <f>AND('STERLING CATALOG - FZN &amp; CHILL'!A2847,"AAAAAEs7zhQ=")</f>
        <v>#VALUE!</v>
      </c>
      <c r="V367" t="e">
        <f>AND('STERLING CATALOG - FZN &amp; CHILL'!B2847,"AAAAAEs7zhU=")</f>
        <v>#VALUE!</v>
      </c>
      <c r="W367" t="e">
        <f>AND('STERLING CATALOG - FZN &amp; CHILL'!C2847,"AAAAAEs7zhY=")</f>
        <v>#VALUE!</v>
      </c>
      <c r="X367" t="e">
        <f>AND('STERLING CATALOG - FZN &amp; CHILL'!D2847,"AAAAAEs7zhc=")</f>
        <v>#VALUE!</v>
      </c>
      <c r="Y367" t="e">
        <f>AND('STERLING CATALOG - FZN &amp; CHILL'!E2847,"AAAAAEs7zhg=")</f>
        <v>#VALUE!</v>
      </c>
      <c r="Z367" t="e">
        <f>AND('STERLING CATALOG - FZN &amp; CHILL'!F2847,"AAAAAEs7zhk=")</f>
        <v>#VALUE!</v>
      </c>
      <c r="AA367" t="e">
        <f>AND('STERLING CATALOG - FZN &amp; CHILL'!G2847,"AAAAAEs7zho=")</f>
        <v>#VALUE!</v>
      </c>
      <c r="AB367" t="e">
        <f>AND('STERLING CATALOG - FZN &amp; CHILL'!H2847,"AAAAAEs7zhs=")</f>
        <v>#VALUE!</v>
      </c>
      <c r="AC367" t="e">
        <f>AND('STERLING CATALOG - FZN &amp; CHILL'!I2847,"AAAAAEs7zhw=")</f>
        <v>#VALUE!</v>
      </c>
      <c r="AD367" t="e">
        <f>AND('STERLING CATALOG - FZN &amp; CHILL'!J2847,"AAAAAEs7zh0=")</f>
        <v>#VALUE!</v>
      </c>
      <c r="AE367">
        <f>IF('STERLING CATALOG - FZN &amp; CHILL'!2848:2848,"AAAAAEs7zh4=",0)</f>
        <v>0</v>
      </c>
      <c r="AF367" t="e">
        <f>AND('STERLING CATALOG - FZN &amp; CHILL'!A2848,"AAAAAEs7zh8=")</f>
        <v>#VALUE!</v>
      </c>
      <c r="AG367" t="e">
        <f>AND('STERLING CATALOG - FZN &amp; CHILL'!B2848,"AAAAAEs7ziA=")</f>
        <v>#VALUE!</v>
      </c>
      <c r="AH367" t="e">
        <f>AND('STERLING CATALOG - FZN &amp; CHILL'!C2848,"AAAAAEs7ziE=")</f>
        <v>#VALUE!</v>
      </c>
      <c r="AI367" t="e">
        <f>AND('STERLING CATALOG - FZN &amp; CHILL'!D2848,"AAAAAEs7ziI=")</f>
        <v>#VALUE!</v>
      </c>
      <c r="AJ367" t="e">
        <f>AND('STERLING CATALOG - FZN &amp; CHILL'!E2848,"AAAAAEs7ziM=")</f>
        <v>#VALUE!</v>
      </c>
      <c r="AK367" t="e">
        <f>AND('STERLING CATALOG - FZN &amp; CHILL'!F2848,"AAAAAEs7ziQ=")</f>
        <v>#VALUE!</v>
      </c>
      <c r="AL367" t="e">
        <f>AND('STERLING CATALOG - FZN &amp; CHILL'!G2848,"AAAAAEs7ziU=")</f>
        <v>#VALUE!</v>
      </c>
      <c r="AM367" t="e">
        <f>AND('STERLING CATALOG - FZN &amp; CHILL'!H2848,"AAAAAEs7ziY=")</f>
        <v>#VALUE!</v>
      </c>
      <c r="AN367" t="e">
        <f>AND('STERLING CATALOG - FZN &amp; CHILL'!I2848,"AAAAAEs7zic=")</f>
        <v>#VALUE!</v>
      </c>
      <c r="AO367" t="e">
        <f>AND('STERLING CATALOG - FZN &amp; CHILL'!J2848,"AAAAAEs7zig=")</f>
        <v>#VALUE!</v>
      </c>
      <c r="AP367">
        <f>IF('STERLING CATALOG - FZN &amp; CHILL'!2849:2849,"AAAAAEs7zik=",0)</f>
        <v>0</v>
      </c>
      <c r="AQ367" t="e">
        <f>AND('STERLING CATALOG - FZN &amp; CHILL'!A2849,"AAAAAEs7zio=")</f>
        <v>#VALUE!</v>
      </c>
      <c r="AR367" t="e">
        <f>AND('STERLING CATALOG - FZN &amp; CHILL'!B2849,"AAAAAEs7zis=")</f>
        <v>#VALUE!</v>
      </c>
      <c r="AS367" t="e">
        <f>AND('STERLING CATALOG - FZN &amp; CHILL'!C2849,"AAAAAEs7ziw=")</f>
        <v>#VALUE!</v>
      </c>
      <c r="AT367" t="e">
        <f>AND('STERLING CATALOG - FZN &amp; CHILL'!D2849,"AAAAAEs7zi0=")</f>
        <v>#VALUE!</v>
      </c>
      <c r="AU367" t="e">
        <f>AND('STERLING CATALOG - FZN &amp; CHILL'!E2849,"AAAAAEs7zi4=")</f>
        <v>#VALUE!</v>
      </c>
      <c r="AV367" t="e">
        <f>AND('STERLING CATALOG - FZN &amp; CHILL'!F2849,"AAAAAEs7zi8=")</f>
        <v>#VALUE!</v>
      </c>
      <c r="AW367" t="e">
        <f>AND('STERLING CATALOG - FZN &amp; CHILL'!G2849,"AAAAAEs7zjA=")</f>
        <v>#VALUE!</v>
      </c>
      <c r="AX367" t="e">
        <f>AND('STERLING CATALOG - FZN &amp; CHILL'!H2849,"AAAAAEs7zjE=")</f>
        <v>#VALUE!</v>
      </c>
      <c r="AY367" t="e">
        <f>AND('STERLING CATALOG - FZN &amp; CHILL'!I2849,"AAAAAEs7zjI=")</f>
        <v>#VALUE!</v>
      </c>
      <c r="AZ367" t="e">
        <f>AND('STERLING CATALOG - FZN &amp; CHILL'!J2849,"AAAAAEs7zjM=")</f>
        <v>#VALUE!</v>
      </c>
      <c r="BA367">
        <f>IF('STERLING CATALOG - FZN &amp; CHILL'!2850:2850,"AAAAAEs7zjQ=",0)</f>
        <v>0</v>
      </c>
      <c r="BB367" t="e">
        <f>AND('STERLING CATALOG - FZN &amp; CHILL'!A2850,"AAAAAEs7zjU=")</f>
        <v>#VALUE!</v>
      </c>
      <c r="BC367" t="e">
        <f>AND('STERLING CATALOG - FZN &amp; CHILL'!B2850,"AAAAAEs7zjY=")</f>
        <v>#VALUE!</v>
      </c>
      <c r="BD367" t="e">
        <f>AND('STERLING CATALOG - FZN &amp; CHILL'!C2850,"AAAAAEs7zjc=")</f>
        <v>#VALUE!</v>
      </c>
      <c r="BE367" t="e">
        <f>AND('STERLING CATALOG - FZN &amp; CHILL'!D2850,"AAAAAEs7zjg=")</f>
        <v>#VALUE!</v>
      </c>
      <c r="BF367" t="e">
        <f>AND('STERLING CATALOG - FZN &amp; CHILL'!E2850,"AAAAAEs7zjk=")</f>
        <v>#VALUE!</v>
      </c>
      <c r="BG367" t="e">
        <f>AND('STERLING CATALOG - FZN &amp; CHILL'!F2850,"AAAAAEs7zjo=")</f>
        <v>#VALUE!</v>
      </c>
      <c r="BH367" t="e">
        <f>AND('STERLING CATALOG - FZN &amp; CHILL'!G2850,"AAAAAEs7zjs=")</f>
        <v>#VALUE!</v>
      </c>
      <c r="BI367" t="e">
        <f>AND('STERLING CATALOG - FZN &amp; CHILL'!H2850,"AAAAAEs7zjw=")</f>
        <v>#VALUE!</v>
      </c>
      <c r="BJ367" t="e">
        <f>AND('STERLING CATALOG - FZN &amp; CHILL'!I2850,"AAAAAEs7zj0=")</f>
        <v>#VALUE!</v>
      </c>
      <c r="BK367" t="e">
        <f>AND('STERLING CATALOG - FZN &amp; CHILL'!J2850,"AAAAAEs7zj4=")</f>
        <v>#VALUE!</v>
      </c>
      <c r="BL367">
        <f>IF('STERLING CATALOG - FZN &amp; CHILL'!2851:2851,"AAAAAEs7zj8=",0)</f>
        <v>0</v>
      </c>
      <c r="BM367" t="e">
        <f>AND('STERLING CATALOG - FZN &amp; CHILL'!A2851,"AAAAAEs7zkA=")</f>
        <v>#VALUE!</v>
      </c>
      <c r="BN367" t="e">
        <f>AND('STERLING CATALOG - FZN &amp; CHILL'!B2851,"AAAAAEs7zkE=")</f>
        <v>#VALUE!</v>
      </c>
      <c r="BO367" t="e">
        <f>AND('STERLING CATALOG - FZN &amp; CHILL'!C2851,"AAAAAEs7zkI=")</f>
        <v>#VALUE!</v>
      </c>
      <c r="BP367" t="e">
        <f>AND('STERLING CATALOG - FZN &amp; CHILL'!D2851,"AAAAAEs7zkM=")</f>
        <v>#VALUE!</v>
      </c>
      <c r="BQ367" t="e">
        <f>AND('STERLING CATALOG - FZN &amp; CHILL'!E2851,"AAAAAEs7zkQ=")</f>
        <v>#VALUE!</v>
      </c>
      <c r="BR367" t="e">
        <f>AND('STERLING CATALOG - FZN &amp; CHILL'!F2851,"AAAAAEs7zkU=")</f>
        <v>#VALUE!</v>
      </c>
      <c r="BS367" t="e">
        <f>AND('STERLING CATALOG - FZN &amp; CHILL'!G2851,"AAAAAEs7zkY=")</f>
        <v>#VALUE!</v>
      </c>
      <c r="BT367" t="e">
        <f>AND('STERLING CATALOG - FZN &amp; CHILL'!H2851,"AAAAAEs7zkc=")</f>
        <v>#VALUE!</v>
      </c>
      <c r="BU367" t="e">
        <f>AND('STERLING CATALOG - FZN &amp; CHILL'!I2851,"AAAAAEs7zkg=")</f>
        <v>#VALUE!</v>
      </c>
      <c r="BV367" t="e">
        <f>AND('STERLING CATALOG - FZN &amp; CHILL'!J2851,"AAAAAEs7zkk=")</f>
        <v>#VALUE!</v>
      </c>
      <c r="BW367">
        <f>IF('STERLING CATALOG - FZN &amp; CHILL'!2852:2852,"AAAAAEs7zko=",0)</f>
        <v>0</v>
      </c>
      <c r="BX367" t="e">
        <f>AND('STERLING CATALOG - FZN &amp; CHILL'!A2852,"AAAAAEs7zks=")</f>
        <v>#VALUE!</v>
      </c>
      <c r="BY367" t="e">
        <f>AND('STERLING CATALOG - FZN &amp; CHILL'!B2852,"AAAAAEs7zkw=")</f>
        <v>#VALUE!</v>
      </c>
      <c r="BZ367" t="e">
        <f>AND('STERLING CATALOG - FZN &amp; CHILL'!C2852,"AAAAAEs7zk0=")</f>
        <v>#VALUE!</v>
      </c>
      <c r="CA367" t="e">
        <f>AND('STERLING CATALOG - FZN &amp; CHILL'!D2852,"AAAAAEs7zk4=")</f>
        <v>#VALUE!</v>
      </c>
      <c r="CB367" t="e">
        <f>AND('STERLING CATALOG - FZN &amp; CHILL'!E2852,"AAAAAEs7zk8=")</f>
        <v>#VALUE!</v>
      </c>
      <c r="CC367" t="e">
        <f>AND('STERLING CATALOG - FZN &amp; CHILL'!F2852,"AAAAAEs7zlA=")</f>
        <v>#VALUE!</v>
      </c>
      <c r="CD367" t="e">
        <f>AND('STERLING CATALOG - FZN &amp; CHILL'!G2852,"AAAAAEs7zlE=")</f>
        <v>#VALUE!</v>
      </c>
      <c r="CE367" t="e">
        <f>AND('STERLING CATALOG - FZN &amp; CHILL'!H2852,"AAAAAEs7zlI=")</f>
        <v>#VALUE!</v>
      </c>
      <c r="CF367" t="e">
        <f>AND('STERLING CATALOG - FZN &amp; CHILL'!I2852,"AAAAAEs7zlM=")</f>
        <v>#VALUE!</v>
      </c>
      <c r="CG367" t="e">
        <f>AND('STERLING CATALOG - FZN &amp; CHILL'!J2852,"AAAAAEs7zlQ=")</f>
        <v>#VALUE!</v>
      </c>
      <c r="CH367">
        <f>IF('STERLING CATALOG - FZN &amp; CHILL'!2853:2853,"AAAAAEs7zlU=",0)</f>
        <v>0</v>
      </c>
      <c r="CI367" t="e">
        <f>AND('STERLING CATALOG - FZN &amp; CHILL'!A2853,"AAAAAEs7zlY=")</f>
        <v>#VALUE!</v>
      </c>
      <c r="CJ367" t="e">
        <f>AND('STERLING CATALOG - FZN &amp; CHILL'!B2853,"AAAAAEs7zlc=")</f>
        <v>#VALUE!</v>
      </c>
      <c r="CK367" t="e">
        <f>AND('STERLING CATALOG - FZN &amp; CHILL'!C2853,"AAAAAEs7zlg=")</f>
        <v>#VALUE!</v>
      </c>
      <c r="CL367" t="e">
        <f>AND('STERLING CATALOG - FZN &amp; CHILL'!D2853,"AAAAAEs7zlk=")</f>
        <v>#VALUE!</v>
      </c>
      <c r="CM367" t="e">
        <f>AND('STERLING CATALOG - FZN &amp; CHILL'!E2853,"AAAAAEs7zlo=")</f>
        <v>#VALUE!</v>
      </c>
      <c r="CN367" t="e">
        <f>AND('STERLING CATALOG - FZN &amp; CHILL'!F2853,"AAAAAEs7zls=")</f>
        <v>#VALUE!</v>
      </c>
      <c r="CO367" t="e">
        <f>AND('STERLING CATALOG - FZN &amp; CHILL'!G2853,"AAAAAEs7zlw=")</f>
        <v>#VALUE!</v>
      </c>
      <c r="CP367" t="e">
        <f>AND('STERLING CATALOG - FZN &amp; CHILL'!H2853,"AAAAAEs7zl0=")</f>
        <v>#VALUE!</v>
      </c>
      <c r="CQ367" t="e">
        <f>AND('STERLING CATALOG - FZN &amp; CHILL'!I2853,"AAAAAEs7zl4=")</f>
        <v>#VALUE!</v>
      </c>
      <c r="CR367" t="e">
        <f>AND('STERLING CATALOG - FZN &amp; CHILL'!J2853,"AAAAAEs7zl8=")</f>
        <v>#VALUE!</v>
      </c>
      <c r="CS367">
        <f>IF('STERLING CATALOG - FZN &amp; CHILL'!2854:2854,"AAAAAEs7zmA=",0)</f>
        <v>0</v>
      </c>
      <c r="CT367" t="e">
        <f>AND('STERLING CATALOG - FZN &amp; CHILL'!A2854,"AAAAAEs7zmE=")</f>
        <v>#VALUE!</v>
      </c>
      <c r="CU367" t="e">
        <f>AND('STERLING CATALOG - FZN &amp; CHILL'!B2854,"AAAAAEs7zmI=")</f>
        <v>#VALUE!</v>
      </c>
      <c r="CV367" t="e">
        <f>AND('STERLING CATALOG - FZN &amp; CHILL'!C2854,"AAAAAEs7zmM=")</f>
        <v>#VALUE!</v>
      </c>
      <c r="CW367" t="e">
        <f>AND('STERLING CATALOG - FZN &amp; CHILL'!D2854,"AAAAAEs7zmQ=")</f>
        <v>#VALUE!</v>
      </c>
      <c r="CX367" t="e">
        <f>AND('STERLING CATALOG - FZN &amp; CHILL'!E2854,"AAAAAEs7zmU=")</f>
        <v>#VALUE!</v>
      </c>
      <c r="CY367" t="e">
        <f>AND('STERLING CATALOG - FZN &amp; CHILL'!F2854,"AAAAAEs7zmY=")</f>
        <v>#VALUE!</v>
      </c>
      <c r="CZ367" t="e">
        <f>AND('STERLING CATALOG - FZN &amp; CHILL'!G2854,"AAAAAEs7zmc=")</f>
        <v>#VALUE!</v>
      </c>
      <c r="DA367" t="e">
        <f>AND('STERLING CATALOG - FZN &amp; CHILL'!H2854,"AAAAAEs7zmg=")</f>
        <v>#VALUE!</v>
      </c>
      <c r="DB367" t="e">
        <f>AND('STERLING CATALOG - FZN &amp; CHILL'!I2854,"AAAAAEs7zmk=")</f>
        <v>#VALUE!</v>
      </c>
      <c r="DC367" t="e">
        <f>AND('STERLING CATALOG - FZN &amp; CHILL'!J2854,"AAAAAEs7zmo=")</f>
        <v>#VALUE!</v>
      </c>
      <c r="DD367">
        <f>IF('STERLING CATALOG - FZN &amp; CHILL'!2855:2855,"AAAAAEs7zms=",0)</f>
        <v>0</v>
      </c>
      <c r="DE367" t="e">
        <f>AND('STERLING CATALOG - FZN &amp; CHILL'!A2855,"AAAAAEs7zmw=")</f>
        <v>#VALUE!</v>
      </c>
      <c r="DF367" t="e">
        <f>AND('STERLING CATALOG - FZN &amp; CHILL'!B2855,"AAAAAEs7zm0=")</f>
        <v>#VALUE!</v>
      </c>
      <c r="DG367" t="e">
        <f>AND('STERLING CATALOG - FZN &amp; CHILL'!C2855,"AAAAAEs7zm4=")</f>
        <v>#VALUE!</v>
      </c>
      <c r="DH367" t="e">
        <f>AND('STERLING CATALOG - FZN &amp; CHILL'!D2855,"AAAAAEs7zm8=")</f>
        <v>#VALUE!</v>
      </c>
      <c r="DI367" t="e">
        <f>AND('STERLING CATALOG - FZN &amp; CHILL'!E2855,"AAAAAEs7znA=")</f>
        <v>#VALUE!</v>
      </c>
      <c r="DJ367" t="e">
        <f>AND('STERLING CATALOG - FZN &amp; CHILL'!F2855,"AAAAAEs7znE=")</f>
        <v>#VALUE!</v>
      </c>
      <c r="DK367" t="e">
        <f>AND('STERLING CATALOG - FZN &amp; CHILL'!G2855,"AAAAAEs7znI=")</f>
        <v>#VALUE!</v>
      </c>
      <c r="DL367" t="e">
        <f>AND('STERLING CATALOG - FZN &amp; CHILL'!H2855,"AAAAAEs7znM=")</f>
        <v>#VALUE!</v>
      </c>
      <c r="DM367" t="e">
        <f>AND('STERLING CATALOG - FZN &amp; CHILL'!I2855,"AAAAAEs7znQ=")</f>
        <v>#VALUE!</v>
      </c>
      <c r="DN367" t="e">
        <f>AND('STERLING CATALOG - FZN &amp; CHILL'!J2855,"AAAAAEs7znU=")</f>
        <v>#VALUE!</v>
      </c>
      <c r="DO367">
        <f>IF('STERLING CATALOG - FZN &amp; CHILL'!2856:2856,"AAAAAEs7znY=",0)</f>
        <v>0</v>
      </c>
      <c r="DP367" t="e">
        <f>AND('STERLING CATALOG - FZN &amp; CHILL'!A2856,"AAAAAEs7znc=")</f>
        <v>#VALUE!</v>
      </c>
      <c r="DQ367" t="e">
        <f>AND('STERLING CATALOG - FZN &amp; CHILL'!B2856,"AAAAAEs7zng=")</f>
        <v>#VALUE!</v>
      </c>
      <c r="DR367" t="e">
        <f>AND('STERLING CATALOG - FZN &amp; CHILL'!C2856,"AAAAAEs7znk=")</f>
        <v>#VALUE!</v>
      </c>
      <c r="DS367" t="e">
        <f>AND('STERLING CATALOG - FZN &amp; CHILL'!D2856,"AAAAAEs7zno=")</f>
        <v>#VALUE!</v>
      </c>
      <c r="DT367" t="e">
        <f>AND('STERLING CATALOG - FZN &amp; CHILL'!E2856,"AAAAAEs7zns=")</f>
        <v>#VALUE!</v>
      </c>
      <c r="DU367" t="e">
        <f>AND('STERLING CATALOG - FZN &amp; CHILL'!F2856,"AAAAAEs7znw=")</f>
        <v>#VALUE!</v>
      </c>
      <c r="DV367" t="e">
        <f>AND('STERLING CATALOG - FZN &amp; CHILL'!G2856,"AAAAAEs7zn0=")</f>
        <v>#VALUE!</v>
      </c>
      <c r="DW367" t="e">
        <f>AND('STERLING CATALOG - FZN &amp; CHILL'!H2856,"AAAAAEs7zn4=")</f>
        <v>#VALUE!</v>
      </c>
      <c r="DX367" t="e">
        <f>AND('STERLING CATALOG - FZN &amp; CHILL'!I2856,"AAAAAEs7zn8=")</f>
        <v>#VALUE!</v>
      </c>
      <c r="DY367" t="e">
        <f>AND('STERLING CATALOG - FZN &amp; CHILL'!J2856,"AAAAAEs7zoA=")</f>
        <v>#VALUE!</v>
      </c>
      <c r="DZ367">
        <f>IF('STERLING CATALOG - FZN &amp; CHILL'!2857:2857,"AAAAAEs7zoE=",0)</f>
        <v>0</v>
      </c>
      <c r="EA367" t="e">
        <f>AND('STERLING CATALOG - FZN &amp; CHILL'!A2857,"AAAAAEs7zoI=")</f>
        <v>#VALUE!</v>
      </c>
      <c r="EB367" t="e">
        <f>AND('STERLING CATALOG - FZN &amp; CHILL'!B2857,"AAAAAEs7zoM=")</f>
        <v>#VALUE!</v>
      </c>
      <c r="EC367" t="e">
        <f>AND('STERLING CATALOG - FZN &amp; CHILL'!C2857,"AAAAAEs7zoQ=")</f>
        <v>#VALUE!</v>
      </c>
      <c r="ED367" t="e">
        <f>AND('STERLING CATALOG - FZN &amp; CHILL'!D2857,"AAAAAEs7zoU=")</f>
        <v>#VALUE!</v>
      </c>
      <c r="EE367" t="e">
        <f>AND('STERLING CATALOG - FZN &amp; CHILL'!E2857,"AAAAAEs7zoY=")</f>
        <v>#VALUE!</v>
      </c>
      <c r="EF367" t="e">
        <f>AND('STERLING CATALOG - FZN &amp; CHILL'!F2857,"AAAAAEs7zoc=")</f>
        <v>#VALUE!</v>
      </c>
      <c r="EG367" t="e">
        <f>AND('STERLING CATALOG - FZN &amp; CHILL'!G2857,"AAAAAEs7zog=")</f>
        <v>#VALUE!</v>
      </c>
      <c r="EH367" t="e">
        <f>AND('STERLING CATALOG - FZN &amp; CHILL'!H2857,"AAAAAEs7zok=")</f>
        <v>#VALUE!</v>
      </c>
      <c r="EI367" t="e">
        <f>AND('STERLING CATALOG - FZN &amp; CHILL'!I2857,"AAAAAEs7zoo=")</f>
        <v>#VALUE!</v>
      </c>
      <c r="EJ367" t="e">
        <f>AND('STERLING CATALOG - FZN &amp; CHILL'!J2857,"AAAAAEs7zos=")</f>
        <v>#VALUE!</v>
      </c>
      <c r="EK367">
        <f>IF('STERLING CATALOG - FZN &amp; CHILL'!2858:2858,"AAAAAEs7zow=",0)</f>
        <v>0</v>
      </c>
      <c r="EL367" t="e">
        <f>AND('STERLING CATALOG - FZN &amp; CHILL'!A2858,"AAAAAEs7zo0=")</f>
        <v>#VALUE!</v>
      </c>
      <c r="EM367" t="e">
        <f>AND('STERLING CATALOG - FZN &amp; CHILL'!B2858,"AAAAAEs7zo4=")</f>
        <v>#VALUE!</v>
      </c>
      <c r="EN367" t="e">
        <f>AND('STERLING CATALOG - FZN &amp; CHILL'!C2858,"AAAAAEs7zo8=")</f>
        <v>#VALUE!</v>
      </c>
      <c r="EO367" t="e">
        <f>AND('STERLING CATALOG - FZN &amp; CHILL'!D2858,"AAAAAEs7zpA=")</f>
        <v>#VALUE!</v>
      </c>
      <c r="EP367" t="e">
        <f>AND('STERLING CATALOG - FZN &amp; CHILL'!E2858,"AAAAAEs7zpE=")</f>
        <v>#VALUE!</v>
      </c>
      <c r="EQ367" t="e">
        <f>AND('STERLING CATALOG - FZN &amp; CHILL'!F2858,"AAAAAEs7zpI=")</f>
        <v>#VALUE!</v>
      </c>
      <c r="ER367" t="e">
        <f>AND('STERLING CATALOG - FZN &amp; CHILL'!G2858,"AAAAAEs7zpM=")</f>
        <v>#VALUE!</v>
      </c>
      <c r="ES367" t="e">
        <f>AND('STERLING CATALOG - FZN &amp; CHILL'!H2858,"AAAAAEs7zpQ=")</f>
        <v>#VALUE!</v>
      </c>
      <c r="ET367" t="e">
        <f>AND('STERLING CATALOG - FZN &amp; CHILL'!I2858,"AAAAAEs7zpU=")</f>
        <v>#VALUE!</v>
      </c>
      <c r="EU367" t="e">
        <f>AND('STERLING CATALOG - FZN &amp; CHILL'!J2858,"AAAAAEs7zpY=")</f>
        <v>#VALUE!</v>
      </c>
      <c r="EV367">
        <f>IF('STERLING CATALOG - FZN &amp; CHILL'!2859:2859,"AAAAAEs7zpc=",0)</f>
        <v>0</v>
      </c>
      <c r="EW367" t="e">
        <f>AND('STERLING CATALOG - FZN &amp; CHILL'!A2859,"AAAAAEs7zpg=")</f>
        <v>#VALUE!</v>
      </c>
      <c r="EX367" t="e">
        <f>AND('STERLING CATALOG - FZN &amp; CHILL'!B2859,"AAAAAEs7zpk=")</f>
        <v>#VALUE!</v>
      </c>
      <c r="EY367" t="e">
        <f>AND('STERLING CATALOG - FZN &amp; CHILL'!C2859,"AAAAAEs7zpo=")</f>
        <v>#VALUE!</v>
      </c>
      <c r="EZ367" t="e">
        <f>AND('STERLING CATALOG - FZN &amp; CHILL'!D2859,"AAAAAEs7zps=")</f>
        <v>#VALUE!</v>
      </c>
      <c r="FA367" t="e">
        <f>AND('STERLING CATALOG - FZN &amp; CHILL'!E2859,"AAAAAEs7zpw=")</f>
        <v>#VALUE!</v>
      </c>
      <c r="FB367" t="e">
        <f>AND('STERLING CATALOG - FZN &amp; CHILL'!F2859,"AAAAAEs7zp0=")</f>
        <v>#VALUE!</v>
      </c>
      <c r="FC367" t="e">
        <f>AND('STERLING CATALOG - FZN &amp; CHILL'!G2859,"AAAAAEs7zp4=")</f>
        <v>#VALUE!</v>
      </c>
      <c r="FD367" t="e">
        <f>AND('STERLING CATALOG - FZN &amp; CHILL'!H2859,"AAAAAEs7zp8=")</f>
        <v>#VALUE!</v>
      </c>
      <c r="FE367" t="e">
        <f>AND('STERLING CATALOG - FZN &amp; CHILL'!I2859,"AAAAAEs7zqA=")</f>
        <v>#VALUE!</v>
      </c>
      <c r="FF367" t="e">
        <f>AND('STERLING CATALOG - FZN &amp; CHILL'!J2859,"AAAAAEs7zqE=")</f>
        <v>#VALUE!</v>
      </c>
      <c r="FG367">
        <f>IF('STERLING CATALOG - FZN &amp; CHILL'!2860:2860,"AAAAAEs7zqI=",0)</f>
        <v>0</v>
      </c>
      <c r="FH367" t="e">
        <f>AND('STERLING CATALOG - FZN &amp; CHILL'!A2860,"AAAAAEs7zqM=")</f>
        <v>#VALUE!</v>
      </c>
      <c r="FI367" t="e">
        <f>AND('STERLING CATALOG - FZN &amp; CHILL'!B2860,"AAAAAEs7zqQ=")</f>
        <v>#VALUE!</v>
      </c>
      <c r="FJ367" t="e">
        <f>AND('STERLING CATALOG - FZN &amp; CHILL'!C2860,"AAAAAEs7zqU=")</f>
        <v>#VALUE!</v>
      </c>
      <c r="FK367" t="e">
        <f>AND('STERLING CATALOG - FZN &amp; CHILL'!D2860,"AAAAAEs7zqY=")</f>
        <v>#VALUE!</v>
      </c>
      <c r="FL367" t="e">
        <f>AND('STERLING CATALOG - FZN &amp; CHILL'!E2860,"AAAAAEs7zqc=")</f>
        <v>#VALUE!</v>
      </c>
      <c r="FM367" t="e">
        <f>AND('STERLING CATALOG - FZN &amp; CHILL'!F2860,"AAAAAEs7zqg=")</f>
        <v>#VALUE!</v>
      </c>
      <c r="FN367" t="e">
        <f>AND('STERLING CATALOG - FZN &amp; CHILL'!G2860,"AAAAAEs7zqk=")</f>
        <v>#VALUE!</v>
      </c>
      <c r="FO367" t="e">
        <f>AND('STERLING CATALOG - FZN &amp; CHILL'!H2860,"AAAAAEs7zqo=")</f>
        <v>#VALUE!</v>
      </c>
      <c r="FP367" t="e">
        <f>AND('STERLING CATALOG - FZN &amp; CHILL'!I2860,"AAAAAEs7zqs=")</f>
        <v>#VALUE!</v>
      </c>
      <c r="FQ367" t="e">
        <f>AND('STERLING CATALOG - FZN &amp; CHILL'!J2860,"AAAAAEs7zqw=")</f>
        <v>#VALUE!</v>
      </c>
      <c r="FR367">
        <f>IF('STERLING CATALOG - FZN &amp; CHILL'!2861:2861,"AAAAAEs7zq0=",0)</f>
        <v>0</v>
      </c>
      <c r="FS367" t="e">
        <f>AND('STERLING CATALOG - FZN &amp; CHILL'!A2861,"AAAAAEs7zq4=")</f>
        <v>#VALUE!</v>
      </c>
      <c r="FT367" t="e">
        <f>AND('STERLING CATALOG - FZN &amp; CHILL'!B2861,"AAAAAEs7zq8=")</f>
        <v>#VALUE!</v>
      </c>
      <c r="FU367" t="e">
        <f>AND('STERLING CATALOG - FZN &amp; CHILL'!C2861,"AAAAAEs7zrA=")</f>
        <v>#VALUE!</v>
      </c>
      <c r="FV367" t="e">
        <f>AND('STERLING CATALOG - FZN &amp; CHILL'!D2861,"AAAAAEs7zrE=")</f>
        <v>#VALUE!</v>
      </c>
      <c r="FW367" t="e">
        <f>AND('STERLING CATALOG - FZN &amp; CHILL'!E2861,"AAAAAEs7zrI=")</f>
        <v>#VALUE!</v>
      </c>
      <c r="FX367" t="e">
        <f>AND('STERLING CATALOG - FZN &amp; CHILL'!F2861,"AAAAAEs7zrM=")</f>
        <v>#VALUE!</v>
      </c>
      <c r="FY367" t="e">
        <f>AND('STERLING CATALOG - FZN &amp; CHILL'!G2861,"AAAAAEs7zrQ=")</f>
        <v>#VALUE!</v>
      </c>
      <c r="FZ367" t="e">
        <f>AND('STERLING CATALOG - FZN &amp; CHILL'!H2861,"AAAAAEs7zrU=")</f>
        <v>#VALUE!</v>
      </c>
      <c r="GA367" t="e">
        <f>AND('STERLING CATALOG - FZN &amp; CHILL'!I2861,"AAAAAEs7zrY=")</f>
        <v>#VALUE!</v>
      </c>
      <c r="GB367" t="e">
        <f>AND('STERLING CATALOG - FZN &amp; CHILL'!J2861,"AAAAAEs7zrc=")</f>
        <v>#VALUE!</v>
      </c>
      <c r="GC367">
        <f>IF('STERLING CATALOG - FZN &amp; CHILL'!2862:2862,"AAAAAEs7zrg=",0)</f>
        <v>0</v>
      </c>
      <c r="GD367" t="e">
        <f>AND('STERLING CATALOG - FZN &amp; CHILL'!A2862,"AAAAAEs7zrk=")</f>
        <v>#VALUE!</v>
      </c>
      <c r="GE367" t="e">
        <f>AND('STERLING CATALOG - FZN &amp; CHILL'!B2862,"AAAAAEs7zro=")</f>
        <v>#VALUE!</v>
      </c>
      <c r="GF367" t="e">
        <f>AND('STERLING CATALOG - FZN &amp; CHILL'!C2862,"AAAAAEs7zrs=")</f>
        <v>#VALUE!</v>
      </c>
      <c r="GG367" t="e">
        <f>AND('STERLING CATALOG - FZN &amp; CHILL'!D2862,"AAAAAEs7zrw=")</f>
        <v>#VALUE!</v>
      </c>
      <c r="GH367" t="e">
        <f>AND('STERLING CATALOG - FZN &amp; CHILL'!E2862,"AAAAAEs7zr0=")</f>
        <v>#VALUE!</v>
      </c>
      <c r="GI367" t="e">
        <f>AND('STERLING CATALOG - FZN &amp; CHILL'!F2862,"AAAAAEs7zr4=")</f>
        <v>#VALUE!</v>
      </c>
      <c r="GJ367" t="e">
        <f>AND('STERLING CATALOG - FZN &amp; CHILL'!G2862,"AAAAAEs7zr8=")</f>
        <v>#VALUE!</v>
      </c>
      <c r="GK367" t="e">
        <f>AND('STERLING CATALOG - FZN &amp; CHILL'!H2862,"AAAAAEs7zsA=")</f>
        <v>#VALUE!</v>
      </c>
      <c r="GL367" t="e">
        <f>AND('STERLING CATALOG - FZN &amp; CHILL'!I2862,"AAAAAEs7zsE=")</f>
        <v>#VALUE!</v>
      </c>
      <c r="GM367" t="e">
        <f>AND('STERLING CATALOG - FZN &amp; CHILL'!J2862,"AAAAAEs7zsI=")</f>
        <v>#VALUE!</v>
      </c>
      <c r="GN367">
        <f>IF('STERLING CATALOG - FZN &amp; CHILL'!2863:2863,"AAAAAEs7zsM=",0)</f>
        <v>0</v>
      </c>
      <c r="GO367" t="e">
        <f>AND('STERLING CATALOG - FZN &amp; CHILL'!A2863,"AAAAAEs7zsQ=")</f>
        <v>#VALUE!</v>
      </c>
      <c r="GP367" t="e">
        <f>AND('STERLING CATALOG - FZN &amp; CHILL'!B2863,"AAAAAEs7zsU=")</f>
        <v>#VALUE!</v>
      </c>
      <c r="GQ367" t="e">
        <f>AND('STERLING CATALOG - FZN &amp; CHILL'!C2863,"AAAAAEs7zsY=")</f>
        <v>#VALUE!</v>
      </c>
      <c r="GR367" t="e">
        <f>AND('STERLING CATALOG - FZN &amp; CHILL'!D2863,"AAAAAEs7zsc=")</f>
        <v>#VALUE!</v>
      </c>
      <c r="GS367" t="e">
        <f>AND('STERLING CATALOG - FZN &amp; CHILL'!E2863,"AAAAAEs7zsg=")</f>
        <v>#VALUE!</v>
      </c>
      <c r="GT367" t="e">
        <f>AND('STERLING CATALOG - FZN &amp; CHILL'!F2863,"AAAAAEs7zsk=")</f>
        <v>#VALUE!</v>
      </c>
      <c r="GU367" t="e">
        <f>AND('STERLING CATALOG - FZN &amp; CHILL'!G2863,"AAAAAEs7zso=")</f>
        <v>#VALUE!</v>
      </c>
      <c r="GV367" t="e">
        <f>AND('STERLING CATALOG - FZN &amp; CHILL'!H2863,"AAAAAEs7zss=")</f>
        <v>#VALUE!</v>
      </c>
      <c r="GW367" t="e">
        <f>AND('STERLING CATALOG - FZN &amp; CHILL'!I2863,"AAAAAEs7zsw=")</f>
        <v>#VALUE!</v>
      </c>
      <c r="GX367" t="e">
        <f>AND('STERLING CATALOG - FZN &amp; CHILL'!J2863,"AAAAAEs7zs0=")</f>
        <v>#VALUE!</v>
      </c>
      <c r="GY367">
        <f>IF('STERLING CATALOG - FZN &amp; CHILL'!2864:2864,"AAAAAEs7zs4=",0)</f>
        <v>0</v>
      </c>
      <c r="GZ367" t="e">
        <f>AND('STERLING CATALOG - FZN &amp; CHILL'!A2864,"AAAAAEs7zs8=")</f>
        <v>#VALUE!</v>
      </c>
      <c r="HA367" t="e">
        <f>AND('STERLING CATALOG - FZN &amp; CHILL'!B2864,"AAAAAEs7ztA=")</f>
        <v>#VALUE!</v>
      </c>
      <c r="HB367" t="e">
        <f>AND('STERLING CATALOG - FZN &amp; CHILL'!C2864,"AAAAAEs7ztE=")</f>
        <v>#VALUE!</v>
      </c>
      <c r="HC367" t="e">
        <f>AND('STERLING CATALOG - FZN &amp; CHILL'!D2864,"AAAAAEs7ztI=")</f>
        <v>#VALUE!</v>
      </c>
      <c r="HD367" t="e">
        <f>AND('STERLING CATALOG - FZN &amp; CHILL'!E2864,"AAAAAEs7ztM=")</f>
        <v>#VALUE!</v>
      </c>
      <c r="HE367" t="e">
        <f>AND('STERLING CATALOG - FZN &amp; CHILL'!F2864,"AAAAAEs7ztQ=")</f>
        <v>#VALUE!</v>
      </c>
      <c r="HF367" t="e">
        <f>AND('STERLING CATALOG - FZN &amp; CHILL'!G2864,"AAAAAEs7ztU=")</f>
        <v>#VALUE!</v>
      </c>
      <c r="HG367" t="e">
        <f>AND('STERLING CATALOG - FZN &amp; CHILL'!H2864,"AAAAAEs7ztY=")</f>
        <v>#VALUE!</v>
      </c>
      <c r="HH367" t="e">
        <f>AND('STERLING CATALOG - FZN &amp; CHILL'!I2864,"AAAAAEs7ztc=")</f>
        <v>#VALUE!</v>
      </c>
      <c r="HI367" t="e">
        <f>AND('STERLING CATALOG - FZN &amp; CHILL'!J2864,"AAAAAEs7ztg=")</f>
        <v>#VALUE!</v>
      </c>
      <c r="HJ367">
        <f>IF('STERLING CATALOG - FZN &amp; CHILL'!2865:2865,"AAAAAEs7ztk=",0)</f>
        <v>0</v>
      </c>
      <c r="HK367" t="e">
        <f>AND('STERLING CATALOG - FZN &amp; CHILL'!A2865,"AAAAAEs7zto=")</f>
        <v>#VALUE!</v>
      </c>
      <c r="HL367" t="e">
        <f>AND('STERLING CATALOG - FZN &amp; CHILL'!B2865,"AAAAAEs7zts=")</f>
        <v>#VALUE!</v>
      </c>
      <c r="HM367" t="e">
        <f>AND('STERLING CATALOG - FZN &amp; CHILL'!C2865,"AAAAAEs7ztw=")</f>
        <v>#VALUE!</v>
      </c>
      <c r="HN367" t="e">
        <f>AND('STERLING CATALOG - FZN &amp; CHILL'!D2865,"AAAAAEs7zt0=")</f>
        <v>#VALUE!</v>
      </c>
      <c r="HO367" t="e">
        <f>AND('STERLING CATALOG - FZN &amp; CHILL'!E2865,"AAAAAEs7zt4=")</f>
        <v>#VALUE!</v>
      </c>
      <c r="HP367" t="e">
        <f>AND('STERLING CATALOG - FZN &amp; CHILL'!F2865,"AAAAAEs7zt8=")</f>
        <v>#VALUE!</v>
      </c>
      <c r="HQ367" t="e">
        <f>AND('STERLING CATALOG - FZN &amp; CHILL'!G2865,"AAAAAEs7zuA=")</f>
        <v>#VALUE!</v>
      </c>
      <c r="HR367" t="e">
        <f>AND('STERLING CATALOG - FZN &amp; CHILL'!H2865,"AAAAAEs7zuE=")</f>
        <v>#VALUE!</v>
      </c>
      <c r="HS367" t="e">
        <f>AND('STERLING CATALOG - FZN &amp; CHILL'!I2865,"AAAAAEs7zuI=")</f>
        <v>#VALUE!</v>
      </c>
      <c r="HT367" t="e">
        <f>AND('STERLING CATALOG - FZN &amp; CHILL'!J2865,"AAAAAEs7zuM=")</f>
        <v>#VALUE!</v>
      </c>
      <c r="HU367">
        <f>IF('STERLING CATALOG - FZN &amp; CHILL'!2866:2866,"AAAAAEs7zuQ=",0)</f>
        <v>0</v>
      </c>
      <c r="HV367" t="e">
        <f>AND('STERLING CATALOG - FZN &amp; CHILL'!A2866,"AAAAAEs7zuU=")</f>
        <v>#VALUE!</v>
      </c>
      <c r="HW367" t="e">
        <f>AND('STERLING CATALOG - FZN &amp; CHILL'!B2866,"AAAAAEs7zuY=")</f>
        <v>#VALUE!</v>
      </c>
      <c r="HX367" t="e">
        <f>AND('STERLING CATALOG - FZN &amp; CHILL'!C2866,"AAAAAEs7zuc=")</f>
        <v>#VALUE!</v>
      </c>
      <c r="HY367" t="e">
        <f>AND('STERLING CATALOG - FZN &amp; CHILL'!D2866,"AAAAAEs7zug=")</f>
        <v>#VALUE!</v>
      </c>
      <c r="HZ367" t="e">
        <f>AND('STERLING CATALOG - FZN &amp; CHILL'!E2866,"AAAAAEs7zuk=")</f>
        <v>#VALUE!</v>
      </c>
      <c r="IA367" t="e">
        <f>AND('STERLING CATALOG - FZN &amp; CHILL'!F2866,"AAAAAEs7zuo=")</f>
        <v>#VALUE!</v>
      </c>
      <c r="IB367" t="e">
        <f>AND('STERLING CATALOG - FZN &amp; CHILL'!G2866,"AAAAAEs7zus=")</f>
        <v>#VALUE!</v>
      </c>
      <c r="IC367" t="e">
        <f>AND('STERLING CATALOG - FZN &amp; CHILL'!H2866,"AAAAAEs7zuw=")</f>
        <v>#VALUE!</v>
      </c>
      <c r="ID367" t="e">
        <f>AND('STERLING CATALOG - FZN &amp; CHILL'!I2866,"AAAAAEs7zu0=")</f>
        <v>#VALUE!</v>
      </c>
      <c r="IE367" t="e">
        <f>AND('STERLING CATALOG - FZN &amp; CHILL'!J2866,"AAAAAEs7zu4=")</f>
        <v>#VALUE!</v>
      </c>
      <c r="IF367">
        <f>IF('STERLING CATALOG - FZN &amp; CHILL'!2867:2867,"AAAAAEs7zu8=",0)</f>
        <v>0</v>
      </c>
      <c r="IG367" t="e">
        <f>AND('STERLING CATALOG - FZN &amp; CHILL'!A2867,"AAAAAEs7zvA=")</f>
        <v>#VALUE!</v>
      </c>
      <c r="IH367" t="e">
        <f>AND('STERLING CATALOG - FZN &amp; CHILL'!B2867,"AAAAAEs7zvE=")</f>
        <v>#VALUE!</v>
      </c>
      <c r="II367" t="e">
        <f>AND('STERLING CATALOG - FZN &amp; CHILL'!C2867,"AAAAAEs7zvI=")</f>
        <v>#VALUE!</v>
      </c>
      <c r="IJ367" t="e">
        <f>AND('STERLING CATALOG - FZN &amp; CHILL'!D2867,"AAAAAEs7zvM=")</f>
        <v>#VALUE!</v>
      </c>
      <c r="IK367" t="e">
        <f>AND('STERLING CATALOG - FZN &amp; CHILL'!E2867,"AAAAAEs7zvQ=")</f>
        <v>#VALUE!</v>
      </c>
      <c r="IL367" t="e">
        <f>AND('STERLING CATALOG - FZN &amp; CHILL'!F2867,"AAAAAEs7zvU=")</f>
        <v>#VALUE!</v>
      </c>
      <c r="IM367" t="e">
        <f>AND('STERLING CATALOG - FZN &amp; CHILL'!G2867,"AAAAAEs7zvY=")</f>
        <v>#VALUE!</v>
      </c>
      <c r="IN367" t="e">
        <f>AND('STERLING CATALOG - FZN &amp; CHILL'!H2867,"AAAAAEs7zvc=")</f>
        <v>#VALUE!</v>
      </c>
      <c r="IO367" t="e">
        <f>AND('STERLING CATALOG - FZN &amp; CHILL'!I2867,"AAAAAEs7zvg=")</f>
        <v>#VALUE!</v>
      </c>
      <c r="IP367" t="e">
        <f>AND('STERLING CATALOG - FZN &amp; CHILL'!J2867,"AAAAAEs7zvk=")</f>
        <v>#VALUE!</v>
      </c>
      <c r="IQ367">
        <f>IF('STERLING CATALOG - FZN &amp; CHILL'!2868:2868,"AAAAAEs7zvo=",0)</f>
        <v>0</v>
      </c>
      <c r="IR367" t="e">
        <f>AND('STERLING CATALOG - FZN &amp; CHILL'!A2868,"AAAAAEs7zvs=")</f>
        <v>#VALUE!</v>
      </c>
      <c r="IS367" t="e">
        <f>AND('STERLING CATALOG - FZN &amp; CHILL'!B2868,"AAAAAEs7zvw=")</f>
        <v>#VALUE!</v>
      </c>
      <c r="IT367" t="e">
        <f>AND('STERLING CATALOG - FZN &amp; CHILL'!C2868,"AAAAAEs7zv0=")</f>
        <v>#VALUE!</v>
      </c>
      <c r="IU367" t="e">
        <f>AND('STERLING CATALOG - FZN &amp; CHILL'!D2868,"AAAAAEs7zv4=")</f>
        <v>#VALUE!</v>
      </c>
      <c r="IV367" t="e">
        <f>AND('STERLING CATALOG - FZN &amp; CHILL'!E2868,"AAAAAEs7zv8=")</f>
        <v>#VALUE!</v>
      </c>
    </row>
    <row r="368" spans="1:256">
      <c r="A368" t="e">
        <f>AND('STERLING CATALOG - FZN &amp; CHILL'!F2868,"AAAAAHV4/gA=")</f>
        <v>#VALUE!</v>
      </c>
      <c r="B368" t="e">
        <f>AND('STERLING CATALOG - FZN &amp; CHILL'!G2868,"AAAAAHV4/gE=")</f>
        <v>#VALUE!</v>
      </c>
      <c r="C368" t="e">
        <f>AND('STERLING CATALOG - FZN &amp; CHILL'!H2868,"AAAAAHV4/gI=")</f>
        <v>#VALUE!</v>
      </c>
      <c r="D368" t="e">
        <f>AND('STERLING CATALOG - FZN &amp; CHILL'!I2868,"AAAAAHV4/gM=")</f>
        <v>#VALUE!</v>
      </c>
      <c r="E368" t="e">
        <f>AND('STERLING CATALOG - FZN &amp; CHILL'!J2868,"AAAAAHV4/gQ=")</f>
        <v>#VALUE!</v>
      </c>
      <c r="F368" t="str">
        <f>IF('STERLING CATALOG - FZN &amp; CHILL'!2869:2869,"AAAAAHV4/gU=",0)</f>
        <v>AAAAAHV4/gU=</v>
      </c>
      <c r="G368" t="e">
        <f>AND('STERLING CATALOG - FZN &amp; CHILL'!A2869,"AAAAAHV4/gY=")</f>
        <v>#VALUE!</v>
      </c>
      <c r="H368" t="e">
        <f>AND('STERLING CATALOG - FZN &amp; CHILL'!B2869,"AAAAAHV4/gc=")</f>
        <v>#VALUE!</v>
      </c>
      <c r="I368" t="e">
        <f>AND('STERLING CATALOG - FZN &amp; CHILL'!C2869,"AAAAAHV4/gg=")</f>
        <v>#VALUE!</v>
      </c>
      <c r="J368" t="e">
        <f>AND('STERLING CATALOG - FZN &amp; CHILL'!D2869,"AAAAAHV4/gk=")</f>
        <v>#VALUE!</v>
      </c>
      <c r="K368" t="e">
        <f>AND('STERLING CATALOG - FZN &amp; CHILL'!E2869,"AAAAAHV4/go=")</f>
        <v>#VALUE!</v>
      </c>
      <c r="L368" t="e">
        <f>AND('STERLING CATALOG - FZN &amp; CHILL'!F2869,"AAAAAHV4/gs=")</f>
        <v>#VALUE!</v>
      </c>
      <c r="M368" t="e">
        <f>AND('STERLING CATALOG - FZN &amp; CHILL'!G2869,"AAAAAHV4/gw=")</f>
        <v>#VALUE!</v>
      </c>
      <c r="N368" t="e">
        <f>AND('STERLING CATALOG - FZN &amp; CHILL'!H2869,"AAAAAHV4/g0=")</f>
        <v>#VALUE!</v>
      </c>
      <c r="O368" t="e">
        <f>AND('STERLING CATALOG - FZN &amp; CHILL'!I2869,"AAAAAHV4/g4=")</f>
        <v>#VALUE!</v>
      </c>
      <c r="P368" t="e">
        <f>AND('STERLING CATALOG - FZN &amp; CHILL'!J2869,"AAAAAHV4/g8=")</f>
        <v>#VALUE!</v>
      </c>
      <c r="Q368">
        <f>IF('STERLING CATALOG - FZN &amp; CHILL'!2870:2870,"AAAAAHV4/hA=",0)</f>
        <v>0</v>
      </c>
      <c r="R368" t="e">
        <f>AND('STERLING CATALOG - FZN &amp; CHILL'!A2870,"AAAAAHV4/hE=")</f>
        <v>#VALUE!</v>
      </c>
      <c r="S368" t="e">
        <f>AND('STERLING CATALOG - FZN &amp; CHILL'!B2870,"AAAAAHV4/hI=")</f>
        <v>#VALUE!</v>
      </c>
      <c r="T368" t="e">
        <f>AND('STERLING CATALOG - FZN &amp; CHILL'!C2870,"AAAAAHV4/hM=")</f>
        <v>#VALUE!</v>
      </c>
      <c r="U368" t="e">
        <f>AND('STERLING CATALOG - FZN &amp; CHILL'!D2870,"AAAAAHV4/hQ=")</f>
        <v>#VALUE!</v>
      </c>
      <c r="V368" t="e">
        <f>AND('STERLING CATALOG - FZN &amp; CHILL'!E2870,"AAAAAHV4/hU=")</f>
        <v>#VALUE!</v>
      </c>
      <c r="W368" t="e">
        <f>AND('STERLING CATALOG - FZN &amp; CHILL'!F2870,"AAAAAHV4/hY=")</f>
        <v>#VALUE!</v>
      </c>
      <c r="X368" t="e">
        <f>AND('STERLING CATALOG - FZN &amp; CHILL'!G2870,"AAAAAHV4/hc=")</f>
        <v>#VALUE!</v>
      </c>
      <c r="Y368" t="e">
        <f>AND('STERLING CATALOG - FZN &amp; CHILL'!H2870,"AAAAAHV4/hg=")</f>
        <v>#VALUE!</v>
      </c>
      <c r="Z368" t="e">
        <f>AND('STERLING CATALOG - FZN &amp; CHILL'!I2870,"AAAAAHV4/hk=")</f>
        <v>#VALUE!</v>
      </c>
      <c r="AA368" t="e">
        <f>AND('STERLING CATALOG - FZN &amp; CHILL'!J2870,"AAAAAHV4/ho=")</f>
        <v>#VALUE!</v>
      </c>
      <c r="AB368">
        <f>IF('STERLING CATALOG - FZN &amp; CHILL'!2871:2871,"AAAAAHV4/hs=",0)</f>
        <v>0</v>
      </c>
      <c r="AC368" t="e">
        <f>AND('STERLING CATALOG - FZN &amp; CHILL'!A2871,"AAAAAHV4/hw=")</f>
        <v>#VALUE!</v>
      </c>
      <c r="AD368" t="e">
        <f>AND('STERLING CATALOG - FZN &amp; CHILL'!B2871,"AAAAAHV4/h0=")</f>
        <v>#VALUE!</v>
      </c>
      <c r="AE368" t="e">
        <f>AND('STERLING CATALOG - FZN &amp; CHILL'!C2871,"AAAAAHV4/h4=")</f>
        <v>#VALUE!</v>
      </c>
      <c r="AF368" t="e">
        <f>AND('STERLING CATALOG - FZN &amp; CHILL'!D2871,"AAAAAHV4/h8=")</f>
        <v>#VALUE!</v>
      </c>
      <c r="AG368" t="e">
        <f>AND('STERLING CATALOG - FZN &amp; CHILL'!E2871,"AAAAAHV4/iA=")</f>
        <v>#VALUE!</v>
      </c>
      <c r="AH368" t="e">
        <f>AND('STERLING CATALOG - FZN &amp; CHILL'!F2871,"AAAAAHV4/iE=")</f>
        <v>#VALUE!</v>
      </c>
      <c r="AI368" t="e">
        <f>AND('STERLING CATALOG - FZN &amp; CHILL'!G2871,"AAAAAHV4/iI=")</f>
        <v>#VALUE!</v>
      </c>
      <c r="AJ368" t="e">
        <f>AND('STERLING CATALOG - FZN &amp; CHILL'!H2871,"AAAAAHV4/iM=")</f>
        <v>#VALUE!</v>
      </c>
      <c r="AK368" t="e">
        <f>AND('STERLING CATALOG - FZN &amp; CHILL'!I2871,"AAAAAHV4/iQ=")</f>
        <v>#VALUE!</v>
      </c>
      <c r="AL368" t="e">
        <f>AND('STERLING CATALOG - FZN &amp; CHILL'!J2871,"AAAAAHV4/iU=")</f>
        <v>#VALUE!</v>
      </c>
      <c r="AM368">
        <f>IF('STERLING CATALOG - FZN &amp; CHILL'!2872:2872,"AAAAAHV4/iY=",0)</f>
        <v>0</v>
      </c>
      <c r="AN368" t="e">
        <f>AND('STERLING CATALOG - FZN &amp; CHILL'!A2872,"AAAAAHV4/ic=")</f>
        <v>#VALUE!</v>
      </c>
      <c r="AO368" t="e">
        <f>AND('STERLING CATALOG - FZN &amp; CHILL'!B2872,"AAAAAHV4/ig=")</f>
        <v>#VALUE!</v>
      </c>
      <c r="AP368" t="e">
        <f>AND('STERLING CATALOG - FZN &amp; CHILL'!C2872,"AAAAAHV4/ik=")</f>
        <v>#VALUE!</v>
      </c>
      <c r="AQ368" t="e">
        <f>AND('STERLING CATALOG - FZN &amp; CHILL'!D2872,"AAAAAHV4/io=")</f>
        <v>#VALUE!</v>
      </c>
      <c r="AR368" t="e">
        <f>AND('STERLING CATALOG - FZN &amp; CHILL'!E2872,"AAAAAHV4/is=")</f>
        <v>#VALUE!</v>
      </c>
      <c r="AS368" t="e">
        <f>AND('STERLING CATALOG - FZN &amp; CHILL'!F2872,"AAAAAHV4/iw=")</f>
        <v>#VALUE!</v>
      </c>
      <c r="AT368" t="e">
        <f>AND('STERLING CATALOG - FZN &amp; CHILL'!G2872,"AAAAAHV4/i0=")</f>
        <v>#VALUE!</v>
      </c>
      <c r="AU368" t="e">
        <f>AND('STERLING CATALOG - FZN &amp; CHILL'!H2872,"AAAAAHV4/i4=")</f>
        <v>#VALUE!</v>
      </c>
      <c r="AV368" t="e">
        <f>AND('STERLING CATALOG - FZN &amp; CHILL'!I2872,"AAAAAHV4/i8=")</f>
        <v>#VALUE!</v>
      </c>
      <c r="AW368" t="e">
        <f>AND('STERLING CATALOG - FZN &amp; CHILL'!J2872,"AAAAAHV4/jA=")</f>
        <v>#VALUE!</v>
      </c>
      <c r="AX368">
        <f>IF('STERLING CATALOG - FZN &amp; CHILL'!2873:2873,"AAAAAHV4/jE=",0)</f>
        <v>0</v>
      </c>
      <c r="AY368" t="e">
        <f>AND('STERLING CATALOG - FZN &amp; CHILL'!A2873,"AAAAAHV4/jI=")</f>
        <v>#VALUE!</v>
      </c>
      <c r="AZ368" t="e">
        <f>AND('STERLING CATALOG - FZN &amp; CHILL'!B2873,"AAAAAHV4/jM=")</f>
        <v>#VALUE!</v>
      </c>
      <c r="BA368" t="e">
        <f>AND('STERLING CATALOG - FZN &amp; CHILL'!C2873,"AAAAAHV4/jQ=")</f>
        <v>#VALUE!</v>
      </c>
      <c r="BB368" t="e">
        <f>AND('STERLING CATALOG - FZN &amp; CHILL'!D2873,"AAAAAHV4/jU=")</f>
        <v>#VALUE!</v>
      </c>
      <c r="BC368" t="e">
        <f>AND('STERLING CATALOG - FZN &amp; CHILL'!E2873,"AAAAAHV4/jY=")</f>
        <v>#VALUE!</v>
      </c>
      <c r="BD368" t="e">
        <f>AND('STERLING CATALOG - FZN &amp; CHILL'!F2873,"AAAAAHV4/jc=")</f>
        <v>#VALUE!</v>
      </c>
      <c r="BE368" t="e">
        <f>AND('STERLING CATALOG - FZN &amp; CHILL'!G2873,"AAAAAHV4/jg=")</f>
        <v>#VALUE!</v>
      </c>
      <c r="BF368" t="e">
        <f>AND('STERLING CATALOG - FZN &amp; CHILL'!H2873,"AAAAAHV4/jk=")</f>
        <v>#VALUE!</v>
      </c>
      <c r="BG368" t="e">
        <f>AND('STERLING CATALOG - FZN &amp; CHILL'!I2873,"AAAAAHV4/jo=")</f>
        <v>#VALUE!</v>
      </c>
      <c r="BH368" t="e">
        <f>AND('STERLING CATALOG - FZN &amp; CHILL'!J2873,"AAAAAHV4/js=")</f>
        <v>#VALUE!</v>
      </c>
      <c r="BI368">
        <f>IF('STERLING CATALOG - FZN &amp; CHILL'!2874:2874,"AAAAAHV4/jw=",0)</f>
        <v>0</v>
      </c>
      <c r="BJ368" t="e">
        <f>AND('STERLING CATALOG - FZN &amp; CHILL'!A2874,"AAAAAHV4/j0=")</f>
        <v>#VALUE!</v>
      </c>
      <c r="BK368" t="e">
        <f>AND('STERLING CATALOG - FZN &amp; CHILL'!B2874,"AAAAAHV4/j4=")</f>
        <v>#VALUE!</v>
      </c>
      <c r="BL368" t="e">
        <f>AND('STERLING CATALOG - FZN &amp; CHILL'!C2874,"AAAAAHV4/j8=")</f>
        <v>#VALUE!</v>
      </c>
      <c r="BM368" t="e">
        <f>AND('STERLING CATALOG - FZN &amp; CHILL'!D2874,"AAAAAHV4/kA=")</f>
        <v>#VALUE!</v>
      </c>
      <c r="BN368" t="e">
        <f>AND('STERLING CATALOG - FZN &amp; CHILL'!E2874,"AAAAAHV4/kE=")</f>
        <v>#VALUE!</v>
      </c>
      <c r="BO368" t="e">
        <f>AND('STERLING CATALOG - FZN &amp; CHILL'!F2874,"AAAAAHV4/kI=")</f>
        <v>#VALUE!</v>
      </c>
      <c r="BP368" t="e">
        <f>AND('STERLING CATALOG - FZN &amp; CHILL'!G2874,"AAAAAHV4/kM=")</f>
        <v>#VALUE!</v>
      </c>
      <c r="BQ368" t="e">
        <f>AND('STERLING CATALOG - FZN &amp; CHILL'!H2874,"AAAAAHV4/kQ=")</f>
        <v>#VALUE!</v>
      </c>
      <c r="BR368" t="e">
        <f>AND('STERLING CATALOG - FZN &amp; CHILL'!I2874,"AAAAAHV4/kU=")</f>
        <v>#VALUE!</v>
      </c>
      <c r="BS368" t="e">
        <f>AND('STERLING CATALOG - FZN &amp; CHILL'!J2874,"AAAAAHV4/kY=")</f>
        <v>#VALUE!</v>
      </c>
      <c r="BT368">
        <f>IF('STERLING CATALOG - FZN &amp; CHILL'!2875:2875,"AAAAAHV4/kc=",0)</f>
        <v>0</v>
      </c>
      <c r="BU368" t="e">
        <f>AND('STERLING CATALOG - FZN &amp; CHILL'!A2875,"AAAAAHV4/kg=")</f>
        <v>#VALUE!</v>
      </c>
      <c r="BV368" t="e">
        <f>AND('STERLING CATALOG - FZN &amp; CHILL'!B2875,"AAAAAHV4/kk=")</f>
        <v>#VALUE!</v>
      </c>
      <c r="BW368" t="e">
        <f>AND('STERLING CATALOG - FZN &amp; CHILL'!C2875,"AAAAAHV4/ko=")</f>
        <v>#VALUE!</v>
      </c>
      <c r="BX368" t="e">
        <f>AND('STERLING CATALOG - FZN &amp; CHILL'!D2875,"AAAAAHV4/ks=")</f>
        <v>#VALUE!</v>
      </c>
      <c r="BY368" t="e">
        <f>AND('STERLING CATALOG - FZN &amp; CHILL'!E2875,"AAAAAHV4/kw=")</f>
        <v>#VALUE!</v>
      </c>
      <c r="BZ368" t="e">
        <f>AND('STERLING CATALOG - FZN &amp; CHILL'!F2875,"AAAAAHV4/k0=")</f>
        <v>#VALUE!</v>
      </c>
      <c r="CA368" t="e">
        <f>AND('STERLING CATALOG - FZN &amp; CHILL'!G2875,"AAAAAHV4/k4=")</f>
        <v>#VALUE!</v>
      </c>
      <c r="CB368" t="e">
        <f>AND('STERLING CATALOG - FZN &amp; CHILL'!H2875,"AAAAAHV4/k8=")</f>
        <v>#VALUE!</v>
      </c>
      <c r="CC368" t="e">
        <f>AND('STERLING CATALOG - FZN &amp; CHILL'!I2875,"AAAAAHV4/lA=")</f>
        <v>#VALUE!</v>
      </c>
      <c r="CD368" t="e">
        <f>AND('STERLING CATALOG - FZN &amp; CHILL'!J2875,"AAAAAHV4/lE=")</f>
        <v>#VALUE!</v>
      </c>
      <c r="CE368">
        <f>IF('STERLING CATALOG - FZN &amp; CHILL'!2876:2876,"AAAAAHV4/lI=",0)</f>
        <v>0</v>
      </c>
      <c r="CF368" t="e">
        <f>AND('STERLING CATALOG - FZN &amp; CHILL'!A2876,"AAAAAHV4/lM=")</f>
        <v>#VALUE!</v>
      </c>
      <c r="CG368" t="e">
        <f>AND('STERLING CATALOG - FZN &amp; CHILL'!B2876,"AAAAAHV4/lQ=")</f>
        <v>#VALUE!</v>
      </c>
      <c r="CH368" t="e">
        <f>AND('STERLING CATALOG - FZN &amp; CHILL'!C2876,"AAAAAHV4/lU=")</f>
        <v>#VALUE!</v>
      </c>
      <c r="CI368" t="e">
        <f>AND('STERLING CATALOG - FZN &amp; CHILL'!D2876,"AAAAAHV4/lY=")</f>
        <v>#VALUE!</v>
      </c>
      <c r="CJ368" t="e">
        <f>AND('STERLING CATALOG - FZN &amp; CHILL'!E2876,"AAAAAHV4/lc=")</f>
        <v>#VALUE!</v>
      </c>
      <c r="CK368" t="e">
        <f>AND('STERLING CATALOG - FZN &amp; CHILL'!F2876,"AAAAAHV4/lg=")</f>
        <v>#VALUE!</v>
      </c>
      <c r="CL368" t="e">
        <f>AND('STERLING CATALOG - FZN &amp; CHILL'!G2876,"AAAAAHV4/lk=")</f>
        <v>#VALUE!</v>
      </c>
      <c r="CM368" t="e">
        <f>AND('STERLING CATALOG - FZN &amp; CHILL'!H2876,"AAAAAHV4/lo=")</f>
        <v>#VALUE!</v>
      </c>
      <c r="CN368" t="e">
        <f>AND('STERLING CATALOG - FZN &amp; CHILL'!I2876,"AAAAAHV4/ls=")</f>
        <v>#VALUE!</v>
      </c>
      <c r="CO368" t="e">
        <f>AND('STERLING CATALOG - FZN &amp; CHILL'!J2876,"AAAAAHV4/lw=")</f>
        <v>#VALUE!</v>
      </c>
      <c r="CP368">
        <f>IF('STERLING CATALOG - FZN &amp; CHILL'!2877:2877,"AAAAAHV4/l0=",0)</f>
        <v>0</v>
      </c>
      <c r="CQ368" t="e">
        <f>AND('STERLING CATALOG - FZN &amp; CHILL'!A2877,"AAAAAHV4/l4=")</f>
        <v>#VALUE!</v>
      </c>
      <c r="CR368" t="e">
        <f>AND('STERLING CATALOG - FZN &amp; CHILL'!B2877,"AAAAAHV4/l8=")</f>
        <v>#VALUE!</v>
      </c>
      <c r="CS368" t="e">
        <f>AND('STERLING CATALOG - FZN &amp; CHILL'!C2877,"AAAAAHV4/mA=")</f>
        <v>#VALUE!</v>
      </c>
      <c r="CT368" t="e">
        <f>AND('STERLING CATALOG - FZN &amp; CHILL'!D2877,"AAAAAHV4/mE=")</f>
        <v>#VALUE!</v>
      </c>
      <c r="CU368" t="e">
        <f>AND('STERLING CATALOG - FZN &amp; CHILL'!E2877,"AAAAAHV4/mI=")</f>
        <v>#VALUE!</v>
      </c>
      <c r="CV368" t="e">
        <f>AND('STERLING CATALOG - FZN &amp; CHILL'!F2877,"AAAAAHV4/mM=")</f>
        <v>#VALUE!</v>
      </c>
      <c r="CW368" t="e">
        <f>AND('STERLING CATALOG - FZN &amp; CHILL'!G2877,"AAAAAHV4/mQ=")</f>
        <v>#VALUE!</v>
      </c>
      <c r="CX368" t="e">
        <f>AND('STERLING CATALOG - FZN &amp; CHILL'!H2877,"AAAAAHV4/mU=")</f>
        <v>#VALUE!</v>
      </c>
      <c r="CY368" t="e">
        <f>AND('STERLING CATALOG - FZN &amp; CHILL'!I2877,"AAAAAHV4/mY=")</f>
        <v>#VALUE!</v>
      </c>
      <c r="CZ368" t="e">
        <f>AND('STERLING CATALOG - FZN &amp; CHILL'!J2877,"AAAAAHV4/mc=")</f>
        <v>#VALUE!</v>
      </c>
      <c r="DA368">
        <f>IF('STERLING CATALOG - FZN &amp; CHILL'!2878:2878,"AAAAAHV4/mg=",0)</f>
        <v>0</v>
      </c>
      <c r="DB368" t="e">
        <f>AND('STERLING CATALOG - FZN &amp; CHILL'!A2878,"AAAAAHV4/mk=")</f>
        <v>#VALUE!</v>
      </c>
      <c r="DC368" t="e">
        <f>AND('STERLING CATALOG - FZN &amp; CHILL'!B2878,"AAAAAHV4/mo=")</f>
        <v>#VALUE!</v>
      </c>
      <c r="DD368" t="e">
        <f>AND('STERLING CATALOG - FZN &amp; CHILL'!C2878,"AAAAAHV4/ms=")</f>
        <v>#VALUE!</v>
      </c>
      <c r="DE368" t="e">
        <f>AND('STERLING CATALOG - FZN &amp; CHILL'!D2878,"AAAAAHV4/mw=")</f>
        <v>#VALUE!</v>
      </c>
      <c r="DF368" t="e">
        <f>AND('STERLING CATALOG - FZN &amp; CHILL'!E2878,"AAAAAHV4/m0=")</f>
        <v>#VALUE!</v>
      </c>
      <c r="DG368" t="e">
        <f>AND('STERLING CATALOG - FZN &amp; CHILL'!F2878,"AAAAAHV4/m4=")</f>
        <v>#VALUE!</v>
      </c>
      <c r="DH368" t="e">
        <f>AND('STERLING CATALOG - FZN &amp; CHILL'!G2878,"AAAAAHV4/m8=")</f>
        <v>#VALUE!</v>
      </c>
      <c r="DI368" t="e">
        <f>AND('STERLING CATALOG - FZN &amp; CHILL'!H2878,"AAAAAHV4/nA=")</f>
        <v>#VALUE!</v>
      </c>
      <c r="DJ368" t="e">
        <f>AND('STERLING CATALOG - FZN &amp; CHILL'!I2878,"AAAAAHV4/nE=")</f>
        <v>#VALUE!</v>
      </c>
      <c r="DK368" t="e">
        <f>AND('STERLING CATALOG - FZN &amp; CHILL'!J2878,"AAAAAHV4/nI=")</f>
        <v>#VALUE!</v>
      </c>
      <c r="DL368">
        <f>IF('STERLING CATALOG - FZN &amp; CHILL'!2879:2879,"AAAAAHV4/nM=",0)</f>
        <v>0</v>
      </c>
      <c r="DM368" t="e">
        <f>AND('STERLING CATALOG - FZN &amp; CHILL'!A2879,"AAAAAHV4/nQ=")</f>
        <v>#VALUE!</v>
      </c>
      <c r="DN368" t="e">
        <f>AND('STERLING CATALOG - FZN &amp; CHILL'!B2879,"AAAAAHV4/nU=")</f>
        <v>#VALUE!</v>
      </c>
      <c r="DO368" t="e">
        <f>AND('STERLING CATALOG - FZN &amp; CHILL'!C2879,"AAAAAHV4/nY=")</f>
        <v>#VALUE!</v>
      </c>
      <c r="DP368" t="e">
        <f>AND('STERLING CATALOG - FZN &amp; CHILL'!D2879,"AAAAAHV4/nc=")</f>
        <v>#VALUE!</v>
      </c>
      <c r="DQ368" t="e">
        <f>AND('STERLING CATALOG - FZN &amp; CHILL'!E2879,"AAAAAHV4/ng=")</f>
        <v>#VALUE!</v>
      </c>
      <c r="DR368" t="e">
        <f>AND('STERLING CATALOG - FZN &amp; CHILL'!F2879,"AAAAAHV4/nk=")</f>
        <v>#VALUE!</v>
      </c>
      <c r="DS368" t="e">
        <f>AND('STERLING CATALOG - FZN &amp; CHILL'!G2879,"AAAAAHV4/no=")</f>
        <v>#VALUE!</v>
      </c>
      <c r="DT368" t="e">
        <f>AND('STERLING CATALOG - FZN &amp; CHILL'!H2879,"AAAAAHV4/ns=")</f>
        <v>#VALUE!</v>
      </c>
      <c r="DU368" t="e">
        <f>AND('STERLING CATALOG - FZN &amp; CHILL'!I2879,"AAAAAHV4/nw=")</f>
        <v>#VALUE!</v>
      </c>
      <c r="DV368" t="e">
        <f>AND('STERLING CATALOG - FZN &amp; CHILL'!J2879,"AAAAAHV4/n0=")</f>
        <v>#VALUE!</v>
      </c>
      <c r="DW368">
        <f>IF('STERLING CATALOG - FZN &amp; CHILL'!2880:2880,"AAAAAHV4/n4=",0)</f>
        <v>0</v>
      </c>
      <c r="DX368" t="e">
        <f>AND('STERLING CATALOG - FZN &amp; CHILL'!A2880,"AAAAAHV4/n8=")</f>
        <v>#VALUE!</v>
      </c>
      <c r="DY368" t="e">
        <f>AND('STERLING CATALOG - FZN &amp; CHILL'!B2880,"AAAAAHV4/oA=")</f>
        <v>#VALUE!</v>
      </c>
      <c r="DZ368" t="e">
        <f>AND('STERLING CATALOG - FZN &amp; CHILL'!C2880,"AAAAAHV4/oE=")</f>
        <v>#VALUE!</v>
      </c>
      <c r="EA368" t="e">
        <f>AND('STERLING CATALOG - FZN &amp; CHILL'!D2880,"AAAAAHV4/oI=")</f>
        <v>#VALUE!</v>
      </c>
      <c r="EB368" t="e">
        <f>AND('STERLING CATALOG - FZN &amp; CHILL'!E2880,"AAAAAHV4/oM=")</f>
        <v>#VALUE!</v>
      </c>
      <c r="EC368" t="e">
        <f>AND('STERLING CATALOG - FZN &amp; CHILL'!F2880,"AAAAAHV4/oQ=")</f>
        <v>#VALUE!</v>
      </c>
      <c r="ED368" t="e">
        <f>AND('STERLING CATALOG - FZN &amp; CHILL'!G2880,"AAAAAHV4/oU=")</f>
        <v>#VALUE!</v>
      </c>
      <c r="EE368" t="e">
        <f>AND('STERLING CATALOG - FZN &amp; CHILL'!H2880,"AAAAAHV4/oY=")</f>
        <v>#VALUE!</v>
      </c>
      <c r="EF368" t="e">
        <f>AND('STERLING CATALOG - FZN &amp; CHILL'!I2880,"AAAAAHV4/oc=")</f>
        <v>#VALUE!</v>
      </c>
      <c r="EG368" t="e">
        <f>AND('STERLING CATALOG - FZN &amp; CHILL'!J2880,"AAAAAHV4/og=")</f>
        <v>#VALUE!</v>
      </c>
      <c r="EH368">
        <f>IF('STERLING CATALOG - FZN &amp; CHILL'!2881:2881,"AAAAAHV4/ok=",0)</f>
        <v>0</v>
      </c>
      <c r="EI368" t="e">
        <f>AND('STERLING CATALOG - FZN &amp; CHILL'!A2881,"AAAAAHV4/oo=")</f>
        <v>#VALUE!</v>
      </c>
      <c r="EJ368" t="e">
        <f>AND('STERLING CATALOG - FZN &amp; CHILL'!B2881,"AAAAAHV4/os=")</f>
        <v>#VALUE!</v>
      </c>
      <c r="EK368" t="e">
        <f>AND('STERLING CATALOG - FZN &amp; CHILL'!C2881,"AAAAAHV4/ow=")</f>
        <v>#VALUE!</v>
      </c>
      <c r="EL368" t="e">
        <f>AND('STERLING CATALOG - FZN &amp; CHILL'!D2881,"AAAAAHV4/o0=")</f>
        <v>#VALUE!</v>
      </c>
      <c r="EM368" t="e">
        <f>AND('STERLING CATALOG - FZN &amp; CHILL'!E2881,"AAAAAHV4/o4=")</f>
        <v>#VALUE!</v>
      </c>
      <c r="EN368" t="e">
        <f>AND('STERLING CATALOG - FZN &amp; CHILL'!F2881,"AAAAAHV4/o8=")</f>
        <v>#VALUE!</v>
      </c>
      <c r="EO368" t="e">
        <f>AND('STERLING CATALOG - FZN &amp; CHILL'!G2881,"AAAAAHV4/pA=")</f>
        <v>#VALUE!</v>
      </c>
      <c r="EP368" t="e">
        <f>AND('STERLING CATALOG - FZN &amp; CHILL'!H2881,"AAAAAHV4/pE=")</f>
        <v>#VALUE!</v>
      </c>
      <c r="EQ368" t="e">
        <f>AND('STERLING CATALOG - FZN &amp; CHILL'!I2881,"AAAAAHV4/pI=")</f>
        <v>#VALUE!</v>
      </c>
      <c r="ER368" t="e">
        <f>AND('STERLING CATALOG - FZN &amp; CHILL'!J2881,"AAAAAHV4/pM=")</f>
        <v>#VALUE!</v>
      </c>
      <c r="ES368">
        <f>IF('STERLING CATALOG - FZN &amp; CHILL'!2882:2882,"AAAAAHV4/pQ=",0)</f>
        <v>0</v>
      </c>
      <c r="ET368" t="e">
        <f>AND('STERLING CATALOG - FZN &amp; CHILL'!A2882,"AAAAAHV4/pU=")</f>
        <v>#VALUE!</v>
      </c>
      <c r="EU368" t="e">
        <f>AND('STERLING CATALOG - FZN &amp; CHILL'!B2882,"AAAAAHV4/pY=")</f>
        <v>#VALUE!</v>
      </c>
      <c r="EV368" t="e">
        <f>AND('STERLING CATALOG - FZN &amp; CHILL'!C2882,"AAAAAHV4/pc=")</f>
        <v>#VALUE!</v>
      </c>
      <c r="EW368" t="e">
        <f>AND('STERLING CATALOG - FZN &amp; CHILL'!D2882,"AAAAAHV4/pg=")</f>
        <v>#VALUE!</v>
      </c>
      <c r="EX368" t="e">
        <f>AND('STERLING CATALOG - FZN &amp; CHILL'!E2882,"AAAAAHV4/pk=")</f>
        <v>#VALUE!</v>
      </c>
      <c r="EY368" t="e">
        <f>AND('STERLING CATALOG - FZN &amp; CHILL'!F2882,"AAAAAHV4/po=")</f>
        <v>#VALUE!</v>
      </c>
      <c r="EZ368" t="e">
        <f>AND('STERLING CATALOG - FZN &amp; CHILL'!G2882,"AAAAAHV4/ps=")</f>
        <v>#VALUE!</v>
      </c>
      <c r="FA368" t="e">
        <f>AND('STERLING CATALOG - FZN &amp; CHILL'!H2882,"AAAAAHV4/pw=")</f>
        <v>#VALUE!</v>
      </c>
      <c r="FB368" t="e">
        <f>AND('STERLING CATALOG - FZN &amp; CHILL'!I2882,"AAAAAHV4/p0=")</f>
        <v>#VALUE!</v>
      </c>
      <c r="FC368" t="e">
        <f>AND('STERLING CATALOG - FZN &amp; CHILL'!J2882,"AAAAAHV4/p4=")</f>
        <v>#VALUE!</v>
      </c>
      <c r="FD368">
        <f>IF('STERLING CATALOG - FZN &amp; CHILL'!2883:2883,"AAAAAHV4/p8=",0)</f>
        <v>0</v>
      </c>
      <c r="FE368" t="e">
        <f>AND('STERLING CATALOG - FZN &amp; CHILL'!A2883,"AAAAAHV4/qA=")</f>
        <v>#VALUE!</v>
      </c>
      <c r="FF368" t="e">
        <f>AND('STERLING CATALOG - FZN &amp; CHILL'!B2883,"AAAAAHV4/qE=")</f>
        <v>#VALUE!</v>
      </c>
      <c r="FG368" t="e">
        <f>AND('STERLING CATALOG - FZN &amp; CHILL'!C2883,"AAAAAHV4/qI=")</f>
        <v>#VALUE!</v>
      </c>
      <c r="FH368" t="e">
        <f>AND('STERLING CATALOG - FZN &amp; CHILL'!D2883,"AAAAAHV4/qM=")</f>
        <v>#VALUE!</v>
      </c>
      <c r="FI368" t="e">
        <f>AND('STERLING CATALOG - FZN &amp; CHILL'!E2883,"AAAAAHV4/qQ=")</f>
        <v>#VALUE!</v>
      </c>
      <c r="FJ368" t="e">
        <f>AND('STERLING CATALOG - FZN &amp; CHILL'!F2883,"AAAAAHV4/qU=")</f>
        <v>#VALUE!</v>
      </c>
      <c r="FK368" t="e">
        <f>AND('STERLING CATALOG - FZN &amp; CHILL'!G2883,"AAAAAHV4/qY=")</f>
        <v>#VALUE!</v>
      </c>
      <c r="FL368" t="e">
        <f>AND('STERLING CATALOG - FZN &amp; CHILL'!H2883,"AAAAAHV4/qc=")</f>
        <v>#VALUE!</v>
      </c>
      <c r="FM368" t="e">
        <f>AND('STERLING CATALOG - FZN &amp; CHILL'!I2883,"AAAAAHV4/qg=")</f>
        <v>#VALUE!</v>
      </c>
      <c r="FN368" t="e">
        <f>AND('STERLING CATALOG - FZN &amp; CHILL'!J2883,"AAAAAHV4/qk=")</f>
        <v>#VALUE!</v>
      </c>
      <c r="FO368">
        <f>IF('STERLING CATALOG - FZN &amp; CHILL'!2884:2884,"AAAAAHV4/qo=",0)</f>
        <v>0</v>
      </c>
      <c r="FP368" t="e">
        <f>AND('STERLING CATALOG - FZN &amp; CHILL'!A2884,"AAAAAHV4/qs=")</f>
        <v>#VALUE!</v>
      </c>
      <c r="FQ368" t="e">
        <f>AND('STERLING CATALOG - FZN &amp; CHILL'!B2884,"AAAAAHV4/qw=")</f>
        <v>#VALUE!</v>
      </c>
      <c r="FR368" t="e">
        <f>AND('STERLING CATALOG - FZN &amp; CHILL'!C2884,"AAAAAHV4/q0=")</f>
        <v>#VALUE!</v>
      </c>
      <c r="FS368" t="e">
        <f>AND('STERLING CATALOG - FZN &amp; CHILL'!D2884,"AAAAAHV4/q4=")</f>
        <v>#VALUE!</v>
      </c>
      <c r="FT368" t="e">
        <f>AND('STERLING CATALOG - FZN &amp; CHILL'!E2884,"AAAAAHV4/q8=")</f>
        <v>#VALUE!</v>
      </c>
      <c r="FU368" t="e">
        <f>AND('STERLING CATALOG - FZN &amp; CHILL'!F2884,"AAAAAHV4/rA=")</f>
        <v>#VALUE!</v>
      </c>
      <c r="FV368" t="e">
        <f>AND('STERLING CATALOG - FZN &amp; CHILL'!G2884,"AAAAAHV4/rE=")</f>
        <v>#VALUE!</v>
      </c>
      <c r="FW368" t="e">
        <f>AND('STERLING CATALOG - FZN &amp; CHILL'!H2884,"AAAAAHV4/rI=")</f>
        <v>#VALUE!</v>
      </c>
      <c r="FX368" t="e">
        <f>AND('STERLING CATALOG - FZN &amp; CHILL'!I2884,"AAAAAHV4/rM=")</f>
        <v>#VALUE!</v>
      </c>
      <c r="FY368" t="e">
        <f>AND('STERLING CATALOG - FZN &amp; CHILL'!J2884,"AAAAAHV4/rQ=")</f>
        <v>#VALUE!</v>
      </c>
      <c r="FZ368">
        <f>IF('STERLING CATALOG - FZN &amp; CHILL'!2885:2885,"AAAAAHV4/rU=",0)</f>
        <v>0</v>
      </c>
      <c r="GA368" t="e">
        <f>AND('STERLING CATALOG - FZN &amp; CHILL'!A2885,"AAAAAHV4/rY=")</f>
        <v>#VALUE!</v>
      </c>
      <c r="GB368" t="e">
        <f>AND('STERLING CATALOG - FZN &amp; CHILL'!B2885,"AAAAAHV4/rc=")</f>
        <v>#VALUE!</v>
      </c>
      <c r="GC368" t="e">
        <f>AND('STERLING CATALOG - FZN &amp; CHILL'!C2885,"AAAAAHV4/rg=")</f>
        <v>#VALUE!</v>
      </c>
      <c r="GD368" t="e">
        <f>AND('STERLING CATALOG - FZN &amp; CHILL'!D2885,"AAAAAHV4/rk=")</f>
        <v>#VALUE!</v>
      </c>
      <c r="GE368" t="e">
        <f>AND('STERLING CATALOG - FZN &amp; CHILL'!E2885,"AAAAAHV4/ro=")</f>
        <v>#VALUE!</v>
      </c>
      <c r="GF368" t="e">
        <f>AND('STERLING CATALOG - FZN &amp; CHILL'!F2885,"AAAAAHV4/rs=")</f>
        <v>#VALUE!</v>
      </c>
      <c r="GG368" t="e">
        <f>AND('STERLING CATALOG - FZN &amp; CHILL'!G2885,"AAAAAHV4/rw=")</f>
        <v>#VALUE!</v>
      </c>
      <c r="GH368" t="e">
        <f>AND('STERLING CATALOG - FZN &amp; CHILL'!H2885,"AAAAAHV4/r0=")</f>
        <v>#VALUE!</v>
      </c>
      <c r="GI368" t="e">
        <f>AND('STERLING CATALOG - FZN &amp; CHILL'!I2885,"AAAAAHV4/r4=")</f>
        <v>#VALUE!</v>
      </c>
      <c r="GJ368" t="e">
        <f>AND('STERLING CATALOG - FZN &amp; CHILL'!J2885,"AAAAAHV4/r8=")</f>
        <v>#VALUE!</v>
      </c>
      <c r="GK368">
        <f>IF('STERLING CATALOG - FZN &amp; CHILL'!2886:2886,"AAAAAHV4/sA=",0)</f>
        <v>0</v>
      </c>
      <c r="GL368" t="e">
        <f>AND('STERLING CATALOG - FZN &amp; CHILL'!A2886,"AAAAAHV4/sE=")</f>
        <v>#VALUE!</v>
      </c>
      <c r="GM368" t="e">
        <f>AND('STERLING CATALOG - FZN &amp; CHILL'!B2886,"AAAAAHV4/sI=")</f>
        <v>#VALUE!</v>
      </c>
      <c r="GN368" t="e">
        <f>AND('STERLING CATALOG - FZN &amp; CHILL'!C2886,"AAAAAHV4/sM=")</f>
        <v>#VALUE!</v>
      </c>
      <c r="GO368" t="e">
        <f>AND('STERLING CATALOG - FZN &amp; CHILL'!D2886,"AAAAAHV4/sQ=")</f>
        <v>#VALUE!</v>
      </c>
      <c r="GP368" t="e">
        <f>AND('STERLING CATALOG - FZN &amp; CHILL'!E2886,"AAAAAHV4/sU=")</f>
        <v>#VALUE!</v>
      </c>
      <c r="GQ368" t="e">
        <f>AND('STERLING CATALOG - FZN &amp; CHILL'!F2886,"AAAAAHV4/sY=")</f>
        <v>#VALUE!</v>
      </c>
      <c r="GR368" t="e">
        <f>AND('STERLING CATALOG - FZN &amp; CHILL'!G2886,"AAAAAHV4/sc=")</f>
        <v>#VALUE!</v>
      </c>
      <c r="GS368" t="e">
        <f>AND('STERLING CATALOG - FZN &amp; CHILL'!H2886,"AAAAAHV4/sg=")</f>
        <v>#VALUE!</v>
      </c>
      <c r="GT368" t="e">
        <f>AND('STERLING CATALOG - FZN &amp; CHILL'!I2886,"AAAAAHV4/sk=")</f>
        <v>#VALUE!</v>
      </c>
      <c r="GU368" t="e">
        <f>AND('STERLING CATALOG - FZN &amp; CHILL'!J2886,"AAAAAHV4/so=")</f>
        <v>#VALUE!</v>
      </c>
      <c r="GV368">
        <f>IF('STERLING CATALOG - FZN &amp; CHILL'!2887:2887,"AAAAAHV4/ss=",0)</f>
        <v>0</v>
      </c>
      <c r="GW368" t="e">
        <f>AND('STERLING CATALOG - FZN &amp; CHILL'!A2887,"AAAAAHV4/sw=")</f>
        <v>#VALUE!</v>
      </c>
      <c r="GX368" t="e">
        <f>AND('STERLING CATALOG - FZN &amp; CHILL'!B2887,"AAAAAHV4/s0=")</f>
        <v>#VALUE!</v>
      </c>
      <c r="GY368" t="e">
        <f>AND('STERLING CATALOG - FZN &amp; CHILL'!C2887,"AAAAAHV4/s4=")</f>
        <v>#VALUE!</v>
      </c>
      <c r="GZ368" t="e">
        <f>AND('STERLING CATALOG - FZN &amp; CHILL'!D2887,"AAAAAHV4/s8=")</f>
        <v>#VALUE!</v>
      </c>
      <c r="HA368" t="e">
        <f>AND('STERLING CATALOG - FZN &amp; CHILL'!E2887,"AAAAAHV4/tA=")</f>
        <v>#VALUE!</v>
      </c>
      <c r="HB368" t="e">
        <f>AND('STERLING CATALOG - FZN &amp; CHILL'!F2887,"AAAAAHV4/tE=")</f>
        <v>#VALUE!</v>
      </c>
      <c r="HC368" t="e">
        <f>AND('STERLING CATALOG - FZN &amp; CHILL'!G2887,"AAAAAHV4/tI=")</f>
        <v>#VALUE!</v>
      </c>
      <c r="HD368" t="e">
        <f>AND('STERLING CATALOG - FZN &amp; CHILL'!H2887,"AAAAAHV4/tM=")</f>
        <v>#VALUE!</v>
      </c>
      <c r="HE368" t="e">
        <f>AND('STERLING CATALOG - FZN &amp; CHILL'!I2887,"AAAAAHV4/tQ=")</f>
        <v>#VALUE!</v>
      </c>
      <c r="HF368" t="e">
        <f>AND('STERLING CATALOG - FZN &amp; CHILL'!J2887,"AAAAAHV4/tU=")</f>
        <v>#VALUE!</v>
      </c>
      <c r="HG368">
        <f>IF('STERLING CATALOG - FZN &amp; CHILL'!2888:2888,"AAAAAHV4/tY=",0)</f>
        <v>0</v>
      </c>
      <c r="HH368" t="e">
        <f>AND('STERLING CATALOG - FZN &amp; CHILL'!A2888,"AAAAAHV4/tc=")</f>
        <v>#VALUE!</v>
      </c>
      <c r="HI368" t="e">
        <f>AND('STERLING CATALOG - FZN &amp; CHILL'!B2888,"AAAAAHV4/tg=")</f>
        <v>#VALUE!</v>
      </c>
      <c r="HJ368" t="e">
        <f>AND('STERLING CATALOG - FZN &amp; CHILL'!C2888,"AAAAAHV4/tk=")</f>
        <v>#VALUE!</v>
      </c>
      <c r="HK368" t="e">
        <f>AND('STERLING CATALOG - FZN &amp; CHILL'!D2888,"AAAAAHV4/to=")</f>
        <v>#VALUE!</v>
      </c>
      <c r="HL368" t="e">
        <f>AND('STERLING CATALOG - FZN &amp; CHILL'!E2888,"AAAAAHV4/ts=")</f>
        <v>#VALUE!</v>
      </c>
      <c r="HM368" t="e">
        <f>AND('STERLING CATALOG - FZN &amp; CHILL'!F2888,"AAAAAHV4/tw=")</f>
        <v>#VALUE!</v>
      </c>
      <c r="HN368" t="e">
        <f>AND('STERLING CATALOG - FZN &amp; CHILL'!G2888,"AAAAAHV4/t0=")</f>
        <v>#VALUE!</v>
      </c>
      <c r="HO368" t="e">
        <f>AND('STERLING CATALOG - FZN &amp; CHILL'!H2888,"AAAAAHV4/t4=")</f>
        <v>#VALUE!</v>
      </c>
      <c r="HP368" t="e">
        <f>AND('STERLING CATALOG - FZN &amp; CHILL'!I2888,"AAAAAHV4/t8=")</f>
        <v>#VALUE!</v>
      </c>
      <c r="HQ368" t="e">
        <f>AND('STERLING CATALOG - FZN &amp; CHILL'!J2888,"AAAAAHV4/uA=")</f>
        <v>#VALUE!</v>
      </c>
      <c r="HR368">
        <f>IF('STERLING CATALOG - FZN &amp; CHILL'!2889:2889,"AAAAAHV4/uE=",0)</f>
        <v>0</v>
      </c>
      <c r="HS368" t="e">
        <f>AND('STERLING CATALOG - FZN &amp; CHILL'!A2889,"AAAAAHV4/uI=")</f>
        <v>#VALUE!</v>
      </c>
      <c r="HT368" t="e">
        <f>AND('STERLING CATALOG - FZN &amp; CHILL'!B2889,"AAAAAHV4/uM=")</f>
        <v>#VALUE!</v>
      </c>
      <c r="HU368" t="e">
        <f>AND('STERLING CATALOG - FZN &amp; CHILL'!C2889,"AAAAAHV4/uQ=")</f>
        <v>#VALUE!</v>
      </c>
      <c r="HV368" t="e">
        <f>AND('STERLING CATALOG - FZN &amp; CHILL'!D2889,"AAAAAHV4/uU=")</f>
        <v>#VALUE!</v>
      </c>
      <c r="HW368" t="e">
        <f>AND('STERLING CATALOG - FZN &amp; CHILL'!E2889,"AAAAAHV4/uY=")</f>
        <v>#VALUE!</v>
      </c>
      <c r="HX368" t="e">
        <f>AND('STERLING CATALOG - FZN &amp; CHILL'!F2889,"AAAAAHV4/uc=")</f>
        <v>#VALUE!</v>
      </c>
      <c r="HY368" t="e">
        <f>AND('STERLING CATALOG - FZN &amp; CHILL'!G2889,"AAAAAHV4/ug=")</f>
        <v>#VALUE!</v>
      </c>
      <c r="HZ368" t="e">
        <f>AND('STERLING CATALOG - FZN &amp; CHILL'!H2889,"AAAAAHV4/uk=")</f>
        <v>#VALUE!</v>
      </c>
      <c r="IA368" t="e">
        <f>AND('STERLING CATALOG - FZN &amp; CHILL'!I2889,"AAAAAHV4/uo=")</f>
        <v>#VALUE!</v>
      </c>
      <c r="IB368" t="e">
        <f>AND('STERLING CATALOG - FZN &amp; CHILL'!J2889,"AAAAAHV4/us=")</f>
        <v>#VALUE!</v>
      </c>
      <c r="IC368">
        <f>IF('STERLING CATALOG - FZN &amp; CHILL'!2890:2890,"AAAAAHV4/uw=",0)</f>
        <v>0</v>
      </c>
      <c r="ID368" t="e">
        <f>AND('STERLING CATALOG - FZN &amp; CHILL'!A2890,"AAAAAHV4/u0=")</f>
        <v>#VALUE!</v>
      </c>
      <c r="IE368" t="e">
        <f>AND('STERLING CATALOG - FZN &amp; CHILL'!B2890,"AAAAAHV4/u4=")</f>
        <v>#VALUE!</v>
      </c>
      <c r="IF368" t="e">
        <f>AND('STERLING CATALOG - FZN &amp; CHILL'!C2890,"AAAAAHV4/u8=")</f>
        <v>#VALUE!</v>
      </c>
      <c r="IG368" t="e">
        <f>AND('STERLING CATALOG - FZN &amp; CHILL'!D2890,"AAAAAHV4/vA=")</f>
        <v>#VALUE!</v>
      </c>
      <c r="IH368" t="e">
        <f>AND('STERLING CATALOG - FZN &amp; CHILL'!E2890,"AAAAAHV4/vE=")</f>
        <v>#VALUE!</v>
      </c>
      <c r="II368" t="e">
        <f>AND('STERLING CATALOG - FZN &amp; CHILL'!F2890,"AAAAAHV4/vI=")</f>
        <v>#VALUE!</v>
      </c>
      <c r="IJ368" t="e">
        <f>AND('STERLING CATALOG - FZN &amp; CHILL'!G2890,"AAAAAHV4/vM=")</f>
        <v>#VALUE!</v>
      </c>
      <c r="IK368" t="e">
        <f>AND('STERLING CATALOG - FZN &amp; CHILL'!H2890,"AAAAAHV4/vQ=")</f>
        <v>#VALUE!</v>
      </c>
      <c r="IL368" t="e">
        <f>AND('STERLING CATALOG - FZN &amp; CHILL'!I2890,"AAAAAHV4/vU=")</f>
        <v>#VALUE!</v>
      </c>
      <c r="IM368" t="e">
        <f>AND('STERLING CATALOG - FZN &amp; CHILL'!J2890,"AAAAAHV4/vY=")</f>
        <v>#VALUE!</v>
      </c>
      <c r="IN368">
        <f>IF('STERLING CATALOG - FZN &amp; CHILL'!2891:2891,"AAAAAHV4/vc=",0)</f>
        <v>0</v>
      </c>
      <c r="IO368" t="e">
        <f>AND('STERLING CATALOG - FZN &amp; CHILL'!A2891,"AAAAAHV4/vg=")</f>
        <v>#VALUE!</v>
      </c>
      <c r="IP368" t="e">
        <f>AND('STERLING CATALOG - FZN &amp; CHILL'!B2891,"AAAAAHV4/vk=")</f>
        <v>#VALUE!</v>
      </c>
      <c r="IQ368" t="e">
        <f>AND('STERLING CATALOG - FZN &amp; CHILL'!C2891,"AAAAAHV4/vo=")</f>
        <v>#VALUE!</v>
      </c>
      <c r="IR368" t="e">
        <f>AND('STERLING CATALOG - FZN &amp; CHILL'!D2891,"AAAAAHV4/vs=")</f>
        <v>#VALUE!</v>
      </c>
      <c r="IS368" t="e">
        <f>AND('STERLING CATALOG - FZN &amp; CHILL'!E2891,"AAAAAHV4/vw=")</f>
        <v>#VALUE!</v>
      </c>
      <c r="IT368" t="e">
        <f>AND('STERLING CATALOG - FZN &amp; CHILL'!F2891,"AAAAAHV4/v0=")</f>
        <v>#VALUE!</v>
      </c>
      <c r="IU368" t="e">
        <f>AND('STERLING CATALOG - FZN &amp; CHILL'!G2891,"AAAAAHV4/v4=")</f>
        <v>#VALUE!</v>
      </c>
      <c r="IV368" t="e">
        <f>AND('STERLING CATALOG - FZN &amp; CHILL'!H2891,"AAAAAHV4/v8=")</f>
        <v>#VALUE!</v>
      </c>
    </row>
    <row r="369" spans="1:256">
      <c r="A369" t="e">
        <f>AND('STERLING CATALOG - FZN &amp; CHILL'!I2891,"AAAAAHt0XwA=")</f>
        <v>#VALUE!</v>
      </c>
      <c r="B369" t="e">
        <f>AND('STERLING CATALOG - FZN &amp; CHILL'!J2891,"AAAAAHt0XwE=")</f>
        <v>#VALUE!</v>
      </c>
      <c r="C369" t="str">
        <f>IF('STERLING CATALOG - FZN &amp; CHILL'!2892:2892,"AAAAAHt0XwI=",0)</f>
        <v>AAAAAHt0XwI=</v>
      </c>
      <c r="D369" t="e">
        <f>AND('STERLING CATALOG - FZN &amp; CHILL'!A2892,"AAAAAHt0XwM=")</f>
        <v>#VALUE!</v>
      </c>
      <c r="E369" t="e">
        <f>AND('STERLING CATALOG - FZN &amp; CHILL'!B2892,"AAAAAHt0XwQ=")</f>
        <v>#VALUE!</v>
      </c>
      <c r="F369" t="e">
        <f>AND('STERLING CATALOG - FZN &amp; CHILL'!C2892,"AAAAAHt0XwU=")</f>
        <v>#VALUE!</v>
      </c>
      <c r="G369" t="e">
        <f>AND('STERLING CATALOG - FZN &amp; CHILL'!D2892,"AAAAAHt0XwY=")</f>
        <v>#VALUE!</v>
      </c>
      <c r="H369" t="e">
        <f>AND('STERLING CATALOG - FZN &amp; CHILL'!E2892,"AAAAAHt0Xwc=")</f>
        <v>#VALUE!</v>
      </c>
      <c r="I369" t="e">
        <f>AND('STERLING CATALOG - FZN &amp; CHILL'!F2892,"AAAAAHt0Xwg=")</f>
        <v>#VALUE!</v>
      </c>
      <c r="J369" t="e">
        <f>AND('STERLING CATALOG - FZN &amp; CHILL'!G2892,"AAAAAHt0Xwk=")</f>
        <v>#VALUE!</v>
      </c>
      <c r="K369" t="e">
        <f>AND('STERLING CATALOG - FZN &amp; CHILL'!H2892,"AAAAAHt0Xwo=")</f>
        <v>#VALUE!</v>
      </c>
      <c r="L369" t="e">
        <f>AND('STERLING CATALOG - FZN &amp; CHILL'!I2892,"AAAAAHt0Xws=")</f>
        <v>#VALUE!</v>
      </c>
      <c r="M369" t="e">
        <f>AND('STERLING CATALOG - FZN &amp; CHILL'!J2892,"AAAAAHt0Xww=")</f>
        <v>#VALUE!</v>
      </c>
      <c r="N369">
        <f>IF('STERLING CATALOG - FZN &amp; CHILL'!2893:2893,"AAAAAHt0Xw0=",0)</f>
        <v>0</v>
      </c>
      <c r="O369" t="e">
        <f>AND('STERLING CATALOG - FZN &amp; CHILL'!A2893,"AAAAAHt0Xw4=")</f>
        <v>#VALUE!</v>
      </c>
      <c r="P369" t="e">
        <f>AND('STERLING CATALOG - FZN &amp; CHILL'!B2893,"AAAAAHt0Xw8=")</f>
        <v>#VALUE!</v>
      </c>
      <c r="Q369" t="e">
        <f>AND('STERLING CATALOG - FZN &amp; CHILL'!C2893,"AAAAAHt0XxA=")</f>
        <v>#VALUE!</v>
      </c>
      <c r="R369" t="e">
        <f>AND('STERLING CATALOG - FZN &amp; CHILL'!D2893,"AAAAAHt0XxE=")</f>
        <v>#VALUE!</v>
      </c>
      <c r="S369" t="e">
        <f>AND('STERLING CATALOG - FZN &amp; CHILL'!E2893,"AAAAAHt0XxI=")</f>
        <v>#VALUE!</v>
      </c>
      <c r="T369" t="e">
        <f>AND('STERLING CATALOG - FZN &amp; CHILL'!F2893,"AAAAAHt0XxM=")</f>
        <v>#VALUE!</v>
      </c>
      <c r="U369" t="e">
        <f>AND('STERLING CATALOG - FZN &amp; CHILL'!G2893,"AAAAAHt0XxQ=")</f>
        <v>#VALUE!</v>
      </c>
      <c r="V369" t="e">
        <f>AND('STERLING CATALOG - FZN &amp; CHILL'!H2893,"AAAAAHt0XxU=")</f>
        <v>#VALUE!</v>
      </c>
      <c r="W369" t="e">
        <f>AND('STERLING CATALOG - FZN &amp; CHILL'!I2893,"AAAAAHt0XxY=")</f>
        <v>#VALUE!</v>
      </c>
      <c r="X369" t="e">
        <f>AND('STERLING CATALOG - FZN &amp; CHILL'!J2893,"AAAAAHt0Xxc=")</f>
        <v>#VALUE!</v>
      </c>
      <c r="Y369">
        <f>IF('STERLING CATALOG - FZN &amp; CHILL'!2894:2894,"AAAAAHt0Xxg=",0)</f>
        <v>0</v>
      </c>
      <c r="Z369" t="e">
        <f>AND('STERLING CATALOG - FZN &amp; CHILL'!A2894,"AAAAAHt0Xxk=")</f>
        <v>#VALUE!</v>
      </c>
      <c r="AA369" t="e">
        <f>AND('STERLING CATALOG - FZN &amp; CHILL'!B2894,"AAAAAHt0Xxo=")</f>
        <v>#VALUE!</v>
      </c>
      <c r="AB369" t="e">
        <f>AND('STERLING CATALOG - FZN &amp; CHILL'!C2894,"AAAAAHt0Xxs=")</f>
        <v>#VALUE!</v>
      </c>
      <c r="AC369" t="e">
        <f>AND('STERLING CATALOG - FZN &amp; CHILL'!D2894,"AAAAAHt0Xxw=")</f>
        <v>#VALUE!</v>
      </c>
      <c r="AD369" t="e">
        <f>AND('STERLING CATALOG - FZN &amp; CHILL'!E2894,"AAAAAHt0Xx0=")</f>
        <v>#VALUE!</v>
      </c>
      <c r="AE369" t="e">
        <f>AND('STERLING CATALOG - FZN &amp; CHILL'!F2894,"AAAAAHt0Xx4=")</f>
        <v>#VALUE!</v>
      </c>
      <c r="AF369" t="e">
        <f>AND('STERLING CATALOG - FZN &amp; CHILL'!G2894,"AAAAAHt0Xx8=")</f>
        <v>#VALUE!</v>
      </c>
      <c r="AG369" t="e">
        <f>AND('STERLING CATALOG - FZN &amp; CHILL'!H2894,"AAAAAHt0XyA=")</f>
        <v>#VALUE!</v>
      </c>
      <c r="AH369" t="e">
        <f>AND('STERLING CATALOG - FZN &amp; CHILL'!I2894,"AAAAAHt0XyE=")</f>
        <v>#VALUE!</v>
      </c>
      <c r="AI369" t="e">
        <f>AND('STERLING CATALOG - FZN &amp; CHILL'!J2894,"AAAAAHt0XyI=")</f>
        <v>#VALUE!</v>
      </c>
      <c r="AJ369">
        <f>IF('STERLING CATALOG - FZN &amp; CHILL'!2895:2895,"AAAAAHt0XyM=",0)</f>
        <v>0</v>
      </c>
      <c r="AK369" t="e">
        <f>AND('STERLING CATALOG - FZN &amp; CHILL'!A2895,"AAAAAHt0XyQ=")</f>
        <v>#VALUE!</v>
      </c>
      <c r="AL369" t="e">
        <f>AND('STERLING CATALOG - FZN &amp; CHILL'!B2895,"AAAAAHt0XyU=")</f>
        <v>#VALUE!</v>
      </c>
      <c r="AM369" t="e">
        <f>AND('STERLING CATALOG - FZN &amp; CHILL'!C2895,"AAAAAHt0XyY=")</f>
        <v>#VALUE!</v>
      </c>
      <c r="AN369" t="e">
        <f>AND('STERLING CATALOG - FZN &amp; CHILL'!D2895,"AAAAAHt0Xyc=")</f>
        <v>#VALUE!</v>
      </c>
      <c r="AO369" t="e">
        <f>AND('STERLING CATALOG - FZN &amp; CHILL'!E2895,"AAAAAHt0Xyg=")</f>
        <v>#VALUE!</v>
      </c>
      <c r="AP369" t="e">
        <f>AND('STERLING CATALOG - FZN &amp; CHILL'!F2895,"AAAAAHt0Xyk=")</f>
        <v>#VALUE!</v>
      </c>
      <c r="AQ369" t="e">
        <f>AND('STERLING CATALOG - FZN &amp; CHILL'!G2895,"AAAAAHt0Xyo=")</f>
        <v>#VALUE!</v>
      </c>
      <c r="AR369" t="e">
        <f>AND('STERLING CATALOG - FZN &amp; CHILL'!H2895,"AAAAAHt0Xys=")</f>
        <v>#VALUE!</v>
      </c>
      <c r="AS369" t="e">
        <f>AND('STERLING CATALOG - FZN &amp; CHILL'!I2895,"AAAAAHt0Xyw=")</f>
        <v>#VALUE!</v>
      </c>
      <c r="AT369" t="e">
        <f>AND('STERLING CATALOG - FZN &amp; CHILL'!J2895,"AAAAAHt0Xy0=")</f>
        <v>#VALUE!</v>
      </c>
      <c r="AU369">
        <f>IF('STERLING CATALOG - FZN &amp; CHILL'!2896:2896,"AAAAAHt0Xy4=",0)</f>
        <v>0</v>
      </c>
      <c r="AV369" t="e">
        <f>AND('STERLING CATALOG - FZN &amp; CHILL'!A2896,"AAAAAHt0Xy8=")</f>
        <v>#VALUE!</v>
      </c>
      <c r="AW369" t="e">
        <f>AND('STERLING CATALOG - FZN &amp; CHILL'!B2896,"AAAAAHt0XzA=")</f>
        <v>#VALUE!</v>
      </c>
      <c r="AX369" t="e">
        <f>AND('STERLING CATALOG - FZN &amp; CHILL'!C2896,"AAAAAHt0XzE=")</f>
        <v>#VALUE!</v>
      </c>
      <c r="AY369" t="e">
        <f>AND('STERLING CATALOG - FZN &amp; CHILL'!D2896,"AAAAAHt0XzI=")</f>
        <v>#VALUE!</v>
      </c>
      <c r="AZ369" t="e">
        <f>AND('STERLING CATALOG - FZN &amp; CHILL'!E2896,"AAAAAHt0XzM=")</f>
        <v>#VALUE!</v>
      </c>
      <c r="BA369" t="e">
        <f>AND('STERLING CATALOG - FZN &amp; CHILL'!F2896,"AAAAAHt0XzQ=")</f>
        <v>#VALUE!</v>
      </c>
      <c r="BB369" t="e">
        <f>AND('STERLING CATALOG - FZN &amp; CHILL'!G2896,"AAAAAHt0XzU=")</f>
        <v>#VALUE!</v>
      </c>
      <c r="BC369" t="e">
        <f>AND('STERLING CATALOG - FZN &amp; CHILL'!H2896,"AAAAAHt0XzY=")</f>
        <v>#VALUE!</v>
      </c>
      <c r="BD369" t="e">
        <f>AND('STERLING CATALOG - FZN &amp; CHILL'!I2896,"AAAAAHt0Xzc=")</f>
        <v>#VALUE!</v>
      </c>
      <c r="BE369" t="e">
        <f>AND('STERLING CATALOG - FZN &amp; CHILL'!J2896,"AAAAAHt0Xzg=")</f>
        <v>#VALUE!</v>
      </c>
      <c r="BF369">
        <f>IF('STERLING CATALOG - FZN &amp; CHILL'!2897:2897,"AAAAAHt0Xzk=",0)</f>
        <v>0</v>
      </c>
      <c r="BG369" t="e">
        <f>AND('STERLING CATALOG - FZN &amp; CHILL'!A2897,"AAAAAHt0Xzo=")</f>
        <v>#VALUE!</v>
      </c>
      <c r="BH369" t="e">
        <f>AND('STERLING CATALOG - FZN &amp; CHILL'!B2897,"AAAAAHt0Xzs=")</f>
        <v>#VALUE!</v>
      </c>
      <c r="BI369" t="e">
        <f>AND('STERLING CATALOG - FZN &amp; CHILL'!C2897,"AAAAAHt0Xzw=")</f>
        <v>#VALUE!</v>
      </c>
      <c r="BJ369" t="e">
        <f>AND('STERLING CATALOG - FZN &amp; CHILL'!D2897,"AAAAAHt0Xz0=")</f>
        <v>#VALUE!</v>
      </c>
      <c r="BK369" t="e">
        <f>AND('STERLING CATALOG - FZN &amp; CHILL'!E2897,"AAAAAHt0Xz4=")</f>
        <v>#VALUE!</v>
      </c>
      <c r="BL369" t="e">
        <f>AND('STERLING CATALOG - FZN &amp; CHILL'!F2897,"AAAAAHt0Xz8=")</f>
        <v>#VALUE!</v>
      </c>
      <c r="BM369" t="e">
        <f>AND('STERLING CATALOG - FZN &amp; CHILL'!G2897,"AAAAAHt0X0A=")</f>
        <v>#VALUE!</v>
      </c>
      <c r="BN369" t="e">
        <f>AND('STERLING CATALOG - FZN &amp; CHILL'!H2897,"AAAAAHt0X0E=")</f>
        <v>#VALUE!</v>
      </c>
      <c r="BO369" t="e">
        <f>AND('STERLING CATALOG - FZN &amp; CHILL'!I2897,"AAAAAHt0X0I=")</f>
        <v>#VALUE!</v>
      </c>
      <c r="BP369" t="e">
        <f>AND('STERLING CATALOG - FZN &amp; CHILL'!J2897,"AAAAAHt0X0M=")</f>
        <v>#VALUE!</v>
      </c>
      <c r="BQ369">
        <f>IF('STERLING CATALOG - FZN &amp; CHILL'!2898:2898,"AAAAAHt0X0Q=",0)</f>
        <v>0</v>
      </c>
      <c r="BR369" t="e">
        <f>AND('STERLING CATALOG - FZN &amp; CHILL'!A2898,"AAAAAHt0X0U=")</f>
        <v>#VALUE!</v>
      </c>
      <c r="BS369" t="e">
        <f>AND('STERLING CATALOG - FZN &amp; CHILL'!B2898,"AAAAAHt0X0Y=")</f>
        <v>#VALUE!</v>
      </c>
      <c r="BT369" t="e">
        <f>AND('STERLING CATALOG - FZN &amp; CHILL'!C2898,"AAAAAHt0X0c=")</f>
        <v>#VALUE!</v>
      </c>
      <c r="BU369" t="e">
        <f>AND('STERLING CATALOG - FZN &amp; CHILL'!D2898,"AAAAAHt0X0g=")</f>
        <v>#VALUE!</v>
      </c>
      <c r="BV369" t="e">
        <f>AND('STERLING CATALOG - FZN &amp; CHILL'!E2898,"AAAAAHt0X0k=")</f>
        <v>#VALUE!</v>
      </c>
      <c r="BW369" t="e">
        <f>AND('STERLING CATALOG - FZN &amp; CHILL'!F2898,"AAAAAHt0X0o=")</f>
        <v>#VALUE!</v>
      </c>
      <c r="BX369" t="e">
        <f>AND('STERLING CATALOG - FZN &amp; CHILL'!G2898,"AAAAAHt0X0s=")</f>
        <v>#VALUE!</v>
      </c>
      <c r="BY369" t="e">
        <f>AND('STERLING CATALOG - FZN &amp; CHILL'!H2898,"AAAAAHt0X0w=")</f>
        <v>#VALUE!</v>
      </c>
      <c r="BZ369" t="e">
        <f>AND('STERLING CATALOG - FZN &amp; CHILL'!I2898,"AAAAAHt0X00=")</f>
        <v>#VALUE!</v>
      </c>
      <c r="CA369" t="e">
        <f>AND('STERLING CATALOG - FZN &amp; CHILL'!J2898,"AAAAAHt0X04=")</f>
        <v>#VALUE!</v>
      </c>
      <c r="CB369">
        <f>IF('STERLING CATALOG - FZN &amp; CHILL'!2899:2899,"AAAAAHt0X08=",0)</f>
        <v>0</v>
      </c>
      <c r="CC369" t="e">
        <f>AND('STERLING CATALOG - FZN &amp; CHILL'!A2899,"AAAAAHt0X1A=")</f>
        <v>#VALUE!</v>
      </c>
      <c r="CD369" t="e">
        <f>AND('STERLING CATALOG - FZN &amp; CHILL'!B2899,"AAAAAHt0X1E=")</f>
        <v>#VALUE!</v>
      </c>
      <c r="CE369" t="e">
        <f>AND('STERLING CATALOG - FZN &amp; CHILL'!C2899,"AAAAAHt0X1I=")</f>
        <v>#VALUE!</v>
      </c>
      <c r="CF369" t="e">
        <f>AND('STERLING CATALOG - FZN &amp; CHILL'!D2899,"AAAAAHt0X1M=")</f>
        <v>#VALUE!</v>
      </c>
      <c r="CG369" t="e">
        <f>AND('STERLING CATALOG - FZN &amp; CHILL'!E2899,"AAAAAHt0X1Q=")</f>
        <v>#VALUE!</v>
      </c>
      <c r="CH369" t="e">
        <f>AND('STERLING CATALOG - FZN &amp; CHILL'!F2899,"AAAAAHt0X1U=")</f>
        <v>#VALUE!</v>
      </c>
      <c r="CI369" t="e">
        <f>AND('STERLING CATALOG - FZN &amp; CHILL'!G2899,"AAAAAHt0X1Y=")</f>
        <v>#VALUE!</v>
      </c>
      <c r="CJ369" t="e">
        <f>AND('STERLING CATALOG - FZN &amp; CHILL'!H2899,"AAAAAHt0X1c=")</f>
        <v>#VALUE!</v>
      </c>
      <c r="CK369" t="e">
        <f>AND('STERLING CATALOG - FZN &amp; CHILL'!I2899,"AAAAAHt0X1g=")</f>
        <v>#VALUE!</v>
      </c>
      <c r="CL369" t="e">
        <f>AND('STERLING CATALOG - FZN &amp; CHILL'!J2899,"AAAAAHt0X1k=")</f>
        <v>#VALUE!</v>
      </c>
      <c r="CM369">
        <f>IF('STERLING CATALOG - FZN &amp; CHILL'!2900:2900,"AAAAAHt0X1o=",0)</f>
        <v>0</v>
      </c>
      <c r="CN369" t="e">
        <f>AND('STERLING CATALOG - FZN &amp; CHILL'!A2900,"AAAAAHt0X1s=")</f>
        <v>#VALUE!</v>
      </c>
      <c r="CO369" t="e">
        <f>AND('STERLING CATALOG - FZN &amp; CHILL'!B2900,"AAAAAHt0X1w=")</f>
        <v>#VALUE!</v>
      </c>
      <c r="CP369" t="e">
        <f>AND('STERLING CATALOG - FZN &amp; CHILL'!C2900,"AAAAAHt0X10=")</f>
        <v>#VALUE!</v>
      </c>
      <c r="CQ369" t="e">
        <f>AND('STERLING CATALOG - FZN &amp; CHILL'!D2900,"AAAAAHt0X14=")</f>
        <v>#VALUE!</v>
      </c>
      <c r="CR369" t="e">
        <f>AND('STERLING CATALOG - FZN &amp; CHILL'!E2900,"AAAAAHt0X18=")</f>
        <v>#VALUE!</v>
      </c>
      <c r="CS369" t="e">
        <f>AND('STERLING CATALOG - FZN &amp; CHILL'!F2900,"AAAAAHt0X2A=")</f>
        <v>#VALUE!</v>
      </c>
      <c r="CT369" t="e">
        <f>AND('STERLING CATALOG - FZN &amp; CHILL'!G2900,"AAAAAHt0X2E=")</f>
        <v>#VALUE!</v>
      </c>
      <c r="CU369" t="e">
        <f>AND('STERLING CATALOG - FZN &amp; CHILL'!H2900,"AAAAAHt0X2I=")</f>
        <v>#VALUE!</v>
      </c>
      <c r="CV369" t="e">
        <f>AND('STERLING CATALOG - FZN &amp; CHILL'!I2900,"AAAAAHt0X2M=")</f>
        <v>#VALUE!</v>
      </c>
      <c r="CW369" t="e">
        <f>AND('STERLING CATALOG - FZN &amp; CHILL'!J2900,"AAAAAHt0X2Q=")</f>
        <v>#VALUE!</v>
      </c>
      <c r="CX369">
        <f>IF('STERLING CATALOG - FZN &amp; CHILL'!2901:2901,"AAAAAHt0X2U=",0)</f>
        <v>0</v>
      </c>
      <c r="CY369" t="e">
        <f>AND('STERLING CATALOG - FZN &amp; CHILL'!A2901,"AAAAAHt0X2Y=")</f>
        <v>#VALUE!</v>
      </c>
      <c r="CZ369" t="e">
        <f>AND('STERLING CATALOG - FZN &amp; CHILL'!B2901,"AAAAAHt0X2c=")</f>
        <v>#VALUE!</v>
      </c>
      <c r="DA369" t="e">
        <f>AND('STERLING CATALOG - FZN &amp; CHILL'!C2901,"AAAAAHt0X2g=")</f>
        <v>#VALUE!</v>
      </c>
      <c r="DB369" t="e">
        <f>AND('STERLING CATALOG - FZN &amp; CHILL'!D2901,"AAAAAHt0X2k=")</f>
        <v>#VALUE!</v>
      </c>
      <c r="DC369" t="e">
        <f>AND('STERLING CATALOG - FZN &amp; CHILL'!E2901,"AAAAAHt0X2o=")</f>
        <v>#VALUE!</v>
      </c>
      <c r="DD369" t="e">
        <f>AND('STERLING CATALOG - FZN &amp; CHILL'!F2901,"AAAAAHt0X2s=")</f>
        <v>#VALUE!</v>
      </c>
      <c r="DE369" t="e">
        <f>AND('STERLING CATALOG - FZN &amp; CHILL'!G2901,"AAAAAHt0X2w=")</f>
        <v>#VALUE!</v>
      </c>
      <c r="DF369" t="e">
        <f>AND('STERLING CATALOG - FZN &amp; CHILL'!H2901,"AAAAAHt0X20=")</f>
        <v>#VALUE!</v>
      </c>
      <c r="DG369" t="e">
        <f>AND('STERLING CATALOG - FZN &amp; CHILL'!I2901,"AAAAAHt0X24=")</f>
        <v>#VALUE!</v>
      </c>
      <c r="DH369" t="e">
        <f>AND('STERLING CATALOG - FZN &amp; CHILL'!J2901,"AAAAAHt0X28=")</f>
        <v>#VALUE!</v>
      </c>
      <c r="DI369">
        <f>IF('STERLING CATALOG - FZN &amp; CHILL'!2902:2902,"AAAAAHt0X3A=",0)</f>
        <v>0</v>
      </c>
      <c r="DJ369" t="e">
        <f>AND('STERLING CATALOG - FZN &amp; CHILL'!A2902,"AAAAAHt0X3E=")</f>
        <v>#VALUE!</v>
      </c>
      <c r="DK369" t="e">
        <f>AND('STERLING CATALOG - FZN &amp; CHILL'!B2902,"AAAAAHt0X3I=")</f>
        <v>#VALUE!</v>
      </c>
      <c r="DL369" t="e">
        <f>AND('STERLING CATALOG - FZN &amp; CHILL'!C2902,"AAAAAHt0X3M=")</f>
        <v>#VALUE!</v>
      </c>
      <c r="DM369" t="e">
        <f>AND('STERLING CATALOG - FZN &amp; CHILL'!D2902,"AAAAAHt0X3Q=")</f>
        <v>#VALUE!</v>
      </c>
      <c r="DN369" t="e">
        <f>AND('STERLING CATALOG - FZN &amp; CHILL'!E2902,"AAAAAHt0X3U=")</f>
        <v>#VALUE!</v>
      </c>
      <c r="DO369" t="e">
        <f>AND('STERLING CATALOG - FZN &amp; CHILL'!F2902,"AAAAAHt0X3Y=")</f>
        <v>#VALUE!</v>
      </c>
      <c r="DP369" t="e">
        <f>AND('STERLING CATALOG - FZN &amp; CHILL'!G2902,"AAAAAHt0X3c=")</f>
        <v>#VALUE!</v>
      </c>
      <c r="DQ369" t="e">
        <f>AND('STERLING CATALOG - FZN &amp; CHILL'!H2902,"AAAAAHt0X3g=")</f>
        <v>#VALUE!</v>
      </c>
      <c r="DR369" t="e">
        <f>AND('STERLING CATALOG - FZN &amp; CHILL'!I2902,"AAAAAHt0X3k=")</f>
        <v>#VALUE!</v>
      </c>
      <c r="DS369" t="e">
        <f>AND('STERLING CATALOG - FZN &amp; CHILL'!J2902,"AAAAAHt0X3o=")</f>
        <v>#VALUE!</v>
      </c>
      <c r="DT369">
        <f>IF('STERLING CATALOG - FZN &amp; CHILL'!2903:2903,"AAAAAHt0X3s=",0)</f>
        <v>0</v>
      </c>
      <c r="DU369" t="e">
        <f>AND('STERLING CATALOG - FZN &amp; CHILL'!A2903,"AAAAAHt0X3w=")</f>
        <v>#VALUE!</v>
      </c>
      <c r="DV369" t="e">
        <f>AND('STERLING CATALOG - FZN &amp; CHILL'!B2903,"AAAAAHt0X30=")</f>
        <v>#VALUE!</v>
      </c>
      <c r="DW369" t="e">
        <f>AND('STERLING CATALOG - FZN &amp; CHILL'!C2903,"AAAAAHt0X34=")</f>
        <v>#VALUE!</v>
      </c>
      <c r="DX369" t="e">
        <f>AND('STERLING CATALOG - FZN &amp; CHILL'!D2903,"AAAAAHt0X38=")</f>
        <v>#VALUE!</v>
      </c>
      <c r="DY369" t="e">
        <f>AND('STERLING CATALOG - FZN &amp; CHILL'!E2903,"AAAAAHt0X4A=")</f>
        <v>#VALUE!</v>
      </c>
      <c r="DZ369" t="e">
        <f>AND('STERLING CATALOG - FZN &amp; CHILL'!F2903,"AAAAAHt0X4E=")</f>
        <v>#VALUE!</v>
      </c>
      <c r="EA369" t="e">
        <f>AND('STERLING CATALOG - FZN &amp; CHILL'!G2903,"AAAAAHt0X4I=")</f>
        <v>#VALUE!</v>
      </c>
      <c r="EB369" t="e">
        <f>AND('STERLING CATALOG - FZN &amp; CHILL'!H2903,"AAAAAHt0X4M=")</f>
        <v>#VALUE!</v>
      </c>
      <c r="EC369" t="e">
        <f>AND('STERLING CATALOG - FZN &amp; CHILL'!I2903,"AAAAAHt0X4Q=")</f>
        <v>#VALUE!</v>
      </c>
      <c r="ED369" t="e">
        <f>AND('STERLING CATALOG - FZN &amp; CHILL'!J2903,"AAAAAHt0X4U=")</f>
        <v>#VALUE!</v>
      </c>
      <c r="EE369">
        <f>IF('STERLING CATALOG - FZN &amp; CHILL'!2904:2904,"AAAAAHt0X4Y=",0)</f>
        <v>0</v>
      </c>
      <c r="EF369" t="e">
        <f>AND('STERLING CATALOG - FZN &amp; CHILL'!A2904,"AAAAAHt0X4c=")</f>
        <v>#VALUE!</v>
      </c>
      <c r="EG369" t="e">
        <f>AND('STERLING CATALOG - FZN &amp; CHILL'!B2904,"AAAAAHt0X4g=")</f>
        <v>#VALUE!</v>
      </c>
      <c r="EH369" t="e">
        <f>AND('STERLING CATALOG - FZN &amp; CHILL'!C2904,"AAAAAHt0X4k=")</f>
        <v>#VALUE!</v>
      </c>
      <c r="EI369" t="e">
        <f>AND('STERLING CATALOG - FZN &amp; CHILL'!D2904,"AAAAAHt0X4o=")</f>
        <v>#VALUE!</v>
      </c>
      <c r="EJ369" t="e">
        <f>AND('STERLING CATALOG - FZN &amp; CHILL'!E2904,"AAAAAHt0X4s=")</f>
        <v>#VALUE!</v>
      </c>
      <c r="EK369" t="e">
        <f>AND('STERLING CATALOG - FZN &amp; CHILL'!F2904,"AAAAAHt0X4w=")</f>
        <v>#VALUE!</v>
      </c>
      <c r="EL369" t="e">
        <f>AND('STERLING CATALOG - FZN &amp; CHILL'!G2904,"AAAAAHt0X40=")</f>
        <v>#VALUE!</v>
      </c>
      <c r="EM369" t="e">
        <f>AND('STERLING CATALOG - FZN &amp; CHILL'!H2904,"AAAAAHt0X44=")</f>
        <v>#VALUE!</v>
      </c>
      <c r="EN369" t="e">
        <f>AND('STERLING CATALOG - FZN &amp; CHILL'!I2904,"AAAAAHt0X48=")</f>
        <v>#VALUE!</v>
      </c>
      <c r="EO369" t="e">
        <f>AND('STERLING CATALOG - FZN &amp; CHILL'!J2904,"AAAAAHt0X5A=")</f>
        <v>#VALUE!</v>
      </c>
      <c r="EP369">
        <f>IF('STERLING CATALOG - FZN &amp; CHILL'!2905:2905,"AAAAAHt0X5E=",0)</f>
        <v>0</v>
      </c>
      <c r="EQ369" t="e">
        <f>AND('STERLING CATALOG - FZN &amp; CHILL'!A2905,"AAAAAHt0X5I=")</f>
        <v>#VALUE!</v>
      </c>
      <c r="ER369" t="e">
        <f>AND('STERLING CATALOG - FZN &amp; CHILL'!B2905,"AAAAAHt0X5M=")</f>
        <v>#VALUE!</v>
      </c>
      <c r="ES369" t="e">
        <f>AND('STERLING CATALOG - FZN &amp; CHILL'!C2905,"AAAAAHt0X5Q=")</f>
        <v>#VALUE!</v>
      </c>
      <c r="ET369" t="e">
        <f>AND('STERLING CATALOG - FZN &amp; CHILL'!D2905,"AAAAAHt0X5U=")</f>
        <v>#VALUE!</v>
      </c>
      <c r="EU369" t="e">
        <f>AND('STERLING CATALOG - FZN &amp; CHILL'!E2905,"AAAAAHt0X5Y=")</f>
        <v>#VALUE!</v>
      </c>
      <c r="EV369" t="e">
        <f>AND('STERLING CATALOG - FZN &amp; CHILL'!F2905,"AAAAAHt0X5c=")</f>
        <v>#VALUE!</v>
      </c>
      <c r="EW369" t="e">
        <f>AND('STERLING CATALOG - FZN &amp; CHILL'!G2905,"AAAAAHt0X5g=")</f>
        <v>#VALUE!</v>
      </c>
      <c r="EX369" t="e">
        <f>AND('STERLING CATALOG - FZN &amp; CHILL'!H2905,"AAAAAHt0X5k=")</f>
        <v>#VALUE!</v>
      </c>
      <c r="EY369" t="e">
        <f>AND('STERLING CATALOG - FZN &amp; CHILL'!I2905,"AAAAAHt0X5o=")</f>
        <v>#VALUE!</v>
      </c>
      <c r="EZ369" t="e">
        <f>AND('STERLING CATALOG - FZN &amp; CHILL'!J2905,"AAAAAHt0X5s=")</f>
        <v>#VALUE!</v>
      </c>
      <c r="FA369">
        <f>IF('STERLING CATALOG - FZN &amp; CHILL'!2906:2906,"AAAAAHt0X5w=",0)</f>
        <v>0</v>
      </c>
      <c r="FB369" t="e">
        <f>AND('STERLING CATALOG - FZN &amp; CHILL'!A2906,"AAAAAHt0X50=")</f>
        <v>#VALUE!</v>
      </c>
      <c r="FC369" t="e">
        <f>AND('STERLING CATALOG - FZN &amp; CHILL'!B2906,"AAAAAHt0X54=")</f>
        <v>#VALUE!</v>
      </c>
      <c r="FD369" t="e">
        <f>AND('STERLING CATALOG - FZN &amp; CHILL'!C2906,"AAAAAHt0X58=")</f>
        <v>#VALUE!</v>
      </c>
      <c r="FE369" t="e">
        <f>AND('STERLING CATALOG - FZN &amp; CHILL'!D2906,"AAAAAHt0X6A=")</f>
        <v>#VALUE!</v>
      </c>
      <c r="FF369" t="e">
        <f>AND('STERLING CATALOG - FZN &amp; CHILL'!E2906,"AAAAAHt0X6E=")</f>
        <v>#VALUE!</v>
      </c>
      <c r="FG369" t="e">
        <f>AND('STERLING CATALOG - FZN &amp; CHILL'!F2906,"AAAAAHt0X6I=")</f>
        <v>#VALUE!</v>
      </c>
      <c r="FH369" t="e">
        <f>AND('STERLING CATALOG - FZN &amp; CHILL'!G2906,"AAAAAHt0X6M=")</f>
        <v>#VALUE!</v>
      </c>
      <c r="FI369" t="e">
        <f>AND('STERLING CATALOG - FZN &amp; CHILL'!H2906,"AAAAAHt0X6Q=")</f>
        <v>#VALUE!</v>
      </c>
      <c r="FJ369" t="e">
        <f>AND('STERLING CATALOG - FZN &amp; CHILL'!I2906,"AAAAAHt0X6U=")</f>
        <v>#VALUE!</v>
      </c>
      <c r="FK369" t="e">
        <f>AND('STERLING CATALOG - FZN &amp; CHILL'!J2906,"AAAAAHt0X6Y=")</f>
        <v>#VALUE!</v>
      </c>
      <c r="FL369">
        <f>IF('STERLING CATALOG - FZN &amp; CHILL'!2907:2907,"AAAAAHt0X6c=",0)</f>
        <v>0</v>
      </c>
      <c r="FM369" t="e">
        <f>AND('STERLING CATALOG - FZN &amp; CHILL'!A2907,"AAAAAHt0X6g=")</f>
        <v>#VALUE!</v>
      </c>
      <c r="FN369" t="e">
        <f>AND('STERLING CATALOG - FZN &amp; CHILL'!B2907,"AAAAAHt0X6k=")</f>
        <v>#VALUE!</v>
      </c>
      <c r="FO369" t="e">
        <f>AND('STERLING CATALOG - FZN &amp; CHILL'!C2907,"AAAAAHt0X6o=")</f>
        <v>#VALUE!</v>
      </c>
      <c r="FP369" t="e">
        <f>AND('STERLING CATALOG - FZN &amp; CHILL'!D2907,"AAAAAHt0X6s=")</f>
        <v>#VALUE!</v>
      </c>
      <c r="FQ369" t="e">
        <f>AND('STERLING CATALOG - FZN &amp; CHILL'!E2907,"AAAAAHt0X6w=")</f>
        <v>#VALUE!</v>
      </c>
      <c r="FR369" t="e">
        <f>AND('STERLING CATALOG - FZN &amp; CHILL'!F2907,"AAAAAHt0X60=")</f>
        <v>#VALUE!</v>
      </c>
      <c r="FS369" t="e">
        <f>AND('STERLING CATALOG - FZN &amp; CHILL'!G2907,"AAAAAHt0X64=")</f>
        <v>#VALUE!</v>
      </c>
      <c r="FT369" t="e">
        <f>AND('STERLING CATALOG - FZN &amp; CHILL'!H2907,"AAAAAHt0X68=")</f>
        <v>#VALUE!</v>
      </c>
      <c r="FU369" t="e">
        <f>AND('STERLING CATALOG - FZN &amp; CHILL'!I2907,"AAAAAHt0X7A=")</f>
        <v>#VALUE!</v>
      </c>
      <c r="FV369" t="e">
        <f>AND('STERLING CATALOG - FZN &amp; CHILL'!J2907,"AAAAAHt0X7E=")</f>
        <v>#VALUE!</v>
      </c>
      <c r="FW369">
        <f>IF('STERLING CATALOG - FZN &amp; CHILL'!2908:2908,"AAAAAHt0X7I=",0)</f>
        <v>0</v>
      </c>
      <c r="FX369" t="e">
        <f>AND('STERLING CATALOG - FZN &amp; CHILL'!A2908,"AAAAAHt0X7M=")</f>
        <v>#VALUE!</v>
      </c>
      <c r="FY369" t="e">
        <f>AND('STERLING CATALOG - FZN &amp; CHILL'!B2908,"AAAAAHt0X7Q=")</f>
        <v>#VALUE!</v>
      </c>
      <c r="FZ369" t="e">
        <f>AND('STERLING CATALOG - FZN &amp; CHILL'!C2908,"AAAAAHt0X7U=")</f>
        <v>#VALUE!</v>
      </c>
      <c r="GA369" t="e">
        <f>AND('STERLING CATALOG - FZN &amp; CHILL'!D2908,"AAAAAHt0X7Y=")</f>
        <v>#VALUE!</v>
      </c>
      <c r="GB369" t="e">
        <f>AND('STERLING CATALOG - FZN &amp; CHILL'!E2908,"AAAAAHt0X7c=")</f>
        <v>#VALUE!</v>
      </c>
      <c r="GC369" t="e">
        <f>AND('STERLING CATALOG - FZN &amp; CHILL'!F2908,"AAAAAHt0X7g=")</f>
        <v>#VALUE!</v>
      </c>
      <c r="GD369" t="e">
        <f>AND('STERLING CATALOG - FZN &amp; CHILL'!G2908,"AAAAAHt0X7k=")</f>
        <v>#VALUE!</v>
      </c>
      <c r="GE369" t="e">
        <f>AND('STERLING CATALOG - FZN &amp; CHILL'!H2908,"AAAAAHt0X7o=")</f>
        <v>#VALUE!</v>
      </c>
      <c r="GF369" t="e">
        <f>AND('STERLING CATALOG - FZN &amp; CHILL'!I2908,"AAAAAHt0X7s=")</f>
        <v>#VALUE!</v>
      </c>
      <c r="GG369" t="e">
        <f>AND('STERLING CATALOG - FZN &amp; CHILL'!J2908,"AAAAAHt0X7w=")</f>
        <v>#VALUE!</v>
      </c>
      <c r="GH369">
        <f>IF('STERLING CATALOG - FZN &amp; CHILL'!2909:2909,"AAAAAHt0X70=",0)</f>
        <v>0</v>
      </c>
      <c r="GI369" t="e">
        <f>AND('STERLING CATALOG - FZN &amp; CHILL'!A2909,"AAAAAHt0X74=")</f>
        <v>#VALUE!</v>
      </c>
      <c r="GJ369" t="e">
        <f>AND('STERLING CATALOG - FZN &amp; CHILL'!B2909,"AAAAAHt0X78=")</f>
        <v>#VALUE!</v>
      </c>
      <c r="GK369" t="e">
        <f>AND('STERLING CATALOG - FZN &amp; CHILL'!C2909,"AAAAAHt0X8A=")</f>
        <v>#VALUE!</v>
      </c>
      <c r="GL369" t="e">
        <f>AND('STERLING CATALOG - FZN &amp; CHILL'!D2909,"AAAAAHt0X8E=")</f>
        <v>#VALUE!</v>
      </c>
      <c r="GM369" t="e">
        <f>AND('STERLING CATALOG - FZN &amp; CHILL'!E2909,"AAAAAHt0X8I=")</f>
        <v>#VALUE!</v>
      </c>
      <c r="GN369" t="e">
        <f>AND('STERLING CATALOG - FZN &amp; CHILL'!F2909,"AAAAAHt0X8M=")</f>
        <v>#VALUE!</v>
      </c>
      <c r="GO369" t="e">
        <f>AND('STERLING CATALOG - FZN &amp; CHILL'!G2909,"AAAAAHt0X8Q=")</f>
        <v>#VALUE!</v>
      </c>
      <c r="GP369" t="e">
        <f>AND('STERLING CATALOG - FZN &amp; CHILL'!H2909,"AAAAAHt0X8U=")</f>
        <v>#VALUE!</v>
      </c>
      <c r="GQ369" t="e">
        <f>AND('STERLING CATALOG - FZN &amp; CHILL'!I2909,"AAAAAHt0X8Y=")</f>
        <v>#VALUE!</v>
      </c>
      <c r="GR369" t="e">
        <f>AND('STERLING CATALOG - FZN &amp; CHILL'!J2909,"AAAAAHt0X8c=")</f>
        <v>#VALUE!</v>
      </c>
      <c r="GS369">
        <f>IF('STERLING CATALOG - FZN &amp; CHILL'!2910:2910,"AAAAAHt0X8g=",0)</f>
        <v>0</v>
      </c>
      <c r="GT369" t="e">
        <f>AND('STERLING CATALOG - FZN &amp; CHILL'!A2910,"AAAAAHt0X8k=")</f>
        <v>#VALUE!</v>
      </c>
      <c r="GU369" t="e">
        <f>AND('STERLING CATALOG - FZN &amp; CHILL'!B2910,"AAAAAHt0X8o=")</f>
        <v>#VALUE!</v>
      </c>
      <c r="GV369" t="e">
        <f>AND('STERLING CATALOG - FZN &amp; CHILL'!C2910,"AAAAAHt0X8s=")</f>
        <v>#VALUE!</v>
      </c>
      <c r="GW369" t="e">
        <f>AND('STERLING CATALOG - FZN &amp; CHILL'!D2910,"AAAAAHt0X8w=")</f>
        <v>#VALUE!</v>
      </c>
      <c r="GX369" t="e">
        <f>AND('STERLING CATALOG - FZN &amp; CHILL'!E2910,"AAAAAHt0X80=")</f>
        <v>#VALUE!</v>
      </c>
      <c r="GY369" t="e">
        <f>AND('STERLING CATALOG - FZN &amp; CHILL'!F2910,"AAAAAHt0X84=")</f>
        <v>#VALUE!</v>
      </c>
      <c r="GZ369" t="e">
        <f>AND('STERLING CATALOG - FZN &amp; CHILL'!G2910,"AAAAAHt0X88=")</f>
        <v>#VALUE!</v>
      </c>
      <c r="HA369" t="e">
        <f>AND('STERLING CATALOG - FZN &amp; CHILL'!H2910,"AAAAAHt0X9A=")</f>
        <v>#VALUE!</v>
      </c>
      <c r="HB369" t="e">
        <f>AND('STERLING CATALOG - FZN &amp; CHILL'!I2910,"AAAAAHt0X9E=")</f>
        <v>#VALUE!</v>
      </c>
      <c r="HC369" t="e">
        <f>AND('STERLING CATALOG - FZN &amp; CHILL'!J2910,"AAAAAHt0X9I=")</f>
        <v>#VALUE!</v>
      </c>
      <c r="HD369">
        <f>IF('STERLING CATALOG - FZN &amp; CHILL'!2911:2911,"AAAAAHt0X9M=",0)</f>
        <v>0</v>
      </c>
      <c r="HE369" t="e">
        <f>AND('STERLING CATALOG - FZN &amp; CHILL'!A2911,"AAAAAHt0X9Q=")</f>
        <v>#VALUE!</v>
      </c>
      <c r="HF369" t="e">
        <f>AND('STERLING CATALOG - FZN &amp; CHILL'!B2911,"AAAAAHt0X9U=")</f>
        <v>#VALUE!</v>
      </c>
      <c r="HG369" t="e">
        <f>AND('STERLING CATALOG - FZN &amp; CHILL'!C2911,"AAAAAHt0X9Y=")</f>
        <v>#VALUE!</v>
      </c>
      <c r="HH369" t="e">
        <f>AND('STERLING CATALOG - FZN &amp; CHILL'!D2911,"AAAAAHt0X9c=")</f>
        <v>#VALUE!</v>
      </c>
      <c r="HI369" t="e">
        <f>AND('STERLING CATALOG - FZN &amp; CHILL'!E2911,"AAAAAHt0X9g=")</f>
        <v>#VALUE!</v>
      </c>
      <c r="HJ369" t="e">
        <f>AND('STERLING CATALOG - FZN &amp; CHILL'!F2911,"AAAAAHt0X9k=")</f>
        <v>#VALUE!</v>
      </c>
      <c r="HK369" t="e">
        <f>AND('STERLING CATALOG - FZN &amp; CHILL'!G2911,"AAAAAHt0X9o=")</f>
        <v>#VALUE!</v>
      </c>
      <c r="HL369" t="e">
        <f>AND('STERLING CATALOG - FZN &amp; CHILL'!H2911,"AAAAAHt0X9s=")</f>
        <v>#VALUE!</v>
      </c>
      <c r="HM369" t="e">
        <f>AND('STERLING CATALOG - FZN &amp; CHILL'!I2911,"AAAAAHt0X9w=")</f>
        <v>#VALUE!</v>
      </c>
      <c r="HN369" t="e">
        <f>AND('STERLING CATALOG - FZN &amp; CHILL'!J2911,"AAAAAHt0X90=")</f>
        <v>#VALUE!</v>
      </c>
      <c r="HO369">
        <f>IF('STERLING CATALOG - FZN &amp; CHILL'!2912:2912,"AAAAAHt0X94=",0)</f>
        <v>0</v>
      </c>
      <c r="HP369" t="e">
        <f>AND('STERLING CATALOG - FZN &amp; CHILL'!A2912,"AAAAAHt0X98=")</f>
        <v>#VALUE!</v>
      </c>
      <c r="HQ369" t="e">
        <f>AND('STERLING CATALOG - FZN &amp; CHILL'!B2912,"AAAAAHt0X+A=")</f>
        <v>#VALUE!</v>
      </c>
      <c r="HR369" t="e">
        <f>AND('STERLING CATALOG - FZN &amp; CHILL'!C2912,"AAAAAHt0X+E=")</f>
        <v>#VALUE!</v>
      </c>
      <c r="HS369" t="e">
        <f>AND('STERLING CATALOG - FZN &amp; CHILL'!D2912,"AAAAAHt0X+I=")</f>
        <v>#VALUE!</v>
      </c>
      <c r="HT369" t="e">
        <f>AND('STERLING CATALOG - FZN &amp; CHILL'!E2912,"AAAAAHt0X+M=")</f>
        <v>#VALUE!</v>
      </c>
      <c r="HU369" t="e">
        <f>AND('STERLING CATALOG - FZN &amp; CHILL'!F2912,"AAAAAHt0X+Q=")</f>
        <v>#VALUE!</v>
      </c>
      <c r="HV369" t="e">
        <f>AND('STERLING CATALOG - FZN &amp; CHILL'!G2912,"AAAAAHt0X+U=")</f>
        <v>#VALUE!</v>
      </c>
      <c r="HW369" t="e">
        <f>AND('STERLING CATALOG - FZN &amp; CHILL'!H2912,"AAAAAHt0X+Y=")</f>
        <v>#VALUE!</v>
      </c>
      <c r="HX369" t="e">
        <f>AND('STERLING CATALOG - FZN &amp; CHILL'!I2912,"AAAAAHt0X+c=")</f>
        <v>#VALUE!</v>
      </c>
      <c r="HY369" t="e">
        <f>AND('STERLING CATALOG - FZN &amp; CHILL'!J2912,"AAAAAHt0X+g=")</f>
        <v>#VALUE!</v>
      </c>
      <c r="HZ369">
        <f>IF('STERLING CATALOG - FZN &amp; CHILL'!2913:2913,"AAAAAHt0X+k=",0)</f>
        <v>0</v>
      </c>
      <c r="IA369" t="e">
        <f>AND('STERLING CATALOG - FZN &amp; CHILL'!A2913,"AAAAAHt0X+o=")</f>
        <v>#VALUE!</v>
      </c>
      <c r="IB369" t="e">
        <f>AND('STERLING CATALOG - FZN &amp; CHILL'!B2913,"AAAAAHt0X+s=")</f>
        <v>#VALUE!</v>
      </c>
      <c r="IC369" t="e">
        <f>AND('STERLING CATALOG - FZN &amp; CHILL'!C2913,"AAAAAHt0X+w=")</f>
        <v>#VALUE!</v>
      </c>
      <c r="ID369" t="e">
        <f>AND('STERLING CATALOG - FZN &amp; CHILL'!D2913,"AAAAAHt0X+0=")</f>
        <v>#VALUE!</v>
      </c>
      <c r="IE369" t="e">
        <f>AND('STERLING CATALOG - FZN &amp; CHILL'!E2913,"AAAAAHt0X+4=")</f>
        <v>#VALUE!</v>
      </c>
      <c r="IF369" t="e">
        <f>AND('STERLING CATALOG - FZN &amp; CHILL'!F2913,"AAAAAHt0X+8=")</f>
        <v>#VALUE!</v>
      </c>
      <c r="IG369" t="e">
        <f>AND('STERLING CATALOG - FZN &amp; CHILL'!G2913,"AAAAAHt0X/A=")</f>
        <v>#VALUE!</v>
      </c>
      <c r="IH369" t="e">
        <f>AND('STERLING CATALOG - FZN &amp; CHILL'!H2913,"AAAAAHt0X/E=")</f>
        <v>#VALUE!</v>
      </c>
      <c r="II369" t="e">
        <f>AND('STERLING CATALOG - FZN &amp; CHILL'!I2913,"AAAAAHt0X/I=")</f>
        <v>#VALUE!</v>
      </c>
      <c r="IJ369" t="e">
        <f>AND('STERLING CATALOG - FZN &amp; CHILL'!J2913,"AAAAAHt0X/M=")</f>
        <v>#VALUE!</v>
      </c>
      <c r="IK369">
        <f>IF('STERLING CATALOG - FZN &amp; CHILL'!2914:2914,"AAAAAHt0X/Q=",0)</f>
        <v>0</v>
      </c>
      <c r="IL369" t="e">
        <f>AND('STERLING CATALOG - FZN &amp; CHILL'!A2914,"AAAAAHt0X/U=")</f>
        <v>#VALUE!</v>
      </c>
      <c r="IM369" t="e">
        <f>AND('STERLING CATALOG - FZN &amp; CHILL'!B2914,"AAAAAHt0X/Y=")</f>
        <v>#VALUE!</v>
      </c>
      <c r="IN369" t="e">
        <f>AND('STERLING CATALOG - FZN &amp; CHILL'!C2914,"AAAAAHt0X/c=")</f>
        <v>#VALUE!</v>
      </c>
      <c r="IO369" t="e">
        <f>AND('STERLING CATALOG - FZN &amp; CHILL'!D2914,"AAAAAHt0X/g=")</f>
        <v>#VALUE!</v>
      </c>
      <c r="IP369" t="e">
        <f>AND('STERLING CATALOG - FZN &amp; CHILL'!E2914,"AAAAAHt0X/k=")</f>
        <v>#VALUE!</v>
      </c>
      <c r="IQ369" t="e">
        <f>AND('STERLING CATALOG - FZN &amp; CHILL'!F2914,"AAAAAHt0X/o=")</f>
        <v>#VALUE!</v>
      </c>
      <c r="IR369" t="e">
        <f>AND('STERLING CATALOG - FZN &amp; CHILL'!G2914,"AAAAAHt0X/s=")</f>
        <v>#VALUE!</v>
      </c>
      <c r="IS369" t="e">
        <f>AND('STERLING CATALOG - FZN &amp; CHILL'!H2914,"AAAAAHt0X/w=")</f>
        <v>#VALUE!</v>
      </c>
      <c r="IT369" t="e">
        <f>AND('STERLING CATALOG - FZN &amp; CHILL'!I2914,"AAAAAHt0X/0=")</f>
        <v>#VALUE!</v>
      </c>
      <c r="IU369" t="e">
        <f>AND('STERLING CATALOG - FZN &amp; CHILL'!J2914,"AAAAAHt0X/4=")</f>
        <v>#VALUE!</v>
      </c>
      <c r="IV369">
        <f>IF('STERLING CATALOG - FZN &amp; CHILL'!2915:2915,"AAAAAHt0X/8=",0)</f>
        <v>0</v>
      </c>
    </row>
    <row r="370" spans="1:256">
      <c r="A370" t="e">
        <f>AND('STERLING CATALOG - FZN &amp; CHILL'!A2915,"AAAAAD/36wA=")</f>
        <v>#VALUE!</v>
      </c>
      <c r="B370" t="e">
        <f>AND('STERLING CATALOG - FZN &amp; CHILL'!B2915,"AAAAAD/36wE=")</f>
        <v>#VALUE!</v>
      </c>
      <c r="C370" t="e">
        <f>AND('STERLING CATALOG - FZN &amp; CHILL'!C2915,"AAAAAD/36wI=")</f>
        <v>#VALUE!</v>
      </c>
      <c r="D370" t="e">
        <f>AND('STERLING CATALOG - FZN &amp; CHILL'!D2915,"AAAAAD/36wM=")</f>
        <v>#VALUE!</v>
      </c>
      <c r="E370" t="e">
        <f>AND('STERLING CATALOG - FZN &amp; CHILL'!E2915,"AAAAAD/36wQ=")</f>
        <v>#VALUE!</v>
      </c>
      <c r="F370" t="e">
        <f>AND('STERLING CATALOG - FZN &amp; CHILL'!F2915,"AAAAAD/36wU=")</f>
        <v>#VALUE!</v>
      </c>
      <c r="G370" t="e">
        <f>AND('STERLING CATALOG - FZN &amp; CHILL'!G2915,"AAAAAD/36wY=")</f>
        <v>#VALUE!</v>
      </c>
      <c r="H370" t="e">
        <f>AND('STERLING CATALOG - FZN &amp; CHILL'!H2915,"AAAAAD/36wc=")</f>
        <v>#VALUE!</v>
      </c>
      <c r="I370" t="e">
        <f>AND('STERLING CATALOG - FZN &amp; CHILL'!I2915,"AAAAAD/36wg=")</f>
        <v>#VALUE!</v>
      </c>
      <c r="J370" t="e">
        <f>AND('STERLING CATALOG - FZN &amp; CHILL'!J2915,"AAAAAD/36wk=")</f>
        <v>#VALUE!</v>
      </c>
      <c r="K370">
        <f>IF('STERLING CATALOG - FZN &amp; CHILL'!2916:2916,"AAAAAD/36wo=",0)</f>
        <v>0</v>
      </c>
      <c r="L370" t="e">
        <f>AND('STERLING CATALOG - FZN &amp; CHILL'!A2916,"AAAAAD/36ws=")</f>
        <v>#VALUE!</v>
      </c>
      <c r="M370" t="e">
        <f>AND('STERLING CATALOG - FZN &amp; CHILL'!B2916,"AAAAAD/36ww=")</f>
        <v>#VALUE!</v>
      </c>
      <c r="N370" t="e">
        <f>AND('STERLING CATALOG - FZN &amp; CHILL'!C2916,"AAAAAD/36w0=")</f>
        <v>#VALUE!</v>
      </c>
      <c r="O370" t="e">
        <f>AND('STERLING CATALOG - FZN &amp; CHILL'!D2916,"AAAAAD/36w4=")</f>
        <v>#VALUE!</v>
      </c>
      <c r="P370" t="e">
        <f>AND('STERLING CATALOG - FZN &amp; CHILL'!E2916,"AAAAAD/36w8=")</f>
        <v>#VALUE!</v>
      </c>
      <c r="Q370" t="e">
        <f>AND('STERLING CATALOG - FZN &amp; CHILL'!F2916,"AAAAAD/36xA=")</f>
        <v>#VALUE!</v>
      </c>
      <c r="R370" t="e">
        <f>AND('STERLING CATALOG - FZN &amp; CHILL'!G2916,"AAAAAD/36xE=")</f>
        <v>#VALUE!</v>
      </c>
      <c r="S370" t="e">
        <f>AND('STERLING CATALOG - FZN &amp; CHILL'!H2916,"AAAAAD/36xI=")</f>
        <v>#VALUE!</v>
      </c>
      <c r="T370" t="e">
        <f>AND('STERLING CATALOG - FZN &amp; CHILL'!I2916,"AAAAAD/36xM=")</f>
        <v>#VALUE!</v>
      </c>
      <c r="U370" t="e">
        <f>AND('STERLING CATALOG - FZN &amp; CHILL'!J2916,"AAAAAD/36xQ=")</f>
        <v>#VALUE!</v>
      </c>
      <c r="V370">
        <f>IF('STERLING CATALOG - FZN &amp; CHILL'!2917:2917,"AAAAAD/36xU=",0)</f>
        <v>0</v>
      </c>
      <c r="W370" t="e">
        <f>AND('STERLING CATALOG - FZN &amp; CHILL'!A2917,"AAAAAD/36xY=")</f>
        <v>#VALUE!</v>
      </c>
      <c r="X370" t="e">
        <f>AND('STERLING CATALOG - FZN &amp; CHILL'!B2917,"AAAAAD/36xc=")</f>
        <v>#VALUE!</v>
      </c>
      <c r="Y370" t="e">
        <f>AND('STERLING CATALOG - FZN &amp; CHILL'!C2917,"AAAAAD/36xg=")</f>
        <v>#VALUE!</v>
      </c>
      <c r="Z370" t="e">
        <f>AND('STERLING CATALOG - FZN &amp; CHILL'!D2917,"AAAAAD/36xk=")</f>
        <v>#VALUE!</v>
      </c>
      <c r="AA370" t="e">
        <f>AND('STERLING CATALOG - FZN &amp; CHILL'!E2917,"AAAAAD/36xo=")</f>
        <v>#VALUE!</v>
      </c>
      <c r="AB370" t="e">
        <f>AND('STERLING CATALOG - FZN &amp; CHILL'!F2917,"AAAAAD/36xs=")</f>
        <v>#VALUE!</v>
      </c>
      <c r="AC370" t="e">
        <f>AND('STERLING CATALOG - FZN &amp; CHILL'!G2917,"AAAAAD/36xw=")</f>
        <v>#VALUE!</v>
      </c>
      <c r="AD370" t="e">
        <f>AND('STERLING CATALOG - FZN &amp; CHILL'!H2917,"AAAAAD/36x0=")</f>
        <v>#VALUE!</v>
      </c>
      <c r="AE370" t="e">
        <f>AND('STERLING CATALOG - FZN &amp; CHILL'!I2917,"AAAAAD/36x4=")</f>
        <v>#VALUE!</v>
      </c>
      <c r="AF370" t="e">
        <f>AND('STERLING CATALOG - FZN &amp; CHILL'!J2917,"AAAAAD/36x8=")</f>
        <v>#VALUE!</v>
      </c>
      <c r="AG370">
        <f>IF('STERLING CATALOG - FZN &amp; CHILL'!2918:2918,"AAAAAD/36yA=",0)</f>
        <v>0</v>
      </c>
      <c r="AH370" t="e">
        <f>AND('STERLING CATALOG - FZN &amp; CHILL'!A2918,"AAAAAD/36yE=")</f>
        <v>#VALUE!</v>
      </c>
      <c r="AI370" t="e">
        <f>AND('STERLING CATALOG - FZN &amp; CHILL'!B2918,"AAAAAD/36yI=")</f>
        <v>#VALUE!</v>
      </c>
      <c r="AJ370" t="e">
        <f>AND('STERLING CATALOG - FZN &amp; CHILL'!C2918,"AAAAAD/36yM=")</f>
        <v>#VALUE!</v>
      </c>
      <c r="AK370" t="e">
        <f>AND('STERLING CATALOG - FZN &amp; CHILL'!D2918,"AAAAAD/36yQ=")</f>
        <v>#VALUE!</v>
      </c>
      <c r="AL370" t="e">
        <f>AND('STERLING CATALOG - FZN &amp; CHILL'!E2918,"AAAAAD/36yU=")</f>
        <v>#VALUE!</v>
      </c>
      <c r="AM370" t="e">
        <f>AND('STERLING CATALOG - FZN &amp; CHILL'!F2918,"AAAAAD/36yY=")</f>
        <v>#VALUE!</v>
      </c>
      <c r="AN370" t="e">
        <f>AND('STERLING CATALOG - FZN &amp; CHILL'!G2918,"AAAAAD/36yc=")</f>
        <v>#VALUE!</v>
      </c>
      <c r="AO370" t="e">
        <f>AND('STERLING CATALOG - FZN &amp; CHILL'!H2918,"AAAAAD/36yg=")</f>
        <v>#VALUE!</v>
      </c>
      <c r="AP370" t="e">
        <f>AND('STERLING CATALOG - FZN &amp; CHILL'!I2918,"AAAAAD/36yk=")</f>
        <v>#VALUE!</v>
      </c>
      <c r="AQ370" t="e">
        <f>AND('STERLING CATALOG - FZN &amp; CHILL'!J2918,"AAAAAD/36yo=")</f>
        <v>#VALUE!</v>
      </c>
      <c r="AR370">
        <f>IF('STERLING CATALOG - FZN &amp; CHILL'!2919:2919,"AAAAAD/36ys=",0)</f>
        <v>0</v>
      </c>
      <c r="AS370" t="e">
        <f>AND('STERLING CATALOG - FZN &amp; CHILL'!A2919,"AAAAAD/36yw=")</f>
        <v>#VALUE!</v>
      </c>
      <c r="AT370" t="e">
        <f>AND('STERLING CATALOG - FZN &amp; CHILL'!B2919,"AAAAAD/36y0=")</f>
        <v>#VALUE!</v>
      </c>
      <c r="AU370" t="e">
        <f>AND('STERLING CATALOG - FZN &amp; CHILL'!C2919,"AAAAAD/36y4=")</f>
        <v>#VALUE!</v>
      </c>
      <c r="AV370" t="e">
        <f>AND('STERLING CATALOG - FZN &amp; CHILL'!D2919,"AAAAAD/36y8=")</f>
        <v>#VALUE!</v>
      </c>
      <c r="AW370" t="e">
        <f>AND('STERLING CATALOG - FZN &amp; CHILL'!E2919,"AAAAAD/36zA=")</f>
        <v>#VALUE!</v>
      </c>
      <c r="AX370" t="e">
        <f>AND('STERLING CATALOG - FZN &amp; CHILL'!F2919,"AAAAAD/36zE=")</f>
        <v>#VALUE!</v>
      </c>
      <c r="AY370" t="e">
        <f>AND('STERLING CATALOG - FZN &amp; CHILL'!G2919,"AAAAAD/36zI=")</f>
        <v>#VALUE!</v>
      </c>
      <c r="AZ370" t="e">
        <f>AND('STERLING CATALOG - FZN &amp; CHILL'!H2919,"AAAAAD/36zM=")</f>
        <v>#VALUE!</v>
      </c>
      <c r="BA370" t="e">
        <f>AND('STERLING CATALOG - FZN &amp; CHILL'!I2919,"AAAAAD/36zQ=")</f>
        <v>#VALUE!</v>
      </c>
      <c r="BB370" t="e">
        <f>AND('STERLING CATALOG - FZN &amp; CHILL'!J2919,"AAAAAD/36zU=")</f>
        <v>#VALUE!</v>
      </c>
      <c r="BC370">
        <f>IF('STERLING CATALOG - FZN &amp; CHILL'!2920:2920,"AAAAAD/36zY=",0)</f>
        <v>0</v>
      </c>
      <c r="BD370" t="e">
        <f>AND('STERLING CATALOG - FZN &amp; CHILL'!A2920,"AAAAAD/36zc=")</f>
        <v>#VALUE!</v>
      </c>
      <c r="BE370" t="e">
        <f>AND('STERLING CATALOG - FZN &amp; CHILL'!B2920,"AAAAAD/36zg=")</f>
        <v>#VALUE!</v>
      </c>
      <c r="BF370" t="e">
        <f>AND('STERLING CATALOG - FZN &amp; CHILL'!C2920,"AAAAAD/36zk=")</f>
        <v>#VALUE!</v>
      </c>
      <c r="BG370" t="e">
        <f>AND('STERLING CATALOG - FZN &amp; CHILL'!D2920,"AAAAAD/36zo=")</f>
        <v>#VALUE!</v>
      </c>
      <c r="BH370" t="e">
        <f>AND('STERLING CATALOG - FZN &amp; CHILL'!E2920,"AAAAAD/36zs=")</f>
        <v>#VALUE!</v>
      </c>
      <c r="BI370" t="e">
        <f>AND('STERLING CATALOG - FZN &amp; CHILL'!F2920,"AAAAAD/36zw=")</f>
        <v>#VALUE!</v>
      </c>
      <c r="BJ370" t="e">
        <f>AND('STERLING CATALOG - FZN &amp; CHILL'!G2920,"AAAAAD/36z0=")</f>
        <v>#VALUE!</v>
      </c>
      <c r="BK370" t="e">
        <f>AND('STERLING CATALOG - FZN &amp; CHILL'!H2920,"AAAAAD/36z4=")</f>
        <v>#VALUE!</v>
      </c>
      <c r="BL370" t="e">
        <f>AND('STERLING CATALOG - FZN &amp; CHILL'!I2920,"AAAAAD/36z8=")</f>
        <v>#VALUE!</v>
      </c>
      <c r="BM370" t="e">
        <f>AND('STERLING CATALOG - FZN &amp; CHILL'!J2920,"AAAAAD/360A=")</f>
        <v>#VALUE!</v>
      </c>
      <c r="BN370">
        <f>IF('STERLING CATALOG - FZN &amp; CHILL'!2921:2921,"AAAAAD/360E=",0)</f>
        <v>0</v>
      </c>
      <c r="BO370" t="e">
        <f>AND('STERLING CATALOG - FZN &amp; CHILL'!A2921,"AAAAAD/360I=")</f>
        <v>#VALUE!</v>
      </c>
      <c r="BP370" t="e">
        <f>AND('STERLING CATALOG - FZN &amp; CHILL'!B2921,"AAAAAD/360M=")</f>
        <v>#VALUE!</v>
      </c>
      <c r="BQ370" t="e">
        <f>AND('STERLING CATALOG - FZN &amp; CHILL'!C2921,"AAAAAD/360Q=")</f>
        <v>#VALUE!</v>
      </c>
      <c r="BR370" t="e">
        <f>AND('STERLING CATALOG - FZN &amp; CHILL'!D2921,"AAAAAD/360U=")</f>
        <v>#VALUE!</v>
      </c>
      <c r="BS370" t="e">
        <f>AND('STERLING CATALOG - FZN &amp; CHILL'!E2921,"AAAAAD/360Y=")</f>
        <v>#VALUE!</v>
      </c>
      <c r="BT370" t="e">
        <f>AND('STERLING CATALOG - FZN &amp; CHILL'!F2921,"AAAAAD/360c=")</f>
        <v>#VALUE!</v>
      </c>
      <c r="BU370" t="e">
        <f>AND('STERLING CATALOG - FZN &amp; CHILL'!G2921,"AAAAAD/360g=")</f>
        <v>#VALUE!</v>
      </c>
      <c r="BV370" t="e">
        <f>AND('STERLING CATALOG - FZN &amp; CHILL'!H2921,"AAAAAD/360k=")</f>
        <v>#VALUE!</v>
      </c>
      <c r="BW370" t="e">
        <f>AND('STERLING CATALOG - FZN &amp; CHILL'!I2921,"AAAAAD/360o=")</f>
        <v>#VALUE!</v>
      </c>
      <c r="BX370" t="e">
        <f>AND('STERLING CATALOG - FZN &amp; CHILL'!J2921,"AAAAAD/360s=")</f>
        <v>#VALUE!</v>
      </c>
      <c r="BY370">
        <f>IF('STERLING CATALOG - FZN &amp; CHILL'!2922:2922,"AAAAAD/360w=",0)</f>
        <v>0</v>
      </c>
      <c r="BZ370" t="e">
        <f>AND('STERLING CATALOG - FZN &amp; CHILL'!A2922,"AAAAAD/3600=")</f>
        <v>#VALUE!</v>
      </c>
      <c r="CA370" t="e">
        <f>AND('STERLING CATALOG - FZN &amp; CHILL'!B2922,"AAAAAD/3604=")</f>
        <v>#VALUE!</v>
      </c>
      <c r="CB370" t="e">
        <f>AND('STERLING CATALOG - FZN &amp; CHILL'!C2922,"AAAAAD/3608=")</f>
        <v>#VALUE!</v>
      </c>
      <c r="CC370" t="e">
        <f>AND('STERLING CATALOG - FZN &amp; CHILL'!D2922,"AAAAAD/361A=")</f>
        <v>#VALUE!</v>
      </c>
      <c r="CD370" t="e">
        <f>AND('STERLING CATALOG - FZN &amp; CHILL'!E2922,"AAAAAD/361E=")</f>
        <v>#VALUE!</v>
      </c>
      <c r="CE370" t="e">
        <f>AND('STERLING CATALOG - FZN &amp; CHILL'!F2922,"AAAAAD/361I=")</f>
        <v>#VALUE!</v>
      </c>
      <c r="CF370" t="e">
        <f>AND('STERLING CATALOG - FZN &amp; CHILL'!G2922,"AAAAAD/361M=")</f>
        <v>#VALUE!</v>
      </c>
      <c r="CG370" t="e">
        <f>AND('STERLING CATALOG - FZN &amp; CHILL'!H2922,"AAAAAD/361Q=")</f>
        <v>#VALUE!</v>
      </c>
      <c r="CH370" t="e">
        <f>AND('STERLING CATALOG - FZN &amp; CHILL'!I2922,"AAAAAD/361U=")</f>
        <v>#VALUE!</v>
      </c>
      <c r="CI370" t="e">
        <f>AND('STERLING CATALOG - FZN &amp; CHILL'!J2922,"AAAAAD/361Y=")</f>
        <v>#VALUE!</v>
      </c>
      <c r="CJ370">
        <f>IF('STERLING CATALOG - FZN &amp; CHILL'!2923:2923,"AAAAAD/361c=",0)</f>
        <v>0</v>
      </c>
      <c r="CK370" t="e">
        <f>AND('STERLING CATALOG - FZN &amp; CHILL'!A2923,"AAAAAD/361g=")</f>
        <v>#VALUE!</v>
      </c>
      <c r="CL370" t="e">
        <f>AND('STERLING CATALOG - FZN &amp; CHILL'!B2923,"AAAAAD/361k=")</f>
        <v>#VALUE!</v>
      </c>
      <c r="CM370" t="e">
        <f>AND('STERLING CATALOG - FZN &amp; CHILL'!C2923,"AAAAAD/361o=")</f>
        <v>#VALUE!</v>
      </c>
      <c r="CN370" t="e">
        <f>AND('STERLING CATALOG - FZN &amp; CHILL'!D2923,"AAAAAD/361s=")</f>
        <v>#VALUE!</v>
      </c>
      <c r="CO370" t="e">
        <f>AND('STERLING CATALOG - FZN &amp; CHILL'!E2923,"AAAAAD/361w=")</f>
        <v>#VALUE!</v>
      </c>
      <c r="CP370" t="e">
        <f>AND('STERLING CATALOG - FZN &amp; CHILL'!F2923,"AAAAAD/3610=")</f>
        <v>#VALUE!</v>
      </c>
      <c r="CQ370" t="e">
        <f>AND('STERLING CATALOG - FZN &amp; CHILL'!G2923,"AAAAAD/3614=")</f>
        <v>#VALUE!</v>
      </c>
      <c r="CR370" t="e">
        <f>AND('STERLING CATALOG - FZN &amp; CHILL'!H2923,"AAAAAD/3618=")</f>
        <v>#VALUE!</v>
      </c>
      <c r="CS370" t="e">
        <f>AND('STERLING CATALOG - FZN &amp; CHILL'!I2923,"AAAAAD/362A=")</f>
        <v>#VALUE!</v>
      </c>
      <c r="CT370" t="e">
        <f>AND('STERLING CATALOG - FZN &amp; CHILL'!J2923,"AAAAAD/362E=")</f>
        <v>#VALUE!</v>
      </c>
      <c r="CU370">
        <f>IF('STERLING CATALOG - FZN &amp; CHILL'!2924:2924,"AAAAAD/362I=",0)</f>
        <v>0</v>
      </c>
      <c r="CV370" t="e">
        <f>AND('STERLING CATALOG - FZN &amp; CHILL'!A2924,"AAAAAD/362M=")</f>
        <v>#VALUE!</v>
      </c>
      <c r="CW370" t="e">
        <f>AND('STERLING CATALOG - FZN &amp; CHILL'!B2924,"AAAAAD/362Q=")</f>
        <v>#VALUE!</v>
      </c>
      <c r="CX370" t="e">
        <f>AND('STERLING CATALOG - FZN &amp; CHILL'!C2924,"AAAAAD/362U=")</f>
        <v>#VALUE!</v>
      </c>
      <c r="CY370" t="e">
        <f>AND('STERLING CATALOG - FZN &amp; CHILL'!D2924,"AAAAAD/362Y=")</f>
        <v>#VALUE!</v>
      </c>
      <c r="CZ370" t="e">
        <f>AND('STERLING CATALOG - FZN &amp; CHILL'!E2924,"AAAAAD/362c=")</f>
        <v>#VALUE!</v>
      </c>
      <c r="DA370" t="e">
        <f>AND('STERLING CATALOG - FZN &amp; CHILL'!F2924,"AAAAAD/362g=")</f>
        <v>#VALUE!</v>
      </c>
      <c r="DB370" t="e">
        <f>AND('STERLING CATALOG - FZN &amp; CHILL'!G2924,"AAAAAD/362k=")</f>
        <v>#VALUE!</v>
      </c>
      <c r="DC370" t="e">
        <f>AND('STERLING CATALOG - FZN &amp; CHILL'!H2924,"AAAAAD/362o=")</f>
        <v>#VALUE!</v>
      </c>
      <c r="DD370" t="e">
        <f>AND('STERLING CATALOG - FZN &amp; CHILL'!I2924,"AAAAAD/362s=")</f>
        <v>#VALUE!</v>
      </c>
      <c r="DE370" t="e">
        <f>AND('STERLING CATALOG - FZN &amp; CHILL'!J2924,"AAAAAD/362w=")</f>
        <v>#VALUE!</v>
      </c>
      <c r="DF370">
        <f>IF('STERLING CATALOG - FZN &amp; CHILL'!2925:2925,"AAAAAD/3620=",0)</f>
        <v>0</v>
      </c>
      <c r="DG370" t="e">
        <f>AND('STERLING CATALOG - FZN &amp; CHILL'!A2925,"AAAAAD/3624=")</f>
        <v>#VALUE!</v>
      </c>
      <c r="DH370" t="e">
        <f>AND('STERLING CATALOG - FZN &amp; CHILL'!B2925,"AAAAAD/3628=")</f>
        <v>#VALUE!</v>
      </c>
      <c r="DI370" t="e">
        <f>AND('STERLING CATALOG - FZN &amp; CHILL'!C2925,"AAAAAD/363A=")</f>
        <v>#VALUE!</v>
      </c>
      <c r="DJ370" t="e">
        <f>AND('STERLING CATALOG - FZN &amp; CHILL'!D2925,"AAAAAD/363E=")</f>
        <v>#VALUE!</v>
      </c>
      <c r="DK370" t="e">
        <f>AND('STERLING CATALOG - FZN &amp; CHILL'!E2925,"AAAAAD/363I=")</f>
        <v>#VALUE!</v>
      </c>
      <c r="DL370" t="e">
        <f>AND('STERLING CATALOG - FZN &amp; CHILL'!F2925,"AAAAAD/363M=")</f>
        <v>#VALUE!</v>
      </c>
      <c r="DM370" t="e">
        <f>AND('STERLING CATALOG - FZN &amp; CHILL'!G2925,"AAAAAD/363Q=")</f>
        <v>#VALUE!</v>
      </c>
      <c r="DN370" t="e">
        <f>AND('STERLING CATALOG - FZN &amp; CHILL'!H2925,"AAAAAD/363U=")</f>
        <v>#VALUE!</v>
      </c>
      <c r="DO370" t="e">
        <f>AND('STERLING CATALOG - FZN &amp; CHILL'!I2925,"AAAAAD/363Y=")</f>
        <v>#VALUE!</v>
      </c>
      <c r="DP370" t="e">
        <f>AND('STERLING CATALOG - FZN &amp; CHILL'!J2925,"AAAAAD/363c=")</f>
        <v>#VALUE!</v>
      </c>
      <c r="DQ370">
        <f>IF('STERLING CATALOG - FZN &amp; CHILL'!2926:2926,"AAAAAD/363g=",0)</f>
        <v>0</v>
      </c>
      <c r="DR370" t="e">
        <f>AND('STERLING CATALOG - FZN &amp; CHILL'!A2926,"AAAAAD/363k=")</f>
        <v>#VALUE!</v>
      </c>
      <c r="DS370" t="e">
        <f>AND('STERLING CATALOG - FZN &amp; CHILL'!B2926,"AAAAAD/363o=")</f>
        <v>#VALUE!</v>
      </c>
      <c r="DT370" t="e">
        <f>AND('STERLING CATALOG - FZN &amp; CHILL'!C2926,"AAAAAD/363s=")</f>
        <v>#VALUE!</v>
      </c>
      <c r="DU370" t="e">
        <f>AND('STERLING CATALOG - FZN &amp; CHILL'!D2926,"AAAAAD/363w=")</f>
        <v>#VALUE!</v>
      </c>
      <c r="DV370" t="e">
        <f>AND('STERLING CATALOG - FZN &amp; CHILL'!E2926,"AAAAAD/3630=")</f>
        <v>#VALUE!</v>
      </c>
      <c r="DW370" t="e">
        <f>AND('STERLING CATALOG - FZN &amp; CHILL'!F2926,"AAAAAD/3634=")</f>
        <v>#VALUE!</v>
      </c>
      <c r="DX370" t="e">
        <f>AND('STERLING CATALOG - FZN &amp; CHILL'!G2926,"AAAAAD/3638=")</f>
        <v>#VALUE!</v>
      </c>
      <c r="DY370" t="e">
        <f>AND('STERLING CATALOG - FZN &amp; CHILL'!H2926,"AAAAAD/364A=")</f>
        <v>#VALUE!</v>
      </c>
      <c r="DZ370" t="e">
        <f>AND('STERLING CATALOG - FZN &amp; CHILL'!I2926,"AAAAAD/364E=")</f>
        <v>#VALUE!</v>
      </c>
      <c r="EA370" t="e">
        <f>AND('STERLING CATALOG - FZN &amp; CHILL'!J2926,"AAAAAD/364I=")</f>
        <v>#VALUE!</v>
      </c>
      <c r="EB370">
        <f>IF('STERLING CATALOG - FZN &amp; CHILL'!2927:2927,"AAAAAD/364M=",0)</f>
        <v>0</v>
      </c>
      <c r="EC370" t="e">
        <f>AND('STERLING CATALOG - FZN &amp; CHILL'!A2927,"AAAAAD/364Q=")</f>
        <v>#VALUE!</v>
      </c>
      <c r="ED370" t="e">
        <f>AND('STERLING CATALOG - FZN &amp; CHILL'!B2927,"AAAAAD/364U=")</f>
        <v>#VALUE!</v>
      </c>
      <c r="EE370" t="e">
        <f>AND('STERLING CATALOG - FZN &amp; CHILL'!C2927,"AAAAAD/364Y=")</f>
        <v>#VALUE!</v>
      </c>
      <c r="EF370" t="e">
        <f>AND('STERLING CATALOG - FZN &amp; CHILL'!D2927,"AAAAAD/364c=")</f>
        <v>#VALUE!</v>
      </c>
      <c r="EG370" t="e">
        <f>AND('STERLING CATALOG - FZN &amp; CHILL'!E2927,"AAAAAD/364g=")</f>
        <v>#VALUE!</v>
      </c>
      <c r="EH370" t="e">
        <f>AND('STERLING CATALOG - FZN &amp; CHILL'!F2927,"AAAAAD/364k=")</f>
        <v>#VALUE!</v>
      </c>
      <c r="EI370" t="e">
        <f>AND('STERLING CATALOG - FZN &amp; CHILL'!G2927,"AAAAAD/364o=")</f>
        <v>#VALUE!</v>
      </c>
      <c r="EJ370" t="e">
        <f>AND('STERLING CATALOG - FZN &amp; CHILL'!H2927,"AAAAAD/364s=")</f>
        <v>#VALUE!</v>
      </c>
      <c r="EK370" t="e">
        <f>AND('STERLING CATALOG - FZN &amp; CHILL'!I2927,"AAAAAD/364w=")</f>
        <v>#VALUE!</v>
      </c>
      <c r="EL370" t="e">
        <f>AND('STERLING CATALOG - FZN &amp; CHILL'!J2927,"AAAAAD/3640=")</f>
        <v>#VALUE!</v>
      </c>
      <c r="EM370">
        <f>IF('STERLING CATALOG - FZN &amp; CHILL'!2928:2928,"AAAAAD/3644=",0)</f>
        <v>0</v>
      </c>
      <c r="EN370" t="e">
        <f>AND('STERLING CATALOG - FZN &amp; CHILL'!A2928,"AAAAAD/3648=")</f>
        <v>#VALUE!</v>
      </c>
      <c r="EO370" t="e">
        <f>AND('STERLING CATALOG - FZN &amp; CHILL'!B2928,"AAAAAD/365A=")</f>
        <v>#VALUE!</v>
      </c>
      <c r="EP370" t="e">
        <f>AND('STERLING CATALOG - FZN &amp; CHILL'!C2928,"AAAAAD/365E=")</f>
        <v>#VALUE!</v>
      </c>
      <c r="EQ370" t="e">
        <f>AND('STERLING CATALOG - FZN &amp; CHILL'!D2928,"AAAAAD/365I=")</f>
        <v>#VALUE!</v>
      </c>
      <c r="ER370" t="e">
        <f>AND('STERLING CATALOG - FZN &amp; CHILL'!E2928,"AAAAAD/365M=")</f>
        <v>#VALUE!</v>
      </c>
      <c r="ES370" t="e">
        <f>AND('STERLING CATALOG - FZN &amp; CHILL'!F2928,"AAAAAD/365Q=")</f>
        <v>#VALUE!</v>
      </c>
      <c r="ET370" t="e">
        <f>AND('STERLING CATALOG - FZN &amp; CHILL'!G2928,"AAAAAD/365U=")</f>
        <v>#VALUE!</v>
      </c>
      <c r="EU370" t="e">
        <f>AND('STERLING CATALOG - FZN &amp; CHILL'!H2928,"AAAAAD/365Y=")</f>
        <v>#VALUE!</v>
      </c>
      <c r="EV370" t="e">
        <f>AND('STERLING CATALOG - FZN &amp; CHILL'!I2928,"AAAAAD/365c=")</f>
        <v>#VALUE!</v>
      </c>
      <c r="EW370" t="e">
        <f>AND('STERLING CATALOG - FZN &amp; CHILL'!J2928,"AAAAAD/365g=")</f>
        <v>#VALUE!</v>
      </c>
      <c r="EX370">
        <f>IF('STERLING CATALOG - FZN &amp; CHILL'!2929:2929,"AAAAAD/365k=",0)</f>
        <v>0</v>
      </c>
      <c r="EY370" t="e">
        <f>AND('STERLING CATALOG - FZN &amp; CHILL'!A2929,"AAAAAD/365o=")</f>
        <v>#VALUE!</v>
      </c>
      <c r="EZ370" t="e">
        <f>AND('STERLING CATALOG - FZN &amp; CHILL'!B2929,"AAAAAD/365s=")</f>
        <v>#VALUE!</v>
      </c>
      <c r="FA370" t="e">
        <f>AND('STERLING CATALOG - FZN &amp; CHILL'!C2929,"AAAAAD/365w=")</f>
        <v>#VALUE!</v>
      </c>
      <c r="FB370" t="e">
        <f>AND('STERLING CATALOG - FZN &amp; CHILL'!D2929,"AAAAAD/3650=")</f>
        <v>#VALUE!</v>
      </c>
      <c r="FC370" t="e">
        <f>AND('STERLING CATALOG - FZN &amp; CHILL'!E2929,"AAAAAD/3654=")</f>
        <v>#VALUE!</v>
      </c>
      <c r="FD370" t="e">
        <f>AND('STERLING CATALOG - FZN &amp; CHILL'!F2929,"AAAAAD/3658=")</f>
        <v>#VALUE!</v>
      </c>
      <c r="FE370" t="e">
        <f>AND('STERLING CATALOG - FZN &amp; CHILL'!G2929,"AAAAAD/366A=")</f>
        <v>#VALUE!</v>
      </c>
      <c r="FF370" t="e">
        <f>AND('STERLING CATALOG - FZN &amp; CHILL'!H2929,"AAAAAD/366E=")</f>
        <v>#VALUE!</v>
      </c>
      <c r="FG370" t="e">
        <f>AND('STERLING CATALOG - FZN &amp; CHILL'!I2929,"AAAAAD/366I=")</f>
        <v>#VALUE!</v>
      </c>
      <c r="FH370" t="e">
        <f>AND('STERLING CATALOG - FZN &amp; CHILL'!J2929,"AAAAAD/366M=")</f>
        <v>#VALUE!</v>
      </c>
      <c r="FI370">
        <f>IF('STERLING CATALOG - FZN &amp; CHILL'!2930:2930,"AAAAAD/366Q=",0)</f>
        <v>0</v>
      </c>
      <c r="FJ370" t="e">
        <f>AND('STERLING CATALOG - FZN &amp; CHILL'!A2930,"AAAAAD/366U=")</f>
        <v>#VALUE!</v>
      </c>
      <c r="FK370" t="e">
        <f>AND('STERLING CATALOG - FZN &amp; CHILL'!B2930,"AAAAAD/366Y=")</f>
        <v>#VALUE!</v>
      </c>
      <c r="FL370" t="e">
        <f>AND('STERLING CATALOG - FZN &amp; CHILL'!C2930,"AAAAAD/366c=")</f>
        <v>#VALUE!</v>
      </c>
      <c r="FM370" t="e">
        <f>AND('STERLING CATALOG - FZN &amp; CHILL'!D2930,"AAAAAD/366g=")</f>
        <v>#VALUE!</v>
      </c>
      <c r="FN370" t="e">
        <f>AND('STERLING CATALOG - FZN &amp; CHILL'!E2930,"AAAAAD/366k=")</f>
        <v>#VALUE!</v>
      </c>
      <c r="FO370" t="e">
        <f>AND('STERLING CATALOG - FZN &amp; CHILL'!F2930,"AAAAAD/366o=")</f>
        <v>#VALUE!</v>
      </c>
      <c r="FP370" t="e">
        <f>AND('STERLING CATALOG - FZN &amp; CHILL'!G2930,"AAAAAD/366s=")</f>
        <v>#VALUE!</v>
      </c>
      <c r="FQ370" t="e">
        <f>AND('STERLING CATALOG - FZN &amp; CHILL'!H2930,"AAAAAD/366w=")</f>
        <v>#VALUE!</v>
      </c>
      <c r="FR370" t="e">
        <f>AND('STERLING CATALOG - FZN &amp; CHILL'!I2930,"AAAAAD/3660=")</f>
        <v>#VALUE!</v>
      </c>
      <c r="FS370" t="e">
        <f>AND('STERLING CATALOG - FZN &amp; CHILL'!J2930,"AAAAAD/3664=")</f>
        <v>#VALUE!</v>
      </c>
      <c r="FT370">
        <f>IF('STERLING CATALOG - FZN &amp; CHILL'!2931:2931,"AAAAAD/3668=",0)</f>
        <v>0</v>
      </c>
      <c r="FU370" t="e">
        <f>AND('STERLING CATALOG - FZN &amp; CHILL'!A2931,"AAAAAD/367A=")</f>
        <v>#VALUE!</v>
      </c>
      <c r="FV370" t="e">
        <f>AND('STERLING CATALOG - FZN &amp; CHILL'!B2931,"AAAAAD/367E=")</f>
        <v>#VALUE!</v>
      </c>
      <c r="FW370" t="e">
        <f>AND('STERLING CATALOG - FZN &amp; CHILL'!C2931,"AAAAAD/367I=")</f>
        <v>#VALUE!</v>
      </c>
      <c r="FX370" t="e">
        <f>AND('STERLING CATALOG - FZN &amp; CHILL'!D2931,"AAAAAD/367M=")</f>
        <v>#VALUE!</v>
      </c>
      <c r="FY370" t="e">
        <f>AND('STERLING CATALOG - FZN &amp; CHILL'!E2931,"AAAAAD/367Q=")</f>
        <v>#VALUE!</v>
      </c>
      <c r="FZ370" t="e">
        <f>AND('STERLING CATALOG - FZN &amp; CHILL'!F2931,"AAAAAD/367U=")</f>
        <v>#VALUE!</v>
      </c>
      <c r="GA370" t="e">
        <f>AND('STERLING CATALOG - FZN &amp; CHILL'!G2931,"AAAAAD/367Y=")</f>
        <v>#VALUE!</v>
      </c>
      <c r="GB370" t="e">
        <f>AND('STERLING CATALOG - FZN &amp; CHILL'!H2931,"AAAAAD/367c=")</f>
        <v>#VALUE!</v>
      </c>
      <c r="GC370" t="e">
        <f>AND('STERLING CATALOG - FZN &amp; CHILL'!I2931,"AAAAAD/367g=")</f>
        <v>#VALUE!</v>
      </c>
      <c r="GD370" t="e">
        <f>AND('STERLING CATALOG - FZN &amp; CHILL'!J2931,"AAAAAD/367k=")</f>
        <v>#VALUE!</v>
      </c>
      <c r="GE370">
        <f>IF('STERLING CATALOG - FZN &amp; CHILL'!2932:2932,"AAAAAD/367o=",0)</f>
        <v>0</v>
      </c>
      <c r="GF370" t="e">
        <f>AND('STERLING CATALOG - FZN &amp; CHILL'!A2932,"AAAAAD/367s=")</f>
        <v>#VALUE!</v>
      </c>
      <c r="GG370" t="e">
        <f>AND('STERLING CATALOG - FZN &amp; CHILL'!B2932,"AAAAAD/367w=")</f>
        <v>#VALUE!</v>
      </c>
      <c r="GH370" t="e">
        <f>AND('STERLING CATALOG - FZN &amp; CHILL'!C2932,"AAAAAD/3670=")</f>
        <v>#VALUE!</v>
      </c>
      <c r="GI370" t="e">
        <f>AND('STERLING CATALOG - FZN &amp; CHILL'!D2932,"AAAAAD/3674=")</f>
        <v>#VALUE!</v>
      </c>
      <c r="GJ370" t="e">
        <f>AND('STERLING CATALOG - FZN &amp; CHILL'!E2932,"AAAAAD/3678=")</f>
        <v>#VALUE!</v>
      </c>
      <c r="GK370" t="e">
        <f>AND('STERLING CATALOG - FZN &amp; CHILL'!F2932,"AAAAAD/368A=")</f>
        <v>#VALUE!</v>
      </c>
      <c r="GL370" t="e">
        <f>AND('STERLING CATALOG - FZN &amp; CHILL'!G2932,"AAAAAD/368E=")</f>
        <v>#VALUE!</v>
      </c>
      <c r="GM370" t="e">
        <f>AND('STERLING CATALOG - FZN &amp; CHILL'!H2932,"AAAAAD/368I=")</f>
        <v>#VALUE!</v>
      </c>
      <c r="GN370" t="e">
        <f>AND('STERLING CATALOG - FZN &amp; CHILL'!I2932,"AAAAAD/368M=")</f>
        <v>#VALUE!</v>
      </c>
      <c r="GO370" t="e">
        <f>AND('STERLING CATALOG - FZN &amp; CHILL'!J2932,"AAAAAD/368Q=")</f>
        <v>#VALUE!</v>
      </c>
      <c r="GP370">
        <f>IF('STERLING CATALOG - FZN &amp; CHILL'!2933:2933,"AAAAAD/368U=",0)</f>
        <v>0</v>
      </c>
      <c r="GQ370" t="e">
        <f>AND('STERLING CATALOG - FZN &amp; CHILL'!A2933,"AAAAAD/368Y=")</f>
        <v>#VALUE!</v>
      </c>
      <c r="GR370" t="e">
        <f>AND('STERLING CATALOG - FZN &amp; CHILL'!B2933,"AAAAAD/368c=")</f>
        <v>#VALUE!</v>
      </c>
      <c r="GS370" t="e">
        <f>AND('STERLING CATALOG - FZN &amp; CHILL'!C2933,"AAAAAD/368g=")</f>
        <v>#VALUE!</v>
      </c>
      <c r="GT370" t="e">
        <f>AND('STERLING CATALOG - FZN &amp; CHILL'!D2933,"AAAAAD/368k=")</f>
        <v>#VALUE!</v>
      </c>
      <c r="GU370" t="e">
        <f>AND('STERLING CATALOG - FZN &amp; CHILL'!E2933,"AAAAAD/368o=")</f>
        <v>#VALUE!</v>
      </c>
      <c r="GV370" t="e">
        <f>AND('STERLING CATALOG - FZN &amp; CHILL'!F2933,"AAAAAD/368s=")</f>
        <v>#VALUE!</v>
      </c>
      <c r="GW370" t="e">
        <f>AND('STERLING CATALOG - FZN &amp; CHILL'!G2933,"AAAAAD/368w=")</f>
        <v>#VALUE!</v>
      </c>
      <c r="GX370" t="e">
        <f>AND('STERLING CATALOG - FZN &amp; CHILL'!H2933,"AAAAAD/3680=")</f>
        <v>#VALUE!</v>
      </c>
      <c r="GY370" t="e">
        <f>AND('STERLING CATALOG - FZN &amp; CHILL'!I2933,"AAAAAD/3684=")</f>
        <v>#VALUE!</v>
      </c>
      <c r="GZ370" t="e">
        <f>AND('STERLING CATALOG - FZN &amp; CHILL'!J2933,"AAAAAD/3688=")</f>
        <v>#VALUE!</v>
      </c>
      <c r="HA370">
        <f>IF('STERLING CATALOG - FZN &amp; CHILL'!2934:2934,"AAAAAD/369A=",0)</f>
        <v>0</v>
      </c>
      <c r="HB370" t="e">
        <f>AND('STERLING CATALOG - FZN &amp; CHILL'!A2934,"AAAAAD/369E=")</f>
        <v>#VALUE!</v>
      </c>
      <c r="HC370" t="e">
        <f>AND('STERLING CATALOG - FZN &amp; CHILL'!B2934,"AAAAAD/369I=")</f>
        <v>#VALUE!</v>
      </c>
      <c r="HD370" t="e">
        <f>AND('STERLING CATALOG - FZN &amp; CHILL'!C2934,"AAAAAD/369M=")</f>
        <v>#VALUE!</v>
      </c>
      <c r="HE370" t="e">
        <f>AND('STERLING CATALOG - FZN &amp; CHILL'!D2934,"AAAAAD/369Q=")</f>
        <v>#VALUE!</v>
      </c>
      <c r="HF370" t="e">
        <f>AND('STERLING CATALOG - FZN &amp; CHILL'!E2934,"AAAAAD/369U=")</f>
        <v>#VALUE!</v>
      </c>
      <c r="HG370" t="e">
        <f>AND('STERLING CATALOG - FZN &amp; CHILL'!F2934,"AAAAAD/369Y=")</f>
        <v>#VALUE!</v>
      </c>
      <c r="HH370" t="e">
        <f>AND('STERLING CATALOG - FZN &amp; CHILL'!G2934,"AAAAAD/369c=")</f>
        <v>#VALUE!</v>
      </c>
      <c r="HI370" t="e">
        <f>AND('STERLING CATALOG - FZN &amp; CHILL'!H2934,"AAAAAD/369g=")</f>
        <v>#VALUE!</v>
      </c>
      <c r="HJ370" t="e">
        <f>AND('STERLING CATALOG - FZN &amp; CHILL'!I2934,"AAAAAD/369k=")</f>
        <v>#VALUE!</v>
      </c>
      <c r="HK370" t="e">
        <f>AND('STERLING CATALOG - FZN &amp; CHILL'!J2934,"AAAAAD/369o=")</f>
        <v>#VALUE!</v>
      </c>
      <c r="HL370">
        <f>IF('STERLING CATALOG - FZN &amp; CHILL'!2935:2935,"AAAAAD/369s=",0)</f>
        <v>0</v>
      </c>
      <c r="HM370" t="e">
        <f>AND('STERLING CATALOG - FZN &amp; CHILL'!A2935,"AAAAAD/369w=")</f>
        <v>#VALUE!</v>
      </c>
      <c r="HN370" t="e">
        <f>AND('STERLING CATALOG - FZN &amp; CHILL'!B2935,"AAAAAD/3690=")</f>
        <v>#VALUE!</v>
      </c>
      <c r="HO370" t="e">
        <f>AND('STERLING CATALOG - FZN &amp; CHILL'!C2935,"AAAAAD/3694=")</f>
        <v>#VALUE!</v>
      </c>
      <c r="HP370" t="e">
        <f>AND('STERLING CATALOG - FZN &amp; CHILL'!D2935,"AAAAAD/3698=")</f>
        <v>#VALUE!</v>
      </c>
      <c r="HQ370" t="e">
        <f>AND('STERLING CATALOG - FZN &amp; CHILL'!E2935,"AAAAAD/36+A=")</f>
        <v>#VALUE!</v>
      </c>
      <c r="HR370" t="e">
        <f>AND('STERLING CATALOG - FZN &amp; CHILL'!F2935,"AAAAAD/36+E=")</f>
        <v>#VALUE!</v>
      </c>
      <c r="HS370" t="e">
        <f>AND('STERLING CATALOG - FZN &amp; CHILL'!G2935,"AAAAAD/36+I=")</f>
        <v>#VALUE!</v>
      </c>
      <c r="HT370" t="e">
        <f>AND('STERLING CATALOG - FZN &amp; CHILL'!H2935,"AAAAAD/36+M=")</f>
        <v>#VALUE!</v>
      </c>
      <c r="HU370" t="e">
        <f>AND('STERLING CATALOG - FZN &amp; CHILL'!I2935,"AAAAAD/36+Q=")</f>
        <v>#VALUE!</v>
      </c>
      <c r="HV370" t="e">
        <f>AND('STERLING CATALOG - FZN &amp; CHILL'!J2935,"AAAAAD/36+U=")</f>
        <v>#VALUE!</v>
      </c>
      <c r="HW370">
        <f>IF('STERLING CATALOG - FZN &amp; CHILL'!2936:2936,"AAAAAD/36+Y=",0)</f>
        <v>0</v>
      </c>
      <c r="HX370" t="e">
        <f>AND('STERLING CATALOG - FZN &amp; CHILL'!A2936,"AAAAAD/36+c=")</f>
        <v>#VALUE!</v>
      </c>
      <c r="HY370" t="e">
        <f>AND('STERLING CATALOG - FZN &amp; CHILL'!B2936,"AAAAAD/36+g=")</f>
        <v>#VALUE!</v>
      </c>
      <c r="HZ370" t="e">
        <f>AND('STERLING CATALOG - FZN &amp; CHILL'!C2936,"AAAAAD/36+k=")</f>
        <v>#VALUE!</v>
      </c>
      <c r="IA370" t="e">
        <f>AND('STERLING CATALOG - FZN &amp; CHILL'!D2936,"AAAAAD/36+o=")</f>
        <v>#VALUE!</v>
      </c>
      <c r="IB370" t="e">
        <f>AND('STERLING CATALOG - FZN &amp; CHILL'!E2936,"AAAAAD/36+s=")</f>
        <v>#VALUE!</v>
      </c>
      <c r="IC370" t="e">
        <f>AND('STERLING CATALOG - FZN &amp; CHILL'!F2936,"AAAAAD/36+w=")</f>
        <v>#VALUE!</v>
      </c>
      <c r="ID370" t="e">
        <f>AND('STERLING CATALOG - FZN &amp; CHILL'!G2936,"AAAAAD/36+0=")</f>
        <v>#VALUE!</v>
      </c>
      <c r="IE370" t="e">
        <f>AND('STERLING CATALOG - FZN &amp; CHILL'!H2936,"AAAAAD/36+4=")</f>
        <v>#VALUE!</v>
      </c>
      <c r="IF370" t="e">
        <f>AND('STERLING CATALOG - FZN &amp; CHILL'!I2936,"AAAAAD/36+8=")</f>
        <v>#VALUE!</v>
      </c>
      <c r="IG370" t="e">
        <f>AND('STERLING CATALOG - FZN &amp; CHILL'!J2936,"AAAAAD/36/A=")</f>
        <v>#VALUE!</v>
      </c>
      <c r="IH370">
        <f>IF('STERLING CATALOG - FZN &amp; CHILL'!2937:2937,"AAAAAD/36/E=",0)</f>
        <v>0</v>
      </c>
      <c r="II370" t="e">
        <f>AND('STERLING CATALOG - FZN &amp; CHILL'!A2937,"AAAAAD/36/I=")</f>
        <v>#VALUE!</v>
      </c>
      <c r="IJ370" t="e">
        <f>AND('STERLING CATALOG - FZN &amp; CHILL'!B2937,"AAAAAD/36/M=")</f>
        <v>#VALUE!</v>
      </c>
      <c r="IK370" t="e">
        <f>AND('STERLING CATALOG - FZN &amp; CHILL'!C2937,"AAAAAD/36/Q=")</f>
        <v>#VALUE!</v>
      </c>
      <c r="IL370" t="e">
        <f>AND('STERLING CATALOG - FZN &amp; CHILL'!D2937,"AAAAAD/36/U=")</f>
        <v>#VALUE!</v>
      </c>
      <c r="IM370" t="e">
        <f>AND('STERLING CATALOG - FZN &amp; CHILL'!E2937,"AAAAAD/36/Y=")</f>
        <v>#VALUE!</v>
      </c>
      <c r="IN370" t="e">
        <f>AND('STERLING CATALOG - FZN &amp; CHILL'!F2937,"AAAAAD/36/c=")</f>
        <v>#VALUE!</v>
      </c>
      <c r="IO370" t="e">
        <f>AND('STERLING CATALOG - FZN &amp; CHILL'!G2937,"AAAAAD/36/g=")</f>
        <v>#VALUE!</v>
      </c>
      <c r="IP370" t="e">
        <f>AND('STERLING CATALOG - FZN &amp; CHILL'!H2937,"AAAAAD/36/k=")</f>
        <v>#VALUE!</v>
      </c>
      <c r="IQ370" t="e">
        <f>AND('STERLING CATALOG - FZN &amp; CHILL'!I2937,"AAAAAD/36/o=")</f>
        <v>#VALUE!</v>
      </c>
      <c r="IR370" t="e">
        <f>AND('STERLING CATALOG - FZN &amp; CHILL'!J2937,"AAAAAD/36/s=")</f>
        <v>#VALUE!</v>
      </c>
      <c r="IS370">
        <f>IF('STERLING CATALOG - FZN &amp; CHILL'!2938:2938,"AAAAAD/36/w=",0)</f>
        <v>0</v>
      </c>
      <c r="IT370" t="e">
        <f>AND('STERLING CATALOG - FZN &amp; CHILL'!A2938,"AAAAAD/36/0=")</f>
        <v>#VALUE!</v>
      </c>
      <c r="IU370" t="e">
        <f>AND('STERLING CATALOG - FZN &amp; CHILL'!B2938,"AAAAAD/36/4=")</f>
        <v>#VALUE!</v>
      </c>
      <c r="IV370" t="e">
        <f>AND('STERLING CATALOG - FZN &amp; CHILL'!C2938,"AAAAAD/36/8=")</f>
        <v>#VALUE!</v>
      </c>
    </row>
    <row r="371" spans="1:256">
      <c r="A371" t="e">
        <f>AND('STERLING CATALOG - FZN &amp; CHILL'!D2938,"AAAAAH/9NgA=")</f>
        <v>#VALUE!</v>
      </c>
      <c r="B371" t="e">
        <f>AND('STERLING CATALOG - FZN &amp; CHILL'!E2938,"AAAAAH/9NgE=")</f>
        <v>#VALUE!</v>
      </c>
      <c r="C371" t="e">
        <f>AND('STERLING CATALOG - FZN &amp; CHILL'!F2938,"AAAAAH/9NgI=")</f>
        <v>#VALUE!</v>
      </c>
      <c r="D371" t="e">
        <f>AND('STERLING CATALOG - FZN &amp; CHILL'!G2938,"AAAAAH/9NgM=")</f>
        <v>#VALUE!</v>
      </c>
      <c r="E371" t="e">
        <f>AND('STERLING CATALOG - FZN &amp; CHILL'!H2938,"AAAAAH/9NgQ=")</f>
        <v>#VALUE!</v>
      </c>
      <c r="F371" t="e">
        <f>AND('STERLING CATALOG - FZN &amp; CHILL'!I2938,"AAAAAH/9NgU=")</f>
        <v>#VALUE!</v>
      </c>
      <c r="G371" t="e">
        <f>AND('STERLING CATALOG - FZN &amp; CHILL'!J2938,"AAAAAH/9NgY=")</f>
        <v>#VALUE!</v>
      </c>
      <c r="H371" t="str">
        <f>IF('STERLING CATALOG - FZN &amp; CHILL'!2939:2939,"AAAAAH/9Ngc=",0)</f>
        <v>AAAAAH/9Ngc=</v>
      </c>
      <c r="I371" t="e">
        <f>AND('STERLING CATALOG - FZN &amp; CHILL'!A2939,"AAAAAH/9Ngg=")</f>
        <v>#VALUE!</v>
      </c>
      <c r="J371" t="e">
        <f>AND('STERLING CATALOG - FZN &amp; CHILL'!B2939,"AAAAAH/9Ngk=")</f>
        <v>#VALUE!</v>
      </c>
      <c r="K371" t="e">
        <f>AND('STERLING CATALOG - FZN &amp; CHILL'!C2939,"AAAAAH/9Ngo=")</f>
        <v>#VALUE!</v>
      </c>
      <c r="L371" t="e">
        <f>AND('STERLING CATALOG - FZN &amp; CHILL'!D2939,"AAAAAH/9Ngs=")</f>
        <v>#VALUE!</v>
      </c>
      <c r="M371" t="e">
        <f>AND('STERLING CATALOG - FZN &amp; CHILL'!E2939,"AAAAAH/9Ngw=")</f>
        <v>#VALUE!</v>
      </c>
      <c r="N371" t="e">
        <f>AND('STERLING CATALOG - FZN &amp; CHILL'!F2939,"AAAAAH/9Ng0=")</f>
        <v>#VALUE!</v>
      </c>
      <c r="O371" t="e">
        <f>AND('STERLING CATALOG - FZN &amp; CHILL'!G2939,"AAAAAH/9Ng4=")</f>
        <v>#VALUE!</v>
      </c>
      <c r="P371" t="e">
        <f>AND('STERLING CATALOG - FZN &amp; CHILL'!H2939,"AAAAAH/9Ng8=")</f>
        <v>#VALUE!</v>
      </c>
      <c r="Q371" t="e">
        <f>AND('STERLING CATALOG - FZN &amp; CHILL'!I2939,"AAAAAH/9NhA=")</f>
        <v>#VALUE!</v>
      </c>
      <c r="R371" t="e">
        <f>AND('STERLING CATALOG - FZN &amp; CHILL'!J2939,"AAAAAH/9NhE=")</f>
        <v>#VALUE!</v>
      </c>
      <c r="S371">
        <f>IF('STERLING CATALOG - FZN &amp; CHILL'!2940:2940,"AAAAAH/9NhI=",0)</f>
        <v>0</v>
      </c>
      <c r="T371" t="e">
        <f>AND('STERLING CATALOG - FZN &amp; CHILL'!A2940,"AAAAAH/9NhM=")</f>
        <v>#VALUE!</v>
      </c>
      <c r="U371" t="e">
        <f>AND('STERLING CATALOG - FZN &amp; CHILL'!B2940,"AAAAAH/9NhQ=")</f>
        <v>#VALUE!</v>
      </c>
      <c r="V371" t="e">
        <f>AND('STERLING CATALOG - FZN &amp; CHILL'!C2940,"AAAAAH/9NhU=")</f>
        <v>#VALUE!</v>
      </c>
      <c r="W371" t="e">
        <f>AND('STERLING CATALOG - FZN &amp; CHILL'!D2940,"AAAAAH/9NhY=")</f>
        <v>#VALUE!</v>
      </c>
      <c r="X371" t="e">
        <f>AND('STERLING CATALOG - FZN &amp; CHILL'!E2940,"AAAAAH/9Nhc=")</f>
        <v>#VALUE!</v>
      </c>
      <c r="Y371" t="e">
        <f>AND('STERLING CATALOG - FZN &amp; CHILL'!F2940,"AAAAAH/9Nhg=")</f>
        <v>#VALUE!</v>
      </c>
      <c r="Z371" t="e">
        <f>AND('STERLING CATALOG - FZN &amp; CHILL'!G2940,"AAAAAH/9Nhk=")</f>
        <v>#VALUE!</v>
      </c>
      <c r="AA371" t="e">
        <f>AND('STERLING CATALOG - FZN &amp; CHILL'!H2940,"AAAAAH/9Nho=")</f>
        <v>#VALUE!</v>
      </c>
      <c r="AB371" t="e">
        <f>AND('STERLING CATALOG - FZN &amp; CHILL'!I2940,"AAAAAH/9Nhs=")</f>
        <v>#VALUE!</v>
      </c>
      <c r="AC371" t="e">
        <f>AND('STERLING CATALOG - FZN &amp; CHILL'!J2940,"AAAAAH/9Nhw=")</f>
        <v>#VALUE!</v>
      </c>
      <c r="AD371">
        <f>IF('STERLING CATALOG - FZN &amp; CHILL'!2941:2941,"AAAAAH/9Nh0=",0)</f>
        <v>0</v>
      </c>
      <c r="AE371" t="e">
        <f>AND('STERLING CATALOG - FZN &amp; CHILL'!A2941,"AAAAAH/9Nh4=")</f>
        <v>#VALUE!</v>
      </c>
      <c r="AF371" t="e">
        <f>AND('STERLING CATALOG - FZN &amp; CHILL'!B2941,"AAAAAH/9Nh8=")</f>
        <v>#VALUE!</v>
      </c>
      <c r="AG371" t="e">
        <f>AND('STERLING CATALOG - FZN &amp; CHILL'!C2941,"AAAAAH/9NiA=")</f>
        <v>#VALUE!</v>
      </c>
      <c r="AH371" t="e">
        <f>AND('STERLING CATALOG - FZN &amp; CHILL'!D2941,"AAAAAH/9NiE=")</f>
        <v>#VALUE!</v>
      </c>
      <c r="AI371" t="e">
        <f>AND('STERLING CATALOG - FZN &amp; CHILL'!E2941,"AAAAAH/9NiI=")</f>
        <v>#VALUE!</v>
      </c>
      <c r="AJ371" t="e">
        <f>AND('STERLING CATALOG - FZN &amp; CHILL'!F2941,"AAAAAH/9NiM=")</f>
        <v>#VALUE!</v>
      </c>
      <c r="AK371" t="e">
        <f>AND('STERLING CATALOG - FZN &amp; CHILL'!G2941,"AAAAAH/9NiQ=")</f>
        <v>#VALUE!</v>
      </c>
      <c r="AL371" t="e">
        <f>AND('STERLING CATALOG - FZN &amp; CHILL'!H2941,"AAAAAH/9NiU=")</f>
        <v>#VALUE!</v>
      </c>
      <c r="AM371" t="e">
        <f>AND('STERLING CATALOG - FZN &amp; CHILL'!I2941,"AAAAAH/9NiY=")</f>
        <v>#VALUE!</v>
      </c>
      <c r="AN371" t="e">
        <f>AND('STERLING CATALOG - FZN &amp; CHILL'!J2941,"AAAAAH/9Nic=")</f>
        <v>#VALUE!</v>
      </c>
      <c r="AO371">
        <f>IF('STERLING CATALOG - FZN &amp; CHILL'!2942:2942,"AAAAAH/9Nig=",0)</f>
        <v>0</v>
      </c>
      <c r="AP371" t="e">
        <f>AND('STERLING CATALOG - FZN &amp; CHILL'!A2942,"AAAAAH/9Nik=")</f>
        <v>#VALUE!</v>
      </c>
      <c r="AQ371" t="e">
        <f>AND('STERLING CATALOG - FZN &amp; CHILL'!B2942,"AAAAAH/9Nio=")</f>
        <v>#VALUE!</v>
      </c>
      <c r="AR371" t="e">
        <f>AND('STERLING CATALOG - FZN &amp; CHILL'!C2942,"AAAAAH/9Nis=")</f>
        <v>#VALUE!</v>
      </c>
      <c r="AS371" t="e">
        <f>AND('STERLING CATALOG - FZN &amp; CHILL'!D2942,"AAAAAH/9Niw=")</f>
        <v>#VALUE!</v>
      </c>
      <c r="AT371" t="e">
        <f>AND('STERLING CATALOG - FZN &amp; CHILL'!E2942,"AAAAAH/9Ni0=")</f>
        <v>#VALUE!</v>
      </c>
      <c r="AU371" t="e">
        <f>AND('STERLING CATALOG - FZN &amp; CHILL'!F2942,"AAAAAH/9Ni4=")</f>
        <v>#VALUE!</v>
      </c>
      <c r="AV371" t="e">
        <f>AND('STERLING CATALOG - FZN &amp; CHILL'!G2942,"AAAAAH/9Ni8=")</f>
        <v>#VALUE!</v>
      </c>
      <c r="AW371" t="e">
        <f>AND('STERLING CATALOG - FZN &amp; CHILL'!H2942,"AAAAAH/9NjA=")</f>
        <v>#VALUE!</v>
      </c>
      <c r="AX371" t="e">
        <f>AND('STERLING CATALOG - FZN &amp; CHILL'!I2942,"AAAAAH/9NjE=")</f>
        <v>#VALUE!</v>
      </c>
      <c r="AY371" t="e">
        <f>AND('STERLING CATALOG - FZN &amp; CHILL'!J2942,"AAAAAH/9NjI=")</f>
        <v>#VALUE!</v>
      </c>
      <c r="AZ371">
        <f>IF('STERLING CATALOG - FZN &amp; CHILL'!2943:2943,"AAAAAH/9NjM=",0)</f>
        <v>0</v>
      </c>
      <c r="BA371" t="e">
        <f>AND('STERLING CATALOG - FZN &amp; CHILL'!A2943,"AAAAAH/9NjQ=")</f>
        <v>#VALUE!</v>
      </c>
      <c r="BB371" t="e">
        <f>AND('STERLING CATALOG - FZN &amp; CHILL'!B2943,"AAAAAH/9NjU=")</f>
        <v>#VALUE!</v>
      </c>
      <c r="BC371" t="e">
        <f>AND('STERLING CATALOG - FZN &amp; CHILL'!C2943,"AAAAAH/9NjY=")</f>
        <v>#VALUE!</v>
      </c>
      <c r="BD371" t="e">
        <f>AND('STERLING CATALOG - FZN &amp; CHILL'!D2943,"AAAAAH/9Njc=")</f>
        <v>#VALUE!</v>
      </c>
      <c r="BE371" t="e">
        <f>AND('STERLING CATALOG - FZN &amp; CHILL'!E2943,"AAAAAH/9Njg=")</f>
        <v>#VALUE!</v>
      </c>
      <c r="BF371" t="e">
        <f>AND('STERLING CATALOG - FZN &amp; CHILL'!F2943,"AAAAAH/9Njk=")</f>
        <v>#VALUE!</v>
      </c>
      <c r="BG371" t="e">
        <f>AND('STERLING CATALOG - FZN &amp; CHILL'!G2943,"AAAAAH/9Njo=")</f>
        <v>#VALUE!</v>
      </c>
      <c r="BH371" t="e">
        <f>AND('STERLING CATALOG - FZN &amp; CHILL'!H2943,"AAAAAH/9Njs=")</f>
        <v>#VALUE!</v>
      </c>
      <c r="BI371" t="e">
        <f>AND('STERLING CATALOG - FZN &amp; CHILL'!I2943,"AAAAAH/9Njw=")</f>
        <v>#VALUE!</v>
      </c>
      <c r="BJ371" t="e">
        <f>AND('STERLING CATALOG - FZN &amp; CHILL'!J2943,"AAAAAH/9Nj0=")</f>
        <v>#VALUE!</v>
      </c>
      <c r="BK371">
        <f>IF('STERLING CATALOG - FZN &amp; CHILL'!2944:2944,"AAAAAH/9Nj4=",0)</f>
        <v>0</v>
      </c>
      <c r="BL371" t="e">
        <f>AND('STERLING CATALOG - FZN &amp; CHILL'!A2944,"AAAAAH/9Nj8=")</f>
        <v>#VALUE!</v>
      </c>
      <c r="BM371" t="e">
        <f>AND('STERLING CATALOG - FZN &amp; CHILL'!B2944,"AAAAAH/9NkA=")</f>
        <v>#VALUE!</v>
      </c>
      <c r="BN371" t="e">
        <f>AND('STERLING CATALOG - FZN &amp; CHILL'!C2944,"AAAAAH/9NkE=")</f>
        <v>#VALUE!</v>
      </c>
      <c r="BO371" t="e">
        <f>AND('STERLING CATALOG - FZN &amp; CHILL'!D2944,"AAAAAH/9NkI=")</f>
        <v>#VALUE!</v>
      </c>
      <c r="BP371" t="e">
        <f>AND('STERLING CATALOG - FZN &amp; CHILL'!E2944,"AAAAAH/9NkM=")</f>
        <v>#VALUE!</v>
      </c>
      <c r="BQ371" t="e">
        <f>AND('STERLING CATALOG - FZN &amp; CHILL'!F2944,"AAAAAH/9NkQ=")</f>
        <v>#VALUE!</v>
      </c>
      <c r="BR371" t="e">
        <f>AND('STERLING CATALOG - FZN &amp; CHILL'!G2944,"AAAAAH/9NkU=")</f>
        <v>#VALUE!</v>
      </c>
      <c r="BS371" t="e">
        <f>AND('STERLING CATALOG - FZN &amp; CHILL'!H2944,"AAAAAH/9NkY=")</f>
        <v>#VALUE!</v>
      </c>
      <c r="BT371" t="e">
        <f>AND('STERLING CATALOG - FZN &amp; CHILL'!I2944,"AAAAAH/9Nkc=")</f>
        <v>#VALUE!</v>
      </c>
      <c r="BU371" t="e">
        <f>AND('STERLING CATALOG - FZN &amp; CHILL'!J2944,"AAAAAH/9Nkg=")</f>
        <v>#VALUE!</v>
      </c>
      <c r="BV371">
        <f>IF('STERLING CATALOG - FZN &amp; CHILL'!2945:2945,"AAAAAH/9Nkk=",0)</f>
        <v>0</v>
      </c>
      <c r="BW371" t="e">
        <f>AND('STERLING CATALOG - FZN &amp; CHILL'!A2945,"AAAAAH/9Nko=")</f>
        <v>#VALUE!</v>
      </c>
      <c r="BX371" t="e">
        <f>AND('STERLING CATALOG - FZN &amp; CHILL'!B2945,"AAAAAH/9Nks=")</f>
        <v>#VALUE!</v>
      </c>
      <c r="BY371" t="e">
        <f>AND('STERLING CATALOG - FZN &amp; CHILL'!C2945,"AAAAAH/9Nkw=")</f>
        <v>#VALUE!</v>
      </c>
      <c r="BZ371" t="e">
        <f>AND('STERLING CATALOG - FZN &amp; CHILL'!D2945,"AAAAAH/9Nk0=")</f>
        <v>#VALUE!</v>
      </c>
      <c r="CA371" t="e">
        <f>AND('STERLING CATALOG - FZN &amp; CHILL'!E2945,"AAAAAH/9Nk4=")</f>
        <v>#VALUE!</v>
      </c>
      <c r="CB371" t="e">
        <f>AND('STERLING CATALOG - FZN &amp; CHILL'!F2945,"AAAAAH/9Nk8=")</f>
        <v>#VALUE!</v>
      </c>
      <c r="CC371" t="e">
        <f>AND('STERLING CATALOG - FZN &amp; CHILL'!G2945,"AAAAAH/9NlA=")</f>
        <v>#VALUE!</v>
      </c>
      <c r="CD371" t="e">
        <f>AND('STERLING CATALOG - FZN &amp; CHILL'!H2945,"AAAAAH/9NlE=")</f>
        <v>#VALUE!</v>
      </c>
      <c r="CE371" t="e">
        <f>AND('STERLING CATALOG - FZN &amp; CHILL'!I2945,"AAAAAH/9NlI=")</f>
        <v>#VALUE!</v>
      </c>
      <c r="CF371" t="e">
        <f>AND('STERLING CATALOG - FZN &amp; CHILL'!J2945,"AAAAAH/9NlM=")</f>
        <v>#VALUE!</v>
      </c>
      <c r="CG371">
        <f>IF('STERLING CATALOG - FZN &amp; CHILL'!2946:2946,"AAAAAH/9NlQ=",0)</f>
        <v>0</v>
      </c>
      <c r="CH371" t="e">
        <f>AND('STERLING CATALOG - FZN &amp; CHILL'!A2946,"AAAAAH/9NlU=")</f>
        <v>#VALUE!</v>
      </c>
      <c r="CI371" t="e">
        <f>AND('STERLING CATALOG - FZN &amp; CHILL'!B2946,"AAAAAH/9NlY=")</f>
        <v>#VALUE!</v>
      </c>
      <c r="CJ371" t="e">
        <f>AND('STERLING CATALOG - FZN &amp; CHILL'!C2946,"AAAAAH/9Nlc=")</f>
        <v>#VALUE!</v>
      </c>
      <c r="CK371" t="e">
        <f>AND('STERLING CATALOG - FZN &amp; CHILL'!D2946,"AAAAAH/9Nlg=")</f>
        <v>#VALUE!</v>
      </c>
      <c r="CL371" t="e">
        <f>AND('STERLING CATALOG - FZN &amp; CHILL'!E2946,"AAAAAH/9Nlk=")</f>
        <v>#VALUE!</v>
      </c>
      <c r="CM371" t="e">
        <f>AND('STERLING CATALOG - FZN &amp; CHILL'!F2946,"AAAAAH/9Nlo=")</f>
        <v>#VALUE!</v>
      </c>
      <c r="CN371" t="e">
        <f>AND('STERLING CATALOG - FZN &amp; CHILL'!G2946,"AAAAAH/9Nls=")</f>
        <v>#VALUE!</v>
      </c>
      <c r="CO371" t="e">
        <f>AND('STERLING CATALOG - FZN &amp; CHILL'!H2946,"AAAAAH/9Nlw=")</f>
        <v>#VALUE!</v>
      </c>
      <c r="CP371" t="e">
        <f>AND('STERLING CATALOG - FZN &amp; CHILL'!I2946,"AAAAAH/9Nl0=")</f>
        <v>#VALUE!</v>
      </c>
      <c r="CQ371" t="e">
        <f>AND('STERLING CATALOG - FZN &amp; CHILL'!J2946,"AAAAAH/9Nl4=")</f>
        <v>#VALUE!</v>
      </c>
      <c r="CR371">
        <f>IF('STERLING CATALOG - FZN &amp; CHILL'!2947:2947,"AAAAAH/9Nl8=",0)</f>
        <v>0</v>
      </c>
      <c r="CS371" t="e">
        <f>AND('STERLING CATALOG - FZN &amp; CHILL'!A2947,"AAAAAH/9NmA=")</f>
        <v>#VALUE!</v>
      </c>
      <c r="CT371" t="e">
        <f>AND('STERLING CATALOG - FZN &amp; CHILL'!B2947,"AAAAAH/9NmE=")</f>
        <v>#VALUE!</v>
      </c>
      <c r="CU371" t="e">
        <f>AND('STERLING CATALOG - FZN &amp; CHILL'!C2947,"AAAAAH/9NmI=")</f>
        <v>#VALUE!</v>
      </c>
      <c r="CV371" t="e">
        <f>AND('STERLING CATALOG - FZN &amp; CHILL'!D2947,"AAAAAH/9NmM=")</f>
        <v>#VALUE!</v>
      </c>
      <c r="CW371" t="e">
        <f>AND('STERLING CATALOG - FZN &amp; CHILL'!E2947,"AAAAAH/9NmQ=")</f>
        <v>#VALUE!</v>
      </c>
      <c r="CX371" t="e">
        <f>AND('STERLING CATALOG - FZN &amp; CHILL'!F2947,"AAAAAH/9NmU=")</f>
        <v>#VALUE!</v>
      </c>
      <c r="CY371" t="e">
        <f>AND('STERLING CATALOG - FZN &amp; CHILL'!G2947,"AAAAAH/9NmY=")</f>
        <v>#VALUE!</v>
      </c>
      <c r="CZ371" t="e">
        <f>AND('STERLING CATALOG - FZN &amp; CHILL'!H2947,"AAAAAH/9Nmc=")</f>
        <v>#VALUE!</v>
      </c>
      <c r="DA371" t="e">
        <f>AND('STERLING CATALOG - FZN &amp; CHILL'!I2947,"AAAAAH/9Nmg=")</f>
        <v>#VALUE!</v>
      </c>
      <c r="DB371" t="e">
        <f>AND('STERLING CATALOG - FZN &amp; CHILL'!J2947,"AAAAAH/9Nmk=")</f>
        <v>#VALUE!</v>
      </c>
      <c r="DC371">
        <f>IF('STERLING CATALOG - FZN &amp; CHILL'!2948:2948,"AAAAAH/9Nmo=",0)</f>
        <v>0</v>
      </c>
      <c r="DD371" t="e">
        <f>AND('STERLING CATALOG - FZN &amp; CHILL'!A2948,"AAAAAH/9Nms=")</f>
        <v>#VALUE!</v>
      </c>
      <c r="DE371" t="e">
        <f>AND('STERLING CATALOG - FZN &amp; CHILL'!B2948,"AAAAAH/9Nmw=")</f>
        <v>#VALUE!</v>
      </c>
      <c r="DF371" t="e">
        <f>AND('STERLING CATALOG - FZN &amp; CHILL'!C2948,"AAAAAH/9Nm0=")</f>
        <v>#VALUE!</v>
      </c>
      <c r="DG371" t="e">
        <f>AND('STERLING CATALOG - FZN &amp; CHILL'!D2948,"AAAAAH/9Nm4=")</f>
        <v>#VALUE!</v>
      </c>
      <c r="DH371" t="e">
        <f>AND('STERLING CATALOG - FZN &amp; CHILL'!E2948,"AAAAAH/9Nm8=")</f>
        <v>#VALUE!</v>
      </c>
      <c r="DI371" t="e">
        <f>AND('STERLING CATALOG - FZN &amp; CHILL'!F2948,"AAAAAH/9NnA=")</f>
        <v>#VALUE!</v>
      </c>
      <c r="DJ371" t="e">
        <f>AND('STERLING CATALOG - FZN &amp; CHILL'!G2948,"AAAAAH/9NnE=")</f>
        <v>#VALUE!</v>
      </c>
      <c r="DK371" t="e">
        <f>AND('STERLING CATALOG - FZN &amp; CHILL'!H2948,"AAAAAH/9NnI=")</f>
        <v>#VALUE!</v>
      </c>
      <c r="DL371" t="e">
        <f>AND('STERLING CATALOG - FZN &amp; CHILL'!I2948,"AAAAAH/9NnM=")</f>
        <v>#VALUE!</v>
      </c>
      <c r="DM371" t="e">
        <f>AND('STERLING CATALOG - FZN &amp; CHILL'!J2948,"AAAAAH/9NnQ=")</f>
        <v>#VALUE!</v>
      </c>
      <c r="DN371">
        <f>IF('STERLING CATALOG - FZN &amp; CHILL'!2949:2949,"AAAAAH/9NnU=",0)</f>
        <v>0</v>
      </c>
      <c r="DO371" t="e">
        <f>AND('STERLING CATALOG - FZN &amp; CHILL'!A2949,"AAAAAH/9NnY=")</f>
        <v>#VALUE!</v>
      </c>
      <c r="DP371" t="e">
        <f>AND('STERLING CATALOG - FZN &amp; CHILL'!B2949,"AAAAAH/9Nnc=")</f>
        <v>#VALUE!</v>
      </c>
      <c r="DQ371" t="e">
        <f>AND('STERLING CATALOG - FZN &amp; CHILL'!C2949,"AAAAAH/9Nng=")</f>
        <v>#VALUE!</v>
      </c>
      <c r="DR371" t="e">
        <f>AND('STERLING CATALOG - FZN &amp; CHILL'!D2949,"AAAAAH/9Nnk=")</f>
        <v>#VALUE!</v>
      </c>
      <c r="DS371" t="e">
        <f>AND('STERLING CATALOG - FZN &amp; CHILL'!E2949,"AAAAAH/9Nno=")</f>
        <v>#VALUE!</v>
      </c>
      <c r="DT371" t="e">
        <f>AND('STERLING CATALOG - FZN &amp; CHILL'!F2949,"AAAAAH/9Nns=")</f>
        <v>#VALUE!</v>
      </c>
      <c r="DU371" t="e">
        <f>AND('STERLING CATALOG - FZN &amp; CHILL'!G2949,"AAAAAH/9Nnw=")</f>
        <v>#VALUE!</v>
      </c>
      <c r="DV371" t="e">
        <f>AND('STERLING CATALOG - FZN &amp; CHILL'!H2949,"AAAAAH/9Nn0=")</f>
        <v>#VALUE!</v>
      </c>
      <c r="DW371" t="e">
        <f>AND('STERLING CATALOG - FZN &amp; CHILL'!I2949,"AAAAAH/9Nn4=")</f>
        <v>#VALUE!</v>
      </c>
      <c r="DX371" t="e">
        <f>AND('STERLING CATALOG - FZN &amp; CHILL'!J2949,"AAAAAH/9Nn8=")</f>
        <v>#VALUE!</v>
      </c>
      <c r="DY371">
        <f>IF('STERLING CATALOG - FZN &amp; CHILL'!2950:2950,"AAAAAH/9NoA=",0)</f>
        <v>0</v>
      </c>
      <c r="DZ371" t="e">
        <f>AND('STERLING CATALOG - FZN &amp; CHILL'!A2950,"AAAAAH/9NoE=")</f>
        <v>#VALUE!</v>
      </c>
      <c r="EA371" t="e">
        <f>AND('STERLING CATALOG - FZN &amp; CHILL'!B2950,"AAAAAH/9NoI=")</f>
        <v>#VALUE!</v>
      </c>
      <c r="EB371" t="e">
        <f>AND('STERLING CATALOG - FZN &amp; CHILL'!C2950,"AAAAAH/9NoM=")</f>
        <v>#VALUE!</v>
      </c>
      <c r="EC371" t="e">
        <f>AND('STERLING CATALOG - FZN &amp; CHILL'!D2950,"AAAAAH/9NoQ=")</f>
        <v>#VALUE!</v>
      </c>
      <c r="ED371" t="e">
        <f>AND('STERLING CATALOG - FZN &amp; CHILL'!E2950,"AAAAAH/9NoU=")</f>
        <v>#VALUE!</v>
      </c>
      <c r="EE371" t="e">
        <f>AND('STERLING CATALOG - FZN &amp; CHILL'!F2950,"AAAAAH/9NoY=")</f>
        <v>#VALUE!</v>
      </c>
      <c r="EF371" t="e">
        <f>AND('STERLING CATALOG - FZN &amp; CHILL'!G2950,"AAAAAH/9Noc=")</f>
        <v>#VALUE!</v>
      </c>
      <c r="EG371" t="e">
        <f>AND('STERLING CATALOG - FZN &amp; CHILL'!H2950,"AAAAAH/9Nog=")</f>
        <v>#VALUE!</v>
      </c>
      <c r="EH371" t="e">
        <f>AND('STERLING CATALOG - FZN &amp; CHILL'!I2950,"AAAAAH/9Nok=")</f>
        <v>#VALUE!</v>
      </c>
      <c r="EI371" t="e">
        <f>AND('STERLING CATALOG - FZN &amp; CHILL'!J2950,"AAAAAH/9Noo=")</f>
        <v>#VALUE!</v>
      </c>
      <c r="EJ371">
        <f>IF('STERLING CATALOG - FZN &amp; CHILL'!2951:2951,"AAAAAH/9Nos=",0)</f>
        <v>0</v>
      </c>
      <c r="EK371" t="e">
        <f>AND('STERLING CATALOG - FZN &amp; CHILL'!A2951,"AAAAAH/9Now=")</f>
        <v>#VALUE!</v>
      </c>
      <c r="EL371" t="e">
        <f>AND('STERLING CATALOG - FZN &amp; CHILL'!B2951,"AAAAAH/9No0=")</f>
        <v>#VALUE!</v>
      </c>
      <c r="EM371" t="e">
        <f>AND('STERLING CATALOG - FZN &amp; CHILL'!C2951,"AAAAAH/9No4=")</f>
        <v>#VALUE!</v>
      </c>
      <c r="EN371" t="e">
        <f>AND('STERLING CATALOG - FZN &amp; CHILL'!D2951,"AAAAAH/9No8=")</f>
        <v>#VALUE!</v>
      </c>
      <c r="EO371" t="e">
        <f>AND('STERLING CATALOG - FZN &amp; CHILL'!E2951,"AAAAAH/9NpA=")</f>
        <v>#VALUE!</v>
      </c>
      <c r="EP371" t="e">
        <f>AND('STERLING CATALOG - FZN &amp; CHILL'!F2951,"AAAAAH/9NpE=")</f>
        <v>#VALUE!</v>
      </c>
      <c r="EQ371" t="e">
        <f>AND('STERLING CATALOG - FZN &amp; CHILL'!G2951,"AAAAAH/9NpI=")</f>
        <v>#VALUE!</v>
      </c>
      <c r="ER371" t="e">
        <f>AND('STERLING CATALOG - FZN &amp; CHILL'!H2951,"AAAAAH/9NpM=")</f>
        <v>#VALUE!</v>
      </c>
      <c r="ES371" t="e">
        <f>AND('STERLING CATALOG - FZN &amp; CHILL'!I2951,"AAAAAH/9NpQ=")</f>
        <v>#VALUE!</v>
      </c>
      <c r="ET371" t="e">
        <f>AND('STERLING CATALOG - FZN &amp; CHILL'!J2951,"AAAAAH/9NpU=")</f>
        <v>#VALUE!</v>
      </c>
      <c r="EU371">
        <f>IF('STERLING CATALOG - FZN &amp; CHILL'!2952:2952,"AAAAAH/9NpY=",0)</f>
        <v>0</v>
      </c>
      <c r="EV371" t="e">
        <f>AND('STERLING CATALOG - FZN &amp; CHILL'!A2952,"AAAAAH/9Npc=")</f>
        <v>#VALUE!</v>
      </c>
      <c r="EW371" t="e">
        <f>AND('STERLING CATALOG - FZN &amp; CHILL'!B2952,"AAAAAH/9Npg=")</f>
        <v>#VALUE!</v>
      </c>
      <c r="EX371" t="e">
        <f>AND('STERLING CATALOG - FZN &amp; CHILL'!C2952,"AAAAAH/9Npk=")</f>
        <v>#VALUE!</v>
      </c>
      <c r="EY371" t="e">
        <f>AND('STERLING CATALOG - FZN &amp; CHILL'!D2952,"AAAAAH/9Npo=")</f>
        <v>#VALUE!</v>
      </c>
      <c r="EZ371" t="e">
        <f>AND('STERLING CATALOG - FZN &amp; CHILL'!E2952,"AAAAAH/9Nps=")</f>
        <v>#VALUE!</v>
      </c>
      <c r="FA371" t="e">
        <f>AND('STERLING CATALOG - FZN &amp; CHILL'!F2952,"AAAAAH/9Npw=")</f>
        <v>#VALUE!</v>
      </c>
      <c r="FB371" t="e">
        <f>AND('STERLING CATALOG - FZN &amp; CHILL'!G2952,"AAAAAH/9Np0=")</f>
        <v>#VALUE!</v>
      </c>
      <c r="FC371" t="e">
        <f>AND('STERLING CATALOG - FZN &amp; CHILL'!H2952,"AAAAAH/9Np4=")</f>
        <v>#VALUE!</v>
      </c>
      <c r="FD371" t="e">
        <f>AND('STERLING CATALOG - FZN &amp; CHILL'!I2952,"AAAAAH/9Np8=")</f>
        <v>#VALUE!</v>
      </c>
      <c r="FE371" t="e">
        <f>AND('STERLING CATALOG - FZN &amp; CHILL'!J2952,"AAAAAH/9NqA=")</f>
        <v>#VALUE!</v>
      </c>
      <c r="FF371">
        <f>IF('STERLING CATALOG - FZN &amp; CHILL'!2953:2953,"AAAAAH/9NqE=",0)</f>
        <v>0</v>
      </c>
      <c r="FG371" t="e">
        <f>AND('STERLING CATALOG - FZN &amp; CHILL'!A2953,"AAAAAH/9NqI=")</f>
        <v>#VALUE!</v>
      </c>
      <c r="FH371" t="e">
        <f>AND('STERLING CATALOG - FZN &amp; CHILL'!B2953,"AAAAAH/9NqM=")</f>
        <v>#VALUE!</v>
      </c>
      <c r="FI371" t="e">
        <f>AND('STERLING CATALOG - FZN &amp; CHILL'!C2953,"AAAAAH/9NqQ=")</f>
        <v>#VALUE!</v>
      </c>
      <c r="FJ371" t="e">
        <f>AND('STERLING CATALOG - FZN &amp; CHILL'!D2953,"AAAAAH/9NqU=")</f>
        <v>#VALUE!</v>
      </c>
      <c r="FK371" t="e">
        <f>AND('STERLING CATALOG - FZN &amp; CHILL'!E2953,"AAAAAH/9NqY=")</f>
        <v>#VALUE!</v>
      </c>
      <c r="FL371" t="e">
        <f>AND('STERLING CATALOG - FZN &amp; CHILL'!F2953,"AAAAAH/9Nqc=")</f>
        <v>#VALUE!</v>
      </c>
      <c r="FM371" t="e">
        <f>AND('STERLING CATALOG - FZN &amp; CHILL'!G2953,"AAAAAH/9Nqg=")</f>
        <v>#VALUE!</v>
      </c>
      <c r="FN371" t="e">
        <f>AND('STERLING CATALOG - FZN &amp; CHILL'!H2953,"AAAAAH/9Nqk=")</f>
        <v>#VALUE!</v>
      </c>
      <c r="FO371" t="e">
        <f>AND('STERLING CATALOG - FZN &amp; CHILL'!I2953,"AAAAAH/9Nqo=")</f>
        <v>#VALUE!</v>
      </c>
      <c r="FP371" t="e">
        <f>AND('STERLING CATALOG - FZN &amp; CHILL'!J2953,"AAAAAH/9Nqs=")</f>
        <v>#VALUE!</v>
      </c>
      <c r="FQ371">
        <f>IF('STERLING CATALOG - FZN &amp; CHILL'!2954:2954,"AAAAAH/9Nqw=",0)</f>
        <v>0</v>
      </c>
      <c r="FR371" t="e">
        <f>AND('STERLING CATALOG - FZN &amp; CHILL'!A2954,"AAAAAH/9Nq0=")</f>
        <v>#VALUE!</v>
      </c>
      <c r="FS371" t="e">
        <f>AND('STERLING CATALOG - FZN &amp; CHILL'!B2954,"AAAAAH/9Nq4=")</f>
        <v>#VALUE!</v>
      </c>
      <c r="FT371" t="e">
        <f>AND('STERLING CATALOG - FZN &amp; CHILL'!C2954,"AAAAAH/9Nq8=")</f>
        <v>#VALUE!</v>
      </c>
      <c r="FU371" t="e">
        <f>AND('STERLING CATALOG - FZN &amp; CHILL'!D2954,"AAAAAH/9NrA=")</f>
        <v>#VALUE!</v>
      </c>
      <c r="FV371" t="e">
        <f>AND('STERLING CATALOG - FZN &amp; CHILL'!E2954,"AAAAAH/9NrE=")</f>
        <v>#VALUE!</v>
      </c>
      <c r="FW371" t="e">
        <f>AND('STERLING CATALOG - FZN &amp; CHILL'!F2954,"AAAAAH/9NrI=")</f>
        <v>#VALUE!</v>
      </c>
      <c r="FX371" t="e">
        <f>AND('STERLING CATALOG - FZN &amp; CHILL'!G2954,"AAAAAH/9NrM=")</f>
        <v>#VALUE!</v>
      </c>
      <c r="FY371" t="e">
        <f>AND('STERLING CATALOG - FZN &amp; CHILL'!H2954,"AAAAAH/9NrQ=")</f>
        <v>#VALUE!</v>
      </c>
      <c r="FZ371" t="e">
        <f>AND('STERLING CATALOG - FZN &amp; CHILL'!I2954,"AAAAAH/9NrU=")</f>
        <v>#VALUE!</v>
      </c>
      <c r="GA371" t="e">
        <f>AND('STERLING CATALOG - FZN &amp; CHILL'!J2954,"AAAAAH/9NrY=")</f>
        <v>#VALUE!</v>
      </c>
      <c r="GB371">
        <f>IF('STERLING CATALOG - FZN &amp; CHILL'!2955:2955,"AAAAAH/9Nrc=",0)</f>
        <v>0</v>
      </c>
      <c r="GC371" t="e">
        <f>AND('STERLING CATALOG - FZN &amp; CHILL'!A2955,"AAAAAH/9Nrg=")</f>
        <v>#VALUE!</v>
      </c>
      <c r="GD371" t="e">
        <f>AND('STERLING CATALOG - FZN &amp; CHILL'!B2955,"AAAAAH/9Nrk=")</f>
        <v>#VALUE!</v>
      </c>
      <c r="GE371" t="e">
        <f>AND('STERLING CATALOG - FZN &amp; CHILL'!C2955,"AAAAAH/9Nro=")</f>
        <v>#VALUE!</v>
      </c>
      <c r="GF371" t="e">
        <f>AND('STERLING CATALOG - FZN &amp; CHILL'!D2955,"AAAAAH/9Nrs=")</f>
        <v>#VALUE!</v>
      </c>
      <c r="GG371" t="e">
        <f>AND('STERLING CATALOG - FZN &amp; CHILL'!E2955,"AAAAAH/9Nrw=")</f>
        <v>#VALUE!</v>
      </c>
      <c r="GH371" t="e">
        <f>AND('STERLING CATALOG - FZN &amp; CHILL'!F2955,"AAAAAH/9Nr0=")</f>
        <v>#VALUE!</v>
      </c>
      <c r="GI371" t="e">
        <f>AND('STERLING CATALOG - FZN &amp; CHILL'!G2955,"AAAAAH/9Nr4=")</f>
        <v>#VALUE!</v>
      </c>
      <c r="GJ371" t="e">
        <f>AND('STERLING CATALOG - FZN &amp; CHILL'!H2955,"AAAAAH/9Nr8=")</f>
        <v>#VALUE!</v>
      </c>
      <c r="GK371" t="e">
        <f>AND('STERLING CATALOG - FZN &amp; CHILL'!I2955,"AAAAAH/9NsA=")</f>
        <v>#VALUE!</v>
      </c>
      <c r="GL371" t="e">
        <f>AND('STERLING CATALOG - FZN &amp; CHILL'!J2955,"AAAAAH/9NsE=")</f>
        <v>#VALUE!</v>
      </c>
      <c r="GM371">
        <f>IF('STERLING CATALOG - FZN &amp; CHILL'!2956:2956,"AAAAAH/9NsI=",0)</f>
        <v>0</v>
      </c>
      <c r="GN371" t="e">
        <f>AND('STERLING CATALOG - FZN &amp; CHILL'!A2956,"AAAAAH/9NsM=")</f>
        <v>#VALUE!</v>
      </c>
      <c r="GO371" t="e">
        <f>AND('STERLING CATALOG - FZN &amp; CHILL'!B2956,"AAAAAH/9NsQ=")</f>
        <v>#VALUE!</v>
      </c>
      <c r="GP371" t="e">
        <f>AND('STERLING CATALOG - FZN &amp; CHILL'!C2956,"AAAAAH/9NsU=")</f>
        <v>#VALUE!</v>
      </c>
      <c r="GQ371" t="e">
        <f>AND('STERLING CATALOG - FZN &amp; CHILL'!D2956,"AAAAAH/9NsY=")</f>
        <v>#VALUE!</v>
      </c>
      <c r="GR371" t="e">
        <f>AND('STERLING CATALOG - FZN &amp; CHILL'!E2956,"AAAAAH/9Nsc=")</f>
        <v>#VALUE!</v>
      </c>
      <c r="GS371" t="e">
        <f>AND('STERLING CATALOG - FZN &amp; CHILL'!F2956,"AAAAAH/9Nsg=")</f>
        <v>#VALUE!</v>
      </c>
      <c r="GT371" t="e">
        <f>AND('STERLING CATALOG - FZN &amp; CHILL'!G2956,"AAAAAH/9Nsk=")</f>
        <v>#VALUE!</v>
      </c>
      <c r="GU371" t="e">
        <f>AND('STERLING CATALOG - FZN &amp; CHILL'!H2956,"AAAAAH/9Nso=")</f>
        <v>#VALUE!</v>
      </c>
      <c r="GV371" t="e">
        <f>AND('STERLING CATALOG - FZN &amp; CHILL'!I2956,"AAAAAH/9Nss=")</f>
        <v>#VALUE!</v>
      </c>
      <c r="GW371" t="e">
        <f>AND('STERLING CATALOG - FZN &amp; CHILL'!J2956,"AAAAAH/9Nsw=")</f>
        <v>#VALUE!</v>
      </c>
      <c r="GX371">
        <f>IF('STERLING CATALOG - FZN &amp; CHILL'!2957:2957,"AAAAAH/9Ns0=",0)</f>
        <v>0</v>
      </c>
      <c r="GY371" t="e">
        <f>AND('STERLING CATALOG - FZN &amp; CHILL'!A2957,"AAAAAH/9Ns4=")</f>
        <v>#VALUE!</v>
      </c>
      <c r="GZ371" t="e">
        <f>AND('STERLING CATALOG - FZN &amp; CHILL'!B2957,"AAAAAH/9Ns8=")</f>
        <v>#VALUE!</v>
      </c>
      <c r="HA371" t="e">
        <f>AND('STERLING CATALOG - FZN &amp; CHILL'!C2957,"AAAAAH/9NtA=")</f>
        <v>#VALUE!</v>
      </c>
      <c r="HB371" t="e">
        <f>AND('STERLING CATALOG - FZN &amp; CHILL'!D2957,"AAAAAH/9NtE=")</f>
        <v>#VALUE!</v>
      </c>
      <c r="HC371" t="e">
        <f>AND('STERLING CATALOG - FZN &amp; CHILL'!E2957,"AAAAAH/9NtI=")</f>
        <v>#VALUE!</v>
      </c>
      <c r="HD371" t="e">
        <f>AND('STERLING CATALOG - FZN &amp; CHILL'!F2957,"AAAAAH/9NtM=")</f>
        <v>#VALUE!</v>
      </c>
      <c r="HE371" t="e">
        <f>AND('STERLING CATALOG - FZN &amp; CHILL'!G2957,"AAAAAH/9NtQ=")</f>
        <v>#VALUE!</v>
      </c>
      <c r="HF371" t="e">
        <f>AND('STERLING CATALOG - FZN &amp; CHILL'!H2957,"AAAAAH/9NtU=")</f>
        <v>#VALUE!</v>
      </c>
      <c r="HG371" t="e">
        <f>AND('STERLING CATALOG - FZN &amp; CHILL'!I2957,"AAAAAH/9NtY=")</f>
        <v>#VALUE!</v>
      </c>
      <c r="HH371" t="e">
        <f>AND('STERLING CATALOG - FZN &amp; CHILL'!J2957,"AAAAAH/9Ntc=")</f>
        <v>#VALUE!</v>
      </c>
      <c r="HI371">
        <f>IF('STERLING CATALOG - FZN &amp; CHILL'!2958:2958,"AAAAAH/9Ntg=",0)</f>
        <v>0</v>
      </c>
      <c r="HJ371" t="e">
        <f>AND('STERLING CATALOG - FZN &amp; CHILL'!A2958,"AAAAAH/9Ntk=")</f>
        <v>#VALUE!</v>
      </c>
      <c r="HK371" t="e">
        <f>AND('STERLING CATALOG - FZN &amp; CHILL'!B2958,"AAAAAH/9Nto=")</f>
        <v>#VALUE!</v>
      </c>
      <c r="HL371" t="e">
        <f>AND('STERLING CATALOG - FZN &amp; CHILL'!C2958,"AAAAAH/9Nts=")</f>
        <v>#VALUE!</v>
      </c>
      <c r="HM371" t="e">
        <f>AND('STERLING CATALOG - FZN &amp; CHILL'!D2958,"AAAAAH/9Ntw=")</f>
        <v>#VALUE!</v>
      </c>
      <c r="HN371" t="e">
        <f>AND('STERLING CATALOG - FZN &amp; CHILL'!E2958,"AAAAAH/9Nt0=")</f>
        <v>#VALUE!</v>
      </c>
      <c r="HO371" t="e">
        <f>AND('STERLING CATALOG - FZN &amp; CHILL'!F2958,"AAAAAH/9Nt4=")</f>
        <v>#VALUE!</v>
      </c>
      <c r="HP371" t="e">
        <f>AND('STERLING CATALOG - FZN &amp; CHILL'!G2958,"AAAAAH/9Nt8=")</f>
        <v>#VALUE!</v>
      </c>
      <c r="HQ371" t="e">
        <f>AND('STERLING CATALOG - FZN &amp; CHILL'!H2958,"AAAAAH/9NuA=")</f>
        <v>#VALUE!</v>
      </c>
      <c r="HR371" t="e">
        <f>AND('STERLING CATALOG - FZN &amp; CHILL'!I2958,"AAAAAH/9NuE=")</f>
        <v>#VALUE!</v>
      </c>
      <c r="HS371" t="e">
        <f>AND('STERLING CATALOG - FZN &amp; CHILL'!J2958,"AAAAAH/9NuI=")</f>
        <v>#VALUE!</v>
      </c>
      <c r="HT371">
        <f>IF('STERLING CATALOG - FZN &amp; CHILL'!2959:2959,"AAAAAH/9NuM=",0)</f>
        <v>0</v>
      </c>
      <c r="HU371" t="e">
        <f>AND('STERLING CATALOG - FZN &amp; CHILL'!A2959,"AAAAAH/9NuQ=")</f>
        <v>#VALUE!</v>
      </c>
      <c r="HV371" t="e">
        <f>AND('STERLING CATALOG - FZN &amp; CHILL'!B2959,"AAAAAH/9NuU=")</f>
        <v>#VALUE!</v>
      </c>
      <c r="HW371" t="e">
        <f>AND('STERLING CATALOG - FZN &amp; CHILL'!C2959,"AAAAAH/9NuY=")</f>
        <v>#VALUE!</v>
      </c>
      <c r="HX371" t="e">
        <f>AND('STERLING CATALOG - FZN &amp; CHILL'!D2959,"AAAAAH/9Nuc=")</f>
        <v>#VALUE!</v>
      </c>
      <c r="HY371" t="e">
        <f>AND('STERLING CATALOG - FZN &amp; CHILL'!E2959,"AAAAAH/9Nug=")</f>
        <v>#VALUE!</v>
      </c>
      <c r="HZ371" t="e">
        <f>AND('STERLING CATALOG - FZN &amp; CHILL'!F2959,"AAAAAH/9Nuk=")</f>
        <v>#VALUE!</v>
      </c>
      <c r="IA371" t="e">
        <f>AND('STERLING CATALOG - FZN &amp; CHILL'!G2959,"AAAAAH/9Nuo=")</f>
        <v>#VALUE!</v>
      </c>
      <c r="IB371" t="e">
        <f>AND('STERLING CATALOG - FZN &amp; CHILL'!H2959,"AAAAAH/9Nus=")</f>
        <v>#VALUE!</v>
      </c>
      <c r="IC371" t="e">
        <f>AND('STERLING CATALOG - FZN &amp; CHILL'!I2959,"AAAAAH/9Nuw=")</f>
        <v>#VALUE!</v>
      </c>
      <c r="ID371" t="e">
        <f>AND('STERLING CATALOG - FZN &amp; CHILL'!J2959,"AAAAAH/9Nu0=")</f>
        <v>#VALUE!</v>
      </c>
      <c r="IE371">
        <f>IF('STERLING CATALOG - FZN &amp; CHILL'!2960:2960,"AAAAAH/9Nu4=",0)</f>
        <v>0</v>
      </c>
      <c r="IF371" t="e">
        <f>AND('STERLING CATALOG - FZN &amp; CHILL'!A2960,"AAAAAH/9Nu8=")</f>
        <v>#VALUE!</v>
      </c>
      <c r="IG371" t="e">
        <f>AND('STERLING CATALOG - FZN &amp; CHILL'!B2960,"AAAAAH/9NvA=")</f>
        <v>#VALUE!</v>
      </c>
      <c r="IH371" t="e">
        <f>AND('STERLING CATALOG - FZN &amp; CHILL'!C2960,"AAAAAH/9NvE=")</f>
        <v>#VALUE!</v>
      </c>
      <c r="II371" t="e">
        <f>AND('STERLING CATALOG - FZN &amp; CHILL'!D2960,"AAAAAH/9NvI=")</f>
        <v>#VALUE!</v>
      </c>
      <c r="IJ371" t="e">
        <f>AND('STERLING CATALOG - FZN &amp; CHILL'!E2960,"AAAAAH/9NvM=")</f>
        <v>#VALUE!</v>
      </c>
      <c r="IK371" t="e">
        <f>AND('STERLING CATALOG - FZN &amp; CHILL'!F2960,"AAAAAH/9NvQ=")</f>
        <v>#VALUE!</v>
      </c>
      <c r="IL371" t="e">
        <f>AND('STERLING CATALOG - FZN &amp; CHILL'!G2960,"AAAAAH/9NvU=")</f>
        <v>#VALUE!</v>
      </c>
      <c r="IM371" t="e">
        <f>AND('STERLING CATALOG - FZN &amp; CHILL'!H2960,"AAAAAH/9NvY=")</f>
        <v>#VALUE!</v>
      </c>
      <c r="IN371" t="e">
        <f>AND('STERLING CATALOG - FZN &amp; CHILL'!I2960,"AAAAAH/9Nvc=")</f>
        <v>#VALUE!</v>
      </c>
      <c r="IO371" t="e">
        <f>AND('STERLING CATALOG - FZN &amp; CHILL'!J2960,"AAAAAH/9Nvg=")</f>
        <v>#VALUE!</v>
      </c>
      <c r="IP371">
        <f>IF('STERLING CATALOG - FZN &amp; CHILL'!2961:2961,"AAAAAH/9Nvk=",0)</f>
        <v>0</v>
      </c>
      <c r="IQ371" t="e">
        <f>AND('STERLING CATALOG - FZN &amp; CHILL'!A2961,"AAAAAH/9Nvo=")</f>
        <v>#VALUE!</v>
      </c>
      <c r="IR371" t="e">
        <f>AND('STERLING CATALOG - FZN &amp; CHILL'!B2961,"AAAAAH/9Nvs=")</f>
        <v>#VALUE!</v>
      </c>
      <c r="IS371" t="e">
        <f>AND('STERLING CATALOG - FZN &amp; CHILL'!C2961,"AAAAAH/9Nvw=")</f>
        <v>#VALUE!</v>
      </c>
      <c r="IT371" t="e">
        <f>AND('STERLING CATALOG - FZN &amp; CHILL'!D2961,"AAAAAH/9Nv0=")</f>
        <v>#VALUE!</v>
      </c>
      <c r="IU371" t="e">
        <f>AND('STERLING CATALOG - FZN &amp; CHILL'!E2961,"AAAAAH/9Nv4=")</f>
        <v>#VALUE!</v>
      </c>
      <c r="IV371" t="e">
        <f>AND('STERLING CATALOG - FZN &amp; CHILL'!F2961,"AAAAAH/9Nv8=")</f>
        <v>#VALUE!</v>
      </c>
    </row>
    <row r="372" spans="1:256">
      <c r="A372" t="e">
        <f>AND('STERLING CATALOG - FZN &amp; CHILL'!G2961,"AAAAAG///wA=")</f>
        <v>#VALUE!</v>
      </c>
      <c r="B372" t="e">
        <f>AND('STERLING CATALOG - FZN &amp; CHILL'!H2961,"AAAAAG///wE=")</f>
        <v>#VALUE!</v>
      </c>
      <c r="C372" t="e">
        <f>AND('STERLING CATALOG - FZN &amp; CHILL'!I2961,"AAAAAG///wI=")</f>
        <v>#VALUE!</v>
      </c>
      <c r="D372" t="e">
        <f>AND('STERLING CATALOG - FZN &amp; CHILL'!J2961,"AAAAAG///wM=")</f>
        <v>#VALUE!</v>
      </c>
      <c r="E372" t="e">
        <f>IF('STERLING CATALOG - FZN &amp; CHILL'!2962:2962,"AAAAAG///wQ=",0)</f>
        <v>#VALUE!</v>
      </c>
      <c r="F372" t="e">
        <f>AND('STERLING CATALOG - FZN &amp; CHILL'!A2962,"AAAAAG///wU=")</f>
        <v>#VALUE!</v>
      </c>
      <c r="G372" t="e">
        <f>AND('STERLING CATALOG - FZN &amp; CHILL'!B2962,"AAAAAG///wY=")</f>
        <v>#VALUE!</v>
      </c>
      <c r="H372" t="e">
        <f>AND('STERLING CATALOG - FZN &amp; CHILL'!C2962,"AAAAAG///wc=")</f>
        <v>#VALUE!</v>
      </c>
      <c r="I372" t="e">
        <f>AND('STERLING CATALOG - FZN &amp; CHILL'!D2962,"AAAAAG///wg=")</f>
        <v>#VALUE!</v>
      </c>
      <c r="J372" t="e">
        <f>AND('STERLING CATALOG - FZN &amp; CHILL'!E2962,"AAAAAG///wk=")</f>
        <v>#VALUE!</v>
      </c>
      <c r="K372" t="e">
        <f>AND('STERLING CATALOG - FZN &amp; CHILL'!F2962,"AAAAAG///wo=")</f>
        <v>#VALUE!</v>
      </c>
      <c r="L372" t="e">
        <f>AND('STERLING CATALOG - FZN &amp; CHILL'!G2962,"AAAAAG///ws=")</f>
        <v>#VALUE!</v>
      </c>
      <c r="M372" t="e">
        <f>AND('STERLING CATALOG - FZN &amp; CHILL'!H2962,"AAAAAG///ww=")</f>
        <v>#VALUE!</v>
      </c>
      <c r="N372" t="e">
        <f>AND('STERLING CATALOG - FZN &amp; CHILL'!I2962,"AAAAAG///w0=")</f>
        <v>#VALUE!</v>
      </c>
      <c r="O372" t="e">
        <f>AND('STERLING CATALOG - FZN &amp; CHILL'!J2962,"AAAAAG///w4=")</f>
        <v>#VALUE!</v>
      </c>
      <c r="P372">
        <f>IF('STERLING CATALOG - FZN &amp; CHILL'!2963:2963,"AAAAAG///w8=",0)</f>
        <v>0</v>
      </c>
      <c r="Q372" t="e">
        <f>AND('STERLING CATALOG - FZN &amp; CHILL'!A2963,"AAAAAG///xA=")</f>
        <v>#VALUE!</v>
      </c>
      <c r="R372" t="e">
        <f>AND('STERLING CATALOG - FZN &amp; CHILL'!B2963,"AAAAAG///xE=")</f>
        <v>#VALUE!</v>
      </c>
      <c r="S372" t="e">
        <f>AND('STERLING CATALOG - FZN &amp; CHILL'!C2963,"AAAAAG///xI=")</f>
        <v>#VALUE!</v>
      </c>
      <c r="T372" t="e">
        <f>AND('STERLING CATALOG - FZN &amp; CHILL'!D2963,"AAAAAG///xM=")</f>
        <v>#VALUE!</v>
      </c>
      <c r="U372" t="e">
        <f>AND('STERLING CATALOG - FZN &amp; CHILL'!E2963,"AAAAAG///xQ=")</f>
        <v>#VALUE!</v>
      </c>
      <c r="V372" t="e">
        <f>AND('STERLING CATALOG - FZN &amp; CHILL'!F2963,"AAAAAG///xU=")</f>
        <v>#VALUE!</v>
      </c>
      <c r="W372" t="e">
        <f>AND('STERLING CATALOG - FZN &amp; CHILL'!G2963,"AAAAAG///xY=")</f>
        <v>#VALUE!</v>
      </c>
      <c r="X372" t="e">
        <f>AND('STERLING CATALOG - FZN &amp; CHILL'!H2963,"AAAAAG///xc=")</f>
        <v>#VALUE!</v>
      </c>
      <c r="Y372" t="e">
        <f>AND('STERLING CATALOG - FZN &amp; CHILL'!I2963,"AAAAAG///xg=")</f>
        <v>#VALUE!</v>
      </c>
      <c r="Z372" t="e">
        <f>AND('STERLING CATALOG - FZN &amp; CHILL'!J2963,"AAAAAG///xk=")</f>
        <v>#VALUE!</v>
      </c>
      <c r="AA372">
        <f>IF('STERLING CATALOG - FZN &amp; CHILL'!2964:2964,"AAAAAG///xo=",0)</f>
        <v>0</v>
      </c>
      <c r="AB372" t="e">
        <f>AND('STERLING CATALOG - FZN &amp; CHILL'!A2964,"AAAAAG///xs=")</f>
        <v>#VALUE!</v>
      </c>
      <c r="AC372" t="e">
        <f>AND('STERLING CATALOG - FZN &amp; CHILL'!B2964,"AAAAAG///xw=")</f>
        <v>#VALUE!</v>
      </c>
      <c r="AD372" t="e">
        <f>AND('STERLING CATALOG - FZN &amp; CHILL'!C2964,"AAAAAG///x0=")</f>
        <v>#VALUE!</v>
      </c>
      <c r="AE372" t="e">
        <f>AND('STERLING CATALOG - FZN &amp; CHILL'!D2964,"AAAAAG///x4=")</f>
        <v>#VALUE!</v>
      </c>
      <c r="AF372" t="e">
        <f>AND('STERLING CATALOG - FZN &amp; CHILL'!E2964,"AAAAAG///x8=")</f>
        <v>#VALUE!</v>
      </c>
      <c r="AG372" t="e">
        <f>AND('STERLING CATALOG - FZN &amp; CHILL'!F2964,"AAAAAG///yA=")</f>
        <v>#VALUE!</v>
      </c>
      <c r="AH372" t="e">
        <f>AND('STERLING CATALOG - FZN &amp; CHILL'!G2964,"AAAAAG///yE=")</f>
        <v>#VALUE!</v>
      </c>
      <c r="AI372" t="e">
        <f>AND('STERLING CATALOG - FZN &amp; CHILL'!H2964,"AAAAAG///yI=")</f>
        <v>#VALUE!</v>
      </c>
      <c r="AJ372" t="e">
        <f>AND('STERLING CATALOG - FZN &amp; CHILL'!I2964,"AAAAAG///yM=")</f>
        <v>#VALUE!</v>
      </c>
      <c r="AK372" t="e">
        <f>AND('STERLING CATALOG - FZN &amp; CHILL'!J2964,"AAAAAG///yQ=")</f>
        <v>#VALUE!</v>
      </c>
      <c r="AL372">
        <f>IF('STERLING CATALOG - FZN &amp; CHILL'!2965:2965,"AAAAAG///yU=",0)</f>
        <v>0</v>
      </c>
      <c r="AM372" t="e">
        <f>AND('STERLING CATALOG - FZN &amp; CHILL'!A2965,"AAAAAG///yY=")</f>
        <v>#VALUE!</v>
      </c>
      <c r="AN372" t="e">
        <f>AND('STERLING CATALOG - FZN &amp; CHILL'!B2965,"AAAAAG///yc=")</f>
        <v>#VALUE!</v>
      </c>
      <c r="AO372" t="e">
        <f>AND('STERLING CATALOG - FZN &amp; CHILL'!C2965,"AAAAAG///yg=")</f>
        <v>#VALUE!</v>
      </c>
      <c r="AP372" t="e">
        <f>AND('STERLING CATALOG - FZN &amp; CHILL'!D2965,"AAAAAG///yk=")</f>
        <v>#VALUE!</v>
      </c>
      <c r="AQ372" t="e">
        <f>AND('STERLING CATALOG - FZN &amp; CHILL'!E2965,"AAAAAG///yo=")</f>
        <v>#VALUE!</v>
      </c>
      <c r="AR372" t="e">
        <f>AND('STERLING CATALOG - FZN &amp; CHILL'!F2965,"AAAAAG///ys=")</f>
        <v>#VALUE!</v>
      </c>
      <c r="AS372" t="e">
        <f>AND('STERLING CATALOG - FZN &amp; CHILL'!G2965,"AAAAAG///yw=")</f>
        <v>#VALUE!</v>
      </c>
      <c r="AT372" t="e">
        <f>AND('STERLING CATALOG - FZN &amp; CHILL'!H2965,"AAAAAG///y0=")</f>
        <v>#VALUE!</v>
      </c>
      <c r="AU372" t="e">
        <f>AND('STERLING CATALOG - FZN &amp; CHILL'!I2965,"AAAAAG///y4=")</f>
        <v>#VALUE!</v>
      </c>
      <c r="AV372" t="e">
        <f>AND('STERLING CATALOG - FZN &amp; CHILL'!J2965,"AAAAAG///y8=")</f>
        <v>#VALUE!</v>
      </c>
      <c r="AW372">
        <f>IF('STERLING CATALOG - FZN &amp; CHILL'!2966:2966,"AAAAAG///zA=",0)</f>
        <v>0</v>
      </c>
      <c r="AX372" t="e">
        <f>AND('STERLING CATALOG - FZN &amp; CHILL'!A2966,"AAAAAG///zE=")</f>
        <v>#VALUE!</v>
      </c>
      <c r="AY372" t="e">
        <f>AND('STERLING CATALOG - FZN &amp; CHILL'!B2966,"AAAAAG///zI=")</f>
        <v>#VALUE!</v>
      </c>
      <c r="AZ372" t="e">
        <f>AND('STERLING CATALOG - FZN &amp; CHILL'!C2966,"AAAAAG///zM=")</f>
        <v>#VALUE!</v>
      </c>
      <c r="BA372" t="e">
        <f>AND('STERLING CATALOG - FZN &amp; CHILL'!D2966,"AAAAAG///zQ=")</f>
        <v>#VALUE!</v>
      </c>
      <c r="BB372" t="e">
        <f>AND('STERLING CATALOG - FZN &amp; CHILL'!E2966,"AAAAAG///zU=")</f>
        <v>#VALUE!</v>
      </c>
      <c r="BC372" t="e">
        <f>AND('STERLING CATALOG - FZN &amp; CHILL'!F2966,"AAAAAG///zY=")</f>
        <v>#VALUE!</v>
      </c>
      <c r="BD372" t="e">
        <f>AND('STERLING CATALOG - FZN &amp; CHILL'!G2966,"AAAAAG///zc=")</f>
        <v>#VALUE!</v>
      </c>
      <c r="BE372" t="e">
        <f>AND('STERLING CATALOG - FZN &amp; CHILL'!H2966,"AAAAAG///zg=")</f>
        <v>#VALUE!</v>
      </c>
      <c r="BF372" t="e">
        <f>AND('STERLING CATALOG - FZN &amp; CHILL'!I2966,"AAAAAG///zk=")</f>
        <v>#VALUE!</v>
      </c>
      <c r="BG372" t="e">
        <f>AND('STERLING CATALOG - FZN &amp; CHILL'!J2966,"AAAAAG///zo=")</f>
        <v>#VALUE!</v>
      </c>
      <c r="BH372">
        <f>IF('STERLING CATALOG - FZN &amp; CHILL'!2967:2967,"AAAAAG///zs=",0)</f>
        <v>0</v>
      </c>
      <c r="BI372" t="e">
        <f>AND('STERLING CATALOG - FZN &amp; CHILL'!A2967,"AAAAAG///zw=")</f>
        <v>#VALUE!</v>
      </c>
      <c r="BJ372" t="e">
        <f>AND('STERLING CATALOG - FZN &amp; CHILL'!B2967,"AAAAAG///z0=")</f>
        <v>#VALUE!</v>
      </c>
      <c r="BK372" t="e">
        <f>AND('STERLING CATALOG - FZN &amp; CHILL'!C2967,"AAAAAG///z4=")</f>
        <v>#VALUE!</v>
      </c>
      <c r="BL372" t="e">
        <f>AND('STERLING CATALOG - FZN &amp; CHILL'!D2967,"AAAAAG///z8=")</f>
        <v>#VALUE!</v>
      </c>
      <c r="BM372" t="e">
        <f>AND('STERLING CATALOG - FZN &amp; CHILL'!E2967,"AAAAAG///0A=")</f>
        <v>#VALUE!</v>
      </c>
      <c r="BN372" t="e">
        <f>AND('STERLING CATALOG - FZN &amp; CHILL'!F2967,"AAAAAG///0E=")</f>
        <v>#VALUE!</v>
      </c>
      <c r="BO372" t="e">
        <f>AND('STERLING CATALOG - FZN &amp; CHILL'!G2967,"AAAAAG///0I=")</f>
        <v>#VALUE!</v>
      </c>
      <c r="BP372" t="e">
        <f>AND('STERLING CATALOG - FZN &amp; CHILL'!H2967,"AAAAAG///0M=")</f>
        <v>#VALUE!</v>
      </c>
      <c r="BQ372" t="e">
        <f>AND('STERLING CATALOG - FZN &amp; CHILL'!I2967,"AAAAAG///0Q=")</f>
        <v>#VALUE!</v>
      </c>
      <c r="BR372" t="e">
        <f>AND('STERLING CATALOG - FZN &amp; CHILL'!J2967,"AAAAAG///0U=")</f>
        <v>#VALUE!</v>
      </c>
      <c r="BS372">
        <f>IF('STERLING CATALOG - FZN &amp; CHILL'!2968:2968,"AAAAAG///0Y=",0)</f>
        <v>0</v>
      </c>
      <c r="BT372" t="e">
        <f>AND('STERLING CATALOG - FZN &amp; CHILL'!A2968,"AAAAAG///0c=")</f>
        <v>#VALUE!</v>
      </c>
      <c r="BU372" t="e">
        <f>AND('STERLING CATALOG - FZN &amp; CHILL'!B2968,"AAAAAG///0g=")</f>
        <v>#VALUE!</v>
      </c>
      <c r="BV372" t="e">
        <f>AND('STERLING CATALOG - FZN &amp; CHILL'!C2968,"AAAAAG///0k=")</f>
        <v>#VALUE!</v>
      </c>
      <c r="BW372" t="e">
        <f>AND('STERLING CATALOG - FZN &amp; CHILL'!D2968,"AAAAAG///0o=")</f>
        <v>#VALUE!</v>
      </c>
      <c r="BX372" t="e">
        <f>AND('STERLING CATALOG - FZN &amp; CHILL'!E2968,"AAAAAG///0s=")</f>
        <v>#VALUE!</v>
      </c>
      <c r="BY372" t="e">
        <f>AND('STERLING CATALOG - FZN &amp; CHILL'!F2968,"AAAAAG///0w=")</f>
        <v>#VALUE!</v>
      </c>
      <c r="BZ372" t="e">
        <f>AND('STERLING CATALOG - FZN &amp; CHILL'!G2968,"AAAAAG///00=")</f>
        <v>#VALUE!</v>
      </c>
      <c r="CA372" t="e">
        <f>AND('STERLING CATALOG - FZN &amp; CHILL'!H2968,"AAAAAG///04=")</f>
        <v>#VALUE!</v>
      </c>
      <c r="CB372" t="e">
        <f>AND('STERLING CATALOG - FZN &amp; CHILL'!I2968,"AAAAAG///08=")</f>
        <v>#VALUE!</v>
      </c>
      <c r="CC372" t="e">
        <f>AND('STERLING CATALOG - FZN &amp; CHILL'!J2968,"AAAAAG///1A=")</f>
        <v>#VALUE!</v>
      </c>
      <c r="CD372">
        <f>IF('STERLING CATALOG - FZN &amp; CHILL'!2969:2969,"AAAAAG///1E=",0)</f>
        <v>0</v>
      </c>
      <c r="CE372" t="e">
        <f>AND('STERLING CATALOG - FZN &amp; CHILL'!A2969,"AAAAAG///1I=")</f>
        <v>#VALUE!</v>
      </c>
      <c r="CF372" t="e">
        <f>AND('STERLING CATALOG - FZN &amp; CHILL'!B2969,"AAAAAG///1M=")</f>
        <v>#VALUE!</v>
      </c>
      <c r="CG372" t="e">
        <f>AND('STERLING CATALOG - FZN &amp; CHILL'!C2969,"AAAAAG///1Q=")</f>
        <v>#VALUE!</v>
      </c>
      <c r="CH372" t="e">
        <f>AND('STERLING CATALOG - FZN &amp; CHILL'!D2969,"AAAAAG///1U=")</f>
        <v>#VALUE!</v>
      </c>
      <c r="CI372" t="e">
        <f>AND('STERLING CATALOG - FZN &amp; CHILL'!E2969,"AAAAAG///1Y=")</f>
        <v>#VALUE!</v>
      </c>
      <c r="CJ372" t="e">
        <f>AND('STERLING CATALOG - FZN &amp; CHILL'!F2969,"AAAAAG///1c=")</f>
        <v>#VALUE!</v>
      </c>
      <c r="CK372" t="e">
        <f>AND('STERLING CATALOG - FZN &amp; CHILL'!G2969,"AAAAAG///1g=")</f>
        <v>#VALUE!</v>
      </c>
      <c r="CL372" t="e">
        <f>AND('STERLING CATALOG - FZN &amp; CHILL'!H2969,"AAAAAG///1k=")</f>
        <v>#VALUE!</v>
      </c>
      <c r="CM372" t="e">
        <f>AND('STERLING CATALOG - FZN &amp; CHILL'!I2969,"AAAAAG///1o=")</f>
        <v>#VALUE!</v>
      </c>
      <c r="CN372" t="e">
        <f>AND('STERLING CATALOG - FZN &amp; CHILL'!J2969,"AAAAAG///1s=")</f>
        <v>#VALUE!</v>
      </c>
      <c r="CO372">
        <f>IF('STERLING CATALOG - FZN &amp; CHILL'!2970:2970,"AAAAAG///1w=",0)</f>
        <v>0</v>
      </c>
      <c r="CP372" t="e">
        <f>AND('STERLING CATALOG - FZN &amp; CHILL'!A2970,"AAAAAG///10=")</f>
        <v>#VALUE!</v>
      </c>
      <c r="CQ372" t="e">
        <f>AND('STERLING CATALOG - FZN &amp; CHILL'!B2970,"AAAAAG///14=")</f>
        <v>#VALUE!</v>
      </c>
      <c r="CR372" t="e">
        <f>AND('STERLING CATALOG - FZN &amp; CHILL'!C2970,"AAAAAG///18=")</f>
        <v>#VALUE!</v>
      </c>
      <c r="CS372" t="e">
        <f>AND('STERLING CATALOG - FZN &amp; CHILL'!D2970,"AAAAAG///2A=")</f>
        <v>#VALUE!</v>
      </c>
      <c r="CT372" t="e">
        <f>AND('STERLING CATALOG - FZN &amp; CHILL'!E2970,"AAAAAG///2E=")</f>
        <v>#VALUE!</v>
      </c>
      <c r="CU372" t="e">
        <f>AND('STERLING CATALOG - FZN &amp; CHILL'!F2970,"AAAAAG///2I=")</f>
        <v>#VALUE!</v>
      </c>
      <c r="CV372" t="e">
        <f>AND('STERLING CATALOG - FZN &amp; CHILL'!G2970,"AAAAAG///2M=")</f>
        <v>#VALUE!</v>
      </c>
      <c r="CW372" t="e">
        <f>AND('STERLING CATALOG - FZN &amp; CHILL'!H2970,"AAAAAG///2Q=")</f>
        <v>#VALUE!</v>
      </c>
      <c r="CX372" t="e">
        <f>AND('STERLING CATALOG - FZN &amp; CHILL'!I2970,"AAAAAG///2U=")</f>
        <v>#VALUE!</v>
      </c>
      <c r="CY372" t="e">
        <f>AND('STERLING CATALOG - FZN &amp; CHILL'!J2970,"AAAAAG///2Y=")</f>
        <v>#VALUE!</v>
      </c>
      <c r="CZ372">
        <f>IF('STERLING CATALOG - FZN &amp; CHILL'!2971:2971,"AAAAAG///2c=",0)</f>
        <v>0</v>
      </c>
      <c r="DA372" t="e">
        <f>AND('STERLING CATALOG - FZN &amp; CHILL'!A2971,"AAAAAG///2g=")</f>
        <v>#VALUE!</v>
      </c>
      <c r="DB372" t="e">
        <f>AND('STERLING CATALOG - FZN &amp; CHILL'!B2971,"AAAAAG///2k=")</f>
        <v>#VALUE!</v>
      </c>
      <c r="DC372" t="e">
        <f>AND('STERLING CATALOG - FZN &amp; CHILL'!C2971,"AAAAAG///2o=")</f>
        <v>#VALUE!</v>
      </c>
      <c r="DD372" t="e">
        <f>AND('STERLING CATALOG - FZN &amp; CHILL'!D2971,"AAAAAG///2s=")</f>
        <v>#VALUE!</v>
      </c>
      <c r="DE372" t="e">
        <f>AND('STERLING CATALOG - FZN &amp; CHILL'!E2971,"AAAAAG///2w=")</f>
        <v>#VALUE!</v>
      </c>
      <c r="DF372" t="e">
        <f>AND('STERLING CATALOG - FZN &amp; CHILL'!F2971,"AAAAAG///20=")</f>
        <v>#VALUE!</v>
      </c>
      <c r="DG372" t="e">
        <f>AND('STERLING CATALOG - FZN &amp; CHILL'!G2971,"AAAAAG///24=")</f>
        <v>#VALUE!</v>
      </c>
      <c r="DH372" t="e">
        <f>AND('STERLING CATALOG - FZN &amp; CHILL'!H2971,"AAAAAG///28=")</f>
        <v>#VALUE!</v>
      </c>
      <c r="DI372" t="e">
        <f>AND('STERLING CATALOG - FZN &amp; CHILL'!I2971,"AAAAAG///3A=")</f>
        <v>#VALUE!</v>
      </c>
      <c r="DJ372" t="e">
        <f>AND('STERLING CATALOG - FZN &amp; CHILL'!J2971,"AAAAAG///3E=")</f>
        <v>#VALUE!</v>
      </c>
      <c r="DK372">
        <f>IF('STERLING CATALOG - FZN &amp; CHILL'!2972:2972,"AAAAAG///3I=",0)</f>
        <v>0</v>
      </c>
      <c r="DL372" t="e">
        <f>AND('STERLING CATALOG - FZN &amp; CHILL'!A2972,"AAAAAG///3M=")</f>
        <v>#VALUE!</v>
      </c>
      <c r="DM372" t="e">
        <f>AND('STERLING CATALOG - FZN &amp; CHILL'!B2972,"AAAAAG///3Q=")</f>
        <v>#VALUE!</v>
      </c>
      <c r="DN372" t="e">
        <f>AND('STERLING CATALOG - FZN &amp; CHILL'!C2972,"AAAAAG///3U=")</f>
        <v>#VALUE!</v>
      </c>
      <c r="DO372" t="e">
        <f>AND('STERLING CATALOG - FZN &amp; CHILL'!D2972,"AAAAAG///3Y=")</f>
        <v>#VALUE!</v>
      </c>
      <c r="DP372" t="e">
        <f>AND('STERLING CATALOG - FZN &amp; CHILL'!E2972,"AAAAAG///3c=")</f>
        <v>#VALUE!</v>
      </c>
      <c r="DQ372" t="e">
        <f>AND('STERLING CATALOG - FZN &amp; CHILL'!F2972,"AAAAAG///3g=")</f>
        <v>#VALUE!</v>
      </c>
      <c r="DR372" t="e">
        <f>AND('STERLING CATALOG - FZN &amp; CHILL'!G2972,"AAAAAG///3k=")</f>
        <v>#VALUE!</v>
      </c>
      <c r="DS372" t="e">
        <f>AND('STERLING CATALOG - FZN &amp; CHILL'!H2972,"AAAAAG///3o=")</f>
        <v>#VALUE!</v>
      </c>
      <c r="DT372" t="e">
        <f>AND('STERLING CATALOG - FZN &amp; CHILL'!I2972,"AAAAAG///3s=")</f>
        <v>#VALUE!</v>
      </c>
      <c r="DU372" t="e">
        <f>AND('STERLING CATALOG - FZN &amp; CHILL'!J2972,"AAAAAG///3w=")</f>
        <v>#VALUE!</v>
      </c>
      <c r="DV372">
        <f>IF('STERLING CATALOG - FZN &amp; CHILL'!2973:2973,"AAAAAG///30=",0)</f>
        <v>0</v>
      </c>
      <c r="DW372" t="e">
        <f>AND('STERLING CATALOG - FZN &amp; CHILL'!A2973,"AAAAAG///34=")</f>
        <v>#VALUE!</v>
      </c>
      <c r="DX372" t="e">
        <f>AND('STERLING CATALOG - FZN &amp; CHILL'!B2973,"AAAAAG///38=")</f>
        <v>#VALUE!</v>
      </c>
      <c r="DY372" t="e">
        <f>AND('STERLING CATALOG - FZN &amp; CHILL'!C2973,"AAAAAG///4A=")</f>
        <v>#VALUE!</v>
      </c>
      <c r="DZ372" t="e">
        <f>AND('STERLING CATALOG - FZN &amp; CHILL'!D2973,"AAAAAG///4E=")</f>
        <v>#VALUE!</v>
      </c>
      <c r="EA372" t="e">
        <f>AND('STERLING CATALOG - FZN &amp; CHILL'!E2973,"AAAAAG///4I=")</f>
        <v>#VALUE!</v>
      </c>
      <c r="EB372" t="e">
        <f>AND('STERLING CATALOG - FZN &amp; CHILL'!F2973,"AAAAAG///4M=")</f>
        <v>#VALUE!</v>
      </c>
      <c r="EC372" t="e">
        <f>AND('STERLING CATALOG - FZN &amp; CHILL'!G2973,"AAAAAG///4Q=")</f>
        <v>#VALUE!</v>
      </c>
      <c r="ED372" t="e">
        <f>AND('STERLING CATALOG - FZN &amp; CHILL'!H2973,"AAAAAG///4U=")</f>
        <v>#VALUE!</v>
      </c>
      <c r="EE372" t="e">
        <f>AND('STERLING CATALOG - FZN &amp; CHILL'!I2973,"AAAAAG///4Y=")</f>
        <v>#VALUE!</v>
      </c>
      <c r="EF372" t="e">
        <f>AND('STERLING CATALOG - FZN &amp; CHILL'!J2973,"AAAAAG///4c=")</f>
        <v>#VALUE!</v>
      </c>
      <c r="EG372">
        <f>IF('STERLING CATALOG - FZN &amp; CHILL'!2974:2974,"AAAAAG///4g=",0)</f>
        <v>0</v>
      </c>
      <c r="EH372" t="e">
        <f>AND('STERLING CATALOG - FZN &amp; CHILL'!A2974,"AAAAAG///4k=")</f>
        <v>#VALUE!</v>
      </c>
      <c r="EI372" t="e">
        <f>AND('STERLING CATALOG - FZN &amp; CHILL'!B2974,"AAAAAG///4o=")</f>
        <v>#VALUE!</v>
      </c>
      <c r="EJ372" t="e">
        <f>AND('STERLING CATALOG - FZN &amp; CHILL'!C2974,"AAAAAG///4s=")</f>
        <v>#VALUE!</v>
      </c>
      <c r="EK372" t="e">
        <f>AND('STERLING CATALOG - FZN &amp; CHILL'!D2974,"AAAAAG///4w=")</f>
        <v>#VALUE!</v>
      </c>
      <c r="EL372" t="e">
        <f>AND('STERLING CATALOG - FZN &amp; CHILL'!E2974,"AAAAAG///40=")</f>
        <v>#VALUE!</v>
      </c>
      <c r="EM372" t="e">
        <f>AND('STERLING CATALOG - FZN &amp; CHILL'!F2974,"AAAAAG///44=")</f>
        <v>#VALUE!</v>
      </c>
      <c r="EN372" t="e">
        <f>AND('STERLING CATALOG - FZN &amp; CHILL'!G2974,"AAAAAG///48=")</f>
        <v>#VALUE!</v>
      </c>
      <c r="EO372" t="e">
        <f>AND('STERLING CATALOG - FZN &amp; CHILL'!H2974,"AAAAAG///5A=")</f>
        <v>#VALUE!</v>
      </c>
      <c r="EP372" t="e">
        <f>AND('STERLING CATALOG - FZN &amp; CHILL'!I2974,"AAAAAG///5E=")</f>
        <v>#VALUE!</v>
      </c>
      <c r="EQ372" t="e">
        <f>AND('STERLING CATALOG - FZN &amp; CHILL'!J2974,"AAAAAG///5I=")</f>
        <v>#VALUE!</v>
      </c>
      <c r="ER372">
        <f>IF('STERLING CATALOG - FZN &amp; CHILL'!2975:2975,"AAAAAG///5M=",0)</f>
        <v>0</v>
      </c>
      <c r="ES372" t="e">
        <f>AND('STERLING CATALOG - FZN &amp; CHILL'!A2975,"AAAAAG///5Q=")</f>
        <v>#VALUE!</v>
      </c>
      <c r="ET372" t="e">
        <f>AND('STERLING CATALOG - FZN &amp; CHILL'!B2975,"AAAAAG///5U=")</f>
        <v>#VALUE!</v>
      </c>
      <c r="EU372" t="e">
        <f>AND('STERLING CATALOG - FZN &amp; CHILL'!C2975,"AAAAAG///5Y=")</f>
        <v>#VALUE!</v>
      </c>
      <c r="EV372" t="e">
        <f>AND('STERLING CATALOG - FZN &amp; CHILL'!D2975,"AAAAAG///5c=")</f>
        <v>#VALUE!</v>
      </c>
      <c r="EW372" t="e">
        <f>AND('STERLING CATALOG - FZN &amp; CHILL'!E2975,"AAAAAG///5g=")</f>
        <v>#VALUE!</v>
      </c>
      <c r="EX372" t="e">
        <f>AND('STERLING CATALOG - FZN &amp; CHILL'!F2975,"AAAAAG///5k=")</f>
        <v>#VALUE!</v>
      </c>
      <c r="EY372" t="e">
        <f>AND('STERLING CATALOG - FZN &amp; CHILL'!G2975,"AAAAAG///5o=")</f>
        <v>#VALUE!</v>
      </c>
      <c r="EZ372" t="e">
        <f>AND('STERLING CATALOG - FZN &amp; CHILL'!H2975,"AAAAAG///5s=")</f>
        <v>#VALUE!</v>
      </c>
      <c r="FA372" t="e">
        <f>AND('STERLING CATALOG - FZN &amp; CHILL'!I2975,"AAAAAG///5w=")</f>
        <v>#VALUE!</v>
      </c>
      <c r="FB372" t="e">
        <f>AND('STERLING CATALOG - FZN &amp; CHILL'!J2975,"AAAAAG///50=")</f>
        <v>#VALUE!</v>
      </c>
      <c r="FC372">
        <f>IF('STERLING CATALOG - FZN &amp; CHILL'!2976:2976,"AAAAAG///54=",0)</f>
        <v>0</v>
      </c>
      <c r="FD372" t="e">
        <f>AND('STERLING CATALOG - FZN &amp; CHILL'!A2976,"AAAAAG///58=")</f>
        <v>#VALUE!</v>
      </c>
      <c r="FE372" t="e">
        <f>AND('STERLING CATALOG - FZN &amp; CHILL'!B2976,"AAAAAG///6A=")</f>
        <v>#VALUE!</v>
      </c>
      <c r="FF372" t="e">
        <f>AND('STERLING CATALOG - FZN &amp; CHILL'!C2976,"AAAAAG///6E=")</f>
        <v>#VALUE!</v>
      </c>
      <c r="FG372" t="e">
        <f>AND('STERLING CATALOG - FZN &amp; CHILL'!D2976,"AAAAAG///6I=")</f>
        <v>#VALUE!</v>
      </c>
      <c r="FH372" t="e">
        <f>AND('STERLING CATALOG - FZN &amp; CHILL'!E2976,"AAAAAG///6M=")</f>
        <v>#VALUE!</v>
      </c>
      <c r="FI372" t="e">
        <f>AND('STERLING CATALOG - FZN &amp; CHILL'!F2976,"AAAAAG///6Q=")</f>
        <v>#VALUE!</v>
      </c>
      <c r="FJ372" t="e">
        <f>AND('STERLING CATALOG - FZN &amp; CHILL'!G2976,"AAAAAG///6U=")</f>
        <v>#VALUE!</v>
      </c>
      <c r="FK372" t="e">
        <f>AND('STERLING CATALOG - FZN &amp; CHILL'!H2976,"AAAAAG///6Y=")</f>
        <v>#VALUE!</v>
      </c>
      <c r="FL372" t="e">
        <f>AND('STERLING CATALOG - FZN &amp; CHILL'!I2976,"AAAAAG///6c=")</f>
        <v>#VALUE!</v>
      </c>
      <c r="FM372" t="e">
        <f>AND('STERLING CATALOG - FZN &amp; CHILL'!J2976,"AAAAAG///6g=")</f>
        <v>#VALUE!</v>
      </c>
      <c r="FN372">
        <f>IF('STERLING CATALOG - FZN &amp; CHILL'!2977:2977,"AAAAAG///6k=",0)</f>
        <v>0</v>
      </c>
      <c r="FO372" t="e">
        <f>AND('STERLING CATALOG - FZN &amp; CHILL'!A2977,"AAAAAG///6o=")</f>
        <v>#VALUE!</v>
      </c>
      <c r="FP372" t="e">
        <f>AND('STERLING CATALOG - FZN &amp; CHILL'!B2977,"AAAAAG///6s=")</f>
        <v>#VALUE!</v>
      </c>
      <c r="FQ372" t="e">
        <f>AND('STERLING CATALOG - FZN &amp; CHILL'!C2977,"AAAAAG///6w=")</f>
        <v>#VALUE!</v>
      </c>
      <c r="FR372" t="e">
        <f>AND('STERLING CATALOG - FZN &amp; CHILL'!D2977,"AAAAAG///60=")</f>
        <v>#VALUE!</v>
      </c>
      <c r="FS372" t="e">
        <f>AND('STERLING CATALOG - FZN &amp; CHILL'!E2977,"AAAAAG///64=")</f>
        <v>#VALUE!</v>
      </c>
      <c r="FT372" t="e">
        <f>AND('STERLING CATALOG - FZN &amp; CHILL'!F2977,"AAAAAG///68=")</f>
        <v>#VALUE!</v>
      </c>
      <c r="FU372" t="e">
        <f>AND('STERLING CATALOG - FZN &amp; CHILL'!G2977,"AAAAAG///7A=")</f>
        <v>#VALUE!</v>
      </c>
      <c r="FV372" t="e">
        <f>AND('STERLING CATALOG - FZN &amp; CHILL'!H2977,"AAAAAG///7E=")</f>
        <v>#VALUE!</v>
      </c>
      <c r="FW372" t="e">
        <f>AND('STERLING CATALOG - FZN &amp; CHILL'!I2977,"AAAAAG///7I=")</f>
        <v>#VALUE!</v>
      </c>
      <c r="FX372" t="e">
        <f>AND('STERLING CATALOG - FZN &amp; CHILL'!J2977,"AAAAAG///7M=")</f>
        <v>#VALUE!</v>
      </c>
      <c r="FY372">
        <f>IF('STERLING CATALOG - FZN &amp; CHILL'!2978:2978,"AAAAAG///7Q=",0)</f>
        <v>0</v>
      </c>
      <c r="FZ372" t="e">
        <f>AND('STERLING CATALOG - FZN &amp; CHILL'!A2978,"AAAAAG///7U=")</f>
        <v>#VALUE!</v>
      </c>
      <c r="GA372" t="e">
        <f>AND('STERLING CATALOG - FZN &amp; CHILL'!B2978,"AAAAAG///7Y=")</f>
        <v>#VALUE!</v>
      </c>
      <c r="GB372" t="e">
        <f>AND('STERLING CATALOG - FZN &amp; CHILL'!C2978,"AAAAAG///7c=")</f>
        <v>#VALUE!</v>
      </c>
      <c r="GC372" t="e">
        <f>AND('STERLING CATALOG - FZN &amp; CHILL'!D2978,"AAAAAG///7g=")</f>
        <v>#VALUE!</v>
      </c>
      <c r="GD372" t="e">
        <f>AND('STERLING CATALOG - FZN &amp; CHILL'!E2978,"AAAAAG///7k=")</f>
        <v>#VALUE!</v>
      </c>
      <c r="GE372" t="e">
        <f>AND('STERLING CATALOG - FZN &amp; CHILL'!F2978,"AAAAAG///7o=")</f>
        <v>#VALUE!</v>
      </c>
      <c r="GF372" t="e">
        <f>AND('STERLING CATALOG - FZN &amp; CHILL'!G2978,"AAAAAG///7s=")</f>
        <v>#VALUE!</v>
      </c>
      <c r="GG372" t="e">
        <f>AND('STERLING CATALOG - FZN &amp; CHILL'!H2978,"AAAAAG///7w=")</f>
        <v>#VALUE!</v>
      </c>
      <c r="GH372" t="e">
        <f>AND('STERLING CATALOG - FZN &amp; CHILL'!I2978,"AAAAAG///70=")</f>
        <v>#VALUE!</v>
      </c>
      <c r="GI372" t="e">
        <f>AND('STERLING CATALOG - FZN &amp; CHILL'!J2978,"AAAAAG///74=")</f>
        <v>#VALUE!</v>
      </c>
      <c r="GJ372">
        <f>IF('STERLING CATALOG - FZN &amp; CHILL'!2979:2979,"AAAAAG///78=",0)</f>
        <v>0</v>
      </c>
      <c r="GK372" t="e">
        <f>AND('STERLING CATALOG - FZN &amp; CHILL'!A2979,"AAAAAG///8A=")</f>
        <v>#VALUE!</v>
      </c>
      <c r="GL372" t="e">
        <f>AND('STERLING CATALOG - FZN &amp; CHILL'!B2979,"AAAAAG///8E=")</f>
        <v>#VALUE!</v>
      </c>
      <c r="GM372" t="e">
        <f>AND('STERLING CATALOG - FZN &amp; CHILL'!C2979,"AAAAAG///8I=")</f>
        <v>#VALUE!</v>
      </c>
      <c r="GN372" t="e">
        <f>AND('STERLING CATALOG - FZN &amp; CHILL'!D2979,"AAAAAG///8M=")</f>
        <v>#VALUE!</v>
      </c>
      <c r="GO372" t="e">
        <f>AND('STERLING CATALOG - FZN &amp; CHILL'!E2979,"AAAAAG///8Q=")</f>
        <v>#VALUE!</v>
      </c>
      <c r="GP372" t="e">
        <f>AND('STERLING CATALOG - FZN &amp; CHILL'!F2979,"AAAAAG///8U=")</f>
        <v>#VALUE!</v>
      </c>
      <c r="GQ372" t="e">
        <f>AND('STERLING CATALOG - FZN &amp; CHILL'!G2979,"AAAAAG///8Y=")</f>
        <v>#VALUE!</v>
      </c>
      <c r="GR372" t="e">
        <f>AND('STERLING CATALOG - FZN &amp; CHILL'!H2979,"AAAAAG///8c=")</f>
        <v>#VALUE!</v>
      </c>
      <c r="GS372" t="e">
        <f>AND('STERLING CATALOG - FZN &amp; CHILL'!I2979,"AAAAAG///8g=")</f>
        <v>#VALUE!</v>
      </c>
      <c r="GT372" t="e">
        <f>AND('STERLING CATALOG - FZN &amp; CHILL'!J2979,"AAAAAG///8k=")</f>
        <v>#VALUE!</v>
      </c>
      <c r="GU372">
        <f>IF('STERLING CATALOG - FZN &amp; CHILL'!2980:2980,"AAAAAG///8o=",0)</f>
        <v>0</v>
      </c>
      <c r="GV372" t="e">
        <f>AND('STERLING CATALOG - FZN &amp; CHILL'!A2980,"AAAAAG///8s=")</f>
        <v>#VALUE!</v>
      </c>
      <c r="GW372" t="e">
        <f>AND('STERLING CATALOG - FZN &amp; CHILL'!B2980,"AAAAAG///8w=")</f>
        <v>#VALUE!</v>
      </c>
      <c r="GX372" t="e">
        <f>AND('STERLING CATALOG - FZN &amp; CHILL'!C2980,"AAAAAG///80=")</f>
        <v>#VALUE!</v>
      </c>
      <c r="GY372" t="e">
        <f>AND('STERLING CATALOG - FZN &amp; CHILL'!D2980,"AAAAAG///84=")</f>
        <v>#VALUE!</v>
      </c>
      <c r="GZ372" t="e">
        <f>AND('STERLING CATALOG - FZN &amp; CHILL'!E2980,"AAAAAG///88=")</f>
        <v>#VALUE!</v>
      </c>
      <c r="HA372" t="e">
        <f>AND('STERLING CATALOG - FZN &amp; CHILL'!F2980,"AAAAAG///9A=")</f>
        <v>#VALUE!</v>
      </c>
      <c r="HB372" t="e">
        <f>AND('STERLING CATALOG - FZN &amp; CHILL'!G2980,"AAAAAG///9E=")</f>
        <v>#VALUE!</v>
      </c>
      <c r="HC372" t="e">
        <f>AND('STERLING CATALOG - FZN &amp; CHILL'!H2980,"AAAAAG///9I=")</f>
        <v>#VALUE!</v>
      </c>
      <c r="HD372" t="e">
        <f>AND('STERLING CATALOG - FZN &amp; CHILL'!I2980,"AAAAAG///9M=")</f>
        <v>#VALUE!</v>
      </c>
      <c r="HE372" t="e">
        <f>AND('STERLING CATALOG - FZN &amp; CHILL'!J2980,"AAAAAG///9Q=")</f>
        <v>#VALUE!</v>
      </c>
      <c r="HF372">
        <f>IF('STERLING CATALOG - FZN &amp; CHILL'!2981:2981,"AAAAAG///9U=",0)</f>
        <v>0</v>
      </c>
      <c r="HG372" t="e">
        <f>AND('STERLING CATALOG - FZN &amp; CHILL'!A2981,"AAAAAG///9Y=")</f>
        <v>#VALUE!</v>
      </c>
      <c r="HH372" t="e">
        <f>AND('STERLING CATALOG - FZN &amp; CHILL'!B2981,"AAAAAG///9c=")</f>
        <v>#VALUE!</v>
      </c>
      <c r="HI372" t="e">
        <f>AND('STERLING CATALOG - FZN &amp; CHILL'!C2981,"AAAAAG///9g=")</f>
        <v>#VALUE!</v>
      </c>
      <c r="HJ372" t="e">
        <f>AND('STERLING CATALOG - FZN &amp; CHILL'!D2981,"AAAAAG///9k=")</f>
        <v>#VALUE!</v>
      </c>
      <c r="HK372" t="e">
        <f>AND('STERLING CATALOG - FZN &amp; CHILL'!E2981,"AAAAAG///9o=")</f>
        <v>#VALUE!</v>
      </c>
      <c r="HL372" t="e">
        <f>AND('STERLING CATALOG - FZN &amp; CHILL'!F2981,"AAAAAG///9s=")</f>
        <v>#VALUE!</v>
      </c>
      <c r="HM372" t="e">
        <f>AND('STERLING CATALOG - FZN &amp; CHILL'!G2981,"AAAAAG///9w=")</f>
        <v>#VALUE!</v>
      </c>
      <c r="HN372" t="e">
        <f>AND('STERLING CATALOG - FZN &amp; CHILL'!H2981,"AAAAAG///90=")</f>
        <v>#VALUE!</v>
      </c>
      <c r="HO372" t="e">
        <f>AND('STERLING CATALOG - FZN &amp; CHILL'!I2981,"AAAAAG///94=")</f>
        <v>#VALUE!</v>
      </c>
      <c r="HP372" t="e">
        <f>AND('STERLING CATALOG - FZN &amp; CHILL'!J2981,"AAAAAG///98=")</f>
        <v>#VALUE!</v>
      </c>
      <c r="HQ372">
        <f>IF('STERLING CATALOG - FZN &amp; CHILL'!2982:2982,"AAAAAG///+A=",0)</f>
        <v>0</v>
      </c>
      <c r="HR372" t="e">
        <f>AND('STERLING CATALOG - FZN &amp; CHILL'!A2982,"AAAAAG///+E=")</f>
        <v>#VALUE!</v>
      </c>
      <c r="HS372" t="e">
        <f>AND('STERLING CATALOG - FZN &amp; CHILL'!B2982,"AAAAAG///+I=")</f>
        <v>#VALUE!</v>
      </c>
      <c r="HT372" t="e">
        <f>AND('STERLING CATALOG - FZN &amp; CHILL'!C2982,"AAAAAG///+M=")</f>
        <v>#VALUE!</v>
      </c>
      <c r="HU372" t="e">
        <f>AND('STERLING CATALOG - FZN &amp; CHILL'!D2982,"AAAAAG///+Q=")</f>
        <v>#VALUE!</v>
      </c>
      <c r="HV372" t="e">
        <f>AND('STERLING CATALOG - FZN &amp; CHILL'!E2982,"AAAAAG///+U=")</f>
        <v>#VALUE!</v>
      </c>
      <c r="HW372" t="e">
        <f>AND('STERLING CATALOG - FZN &amp; CHILL'!F2982,"AAAAAG///+Y=")</f>
        <v>#VALUE!</v>
      </c>
      <c r="HX372" t="e">
        <f>AND('STERLING CATALOG - FZN &amp; CHILL'!G2982,"AAAAAG///+c=")</f>
        <v>#VALUE!</v>
      </c>
      <c r="HY372" t="e">
        <f>AND('STERLING CATALOG - FZN &amp; CHILL'!H2982,"AAAAAG///+g=")</f>
        <v>#VALUE!</v>
      </c>
      <c r="HZ372" t="e">
        <f>AND('STERLING CATALOG - FZN &amp; CHILL'!I2982,"AAAAAG///+k=")</f>
        <v>#VALUE!</v>
      </c>
      <c r="IA372" t="e">
        <f>AND('STERLING CATALOG - FZN &amp; CHILL'!J2982,"AAAAAG///+o=")</f>
        <v>#VALUE!</v>
      </c>
      <c r="IB372">
        <f>IF('STERLING CATALOG - FZN &amp; CHILL'!2983:2983,"AAAAAG///+s=",0)</f>
        <v>0</v>
      </c>
      <c r="IC372" t="e">
        <f>AND('STERLING CATALOG - FZN &amp; CHILL'!A2983,"AAAAAG///+w=")</f>
        <v>#VALUE!</v>
      </c>
      <c r="ID372" t="e">
        <f>AND('STERLING CATALOG - FZN &amp; CHILL'!B2983,"AAAAAG///+0=")</f>
        <v>#VALUE!</v>
      </c>
      <c r="IE372" t="e">
        <f>AND('STERLING CATALOG - FZN &amp; CHILL'!C2983,"AAAAAG///+4=")</f>
        <v>#VALUE!</v>
      </c>
      <c r="IF372" t="e">
        <f>AND('STERLING CATALOG - FZN &amp; CHILL'!D2983,"AAAAAG///+8=")</f>
        <v>#VALUE!</v>
      </c>
      <c r="IG372" t="e">
        <f>AND('STERLING CATALOG - FZN &amp; CHILL'!E2983,"AAAAAG////A=")</f>
        <v>#VALUE!</v>
      </c>
      <c r="IH372" t="e">
        <f>AND('STERLING CATALOG - FZN &amp; CHILL'!F2983,"AAAAAG////E=")</f>
        <v>#VALUE!</v>
      </c>
      <c r="II372" t="e">
        <f>AND('STERLING CATALOG - FZN &amp; CHILL'!G2983,"AAAAAG////I=")</f>
        <v>#VALUE!</v>
      </c>
      <c r="IJ372" t="e">
        <f>AND('STERLING CATALOG - FZN &amp; CHILL'!H2983,"AAAAAG////M=")</f>
        <v>#VALUE!</v>
      </c>
      <c r="IK372" t="e">
        <f>AND('STERLING CATALOG - FZN &amp; CHILL'!I2983,"AAAAAG////Q=")</f>
        <v>#VALUE!</v>
      </c>
      <c r="IL372" t="e">
        <f>AND('STERLING CATALOG - FZN &amp; CHILL'!J2983,"AAAAAG////U=")</f>
        <v>#VALUE!</v>
      </c>
      <c r="IM372">
        <f>IF('STERLING CATALOG - FZN &amp; CHILL'!2984:2984,"AAAAAG////Y=",0)</f>
        <v>0</v>
      </c>
      <c r="IN372" t="e">
        <f>AND('STERLING CATALOG - FZN &amp; CHILL'!A2984,"AAAAAG////c=")</f>
        <v>#VALUE!</v>
      </c>
      <c r="IO372" t="e">
        <f>AND('STERLING CATALOG - FZN &amp; CHILL'!B2984,"AAAAAG////g=")</f>
        <v>#VALUE!</v>
      </c>
      <c r="IP372" t="e">
        <f>AND('STERLING CATALOG - FZN &amp; CHILL'!C2984,"AAAAAG////k=")</f>
        <v>#VALUE!</v>
      </c>
      <c r="IQ372" t="e">
        <f>AND('STERLING CATALOG - FZN &amp; CHILL'!D2984,"AAAAAG////o=")</f>
        <v>#VALUE!</v>
      </c>
      <c r="IR372" t="e">
        <f>AND('STERLING CATALOG - FZN &amp; CHILL'!E2984,"AAAAAG////s=")</f>
        <v>#VALUE!</v>
      </c>
      <c r="IS372" t="e">
        <f>AND('STERLING CATALOG - FZN &amp; CHILL'!F2984,"AAAAAG////w=")</f>
        <v>#VALUE!</v>
      </c>
      <c r="IT372" t="e">
        <f>AND('STERLING CATALOG - FZN &amp; CHILL'!G2984,"AAAAAG////0=")</f>
        <v>#VALUE!</v>
      </c>
      <c r="IU372" t="e">
        <f>AND('STERLING CATALOG - FZN &amp; CHILL'!H2984,"AAAAAG////4=")</f>
        <v>#VALUE!</v>
      </c>
      <c r="IV372" t="e">
        <f>AND('STERLING CATALOG - FZN &amp; CHILL'!I2984,"AAAAAG////8=")</f>
        <v>#VALUE!</v>
      </c>
    </row>
    <row r="373" spans="1:256">
      <c r="A373" t="e">
        <f>AND('STERLING CATALOG - FZN &amp; CHILL'!J2984,"AAAAAHGcvAA=")</f>
        <v>#VALUE!</v>
      </c>
      <c r="B373" t="str">
        <f>IF('STERLING CATALOG - FZN &amp; CHILL'!2985:2985,"AAAAAHGcvAE=",0)</f>
        <v>AAAAAHGcvAE=</v>
      </c>
      <c r="C373" t="e">
        <f>AND('STERLING CATALOG - FZN &amp; CHILL'!A2985,"AAAAAHGcvAI=")</f>
        <v>#VALUE!</v>
      </c>
      <c r="D373" t="e">
        <f>AND('STERLING CATALOG - FZN &amp; CHILL'!B2985,"AAAAAHGcvAM=")</f>
        <v>#VALUE!</v>
      </c>
      <c r="E373" t="e">
        <f>AND('STERLING CATALOG - FZN &amp; CHILL'!C2985,"AAAAAHGcvAQ=")</f>
        <v>#VALUE!</v>
      </c>
      <c r="F373" t="e">
        <f>AND('STERLING CATALOG - FZN &amp; CHILL'!D2985,"AAAAAHGcvAU=")</f>
        <v>#VALUE!</v>
      </c>
      <c r="G373" t="e">
        <f>AND('STERLING CATALOG - FZN &amp; CHILL'!E2985,"AAAAAHGcvAY=")</f>
        <v>#VALUE!</v>
      </c>
      <c r="H373" t="e">
        <f>AND('STERLING CATALOG - FZN &amp; CHILL'!F2985,"AAAAAHGcvAc=")</f>
        <v>#VALUE!</v>
      </c>
      <c r="I373" t="e">
        <f>AND('STERLING CATALOG - FZN &amp; CHILL'!G2985,"AAAAAHGcvAg=")</f>
        <v>#VALUE!</v>
      </c>
      <c r="J373" t="e">
        <f>AND('STERLING CATALOG - FZN &amp; CHILL'!H2985,"AAAAAHGcvAk=")</f>
        <v>#VALUE!</v>
      </c>
      <c r="K373" t="e">
        <f>AND('STERLING CATALOG - FZN &amp; CHILL'!I2985,"AAAAAHGcvAo=")</f>
        <v>#VALUE!</v>
      </c>
      <c r="L373" t="e">
        <f>AND('STERLING CATALOG - FZN &amp; CHILL'!J2985,"AAAAAHGcvAs=")</f>
        <v>#VALUE!</v>
      </c>
      <c r="M373">
        <f>IF('STERLING CATALOG - FZN &amp; CHILL'!2986:2986,"AAAAAHGcvAw=",0)</f>
        <v>0</v>
      </c>
      <c r="N373" t="e">
        <f>AND('STERLING CATALOG - FZN &amp; CHILL'!A2986,"AAAAAHGcvA0=")</f>
        <v>#VALUE!</v>
      </c>
      <c r="O373" t="e">
        <f>AND('STERLING CATALOG - FZN &amp; CHILL'!B2986,"AAAAAHGcvA4=")</f>
        <v>#VALUE!</v>
      </c>
      <c r="P373" t="e">
        <f>AND('STERLING CATALOG - FZN &amp; CHILL'!C2986,"AAAAAHGcvA8=")</f>
        <v>#VALUE!</v>
      </c>
      <c r="Q373" t="e">
        <f>AND('STERLING CATALOG - FZN &amp; CHILL'!D2986,"AAAAAHGcvBA=")</f>
        <v>#VALUE!</v>
      </c>
      <c r="R373" t="e">
        <f>AND('STERLING CATALOG - FZN &amp; CHILL'!E2986,"AAAAAHGcvBE=")</f>
        <v>#VALUE!</v>
      </c>
      <c r="S373" t="e">
        <f>AND('STERLING CATALOG - FZN &amp; CHILL'!F2986,"AAAAAHGcvBI=")</f>
        <v>#VALUE!</v>
      </c>
      <c r="T373" t="e">
        <f>AND('STERLING CATALOG - FZN &amp; CHILL'!G2986,"AAAAAHGcvBM=")</f>
        <v>#VALUE!</v>
      </c>
      <c r="U373" t="e">
        <f>AND('STERLING CATALOG - FZN &amp; CHILL'!H2986,"AAAAAHGcvBQ=")</f>
        <v>#VALUE!</v>
      </c>
      <c r="V373" t="e">
        <f>AND('STERLING CATALOG - FZN &amp; CHILL'!I2986,"AAAAAHGcvBU=")</f>
        <v>#VALUE!</v>
      </c>
      <c r="W373" t="e">
        <f>AND('STERLING CATALOG - FZN &amp; CHILL'!J2986,"AAAAAHGcvBY=")</f>
        <v>#VALUE!</v>
      </c>
      <c r="X373">
        <f>IF('STERLING CATALOG - FZN &amp; CHILL'!2987:2987,"AAAAAHGcvBc=",0)</f>
        <v>0</v>
      </c>
      <c r="Y373" t="e">
        <f>AND('STERLING CATALOG - FZN &amp; CHILL'!A2987,"AAAAAHGcvBg=")</f>
        <v>#VALUE!</v>
      </c>
      <c r="Z373" t="e">
        <f>AND('STERLING CATALOG - FZN &amp; CHILL'!B2987,"AAAAAHGcvBk=")</f>
        <v>#VALUE!</v>
      </c>
      <c r="AA373" t="e">
        <f>AND('STERLING CATALOG - FZN &amp; CHILL'!C2987,"AAAAAHGcvBo=")</f>
        <v>#VALUE!</v>
      </c>
      <c r="AB373" t="e">
        <f>AND('STERLING CATALOG - FZN &amp; CHILL'!D2987,"AAAAAHGcvBs=")</f>
        <v>#VALUE!</v>
      </c>
      <c r="AC373" t="e">
        <f>AND('STERLING CATALOG - FZN &amp; CHILL'!E2987,"AAAAAHGcvBw=")</f>
        <v>#VALUE!</v>
      </c>
      <c r="AD373" t="e">
        <f>AND('STERLING CATALOG - FZN &amp; CHILL'!F2987,"AAAAAHGcvB0=")</f>
        <v>#VALUE!</v>
      </c>
      <c r="AE373" t="e">
        <f>AND('STERLING CATALOG - FZN &amp; CHILL'!G2987,"AAAAAHGcvB4=")</f>
        <v>#VALUE!</v>
      </c>
      <c r="AF373" t="e">
        <f>AND('STERLING CATALOG - FZN &amp; CHILL'!H2987,"AAAAAHGcvB8=")</f>
        <v>#VALUE!</v>
      </c>
      <c r="AG373" t="e">
        <f>AND('STERLING CATALOG - FZN &amp; CHILL'!I2987,"AAAAAHGcvCA=")</f>
        <v>#VALUE!</v>
      </c>
      <c r="AH373" t="e">
        <f>AND('STERLING CATALOG - FZN &amp; CHILL'!J2987,"AAAAAHGcvCE=")</f>
        <v>#VALUE!</v>
      </c>
      <c r="AI373">
        <f>IF('STERLING CATALOG - FZN &amp; CHILL'!2988:2988,"AAAAAHGcvCI=",0)</f>
        <v>0</v>
      </c>
      <c r="AJ373" t="e">
        <f>AND('STERLING CATALOG - FZN &amp; CHILL'!A2988,"AAAAAHGcvCM=")</f>
        <v>#VALUE!</v>
      </c>
      <c r="AK373" t="e">
        <f>AND('STERLING CATALOG - FZN &amp; CHILL'!B2988,"AAAAAHGcvCQ=")</f>
        <v>#VALUE!</v>
      </c>
      <c r="AL373" t="e">
        <f>AND('STERLING CATALOG - FZN &amp; CHILL'!C2988,"AAAAAHGcvCU=")</f>
        <v>#VALUE!</v>
      </c>
      <c r="AM373" t="e">
        <f>AND('STERLING CATALOG - FZN &amp; CHILL'!D2988,"AAAAAHGcvCY=")</f>
        <v>#VALUE!</v>
      </c>
      <c r="AN373" t="e">
        <f>AND('STERLING CATALOG - FZN &amp; CHILL'!E2988,"AAAAAHGcvCc=")</f>
        <v>#VALUE!</v>
      </c>
      <c r="AO373" t="e">
        <f>AND('STERLING CATALOG - FZN &amp; CHILL'!F2988,"AAAAAHGcvCg=")</f>
        <v>#VALUE!</v>
      </c>
      <c r="AP373" t="e">
        <f>AND('STERLING CATALOG - FZN &amp; CHILL'!G2988,"AAAAAHGcvCk=")</f>
        <v>#VALUE!</v>
      </c>
      <c r="AQ373" t="e">
        <f>AND('STERLING CATALOG - FZN &amp; CHILL'!H2988,"AAAAAHGcvCo=")</f>
        <v>#VALUE!</v>
      </c>
      <c r="AR373" t="e">
        <f>AND('STERLING CATALOG - FZN &amp; CHILL'!I2988,"AAAAAHGcvCs=")</f>
        <v>#VALUE!</v>
      </c>
      <c r="AS373" t="e">
        <f>AND('STERLING CATALOG - FZN &amp; CHILL'!J2988,"AAAAAHGcvCw=")</f>
        <v>#VALUE!</v>
      </c>
      <c r="AT373">
        <f>IF('STERLING CATALOG - FZN &amp; CHILL'!2989:2989,"AAAAAHGcvC0=",0)</f>
        <v>0</v>
      </c>
      <c r="AU373" t="e">
        <f>AND('STERLING CATALOG - FZN &amp; CHILL'!A2989,"AAAAAHGcvC4=")</f>
        <v>#VALUE!</v>
      </c>
      <c r="AV373" t="e">
        <f>AND('STERLING CATALOG - FZN &amp; CHILL'!B2989,"AAAAAHGcvC8=")</f>
        <v>#VALUE!</v>
      </c>
      <c r="AW373" t="e">
        <f>AND('STERLING CATALOG - FZN &amp; CHILL'!C2989,"AAAAAHGcvDA=")</f>
        <v>#VALUE!</v>
      </c>
      <c r="AX373" t="e">
        <f>AND('STERLING CATALOG - FZN &amp; CHILL'!D2989,"AAAAAHGcvDE=")</f>
        <v>#VALUE!</v>
      </c>
      <c r="AY373" t="e">
        <f>AND('STERLING CATALOG - FZN &amp; CHILL'!E2989,"AAAAAHGcvDI=")</f>
        <v>#VALUE!</v>
      </c>
      <c r="AZ373" t="e">
        <f>AND('STERLING CATALOG - FZN &amp; CHILL'!F2989,"AAAAAHGcvDM=")</f>
        <v>#VALUE!</v>
      </c>
      <c r="BA373" t="e">
        <f>AND('STERLING CATALOG - FZN &amp; CHILL'!G2989,"AAAAAHGcvDQ=")</f>
        <v>#VALUE!</v>
      </c>
      <c r="BB373" t="e">
        <f>AND('STERLING CATALOG - FZN &amp; CHILL'!H2989,"AAAAAHGcvDU=")</f>
        <v>#VALUE!</v>
      </c>
      <c r="BC373" t="e">
        <f>AND('STERLING CATALOG - FZN &amp; CHILL'!I2989,"AAAAAHGcvDY=")</f>
        <v>#VALUE!</v>
      </c>
      <c r="BD373" t="e">
        <f>AND('STERLING CATALOG - FZN &amp; CHILL'!J2989,"AAAAAHGcvDc=")</f>
        <v>#VALUE!</v>
      </c>
      <c r="BE373">
        <f>IF('STERLING CATALOG - FZN &amp; CHILL'!2990:2990,"AAAAAHGcvDg=",0)</f>
        <v>0</v>
      </c>
      <c r="BF373" t="e">
        <f>AND('STERLING CATALOG - FZN &amp; CHILL'!A2990,"AAAAAHGcvDk=")</f>
        <v>#VALUE!</v>
      </c>
      <c r="BG373" t="e">
        <f>AND('STERLING CATALOG - FZN &amp; CHILL'!B2990,"AAAAAHGcvDo=")</f>
        <v>#VALUE!</v>
      </c>
      <c r="BH373" t="e">
        <f>AND('STERLING CATALOG - FZN &amp; CHILL'!C2990,"AAAAAHGcvDs=")</f>
        <v>#VALUE!</v>
      </c>
      <c r="BI373" t="e">
        <f>AND('STERLING CATALOG - FZN &amp; CHILL'!D2990,"AAAAAHGcvDw=")</f>
        <v>#VALUE!</v>
      </c>
      <c r="BJ373" t="e">
        <f>AND('STERLING CATALOG - FZN &amp; CHILL'!E2990,"AAAAAHGcvD0=")</f>
        <v>#VALUE!</v>
      </c>
      <c r="BK373" t="e">
        <f>AND('STERLING CATALOG - FZN &amp; CHILL'!F2990,"AAAAAHGcvD4=")</f>
        <v>#VALUE!</v>
      </c>
      <c r="BL373" t="e">
        <f>AND('STERLING CATALOG - FZN &amp; CHILL'!G2990,"AAAAAHGcvD8=")</f>
        <v>#VALUE!</v>
      </c>
      <c r="BM373" t="e">
        <f>AND('STERLING CATALOG - FZN &amp; CHILL'!H2990,"AAAAAHGcvEA=")</f>
        <v>#VALUE!</v>
      </c>
      <c r="BN373" t="e">
        <f>AND('STERLING CATALOG - FZN &amp; CHILL'!I2990,"AAAAAHGcvEE=")</f>
        <v>#VALUE!</v>
      </c>
      <c r="BO373" t="e">
        <f>AND('STERLING CATALOG - FZN &amp; CHILL'!J2990,"AAAAAHGcvEI=")</f>
        <v>#VALUE!</v>
      </c>
      <c r="BP373">
        <f>IF('STERLING CATALOG - FZN &amp; CHILL'!2991:2991,"AAAAAHGcvEM=",0)</f>
        <v>0</v>
      </c>
      <c r="BQ373" t="e">
        <f>AND('STERLING CATALOG - FZN &amp; CHILL'!A2991,"AAAAAHGcvEQ=")</f>
        <v>#VALUE!</v>
      </c>
      <c r="BR373" t="e">
        <f>AND('STERLING CATALOG - FZN &amp; CHILL'!B2991,"AAAAAHGcvEU=")</f>
        <v>#VALUE!</v>
      </c>
      <c r="BS373" t="e">
        <f>AND('STERLING CATALOG - FZN &amp; CHILL'!C2991,"AAAAAHGcvEY=")</f>
        <v>#VALUE!</v>
      </c>
      <c r="BT373" t="e">
        <f>AND('STERLING CATALOG - FZN &amp; CHILL'!D2991,"AAAAAHGcvEc=")</f>
        <v>#VALUE!</v>
      </c>
      <c r="BU373" t="e">
        <f>AND('STERLING CATALOG - FZN &amp; CHILL'!E2991,"AAAAAHGcvEg=")</f>
        <v>#VALUE!</v>
      </c>
      <c r="BV373" t="e">
        <f>AND('STERLING CATALOG - FZN &amp; CHILL'!F2991,"AAAAAHGcvEk=")</f>
        <v>#VALUE!</v>
      </c>
      <c r="BW373" t="e">
        <f>AND('STERLING CATALOG - FZN &amp; CHILL'!G2991,"AAAAAHGcvEo=")</f>
        <v>#VALUE!</v>
      </c>
      <c r="BX373" t="e">
        <f>AND('STERLING CATALOG - FZN &amp; CHILL'!H2991,"AAAAAHGcvEs=")</f>
        <v>#VALUE!</v>
      </c>
      <c r="BY373" t="e">
        <f>AND('STERLING CATALOG - FZN &amp; CHILL'!I2991,"AAAAAHGcvEw=")</f>
        <v>#VALUE!</v>
      </c>
      <c r="BZ373" t="e">
        <f>AND('STERLING CATALOG - FZN &amp; CHILL'!J2991,"AAAAAHGcvE0=")</f>
        <v>#VALUE!</v>
      </c>
      <c r="CA373">
        <f>IF('STERLING CATALOG - FZN &amp; CHILL'!2992:2992,"AAAAAHGcvE4=",0)</f>
        <v>0</v>
      </c>
      <c r="CB373" t="e">
        <f>AND('STERLING CATALOG - FZN &amp; CHILL'!A2992,"AAAAAHGcvE8=")</f>
        <v>#VALUE!</v>
      </c>
      <c r="CC373" t="e">
        <f>AND('STERLING CATALOG - FZN &amp; CHILL'!B2992,"AAAAAHGcvFA=")</f>
        <v>#VALUE!</v>
      </c>
      <c r="CD373" t="e">
        <f>AND('STERLING CATALOG - FZN &amp; CHILL'!C2992,"AAAAAHGcvFE=")</f>
        <v>#VALUE!</v>
      </c>
      <c r="CE373" t="e">
        <f>AND('STERLING CATALOG - FZN &amp; CHILL'!D2992,"AAAAAHGcvFI=")</f>
        <v>#VALUE!</v>
      </c>
      <c r="CF373" t="e">
        <f>AND('STERLING CATALOG - FZN &amp; CHILL'!E2992,"AAAAAHGcvFM=")</f>
        <v>#VALUE!</v>
      </c>
      <c r="CG373" t="e">
        <f>AND('STERLING CATALOG - FZN &amp; CHILL'!F2992,"AAAAAHGcvFQ=")</f>
        <v>#VALUE!</v>
      </c>
      <c r="CH373" t="e">
        <f>AND('STERLING CATALOG - FZN &amp; CHILL'!G2992,"AAAAAHGcvFU=")</f>
        <v>#VALUE!</v>
      </c>
      <c r="CI373" t="e">
        <f>AND('STERLING CATALOG - FZN &amp; CHILL'!H2992,"AAAAAHGcvFY=")</f>
        <v>#VALUE!</v>
      </c>
      <c r="CJ373" t="e">
        <f>AND('STERLING CATALOG - FZN &amp; CHILL'!I2992,"AAAAAHGcvFc=")</f>
        <v>#VALUE!</v>
      </c>
      <c r="CK373" t="e">
        <f>AND('STERLING CATALOG - FZN &amp; CHILL'!J2992,"AAAAAHGcvFg=")</f>
        <v>#VALUE!</v>
      </c>
      <c r="CL373">
        <f>IF('STERLING CATALOG - FZN &amp; CHILL'!2993:2993,"AAAAAHGcvFk=",0)</f>
        <v>0</v>
      </c>
      <c r="CM373" t="e">
        <f>AND('STERLING CATALOG - FZN &amp; CHILL'!A2993,"AAAAAHGcvFo=")</f>
        <v>#VALUE!</v>
      </c>
      <c r="CN373" t="e">
        <f>AND('STERLING CATALOG - FZN &amp; CHILL'!B2993,"AAAAAHGcvFs=")</f>
        <v>#VALUE!</v>
      </c>
      <c r="CO373" t="e">
        <f>AND('STERLING CATALOG - FZN &amp; CHILL'!C2993,"AAAAAHGcvFw=")</f>
        <v>#VALUE!</v>
      </c>
      <c r="CP373" t="e">
        <f>AND('STERLING CATALOG - FZN &amp; CHILL'!D2993,"AAAAAHGcvF0=")</f>
        <v>#VALUE!</v>
      </c>
      <c r="CQ373" t="e">
        <f>AND('STERLING CATALOG - FZN &amp; CHILL'!E2993,"AAAAAHGcvF4=")</f>
        <v>#VALUE!</v>
      </c>
      <c r="CR373" t="e">
        <f>AND('STERLING CATALOG - FZN &amp; CHILL'!F2993,"AAAAAHGcvF8=")</f>
        <v>#VALUE!</v>
      </c>
      <c r="CS373" t="e">
        <f>AND('STERLING CATALOG - FZN &amp; CHILL'!G2993,"AAAAAHGcvGA=")</f>
        <v>#VALUE!</v>
      </c>
      <c r="CT373" t="e">
        <f>AND('STERLING CATALOG - FZN &amp; CHILL'!H2993,"AAAAAHGcvGE=")</f>
        <v>#VALUE!</v>
      </c>
      <c r="CU373" t="e">
        <f>AND('STERLING CATALOG - FZN &amp; CHILL'!I2993,"AAAAAHGcvGI=")</f>
        <v>#VALUE!</v>
      </c>
      <c r="CV373" t="e">
        <f>AND('STERLING CATALOG - FZN &amp; CHILL'!J2993,"AAAAAHGcvGM=")</f>
        <v>#VALUE!</v>
      </c>
      <c r="CW373">
        <f>IF('STERLING CATALOG - FZN &amp; CHILL'!2994:2994,"AAAAAHGcvGQ=",0)</f>
        <v>0</v>
      </c>
      <c r="CX373" t="e">
        <f>AND('STERLING CATALOG - FZN &amp; CHILL'!A2994,"AAAAAHGcvGU=")</f>
        <v>#VALUE!</v>
      </c>
      <c r="CY373" t="e">
        <f>AND('STERLING CATALOG - FZN &amp; CHILL'!B2994,"AAAAAHGcvGY=")</f>
        <v>#VALUE!</v>
      </c>
      <c r="CZ373" t="e">
        <f>AND('STERLING CATALOG - FZN &amp; CHILL'!C2994,"AAAAAHGcvGc=")</f>
        <v>#VALUE!</v>
      </c>
      <c r="DA373" t="e">
        <f>AND('STERLING CATALOG - FZN &amp; CHILL'!D2994,"AAAAAHGcvGg=")</f>
        <v>#VALUE!</v>
      </c>
      <c r="DB373" t="e">
        <f>AND('STERLING CATALOG - FZN &amp; CHILL'!E2994,"AAAAAHGcvGk=")</f>
        <v>#VALUE!</v>
      </c>
      <c r="DC373" t="e">
        <f>AND('STERLING CATALOG - FZN &amp; CHILL'!F2994,"AAAAAHGcvGo=")</f>
        <v>#VALUE!</v>
      </c>
      <c r="DD373" t="e">
        <f>AND('STERLING CATALOG - FZN &amp; CHILL'!G2994,"AAAAAHGcvGs=")</f>
        <v>#VALUE!</v>
      </c>
      <c r="DE373" t="e">
        <f>AND('STERLING CATALOG - FZN &amp; CHILL'!H2994,"AAAAAHGcvGw=")</f>
        <v>#VALUE!</v>
      </c>
      <c r="DF373" t="e">
        <f>AND('STERLING CATALOG - FZN &amp; CHILL'!I2994,"AAAAAHGcvG0=")</f>
        <v>#VALUE!</v>
      </c>
      <c r="DG373" t="e">
        <f>AND('STERLING CATALOG - FZN &amp; CHILL'!J2994,"AAAAAHGcvG4=")</f>
        <v>#VALUE!</v>
      </c>
      <c r="DH373">
        <f>IF('STERLING CATALOG - FZN &amp; CHILL'!2995:2995,"AAAAAHGcvG8=",0)</f>
        <v>0</v>
      </c>
      <c r="DI373" t="e">
        <f>AND('STERLING CATALOG - FZN &amp; CHILL'!A2995,"AAAAAHGcvHA=")</f>
        <v>#VALUE!</v>
      </c>
      <c r="DJ373" t="e">
        <f>AND('STERLING CATALOG - FZN &amp; CHILL'!B2995,"AAAAAHGcvHE=")</f>
        <v>#VALUE!</v>
      </c>
      <c r="DK373" t="e">
        <f>AND('STERLING CATALOG - FZN &amp; CHILL'!C2995,"AAAAAHGcvHI=")</f>
        <v>#VALUE!</v>
      </c>
      <c r="DL373" t="e">
        <f>AND('STERLING CATALOG - FZN &amp; CHILL'!D2995,"AAAAAHGcvHM=")</f>
        <v>#VALUE!</v>
      </c>
      <c r="DM373" t="e">
        <f>AND('STERLING CATALOG - FZN &amp; CHILL'!E2995,"AAAAAHGcvHQ=")</f>
        <v>#VALUE!</v>
      </c>
      <c r="DN373" t="e">
        <f>AND('STERLING CATALOG - FZN &amp; CHILL'!F2995,"AAAAAHGcvHU=")</f>
        <v>#VALUE!</v>
      </c>
      <c r="DO373" t="e">
        <f>AND('STERLING CATALOG - FZN &amp; CHILL'!G2995,"AAAAAHGcvHY=")</f>
        <v>#VALUE!</v>
      </c>
      <c r="DP373" t="e">
        <f>AND('STERLING CATALOG - FZN &amp; CHILL'!H2995,"AAAAAHGcvHc=")</f>
        <v>#VALUE!</v>
      </c>
      <c r="DQ373" t="e">
        <f>AND('STERLING CATALOG - FZN &amp; CHILL'!I2995,"AAAAAHGcvHg=")</f>
        <v>#VALUE!</v>
      </c>
      <c r="DR373" t="e">
        <f>AND('STERLING CATALOG - FZN &amp; CHILL'!J2995,"AAAAAHGcvHk=")</f>
        <v>#VALUE!</v>
      </c>
      <c r="DS373">
        <f>IF('STERLING CATALOG - FZN &amp; CHILL'!2996:2996,"AAAAAHGcvHo=",0)</f>
        <v>0</v>
      </c>
      <c r="DT373" t="e">
        <f>AND('STERLING CATALOG - FZN &amp; CHILL'!A2996,"AAAAAHGcvHs=")</f>
        <v>#VALUE!</v>
      </c>
      <c r="DU373" t="e">
        <f>AND('STERLING CATALOG - FZN &amp; CHILL'!B2996,"AAAAAHGcvHw=")</f>
        <v>#VALUE!</v>
      </c>
      <c r="DV373" t="e">
        <f>AND('STERLING CATALOG - FZN &amp; CHILL'!C2996,"AAAAAHGcvH0=")</f>
        <v>#VALUE!</v>
      </c>
      <c r="DW373" t="e">
        <f>AND('STERLING CATALOG - FZN &amp; CHILL'!D2996,"AAAAAHGcvH4=")</f>
        <v>#VALUE!</v>
      </c>
      <c r="DX373" t="e">
        <f>AND('STERLING CATALOG - FZN &amp; CHILL'!E2996,"AAAAAHGcvH8=")</f>
        <v>#VALUE!</v>
      </c>
      <c r="DY373" t="e">
        <f>AND('STERLING CATALOG - FZN &amp; CHILL'!F2996,"AAAAAHGcvIA=")</f>
        <v>#VALUE!</v>
      </c>
      <c r="DZ373" t="e">
        <f>AND('STERLING CATALOG - FZN &amp; CHILL'!G2996,"AAAAAHGcvIE=")</f>
        <v>#VALUE!</v>
      </c>
      <c r="EA373" t="e">
        <f>AND('STERLING CATALOG - FZN &amp; CHILL'!H2996,"AAAAAHGcvII=")</f>
        <v>#VALUE!</v>
      </c>
      <c r="EB373" t="e">
        <f>AND('STERLING CATALOG - FZN &amp; CHILL'!I2996,"AAAAAHGcvIM=")</f>
        <v>#VALUE!</v>
      </c>
      <c r="EC373" t="e">
        <f>AND('STERLING CATALOG - FZN &amp; CHILL'!J2996,"AAAAAHGcvIQ=")</f>
        <v>#VALUE!</v>
      </c>
      <c r="ED373">
        <f>IF('STERLING CATALOG - FZN &amp; CHILL'!2997:2997,"AAAAAHGcvIU=",0)</f>
        <v>0</v>
      </c>
      <c r="EE373" t="e">
        <f>AND('STERLING CATALOG - FZN &amp; CHILL'!A2997,"AAAAAHGcvIY=")</f>
        <v>#VALUE!</v>
      </c>
      <c r="EF373" t="e">
        <f>AND('STERLING CATALOG - FZN &amp; CHILL'!B2997,"AAAAAHGcvIc=")</f>
        <v>#VALUE!</v>
      </c>
      <c r="EG373" t="e">
        <f>AND('STERLING CATALOG - FZN &amp; CHILL'!C2997,"AAAAAHGcvIg=")</f>
        <v>#VALUE!</v>
      </c>
      <c r="EH373" t="e">
        <f>AND('STERLING CATALOG - FZN &amp; CHILL'!D2997,"AAAAAHGcvIk=")</f>
        <v>#VALUE!</v>
      </c>
      <c r="EI373" t="e">
        <f>AND('STERLING CATALOG - FZN &amp; CHILL'!E2997,"AAAAAHGcvIo=")</f>
        <v>#VALUE!</v>
      </c>
      <c r="EJ373" t="e">
        <f>AND('STERLING CATALOG - FZN &amp; CHILL'!F2997,"AAAAAHGcvIs=")</f>
        <v>#VALUE!</v>
      </c>
      <c r="EK373" t="e">
        <f>AND('STERLING CATALOG - FZN &amp; CHILL'!G2997,"AAAAAHGcvIw=")</f>
        <v>#VALUE!</v>
      </c>
      <c r="EL373" t="e">
        <f>AND('STERLING CATALOG - FZN &amp; CHILL'!H2997,"AAAAAHGcvI0=")</f>
        <v>#VALUE!</v>
      </c>
      <c r="EM373" t="e">
        <f>AND('STERLING CATALOG - FZN &amp; CHILL'!I2997,"AAAAAHGcvI4=")</f>
        <v>#VALUE!</v>
      </c>
      <c r="EN373" t="e">
        <f>AND('STERLING CATALOG - FZN &amp; CHILL'!J2997,"AAAAAHGcvI8=")</f>
        <v>#VALUE!</v>
      </c>
      <c r="EO373">
        <f>IF('STERLING CATALOG - FZN &amp; CHILL'!2998:2998,"AAAAAHGcvJA=",0)</f>
        <v>0</v>
      </c>
      <c r="EP373" t="e">
        <f>AND('STERLING CATALOG - FZN &amp; CHILL'!A2998,"AAAAAHGcvJE=")</f>
        <v>#VALUE!</v>
      </c>
      <c r="EQ373" t="e">
        <f>AND('STERLING CATALOG - FZN &amp; CHILL'!B2998,"AAAAAHGcvJI=")</f>
        <v>#VALUE!</v>
      </c>
      <c r="ER373" t="e">
        <f>AND('STERLING CATALOG - FZN &amp; CHILL'!C2998,"AAAAAHGcvJM=")</f>
        <v>#VALUE!</v>
      </c>
      <c r="ES373" t="e">
        <f>AND('STERLING CATALOG - FZN &amp; CHILL'!D2998,"AAAAAHGcvJQ=")</f>
        <v>#VALUE!</v>
      </c>
      <c r="ET373" t="e">
        <f>AND('STERLING CATALOG - FZN &amp; CHILL'!E2998,"AAAAAHGcvJU=")</f>
        <v>#VALUE!</v>
      </c>
      <c r="EU373" t="e">
        <f>AND('STERLING CATALOG - FZN &amp; CHILL'!F2998,"AAAAAHGcvJY=")</f>
        <v>#VALUE!</v>
      </c>
      <c r="EV373" t="e">
        <f>AND('STERLING CATALOG - FZN &amp; CHILL'!G2998,"AAAAAHGcvJc=")</f>
        <v>#VALUE!</v>
      </c>
      <c r="EW373" t="e">
        <f>AND('STERLING CATALOG - FZN &amp; CHILL'!H2998,"AAAAAHGcvJg=")</f>
        <v>#VALUE!</v>
      </c>
      <c r="EX373" t="e">
        <f>AND('STERLING CATALOG - FZN &amp; CHILL'!I2998,"AAAAAHGcvJk=")</f>
        <v>#VALUE!</v>
      </c>
      <c r="EY373" t="e">
        <f>AND('STERLING CATALOG - FZN &amp; CHILL'!J2998,"AAAAAHGcvJo=")</f>
        <v>#VALUE!</v>
      </c>
      <c r="EZ373">
        <f>IF('STERLING CATALOG - FZN &amp; CHILL'!2999:2999,"AAAAAHGcvJs=",0)</f>
        <v>0</v>
      </c>
      <c r="FA373" t="e">
        <f>AND('STERLING CATALOG - FZN &amp; CHILL'!A2999,"AAAAAHGcvJw=")</f>
        <v>#VALUE!</v>
      </c>
      <c r="FB373" t="e">
        <f>AND('STERLING CATALOG - FZN &amp; CHILL'!B2999,"AAAAAHGcvJ0=")</f>
        <v>#VALUE!</v>
      </c>
      <c r="FC373" t="e">
        <f>AND('STERLING CATALOG - FZN &amp; CHILL'!C2999,"AAAAAHGcvJ4=")</f>
        <v>#VALUE!</v>
      </c>
      <c r="FD373" t="e">
        <f>AND('STERLING CATALOG - FZN &amp; CHILL'!D2999,"AAAAAHGcvJ8=")</f>
        <v>#VALUE!</v>
      </c>
      <c r="FE373" t="e">
        <f>AND('STERLING CATALOG - FZN &amp; CHILL'!E2999,"AAAAAHGcvKA=")</f>
        <v>#VALUE!</v>
      </c>
      <c r="FF373" t="e">
        <f>AND('STERLING CATALOG - FZN &amp; CHILL'!F2999,"AAAAAHGcvKE=")</f>
        <v>#VALUE!</v>
      </c>
      <c r="FG373" t="e">
        <f>AND('STERLING CATALOG - FZN &amp; CHILL'!G2999,"AAAAAHGcvKI=")</f>
        <v>#VALUE!</v>
      </c>
      <c r="FH373" t="e">
        <f>AND('STERLING CATALOG - FZN &amp; CHILL'!H2999,"AAAAAHGcvKM=")</f>
        <v>#VALUE!</v>
      </c>
      <c r="FI373" t="e">
        <f>AND('STERLING CATALOG - FZN &amp; CHILL'!I2999,"AAAAAHGcvKQ=")</f>
        <v>#VALUE!</v>
      </c>
      <c r="FJ373" t="e">
        <f>AND('STERLING CATALOG - FZN &amp; CHILL'!J2999,"AAAAAHGcvKU=")</f>
        <v>#VALUE!</v>
      </c>
      <c r="FK373">
        <f>IF('STERLING CATALOG - FZN &amp; CHILL'!3000:3000,"AAAAAHGcvKY=",0)</f>
        <v>0</v>
      </c>
      <c r="FL373" t="e">
        <f>AND('STERLING CATALOG - FZN &amp; CHILL'!A3000,"AAAAAHGcvKc=")</f>
        <v>#VALUE!</v>
      </c>
      <c r="FM373" t="e">
        <f>AND('STERLING CATALOG - FZN &amp; CHILL'!B3000,"AAAAAHGcvKg=")</f>
        <v>#VALUE!</v>
      </c>
      <c r="FN373" t="e">
        <f>AND('STERLING CATALOG - FZN &amp; CHILL'!C3000,"AAAAAHGcvKk=")</f>
        <v>#VALUE!</v>
      </c>
      <c r="FO373" t="e">
        <f>AND('STERLING CATALOG - FZN &amp; CHILL'!D3000,"AAAAAHGcvKo=")</f>
        <v>#VALUE!</v>
      </c>
      <c r="FP373" t="e">
        <f>AND('STERLING CATALOG - FZN &amp; CHILL'!E3000,"AAAAAHGcvKs=")</f>
        <v>#VALUE!</v>
      </c>
      <c r="FQ373" t="e">
        <f>AND('STERLING CATALOG - FZN &amp; CHILL'!F3000,"AAAAAHGcvKw=")</f>
        <v>#VALUE!</v>
      </c>
      <c r="FR373" t="e">
        <f>AND('STERLING CATALOG - FZN &amp; CHILL'!G3000,"AAAAAHGcvK0=")</f>
        <v>#VALUE!</v>
      </c>
      <c r="FS373" t="e">
        <f>AND('STERLING CATALOG - FZN &amp; CHILL'!H3000,"AAAAAHGcvK4=")</f>
        <v>#VALUE!</v>
      </c>
      <c r="FT373" t="e">
        <f>AND('STERLING CATALOG - FZN &amp; CHILL'!I3000,"AAAAAHGcvK8=")</f>
        <v>#VALUE!</v>
      </c>
      <c r="FU373" t="e">
        <f>AND('STERLING CATALOG - FZN &amp; CHILL'!J3000,"AAAAAHGcvLA=")</f>
        <v>#VALUE!</v>
      </c>
      <c r="FV373">
        <f>IF('STERLING CATALOG - FZN &amp; CHILL'!3001:3001,"AAAAAHGcvLE=",0)</f>
        <v>0</v>
      </c>
      <c r="FW373" t="e">
        <f>AND('STERLING CATALOG - FZN &amp; CHILL'!A3001,"AAAAAHGcvLI=")</f>
        <v>#VALUE!</v>
      </c>
      <c r="FX373" t="e">
        <f>AND('STERLING CATALOG - FZN &amp; CHILL'!B3001,"AAAAAHGcvLM=")</f>
        <v>#VALUE!</v>
      </c>
      <c r="FY373" t="e">
        <f>AND('STERLING CATALOG - FZN &amp; CHILL'!C3001,"AAAAAHGcvLQ=")</f>
        <v>#VALUE!</v>
      </c>
      <c r="FZ373" t="e">
        <f>AND('STERLING CATALOG - FZN &amp; CHILL'!D3001,"AAAAAHGcvLU=")</f>
        <v>#VALUE!</v>
      </c>
      <c r="GA373" t="e">
        <f>AND('STERLING CATALOG - FZN &amp; CHILL'!E3001,"AAAAAHGcvLY=")</f>
        <v>#VALUE!</v>
      </c>
      <c r="GB373" t="e">
        <f>AND('STERLING CATALOG - FZN &amp; CHILL'!F3001,"AAAAAHGcvLc=")</f>
        <v>#VALUE!</v>
      </c>
      <c r="GC373" t="e">
        <f>AND('STERLING CATALOG - FZN &amp; CHILL'!G3001,"AAAAAHGcvLg=")</f>
        <v>#VALUE!</v>
      </c>
      <c r="GD373" t="e">
        <f>AND('STERLING CATALOG - FZN &amp; CHILL'!H3001,"AAAAAHGcvLk=")</f>
        <v>#VALUE!</v>
      </c>
      <c r="GE373" t="e">
        <f>AND('STERLING CATALOG - FZN &amp; CHILL'!I3001,"AAAAAHGcvLo=")</f>
        <v>#VALUE!</v>
      </c>
      <c r="GF373" t="e">
        <f>AND('STERLING CATALOG - FZN &amp; CHILL'!J3001,"AAAAAHGcvLs=")</f>
        <v>#VALUE!</v>
      </c>
      <c r="GG373">
        <f>IF('STERLING CATALOG - FZN &amp; CHILL'!3002:3002,"AAAAAHGcvLw=",0)</f>
        <v>0</v>
      </c>
      <c r="GH373" t="e">
        <f>AND('STERLING CATALOG - FZN &amp; CHILL'!A3002,"AAAAAHGcvL0=")</f>
        <v>#VALUE!</v>
      </c>
      <c r="GI373" t="e">
        <f>AND('STERLING CATALOG - FZN &amp; CHILL'!B3002,"AAAAAHGcvL4=")</f>
        <v>#VALUE!</v>
      </c>
      <c r="GJ373" t="e">
        <f>AND('STERLING CATALOG - FZN &amp; CHILL'!C3002,"AAAAAHGcvL8=")</f>
        <v>#VALUE!</v>
      </c>
      <c r="GK373" t="e">
        <f>AND('STERLING CATALOG - FZN &amp; CHILL'!D3002,"AAAAAHGcvMA=")</f>
        <v>#VALUE!</v>
      </c>
      <c r="GL373" t="e">
        <f>AND('STERLING CATALOG - FZN &amp; CHILL'!E3002,"AAAAAHGcvME=")</f>
        <v>#VALUE!</v>
      </c>
      <c r="GM373" t="e">
        <f>AND('STERLING CATALOG - FZN &amp; CHILL'!F3002,"AAAAAHGcvMI=")</f>
        <v>#VALUE!</v>
      </c>
      <c r="GN373" t="e">
        <f>AND('STERLING CATALOG - FZN &amp; CHILL'!G3002,"AAAAAHGcvMM=")</f>
        <v>#VALUE!</v>
      </c>
      <c r="GO373" t="e">
        <f>AND('STERLING CATALOG - FZN &amp; CHILL'!H3002,"AAAAAHGcvMQ=")</f>
        <v>#VALUE!</v>
      </c>
      <c r="GP373" t="e">
        <f>AND('STERLING CATALOG - FZN &amp; CHILL'!I3002,"AAAAAHGcvMU=")</f>
        <v>#VALUE!</v>
      </c>
      <c r="GQ373" t="e">
        <f>AND('STERLING CATALOG - FZN &amp; CHILL'!J3002,"AAAAAHGcvMY=")</f>
        <v>#VALUE!</v>
      </c>
      <c r="GR373">
        <f>IF('STERLING CATALOG - FZN &amp; CHILL'!3003:3003,"AAAAAHGcvMc=",0)</f>
        <v>0</v>
      </c>
      <c r="GS373" t="e">
        <f>AND('STERLING CATALOG - FZN &amp; CHILL'!A3003,"AAAAAHGcvMg=")</f>
        <v>#VALUE!</v>
      </c>
      <c r="GT373" t="e">
        <f>AND('STERLING CATALOG - FZN &amp; CHILL'!B3003,"AAAAAHGcvMk=")</f>
        <v>#VALUE!</v>
      </c>
      <c r="GU373" t="e">
        <f>AND('STERLING CATALOG - FZN &amp; CHILL'!C3003,"AAAAAHGcvMo=")</f>
        <v>#VALUE!</v>
      </c>
      <c r="GV373" t="e">
        <f>AND('STERLING CATALOG - FZN &amp; CHILL'!D3003,"AAAAAHGcvMs=")</f>
        <v>#VALUE!</v>
      </c>
      <c r="GW373" t="e">
        <f>AND('STERLING CATALOG - FZN &amp; CHILL'!E3003,"AAAAAHGcvMw=")</f>
        <v>#VALUE!</v>
      </c>
      <c r="GX373" t="e">
        <f>AND('STERLING CATALOG - FZN &amp; CHILL'!F3003,"AAAAAHGcvM0=")</f>
        <v>#VALUE!</v>
      </c>
      <c r="GY373" t="e">
        <f>AND('STERLING CATALOG - FZN &amp; CHILL'!G3003,"AAAAAHGcvM4=")</f>
        <v>#VALUE!</v>
      </c>
      <c r="GZ373" t="e">
        <f>AND('STERLING CATALOG - FZN &amp; CHILL'!H3003,"AAAAAHGcvM8=")</f>
        <v>#VALUE!</v>
      </c>
      <c r="HA373" t="e">
        <f>AND('STERLING CATALOG - FZN &amp; CHILL'!I3003,"AAAAAHGcvNA=")</f>
        <v>#VALUE!</v>
      </c>
      <c r="HB373" t="e">
        <f>AND('STERLING CATALOG - FZN &amp; CHILL'!J3003,"AAAAAHGcvNE=")</f>
        <v>#VALUE!</v>
      </c>
      <c r="HC373">
        <f>IF('STERLING CATALOG - FZN &amp; CHILL'!3004:3004,"AAAAAHGcvNI=",0)</f>
        <v>0</v>
      </c>
      <c r="HD373" t="e">
        <f>AND('STERLING CATALOG - FZN &amp; CHILL'!A3004,"AAAAAHGcvNM=")</f>
        <v>#VALUE!</v>
      </c>
      <c r="HE373" t="e">
        <f>AND('STERLING CATALOG - FZN &amp; CHILL'!B3004,"AAAAAHGcvNQ=")</f>
        <v>#VALUE!</v>
      </c>
      <c r="HF373" t="e">
        <f>AND('STERLING CATALOG - FZN &amp; CHILL'!C3004,"AAAAAHGcvNU=")</f>
        <v>#VALUE!</v>
      </c>
      <c r="HG373" t="e">
        <f>AND('STERLING CATALOG - FZN &amp; CHILL'!D3004,"AAAAAHGcvNY=")</f>
        <v>#VALUE!</v>
      </c>
      <c r="HH373" t="e">
        <f>AND('STERLING CATALOG - FZN &amp; CHILL'!E3004,"AAAAAHGcvNc=")</f>
        <v>#VALUE!</v>
      </c>
      <c r="HI373" t="e">
        <f>AND('STERLING CATALOG - FZN &amp; CHILL'!F3004,"AAAAAHGcvNg=")</f>
        <v>#VALUE!</v>
      </c>
      <c r="HJ373" t="e">
        <f>AND('STERLING CATALOG - FZN &amp; CHILL'!G3004,"AAAAAHGcvNk=")</f>
        <v>#VALUE!</v>
      </c>
      <c r="HK373" t="e">
        <f>AND('STERLING CATALOG - FZN &amp; CHILL'!H3004,"AAAAAHGcvNo=")</f>
        <v>#VALUE!</v>
      </c>
      <c r="HL373" t="e">
        <f>AND('STERLING CATALOG - FZN &amp; CHILL'!I3004,"AAAAAHGcvNs=")</f>
        <v>#VALUE!</v>
      </c>
      <c r="HM373" t="e">
        <f>AND('STERLING CATALOG - FZN &amp; CHILL'!J3004,"AAAAAHGcvNw=")</f>
        <v>#VALUE!</v>
      </c>
      <c r="HN373">
        <f>IF('STERLING CATALOG - FZN &amp; CHILL'!3005:3005,"AAAAAHGcvN0=",0)</f>
        <v>0</v>
      </c>
      <c r="HO373" t="e">
        <f>AND('STERLING CATALOG - FZN &amp; CHILL'!A3005,"AAAAAHGcvN4=")</f>
        <v>#VALUE!</v>
      </c>
      <c r="HP373" t="e">
        <f>AND('STERLING CATALOG - FZN &amp; CHILL'!B3005,"AAAAAHGcvN8=")</f>
        <v>#VALUE!</v>
      </c>
      <c r="HQ373" t="e">
        <f>AND('STERLING CATALOG - FZN &amp; CHILL'!C3005,"AAAAAHGcvOA=")</f>
        <v>#VALUE!</v>
      </c>
      <c r="HR373" t="e">
        <f>AND('STERLING CATALOG - FZN &amp; CHILL'!D3005,"AAAAAHGcvOE=")</f>
        <v>#VALUE!</v>
      </c>
      <c r="HS373" t="e">
        <f>AND('STERLING CATALOG - FZN &amp; CHILL'!E3005,"AAAAAHGcvOI=")</f>
        <v>#VALUE!</v>
      </c>
      <c r="HT373" t="e">
        <f>AND('STERLING CATALOG - FZN &amp; CHILL'!F3005,"AAAAAHGcvOM=")</f>
        <v>#VALUE!</v>
      </c>
      <c r="HU373" t="e">
        <f>AND('STERLING CATALOG - FZN &amp; CHILL'!G3005,"AAAAAHGcvOQ=")</f>
        <v>#VALUE!</v>
      </c>
      <c r="HV373" t="e">
        <f>AND('STERLING CATALOG - FZN &amp; CHILL'!H3005,"AAAAAHGcvOU=")</f>
        <v>#VALUE!</v>
      </c>
      <c r="HW373" t="e">
        <f>AND('STERLING CATALOG - FZN &amp; CHILL'!I3005,"AAAAAHGcvOY=")</f>
        <v>#VALUE!</v>
      </c>
      <c r="HX373" t="e">
        <f>AND('STERLING CATALOG - FZN &amp; CHILL'!J3005,"AAAAAHGcvOc=")</f>
        <v>#VALUE!</v>
      </c>
      <c r="HY373">
        <f>IF('STERLING CATALOG - FZN &amp; CHILL'!3006:3006,"AAAAAHGcvOg=",0)</f>
        <v>0</v>
      </c>
      <c r="HZ373" t="e">
        <f>AND('STERLING CATALOG - FZN &amp; CHILL'!A3006,"AAAAAHGcvOk=")</f>
        <v>#VALUE!</v>
      </c>
      <c r="IA373" t="e">
        <f>AND('STERLING CATALOG - FZN &amp; CHILL'!B3006,"AAAAAHGcvOo=")</f>
        <v>#VALUE!</v>
      </c>
      <c r="IB373" t="e">
        <f>AND('STERLING CATALOG - FZN &amp; CHILL'!C3006,"AAAAAHGcvOs=")</f>
        <v>#VALUE!</v>
      </c>
      <c r="IC373" t="e">
        <f>AND('STERLING CATALOG - FZN &amp; CHILL'!D3006,"AAAAAHGcvOw=")</f>
        <v>#VALUE!</v>
      </c>
      <c r="ID373" t="e">
        <f>AND('STERLING CATALOG - FZN &amp; CHILL'!E3006,"AAAAAHGcvO0=")</f>
        <v>#VALUE!</v>
      </c>
      <c r="IE373" t="e">
        <f>AND('STERLING CATALOG - FZN &amp; CHILL'!F3006,"AAAAAHGcvO4=")</f>
        <v>#VALUE!</v>
      </c>
      <c r="IF373" t="e">
        <f>AND('STERLING CATALOG - FZN &amp; CHILL'!G3006,"AAAAAHGcvO8=")</f>
        <v>#VALUE!</v>
      </c>
      <c r="IG373" t="e">
        <f>AND('STERLING CATALOG - FZN &amp; CHILL'!H3006,"AAAAAHGcvPA=")</f>
        <v>#VALUE!</v>
      </c>
      <c r="IH373" t="e">
        <f>AND('STERLING CATALOG - FZN &amp; CHILL'!I3006,"AAAAAHGcvPE=")</f>
        <v>#VALUE!</v>
      </c>
      <c r="II373" t="e">
        <f>AND('STERLING CATALOG - FZN &amp; CHILL'!J3006,"AAAAAHGcvPI=")</f>
        <v>#VALUE!</v>
      </c>
      <c r="IJ373">
        <f>IF('STERLING CATALOG - FZN &amp; CHILL'!3007:3007,"AAAAAHGcvPM=",0)</f>
        <v>0</v>
      </c>
      <c r="IK373" t="e">
        <f>AND('STERLING CATALOG - FZN &amp; CHILL'!A3007,"AAAAAHGcvPQ=")</f>
        <v>#VALUE!</v>
      </c>
      <c r="IL373" t="e">
        <f>AND('STERLING CATALOG - FZN &amp; CHILL'!B3007,"AAAAAHGcvPU=")</f>
        <v>#VALUE!</v>
      </c>
      <c r="IM373" t="e">
        <f>AND('STERLING CATALOG - FZN &amp; CHILL'!C3007,"AAAAAHGcvPY=")</f>
        <v>#VALUE!</v>
      </c>
      <c r="IN373" t="e">
        <f>AND('STERLING CATALOG - FZN &amp; CHILL'!D3007,"AAAAAHGcvPc=")</f>
        <v>#VALUE!</v>
      </c>
      <c r="IO373" t="e">
        <f>AND('STERLING CATALOG - FZN &amp; CHILL'!E3007,"AAAAAHGcvPg=")</f>
        <v>#VALUE!</v>
      </c>
      <c r="IP373" t="e">
        <f>AND('STERLING CATALOG - FZN &amp; CHILL'!F3007,"AAAAAHGcvPk=")</f>
        <v>#VALUE!</v>
      </c>
      <c r="IQ373" t="e">
        <f>AND('STERLING CATALOG - FZN &amp; CHILL'!G3007,"AAAAAHGcvPo=")</f>
        <v>#VALUE!</v>
      </c>
      <c r="IR373" t="e">
        <f>AND('STERLING CATALOG - FZN &amp; CHILL'!H3007,"AAAAAHGcvPs=")</f>
        <v>#VALUE!</v>
      </c>
      <c r="IS373" t="e">
        <f>AND('STERLING CATALOG - FZN &amp; CHILL'!I3007,"AAAAAHGcvPw=")</f>
        <v>#VALUE!</v>
      </c>
      <c r="IT373" t="e">
        <f>AND('STERLING CATALOG - FZN &amp; CHILL'!J3007,"AAAAAHGcvP0=")</f>
        <v>#VALUE!</v>
      </c>
      <c r="IU373">
        <f>IF('STERLING CATALOG - FZN &amp; CHILL'!3008:3008,"AAAAAHGcvP4=",0)</f>
        <v>0</v>
      </c>
      <c r="IV373" t="e">
        <f>AND('STERLING CATALOG - FZN &amp; CHILL'!A3008,"AAAAAHGcvP8=")</f>
        <v>#VALUE!</v>
      </c>
    </row>
    <row r="374" spans="1:256">
      <c r="A374" t="e">
        <f>AND('STERLING CATALOG - FZN &amp; CHILL'!B3008,"AAAAAGu9SwA=")</f>
        <v>#VALUE!</v>
      </c>
      <c r="B374" t="e">
        <f>AND('STERLING CATALOG - FZN &amp; CHILL'!C3008,"AAAAAGu9SwE=")</f>
        <v>#VALUE!</v>
      </c>
      <c r="C374" t="e">
        <f>AND('STERLING CATALOG - FZN &amp; CHILL'!D3008,"AAAAAGu9SwI=")</f>
        <v>#VALUE!</v>
      </c>
      <c r="D374" t="e">
        <f>AND('STERLING CATALOG - FZN &amp; CHILL'!E3008,"AAAAAGu9SwM=")</f>
        <v>#VALUE!</v>
      </c>
      <c r="E374" t="e">
        <f>AND('STERLING CATALOG - FZN &amp; CHILL'!F3008,"AAAAAGu9SwQ=")</f>
        <v>#VALUE!</v>
      </c>
      <c r="F374" t="e">
        <f>AND('STERLING CATALOG - FZN &amp; CHILL'!G3008,"AAAAAGu9SwU=")</f>
        <v>#VALUE!</v>
      </c>
      <c r="G374" t="e">
        <f>AND('STERLING CATALOG - FZN &amp; CHILL'!H3008,"AAAAAGu9SwY=")</f>
        <v>#VALUE!</v>
      </c>
      <c r="H374" t="e">
        <f>AND('STERLING CATALOG - FZN &amp; CHILL'!I3008,"AAAAAGu9Swc=")</f>
        <v>#VALUE!</v>
      </c>
      <c r="I374" t="e">
        <f>AND('STERLING CATALOG - FZN &amp; CHILL'!J3008,"AAAAAGu9Swg=")</f>
        <v>#VALUE!</v>
      </c>
      <c r="J374" t="e">
        <f>IF('STERLING CATALOG - FZN &amp; CHILL'!3009:3009,"AAAAAGu9Swk=",0)</f>
        <v>#VALUE!</v>
      </c>
      <c r="K374" t="e">
        <f>AND('STERLING CATALOG - FZN &amp; CHILL'!A3009,"AAAAAGu9Swo=")</f>
        <v>#VALUE!</v>
      </c>
      <c r="L374" t="e">
        <f>AND('STERLING CATALOG - FZN &amp; CHILL'!B3009,"AAAAAGu9Sws=")</f>
        <v>#VALUE!</v>
      </c>
      <c r="M374" t="e">
        <f>AND('STERLING CATALOG - FZN &amp; CHILL'!C3009,"AAAAAGu9Sww=")</f>
        <v>#VALUE!</v>
      </c>
      <c r="N374" t="e">
        <f>AND('STERLING CATALOG - FZN &amp; CHILL'!D3009,"AAAAAGu9Sw0=")</f>
        <v>#VALUE!</v>
      </c>
      <c r="O374" t="e">
        <f>AND('STERLING CATALOG - FZN &amp; CHILL'!E3009,"AAAAAGu9Sw4=")</f>
        <v>#VALUE!</v>
      </c>
      <c r="P374" t="e">
        <f>AND('STERLING CATALOG - FZN &amp; CHILL'!F3009,"AAAAAGu9Sw8=")</f>
        <v>#VALUE!</v>
      </c>
      <c r="Q374" t="e">
        <f>AND('STERLING CATALOG - FZN &amp; CHILL'!G3009,"AAAAAGu9SxA=")</f>
        <v>#VALUE!</v>
      </c>
      <c r="R374" t="e">
        <f>AND('STERLING CATALOG - FZN &amp; CHILL'!H3009,"AAAAAGu9SxE=")</f>
        <v>#VALUE!</v>
      </c>
      <c r="S374" t="e">
        <f>AND('STERLING CATALOG - FZN &amp; CHILL'!I3009,"AAAAAGu9SxI=")</f>
        <v>#VALUE!</v>
      </c>
      <c r="T374" t="e">
        <f>AND('STERLING CATALOG - FZN &amp; CHILL'!J3009,"AAAAAGu9SxM=")</f>
        <v>#VALUE!</v>
      </c>
      <c r="U374">
        <f>IF('STERLING CATALOG - FZN &amp; CHILL'!3010:3010,"AAAAAGu9SxQ=",0)</f>
        <v>0</v>
      </c>
      <c r="V374" t="e">
        <f>AND('STERLING CATALOG - FZN &amp; CHILL'!A3010,"AAAAAGu9SxU=")</f>
        <v>#VALUE!</v>
      </c>
      <c r="W374" t="e">
        <f>AND('STERLING CATALOG - FZN &amp; CHILL'!B3010,"AAAAAGu9SxY=")</f>
        <v>#VALUE!</v>
      </c>
      <c r="X374" t="e">
        <f>AND('STERLING CATALOG - FZN &amp; CHILL'!C3010,"AAAAAGu9Sxc=")</f>
        <v>#VALUE!</v>
      </c>
      <c r="Y374" t="e">
        <f>AND('STERLING CATALOG - FZN &amp; CHILL'!D3010,"AAAAAGu9Sxg=")</f>
        <v>#VALUE!</v>
      </c>
      <c r="Z374" t="e">
        <f>AND('STERLING CATALOG - FZN &amp; CHILL'!E3010,"AAAAAGu9Sxk=")</f>
        <v>#VALUE!</v>
      </c>
      <c r="AA374" t="e">
        <f>AND('STERLING CATALOG - FZN &amp; CHILL'!F3010,"AAAAAGu9Sxo=")</f>
        <v>#VALUE!</v>
      </c>
      <c r="AB374" t="e">
        <f>AND('STERLING CATALOG - FZN &amp; CHILL'!G3010,"AAAAAGu9Sxs=")</f>
        <v>#VALUE!</v>
      </c>
      <c r="AC374" t="e">
        <f>AND('STERLING CATALOG - FZN &amp; CHILL'!H3010,"AAAAAGu9Sxw=")</f>
        <v>#VALUE!</v>
      </c>
      <c r="AD374" t="e">
        <f>AND('STERLING CATALOG - FZN &amp; CHILL'!I3010,"AAAAAGu9Sx0=")</f>
        <v>#VALUE!</v>
      </c>
      <c r="AE374" t="e">
        <f>AND('STERLING CATALOG - FZN &amp; CHILL'!J3010,"AAAAAGu9Sx4=")</f>
        <v>#VALUE!</v>
      </c>
      <c r="AF374">
        <f>IF('STERLING CATALOG - FZN &amp; CHILL'!3011:3011,"AAAAAGu9Sx8=",0)</f>
        <v>0</v>
      </c>
      <c r="AG374" t="e">
        <f>AND('STERLING CATALOG - FZN &amp; CHILL'!A3011,"AAAAAGu9SyA=")</f>
        <v>#VALUE!</v>
      </c>
      <c r="AH374" t="e">
        <f>AND('STERLING CATALOG - FZN &amp; CHILL'!B3011,"AAAAAGu9SyE=")</f>
        <v>#VALUE!</v>
      </c>
      <c r="AI374" t="e">
        <f>AND('STERLING CATALOG - FZN &amp; CHILL'!C3011,"AAAAAGu9SyI=")</f>
        <v>#VALUE!</v>
      </c>
      <c r="AJ374" t="e">
        <f>AND('STERLING CATALOG - FZN &amp; CHILL'!D3011,"AAAAAGu9SyM=")</f>
        <v>#VALUE!</v>
      </c>
      <c r="AK374" t="e">
        <f>AND('STERLING CATALOG - FZN &amp; CHILL'!E3011,"AAAAAGu9SyQ=")</f>
        <v>#VALUE!</v>
      </c>
      <c r="AL374" t="e">
        <f>AND('STERLING CATALOG - FZN &amp; CHILL'!F3011,"AAAAAGu9SyU=")</f>
        <v>#VALUE!</v>
      </c>
      <c r="AM374" t="e">
        <f>AND('STERLING CATALOG - FZN &amp; CHILL'!G3011,"AAAAAGu9SyY=")</f>
        <v>#VALUE!</v>
      </c>
      <c r="AN374" t="e">
        <f>AND('STERLING CATALOG - FZN &amp; CHILL'!H3011,"AAAAAGu9Syc=")</f>
        <v>#VALUE!</v>
      </c>
      <c r="AO374" t="e">
        <f>AND('STERLING CATALOG - FZN &amp; CHILL'!I3011,"AAAAAGu9Syg=")</f>
        <v>#VALUE!</v>
      </c>
      <c r="AP374" t="e">
        <f>AND('STERLING CATALOG - FZN &amp; CHILL'!J3011,"AAAAAGu9Syk=")</f>
        <v>#VALUE!</v>
      </c>
      <c r="AQ374">
        <f>IF('STERLING CATALOG - FZN &amp; CHILL'!3012:3012,"AAAAAGu9Syo=",0)</f>
        <v>0</v>
      </c>
      <c r="AR374" t="e">
        <f>AND('STERLING CATALOG - FZN &amp; CHILL'!A3012,"AAAAAGu9Sys=")</f>
        <v>#VALUE!</v>
      </c>
      <c r="AS374" t="e">
        <f>AND('STERLING CATALOG - FZN &amp; CHILL'!B3012,"AAAAAGu9Syw=")</f>
        <v>#VALUE!</v>
      </c>
      <c r="AT374" t="e">
        <f>AND('STERLING CATALOG - FZN &amp; CHILL'!C3012,"AAAAAGu9Sy0=")</f>
        <v>#VALUE!</v>
      </c>
      <c r="AU374" t="e">
        <f>AND('STERLING CATALOG - FZN &amp; CHILL'!D3012,"AAAAAGu9Sy4=")</f>
        <v>#VALUE!</v>
      </c>
      <c r="AV374" t="e">
        <f>AND('STERLING CATALOG - FZN &amp; CHILL'!E3012,"AAAAAGu9Sy8=")</f>
        <v>#VALUE!</v>
      </c>
      <c r="AW374" t="e">
        <f>AND('STERLING CATALOG - FZN &amp; CHILL'!F3012,"AAAAAGu9SzA=")</f>
        <v>#VALUE!</v>
      </c>
      <c r="AX374" t="e">
        <f>AND('STERLING CATALOG - FZN &amp; CHILL'!G3012,"AAAAAGu9SzE=")</f>
        <v>#VALUE!</v>
      </c>
      <c r="AY374" t="e">
        <f>AND('STERLING CATALOG - FZN &amp; CHILL'!H3012,"AAAAAGu9SzI=")</f>
        <v>#VALUE!</v>
      </c>
      <c r="AZ374" t="e">
        <f>AND('STERLING CATALOG - FZN &amp; CHILL'!I3012,"AAAAAGu9SzM=")</f>
        <v>#VALUE!</v>
      </c>
      <c r="BA374" t="e">
        <f>AND('STERLING CATALOG - FZN &amp; CHILL'!J3012,"AAAAAGu9SzQ=")</f>
        <v>#VALUE!</v>
      </c>
      <c r="BB374">
        <f>IF('STERLING CATALOG - FZN &amp; CHILL'!3013:3013,"AAAAAGu9SzU=",0)</f>
        <v>0</v>
      </c>
      <c r="BC374" t="e">
        <f>AND('STERLING CATALOG - FZN &amp; CHILL'!A3013,"AAAAAGu9SzY=")</f>
        <v>#VALUE!</v>
      </c>
      <c r="BD374" t="e">
        <f>AND('STERLING CATALOG - FZN &amp; CHILL'!B3013,"AAAAAGu9Szc=")</f>
        <v>#VALUE!</v>
      </c>
      <c r="BE374" t="e">
        <f>AND('STERLING CATALOG - FZN &amp; CHILL'!C3013,"AAAAAGu9Szg=")</f>
        <v>#VALUE!</v>
      </c>
      <c r="BF374" t="e">
        <f>AND('STERLING CATALOG - FZN &amp; CHILL'!D3013,"AAAAAGu9Szk=")</f>
        <v>#VALUE!</v>
      </c>
      <c r="BG374" t="e">
        <f>AND('STERLING CATALOG - FZN &amp; CHILL'!E3013,"AAAAAGu9Szo=")</f>
        <v>#VALUE!</v>
      </c>
      <c r="BH374" t="e">
        <f>AND('STERLING CATALOG - FZN &amp; CHILL'!F3013,"AAAAAGu9Szs=")</f>
        <v>#VALUE!</v>
      </c>
      <c r="BI374" t="e">
        <f>AND('STERLING CATALOG - FZN &amp; CHILL'!G3013,"AAAAAGu9Szw=")</f>
        <v>#VALUE!</v>
      </c>
      <c r="BJ374" t="e">
        <f>AND('STERLING CATALOG - FZN &amp; CHILL'!H3013,"AAAAAGu9Sz0=")</f>
        <v>#VALUE!</v>
      </c>
      <c r="BK374" t="e">
        <f>AND('STERLING CATALOG - FZN &amp; CHILL'!I3013,"AAAAAGu9Sz4=")</f>
        <v>#VALUE!</v>
      </c>
      <c r="BL374" t="e">
        <f>AND('STERLING CATALOG - FZN &amp; CHILL'!J3013,"AAAAAGu9Sz8=")</f>
        <v>#VALUE!</v>
      </c>
      <c r="BM374">
        <f>IF('STERLING CATALOG - FZN &amp; CHILL'!3014:3014,"AAAAAGu9S0A=",0)</f>
        <v>0</v>
      </c>
      <c r="BN374" t="e">
        <f>AND('STERLING CATALOG - FZN &amp; CHILL'!A3014,"AAAAAGu9S0E=")</f>
        <v>#VALUE!</v>
      </c>
      <c r="BO374" t="e">
        <f>AND('STERLING CATALOG - FZN &amp; CHILL'!B3014,"AAAAAGu9S0I=")</f>
        <v>#VALUE!</v>
      </c>
      <c r="BP374" t="e">
        <f>AND('STERLING CATALOG - FZN &amp; CHILL'!C3014,"AAAAAGu9S0M=")</f>
        <v>#VALUE!</v>
      </c>
      <c r="BQ374" t="e">
        <f>AND('STERLING CATALOG - FZN &amp; CHILL'!D3014,"AAAAAGu9S0Q=")</f>
        <v>#VALUE!</v>
      </c>
      <c r="BR374" t="e">
        <f>AND('STERLING CATALOG - FZN &amp; CHILL'!E3014,"AAAAAGu9S0U=")</f>
        <v>#VALUE!</v>
      </c>
      <c r="BS374" t="e">
        <f>AND('STERLING CATALOG - FZN &amp; CHILL'!F3014,"AAAAAGu9S0Y=")</f>
        <v>#VALUE!</v>
      </c>
      <c r="BT374" t="e">
        <f>AND('STERLING CATALOG - FZN &amp; CHILL'!G3014,"AAAAAGu9S0c=")</f>
        <v>#VALUE!</v>
      </c>
      <c r="BU374" t="e">
        <f>AND('STERLING CATALOG - FZN &amp; CHILL'!H3014,"AAAAAGu9S0g=")</f>
        <v>#VALUE!</v>
      </c>
      <c r="BV374" t="e">
        <f>AND('STERLING CATALOG - FZN &amp; CHILL'!I3014,"AAAAAGu9S0k=")</f>
        <v>#VALUE!</v>
      </c>
      <c r="BW374" t="e">
        <f>AND('STERLING CATALOG - FZN &amp; CHILL'!J3014,"AAAAAGu9S0o=")</f>
        <v>#VALUE!</v>
      </c>
      <c r="BX374">
        <f>IF('STERLING CATALOG - FZN &amp; CHILL'!3015:3015,"AAAAAGu9S0s=",0)</f>
        <v>0</v>
      </c>
      <c r="BY374" t="e">
        <f>AND('STERLING CATALOG - FZN &amp; CHILL'!A3015,"AAAAAGu9S0w=")</f>
        <v>#VALUE!</v>
      </c>
      <c r="BZ374" t="e">
        <f>AND('STERLING CATALOG - FZN &amp; CHILL'!B3015,"AAAAAGu9S00=")</f>
        <v>#VALUE!</v>
      </c>
      <c r="CA374" t="e">
        <f>AND('STERLING CATALOG - FZN &amp; CHILL'!C3015,"AAAAAGu9S04=")</f>
        <v>#VALUE!</v>
      </c>
      <c r="CB374" t="e">
        <f>AND('STERLING CATALOG - FZN &amp; CHILL'!D3015,"AAAAAGu9S08=")</f>
        <v>#VALUE!</v>
      </c>
      <c r="CC374" t="e">
        <f>AND('STERLING CATALOG - FZN &amp; CHILL'!E3015,"AAAAAGu9S1A=")</f>
        <v>#VALUE!</v>
      </c>
      <c r="CD374" t="e">
        <f>AND('STERLING CATALOG - FZN &amp; CHILL'!F3015,"AAAAAGu9S1E=")</f>
        <v>#VALUE!</v>
      </c>
      <c r="CE374" t="e">
        <f>AND('STERLING CATALOG - FZN &amp; CHILL'!G3015,"AAAAAGu9S1I=")</f>
        <v>#VALUE!</v>
      </c>
      <c r="CF374" t="e">
        <f>AND('STERLING CATALOG - FZN &amp; CHILL'!H3015,"AAAAAGu9S1M=")</f>
        <v>#VALUE!</v>
      </c>
      <c r="CG374" t="e">
        <f>AND('STERLING CATALOG - FZN &amp; CHILL'!I3015,"AAAAAGu9S1Q=")</f>
        <v>#VALUE!</v>
      </c>
      <c r="CH374" t="e">
        <f>AND('STERLING CATALOG - FZN &amp; CHILL'!J3015,"AAAAAGu9S1U=")</f>
        <v>#VALUE!</v>
      </c>
      <c r="CI374">
        <f>IF('STERLING CATALOG - FZN &amp; CHILL'!3016:3016,"AAAAAGu9S1Y=",0)</f>
        <v>0</v>
      </c>
      <c r="CJ374" t="e">
        <f>AND('STERLING CATALOG - FZN &amp; CHILL'!A3016,"AAAAAGu9S1c=")</f>
        <v>#VALUE!</v>
      </c>
      <c r="CK374" t="e">
        <f>AND('STERLING CATALOG - FZN &amp; CHILL'!B3016,"AAAAAGu9S1g=")</f>
        <v>#VALUE!</v>
      </c>
      <c r="CL374" t="e">
        <f>AND('STERLING CATALOG - FZN &amp; CHILL'!C3016,"AAAAAGu9S1k=")</f>
        <v>#VALUE!</v>
      </c>
      <c r="CM374" t="e">
        <f>AND('STERLING CATALOG - FZN &amp; CHILL'!D3016,"AAAAAGu9S1o=")</f>
        <v>#VALUE!</v>
      </c>
      <c r="CN374" t="e">
        <f>AND('STERLING CATALOG - FZN &amp; CHILL'!E3016,"AAAAAGu9S1s=")</f>
        <v>#VALUE!</v>
      </c>
      <c r="CO374" t="e">
        <f>AND('STERLING CATALOG - FZN &amp; CHILL'!F3016,"AAAAAGu9S1w=")</f>
        <v>#VALUE!</v>
      </c>
      <c r="CP374" t="e">
        <f>AND('STERLING CATALOG - FZN &amp; CHILL'!G3016,"AAAAAGu9S10=")</f>
        <v>#VALUE!</v>
      </c>
      <c r="CQ374" t="e">
        <f>AND('STERLING CATALOG - FZN &amp; CHILL'!H3016,"AAAAAGu9S14=")</f>
        <v>#VALUE!</v>
      </c>
      <c r="CR374" t="e">
        <f>AND('STERLING CATALOG - FZN &amp; CHILL'!I3016,"AAAAAGu9S18=")</f>
        <v>#VALUE!</v>
      </c>
      <c r="CS374" t="e">
        <f>AND('STERLING CATALOG - FZN &amp; CHILL'!J3016,"AAAAAGu9S2A=")</f>
        <v>#VALUE!</v>
      </c>
      <c r="CT374">
        <f>IF('STERLING CATALOG - FZN &amp; CHILL'!3017:3017,"AAAAAGu9S2E=",0)</f>
        <v>0</v>
      </c>
      <c r="CU374" t="e">
        <f>AND('STERLING CATALOG - FZN &amp; CHILL'!A3017,"AAAAAGu9S2I=")</f>
        <v>#VALUE!</v>
      </c>
      <c r="CV374" t="e">
        <f>AND('STERLING CATALOG - FZN &amp; CHILL'!B3017,"AAAAAGu9S2M=")</f>
        <v>#VALUE!</v>
      </c>
      <c r="CW374" t="e">
        <f>AND('STERLING CATALOG - FZN &amp; CHILL'!C3017,"AAAAAGu9S2Q=")</f>
        <v>#VALUE!</v>
      </c>
      <c r="CX374" t="e">
        <f>AND('STERLING CATALOG - FZN &amp; CHILL'!D3017,"AAAAAGu9S2U=")</f>
        <v>#VALUE!</v>
      </c>
      <c r="CY374" t="e">
        <f>AND('STERLING CATALOG - FZN &amp; CHILL'!E3017,"AAAAAGu9S2Y=")</f>
        <v>#VALUE!</v>
      </c>
      <c r="CZ374" t="e">
        <f>AND('STERLING CATALOG - FZN &amp; CHILL'!F3017,"AAAAAGu9S2c=")</f>
        <v>#VALUE!</v>
      </c>
      <c r="DA374" t="e">
        <f>AND('STERLING CATALOG - FZN &amp; CHILL'!G3017,"AAAAAGu9S2g=")</f>
        <v>#VALUE!</v>
      </c>
      <c r="DB374" t="e">
        <f>AND('STERLING CATALOG - FZN &amp; CHILL'!H3017,"AAAAAGu9S2k=")</f>
        <v>#VALUE!</v>
      </c>
      <c r="DC374" t="e">
        <f>AND('STERLING CATALOG - FZN &amp; CHILL'!I3017,"AAAAAGu9S2o=")</f>
        <v>#VALUE!</v>
      </c>
      <c r="DD374" t="e">
        <f>AND('STERLING CATALOG - FZN &amp; CHILL'!J3017,"AAAAAGu9S2s=")</f>
        <v>#VALUE!</v>
      </c>
      <c r="DE374">
        <f>IF('STERLING CATALOG - FZN &amp; CHILL'!3018:3018,"AAAAAGu9S2w=",0)</f>
        <v>0</v>
      </c>
      <c r="DF374" t="e">
        <f>AND('STERLING CATALOG - FZN &amp; CHILL'!A3018,"AAAAAGu9S20=")</f>
        <v>#VALUE!</v>
      </c>
      <c r="DG374" t="e">
        <f>AND('STERLING CATALOG - FZN &amp; CHILL'!B3018,"AAAAAGu9S24=")</f>
        <v>#VALUE!</v>
      </c>
      <c r="DH374" t="e">
        <f>AND('STERLING CATALOG - FZN &amp; CHILL'!C3018,"AAAAAGu9S28=")</f>
        <v>#VALUE!</v>
      </c>
      <c r="DI374" t="e">
        <f>AND('STERLING CATALOG - FZN &amp; CHILL'!D3018,"AAAAAGu9S3A=")</f>
        <v>#VALUE!</v>
      </c>
      <c r="DJ374" t="e">
        <f>AND('STERLING CATALOG - FZN &amp; CHILL'!E3018,"AAAAAGu9S3E=")</f>
        <v>#VALUE!</v>
      </c>
      <c r="DK374" t="e">
        <f>AND('STERLING CATALOG - FZN &amp; CHILL'!F3018,"AAAAAGu9S3I=")</f>
        <v>#VALUE!</v>
      </c>
      <c r="DL374" t="e">
        <f>AND('STERLING CATALOG - FZN &amp; CHILL'!G3018,"AAAAAGu9S3M=")</f>
        <v>#VALUE!</v>
      </c>
      <c r="DM374" t="e">
        <f>AND('STERLING CATALOG - FZN &amp; CHILL'!H3018,"AAAAAGu9S3Q=")</f>
        <v>#VALUE!</v>
      </c>
      <c r="DN374" t="e">
        <f>AND('STERLING CATALOG - FZN &amp; CHILL'!I3018,"AAAAAGu9S3U=")</f>
        <v>#VALUE!</v>
      </c>
      <c r="DO374" t="e">
        <f>AND('STERLING CATALOG - FZN &amp; CHILL'!J3018,"AAAAAGu9S3Y=")</f>
        <v>#VALUE!</v>
      </c>
      <c r="DP374">
        <f>IF('STERLING CATALOG - FZN &amp; CHILL'!3019:3019,"AAAAAGu9S3c=",0)</f>
        <v>0</v>
      </c>
      <c r="DQ374" t="e">
        <f>AND('STERLING CATALOG - FZN &amp; CHILL'!A3019,"AAAAAGu9S3g=")</f>
        <v>#VALUE!</v>
      </c>
      <c r="DR374" t="e">
        <f>AND('STERLING CATALOG - FZN &amp; CHILL'!B3019,"AAAAAGu9S3k=")</f>
        <v>#VALUE!</v>
      </c>
      <c r="DS374" t="e">
        <f>AND('STERLING CATALOG - FZN &amp; CHILL'!C3019,"AAAAAGu9S3o=")</f>
        <v>#VALUE!</v>
      </c>
      <c r="DT374" t="e">
        <f>AND('STERLING CATALOG - FZN &amp; CHILL'!D3019,"AAAAAGu9S3s=")</f>
        <v>#VALUE!</v>
      </c>
      <c r="DU374" t="e">
        <f>AND('STERLING CATALOG - FZN &amp; CHILL'!E3019,"AAAAAGu9S3w=")</f>
        <v>#VALUE!</v>
      </c>
      <c r="DV374" t="e">
        <f>AND('STERLING CATALOG - FZN &amp; CHILL'!F3019,"AAAAAGu9S30=")</f>
        <v>#VALUE!</v>
      </c>
      <c r="DW374" t="e">
        <f>AND('STERLING CATALOG - FZN &amp; CHILL'!G3019,"AAAAAGu9S34=")</f>
        <v>#VALUE!</v>
      </c>
      <c r="DX374" t="e">
        <f>AND('STERLING CATALOG - FZN &amp; CHILL'!H3019,"AAAAAGu9S38=")</f>
        <v>#VALUE!</v>
      </c>
      <c r="DY374" t="e">
        <f>AND('STERLING CATALOG - FZN &amp; CHILL'!I3019,"AAAAAGu9S4A=")</f>
        <v>#VALUE!</v>
      </c>
      <c r="DZ374" t="e">
        <f>AND('STERLING CATALOG - FZN &amp; CHILL'!J3019,"AAAAAGu9S4E=")</f>
        <v>#VALUE!</v>
      </c>
      <c r="EA374">
        <f>IF('STERLING CATALOG - FZN &amp; CHILL'!3020:3020,"AAAAAGu9S4I=",0)</f>
        <v>0</v>
      </c>
      <c r="EB374" t="e">
        <f>AND('STERLING CATALOG - FZN &amp; CHILL'!A3020,"AAAAAGu9S4M=")</f>
        <v>#VALUE!</v>
      </c>
      <c r="EC374" t="e">
        <f>AND('STERLING CATALOG - FZN &amp; CHILL'!B3020,"AAAAAGu9S4Q=")</f>
        <v>#VALUE!</v>
      </c>
      <c r="ED374" t="e">
        <f>AND('STERLING CATALOG - FZN &amp; CHILL'!C3020,"AAAAAGu9S4U=")</f>
        <v>#VALUE!</v>
      </c>
      <c r="EE374" t="e">
        <f>AND('STERLING CATALOG - FZN &amp; CHILL'!D3020,"AAAAAGu9S4Y=")</f>
        <v>#VALUE!</v>
      </c>
      <c r="EF374" t="e">
        <f>AND('STERLING CATALOG - FZN &amp; CHILL'!E3020,"AAAAAGu9S4c=")</f>
        <v>#VALUE!</v>
      </c>
      <c r="EG374" t="e">
        <f>AND('STERLING CATALOG - FZN &amp; CHILL'!F3020,"AAAAAGu9S4g=")</f>
        <v>#VALUE!</v>
      </c>
      <c r="EH374" t="e">
        <f>AND('STERLING CATALOG - FZN &amp; CHILL'!G3020,"AAAAAGu9S4k=")</f>
        <v>#VALUE!</v>
      </c>
      <c r="EI374" t="e">
        <f>AND('STERLING CATALOG - FZN &amp; CHILL'!H3020,"AAAAAGu9S4o=")</f>
        <v>#VALUE!</v>
      </c>
      <c r="EJ374" t="e">
        <f>AND('STERLING CATALOG - FZN &amp; CHILL'!I3020,"AAAAAGu9S4s=")</f>
        <v>#VALUE!</v>
      </c>
      <c r="EK374" t="e">
        <f>AND('STERLING CATALOG - FZN &amp; CHILL'!J3020,"AAAAAGu9S4w=")</f>
        <v>#VALUE!</v>
      </c>
      <c r="EL374">
        <f>IF('STERLING CATALOG - FZN &amp; CHILL'!3021:3021,"AAAAAGu9S40=",0)</f>
        <v>0</v>
      </c>
      <c r="EM374" t="e">
        <f>AND('STERLING CATALOG - FZN &amp; CHILL'!A3021,"AAAAAGu9S44=")</f>
        <v>#VALUE!</v>
      </c>
      <c r="EN374" t="e">
        <f>AND('STERLING CATALOG - FZN &amp; CHILL'!B3021,"AAAAAGu9S48=")</f>
        <v>#VALUE!</v>
      </c>
      <c r="EO374" t="e">
        <f>AND('STERLING CATALOG - FZN &amp; CHILL'!C3021,"AAAAAGu9S5A=")</f>
        <v>#VALUE!</v>
      </c>
      <c r="EP374" t="e">
        <f>AND('STERLING CATALOG - FZN &amp; CHILL'!D3021,"AAAAAGu9S5E=")</f>
        <v>#VALUE!</v>
      </c>
      <c r="EQ374" t="e">
        <f>AND('STERLING CATALOG - FZN &amp; CHILL'!E3021,"AAAAAGu9S5I=")</f>
        <v>#VALUE!</v>
      </c>
      <c r="ER374" t="e">
        <f>AND('STERLING CATALOG - FZN &amp; CHILL'!F3021,"AAAAAGu9S5M=")</f>
        <v>#VALUE!</v>
      </c>
      <c r="ES374" t="e">
        <f>AND('STERLING CATALOG - FZN &amp; CHILL'!G3021,"AAAAAGu9S5Q=")</f>
        <v>#VALUE!</v>
      </c>
      <c r="ET374" t="e">
        <f>AND('STERLING CATALOG - FZN &amp; CHILL'!H3021,"AAAAAGu9S5U=")</f>
        <v>#VALUE!</v>
      </c>
      <c r="EU374" t="e">
        <f>AND('STERLING CATALOG - FZN &amp; CHILL'!I3021,"AAAAAGu9S5Y=")</f>
        <v>#VALUE!</v>
      </c>
      <c r="EV374" t="e">
        <f>AND('STERLING CATALOG - FZN &amp; CHILL'!J3021,"AAAAAGu9S5c=")</f>
        <v>#VALUE!</v>
      </c>
      <c r="EW374">
        <f>IF('STERLING CATALOG - FZN &amp; CHILL'!3022:3022,"AAAAAGu9S5g=",0)</f>
        <v>0</v>
      </c>
      <c r="EX374" t="e">
        <f>AND('STERLING CATALOG - FZN &amp; CHILL'!A3022,"AAAAAGu9S5k=")</f>
        <v>#VALUE!</v>
      </c>
      <c r="EY374" t="e">
        <f>AND('STERLING CATALOG - FZN &amp; CHILL'!B3022,"AAAAAGu9S5o=")</f>
        <v>#VALUE!</v>
      </c>
      <c r="EZ374" t="e">
        <f>AND('STERLING CATALOG - FZN &amp; CHILL'!C3022,"AAAAAGu9S5s=")</f>
        <v>#VALUE!</v>
      </c>
      <c r="FA374" t="e">
        <f>AND('STERLING CATALOG - FZN &amp; CHILL'!D3022,"AAAAAGu9S5w=")</f>
        <v>#VALUE!</v>
      </c>
      <c r="FB374" t="e">
        <f>AND('STERLING CATALOG - FZN &amp; CHILL'!E3022,"AAAAAGu9S50=")</f>
        <v>#VALUE!</v>
      </c>
      <c r="FC374" t="e">
        <f>AND('STERLING CATALOG - FZN &amp; CHILL'!F3022,"AAAAAGu9S54=")</f>
        <v>#VALUE!</v>
      </c>
      <c r="FD374" t="e">
        <f>AND('STERLING CATALOG - FZN &amp; CHILL'!G3022,"AAAAAGu9S58=")</f>
        <v>#VALUE!</v>
      </c>
      <c r="FE374" t="e">
        <f>AND('STERLING CATALOG - FZN &amp; CHILL'!H3022,"AAAAAGu9S6A=")</f>
        <v>#VALUE!</v>
      </c>
      <c r="FF374" t="e">
        <f>AND('STERLING CATALOG - FZN &amp; CHILL'!I3022,"AAAAAGu9S6E=")</f>
        <v>#VALUE!</v>
      </c>
      <c r="FG374" t="e">
        <f>AND('STERLING CATALOG - FZN &amp; CHILL'!J3022,"AAAAAGu9S6I=")</f>
        <v>#VALUE!</v>
      </c>
      <c r="FH374">
        <f>IF('STERLING CATALOG - FZN &amp; CHILL'!3023:3023,"AAAAAGu9S6M=",0)</f>
        <v>0</v>
      </c>
      <c r="FI374" t="e">
        <f>AND('STERLING CATALOG - FZN &amp; CHILL'!A3023,"AAAAAGu9S6Q=")</f>
        <v>#VALUE!</v>
      </c>
      <c r="FJ374" t="e">
        <f>AND('STERLING CATALOG - FZN &amp; CHILL'!B3023,"AAAAAGu9S6U=")</f>
        <v>#VALUE!</v>
      </c>
      <c r="FK374" t="e">
        <f>AND('STERLING CATALOG - FZN &amp; CHILL'!C3023,"AAAAAGu9S6Y=")</f>
        <v>#VALUE!</v>
      </c>
      <c r="FL374" t="e">
        <f>AND('STERLING CATALOG - FZN &amp; CHILL'!D3023,"AAAAAGu9S6c=")</f>
        <v>#VALUE!</v>
      </c>
      <c r="FM374" t="e">
        <f>AND('STERLING CATALOG - FZN &amp; CHILL'!E3023,"AAAAAGu9S6g=")</f>
        <v>#VALUE!</v>
      </c>
      <c r="FN374" t="e">
        <f>AND('STERLING CATALOG - FZN &amp; CHILL'!F3023,"AAAAAGu9S6k=")</f>
        <v>#VALUE!</v>
      </c>
      <c r="FO374" t="e">
        <f>AND('STERLING CATALOG - FZN &amp; CHILL'!G3023,"AAAAAGu9S6o=")</f>
        <v>#VALUE!</v>
      </c>
      <c r="FP374" t="e">
        <f>AND('STERLING CATALOG - FZN &amp; CHILL'!H3023,"AAAAAGu9S6s=")</f>
        <v>#VALUE!</v>
      </c>
      <c r="FQ374" t="e">
        <f>AND('STERLING CATALOG - FZN &amp; CHILL'!I3023,"AAAAAGu9S6w=")</f>
        <v>#VALUE!</v>
      </c>
      <c r="FR374" t="e">
        <f>AND('STERLING CATALOG - FZN &amp; CHILL'!J3023,"AAAAAGu9S60=")</f>
        <v>#VALUE!</v>
      </c>
      <c r="FS374">
        <f>IF('STERLING CATALOG - FZN &amp; CHILL'!3024:3024,"AAAAAGu9S64=",0)</f>
        <v>0</v>
      </c>
      <c r="FT374" t="e">
        <f>AND('STERLING CATALOG - FZN &amp; CHILL'!A3024,"AAAAAGu9S68=")</f>
        <v>#VALUE!</v>
      </c>
      <c r="FU374" t="e">
        <f>AND('STERLING CATALOG - FZN &amp; CHILL'!B3024,"AAAAAGu9S7A=")</f>
        <v>#VALUE!</v>
      </c>
      <c r="FV374" t="e">
        <f>AND('STERLING CATALOG - FZN &amp; CHILL'!C3024,"AAAAAGu9S7E=")</f>
        <v>#VALUE!</v>
      </c>
      <c r="FW374" t="e">
        <f>AND('STERLING CATALOG - FZN &amp; CHILL'!D3024,"AAAAAGu9S7I=")</f>
        <v>#VALUE!</v>
      </c>
      <c r="FX374" t="e">
        <f>AND('STERLING CATALOG - FZN &amp; CHILL'!E3024,"AAAAAGu9S7M=")</f>
        <v>#VALUE!</v>
      </c>
      <c r="FY374" t="e">
        <f>AND('STERLING CATALOG - FZN &amp; CHILL'!F3024,"AAAAAGu9S7Q=")</f>
        <v>#VALUE!</v>
      </c>
      <c r="FZ374" t="e">
        <f>AND('STERLING CATALOG - FZN &amp; CHILL'!G3024,"AAAAAGu9S7U=")</f>
        <v>#VALUE!</v>
      </c>
      <c r="GA374" t="e">
        <f>AND('STERLING CATALOG - FZN &amp; CHILL'!H3024,"AAAAAGu9S7Y=")</f>
        <v>#VALUE!</v>
      </c>
      <c r="GB374" t="e">
        <f>AND('STERLING CATALOG - FZN &amp; CHILL'!I3024,"AAAAAGu9S7c=")</f>
        <v>#VALUE!</v>
      </c>
      <c r="GC374" t="e">
        <f>AND('STERLING CATALOG - FZN &amp; CHILL'!J3024,"AAAAAGu9S7g=")</f>
        <v>#VALUE!</v>
      </c>
      <c r="GD374">
        <f>IF('STERLING CATALOG - FZN &amp; CHILL'!3025:3025,"AAAAAGu9S7k=",0)</f>
        <v>0</v>
      </c>
      <c r="GE374" t="e">
        <f>AND('STERLING CATALOG - FZN &amp; CHILL'!A3025,"AAAAAGu9S7o=")</f>
        <v>#VALUE!</v>
      </c>
      <c r="GF374" t="e">
        <f>AND('STERLING CATALOG - FZN &amp; CHILL'!B3025,"AAAAAGu9S7s=")</f>
        <v>#VALUE!</v>
      </c>
      <c r="GG374" t="e">
        <f>AND('STERLING CATALOG - FZN &amp; CHILL'!C3025,"AAAAAGu9S7w=")</f>
        <v>#VALUE!</v>
      </c>
      <c r="GH374" t="e">
        <f>AND('STERLING CATALOG - FZN &amp; CHILL'!D3025,"AAAAAGu9S70=")</f>
        <v>#VALUE!</v>
      </c>
      <c r="GI374" t="e">
        <f>AND('STERLING CATALOG - FZN &amp; CHILL'!E3025,"AAAAAGu9S74=")</f>
        <v>#VALUE!</v>
      </c>
      <c r="GJ374" t="e">
        <f>AND('STERLING CATALOG - FZN &amp; CHILL'!F3025,"AAAAAGu9S78=")</f>
        <v>#VALUE!</v>
      </c>
      <c r="GK374" t="e">
        <f>AND('STERLING CATALOG - FZN &amp; CHILL'!G3025,"AAAAAGu9S8A=")</f>
        <v>#VALUE!</v>
      </c>
      <c r="GL374" t="e">
        <f>AND('STERLING CATALOG - FZN &amp; CHILL'!H3025,"AAAAAGu9S8E=")</f>
        <v>#VALUE!</v>
      </c>
      <c r="GM374" t="e">
        <f>AND('STERLING CATALOG - FZN &amp; CHILL'!I3025,"AAAAAGu9S8I=")</f>
        <v>#VALUE!</v>
      </c>
      <c r="GN374" t="e">
        <f>AND('STERLING CATALOG - FZN &amp; CHILL'!J3025,"AAAAAGu9S8M=")</f>
        <v>#VALUE!</v>
      </c>
      <c r="GO374">
        <f>IF('STERLING CATALOG - FZN &amp; CHILL'!3026:3026,"AAAAAGu9S8Q=",0)</f>
        <v>0</v>
      </c>
      <c r="GP374" t="e">
        <f>AND('STERLING CATALOG - FZN &amp; CHILL'!A3026,"AAAAAGu9S8U=")</f>
        <v>#VALUE!</v>
      </c>
      <c r="GQ374" t="e">
        <f>AND('STERLING CATALOG - FZN &amp; CHILL'!B3026,"AAAAAGu9S8Y=")</f>
        <v>#VALUE!</v>
      </c>
      <c r="GR374" t="e">
        <f>AND('STERLING CATALOG - FZN &amp; CHILL'!C3026,"AAAAAGu9S8c=")</f>
        <v>#VALUE!</v>
      </c>
      <c r="GS374" t="e">
        <f>AND('STERLING CATALOG - FZN &amp; CHILL'!D3026,"AAAAAGu9S8g=")</f>
        <v>#VALUE!</v>
      </c>
      <c r="GT374" t="e">
        <f>AND('STERLING CATALOG - FZN &amp; CHILL'!E3026,"AAAAAGu9S8k=")</f>
        <v>#VALUE!</v>
      </c>
      <c r="GU374" t="e">
        <f>AND('STERLING CATALOG - FZN &amp; CHILL'!F3026,"AAAAAGu9S8o=")</f>
        <v>#VALUE!</v>
      </c>
      <c r="GV374" t="e">
        <f>AND('STERLING CATALOG - FZN &amp; CHILL'!G3026,"AAAAAGu9S8s=")</f>
        <v>#VALUE!</v>
      </c>
      <c r="GW374" t="e">
        <f>AND('STERLING CATALOG - FZN &amp; CHILL'!H3026,"AAAAAGu9S8w=")</f>
        <v>#VALUE!</v>
      </c>
      <c r="GX374" t="e">
        <f>AND('STERLING CATALOG - FZN &amp; CHILL'!I3026,"AAAAAGu9S80=")</f>
        <v>#VALUE!</v>
      </c>
      <c r="GY374" t="e">
        <f>AND('STERLING CATALOG - FZN &amp; CHILL'!J3026,"AAAAAGu9S84=")</f>
        <v>#VALUE!</v>
      </c>
      <c r="GZ374">
        <f>IF('STERLING CATALOG - FZN &amp; CHILL'!3027:3027,"AAAAAGu9S88=",0)</f>
        <v>0</v>
      </c>
      <c r="HA374" t="e">
        <f>AND('STERLING CATALOG - FZN &amp; CHILL'!A3027,"AAAAAGu9S9A=")</f>
        <v>#VALUE!</v>
      </c>
      <c r="HB374" t="e">
        <f>AND('STERLING CATALOG - FZN &amp; CHILL'!B3027,"AAAAAGu9S9E=")</f>
        <v>#VALUE!</v>
      </c>
      <c r="HC374" t="e">
        <f>AND('STERLING CATALOG - FZN &amp; CHILL'!C3027,"AAAAAGu9S9I=")</f>
        <v>#VALUE!</v>
      </c>
      <c r="HD374" t="e">
        <f>AND('STERLING CATALOG - FZN &amp; CHILL'!D3027,"AAAAAGu9S9M=")</f>
        <v>#VALUE!</v>
      </c>
      <c r="HE374" t="e">
        <f>AND('STERLING CATALOG - FZN &amp; CHILL'!E3027,"AAAAAGu9S9Q=")</f>
        <v>#VALUE!</v>
      </c>
      <c r="HF374" t="e">
        <f>AND('STERLING CATALOG - FZN &amp; CHILL'!F3027,"AAAAAGu9S9U=")</f>
        <v>#VALUE!</v>
      </c>
      <c r="HG374" t="e">
        <f>AND('STERLING CATALOG - FZN &amp; CHILL'!G3027,"AAAAAGu9S9Y=")</f>
        <v>#VALUE!</v>
      </c>
      <c r="HH374" t="e">
        <f>AND('STERLING CATALOG - FZN &amp; CHILL'!H3027,"AAAAAGu9S9c=")</f>
        <v>#VALUE!</v>
      </c>
      <c r="HI374" t="e">
        <f>AND('STERLING CATALOG - FZN &amp; CHILL'!I3027,"AAAAAGu9S9g=")</f>
        <v>#VALUE!</v>
      </c>
      <c r="HJ374" t="e">
        <f>AND('STERLING CATALOG - FZN &amp; CHILL'!J3027,"AAAAAGu9S9k=")</f>
        <v>#VALUE!</v>
      </c>
      <c r="HK374">
        <f>IF('STERLING CATALOG - FZN &amp; CHILL'!3028:3028,"AAAAAGu9S9o=",0)</f>
        <v>0</v>
      </c>
      <c r="HL374" t="e">
        <f>AND('STERLING CATALOG - FZN &amp; CHILL'!A3028,"AAAAAGu9S9s=")</f>
        <v>#VALUE!</v>
      </c>
      <c r="HM374" t="e">
        <f>AND('STERLING CATALOG - FZN &amp; CHILL'!B3028,"AAAAAGu9S9w=")</f>
        <v>#VALUE!</v>
      </c>
      <c r="HN374" t="e">
        <f>AND('STERLING CATALOG - FZN &amp; CHILL'!C3028,"AAAAAGu9S90=")</f>
        <v>#VALUE!</v>
      </c>
      <c r="HO374" t="e">
        <f>AND('STERLING CATALOG - FZN &amp; CHILL'!D3028,"AAAAAGu9S94=")</f>
        <v>#VALUE!</v>
      </c>
      <c r="HP374" t="e">
        <f>AND('STERLING CATALOG - FZN &amp; CHILL'!E3028,"AAAAAGu9S98=")</f>
        <v>#VALUE!</v>
      </c>
      <c r="HQ374" t="e">
        <f>AND('STERLING CATALOG - FZN &amp; CHILL'!F3028,"AAAAAGu9S+A=")</f>
        <v>#VALUE!</v>
      </c>
      <c r="HR374" t="e">
        <f>AND('STERLING CATALOG - FZN &amp; CHILL'!G3028,"AAAAAGu9S+E=")</f>
        <v>#VALUE!</v>
      </c>
      <c r="HS374" t="e">
        <f>AND('STERLING CATALOG - FZN &amp; CHILL'!H3028,"AAAAAGu9S+I=")</f>
        <v>#VALUE!</v>
      </c>
      <c r="HT374" t="e">
        <f>AND('STERLING CATALOG - FZN &amp; CHILL'!I3028,"AAAAAGu9S+M=")</f>
        <v>#VALUE!</v>
      </c>
      <c r="HU374" t="e">
        <f>AND('STERLING CATALOG - FZN &amp; CHILL'!J3028,"AAAAAGu9S+Q=")</f>
        <v>#VALUE!</v>
      </c>
      <c r="HV374">
        <f>IF('STERLING CATALOG - FZN &amp; CHILL'!3029:3029,"AAAAAGu9S+U=",0)</f>
        <v>0</v>
      </c>
      <c r="HW374" t="e">
        <f>AND('STERLING CATALOG - FZN &amp; CHILL'!A3029,"AAAAAGu9S+Y=")</f>
        <v>#VALUE!</v>
      </c>
      <c r="HX374" t="e">
        <f>AND('STERLING CATALOG - FZN &amp; CHILL'!B3029,"AAAAAGu9S+c=")</f>
        <v>#VALUE!</v>
      </c>
      <c r="HY374" t="e">
        <f>AND('STERLING CATALOG - FZN &amp; CHILL'!C3029,"AAAAAGu9S+g=")</f>
        <v>#VALUE!</v>
      </c>
      <c r="HZ374" t="e">
        <f>AND('STERLING CATALOG - FZN &amp; CHILL'!D3029,"AAAAAGu9S+k=")</f>
        <v>#VALUE!</v>
      </c>
      <c r="IA374" t="e">
        <f>AND('STERLING CATALOG - FZN &amp; CHILL'!E3029,"AAAAAGu9S+o=")</f>
        <v>#VALUE!</v>
      </c>
      <c r="IB374" t="e">
        <f>AND('STERLING CATALOG - FZN &amp; CHILL'!F3029,"AAAAAGu9S+s=")</f>
        <v>#VALUE!</v>
      </c>
      <c r="IC374" t="e">
        <f>AND('STERLING CATALOG - FZN &amp; CHILL'!G3029,"AAAAAGu9S+w=")</f>
        <v>#VALUE!</v>
      </c>
      <c r="ID374" t="e">
        <f>AND('STERLING CATALOG - FZN &amp; CHILL'!H3029,"AAAAAGu9S+0=")</f>
        <v>#VALUE!</v>
      </c>
      <c r="IE374" t="e">
        <f>AND('STERLING CATALOG - FZN &amp; CHILL'!I3029,"AAAAAGu9S+4=")</f>
        <v>#VALUE!</v>
      </c>
      <c r="IF374" t="e">
        <f>AND('STERLING CATALOG - FZN &amp; CHILL'!J3029,"AAAAAGu9S+8=")</f>
        <v>#VALUE!</v>
      </c>
      <c r="IG374">
        <f>IF('STERLING CATALOG - FZN &amp; CHILL'!3030:3030,"AAAAAGu9S/A=",0)</f>
        <v>0</v>
      </c>
      <c r="IH374" t="e">
        <f>AND('STERLING CATALOG - FZN &amp; CHILL'!A3030,"AAAAAGu9S/E=")</f>
        <v>#VALUE!</v>
      </c>
      <c r="II374" t="e">
        <f>AND('STERLING CATALOG - FZN &amp; CHILL'!B3030,"AAAAAGu9S/I=")</f>
        <v>#VALUE!</v>
      </c>
      <c r="IJ374" t="e">
        <f>AND('STERLING CATALOG - FZN &amp; CHILL'!C3030,"AAAAAGu9S/M=")</f>
        <v>#VALUE!</v>
      </c>
      <c r="IK374" t="e">
        <f>AND('STERLING CATALOG - FZN &amp; CHILL'!D3030,"AAAAAGu9S/Q=")</f>
        <v>#VALUE!</v>
      </c>
      <c r="IL374" t="e">
        <f>AND('STERLING CATALOG - FZN &amp; CHILL'!E3030,"AAAAAGu9S/U=")</f>
        <v>#VALUE!</v>
      </c>
      <c r="IM374" t="e">
        <f>AND('STERLING CATALOG - FZN &amp; CHILL'!F3030,"AAAAAGu9S/Y=")</f>
        <v>#VALUE!</v>
      </c>
      <c r="IN374" t="e">
        <f>AND('STERLING CATALOG - FZN &amp; CHILL'!G3030,"AAAAAGu9S/c=")</f>
        <v>#VALUE!</v>
      </c>
      <c r="IO374" t="e">
        <f>AND('STERLING CATALOG - FZN &amp; CHILL'!H3030,"AAAAAGu9S/g=")</f>
        <v>#VALUE!</v>
      </c>
      <c r="IP374" t="e">
        <f>AND('STERLING CATALOG - FZN &amp; CHILL'!I3030,"AAAAAGu9S/k=")</f>
        <v>#VALUE!</v>
      </c>
      <c r="IQ374" t="e">
        <f>AND('STERLING CATALOG - FZN &amp; CHILL'!J3030,"AAAAAGu9S/o=")</f>
        <v>#VALUE!</v>
      </c>
      <c r="IR374">
        <f>IF('STERLING CATALOG - FZN &amp; CHILL'!3031:3031,"AAAAAGu9S/s=",0)</f>
        <v>0</v>
      </c>
      <c r="IS374" t="e">
        <f>AND('STERLING CATALOG - FZN &amp; CHILL'!A3031,"AAAAAGu9S/w=")</f>
        <v>#VALUE!</v>
      </c>
      <c r="IT374" t="e">
        <f>AND('STERLING CATALOG - FZN &amp; CHILL'!B3031,"AAAAAGu9S/0=")</f>
        <v>#VALUE!</v>
      </c>
      <c r="IU374" t="e">
        <f>AND('STERLING CATALOG - FZN &amp; CHILL'!C3031,"AAAAAGu9S/4=")</f>
        <v>#VALUE!</v>
      </c>
      <c r="IV374" t="e">
        <f>AND('STERLING CATALOG - FZN &amp; CHILL'!D3031,"AAAAAGu9S/8=")</f>
        <v>#VALUE!</v>
      </c>
    </row>
    <row r="375" spans="1:256">
      <c r="A375" t="e">
        <f>AND('STERLING CATALOG - FZN &amp; CHILL'!E3031,"AAAAAF/7dgA=")</f>
        <v>#VALUE!</v>
      </c>
      <c r="B375" t="e">
        <f>AND('STERLING CATALOG - FZN &amp; CHILL'!F3031,"AAAAAF/7dgE=")</f>
        <v>#VALUE!</v>
      </c>
      <c r="C375" t="e">
        <f>AND('STERLING CATALOG - FZN &amp; CHILL'!G3031,"AAAAAF/7dgI=")</f>
        <v>#VALUE!</v>
      </c>
      <c r="D375" t="e">
        <f>AND('STERLING CATALOG - FZN &amp; CHILL'!H3031,"AAAAAF/7dgM=")</f>
        <v>#VALUE!</v>
      </c>
      <c r="E375" t="e">
        <f>AND('STERLING CATALOG - FZN &amp; CHILL'!I3031,"AAAAAF/7dgQ=")</f>
        <v>#VALUE!</v>
      </c>
      <c r="F375" t="e">
        <f>AND('STERLING CATALOG - FZN &amp; CHILL'!J3031,"AAAAAF/7dgU=")</f>
        <v>#VALUE!</v>
      </c>
      <c r="G375" t="str">
        <f>IF('STERLING CATALOG - FZN &amp; CHILL'!3032:3032,"AAAAAF/7dgY=",0)</f>
        <v>AAAAAF/7dgY=</v>
      </c>
      <c r="H375" t="e">
        <f>AND('STERLING CATALOG - FZN &amp; CHILL'!A3032,"AAAAAF/7dgc=")</f>
        <v>#VALUE!</v>
      </c>
      <c r="I375" t="e">
        <f>AND('STERLING CATALOG - FZN &amp; CHILL'!B3032,"AAAAAF/7dgg=")</f>
        <v>#VALUE!</v>
      </c>
      <c r="J375" t="e">
        <f>AND('STERLING CATALOG - FZN &amp; CHILL'!C3032,"AAAAAF/7dgk=")</f>
        <v>#VALUE!</v>
      </c>
      <c r="K375" t="e">
        <f>AND('STERLING CATALOG - FZN &amp; CHILL'!D3032,"AAAAAF/7dgo=")</f>
        <v>#VALUE!</v>
      </c>
      <c r="L375" t="e">
        <f>AND('STERLING CATALOG - FZN &amp; CHILL'!E3032,"AAAAAF/7dgs=")</f>
        <v>#VALUE!</v>
      </c>
      <c r="M375" t="e">
        <f>AND('STERLING CATALOG - FZN &amp; CHILL'!F3032,"AAAAAF/7dgw=")</f>
        <v>#VALUE!</v>
      </c>
      <c r="N375" t="e">
        <f>AND('STERLING CATALOG - FZN &amp; CHILL'!G3032,"AAAAAF/7dg0=")</f>
        <v>#VALUE!</v>
      </c>
      <c r="O375" t="e">
        <f>AND('STERLING CATALOG - FZN &amp; CHILL'!H3032,"AAAAAF/7dg4=")</f>
        <v>#VALUE!</v>
      </c>
      <c r="P375" t="e">
        <f>AND('STERLING CATALOG - FZN &amp; CHILL'!I3032,"AAAAAF/7dg8=")</f>
        <v>#VALUE!</v>
      </c>
      <c r="Q375" t="e">
        <f>AND('STERLING CATALOG - FZN &amp; CHILL'!J3032,"AAAAAF/7dhA=")</f>
        <v>#VALUE!</v>
      </c>
      <c r="R375">
        <f>IF('STERLING CATALOG - FZN &amp; CHILL'!3033:3033,"AAAAAF/7dhE=",0)</f>
        <v>0</v>
      </c>
      <c r="S375" t="e">
        <f>AND('STERLING CATALOG - FZN &amp; CHILL'!A3033,"AAAAAF/7dhI=")</f>
        <v>#VALUE!</v>
      </c>
      <c r="T375" t="e">
        <f>AND('STERLING CATALOG - FZN &amp; CHILL'!B3033,"AAAAAF/7dhM=")</f>
        <v>#VALUE!</v>
      </c>
      <c r="U375" t="e">
        <f>AND('STERLING CATALOG - FZN &amp; CHILL'!C3033,"AAAAAF/7dhQ=")</f>
        <v>#VALUE!</v>
      </c>
      <c r="V375" t="e">
        <f>AND('STERLING CATALOG - FZN &amp; CHILL'!D3033,"AAAAAF/7dhU=")</f>
        <v>#VALUE!</v>
      </c>
      <c r="W375" t="e">
        <f>AND('STERLING CATALOG - FZN &amp; CHILL'!E3033,"AAAAAF/7dhY=")</f>
        <v>#VALUE!</v>
      </c>
      <c r="X375" t="e">
        <f>AND('STERLING CATALOG - FZN &amp; CHILL'!F3033,"AAAAAF/7dhc=")</f>
        <v>#VALUE!</v>
      </c>
      <c r="Y375" t="e">
        <f>AND('STERLING CATALOG - FZN &amp; CHILL'!G3033,"AAAAAF/7dhg=")</f>
        <v>#VALUE!</v>
      </c>
      <c r="Z375" t="e">
        <f>AND('STERLING CATALOG - FZN &amp; CHILL'!H3033,"AAAAAF/7dhk=")</f>
        <v>#VALUE!</v>
      </c>
      <c r="AA375" t="e">
        <f>AND('STERLING CATALOG - FZN &amp; CHILL'!I3033,"AAAAAF/7dho=")</f>
        <v>#VALUE!</v>
      </c>
      <c r="AB375" t="e">
        <f>AND('STERLING CATALOG - FZN &amp; CHILL'!J3033,"AAAAAF/7dhs=")</f>
        <v>#VALUE!</v>
      </c>
      <c r="AC375">
        <f>IF('STERLING CATALOG - FZN &amp; CHILL'!3034:3034,"AAAAAF/7dhw=",0)</f>
        <v>0</v>
      </c>
      <c r="AD375" t="e">
        <f>AND('STERLING CATALOG - FZN &amp; CHILL'!A3034,"AAAAAF/7dh0=")</f>
        <v>#VALUE!</v>
      </c>
      <c r="AE375" t="e">
        <f>AND('STERLING CATALOG - FZN &amp; CHILL'!B3034,"AAAAAF/7dh4=")</f>
        <v>#VALUE!</v>
      </c>
      <c r="AF375" t="e">
        <f>AND('STERLING CATALOG - FZN &amp; CHILL'!C3034,"AAAAAF/7dh8=")</f>
        <v>#VALUE!</v>
      </c>
      <c r="AG375" t="e">
        <f>AND('STERLING CATALOG - FZN &amp; CHILL'!D3034,"AAAAAF/7diA=")</f>
        <v>#VALUE!</v>
      </c>
      <c r="AH375" t="e">
        <f>AND('STERLING CATALOG - FZN &amp; CHILL'!E3034,"AAAAAF/7diE=")</f>
        <v>#VALUE!</v>
      </c>
      <c r="AI375" t="e">
        <f>AND('STERLING CATALOG - FZN &amp; CHILL'!F3034,"AAAAAF/7diI=")</f>
        <v>#VALUE!</v>
      </c>
      <c r="AJ375" t="e">
        <f>AND('STERLING CATALOG - FZN &amp; CHILL'!G3034,"AAAAAF/7diM=")</f>
        <v>#VALUE!</v>
      </c>
      <c r="AK375" t="e">
        <f>AND('STERLING CATALOG - FZN &amp; CHILL'!H3034,"AAAAAF/7diQ=")</f>
        <v>#VALUE!</v>
      </c>
      <c r="AL375" t="e">
        <f>AND('STERLING CATALOG - FZN &amp; CHILL'!I3034,"AAAAAF/7diU=")</f>
        <v>#VALUE!</v>
      </c>
      <c r="AM375" t="e">
        <f>AND('STERLING CATALOG - FZN &amp; CHILL'!J3034,"AAAAAF/7diY=")</f>
        <v>#VALUE!</v>
      </c>
      <c r="AN375">
        <f>IF('STERLING CATALOG - FZN &amp; CHILL'!3035:3035,"AAAAAF/7dic=",0)</f>
        <v>0</v>
      </c>
      <c r="AO375" t="e">
        <f>AND('STERLING CATALOG - FZN &amp; CHILL'!A3035,"AAAAAF/7dig=")</f>
        <v>#VALUE!</v>
      </c>
      <c r="AP375" t="e">
        <f>AND('STERLING CATALOG - FZN &amp; CHILL'!B3035,"AAAAAF/7dik=")</f>
        <v>#VALUE!</v>
      </c>
      <c r="AQ375" t="e">
        <f>AND('STERLING CATALOG - FZN &amp; CHILL'!C3035,"AAAAAF/7dio=")</f>
        <v>#VALUE!</v>
      </c>
      <c r="AR375" t="e">
        <f>AND('STERLING CATALOG - FZN &amp; CHILL'!D3035,"AAAAAF/7dis=")</f>
        <v>#VALUE!</v>
      </c>
      <c r="AS375" t="e">
        <f>AND('STERLING CATALOG - FZN &amp; CHILL'!E3035,"AAAAAF/7diw=")</f>
        <v>#VALUE!</v>
      </c>
      <c r="AT375" t="e">
        <f>AND('STERLING CATALOG - FZN &amp; CHILL'!F3035,"AAAAAF/7di0=")</f>
        <v>#VALUE!</v>
      </c>
      <c r="AU375" t="e">
        <f>AND('STERLING CATALOG - FZN &amp; CHILL'!G3035,"AAAAAF/7di4=")</f>
        <v>#VALUE!</v>
      </c>
      <c r="AV375" t="e">
        <f>AND('STERLING CATALOG - FZN &amp; CHILL'!H3035,"AAAAAF/7di8=")</f>
        <v>#VALUE!</v>
      </c>
      <c r="AW375" t="e">
        <f>AND('STERLING CATALOG - FZN &amp; CHILL'!I3035,"AAAAAF/7djA=")</f>
        <v>#VALUE!</v>
      </c>
      <c r="AX375" t="e">
        <f>AND('STERLING CATALOG - FZN &amp; CHILL'!J3035,"AAAAAF/7djE=")</f>
        <v>#VALUE!</v>
      </c>
      <c r="AY375">
        <f>IF('STERLING CATALOG - FZN &amp; CHILL'!3036:3036,"AAAAAF/7djI=",0)</f>
        <v>0</v>
      </c>
      <c r="AZ375" t="e">
        <f>AND('STERLING CATALOG - FZN &amp; CHILL'!A3036,"AAAAAF/7djM=")</f>
        <v>#VALUE!</v>
      </c>
      <c r="BA375" t="e">
        <f>AND('STERLING CATALOG - FZN &amp; CHILL'!B3036,"AAAAAF/7djQ=")</f>
        <v>#VALUE!</v>
      </c>
      <c r="BB375" t="e">
        <f>AND('STERLING CATALOG - FZN &amp; CHILL'!C3036,"AAAAAF/7djU=")</f>
        <v>#VALUE!</v>
      </c>
      <c r="BC375" t="e">
        <f>AND('STERLING CATALOG - FZN &amp; CHILL'!D3036,"AAAAAF/7djY=")</f>
        <v>#VALUE!</v>
      </c>
      <c r="BD375" t="e">
        <f>AND('STERLING CATALOG - FZN &amp; CHILL'!E3036,"AAAAAF/7djc=")</f>
        <v>#VALUE!</v>
      </c>
      <c r="BE375" t="e">
        <f>AND('STERLING CATALOG - FZN &amp; CHILL'!F3036,"AAAAAF/7djg=")</f>
        <v>#VALUE!</v>
      </c>
      <c r="BF375" t="e">
        <f>AND('STERLING CATALOG - FZN &amp; CHILL'!G3036,"AAAAAF/7djk=")</f>
        <v>#VALUE!</v>
      </c>
      <c r="BG375" t="e">
        <f>AND('STERLING CATALOG - FZN &amp; CHILL'!H3036,"AAAAAF/7djo=")</f>
        <v>#VALUE!</v>
      </c>
      <c r="BH375" t="e">
        <f>AND('STERLING CATALOG - FZN &amp; CHILL'!I3036,"AAAAAF/7djs=")</f>
        <v>#VALUE!</v>
      </c>
      <c r="BI375" t="e">
        <f>AND('STERLING CATALOG - FZN &amp; CHILL'!J3036,"AAAAAF/7djw=")</f>
        <v>#VALUE!</v>
      </c>
      <c r="BJ375">
        <f>IF('STERLING CATALOG - FZN &amp; CHILL'!3037:3037,"AAAAAF/7dj0=",0)</f>
        <v>0</v>
      </c>
      <c r="BK375" t="e">
        <f>AND('STERLING CATALOG - FZN &amp; CHILL'!A3037,"AAAAAF/7dj4=")</f>
        <v>#VALUE!</v>
      </c>
      <c r="BL375" t="e">
        <f>AND('STERLING CATALOG - FZN &amp; CHILL'!B3037,"AAAAAF/7dj8=")</f>
        <v>#VALUE!</v>
      </c>
      <c r="BM375" t="e">
        <f>AND('STERLING CATALOG - FZN &amp; CHILL'!C3037,"AAAAAF/7dkA=")</f>
        <v>#VALUE!</v>
      </c>
      <c r="BN375" t="e">
        <f>AND('STERLING CATALOG - FZN &amp; CHILL'!D3037,"AAAAAF/7dkE=")</f>
        <v>#VALUE!</v>
      </c>
      <c r="BO375" t="e">
        <f>AND('STERLING CATALOG - FZN &amp; CHILL'!E3037,"AAAAAF/7dkI=")</f>
        <v>#VALUE!</v>
      </c>
      <c r="BP375" t="e">
        <f>AND('STERLING CATALOG - FZN &amp; CHILL'!F3037,"AAAAAF/7dkM=")</f>
        <v>#VALUE!</v>
      </c>
      <c r="BQ375" t="e">
        <f>AND('STERLING CATALOG - FZN &amp; CHILL'!G3037,"AAAAAF/7dkQ=")</f>
        <v>#VALUE!</v>
      </c>
      <c r="BR375" t="e">
        <f>AND('STERLING CATALOG - FZN &amp; CHILL'!H3037,"AAAAAF/7dkU=")</f>
        <v>#VALUE!</v>
      </c>
      <c r="BS375" t="e">
        <f>AND('STERLING CATALOG - FZN &amp; CHILL'!I3037,"AAAAAF/7dkY=")</f>
        <v>#VALUE!</v>
      </c>
      <c r="BT375" t="e">
        <f>AND('STERLING CATALOG - FZN &amp; CHILL'!J3037,"AAAAAF/7dkc=")</f>
        <v>#VALUE!</v>
      </c>
      <c r="BU375">
        <f>IF('STERLING CATALOG - FZN &amp; CHILL'!3038:3038,"AAAAAF/7dkg=",0)</f>
        <v>0</v>
      </c>
      <c r="BV375" t="e">
        <f>AND('STERLING CATALOG - FZN &amp; CHILL'!A3038,"AAAAAF/7dkk=")</f>
        <v>#VALUE!</v>
      </c>
      <c r="BW375" t="e">
        <f>AND('STERLING CATALOG - FZN &amp; CHILL'!B3038,"AAAAAF/7dko=")</f>
        <v>#VALUE!</v>
      </c>
      <c r="BX375" t="e">
        <f>AND('STERLING CATALOG - FZN &amp; CHILL'!C3038,"AAAAAF/7dks=")</f>
        <v>#VALUE!</v>
      </c>
      <c r="BY375" t="e">
        <f>AND('STERLING CATALOG - FZN &amp; CHILL'!D3038,"AAAAAF/7dkw=")</f>
        <v>#VALUE!</v>
      </c>
      <c r="BZ375" t="e">
        <f>AND('STERLING CATALOG - FZN &amp; CHILL'!E3038,"AAAAAF/7dk0=")</f>
        <v>#VALUE!</v>
      </c>
      <c r="CA375" t="e">
        <f>AND('STERLING CATALOG - FZN &amp; CHILL'!F3038,"AAAAAF/7dk4=")</f>
        <v>#VALUE!</v>
      </c>
      <c r="CB375" t="e">
        <f>AND('STERLING CATALOG - FZN &amp; CHILL'!G3038,"AAAAAF/7dk8=")</f>
        <v>#VALUE!</v>
      </c>
      <c r="CC375" t="e">
        <f>AND('STERLING CATALOG - FZN &amp; CHILL'!H3038,"AAAAAF/7dlA=")</f>
        <v>#VALUE!</v>
      </c>
      <c r="CD375" t="e">
        <f>AND('STERLING CATALOG - FZN &amp; CHILL'!I3038,"AAAAAF/7dlE=")</f>
        <v>#VALUE!</v>
      </c>
      <c r="CE375" t="e">
        <f>AND('STERLING CATALOG - FZN &amp; CHILL'!J3038,"AAAAAF/7dlI=")</f>
        <v>#VALUE!</v>
      </c>
      <c r="CF375">
        <f>IF('STERLING CATALOG - FZN &amp; CHILL'!3039:3039,"AAAAAF/7dlM=",0)</f>
        <v>0</v>
      </c>
      <c r="CG375" t="e">
        <f>AND('STERLING CATALOG - FZN &amp; CHILL'!A3039,"AAAAAF/7dlQ=")</f>
        <v>#VALUE!</v>
      </c>
      <c r="CH375" t="e">
        <f>AND('STERLING CATALOG - FZN &amp; CHILL'!B3039,"AAAAAF/7dlU=")</f>
        <v>#VALUE!</v>
      </c>
      <c r="CI375" t="e">
        <f>AND('STERLING CATALOG - FZN &amp; CHILL'!C3039,"AAAAAF/7dlY=")</f>
        <v>#VALUE!</v>
      </c>
      <c r="CJ375" t="e">
        <f>AND('STERLING CATALOG - FZN &amp; CHILL'!D3039,"AAAAAF/7dlc=")</f>
        <v>#VALUE!</v>
      </c>
      <c r="CK375" t="e">
        <f>AND('STERLING CATALOG - FZN &amp; CHILL'!E3039,"AAAAAF/7dlg=")</f>
        <v>#VALUE!</v>
      </c>
      <c r="CL375" t="e">
        <f>AND('STERLING CATALOG - FZN &amp; CHILL'!F3039,"AAAAAF/7dlk=")</f>
        <v>#VALUE!</v>
      </c>
      <c r="CM375" t="e">
        <f>AND('STERLING CATALOG - FZN &amp; CHILL'!G3039,"AAAAAF/7dlo=")</f>
        <v>#VALUE!</v>
      </c>
      <c r="CN375" t="e">
        <f>AND('STERLING CATALOG - FZN &amp; CHILL'!H3039,"AAAAAF/7dls=")</f>
        <v>#VALUE!</v>
      </c>
      <c r="CO375" t="e">
        <f>AND('STERLING CATALOG - FZN &amp; CHILL'!I3039,"AAAAAF/7dlw=")</f>
        <v>#VALUE!</v>
      </c>
      <c r="CP375" t="e">
        <f>AND('STERLING CATALOG - FZN &amp; CHILL'!J3039,"AAAAAF/7dl0=")</f>
        <v>#VALUE!</v>
      </c>
      <c r="CQ375">
        <f>IF('STERLING CATALOG - FZN &amp; CHILL'!3040:3040,"AAAAAF/7dl4=",0)</f>
        <v>0</v>
      </c>
      <c r="CR375" t="e">
        <f>AND('STERLING CATALOG - FZN &amp; CHILL'!A3040,"AAAAAF/7dl8=")</f>
        <v>#VALUE!</v>
      </c>
      <c r="CS375" t="e">
        <f>AND('STERLING CATALOG - FZN &amp; CHILL'!B3040,"AAAAAF/7dmA=")</f>
        <v>#VALUE!</v>
      </c>
      <c r="CT375" t="e">
        <f>AND('STERLING CATALOG - FZN &amp; CHILL'!C3040,"AAAAAF/7dmE=")</f>
        <v>#VALUE!</v>
      </c>
      <c r="CU375" t="e">
        <f>AND('STERLING CATALOG - FZN &amp; CHILL'!D3040,"AAAAAF/7dmI=")</f>
        <v>#VALUE!</v>
      </c>
      <c r="CV375" t="e">
        <f>AND('STERLING CATALOG - FZN &amp; CHILL'!E3040,"AAAAAF/7dmM=")</f>
        <v>#VALUE!</v>
      </c>
      <c r="CW375" t="e">
        <f>AND('STERLING CATALOG - FZN &amp; CHILL'!F3040,"AAAAAF/7dmQ=")</f>
        <v>#VALUE!</v>
      </c>
      <c r="CX375" t="e">
        <f>AND('STERLING CATALOG - FZN &amp; CHILL'!G3040,"AAAAAF/7dmU=")</f>
        <v>#VALUE!</v>
      </c>
      <c r="CY375" t="e">
        <f>AND('STERLING CATALOG - FZN &amp; CHILL'!H3040,"AAAAAF/7dmY=")</f>
        <v>#VALUE!</v>
      </c>
      <c r="CZ375" t="e">
        <f>AND('STERLING CATALOG - FZN &amp; CHILL'!I3040,"AAAAAF/7dmc=")</f>
        <v>#VALUE!</v>
      </c>
      <c r="DA375" t="e">
        <f>AND('STERLING CATALOG - FZN &amp; CHILL'!J3040,"AAAAAF/7dmg=")</f>
        <v>#VALUE!</v>
      </c>
      <c r="DB375">
        <f>IF('STERLING CATALOG - FZN &amp; CHILL'!3041:3041,"AAAAAF/7dmk=",0)</f>
        <v>0</v>
      </c>
      <c r="DC375" t="e">
        <f>AND('STERLING CATALOG - FZN &amp; CHILL'!A3041,"AAAAAF/7dmo=")</f>
        <v>#VALUE!</v>
      </c>
      <c r="DD375" t="e">
        <f>AND('STERLING CATALOG - FZN &amp; CHILL'!B3041,"AAAAAF/7dms=")</f>
        <v>#VALUE!</v>
      </c>
      <c r="DE375" t="e">
        <f>AND('STERLING CATALOG - FZN &amp; CHILL'!C3041,"AAAAAF/7dmw=")</f>
        <v>#VALUE!</v>
      </c>
      <c r="DF375" t="e">
        <f>AND('STERLING CATALOG - FZN &amp; CHILL'!D3041,"AAAAAF/7dm0=")</f>
        <v>#VALUE!</v>
      </c>
      <c r="DG375" t="e">
        <f>AND('STERLING CATALOG - FZN &amp; CHILL'!E3041,"AAAAAF/7dm4=")</f>
        <v>#VALUE!</v>
      </c>
      <c r="DH375" t="e">
        <f>AND('STERLING CATALOG - FZN &amp; CHILL'!F3041,"AAAAAF/7dm8=")</f>
        <v>#VALUE!</v>
      </c>
      <c r="DI375" t="e">
        <f>AND('STERLING CATALOG - FZN &amp; CHILL'!G3041,"AAAAAF/7dnA=")</f>
        <v>#VALUE!</v>
      </c>
      <c r="DJ375" t="e">
        <f>AND('STERLING CATALOG - FZN &amp; CHILL'!H3041,"AAAAAF/7dnE=")</f>
        <v>#VALUE!</v>
      </c>
      <c r="DK375" t="e">
        <f>AND('STERLING CATALOG - FZN &amp; CHILL'!I3041,"AAAAAF/7dnI=")</f>
        <v>#VALUE!</v>
      </c>
      <c r="DL375" t="e">
        <f>AND('STERLING CATALOG - FZN &amp; CHILL'!J3041,"AAAAAF/7dnM=")</f>
        <v>#VALUE!</v>
      </c>
      <c r="DM375">
        <f>IF('STERLING CATALOG - FZN &amp; CHILL'!3042:3042,"AAAAAF/7dnQ=",0)</f>
        <v>0</v>
      </c>
      <c r="DN375" t="e">
        <f>AND('STERLING CATALOG - FZN &amp; CHILL'!A3042,"AAAAAF/7dnU=")</f>
        <v>#VALUE!</v>
      </c>
      <c r="DO375" t="e">
        <f>AND('STERLING CATALOG - FZN &amp; CHILL'!B3042,"AAAAAF/7dnY=")</f>
        <v>#VALUE!</v>
      </c>
      <c r="DP375" t="e">
        <f>AND('STERLING CATALOG - FZN &amp; CHILL'!C3042,"AAAAAF/7dnc=")</f>
        <v>#VALUE!</v>
      </c>
      <c r="DQ375" t="e">
        <f>AND('STERLING CATALOG - FZN &amp; CHILL'!D3042,"AAAAAF/7dng=")</f>
        <v>#VALUE!</v>
      </c>
      <c r="DR375" t="e">
        <f>AND('STERLING CATALOG - FZN &amp; CHILL'!E3042,"AAAAAF/7dnk=")</f>
        <v>#VALUE!</v>
      </c>
      <c r="DS375" t="e">
        <f>AND('STERLING CATALOG - FZN &amp; CHILL'!F3042,"AAAAAF/7dno=")</f>
        <v>#VALUE!</v>
      </c>
      <c r="DT375" t="e">
        <f>AND('STERLING CATALOG - FZN &amp; CHILL'!G3042,"AAAAAF/7dns=")</f>
        <v>#VALUE!</v>
      </c>
      <c r="DU375" t="e">
        <f>AND('STERLING CATALOG - FZN &amp; CHILL'!H3042,"AAAAAF/7dnw=")</f>
        <v>#VALUE!</v>
      </c>
      <c r="DV375" t="e">
        <f>AND('STERLING CATALOG - FZN &amp; CHILL'!I3042,"AAAAAF/7dn0=")</f>
        <v>#VALUE!</v>
      </c>
      <c r="DW375" t="e">
        <f>AND('STERLING CATALOG - FZN &amp; CHILL'!J3042,"AAAAAF/7dn4=")</f>
        <v>#VALUE!</v>
      </c>
      <c r="DX375">
        <f>IF('STERLING CATALOG - FZN &amp; CHILL'!3043:3043,"AAAAAF/7dn8=",0)</f>
        <v>0</v>
      </c>
      <c r="DY375" t="e">
        <f>AND('STERLING CATALOG - FZN &amp; CHILL'!A3043,"AAAAAF/7doA=")</f>
        <v>#VALUE!</v>
      </c>
      <c r="DZ375" t="e">
        <f>AND('STERLING CATALOG - FZN &amp; CHILL'!B3043,"AAAAAF/7doE=")</f>
        <v>#VALUE!</v>
      </c>
      <c r="EA375" t="e">
        <f>AND('STERLING CATALOG - FZN &amp; CHILL'!C3043,"AAAAAF/7doI=")</f>
        <v>#VALUE!</v>
      </c>
      <c r="EB375" t="e">
        <f>AND('STERLING CATALOG - FZN &amp; CHILL'!D3043,"AAAAAF/7doM=")</f>
        <v>#VALUE!</v>
      </c>
      <c r="EC375" t="e">
        <f>AND('STERLING CATALOG - FZN &amp; CHILL'!E3043,"AAAAAF/7doQ=")</f>
        <v>#VALUE!</v>
      </c>
      <c r="ED375" t="e">
        <f>AND('STERLING CATALOG - FZN &amp; CHILL'!F3043,"AAAAAF/7doU=")</f>
        <v>#VALUE!</v>
      </c>
      <c r="EE375" t="e">
        <f>AND('STERLING CATALOG - FZN &amp; CHILL'!G3043,"AAAAAF/7doY=")</f>
        <v>#VALUE!</v>
      </c>
      <c r="EF375" t="e">
        <f>AND('STERLING CATALOG - FZN &amp; CHILL'!H3043,"AAAAAF/7doc=")</f>
        <v>#VALUE!</v>
      </c>
      <c r="EG375" t="e">
        <f>AND('STERLING CATALOG - FZN &amp; CHILL'!I3043,"AAAAAF/7dog=")</f>
        <v>#VALUE!</v>
      </c>
      <c r="EH375" t="e">
        <f>AND('STERLING CATALOG - FZN &amp; CHILL'!J3043,"AAAAAF/7dok=")</f>
        <v>#VALUE!</v>
      </c>
      <c r="EI375">
        <f>IF('STERLING CATALOG - FZN &amp; CHILL'!3044:3044,"AAAAAF/7doo=",0)</f>
        <v>0</v>
      </c>
      <c r="EJ375" t="e">
        <f>AND('STERLING CATALOG - FZN &amp; CHILL'!A3044,"AAAAAF/7dos=")</f>
        <v>#VALUE!</v>
      </c>
      <c r="EK375" t="e">
        <f>AND('STERLING CATALOG - FZN &amp; CHILL'!B3044,"AAAAAF/7dow=")</f>
        <v>#VALUE!</v>
      </c>
      <c r="EL375" t="e">
        <f>AND('STERLING CATALOG - FZN &amp; CHILL'!C3044,"AAAAAF/7do0=")</f>
        <v>#VALUE!</v>
      </c>
      <c r="EM375" t="e">
        <f>AND('STERLING CATALOG - FZN &amp; CHILL'!D3044,"AAAAAF/7do4=")</f>
        <v>#VALUE!</v>
      </c>
      <c r="EN375" t="e">
        <f>AND('STERLING CATALOG - FZN &amp; CHILL'!E3044,"AAAAAF/7do8=")</f>
        <v>#VALUE!</v>
      </c>
      <c r="EO375" t="e">
        <f>AND('STERLING CATALOG - FZN &amp; CHILL'!F3044,"AAAAAF/7dpA=")</f>
        <v>#VALUE!</v>
      </c>
      <c r="EP375" t="e">
        <f>AND('STERLING CATALOG - FZN &amp; CHILL'!G3044,"AAAAAF/7dpE=")</f>
        <v>#VALUE!</v>
      </c>
      <c r="EQ375" t="e">
        <f>AND('STERLING CATALOG - FZN &amp; CHILL'!H3044,"AAAAAF/7dpI=")</f>
        <v>#VALUE!</v>
      </c>
      <c r="ER375" t="e">
        <f>AND('STERLING CATALOG - FZN &amp; CHILL'!I3044,"AAAAAF/7dpM=")</f>
        <v>#VALUE!</v>
      </c>
      <c r="ES375" t="e">
        <f>AND('STERLING CATALOG - FZN &amp; CHILL'!J3044,"AAAAAF/7dpQ=")</f>
        <v>#VALUE!</v>
      </c>
      <c r="ET375">
        <f>IF('STERLING CATALOG - FZN &amp; CHILL'!3045:3045,"AAAAAF/7dpU=",0)</f>
        <v>0</v>
      </c>
      <c r="EU375" t="e">
        <f>AND('STERLING CATALOG - FZN &amp; CHILL'!A3045,"AAAAAF/7dpY=")</f>
        <v>#VALUE!</v>
      </c>
      <c r="EV375" t="e">
        <f>AND('STERLING CATALOG - FZN &amp; CHILL'!B3045,"AAAAAF/7dpc=")</f>
        <v>#VALUE!</v>
      </c>
      <c r="EW375" t="e">
        <f>AND('STERLING CATALOG - FZN &amp; CHILL'!C3045,"AAAAAF/7dpg=")</f>
        <v>#VALUE!</v>
      </c>
      <c r="EX375" t="e">
        <f>AND('STERLING CATALOG - FZN &amp; CHILL'!D3045,"AAAAAF/7dpk=")</f>
        <v>#VALUE!</v>
      </c>
      <c r="EY375" t="e">
        <f>AND('STERLING CATALOG - FZN &amp; CHILL'!E3045,"AAAAAF/7dpo=")</f>
        <v>#VALUE!</v>
      </c>
      <c r="EZ375" t="e">
        <f>AND('STERLING CATALOG - FZN &amp; CHILL'!F3045,"AAAAAF/7dps=")</f>
        <v>#VALUE!</v>
      </c>
      <c r="FA375" t="e">
        <f>AND('STERLING CATALOG - FZN &amp; CHILL'!G3045,"AAAAAF/7dpw=")</f>
        <v>#VALUE!</v>
      </c>
      <c r="FB375" t="e">
        <f>AND('STERLING CATALOG - FZN &amp; CHILL'!H3045,"AAAAAF/7dp0=")</f>
        <v>#VALUE!</v>
      </c>
      <c r="FC375" t="e">
        <f>AND('STERLING CATALOG - FZN &amp; CHILL'!I3045,"AAAAAF/7dp4=")</f>
        <v>#VALUE!</v>
      </c>
      <c r="FD375" t="e">
        <f>AND('STERLING CATALOG - FZN &amp; CHILL'!J3045,"AAAAAF/7dp8=")</f>
        <v>#VALUE!</v>
      </c>
      <c r="FE375">
        <f>IF('STERLING CATALOG - FZN &amp; CHILL'!3046:3046,"AAAAAF/7dqA=",0)</f>
        <v>0</v>
      </c>
      <c r="FF375" t="e">
        <f>AND('STERLING CATALOG - FZN &amp; CHILL'!A3046,"AAAAAF/7dqE=")</f>
        <v>#VALUE!</v>
      </c>
      <c r="FG375" t="e">
        <f>AND('STERLING CATALOG - FZN &amp; CHILL'!B3046,"AAAAAF/7dqI=")</f>
        <v>#VALUE!</v>
      </c>
      <c r="FH375" t="e">
        <f>AND('STERLING CATALOG - FZN &amp; CHILL'!C3046,"AAAAAF/7dqM=")</f>
        <v>#VALUE!</v>
      </c>
      <c r="FI375" t="e">
        <f>AND('STERLING CATALOG - FZN &amp; CHILL'!D3046,"AAAAAF/7dqQ=")</f>
        <v>#VALUE!</v>
      </c>
      <c r="FJ375" t="e">
        <f>AND('STERLING CATALOG - FZN &amp; CHILL'!E3046,"AAAAAF/7dqU=")</f>
        <v>#VALUE!</v>
      </c>
      <c r="FK375" t="e">
        <f>AND('STERLING CATALOG - FZN &amp; CHILL'!F3046,"AAAAAF/7dqY=")</f>
        <v>#VALUE!</v>
      </c>
      <c r="FL375" t="e">
        <f>AND('STERLING CATALOG - FZN &amp; CHILL'!G3046,"AAAAAF/7dqc=")</f>
        <v>#VALUE!</v>
      </c>
      <c r="FM375" t="e">
        <f>AND('STERLING CATALOG - FZN &amp; CHILL'!H3046,"AAAAAF/7dqg=")</f>
        <v>#VALUE!</v>
      </c>
      <c r="FN375" t="e">
        <f>AND('STERLING CATALOG - FZN &amp; CHILL'!I3046,"AAAAAF/7dqk=")</f>
        <v>#VALUE!</v>
      </c>
      <c r="FO375" t="e">
        <f>AND('STERLING CATALOG - FZN &amp; CHILL'!J3046,"AAAAAF/7dqo=")</f>
        <v>#VALUE!</v>
      </c>
      <c r="FP375">
        <f>IF('STERLING CATALOG - FZN &amp; CHILL'!3047:3047,"AAAAAF/7dqs=",0)</f>
        <v>0</v>
      </c>
      <c r="FQ375" t="e">
        <f>AND('STERLING CATALOG - FZN &amp; CHILL'!A3047,"AAAAAF/7dqw=")</f>
        <v>#VALUE!</v>
      </c>
      <c r="FR375" t="e">
        <f>AND('STERLING CATALOG - FZN &amp; CHILL'!B3047,"AAAAAF/7dq0=")</f>
        <v>#VALUE!</v>
      </c>
      <c r="FS375" t="e">
        <f>AND('STERLING CATALOG - FZN &amp; CHILL'!C3047,"AAAAAF/7dq4=")</f>
        <v>#VALUE!</v>
      </c>
      <c r="FT375" t="e">
        <f>AND('STERLING CATALOG - FZN &amp; CHILL'!D3047,"AAAAAF/7dq8=")</f>
        <v>#VALUE!</v>
      </c>
      <c r="FU375" t="e">
        <f>AND('STERLING CATALOG - FZN &amp; CHILL'!E3047,"AAAAAF/7drA=")</f>
        <v>#VALUE!</v>
      </c>
      <c r="FV375" t="e">
        <f>AND('STERLING CATALOG - FZN &amp; CHILL'!F3047,"AAAAAF/7drE=")</f>
        <v>#VALUE!</v>
      </c>
      <c r="FW375" t="e">
        <f>AND('STERLING CATALOG - FZN &amp; CHILL'!G3047,"AAAAAF/7drI=")</f>
        <v>#VALUE!</v>
      </c>
      <c r="FX375" t="e">
        <f>AND('STERLING CATALOG - FZN &amp; CHILL'!H3047,"AAAAAF/7drM=")</f>
        <v>#VALUE!</v>
      </c>
      <c r="FY375" t="e">
        <f>AND('STERLING CATALOG - FZN &amp; CHILL'!I3047,"AAAAAF/7drQ=")</f>
        <v>#VALUE!</v>
      </c>
      <c r="FZ375" t="e">
        <f>AND('STERLING CATALOG - FZN &amp; CHILL'!J3047,"AAAAAF/7drU=")</f>
        <v>#VALUE!</v>
      </c>
      <c r="GA375">
        <f>IF('STERLING CATALOG - FZN &amp; CHILL'!3048:3048,"AAAAAF/7drY=",0)</f>
        <v>0</v>
      </c>
      <c r="GB375" t="e">
        <f>AND('STERLING CATALOG - FZN &amp; CHILL'!A3048,"AAAAAF/7drc=")</f>
        <v>#VALUE!</v>
      </c>
      <c r="GC375" t="e">
        <f>AND('STERLING CATALOG - FZN &amp; CHILL'!B3048,"AAAAAF/7drg=")</f>
        <v>#VALUE!</v>
      </c>
      <c r="GD375" t="e">
        <f>AND('STERLING CATALOG - FZN &amp; CHILL'!C3048,"AAAAAF/7drk=")</f>
        <v>#VALUE!</v>
      </c>
      <c r="GE375" t="e">
        <f>AND('STERLING CATALOG - FZN &amp; CHILL'!D3048,"AAAAAF/7dro=")</f>
        <v>#VALUE!</v>
      </c>
      <c r="GF375" t="e">
        <f>AND('STERLING CATALOG - FZN &amp; CHILL'!E3048,"AAAAAF/7drs=")</f>
        <v>#VALUE!</v>
      </c>
      <c r="GG375" t="e">
        <f>AND('STERLING CATALOG - FZN &amp; CHILL'!F3048,"AAAAAF/7drw=")</f>
        <v>#VALUE!</v>
      </c>
      <c r="GH375" t="e">
        <f>AND('STERLING CATALOG - FZN &amp; CHILL'!G3048,"AAAAAF/7dr0=")</f>
        <v>#VALUE!</v>
      </c>
      <c r="GI375" t="e">
        <f>AND('STERLING CATALOG - FZN &amp; CHILL'!H3048,"AAAAAF/7dr4=")</f>
        <v>#VALUE!</v>
      </c>
      <c r="GJ375" t="e">
        <f>AND('STERLING CATALOG - FZN &amp; CHILL'!I3048,"AAAAAF/7dr8=")</f>
        <v>#VALUE!</v>
      </c>
      <c r="GK375" t="e">
        <f>AND('STERLING CATALOG - FZN &amp; CHILL'!J3048,"AAAAAF/7dsA=")</f>
        <v>#VALUE!</v>
      </c>
      <c r="GL375">
        <f>IF('STERLING CATALOG - FZN &amp; CHILL'!3049:3049,"AAAAAF/7dsE=",0)</f>
        <v>0</v>
      </c>
      <c r="GM375" t="e">
        <f>AND('STERLING CATALOG - FZN &amp; CHILL'!A3049,"AAAAAF/7dsI=")</f>
        <v>#VALUE!</v>
      </c>
      <c r="GN375" t="e">
        <f>AND('STERLING CATALOG - FZN &amp; CHILL'!B3049,"AAAAAF/7dsM=")</f>
        <v>#VALUE!</v>
      </c>
      <c r="GO375" t="e">
        <f>AND('STERLING CATALOG - FZN &amp; CHILL'!C3049,"AAAAAF/7dsQ=")</f>
        <v>#VALUE!</v>
      </c>
      <c r="GP375" t="e">
        <f>AND('STERLING CATALOG - FZN &amp; CHILL'!D3049,"AAAAAF/7dsU=")</f>
        <v>#VALUE!</v>
      </c>
      <c r="GQ375" t="e">
        <f>AND('STERLING CATALOG - FZN &amp; CHILL'!E3049,"AAAAAF/7dsY=")</f>
        <v>#VALUE!</v>
      </c>
      <c r="GR375" t="e">
        <f>AND('STERLING CATALOG - FZN &amp; CHILL'!F3049,"AAAAAF/7dsc=")</f>
        <v>#VALUE!</v>
      </c>
      <c r="GS375" t="e">
        <f>AND('STERLING CATALOG - FZN &amp; CHILL'!G3049,"AAAAAF/7dsg=")</f>
        <v>#VALUE!</v>
      </c>
      <c r="GT375" t="e">
        <f>AND('STERLING CATALOG - FZN &amp; CHILL'!H3049,"AAAAAF/7dsk=")</f>
        <v>#VALUE!</v>
      </c>
      <c r="GU375" t="e">
        <f>AND('STERLING CATALOG - FZN &amp; CHILL'!I3049,"AAAAAF/7dso=")</f>
        <v>#VALUE!</v>
      </c>
      <c r="GV375" t="e">
        <f>AND('STERLING CATALOG - FZN &amp; CHILL'!J3049,"AAAAAF/7dss=")</f>
        <v>#VALUE!</v>
      </c>
      <c r="GW375">
        <f>IF('STERLING CATALOG - FZN &amp; CHILL'!3050:3050,"AAAAAF/7dsw=",0)</f>
        <v>0</v>
      </c>
      <c r="GX375" t="e">
        <f>AND('STERLING CATALOG - FZN &amp; CHILL'!A3050,"AAAAAF/7ds0=")</f>
        <v>#VALUE!</v>
      </c>
      <c r="GY375" t="e">
        <f>AND('STERLING CATALOG - FZN &amp; CHILL'!B3050,"AAAAAF/7ds4=")</f>
        <v>#VALUE!</v>
      </c>
      <c r="GZ375" t="e">
        <f>AND('STERLING CATALOG - FZN &amp; CHILL'!C3050,"AAAAAF/7ds8=")</f>
        <v>#VALUE!</v>
      </c>
      <c r="HA375" t="e">
        <f>AND('STERLING CATALOG - FZN &amp; CHILL'!D3050,"AAAAAF/7dtA=")</f>
        <v>#VALUE!</v>
      </c>
      <c r="HB375" t="e">
        <f>AND('STERLING CATALOG - FZN &amp; CHILL'!E3050,"AAAAAF/7dtE=")</f>
        <v>#VALUE!</v>
      </c>
      <c r="HC375" t="e">
        <f>AND('STERLING CATALOG - FZN &amp; CHILL'!F3050,"AAAAAF/7dtI=")</f>
        <v>#VALUE!</v>
      </c>
      <c r="HD375" t="e">
        <f>AND('STERLING CATALOG - FZN &amp; CHILL'!G3050,"AAAAAF/7dtM=")</f>
        <v>#VALUE!</v>
      </c>
      <c r="HE375" t="e">
        <f>AND('STERLING CATALOG - FZN &amp; CHILL'!H3050,"AAAAAF/7dtQ=")</f>
        <v>#VALUE!</v>
      </c>
      <c r="HF375" t="e">
        <f>AND('STERLING CATALOG - FZN &amp; CHILL'!I3050,"AAAAAF/7dtU=")</f>
        <v>#VALUE!</v>
      </c>
      <c r="HG375" t="e">
        <f>AND('STERLING CATALOG - FZN &amp; CHILL'!J3050,"AAAAAF/7dtY=")</f>
        <v>#VALUE!</v>
      </c>
      <c r="HH375">
        <f>IF('STERLING CATALOG - FZN &amp; CHILL'!3051:3051,"AAAAAF/7dtc=",0)</f>
        <v>0</v>
      </c>
      <c r="HI375" t="e">
        <f>AND('STERLING CATALOG - FZN &amp; CHILL'!A3051,"AAAAAF/7dtg=")</f>
        <v>#VALUE!</v>
      </c>
      <c r="HJ375" t="e">
        <f>AND('STERLING CATALOG - FZN &amp; CHILL'!B3051,"AAAAAF/7dtk=")</f>
        <v>#VALUE!</v>
      </c>
      <c r="HK375" t="e">
        <f>AND('STERLING CATALOG - FZN &amp; CHILL'!C3051,"AAAAAF/7dto=")</f>
        <v>#VALUE!</v>
      </c>
      <c r="HL375" t="e">
        <f>AND('STERLING CATALOG - FZN &amp; CHILL'!D3051,"AAAAAF/7dts=")</f>
        <v>#VALUE!</v>
      </c>
      <c r="HM375" t="e">
        <f>AND('STERLING CATALOG - FZN &amp; CHILL'!E3051,"AAAAAF/7dtw=")</f>
        <v>#VALUE!</v>
      </c>
      <c r="HN375" t="e">
        <f>AND('STERLING CATALOG - FZN &amp; CHILL'!F3051,"AAAAAF/7dt0=")</f>
        <v>#VALUE!</v>
      </c>
      <c r="HO375" t="e">
        <f>AND('STERLING CATALOG - FZN &amp; CHILL'!G3051,"AAAAAF/7dt4=")</f>
        <v>#VALUE!</v>
      </c>
      <c r="HP375" t="e">
        <f>AND('STERLING CATALOG - FZN &amp; CHILL'!H3051,"AAAAAF/7dt8=")</f>
        <v>#VALUE!</v>
      </c>
      <c r="HQ375" t="e">
        <f>AND('STERLING CATALOG - FZN &amp; CHILL'!I3051,"AAAAAF/7duA=")</f>
        <v>#VALUE!</v>
      </c>
      <c r="HR375" t="e">
        <f>AND('STERLING CATALOG - FZN &amp; CHILL'!J3051,"AAAAAF/7duE=")</f>
        <v>#VALUE!</v>
      </c>
      <c r="HS375">
        <f>IF('STERLING CATALOG - FZN &amp; CHILL'!3052:3052,"AAAAAF/7duI=",0)</f>
        <v>0</v>
      </c>
      <c r="HT375" t="e">
        <f>AND('STERLING CATALOG - FZN &amp; CHILL'!A3052,"AAAAAF/7duM=")</f>
        <v>#VALUE!</v>
      </c>
      <c r="HU375" t="e">
        <f>AND('STERLING CATALOG - FZN &amp; CHILL'!B3052,"AAAAAF/7duQ=")</f>
        <v>#VALUE!</v>
      </c>
      <c r="HV375" t="e">
        <f>AND('STERLING CATALOG - FZN &amp; CHILL'!C3052,"AAAAAF/7duU=")</f>
        <v>#VALUE!</v>
      </c>
      <c r="HW375" t="e">
        <f>AND('STERLING CATALOG - FZN &amp; CHILL'!D3052,"AAAAAF/7duY=")</f>
        <v>#VALUE!</v>
      </c>
      <c r="HX375" t="e">
        <f>AND('STERLING CATALOG - FZN &amp; CHILL'!E3052,"AAAAAF/7duc=")</f>
        <v>#VALUE!</v>
      </c>
      <c r="HY375" t="e">
        <f>AND('STERLING CATALOG - FZN &amp; CHILL'!F3052,"AAAAAF/7dug=")</f>
        <v>#VALUE!</v>
      </c>
      <c r="HZ375" t="e">
        <f>AND('STERLING CATALOG - FZN &amp; CHILL'!G3052,"AAAAAF/7duk=")</f>
        <v>#VALUE!</v>
      </c>
      <c r="IA375" t="e">
        <f>AND('STERLING CATALOG - FZN &amp; CHILL'!H3052,"AAAAAF/7duo=")</f>
        <v>#VALUE!</v>
      </c>
      <c r="IB375" t="e">
        <f>AND('STERLING CATALOG - FZN &amp; CHILL'!I3052,"AAAAAF/7dus=")</f>
        <v>#VALUE!</v>
      </c>
      <c r="IC375" t="e">
        <f>AND('STERLING CATALOG - FZN &amp; CHILL'!J3052,"AAAAAF/7duw=")</f>
        <v>#VALUE!</v>
      </c>
      <c r="ID375">
        <f>IF('STERLING CATALOG - FZN &amp; CHILL'!3053:3053,"AAAAAF/7du0=",0)</f>
        <v>0</v>
      </c>
      <c r="IE375" t="e">
        <f>AND('STERLING CATALOG - FZN &amp; CHILL'!A3053,"AAAAAF/7du4=")</f>
        <v>#VALUE!</v>
      </c>
      <c r="IF375" t="e">
        <f>AND('STERLING CATALOG - FZN &amp; CHILL'!B3053,"AAAAAF/7du8=")</f>
        <v>#VALUE!</v>
      </c>
      <c r="IG375" t="e">
        <f>AND('STERLING CATALOG - FZN &amp; CHILL'!C3053,"AAAAAF/7dvA=")</f>
        <v>#VALUE!</v>
      </c>
      <c r="IH375" t="e">
        <f>AND('STERLING CATALOG - FZN &amp; CHILL'!D3053,"AAAAAF/7dvE=")</f>
        <v>#VALUE!</v>
      </c>
      <c r="II375" t="e">
        <f>AND('STERLING CATALOG - FZN &amp; CHILL'!E3053,"AAAAAF/7dvI=")</f>
        <v>#VALUE!</v>
      </c>
      <c r="IJ375" t="e">
        <f>AND('STERLING CATALOG - FZN &amp; CHILL'!F3053,"AAAAAF/7dvM=")</f>
        <v>#VALUE!</v>
      </c>
      <c r="IK375" t="e">
        <f>AND('STERLING CATALOG - FZN &amp; CHILL'!G3053,"AAAAAF/7dvQ=")</f>
        <v>#VALUE!</v>
      </c>
      <c r="IL375" t="e">
        <f>AND('STERLING CATALOG - FZN &amp; CHILL'!H3053,"AAAAAF/7dvU=")</f>
        <v>#VALUE!</v>
      </c>
      <c r="IM375" t="e">
        <f>AND('STERLING CATALOG - FZN &amp; CHILL'!I3053,"AAAAAF/7dvY=")</f>
        <v>#VALUE!</v>
      </c>
      <c r="IN375" t="e">
        <f>AND('STERLING CATALOG - FZN &amp; CHILL'!J3053,"AAAAAF/7dvc=")</f>
        <v>#VALUE!</v>
      </c>
      <c r="IO375">
        <f>IF('STERLING CATALOG - FZN &amp; CHILL'!3054:3054,"AAAAAF/7dvg=",0)</f>
        <v>0</v>
      </c>
      <c r="IP375" t="e">
        <f>AND('STERLING CATALOG - FZN &amp; CHILL'!A3054,"AAAAAF/7dvk=")</f>
        <v>#VALUE!</v>
      </c>
      <c r="IQ375" t="e">
        <f>AND('STERLING CATALOG - FZN &amp; CHILL'!B3054,"AAAAAF/7dvo=")</f>
        <v>#VALUE!</v>
      </c>
      <c r="IR375" t="e">
        <f>AND('STERLING CATALOG - FZN &amp; CHILL'!C3054,"AAAAAF/7dvs=")</f>
        <v>#VALUE!</v>
      </c>
      <c r="IS375" t="e">
        <f>AND('STERLING CATALOG - FZN &amp; CHILL'!D3054,"AAAAAF/7dvw=")</f>
        <v>#VALUE!</v>
      </c>
      <c r="IT375" t="e">
        <f>AND('STERLING CATALOG - FZN &amp; CHILL'!E3054,"AAAAAF/7dv0=")</f>
        <v>#VALUE!</v>
      </c>
      <c r="IU375" t="e">
        <f>AND('STERLING CATALOG - FZN &amp; CHILL'!F3054,"AAAAAF/7dv4=")</f>
        <v>#VALUE!</v>
      </c>
      <c r="IV375" t="e">
        <f>AND('STERLING CATALOG - FZN &amp; CHILL'!G3054,"AAAAAF/7dv8=")</f>
        <v>#VALUE!</v>
      </c>
    </row>
    <row r="376" spans="1:256">
      <c r="A376" t="e">
        <f>AND('STERLING CATALOG - FZN &amp; CHILL'!H3054,"AAAAAH0//wA=")</f>
        <v>#VALUE!</v>
      </c>
      <c r="B376" t="e">
        <f>AND('STERLING CATALOG - FZN &amp; CHILL'!I3054,"AAAAAH0//wE=")</f>
        <v>#VALUE!</v>
      </c>
      <c r="C376" t="e">
        <f>AND('STERLING CATALOG - FZN &amp; CHILL'!J3054,"AAAAAH0//wI=")</f>
        <v>#VALUE!</v>
      </c>
      <c r="D376" t="e">
        <f>IF('STERLING CATALOG - FZN &amp; CHILL'!3055:3055,"AAAAAH0//wM=",0)</f>
        <v>#VALUE!</v>
      </c>
      <c r="E376" t="e">
        <f>AND('STERLING CATALOG - FZN &amp; CHILL'!A3055,"AAAAAH0//wQ=")</f>
        <v>#VALUE!</v>
      </c>
      <c r="F376" t="e">
        <f>AND('STERLING CATALOG - FZN &amp; CHILL'!B3055,"AAAAAH0//wU=")</f>
        <v>#VALUE!</v>
      </c>
      <c r="G376" t="e">
        <f>AND('STERLING CATALOG - FZN &amp; CHILL'!C3055,"AAAAAH0//wY=")</f>
        <v>#VALUE!</v>
      </c>
      <c r="H376" t="e">
        <f>AND('STERLING CATALOG - FZN &amp; CHILL'!D3055,"AAAAAH0//wc=")</f>
        <v>#VALUE!</v>
      </c>
      <c r="I376" t="e">
        <f>AND('STERLING CATALOG - FZN &amp; CHILL'!E3055,"AAAAAH0//wg=")</f>
        <v>#VALUE!</v>
      </c>
      <c r="J376" t="e">
        <f>AND('STERLING CATALOG - FZN &amp; CHILL'!F3055,"AAAAAH0//wk=")</f>
        <v>#VALUE!</v>
      </c>
      <c r="K376" t="e">
        <f>AND('STERLING CATALOG - FZN &amp; CHILL'!G3055,"AAAAAH0//wo=")</f>
        <v>#VALUE!</v>
      </c>
      <c r="L376" t="e">
        <f>AND('STERLING CATALOG - FZN &amp; CHILL'!H3055,"AAAAAH0//ws=")</f>
        <v>#VALUE!</v>
      </c>
      <c r="M376" t="e">
        <f>AND('STERLING CATALOG - FZN &amp; CHILL'!I3055,"AAAAAH0//ww=")</f>
        <v>#VALUE!</v>
      </c>
      <c r="N376" t="e">
        <f>AND('STERLING CATALOG - FZN &amp; CHILL'!J3055,"AAAAAH0//w0=")</f>
        <v>#VALUE!</v>
      </c>
      <c r="O376">
        <f>IF('STERLING CATALOG - FZN &amp; CHILL'!3056:3056,"AAAAAH0//w4=",0)</f>
        <v>0</v>
      </c>
      <c r="P376" t="e">
        <f>AND('STERLING CATALOG - FZN &amp; CHILL'!A3056,"AAAAAH0//w8=")</f>
        <v>#VALUE!</v>
      </c>
      <c r="Q376" t="e">
        <f>AND('STERLING CATALOG - FZN &amp; CHILL'!B3056,"AAAAAH0//xA=")</f>
        <v>#VALUE!</v>
      </c>
      <c r="R376" t="e">
        <f>AND('STERLING CATALOG - FZN &amp; CHILL'!C3056,"AAAAAH0//xE=")</f>
        <v>#VALUE!</v>
      </c>
      <c r="S376" t="e">
        <f>AND('STERLING CATALOG - FZN &amp; CHILL'!D3056,"AAAAAH0//xI=")</f>
        <v>#VALUE!</v>
      </c>
      <c r="T376" t="e">
        <f>AND('STERLING CATALOG - FZN &amp; CHILL'!E3056,"AAAAAH0//xM=")</f>
        <v>#VALUE!</v>
      </c>
      <c r="U376" t="e">
        <f>AND('STERLING CATALOG - FZN &amp; CHILL'!F3056,"AAAAAH0//xQ=")</f>
        <v>#VALUE!</v>
      </c>
      <c r="V376" t="e">
        <f>AND('STERLING CATALOG - FZN &amp; CHILL'!G3056,"AAAAAH0//xU=")</f>
        <v>#VALUE!</v>
      </c>
      <c r="W376" t="e">
        <f>AND('STERLING CATALOG - FZN &amp; CHILL'!H3056,"AAAAAH0//xY=")</f>
        <v>#VALUE!</v>
      </c>
      <c r="X376" t="e">
        <f>AND('STERLING CATALOG - FZN &amp; CHILL'!I3056,"AAAAAH0//xc=")</f>
        <v>#VALUE!</v>
      </c>
      <c r="Y376" t="e">
        <f>AND('STERLING CATALOG - FZN &amp; CHILL'!J3056,"AAAAAH0//xg=")</f>
        <v>#VALUE!</v>
      </c>
      <c r="Z376">
        <f>IF('STERLING CATALOG - FZN &amp; CHILL'!3057:3057,"AAAAAH0//xk=",0)</f>
        <v>0</v>
      </c>
      <c r="AA376" t="e">
        <f>AND('STERLING CATALOG - FZN &amp; CHILL'!A3057,"AAAAAH0//xo=")</f>
        <v>#VALUE!</v>
      </c>
      <c r="AB376" t="e">
        <f>AND('STERLING CATALOG - FZN &amp; CHILL'!B3057,"AAAAAH0//xs=")</f>
        <v>#VALUE!</v>
      </c>
      <c r="AC376" t="e">
        <f>AND('STERLING CATALOG - FZN &amp; CHILL'!C3057,"AAAAAH0//xw=")</f>
        <v>#VALUE!</v>
      </c>
      <c r="AD376" t="e">
        <f>AND('STERLING CATALOG - FZN &amp; CHILL'!D3057,"AAAAAH0//x0=")</f>
        <v>#VALUE!</v>
      </c>
      <c r="AE376" t="e">
        <f>AND('STERLING CATALOG - FZN &amp; CHILL'!E3057,"AAAAAH0//x4=")</f>
        <v>#VALUE!</v>
      </c>
      <c r="AF376" t="e">
        <f>AND('STERLING CATALOG - FZN &amp; CHILL'!F3057,"AAAAAH0//x8=")</f>
        <v>#VALUE!</v>
      </c>
      <c r="AG376" t="e">
        <f>AND('STERLING CATALOG - FZN &amp; CHILL'!G3057,"AAAAAH0//yA=")</f>
        <v>#VALUE!</v>
      </c>
      <c r="AH376" t="e">
        <f>AND('STERLING CATALOG - FZN &amp; CHILL'!H3057,"AAAAAH0//yE=")</f>
        <v>#VALUE!</v>
      </c>
      <c r="AI376" t="e">
        <f>AND('STERLING CATALOG - FZN &amp; CHILL'!I3057,"AAAAAH0//yI=")</f>
        <v>#VALUE!</v>
      </c>
      <c r="AJ376" t="e">
        <f>AND('STERLING CATALOG - FZN &amp; CHILL'!J3057,"AAAAAH0//yM=")</f>
        <v>#VALUE!</v>
      </c>
      <c r="AK376">
        <f>IF('STERLING CATALOG - FZN &amp; CHILL'!3058:3058,"AAAAAH0//yQ=",0)</f>
        <v>0</v>
      </c>
      <c r="AL376" t="e">
        <f>AND('STERLING CATALOG - FZN &amp; CHILL'!A3058,"AAAAAH0//yU=")</f>
        <v>#VALUE!</v>
      </c>
      <c r="AM376" t="e">
        <f>AND('STERLING CATALOG - FZN &amp; CHILL'!B3058,"AAAAAH0//yY=")</f>
        <v>#VALUE!</v>
      </c>
      <c r="AN376" t="e">
        <f>AND('STERLING CATALOG - FZN &amp; CHILL'!C3058,"AAAAAH0//yc=")</f>
        <v>#VALUE!</v>
      </c>
      <c r="AO376" t="e">
        <f>AND('STERLING CATALOG - FZN &amp; CHILL'!D3058,"AAAAAH0//yg=")</f>
        <v>#VALUE!</v>
      </c>
      <c r="AP376" t="e">
        <f>AND('STERLING CATALOG - FZN &amp; CHILL'!E3058,"AAAAAH0//yk=")</f>
        <v>#VALUE!</v>
      </c>
      <c r="AQ376" t="e">
        <f>AND('STERLING CATALOG - FZN &amp; CHILL'!F3058,"AAAAAH0//yo=")</f>
        <v>#VALUE!</v>
      </c>
      <c r="AR376" t="e">
        <f>AND('STERLING CATALOG - FZN &amp; CHILL'!G3058,"AAAAAH0//ys=")</f>
        <v>#VALUE!</v>
      </c>
      <c r="AS376" t="e">
        <f>AND('STERLING CATALOG - FZN &amp; CHILL'!H3058,"AAAAAH0//yw=")</f>
        <v>#VALUE!</v>
      </c>
      <c r="AT376" t="e">
        <f>AND('STERLING CATALOG - FZN &amp; CHILL'!I3058,"AAAAAH0//y0=")</f>
        <v>#VALUE!</v>
      </c>
      <c r="AU376" t="e">
        <f>AND('STERLING CATALOG - FZN &amp; CHILL'!J3058,"AAAAAH0//y4=")</f>
        <v>#VALUE!</v>
      </c>
      <c r="AV376">
        <f>IF('STERLING CATALOG - FZN &amp; CHILL'!3059:3059,"AAAAAH0//y8=",0)</f>
        <v>0</v>
      </c>
      <c r="AW376" t="e">
        <f>AND('STERLING CATALOG - FZN &amp; CHILL'!A3059,"AAAAAH0//zA=")</f>
        <v>#VALUE!</v>
      </c>
      <c r="AX376" t="e">
        <f>AND('STERLING CATALOG - FZN &amp; CHILL'!B3059,"AAAAAH0//zE=")</f>
        <v>#VALUE!</v>
      </c>
      <c r="AY376" t="e">
        <f>AND('STERLING CATALOG - FZN &amp; CHILL'!C3059,"AAAAAH0//zI=")</f>
        <v>#VALUE!</v>
      </c>
      <c r="AZ376" t="e">
        <f>AND('STERLING CATALOG - FZN &amp; CHILL'!D3059,"AAAAAH0//zM=")</f>
        <v>#VALUE!</v>
      </c>
      <c r="BA376" t="e">
        <f>AND('STERLING CATALOG - FZN &amp; CHILL'!E3059,"AAAAAH0//zQ=")</f>
        <v>#VALUE!</v>
      </c>
      <c r="BB376" t="e">
        <f>AND('STERLING CATALOG - FZN &amp; CHILL'!F3059,"AAAAAH0//zU=")</f>
        <v>#VALUE!</v>
      </c>
      <c r="BC376" t="e">
        <f>AND('STERLING CATALOG - FZN &amp; CHILL'!G3059,"AAAAAH0//zY=")</f>
        <v>#VALUE!</v>
      </c>
      <c r="BD376" t="e">
        <f>AND('STERLING CATALOG - FZN &amp; CHILL'!H3059,"AAAAAH0//zc=")</f>
        <v>#VALUE!</v>
      </c>
      <c r="BE376" t="e">
        <f>AND('STERLING CATALOG - FZN &amp; CHILL'!I3059,"AAAAAH0//zg=")</f>
        <v>#VALUE!</v>
      </c>
      <c r="BF376" t="e">
        <f>AND('STERLING CATALOG - FZN &amp; CHILL'!J3059,"AAAAAH0//zk=")</f>
        <v>#VALUE!</v>
      </c>
      <c r="BG376">
        <f>IF('STERLING CATALOG - FZN &amp; CHILL'!3060:3060,"AAAAAH0//zo=",0)</f>
        <v>0</v>
      </c>
      <c r="BH376" t="e">
        <f>AND('STERLING CATALOG - FZN &amp; CHILL'!A3060,"AAAAAH0//zs=")</f>
        <v>#VALUE!</v>
      </c>
      <c r="BI376" t="e">
        <f>AND('STERLING CATALOG - FZN &amp; CHILL'!B3060,"AAAAAH0//zw=")</f>
        <v>#VALUE!</v>
      </c>
      <c r="BJ376" t="e">
        <f>AND('STERLING CATALOG - FZN &amp; CHILL'!C3060,"AAAAAH0//z0=")</f>
        <v>#VALUE!</v>
      </c>
      <c r="BK376" t="e">
        <f>AND('STERLING CATALOG - FZN &amp; CHILL'!D3060,"AAAAAH0//z4=")</f>
        <v>#VALUE!</v>
      </c>
      <c r="BL376" t="e">
        <f>AND('STERLING CATALOG - FZN &amp; CHILL'!E3060,"AAAAAH0//z8=")</f>
        <v>#VALUE!</v>
      </c>
      <c r="BM376" t="e">
        <f>AND('STERLING CATALOG - FZN &amp; CHILL'!F3060,"AAAAAH0//0A=")</f>
        <v>#VALUE!</v>
      </c>
      <c r="BN376" t="e">
        <f>AND('STERLING CATALOG - FZN &amp; CHILL'!G3060,"AAAAAH0//0E=")</f>
        <v>#VALUE!</v>
      </c>
      <c r="BO376" t="e">
        <f>AND('STERLING CATALOG - FZN &amp; CHILL'!H3060,"AAAAAH0//0I=")</f>
        <v>#VALUE!</v>
      </c>
      <c r="BP376" t="e">
        <f>AND('STERLING CATALOG - FZN &amp; CHILL'!I3060,"AAAAAH0//0M=")</f>
        <v>#VALUE!</v>
      </c>
      <c r="BQ376" t="e">
        <f>AND('STERLING CATALOG - FZN &amp; CHILL'!J3060,"AAAAAH0//0Q=")</f>
        <v>#VALUE!</v>
      </c>
      <c r="BR376">
        <f>IF('STERLING CATALOG - FZN &amp; CHILL'!3061:3061,"AAAAAH0//0U=",0)</f>
        <v>0</v>
      </c>
      <c r="BS376" t="e">
        <f>AND('STERLING CATALOG - FZN &amp; CHILL'!A3061,"AAAAAH0//0Y=")</f>
        <v>#VALUE!</v>
      </c>
      <c r="BT376" t="e">
        <f>AND('STERLING CATALOG - FZN &amp; CHILL'!B3061,"AAAAAH0//0c=")</f>
        <v>#VALUE!</v>
      </c>
      <c r="BU376" t="e">
        <f>AND('STERLING CATALOG - FZN &amp; CHILL'!C3061,"AAAAAH0//0g=")</f>
        <v>#VALUE!</v>
      </c>
      <c r="BV376" t="e">
        <f>AND('STERLING CATALOG - FZN &amp; CHILL'!D3061,"AAAAAH0//0k=")</f>
        <v>#VALUE!</v>
      </c>
      <c r="BW376" t="e">
        <f>AND('STERLING CATALOG - FZN &amp; CHILL'!E3061,"AAAAAH0//0o=")</f>
        <v>#VALUE!</v>
      </c>
      <c r="BX376" t="e">
        <f>AND('STERLING CATALOG - FZN &amp; CHILL'!F3061,"AAAAAH0//0s=")</f>
        <v>#VALUE!</v>
      </c>
      <c r="BY376" t="e">
        <f>AND('STERLING CATALOG - FZN &amp; CHILL'!G3061,"AAAAAH0//0w=")</f>
        <v>#VALUE!</v>
      </c>
      <c r="BZ376" t="e">
        <f>AND('STERLING CATALOG - FZN &amp; CHILL'!H3061,"AAAAAH0//00=")</f>
        <v>#VALUE!</v>
      </c>
      <c r="CA376" t="e">
        <f>AND('STERLING CATALOG - FZN &amp; CHILL'!I3061,"AAAAAH0//04=")</f>
        <v>#VALUE!</v>
      </c>
      <c r="CB376" t="e">
        <f>AND('STERLING CATALOG - FZN &amp; CHILL'!J3061,"AAAAAH0//08=")</f>
        <v>#VALUE!</v>
      </c>
      <c r="CC376">
        <f>IF('STERLING CATALOG - FZN &amp; CHILL'!3062:3062,"AAAAAH0//1A=",0)</f>
        <v>0</v>
      </c>
      <c r="CD376" t="e">
        <f>AND('STERLING CATALOG - FZN &amp; CHILL'!A3062,"AAAAAH0//1E=")</f>
        <v>#VALUE!</v>
      </c>
      <c r="CE376" t="e">
        <f>AND('STERLING CATALOG - FZN &amp; CHILL'!B3062,"AAAAAH0//1I=")</f>
        <v>#VALUE!</v>
      </c>
      <c r="CF376" t="e">
        <f>AND('STERLING CATALOG - FZN &amp; CHILL'!C3062,"AAAAAH0//1M=")</f>
        <v>#VALUE!</v>
      </c>
      <c r="CG376" t="e">
        <f>AND('STERLING CATALOG - FZN &amp; CHILL'!D3062,"AAAAAH0//1Q=")</f>
        <v>#VALUE!</v>
      </c>
      <c r="CH376" t="e">
        <f>AND('STERLING CATALOG - FZN &amp; CHILL'!E3062,"AAAAAH0//1U=")</f>
        <v>#VALUE!</v>
      </c>
      <c r="CI376" t="e">
        <f>AND('STERLING CATALOG - FZN &amp; CHILL'!F3062,"AAAAAH0//1Y=")</f>
        <v>#VALUE!</v>
      </c>
      <c r="CJ376" t="e">
        <f>AND('STERLING CATALOG - FZN &amp; CHILL'!G3062,"AAAAAH0//1c=")</f>
        <v>#VALUE!</v>
      </c>
      <c r="CK376" t="e">
        <f>AND('STERLING CATALOG - FZN &amp; CHILL'!H3062,"AAAAAH0//1g=")</f>
        <v>#VALUE!</v>
      </c>
      <c r="CL376" t="e">
        <f>AND('STERLING CATALOG - FZN &amp; CHILL'!I3062,"AAAAAH0//1k=")</f>
        <v>#VALUE!</v>
      </c>
      <c r="CM376" t="e">
        <f>AND('STERLING CATALOG - FZN &amp; CHILL'!J3062,"AAAAAH0//1o=")</f>
        <v>#VALUE!</v>
      </c>
      <c r="CN376">
        <f>IF('STERLING CATALOG - FZN &amp; CHILL'!3063:3063,"AAAAAH0//1s=",0)</f>
        <v>0</v>
      </c>
      <c r="CO376" t="e">
        <f>AND('STERLING CATALOG - FZN &amp; CHILL'!A3063,"AAAAAH0//1w=")</f>
        <v>#VALUE!</v>
      </c>
      <c r="CP376" t="e">
        <f>AND('STERLING CATALOG - FZN &amp; CHILL'!B3063,"AAAAAH0//10=")</f>
        <v>#VALUE!</v>
      </c>
      <c r="CQ376" t="e">
        <f>AND('STERLING CATALOG - FZN &amp; CHILL'!C3063,"AAAAAH0//14=")</f>
        <v>#VALUE!</v>
      </c>
      <c r="CR376" t="e">
        <f>AND('STERLING CATALOG - FZN &amp; CHILL'!D3063,"AAAAAH0//18=")</f>
        <v>#VALUE!</v>
      </c>
      <c r="CS376" t="e">
        <f>AND('STERLING CATALOG - FZN &amp; CHILL'!E3063,"AAAAAH0//2A=")</f>
        <v>#VALUE!</v>
      </c>
      <c r="CT376" t="e">
        <f>AND('STERLING CATALOG - FZN &amp; CHILL'!F3063,"AAAAAH0//2E=")</f>
        <v>#VALUE!</v>
      </c>
      <c r="CU376" t="e">
        <f>AND('STERLING CATALOG - FZN &amp; CHILL'!G3063,"AAAAAH0//2I=")</f>
        <v>#VALUE!</v>
      </c>
      <c r="CV376" t="e">
        <f>AND('STERLING CATALOG - FZN &amp; CHILL'!H3063,"AAAAAH0//2M=")</f>
        <v>#VALUE!</v>
      </c>
      <c r="CW376" t="e">
        <f>AND('STERLING CATALOG - FZN &amp; CHILL'!I3063,"AAAAAH0//2Q=")</f>
        <v>#VALUE!</v>
      </c>
      <c r="CX376" t="e">
        <f>AND('STERLING CATALOG - FZN &amp; CHILL'!J3063,"AAAAAH0//2U=")</f>
        <v>#VALUE!</v>
      </c>
      <c r="CY376">
        <f>IF('STERLING CATALOG - FZN &amp; CHILL'!3064:3064,"AAAAAH0//2Y=",0)</f>
        <v>0</v>
      </c>
      <c r="CZ376" t="e">
        <f>AND('STERLING CATALOG - FZN &amp; CHILL'!A3064,"AAAAAH0//2c=")</f>
        <v>#VALUE!</v>
      </c>
      <c r="DA376" t="e">
        <f>AND('STERLING CATALOG - FZN &amp; CHILL'!B3064,"AAAAAH0//2g=")</f>
        <v>#VALUE!</v>
      </c>
      <c r="DB376" t="e">
        <f>AND('STERLING CATALOG - FZN &amp; CHILL'!C3064,"AAAAAH0//2k=")</f>
        <v>#VALUE!</v>
      </c>
      <c r="DC376" t="e">
        <f>AND('STERLING CATALOG - FZN &amp; CHILL'!D3064,"AAAAAH0//2o=")</f>
        <v>#VALUE!</v>
      </c>
      <c r="DD376" t="e">
        <f>AND('STERLING CATALOG - FZN &amp; CHILL'!E3064,"AAAAAH0//2s=")</f>
        <v>#VALUE!</v>
      </c>
      <c r="DE376" t="e">
        <f>AND('STERLING CATALOG - FZN &amp; CHILL'!F3064,"AAAAAH0//2w=")</f>
        <v>#VALUE!</v>
      </c>
      <c r="DF376" t="e">
        <f>AND('STERLING CATALOG - FZN &amp; CHILL'!G3064,"AAAAAH0//20=")</f>
        <v>#VALUE!</v>
      </c>
      <c r="DG376" t="e">
        <f>AND('STERLING CATALOG - FZN &amp; CHILL'!H3064,"AAAAAH0//24=")</f>
        <v>#VALUE!</v>
      </c>
      <c r="DH376" t="e">
        <f>AND('STERLING CATALOG - FZN &amp; CHILL'!I3064,"AAAAAH0//28=")</f>
        <v>#VALUE!</v>
      </c>
      <c r="DI376" t="e">
        <f>AND('STERLING CATALOG - FZN &amp; CHILL'!J3064,"AAAAAH0//3A=")</f>
        <v>#VALUE!</v>
      </c>
      <c r="DJ376">
        <f>IF('STERLING CATALOG - FZN &amp; CHILL'!3065:3065,"AAAAAH0//3E=",0)</f>
        <v>0</v>
      </c>
      <c r="DK376" t="e">
        <f>AND('STERLING CATALOG - FZN &amp; CHILL'!A3065,"AAAAAH0//3I=")</f>
        <v>#VALUE!</v>
      </c>
      <c r="DL376" t="e">
        <f>AND('STERLING CATALOG - FZN &amp; CHILL'!B3065,"AAAAAH0//3M=")</f>
        <v>#VALUE!</v>
      </c>
      <c r="DM376" t="e">
        <f>AND('STERLING CATALOG - FZN &amp; CHILL'!C3065,"AAAAAH0//3Q=")</f>
        <v>#VALUE!</v>
      </c>
      <c r="DN376" t="e">
        <f>AND('STERLING CATALOG - FZN &amp; CHILL'!D3065,"AAAAAH0//3U=")</f>
        <v>#VALUE!</v>
      </c>
      <c r="DO376" t="e">
        <f>AND('STERLING CATALOG - FZN &amp; CHILL'!E3065,"AAAAAH0//3Y=")</f>
        <v>#VALUE!</v>
      </c>
      <c r="DP376" t="e">
        <f>AND('STERLING CATALOG - FZN &amp; CHILL'!F3065,"AAAAAH0//3c=")</f>
        <v>#VALUE!</v>
      </c>
      <c r="DQ376" t="e">
        <f>AND('STERLING CATALOG - FZN &amp; CHILL'!G3065,"AAAAAH0//3g=")</f>
        <v>#VALUE!</v>
      </c>
      <c r="DR376" t="e">
        <f>AND('STERLING CATALOG - FZN &amp; CHILL'!H3065,"AAAAAH0//3k=")</f>
        <v>#VALUE!</v>
      </c>
      <c r="DS376" t="e">
        <f>AND('STERLING CATALOG - FZN &amp; CHILL'!I3065,"AAAAAH0//3o=")</f>
        <v>#VALUE!</v>
      </c>
      <c r="DT376" t="e">
        <f>AND('STERLING CATALOG - FZN &amp; CHILL'!J3065,"AAAAAH0//3s=")</f>
        <v>#VALUE!</v>
      </c>
      <c r="DU376">
        <f>IF('STERLING CATALOG - FZN &amp; CHILL'!3066:3066,"AAAAAH0//3w=",0)</f>
        <v>0</v>
      </c>
      <c r="DV376" t="e">
        <f>AND('STERLING CATALOG - FZN &amp; CHILL'!A3066,"AAAAAH0//30=")</f>
        <v>#VALUE!</v>
      </c>
      <c r="DW376" t="e">
        <f>AND('STERLING CATALOG - FZN &amp; CHILL'!B3066,"AAAAAH0//34=")</f>
        <v>#VALUE!</v>
      </c>
      <c r="DX376" t="e">
        <f>AND('STERLING CATALOG - FZN &amp; CHILL'!C3066,"AAAAAH0//38=")</f>
        <v>#VALUE!</v>
      </c>
      <c r="DY376" t="e">
        <f>AND('STERLING CATALOG - FZN &amp; CHILL'!D3066,"AAAAAH0//4A=")</f>
        <v>#VALUE!</v>
      </c>
      <c r="DZ376" t="e">
        <f>AND('STERLING CATALOG - FZN &amp; CHILL'!E3066,"AAAAAH0//4E=")</f>
        <v>#VALUE!</v>
      </c>
      <c r="EA376" t="e">
        <f>AND('STERLING CATALOG - FZN &amp; CHILL'!F3066,"AAAAAH0//4I=")</f>
        <v>#VALUE!</v>
      </c>
      <c r="EB376" t="e">
        <f>AND('STERLING CATALOG - FZN &amp; CHILL'!G3066,"AAAAAH0//4M=")</f>
        <v>#VALUE!</v>
      </c>
      <c r="EC376" t="e">
        <f>AND('STERLING CATALOG - FZN &amp; CHILL'!H3066,"AAAAAH0//4Q=")</f>
        <v>#VALUE!</v>
      </c>
      <c r="ED376" t="e">
        <f>AND('STERLING CATALOG - FZN &amp; CHILL'!I3066,"AAAAAH0//4U=")</f>
        <v>#VALUE!</v>
      </c>
      <c r="EE376" t="e">
        <f>AND('STERLING CATALOG - FZN &amp; CHILL'!J3066,"AAAAAH0//4Y=")</f>
        <v>#VALUE!</v>
      </c>
      <c r="EF376">
        <f>IF('STERLING CATALOG - FZN &amp; CHILL'!3067:3067,"AAAAAH0//4c=",0)</f>
        <v>0</v>
      </c>
      <c r="EG376" t="e">
        <f>AND('STERLING CATALOG - FZN &amp; CHILL'!A3067,"AAAAAH0//4g=")</f>
        <v>#VALUE!</v>
      </c>
      <c r="EH376" t="e">
        <f>AND('STERLING CATALOG - FZN &amp; CHILL'!B3067,"AAAAAH0//4k=")</f>
        <v>#VALUE!</v>
      </c>
      <c r="EI376" t="e">
        <f>AND('STERLING CATALOG - FZN &amp; CHILL'!C3067,"AAAAAH0//4o=")</f>
        <v>#VALUE!</v>
      </c>
      <c r="EJ376" t="e">
        <f>AND('STERLING CATALOG - FZN &amp; CHILL'!D3067,"AAAAAH0//4s=")</f>
        <v>#VALUE!</v>
      </c>
      <c r="EK376" t="e">
        <f>AND('STERLING CATALOG - FZN &amp; CHILL'!E3067,"AAAAAH0//4w=")</f>
        <v>#VALUE!</v>
      </c>
      <c r="EL376" t="e">
        <f>AND('STERLING CATALOG - FZN &amp; CHILL'!F3067,"AAAAAH0//40=")</f>
        <v>#VALUE!</v>
      </c>
      <c r="EM376" t="e">
        <f>AND('STERLING CATALOG - FZN &amp; CHILL'!G3067,"AAAAAH0//44=")</f>
        <v>#VALUE!</v>
      </c>
      <c r="EN376" t="e">
        <f>AND('STERLING CATALOG - FZN &amp; CHILL'!H3067,"AAAAAH0//48=")</f>
        <v>#VALUE!</v>
      </c>
      <c r="EO376" t="e">
        <f>AND('STERLING CATALOG - FZN &amp; CHILL'!I3067,"AAAAAH0//5A=")</f>
        <v>#VALUE!</v>
      </c>
      <c r="EP376" t="e">
        <f>AND('STERLING CATALOG - FZN &amp; CHILL'!J3067,"AAAAAH0//5E=")</f>
        <v>#VALUE!</v>
      </c>
      <c r="EQ376">
        <f>IF('STERLING CATALOG - FZN &amp; CHILL'!3068:3068,"AAAAAH0//5I=",0)</f>
        <v>0</v>
      </c>
      <c r="ER376" t="e">
        <f>AND('STERLING CATALOG - FZN &amp; CHILL'!A3068,"AAAAAH0//5M=")</f>
        <v>#VALUE!</v>
      </c>
      <c r="ES376" t="e">
        <f>AND('STERLING CATALOG - FZN &amp; CHILL'!B3068,"AAAAAH0//5Q=")</f>
        <v>#VALUE!</v>
      </c>
      <c r="ET376" t="e">
        <f>AND('STERLING CATALOG - FZN &amp; CHILL'!C3068,"AAAAAH0//5U=")</f>
        <v>#VALUE!</v>
      </c>
      <c r="EU376" t="e">
        <f>AND('STERLING CATALOG - FZN &amp; CHILL'!D3068,"AAAAAH0//5Y=")</f>
        <v>#VALUE!</v>
      </c>
      <c r="EV376" t="e">
        <f>AND('STERLING CATALOG - FZN &amp; CHILL'!E3068,"AAAAAH0//5c=")</f>
        <v>#VALUE!</v>
      </c>
      <c r="EW376" t="e">
        <f>AND('STERLING CATALOG - FZN &amp; CHILL'!F3068,"AAAAAH0//5g=")</f>
        <v>#VALUE!</v>
      </c>
      <c r="EX376" t="e">
        <f>AND('STERLING CATALOG - FZN &amp; CHILL'!G3068,"AAAAAH0//5k=")</f>
        <v>#VALUE!</v>
      </c>
      <c r="EY376" t="e">
        <f>AND('STERLING CATALOG - FZN &amp; CHILL'!H3068,"AAAAAH0//5o=")</f>
        <v>#VALUE!</v>
      </c>
      <c r="EZ376" t="e">
        <f>AND('STERLING CATALOG - FZN &amp; CHILL'!I3068,"AAAAAH0//5s=")</f>
        <v>#VALUE!</v>
      </c>
      <c r="FA376" t="e">
        <f>AND('STERLING CATALOG - FZN &amp; CHILL'!J3068,"AAAAAH0//5w=")</f>
        <v>#VALUE!</v>
      </c>
      <c r="FB376">
        <f>IF('STERLING CATALOG - FZN &amp; CHILL'!3069:3069,"AAAAAH0//50=",0)</f>
        <v>0</v>
      </c>
      <c r="FC376" t="e">
        <f>AND('STERLING CATALOG - FZN &amp; CHILL'!A3069,"AAAAAH0//54=")</f>
        <v>#VALUE!</v>
      </c>
      <c r="FD376" t="e">
        <f>AND('STERLING CATALOG - FZN &amp; CHILL'!B3069,"AAAAAH0//58=")</f>
        <v>#VALUE!</v>
      </c>
      <c r="FE376" t="e">
        <f>AND('STERLING CATALOG - FZN &amp; CHILL'!C3069,"AAAAAH0//6A=")</f>
        <v>#VALUE!</v>
      </c>
      <c r="FF376" t="e">
        <f>AND('STERLING CATALOG - FZN &amp; CHILL'!D3069,"AAAAAH0//6E=")</f>
        <v>#VALUE!</v>
      </c>
      <c r="FG376" t="e">
        <f>AND('STERLING CATALOG - FZN &amp; CHILL'!E3069,"AAAAAH0//6I=")</f>
        <v>#VALUE!</v>
      </c>
      <c r="FH376" t="e">
        <f>AND('STERLING CATALOG - FZN &amp; CHILL'!F3069,"AAAAAH0//6M=")</f>
        <v>#VALUE!</v>
      </c>
      <c r="FI376" t="e">
        <f>AND('STERLING CATALOG - FZN &amp; CHILL'!G3069,"AAAAAH0//6Q=")</f>
        <v>#VALUE!</v>
      </c>
      <c r="FJ376" t="e">
        <f>AND('STERLING CATALOG - FZN &amp; CHILL'!H3069,"AAAAAH0//6U=")</f>
        <v>#VALUE!</v>
      </c>
      <c r="FK376" t="e">
        <f>AND('STERLING CATALOG - FZN &amp; CHILL'!I3069,"AAAAAH0//6Y=")</f>
        <v>#VALUE!</v>
      </c>
      <c r="FL376" t="e">
        <f>AND('STERLING CATALOG - FZN &amp; CHILL'!J3069,"AAAAAH0//6c=")</f>
        <v>#VALUE!</v>
      </c>
      <c r="FM376">
        <f>IF('STERLING CATALOG - FZN &amp; CHILL'!3070:3070,"AAAAAH0//6g=",0)</f>
        <v>0</v>
      </c>
      <c r="FN376" t="e">
        <f>AND('STERLING CATALOG - FZN &amp; CHILL'!A3070,"AAAAAH0//6k=")</f>
        <v>#VALUE!</v>
      </c>
      <c r="FO376" t="e">
        <f>AND('STERLING CATALOG - FZN &amp; CHILL'!B3070,"AAAAAH0//6o=")</f>
        <v>#VALUE!</v>
      </c>
      <c r="FP376" t="e">
        <f>AND('STERLING CATALOG - FZN &amp; CHILL'!C3070,"AAAAAH0//6s=")</f>
        <v>#VALUE!</v>
      </c>
      <c r="FQ376" t="e">
        <f>AND('STERLING CATALOG - FZN &amp; CHILL'!D3070,"AAAAAH0//6w=")</f>
        <v>#VALUE!</v>
      </c>
      <c r="FR376" t="e">
        <f>AND('STERLING CATALOG - FZN &amp; CHILL'!E3070,"AAAAAH0//60=")</f>
        <v>#VALUE!</v>
      </c>
      <c r="FS376" t="e">
        <f>AND('STERLING CATALOG - FZN &amp; CHILL'!F3070,"AAAAAH0//64=")</f>
        <v>#VALUE!</v>
      </c>
      <c r="FT376" t="e">
        <f>AND('STERLING CATALOG - FZN &amp; CHILL'!G3070,"AAAAAH0//68=")</f>
        <v>#VALUE!</v>
      </c>
      <c r="FU376" t="e">
        <f>AND('STERLING CATALOG - FZN &amp; CHILL'!H3070,"AAAAAH0//7A=")</f>
        <v>#VALUE!</v>
      </c>
      <c r="FV376" t="e">
        <f>AND('STERLING CATALOG - FZN &amp; CHILL'!I3070,"AAAAAH0//7E=")</f>
        <v>#VALUE!</v>
      </c>
      <c r="FW376" t="e">
        <f>AND('STERLING CATALOG - FZN &amp; CHILL'!J3070,"AAAAAH0//7I=")</f>
        <v>#VALUE!</v>
      </c>
      <c r="FX376">
        <f>IF('STERLING CATALOG - FZN &amp; CHILL'!3071:3071,"AAAAAH0//7M=",0)</f>
        <v>0</v>
      </c>
      <c r="FY376" t="e">
        <f>AND('STERLING CATALOG - FZN &amp; CHILL'!A3071,"AAAAAH0//7Q=")</f>
        <v>#VALUE!</v>
      </c>
      <c r="FZ376" t="e">
        <f>AND('STERLING CATALOG - FZN &amp; CHILL'!B3071,"AAAAAH0//7U=")</f>
        <v>#VALUE!</v>
      </c>
      <c r="GA376" t="e">
        <f>AND('STERLING CATALOG - FZN &amp; CHILL'!C3071,"AAAAAH0//7Y=")</f>
        <v>#VALUE!</v>
      </c>
      <c r="GB376" t="e">
        <f>AND('STERLING CATALOG - FZN &amp; CHILL'!D3071,"AAAAAH0//7c=")</f>
        <v>#VALUE!</v>
      </c>
      <c r="GC376" t="e">
        <f>AND('STERLING CATALOG - FZN &amp; CHILL'!E3071,"AAAAAH0//7g=")</f>
        <v>#VALUE!</v>
      </c>
      <c r="GD376" t="e">
        <f>AND('STERLING CATALOG - FZN &amp; CHILL'!F3071,"AAAAAH0//7k=")</f>
        <v>#VALUE!</v>
      </c>
      <c r="GE376" t="e">
        <f>AND('STERLING CATALOG - FZN &amp; CHILL'!G3071,"AAAAAH0//7o=")</f>
        <v>#VALUE!</v>
      </c>
      <c r="GF376" t="e">
        <f>AND('STERLING CATALOG - FZN &amp; CHILL'!H3071,"AAAAAH0//7s=")</f>
        <v>#VALUE!</v>
      </c>
      <c r="GG376" t="e">
        <f>AND('STERLING CATALOG - FZN &amp; CHILL'!I3071,"AAAAAH0//7w=")</f>
        <v>#VALUE!</v>
      </c>
      <c r="GH376" t="e">
        <f>AND('STERLING CATALOG - FZN &amp; CHILL'!J3071,"AAAAAH0//70=")</f>
        <v>#VALUE!</v>
      </c>
      <c r="GI376">
        <f>IF('STERLING CATALOG - FZN &amp; CHILL'!3072:3072,"AAAAAH0//74=",0)</f>
        <v>0</v>
      </c>
      <c r="GJ376" t="e">
        <f>AND('STERLING CATALOG - FZN &amp; CHILL'!A3072,"AAAAAH0//78=")</f>
        <v>#VALUE!</v>
      </c>
      <c r="GK376" t="e">
        <f>AND('STERLING CATALOG - FZN &amp; CHILL'!B3072,"AAAAAH0//8A=")</f>
        <v>#VALUE!</v>
      </c>
      <c r="GL376" t="e">
        <f>AND('STERLING CATALOG - FZN &amp; CHILL'!C3072,"AAAAAH0//8E=")</f>
        <v>#VALUE!</v>
      </c>
      <c r="GM376" t="e">
        <f>AND('STERLING CATALOG - FZN &amp; CHILL'!D3072,"AAAAAH0//8I=")</f>
        <v>#VALUE!</v>
      </c>
      <c r="GN376" t="e">
        <f>AND('STERLING CATALOG - FZN &amp; CHILL'!E3072,"AAAAAH0//8M=")</f>
        <v>#VALUE!</v>
      </c>
      <c r="GO376" t="e">
        <f>AND('STERLING CATALOG - FZN &amp; CHILL'!F3072,"AAAAAH0//8Q=")</f>
        <v>#VALUE!</v>
      </c>
      <c r="GP376" t="e">
        <f>AND('STERLING CATALOG - FZN &amp; CHILL'!G3072,"AAAAAH0//8U=")</f>
        <v>#VALUE!</v>
      </c>
      <c r="GQ376" t="e">
        <f>AND('STERLING CATALOG - FZN &amp; CHILL'!H3072,"AAAAAH0//8Y=")</f>
        <v>#VALUE!</v>
      </c>
      <c r="GR376" t="e">
        <f>AND('STERLING CATALOG - FZN &amp; CHILL'!I3072,"AAAAAH0//8c=")</f>
        <v>#VALUE!</v>
      </c>
      <c r="GS376" t="e">
        <f>AND('STERLING CATALOG - FZN &amp; CHILL'!J3072,"AAAAAH0//8g=")</f>
        <v>#VALUE!</v>
      </c>
      <c r="GT376">
        <f>IF('STERLING CATALOG - FZN &amp; CHILL'!3073:3073,"AAAAAH0//8k=",0)</f>
        <v>0</v>
      </c>
      <c r="GU376" t="e">
        <f>AND('STERLING CATALOG - FZN &amp; CHILL'!A3073,"AAAAAH0//8o=")</f>
        <v>#VALUE!</v>
      </c>
      <c r="GV376" t="e">
        <f>AND('STERLING CATALOG - FZN &amp; CHILL'!B3073,"AAAAAH0//8s=")</f>
        <v>#VALUE!</v>
      </c>
      <c r="GW376" t="e">
        <f>AND('STERLING CATALOG - FZN &amp; CHILL'!C3073,"AAAAAH0//8w=")</f>
        <v>#VALUE!</v>
      </c>
      <c r="GX376" t="e">
        <f>AND('STERLING CATALOG - FZN &amp; CHILL'!D3073,"AAAAAH0//80=")</f>
        <v>#VALUE!</v>
      </c>
      <c r="GY376" t="e">
        <f>AND('STERLING CATALOG - FZN &amp; CHILL'!E3073,"AAAAAH0//84=")</f>
        <v>#VALUE!</v>
      </c>
      <c r="GZ376" t="e">
        <f>AND('STERLING CATALOG - FZN &amp; CHILL'!F3073,"AAAAAH0//88=")</f>
        <v>#VALUE!</v>
      </c>
      <c r="HA376" t="e">
        <f>AND('STERLING CATALOG - FZN &amp; CHILL'!G3073,"AAAAAH0//9A=")</f>
        <v>#VALUE!</v>
      </c>
      <c r="HB376" t="e">
        <f>AND('STERLING CATALOG - FZN &amp; CHILL'!H3073,"AAAAAH0//9E=")</f>
        <v>#VALUE!</v>
      </c>
      <c r="HC376" t="e">
        <f>AND('STERLING CATALOG - FZN &amp; CHILL'!I3073,"AAAAAH0//9I=")</f>
        <v>#VALUE!</v>
      </c>
      <c r="HD376" t="e">
        <f>AND('STERLING CATALOG - FZN &amp; CHILL'!J3073,"AAAAAH0//9M=")</f>
        <v>#VALUE!</v>
      </c>
      <c r="HE376">
        <f>IF('STERLING CATALOG - FZN &amp; CHILL'!3074:3074,"AAAAAH0//9Q=",0)</f>
        <v>0</v>
      </c>
      <c r="HF376" t="e">
        <f>AND('STERLING CATALOG - FZN &amp; CHILL'!A3074,"AAAAAH0//9U=")</f>
        <v>#VALUE!</v>
      </c>
      <c r="HG376" t="e">
        <f>AND('STERLING CATALOG - FZN &amp; CHILL'!B3074,"AAAAAH0//9Y=")</f>
        <v>#VALUE!</v>
      </c>
      <c r="HH376" t="e">
        <f>AND('STERLING CATALOG - FZN &amp; CHILL'!C3074,"AAAAAH0//9c=")</f>
        <v>#VALUE!</v>
      </c>
      <c r="HI376" t="e">
        <f>AND('STERLING CATALOG - FZN &amp; CHILL'!D3074,"AAAAAH0//9g=")</f>
        <v>#VALUE!</v>
      </c>
      <c r="HJ376" t="e">
        <f>AND('STERLING CATALOG - FZN &amp; CHILL'!E3074,"AAAAAH0//9k=")</f>
        <v>#VALUE!</v>
      </c>
      <c r="HK376" t="e">
        <f>AND('STERLING CATALOG - FZN &amp; CHILL'!F3074,"AAAAAH0//9o=")</f>
        <v>#VALUE!</v>
      </c>
      <c r="HL376" t="e">
        <f>AND('STERLING CATALOG - FZN &amp; CHILL'!G3074,"AAAAAH0//9s=")</f>
        <v>#VALUE!</v>
      </c>
      <c r="HM376" t="e">
        <f>AND('STERLING CATALOG - FZN &amp; CHILL'!H3074,"AAAAAH0//9w=")</f>
        <v>#VALUE!</v>
      </c>
      <c r="HN376" t="e">
        <f>AND('STERLING CATALOG - FZN &amp; CHILL'!I3074,"AAAAAH0//90=")</f>
        <v>#VALUE!</v>
      </c>
      <c r="HO376" t="e">
        <f>AND('STERLING CATALOG - FZN &amp; CHILL'!J3074,"AAAAAH0//94=")</f>
        <v>#VALUE!</v>
      </c>
      <c r="HP376">
        <f>IF('STERLING CATALOG - FZN &amp; CHILL'!3075:3075,"AAAAAH0//98=",0)</f>
        <v>0</v>
      </c>
      <c r="HQ376" t="e">
        <f>AND('STERLING CATALOG - FZN &amp; CHILL'!A3075,"AAAAAH0//+A=")</f>
        <v>#VALUE!</v>
      </c>
      <c r="HR376" t="e">
        <f>AND('STERLING CATALOG - FZN &amp; CHILL'!B3075,"AAAAAH0//+E=")</f>
        <v>#VALUE!</v>
      </c>
      <c r="HS376" t="e">
        <f>AND('STERLING CATALOG - FZN &amp; CHILL'!C3075,"AAAAAH0//+I=")</f>
        <v>#VALUE!</v>
      </c>
      <c r="HT376" t="e">
        <f>AND('STERLING CATALOG - FZN &amp; CHILL'!D3075,"AAAAAH0//+M=")</f>
        <v>#VALUE!</v>
      </c>
      <c r="HU376" t="e">
        <f>AND('STERLING CATALOG - FZN &amp; CHILL'!E3075,"AAAAAH0//+Q=")</f>
        <v>#VALUE!</v>
      </c>
      <c r="HV376" t="e">
        <f>AND('STERLING CATALOG - FZN &amp; CHILL'!F3075,"AAAAAH0//+U=")</f>
        <v>#VALUE!</v>
      </c>
      <c r="HW376" t="e">
        <f>AND('STERLING CATALOG - FZN &amp; CHILL'!G3075,"AAAAAH0//+Y=")</f>
        <v>#VALUE!</v>
      </c>
      <c r="HX376" t="e">
        <f>AND('STERLING CATALOG - FZN &amp; CHILL'!H3075,"AAAAAH0//+c=")</f>
        <v>#VALUE!</v>
      </c>
      <c r="HY376" t="e">
        <f>AND('STERLING CATALOG - FZN &amp; CHILL'!I3075,"AAAAAH0//+g=")</f>
        <v>#VALUE!</v>
      </c>
      <c r="HZ376" t="e">
        <f>AND('STERLING CATALOG - FZN &amp; CHILL'!J3075,"AAAAAH0//+k=")</f>
        <v>#VALUE!</v>
      </c>
      <c r="IA376">
        <f>IF('STERLING CATALOG - FZN &amp; CHILL'!3076:3076,"AAAAAH0//+o=",0)</f>
        <v>0</v>
      </c>
      <c r="IB376" t="e">
        <f>AND('STERLING CATALOG - FZN &amp; CHILL'!A3076,"AAAAAH0//+s=")</f>
        <v>#VALUE!</v>
      </c>
      <c r="IC376" t="e">
        <f>AND('STERLING CATALOG - FZN &amp; CHILL'!B3076,"AAAAAH0//+w=")</f>
        <v>#VALUE!</v>
      </c>
      <c r="ID376" t="e">
        <f>AND('STERLING CATALOG - FZN &amp; CHILL'!C3076,"AAAAAH0//+0=")</f>
        <v>#VALUE!</v>
      </c>
      <c r="IE376" t="e">
        <f>AND('STERLING CATALOG - FZN &amp; CHILL'!D3076,"AAAAAH0//+4=")</f>
        <v>#VALUE!</v>
      </c>
      <c r="IF376" t="e">
        <f>AND('STERLING CATALOG - FZN &amp; CHILL'!E3076,"AAAAAH0//+8=")</f>
        <v>#VALUE!</v>
      </c>
      <c r="IG376" t="e">
        <f>AND('STERLING CATALOG - FZN &amp; CHILL'!F3076,"AAAAAH0///A=")</f>
        <v>#VALUE!</v>
      </c>
      <c r="IH376" t="e">
        <f>AND('STERLING CATALOG - FZN &amp; CHILL'!G3076,"AAAAAH0///E=")</f>
        <v>#VALUE!</v>
      </c>
      <c r="II376" t="e">
        <f>AND('STERLING CATALOG - FZN &amp; CHILL'!H3076,"AAAAAH0///I=")</f>
        <v>#VALUE!</v>
      </c>
      <c r="IJ376" t="e">
        <f>AND('STERLING CATALOG - FZN &amp; CHILL'!I3076,"AAAAAH0///M=")</f>
        <v>#VALUE!</v>
      </c>
      <c r="IK376" t="e">
        <f>AND('STERLING CATALOG - FZN &amp; CHILL'!J3076,"AAAAAH0///Q=")</f>
        <v>#VALUE!</v>
      </c>
      <c r="IL376">
        <f>IF('STERLING CATALOG - FZN &amp; CHILL'!3077:3077,"AAAAAH0///U=",0)</f>
        <v>0</v>
      </c>
      <c r="IM376" t="e">
        <f>AND('STERLING CATALOG - FZN &amp; CHILL'!A3077,"AAAAAH0///Y=")</f>
        <v>#VALUE!</v>
      </c>
      <c r="IN376" t="e">
        <f>AND('STERLING CATALOG - FZN &amp; CHILL'!B3077,"AAAAAH0///c=")</f>
        <v>#VALUE!</v>
      </c>
      <c r="IO376" t="e">
        <f>AND('STERLING CATALOG - FZN &amp; CHILL'!C3077,"AAAAAH0///g=")</f>
        <v>#VALUE!</v>
      </c>
      <c r="IP376" t="e">
        <f>AND('STERLING CATALOG - FZN &amp; CHILL'!D3077,"AAAAAH0///k=")</f>
        <v>#VALUE!</v>
      </c>
      <c r="IQ376" t="e">
        <f>AND('STERLING CATALOG - FZN &amp; CHILL'!E3077,"AAAAAH0///o=")</f>
        <v>#VALUE!</v>
      </c>
      <c r="IR376" t="e">
        <f>AND('STERLING CATALOG - FZN &amp; CHILL'!F3077,"AAAAAH0///s=")</f>
        <v>#VALUE!</v>
      </c>
      <c r="IS376" t="e">
        <f>AND('STERLING CATALOG - FZN &amp; CHILL'!G3077,"AAAAAH0///w=")</f>
        <v>#VALUE!</v>
      </c>
      <c r="IT376" t="e">
        <f>AND('STERLING CATALOG - FZN &amp; CHILL'!H3077,"AAAAAH0///0=")</f>
        <v>#VALUE!</v>
      </c>
      <c r="IU376" t="e">
        <f>AND('STERLING CATALOG - FZN &amp; CHILL'!I3077,"AAAAAH0///4=")</f>
        <v>#VALUE!</v>
      </c>
      <c r="IV376" t="e">
        <f>AND('STERLING CATALOG - FZN &amp; CHILL'!J3077,"AAAAAH0///8=")</f>
        <v>#VALUE!</v>
      </c>
    </row>
    <row r="377" spans="1:256">
      <c r="A377" t="e">
        <f>IF('STERLING CATALOG - FZN &amp; CHILL'!3078:3078,"AAAAAC2/7wA=",0)</f>
        <v>#VALUE!</v>
      </c>
      <c r="B377" t="e">
        <f>AND('STERLING CATALOG - FZN &amp; CHILL'!A3078,"AAAAAC2/7wE=")</f>
        <v>#VALUE!</v>
      </c>
      <c r="C377" t="e">
        <f>AND('STERLING CATALOG - FZN &amp; CHILL'!B3078,"AAAAAC2/7wI=")</f>
        <v>#VALUE!</v>
      </c>
      <c r="D377" t="e">
        <f>AND('STERLING CATALOG - FZN &amp; CHILL'!C3078,"AAAAAC2/7wM=")</f>
        <v>#VALUE!</v>
      </c>
      <c r="E377" t="e">
        <f>AND('STERLING CATALOG - FZN &amp; CHILL'!D3078,"AAAAAC2/7wQ=")</f>
        <v>#VALUE!</v>
      </c>
      <c r="F377" t="e">
        <f>AND('STERLING CATALOG - FZN &amp; CHILL'!E3078,"AAAAAC2/7wU=")</f>
        <v>#VALUE!</v>
      </c>
      <c r="G377" t="e">
        <f>AND('STERLING CATALOG - FZN &amp; CHILL'!F3078,"AAAAAC2/7wY=")</f>
        <v>#VALUE!</v>
      </c>
      <c r="H377" t="e">
        <f>AND('STERLING CATALOG - FZN &amp; CHILL'!G3078,"AAAAAC2/7wc=")</f>
        <v>#VALUE!</v>
      </c>
      <c r="I377" t="e">
        <f>AND('STERLING CATALOG - FZN &amp; CHILL'!H3078,"AAAAAC2/7wg=")</f>
        <v>#VALUE!</v>
      </c>
      <c r="J377" t="e">
        <f>AND('STERLING CATALOG - FZN &amp; CHILL'!I3078,"AAAAAC2/7wk=")</f>
        <v>#VALUE!</v>
      </c>
      <c r="K377" t="e">
        <f>AND('STERLING CATALOG - FZN &amp; CHILL'!J3078,"AAAAAC2/7wo=")</f>
        <v>#VALUE!</v>
      </c>
      <c r="L377">
        <f>IF('STERLING CATALOG - FZN &amp; CHILL'!3079:3079,"AAAAAC2/7ws=",0)</f>
        <v>0</v>
      </c>
      <c r="M377" t="e">
        <f>AND('STERLING CATALOG - FZN &amp; CHILL'!A3079,"AAAAAC2/7ww=")</f>
        <v>#VALUE!</v>
      </c>
      <c r="N377" t="e">
        <f>AND('STERLING CATALOG - FZN &amp; CHILL'!B3079,"AAAAAC2/7w0=")</f>
        <v>#VALUE!</v>
      </c>
      <c r="O377" t="e">
        <f>AND('STERLING CATALOG - FZN &amp; CHILL'!C3079,"AAAAAC2/7w4=")</f>
        <v>#VALUE!</v>
      </c>
      <c r="P377" t="e">
        <f>AND('STERLING CATALOG - FZN &amp; CHILL'!D3079,"AAAAAC2/7w8=")</f>
        <v>#VALUE!</v>
      </c>
      <c r="Q377" t="e">
        <f>AND('STERLING CATALOG - FZN &amp; CHILL'!E3079,"AAAAAC2/7xA=")</f>
        <v>#VALUE!</v>
      </c>
      <c r="R377" t="e">
        <f>AND('STERLING CATALOG - FZN &amp; CHILL'!F3079,"AAAAAC2/7xE=")</f>
        <v>#VALUE!</v>
      </c>
      <c r="S377" t="e">
        <f>AND('STERLING CATALOG - FZN &amp; CHILL'!G3079,"AAAAAC2/7xI=")</f>
        <v>#VALUE!</v>
      </c>
      <c r="T377" t="e">
        <f>AND('STERLING CATALOG - FZN &amp; CHILL'!H3079,"AAAAAC2/7xM=")</f>
        <v>#VALUE!</v>
      </c>
      <c r="U377" t="e">
        <f>AND('STERLING CATALOG - FZN &amp; CHILL'!I3079,"AAAAAC2/7xQ=")</f>
        <v>#VALUE!</v>
      </c>
      <c r="V377" t="e">
        <f>AND('STERLING CATALOG - FZN &amp; CHILL'!J3079,"AAAAAC2/7xU=")</f>
        <v>#VALUE!</v>
      </c>
      <c r="W377">
        <f>IF('STERLING CATALOG - FZN &amp; CHILL'!3080:3080,"AAAAAC2/7xY=",0)</f>
        <v>0</v>
      </c>
      <c r="X377" t="e">
        <f>AND('STERLING CATALOG - FZN &amp; CHILL'!A3080,"AAAAAC2/7xc=")</f>
        <v>#VALUE!</v>
      </c>
      <c r="Y377" t="e">
        <f>AND('STERLING CATALOG - FZN &amp; CHILL'!B3080,"AAAAAC2/7xg=")</f>
        <v>#VALUE!</v>
      </c>
      <c r="Z377" t="e">
        <f>AND('STERLING CATALOG - FZN &amp; CHILL'!C3080,"AAAAAC2/7xk=")</f>
        <v>#VALUE!</v>
      </c>
      <c r="AA377" t="e">
        <f>AND('STERLING CATALOG - FZN &amp; CHILL'!D3080,"AAAAAC2/7xo=")</f>
        <v>#VALUE!</v>
      </c>
      <c r="AB377" t="e">
        <f>AND('STERLING CATALOG - FZN &amp; CHILL'!E3080,"AAAAAC2/7xs=")</f>
        <v>#VALUE!</v>
      </c>
      <c r="AC377" t="e">
        <f>AND('STERLING CATALOG - FZN &amp; CHILL'!F3080,"AAAAAC2/7xw=")</f>
        <v>#VALUE!</v>
      </c>
      <c r="AD377" t="e">
        <f>AND('STERLING CATALOG - FZN &amp; CHILL'!G3080,"AAAAAC2/7x0=")</f>
        <v>#VALUE!</v>
      </c>
      <c r="AE377" t="e">
        <f>AND('STERLING CATALOG - FZN &amp; CHILL'!H3080,"AAAAAC2/7x4=")</f>
        <v>#VALUE!</v>
      </c>
      <c r="AF377" t="e">
        <f>AND('STERLING CATALOG - FZN &amp; CHILL'!I3080,"AAAAAC2/7x8=")</f>
        <v>#VALUE!</v>
      </c>
      <c r="AG377" t="e">
        <f>AND('STERLING CATALOG - FZN &amp; CHILL'!J3080,"AAAAAC2/7yA=")</f>
        <v>#VALUE!</v>
      </c>
      <c r="AH377">
        <f>IF('STERLING CATALOG - FZN &amp; CHILL'!3081:3081,"AAAAAC2/7yE=",0)</f>
        <v>0</v>
      </c>
      <c r="AI377" t="e">
        <f>AND('STERLING CATALOG - FZN &amp; CHILL'!A3081,"AAAAAC2/7yI=")</f>
        <v>#VALUE!</v>
      </c>
      <c r="AJ377" t="e">
        <f>AND('STERLING CATALOG - FZN &amp; CHILL'!B3081,"AAAAAC2/7yM=")</f>
        <v>#VALUE!</v>
      </c>
      <c r="AK377" t="e">
        <f>AND('STERLING CATALOG - FZN &amp; CHILL'!C3081,"AAAAAC2/7yQ=")</f>
        <v>#VALUE!</v>
      </c>
      <c r="AL377" t="e">
        <f>AND('STERLING CATALOG - FZN &amp; CHILL'!D3081,"AAAAAC2/7yU=")</f>
        <v>#VALUE!</v>
      </c>
      <c r="AM377" t="e">
        <f>AND('STERLING CATALOG - FZN &amp; CHILL'!E3081,"AAAAAC2/7yY=")</f>
        <v>#VALUE!</v>
      </c>
      <c r="AN377" t="e">
        <f>AND('STERLING CATALOG - FZN &amp; CHILL'!F3081,"AAAAAC2/7yc=")</f>
        <v>#VALUE!</v>
      </c>
      <c r="AO377" t="e">
        <f>AND('STERLING CATALOG - FZN &amp; CHILL'!G3081,"AAAAAC2/7yg=")</f>
        <v>#VALUE!</v>
      </c>
      <c r="AP377" t="e">
        <f>AND('STERLING CATALOG - FZN &amp; CHILL'!H3081,"AAAAAC2/7yk=")</f>
        <v>#VALUE!</v>
      </c>
      <c r="AQ377" t="e">
        <f>AND('STERLING CATALOG - FZN &amp; CHILL'!I3081,"AAAAAC2/7yo=")</f>
        <v>#VALUE!</v>
      </c>
      <c r="AR377" t="e">
        <f>AND('STERLING CATALOG - FZN &amp; CHILL'!J3081,"AAAAAC2/7ys=")</f>
        <v>#VALUE!</v>
      </c>
      <c r="AS377">
        <f>IF('STERLING CATALOG - FZN &amp; CHILL'!3082:3082,"AAAAAC2/7yw=",0)</f>
        <v>0</v>
      </c>
      <c r="AT377" t="e">
        <f>AND('STERLING CATALOG - FZN &amp; CHILL'!A3082,"AAAAAC2/7y0=")</f>
        <v>#VALUE!</v>
      </c>
      <c r="AU377" t="e">
        <f>AND('STERLING CATALOG - FZN &amp; CHILL'!B3082,"AAAAAC2/7y4=")</f>
        <v>#VALUE!</v>
      </c>
      <c r="AV377" t="e">
        <f>AND('STERLING CATALOG - FZN &amp; CHILL'!C3082,"AAAAAC2/7y8=")</f>
        <v>#VALUE!</v>
      </c>
      <c r="AW377" t="e">
        <f>AND('STERLING CATALOG - FZN &amp; CHILL'!D3082,"AAAAAC2/7zA=")</f>
        <v>#VALUE!</v>
      </c>
      <c r="AX377" t="e">
        <f>AND('STERLING CATALOG - FZN &amp; CHILL'!E3082,"AAAAAC2/7zE=")</f>
        <v>#VALUE!</v>
      </c>
      <c r="AY377" t="e">
        <f>AND('STERLING CATALOG - FZN &amp; CHILL'!F3082,"AAAAAC2/7zI=")</f>
        <v>#VALUE!</v>
      </c>
      <c r="AZ377" t="e">
        <f>AND('STERLING CATALOG - FZN &amp; CHILL'!G3082,"AAAAAC2/7zM=")</f>
        <v>#VALUE!</v>
      </c>
      <c r="BA377" t="e">
        <f>AND('STERLING CATALOG - FZN &amp; CHILL'!H3082,"AAAAAC2/7zQ=")</f>
        <v>#VALUE!</v>
      </c>
      <c r="BB377" t="e">
        <f>AND('STERLING CATALOG - FZN &amp; CHILL'!I3082,"AAAAAC2/7zU=")</f>
        <v>#VALUE!</v>
      </c>
      <c r="BC377" t="e">
        <f>AND('STERLING CATALOG - FZN &amp; CHILL'!J3082,"AAAAAC2/7zY=")</f>
        <v>#VALUE!</v>
      </c>
      <c r="BD377">
        <f>IF('STERLING CATALOG - FZN &amp; CHILL'!3083:3083,"AAAAAC2/7zc=",0)</f>
        <v>0</v>
      </c>
      <c r="BE377" t="e">
        <f>AND('STERLING CATALOG - FZN &amp; CHILL'!A3083,"AAAAAC2/7zg=")</f>
        <v>#VALUE!</v>
      </c>
      <c r="BF377" t="e">
        <f>AND('STERLING CATALOG - FZN &amp; CHILL'!B3083,"AAAAAC2/7zk=")</f>
        <v>#VALUE!</v>
      </c>
      <c r="BG377" t="e">
        <f>AND('STERLING CATALOG - FZN &amp; CHILL'!C3083,"AAAAAC2/7zo=")</f>
        <v>#VALUE!</v>
      </c>
      <c r="BH377" t="e">
        <f>AND('STERLING CATALOG - FZN &amp; CHILL'!D3083,"AAAAAC2/7zs=")</f>
        <v>#VALUE!</v>
      </c>
      <c r="BI377" t="e">
        <f>AND('STERLING CATALOG - FZN &amp; CHILL'!E3083,"AAAAAC2/7zw=")</f>
        <v>#VALUE!</v>
      </c>
      <c r="BJ377" t="e">
        <f>AND('STERLING CATALOG - FZN &amp; CHILL'!F3083,"AAAAAC2/7z0=")</f>
        <v>#VALUE!</v>
      </c>
      <c r="BK377" t="e">
        <f>AND('STERLING CATALOG - FZN &amp; CHILL'!G3083,"AAAAAC2/7z4=")</f>
        <v>#VALUE!</v>
      </c>
      <c r="BL377" t="e">
        <f>AND('STERLING CATALOG - FZN &amp; CHILL'!H3083,"AAAAAC2/7z8=")</f>
        <v>#VALUE!</v>
      </c>
      <c r="BM377" t="e">
        <f>AND('STERLING CATALOG - FZN &amp; CHILL'!I3083,"AAAAAC2/70A=")</f>
        <v>#VALUE!</v>
      </c>
      <c r="BN377" t="e">
        <f>AND('STERLING CATALOG - FZN &amp; CHILL'!J3083,"AAAAAC2/70E=")</f>
        <v>#VALUE!</v>
      </c>
      <c r="BO377">
        <f>IF('STERLING CATALOG - FZN &amp; CHILL'!3084:3084,"AAAAAC2/70I=",0)</f>
        <v>0</v>
      </c>
      <c r="BP377" t="e">
        <f>AND('STERLING CATALOG - FZN &amp; CHILL'!A3084,"AAAAAC2/70M=")</f>
        <v>#VALUE!</v>
      </c>
      <c r="BQ377" t="e">
        <f>AND('STERLING CATALOG - FZN &amp; CHILL'!B3084,"AAAAAC2/70Q=")</f>
        <v>#VALUE!</v>
      </c>
      <c r="BR377" t="e">
        <f>AND('STERLING CATALOG - FZN &amp; CHILL'!C3084,"AAAAAC2/70U=")</f>
        <v>#VALUE!</v>
      </c>
      <c r="BS377" t="e">
        <f>AND('STERLING CATALOG - FZN &amp; CHILL'!D3084,"AAAAAC2/70Y=")</f>
        <v>#VALUE!</v>
      </c>
      <c r="BT377" t="e">
        <f>AND('STERLING CATALOG - FZN &amp; CHILL'!E3084,"AAAAAC2/70c=")</f>
        <v>#VALUE!</v>
      </c>
      <c r="BU377" t="e">
        <f>AND('STERLING CATALOG - FZN &amp; CHILL'!F3084,"AAAAAC2/70g=")</f>
        <v>#VALUE!</v>
      </c>
      <c r="BV377" t="e">
        <f>AND('STERLING CATALOG - FZN &amp; CHILL'!G3084,"AAAAAC2/70k=")</f>
        <v>#VALUE!</v>
      </c>
      <c r="BW377" t="e">
        <f>AND('STERLING CATALOG - FZN &amp; CHILL'!H3084,"AAAAAC2/70o=")</f>
        <v>#VALUE!</v>
      </c>
      <c r="BX377" t="e">
        <f>AND('STERLING CATALOG - FZN &amp; CHILL'!I3084,"AAAAAC2/70s=")</f>
        <v>#VALUE!</v>
      </c>
      <c r="BY377" t="e">
        <f>AND('STERLING CATALOG - FZN &amp; CHILL'!J3084,"AAAAAC2/70w=")</f>
        <v>#VALUE!</v>
      </c>
      <c r="BZ377">
        <f>IF('STERLING CATALOG - FZN &amp; CHILL'!3085:3085,"AAAAAC2/700=",0)</f>
        <v>0</v>
      </c>
      <c r="CA377" t="e">
        <f>AND('STERLING CATALOG - FZN &amp; CHILL'!A3085,"AAAAAC2/704=")</f>
        <v>#VALUE!</v>
      </c>
      <c r="CB377" t="e">
        <f>AND('STERLING CATALOG - FZN &amp; CHILL'!B3085,"AAAAAC2/708=")</f>
        <v>#VALUE!</v>
      </c>
      <c r="CC377" t="e">
        <f>AND('STERLING CATALOG - FZN &amp; CHILL'!C3085,"AAAAAC2/71A=")</f>
        <v>#VALUE!</v>
      </c>
      <c r="CD377" t="e">
        <f>AND('STERLING CATALOG - FZN &amp; CHILL'!D3085,"AAAAAC2/71E=")</f>
        <v>#VALUE!</v>
      </c>
      <c r="CE377" t="e">
        <f>AND('STERLING CATALOG - FZN &amp; CHILL'!E3085,"AAAAAC2/71I=")</f>
        <v>#VALUE!</v>
      </c>
      <c r="CF377" t="e">
        <f>AND('STERLING CATALOG - FZN &amp; CHILL'!F3085,"AAAAAC2/71M=")</f>
        <v>#VALUE!</v>
      </c>
      <c r="CG377" t="e">
        <f>AND('STERLING CATALOG - FZN &amp; CHILL'!G3085,"AAAAAC2/71Q=")</f>
        <v>#VALUE!</v>
      </c>
      <c r="CH377" t="e">
        <f>AND('STERLING CATALOG - FZN &amp; CHILL'!H3085,"AAAAAC2/71U=")</f>
        <v>#VALUE!</v>
      </c>
      <c r="CI377" t="e">
        <f>AND('STERLING CATALOG - FZN &amp; CHILL'!I3085,"AAAAAC2/71Y=")</f>
        <v>#VALUE!</v>
      </c>
      <c r="CJ377" t="e">
        <f>AND('STERLING CATALOG - FZN &amp; CHILL'!J3085,"AAAAAC2/71c=")</f>
        <v>#VALUE!</v>
      </c>
      <c r="CK377">
        <f>IF('STERLING CATALOG - FZN &amp; CHILL'!3086:3086,"AAAAAC2/71g=",0)</f>
        <v>0</v>
      </c>
      <c r="CL377" t="e">
        <f>AND('STERLING CATALOG - FZN &amp; CHILL'!A3086,"AAAAAC2/71k=")</f>
        <v>#VALUE!</v>
      </c>
      <c r="CM377" t="e">
        <f>AND('STERLING CATALOG - FZN &amp; CHILL'!B3086,"AAAAAC2/71o=")</f>
        <v>#VALUE!</v>
      </c>
      <c r="CN377" t="e">
        <f>AND('STERLING CATALOG - FZN &amp; CHILL'!C3086,"AAAAAC2/71s=")</f>
        <v>#VALUE!</v>
      </c>
      <c r="CO377" t="e">
        <f>AND('STERLING CATALOG - FZN &amp; CHILL'!D3086,"AAAAAC2/71w=")</f>
        <v>#VALUE!</v>
      </c>
      <c r="CP377" t="e">
        <f>AND('STERLING CATALOG - FZN &amp; CHILL'!E3086,"AAAAAC2/710=")</f>
        <v>#VALUE!</v>
      </c>
      <c r="CQ377" t="e">
        <f>AND('STERLING CATALOG - FZN &amp; CHILL'!F3086,"AAAAAC2/714=")</f>
        <v>#VALUE!</v>
      </c>
      <c r="CR377" t="e">
        <f>AND('STERLING CATALOG - FZN &amp; CHILL'!G3086,"AAAAAC2/718=")</f>
        <v>#VALUE!</v>
      </c>
      <c r="CS377" t="e">
        <f>AND('STERLING CATALOG - FZN &amp; CHILL'!H3086,"AAAAAC2/72A=")</f>
        <v>#VALUE!</v>
      </c>
      <c r="CT377" t="e">
        <f>AND('STERLING CATALOG - FZN &amp; CHILL'!I3086,"AAAAAC2/72E=")</f>
        <v>#VALUE!</v>
      </c>
      <c r="CU377" t="e">
        <f>AND('STERLING CATALOG - FZN &amp; CHILL'!J3086,"AAAAAC2/72I=")</f>
        <v>#VALUE!</v>
      </c>
      <c r="CV377">
        <f>IF('STERLING CATALOG - FZN &amp; CHILL'!3087:3087,"AAAAAC2/72M=",0)</f>
        <v>0</v>
      </c>
      <c r="CW377" t="e">
        <f>AND('STERLING CATALOG - FZN &amp; CHILL'!A3087,"AAAAAC2/72Q=")</f>
        <v>#VALUE!</v>
      </c>
      <c r="CX377" t="e">
        <f>AND('STERLING CATALOG - FZN &amp; CHILL'!B3087,"AAAAAC2/72U=")</f>
        <v>#VALUE!</v>
      </c>
      <c r="CY377" t="e">
        <f>AND('STERLING CATALOG - FZN &amp; CHILL'!C3087,"AAAAAC2/72Y=")</f>
        <v>#VALUE!</v>
      </c>
      <c r="CZ377" t="e">
        <f>AND('STERLING CATALOG - FZN &amp; CHILL'!D3087,"AAAAAC2/72c=")</f>
        <v>#VALUE!</v>
      </c>
      <c r="DA377" t="e">
        <f>AND('STERLING CATALOG - FZN &amp; CHILL'!E3087,"AAAAAC2/72g=")</f>
        <v>#VALUE!</v>
      </c>
      <c r="DB377" t="e">
        <f>AND('STERLING CATALOG - FZN &amp; CHILL'!F3087,"AAAAAC2/72k=")</f>
        <v>#VALUE!</v>
      </c>
      <c r="DC377" t="e">
        <f>AND('STERLING CATALOG - FZN &amp; CHILL'!G3087,"AAAAAC2/72o=")</f>
        <v>#VALUE!</v>
      </c>
      <c r="DD377" t="e">
        <f>AND('STERLING CATALOG - FZN &amp; CHILL'!H3087,"AAAAAC2/72s=")</f>
        <v>#VALUE!</v>
      </c>
      <c r="DE377" t="e">
        <f>AND('STERLING CATALOG - FZN &amp; CHILL'!I3087,"AAAAAC2/72w=")</f>
        <v>#VALUE!</v>
      </c>
      <c r="DF377" t="e">
        <f>AND('STERLING CATALOG - FZN &amp; CHILL'!J3087,"AAAAAC2/720=")</f>
        <v>#VALUE!</v>
      </c>
      <c r="DG377">
        <f>IF('STERLING CATALOG - FZN &amp; CHILL'!3088:3088,"AAAAAC2/724=",0)</f>
        <v>0</v>
      </c>
      <c r="DH377" t="e">
        <f>AND('STERLING CATALOG - FZN &amp; CHILL'!A3088,"AAAAAC2/728=")</f>
        <v>#VALUE!</v>
      </c>
      <c r="DI377" t="e">
        <f>AND('STERLING CATALOG - FZN &amp; CHILL'!B3088,"AAAAAC2/73A=")</f>
        <v>#VALUE!</v>
      </c>
      <c r="DJ377" t="e">
        <f>AND('STERLING CATALOG - FZN &amp; CHILL'!C3088,"AAAAAC2/73E=")</f>
        <v>#VALUE!</v>
      </c>
      <c r="DK377" t="e">
        <f>AND('STERLING CATALOG - FZN &amp; CHILL'!D3088,"AAAAAC2/73I=")</f>
        <v>#VALUE!</v>
      </c>
      <c r="DL377" t="e">
        <f>AND('STERLING CATALOG - FZN &amp; CHILL'!E3088,"AAAAAC2/73M=")</f>
        <v>#VALUE!</v>
      </c>
      <c r="DM377" t="e">
        <f>AND('STERLING CATALOG - FZN &amp; CHILL'!F3088,"AAAAAC2/73Q=")</f>
        <v>#VALUE!</v>
      </c>
      <c r="DN377" t="e">
        <f>AND('STERLING CATALOG - FZN &amp; CHILL'!G3088,"AAAAAC2/73U=")</f>
        <v>#VALUE!</v>
      </c>
      <c r="DO377" t="e">
        <f>AND('STERLING CATALOG - FZN &amp; CHILL'!H3088,"AAAAAC2/73Y=")</f>
        <v>#VALUE!</v>
      </c>
      <c r="DP377" t="e">
        <f>AND('STERLING CATALOG - FZN &amp; CHILL'!I3088,"AAAAAC2/73c=")</f>
        <v>#VALUE!</v>
      </c>
      <c r="DQ377" t="e">
        <f>AND('STERLING CATALOG - FZN &amp; CHILL'!J3088,"AAAAAC2/73g=")</f>
        <v>#VALUE!</v>
      </c>
      <c r="DR377">
        <f>IF('STERLING CATALOG - FZN &amp; CHILL'!3089:3089,"AAAAAC2/73k=",0)</f>
        <v>0</v>
      </c>
      <c r="DS377" t="e">
        <f>AND('STERLING CATALOG - FZN &amp; CHILL'!A3089,"AAAAAC2/73o=")</f>
        <v>#VALUE!</v>
      </c>
      <c r="DT377" t="e">
        <f>AND('STERLING CATALOG - FZN &amp; CHILL'!B3089,"AAAAAC2/73s=")</f>
        <v>#VALUE!</v>
      </c>
      <c r="DU377" t="e">
        <f>AND('STERLING CATALOG - FZN &amp; CHILL'!C3089,"AAAAAC2/73w=")</f>
        <v>#VALUE!</v>
      </c>
      <c r="DV377" t="e">
        <f>AND('STERLING CATALOG - FZN &amp; CHILL'!D3089,"AAAAAC2/730=")</f>
        <v>#VALUE!</v>
      </c>
      <c r="DW377" t="e">
        <f>AND('STERLING CATALOG - FZN &amp; CHILL'!E3089,"AAAAAC2/734=")</f>
        <v>#VALUE!</v>
      </c>
      <c r="DX377" t="e">
        <f>AND('STERLING CATALOG - FZN &amp; CHILL'!F3089,"AAAAAC2/738=")</f>
        <v>#VALUE!</v>
      </c>
      <c r="DY377" t="e">
        <f>AND('STERLING CATALOG - FZN &amp; CHILL'!G3089,"AAAAAC2/74A=")</f>
        <v>#VALUE!</v>
      </c>
      <c r="DZ377" t="e">
        <f>AND('STERLING CATALOG - FZN &amp; CHILL'!H3089,"AAAAAC2/74E=")</f>
        <v>#VALUE!</v>
      </c>
      <c r="EA377" t="e">
        <f>AND('STERLING CATALOG - FZN &amp; CHILL'!I3089,"AAAAAC2/74I=")</f>
        <v>#VALUE!</v>
      </c>
      <c r="EB377" t="e">
        <f>AND('STERLING CATALOG - FZN &amp; CHILL'!J3089,"AAAAAC2/74M=")</f>
        <v>#VALUE!</v>
      </c>
      <c r="EC377">
        <f>IF('STERLING CATALOG - FZN &amp; CHILL'!3090:3090,"AAAAAC2/74Q=",0)</f>
        <v>0</v>
      </c>
      <c r="ED377" t="e">
        <f>AND('STERLING CATALOG - FZN &amp; CHILL'!A3090,"AAAAAC2/74U=")</f>
        <v>#VALUE!</v>
      </c>
      <c r="EE377" t="e">
        <f>AND('STERLING CATALOG - FZN &amp; CHILL'!B3090,"AAAAAC2/74Y=")</f>
        <v>#VALUE!</v>
      </c>
      <c r="EF377" t="e">
        <f>AND('STERLING CATALOG - FZN &amp; CHILL'!C3090,"AAAAAC2/74c=")</f>
        <v>#VALUE!</v>
      </c>
      <c r="EG377" t="e">
        <f>AND('STERLING CATALOG - FZN &amp; CHILL'!D3090,"AAAAAC2/74g=")</f>
        <v>#VALUE!</v>
      </c>
      <c r="EH377" t="e">
        <f>AND('STERLING CATALOG - FZN &amp; CHILL'!E3090,"AAAAAC2/74k=")</f>
        <v>#VALUE!</v>
      </c>
      <c r="EI377" t="e">
        <f>AND('STERLING CATALOG - FZN &amp; CHILL'!F3090,"AAAAAC2/74o=")</f>
        <v>#VALUE!</v>
      </c>
      <c r="EJ377" t="e">
        <f>AND('STERLING CATALOG - FZN &amp; CHILL'!G3090,"AAAAAC2/74s=")</f>
        <v>#VALUE!</v>
      </c>
      <c r="EK377" t="e">
        <f>AND('STERLING CATALOG - FZN &amp; CHILL'!H3090,"AAAAAC2/74w=")</f>
        <v>#VALUE!</v>
      </c>
      <c r="EL377" t="e">
        <f>AND('STERLING CATALOG - FZN &amp; CHILL'!I3090,"AAAAAC2/740=")</f>
        <v>#VALUE!</v>
      </c>
      <c r="EM377" t="e">
        <f>AND('STERLING CATALOG - FZN &amp; CHILL'!J3090,"AAAAAC2/744=")</f>
        <v>#VALUE!</v>
      </c>
      <c r="EN377">
        <f>IF('STERLING CATALOG - FZN &amp; CHILL'!3091:3091,"AAAAAC2/748=",0)</f>
        <v>0</v>
      </c>
      <c r="EO377" t="e">
        <f>AND('STERLING CATALOG - FZN &amp; CHILL'!A3091,"AAAAAC2/75A=")</f>
        <v>#VALUE!</v>
      </c>
      <c r="EP377" t="e">
        <f>AND('STERLING CATALOG - FZN &amp; CHILL'!B3091,"AAAAAC2/75E=")</f>
        <v>#VALUE!</v>
      </c>
      <c r="EQ377" t="e">
        <f>AND('STERLING CATALOG - FZN &amp; CHILL'!C3091,"AAAAAC2/75I=")</f>
        <v>#VALUE!</v>
      </c>
      <c r="ER377" t="e">
        <f>AND('STERLING CATALOG - FZN &amp; CHILL'!D3091,"AAAAAC2/75M=")</f>
        <v>#VALUE!</v>
      </c>
      <c r="ES377" t="e">
        <f>AND('STERLING CATALOG - FZN &amp; CHILL'!E3091,"AAAAAC2/75Q=")</f>
        <v>#VALUE!</v>
      </c>
      <c r="ET377" t="e">
        <f>AND('STERLING CATALOG - FZN &amp; CHILL'!F3091,"AAAAAC2/75U=")</f>
        <v>#VALUE!</v>
      </c>
      <c r="EU377" t="e">
        <f>AND('STERLING CATALOG - FZN &amp; CHILL'!G3091,"AAAAAC2/75Y=")</f>
        <v>#VALUE!</v>
      </c>
      <c r="EV377" t="e">
        <f>AND('STERLING CATALOG - FZN &amp; CHILL'!H3091,"AAAAAC2/75c=")</f>
        <v>#VALUE!</v>
      </c>
      <c r="EW377" t="e">
        <f>AND('STERLING CATALOG - FZN &amp; CHILL'!I3091,"AAAAAC2/75g=")</f>
        <v>#VALUE!</v>
      </c>
      <c r="EX377" t="e">
        <f>AND('STERLING CATALOG - FZN &amp; CHILL'!J3091,"AAAAAC2/75k=")</f>
        <v>#VALUE!</v>
      </c>
      <c r="EY377">
        <f>IF('STERLING CATALOG - FZN &amp; CHILL'!3092:3092,"AAAAAC2/75o=",0)</f>
        <v>0</v>
      </c>
      <c r="EZ377" t="e">
        <f>AND('STERLING CATALOG - FZN &amp; CHILL'!A3092,"AAAAAC2/75s=")</f>
        <v>#VALUE!</v>
      </c>
      <c r="FA377" t="e">
        <f>AND('STERLING CATALOG - FZN &amp; CHILL'!B3092,"AAAAAC2/75w=")</f>
        <v>#VALUE!</v>
      </c>
      <c r="FB377" t="e">
        <f>AND('STERLING CATALOG - FZN &amp; CHILL'!C3092,"AAAAAC2/750=")</f>
        <v>#VALUE!</v>
      </c>
      <c r="FC377" t="e">
        <f>AND('STERLING CATALOG - FZN &amp; CHILL'!D3092,"AAAAAC2/754=")</f>
        <v>#VALUE!</v>
      </c>
      <c r="FD377" t="e">
        <f>AND('STERLING CATALOG - FZN &amp; CHILL'!E3092,"AAAAAC2/758=")</f>
        <v>#VALUE!</v>
      </c>
      <c r="FE377" t="e">
        <f>AND('STERLING CATALOG - FZN &amp; CHILL'!F3092,"AAAAAC2/76A=")</f>
        <v>#VALUE!</v>
      </c>
      <c r="FF377" t="e">
        <f>AND('STERLING CATALOG - FZN &amp; CHILL'!G3092,"AAAAAC2/76E=")</f>
        <v>#VALUE!</v>
      </c>
      <c r="FG377" t="e">
        <f>AND('STERLING CATALOG - FZN &amp; CHILL'!H3092,"AAAAAC2/76I=")</f>
        <v>#VALUE!</v>
      </c>
      <c r="FH377" t="e">
        <f>AND('STERLING CATALOG - FZN &amp; CHILL'!I3092,"AAAAAC2/76M=")</f>
        <v>#VALUE!</v>
      </c>
      <c r="FI377" t="e">
        <f>AND('STERLING CATALOG - FZN &amp; CHILL'!J3092,"AAAAAC2/76Q=")</f>
        <v>#VALUE!</v>
      </c>
      <c r="FJ377">
        <f>IF('STERLING CATALOG - FZN &amp; CHILL'!3093:3093,"AAAAAC2/76U=",0)</f>
        <v>0</v>
      </c>
      <c r="FK377" t="e">
        <f>AND('STERLING CATALOG - FZN &amp; CHILL'!A3093,"AAAAAC2/76Y=")</f>
        <v>#VALUE!</v>
      </c>
      <c r="FL377" t="e">
        <f>AND('STERLING CATALOG - FZN &amp; CHILL'!B3093,"AAAAAC2/76c=")</f>
        <v>#VALUE!</v>
      </c>
      <c r="FM377" t="e">
        <f>AND('STERLING CATALOG - FZN &amp; CHILL'!C3093,"AAAAAC2/76g=")</f>
        <v>#VALUE!</v>
      </c>
      <c r="FN377" t="e">
        <f>AND('STERLING CATALOG - FZN &amp; CHILL'!D3093,"AAAAAC2/76k=")</f>
        <v>#VALUE!</v>
      </c>
      <c r="FO377" t="e">
        <f>AND('STERLING CATALOG - FZN &amp; CHILL'!E3093,"AAAAAC2/76o=")</f>
        <v>#VALUE!</v>
      </c>
      <c r="FP377" t="e">
        <f>AND('STERLING CATALOG - FZN &amp; CHILL'!F3093,"AAAAAC2/76s=")</f>
        <v>#VALUE!</v>
      </c>
      <c r="FQ377" t="e">
        <f>AND('STERLING CATALOG - FZN &amp; CHILL'!G3093,"AAAAAC2/76w=")</f>
        <v>#VALUE!</v>
      </c>
      <c r="FR377" t="e">
        <f>AND('STERLING CATALOG - FZN &amp; CHILL'!H3093,"AAAAAC2/760=")</f>
        <v>#VALUE!</v>
      </c>
      <c r="FS377" t="e">
        <f>AND('STERLING CATALOG - FZN &amp; CHILL'!I3093,"AAAAAC2/764=")</f>
        <v>#VALUE!</v>
      </c>
      <c r="FT377" t="e">
        <f>AND('STERLING CATALOG - FZN &amp; CHILL'!J3093,"AAAAAC2/768=")</f>
        <v>#VALUE!</v>
      </c>
      <c r="FU377">
        <f>IF('STERLING CATALOG - FZN &amp; CHILL'!3094:3094,"AAAAAC2/77A=",0)</f>
        <v>0</v>
      </c>
      <c r="FV377" t="e">
        <f>AND('STERLING CATALOG - FZN &amp; CHILL'!A3094,"AAAAAC2/77E=")</f>
        <v>#VALUE!</v>
      </c>
      <c r="FW377" t="e">
        <f>AND('STERLING CATALOG - FZN &amp; CHILL'!B3094,"AAAAAC2/77I=")</f>
        <v>#VALUE!</v>
      </c>
      <c r="FX377" t="e">
        <f>AND('STERLING CATALOG - FZN &amp; CHILL'!C3094,"AAAAAC2/77M=")</f>
        <v>#VALUE!</v>
      </c>
      <c r="FY377" t="e">
        <f>AND('STERLING CATALOG - FZN &amp; CHILL'!D3094,"AAAAAC2/77Q=")</f>
        <v>#VALUE!</v>
      </c>
      <c r="FZ377" t="e">
        <f>AND('STERLING CATALOG - FZN &amp; CHILL'!E3094,"AAAAAC2/77U=")</f>
        <v>#VALUE!</v>
      </c>
      <c r="GA377" t="e">
        <f>AND('STERLING CATALOG - FZN &amp; CHILL'!F3094,"AAAAAC2/77Y=")</f>
        <v>#VALUE!</v>
      </c>
      <c r="GB377" t="e">
        <f>AND('STERLING CATALOG - FZN &amp; CHILL'!G3094,"AAAAAC2/77c=")</f>
        <v>#VALUE!</v>
      </c>
      <c r="GC377" t="e">
        <f>AND('STERLING CATALOG - FZN &amp; CHILL'!H3094,"AAAAAC2/77g=")</f>
        <v>#VALUE!</v>
      </c>
      <c r="GD377" t="e">
        <f>AND('STERLING CATALOG - FZN &amp; CHILL'!I3094,"AAAAAC2/77k=")</f>
        <v>#VALUE!</v>
      </c>
      <c r="GE377" t="e">
        <f>AND('STERLING CATALOG - FZN &amp; CHILL'!J3094,"AAAAAC2/77o=")</f>
        <v>#VALUE!</v>
      </c>
      <c r="GF377">
        <f>IF('STERLING CATALOG - FZN &amp; CHILL'!3095:3095,"AAAAAC2/77s=",0)</f>
        <v>0</v>
      </c>
      <c r="GG377" t="e">
        <f>AND('STERLING CATALOG - FZN &amp; CHILL'!A3095,"AAAAAC2/77w=")</f>
        <v>#VALUE!</v>
      </c>
      <c r="GH377" t="e">
        <f>AND('STERLING CATALOG - FZN &amp; CHILL'!B3095,"AAAAAC2/770=")</f>
        <v>#VALUE!</v>
      </c>
      <c r="GI377" t="e">
        <f>AND('STERLING CATALOG - FZN &amp; CHILL'!C3095,"AAAAAC2/774=")</f>
        <v>#VALUE!</v>
      </c>
      <c r="GJ377" t="e">
        <f>AND('STERLING CATALOG - FZN &amp; CHILL'!D3095,"AAAAAC2/778=")</f>
        <v>#VALUE!</v>
      </c>
      <c r="GK377" t="e">
        <f>AND('STERLING CATALOG - FZN &amp; CHILL'!E3095,"AAAAAC2/78A=")</f>
        <v>#VALUE!</v>
      </c>
      <c r="GL377" t="e">
        <f>AND('STERLING CATALOG - FZN &amp; CHILL'!F3095,"AAAAAC2/78E=")</f>
        <v>#VALUE!</v>
      </c>
      <c r="GM377" t="e">
        <f>AND('STERLING CATALOG - FZN &amp; CHILL'!G3095,"AAAAAC2/78I=")</f>
        <v>#VALUE!</v>
      </c>
      <c r="GN377" t="e">
        <f>AND('STERLING CATALOG - FZN &amp; CHILL'!H3095,"AAAAAC2/78M=")</f>
        <v>#VALUE!</v>
      </c>
      <c r="GO377" t="e">
        <f>AND('STERLING CATALOG - FZN &amp; CHILL'!I3095,"AAAAAC2/78Q=")</f>
        <v>#VALUE!</v>
      </c>
      <c r="GP377" t="e">
        <f>AND('STERLING CATALOG - FZN &amp; CHILL'!J3095,"AAAAAC2/78U=")</f>
        <v>#VALUE!</v>
      </c>
      <c r="GQ377">
        <f>IF('STERLING CATALOG - FZN &amp; CHILL'!3096:3096,"AAAAAC2/78Y=",0)</f>
        <v>0</v>
      </c>
      <c r="GR377" t="e">
        <f>AND('STERLING CATALOG - FZN &amp; CHILL'!A3096,"AAAAAC2/78c=")</f>
        <v>#VALUE!</v>
      </c>
      <c r="GS377" t="e">
        <f>AND('STERLING CATALOG - FZN &amp; CHILL'!B3096,"AAAAAC2/78g=")</f>
        <v>#VALUE!</v>
      </c>
      <c r="GT377" t="e">
        <f>AND('STERLING CATALOG - FZN &amp; CHILL'!C3096,"AAAAAC2/78k=")</f>
        <v>#VALUE!</v>
      </c>
      <c r="GU377" t="e">
        <f>AND('STERLING CATALOG - FZN &amp; CHILL'!D3096,"AAAAAC2/78o=")</f>
        <v>#VALUE!</v>
      </c>
      <c r="GV377" t="e">
        <f>AND('STERLING CATALOG - FZN &amp; CHILL'!E3096,"AAAAAC2/78s=")</f>
        <v>#VALUE!</v>
      </c>
      <c r="GW377" t="e">
        <f>AND('STERLING CATALOG - FZN &amp; CHILL'!F3096,"AAAAAC2/78w=")</f>
        <v>#VALUE!</v>
      </c>
      <c r="GX377" t="e">
        <f>AND('STERLING CATALOG - FZN &amp; CHILL'!G3096,"AAAAAC2/780=")</f>
        <v>#VALUE!</v>
      </c>
      <c r="GY377" t="e">
        <f>AND('STERLING CATALOG - FZN &amp; CHILL'!H3096,"AAAAAC2/784=")</f>
        <v>#VALUE!</v>
      </c>
      <c r="GZ377" t="e">
        <f>AND('STERLING CATALOG - FZN &amp; CHILL'!I3096,"AAAAAC2/788=")</f>
        <v>#VALUE!</v>
      </c>
      <c r="HA377" t="e">
        <f>AND('STERLING CATALOG - FZN &amp; CHILL'!J3096,"AAAAAC2/79A=")</f>
        <v>#VALUE!</v>
      </c>
      <c r="HB377">
        <f>IF('STERLING CATALOG - FZN &amp; CHILL'!3097:3097,"AAAAAC2/79E=",0)</f>
        <v>0</v>
      </c>
      <c r="HC377" t="e">
        <f>AND('STERLING CATALOG - FZN &amp; CHILL'!A3097,"AAAAAC2/79I=")</f>
        <v>#VALUE!</v>
      </c>
      <c r="HD377" t="e">
        <f>AND('STERLING CATALOG - FZN &amp; CHILL'!B3097,"AAAAAC2/79M=")</f>
        <v>#VALUE!</v>
      </c>
      <c r="HE377" t="e">
        <f>AND('STERLING CATALOG - FZN &amp; CHILL'!C3097,"AAAAAC2/79Q=")</f>
        <v>#VALUE!</v>
      </c>
      <c r="HF377" t="e">
        <f>AND('STERLING CATALOG - FZN &amp; CHILL'!D3097,"AAAAAC2/79U=")</f>
        <v>#VALUE!</v>
      </c>
      <c r="HG377" t="e">
        <f>AND('STERLING CATALOG - FZN &amp; CHILL'!E3097,"AAAAAC2/79Y=")</f>
        <v>#VALUE!</v>
      </c>
      <c r="HH377" t="e">
        <f>AND('STERLING CATALOG - FZN &amp; CHILL'!F3097,"AAAAAC2/79c=")</f>
        <v>#VALUE!</v>
      </c>
      <c r="HI377" t="e">
        <f>AND('STERLING CATALOG - FZN &amp; CHILL'!G3097,"AAAAAC2/79g=")</f>
        <v>#VALUE!</v>
      </c>
      <c r="HJ377" t="e">
        <f>AND('STERLING CATALOG - FZN &amp; CHILL'!H3097,"AAAAAC2/79k=")</f>
        <v>#VALUE!</v>
      </c>
      <c r="HK377" t="e">
        <f>AND('STERLING CATALOG - FZN &amp; CHILL'!I3097,"AAAAAC2/79o=")</f>
        <v>#VALUE!</v>
      </c>
      <c r="HL377" t="e">
        <f>AND('STERLING CATALOG - FZN &amp; CHILL'!J3097,"AAAAAC2/79s=")</f>
        <v>#VALUE!</v>
      </c>
      <c r="HM377">
        <f>IF('STERLING CATALOG - FZN &amp; CHILL'!3098:3098,"AAAAAC2/79w=",0)</f>
        <v>0</v>
      </c>
      <c r="HN377" t="e">
        <f>AND('STERLING CATALOG - FZN &amp; CHILL'!A3098,"AAAAAC2/790=")</f>
        <v>#VALUE!</v>
      </c>
      <c r="HO377" t="e">
        <f>AND('STERLING CATALOG - FZN &amp; CHILL'!B3098,"AAAAAC2/794=")</f>
        <v>#VALUE!</v>
      </c>
      <c r="HP377" t="e">
        <f>AND('STERLING CATALOG - FZN &amp; CHILL'!C3098,"AAAAAC2/798=")</f>
        <v>#VALUE!</v>
      </c>
      <c r="HQ377" t="e">
        <f>AND('STERLING CATALOG - FZN &amp; CHILL'!D3098,"AAAAAC2/7+A=")</f>
        <v>#VALUE!</v>
      </c>
      <c r="HR377" t="e">
        <f>AND('STERLING CATALOG - FZN &amp; CHILL'!E3098,"AAAAAC2/7+E=")</f>
        <v>#VALUE!</v>
      </c>
      <c r="HS377" t="e">
        <f>AND('STERLING CATALOG - FZN &amp; CHILL'!F3098,"AAAAAC2/7+I=")</f>
        <v>#VALUE!</v>
      </c>
      <c r="HT377" t="e">
        <f>AND('STERLING CATALOG - FZN &amp; CHILL'!G3098,"AAAAAC2/7+M=")</f>
        <v>#VALUE!</v>
      </c>
      <c r="HU377" t="e">
        <f>AND('STERLING CATALOG - FZN &amp; CHILL'!H3098,"AAAAAC2/7+Q=")</f>
        <v>#VALUE!</v>
      </c>
      <c r="HV377" t="e">
        <f>AND('STERLING CATALOG - FZN &amp; CHILL'!I3098,"AAAAAC2/7+U=")</f>
        <v>#VALUE!</v>
      </c>
      <c r="HW377" t="e">
        <f>AND('STERLING CATALOG - FZN &amp; CHILL'!J3098,"AAAAAC2/7+Y=")</f>
        <v>#VALUE!</v>
      </c>
      <c r="HX377">
        <f>IF('STERLING CATALOG - FZN &amp; CHILL'!3099:3099,"AAAAAC2/7+c=",0)</f>
        <v>0</v>
      </c>
      <c r="HY377" t="e">
        <f>AND('STERLING CATALOG - FZN &amp; CHILL'!A3099,"AAAAAC2/7+g=")</f>
        <v>#VALUE!</v>
      </c>
      <c r="HZ377" t="e">
        <f>AND('STERLING CATALOG - FZN &amp; CHILL'!B3099,"AAAAAC2/7+k=")</f>
        <v>#VALUE!</v>
      </c>
      <c r="IA377" t="e">
        <f>AND('STERLING CATALOG - FZN &amp; CHILL'!C3099,"AAAAAC2/7+o=")</f>
        <v>#VALUE!</v>
      </c>
      <c r="IB377" t="e">
        <f>AND('STERLING CATALOG - FZN &amp; CHILL'!D3099,"AAAAAC2/7+s=")</f>
        <v>#VALUE!</v>
      </c>
      <c r="IC377" t="e">
        <f>AND('STERLING CATALOG - FZN &amp; CHILL'!E3099,"AAAAAC2/7+w=")</f>
        <v>#VALUE!</v>
      </c>
      <c r="ID377" t="e">
        <f>AND('STERLING CATALOG - FZN &amp; CHILL'!F3099,"AAAAAC2/7+0=")</f>
        <v>#VALUE!</v>
      </c>
      <c r="IE377" t="e">
        <f>AND('STERLING CATALOG - FZN &amp; CHILL'!G3099,"AAAAAC2/7+4=")</f>
        <v>#VALUE!</v>
      </c>
      <c r="IF377" t="e">
        <f>AND('STERLING CATALOG - FZN &amp; CHILL'!H3099,"AAAAAC2/7+8=")</f>
        <v>#VALUE!</v>
      </c>
      <c r="IG377" t="e">
        <f>AND('STERLING CATALOG - FZN &amp; CHILL'!I3099,"AAAAAC2/7/A=")</f>
        <v>#VALUE!</v>
      </c>
      <c r="IH377" t="e">
        <f>AND('STERLING CATALOG - FZN &amp; CHILL'!J3099,"AAAAAC2/7/E=")</f>
        <v>#VALUE!</v>
      </c>
      <c r="II377">
        <f>IF('STERLING CATALOG - FZN &amp; CHILL'!3100:3100,"AAAAAC2/7/I=",0)</f>
        <v>0</v>
      </c>
      <c r="IJ377" t="e">
        <f>AND('STERLING CATALOG - FZN &amp; CHILL'!A3100,"AAAAAC2/7/M=")</f>
        <v>#VALUE!</v>
      </c>
      <c r="IK377" t="e">
        <f>AND('STERLING CATALOG - FZN &amp; CHILL'!B3100,"AAAAAC2/7/Q=")</f>
        <v>#VALUE!</v>
      </c>
      <c r="IL377" t="e">
        <f>AND('STERLING CATALOG - FZN &amp; CHILL'!C3100,"AAAAAC2/7/U=")</f>
        <v>#VALUE!</v>
      </c>
      <c r="IM377" t="e">
        <f>AND('STERLING CATALOG - FZN &amp; CHILL'!D3100,"AAAAAC2/7/Y=")</f>
        <v>#VALUE!</v>
      </c>
      <c r="IN377" t="e">
        <f>AND('STERLING CATALOG - FZN &amp; CHILL'!E3100,"AAAAAC2/7/c=")</f>
        <v>#VALUE!</v>
      </c>
      <c r="IO377" t="e">
        <f>AND('STERLING CATALOG - FZN &amp; CHILL'!F3100,"AAAAAC2/7/g=")</f>
        <v>#VALUE!</v>
      </c>
      <c r="IP377" t="e">
        <f>AND('STERLING CATALOG - FZN &amp; CHILL'!G3100,"AAAAAC2/7/k=")</f>
        <v>#VALUE!</v>
      </c>
      <c r="IQ377" t="e">
        <f>AND('STERLING CATALOG - FZN &amp; CHILL'!H3100,"AAAAAC2/7/o=")</f>
        <v>#VALUE!</v>
      </c>
      <c r="IR377" t="e">
        <f>AND('STERLING CATALOG - FZN &amp; CHILL'!I3100,"AAAAAC2/7/s=")</f>
        <v>#VALUE!</v>
      </c>
      <c r="IS377" t="e">
        <f>AND('STERLING CATALOG - FZN &amp; CHILL'!J3100,"AAAAAC2/7/w=")</f>
        <v>#VALUE!</v>
      </c>
      <c r="IT377">
        <f>IF('STERLING CATALOG - FZN &amp; CHILL'!3101:3101,"AAAAAC2/7/0=",0)</f>
        <v>0</v>
      </c>
      <c r="IU377" t="e">
        <f>AND('STERLING CATALOG - FZN &amp; CHILL'!A3101,"AAAAAC2/7/4=")</f>
        <v>#VALUE!</v>
      </c>
      <c r="IV377" t="e">
        <f>AND('STERLING CATALOG - FZN &amp; CHILL'!B3101,"AAAAAC2/7/8=")</f>
        <v>#VALUE!</v>
      </c>
    </row>
    <row r="378" spans="1:256">
      <c r="A378" t="e">
        <f>AND('STERLING CATALOG - FZN &amp; CHILL'!C3101,"AAAAAHp2VQA=")</f>
        <v>#VALUE!</v>
      </c>
      <c r="B378" t="e">
        <f>AND('STERLING CATALOG - FZN &amp; CHILL'!D3101,"AAAAAHp2VQE=")</f>
        <v>#VALUE!</v>
      </c>
      <c r="C378" t="e">
        <f>AND('STERLING CATALOG - FZN &amp; CHILL'!E3101,"AAAAAHp2VQI=")</f>
        <v>#VALUE!</v>
      </c>
      <c r="D378" t="e">
        <f>AND('STERLING CATALOG - FZN &amp; CHILL'!F3101,"AAAAAHp2VQM=")</f>
        <v>#VALUE!</v>
      </c>
      <c r="E378" t="e">
        <f>AND('STERLING CATALOG - FZN &amp; CHILL'!G3101,"AAAAAHp2VQQ=")</f>
        <v>#VALUE!</v>
      </c>
      <c r="F378" t="e">
        <f>AND('STERLING CATALOG - FZN &amp; CHILL'!H3101,"AAAAAHp2VQU=")</f>
        <v>#VALUE!</v>
      </c>
      <c r="G378" t="e">
        <f>AND('STERLING CATALOG - FZN &amp; CHILL'!I3101,"AAAAAHp2VQY=")</f>
        <v>#VALUE!</v>
      </c>
      <c r="H378" t="e">
        <f>AND('STERLING CATALOG - FZN &amp; CHILL'!J3101,"AAAAAHp2VQc=")</f>
        <v>#VALUE!</v>
      </c>
      <c r="I378" t="e">
        <f>IF('STERLING CATALOG - FZN &amp; CHILL'!3102:3102,"AAAAAHp2VQg=",0)</f>
        <v>#VALUE!</v>
      </c>
      <c r="J378" t="e">
        <f>AND('STERLING CATALOG - FZN &amp; CHILL'!A3102,"AAAAAHp2VQk=")</f>
        <v>#VALUE!</v>
      </c>
      <c r="K378" t="e">
        <f>AND('STERLING CATALOG - FZN &amp; CHILL'!B3102,"AAAAAHp2VQo=")</f>
        <v>#VALUE!</v>
      </c>
      <c r="L378" t="e">
        <f>AND('STERLING CATALOG - FZN &amp; CHILL'!C3102,"AAAAAHp2VQs=")</f>
        <v>#VALUE!</v>
      </c>
      <c r="M378" t="e">
        <f>AND('STERLING CATALOG - FZN &amp; CHILL'!D3102,"AAAAAHp2VQw=")</f>
        <v>#VALUE!</v>
      </c>
      <c r="N378" t="e">
        <f>AND('STERLING CATALOG - FZN &amp; CHILL'!E3102,"AAAAAHp2VQ0=")</f>
        <v>#VALUE!</v>
      </c>
      <c r="O378" t="e">
        <f>AND('STERLING CATALOG - FZN &amp; CHILL'!F3102,"AAAAAHp2VQ4=")</f>
        <v>#VALUE!</v>
      </c>
      <c r="P378" t="e">
        <f>AND('STERLING CATALOG - FZN &amp; CHILL'!G3102,"AAAAAHp2VQ8=")</f>
        <v>#VALUE!</v>
      </c>
      <c r="Q378" t="e">
        <f>AND('STERLING CATALOG - FZN &amp; CHILL'!H3102,"AAAAAHp2VRA=")</f>
        <v>#VALUE!</v>
      </c>
      <c r="R378" t="e">
        <f>AND('STERLING CATALOG - FZN &amp; CHILL'!I3102,"AAAAAHp2VRE=")</f>
        <v>#VALUE!</v>
      </c>
      <c r="S378" t="e">
        <f>AND('STERLING CATALOG - FZN &amp; CHILL'!J3102,"AAAAAHp2VRI=")</f>
        <v>#VALUE!</v>
      </c>
      <c r="T378">
        <f>IF('STERLING CATALOG - FZN &amp; CHILL'!3103:3103,"AAAAAHp2VRM=",0)</f>
        <v>0</v>
      </c>
      <c r="U378" t="e">
        <f>AND('STERLING CATALOG - FZN &amp; CHILL'!A3103,"AAAAAHp2VRQ=")</f>
        <v>#VALUE!</v>
      </c>
      <c r="V378" t="e">
        <f>AND('STERLING CATALOG - FZN &amp; CHILL'!B3103,"AAAAAHp2VRU=")</f>
        <v>#VALUE!</v>
      </c>
      <c r="W378" t="e">
        <f>AND('STERLING CATALOG - FZN &amp; CHILL'!C3103,"AAAAAHp2VRY=")</f>
        <v>#VALUE!</v>
      </c>
      <c r="X378" t="e">
        <f>AND('STERLING CATALOG - FZN &amp; CHILL'!D3103,"AAAAAHp2VRc=")</f>
        <v>#VALUE!</v>
      </c>
      <c r="Y378" t="e">
        <f>AND('STERLING CATALOG - FZN &amp; CHILL'!E3103,"AAAAAHp2VRg=")</f>
        <v>#VALUE!</v>
      </c>
      <c r="Z378" t="e">
        <f>AND('STERLING CATALOG - FZN &amp; CHILL'!F3103,"AAAAAHp2VRk=")</f>
        <v>#VALUE!</v>
      </c>
      <c r="AA378" t="e">
        <f>AND('STERLING CATALOG - FZN &amp; CHILL'!G3103,"AAAAAHp2VRo=")</f>
        <v>#VALUE!</v>
      </c>
      <c r="AB378" t="e">
        <f>AND('STERLING CATALOG - FZN &amp; CHILL'!H3103,"AAAAAHp2VRs=")</f>
        <v>#VALUE!</v>
      </c>
      <c r="AC378" t="e">
        <f>AND('STERLING CATALOG - FZN &amp; CHILL'!I3103,"AAAAAHp2VRw=")</f>
        <v>#VALUE!</v>
      </c>
      <c r="AD378" t="e">
        <f>AND('STERLING CATALOG - FZN &amp; CHILL'!J3103,"AAAAAHp2VR0=")</f>
        <v>#VALUE!</v>
      </c>
      <c r="AE378">
        <f>IF('STERLING CATALOG - FZN &amp; CHILL'!3104:3104,"AAAAAHp2VR4=",0)</f>
        <v>0</v>
      </c>
      <c r="AF378" t="e">
        <f>AND('STERLING CATALOG - FZN &amp; CHILL'!A3104,"AAAAAHp2VR8=")</f>
        <v>#VALUE!</v>
      </c>
      <c r="AG378" t="e">
        <f>AND('STERLING CATALOG - FZN &amp; CHILL'!B3104,"AAAAAHp2VSA=")</f>
        <v>#VALUE!</v>
      </c>
      <c r="AH378" t="e">
        <f>AND('STERLING CATALOG - FZN &amp; CHILL'!C3104,"AAAAAHp2VSE=")</f>
        <v>#VALUE!</v>
      </c>
      <c r="AI378" t="e">
        <f>AND('STERLING CATALOG - FZN &amp; CHILL'!D3104,"AAAAAHp2VSI=")</f>
        <v>#VALUE!</v>
      </c>
      <c r="AJ378" t="e">
        <f>AND('STERLING CATALOG - FZN &amp; CHILL'!E3104,"AAAAAHp2VSM=")</f>
        <v>#VALUE!</v>
      </c>
      <c r="AK378" t="e">
        <f>AND('STERLING CATALOG - FZN &amp; CHILL'!F3104,"AAAAAHp2VSQ=")</f>
        <v>#VALUE!</v>
      </c>
      <c r="AL378" t="e">
        <f>AND('STERLING CATALOG - FZN &amp; CHILL'!G3104,"AAAAAHp2VSU=")</f>
        <v>#VALUE!</v>
      </c>
      <c r="AM378" t="e">
        <f>AND('STERLING CATALOG - FZN &amp; CHILL'!H3104,"AAAAAHp2VSY=")</f>
        <v>#VALUE!</v>
      </c>
      <c r="AN378" t="e">
        <f>AND('STERLING CATALOG - FZN &amp; CHILL'!I3104,"AAAAAHp2VSc=")</f>
        <v>#VALUE!</v>
      </c>
      <c r="AO378" t="e">
        <f>AND('STERLING CATALOG - FZN &amp; CHILL'!J3104,"AAAAAHp2VSg=")</f>
        <v>#VALUE!</v>
      </c>
      <c r="AP378">
        <f>IF('STERLING CATALOG - FZN &amp; CHILL'!3105:3105,"AAAAAHp2VSk=",0)</f>
        <v>0</v>
      </c>
      <c r="AQ378" t="e">
        <f>AND('STERLING CATALOG - FZN &amp; CHILL'!A3105,"AAAAAHp2VSo=")</f>
        <v>#VALUE!</v>
      </c>
      <c r="AR378" t="e">
        <f>AND('STERLING CATALOG - FZN &amp; CHILL'!B3105,"AAAAAHp2VSs=")</f>
        <v>#VALUE!</v>
      </c>
      <c r="AS378" t="e">
        <f>AND('STERLING CATALOG - FZN &amp; CHILL'!C3105,"AAAAAHp2VSw=")</f>
        <v>#VALUE!</v>
      </c>
      <c r="AT378" t="e">
        <f>AND('STERLING CATALOG - FZN &amp; CHILL'!D3105,"AAAAAHp2VS0=")</f>
        <v>#VALUE!</v>
      </c>
      <c r="AU378" t="e">
        <f>AND('STERLING CATALOG - FZN &amp; CHILL'!E3105,"AAAAAHp2VS4=")</f>
        <v>#VALUE!</v>
      </c>
      <c r="AV378" t="e">
        <f>AND('STERLING CATALOG - FZN &amp; CHILL'!F3105,"AAAAAHp2VS8=")</f>
        <v>#VALUE!</v>
      </c>
      <c r="AW378" t="e">
        <f>AND('STERLING CATALOG - FZN &amp; CHILL'!G3105,"AAAAAHp2VTA=")</f>
        <v>#VALUE!</v>
      </c>
      <c r="AX378" t="e">
        <f>AND('STERLING CATALOG - FZN &amp; CHILL'!H3105,"AAAAAHp2VTE=")</f>
        <v>#VALUE!</v>
      </c>
      <c r="AY378" t="e">
        <f>AND('STERLING CATALOG - FZN &amp; CHILL'!I3105,"AAAAAHp2VTI=")</f>
        <v>#VALUE!</v>
      </c>
      <c r="AZ378" t="e">
        <f>AND('STERLING CATALOG - FZN &amp; CHILL'!J3105,"AAAAAHp2VTM=")</f>
        <v>#VALUE!</v>
      </c>
      <c r="BA378">
        <f>IF('STERLING CATALOG - FZN &amp; CHILL'!3106:3106,"AAAAAHp2VTQ=",0)</f>
        <v>0</v>
      </c>
      <c r="BB378" t="e">
        <f>AND('STERLING CATALOG - FZN &amp; CHILL'!A3106,"AAAAAHp2VTU=")</f>
        <v>#VALUE!</v>
      </c>
      <c r="BC378" t="e">
        <f>AND('STERLING CATALOG - FZN &amp; CHILL'!B3106,"AAAAAHp2VTY=")</f>
        <v>#VALUE!</v>
      </c>
      <c r="BD378" t="e">
        <f>AND('STERLING CATALOG - FZN &amp; CHILL'!C3106,"AAAAAHp2VTc=")</f>
        <v>#VALUE!</v>
      </c>
      <c r="BE378" t="e">
        <f>AND('STERLING CATALOG - FZN &amp; CHILL'!D3106,"AAAAAHp2VTg=")</f>
        <v>#VALUE!</v>
      </c>
      <c r="BF378" t="e">
        <f>AND('STERLING CATALOG - FZN &amp; CHILL'!E3106,"AAAAAHp2VTk=")</f>
        <v>#VALUE!</v>
      </c>
      <c r="BG378" t="e">
        <f>AND('STERLING CATALOG - FZN &amp; CHILL'!F3106,"AAAAAHp2VTo=")</f>
        <v>#VALUE!</v>
      </c>
      <c r="BH378" t="e">
        <f>AND('STERLING CATALOG - FZN &amp; CHILL'!G3106,"AAAAAHp2VTs=")</f>
        <v>#VALUE!</v>
      </c>
      <c r="BI378" t="e">
        <f>AND('STERLING CATALOG - FZN &amp; CHILL'!H3106,"AAAAAHp2VTw=")</f>
        <v>#VALUE!</v>
      </c>
      <c r="BJ378" t="e">
        <f>AND('STERLING CATALOG - FZN &amp; CHILL'!I3106,"AAAAAHp2VT0=")</f>
        <v>#VALUE!</v>
      </c>
      <c r="BK378" t="e">
        <f>AND('STERLING CATALOG - FZN &amp; CHILL'!J3106,"AAAAAHp2VT4=")</f>
        <v>#VALUE!</v>
      </c>
      <c r="BL378">
        <f>IF('STERLING CATALOG - FZN &amp; CHILL'!3107:3107,"AAAAAHp2VT8=",0)</f>
        <v>0</v>
      </c>
      <c r="BM378" t="e">
        <f>AND('STERLING CATALOG - FZN &amp; CHILL'!A3107,"AAAAAHp2VUA=")</f>
        <v>#VALUE!</v>
      </c>
      <c r="BN378" t="e">
        <f>AND('STERLING CATALOG - FZN &amp; CHILL'!B3107,"AAAAAHp2VUE=")</f>
        <v>#VALUE!</v>
      </c>
      <c r="BO378" t="e">
        <f>AND('STERLING CATALOG - FZN &amp; CHILL'!C3107,"AAAAAHp2VUI=")</f>
        <v>#VALUE!</v>
      </c>
      <c r="BP378" t="e">
        <f>AND('STERLING CATALOG - FZN &amp; CHILL'!D3107,"AAAAAHp2VUM=")</f>
        <v>#VALUE!</v>
      </c>
      <c r="BQ378" t="e">
        <f>AND('STERLING CATALOG - FZN &amp; CHILL'!E3107,"AAAAAHp2VUQ=")</f>
        <v>#VALUE!</v>
      </c>
      <c r="BR378" t="e">
        <f>AND('STERLING CATALOG - FZN &amp; CHILL'!F3107,"AAAAAHp2VUU=")</f>
        <v>#VALUE!</v>
      </c>
      <c r="BS378" t="e">
        <f>AND('STERLING CATALOG - FZN &amp; CHILL'!G3107,"AAAAAHp2VUY=")</f>
        <v>#VALUE!</v>
      </c>
      <c r="BT378" t="e">
        <f>AND('STERLING CATALOG - FZN &amp; CHILL'!H3107,"AAAAAHp2VUc=")</f>
        <v>#VALUE!</v>
      </c>
      <c r="BU378" t="e">
        <f>AND('STERLING CATALOG - FZN &amp; CHILL'!I3107,"AAAAAHp2VUg=")</f>
        <v>#VALUE!</v>
      </c>
      <c r="BV378" t="e">
        <f>AND('STERLING CATALOG - FZN &amp; CHILL'!J3107,"AAAAAHp2VUk=")</f>
        <v>#VALUE!</v>
      </c>
      <c r="BW378">
        <f>IF('STERLING CATALOG - FZN &amp; CHILL'!3108:3108,"AAAAAHp2VUo=",0)</f>
        <v>0</v>
      </c>
      <c r="BX378" t="e">
        <f>AND('STERLING CATALOG - FZN &amp; CHILL'!A3108,"AAAAAHp2VUs=")</f>
        <v>#VALUE!</v>
      </c>
      <c r="BY378" t="e">
        <f>AND('STERLING CATALOG - FZN &amp; CHILL'!B3108,"AAAAAHp2VUw=")</f>
        <v>#VALUE!</v>
      </c>
      <c r="BZ378" t="e">
        <f>AND('STERLING CATALOG - FZN &amp; CHILL'!C3108,"AAAAAHp2VU0=")</f>
        <v>#VALUE!</v>
      </c>
      <c r="CA378" t="e">
        <f>AND('STERLING CATALOG - FZN &amp; CHILL'!D3108,"AAAAAHp2VU4=")</f>
        <v>#VALUE!</v>
      </c>
      <c r="CB378" t="e">
        <f>AND('STERLING CATALOG - FZN &amp; CHILL'!E3108,"AAAAAHp2VU8=")</f>
        <v>#VALUE!</v>
      </c>
      <c r="CC378" t="e">
        <f>AND('STERLING CATALOG - FZN &amp; CHILL'!F3108,"AAAAAHp2VVA=")</f>
        <v>#VALUE!</v>
      </c>
      <c r="CD378" t="e">
        <f>AND('STERLING CATALOG - FZN &amp; CHILL'!G3108,"AAAAAHp2VVE=")</f>
        <v>#VALUE!</v>
      </c>
      <c r="CE378" t="e">
        <f>AND('STERLING CATALOG - FZN &amp; CHILL'!H3108,"AAAAAHp2VVI=")</f>
        <v>#VALUE!</v>
      </c>
      <c r="CF378" t="e">
        <f>AND('STERLING CATALOG - FZN &amp; CHILL'!I3108,"AAAAAHp2VVM=")</f>
        <v>#VALUE!</v>
      </c>
      <c r="CG378" t="e">
        <f>AND('STERLING CATALOG - FZN &amp; CHILL'!J3108,"AAAAAHp2VVQ=")</f>
        <v>#VALUE!</v>
      </c>
      <c r="CH378">
        <f>IF('STERLING CATALOG - FZN &amp; CHILL'!3109:3109,"AAAAAHp2VVU=",0)</f>
        <v>0</v>
      </c>
      <c r="CI378" t="e">
        <f>AND('STERLING CATALOG - FZN &amp; CHILL'!A3109,"AAAAAHp2VVY=")</f>
        <v>#VALUE!</v>
      </c>
      <c r="CJ378" t="e">
        <f>AND('STERLING CATALOG - FZN &amp; CHILL'!B3109,"AAAAAHp2VVc=")</f>
        <v>#VALUE!</v>
      </c>
      <c r="CK378" t="e">
        <f>AND('STERLING CATALOG - FZN &amp; CHILL'!C3109,"AAAAAHp2VVg=")</f>
        <v>#VALUE!</v>
      </c>
      <c r="CL378" t="e">
        <f>AND('STERLING CATALOG - FZN &amp; CHILL'!D3109,"AAAAAHp2VVk=")</f>
        <v>#VALUE!</v>
      </c>
      <c r="CM378" t="e">
        <f>AND('STERLING CATALOG - FZN &amp; CHILL'!E3109,"AAAAAHp2VVo=")</f>
        <v>#VALUE!</v>
      </c>
      <c r="CN378" t="e">
        <f>AND('STERLING CATALOG - FZN &amp; CHILL'!F3109,"AAAAAHp2VVs=")</f>
        <v>#VALUE!</v>
      </c>
      <c r="CO378" t="e">
        <f>AND('STERLING CATALOG - FZN &amp; CHILL'!G3109,"AAAAAHp2VVw=")</f>
        <v>#VALUE!</v>
      </c>
      <c r="CP378" t="e">
        <f>AND('STERLING CATALOG - FZN &amp; CHILL'!H3109,"AAAAAHp2VV0=")</f>
        <v>#VALUE!</v>
      </c>
      <c r="CQ378" t="e">
        <f>AND('STERLING CATALOG - FZN &amp; CHILL'!I3109,"AAAAAHp2VV4=")</f>
        <v>#VALUE!</v>
      </c>
      <c r="CR378" t="e">
        <f>AND('STERLING CATALOG - FZN &amp; CHILL'!J3109,"AAAAAHp2VV8=")</f>
        <v>#VALUE!</v>
      </c>
      <c r="CS378">
        <f>IF('STERLING CATALOG - FZN &amp; CHILL'!3110:3110,"AAAAAHp2VWA=",0)</f>
        <v>0</v>
      </c>
      <c r="CT378" t="e">
        <f>AND('STERLING CATALOG - FZN &amp; CHILL'!A3110,"AAAAAHp2VWE=")</f>
        <v>#VALUE!</v>
      </c>
      <c r="CU378" t="e">
        <f>AND('STERLING CATALOG - FZN &amp; CHILL'!B3110,"AAAAAHp2VWI=")</f>
        <v>#VALUE!</v>
      </c>
      <c r="CV378" t="e">
        <f>AND('STERLING CATALOG - FZN &amp; CHILL'!C3110,"AAAAAHp2VWM=")</f>
        <v>#VALUE!</v>
      </c>
      <c r="CW378" t="e">
        <f>AND('STERLING CATALOG - FZN &amp; CHILL'!D3110,"AAAAAHp2VWQ=")</f>
        <v>#VALUE!</v>
      </c>
      <c r="CX378" t="e">
        <f>AND('STERLING CATALOG - FZN &amp; CHILL'!E3110,"AAAAAHp2VWU=")</f>
        <v>#VALUE!</v>
      </c>
      <c r="CY378" t="e">
        <f>AND('STERLING CATALOG - FZN &amp; CHILL'!F3110,"AAAAAHp2VWY=")</f>
        <v>#VALUE!</v>
      </c>
      <c r="CZ378" t="e">
        <f>AND('STERLING CATALOG - FZN &amp; CHILL'!G3110,"AAAAAHp2VWc=")</f>
        <v>#VALUE!</v>
      </c>
      <c r="DA378" t="e">
        <f>AND('STERLING CATALOG - FZN &amp; CHILL'!H3110,"AAAAAHp2VWg=")</f>
        <v>#VALUE!</v>
      </c>
      <c r="DB378" t="e">
        <f>AND('STERLING CATALOG - FZN &amp; CHILL'!I3110,"AAAAAHp2VWk=")</f>
        <v>#VALUE!</v>
      </c>
      <c r="DC378" t="e">
        <f>AND('STERLING CATALOG - FZN &amp; CHILL'!J3110,"AAAAAHp2VWo=")</f>
        <v>#VALUE!</v>
      </c>
      <c r="DD378">
        <f>IF('STERLING CATALOG - FZN &amp; CHILL'!3111:3111,"AAAAAHp2VWs=",0)</f>
        <v>0</v>
      </c>
      <c r="DE378" t="e">
        <f>AND('STERLING CATALOG - FZN &amp; CHILL'!A3111,"AAAAAHp2VWw=")</f>
        <v>#VALUE!</v>
      </c>
      <c r="DF378" t="e">
        <f>AND('STERLING CATALOG - FZN &amp; CHILL'!B3111,"AAAAAHp2VW0=")</f>
        <v>#VALUE!</v>
      </c>
      <c r="DG378" t="e">
        <f>AND('STERLING CATALOG - FZN &amp; CHILL'!C3111,"AAAAAHp2VW4=")</f>
        <v>#VALUE!</v>
      </c>
      <c r="DH378" t="e">
        <f>AND('STERLING CATALOG - FZN &amp; CHILL'!D3111,"AAAAAHp2VW8=")</f>
        <v>#VALUE!</v>
      </c>
      <c r="DI378" t="e">
        <f>AND('STERLING CATALOG - FZN &amp; CHILL'!E3111,"AAAAAHp2VXA=")</f>
        <v>#VALUE!</v>
      </c>
      <c r="DJ378" t="e">
        <f>AND('STERLING CATALOG - FZN &amp; CHILL'!F3111,"AAAAAHp2VXE=")</f>
        <v>#VALUE!</v>
      </c>
      <c r="DK378" t="e">
        <f>AND('STERLING CATALOG - FZN &amp; CHILL'!G3111,"AAAAAHp2VXI=")</f>
        <v>#VALUE!</v>
      </c>
      <c r="DL378" t="e">
        <f>AND('STERLING CATALOG - FZN &amp; CHILL'!H3111,"AAAAAHp2VXM=")</f>
        <v>#VALUE!</v>
      </c>
      <c r="DM378" t="e">
        <f>AND('STERLING CATALOG - FZN &amp; CHILL'!I3111,"AAAAAHp2VXQ=")</f>
        <v>#VALUE!</v>
      </c>
      <c r="DN378" t="e">
        <f>AND('STERLING CATALOG - FZN &amp; CHILL'!J3111,"AAAAAHp2VXU=")</f>
        <v>#VALUE!</v>
      </c>
      <c r="DO378">
        <f>IF('STERLING CATALOG - FZN &amp; CHILL'!3112:3112,"AAAAAHp2VXY=",0)</f>
        <v>0</v>
      </c>
      <c r="DP378" t="e">
        <f>AND('STERLING CATALOG - FZN &amp; CHILL'!A3112,"AAAAAHp2VXc=")</f>
        <v>#VALUE!</v>
      </c>
      <c r="DQ378" t="e">
        <f>AND('STERLING CATALOG - FZN &amp; CHILL'!B3112,"AAAAAHp2VXg=")</f>
        <v>#VALUE!</v>
      </c>
      <c r="DR378" t="e">
        <f>AND('STERLING CATALOG - FZN &amp; CHILL'!C3112,"AAAAAHp2VXk=")</f>
        <v>#VALUE!</v>
      </c>
      <c r="DS378" t="e">
        <f>AND('STERLING CATALOG - FZN &amp; CHILL'!D3112,"AAAAAHp2VXo=")</f>
        <v>#VALUE!</v>
      </c>
      <c r="DT378" t="e">
        <f>AND('STERLING CATALOG - FZN &amp; CHILL'!E3112,"AAAAAHp2VXs=")</f>
        <v>#VALUE!</v>
      </c>
      <c r="DU378" t="e">
        <f>AND('STERLING CATALOG - FZN &amp; CHILL'!F3112,"AAAAAHp2VXw=")</f>
        <v>#VALUE!</v>
      </c>
      <c r="DV378" t="e">
        <f>AND('STERLING CATALOG - FZN &amp; CHILL'!G3112,"AAAAAHp2VX0=")</f>
        <v>#VALUE!</v>
      </c>
      <c r="DW378" t="e">
        <f>AND('STERLING CATALOG - FZN &amp; CHILL'!H3112,"AAAAAHp2VX4=")</f>
        <v>#VALUE!</v>
      </c>
      <c r="DX378" t="e">
        <f>AND('STERLING CATALOG - FZN &amp; CHILL'!I3112,"AAAAAHp2VX8=")</f>
        <v>#VALUE!</v>
      </c>
      <c r="DY378" t="e">
        <f>AND('STERLING CATALOG - FZN &amp; CHILL'!J3112,"AAAAAHp2VYA=")</f>
        <v>#VALUE!</v>
      </c>
      <c r="DZ378">
        <f>IF('STERLING CATALOG - FZN &amp; CHILL'!3113:3113,"AAAAAHp2VYE=",0)</f>
        <v>0</v>
      </c>
      <c r="EA378" t="e">
        <f>AND('STERLING CATALOG - FZN &amp; CHILL'!A3113,"AAAAAHp2VYI=")</f>
        <v>#VALUE!</v>
      </c>
      <c r="EB378" t="e">
        <f>AND('STERLING CATALOG - FZN &amp; CHILL'!B3113,"AAAAAHp2VYM=")</f>
        <v>#VALUE!</v>
      </c>
      <c r="EC378" t="e">
        <f>AND('STERLING CATALOG - FZN &amp; CHILL'!C3113,"AAAAAHp2VYQ=")</f>
        <v>#VALUE!</v>
      </c>
      <c r="ED378" t="e">
        <f>AND('STERLING CATALOG - FZN &amp; CHILL'!D3113,"AAAAAHp2VYU=")</f>
        <v>#VALUE!</v>
      </c>
      <c r="EE378" t="e">
        <f>AND('STERLING CATALOG - FZN &amp; CHILL'!E3113,"AAAAAHp2VYY=")</f>
        <v>#VALUE!</v>
      </c>
      <c r="EF378" t="e">
        <f>AND('STERLING CATALOG - FZN &amp; CHILL'!F3113,"AAAAAHp2VYc=")</f>
        <v>#VALUE!</v>
      </c>
      <c r="EG378" t="e">
        <f>AND('STERLING CATALOG - FZN &amp; CHILL'!G3113,"AAAAAHp2VYg=")</f>
        <v>#VALUE!</v>
      </c>
      <c r="EH378" t="e">
        <f>AND('STERLING CATALOG - FZN &amp; CHILL'!H3113,"AAAAAHp2VYk=")</f>
        <v>#VALUE!</v>
      </c>
      <c r="EI378" t="e">
        <f>AND('STERLING CATALOG - FZN &amp; CHILL'!I3113,"AAAAAHp2VYo=")</f>
        <v>#VALUE!</v>
      </c>
      <c r="EJ378" t="e">
        <f>AND('STERLING CATALOG - FZN &amp; CHILL'!J3113,"AAAAAHp2VYs=")</f>
        <v>#VALUE!</v>
      </c>
      <c r="EK378">
        <f>IF('STERLING CATALOG - FZN &amp; CHILL'!3114:3114,"AAAAAHp2VYw=",0)</f>
        <v>0</v>
      </c>
      <c r="EL378" t="e">
        <f>AND('STERLING CATALOG - FZN &amp; CHILL'!A3114,"AAAAAHp2VY0=")</f>
        <v>#VALUE!</v>
      </c>
      <c r="EM378" t="e">
        <f>AND('STERLING CATALOG - FZN &amp; CHILL'!B3114,"AAAAAHp2VY4=")</f>
        <v>#VALUE!</v>
      </c>
      <c r="EN378" t="e">
        <f>AND('STERLING CATALOG - FZN &amp; CHILL'!C3114,"AAAAAHp2VY8=")</f>
        <v>#VALUE!</v>
      </c>
      <c r="EO378" t="e">
        <f>AND('STERLING CATALOG - FZN &amp; CHILL'!D3114,"AAAAAHp2VZA=")</f>
        <v>#VALUE!</v>
      </c>
      <c r="EP378" t="e">
        <f>AND('STERLING CATALOG - FZN &amp; CHILL'!E3114,"AAAAAHp2VZE=")</f>
        <v>#VALUE!</v>
      </c>
      <c r="EQ378" t="e">
        <f>AND('STERLING CATALOG - FZN &amp; CHILL'!F3114,"AAAAAHp2VZI=")</f>
        <v>#VALUE!</v>
      </c>
      <c r="ER378" t="e">
        <f>AND('STERLING CATALOG - FZN &amp; CHILL'!G3114,"AAAAAHp2VZM=")</f>
        <v>#VALUE!</v>
      </c>
      <c r="ES378" t="e">
        <f>AND('STERLING CATALOG - FZN &amp; CHILL'!H3114,"AAAAAHp2VZQ=")</f>
        <v>#VALUE!</v>
      </c>
      <c r="ET378" t="e">
        <f>AND('STERLING CATALOG - FZN &amp; CHILL'!I3114,"AAAAAHp2VZU=")</f>
        <v>#VALUE!</v>
      </c>
      <c r="EU378" t="e">
        <f>AND('STERLING CATALOG - FZN &amp; CHILL'!J3114,"AAAAAHp2VZY=")</f>
        <v>#VALUE!</v>
      </c>
      <c r="EV378">
        <f>IF('STERLING CATALOG - FZN &amp; CHILL'!3115:3115,"AAAAAHp2VZc=",0)</f>
        <v>0</v>
      </c>
      <c r="EW378" t="e">
        <f>AND('STERLING CATALOG - FZN &amp; CHILL'!A3115,"AAAAAHp2VZg=")</f>
        <v>#VALUE!</v>
      </c>
      <c r="EX378" t="e">
        <f>AND('STERLING CATALOG - FZN &amp; CHILL'!B3115,"AAAAAHp2VZk=")</f>
        <v>#VALUE!</v>
      </c>
      <c r="EY378" t="e">
        <f>AND('STERLING CATALOG - FZN &amp; CHILL'!C3115,"AAAAAHp2VZo=")</f>
        <v>#VALUE!</v>
      </c>
      <c r="EZ378" t="e">
        <f>AND('STERLING CATALOG - FZN &amp; CHILL'!D3115,"AAAAAHp2VZs=")</f>
        <v>#VALUE!</v>
      </c>
      <c r="FA378" t="e">
        <f>AND('STERLING CATALOG - FZN &amp; CHILL'!E3115,"AAAAAHp2VZw=")</f>
        <v>#VALUE!</v>
      </c>
      <c r="FB378" t="e">
        <f>AND('STERLING CATALOG - FZN &amp; CHILL'!F3115,"AAAAAHp2VZ0=")</f>
        <v>#VALUE!</v>
      </c>
      <c r="FC378" t="e">
        <f>AND('STERLING CATALOG - FZN &amp; CHILL'!G3115,"AAAAAHp2VZ4=")</f>
        <v>#VALUE!</v>
      </c>
      <c r="FD378" t="e">
        <f>AND('STERLING CATALOG - FZN &amp; CHILL'!H3115,"AAAAAHp2VZ8=")</f>
        <v>#VALUE!</v>
      </c>
      <c r="FE378" t="e">
        <f>AND('STERLING CATALOG - FZN &amp; CHILL'!I3115,"AAAAAHp2VaA=")</f>
        <v>#VALUE!</v>
      </c>
      <c r="FF378" t="e">
        <f>AND('STERLING CATALOG - FZN &amp; CHILL'!J3115,"AAAAAHp2VaE=")</f>
        <v>#VALUE!</v>
      </c>
      <c r="FG378">
        <f>IF('STERLING CATALOG - FZN &amp; CHILL'!3116:3116,"AAAAAHp2VaI=",0)</f>
        <v>0</v>
      </c>
      <c r="FH378" t="e">
        <f>AND('STERLING CATALOG - FZN &amp; CHILL'!A3116,"AAAAAHp2VaM=")</f>
        <v>#VALUE!</v>
      </c>
      <c r="FI378" t="e">
        <f>AND('STERLING CATALOG - FZN &amp; CHILL'!B3116,"AAAAAHp2VaQ=")</f>
        <v>#VALUE!</v>
      </c>
      <c r="FJ378" t="e">
        <f>AND('STERLING CATALOG - FZN &amp; CHILL'!C3116,"AAAAAHp2VaU=")</f>
        <v>#VALUE!</v>
      </c>
      <c r="FK378" t="e">
        <f>AND('STERLING CATALOG - FZN &amp; CHILL'!D3116,"AAAAAHp2VaY=")</f>
        <v>#VALUE!</v>
      </c>
      <c r="FL378" t="e">
        <f>AND('STERLING CATALOG - FZN &amp; CHILL'!E3116,"AAAAAHp2Vac=")</f>
        <v>#VALUE!</v>
      </c>
      <c r="FM378" t="e">
        <f>AND('STERLING CATALOG - FZN &amp; CHILL'!F3116,"AAAAAHp2Vag=")</f>
        <v>#VALUE!</v>
      </c>
      <c r="FN378" t="e">
        <f>AND('STERLING CATALOG - FZN &amp; CHILL'!G3116,"AAAAAHp2Vak=")</f>
        <v>#VALUE!</v>
      </c>
      <c r="FO378" t="e">
        <f>AND('STERLING CATALOG - FZN &amp; CHILL'!H3116,"AAAAAHp2Vao=")</f>
        <v>#VALUE!</v>
      </c>
      <c r="FP378" t="e">
        <f>AND('STERLING CATALOG - FZN &amp; CHILL'!I3116,"AAAAAHp2Vas=")</f>
        <v>#VALUE!</v>
      </c>
      <c r="FQ378" t="e">
        <f>AND('STERLING CATALOG - FZN &amp; CHILL'!J3116,"AAAAAHp2Vaw=")</f>
        <v>#VALUE!</v>
      </c>
      <c r="FR378">
        <f>IF('STERLING CATALOG - FZN &amp; CHILL'!3117:3117,"AAAAAHp2Va0=",0)</f>
        <v>0</v>
      </c>
      <c r="FS378" t="e">
        <f>AND('STERLING CATALOG - FZN &amp; CHILL'!A3117,"AAAAAHp2Va4=")</f>
        <v>#VALUE!</v>
      </c>
      <c r="FT378" t="e">
        <f>AND('STERLING CATALOG - FZN &amp; CHILL'!B3117,"AAAAAHp2Va8=")</f>
        <v>#VALUE!</v>
      </c>
      <c r="FU378" t="e">
        <f>AND('STERLING CATALOG - FZN &amp; CHILL'!C3117,"AAAAAHp2VbA=")</f>
        <v>#VALUE!</v>
      </c>
      <c r="FV378" t="e">
        <f>AND('STERLING CATALOG - FZN &amp; CHILL'!D3117,"AAAAAHp2VbE=")</f>
        <v>#VALUE!</v>
      </c>
      <c r="FW378" t="e">
        <f>AND('STERLING CATALOG - FZN &amp; CHILL'!E3117,"AAAAAHp2VbI=")</f>
        <v>#VALUE!</v>
      </c>
      <c r="FX378" t="e">
        <f>AND('STERLING CATALOG - FZN &amp; CHILL'!F3117,"AAAAAHp2VbM=")</f>
        <v>#VALUE!</v>
      </c>
      <c r="FY378" t="e">
        <f>AND('STERLING CATALOG - FZN &amp; CHILL'!G3117,"AAAAAHp2VbQ=")</f>
        <v>#VALUE!</v>
      </c>
      <c r="FZ378" t="e">
        <f>AND('STERLING CATALOG - FZN &amp; CHILL'!H3117,"AAAAAHp2VbU=")</f>
        <v>#VALUE!</v>
      </c>
      <c r="GA378" t="e">
        <f>AND('STERLING CATALOG - FZN &amp; CHILL'!I3117,"AAAAAHp2VbY=")</f>
        <v>#VALUE!</v>
      </c>
      <c r="GB378" t="e">
        <f>AND('STERLING CATALOG - FZN &amp; CHILL'!J3117,"AAAAAHp2Vbc=")</f>
        <v>#VALUE!</v>
      </c>
      <c r="GC378">
        <f>IF('STERLING CATALOG - FZN &amp; CHILL'!3118:3118,"AAAAAHp2Vbg=",0)</f>
        <v>0</v>
      </c>
      <c r="GD378" t="e">
        <f>AND('STERLING CATALOG - FZN &amp; CHILL'!A3118,"AAAAAHp2Vbk=")</f>
        <v>#VALUE!</v>
      </c>
      <c r="GE378" t="e">
        <f>AND('STERLING CATALOG - FZN &amp; CHILL'!B3118,"AAAAAHp2Vbo=")</f>
        <v>#VALUE!</v>
      </c>
      <c r="GF378" t="e">
        <f>AND('STERLING CATALOG - FZN &amp; CHILL'!C3118,"AAAAAHp2Vbs=")</f>
        <v>#VALUE!</v>
      </c>
      <c r="GG378" t="e">
        <f>AND('STERLING CATALOG - FZN &amp; CHILL'!D3118,"AAAAAHp2Vbw=")</f>
        <v>#VALUE!</v>
      </c>
      <c r="GH378" t="e">
        <f>AND('STERLING CATALOG - FZN &amp; CHILL'!E3118,"AAAAAHp2Vb0=")</f>
        <v>#VALUE!</v>
      </c>
      <c r="GI378" t="e">
        <f>AND('STERLING CATALOG - FZN &amp; CHILL'!F3118,"AAAAAHp2Vb4=")</f>
        <v>#VALUE!</v>
      </c>
      <c r="GJ378" t="e">
        <f>AND('STERLING CATALOG - FZN &amp; CHILL'!G3118,"AAAAAHp2Vb8=")</f>
        <v>#VALUE!</v>
      </c>
      <c r="GK378" t="e">
        <f>AND('STERLING CATALOG - FZN &amp; CHILL'!H3118,"AAAAAHp2VcA=")</f>
        <v>#VALUE!</v>
      </c>
      <c r="GL378" t="e">
        <f>AND('STERLING CATALOG - FZN &amp; CHILL'!I3118,"AAAAAHp2VcE=")</f>
        <v>#VALUE!</v>
      </c>
      <c r="GM378" t="e">
        <f>AND('STERLING CATALOG - FZN &amp; CHILL'!J3118,"AAAAAHp2VcI=")</f>
        <v>#VALUE!</v>
      </c>
      <c r="GN378">
        <f>IF('STERLING CATALOG - FZN &amp; CHILL'!3119:3119,"AAAAAHp2VcM=",0)</f>
        <v>0</v>
      </c>
      <c r="GO378" t="e">
        <f>AND('STERLING CATALOG - FZN &amp; CHILL'!A3119,"AAAAAHp2VcQ=")</f>
        <v>#VALUE!</v>
      </c>
      <c r="GP378" t="e">
        <f>AND('STERLING CATALOG - FZN &amp; CHILL'!B3119,"AAAAAHp2VcU=")</f>
        <v>#VALUE!</v>
      </c>
      <c r="GQ378" t="e">
        <f>AND('STERLING CATALOG - FZN &amp; CHILL'!C3119,"AAAAAHp2VcY=")</f>
        <v>#VALUE!</v>
      </c>
      <c r="GR378" t="e">
        <f>AND('STERLING CATALOG - FZN &amp; CHILL'!D3119,"AAAAAHp2Vcc=")</f>
        <v>#VALUE!</v>
      </c>
      <c r="GS378" t="e">
        <f>AND('STERLING CATALOG - FZN &amp; CHILL'!E3119,"AAAAAHp2Vcg=")</f>
        <v>#VALUE!</v>
      </c>
      <c r="GT378" t="e">
        <f>AND('STERLING CATALOG - FZN &amp; CHILL'!F3119,"AAAAAHp2Vck=")</f>
        <v>#VALUE!</v>
      </c>
      <c r="GU378" t="e">
        <f>AND('STERLING CATALOG - FZN &amp; CHILL'!G3119,"AAAAAHp2Vco=")</f>
        <v>#VALUE!</v>
      </c>
      <c r="GV378" t="e">
        <f>AND('STERLING CATALOG - FZN &amp; CHILL'!H3119,"AAAAAHp2Vcs=")</f>
        <v>#VALUE!</v>
      </c>
      <c r="GW378" t="e">
        <f>AND('STERLING CATALOG - FZN &amp; CHILL'!I3119,"AAAAAHp2Vcw=")</f>
        <v>#VALUE!</v>
      </c>
      <c r="GX378" t="e">
        <f>AND('STERLING CATALOG - FZN &amp; CHILL'!J3119,"AAAAAHp2Vc0=")</f>
        <v>#VALUE!</v>
      </c>
      <c r="GY378">
        <f>IF('STERLING CATALOG - FZN &amp; CHILL'!3120:3120,"AAAAAHp2Vc4=",0)</f>
        <v>0</v>
      </c>
      <c r="GZ378" t="e">
        <f>AND('STERLING CATALOG - FZN &amp; CHILL'!A3120,"AAAAAHp2Vc8=")</f>
        <v>#VALUE!</v>
      </c>
      <c r="HA378" t="e">
        <f>AND('STERLING CATALOG - FZN &amp; CHILL'!B3120,"AAAAAHp2VdA=")</f>
        <v>#VALUE!</v>
      </c>
      <c r="HB378" t="e">
        <f>AND('STERLING CATALOG - FZN &amp; CHILL'!C3120,"AAAAAHp2VdE=")</f>
        <v>#VALUE!</v>
      </c>
      <c r="HC378" t="e">
        <f>AND('STERLING CATALOG - FZN &amp; CHILL'!D3120,"AAAAAHp2VdI=")</f>
        <v>#VALUE!</v>
      </c>
      <c r="HD378" t="e">
        <f>AND('STERLING CATALOG - FZN &amp; CHILL'!E3120,"AAAAAHp2VdM=")</f>
        <v>#VALUE!</v>
      </c>
      <c r="HE378" t="e">
        <f>AND('STERLING CATALOG - FZN &amp; CHILL'!F3120,"AAAAAHp2VdQ=")</f>
        <v>#VALUE!</v>
      </c>
      <c r="HF378" t="e">
        <f>AND('STERLING CATALOG - FZN &amp; CHILL'!G3120,"AAAAAHp2VdU=")</f>
        <v>#VALUE!</v>
      </c>
      <c r="HG378" t="e">
        <f>AND('STERLING CATALOG - FZN &amp; CHILL'!H3120,"AAAAAHp2VdY=")</f>
        <v>#VALUE!</v>
      </c>
      <c r="HH378" t="e">
        <f>AND('STERLING CATALOG - FZN &amp; CHILL'!I3120,"AAAAAHp2Vdc=")</f>
        <v>#VALUE!</v>
      </c>
      <c r="HI378" t="e">
        <f>AND('STERLING CATALOG - FZN &amp; CHILL'!J3120,"AAAAAHp2Vdg=")</f>
        <v>#VALUE!</v>
      </c>
      <c r="HJ378">
        <f>IF('STERLING CATALOG - FZN &amp; CHILL'!3121:3121,"AAAAAHp2Vdk=",0)</f>
        <v>0</v>
      </c>
      <c r="HK378" t="e">
        <f>AND('STERLING CATALOG - FZN &amp; CHILL'!A3121,"AAAAAHp2Vdo=")</f>
        <v>#VALUE!</v>
      </c>
      <c r="HL378" t="e">
        <f>AND('STERLING CATALOG - FZN &amp; CHILL'!B3121,"AAAAAHp2Vds=")</f>
        <v>#VALUE!</v>
      </c>
      <c r="HM378" t="e">
        <f>AND('STERLING CATALOG - FZN &amp; CHILL'!C3121,"AAAAAHp2Vdw=")</f>
        <v>#VALUE!</v>
      </c>
      <c r="HN378" t="e">
        <f>AND('STERLING CATALOG - FZN &amp; CHILL'!D3121,"AAAAAHp2Vd0=")</f>
        <v>#VALUE!</v>
      </c>
      <c r="HO378" t="e">
        <f>AND('STERLING CATALOG - FZN &amp; CHILL'!E3121,"AAAAAHp2Vd4=")</f>
        <v>#VALUE!</v>
      </c>
      <c r="HP378" t="e">
        <f>AND('STERLING CATALOG - FZN &amp; CHILL'!F3121,"AAAAAHp2Vd8=")</f>
        <v>#VALUE!</v>
      </c>
      <c r="HQ378" t="e">
        <f>AND('STERLING CATALOG - FZN &amp; CHILL'!G3121,"AAAAAHp2VeA=")</f>
        <v>#VALUE!</v>
      </c>
      <c r="HR378" t="e">
        <f>AND('STERLING CATALOG - FZN &amp; CHILL'!H3121,"AAAAAHp2VeE=")</f>
        <v>#VALUE!</v>
      </c>
      <c r="HS378" t="e">
        <f>AND('STERLING CATALOG - FZN &amp; CHILL'!I3121,"AAAAAHp2VeI=")</f>
        <v>#VALUE!</v>
      </c>
      <c r="HT378" t="e">
        <f>AND('STERLING CATALOG - FZN &amp; CHILL'!J3121,"AAAAAHp2VeM=")</f>
        <v>#VALUE!</v>
      </c>
      <c r="HU378">
        <f>IF('STERLING CATALOG - FZN &amp; CHILL'!3122:3122,"AAAAAHp2VeQ=",0)</f>
        <v>0</v>
      </c>
      <c r="HV378" t="e">
        <f>AND('STERLING CATALOG - FZN &amp; CHILL'!A3122,"AAAAAHp2VeU=")</f>
        <v>#VALUE!</v>
      </c>
      <c r="HW378" t="e">
        <f>AND('STERLING CATALOG - FZN &amp; CHILL'!B3122,"AAAAAHp2VeY=")</f>
        <v>#VALUE!</v>
      </c>
      <c r="HX378" t="e">
        <f>AND('STERLING CATALOG - FZN &amp; CHILL'!C3122,"AAAAAHp2Vec=")</f>
        <v>#VALUE!</v>
      </c>
      <c r="HY378" t="e">
        <f>AND('STERLING CATALOG - FZN &amp; CHILL'!D3122,"AAAAAHp2Veg=")</f>
        <v>#VALUE!</v>
      </c>
      <c r="HZ378" t="e">
        <f>AND('STERLING CATALOG - FZN &amp; CHILL'!E3122,"AAAAAHp2Vek=")</f>
        <v>#VALUE!</v>
      </c>
      <c r="IA378" t="e">
        <f>AND('STERLING CATALOG - FZN &amp; CHILL'!F3122,"AAAAAHp2Veo=")</f>
        <v>#VALUE!</v>
      </c>
      <c r="IB378" t="e">
        <f>AND('STERLING CATALOG - FZN &amp; CHILL'!G3122,"AAAAAHp2Ves=")</f>
        <v>#VALUE!</v>
      </c>
      <c r="IC378" t="e">
        <f>AND('STERLING CATALOG - FZN &amp; CHILL'!H3122,"AAAAAHp2Vew=")</f>
        <v>#VALUE!</v>
      </c>
      <c r="ID378" t="e">
        <f>AND('STERLING CATALOG - FZN &amp; CHILL'!I3122,"AAAAAHp2Ve0=")</f>
        <v>#VALUE!</v>
      </c>
      <c r="IE378" t="e">
        <f>AND('STERLING CATALOG - FZN &amp; CHILL'!J3122,"AAAAAHp2Ve4=")</f>
        <v>#VALUE!</v>
      </c>
      <c r="IF378">
        <f>IF('STERLING CATALOG - FZN &amp; CHILL'!3123:3123,"AAAAAHp2Ve8=",0)</f>
        <v>0</v>
      </c>
      <c r="IG378" t="e">
        <f>AND('STERLING CATALOG - FZN &amp; CHILL'!A3123,"AAAAAHp2VfA=")</f>
        <v>#VALUE!</v>
      </c>
      <c r="IH378" t="e">
        <f>AND('STERLING CATALOG - FZN &amp; CHILL'!B3123,"AAAAAHp2VfE=")</f>
        <v>#VALUE!</v>
      </c>
      <c r="II378" t="e">
        <f>AND('STERLING CATALOG - FZN &amp; CHILL'!C3123,"AAAAAHp2VfI=")</f>
        <v>#VALUE!</v>
      </c>
      <c r="IJ378" t="e">
        <f>AND('STERLING CATALOG - FZN &amp; CHILL'!D3123,"AAAAAHp2VfM=")</f>
        <v>#VALUE!</v>
      </c>
      <c r="IK378" t="e">
        <f>AND('STERLING CATALOG - FZN &amp; CHILL'!E3123,"AAAAAHp2VfQ=")</f>
        <v>#VALUE!</v>
      </c>
      <c r="IL378" t="e">
        <f>AND('STERLING CATALOG - FZN &amp; CHILL'!F3123,"AAAAAHp2VfU=")</f>
        <v>#VALUE!</v>
      </c>
      <c r="IM378" t="e">
        <f>AND('STERLING CATALOG - FZN &amp; CHILL'!G3123,"AAAAAHp2VfY=")</f>
        <v>#VALUE!</v>
      </c>
      <c r="IN378" t="e">
        <f>AND('STERLING CATALOG - FZN &amp; CHILL'!H3123,"AAAAAHp2Vfc=")</f>
        <v>#VALUE!</v>
      </c>
      <c r="IO378" t="e">
        <f>AND('STERLING CATALOG - FZN &amp; CHILL'!I3123,"AAAAAHp2Vfg=")</f>
        <v>#VALUE!</v>
      </c>
      <c r="IP378" t="e">
        <f>AND('STERLING CATALOG - FZN &amp; CHILL'!J3123,"AAAAAHp2Vfk=")</f>
        <v>#VALUE!</v>
      </c>
      <c r="IQ378">
        <f>IF('STERLING CATALOG - FZN &amp; CHILL'!3124:3124,"AAAAAHp2Vfo=",0)</f>
        <v>0</v>
      </c>
      <c r="IR378" t="e">
        <f>AND('STERLING CATALOG - FZN &amp; CHILL'!A3124,"AAAAAHp2Vfs=")</f>
        <v>#VALUE!</v>
      </c>
      <c r="IS378" t="e">
        <f>AND('STERLING CATALOG - FZN &amp; CHILL'!B3124,"AAAAAHp2Vfw=")</f>
        <v>#VALUE!</v>
      </c>
      <c r="IT378" t="e">
        <f>AND('STERLING CATALOG - FZN &amp; CHILL'!C3124,"AAAAAHp2Vf0=")</f>
        <v>#VALUE!</v>
      </c>
      <c r="IU378" t="e">
        <f>AND('STERLING CATALOG - FZN &amp; CHILL'!D3124,"AAAAAHp2Vf4=")</f>
        <v>#VALUE!</v>
      </c>
      <c r="IV378" t="e">
        <f>AND('STERLING CATALOG - FZN &amp; CHILL'!E3124,"AAAAAHp2Vf8=")</f>
        <v>#VALUE!</v>
      </c>
    </row>
    <row r="379" spans="1:256">
      <c r="A379" t="e">
        <f>AND('STERLING CATALOG - FZN &amp; CHILL'!F3124,"AAAAAHM4/wA=")</f>
        <v>#VALUE!</v>
      </c>
      <c r="B379" t="e">
        <f>AND('STERLING CATALOG - FZN &amp; CHILL'!G3124,"AAAAAHM4/wE=")</f>
        <v>#VALUE!</v>
      </c>
      <c r="C379" t="e">
        <f>AND('STERLING CATALOG - FZN &amp; CHILL'!H3124,"AAAAAHM4/wI=")</f>
        <v>#VALUE!</v>
      </c>
      <c r="D379" t="e">
        <f>AND('STERLING CATALOG - FZN &amp; CHILL'!I3124,"AAAAAHM4/wM=")</f>
        <v>#VALUE!</v>
      </c>
      <c r="E379" t="e">
        <f>AND('STERLING CATALOG - FZN &amp; CHILL'!J3124,"AAAAAHM4/wQ=")</f>
        <v>#VALUE!</v>
      </c>
      <c r="F379" t="str">
        <f>IF('STERLING CATALOG - FZN &amp; CHILL'!3125:3125,"AAAAAHM4/wU=",0)</f>
        <v>AAAAAHM4/wU=</v>
      </c>
      <c r="G379" t="e">
        <f>AND('STERLING CATALOG - FZN &amp; CHILL'!A3125,"AAAAAHM4/wY=")</f>
        <v>#VALUE!</v>
      </c>
      <c r="H379" t="e">
        <f>AND('STERLING CATALOG - FZN &amp; CHILL'!B3125,"AAAAAHM4/wc=")</f>
        <v>#VALUE!</v>
      </c>
      <c r="I379" t="e">
        <f>AND('STERLING CATALOG - FZN &amp; CHILL'!C3125,"AAAAAHM4/wg=")</f>
        <v>#VALUE!</v>
      </c>
      <c r="J379" t="e">
        <f>AND('STERLING CATALOG - FZN &amp; CHILL'!D3125,"AAAAAHM4/wk=")</f>
        <v>#VALUE!</v>
      </c>
      <c r="K379" t="e">
        <f>AND('STERLING CATALOG - FZN &amp; CHILL'!E3125,"AAAAAHM4/wo=")</f>
        <v>#VALUE!</v>
      </c>
      <c r="L379" t="e">
        <f>AND('STERLING CATALOG - FZN &amp; CHILL'!F3125,"AAAAAHM4/ws=")</f>
        <v>#VALUE!</v>
      </c>
      <c r="M379" t="e">
        <f>AND('STERLING CATALOG - FZN &amp; CHILL'!G3125,"AAAAAHM4/ww=")</f>
        <v>#VALUE!</v>
      </c>
      <c r="N379" t="e">
        <f>AND('STERLING CATALOG - FZN &amp; CHILL'!H3125,"AAAAAHM4/w0=")</f>
        <v>#VALUE!</v>
      </c>
      <c r="O379" t="e">
        <f>AND('STERLING CATALOG - FZN &amp; CHILL'!I3125,"AAAAAHM4/w4=")</f>
        <v>#VALUE!</v>
      </c>
      <c r="P379" t="e">
        <f>AND('STERLING CATALOG - FZN &amp; CHILL'!J3125,"AAAAAHM4/w8=")</f>
        <v>#VALUE!</v>
      </c>
      <c r="Q379">
        <f>IF('STERLING CATALOG - FZN &amp; CHILL'!3126:3126,"AAAAAHM4/xA=",0)</f>
        <v>0</v>
      </c>
      <c r="R379" t="e">
        <f>AND('STERLING CATALOG - FZN &amp; CHILL'!A3126,"AAAAAHM4/xE=")</f>
        <v>#VALUE!</v>
      </c>
      <c r="S379" t="e">
        <f>AND('STERLING CATALOG - FZN &amp; CHILL'!B3126,"AAAAAHM4/xI=")</f>
        <v>#VALUE!</v>
      </c>
      <c r="T379" t="e">
        <f>AND('STERLING CATALOG - FZN &amp; CHILL'!C3126,"AAAAAHM4/xM=")</f>
        <v>#VALUE!</v>
      </c>
      <c r="U379" t="e">
        <f>AND('STERLING CATALOG - FZN &amp; CHILL'!D3126,"AAAAAHM4/xQ=")</f>
        <v>#VALUE!</v>
      </c>
      <c r="V379" t="e">
        <f>AND('STERLING CATALOG - FZN &amp; CHILL'!E3126,"AAAAAHM4/xU=")</f>
        <v>#VALUE!</v>
      </c>
      <c r="W379" t="e">
        <f>AND('STERLING CATALOG - FZN &amp; CHILL'!F3126,"AAAAAHM4/xY=")</f>
        <v>#VALUE!</v>
      </c>
      <c r="X379" t="e">
        <f>AND('STERLING CATALOG - FZN &amp; CHILL'!G3126,"AAAAAHM4/xc=")</f>
        <v>#VALUE!</v>
      </c>
      <c r="Y379" t="e">
        <f>AND('STERLING CATALOG - FZN &amp; CHILL'!H3126,"AAAAAHM4/xg=")</f>
        <v>#VALUE!</v>
      </c>
      <c r="Z379" t="e">
        <f>AND('STERLING CATALOG - FZN &amp; CHILL'!I3126,"AAAAAHM4/xk=")</f>
        <v>#VALUE!</v>
      </c>
      <c r="AA379" t="e">
        <f>AND('STERLING CATALOG - FZN &amp; CHILL'!J3126,"AAAAAHM4/xo=")</f>
        <v>#VALUE!</v>
      </c>
      <c r="AB379">
        <f>IF('STERLING CATALOG - FZN &amp; CHILL'!3127:3127,"AAAAAHM4/xs=",0)</f>
        <v>0</v>
      </c>
      <c r="AC379" t="e">
        <f>AND('STERLING CATALOG - FZN &amp; CHILL'!A3127,"AAAAAHM4/xw=")</f>
        <v>#VALUE!</v>
      </c>
      <c r="AD379" t="e">
        <f>AND('STERLING CATALOG - FZN &amp; CHILL'!B3127,"AAAAAHM4/x0=")</f>
        <v>#VALUE!</v>
      </c>
      <c r="AE379" t="e">
        <f>AND('STERLING CATALOG - FZN &amp; CHILL'!C3127,"AAAAAHM4/x4=")</f>
        <v>#VALUE!</v>
      </c>
      <c r="AF379" t="e">
        <f>AND('STERLING CATALOG - FZN &amp; CHILL'!D3127,"AAAAAHM4/x8=")</f>
        <v>#VALUE!</v>
      </c>
      <c r="AG379" t="e">
        <f>AND('STERLING CATALOG - FZN &amp; CHILL'!E3127,"AAAAAHM4/yA=")</f>
        <v>#VALUE!</v>
      </c>
      <c r="AH379" t="e">
        <f>AND('STERLING CATALOG - FZN &amp; CHILL'!F3127,"AAAAAHM4/yE=")</f>
        <v>#VALUE!</v>
      </c>
      <c r="AI379" t="e">
        <f>AND('STERLING CATALOG - FZN &amp; CHILL'!G3127,"AAAAAHM4/yI=")</f>
        <v>#VALUE!</v>
      </c>
      <c r="AJ379" t="e">
        <f>AND('STERLING CATALOG - FZN &amp; CHILL'!H3127,"AAAAAHM4/yM=")</f>
        <v>#VALUE!</v>
      </c>
      <c r="AK379" t="e">
        <f>AND('STERLING CATALOG - FZN &amp; CHILL'!I3127,"AAAAAHM4/yQ=")</f>
        <v>#VALUE!</v>
      </c>
      <c r="AL379" t="e">
        <f>AND('STERLING CATALOG - FZN &amp; CHILL'!J3127,"AAAAAHM4/yU=")</f>
        <v>#VALUE!</v>
      </c>
      <c r="AM379">
        <f>IF('STERLING CATALOG - FZN &amp; CHILL'!3128:3128,"AAAAAHM4/yY=",0)</f>
        <v>0</v>
      </c>
      <c r="AN379" t="e">
        <f>AND('STERLING CATALOG - FZN &amp; CHILL'!A3128,"AAAAAHM4/yc=")</f>
        <v>#VALUE!</v>
      </c>
      <c r="AO379" t="e">
        <f>AND('STERLING CATALOG - FZN &amp; CHILL'!B3128,"AAAAAHM4/yg=")</f>
        <v>#VALUE!</v>
      </c>
      <c r="AP379" t="e">
        <f>AND('STERLING CATALOG - FZN &amp; CHILL'!C3128,"AAAAAHM4/yk=")</f>
        <v>#VALUE!</v>
      </c>
      <c r="AQ379" t="e">
        <f>AND('STERLING CATALOG - FZN &amp; CHILL'!D3128,"AAAAAHM4/yo=")</f>
        <v>#VALUE!</v>
      </c>
      <c r="AR379" t="e">
        <f>AND('STERLING CATALOG - FZN &amp; CHILL'!E3128,"AAAAAHM4/ys=")</f>
        <v>#VALUE!</v>
      </c>
      <c r="AS379" t="e">
        <f>AND('STERLING CATALOG - FZN &amp; CHILL'!F3128,"AAAAAHM4/yw=")</f>
        <v>#VALUE!</v>
      </c>
      <c r="AT379" t="e">
        <f>AND('STERLING CATALOG - FZN &amp; CHILL'!G3128,"AAAAAHM4/y0=")</f>
        <v>#VALUE!</v>
      </c>
      <c r="AU379" t="e">
        <f>AND('STERLING CATALOG - FZN &amp; CHILL'!H3128,"AAAAAHM4/y4=")</f>
        <v>#VALUE!</v>
      </c>
      <c r="AV379" t="e">
        <f>AND('STERLING CATALOG - FZN &amp; CHILL'!I3128,"AAAAAHM4/y8=")</f>
        <v>#VALUE!</v>
      </c>
      <c r="AW379" t="e">
        <f>AND('STERLING CATALOG - FZN &amp; CHILL'!J3128,"AAAAAHM4/zA=")</f>
        <v>#VALUE!</v>
      </c>
      <c r="AX379">
        <f>IF('STERLING CATALOG - FZN &amp; CHILL'!3129:3129,"AAAAAHM4/zE=",0)</f>
        <v>0</v>
      </c>
      <c r="AY379" t="e">
        <f>AND('STERLING CATALOG - FZN &amp; CHILL'!A3129,"AAAAAHM4/zI=")</f>
        <v>#VALUE!</v>
      </c>
      <c r="AZ379" t="e">
        <f>AND('STERLING CATALOG - FZN &amp; CHILL'!B3129,"AAAAAHM4/zM=")</f>
        <v>#VALUE!</v>
      </c>
      <c r="BA379" t="e">
        <f>AND('STERLING CATALOG - FZN &amp; CHILL'!C3129,"AAAAAHM4/zQ=")</f>
        <v>#VALUE!</v>
      </c>
      <c r="BB379" t="e">
        <f>AND('STERLING CATALOG - FZN &amp; CHILL'!D3129,"AAAAAHM4/zU=")</f>
        <v>#VALUE!</v>
      </c>
      <c r="BC379" t="e">
        <f>AND('STERLING CATALOG - FZN &amp; CHILL'!E3129,"AAAAAHM4/zY=")</f>
        <v>#VALUE!</v>
      </c>
      <c r="BD379" t="e">
        <f>AND('STERLING CATALOG - FZN &amp; CHILL'!F3129,"AAAAAHM4/zc=")</f>
        <v>#VALUE!</v>
      </c>
      <c r="BE379" t="e">
        <f>AND('STERLING CATALOG - FZN &amp; CHILL'!G3129,"AAAAAHM4/zg=")</f>
        <v>#VALUE!</v>
      </c>
      <c r="BF379" t="e">
        <f>AND('STERLING CATALOG - FZN &amp; CHILL'!H3129,"AAAAAHM4/zk=")</f>
        <v>#VALUE!</v>
      </c>
      <c r="BG379" t="e">
        <f>AND('STERLING CATALOG - FZN &amp; CHILL'!I3129,"AAAAAHM4/zo=")</f>
        <v>#VALUE!</v>
      </c>
      <c r="BH379" t="e">
        <f>AND('STERLING CATALOG - FZN &amp; CHILL'!J3129,"AAAAAHM4/zs=")</f>
        <v>#VALUE!</v>
      </c>
      <c r="BI379">
        <f>IF('STERLING CATALOG - FZN &amp; CHILL'!3130:3130,"AAAAAHM4/zw=",0)</f>
        <v>0</v>
      </c>
      <c r="BJ379" t="e">
        <f>AND('STERLING CATALOG - FZN &amp; CHILL'!A3130,"AAAAAHM4/z0=")</f>
        <v>#VALUE!</v>
      </c>
      <c r="BK379" t="e">
        <f>AND('STERLING CATALOG - FZN &amp; CHILL'!B3130,"AAAAAHM4/z4=")</f>
        <v>#VALUE!</v>
      </c>
      <c r="BL379" t="e">
        <f>AND('STERLING CATALOG - FZN &amp; CHILL'!C3130,"AAAAAHM4/z8=")</f>
        <v>#VALUE!</v>
      </c>
      <c r="BM379" t="e">
        <f>AND('STERLING CATALOG - FZN &amp; CHILL'!D3130,"AAAAAHM4/0A=")</f>
        <v>#VALUE!</v>
      </c>
      <c r="BN379" t="e">
        <f>AND('STERLING CATALOG - FZN &amp; CHILL'!E3130,"AAAAAHM4/0E=")</f>
        <v>#VALUE!</v>
      </c>
      <c r="BO379" t="e">
        <f>AND('STERLING CATALOG - FZN &amp; CHILL'!F3130,"AAAAAHM4/0I=")</f>
        <v>#VALUE!</v>
      </c>
      <c r="BP379" t="e">
        <f>AND('STERLING CATALOG - FZN &amp; CHILL'!G3130,"AAAAAHM4/0M=")</f>
        <v>#VALUE!</v>
      </c>
      <c r="BQ379" t="e">
        <f>AND('STERLING CATALOG - FZN &amp; CHILL'!H3130,"AAAAAHM4/0Q=")</f>
        <v>#VALUE!</v>
      </c>
      <c r="BR379" t="e">
        <f>AND('STERLING CATALOG - FZN &amp; CHILL'!I3130,"AAAAAHM4/0U=")</f>
        <v>#VALUE!</v>
      </c>
      <c r="BS379" t="e">
        <f>AND('STERLING CATALOG - FZN &amp; CHILL'!J3130,"AAAAAHM4/0Y=")</f>
        <v>#VALUE!</v>
      </c>
      <c r="BT379">
        <f>IF('STERLING CATALOG - FZN &amp; CHILL'!3131:3131,"AAAAAHM4/0c=",0)</f>
        <v>0</v>
      </c>
      <c r="BU379" t="e">
        <f>AND('STERLING CATALOG - FZN &amp; CHILL'!A3131,"AAAAAHM4/0g=")</f>
        <v>#VALUE!</v>
      </c>
      <c r="BV379" t="e">
        <f>AND('STERLING CATALOG - FZN &amp; CHILL'!B3131,"AAAAAHM4/0k=")</f>
        <v>#VALUE!</v>
      </c>
      <c r="BW379" t="e">
        <f>AND('STERLING CATALOG - FZN &amp; CHILL'!C3131,"AAAAAHM4/0o=")</f>
        <v>#VALUE!</v>
      </c>
      <c r="BX379" t="e">
        <f>AND('STERLING CATALOG - FZN &amp; CHILL'!D3131,"AAAAAHM4/0s=")</f>
        <v>#VALUE!</v>
      </c>
      <c r="BY379" t="e">
        <f>AND('STERLING CATALOG - FZN &amp; CHILL'!E3131,"AAAAAHM4/0w=")</f>
        <v>#VALUE!</v>
      </c>
      <c r="BZ379" t="e">
        <f>AND('STERLING CATALOG - FZN &amp; CHILL'!F3131,"AAAAAHM4/00=")</f>
        <v>#VALUE!</v>
      </c>
      <c r="CA379" t="e">
        <f>AND('STERLING CATALOG - FZN &amp; CHILL'!G3131,"AAAAAHM4/04=")</f>
        <v>#VALUE!</v>
      </c>
      <c r="CB379" t="e">
        <f>AND('STERLING CATALOG - FZN &amp; CHILL'!H3131,"AAAAAHM4/08=")</f>
        <v>#VALUE!</v>
      </c>
      <c r="CC379" t="e">
        <f>AND('STERLING CATALOG - FZN &amp; CHILL'!I3131,"AAAAAHM4/1A=")</f>
        <v>#VALUE!</v>
      </c>
      <c r="CD379" t="e">
        <f>AND('STERLING CATALOG - FZN &amp; CHILL'!J3131,"AAAAAHM4/1E=")</f>
        <v>#VALUE!</v>
      </c>
      <c r="CE379">
        <f>IF('STERLING CATALOG - FZN &amp; CHILL'!3132:3132,"AAAAAHM4/1I=",0)</f>
        <v>0</v>
      </c>
      <c r="CF379" t="e">
        <f>AND('STERLING CATALOG - FZN &amp; CHILL'!A3132,"AAAAAHM4/1M=")</f>
        <v>#VALUE!</v>
      </c>
      <c r="CG379" t="e">
        <f>AND('STERLING CATALOG - FZN &amp; CHILL'!B3132,"AAAAAHM4/1Q=")</f>
        <v>#VALUE!</v>
      </c>
      <c r="CH379" t="e">
        <f>AND('STERLING CATALOG - FZN &amp; CHILL'!C3132,"AAAAAHM4/1U=")</f>
        <v>#VALUE!</v>
      </c>
      <c r="CI379" t="e">
        <f>AND('STERLING CATALOG - FZN &amp; CHILL'!D3132,"AAAAAHM4/1Y=")</f>
        <v>#VALUE!</v>
      </c>
      <c r="CJ379" t="e">
        <f>AND('STERLING CATALOG - FZN &amp; CHILL'!E3132,"AAAAAHM4/1c=")</f>
        <v>#VALUE!</v>
      </c>
      <c r="CK379" t="e">
        <f>AND('STERLING CATALOG - FZN &amp; CHILL'!F3132,"AAAAAHM4/1g=")</f>
        <v>#VALUE!</v>
      </c>
      <c r="CL379" t="e">
        <f>AND('STERLING CATALOG - FZN &amp; CHILL'!G3132,"AAAAAHM4/1k=")</f>
        <v>#VALUE!</v>
      </c>
      <c r="CM379" t="e">
        <f>AND('STERLING CATALOG - FZN &amp; CHILL'!H3132,"AAAAAHM4/1o=")</f>
        <v>#VALUE!</v>
      </c>
      <c r="CN379" t="e">
        <f>AND('STERLING CATALOG - FZN &amp; CHILL'!I3132,"AAAAAHM4/1s=")</f>
        <v>#VALUE!</v>
      </c>
      <c r="CO379" t="e">
        <f>AND('STERLING CATALOG - FZN &amp; CHILL'!J3132,"AAAAAHM4/1w=")</f>
        <v>#VALUE!</v>
      </c>
      <c r="CP379">
        <f>IF('STERLING CATALOG - FZN &amp; CHILL'!3133:3133,"AAAAAHM4/10=",0)</f>
        <v>0</v>
      </c>
      <c r="CQ379" t="e">
        <f>AND('STERLING CATALOG - FZN &amp; CHILL'!A3133,"AAAAAHM4/14=")</f>
        <v>#VALUE!</v>
      </c>
      <c r="CR379" t="e">
        <f>AND('STERLING CATALOG - FZN &amp; CHILL'!B3133,"AAAAAHM4/18=")</f>
        <v>#VALUE!</v>
      </c>
      <c r="CS379" t="e">
        <f>AND('STERLING CATALOG - FZN &amp; CHILL'!C3133,"AAAAAHM4/2A=")</f>
        <v>#VALUE!</v>
      </c>
      <c r="CT379" t="e">
        <f>AND('STERLING CATALOG - FZN &amp; CHILL'!D3133,"AAAAAHM4/2E=")</f>
        <v>#VALUE!</v>
      </c>
      <c r="CU379" t="e">
        <f>AND('STERLING CATALOG - FZN &amp; CHILL'!E3133,"AAAAAHM4/2I=")</f>
        <v>#VALUE!</v>
      </c>
      <c r="CV379" t="e">
        <f>AND('STERLING CATALOG - FZN &amp; CHILL'!F3133,"AAAAAHM4/2M=")</f>
        <v>#VALUE!</v>
      </c>
      <c r="CW379" t="e">
        <f>AND('STERLING CATALOG - FZN &amp; CHILL'!G3133,"AAAAAHM4/2Q=")</f>
        <v>#VALUE!</v>
      </c>
      <c r="CX379" t="e">
        <f>AND('STERLING CATALOG - FZN &amp; CHILL'!H3133,"AAAAAHM4/2U=")</f>
        <v>#VALUE!</v>
      </c>
      <c r="CY379" t="e">
        <f>AND('STERLING CATALOG - FZN &amp; CHILL'!I3133,"AAAAAHM4/2Y=")</f>
        <v>#VALUE!</v>
      </c>
      <c r="CZ379" t="e">
        <f>AND('STERLING CATALOG - FZN &amp; CHILL'!J3133,"AAAAAHM4/2c=")</f>
        <v>#VALUE!</v>
      </c>
      <c r="DA379">
        <f>IF('STERLING CATALOG - FZN &amp; CHILL'!3134:3134,"AAAAAHM4/2g=",0)</f>
        <v>0</v>
      </c>
      <c r="DB379" t="e">
        <f>AND('STERLING CATALOG - FZN &amp; CHILL'!A3134,"AAAAAHM4/2k=")</f>
        <v>#VALUE!</v>
      </c>
      <c r="DC379" t="e">
        <f>AND('STERLING CATALOG - FZN &amp; CHILL'!B3134,"AAAAAHM4/2o=")</f>
        <v>#VALUE!</v>
      </c>
      <c r="DD379" t="e">
        <f>AND('STERLING CATALOG - FZN &amp; CHILL'!C3134,"AAAAAHM4/2s=")</f>
        <v>#VALUE!</v>
      </c>
      <c r="DE379" t="e">
        <f>AND('STERLING CATALOG - FZN &amp; CHILL'!D3134,"AAAAAHM4/2w=")</f>
        <v>#VALUE!</v>
      </c>
      <c r="DF379" t="e">
        <f>AND('STERLING CATALOG - FZN &amp; CHILL'!E3134,"AAAAAHM4/20=")</f>
        <v>#VALUE!</v>
      </c>
      <c r="DG379" t="e">
        <f>AND('STERLING CATALOG - FZN &amp; CHILL'!F3134,"AAAAAHM4/24=")</f>
        <v>#VALUE!</v>
      </c>
      <c r="DH379" t="e">
        <f>AND('STERLING CATALOG - FZN &amp; CHILL'!G3134,"AAAAAHM4/28=")</f>
        <v>#VALUE!</v>
      </c>
      <c r="DI379" t="e">
        <f>AND('STERLING CATALOG - FZN &amp; CHILL'!H3134,"AAAAAHM4/3A=")</f>
        <v>#VALUE!</v>
      </c>
      <c r="DJ379" t="e">
        <f>AND('STERLING CATALOG - FZN &amp; CHILL'!I3134,"AAAAAHM4/3E=")</f>
        <v>#VALUE!</v>
      </c>
      <c r="DK379" t="e">
        <f>AND('STERLING CATALOG - FZN &amp; CHILL'!J3134,"AAAAAHM4/3I=")</f>
        <v>#VALUE!</v>
      </c>
      <c r="DL379">
        <f>IF('STERLING CATALOG - FZN &amp; CHILL'!3135:3135,"AAAAAHM4/3M=",0)</f>
        <v>0</v>
      </c>
      <c r="DM379" t="e">
        <f>AND('STERLING CATALOG - FZN &amp; CHILL'!A3135,"AAAAAHM4/3Q=")</f>
        <v>#VALUE!</v>
      </c>
      <c r="DN379" t="e">
        <f>AND('STERLING CATALOG - FZN &amp; CHILL'!B3135,"AAAAAHM4/3U=")</f>
        <v>#VALUE!</v>
      </c>
      <c r="DO379" t="e">
        <f>AND('STERLING CATALOG - FZN &amp; CHILL'!C3135,"AAAAAHM4/3Y=")</f>
        <v>#VALUE!</v>
      </c>
      <c r="DP379" t="e">
        <f>AND('STERLING CATALOG - FZN &amp; CHILL'!D3135,"AAAAAHM4/3c=")</f>
        <v>#VALUE!</v>
      </c>
      <c r="DQ379" t="e">
        <f>AND('STERLING CATALOG - FZN &amp; CHILL'!E3135,"AAAAAHM4/3g=")</f>
        <v>#VALUE!</v>
      </c>
      <c r="DR379" t="e">
        <f>AND('STERLING CATALOG - FZN &amp; CHILL'!F3135,"AAAAAHM4/3k=")</f>
        <v>#VALUE!</v>
      </c>
      <c r="DS379" t="e">
        <f>AND('STERLING CATALOG - FZN &amp; CHILL'!G3135,"AAAAAHM4/3o=")</f>
        <v>#VALUE!</v>
      </c>
      <c r="DT379" t="e">
        <f>AND('STERLING CATALOG - FZN &amp; CHILL'!H3135,"AAAAAHM4/3s=")</f>
        <v>#VALUE!</v>
      </c>
      <c r="DU379" t="e">
        <f>AND('STERLING CATALOG - FZN &amp; CHILL'!I3135,"AAAAAHM4/3w=")</f>
        <v>#VALUE!</v>
      </c>
      <c r="DV379" t="e">
        <f>AND('STERLING CATALOG - FZN &amp; CHILL'!J3135,"AAAAAHM4/30=")</f>
        <v>#VALUE!</v>
      </c>
      <c r="DW379">
        <f>IF('STERLING CATALOG - FZN &amp; CHILL'!3136:3136,"AAAAAHM4/34=",0)</f>
        <v>0</v>
      </c>
      <c r="DX379" t="e">
        <f>AND('STERLING CATALOG - FZN &amp; CHILL'!A3136,"AAAAAHM4/38=")</f>
        <v>#VALUE!</v>
      </c>
      <c r="DY379" t="e">
        <f>AND('STERLING CATALOG - FZN &amp; CHILL'!B3136,"AAAAAHM4/4A=")</f>
        <v>#VALUE!</v>
      </c>
      <c r="DZ379" t="e">
        <f>AND('STERLING CATALOG - FZN &amp; CHILL'!C3136,"AAAAAHM4/4E=")</f>
        <v>#VALUE!</v>
      </c>
      <c r="EA379" t="e">
        <f>AND('STERLING CATALOG - FZN &amp; CHILL'!D3136,"AAAAAHM4/4I=")</f>
        <v>#VALUE!</v>
      </c>
      <c r="EB379" t="e">
        <f>AND('STERLING CATALOG - FZN &amp; CHILL'!E3136,"AAAAAHM4/4M=")</f>
        <v>#VALUE!</v>
      </c>
      <c r="EC379" t="e">
        <f>AND('STERLING CATALOG - FZN &amp; CHILL'!F3136,"AAAAAHM4/4Q=")</f>
        <v>#VALUE!</v>
      </c>
      <c r="ED379" t="e">
        <f>AND('STERLING CATALOG - FZN &amp; CHILL'!G3136,"AAAAAHM4/4U=")</f>
        <v>#VALUE!</v>
      </c>
      <c r="EE379" t="e">
        <f>AND('STERLING CATALOG - FZN &amp; CHILL'!H3136,"AAAAAHM4/4Y=")</f>
        <v>#VALUE!</v>
      </c>
      <c r="EF379" t="e">
        <f>AND('STERLING CATALOG - FZN &amp; CHILL'!I3136,"AAAAAHM4/4c=")</f>
        <v>#VALUE!</v>
      </c>
      <c r="EG379" t="e">
        <f>AND('STERLING CATALOG - FZN &amp; CHILL'!J3136,"AAAAAHM4/4g=")</f>
        <v>#VALUE!</v>
      </c>
      <c r="EH379">
        <f>IF('STERLING CATALOG - FZN &amp; CHILL'!3137:3137,"AAAAAHM4/4k=",0)</f>
        <v>0</v>
      </c>
      <c r="EI379" t="e">
        <f>AND('STERLING CATALOG - FZN &amp; CHILL'!A3137,"AAAAAHM4/4o=")</f>
        <v>#VALUE!</v>
      </c>
      <c r="EJ379" t="e">
        <f>AND('STERLING CATALOG - FZN &amp; CHILL'!B3137,"AAAAAHM4/4s=")</f>
        <v>#VALUE!</v>
      </c>
      <c r="EK379" t="e">
        <f>AND('STERLING CATALOG - FZN &amp; CHILL'!C3137,"AAAAAHM4/4w=")</f>
        <v>#VALUE!</v>
      </c>
      <c r="EL379" t="e">
        <f>AND('STERLING CATALOG - FZN &amp; CHILL'!D3137,"AAAAAHM4/40=")</f>
        <v>#VALUE!</v>
      </c>
      <c r="EM379" t="e">
        <f>AND('STERLING CATALOG - FZN &amp; CHILL'!E3137,"AAAAAHM4/44=")</f>
        <v>#VALUE!</v>
      </c>
      <c r="EN379" t="e">
        <f>AND('STERLING CATALOG - FZN &amp; CHILL'!F3137,"AAAAAHM4/48=")</f>
        <v>#VALUE!</v>
      </c>
      <c r="EO379" t="e">
        <f>AND('STERLING CATALOG - FZN &amp; CHILL'!G3137,"AAAAAHM4/5A=")</f>
        <v>#VALUE!</v>
      </c>
      <c r="EP379" t="e">
        <f>AND('STERLING CATALOG - FZN &amp; CHILL'!H3137,"AAAAAHM4/5E=")</f>
        <v>#VALUE!</v>
      </c>
      <c r="EQ379" t="e">
        <f>AND('STERLING CATALOG - FZN &amp; CHILL'!I3137,"AAAAAHM4/5I=")</f>
        <v>#VALUE!</v>
      </c>
      <c r="ER379" t="e">
        <f>AND('STERLING CATALOG - FZN &amp; CHILL'!J3137,"AAAAAHM4/5M=")</f>
        <v>#VALUE!</v>
      </c>
      <c r="ES379">
        <f>IF('STERLING CATALOG - FZN &amp; CHILL'!3138:3138,"AAAAAHM4/5Q=",0)</f>
        <v>0</v>
      </c>
      <c r="ET379" t="e">
        <f>AND('STERLING CATALOG - FZN &amp; CHILL'!A3138,"AAAAAHM4/5U=")</f>
        <v>#VALUE!</v>
      </c>
      <c r="EU379" t="e">
        <f>AND('STERLING CATALOG - FZN &amp; CHILL'!B3138,"AAAAAHM4/5Y=")</f>
        <v>#VALUE!</v>
      </c>
      <c r="EV379" t="e">
        <f>AND('STERLING CATALOG - FZN &amp; CHILL'!C3138,"AAAAAHM4/5c=")</f>
        <v>#VALUE!</v>
      </c>
      <c r="EW379" t="e">
        <f>AND('STERLING CATALOG - FZN &amp; CHILL'!D3138,"AAAAAHM4/5g=")</f>
        <v>#VALUE!</v>
      </c>
      <c r="EX379" t="e">
        <f>AND('STERLING CATALOG - FZN &amp; CHILL'!E3138,"AAAAAHM4/5k=")</f>
        <v>#VALUE!</v>
      </c>
      <c r="EY379" t="e">
        <f>AND('STERLING CATALOG - FZN &amp; CHILL'!F3138,"AAAAAHM4/5o=")</f>
        <v>#VALUE!</v>
      </c>
      <c r="EZ379" t="e">
        <f>AND('STERLING CATALOG - FZN &amp; CHILL'!G3138,"AAAAAHM4/5s=")</f>
        <v>#VALUE!</v>
      </c>
      <c r="FA379" t="e">
        <f>AND('STERLING CATALOG - FZN &amp; CHILL'!H3138,"AAAAAHM4/5w=")</f>
        <v>#VALUE!</v>
      </c>
      <c r="FB379" t="e">
        <f>AND('STERLING CATALOG - FZN &amp; CHILL'!I3138,"AAAAAHM4/50=")</f>
        <v>#VALUE!</v>
      </c>
      <c r="FC379" t="e">
        <f>AND('STERLING CATALOG - FZN &amp; CHILL'!J3138,"AAAAAHM4/54=")</f>
        <v>#VALUE!</v>
      </c>
      <c r="FD379">
        <f>IF('STERLING CATALOG - FZN &amp; CHILL'!3139:3139,"AAAAAHM4/58=",0)</f>
        <v>0</v>
      </c>
      <c r="FE379" t="e">
        <f>AND('STERLING CATALOG - FZN &amp; CHILL'!A3139,"AAAAAHM4/6A=")</f>
        <v>#VALUE!</v>
      </c>
      <c r="FF379" t="e">
        <f>AND('STERLING CATALOG - FZN &amp; CHILL'!B3139,"AAAAAHM4/6E=")</f>
        <v>#VALUE!</v>
      </c>
      <c r="FG379" t="e">
        <f>AND('STERLING CATALOG - FZN &amp; CHILL'!C3139,"AAAAAHM4/6I=")</f>
        <v>#VALUE!</v>
      </c>
      <c r="FH379" t="e">
        <f>AND('STERLING CATALOG - FZN &amp; CHILL'!D3139,"AAAAAHM4/6M=")</f>
        <v>#VALUE!</v>
      </c>
      <c r="FI379" t="e">
        <f>AND('STERLING CATALOG - FZN &amp; CHILL'!E3139,"AAAAAHM4/6Q=")</f>
        <v>#VALUE!</v>
      </c>
      <c r="FJ379" t="e">
        <f>AND('STERLING CATALOG - FZN &amp; CHILL'!F3139,"AAAAAHM4/6U=")</f>
        <v>#VALUE!</v>
      </c>
      <c r="FK379" t="e">
        <f>AND('STERLING CATALOG - FZN &amp; CHILL'!G3139,"AAAAAHM4/6Y=")</f>
        <v>#VALUE!</v>
      </c>
      <c r="FL379" t="e">
        <f>AND('STERLING CATALOG - FZN &amp; CHILL'!H3139,"AAAAAHM4/6c=")</f>
        <v>#VALUE!</v>
      </c>
      <c r="FM379" t="e">
        <f>AND('STERLING CATALOG - FZN &amp; CHILL'!I3139,"AAAAAHM4/6g=")</f>
        <v>#VALUE!</v>
      </c>
      <c r="FN379" t="e">
        <f>AND('STERLING CATALOG - FZN &amp; CHILL'!J3139,"AAAAAHM4/6k=")</f>
        <v>#VALUE!</v>
      </c>
      <c r="FO379">
        <f>IF('STERLING CATALOG - FZN &amp; CHILL'!3140:3140,"AAAAAHM4/6o=",0)</f>
        <v>0</v>
      </c>
      <c r="FP379" t="e">
        <f>AND('STERLING CATALOG - FZN &amp; CHILL'!A3140,"AAAAAHM4/6s=")</f>
        <v>#VALUE!</v>
      </c>
      <c r="FQ379" t="e">
        <f>AND('STERLING CATALOG - FZN &amp; CHILL'!B3140,"AAAAAHM4/6w=")</f>
        <v>#VALUE!</v>
      </c>
      <c r="FR379" t="e">
        <f>AND('STERLING CATALOG - FZN &amp; CHILL'!C3140,"AAAAAHM4/60=")</f>
        <v>#VALUE!</v>
      </c>
      <c r="FS379" t="e">
        <f>AND('STERLING CATALOG - FZN &amp; CHILL'!D3140,"AAAAAHM4/64=")</f>
        <v>#VALUE!</v>
      </c>
      <c r="FT379" t="e">
        <f>AND('STERLING CATALOG - FZN &amp; CHILL'!E3140,"AAAAAHM4/68=")</f>
        <v>#VALUE!</v>
      </c>
      <c r="FU379" t="e">
        <f>AND('STERLING CATALOG - FZN &amp; CHILL'!F3140,"AAAAAHM4/7A=")</f>
        <v>#VALUE!</v>
      </c>
      <c r="FV379" t="e">
        <f>AND('STERLING CATALOG - FZN &amp; CHILL'!G3140,"AAAAAHM4/7E=")</f>
        <v>#VALUE!</v>
      </c>
      <c r="FW379" t="e">
        <f>AND('STERLING CATALOG - FZN &amp; CHILL'!H3140,"AAAAAHM4/7I=")</f>
        <v>#VALUE!</v>
      </c>
      <c r="FX379" t="e">
        <f>AND('STERLING CATALOG - FZN &amp; CHILL'!I3140,"AAAAAHM4/7M=")</f>
        <v>#VALUE!</v>
      </c>
      <c r="FY379" t="e">
        <f>AND('STERLING CATALOG - FZN &amp; CHILL'!J3140,"AAAAAHM4/7Q=")</f>
        <v>#VALUE!</v>
      </c>
      <c r="FZ379">
        <f>IF('STERLING CATALOG - FZN &amp; CHILL'!3141:3141,"AAAAAHM4/7U=",0)</f>
        <v>0</v>
      </c>
      <c r="GA379" t="e">
        <f>AND('STERLING CATALOG - FZN &amp; CHILL'!A3141,"AAAAAHM4/7Y=")</f>
        <v>#VALUE!</v>
      </c>
      <c r="GB379" t="e">
        <f>AND('STERLING CATALOG - FZN &amp; CHILL'!B3141,"AAAAAHM4/7c=")</f>
        <v>#VALUE!</v>
      </c>
      <c r="GC379" t="e">
        <f>AND('STERLING CATALOG - FZN &amp; CHILL'!C3141,"AAAAAHM4/7g=")</f>
        <v>#VALUE!</v>
      </c>
      <c r="GD379" t="e">
        <f>AND('STERLING CATALOG - FZN &amp; CHILL'!D3141,"AAAAAHM4/7k=")</f>
        <v>#VALUE!</v>
      </c>
      <c r="GE379" t="e">
        <f>AND('STERLING CATALOG - FZN &amp; CHILL'!E3141,"AAAAAHM4/7o=")</f>
        <v>#VALUE!</v>
      </c>
      <c r="GF379" t="e">
        <f>AND('STERLING CATALOG - FZN &amp; CHILL'!F3141,"AAAAAHM4/7s=")</f>
        <v>#VALUE!</v>
      </c>
      <c r="GG379" t="e">
        <f>AND('STERLING CATALOG - FZN &amp; CHILL'!G3141,"AAAAAHM4/7w=")</f>
        <v>#VALUE!</v>
      </c>
      <c r="GH379" t="e">
        <f>AND('STERLING CATALOG - FZN &amp; CHILL'!H3141,"AAAAAHM4/70=")</f>
        <v>#VALUE!</v>
      </c>
      <c r="GI379" t="e">
        <f>AND('STERLING CATALOG - FZN &amp; CHILL'!I3141,"AAAAAHM4/74=")</f>
        <v>#VALUE!</v>
      </c>
      <c r="GJ379" t="e">
        <f>AND('STERLING CATALOG - FZN &amp; CHILL'!J3141,"AAAAAHM4/78=")</f>
        <v>#VALUE!</v>
      </c>
      <c r="GK379">
        <f>IF('STERLING CATALOG - FZN &amp; CHILL'!3142:3142,"AAAAAHM4/8A=",0)</f>
        <v>0</v>
      </c>
      <c r="GL379" t="e">
        <f>AND('STERLING CATALOG - FZN &amp; CHILL'!A3142,"AAAAAHM4/8E=")</f>
        <v>#VALUE!</v>
      </c>
      <c r="GM379" t="e">
        <f>AND('STERLING CATALOG - FZN &amp; CHILL'!B3142,"AAAAAHM4/8I=")</f>
        <v>#VALUE!</v>
      </c>
      <c r="GN379" t="e">
        <f>AND('STERLING CATALOG - FZN &amp; CHILL'!C3142,"AAAAAHM4/8M=")</f>
        <v>#VALUE!</v>
      </c>
      <c r="GO379" t="e">
        <f>AND('STERLING CATALOG - FZN &amp; CHILL'!D3142,"AAAAAHM4/8Q=")</f>
        <v>#VALUE!</v>
      </c>
      <c r="GP379" t="e">
        <f>AND('STERLING CATALOG - FZN &amp; CHILL'!E3142,"AAAAAHM4/8U=")</f>
        <v>#VALUE!</v>
      </c>
      <c r="GQ379" t="e">
        <f>AND('STERLING CATALOG - FZN &amp; CHILL'!F3142,"AAAAAHM4/8Y=")</f>
        <v>#VALUE!</v>
      </c>
      <c r="GR379" t="e">
        <f>AND('STERLING CATALOG - FZN &amp; CHILL'!G3142,"AAAAAHM4/8c=")</f>
        <v>#VALUE!</v>
      </c>
      <c r="GS379" t="e">
        <f>AND('STERLING CATALOG - FZN &amp; CHILL'!H3142,"AAAAAHM4/8g=")</f>
        <v>#VALUE!</v>
      </c>
      <c r="GT379" t="e">
        <f>AND('STERLING CATALOG - FZN &amp; CHILL'!I3142,"AAAAAHM4/8k=")</f>
        <v>#VALUE!</v>
      </c>
      <c r="GU379" t="e">
        <f>AND('STERLING CATALOG - FZN &amp; CHILL'!J3142,"AAAAAHM4/8o=")</f>
        <v>#VALUE!</v>
      </c>
      <c r="GV379">
        <f>IF('STERLING CATALOG - FZN &amp; CHILL'!3143:3143,"AAAAAHM4/8s=",0)</f>
        <v>0</v>
      </c>
      <c r="GW379" t="e">
        <f>AND('STERLING CATALOG - FZN &amp; CHILL'!A3143,"AAAAAHM4/8w=")</f>
        <v>#VALUE!</v>
      </c>
      <c r="GX379" t="e">
        <f>AND('STERLING CATALOG - FZN &amp; CHILL'!B3143,"AAAAAHM4/80=")</f>
        <v>#VALUE!</v>
      </c>
      <c r="GY379" t="e">
        <f>AND('STERLING CATALOG - FZN &amp; CHILL'!C3143,"AAAAAHM4/84=")</f>
        <v>#VALUE!</v>
      </c>
      <c r="GZ379" t="e">
        <f>AND('STERLING CATALOG - FZN &amp; CHILL'!D3143,"AAAAAHM4/88=")</f>
        <v>#VALUE!</v>
      </c>
      <c r="HA379" t="e">
        <f>AND('STERLING CATALOG - FZN &amp; CHILL'!E3143,"AAAAAHM4/9A=")</f>
        <v>#VALUE!</v>
      </c>
      <c r="HB379" t="e">
        <f>AND('STERLING CATALOG - FZN &amp; CHILL'!F3143,"AAAAAHM4/9E=")</f>
        <v>#VALUE!</v>
      </c>
      <c r="HC379" t="e">
        <f>AND('STERLING CATALOG - FZN &amp; CHILL'!G3143,"AAAAAHM4/9I=")</f>
        <v>#VALUE!</v>
      </c>
      <c r="HD379" t="e">
        <f>AND('STERLING CATALOG - FZN &amp; CHILL'!H3143,"AAAAAHM4/9M=")</f>
        <v>#VALUE!</v>
      </c>
      <c r="HE379" t="e">
        <f>AND('STERLING CATALOG - FZN &amp; CHILL'!I3143,"AAAAAHM4/9Q=")</f>
        <v>#VALUE!</v>
      </c>
      <c r="HF379" t="e">
        <f>AND('STERLING CATALOG - FZN &amp; CHILL'!J3143,"AAAAAHM4/9U=")</f>
        <v>#VALUE!</v>
      </c>
      <c r="HG379">
        <f>IF('STERLING CATALOG - FZN &amp; CHILL'!3144:3144,"AAAAAHM4/9Y=",0)</f>
        <v>0</v>
      </c>
      <c r="HH379" t="e">
        <f>AND('STERLING CATALOG - FZN &amp; CHILL'!A3144,"AAAAAHM4/9c=")</f>
        <v>#VALUE!</v>
      </c>
      <c r="HI379" t="e">
        <f>AND('STERLING CATALOG - FZN &amp; CHILL'!B3144,"AAAAAHM4/9g=")</f>
        <v>#VALUE!</v>
      </c>
      <c r="HJ379" t="e">
        <f>AND('STERLING CATALOG - FZN &amp; CHILL'!C3144,"AAAAAHM4/9k=")</f>
        <v>#VALUE!</v>
      </c>
      <c r="HK379" t="e">
        <f>AND('STERLING CATALOG - FZN &amp; CHILL'!D3144,"AAAAAHM4/9o=")</f>
        <v>#VALUE!</v>
      </c>
      <c r="HL379" t="e">
        <f>AND('STERLING CATALOG - FZN &amp; CHILL'!E3144,"AAAAAHM4/9s=")</f>
        <v>#VALUE!</v>
      </c>
      <c r="HM379" t="e">
        <f>AND('STERLING CATALOG - FZN &amp; CHILL'!F3144,"AAAAAHM4/9w=")</f>
        <v>#VALUE!</v>
      </c>
      <c r="HN379" t="e">
        <f>AND('STERLING CATALOG - FZN &amp; CHILL'!G3144,"AAAAAHM4/90=")</f>
        <v>#VALUE!</v>
      </c>
      <c r="HO379" t="e">
        <f>AND('STERLING CATALOG - FZN &amp; CHILL'!H3144,"AAAAAHM4/94=")</f>
        <v>#VALUE!</v>
      </c>
      <c r="HP379" t="e">
        <f>AND('STERLING CATALOG - FZN &amp; CHILL'!I3144,"AAAAAHM4/98=")</f>
        <v>#VALUE!</v>
      </c>
      <c r="HQ379" t="e">
        <f>AND('STERLING CATALOG - FZN &amp; CHILL'!J3144,"AAAAAHM4/+A=")</f>
        <v>#VALUE!</v>
      </c>
      <c r="HR379">
        <f>IF('STERLING CATALOG - FZN &amp; CHILL'!3145:3145,"AAAAAHM4/+E=",0)</f>
        <v>0</v>
      </c>
      <c r="HS379" t="e">
        <f>AND('STERLING CATALOG - FZN &amp; CHILL'!A3145,"AAAAAHM4/+I=")</f>
        <v>#VALUE!</v>
      </c>
      <c r="HT379" t="e">
        <f>AND('STERLING CATALOG - FZN &amp; CHILL'!B3145,"AAAAAHM4/+M=")</f>
        <v>#VALUE!</v>
      </c>
      <c r="HU379" t="e">
        <f>AND('STERLING CATALOG - FZN &amp; CHILL'!C3145,"AAAAAHM4/+Q=")</f>
        <v>#VALUE!</v>
      </c>
      <c r="HV379" t="e">
        <f>AND('STERLING CATALOG - FZN &amp; CHILL'!D3145,"AAAAAHM4/+U=")</f>
        <v>#VALUE!</v>
      </c>
      <c r="HW379" t="e">
        <f>AND('STERLING CATALOG - FZN &amp; CHILL'!E3145,"AAAAAHM4/+Y=")</f>
        <v>#VALUE!</v>
      </c>
      <c r="HX379" t="e">
        <f>AND('STERLING CATALOG - FZN &amp; CHILL'!F3145,"AAAAAHM4/+c=")</f>
        <v>#VALUE!</v>
      </c>
      <c r="HY379" t="e">
        <f>AND('STERLING CATALOG - FZN &amp; CHILL'!G3145,"AAAAAHM4/+g=")</f>
        <v>#VALUE!</v>
      </c>
      <c r="HZ379" t="e">
        <f>AND('STERLING CATALOG - FZN &amp; CHILL'!H3145,"AAAAAHM4/+k=")</f>
        <v>#VALUE!</v>
      </c>
      <c r="IA379" t="e">
        <f>AND('STERLING CATALOG - FZN &amp; CHILL'!I3145,"AAAAAHM4/+o=")</f>
        <v>#VALUE!</v>
      </c>
      <c r="IB379" t="e">
        <f>AND('STERLING CATALOG - FZN &amp; CHILL'!J3145,"AAAAAHM4/+s=")</f>
        <v>#VALUE!</v>
      </c>
      <c r="IC379">
        <f>IF('STERLING CATALOG - FZN &amp; CHILL'!3146:3146,"AAAAAHM4/+w=",0)</f>
        <v>0</v>
      </c>
      <c r="ID379" t="e">
        <f>AND('STERLING CATALOG - FZN &amp; CHILL'!A3146,"AAAAAHM4/+0=")</f>
        <v>#VALUE!</v>
      </c>
      <c r="IE379" t="e">
        <f>AND('STERLING CATALOG - FZN &amp; CHILL'!B3146,"AAAAAHM4/+4=")</f>
        <v>#VALUE!</v>
      </c>
      <c r="IF379" t="e">
        <f>AND('STERLING CATALOG - FZN &amp; CHILL'!C3146,"AAAAAHM4/+8=")</f>
        <v>#VALUE!</v>
      </c>
      <c r="IG379" t="e">
        <f>AND('STERLING CATALOG - FZN &amp; CHILL'!D3146,"AAAAAHM4//A=")</f>
        <v>#VALUE!</v>
      </c>
      <c r="IH379" t="e">
        <f>AND('STERLING CATALOG - FZN &amp; CHILL'!E3146,"AAAAAHM4//E=")</f>
        <v>#VALUE!</v>
      </c>
      <c r="II379" t="e">
        <f>AND('STERLING CATALOG - FZN &amp; CHILL'!F3146,"AAAAAHM4//I=")</f>
        <v>#VALUE!</v>
      </c>
      <c r="IJ379" t="e">
        <f>AND('STERLING CATALOG - FZN &amp; CHILL'!G3146,"AAAAAHM4//M=")</f>
        <v>#VALUE!</v>
      </c>
      <c r="IK379" t="e">
        <f>AND('STERLING CATALOG - FZN &amp; CHILL'!H3146,"AAAAAHM4//Q=")</f>
        <v>#VALUE!</v>
      </c>
      <c r="IL379" t="e">
        <f>AND('STERLING CATALOG - FZN &amp; CHILL'!I3146,"AAAAAHM4//U=")</f>
        <v>#VALUE!</v>
      </c>
      <c r="IM379" t="e">
        <f>AND('STERLING CATALOG - FZN &amp; CHILL'!J3146,"AAAAAHM4//Y=")</f>
        <v>#VALUE!</v>
      </c>
      <c r="IN379">
        <f>IF('STERLING CATALOG - FZN &amp; CHILL'!3147:3147,"AAAAAHM4//c=",0)</f>
        <v>0</v>
      </c>
      <c r="IO379" t="e">
        <f>AND('STERLING CATALOG - FZN &amp; CHILL'!A3147,"AAAAAHM4//g=")</f>
        <v>#VALUE!</v>
      </c>
      <c r="IP379" t="e">
        <f>AND('STERLING CATALOG - FZN &amp; CHILL'!B3147,"AAAAAHM4//k=")</f>
        <v>#VALUE!</v>
      </c>
      <c r="IQ379" t="e">
        <f>AND('STERLING CATALOG - FZN &amp; CHILL'!C3147,"AAAAAHM4//o=")</f>
        <v>#VALUE!</v>
      </c>
      <c r="IR379" t="e">
        <f>AND('STERLING CATALOG - FZN &amp; CHILL'!D3147,"AAAAAHM4//s=")</f>
        <v>#VALUE!</v>
      </c>
      <c r="IS379" t="e">
        <f>AND('STERLING CATALOG - FZN &amp; CHILL'!E3147,"AAAAAHM4//w=")</f>
        <v>#VALUE!</v>
      </c>
      <c r="IT379" t="e">
        <f>AND('STERLING CATALOG - FZN &amp; CHILL'!F3147,"AAAAAHM4//0=")</f>
        <v>#VALUE!</v>
      </c>
      <c r="IU379" t="e">
        <f>AND('STERLING CATALOG - FZN &amp; CHILL'!G3147,"AAAAAHM4//4=")</f>
        <v>#VALUE!</v>
      </c>
      <c r="IV379" t="e">
        <f>AND('STERLING CATALOG - FZN &amp; CHILL'!H3147,"AAAAAHM4//8=")</f>
        <v>#VALUE!</v>
      </c>
    </row>
    <row r="380" spans="1:256">
      <c r="A380" t="e">
        <f>AND('STERLING CATALOG - FZN &amp; CHILL'!I3147,"AAAAAH+X3QA=")</f>
        <v>#VALUE!</v>
      </c>
      <c r="B380" t="e">
        <f>AND('STERLING CATALOG - FZN &amp; CHILL'!J3147,"AAAAAH+X3QE=")</f>
        <v>#VALUE!</v>
      </c>
      <c r="C380" t="str">
        <f>IF('STERLING CATALOG - FZN &amp; CHILL'!3148:3148,"AAAAAH+X3QI=",0)</f>
        <v>AAAAAH+X3QI=</v>
      </c>
      <c r="D380" t="e">
        <f>AND('STERLING CATALOG - FZN &amp; CHILL'!A3148,"AAAAAH+X3QM=")</f>
        <v>#VALUE!</v>
      </c>
      <c r="E380" t="e">
        <f>AND('STERLING CATALOG - FZN &amp; CHILL'!B3148,"AAAAAH+X3QQ=")</f>
        <v>#VALUE!</v>
      </c>
      <c r="F380" t="e">
        <f>AND('STERLING CATALOG - FZN &amp; CHILL'!C3148,"AAAAAH+X3QU=")</f>
        <v>#VALUE!</v>
      </c>
      <c r="G380" t="e">
        <f>AND('STERLING CATALOG - FZN &amp; CHILL'!D3148,"AAAAAH+X3QY=")</f>
        <v>#VALUE!</v>
      </c>
      <c r="H380" t="e">
        <f>AND('STERLING CATALOG - FZN &amp; CHILL'!E3148,"AAAAAH+X3Qc=")</f>
        <v>#VALUE!</v>
      </c>
      <c r="I380" t="e">
        <f>AND('STERLING CATALOG - FZN &amp; CHILL'!F3148,"AAAAAH+X3Qg=")</f>
        <v>#VALUE!</v>
      </c>
      <c r="J380" t="e">
        <f>AND('STERLING CATALOG - FZN &amp; CHILL'!G3148,"AAAAAH+X3Qk=")</f>
        <v>#VALUE!</v>
      </c>
      <c r="K380" t="e">
        <f>AND('STERLING CATALOG - FZN &amp; CHILL'!H3148,"AAAAAH+X3Qo=")</f>
        <v>#VALUE!</v>
      </c>
      <c r="L380" t="e">
        <f>AND('STERLING CATALOG - FZN &amp; CHILL'!I3148,"AAAAAH+X3Qs=")</f>
        <v>#VALUE!</v>
      </c>
      <c r="M380" t="e">
        <f>AND('STERLING CATALOG - FZN &amp; CHILL'!J3148,"AAAAAH+X3Qw=")</f>
        <v>#VALUE!</v>
      </c>
      <c r="N380">
        <f>IF('STERLING CATALOG - FZN &amp; CHILL'!3149:3149,"AAAAAH+X3Q0=",0)</f>
        <v>0</v>
      </c>
      <c r="O380" t="e">
        <f>AND('STERLING CATALOG - FZN &amp; CHILL'!A3149,"AAAAAH+X3Q4=")</f>
        <v>#VALUE!</v>
      </c>
      <c r="P380" t="e">
        <f>AND('STERLING CATALOG - FZN &amp; CHILL'!B3149,"AAAAAH+X3Q8=")</f>
        <v>#VALUE!</v>
      </c>
      <c r="Q380" t="e">
        <f>AND('STERLING CATALOG - FZN &amp; CHILL'!C3149,"AAAAAH+X3RA=")</f>
        <v>#VALUE!</v>
      </c>
      <c r="R380" t="e">
        <f>AND('STERLING CATALOG - FZN &amp; CHILL'!D3149,"AAAAAH+X3RE=")</f>
        <v>#VALUE!</v>
      </c>
      <c r="S380" t="e">
        <f>AND('STERLING CATALOG - FZN &amp; CHILL'!E3149,"AAAAAH+X3RI=")</f>
        <v>#VALUE!</v>
      </c>
      <c r="T380" t="e">
        <f>AND('STERLING CATALOG - FZN &amp; CHILL'!F3149,"AAAAAH+X3RM=")</f>
        <v>#VALUE!</v>
      </c>
      <c r="U380" t="e">
        <f>AND('STERLING CATALOG - FZN &amp; CHILL'!G3149,"AAAAAH+X3RQ=")</f>
        <v>#VALUE!</v>
      </c>
      <c r="V380" t="e">
        <f>AND('STERLING CATALOG - FZN &amp; CHILL'!H3149,"AAAAAH+X3RU=")</f>
        <v>#VALUE!</v>
      </c>
      <c r="W380" t="e">
        <f>AND('STERLING CATALOG - FZN &amp; CHILL'!I3149,"AAAAAH+X3RY=")</f>
        <v>#VALUE!</v>
      </c>
      <c r="X380" t="e">
        <f>AND('STERLING CATALOG - FZN &amp; CHILL'!J3149,"AAAAAH+X3Rc=")</f>
        <v>#VALUE!</v>
      </c>
      <c r="Y380">
        <f>IF('STERLING CATALOG - FZN &amp; CHILL'!3150:3150,"AAAAAH+X3Rg=",0)</f>
        <v>0</v>
      </c>
      <c r="Z380" t="e">
        <f>AND('STERLING CATALOG - FZN &amp; CHILL'!A3150,"AAAAAH+X3Rk=")</f>
        <v>#VALUE!</v>
      </c>
      <c r="AA380" t="e">
        <f>AND('STERLING CATALOG - FZN &amp; CHILL'!B3150,"AAAAAH+X3Ro=")</f>
        <v>#VALUE!</v>
      </c>
      <c r="AB380" t="e">
        <f>AND('STERLING CATALOG - FZN &amp; CHILL'!C3150,"AAAAAH+X3Rs=")</f>
        <v>#VALUE!</v>
      </c>
      <c r="AC380" t="e">
        <f>AND('STERLING CATALOG - FZN &amp; CHILL'!D3150,"AAAAAH+X3Rw=")</f>
        <v>#VALUE!</v>
      </c>
      <c r="AD380" t="e">
        <f>AND('STERLING CATALOG - FZN &amp; CHILL'!E3150,"AAAAAH+X3R0=")</f>
        <v>#VALUE!</v>
      </c>
      <c r="AE380" t="e">
        <f>AND('STERLING CATALOG - FZN &amp; CHILL'!F3150,"AAAAAH+X3R4=")</f>
        <v>#VALUE!</v>
      </c>
      <c r="AF380" t="e">
        <f>AND('STERLING CATALOG - FZN &amp; CHILL'!G3150,"AAAAAH+X3R8=")</f>
        <v>#VALUE!</v>
      </c>
      <c r="AG380" t="e">
        <f>AND('STERLING CATALOG - FZN &amp; CHILL'!H3150,"AAAAAH+X3SA=")</f>
        <v>#VALUE!</v>
      </c>
      <c r="AH380" t="e">
        <f>AND('STERLING CATALOG - FZN &amp; CHILL'!I3150,"AAAAAH+X3SE=")</f>
        <v>#VALUE!</v>
      </c>
      <c r="AI380" t="e">
        <f>AND('STERLING CATALOG - FZN &amp; CHILL'!J3150,"AAAAAH+X3SI=")</f>
        <v>#VALUE!</v>
      </c>
      <c r="AJ380">
        <f>IF('STERLING CATALOG - FZN &amp; CHILL'!3151:3151,"AAAAAH+X3SM=",0)</f>
        <v>0</v>
      </c>
      <c r="AK380" t="e">
        <f>AND('STERLING CATALOG - FZN &amp; CHILL'!A3151,"AAAAAH+X3SQ=")</f>
        <v>#VALUE!</v>
      </c>
      <c r="AL380" t="e">
        <f>AND('STERLING CATALOG - FZN &amp; CHILL'!B3151,"AAAAAH+X3SU=")</f>
        <v>#VALUE!</v>
      </c>
      <c r="AM380" t="e">
        <f>AND('STERLING CATALOG - FZN &amp; CHILL'!C3151,"AAAAAH+X3SY=")</f>
        <v>#VALUE!</v>
      </c>
      <c r="AN380" t="e">
        <f>AND('STERLING CATALOG - FZN &amp; CHILL'!D3151,"AAAAAH+X3Sc=")</f>
        <v>#VALUE!</v>
      </c>
      <c r="AO380" t="e">
        <f>AND('STERLING CATALOG - FZN &amp; CHILL'!E3151,"AAAAAH+X3Sg=")</f>
        <v>#VALUE!</v>
      </c>
      <c r="AP380" t="e">
        <f>AND('STERLING CATALOG - FZN &amp; CHILL'!F3151,"AAAAAH+X3Sk=")</f>
        <v>#VALUE!</v>
      </c>
      <c r="AQ380" t="e">
        <f>AND('STERLING CATALOG - FZN &amp; CHILL'!G3151,"AAAAAH+X3So=")</f>
        <v>#VALUE!</v>
      </c>
      <c r="AR380" t="e">
        <f>AND('STERLING CATALOG - FZN &amp; CHILL'!H3151,"AAAAAH+X3Ss=")</f>
        <v>#VALUE!</v>
      </c>
      <c r="AS380" t="e">
        <f>AND('STERLING CATALOG - FZN &amp; CHILL'!I3151,"AAAAAH+X3Sw=")</f>
        <v>#VALUE!</v>
      </c>
      <c r="AT380" t="e">
        <f>AND('STERLING CATALOG - FZN &amp; CHILL'!J3151,"AAAAAH+X3S0=")</f>
        <v>#VALUE!</v>
      </c>
      <c r="AU380">
        <f>IF('STERLING CATALOG - FZN &amp; CHILL'!3152:3152,"AAAAAH+X3S4=",0)</f>
        <v>0</v>
      </c>
      <c r="AV380" t="e">
        <f>AND('STERLING CATALOG - FZN &amp; CHILL'!A3152,"AAAAAH+X3S8=")</f>
        <v>#VALUE!</v>
      </c>
      <c r="AW380" t="e">
        <f>AND('STERLING CATALOG - FZN &amp; CHILL'!B3152,"AAAAAH+X3TA=")</f>
        <v>#VALUE!</v>
      </c>
      <c r="AX380" t="e">
        <f>AND('STERLING CATALOG - FZN &amp; CHILL'!C3152,"AAAAAH+X3TE=")</f>
        <v>#VALUE!</v>
      </c>
      <c r="AY380" t="e">
        <f>AND('STERLING CATALOG - FZN &amp; CHILL'!D3152,"AAAAAH+X3TI=")</f>
        <v>#VALUE!</v>
      </c>
      <c r="AZ380" t="e">
        <f>AND('STERLING CATALOG - FZN &amp; CHILL'!E3152,"AAAAAH+X3TM=")</f>
        <v>#VALUE!</v>
      </c>
      <c r="BA380" t="e">
        <f>AND('STERLING CATALOG - FZN &amp; CHILL'!F3152,"AAAAAH+X3TQ=")</f>
        <v>#VALUE!</v>
      </c>
      <c r="BB380" t="e">
        <f>AND('STERLING CATALOG - FZN &amp; CHILL'!G3152,"AAAAAH+X3TU=")</f>
        <v>#VALUE!</v>
      </c>
      <c r="BC380" t="e">
        <f>AND('STERLING CATALOG - FZN &amp; CHILL'!H3152,"AAAAAH+X3TY=")</f>
        <v>#VALUE!</v>
      </c>
      <c r="BD380" t="e">
        <f>AND('STERLING CATALOG - FZN &amp; CHILL'!I3152,"AAAAAH+X3Tc=")</f>
        <v>#VALUE!</v>
      </c>
      <c r="BE380" t="e">
        <f>AND('STERLING CATALOG - FZN &amp; CHILL'!J3152,"AAAAAH+X3Tg=")</f>
        <v>#VALUE!</v>
      </c>
      <c r="BF380">
        <f>IF('STERLING CATALOG - FZN &amp; CHILL'!3153:3153,"AAAAAH+X3Tk=",0)</f>
        <v>0</v>
      </c>
      <c r="BG380" t="e">
        <f>AND('STERLING CATALOG - FZN &amp; CHILL'!A3153,"AAAAAH+X3To=")</f>
        <v>#VALUE!</v>
      </c>
      <c r="BH380" t="e">
        <f>AND('STERLING CATALOG - FZN &amp; CHILL'!B3153,"AAAAAH+X3Ts=")</f>
        <v>#VALUE!</v>
      </c>
      <c r="BI380" t="e">
        <f>AND('STERLING CATALOG - FZN &amp; CHILL'!C3153,"AAAAAH+X3Tw=")</f>
        <v>#VALUE!</v>
      </c>
      <c r="BJ380" t="e">
        <f>AND('STERLING CATALOG - FZN &amp; CHILL'!D3153,"AAAAAH+X3T0=")</f>
        <v>#VALUE!</v>
      </c>
      <c r="BK380" t="e">
        <f>AND('STERLING CATALOG - FZN &amp; CHILL'!E3153,"AAAAAH+X3T4=")</f>
        <v>#VALUE!</v>
      </c>
      <c r="BL380" t="e">
        <f>AND('STERLING CATALOG - FZN &amp; CHILL'!F3153,"AAAAAH+X3T8=")</f>
        <v>#VALUE!</v>
      </c>
      <c r="BM380" t="e">
        <f>AND('STERLING CATALOG - FZN &amp; CHILL'!G3153,"AAAAAH+X3UA=")</f>
        <v>#VALUE!</v>
      </c>
      <c r="BN380" t="e">
        <f>AND('STERLING CATALOG - FZN &amp; CHILL'!H3153,"AAAAAH+X3UE=")</f>
        <v>#VALUE!</v>
      </c>
      <c r="BO380" t="e">
        <f>AND('STERLING CATALOG - FZN &amp; CHILL'!I3153,"AAAAAH+X3UI=")</f>
        <v>#VALUE!</v>
      </c>
      <c r="BP380" t="e">
        <f>AND('STERLING CATALOG - FZN &amp; CHILL'!J3153,"AAAAAH+X3UM=")</f>
        <v>#VALUE!</v>
      </c>
      <c r="BQ380">
        <f>IF('STERLING CATALOG - FZN &amp; CHILL'!3154:3154,"AAAAAH+X3UQ=",0)</f>
        <v>0</v>
      </c>
      <c r="BR380" t="e">
        <f>AND('STERLING CATALOG - FZN &amp; CHILL'!A3154,"AAAAAH+X3UU=")</f>
        <v>#VALUE!</v>
      </c>
      <c r="BS380" t="e">
        <f>AND('STERLING CATALOG - FZN &amp; CHILL'!B3154,"AAAAAH+X3UY=")</f>
        <v>#VALUE!</v>
      </c>
      <c r="BT380" t="e">
        <f>AND('STERLING CATALOG - FZN &amp; CHILL'!C3154,"AAAAAH+X3Uc=")</f>
        <v>#VALUE!</v>
      </c>
      <c r="BU380" t="e">
        <f>AND('STERLING CATALOG - FZN &amp; CHILL'!D3154,"AAAAAH+X3Ug=")</f>
        <v>#VALUE!</v>
      </c>
      <c r="BV380" t="e">
        <f>AND('STERLING CATALOG - FZN &amp; CHILL'!E3154,"AAAAAH+X3Uk=")</f>
        <v>#VALUE!</v>
      </c>
      <c r="BW380" t="e">
        <f>AND('STERLING CATALOG - FZN &amp; CHILL'!F3154,"AAAAAH+X3Uo=")</f>
        <v>#VALUE!</v>
      </c>
      <c r="BX380" t="e">
        <f>AND('STERLING CATALOG - FZN &amp; CHILL'!G3154,"AAAAAH+X3Us=")</f>
        <v>#VALUE!</v>
      </c>
      <c r="BY380" t="e">
        <f>AND('STERLING CATALOG - FZN &amp; CHILL'!H3154,"AAAAAH+X3Uw=")</f>
        <v>#VALUE!</v>
      </c>
      <c r="BZ380" t="e">
        <f>AND('STERLING CATALOG - FZN &amp; CHILL'!I3154,"AAAAAH+X3U0=")</f>
        <v>#VALUE!</v>
      </c>
      <c r="CA380" t="e">
        <f>AND('STERLING CATALOG - FZN &amp; CHILL'!J3154,"AAAAAH+X3U4=")</f>
        <v>#VALUE!</v>
      </c>
      <c r="CB380">
        <f>IF('STERLING CATALOG - FZN &amp; CHILL'!3155:3155,"AAAAAH+X3U8=",0)</f>
        <v>0</v>
      </c>
      <c r="CC380" t="e">
        <f>AND('STERLING CATALOG - FZN &amp; CHILL'!A3155,"AAAAAH+X3VA=")</f>
        <v>#VALUE!</v>
      </c>
      <c r="CD380" t="e">
        <f>AND('STERLING CATALOG - FZN &amp; CHILL'!B3155,"AAAAAH+X3VE=")</f>
        <v>#VALUE!</v>
      </c>
      <c r="CE380" t="e">
        <f>AND('STERLING CATALOG - FZN &amp; CHILL'!C3155,"AAAAAH+X3VI=")</f>
        <v>#VALUE!</v>
      </c>
      <c r="CF380" t="e">
        <f>AND('STERLING CATALOG - FZN &amp; CHILL'!D3155,"AAAAAH+X3VM=")</f>
        <v>#VALUE!</v>
      </c>
      <c r="CG380" t="e">
        <f>AND('STERLING CATALOG - FZN &amp; CHILL'!E3155,"AAAAAH+X3VQ=")</f>
        <v>#VALUE!</v>
      </c>
      <c r="CH380" t="e">
        <f>AND('STERLING CATALOG - FZN &amp; CHILL'!F3155,"AAAAAH+X3VU=")</f>
        <v>#VALUE!</v>
      </c>
      <c r="CI380" t="e">
        <f>AND('STERLING CATALOG - FZN &amp; CHILL'!G3155,"AAAAAH+X3VY=")</f>
        <v>#VALUE!</v>
      </c>
      <c r="CJ380" t="e">
        <f>AND('STERLING CATALOG - FZN &amp; CHILL'!H3155,"AAAAAH+X3Vc=")</f>
        <v>#VALUE!</v>
      </c>
      <c r="CK380" t="e">
        <f>AND('STERLING CATALOG - FZN &amp; CHILL'!I3155,"AAAAAH+X3Vg=")</f>
        <v>#VALUE!</v>
      </c>
      <c r="CL380" t="e">
        <f>AND('STERLING CATALOG - FZN &amp; CHILL'!J3155,"AAAAAH+X3Vk=")</f>
        <v>#VALUE!</v>
      </c>
      <c r="CM380">
        <f>IF('STERLING CATALOG - FZN &amp; CHILL'!3156:3156,"AAAAAH+X3Vo=",0)</f>
        <v>0</v>
      </c>
      <c r="CN380" t="e">
        <f>AND('STERLING CATALOG - FZN &amp; CHILL'!A3156,"AAAAAH+X3Vs=")</f>
        <v>#VALUE!</v>
      </c>
      <c r="CO380" t="e">
        <f>AND('STERLING CATALOG - FZN &amp; CHILL'!B3156,"AAAAAH+X3Vw=")</f>
        <v>#VALUE!</v>
      </c>
      <c r="CP380" t="e">
        <f>AND('STERLING CATALOG - FZN &amp; CHILL'!C3156,"AAAAAH+X3V0=")</f>
        <v>#VALUE!</v>
      </c>
      <c r="CQ380" t="e">
        <f>AND('STERLING CATALOG - FZN &amp; CHILL'!D3156,"AAAAAH+X3V4=")</f>
        <v>#VALUE!</v>
      </c>
      <c r="CR380" t="e">
        <f>AND('STERLING CATALOG - FZN &amp; CHILL'!E3156,"AAAAAH+X3V8=")</f>
        <v>#VALUE!</v>
      </c>
      <c r="CS380" t="e">
        <f>AND('STERLING CATALOG - FZN &amp; CHILL'!F3156,"AAAAAH+X3WA=")</f>
        <v>#VALUE!</v>
      </c>
      <c r="CT380" t="e">
        <f>AND('STERLING CATALOG - FZN &amp; CHILL'!G3156,"AAAAAH+X3WE=")</f>
        <v>#VALUE!</v>
      </c>
      <c r="CU380" t="e">
        <f>AND('STERLING CATALOG - FZN &amp; CHILL'!H3156,"AAAAAH+X3WI=")</f>
        <v>#VALUE!</v>
      </c>
      <c r="CV380" t="e">
        <f>AND('STERLING CATALOG - FZN &amp; CHILL'!I3156,"AAAAAH+X3WM=")</f>
        <v>#VALUE!</v>
      </c>
      <c r="CW380" t="e">
        <f>AND('STERLING CATALOG - FZN &amp; CHILL'!J3156,"AAAAAH+X3WQ=")</f>
        <v>#VALUE!</v>
      </c>
      <c r="CX380">
        <f>IF('STERLING CATALOG - FZN &amp; CHILL'!3157:3157,"AAAAAH+X3WU=",0)</f>
        <v>0</v>
      </c>
      <c r="CY380" t="e">
        <f>AND('STERLING CATALOG - FZN &amp; CHILL'!A3157,"AAAAAH+X3WY=")</f>
        <v>#VALUE!</v>
      </c>
      <c r="CZ380" t="e">
        <f>AND('STERLING CATALOG - FZN &amp; CHILL'!B3157,"AAAAAH+X3Wc=")</f>
        <v>#VALUE!</v>
      </c>
      <c r="DA380" t="e">
        <f>AND('STERLING CATALOG - FZN &amp; CHILL'!C3157,"AAAAAH+X3Wg=")</f>
        <v>#VALUE!</v>
      </c>
      <c r="DB380" t="e">
        <f>AND('STERLING CATALOG - FZN &amp; CHILL'!D3157,"AAAAAH+X3Wk=")</f>
        <v>#VALUE!</v>
      </c>
      <c r="DC380" t="e">
        <f>AND('STERLING CATALOG - FZN &amp; CHILL'!E3157,"AAAAAH+X3Wo=")</f>
        <v>#VALUE!</v>
      </c>
      <c r="DD380" t="e">
        <f>AND('STERLING CATALOG - FZN &amp; CHILL'!F3157,"AAAAAH+X3Ws=")</f>
        <v>#VALUE!</v>
      </c>
      <c r="DE380" t="e">
        <f>AND('STERLING CATALOG - FZN &amp; CHILL'!G3157,"AAAAAH+X3Ww=")</f>
        <v>#VALUE!</v>
      </c>
      <c r="DF380" t="e">
        <f>AND('STERLING CATALOG - FZN &amp; CHILL'!H3157,"AAAAAH+X3W0=")</f>
        <v>#VALUE!</v>
      </c>
      <c r="DG380" t="e">
        <f>AND('STERLING CATALOG - FZN &amp; CHILL'!I3157,"AAAAAH+X3W4=")</f>
        <v>#VALUE!</v>
      </c>
      <c r="DH380" t="e">
        <f>AND('STERLING CATALOG - FZN &amp; CHILL'!J3157,"AAAAAH+X3W8=")</f>
        <v>#VALUE!</v>
      </c>
      <c r="DI380">
        <f>IF('STERLING CATALOG - FZN &amp; CHILL'!3158:3158,"AAAAAH+X3XA=",0)</f>
        <v>0</v>
      </c>
      <c r="DJ380" t="e">
        <f>AND('STERLING CATALOG - FZN &amp; CHILL'!A3158,"AAAAAH+X3XE=")</f>
        <v>#VALUE!</v>
      </c>
      <c r="DK380" t="e">
        <f>AND('STERLING CATALOG - FZN &amp; CHILL'!B3158,"AAAAAH+X3XI=")</f>
        <v>#VALUE!</v>
      </c>
      <c r="DL380" t="e">
        <f>AND('STERLING CATALOG - FZN &amp; CHILL'!C3158,"AAAAAH+X3XM=")</f>
        <v>#VALUE!</v>
      </c>
      <c r="DM380" t="e">
        <f>AND('STERLING CATALOG - FZN &amp; CHILL'!D3158,"AAAAAH+X3XQ=")</f>
        <v>#VALUE!</v>
      </c>
      <c r="DN380" t="e">
        <f>AND('STERLING CATALOG - FZN &amp; CHILL'!E3158,"AAAAAH+X3XU=")</f>
        <v>#VALUE!</v>
      </c>
      <c r="DO380" t="e">
        <f>AND('STERLING CATALOG - FZN &amp; CHILL'!F3158,"AAAAAH+X3XY=")</f>
        <v>#VALUE!</v>
      </c>
      <c r="DP380" t="e">
        <f>AND('STERLING CATALOG - FZN &amp; CHILL'!G3158,"AAAAAH+X3Xc=")</f>
        <v>#VALUE!</v>
      </c>
      <c r="DQ380" t="e">
        <f>AND('STERLING CATALOG - FZN &amp; CHILL'!H3158,"AAAAAH+X3Xg=")</f>
        <v>#VALUE!</v>
      </c>
      <c r="DR380" t="e">
        <f>AND('STERLING CATALOG - FZN &amp; CHILL'!I3158,"AAAAAH+X3Xk=")</f>
        <v>#VALUE!</v>
      </c>
      <c r="DS380" t="e">
        <f>AND('STERLING CATALOG - FZN &amp; CHILL'!J3158,"AAAAAH+X3Xo=")</f>
        <v>#VALUE!</v>
      </c>
      <c r="DT380">
        <f>IF('STERLING CATALOG - FZN &amp; CHILL'!3159:3159,"AAAAAH+X3Xs=",0)</f>
        <v>0</v>
      </c>
      <c r="DU380" t="e">
        <f>AND('STERLING CATALOG - FZN &amp; CHILL'!A3159,"AAAAAH+X3Xw=")</f>
        <v>#VALUE!</v>
      </c>
      <c r="DV380" t="e">
        <f>AND('STERLING CATALOG - FZN &amp; CHILL'!B3159,"AAAAAH+X3X0=")</f>
        <v>#VALUE!</v>
      </c>
      <c r="DW380" t="e">
        <f>AND('STERLING CATALOG - FZN &amp; CHILL'!C3159,"AAAAAH+X3X4=")</f>
        <v>#VALUE!</v>
      </c>
      <c r="DX380" t="e">
        <f>AND('STERLING CATALOG - FZN &amp; CHILL'!D3159,"AAAAAH+X3X8=")</f>
        <v>#VALUE!</v>
      </c>
      <c r="DY380" t="e">
        <f>AND('STERLING CATALOG - FZN &amp; CHILL'!E3159,"AAAAAH+X3YA=")</f>
        <v>#VALUE!</v>
      </c>
      <c r="DZ380" t="e">
        <f>AND('STERLING CATALOG - FZN &amp; CHILL'!F3159,"AAAAAH+X3YE=")</f>
        <v>#VALUE!</v>
      </c>
      <c r="EA380" t="e">
        <f>AND('STERLING CATALOG - FZN &amp; CHILL'!G3159,"AAAAAH+X3YI=")</f>
        <v>#VALUE!</v>
      </c>
      <c r="EB380" t="e">
        <f>AND('STERLING CATALOG - FZN &amp; CHILL'!H3159,"AAAAAH+X3YM=")</f>
        <v>#VALUE!</v>
      </c>
      <c r="EC380" t="e">
        <f>AND('STERLING CATALOG - FZN &amp; CHILL'!I3159,"AAAAAH+X3YQ=")</f>
        <v>#VALUE!</v>
      </c>
      <c r="ED380" t="e">
        <f>AND('STERLING CATALOG - FZN &amp; CHILL'!J3159,"AAAAAH+X3YU=")</f>
        <v>#VALUE!</v>
      </c>
      <c r="EE380">
        <f>IF('STERLING CATALOG - FZN &amp; CHILL'!3160:3160,"AAAAAH+X3YY=",0)</f>
        <v>0</v>
      </c>
      <c r="EF380" t="e">
        <f>AND('STERLING CATALOG - FZN &amp; CHILL'!A3160,"AAAAAH+X3Yc=")</f>
        <v>#VALUE!</v>
      </c>
      <c r="EG380" t="e">
        <f>AND('STERLING CATALOG - FZN &amp; CHILL'!B3160,"AAAAAH+X3Yg=")</f>
        <v>#VALUE!</v>
      </c>
      <c r="EH380" t="e">
        <f>AND('STERLING CATALOG - FZN &amp; CHILL'!C3160,"AAAAAH+X3Yk=")</f>
        <v>#VALUE!</v>
      </c>
      <c r="EI380" t="e">
        <f>AND('STERLING CATALOG - FZN &amp; CHILL'!D3160,"AAAAAH+X3Yo=")</f>
        <v>#VALUE!</v>
      </c>
      <c r="EJ380" t="e">
        <f>AND('STERLING CATALOG - FZN &amp; CHILL'!E3160,"AAAAAH+X3Ys=")</f>
        <v>#VALUE!</v>
      </c>
      <c r="EK380" t="e">
        <f>AND('STERLING CATALOG - FZN &amp; CHILL'!F3160,"AAAAAH+X3Yw=")</f>
        <v>#VALUE!</v>
      </c>
      <c r="EL380" t="e">
        <f>AND('STERLING CATALOG - FZN &amp; CHILL'!G3160,"AAAAAH+X3Y0=")</f>
        <v>#VALUE!</v>
      </c>
      <c r="EM380" t="e">
        <f>AND('STERLING CATALOG - FZN &amp; CHILL'!H3160,"AAAAAH+X3Y4=")</f>
        <v>#VALUE!</v>
      </c>
      <c r="EN380" t="e">
        <f>AND('STERLING CATALOG - FZN &amp; CHILL'!I3160,"AAAAAH+X3Y8=")</f>
        <v>#VALUE!</v>
      </c>
      <c r="EO380" t="e">
        <f>AND('STERLING CATALOG - FZN &amp; CHILL'!J3160,"AAAAAH+X3ZA=")</f>
        <v>#VALUE!</v>
      </c>
      <c r="EP380">
        <f>IF('STERLING CATALOG - FZN &amp; CHILL'!3161:3161,"AAAAAH+X3ZE=",0)</f>
        <v>0</v>
      </c>
      <c r="EQ380" t="e">
        <f>AND('STERLING CATALOG - FZN &amp; CHILL'!A3161,"AAAAAH+X3ZI=")</f>
        <v>#VALUE!</v>
      </c>
      <c r="ER380" t="e">
        <f>AND('STERLING CATALOG - FZN &amp; CHILL'!B3161,"AAAAAH+X3ZM=")</f>
        <v>#VALUE!</v>
      </c>
      <c r="ES380" t="e">
        <f>AND('STERLING CATALOG - FZN &amp; CHILL'!C3161,"AAAAAH+X3ZQ=")</f>
        <v>#VALUE!</v>
      </c>
      <c r="ET380" t="e">
        <f>AND('STERLING CATALOG - FZN &amp; CHILL'!D3161,"AAAAAH+X3ZU=")</f>
        <v>#VALUE!</v>
      </c>
      <c r="EU380" t="e">
        <f>AND('STERLING CATALOG - FZN &amp; CHILL'!E3161,"AAAAAH+X3ZY=")</f>
        <v>#VALUE!</v>
      </c>
      <c r="EV380" t="e">
        <f>AND('STERLING CATALOG - FZN &amp; CHILL'!F3161,"AAAAAH+X3Zc=")</f>
        <v>#VALUE!</v>
      </c>
      <c r="EW380" t="e">
        <f>AND('STERLING CATALOG - FZN &amp; CHILL'!G3161,"AAAAAH+X3Zg=")</f>
        <v>#VALUE!</v>
      </c>
      <c r="EX380" t="e">
        <f>AND('STERLING CATALOG - FZN &amp; CHILL'!H3161,"AAAAAH+X3Zk=")</f>
        <v>#VALUE!</v>
      </c>
      <c r="EY380" t="e">
        <f>AND('STERLING CATALOG - FZN &amp; CHILL'!I3161,"AAAAAH+X3Zo=")</f>
        <v>#VALUE!</v>
      </c>
      <c r="EZ380" t="e">
        <f>AND('STERLING CATALOG - FZN &amp; CHILL'!J3161,"AAAAAH+X3Zs=")</f>
        <v>#VALUE!</v>
      </c>
      <c r="FA380">
        <f>IF('STERLING CATALOG - FZN &amp; CHILL'!3162:3162,"AAAAAH+X3Zw=",0)</f>
        <v>0</v>
      </c>
      <c r="FB380" t="e">
        <f>AND('STERLING CATALOG - FZN &amp; CHILL'!A3162,"AAAAAH+X3Z0=")</f>
        <v>#VALUE!</v>
      </c>
      <c r="FC380" t="e">
        <f>AND('STERLING CATALOG - FZN &amp; CHILL'!B3162,"AAAAAH+X3Z4=")</f>
        <v>#VALUE!</v>
      </c>
      <c r="FD380" t="e">
        <f>AND('STERLING CATALOG - FZN &amp; CHILL'!C3162,"AAAAAH+X3Z8=")</f>
        <v>#VALUE!</v>
      </c>
      <c r="FE380" t="e">
        <f>AND('STERLING CATALOG - FZN &amp; CHILL'!D3162,"AAAAAH+X3aA=")</f>
        <v>#VALUE!</v>
      </c>
      <c r="FF380" t="e">
        <f>AND('STERLING CATALOG - FZN &amp; CHILL'!E3162,"AAAAAH+X3aE=")</f>
        <v>#VALUE!</v>
      </c>
      <c r="FG380" t="e">
        <f>AND('STERLING CATALOG - FZN &amp; CHILL'!F3162,"AAAAAH+X3aI=")</f>
        <v>#VALUE!</v>
      </c>
      <c r="FH380" t="e">
        <f>AND('STERLING CATALOG - FZN &amp; CHILL'!G3162,"AAAAAH+X3aM=")</f>
        <v>#VALUE!</v>
      </c>
      <c r="FI380" t="e">
        <f>AND('STERLING CATALOG - FZN &amp; CHILL'!H3162,"AAAAAH+X3aQ=")</f>
        <v>#VALUE!</v>
      </c>
      <c r="FJ380" t="e">
        <f>AND('STERLING CATALOG - FZN &amp; CHILL'!I3162,"AAAAAH+X3aU=")</f>
        <v>#VALUE!</v>
      </c>
      <c r="FK380" t="e">
        <f>AND('STERLING CATALOG - FZN &amp; CHILL'!J3162,"AAAAAH+X3aY=")</f>
        <v>#VALUE!</v>
      </c>
      <c r="FL380">
        <f>IF('STERLING CATALOG - FZN &amp; CHILL'!3163:3163,"AAAAAH+X3ac=",0)</f>
        <v>0</v>
      </c>
      <c r="FM380" t="e">
        <f>AND('STERLING CATALOG - FZN &amp; CHILL'!A3163,"AAAAAH+X3ag=")</f>
        <v>#VALUE!</v>
      </c>
      <c r="FN380" t="e">
        <f>AND('STERLING CATALOG - FZN &amp; CHILL'!B3163,"AAAAAH+X3ak=")</f>
        <v>#VALUE!</v>
      </c>
      <c r="FO380" t="e">
        <f>AND('STERLING CATALOG - FZN &amp; CHILL'!C3163,"AAAAAH+X3ao=")</f>
        <v>#VALUE!</v>
      </c>
      <c r="FP380" t="e">
        <f>AND('STERLING CATALOG - FZN &amp; CHILL'!D3163,"AAAAAH+X3as=")</f>
        <v>#VALUE!</v>
      </c>
      <c r="FQ380" t="e">
        <f>AND('STERLING CATALOG - FZN &amp; CHILL'!E3163,"AAAAAH+X3aw=")</f>
        <v>#VALUE!</v>
      </c>
      <c r="FR380" t="e">
        <f>AND('STERLING CATALOG - FZN &amp; CHILL'!F3163,"AAAAAH+X3a0=")</f>
        <v>#VALUE!</v>
      </c>
      <c r="FS380" t="e">
        <f>AND('STERLING CATALOG - FZN &amp; CHILL'!G3163,"AAAAAH+X3a4=")</f>
        <v>#VALUE!</v>
      </c>
      <c r="FT380" t="e">
        <f>AND('STERLING CATALOG - FZN &amp; CHILL'!H3163,"AAAAAH+X3a8=")</f>
        <v>#VALUE!</v>
      </c>
      <c r="FU380" t="e">
        <f>AND('STERLING CATALOG - FZN &amp; CHILL'!I3163,"AAAAAH+X3bA=")</f>
        <v>#VALUE!</v>
      </c>
      <c r="FV380" t="e">
        <f>AND('STERLING CATALOG - FZN &amp; CHILL'!J3163,"AAAAAH+X3bE=")</f>
        <v>#VALUE!</v>
      </c>
      <c r="FW380">
        <f>IF('STERLING CATALOG - FZN &amp; CHILL'!3164:3164,"AAAAAH+X3bI=",0)</f>
        <v>0</v>
      </c>
      <c r="FX380" t="e">
        <f>AND('STERLING CATALOG - FZN &amp; CHILL'!A3164,"AAAAAH+X3bM=")</f>
        <v>#VALUE!</v>
      </c>
      <c r="FY380" t="e">
        <f>AND('STERLING CATALOG - FZN &amp; CHILL'!B3164,"AAAAAH+X3bQ=")</f>
        <v>#VALUE!</v>
      </c>
      <c r="FZ380" t="e">
        <f>AND('STERLING CATALOG - FZN &amp; CHILL'!C3164,"AAAAAH+X3bU=")</f>
        <v>#VALUE!</v>
      </c>
      <c r="GA380" t="e">
        <f>AND('STERLING CATALOG - FZN &amp; CHILL'!D3164,"AAAAAH+X3bY=")</f>
        <v>#VALUE!</v>
      </c>
      <c r="GB380" t="e">
        <f>AND('STERLING CATALOG - FZN &amp; CHILL'!E3164,"AAAAAH+X3bc=")</f>
        <v>#VALUE!</v>
      </c>
      <c r="GC380" t="e">
        <f>AND('STERLING CATALOG - FZN &amp; CHILL'!F3164,"AAAAAH+X3bg=")</f>
        <v>#VALUE!</v>
      </c>
      <c r="GD380" t="e">
        <f>AND('STERLING CATALOG - FZN &amp; CHILL'!G3164,"AAAAAH+X3bk=")</f>
        <v>#VALUE!</v>
      </c>
      <c r="GE380" t="e">
        <f>AND('STERLING CATALOG - FZN &amp; CHILL'!H3164,"AAAAAH+X3bo=")</f>
        <v>#VALUE!</v>
      </c>
      <c r="GF380" t="e">
        <f>AND('STERLING CATALOG - FZN &amp; CHILL'!I3164,"AAAAAH+X3bs=")</f>
        <v>#VALUE!</v>
      </c>
      <c r="GG380" t="e">
        <f>AND('STERLING CATALOG - FZN &amp; CHILL'!J3164,"AAAAAH+X3bw=")</f>
        <v>#VALUE!</v>
      </c>
      <c r="GH380">
        <f>IF('STERLING CATALOG - FZN &amp; CHILL'!3165:3165,"AAAAAH+X3b0=",0)</f>
        <v>0</v>
      </c>
      <c r="GI380" t="e">
        <f>AND('STERLING CATALOG - FZN &amp; CHILL'!A3165,"AAAAAH+X3b4=")</f>
        <v>#VALUE!</v>
      </c>
      <c r="GJ380" t="e">
        <f>AND('STERLING CATALOG - FZN &amp; CHILL'!B3165,"AAAAAH+X3b8=")</f>
        <v>#VALUE!</v>
      </c>
      <c r="GK380" t="e">
        <f>AND('STERLING CATALOG - FZN &amp; CHILL'!C3165,"AAAAAH+X3cA=")</f>
        <v>#VALUE!</v>
      </c>
      <c r="GL380" t="e">
        <f>AND('STERLING CATALOG - FZN &amp; CHILL'!D3165,"AAAAAH+X3cE=")</f>
        <v>#VALUE!</v>
      </c>
      <c r="GM380" t="e">
        <f>AND('STERLING CATALOG - FZN &amp; CHILL'!E3165,"AAAAAH+X3cI=")</f>
        <v>#VALUE!</v>
      </c>
      <c r="GN380" t="e">
        <f>AND('STERLING CATALOG - FZN &amp; CHILL'!F3165,"AAAAAH+X3cM=")</f>
        <v>#VALUE!</v>
      </c>
      <c r="GO380" t="e">
        <f>AND('STERLING CATALOG - FZN &amp; CHILL'!G3165,"AAAAAH+X3cQ=")</f>
        <v>#VALUE!</v>
      </c>
      <c r="GP380" t="e">
        <f>AND('STERLING CATALOG - FZN &amp; CHILL'!H3165,"AAAAAH+X3cU=")</f>
        <v>#VALUE!</v>
      </c>
      <c r="GQ380" t="e">
        <f>AND('STERLING CATALOG - FZN &amp; CHILL'!I3165,"AAAAAH+X3cY=")</f>
        <v>#VALUE!</v>
      </c>
      <c r="GR380" t="e">
        <f>AND('STERLING CATALOG - FZN &amp; CHILL'!J3165,"AAAAAH+X3cc=")</f>
        <v>#VALUE!</v>
      </c>
      <c r="GS380">
        <f>IF('STERLING CATALOG - FZN &amp; CHILL'!3166:3166,"AAAAAH+X3cg=",0)</f>
        <v>0</v>
      </c>
      <c r="GT380" t="e">
        <f>AND('STERLING CATALOG - FZN &amp; CHILL'!A3166,"AAAAAH+X3ck=")</f>
        <v>#VALUE!</v>
      </c>
      <c r="GU380" t="e">
        <f>AND('STERLING CATALOG - FZN &amp; CHILL'!B3166,"AAAAAH+X3co=")</f>
        <v>#VALUE!</v>
      </c>
      <c r="GV380" t="e">
        <f>AND('STERLING CATALOG - FZN &amp; CHILL'!C3166,"AAAAAH+X3cs=")</f>
        <v>#VALUE!</v>
      </c>
      <c r="GW380" t="e">
        <f>AND('STERLING CATALOG - FZN &amp; CHILL'!D3166,"AAAAAH+X3cw=")</f>
        <v>#VALUE!</v>
      </c>
      <c r="GX380" t="e">
        <f>AND('STERLING CATALOG - FZN &amp; CHILL'!E3166,"AAAAAH+X3c0=")</f>
        <v>#VALUE!</v>
      </c>
      <c r="GY380" t="e">
        <f>AND('STERLING CATALOG - FZN &amp; CHILL'!F3166,"AAAAAH+X3c4=")</f>
        <v>#VALUE!</v>
      </c>
      <c r="GZ380" t="e">
        <f>AND('STERLING CATALOG - FZN &amp; CHILL'!G3166,"AAAAAH+X3c8=")</f>
        <v>#VALUE!</v>
      </c>
      <c r="HA380" t="e">
        <f>AND('STERLING CATALOG - FZN &amp; CHILL'!H3166,"AAAAAH+X3dA=")</f>
        <v>#VALUE!</v>
      </c>
      <c r="HB380" t="e">
        <f>AND('STERLING CATALOG - FZN &amp; CHILL'!I3166,"AAAAAH+X3dE=")</f>
        <v>#VALUE!</v>
      </c>
      <c r="HC380" t="e">
        <f>AND('STERLING CATALOG - FZN &amp; CHILL'!J3166,"AAAAAH+X3dI=")</f>
        <v>#VALUE!</v>
      </c>
      <c r="HD380">
        <f>IF('STERLING CATALOG - FZN &amp; CHILL'!3167:3167,"AAAAAH+X3dM=",0)</f>
        <v>0</v>
      </c>
      <c r="HE380" t="e">
        <f>AND('STERLING CATALOG - FZN &amp; CHILL'!A3167,"AAAAAH+X3dQ=")</f>
        <v>#VALUE!</v>
      </c>
      <c r="HF380" t="e">
        <f>AND('STERLING CATALOG - FZN &amp; CHILL'!B3167,"AAAAAH+X3dU=")</f>
        <v>#VALUE!</v>
      </c>
      <c r="HG380" t="e">
        <f>AND('STERLING CATALOG - FZN &amp; CHILL'!C3167,"AAAAAH+X3dY=")</f>
        <v>#VALUE!</v>
      </c>
      <c r="HH380" t="e">
        <f>AND('STERLING CATALOG - FZN &amp; CHILL'!D3167,"AAAAAH+X3dc=")</f>
        <v>#VALUE!</v>
      </c>
      <c r="HI380" t="e">
        <f>AND('STERLING CATALOG - FZN &amp; CHILL'!E3167,"AAAAAH+X3dg=")</f>
        <v>#VALUE!</v>
      </c>
      <c r="HJ380" t="e">
        <f>AND('STERLING CATALOG - FZN &amp; CHILL'!F3167,"AAAAAH+X3dk=")</f>
        <v>#VALUE!</v>
      </c>
      <c r="HK380" t="e">
        <f>AND('STERLING CATALOG - FZN &amp; CHILL'!G3167,"AAAAAH+X3do=")</f>
        <v>#VALUE!</v>
      </c>
      <c r="HL380" t="e">
        <f>AND('STERLING CATALOG - FZN &amp; CHILL'!H3167,"AAAAAH+X3ds=")</f>
        <v>#VALUE!</v>
      </c>
      <c r="HM380" t="e">
        <f>AND('STERLING CATALOG - FZN &amp; CHILL'!I3167,"AAAAAH+X3dw=")</f>
        <v>#VALUE!</v>
      </c>
      <c r="HN380" t="e">
        <f>AND('STERLING CATALOG - FZN &amp; CHILL'!J3167,"AAAAAH+X3d0=")</f>
        <v>#VALUE!</v>
      </c>
      <c r="HO380">
        <f>IF('STERLING CATALOG - FZN &amp; CHILL'!3168:3168,"AAAAAH+X3d4=",0)</f>
        <v>0</v>
      </c>
      <c r="HP380" t="e">
        <f>AND('STERLING CATALOG - FZN &amp; CHILL'!A3168,"AAAAAH+X3d8=")</f>
        <v>#VALUE!</v>
      </c>
      <c r="HQ380" t="e">
        <f>AND('STERLING CATALOG - FZN &amp; CHILL'!B3168,"AAAAAH+X3eA=")</f>
        <v>#VALUE!</v>
      </c>
      <c r="HR380" t="e">
        <f>AND('STERLING CATALOG - FZN &amp; CHILL'!C3168,"AAAAAH+X3eE=")</f>
        <v>#VALUE!</v>
      </c>
      <c r="HS380" t="e">
        <f>AND('STERLING CATALOG - FZN &amp; CHILL'!D3168,"AAAAAH+X3eI=")</f>
        <v>#VALUE!</v>
      </c>
      <c r="HT380" t="e">
        <f>AND('STERLING CATALOG - FZN &amp; CHILL'!E3168,"AAAAAH+X3eM=")</f>
        <v>#VALUE!</v>
      </c>
      <c r="HU380" t="e">
        <f>AND('STERLING CATALOG - FZN &amp; CHILL'!F3168,"AAAAAH+X3eQ=")</f>
        <v>#VALUE!</v>
      </c>
      <c r="HV380" t="e">
        <f>AND('STERLING CATALOG - FZN &amp; CHILL'!G3168,"AAAAAH+X3eU=")</f>
        <v>#VALUE!</v>
      </c>
      <c r="HW380" t="e">
        <f>AND('STERLING CATALOG - FZN &amp; CHILL'!H3168,"AAAAAH+X3eY=")</f>
        <v>#VALUE!</v>
      </c>
      <c r="HX380" t="e">
        <f>AND('STERLING CATALOG - FZN &amp; CHILL'!I3168,"AAAAAH+X3ec=")</f>
        <v>#VALUE!</v>
      </c>
      <c r="HY380" t="e">
        <f>AND('STERLING CATALOG - FZN &amp; CHILL'!J3168,"AAAAAH+X3eg=")</f>
        <v>#VALUE!</v>
      </c>
      <c r="HZ380">
        <f>IF('STERLING CATALOG - FZN &amp; CHILL'!3169:3169,"AAAAAH+X3ek=",0)</f>
        <v>0</v>
      </c>
      <c r="IA380" t="e">
        <f>AND('STERLING CATALOG - FZN &amp; CHILL'!A3169,"AAAAAH+X3eo=")</f>
        <v>#VALUE!</v>
      </c>
      <c r="IB380" t="e">
        <f>AND('STERLING CATALOG - FZN &amp; CHILL'!B3169,"AAAAAH+X3es=")</f>
        <v>#VALUE!</v>
      </c>
      <c r="IC380" t="e">
        <f>AND('STERLING CATALOG - FZN &amp; CHILL'!C3169,"AAAAAH+X3ew=")</f>
        <v>#VALUE!</v>
      </c>
      <c r="ID380" t="e">
        <f>AND('STERLING CATALOG - FZN &amp; CHILL'!D3169,"AAAAAH+X3e0=")</f>
        <v>#VALUE!</v>
      </c>
      <c r="IE380" t="e">
        <f>AND('STERLING CATALOG - FZN &amp; CHILL'!E3169,"AAAAAH+X3e4=")</f>
        <v>#VALUE!</v>
      </c>
      <c r="IF380" t="e">
        <f>AND('STERLING CATALOG - FZN &amp; CHILL'!F3169,"AAAAAH+X3e8=")</f>
        <v>#VALUE!</v>
      </c>
      <c r="IG380" t="e">
        <f>AND('STERLING CATALOG - FZN &amp; CHILL'!G3169,"AAAAAH+X3fA=")</f>
        <v>#VALUE!</v>
      </c>
      <c r="IH380" t="e">
        <f>AND('STERLING CATALOG - FZN &amp; CHILL'!H3169,"AAAAAH+X3fE=")</f>
        <v>#VALUE!</v>
      </c>
      <c r="II380" t="e">
        <f>AND('STERLING CATALOG - FZN &amp; CHILL'!I3169,"AAAAAH+X3fI=")</f>
        <v>#VALUE!</v>
      </c>
      <c r="IJ380" t="e">
        <f>AND('STERLING CATALOG - FZN &amp; CHILL'!J3169,"AAAAAH+X3fM=")</f>
        <v>#VALUE!</v>
      </c>
      <c r="IK380">
        <f>IF('STERLING CATALOG - FZN &amp; CHILL'!3170:3170,"AAAAAH+X3fQ=",0)</f>
        <v>0</v>
      </c>
      <c r="IL380" t="e">
        <f>AND('STERLING CATALOG - FZN &amp; CHILL'!A3170,"AAAAAH+X3fU=")</f>
        <v>#VALUE!</v>
      </c>
      <c r="IM380" t="e">
        <f>AND('STERLING CATALOG - FZN &amp; CHILL'!B3170,"AAAAAH+X3fY=")</f>
        <v>#VALUE!</v>
      </c>
      <c r="IN380" t="e">
        <f>AND('STERLING CATALOG - FZN &amp; CHILL'!C3170,"AAAAAH+X3fc=")</f>
        <v>#VALUE!</v>
      </c>
      <c r="IO380" t="e">
        <f>AND('STERLING CATALOG - FZN &amp; CHILL'!D3170,"AAAAAH+X3fg=")</f>
        <v>#VALUE!</v>
      </c>
      <c r="IP380" t="e">
        <f>AND('STERLING CATALOG - FZN &amp; CHILL'!E3170,"AAAAAH+X3fk=")</f>
        <v>#VALUE!</v>
      </c>
      <c r="IQ380" t="e">
        <f>AND('STERLING CATALOG - FZN &amp; CHILL'!F3170,"AAAAAH+X3fo=")</f>
        <v>#VALUE!</v>
      </c>
      <c r="IR380" t="e">
        <f>AND('STERLING CATALOG - FZN &amp; CHILL'!G3170,"AAAAAH+X3fs=")</f>
        <v>#VALUE!</v>
      </c>
      <c r="IS380" t="e">
        <f>AND('STERLING CATALOG - FZN &amp; CHILL'!H3170,"AAAAAH+X3fw=")</f>
        <v>#VALUE!</v>
      </c>
      <c r="IT380" t="e">
        <f>AND('STERLING CATALOG - FZN &amp; CHILL'!I3170,"AAAAAH+X3f0=")</f>
        <v>#VALUE!</v>
      </c>
      <c r="IU380" t="e">
        <f>AND('STERLING CATALOG - FZN &amp; CHILL'!J3170,"AAAAAH+X3f4=")</f>
        <v>#VALUE!</v>
      </c>
      <c r="IV380">
        <f>IF('STERLING CATALOG - FZN &amp; CHILL'!3171:3171,"AAAAAH+X3f8=",0)</f>
        <v>0</v>
      </c>
    </row>
    <row r="381" spans="1:256">
      <c r="A381" t="e">
        <f>AND('STERLING CATALOG - FZN &amp; CHILL'!A3171,"AAAAAH0/2wA=")</f>
        <v>#VALUE!</v>
      </c>
      <c r="B381" t="e">
        <f>AND('STERLING CATALOG - FZN &amp; CHILL'!B3171,"AAAAAH0/2wE=")</f>
        <v>#VALUE!</v>
      </c>
      <c r="C381" t="e">
        <f>AND('STERLING CATALOG - FZN &amp; CHILL'!C3171,"AAAAAH0/2wI=")</f>
        <v>#VALUE!</v>
      </c>
      <c r="D381" t="e">
        <f>AND('STERLING CATALOG - FZN &amp; CHILL'!D3171,"AAAAAH0/2wM=")</f>
        <v>#VALUE!</v>
      </c>
      <c r="E381" t="e">
        <f>AND('STERLING CATALOG - FZN &amp; CHILL'!E3171,"AAAAAH0/2wQ=")</f>
        <v>#VALUE!</v>
      </c>
      <c r="F381" t="e">
        <f>AND('STERLING CATALOG - FZN &amp; CHILL'!F3171,"AAAAAH0/2wU=")</f>
        <v>#VALUE!</v>
      </c>
      <c r="G381" t="e">
        <f>AND('STERLING CATALOG - FZN &amp; CHILL'!G3171,"AAAAAH0/2wY=")</f>
        <v>#VALUE!</v>
      </c>
      <c r="H381" t="e">
        <f>AND('STERLING CATALOG - FZN &amp; CHILL'!H3171,"AAAAAH0/2wc=")</f>
        <v>#VALUE!</v>
      </c>
      <c r="I381" t="e">
        <f>AND('STERLING CATALOG - FZN &amp; CHILL'!I3171,"AAAAAH0/2wg=")</f>
        <v>#VALUE!</v>
      </c>
      <c r="J381" t="e">
        <f>AND('STERLING CATALOG - FZN &amp; CHILL'!J3171,"AAAAAH0/2wk=")</f>
        <v>#VALUE!</v>
      </c>
      <c r="K381">
        <f>IF('STERLING CATALOG - FZN &amp; CHILL'!3172:3172,"AAAAAH0/2wo=",0)</f>
        <v>0</v>
      </c>
      <c r="L381" t="e">
        <f>AND('STERLING CATALOG - FZN &amp; CHILL'!A3172,"AAAAAH0/2ws=")</f>
        <v>#VALUE!</v>
      </c>
      <c r="M381" t="e">
        <f>AND('STERLING CATALOG - FZN &amp; CHILL'!B3172,"AAAAAH0/2ww=")</f>
        <v>#VALUE!</v>
      </c>
      <c r="N381" t="e">
        <f>AND('STERLING CATALOG - FZN &amp; CHILL'!C3172,"AAAAAH0/2w0=")</f>
        <v>#VALUE!</v>
      </c>
      <c r="O381" t="e">
        <f>AND('STERLING CATALOG - FZN &amp; CHILL'!D3172,"AAAAAH0/2w4=")</f>
        <v>#VALUE!</v>
      </c>
      <c r="P381" t="e">
        <f>AND('STERLING CATALOG - FZN &amp; CHILL'!E3172,"AAAAAH0/2w8=")</f>
        <v>#VALUE!</v>
      </c>
      <c r="Q381" t="e">
        <f>AND('STERLING CATALOG - FZN &amp; CHILL'!F3172,"AAAAAH0/2xA=")</f>
        <v>#VALUE!</v>
      </c>
      <c r="R381" t="e">
        <f>AND('STERLING CATALOG - FZN &amp; CHILL'!G3172,"AAAAAH0/2xE=")</f>
        <v>#VALUE!</v>
      </c>
      <c r="S381" t="e">
        <f>AND('STERLING CATALOG - FZN &amp; CHILL'!H3172,"AAAAAH0/2xI=")</f>
        <v>#VALUE!</v>
      </c>
      <c r="T381" t="e">
        <f>AND('STERLING CATALOG - FZN &amp; CHILL'!I3172,"AAAAAH0/2xM=")</f>
        <v>#VALUE!</v>
      </c>
      <c r="U381" t="e">
        <f>AND('STERLING CATALOG - FZN &amp; CHILL'!J3172,"AAAAAH0/2xQ=")</f>
        <v>#VALUE!</v>
      </c>
      <c r="V381">
        <f>IF('STERLING CATALOG - FZN &amp; CHILL'!3173:3173,"AAAAAH0/2xU=",0)</f>
        <v>0</v>
      </c>
      <c r="W381" t="e">
        <f>AND('STERLING CATALOG - FZN &amp; CHILL'!A3173,"AAAAAH0/2xY=")</f>
        <v>#VALUE!</v>
      </c>
      <c r="X381" t="e">
        <f>AND('STERLING CATALOG - FZN &amp; CHILL'!B3173,"AAAAAH0/2xc=")</f>
        <v>#VALUE!</v>
      </c>
      <c r="Y381" t="e">
        <f>AND('STERLING CATALOG - FZN &amp; CHILL'!C3173,"AAAAAH0/2xg=")</f>
        <v>#VALUE!</v>
      </c>
      <c r="Z381" t="e">
        <f>AND('STERLING CATALOG - FZN &amp; CHILL'!D3173,"AAAAAH0/2xk=")</f>
        <v>#VALUE!</v>
      </c>
      <c r="AA381" t="e">
        <f>AND('STERLING CATALOG - FZN &amp; CHILL'!E3173,"AAAAAH0/2xo=")</f>
        <v>#VALUE!</v>
      </c>
      <c r="AB381" t="e">
        <f>AND('STERLING CATALOG - FZN &amp; CHILL'!F3173,"AAAAAH0/2xs=")</f>
        <v>#VALUE!</v>
      </c>
      <c r="AC381" t="e">
        <f>AND('STERLING CATALOG - FZN &amp; CHILL'!G3173,"AAAAAH0/2xw=")</f>
        <v>#VALUE!</v>
      </c>
      <c r="AD381" t="e">
        <f>AND('STERLING CATALOG - FZN &amp; CHILL'!H3173,"AAAAAH0/2x0=")</f>
        <v>#VALUE!</v>
      </c>
      <c r="AE381" t="e">
        <f>AND('STERLING CATALOG - FZN &amp; CHILL'!I3173,"AAAAAH0/2x4=")</f>
        <v>#VALUE!</v>
      </c>
      <c r="AF381" t="e">
        <f>AND('STERLING CATALOG - FZN &amp; CHILL'!J3173,"AAAAAH0/2x8=")</f>
        <v>#VALUE!</v>
      </c>
      <c r="AG381">
        <f>IF('STERLING CATALOG - FZN &amp; CHILL'!3174:3174,"AAAAAH0/2yA=",0)</f>
        <v>0</v>
      </c>
      <c r="AH381" t="e">
        <f>AND('STERLING CATALOG - FZN &amp; CHILL'!A3174,"AAAAAH0/2yE=")</f>
        <v>#VALUE!</v>
      </c>
      <c r="AI381" t="e">
        <f>AND('STERLING CATALOG - FZN &amp; CHILL'!B3174,"AAAAAH0/2yI=")</f>
        <v>#VALUE!</v>
      </c>
      <c r="AJ381" t="e">
        <f>AND('STERLING CATALOG - FZN &amp; CHILL'!C3174,"AAAAAH0/2yM=")</f>
        <v>#VALUE!</v>
      </c>
      <c r="AK381" t="e">
        <f>AND('STERLING CATALOG - FZN &amp; CHILL'!D3174,"AAAAAH0/2yQ=")</f>
        <v>#VALUE!</v>
      </c>
      <c r="AL381" t="e">
        <f>AND('STERLING CATALOG - FZN &amp; CHILL'!E3174,"AAAAAH0/2yU=")</f>
        <v>#VALUE!</v>
      </c>
      <c r="AM381" t="e">
        <f>AND('STERLING CATALOG - FZN &amp; CHILL'!F3174,"AAAAAH0/2yY=")</f>
        <v>#VALUE!</v>
      </c>
      <c r="AN381" t="e">
        <f>AND('STERLING CATALOG - FZN &amp; CHILL'!G3174,"AAAAAH0/2yc=")</f>
        <v>#VALUE!</v>
      </c>
      <c r="AO381" t="e">
        <f>AND('STERLING CATALOG - FZN &amp; CHILL'!H3174,"AAAAAH0/2yg=")</f>
        <v>#VALUE!</v>
      </c>
      <c r="AP381" t="e">
        <f>AND('STERLING CATALOG - FZN &amp; CHILL'!I3174,"AAAAAH0/2yk=")</f>
        <v>#VALUE!</v>
      </c>
      <c r="AQ381" t="e">
        <f>AND('STERLING CATALOG - FZN &amp; CHILL'!J3174,"AAAAAH0/2yo=")</f>
        <v>#VALUE!</v>
      </c>
      <c r="AR381">
        <f>IF('STERLING CATALOG - FZN &amp; CHILL'!3175:3175,"AAAAAH0/2ys=",0)</f>
        <v>0</v>
      </c>
      <c r="AS381" t="e">
        <f>AND('STERLING CATALOG - FZN &amp; CHILL'!A3175,"AAAAAH0/2yw=")</f>
        <v>#VALUE!</v>
      </c>
      <c r="AT381" t="e">
        <f>AND('STERLING CATALOG - FZN &amp; CHILL'!B3175,"AAAAAH0/2y0=")</f>
        <v>#VALUE!</v>
      </c>
      <c r="AU381" t="e">
        <f>AND('STERLING CATALOG - FZN &amp; CHILL'!C3175,"AAAAAH0/2y4=")</f>
        <v>#VALUE!</v>
      </c>
      <c r="AV381" t="e">
        <f>AND('STERLING CATALOG - FZN &amp; CHILL'!D3175,"AAAAAH0/2y8=")</f>
        <v>#VALUE!</v>
      </c>
      <c r="AW381" t="e">
        <f>AND('STERLING CATALOG - FZN &amp; CHILL'!E3175,"AAAAAH0/2zA=")</f>
        <v>#VALUE!</v>
      </c>
      <c r="AX381" t="e">
        <f>AND('STERLING CATALOG - FZN &amp; CHILL'!F3175,"AAAAAH0/2zE=")</f>
        <v>#VALUE!</v>
      </c>
      <c r="AY381" t="e">
        <f>AND('STERLING CATALOG - FZN &amp; CHILL'!G3175,"AAAAAH0/2zI=")</f>
        <v>#VALUE!</v>
      </c>
      <c r="AZ381" t="e">
        <f>AND('STERLING CATALOG - FZN &amp; CHILL'!H3175,"AAAAAH0/2zM=")</f>
        <v>#VALUE!</v>
      </c>
      <c r="BA381" t="e">
        <f>AND('STERLING CATALOG - FZN &amp; CHILL'!I3175,"AAAAAH0/2zQ=")</f>
        <v>#VALUE!</v>
      </c>
      <c r="BB381" t="e">
        <f>AND('STERLING CATALOG - FZN &amp; CHILL'!J3175,"AAAAAH0/2zU=")</f>
        <v>#VALUE!</v>
      </c>
      <c r="BC381">
        <f>IF('STERLING CATALOG - FZN &amp; CHILL'!3176:3176,"AAAAAH0/2zY=",0)</f>
        <v>0</v>
      </c>
      <c r="BD381" t="e">
        <f>AND('STERLING CATALOG - FZN &amp; CHILL'!A3176,"AAAAAH0/2zc=")</f>
        <v>#VALUE!</v>
      </c>
      <c r="BE381" t="e">
        <f>AND('STERLING CATALOG - FZN &amp; CHILL'!B3176,"AAAAAH0/2zg=")</f>
        <v>#VALUE!</v>
      </c>
      <c r="BF381" t="e">
        <f>AND('STERLING CATALOG - FZN &amp; CHILL'!C3176,"AAAAAH0/2zk=")</f>
        <v>#VALUE!</v>
      </c>
      <c r="BG381" t="e">
        <f>AND('STERLING CATALOG - FZN &amp; CHILL'!D3176,"AAAAAH0/2zo=")</f>
        <v>#VALUE!</v>
      </c>
      <c r="BH381" t="e">
        <f>AND('STERLING CATALOG - FZN &amp; CHILL'!E3176,"AAAAAH0/2zs=")</f>
        <v>#VALUE!</v>
      </c>
      <c r="BI381" t="e">
        <f>AND('STERLING CATALOG - FZN &amp; CHILL'!F3176,"AAAAAH0/2zw=")</f>
        <v>#VALUE!</v>
      </c>
      <c r="BJ381" t="e">
        <f>AND('STERLING CATALOG - FZN &amp; CHILL'!G3176,"AAAAAH0/2z0=")</f>
        <v>#VALUE!</v>
      </c>
      <c r="BK381" t="e">
        <f>AND('STERLING CATALOG - FZN &amp; CHILL'!H3176,"AAAAAH0/2z4=")</f>
        <v>#VALUE!</v>
      </c>
      <c r="BL381" t="e">
        <f>AND('STERLING CATALOG - FZN &amp; CHILL'!I3176,"AAAAAH0/2z8=")</f>
        <v>#VALUE!</v>
      </c>
      <c r="BM381" t="e">
        <f>AND('STERLING CATALOG - FZN &amp; CHILL'!J3176,"AAAAAH0/20A=")</f>
        <v>#VALUE!</v>
      </c>
      <c r="BN381">
        <f>IF('STERLING CATALOG - FZN &amp; CHILL'!3177:3177,"AAAAAH0/20E=",0)</f>
        <v>0</v>
      </c>
      <c r="BO381" t="e">
        <f>AND('STERLING CATALOG - FZN &amp; CHILL'!A3177,"AAAAAH0/20I=")</f>
        <v>#VALUE!</v>
      </c>
      <c r="BP381" t="e">
        <f>AND('STERLING CATALOG - FZN &amp; CHILL'!B3177,"AAAAAH0/20M=")</f>
        <v>#VALUE!</v>
      </c>
      <c r="BQ381" t="e">
        <f>AND('STERLING CATALOG - FZN &amp; CHILL'!C3177,"AAAAAH0/20Q=")</f>
        <v>#VALUE!</v>
      </c>
      <c r="BR381" t="e">
        <f>AND('STERLING CATALOG - FZN &amp; CHILL'!D3177,"AAAAAH0/20U=")</f>
        <v>#VALUE!</v>
      </c>
      <c r="BS381" t="e">
        <f>AND('STERLING CATALOG - FZN &amp; CHILL'!E3177,"AAAAAH0/20Y=")</f>
        <v>#VALUE!</v>
      </c>
      <c r="BT381" t="e">
        <f>AND('STERLING CATALOG - FZN &amp; CHILL'!F3177,"AAAAAH0/20c=")</f>
        <v>#VALUE!</v>
      </c>
      <c r="BU381" t="e">
        <f>AND('STERLING CATALOG - FZN &amp; CHILL'!G3177,"AAAAAH0/20g=")</f>
        <v>#VALUE!</v>
      </c>
      <c r="BV381" t="e">
        <f>AND('STERLING CATALOG - FZN &amp; CHILL'!H3177,"AAAAAH0/20k=")</f>
        <v>#VALUE!</v>
      </c>
      <c r="BW381" t="e">
        <f>AND('STERLING CATALOG - FZN &amp; CHILL'!I3177,"AAAAAH0/20o=")</f>
        <v>#VALUE!</v>
      </c>
      <c r="BX381" t="e">
        <f>AND('STERLING CATALOG - FZN &amp; CHILL'!J3177,"AAAAAH0/20s=")</f>
        <v>#VALUE!</v>
      </c>
      <c r="BY381">
        <f>IF('STERLING CATALOG - FZN &amp; CHILL'!3178:3178,"AAAAAH0/20w=",0)</f>
        <v>0</v>
      </c>
      <c r="BZ381" t="e">
        <f>AND('STERLING CATALOG - FZN &amp; CHILL'!A3178,"AAAAAH0/200=")</f>
        <v>#VALUE!</v>
      </c>
      <c r="CA381" t="e">
        <f>AND('STERLING CATALOG - FZN &amp; CHILL'!B3178,"AAAAAH0/204=")</f>
        <v>#VALUE!</v>
      </c>
      <c r="CB381" t="e">
        <f>AND('STERLING CATALOG - FZN &amp; CHILL'!C3178,"AAAAAH0/208=")</f>
        <v>#VALUE!</v>
      </c>
      <c r="CC381" t="e">
        <f>AND('STERLING CATALOG - FZN &amp; CHILL'!D3178,"AAAAAH0/21A=")</f>
        <v>#VALUE!</v>
      </c>
      <c r="CD381" t="e">
        <f>AND('STERLING CATALOG - FZN &amp; CHILL'!E3178,"AAAAAH0/21E=")</f>
        <v>#VALUE!</v>
      </c>
      <c r="CE381" t="e">
        <f>AND('STERLING CATALOG - FZN &amp; CHILL'!F3178,"AAAAAH0/21I=")</f>
        <v>#VALUE!</v>
      </c>
      <c r="CF381" t="e">
        <f>AND('STERLING CATALOG - FZN &amp; CHILL'!G3178,"AAAAAH0/21M=")</f>
        <v>#VALUE!</v>
      </c>
      <c r="CG381" t="e">
        <f>AND('STERLING CATALOG - FZN &amp; CHILL'!H3178,"AAAAAH0/21Q=")</f>
        <v>#VALUE!</v>
      </c>
      <c r="CH381" t="e">
        <f>AND('STERLING CATALOG - FZN &amp; CHILL'!I3178,"AAAAAH0/21U=")</f>
        <v>#VALUE!</v>
      </c>
      <c r="CI381" t="e">
        <f>AND('STERLING CATALOG - FZN &amp; CHILL'!J3178,"AAAAAH0/21Y=")</f>
        <v>#VALUE!</v>
      </c>
      <c r="CJ381">
        <f>IF('STERLING CATALOG - FZN &amp; CHILL'!3179:3179,"AAAAAH0/21c=",0)</f>
        <v>0</v>
      </c>
      <c r="CK381" t="e">
        <f>AND('STERLING CATALOG - FZN &amp; CHILL'!A3179,"AAAAAH0/21g=")</f>
        <v>#VALUE!</v>
      </c>
      <c r="CL381" t="e">
        <f>AND('STERLING CATALOG - FZN &amp; CHILL'!B3179,"AAAAAH0/21k=")</f>
        <v>#VALUE!</v>
      </c>
      <c r="CM381" t="e">
        <f>AND('STERLING CATALOG - FZN &amp; CHILL'!C3179,"AAAAAH0/21o=")</f>
        <v>#VALUE!</v>
      </c>
      <c r="CN381" t="e">
        <f>AND('STERLING CATALOG - FZN &amp; CHILL'!D3179,"AAAAAH0/21s=")</f>
        <v>#VALUE!</v>
      </c>
      <c r="CO381" t="e">
        <f>AND('STERLING CATALOG - FZN &amp; CHILL'!E3179,"AAAAAH0/21w=")</f>
        <v>#VALUE!</v>
      </c>
      <c r="CP381" t="e">
        <f>AND('STERLING CATALOG - FZN &amp; CHILL'!F3179,"AAAAAH0/210=")</f>
        <v>#VALUE!</v>
      </c>
      <c r="CQ381" t="e">
        <f>AND('STERLING CATALOG - FZN &amp; CHILL'!G3179,"AAAAAH0/214=")</f>
        <v>#VALUE!</v>
      </c>
      <c r="CR381" t="e">
        <f>AND('STERLING CATALOG - FZN &amp; CHILL'!H3179,"AAAAAH0/218=")</f>
        <v>#VALUE!</v>
      </c>
      <c r="CS381" t="e">
        <f>AND('STERLING CATALOG - FZN &amp; CHILL'!I3179,"AAAAAH0/22A=")</f>
        <v>#VALUE!</v>
      </c>
      <c r="CT381" t="e">
        <f>AND('STERLING CATALOG - FZN &amp; CHILL'!J3179,"AAAAAH0/22E=")</f>
        <v>#VALUE!</v>
      </c>
      <c r="CU381">
        <f>IF('STERLING CATALOG - FZN &amp; CHILL'!3180:3180,"AAAAAH0/22I=",0)</f>
        <v>0</v>
      </c>
      <c r="CV381" t="e">
        <f>AND('STERLING CATALOG - FZN &amp; CHILL'!A3180,"AAAAAH0/22M=")</f>
        <v>#VALUE!</v>
      </c>
      <c r="CW381" t="e">
        <f>AND('STERLING CATALOG - FZN &amp; CHILL'!B3180,"AAAAAH0/22Q=")</f>
        <v>#VALUE!</v>
      </c>
      <c r="CX381" t="e">
        <f>AND('STERLING CATALOG - FZN &amp; CHILL'!C3180,"AAAAAH0/22U=")</f>
        <v>#VALUE!</v>
      </c>
      <c r="CY381" t="e">
        <f>AND('STERLING CATALOG - FZN &amp; CHILL'!D3180,"AAAAAH0/22Y=")</f>
        <v>#VALUE!</v>
      </c>
      <c r="CZ381" t="e">
        <f>AND('STERLING CATALOG - FZN &amp; CHILL'!E3180,"AAAAAH0/22c=")</f>
        <v>#VALUE!</v>
      </c>
      <c r="DA381" t="e">
        <f>AND('STERLING CATALOG - FZN &amp; CHILL'!F3180,"AAAAAH0/22g=")</f>
        <v>#VALUE!</v>
      </c>
      <c r="DB381" t="e">
        <f>AND('STERLING CATALOG - FZN &amp; CHILL'!G3180,"AAAAAH0/22k=")</f>
        <v>#VALUE!</v>
      </c>
      <c r="DC381" t="e">
        <f>AND('STERLING CATALOG - FZN &amp; CHILL'!H3180,"AAAAAH0/22o=")</f>
        <v>#VALUE!</v>
      </c>
      <c r="DD381" t="e">
        <f>AND('STERLING CATALOG - FZN &amp; CHILL'!I3180,"AAAAAH0/22s=")</f>
        <v>#VALUE!</v>
      </c>
      <c r="DE381" t="e">
        <f>AND('STERLING CATALOG - FZN &amp; CHILL'!J3180,"AAAAAH0/22w=")</f>
        <v>#VALUE!</v>
      </c>
      <c r="DF381">
        <f>IF('STERLING CATALOG - FZN &amp; CHILL'!3181:3181,"AAAAAH0/220=",0)</f>
        <v>0</v>
      </c>
      <c r="DG381" t="e">
        <f>AND('STERLING CATALOG - FZN &amp; CHILL'!A3181,"AAAAAH0/224=")</f>
        <v>#VALUE!</v>
      </c>
      <c r="DH381" t="e">
        <f>AND('STERLING CATALOG - FZN &amp; CHILL'!B3181,"AAAAAH0/228=")</f>
        <v>#VALUE!</v>
      </c>
      <c r="DI381" t="e">
        <f>AND('STERLING CATALOG - FZN &amp; CHILL'!C3181,"AAAAAH0/23A=")</f>
        <v>#VALUE!</v>
      </c>
      <c r="DJ381" t="e">
        <f>AND('STERLING CATALOG - FZN &amp; CHILL'!D3181,"AAAAAH0/23E=")</f>
        <v>#VALUE!</v>
      </c>
      <c r="DK381" t="e">
        <f>AND('STERLING CATALOG - FZN &amp; CHILL'!E3181,"AAAAAH0/23I=")</f>
        <v>#VALUE!</v>
      </c>
      <c r="DL381" t="e">
        <f>AND('STERLING CATALOG - FZN &amp; CHILL'!F3181,"AAAAAH0/23M=")</f>
        <v>#VALUE!</v>
      </c>
      <c r="DM381" t="e">
        <f>AND('STERLING CATALOG - FZN &amp; CHILL'!G3181,"AAAAAH0/23Q=")</f>
        <v>#VALUE!</v>
      </c>
      <c r="DN381" t="e">
        <f>AND('STERLING CATALOG - FZN &amp; CHILL'!H3181,"AAAAAH0/23U=")</f>
        <v>#VALUE!</v>
      </c>
      <c r="DO381" t="e">
        <f>AND('STERLING CATALOG - FZN &amp; CHILL'!I3181,"AAAAAH0/23Y=")</f>
        <v>#VALUE!</v>
      </c>
      <c r="DP381" t="e">
        <f>AND('STERLING CATALOG - FZN &amp; CHILL'!J3181,"AAAAAH0/23c=")</f>
        <v>#VALUE!</v>
      </c>
      <c r="DQ381">
        <f>IF('STERLING CATALOG - FZN &amp; CHILL'!3182:3182,"AAAAAH0/23g=",0)</f>
        <v>0</v>
      </c>
      <c r="DR381" t="e">
        <f>AND('STERLING CATALOG - FZN &amp; CHILL'!A3182,"AAAAAH0/23k=")</f>
        <v>#VALUE!</v>
      </c>
      <c r="DS381" t="e">
        <f>AND('STERLING CATALOG - FZN &amp; CHILL'!B3182,"AAAAAH0/23o=")</f>
        <v>#VALUE!</v>
      </c>
      <c r="DT381" t="e">
        <f>AND('STERLING CATALOG - FZN &amp; CHILL'!C3182,"AAAAAH0/23s=")</f>
        <v>#VALUE!</v>
      </c>
      <c r="DU381" t="e">
        <f>AND('STERLING CATALOG - FZN &amp; CHILL'!D3182,"AAAAAH0/23w=")</f>
        <v>#VALUE!</v>
      </c>
      <c r="DV381" t="e">
        <f>AND('STERLING CATALOG - FZN &amp; CHILL'!E3182,"AAAAAH0/230=")</f>
        <v>#VALUE!</v>
      </c>
      <c r="DW381" t="e">
        <f>AND('STERLING CATALOG - FZN &amp; CHILL'!F3182,"AAAAAH0/234=")</f>
        <v>#VALUE!</v>
      </c>
      <c r="DX381" t="e">
        <f>AND('STERLING CATALOG - FZN &amp; CHILL'!G3182,"AAAAAH0/238=")</f>
        <v>#VALUE!</v>
      </c>
      <c r="DY381" t="e">
        <f>AND('STERLING CATALOG - FZN &amp; CHILL'!H3182,"AAAAAH0/24A=")</f>
        <v>#VALUE!</v>
      </c>
      <c r="DZ381" t="e">
        <f>AND('STERLING CATALOG - FZN &amp; CHILL'!I3182,"AAAAAH0/24E=")</f>
        <v>#VALUE!</v>
      </c>
      <c r="EA381" t="e">
        <f>AND('STERLING CATALOG - FZN &amp; CHILL'!J3182,"AAAAAH0/24I=")</f>
        <v>#VALUE!</v>
      </c>
      <c r="EB381">
        <f>IF('STERLING CATALOG - FZN &amp; CHILL'!3183:3183,"AAAAAH0/24M=",0)</f>
        <v>0</v>
      </c>
      <c r="EC381" t="e">
        <f>AND('STERLING CATALOG - FZN &amp; CHILL'!A3183,"AAAAAH0/24Q=")</f>
        <v>#VALUE!</v>
      </c>
      <c r="ED381" t="e">
        <f>AND('STERLING CATALOG - FZN &amp; CHILL'!B3183,"AAAAAH0/24U=")</f>
        <v>#VALUE!</v>
      </c>
      <c r="EE381" t="e">
        <f>AND('STERLING CATALOG - FZN &amp; CHILL'!C3183,"AAAAAH0/24Y=")</f>
        <v>#VALUE!</v>
      </c>
      <c r="EF381" t="e">
        <f>AND('STERLING CATALOG - FZN &amp; CHILL'!D3183,"AAAAAH0/24c=")</f>
        <v>#VALUE!</v>
      </c>
      <c r="EG381" t="e">
        <f>AND('STERLING CATALOG - FZN &amp; CHILL'!E3183,"AAAAAH0/24g=")</f>
        <v>#VALUE!</v>
      </c>
      <c r="EH381" t="e">
        <f>AND('STERLING CATALOG - FZN &amp; CHILL'!F3183,"AAAAAH0/24k=")</f>
        <v>#VALUE!</v>
      </c>
      <c r="EI381" t="e">
        <f>AND('STERLING CATALOG - FZN &amp; CHILL'!G3183,"AAAAAH0/24o=")</f>
        <v>#VALUE!</v>
      </c>
      <c r="EJ381" t="e">
        <f>AND('STERLING CATALOG - FZN &amp; CHILL'!H3183,"AAAAAH0/24s=")</f>
        <v>#VALUE!</v>
      </c>
      <c r="EK381" t="e">
        <f>AND('STERLING CATALOG - FZN &amp; CHILL'!I3183,"AAAAAH0/24w=")</f>
        <v>#VALUE!</v>
      </c>
      <c r="EL381" t="e">
        <f>AND('STERLING CATALOG - FZN &amp; CHILL'!J3183,"AAAAAH0/240=")</f>
        <v>#VALUE!</v>
      </c>
      <c r="EM381">
        <f>IF('STERLING CATALOG - FZN &amp; CHILL'!3184:3184,"AAAAAH0/244=",0)</f>
        <v>0</v>
      </c>
      <c r="EN381" t="e">
        <f>AND('STERLING CATALOG - FZN &amp; CHILL'!A3184,"AAAAAH0/248=")</f>
        <v>#VALUE!</v>
      </c>
      <c r="EO381" t="e">
        <f>AND('STERLING CATALOG - FZN &amp; CHILL'!B3184,"AAAAAH0/25A=")</f>
        <v>#VALUE!</v>
      </c>
      <c r="EP381" t="e">
        <f>AND('STERLING CATALOG - FZN &amp; CHILL'!C3184,"AAAAAH0/25E=")</f>
        <v>#VALUE!</v>
      </c>
      <c r="EQ381" t="e">
        <f>AND('STERLING CATALOG - FZN &amp; CHILL'!D3184,"AAAAAH0/25I=")</f>
        <v>#VALUE!</v>
      </c>
      <c r="ER381" t="e">
        <f>AND('STERLING CATALOG - FZN &amp; CHILL'!E3184,"AAAAAH0/25M=")</f>
        <v>#VALUE!</v>
      </c>
      <c r="ES381" t="e">
        <f>AND('STERLING CATALOG - FZN &amp; CHILL'!F3184,"AAAAAH0/25Q=")</f>
        <v>#VALUE!</v>
      </c>
      <c r="ET381" t="e">
        <f>AND('STERLING CATALOG - FZN &amp; CHILL'!G3184,"AAAAAH0/25U=")</f>
        <v>#VALUE!</v>
      </c>
      <c r="EU381" t="e">
        <f>AND('STERLING CATALOG - FZN &amp; CHILL'!H3184,"AAAAAH0/25Y=")</f>
        <v>#VALUE!</v>
      </c>
      <c r="EV381" t="e">
        <f>AND('STERLING CATALOG - FZN &amp; CHILL'!I3184,"AAAAAH0/25c=")</f>
        <v>#VALUE!</v>
      </c>
      <c r="EW381" t="e">
        <f>AND('STERLING CATALOG - FZN &amp; CHILL'!J3184,"AAAAAH0/25g=")</f>
        <v>#VALUE!</v>
      </c>
      <c r="EX381">
        <f>IF('STERLING CATALOG - FZN &amp; CHILL'!3185:3185,"AAAAAH0/25k=",0)</f>
        <v>0</v>
      </c>
      <c r="EY381" t="e">
        <f>AND('STERLING CATALOG - FZN &amp; CHILL'!A3185,"AAAAAH0/25o=")</f>
        <v>#VALUE!</v>
      </c>
      <c r="EZ381" t="e">
        <f>AND('STERLING CATALOG - FZN &amp; CHILL'!B3185,"AAAAAH0/25s=")</f>
        <v>#VALUE!</v>
      </c>
      <c r="FA381" t="e">
        <f>AND('STERLING CATALOG - FZN &amp; CHILL'!C3185,"AAAAAH0/25w=")</f>
        <v>#VALUE!</v>
      </c>
      <c r="FB381" t="e">
        <f>AND('STERLING CATALOG - FZN &amp; CHILL'!D3185,"AAAAAH0/250=")</f>
        <v>#VALUE!</v>
      </c>
      <c r="FC381" t="e">
        <f>AND('STERLING CATALOG - FZN &amp; CHILL'!E3185,"AAAAAH0/254=")</f>
        <v>#VALUE!</v>
      </c>
      <c r="FD381" t="e">
        <f>AND('STERLING CATALOG - FZN &amp; CHILL'!F3185,"AAAAAH0/258=")</f>
        <v>#VALUE!</v>
      </c>
      <c r="FE381" t="e">
        <f>AND('STERLING CATALOG - FZN &amp; CHILL'!G3185,"AAAAAH0/26A=")</f>
        <v>#VALUE!</v>
      </c>
      <c r="FF381" t="e">
        <f>AND('STERLING CATALOG - FZN &amp; CHILL'!H3185,"AAAAAH0/26E=")</f>
        <v>#VALUE!</v>
      </c>
      <c r="FG381" t="e">
        <f>AND('STERLING CATALOG - FZN &amp; CHILL'!I3185,"AAAAAH0/26I=")</f>
        <v>#VALUE!</v>
      </c>
      <c r="FH381" t="e">
        <f>AND('STERLING CATALOG - FZN &amp; CHILL'!J3185,"AAAAAH0/26M=")</f>
        <v>#VALUE!</v>
      </c>
      <c r="FI381">
        <f>IF('STERLING CATALOG - FZN &amp; CHILL'!3186:3186,"AAAAAH0/26Q=",0)</f>
        <v>0</v>
      </c>
      <c r="FJ381" t="e">
        <f>AND('STERLING CATALOG - FZN &amp; CHILL'!A3186,"AAAAAH0/26U=")</f>
        <v>#VALUE!</v>
      </c>
      <c r="FK381" t="e">
        <f>AND('STERLING CATALOG - FZN &amp; CHILL'!B3186,"AAAAAH0/26Y=")</f>
        <v>#VALUE!</v>
      </c>
      <c r="FL381" t="e">
        <f>AND('STERLING CATALOG - FZN &amp; CHILL'!C3186,"AAAAAH0/26c=")</f>
        <v>#VALUE!</v>
      </c>
      <c r="FM381" t="e">
        <f>AND('STERLING CATALOG - FZN &amp; CHILL'!D3186,"AAAAAH0/26g=")</f>
        <v>#VALUE!</v>
      </c>
      <c r="FN381" t="e">
        <f>AND('STERLING CATALOG - FZN &amp; CHILL'!E3186,"AAAAAH0/26k=")</f>
        <v>#VALUE!</v>
      </c>
      <c r="FO381" t="e">
        <f>AND('STERLING CATALOG - FZN &amp; CHILL'!F3186,"AAAAAH0/26o=")</f>
        <v>#VALUE!</v>
      </c>
      <c r="FP381" t="e">
        <f>AND('STERLING CATALOG - FZN &amp; CHILL'!G3186,"AAAAAH0/26s=")</f>
        <v>#VALUE!</v>
      </c>
      <c r="FQ381" t="e">
        <f>AND('STERLING CATALOG - FZN &amp; CHILL'!H3186,"AAAAAH0/26w=")</f>
        <v>#VALUE!</v>
      </c>
      <c r="FR381" t="e">
        <f>AND('STERLING CATALOG - FZN &amp; CHILL'!I3186,"AAAAAH0/260=")</f>
        <v>#VALUE!</v>
      </c>
      <c r="FS381" t="e">
        <f>AND('STERLING CATALOG - FZN &amp; CHILL'!J3186,"AAAAAH0/264=")</f>
        <v>#VALUE!</v>
      </c>
      <c r="FT381">
        <f>IF('STERLING CATALOG - FZN &amp; CHILL'!3187:3187,"AAAAAH0/268=",0)</f>
        <v>0</v>
      </c>
      <c r="FU381" t="e">
        <f>AND('STERLING CATALOG - FZN &amp; CHILL'!A3187,"AAAAAH0/27A=")</f>
        <v>#VALUE!</v>
      </c>
      <c r="FV381" t="e">
        <f>AND('STERLING CATALOG - FZN &amp; CHILL'!B3187,"AAAAAH0/27E=")</f>
        <v>#VALUE!</v>
      </c>
      <c r="FW381" t="e">
        <f>AND('STERLING CATALOG - FZN &amp; CHILL'!C3187,"AAAAAH0/27I=")</f>
        <v>#VALUE!</v>
      </c>
      <c r="FX381" t="e">
        <f>AND('STERLING CATALOG - FZN &amp; CHILL'!D3187,"AAAAAH0/27M=")</f>
        <v>#VALUE!</v>
      </c>
      <c r="FY381" t="e">
        <f>AND('STERLING CATALOG - FZN &amp; CHILL'!E3187,"AAAAAH0/27Q=")</f>
        <v>#VALUE!</v>
      </c>
      <c r="FZ381" t="e">
        <f>AND('STERLING CATALOG - FZN &amp; CHILL'!F3187,"AAAAAH0/27U=")</f>
        <v>#VALUE!</v>
      </c>
      <c r="GA381" t="e">
        <f>AND('STERLING CATALOG - FZN &amp; CHILL'!G3187,"AAAAAH0/27Y=")</f>
        <v>#VALUE!</v>
      </c>
      <c r="GB381" t="e">
        <f>AND('STERLING CATALOG - FZN &amp; CHILL'!H3187,"AAAAAH0/27c=")</f>
        <v>#VALUE!</v>
      </c>
      <c r="GC381" t="e">
        <f>AND('STERLING CATALOG - FZN &amp; CHILL'!I3187,"AAAAAH0/27g=")</f>
        <v>#VALUE!</v>
      </c>
      <c r="GD381" t="e">
        <f>AND('STERLING CATALOG - FZN &amp; CHILL'!J3187,"AAAAAH0/27k=")</f>
        <v>#VALUE!</v>
      </c>
      <c r="GE381">
        <f>IF('STERLING CATALOG - FZN &amp; CHILL'!3188:3188,"AAAAAH0/27o=",0)</f>
        <v>0</v>
      </c>
      <c r="GF381" t="e">
        <f>AND('STERLING CATALOG - FZN &amp; CHILL'!A3188,"AAAAAH0/27s=")</f>
        <v>#VALUE!</v>
      </c>
      <c r="GG381" t="e">
        <f>AND('STERLING CATALOG - FZN &amp; CHILL'!B3188,"AAAAAH0/27w=")</f>
        <v>#VALUE!</v>
      </c>
      <c r="GH381" t="e">
        <f>AND('STERLING CATALOG - FZN &amp; CHILL'!C3188,"AAAAAH0/270=")</f>
        <v>#VALUE!</v>
      </c>
      <c r="GI381" t="e">
        <f>AND('STERLING CATALOG - FZN &amp; CHILL'!D3188,"AAAAAH0/274=")</f>
        <v>#VALUE!</v>
      </c>
      <c r="GJ381" t="e">
        <f>AND('STERLING CATALOG - FZN &amp; CHILL'!E3188,"AAAAAH0/278=")</f>
        <v>#VALUE!</v>
      </c>
      <c r="GK381" t="e">
        <f>AND('STERLING CATALOG - FZN &amp; CHILL'!F3188,"AAAAAH0/28A=")</f>
        <v>#VALUE!</v>
      </c>
      <c r="GL381" t="e">
        <f>AND('STERLING CATALOG - FZN &amp; CHILL'!G3188,"AAAAAH0/28E=")</f>
        <v>#VALUE!</v>
      </c>
      <c r="GM381" t="e">
        <f>AND('STERLING CATALOG - FZN &amp; CHILL'!H3188,"AAAAAH0/28I=")</f>
        <v>#VALUE!</v>
      </c>
      <c r="GN381" t="e">
        <f>AND('STERLING CATALOG - FZN &amp; CHILL'!I3188,"AAAAAH0/28M=")</f>
        <v>#VALUE!</v>
      </c>
      <c r="GO381" t="e">
        <f>AND('STERLING CATALOG - FZN &amp; CHILL'!J3188,"AAAAAH0/28Q=")</f>
        <v>#VALUE!</v>
      </c>
      <c r="GP381">
        <f>IF('STERLING CATALOG - FZN &amp; CHILL'!3189:3189,"AAAAAH0/28U=",0)</f>
        <v>0</v>
      </c>
      <c r="GQ381" t="e">
        <f>AND('STERLING CATALOG - FZN &amp; CHILL'!A3189,"AAAAAH0/28Y=")</f>
        <v>#VALUE!</v>
      </c>
      <c r="GR381" t="e">
        <f>AND('STERLING CATALOG - FZN &amp; CHILL'!B3189,"AAAAAH0/28c=")</f>
        <v>#VALUE!</v>
      </c>
      <c r="GS381" t="e">
        <f>AND('STERLING CATALOG - FZN &amp; CHILL'!C3189,"AAAAAH0/28g=")</f>
        <v>#VALUE!</v>
      </c>
      <c r="GT381" t="e">
        <f>AND('STERLING CATALOG - FZN &amp; CHILL'!D3189,"AAAAAH0/28k=")</f>
        <v>#VALUE!</v>
      </c>
      <c r="GU381" t="e">
        <f>AND('STERLING CATALOG - FZN &amp; CHILL'!E3189,"AAAAAH0/28o=")</f>
        <v>#VALUE!</v>
      </c>
      <c r="GV381" t="e">
        <f>AND('STERLING CATALOG - FZN &amp; CHILL'!F3189,"AAAAAH0/28s=")</f>
        <v>#VALUE!</v>
      </c>
      <c r="GW381" t="e">
        <f>AND('STERLING CATALOG - FZN &amp; CHILL'!G3189,"AAAAAH0/28w=")</f>
        <v>#VALUE!</v>
      </c>
      <c r="GX381" t="e">
        <f>AND('STERLING CATALOG - FZN &amp; CHILL'!H3189,"AAAAAH0/280=")</f>
        <v>#VALUE!</v>
      </c>
      <c r="GY381" t="e">
        <f>AND('STERLING CATALOG - FZN &amp; CHILL'!I3189,"AAAAAH0/284=")</f>
        <v>#VALUE!</v>
      </c>
      <c r="GZ381" t="e">
        <f>AND('STERLING CATALOG - FZN &amp; CHILL'!J3189,"AAAAAH0/288=")</f>
        <v>#VALUE!</v>
      </c>
      <c r="HA381">
        <f>IF('STERLING CATALOG - FZN &amp; CHILL'!3190:3190,"AAAAAH0/29A=",0)</f>
        <v>0</v>
      </c>
      <c r="HB381" t="e">
        <f>AND('STERLING CATALOG - FZN &amp; CHILL'!A3190,"AAAAAH0/29E=")</f>
        <v>#VALUE!</v>
      </c>
      <c r="HC381" t="e">
        <f>AND('STERLING CATALOG - FZN &amp; CHILL'!B3190,"AAAAAH0/29I=")</f>
        <v>#VALUE!</v>
      </c>
      <c r="HD381" t="e">
        <f>AND('STERLING CATALOG - FZN &amp; CHILL'!C3190,"AAAAAH0/29M=")</f>
        <v>#VALUE!</v>
      </c>
      <c r="HE381" t="e">
        <f>AND('STERLING CATALOG - FZN &amp; CHILL'!D3190,"AAAAAH0/29Q=")</f>
        <v>#VALUE!</v>
      </c>
      <c r="HF381" t="e">
        <f>AND('STERLING CATALOG - FZN &amp; CHILL'!E3190,"AAAAAH0/29U=")</f>
        <v>#VALUE!</v>
      </c>
      <c r="HG381" t="e">
        <f>AND('STERLING CATALOG - FZN &amp; CHILL'!F3190,"AAAAAH0/29Y=")</f>
        <v>#VALUE!</v>
      </c>
      <c r="HH381" t="e">
        <f>AND('STERLING CATALOG - FZN &amp; CHILL'!G3190,"AAAAAH0/29c=")</f>
        <v>#VALUE!</v>
      </c>
      <c r="HI381" t="e">
        <f>AND('STERLING CATALOG - FZN &amp; CHILL'!H3190,"AAAAAH0/29g=")</f>
        <v>#VALUE!</v>
      </c>
      <c r="HJ381" t="e">
        <f>AND('STERLING CATALOG - FZN &amp; CHILL'!I3190,"AAAAAH0/29k=")</f>
        <v>#VALUE!</v>
      </c>
      <c r="HK381" t="e">
        <f>AND('STERLING CATALOG - FZN &amp; CHILL'!J3190,"AAAAAH0/29o=")</f>
        <v>#VALUE!</v>
      </c>
      <c r="HL381">
        <f>IF('STERLING CATALOG - FZN &amp; CHILL'!3191:3191,"AAAAAH0/29s=",0)</f>
        <v>0</v>
      </c>
      <c r="HM381" t="e">
        <f>AND('STERLING CATALOG - FZN &amp; CHILL'!A3191,"AAAAAH0/29w=")</f>
        <v>#VALUE!</v>
      </c>
      <c r="HN381" t="e">
        <f>AND('STERLING CATALOG - FZN &amp; CHILL'!B3191,"AAAAAH0/290=")</f>
        <v>#VALUE!</v>
      </c>
      <c r="HO381" t="e">
        <f>AND('STERLING CATALOG - FZN &amp; CHILL'!C3191,"AAAAAH0/294=")</f>
        <v>#VALUE!</v>
      </c>
      <c r="HP381" t="e">
        <f>AND('STERLING CATALOG - FZN &amp; CHILL'!D3191,"AAAAAH0/298=")</f>
        <v>#VALUE!</v>
      </c>
      <c r="HQ381" t="e">
        <f>AND('STERLING CATALOG - FZN &amp; CHILL'!E3191,"AAAAAH0/2+A=")</f>
        <v>#VALUE!</v>
      </c>
      <c r="HR381" t="e">
        <f>AND('STERLING CATALOG - FZN &amp; CHILL'!F3191,"AAAAAH0/2+E=")</f>
        <v>#VALUE!</v>
      </c>
      <c r="HS381" t="e">
        <f>AND('STERLING CATALOG - FZN &amp; CHILL'!G3191,"AAAAAH0/2+I=")</f>
        <v>#VALUE!</v>
      </c>
      <c r="HT381" t="e">
        <f>AND('STERLING CATALOG - FZN &amp; CHILL'!H3191,"AAAAAH0/2+M=")</f>
        <v>#VALUE!</v>
      </c>
      <c r="HU381" t="e">
        <f>AND('STERLING CATALOG - FZN &amp; CHILL'!I3191,"AAAAAH0/2+Q=")</f>
        <v>#VALUE!</v>
      </c>
      <c r="HV381" t="e">
        <f>AND('STERLING CATALOG - FZN &amp; CHILL'!J3191,"AAAAAH0/2+U=")</f>
        <v>#VALUE!</v>
      </c>
      <c r="HW381">
        <f>IF('STERLING CATALOG - FZN &amp; CHILL'!3192:3192,"AAAAAH0/2+Y=",0)</f>
        <v>0</v>
      </c>
      <c r="HX381" t="e">
        <f>AND('STERLING CATALOG - FZN &amp; CHILL'!A3192,"AAAAAH0/2+c=")</f>
        <v>#VALUE!</v>
      </c>
      <c r="HY381" t="e">
        <f>AND('STERLING CATALOG - FZN &amp; CHILL'!B3192,"AAAAAH0/2+g=")</f>
        <v>#VALUE!</v>
      </c>
      <c r="HZ381" t="e">
        <f>AND('STERLING CATALOG - FZN &amp; CHILL'!C3192,"AAAAAH0/2+k=")</f>
        <v>#VALUE!</v>
      </c>
      <c r="IA381" t="e">
        <f>AND('STERLING CATALOG - FZN &amp; CHILL'!D3192,"AAAAAH0/2+o=")</f>
        <v>#VALUE!</v>
      </c>
      <c r="IB381" t="e">
        <f>AND('STERLING CATALOG - FZN &amp; CHILL'!E3192,"AAAAAH0/2+s=")</f>
        <v>#VALUE!</v>
      </c>
      <c r="IC381" t="e">
        <f>AND('STERLING CATALOG - FZN &amp; CHILL'!F3192,"AAAAAH0/2+w=")</f>
        <v>#VALUE!</v>
      </c>
      <c r="ID381" t="e">
        <f>AND('STERLING CATALOG - FZN &amp; CHILL'!G3192,"AAAAAH0/2+0=")</f>
        <v>#VALUE!</v>
      </c>
      <c r="IE381" t="e">
        <f>AND('STERLING CATALOG - FZN &amp; CHILL'!H3192,"AAAAAH0/2+4=")</f>
        <v>#VALUE!</v>
      </c>
      <c r="IF381" t="e">
        <f>AND('STERLING CATALOG - FZN &amp; CHILL'!I3192,"AAAAAH0/2+8=")</f>
        <v>#VALUE!</v>
      </c>
      <c r="IG381" t="e">
        <f>AND('STERLING CATALOG - FZN &amp; CHILL'!J3192,"AAAAAH0/2/A=")</f>
        <v>#VALUE!</v>
      </c>
      <c r="IH381">
        <f>IF('STERLING CATALOG - FZN &amp; CHILL'!3193:3193,"AAAAAH0/2/E=",0)</f>
        <v>0</v>
      </c>
      <c r="II381" t="e">
        <f>AND('STERLING CATALOG - FZN &amp; CHILL'!A3193,"AAAAAH0/2/I=")</f>
        <v>#VALUE!</v>
      </c>
      <c r="IJ381" t="e">
        <f>AND('STERLING CATALOG - FZN &amp; CHILL'!B3193,"AAAAAH0/2/M=")</f>
        <v>#VALUE!</v>
      </c>
      <c r="IK381" t="e">
        <f>AND('STERLING CATALOG - FZN &amp; CHILL'!C3193,"AAAAAH0/2/Q=")</f>
        <v>#VALUE!</v>
      </c>
      <c r="IL381" t="e">
        <f>AND('STERLING CATALOG - FZN &amp; CHILL'!D3193,"AAAAAH0/2/U=")</f>
        <v>#VALUE!</v>
      </c>
      <c r="IM381" t="e">
        <f>AND('STERLING CATALOG - FZN &amp; CHILL'!E3193,"AAAAAH0/2/Y=")</f>
        <v>#VALUE!</v>
      </c>
      <c r="IN381" t="e">
        <f>AND('STERLING CATALOG - FZN &amp; CHILL'!F3193,"AAAAAH0/2/c=")</f>
        <v>#VALUE!</v>
      </c>
      <c r="IO381" t="e">
        <f>AND('STERLING CATALOG - FZN &amp; CHILL'!G3193,"AAAAAH0/2/g=")</f>
        <v>#VALUE!</v>
      </c>
      <c r="IP381" t="e">
        <f>AND('STERLING CATALOG - FZN &amp; CHILL'!H3193,"AAAAAH0/2/k=")</f>
        <v>#VALUE!</v>
      </c>
      <c r="IQ381" t="e">
        <f>AND('STERLING CATALOG - FZN &amp; CHILL'!I3193,"AAAAAH0/2/o=")</f>
        <v>#VALUE!</v>
      </c>
      <c r="IR381" t="e">
        <f>AND('STERLING CATALOG - FZN &amp; CHILL'!J3193,"AAAAAH0/2/s=")</f>
        <v>#VALUE!</v>
      </c>
      <c r="IS381">
        <f>IF('STERLING CATALOG - FZN &amp; CHILL'!3194:3194,"AAAAAH0/2/w=",0)</f>
        <v>0</v>
      </c>
      <c r="IT381" t="e">
        <f>AND('STERLING CATALOG - FZN &amp; CHILL'!A3194,"AAAAAH0/2/0=")</f>
        <v>#VALUE!</v>
      </c>
      <c r="IU381" t="e">
        <f>AND('STERLING CATALOG - FZN &amp; CHILL'!B3194,"AAAAAH0/2/4=")</f>
        <v>#VALUE!</v>
      </c>
      <c r="IV381" t="e">
        <f>AND('STERLING CATALOG - FZN &amp; CHILL'!C3194,"AAAAAH0/2/8=")</f>
        <v>#VALUE!</v>
      </c>
    </row>
    <row r="382" spans="1:256">
      <c r="A382" t="e">
        <f>AND('STERLING CATALOG - FZN &amp; CHILL'!D3194,"AAAAAHfs1AA=")</f>
        <v>#VALUE!</v>
      </c>
      <c r="B382" t="e">
        <f>AND('STERLING CATALOG - FZN &amp; CHILL'!E3194,"AAAAAHfs1AE=")</f>
        <v>#VALUE!</v>
      </c>
      <c r="C382" t="e">
        <f>AND('STERLING CATALOG - FZN &amp; CHILL'!F3194,"AAAAAHfs1AI=")</f>
        <v>#VALUE!</v>
      </c>
      <c r="D382" t="e">
        <f>AND('STERLING CATALOG - FZN &amp; CHILL'!G3194,"AAAAAHfs1AM=")</f>
        <v>#VALUE!</v>
      </c>
      <c r="E382" t="e">
        <f>AND('STERLING CATALOG - FZN &amp; CHILL'!H3194,"AAAAAHfs1AQ=")</f>
        <v>#VALUE!</v>
      </c>
      <c r="F382" t="e">
        <f>AND('STERLING CATALOG - FZN &amp; CHILL'!I3194,"AAAAAHfs1AU=")</f>
        <v>#VALUE!</v>
      </c>
      <c r="G382" t="e">
        <f>AND('STERLING CATALOG - FZN &amp; CHILL'!J3194,"AAAAAHfs1AY=")</f>
        <v>#VALUE!</v>
      </c>
      <c r="H382" t="str">
        <f>IF('STERLING CATALOG - FZN &amp; CHILL'!3195:3195,"AAAAAHfs1Ac=",0)</f>
        <v>AAAAAHfs1Ac=</v>
      </c>
      <c r="I382" t="e">
        <f>AND('STERLING CATALOG - FZN &amp; CHILL'!A3195,"AAAAAHfs1Ag=")</f>
        <v>#VALUE!</v>
      </c>
      <c r="J382" t="e">
        <f>AND('STERLING CATALOG - FZN &amp; CHILL'!B3195,"AAAAAHfs1Ak=")</f>
        <v>#VALUE!</v>
      </c>
      <c r="K382" t="e">
        <f>AND('STERLING CATALOG - FZN &amp; CHILL'!C3195,"AAAAAHfs1Ao=")</f>
        <v>#VALUE!</v>
      </c>
      <c r="L382" t="e">
        <f>AND('STERLING CATALOG - FZN &amp; CHILL'!D3195,"AAAAAHfs1As=")</f>
        <v>#VALUE!</v>
      </c>
      <c r="M382" t="e">
        <f>AND('STERLING CATALOG - FZN &amp; CHILL'!E3195,"AAAAAHfs1Aw=")</f>
        <v>#VALUE!</v>
      </c>
      <c r="N382" t="e">
        <f>AND('STERLING CATALOG - FZN &amp; CHILL'!F3195,"AAAAAHfs1A0=")</f>
        <v>#VALUE!</v>
      </c>
      <c r="O382" t="e">
        <f>AND('STERLING CATALOG - FZN &amp; CHILL'!G3195,"AAAAAHfs1A4=")</f>
        <v>#VALUE!</v>
      </c>
      <c r="P382" t="e">
        <f>AND('STERLING CATALOG - FZN &amp; CHILL'!H3195,"AAAAAHfs1A8=")</f>
        <v>#VALUE!</v>
      </c>
      <c r="Q382" t="e">
        <f>AND('STERLING CATALOG - FZN &amp; CHILL'!I3195,"AAAAAHfs1BA=")</f>
        <v>#VALUE!</v>
      </c>
      <c r="R382" t="e">
        <f>AND('STERLING CATALOG - FZN &amp; CHILL'!J3195,"AAAAAHfs1BE=")</f>
        <v>#VALUE!</v>
      </c>
      <c r="S382">
        <f>IF('STERLING CATALOG - FZN &amp; CHILL'!3196:3196,"AAAAAHfs1BI=",0)</f>
        <v>0</v>
      </c>
      <c r="T382" t="e">
        <f>AND('STERLING CATALOG - FZN &amp; CHILL'!A3196,"AAAAAHfs1BM=")</f>
        <v>#VALUE!</v>
      </c>
      <c r="U382" t="e">
        <f>AND('STERLING CATALOG - FZN &amp; CHILL'!B3196,"AAAAAHfs1BQ=")</f>
        <v>#VALUE!</v>
      </c>
      <c r="V382" t="e">
        <f>AND('STERLING CATALOG - FZN &amp; CHILL'!C3196,"AAAAAHfs1BU=")</f>
        <v>#VALUE!</v>
      </c>
      <c r="W382" t="e">
        <f>AND('STERLING CATALOG - FZN &amp; CHILL'!D3196,"AAAAAHfs1BY=")</f>
        <v>#VALUE!</v>
      </c>
      <c r="X382" t="e">
        <f>AND('STERLING CATALOG - FZN &amp; CHILL'!E3196,"AAAAAHfs1Bc=")</f>
        <v>#VALUE!</v>
      </c>
      <c r="Y382" t="e">
        <f>AND('STERLING CATALOG - FZN &amp; CHILL'!F3196,"AAAAAHfs1Bg=")</f>
        <v>#VALUE!</v>
      </c>
      <c r="Z382" t="e">
        <f>AND('STERLING CATALOG - FZN &amp; CHILL'!G3196,"AAAAAHfs1Bk=")</f>
        <v>#VALUE!</v>
      </c>
      <c r="AA382" t="e">
        <f>AND('STERLING CATALOG - FZN &amp; CHILL'!H3196,"AAAAAHfs1Bo=")</f>
        <v>#VALUE!</v>
      </c>
      <c r="AB382" t="e">
        <f>AND('STERLING CATALOG - FZN &amp; CHILL'!I3196,"AAAAAHfs1Bs=")</f>
        <v>#VALUE!</v>
      </c>
      <c r="AC382" t="e">
        <f>AND('STERLING CATALOG - FZN &amp; CHILL'!J3196,"AAAAAHfs1Bw=")</f>
        <v>#VALUE!</v>
      </c>
      <c r="AD382">
        <f>IF('STERLING CATALOG - FZN &amp; CHILL'!3197:3197,"AAAAAHfs1B0=",0)</f>
        <v>0</v>
      </c>
      <c r="AE382" t="e">
        <f>AND('STERLING CATALOG - FZN &amp; CHILL'!A3197,"AAAAAHfs1B4=")</f>
        <v>#VALUE!</v>
      </c>
      <c r="AF382" t="e">
        <f>AND('STERLING CATALOG - FZN &amp; CHILL'!B3197,"AAAAAHfs1B8=")</f>
        <v>#VALUE!</v>
      </c>
      <c r="AG382" t="e">
        <f>AND('STERLING CATALOG - FZN &amp; CHILL'!C3197,"AAAAAHfs1CA=")</f>
        <v>#VALUE!</v>
      </c>
      <c r="AH382" t="e">
        <f>AND('STERLING CATALOG - FZN &amp; CHILL'!D3197,"AAAAAHfs1CE=")</f>
        <v>#VALUE!</v>
      </c>
      <c r="AI382" t="e">
        <f>AND('STERLING CATALOG - FZN &amp; CHILL'!E3197,"AAAAAHfs1CI=")</f>
        <v>#VALUE!</v>
      </c>
      <c r="AJ382" t="e">
        <f>AND('STERLING CATALOG - FZN &amp; CHILL'!F3197,"AAAAAHfs1CM=")</f>
        <v>#VALUE!</v>
      </c>
      <c r="AK382" t="e">
        <f>AND('STERLING CATALOG - FZN &amp; CHILL'!G3197,"AAAAAHfs1CQ=")</f>
        <v>#VALUE!</v>
      </c>
      <c r="AL382" t="e">
        <f>AND('STERLING CATALOG - FZN &amp; CHILL'!H3197,"AAAAAHfs1CU=")</f>
        <v>#VALUE!</v>
      </c>
      <c r="AM382" t="e">
        <f>AND('STERLING CATALOG - FZN &amp; CHILL'!I3197,"AAAAAHfs1CY=")</f>
        <v>#VALUE!</v>
      </c>
      <c r="AN382" t="e">
        <f>AND('STERLING CATALOG - FZN &amp; CHILL'!J3197,"AAAAAHfs1Cc=")</f>
        <v>#VALUE!</v>
      </c>
      <c r="AO382">
        <f>IF('STERLING CATALOG - FZN &amp; CHILL'!3198:3198,"AAAAAHfs1Cg=",0)</f>
        <v>0</v>
      </c>
      <c r="AP382" t="e">
        <f>AND('STERLING CATALOG - FZN &amp; CHILL'!A3198,"AAAAAHfs1Ck=")</f>
        <v>#VALUE!</v>
      </c>
      <c r="AQ382" t="e">
        <f>AND('STERLING CATALOG - FZN &amp; CHILL'!B3198,"AAAAAHfs1Co=")</f>
        <v>#VALUE!</v>
      </c>
      <c r="AR382" t="e">
        <f>AND('STERLING CATALOG - FZN &amp; CHILL'!C3198,"AAAAAHfs1Cs=")</f>
        <v>#VALUE!</v>
      </c>
      <c r="AS382" t="e">
        <f>AND('STERLING CATALOG - FZN &amp; CHILL'!D3198,"AAAAAHfs1Cw=")</f>
        <v>#VALUE!</v>
      </c>
      <c r="AT382" t="e">
        <f>AND('STERLING CATALOG - FZN &amp; CHILL'!E3198,"AAAAAHfs1C0=")</f>
        <v>#VALUE!</v>
      </c>
      <c r="AU382" t="e">
        <f>AND('STERLING CATALOG - FZN &amp; CHILL'!F3198,"AAAAAHfs1C4=")</f>
        <v>#VALUE!</v>
      </c>
      <c r="AV382" t="e">
        <f>AND('STERLING CATALOG - FZN &amp; CHILL'!G3198,"AAAAAHfs1C8=")</f>
        <v>#VALUE!</v>
      </c>
      <c r="AW382" t="e">
        <f>AND('STERLING CATALOG - FZN &amp; CHILL'!H3198,"AAAAAHfs1DA=")</f>
        <v>#VALUE!</v>
      </c>
      <c r="AX382" t="e">
        <f>AND('STERLING CATALOG - FZN &amp; CHILL'!I3198,"AAAAAHfs1DE=")</f>
        <v>#VALUE!</v>
      </c>
      <c r="AY382" t="e">
        <f>AND('STERLING CATALOG - FZN &amp; CHILL'!J3198,"AAAAAHfs1DI=")</f>
        <v>#VALUE!</v>
      </c>
      <c r="AZ382">
        <f>IF('STERLING CATALOG - FZN &amp; CHILL'!3199:3199,"AAAAAHfs1DM=",0)</f>
        <v>0</v>
      </c>
      <c r="BA382" t="e">
        <f>AND('STERLING CATALOG - FZN &amp; CHILL'!A3199,"AAAAAHfs1DQ=")</f>
        <v>#VALUE!</v>
      </c>
      <c r="BB382" t="e">
        <f>AND('STERLING CATALOG - FZN &amp; CHILL'!B3199,"AAAAAHfs1DU=")</f>
        <v>#VALUE!</v>
      </c>
      <c r="BC382" t="e">
        <f>AND('STERLING CATALOG - FZN &amp; CHILL'!C3199,"AAAAAHfs1DY=")</f>
        <v>#VALUE!</v>
      </c>
      <c r="BD382" t="e">
        <f>AND('STERLING CATALOG - FZN &amp; CHILL'!D3199,"AAAAAHfs1Dc=")</f>
        <v>#VALUE!</v>
      </c>
      <c r="BE382" t="e">
        <f>AND('STERLING CATALOG - FZN &amp; CHILL'!E3199,"AAAAAHfs1Dg=")</f>
        <v>#VALUE!</v>
      </c>
      <c r="BF382" t="e">
        <f>AND('STERLING CATALOG - FZN &amp; CHILL'!F3199,"AAAAAHfs1Dk=")</f>
        <v>#VALUE!</v>
      </c>
      <c r="BG382" t="e">
        <f>AND('STERLING CATALOG - FZN &amp; CHILL'!G3199,"AAAAAHfs1Do=")</f>
        <v>#VALUE!</v>
      </c>
      <c r="BH382" t="e">
        <f>AND('STERLING CATALOG - FZN &amp; CHILL'!H3199,"AAAAAHfs1Ds=")</f>
        <v>#VALUE!</v>
      </c>
      <c r="BI382" t="e">
        <f>AND('STERLING CATALOG - FZN &amp; CHILL'!I3199,"AAAAAHfs1Dw=")</f>
        <v>#VALUE!</v>
      </c>
      <c r="BJ382" t="e">
        <f>AND('STERLING CATALOG - FZN &amp; CHILL'!J3199,"AAAAAHfs1D0=")</f>
        <v>#VALUE!</v>
      </c>
      <c r="BK382">
        <f>IF('STERLING CATALOG - FZN &amp; CHILL'!3200:3200,"AAAAAHfs1D4=",0)</f>
        <v>0</v>
      </c>
      <c r="BL382" t="e">
        <f>AND('STERLING CATALOG - FZN &amp; CHILL'!A3200,"AAAAAHfs1D8=")</f>
        <v>#VALUE!</v>
      </c>
      <c r="BM382" t="e">
        <f>AND('STERLING CATALOG - FZN &amp; CHILL'!B3200,"AAAAAHfs1EA=")</f>
        <v>#VALUE!</v>
      </c>
      <c r="BN382" t="e">
        <f>AND('STERLING CATALOG - FZN &amp; CHILL'!C3200,"AAAAAHfs1EE=")</f>
        <v>#VALUE!</v>
      </c>
      <c r="BO382" t="e">
        <f>AND('STERLING CATALOG - FZN &amp; CHILL'!D3200,"AAAAAHfs1EI=")</f>
        <v>#VALUE!</v>
      </c>
      <c r="BP382" t="e">
        <f>AND('STERLING CATALOG - FZN &amp; CHILL'!E3200,"AAAAAHfs1EM=")</f>
        <v>#VALUE!</v>
      </c>
      <c r="BQ382" t="e">
        <f>AND('STERLING CATALOG - FZN &amp; CHILL'!F3200,"AAAAAHfs1EQ=")</f>
        <v>#VALUE!</v>
      </c>
      <c r="BR382" t="e">
        <f>AND('STERLING CATALOG - FZN &amp; CHILL'!G3200,"AAAAAHfs1EU=")</f>
        <v>#VALUE!</v>
      </c>
      <c r="BS382" t="e">
        <f>AND('STERLING CATALOG - FZN &amp; CHILL'!H3200,"AAAAAHfs1EY=")</f>
        <v>#VALUE!</v>
      </c>
      <c r="BT382" t="e">
        <f>AND('STERLING CATALOG - FZN &amp; CHILL'!I3200,"AAAAAHfs1Ec=")</f>
        <v>#VALUE!</v>
      </c>
      <c r="BU382" t="e">
        <f>AND('STERLING CATALOG - FZN &amp; CHILL'!J3200,"AAAAAHfs1Eg=")</f>
        <v>#VALUE!</v>
      </c>
      <c r="BV382">
        <f>IF('STERLING CATALOG - FZN &amp; CHILL'!3201:3201,"AAAAAHfs1Ek=",0)</f>
        <v>0</v>
      </c>
      <c r="BW382" t="e">
        <f>AND('STERLING CATALOG - FZN &amp; CHILL'!A3201,"AAAAAHfs1Eo=")</f>
        <v>#VALUE!</v>
      </c>
      <c r="BX382" t="e">
        <f>AND('STERLING CATALOG - FZN &amp; CHILL'!B3201,"AAAAAHfs1Es=")</f>
        <v>#VALUE!</v>
      </c>
      <c r="BY382" t="e">
        <f>AND('STERLING CATALOG - FZN &amp; CHILL'!C3201,"AAAAAHfs1Ew=")</f>
        <v>#VALUE!</v>
      </c>
      <c r="BZ382" t="e">
        <f>AND('STERLING CATALOG - FZN &amp; CHILL'!D3201,"AAAAAHfs1E0=")</f>
        <v>#VALUE!</v>
      </c>
      <c r="CA382" t="e">
        <f>AND('STERLING CATALOG - FZN &amp; CHILL'!E3201,"AAAAAHfs1E4=")</f>
        <v>#VALUE!</v>
      </c>
      <c r="CB382" t="e">
        <f>AND('STERLING CATALOG - FZN &amp; CHILL'!F3201,"AAAAAHfs1E8=")</f>
        <v>#VALUE!</v>
      </c>
      <c r="CC382" t="e">
        <f>AND('STERLING CATALOG - FZN &amp; CHILL'!G3201,"AAAAAHfs1FA=")</f>
        <v>#VALUE!</v>
      </c>
      <c r="CD382" t="e">
        <f>AND('STERLING CATALOG - FZN &amp; CHILL'!H3201,"AAAAAHfs1FE=")</f>
        <v>#VALUE!</v>
      </c>
      <c r="CE382" t="e">
        <f>AND('STERLING CATALOG - FZN &amp; CHILL'!I3201,"AAAAAHfs1FI=")</f>
        <v>#VALUE!</v>
      </c>
      <c r="CF382" t="e">
        <f>AND('STERLING CATALOG - FZN &amp; CHILL'!J3201,"AAAAAHfs1FM=")</f>
        <v>#VALUE!</v>
      </c>
      <c r="CG382">
        <f>IF('STERLING CATALOG - FZN &amp; CHILL'!3202:3202,"AAAAAHfs1FQ=",0)</f>
        <v>0</v>
      </c>
      <c r="CH382" t="e">
        <f>AND('STERLING CATALOG - FZN &amp; CHILL'!A3202,"AAAAAHfs1FU=")</f>
        <v>#VALUE!</v>
      </c>
      <c r="CI382" t="e">
        <f>AND('STERLING CATALOG - FZN &amp; CHILL'!B3202,"AAAAAHfs1FY=")</f>
        <v>#VALUE!</v>
      </c>
      <c r="CJ382" t="e">
        <f>AND('STERLING CATALOG - FZN &amp; CHILL'!C3202,"AAAAAHfs1Fc=")</f>
        <v>#VALUE!</v>
      </c>
      <c r="CK382" t="e">
        <f>AND('STERLING CATALOG - FZN &amp; CHILL'!D3202,"AAAAAHfs1Fg=")</f>
        <v>#VALUE!</v>
      </c>
      <c r="CL382" t="e">
        <f>AND('STERLING CATALOG - FZN &amp; CHILL'!E3202,"AAAAAHfs1Fk=")</f>
        <v>#VALUE!</v>
      </c>
      <c r="CM382" t="e">
        <f>AND('STERLING CATALOG - FZN &amp; CHILL'!F3202,"AAAAAHfs1Fo=")</f>
        <v>#VALUE!</v>
      </c>
      <c r="CN382" t="e">
        <f>AND('STERLING CATALOG - FZN &amp; CHILL'!G3202,"AAAAAHfs1Fs=")</f>
        <v>#VALUE!</v>
      </c>
      <c r="CO382" t="e">
        <f>AND('STERLING CATALOG - FZN &amp; CHILL'!H3202,"AAAAAHfs1Fw=")</f>
        <v>#VALUE!</v>
      </c>
      <c r="CP382" t="e">
        <f>AND('STERLING CATALOG - FZN &amp; CHILL'!I3202,"AAAAAHfs1F0=")</f>
        <v>#VALUE!</v>
      </c>
      <c r="CQ382" t="e">
        <f>AND('STERLING CATALOG - FZN &amp; CHILL'!J3202,"AAAAAHfs1F4=")</f>
        <v>#VALUE!</v>
      </c>
      <c r="CR382">
        <f>IF('STERLING CATALOG - FZN &amp; CHILL'!3203:3203,"AAAAAHfs1F8=",0)</f>
        <v>0</v>
      </c>
      <c r="CS382" t="e">
        <f>AND('STERLING CATALOG - FZN &amp; CHILL'!A3203,"AAAAAHfs1GA=")</f>
        <v>#VALUE!</v>
      </c>
      <c r="CT382" t="e">
        <f>AND('STERLING CATALOG - FZN &amp; CHILL'!B3203,"AAAAAHfs1GE=")</f>
        <v>#VALUE!</v>
      </c>
      <c r="CU382" t="e">
        <f>AND('STERLING CATALOG - FZN &amp; CHILL'!C3203,"AAAAAHfs1GI=")</f>
        <v>#VALUE!</v>
      </c>
      <c r="CV382" t="e">
        <f>AND('STERLING CATALOG - FZN &amp; CHILL'!D3203,"AAAAAHfs1GM=")</f>
        <v>#VALUE!</v>
      </c>
      <c r="CW382" t="e">
        <f>AND('STERLING CATALOG - FZN &amp; CHILL'!E3203,"AAAAAHfs1GQ=")</f>
        <v>#VALUE!</v>
      </c>
      <c r="CX382" t="e">
        <f>AND('STERLING CATALOG - FZN &amp; CHILL'!F3203,"AAAAAHfs1GU=")</f>
        <v>#VALUE!</v>
      </c>
      <c r="CY382" t="e">
        <f>AND('STERLING CATALOG - FZN &amp; CHILL'!G3203,"AAAAAHfs1GY=")</f>
        <v>#VALUE!</v>
      </c>
      <c r="CZ382" t="e">
        <f>AND('STERLING CATALOG - FZN &amp; CHILL'!H3203,"AAAAAHfs1Gc=")</f>
        <v>#VALUE!</v>
      </c>
      <c r="DA382" t="e">
        <f>AND('STERLING CATALOG - FZN &amp; CHILL'!I3203,"AAAAAHfs1Gg=")</f>
        <v>#VALUE!</v>
      </c>
      <c r="DB382" t="e">
        <f>AND('STERLING CATALOG - FZN &amp; CHILL'!J3203,"AAAAAHfs1Gk=")</f>
        <v>#VALUE!</v>
      </c>
      <c r="DC382">
        <f>IF('STERLING CATALOG - FZN &amp; CHILL'!3204:3204,"AAAAAHfs1Go=",0)</f>
        <v>0</v>
      </c>
      <c r="DD382" t="e">
        <f>AND('STERLING CATALOG - FZN &amp; CHILL'!A3204,"AAAAAHfs1Gs=")</f>
        <v>#VALUE!</v>
      </c>
      <c r="DE382" t="e">
        <f>AND('STERLING CATALOG - FZN &amp; CHILL'!B3204,"AAAAAHfs1Gw=")</f>
        <v>#VALUE!</v>
      </c>
      <c r="DF382" t="e">
        <f>AND('STERLING CATALOG - FZN &amp; CHILL'!C3204,"AAAAAHfs1G0=")</f>
        <v>#VALUE!</v>
      </c>
      <c r="DG382" t="e">
        <f>AND('STERLING CATALOG - FZN &amp; CHILL'!D3204,"AAAAAHfs1G4=")</f>
        <v>#VALUE!</v>
      </c>
      <c r="DH382" t="e">
        <f>AND('STERLING CATALOG - FZN &amp; CHILL'!E3204,"AAAAAHfs1G8=")</f>
        <v>#VALUE!</v>
      </c>
      <c r="DI382" t="e">
        <f>AND('STERLING CATALOG - FZN &amp; CHILL'!F3204,"AAAAAHfs1HA=")</f>
        <v>#VALUE!</v>
      </c>
      <c r="DJ382" t="e">
        <f>AND('STERLING CATALOG - FZN &amp; CHILL'!G3204,"AAAAAHfs1HE=")</f>
        <v>#VALUE!</v>
      </c>
      <c r="DK382" t="e">
        <f>AND('STERLING CATALOG - FZN &amp; CHILL'!H3204,"AAAAAHfs1HI=")</f>
        <v>#VALUE!</v>
      </c>
      <c r="DL382" t="e">
        <f>AND('STERLING CATALOG - FZN &amp; CHILL'!I3204,"AAAAAHfs1HM=")</f>
        <v>#VALUE!</v>
      </c>
      <c r="DM382" t="e">
        <f>AND('STERLING CATALOG - FZN &amp; CHILL'!J3204,"AAAAAHfs1HQ=")</f>
        <v>#VALUE!</v>
      </c>
      <c r="DN382">
        <f>IF('STERLING CATALOG - FZN &amp; CHILL'!3205:3205,"AAAAAHfs1HU=",0)</f>
        <v>0</v>
      </c>
      <c r="DO382" t="e">
        <f>AND('STERLING CATALOG - FZN &amp; CHILL'!A3205,"AAAAAHfs1HY=")</f>
        <v>#VALUE!</v>
      </c>
      <c r="DP382" t="e">
        <f>AND('STERLING CATALOG - FZN &amp; CHILL'!B3205,"AAAAAHfs1Hc=")</f>
        <v>#VALUE!</v>
      </c>
      <c r="DQ382" t="e">
        <f>AND('STERLING CATALOG - FZN &amp; CHILL'!C3205,"AAAAAHfs1Hg=")</f>
        <v>#VALUE!</v>
      </c>
      <c r="DR382" t="e">
        <f>AND('STERLING CATALOG - FZN &amp; CHILL'!D3205,"AAAAAHfs1Hk=")</f>
        <v>#VALUE!</v>
      </c>
      <c r="DS382" t="e">
        <f>AND('STERLING CATALOG - FZN &amp; CHILL'!E3205,"AAAAAHfs1Ho=")</f>
        <v>#VALUE!</v>
      </c>
      <c r="DT382" t="e">
        <f>AND('STERLING CATALOG - FZN &amp; CHILL'!F3205,"AAAAAHfs1Hs=")</f>
        <v>#VALUE!</v>
      </c>
      <c r="DU382" t="e">
        <f>AND('STERLING CATALOG - FZN &amp; CHILL'!G3205,"AAAAAHfs1Hw=")</f>
        <v>#VALUE!</v>
      </c>
      <c r="DV382" t="e">
        <f>AND('STERLING CATALOG - FZN &amp; CHILL'!H3205,"AAAAAHfs1H0=")</f>
        <v>#VALUE!</v>
      </c>
      <c r="DW382" t="e">
        <f>AND('STERLING CATALOG - FZN &amp; CHILL'!I3205,"AAAAAHfs1H4=")</f>
        <v>#VALUE!</v>
      </c>
      <c r="DX382" t="e">
        <f>AND('STERLING CATALOG - FZN &amp; CHILL'!J3205,"AAAAAHfs1H8=")</f>
        <v>#VALUE!</v>
      </c>
      <c r="DY382">
        <f>IF('STERLING CATALOG - FZN &amp; CHILL'!3206:3206,"AAAAAHfs1IA=",0)</f>
        <v>0</v>
      </c>
      <c r="DZ382" t="e">
        <f>AND('STERLING CATALOG - FZN &amp; CHILL'!A3206,"AAAAAHfs1IE=")</f>
        <v>#VALUE!</v>
      </c>
      <c r="EA382" t="e">
        <f>AND('STERLING CATALOG - FZN &amp; CHILL'!B3206,"AAAAAHfs1II=")</f>
        <v>#VALUE!</v>
      </c>
      <c r="EB382" t="e">
        <f>AND('STERLING CATALOG - FZN &amp; CHILL'!C3206,"AAAAAHfs1IM=")</f>
        <v>#VALUE!</v>
      </c>
      <c r="EC382" t="e">
        <f>AND('STERLING CATALOG - FZN &amp; CHILL'!D3206,"AAAAAHfs1IQ=")</f>
        <v>#VALUE!</v>
      </c>
      <c r="ED382" t="e">
        <f>AND('STERLING CATALOG - FZN &amp; CHILL'!E3206,"AAAAAHfs1IU=")</f>
        <v>#VALUE!</v>
      </c>
      <c r="EE382" t="e">
        <f>AND('STERLING CATALOG - FZN &amp; CHILL'!F3206,"AAAAAHfs1IY=")</f>
        <v>#VALUE!</v>
      </c>
      <c r="EF382" t="e">
        <f>AND('STERLING CATALOG - FZN &amp; CHILL'!G3206,"AAAAAHfs1Ic=")</f>
        <v>#VALUE!</v>
      </c>
      <c r="EG382" t="e">
        <f>AND('STERLING CATALOG - FZN &amp; CHILL'!H3206,"AAAAAHfs1Ig=")</f>
        <v>#VALUE!</v>
      </c>
      <c r="EH382" t="e">
        <f>AND('STERLING CATALOG - FZN &amp; CHILL'!I3206,"AAAAAHfs1Ik=")</f>
        <v>#VALUE!</v>
      </c>
      <c r="EI382" t="e">
        <f>AND('STERLING CATALOG - FZN &amp; CHILL'!J3206,"AAAAAHfs1Io=")</f>
        <v>#VALUE!</v>
      </c>
      <c r="EJ382">
        <f>IF('STERLING CATALOG - FZN &amp; CHILL'!3207:3207,"AAAAAHfs1Is=",0)</f>
        <v>0</v>
      </c>
      <c r="EK382" t="e">
        <f>AND('STERLING CATALOG - FZN &amp; CHILL'!A3207,"AAAAAHfs1Iw=")</f>
        <v>#VALUE!</v>
      </c>
      <c r="EL382" t="e">
        <f>AND('STERLING CATALOG - FZN &amp; CHILL'!B3207,"AAAAAHfs1I0=")</f>
        <v>#VALUE!</v>
      </c>
      <c r="EM382" t="e">
        <f>AND('STERLING CATALOG - FZN &amp; CHILL'!C3207,"AAAAAHfs1I4=")</f>
        <v>#VALUE!</v>
      </c>
      <c r="EN382" t="e">
        <f>AND('STERLING CATALOG - FZN &amp; CHILL'!D3207,"AAAAAHfs1I8=")</f>
        <v>#VALUE!</v>
      </c>
      <c r="EO382" t="e">
        <f>AND('STERLING CATALOG - FZN &amp; CHILL'!E3207,"AAAAAHfs1JA=")</f>
        <v>#VALUE!</v>
      </c>
      <c r="EP382" t="e">
        <f>AND('STERLING CATALOG - FZN &amp; CHILL'!F3207,"AAAAAHfs1JE=")</f>
        <v>#VALUE!</v>
      </c>
      <c r="EQ382" t="e">
        <f>AND('STERLING CATALOG - FZN &amp; CHILL'!G3207,"AAAAAHfs1JI=")</f>
        <v>#VALUE!</v>
      </c>
      <c r="ER382" t="e">
        <f>AND('STERLING CATALOG - FZN &amp; CHILL'!H3207,"AAAAAHfs1JM=")</f>
        <v>#VALUE!</v>
      </c>
      <c r="ES382" t="e">
        <f>AND('STERLING CATALOG - FZN &amp; CHILL'!I3207,"AAAAAHfs1JQ=")</f>
        <v>#VALUE!</v>
      </c>
      <c r="ET382" t="e">
        <f>AND('STERLING CATALOG - FZN &amp; CHILL'!J3207,"AAAAAHfs1JU=")</f>
        <v>#VALUE!</v>
      </c>
      <c r="EU382">
        <f>IF('STERLING CATALOG - FZN &amp; CHILL'!3208:3208,"AAAAAHfs1JY=",0)</f>
        <v>0</v>
      </c>
      <c r="EV382" t="e">
        <f>AND('STERLING CATALOG - FZN &amp; CHILL'!A3208,"AAAAAHfs1Jc=")</f>
        <v>#VALUE!</v>
      </c>
      <c r="EW382" t="e">
        <f>AND('STERLING CATALOG - FZN &amp; CHILL'!B3208,"AAAAAHfs1Jg=")</f>
        <v>#VALUE!</v>
      </c>
      <c r="EX382" t="e">
        <f>AND('STERLING CATALOG - FZN &amp; CHILL'!C3208,"AAAAAHfs1Jk=")</f>
        <v>#VALUE!</v>
      </c>
      <c r="EY382" t="e">
        <f>AND('STERLING CATALOG - FZN &amp; CHILL'!D3208,"AAAAAHfs1Jo=")</f>
        <v>#VALUE!</v>
      </c>
      <c r="EZ382" t="e">
        <f>AND('STERLING CATALOG - FZN &amp; CHILL'!E3208,"AAAAAHfs1Js=")</f>
        <v>#VALUE!</v>
      </c>
      <c r="FA382" t="e">
        <f>AND('STERLING CATALOG - FZN &amp; CHILL'!F3208,"AAAAAHfs1Jw=")</f>
        <v>#VALUE!</v>
      </c>
      <c r="FB382" t="e">
        <f>AND('STERLING CATALOG - FZN &amp; CHILL'!G3208,"AAAAAHfs1J0=")</f>
        <v>#VALUE!</v>
      </c>
      <c r="FC382" t="e">
        <f>AND('STERLING CATALOG - FZN &amp; CHILL'!H3208,"AAAAAHfs1J4=")</f>
        <v>#VALUE!</v>
      </c>
      <c r="FD382" t="e">
        <f>AND('STERLING CATALOG - FZN &amp; CHILL'!I3208,"AAAAAHfs1J8=")</f>
        <v>#VALUE!</v>
      </c>
      <c r="FE382" t="e">
        <f>AND('STERLING CATALOG - FZN &amp; CHILL'!J3208,"AAAAAHfs1KA=")</f>
        <v>#VALUE!</v>
      </c>
      <c r="FF382">
        <f>IF('STERLING CATALOG - FZN &amp; CHILL'!3209:3209,"AAAAAHfs1KE=",0)</f>
        <v>0</v>
      </c>
      <c r="FG382" t="e">
        <f>AND('STERLING CATALOG - FZN &amp; CHILL'!A3209,"AAAAAHfs1KI=")</f>
        <v>#VALUE!</v>
      </c>
      <c r="FH382" t="e">
        <f>AND('STERLING CATALOG - FZN &amp; CHILL'!B3209,"AAAAAHfs1KM=")</f>
        <v>#VALUE!</v>
      </c>
      <c r="FI382" t="e">
        <f>AND('STERLING CATALOG - FZN &amp; CHILL'!C3209,"AAAAAHfs1KQ=")</f>
        <v>#VALUE!</v>
      </c>
      <c r="FJ382" t="e">
        <f>AND('STERLING CATALOG - FZN &amp; CHILL'!D3209,"AAAAAHfs1KU=")</f>
        <v>#VALUE!</v>
      </c>
      <c r="FK382" t="e">
        <f>AND('STERLING CATALOG - FZN &amp; CHILL'!E3209,"AAAAAHfs1KY=")</f>
        <v>#VALUE!</v>
      </c>
      <c r="FL382" t="e">
        <f>AND('STERLING CATALOG - FZN &amp; CHILL'!F3209,"AAAAAHfs1Kc=")</f>
        <v>#VALUE!</v>
      </c>
      <c r="FM382" t="e">
        <f>AND('STERLING CATALOG - FZN &amp; CHILL'!G3209,"AAAAAHfs1Kg=")</f>
        <v>#VALUE!</v>
      </c>
      <c r="FN382" t="e">
        <f>AND('STERLING CATALOG - FZN &amp; CHILL'!H3209,"AAAAAHfs1Kk=")</f>
        <v>#VALUE!</v>
      </c>
      <c r="FO382" t="e">
        <f>AND('STERLING CATALOG - FZN &amp; CHILL'!I3209,"AAAAAHfs1Ko=")</f>
        <v>#VALUE!</v>
      </c>
      <c r="FP382" t="e">
        <f>AND('STERLING CATALOG - FZN &amp; CHILL'!J3209,"AAAAAHfs1Ks=")</f>
        <v>#VALUE!</v>
      </c>
      <c r="FQ382">
        <f>IF('STERLING CATALOG - FZN &amp; CHILL'!3210:3210,"AAAAAHfs1Kw=",0)</f>
        <v>0</v>
      </c>
      <c r="FR382" t="e">
        <f>AND('STERLING CATALOG - FZN &amp; CHILL'!A3210,"AAAAAHfs1K0=")</f>
        <v>#VALUE!</v>
      </c>
      <c r="FS382" t="e">
        <f>AND('STERLING CATALOG - FZN &amp; CHILL'!B3210,"AAAAAHfs1K4=")</f>
        <v>#VALUE!</v>
      </c>
      <c r="FT382" t="e">
        <f>AND('STERLING CATALOG - FZN &amp; CHILL'!C3210,"AAAAAHfs1K8=")</f>
        <v>#VALUE!</v>
      </c>
      <c r="FU382" t="e">
        <f>AND('STERLING CATALOG - FZN &amp; CHILL'!D3210,"AAAAAHfs1LA=")</f>
        <v>#VALUE!</v>
      </c>
      <c r="FV382" t="e">
        <f>AND('STERLING CATALOG - FZN &amp; CHILL'!E3210,"AAAAAHfs1LE=")</f>
        <v>#VALUE!</v>
      </c>
      <c r="FW382" t="e">
        <f>AND('STERLING CATALOG - FZN &amp; CHILL'!F3210,"AAAAAHfs1LI=")</f>
        <v>#VALUE!</v>
      </c>
      <c r="FX382" t="e">
        <f>AND('STERLING CATALOG - FZN &amp; CHILL'!G3210,"AAAAAHfs1LM=")</f>
        <v>#VALUE!</v>
      </c>
      <c r="FY382" t="e">
        <f>AND('STERLING CATALOG - FZN &amp; CHILL'!H3210,"AAAAAHfs1LQ=")</f>
        <v>#VALUE!</v>
      </c>
      <c r="FZ382" t="e">
        <f>AND('STERLING CATALOG - FZN &amp; CHILL'!I3210,"AAAAAHfs1LU=")</f>
        <v>#VALUE!</v>
      </c>
      <c r="GA382" t="e">
        <f>AND('STERLING CATALOG - FZN &amp; CHILL'!J3210,"AAAAAHfs1LY=")</f>
        <v>#VALUE!</v>
      </c>
      <c r="GB382">
        <f>IF('STERLING CATALOG - FZN &amp; CHILL'!3211:3211,"AAAAAHfs1Lc=",0)</f>
        <v>0</v>
      </c>
      <c r="GC382" t="e">
        <f>AND('STERLING CATALOG - FZN &amp; CHILL'!A3211,"AAAAAHfs1Lg=")</f>
        <v>#VALUE!</v>
      </c>
      <c r="GD382" t="e">
        <f>AND('STERLING CATALOG - FZN &amp; CHILL'!B3211,"AAAAAHfs1Lk=")</f>
        <v>#VALUE!</v>
      </c>
      <c r="GE382" t="e">
        <f>AND('STERLING CATALOG - FZN &amp; CHILL'!C3211,"AAAAAHfs1Lo=")</f>
        <v>#VALUE!</v>
      </c>
      <c r="GF382" t="e">
        <f>AND('STERLING CATALOG - FZN &amp; CHILL'!D3211,"AAAAAHfs1Ls=")</f>
        <v>#VALUE!</v>
      </c>
      <c r="GG382" t="e">
        <f>AND('STERLING CATALOG - FZN &amp; CHILL'!E3211,"AAAAAHfs1Lw=")</f>
        <v>#VALUE!</v>
      </c>
      <c r="GH382" t="e">
        <f>AND('STERLING CATALOG - FZN &amp; CHILL'!F3211,"AAAAAHfs1L0=")</f>
        <v>#VALUE!</v>
      </c>
      <c r="GI382" t="e">
        <f>AND('STERLING CATALOG - FZN &amp; CHILL'!G3211,"AAAAAHfs1L4=")</f>
        <v>#VALUE!</v>
      </c>
      <c r="GJ382" t="e">
        <f>AND('STERLING CATALOG - FZN &amp; CHILL'!H3211,"AAAAAHfs1L8=")</f>
        <v>#VALUE!</v>
      </c>
      <c r="GK382" t="e">
        <f>AND('STERLING CATALOG - FZN &amp; CHILL'!I3211,"AAAAAHfs1MA=")</f>
        <v>#VALUE!</v>
      </c>
      <c r="GL382" t="e">
        <f>AND('STERLING CATALOG - FZN &amp; CHILL'!J3211,"AAAAAHfs1ME=")</f>
        <v>#VALUE!</v>
      </c>
      <c r="GM382">
        <f>IF('STERLING CATALOG - FZN &amp; CHILL'!3212:3212,"AAAAAHfs1MI=",0)</f>
        <v>0</v>
      </c>
      <c r="GN382" t="e">
        <f>AND('STERLING CATALOG - FZN &amp; CHILL'!A3212,"AAAAAHfs1MM=")</f>
        <v>#VALUE!</v>
      </c>
      <c r="GO382" t="e">
        <f>AND('STERLING CATALOG - FZN &amp; CHILL'!B3212,"AAAAAHfs1MQ=")</f>
        <v>#VALUE!</v>
      </c>
      <c r="GP382" t="e">
        <f>AND('STERLING CATALOG - FZN &amp; CHILL'!C3212,"AAAAAHfs1MU=")</f>
        <v>#VALUE!</v>
      </c>
      <c r="GQ382" t="e">
        <f>AND('STERLING CATALOG - FZN &amp; CHILL'!D3212,"AAAAAHfs1MY=")</f>
        <v>#VALUE!</v>
      </c>
      <c r="GR382" t="e">
        <f>AND('STERLING CATALOG - FZN &amp; CHILL'!E3212,"AAAAAHfs1Mc=")</f>
        <v>#VALUE!</v>
      </c>
      <c r="GS382" t="e">
        <f>AND('STERLING CATALOG - FZN &amp; CHILL'!F3212,"AAAAAHfs1Mg=")</f>
        <v>#VALUE!</v>
      </c>
      <c r="GT382" t="e">
        <f>AND('STERLING CATALOG - FZN &amp; CHILL'!G3212,"AAAAAHfs1Mk=")</f>
        <v>#VALUE!</v>
      </c>
      <c r="GU382" t="e">
        <f>AND('STERLING CATALOG - FZN &amp; CHILL'!H3212,"AAAAAHfs1Mo=")</f>
        <v>#VALUE!</v>
      </c>
      <c r="GV382" t="e">
        <f>AND('STERLING CATALOG - FZN &amp; CHILL'!I3212,"AAAAAHfs1Ms=")</f>
        <v>#VALUE!</v>
      </c>
      <c r="GW382" t="e">
        <f>AND('STERLING CATALOG - FZN &amp; CHILL'!J3212,"AAAAAHfs1Mw=")</f>
        <v>#VALUE!</v>
      </c>
      <c r="GX382">
        <f>IF('STERLING CATALOG - FZN &amp; CHILL'!3213:3213,"AAAAAHfs1M0=",0)</f>
        <v>0</v>
      </c>
      <c r="GY382" t="e">
        <f>AND('STERLING CATALOG - FZN &amp; CHILL'!A3213,"AAAAAHfs1M4=")</f>
        <v>#VALUE!</v>
      </c>
      <c r="GZ382" t="e">
        <f>AND('STERLING CATALOG - FZN &amp; CHILL'!B3213,"AAAAAHfs1M8=")</f>
        <v>#VALUE!</v>
      </c>
      <c r="HA382" t="e">
        <f>AND('STERLING CATALOG - FZN &amp; CHILL'!C3213,"AAAAAHfs1NA=")</f>
        <v>#VALUE!</v>
      </c>
      <c r="HB382" t="e">
        <f>AND('STERLING CATALOG - FZN &amp; CHILL'!D3213,"AAAAAHfs1NE=")</f>
        <v>#VALUE!</v>
      </c>
      <c r="HC382" t="e">
        <f>AND('STERLING CATALOG - FZN &amp; CHILL'!E3213,"AAAAAHfs1NI=")</f>
        <v>#VALUE!</v>
      </c>
      <c r="HD382" t="e">
        <f>AND('STERLING CATALOG - FZN &amp; CHILL'!F3213,"AAAAAHfs1NM=")</f>
        <v>#VALUE!</v>
      </c>
      <c r="HE382" t="e">
        <f>AND('STERLING CATALOG - FZN &amp; CHILL'!G3213,"AAAAAHfs1NQ=")</f>
        <v>#VALUE!</v>
      </c>
      <c r="HF382" t="e">
        <f>AND('STERLING CATALOG - FZN &amp; CHILL'!H3213,"AAAAAHfs1NU=")</f>
        <v>#VALUE!</v>
      </c>
      <c r="HG382" t="e">
        <f>AND('STERLING CATALOG - FZN &amp; CHILL'!I3213,"AAAAAHfs1NY=")</f>
        <v>#VALUE!</v>
      </c>
      <c r="HH382" t="e">
        <f>AND('STERLING CATALOG - FZN &amp; CHILL'!J3213,"AAAAAHfs1Nc=")</f>
        <v>#VALUE!</v>
      </c>
      <c r="HI382">
        <f>IF('STERLING CATALOG - FZN &amp; CHILL'!3214:3214,"AAAAAHfs1Ng=",0)</f>
        <v>0</v>
      </c>
      <c r="HJ382" t="e">
        <f>AND('STERLING CATALOG - FZN &amp; CHILL'!A3214,"AAAAAHfs1Nk=")</f>
        <v>#VALUE!</v>
      </c>
      <c r="HK382" t="e">
        <f>AND('STERLING CATALOG - FZN &amp; CHILL'!B3214,"AAAAAHfs1No=")</f>
        <v>#VALUE!</v>
      </c>
      <c r="HL382" t="e">
        <f>AND('STERLING CATALOG - FZN &amp; CHILL'!C3214,"AAAAAHfs1Ns=")</f>
        <v>#VALUE!</v>
      </c>
      <c r="HM382" t="e">
        <f>AND('STERLING CATALOG - FZN &amp; CHILL'!D3214,"AAAAAHfs1Nw=")</f>
        <v>#VALUE!</v>
      </c>
      <c r="HN382" t="e">
        <f>AND('STERLING CATALOG - FZN &amp; CHILL'!E3214,"AAAAAHfs1N0=")</f>
        <v>#VALUE!</v>
      </c>
      <c r="HO382" t="e">
        <f>AND('STERLING CATALOG - FZN &amp; CHILL'!F3214,"AAAAAHfs1N4=")</f>
        <v>#VALUE!</v>
      </c>
      <c r="HP382" t="e">
        <f>AND('STERLING CATALOG - FZN &amp; CHILL'!G3214,"AAAAAHfs1N8=")</f>
        <v>#VALUE!</v>
      </c>
      <c r="HQ382" t="e">
        <f>AND('STERLING CATALOG - FZN &amp; CHILL'!H3214,"AAAAAHfs1OA=")</f>
        <v>#VALUE!</v>
      </c>
      <c r="HR382" t="e">
        <f>AND('STERLING CATALOG - FZN &amp; CHILL'!I3214,"AAAAAHfs1OE=")</f>
        <v>#VALUE!</v>
      </c>
      <c r="HS382" t="e">
        <f>AND('STERLING CATALOG - FZN &amp; CHILL'!J3214,"AAAAAHfs1OI=")</f>
        <v>#VALUE!</v>
      </c>
      <c r="HT382">
        <f>IF('STERLING CATALOG - FZN &amp; CHILL'!3215:3215,"AAAAAHfs1OM=",0)</f>
        <v>0</v>
      </c>
      <c r="HU382" t="e">
        <f>AND('STERLING CATALOG - FZN &amp; CHILL'!A3215,"AAAAAHfs1OQ=")</f>
        <v>#VALUE!</v>
      </c>
      <c r="HV382" t="e">
        <f>AND('STERLING CATALOG - FZN &amp; CHILL'!B3215,"AAAAAHfs1OU=")</f>
        <v>#VALUE!</v>
      </c>
      <c r="HW382" t="e">
        <f>AND('STERLING CATALOG - FZN &amp; CHILL'!C3215,"AAAAAHfs1OY=")</f>
        <v>#VALUE!</v>
      </c>
      <c r="HX382" t="e">
        <f>AND('STERLING CATALOG - FZN &amp; CHILL'!D3215,"AAAAAHfs1Oc=")</f>
        <v>#VALUE!</v>
      </c>
      <c r="HY382" t="e">
        <f>AND('STERLING CATALOG - FZN &amp; CHILL'!E3215,"AAAAAHfs1Og=")</f>
        <v>#VALUE!</v>
      </c>
      <c r="HZ382" t="e">
        <f>AND('STERLING CATALOG - FZN &amp; CHILL'!F3215,"AAAAAHfs1Ok=")</f>
        <v>#VALUE!</v>
      </c>
      <c r="IA382" t="e">
        <f>AND('STERLING CATALOG - FZN &amp; CHILL'!G3215,"AAAAAHfs1Oo=")</f>
        <v>#VALUE!</v>
      </c>
      <c r="IB382" t="e">
        <f>AND('STERLING CATALOG - FZN &amp; CHILL'!H3215,"AAAAAHfs1Os=")</f>
        <v>#VALUE!</v>
      </c>
      <c r="IC382" t="e">
        <f>AND('STERLING CATALOG - FZN &amp; CHILL'!I3215,"AAAAAHfs1Ow=")</f>
        <v>#VALUE!</v>
      </c>
      <c r="ID382" t="e">
        <f>AND('STERLING CATALOG - FZN &amp; CHILL'!J3215,"AAAAAHfs1O0=")</f>
        <v>#VALUE!</v>
      </c>
      <c r="IE382">
        <f>IF('STERLING CATALOG - FZN &amp; CHILL'!3216:3216,"AAAAAHfs1O4=",0)</f>
        <v>0</v>
      </c>
      <c r="IF382" t="e">
        <f>AND('STERLING CATALOG - FZN &amp; CHILL'!A3216,"AAAAAHfs1O8=")</f>
        <v>#VALUE!</v>
      </c>
      <c r="IG382" t="e">
        <f>AND('STERLING CATALOG - FZN &amp; CHILL'!B3216,"AAAAAHfs1PA=")</f>
        <v>#VALUE!</v>
      </c>
      <c r="IH382" t="e">
        <f>AND('STERLING CATALOG - FZN &amp; CHILL'!C3216,"AAAAAHfs1PE=")</f>
        <v>#VALUE!</v>
      </c>
      <c r="II382" t="e">
        <f>AND('STERLING CATALOG - FZN &amp; CHILL'!D3216,"AAAAAHfs1PI=")</f>
        <v>#VALUE!</v>
      </c>
      <c r="IJ382" t="e">
        <f>AND('STERLING CATALOG - FZN &amp; CHILL'!E3216,"AAAAAHfs1PM=")</f>
        <v>#VALUE!</v>
      </c>
      <c r="IK382" t="e">
        <f>AND('STERLING CATALOG - FZN &amp; CHILL'!F3216,"AAAAAHfs1PQ=")</f>
        <v>#VALUE!</v>
      </c>
      <c r="IL382" t="e">
        <f>AND('STERLING CATALOG - FZN &amp; CHILL'!G3216,"AAAAAHfs1PU=")</f>
        <v>#VALUE!</v>
      </c>
      <c r="IM382" t="e">
        <f>AND('STERLING CATALOG - FZN &amp; CHILL'!H3216,"AAAAAHfs1PY=")</f>
        <v>#VALUE!</v>
      </c>
      <c r="IN382" t="e">
        <f>AND('STERLING CATALOG - FZN &amp; CHILL'!I3216,"AAAAAHfs1Pc=")</f>
        <v>#VALUE!</v>
      </c>
      <c r="IO382" t="e">
        <f>AND('STERLING CATALOG - FZN &amp; CHILL'!J3216,"AAAAAHfs1Pg=")</f>
        <v>#VALUE!</v>
      </c>
      <c r="IP382">
        <f>IF('STERLING CATALOG - FZN &amp; CHILL'!3217:3217,"AAAAAHfs1Pk=",0)</f>
        <v>0</v>
      </c>
      <c r="IQ382" t="e">
        <f>AND('STERLING CATALOG - FZN &amp; CHILL'!A3217,"AAAAAHfs1Po=")</f>
        <v>#VALUE!</v>
      </c>
      <c r="IR382" t="e">
        <f>AND('STERLING CATALOG - FZN &amp; CHILL'!B3217,"AAAAAHfs1Ps=")</f>
        <v>#VALUE!</v>
      </c>
      <c r="IS382" t="e">
        <f>AND('STERLING CATALOG - FZN &amp; CHILL'!C3217,"AAAAAHfs1Pw=")</f>
        <v>#VALUE!</v>
      </c>
      <c r="IT382" t="e">
        <f>AND('STERLING CATALOG - FZN &amp; CHILL'!D3217,"AAAAAHfs1P0=")</f>
        <v>#VALUE!</v>
      </c>
      <c r="IU382" t="e">
        <f>AND('STERLING CATALOG - FZN &amp; CHILL'!E3217,"AAAAAHfs1P4=")</f>
        <v>#VALUE!</v>
      </c>
      <c r="IV382" t="e">
        <f>AND('STERLING CATALOG - FZN &amp; CHILL'!F3217,"AAAAAHfs1P8=")</f>
        <v>#VALUE!</v>
      </c>
    </row>
    <row r="383" spans="1:256">
      <c r="A383" t="e">
        <f>AND('STERLING CATALOG - FZN &amp; CHILL'!G3217,"AAAAAH/q/gA=")</f>
        <v>#VALUE!</v>
      </c>
      <c r="B383" t="e">
        <f>AND('STERLING CATALOG - FZN &amp; CHILL'!H3217,"AAAAAH/q/gE=")</f>
        <v>#VALUE!</v>
      </c>
      <c r="C383" t="e">
        <f>AND('STERLING CATALOG - FZN &amp; CHILL'!I3217,"AAAAAH/q/gI=")</f>
        <v>#VALUE!</v>
      </c>
      <c r="D383" t="e">
        <f>AND('STERLING CATALOG - FZN &amp; CHILL'!J3217,"AAAAAH/q/gM=")</f>
        <v>#VALUE!</v>
      </c>
      <c r="E383" t="e">
        <f>IF('STERLING CATALOG - FZN &amp; CHILL'!3218:3218,"AAAAAH/q/gQ=",0)</f>
        <v>#VALUE!</v>
      </c>
      <c r="F383" t="e">
        <f>AND('STERLING CATALOG - FZN &amp; CHILL'!A3218,"AAAAAH/q/gU=")</f>
        <v>#VALUE!</v>
      </c>
      <c r="G383" t="e">
        <f>AND('STERLING CATALOG - FZN &amp; CHILL'!B3218,"AAAAAH/q/gY=")</f>
        <v>#VALUE!</v>
      </c>
      <c r="H383" t="e">
        <f>AND('STERLING CATALOG - FZN &amp; CHILL'!C3218,"AAAAAH/q/gc=")</f>
        <v>#VALUE!</v>
      </c>
      <c r="I383" t="e">
        <f>AND('STERLING CATALOG - FZN &amp; CHILL'!D3218,"AAAAAH/q/gg=")</f>
        <v>#VALUE!</v>
      </c>
      <c r="J383" t="e">
        <f>AND('STERLING CATALOG - FZN &amp; CHILL'!E3218,"AAAAAH/q/gk=")</f>
        <v>#VALUE!</v>
      </c>
      <c r="K383" t="e">
        <f>AND('STERLING CATALOG - FZN &amp; CHILL'!F3218,"AAAAAH/q/go=")</f>
        <v>#VALUE!</v>
      </c>
      <c r="L383" t="e">
        <f>AND('STERLING CATALOG - FZN &amp; CHILL'!G3218,"AAAAAH/q/gs=")</f>
        <v>#VALUE!</v>
      </c>
      <c r="M383" t="e">
        <f>AND('STERLING CATALOG - FZN &amp; CHILL'!H3218,"AAAAAH/q/gw=")</f>
        <v>#VALUE!</v>
      </c>
      <c r="N383" t="e">
        <f>AND('STERLING CATALOG - FZN &amp; CHILL'!I3218,"AAAAAH/q/g0=")</f>
        <v>#VALUE!</v>
      </c>
      <c r="O383" t="e">
        <f>AND('STERLING CATALOG - FZN &amp; CHILL'!J3218,"AAAAAH/q/g4=")</f>
        <v>#VALUE!</v>
      </c>
      <c r="P383">
        <f>IF('STERLING CATALOG - FZN &amp; CHILL'!3219:3219,"AAAAAH/q/g8=",0)</f>
        <v>0</v>
      </c>
      <c r="Q383" t="e">
        <f>AND('STERLING CATALOG - FZN &amp; CHILL'!A3219,"AAAAAH/q/hA=")</f>
        <v>#VALUE!</v>
      </c>
      <c r="R383" t="e">
        <f>AND('STERLING CATALOG - FZN &amp; CHILL'!B3219,"AAAAAH/q/hE=")</f>
        <v>#VALUE!</v>
      </c>
      <c r="S383" t="e">
        <f>AND('STERLING CATALOG - FZN &amp; CHILL'!C3219,"AAAAAH/q/hI=")</f>
        <v>#VALUE!</v>
      </c>
      <c r="T383" t="e">
        <f>AND('STERLING CATALOG - FZN &amp; CHILL'!D3219,"AAAAAH/q/hM=")</f>
        <v>#VALUE!</v>
      </c>
      <c r="U383" t="e">
        <f>AND('STERLING CATALOG - FZN &amp; CHILL'!E3219,"AAAAAH/q/hQ=")</f>
        <v>#VALUE!</v>
      </c>
      <c r="V383" t="e">
        <f>AND('STERLING CATALOG - FZN &amp; CHILL'!F3219,"AAAAAH/q/hU=")</f>
        <v>#VALUE!</v>
      </c>
      <c r="W383" t="e">
        <f>AND('STERLING CATALOG - FZN &amp; CHILL'!G3219,"AAAAAH/q/hY=")</f>
        <v>#VALUE!</v>
      </c>
      <c r="X383" t="e">
        <f>AND('STERLING CATALOG - FZN &amp; CHILL'!H3219,"AAAAAH/q/hc=")</f>
        <v>#VALUE!</v>
      </c>
      <c r="Y383" t="e">
        <f>AND('STERLING CATALOG - FZN &amp; CHILL'!I3219,"AAAAAH/q/hg=")</f>
        <v>#VALUE!</v>
      </c>
      <c r="Z383" t="e">
        <f>AND('STERLING CATALOG - FZN &amp; CHILL'!J3219,"AAAAAH/q/hk=")</f>
        <v>#VALUE!</v>
      </c>
      <c r="AA383">
        <f>IF('STERLING CATALOG - FZN &amp; CHILL'!3220:3220,"AAAAAH/q/ho=",0)</f>
        <v>0</v>
      </c>
      <c r="AB383" t="e">
        <f>AND('STERLING CATALOG - FZN &amp; CHILL'!A3220,"AAAAAH/q/hs=")</f>
        <v>#VALUE!</v>
      </c>
      <c r="AC383" t="e">
        <f>AND('STERLING CATALOG - FZN &amp; CHILL'!B3220,"AAAAAH/q/hw=")</f>
        <v>#VALUE!</v>
      </c>
      <c r="AD383" t="e">
        <f>AND('STERLING CATALOG - FZN &amp; CHILL'!C3220,"AAAAAH/q/h0=")</f>
        <v>#VALUE!</v>
      </c>
      <c r="AE383" t="e">
        <f>AND('STERLING CATALOG - FZN &amp; CHILL'!D3220,"AAAAAH/q/h4=")</f>
        <v>#VALUE!</v>
      </c>
      <c r="AF383" t="e">
        <f>AND('STERLING CATALOG - FZN &amp; CHILL'!E3220,"AAAAAH/q/h8=")</f>
        <v>#VALUE!</v>
      </c>
      <c r="AG383" t="e">
        <f>AND('STERLING CATALOG - FZN &amp; CHILL'!F3220,"AAAAAH/q/iA=")</f>
        <v>#VALUE!</v>
      </c>
      <c r="AH383" t="e">
        <f>AND('STERLING CATALOG - FZN &amp; CHILL'!G3220,"AAAAAH/q/iE=")</f>
        <v>#VALUE!</v>
      </c>
      <c r="AI383" t="e">
        <f>AND('STERLING CATALOG - FZN &amp; CHILL'!H3220,"AAAAAH/q/iI=")</f>
        <v>#VALUE!</v>
      </c>
      <c r="AJ383" t="e">
        <f>AND('STERLING CATALOG - FZN &amp; CHILL'!I3220,"AAAAAH/q/iM=")</f>
        <v>#VALUE!</v>
      </c>
      <c r="AK383" t="e">
        <f>AND('STERLING CATALOG - FZN &amp; CHILL'!J3220,"AAAAAH/q/iQ=")</f>
        <v>#VALUE!</v>
      </c>
      <c r="AL383">
        <f>IF('STERLING CATALOG - FZN &amp; CHILL'!3221:3221,"AAAAAH/q/iU=",0)</f>
        <v>0</v>
      </c>
      <c r="AM383" t="e">
        <f>AND('STERLING CATALOG - FZN &amp; CHILL'!A3221,"AAAAAH/q/iY=")</f>
        <v>#VALUE!</v>
      </c>
      <c r="AN383" t="e">
        <f>AND('STERLING CATALOG - FZN &amp; CHILL'!B3221,"AAAAAH/q/ic=")</f>
        <v>#VALUE!</v>
      </c>
      <c r="AO383" t="e">
        <f>AND('STERLING CATALOG - FZN &amp; CHILL'!C3221,"AAAAAH/q/ig=")</f>
        <v>#VALUE!</v>
      </c>
      <c r="AP383" t="e">
        <f>AND('STERLING CATALOG - FZN &amp; CHILL'!D3221,"AAAAAH/q/ik=")</f>
        <v>#VALUE!</v>
      </c>
      <c r="AQ383" t="e">
        <f>AND('STERLING CATALOG - FZN &amp; CHILL'!E3221,"AAAAAH/q/io=")</f>
        <v>#VALUE!</v>
      </c>
      <c r="AR383" t="e">
        <f>AND('STERLING CATALOG - FZN &amp; CHILL'!F3221,"AAAAAH/q/is=")</f>
        <v>#VALUE!</v>
      </c>
      <c r="AS383" t="e">
        <f>AND('STERLING CATALOG - FZN &amp; CHILL'!G3221,"AAAAAH/q/iw=")</f>
        <v>#VALUE!</v>
      </c>
      <c r="AT383" t="e">
        <f>AND('STERLING CATALOG - FZN &amp; CHILL'!H3221,"AAAAAH/q/i0=")</f>
        <v>#VALUE!</v>
      </c>
      <c r="AU383" t="e">
        <f>AND('STERLING CATALOG - FZN &amp; CHILL'!I3221,"AAAAAH/q/i4=")</f>
        <v>#VALUE!</v>
      </c>
      <c r="AV383" t="e">
        <f>AND('STERLING CATALOG - FZN &amp; CHILL'!J3221,"AAAAAH/q/i8=")</f>
        <v>#VALUE!</v>
      </c>
      <c r="AW383">
        <f>IF('STERLING CATALOG - FZN &amp; CHILL'!3222:3222,"AAAAAH/q/jA=",0)</f>
        <v>0</v>
      </c>
      <c r="AX383" t="e">
        <f>AND('STERLING CATALOG - FZN &amp; CHILL'!A3222,"AAAAAH/q/jE=")</f>
        <v>#VALUE!</v>
      </c>
      <c r="AY383" t="e">
        <f>AND('STERLING CATALOG - FZN &amp; CHILL'!B3222,"AAAAAH/q/jI=")</f>
        <v>#VALUE!</v>
      </c>
      <c r="AZ383" t="e">
        <f>AND('STERLING CATALOG - FZN &amp; CHILL'!C3222,"AAAAAH/q/jM=")</f>
        <v>#VALUE!</v>
      </c>
      <c r="BA383" t="e">
        <f>AND('STERLING CATALOG - FZN &amp; CHILL'!D3222,"AAAAAH/q/jQ=")</f>
        <v>#VALUE!</v>
      </c>
      <c r="BB383" t="e">
        <f>AND('STERLING CATALOG - FZN &amp; CHILL'!E3222,"AAAAAH/q/jU=")</f>
        <v>#VALUE!</v>
      </c>
      <c r="BC383" t="e">
        <f>AND('STERLING CATALOG - FZN &amp; CHILL'!F3222,"AAAAAH/q/jY=")</f>
        <v>#VALUE!</v>
      </c>
      <c r="BD383" t="e">
        <f>AND('STERLING CATALOG - FZN &amp; CHILL'!G3222,"AAAAAH/q/jc=")</f>
        <v>#VALUE!</v>
      </c>
      <c r="BE383" t="e">
        <f>AND('STERLING CATALOG - FZN &amp; CHILL'!H3222,"AAAAAH/q/jg=")</f>
        <v>#VALUE!</v>
      </c>
      <c r="BF383" t="e">
        <f>AND('STERLING CATALOG - FZN &amp; CHILL'!I3222,"AAAAAH/q/jk=")</f>
        <v>#VALUE!</v>
      </c>
      <c r="BG383" t="e">
        <f>AND('STERLING CATALOG - FZN &amp; CHILL'!J3222,"AAAAAH/q/jo=")</f>
        <v>#VALUE!</v>
      </c>
      <c r="BH383">
        <f>IF('STERLING CATALOG - FZN &amp; CHILL'!3223:3223,"AAAAAH/q/js=",0)</f>
        <v>0</v>
      </c>
      <c r="BI383" t="e">
        <f>AND('STERLING CATALOG - FZN &amp; CHILL'!A3223,"AAAAAH/q/jw=")</f>
        <v>#VALUE!</v>
      </c>
      <c r="BJ383" t="e">
        <f>AND('STERLING CATALOG - FZN &amp; CHILL'!B3223,"AAAAAH/q/j0=")</f>
        <v>#VALUE!</v>
      </c>
      <c r="BK383" t="e">
        <f>AND('STERLING CATALOG - FZN &amp; CHILL'!C3223,"AAAAAH/q/j4=")</f>
        <v>#VALUE!</v>
      </c>
      <c r="BL383" t="e">
        <f>AND('STERLING CATALOG - FZN &amp; CHILL'!D3223,"AAAAAH/q/j8=")</f>
        <v>#VALUE!</v>
      </c>
      <c r="BM383" t="e">
        <f>AND('STERLING CATALOG - FZN &amp; CHILL'!E3223,"AAAAAH/q/kA=")</f>
        <v>#VALUE!</v>
      </c>
      <c r="BN383" t="e">
        <f>AND('STERLING CATALOG - FZN &amp; CHILL'!F3223,"AAAAAH/q/kE=")</f>
        <v>#VALUE!</v>
      </c>
      <c r="BO383" t="e">
        <f>AND('STERLING CATALOG - FZN &amp; CHILL'!G3223,"AAAAAH/q/kI=")</f>
        <v>#VALUE!</v>
      </c>
      <c r="BP383" t="e">
        <f>AND('STERLING CATALOG - FZN &amp; CHILL'!H3223,"AAAAAH/q/kM=")</f>
        <v>#VALUE!</v>
      </c>
      <c r="BQ383" t="e">
        <f>AND('STERLING CATALOG - FZN &amp; CHILL'!I3223,"AAAAAH/q/kQ=")</f>
        <v>#VALUE!</v>
      </c>
      <c r="BR383" t="e">
        <f>AND('STERLING CATALOG - FZN &amp; CHILL'!J3223,"AAAAAH/q/kU=")</f>
        <v>#VALUE!</v>
      </c>
      <c r="BS383">
        <f>IF('STERLING CATALOG - FZN &amp; CHILL'!3224:3224,"AAAAAH/q/kY=",0)</f>
        <v>0</v>
      </c>
      <c r="BT383" t="e">
        <f>AND('STERLING CATALOG - FZN &amp; CHILL'!A3224,"AAAAAH/q/kc=")</f>
        <v>#VALUE!</v>
      </c>
      <c r="BU383" t="e">
        <f>AND('STERLING CATALOG - FZN &amp; CHILL'!B3224,"AAAAAH/q/kg=")</f>
        <v>#VALUE!</v>
      </c>
      <c r="BV383" t="e">
        <f>AND('STERLING CATALOG - FZN &amp; CHILL'!C3224,"AAAAAH/q/kk=")</f>
        <v>#VALUE!</v>
      </c>
      <c r="BW383" t="e">
        <f>AND('STERLING CATALOG - FZN &amp; CHILL'!D3224,"AAAAAH/q/ko=")</f>
        <v>#VALUE!</v>
      </c>
      <c r="BX383" t="e">
        <f>AND('STERLING CATALOG - FZN &amp; CHILL'!E3224,"AAAAAH/q/ks=")</f>
        <v>#VALUE!</v>
      </c>
      <c r="BY383" t="e">
        <f>AND('STERLING CATALOG - FZN &amp; CHILL'!F3224,"AAAAAH/q/kw=")</f>
        <v>#VALUE!</v>
      </c>
      <c r="BZ383" t="e">
        <f>AND('STERLING CATALOG - FZN &amp; CHILL'!G3224,"AAAAAH/q/k0=")</f>
        <v>#VALUE!</v>
      </c>
      <c r="CA383" t="e">
        <f>AND('STERLING CATALOG - FZN &amp; CHILL'!H3224,"AAAAAH/q/k4=")</f>
        <v>#VALUE!</v>
      </c>
      <c r="CB383" t="e">
        <f>AND('STERLING CATALOG - FZN &amp; CHILL'!I3224,"AAAAAH/q/k8=")</f>
        <v>#VALUE!</v>
      </c>
      <c r="CC383" t="e">
        <f>AND('STERLING CATALOG - FZN &amp; CHILL'!J3224,"AAAAAH/q/lA=")</f>
        <v>#VALUE!</v>
      </c>
      <c r="CD383">
        <f>IF('STERLING CATALOG - FZN &amp; CHILL'!3225:3225,"AAAAAH/q/lE=",0)</f>
        <v>0</v>
      </c>
      <c r="CE383" t="e">
        <f>AND('STERLING CATALOG - FZN &amp; CHILL'!A3225,"AAAAAH/q/lI=")</f>
        <v>#VALUE!</v>
      </c>
      <c r="CF383" t="e">
        <f>AND('STERLING CATALOG - FZN &amp; CHILL'!B3225,"AAAAAH/q/lM=")</f>
        <v>#VALUE!</v>
      </c>
      <c r="CG383" t="e">
        <f>AND('STERLING CATALOG - FZN &amp; CHILL'!C3225,"AAAAAH/q/lQ=")</f>
        <v>#VALUE!</v>
      </c>
      <c r="CH383" t="e">
        <f>AND('STERLING CATALOG - FZN &amp; CHILL'!D3225,"AAAAAH/q/lU=")</f>
        <v>#VALUE!</v>
      </c>
      <c r="CI383" t="e">
        <f>AND('STERLING CATALOG - FZN &amp; CHILL'!E3225,"AAAAAH/q/lY=")</f>
        <v>#VALUE!</v>
      </c>
      <c r="CJ383" t="e">
        <f>AND('STERLING CATALOG - FZN &amp; CHILL'!F3225,"AAAAAH/q/lc=")</f>
        <v>#VALUE!</v>
      </c>
      <c r="CK383" t="e">
        <f>AND('STERLING CATALOG - FZN &amp; CHILL'!G3225,"AAAAAH/q/lg=")</f>
        <v>#VALUE!</v>
      </c>
      <c r="CL383" t="e">
        <f>AND('STERLING CATALOG - FZN &amp; CHILL'!H3225,"AAAAAH/q/lk=")</f>
        <v>#VALUE!</v>
      </c>
      <c r="CM383" t="e">
        <f>AND('STERLING CATALOG - FZN &amp; CHILL'!I3225,"AAAAAH/q/lo=")</f>
        <v>#VALUE!</v>
      </c>
      <c r="CN383" t="e">
        <f>AND('STERLING CATALOG - FZN &amp; CHILL'!J3225,"AAAAAH/q/ls=")</f>
        <v>#VALUE!</v>
      </c>
      <c r="CO383">
        <f>IF('STERLING CATALOG - FZN &amp; CHILL'!3226:3226,"AAAAAH/q/lw=",0)</f>
        <v>0</v>
      </c>
      <c r="CP383" t="e">
        <f>AND('STERLING CATALOG - FZN &amp; CHILL'!A3226,"AAAAAH/q/l0=")</f>
        <v>#VALUE!</v>
      </c>
      <c r="CQ383" t="e">
        <f>AND('STERLING CATALOG - FZN &amp; CHILL'!B3226,"AAAAAH/q/l4=")</f>
        <v>#VALUE!</v>
      </c>
      <c r="CR383" t="e">
        <f>AND('STERLING CATALOG - FZN &amp; CHILL'!C3226,"AAAAAH/q/l8=")</f>
        <v>#VALUE!</v>
      </c>
      <c r="CS383" t="e">
        <f>AND('STERLING CATALOG - FZN &amp; CHILL'!D3226,"AAAAAH/q/mA=")</f>
        <v>#VALUE!</v>
      </c>
      <c r="CT383" t="e">
        <f>AND('STERLING CATALOG - FZN &amp; CHILL'!E3226,"AAAAAH/q/mE=")</f>
        <v>#VALUE!</v>
      </c>
      <c r="CU383" t="e">
        <f>AND('STERLING CATALOG - FZN &amp; CHILL'!F3226,"AAAAAH/q/mI=")</f>
        <v>#VALUE!</v>
      </c>
      <c r="CV383" t="e">
        <f>AND('STERLING CATALOG - FZN &amp; CHILL'!G3226,"AAAAAH/q/mM=")</f>
        <v>#VALUE!</v>
      </c>
      <c r="CW383" t="e">
        <f>AND('STERLING CATALOG - FZN &amp; CHILL'!H3226,"AAAAAH/q/mQ=")</f>
        <v>#VALUE!</v>
      </c>
      <c r="CX383" t="e">
        <f>AND('STERLING CATALOG - FZN &amp; CHILL'!I3226,"AAAAAH/q/mU=")</f>
        <v>#VALUE!</v>
      </c>
      <c r="CY383" t="e">
        <f>AND('STERLING CATALOG - FZN &amp; CHILL'!J3226,"AAAAAH/q/mY=")</f>
        <v>#VALUE!</v>
      </c>
      <c r="CZ383">
        <f>IF('STERLING CATALOG - FZN &amp; CHILL'!3227:3227,"AAAAAH/q/mc=",0)</f>
        <v>0</v>
      </c>
      <c r="DA383" t="e">
        <f>AND('STERLING CATALOG - FZN &amp; CHILL'!A3227,"AAAAAH/q/mg=")</f>
        <v>#VALUE!</v>
      </c>
      <c r="DB383" t="e">
        <f>AND('STERLING CATALOG - FZN &amp; CHILL'!B3227,"AAAAAH/q/mk=")</f>
        <v>#VALUE!</v>
      </c>
      <c r="DC383" t="e">
        <f>AND('STERLING CATALOG - FZN &amp; CHILL'!C3227,"AAAAAH/q/mo=")</f>
        <v>#VALUE!</v>
      </c>
      <c r="DD383" t="e">
        <f>AND('STERLING CATALOG - FZN &amp; CHILL'!D3227,"AAAAAH/q/ms=")</f>
        <v>#VALUE!</v>
      </c>
      <c r="DE383" t="e">
        <f>AND('STERLING CATALOG - FZN &amp; CHILL'!E3227,"AAAAAH/q/mw=")</f>
        <v>#VALUE!</v>
      </c>
      <c r="DF383" t="e">
        <f>AND('STERLING CATALOG - FZN &amp; CHILL'!F3227,"AAAAAH/q/m0=")</f>
        <v>#VALUE!</v>
      </c>
      <c r="DG383" t="e">
        <f>AND('STERLING CATALOG - FZN &amp; CHILL'!G3227,"AAAAAH/q/m4=")</f>
        <v>#VALUE!</v>
      </c>
      <c r="DH383" t="e">
        <f>AND('STERLING CATALOG - FZN &amp; CHILL'!H3227,"AAAAAH/q/m8=")</f>
        <v>#VALUE!</v>
      </c>
      <c r="DI383" t="e">
        <f>AND('STERLING CATALOG - FZN &amp; CHILL'!I3227,"AAAAAH/q/nA=")</f>
        <v>#VALUE!</v>
      </c>
      <c r="DJ383" t="e">
        <f>AND('STERLING CATALOG - FZN &amp; CHILL'!J3227,"AAAAAH/q/nE=")</f>
        <v>#VALUE!</v>
      </c>
      <c r="DK383">
        <f>IF('STERLING CATALOG - FZN &amp; CHILL'!3228:3228,"AAAAAH/q/nI=",0)</f>
        <v>0</v>
      </c>
      <c r="DL383" t="e">
        <f>AND('STERLING CATALOG - FZN &amp; CHILL'!A3228,"AAAAAH/q/nM=")</f>
        <v>#VALUE!</v>
      </c>
      <c r="DM383" t="e">
        <f>AND('STERLING CATALOG - FZN &amp; CHILL'!B3228,"AAAAAH/q/nQ=")</f>
        <v>#VALUE!</v>
      </c>
      <c r="DN383" t="e">
        <f>AND('STERLING CATALOG - FZN &amp; CHILL'!C3228,"AAAAAH/q/nU=")</f>
        <v>#VALUE!</v>
      </c>
      <c r="DO383" t="e">
        <f>AND('STERLING CATALOG - FZN &amp; CHILL'!D3228,"AAAAAH/q/nY=")</f>
        <v>#VALUE!</v>
      </c>
      <c r="DP383" t="e">
        <f>AND('STERLING CATALOG - FZN &amp; CHILL'!E3228,"AAAAAH/q/nc=")</f>
        <v>#VALUE!</v>
      </c>
      <c r="DQ383" t="e">
        <f>AND('STERLING CATALOG - FZN &amp; CHILL'!F3228,"AAAAAH/q/ng=")</f>
        <v>#VALUE!</v>
      </c>
      <c r="DR383" t="e">
        <f>AND('STERLING CATALOG - FZN &amp; CHILL'!G3228,"AAAAAH/q/nk=")</f>
        <v>#VALUE!</v>
      </c>
      <c r="DS383" t="e">
        <f>AND('STERLING CATALOG - FZN &amp; CHILL'!H3228,"AAAAAH/q/no=")</f>
        <v>#VALUE!</v>
      </c>
      <c r="DT383" t="e">
        <f>AND('STERLING CATALOG - FZN &amp; CHILL'!I3228,"AAAAAH/q/ns=")</f>
        <v>#VALUE!</v>
      </c>
      <c r="DU383" t="e">
        <f>AND('STERLING CATALOG - FZN &amp; CHILL'!J3228,"AAAAAH/q/nw=")</f>
        <v>#VALUE!</v>
      </c>
      <c r="DV383">
        <f>IF('STERLING CATALOG - FZN &amp; CHILL'!3229:3229,"AAAAAH/q/n0=",0)</f>
        <v>0</v>
      </c>
      <c r="DW383" t="e">
        <f>AND('STERLING CATALOG - FZN &amp; CHILL'!A3229,"AAAAAH/q/n4=")</f>
        <v>#VALUE!</v>
      </c>
      <c r="DX383" t="e">
        <f>AND('STERLING CATALOG - FZN &amp; CHILL'!B3229,"AAAAAH/q/n8=")</f>
        <v>#VALUE!</v>
      </c>
      <c r="DY383" t="e">
        <f>AND('STERLING CATALOG - FZN &amp; CHILL'!C3229,"AAAAAH/q/oA=")</f>
        <v>#VALUE!</v>
      </c>
      <c r="DZ383" t="e">
        <f>AND('STERLING CATALOG - FZN &amp; CHILL'!D3229,"AAAAAH/q/oE=")</f>
        <v>#VALUE!</v>
      </c>
      <c r="EA383" t="e">
        <f>AND('STERLING CATALOG - FZN &amp; CHILL'!E3229,"AAAAAH/q/oI=")</f>
        <v>#VALUE!</v>
      </c>
      <c r="EB383" t="e">
        <f>AND('STERLING CATALOG - FZN &amp; CHILL'!F3229,"AAAAAH/q/oM=")</f>
        <v>#VALUE!</v>
      </c>
      <c r="EC383" t="e">
        <f>AND('STERLING CATALOG - FZN &amp; CHILL'!G3229,"AAAAAH/q/oQ=")</f>
        <v>#VALUE!</v>
      </c>
      <c r="ED383" t="e">
        <f>AND('STERLING CATALOG - FZN &amp; CHILL'!H3229,"AAAAAH/q/oU=")</f>
        <v>#VALUE!</v>
      </c>
      <c r="EE383" t="e">
        <f>AND('STERLING CATALOG - FZN &amp; CHILL'!I3229,"AAAAAH/q/oY=")</f>
        <v>#VALUE!</v>
      </c>
      <c r="EF383" t="e">
        <f>AND('STERLING CATALOG - FZN &amp; CHILL'!J3229,"AAAAAH/q/oc=")</f>
        <v>#VALUE!</v>
      </c>
      <c r="EG383">
        <f>IF('STERLING CATALOG - FZN &amp; CHILL'!3230:3230,"AAAAAH/q/og=",0)</f>
        <v>0</v>
      </c>
      <c r="EH383" t="e">
        <f>AND('STERLING CATALOG - FZN &amp; CHILL'!A3230,"AAAAAH/q/ok=")</f>
        <v>#VALUE!</v>
      </c>
      <c r="EI383" t="e">
        <f>AND('STERLING CATALOG - FZN &amp; CHILL'!B3230,"AAAAAH/q/oo=")</f>
        <v>#VALUE!</v>
      </c>
      <c r="EJ383" t="e">
        <f>AND('STERLING CATALOG - FZN &amp; CHILL'!C3230,"AAAAAH/q/os=")</f>
        <v>#VALUE!</v>
      </c>
      <c r="EK383" t="e">
        <f>AND('STERLING CATALOG - FZN &amp; CHILL'!D3230,"AAAAAH/q/ow=")</f>
        <v>#VALUE!</v>
      </c>
      <c r="EL383" t="e">
        <f>AND('STERLING CATALOG - FZN &amp; CHILL'!E3230,"AAAAAH/q/o0=")</f>
        <v>#VALUE!</v>
      </c>
      <c r="EM383" t="e">
        <f>AND('STERLING CATALOG - FZN &amp; CHILL'!F3230,"AAAAAH/q/o4=")</f>
        <v>#VALUE!</v>
      </c>
      <c r="EN383" t="e">
        <f>AND('STERLING CATALOG - FZN &amp; CHILL'!G3230,"AAAAAH/q/o8=")</f>
        <v>#VALUE!</v>
      </c>
      <c r="EO383" t="e">
        <f>AND('STERLING CATALOG - FZN &amp; CHILL'!H3230,"AAAAAH/q/pA=")</f>
        <v>#VALUE!</v>
      </c>
      <c r="EP383" t="e">
        <f>AND('STERLING CATALOG - FZN &amp; CHILL'!I3230,"AAAAAH/q/pE=")</f>
        <v>#VALUE!</v>
      </c>
      <c r="EQ383" t="e">
        <f>AND('STERLING CATALOG - FZN &amp; CHILL'!J3230,"AAAAAH/q/pI=")</f>
        <v>#VALUE!</v>
      </c>
      <c r="ER383">
        <f>IF('STERLING CATALOG - FZN &amp; CHILL'!3231:3231,"AAAAAH/q/pM=",0)</f>
        <v>0</v>
      </c>
      <c r="ES383" t="e">
        <f>AND('STERLING CATALOG - FZN &amp; CHILL'!A3231,"AAAAAH/q/pQ=")</f>
        <v>#VALUE!</v>
      </c>
      <c r="ET383" t="e">
        <f>AND('STERLING CATALOG - FZN &amp; CHILL'!B3231,"AAAAAH/q/pU=")</f>
        <v>#VALUE!</v>
      </c>
      <c r="EU383" t="e">
        <f>AND('STERLING CATALOG - FZN &amp; CHILL'!C3231,"AAAAAH/q/pY=")</f>
        <v>#VALUE!</v>
      </c>
      <c r="EV383" t="e">
        <f>AND('STERLING CATALOG - FZN &amp; CHILL'!D3231,"AAAAAH/q/pc=")</f>
        <v>#VALUE!</v>
      </c>
      <c r="EW383" t="e">
        <f>AND('STERLING CATALOG - FZN &amp; CHILL'!E3231,"AAAAAH/q/pg=")</f>
        <v>#VALUE!</v>
      </c>
      <c r="EX383" t="e">
        <f>AND('STERLING CATALOG - FZN &amp; CHILL'!F3231,"AAAAAH/q/pk=")</f>
        <v>#VALUE!</v>
      </c>
      <c r="EY383" t="e">
        <f>AND('STERLING CATALOG - FZN &amp; CHILL'!G3231,"AAAAAH/q/po=")</f>
        <v>#VALUE!</v>
      </c>
      <c r="EZ383" t="e">
        <f>AND('STERLING CATALOG - FZN &amp; CHILL'!H3231,"AAAAAH/q/ps=")</f>
        <v>#VALUE!</v>
      </c>
      <c r="FA383" t="e">
        <f>AND('STERLING CATALOG - FZN &amp; CHILL'!I3231,"AAAAAH/q/pw=")</f>
        <v>#VALUE!</v>
      </c>
      <c r="FB383" t="e">
        <f>AND('STERLING CATALOG - FZN &amp; CHILL'!J3231,"AAAAAH/q/p0=")</f>
        <v>#VALUE!</v>
      </c>
      <c r="FC383">
        <f>IF('STERLING CATALOG - FZN &amp; CHILL'!3232:3232,"AAAAAH/q/p4=",0)</f>
        <v>0</v>
      </c>
      <c r="FD383" t="e">
        <f>AND('STERLING CATALOG - FZN &amp; CHILL'!A3232,"AAAAAH/q/p8=")</f>
        <v>#VALUE!</v>
      </c>
      <c r="FE383" t="e">
        <f>AND('STERLING CATALOG - FZN &amp; CHILL'!B3232,"AAAAAH/q/qA=")</f>
        <v>#VALUE!</v>
      </c>
      <c r="FF383" t="e">
        <f>AND('STERLING CATALOG - FZN &amp; CHILL'!C3232,"AAAAAH/q/qE=")</f>
        <v>#VALUE!</v>
      </c>
      <c r="FG383" t="e">
        <f>AND('STERLING CATALOG - FZN &amp; CHILL'!D3232,"AAAAAH/q/qI=")</f>
        <v>#VALUE!</v>
      </c>
      <c r="FH383" t="e">
        <f>AND('STERLING CATALOG - FZN &amp; CHILL'!E3232,"AAAAAH/q/qM=")</f>
        <v>#VALUE!</v>
      </c>
      <c r="FI383" t="e">
        <f>AND('STERLING CATALOG - FZN &amp; CHILL'!F3232,"AAAAAH/q/qQ=")</f>
        <v>#VALUE!</v>
      </c>
      <c r="FJ383" t="e">
        <f>AND('STERLING CATALOG - FZN &amp; CHILL'!G3232,"AAAAAH/q/qU=")</f>
        <v>#VALUE!</v>
      </c>
      <c r="FK383" t="e">
        <f>AND('STERLING CATALOG - FZN &amp; CHILL'!H3232,"AAAAAH/q/qY=")</f>
        <v>#VALUE!</v>
      </c>
      <c r="FL383" t="e">
        <f>AND('STERLING CATALOG - FZN &amp; CHILL'!I3232,"AAAAAH/q/qc=")</f>
        <v>#VALUE!</v>
      </c>
      <c r="FM383" t="e">
        <f>AND('STERLING CATALOG - FZN &amp; CHILL'!J3232,"AAAAAH/q/qg=")</f>
        <v>#VALUE!</v>
      </c>
      <c r="FN383">
        <f>IF('STERLING CATALOG - FZN &amp; CHILL'!3233:3233,"AAAAAH/q/qk=",0)</f>
        <v>0</v>
      </c>
      <c r="FO383" t="e">
        <f>AND('STERLING CATALOG - FZN &amp; CHILL'!A3233,"AAAAAH/q/qo=")</f>
        <v>#VALUE!</v>
      </c>
      <c r="FP383" t="e">
        <f>AND('STERLING CATALOG - FZN &amp; CHILL'!B3233,"AAAAAH/q/qs=")</f>
        <v>#VALUE!</v>
      </c>
      <c r="FQ383" t="e">
        <f>AND('STERLING CATALOG - FZN &amp; CHILL'!C3233,"AAAAAH/q/qw=")</f>
        <v>#VALUE!</v>
      </c>
      <c r="FR383" t="e">
        <f>AND('STERLING CATALOG - FZN &amp; CHILL'!D3233,"AAAAAH/q/q0=")</f>
        <v>#VALUE!</v>
      </c>
      <c r="FS383" t="e">
        <f>AND('STERLING CATALOG - FZN &amp; CHILL'!E3233,"AAAAAH/q/q4=")</f>
        <v>#VALUE!</v>
      </c>
      <c r="FT383" t="e">
        <f>AND('STERLING CATALOG - FZN &amp; CHILL'!F3233,"AAAAAH/q/q8=")</f>
        <v>#VALUE!</v>
      </c>
      <c r="FU383" t="e">
        <f>AND('STERLING CATALOG - FZN &amp; CHILL'!G3233,"AAAAAH/q/rA=")</f>
        <v>#VALUE!</v>
      </c>
      <c r="FV383" t="e">
        <f>AND('STERLING CATALOG - FZN &amp; CHILL'!H3233,"AAAAAH/q/rE=")</f>
        <v>#VALUE!</v>
      </c>
      <c r="FW383" t="e">
        <f>AND('STERLING CATALOG - FZN &amp; CHILL'!I3233,"AAAAAH/q/rI=")</f>
        <v>#VALUE!</v>
      </c>
      <c r="FX383" t="e">
        <f>AND('STERLING CATALOG - FZN &amp; CHILL'!J3233,"AAAAAH/q/rM=")</f>
        <v>#VALUE!</v>
      </c>
      <c r="FY383">
        <f>IF('STERLING CATALOG - FZN &amp; CHILL'!3234:3234,"AAAAAH/q/rQ=",0)</f>
        <v>0</v>
      </c>
      <c r="FZ383" t="e">
        <f>AND('STERLING CATALOG - FZN &amp; CHILL'!A3234,"AAAAAH/q/rU=")</f>
        <v>#VALUE!</v>
      </c>
      <c r="GA383" t="e">
        <f>AND('STERLING CATALOG - FZN &amp; CHILL'!B3234,"AAAAAH/q/rY=")</f>
        <v>#VALUE!</v>
      </c>
      <c r="GB383" t="e">
        <f>AND('STERLING CATALOG - FZN &amp; CHILL'!C3234,"AAAAAH/q/rc=")</f>
        <v>#VALUE!</v>
      </c>
      <c r="GC383" t="e">
        <f>AND('STERLING CATALOG - FZN &amp; CHILL'!D3234,"AAAAAH/q/rg=")</f>
        <v>#VALUE!</v>
      </c>
      <c r="GD383" t="e">
        <f>AND('STERLING CATALOG - FZN &amp; CHILL'!E3234,"AAAAAH/q/rk=")</f>
        <v>#VALUE!</v>
      </c>
      <c r="GE383" t="e">
        <f>AND('STERLING CATALOG - FZN &amp; CHILL'!F3234,"AAAAAH/q/ro=")</f>
        <v>#VALUE!</v>
      </c>
      <c r="GF383" t="e">
        <f>AND('STERLING CATALOG - FZN &amp; CHILL'!G3234,"AAAAAH/q/rs=")</f>
        <v>#VALUE!</v>
      </c>
      <c r="GG383" t="e">
        <f>AND('STERLING CATALOG - FZN &amp; CHILL'!H3234,"AAAAAH/q/rw=")</f>
        <v>#VALUE!</v>
      </c>
      <c r="GH383" t="e">
        <f>AND('STERLING CATALOG - FZN &amp; CHILL'!I3234,"AAAAAH/q/r0=")</f>
        <v>#VALUE!</v>
      </c>
      <c r="GI383" t="e">
        <f>AND('STERLING CATALOG - FZN &amp; CHILL'!J3234,"AAAAAH/q/r4=")</f>
        <v>#VALUE!</v>
      </c>
      <c r="GJ383">
        <f>IF('STERLING CATALOG - FZN &amp; CHILL'!3235:3235,"AAAAAH/q/r8=",0)</f>
        <v>0</v>
      </c>
      <c r="GK383" t="e">
        <f>AND('STERLING CATALOG - FZN &amp; CHILL'!A3235,"AAAAAH/q/sA=")</f>
        <v>#VALUE!</v>
      </c>
      <c r="GL383" t="e">
        <f>AND('STERLING CATALOG - FZN &amp; CHILL'!B3235,"AAAAAH/q/sE=")</f>
        <v>#VALUE!</v>
      </c>
      <c r="GM383" t="e">
        <f>AND('STERLING CATALOG - FZN &amp; CHILL'!C3235,"AAAAAH/q/sI=")</f>
        <v>#VALUE!</v>
      </c>
      <c r="GN383" t="e">
        <f>AND('STERLING CATALOG - FZN &amp; CHILL'!D3235,"AAAAAH/q/sM=")</f>
        <v>#VALUE!</v>
      </c>
      <c r="GO383" t="e">
        <f>AND('STERLING CATALOG - FZN &amp; CHILL'!E3235,"AAAAAH/q/sQ=")</f>
        <v>#VALUE!</v>
      </c>
      <c r="GP383" t="e">
        <f>AND('STERLING CATALOG - FZN &amp; CHILL'!F3235,"AAAAAH/q/sU=")</f>
        <v>#VALUE!</v>
      </c>
      <c r="GQ383" t="e">
        <f>AND('STERLING CATALOG - FZN &amp; CHILL'!G3235,"AAAAAH/q/sY=")</f>
        <v>#VALUE!</v>
      </c>
      <c r="GR383" t="e">
        <f>AND('STERLING CATALOG - FZN &amp; CHILL'!H3235,"AAAAAH/q/sc=")</f>
        <v>#VALUE!</v>
      </c>
      <c r="GS383" t="e">
        <f>AND('STERLING CATALOG - FZN &amp; CHILL'!I3235,"AAAAAH/q/sg=")</f>
        <v>#VALUE!</v>
      </c>
      <c r="GT383" t="e">
        <f>AND('STERLING CATALOG - FZN &amp; CHILL'!J3235,"AAAAAH/q/sk=")</f>
        <v>#VALUE!</v>
      </c>
      <c r="GU383">
        <f>IF('STERLING CATALOG - FZN &amp; CHILL'!3236:3236,"AAAAAH/q/so=",0)</f>
        <v>0</v>
      </c>
      <c r="GV383" t="e">
        <f>AND('STERLING CATALOG - FZN &amp; CHILL'!A3236,"AAAAAH/q/ss=")</f>
        <v>#VALUE!</v>
      </c>
      <c r="GW383" t="e">
        <f>AND('STERLING CATALOG - FZN &amp; CHILL'!B3236,"AAAAAH/q/sw=")</f>
        <v>#VALUE!</v>
      </c>
      <c r="GX383" t="e">
        <f>AND('STERLING CATALOG - FZN &amp; CHILL'!C3236,"AAAAAH/q/s0=")</f>
        <v>#VALUE!</v>
      </c>
      <c r="GY383" t="e">
        <f>AND('STERLING CATALOG - FZN &amp; CHILL'!D3236,"AAAAAH/q/s4=")</f>
        <v>#VALUE!</v>
      </c>
      <c r="GZ383" t="e">
        <f>AND('STERLING CATALOG - FZN &amp; CHILL'!E3236,"AAAAAH/q/s8=")</f>
        <v>#VALUE!</v>
      </c>
      <c r="HA383" t="e">
        <f>AND('STERLING CATALOG - FZN &amp; CHILL'!F3236,"AAAAAH/q/tA=")</f>
        <v>#VALUE!</v>
      </c>
      <c r="HB383" t="e">
        <f>AND('STERLING CATALOG - FZN &amp; CHILL'!G3236,"AAAAAH/q/tE=")</f>
        <v>#VALUE!</v>
      </c>
      <c r="HC383" t="e">
        <f>AND('STERLING CATALOG - FZN &amp; CHILL'!H3236,"AAAAAH/q/tI=")</f>
        <v>#VALUE!</v>
      </c>
      <c r="HD383" t="e">
        <f>AND('STERLING CATALOG - FZN &amp; CHILL'!I3236,"AAAAAH/q/tM=")</f>
        <v>#VALUE!</v>
      </c>
      <c r="HE383" t="e">
        <f>AND('STERLING CATALOG - FZN &amp; CHILL'!J3236,"AAAAAH/q/tQ=")</f>
        <v>#VALUE!</v>
      </c>
      <c r="HF383">
        <f>IF('STERLING CATALOG - FZN &amp; CHILL'!3237:3237,"AAAAAH/q/tU=",0)</f>
        <v>0</v>
      </c>
      <c r="HG383" t="e">
        <f>AND('STERLING CATALOG - FZN &amp; CHILL'!A3237,"AAAAAH/q/tY=")</f>
        <v>#VALUE!</v>
      </c>
      <c r="HH383" t="e">
        <f>AND('STERLING CATALOG - FZN &amp; CHILL'!B3237,"AAAAAH/q/tc=")</f>
        <v>#VALUE!</v>
      </c>
      <c r="HI383" t="e">
        <f>AND('STERLING CATALOG - FZN &amp; CHILL'!C3237,"AAAAAH/q/tg=")</f>
        <v>#VALUE!</v>
      </c>
      <c r="HJ383" t="e">
        <f>AND('STERLING CATALOG - FZN &amp; CHILL'!D3237,"AAAAAH/q/tk=")</f>
        <v>#VALUE!</v>
      </c>
      <c r="HK383" t="e">
        <f>AND('STERLING CATALOG - FZN &amp; CHILL'!E3237,"AAAAAH/q/to=")</f>
        <v>#VALUE!</v>
      </c>
      <c r="HL383" t="e">
        <f>AND('STERLING CATALOG - FZN &amp; CHILL'!F3237,"AAAAAH/q/ts=")</f>
        <v>#VALUE!</v>
      </c>
      <c r="HM383" t="e">
        <f>AND('STERLING CATALOG - FZN &amp; CHILL'!G3237,"AAAAAH/q/tw=")</f>
        <v>#VALUE!</v>
      </c>
      <c r="HN383" t="e">
        <f>AND('STERLING CATALOG - FZN &amp; CHILL'!H3237,"AAAAAH/q/t0=")</f>
        <v>#VALUE!</v>
      </c>
      <c r="HO383" t="e">
        <f>AND('STERLING CATALOG - FZN &amp; CHILL'!I3237,"AAAAAH/q/t4=")</f>
        <v>#VALUE!</v>
      </c>
      <c r="HP383" t="e">
        <f>AND('STERLING CATALOG - FZN &amp; CHILL'!J3237,"AAAAAH/q/t8=")</f>
        <v>#VALUE!</v>
      </c>
      <c r="HQ383">
        <f>IF('STERLING CATALOG - FZN &amp; CHILL'!3238:3238,"AAAAAH/q/uA=",0)</f>
        <v>0</v>
      </c>
      <c r="HR383" t="e">
        <f>AND('STERLING CATALOG - FZN &amp; CHILL'!A3238,"AAAAAH/q/uE=")</f>
        <v>#VALUE!</v>
      </c>
      <c r="HS383" t="e">
        <f>AND('STERLING CATALOG - FZN &amp; CHILL'!B3238,"AAAAAH/q/uI=")</f>
        <v>#VALUE!</v>
      </c>
      <c r="HT383" t="e">
        <f>AND('STERLING CATALOG - FZN &amp; CHILL'!C3238,"AAAAAH/q/uM=")</f>
        <v>#VALUE!</v>
      </c>
      <c r="HU383" t="e">
        <f>AND('STERLING CATALOG - FZN &amp; CHILL'!D3238,"AAAAAH/q/uQ=")</f>
        <v>#VALUE!</v>
      </c>
      <c r="HV383" t="e">
        <f>AND('STERLING CATALOG - FZN &amp; CHILL'!E3238,"AAAAAH/q/uU=")</f>
        <v>#VALUE!</v>
      </c>
      <c r="HW383" t="e">
        <f>AND('STERLING CATALOG - FZN &amp; CHILL'!F3238,"AAAAAH/q/uY=")</f>
        <v>#VALUE!</v>
      </c>
      <c r="HX383" t="e">
        <f>AND('STERLING CATALOG - FZN &amp; CHILL'!G3238,"AAAAAH/q/uc=")</f>
        <v>#VALUE!</v>
      </c>
      <c r="HY383" t="e">
        <f>AND('STERLING CATALOG - FZN &amp; CHILL'!H3238,"AAAAAH/q/ug=")</f>
        <v>#VALUE!</v>
      </c>
      <c r="HZ383" t="e">
        <f>AND('STERLING CATALOG - FZN &amp; CHILL'!I3238,"AAAAAH/q/uk=")</f>
        <v>#VALUE!</v>
      </c>
      <c r="IA383" t="e">
        <f>AND('STERLING CATALOG - FZN &amp; CHILL'!J3238,"AAAAAH/q/uo=")</f>
        <v>#VALUE!</v>
      </c>
      <c r="IB383">
        <f>IF('STERLING CATALOG - FZN &amp; CHILL'!3239:3239,"AAAAAH/q/us=",0)</f>
        <v>0</v>
      </c>
      <c r="IC383" t="e">
        <f>AND('STERLING CATALOG - FZN &amp; CHILL'!A3239,"AAAAAH/q/uw=")</f>
        <v>#VALUE!</v>
      </c>
      <c r="ID383" t="e">
        <f>AND('STERLING CATALOG - FZN &amp; CHILL'!B3239,"AAAAAH/q/u0=")</f>
        <v>#VALUE!</v>
      </c>
      <c r="IE383" t="e">
        <f>AND('STERLING CATALOG - FZN &amp; CHILL'!C3239,"AAAAAH/q/u4=")</f>
        <v>#VALUE!</v>
      </c>
      <c r="IF383" t="e">
        <f>AND('STERLING CATALOG - FZN &amp; CHILL'!D3239,"AAAAAH/q/u8=")</f>
        <v>#VALUE!</v>
      </c>
      <c r="IG383" t="e">
        <f>AND('STERLING CATALOG - FZN &amp; CHILL'!E3239,"AAAAAH/q/vA=")</f>
        <v>#VALUE!</v>
      </c>
      <c r="IH383" t="e">
        <f>AND('STERLING CATALOG - FZN &amp; CHILL'!F3239,"AAAAAH/q/vE=")</f>
        <v>#VALUE!</v>
      </c>
      <c r="II383" t="e">
        <f>AND('STERLING CATALOG - FZN &amp; CHILL'!G3239,"AAAAAH/q/vI=")</f>
        <v>#VALUE!</v>
      </c>
      <c r="IJ383" t="e">
        <f>AND('STERLING CATALOG - FZN &amp; CHILL'!H3239,"AAAAAH/q/vM=")</f>
        <v>#VALUE!</v>
      </c>
      <c r="IK383" t="e">
        <f>AND('STERLING CATALOG - FZN &amp; CHILL'!I3239,"AAAAAH/q/vQ=")</f>
        <v>#VALUE!</v>
      </c>
      <c r="IL383" t="e">
        <f>AND('STERLING CATALOG - FZN &amp; CHILL'!J3239,"AAAAAH/q/vU=")</f>
        <v>#VALUE!</v>
      </c>
      <c r="IM383">
        <f>IF('STERLING CATALOG - FZN &amp; CHILL'!3240:3240,"AAAAAH/q/vY=",0)</f>
        <v>0</v>
      </c>
      <c r="IN383" t="e">
        <f>AND('STERLING CATALOG - FZN &amp; CHILL'!A3240,"AAAAAH/q/vc=")</f>
        <v>#VALUE!</v>
      </c>
      <c r="IO383" t="e">
        <f>AND('STERLING CATALOG - FZN &amp; CHILL'!B3240,"AAAAAH/q/vg=")</f>
        <v>#VALUE!</v>
      </c>
      <c r="IP383" t="e">
        <f>AND('STERLING CATALOG - FZN &amp; CHILL'!C3240,"AAAAAH/q/vk=")</f>
        <v>#VALUE!</v>
      </c>
      <c r="IQ383" t="e">
        <f>AND('STERLING CATALOG - FZN &amp; CHILL'!D3240,"AAAAAH/q/vo=")</f>
        <v>#VALUE!</v>
      </c>
      <c r="IR383" t="e">
        <f>AND('STERLING CATALOG - FZN &amp; CHILL'!E3240,"AAAAAH/q/vs=")</f>
        <v>#VALUE!</v>
      </c>
      <c r="IS383" t="e">
        <f>AND('STERLING CATALOG - FZN &amp; CHILL'!F3240,"AAAAAH/q/vw=")</f>
        <v>#VALUE!</v>
      </c>
      <c r="IT383" t="e">
        <f>AND('STERLING CATALOG - FZN &amp; CHILL'!G3240,"AAAAAH/q/v0=")</f>
        <v>#VALUE!</v>
      </c>
      <c r="IU383" t="e">
        <f>AND('STERLING CATALOG - FZN &amp; CHILL'!H3240,"AAAAAH/q/v4=")</f>
        <v>#VALUE!</v>
      </c>
      <c r="IV383" t="e">
        <f>AND('STERLING CATALOG - FZN &amp; CHILL'!I3240,"AAAAAH/q/v8=")</f>
        <v>#VALUE!</v>
      </c>
    </row>
    <row r="384" spans="1:256">
      <c r="A384" t="e">
        <f>AND('STERLING CATALOG - FZN &amp; CHILL'!J3240,"AAAAAFvpvgA=")</f>
        <v>#VALUE!</v>
      </c>
      <c r="B384">
        <f>IF('STERLING CATALOG - FZN &amp; CHILL'!3241:3241,"AAAAAFvpvgE=",0)</f>
        <v>0</v>
      </c>
      <c r="C384" t="e">
        <f>AND('STERLING CATALOG - FZN &amp; CHILL'!A3241,"AAAAAFvpvgI=")</f>
        <v>#VALUE!</v>
      </c>
      <c r="D384" t="e">
        <f>AND('STERLING CATALOG - FZN &amp; CHILL'!B3241,"AAAAAFvpvgM=")</f>
        <v>#VALUE!</v>
      </c>
      <c r="E384" t="e">
        <f>AND('STERLING CATALOG - FZN &amp; CHILL'!C3241,"AAAAAFvpvgQ=")</f>
        <v>#VALUE!</v>
      </c>
      <c r="F384" t="e">
        <f>AND('STERLING CATALOG - FZN &amp; CHILL'!D3241,"AAAAAFvpvgU=")</f>
        <v>#VALUE!</v>
      </c>
      <c r="G384" t="e">
        <f>AND('STERLING CATALOG - FZN &amp; CHILL'!E3241,"AAAAAFvpvgY=")</f>
        <v>#VALUE!</v>
      </c>
      <c r="H384" t="e">
        <f>AND('STERLING CATALOG - FZN &amp; CHILL'!F3241,"AAAAAFvpvgc=")</f>
        <v>#VALUE!</v>
      </c>
      <c r="I384" t="e">
        <f>AND('STERLING CATALOG - FZN &amp; CHILL'!G3241,"AAAAAFvpvgg=")</f>
        <v>#VALUE!</v>
      </c>
      <c r="J384" t="e">
        <f>AND('STERLING CATALOG - FZN &amp; CHILL'!H3241,"AAAAAFvpvgk=")</f>
        <v>#VALUE!</v>
      </c>
      <c r="K384" t="e">
        <f>AND('STERLING CATALOG - FZN &amp; CHILL'!I3241,"AAAAAFvpvgo=")</f>
        <v>#VALUE!</v>
      </c>
      <c r="L384" t="e">
        <f>AND('STERLING CATALOG - FZN &amp; CHILL'!J3241,"AAAAAFvpvgs=")</f>
        <v>#VALUE!</v>
      </c>
      <c r="M384">
        <f>IF('STERLING CATALOG - FZN &amp; CHILL'!3242:3242,"AAAAAFvpvgw=",0)</f>
        <v>0</v>
      </c>
      <c r="N384" t="e">
        <f>AND('STERLING CATALOG - FZN &amp; CHILL'!A3242,"AAAAAFvpvg0=")</f>
        <v>#VALUE!</v>
      </c>
      <c r="O384" t="e">
        <f>AND('STERLING CATALOG - FZN &amp; CHILL'!B3242,"AAAAAFvpvg4=")</f>
        <v>#VALUE!</v>
      </c>
      <c r="P384" t="e">
        <f>AND('STERLING CATALOG - FZN &amp; CHILL'!C3242,"AAAAAFvpvg8=")</f>
        <v>#VALUE!</v>
      </c>
      <c r="Q384" t="e">
        <f>AND('STERLING CATALOG - FZN &amp; CHILL'!D3242,"AAAAAFvpvhA=")</f>
        <v>#VALUE!</v>
      </c>
      <c r="R384" t="e">
        <f>AND('STERLING CATALOG - FZN &amp; CHILL'!E3242,"AAAAAFvpvhE=")</f>
        <v>#VALUE!</v>
      </c>
      <c r="S384" t="e">
        <f>AND('STERLING CATALOG - FZN &amp; CHILL'!F3242,"AAAAAFvpvhI=")</f>
        <v>#VALUE!</v>
      </c>
      <c r="T384" t="e">
        <f>AND('STERLING CATALOG - FZN &amp; CHILL'!G3242,"AAAAAFvpvhM=")</f>
        <v>#VALUE!</v>
      </c>
      <c r="U384" t="e">
        <f>AND('STERLING CATALOG - FZN &amp; CHILL'!H3242,"AAAAAFvpvhQ=")</f>
        <v>#VALUE!</v>
      </c>
      <c r="V384" t="e">
        <f>AND('STERLING CATALOG - FZN &amp; CHILL'!I3242,"AAAAAFvpvhU=")</f>
        <v>#VALUE!</v>
      </c>
      <c r="W384" t="e">
        <f>AND('STERLING CATALOG - FZN &amp; CHILL'!J3242,"AAAAAFvpvhY=")</f>
        <v>#VALUE!</v>
      </c>
      <c r="X384">
        <f>IF('STERLING CATALOG - FZN &amp; CHILL'!3243:3243,"AAAAAFvpvhc=",0)</f>
        <v>0</v>
      </c>
      <c r="Y384" t="e">
        <f>AND('STERLING CATALOG - FZN &amp; CHILL'!A3243,"AAAAAFvpvhg=")</f>
        <v>#VALUE!</v>
      </c>
      <c r="Z384" t="e">
        <f>AND('STERLING CATALOG - FZN &amp; CHILL'!B3243,"AAAAAFvpvhk=")</f>
        <v>#VALUE!</v>
      </c>
      <c r="AA384" t="e">
        <f>AND('STERLING CATALOG - FZN &amp; CHILL'!C3243,"AAAAAFvpvho=")</f>
        <v>#VALUE!</v>
      </c>
      <c r="AB384" t="e">
        <f>AND('STERLING CATALOG - FZN &amp; CHILL'!D3243,"AAAAAFvpvhs=")</f>
        <v>#VALUE!</v>
      </c>
      <c r="AC384" t="e">
        <f>AND('STERLING CATALOG - FZN &amp; CHILL'!E3243,"AAAAAFvpvhw=")</f>
        <v>#VALUE!</v>
      </c>
      <c r="AD384" t="e">
        <f>AND('STERLING CATALOG - FZN &amp; CHILL'!F3243,"AAAAAFvpvh0=")</f>
        <v>#VALUE!</v>
      </c>
      <c r="AE384" t="e">
        <f>AND('STERLING CATALOG - FZN &amp; CHILL'!G3243,"AAAAAFvpvh4=")</f>
        <v>#VALUE!</v>
      </c>
      <c r="AF384" t="e">
        <f>AND('STERLING CATALOG - FZN &amp; CHILL'!H3243,"AAAAAFvpvh8=")</f>
        <v>#VALUE!</v>
      </c>
      <c r="AG384" t="e">
        <f>AND('STERLING CATALOG - FZN &amp; CHILL'!I3243,"AAAAAFvpviA=")</f>
        <v>#VALUE!</v>
      </c>
      <c r="AH384" t="e">
        <f>AND('STERLING CATALOG - FZN &amp; CHILL'!J3243,"AAAAAFvpviE=")</f>
        <v>#VALUE!</v>
      </c>
      <c r="AI384">
        <f>IF('STERLING CATALOG - FZN &amp; CHILL'!3244:3244,"AAAAAFvpviI=",0)</f>
        <v>0</v>
      </c>
      <c r="AJ384" t="e">
        <f>AND('STERLING CATALOG - FZN &amp; CHILL'!A3244,"AAAAAFvpviM=")</f>
        <v>#VALUE!</v>
      </c>
      <c r="AK384" t="e">
        <f>AND('STERLING CATALOG - FZN &amp; CHILL'!B3244,"AAAAAFvpviQ=")</f>
        <v>#VALUE!</v>
      </c>
      <c r="AL384" t="e">
        <f>AND('STERLING CATALOG - FZN &amp; CHILL'!C3244,"AAAAAFvpviU=")</f>
        <v>#VALUE!</v>
      </c>
      <c r="AM384" t="e">
        <f>AND('STERLING CATALOG - FZN &amp; CHILL'!D3244,"AAAAAFvpviY=")</f>
        <v>#VALUE!</v>
      </c>
      <c r="AN384" t="e">
        <f>AND('STERLING CATALOG - FZN &amp; CHILL'!E3244,"AAAAAFvpvic=")</f>
        <v>#VALUE!</v>
      </c>
      <c r="AO384" t="e">
        <f>AND('STERLING CATALOG - FZN &amp; CHILL'!F3244,"AAAAAFvpvig=")</f>
        <v>#VALUE!</v>
      </c>
      <c r="AP384" t="e">
        <f>AND('STERLING CATALOG - FZN &amp; CHILL'!G3244,"AAAAAFvpvik=")</f>
        <v>#VALUE!</v>
      </c>
      <c r="AQ384" t="e">
        <f>AND('STERLING CATALOG - FZN &amp; CHILL'!H3244,"AAAAAFvpvio=")</f>
        <v>#VALUE!</v>
      </c>
      <c r="AR384" t="e">
        <f>AND('STERLING CATALOG - FZN &amp; CHILL'!I3244,"AAAAAFvpvis=")</f>
        <v>#VALUE!</v>
      </c>
      <c r="AS384" t="e">
        <f>AND('STERLING CATALOG - FZN &amp; CHILL'!J3244,"AAAAAFvpviw=")</f>
        <v>#VALUE!</v>
      </c>
      <c r="AT384">
        <f>IF('STERLING CATALOG - FZN &amp; CHILL'!3245:3245,"AAAAAFvpvi0=",0)</f>
        <v>0</v>
      </c>
      <c r="AU384" t="e">
        <f>AND('STERLING CATALOG - FZN &amp; CHILL'!A3245,"AAAAAFvpvi4=")</f>
        <v>#VALUE!</v>
      </c>
      <c r="AV384" t="e">
        <f>AND('STERLING CATALOG - FZN &amp; CHILL'!B3245,"AAAAAFvpvi8=")</f>
        <v>#VALUE!</v>
      </c>
      <c r="AW384" t="e">
        <f>AND('STERLING CATALOG - FZN &amp; CHILL'!C3245,"AAAAAFvpvjA=")</f>
        <v>#VALUE!</v>
      </c>
      <c r="AX384" t="e">
        <f>AND('STERLING CATALOG - FZN &amp; CHILL'!D3245,"AAAAAFvpvjE=")</f>
        <v>#VALUE!</v>
      </c>
      <c r="AY384" t="e">
        <f>AND('STERLING CATALOG - FZN &amp; CHILL'!E3245,"AAAAAFvpvjI=")</f>
        <v>#VALUE!</v>
      </c>
      <c r="AZ384" t="e">
        <f>AND('STERLING CATALOG - FZN &amp; CHILL'!F3245,"AAAAAFvpvjM=")</f>
        <v>#VALUE!</v>
      </c>
      <c r="BA384" t="e">
        <f>AND('STERLING CATALOG - FZN &amp; CHILL'!G3245,"AAAAAFvpvjQ=")</f>
        <v>#VALUE!</v>
      </c>
      <c r="BB384" t="e">
        <f>AND('STERLING CATALOG - FZN &amp; CHILL'!H3245,"AAAAAFvpvjU=")</f>
        <v>#VALUE!</v>
      </c>
      <c r="BC384" t="e">
        <f>AND('STERLING CATALOG - FZN &amp; CHILL'!I3245,"AAAAAFvpvjY=")</f>
        <v>#VALUE!</v>
      </c>
      <c r="BD384" t="e">
        <f>AND('STERLING CATALOG - FZN &amp; CHILL'!J3245,"AAAAAFvpvjc=")</f>
        <v>#VALUE!</v>
      </c>
      <c r="BE384">
        <f>IF('STERLING CATALOG - FZN &amp; CHILL'!3246:3246,"AAAAAFvpvjg=",0)</f>
        <v>0</v>
      </c>
      <c r="BF384" t="e">
        <f>AND('STERLING CATALOG - FZN &amp; CHILL'!A3246,"AAAAAFvpvjk=")</f>
        <v>#VALUE!</v>
      </c>
      <c r="BG384" t="e">
        <f>AND('STERLING CATALOG - FZN &amp; CHILL'!B3246,"AAAAAFvpvjo=")</f>
        <v>#VALUE!</v>
      </c>
      <c r="BH384" t="e">
        <f>AND('STERLING CATALOG - FZN &amp; CHILL'!C3246,"AAAAAFvpvjs=")</f>
        <v>#VALUE!</v>
      </c>
      <c r="BI384" t="e">
        <f>AND('STERLING CATALOG - FZN &amp; CHILL'!D3246,"AAAAAFvpvjw=")</f>
        <v>#VALUE!</v>
      </c>
      <c r="BJ384" t="e">
        <f>AND('STERLING CATALOG - FZN &amp; CHILL'!E3246,"AAAAAFvpvj0=")</f>
        <v>#VALUE!</v>
      </c>
      <c r="BK384" t="e">
        <f>AND('STERLING CATALOG - FZN &amp; CHILL'!F3246,"AAAAAFvpvj4=")</f>
        <v>#VALUE!</v>
      </c>
      <c r="BL384" t="e">
        <f>AND('STERLING CATALOG - FZN &amp; CHILL'!G3246,"AAAAAFvpvj8=")</f>
        <v>#VALUE!</v>
      </c>
      <c r="BM384" t="e">
        <f>AND('STERLING CATALOG - FZN &amp; CHILL'!H3246,"AAAAAFvpvkA=")</f>
        <v>#VALUE!</v>
      </c>
      <c r="BN384" t="e">
        <f>AND('STERLING CATALOG - FZN &amp; CHILL'!I3246,"AAAAAFvpvkE=")</f>
        <v>#VALUE!</v>
      </c>
      <c r="BO384" t="e">
        <f>AND('STERLING CATALOG - FZN &amp; CHILL'!J3246,"AAAAAFvpvkI=")</f>
        <v>#VALUE!</v>
      </c>
      <c r="BP384">
        <f>IF('STERLING CATALOG - FZN &amp; CHILL'!3247:3247,"AAAAAFvpvkM=",0)</f>
        <v>0</v>
      </c>
      <c r="BQ384" t="e">
        <f>AND('STERLING CATALOG - FZN &amp; CHILL'!A3247,"AAAAAFvpvkQ=")</f>
        <v>#VALUE!</v>
      </c>
      <c r="BR384" t="e">
        <f>AND('STERLING CATALOG - FZN &amp; CHILL'!B3247,"AAAAAFvpvkU=")</f>
        <v>#VALUE!</v>
      </c>
      <c r="BS384" t="e">
        <f>AND('STERLING CATALOG - FZN &amp; CHILL'!C3247,"AAAAAFvpvkY=")</f>
        <v>#VALUE!</v>
      </c>
      <c r="BT384" t="e">
        <f>AND('STERLING CATALOG - FZN &amp; CHILL'!D3247,"AAAAAFvpvkc=")</f>
        <v>#VALUE!</v>
      </c>
      <c r="BU384" t="e">
        <f>AND('STERLING CATALOG - FZN &amp; CHILL'!E3247,"AAAAAFvpvkg=")</f>
        <v>#VALUE!</v>
      </c>
      <c r="BV384" t="e">
        <f>AND('STERLING CATALOG - FZN &amp; CHILL'!F3247,"AAAAAFvpvkk=")</f>
        <v>#VALUE!</v>
      </c>
      <c r="BW384" t="e">
        <f>AND('STERLING CATALOG - FZN &amp; CHILL'!G3247,"AAAAAFvpvko=")</f>
        <v>#VALUE!</v>
      </c>
      <c r="BX384" t="e">
        <f>AND('STERLING CATALOG - FZN &amp; CHILL'!H3247,"AAAAAFvpvks=")</f>
        <v>#VALUE!</v>
      </c>
      <c r="BY384" t="e">
        <f>AND('STERLING CATALOG - FZN &amp; CHILL'!I3247,"AAAAAFvpvkw=")</f>
        <v>#VALUE!</v>
      </c>
      <c r="BZ384" t="e">
        <f>AND('STERLING CATALOG - FZN &amp; CHILL'!J3247,"AAAAAFvpvk0=")</f>
        <v>#VALUE!</v>
      </c>
      <c r="CA384">
        <f>IF('STERLING CATALOG - FZN &amp; CHILL'!3248:3248,"AAAAAFvpvk4=",0)</f>
        <v>0</v>
      </c>
      <c r="CB384" t="e">
        <f>AND('STERLING CATALOG - FZN &amp; CHILL'!A3248,"AAAAAFvpvk8=")</f>
        <v>#VALUE!</v>
      </c>
      <c r="CC384" t="e">
        <f>AND('STERLING CATALOG - FZN &amp; CHILL'!B3248,"AAAAAFvpvlA=")</f>
        <v>#VALUE!</v>
      </c>
      <c r="CD384" t="e">
        <f>AND('STERLING CATALOG - FZN &amp; CHILL'!C3248,"AAAAAFvpvlE=")</f>
        <v>#VALUE!</v>
      </c>
      <c r="CE384" t="e">
        <f>AND('STERLING CATALOG - FZN &amp; CHILL'!D3248,"AAAAAFvpvlI=")</f>
        <v>#VALUE!</v>
      </c>
      <c r="CF384" t="e">
        <f>AND('STERLING CATALOG - FZN &amp; CHILL'!E3248,"AAAAAFvpvlM=")</f>
        <v>#VALUE!</v>
      </c>
      <c r="CG384" t="e">
        <f>AND('STERLING CATALOG - FZN &amp; CHILL'!F3248,"AAAAAFvpvlQ=")</f>
        <v>#VALUE!</v>
      </c>
      <c r="CH384" t="e">
        <f>AND('STERLING CATALOG - FZN &amp; CHILL'!G3248,"AAAAAFvpvlU=")</f>
        <v>#VALUE!</v>
      </c>
      <c r="CI384" t="e">
        <f>AND('STERLING CATALOG - FZN &amp; CHILL'!H3248,"AAAAAFvpvlY=")</f>
        <v>#VALUE!</v>
      </c>
      <c r="CJ384" t="e">
        <f>AND('STERLING CATALOG - FZN &amp; CHILL'!I3248,"AAAAAFvpvlc=")</f>
        <v>#VALUE!</v>
      </c>
      <c r="CK384" t="e">
        <f>AND('STERLING CATALOG - FZN &amp; CHILL'!J3248,"AAAAAFvpvlg=")</f>
        <v>#VALUE!</v>
      </c>
      <c r="CL384">
        <f>IF('STERLING CATALOG - FZN &amp; CHILL'!3249:3249,"AAAAAFvpvlk=",0)</f>
        <v>0</v>
      </c>
      <c r="CM384" t="e">
        <f>AND('STERLING CATALOG - FZN &amp; CHILL'!A3249,"AAAAAFvpvlo=")</f>
        <v>#VALUE!</v>
      </c>
      <c r="CN384" t="e">
        <f>AND('STERLING CATALOG - FZN &amp; CHILL'!B3249,"AAAAAFvpvls=")</f>
        <v>#VALUE!</v>
      </c>
      <c r="CO384" t="e">
        <f>AND('STERLING CATALOG - FZN &amp; CHILL'!C3249,"AAAAAFvpvlw=")</f>
        <v>#VALUE!</v>
      </c>
      <c r="CP384" t="e">
        <f>AND('STERLING CATALOG - FZN &amp; CHILL'!D3249,"AAAAAFvpvl0=")</f>
        <v>#VALUE!</v>
      </c>
      <c r="CQ384" t="e">
        <f>AND('STERLING CATALOG - FZN &amp; CHILL'!E3249,"AAAAAFvpvl4=")</f>
        <v>#VALUE!</v>
      </c>
      <c r="CR384" t="e">
        <f>AND('STERLING CATALOG - FZN &amp; CHILL'!F3249,"AAAAAFvpvl8=")</f>
        <v>#VALUE!</v>
      </c>
      <c r="CS384" t="e">
        <f>AND('STERLING CATALOG - FZN &amp; CHILL'!G3249,"AAAAAFvpvmA=")</f>
        <v>#VALUE!</v>
      </c>
      <c r="CT384" t="e">
        <f>AND('STERLING CATALOG - FZN &amp; CHILL'!H3249,"AAAAAFvpvmE=")</f>
        <v>#VALUE!</v>
      </c>
      <c r="CU384" t="e">
        <f>AND('STERLING CATALOG - FZN &amp; CHILL'!I3249,"AAAAAFvpvmI=")</f>
        <v>#VALUE!</v>
      </c>
      <c r="CV384" t="e">
        <f>AND('STERLING CATALOG - FZN &amp; CHILL'!J3249,"AAAAAFvpvmM=")</f>
        <v>#VALUE!</v>
      </c>
      <c r="CW384">
        <f>IF('STERLING CATALOG - FZN &amp; CHILL'!3250:3250,"AAAAAFvpvmQ=",0)</f>
        <v>0</v>
      </c>
      <c r="CX384" t="e">
        <f>AND('STERLING CATALOG - FZN &amp; CHILL'!A3250,"AAAAAFvpvmU=")</f>
        <v>#VALUE!</v>
      </c>
      <c r="CY384" t="e">
        <f>AND('STERLING CATALOG - FZN &amp; CHILL'!B3250,"AAAAAFvpvmY=")</f>
        <v>#VALUE!</v>
      </c>
      <c r="CZ384" t="e">
        <f>AND('STERLING CATALOG - FZN &amp; CHILL'!C3250,"AAAAAFvpvmc=")</f>
        <v>#VALUE!</v>
      </c>
      <c r="DA384" t="e">
        <f>AND('STERLING CATALOG - FZN &amp; CHILL'!D3250,"AAAAAFvpvmg=")</f>
        <v>#VALUE!</v>
      </c>
      <c r="DB384" t="e">
        <f>AND('STERLING CATALOG - FZN &amp; CHILL'!E3250,"AAAAAFvpvmk=")</f>
        <v>#VALUE!</v>
      </c>
      <c r="DC384" t="e">
        <f>AND('STERLING CATALOG - FZN &amp; CHILL'!F3250,"AAAAAFvpvmo=")</f>
        <v>#VALUE!</v>
      </c>
      <c r="DD384" t="e">
        <f>AND('STERLING CATALOG - FZN &amp; CHILL'!G3250,"AAAAAFvpvms=")</f>
        <v>#VALUE!</v>
      </c>
      <c r="DE384" t="e">
        <f>AND('STERLING CATALOG - FZN &amp; CHILL'!H3250,"AAAAAFvpvmw=")</f>
        <v>#VALUE!</v>
      </c>
      <c r="DF384" t="e">
        <f>AND('STERLING CATALOG - FZN &amp; CHILL'!I3250,"AAAAAFvpvm0=")</f>
        <v>#VALUE!</v>
      </c>
      <c r="DG384" t="e">
        <f>AND('STERLING CATALOG - FZN &amp; CHILL'!J3250,"AAAAAFvpvm4=")</f>
        <v>#VALUE!</v>
      </c>
      <c r="DH384">
        <f>IF('STERLING CATALOG - FZN &amp; CHILL'!3251:3251,"AAAAAFvpvm8=",0)</f>
        <v>0</v>
      </c>
      <c r="DI384" t="e">
        <f>AND('STERLING CATALOG - FZN &amp; CHILL'!A3251,"AAAAAFvpvnA=")</f>
        <v>#VALUE!</v>
      </c>
      <c r="DJ384" t="e">
        <f>AND('STERLING CATALOG - FZN &amp; CHILL'!B3251,"AAAAAFvpvnE=")</f>
        <v>#VALUE!</v>
      </c>
      <c r="DK384" t="e">
        <f>AND('STERLING CATALOG - FZN &amp; CHILL'!C3251,"AAAAAFvpvnI=")</f>
        <v>#VALUE!</v>
      </c>
      <c r="DL384" t="e">
        <f>AND('STERLING CATALOG - FZN &amp; CHILL'!D3251,"AAAAAFvpvnM=")</f>
        <v>#VALUE!</v>
      </c>
      <c r="DM384" t="e">
        <f>AND('STERLING CATALOG - FZN &amp; CHILL'!E3251,"AAAAAFvpvnQ=")</f>
        <v>#VALUE!</v>
      </c>
      <c r="DN384" t="e">
        <f>AND('STERLING CATALOG - FZN &amp; CHILL'!F3251,"AAAAAFvpvnU=")</f>
        <v>#VALUE!</v>
      </c>
      <c r="DO384" t="e">
        <f>AND('STERLING CATALOG - FZN &amp; CHILL'!G3251,"AAAAAFvpvnY=")</f>
        <v>#VALUE!</v>
      </c>
      <c r="DP384" t="e">
        <f>AND('STERLING CATALOG - FZN &amp; CHILL'!H3251,"AAAAAFvpvnc=")</f>
        <v>#VALUE!</v>
      </c>
      <c r="DQ384" t="e">
        <f>AND('STERLING CATALOG - FZN &amp; CHILL'!I3251,"AAAAAFvpvng=")</f>
        <v>#VALUE!</v>
      </c>
      <c r="DR384" t="e">
        <f>AND('STERLING CATALOG - FZN &amp; CHILL'!J3251,"AAAAAFvpvnk=")</f>
        <v>#VALUE!</v>
      </c>
      <c r="DS384">
        <f>IF('STERLING CATALOG - FZN &amp; CHILL'!3252:3252,"AAAAAFvpvno=",0)</f>
        <v>0</v>
      </c>
      <c r="DT384" t="e">
        <f>AND('STERLING CATALOG - FZN &amp; CHILL'!A3252,"AAAAAFvpvns=")</f>
        <v>#VALUE!</v>
      </c>
      <c r="DU384" t="e">
        <f>AND('STERLING CATALOG - FZN &amp; CHILL'!B3252,"AAAAAFvpvnw=")</f>
        <v>#VALUE!</v>
      </c>
      <c r="DV384" t="e">
        <f>AND('STERLING CATALOG - FZN &amp; CHILL'!C3252,"AAAAAFvpvn0=")</f>
        <v>#VALUE!</v>
      </c>
      <c r="DW384" t="e">
        <f>AND('STERLING CATALOG - FZN &amp; CHILL'!D3252,"AAAAAFvpvn4=")</f>
        <v>#VALUE!</v>
      </c>
      <c r="DX384" t="e">
        <f>AND('STERLING CATALOG - FZN &amp; CHILL'!E3252,"AAAAAFvpvn8=")</f>
        <v>#VALUE!</v>
      </c>
      <c r="DY384" t="e">
        <f>AND('STERLING CATALOG - FZN &amp; CHILL'!F3252,"AAAAAFvpvoA=")</f>
        <v>#VALUE!</v>
      </c>
      <c r="DZ384" t="e">
        <f>AND('STERLING CATALOG - FZN &amp; CHILL'!G3252,"AAAAAFvpvoE=")</f>
        <v>#VALUE!</v>
      </c>
      <c r="EA384" t="e">
        <f>AND('STERLING CATALOG - FZN &amp; CHILL'!H3252,"AAAAAFvpvoI=")</f>
        <v>#VALUE!</v>
      </c>
      <c r="EB384" t="e">
        <f>AND('STERLING CATALOG - FZN &amp; CHILL'!I3252,"AAAAAFvpvoM=")</f>
        <v>#VALUE!</v>
      </c>
      <c r="EC384" t="e">
        <f>AND('STERLING CATALOG - FZN &amp; CHILL'!J3252,"AAAAAFvpvoQ=")</f>
        <v>#VALUE!</v>
      </c>
      <c r="ED384">
        <f>IF('STERLING CATALOG - FZN &amp; CHILL'!3253:3253,"AAAAAFvpvoU=",0)</f>
        <v>0</v>
      </c>
      <c r="EE384" t="e">
        <f>AND('STERLING CATALOG - FZN &amp; CHILL'!A3253,"AAAAAFvpvoY=")</f>
        <v>#VALUE!</v>
      </c>
      <c r="EF384" t="e">
        <f>AND('STERLING CATALOG - FZN &amp; CHILL'!B3253,"AAAAAFvpvoc=")</f>
        <v>#VALUE!</v>
      </c>
      <c r="EG384" t="e">
        <f>AND('STERLING CATALOG - FZN &amp; CHILL'!C3253,"AAAAAFvpvog=")</f>
        <v>#VALUE!</v>
      </c>
      <c r="EH384" t="e">
        <f>AND('STERLING CATALOG - FZN &amp; CHILL'!D3253,"AAAAAFvpvok=")</f>
        <v>#VALUE!</v>
      </c>
      <c r="EI384" t="e">
        <f>AND('STERLING CATALOG - FZN &amp; CHILL'!E3253,"AAAAAFvpvoo=")</f>
        <v>#VALUE!</v>
      </c>
      <c r="EJ384" t="e">
        <f>AND('STERLING CATALOG - FZN &amp; CHILL'!F3253,"AAAAAFvpvos=")</f>
        <v>#VALUE!</v>
      </c>
      <c r="EK384" t="e">
        <f>AND('STERLING CATALOG - FZN &amp; CHILL'!G3253,"AAAAAFvpvow=")</f>
        <v>#VALUE!</v>
      </c>
      <c r="EL384" t="e">
        <f>AND('STERLING CATALOG - FZN &amp; CHILL'!H3253,"AAAAAFvpvo0=")</f>
        <v>#VALUE!</v>
      </c>
      <c r="EM384" t="e">
        <f>AND('STERLING CATALOG - FZN &amp; CHILL'!I3253,"AAAAAFvpvo4=")</f>
        <v>#VALUE!</v>
      </c>
      <c r="EN384" t="e">
        <f>AND('STERLING CATALOG - FZN &amp; CHILL'!J3253,"AAAAAFvpvo8=")</f>
        <v>#VALUE!</v>
      </c>
      <c r="EO384">
        <f>IF('STERLING CATALOG - FZN &amp; CHILL'!3254:3254,"AAAAAFvpvpA=",0)</f>
        <v>0</v>
      </c>
      <c r="EP384" t="e">
        <f>AND('STERLING CATALOG - FZN &amp; CHILL'!A3254,"AAAAAFvpvpE=")</f>
        <v>#VALUE!</v>
      </c>
      <c r="EQ384" t="e">
        <f>AND('STERLING CATALOG - FZN &amp; CHILL'!B3254,"AAAAAFvpvpI=")</f>
        <v>#VALUE!</v>
      </c>
      <c r="ER384" t="e">
        <f>AND('STERLING CATALOG - FZN &amp; CHILL'!C3254,"AAAAAFvpvpM=")</f>
        <v>#VALUE!</v>
      </c>
      <c r="ES384" t="e">
        <f>AND('STERLING CATALOG - FZN &amp; CHILL'!D3254,"AAAAAFvpvpQ=")</f>
        <v>#VALUE!</v>
      </c>
      <c r="ET384" t="e">
        <f>AND('STERLING CATALOG - FZN &amp; CHILL'!E3254,"AAAAAFvpvpU=")</f>
        <v>#VALUE!</v>
      </c>
      <c r="EU384" t="e">
        <f>AND('STERLING CATALOG - FZN &amp; CHILL'!F3254,"AAAAAFvpvpY=")</f>
        <v>#VALUE!</v>
      </c>
      <c r="EV384" t="e">
        <f>AND('STERLING CATALOG - FZN &amp; CHILL'!G3254,"AAAAAFvpvpc=")</f>
        <v>#VALUE!</v>
      </c>
      <c r="EW384" t="e">
        <f>AND('STERLING CATALOG - FZN &amp; CHILL'!H3254,"AAAAAFvpvpg=")</f>
        <v>#VALUE!</v>
      </c>
      <c r="EX384" t="e">
        <f>AND('STERLING CATALOG - FZN &amp; CHILL'!I3254,"AAAAAFvpvpk=")</f>
        <v>#VALUE!</v>
      </c>
      <c r="EY384" t="e">
        <f>AND('STERLING CATALOG - FZN &amp; CHILL'!J3254,"AAAAAFvpvpo=")</f>
        <v>#VALUE!</v>
      </c>
      <c r="EZ384">
        <f>IF('STERLING CATALOG - FZN &amp; CHILL'!3255:3255,"AAAAAFvpvps=",0)</f>
        <v>0</v>
      </c>
      <c r="FA384" t="e">
        <f>AND('STERLING CATALOG - FZN &amp; CHILL'!A3255,"AAAAAFvpvpw=")</f>
        <v>#VALUE!</v>
      </c>
      <c r="FB384" t="e">
        <f>AND('STERLING CATALOG - FZN &amp; CHILL'!B3255,"AAAAAFvpvp0=")</f>
        <v>#VALUE!</v>
      </c>
      <c r="FC384" t="e">
        <f>AND('STERLING CATALOG - FZN &amp; CHILL'!C3255,"AAAAAFvpvp4=")</f>
        <v>#VALUE!</v>
      </c>
      <c r="FD384" t="e">
        <f>AND('STERLING CATALOG - FZN &amp; CHILL'!D3255,"AAAAAFvpvp8=")</f>
        <v>#VALUE!</v>
      </c>
      <c r="FE384" t="e">
        <f>AND('STERLING CATALOG - FZN &amp; CHILL'!E3255,"AAAAAFvpvqA=")</f>
        <v>#VALUE!</v>
      </c>
      <c r="FF384" t="e">
        <f>AND('STERLING CATALOG - FZN &amp; CHILL'!F3255,"AAAAAFvpvqE=")</f>
        <v>#VALUE!</v>
      </c>
      <c r="FG384" t="e">
        <f>AND('STERLING CATALOG - FZN &amp; CHILL'!G3255,"AAAAAFvpvqI=")</f>
        <v>#VALUE!</v>
      </c>
      <c r="FH384" t="e">
        <f>AND('STERLING CATALOG - FZN &amp; CHILL'!H3255,"AAAAAFvpvqM=")</f>
        <v>#VALUE!</v>
      </c>
      <c r="FI384" t="e">
        <f>AND('STERLING CATALOG - FZN &amp; CHILL'!I3255,"AAAAAFvpvqQ=")</f>
        <v>#VALUE!</v>
      </c>
      <c r="FJ384" t="e">
        <f>AND('STERLING CATALOG - FZN &amp; CHILL'!J3255,"AAAAAFvpvqU=")</f>
        <v>#VALUE!</v>
      </c>
      <c r="FK384">
        <f>IF('STERLING CATALOG - FZN &amp; CHILL'!3256:3256,"AAAAAFvpvqY=",0)</f>
        <v>0</v>
      </c>
      <c r="FL384" t="e">
        <f>AND('STERLING CATALOG - FZN &amp; CHILL'!A3256,"AAAAAFvpvqc=")</f>
        <v>#VALUE!</v>
      </c>
      <c r="FM384" t="e">
        <f>AND('STERLING CATALOG - FZN &amp; CHILL'!B3256,"AAAAAFvpvqg=")</f>
        <v>#VALUE!</v>
      </c>
      <c r="FN384" t="e">
        <f>AND('STERLING CATALOG - FZN &amp; CHILL'!C3256,"AAAAAFvpvqk=")</f>
        <v>#VALUE!</v>
      </c>
      <c r="FO384" t="e">
        <f>AND('STERLING CATALOG - FZN &amp; CHILL'!D3256,"AAAAAFvpvqo=")</f>
        <v>#VALUE!</v>
      </c>
      <c r="FP384" t="e">
        <f>AND('STERLING CATALOG - FZN &amp; CHILL'!E3256,"AAAAAFvpvqs=")</f>
        <v>#VALUE!</v>
      </c>
      <c r="FQ384" t="e">
        <f>AND('STERLING CATALOG - FZN &amp; CHILL'!F3256,"AAAAAFvpvqw=")</f>
        <v>#VALUE!</v>
      </c>
      <c r="FR384" t="e">
        <f>AND('STERLING CATALOG - FZN &amp; CHILL'!G3256,"AAAAAFvpvq0=")</f>
        <v>#VALUE!</v>
      </c>
      <c r="FS384" t="e">
        <f>AND('STERLING CATALOG - FZN &amp; CHILL'!H3256,"AAAAAFvpvq4=")</f>
        <v>#VALUE!</v>
      </c>
      <c r="FT384" t="e">
        <f>AND('STERLING CATALOG - FZN &amp; CHILL'!I3256,"AAAAAFvpvq8=")</f>
        <v>#VALUE!</v>
      </c>
      <c r="FU384" t="e">
        <f>AND('STERLING CATALOG - FZN &amp; CHILL'!J3256,"AAAAAFvpvrA=")</f>
        <v>#VALUE!</v>
      </c>
      <c r="FV384">
        <f>IF('STERLING CATALOG - FZN &amp; CHILL'!3257:3257,"AAAAAFvpvrE=",0)</f>
        <v>0</v>
      </c>
      <c r="FW384" t="e">
        <f>AND('STERLING CATALOG - FZN &amp; CHILL'!A3257,"AAAAAFvpvrI=")</f>
        <v>#VALUE!</v>
      </c>
      <c r="FX384" t="e">
        <f>AND('STERLING CATALOG - FZN &amp; CHILL'!B3257,"AAAAAFvpvrM=")</f>
        <v>#VALUE!</v>
      </c>
      <c r="FY384" t="e">
        <f>AND('STERLING CATALOG - FZN &amp; CHILL'!C3257,"AAAAAFvpvrQ=")</f>
        <v>#VALUE!</v>
      </c>
      <c r="FZ384" t="e">
        <f>AND('STERLING CATALOG - FZN &amp; CHILL'!D3257,"AAAAAFvpvrU=")</f>
        <v>#VALUE!</v>
      </c>
      <c r="GA384" t="e">
        <f>AND('STERLING CATALOG - FZN &amp; CHILL'!E3257,"AAAAAFvpvrY=")</f>
        <v>#VALUE!</v>
      </c>
      <c r="GB384" t="e">
        <f>AND('STERLING CATALOG - FZN &amp; CHILL'!F3257,"AAAAAFvpvrc=")</f>
        <v>#VALUE!</v>
      </c>
      <c r="GC384" t="e">
        <f>AND('STERLING CATALOG - FZN &amp; CHILL'!G3257,"AAAAAFvpvrg=")</f>
        <v>#VALUE!</v>
      </c>
      <c r="GD384" t="e">
        <f>AND('STERLING CATALOG - FZN &amp; CHILL'!H3257,"AAAAAFvpvrk=")</f>
        <v>#VALUE!</v>
      </c>
      <c r="GE384" t="e">
        <f>AND('STERLING CATALOG - FZN &amp; CHILL'!I3257,"AAAAAFvpvro=")</f>
        <v>#VALUE!</v>
      </c>
      <c r="GF384" t="e">
        <f>AND('STERLING CATALOG - FZN &amp; CHILL'!J3257,"AAAAAFvpvrs=")</f>
        <v>#VALUE!</v>
      </c>
      <c r="GG384">
        <f>IF('STERLING CATALOG - FZN &amp; CHILL'!3258:3258,"AAAAAFvpvrw=",0)</f>
        <v>0</v>
      </c>
      <c r="GH384" t="e">
        <f>AND('STERLING CATALOG - FZN &amp; CHILL'!A3258,"AAAAAFvpvr0=")</f>
        <v>#VALUE!</v>
      </c>
      <c r="GI384" t="e">
        <f>AND('STERLING CATALOG - FZN &amp; CHILL'!B3258,"AAAAAFvpvr4=")</f>
        <v>#VALUE!</v>
      </c>
      <c r="GJ384" t="e">
        <f>AND('STERLING CATALOG - FZN &amp; CHILL'!C3258,"AAAAAFvpvr8=")</f>
        <v>#VALUE!</v>
      </c>
      <c r="GK384" t="e">
        <f>AND('STERLING CATALOG - FZN &amp; CHILL'!D3258,"AAAAAFvpvsA=")</f>
        <v>#VALUE!</v>
      </c>
      <c r="GL384" t="e">
        <f>AND('STERLING CATALOG - FZN &amp; CHILL'!E3258,"AAAAAFvpvsE=")</f>
        <v>#VALUE!</v>
      </c>
      <c r="GM384" t="e">
        <f>AND('STERLING CATALOG - FZN &amp; CHILL'!F3258,"AAAAAFvpvsI=")</f>
        <v>#VALUE!</v>
      </c>
      <c r="GN384" t="e">
        <f>AND('STERLING CATALOG - FZN &amp; CHILL'!G3258,"AAAAAFvpvsM=")</f>
        <v>#VALUE!</v>
      </c>
      <c r="GO384" t="e">
        <f>AND('STERLING CATALOG - FZN &amp; CHILL'!H3258,"AAAAAFvpvsQ=")</f>
        <v>#VALUE!</v>
      </c>
      <c r="GP384" t="e">
        <f>AND('STERLING CATALOG - FZN &amp; CHILL'!I3258,"AAAAAFvpvsU=")</f>
        <v>#VALUE!</v>
      </c>
      <c r="GQ384" t="e">
        <f>AND('STERLING CATALOG - FZN &amp; CHILL'!J3258,"AAAAAFvpvsY=")</f>
        <v>#VALUE!</v>
      </c>
      <c r="GR384">
        <f>IF('STERLING CATALOG - FZN &amp; CHILL'!3259:3259,"AAAAAFvpvsc=",0)</f>
        <v>0</v>
      </c>
      <c r="GS384" t="e">
        <f>AND('STERLING CATALOG - FZN &amp; CHILL'!A3259,"AAAAAFvpvsg=")</f>
        <v>#VALUE!</v>
      </c>
      <c r="GT384" t="e">
        <f>AND('STERLING CATALOG - FZN &amp; CHILL'!B3259,"AAAAAFvpvsk=")</f>
        <v>#VALUE!</v>
      </c>
      <c r="GU384" t="e">
        <f>AND('STERLING CATALOG - FZN &amp; CHILL'!C3259,"AAAAAFvpvso=")</f>
        <v>#VALUE!</v>
      </c>
      <c r="GV384" t="e">
        <f>AND('STERLING CATALOG - FZN &amp; CHILL'!D3259,"AAAAAFvpvss=")</f>
        <v>#VALUE!</v>
      </c>
      <c r="GW384" t="e">
        <f>AND('STERLING CATALOG - FZN &amp; CHILL'!E3259,"AAAAAFvpvsw=")</f>
        <v>#VALUE!</v>
      </c>
      <c r="GX384" t="e">
        <f>AND('STERLING CATALOG - FZN &amp; CHILL'!F3259,"AAAAAFvpvs0=")</f>
        <v>#VALUE!</v>
      </c>
      <c r="GY384" t="e">
        <f>AND('STERLING CATALOG - FZN &amp; CHILL'!G3259,"AAAAAFvpvs4=")</f>
        <v>#VALUE!</v>
      </c>
      <c r="GZ384" t="e">
        <f>AND('STERLING CATALOG - FZN &amp; CHILL'!H3259,"AAAAAFvpvs8=")</f>
        <v>#VALUE!</v>
      </c>
      <c r="HA384" t="e">
        <f>AND('STERLING CATALOG - FZN &amp; CHILL'!I3259,"AAAAAFvpvtA=")</f>
        <v>#VALUE!</v>
      </c>
      <c r="HB384" t="e">
        <f>AND('STERLING CATALOG - FZN &amp; CHILL'!J3259,"AAAAAFvpvtE=")</f>
        <v>#VALUE!</v>
      </c>
      <c r="HC384">
        <f>IF('STERLING CATALOG - FZN &amp; CHILL'!3260:3260,"AAAAAFvpvtI=",0)</f>
        <v>0</v>
      </c>
      <c r="HD384" t="e">
        <f>AND('STERLING CATALOG - FZN &amp; CHILL'!A3260,"AAAAAFvpvtM=")</f>
        <v>#VALUE!</v>
      </c>
      <c r="HE384" t="e">
        <f>AND('STERLING CATALOG - FZN &amp; CHILL'!B3260,"AAAAAFvpvtQ=")</f>
        <v>#VALUE!</v>
      </c>
      <c r="HF384" t="e">
        <f>AND('STERLING CATALOG - FZN &amp; CHILL'!C3260,"AAAAAFvpvtU=")</f>
        <v>#VALUE!</v>
      </c>
      <c r="HG384" t="e">
        <f>AND('STERLING CATALOG - FZN &amp; CHILL'!D3260,"AAAAAFvpvtY=")</f>
        <v>#VALUE!</v>
      </c>
      <c r="HH384" t="e">
        <f>AND('STERLING CATALOG - FZN &amp; CHILL'!E3260,"AAAAAFvpvtc=")</f>
        <v>#VALUE!</v>
      </c>
      <c r="HI384" t="e">
        <f>AND('STERLING CATALOG - FZN &amp; CHILL'!F3260,"AAAAAFvpvtg=")</f>
        <v>#VALUE!</v>
      </c>
      <c r="HJ384" t="e">
        <f>AND('STERLING CATALOG - FZN &amp; CHILL'!G3260,"AAAAAFvpvtk=")</f>
        <v>#VALUE!</v>
      </c>
      <c r="HK384" t="e">
        <f>AND('STERLING CATALOG - FZN &amp; CHILL'!H3260,"AAAAAFvpvto=")</f>
        <v>#VALUE!</v>
      </c>
      <c r="HL384" t="e">
        <f>AND('STERLING CATALOG - FZN &amp; CHILL'!I3260,"AAAAAFvpvts=")</f>
        <v>#VALUE!</v>
      </c>
      <c r="HM384" t="e">
        <f>AND('STERLING CATALOG - FZN &amp; CHILL'!J3260,"AAAAAFvpvtw=")</f>
        <v>#VALUE!</v>
      </c>
      <c r="HN384">
        <f>IF('STERLING CATALOG - FZN &amp; CHILL'!3261:3261,"AAAAAFvpvt0=",0)</f>
        <v>0</v>
      </c>
      <c r="HO384" t="e">
        <f>AND('STERLING CATALOG - FZN &amp; CHILL'!A3261,"AAAAAFvpvt4=")</f>
        <v>#VALUE!</v>
      </c>
      <c r="HP384" t="e">
        <f>AND('STERLING CATALOG - FZN &amp; CHILL'!B3261,"AAAAAFvpvt8=")</f>
        <v>#VALUE!</v>
      </c>
      <c r="HQ384" t="e">
        <f>AND('STERLING CATALOG - FZN &amp; CHILL'!C3261,"AAAAAFvpvuA=")</f>
        <v>#VALUE!</v>
      </c>
      <c r="HR384" t="e">
        <f>AND('STERLING CATALOG - FZN &amp; CHILL'!D3261,"AAAAAFvpvuE=")</f>
        <v>#VALUE!</v>
      </c>
      <c r="HS384" t="e">
        <f>AND('STERLING CATALOG - FZN &amp; CHILL'!E3261,"AAAAAFvpvuI=")</f>
        <v>#VALUE!</v>
      </c>
      <c r="HT384" t="e">
        <f>AND('STERLING CATALOG - FZN &amp; CHILL'!F3261,"AAAAAFvpvuM=")</f>
        <v>#VALUE!</v>
      </c>
      <c r="HU384" t="e">
        <f>AND('STERLING CATALOG - FZN &amp; CHILL'!G3261,"AAAAAFvpvuQ=")</f>
        <v>#VALUE!</v>
      </c>
      <c r="HV384" t="e">
        <f>AND('STERLING CATALOG - FZN &amp; CHILL'!H3261,"AAAAAFvpvuU=")</f>
        <v>#VALUE!</v>
      </c>
      <c r="HW384" t="e">
        <f>AND('STERLING CATALOG - FZN &amp; CHILL'!I3261,"AAAAAFvpvuY=")</f>
        <v>#VALUE!</v>
      </c>
      <c r="HX384" t="e">
        <f>AND('STERLING CATALOG - FZN &amp; CHILL'!J3261,"AAAAAFvpvuc=")</f>
        <v>#VALUE!</v>
      </c>
      <c r="HY384">
        <f>IF('STERLING CATALOG - FZN &amp; CHILL'!3262:3262,"AAAAAFvpvug=",0)</f>
        <v>0</v>
      </c>
      <c r="HZ384" t="e">
        <f>AND('STERLING CATALOG - FZN &amp; CHILL'!A3262,"AAAAAFvpvuk=")</f>
        <v>#VALUE!</v>
      </c>
      <c r="IA384" t="e">
        <f>AND('STERLING CATALOG - FZN &amp; CHILL'!B3262,"AAAAAFvpvuo=")</f>
        <v>#VALUE!</v>
      </c>
      <c r="IB384" t="e">
        <f>AND('STERLING CATALOG - FZN &amp; CHILL'!C3262,"AAAAAFvpvus=")</f>
        <v>#VALUE!</v>
      </c>
      <c r="IC384" t="e">
        <f>AND('STERLING CATALOG - FZN &amp; CHILL'!D3262,"AAAAAFvpvuw=")</f>
        <v>#VALUE!</v>
      </c>
      <c r="ID384" t="e">
        <f>AND('STERLING CATALOG - FZN &amp; CHILL'!E3262,"AAAAAFvpvu0=")</f>
        <v>#VALUE!</v>
      </c>
      <c r="IE384" t="e">
        <f>AND('STERLING CATALOG - FZN &amp; CHILL'!F3262,"AAAAAFvpvu4=")</f>
        <v>#VALUE!</v>
      </c>
      <c r="IF384" t="e">
        <f>AND('STERLING CATALOG - FZN &amp; CHILL'!G3262,"AAAAAFvpvu8=")</f>
        <v>#VALUE!</v>
      </c>
      <c r="IG384" t="e">
        <f>AND('STERLING CATALOG - FZN &amp; CHILL'!H3262,"AAAAAFvpvvA=")</f>
        <v>#VALUE!</v>
      </c>
      <c r="IH384" t="e">
        <f>AND('STERLING CATALOG - FZN &amp; CHILL'!I3262,"AAAAAFvpvvE=")</f>
        <v>#VALUE!</v>
      </c>
      <c r="II384" t="e">
        <f>AND('STERLING CATALOG - FZN &amp; CHILL'!J3262,"AAAAAFvpvvI=")</f>
        <v>#VALUE!</v>
      </c>
      <c r="IJ384">
        <f>IF('STERLING CATALOG - FZN &amp; CHILL'!3263:3263,"AAAAAFvpvvM=",0)</f>
        <v>0</v>
      </c>
      <c r="IK384" t="e">
        <f>AND('STERLING CATALOG - FZN &amp; CHILL'!A3263,"AAAAAFvpvvQ=")</f>
        <v>#VALUE!</v>
      </c>
      <c r="IL384" t="e">
        <f>AND('STERLING CATALOG - FZN &amp; CHILL'!B3263,"AAAAAFvpvvU=")</f>
        <v>#VALUE!</v>
      </c>
      <c r="IM384" t="e">
        <f>AND('STERLING CATALOG - FZN &amp; CHILL'!C3263,"AAAAAFvpvvY=")</f>
        <v>#VALUE!</v>
      </c>
      <c r="IN384" t="e">
        <f>AND('STERLING CATALOG - FZN &amp; CHILL'!D3263,"AAAAAFvpvvc=")</f>
        <v>#VALUE!</v>
      </c>
      <c r="IO384" t="e">
        <f>AND('STERLING CATALOG - FZN &amp; CHILL'!E3263,"AAAAAFvpvvg=")</f>
        <v>#VALUE!</v>
      </c>
      <c r="IP384" t="e">
        <f>AND('STERLING CATALOG - FZN &amp; CHILL'!F3263,"AAAAAFvpvvk=")</f>
        <v>#VALUE!</v>
      </c>
      <c r="IQ384" t="e">
        <f>AND('STERLING CATALOG - FZN &amp; CHILL'!G3263,"AAAAAFvpvvo=")</f>
        <v>#VALUE!</v>
      </c>
      <c r="IR384" t="e">
        <f>AND('STERLING CATALOG - FZN &amp; CHILL'!H3263,"AAAAAFvpvvs=")</f>
        <v>#VALUE!</v>
      </c>
      <c r="IS384" t="e">
        <f>AND('STERLING CATALOG - FZN &amp; CHILL'!I3263,"AAAAAFvpvvw=")</f>
        <v>#VALUE!</v>
      </c>
      <c r="IT384" t="e">
        <f>AND('STERLING CATALOG - FZN &amp; CHILL'!J3263,"AAAAAFvpvv0=")</f>
        <v>#VALUE!</v>
      </c>
      <c r="IU384">
        <f>IF('STERLING CATALOG - FZN &amp; CHILL'!3264:3264,"AAAAAFvpvv4=",0)</f>
        <v>0</v>
      </c>
      <c r="IV384" t="e">
        <f>AND('STERLING CATALOG - FZN &amp; CHILL'!A3264,"AAAAAFvpvv8=")</f>
        <v>#VALUE!</v>
      </c>
    </row>
    <row r="385" spans="1:256">
      <c r="A385" t="e">
        <f>AND('STERLING CATALOG - FZN &amp; CHILL'!B3264,"AAAAAHZf3gA=")</f>
        <v>#VALUE!</v>
      </c>
      <c r="B385" t="e">
        <f>AND('STERLING CATALOG - FZN &amp; CHILL'!C3264,"AAAAAHZf3gE=")</f>
        <v>#VALUE!</v>
      </c>
      <c r="C385" t="e">
        <f>AND('STERLING CATALOG - FZN &amp; CHILL'!D3264,"AAAAAHZf3gI=")</f>
        <v>#VALUE!</v>
      </c>
      <c r="D385" t="e">
        <f>AND('STERLING CATALOG - FZN &amp; CHILL'!E3264,"AAAAAHZf3gM=")</f>
        <v>#VALUE!</v>
      </c>
      <c r="E385" t="e">
        <f>AND('STERLING CATALOG - FZN &amp; CHILL'!F3264,"AAAAAHZf3gQ=")</f>
        <v>#VALUE!</v>
      </c>
      <c r="F385" t="e">
        <f>AND('STERLING CATALOG - FZN &amp; CHILL'!G3264,"AAAAAHZf3gU=")</f>
        <v>#VALUE!</v>
      </c>
      <c r="G385" t="e">
        <f>AND('STERLING CATALOG - FZN &amp; CHILL'!H3264,"AAAAAHZf3gY=")</f>
        <v>#VALUE!</v>
      </c>
      <c r="H385" t="e">
        <f>AND('STERLING CATALOG - FZN &amp; CHILL'!I3264,"AAAAAHZf3gc=")</f>
        <v>#VALUE!</v>
      </c>
      <c r="I385" t="e">
        <f>AND('STERLING CATALOG - FZN &amp; CHILL'!J3264,"AAAAAHZf3gg=")</f>
        <v>#VALUE!</v>
      </c>
      <c r="J385" t="e">
        <f>IF('STERLING CATALOG - FZN &amp; CHILL'!3265:3265,"AAAAAHZf3gk=",0)</f>
        <v>#VALUE!</v>
      </c>
      <c r="K385" t="e">
        <f>AND('STERLING CATALOG - FZN &amp; CHILL'!A3265,"AAAAAHZf3go=")</f>
        <v>#VALUE!</v>
      </c>
      <c r="L385" t="e">
        <f>AND('STERLING CATALOG - FZN &amp; CHILL'!B3265,"AAAAAHZf3gs=")</f>
        <v>#VALUE!</v>
      </c>
      <c r="M385" t="e">
        <f>AND('STERLING CATALOG - FZN &amp; CHILL'!C3265,"AAAAAHZf3gw=")</f>
        <v>#VALUE!</v>
      </c>
      <c r="N385" t="e">
        <f>AND('STERLING CATALOG - FZN &amp; CHILL'!D3265,"AAAAAHZf3g0=")</f>
        <v>#VALUE!</v>
      </c>
      <c r="O385" t="e">
        <f>AND('STERLING CATALOG - FZN &amp; CHILL'!E3265,"AAAAAHZf3g4=")</f>
        <v>#VALUE!</v>
      </c>
      <c r="P385" t="e">
        <f>AND('STERLING CATALOG - FZN &amp; CHILL'!F3265,"AAAAAHZf3g8=")</f>
        <v>#VALUE!</v>
      </c>
      <c r="Q385" t="e">
        <f>AND('STERLING CATALOG - FZN &amp; CHILL'!G3265,"AAAAAHZf3hA=")</f>
        <v>#VALUE!</v>
      </c>
      <c r="R385" t="e">
        <f>AND('STERLING CATALOG - FZN &amp; CHILL'!H3265,"AAAAAHZf3hE=")</f>
        <v>#VALUE!</v>
      </c>
      <c r="S385" t="e">
        <f>AND('STERLING CATALOG - FZN &amp; CHILL'!I3265,"AAAAAHZf3hI=")</f>
        <v>#VALUE!</v>
      </c>
      <c r="T385" t="e">
        <f>AND('STERLING CATALOG - FZN &amp; CHILL'!J3265,"AAAAAHZf3hM=")</f>
        <v>#VALUE!</v>
      </c>
      <c r="U385">
        <f>IF('STERLING CATALOG - FZN &amp; CHILL'!3266:3266,"AAAAAHZf3hQ=",0)</f>
        <v>0</v>
      </c>
      <c r="V385" t="e">
        <f>AND('STERLING CATALOG - FZN &amp; CHILL'!A3266,"AAAAAHZf3hU=")</f>
        <v>#VALUE!</v>
      </c>
      <c r="W385" t="e">
        <f>AND('STERLING CATALOG - FZN &amp; CHILL'!B3266,"AAAAAHZf3hY=")</f>
        <v>#VALUE!</v>
      </c>
      <c r="X385" t="e">
        <f>AND('STERLING CATALOG - FZN &amp; CHILL'!C3266,"AAAAAHZf3hc=")</f>
        <v>#VALUE!</v>
      </c>
      <c r="Y385" t="e">
        <f>AND('STERLING CATALOG - FZN &amp; CHILL'!D3266,"AAAAAHZf3hg=")</f>
        <v>#VALUE!</v>
      </c>
      <c r="Z385" t="e">
        <f>AND('STERLING CATALOG - FZN &amp; CHILL'!E3266,"AAAAAHZf3hk=")</f>
        <v>#VALUE!</v>
      </c>
      <c r="AA385" t="e">
        <f>AND('STERLING CATALOG - FZN &amp; CHILL'!F3266,"AAAAAHZf3ho=")</f>
        <v>#VALUE!</v>
      </c>
      <c r="AB385" t="e">
        <f>AND('STERLING CATALOG - FZN &amp; CHILL'!G3266,"AAAAAHZf3hs=")</f>
        <v>#VALUE!</v>
      </c>
      <c r="AC385" t="e">
        <f>AND('STERLING CATALOG - FZN &amp; CHILL'!H3266,"AAAAAHZf3hw=")</f>
        <v>#VALUE!</v>
      </c>
      <c r="AD385" t="e">
        <f>AND('STERLING CATALOG - FZN &amp; CHILL'!I3266,"AAAAAHZf3h0=")</f>
        <v>#VALUE!</v>
      </c>
      <c r="AE385" t="e">
        <f>AND('STERLING CATALOG - FZN &amp; CHILL'!J3266,"AAAAAHZf3h4=")</f>
        <v>#VALUE!</v>
      </c>
      <c r="AF385">
        <f>IF('STERLING CATALOG - FZN &amp; CHILL'!3267:3267,"AAAAAHZf3h8=",0)</f>
        <v>0</v>
      </c>
      <c r="AG385" t="e">
        <f>AND('STERLING CATALOG - FZN &amp; CHILL'!A3267,"AAAAAHZf3iA=")</f>
        <v>#VALUE!</v>
      </c>
      <c r="AH385" t="e">
        <f>AND('STERLING CATALOG - FZN &amp; CHILL'!B3267,"AAAAAHZf3iE=")</f>
        <v>#VALUE!</v>
      </c>
      <c r="AI385" t="e">
        <f>AND('STERLING CATALOG - FZN &amp; CHILL'!C3267,"AAAAAHZf3iI=")</f>
        <v>#VALUE!</v>
      </c>
      <c r="AJ385" t="e">
        <f>AND('STERLING CATALOG - FZN &amp; CHILL'!D3267,"AAAAAHZf3iM=")</f>
        <v>#VALUE!</v>
      </c>
      <c r="AK385" t="e">
        <f>AND('STERLING CATALOG - FZN &amp; CHILL'!E3267,"AAAAAHZf3iQ=")</f>
        <v>#VALUE!</v>
      </c>
      <c r="AL385" t="e">
        <f>AND('STERLING CATALOG - FZN &amp; CHILL'!F3267,"AAAAAHZf3iU=")</f>
        <v>#VALUE!</v>
      </c>
      <c r="AM385" t="e">
        <f>AND('STERLING CATALOG - FZN &amp; CHILL'!G3267,"AAAAAHZf3iY=")</f>
        <v>#VALUE!</v>
      </c>
      <c r="AN385" t="e">
        <f>AND('STERLING CATALOG - FZN &amp; CHILL'!H3267,"AAAAAHZf3ic=")</f>
        <v>#VALUE!</v>
      </c>
      <c r="AO385" t="e">
        <f>AND('STERLING CATALOG - FZN &amp; CHILL'!I3267,"AAAAAHZf3ig=")</f>
        <v>#VALUE!</v>
      </c>
      <c r="AP385" t="e">
        <f>AND('STERLING CATALOG - FZN &amp; CHILL'!J3267,"AAAAAHZf3ik=")</f>
        <v>#VALUE!</v>
      </c>
      <c r="AQ385">
        <f>IF('STERLING CATALOG - FZN &amp; CHILL'!3268:3268,"AAAAAHZf3io=",0)</f>
        <v>0</v>
      </c>
      <c r="AR385" t="e">
        <f>AND('STERLING CATALOG - FZN &amp; CHILL'!A3268,"AAAAAHZf3is=")</f>
        <v>#VALUE!</v>
      </c>
      <c r="AS385" t="e">
        <f>AND('STERLING CATALOG - FZN &amp; CHILL'!B3268,"AAAAAHZf3iw=")</f>
        <v>#VALUE!</v>
      </c>
      <c r="AT385" t="e">
        <f>AND('STERLING CATALOG - FZN &amp; CHILL'!C3268,"AAAAAHZf3i0=")</f>
        <v>#VALUE!</v>
      </c>
      <c r="AU385" t="e">
        <f>AND('STERLING CATALOG - FZN &amp; CHILL'!D3268,"AAAAAHZf3i4=")</f>
        <v>#VALUE!</v>
      </c>
      <c r="AV385" t="e">
        <f>AND('STERLING CATALOG - FZN &amp; CHILL'!E3268,"AAAAAHZf3i8=")</f>
        <v>#VALUE!</v>
      </c>
      <c r="AW385" t="e">
        <f>AND('STERLING CATALOG - FZN &amp; CHILL'!F3268,"AAAAAHZf3jA=")</f>
        <v>#VALUE!</v>
      </c>
      <c r="AX385" t="e">
        <f>AND('STERLING CATALOG - FZN &amp; CHILL'!G3268,"AAAAAHZf3jE=")</f>
        <v>#VALUE!</v>
      </c>
      <c r="AY385" t="e">
        <f>AND('STERLING CATALOG - FZN &amp; CHILL'!H3268,"AAAAAHZf3jI=")</f>
        <v>#VALUE!</v>
      </c>
      <c r="AZ385" t="e">
        <f>AND('STERLING CATALOG - FZN &amp; CHILL'!I3268,"AAAAAHZf3jM=")</f>
        <v>#VALUE!</v>
      </c>
      <c r="BA385" t="e">
        <f>AND('STERLING CATALOG - FZN &amp; CHILL'!J3268,"AAAAAHZf3jQ=")</f>
        <v>#VALUE!</v>
      </c>
      <c r="BB385">
        <f>IF('STERLING CATALOG - FZN &amp; CHILL'!3269:3269,"AAAAAHZf3jU=",0)</f>
        <v>0</v>
      </c>
      <c r="BC385" t="e">
        <f>AND('STERLING CATALOG - FZN &amp; CHILL'!A3269,"AAAAAHZf3jY=")</f>
        <v>#VALUE!</v>
      </c>
      <c r="BD385" t="e">
        <f>AND('STERLING CATALOG - FZN &amp; CHILL'!B3269,"AAAAAHZf3jc=")</f>
        <v>#VALUE!</v>
      </c>
      <c r="BE385" t="e">
        <f>AND('STERLING CATALOG - FZN &amp; CHILL'!C3269,"AAAAAHZf3jg=")</f>
        <v>#VALUE!</v>
      </c>
      <c r="BF385" t="e">
        <f>AND('STERLING CATALOG - FZN &amp; CHILL'!D3269,"AAAAAHZf3jk=")</f>
        <v>#VALUE!</v>
      </c>
      <c r="BG385" t="e">
        <f>AND('STERLING CATALOG - FZN &amp; CHILL'!E3269,"AAAAAHZf3jo=")</f>
        <v>#VALUE!</v>
      </c>
      <c r="BH385" t="e">
        <f>AND('STERLING CATALOG - FZN &amp; CHILL'!F3269,"AAAAAHZf3js=")</f>
        <v>#VALUE!</v>
      </c>
      <c r="BI385" t="e">
        <f>AND('STERLING CATALOG - FZN &amp; CHILL'!G3269,"AAAAAHZf3jw=")</f>
        <v>#VALUE!</v>
      </c>
      <c r="BJ385" t="e">
        <f>AND('STERLING CATALOG - FZN &amp; CHILL'!H3269,"AAAAAHZf3j0=")</f>
        <v>#VALUE!</v>
      </c>
      <c r="BK385" t="e">
        <f>AND('STERLING CATALOG - FZN &amp; CHILL'!I3269,"AAAAAHZf3j4=")</f>
        <v>#VALUE!</v>
      </c>
      <c r="BL385" t="e">
        <f>AND('STERLING CATALOG - FZN &amp; CHILL'!J3269,"AAAAAHZf3j8=")</f>
        <v>#VALUE!</v>
      </c>
      <c r="BM385">
        <f>IF('STERLING CATALOG - FZN &amp; CHILL'!3270:3270,"AAAAAHZf3kA=",0)</f>
        <v>0</v>
      </c>
      <c r="BN385" t="e">
        <f>AND('STERLING CATALOG - FZN &amp; CHILL'!A3270,"AAAAAHZf3kE=")</f>
        <v>#VALUE!</v>
      </c>
      <c r="BO385" t="e">
        <f>AND('STERLING CATALOG - FZN &amp; CHILL'!B3270,"AAAAAHZf3kI=")</f>
        <v>#VALUE!</v>
      </c>
      <c r="BP385" t="e">
        <f>AND('STERLING CATALOG - FZN &amp; CHILL'!C3270,"AAAAAHZf3kM=")</f>
        <v>#VALUE!</v>
      </c>
      <c r="BQ385" t="e">
        <f>AND('STERLING CATALOG - FZN &amp; CHILL'!D3270,"AAAAAHZf3kQ=")</f>
        <v>#VALUE!</v>
      </c>
      <c r="BR385" t="e">
        <f>AND('STERLING CATALOG - FZN &amp; CHILL'!E3270,"AAAAAHZf3kU=")</f>
        <v>#VALUE!</v>
      </c>
      <c r="BS385" t="e">
        <f>AND('STERLING CATALOG - FZN &amp; CHILL'!F3270,"AAAAAHZf3kY=")</f>
        <v>#VALUE!</v>
      </c>
      <c r="BT385" t="e">
        <f>AND('STERLING CATALOG - FZN &amp; CHILL'!G3270,"AAAAAHZf3kc=")</f>
        <v>#VALUE!</v>
      </c>
      <c r="BU385" t="e">
        <f>AND('STERLING CATALOG - FZN &amp; CHILL'!H3270,"AAAAAHZf3kg=")</f>
        <v>#VALUE!</v>
      </c>
      <c r="BV385" t="e">
        <f>AND('STERLING CATALOG - FZN &amp; CHILL'!I3270,"AAAAAHZf3kk=")</f>
        <v>#VALUE!</v>
      </c>
      <c r="BW385" t="e">
        <f>AND('STERLING CATALOG - FZN &amp; CHILL'!J3270,"AAAAAHZf3ko=")</f>
        <v>#VALUE!</v>
      </c>
      <c r="BX385">
        <f>IF('STERLING CATALOG - FZN &amp; CHILL'!3271:3271,"AAAAAHZf3ks=",0)</f>
        <v>0</v>
      </c>
      <c r="BY385" t="e">
        <f>AND('STERLING CATALOG - FZN &amp; CHILL'!A3271,"AAAAAHZf3kw=")</f>
        <v>#VALUE!</v>
      </c>
      <c r="BZ385" t="e">
        <f>AND('STERLING CATALOG - FZN &amp; CHILL'!B3271,"AAAAAHZf3k0=")</f>
        <v>#VALUE!</v>
      </c>
      <c r="CA385" t="e">
        <f>AND('STERLING CATALOG - FZN &amp; CHILL'!C3271,"AAAAAHZf3k4=")</f>
        <v>#VALUE!</v>
      </c>
      <c r="CB385" t="e">
        <f>AND('STERLING CATALOG - FZN &amp; CHILL'!D3271,"AAAAAHZf3k8=")</f>
        <v>#VALUE!</v>
      </c>
      <c r="CC385" t="e">
        <f>AND('STERLING CATALOG - FZN &amp; CHILL'!E3271,"AAAAAHZf3lA=")</f>
        <v>#VALUE!</v>
      </c>
      <c r="CD385" t="e">
        <f>AND('STERLING CATALOG - FZN &amp; CHILL'!F3271,"AAAAAHZf3lE=")</f>
        <v>#VALUE!</v>
      </c>
      <c r="CE385" t="e">
        <f>AND('STERLING CATALOG - FZN &amp; CHILL'!G3271,"AAAAAHZf3lI=")</f>
        <v>#VALUE!</v>
      </c>
      <c r="CF385" t="e">
        <f>AND('STERLING CATALOG - FZN &amp; CHILL'!H3271,"AAAAAHZf3lM=")</f>
        <v>#VALUE!</v>
      </c>
      <c r="CG385" t="e">
        <f>AND('STERLING CATALOG - FZN &amp; CHILL'!I3271,"AAAAAHZf3lQ=")</f>
        <v>#VALUE!</v>
      </c>
      <c r="CH385" t="e">
        <f>AND('STERLING CATALOG - FZN &amp; CHILL'!J3271,"AAAAAHZf3lU=")</f>
        <v>#VALUE!</v>
      </c>
      <c r="CI385">
        <f>IF('STERLING CATALOG - FZN &amp; CHILL'!3272:3272,"AAAAAHZf3lY=",0)</f>
        <v>0</v>
      </c>
      <c r="CJ385" t="e">
        <f>AND('STERLING CATALOG - FZN &amp; CHILL'!A3272,"AAAAAHZf3lc=")</f>
        <v>#VALUE!</v>
      </c>
      <c r="CK385" t="e">
        <f>AND('STERLING CATALOG - FZN &amp; CHILL'!B3272,"AAAAAHZf3lg=")</f>
        <v>#VALUE!</v>
      </c>
      <c r="CL385" t="e">
        <f>AND('STERLING CATALOG - FZN &amp; CHILL'!C3272,"AAAAAHZf3lk=")</f>
        <v>#VALUE!</v>
      </c>
      <c r="CM385" t="e">
        <f>AND('STERLING CATALOG - FZN &amp; CHILL'!D3272,"AAAAAHZf3lo=")</f>
        <v>#VALUE!</v>
      </c>
      <c r="CN385" t="e">
        <f>AND('STERLING CATALOG - FZN &amp; CHILL'!E3272,"AAAAAHZf3ls=")</f>
        <v>#VALUE!</v>
      </c>
      <c r="CO385" t="e">
        <f>AND('STERLING CATALOG - FZN &amp; CHILL'!F3272,"AAAAAHZf3lw=")</f>
        <v>#VALUE!</v>
      </c>
      <c r="CP385" t="e">
        <f>AND('STERLING CATALOG - FZN &amp; CHILL'!G3272,"AAAAAHZf3l0=")</f>
        <v>#VALUE!</v>
      </c>
      <c r="CQ385" t="e">
        <f>AND('STERLING CATALOG - FZN &amp; CHILL'!H3272,"AAAAAHZf3l4=")</f>
        <v>#VALUE!</v>
      </c>
      <c r="CR385" t="e">
        <f>AND('STERLING CATALOG - FZN &amp; CHILL'!I3272,"AAAAAHZf3l8=")</f>
        <v>#VALUE!</v>
      </c>
      <c r="CS385" t="e">
        <f>AND('STERLING CATALOG - FZN &amp; CHILL'!J3272,"AAAAAHZf3mA=")</f>
        <v>#VALUE!</v>
      </c>
      <c r="CT385">
        <f>IF('STERLING CATALOG - FZN &amp; CHILL'!3273:3273,"AAAAAHZf3mE=",0)</f>
        <v>0</v>
      </c>
      <c r="CU385" t="e">
        <f>AND('STERLING CATALOG - FZN &amp; CHILL'!A3273,"AAAAAHZf3mI=")</f>
        <v>#VALUE!</v>
      </c>
      <c r="CV385" t="e">
        <f>AND('STERLING CATALOG - FZN &amp; CHILL'!B3273,"AAAAAHZf3mM=")</f>
        <v>#VALUE!</v>
      </c>
      <c r="CW385" t="e">
        <f>AND('STERLING CATALOG - FZN &amp; CHILL'!C3273,"AAAAAHZf3mQ=")</f>
        <v>#VALUE!</v>
      </c>
      <c r="CX385" t="e">
        <f>AND('STERLING CATALOG - FZN &amp; CHILL'!D3273,"AAAAAHZf3mU=")</f>
        <v>#VALUE!</v>
      </c>
      <c r="CY385" t="e">
        <f>AND('STERLING CATALOG - FZN &amp; CHILL'!E3273,"AAAAAHZf3mY=")</f>
        <v>#VALUE!</v>
      </c>
      <c r="CZ385" t="e">
        <f>AND('STERLING CATALOG - FZN &amp; CHILL'!F3273,"AAAAAHZf3mc=")</f>
        <v>#VALUE!</v>
      </c>
      <c r="DA385" t="e">
        <f>AND('STERLING CATALOG - FZN &amp; CHILL'!G3273,"AAAAAHZf3mg=")</f>
        <v>#VALUE!</v>
      </c>
      <c r="DB385" t="e">
        <f>AND('STERLING CATALOG - FZN &amp; CHILL'!H3273,"AAAAAHZf3mk=")</f>
        <v>#VALUE!</v>
      </c>
      <c r="DC385" t="e">
        <f>AND('STERLING CATALOG - FZN &amp; CHILL'!I3273,"AAAAAHZf3mo=")</f>
        <v>#VALUE!</v>
      </c>
      <c r="DD385" t="e">
        <f>AND('STERLING CATALOG - FZN &amp; CHILL'!J3273,"AAAAAHZf3ms=")</f>
        <v>#VALUE!</v>
      </c>
      <c r="DE385">
        <f>IF('STERLING CATALOG - FZN &amp; CHILL'!3274:3274,"AAAAAHZf3mw=",0)</f>
        <v>0</v>
      </c>
      <c r="DF385" t="e">
        <f>AND('STERLING CATALOG - FZN &amp; CHILL'!A3274,"AAAAAHZf3m0=")</f>
        <v>#VALUE!</v>
      </c>
      <c r="DG385" t="e">
        <f>AND('STERLING CATALOG - FZN &amp; CHILL'!B3274,"AAAAAHZf3m4=")</f>
        <v>#VALUE!</v>
      </c>
      <c r="DH385" t="e">
        <f>AND('STERLING CATALOG - FZN &amp; CHILL'!C3274,"AAAAAHZf3m8=")</f>
        <v>#VALUE!</v>
      </c>
      <c r="DI385" t="e">
        <f>AND('STERLING CATALOG - FZN &amp; CHILL'!D3274,"AAAAAHZf3nA=")</f>
        <v>#VALUE!</v>
      </c>
      <c r="DJ385" t="e">
        <f>AND('STERLING CATALOG - FZN &amp; CHILL'!E3274,"AAAAAHZf3nE=")</f>
        <v>#VALUE!</v>
      </c>
      <c r="DK385" t="e">
        <f>AND('STERLING CATALOG - FZN &amp; CHILL'!F3274,"AAAAAHZf3nI=")</f>
        <v>#VALUE!</v>
      </c>
      <c r="DL385" t="e">
        <f>AND('STERLING CATALOG - FZN &amp; CHILL'!G3274,"AAAAAHZf3nM=")</f>
        <v>#VALUE!</v>
      </c>
      <c r="DM385" t="e">
        <f>AND('STERLING CATALOG - FZN &amp; CHILL'!H3274,"AAAAAHZf3nQ=")</f>
        <v>#VALUE!</v>
      </c>
      <c r="DN385" t="e">
        <f>AND('STERLING CATALOG - FZN &amp; CHILL'!I3274,"AAAAAHZf3nU=")</f>
        <v>#VALUE!</v>
      </c>
      <c r="DO385" t="e">
        <f>AND('STERLING CATALOG - FZN &amp; CHILL'!J3274,"AAAAAHZf3nY=")</f>
        <v>#VALUE!</v>
      </c>
      <c r="DP385">
        <f>IF('STERLING CATALOG - FZN &amp; CHILL'!3275:3275,"AAAAAHZf3nc=",0)</f>
        <v>0</v>
      </c>
      <c r="DQ385" t="e">
        <f>AND('STERLING CATALOG - FZN &amp; CHILL'!A3275,"AAAAAHZf3ng=")</f>
        <v>#VALUE!</v>
      </c>
      <c r="DR385" t="e">
        <f>AND('STERLING CATALOG - FZN &amp; CHILL'!B3275,"AAAAAHZf3nk=")</f>
        <v>#VALUE!</v>
      </c>
      <c r="DS385" t="e">
        <f>AND('STERLING CATALOG - FZN &amp; CHILL'!C3275,"AAAAAHZf3no=")</f>
        <v>#VALUE!</v>
      </c>
      <c r="DT385" t="e">
        <f>AND('STERLING CATALOG - FZN &amp; CHILL'!D3275,"AAAAAHZf3ns=")</f>
        <v>#VALUE!</v>
      </c>
      <c r="DU385" t="e">
        <f>AND('STERLING CATALOG - FZN &amp; CHILL'!E3275,"AAAAAHZf3nw=")</f>
        <v>#VALUE!</v>
      </c>
      <c r="DV385" t="e">
        <f>AND('STERLING CATALOG - FZN &amp; CHILL'!F3275,"AAAAAHZf3n0=")</f>
        <v>#VALUE!</v>
      </c>
      <c r="DW385" t="e">
        <f>AND('STERLING CATALOG - FZN &amp; CHILL'!G3275,"AAAAAHZf3n4=")</f>
        <v>#VALUE!</v>
      </c>
      <c r="DX385" t="e">
        <f>AND('STERLING CATALOG - FZN &amp; CHILL'!H3275,"AAAAAHZf3n8=")</f>
        <v>#VALUE!</v>
      </c>
      <c r="DY385" t="e">
        <f>AND('STERLING CATALOG - FZN &amp; CHILL'!I3275,"AAAAAHZf3oA=")</f>
        <v>#VALUE!</v>
      </c>
      <c r="DZ385" t="e">
        <f>AND('STERLING CATALOG - FZN &amp; CHILL'!J3275,"AAAAAHZf3oE=")</f>
        <v>#VALUE!</v>
      </c>
      <c r="EA385">
        <f>IF('STERLING CATALOG - FZN &amp; CHILL'!3276:3276,"AAAAAHZf3oI=",0)</f>
        <v>0</v>
      </c>
      <c r="EB385" t="e">
        <f>AND('STERLING CATALOG - FZN &amp; CHILL'!A3276,"AAAAAHZf3oM=")</f>
        <v>#VALUE!</v>
      </c>
      <c r="EC385" t="e">
        <f>AND('STERLING CATALOG - FZN &amp; CHILL'!B3276,"AAAAAHZf3oQ=")</f>
        <v>#VALUE!</v>
      </c>
      <c r="ED385" t="e">
        <f>AND('STERLING CATALOG - FZN &amp; CHILL'!C3276,"AAAAAHZf3oU=")</f>
        <v>#VALUE!</v>
      </c>
      <c r="EE385" t="e">
        <f>AND('STERLING CATALOG - FZN &amp; CHILL'!D3276,"AAAAAHZf3oY=")</f>
        <v>#VALUE!</v>
      </c>
      <c r="EF385" t="e">
        <f>AND('STERLING CATALOG - FZN &amp; CHILL'!E3276,"AAAAAHZf3oc=")</f>
        <v>#VALUE!</v>
      </c>
      <c r="EG385" t="e">
        <f>AND('STERLING CATALOG - FZN &amp; CHILL'!F3276,"AAAAAHZf3og=")</f>
        <v>#VALUE!</v>
      </c>
      <c r="EH385" t="e">
        <f>AND('STERLING CATALOG - FZN &amp; CHILL'!G3276,"AAAAAHZf3ok=")</f>
        <v>#VALUE!</v>
      </c>
      <c r="EI385" t="e">
        <f>AND('STERLING CATALOG - FZN &amp; CHILL'!H3276,"AAAAAHZf3oo=")</f>
        <v>#VALUE!</v>
      </c>
      <c r="EJ385" t="e">
        <f>AND('STERLING CATALOG - FZN &amp; CHILL'!I3276,"AAAAAHZf3os=")</f>
        <v>#VALUE!</v>
      </c>
      <c r="EK385" t="e">
        <f>AND('STERLING CATALOG - FZN &amp; CHILL'!J3276,"AAAAAHZf3ow=")</f>
        <v>#VALUE!</v>
      </c>
      <c r="EL385">
        <f>IF('STERLING CATALOG - FZN &amp; CHILL'!3277:3277,"AAAAAHZf3o0=",0)</f>
        <v>0</v>
      </c>
      <c r="EM385" t="e">
        <f>AND('STERLING CATALOG - FZN &amp; CHILL'!A3277,"AAAAAHZf3o4=")</f>
        <v>#VALUE!</v>
      </c>
      <c r="EN385" t="e">
        <f>AND('STERLING CATALOG - FZN &amp; CHILL'!B3277,"AAAAAHZf3o8=")</f>
        <v>#VALUE!</v>
      </c>
      <c r="EO385" t="e">
        <f>AND('STERLING CATALOG - FZN &amp; CHILL'!C3277,"AAAAAHZf3pA=")</f>
        <v>#VALUE!</v>
      </c>
      <c r="EP385" t="e">
        <f>AND('STERLING CATALOG - FZN &amp; CHILL'!D3277,"AAAAAHZf3pE=")</f>
        <v>#VALUE!</v>
      </c>
      <c r="EQ385" t="e">
        <f>AND('STERLING CATALOG - FZN &amp; CHILL'!E3277,"AAAAAHZf3pI=")</f>
        <v>#VALUE!</v>
      </c>
      <c r="ER385" t="e">
        <f>AND('STERLING CATALOG - FZN &amp; CHILL'!F3277,"AAAAAHZf3pM=")</f>
        <v>#VALUE!</v>
      </c>
      <c r="ES385" t="e">
        <f>AND('STERLING CATALOG - FZN &amp; CHILL'!G3277,"AAAAAHZf3pQ=")</f>
        <v>#VALUE!</v>
      </c>
      <c r="ET385" t="e">
        <f>AND('STERLING CATALOG - FZN &amp; CHILL'!H3277,"AAAAAHZf3pU=")</f>
        <v>#VALUE!</v>
      </c>
      <c r="EU385" t="e">
        <f>AND('STERLING CATALOG - FZN &amp; CHILL'!I3277,"AAAAAHZf3pY=")</f>
        <v>#VALUE!</v>
      </c>
      <c r="EV385" t="e">
        <f>AND('STERLING CATALOG - FZN &amp; CHILL'!J3277,"AAAAAHZf3pc=")</f>
        <v>#VALUE!</v>
      </c>
      <c r="EW385">
        <f>IF('STERLING CATALOG - FZN &amp; CHILL'!3278:3278,"AAAAAHZf3pg=",0)</f>
        <v>0</v>
      </c>
      <c r="EX385" t="e">
        <f>AND('STERLING CATALOG - FZN &amp; CHILL'!A3278,"AAAAAHZf3pk=")</f>
        <v>#VALUE!</v>
      </c>
      <c r="EY385" t="e">
        <f>AND('STERLING CATALOG - FZN &amp; CHILL'!B3278,"AAAAAHZf3po=")</f>
        <v>#VALUE!</v>
      </c>
      <c r="EZ385" t="e">
        <f>AND('STERLING CATALOG - FZN &amp; CHILL'!C3278,"AAAAAHZf3ps=")</f>
        <v>#VALUE!</v>
      </c>
      <c r="FA385" t="e">
        <f>AND('STERLING CATALOG - FZN &amp; CHILL'!D3278,"AAAAAHZf3pw=")</f>
        <v>#VALUE!</v>
      </c>
      <c r="FB385" t="e">
        <f>AND('STERLING CATALOG - FZN &amp; CHILL'!E3278,"AAAAAHZf3p0=")</f>
        <v>#VALUE!</v>
      </c>
      <c r="FC385" t="e">
        <f>AND('STERLING CATALOG - FZN &amp; CHILL'!F3278,"AAAAAHZf3p4=")</f>
        <v>#VALUE!</v>
      </c>
      <c r="FD385" t="e">
        <f>AND('STERLING CATALOG - FZN &amp; CHILL'!G3278,"AAAAAHZf3p8=")</f>
        <v>#VALUE!</v>
      </c>
      <c r="FE385" t="e">
        <f>AND('STERLING CATALOG - FZN &amp; CHILL'!H3278,"AAAAAHZf3qA=")</f>
        <v>#VALUE!</v>
      </c>
      <c r="FF385" t="e">
        <f>AND('STERLING CATALOG - FZN &amp; CHILL'!I3278,"AAAAAHZf3qE=")</f>
        <v>#VALUE!</v>
      </c>
      <c r="FG385" t="e">
        <f>AND('STERLING CATALOG - FZN &amp; CHILL'!J3278,"AAAAAHZf3qI=")</f>
        <v>#VALUE!</v>
      </c>
      <c r="FH385">
        <f>IF('STERLING CATALOG - FZN &amp; CHILL'!3279:3279,"AAAAAHZf3qM=",0)</f>
        <v>0</v>
      </c>
      <c r="FI385" t="e">
        <f>AND('STERLING CATALOG - FZN &amp; CHILL'!A3279,"AAAAAHZf3qQ=")</f>
        <v>#VALUE!</v>
      </c>
      <c r="FJ385" t="e">
        <f>AND('STERLING CATALOG - FZN &amp; CHILL'!B3279,"AAAAAHZf3qU=")</f>
        <v>#VALUE!</v>
      </c>
      <c r="FK385" t="e">
        <f>AND('STERLING CATALOG - FZN &amp; CHILL'!C3279,"AAAAAHZf3qY=")</f>
        <v>#VALUE!</v>
      </c>
      <c r="FL385" t="e">
        <f>AND('STERLING CATALOG - FZN &amp; CHILL'!D3279,"AAAAAHZf3qc=")</f>
        <v>#VALUE!</v>
      </c>
      <c r="FM385" t="e">
        <f>AND('STERLING CATALOG - FZN &amp; CHILL'!E3279,"AAAAAHZf3qg=")</f>
        <v>#VALUE!</v>
      </c>
      <c r="FN385" t="e">
        <f>AND('STERLING CATALOG - FZN &amp; CHILL'!F3279,"AAAAAHZf3qk=")</f>
        <v>#VALUE!</v>
      </c>
      <c r="FO385" t="e">
        <f>AND('STERLING CATALOG - FZN &amp; CHILL'!G3279,"AAAAAHZf3qo=")</f>
        <v>#VALUE!</v>
      </c>
      <c r="FP385" t="e">
        <f>AND('STERLING CATALOG - FZN &amp; CHILL'!H3279,"AAAAAHZf3qs=")</f>
        <v>#VALUE!</v>
      </c>
      <c r="FQ385" t="e">
        <f>AND('STERLING CATALOG - FZN &amp; CHILL'!I3279,"AAAAAHZf3qw=")</f>
        <v>#VALUE!</v>
      </c>
      <c r="FR385" t="e">
        <f>AND('STERLING CATALOG - FZN &amp; CHILL'!J3279,"AAAAAHZf3q0=")</f>
        <v>#VALUE!</v>
      </c>
      <c r="FS385">
        <f>IF('STERLING CATALOG - FZN &amp; CHILL'!3280:3280,"AAAAAHZf3q4=",0)</f>
        <v>0</v>
      </c>
      <c r="FT385" t="e">
        <f>AND('STERLING CATALOG - FZN &amp; CHILL'!A3280,"AAAAAHZf3q8=")</f>
        <v>#VALUE!</v>
      </c>
      <c r="FU385" t="e">
        <f>AND('STERLING CATALOG - FZN &amp; CHILL'!B3280,"AAAAAHZf3rA=")</f>
        <v>#VALUE!</v>
      </c>
      <c r="FV385" t="e">
        <f>AND('STERLING CATALOG - FZN &amp; CHILL'!C3280,"AAAAAHZf3rE=")</f>
        <v>#VALUE!</v>
      </c>
      <c r="FW385" t="e">
        <f>AND('STERLING CATALOG - FZN &amp; CHILL'!D3280,"AAAAAHZf3rI=")</f>
        <v>#VALUE!</v>
      </c>
      <c r="FX385" t="e">
        <f>AND('STERLING CATALOG - FZN &amp; CHILL'!E3280,"AAAAAHZf3rM=")</f>
        <v>#VALUE!</v>
      </c>
      <c r="FY385" t="e">
        <f>AND('STERLING CATALOG - FZN &amp; CHILL'!F3280,"AAAAAHZf3rQ=")</f>
        <v>#VALUE!</v>
      </c>
      <c r="FZ385" t="e">
        <f>AND('STERLING CATALOG - FZN &amp; CHILL'!G3280,"AAAAAHZf3rU=")</f>
        <v>#VALUE!</v>
      </c>
      <c r="GA385" t="e">
        <f>AND('STERLING CATALOG - FZN &amp; CHILL'!H3280,"AAAAAHZf3rY=")</f>
        <v>#VALUE!</v>
      </c>
      <c r="GB385" t="e">
        <f>AND('STERLING CATALOG - FZN &amp; CHILL'!I3280,"AAAAAHZf3rc=")</f>
        <v>#VALUE!</v>
      </c>
      <c r="GC385" t="e">
        <f>AND('STERLING CATALOG - FZN &amp; CHILL'!J3280,"AAAAAHZf3rg=")</f>
        <v>#VALUE!</v>
      </c>
      <c r="GD385">
        <f>IF('STERLING CATALOG - FZN &amp; CHILL'!3281:3281,"AAAAAHZf3rk=",0)</f>
        <v>0</v>
      </c>
      <c r="GE385" t="e">
        <f>AND('STERLING CATALOG - FZN &amp; CHILL'!A3281,"AAAAAHZf3ro=")</f>
        <v>#VALUE!</v>
      </c>
      <c r="GF385" t="e">
        <f>AND('STERLING CATALOG - FZN &amp; CHILL'!B3281,"AAAAAHZf3rs=")</f>
        <v>#VALUE!</v>
      </c>
      <c r="GG385" t="e">
        <f>AND('STERLING CATALOG - FZN &amp; CHILL'!C3281,"AAAAAHZf3rw=")</f>
        <v>#VALUE!</v>
      </c>
      <c r="GH385" t="e">
        <f>AND('STERLING CATALOG - FZN &amp; CHILL'!D3281,"AAAAAHZf3r0=")</f>
        <v>#VALUE!</v>
      </c>
      <c r="GI385" t="e">
        <f>AND('STERLING CATALOG - FZN &amp; CHILL'!E3281,"AAAAAHZf3r4=")</f>
        <v>#VALUE!</v>
      </c>
      <c r="GJ385" t="e">
        <f>AND('STERLING CATALOG - FZN &amp; CHILL'!F3281,"AAAAAHZf3r8=")</f>
        <v>#VALUE!</v>
      </c>
      <c r="GK385" t="e">
        <f>AND('STERLING CATALOG - FZN &amp; CHILL'!G3281,"AAAAAHZf3sA=")</f>
        <v>#VALUE!</v>
      </c>
      <c r="GL385" t="e">
        <f>AND('STERLING CATALOG - FZN &amp; CHILL'!H3281,"AAAAAHZf3sE=")</f>
        <v>#VALUE!</v>
      </c>
      <c r="GM385" t="e">
        <f>AND('STERLING CATALOG - FZN &amp; CHILL'!I3281,"AAAAAHZf3sI=")</f>
        <v>#VALUE!</v>
      </c>
      <c r="GN385" t="e">
        <f>AND('STERLING CATALOG - FZN &amp; CHILL'!J3281,"AAAAAHZf3sM=")</f>
        <v>#VALUE!</v>
      </c>
      <c r="GO385">
        <f>IF('STERLING CATALOG - FZN &amp; CHILL'!3282:3282,"AAAAAHZf3sQ=",0)</f>
        <v>0</v>
      </c>
      <c r="GP385" t="e">
        <f>AND('STERLING CATALOG - FZN &amp; CHILL'!A3282,"AAAAAHZf3sU=")</f>
        <v>#VALUE!</v>
      </c>
      <c r="GQ385" t="e">
        <f>AND('STERLING CATALOG - FZN &amp; CHILL'!B3282,"AAAAAHZf3sY=")</f>
        <v>#VALUE!</v>
      </c>
      <c r="GR385" t="e">
        <f>AND('STERLING CATALOG - FZN &amp; CHILL'!C3282,"AAAAAHZf3sc=")</f>
        <v>#VALUE!</v>
      </c>
      <c r="GS385" t="e">
        <f>AND('STERLING CATALOG - FZN &amp; CHILL'!D3282,"AAAAAHZf3sg=")</f>
        <v>#VALUE!</v>
      </c>
      <c r="GT385" t="e">
        <f>AND('STERLING CATALOG - FZN &amp; CHILL'!E3282,"AAAAAHZf3sk=")</f>
        <v>#VALUE!</v>
      </c>
      <c r="GU385" t="e">
        <f>AND('STERLING CATALOG - FZN &amp; CHILL'!F3282,"AAAAAHZf3so=")</f>
        <v>#VALUE!</v>
      </c>
      <c r="GV385" t="e">
        <f>AND('STERLING CATALOG - FZN &amp; CHILL'!G3282,"AAAAAHZf3ss=")</f>
        <v>#VALUE!</v>
      </c>
      <c r="GW385" t="e">
        <f>AND('STERLING CATALOG - FZN &amp; CHILL'!H3282,"AAAAAHZf3sw=")</f>
        <v>#VALUE!</v>
      </c>
      <c r="GX385" t="e">
        <f>AND('STERLING CATALOG - FZN &amp; CHILL'!I3282,"AAAAAHZf3s0=")</f>
        <v>#VALUE!</v>
      </c>
      <c r="GY385" t="e">
        <f>AND('STERLING CATALOG - FZN &amp; CHILL'!J3282,"AAAAAHZf3s4=")</f>
        <v>#VALUE!</v>
      </c>
      <c r="GZ385">
        <f>IF('STERLING CATALOG - FZN &amp; CHILL'!3283:3283,"AAAAAHZf3s8=",0)</f>
        <v>0</v>
      </c>
      <c r="HA385" t="e">
        <f>AND('STERLING CATALOG - FZN &amp; CHILL'!A3283,"AAAAAHZf3tA=")</f>
        <v>#VALUE!</v>
      </c>
      <c r="HB385" t="e">
        <f>AND('STERLING CATALOG - FZN &amp; CHILL'!B3283,"AAAAAHZf3tE=")</f>
        <v>#VALUE!</v>
      </c>
      <c r="HC385" t="e">
        <f>AND('STERLING CATALOG - FZN &amp; CHILL'!C3283,"AAAAAHZf3tI=")</f>
        <v>#VALUE!</v>
      </c>
      <c r="HD385" t="e">
        <f>AND('STERLING CATALOG - FZN &amp; CHILL'!D3283,"AAAAAHZf3tM=")</f>
        <v>#VALUE!</v>
      </c>
      <c r="HE385" t="e">
        <f>AND('STERLING CATALOG - FZN &amp; CHILL'!E3283,"AAAAAHZf3tQ=")</f>
        <v>#VALUE!</v>
      </c>
      <c r="HF385" t="e">
        <f>AND('STERLING CATALOG - FZN &amp; CHILL'!F3283,"AAAAAHZf3tU=")</f>
        <v>#VALUE!</v>
      </c>
      <c r="HG385" t="e">
        <f>AND('STERLING CATALOG - FZN &amp; CHILL'!G3283,"AAAAAHZf3tY=")</f>
        <v>#VALUE!</v>
      </c>
      <c r="HH385" t="e">
        <f>AND('STERLING CATALOG - FZN &amp; CHILL'!H3283,"AAAAAHZf3tc=")</f>
        <v>#VALUE!</v>
      </c>
      <c r="HI385" t="e">
        <f>AND('STERLING CATALOG - FZN &amp; CHILL'!I3283,"AAAAAHZf3tg=")</f>
        <v>#VALUE!</v>
      </c>
      <c r="HJ385" t="e">
        <f>AND('STERLING CATALOG - FZN &amp; CHILL'!J3283,"AAAAAHZf3tk=")</f>
        <v>#VALUE!</v>
      </c>
      <c r="HK385">
        <f>IF('STERLING CATALOG - FZN &amp; CHILL'!3284:3284,"AAAAAHZf3to=",0)</f>
        <v>0</v>
      </c>
      <c r="HL385" t="e">
        <f>AND('STERLING CATALOG - FZN &amp; CHILL'!A3284,"AAAAAHZf3ts=")</f>
        <v>#VALUE!</v>
      </c>
      <c r="HM385" t="e">
        <f>AND('STERLING CATALOG - FZN &amp; CHILL'!B3284,"AAAAAHZf3tw=")</f>
        <v>#VALUE!</v>
      </c>
      <c r="HN385" t="e">
        <f>AND('STERLING CATALOG - FZN &amp; CHILL'!C3284,"AAAAAHZf3t0=")</f>
        <v>#VALUE!</v>
      </c>
      <c r="HO385" t="e">
        <f>AND('STERLING CATALOG - FZN &amp; CHILL'!D3284,"AAAAAHZf3t4=")</f>
        <v>#VALUE!</v>
      </c>
      <c r="HP385" t="e">
        <f>AND('STERLING CATALOG - FZN &amp; CHILL'!E3284,"AAAAAHZf3t8=")</f>
        <v>#VALUE!</v>
      </c>
      <c r="HQ385" t="e">
        <f>AND('STERLING CATALOG - FZN &amp; CHILL'!F3284,"AAAAAHZf3uA=")</f>
        <v>#VALUE!</v>
      </c>
      <c r="HR385" t="e">
        <f>AND('STERLING CATALOG - FZN &amp; CHILL'!G3284,"AAAAAHZf3uE=")</f>
        <v>#VALUE!</v>
      </c>
      <c r="HS385" t="e">
        <f>AND('STERLING CATALOG - FZN &amp; CHILL'!H3284,"AAAAAHZf3uI=")</f>
        <v>#VALUE!</v>
      </c>
      <c r="HT385" t="e">
        <f>AND('STERLING CATALOG - FZN &amp; CHILL'!I3284,"AAAAAHZf3uM=")</f>
        <v>#VALUE!</v>
      </c>
      <c r="HU385" t="e">
        <f>AND('STERLING CATALOG - FZN &amp; CHILL'!J3284,"AAAAAHZf3uQ=")</f>
        <v>#VALUE!</v>
      </c>
      <c r="HV385">
        <f>IF('STERLING CATALOG - FZN &amp; CHILL'!3285:3285,"AAAAAHZf3uU=",0)</f>
        <v>0</v>
      </c>
      <c r="HW385" t="e">
        <f>AND('STERLING CATALOG - FZN &amp; CHILL'!A3285,"AAAAAHZf3uY=")</f>
        <v>#VALUE!</v>
      </c>
      <c r="HX385" t="e">
        <f>AND('STERLING CATALOG - FZN &amp; CHILL'!B3285,"AAAAAHZf3uc=")</f>
        <v>#VALUE!</v>
      </c>
      <c r="HY385" t="e">
        <f>AND('STERLING CATALOG - FZN &amp; CHILL'!C3285,"AAAAAHZf3ug=")</f>
        <v>#VALUE!</v>
      </c>
      <c r="HZ385" t="e">
        <f>AND('STERLING CATALOG - FZN &amp; CHILL'!D3285,"AAAAAHZf3uk=")</f>
        <v>#VALUE!</v>
      </c>
      <c r="IA385" t="e">
        <f>AND('STERLING CATALOG - FZN &amp; CHILL'!E3285,"AAAAAHZf3uo=")</f>
        <v>#VALUE!</v>
      </c>
      <c r="IB385" t="e">
        <f>AND('STERLING CATALOG - FZN &amp; CHILL'!F3285,"AAAAAHZf3us=")</f>
        <v>#VALUE!</v>
      </c>
      <c r="IC385" t="e">
        <f>AND('STERLING CATALOG - FZN &amp; CHILL'!G3285,"AAAAAHZf3uw=")</f>
        <v>#VALUE!</v>
      </c>
      <c r="ID385" t="e">
        <f>AND('STERLING CATALOG - FZN &amp; CHILL'!H3285,"AAAAAHZf3u0=")</f>
        <v>#VALUE!</v>
      </c>
      <c r="IE385" t="e">
        <f>AND('STERLING CATALOG - FZN &amp; CHILL'!I3285,"AAAAAHZf3u4=")</f>
        <v>#VALUE!</v>
      </c>
      <c r="IF385" t="e">
        <f>AND('STERLING CATALOG - FZN &amp; CHILL'!J3285,"AAAAAHZf3u8=")</f>
        <v>#VALUE!</v>
      </c>
      <c r="IG385">
        <f>IF('STERLING CATALOG - FZN &amp; CHILL'!3286:3286,"AAAAAHZf3vA=",0)</f>
        <v>0</v>
      </c>
      <c r="IH385" t="e">
        <f>AND('STERLING CATALOG - FZN &amp; CHILL'!A3286,"AAAAAHZf3vE=")</f>
        <v>#VALUE!</v>
      </c>
      <c r="II385" t="e">
        <f>AND('STERLING CATALOG - FZN &amp; CHILL'!B3286,"AAAAAHZf3vI=")</f>
        <v>#VALUE!</v>
      </c>
      <c r="IJ385" t="e">
        <f>AND('STERLING CATALOG - FZN &amp; CHILL'!C3286,"AAAAAHZf3vM=")</f>
        <v>#VALUE!</v>
      </c>
      <c r="IK385" t="e">
        <f>AND('STERLING CATALOG - FZN &amp; CHILL'!D3286,"AAAAAHZf3vQ=")</f>
        <v>#VALUE!</v>
      </c>
      <c r="IL385" t="e">
        <f>AND('STERLING CATALOG - FZN &amp; CHILL'!E3286,"AAAAAHZf3vU=")</f>
        <v>#VALUE!</v>
      </c>
      <c r="IM385" t="e">
        <f>AND('STERLING CATALOG - FZN &amp; CHILL'!F3286,"AAAAAHZf3vY=")</f>
        <v>#VALUE!</v>
      </c>
      <c r="IN385" t="e">
        <f>AND('STERLING CATALOG - FZN &amp; CHILL'!G3286,"AAAAAHZf3vc=")</f>
        <v>#VALUE!</v>
      </c>
      <c r="IO385" t="e">
        <f>AND('STERLING CATALOG - FZN &amp; CHILL'!H3286,"AAAAAHZf3vg=")</f>
        <v>#VALUE!</v>
      </c>
      <c r="IP385" t="e">
        <f>AND('STERLING CATALOG - FZN &amp; CHILL'!I3286,"AAAAAHZf3vk=")</f>
        <v>#VALUE!</v>
      </c>
      <c r="IQ385" t="e">
        <f>AND('STERLING CATALOG - FZN &amp; CHILL'!J3286,"AAAAAHZf3vo=")</f>
        <v>#VALUE!</v>
      </c>
      <c r="IR385">
        <f>IF('STERLING CATALOG - FZN &amp; CHILL'!3287:3287,"AAAAAHZf3vs=",0)</f>
        <v>0</v>
      </c>
      <c r="IS385" t="e">
        <f>AND('STERLING CATALOG - FZN &amp; CHILL'!A3287,"AAAAAHZf3vw=")</f>
        <v>#VALUE!</v>
      </c>
      <c r="IT385" t="e">
        <f>AND('STERLING CATALOG - FZN &amp; CHILL'!B3287,"AAAAAHZf3v0=")</f>
        <v>#VALUE!</v>
      </c>
      <c r="IU385" t="e">
        <f>AND('STERLING CATALOG - FZN &amp; CHILL'!C3287,"AAAAAHZf3v4=")</f>
        <v>#VALUE!</v>
      </c>
      <c r="IV385" t="e">
        <f>AND('STERLING CATALOG - FZN &amp; CHILL'!D3287,"AAAAAHZf3v8=")</f>
        <v>#VALUE!</v>
      </c>
    </row>
    <row r="386" spans="1:256">
      <c r="A386" t="e">
        <f>AND('STERLING CATALOG - FZN &amp; CHILL'!E3287,"AAAAAEt/nwA=")</f>
        <v>#VALUE!</v>
      </c>
      <c r="B386" t="e">
        <f>AND('STERLING CATALOG - FZN &amp; CHILL'!F3287,"AAAAAEt/nwE=")</f>
        <v>#VALUE!</v>
      </c>
      <c r="C386" t="e">
        <f>AND('STERLING CATALOG - FZN &amp; CHILL'!G3287,"AAAAAEt/nwI=")</f>
        <v>#VALUE!</v>
      </c>
      <c r="D386" t="e">
        <f>AND('STERLING CATALOG - FZN &amp; CHILL'!H3287,"AAAAAEt/nwM=")</f>
        <v>#VALUE!</v>
      </c>
      <c r="E386" t="e">
        <f>AND('STERLING CATALOG - FZN &amp; CHILL'!I3287,"AAAAAEt/nwQ=")</f>
        <v>#VALUE!</v>
      </c>
      <c r="F386" t="e">
        <f>AND('STERLING CATALOG - FZN &amp; CHILL'!J3287,"AAAAAEt/nwU=")</f>
        <v>#VALUE!</v>
      </c>
      <c r="G386" t="str">
        <f>IF('STERLING CATALOG - FZN &amp; CHILL'!3288:3288,"AAAAAEt/nwY=",0)</f>
        <v>AAAAAEt/nwY=</v>
      </c>
      <c r="H386" t="e">
        <f>AND('STERLING CATALOG - FZN &amp; CHILL'!A3288,"AAAAAEt/nwc=")</f>
        <v>#VALUE!</v>
      </c>
      <c r="I386" t="e">
        <f>AND('STERLING CATALOG - FZN &amp; CHILL'!B3288,"AAAAAEt/nwg=")</f>
        <v>#VALUE!</v>
      </c>
      <c r="J386" t="e">
        <f>AND('STERLING CATALOG - FZN &amp; CHILL'!C3288,"AAAAAEt/nwk=")</f>
        <v>#VALUE!</v>
      </c>
      <c r="K386" t="e">
        <f>AND('STERLING CATALOG - FZN &amp; CHILL'!D3288,"AAAAAEt/nwo=")</f>
        <v>#VALUE!</v>
      </c>
      <c r="L386" t="e">
        <f>AND('STERLING CATALOG - FZN &amp; CHILL'!E3288,"AAAAAEt/nws=")</f>
        <v>#VALUE!</v>
      </c>
      <c r="M386" t="e">
        <f>AND('STERLING CATALOG - FZN &amp; CHILL'!F3288,"AAAAAEt/nww=")</f>
        <v>#VALUE!</v>
      </c>
      <c r="N386" t="e">
        <f>AND('STERLING CATALOG - FZN &amp; CHILL'!G3288,"AAAAAEt/nw0=")</f>
        <v>#VALUE!</v>
      </c>
      <c r="O386" t="e">
        <f>AND('STERLING CATALOG - FZN &amp; CHILL'!H3288,"AAAAAEt/nw4=")</f>
        <v>#VALUE!</v>
      </c>
      <c r="P386" t="e">
        <f>AND('STERLING CATALOG - FZN &amp; CHILL'!I3288,"AAAAAEt/nw8=")</f>
        <v>#VALUE!</v>
      </c>
      <c r="Q386" t="e">
        <f>AND('STERLING CATALOG - FZN &amp; CHILL'!J3288,"AAAAAEt/nxA=")</f>
        <v>#VALUE!</v>
      </c>
      <c r="R386">
        <f>IF('STERLING CATALOG - FZN &amp; CHILL'!3289:3289,"AAAAAEt/nxE=",0)</f>
        <v>0</v>
      </c>
      <c r="S386" t="e">
        <f>AND('STERLING CATALOG - FZN &amp; CHILL'!A3289,"AAAAAEt/nxI=")</f>
        <v>#VALUE!</v>
      </c>
      <c r="T386" t="e">
        <f>AND('STERLING CATALOG - FZN &amp; CHILL'!B3289,"AAAAAEt/nxM=")</f>
        <v>#VALUE!</v>
      </c>
      <c r="U386" t="e">
        <f>AND('STERLING CATALOG - FZN &amp; CHILL'!C3289,"AAAAAEt/nxQ=")</f>
        <v>#VALUE!</v>
      </c>
      <c r="V386" t="e">
        <f>AND('STERLING CATALOG - FZN &amp; CHILL'!D3289,"AAAAAEt/nxU=")</f>
        <v>#VALUE!</v>
      </c>
      <c r="W386" t="e">
        <f>AND('STERLING CATALOG - FZN &amp; CHILL'!E3289,"AAAAAEt/nxY=")</f>
        <v>#VALUE!</v>
      </c>
      <c r="X386" t="e">
        <f>AND('STERLING CATALOG - FZN &amp; CHILL'!F3289,"AAAAAEt/nxc=")</f>
        <v>#VALUE!</v>
      </c>
      <c r="Y386" t="e">
        <f>AND('STERLING CATALOG - FZN &amp; CHILL'!G3289,"AAAAAEt/nxg=")</f>
        <v>#VALUE!</v>
      </c>
      <c r="Z386" t="e">
        <f>AND('STERLING CATALOG - FZN &amp; CHILL'!H3289,"AAAAAEt/nxk=")</f>
        <v>#VALUE!</v>
      </c>
      <c r="AA386" t="e">
        <f>AND('STERLING CATALOG - FZN &amp; CHILL'!I3289,"AAAAAEt/nxo=")</f>
        <v>#VALUE!</v>
      </c>
      <c r="AB386" t="e">
        <f>AND('STERLING CATALOG - FZN &amp; CHILL'!J3289,"AAAAAEt/nxs=")</f>
        <v>#VALUE!</v>
      </c>
      <c r="AC386">
        <f>IF('STERLING CATALOG - FZN &amp; CHILL'!3290:3290,"AAAAAEt/nxw=",0)</f>
        <v>0</v>
      </c>
      <c r="AD386" t="e">
        <f>AND('STERLING CATALOG - FZN &amp; CHILL'!A3290,"AAAAAEt/nx0=")</f>
        <v>#VALUE!</v>
      </c>
      <c r="AE386" t="e">
        <f>AND('STERLING CATALOG - FZN &amp; CHILL'!B3290,"AAAAAEt/nx4=")</f>
        <v>#VALUE!</v>
      </c>
      <c r="AF386" t="e">
        <f>AND('STERLING CATALOG - FZN &amp; CHILL'!C3290,"AAAAAEt/nx8=")</f>
        <v>#VALUE!</v>
      </c>
      <c r="AG386" t="e">
        <f>AND('STERLING CATALOG - FZN &amp; CHILL'!D3290,"AAAAAEt/nyA=")</f>
        <v>#VALUE!</v>
      </c>
      <c r="AH386" t="e">
        <f>AND('STERLING CATALOG - FZN &amp; CHILL'!E3290,"AAAAAEt/nyE=")</f>
        <v>#VALUE!</v>
      </c>
      <c r="AI386" t="e">
        <f>AND('STERLING CATALOG - FZN &amp; CHILL'!F3290,"AAAAAEt/nyI=")</f>
        <v>#VALUE!</v>
      </c>
      <c r="AJ386" t="e">
        <f>AND('STERLING CATALOG - FZN &amp; CHILL'!G3290,"AAAAAEt/nyM=")</f>
        <v>#VALUE!</v>
      </c>
      <c r="AK386" t="e">
        <f>AND('STERLING CATALOG - FZN &amp; CHILL'!H3290,"AAAAAEt/nyQ=")</f>
        <v>#VALUE!</v>
      </c>
      <c r="AL386" t="e">
        <f>AND('STERLING CATALOG - FZN &amp; CHILL'!I3290,"AAAAAEt/nyU=")</f>
        <v>#VALUE!</v>
      </c>
      <c r="AM386" t="e">
        <f>AND('STERLING CATALOG - FZN &amp; CHILL'!J3290,"AAAAAEt/nyY=")</f>
        <v>#VALUE!</v>
      </c>
      <c r="AN386">
        <f>IF('STERLING CATALOG - FZN &amp; CHILL'!3291:3291,"AAAAAEt/nyc=",0)</f>
        <v>0</v>
      </c>
      <c r="AO386" t="e">
        <f>AND('STERLING CATALOG - FZN &amp; CHILL'!A3291,"AAAAAEt/nyg=")</f>
        <v>#VALUE!</v>
      </c>
      <c r="AP386" t="e">
        <f>AND('STERLING CATALOG - FZN &amp; CHILL'!B3291,"AAAAAEt/nyk=")</f>
        <v>#VALUE!</v>
      </c>
      <c r="AQ386" t="e">
        <f>AND('STERLING CATALOG - FZN &amp; CHILL'!C3291,"AAAAAEt/nyo=")</f>
        <v>#VALUE!</v>
      </c>
      <c r="AR386" t="e">
        <f>AND('STERLING CATALOG - FZN &amp; CHILL'!D3291,"AAAAAEt/nys=")</f>
        <v>#VALUE!</v>
      </c>
      <c r="AS386" t="e">
        <f>AND('STERLING CATALOG - FZN &amp; CHILL'!E3291,"AAAAAEt/nyw=")</f>
        <v>#VALUE!</v>
      </c>
      <c r="AT386" t="e">
        <f>AND('STERLING CATALOG - FZN &amp; CHILL'!F3291,"AAAAAEt/ny0=")</f>
        <v>#VALUE!</v>
      </c>
      <c r="AU386" t="e">
        <f>AND('STERLING CATALOG - FZN &amp; CHILL'!G3291,"AAAAAEt/ny4=")</f>
        <v>#VALUE!</v>
      </c>
      <c r="AV386" t="e">
        <f>AND('STERLING CATALOG - FZN &amp; CHILL'!H3291,"AAAAAEt/ny8=")</f>
        <v>#VALUE!</v>
      </c>
      <c r="AW386" t="e">
        <f>AND('STERLING CATALOG - FZN &amp; CHILL'!I3291,"AAAAAEt/nzA=")</f>
        <v>#VALUE!</v>
      </c>
      <c r="AX386" t="e">
        <f>AND('STERLING CATALOG - FZN &amp; CHILL'!J3291,"AAAAAEt/nzE=")</f>
        <v>#VALUE!</v>
      </c>
      <c r="AY386">
        <f>IF('STERLING CATALOG - FZN &amp; CHILL'!3292:3292,"AAAAAEt/nzI=",0)</f>
        <v>0</v>
      </c>
      <c r="AZ386" t="e">
        <f>AND('STERLING CATALOG - FZN &amp; CHILL'!A3292,"AAAAAEt/nzM=")</f>
        <v>#VALUE!</v>
      </c>
      <c r="BA386" t="e">
        <f>AND('STERLING CATALOG - FZN &amp; CHILL'!B3292,"AAAAAEt/nzQ=")</f>
        <v>#VALUE!</v>
      </c>
      <c r="BB386" t="e">
        <f>AND('STERLING CATALOG - FZN &amp; CHILL'!C3292,"AAAAAEt/nzU=")</f>
        <v>#VALUE!</v>
      </c>
      <c r="BC386" t="e">
        <f>AND('STERLING CATALOG - FZN &amp; CHILL'!D3292,"AAAAAEt/nzY=")</f>
        <v>#VALUE!</v>
      </c>
      <c r="BD386" t="e">
        <f>AND('STERLING CATALOG - FZN &amp; CHILL'!E3292,"AAAAAEt/nzc=")</f>
        <v>#VALUE!</v>
      </c>
      <c r="BE386" t="e">
        <f>AND('STERLING CATALOG - FZN &amp; CHILL'!F3292,"AAAAAEt/nzg=")</f>
        <v>#VALUE!</v>
      </c>
      <c r="BF386" t="e">
        <f>AND('STERLING CATALOG - FZN &amp; CHILL'!G3292,"AAAAAEt/nzk=")</f>
        <v>#VALUE!</v>
      </c>
      <c r="BG386" t="e">
        <f>AND('STERLING CATALOG - FZN &amp; CHILL'!H3292,"AAAAAEt/nzo=")</f>
        <v>#VALUE!</v>
      </c>
      <c r="BH386" t="e">
        <f>AND('STERLING CATALOG - FZN &amp; CHILL'!I3292,"AAAAAEt/nzs=")</f>
        <v>#VALUE!</v>
      </c>
      <c r="BI386" t="e">
        <f>AND('STERLING CATALOG - FZN &amp; CHILL'!J3292,"AAAAAEt/nzw=")</f>
        <v>#VALUE!</v>
      </c>
      <c r="BJ386">
        <f>IF('STERLING CATALOG - FZN &amp; CHILL'!3293:3293,"AAAAAEt/nz0=",0)</f>
        <v>0</v>
      </c>
      <c r="BK386" t="e">
        <f>AND('STERLING CATALOG - FZN &amp; CHILL'!A3293,"AAAAAEt/nz4=")</f>
        <v>#VALUE!</v>
      </c>
      <c r="BL386" t="e">
        <f>AND('STERLING CATALOG - FZN &amp; CHILL'!B3293,"AAAAAEt/nz8=")</f>
        <v>#VALUE!</v>
      </c>
      <c r="BM386" t="e">
        <f>AND('STERLING CATALOG - FZN &amp; CHILL'!C3293,"AAAAAEt/n0A=")</f>
        <v>#VALUE!</v>
      </c>
      <c r="BN386" t="e">
        <f>AND('STERLING CATALOG - FZN &amp; CHILL'!D3293,"AAAAAEt/n0E=")</f>
        <v>#VALUE!</v>
      </c>
      <c r="BO386" t="e">
        <f>AND('STERLING CATALOG - FZN &amp; CHILL'!E3293,"AAAAAEt/n0I=")</f>
        <v>#VALUE!</v>
      </c>
      <c r="BP386" t="e">
        <f>AND('STERLING CATALOG - FZN &amp; CHILL'!F3293,"AAAAAEt/n0M=")</f>
        <v>#VALUE!</v>
      </c>
      <c r="BQ386" t="e">
        <f>AND('STERLING CATALOG - FZN &amp; CHILL'!G3293,"AAAAAEt/n0Q=")</f>
        <v>#VALUE!</v>
      </c>
      <c r="BR386" t="e">
        <f>AND('STERLING CATALOG - FZN &amp; CHILL'!H3293,"AAAAAEt/n0U=")</f>
        <v>#VALUE!</v>
      </c>
      <c r="BS386" t="e">
        <f>AND('STERLING CATALOG - FZN &amp; CHILL'!I3293,"AAAAAEt/n0Y=")</f>
        <v>#VALUE!</v>
      </c>
      <c r="BT386" t="e">
        <f>AND('STERLING CATALOG - FZN &amp; CHILL'!J3293,"AAAAAEt/n0c=")</f>
        <v>#VALUE!</v>
      </c>
      <c r="BU386">
        <f>IF('STERLING CATALOG - FZN &amp; CHILL'!3294:3294,"AAAAAEt/n0g=",0)</f>
        <v>0</v>
      </c>
      <c r="BV386" t="e">
        <f>AND('STERLING CATALOG - FZN &amp; CHILL'!A3294,"AAAAAEt/n0k=")</f>
        <v>#VALUE!</v>
      </c>
      <c r="BW386" t="e">
        <f>AND('STERLING CATALOG - FZN &amp; CHILL'!B3294,"AAAAAEt/n0o=")</f>
        <v>#VALUE!</v>
      </c>
      <c r="BX386" t="e">
        <f>AND('STERLING CATALOG - FZN &amp; CHILL'!C3294,"AAAAAEt/n0s=")</f>
        <v>#VALUE!</v>
      </c>
      <c r="BY386" t="e">
        <f>AND('STERLING CATALOG - FZN &amp; CHILL'!D3294,"AAAAAEt/n0w=")</f>
        <v>#VALUE!</v>
      </c>
      <c r="BZ386" t="e">
        <f>AND('STERLING CATALOG - FZN &amp; CHILL'!E3294,"AAAAAEt/n00=")</f>
        <v>#VALUE!</v>
      </c>
      <c r="CA386" t="e">
        <f>AND('STERLING CATALOG - FZN &amp; CHILL'!F3294,"AAAAAEt/n04=")</f>
        <v>#VALUE!</v>
      </c>
      <c r="CB386" t="e">
        <f>AND('STERLING CATALOG - FZN &amp; CHILL'!G3294,"AAAAAEt/n08=")</f>
        <v>#VALUE!</v>
      </c>
      <c r="CC386" t="e">
        <f>AND('STERLING CATALOG - FZN &amp; CHILL'!H3294,"AAAAAEt/n1A=")</f>
        <v>#VALUE!</v>
      </c>
      <c r="CD386" t="e">
        <f>AND('STERLING CATALOG - FZN &amp; CHILL'!I3294,"AAAAAEt/n1E=")</f>
        <v>#VALUE!</v>
      </c>
      <c r="CE386" t="e">
        <f>AND('STERLING CATALOG - FZN &amp; CHILL'!J3294,"AAAAAEt/n1I=")</f>
        <v>#VALUE!</v>
      </c>
      <c r="CF386">
        <f>IF('STERLING CATALOG - FZN &amp; CHILL'!3295:3295,"AAAAAEt/n1M=",0)</f>
        <v>0</v>
      </c>
      <c r="CG386" t="e">
        <f>AND('STERLING CATALOG - FZN &amp; CHILL'!A3295,"AAAAAEt/n1Q=")</f>
        <v>#VALUE!</v>
      </c>
      <c r="CH386" t="e">
        <f>AND('STERLING CATALOG - FZN &amp; CHILL'!B3295,"AAAAAEt/n1U=")</f>
        <v>#VALUE!</v>
      </c>
      <c r="CI386" t="e">
        <f>AND('STERLING CATALOG - FZN &amp; CHILL'!C3295,"AAAAAEt/n1Y=")</f>
        <v>#VALUE!</v>
      </c>
      <c r="CJ386" t="e">
        <f>AND('STERLING CATALOG - FZN &amp; CHILL'!D3295,"AAAAAEt/n1c=")</f>
        <v>#VALUE!</v>
      </c>
      <c r="CK386" t="e">
        <f>AND('STERLING CATALOG - FZN &amp; CHILL'!E3295,"AAAAAEt/n1g=")</f>
        <v>#VALUE!</v>
      </c>
      <c r="CL386" t="e">
        <f>AND('STERLING CATALOG - FZN &amp; CHILL'!F3295,"AAAAAEt/n1k=")</f>
        <v>#VALUE!</v>
      </c>
      <c r="CM386" t="e">
        <f>AND('STERLING CATALOG - FZN &amp; CHILL'!G3295,"AAAAAEt/n1o=")</f>
        <v>#VALUE!</v>
      </c>
      <c r="CN386" t="e">
        <f>AND('STERLING CATALOG - FZN &amp; CHILL'!H3295,"AAAAAEt/n1s=")</f>
        <v>#VALUE!</v>
      </c>
      <c r="CO386" t="e">
        <f>AND('STERLING CATALOG - FZN &amp; CHILL'!I3295,"AAAAAEt/n1w=")</f>
        <v>#VALUE!</v>
      </c>
      <c r="CP386" t="e">
        <f>AND('STERLING CATALOG - FZN &amp; CHILL'!J3295,"AAAAAEt/n10=")</f>
        <v>#VALUE!</v>
      </c>
      <c r="CQ386">
        <f>IF('STERLING CATALOG - FZN &amp; CHILL'!3296:3296,"AAAAAEt/n14=",0)</f>
        <v>0</v>
      </c>
      <c r="CR386" t="e">
        <f>AND('STERLING CATALOG - FZN &amp; CHILL'!A3296,"AAAAAEt/n18=")</f>
        <v>#VALUE!</v>
      </c>
      <c r="CS386" t="e">
        <f>AND('STERLING CATALOG - FZN &amp; CHILL'!B3296,"AAAAAEt/n2A=")</f>
        <v>#VALUE!</v>
      </c>
      <c r="CT386" t="e">
        <f>AND('STERLING CATALOG - FZN &amp; CHILL'!C3296,"AAAAAEt/n2E=")</f>
        <v>#VALUE!</v>
      </c>
      <c r="CU386" t="e">
        <f>AND('STERLING CATALOG - FZN &amp; CHILL'!D3296,"AAAAAEt/n2I=")</f>
        <v>#VALUE!</v>
      </c>
      <c r="CV386" t="e">
        <f>AND('STERLING CATALOG - FZN &amp; CHILL'!E3296,"AAAAAEt/n2M=")</f>
        <v>#VALUE!</v>
      </c>
      <c r="CW386" t="e">
        <f>AND('STERLING CATALOG - FZN &amp; CHILL'!F3296,"AAAAAEt/n2Q=")</f>
        <v>#VALUE!</v>
      </c>
      <c r="CX386" t="e">
        <f>AND('STERLING CATALOG - FZN &amp; CHILL'!G3296,"AAAAAEt/n2U=")</f>
        <v>#VALUE!</v>
      </c>
      <c r="CY386" t="e">
        <f>AND('STERLING CATALOG - FZN &amp; CHILL'!H3296,"AAAAAEt/n2Y=")</f>
        <v>#VALUE!</v>
      </c>
      <c r="CZ386" t="e">
        <f>AND('STERLING CATALOG - FZN &amp; CHILL'!I3296,"AAAAAEt/n2c=")</f>
        <v>#VALUE!</v>
      </c>
      <c r="DA386" t="e">
        <f>AND('STERLING CATALOG - FZN &amp; CHILL'!J3296,"AAAAAEt/n2g=")</f>
        <v>#VALUE!</v>
      </c>
      <c r="DB386">
        <f>IF('STERLING CATALOG - FZN &amp; CHILL'!3297:3297,"AAAAAEt/n2k=",0)</f>
        <v>0</v>
      </c>
      <c r="DC386" t="e">
        <f>AND('STERLING CATALOG - FZN &amp; CHILL'!A3297,"AAAAAEt/n2o=")</f>
        <v>#VALUE!</v>
      </c>
      <c r="DD386" t="e">
        <f>AND('STERLING CATALOG - FZN &amp; CHILL'!B3297,"AAAAAEt/n2s=")</f>
        <v>#VALUE!</v>
      </c>
      <c r="DE386" t="e">
        <f>AND('STERLING CATALOG - FZN &amp; CHILL'!C3297,"AAAAAEt/n2w=")</f>
        <v>#VALUE!</v>
      </c>
      <c r="DF386" t="e">
        <f>AND('STERLING CATALOG - FZN &amp; CHILL'!D3297,"AAAAAEt/n20=")</f>
        <v>#VALUE!</v>
      </c>
      <c r="DG386" t="e">
        <f>AND('STERLING CATALOG - FZN &amp; CHILL'!E3297,"AAAAAEt/n24=")</f>
        <v>#VALUE!</v>
      </c>
      <c r="DH386" t="e">
        <f>AND('STERLING CATALOG - FZN &amp; CHILL'!F3297,"AAAAAEt/n28=")</f>
        <v>#VALUE!</v>
      </c>
      <c r="DI386" t="e">
        <f>AND('STERLING CATALOG - FZN &amp; CHILL'!G3297,"AAAAAEt/n3A=")</f>
        <v>#VALUE!</v>
      </c>
      <c r="DJ386" t="e">
        <f>AND('STERLING CATALOG - FZN &amp; CHILL'!H3297,"AAAAAEt/n3E=")</f>
        <v>#VALUE!</v>
      </c>
      <c r="DK386" t="e">
        <f>AND('STERLING CATALOG - FZN &amp; CHILL'!I3297,"AAAAAEt/n3I=")</f>
        <v>#VALUE!</v>
      </c>
      <c r="DL386" t="e">
        <f>AND('STERLING CATALOG - FZN &amp; CHILL'!J3297,"AAAAAEt/n3M=")</f>
        <v>#VALUE!</v>
      </c>
      <c r="DM386">
        <f>IF('STERLING CATALOG - FZN &amp; CHILL'!3298:3298,"AAAAAEt/n3Q=",0)</f>
        <v>0</v>
      </c>
      <c r="DN386" t="e">
        <f>AND('STERLING CATALOG - FZN &amp; CHILL'!A3298,"AAAAAEt/n3U=")</f>
        <v>#VALUE!</v>
      </c>
      <c r="DO386" t="e">
        <f>AND('STERLING CATALOG - FZN &amp; CHILL'!B3298,"AAAAAEt/n3Y=")</f>
        <v>#VALUE!</v>
      </c>
      <c r="DP386" t="e">
        <f>AND('STERLING CATALOG - FZN &amp; CHILL'!C3298,"AAAAAEt/n3c=")</f>
        <v>#VALUE!</v>
      </c>
      <c r="DQ386" t="e">
        <f>AND('STERLING CATALOG - FZN &amp; CHILL'!D3298,"AAAAAEt/n3g=")</f>
        <v>#VALUE!</v>
      </c>
      <c r="DR386" t="e">
        <f>AND('STERLING CATALOG - FZN &amp; CHILL'!E3298,"AAAAAEt/n3k=")</f>
        <v>#VALUE!</v>
      </c>
      <c r="DS386" t="e">
        <f>AND('STERLING CATALOG - FZN &amp; CHILL'!F3298,"AAAAAEt/n3o=")</f>
        <v>#VALUE!</v>
      </c>
      <c r="DT386" t="e">
        <f>AND('STERLING CATALOG - FZN &amp; CHILL'!G3298,"AAAAAEt/n3s=")</f>
        <v>#VALUE!</v>
      </c>
      <c r="DU386" t="e">
        <f>AND('STERLING CATALOG - FZN &amp; CHILL'!H3298,"AAAAAEt/n3w=")</f>
        <v>#VALUE!</v>
      </c>
      <c r="DV386" t="e">
        <f>AND('STERLING CATALOG - FZN &amp; CHILL'!I3298,"AAAAAEt/n30=")</f>
        <v>#VALUE!</v>
      </c>
      <c r="DW386" t="e">
        <f>AND('STERLING CATALOG - FZN &amp; CHILL'!J3298,"AAAAAEt/n34=")</f>
        <v>#VALUE!</v>
      </c>
      <c r="DX386">
        <f>IF('STERLING CATALOG - FZN &amp; CHILL'!3299:3299,"AAAAAEt/n38=",0)</f>
        <v>0</v>
      </c>
      <c r="DY386" t="e">
        <f>AND('STERLING CATALOG - FZN &amp; CHILL'!A3299,"AAAAAEt/n4A=")</f>
        <v>#VALUE!</v>
      </c>
      <c r="DZ386" t="e">
        <f>AND('STERLING CATALOG - FZN &amp; CHILL'!B3299,"AAAAAEt/n4E=")</f>
        <v>#VALUE!</v>
      </c>
      <c r="EA386" t="e">
        <f>AND('STERLING CATALOG - FZN &amp; CHILL'!C3299,"AAAAAEt/n4I=")</f>
        <v>#VALUE!</v>
      </c>
      <c r="EB386" t="e">
        <f>AND('STERLING CATALOG - FZN &amp; CHILL'!D3299,"AAAAAEt/n4M=")</f>
        <v>#VALUE!</v>
      </c>
      <c r="EC386" t="e">
        <f>AND('STERLING CATALOG - FZN &amp; CHILL'!E3299,"AAAAAEt/n4Q=")</f>
        <v>#VALUE!</v>
      </c>
      <c r="ED386" t="e">
        <f>AND('STERLING CATALOG - FZN &amp; CHILL'!F3299,"AAAAAEt/n4U=")</f>
        <v>#VALUE!</v>
      </c>
      <c r="EE386" t="e">
        <f>AND('STERLING CATALOG - FZN &amp; CHILL'!G3299,"AAAAAEt/n4Y=")</f>
        <v>#VALUE!</v>
      </c>
      <c r="EF386" t="e">
        <f>AND('STERLING CATALOG - FZN &amp; CHILL'!H3299,"AAAAAEt/n4c=")</f>
        <v>#VALUE!</v>
      </c>
      <c r="EG386" t="e">
        <f>AND('STERLING CATALOG - FZN &amp; CHILL'!I3299,"AAAAAEt/n4g=")</f>
        <v>#VALUE!</v>
      </c>
      <c r="EH386" t="e">
        <f>AND('STERLING CATALOG - FZN &amp; CHILL'!J3299,"AAAAAEt/n4k=")</f>
        <v>#VALUE!</v>
      </c>
      <c r="EI386">
        <f>IF('STERLING CATALOG - FZN &amp; CHILL'!3300:3300,"AAAAAEt/n4o=",0)</f>
        <v>0</v>
      </c>
      <c r="EJ386" t="e">
        <f>AND('STERLING CATALOG - FZN &amp; CHILL'!A3300,"AAAAAEt/n4s=")</f>
        <v>#VALUE!</v>
      </c>
      <c r="EK386" t="e">
        <f>AND('STERLING CATALOG - FZN &amp; CHILL'!B3300,"AAAAAEt/n4w=")</f>
        <v>#VALUE!</v>
      </c>
      <c r="EL386" t="e">
        <f>AND('STERLING CATALOG - FZN &amp; CHILL'!C3300,"AAAAAEt/n40=")</f>
        <v>#VALUE!</v>
      </c>
      <c r="EM386" t="e">
        <f>AND('STERLING CATALOG - FZN &amp; CHILL'!D3300,"AAAAAEt/n44=")</f>
        <v>#VALUE!</v>
      </c>
      <c r="EN386" t="e">
        <f>AND('STERLING CATALOG - FZN &amp; CHILL'!E3300,"AAAAAEt/n48=")</f>
        <v>#VALUE!</v>
      </c>
      <c r="EO386" t="e">
        <f>AND('STERLING CATALOG - FZN &amp; CHILL'!F3300,"AAAAAEt/n5A=")</f>
        <v>#VALUE!</v>
      </c>
      <c r="EP386" t="e">
        <f>AND('STERLING CATALOG - FZN &amp; CHILL'!G3300,"AAAAAEt/n5E=")</f>
        <v>#VALUE!</v>
      </c>
      <c r="EQ386" t="e">
        <f>AND('STERLING CATALOG - FZN &amp; CHILL'!H3300,"AAAAAEt/n5I=")</f>
        <v>#VALUE!</v>
      </c>
      <c r="ER386" t="e">
        <f>AND('STERLING CATALOG - FZN &amp; CHILL'!I3300,"AAAAAEt/n5M=")</f>
        <v>#VALUE!</v>
      </c>
      <c r="ES386" t="e">
        <f>AND('STERLING CATALOG - FZN &amp; CHILL'!J3300,"AAAAAEt/n5Q=")</f>
        <v>#VALUE!</v>
      </c>
      <c r="ET386">
        <f>IF('STERLING CATALOG - FZN &amp; CHILL'!3301:3301,"AAAAAEt/n5U=",0)</f>
        <v>0</v>
      </c>
      <c r="EU386" t="e">
        <f>AND('STERLING CATALOG - FZN &amp; CHILL'!A3301,"AAAAAEt/n5Y=")</f>
        <v>#VALUE!</v>
      </c>
      <c r="EV386" t="e">
        <f>AND('STERLING CATALOG - FZN &amp; CHILL'!B3301,"AAAAAEt/n5c=")</f>
        <v>#VALUE!</v>
      </c>
      <c r="EW386" t="e">
        <f>AND('STERLING CATALOG - FZN &amp; CHILL'!C3301,"AAAAAEt/n5g=")</f>
        <v>#VALUE!</v>
      </c>
      <c r="EX386" t="e">
        <f>AND('STERLING CATALOG - FZN &amp; CHILL'!D3301,"AAAAAEt/n5k=")</f>
        <v>#VALUE!</v>
      </c>
      <c r="EY386" t="e">
        <f>AND('STERLING CATALOG - FZN &amp; CHILL'!E3301,"AAAAAEt/n5o=")</f>
        <v>#VALUE!</v>
      </c>
      <c r="EZ386" t="e">
        <f>AND('STERLING CATALOG - FZN &amp; CHILL'!F3301,"AAAAAEt/n5s=")</f>
        <v>#VALUE!</v>
      </c>
      <c r="FA386" t="e">
        <f>AND('STERLING CATALOG - FZN &amp; CHILL'!G3301,"AAAAAEt/n5w=")</f>
        <v>#VALUE!</v>
      </c>
      <c r="FB386" t="e">
        <f>AND('STERLING CATALOG - FZN &amp; CHILL'!H3301,"AAAAAEt/n50=")</f>
        <v>#VALUE!</v>
      </c>
      <c r="FC386" t="e">
        <f>AND('STERLING CATALOG - FZN &amp; CHILL'!I3301,"AAAAAEt/n54=")</f>
        <v>#VALUE!</v>
      </c>
      <c r="FD386" t="e">
        <f>AND('STERLING CATALOG - FZN &amp; CHILL'!J3301,"AAAAAEt/n58=")</f>
        <v>#VALUE!</v>
      </c>
      <c r="FE386">
        <f>IF('STERLING CATALOG - FZN &amp; CHILL'!3302:3302,"AAAAAEt/n6A=",0)</f>
        <v>0</v>
      </c>
      <c r="FF386" t="e">
        <f>AND('STERLING CATALOG - FZN &amp; CHILL'!A3302,"AAAAAEt/n6E=")</f>
        <v>#VALUE!</v>
      </c>
      <c r="FG386" t="e">
        <f>AND('STERLING CATALOG - FZN &amp; CHILL'!B3302,"AAAAAEt/n6I=")</f>
        <v>#VALUE!</v>
      </c>
      <c r="FH386" t="e">
        <f>AND('STERLING CATALOG - FZN &amp; CHILL'!C3302,"AAAAAEt/n6M=")</f>
        <v>#VALUE!</v>
      </c>
      <c r="FI386" t="e">
        <f>AND('STERLING CATALOG - FZN &amp; CHILL'!D3302,"AAAAAEt/n6Q=")</f>
        <v>#VALUE!</v>
      </c>
      <c r="FJ386" t="e">
        <f>AND('STERLING CATALOG - FZN &amp; CHILL'!E3302,"AAAAAEt/n6U=")</f>
        <v>#VALUE!</v>
      </c>
      <c r="FK386" t="e">
        <f>AND('STERLING CATALOG - FZN &amp; CHILL'!F3302,"AAAAAEt/n6Y=")</f>
        <v>#VALUE!</v>
      </c>
      <c r="FL386" t="e">
        <f>AND('STERLING CATALOG - FZN &amp; CHILL'!G3302,"AAAAAEt/n6c=")</f>
        <v>#VALUE!</v>
      </c>
      <c r="FM386" t="e">
        <f>AND('STERLING CATALOG - FZN &amp; CHILL'!H3302,"AAAAAEt/n6g=")</f>
        <v>#VALUE!</v>
      </c>
      <c r="FN386" t="e">
        <f>AND('STERLING CATALOG - FZN &amp; CHILL'!I3302,"AAAAAEt/n6k=")</f>
        <v>#VALUE!</v>
      </c>
      <c r="FO386" t="e">
        <f>AND('STERLING CATALOG - FZN &amp; CHILL'!J3302,"AAAAAEt/n6o=")</f>
        <v>#VALUE!</v>
      </c>
      <c r="FP386">
        <f>IF('STERLING CATALOG - FZN &amp; CHILL'!3303:3303,"AAAAAEt/n6s=",0)</f>
        <v>0</v>
      </c>
      <c r="FQ386" t="e">
        <f>AND('STERLING CATALOG - FZN &amp; CHILL'!A3303,"AAAAAEt/n6w=")</f>
        <v>#VALUE!</v>
      </c>
      <c r="FR386" t="e">
        <f>AND('STERLING CATALOG - FZN &amp; CHILL'!B3303,"AAAAAEt/n60=")</f>
        <v>#VALUE!</v>
      </c>
      <c r="FS386" t="e">
        <f>AND('STERLING CATALOG - FZN &amp; CHILL'!C3303,"AAAAAEt/n64=")</f>
        <v>#VALUE!</v>
      </c>
      <c r="FT386" t="e">
        <f>AND('STERLING CATALOG - FZN &amp; CHILL'!D3303,"AAAAAEt/n68=")</f>
        <v>#VALUE!</v>
      </c>
      <c r="FU386" t="e">
        <f>AND('STERLING CATALOG - FZN &amp; CHILL'!E3303,"AAAAAEt/n7A=")</f>
        <v>#VALUE!</v>
      </c>
      <c r="FV386" t="e">
        <f>AND('STERLING CATALOG - FZN &amp; CHILL'!F3303,"AAAAAEt/n7E=")</f>
        <v>#VALUE!</v>
      </c>
      <c r="FW386" t="e">
        <f>AND('STERLING CATALOG - FZN &amp; CHILL'!G3303,"AAAAAEt/n7I=")</f>
        <v>#VALUE!</v>
      </c>
      <c r="FX386" t="e">
        <f>AND('STERLING CATALOG - FZN &amp; CHILL'!H3303,"AAAAAEt/n7M=")</f>
        <v>#VALUE!</v>
      </c>
      <c r="FY386" t="e">
        <f>AND('STERLING CATALOG - FZN &amp; CHILL'!I3303,"AAAAAEt/n7Q=")</f>
        <v>#VALUE!</v>
      </c>
      <c r="FZ386" t="e">
        <f>AND('STERLING CATALOG - FZN &amp; CHILL'!J3303,"AAAAAEt/n7U=")</f>
        <v>#VALUE!</v>
      </c>
      <c r="GA386">
        <f>IF('STERLING CATALOG - FZN &amp; CHILL'!3304:3304,"AAAAAEt/n7Y=",0)</f>
        <v>0</v>
      </c>
      <c r="GB386" t="e">
        <f>AND('STERLING CATALOG - FZN &amp; CHILL'!A3304,"AAAAAEt/n7c=")</f>
        <v>#VALUE!</v>
      </c>
      <c r="GC386" t="e">
        <f>AND('STERLING CATALOG - FZN &amp; CHILL'!B3304,"AAAAAEt/n7g=")</f>
        <v>#VALUE!</v>
      </c>
      <c r="GD386" t="e">
        <f>AND('STERLING CATALOG - FZN &amp; CHILL'!C3304,"AAAAAEt/n7k=")</f>
        <v>#VALUE!</v>
      </c>
      <c r="GE386" t="e">
        <f>AND('STERLING CATALOG - FZN &amp; CHILL'!D3304,"AAAAAEt/n7o=")</f>
        <v>#VALUE!</v>
      </c>
      <c r="GF386" t="e">
        <f>AND('STERLING CATALOG - FZN &amp; CHILL'!E3304,"AAAAAEt/n7s=")</f>
        <v>#VALUE!</v>
      </c>
      <c r="GG386" t="e">
        <f>AND('STERLING CATALOG - FZN &amp; CHILL'!F3304,"AAAAAEt/n7w=")</f>
        <v>#VALUE!</v>
      </c>
      <c r="GH386" t="e">
        <f>AND('STERLING CATALOG - FZN &amp; CHILL'!G3304,"AAAAAEt/n70=")</f>
        <v>#VALUE!</v>
      </c>
      <c r="GI386" t="e">
        <f>AND('STERLING CATALOG - FZN &amp; CHILL'!H3304,"AAAAAEt/n74=")</f>
        <v>#VALUE!</v>
      </c>
      <c r="GJ386" t="e">
        <f>AND('STERLING CATALOG - FZN &amp; CHILL'!I3304,"AAAAAEt/n78=")</f>
        <v>#VALUE!</v>
      </c>
      <c r="GK386" t="e">
        <f>AND('STERLING CATALOG - FZN &amp; CHILL'!J3304,"AAAAAEt/n8A=")</f>
        <v>#VALUE!</v>
      </c>
      <c r="GL386">
        <f>IF('STERLING CATALOG - FZN &amp; CHILL'!3305:3305,"AAAAAEt/n8E=",0)</f>
        <v>0</v>
      </c>
      <c r="GM386" t="e">
        <f>AND('STERLING CATALOG - FZN &amp; CHILL'!A3305,"AAAAAEt/n8I=")</f>
        <v>#VALUE!</v>
      </c>
      <c r="GN386" t="e">
        <f>AND('STERLING CATALOG - FZN &amp; CHILL'!B3305,"AAAAAEt/n8M=")</f>
        <v>#VALUE!</v>
      </c>
      <c r="GO386" t="e">
        <f>AND('STERLING CATALOG - FZN &amp; CHILL'!C3305,"AAAAAEt/n8Q=")</f>
        <v>#VALUE!</v>
      </c>
      <c r="GP386" t="e">
        <f>AND('STERLING CATALOG - FZN &amp; CHILL'!D3305,"AAAAAEt/n8U=")</f>
        <v>#VALUE!</v>
      </c>
      <c r="GQ386" t="e">
        <f>AND('STERLING CATALOG - FZN &amp; CHILL'!E3305,"AAAAAEt/n8Y=")</f>
        <v>#VALUE!</v>
      </c>
      <c r="GR386" t="e">
        <f>AND('STERLING CATALOG - FZN &amp; CHILL'!F3305,"AAAAAEt/n8c=")</f>
        <v>#VALUE!</v>
      </c>
      <c r="GS386" t="e">
        <f>AND('STERLING CATALOG - FZN &amp; CHILL'!G3305,"AAAAAEt/n8g=")</f>
        <v>#VALUE!</v>
      </c>
      <c r="GT386" t="e">
        <f>AND('STERLING CATALOG - FZN &amp; CHILL'!H3305,"AAAAAEt/n8k=")</f>
        <v>#VALUE!</v>
      </c>
      <c r="GU386" t="e">
        <f>AND('STERLING CATALOG - FZN &amp; CHILL'!I3305,"AAAAAEt/n8o=")</f>
        <v>#VALUE!</v>
      </c>
      <c r="GV386" t="e">
        <f>AND('STERLING CATALOG - FZN &amp; CHILL'!J3305,"AAAAAEt/n8s=")</f>
        <v>#VALUE!</v>
      </c>
      <c r="GW386">
        <f>IF('STERLING CATALOG - FZN &amp; CHILL'!3306:3306,"AAAAAEt/n8w=",0)</f>
        <v>0</v>
      </c>
      <c r="GX386" t="e">
        <f>AND('STERLING CATALOG - FZN &amp; CHILL'!A3306,"AAAAAEt/n80=")</f>
        <v>#VALUE!</v>
      </c>
      <c r="GY386" t="e">
        <f>AND('STERLING CATALOG - FZN &amp; CHILL'!B3306,"AAAAAEt/n84=")</f>
        <v>#VALUE!</v>
      </c>
      <c r="GZ386" t="e">
        <f>AND('STERLING CATALOG - FZN &amp; CHILL'!C3306,"AAAAAEt/n88=")</f>
        <v>#VALUE!</v>
      </c>
      <c r="HA386" t="e">
        <f>AND('STERLING CATALOG - FZN &amp; CHILL'!D3306,"AAAAAEt/n9A=")</f>
        <v>#VALUE!</v>
      </c>
      <c r="HB386" t="e">
        <f>AND('STERLING CATALOG - FZN &amp; CHILL'!E3306,"AAAAAEt/n9E=")</f>
        <v>#VALUE!</v>
      </c>
      <c r="HC386" t="e">
        <f>AND('STERLING CATALOG - FZN &amp; CHILL'!F3306,"AAAAAEt/n9I=")</f>
        <v>#VALUE!</v>
      </c>
      <c r="HD386" t="e">
        <f>AND('STERLING CATALOG - FZN &amp; CHILL'!G3306,"AAAAAEt/n9M=")</f>
        <v>#VALUE!</v>
      </c>
      <c r="HE386" t="e">
        <f>AND('STERLING CATALOG - FZN &amp; CHILL'!H3306,"AAAAAEt/n9Q=")</f>
        <v>#VALUE!</v>
      </c>
      <c r="HF386" t="e">
        <f>AND('STERLING CATALOG - FZN &amp; CHILL'!I3306,"AAAAAEt/n9U=")</f>
        <v>#VALUE!</v>
      </c>
      <c r="HG386" t="e">
        <f>AND('STERLING CATALOG - FZN &amp; CHILL'!J3306,"AAAAAEt/n9Y=")</f>
        <v>#VALUE!</v>
      </c>
      <c r="HH386">
        <f>IF('STERLING CATALOG - FZN &amp; CHILL'!3307:3307,"AAAAAEt/n9c=",0)</f>
        <v>0</v>
      </c>
      <c r="HI386" t="e">
        <f>AND('STERLING CATALOG - FZN &amp; CHILL'!A3307,"AAAAAEt/n9g=")</f>
        <v>#VALUE!</v>
      </c>
      <c r="HJ386" t="e">
        <f>AND('STERLING CATALOG - FZN &amp; CHILL'!B3307,"AAAAAEt/n9k=")</f>
        <v>#VALUE!</v>
      </c>
      <c r="HK386" t="e">
        <f>AND('STERLING CATALOG - FZN &amp; CHILL'!C3307,"AAAAAEt/n9o=")</f>
        <v>#VALUE!</v>
      </c>
      <c r="HL386" t="e">
        <f>AND('STERLING CATALOG - FZN &amp; CHILL'!D3307,"AAAAAEt/n9s=")</f>
        <v>#VALUE!</v>
      </c>
      <c r="HM386" t="e">
        <f>AND('STERLING CATALOG - FZN &amp; CHILL'!E3307,"AAAAAEt/n9w=")</f>
        <v>#VALUE!</v>
      </c>
      <c r="HN386" t="e">
        <f>AND('STERLING CATALOG - FZN &amp; CHILL'!F3307,"AAAAAEt/n90=")</f>
        <v>#VALUE!</v>
      </c>
      <c r="HO386" t="e">
        <f>AND('STERLING CATALOG - FZN &amp; CHILL'!G3307,"AAAAAEt/n94=")</f>
        <v>#VALUE!</v>
      </c>
      <c r="HP386" t="e">
        <f>AND('STERLING CATALOG - FZN &amp; CHILL'!H3307,"AAAAAEt/n98=")</f>
        <v>#VALUE!</v>
      </c>
      <c r="HQ386" t="e">
        <f>AND('STERLING CATALOG - FZN &amp; CHILL'!I3307,"AAAAAEt/n+A=")</f>
        <v>#VALUE!</v>
      </c>
      <c r="HR386" t="e">
        <f>AND('STERLING CATALOG - FZN &amp; CHILL'!J3307,"AAAAAEt/n+E=")</f>
        <v>#VALUE!</v>
      </c>
      <c r="HS386">
        <f>IF('STERLING CATALOG - FZN &amp; CHILL'!3308:3308,"AAAAAEt/n+I=",0)</f>
        <v>0</v>
      </c>
      <c r="HT386" t="e">
        <f>AND('STERLING CATALOG - FZN &amp; CHILL'!A3308,"AAAAAEt/n+M=")</f>
        <v>#VALUE!</v>
      </c>
      <c r="HU386" t="e">
        <f>AND('STERLING CATALOG - FZN &amp; CHILL'!B3308,"AAAAAEt/n+Q=")</f>
        <v>#VALUE!</v>
      </c>
      <c r="HV386" t="e">
        <f>AND('STERLING CATALOG - FZN &amp; CHILL'!C3308,"AAAAAEt/n+U=")</f>
        <v>#VALUE!</v>
      </c>
      <c r="HW386" t="e">
        <f>AND('STERLING CATALOG - FZN &amp; CHILL'!D3308,"AAAAAEt/n+Y=")</f>
        <v>#VALUE!</v>
      </c>
      <c r="HX386" t="e">
        <f>AND('STERLING CATALOG - FZN &amp; CHILL'!E3308,"AAAAAEt/n+c=")</f>
        <v>#VALUE!</v>
      </c>
      <c r="HY386" t="e">
        <f>AND('STERLING CATALOG - FZN &amp; CHILL'!F3308,"AAAAAEt/n+g=")</f>
        <v>#VALUE!</v>
      </c>
      <c r="HZ386" t="e">
        <f>AND('STERLING CATALOG - FZN &amp; CHILL'!G3308,"AAAAAEt/n+k=")</f>
        <v>#VALUE!</v>
      </c>
      <c r="IA386" t="e">
        <f>AND('STERLING CATALOG - FZN &amp; CHILL'!H3308,"AAAAAEt/n+o=")</f>
        <v>#VALUE!</v>
      </c>
      <c r="IB386" t="e">
        <f>AND('STERLING CATALOG - FZN &amp; CHILL'!I3308,"AAAAAEt/n+s=")</f>
        <v>#VALUE!</v>
      </c>
      <c r="IC386" t="e">
        <f>AND('STERLING CATALOG - FZN &amp; CHILL'!J3308,"AAAAAEt/n+w=")</f>
        <v>#VALUE!</v>
      </c>
      <c r="ID386">
        <f>IF('STERLING CATALOG - FZN &amp; CHILL'!3309:3309,"AAAAAEt/n+0=",0)</f>
        <v>0</v>
      </c>
      <c r="IE386" t="e">
        <f>AND('STERLING CATALOG - FZN &amp; CHILL'!A3309,"AAAAAEt/n+4=")</f>
        <v>#VALUE!</v>
      </c>
      <c r="IF386" t="e">
        <f>AND('STERLING CATALOG - FZN &amp; CHILL'!B3309,"AAAAAEt/n+8=")</f>
        <v>#VALUE!</v>
      </c>
      <c r="IG386" t="e">
        <f>AND('STERLING CATALOG - FZN &amp; CHILL'!C3309,"AAAAAEt/n/A=")</f>
        <v>#VALUE!</v>
      </c>
      <c r="IH386" t="e">
        <f>AND('STERLING CATALOG - FZN &amp; CHILL'!D3309,"AAAAAEt/n/E=")</f>
        <v>#VALUE!</v>
      </c>
      <c r="II386" t="e">
        <f>AND('STERLING CATALOG - FZN &amp; CHILL'!E3309,"AAAAAEt/n/I=")</f>
        <v>#VALUE!</v>
      </c>
      <c r="IJ386" t="e">
        <f>AND('STERLING CATALOG - FZN &amp; CHILL'!F3309,"AAAAAEt/n/M=")</f>
        <v>#VALUE!</v>
      </c>
      <c r="IK386" t="e">
        <f>AND('STERLING CATALOG - FZN &amp; CHILL'!G3309,"AAAAAEt/n/Q=")</f>
        <v>#VALUE!</v>
      </c>
      <c r="IL386" t="e">
        <f>AND('STERLING CATALOG - FZN &amp; CHILL'!H3309,"AAAAAEt/n/U=")</f>
        <v>#VALUE!</v>
      </c>
      <c r="IM386" t="e">
        <f>AND('STERLING CATALOG - FZN &amp; CHILL'!I3309,"AAAAAEt/n/Y=")</f>
        <v>#VALUE!</v>
      </c>
      <c r="IN386" t="e">
        <f>AND('STERLING CATALOG - FZN &amp; CHILL'!J3309,"AAAAAEt/n/c=")</f>
        <v>#VALUE!</v>
      </c>
      <c r="IO386">
        <f>IF('STERLING CATALOG - FZN &amp; CHILL'!3310:3310,"AAAAAEt/n/g=",0)</f>
        <v>0</v>
      </c>
      <c r="IP386" t="e">
        <f>AND('STERLING CATALOG - FZN &amp; CHILL'!A3310,"AAAAAEt/n/k=")</f>
        <v>#VALUE!</v>
      </c>
      <c r="IQ386" t="e">
        <f>AND('STERLING CATALOG - FZN &amp; CHILL'!B3310,"AAAAAEt/n/o=")</f>
        <v>#VALUE!</v>
      </c>
      <c r="IR386" t="e">
        <f>AND('STERLING CATALOG - FZN &amp; CHILL'!C3310,"AAAAAEt/n/s=")</f>
        <v>#VALUE!</v>
      </c>
      <c r="IS386" t="e">
        <f>AND('STERLING CATALOG - FZN &amp; CHILL'!D3310,"AAAAAEt/n/w=")</f>
        <v>#VALUE!</v>
      </c>
      <c r="IT386" t="e">
        <f>AND('STERLING CATALOG - FZN &amp; CHILL'!E3310,"AAAAAEt/n/0=")</f>
        <v>#VALUE!</v>
      </c>
      <c r="IU386" t="e">
        <f>AND('STERLING CATALOG - FZN &amp; CHILL'!F3310,"AAAAAEt/n/4=")</f>
        <v>#VALUE!</v>
      </c>
      <c r="IV386" t="e">
        <f>AND('STERLING CATALOG - FZN &amp; CHILL'!G3310,"AAAAAEt/n/8=")</f>
        <v>#VALUE!</v>
      </c>
    </row>
    <row r="387" spans="1:256">
      <c r="A387" t="e">
        <f>AND('STERLING CATALOG - FZN &amp; CHILL'!H3310,"AAAAAH/5iwA=")</f>
        <v>#VALUE!</v>
      </c>
      <c r="B387" t="e">
        <f>AND('STERLING CATALOG - FZN &amp; CHILL'!I3310,"AAAAAH/5iwE=")</f>
        <v>#VALUE!</v>
      </c>
      <c r="C387" t="e">
        <f>AND('STERLING CATALOG - FZN &amp; CHILL'!J3310,"AAAAAH/5iwI=")</f>
        <v>#VALUE!</v>
      </c>
      <c r="D387" t="e">
        <f>IF('STERLING CATALOG - FZN &amp; CHILL'!3311:3311,"AAAAAH/5iwM=",0)</f>
        <v>#VALUE!</v>
      </c>
      <c r="E387" t="e">
        <f>AND('STERLING CATALOG - FZN &amp; CHILL'!A3311,"AAAAAH/5iwQ=")</f>
        <v>#VALUE!</v>
      </c>
      <c r="F387" t="e">
        <f>AND('STERLING CATALOG - FZN &amp; CHILL'!B3311,"AAAAAH/5iwU=")</f>
        <v>#VALUE!</v>
      </c>
      <c r="G387" t="e">
        <f>AND('STERLING CATALOG - FZN &amp; CHILL'!C3311,"AAAAAH/5iwY=")</f>
        <v>#VALUE!</v>
      </c>
      <c r="H387" t="e">
        <f>AND('STERLING CATALOG - FZN &amp; CHILL'!D3311,"AAAAAH/5iwc=")</f>
        <v>#VALUE!</v>
      </c>
      <c r="I387" t="e">
        <f>AND('STERLING CATALOG - FZN &amp; CHILL'!E3311,"AAAAAH/5iwg=")</f>
        <v>#VALUE!</v>
      </c>
      <c r="J387" t="e">
        <f>AND('STERLING CATALOG - FZN &amp; CHILL'!F3311,"AAAAAH/5iwk=")</f>
        <v>#VALUE!</v>
      </c>
      <c r="K387" t="e">
        <f>AND('STERLING CATALOG - FZN &amp; CHILL'!G3311,"AAAAAH/5iwo=")</f>
        <v>#VALUE!</v>
      </c>
      <c r="L387" t="e">
        <f>AND('STERLING CATALOG - FZN &amp; CHILL'!H3311,"AAAAAH/5iws=")</f>
        <v>#VALUE!</v>
      </c>
      <c r="M387" t="e">
        <f>AND('STERLING CATALOG - FZN &amp; CHILL'!I3311,"AAAAAH/5iww=")</f>
        <v>#VALUE!</v>
      </c>
      <c r="N387" t="e">
        <f>AND('STERLING CATALOG - FZN &amp; CHILL'!J3311,"AAAAAH/5iw0=")</f>
        <v>#VALUE!</v>
      </c>
      <c r="O387">
        <f>IF('STERLING CATALOG - FZN &amp; CHILL'!3312:3312,"AAAAAH/5iw4=",0)</f>
        <v>0</v>
      </c>
      <c r="P387" t="e">
        <f>AND('STERLING CATALOG - FZN &amp; CHILL'!A3312,"AAAAAH/5iw8=")</f>
        <v>#VALUE!</v>
      </c>
      <c r="Q387" t="e">
        <f>AND('STERLING CATALOG - FZN &amp; CHILL'!B3312,"AAAAAH/5ixA=")</f>
        <v>#VALUE!</v>
      </c>
      <c r="R387" t="e">
        <f>AND('STERLING CATALOG - FZN &amp; CHILL'!C3312,"AAAAAH/5ixE=")</f>
        <v>#VALUE!</v>
      </c>
      <c r="S387" t="e">
        <f>AND('STERLING CATALOG - FZN &amp; CHILL'!D3312,"AAAAAH/5ixI=")</f>
        <v>#VALUE!</v>
      </c>
      <c r="T387" t="e">
        <f>AND('STERLING CATALOG - FZN &amp; CHILL'!E3312,"AAAAAH/5ixM=")</f>
        <v>#VALUE!</v>
      </c>
      <c r="U387" t="e">
        <f>AND('STERLING CATALOG - FZN &amp; CHILL'!F3312,"AAAAAH/5ixQ=")</f>
        <v>#VALUE!</v>
      </c>
      <c r="V387" t="e">
        <f>AND('STERLING CATALOG - FZN &amp; CHILL'!G3312,"AAAAAH/5ixU=")</f>
        <v>#VALUE!</v>
      </c>
      <c r="W387" t="e">
        <f>AND('STERLING CATALOG - FZN &amp; CHILL'!H3312,"AAAAAH/5ixY=")</f>
        <v>#VALUE!</v>
      </c>
      <c r="X387" t="e">
        <f>AND('STERLING CATALOG - FZN &amp; CHILL'!I3312,"AAAAAH/5ixc=")</f>
        <v>#VALUE!</v>
      </c>
      <c r="Y387" t="e">
        <f>AND('STERLING CATALOG - FZN &amp; CHILL'!J3312,"AAAAAH/5ixg=")</f>
        <v>#VALUE!</v>
      </c>
      <c r="Z387">
        <f>IF('STERLING CATALOG - FZN &amp; CHILL'!3313:3313,"AAAAAH/5ixk=",0)</f>
        <v>0</v>
      </c>
      <c r="AA387" t="e">
        <f>AND('STERLING CATALOG - FZN &amp; CHILL'!A3313,"AAAAAH/5ixo=")</f>
        <v>#VALUE!</v>
      </c>
      <c r="AB387" t="e">
        <f>AND('STERLING CATALOG - FZN &amp; CHILL'!B3313,"AAAAAH/5ixs=")</f>
        <v>#VALUE!</v>
      </c>
      <c r="AC387" t="e">
        <f>AND('STERLING CATALOG - FZN &amp; CHILL'!C3313,"AAAAAH/5ixw=")</f>
        <v>#VALUE!</v>
      </c>
      <c r="AD387" t="e">
        <f>AND('STERLING CATALOG - FZN &amp; CHILL'!D3313,"AAAAAH/5ix0=")</f>
        <v>#VALUE!</v>
      </c>
      <c r="AE387" t="e">
        <f>AND('STERLING CATALOG - FZN &amp; CHILL'!E3313,"AAAAAH/5ix4=")</f>
        <v>#VALUE!</v>
      </c>
      <c r="AF387" t="e">
        <f>AND('STERLING CATALOG - FZN &amp; CHILL'!F3313,"AAAAAH/5ix8=")</f>
        <v>#VALUE!</v>
      </c>
      <c r="AG387" t="e">
        <f>AND('STERLING CATALOG - FZN &amp; CHILL'!G3313,"AAAAAH/5iyA=")</f>
        <v>#VALUE!</v>
      </c>
      <c r="AH387" t="e">
        <f>AND('STERLING CATALOG - FZN &amp; CHILL'!H3313,"AAAAAH/5iyE=")</f>
        <v>#VALUE!</v>
      </c>
      <c r="AI387" t="e">
        <f>AND('STERLING CATALOG - FZN &amp; CHILL'!I3313,"AAAAAH/5iyI=")</f>
        <v>#VALUE!</v>
      </c>
      <c r="AJ387" t="e">
        <f>AND('STERLING CATALOG - FZN &amp; CHILL'!J3313,"AAAAAH/5iyM=")</f>
        <v>#VALUE!</v>
      </c>
      <c r="AK387">
        <f>IF('STERLING CATALOG - FZN &amp; CHILL'!3314:3314,"AAAAAH/5iyQ=",0)</f>
        <v>0</v>
      </c>
      <c r="AL387" t="e">
        <f>AND('STERLING CATALOG - FZN &amp; CHILL'!A3314,"AAAAAH/5iyU=")</f>
        <v>#VALUE!</v>
      </c>
      <c r="AM387" t="e">
        <f>AND('STERLING CATALOG - FZN &amp; CHILL'!B3314,"AAAAAH/5iyY=")</f>
        <v>#VALUE!</v>
      </c>
      <c r="AN387" t="e">
        <f>AND('STERLING CATALOG - FZN &amp; CHILL'!C3314,"AAAAAH/5iyc=")</f>
        <v>#VALUE!</v>
      </c>
      <c r="AO387" t="e">
        <f>AND('STERLING CATALOG - FZN &amp; CHILL'!D3314,"AAAAAH/5iyg=")</f>
        <v>#VALUE!</v>
      </c>
      <c r="AP387" t="e">
        <f>AND('STERLING CATALOG - FZN &amp; CHILL'!E3314,"AAAAAH/5iyk=")</f>
        <v>#VALUE!</v>
      </c>
      <c r="AQ387" t="e">
        <f>AND('STERLING CATALOG - FZN &amp; CHILL'!F3314,"AAAAAH/5iyo=")</f>
        <v>#VALUE!</v>
      </c>
      <c r="AR387" t="e">
        <f>AND('STERLING CATALOG - FZN &amp; CHILL'!G3314,"AAAAAH/5iys=")</f>
        <v>#VALUE!</v>
      </c>
      <c r="AS387" t="e">
        <f>AND('STERLING CATALOG - FZN &amp; CHILL'!H3314,"AAAAAH/5iyw=")</f>
        <v>#VALUE!</v>
      </c>
      <c r="AT387" t="e">
        <f>AND('STERLING CATALOG - FZN &amp; CHILL'!I3314,"AAAAAH/5iy0=")</f>
        <v>#VALUE!</v>
      </c>
      <c r="AU387" t="e">
        <f>AND('STERLING CATALOG - FZN &amp; CHILL'!J3314,"AAAAAH/5iy4=")</f>
        <v>#VALUE!</v>
      </c>
      <c r="AV387">
        <f>IF('STERLING CATALOG - FZN &amp; CHILL'!3315:3315,"AAAAAH/5iy8=",0)</f>
        <v>0</v>
      </c>
      <c r="AW387" t="e">
        <f>AND('STERLING CATALOG - FZN &amp; CHILL'!A3315,"AAAAAH/5izA=")</f>
        <v>#VALUE!</v>
      </c>
      <c r="AX387" t="e">
        <f>AND('STERLING CATALOG - FZN &amp; CHILL'!B3315,"AAAAAH/5izE=")</f>
        <v>#VALUE!</v>
      </c>
      <c r="AY387" t="e">
        <f>AND('STERLING CATALOG - FZN &amp; CHILL'!C3315,"AAAAAH/5izI=")</f>
        <v>#VALUE!</v>
      </c>
      <c r="AZ387" t="e">
        <f>AND('STERLING CATALOG - FZN &amp; CHILL'!D3315,"AAAAAH/5izM=")</f>
        <v>#VALUE!</v>
      </c>
      <c r="BA387" t="e">
        <f>AND('STERLING CATALOG - FZN &amp; CHILL'!E3315,"AAAAAH/5izQ=")</f>
        <v>#VALUE!</v>
      </c>
      <c r="BB387" t="e">
        <f>AND('STERLING CATALOG - FZN &amp; CHILL'!F3315,"AAAAAH/5izU=")</f>
        <v>#VALUE!</v>
      </c>
      <c r="BC387" t="e">
        <f>AND('STERLING CATALOG - FZN &amp; CHILL'!G3315,"AAAAAH/5izY=")</f>
        <v>#VALUE!</v>
      </c>
      <c r="BD387" t="e">
        <f>AND('STERLING CATALOG - FZN &amp; CHILL'!H3315,"AAAAAH/5izc=")</f>
        <v>#VALUE!</v>
      </c>
      <c r="BE387" t="e">
        <f>AND('STERLING CATALOG - FZN &amp; CHILL'!I3315,"AAAAAH/5izg=")</f>
        <v>#VALUE!</v>
      </c>
      <c r="BF387" t="e">
        <f>AND('STERLING CATALOG - FZN &amp; CHILL'!J3315,"AAAAAH/5izk=")</f>
        <v>#VALUE!</v>
      </c>
      <c r="BG387">
        <f>IF('STERLING CATALOG - FZN &amp; CHILL'!3316:3316,"AAAAAH/5izo=",0)</f>
        <v>0</v>
      </c>
      <c r="BH387" t="e">
        <f>AND('STERLING CATALOG - FZN &amp; CHILL'!A3316,"AAAAAH/5izs=")</f>
        <v>#VALUE!</v>
      </c>
      <c r="BI387" t="e">
        <f>AND('STERLING CATALOG - FZN &amp; CHILL'!B3316,"AAAAAH/5izw=")</f>
        <v>#VALUE!</v>
      </c>
      <c r="BJ387" t="e">
        <f>AND('STERLING CATALOG - FZN &amp; CHILL'!C3316,"AAAAAH/5iz0=")</f>
        <v>#VALUE!</v>
      </c>
      <c r="BK387" t="e">
        <f>AND('STERLING CATALOG - FZN &amp; CHILL'!D3316,"AAAAAH/5iz4=")</f>
        <v>#VALUE!</v>
      </c>
      <c r="BL387" t="e">
        <f>AND('STERLING CATALOG - FZN &amp; CHILL'!E3316,"AAAAAH/5iz8=")</f>
        <v>#VALUE!</v>
      </c>
      <c r="BM387" t="e">
        <f>AND('STERLING CATALOG - FZN &amp; CHILL'!F3316,"AAAAAH/5i0A=")</f>
        <v>#VALUE!</v>
      </c>
      <c r="BN387" t="e">
        <f>AND('STERLING CATALOG - FZN &amp; CHILL'!G3316,"AAAAAH/5i0E=")</f>
        <v>#VALUE!</v>
      </c>
      <c r="BO387" t="e">
        <f>AND('STERLING CATALOG - FZN &amp; CHILL'!H3316,"AAAAAH/5i0I=")</f>
        <v>#VALUE!</v>
      </c>
      <c r="BP387" t="e">
        <f>AND('STERLING CATALOG - FZN &amp; CHILL'!I3316,"AAAAAH/5i0M=")</f>
        <v>#VALUE!</v>
      </c>
      <c r="BQ387" t="e">
        <f>AND('STERLING CATALOG - FZN &amp; CHILL'!J3316,"AAAAAH/5i0Q=")</f>
        <v>#VALUE!</v>
      </c>
      <c r="BR387">
        <f>IF('STERLING CATALOG - FZN &amp; CHILL'!3317:3317,"AAAAAH/5i0U=",0)</f>
        <v>0</v>
      </c>
      <c r="BS387" t="e">
        <f>AND('STERLING CATALOG - FZN &amp; CHILL'!A3317,"AAAAAH/5i0Y=")</f>
        <v>#VALUE!</v>
      </c>
      <c r="BT387" t="e">
        <f>AND('STERLING CATALOG - FZN &amp; CHILL'!B3317,"AAAAAH/5i0c=")</f>
        <v>#VALUE!</v>
      </c>
      <c r="BU387" t="e">
        <f>AND('STERLING CATALOG - FZN &amp; CHILL'!C3317,"AAAAAH/5i0g=")</f>
        <v>#VALUE!</v>
      </c>
      <c r="BV387" t="e">
        <f>AND('STERLING CATALOG - FZN &amp; CHILL'!D3317,"AAAAAH/5i0k=")</f>
        <v>#VALUE!</v>
      </c>
      <c r="BW387" t="e">
        <f>AND('STERLING CATALOG - FZN &amp; CHILL'!E3317,"AAAAAH/5i0o=")</f>
        <v>#VALUE!</v>
      </c>
      <c r="BX387" t="e">
        <f>AND('STERLING CATALOG - FZN &amp; CHILL'!F3317,"AAAAAH/5i0s=")</f>
        <v>#VALUE!</v>
      </c>
      <c r="BY387" t="e">
        <f>AND('STERLING CATALOG - FZN &amp; CHILL'!G3317,"AAAAAH/5i0w=")</f>
        <v>#VALUE!</v>
      </c>
      <c r="BZ387" t="e">
        <f>AND('STERLING CATALOG - FZN &amp; CHILL'!H3317,"AAAAAH/5i00=")</f>
        <v>#VALUE!</v>
      </c>
      <c r="CA387" t="e">
        <f>AND('STERLING CATALOG - FZN &amp; CHILL'!I3317,"AAAAAH/5i04=")</f>
        <v>#VALUE!</v>
      </c>
      <c r="CB387" t="e">
        <f>AND('STERLING CATALOG - FZN &amp; CHILL'!J3317,"AAAAAH/5i08=")</f>
        <v>#VALUE!</v>
      </c>
      <c r="CC387">
        <f>IF('STERLING CATALOG - FZN &amp; CHILL'!3318:3318,"AAAAAH/5i1A=",0)</f>
        <v>0</v>
      </c>
      <c r="CD387" t="e">
        <f>AND('STERLING CATALOG - FZN &amp; CHILL'!A3318,"AAAAAH/5i1E=")</f>
        <v>#VALUE!</v>
      </c>
      <c r="CE387" t="e">
        <f>AND('STERLING CATALOG - FZN &amp; CHILL'!B3318,"AAAAAH/5i1I=")</f>
        <v>#VALUE!</v>
      </c>
      <c r="CF387" t="e">
        <f>AND('STERLING CATALOG - FZN &amp; CHILL'!C3318,"AAAAAH/5i1M=")</f>
        <v>#VALUE!</v>
      </c>
      <c r="CG387" t="e">
        <f>AND('STERLING CATALOG - FZN &amp; CHILL'!D3318,"AAAAAH/5i1Q=")</f>
        <v>#VALUE!</v>
      </c>
      <c r="CH387" t="e">
        <f>AND('STERLING CATALOG - FZN &amp; CHILL'!E3318,"AAAAAH/5i1U=")</f>
        <v>#VALUE!</v>
      </c>
      <c r="CI387" t="e">
        <f>AND('STERLING CATALOG - FZN &amp; CHILL'!F3318,"AAAAAH/5i1Y=")</f>
        <v>#VALUE!</v>
      </c>
      <c r="CJ387" t="e">
        <f>AND('STERLING CATALOG - FZN &amp; CHILL'!G3318,"AAAAAH/5i1c=")</f>
        <v>#VALUE!</v>
      </c>
      <c r="CK387" t="e">
        <f>AND('STERLING CATALOG - FZN &amp; CHILL'!H3318,"AAAAAH/5i1g=")</f>
        <v>#VALUE!</v>
      </c>
      <c r="CL387" t="e">
        <f>AND('STERLING CATALOG - FZN &amp; CHILL'!I3318,"AAAAAH/5i1k=")</f>
        <v>#VALUE!</v>
      </c>
      <c r="CM387" t="e">
        <f>AND('STERLING CATALOG - FZN &amp; CHILL'!J3318,"AAAAAH/5i1o=")</f>
        <v>#VALUE!</v>
      </c>
      <c r="CN387">
        <f>IF('STERLING CATALOG - FZN &amp; CHILL'!3319:3319,"AAAAAH/5i1s=",0)</f>
        <v>0</v>
      </c>
      <c r="CO387" t="e">
        <f>AND('STERLING CATALOG - FZN &amp; CHILL'!A3319,"AAAAAH/5i1w=")</f>
        <v>#VALUE!</v>
      </c>
      <c r="CP387" t="e">
        <f>AND('STERLING CATALOG - FZN &amp; CHILL'!B3319,"AAAAAH/5i10=")</f>
        <v>#VALUE!</v>
      </c>
      <c r="CQ387" t="e">
        <f>AND('STERLING CATALOG - FZN &amp; CHILL'!C3319,"AAAAAH/5i14=")</f>
        <v>#VALUE!</v>
      </c>
      <c r="CR387" t="e">
        <f>AND('STERLING CATALOG - FZN &amp; CHILL'!D3319,"AAAAAH/5i18=")</f>
        <v>#VALUE!</v>
      </c>
      <c r="CS387" t="e">
        <f>AND('STERLING CATALOG - FZN &amp; CHILL'!E3319,"AAAAAH/5i2A=")</f>
        <v>#VALUE!</v>
      </c>
      <c r="CT387" t="e">
        <f>AND('STERLING CATALOG - FZN &amp; CHILL'!F3319,"AAAAAH/5i2E=")</f>
        <v>#VALUE!</v>
      </c>
      <c r="CU387" t="e">
        <f>AND('STERLING CATALOG - FZN &amp; CHILL'!G3319,"AAAAAH/5i2I=")</f>
        <v>#VALUE!</v>
      </c>
      <c r="CV387" t="e">
        <f>AND('STERLING CATALOG - FZN &amp; CHILL'!H3319,"AAAAAH/5i2M=")</f>
        <v>#VALUE!</v>
      </c>
      <c r="CW387" t="e">
        <f>AND('STERLING CATALOG - FZN &amp; CHILL'!I3319,"AAAAAH/5i2Q=")</f>
        <v>#VALUE!</v>
      </c>
      <c r="CX387" t="e">
        <f>AND('STERLING CATALOG - FZN &amp; CHILL'!J3319,"AAAAAH/5i2U=")</f>
        <v>#VALUE!</v>
      </c>
      <c r="CY387">
        <f>IF('STERLING CATALOG - FZN &amp; CHILL'!3320:3320,"AAAAAH/5i2Y=",0)</f>
        <v>0</v>
      </c>
      <c r="CZ387" t="e">
        <f>AND('STERLING CATALOG - FZN &amp; CHILL'!A3320,"AAAAAH/5i2c=")</f>
        <v>#VALUE!</v>
      </c>
      <c r="DA387" t="e">
        <f>AND('STERLING CATALOG - FZN &amp; CHILL'!B3320,"AAAAAH/5i2g=")</f>
        <v>#VALUE!</v>
      </c>
      <c r="DB387" t="e">
        <f>AND('STERLING CATALOG - FZN &amp; CHILL'!C3320,"AAAAAH/5i2k=")</f>
        <v>#VALUE!</v>
      </c>
      <c r="DC387" t="e">
        <f>AND('STERLING CATALOG - FZN &amp; CHILL'!D3320,"AAAAAH/5i2o=")</f>
        <v>#VALUE!</v>
      </c>
      <c r="DD387" t="e">
        <f>AND('STERLING CATALOG - FZN &amp; CHILL'!E3320,"AAAAAH/5i2s=")</f>
        <v>#VALUE!</v>
      </c>
      <c r="DE387" t="e">
        <f>AND('STERLING CATALOG - FZN &amp; CHILL'!F3320,"AAAAAH/5i2w=")</f>
        <v>#VALUE!</v>
      </c>
      <c r="DF387" t="e">
        <f>AND('STERLING CATALOG - FZN &amp; CHILL'!G3320,"AAAAAH/5i20=")</f>
        <v>#VALUE!</v>
      </c>
      <c r="DG387" t="e">
        <f>AND('STERLING CATALOG - FZN &amp; CHILL'!H3320,"AAAAAH/5i24=")</f>
        <v>#VALUE!</v>
      </c>
      <c r="DH387" t="e">
        <f>AND('STERLING CATALOG - FZN &amp; CHILL'!I3320,"AAAAAH/5i28=")</f>
        <v>#VALUE!</v>
      </c>
      <c r="DI387" t="e">
        <f>AND('STERLING CATALOG - FZN &amp; CHILL'!J3320,"AAAAAH/5i3A=")</f>
        <v>#VALUE!</v>
      </c>
      <c r="DJ387">
        <f>IF('STERLING CATALOG - FZN &amp; CHILL'!3321:3321,"AAAAAH/5i3E=",0)</f>
        <v>0</v>
      </c>
      <c r="DK387" t="e">
        <f>AND('STERLING CATALOG - FZN &amp; CHILL'!A3321,"AAAAAH/5i3I=")</f>
        <v>#VALUE!</v>
      </c>
      <c r="DL387" t="e">
        <f>AND('STERLING CATALOG - FZN &amp; CHILL'!B3321,"AAAAAH/5i3M=")</f>
        <v>#VALUE!</v>
      </c>
      <c r="DM387" t="e">
        <f>AND('STERLING CATALOG - FZN &amp; CHILL'!C3321,"AAAAAH/5i3Q=")</f>
        <v>#VALUE!</v>
      </c>
      <c r="DN387" t="e">
        <f>AND('STERLING CATALOG - FZN &amp; CHILL'!D3321,"AAAAAH/5i3U=")</f>
        <v>#VALUE!</v>
      </c>
      <c r="DO387" t="e">
        <f>AND('STERLING CATALOG - FZN &amp; CHILL'!E3321,"AAAAAH/5i3Y=")</f>
        <v>#VALUE!</v>
      </c>
      <c r="DP387" t="e">
        <f>AND('STERLING CATALOG - FZN &amp; CHILL'!F3321,"AAAAAH/5i3c=")</f>
        <v>#VALUE!</v>
      </c>
      <c r="DQ387" t="e">
        <f>AND('STERLING CATALOG - FZN &amp; CHILL'!G3321,"AAAAAH/5i3g=")</f>
        <v>#VALUE!</v>
      </c>
      <c r="DR387" t="e">
        <f>AND('STERLING CATALOG - FZN &amp; CHILL'!H3321,"AAAAAH/5i3k=")</f>
        <v>#VALUE!</v>
      </c>
      <c r="DS387" t="e">
        <f>AND('STERLING CATALOG - FZN &amp; CHILL'!I3321,"AAAAAH/5i3o=")</f>
        <v>#VALUE!</v>
      </c>
      <c r="DT387" t="e">
        <f>AND('STERLING CATALOG - FZN &amp; CHILL'!J3321,"AAAAAH/5i3s=")</f>
        <v>#VALUE!</v>
      </c>
      <c r="DU387">
        <f>IF('STERLING CATALOG - FZN &amp; CHILL'!3322:3322,"AAAAAH/5i3w=",0)</f>
        <v>0</v>
      </c>
      <c r="DV387" t="e">
        <f>AND('STERLING CATALOG - FZN &amp; CHILL'!A3322,"AAAAAH/5i30=")</f>
        <v>#VALUE!</v>
      </c>
      <c r="DW387" t="e">
        <f>AND('STERLING CATALOG - FZN &amp; CHILL'!B3322,"AAAAAH/5i34=")</f>
        <v>#VALUE!</v>
      </c>
      <c r="DX387" t="e">
        <f>AND('STERLING CATALOG - FZN &amp; CHILL'!C3322,"AAAAAH/5i38=")</f>
        <v>#VALUE!</v>
      </c>
      <c r="DY387" t="e">
        <f>AND('STERLING CATALOG - FZN &amp; CHILL'!D3322,"AAAAAH/5i4A=")</f>
        <v>#VALUE!</v>
      </c>
      <c r="DZ387" t="e">
        <f>AND('STERLING CATALOG - FZN &amp; CHILL'!E3322,"AAAAAH/5i4E=")</f>
        <v>#VALUE!</v>
      </c>
      <c r="EA387" t="e">
        <f>AND('STERLING CATALOG - FZN &amp; CHILL'!F3322,"AAAAAH/5i4I=")</f>
        <v>#VALUE!</v>
      </c>
      <c r="EB387" t="e">
        <f>AND('STERLING CATALOG - FZN &amp; CHILL'!G3322,"AAAAAH/5i4M=")</f>
        <v>#VALUE!</v>
      </c>
      <c r="EC387" t="e">
        <f>AND('STERLING CATALOG - FZN &amp; CHILL'!H3322,"AAAAAH/5i4Q=")</f>
        <v>#VALUE!</v>
      </c>
      <c r="ED387" t="e">
        <f>AND('STERLING CATALOG - FZN &amp; CHILL'!I3322,"AAAAAH/5i4U=")</f>
        <v>#VALUE!</v>
      </c>
      <c r="EE387" t="e">
        <f>AND('STERLING CATALOG - FZN &amp; CHILL'!J3322,"AAAAAH/5i4Y=")</f>
        <v>#VALUE!</v>
      </c>
      <c r="EF387">
        <f>IF('STERLING CATALOG - FZN &amp; CHILL'!3323:3323,"AAAAAH/5i4c=",0)</f>
        <v>0</v>
      </c>
      <c r="EG387" t="e">
        <f>AND('STERLING CATALOG - FZN &amp; CHILL'!A3323,"AAAAAH/5i4g=")</f>
        <v>#VALUE!</v>
      </c>
      <c r="EH387" t="e">
        <f>AND('STERLING CATALOG - FZN &amp; CHILL'!B3323,"AAAAAH/5i4k=")</f>
        <v>#VALUE!</v>
      </c>
      <c r="EI387" t="e">
        <f>AND('STERLING CATALOG - FZN &amp; CHILL'!C3323,"AAAAAH/5i4o=")</f>
        <v>#VALUE!</v>
      </c>
      <c r="EJ387" t="e">
        <f>AND('STERLING CATALOG - FZN &amp; CHILL'!D3323,"AAAAAH/5i4s=")</f>
        <v>#VALUE!</v>
      </c>
      <c r="EK387" t="e">
        <f>AND('STERLING CATALOG - FZN &amp; CHILL'!E3323,"AAAAAH/5i4w=")</f>
        <v>#VALUE!</v>
      </c>
      <c r="EL387" t="e">
        <f>AND('STERLING CATALOG - FZN &amp; CHILL'!F3323,"AAAAAH/5i40=")</f>
        <v>#VALUE!</v>
      </c>
      <c r="EM387" t="e">
        <f>AND('STERLING CATALOG - FZN &amp; CHILL'!G3323,"AAAAAH/5i44=")</f>
        <v>#VALUE!</v>
      </c>
      <c r="EN387" t="e">
        <f>AND('STERLING CATALOG - FZN &amp; CHILL'!H3323,"AAAAAH/5i48=")</f>
        <v>#VALUE!</v>
      </c>
      <c r="EO387" t="e">
        <f>AND('STERLING CATALOG - FZN &amp; CHILL'!I3323,"AAAAAH/5i5A=")</f>
        <v>#VALUE!</v>
      </c>
      <c r="EP387" t="e">
        <f>AND('STERLING CATALOG - FZN &amp; CHILL'!J3323,"AAAAAH/5i5E=")</f>
        <v>#VALUE!</v>
      </c>
      <c r="EQ387">
        <f>IF('STERLING CATALOG - FZN &amp; CHILL'!3324:3324,"AAAAAH/5i5I=",0)</f>
        <v>0</v>
      </c>
      <c r="ER387" t="e">
        <f>AND('STERLING CATALOG - FZN &amp; CHILL'!A3324,"AAAAAH/5i5M=")</f>
        <v>#VALUE!</v>
      </c>
      <c r="ES387" t="e">
        <f>AND('STERLING CATALOG - FZN &amp; CHILL'!B3324,"AAAAAH/5i5Q=")</f>
        <v>#VALUE!</v>
      </c>
      <c r="ET387" t="e">
        <f>AND('STERLING CATALOG - FZN &amp; CHILL'!C3324,"AAAAAH/5i5U=")</f>
        <v>#VALUE!</v>
      </c>
      <c r="EU387" t="e">
        <f>AND('STERLING CATALOG - FZN &amp; CHILL'!D3324,"AAAAAH/5i5Y=")</f>
        <v>#VALUE!</v>
      </c>
      <c r="EV387" t="e">
        <f>AND('STERLING CATALOG - FZN &amp; CHILL'!E3324,"AAAAAH/5i5c=")</f>
        <v>#VALUE!</v>
      </c>
      <c r="EW387" t="e">
        <f>AND('STERLING CATALOG - FZN &amp; CHILL'!F3324,"AAAAAH/5i5g=")</f>
        <v>#VALUE!</v>
      </c>
      <c r="EX387" t="e">
        <f>AND('STERLING CATALOG - FZN &amp; CHILL'!G3324,"AAAAAH/5i5k=")</f>
        <v>#VALUE!</v>
      </c>
      <c r="EY387" t="e">
        <f>AND('STERLING CATALOG - FZN &amp; CHILL'!H3324,"AAAAAH/5i5o=")</f>
        <v>#VALUE!</v>
      </c>
      <c r="EZ387" t="e">
        <f>AND('STERLING CATALOG - FZN &amp; CHILL'!I3324,"AAAAAH/5i5s=")</f>
        <v>#VALUE!</v>
      </c>
      <c r="FA387" t="e">
        <f>AND('STERLING CATALOG - FZN &amp; CHILL'!J3324,"AAAAAH/5i5w=")</f>
        <v>#VALUE!</v>
      </c>
      <c r="FB387">
        <f>IF('STERLING CATALOG - FZN &amp; CHILL'!3325:3325,"AAAAAH/5i50=",0)</f>
        <v>0</v>
      </c>
      <c r="FC387" t="e">
        <f>AND('STERLING CATALOG - FZN &amp; CHILL'!A3325,"AAAAAH/5i54=")</f>
        <v>#VALUE!</v>
      </c>
      <c r="FD387" t="e">
        <f>AND('STERLING CATALOG - FZN &amp; CHILL'!B3325,"AAAAAH/5i58=")</f>
        <v>#VALUE!</v>
      </c>
      <c r="FE387" t="e">
        <f>AND('STERLING CATALOG - FZN &amp; CHILL'!C3325,"AAAAAH/5i6A=")</f>
        <v>#VALUE!</v>
      </c>
      <c r="FF387" t="e">
        <f>AND('STERLING CATALOG - FZN &amp; CHILL'!D3325,"AAAAAH/5i6E=")</f>
        <v>#VALUE!</v>
      </c>
      <c r="FG387" t="e">
        <f>AND('STERLING CATALOG - FZN &amp; CHILL'!E3325,"AAAAAH/5i6I=")</f>
        <v>#VALUE!</v>
      </c>
      <c r="FH387" t="e">
        <f>AND('STERLING CATALOG - FZN &amp; CHILL'!F3325,"AAAAAH/5i6M=")</f>
        <v>#VALUE!</v>
      </c>
      <c r="FI387" t="e">
        <f>AND('STERLING CATALOG - FZN &amp; CHILL'!G3325,"AAAAAH/5i6Q=")</f>
        <v>#VALUE!</v>
      </c>
      <c r="FJ387" t="e">
        <f>AND('STERLING CATALOG - FZN &amp; CHILL'!H3325,"AAAAAH/5i6U=")</f>
        <v>#VALUE!</v>
      </c>
      <c r="FK387" t="e">
        <f>AND('STERLING CATALOG - FZN &amp; CHILL'!I3325,"AAAAAH/5i6Y=")</f>
        <v>#VALUE!</v>
      </c>
      <c r="FL387" t="e">
        <f>AND('STERLING CATALOG - FZN &amp; CHILL'!J3325,"AAAAAH/5i6c=")</f>
        <v>#VALUE!</v>
      </c>
      <c r="FM387">
        <f>IF('STERLING CATALOG - FZN &amp; CHILL'!3326:3326,"AAAAAH/5i6g=",0)</f>
        <v>0</v>
      </c>
      <c r="FN387" t="e">
        <f>AND('STERLING CATALOG - FZN &amp; CHILL'!A3326,"AAAAAH/5i6k=")</f>
        <v>#VALUE!</v>
      </c>
      <c r="FO387" t="e">
        <f>AND('STERLING CATALOG - FZN &amp; CHILL'!B3326,"AAAAAH/5i6o=")</f>
        <v>#VALUE!</v>
      </c>
      <c r="FP387" t="e">
        <f>AND('STERLING CATALOG - FZN &amp; CHILL'!C3326,"AAAAAH/5i6s=")</f>
        <v>#VALUE!</v>
      </c>
      <c r="FQ387" t="e">
        <f>AND('STERLING CATALOG - FZN &amp; CHILL'!D3326,"AAAAAH/5i6w=")</f>
        <v>#VALUE!</v>
      </c>
      <c r="FR387" t="e">
        <f>AND('STERLING CATALOG - FZN &amp; CHILL'!E3326,"AAAAAH/5i60=")</f>
        <v>#VALUE!</v>
      </c>
      <c r="FS387" t="e">
        <f>AND('STERLING CATALOG - FZN &amp; CHILL'!F3326,"AAAAAH/5i64=")</f>
        <v>#VALUE!</v>
      </c>
      <c r="FT387" t="e">
        <f>AND('STERLING CATALOG - FZN &amp; CHILL'!G3326,"AAAAAH/5i68=")</f>
        <v>#VALUE!</v>
      </c>
      <c r="FU387" t="e">
        <f>AND('STERLING CATALOG - FZN &amp; CHILL'!H3326,"AAAAAH/5i7A=")</f>
        <v>#VALUE!</v>
      </c>
      <c r="FV387" t="e">
        <f>AND('STERLING CATALOG - FZN &amp; CHILL'!I3326,"AAAAAH/5i7E=")</f>
        <v>#VALUE!</v>
      </c>
      <c r="FW387" t="e">
        <f>AND('STERLING CATALOG - FZN &amp; CHILL'!J3326,"AAAAAH/5i7I=")</f>
        <v>#VALUE!</v>
      </c>
      <c r="FX387">
        <f>IF('STERLING CATALOG - FZN &amp; CHILL'!3327:3327,"AAAAAH/5i7M=",0)</f>
        <v>0</v>
      </c>
      <c r="FY387" t="e">
        <f>AND('STERLING CATALOG - FZN &amp; CHILL'!A3327,"AAAAAH/5i7Q=")</f>
        <v>#VALUE!</v>
      </c>
      <c r="FZ387" t="e">
        <f>AND('STERLING CATALOG - FZN &amp; CHILL'!B3327,"AAAAAH/5i7U=")</f>
        <v>#VALUE!</v>
      </c>
      <c r="GA387" t="e">
        <f>AND('STERLING CATALOG - FZN &amp; CHILL'!C3327,"AAAAAH/5i7Y=")</f>
        <v>#VALUE!</v>
      </c>
      <c r="GB387" t="e">
        <f>AND('STERLING CATALOG - FZN &amp; CHILL'!D3327,"AAAAAH/5i7c=")</f>
        <v>#VALUE!</v>
      </c>
      <c r="GC387" t="e">
        <f>AND('STERLING CATALOG - FZN &amp; CHILL'!E3327,"AAAAAH/5i7g=")</f>
        <v>#VALUE!</v>
      </c>
      <c r="GD387" t="e">
        <f>AND('STERLING CATALOG - FZN &amp; CHILL'!F3327,"AAAAAH/5i7k=")</f>
        <v>#VALUE!</v>
      </c>
      <c r="GE387" t="e">
        <f>AND('STERLING CATALOG - FZN &amp; CHILL'!G3327,"AAAAAH/5i7o=")</f>
        <v>#VALUE!</v>
      </c>
      <c r="GF387" t="e">
        <f>AND('STERLING CATALOG - FZN &amp; CHILL'!H3327,"AAAAAH/5i7s=")</f>
        <v>#VALUE!</v>
      </c>
      <c r="GG387" t="e">
        <f>AND('STERLING CATALOG - FZN &amp; CHILL'!I3327,"AAAAAH/5i7w=")</f>
        <v>#VALUE!</v>
      </c>
      <c r="GH387" t="e">
        <f>AND('STERLING CATALOG - FZN &amp; CHILL'!J3327,"AAAAAH/5i70=")</f>
        <v>#VALUE!</v>
      </c>
      <c r="GI387">
        <f>IF('STERLING CATALOG - FZN &amp; CHILL'!3328:3328,"AAAAAH/5i74=",0)</f>
        <v>0</v>
      </c>
      <c r="GJ387" t="e">
        <f>AND('STERLING CATALOG - FZN &amp; CHILL'!A3328,"AAAAAH/5i78=")</f>
        <v>#VALUE!</v>
      </c>
      <c r="GK387" t="e">
        <f>AND('STERLING CATALOG - FZN &amp; CHILL'!B3328,"AAAAAH/5i8A=")</f>
        <v>#VALUE!</v>
      </c>
      <c r="GL387" t="e">
        <f>AND('STERLING CATALOG - FZN &amp; CHILL'!C3328,"AAAAAH/5i8E=")</f>
        <v>#VALUE!</v>
      </c>
      <c r="GM387" t="e">
        <f>AND('STERLING CATALOG - FZN &amp; CHILL'!D3328,"AAAAAH/5i8I=")</f>
        <v>#VALUE!</v>
      </c>
      <c r="GN387" t="e">
        <f>AND('STERLING CATALOG - FZN &amp; CHILL'!E3328,"AAAAAH/5i8M=")</f>
        <v>#VALUE!</v>
      </c>
      <c r="GO387" t="e">
        <f>AND('STERLING CATALOG - FZN &amp; CHILL'!F3328,"AAAAAH/5i8Q=")</f>
        <v>#VALUE!</v>
      </c>
      <c r="GP387" t="e">
        <f>AND('STERLING CATALOG - FZN &amp; CHILL'!G3328,"AAAAAH/5i8U=")</f>
        <v>#VALUE!</v>
      </c>
      <c r="GQ387" t="e">
        <f>AND('STERLING CATALOG - FZN &amp; CHILL'!H3328,"AAAAAH/5i8Y=")</f>
        <v>#VALUE!</v>
      </c>
      <c r="GR387" t="e">
        <f>AND('STERLING CATALOG - FZN &amp; CHILL'!I3328,"AAAAAH/5i8c=")</f>
        <v>#VALUE!</v>
      </c>
      <c r="GS387" t="e">
        <f>AND('STERLING CATALOG - FZN &amp; CHILL'!J3328,"AAAAAH/5i8g=")</f>
        <v>#VALUE!</v>
      </c>
      <c r="GT387">
        <f>IF('STERLING CATALOG - FZN &amp; CHILL'!3329:3329,"AAAAAH/5i8k=",0)</f>
        <v>0</v>
      </c>
      <c r="GU387" t="e">
        <f>AND('STERLING CATALOG - FZN &amp; CHILL'!A3329,"AAAAAH/5i8o=")</f>
        <v>#VALUE!</v>
      </c>
      <c r="GV387" t="e">
        <f>AND('STERLING CATALOG - FZN &amp; CHILL'!B3329,"AAAAAH/5i8s=")</f>
        <v>#VALUE!</v>
      </c>
      <c r="GW387" t="e">
        <f>AND('STERLING CATALOG - FZN &amp; CHILL'!C3329,"AAAAAH/5i8w=")</f>
        <v>#VALUE!</v>
      </c>
      <c r="GX387" t="e">
        <f>AND('STERLING CATALOG - FZN &amp; CHILL'!D3329,"AAAAAH/5i80=")</f>
        <v>#VALUE!</v>
      </c>
      <c r="GY387" t="e">
        <f>AND('STERLING CATALOG - FZN &amp; CHILL'!E3329,"AAAAAH/5i84=")</f>
        <v>#VALUE!</v>
      </c>
      <c r="GZ387" t="e">
        <f>AND('STERLING CATALOG - FZN &amp; CHILL'!F3329,"AAAAAH/5i88=")</f>
        <v>#VALUE!</v>
      </c>
      <c r="HA387" t="e">
        <f>AND('STERLING CATALOG - FZN &amp; CHILL'!G3329,"AAAAAH/5i9A=")</f>
        <v>#VALUE!</v>
      </c>
      <c r="HB387" t="e">
        <f>AND('STERLING CATALOG - FZN &amp; CHILL'!H3329,"AAAAAH/5i9E=")</f>
        <v>#VALUE!</v>
      </c>
      <c r="HC387" t="e">
        <f>AND('STERLING CATALOG - FZN &amp; CHILL'!I3329,"AAAAAH/5i9I=")</f>
        <v>#VALUE!</v>
      </c>
      <c r="HD387" t="e">
        <f>AND('STERLING CATALOG - FZN &amp; CHILL'!J3329,"AAAAAH/5i9M=")</f>
        <v>#VALUE!</v>
      </c>
      <c r="HE387">
        <f>IF('STERLING CATALOG - FZN &amp; CHILL'!3330:3330,"AAAAAH/5i9Q=",0)</f>
        <v>0</v>
      </c>
      <c r="HF387" t="e">
        <f>AND('STERLING CATALOG - FZN &amp; CHILL'!A3330,"AAAAAH/5i9U=")</f>
        <v>#VALUE!</v>
      </c>
      <c r="HG387" t="e">
        <f>AND('STERLING CATALOG - FZN &amp; CHILL'!B3330,"AAAAAH/5i9Y=")</f>
        <v>#VALUE!</v>
      </c>
      <c r="HH387" t="e">
        <f>AND('STERLING CATALOG - FZN &amp; CHILL'!C3330,"AAAAAH/5i9c=")</f>
        <v>#VALUE!</v>
      </c>
      <c r="HI387" t="e">
        <f>AND('STERLING CATALOG - FZN &amp; CHILL'!D3330,"AAAAAH/5i9g=")</f>
        <v>#VALUE!</v>
      </c>
      <c r="HJ387" t="e">
        <f>AND('STERLING CATALOG - FZN &amp; CHILL'!E3330,"AAAAAH/5i9k=")</f>
        <v>#VALUE!</v>
      </c>
      <c r="HK387" t="e">
        <f>AND('STERLING CATALOG - FZN &amp; CHILL'!F3330,"AAAAAH/5i9o=")</f>
        <v>#VALUE!</v>
      </c>
      <c r="HL387" t="e">
        <f>AND('STERLING CATALOG - FZN &amp; CHILL'!G3330,"AAAAAH/5i9s=")</f>
        <v>#VALUE!</v>
      </c>
      <c r="HM387" t="e">
        <f>AND('STERLING CATALOG - FZN &amp; CHILL'!H3330,"AAAAAH/5i9w=")</f>
        <v>#VALUE!</v>
      </c>
      <c r="HN387" t="e">
        <f>AND('STERLING CATALOG - FZN &amp; CHILL'!I3330,"AAAAAH/5i90=")</f>
        <v>#VALUE!</v>
      </c>
      <c r="HO387" t="e">
        <f>AND('STERLING CATALOG - FZN &amp; CHILL'!J3330,"AAAAAH/5i94=")</f>
        <v>#VALUE!</v>
      </c>
      <c r="HP387">
        <f>IF('STERLING CATALOG - FZN &amp; CHILL'!3331:3331,"AAAAAH/5i98=",0)</f>
        <v>0</v>
      </c>
      <c r="HQ387" t="e">
        <f>AND('STERLING CATALOG - FZN &amp; CHILL'!A3331,"AAAAAH/5i+A=")</f>
        <v>#VALUE!</v>
      </c>
      <c r="HR387" t="e">
        <f>AND('STERLING CATALOG - FZN &amp; CHILL'!B3331,"AAAAAH/5i+E=")</f>
        <v>#VALUE!</v>
      </c>
      <c r="HS387" t="e">
        <f>AND('STERLING CATALOG - FZN &amp; CHILL'!C3331,"AAAAAH/5i+I=")</f>
        <v>#VALUE!</v>
      </c>
      <c r="HT387" t="e">
        <f>AND('STERLING CATALOG - FZN &amp; CHILL'!D3331,"AAAAAH/5i+M=")</f>
        <v>#VALUE!</v>
      </c>
      <c r="HU387" t="e">
        <f>AND('STERLING CATALOG - FZN &amp; CHILL'!E3331,"AAAAAH/5i+Q=")</f>
        <v>#VALUE!</v>
      </c>
      <c r="HV387" t="e">
        <f>AND('STERLING CATALOG - FZN &amp; CHILL'!F3331,"AAAAAH/5i+U=")</f>
        <v>#VALUE!</v>
      </c>
      <c r="HW387" t="e">
        <f>AND('STERLING CATALOG - FZN &amp; CHILL'!G3331,"AAAAAH/5i+Y=")</f>
        <v>#VALUE!</v>
      </c>
      <c r="HX387" t="e">
        <f>AND('STERLING CATALOG - FZN &amp; CHILL'!H3331,"AAAAAH/5i+c=")</f>
        <v>#VALUE!</v>
      </c>
      <c r="HY387" t="e">
        <f>AND('STERLING CATALOG - FZN &amp; CHILL'!I3331,"AAAAAH/5i+g=")</f>
        <v>#VALUE!</v>
      </c>
      <c r="HZ387" t="e">
        <f>AND('STERLING CATALOG - FZN &amp; CHILL'!J3331,"AAAAAH/5i+k=")</f>
        <v>#VALUE!</v>
      </c>
      <c r="IA387">
        <f>IF('STERLING CATALOG - FZN &amp; CHILL'!3332:3332,"AAAAAH/5i+o=",0)</f>
        <v>0</v>
      </c>
      <c r="IB387" t="e">
        <f>AND('STERLING CATALOG - FZN &amp; CHILL'!A3332,"AAAAAH/5i+s=")</f>
        <v>#VALUE!</v>
      </c>
      <c r="IC387" t="e">
        <f>AND('STERLING CATALOG - FZN &amp; CHILL'!B3332,"AAAAAH/5i+w=")</f>
        <v>#VALUE!</v>
      </c>
      <c r="ID387" t="e">
        <f>AND('STERLING CATALOG - FZN &amp; CHILL'!C3332,"AAAAAH/5i+0=")</f>
        <v>#VALUE!</v>
      </c>
      <c r="IE387" t="e">
        <f>AND('STERLING CATALOG - FZN &amp; CHILL'!D3332,"AAAAAH/5i+4=")</f>
        <v>#VALUE!</v>
      </c>
      <c r="IF387" t="e">
        <f>AND('STERLING CATALOG - FZN &amp; CHILL'!E3332,"AAAAAH/5i+8=")</f>
        <v>#VALUE!</v>
      </c>
      <c r="IG387" t="e">
        <f>AND('STERLING CATALOG - FZN &amp; CHILL'!F3332,"AAAAAH/5i/A=")</f>
        <v>#VALUE!</v>
      </c>
      <c r="IH387" t="e">
        <f>AND('STERLING CATALOG - FZN &amp; CHILL'!G3332,"AAAAAH/5i/E=")</f>
        <v>#VALUE!</v>
      </c>
      <c r="II387" t="e">
        <f>AND('STERLING CATALOG - FZN &amp; CHILL'!H3332,"AAAAAH/5i/I=")</f>
        <v>#VALUE!</v>
      </c>
      <c r="IJ387" t="e">
        <f>AND('STERLING CATALOG - FZN &amp; CHILL'!I3332,"AAAAAH/5i/M=")</f>
        <v>#VALUE!</v>
      </c>
      <c r="IK387" t="e">
        <f>AND('STERLING CATALOG - FZN &amp; CHILL'!J3332,"AAAAAH/5i/Q=")</f>
        <v>#VALUE!</v>
      </c>
      <c r="IL387">
        <f>IF('STERLING CATALOG - FZN &amp; CHILL'!3333:3333,"AAAAAH/5i/U=",0)</f>
        <v>0</v>
      </c>
      <c r="IM387" t="e">
        <f>AND('STERLING CATALOG - FZN &amp; CHILL'!A3333,"AAAAAH/5i/Y=")</f>
        <v>#VALUE!</v>
      </c>
      <c r="IN387" t="e">
        <f>AND('STERLING CATALOG - FZN &amp; CHILL'!B3333,"AAAAAH/5i/c=")</f>
        <v>#VALUE!</v>
      </c>
      <c r="IO387" t="e">
        <f>AND('STERLING CATALOG - FZN &amp; CHILL'!C3333,"AAAAAH/5i/g=")</f>
        <v>#VALUE!</v>
      </c>
      <c r="IP387" t="e">
        <f>AND('STERLING CATALOG - FZN &amp; CHILL'!D3333,"AAAAAH/5i/k=")</f>
        <v>#VALUE!</v>
      </c>
      <c r="IQ387" t="e">
        <f>AND('STERLING CATALOG - FZN &amp; CHILL'!E3333,"AAAAAH/5i/o=")</f>
        <v>#VALUE!</v>
      </c>
      <c r="IR387" t="e">
        <f>AND('STERLING CATALOG - FZN &amp; CHILL'!F3333,"AAAAAH/5i/s=")</f>
        <v>#VALUE!</v>
      </c>
      <c r="IS387" t="e">
        <f>AND('STERLING CATALOG - FZN &amp; CHILL'!G3333,"AAAAAH/5i/w=")</f>
        <v>#VALUE!</v>
      </c>
      <c r="IT387" t="e">
        <f>AND('STERLING CATALOG - FZN &amp; CHILL'!H3333,"AAAAAH/5i/0=")</f>
        <v>#VALUE!</v>
      </c>
      <c r="IU387" t="e">
        <f>AND('STERLING CATALOG - FZN &amp; CHILL'!I3333,"AAAAAH/5i/4=")</f>
        <v>#VALUE!</v>
      </c>
      <c r="IV387" t="e">
        <f>AND('STERLING CATALOG - FZN &amp; CHILL'!J3333,"AAAAAH/5i/8=")</f>
        <v>#VALUE!</v>
      </c>
    </row>
    <row r="388" spans="1:256">
      <c r="A388" t="str">
        <f>IF('STERLING CATALOG - FZN &amp; CHILL'!3334:3334,"AAAAAHvbdwA=",0)</f>
        <v>AAAAAHvbdwA=</v>
      </c>
      <c r="B388" t="e">
        <f>AND('STERLING CATALOG - FZN &amp; CHILL'!A3334,"AAAAAHvbdwE=")</f>
        <v>#VALUE!</v>
      </c>
      <c r="C388" t="e">
        <f>AND('STERLING CATALOG - FZN &amp; CHILL'!B3334,"AAAAAHvbdwI=")</f>
        <v>#VALUE!</v>
      </c>
      <c r="D388" t="e">
        <f>AND('STERLING CATALOG - FZN &amp; CHILL'!C3334,"AAAAAHvbdwM=")</f>
        <v>#VALUE!</v>
      </c>
      <c r="E388" t="e">
        <f>AND('STERLING CATALOG - FZN &amp; CHILL'!D3334,"AAAAAHvbdwQ=")</f>
        <v>#VALUE!</v>
      </c>
      <c r="F388" t="e">
        <f>AND('STERLING CATALOG - FZN &amp; CHILL'!E3334,"AAAAAHvbdwU=")</f>
        <v>#VALUE!</v>
      </c>
      <c r="G388" t="e">
        <f>AND('STERLING CATALOG - FZN &amp; CHILL'!F3334,"AAAAAHvbdwY=")</f>
        <v>#VALUE!</v>
      </c>
      <c r="H388" t="e">
        <f>AND('STERLING CATALOG - FZN &amp; CHILL'!G3334,"AAAAAHvbdwc=")</f>
        <v>#VALUE!</v>
      </c>
      <c r="I388" t="e">
        <f>AND('STERLING CATALOG - FZN &amp; CHILL'!H3334,"AAAAAHvbdwg=")</f>
        <v>#VALUE!</v>
      </c>
      <c r="J388" t="e">
        <f>AND('STERLING CATALOG - FZN &amp; CHILL'!I3334,"AAAAAHvbdwk=")</f>
        <v>#VALUE!</v>
      </c>
      <c r="K388" t="e">
        <f>AND('STERLING CATALOG - FZN &amp; CHILL'!J3334,"AAAAAHvbdwo=")</f>
        <v>#VALUE!</v>
      </c>
      <c r="L388">
        <f>IF('STERLING CATALOG - FZN &amp; CHILL'!3335:3335,"AAAAAHvbdws=",0)</f>
        <v>0</v>
      </c>
      <c r="M388" t="e">
        <f>AND('STERLING CATALOG - FZN &amp; CHILL'!A3335,"AAAAAHvbdww=")</f>
        <v>#VALUE!</v>
      </c>
      <c r="N388" t="e">
        <f>AND('STERLING CATALOG - FZN &amp; CHILL'!B3335,"AAAAAHvbdw0=")</f>
        <v>#VALUE!</v>
      </c>
      <c r="O388" t="e">
        <f>AND('STERLING CATALOG - FZN &amp; CHILL'!C3335,"AAAAAHvbdw4=")</f>
        <v>#VALUE!</v>
      </c>
      <c r="P388" t="e">
        <f>AND('STERLING CATALOG - FZN &amp; CHILL'!D3335,"AAAAAHvbdw8=")</f>
        <v>#VALUE!</v>
      </c>
      <c r="Q388" t="e">
        <f>AND('STERLING CATALOG - FZN &amp; CHILL'!E3335,"AAAAAHvbdxA=")</f>
        <v>#VALUE!</v>
      </c>
      <c r="R388" t="e">
        <f>AND('STERLING CATALOG - FZN &amp; CHILL'!F3335,"AAAAAHvbdxE=")</f>
        <v>#VALUE!</v>
      </c>
      <c r="S388" t="e">
        <f>AND('STERLING CATALOG - FZN &amp; CHILL'!G3335,"AAAAAHvbdxI=")</f>
        <v>#VALUE!</v>
      </c>
      <c r="T388" t="e">
        <f>AND('STERLING CATALOG - FZN &amp; CHILL'!H3335,"AAAAAHvbdxM=")</f>
        <v>#VALUE!</v>
      </c>
      <c r="U388" t="e">
        <f>AND('STERLING CATALOG - FZN &amp; CHILL'!I3335,"AAAAAHvbdxQ=")</f>
        <v>#VALUE!</v>
      </c>
      <c r="V388" t="e">
        <f>AND('STERLING CATALOG - FZN &amp; CHILL'!J3335,"AAAAAHvbdxU=")</f>
        <v>#VALUE!</v>
      </c>
      <c r="W388">
        <f>IF('STERLING CATALOG - FZN &amp; CHILL'!3336:3336,"AAAAAHvbdxY=",0)</f>
        <v>0</v>
      </c>
      <c r="X388" t="e">
        <f>AND('STERLING CATALOG - FZN &amp; CHILL'!A3336,"AAAAAHvbdxc=")</f>
        <v>#VALUE!</v>
      </c>
      <c r="Y388" t="e">
        <f>AND('STERLING CATALOG - FZN &amp; CHILL'!B3336,"AAAAAHvbdxg=")</f>
        <v>#VALUE!</v>
      </c>
      <c r="Z388" t="e">
        <f>AND('STERLING CATALOG - FZN &amp; CHILL'!C3336,"AAAAAHvbdxk=")</f>
        <v>#VALUE!</v>
      </c>
      <c r="AA388" t="e">
        <f>AND('STERLING CATALOG - FZN &amp; CHILL'!D3336,"AAAAAHvbdxo=")</f>
        <v>#VALUE!</v>
      </c>
      <c r="AB388" t="e">
        <f>AND('STERLING CATALOG - FZN &amp; CHILL'!E3336,"AAAAAHvbdxs=")</f>
        <v>#VALUE!</v>
      </c>
      <c r="AC388" t="e">
        <f>AND('STERLING CATALOG - FZN &amp; CHILL'!F3336,"AAAAAHvbdxw=")</f>
        <v>#VALUE!</v>
      </c>
      <c r="AD388" t="e">
        <f>AND('STERLING CATALOG - FZN &amp; CHILL'!G3336,"AAAAAHvbdx0=")</f>
        <v>#VALUE!</v>
      </c>
      <c r="AE388" t="e">
        <f>AND('STERLING CATALOG - FZN &amp; CHILL'!H3336,"AAAAAHvbdx4=")</f>
        <v>#VALUE!</v>
      </c>
      <c r="AF388" t="e">
        <f>AND('STERLING CATALOG - FZN &amp; CHILL'!I3336,"AAAAAHvbdx8=")</f>
        <v>#VALUE!</v>
      </c>
      <c r="AG388" t="e">
        <f>AND('STERLING CATALOG - FZN &amp; CHILL'!J3336,"AAAAAHvbdyA=")</f>
        <v>#VALUE!</v>
      </c>
      <c r="AH388">
        <f>IF('STERLING CATALOG - FZN &amp; CHILL'!3337:3337,"AAAAAHvbdyE=",0)</f>
        <v>0</v>
      </c>
      <c r="AI388" t="e">
        <f>AND('STERLING CATALOG - FZN &amp; CHILL'!A3337,"AAAAAHvbdyI=")</f>
        <v>#VALUE!</v>
      </c>
      <c r="AJ388" t="e">
        <f>AND('STERLING CATALOG - FZN &amp; CHILL'!B3337,"AAAAAHvbdyM=")</f>
        <v>#VALUE!</v>
      </c>
      <c r="AK388" t="e">
        <f>AND('STERLING CATALOG - FZN &amp; CHILL'!C3337,"AAAAAHvbdyQ=")</f>
        <v>#VALUE!</v>
      </c>
      <c r="AL388" t="e">
        <f>AND('STERLING CATALOG - FZN &amp; CHILL'!D3337,"AAAAAHvbdyU=")</f>
        <v>#VALUE!</v>
      </c>
      <c r="AM388" t="e">
        <f>AND('STERLING CATALOG - FZN &amp; CHILL'!E3337,"AAAAAHvbdyY=")</f>
        <v>#VALUE!</v>
      </c>
      <c r="AN388" t="e">
        <f>AND('STERLING CATALOG - FZN &amp; CHILL'!F3337,"AAAAAHvbdyc=")</f>
        <v>#VALUE!</v>
      </c>
      <c r="AO388" t="e">
        <f>AND('STERLING CATALOG - FZN &amp; CHILL'!G3337,"AAAAAHvbdyg=")</f>
        <v>#VALUE!</v>
      </c>
      <c r="AP388" t="e">
        <f>AND('STERLING CATALOG - FZN &amp; CHILL'!H3337,"AAAAAHvbdyk=")</f>
        <v>#VALUE!</v>
      </c>
      <c r="AQ388" t="e">
        <f>AND('STERLING CATALOG - FZN &amp; CHILL'!I3337,"AAAAAHvbdyo=")</f>
        <v>#VALUE!</v>
      </c>
      <c r="AR388" t="e">
        <f>AND('STERLING CATALOG - FZN &amp; CHILL'!J3337,"AAAAAHvbdys=")</f>
        <v>#VALUE!</v>
      </c>
      <c r="AS388">
        <f>IF('STERLING CATALOG - FZN &amp; CHILL'!3338:3338,"AAAAAHvbdyw=",0)</f>
        <v>0</v>
      </c>
      <c r="AT388" t="e">
        <f>AND('STERLING CATALOG - FZN &amp; CHILL'!A3338,"AAAAAHvbdy0=")</f>
        <v>#VALUE!</v>
      </c>
      <c r="AU388" t="e">
        <f>AND('STERLING CATALOG - FZN &amp; CHILL'!B3338,"AAAAAHvbdy4=")</f>
        <v>#VALUE!</v>
      </c>
      <c r="AV388" t="e">
        <f>AND('STERLING CATALOG - FZN &amp; CHILL'!C3338,"AAAAAHvbdy8=")</f>
        <v>#VALUE!</v>
      </c>
      <c r="AW388" t="e">
        <f>AND('STERLING CATALOG - FZN &amp; CHILL'!D3338,"AAAAAHvbdzA=")</f>
        <v>#VALUE!</v>
      </c>
      <c r="AX388" t="e">
        <f>AND('STERLING CATALOG - FZN &amp; CHILL'!E3338,"AAAAAHvbdzE=")</f>
        <v>#VALUE!</v>
      </c>
      <c r="AY388" t="e">
        <f>AND('STERLING CATALOG - FZN &amp; CHILL'!F3338,"AAAAAHvbdzI=")</f>
        <v>#VALUE!</v>
      </c>
      <c r="AZ388" t="e">
        <f>AND('STERLING CATALOG - FZN &amp; CHILL'!G3338,"AAAAAHvbdzM=")</f>
        <v>#VALUE!</v>
      </c>
      <c r="BA388" t="e">
        <f>AND('STERLING CATALOG - FZN &amp; CHILL'!H3338,"AAAAAHvbdzQ=")</f>
        <v>#VALUE!</v>
      </c>
      <c r="BB388" t="e">
        <f>AND('STERLING CATALOG - FZN &amp; CHILL'!I3338,"AAAAAHvbdzU=")</f>
        <v>#VALUE!</v>
      </c>
      <c r="BC388" t="e">
        <f>AND('STERLING CATALOG - FZN &amp; CHILL'!J3338,"AAAAAHvbdzY=")</f>
        <v>#VALUE!</v>
      </c>
      <c r="BD388">
        <f>IF('STERLING CATALOG - FZN &amp; CHILL'!3339:3339,"AAAAAHvbdzc=",0)</f>
        <v>0</v>
      </c>
      <c r="BE388" t="e">
        <f>AND('STERLING CATALOG - FZN &amp; CHILL'!A3339,"AAAAAHvbdzg=")</f>
        <v>#VALUE!</v>
      </c>
      <c r="BF388" t="e">
        <f>AND('STERLING CATALOG - FZN &amp; CHILL'!B3339,"AAAAAHvbdzk=")</f>
        <v>#VALUE!</v>
      </c>
      <c r="BG388" t="e">
        <f>AND('STERLING CATALOG - FZN &amp; CHILL'!C3339,"AAAAAHvbdzo=")</f>
        <v>#VALUE!</v>
      </c>
      <c r="BH388" t="e">
        <f>AND('STERLING CATALOG - FZN &amp; CHILL'!D3339,"AAAAAHvbdzs=")</f>
        <v>#VALUE!</v>
      </c>
      <c r="BI388" t="e">
        <f>AND('STERLING CATALOG - FZN &amp; CHILL'!E3339,"AAAAAHvbdzw=")</f>
        <v>#VALUE!</v>
      </c>
      <c r="BJ388" t="e">
        <f>AND('STERLING CATALOG - FZN &amp; CHILL'!F3339,"AAAAAHvbdz0=")</f>
        <v>#VALUE!</v>
      </c>
      <c r="BK388" t="e">
        <f>AND('STERLING CATALOG - FZN &amp; CHILL'!G3339,"AAAAAHvbdz4=")</f>
        <v>#VALUE!</v>
      </c>
      <c r="BL388" t="e">
        <f>AND('STERLING CATALOG - FZN &amp; CHILL'!H3339,"AAAAAHvbdz8=")</f>
        <v>#VALUE!</v>
      </c>
      <c r="BM388" t="e">
        <f>AND('STERLING CATALOG - FZN &amp; CHILL'!I3339,"AAAAAHvbd0A=")</f>
        <v>#VALUE!</v>
      </c>
      <c r="BN388" t="e">
        <f>AND('STERLING CATALOG - FZN &amp; CHILL'!J3339,"AAAAAHvbd0E=")</f>
        <v>#VALUE!</v>
      </c>
      <c r="BO388">
        <f>IF('STERLING CATALOG - FZN &amp; CHILL'!3340:3340,"AAAAAHvbd0I=",0)</f>
        <v>0</v>
      </c>
      <c r="BP388" t="e">
        <f>AND('STERLING CATALOG - FZN &amp; CHILL'!A3340,"AAAAAHvbd0M=")</f>
        <v>#VALUE!</v>
      </c>
      <c r="BQ388" t="e">
        <f>AND('STERLING CATALOG - FZN &amp; CHILL'!B3340,"AAAAAHvbd0Q=")</f>
        <v>#VALUE!</v>
      </c>
      <c r="BR388" t="e">
        <f>AND('STERLING CATALOG - FZN &amp; CHILL'!C3340,"AAAAAHvbd0U=")</f>
        <v>#VALUE!</v>
      </c>
      <c r="BS388" t="e">
        <f>AND('STERLING CATALOG - FZN &amp; CHILL'!D3340,"AAAAAHvbd0Y=")</f>
        <v>#VALUE!</v>
      </c>
      <c r="BT388" t="e">
        <f>AND('STERLING CATALOG - FZN &amp; CHILL'!E3340,"AAAAAHvbd0c=")</f>
        <v>#VALUE!</v>
      </c>
      <c r="BU388" t="e">
        <f>AND('STERLING CATALOG - FZN &amp; CHILL'!F3340,"AAAAAHvbd0g=")</f>
        <v>#VALUE!</v>
      </c>
      <c r="BV388" t="e">
        <f>AND('STERLING CATALOG - FZN &amp; CHILL'!G3340,"AAAAAHvbd0k=")</f>
        <v>#VALUE!</v>
      </c>
      <c r="BW388" t="e">
        <f>AND('STERLING CATALOG - FZN &amp; CHILL'!H3340,"AAAAAHvbd0o=")</f>
        <v>#VALUE!</v>
      </c>
      <c r="BX388" t="e">
        <f>AND('STERLING CATALOG - FZN &amp; CHILL'!I3340,"AAAAAHvbd0s=")</f>
        <v>#VALUE!</v>
      </c>
      <c r="BY388" t="e">
        <f>AND('STERLING CATALOG - FZN &amp; CHILL'!J3340,"AAAAAHvbd0w=")</f>
        <v>#VALUE!</v>
      </c>
      <c r="BZ388">
        <f>IF('STERLING CATALOG - FZN &amp; CHILL'!3341:3341,"AAAAAHvbd00=",0)</f>
        <v>0</v>
      </c>
      <c r="CA388" t="e">
        <f>AND('STERLING CATALOG - FZN &amp; CHILL'!A3341,"AAAAAHvbd04=")</f>
        <v>#VALUE!</v>
      </c>
      <c r="CB388" t="e">
        <f>AND('STERLING CATALOG - FZN &amp; CHILL'!B3341,"AAAAAHvbd08=")</f>
        <v>#VALUE!</v>
      </c>
      <c r="CC388" t="e">
        <f>AND('STERLING CATALOG - FZN &amp; CHILL'!C3341,"AAAAAHvbd1A=")</f>
        <v>#VALUE!</v>
      </c>
      <c r="CD388" t="e">
        <f>AND('STERLING CATALOG - FZN &amp; CHILL'!D3341,"AAAAAHvbd1E=")</f>
        <v>#VALUE!</v>
      </c>
      <c r="CE388" t="e">
        <f>AND('STERLING CATALOG - FZN &amp; CHILL'!E3341,"AAAAAHvbd1I=")</f>
        <v>#VALUE!</v>
      </c>
      <c r="CF388" t="e">
        <f>AND('STERLING CATALOG - FZN &amp; CHILL'!F3341,"AAAAAHvbd1M=")</f>
        <v>#VALUE!</v>
      </c>
      <c r="CG388" t="e">
        <f>AND('STERLING CATALOG - FZN &amp; CHILL'!G3341,"AAAAAHvbd1Q=")</f>
        <v>#VALUE!</v>
      </c>
      <c r="CH388" t="e">
        <f>AND('STERLING CATALOG - FZN &amp; CHILL'!H3341,"AAAAAHvbd1U=")</f>
        <v>#VALUE!</v>
      </c>
      <c r="CI388" t="e">
        <f>AND('STERLING CATALOG - FZN &amp; CHILL'!I3341,"AAAAAHvbd1Y=")</f>
        <v>#VALUE!</v>
      </c>
      <c r="CJ388" t="e">
        <f>AND('STERLING CATALOG - FZN &amp; CHILL'!J3341,"AAAAAHvbd1c=")</f>
        <v>#VALUE!</v>
      </c>
      <c r="CK388">
        <f>IF('STERLING CATALOG - FZN &amp; CHILL'!3342:3342,"AAAAAHvbd1g=",0)</f>
        <v>0</v>
      </c>
      <c r="CL388" t="e">
        <f>AND('STERLING CATALOG - FZN &amp; CHILL'!A3342,"AAAAAHvbd1k=")</f>
        <v>#VALUE!</v>
      </c>
      <c r="CM388" t="e">
        <f>AND('STERLING CATALOG - FZN &amp; CHILL'!B3342,"AAAAAHvbd1o=")</f>
        <v>#VALUE!</v>
      </c>
      <c r="CN388" t="e">
        <f>AND('STERLING CATALOG - FZN &amp; CHILL'!C3342,"AAAAAHvbd1s=")</f>
        <v>#VALUE!</v>
      </c>
      <c r="CO388" t="e">
        <f>AND('STERLING CATALOG - FZN &amp; CHILL'!D3342,"AAAAAHvbd1w=")</f>
        <v>#VALUE!</v>
      </c>
      <c r="CP388" t="e">
        <f>AND('STERLING CATALOG - FZN &amp; CHILL'!E3342,"AAAAAHvbd10=")</f>
        <v>#VALUE!</v>
      </c>
      <c r="CQ388" t="e">
        <f>AND('STERLING CATALOG - FZN &amp; CHILL'!F3342,"AAAAAHvbd14=")</f>
        <v>#VALUE!</v>
      </c>
      <c r="CR388" t="e">
        <f>AND('STERLING CATALOG - FZN &amp; CHILL'!G3342,"AAAAAHvbd18=")</f>
        <v>#VALUE!</v>
      </c>
      <c r="CS388" t="e">
        <f>AND('STERLING CATALOG - FZN &amp; CHILL'!H3342,"AAAAAHvbd2A=")</f>
        <v>#VALUE!</v>
      </c>
      <c r="CT388" t="e">
        <f>AND('STERLING CATALOG - FZN &amp; CHILL'!I3342,"AAAAAHvbd2E=")</f>
        <v>#VALUE!</v>
      </c>
      <c r="CU388" t="e">
        <f>AND('STERLING CATALOG - FZN &amp; CHILL'!J3342,"AAAAAHvbd2I=")</f>
        <v>#VALUE!</v>
      </c>
      <c r="CV388">
        <f>IF('STERLING CATALOG - FZN &amp; CHILL'!3343:3343,"AAAAAHvbd2M=",0)</f>
        <v>0</v>
      </c>
      <c r="CW388" t="e">
        <f>AND('STERLING CATALOG - FZN &amp; CHILL'!A3343,"AAAAAHvbd2Q=")</f>
        <v>#VALUE!</v>
      </c>
      <c r="CX388" t="e">
        <f>AND('STERLING CATALOG - FZN &amp; CHILL'!B3343,"AAAAAHvbd2U=")</f>
        <v>#VALUE!</v>
      </c>
      <c r="CY388" t="e">
        <f>AND('STERLING CATALOG - FZN &amp; CHILL'!C3343,"AAAAAHvbd2Y=")</f>
        <v>#VALUE!</v>
      </c>
      <c r="CZ388" t="e">
        <f>AND('STERLING CATALOG - FZN &amp; CHILL'!D3343,"AAAAAHvbd2c=")</f>
        <v>#VALUE!</v>
      </c>
      <c r="DA388" t="e">
        <f>AND('STERLING CATALOG - FZN &amp; CHILL'!E3343,"AAAAAHvbd2g=")</f>
        <v>#VALUE!</v>
      </c>
      <c r="DB388" t="e">
        <f>AND('STERLING CATALOG - FZN &amp; CHILL'!F3343,"AAAAAHvbd2k=")</f>
        <v>#VALUE!</v>
      </c>
      <c r="DC388" t="e">
        <f>AND('STERLING CATALOG - FZN &amp; CHILL'!G3343,"AAAAAHvbd2o=")</f>
        <v>#VALUE!</v>
      </c>
      <c r="DD388" t="e">
        <f>AND('STERLING CATALOG - FZN &amp; CHILL'!H3343,"AAAAAHvbd2s=")</f>
        <v>#VALUE!</v>
      </c>
      <c r="DE388" t="e">
        <f>AND('STERLING CATALOG - FZN &amp; CHILL'!I3343,"AAAAAHvbd2w=")</f>
        <v>#VALUE!</v>
      </c>
      <c r="DF388" t="e">
        <f>AND('STERLING CATALOG - FZN &amp; CHILL'!J3343,"AAAAAHvbd20=")</f>
        <v>#VALUE!</v>
      </c>
      <c r="DG388">
        <f>IF('STERLING CATALOG - FZN &amp; CHILL'!3344:3344,"AAAAAHvbd24=",0)</f>
        <v>0</v>
      </c>
      <c r="DH388" t="e">
        <f>AND('STERLING CATALOG - FZN &amp; CHILL'!A3344,"AAAAAHvbd28=")</f>
        <v>#VALUE!</v>
      </c>
      <c r="DI388" t="e">
        <f>AND('STERLING CATALOG - FZN &amp; CHILL'!B3344,"AAAAAHvbd3A=")</f>
        <v>#VALUE!</v>
      </c>
      <c r="DJ388" t="e">
        <f>AND('STERLING CATALOG - FZN &amp; CHILL'!C3344,"AAAAAHvbd3E=")</f>
        <v>#VALUE!</v>
      </c>
      <c r="DK388" t="e">
        <f>AND('STERLING CATALOG - FZN &amp; CHILL'!D3344,"AAAAAHvbd3I=")</f>
        <v>#VALUE!</v>
      </c>
      <c r="DL388" t="e">
        <f>AND('STERLING CATALOG - FZN &amp; CHILL'!E3344,"AAAAAHvbd3M=")</f>
        <v>#VALUE!</v>
      </c>
      <c r="DM388" t="e">
        <f>AND('STERLING CATALOG - FZN &amp; CHILL'!F3344,"AAAAAHvbd3Q=")</f>
        <v>#VALUE!</v>
      </c>
      <c r="DN388" t="e">
        <f>AND('STERLING CATALOG - FZN &amp; CHILL'!G3344,"AAAAAHvbd3U=")</f>
        <v>#VALUE!</v>
      </c>
      <c r="DO388" t="e">
        <f>AND('STERLING CATALOG - FZN &amp; CHILL'!H3344,"AAAAAHvbd3Y=")</f>
        <v>#VALUE!</v>
      </c>
      <c r="DP388" t="e">
        <f>AND('STERLING CATALOG - FZN &amp; CHILL'!I3344,"AAAAAHvbd3c=")</f>
        <v>#VALUE!</v>
      </c>
      <c r="DQ388" t="e">
        <f>AND('STERLING CATALOG - FZN &amp; CHILL'!J3344,"AAAAAHvbd3g=")</f>
        <v>#VALUE!</v>
      </c>
      <c r="DR388">
        <f>IF('STERLING CATALOG - FZN &amp; CHILL'!3345:3345,"AAAAAHvbd3k=",0)</f>
        <v>0</v>
      </c>
      <c r="DS388" t="e">
        <f>AND('STERLING CATALOG - FZN &amp; CHILL'!A3345,"AAAAAHvbd3o=")</f>
        <v>#VALUE!</v>
      </c>
      <c r="DT388" t="e">
        <f>AND('STERLING CATALOG - FZN &amp; CHILL'!B3345,"AAAAAHvbd3s=")</f>
        <v>#VALUE!</v>
      </c>
      <c r="DU388" t="e">
        <f>AND('STERLING CATALOG - FZN &amp; CHILL'!C3345,"AAAAAHvbd3w=")</f>
        <v>#VALUE!</v>
      </c>
      <c r="DV388" t="e">
        <f>AND('STERLING CATALOG - FZN &amp; CHILL'!D3345,"AAAAAHvbd30=")</f>
        <v>#VALUE!</v>
      </c>
      <c r="DW388" t="e">
        <f>AND('STERLING CATALOG - FZN &amp; CHILL'!E3345,"AAAAAHvbd34=")</f>
        <v>#VALUE!</v>
      </c>
      <c r="DX388" t="e">
        <f>AND('STERLING CATALOG - FZN &amp; CHILL'!F3345,"AAAAAHvbd38=")</f>
        <v>#VALUE!</v>
      </c>
      <c r="DY388" t="e">
        <f>AND('STERLING CATALOG - FZN &amp; CHILL'!G3345,"AAAAAHvbd4A=")</f>
        <v>#VALUE!</v>
      </c>
      <c r="DZ388" t="e">
        <f>AND('STERLING CATALOG - FZN &amp; CHILL'!H3345,"AAAAAHvbd4E=")</f>
        <v>#VALUE!</v>
      </c>
      <c r="EA388" t="e">
        <f>AND('STERLING CATALOG - FZN &amp; CHILL'!I3345,"AAAAAHvbd4I=")</f>
        <v>#VALUE!</v>
      </c>
      <c r="EB388" t="e">
        <f>AND('STERLING CATALOG - FZN &amp; CHILL'!J3345,"AAAAAHvbd4M=")</f>
        <v>#VALUE!</v>
      </c>
      <c r="EC388">
        <f>IF('STERLING CATALOG - FZN &amp; CHILL'!3346:3346,"AAAAAHvbd4Q=",0)</f>
        <v>0</v>
      </c>
      <c r="ED388" t="e">
        <f>AND('STERLING CATALOG - FZN &amp; CHILL'!A3346,"AAAAAHvbd4U=")</f>
        <v>#VALUE!</v>
      </c>
      <c r="EE388" t="e">
        <f>AND('STERLING CATALOG - FZN &amp; CHILL'!B3346,"AAAAAHvbd4Y=")</f>
        <v>#VALUE!</v>
      </c>
      <c r="EF388" t="e">
        <f>AND('STERLING CATALOG - FZN &amp; CHILL'!C3346,"AAAAAHvbd4c=")</f>
        <v>#VALUE!</v>
      </c>
      <c r="EG388" t="e">
        <f>AND('STERLING CATALOG - FZN &amp; CHILL'!D3346,"AAAAAHvbd4g=")</f>
        <v>#VALUE!</v>
      </c>
      <c r="EH388" t="e">
        <f>AND('STERLING CATALOG - FZN &amp; CHILL'!E3346,"AAAAAHvbd4k=")</f>
        <v>#VALUE!</v>
      </c>
      <c r="EI388" t="e">
        <f>AND('STERLING CATALOG - FZN &amp; CHILL'!F3346,"AAAAAHvbd4o=")</f>
        <v>#VALUE!</v>
      </c>
      <c r="EJ388" t="e">
        <f>AND('STERLING CATALOG - FZN &amp; CHILL'!G3346,"AAAAAHvbd4s=")</f>
        <v>#VALUE!</v>
      </c>
      <c r="EK388" t="e">
        <f>AND('STERLING CATALOG - FZN &amp; CHILL'!H3346,"AAAAAHvbd4w=")</f>
        <v>#VALUE!</v>
      </c>
      <c r="EL388" t="e">
        <f>AND('STERLING CATALOG - FZN &amp; CHILL'!I3346,"AAAAAHvbd40=")</f>
        <v>#VALUE!</v>
      </c>
      <c r="EM388" t="e">
        <f>AND('STERLING CATALOG - FZN &amp; CHILL'!J3346,"AAAAAHvbd44=")</f>
        <v>#VALUE!</v>
      </c>
      <c r="EN388">
        <f>IF('STERLING CATALOG - FZN &amp; CHILL'!3347:3347,"AAAAAHvbd48=",0)</f>
        <v>0</v>
      </c>
      <c r="EO388" t="e">
        <f>AND('STERLING CATALOG - FZN &amp; CHILL'!A3347,"AAAAAHvbd5A=")</f>
        <v>#VALUE!</v>
      </c>
      <c r="EP388" t="e">
        <f>AND('STERLING CATALOG - FZN &amp; CHILL'!B3347,"AAAAAHvbd5E=")</f>
        <v>#VALUE!</v>
      </c>
      <c r="EQ388" t="e">
        <f>AND('STERLING CATALOG - FZN &amp; CHILL'!C3347,"AAAAAHvbd5I=")</f>
        <v>#VALUE!</v>
      </c>
      <c r="ER388" t="e">
        <f>AND('STERLING CATALOG - FZN &amp; CHILL'!D3347,"AAAAAHvbd5M=")</f>
        <v>#VALUE!</v>
      </c>
      <c r="ES388" t="e">
        <f>AND('STERLING CATALOG - FZN &amp; CHILL'!E3347,"AAAAAHvbd5Q=")</f>
        <v>#VALUE!</v>
      </c>
      <c r="ET388" t="e">
        <f>AND('STERLING CATALOG - FZN &amp; CHILL'!F3347,"AAAAAHvbd5U=")</f>
        <v>#VALUE!</v>
      </c>
      <c r="EU388" t="e">
        <f>AND('STERLING CATALOG - FZN &amp; CHILL'!G3347,"AAAAAHvbd5Y=")</f>
        <v>#VALUE!</v>
      </c>
      <c r="EV388" t="e">
        <f>AND('STERLING CATALOG - FZN &amp; CHILL'!H3347,"AAAAAHvbd5c=")</f>
        <v>#VALUE!</v>
      </c>
      <c r="EW388" t="e">
        <f>AND('STERLING CATALOG - FZN &amp; CHILL'!I3347,"AAAAAHvbd5g=")</f>
        <v>#VALUE!</v>
      </c>
      <c r="EX388" t="e">
        <f>AND('STERLING CATALOG - FZN &amp; CHILL'!J3347,"AAAAAHvbd5k=")</f>
        <v>#VALUE!</v>
      </c>
      <c r="EY388">
        <f>IF('STERLING CATALOG - FZN &amp; CHILL'!3348:3348,"AAAAAHvbd5o=",0)</f>
        <v>0</v>
      </c>
      <c r="EZ388" t="e">
        <f>AND('STERLING CATALOG - FZN &amp; CHILL'!A3348,"AAAAAHvbd5s=")</f>
        <v>#VALUE!</v>
      </c>
      <c r="FA388" t="e">
        <f>AND('STERLING CATALOG - FZN &amp; CHILL'!B3348,"AAAAAHvbd5w=")</f>
        <v>#VALUE!</v>
      </c>
      <c r="FB388" t="e">
        <f>AND('STERLING CATALOG - FZN &amp; CHILL'!C3348,"AAAAAHvbd50=")</f>
        <v>#VALUE!</v>
      </c>
      <c r="FC388" t="e">
        <f>AND('STERLING CATALOG - FZN &amp; CHILL'!D3348,"AAAAAHvbd54=")</f>
        <v>#VALUE!</v>
      </c>
      <c r="FD388" t="e">
        <f>AND('STERLING CATALOG - FZN &amp; CHILL'!E3348,"AAAAAHvbd58=")</f>
        <v>#VALUE!</v>
      </c>
      <c r="FE388" t="e">
        <f>AND('STERLING CATALOG - FZN &amp; CHILL'!F3348,"AAAAAHvbd6A=")</f>
        <v>#VALUE!</v>
      </c>
      <c r="FF388" t="e">
        <f>AND('STERLING CATALOG - FZN &amp; CHILL'!G3348,"AAAAAHvbd6E=")</f>
        <v>#VALUE!</v>
      </c>
      <c r="FG388" t="e">
        <f>AND('STERLING CATALOG - FZN &amp; CHILL'!H3348,"AAAAAHvbd6I=")</f>
        <v>#VALUE!</v>
      </c>
      <c r="FH388" t="e">
        <f>AND('STERLING CATALOG - FZN &amp; CHILL'!I3348,"AAAAAHvbd6M=")</f>
        <v>#VALUE!</v>
      </c>
      <c r="FI388" t="e">
        <f>AND('STERLING CATALOG - FZN &amp; CHILL'!J3348,"AAAAAHvbd6Q=")</f>
        <v>#VALUE!</v>
      </c>
      <c r="FJ388">
        <f>IF('STERLING CATALOG - FZN &amp; CHILL'!3349:3349,"AAAAAHvbd6U=",0)</f>
        <v>0</v>
      </c>
      <c r="FK388" t="e">
        <f>AND('STERLING CATALOG - FZN &amp; CHILL'!A3349,"AAAAAHvbd6Y=")</f>
        <v>#VALUE!</v>
      </c>
      <c r="FL388" t="e">
        <f>AND('STERLING CATALOG - FZN &amp; CHILL'!B3349,"AAAAAHvbd6c=")</f>
        <v>#VALUE!</v>
      </c>
      <c r="FM388" t="e">
        <f>AND('STERLING CATALOG - FZN &amp; CHILL'!C3349,"AAAAAHvbd6g=")</f>
        <v>#VALUE!</v>
      </c>
      <c r="FN388" t="e">
        <f>AND('STERLING CATALOG - FZN &amp; CHILL'!D3349,"AAAAAHvbd6k=")</f>
        <v>#VALUE!</v>
      </c>
      <c r="FO388" t="e">
        <f>AND('STERLING CATALOG - FZN &amp; CHILL'!E3349,"AAAAAHvbd6o=")</f>
        <v>#VALUE!</v>
      </c>
      <c r="FP388" t="e">
        <f>AND('STERLING CATALOG - FZN &amp; CHILL'!F3349,"AAAAAHvbd6s=")</f>
        <v>#VALUE!</v>
      </c>
      <c r="FQ388" t="e">
        <f>AND('STERLING CATALOG - FZN &amp; CHILL'!G3349,"AAAAAHvbd6w=")</f>
        <v>#VALUE!</v>
      </c>
      <c r="FR388" t="e">
        <f>AND('STERLING CATALOG - FZN &amp; CHILL'!H3349,"AAAAAHvbd60=")</f>
        <v>#VALUE!</v>
      </c>
      <c r="FS388" t="e">
        <f>AND('STERLING CATALOG - FZN &amp; CHILL'!I3349,"AAAAAHvbd64=")</f>
        <v>#VALUE!</v>
      </c>
      <c r="FT388" t="e">
        <f>AND('STERLING CATALOG - FZN &amp; CHILL'!J3349,"AAAAAHvbd68=")</f>
        <v>#VALUE!</v>
      </c>
      <c r="FU388">
        <f>IF('STERLING CATALOG - FZN &amp; CHILL'!3350:3350,"AAAAAHvbd7A=",0)</f>
        <v>0</v>
      </c>
      <c r="FV388" t="e">
        <f>AND('STERLING CATALOG - FZN &amp; CHILL'!A3350,"AAAAAHvbd7E=")</f>
        <v>#VALUE!</v>
      </c>
      <c r="FW388" t="e">
        <f>AND('STERLING CATALOG - FZN &amp; CHILL'!B3350,"AAAAAHvbd7I=")</f>
        <v>#VALUE!</v>
      </c>
      <c r="FX388" t="e">
        <f>AND('STERLING CATALOG - FZN &amp; CHILL'!C3350,"AAAAAHvbd7M=")</f>
        <v>#VALUE!</v>
      </c>
      <c r="FY388" t="e">
        <f>AND('STERLING CATALOG - FZN &amp; CHILL'!D3350,"AAAAAHvbd7Q=")</f>
        <v>#VALUE!</v>
      </c>
      <c r="FZ388" t="e">
        <f>AND('STERLING CATALOG - FZN &amp; CHILL'!E3350,"AAAAAHvbd7U=")</f>
        <v>#VALUE!</v>
      </c>
      <c r="GA388" t="e">
        <f>AND('STERLING CATALOG - FZN &amp; CHILL'!F3350,"AAAAAHvbd7Y=")</f>
        <v>#VALUE!</v>
      </c>
      <c r="GB388" t="e">
        <f>AND('STERLING CATALOG - FZN &amp; CHILL'!G3350,"AAAAAHvbd7c=")</f>
        <v>#VALUE!</v>
      </c>
      <c r="GC388" t="e">
        <f>AND('STERLING CATALOG - FZN &amp; CHILL'!H3350,"AAAAAHvbd7g=")</f>
        <v>#VALUE!</v>
      </c>
      <c r="GD388" t="e">
        <f>AND('STERLING CATALOG - FZN &amp; CHILL'!I3350,"AAAAAHvbd7k=")</f>
        <v>#VALUE!</v>
      </c>
      <c r="GE388" t="e">
        <f>AND('STERLING CATALOG - FZN &amp; CHILL'!J3350,"AAAAAHvbd7o=")</f>
        <v>#VALUE!</v>
      </c>
      <c r="GF388">
        <f>IF('STERLING CATALOG - FZN &amp; CHILL'!3351:3351,"AAAAAHvbd7s=",0)</f>
        <v>0</v>
      </c>
      <c r="GG388" t="e">
        <f>AND('STERLING CATALOG - FZN &amp; CHILL'!A3351,"AAAAAHvbd7w=")</f>
        <v>#VALUE!</v>
      </c>
      <c r="GH388" t="e">
        <f>AND('STERLING CATALOG - FZN &amp; CHILL'!B3351,"AAAAAHvbd70=")</f>
        <v>#VALUE!</v>
      </c>
      <c r="GI388" t="e">
        <f>AND('STERLING CATALOG - FZN &amp; CHILL'!C3351,"AAAAAHvbd74=")</f>
        <v>#VALUE!</v>
      </c>
      <c r="GJ388" t="e">
        <f>AND('STERLING CATALOG - FZN &amp; CHILL'!D3351,"AAAAAHvbd78=")</f>
        <v>#VALUE!</v>
      </c>
      <c r="GK388" t="e">
        <f>AND('STERLING CATALOG - FZN &amp; CHILL'!E3351,"AAAAAHvbd8A=")</f>
        <v>#VALUE!</v>
      </c>
      <c r="GL388" t="e">
        <f>AND('STERLING CATALOG - FZN &amp; CHILL'!F3351,"AAAAAHvbd8E=")</f>
        <v>#VALUE!</v>
      </c>
      <c r="GM388" t="e">
        <f>AND('STERLING CATALOG - FZN &amp; CHILL'!G3351,"AAAAAHvbd8I=")</f>
        <v>#VALUE!</v>
      </c>
      <c r="GN388" t="e">
        <f>AND('STERLING CATALOG - FZN &amp; CHILL'!H3351,"AAAAAHvbd8M=")</f>
        <v>#VALUE!</v>
      </c>
      <c r="GO388" t="e">
        <f>AND('STERLING CATALOG - FZN &amp; CHILL'!I3351,"AAAAAHvbd8Q=")</f>
        <v>#VALUE!</v>
      </c>
      <c r="GP388" t="e">
        <f>AND('STERLING CATALOG - FZN &amp; CHILL'!J3351,"AAAAAHvbd8U=")</f>
        <v>#VALUE!</v>
      </c>
      <c r="GQ388">
        <f>IF('STERLING CATALOG - FZN &amp; CHILL'!3352:3352,"AAAAAHvbd8Y=",0)</f>
        <v>0</v>
      </c>
      <c r="GR388" t="e">
        <f>AND('STERLING CATALOG - FZN &amp; CHILL'!A3352,"AAAAAHvbd8c=")</f>
        <v>#VALUE!</v>
      </c>
      <c r="GS388" t="e">
        <f>AND('STERLING CATALOG - FZN &amp; CHILL'!B3352,"AAAAAHvbd8g=")</f>
        <v>#VALUE!</v>
      </c>
      <c r="GT388" t="e">
        <f>AND('STERLING CATALOG - FZN &amp; CHILL'!C3352,"AAAAAHvbd8k=")</f>
        <v>#VALUE!</v>
      </c>
      <c r="GU388" t="e">
        <f>AND('STERLING CATALOG - FZN &amp; CHILL'!D3352,"AAAAAHvbd8o=")</f>
        <v>#VALUE!</v>
      </c>
      <c r="GV388" t="e">
        <f>AND('STERLING CATALOG - FZN &amp; CHILL'!E3352,"AAAAAHvbd8s=")</f>
        <v>#VALUE!</v>
      </c>
      <c r="GW388" t="e">
        <f>AND('STERLING CATALOG - FZN &amp; CHILL'!F3352,"AAAAAHvbd8w=")</f>
        <v>#VALUE!</v>
      </c>
      <c r="GX388" t="e">
        <f>AND('STERLING CATALOG - FZN &amp; CHILL'!G3352,"AAAAAHvbd80=")</f>
        <v>#VALUE!</v>
      </c>
      <c r="GY388" t="e">
        <f>AND('STERLING CATALOG - FZN &amp; CHILL'!H3352,"AAAAAHvbd84=")</f>
        <v>#VALUE!</v>
      </c>
      <c r="GZ388" t="e">
        <f>AND('STERLING CATALOG - FZN &amp; CHILL'!I3352,"AAAAAHvbd88=")</f>
        <v>#VALUE!</v>
      </c>
      <c r="HA388" t="e">
        <f>AND('STERLING CATALOG - FZN &amp; CHILL'!J3352,"AAAAAHvbd9A=")</f>
        <v>#VALUE!</v>
      </c>
      <c r="HB388">
        <f>IF('STERLING CATALOG - FZN &amp; CHILL'!3353:3353,"AAAAAHvbd9E=",0)</f>
        <v>0</v>
      </c>
      <c r="HC388" t="e">
        <f>AND('STERLING CATALOG - FZN &amp; CHILL'!A3353,"AAAAAHvbd9I=")</f>
        <v>#VALUE!</v>
      </c>
      <c r="HD388" t="e">
        <f>AND('STERLING CATALOG - FZN &amp; CHILL'!B3353,"AAAAAHvbd9M=")</f>
        <v>#VALUE!</v>
      </c>
      <c r="HE388" t="e">
        <f>AND('STERLING CATALOG - FZN &amp; CHILL'!C3353,"AAAAAHvbd9Q=")</f>
        <v>#VALUE!</v>
      </c>
      <c r="HF388" t="e">
        <f>AND('STERLING CATALOG - FZN &amp; CHILL'!D3353,"AAAAAHvbd9U=")</f>
        <v>#VALUE!</v>
      </c>
      <c r="HG388" t="e">
        <f>AND('STERLING CATALOG - FZN &amp; CHILL'!E3353,"AAAAAHvbd9Y=")</f>
        <v>#VALUE!</v>
      </c>
      <c r="HH388" t="e">
        <f>AND('STERLING CATALOG - FZN &amp; CHILL'!F3353,"AAAAAHvbd9c=")</f>
        <v>#VALUE!</v>
      </c>
      <c r="HI388" t="e">
        <f>AND('STERLING CATALOG - FZN &amp; CHILL'!G3353,"AAAAAHvbd9g=")</f>
        <v>#VALUE!</v>
      </c>
      <c r="HJ388" t="e">
        <f>AND('STERLING CATALOG - FZN &amp; CHILL'!H3353,"AAAAAHvbd9k=")</f>
        <v>#VALUE!</v>
      </c>
      <c r="HK388" t="e">
        <f>AND('STERLING CATALOG - FZN &amp; CHILL'!I3353,"AAAAAHvbd9o=")</f>
        <v>#VALUE!</v>
      </c>
      <c r="HL388" t="e">
        <f>AND('STERLING CATALOG - FZN &amp; CHILL'!J3353,"AAAAAHvbd9s=")</f>
        <v>#VALUE!</v>
      </c>
      <c r="HM388">
        <f>IF('STERLING CATALOG - FZN &amp; CHILL'!3354:3354,"AAAAAHvbd9w=",0)</f>
        <v>0</v>
      </c>
      <c r="HN388" t="e">
        <f>AND('STERLING CATALOG - FZN &amp; CHILL'!A3354,"AAAAAHvbd90=")</f>
        <v>#VALUE!</v>
      </c>
      <c r="HO388" t="e">
        <f>AND('STERLING CATALOG - FZN &amp; CHILL'!B3354,"AAAAAHvbd94=")</f>
        <v>#VALUE!</v>
      </c>
      <c r="HP388" t="e">
        <f>AND('STERLING CATALOG - FZN &amp; CHILL'!C3354,"AAAAAHvbd98=")</f>
        <v>#VALUE!</v>
      </c>
      <c r="HQ388" t="e">
        <f>AND('STERLING CATALOG - FZN &amp; CHILL'!D3354,"AAAAAHvbd+A=")</f>
        <v>#VALUE!</v>
      </c>
      <c r="HR388" t="e">
        <f>AND('STERLING CATALOG - FZN &amp; CHILL'!E3354,"AAAAAHvbd+E=")</f>
        <v>#VALUE!</v>
      </c>
      <c r="HS388" t="e">
        <f>AND('STERLING CATALOG - FZN &amp; CHILL'!F3354,"AAAAAHvbd+I=")</f>
        <v>#VALUE!</v>
      </c>
      <c r="HT388" t="e">
        <f>AND('STERLING CATALOG - FZN &amp; CHILL'!G3354,"AAAAAHvbd+M=")</f>
        <v>#VALUE!</v>
      </c>
      <c r="HU388" t="e">
        <f>AND('STERLING CATALOG - FZN &amp; CHILL'!H3354,"AAAAAHvbd+Q=")</f>
        <v>#VALUE!</v>
      </c>
      <c r="HV388" t="e">
        <f>AND('STERLING CATALOG - FZN &amp; CHILL'!I3354,"AAAAAHvbd+U=")</f>
        <v>#VALUE!</v>
      </c>
      <c r="HW388" t="e">
        <f>AND('STERLING CATALOG - FZN &amp; CHILL'!J3354,"AAAAAHvbd+Y=")</f>
        <v>#VALUE!</v>
      </c>
      <c r="HX388">
        <f>IF('STERLING CATALOG - FZN &amp; CHILL'!3355:3355,"AAAAAHvbd+c=",0)</f>
        <v>0</v>
      </c>
      <c r="HY388" t="e">
        <f>AND('STERLING CATALOG - FZN &amp; CHILL'!A3355,"AAAAAHvbd+g=")</f>
        <v>#VALUE!</v>
      </c>
      <c r="HZ388" t="e">
        <f>AND('STERLING CATALOG - FZN &amp; CHILL'!B3355,"AAAAAHvbd+k=")</f>
        <v>#VALUE!</v>
      </c>
      <c r="IA388" t="e">
        <f>AND('STERLING CATALOG - FZN &amp; CHILL'!C3355,"AAAAAHvbd+o=")</f>
        <v>#VALUE!</v>
      </c>
      <c r="IB388" t="e">
        <f>AND('STERLING CATALOG - FZN &amp; CHILL'!D3355,"AAAAAHvbd+s=")</f>
        <v>#VALUE!</v>
      </c>
      <c r="IC388" t="e">
        <f>AND('STERLING CATALOG - FZN &amp; CHILL'!E3355,"AAAAAHvbd+w=")</f>
        <v>#VALUE!</v>
      </c>
      <c r="ID388" t="e">
        <f>AND('STERLING CATALOG - FZN &amp; CHILL'!F3355,"AAAAAHvbd+0=")</f>
        <v>#VALUE!</v>
      </c>
      <c r="IE388" t="e">
        <f>AND('STERLING CATALOG - FZN &amp; CHILL'!G3355,"AAAAAHvbd+4=")</f>
        <v>#VALUE!</v>
      </c>
      <c r="IF388" t="e">
        <f>AND('STERLING CATALOG - FZN &amp; CHILL'!H3355,"AAAAAHvbd+8=")</f>
        <v>#VALUE!</v>
      </c>
      <c r="IG388" t="e">
        <f>AND('STERLING CATALOG - FZN &amp; CHILL'!I3355,"AAAAAHvbd/A=")</f>
        <v>#VALUE!</v>
      </c>
      <c r="IH388" t="e">
        <f>AND('STERLING CATALOG - FZN &amp; CHILL'!J3355,"AAAAAHvbd/E=")</f>
        <v>#VALUE!</v>
      </c>
      <c r="II388">
        <f>IF('STERLING CATALOG - FZN &amp; CHILL'!3356:3356,"AAAAAHvbd/I=",0)</f>
        <v>0</v>
      </c>
      <c r="IJ388" t="e">
        <f>AND('STERLING CATALOG - FZN &amp; CHILL'!A3356,"AAAAAHvbd/M=")</f>
        <v>#VALUE!</v>
      </c>
      <c r="IK388" t="e">
        <f>AND('STERLING CATALOG - FZN &amp; CHILL'!B3356,"AAAAAHvbd/Q=")</f>
        <v>#VALUE!</v>
      </c>
      <c r="IL388" t="e">
        <f>AND('STERLING CATALOG - FZN &amp; CHILL'!C3356,"AAAAAHvbd/U=")</f>
        <v>#VALUE!</v>
      </c>
      <c r="IM388" t="e">
        <f>AND('STERLING CATALOG - FZN &amp; CHILL'!D3356,"AAAAAHvbd/Y=")</f>
        <v>#VALUE!</v>
      </c>
      <c r="IN388" t="e">
        <f>AND('STERLING CATALOG - FZN &amp; CHILL'!E3356,"AAAAAHvbd/c=")</f>
        <v>#VALUE!</v>
      </c>
      <c r="IO388" t="e">
        <f>AND('STERLING CATALOG - FZN &amp; CHILL'!F3356,"AAAAAHvbd/g=")</f>
        <v>#VALUE!</v>
      </c>
      <c r="IP388" t="e">
        <f>AND('STERLING CATALOG - FZN &amp; CHILL'!G3356,"AAAAAHvbd/k=")</f>
        <v>#VALUE!</v>
      </c>
      <c r="IQ388" t="e">
        <f>AND('STERLING CATALOG - FZN &amp; CHILL'!H3356,"AAAAAHvbd/o=")</f>
        <v>#VALUE!</v>
      </c>
      <c r="IR388" t="e">
        <f>AND('STERLING CATALOG - FZN &amp; CHILL'!I3356,"AAAAAHvbd/s=")</f>
        <v>#VALUE!</v>
      </c>
      <c r="IS388" t="e">
        <f>AND('STERLING CATALOG - FZN &amp; CHILL'!J3356,"AAAAAHvbd/w=")</f>
        <v>#VALUE!</v>
      </c>
      <c r="IT388">
        <f>IF('STERLING CATALOG - FZN &amp; CHILL'!3357:3357,"AAAAAHvbd/0=",0)</f>
        <v>0</v>
      </c>
      <c r="IU388" t="e">
        <f>AND('STERLING CATALOG - FZN &amp; CHILL'!A3357,"AAAAAHvbd/4=")</f>
        <v>#VALUE!</v>
      </c>
      <c r="IV388" t="e">
        <f>AND('STERLING CATALOG - FZN &amp; CHILL'!B3357,"AAAAAHvbd/8=")</f>
        <v>#VALUE!</v>
      </c>
    </row>
    <row r="389" spans="1:256">
      <c r="A389" t="e">
        <f>AND('STERLING CATALOG - FZN &amp; CHILL'!C3357,"AAAAAD9n3gA=")</f>
        <v>#VALUE!</v>
      </c>
      <c r="B389" t="e">
        <f>AND('STERLING CATALOG - FZN &amp; CHILL'!D3357,"AAAAAD9n3gE=")</f>
        <v>#VALUE!</v>
      </c>
      <c r="C389" t="e">
        <f>AND('STERLING CATALOG - FZN &amp; CHILL'!E3357,"AAAAAD9n3gI=")</f>
        <v>#VALUE!</v>
      </c>
      <c r="D389" t="e">
        <f>AND('STERLING CATALOG - FZN &amp; CHILL'!F3357,"AAAAAD9n3gM=")</f>
        <v>#VALUE!</v>
      </c>
      <c r="E389" t="e">
        <f>AND('STERLING CATALOG - FZN &amp; CHILL'!G3357,"AAAAAD9n3gQ=")</f>
        <v>#VALUE!</v>
      </c>
      <c r="F389" t="e">
        <f>AND('STERLING CATALOG - FZN &amp; CHILL'!H3357,"AAAAAD9n3gU=")</f>
        <v>#VALUE!</v>
      </c>
      <c r="G389" t="e">
        <f>AND('STERLING CATALOG - FZN &amp; CHILL'!I3357,"AAAAAD9n3gY=")</f>
        <v>#VALUE!</v>
      </c>
      <c r="H389" t="e">
        <f>AND('STERLING CATALOG - FZN &amp; CHILL'!J3357,"AAAAAD9n3gc=")</f>
        <v>#VALUE!</v>
      </c>
      <c r="I389" t="e">
        <f>IF('STERLING CATALOG - FZN &amp; CHILL'!3358:3358,"AAAAAD9n3gg=",0)</f>
        <v>#VALUE!</v>
      </c>
      <c r="J389" t="e">
        <f>AND('STERLING CATALOG - FZN &amp; CHILL'!A3358,"AAAAAD9n3gk=")</f>
        <v>#VALUE!</v>
      </c>
      <c r="K389" t="e">
        <f>AND('STERLING CATALOG - FZN &amp; CHILL'!B3358,"AAAAAD9n3go=")</f>
        <v>#VALUE!</v>
      </c>
      <c r="L389" t="e">
        <f>AND('STERLING CATALOG - FZN &amp; CHILL'!C3358,"AAAAAD9n3gs=")</f>
        <v>#VALUE!</v>
      </c>
      <c r="M389" t="e">
        <f>AND('STERLING CATALOG - FZN &amp; CHILL'!D3358,"AAAAAD9n3gw=")</f>
        <v>#VALUE!</v>
      </c>
      <c r="N389" t="e">
        <f>AND('STERLING CATALOG - FZN &amp; CHILL'!E3358,"AAAAAD9n3g0=")</f>
        <v>#VALUE!</v>
      </c>
      <c r="O389" t="e">
        <f>AND('STERLING CATALOG - FZN &amp; CHILL'!F3358,"AAAAAD9n3g4=")</f>
        <v>#VALUE!</v>
      </c>
      <c r="P389" t="e">
        <f>AND('STERLING CATALOG - FZN &amp; CHILL'!G3358,"AAAAAD9n3g8=")</f>
        <v>#VALUE!</v>
      </c>
      <c r="Q389" t="e">
        <f>AND('STERLING CATALOG - FZN &amp; CHILL'!H3358,"AAAAAD9n3hA=")</f>
        <v>#VALUE!</v>
      </c>
      <c r="R389" t="e">
        <f>AND('STERLING CATALOG - FZN &amp; CHILL'!I3358,"AAAAAD9n3hE=")</f>
        <v>#VALUE!</v>
      </c>
      <c r="S389" t="e">
        <f>AND('STERLING CATALOG - FZN &amp; CHILL'!J3358,"AAAAAD9n3hI=")</f>
        <v>#VALUE!</v>
      </c>
      <c r="T389">
        <f>IF('STERLING CATALOG - FZN &amp; CHILL'!3359:3359,"AAAAAD9n3hM=",0)</f>
        <v>0</v>
      </c>
      <c r="U389" t="e">
        <f>AND('STERLING CATALOG - FZN &amp; CHILL'!A3359,"AAAAAD9n3hQ=")</f>
        <v>#VALUE!</v>
      </c>
      <c r="V389" t="e">
        <f>AND('STERLING CATALOG - FZN &amp; CHILL'!B3359,"AAAAAD9n3hU=")</f>
        <v>#VALUE!</v>
      </c>
      <c r="W389" t="e">
        <f>AND('STERLING CATALOG - FZN &amp; CHILL'!C3359,"AAAAAD9n3hY=")</f>
        <v>#VALUE!</v>
      </c>
      <c r="X389" t="e">
        <f>AND('STERLING CATALOG - FZN &amp; CHILL'!D3359,"AAAAAD9n3hc=")</f>
        <v>#VALUE!</v>
      </c>
      <c r="Y389" t="e">
        <f>AND('STERLING CATALOG - FZN &amp; CHILL'!E3359,"AAAAAD9n3hg=")</f>
        <v>#VALUE!</v>
      </c>
      <c r="Z389" t="e">
        <f>AND('STERLING CATALOG - FZN &amp; CHILL'!F3359,"AAAAAD9n3hk=")</f>
        <v>#VALUE!</v>
      </c>
      <c r="AA389" t="e">
        <f>AND('STERLING CATALOG - FZN &amp; CHILL'!G3359,"AAAAAD9n3ho=")</f>
        <v>#VALUE!</v>
      </c>
      <c r="AB389" t="e">
        <f>AND('STERLING CATALOG - FZN &amp; CHILL'!H3359,"AAAAAD9n3hs=")</f>
        <v>#VALUE!</v>
      </c>
      <c r="AC389" t="e">
        <f>AND('STERLING CATALOG - FZN &amp; CHILL'!I3359,"AAAAAD9n3hw=")</f>
        <v>#VALUE!</v>
      </c>
      <c r="AD389" t="e">
        <f>AND('STERLING CATALOG - FZN &amp; CHILL'!J3359,"AAAAAD9n3h0=")</f>
        <v>#VALUE!</v>
      </c>
      <c r="AE389">
        <f>IF('STERLING CATALOG - FZN &amp; CHILL'!3360:3360,"AAAAAD9n3h4=",0)</f>
        <v>0</v>
      </c>
      <c r="AF389" t="e">
        <f>AND('STERLING CATALOG - FZN &amp; CHILL'!A3360,"AAAAAD9n3h8=")</f>
        <v>#VALUE!</v>
      </c>
      <c r="AG389" t="e">
        <f>AND('STERLING CATALOG - FZN &amp; CHILL'!B3360,"AAAAAD9n3iA=")</f>
        <v>#VALUE!</v>
      </c>
      <c r="AH389" t="e">
        <f>AND('STERLING CATALOG - FZN &amp; CHILL'!C3360,"AAAAAD9n3iE=")</f>
        <v>#VALUE!</v>
      </c>
      <c r="AI389" t="e">
        <f>AND('STERLING CATALOG - FZN &amp; CHILL'!D3360,"AAAAAD9n3iI=")</f>
        <v>#VALUE!</v>
      </c>
      <c r="AJ389" t="e">
        <f>AND('STERLING CATALOG - FZN &amp; CHILL'!E3360,"AAAAAD9n3iM=")</f>
        <v>#VALUE!</v>
      </c>
      <c r="AK389" t="e">
        <f>AND('STERLING CATALOG - FZN &amp; CHILL'!F3360,"AAAAAD9n3iQ=")</f>
        <v>#VALUE!</v>
      </c>
      <c r="AL389" t="e">
        <f>AND('STERLING CATALOG - FZN &amp; CHILL'!G3360,"AAAAAD9n3iU=")</f>
        <v>#VALUE!</v>
      </c>
      <c r="AM389" t="e">
        <f>AND('STERLING CATALOG - FZN &amp; CHILL'!H3360,"AAAAAD9n3iY=")</f>
        <v>#VALUE!</v>
      </c>
      <c r="AN389" t="e">
        <f>AND('STERLING CATALOG - FZN &amp; CHILL'!I3360,"AAAAAD9n3ic=")</f>
        <v>#VALUE!</v>
      </c>
      <c r="AO389" t="e">
        <f>AND('STERLING CATALOG - FZN &amp; CHILL'!J3360,"AAAAAD9n3ig=")</f>
        <v>#VALUE!</v>
      </c>
      <c r="AP389">
        <f>IF('STERLING CATALOG - FZN &amp; CHILL'!3361:3361,"AAAAAD9n3ik=",0)</f>
        <v>0</v>
      </c>
      <c r="AQ389" t="e">
        <f>AND('STERLING CATALOG - FZN &amp; CHILL'!A3361,"AAAAAD9n3io=")</f>
        <v>#VALUE!</v>
      </c>
      <c r="AR389" t="e">
        <f>AND('STERLING CATALOG - FZN &amp; CHILL'!B3361,"AAAAAD9n3is=")</f>
        <v>#VALUE!</v>
      </c>
      <c r="AS389" t="e">
        <f>AND('STERLING CATALOG - FZN &amp; CHILL'!C3361,"AAAAAD9n3iw=")</f>
        <v>#VALUE!</v>
      </c>
      <c r="AT389" t="e">
        <f>AND('STERLING CATALOG - FZN &amp; CHILL'!D3361,"AAAAAD9n3i0=")</f>
        <v>#VALUE!</v>
      </c>
      <c r="AU389" t="e">
        <f>AND('STERLING CATALOG - FZN &amp; CHILL'!E3361,"AAAAAD9n3i4=")</f>
        <v>#VALUE!</v>
      </c>
      <c r="AV389" t="e">
        <f>AND('STERLING CATALOG - FZN &amp; CHILL'!F3361,"AAAAAD9n3i8=")</f>
        <v>#VALUE!</v>
      </c>
      <c r="AW389" t="e">
        <f>AND('STERLING CATALOG - FZN &amp; CHILL'!G3361,"AAAAAD9n3jA=")</f>
        <v>#VALUE!</v>
      </c>
      <c r="AX389" t="e">
        <f>AND('STERLING CATALOG - FZN &amp; CHILL'!H3361,"AAAAAD9n3jE=")</f>
        <v>#VALUE!</v>
      </c>
      <c r="AY389" t="e">
        <f>AND('STERLING CATALOG - FZN &amp; CHILL'!I3361,"AAAAAD9n3jI=")</f>
        <v>#VALUE!</v>
      </c>
      <c r="AZ389" t="e">
        <f>AND('STERLING CATALOG - FZN &amp; CHILL'!J3361,"AAAAAD9n3jM=")</f>
        <v>#VALUE!</v>
      </c>
      <c r="BA389">
        <f>IF('STERLING CATALOG - FZN &amp; CHILL'!3362:3362,"AAAAAD9n3jQ=",0)</f>
        <v>0</v>
      </c>
      <c r="BB389" t="e">
        <f>AND('STERLING CATALOG - FZN &amp; CHILL'!A3362,"AAAAAD9n3jU=")</f>
        <v>#VALUE!</v>
      </c>
      <c r="BC389" t="e">
        <f>AND('STERLING CATALOG - FZN &amp; CHILL'!B3362,"AAAAAD9n3jY=")</f>
        <v>#VALUE!</v>
      </c>
      <c r="BD389" t="e">
        <f>AND('STERLING CATALOG - FZN &amp; CHILL'!C3362,"AAAAAD9n3jc=")</f>
        <v>#VALUE!</v>
      </c>
      <c r="BE389" t="e">
        <f>AND('STERLING CATALOG - FZN &amp; CHILL'!D3362,"AAAAAD9n3jg=")</f>
        <v>#VALUE!</v>
      </c>
      <c r="BF389" t="e">
        <f>AND('STERLING CATALOG - FZN &amp; CHILL'!E3362,"AAAAAD9n3jk=")</f>
        <v>#VALUE!</v>
      </c>
      <c r="BG389" t="e">
        <f>AND('STERLING CATALOG - FZN &amp; CHILL'!F3362,"AAAAAD9n3jo=")</f>
        <v>#VALUE!</v>
      </c>
      <c r="BH389" t="e">
        <f>AND('STERLING CATALOG - FZN &amp; CHILL'!G3362,"AAAAAD9n3js=")</f>
        <v>#VALUE!</v>
      </c>
      <c r="BI389" t="e">
        <f>AND('STERLING CATALOG - FZN &amp; CHILL'!H3362,"AAAAAD9n3jw=")</f>
        <v>#VALUE!</v>
      </c>
      <c r="BJ389" t="e">
        <f>AND('STERLING CATALOG - FZN &amp; CHILL'!I3362,"AAAAAD9n3j0=")</f>
        <v>#VALUE!</v>
      </c>
      <c r="BK389" t="e">
        <f>AND('STERLING CATALOG - FZN &amp; CHILL'!J3362,"AAAAAD9n3j4=")</f>
        <v>#VALUE!</v>
      </c>
      <c r="BL389">
        <f>IF('STERLING CATALOG - FZN &amp; CHILL'!3363:3363,"AAAAAD9n3j8=",0)</f>
        <v>0</v>
      </c>
      <c r="BM389" t="e">
        <f>AND('STERLING CATALOG - FZN &amp; CHILL'!A3363,"AAAAAD9n3kA=")</f>
        <v>#VALUE!</v>
      </c>
      <c r="BN389" t="e">
        <f>AND('STERLING CATALOG - FZN &amp; CHILL'!B3363,"AAAAAD9n3kE=")</f>
        <v>#VALUE!</v>
      </c>
      <c r="BO389" t="e">
        <f>AND('STERLING CATALOG - FZN &amp; CHILL'!C3363,"AAAAAD9n3kI=")</f>
        <v>#VALUE!</v>
      </c>
      <c r="BP389" t="e">
        <f>AND('STERLING CATALOG - FZN &amp; CHILL'!D3363,"AAAAAD9n3kM=")</f>
        <v>#VALUE!</v>
      </c>
      <c r="BQ389" t="e">
        <f>AND('STERLING CATALOG - FZN &amp; CHILL'!E3363,"AAAAAD9n3kQ=")</f>
        <v>#VALUE!</v>
      </c>
      <c r="BR389" t="e">
        <f>AND('STERLING CATALOG - FZN &amp; CHILL'!F3363,"AAAAAD9n3kU=")</f>
        <v>#VALUE!</v>
      </c>
      <c r="BS389" t="e">
        <f>AND('STERLING CATALOG - FZN &amp; CHILL'!G3363,"AAAAAD9n3kY=")</f>
        <v>#VALUE!</v>
      </c>
      <c r="BT389" t="e">
        <f>AND('STERLING CATALOG - FZN &amp; CHILL'!H3363,"AAAAAD9n3kc=")</f>
        <v>#VALUE!</v>
      </c>
      <c r="BU389" t="e">
        <f>AND('STERLING CATALOG - FZN &amp; CHILL'!I3363,"AAAAAD9n3kg=")</f>
        <v>#VALUE!</v>
      </c>
      <c r="BV389" t="e">
        <f>AND('STERLING CATALOG - FZN &amp; CHILL'!J3363,"AAAAAD9n3kk=")</f>
        <v>#VALUE!</v>
      </c>
      <c r="BW389">
        <f>IF('STERLING CATALOG - FZN &amp; CHILL'!3364:3364,"AAAAAD9n3ko=",0)</f>
        <v>0</v>
      </c>
      <c r="BX389" t="e">
        <f>AND('STERLING CATALOG - FZN &amp; CHILL'!A3364,"AAAAAD9n3ks=")</f>
        <v>#VALUE!</v>
      </c>
      <c r="BY389" t="e">
        <f>AND('STERLING CATALOG - FZN &amp; CHILL'!B3364,"AAAAAD9n3kw=")</f>
        <v>#VALUE!</v>
      </c>
      <c r="BZ389" t="e">
        <f>AND('STERLING CATALOG - FZN &amp; CHILL'!C3364,"AAAAAD9n3k0=")</f>
        <v>#VALUE!</v>
      </c>
      <c r="CA389" t="e">
        <f>AND('STERLING CATALOG - FZN &amp; CHILL'!D3364,"AAAAAD9n3k4=")</f>
        <v>#VALUE!</v>
      </c>
      <c r="CB389" t="e">
        <f>AND('STERLING CATALOG - FZN &amp; CHILL'!E3364,"AAAAAD9n3k8=")</f>
        <v>#VALUE!</v>
      </c>
      <c r="CC389" t="e">
        <f>AND('STERLING CATALOG - FZN &amp; CHILL'!F3364,"AAAAAD9n3lA=")</f>
        <v>#VALUE!</v>
      </c>
      <c r="CD389" t="e">
        <f>AND('STERLING CATALOG - FZN &amp; CHILL'!G3364,"AAAAAD9n3lE=")</f>
        <v>#VALUE!</v>
      </c>
      <c r="CE389" t="e">
        <f>AND('STERLING CATALOG - FZN &amp; CHILL'!H3364,"AAAAAD9n3lI=")</f>
        <v>#VALUE!</v>
      </c>
      <c r="CF389" t="e">
        <f>AND('STERLING CATALOG - FZN &amp; CHILL'!I3364,"AAAAAD9n3lM=")</f>
        <v>#VALUE!</v>
      </c>
      <c r="CG389" t="e">
        <f>AND('STERLING CATALOG - FZN &amp; CHILL'!J3364,"AAAAAD9n3lQ=")</f>
        <v>#VALUE!</v>
      </c>
      <c r="CH389">
        <f>IF('STERLING CATALOG - FZN &amp; CHILL'!3365:3365,"AAAAAD9n3lU=",0)</f>
        <v>0</v>
      </c>
      <c r="CI389" t="e">
        <f>AND('STERLING CATALOG - FZN &amp; CHILL'!A3365,"AAAAAD9n3lY=")</f>
        <v>#VALUE!</v>
      </c>
      <c r="CJ389" t="e">
        <f>AND('STERLING CATALOG - FZN &amp; CHILL'!B3365,"AAAAAD9n3lc=")</f>
        <v>#VALUE!</v>
      </c>
      <c r="CK389" t="e">
        <f>AND('STERLING CATALOG - FZN &amp; CHILL'!C3365,"AAAAAD9n3lg=")</f>
        <v>#VALUE!</v>
      </c>
      <c r="CL389" t="e">
        <f>AND('STERLING CATALOG - FZN &amp; CHILL'!D3365,"AAAAAD9n3lk=")</f>
        <v>#VALUE!</v>
      </c>
      <c r="CM389" t="e">
        <f>AND('STERLING CATALOG - FZN &amp; CHILL'!E3365,"AAAAAD9n3lo=")</f>
        <v>#VALUE!</v>
      </c>
      <c r="CN389" t="e">
        <f>AND('STERLING CATALOG - FZN &amp; CHILL'!F3365,"AAAAAD9n3ls=")</f>
        <v>#VALUE!</v>
      </c>
      <c r="CO389" t="e">
        <f>AND('STERLING CATALOG - FZN &amp; CHILL'!G3365,"AAAAAD9n3lw=")</f>
        <v>#VALUE!</v>
      </c>
      <c r="CP389" t="e">
        <f>AND('STERLING CATALOG - FZN &amp; CHILL'!H3365,"AAAAAD9n3l0=")</f>
        <v>#VALUE!</v>
      </c>
      <c r="CQ389" t="e">
        <f>AND('STERLING CATALOG - FZN &amp; CHILL'!I3365,"AAAAAD9n3l4=")</f>
        <v>#VALUE!</v>
      </c>
      <c r="CR389" t="e">
        <f>AND('STERLING CATALOG - FZN &amp; CHILL'!J3365,"AAAAAD9n3l8=")</f>
        <v>#VALUE!</v>
      </c>
      <c r="CS389">
        <f>IF('STERLING CATALOG - FZN &amp; CHILL'!3366:3366,"AAAAAD9n3mA=",0)</f>
        <v>0</v>
      </c>
      <c r="CT389" t="e">
        <f>AND('STERLING CATALOG - FZN &amp; CHILL'!A3366,"AAAAAD9n3mE=")</f>
        <v>#VALUE!</v>
      </c>
      <c r="CU389" t="e">
        <f>AND('STERLING CATALOG - FZN &amp; CHILL'!B3366,"AAAAAD9n3mI=")</f>
        <v>#VALUE!</v>
      </c>
      <c r="CV389" t="e">
        <f>AND('STERLING CATALOG - FZN &amp; CHILL'!C3366,"AAAAAD9n3mM=")</f>
        <v>#VALUE!</v>
      </c>
      <c r="CW389" t="e">
        <f>AND('STERLING CATALOG - FZN &amp; CHILL'!D3366,"AAAAAD9n3mQ=")</f>
        <v>#VALUE!</v>
      </c>
      <c r="CX389" t="e">
        <f>AND('STERLING CATALOG - FZN &amp; CHILL'!E3366,"AAAAAD9n3mU=")</f>
        <v>#VALUE!</v>
      </c>
      <c r="CY389" t="e">
        <f>AND('STERLING CATALOG - FZN &amp; CHILL'!F3366,"AAAAAD9n3mY=")</f>
        <v>#VALUE!</v>
      </c>
      <c r="CZ389" t="e">
        <f>AND('STERLING CATALOG - FZN &amp; CHILL'!G3366,"AAAAAD9n3mc=")</f>
        <v>#VALUE!</v>
      </c>
      <c r="DA389" t="e">
        <f>AND('STERLING CATALOG - FZN &amp; CHILL'!H3366,"AAAAAD9n3mg=")</f>
        <v>#VALUE!</v>
      </c>
      <c r="DB389" t="e">
        <f>AND('STERLING CATALOG - FZN &amp; CHILL'!I3366,"AAAAAD9n3mk=")</f>
        <v>#VALUE!</v>
      </c>
      <c r="DC389" t="e">
        <f>AND('STERLING CATALOG - FZN &amp; CHILL'!J3366,"AAAAAD9n3mo=")</f>
        <v>#VALUE!</v>
      </c>
      <c r="DD389">
        <f>IF('STERLING CATALOG - FZN &amp; CHILL'!3367:3367,"AAAAAD9n3ms=",0)</f>
        <v>0</v>
      </c>
      <c r="DE389" t="e">
        <f>AND('STERLING CATALOG - FZN &amp; CHILL'!A3367,"AAAAAD9n3mw=")</f>
        <v>#VALUE!</v>
      </c>
      <c r="DF389" t="e">
        <f>AND('STERLING CATALOG - FZN &amp; CHILL'!B3367,"AAAAAD9n3m0=")</f>
        <v>#VALUE!</v>
      </c>
      <c r="DG389" t="e">
        <f>AND('STERLING CATALOG - FZN &amp; CHILL'!C3367,"AAAAAD9n3m4=")</f>
        <v>#VALUE!</v>
      </c>
      <c r="DH389" t="e">
        <f>AND('STERLING CATALOG - FZN &amp; CHILL'!D3367,"AAAAAD9n3m8=")</f>
        <v>#VALUE!</v>
      </c>
      <c r="DI389" t="e">
        <f>AND('STERLING CATALOG - FZN &amp; CHILL'!E3367,"AAAAAD9n3nA=")</f>
        <v>#VALUE!</v>
      </c>
      <c r="DJ389" t="e">
        <f>AND('STERLING CATALOG - FZN &amp; CHILL'!F3367,"AAAAAD9n3nE=")</f>
        <v>#VALUE!</v>
      </c>
      <c r="DK389" t="e">
        <f>AND('STERLING CATALOG - FZN &amp; CHILL'!G3367,"AAAAAD9n3nI=")</f>
        <v>#VALUE!</v>
      </c>
      <c r="DL389" t="e">
        <f>AND('STERLING CATALOG - FZN &amp; CHILL'!H3367,"AAAAAD9n3nM=")</f>
        <v>#VALUE!</v>
      </c>
      <c r="DM389" t="e">
        <f>AND('STERLING CATALOG - FZN &amp; CHILL'!I3367,"AAAAAD9n3nQ=")</f>
        <v>#VALUE!</v>
      </c>
      <c r="DN389" t="e">
        <f>AND('STERLING CATALOG - FZN &amp; CHILL'!J3367,"AAAAAD9n3nU=")</f>
        <v>#VALUE!</v>
      </c>
      <c r="DO389">
        <f>IF('STERLING CATALOG - FZN &amp; CHILL'!3368:3368,"AAAAAD9n3nY=",0)</f>
        <v>0</v>
      </c>
      <c r="DP389" t="e">
        <f>AND('STERLING CATALOG - FZN &amp; CHILL'!A3368,"AAAAAD9n3nc=")</f>
        <v>#VALUE!</v>
      </c>
      <c r="DQ389" t="e">
        <f>AND('STERLING CATALOG - FZN &amp; CHILL'!B3368,"AAAAAD9n3ng=")</f>
        <v>#VALUE!</v>
      </c>
      <c r="DR389" t="e">
        <f>AND('STERLING CATALOG - FZN &amp; CHILL'!C3368,"AAAAAD9n3nk=")</f>
        <v>#VALUE!</v>
      </c>
      <c r="DS389" t="e">
        <f>AND('STERLING CATALOG - FZN &amp; CHILL'!D3368,"AAAAAD9n3no=")</f>
        <v>#VALUE!</v>
      </c>
      <c r="DT389" t="e">
        <f>AND('STERLING CATALOG - FZN &amp; CHILL'!E3368,"AAAAAD9n3ns=")</f>
        <v>#VALUE!</v>
      </c>
      <c r="DU389" t="e">
        <f>AND('STERLING CATALOG - FZN &amp; CHILL'!F3368,"AAAAAD9n3nw=")</f>
        <v>#VALUE!</v>
      </c>
      <c r="DV389" t="e">
        <f>AND('STERLING CATALOG - FZN &amp; CHILL'!G3368,"AAAAAD9n3n0=")</f>
        <v>#VALUE!</v>
      </c>
      <c r="DW389" t="e">
        <f>AND('STERLING CATALOG - FZN &amp; CHILL'!H3368,"AAAAAD9n3n4=")</f>
        <v>#VALUE!</v>
      </c>
      <c r="DX389" t="e">
        <f>AND('STERLING CATALOG - FZN &amp; CHILL'!I3368,"AAAAAD9n3n8=")</f>
        <v>#VALUE!</v>
      </c>
      <c r="DY389" t="e">
        <f>AND('STERLING CATALOG - FZN &amp; CHILL'!J3368,"AAAAAD9n3oA=")</f>
        <v>#VALUE!</v>
      </c>
      <c r="DZ389">
        <f>IF('STERLING CATALOG - FZN &amp; CHILL'!3369:3369,"AAAAAD9n3oE=",0)</f>
        <v>0</v>
      </c>
      <c r="EA389" t="e">
        <f>AND('STERLING CATALOG - FZN &amp; CHILL'!A3369,"AAAAAD9n3oI=")</f>
        <v>#VALUE!</v>
      </c>
      <c r="EB389" t="e">
        <f>AND('STERLING CATALOG - FZN &amp; CHILL'!B3369,"AAAAAD9n3oM=")</f>
        <v>#VALUE!</v>
      </c>
      <c r="EC389" t="e">
        <f>AND('STERLING CATALOG - FZN &amp; CHILL'!C3369,"AAAAAD9n3oQ=")</f>
        <v>#VALUE!</v>
      </c>
      <c r="ED389" t="e">
        <f>AND('STERLING CATALOG - FZN &amp; CHILL'!D3369,"AAAAAD9n3oU=")</f>
        <v>#VALUE!</v>
      </c>
      <c r="EE389" t="e">
        <f>AND('STERLING CATALOG - FZN &amp; CHILL'!E3369,"AAAAAD9n3oY=")</f>
        <v>#VALUE!</v>
      </c>
      <c r="EF389" t="e">
        <f>AND('STERLING CATALOG - FZN &amp; CHILL'!F3369,"AAAAAD9n3oc=")</f>
        <v>#VALUE!</v>
      </c>
      <c r="EG389" t="e">
        <f>AND('STERLING CATALOG - FZN &amp; CHILL'!G3369,"AAAAAD9n3og=")</f>
        <v>#VALUE!</v>
      </c>
      <c r="EH389" t="e">
        <f>AND('STERLING CATALOG - FZN &amp; CHILL'!H3369,"AAAAAD9n3ok=")</f>
        <v>#VALUE!</v>
      </c>
      <c r="EI389" t="e">
        <f>AND('STERLING CATALOG - FZN &amp; CHILL'!I3369,"AAAAAD9n3oo=")</f>
        <v>#VALUE!</v>
      </c>
      <c r="EJ389" t="e">
        <f>AND('STERLING CATALOG - FZN &amp; CHILL'!J3369,"AAAAAD9n3os=")</f>
        <v>#VALUE!</v>
      </c>
      <c r="EK389">
        <f>IF('STERLING CATALOG - FZN &amp; CHILL'!3370:3370,"AAAAAD9n3ow=",0)</f>
        <v>0</v>
      </c>
      <c r="EL389" t="e">
        <f>AND('STERLING CATALOG - FZN &amp; CHILL'!A3370,"AAAAAD9n3o0=")</f>
        <v>#VALUE!</v>
      </c>
      <c r="EM389" t="e">
        <f>AND('STERLING CATALOG - FZN &amp; CHILL'!B3370,"AAAAAD9n3o4=")</f>
        <v>#VALUE!</v>
      </c>
      <c r="EN389" t="e">
        <f>AND('STERLING CATALOG - FZN &amp; CHILL'!C3370,"AAAAAD9n3o8=")</f>
        <v>#VALUE!</v>
      </c>
      <c r="EO389" t="e">
        <f>AND('STERLING CATALOG - FZN &amp; CHILL'!D3370,"AAAAAD9n3pA=")</f>
        <v>#VALUE!</v>
      </c>
      <c r="EP389" t="e">
        <f>AND('STERLING CATALOG - FZN &amp; CHILL'!E3370,"AAAAAD9n3pE=")</f>
        <v>#VALUE!</v>
      </c>
      <c r="EQ389" t="e">
        <f>AND('STERLING CATALOG - FZN &amp; CHILL'!F3370,"AAAAAD9n3pI=")</f>
        <v>#VALUE!</v>
      </c>
      <c r="ER389" t="e">
        <f>AND('STERLING CATALOG - FZN &amp; CHILL'!G3370,"AAAAAD9n3pM=")</f>
        <v>#VALUE!</v>
      </c>
      <c r="ES389" t="e">
        <f>AND('STERLING CATALOG - FZN &amp; CHILL'!H3370,"AAAAAD9n3pQ=")</f>
        <v>#VALUE!</v>
      </c>
      <c r="ET389" t="e">
        <f>AND('STERLING CATALOG - FZN &amp; CHILL'!I3370,"AAAAAD9n3pU=")</f>
        <v>#VALUE!</v>
      </c>
      <c r="EU389" t="e">
        <f>AND('STERLING CATALOG - FZN &amp; CHILL'!J3370,"AAAAAD9n3pY=")</f>
        <v>#VALUE!</v>
      </c>
      <c r="EV389">
        <f>IF('STERLING CATALOG - FZN &amp; CHILL'!3371:3371,"AAAAAD9n3pc=",0)</f>
        <v>0</v>
      </c>
      <c r="EW389" t="e">
        <f>AND('STERLING CATALOG - FZN &amp; CHILL'!A3371,"AAAAAD9n3pg=")</f>
        <v>#VALUE!</v>
      </c>
      <c r="EX389" t="e">
        <f>AND('STERLING CATALOG - FZN &amp; CHILL'!B3371,"AAAAAD9n3pk=")</f>
        <v>#VALUE!</v>
      </c>
      <c r="EY389" t="e">
        <f>AND('STERLING CATALOG - FZN &amp; CHILL'!C3371,"AAAAAD9n3po=")</f>
        <v>#VALUE!</v>
      </c>
      <c r="EZ389" t="e">
        <f>AND('STERLING CATALOG - FZN &amp; CHILL'!D3371,"AAAAAD9n3ps=")</f>
        <v>#VALUE!</v>
      </c>
      <c r="FA389" t="e">
        <f>AND('STERLING CATALOG - FZN &amp; CHILL'!E3371,"AAAAAD9n3pw=")</f>
        <v>#VALUE!</v>
      </c>
      <c r="FB389" t="e">
        <f>AND('STERLING CATALOG - FZN &amp; CHILL'!F3371,"AAAAAD9n3p0=")</f>
        <v>#VALUE!</v>
      </c>
      <c r="FC389" t="e">
        <f>AND('STERLING CATALOG - FZN &amp; CHILL'!G3371,"AAAAAD9n3p4=")</f>
        <v>#VALUE!</v>
      </c>
      <c r="FD389" t="e">
        <f>AND('STERLING CATALOG - FZN &amp; CHILL'!H3371,"AAAAAD9n3p8=")</f>
        <v>#VALUE!</v>
      </c>
      <c r="FE389" t="e">
        <f>AND('STERLING CATALOG - FZN &amp; CHILL'!I3371,"AAAAAD9n3qA=")</f>
        <v>#VALUE!</v>
      </c>
      <c r="FF389" t="e">
        <f>AND('STERLING CATALOG - FZN &amp; CHILL'!J3371,"AAAAAD9n3qE=")</f>
        <v>#VALUE!</v>
      </c>
      <c r="FG389">
        <f>IF('STERLING CATALOG - FZN &amp; CHILL'!3372:3372,"AAAAAD9n3qI=",0)</f>
        <v>0</v>
      </c>
      <c r="FH389" t="e">
        <f>AND('STERLING CATALOG - FZN &amp; CHILL'!A3372,"AAAAAD9n3qM=")</f>
        <v>#VALUE!</v>
      </c>
      <c r="FI389" t="e">
        <f>AND('STERLING CATALOG - FZN &amp; CHILL'!B3372,"AAAAAD9n3qQ=")</f>
        <v>#VALUE!</v>
      </c>
      <c r="FJ389" t="e">
        <f>AND('STERLING CATALOG - FZN &amp; CHILL'!C3372,"AAAAAD9n3qU=")</f>
        <v>#VALUE!</v>
      </c>
      <c r="FK389" t="e">
        <f>AND('STERLING CATALOG - FZN &amp; CHILL'!D3372,"AAAAAD9n3qY=")</f>
        <v>#VALUE!</v>
      </c>
      <c r="FL389" t="e">
        <f>AND('STERLING CATALOG - FZN &amp; CHILL'!E3372,"AAAAAD9n3qc=")</f>
        <v>#VALUE!</v>
      </c>
      <c r="FM389" t="e">
        <f>AND('STERLING CATALOG - FZN &amp; CHILL'!F3372,"AAAAAD9n3qg=")</f>
        <v>#VALUE!</v>
      </c>
      <c r="FN389" t="e">
        <f>AND('STERLING CATALOG - FZN &amp; CHILL'!G3372,"AAAAAD9n3qk=")</f>
        <v>#VALUE!</v>
      </c>
      <c r="FO389" t="e">
        <f>AND('STERLING CATALOG - FZN &amp; CHILL'!H3372,"AAAAAD9n3qo=")</f>
        <v>#VALUE!</v>
      </c>
      <c r="FP389" t="e">
        <f>AND('STERLING CATALOG - FZN &amp; CHILL'!I3372,"AAAAAD9n3qs=")</f>
        <v>#VALUE!</v>
      </c>
      <c r="FQ389" t="e">
        <f>AND('STERLING CATALOG - FZN &amp; CHILL'!J3372,"AAAAAD9n3qw=")</f>
        <v>#VALUE!</v>
      </c>
      <c r="FR389">
        <f>IF('STERLING CATALOG - FZN &amp; CHILL'!3373:3373,"AAAAAD9n3q0=",0)</f>
        <v>0</v>
      </c>
      <c r="FS389" t="e">
        <f>AND('STERLING CATALOG - FZN &amp; CHILL'!A3373,"AAAAAD9n3q4=")</f>
        <v>#VALUE!</v>
      </c>
      <c r="FT389" t="e">
        <f>AND('STERLING CATALOG - FZN &amp; CHILL'!B3373,"AAAAAD9n3q8=")</f>
        <v>#VALUE!</v>
      </c>
      <c r="FU389" t="e">
        <f>AND('STERLING CATALOG - FZN &amp; CHILL'!C3373,"AAAAAD9n3rA=")</f>
        <v>#VALUE!</v>
      </c>
      <c r="FV389" t="e">
        <f>AND('STERLING CATALOG - FZN &amp; CHILL'!D3373,"AAAAAD9n3rE=")</f>
        <v>#VALUE!</v>
      </c>
      <c r="FW389" t="e">
        <f>AND('STERLING CATALOG - FZN &amp; CHILL'!E3373,"AAAAAD9n3rI=")</f>
        <v>#VALUE!</v>
      </c>
      <c r="FX389" t="e">
        <f>AND('STERLING CATALOG - FZN &amp; CHILL'!F3373,"AAAAAD9n3rM=")</f>
        <v>#VALUE!</v>
      </c>
      <c r="FY389" t="e">
        <f>AND('STERLING CATALOG - FZN &amp; CHILL'!G3373,"AAAAAD9n3rQ=")</f>
        <v>#VALUE!</v>
      </c>
      <c r="FZ389" t="e">
        <f>AND('STERLING CATALOG - FZN &amp; CHILL'!H3373,"AAAAAD9n3rU=")</f>
        <v>#VALUE!</v>
      </c>
      <c r="GA389" t="e">
        <f>AND('STERLING CATALOG - FZN &amp; CHILL'!I3373,"AAAAAD9n3rY=")</f>
        <v>#VALUE!</v>
      </c>
      <c r="GB389" t="e">
        <f>AND('STERLING CATALOG - FZN &amp; CHILL'!J3373,"AAAAAD9n3rc=")</f>
        <v>#VALUE!</v>
      </c>
      <c r="GC389">
        <f>IF('STERLING CATALOG - FZN &amp; CHILL'!3374:3374,"AAAAAD9n3rg=",0)</f>
        <v>0</v>
      </c>
      <c r="GD389" t="e">
        <f>AND('STERLING CATALOG - FZN &amp; CHILL'!A3374,"AAAAAD9n3rk=")</f>
        <v>#VALUE!</v>
      </c>
      <c r="GE389" t="e">
        <f>AND('STERLING CATALOG - FZN &amp; CHILL'!B3374,"AAAAAD9n3ro=")</f>
        <v>#VALUE!</v>
      </c>
      <c r="GF389" t="e">
        <f>AND('STERLING CATALOG - FZN &amp; CHILL'!C3374,"AAAAAD9n3rs=")</f>
        <v>#VALUE!</v>
      </c>
      <c r="GG389" t="e">
        <f>AND('STERLING CATALOG - FZN &amp; CHILL'!D3374,"AAAAAD9n3rw=")</f>
        <v>#VALUE!</v>
      </c>
      <c r="GH389" t="e">
        <f>AND('STERLING CATALOG - FZN &amp; CHILL'!E3374,"AAAAAD9n3r0=")</f>
        <v>#VALUE!</v>
      </c>
      <c r="GI389" t="e">
        <f>AND('STERLING CATALOG - FZN &amp; CHILL'!F3374,"AAAAAD9n3r4=")</f>
        <v>#VALUE!</v>
      </c>
      <c r="GJ389" t="e">
        <f>AND('STERLING CATALOG - FZN &amp; CHILL'!G3374,"AAAAAD9n3r8=")</f>
        <v>#VALUE!</v>
      </c>
      <c r="GK389" t="e">
        <f>AND('STERLING CATALOG - FZN &amp; CHILL'!H3374,"AAAAAD9n3sA=")</f>
        <v>#VALUE!</v>
      </c>
      <c r="GL389" t="e">
        <f>AND('STERLING CATALOG - FZN &amp; CHILL'!I3374,"AAAAAD9n3sE=")</f>
        <v>#VALUE!</v>
      </c>
      <c r="GM389" t="e">
        <f>AND('STERLING CATALOG - FZN &amp; CHILL'!J3374,"AAAAAD9n3sI=")</f>
        <v>#VALUE!</v>
      </c>
      <c r="GN389">
        <f>IF('STERLING CATALOG - FZN &amp; CHILL'!3375:3375,"AAAAAD9n3sM=",0)</f>
        <v>0</v>
      </c>
      <c r="GO389" t="e">
        <f>AND('STERLING CATALOG - FZN &amp; CHILL'!A3375,"AAAAAD9n3sQ=")</f>
        <v>#VALUE!</v>
      </c>
      <c r="GP389" t="e">
        <f>AND('STERLING CATALOG - FZN &amp; CHILL'!B3375,"AAAAAD9n3sU=")</f>
        <v>#VALUE!</v>
      </c>
      <c r="GQ389" t="e">
        <f>AND('STERLING CATALOG - FZN &amp; CHILL'!C3375,"AAAAAD9n3sY=")</f>
        <v>#VALUE!</v>
      </c>
      <c r="GR389" t="e">
        <f>AND('STERLING CATALOG - FZN &amp; CHILL'!D3375,"AAAAAD9n3sc=")</f>
        <v>#VALUE!</v>
      </c>
      <c r="GS389" t="e">
        <f>AND('STERLING CATALOG - FZN &amp; CHILL'!E3375,"AAAAAD9n3sg=")</f>
        <v>#VALUE!</v>
      </c>
      <c r="GT389" t="e">
        <f>AND('STERLING CATALOG - FZN &amp; CHILL'!F3375,"AAAAAD9n3sk=")</f>
        <v>#VALUE!</v>
      </c>
      <c r="GU389" t="e">
        <f>AND('STERLING CATALOG - FZN &amp; CHILL'!G3375,"AAAAAD9n3so=")</f>
        <v>#VALUE!</v>
      </c>
      <c r="GV389" t="e">
        <f>AND('STERLING CATALOG - FZN &amp; CHILL'!H3375,"AAAAAD9n3ss=")</f>
        <v>#VALUE!</v>
      </c>
      <c r="GW389" t="e">
        <f>AND('STERLING CATALOG - FZN &amp; CHILL'!I3375,"AAAAAD9n3sw=")</f>
        <v>#VALUE!</v>
      </c>
      <c r="GX389" t="e">
        <f>AND('STERLING CATALOG - FZN &amp; CHILL'!J3375,"AAAAAD9n3s0=")</f>
        <v>#VALUE!</v>
      </c>
      <c r="GY389">
        <f>IF('STERLING CATALOG - FZN &amp; CHILL'!3376:3376,"AAAAAD9n3s4=",0)</f>
        <v>0</v>
      </c>
      <c r="GZ389" t="e">
        <f>AND('STERLING CATALOG - FZN &amp; CHILL'!A3376,"AAAAAD9n3s8=")</f>
        <v>#VALUE!</v>
      </c>
      <c r="HA389" t="e">
        <f>AND('STERLING CATALOG - FZN &amp; CHILL'!B3376,"AAAAAD9n3tA=")</f>
        <v>#VALUE!</v>
      </c>
      <c r="HB389" t="e">
        <f>AND('STERLING CATALOG - FZN &amp; CHILL'!C3376,"AAAAAD9n3tE=")</f>
        <v>#VALUE!</v>
      </c>
      <c r="HC389" t="e">
        <f>AND('STERLING CATALOG - FZN &amp; CHILL'!D3376,"AAAAAD9n3tI=")</f>
        <v>#VALUE!</v>
      </c>
      <c r="HD389" t="e">
        <f>AND('STERLING CATALOG - FZN &amp; CHILL'!E3376,"AAAAAD9n3tM=")</f>
        <v>#VALUE!</v>
      </c>
      <c r="HE389" t="e">
        <f>AND('STERLING CATALOG - FZN &amp; CHILL'!F3376,"AAAAAD9n3tQ=")</f>
        <v>#VALUE!</v>
      </c>
      <c r="HF389" t="e">
        <f>AND('STERLING CATALOG - FZN &amp; CHILL'!G3376,"AAAAAD9n3tU=")</f>
        <v>#VALUE!</v>
      </c>
      <c r="HG389" t="e">
        <f>AND('STERLING CATALOG - FZN &amp; CHILL'!H3376,"AAAAAD9n3tY=")</f>
        <v>#VALUE!</v>
      </c>
      <c r="HH389" t="e">
        <f>AND('STERLING CATALOG - FZN &amp; CHILL'!I3376,"AAAAAD9n3tc=")</f>
        <v>#VALUE!</v>
      </c>
      <c r="HI389" t="e">
        <f>AND('STERLING CATALOG - FZN &amp; CHILL'!J3376,"AAAAAD9n3tg=")</f>
        <v>#VALUE!</v>
      </c>
      <c r="HJ389">
        <f>IF('STERLING CATALOG - FZN &amp; CHILL'!3377:3377,"AAAAAD9n3tk=",0)</f>
        <v>0</v>
      </c>
      <c r="HK389" t="e">
        <f>AND('STERLING CATALOG - FZN &amp; CHILL'!A3377,"AAAAAD9n3to=")</f>
        <v>#VALUE!</v>
      </c>
      <c r="HL389" t="e">
        <f>AND('STERLING CATALOG - FZN &amp; CHILL'!B3377,"AAAAAD9n3ts=")</f>
        <v>#VALUE!</v>
      </c>
      <c r="HM389" t="e">
        <f>AND('STERLING CATALOG - FZN &amp; CHILL'!C3377,"AAAAAD9n3tw=")</f>
        <v>#VALUE!</v>
      </c>
      <c r="HN389" t="e">
        <f>AND('STERLING CATALOG - FZN &amp; CHILL'!D3377,"AAAAAD9n3t0=")</f>
        <v>#VALUE!</v>
      </c>
      <c r="HO389" t="e">
        <f>AND('STERLING CATALOG - FZN &amp; CHILL'!E3377,"AAAAAD9n3t4=")</f>
        <v>#VALUE!</v>
      </c>
      <c r="HP389" t="e">
        <f>AND('STERLING CATALOG - FZN &amp; CHILL'!F3377,"AAAAAD9n3t8=")</f>
        <v>#VALUE!</v>
      </c>
      <c r="HQ389" t="e">
        <f>AND('STERLING CATALOG - FZN &amp; CHILL'!G3377,"AAAAAD9n3uA=")</f>
        <v>#VALUE!</v>
      </c>
      <c r="HR389" t="e">
        <f>AND('STERLING CATALOG - FZN &amp; CHILL'!H3377,"AAAAAD9n3uE=")</f>
        <v>#VALUE!</v>
      </c>
      <c r="HS389" t="e">
        <f>AND('STERLING CATALOG - FZN &amp; CHILL'!I3377,"AAAAAD9n3uI=")</f>
        <v>#VALUE!</v>
      </c>
      <c r="HT389" t="e">
        <f>AND('STERLING CATALOG - FZN &amp; CHILL'!J3377,"AAAAAD9n3uM=")</f>
        <v>#VALUE!</v>
      </c>
      <c r="HU389">
        <f>IF('STERLING CATALOG - FZN &amp; CHILL'!3378:3378,"AAAAAD9n3uQ=",0)</f>
        <v>0</v>
      </c>
      <c r="HV389" t="e">
        <f>AND('STERLING CATALOG - FZN &amp; CHILL'!A3378,"AAAAAD9n3uU=")</f>
        <v>#VALUE!</v>
      </c>
      <c r="HW389" t="e">
        <f>AND('STERLING CATALOG - FZN &amp; CHILL'!B3378,"AAAAAD9n3uY=")</f>
        <v>#VALUE!</v>
      </c>
      <c r="HX389" t="e">
        <f>AND('STERLING CATALOG - FZN &amp; CHILL'!C3378,"AAAAAD9n3uc=")</f>
        <v>#VALUE!</v>
      </c>
      <c r="HY389" t="e">
        <f>AND('STERLING CATALOG - FZN &amp; CHILL'!D3378,"AAAAAD9n3ug=")</f>
        <v>#VALUE!</v>
      </c>
      <c r="HZ389" t="e">
        <f>AND('STERLING CATALOG - FZN &amp; CHILL'!E3378,"AAAAAD9n3uk=")</f>
        <v>#VALUE!</v>
      </c>
      <c r="IA389" t="e">
        <f>AND('STERLING CATALOG - FZN &amp; CHILL'!F3378,"AAAAAD9n3uo=")</f>
        <v>#VALUE!</v>
      </c>
      <c r="IB389" t="e">
        <f>AND('STERLING CATALOG - FZN &amp; CHILL'!G3378,"AAAAAD9n3us=")</f>
        <v>#VALUE!</v>
      </c>
      <c r="IC389" t="e">
        <f>AND('STERLING CATALOG - FZN &amp; CHILL'!H3378,"AAAAAD9n3uw=")</f>
        <v>#VALUE!</v>
      </c>
      <c r="ID389" t="e">
        <f>AND('STERLING CATALOG - FZN &amp; CHILL'!I3378,"AAAAAD9n3u0=")</f>
        <v>#VALUE!</v>
      </c>
      <c r="IE389" t="e">
        <f>AND('STERLING CATALOG - FZN &amp; CHILL'!J3378,"AAAAAD9n3u4=")</f>
        <v>#VALUE!</v>
      </c>
      <c r="IF389">
        <f>IF('STERLING CATALOG - FZN &amp; CHILL'!3379:3379,"AAAAAD9n3u8=",0)</f>
        <v>0</v>
      </c>
      <c r="IG389" t="e">
        <f>AND('STERLING CATALOG - FZN &amp; CHILL'!A3379,"AAAAAD9n3vA=")</f>
        <v>#VALUE!</v>
      </c>
      <c r="IH389" t="e">
        <f>AND('STERLING CATALOG - FZN &amp; CHILL'!B3379,"AAAAAD9n3vE=")</f>
        <v>#VALUE!</v>
      </c>
      <c r="II389" t="e">
        <f>AND('STERLING CATALOG - FZN &amp; CHILL'!C3379,"AAAAAD9n3vI=")</f>
        <v>#VALUE!</v>
      </c>
      <c r="IJ389" t="e">
        <f>AND('STERLING CATALOG - FZN &amp; CHILL'!D3379,"AAAAAD9n3vM=")</f>
        <v>#VALUE!</v>
      </c>
      <c r="IK389" t="e">
        <f>AND('STERLING CATALOG - FZN &amp; CHILL'!E3379,"AAAAAD9n3vQ=")</f>
        <v>#VALUE!</v>
      </c>
      <c r="IL389" t="e">
        <f>AND('STERLING CATALOG - FZN &amp; CHILL'!F3379,"AAAAAD9n3vU=")</f>
        <v>#VALUE!</v>
      </c>
      <c r="IM389" t="e">
        <f>AND('STERLING CATALOG - FZN &amp; CHILL'!G3379,"AAAAAD9n3vY=")</f>
        <v>#VALUE!</v>
      </c>
      <c r="IN389" t="e">
        <f>AND('STERLING CATALOG - FZN &amp; CHILL'!H3379,"AAAAAD9n3vc=")</f>
        <v>#VALUE!</v>
      </c>
      <c r="IO389" t="e">
        <f>AND('STERLING CATALOG - FZN &amp; CHILL'!I3379,"AAAAAD9n3vg=")</f>
        <v>#VALUE!</v>
      </c>
      <c r="IP389" t="e">
        <f>AND('STERLING CATALOG - FZN &amp; CHILL'!J3379,"AAAAAD9n3vk=")</f>
        <v>#VALUE!</v>
      </c>
      <c r="IQ389">
        <f>IF('STERLING CATALOG - FZN &amp; CHILL'!3380:3380,"AAAAAD9n3vo=",0)</f>
        <v>0</v>
      </c>
      <c r="IR389" t="e">
        <f>AND('STERLING CATALOG - FZN &amp; CHILL'!A3380,"AAAAAD9n3vs=")</f>
        <v>#VALUE!</v>
      </c>
      <c r="IS389" t="e">
        <f>AND('STERLING CATALOG - FZN &amp; CHILL'!B3380,"AAAAAD9n3vw=")</f>
        <v>#VALUE!</v>
      </c>
      <c r="IT389" t="e">
        <f>AND('STERLING CATALOG - FZN &amp; CHILL'!C3380,"AAAAAD9n3v0=")</f>
        <v>#VALUE!</v>
      </c>
      <c r="IU389" t="e">
        <f>AND('STERLING CATALOG - FZN &amp; CHILL'!D3380,"AAAAAD9n3v4=")</f>
        <v>#VALUE!</v>
      </c>
      <c r="IV389" t="e">
        <f>AND('STERLING CATALOG - FZN &amp; CHILL'!E3380,"AAAAAD9n3v8=")</f>
        <v>#VALUE!</v>
      </c>
    </row>
    <row r="390" spans="1:256">
      <c r="A390" t="e">
        <f>AND('STERLING CATALOG - FZN &amp; CHILL'!F3380,"AAAAADXr8wA=")</f>
        <v>#VALUE!</v>
      </c>
      <c r="B390" t="e">
        <f>AND('STERLING CATALOG - FZN &amp; CHILL'!G3380,"AAAAADXr8wE=")</f>
        <v>#VALUE!</v>
      </c>
      <c r="C390" t="e">
        <f>AND('STERLING CATALOG - FZN &amp; CHILL'!H3380,"AAAAADXr8wI=")</f>
        <v>#VALUE!</v>
      </c>
      <c r="D390" t="e">
        <f>AND('STERLING CATALOG - FZN &amp; CHILL'!I3380,"AAAAADXr8wM=")</f>
        <v>#VALUE!</v>
      </c>
      <c r="E390" t="e">
        <f>AND('STERLING CATALOG - FZN &amp; CHILL'!J3380,"AAAAADXr8wQ=")</f>
        <v>#VALUE!</v>
      </c>
      <c r="F390" t="str">
        <f>IF('STERLING CATALOG - FZN &amp; CHILL'!3381:3381,"AAAAADXr8wU=",0)</f>
        <v>AAAAADXr8wU=</v>
      </c>
      <c r="G390" t="e">
        <f>AND('STERLING CATALOG - FZN &amp; CHILL'!A3381,"AAAAADXr8wY=")</f>
        <v>#VALUE!</v>
      </c>
      <c r="H390" t="e">
        <f>AND('STERLING CATALOG - FZN &amp; CHILL'!B3381,"AAAAADXr8wc=")</f>
        <v>#VALUE!</v>
      </c>
      <c r="I390" t="e">
        <f>AND('STERLING CATALOG - FZN &amp; CHILL'!C3381,"AAAAADXr8wg=")</f>
        <v>#VALUE!</v>
      </c>
      <c r="J390" t="e">
        <f>AND('STERLING CATALOG - FZN &amp; CHILL'!D3381,"AAAAADXr8wk=")</f>
        <v>#VALUE!</v>
      </c>
      <c r="K390" t="e">
        <f>AND('STERLING CATALOG - FZN &amp; CHILL'!E3381,"AAAAADXr8wo=")</f>
        <v>#VALUE!</v>
      </c>
      <c r="L390" t="e">
        <f>AND('STERLING CATALOG - FZN &amp; CHILL'!F3381,"AAAAADXr8ws=")</f>
        <v>#VALUE!</v>
      </c>
      <c r="M390" t="e">
        <f>AND('STERLING CATALOG - FZN &amp; CHILL'!G3381,"AAAAADXr8ww=")</f>
        <v>#VALUE!</v>
      </c>
      <c r="N390" t="e">
        <f>AND('STERLING CATALOG - FZN &amp; CHILL'!H3381,"AAAAADXr8w0=")</f>
        <v>#VALUE!</v>
      </c>
      <c r="O390" t="e">
        <f>AND('STERLING CATALOG - FZN &amp; CHILL'!I3381,"AAAAADXr8w4=")</f>
        <v>#VALUE!</v>
      </c>
      <c r="P390" t="e">
        <f>AND('STERLING CATALOG - FZN &amp; CHILL'!J3381,"AAAAADXr8w8=")</f>
        <v>#VALUE!</v>
      </c>
      <c r="Q390">
        <f>IF('STERLING CATALOG - FZN &amp; CHILL'!3382:3382,"AAAAADXr8xA=",0)</f>
        <v>0</v>
      </c>
      <c r="R390" t="e">
        <f>AND('STERLING CATALOG - FZN &amp; CHILL'!A3382,"AAAAADXr8xE=")</f>
        <v>#VALUE!</v>
      </c>
      <c r="S390" t="e">
        <f>AND('STERLING CATALOG - FZN &amp; CHILL'!B3382,"AAAAADXr8xI=")</f>
        <v>#VALUE!</v>
      </c>
      <c r="T390" t="e">
        <f>AND('STERLING CATALOG - FZN &amp; CHILL'!C3382,"AAAAADXr8xM=")</f>
        <v>#VALUE!</v>
      </c>
      <c r="U390" t="e">
        <f>AND('STERLING CATALOG - FZN &amp; CHILL'!D3382,"AAAAADXr8xQ=")</f>
        <v>#VALUE!</v>
      </c>
      <c r="V390" t="e">
        <f>AND('STERLING CATALOG - FZN &amp; CHILL'!E3382,"AAAAADXr8xU=")</f>
        <v>#VALUE!</v>
      </c>
      <c r="W390" t="e">
        <f>AND('STERLING CATALOG - FZN &amp; CHILL'!F3382,"AAAAADXr8xY=")</f>
        <v>#VALUE!</v>
      </c>
      <c r="X390" t="e">
        <f>AND('STERLING CATALOG - FZN &amp; CHILL'!G3382,"AAAAADXr8xc=")</f>
        <v>#VALUE!</v>
      </c>
      <c r="Y390" t="e">
        <f>AND('STERLING CATALOG - FZN &amp; CHILL'!H3382,"AAAAADXr8xg=")</f>
        <v>#VALUE!</v>
      </c>
      <c r="Z390" t="e">
        <f>AND('STERLING CATALOG - FZN &amp; CHILL'!I3382,"AAAAADXr8xk=")</f>
        <v>#VALUE!</v>
      </c>
      <c r="AA390" t="e">
        <f>AND('STERLING CATALOG - FZN &amp; CHILL'!J3382,"AAAAADXr8xo=")</f>
        <v>#VALUE!</v>
      </c>
      <c r="AB390">
        <f>IF('STERLING CATALOG - FZN &amp; CHILL'!3383:3383,"AAAAADXr8xs=",0)</f>
        <v>0</v>
      </c>
      <c r="AC390" t="e">
        <f>AND('STERLING CATALOG - FZN &amp; CHILL'!A3383,"AAAAADXr8xw=")</f>
        <v>#VALUE!</v>
      </c>
      <c r="AD390" t="e">
        <f>AND('STERLING CATALOG - FZN &amp; CHILL'!B3383,"AAAAADXr8x0=")</f>
        <v>#VALUE!</v>
      </c>
      <c r="AE390" t="e">
        <f>AND('STERLING CATALOG - FZN &amp; CHILL'!C3383,"AAAAADXr8x4=")</f>
        <v>#VALUE!</v>
      </c>
      <c r="AF390" t="e">
        <f>AND('STERLING CATALOG - FZN &amp; CHILL'!D3383,"AAAAADXr8x8=")</f>
        <v>#VALUE!</v>
      </c>
      <c r="AG390" t="e">
        <f>AND('STERLING CATALOG - FZN &amp; CHILL'!E3383,"AAAAADXr8yA=")</f>
        <v>#VALUE!</v>
      </c>
      <c r="AH390" t="e">
        <f>AND('STERLING CATALOG - FZN &amp; CHILL'!F3383,"AAAAADXr8yE=")</f>
        <v>#VALUE!</v>
      </c>
      <c r="AI390" t="e">
        <f>AND('STERLING CATALOG - FZN &amp; CHILL'!G3383,"AAAAADXr8yI=")</f>
        <v>#VALUE!</v>
      </c>
      <c r="AJ390" t="e">
        <f>AND('STERLING CATALOG - FZN &amp; CHILL'!H3383,"AAAAADXr8yM=")</f>
        <v>#VALUE!</v>
      </c>
      <c r="AK390" t="e">
        <f>AND('STERLING CATALOG - FZN &amp; CHILL'!I3383,"AAAAADXr8yQ=")</f>
        <v>#VALUE!</v>
      </c>
      <c r="AL390" t="e">
        <f>AND('STERLING CATALOG - FZN &amp; CHILL'!J3383,"AAAAADXr8yU=")</f>
        <v>#VALUE!</v>
      </c>
      <c r="AM390">
        <f>IF('STERLING CATALOG - FZN &amp; CHILL'!3384:3384,"AAAAADXr8yY=",0)</f>
        <v>0</v>
      </c>
      <c r="AN390" t="e">
        <f>AND('STERLING CATALOG - FZN &amp; CHILL'!A3384,"AAAAADXr8yc=")</f>
        <v>#VALUE!</v>
      </c>
      <c r="AO390" t="e">
        <f>AND('STERLING CATALOG - FZN &amp; CHILL'!B3384,"AAAAADXr8yg=")</f>
        <v>#VALUE!</v>
      </c>
      <c r="AP390" t="e">
        <f>AND('STERLING CATALOG - FZN &amp; CHILL'!C3384,"AAAAADXr8yk=")</f>
        <v>#VALUE!</v>
      </c>
      <c r="AQ390" t="e">
        <f>AND('STERLING CATALOG - FZN &amp; CHILL'!D3384,"AAAAADXr8yo=")</f>
        <v>#VALUE!</v>
      </c>
      <c r="AR390" t="e">
        <f>AND('STERLING CATALOG - FZN &amp; CHILL'!E3384,"AAAAADXr8ys=")</f>
        <v>#VALUE!</v>
      </c>
      <c r="AS390" t="e">
        <f>AND('STERLING CATALOG - FZN &amp; CHILL'!F3384,"AAAAADXr8yw=")</f>
        <v>#VALUE!</v>
      </c>
      <c r="AT390" t="e">
        <f>AND('STERLING CATALOG - FZN &amp; CHILL'!G3384,"AAAAADXr8y0=")</f>
        <v>#VALUE!</v>
      </c>
      <c r="AU390" t="e">
        <f>AND('STERLING CATALOG - FZN &amp; CHILL'!H3384,"AAAAADXr8y4=")</f>
        <v>#VALUE!</v>
      </c>
      <c r="AV390" t="e">
        <f>AND('STERLING CATALOG - FZN &amp; CHILL'!I3384,"AAAAADXr8y8=")</f>
        <v>#VALUE!</v>
      </c>
      <c r="AW390" t="e">
        <f>AND('STERLING CATALOG - FZN &amp; CHILL'!J3384,"AAAAADXr8zA=")</f>
        <v>#VALUE!</v>
      </c>
      <c r="AX390">
        <f>IF('STERLING CATALOG - FZN &amp; CHILL'!3385:3385,"AAAAADXr8zE=",0)</f>
        <v>0</v>
      </c>
      <c r="AY390" t="e">
        <f>AND('STERLING CATALOG - FZN &amp; CHILL'!A3385,"AAAAADXr8zI=")</f>
        <v>#VALUE!</v>
      </c>
      <c r="AZ390" t="e">
        <f>AND('STERLING CATALOG - FZN &amp; CHILL'!B3385,"AAAAADXr8zM=")</f>
        <v>#VALUE!</v>
      </c>
      <c r="BA390" t="e">
        <f>AND('STERLING CATALOG - FZN &amp; CHILL'!C3385,"AAAAADXr8zQ=")</f>
        <v>#VALUE!</v>
      </c>
      <c r="BB390" t="e">
        <f>AND('STERLING CATALOG - FZN &amp; CHILL'!D3385,"AAAAADXr8zU=")</f>
        <v>#VALUE!</v>
      </c>
      <c r="BC390" t="e">
        <f>AND('STERLING CATALOG - FZN &amp; CHILL'!E3385,"AAAAADXr8zY=")</f>
        <v>#VALUE!</v>
      </c>
      <c r="BD390" t="e">
        <f>AND('STERLING CATALOG - FZN &amp; CHILL'!F3385,"AAAAADXr8zc=")</f>
        <v>#VALUE!</v>
      </c>
      <c r="BE390" t="e">
        <f>AND('STERLING CATALOG - FZN &amp; CHILL'!G3385,"AAAAADXr8zg=")</f>
        <v>#VALUE!</v>
      </c>
      <c r="BF390" t="e">
        <f>AND('STERLING CATALOG - FZN &amp; CHILL'!H3385,"AAAAADXr8zk=")</f>
        <v>#VALUE!</v>
      </c>
      <c r="BG390" t="e">
        <f>AND('STERLING CATALOG - FZN &amp; CHILL'!I3385,"AAAAADXr8zo=")</f>
        <v>#VALUE!</v>
      </c>
      <c r="BH390" t="e">
        <f>AND('STERLING CATALOG - FZN &amp; CHILL'!J3385,"AAAAADXr8zs=")</f>
        <v>#VALUE!</v>
      </c>
      <c r="BI390">
        <f>IF('STERLING CATALOG - FZN &amp; CHILL'!3386:3386,"AAAAADXr8zw=",0)</f>
        <v>0</v>
      </c>
      <c r="BJ390" t="e">
        <f>AND('STERLING CATALOG - FZN &amp; CHILL'!A3386,"AAAAADXr8z0=")</f>
        <v>#VALUE!</v>
      </c>
      <c r="BK390" t="e">
        <f>AND('STERLING CATALOG - FZN &amp; CHILL'!B3386,"AAAAADXr8z4=")</f>
        <v>#VALUE!</v>
      </c>
      <c r="BL390" t="e">
        <f>AND('STERLING CATALOG - FZN &amp; CHILL'!C3386,"AAAAADXr8z8=")</f>
        <v>#VALUE!</v>
      </c>
      <c r="BM390" t="e">
        <f>AND('STERLING CATALOG - FZN &amp; CHILL'!D3386,"AAAAADXr80A=")</f>
        <v>#VALUE!</v>
      </c>
      <c r="BN390" t="e">
        <f>AND('STERLING CATALOG - FZN &amp; CHILL'!E3386,"AAAAADXr80E=")</f>
        <v>#VALUE!</v>
      </c>
      <c r="BO390" t="e">
        <f>AND('STERLING CATALOG - FZN &amp; CHILL'!F3386,"AAAAADXr80I=")</f>
        <v>#VALUE!</v>
      </c>
      <c r="BP390" t="e">
        <f>AND('STERLING CATALOG - FZN &amp; CHILL'!G3386,"AAAAADXr80M=")</f>
        <v>#VALUE!</v>
      </c>
      <c r="BQ390" t="e">
        <f>AND('STERLING CATALOG - FZN &amp; CHILL'!H3386,"AAAAADXr80Q=")</f>
        <v>#VALUE!</v>
      </c>
      <c r="BR390" t="e">
        <f>AND('STERLING CATALOG - FZN &amp; CHILL'!I3386,"AAAAADXr80U=")</f>
        <v>#VALUE!</v>
      </c>
      <c r="BS390" t="e">
        <f>AND('STERLING CATALOG - FZN &amp; CHILL'!J3386,"AAAAADXr80Y=")</f>
        <v>#VALUE!</v>
      </c>
      <c r="BT390">
        <f>IF('STERLING CATALOG - FZN &amp; CHILL'!3387:3387,"AAAAADXr80c=",0)</f>
        <v>0</v>
      </c>
      <c r="BU390" t="e">
        <f>AND('STERLING CATALOG - FZN &amp; CHILL'!A3387,"AAAAADXr80g=")</f>
        <v>#VALUE!</v>
      </c>
      <c r="BV390" t="e">
        <f>AND('STERLING CATALOG - FZN &amp; CHILL'!B3387,"AAAAADXr80k=")</f>
        <v>#VALUE!</v>
      </c>
      <c r="BW390" t="e">
        <f>AND('STERLING CATALOG - FZN &amp; CHILL'!C3387,"AAAAADXr80o=")</f>
        <v>#VALUE!</v>
      </c>
      <c r="BX390" t="e">
        <f>AND('STERLING CATALOG - FZN &amp; CHILL'!D3387,"AAAAADXr80s=")</f>
        <v>#VALUE!</v>
      </c>
      <c r="BY390" t="e">
        <f>AND('STERLING CATALOG - FZN &amp; CHILL'!E3387,"AAAAADXr80w=")</f>
        <v>#VALUE!</v>
      </c>
      <c r="BZ390" t="e">
        <f>AND('STERLING CATALOG - FZN &amp; CHILL'!F3387,"AAAAADXr800=")</f>
        <v>#VALUE!</v>
      </c>
      <c r="CA390" t="e">
        <f>AND('STERLING CATALOG - FZN &amp; CHILL'!G3387,"AAAAADXr804=")</f>
        <v>#VALUE!</v>
      </c>
      <c r="CB390" t="e">
        <f>AND('STERLING CATALOG - FZN &amp; CHILL'!H3387,"AAAAADXr808=")</f>
        <v>#VALUE!</v>
      </c>
      <c r="CC390" t="e">
        <f>AND('STERLING CATALOG - FZN &amp; CHILL'!I3387,"AAAAADXr81A=")</f>
        <v>#VALUE!</v>
      </c>
      <c r="CD390" t="e">
        <f>AND('STERLING CATALOG - FZN &amp; CHILL'!J3387,"AAAAADXr81E=")</f>
        <v>#VALUE!</v>
      </c>
      <c r="CE390">
        <f>IF('STERLING CATALOG - FZN &amp; CHILL'!3388:3388,"AAAAADXr81I=",0)</f>
        <v>0</v>
      </c>
      <c r="CF390" t="e">
        <f>AND('STERLING CATALOG - FZN &amp; CHILL'!A3388,"AAAAADXr81M=")</f>
        <v>#VALUE!</v>
      </c>
      <c r="CG390" t="e">
        <f>AND('STERLING CATALOG - FZN &amp; CHILL'!B3388,"AAAAADXr81Q=")</f>
        <v>#VALUE!</v>
      </c>
      <c r="CH390" t="e">
        <f>AND('STERLING CATALOG - FZN &amp; CHILL'!C3388,"AAAAADXr81U=")</f>
        <v>#VALUE!</v>
      </c>
      <c r="CI390" t="e">
        <f>AND('STERLING CATALOG - FZN &amp; CHILL'!D3388,"AAAAADXr81Y=")</f>
        <v>#VALUE!</v>
      </c>
      <c r="CJ390" t="e">
        <f>AND('STERLING CATALOG - FZN &amp; CHILL'!E3388,"AAAAADXr81c=")</f>
        <v>#VALUE!</v>
      </c>
      <c r="CK390" t="e">
        <f>AND('STERLING CATALOG - FZN &amp; CHILL'!F3388,"AAAAADXr81g=")</f>
        <v>#VALUE!</v>
      </c>
      <c r="CL390" t="e">
        <f>AND('STERLING CATALOG - FZN &amp; CHILL'!G3388,"AAAAADXr81k=")</f>
        <v>#VALUE!</v>
      </c>
      <c r="CM390" t="e">
        <f>AND('STERLING CATALOG - FZN &amp; CHILL'!H3388,"AAAAADXr81o=")</f>
        <v>#VALUE!</v>
      </c>
      <c r="CN390" t="e">
        <f>AND('STERLING CATALOG - FZN &amp; CHILL'!I3388,"AAAAADXr81s=")</f>
        <v>#VALUE!</v>
      </c>
      <c r="CO390" t="e">
        <f>AND('STERLING CATALOG - FZN &amp; CHILL'!J3388,"AAAAADXr81w=")</f>
        <v>#VALUE!</v>
      </c>
      <c r="CP390">
        <f>IF('STERLING CATALOG - FZN &amp; CHILL'!3389:3389,"AAAAADXr810=",0)</f>
        <v>0</v>
      </c>
      <c r="CQ390" t="e">
        <f>AND('STERLING CATALOG - FZN &amp; CHILL'!A3389,"AAAAADXr814=")</f>
        <v>#VALUE!</v>
      </c>
      <c r="CR390" t="e">
        <f>AND('STERLING CATALOG - FZN &amp; CHILL'!B3389,"AAAAADXr818=")</f>
        <v>#VALUE!</v>
      </c>
      <c r="CS390" t="e">
        <f>AND('STERLING CATALOG - FZN &amp; CHILL'!C3389,"AAAAADXr82A=")</f>
        <v>#VALUE!</v>
      </c>
      <c r="CT390" t="e">
        <f>AND('STERLING CATALOG - FZN &amp; CHILL'!D3389,"AAAAADXr82E=")</f>
        <v>#VALUE!</v>
      </c>
      <c r="CU390" t="e">
        <f>AND('STERLING CATALOG - FZN &amp; CHILL'!E3389,"AAAAADXr82I=")</f>
        <v>#VALUE!</v>
      </c>
      <c r="CV390" t="e">
        <f>AND('STERLING CATALOG - FZN &amp; CHILL'!F3389,"AAAAADXr82M=")</f>
        <v>#VALUE!</v>
      </c>
      <c r="CW390" t="e">
        <f>AND('STERLING CATALOG - FZN &amp; CHILL'!G3389,"AAAAADXr82Q=")</f>
        <v>#VALUE!</v>
      </c>
      <c r="CX390" t="e">
        <f>AND('STERLING CATALOG - FZN &amp; CHILL'!H3389,"AAAAADXr82U=")</f>
        <v>#VALUE!</v>
      </c>
      <c r="CY390" t="e">
        <f>AND('STERLING CATALOG - FZN &amp; CHILL'!I3389,"AAAAADXr82Y=")</f>
        <v>#VALUE!</v>
      </c>
      <c r="CZ390" t="e">
        <f>AND('STERLING CATALOG - FZN &amp; CHILL'!J3389,"AAAAADXr82c=")</f>
        <v>#VALUE!</v>
      </c>
      <c r="DA390">
        <f>IF('STERLING CATALOG - FZN &amp; CHILL'!3390:3390,"AAAAADXr82g=",0)</f>
        <v>0</v>
      </c>
      <c r="DB390" t="e">
        <f>AND('STERLING CATALOG - FZN &amp; CHILL'!A3390,"AAAAADXr82k=")</f>
        <v>#VALUE!</v>
      </c>
      <c r="DC390" t="e">
        <f>AND('STERLING CATALOG - FZN &amp; CHILL'!B3390,"AAAAADXr82o=")</f>
        <v>#VALUE!</v>
      </c>
      <c r="DD390" t="e">
        <f>AND('STERLING CATALOG - FZN &amp; CHILL'!C3390,"AAAAADXr82s=")</f>
        <v>#VALUE!</v>
      </c>
      <c r="DE390" t="e">
        <f>AND('STERLING CATALOG - FZN &amp; CHILL'!D3390,"AAAAADXr82w=")</f>
        <v>#VALUE!</v>
      </c>
      <c r="DF390" t="e">
        <f>AND('STERLING CATALOG - FZN &amp; CHILL'!E3390,"AAAAADXr820=")</f>
        <v>#VALUE!</v>
      </c>
      <c r="DG390" t="e">
        <f>AND('STERLING CATALOG - FZN &amp; CHILL'!F3390,"AAAAADXr824=")</f>
        <v>#VALUE!</v>
      </c>
      <c r="DH390" t="e">
        <f>AND('STERLING CATALOG - FZN &amp; CHILL'!G3390,"AAAAADXr828=")</f>
        <v>#VALUE!</v>
      </c>
      <c r="DI390" t="e">
        <f>AND('STERLING CATALOG - FZN &amp; CHILL'!H3390,"AAAAADXr83A=")</f>
        <v>#VALUE!</v>
      </c>
      <c r="DJ390" t="e">
        <f>AND('STERLING CATALOG - FZN &amp; CHILL'!I3390,"AAAAADXr83E=")</f>
        <v>#VALUE!</v>
      </c>
      <c r="DK390" t="e">
        <f>AND('STERLING CATALOG - FZN &amp; CHILL'!J3390,"AAAAADXr83I=")</f>
        <v>#VALUE!</v>
      </c>
      <c r="DL390">
        <f>IF('STERLING CATALOG - FZN &amp; CHILL'!3391:3391,"AAAAADXr83M=",0)</f>
        <v>0</v>
      </c>
      <c r="DM390" t="e">
        <f>AND('STERLING CATALOG - FZN &amp; CHILL'!A3391,"AAAAADXr83Q=")</f>
        <v>#VALUE!</v>
      </c>
      <c r="DN390" t="e">
        <f>AND('STERLING CATALOG - FZN &amp; CHILL'!B3391,"AAAAADXr83U=")</f>
        <v>#VALUE!</v>
      </c>
      <c r="DO390" t="e">
        <f>AND('STERLING CATALOG - FZN &amp; CHILL'!C3391,"AAAAADXr83Y=")</f>
        <v>#VALUE!</v>
      </c>
      <c r="DP390" t="e">
        <f>AND('STERLING CATALOG - FZN &amp; CHILL'!D3391,"AAAAADXr83c=")</f>
        <v>#VALUE!</v>
      </c>
      <c r="DQ390" t="e">
        <f>AND('STERLING CATALOG - FZN &amp; CHILL'!E3391,"AAAAADXr83g=")</f>
        <v>#VALUE!</v>
      </c>
      <c r="DR390" t="e">
        <f>AND('STERLING CATALOG - FZN &amp; CHILL'!F3391,"AAAAADXr83k=")</f>
        <v>#VALUE!</v>
      </c>
      <c r="DS390" t="e">
        <f>AND('STERLING CATALOG - FZN &amp; CHILL'!G3391,"AAAAADXr83o=")</f>
        <v>#VALUE!</v>
      </c>
      <c r="DT390" t="e">
        <f>AND('STERLING CATALOG - FZN &amp; CHILL'!H3391,"AAAAADXr83s=")</f>
        <v>#VALUE!</v>
      </c>
      <c r="DU390" t="e">
        <f>AND('STERLING CATALOG - FZN &amp; CHILL'!I3391,"AAAAADXr83w=")</f>
        <v>#VALUE!</v>
      </c>
      <c r="DV390" t="e">
        <f>AND('STERLING CATALOG - FZN &amp; CHILL'!J3391,"AAAAADXr830=")</f>
        <v>#VALUE!</v>
      </c>
      <c r="DW390">
        <f>IF('STERLING CATALOG - FZN &amp; CHILL'!3392:3392,"AAAAADXr834=",0)</f>
        <v>0</v>
      </c>
      <c r="DX390" t="e">
        <f>AND('STERLING CATALOG - FZN &amp; CHILL'!A3392,"AAAAADXr838=")</f>
        <v>#VALUE!</v>
      </c>
      <c r="DY390" t="e">
        <f>AND('STERLING CATALOG - FZN &amp; CHILL'!B3392,"AAAAADXr84A=")</f>
        <v>#VALUE!</v>
      </c>
      <c r="DZ390" t="e">
        <f>AND('STERLING CATALOG - FZN &amp; CHILL'!C3392,"AAAAADXr84E=")</f>
        <v>#VALUE!</v>
      </c>
      <c r="EA390" t="e">
        <f>AND('STERLING CATALOG - FZN &amp; CHILL'!D3392,"AAAAADXr84I=")</f>
        <v>#VALUE!</v>
      </c>
      <c r="EB390" t="e">
        <f>AND('STERLING CATALOG - FZN &amp; CHILL'!E3392,"AAAAADXr84M=")</f>
        <v>#VALUE!</v>
      </c>
      <c r="EC390" t="e">
        <f>AND('STERLING CATALOG - FZN &amp; CHILL'!F3392,"AAAAADXr84Q=")</f>
        <v>#VALUE!</v>
      </c>
      <c r="ED390" t="e">
        <f>AND('STERLING CATALOG - FZN &amp; CHILL'!G3392,"AAAAADXr84U=")</f>
        <v>#VALUE!</v>
      </c>
      <c r="EE390" t="e">
        <f>AND('STERLING CATALOG - FZN &amp; CHILL'!H3392,"AAAAADXr84Y=")</f>
        <v>#VALUE!</v>
      </c>
      <c r="EF390" t="e">
        <f>AND('STERLING CATALOG - FZN &amp; CHILL'!I3392,"AAAAADXr84c=")</f>
        <v>#VALUE!</v>
      </c>
      <c r="EG390" t="e">
        <f>AND('STERLING CATALOG - FZN &amp; CHILL'!J3392,"AAAAADXr84g=")</f>
        <v>#VALUE!</v>
      </c>
      <c r="EH390">
        <f>IF('STERLING CATALOG - FZN &amp; CHILL'!3393:3393,"AAAAADXr84k=",0)</f>
        <v>0</v>
      </c>
      <c r="EI390" t="e">
        <f>AND('STERLING CATALOG - FZN &amp; CHILL'!A3393,"AAAAADXr84o=")</f>
        <v>#VALUE!</v>
      </c>
      <c r="EJ390" t="e">
        <f>AND('STERLING CATALOG - FZN &amp; CHILL'!B3393,"AAAAADXr84s=")</f>
        <v>#VALUE!</v>
      </c>
      <c r="EK390" t="e">
        <f>AND('STERLING CATALOG - FZN &amp; CHILL'!C3393,"AAAAADXr84w=")</f>
        <v>#VALUE!</v>
      </c>
      <c r="EL390" t="e">
        <f>AND('STERLING CATALOG - FZN &amp; CHILL'!D3393,"AAAAADXr840=")</f>
        <v>#VALUE!</v>
      </c>
      <c r="EM390" t="e">
        <f>AND('STERLING CATALOG - FZN &amp; CHILL'!E3393,"AAAAADXr844=")</f>
        <v>#VALUE!</v>
      </c>
      <c r="EN390" t="e">
        <f>AND('STERLING CATALOG - FZN &amp; CHILL'!F3393,"AAAAADXr848=")</f>
        <v>#VALUE!</v>
      </c>
      <c r="EO390" t="e">
        <f>AND('STERLING CATALOG - FZN &amp; CHILL'!G3393,"AAAAADXr85A=")</f>
        <v>#VALUE!</v>
      </c>
      <c r="EP390" t="e">
        <f>AND('STERLING CATALOG - FZN &amp; CHILL'!H3393,"AAAAADXr85E=")</f>
        <v>#VALUE!</v>
      </c>
      <c r="EQ390" t="e">
        <f>AND('STERLING CATALOG - FZN &amp; CHILL'!I3393,"AAAAADXr85I=")</f>
        <v>#VALUE!</v>
      </c>
      <c r="ER390" t="e">
        <f>AND('STERLING CATALOG - FZN &amp; CHILL'!J3393,"AAAAADXr85M=")</f>
        <v>#VALUE!</v>
      </c>
      <c r="ES390">
        <f>IF('STERLING CATALOG - FZN &amp; CHILL'!3394:3394,"AAAAADXr85Q=",0)</f>
        <v>0</v>
      </c>
      <c r="ET390" t="e">
        <f>AND('STERLING CATALOG - FZN &amp; CHILL'!A3394,"AAAAADXr85U=")</f>
        <v>#VALUE!</v>
      </c>
      <c r="EU390" t="e">
        <f>AND('STERLING CATALOG - FZN &amp; CHILL'!B3394,"AAAAADXr85Y=")</f>
        <v>#VALUE!</v>
      </c>
      <c r="EV390" t="e">
        <f>AND('STERLING CATALOG - FZN &amp; CHILL'!C3394,"AAAAADXr85c=")</f>
        <v>#VALUE!</v>
      </c>
      <c r="EW390" t="e">
        <f>AND('STERLING CATALOG - FZN &amp; CHILL'!D3394,"AAAAADXr85g=")</f>
        <v>#VALUE!</v>
      </c>
      <c r="EX390" t="e">
        <f>AND('STERLING CATALOG - FZN &amp; CHILL'!E3394,"AAAAADXr85k=")</f>
        <v>#VALUE!</v>
      </c>
      <c r="EY390" t="e">
        <f>AND('STERLING CATALOG - FZN &amp; CHILL'!F3394,"AAAAADXr85o=")</f>
        <v>#VALUE!</v>
      </c>
      <c r="EZ390" t="e">
        <f>AND('STERLING CATALOG - FZN &amp; CHILL'!G3394,"AAAAADXr85s=")</f>
        <v>#VALUE!</v>
      </c>
      <c r="FA390" t="e">
        <f>AND('STERLING CATALOG - FZN &amp; CHILL'!H3394,"AAAAADXr85w=")</f>
        <v>#VALUE!</v>
      </c>
      <c r="FB390" t="e">
        <f>AND('STERLING CATALOG - FZN &amp; CHILL'!I3394,"AAAAADXr850=")</f>
        <v>#VALUE!</v>
      </c>
      <c r="FC390" t="e">
        <f>AND('STERLING CATALOG - FZN &amp; CHILL'!J3394,"AAAAADXr854=")</f>
        <v>#VALUE!</v>
      </c>
      <c r="FD390">
        <f>IF('STERLING CATALOG - FZN &amp; CHILL'!3395:3395,"AAAAADXr858=",0)</f>
        <v>0</v>
      </c>
      <c r="FE390" t="e">
        <f>AND('STERLING CATALOG - FZN &amp; CHILL'!A3395,"AAAAADXr86A=")</f>
        <v>#VALUE!</v>
      </c>
      <c r="FF390" t="e">
        <f>AND('STERLING CATALOG - FZN &amp; CHILL'!B3395,"AAAAADXr86E=")</f>
        <v>#VALUE!</v>
      </c>
      <c r="FG390" t="e">
        <f>AND('STERLING CATALOG - FZN &amp; CHILL'!C3395,"AAAAADXr86I=")</f>
        <v>#VALUE!</v>
      </c>
      <c r="FH390" t="e">
        <f>AND('STERLING CATALOG - FZN &amp; CHILL'!D3395,"AAAAADXr86M=")</f>
        <v>#VALUE!</v>
      </c>
      <c r="FI390" t="e">
        <f>AND('STERLING CATALOG - FZN &amp; CHILL'!E3395,"AAAAADXr86Q=")</f>
        <v>#VALUE!</v>
      </c>
      <c r="FJ390" t="e">
        <f>AND('STERLING CATALOG - FZN &amp; CHILL'!F3395,"AAAAADXr86U=")</f>
        <v>#VALUE!</v>
      </c>
      <c r="FK390" t="e">
        <f>AND('STERLING CATALOG - FZN &amp; CHILL'!G3395,"AAAAADXr86Y=")</f>
        <v>#VALUE!</v>
      </c>
      <c r="FL390" t="e">
        <f>AND('STERLING CATALOG - FZN &amp; CHILL'!H3395,"AAAAADXr86c=")</f>
        <v>#VALUE!</v>
      </c>
      <c r="FM390" t="e">
        <f>AND('STERLING CATALOG - FZN &amp; CHILL'!I3395,"AAAAADXr86g=")</f>
        <v>#VALUE!</v>
      </c>
      <c r="FN390" t="e">
        <f>AND('STERLING CATALOG - FZN &amp; CHILL'!J3395,"AAAAADXr86k=")</f>
        <v>#VALUE!</v>
      </c>
      <c r="FO390">
        <f>IF('STERLING CATALOG - FZN &amp; CHILL'!3396:3396,"AAAAADXr86o=",0)</f>
        <v>0</v>
      </c>
      <c r="FP390" t="e">
        <f>AND('STERLING CATALOG - FZN &amp; CHILL'!A3396,"AAAAADXr86s=")</f>
        <v>#VALUE!</v>
      </c>
      <c r="FQ390" t="e">
        <f>AND('STERLING CATALOG - FZN &amp; CHILL'!B3396,"AAAAADXr86w=")</f>
        <v>#VALUE!</v>
      </c>
      <c r="FR390" t="e">
        <f>AND('STERLING CATALOG - FZN &amp; CHILL'!C3396,"AAAAADXr860=")</f>
        <v>#VALUE!</v>
      </c>
      <c r="FS390" t="e">
        <f>AND('STERLING CATALOG - FZN &amp; CHILL'!D3396,"AAAAADXr864=")</f>
        <v>#VALUE!</v>
      </c>
      <c r="FT390" t="e">
        <f>AND('STERLING CATALOG - FZN &amp; CHILL'!E3396,"AAAAADXr868=")</f>
        <v>#VALUE!</v>
      </c>
      <c r="FU390" t="e">
        <f>AND('STERLING CATALOG - FZN &amp; CHILL'!F3396,"AAAAADXr87A=")</f>
        <v>#VALUE!</v>
      </c>
      <c r="FV390" t="e">
        <f>AND('STERLING CATALOG - FZN &amp; CHILL'!G3396,"AAAAADXr87E=")</f>
        <v>#VALUE!</v>
      </c>
      <c r="FW390" t="e">
        <f>AND('STERLING CATALOG - FZN &amp; CHILL'!H3396,"AAAAADXr87I=")</f>
        <v>#VALUE!</v>
      </c>
      <c r="FX390" t="e">
        <f>AND('STERLING CATALOG - FZN &amp; CHILL'!I3396,"AAAAADXr87M=")</f>
        <v>#VALUE!</v>
      </c>
      <c r="FY390" t="e">
        <f>AND('STERLING CATALOG - FZN &amp; CHILL'!J3396,"AAAAADXr87Q=")</f>
        <v>#VALUE!</v>
      </c>
      <c r="FZ390">
        <f>IF('STERLING CATALOG - FZN &amp; CHILL'!3397:3397,"AAAAADXr87U=",0)</f>
        <v>0</v>
      </c>
      <c r="GA390" t="e">
        <f>AND('STERLING CATALOG - FZN &amp; CHILL'!A3397,"AAAAADXr87Y=")</f>
        <v>#VALUE!</v>
      </c>
      <c r="GB390" t="e">
        <f>AND('STERLING CATALOG - FZN &amp; CHILL'!B3397,"AAAAADXr87c=")</f>
        <v>#VALUE!</v>
      </c>
      <c r="GC390" t="e">
        <f>AND('STERLING CATALOG - FZN &amp; CHILL'!C3397,"AAAAADXr87g=")</f>
        <v>#VALUE!</v>
      </c>
      <c r="GD390" t="e">
        <f>AND('STERLING CATALOG - FZN &amp; CHILL'!D3397,"AAAAADXr87k=")</f>
        <v>#VALUE!</v>
      </c>
      <c r="GE390" t="e">
        <f>AND('STERLING CATALOG - FZN &amp; CHILL'!E3397,"AAAAADXr87o=")</f>
        <v>#VALUE!</v>
      </c>
      <c r="GF390" t="e">
        <f>AND('STERLING CATALOG - FZN &amp; CHILL'!F3397,"AAAAADXr87s=")</f>
        <v>#VALUE!</v>
      </c>
      <c r="GG390" t="e">
        <f>AND('STERLING CATALOG - FZN &amp; CHILL'!G3397,"AAAAADXr87w=")</f>
        <v>#VALUE!</v>
      </c>
      <c r="GH390" t="e">
        <f>AND('STERLING CATALOG - FZN &amp; CHILL'!H3397,"AAAAADXr870=")</f>
        <v>#VALUE!</v>
      </c>
      <c r="GI390" t="e">
        <f>AND('STERLING CATALOG - FZN &amp; CHILL'!I3397,"AAAAADXr874=")</f>
        <v>#VALUE!</v>
      </c>
      <c r="GJ390" t="e">
        <f>AND('STERLING CATALOG - FZN &amp; CHILL'!J3397,"AAAAADXr878=")</f>
        <v>#VALUE!</v>
      </c>
      <c r="GK390">
        <f>IF('STERLING CATALOG - FZN &amp; CHILL'!3398:3398,"AAAAADXr88A=",0)</f>
        <v>0</v>
      </c>
      <c r="GL390" t="e">
        <f>AND('STERLING CATALOG - FZN &amp; CHILL'!A3398,"AAAAADXr88E=")</f>
        <v>#VALUE!</v>
      </c>
      <c r="GM390" t="e">
        <f>AND('STERLING CATALOG - FZN &amp; CHILL'!B3398,"AAAAADXr88I=")</f>
        <v>#VALUE!</v>
      </c>
      <c r="GN390" t="e">
        <f>AND('STERLING CATALOG - FZN &amp; CHILL'!C3398,"AAAAADXr88M=")</f>
        <v>#VALUE!</v>
      </c>
      <c r="GO390" t="e">
        <f>AND('STERLING CATALOG - FZN &amp; CHILL'!D3398,"AAAAADXr88Q=")</f>
        <v>#VALUE!</v>
      </c>
      <c r="GP390" t="e">
        <f>AND('STERLING CATALOG - FZN &amp; CHILL'!E3398,"AAAAADXr88U=")</f>
        <v>#VALUE!</v>
      </c>
      <c r="GQ390" t="e">
        <f>AND('STERLING CATALOG - FZN &amp; CHILL'!F3398,"AAAAADXr88Y=")</f>
        <v>#VALUE!</v>
      </c>
      <c r="GR390" t="e">
        <f>AND('STERLING CATALOG - FZN &amp; CHILL'!G3398,"AAAAADXr88c=")</f>
        <v>#VALUE!</v>
      </c>
      <c r="GS390" t="e">
        <f>AND('STERLING CATALOG - FZN &amp; CHILL'!H3398,"AAAAADXr88g=")</f>
        <v>#VALUE!</v>
      </c>
      <c r="GT390" t="e">
        <f>AND('STERLING CATALOG - FZN &amp; CHILL'!I3398,"AAAAADXr88k=")</f>
        <v>#VALUE!</v>
      </c>
      <c r="GU390" t="e">
        <f>AND('STERLING CATALOG - FZN &amp; CHILL'!J3398,"AAAAADXr88o=")</f>
        <v>#VALUE!</v>
      </c>
      <c r="GV390">
        <f>IF('STERLING CATALOG - FZN &amp; CHILL'!3399:3399,"AAAAADXr88s=",0)</f>
        <v>0</v>
      </c>
      <c r="GW390" t="e">
        <f>AND('STERLING CATALOG - FZN &amp; CHILL'!A3399,"AAAAADXr88w=")</f>
        <v>#VALUE!</v>
      </c>
      <c r="GX390" t="e">
        <f>AND('STERLING CATALOG - FZN &amp; CHILL'!B3399,"AAAAADXr880=")</f>
        <v>#VALUE!</v>
      </c>
      <c r="GY390" t="e">
        <f>AND('STERLING CATALOG - FZN &amp; CHILL'!C3399,"AAAAADXr884=")</f>
        <v>#VALUE!</v>
      </c>
      <c r="GZ390" t="e">
        <f>AND('STERLING CATALOG - FZN &amp; CHILL'!D3399,"AAAAADXr888=")</f>
        <v>#VALUE!</v>
      </c>
      <c r="HA390" t="e">
        <f>AND('STERLING CATALOG - FZN &amp; CHILL'!E3399,"AAAAADXr89A=")</f>
        <v>#VALUE!</v>
      </c>
      <c r="HB390" t="e">
        <f>AND('STERLING CATALOG - FZN &amp; CHILL'!F3399,"AAAAADXr89E=")</f>
        <v>#VALUE!</v>
      </c>
      <c r="HC390" t="e">
        <f>AND('STERLING CATALOG - FZN &amp; CHILL'!G3399,"AAAAADXr89I=")</f>
        <v>#VALUE!</v>
      </c>
      <c r="HD390" t="e">
        <f>AND('STERLING CATALOG - FZN &amp; CHILL'!H3399,"AAAAADXr89M=")</f>
        <v>#VALUE!</v>
      </c>
      <c r="HE390" t="e">
        <f>AND('STERLING CATALOG - FZN &amp; CHILL'!I3399,"AAAAADXr89Q=")</f>
        <v>#VALUE!</v>
      </c>
      <c r="HF390" t="e">
        <f>AND('STERLING CATALOG - FZN &amp; CHILL'!J3399,"AAAAADXr89U=")</f>
        <v>#VALUE!</v>
      </c>
      <c r="HG390">
        <f>IF('STERLING CATALOG - FZN &amp; CHILL'!3400:3400,"AAAAADXr89Y=",0)</f>
        <v>0</v>
      </c>
      <c r="HH390" t="e">
        <f>AND('STERLING CATALOG - FZN &amp; CHILL'!A3400,"AAAAADXr89c=")</f>
        <v>#VALUE!</v>
      </c>
      <c r="HI390" t="e">
        <f>AND('STERLING CATALOG - FZN &amp; CHILL'!B3400,"AAAAADXr89g=")</f>
        <v>#VALUE!</v>
      </c>
      <c r="HJ390" t="e">
        <f>AND('STERLING CATALOG - FZN &amp; CHILL'!C3400,"AAAAADXr89k=")</f>
        <v>#VALUE!</v>
      </c>
      <c r="HK390" t="e">
        <f>AND('STERLING CATALOG - FZN &amp; CHILL'!D3400,"AAAAADXr89o=")</f>
        <v>#VALUE!</v>
      </c>
      <c r="HL390" t="e">
        <f>AND('STERLING CATALOG - FZN &amp; CHILL'!E3400,"AAAAADXr89s=")</f>
        <v>#VALUE!</v>
      </c>
      <c r="HM390" t="e">
        <f>AND('STERLING CATALOG - FZN &amp; CHILL'!F3400,"AAAAADXr89w=")</f>
        <v>#VALUE!</v>
      </c>
      <c r="HN390" t="e">
        <f>AND('STERLING CATALOG - FZN &amp; CHILL'!G3400,"AAAAADXr890=")</f>
        <v>#VALUE!</v>
      </c>
      <c r="HO390" t="e">
        <f>AND('STERLING CATALOG - FZN &amp; CHILL'!H3400,"AAAAADXr894=")</f>
        <v>#VALUE!</v>
      </c>
      <c r="HP390" t="e">
        <f>AND('STERLING CATALOG - FZN &amp; CHILL'!I3400,"AAAAADXr898=")</f>
        <v>#VALUE!</v>
      </c>
      <c r="HQ390" t="e">
        <f>AND('STERLING CATALOG - FZN &amp; CHILL'!J3400,"AAAAADXr8+A=")</f>
        <v>#VALUE!</v>
      </c>
      <c r="HR390">
        <f>IF('STERLING CATALOG - FZN &amp; CHILL'!3401:3401,"AAAAADXr8+E=",0)</f>
        <v>0</v>
      </c>
      <c r="HS390" t="e">
        <f>AND('STERLING CATALOG - FZN &amp; CHILL'!A3401,"AAAAADXr8+I=")</f>
        <v>#VALUE!</v>
      </c>
      <c r="HT390" t="e">
        <f>AND('STERLING CATALOG - FZN &amp; CHILL'!B3401,"AAAAADXr8+M=")</f>
        <v>#VALUE!</v>
      </c>
      <c r="HU390" t="e">
        <f>AND('STERLING CATALOG - FZN &amp; CHILL'!C3401,"AAAAADXr8+Q=")</f>
        <v>#VALUE!</v>
      </c>
      <c r="HV390" t="e">
        <f>AND('STERLING CATALOG - FZN &amp; CHILL'!D3401,"AAAAADXr8+U=")</f>
        <v>#VALUE!</v>
      </c>
      <c r="HW390" t="e">
        <f>AND('STERLING CATALOG - FZN &amp; CHILL'!E3401,"AAAAADXr8+Y=")</f>
        <v>#VALUE!</v>
      </c>
      <c r="HX390" t="e">
        <f>AND('STERLING CATALOG - FZN &amp; CHILL'!F3401,"AAAAADXr8+c=")</f>
        <v>#VALUE!</v>
      </c>
      <c r="HY390" t="e">
        <f>AND('STERLING CATALOG - FZN &amp; CHILL'!G3401,"AAAAADXr8+g=")</f>
        <v>#VALUE!</v>
      </c>
      <c r="HZ390" t="e">
        <f>AND('STERLING CATALOG - FZN &amp; CHILL'!H3401,"AAAAADXr8+k=")</f>
        <v>#VALUE!</v>
      </c>
      <c r="IA390" t="e">
        <f>AND('STERLING CATALOG - FZN &amp; CHILL'!I3401,"AAAAADXr8+o=")</f>
        <v>#VALUE!</v>
      </c>
      <c r="IB390" t="e">
        <f>AND('STERLING CATALOG - FZN &amp; CHILL'!J3401,"AAAAADXr8+s=")</f>
        <v>#VALUE!</v>
      </c>
      <c r="IC390">
        <f>IF('STERLING CATALOG - FZN &amp; CHILL'!3402:3402,"AAAAADXr8+w=",0)</f>
        <v>0</v>
      </c>
      <c r="ID390" t="e">
        <f>AND('STERLING CATALOG - FZN &amp; CHILL'!A3402,"AAAAADXr8+0=")</f>
        <v>#VALUE!</v>
      </c>
      <c r="IE390" t="e">
        <f>AND('STERLING CATALOG - FZN &amp; CHILL'!B3402,"AAAAADXr8+4=")</f>
        <v>#VALUE!</v>
      </c>
      <c r="IF390" t="e">
        <f>AND('STERLING CATALOG - FZN &amp; CHILL'!C3402,"AAAAADXr8+8=")</f>
        <v>#VALUE!</v>
      </c>
      <c r="IG390" t="e">
        <f>AND('STERLING CATALOG - FZN &amp; CHILL'!D3402,"AAAAADXr8/A=")</f>
        <v>#VALUE!</v>
      </c>
      <c r="IH390" t="e">
        <f>AND('STERLING CATALOG - FZN &amp; CHILL'!E3402,"AAAAADXr8/E=")</f>
        <v>#VALUE!</v>
      </c>
      <c r="II390" t="e">
        <f>AND('STERLING CATALOG - FZN &amp; CHILL'!F3402,"AAAAADXr8/I=")</f>
        <v>#VALUE!</v>
      </c>
      <c r="IJ390" t="e">
        <f>AND('STERLING CATALOG - FZN &amp; CHILL'!G3402,"AAAAADXr8/M=")</f>
        <v>#VALUE!</v>
      </c>
      <c r="IK390" t="e">
        <f>AND('STERLING CATALOG - FZN &amp; CHILL'!H3402,"AAAAADXr8/Q=")</f>
        <v>#VALUE!</v>
      </c>
      <c r="IL390" t="e">
        <f>AND('STERLING CATALOG - FZN &amp; CHILL'!I3402,"AAAAADXr8/U=")</f>
        <v>#VALUE!</v>
      </c>
      <c r="IM390" t="e">
        <f>AND('STERLING CATALOG - FZN &amp; CHILL'!J3402,"AAAAADXr8/Y=")</f>
        <v>#VALUE!</v>
      </c>
      <c r="IN390">
        <f>IF('STERLING CATALOG - FZN &amp; CHILL'!3403:3403,"AAAAADXr8/c=",0)</f>
        <v>0</v>
      </c>
      <c r="IO390" t="e">
        <f>AND('STERLING CATALOG - FZN &amp; CHILL'!A3403,"AAAAADXr8/g=")</f>
        <v>#VALUE!</v>
      </c>
      <c r="IP390" t="e">
        <f>AND('STERLING CATALOG - FZN &amp; CHILL'!B3403,"AAAAADXr8/k=")</f>
        <v>#VALUE!</v>
      </c>
      <c r="IQ390" t="e">
        <f>AND('STERLING CATALOG - FZN &amp; CHILL'!C3403,"AAAAADXr8/o=")</f>
        <v>#VALUE!</v>
      </c>
      <c r="IR390" t="e">
        <f>AND('STERLING CATALOG - FZN &amp; CHILL'!D3403,"AAAAADXr8/s=")</f>
        <v>#VALUE!</v>
      </c>
      <c r="IS390" t="e">
        <f>AND('STERLING CATALOG - FZN &amp; CHILL'!E3403,"AAAAADXr8/w=")</f>
        <v>#VALUE!</v>
      </c>
      <c r="IT390" t="e">
        <f>AND('STERLING CATALOG - FZN &amp; CHILL'!F3403,"AAAAADXr8/0=")</f>
        <v>#VALUE!</v>
      </c>
      <c r="IU390" t="e">
        <f>AND('STERLING CATALOG - FZN &amp; CHILL'!G3403,"AAAAADXr8/4=")</f>
        <v>#VALUE!</v>
      </c>
      <c r="IV390" t="e">
        <f>AND('STERLING CATALOG - FZN &amp; CHILL'!H3403,"AAAAADXr8/8=")</f>
        <v>#VALUE!</v>
      </c>
    </row>
    <row r="391" spans="1:256">
      <c r="A391" t="e">
        <f>AND('STERLING CATALOG - FZN &amp; CHILL'!I3403,"AAAAAExV/QA=")</f>
        <v>#VALUE!</v>
      </c>
      <c r="B391" t="e">
        <f>AND('STERLING CATALOG - FZN &amp; CHILL'!J3403,"AAAAAExV/QE=")</f>
        <v>#VALUE!</v>
      </c>
      <c r="C391" t="str">
        <f>IF('STERLING CATALOG - FZN &amp; CHILL'!3404:3404,"AAAAAExV/QI=",0)</f>
        <v>AAAAAExV/QI=</v>
      </c>
      <c r="D391" t="e">
        <f>AND('STERLING CATALOG - FZN &amp; CHILL'!A3404,"AAAAAExV/QM=")</f>
        <v>#VALUE!</v>
      </c>
      <c r="E391" t="e">
        <f>AND('STERLING CATALOG - FZN &amp; CHILL'!B3404,"AAAAAExV/QQ=")</f>
        <v>#VALUE!</v>
      </c>
      <c r="F391" t="e">
        <f>AND('STERLING CATALOG - FZN &amp; CHILL'!C3404,"AAAAAExV/QU=")</f>
        <v>#VALUE!</v>
      </c>
      <c r="G391" t="e">
        <f>AND('STERLING CATALOG - FZN &amp; CHILL'!D3404,"AAAAAExV/QY=")</f>
        <v>#VALUE!</v>
      </c>
      <c r="H391" t="e">
        <f>AND('STERLING CATALOG - FZN &amp; CHILL'!E3404,"AAAAAExV/Qc=")</f>
        <v>#VALUE!</v>
      </c>
      <c r="I391" t="e">
        <f>AND('STERLING CATALOG - FZN &amp; CHILL'!F3404,"AAAAAExV/Qg=")</f>
        <v>#VALUE!</v>
      </c>
      <c r="J391" t="e">
        <f>AND('STERLING CATALOG - FZN &amp; CHILL'!G3404,"AAAAAExV/Qk=")</f>
        <v>#VALUE!</v>
      </c>
      <c r="K391" t="e">
        <f>AND('STERLING CATALOG - FZN &amp; CHILL'!H3404,"AAAAAExV/Qo=")</f>
        <v>#VALUE!</v>
      </c>
      <c r="L391" t="e">
        <f>AND('STERLING CATALOG - FZN &amp; CHILL'!I3404,"AAAAAExV/Qs=")</f>
        <v>#VALUE!</v>
      </c>
      <c r="M391" t="e">
        <f>AND('STERLING CATALOG - FZN &amp; CHILL'!J3404,"AAAAAExV/Qw=")</f>
        <v>#VALUE!</v>
      </c>
      <c r="N391">
        <f>IF('STERLING CATALOG - FZN &amp; CHILL'!3405:3405,"AAAAAExV/Q0=",0)</f>
        <v>0</v>
      </c>
      <c r="O391" t="e">
        <f>AND('STERLING CATALOG - FZN &amp; CHILL'!A3405,"AAAAAExV/Q4=")</f>
        <v>#VALUE!</v>
      </c>
      <c r="P391" t="e">
        <f>AND('STERLING CATALOG - FZN &amp; CHILL'!B3405,"AAAAAExV/Q8=")</f>
        <v>#VALUE!</v>
      </c>
      <c r="Q391" t="e">
        <f>AND('STERLING CATALOG - FZN &amp; CHILL'!C3405,"AAAAAExV/RA=")</f>
        <v>#VALUE!</v>
      </c>
      <c r="R391" t="e">
        <f>AND('STERLING CATALOG - FZN &amp; CHILL'!D3405,"AAAAAExV/RE=")</f>
        <v>#VALUE!</v>
      </c>
      <c r="S391" t="e">
        <f>AND('STERLING CATALOG - FZN &amp; CHILL'!E3405,"AAAAAExV/RI=")</f>
        <v>#VALUE!</v>
      </c>
      <c r="T391" t="e">
        <f>AND('STERLING CATALOG - FZN &amp; CHILL'!F3405,"AAAAAExV/RM=")</f>
        <v>#VALUE!</v>
      </c>
      <c r="U391" t="e">
        <f>AND('STERLING CATALOG - FZN &amp; CHILL'!G3405,"AAAAAExV/RQ=")</f>
        <v>#VALUE!</v>
      </c>
      <c r="V391" t="e">
        <f>AND('STERLING CATALOG - FZN &amp; CHILL'!H3405,"AAAAAExV/RU=")</f>
        <v>#VALUE!</v>
      </c>
      <c r="W391" t="e">
        <f>AND('STERLING CATALOG - FZN &amp; CHILL'!I3405,"AAAAAExV/RY=")</f>
        <v>#VALUE!</v>
      </c>
      <c r="X391" t="e">
        <f>AND('STERLING CATALOG - FZN &amp; CHILL'!J3405,"AAAAAExV/Rc=")</f>
        <v>#VALUE!</v>
      </c>
      <c r="Y391">
        <f>IF('STERLING CATALOG - FZN &amp; CHILL'!3406:3406,"AAAAAExV/Rg=",0)</f>
        <v>0</v>
      </c>
      <c r="Z391" t="e">
        <f>AND('STERLING CATALOG - FZN &amp; CHILL'!A3406,"AAAAAExV/Rk=")</f>
        <v>#VALUE!</v>
      </c>
      <c r="AA391" t="e">
        <f>AND('STERLING CATALOG - FZN &amp; CHILL'!B3406,"AAAAAExV/Ro=")</f>
        <v>#VALUE!</v>
      </c>
      <c r="AB391" t="e">
        <f>AND('STERLING CATALOG - FZN &amp; CHILL'!C3406,"AAAAAExV/Rs=")</f>
        <v>#VALUE!</v>
      </c>
      <c r="AC391" t="e">
        <f>AND('STERLING CATALOG - FZN &amp; CHILL'!D3406,"AAAAAExV/Rw=")</f>
        <v>#VALUE!</v>
      </c>
      <c r="AD391" t="e">
        <f>AND('STERLING CATALOG - FZN &amp; CHILL'!E3406,"AAAAAExV/R0=")</f>
        <v>#VALUE!</v>
      </c>
      <c r="AE391" t="e">
        <f>AND('STERLING CATALOG - FZN &amp; CHILL'!F3406,"AAAAAExV/R4=")</f>
        <v>#VALUE!</v>
      </c>
      <c r="AF391" t="e">
        <f>AND('STERLING CATALOG - FZN &amp; CHILL'!G3406,"AAAAAExV/R8=")</f>
        <v>#VALUE!</v>
      </c>
      <c r="AG391" t="e">
        <f>AND('STERLING CATALOG - FZN &amp; CHILL'!H3406,"AAAAAExV/SA=")</f>
        <v>#VALUE!</v>
      </c>
      <c r="AH391" t="e">
        <f>AND('STERLING CATALOG - FZN &amp; CHILL'!I3406,"AAAAAExV/SE=")</f>
        <v>#VALUE!</v>
      </c>
      <c r="AI391" t="e">
        <f>AND('STERLING CATALOG - FZN &amp; CHILL'!J3406,"AAAAAExV/SI=")</f>
        <v>#VALUE!</v>
      </c>
      <c r="AJ391">
        <f>IF('STERLING CATALOG - FZN &amp; CHILL'!3407:3407,"AAAAAExV/SM=",0)</f>
        <v>0</v>
      </c>
      <c r="AK391" t="e">
        <f>AND('STERLING CATALOG - FZN &amp; CHILL'!A3407,"AAAAAExV/SQ=")</f>
        <v>#VALUE!</v>
      </c>
      <c r="AL391" t="e">
        <f>AND('STERLING CATALOG - FZN &amp; CHILL'!B3407,"AAAAAExV/SU=")</f>
        <v>#VALUE!</v>
      </c>
      <c r="AM391" t="e">
        <f>AND('STERLING CATALOG - FZN &amp; CHILL'!C3407,"AAAAAExV/SY=")</f>
        <v>#VALUE!</v>
      </c>
      <c r="AN391" t="e">
        <f>AND('STERLING CATALOG - FZN &amp; CHILL'!D3407,"AAAAAExV/Sc=")</f>
        <v>#VALUE!</v>
      </c>
      <c r="AO391" t="e">
        <f>AND('STERLING CATALOG - FZN &amp; CHILL'!E3407,"AAAAAExV/Sg=")</f>
        <v>#VALUE!</v>
      </c>
      <c r="AP391" t="e">
        <f>AND('STERLING CATALOG - FZN &amp; CHILL'!F3407,"AAAAAExV/Sk=")</f>
        <v>#VALUE!</v>
      </c>
      <c r="AQ391" t="e">
        <f>AND('STERLING CATALOG - FZN &amp; CHILL'!G3407,"AAAAAExV/So=")</f>
        <v>#VALUE!</v>
      </c>
      <c r="AR391" t="e">
        <f>AND('STERLING CATALOG - FZN &amp; CHILL'!H3407,"AAAAAExV/Ss=")</f>
        <v>#VALUE!</v>
      </c>
      <c r="AS391" t="e">
        <f>AND('STERLING CATALOG - FZN &amp; CHILL'!I3407,"AAAAAExV/Sw=")</f>
        <v>#VALUE!</v>
      </c>
      <c r="AT391" t="e">
        <f>AND('STERLING CATALOG - FZN &amp; CHILL'!J3407,"AAAAAExV/S0=")</f>
        <v>#VALUE!</v>
      </c>
      <c r="AU391">
        <f>IF('STERLING CATALOG - FZN &amp; CHILL'!3408:3408,"AAAAAExV/S4=",0)</f>
        <v>0</v>
      </c>
      <c r="AV391" t="e">
        <f>AND('STERLING CATALOG - FZN &amp; CHILL'!A3408,"AAAAAExV/S8=")</f>
        <v>#VALUE!</v>
      </c>
      <c r="AW391" t="e">
        <f>AND('STERLING CATALOG - FZN &amp; CHILL'!B3408,"AAAAAExV/TA=")</f>
        <v>#VALUE!</v>
      </c>
      <c r="AX391" t="e">
        <f>AND('STERLING CATALOG - FZN &amp; CHILL'!C3408,"AAAAAExV/TE=")</f>
        <v>#VALUE!</v>
      </c>
      <c r="AY391" t="e">
        <f>AND('STERLING CATALOG - FZN &amp; CHILL'!D3408,"AAAAAExV/TI=")</f>
        <v>#VALUE!</v>
      </c>
      <c r="AZ391" t="e">
        <f>AND('STERLING CATALOG - FZN &amp; CHILL'!E3408,"AAAAAExV/TM=")</f>
        <v>#VALUE!</v>
      </c>
      <c r="BA391" t="e">
        <f>AND('STERLING CATALOG - FZN &amp; CHILL'!F3408,"AAAAAExV/TQ=")</f>
        <v>#VALUE!</v>
      </c>
      <c r="BB391" t="e">
        <f>AND('STERLING CATALOG - FZN &amp; CHILL'!G3408,"AAAAAExV/TU=")</f>
        <v>#VALUE!</v>
      </c>
      <c r="BC391" t="e">
        <f>AND('STERLING CATALOG - FZN &amp; CHILL'!H3408,"AAAAAExV/TY=")</f>
        <v>#VALUE!</v>
      </c>
      <c r="BD391" t="e">
        <f>AND('STERLING CATALOG - FZN &amp; CHILL'!I3408,"AAAAAExV/Tc=")</f>
        <v>#VALUE!</v>
      </c>
      <c r="BE391" t="e">
        <f>AND('STERLING CATALOG - FZN &amp; CHILL'!J3408,"AAAAAExV/Tg=")</f>
        <v>#VALUE!</v>
      </c>
      <c r="BF391">
        <f>IF('STERLING CATALOG - FZN &amp; CHILL'!3409:3409,"AAAAAExV/Tk=",0)</f>
        <v>0</v>
      </c>
      <c r="BG391" t="e">
        <f>AND('STERLING CATALOG - FZN &amp; CHILL'!A3409,"AAAAAExV/To=")</f>
        <v>#VALUE!</v>
      </c>
      <c r="BH391" t="e">
        <f>AND('STERLING CATALOG - FZN &amp; CHILL'!B3409,"AAAAAExV/Ts=")</f>
        <v>#VALUE!</v>
      </c>
      <c r="BI391" t="e">
        <f>AND('STERLING CATALOG - FZN &amp; CHILL'!C3409,"AAAAAExV/Tw=")</f>
        <v>#VALUE!</v>
      </c>
      <c r="BJ391" t="e">
        <f>AND('STERLING CATALOG - FZN &amp; CHILL'!D3409,"AAAAAExV/T0=")</f>
        <v>#VALUE!</v>
      </c>
      <c r="BK391" t="e">
        <f>AND('STERLING CATALOG - FZN &amp; CHILL'!E3409,"AAAAAExV/T4=")</f>
        <v>#VALUE!</v>
      </c>
      <c r="BL391" t="e">
        <f>AND('STERLING CATALOG - FZN &amp; CHILL'!F3409,"AAAAAExV/T8=")</f>
        <v>#VALUE!</v>
      </c>
      <c r="BM391" t="e">
        <f>AND('STERLING CATALOG - FZN &amp; CHILL'!G3409,"AAAAAExV/UA=")</f>
        <v>#VALUE!</v>
      </c>
      <c r="BN391" t="e">
        <f>AND('STERLING CATALOG - FZN &amp; CHILL'!H3409,"AAAAAExV/UE=")</f>
        <v>#VALUE!</v>
      </c>
      <c r="BO391" t="e">
        <f>AND('STERLING CATALOG - FZN &amp; CHILL'!I3409,"AAAAAExV/UI=")</f>
        <v>#VALUE!</v>
      </c>
      <c r="BP391" t="e">
        <f>AND('STERLING CATALOG - FZN &amp; CHILL'!J3409,"AAAAAExV/UM=")</f>
        <v>#VALUE!</v>
      </c>
      <c r="BQ391">
        <f>IF('STERLING CATALOG - FZN &amp; CHILL'!3410:3410,"AAAAAExV/UQ=",0)</f>
        <v>0</v>
      </c>
      <c r="BR391" t="e">
        <f>AND('STERLING CATALOG - FZN &amp; CHILL'!A3410,"AAAAAExV/UU=")</f>
        <v>#VALUE!</v>
      </c>
      <c r="BS391" t="e">
        <f>AND('STERLING CATALOG - FZN &amp; CHILL'!B3410,"AAAAAExV/UY=")</f>
        <v>#VALUE!</v>
      </c>
      <c r="BT391" t="e">
        <f>AND('STERLING CATALOG - FZN &amp; CHILL'!C3410,"AAAAAExV/Uc=")</f>
        <v>#VALUE!</v>
      </c>
      <c r="BU391" t="e">
        <f>AND('STERLING CATALOG - FZN &amp; CHILL'!D3410,"AAAAAExV/Ug=")</f>
        <v>#VALUE!</v>
      </c>
      <c r="BV391" t="e">
        <f>AND('STERLING CATALOG - FZN &amp; CHILL'!E3410,"AAAAAExV/Uk=")</f>
        <v>#VALUE!</v>
      </c>
      <c r="BW391" t="e">
        <f>AND('STERLING CATALOG - FZN &amp; CHILL'!F3410,"AAAAAExV/Uo=")</f>
        <v>#VALUE!</v>
      </c>
      <c r="BX391" t="e">
        <f>AND('STERLING CATALOG - FZN &amp; CHILL'!G3410,"AAAAAExV/Us=")</f>
        <v>#VALUE!</v>
      </c>
      <c r="BY391" t="e">
        <f>AND('STERLING CATALOG - FZN &amp; CHILL'!H3410,"AAAAAExV/Uw=")</f>
        <v>#VALUE!</v>
      </c>
      <c r="BZ391" t="e">
        <f>AND('STERLING CATALOG - FZN &amp; CHILL'!I3410,"AAAAAExV/U0=")</f>
        <v>#VALUE!</v>
      </c>
      <c r="CA391" t="e">
        <f>AND('STERLING CATALOG - FZN &amp; CHILL'!J3410,"AAAAAExV/U4=")</f>
        <v>#VALUE!</v>
      </c>
      <c r="CB391">
        <f>IF('STERLING CATALOG - FZN &amp; CHILL'!3411:3411,"AAAAAExV/U8=",0)</f>
        <v>0</v>
      </c>
      <c r="CC391" t="e">
        <f>AND('STERLING CATALOG - FZN &amp; CHILL'!A3411,"AAAAAExV/VA=")</f>
        <v>#VALUE!</v>
      </c>
      <c r="CD391" t="e">
        <f>AND('STERLING CATALOG - FZN &amp; CHILL'!B3411,"AAAAAExV/VE=")</f>
        <v>#VALUE!</v>
      </c>
      <c r="CE391" t="e">
        <f>AND('STERLING CATALOG - FZN &amp; CHILL'!C3411,"AAAAAExV/VI=")</f>
        <v>#VALUE!</v>
      </c>
      <c r="CF391" t="e">
        <f>AND('STERLING CATALOG - FZN &amp; CHILL'!D3411,"AAAAAExV/VM=")</f>
        <v>#VALUE!</v>
      </c>
      <c r="CG391" t="e">
        <f>AND('STERLING CATALOG - FZN &amp; CHILL'!E3411,"AAAAAExV/VQ=")</f>
        <v>#VALUE!</v>
      </c>
      <c r="CH391" t="e">
        <f>AND('STERLING CATALOG - FZN &amp; CHILL'!F3411,"AAAAAExV/VU=")</f>
        <v>#VALUE!</v>
      </c>
      <c r="CI391" t="e">
        <f>AND('STERLING CATALOG - FZN &amp; CHILL'!G3411,"AAAAAExV/VY=")</f>
        <v>#VALUE!</v>
      </c>
      <c r="CJ391" t="e">
        <f>AND('STERLING CATALOG - FZN &amp; CHILL'!H3411,"AAAAAExV/Vc=")</f>
        <v>#VALUE!</v>
      </c>
      <c r="CK391" t="e">
        <f>AND('STERLING CATALOG - FZN &amp; CHILL'!I3411,"AAAAAExV/Vg=")</f>
        <v>#VALUE!</v>
      </c>
      <c r="CL391" t="e">
        <f>AND('STERLING CATALOG - FZN &amp; CHILL'!J3411,"AAAAAExV/Vk=")</f>
        <v>#VALUE!</v>
      </c>
      <c r="CM391">
        <f>IF('STERLING CATALOG - FZN &amp; CHILL'!3412:3412,"AAAAAExV/Vo=",0)</f>
        <v>0</v>
      </c>
      <c r="CN391" t="e">
        <f>AND('STERLING CATALOG - FZN &amp; CHILL'!A3412,"AAAAAExV/Vs=")</f>
        <v>#VALUE!</v>
      </c>
      <c r="CO391" t="e">
        <f>AND('STERLING CATALOG - FZN &amp; CHILL'!B3412,"AAAAAExV/Vw=")</f>
        <v>#VALUE!</v>
      </c>
      <c r="CP391" t="e">
        <f>AND('STERLING CATALOG - FZN &amp; CHILL'!C3412,"AAAAAExV/V0=")</f>
        <v>#VALUE!</v>
      </c>
      <c r="CQ391" t="e">
        <f>AND('STERLING CATALOG - FZN &amp; CHILL'!D3412,"AAAAAExV/V4=")</f>
        <v>#VALUE!</v>
      </c>
      <c r="CR391" t="e">
        <f>AND('STERLING CATALOG - FZN &amp; CHILL'!E3412,"AAAAAExV/V8=")</f>
        <v>#VALUE!</v>
      </c>
      <c r="CS391" t="e">
        <f>AND('STERLING CATALOG - FZN &amp; CHILL'!F3412,"AAAAAExV/WA=")</f>
        <v>#VALUE!</v>
      </c>
      <c r="CT391" t="e">
        <f>AND('STERLING CATALOG - FZN &amp; CHILL'!G3412,"AAAAAExV/WE=")</f>
        <v>#VALUE!</v>
      </c>
      <c r="CU391" t="e">
        <f>AND('STERLING CATALOG - FZN &amp; CHILL'!H3412,"AAAAAExV/WI=")</f>
        <v>#VALUE!</v>
      </c>
      <c r="CV391" t="e">
        <f>AND('STERLING CATALOG - FZN &amp; CHILL'!I3412,"AAAAAExV/WM=")</f>
        <v>#VALUE!</v>
      </c>
      <c r="CW391" t="e">
        <f>AND('STERLING CATALOG - FZN &amp; CHILL'!J3412,"AAAAAExV/WQ=")</f>
        <v>#VALUE!</v>
      </c>
      <c r="CX391">
        <f>IF('STERLING CATALOG - FZN &amp; CHILL'!3413:3413,"AAAAAExV/WU=",0)</f>
        <v>0</v>
      </c>
      <c r="CY391" t="e">
        <f>AND('STERLING CATALOG - FZN &amp; CHILL'!A3413,"AAAAAExV/WY=")</f>
        <v>#VALUE!</v>
      </c>
      <c r="CZ391" t="e">
        <f>AND('STERLING CATALOG - FZN &amp; CHILL'!B3413,"AAAAAExV/Wc=")</f>
        <v>#VALUE!</v>
      </c>
      <c r="DA391" t="e">
        <f>AND('STERLING CATALOG - FZN &amp; CHILL'!C3413,"AAAAAExV/Wg=")</f>
        <v>#VALUE!</v>
      </c>
      <c r="DB391" t="e">
        <f>AND('STERLING CATALOG - FZN &amp; CHILL'!D3413,"AAAAAExV/Wk=")</f>
        <v>#VALUE!</v>
      </c>
      <c r="DC391" t="e">
        <f>AND('STERLING CATALOG - FZN &amp; CHILL'!E3413,"AAAAAExV/Wo=")</f>
        <v>#VALUE!</v>
      </c>
      <c r="DD391" t="e">
        <f>AND('STERLING CATALOG - FZN &amp; CHILL'!F3413,"AAAAAExV/Ws=")</f>
        <v>#VALUE!</v>
      </c>
      <c r="DE391" t="e">
        <f>AND('STERLING CATALOG - FZN &amp; CHILL'!G3413,"AAAAAExV/Ww=")</f>
        <v>#VALUE!</v>
      </c>
      <c r="DF391" t="e">
        <f>AND('STERLING CATALOG - FZN &amp; CHILL'!H3413,"AAAAAExV/W0=")</f>
        <v>#VALUE!</v>
      </c>
      <c r="DG391" t="e">
        <f>AND('STERLING CATALOG - FZN &amp; CHILL'!I3413,"AAAAAExV/W4=")</f>
        <v>#VALUE!</v>
      </c>
      <c r="DH391" t="e">
        <f>AND('STERLING CATALOG - FZN &amp; CHILL'!J3413,"AAAAAExV/W8=")</f>
        <v>#VALUE!</v>
      </c>
      <c r="DI391">
        <f>IF('STERLING CATALOG - FZN &amp; CHILL'!3414:3414,"AAAAAExV/XA=",0)</f>
        <v>0</v>
      </c>
      <c r="DJ391" t="e">
        <f>AND('STERLING CATALOG - FZN &amp; CHILL'!A3414,"AAAAAExV/XE=")</f>
        <v>#VALUE!</v>
      </c>
      <c r="DK391" t="e">
        <f>AND('STERLING CATALOG - FZN &amp; CHILL'!B3414,"AAAAAExV/XI=")</f>
        <v>#VALUE!</v>
      </c>
      <c r="DL391" t="e">
        <f>AND('STERLING CATALOG - FZN &amp; CHILL'!C3414,"AAAAAExV/XM=")</f>
        <v>#VALUE!</v>
      </c>
      <c r="DM391" t="e">
        <f>AND('STERLING CATALOG - FZN &amp; CHILL'!D3414,"AAAAAExV/XQ=")</f>
        <v>#VALUE!</v>
      </c>
      <c r="DN391" t="e">
        <f>AND('STERLING CATALOG - FZN &amp; CHILL'!E3414,"AAAAAExV/XU=")</f>
        <v>#VALUE!</v>
      </c>
      <c r="DO391" t="e">
        <f>AND('STERLING CATALOG - FZN &amp; CHILL'!F3414,"AAAAAExV/XY=")</f>
        <v>#VALUE!</v>
      </c>
      <c r="DP391" t="e">
        <f>AND('STERLING CATALOG - FZN &amp; CHILL'!G3414,"AAAAAExV/Xc=")</f>
        <v>#VALUE!</v>
      </c>
      <c r="DQ391" t="e">
        <f>AND('STERLING CATALOG - FZN &amp; CHILL'!H3414,"AAAAAExV/Xg=")</f>
        <v>#VALUE!</v>
      </c>
      <c r="DR391" t="e">
        <f>AND('STERLING CATALOG - FZN &amp; CHILL'!I3414,"AAAAAExV/Xk=")</f>
        <v>#VALUE!</v>
      </c>
      <c r="DS391" t="e">
        <f>AND('STERLING CATALOG - FZN &amp; CHILL'!J3414,"AAAAAExV/Xo=")</f>
        <v>#VALUE!</v>
      </c>
      <c r="DT391">
        <f>IF('STERLING CATALOG - FZN &amp; CHILL'!3415:3415,"AAAAAExV/Xs=",0)</f>
        <v>0</v>
      </c>
      <c r="DU391" t="e">
        <f>AND('STERLING CATALOG - FZN &amp; CHILL'!A3415,"AAAAAExV/Xw=")</f>
        <v>#VALUE!</v>
      </c>
      <c r="DV391" t="e">
        <f>AND('STERLING CATALOG - FZN &amp; CHILL'!B3415,"AAAAAExV/X0=")</f>
        <v>#VALUE!</v>
      </c>
      <c r="DW391" t="e">
        <f>AND('STERLING CATALOG - FZN &amp; CHILL'!C3415,"AAAAAExV/X4=")</f>
        <v>#VALUE!</v>
      </c>
      <c r="DX391" t="e">
        <f>AND('STERLING CATALOG - FZN &amp; CHILL'!D3415,"AAAAAExV/X8=")</f>
        <v>#VALUE!</v>
      </c>
      <c r="DY391" t="e">
        <f>AND('STERLING CATALOG - FZN &amp; CHILL'!E3415,"AAAAAExV/YA=")</f>
        <v>#VALUE!</v>
      </c>
      <c r="DZ391" t="e">
        <f>AND('STERLING CATALOG - FZN &amp; CHILL'!F3415,"AAAAAExV/YE=")</f>
        <v>#VALUE!</v>
      </c>
      <c r="EA391" t="e">
        <f>AND('STERLING CATALOG - FZN &amp; CHILL'!G3415,"AAAAAExV/YI=")</f>
        <v>#VALUE!</v>
      </c>
      <c r="EB391" t="e">
        <f>AND('STERLING CATALOG - FZN &amp; CHILL'!H3415,"AAAAAExV/YM=")</f>
        <v>#VALUE!</v>
      </c>
      <c r="EC391" t="e">
        <f>AND('STERLING CATALOG - FZN &amp; CHILL'!I3415,"AAAAAExV/YQ=")</f>
        <v>#VALUE!</v>
      </c>
      <c r="ED391" t="e">
        <f>AND('STERLING CATALOG - FZN &amp; CHILL'!J3415,"AAAAAExV/YU=")</f>
        <v>#VALUE!</v>
      </c>
      <c r="EE391">
        <f>IF('STERLING CATALOG - FZN &amp; CHILL'!3416:3416,"AAAAAExV/YY=",0)</f>
        <v>0</v>
      </c>
      <c r="EF391" t="e">
        <f>AND('STERLING CATALOG - FZN &amp; CHILL'!A3416,"AAAAAExV/Yc=")</f>
        <v>#VALUE!</v>
      </c>
      <c r="EG391" t="e">
        <f>AND('STERLING CATALOG - FZN &amp; CHILL'!B3416,"AAAAAExV/Yg=")</f>
        <v>#VALUE!</v>
      </c>
      <c r="EH391" t="e">
        <f>AND('STERLING CATALOG - FZN &amp; CHILL'!C3416,"AAAAAExV/Yk=")</f>
        <v>#VALUE!</v>
      </c>
      <c r="EI391" t="e">
        <f>AND('STERLING CATALOG - FZN &amp; CHILL'!D3416,"AAAAAExV/Yo=")</f>
        <v>#VALUE!</v>
      </c>
      <c r="EJ391" t="e">
        <f>AND('STERLING CATALOG - FZN &amp; CHILL'!E3416,"AAAAAExV/Ys=")</f>
        <v>#VALUE!</v>
      </c>
      <c r="EK391" t="e">
        <f>AND('STERLING CATALOG - FZN &amp; CHILL'!F3416,"AAAAAExV/Yw=")</f>
        <v>#VALUE!</v>
      </c>
      <c r="EL391" t="e">
        <f>AND('STERLING CATALOG - FZN &amp; CHILL'!G3416,"AAAAAExV/Y0=")</f>
        <v>#VALUE!</v>
      </c>
      <c r="EM391" t="e">
        <f>AND('STERLING CATALOG - FZN &amp; CHILL'!H3416,"AAAAAExV/Y4=")</f>
        <v>#VALUE!</v>
      </c>
      <c r="EN391" t="e">
        <f>AND('STERLING CATALOG - FZN &amp; CHILL'!I3416,"AAAAAExV/Y8=")</f>
        <v>#VALUE!</v>
      </c>
      <c r="EO391" t="e">
        <f>AND('STERLING CATALOG - FZN &amp; CHILL'!J3416,"AAAAAExV/ZA=")</f>
        <v>#VALUE!</v>
      </c>
      <c r="EP391">
        <f>IF('STERLING CATALOG - FZN &amp; CHILL'!3417:3417,"AAAAAExV/ZE=",0)</f>
        <v>0</v>
      </c>
      <c r="EQ391" t="e">
        <f>AND('STERLING CATALOG - FZN &amp; CHILL'!A3417,"AAAAAExV/ZI=")</f>
        <v>#VALUE!</v>
      </c>
      <c r="ER391" t="e">
        <f>AND('STERLING CATALOG - FZN &amp; CHILL'!B3417,"AAAAAExV/ZM=")</f>
        <v>#VALUE!</v>
      </c>
      <c r="ES391" t="e">
        <f>AND('STERLING CATALOG - FZN &amp; CHILL'!C3417,"AAAAAExV/ZQ=")</f>
        <v>#VALUE!</v>
      </c>
      <c r="ET391" t="e">
        <f>AND('STERLING CATALOG - FZN &amp; CHILL'!D3417,"AAAAAExV/ZU=")</f>
        <v>#VALUE!</v>
      </c>
      <c r="EU391" t="e">
        <f>AND('STERLING CATALOG - FZN &amp; CHILL'!E3417,"AAAAAExV/ZY=")</f>
        <v>#VALUE!</v>
      </c>
      <c r="EV391" t="e">
        <f>AND('STERLING CATALOG - FZN &amp; CHILL'!F3417,"AAAAAExV/Zc=")</f>
        <v>#VALUE!</v>
      </c>
      <c r="EW391" t="e">
        <f>AND('STERLING CATALOG - FZN &amp; CHILL'!G3417,"AAAAAExV/Zg=")</f>
        <v>#VALUE!</v>
      </c>
      <c r="EX391" t="e">
        <f>AND('STERLING CATALOG - FZN &amp; CHILL'!H3417,"AAAAAExV/Zk=")</f>
        <v>#VALUE!</v>
      </c>
      <c r="EY391" t="e">
        <f>AND('STERLING CATALOG - FZN &amp; CHILL'!I3417,"AAAAAExV/Zo=")</f>
        <v>#VALUE!</v>
      </c>
      <c r="EZ391" t="e">
        <f>AND('STERLING CATALOG - FZN &amp; CHILL'!J3417,"AAAAAExV/Zs=")</f>
        <v>#VALUE!</v>
      </c>
      <c r="FA391">
        <f>IF('STERLING CATALOG - FZN &amp; CHILL'!3418:3418,"AAAAAExV/Zw=",0)</f>
        <v>0</v>
      </c>
      <c r="FB391" t="e">
        <f>AND('STERLING CATALOG - FZN &amp; CHILL'!A3418,"AAAAAExV/Z0=")</f>
        <v>#VALUE!</v>
      </c>
      <c r="FC391" t="e">
        <f>AND('STERLING CATALOG - FZN &amp; CHILL'!B3418,"AAAAAExV/Z4=")</f>
        <v>#VALUE!</v>
      </c>
      <c r="FD391" t="e">
        <f>AND('STERLING CATALOG - FZN &amp; CHILL'!C3418,"AAAAAExV/Z8=")</f>
        <v>#VALUE!</v>
      </c>
      <c r="FE391" t="e">
        <f>AND('STERLING CATALOG - FZN &amp; CHILL'!D3418,"AAAAAExV/aA=")</f>
        <v>#VALUE!</v>
      </c>
      <c r="FF391" t="e">
        <f>AND('STERLING CATALOG - FZN &amp; CHILL'!E3418,"AAAAAExV/aE=")</f>
        <v>#VALUE!</v>
      </c>
      <c r="FG391" t="e">
        <f>AND('STERLING CATALOG - FZN &amp; CHILL'!F3418,"AAAAAExV/aI=")</f>
        <v>#VALUE!</v>
      </c>
      <c r="FH391" t="e">
        <f>AND('STERLING CATALOG - FZN &amp; CHILL'!G3418,"AAAAAExV/aM=")</f>
        <v>#VALUE!</v>
      </c>
      <c r="FI391" t="e">
        <f>AND('STERLING CATALOG - FZN &amp; CHILL'!H3418,"AAAAAExV/aQ=")</f>
        <v>#VALUE!</v>
      </c>
      <c r="FJ391" t="e">
        <f>AND('STERLING CATALOG - FZN &amp; CHILL'!I3418,"AAAAAExV/aU=")</f>
        <v>#VALUE!</v>
      </c>
      <c r="FK391" t="e">
        <f>AND('STERLING CATALOG - FZN &amp; CHILL'!J3418,"AAAAAExV/aY=")</f>
        <v>#VALUE!</v>
      </c>
      <c r="FL391">
        <f>IF('STERLING CATALOG - FZN &amp; CHILL'!3419:3419,"AAAAAExV/ac=",0)</f>
        <v>0</v>
      </c>
      <c r="FM391" t="e">
        <f>AND('STERLING CATALOG - FZN &amp; CHILL'!A3419,"AAAAAExV/ag=")</f>
        <v>#VALUE!</v>
      </c>
      <c r="FN391" t="e">
        <f>AND('STERLING CATALOG - FZN &amp; CHILL'!B3419,"AAAAAExV/ak=")</f>
        <v>#VALUE!</v>
      </c>
      <c r="FO391" t="e">
        <f>AND('STERLING CATALOG - FZN &amp; CHILL'!C3419,"AAAAAExV/ao=")</f>
        <v>#VALUE!</v>
      </c>
      <c r="FP391" t="e">
        <f>AND('STERLING CATALOG - FZN &amp; CHILL'!D3419,"AAAAAExV/as=")</f>
        <v>#VALUE!</v>
      </c>
      <c r="FQ391" t="e">
        <f>AND('STERLING CATALOG - FZN &amp; CHILL'!E3419,"AAAAAExV/aw=")</f>
        <v>#VALUE!</v>
      </c>
      <c r="FR391" t="e">
        <f>AND('STERLING CATALOG - FZN &amp; CHILL'!F3419,"AAAAAExV/a0=")</f>
        <v>#VALUE!</v>
      </c>
      <c r="FS391" t="e">
        <f>AND('STERLING CATALOG - FZN &amp; CHILL'!G3419,"AAAAAExV/a4=")</f>
        <v>#VALUE!</v>
      </c>
      <c r="FT391" t="e">
        <f>AND('STERLING CATALOG - FZN &amp; CHILL'!H3419,"AAAAAExV/a8=")</f>
        <v>#VALUE!</v>
      </c>
      <c r="FU391" t="e">
        <f>AND('STERLING CATALOG - FZN &amp; CHILL'!I3419,"AAAAAExV/bA=")</f>
        <v>#VALUE!</v>
      </c>
      <c r="FV391" t="e">
        <f>AND('STERLING CATALOG - FZN &amp; CHILL'!J3419,"AAAAAExV/bE=")</f>
        <v>#VALUE!</v>
      </c>
      <c r="FW391">
        <f>IF('STERLING CATALOG - FZN &amp; CHILL'!3420:3420,"AAAAAExV/bI=",0)</f>
        <v>0</v>
      </c>
      <c r="FX391" t="e">
        <f>AND('STERLING CATALOG - FZN &amp; CHILL'!A3420,"AAAAAExV/bM=")</f>
        <v>#VALUE!</v>
      </c>
      <c r="FY391" t="e">
        <f>AND('STERLING CATALOG - FZN &amp; CHILL'!B3420,"AAAAAExV/bQ=")</f>
        <v>#VALUE!</v>
      </c>
      <c r="FZ391" t="e">
        <f>AND('STERLING CATALOG - FZN &amp; CHILL'!C3420,"AAAAAExV/bU=")</f>
        <v>#VALUE!</v>
      </c>
      <c r="GA391" t="e">
        <f>AND('STERLING CATALOG - FZN &amp; CHILL'!D3420,"AAAAAExV/bY=")</f>
        <v>#VALUE!</v>
      </c>
      <c r="GB391" t="e">
        <f>AND('STERLING CATALOG - FZN &amp; CHILL'!E3420,"AAAAAExV/bc=")</f>
        <v>#VALUE!</v>
      </c>
      <c r="GC391" t="e">
        <f>AND('STERLING CATALOG - FZN &amp; CHILL'!F3420,"AAAAAExV/bg=")</f>
        <v>#VALUE!</v>
      </c>
      <c r="GD391" t="e">
        <f>AND('STERLING CATALOG - FZN &amp; CHILL'!G3420,"AAAAAExV/bk=")</f>
        <v>#VALUE!</v>
      </c>
      <c r="GE391" t="e">
        <f>AND('STERLING CATALOG - FZN &amp; CHILL'!H3420,"AAAAAExV/bo=")</f>
        <v>#VALUE!</v>
      </c>
      <c r="GF391" t="e">
        <f>AND('STERLING CATALOG - FZN &amp; CHILL'!I3420,"AAAAAExV/bs=")</f>
        <v>#VALUE!</v>
      </c>
      <c r="GG391" t="e">
        <f>AND('STERLING CATALOG - FZN &amp; CHILL'!J3420,"AAAAAExV/bw=")</f>
        <v>#VALUE!</v>
      </c>
      <c r="GH391">
        <f>IF('STERLING CATALOG - FZN &amp; CHILL'!3421:3421,"AAAAAExV/b0=",0)</f>
        <v>0</v>
      </c>
      <c r="GI391" t="e">
        <f>AND('STERLING CATALOG - FZN &amp; CHILL'!A3421,"AAAAAExV/b4=")</f>
        <v>#VALUE!</v>
      </c>
      <c r="GJ391" t="e">
        <f>AND('STERLING CATALOG - FZN &amp; CHILL'!B3421,"AAAAAExV/b8=")</f>
        <v>#VALUE!</v>
      </c>
      <c r="GK391" t="e">
        <f>AND('STERLING CATALOG - FZN &amp; CHILL'!C3421,"AAAAAExV/cA=")</f>
        <v>#VALUE!</v>
      </c>
      <c r="GL391" t="e">
        <f>AND('STERLING CATALOG - FZN &amp; CHILL'!D3421,"AAAAAExV/cE=")</f>
        <v>#VALUE!</v>
      </c>
      <c r="GM391" t="e">
        <f>AND('STERLING CATALOG - FZN &amp; CHILL'!E3421,"AAAAAExV/cI=")</f>
        <v>#VALUE!</v>
      </c>
      <c r="GN391" t="e">
        <f>AND('STERLING CATALOG - FZN &amp; CHILL'!F3421,"AAAAAExV/cM=")</f>
        <v>#VALUE!</v>
      </c>
      <c r="GO391" t="e">
        <f>AND('STERLING CATALOG - FZN &amp; CHILL'!G3421,"AAAAAExV/cQ=")</f>
        <v>#VALUE!</v>
      </c>
      <c r="GP391" t="e">
        <f>AND('STERLING CATALOG - FZN &amp; CHILL'!H3421,"AAAAAExV/cU=")</f>
        <v>#VALUE!</v>
      </c>
      <c r="GQ391" t="e">
        <f>AND('STERLING CATALOG - FZN &amp; CHILL'!I3421,"AAAAAExV/cY=")</f>
        <v>#VALUE!</v>
      </c>
      <c r="GR391" t="e">
        <f>AND('STERLING CATALOG - FZN &amp; CHILL'!J3421,"AAAAAExV/cc=")</f>
        <v>#VALUE!</v>
      </c>
      <c r="GS391">
        <f>IF('STERLING CATALOG - FZN &amp; CHILL'!3422:3422,"AAAAAExV/cg=",0)</f>
        <v>0</v>
      </c>
      <c r="GT391" t="e">
        <f>AND('STERLING CATALOG - FZN &amp; CHILL'!A3422,"AAAAAExV/ck=")</f>
        <v>#VALUE!</v>
      </c>
      <c r="GU391" t="e">
        <f>AND('STERLING CATALOG - FZN &amp; CHILL'!B3422,"AAAAAExV/co=")</f>
        <v>#VALUE!</v>
      </c>
      <c r="GV391" t="e">
        <f>AND('STERLING CATALOG - FZN &amp; CHILL'!C3422,"AAAAAExV/cs=")</f>
        <v>#VALUE!</v>
      </c>
      <c r="GW391" t="e">
        <f>AND('STERLING CATALOG - FZN &amp; CHILL'!D3422,"AAAAAExV/cw=")</f>
        <v>#VALUE!</v>
      </c>
      <c r="GX391" t="e">
        <f>AND('STERLING CATALOG - FZN &amp; CHILL'!E3422,"AAAAAExV/c0=")</f>
        <v>#VALUE!</v>
      </c>
      <c r="GY391" t="e">
        <f>AND('STERLING CATALOG - FZN &amp; CHILL'!F3422,"AAAAAExV/c4=")</f>
        <v>#VALUE!</v>
      </c>
      <c r="GZ391" t="e">
        <f>AND('STERLING CATALOG - FZN &amp; CHILL'!G3422,"AAAAAExV/c8=")</f>
        <v>#VALUE!</v>
      </c>
      <c r="HA391" t="e">
        <f>AND('STERLING CATALOG - FZN &amp; CHILL'!H3422,"AAAAAExV/dA=")</f>
        <v>#VALUE!</v>
      </c>
      <c r="HB391" t="e">
        <f>AND('STERLING CATALOG - FZN &amp; CHILL'!I3422,"AAAAAExV/dE=")</f>
        <v>#VALUE!</v>
      </c>
      <c r="HC391" t="e">
        <f>AND('STERLING CATALOG - FZN &amp; CHILL'!J3422,"AAAAAExV/dI=")</f>
        <v>#VALUE!</v>
      </c>
      <c r="HD391">
        <f>IF('STERLING CATALOG - FZN &amp; CHILL'!3423:3423,"AAAAAExV/dM=",0)</f>
        <v>0</v>
      </c>
      <c r="HE391" t="e">
        <f>AND('STERLING CATALOG - FZN &amp; CHILL'!A3423,"AAAAAExV/dQ=")</f>
        <v>#VALUE!</v>
      </c>
      <c r="HF391" t="e">
        <f>AND('STERLING CATALOG - FZN &amp; CHILL'!B3423,"AAAAAExV/dU=")</f>
        <v>#VALUE!</v>
      </c>
      <c r="HG391" t="e">
        <f>AND('STERLING CATALOG - FZN &amp; CHILL'!C3423,"AAAAAExV/dY=")</f>
        <v>#VALUE!</v>
      </c>
      <c r="HH391" t="e">
        <f>AND('STERLING CATALOG - FZN &amp; CHILL'!D3423,"AAAAAExV/dc=")</f>
        <v>#VALUE!</v>
      </c>
      <c r="HI391" t="e">
        <f>AND('STERLING CATALOG - FZN &amp; CHILL'!E3423,"AAAAAExV/dg=")</f>
        <v>#VALUE!</v>
      </c>
      <c r="HJ391" t="e">
        <f>AND('STERLING CATALOG - FZN &amp; CHILL'!F3423,"AAAAAExV/dk=")</f>
        <v>#VALUE!</v>
      </c>
      <c r="HK391" t="e">
        <f>AND('STERLING CATALOG - FZN &amp; CHILL'!G3423,"AAAAAExV/do=")</f>
        <v>#VALUE!</v>
      </c>
      <c r="HL391" t="e">
        <f>AND('STERLING CATALOG - FZN &amp; CHILL'!H3423,"AAAAAExV/ds=")</f>
        <v>#VALUE!</v>
      </c>
      <c r="HM391" t="e">
        <f>AND('STERLING CATALOG - FZN &amp; CHILL'!I3423,"AAAAAExV/dw=")</f>
        <v>#VALUE!</v>
      </c>
      <c r="HN391" t="e">
        <f>AND('STERLING CATALOG - FZN &amp; CHILL'!J3423,"AAAAAExV/d0=")</f>
        <v>#VALUE!</v>
      </c>
      <c r="HO391">
        <f>IF('STERLING CATALOG - FZN &amp; CHILL'!3424:3424,"AAAAAExV/d4=",0)</f>
        <v>0</v>
      </c>
      <c r="HP391" t="e">
        <f>AND('STERLING CATALOG - FZN &amp; CHILL'!A3424,"AAAAAExV/d8=")</f>
        <v>#VALUE!</v>
      </c>
      <c r="HQ391" t="e">
        <f>AND('STERLING CATALOG - FZN &amp; CHILL'!B3424,"AAAAAExV/eA=")</f>
        <v>#VALUE!</v>
      </c>
      <c r="HR391" t="e">
        <f>AND('STERLING CATALOG - FZN &amp; CHILL'!C3424,"AAAAAExV/eE=")</f>
        <v>#VALUE!</v>
      </c>
      <c r="HS391" t="e">
        <f>AND('STERLING CATALOG - FZN &amp; CHILL'!D3424,"AAAAAExV/eI=")</f>
        <v>#VALUE!</v>
      </c>
      <c r="HT391" t="e">
        <f>AND('STERLING CATALOG - FZN &amp; CHILL'!E3424,"AAAAAExV/eM=")</f>
        <v>#VALUE!</v>
      </c>
      <c r="HU391" t="e">
        <f>AND('STERLING CATALOG - FZN &amp; CHILL'!F3424,"AAAAAExV/eQ=")</f>
        <v>#VALUE!</v>
      </c>
      <c r="HV391" t="e">
        <f>AND('STERLING CATALOG - FZN &amp; CHILL'!G3424,"AAAAAExV/eU=")</f>
        <v>#VALUE!</v>
      </c>
      <c r="HW391" t="e">
        <f>AND('STERLING CATALOG - FZN &amp; CHILL'!H3424,"AAAAAExV/eY=")</f>
        <v>#VALUE!</v>
      </c>
      <c r="HX391" t="e">
        <f>AND('STERLING CATALOG - FZN &amp; CHILL'!I3424,"AAAAAExV/ec=")</f>
        <v>#VALUE!</v>
      </c>
      <c r="HY391" t="e">
        <f>AND('STERLING CATALOG - FZN &amp; CHILL'!J3424,"AAAAAExV/eg=")</f>
        <v>#VALUE!</v>
      </c>
      <c r="HZ391">
        <f>IF('STERLING CATALOG - FZN &amp; CHILL'!3425:3425,"AAAAAExV/ek=",0)</f>
        <v>0</v>
      </c>
      <c r="IA391" t="e">
        <f>AND('STERLING CATALOG - FZN &amp; CHILL'!A3425,"AAAAAExV/eo=")</f>
        <v>#VALUE!</v>
      </c>
      <c r="IB391" t="e">
        <f>AND('STERLING CATALOG - FZN &amp; CHILL'!B3425,"AAAAAExV/es=")</f>
        <v>#VALUE!</v>
      </c>
      <c r="IC391" t="e">
        <f>AND('STERLING CATALOG - FZN &amp; CHILL'!C3425,"AAAAAExV/ew=")</f>
        <v>#VALUE!</v>
      </c>
      <c r="ID391" t="e">
        <f>AND('STERLING CATALOG - FZN &amp; CHILL'!D3425,"AAAAAExV/e0=")</f>
        <v>#VALUE!</v>
      </c>
      <c r="IE391" t="e">
        <f>AND('STERLING CATALOG - FZN &amp; CHILL'!E3425,"AAAAAExV/e4=")</f>
        <v>#VALUE!</v>
      </c>
      <c r="IF391" t="e">
        <f>AND('STERLING CATALOG - FZN &amp; CHILL'!F3425,"AAAAAExV/e8=")</f>
        <v>#VALUE!</v>
      </c>
      <c r="IG391" t="e">
        <f>AND('STERLING CATALOG - FZN &amp; CHILL'!G3425,"AAAAAExV/fA=")</f>
        <v>#VALUE!</v>
      </c>
      <c r="IH391" t="e">
        <f>AND('STERLING CATALOG - FZN &amp; CHILL'!H3425,"AAAAAExV/fE=")</f>
        <v>#VALUE!</v>
      </c>
      <c r="II391" t="e">
        <f>AND('STERLING CATALOG - FZN &amp; CHILL'!I3425,"AAAAAExV/fI=")</f>
        <v>#VALUE!</v>
      </c>
      <c r="IJ391" t="e">
        <f>AND('STERLING CATALOG - FZN &amp; CHILL'!J3425,"AAAAAExV/fM=")</f>
        <v>#VALUE!</v>
      </c>
      <c r="IK391">
        <f>IF('STERLING CATALOG - FZN &amp; CHILL'!3426:3426,"AAAAAExV/fQ=",0)</f>
        <v>0</v>
      </c>
      <c r="IL391" t="e">
        <f>AND('STERLING CATALOG - FZN &amp; CHILL'!A3426,"AAAAAExV/fU=")</f>
        <v>#VALUE!</v>
      </c>
      <c r="IM391" t="e">
        <f>AND('STERLING CATALOG - FZN &amp; CHILL'!B3426,"AAAAAExV/fY=")</f>
        <v>#VALUE!</v>
      </c>
      <c r="IN391" t="e">
        <f>AND('STERLING CATALOG - FZN &amp; CHILL'!C3426,"AAAAAExV/fc=")</f>
        <v>#VALUE!</v>
      </c>
      <c r="IO391" t="e">
        <f>AND('STERLING CATALOG - FZN &amp; CHILL'!D3426,"AAAAAExV/fg=")</f>
        <v>#VALUE!</v>
      </c>
      <c r="IP391" t="e">
        <f>AND('STERLING CATALOG - FZN &amp; CHILL'!E3426,"AAAAAExV/fk=")</f>
        <v>#VALUE!</v>
      </c>
      <c r="IQ391" t="e">
        <f>AND('STERLING CATALOG - FZN &amp; CHILL'!F3426,"AAAAAExV/fo=")</f>
        <v>#VALUE!</v>
      </c>
      <c r="IR391" t="e">
        <f>AND('STERLING CATALOG - FZN &amp; CHILL'!G3426,"AAAAAExV/fs=")</f>
        <v>#VALUE!</v>
      </c>
      <c r="IS391" t="e">
        <f>AND('STERLING CATALOG - FZN &amp; CHILL'!H3426,"AAAAAExV/fw=")</f>
        <v>#VALUE!</v>
      </c>
      <c r="IT391" t="e">
        <f>AND('STERLING CATALOG - FZN &amp; CHILL'!I3426,"AAAAAExV/f0=")</f>
        <v>#VALUE!</v>
      </c>
      <c r="IU391" t="e">
        <f>AND('STERLING CATALOG - FZN &amp; CHILL'!J3426,"AAAAAExV/f4=")</f>
        <v>#VALUE!</v>
      </c>
      <c r="IV391">
        <f>IF('STERLING CATALOG - FZN &amp; CHILL'!3427:3427,"AAAAAExV/f8=",0)</f>
        <v>0</v>
      </c>
    </row>
    <row r="392" spans="1:256">
      <c r="A392" t="e">
        <f>AND('STERLING CATALOG - FZN &amp; CHILL'!A3427,"AAAAAHv7QwA=")</f>
        <v>#VALUE!</v>
      </c>
      <c r="B392" t="e">
        <f>AND('STERLING CATALOG - FZN &amp; CHILL'!B3427,"AAAAAHv7QwE=")</f>
        <v>#VALUE!</v>
      </c>
      <c r="C392" t="e">
        <f>AND('STERLING CATALOG - FZN &amp; CHILL'!C3427,"AAAAAHv7QwI=")</f>
        <v>#VALUE!</v>
      </c>
      <c r="D392" t="e">
        <f>AND('STERLING CATALOG - FZN &amp; CHILL'!D3427,"AAAAAHv7QwM=")</f>
        <v>#VALUE!</v>
      </c>
      <c r="E392" t="e">
        <f>AND('STERLING CATALOG - FZN &amp; CHILL'!E3427,"AAAAAHv7QwQ=")</f>
        <v>#VALUE!</v>
      </c>
      <c r="F392" t="e">
        <f>AND('STERLING CATALOG - FZN &amp; CHILL'!F3427,"AAAAAHv7QwU=")</f>
        <v>#VALUE!</v>
      </c>
      <c r="G392" t="e">
        <f>AND('STERLING CATALOG - FZN &amp; CHILL'!G3427,"AAAAAHv7QwY=")</f>
        <v>#VALUE!</v>
      </c>
      <c r="H392" t="e">
        <f>AND('STERLING CATALOG - FZN &amp; CHILL'!H3427,"AAAAAHv7Qwc=")</f>
        <v>#VALUE!</v>
      </c>
      <c r="I392" t="e">
        <f>AND('STERLING CATALOG - FZN &amp; CHILL'!I3427,"AAAAAHv7Qwg=")</f>
        <v>#VALUE!</v>
      </c>
      <c r="J392" t="e">
        <f>AND('STERLING CATALOG - FZN &amp; CHILL'!J3427,"AAAAAHv7Qwk=")</f>
        <v>#VALUE!</v>
      </c>
      <c r="K392">
        <f>IF('STERLING CATALOG - FZN &amp; CHILL'!3428:3428,"AAAAAHv7Qwo=",0)</f>
        <v>0</v>
      </c>
      <c r="L392" t="e">
        <f>AND('STERLING CATALOG - FZN &amp; CHILL'!A3428,"AAAAAHv7Qws=")</f>
        <v>#VALUE!</v>
      </c>
      <c r="M392" t="e">
        <f>AND('STERLING CATALOG - FZN &amp; CHILL'!B3428,"AAAAAHv7Qww=")</f>
        <v>#VALUE!</v>
      </c>
      <c r="N392" t="e">
        <f>AND('STERLING CATALOG - FZN &amp; CHILL'!C3428,"AAAAAHv7Qw0=")</f>
        <v>#VALUE!</v>
      </c>
      <c r="O392" t="e">
        <f>AND('STERLING CATALOG - FZN &amp; CHILL'!D3428,"AAAAAHv7Qw4=")</f>
        <v>#VALUE!</v>
      </c>
      <c r="P392" t="e">
        <f>AND('STERLING CATALOG - FZN &amp; CHILL'!E3428,"AAAAAHv7Qw8=")</f>
        <v>#VALUE!</v>
      </c>
      <c r="Q392" t="e">
        <f>AND('STERLING CATALOG - FZN &amp; CHILL'!F3428,"AAAAAHv7QxA=")</f>
        <v>#VALUE!</v>
      </c>
      <c r="R392" t="e">
        <f>AND('STERLING CATALOG - FZN &amp; CHILL'!G3428,"AAAAAHv7QxE=")</f>
        <v>#VALUE!</v>
      </c>
      <c r="S392" t="e">
        <f>AND('STERLING CATALOG - FZN &amp; CHILL'!H3428,"AAAAAHv7QxI=")</f>
        <v>#VALUE!</v>
      </c>
      <c r="T392" t="e">
        <f>AND('STERLING CATALOG - FZN &amp; CHILL'!I3428,"AAAAAHv7QxM=")</f>
        <v>#VALUE!</v>
      </c>
      <c r="U392" t="e">
        <f>AND('STERLING CATALOG - FZN &amp; CHILL'!J3428,"AAAAAHv7QxQ=")</f>
        <v>#VALUE!</v>
      </c>
      <c r="V392">
        <f>IF('STERLING CATALOG - FZN &amp; CHILL'!3429:3429,"AAAAAHv7QxU=",0)</f>
        <v>0</v>
      </c>
      <c r="W392" t="e">
        <f>AND('STERLING CATALOG - FZN &amp; CHILL'!A3429,"AAAAAHv7QxY=")</f>
        <v>#VALUE!</v>
      </c>
      <c r="X392" t="e">
        <f>AND('STERLING CATALOG - FZN &amp; CHILL'!B3429,"AAAAAHv7Qxc=")</f>
        <v>#VALUE!</v>
      </c>
      <c r="Y392" t="e">
        <f>AND('STERLING CATALOG - FZN &amp; CHILL'!C3429,"AAAAAHv7Qxg=")</f>
        <v>#VALUE!</v>
      </c>
      <c r="Z392" t="e">
        <f>AND('STERLING CATALOG - FZN &amp; CHILL'!D3429,"AAAAAHv7Qxk=")</f>
        <v>#VALUE!</v>
      </c>
      <c r="AA392" t="e">
        <f>AND('STERLING CATALOG - FZN &amp; CHILL'!E3429,"AAAAAHv7Qxo=")</f>
        <v>#VALUE!</v>
      </c>
      <c r="AB392" t="e">
        <f>AND('STERLING CATALOG - FZN &amp; CHILL'!F3429,"AAAAAHv7Qxs=")</f>
        <v>#VALUE!</v>
      </c>
      <c r="AC392" t="e">
        <f>AND('STERLING CATALOG - FZN &amp; CHILL'!G3429,"AAAAAHv7Qxw=")</f>
        <v>#VALUE!</v>
      </c>
      <c r="AD392" t="e">
        <f>AND('STERLING CATALOG - FZN &amp; CHILL'!H3429,"AAAAAHv7Qx0=")</f>
        <v>#VALUE!</v>
      </c>
      <c r="AE392" t="e">
        <f>AND('STERLING CATALOG - FZN &amp; CHILL'!I3429,"AAAAAHv7Qx4=")</f>
        <v>#VALUE!</v>
      </c>
      <c r="AF392" t="e">
        <f>AND('STERLING CATALOG - FZN &amp; CHILL'!J3429,"AAAAAHv7Qx8=")</f>
        <v>#VALUE!</v>
      </c>
      <c r="AG392">
        <f>IF('STERLING CATALOG - FZN &amp; CHILL'!3430:3430,"AAAAAHv7QyA=",0)</f>
        <v>0</v>
      </c>
      <c r="AH392" t="e">
        <f>AND('STERLING CATALOG - FZN &amp; CHILL'!A3430,"AAAAAHv7QyE=")</f>
        <v>#VALUE!</v>
      </c>
      <c r="AI392" t="e">
        <f>AND('STERLING CATALOG - FZN &amp; CHILL'!B3430,"AAAAAHv7QyI=")</f>
        <v>#VALUE!</v>
      </c>
      <c r="AJ392" t="e">
        <f>AND('STERLING CATALOG - FZN &amp; CHILL'!C3430,"AAAAAHv7QyM=")</f>
        <v>#VALUE!</v>
      </c>
      <c r="AK392" t="e">
        <f>AND('STERLING CATALOG - FZN &amp; CHILL'!D3430,"AAAAAHv7QyQ=")</f>
        <v>#VALUE!</v>
      </c>
      <c r="AL392" t="e">
        <f>AND('STERLING CATALOG - FZN &amp; CHILL'!E3430,"AAAAAHv7QyU=")</f>
        <v>#VALUE!</v>
      </c>
      <c r="AM392" t="e">
        <f>AND('STERLING CATALOG - FZN &amp; CHILL'!F3430,"AAAAAHv7QyY=")</f>
        <v>#VALUE!</v>
      </c>
      <c r="AN392" t="e">
        <f>AND('STERLING CATALOG - FZN &amp; CHILL'!G3430,"AAAAAHv7Qyc=")</f>
        <v>#VALUE!</v>
      </c>
      <c r="AO392" t="e">
        <f>AND('STERLING CATALOG - FZN &amp; CHILL'!H3430,"AAAAAHv7Qyg=")</f>
        <v>#VALUE!</v>
      </c>
      <c r="AP392" t="e">
        <f>AND('STERLING CATALOG - FZN &amp; CHILL'!I3430,"AAAAAHv7Qyk=")</f>
        <v>#VALUE!</v>
      </c>
      <c r="AQ392" t="e">
        <f>AND('STERLING CATALOG - FZN &amp; CHILL'!J3430,"AAAAAHv7Qyo=")</f>
        <v>#VALUE!</v>
      </c>
      <c r="AR392">
        <f>IF('STERLING CATALOG - FZN &amp; CHILL'!3431:3431,"AAAAAHv7Qys=",0)</f>
        <v>0</v>
      </c>
      <c r="AS392" t="e">
        <f>AND('STERLING CATALOG - FZN &amp; CHILL'!A3431,"AAAAAHv7Qyw=")</f>
        <v>#VALUE!</v>
      </c>
      <c r="AT392" t="e">
        <f>AND('STERLING CATALOG - FZN &amp; CHILL'!B3431,"AAAAAHv7Qy0=")</f>
        <v>#VALUE!</v>
      </c>
      <c r="AU392" t="e">
        <f>AND('STERLING CATALOG - FZN &amp; CHILL'!C3431,"AAAAAHv7Qy4=")</f>
        <v>#VALUE!</v>
      </c>
      <c r="AV392" t="e">
        <f>AND('STERLING CATALOG - FZN &amp; CHILL'!D3431,"AAAAAHv7Qy8=")</f>
        <v>#VALUE!</v>
      </c>
      <c r="AW392" t="e">
        <f>AND('STERLING CATALOG - FZN &amp; CHILL'!E3431,"AAAAAHv7QzA=")</f>
        <v>#VALUE!</v>
      </c>
      <c r="AX392" t="e">
        <f>AND('STERLING CATALOG - FZN &amp; CHILL'!F3431,"AAAAAHv7QzE=")</f>
        <v>#VALUE!</v>
      </c>
      <c r="AY392" t="e">
        <f>AND('STERLING CATALOG - FZN &amp; CHILL'!G3431,"AAAAAHv7QzI=")</f>
        <v>#VALUE!</v>
      </c>
      <c r="AZ392" t="e">
        <f>AND('STERLING CATALOG - FZN &amp; CHILL'!H3431,"AAAAAHv7QzM=")</f>
        <v>#VALUE!</v>
      </c>
      <c r="BA392" t="e">
        <f>AND('STERLING CATALOG - FZN &amp; CHILL'!I3431,"AAAAAHv7QzQ=")</f>
        <v>#VALUE!</v>
      </c>
      <c r="BB392" t="e">
        <f>AND('STERLING CATALOG - FZN &amp; CHILL'!J3431,"AAAAAHv7QzU=")</f>
        <v>#VALUE!</v>
      </c>
      <c r="BC392">
        <f>IF('STERLING CATALOG - FZN &amp; CHILL'!3432:3432,"AAAAAHv7QzY=",0)</f>
        <v>0</v>
      </c>
      <c r="BD392" t="e">
        <f>AND('STERLING CATALOG - FZN &amp; CHILL'!A3432,"AAAAAHv7Qzc=")</f>
        <v>#VALUE!</v>
      </c>
      <c r="BE392" t="e">
        <f>AND('STERLING CATALOG - FZN &amp; CHILL'!B3432,"AAAAAHv7Qzg=")</f>
        <v>#VALUE!</v>
      </c>
      <c r="BF392" t="e">
        <f>AND('STERLING CATALOG - FZN &amp; CHILL'!C3432,"AAAAAHv7Qzk=")</f>
        <v>#VALUE!</v>
      </c>
      <c r="BG392" t="e">
        <f>AND('STERLING CATALOG - FZN &amp; CHILL'!D3432,"AAAAAHv7Qzo=")</f>
        <v>#VALUE!</v>
      </c>
      <c r="BH392" t="e">
        <f>AND('STERLING CATALOG - FZN &amp; CHILL'!E3432,"AAAAAHv7Qzs=")</f>
        <v>#VALUE!</v>
      </c>
      <c r="BI392" t="e">
        <f>AND('STERLING CATALOG - FZN &amp; CHILL'!F3432,"AAAAAHv7Qzw=")</f>
        <v>#VALUE!</v>
      </c>
      <c r="BJ392" t="e">
        <f>AND('STERLING CATALOG - FZN &amp; CHILL'!G3432,"AAAAAHv7Qz0=")</f>
        <v>#VALUE!</v>
      </c>
      <c r="BK392" t="e">
        <f>AND('STERLING CATALOG - FZN &amp; CHILL'!H3432,"AAAAAHv7Qz4=")</f>
        <v>#VALUE!</v>
      </c>
      <c r="BL392" t="e">
        <f>AND('STERLING CATALOG - FZN &amp; CHILL'!I3432,"AAAAAHv7Qz8=")</f>
        <v>#VALUE!</v>
      </c>
      <c r="BM392" t="e">
        <f>AND('STERLING CATALOG - FZN &amp; CHILL'!J3432,"AAAAAHv7Q0A=")</f>
        <v>#VALUE!</v>
      </c>
      <c r="BN392">
        <f>IF('STERLING CATALOG - FZN &amp; CHILL'!3433:3433,"AAAAAHv7Q0E=",0)</f>
        <v>0</v>
      </c>
      <c r="BO392" t="e">
        <f>AND('STERLING CATALOG - FZN &amp; CHILL'!A3433,"AAAAAHv7Q0I=")</f>
        <v>#VALUE!</v>
      </c>
      <c r="BP392" t="e">
        <f>AND('STERLING CATALOG - FZN &amp; CHILL'!B3433,"AAAAAHv7Q0M=")</f>
        <v>#VALUE!</v>
      </c>
      <c r="BQ392" t="e">
        <f>AND('STERLING CATALOG - FZN &amp; CHILL'!C3433,"AAAAAHv7Q0Q=")</f>
        <v>#VALUE!</v>
      </c>
      <c r="BR392" t="e">
        <f>AND('STERLING CATALOG - FZN &amp; CHILL'!D3433,"AAAAAHv7Q0U=")</f>
        <v>#VALUE!</v>
      </c>
      <c r="BS392" t="e">
        <f>AND('STERLING CATALOG - FZN &amp; CHILL'!E3433,"AAAAAHv7Q0Y=")</f>
        <v>#VALUE!</v>
      </c>
      <c r="BT392" t="e">
        <f>AND('STERLING CATALOG - FZN &amp; CHILL'!F3433,"AAAAAHv7Q0c=")</f>
        <v>#VALUE!</v>
      </c>
      <c r="BU392" t="e">
        <f>AND('STERLING CATALOG - FZN &amp; CHILL'!G3433,"AAAAAHv7Q0g=")</f>
        <v>#VALUE!</v>
      </c>
      <c r="BV392" t="e">
        <f>AND('STERLING CATALOG - FZN &amp; CHILL'!H3433,"AAAAAHv7Q0k=")</f>
        <v>#VALUE!</v>
      </c>
      <c r="BW392" t="e">
        <f>AND('STERLING CATALOG - FZN &amp; CHILL'!I3433,"AAAAAHv7Q0o=")</f>
        <v>#VALUE!</v>
      </c>
      <c r="BX392" t="e">
        <f>AND('STERLING CATALOG - FZN &amp; CHILL'!J3433,"AAAAAHv7Q0s=")</f>
        <v>#VALUE!</v>
      </c>
      <c r="BY392">
        <f>IF('STERLING CATALOG - FZN &amp; CHILL'!3434:3434,"AAAAAHv7Q0w=",0)</f>
        <v>0</v>
      </c>
      <c r="BZ392" t="e">
        <f>AND('STERLING CATALOG - FZN &amp; CHILL'!A3434,"AAAAAHv7Q00=")</f>
        <v>#VALUE!</v>
      </c>
      <c r="CA392" t="e">
        <f>AND('STERLING CATALOG - FZN &amp; CHILL'!B3434,"AAAAAHv7Q04=")</f>
        <v>#VALUE!</v>
      </c>
      <c r="CB392" t="e">
        <f>AND('STERLING CATALOG - FZN &amp; CHILL'!C3434,"AAAAAHv7Q08=")</f>
        <v>#VALUE!</v>
      </c>
      <c r="CC392" t="e">
        <f>AND('STERLING CATALOG - FZN &amp; CHILL'!D3434,"AAAAAHv7Q1A=")</f>
        <v>#VALUE!</v>
      </c>
      <c r="CD392" t="e">
        <f>AND('STERLING CATALOG - FZN &amp; CHILL'!E3434,"AAAAAHv7Q1E=")</f>
        <v>#VALUE!</v>
      </c>
      <c r="CE392" t="e">
        <f>AND('STERLING CATALOG - FZN &amp; CHILL'!F3434,"AAAAAHv7Q1I=")</f>
        <v>#VALUE!</v>
      </c>
      <c r="CF392" t="e">
        <f>AND('STERLING CATALOG - FZN &amp; CHILL'!G3434,"AAAAAHv7Q1M=")</f>
        <v>#VALUE!</v>
      </c>
      <c r="CG392" t="e">
        <f>AND('STERLING CATALOG - FZN &amp; CHILL'!H3434,"AAAAAHv7Q1Q=")</f>
        <v>#VALUE!</v>
      </c>
      <c r="CH392" t="e">
        <f>AND('STERLING CATALOG - FZN &amp; CHILL'!I3434,"AAAAAHv7Q1U=")</f>
        <v>#VALUE!</v>
      </c>
      <c r="CI392" t="e">
        <f>AND('STERLING CATALOG - FZN &amp; CHILL'!J3434,"AAAAAHv7Q1Y=")</f>
        <v>#VALUE!</v>
      </c>
      <c r="CJ392">
        <f>IF('STERLING CATALOG - FZN &amp; CHILL'!3435:3435,"AAAAAHv7Q1c=",0)</f>
        <v>0</v>
      </c>
      <c r="CK392" t="e">
        <f>AND('STERLING CATALOG - FZN &amp; CHILL'!A3435,"AAAAAHv7Q1g=")</f>
        <v>#VALUE!</v>
      </c>
      <c r="CL392" t="e">
        <f>AND('STERLING CATALOG - FZN &amp; CHILL'!B3435,"AAAAAHv7Q1k=")</f>
        <v>#VALUE!</v>
      </c>
      <c r="CM392" t="e">
        <f>AND('STERLING CATALOG - FZN &amp; CHILL'!C3435,"AAAAAHv7Q1o=")</f>
        <v>#VALUE!</v>
      </c>
      <c r="CN392" t="e">
        <f>AND('STERLING CATALOG - FZN &amp; CHILL'!D3435,"AAAAAHv7Q1s=")</f>
        <v>#VALUE!</v>
      </c>
      <c r="CO392" t="e">
        <f>AND('STERLING CATALOG - FZN &amp; CHILL'!E3435,"AAAAAHv7Q1w=")</f>
        <v>#VALUE!</v>
      </c>
      <c r="CP392" t="e">
        <f>AND('STERLING CATALOG - FZN &amp; CHILL'!F3435,"AAAAAHv7Q10=")</f>
        <v>#VALUE!</v>
      </c>
      <c r="CQ392" t="e">
        <f>AND('STERLING CATALOG - FZN &amp; CHILL'!G3435,"AAAAAHv7Q14=")</f>
        <v>#VALUE!</v>
      </c>
      <c r="CR392" t="e">
        <f>AND('STERLING CATALOG - FZN &amp; CHILL'!H3435,"AAAAAHv7Q18=")</f>
        <v>#VALUE!</v>
      </c>
      <c r="CS392" t="e">
        <f>AND('STERLING CATALOG - FZN &amp; CHILL'!I3435,"AAAAAHv7Q2A=")</f>
        <v>#VALUE!</v>
      </c>
      <c r="CT392" t="e">
        <f>AND('STERLING CATALOG - FZN &amp; CHILL'!J3435,"AAAAAHv7Q2E=")</f>
        <v>#VALUE!</v>
      </c>
      <c r="CU392">
        <f>IF('STERLING CATALOG - FZN &amp; CHILL'!3436:3436,"AAAAAHv7Q2I=",0)</f>
        <v>0</v>
      </c>
      <c r="CV392" t="e">
        <f>AND('STERLING CATALOG - FZN &amp; CHILL'!A3436,"AAAAAHv7Q2M=")</f>
        <v>#VALUE!</v>
      </c>
      <c r="CW392" t="e">
        <f>AND('STERLING CATALOG - FZN &amp; CHILL'!B3436,"AAAAAHv7Q2Q=")</f>
        <v>#VALUE!</v>
      </c>
      <c r="CX392" t="e">
        <f>AND('STERLING CATALOG - FZN &amp; CHILL'!C3436,"AAAAAHv7Q2U=")</f>
        <v>#VALUE!</v>
      </c>
      <c r="CY392" t="e">
        <f>AND('STERLING CATALOG - FZN &amp; CHILL'!D3436,"AAAAAHv7Q2Y=")</f>
        <v>#VALUE!</v>
      </c>
      <c r="CZ392" t="e">
        <f>AND('STERLING CATALOG - FZN &amp; CHILL'!E3436,"AAAAAHv7Q2c=")</f>
        <v>#VALUE!</v>
      </c>
      <c r="DA392" t="e">
        <f>AND('STERLING CATALOG - FZN &amp; CHILL'!F3436,"AAAAAHv7Q2g=")</f>
        <v>#VALUE!</v>
      </c>
      <c r="DB392" t="e">
        <f>AND('STERLING CATALOG - FZN &amp; CHILL'!G3436,"AAAAAHv7Q2k=")</f>
        <v>#VALUE!</v>
      </c>
      <c r="DC392" t="e">
        <f>AND('STERLING CATALOG - FZN &amp; CHILL'!H3436,"AAAAAHv7Q2o=")</f>
        <v>#VALUE!</v>
      </c>
      <c r="DD392" t="e">
        <f>AND('STERLING CATALOG - FZN &amp; CHILL'!I3436,"AAAAAHv7Q2s=")</f>
        <v>#VALUE!</v>
      </c>
      <c r="DE392" t="e">
        <f>AND('STERLING CATALOG - FZN &amp; CHILL'!J3436,"AAAAAHv7Q2w=")</f>
        <v>#VALUE!</v>
      </c>
      <c r="DF392">
        <f>IF('STERLING CATALOG - FZN &amp; CHILL'!3437:3437,"AAAAAHv7Q20=",0)</f>
        <v>0</v>
      </c>
      <c r="DG392" t="e">
        <f>AND('STERLING CATALOG - FZN &amp; CHILL'!A3437,"AAAAAHv7Q24=")</f>
        <v>#VALUE!</v>
      </c>
      <c r="DH392" t="e">
        <f>AND('STERLING CATALOG - FZN &amp; CHILL'!B3437,"AAAAAHv7Q28=")</f>
        <v>#VALUE!</v>
      </c>
      <c r="DI392" t="e">
        <f>AND('STERLING CATALOG - FZN &amp; CHILL'!C3437,"AAAAAHv7Q3A=")</f>
        <v>#VALUE!</v>
      </c>
      <c r="DJ392" t="e">
        <f>AND('STERLING CATALOG - FZN &amp; CHILL'!D3437,"AAAAAHv7Q3E=")</f>
        <v>#VALUE!</v>
      </c>
      <c r="DK392" t="e">
        <f>AND('STERLING CATALOG - FZN &amp; CHILL'!E3437,"AAAAAHv7Q3I=")</f>
        <v>#VALUE!</v>
      </c>
      <c r="DL392" t="e">
        <f>AND('STERLING CATALOG - FZN &amp; CHILL'!F3437,"AAAAAHv7Q3M=")</f>
        <v>#VALUE!</v>
      </c>
      <c r="DM392" t="e">
        <f>AND('STERLING CATALOG - FZN &amp; CHILL'!G3437,"AAAAAHv7Q3Q=")</f>
        <v>#VALUE!</v>
      </c>
      <c r="DN392" t="e">
        <f>AND('STERLING CATALOG - FZN &amp; CHILL'!H3437,"AAAAAHv7Q3U=")</f>
        <v>#VALUE!</v>
      </c>
      <c r="DO392" t="e">
        <f>AND('STERLING CATALOG - FZN &amp; CHILL'!I3437,"AAAAAHv7Q3Y=")</f>
        <v>#VALUE!</v>
      </c>
      <c r="DP392" t="e">
        <f>AND('STERLING CATALOG - FZN &amp; CHILL'!J3437,"AAAAAHv7Q3c=")</f>
        <v>#VALUE!</v>
      </c>
      <c r="DQ392">
        <f>IF('STERLING CATALOG - FZN &amp; CHILL'!3438:3438,"AAAAAHv7Q3g=",0)</f>
        <v>0</v>
      </c>
      <c r="DR392" t="e">
        <f>AND('STERLING CATALOG - FZN &amp; CHILL'!A3438,"AAAAAHv7Q3k=")</f>
        <v>#VALUE!</v>
      </c>
      <c r="DS392" t="e">
        <f>AND('STERLING CATALOG - FZN &amp; CHILL'!B3438,"AAAAAHv7Q3o=")</f>
        <v>#VALUE!</v>
      </c>
      <c r="DT392" t="e">
        <f>AND('STERLING CATALOG - FZN &amp; CHILL'!C3438,"AAAAAHv7Q3s=")</f>
        <v>#VALUE!</v>
      </c>
      <c r="DU392" t="e">
        <f>AND('STERLING CATALOG - FZN &amp; CHILL'!D3438,"AAAAAHv7Q3w=")</f>
        <v>#VALUE!</v>
      </c>
      <c r="DV392" t="e">
        <f>AND('STERLING CATALOG - FZN &amp; CHILL'!E3438,"AAAAAHv7Q30=")</f>
        <v>#VALUE!</v>
      </c>
      <c r="DW392" t="e">
        <f>AND('STERLING CATALOG - FZN &amp; CHILL'!F3438,"AAAAAHv7Q34=")</f>
        <v>#VALUE!</v>
      </c>
      <c r="DX392" t="e">
        <f>AND('STERLING CATALOG - FZN &amp; CHILL'!G3438,"AAAAAHv7Q38=")</f>
        <v>#VALUE!</v>
      </c>
      <c r="DY392" t="e">
        <f>AND('STERLING CATALOG - FZN &amp; CHILL'!H3438,"AAAAAHv7Q4A=")</f>
        <v>#VALUE!</v>
      </c>
      <c r="DZ392" t="e">
        <f>AND('STERLING CATALOG - FZN &amp; CHILL'!I3438,"AAAAAHv7Q4E=")</f>
        <v>#VALUE!</v>
      </c>
      <c r="EA392" t="e">
        <f>AND('STERLING CATALOG - FZN &amp; CHILL'!J3438,"AAAAAHv7Q4I=")</f>
        <v>#VALUE!</v>
      </c>
      <c r="EB392">
        <f>IF('STERLING CATALOG - FZN &amp; CHILL'!3439:3439,"AAAAAHv7Q4M=",0)</f>
        <v>0</v>
      </c>
      <c r="EC392" t="e">
        <f>AND('STERLING CATALOG - FZN &amp; CHILL'!A3439,"AAAAAHv7Q4Q=")</f>
        <v>#VALUE!</v>
      </c>
      <c r="ED392" t="e">
        <f>AND('STERLING CATALOG - FZN &amp; CHILL'!B3439,"AAAAAHv7Q4U=")</f>
        <v>#VALUE!</v>
      </c>
      <c r="EE392" t="e">
        <f>AND('STERLING CATALOG - FZN &amp; CHILL'!C3439,"AAAAAHv7Q4Y=")</f>
        <v>#VALUE!</v>
      </c>
      <c r="EF392" t="e">
        <f>AND('STERLING CATALOG - FZN &amp; CHILL'!D3439,"AAAAAHv7Q4c=")</f>
        <v>#VALUE!</v>
      </c>
      <c r="EG392" t="e">
        <f>AND('STERLING CATALOG - FZN &amp; CHILL'!E3439,"AAAAAHv7Q4g=")</f>
        <v>#VALUE!</v>
      </c>
      <c r="EH392" t="e">
        <f>AND('STERLING CATALOG - FZN &amp; CHILL'!F3439,"AAAAAHv7Q4k=")</f>
        <v>#VALUE!</v>
      </c>
      <c r="EI392" t="e">
        <f>AND('STERLING CATALOG - FZN &amp; CHILL'!G3439,"AAAAAHv7Q4o=")</f>
        <v>#VALUE!</v>
      </c>
      <c r="EJ392" t="e">
        <f>AND('STERLING CATALOG - FZN &amp; CHILL'!H3439,"AAAAAHv7Q4s=")</f>
        <v>#VALUE!</v>
      </c>
      <c r="EK392" t="e">
        <f>AND('STERLING CATALOG - FZN &amp; CHILL'!I3439,"AAAAAHv7Q4w=")</f>
        <v>#VALUE!</v>
      </c>
      <c r="EL392" t="e">
        <f>AND('STERLING CATALOG - FZN &amp; CHILL'!J3439,"AAAAAHv7Q40=")</f>
        <v>#VALUE!</v>
      </c>
      <c r="EM392">
        <f>IF('STERLING CATALOG - FZN &amp; CHILL'!3440:3440,"AAAAAHv7Q44=",0)</f>
        <v>0</v>
      </c>
      <c r="EN392" t="e">
        <f>AND('STERLING CATALOG - FZN &amp; CHILL'!A3440,"AAAAAHv7Q48=")</f>
        <v>#VALUE!</v>
      </c>
      <c r="EO392" t="e">
        <f>AND('STERLING CATALOG - FZN &amp; CHILL'!B3440,"AAAAAHv7Q5A=")</f>
        <v>#VALUE!</v>
      </c>
      <c r="EP392" t="e">
        <f>AND('STERLING CATALOG - FZN &amp; CHILL'!C3440,"AAAAAHv7Q5E=")</f>
        <v>#VALUE!</v>
      </c>
      <c r="EQ392" t="e">
        <f>AND('STERLING CATALOG - FZN &amp; CHILL'!D3440,"AAAAAHv7Q5I=")</f>
        <v>#VALUE!</v>
      </c>
      <c r="ER392" t="e">
        <f>AND('STERLING CATALOG - FZN &amp; CHILL'!E3440,"AAAAAHv7Q5M=")</f>
        <v>#VALUE!</v>
      </c>
      <c r="ES392" t="e">
        <f>AND('STERLING CATALOG - FZN &amp; CHILL'!F3440,"AAAAAHv7Q5Q=")</f>
        <v>#VALUE!</v>
      </c>
      <c r="ET392" t="e">
        <f>AND('STERLING CATALOG - FZN &amp; CHILL'!G3440,"AAAAAHv7Q5U=")</f>
        <v>#VALUE!</v>
      </c>
      <c r="EU392" t="e">
        <f>AND('STERLING CATALOG - FZN &amp; CHILL'!H3440,"AAAAAHv7Q5Y=")</f>
        <v>#VALUE!</v>
      </c>
      <c r="EV392" t="e">
        <f>AND('STERLING CATALOG - FZN &amp; CHILL'!I3440,"AAAAAHv7Q5c=")</f>
        <v>#VALUE!</v>
      </c>
      <c r="EW392" t="e">
        <f>AND('STERLING CATALOG - FZN &amp; CHILL'!J3440,"AAAAAHv7Q5g=")</f>
        <v>#VALUE!</v>
      </c>
      <c r="EX392">
        <f>IF('STERLING CATALOG - FZN &amp; CHILL'!3441:3441,"AAAAAHv7Q5k=",0)</f>
        <v>0</v>
      </c>
      <c r="EY392" t="e">
        <f>AND('STERLING CATALOG - FZN &amp; CHILL'!A3441,"AAAAAHv7Q5o=")</f>
        <v>#VALUE!</v>
      </c>
      <c r="EZ392" t="e">
        <f>AND('STERLING CATALOG - FZN &amp; CHILL'!B3441,"AAAAAHv7Q5s=")</f>
        <v>#VALUE!</v>
      </c>
      <c r="FA392" t="e">
        <f>AND('STERLING CATALOG - FZN &amp; CHILL'!C3441,"AAAAAHv7Q5w=")</f>
        <v>#VALUE!</v>
      </c>
      <c r="FB392" t="e">
        <f>AND('STERLING CATALOG - FZN &amp; CHILL'!D3441,"AAAAAHv7Q50=")</f>
        <v>#VALUE!</v>
      </c>
      <c r="FC392" t="e">
        <f>AND('STERLING CATALOG - FZN &amp; CHILL'!E3441,"AAAAAHv7Q54=")</f>
        <v>#VALUE!</v>
      </c>
      <c r="FD392" t="e">
        <f>AND('STERLING CATALOG - FZN &amp; CHILL'!F3441,"AAAAAHv7Q58=")</f>
        <v>#VALUE!</v>
      </c>
      <c r="FE392" t="e">
        <f>AND('STERLING CATALOG - FZN &amp; CHILL'!G3441,"AAAAAHv7Q6A=")</f>
        <v>#VALUE!</v>
      </c>
      <c r="FF392" t="e">
        <f>AND('STERLING CATALOG - FZN &amp; CHILL'!H3441,"AAAAAHv7Q6E=")</f>
        <v>#VALUE!</v>
      </c>
      <c r="FG392" t="e">
        <f>AND('STERLING CATALOG - FZN &amp; CHILL'!I3441,"AAAAAHv7Q6I=")</f>
        <v>#VALUE!</v>
      </c>
      <c r="FH392" t="e">
        <f>AND('STERLING CATALOG - FZN &amp; CHILL'!J3441,"AAAAAHv7Q6M=")</f>
        <v>#VALUE!</v>
      </c>
      <c r="FI392">
        <f>IF('STERLING CATALOG - FZN &amp; CHILL'!3442:3442,"AAAAAHv7Q6Q=",0)</f>
        <v>0</v>
      </c>
      <c r="FJ392" t="e">
        <f>AND('STERLING CATALOG - FZN &amp; CHILL'!A3442,"AAAAAHv7Q6U=")</f>
        <v>#VALUE!</v>
      </c>
      <c r="FK392" t="e">
        <f>AND('STERLING CATALOG - FZN &amp; CHILL'!B3442,"AAAAAHv7Q6Y=")</f>
        <v>#VALUE!</v>
      </c>
      <c r="FL392" t="e">
        <f>AND('STERLING CATALOG - FZN &amp; CHILL'!C3442,"AAAAAHv7Q6c=")</f>
        <v>#VALUE!</v>
      </c>
      <c r="FM392" t="e">
        <f>AND('STERLING CATALOG - FZN &amp; CHILL'!D3442,"AAAAAHv7Q6g=")</f>
        <v>#VALUE!</v>
      </c>
      <c r="FN392" t="e">
        <f>AND('STERLING CATALOG - FZN &amp; CHILL'!E3442,"AAAAAHv7Q6k=")</f>
        <v>#VALUE!</v>
      </c>
      <c r="FO392" t="e">
        <f>AND('STERLING CATALOG - FZN &amp; CHILL'!F3442,"AAAAAHv7Q6o=")</f>
        <v>#VALUE!</v>
      </c>
      <c r="FP392" t="e">
        <f>AND('STERLING CATALOG - FZN &amp; CHILL'!G3442,"AAAAAHv7Q6s=")</f>
        <v>#VALUE!</v>
      </c>
      <c r="FQ392" t="e">
        <f>AND('STERLING CATALOG - FZN &amp; CHILL'!H3442,"AAAAAHv7Q6w=")</f>
        <v>#VALUE!</v>
      </c>
      <c r="FR392" t="e">
        <f>AND('STERLING CATALOG - FZN &amp; CHILL'!I3442,"AAAAAHv7Q60=")</f>
        <v>#VALUE!</v>
      </c>
      <c r="FS392" t="e">
        <f>AND('STERLING CATALOG - FZN &amp; CHILL'!J3442,"AAAAAHv7Q64=")</f>
        <v>#VALUE!</v>
      </c>
      <c r="FT392">
        <f>IF('STERLING CATALOG - FZN &amp; CHILL'!3443:3443,"AAAAAHv7Q68=",0)</f>
        <v>0</v>
      </c>
      <c r="FU392" t="e">
        <f>AND('STERLING CATALOG - FZN &amp; CHILL'!A3443,"AAAAAHv7Q7A=")</f>
        <v>#VALUE!</v>
      </c>
      <c r="FV392" t="e">
        <f>AND('STERLING CATALOG - FZN &amp; CHILL'!B3443,"AAAAAHv7Q7E=")</f>
        <v>#VALUE!</v>
      </c>
      <c r="FW392" t="e">
        <f>AND('STERLING CATALOG - FZN &amp; CHILL'!C3443,"AAAAAHv7Q7I=")</f>
        <v>#VALUE!</v>
      </c>
      <c r="FX392" t="e">
        <f>AND('STERLING CATALOG - FZN &amp; CHILL'!D3443,"AAAAAHv7Q7M=")</f>
        <v>#VALUE!</v>
      </c>
      <c r="FY392" t="e">
        <f>AND('STERLING CATALOG - FZN &amp; CHILL'!E3443,"AAAAAHv7Q7Q=")</f>
        <v>#VALUE!</v>
      </c>
      <c r="FZ392" t="e">
        <f>AND('STERLING CATALOG - FZN &amp; CHILL'!F3443,"AAAAAHv7Q7U=")</f>
        <v>#VALUE!</v>
      </c>
      <c r="GA392" t="e">
        <f>AND('STERLING CATALOG - FZN &amp; CHILL'!G3443,"AAAAAHv7Q7Y=")</f>
        <v>#VALUE!</v>
      </c>
      <c r="GB392" t="e">
        <f>AND('STERLING CATALOG - FZN &amp; CHILL'!H3443,"AAAAAHv7Q7c=")</f>
        <v>#VALUE!</v>
      </c>
      <c r="GC392" t="e">
        <f>AND('STERLING CATALOG - FZN &amp; CHILL'!I3443,"AAAAAHv7Q7g=")</f>
        <v>#VALUE!</v>
      </c>
      <c r="GD392" t="e">
        <f>AND('STERLING CATALOG - FZN &amp; CHILL'!J3443,"AAAAAHv7Q7k=")</f>
        <v>#VALUE!</v>
      </c>
      <c r="GE392">
        <f>IF('STERLING CATALOG - FZN &amp; CHILL'!3444:3444,"AAAAAHv7Q7o=",0)</f>
        <v>0</v>
      </c>
      <c r="GF392" t="e">
        <f>AND('STERLING CATALOG - FZN &amp; CHILL'!A3444,"AAAAAHv7Q7s=")</f>
        <v>#VALUE!</v>
      </c>
      <c r="GG392" t="e">
        <f>AND('STERLING CATALOG - FZN &amp; CHILL'!B3444,"AAAAAHv7Q7w=")</f>
        <v>#VALUE!</v>
      </c>
      <c r="GH392" t="e">
        <f>AND('STERLING CATALOG - FZN &amp; CHILL'!C3444,"AAAAAHv7Q70=")</f>
        <v>#VALUE!</v>
      </c>
      <c r="GI392" t="e">
        <f>AND('STERLING CATALOG - FZN &amp; CHILL'!D3444,"AAAAAHv7Q74=")</f>
        <v>#VALUE!</v>
      </c>
      <c r="GJ392" t="e">
        <f>AND('STERLING CATALOG - FZN &amp; CHILL'!E3444,"AAAAAHv7Q78=")</f>
        <v>#VALUE!</v>
      </c>
      <c r="GK392" t="e">
        <f>AND('STERLING CATALOG - FZN &amp; CHILL'!F3444,"AAAAAHv7Q8A=")</f>
        <v>#VALUE!</v>
      </c>
      <c r="GL392" t="e">
        <f>AND('STERLING CATALOG - FZN &amp; CHILL'!G3444,"AAAAAHv7Q8E=")</f>
        <v>#VALUE!</v>
      </c>
      <c r="GM392" t="e">
        <f>AND('STERLING CATALOG - FZN &amp; CHILL'!H3444,"AAAAAHv7Q8I=")</f>
        <v>#VALUE!</v>
      </c>
      <c r="GN392" t="e">
        <f>AND('STERLING CATALOG - FZN &amp; CHILL'!I3444,"AAAAAHv7Q8M=")</f>
        <v>#VALUE!</v>
      </c>
      <c r="GO392" t="e">
        <f>AND('STERLING CATALOG - FZN &amp; CHILL'!J3444,"AAAAAHv7Q8Q=")</f>
        <v>#VALUE!</v>
      </c>
      <c r="GP392">
        <f>IF('STERLING CATALOG - FZN &amp; CHILL'!3445:3445,"AAAAAHv7Q8U=",0)</f>
        <v>0</v>
      </c>
      <c r="GQ392" t="e">
        <f>AND('STERLING CATALOG - FZN &amp; CHILL'!A3445,"AAAAAHv7Q8Y=")</f>
        <v>#VALUE!</v>
      </c>
      <c r="GR392" t="e">
        <f>AND('STERLING CATALOG - FZN &amp; CHILL'!B3445,"AAAAAHv7Q8c=")</f>
        <v>#VALUE!</v>
      </c>
      <c r="GS392" t="e">
        <f>AND('STERLING CATALOG - FZN &amp; CHILL'!C3445,"AAAAAHv7Q8g=")</f>
        <v>#VALUE!</v>
      </c>
      <c r="GT392" t="e">
        <f>AND('STERLING CATALOG - FZN &amp; CHILL'!D3445,"AAAAAHv7Q8k=")</f>
        <v>#VALUE!</v>
      </c>
      <c r="GU392" t="e">
        <f>AND('STERLING CATALOG - FZN &amp; CHILL'!E3445,"AAAAAHv7Q8o=")</f>
        <v>#VALUE!</v>
      </c>
      <c r="GV392" t="e">
        <f>AND('STERLING CATALOG - FZN &amp; CHILL'!F3445,"AAAAAHv7Q8s=")</f>
        <v>#VALUE!</v>
      </c>
      <c r="GW392" t="e">
        <f>AND('STERLING CATALOG - FZN &amp; CHILL'!G3445,"AAAAAHv7Q8w=")</f>
        <v>#VALUE!</v>
      </c>
      <c r="GX392" t="e">
        <f>AND('STERLING CATALOG - FZN &amp; CHILL'!H3445,"AAAAAHv7Q80=")</f>
        <v>#VALUE!</v>
      </c>
      <c r="GY392" t="e">
        <f>AND('STERLING CATALOG - FZN &amp; CHILL'!I3445,"AAAAAHv7Q84=")</f>
        <v>#VALUE!</v>
      </c>
      <c r="GZ392" t="e">
        <f>AND('STERLING CATALOG - FZN &amp; CHILL'!J3445,"AAAAAHv7Q88=")</f>
        <v>#VALUE!</v>
      </c>
      <c r="HA392">
        <f>IF('STERLING CATALOG - FZN &amp; CHILL'!3446:3446,"AAAAAHv7Q9A=",0)</f>
        <v>0</v>
      </c>
      <c r="HB392" t="e">
        <f>AND('STERLING CATALOG - FZN &amp; CHILL'!A3446,"AAAAAHv7Q9E=")</f>
        <v>#VALUE!</v>
      </c>
      <c r="HC392" t="e">
        <f>AND('STERLING CATALOG - FZN &amp; CHILL'!B3446,"AAAAAHv7Q9I=")</f>
        <v>#VALUE!</v>
      </c>
      <c r="HD392" t="e">
        <f>AND('STERLING CATALOG - FZN &amp; CHILL'!C3446,"AAAAAHv7Q9M=")</f>
        <v>#VALUE!</v>
      </c>
      <c r="HE392" t="e">
        <f>AND('STERLING CATALOG - FZN &amp; CHILL'!D3446,"AAAAAHv7Q9Q=")</f>
        <v>#VALUE!</v>
      </c>
      <c r="HF392" t="e">
        <f>AND('STERLING CATALOG - FZN &amp; CHILL'!E3446,"AAAAAHv7Q9U=")</f>
        <v>#VALUE!</v>
      </c>
      <c r="HG392" t="e">
        <f>AND('STERLING CATALOG - FZN &amp; CHILL'!F3446,"AAAAAHv7Q9Y=")</f>
        <v>#VALUE!</v>
      </c>
      <c r="HH392" t="e">
        <f>AND('STERLING CATALOG - FZN &amp; CHILL'!G3446,"AAAAAHv7Q9c=")</f>
        <v>#VALUE!</v>
      </c>
      <c r="HI392" t="e">
        <f>AND('STERLING CATALOG - FZN &amp; CHILL'!H3446,"AAAAAHv7Q9g=")</f>
        <v>#VALUE!</v>
      </c>
      <c r="HJ392" t="e">
        <f>AND('STERLING CATALOG - FZN &amp; CHILL'!I3446,"AAAAAHv7Q9k=")</f>
        <v>#VALUE!</v>
      </c>
      <c r="HK392" t="e">
        <f>AND('STERLING CATALOG - FZN &amp; CHILL'!J3446,"AAAAAHv7Q9o=")</f>
        <v>#VALUE!</v>
      </c>
      <c r="HL392">
        <f>IF('STERLING CATALOG - FZN &amp; CHILL'!3447:3447,"AAAAAHv7Q9s=",0)</f>
        <v>0</v>
      </c>
      <c r="HM392" t="e">
        <f>AND('STERLING CATALOG - FZN &amp; CHILL'!A3447,"AAAAAHv7Q9w=")</f>
        <v>#VALUE!</v>
      </c>
      <c r="HN392" t="e">
        <f>AND('STERLING CATALOG - FZN &amp; CHILL'!B3447,"AAAAAHv7Q90=")</f>
        <v>#VALUE!</v>
      </c>
      <c r="HO392" t="e">
        <f>AND('STERLING CATALOG - FZN &amp; CHILL'!C3447,"AAAAAHv7Q94=")</f>
        <v>#VALUE!</v>
      </c>
      <c r="HP392" t="e">
        <f>AND('STERLING CATALOG - FZN &amp; CHILL'!D3447,"AAAAAHv7Q98=")</f>
        <v>#VALUE!</v>
      </c>
      <c r="HQ392" t="e">
        <f>AND('STERLING CATALOG - FZN &amp; CHILL'!E3447,"AAAAAHv7Q+A=")</f>
        <v>#VALUE!</v>
      </c>
      <c r="HR392" t="e">
        <f>AND('STERLING CATALOG - FZN &amp; CHILL'!F3447,"AAAAAHv7Q+E=")</f>
        <v>#VALUE!</v>
      </c>
      <c r="HS392" t="e">
        <f>AND('STERLING CATALOG - FZN &amp; CHILL'!G3447,"AAAAAHv7Q+I=")</f>
        <v>#VALUE!</v>
      </c>
      <c r="HT392" t="e">
        <f>AND('STERLING CATALOG - FZN &amp; CHILL'!H3447,"AAAAAHv7Q+M=")</f>
        <v>#VALUE!</v>
      </c>
      <c r="HU392" t="e">
        <f>AND('STERLING CATALOG - FZN &amp; CHILL'!I3447,"AAAAAHv7Q+Q=")</f>
        <v>#VALUE!</v>
      </c>
      <c r="HV392" t="e">
        <f>AND('STERLING CATALOG - FZN &amp; CHILL'!J3447,"AAAAAHv7Q+U=")</f>
        <v>#VALUE!</v>
      </c>
      <c r="HW392">
        <f>IF('STERLING CATALOG - FZN &amp; CHILL'!3448:3448,"AAAAAHv7Q+Y=",0)</f>
        <v>0</v>
      </c>
      <c r="HX392" t="e">
        <f>AND('STERLING CATALOG - FZN &amp; CHILL'!A3448,"AAAAAHv7Q+c=")</f>
        <v>#VALUE!</v>
      </c>
      <c r="HY392" t="e">
        <f>AND('STERLING CATALOG - FZN &amp; CHILL'!B3448,"AAAAAHv7Q+g=")</f>
        <v>#VALUE!</v>
      </c>
      <c r="HZ392" t="e">
        <f>AND('STERLING CATALOG - FZN &amp; CHILL'!C3448,"AAAAAHv7Q+k=")</f>
        <v>#VALUE!</v>
      </c>
      <c r="IA392" t="e">
        <f>AND('STERLING CATALOG - FZN &amp; CHILL'!D3448,"AAAAAHv7Q+o=")</f>
        <v>#VALUE!</v>
      </c>
      <c r="IB392" t="e">
        <f>AND('STERLING CATALOG - FZN &amp; CHILL'!E3448,"AAAAAHv7Q+s=")</f>
        <v>#VALUE!</v>
      </c>
      <c r="IC392" t="e">
        <f>AND('STERLING CATALOG - FZN &amp; CHILL'!F3448,"AAAAAHv7Q+w=")</f>
        <v>#VALUE!</v>
      </c>
      <c r="ID392" t="e">
        <f>AND('STERLING CATALOG - FZN &amp; CHILL'!G3448,"AAAAAHv7Q+0=")</f>
        <v>#VALUE!</v>
      </c>
      <c r="IE392" t="e">
        <f>AND('STERLING CATALOG - FZN &amp; CHILL'!H3448,"AAAAAHv7Q+4=")</f>
        <v>#VALUE!</v>
      </c>
      <c r="IF392" t="e">
        <f>AND('STERLING CATALOG - FZN &amp; CHILL'!I3448,"AAAAAHv7Q+8=")</f>
        <v>#VALUE!</v>
      </c>
      <c r="IG392" t="e">
        <f>AND('STERLING CATALOG - FZN &amp; CHILL'!J3448,"AAAAAHv7Q/A=")</f>
        <v>#VALUE!</v>
      </c>
      <c r="IH392">
        <f>IF('STERLING CATALOG - FZN &amp; CHILL'!3449:3449,"AAAAAHv7Q/E=",0)</f>
        <v>0</v>
      </c>
      <c r="II392" t="e">
        <f>AND('STERLING CATALOG - FZN &amp; CHILL'!A3449,"AAAAAHv7Q/I=")</f>
        <v>#VALUE!</v>
      </c>
      <c r="IJ392" t="e">
        <f>AND('STERLING CATALOG - FZN &amp; CHILL'!B3449,"AAAAAHv7Q/M=")</f>
        <v>#VALUE!</v>
      </c>
      <c r="IK392" t="e">
        <f>AND('STERLING CATALOG - FZN &amp; CHILL'!C3449,"AAAAAHv7Q/Q=")</f>
        <v>#VALUE!</v>
      </c>
      <c r="IL392" t="e">
        <f>AND('STERLING CATALOG - FZN &amp; CHILL'!D3449,"AAAAAHv7Q/U=")</f>
        <v>#VALUE!</v>
      </c>
      <c r="IM392" t="e">
        <f>AND('STERLING CATALOG - FZN &amp; CHILL'!E3449,"AAAAAHv7Q/Y=")</f>
        <v>#VALUE!</v>
      </c>
      <c r="IN392" t="e">
        <f>AND('STERLING CATALOG - FZN &amp; CHILL'!F3449,"AAAAAHv7Q/c=")</f>
        <v>#VALUE!</v>
      </c>
      <c r="IO392" t="e">
        <f>AND('STERLING CATALOG - FZN &amp; CHILL'!G3449,"AAAAAHv7Q/g=")</f>
        <v>#VALUE!</v>
      </c>
      <c r="IP392" t="e">
        <f>AND('STERLING CATALOG - FZN &amp; CHILL'!H3449,"AAAAAHv7Q/k=")</f>
        <v>#VALUE!</v>
      </c>
      <c r="IQ392" t="e">
        <f>AND('STERLING CATALOG - FZN &amp; CHILL'!I3449,"AAAAAHv7Q/o=")</f>
        <v>#VALUE!</v>
      </c>
      <c r="IR392" t="e">
        <f>AND('STERLING CATALOG - FZN &amp; CHILL'!J3449,"AAAAAHv7Q/s=")</f>
        <v>#VALUE!</v>
      </c>
      <c r="IS392">
        <f>IF('STERLING CATALOG - FZN &amp; CHILL'!3450:3450,"AAAAAHv7Q/w=",0)</f>
        <v>0</v>
      </c>
      <c r="IT392" t="e">
        <f>AND('STERLING CATALOG - FZN &amp; CHILL'!A3450,"AAAAAHv7Q/0=")</f>
        <v>#VALUE!</v>
      </c>
      <c r="IU392" t="e">
        <f>AND('STERLING CATALOG - FZN &amp; CHILL'!B3450,"AAAAAHv7Q/4=")</f>
        <v>#VALUE!</v>
      </c>
      <c r="IV392" t="e">
        <f>AND('STERLING CATALOG - FZN &amp; CHILL'!C3450,"AAAAAHv7Q/8=")</f>
        <v>#VALUE!</v>
      </c>
    </row>
    <row r="393" spans="1:256">
      <c r="A393" t="e">
        <f>AND('STERLING CATALOG - FZN &amp; CHILL'!D3450,"AAAAACnnBwA=")</f>
        <v>#VALUE!</v>
      </c>
      <c r="B393" t="e">
        <f>AND('STERLING CATALOG - FZN &amp; CHILL'!E3450,"AAAAACnnBwE=")</f>
        <v>#VALUE!</v>
      </c>
      <c r="C393" t="e">
        <f>AND('STERLING CATALOG - FZN &amp; CHILL'!F3450,"AAAAACnnBwI=")</f>
        <v>#VALUE!</v>
      </c>
      <c r="D393" t="e">
        <f>AND('STERLING CATALOG - FZN &amp; CHILL'!G3450,"AAAAACnnBwM=")</f>
        <v>#VALUE!</v>
      </c>
      <c r="E393" t="e">
        <f>AND('STERLING CATALOG - FZN &amp; CHILL'!H3450,"AAAAACnnBwQ=")</f>
        <v>#VALUE!</v>
      </c>
      <c r="F393" t="e">
        <f>AND('STERLING CATALOG - FZN &amp; CHILL'!I3450,"AAAAACnnBwU=")</f>
        <v>#VALUE!</v>
      </c>
      <c r="G393" t="e">
        <f>AND('STERLING CATALOG - FZN &amp; CHILL'!J3450,"AAAAACnnBwY=")</f>
        <v>#VALUE!</v>
      </c>
      <c r="H393" t="str">
        <f>IF('STERLING CATALOG - FZN &amp; CHILL'!3451:3451,"AAAAACnnBwc=",0)</f>
        <v>AAAAACnnBwc=</v>
      </c>
      <c r="I393" t="e">
        <f>AND('STERLING CATALOG - FZN &amp; CHILL'!A3451,"AAAAACnnBwg=")</f>
        <v>#VALUE!</v>
      </c>
      <c r="J393" t="e">
        <f>AND('STERLING CATALOG - FZN &amp; CHILL'!B3451,"AAAAACnnBwk=")</f>
        <v>#VALUE!</v>
      </c>
      <c r="K393" t="e">
        <f>AND('STERLING CATALOG - FZN &amp; CHILL'!C3451,"AAAAACnnBwo=")</f>
        <v>#VALUE!</v>
      </c>
      <c r="L393" t="e">
        <f>AND('STERLING CATALOG - FZN &amp; CHILL'!D3451,"AAAAACnnBws=")</f>
        <v>#VALUE!</v>
      </c>
      <c r="M393" t="e">
        <f>AND('STERLING CATALOG - FZN &amp; CHILL'!E3451,"AAAAACnnBww=")</f>
        <v>#VALUE!</v>
      </c>
      <c r="N393" t="e">
        <f>AND('STERLING CATALOG - FZN &amp; CHILL'!F3451,"AAAAACnnBw0=")</f>
        <v>#VALUE!</v>
      </c>
      <c r="O393" t="e">
        <f>AND('STERLING CATALOG - FZN &amp; CHILL'!G3451,"AAAAACnnBw4=")</f>
        <v>#VALUE!</v>
      </c>
      <c r="P393" t="e">
        <f>AND('STERLING CATALOG - FZN &amp; CHILL'!H3451,"AAAAACnnBw8=")</f>
        <v>#VALUE!</v>
      </c>
      <c r="Q393" t="e">
        <f>AND('STERLING CATALOG - FZN &amp; CHILL'!I3451,"AAAAACnnBxA=")</f>
        <v>#VALUE!</v>
      </c>
      <c r="R393" t="e">
        <f>AND('STERLING CATALOG - FZN &amp; CHILL'!J3451,"AAAAACnnBxE=")</f>
        <v>#VALUE!</v>
      </c>
      <c r="S393">
        <f>IF('STERLING CATALOG - FZN &amp; CHILL'!3452:3452,"AAAAACnnBxI=",0)</f>
        <v>0</v>
      </c>
      <c r="T393" t="e">
        <f>AND('STERLING CATALOG - FZN &amp; CHILL'!A3452,"AAAAACnnBxM=")</f>
        <v>#VALUE!</v>
      </c>
      <c r="U393" t="e">
        <f>AND('STERLING CATALOG - FZN &amp; CHILL'!B3452,"AAAAACnnBxQ=")</f>
        <v>#VALUE!</v>
      </c>
      <c r="V393" t="e">
        <f>AND('STERLING CATALOG - FZN &amp; CHILL'!C3452,"AAAAACnnBxU=")</f>
        <v>#VALUE!</v>
      </c>
      <c r="W393" t="e">
        <f>AND('STERLING CATALOG - FZN &amp; CHILL'!D3452,"AAAAACnnBxY=")</f>
        <v>#VALUE!</v>
      </c>
      <c r="X393" t="e">
        <f>AND('STERLING CATALOG - FZN &amp; CHILL'!E3452,"AAAAACnnBxc=")</f>
        <v>#VALUE!</v>
      </c>
      <c r="Y393" t="e">
        <f>AND('STERLING CATALOG - FZN &amp; CHILL'!F3452,"AAAAACnnBxg=")</f>
        <v>#VALUE!</v>
      </c>
      <c r="Z393" t="e">
        <f>AND('STERLING CATALOG - FZN &amp; CHILL'!G3452,"AAAAACnnBxk=")</f>
        <v>#VALUE!</v>
      </c>
      <c r="AA393" t="e">
        <f>AND('STERLING CATALOG - FZN &amp; CHILL'!H3452,"AAAAACnnBxo=")</f>
        <v>#VALUE!</v>
      </c>
      <c r="AB393" t="e">
        <f>AND('STERLING CATALOG - FZN &amp; CHILL'!I3452,"AAAAACnnBxs=")</f>
        <v>#VALUE!</v>
      </c>
      <c r="AC393" t="e">
        <f>AND('STERLING CATALOG - FZN &amp; CHILL'!J3452,"AAAAACnnBxw=")</f>
        <v>#VALUE!</v>
      </c>
      <c r="AD393">
        <f>IF('STERLING CATALOG - FZN &amp; CHILL'!3453:3453,"AAAAACnnBx0=",0)</f>
        <v>0</v>
      </c>
      <c r="AE393" t="e">
        <f>AND('STERLING CATALOG - FZN &amp; CHILL'!A3453,"AAAAACnnBx4=")</f>
        <v>#VALUE!</v>
      </c>
      <c r="AF393" t="e">
        <f>AND('STERLING CATALOG - FZN &amp; CHILL'!B3453,"AAAAACnnBx8=")</f>
        <v>#VALUE!</v>
      </c>
      <c r="AG393" t="e">
        <f>AND('STERLING CATALOG - FZN &amp; CHILL'!C3453,"AAAAACnnByA=")</f>
        <v>#VALUE!</v>
      </c>
      <c r="AH393" t="e">
        <f>AND('STERLING CATALOG - FZN &amp; CHILL'!D3453,"AAAAACnnByE=")</f>
        <v>#VALUE!</v>
      </c>
      <c r="AI393" t="e">
        <f>AND('STERLING CATALOG - FZN &amp; CHILL'!E3453,"AAAAACnnByI=")</f>
        <v>#VALUE!</v>
      </c>
      <c r="AJ393" t="e">
        <f>AND('STERLING CATALOG - FZN &amp; CHILL'!F3453,"AAAAACnnByM=")</f>
        <v>#VALUE!</v>
      </c>
      <c r="AK393" t="e">
        <f>AND('STERLING CATALOG - FZN &amp; CHILL'!G3453,"AAAAACnnByQ=")</f>
        <v>#VALUE!</v>
      </c>
      <c r="AL393" t="e">
        <f>AND('STERLING CATALOG - FZN &amp; CHILL'!H3453,"AAAAACnnByU=")</f>
        <v>#VALUE!</v>
      </c>
      <c r="AM393" t="e">
        <f>AND('STERLING CATALOG - FZN &amp; CHILL'!I3453,"AAAAACnnByY=")</f>
        <v>#VALUE!</v>
      </c>
      <c r="AN393" t="e">
        <f>AND('STERLING CATALOG - FZN &amp; CHILL'!J3453,"AAAAACnnByc=")</f>
        <v>#VALUE!</v>
      </c>
      <c r="AO393">
        <f>IF('STERLING CATALOG - FZN &amp; CHILL'!3454:3454,"AAAAACnnByg=",0)</f>
        <v>0</v>
      </c>
      <c r="AP393" t="e">
        <f>AND('STERLING CATALOG - FZN &amp; CHILL'!A3454,"AAAAACnnByk=")</f>
        <v>#VALUE!</v>
      </c>
      <c r="AQ393" t="e">
        <f>AND('STERLING CATALOG - FZN &amp; CHILL'!B3454,"AAAAACnnByo=")</f>
        <v>#VALUE!</v>
      </c>
      <c r="AR393" t="e">
        <f>AND('STERLING CATALOG - FZN &amp; CHILL'!C3454,"AAAAACnnBys=")</f>
        <v>#VALUE!</v>
      </c>
      <c r="AS393" t="e">
        <f>AND('STERLING CATALOG - FZN &amp; CHILL'!D3454,"AAAAACnnByw=")</f>
        <v>#VALUE!</v>
      </c>
      <c r="AT393" t="e">
        <f>AND('STERLING CATALOG - FZN &amp; CHILL'!E3454,"AAAAACnnBy0=")</f>
        <v>#VALUE!</v>
      </c>
      <c r="AU393" t="e">
        <f>AND('STERLING CATALOG - FZN &amp; CHILL'!F3454,"AAAAACnnBy4=")</f>
        <v>#VALUE!</v>
      </c>
      <c r="AV393" t="e">
        <f>AND('STERLING CATALOG - FZN &amp; CHILL'!G3454,"AAAAACnnBy8=")</f>
        <v>#VALUE!</v>
      </c>
      <c r="AW393" t="e">
        <f>AND('STERLING CATALOG - FZN &amp; CHILL'!H3454,"AAAAACnnBzA=")</f>
        <v>#VALUE!</v>
      </c>
      <c r="AX393" t="e">
        <f>AND('STERLING CATALOG - FZN &amp; CHILL'!I3454,"AAAAACnnBzE=")</f>
        <v>#VALUE!</v>
      </c>
      <c r="AY393" t="e">
        <f>AND('STERLING CATALOG - FZN &amp; CHILL'!J3454,"AAAAACnnBzI=")</f>
        <v>#VALUE!</v>
      </c>
      <c r="AZ393">
        <f>IF('STERLING CATALOG - FZN &amp; CHILL'!3455:3455,"AAAAACnnBzM=",0)</f>
        <v>0</v>
      </c>
      <c r="BA393" t="e">
        <f>AND('STERLING CATALOG - FZN &amp; CHILL'!A3455,"AAAAACnnBzQ=")</f>
        <v>#VALUE!</v>
      </c>
      <c r="BB393" t="e">
        <f>AND('STERLING CATALOG - FZN &amp; CHILL'!B3455,"AAAAACnnBzU=")</f>
        <v>#VALUE!</v>
      </c>
      <c r="BC393" t="e">
        <f>AND('STERLING CATALOG - FZN &amp; CHILL'!C3455,"AAAAACnnBzY=")</f>
        <v>#VALUE!</v>
      </c>
      <c r="BD393" t="e">
        <f>AND('STERLING CATALOG - FZN &amp; CHILL'!D3455,"AAAAACnnBzc=")</f>
        <v>#VALUE!</v>
      </c>
      <c r="BE393" t="e">
        <f>AND('STERLING CATALOG - FZN &amp; CHILL'!E3455,"AAAAACnnBzg=")</f>
        <v>#VALUE!</v>
      </c>
      <c r="BF393" t="e">
        <f>AND('STERLING CATALOG - FZN &amp; CHILL'!F3455,"AAAAACnnBzk=")</f>
        <v>#VALUE!</v>
      </c>
      <c r="BG393" t="e">
        <f>AND('STERLING CATALOG - FZN &amp; CHILL'!G3455,"AAAAACnnBzo=")</f>
        <v>#VALUE!</v>
      </c>
      <c r="BH393" t="e">
        <f>AND('STERLING CATALOG - FZN &amp; CHILL'!H3455,"AAAAACnnBzs=")</f>
        <v>#VALUE!</v>
      </c>
      <c r="BI393" t="e">
        <f>AND('STERLING CATALOG - FZN &amp; CHILL'!I3455,"AAAAACnnBzw=")</f>
        <v>#VALUE!</v>
      </c>
      <c r="BJ393" t="e">
        <f>AND('STERLING CATALOG - FZN &amp; CHILL'!J3455,"AAAAACnnBz0=")</f>
        <v>#VALUE!</v>
      </c>
      <c r="BK393">
        <f>IF('STERLING CATALOG - FZN &amp; CHILL'!3456:3456,"AAAAACnnBz4=",0)</f>
        <v>0</v>
      </c>
      <c r="BL393" t="e">
        <f>AND('STERLING CATALOG - FZN &amp; CHILL'!A3456,"AAAAACnnBz8=")</f>
        <v>#VALUE!</v>
      </c>
      <c r="BM393" t="e">
        <f>AND('STERLING CATALOG - FZN &amp; CHILL'!B3456,"AAAAACnnB0A=")</f>
        <v>#VALUE!</v>
      </c>
      <c r="BN393" t="e">
        <f>AND('STERLING CATALOG - FZN &amp; CHILL'!C3456,"AAAAACnnB0E=")</f>
        <v>#VALUE!</v>
      </c>
      <c r="BO393" t="e">
        <f>AND('STERLING CATALOG - FZN &amp; CHILL'!D3456,"AAAAACnnB0I=")</f>
        <v>#VALUE!</v>
      </c>
      <c r="BP393" t="e">
        <f>AND('STERLING CATALOG - FZN &amp; CHILL'!E3456,"AAAAACnnB0M=")</f>
        <v>#VALUE!</v>
      </c>
      <c r="BQ393" t="e">
        <f>AND('STERLING CATALOG - FZN &amp; CHILL'!F3456,"AAAAACnnB0Q=")</f>
        <v>#VALUE!</v>
      </c>
      <c r="BR393" t="e">
        <f>AND('STERLING CATALOG - FZN &amp; CHILL'!G3456,"AAAAACnnB0U=")</f>
        <v>#VALUE!</v>
      </c>
      <c r="BS393" t="e">
        <f>AND('STERLING CATALOG - FZN &amp; CHILL'!H3456,"AAAAACnnB0Y=")</f>
        <v>#VALUE!</v>
      </c>
      <c r="BT393" t="e">
        <f>AND('STERLING CATALOG - FZN &amp; CHILL'!I3456,"AAAAACnnB0c=")</f>
        <v>#VALUE!</v>
      </c>
      <c r="BU393" t="e">
        <f>AND('STERLING CATALOG - FZN &amp; CHILL'!J3456,"AAAAACnnB0g=")</f>
        <v>#VALUE!</v>
      </c>
      <c r="BV393">
        <f>IF('STERLING CATALOG - FZN &amp; CHILL'!3457:3457,"AAAAACnnB0k=",0)</f>
        <v>0</v>
      </c>
      <c r="BW393" t="e">
        <f>AND('STERLING CATALOG - FZN &amp; CHILL'!A3457,"AAAAACnnB0o=")</f>
        <v>#VALUE!</v>
      </c>
      <c r="BX393" t="e">
        <f>AND('STERLING CATALOG - FZN &amp; CHILL'!B3457,"AAAAACnnB0s=")</f>
        <v>#VALUE!</v>
      </c>
      <c r="BY393" t="e">
        <f>AND('STERLING CATALOG - FZN &amp; CHILL'!C3457,"AAAAACnnB0w=")</f>
        <v>#VALUE!</v>
      </c>
      <c r="BZ393" t="e">
        <f>AND('STERLING CATALOG - FZN &amp; CHILL'!D3457,"AAAAACnnB00=")</f>
        <v>#VALUE!</v>
      </c>
      <c r="CA393" t="e">
        <f>AND('STERLING CATALOG - FZN &amp; CHILL'!E3457,"AAAAACnnB04=")</f>
        <v>#VALUE!</v>
      </c>
      <c r="CB393" t="e">
        <f>AND('STERLING CATALOG - FZN &amp; CHILL'!F3457,"AAAAACnnB08=")</f>
        <v>#VALUE!</v>
      </c>
      <c r="CC393" t="e">
        <f>AND('STERLING CATALOG - FZN &amp; CHILL'!G3457,"AAAAACnnB1A=")</f>
        <v>#VALUE!</v>
      </c>
      <c r="CD393" t="e">
        <f>AND('STERLING CATALOG - FZN &amp; CHILL'!H3457,"AAAAACnnB1E=")</f>
        <v>#VALUE!</v>
      </c>
      <c r="CE393" t="e">
        <f>AND('STERLING CATALOG - FZN &amp; CHILL'!I3457,"AAAAACnnB1I=")</f>
        <v>#VALUE!</v>
      </c>
      <c r="CF393" t="e">
        <f>AND('STERLING CATALOG - FZN &amp; CHILL'!J3457,"AAAAACnnB1M=")</f>
        <v>#VALUE!</v>
      </c>
      <c r="CG393">
        <f>IF('STERLING CATALOG - FZN &amp; CHILL'!3458:3458,"AAAAACnnB1Q=",0)</f>
        <v>0</v>
      </c>
      <c r="CH393" t="e">
        <f>AND('STERLING CATALOG - FZN &amp; CHILL'!A3458,"AAAAACnnB1U=")</f>
        <v>#VALUE!</v>
      </c>
      <c r="CI393" t="e">
        <f>AND('STERLING CATALOG - FZN &amp; CHILL'!B3458,"AAAAACnnB1Y=")</f>
        <v>#VALUE!</v>
      </c>
      <c r="CJ393" t="e">
        <f>AND('STERLING CATALOG - FZN &amp; CHILL'!C3458,"AAAAACnnB1c=")</f>
        <v>#VALUE!</v>
      </c>
      <c r="CK393" t="e">
        <f>AND('STERLING CATALOG - FZN &amp; CHILL'!D3458,"AAAAACnnB1g=")</f>
        <v>#VALUE!</v>
      </c>
      <c r="CL393" t="e">
        <f>AND('STERLING CATALOG - FZN &amp; CHILL'!E3458,"AAAAACnnB1k=")</f>
        <v>#VALUE!</v>
      </c>
      <c r="CM393" t="e">
        <f>AND('STERLING CATALOG - FZN &amp; CHILL'!F3458,"AAAAACnnB1o=")</f>
        <v>#VALUE!</v>
      </c>
      <c r="CN393" t="e">
        <f>AND('STERLING CATALOG - FZN &amp; CHILL'!G3458,"AAAAACnnB1s=")</f>
        <v>#VALUE!</v>
      </c>
      <c r="CO393" t="e">
        <f>AND('STERLING CATALOG - FZN &amp; CHILL'!H3458,"AAAAACnnB1w=")</f>
        <v>#VALUE!</v>
      </c>
      <c r="CP393" t="e">
        <f>AND('STERLING CATALOG - FZN &amp; CHILL'!I3458,"AAAAACnnB10=")</f>
        <v>#VALUE!</v>
      </c>
      <c r="CQ393" t="e">
        <f>AND('STERLING CATALOG - FZN &amp; CHILL'!J3458,"AAAAACnnB14=")</f>
        <v>#VALUE!</v>
      </c>
      <c r="CR393">
        <f>IF('STERLING CATALOG - FZN &amp; CHILL'!3459:3459,"AAAAACnnB18=",0)</f>
        <v>0</v>
      </c>
      <c r="CS393" t="e">
        <f>AND('STERLING CATALOG - FZN &amp; CHILL'!A3459,"AAAAACnnB2A=")</f>
        <v>#VALUE!</v>
      </c>
      <c r="CT393" t="e">
        <f>AND('STERLING CATALOG - FZN &amp; CHILL'!B3459,"AAAAACnnB2E=")</f>
        <v>#VALUE!</v>
      </c>
      <c r="CU393" t="e">
        <f>AND('STERLING CATALOG - FZN &amp; CHILL'!C3459,"AAAAACnnB2I=")</f>
        <v>#VALUE!</v>
      </c>
      <c r="CV393" t="e">
        <f>AND('STERLING CATALOG - FZN &amp; CHILL'!D3459,"AAAAACnnB2M=")</f>
        <v>#VALUE!</v>
      </c>
      <c r="CW393" t="e">
        <f>AND('STERLING CATALOG - FZN &amp; CHILL'!E3459,"AAAAACnnB2Q=")</f>
        <v>#VALUE!</v>
      </c>
      <c r="CX393" t="e">
        <f>AND('STERLING CATALOG - FZN &amp; CHILL'!F3459,"AAAAACnnB2U=")</f>
        <v>#VALUE!</v>
      </c>
      <c r="CY393" t="e">
        <f>AND('STERLING CATALOG - FZN &amp; CHILL'!G3459,"AAAAACnnB2Y=")</f>
        <v>#VALUE!</v>
      </c>
      <c r="CZ393" t="e">
        <f>AND('STERLING CATALOG - FZN &amp; CHILL'!H3459,"AAAAACnnB2c=")</f>
        <v>#VALUE!</v>
      </c>
      <c r="DA393" t="e">
        <f>AND('STERLING CATALOG - FZN &amp; CHILL'!I3459,"AAAAACnnB2g=")</f>
        <v>#VALUE!</v>
      </c>
      <c r="DB393" t="e">
        <f>AND('STERLING CATALOG - FZN &amp; CHILL'!J3459,"AAAAACnnB2k=")</f>
        <v>#VALUE!</v>
      </c>
      <c r="DC393">
        <f>IF('STERLING CATALOG - FZN &amp; CHILL'!3460:3460,"AAAAACnnB2o=",0)</f>
        <v>0</v>
      </c>
      <c r="DD393" t="e">
        <f>AND('STERLING CATALOG - FZN &amp; CHILL'!A3460,"AAAAACnnB2s=")</f>
        <v>#VALUE!</v>
      </c>
      <c r="DE393" t="e">
        <f>AND('STERLING CATALOG - FZN &amp; CHILL'!B3460,"AAAAACnnB2w=")</f>
        <v>#VALUE!</v>
      </c>
      <c r="DF393" t="e">
        <f>AND('STERLING CATALOG - FZN &amp; CHILL'!C3460,"AAAAACnnB20=")</f>
        <v>#VALUE!</v>
      </c>
      <c r="DG393" t="e">
        <f>AND('STERLING CATALOG - FZN &amp; CHILL'!D3460,"AAAAACnnB24=")</f>
        <v>#VALUE!</v>
      </c>
      <c r="DH393" t="e">
        <f>AND('STERLING CATALOG - FZN &amp; CHILL'!E3460,"AAAAACnnB28=")</f>
        <v>#VALUE!</v>
      </c>
      <c r="DI393" t="e">
        <f>AND('STERLING CATALOG - FZN &amp; CHILL'!F3460,"AAAAACnnB3A=")</f>
        <v>#VALUE!</v>
      </c>
      <c r="DJ393" t="e">
        <f>AND('STERLING CATALOG - FZN &amp; CHILL'!G3460,"AAAAACnnB3E=")</f>
        <v>#VALUE!</v>
      </c>
      <c r="DK393" t="e">
        <f>AND('STERLING CATALOG - FZN &amp; CHILL'!H3460,"AAAAACnnB3I=")</f>
        <v>#VALUE!</v>
      </c>
      <c r="DL393" t="e">
        <f>AND('STERLING CATALOG - FZN &amp; CHILL'!I3460,"AAAAACnnB3M=")</f>
        <v>#VALUE!</v>
      </c>
      <c r="DM393" t="e">
        <f>AND('STERLING CATALOG - FZN &amp; CHILL'!J3460,"AAAAACnnB3Q=")</f>
        <v>#VALUE!</v>
      </c>
      <c r="DN393">
        <f>IF('STERLING CATALOG - FZN &amp; CHILL'!3461:3461,"AAAAACnnB3U=",0)</f>
        <v>0</v>
      </c>
      <c r="DO393" t="e">
        <f>AND('STERLING CATALOG - FZN &amp; CHILL'!A3461,"AAAAACnnB3Y=")</f>
        <v>#VALUE!</v>
      </c>
      <c r="DP393" t="e">
        <f>AND('STERLING CATALOG - FZN &amp; CHILL'!B3461,"AAAAACnnB3c=")</f>
        <v>#VALUE!</v>
      </c>
      <c r="DQ393" t="e">
        <f>AND('STERLING CATALOG - FZN &amp; CHILL'!C3461,"AAAAACnnB3g=")</f>
        <v>#VALUE!</v>
      </c>
      <c r="DR393" t="e">
        <f>AND('STERLING CATALOG - FZN &amp; CHILL'!D3461,"AAAAACnnB3k=")</f>
        <v>#VALUE!</v>
      </c>
      <c r="DS393" t="e">
        <f>AND('STERLING CATALOG - FZN &amp; CHILL'!E3461,"AAAAACnnB3o=")</f>
        <v>#VALUE!</v>
      </c>
      <c r="DT393" t="e">
        <f>AND('STERLING CATALOG - FZN &amp; CHILL'!F3461,"AAAAACnnB3s=")</f>
        <v>#VALUE!</v>
      </c>
      <c r="DU393" t="e">
        <f>AND('STERLING CATALOG - FZN &amp; CHILL'!G3461,"AAAAACnnB3w=")</f>
        <v>#VALUE!</v>
      </c>
      <c r="DV393" t="e">
        <f>AND('STERLING CATALOG - FZN &amp; CHILL'!H3461,"AAAAACnnB30=")</f>
        <v>#VALUE!</v>
      </c>
      <c r="DW393" t="e">
        <f>AND('STERLING CATALOG - FZN &amp; CHILL'!I3461,"AAAAACnnB34=")</f>
        <v>#VALUE!</v>
      </c>
      <c r="DX393" t="e">
        <f>AND('STERLING CATALOG - FZN &amp; CHILL'!J3461,"AAAAACnnB38=")</f>
        <v>#VALUE!</v>
      </c>
      <c r="DY393">
        <f>IF('STERLING CATALOG - FZN &amp; CHILL'!3462:3462,"AAAAACnnB4A=",0)</f>
        <v>0</v>
      </c>
      <c r="DZ393" t="e">
        <f>AND('STERLING CATALOG - FZN &amp; CHILL'!A3462,"AAAAACnnB4E=")</f>
        <v>#VALUE!</v>
      </c>
      <c r="EA393" t="e">
        <f>AND('STERLING CATALOG - FZN &amp; CHILL'!B3462,"AAAAACnnB4I=")</f>
        <v>#VALUE!</v>
      </c>
      <c r="EB393" t="e">
        <f>AND('STERLING CATALOG - FZN &amp; CHILL'!C3462,"AAAAACnnB4M=")</f>
        <v>#VALUE!</v>
      </c>
      <c r="EC393" t="e">
        <f>AND('STERLING CATALOG - FZN &amp; CHILL'!D3462,"AAAAACnnB4Q=")</f>
        <v>#VALUE!</v>
      </c>
      <c r="ED393" t="e">
        <f>AND('STERLING CATALOG - FZN &amp; CHILL'!E3462,"AAAAACnnB4U=")</f>
        <v>#VALUE!</v>
      </c>
      <c r="EE393" t="e">
        <f>AND('STERLING CATALOG - FZN &amp; CHILL'!F3462,"AAAAACnnB4Y=")</f>
        <v>#VALUE!</v>
      </c>
      <c r="EF393" t="e">
        <f>AND('STERLING CATALOG - FZN &amp; CHILL'!G3462,"AAAAACnnB4c=")</f>
        <v>#VALUE!</v>
      </c>
      <c r="EG393" t="e">
        <f>AND('STERLING CATALOG - FZN &amp; CHILL'!H3462,"AAAAACnnB4g=")</f>
        <v>#VALUE!</v>
      </c>
      <c r="EH393" t="e">
        <f>AND('STERLING CATALOG - FZN &amp; CHILL'!I3462,"AAAAACnnB4k=")</f>
        <v>#VALUE!</v>
      </c>
      <c r="EI393" t="e">
        <f>AND('STERLING CATALOG - FZN &amp; CHILL'!J3462,"AAAAACnnB4o=")</f>
        <v>#VALUE!</v>
      </c>
      <c r="EJ393">
        <f>IF('STERLING CATALOG - FZN &amp; CHILL'!3463:3463,"AAAAACnnB4s=",0)</f>
        <v>0</v>
      </c>
      <c r="EK393" t="e">
        <f>AND('STERLING CATALOG - FZN &amp; CHILL'!A3463,"AAAAACnnB4w=")</f>
        <v>#VALUE!</v>
      </c>
      <c r="EL393" t="e">
        <f>AND('STERLING CATALOG - FZN &amp; CHILL'!B3463,"AAAAACnnB40=")</f>
        <v>#VALUE!</v>
      </c>
      <c r="EM393" t="e">
        <f>AND('STERLING CATALOG - FZN &amp; CHILL'!C3463,"AAAAACnnB44=")</f>
        <v>#VALUE!</v>
      </c>
      <c r="EN393" t="e">
        <f>AND('STERLING CATALOG - FZN &amp; CHILL'!D3463,"AAAAACnnB48=")</f>
        <v>#VALUE!</v>
      </c>
      <c r="EO393" t="e">
        <f>AND('STERLING CATALOG - FZN &amp; CHILL'!E3463,"AAAAACnnB5A=")</f>
        <v>#VALUE!</v>
      </c>
      <c r="EP393" t="e">
        <f>AND('STERLING CATALOG - FZN &amp; CHILL'!F3463,"AAAAACnnB5E=")</f>
        <v>#VALUE!</v>
      </c>
      <c r="EQ393" t="e">
        <f>AND('STERLING CATALOG - FZN &amp; CHILL'!G3463,"AAAAACnnB5I=")</f>
        <v>#VALUE!</v>
      </c>
      <c r="ER393" t="e">
        <f>AND('STERLING CATALOG - FZN &amp; CHILL'!H3463,"AAAAACnnB5M=")</f>
        <v>#VALUE!</v>
      </c>
      <c r="ES393" t="e">
        <f>AND('STERLING CATALOG - FZN &amp; CHILL'!I3463,"AAAAACnnB5Q=")</f>
        <v>#VALUE!</v>
      </c>
      <c r="ET393" t="e">
        <f>AND('STERLING CATALOG - FZN &amp; CHILL'!J3463,"AAAAACnnB5U=")</f>
        <v>#VALUE!</v>
      </c>
      <c r="EU393">
        <f>IF('STERLING CATALOG - FZN &amp; CHILL'!3464:3464,"AAAAACnnB5Y=",0)</f>
        <v>0</v>
      </c>
      <c r="EV393" t="e">
        <f>AND('STERLING CATALOG - FZN &amp; CHILL'!A3464,"AAAAACnnB5c=")</f>
        <v>#VALUE!</v>
      </c>
      <c r="EW393" t="e">
        <f>AND('STERLING CATALOG - FZN &amp; CHILL'!B3464,"AAAAACnnB5g=")</f>
        <v>#VALUE!</v>
      </c>
      <c r="EX393" t="e">
        <f>AND('STERLING CATALOG - FZN &amp; CHILL'!C3464,"AAAAACnnB5k=")</f>
        <v>#VALUE!</v>
      </c>
      <c r="EY393" t="e">
        <f>AND('STERLING CATALOG - FZN &amp; CHILL'!D3464,"AAAAACnnB5o=")</f>
        <v>#VALUE!</v>
      </c>
      <c r="EZ393" t="e">
        <f>AND('STERLING CATALOG - FZN &amp; CHILL'!E3464,"AAAAACnnB5s=")</f>
        <v>#VALUE!</v>
      </c>
      <c r="FA393" t="e">
        <f>AND('STERLING CATALOG - FZN &amp; CHILL'!F3464,"AAAAACnnB5w=")</f>
        <v>#VALUE!</v>
      </c>
      <c r="FB393" t="e">
        <f>AND('STERLING CATALOG - FZN &amp; CHILL'!G3464,"AAAAACnnB50=")</f>
        <v>#VALUE!</v>
      </c>
      <c r="FC393" t="e">
        <f>AND('STERLING CATALOG - FZN &amp; CHILL'!H3464,"AAAAACnnB54=")</f>
        <v>#VALUE!</v>
      </c>
      <c r="FD393" t="e">
        <f>AND('STERLING CATALOG - FZN &amp; CHILL'!I3464,"AAAAACnnB58=")</f>
        <v>#VALUE!</v>
      </c>
      <c r="FE393" t="e">
        <f>AND('STERLING CATALOG - FZN &amp; CHILL'!J3464,"AAAAACnnB6A=")</f>
        <v>#VALUE!</v>
      </c>
      <c r="FF393">
        <f>IF('STERLING CATALOG - FZN &amp; CHILL'!3465:3465,"AAAAACnnB6E=",0)</f>
        <v>0</v>
      </c>
      <c r="FG393" t="e">
        <f>AND('STERLING CATALOG - FZN &amp; CHILL'!A3465,"AAAAACnnB6I=")</f>
        <v>#VALUE!</v>
      </c>
      <c r="FH393" t="e">
        <f>AND('STERLING CATALOG - FZN &amp; CHILL'!B3465,"AAAAACnnB6M=")</f>
        <v>#VALUE!</v>
      </c>
      <c r="FI393" t="e">
        <f>AND('STERLING CATALOG - FZN &amp; CHILL'!C3465,"AAAAACnnB6Q=")</f>
        <v>#VALUE!</v>
      </c>
      <c r="FJ393" t="e">
        <f>AND('STERLING CATALOG - FZN &amp; CHILL'!D3465,"AAAAACnnB6U=")</f>
        <v>#VALUE!</v>
      </c>
      <c r="FK393" t="e">
        <f>AND('STERLING CATALOG - FZN &amp; CHILL'!E3465,"AAAAACnnB6Y=")</f>
        <v>#VALUE!</v>
      </c>
      <c r="FL393" t="e">
        <f>AND('STERLING CATALOG - FZN &amp; CHILL'!F3465,"AAAAACnnB6c=")</f>
        <v>#VALUE!</v>
      </c>
      <c r="FM393" t="e">
        <f>AND('STERLING CATALOG - FZN &amp; CHILL'!G3465,"AAAAACnnB6g=")</f>
        <v>#VALUE!</v>
      </c>
      <c r="FN393" t="e">
        <f>AND('STERLING CATALOG - FZN &amp; CHILL'!H3465,"AAAAACnnB6k=")</f>
        <v>#VALUE!</v>
      </c>
      <c r="FO393" t="e">
        <f>AND('STERLING CATALOG - FZN &amp; CHILL'!I3465,"AAAAACnnB6o=")</f>
        <v>#VALUE!</v>
      </c>
      <c r="FP393" t="e">
        <f>AND('STERLING CATALOG - FZN &amp; CHILL'!J3465,"AAAAACnnB6s=")</f>
        <v>#VALUE!</v>
      </c>
      <c r="FQ393">
        <f>IF('STERLING CATALOG - FZN &amp; CHILL'!3466:3466,"AAAAACnnB6w=",0)</f>
        <v>0</v>
      </c>
      <c r="FR393" t="e">
        <f>AND('STERLING CATALOG - FZN &amp; CHILL'!A3466,"AAAAACnnB60=")</f>
        <v>#VALUE!</v>
      </c>
      <c r="FS393" t="e">
        <f>AND('STERLING CATALOG - FZN &amp; CHILL'!B3466,"AAAAACnnB64=")</f>
        <v>#VALUE!</v>
      </c>
      <c r="FT393" t="e">
        <f>AND('STERLING CATALOG - FZN &amp; CHILL'!C3466,"AAAAACnnB68=")</f>
        <v>#VALUE!</v>
      </c>
      <c r="FU393" t="e">
        <f>AND('STERLING CATALOG - FZN &amp; CHILL'!D3466,"AAAAACnnB7A=")</f>
        <v>#VALUE!</v>
      </c>
      <c r="FV393" t="e">
        <f>AND('STERLING CATALOG - FZN &amp; CHILL'!E3466,"AAAAACnnB7E=")</f>
        <v>#VALUE!</v>
      </c>
      <c r="FW393" t="e">
        <f>AND('STERLING CATALOG - FZN &amp; CHILL'!F3466,"AAAAACnnB7I=")</f>
        <v>#VALUE!</v>
      </c>
      <c r="FX393" t="e">
        <f>AND('STERLING CATALOG - FZN &amp; CHILL'!G3466,"AAAAACnnB7M=")</f>
        <v>#VALUE!</v>
      </c>
      <c r="FY393" t="e">
        <f>AND('STERLING CATALOG - FZN &amp; CHILL'!H3466,"AAAAACnnB7Q=")</f>
        <v>#VALUE!</v>
      </c>
      <c r="FZ393" t="e">
        <f>AND('STERLING CATALOG - FZN &amp; CHILL'!I3466,"AAAAACnnB7U=")</f>
        <v>#VALUE!</v>
      </c>
      <c r="GA393" t="e">
        <f>AND('STERLING CATALOG - FZN &amp; CHILL'!J3466,"AAAAACnnB7Y=")</f>
        <v>#VALUE!</v>
      </c>
      <c r="GB393">
        <f>IF('STERLING CATALOG - FZN &amp; CHILL'!3467:3467,"AAAAACnnB7c=",0)</f>
        <v>0</v>
      </c>
      <c r="GC393" t="e">
        <f>AND('STERLING CATALOG - FZN &amp; CHILL'!A3467,"AAAAACnnB7g=")</f>
        <v>#VALUE!</v>
      </c>
      <c r="GD393" t="e">
        <f>AND('STERLING CATALOG - FZN &amp; CHILL'!B3467,"AAAAACnnB7k=")</f>
        <v>#VALUE!</v>
      </c>
      <c r="GE393" t="e">
        <f>AND('STERLING CATALOG - FZN &amp; CHILL'!C3467,"AAAAACnnB7o=")</f>
        <v>#VALUE!</v>
      </c>
      <c r="GF393" t="e">
        <f>AND('STERLING CATALOG - FZN &amp; CHILL'!D3467,"AAAAACnnB7s=")</f>
        <v>#VALUE!</v>
      </c>
      <c r="GG393" t="e">
        <f>AND('STERLING CATALOG - FZN &amp; CHILL'!E3467,"AAAAACnnB7w=")</f>
        <v>#VALUE!</v>
      </c>
      <c r="GH393" t="e">
        <f>AND('STERLING CATALOG - FZN &amp; CHILL'!F3467,"AAAAACnnB70=")</f>
        <v>#VALUE!</v>
      </c>
      <c r="GI393" t="e">
        <f>AND('STERLING CATALOG - FZN &amp; CHILL'!G3467,"AAAAACnnB74=")</f>
        <v>#VALUE!</v>
      </c>
      <c r="GJ393" t="e">
        <f>AND('STERLING CATALOG - FZN &amp; CHILL'!H3467,"AAAAACnnB78=")</f>
        <v>#VALUE!</v>
      </c>
      <c r="GK393" t="e">
        <f>AND('STERLING CATALOG - FZN &amp; CHILL'!I3467,"AAAAACnnB8A=")</f>
        <v>#VALUE!</v>
      </c>
      <c r="GL393" t="e">
        <f>AND('STERLING CATALOG - FZN &amp; CHILL'!J3467,"AAAAACnnB8E=")</f>
        <v>#VALUE!</v>
      </c>
      <c r="GM393">
        <f>IF('STERLING CATALOG - FZN &amp; CHILL'!3468:3468,"AAAAACnnB8I=",0)</f>
        <v>0</v>
      </c>
      <c r="GN393" t="e">
        <f>AND('STERLING CATALOG - FZN &amp; CHILL'!A3468,"AAAAACnnB8M=")</f>
        <v>#VALUE!</v>
      </c>
      <c r="GO393" t="e">
        <f>AND('STERLING CATALOG - FZN &amp; CHILL'!B3468,"AAAAACnnB8Q=")</f>
        <v>#VALUE!</v>
      </c>
      <c r="GP393" t="e">
        <f>AND('STERLING CATALOG - FZN &amp; CHILL'!C3468,"AAAAACnnB8U=")</f>
        <v>#VALUE!</v>
      </c>
      <c r="GQ393" t="e">
        <f>AND('STERLING CATALOG - FZN &amp; CHILL'!D3468,"AAAAACnnB8Y=")</f>
        <v>#VALUE!</v>
      </c>
      <c r="GR393" t="e">
        <f>AND('STERLING CATALOG - FZN &amp; CHILL'!E3468,"AAAAACnnB8c=")</f>
        <v>#VALUE!</v>
      </c>
      <c r="GS393" t="e">
        <f>AND('STERLING CATALOG - FZN &amp; CHILL'!F3468,"AAAAACnnB8g=")</f>
        <v>#VALUE!</v>
      </c>
      <c r="GT393" t="e">
        <f>AND('STERLING CATALOG - FZN &amp; CHILL'!G3468,"AAAAACnnB8k=")</f>
        <v>#VALUE!</v>
      </c>
      <c r="GU393" t="e">
        <f>AND('STERLING CATALOG - FZN &amp; CHILL'!H3468,"AAAAACnnB8o=")</f>
        <v>#VALUE!</v>
      </c>
      <c r="GV393" t="e">
        <f>AND('STERLING CATALOG - FZN &amp; CHILL'!I3468,"AAAAACnnB8s=")</f>
        <v>#VALUE!</v>
      </c>
      <c r="GW393" t="e">
        <f>AND('STERLING CATALOG - FZN &amp; CHILL'!J3468,"AAAAACnnB8w=")</f>
        <v>#VALUE!</v>
      </c>
      <c r="GX393">
        <f>IF('STERLING CATALOG - FZN &amp; CHILL'!3469:3469,"AAAAACnnB80=",0)</f>
        <v>0</v>
      </c>
      <c r="GY393" t="e">
        <f>AND('STERLING CATALOG - FZN &amp; CHILL'!A3469,"AAAAACnnB84=")</f>
        <v>#VALUE!</v>
      </c>
      <c r="GZ393" t="e">
        <f>AND('STERLING CATALOG - FZN &amp; CHILL'!B3469,"AAAAACnnB88=")</f>
        <v>#VALUE!</v>
      </c>
      <c r="HA393" t="e">
        <f>AND('STERLING CATALOG - FZN &amp; CHILL'!C3469,"AAAAACnnB9A=")</f>
        <v>#VALUE!</v>
      </c>
      <c r="HB393" t="e">
        <f>AND('STERLING CATALOG - FZN &amp; CHILL'!D3469,"AAAAACnnB9E=")</f>
        <v>#VALUE!</v>
      </c>
      <c r="HC393" t="e">
        <f>AND('STERLING CATALOG - FZN &amp; CHILL'!E3469,"AAAAACnnB9I=")</f>
        <v>#VALUE!</v>
      </c>
      <c r="HD393" t="e">
        <f>AND('STERLING CATALOG - FZN &amp; CHILL'!F3469,"AAAAACnnB9M=")</f>
        <v>#VALUE!</v>
      </c>
      <c r="HE393" t="e">
        <f>AND('STERLING CATALOG - FZN &amp; CHILL'!G3469,"AAAAACnnB9Q=")</f>
        <v>#VALUE!</v>
      </c>
      <c r="HF393" t="e">
        <f>AND('STERLING CATALOG - FZN &amp; CHILL'!H3469,"AAAAACnnB9U=")</f>
        <v>#VALUE!</v>
      </c>
      <c r="HG393" t="e">
        <f>AND('STERLING CATALOG - FZN &amp; CHILL'!I3469,"AAAAACnnB9Y=")</f>
        <v>#VALUE!</v>
      </c>
      <c r="HH393" t="e">
        <f>AND('STERLING CATALOG - FZN &amp; CHILL'!J3469,"AAAAACnnB9c=")</f>
        <v>#VALUE!</v>
      </c>
      <c r="HI393">
        <f>IF('STERLING CATALOG - FZN &amp; CHILL'!3470:3470,"AAAAACnnB9g=",0)</f>
        <v>0</v>
      </c>
      <c r="HJ393" t="e">
        <f>AND('STERLING CATALOG - FZN &amp; CHILL'!A3470,"AAAAACnnB9k=")</f>
        <v>#VALUE!</v>
      </c>
      <c r="HK393" t="e">
        <f>AND('STERLING CATALOG - FZN &amp; CHILL'!B3470,"AAAAACnnB9o=")</f>
        <v>#VALUE!</v>
      </c>
      <c r="HL393" t="e">
        <f>AND('STERLING CATALOG - FZN &amp; CHILL'!C3470,"AAAAACnnB9s=")</f>
        <v>#VALUE!</v>
      </c>
      <c r="HM393" t="e">
        <f>AND('STERLING CATALOG - FZN &amp; CHILL'!D3470,"AAAAACnnB9w=")</f>
        <v>#VALUE!</v>
      </c>
      <c r="HN393" t="e">
        <f>AND('STERLING CATALOG - FZN &amp; CHILL'!E3470,"AAAAACnnB90=")</f>
        <v>#VALUE!</v>
      </c>
      <c r="HO393" t="e">
        <f>AND('STERLING CATALOG - FZN &amp; CHILL'!F3470,"AAAAACnnB94=")</f>
        <v>#VALUE!</v>
      </c>
      <c r="HP393" t="e">
        <f>AND('STERLING CATALOG - FZN &amp; CHILL'!G3470,"AAAAACnnB98=")</f>
        <v>#VALUE!</v>
      </c>
      <c r="HQ393" t="e">
        <f>AND('STERLING CATALOG - FZN &amp; CHILL'!H3470,"AAAAACnnB+A=")</f>
        <v>#VALUE!</v>
      </c>
      <c r="HR393" t="e">
        <f>AND('STERLING CATALOG - FZN &amp; CHILL'!I3470,"AAAAACnnB+E=")</f>
        <v>#VALUE!</v>
      </c>
      <c r="HS393" t="e">
        <f>AND('STERLING CATALOG - FZN &amp; CHILL'!J3470,"AAAAACnnB+I=")</f>
        <v>#VALUE!</v>
      </c>
      <c r="HT393">
        <f>IF('STERLING CATALOG - FZN &amp; CHILL'!3471:3471,"AAAAACnnB+M=",0)</f>
        <v>0</v>
      </c>
      <c r="HU393" t="e">
        <f>AND('STERLING CATALOG - FZN &amp; CHILL'!A3471,"AAAAACnnB+Q=")</f>
        <v>#VALUE!</v>
      </c>
      <c r="HV393" t="e">
        <f>AND('STERLING CATALOG - FZN &amp; CHILL'!B3471,"AAAAACnnB+U=")</f>
        <v>#VALUE!</v>
      </c>
      <c r="HW393" t="e">
        <f>AND('STERLING CATALOG - FZN &amp; CHILL'!C3471,"AAAAACnnB+Y=")</f>
        <v>#VALUE!</v>
      </c>
      <c r="HX393" t="e">
        <f>AND('STERLING CATALOG - FZN &amp; CHILL'!D3471,"AAAAACnnB+c=")</f>
        <v>#VALUE!</v>
      </c>
      <c r="HY393" t="e">
        <f>AND('STERLING CATALOG - FZN &amp; CHILL'!E3471,"AAAAACnnB+g=")</f>
        <v>#VALUE!</v>
      </c>
      <c r="HZ393" t="e">
        <f>AND('STERLING CATALOG - FZN &amp; CHILL'!F3471,"AAAAACnnB+k=")</f>
        <v>#VALUE!</v>
      </c>
      <c r="IA393" t="e">
        <f>AND('STERLING CATALOG - FZN &amp; CHILL'!G3471,"AAAAACnnB+o=")</f>
        <v>#VALUE!</v>
      </c>
      <c r="IB393" t="e">
        <f>AND('STERLING CATALOG - FZN &amp; CHILL'!H3471,"AAAAACnnB+s=")</f>
        <v>#VALUE!</v>
      </c>
      <c r="IC393" t="e">
        <f>AND('STERLING CATALOG - FZN &amp; CHILL'!I3471,"AAAAACnnB+w=")</f>
        <v>#VALUE!</v>
      </c>
      <c r="ID393" t="e">
        <f>AND('STERLING CATALOG - FZN &amp; CHILL'!J3471,"AAAAACnnB+0=")</f>
        <v>#VALUE!</v>
      </c>
      <c r="IE393">
        <f>IF('STERLING CATALOG - FZN &amp; CHILL'!3472:3472,"AAAAACnnB+4=",0)</f>
        <v>0</v>
      </c>
      <c r="IF393" t="e">
        <f>AND('STERLING CATALOG - FZN &amp; CHILL'!A3472,"AAAAACnnB+8=")</f>
        <v>#VALUE!</v>
      </c>
      <c r="IG393" t="e">
        <f>AND('STERLING CATALOG - FZN &amp; CHILL'!B3472,"AAAAACnnB/A=")</f>
        <v>#VALUE!</v>
      </c>
      <c r="IH393" t="e">
        <f>AND('STERLING CATALOG - FZN &amp; CHILL'!C3472,"AAAAACnnB/E=")</f>
        <v>#VALUE!</v>
      </c>
      <c r="II393" t="e">
        <f>AND('STERLING CATALOG - FZN &amp; CHILL'!D3472,"AAAAACnnB/I=")</f>
        <v>#VALUE!</v>
      </c>
      <c r="IJ393" t="e">
        <f>AND('STERLING CATALOG - FZN &amp; CHILL'!E3472,"AAAAACnnB/M=")</f>
        <v>#VALUE!</v>
      </c>
      <c r="IK393" t="e">
        <f>AND('STERLING CATALOG - FZN &amp; CHILL'!F3472,"AAAAACnnB/Q=")</f>
        <v>#VALUE!</v>
      </c>
      <c r="IL393" t="e">
        <f>AND('STERLING CATALOG - FZN &amp; CHILL'!G3472,"AAAAACnnB/U=")</f>
        <v>#VALUE!</v>
      </c>
      <c r="IM393" t="e">
        <f>AND('STERLING CATALOG - FZN &amp; CHILL'!H3472,"AAAAACnnB/Y=")</f>
        <v>#VALUE!</v>
      </c>
      <c r="IN393" t="e">
        <f>AND('STERLING CATALOG - FZN &amp; CHILL'!I3472,"AAAAACnnB/c=")</f>
        <v>#VALUE!</v>
      </c>
      <c r="IO393" t="e">
        <f>AND('STERLING CATALOG - FZN &amp; CHILL'!J3472,"AAAAACnnB/g=")</f>
        <v>#VALUE!</v>
      </c>
      <c r="IP393">
        <f>IF('STERLING CATALOG - FZN &amp; CHILL'!3473:3473,"AAAAACnnB/k=",0)</f>
        <v>0</v>
      </c>
      <c r="IQ393" t="e">
        <f>AND('STERLING CATALOG - FZN &amp; CHILL'!A3473,"AAAAACnnB/o=")</f>
        <v>#VALUE!</v>
      </c>
      <c r="IR393" t="e">
        <f>AND('STERLING CATALOG - FZN &amp; CHILL'!B3473,"AAAAACnnB/s=")</f>
        <v>#VALUE!</v>
      </c>
      <c r="IS393" t="e">
        <f>AND('STERLING CATALOG - FZN &amp; CHILL'!C3473,"AAAAACnnB/w=")</f>
        <v>#VALUE!</v>
      </c>
      <c r="IT393" t="e">
        <f>AND('STERLING CATALOG - FZN &amp; CHILL'!D3473,"AAAAACnnB/0=")</f>
        <v>#VALUE!</v>
      </c>
      <c r="IU393" t="e">
        <f>AND('STERLING CATALOG - FZN &amp; CHILL'!E3473,"AAAAACnnB/4=")</f>
        <v>#VALUE!</v>
      </c>
      <c r="IV393" t="e">
        <f>AND('STERLING CATALOG - FZN &amp; CHILL'!F3473,"AAAAACnnB/8=")</f>
        <v>#VALUE!</v>
      </c>
    </row>
    <row r="394" spans="1:256">
      <c r="A394" t="e">
        <f>AND('STERLING CATALOG - FZN &amp; CHILL'!G3473,"AAAAAHH/WwA=")</f>
        <v>#VALUE!</v>
      </c>
      <c r="B394" t="e">
        <f>AND('STERLING CATALOG - FZN &amp; CHILL'!H3473,"AAAAAHH/WwE=")</f>
        <v>#VALUE!</v>
      </c>
      <c r="C394" t="e">
        <f>AND('STERLING CATALOG - FZN &amp; CHILL'!I3473,"AAAAAHH/WwI=")</f>
        <v>#VALUE!</v>
      </c>
      <c r="D394" t="e">
        <f>AND('STERLING CATALOG - FZN &amp; CHILL'!J3473,"AAAAAHH/WwM=")</f>
        <v>#VALUE!</v>
      </c>
      <c r="E394" t="e">
        <f>IF('STERLING CATALOG - FZN &amp; CHILL'!3474:3474,"AAAAAHH/WwQ=",0)</f>
        <v>#VALUE!</v>
      </c>
      <c r="F394" t="e">
        <f>AND('STERLING CATALOG - FZN &amp; CHILL'!A3474,"AAAAAHH/WwU=")</f>
        <v>#VALUE!</v>
      </c>
      <c r="G394" t="e">
        <f>AND('STERLING CATALOG - FZN &amp; CHILL'!B3474,"AAAAAHH/WwY=")</f>
        <v>#VALUE!</v>
      </c>
      <c r="H394" t="e">
        <f>AND('STERLING CATALOG - FZN &amp; CHILL'!C3474,"AAAAAHH/Wwc=")</f>
        <v>#VALUE!</v>
      </c>
      <c r="I394" t="e">
        <f>AND('STERLING CATALOG - FZN &amp; CHILL'!D3474,"AAAAAHH/Wwg=")</f>
        <v>#VALUE!</v>
      </c>
      <c r="J394" t="e">
        <f>AND('STERLING CATALOG - FZN &amp; CHILL'!E3474,"AAAAAHH/Wwk=")</f>
        <v>#VALUE!</v>
      </c>
      <c r="K394" t="e">
        <f>AND('STERLING CATALOG - FZN &amp; CHILL'!F3474,"AAAAAHH/Wwo=")</f>
        <v>#VALUE!</v>
      </c>
      <c r="L394" t="e">
        <f>AND('STERLING CATALOG - FZN &amp; CHILL'!G3474,"AAAAAHH/Wws=")</f>
        <v>#VALUE!</v>
      </c>
      <c r="M394" t="e">
        <f>AND('STERLING CATALOG - FZN &amp; CHILL'!H3474,"AAAAAHH/Www=")</f>
        <v>#VALUE!</v>
      </c>
      <c r="N394" t="e">
        <f>AND('STERLING CATALOG - FZN &amp; CHILL'!I3474,"AAAAAHH/Ww0=")</f>
        <v>#VALUE!</v>
      </c>
      <c r="O394" t="e">
        <f>AND('STERLING CATALOG - FZN &amp; CHILL'!J3474,"AAAAAHH/Ww4=")</f>
        <v>#VALUE!</v>
      </c>
      <c r="P394">
        <f>IF('STERLING CATALOG - FZN &amp; CHILL'!3475:3475,"AAAAAHH/Ww8=",0)</f>
        <v>0</v>
      </c>
      <c r="Q394" t="e">
        <f>AND('STERLING CATALOG - FZN &amp; CHILL'!A3475,"AAAAAHH/WxA=")</f>
        <v>#VALUE!</v>
      </c>
      <c r="R394" t="e">
        <f>AND('STERLING CATALOG - FZN &amp; CHILL'!B3475,"AAAAAHH/WxE=")</f>
        <v>#VALUE!</v>
      </c>
      <c r="S394" t="e">
        <f>AND('STERLING CATALOG - FZN &amp; CHILL'!C3475,"AAAAAHH/WxI=")</f>
        <v>#VALUE!</v>
      </c>
      <c r="T394" t="e">
        <f>AND('STERLING CATALOG - FZN &amp; CHILL'!D3475,"AAAAAHH/WxM=")</f>
        <v>#VALUE!</v>
      </c>
      <c r="U394" t="e">
        <f>AND('STERLING CATALOG - FZN &amp; CHILL'!E3475,"AAAAAHH/WxQ=")</f>
        <v>#VALUE!</v>
      </c>
      <c r="V394" t="e">
        <f>AND('STERLING CATALOG - FZN &amp; CHILL'!F3475,"AAAAAHH/WxU=")</f>
        <v>#VALUE!</v>
      </c>
      <c r="W394" t="e">
        <f>AND('STERLING CATALOG - FZN &amp; CHILL'!G3475,"AAAAAHH/WxY=")</f>
        <v>#VALUE!</v>
      </c>
      <c r="X394" t="e">
        <f>AND('STERLING CATALOG - FZN &amp; CHILL'!H3475,"AAAAAHH/Wxc=")</f>
        <v>#VALUE!</v>
      </c>
      <c r="Y394" t="e">
        <f>AND('STERLING CATALOG - FZN &amp; CHILL'!I3475,"AAAAAHH/Wxg=")</f>
        <v>#VALUE!</v>
      </c>
      <c r="Z394" t="e">
        <f>AND('STERLING CATALOG - FZN &amp; CHILL'!J3475,"AAAAAHH/Wxk=")</f>
        <v>#VALUE!</v>
      </c>
      <c r="AA394">
        <f>IF('STERLING CATALOG - FZN &amp; CHILL'!3476:3476,"AAAAAHH/Wxo=",0)</f>
        <v>0</v>
      </c>
      <c r="AB394" t="e">
        <f>AND('STERLING CATALOG - FZN &amp; CHILL'!A3476,"AAAAAHH/Wxs=")</f>
        <v>#VALUE!</v>
      </c>
      <c r="AC394" t="e">
        <f>AND('STERLING CATALOG - FZN &amp; CHILL'!B3476,"AAAAAHH/Wxw=")</f>
        <v>#VALUE!</v>
      </c>
      <c r="AD394" t="e">
        <f>AND('STERLING CATALOG - FZN &amp; CHILL'!C3476,"AAAAAHH/Wx0=")</f>
        <v>#VALUE!</v>
      </c>
      <c r="AE394" t="e">
        <f>AND('STERLING CATALOG - FZN &amp; CHILL'!D3476,"AAAAAHH/Wx4=")</f>
        <v>#VALUE!</v>
      </c>
      <c r="AF394" t="e">
        <f>AND('STERLING CATALOG - FZN &amp; CHILL'!E3476,"AAAAAHH/Wx8=")</f>
        <v>#VALUE!</v>
      </c>
      <c r="AG394" t="e">
        <f>AND('STERLING CATALOG - FZN &amp; CHILL'!F3476,"AAAAAHH/WyA=")</f>
        <v>#VALUE!</v>
      </c>
      <c r="AH394" t="e">
        <f>AND('STERLING CATALOG - FZN &amp; CHILL'!G3476,"AAAAAHH/WyE=")</f>
        <v>#VALUE!</v>
      </c>
      <c r="AI394" t="e">
        <f>AND('STERLING CATALOG - FZN &amp; CHILL'!H3476,"AAAAAHH/WyI=")</f>
        <v>#VALUE!</v>
      </c>
      <c r="AJ394" t="e">
        <f>AND('STERLING CATALOG - FZN &amp; CHILL'!I3476,"AAAAAHH/WyM=")</f>
        <v>#VALUE!</v>
      </c>
      <c r="AK394" t="e">
        <f>AND('STERLING CATALOG - FZN &amp; CHILL'!J3476,"AAAAAHH/WyQ=")</f>
        <v>#VALUE!</v>
      </c>
      <c r="AL394">
        <f>IF('STERLING CATALOG - FZN &amp; CHILL'!3477:3477,"AAAAAHH/WyU=",0)</f>
        <v>0</v>
      </c>
      <c r="AM394" t="e">
        <f>AND('STERLING CATALOG - FZN &amp; CHILL'!A3477,"AAAAAHH/WyY=")</f>
        <v>#VALUE!</v>
      </c>
      <c r="AN394" t="e">
        <f>AND('STERLING CATALOG - FZN &amp; CHILL'!B3477,"AAAAAHH/Wyc=")</f>
        <v>#VALUE!</v>
      </c>
      <c r="AO394" t="e">
        <f>AND('STERLING CATALOG - FZN &amp; CHILL'!C3477,"AAAAAHH/Wyg=")</f>
        <v>#VALUE!</v>
      </c>
      <c r="AP394" t="e">
        <f>AND('STERLING CATALOG - FZN &amp; CHILL'!D3477,"AAAAAHH/Wyk=")</f>
        <v>#VALUE!</v>
      </c>
      <c r="AQ394" t="e">
        <f>AND('STERLING CATALOG - FZN &amp; CHILL'!E3477,"AAAAAHH/Wyo=")</f>
        <v>#VALUE!</v>
      </c>
      <c r="AR394" t="e">
        <f>AND('STERLING CATALOG - FZN &amp; CHILL'!F3477,"AAAAAHH/Wys=")</f>
        <v>#VALUE!</v>
      </c>
      <c r="AS394" t="e">
        <f>AND('STERLING CATALOG - FZN &amp; CHILL'!G3477,"AAAAAHH/Wyw=")</f>
        <v>#VALUE!</v>
      </c>
      <c r="AT394" t="e">
        <f>AND('STERLING CATALOG - FZN &amp; CHILL'!H3477,"AAAAAHH/Wy0=")</f>
        <v>#VALUE!</v>
      </c>
      <c r="AU394" t="e">
        <f>AND('STERLING CATALOG - FZN &amp; CHILL'!I3477,"AAAAAHH/Wy4=")</f>
        <v>#VALUE!</v>
      </c>
      <c r="AV394" t="e">
        <f>AND('STERLING CATALOG - FZN &amp; CHILL'!J3477,"AAAAAHH/Wy8=")</f>
        <v>#VALUE!</v>
      </c>
      <c r="AW394">
        <f>IF('STERLING CATALOG - FZN &amp; CHILL'!3478:3478,"AAAAAHH/WzA=",0)</f>
        <v>0</v>
      </c>
      <c r="AX394" t="e">
        <f>AND('STERLING CATALOG - FZN &amp; CHILL'!A3478,"AAAAAHH/WzE=")</f>
        <v>#VALUE!</v>
      </c>
      <c r="AY394" t="e">
        <f>AND('STERLING CATALOG - FZN &amp; CHILL'!B3478,"AAAAAHH/WzI=")</f>
        <v>#VALUE!</v>
      </c>
      <c r="AZ394" t="e">
        <f>AND('STERLING CATALOG - FZN &amp; CHILL'!C3478,"AAAAAHH/WzM=")</f>
        <v>#VALUE!</v>
      </c>
      <c r="BA394" t="e">
        <f>AND('STERLING CATALOG - FZN &amp; CHILL'!D3478,"AAAAAHH/WzQ=")</f>
        <v>#VALUE!</v>
      </c>
      <c r="BB394" t="e">
        <f>AND('STERLING CATALOG - FZN &amp; CHILL'!E3478,"AAAAAHH/WzU=")</f>
        <v>#VALUE!</v>
      </c>
      <c r="BC394" t="e">
        <f>AND('STERLING CATALOG - FZN &amp; CHILL'!F3478,"AAAAAHH/WzY=")</f>
        <v>#VALUE!</v>
      </c>
      <c r="BD394" t="e">
        <f>AND('STERLING CATALOG - FZN &amp; CHILL'!G3478,"AAAAAHH/Wzc=")</f>
        <v>#VALUE!</v>
      </c>
      <c r="BE394" t="e">
        <f>AND('STERLING CATALOG - FZN &amp; CHILL'!H3478,"AAAAAHH/Wzg=")</f>
        <v>#VALUE!</v>
      </c>
      <c r="BF394" t="e">
        <f>AND('STERLING CATALOG - FZN &amp; CHILL'!I3478,"AAAAAHH/Wzk=")</f>
        <v>#VALUE!</v>
      </c>
      <c r="BG394" t="e">
        <f>AND('STERLING CATALOG - FZN &amp; CHILL'!J3478,"AAAAAHH/Wzo=")</f>
        <v>#VALUE!</v>
      </c>
      <c r="BH394">
        <f>IF('STERLING CATALOG - FZN &amp; CHILL'!3479:3479,"AAAAAHH/Wzs=",0)</f>
        <v>0</v>
      </c>
      <c r="BI394" t="e">
        <f>AND('STERLING CATALOG - FZN &amp; CHILL'!A3479,"AAAAAHH/Wzw=")</f>
        <v>#VALUE!</v>
      </c>
      <c r="BJ394" t="e">
        <f>AND('STERLING CATALOG - FZN &amp; CHILL'!B3479,"AAAAAHH/Wz0=")</f>
        <v>#VALUE!</v>
      </c>
      <c r="BK394" t="e">
        <f>AND('STERLING CATALOG - FZN &amp; CHILL'!C3479,"AAAAAHH/Wz4=")</f>
        <v>#VALUE!</v>
      </c>
      <c r="BL394" t="e">
        <f>AND('STERLING CATALOG - FZN &amp; CHILL'!D3479,"AAAAAHH/Wz8=")</f>
        <v>#VALUE!</v>
      </c>
      <c r="BM394" t="e">
        <f>AND('STERLING CATALOG - FZN &amp; CHILL'!E3479,"AAAAAHH/W0A=")</f>
        <v>#VALUE!</v>
      </c>
      <c r="BN394" t="e">
        <f>AND('STERLING CATALOG - FZN &amp; CHILL'!F3479,"AAAAAHH/W0E=")</f>
        <v>#VALUE!</v>
      </c>
      <c r="BO394" t="e">
        <f>AND('STERLING CATALOG - FZN &amp; CHILL'!G3479,"AAAAAHH/W0I=")</f>
        <v>#VALUE!</v>
      </c>
      <c r="BP394" t="e">
        <f>AND('STERLING CATALOG - FZN &amp; CHILL'!H3479,"AAAAAHH/W0M=")</f>
        <v>#VALUE!</v>
      </c>
      <c r="BQ394" t="e">
        <f>AND('STERLING CATALOG - FZN &amp; CHILL'!I3479,"AAAAAHH/W0Q=")</f>
        <v>#VALUE!</v>
      </c>
      <c r="BR394" t="e">
        <f>AND('STERLING CATALOG - FZN &amp; CHILL'!J3479,"AAAAAHH/W0U=")</f>
        <v>#VALUE!</v>
      </c>
      <c r="BS394">
        <f>IF('STERLING CATALOG - FZN &amp; CHILL'!3480:3480,"AAAAAHH/W0Y=",0)</f>
        <v>0</v>
      </c>
      <c r="BT394" t="e">
        <f>AND('STERLING CATALOG - FZN &amp; CHILL'!A3480,"AAAAAHH/W0c=")</f>
        <v>#VALUE!</v>
      </c>
      <c r="BU394" t="e">
        <f>AND('STERLING CATALOG - FZN &amp; CHILL'!B3480,"AAAAAHH/W0g=")</f>
        <v>#VALUE!</v>
      </c>
      <c r="BV394" t="e">
        <f>AND('STERLING CATALOG - FZN &amp; CHILL'!C3480,"AAAAAHH/W0k=")</f>
        <v>#VALUE!</v>
      </c>
      <c r="BW394" t="e">
        <f>AND('STERLING CATALOG - FZN &amp; CHILL'!D3480,"AAAAAHH/W0o=")</f>
        <v>#VALUE!</v>
      </c>
      <c r="BX394" t="e">
        <f>AND('STERLING CATALOG - FZN &amp; CHILL'!E3480,"AAAAAHH/W0s=")</f>
        <v>#VALUE!</v>
      </c>
      <c r="BY394" t="e">
        <f>AND('STERLING CATALOG - FZN &amp; CHILL'!F3480,"AAAAAHH/W0w=")</f>
        <v>#VALUE!</v>
      </c>
      <c r="BZ394" t="e">
        <f>AND('STERLING CATALOG - FZN &amp; CHILL'!G3480,"AAAAAHH/W00=")</f>
        <v>#VALUE!</v>
      </c>
      <c r="CA394" t="e">
        <f>AND('STERLING CATALOG - FZN &amp; CHILL'!H3480,"AAAAAHH/W04=")</f>
        <v>#VALUE!</v>
      </c>
      <c r="CB394" t="e">
        <f>AND('STERLING CATALOG - FZN &amp; CHILL'!I3480,"AAAAAHH/W08=")</f>
        <v>#VALUE!</v>
      </c>
      <c r="CC394" t="e">
        <f>AND('STERLING CATALOG - FZN &amp; CHILL'!J3480,"AAAAAHH/W1A=")</f>
        <v>#VALUE!</v>
      </c>
      <c r="CD394">
        <f>IF('STERLING CATALOG - FZN &amp; CHILL'!3481:3481,"AAAAAHH/W1E=",0)</f>
        <v>0</v>
      </c>
      <c r="CE394" t="e">
        <f>AND('STERLING CATALOG - FZN &amp; CHILL'!A3481,"AAAAAHH/W1I=")</f>
        <v>#VALUE!</v>
      </c>
      <c r="CF394" t="e">
        <f>AND('STERLING CATALOG - FZN &amp; CHILL'!B3481,"AAAAAHH/W1M=")</f>
        <v>#VALUE!</v>
      </c>
      <c r="CG394" t="e">
        <f>AND('STERLING CATALOG - FZN &amp; CHILL'!C3481,"AAAAAHH/W1Q=")</f>
        <v>#VALUE!</v>
      </c>
      <c r="CH394" t="e">
        <f>AND('STERLING CATALOG - FZN &amp; CHILL'!D3481,"AAAAAHH/W1U=")</f>
        <v>#VALUE!</v>
      </c>
      <c r="CI394" t="e">
        <f>AND('STERLING CATALOG - FZN &amp; CHILL'!E3481,"AAAAAHH/W1Y=")</f>
        <v>#VALUE!</v>
      </c>
      <c r="CJ394" t="e">
        <f>AND('STERLING CATALOG - FZN &amp; CHILL'!F3481,"AAAAAHH/W1c=")</f>
        <v>#VALUE!</v>
      </c>
      <c r="CK394" t="e">
        <f>AND('STERLING CATALOG - FZN &amp; CHILL'!G3481,"AAAAAHH/W1g=")</f>
        <v>#VALUE!</v>
      </c>
      <c r="CL394" t="e">
        <f>AND('STERLING CATALOG - FZN &amp; CHILL'!H3481,"AAAAAHH/W1k=")</f>
        <v>#VALUE!</v>
      </c>
      <c r="CM394" t="e">
        <f>AND('STERLING CATALOG - FZN &amp; CHILL'!I3481,"AAAAAHH/W1o=")</f>
        <v>#VALUE!</v>
      </c>
      <c r="CN394" t="e">
        <f>AND('STERLING CATALOG - FZN &amp; CHILL'!J3481,"AAAAAHH/W1s=")</f>
        <v>#VALUE!</v>
      </c>
      <c r="CO394">
        <f>IF('STERLING CATALOG - FZN &amp; CHILL'!3482:3482,"AAAAAHH/W1w=",0)</f>
        <v>0</v>
      </c>
      <c r="CP394" t="e">
        <f>AND('STERLING CATALOG - FZN &amp; CHILL'!A3482,"AAAAAHH/W10=")</f>
        <v>#VALUE!</v>
      </c>
      <c r="CQ394" t="e">
        <f>AND('STERLING CATALOG - FZN &amp; CHILL'!B3482,"AAAAAHH/W14=")</f>
        <v>#VALUE!</v>
      </c>
      <c r="CR394" t="e">
        <f>AND('STERLING CATALOG - FZN &amp; CHILL'!C3482,"AAAAAHH/W18=")</f>
        <v>#VALUE!</v>
      </c>
      <c r="CS394" t="e">
        <f>AND('STERLING CATALOG - FZN &amp; CHILL'!D3482,"AAAAAHH/W2A=")</f>
        <v>#VALUE!</v>
      </c>
      <c r="CT394" t="e">
        <f>AND('STERLING CATALOG - FZN &amp; CHILL'!E3482,"AAAAAHH/W2E=")</f>
        <v>#VALUE!</v>
      </c>
      <c r="CU394" t="e">
        <f>AND('STERLING CATALOG - FZN &amp; CHILL'!F3482,"AAAAAHH/W2I=")</f>
        <v>#VALUE!</v>
      </c>
      <c r="CV394" t="e">
        <f>AND('STERLING CATALOG - FZN &amp; CHILL'!G3482,"AAAAAHH/W2M=")</f>
        <v>#VALUE!</v>
      </c>
      <c r="CW394" t="e">
        <f>AND('STERLING CATALOG - FZN &amp; CHILL'!H3482,"AAAAAHH/W2Q=")</f>
        <v>#VALUE!</v>
      </c>
      <c r="CX394" t="e">
        <f>AND('STERLING CATALOG - FZN &amp; CHILL'!I3482,"AAAAAHH/W2U=")</f>
        <v>#VALUE!</v>
      </c>
      <c r="CY394" t="e">
        <f>AND('STERLING CATALOG - FZN &amp; CHILL'!J3482,"AAAAAHH/W2Y=")</f>
        <v>#VALUE!</v>
      </c>
      <c r="CZ394">
        <f>IF('STERLING CATALOG - FZN &amp; CHILL'!3483:3483,"AAAAAHH/W2c=",0)</f>
        <v>0</v>
      </c>
      <c r="DA394" t="e">
        <f>AND('STERLING CATALOG - FZN &amp; CHILL'!A3483,"AAAAAHH/W2g=")</f>
        <v>#VALUE!</v>
      </c>
      <c r="DB394" t="e">
        <f>AND('STERLING CATALOG - FZN &amp; CHILL'!B3483,"AAAAAHH/W2k=")</f>
        <v>#VALUE!</v>
      </c>
      <c r="DC394" t="e">
        <f>AND('STERLING CATALOG - FZN &amp; CHILL'!C3483,"AAAAAHH/W2o=")</f>
        <v>#VALUE!</v>
      </c>
      <c r="DD394" t="e">
        <f>AND('STERLING CATALOG - FZN &amp; CHILL'!D3483,"AAAAAHH/W2s=")</f>
        <v>#VALUE!</v>
      </c>
      <c r="DE394" t="e">
        <f>AND('STERLING CATALOG - FZN &amp; CHILL'!E3483,"AAAAAHH/W2w=")</f>
        <v>#VALUE!</v>
      </c>
      <c r="DF394" t="e">
        <f>AND('STERLING CATALOG - FZN &amp; CHILL'!F3483,"AAAAAHH/W20=")</f>
        <v>#VALUE!</v>
      </c>
      <c r="DG394" t="e">
        <f>AND('STERLING CATALOG - FZN &amp; CHILL'!G3483,"AAAAAHH/W24=")</f>
        <v>#VALUE!</v>
      </c>
      <c r="DH394" t="e">
        <f>AND('STERLING CATALOG - FZN &amp; CHILL'!H3483,"AAAAAHH/W28=")</f>
        <v>#VALUE!</v>
      </c>
      <c r="DI394" t="e">
        <f>AND('STERLING CATALOG - FZN &amp; CHILL'!I3483,"AAAAAHH/W3A=")</f>
        <v>#VALUE!</v>
      </c>
      <c r="DJ394" t="e">
        <f>AND('STERLING CATALOG - FZN &amp; CHILL'!J3483,"AAAAAHH/W3E=")</f>
        <v>#VALUE!</v>
      </c>
      <c r="DK394">
        <f>IF('STERLING CATALOG - FZN &amp; CHILL'!3484:3484,"AAAAAHH/W3I=",0)</f>
        <v>0</v>
      </c>
      <c r="DL394" t="e">
        <f>AND('STERLING CATALOG - FZN &amp; CHILL'!A3484,"AAAAAHH/W3M=")</f>
        <v>#VALUE!</v>
      </c>
      <c r="DM394" t="e">
        <f>AND('STERLING CATALOG - FZN &amp; CHILL'!B3484,"AAAAAHH/W3Q=")</f>
        <v>#VALUE!</v>
      </c>
      <c r="DN394" t="e">
        <f>AND('STERLING CATALOG - FZN &amp; CHILL'!C3484,"AAAAAHH/W3U=")</f>
        <v>#VALUE!</v>
      </c>
      <c r="DO394" t="e">
        <f>AND('STERLING CATALOG - FZN &amp; CHILL'!D3484,"AAAAAHH/W3Y=")</f>
        <v>#VALUE!</v>
      </c>
      <c r="DP394" t="e">
        <f>AND('STERLING CATALOG - FZN &amp; CHILL'!E3484,"AAAAAHH/W3c=")</f>
        <v>#VALUE!</v>
      </c>
      <c r="DQ394" t="e">
        <f>AND('STERLING CATALOG - FZN &amp; CHILL'!F3484,"AAAAAHH/W3g=")</f>
        <v>#VALUE!</v>
      </c>
      <c r="DR394" t="e">
        <f>AND('STERLING CATALOG - FZN &amp; CHILL'!G3484,"AAAAAHH/W3k=")</f>
        <v>#VALUE!</v>
      </c>
      <c r="DS394" t="e">
        <f>AND('STERLING CATALOG - FZN &amp; CHILL'!H3484,"AAAAAHH/W3o=")</f>
        <v>#VALUE!</v>
      </c>
      <c r="DT394" t="e">
        <f>AND('STERLING CATALOG - FZN &amp; CHILL'!I3484,"AAAAAHH/W3s=")</f>
        <v>#VALUE!</v>
      </c>
      <c r="DU394" t="e">
        <f>AND('STERLING CATALOG - FZN &amp; CHILL'!J3484,"AAAAAHH/W3w=")</f>
        <v>#VALUE!</v>
      </c>
      <c r="DV394">
        <f>IF('STERLING CATALOG - FZN &amp; CHILL'!3485:3485,"AAAAAHH/W30=",0)</f>
        <v>0</v>
      </c>
      <c r="DW394" t="e">
        <f>AND('STERLING CATALOG - FZN &amp; CHILL'!A3485,"AAAAAHH/W34=")</f>
        <v>#VALUE!</v>
      </c>
      <c r="DX394" t="e">
        <f>AND('STERLING CATALOG - FZN &amp; CHILL'!B3485,"AAAAAHH/W38=")</f>
        <v>#VALUE!</v>
      </c>
      <c r="DY394" t="e">
        <f>AND('STERLING CATALOG - FZN &amp; CHILL'!C3485,"AAAAAHH/W4A=")</f>
        <v>#VALUE!</v>
      </c>
      <c r="DZ394" t="e">
        <f>AND('STERLING CATALOG - FZN &amp; CHILL'!D3485,"AAAAAHH/W4E=")</f>
        <v>#VALUE!</v>
      </c>
      <c r="EA394" t="e">
        <f>AND('STERLING CATALOG - FZN &amp; CHILL'!E3485,"AAAAAHH/W4I=")</f>
        <v>#VALUE!</v>
      </c>
      <c r="EB394" t="e">
        <f>AND('STERLING CATALOG - FZN &amp; CHILL'!F3485,"AAAAAHH/W4M=")</f>
        <v>#VALUE!</v>
      </c>
      <c r="EC394" t="e">
        <f>AND('STERLING CATALOG - FZN &amp; CHILL'!G3485,"AAAAAHH/W4Q=")</f>
        <v>#VALUE!</v>
      </c>
      <c r="ED394" t="e">
        <f>AND('STERLING CATALOG - FZN &amp; CHILL'!H3485,"AAAAAHH/W4U=")</f>
        <v>#VALUE!</v>
      </c>
      <c r="EE394" t="e">
        <f>AND('STERLING CATALOG - FZN &amp; CHILL'!I3485,"AAAAAHH/W4Y=")</f>
        <v>#VALUE!</v>
      </c>
      <c r="EF394" t="e">
        <f>AND('STERLING CATALOG - FZN &amp; CHILL'!J3485,"AAAAAHH/W4c=")</f>
        <v>#VALUE!</v>
      </c>
      <c r="EG394">
        <f>IF('STERLING CATALOG - FZN &amp; CHILL'!3486:3486,"AAAAAHH/W4g=",0)</f>
        <v>0</v>
      </c>
      <c r="EH394" t="e">
        <f>AND('STERLING CATALOG - FZN &amp; CHILL'!A3486,"AAAAAHH/W4k=")</f>
        <v>#VALUE!</v>
      </c>
      <c r="EI394" t="e">
        <f>AND('STERLING CATALOG - FZN &amp; CHILL'!B3486,"AAAAAHH/W4o=")</f>
        <v>#VALUE!</v>
      </c>
      <c r="EJ394" t="e">
        <f>AND('STERLING CATALOG - FZN &amp; CHILL'!C3486,"AAAAAHH/W4s=")</f>
        <v>#VALUE!</v>
      </c>
      <c r="EK394" t="e">
        <f>AND('STERLING CATALOG - FZN &amp; CHILL'!D3486,"AAAAAHH/W4w=")</f>
        <v>#VALUE!</v>
      </c>
      <c r="EL394" t="e">
        <f>AND('STERLING CATALOG - FZN &amp; CHILL'!E3486,"AAAAAHH/W40=")</f>
        <v>#VALUE!</v>
      </c>
      <c r="EM394" t="e">
        <f>AND('STERLING CATALOG - FZN &amp; CHILL'!F3486,"AAAAAHH/W44=")</f>
        <v>#VALUE!</v>
      </c>
      <c r="EN394" t="e">
        <f>AND('STERLING CATALOG - FZN &amp; CHILL'!G3486,"AAAAAHH/W48=")</f>
        <v>#VALUE!</v>
      </c>
      <c r="EO394" t="e">
        <f>AND('STERLING CATALOG - FZN &amp; CHILL'!H3486,"AAAAAHH/W5A=")</f>
        <v>#VALUE!</v>
      </c>
      <c r="EP394" t="e">
        <f>AND('STERLING CATALOG - FZN &amp; CHILL'!I3486,"AAAAAHH/W5E=")</f>
        <v>#VALUE!</v>
      </c>
      <c r="EQ394" t="e">
        <f>AND('STERLING CATALOG - FZN &amp; CHILL'!J3486,"AAAAAHH/W5I=")</f>
        <v>#VALUE!</v>
      </c>
      <c r="ER394">
        <f>IF('STERLING CATALOG - FZN &amp; CHILL'!3487:3487,"AAAAAHH/W5M=",0)</f>
        <v>0</v>
      </c>
      <c r="ES394" t="e">
        <f>AND('STERLING CATALOG - FZN &amp; CHILL'!A3487,"AAAAAHH/W5Q=")</f>
        <v>#VALUE!</v>
      </c>
      <c r="ET394" t="e">
        <f>AND('STERLING CATALOG - FZN &amp; CHILL'!B3487,"AAAAAHH/W5U=")</f>
        <v>#VALUE!</v>
      </c>
      <c r="EU394" t="e">
        <f>AND('STERLING CATALOG - FZN &amp; CHILL'!C3487,"AAAAAHH/W5Y=")</f>
        <v>#VALUE!</v>
      </c>
      <c r="EV394" t="e">
        <f>AND('STERLING CATALOG - FZN &amp; CHILL'!D3487,"AAAAAHH/W5c=")</f>
        <v>#VALUE!</v>
      </c>
      <c r="EW394" t="e">
        <f>AND('STERLING CATALOG - FZN &amp; CHILL'!E3487,"AAAAAHH/W5g=")</f>
        <v>#VALUE!</v>
      </c>
      <c r="EX394" t="e">
        <f>AND('STERLING CATALOG - FZN &amp; CHILL'!F3487,"AAAAAHH/W5k=")</f>
        <v>#VALUE!</v>
      </c>
      <c r="EY394" t="e">
        <f>AND('STERLING CATALOG - FZN &amp; CHILL'!G3487,"AAAAAHH/W5o=")</f>
        <v>#VALUE!</v>
      </c>
      <c r="EZ394" t="e">
        <f>AND('STERLING CATALOG - FZN &amp; CHILL'!H3487,"AAAAAHH/W5s=")</f>
        <v>#VALUE!</v>
      </c>
      <c r="FA394" t="e">
        <f>AND('STERLING CATALOG - FZN &amp; CHILL'!I3487,"AAAAAHH/W5w=")</f>
        <v>#VALUE!</v>
      </c>
      <c r="FB394" t="e">
        <f>AND('STERLING CATALOG - FZN &amp; CHILL'!J3487,"AAAAAHH/W50=")</f>
        <v>#VALUE!</v>
      </c>
      <c r="FC394">
        <f>IF('STERLING CATALOG - FZN &amp; CHILL'!3488:3488,"AAAAAHH/W54=",0)</f>
        <v>0</v>
      </c>
      <c r="FD394" t="e">
        <f>AND('STERLING CATALOG - FZN &amp; CHILL'!A3488,"AAAAAHH/W58=")</f>
        <v>#VALUE!</v>
      </c>
      <c r="FE394" t="e">
        <f>AND('STERLING CATALOG - FZN &amp; CHILL'!B3488,"AAAAAHH/W6A=")</f>
        <v>#VALUE!</v>
      </c>
      <c r="FF394" t="e">
        <f>AND('STERLING CATALOG - FZN &amp; CHILL'!C3488,"AAAAAHH/W6E=")</f>
        <v>#VALUE!</v>
      </c>
      <c r="FG394" t="e">
        <f>AND('STERLING CATALOG - FZN &amp; CHILL'!D3488,"AAAAAHH/W6I=")</f>
        <v>#VALUE!</v>
      </c>
      <c r="FH394" t="e">
        <f>AND('STERLING CATALOG - FZN &amp; CHILL'!E3488,"AAAAAHH/W6M=")</f>
        <v>#VALUE!</v>
      </c>
      <c r="FI394" t="e">
        <f>AND('STERLING CATALOG - FZN &amp; CHILL'!F3488,"AAAAAHH/W6Q=")</f>
        <v>#VALUE!</v>
      </c>
      <c r="FJ394" t="e">
        <f>AND('STERLING CATALOG - FZN &amp; CHILL'!G3488,"AAAAAHH/W6U=")</f>
        <v>#VALUE!</v>
      </c>
      <c r="FK394" t="e">
        <f>AND('STERLING CATALOG - FZN &amp; CHILL'!H3488,"AAAAAHH/W6Y=")</f>
        <v>#VALUE!</v>
      </c>
      <c r="FL394" t="e">
        <f>AND('STERLING CATALOG - FZN &amp; CHILL'!I3488,"AAAAAHH/W6c=")</f>
        <v>#VALUE!</v>
      </c>
      <c r="FM394" t="e">
        <f>AND('STERLING CATALOG - FZN &amp; CHILL'!J3488,"AAAAAHH/W6g=")</f>
        <v>#VALUE!</v>
      </c>
      <c r="FN394">
        <f>IF('STERLING CATALOG - FZN &amp; CHILL'!3489:3489,"AAAAAHH/W6k=",0)</f>
        <v>0</v>
      </c>
      <c r="FO394" t="e">
        <f>AND('STERLING CATALOG - FZN &amp; CHILL'!A3489,"AAAAAHH/W6o=")</f>
        <v>#VALUE!</v>
      </c>
      <c r="FP394" t="e">
        <f>AND('STERLING CATALOG - FZN &amp; CHILL'!B3489,"AAAAAHH/W6s=")</f>
        <v>#VALUE!</v>
      </c>
      <c r="FQ394" t="e">
        <f>AND('STERLING CATALOG - FZN &amp; CHILL'!C3489,"AAAAAHH/W6w=")</f>
        <v>#VALUE!</v>
      </c>
      <c r="FR394" t="e">
        <f>AND('STERLING CATALOG - FZN &amp; CHILL'!D3489,"AAAAAHH/W60=")</f>
        <v>#VALUE!</v>
      </c>
      <c r="FS394" t="e">
        <f>AND('STERLING CATALOG - FZN &amp; CHILL'!E3489,"AAAAAHH/W64=")</f>
        <v>#VALUE!</v>
      </c>
      <c r="FT394" t="e">
        <f>AND('STERLING CATALOG - FZN &amp; CHILL'!F3489,"AAAAAHH/W68=")</f>
        <v>#VALUE!</v>
      </c>
      <c r="FU394" t="e">
        <f>AND('STERLING CATALOG - FZN &amp; CHILL'!G3489,"AAAAAHH/W7A=")</f>
        <v>#VALUE!</v>
      </c>
      <c r="FV394" t="e">
        <f>AND('STERLING CATALOG - FZN &amp; CHILL'!H3489,"AAAAAHH/W7E=")</f>
        <v>#VALUE!</v>
      </c>
      <c r="FW394" t="e">
        <f>AND('STERLING CATALOG - FZN &amp; CHILL'!I3489,"AAAAAHH/W7I=")</f>
        <v>#VALUE!</v>
      </c>
      <c r="FX394" t="e">
        <f>AND('STERLING CATALOG - FZN &amp; CHILL'!J3489,"AAAAAHH/W7M=")</f>
        <v>#VALUE!</v>
      </c>
      <c r="FY394">
        <f>IF('STERLING CATALOG - FZN &amp; CHILL'!3490:3490,"AAAAAHH/W7Q=",0)</f>
        <v>0</v>
      </c>
      <c r="FZ394" t="e">
        <f>AND('STERLING CATALOG - FZN &amp; CHILL'!A3490,"AAAAAHH/W7U=")</f>
        <v>#VALUE!</v>
      </c>
      <c r="GA394" t="e">
        <f>AND('STERLING CATALOG - FZN &amp; CHILL'!B3490,"AAAAAHH/W7Y=")</f>
        <v>#VALUE!</v>
      </c>
      <c r="GB394" t="e">
        <f>AND('STERLING CATALOG - FZN &amp; CHILL'!C3490,"AAAAAHH/W7c=")</f>
        <v>#VALUE!</v>
      </c>
      <c r="GC394" t="e">
        <f>AND('STERLING CATALOG - FZN &amp; CHILL'!D3490,"AAAAAHH/W7g=")</f>
        <v>#VALUE!</v>
      </c>
      <c r="GD394" t="e">
        <f>AND('STERLING CATALOG - FZN &amp; CHILL'!E3490,"AAAAAHH/W7k=")</f>
        <v>#VALUE!</v>
      </c>
      <c r="GE394" t="e">
        <f>AND('STERLING CATALOG - FZN &amp; CHILL'!F3490,"AAAAAHH/W7o=")</f>
        <v>#VALUE!</v>
      </c>
      <c r="GF394" t="e">
        <f>AND('STERLING CATALOG - FZN &amp; CHILL'!G3490,"AAAAAHH/W7s=")</f>
        <v>#VALUE!</v>
      </c>
      <c r="GG394" t="e">
        <f>AND('STERLING CATALOG - FZN &amp; CHILL'!H3490,"AAAAAHH/W7w=")</f>
        <v>#VALUE!</v>
      </c>
      <c r="GH394" t="e">
        <f>AND('STERLING CATALOG - FZN &amp; CHILL'!I3490,"AAAAAHH/W70=")</f>
        <v>#VALUE!</v>
      </c>
      <c r="GI394" t="e">
        <f>AND('STERLING CATALOG - FZN &amp; CHILL'!J3490,"AAAAAHH/W74=")</f>
        <v>#VALUE!</v>
      </c>
      <c r="GJ394">
        <f>IF('STERLING CATALOG - FZN &amp; CHILL'!3491:3491,"AAAAAHH/W78=",0)</f>
        <v>0</v>
      </c>
      <c r="GK394" t="e">
        <f>AND('STERLING CATALOG - FZN &amp; CHILL'!A3491,"AAAAAHH/W8A=")</f>
        <v>#VALUE!</v>
      </c>
      <c r="GL394" t="e">
        <f>AND('STERLING CATALOG - FZN &amp; CHILL'!B3491,"AAAAAHH/W8E=")</f>
        <v>#VALUE!</v>
      </c>
      <c r="GM394" t="e">
        <f>AND('STERLING CATALOG - FZN &amp; CHILL'!C3491,"AAAAAHH/W8I=")</f>
        <v>#VALUE!</v>
      </c>
      <c r="GN394" t="e">
        <f>AND('STERLING CATALOG - FZN &amp; CHILL'!D3491,"AAAAAHH/W8M=")</f>
        <v>#VALUE!</v>
      </c>
      <c r="GO394" t="e">
        <f>AND('STERLING CATALOG - FZN &amp; CHILL'!E3491,"AAAAAHH/W8Q=")</f>
        <v>#VALUE!</v>
      </c>
      <c r="GP394" t="e">
        <f>AND('STERLING CATALOG - FZN &amp; CHILL'!F3491,"AAAAAHH/W8U=")</f>
        <v>#VALUE!</v>
      </c>
      <c r="GQ394" t="e">
        <f>AND('STERLING CATALOG - FZN &amp; CHILL'!G3491,"AAAAAHH/W8Y=")</f>
        <v>#VALUE!</v>
      </c>
      <c r="GR394" t="e">
        <f>AND('STERLING CATALOG - FZN &amp; CHILL'!H3491,"AAAAAHH/W8c=")</f>
        <v>#VALUE!</v>
      </c>
      <c r="GS394" t="e">
        <f>AND('STERLING CATALOG - FZN &amp; CHILL'!I3491,"AAAAAHH/W8g=")</f>
        <v>#VALUE!</v>
      </c>
      <c r="GT394" t="e">
        <f>AND('STERLING CATALOG - FZN &amp; CHILL'!J3491,"AAAAAHH/W8k=")</f>
        <v>#VALUE!</v>
      </c>
      <c r="GU394">
        <f>IF('STERLING CATALOG - FZN &amp; CHILL'!3492:3492,"AAAAAHH/W8o=",0)</f>
        <v>0</v>
      </c>
      <c r="GV394" t="e">
        <f>AND('STERLING CATALOG - FZN &amp; CHILL'!A3492,"AAAAAHH/W8s=")</f>
        <v>#VALUE!</v>
      </c>
      <c r="GW394" t="e">
        <f>AND('STERLING CATALOG - FZN &amp; CHILL'!B3492,"AAAAAHH/W8w=")</f>
        <v>#VALUE!</v>
      </c>
      <c r="GX394" t="e">
        <f>AND('STERLING CATALOG - FZN &amp; CHILL'!C3492,"AAAAAHH/W80=")</f>
        <v>#VALUE!</v>
      </c>
      <c r="GY394" t="e">
        <f>AND('STERLING CATALOG - FZN &amp; CHILL'!D3492,"AAAAAHH/W84=")</f>
        <v>#VALUE!</v>
      </c>
      <c r="GZ394" t="e">
        <f>AND('STERLING CATALOG - FZN &amp; CHILL'!E3492,"AAAAAHH/W88=")</f>
        <v>#VALUE!</v>
      </c>
      <c r="HA394" t="e">
        <f>AND('STERLING CATALOG - FZN &amp; CHILL'!F3492,"AAAAAHH/W9A=")</f>
        <v>#VALUE!</v>
      </c>
      <c r="HB394" t="e">
        <f>AND('STERLING CATALOG - FZN &amp; CHILL'!G3492,"AAAAAHH/W9E=")</f>
        <v>#VALUE!</v>
      </c>
      <c r="HC394" t="e">
        <f>AND('STERLING CATALOG - FZN &amp; CHILL'!H3492,"AAAAAHH/W9I=")</f>
        <v>#VALUE!</v>
      </c>
      <c r="HD394" t="e">
        <f>AND('STERLING CATALOG - FZN &amp; CHILL'!I3492,"AAAAAHH/W9M=")</f>
        <v>#VALUE!</v>
      </c>
      <c r="HE394" t="e">
        <f>AND('STERLING CATALOG - FZN &amp; CHILL'!J3492,"AAAAAHH/W9Q=")</f>
        <v>#VALUE!</v>
      </c>
      <c r="HF394">
        <f>IF('STERLING CATALOG - FZN &amp; CHILL'!3493:3493,"AAAAAHH/W9U=",0)</f>
        <v>0</v>
      </c>
      <c r="HG394" t="e">
        <f>AND('STERLING CATALOG - FZN &amp; CHILL'!A3493,"AAAAAHH/W9Y=")</f>
        <v>#VALUE!</v>
      </c>
      <c r="HH394" t="e">
        <f>AND('STERLING CATALOG - FZN &amp; CHILL'!B3493,"AAAAAHH/W9c=")</f>
        <v>#VALUE!</v>
      </c>
      <c r="HI394" t="e">
        <f>AND('STERLING CATALOG - FZN &amp; CHILL'!C3493,"AAAAAHH/W9g=")</f>
        <v>#VALUE!</v>
      </c>
      <c r="HJ394" t="e">
        <f>AND('STERLING CATALOG - FZN &amp; CHILL'!D3493,"AAAAAHH/W9k=")</f>
        <v>#VALUE!</v>
      </c>
      <c r="HK394" t="e">
        <f>AND('STERLING CATALOG - FZN &amp; CHILL'!E3493,"AAAAAHH/W9o=")</f>
        <v>#VALUE!</v>
      </c>
      <c r="HL394" t="e">
        <f>AND('STERLING CATALOG - FZN &amp; CHILL'!F3493,"AAAAAHH/W9s=")</f>
        <v>#VALUE!</v>
      </c>
      <c r="HM394" t="e">
        <f>AND('STERLING CATALOG - FZN &amp; CHILL'!G3493,"AAAAAHH/W9w=")</f>
        <v>#VALUE!</v>
      </c>
      <c r="HN394" t="e">
        <f>AND('STERLING CATALOG - FZN &amp; CHILL'!H3493,"AAAAAHH/W90=")</f>
        <v>#VALUE!</v>
      </c>
      <c r="HO394" t="e">
        <f>AND('STERLING CATALOG - FZN &amp; CHILL'!I3493,"AAAAAHH/W94=")</f>
        <v>#VALUE!</v>
      </c>
      <c r="HP394" t="e">
        <f>AND('STERLING CATALOG - FZN &amp; CHILL'!J3493,"AAAAAHH/W98=")</f>
        <v>#VALUE!</v>
      </c>
      <c r="HQ394">
        <f>IF('STERLING CATALOG - FZN &amp; CHILL'!3494:3494,"AAAAAHH/W+A=",0)</f>
        <v>0</v>
      </c>
      <c r="HR394" t="e">
        <f>AND('STERLING CATALOG - FZN &amp; CHILL'!A3494,"AAAAAHH/W+E=")</f>
        <v>#VALUE!</v>
      </c>
      <c r="HS394" t="e">
        <f>AND('STERLING CATALOG - FZN &amp; CHILL'!B3494,"AAAAAHH/W+I=")</f>
        <v>#VALUE!</v>
      </c>
      <c r="HT394" t="e">
        <f>AND('STERLING CATALOG - FZN &amp; CHILL'!C3494,"AAAAAHH/W+M=")</f>
        <v>#VALUE!</v>
      </c>
      <c r="HU394" t="e">
        <f>AND('STERLING CATALOG - FZN &amp; CHILL'!D3494,"AAAAAHH/W+Q=")</f>
        <v>#VALUE!</v>
      </c>
      <c r="HV394" t="e">
        <f>AND('STERLING CATALOG - FZN &amp; CHILL'!E3494,"AAAAAHH/W+U=")</f>
        <v>#VALUE!</v>
      </c>
      <c r="HW394" t="e">
        <f>AND('STERLING CATALOG - FZN &amp; CHILL'!F3494,"AAAAAHH/W+Y=")</f>
        <v>#VALUE!</v>
      </c>
      <c r="HX394" t="e">
        <f>AND('STERLING CATALOG - FZN &amp; CHILL'!G3494,"AAAAAHH/W+c=")</f>
        <v>#VALUE!</v>
      </c>
      <c r="HY394" t="e">
        <f>AND('STERLING CATALOG - FZN &amp; CHILL'!H3494,"AAAAAHH/W+g=")</f>
        <v>#VALUE!</v>
      </c>
      <c r="HZ394" t="e">
        <f>AND('STERLING CATALOG - FZN &amp; CHILL'!I3494,"AAAAAHH/W+k=")</f>
        <v>#VALUE!</v>
      </c>
      <c r="IA394" t="e">
        <f>AND('STERLING CATALOG - FZN &amp; CHILL'!J3494,"AAAAAHH/W+o=")</f>
        <v>#VALUE!</v>
      </c>
      <c r="IB394">
        <f>IF('STERLING CATALOG - FZN &amp; CHILL'!3495:3495,"AAAAAHH/W+s=",0)</f>
        <v>0</v>
      </c>
      <c r="IC394" t="e">
        <f>AND('STERLING CATALOG - FZN &amp; CHILL'!A3495,"AAAAAHH/W+w=")</f>
        <v>#VALUE!</v>
      </c>
      <c r="ID394" t="e">
        <f>AND('STERLING CATALOG - FZN &amp; CHILL'!B3495,"AAAAAHH/W+0=")</f>
        <v>#VALUE!</v>
      </c>
      <c r="IE394" t="e">
        <f>AND('STERLING CATALOG - FZN &amp; CHILL'!C3495,"AAAAAHH/W+4=")</f>
        <v>#VALUE!</v>
      </c>
      <c r="IF394" t="e">
        <f>AND('STERLING CATALOG - FZN &amp; CHILL'!D3495,"AAAAAHH/W+8=")</f>
        <v>#VALUE!</v>
      </c>
      <c r="IG394" t="e">
        <f>AND('STERLING CATALOG - FZN &amp; CHILL'!E3495,"AAAAAHH/W/A=")</f>
        <v>#VALUE!</v>
      </c>
      <c r="IH394" t="e">
        <f>AND('STERLING CATALOG - FZN &amp; CHILL'!F3495,"AAAAAHH/W/E=")</f>
        <v>#VALUE!</v>
      </c>
      <c r="II394" t="e">
        <f>AND('STERLING CATALOG - FZN &amp; CHILL'!G3495,"AAAAAHH/W/I=")</f>
        <v>#VALUE!</v>
      </c>
      <c r="IJ394" t="e">
        <f>AND('STERLING CATALOG - FZN &amp; CHILL'!H3495,"AAAAAHH/W/M=")</f>
        <v>#VALUE!</v>
      </c>
      <c r="IK394" t="e">
        <f>AND('STERLING CATALOG - FZN &amp; CHILL'!I3495,"AAAAAHH/W/Q=")</f>
        <v>#VALUE!</v>
      </c>
      <c r="IL394" t="e">
        <f>AND('STERLING CATALOG - FZN &amp; CHILL'!J3495,"AAAAAHH/W/U=")</f>
        <v>#VALUE!</v>
      </c>
      <c r="IM394">
        <f>IF('STERLING CATALOG - FZN &amp; CHILL'!3496:3496,"AAAAAHH/W/Y=",0)</f>
        <v>0</v>
      </c>
      <c r="IN394" t="e">
        <f>AND('STERLING CATALOG - FZN &amp; CHILL'!A3496,"AAAAAHH/W/c=")</f>
        <v>#VALUE!</v>
      </c>
      <c r="IO394" t="e">
        <f>AND('STERLING CATALOG - FZN &amp; CHILL'!B3496,"AAAAAHH/W/g=")</f>
        <v>#VALUE!</v>
      </c>
      <c r="IP394" t="e">
        <f>AND('STERLING CATALOG - FZN &amp; CHILL'!C3496,"AAAAAHH/W/k=")</f>
        <v>#VALUE!</v>
      </c>
      <c r="IQ394" t="e">
        <f>AND('STERLING CATALOG - FZN &amp; CHILL'!D3496,"AAAAAHH/W/o=")</f>
        <v>#VALUE!</v>
      </c>
      <c r="IR394" t="e">
        <f>AND('STERLING CATALOG - FZN &amp; CHILL'!E3496,"AAAAAHH/W/s=")</f>
        <v>#VALUE!</v>
      </c>
      <c r="IS394" t="e">
        <f>AND('STERLING CATALOG - FZN &amp; CHILL'!F3496,"AAAAAHH/W/w=")</f>
        <v>#VALUE!</v>
      </c>
      <c r="IT394" t="e">
        <f>AND('STERLING CATALOG - FZN &amp; CHILL'!G3496,"AAAAAHH/W/0=")</f>
        <v>#VALUE!</v>
      </c>
      <c r="IU394" t="e">
        <f>AND('STERLING CATALOG - FZN &amp; CHILL'!H3496,"AAAAAHH/W/4=")</f>
        <v>#VALUE!</v>
      </c>
      <c r="IV394" t="e">
        <f>AND('STERLING CATALOG - FZN &amp; CHILL'!I3496,"AAAAAHH/W/8=")</f>
        <v>#VALUE!</v>
      </c>
    </row>
    <row r="395" spans="1:256">
      <c r="A395" t="e">
        <f>AND('STERLING CATALOG - FZN &amp; CHILL'!J3496,"AAAAAHz2KQA=")</f>
        <v>#VALUE!</v>
      </c>
      <c r="B395">
        <f>IF('STERLING CATALOG - FZN &amp; CHILL'!3497:3497,"AAAAAHz2KQE=",0)</f>
        <v>0</v>
      </c>
      <c r="C395" t="e">
        <f>AND('STERLING CATALOG - FZN &amp; CHILL'!A3497,"AAAAAHz2KQI=")</f>
        <v>#VALUE!</v>
      </c>
      <c r="D395" t="e">
        <f>AND('STERLING CATALOG - FZN &amp; CHILL'!B3497,"AAAAAHz2KQM=")</f>
        <v>#VALUE!</v>
      </c>
      <c r="E395" t="e">
        <f>AND('STERLING CATALOG - FZN &amp; CHILL'!C3497,"AAAAAHz2KQQ=")</f>
        <v>#VALUE!</v>
      </c>
      <c r="F395" t="e">
        <f>AND('STERLING CATALOG - FZN &amp; CHILL'!D3497,"AAAAAHz2KQU=")</f>
        <v>#VALUE!</v>
      </c>
      <c r="G395" t="e">
        <f>AND('STERLING CATALOG - FZN &amp; CHILL'!E3497,"AAAAAHz2KQY=")</f>
        <v>#VALUE!</v>
      </c>
      <c r="H395" t="e">
        <f>AND('STERLING CATALOG - FZN &amp; CHILL'!F3497,"AAAAAHz2KQc=")</f>
        <v>#VALUE!</v>
      </c>
      <c r="I395" t="e">
        <f>AND('STERLING CATALOG - FZN &amp; CHILL'!G3497,"AAAAAHz2KQg=")</f>
        <v>#VALUE!</v>
      </c>
      <c r="J395" t="e">
        <f>AND('STERLING CATALOG - FZN &amp; CHILL'!H3497,"AAAAAHz2KQk=")</f>
        <v>#VALUE!</v>
      </c>
      <c r="K395" t="e">
        <f>AND('STERLING CATALOG - FZN &amp; CHILL'!I3497,"AAAAAHz2KQo=")</f>
        <v>#VALUE!</v>
      </c>
      <c r="L395" t="e">
        <f>AND('STERLING CATALOG - FZN &amp; CHILL'!J3497,"AAAAAHz2KQs=")</f>
        <v>#VALUE!</v>
      </c>
      <c r="M395">
        <f>IF('STERLING CATALOG - FZN &amp; CHILL'!3498:3498,"AAAAAHz2KQw=",0)</f>
        <v>0</v>
      </c>
      <c r="N395" t="e">
        <f>AND('STERLING CATALOG - FZN &amp; CHILL'!A3498,"AAAAAHz2KQ0=")</f>
        <v>#VALUE!</v>
      </c>
      <c r="O395" t="e">
        <f>AND('STERLING CATALOG - FZN &amp; CHILL'!B3498,"AAAAAHz2KQ4=")</f>
        <v>#VALUE!</v>
      </c>
      <c r="P395" t="e">
        <f>AND('STERLING CATALOG - FZN &amp; CHILL'!C3498,"AAAAAHz2KQ8=")</f>
        <v>#VALUE!</v>
      </c>
      <c r="Q395" t="e">
        <f>AND('STERLING CATALOG - FZN &amp; CHILL'!D3498,"AAAAAHz2KRA=")</f>
        <v>#VALUE!</v>
      </c>
      <c r="R395" t="e">
        <f>AND('STERLING CATALOG - FZN &amp; CHILL'!E3498,"AAAAAHz2KRE=")</f>
        <v>#VALUE!</v>
      </c>
      <c r="S395" t="e">
        <f>AND('STERLING CATALOG - FZN &amp; CHILL'!F3498,"AAAAAHz2KRI=")</f>
        <v>#VALUE!</v>
      </c>
      <c r="T395" t="e">
        <f>AND('STERLING CATALOG - FZN &amp; CHILL'!G3498,"AAAAAHz2KRM=")</f>
        <v>#VALUE!</v>
      </c>
      <c r="U395" t="e">
        <f>AND('STERLING CATALOG - FZN &amp; CHILL'!H3498,"AAAAAHz2KRQ=")</f>
        <v>#VALUE!</v>
      </c>
      <c r="V395" t="e">
        <f>AND('STERLING CATALOG - FZN &amp; CHILL'!I3498,"AAAAAHz2KRU=")</f>
        <v>#VALUE!</v>
      </c>
      <c r="W395" t="e">
        <f>AND('STERLING CATALOG - FZN &amp; CHILL'!J3498,"AAAAAHz2KRY=")</f>
        <v>#VALUE!</v>
      </c>
      <c r="X395">
        <f>IF('STERLING CATALOG - FZN &amp; CHILL'!3499:3499,"AAAAAHz2KRc=",0)</f>
        <v>0</v>
      </c>
      <c r="Y395" t="e">
        <f>AND('STERLING CATALOG - FZN &amp; CHILL'!A3499,"AAAAAHz2KRg=")</f>
        <v>#VALUE!</v>
      </c>
      <c r="Z395" t="e">
        <f>AND('STERLING CATALOG - FZN &amp; CHILL'!B3499,"AAAAAHz2KRk=")</f>
        <v>#VALUE!</v>
      </c>
      <c r="AA395" t="e">
        <f>AND('STERLING CATALOG - FZN &amp; CHILL'!C3499,"AAAAAHz2KRo=")</f>
        <v>#VALUE!</v>
      </c>
      <c r="AB395" t="e">
        <f>AND('STERLING CATALOG - FZN &amp; CHILL'!D3499,"AAAAAHz2KRs=")</f>
        <v>#VALUE!</v>
      </c>
      <c r="AC395" t="e">
        <f>AND('STERLING CATALOG - FZN &amp; CHILL'!E3499,"AAAAAHz2KRw=")</f>
        <v>#VALUE!</v>
      </c>
      <c r="AD395" t="e">
        <f>AND('STERLING CATALOG - FZN &amp; CHILL'!F3499,"AAAAAHz2KR0=")</f>
        <v>#VALUE!</v>
      </c>
      <c r="AE395" t="e">
        <f>AND('STERLING CATALOG - FZN &amp; CHILL'!G3499,"AAAAAHz2KR4=")</f>
        <v>#VALUE!</v>
      </c>
      <c r="AF395" t="e">
        <f>AND('STERLING CATALOG - FZN &amp; CHILL'!H3499,"AAAAAHz2KR8=")</f>
        <v>#VALUE!</v>
      </c>
      <c r="AG395" t="e">
        <f>AND('STERLING CATALOG - FZN &amp; CHILL'!I3499,"AAAAAHz2KSA=")</f>
        <v>#VALUE!</v>
      </c>
      <c r="AH395" t="e">
        <f>AND('STERLING CATALOG - FZN &amp; CHILL'!J3499,"AAAAAHz2KSE=")</f>
        <v>#VALUE!</v>
      </c>
      <c r="AI395">
        <f>IF('STERLING CATALOG - FZN &amp; CHILL'!3500:3500,"AAAAAHz2KSI=",0)</f>
        <v>0</v>
      </c>
      <c r="AJ395" t="e">
        <f>AND('STERLING CATALOG - FZN &amp; CHILL'!A3500,"AAAAAHz2KSM=")</f>
        <v>#VALUE!</v>
      </c>
      <c r="AK395" t="e">
        <f>AND('STERLING CATALOG - FZN &amp; CHILL'!B3500,"AAAAAHz2KSQ=")</f>
        <v>#VALUE!</v>
      </c>
      <c r="AL395" t="e">
        <f>AND('STERLING CATALOG - FZN &amp; CHILL'!C3500,"AAAAAHz2KSU=")</f>
        <v>#VALUE!</v>
      </c>
      <c r="AM395" t="e">
        <f>AND('STERLING CATALOG - FZN &amp; CHILL'!D3500,"AAAAAHz2KSY=")</f>
        <v>#VALUE!</v>
      </c>
      <c r="AN395" t="e">
        <f>AND('STERLING CATALOG - FZN &amp; CHILL'!E3500,"AAAAAHz2KSc=")</f>
        <v>#VALUE!</v>
      </c>
      <c r="AO395" t="e">
        <f>AND('STERLING CATALOG - FZN &amp; CHILL'!F3500,"AAAAAHz2KSg=")</f>
        <v>#VALUE!</v>
      </c>
      <c r="AP395" t="e">
        <f>AND('STERLING CATALOG - FZN &amp; CHILL'!G3500,"AAAAAHz2KSk=")</f>
        <v>#VALUE!</v>
      </c>
      <c r="AQ395" t="e">
        <f>AND('STERLING CATALOG - FZN &amp; CHILL'!H3500,"AAAAAHz2KSo=")</f>
        <v>#VALUE!</v>
      </c>
      <c r="AR395" t="e">
        <f>AND('STERLING CATALOG - FZN &amp; CHILL'!I3500,"AAAAAHz2KSs=")</f>
        <v>#VALUE!</v>
      </c>
      <c r="AS395" t="e">
        <f>AND('STERLING CATALOG - FZN &amp; CHILL'!J3500,"AAAAAHz2KSw=")</f>
        <v>#VALUE!</v>
      </c>
      <c r="AT395">
        <f>IF('STERLING CATALOG - FZN &amp; CHILL'!3501:3501,"AAAAAHz2KS0=",0)</f>
        <v>0</v>
      </c>
      <c r="AU395" t="e">
        <f>AND('STERLING CATALOG - FZN &amp; CHILL'!A3501,"AAAAAHz2KS4=")</f>
        <v>#VALUE!</v>
      </c>
      <c r="AV395" t="e">
        <f>AND('STERLING CATALOG - FZN &amp; CHILL'!B3501,"AAAAAHz2KS8=")</f>
        <v>#VALUE!</v>
      </c>
      <c r="AW395" t="e">
        <f>AND('STERLING CATALOG - FZN &amp; CHILL'!C3501,"AAAAAHz2KTA=")</f>
        <v>#VALUE!</v>
      </c>
      <c r="AX395" t="e">
        <f>AND('STERLING CATALOG - FZN &amp; CHILL'!D3501,"AAAAAHz2KTE=")</f>
        <v>#VALUE!</v>
      </c>
      <c r="AY395" t="e">
        <f>AND('STERLING CATALOG - FZN &amp; CHILL'!E3501,"AAAAAHz2KTI=")</f>
        <v>#VALUE!</v>
      </c>
      <c r="AZ395" t="e">
        <f>AND('STERLING CATALOG - FZN &amp; CHILL'!F3501,"AAAAAHz2KTM=")</f>
        <v>#VALUE!</v>
      </c>
      <c r="BA395" t="e">
        <f>AND('STERLING CATALOG - FZN &amp; CHILL'!G3501,"AAAAAHz2KTQ=")</f>
        <v>#VALUE!</v>
      </c>
      <c r="BB395" t="e">
        <f>AND('STERLING CATALOG - FZN &amp; CHILL'!H3501,"AAAAAHz2KTU=")</f>
        <v>#VALUE!</v>
      </c>
      <c r="BC395" t="e">
        <f>AND('STERLING CATALOG - FZN &amp; CHILL'!I3501,"AAAAAHz2KTY=")</f>
        <v>#VALUE!</v>
      </c>
      <c r="BD395" t="e">
        <f>AND('STERLING CATALOG - FZN &amp; CHILL'!J3501,"AAAAAHz2KTc=")</f>
        <v>#VALUE!</v>
      </c>
      <c r="BE395">
        <f>IF('STERLING CATALOG - FZN &amp; CHILL'!3502:3502,"AAAAAHz2KTg=",0)</f>
        <v>0</v>
      </c>
      <c r="BF395" t="e">
        <f>AND('STERLING CATALOG - FZN &amp; CHILL'!A3502,"AAAAAHz2KTk=")</f>
        <v>#VALUE!</v>
      </c>
      <c r="BG395" t="e">
        <f>AND('STERLING CATALOG - FZN &amp; CHILL'!B3502,"AAAAAHz2KTo=")</f>
        <v>#VALUE!</v>
      </c>
      <c r="BH395" t="e">
        <f>AND('STERLING CATALOG - FZN &amp; CHILL'!C3502,"AAAAAHz2KTs=")</f>
        <v>#VALUE!</v>
      </c>
      <c r="BI395" t="e">
        <f>AND('STERLING CATALOG - FZN &amp; CHILL'!D3502,"AAAAAHz2KTw=")</f>
        <v>#VALUE!</v>
      </c>
      <c r="BJ395" t="e">
        <f>AND('STERLING CATALOG - FZN &amp; CHILL'!E3502,"AAAAAHz2KT0=")</f>
        <v>#VALUE!</v>
      </c>
      <c r="BK395" t="e">
        <f>AND('STERLING CATALOG - FZN &amp; CHILL'!F3502,"AAAAAHz2KT4=")</f>
        <v>#VALUE!</v>
      </c>
      <c r="BL395" t="e">
        <f>AND('STERLING CATALOG - FZN &amp; CHILL'!G3502,"AAAAAHz2KT8=")</f>
        <v>#VALUE!</v>
      </c>
      <c r="BM395" t="e">
        <f>AND('STERLING CATALOG - FZN &amp; CHILL'!H3502,"AAAAAHz2KUA=")</f>
        <v>#VALUE!</v>
      </c>
      <c r="BN395" t="e">
        <f>AND('STERLING CATALOG - FZN &amp; CHILL'!I3502,"AAAAAHz2KUE=")</f>
        <v>#VALUE!</v>
      </c>
      <c r="BO395" t="e">
        <f>AND('STERLING CATALOG - FZN &amp; CHILL'!J3502,"AAAAAHz2KUI=")</f>
        <v>#VALUE!</v>
      </c>
      <c r="BP395">
        <f>IF('STERLING CATALOG - FZN &amp; CHILL'!3503:3503,"AAAAAHz2KUM=",0)</f>
        <v>0</v>
      </c>
      <c r="BQ395" t="e">
        <f>AND('STERLING CATALOG - FZN &amp; CHILL'!A3503,"AAAAAHz2KUQ=")</f>
        <v>#VALUE!</v>
      </c>
      <c r="BR395" t="e">
        <f>AND('STERLING CATALOG - FZN &amp; CHILL'!B3503,"AAAAAHz2KUU=")</f>
        <v>#VALUE!</v>
      </c>
      <c r="BS395" t="e">
        <f>AND('STERLING CATALOG - FZN &amp; CHILL'!C3503,"AAAAAHz2KUY=")</f>
        <v>#VALUE!</v>
      </c>
      <c r="BT395" t="e">
        <f>AND('STERLING CATALOG - FZN &amp; CHILL'!D3503,"AAAAAHz2KUc=")</f>
        <v>#VALUE!</v>
      </c>
      <c r="BU395" t="e">
        <f>AND('STERLING CATALOG - FZN &amp; CHILL'!E3503,"AAAAAHz2KUg=")</f>
        <v>#VALUE!</v>
      </c>
      <c r="BV395" t="e">
        <f>AND('STERLING CATALOG - FZN &amp; CHILL'!F3503,"AAAAAHz2KUk=")</f>
        <v>#VALUE!</v>
      </c>
      <c r="BW395" t="e">
        <f>AND('STERLING CATALOG - FZN &amp; CHILL'!G3503,"AAAAAHz2KUo=")</f>
        <v>#VALUE!</v>
      </c>
      <c r="BX395" t="e">
        <f>AND('STERLING CATALOG - FZN &amp; CHILL'!H3503,"AAAAAHz2KUs=")</f>
        <v>#VALUE!</v>
      </c>
      <c r="BY395" t="e">
        <f>AND('STERLING CATALOG - FZN &amp; CHILL'!I3503,"AAAAAHz2KUw=")</f>
        <v>#VALUE!</v>
      </c>
      <c r="BZ395" t="e">
        <f>AND('STERLING CATALOG - FZN &amp; CHILL'!J3503,"AAAAAHz2KU0=")</f>
        <v>#VALUE!</v>
      </c>
      <c r="CA395">
        <f>IF('STERLING CATALOG - FZN &amp; CHILL'!3504:3504,"AAAAAHz2KU4=",0)</f>
        <v>0</v>
      </c>
      <c r="CB395" t="e">
        <f>AND('STERLING CATALOG - FZN &amp; CHILL'!A3504,"AAAAAHz2KU8=")</f>
        <v>#VALUE!</v>
      </c>
      <c r="CC395" t="e">
        <f>AND('STERLING CATALOG - FZN &amp; CHILL'!B3504,"AAAAAHz2KVA=")</f>
        <v>#VALUE!</v>
      </c>
      <c r="CD395" t="e">
        <f>AND('STERLING CATALOG - FZN &amp; CHILL'!C3504,"AAAAAHz2KVE=")</f>
        <v>#VALUE!</v>
      </c>
      <c r="CE395" t="e">
        <f>AND('STERLING CATALOG - FZN &amp; CHILL'!D3504,"AAAAAHz2KVI=")</f>
        <v>#VALUE!</v>
      </c>
      <c r="CF395" t="e">
        <f>AND('STERLING CATALOG - FZN &amp; CHILL'!E3504,"AAAAAHz2KVM=")</f>
        <v>#VALUE!</v>
      </c>
      <c r="CG395" t="e">
        <f>AND('STERLING CATALOG - FZN &amp; CHILL'!F3504,"AAAAAHz2KVQ=")</f>
        <v>#VALUE!</v>
      </c>
      <c r="CH395" t="e">
        <f>AND('STERLING CATALOG - FZN &amp; CHILL'!G3504,"AAAAAHz2KVU=")</f>
        <v>#VALUE!</v>
      </c>
      <c r="CI395" t="e">
        <f>AND('STERLING CATALOG - FZN &amp; CHILL'!H3504,"AAAAAHz2KVY=")</f>
        <v>#VALUE!</v>
      </c>
      <c r="CJ395" t="e">
        <f>AND('STERLING CATALOG - FZN &amp; CHILL'!I3504,"AAAAAHz2KVc=")</f>
        <v>#VALUE!</v>
      </c>
      <c r="CK395" t="e">
        <f>AND('STERLING CATALOG - FZN &amp; CHILL'!J3504,"AAAAAHz2KVg=")</f>
        <v>#VALUE!</v>
      </c>
      <c r="CL395">
        <f>IF('STERLING CATALOG - FZN &amp; CHILL'!3505:3505,"AAAAAHz2KVk=",0)</f>
        <v>0</v>
      </c>
      <c r="CM395" t="e">
        <f>AND('STERLING CATALOG - FZN &amp; CHILL'!A3505,"AAAAAHz2KVo=")</f>
        <v>#VALUE!</v>
      </c>
      <c r="CN395" t="e">
        <f>AND('STERLING CATALOG - FZN &amp; CHILL'!B3505,"AAAAAHz2KVs=")</f>
        <v>#VALUE!</v>
      </c>
      <c r="CO395" t="e">
        <f>AND('STERLING CATALOG - FZN &amp; CHILL'!C3505,"AAAAAHz2KVw=")</f>
        <v>#VALUE!</v>
      </c>
      <c r="CP395" t="e">
        <f>AND('STERLING CATALOG - FZN &amp; CHILL'!D3505,"AAAAAHz2KV0=")</f>
        <v>#VALUE!</v>
      </c>
      <c r="CQ395" t="e">
        <f>AND('STERLING CATALOG - FZN &amp; CHILL'!E3505,"AAAAAHz2KV4=")</f>
        <v>#VALUE!</v>
      </c>
      <c r="CR395" t="e">
        <f>AND('STERLING CATALOG - FZN &amp; CHILL'!F3505,"AAAAAHz2KV8=")</f>
        <v>#VALUE!</v>
      </c>
      <c r="CS395" t="e">
        <f>AND('STERLING CATALOG - FZN &amp; CHILL'!G3505,"AAAAAHz2KWA=")</f>
        <v>#VALUE!</v>
      </c>
      <c r="CT395" t="e">
        <f>AND('STERLING CATALOG - FZN &amp; CHILL'!H3505,"AAAAAHz2KWE=")</f>
        <v>#VALUE!</v>
      </c>
      <c r="CU395" t="e">
        <f>AND('STERLING CATALOG - FZN &amp; CHILL'!I3505,"AAAAAHz2KWI=")</f>
        <v>#VALUE!</v>
      </c>
      <c r="CV395" t="e">
        <f>AND('STERLING CATALOG - FZN &amp; CHILL'!J3505,"AAAAAHz2KWM=")</f>
        <v>#VALUE!</v>
      </c>
      <c r="CW395">
        <f>IF('STERLING CATALOG - FZN &amp; CHILL'!3506:3506,"AAAAAHz2KWQ=",0)</f>
        <v>0</v>
      </c>
      <c r="CX395" t="e">
        <f>AND('STERLING CATALOG - FZN &amp; CHILL'!A3506,"AAAAAHz2KWU=")</f>
        <v>#VALUE!</v>
      </c>
      <c r="CY395" t="e">
        <f>AND('STERLING CATALOG - FZN &amp; CHILL'!B3506,"AAAAAHz2KWY=")</f>
        <v>#VALUE!</v>
      </c>
      <c r="CZ395" t="e">
        <f>AND('STERLING CATALOG - FZN &amp; CHILL'!C3506,"AAAAAHz2KWc=")</f>
        <v>#VALUE!</v>
      </c>
      <c r="DA395" t="e">
        <f>AND('STERLING CATALOG - FZN &amp; CHILL'!D3506,"AAAAAHz2KWg=")</f>
        <v>#VALUE!</v>
      </c>
      <c r="DB395" t="e">
        <f>AND('STERLING CATALOG - FZN &amp; CHILL'!E3506,"AAAAAHz2KWk=")</f>
        <v>#VALUE!</v>
      </c>
      <c r="DC395" t="e">
        <f>AND('STERLING CATALOG - FZN &amp; CHILL'!F3506,"AAAAAHz2KWo=")</f>
        <v>#VALUE!</v>
      </c>
      <c r="DD395" t="e">
        <f>AND('STERLING CATALOG - FZN &amp; CHILL'!G3506,"AAAAAHz2KWs=")</f>
        <v>#VALUE!</v>
      </c>
      <c r="DE395" t="e">
        <f>AND('STERLING CATALOG - FZN &amp; CHILL'!H3506,"AAAAAHz2KWw=")</f>
        <v>#VALUE!</v>
      </c>
      <c r="DF395" t="e">
        <f>AND('STERLING CATALOG - FZN &amp; CHILL'!I3506,"AAAAAHz2KW0=")</f>
        <v>#VALUE!</v>
      </c>
      <c r="DG395" t="e">
        <f>AND('STERLING CATALOG - FZN &amp; CHILL'!J3506,"AAAAAHz2KW4=")</f>
        <v>#VALUE!</v>
      </c>
      <c r="DH395">
        <f>IF('STERLING CATALOG - FZN &amp; CHILL'!3507:3507,"AAAAAHz2KW8=",0)</f>
        <v>0</v>
      </c>
      <c r="DI395" t="e">
        <f>AND('STERLING CATALOG - FZN &amp; CHILL'!A3507,"AAAAAHz2KXA=")</f>
        <v>#VALUE!</v>
      </c>
      <c r="DJ395" t="e">
        <f>AND('STERLING CATALOG - FZN &amp; CHILL'!B3507,"AAAAAHz2KXE=")</f>
        <v>#VALUE!</v>
      </c>
      <c r="DK395" t="e">
        <f>AND('STERLING CATALOG - FZN &amp; CHILL'!C3507,"AAAAAHz2KXI=")</f>
        <v>#VALUE!</v>
      </c>
      <c r="DL395" t="e">
        <f>AND('STERLING CATALOG - FZN &amp; CHILL'!D3507,"AAAAAHz2KXM=")</f>
        <v>#VALUE!</v>
      </c>
      <c r="DM395" t="e">
        <f>AND('STERLING CATALOG - FZN &amp; CHILL'!E3507,"AAAAAHz2KXQ=")</f>
        <v>#VALUE!</v>
      </c>
      <c r="DN395" t="e">
        <f>AND('STERLING CATALOG - FZN &amp; CHILL'!F3507,"AAAAAHz2KXU=")</f>
        <v>#VALUE!</v>
      </c>
      <c r="DO395" t="e">
        <f>AND('STERLING CATALOG - FZN &amp; CHILL'!G3507,"AAAAAHz2KXY=")</f>
        <v>#VALUE!</v>
      </c>
      <c r="DP395" t="e">
        <f>AND('STERLING CATALOG - FZN &amp; CHILL'!H3507,"AAAAAHz2KXc=")</f>
        <v>#VALUE!</v>
      </c>
      <c r="DQ395" t="e">
        <f>AND('STERLING CATALOG - FZN &amp; CHILL'!I3507,"AAAAAHz2KXg=")</f>
        <v>#VALUE!</v>
      </c>
      <c r="DR395" t="e">
        <f>AND('STERLING CATALOG - FZN &amp; CHILL'!J3507,"AAAAAHz2KXk=")</f>
        <v>#VALUE!</v>
      </c>
      <c r="DS395">
        <f>IF('STERLING CATALOG - FZN &amp; CHILL'!3508:3508,"AAAAAHz2KXo=",0)</f>
        <v>0</v>
      </c>
      <c r="DT395" t="e">
        <f>AND('STERLING CATALOG - FZN &amp; CHILL'!A3508,"AAAAAHz2KXs=")</f>
        <v>#VALUE!</v>
      </c>
      <c r="DU395" t="e">
        <f>AND('STERLING CATALOG - FZN &amp; CHILL'!B3508,"AAAAAHz2KXw=")</f>
        <v>#VALUE!</v>
      </c>
      <c r="DV395" t="e">
        <f>AND('STERLING CATALOG - FZN &amp; CHILL'!C3508,"AAAAAHz2KX0=")</f>
        <v>#VALUE!</v>
      </c>
      <c r="DW395" t="e">
        <f>AND('STERLING CATALOG - FZN &amp; CHILL'!D3508,"AAAAAHz2KX4=")</f>
        <v>#VALUE!</v>
      </c>
      <c r="DX395" t="e">
        <f>AND('STERLING CATALOG - FZN &amp; CHILL'!E3508,"AAAAAHz2KX8=")</f>
        <v>#VALUE!</v>
      </c>
      <c r="DY395" t="e">
        <f>AND('STERLING CATALOG - FZN &amp; CHILL'!F3508,"AAAAAHz2KYA=")</f>
        <v>#VALUE!</v>
      </c>
      <c r="DZ395" t="e">
        <f>AND('STERLING CATALOG - FZN &amp; CHILL'!G3508,"AAAAAHz2KYE=")</f>
        <v>#VALUE!</v>
      </c>
      <c r="EA395" t="e">
        <f>AND('STERLING CATALOG - FZN &amp; CHILL'!H3508,"AAAAAHz2KYI=")</f>
        <v>#VALUE!</v>
      </c>
      <c r="EB395" t="e">
        <f>AND('STERLING CATALOG - FZN &amp; CHILL'!I3508,"AAAAAHz2KYM=")</f>
        <v>#VALUE!</v>
      </c>
      <c r="EC395" t="e">
        <f>AND('STERLING CATALOG - FZN &amp; CHILL'!J3508,"AAAAAHz2KYQ=")</f>
        <v>#VALUE!</v>
      </c>
      <c r="ED395">
        <f>IF('STERLING CATALOG - FZN &amp; CHILL'!3509:3509,"AAAAAHz2KYU=",0)</f>
        <v>0</v>
      </c>
      <c r="EE395" t="e">
        <f>AND('STERLING CATALOG - FZN &amp; CHILL'!A3509,"AAAAAHz2KYY=")</f>
        <v>#VALUE!</v>
      </c>
      <c r="EF395" t="e">
        <f>AND('STERLING CATALOG - FZN &amp; CHILL'!B3509,"AAAAAHz2KYc=")</f>
        <v>#VALUE!</v>
      </c>
      <c r="EG395" t="e">
        <f>AND('STERLING CATALOG - FZN &amp; CHILL'!C3509,"AAAAAHz2KYg=")</f>
        <v>#VALUE!</v>
      </c>
      <c r="EH395" t="e">
        <f>AND('STERLING CATALOG - FZN &amp; CHILL'!D3509,"AAAAAHz2KYk=")</f>
        <v>#VALUE!</v>
      </c>
      <c r="EI395" t="e">
        <f>AND('STERLING CATALOG - FZN &amp; CHILL'!E3509,"AAAAAHz2KYo=")</f>
        <v>#VALUE!</v>
      </c>
      <c r="EJ395" t="e">
        <f>AND('STERLING CATALOG - FZN &amp; CHILL'!F3509,"AAAAAHz2KYs=")</f>
        <v>#VALUE!</v>
      </c>
      <c r="EK395" t="e">
        <f>AND('STERLING CATALOG - FZN &amp; CHILL'!G3509,"AAAAAHz2KYw=")</f>
        <v>#VALUE!</v>
      </c>
      <c r="EL395" t="e">
        <f>AND('STERLING CATALOG - FZN &amp; CHILL'!H3509,"AAAAAHz2KY0=")</f>
        <v>#VALUE!</v>
      </c>
      <c r="EM395" t="e">
        <f>AND('STERLING CATALOG - FZN &amp; CHILL'!I3509,"AAAAAHz2KY4=")</f>
        <v>#VALUE!</v>
      </c>
      <c r="EN395" t="e">
        <f>AND('STERLING CATALOG - FZN &amp; CHILL'!J3509,"AAAAAHz2KY8=")</f>
        <v>#VALUE!</v>
      </c>
      <c r="EO395">
        <f>IF('STERLING CATALOG - FZN &amp; CHILL'!3510:3510,"AAAAAHz2KZA=",0)</f>
        <v>0</v>
      </c>
      <c r="EP395" t="e">
        <f>AND('STERLING CATALOG - FZN &amp; CHILL'!A3510,"AAAAAHz2KZE=")</f>
        <v>#VALUE!</v>
      </c>
      <c r="EQ395" t="e">
        <f>AND('STERLING CATALOG - FZN &amp; CHILL'!B3510,"AAAAAHz2KZI=")</f>
        <v>#VALUE!</v>
      </c>
      <c r="ER395" t="e">
        <f>AND('STERLING CATALOG - FZN &amp; CHILL'!C3510,"AAAAAHz2KZM=")</f>
        <v>#VALUE!</v>
      </c>
      <c r="ES395" t="e">
        <f>AND('STERLING CATALOG - FZN &amp; CHILL'!D3510,"AAAAAHz2KZQ=")</f>
        <v>#VALUE!</v>
      </c>
      <c r="ET395" t="e">
        <f>AND('STERLING CATALOG - FZN &amp; CHILL'!E3510,"AAAAAHz2KZU=")</f>
        <v>#VALUE!</v>
      </c>
      <c r="EU395" t="e">
        <f>AND('STERLING CATALOG - FZN &amp; CHILL'!F3510,"AAAAAHz2KZY=")</f>
        <v>#VALUE!</v>
      </c>
      <c r="EV395" t="e">
        <f>AND('STERLING CATALOG - FZN &amp; CHILL'!G3510,"AAAAAHz2KZc=")</f>
        <v>#VALUE!</v>
      </c>
      <c r="EW395" t="e">
        <f>AND('STERLING CATALOG - FZN &amp; CHILL'!H3510,"AAAAAHz2KZg=")</f>
        <v>#VALUE!</v>
      </c>
      <c r="EX395" t="e">
        <f>AND('STERLING CATALOG - FZN &amp; CHILL'!I3510,"AAAAAHz2KZk=")</f>
        <v>#VALUE!</v>
      </c>
      <c r="EY395" t="e">
        <f>AND('STERLING CATALOG - FZN &amp; CHILL'!J3510,"AAAAAHz2KZo=")</f>
        <v>#VALUE!</v>
      </c>
      <c r="EZ395">
        <f>IF('STERLING CATALOG - FZN &amp; CHILL'!3511:3511,"AAAAAHz2KZs=",0)</f>
        <v>0</v>
      </c>
      <c r="FA395" t="e">
        <f>AND('STERLING CATALOG - FZN &amp; CHILL'!A3511,"AAAAAHz2KZw=")</f>
        <v>#VALUE!</v>
      </c>
      <c r="FB395" t="e">
        <f>AND('STERLING CATALOG - FZN &amp; CHILL'!B3511,"AAAAAHz2KZ0=")</f>
        <v>#VALUE!</v>
      </c>
      <c r="FC395" t="e">
        <f>AND('STERLING CATALOG - FZN &amp; CHILL'!C3511,"AAAAAHz2KZ4=")</f>
        <v>#VALUE!</v>
      </c>
      <c r="FD395" t="e">
        <f>AND('STERLING CATALOG - FZN &amp; CHILL'!D3511,"AAAAAHz2KZ8=")</f>
        <v>#VALUE!</v>
      </c>
      <c r="FE395" t="e">
        <f>AND('STERLING CATALOG - FZN &amp; CHILL'!E3511,"AAAAAHz2KaA=")</f>
        <v>#VALUE!</v>
      </c>
      <c r="FF395" t="e">
        <f>AND('STERLING CATALOG - FZN &amp; CHILL'!F3511,"AAAAAHz2KaE=")</f>
        <v>#VALUE!</v>
      </c>
      <c r="FG395" t="e">
        <f>AND('STERLING CATALOG - FZN &amp; CHILL'!G3511,"AAAAAHz2KaI=")</f>
        <v>#VALUE!</v>
      </c>
      <c r="FH395" t="e">
        <f>AND('STERLING CATALOG - FZN &amp; CHILL'!H3511,"AAAAAHz2KaM=")</f>
        <v>#VALUE!</v>
      </c>
      <c r="FI395" t="e">
        <f>AND('STERLING CATALOG - FZN &amp; CHILL'!I3511,"AAAAAHz2KaQ=")</f>
        <v>#VALUE!</v>
      </c>
      <c r="FJ395" t="e">
        <f>AND('STERLING CATALOG - FZN &amp; CHILL'!J3511,"AAAAAHz2KaU=")</f>
        <v>#VALUE!</v>
      </c>
      <c r="FK395">
        <f>IF('STERLING CATALOG - FZN &amp; CHILL'!3512:3512,"AAAAAHz2KaY=",0)</f>
        <v>0</v>
      </c>
      <c r="FL395" t="e">
        <f>AND('STERLING CATALOG - FZN &amp; CHILL'!A3512,"AAAAAHz2Kac=")</f>
        <v>#VALUE!</v>
      </c>
      <c r="FM395" t="e">
        <f>AND('STERLING CATALOG - FZN &amp; CHILL'!B3512,"AAAAAHz2Kag=")</f>
        <v>#VALUE!</v>
      </c>
      <c r="FN395" t="e">
        <f>AND('STERLING CATALOG - FZN &amp; CHILL'!C3512,"AAAAAHz2Kak=")</f>
        <v>#VALUE!</v>
      </c>
      <c r="FO395" t="e">
        <f>AND('STERLING CATALOG - FZN &amp; CHILL'!D3512,"AAAAAHz2Kao=")</f>
        <v>#VALUE!</v>
      </c>
      <c r="FP395" t="e">
        <f>AND('STERLING CATALOG - FZN &amp; CHILL'!E3512,"AAAAAHz2Kas=")</f>
        <v>#VALUE!</v>
      </c>
      <c r="FQ395" t="e">
        <f>AND('STERLING CATALOG - FZN &amp; CHILL'!F3512,"AAAAAHz2Kaw=")</f>
        <v>#VALUE!</v>
      </c>
      <c r="FR395" t="e">
        <f>AND('STERLING CATALOG - FZN &amp; CHILL'!G3512,"AAAAAHz2Ka0=")</f>
        <v>#VALUE!</v>
      </c>
      <c r="FS395" t="e">
        <f>AND('STERLING CATALOG - FZN &amp; CHILL'!H3512,"AAAAAHz2Ka4=")</f>
        <v>#VALUE!</v>
      </c>
      <c r="FT395" t="e">
        <f>AND('STERLING CATALOG - FZN &amp; CHILL'!I3512,"AAAAAHz2Ka8=")</f>
        <v>#VALUE!</v>
      </c>
      <c r="FU395" t="e">
        <f>AND('STERLING CATALOG - FZN &amp; CHILL'!J3512,"AAAAAHz2KbA=")</f>
        <v>#VALUE!</v>
      </c>
      <c r="FV395">
        <f>IF('STERLING CATALOG - FZN &amp; CHILL'!3513:3513,"AAAAAHz2KbE=",0)</f>
        <v>0</v>
      </c>
      <c r="FW395" t="e">
        <f>AND('STERLING CATALOG - FZN &amp; CHILL'!A3513,"AAAAAHz2KbI=")</f>
        <v>#VALUE!</v>
      </c>
      <c r="FX395" t="e">
        <f>AND('STERLING CATALOG - FZN &amp; CHILL'!B3513,"AAAAAHz2KbM=")</f>
        <v>#VALUE!</v>
      </c>
      <c r="FY395" t="e">
        <f>AND('STERLING CATALOG - FZN &amp; CHILL'!C3513,"AAAAAHz2KbQ=")</f>
        <v>#VALUE!</v>
      </c>
      <c r="FZ395" t="e">
        <f>AND('STERLING CATALOG - FZN &amp; CHILL'!D3513,"AAAAAHz2KbU=")</f>
        <v>#VALUE!</v>
      </c>
      <c r="GA395" t="e">
        <f>AND('STERLING CATALOG - FZN &amp; CHILL'!E3513,"AAAAAHz2KbY=")</f>
        <v>#VALUE!</v>
      </c>
      <c r="GB395" t="e">
        <f>AND('STERLING CATALOG - FZN &amp; CHILL'!F3513,"AAAAAHz2Kbc=")</f>
        <v>#VALUE!</v>
      </c>
      <c r="GC395" t="e">
        <f>AND('STERLING CATALOG - FZN &amp; CHILL'!G3513,"AAAAAHz2Kbg=")</f>
        <v>#VALUE!</v>
      </c>
      <c r="GD395" t="e">
        <f>AND('STERLING CATALOG - FZN &amp; CHILL'!H3513,"AAAAAHz2Kbk=")</f>
        <v>#VALUE!</v>
      </c>
      <c r="GE395" t="e">
        <f>AND('STERLING CATALOG - FZN &amp; CHILL'!I3513,"AAAAAHz2Kbo=")</f>
        <v>#VALUE!</v>
      </c>
      <c r="GF395" t="e">
        <f>AND('STERLING CATALOG - FZN &amp; CHILL'!J3513,"AAAAAHz2Kbs=")</f>
        <v>#VALUE!</v>
      </c>
      <c r="GG395">
        <f>IF('STERLING CATALOG - FZN &amp; CHILL'!3514:3514,"AAAAAHz2Kbw=",0)</f>
        <v>0</v>
      </c>
      <c r="GH395" t="e">
        <f>AND('STERLING CATALOG - FZN &amp; CHILL'!A3514,"AAAAAHz2Kb0=")</f>
        <v>#VALUE!</v>
      </c>
      <c r="GI395" t="e">
        <f>AND('STERLING CATALOG - FZN &amp; CHILL'!B3514,"AAAAAHz2Kb4=")</f>
        <v>#VALUE!</v>
      </c>
      <c r="GJ395" t="e">
        <f>AND('STERLING CATALOG - FZN &amp; CHILL'!C3514,"AAAAAHz2Kb8=")</f>
        <v>#VALUE!</v>
      </c>
      <c r="GK395" t="e">
        <f>AND('STERLING CATALOG - FZN &amp; CHILL'!D3514,"AAAAAHz2KcA=")</f>
        <v>#VALUE!</v>
      </c>
      <c r="GL395" t="e">
        <f>AND('STERLING CATALOG - FZN &amp; CHILL'!E3514,"AAAAAHz2KcE=")</f>
        <v>#VALUE!</v>
      </c>
      <c r="GM395" t="e">
        <f>AND('STERLING CATALOG - FZN &amp; CHILL'!F3514,"AAAAAHz2KcI=")</f>
        <v>#VALUE!</v>
      </c>
      <c r="GN395" t="e">
        <f>AND('STERLING CATALOG - FZN &amp; CHILL'!G3514,"AAAAAHz2KcM=")</f>
        <v>#VALUE!</v>
      </c>
      <c r="GO395" t="e">
        <f>AND('STERLING CATALOG - FZN &amp; CHILL'!H3514,"AAAAAHz2KcQ=")</f>
        <v>#VALUE!</v>
      </c>
      <c r="GP395" t="e">
        <f>AND('STERLING CATALOG - FZN &amp; CHILL'!I3514,"AAAAAHz2KcU=")</f>
        <v>#VALUE!</v>
      </c>
      <c r="GQ395" t="e">
        <f>AND('STERLING CATALOG - FZN &amp; CHILL'!J3514,"AAAAAHz2KcY=")</f>
        <v>#VALUE!</v>
      </c>
      <c r="GR395">
        <f>IF('STERLING CATALOG - FZN &amp; CHILL'!3515:3515,"AAAAAHz2Kcc=",0)</f>
        <v>0</v>
      </c>
      <c r="GS395" t="e">
        <f>AND('STERLING CATALOG - FZN &amp; CHILL'!A3515,"AAAAAHz2Kcg=")</f>
        <v>#VALUE!</v>
      </c>
      <c r="GT395" t="e">
        <f>AND('STERLING CATALOG - FZN &amp; CHILL'!B3515,"AAAAAHz2Kck=")</f>
        <v>#VALUE!</v>
      </c>
      <c r="GU395" t="e">
        <f>AND('STERLING CATALOG - FZN &amp; CHILL'!C3515,"AAAAAHz2Kco=")</f>
        <v>#VALUE!</v>
      </c>
      <c r="GV395" t="e">
        <f>AND('STERLING CATALOG - FZN &amp; CHILL'!D3515,"AAAAAHz2Kcs=")</f>
        <v>#VALUE!</v>
      </c>
      <c r="GW395" t="e">
        <f>AND('STERLING CATALOG - FZN &amp; CHILL'!E3515,"AAAAAHz2Kcw=")</f>
        <v>#VALUE!</v>
      </c>
      <c r="GX395" t="e">
        <f>AND('STERLING CATALOG - FZN &amp; CHILL'!F3515,"AAAAAHz2Kc0=")</f>
        <v>#VALUE!</v>
      </c>
      <c r="GY395" t="e">
        <f>AND('STERLING CATALOG - FZN &amp; CHILL'!G3515,"AAAAAHz2Kc4=")</f>
        <v>#VALUE!</v>
      </c>
      <c r="GZ395" t="e">
        <f>AND('STERLING CATALOG - FZN &amp; CHILL'!H3515,"AAAAAHz2Kc8=")</f>
        <v>#VALUE!</v>
      </c>
      <c r="HA395" t="e">
        <f>AND('STERLING CATALOG - FZN &amp; CHILL'!I3515,"AAAAAHz2KdA=")</f>
        <v>#VALUE!</v>
      </c>
      <c r="HB395" t="e">
        <f>AND('STERLING CATALOG - FZN &amp; CHILL'!J3515,"AAAAAHz2KdE=")</f>
        <v>#VALUE!</v>
      </c>
      <c r="HC395">
        <f>IF('STERLING CATALOG - FZN &amp; CHILL'!3516:3516,"AAAAAHz2KdI=",0)</f>
        <v>0</v>
      </c>
      <c r="HD395" t="e">
        <f>AND('STERLING CATALOG - FZN &amp; CHILL'!A3516,"AAAAAHz2KdM=")</f>
        <v>#VALUE!</v>
      </c>
      <c r="HE395" t="e">
        <f>AND('STERLING CATALOG - FZN &amp; CHILL'!B3516,"AAAAAHz2KdQ=")</f>
        <v>#VALUE!</v>
      </c>
      <c r="HF395" t="e">
        <f>AND('STERLING CATALOG - FZN &amp; CHILL'!C3516,"AAAAAHz2KdU=")</f>
        <v>#VALUE!</v>
      </c>
      <c r="HG395" t="e">
        <f>AND('STERLING CATALOG - FZN &amp; CHILL'!D3516,"AAAAAHz2KdY=")</f>
        <v>#VALUE!</v>
      </c>
      <c r="HH395" t="e">
        <f>AND('STERLING CATALOG - FZN &amp; CHILL'!E3516,"AAAAAHz2Kdc=")</f>
        <v>#VALUE!</v>
      </c>
      <c r="HI395" t="e">
        <f>AND('STERLING CATALOG - FZN &amp; CHILL'!F3516,"AAAAAHz2Kdg=")</f>
        <v>#VALUE!</v>
      </c>
      <c r="HJ395" t="e">
        <f>AND('STERLING CATALOG - FZN &amp; CHILL'!G3516,"AAAAAHz2Kdk=")</f>
        <v>#VALUE!</v>
      </c>
      <c r="HK395" t="e">
        <f>AND('STERLING CATALOG - FZN &amp; CHILL'!H3516,"AAAAAHz2Kdo=")</f>
        <v>#VALUE!</v>
      </c>
      <c r="HL395" t="e">
        <f>AND('STERLING CATALOG - FZN &amp; CHILL'!I3516,"AAAAAHz2Kds=")</f>
        <v>#VALUE!</v>
      </c>
      <c r="HM395" t="e">
        <f>AND('STERLING CATALOG - FZN &amp; CHILL'!J3516,"AAAAAHz2Kdw=")</f>
        <v>#VALUE!</v>
      </c>
      <c r="HN395">
        <f>IF('STERLING CATALOG - FZN &amp; CHILL'!3517:3517,"AAAAAHz2Kd0=",0)</f>
        <v>0</v>
      </c>
      <c r="HO395" t="e">
        <f>AND('STERLING CATALOG - FZN &amp; CHILL'!A3517,"AAAAAHz2Kd4=")</f>
        <v>#VALUE!</v>
      </c>
      <c r="HP395" t="e">
        <f>AND('STERLING CATALOG - FZN &amp; CHILL'!B3517,"AAAAAHz2Kd8=")</f>
        <v>#VALUE!</v>
      </c>
      <c r="HQ395" t="e">
        <f>AND('STERLING CATALOG - FZN &amp; CHILL'!C3517,"AAAAAHz2KeA=")</f>
        <v>#VALUE!</v>
      </c>
      <c r="HR395" t="e">
        <f>AND('STERLING CATALOG - FZN &amp; CHILL'!D3517,"AAAAAHz2KeE=")</f>
        <v>#VALUE!</v>
      </c>
      <c r="HS395" t="e">
        <f>AND('STERLING CATALOG - FZN &amp; CHILL'!E3517,"AAAAAHz2KeI=")</f>
        <v>#VALUE!</v>
      </c>
      <c r="HT395" t="e">
        <f>AND('STERLING CATALOG - FZN &amp; CHILL'!F3517,"AAAAAHz2KeM=")</f>
        <v>#VALUE!</v>
      </c>
      <c r="HU395" t="e">
        <f>AND('STERLING CATALOG - FZN &amp; CHILL'!G3517,"AAAAAHz2KeQ=")</f>
        <v>#VALUE!</v>
      </c>
      <c r="HV395" t="e">
        <f>AND('STERLING CATALOG - FZN &amp; CHILL'!H3517,"AAAAAHz2KeU=")</f>
        <v>#VALUE!</v>
      </c>
      <c r="HW395" t="e">
        <f>AND('STERLING CATALOG - FZN &amp; CHILL'!I3517,"AAAAAHz2KeY=")</f>
        <v>#VALUE!</v>
      </c>
      <c r="HX395" t="e">
        <f>AND('STERLING CATALOG - FZN &amp; CHILL'!J3517,"AAAAAHz2Kec=")</f>
        <v>#VALUE!</v>
      </c>
      <c r="HY395">
        <f>IF('STERLING CATALOG - FZN &amp; CHILL'!3518:3518,"AAAAAHz2Keg=",0)</f>
        <v>0</v>
      </c>
      <c r="HZ395" t="e">
        <f>AND('STERLING CATALOG - FZN &amp; CHILL'!A3518,"AAAAAHz2Kek=")</f>
        <v>#VALUE!</v>
      </c>
      <c r="IA395" t="e">
        <f>AND('STERLING CATALOG - FZN &amp; CHILL'!B3518,"AAAAAHz2Keo=")</f>
        <v>#VALUE!</v>
      </c>
      <c r="IB395" t="e">
        <f>AND('STERLING CATALOG - FZN &amp; CHILL'!C3518,"AAAAAHz2Kes=")</f>
        <v>#VALUE!</v>
      </c>
      <c r="IC395" t="e">
        <f>AND('STERLING CATALOG - FZN &amp; CHILL'!D3518,"AAAAAHz2Kew=")</f>
        <v>#VALUE!</v>
      </c>
      <c r="ID395" t="e">
        <f>AND('STERLING CATALOG - FZN &amp; CHILL'!E3518,"AAAAAHz2Ke0=")</f>
        <v>#VALUE!</v>
      </c>
      <c r="IE395" t="e">
        <f>AND('STERLING CATALOG - FZN &amp; CHILL'!F3518,"AAAAAHz2Ke4=")</f>
        <v>#VALUE!</v>
      </c>
      <c r="IF395" t="e">
        <f>AND('STERLING CATALOG - FZN &amp; CHILL'!G3518,"AAAAAHz2Ke8=")</f>
        <v>#VALUE!</v>
      </c>
      <c r="IG395" t="e">
        <f>AND('STERLING CATALOG - FZN &amp; CHILL'!H3518,"AAAAAHz2KfA=")</f>
        <v>#VALUE!</v>
      </c>
      <c r="IH395" t="e">
        <f>AND('STERLING CATALOG - FZN &amp; CHILL'!I3518,"AAAAAHz2KfE=")</f>
        <v>#VALUE!</v>
      </c>
      <c r="II395" t="e">
        <f>AND('STERLING CATALOG - FZN &amp; CHILL'!J3518,"AAAAAHz2KfI=")</f>
        <v>#VALUE!</v>
      </c>
      <c r="IJ395">
        <f>IF('STERLING CATALOG - FZN &amp; CHILL'!3519:3519,"AAAAAHz2KfM=",0)</f>
        <v>0</v>
      </c>
      <c r="IK395" t="e">
        <f>AND('STERLING CATALOG - FZN &amp; CHILL'!A3519,"AAAAAHz2KfQ=")</f>
        <v>#VALUE!</v>
      </c>
      <c r="IL395" t="e">
        <f>AND('STERLING CATALOG - FZN &amp; CHILL'!B3519,"AAAAAHz2KfU=")</f>
        <v>#VALUE!</v>
      </c>
      <c r="IM395" t="e">
        <f>AND('STERLING CATALOG - FZN &amp; CHILL'!C3519,"AAAAAHz2KfY=")</f>
        <v>#VALUE!</v>
      </c>
      <c r="IN395" t="e">
        <f>AND('STERLING CATALOG - FZN &amp; CHILL'!D3519,"AAAAAHz2Kfc=")</f>
        <v>#VALUE!</v>
      </c>
      <c r="IO395" t="e">
        <f>AND('STERLING CATALOG - FZN &amp; CHILL'!E3519,"AAAAAHz2Kfg=")</f>
        <v>#VALUE!</v>
      </c>
      <c r="IP395" t="e">
        <f>AND('STERLING CATALOG - FZN &amp; CHILL'!F3519,"AAAAAHz2Kfk=")</f>
        <v>#VALUE!</v>
      </c>
      <c r="IQ395" t="e">
        <f>AND('STERLING CATALOG - FZN &amp; CHILL'!G3519,"AAAAAHz2Kfo=")</f>
        <v>#VALUE!</v>
      </c>
      <c r="IR395" t="e">
        <f>AND('STERLING CATALOG - FZN &amp; CHILL'!H3519,"AAAAAHz2Kfs=")</f>
        <v>#VALUE!</v>
      </c>
      <c r="IS395" t="e">
        <f>AND('STERLING CATALOG - FZN &amp; CHILL'!I3519,"AAAAAHz2Kfw=")</f>
        <v>#VALUE!</v>
      </c>
      <c r="IT395" t="e">
        <f>AND('STERLING CATALOG - FZN &amp; CHILL'!J3519,"AAAAAHz2Kf0=")</f>
        <v>#VALUE!</v>
      </c>
      <c r="IU395">
        <f>IF('STERLING CATALOG - FZN &amp; CHILL'!3520:3520,"AAAAAHz2Kf4=",0)</f>
        <v>0</v>
      </c>
      <c r="IV395" t="e">
        <f>AND('STERLING CATALOG - FZN &amp; CHILL'!A3520,"AAAAAHz2Kf8=")</f>
        <v>#VALUE!</v>
      </c>
    </row>
    <row r="396" spans="1:256">
      <c r="A396" t="e">
        <f>AND('STERLING CATALOG - FZN &amp; CHILL'!B3520,"AAAAAE8vWgA=")</f>
        <v>#VALUE!</v>
      </c>
      <c r="B396" t="e">
        <f>AND('STERLING CATALOG - FZN &amp; CHILL'!C3520,"AAAAAE8vWgE=")</f>
        <v>#VALUE!</v>
      </c>
      <c r="C396" t="e">
        <f>AND('STERLING CATALOG - FZN &amp; CHILL'!D3520,"AAAAAE8vWgI=")</f>
        <v>#VALUE!</v>
      </c>
      <c r="D396" t="e">
        <f>AND('STERLING CATALOG - FZN &amp; CHILL'!E3520,"AAAAAE8vWgM=")</f>
        <v>#VALUE!</v>
      </c>
      <c r="E396" t="e">
        <f>AND('STERLING CATALOG - FZN &amp; CHILL'!F3520,"AAAAAE8vWgQ=")</f>
        <v>#VALUE!</v>
      </c>
      <c r="F396" t="e">
        <f>AND('STERLING CATALOG - FZN &amp; CHILL'!G3520,"AAAAAE8vWgU=")</f>
        <v>#VALUE!</v>
      </c>
      <c r="G396" t="e">
        <f>AND('STERLING CATALOG - FZN &amp; CHILL'!H3520,"AAAAAE8vWgY=")</f>
        <v>#VALUE!</v>
      </c>
      <c r="H396" t="e">
        <f>AND('STERLING CATALOG - FZN &amp; CHILL'!I3520,"AAAAAE8vWgc=")</f>
        <v>#VALUE!</v>
      </c>
      <c r="I396" t="e">
        <f>AND('STERLING CATALOG - FZN &amp; CHILL'!J3520,"AAAAAE8vWgg=")</f>
        <v>#VALUE!</v>
      </c>
      <c r="J396" t="e">
        <f>IF('STERLING CATALOG - FZN &amp; CHILL'!3521:3521,"AAAAAE8vWgk=",0)</f>
        <v>#VALUE!</v>
      </c>
      <c r="K396" t="e">
        <f>AND('STERLING CATALOG - FZN &amp; CHILL'!A3521,"AAAAAE8vWgo=")</f>
        <v>#VALUE!</v>
      </c>
      <c r="L396" t="e">
        <f>AND('STERLING CATALOG - FZN &amp; CHILL'!B3521,"AAAAAE8vWgs=")</f>
        <v>#VALUE!</v>
      </c>
      <c r="M396" t="e">
        <f>AND('STERLING CATALOG - FZN &amp; CHILL'!C3521,"AAAAAE8vWgw=")</f>
        <v>#VALUE!</v>
      </c>
      <c r="N396" t="e">
        <f>AND('STERLING CATALOG - FZN &amp; CHILL'!D3521,"AAAAAE8vWg0=")</f>
        <v>#VALUE!</v>
      </c>
      <c r="O396" t="e">
        <f>AND('STERLING CATALOG - FZN &amp; CHILL'!E3521,"AAAAAE8vWg4=")</f>
        <v>#VALUE!</v>
      </c>
      <c r="P396" t="e">
        <f>AND('STERLING CATALOG - FZN &amp; CHILL'!F3521,"AAAAAE8vWg8=")</f>
        <v>#VALUE!</v>
      </c>
      <c r="Q396" t="e">
        <f>AND('STERLING CATALOG - FZN &amp; CHILL'!G3521,"AAAAAE8vWhA=")</f>
        <v>#VALUE!</v>
      </c>
      <c r="R396" t="e">
        <f>AND('STERLING CATALOG - FZN &amp; CHILL'!H3521,"AAAAAE8vWhE=")</f>
        <v>#VALUE!</v>
      </c>
      <c r="S396" t="e">
        <f>AND('STERLING CATALOG - FZN &amp; CHILL'!I3521,"AAAAAE8vWhI=")</f>
        <v>#VALUE!</v>
      </c>
      <c r="T396" t="e">
        <f>AND('STERLING CATALOG - FZN &amp; CHILL'!J3521,"AAAAAE8vWhM=")</f>
        <v>#VALUE!</v>
      </c>
      <c r="U396">
        <f>IF('STERLING CATALOG - FZN &amp; CHILL'!3522:3522,"AAAAAE8vWhQ=",0)</f>
        <v>0</v>
      </c>
      <c r="V396" t="e">
        <f>AND('STERLING CATALOG - FZN &amp; CHILL'!A3522,"AAAAAE8vWhU=")</f>
        <v>#VALUE!</v>
      </c>
      <c r="W396" t="e">
        <f>AND('STERLING CATALOG - FZN &amp; CHILL'!B3522,"AAAAAE8vWhY=")</f>
        <v>#VALUE!</v>
      </c>
      <c r="X396" t="e">
        <f>AND('STERLING CATALOG - FZN &amp; CHILL'!C3522,"AAAAAE8vWhc=")</f>
        <v>#VALUE!</v>
      </c>
      <c r="Y396" t="e">
        <f>AND('STERLING CATALOG - FZN &amp; CHILL'!D3522,"AAAAAE8vWhg=")</f>
        <v>#VALUE!</v>
      </c>
      <c r="Z396" t="e">
        <f>AND('STERLING CATALOG - FZN &amp; CHILL'!E3522,"AAAAAE8vWhk=")</f>
        <v>#VALUE!</v>
      </c>
      <c r="AA396" t="e">
        <f>AND('STERLING CATALOG - FZN &amp; CHILL'!F3522,"AAAAAE8vWho=")</f>
        <v>#VALUE!</v>
      </c>
      <c r="AB396" t="e">
        <f>AND('STERLING CATALOG - FZN &amp; CHILL'!G3522,"AAAAAE8vWhs=")</f>
        <v>#VALUE!</v>
      </c>
      <c r="AC396" t="e">
        <f>AND('STERLING CATALOG - FZN &amp; CHILL'!H3522,"AAAAAE8vWhw=")</f>
        <v>#VALUE!</v>
      </c>
      <c r="AD396" t="e">
        <f>AND('STERLING CATALOG - FZN &amp; CHILL'!I3522,"AAAAAE8vWh0=")</f>
        <v>#VALUE!</v>
      </c>
      <c r="AE396" t="e">
        <f>AND('STERLING CATALOG - FZN &amp; CHILL'!J3522,"AAAAAE8vWh4=")</f>
        <v>#VALUE!</v>
      </c>
      <c r="AF396">
        <f>IF('STERLING CATALOG - FZN &amp; CHILL'!3523:3523,"AAAAAE8vWh8=",0)</f>
        <v>0</v>
      </c>
      <c r="AG396" t="e">
        <f>AND('STERLING CATALOG - FZN &amp; CHILL'!A3523,"AAAAAE8vWiA=")</f>
        <v>#VALUE!</v>
      </c>
      <c r="AH396" t="e">
        <f>AND('STERLING CATALOG - FZN &amp; CHILL'!B3523,"AAAAAE8vWiE=")</f>
        <v>#VALUE!</v>
      </c>
      <c r="AI396" t="e">
        <f>AND('STERLING CATALOG - FZN &amp; CHILL'!C3523,"AAAAAE8vWiI=")</f>
        <v>#VALUE!</v>
      </c>
      <c r="AJ396" t="e">
        <f>AND('STERLING CATALOG - FZN &amp; CHILL'!D3523,"AAAAAE8vWiM=")</f>
        <v>#VALUE!</v>
      </c>
      <c r="AK396" t="e">
        <f>AND('STERLING CATALOG - FZN &amp; CHILL'!E3523,"AAAAAE8vWiQ=")</f>
        <v>#VALUE!</v>
      </c>
      <c r="AL396" t="e">
        <f>AND('STERLING CATALOG - FZN &amp; CHILL'!F3523,"AAAAAE8vWiU=")</f>
        <v>#VALUE!</v>
      </c>
      <c r="AM396" t="e">
        <f>AND('STERLING CATALOG - FZN &amp; CHILL'!G3523,"AAAAAE8vWiY=")</f>
        <v>#VALUE!</v>
      </c>
      <c r="AN396" t="e">
        <f>AND('STERLING CATALOG - FZN &amp; CHILL'!H3523,"AAAAAE8vWic=")</f>
        <v>#VALUE!</v>
      </c>
      <c r="AO396" t="e">
        <f>AND('STERLING CATALOG - FZN &amp; CHILL'!I3523,"AAAAAE8vWig=")</f>
        <v>#VALUE!</v>
      </c>
      <c r="AP396" t="e">
        <f>AND('STERLING CATALOG - FZN &amp; CHILL'!J3523,"AAAAAE8vWik=")</f>
        <v>#VALUE!</v>
      </c>
      <c r="AQ396">
        <f>IF('STERLING CATALOG - FZN &amp; CHILL'!3524:3524,"AAAAAE8vWio=",0)</f>
        <v>0</v>
      </c>
      <c r="AR396" t="e">
        <f>AND('STERLING CATALOG - FZN &amp; CHILL'!A3524,"AAAAAE8vWis=")</f>
        <v>#VALUE!</v>
      </c>
      <c r="AS396" t="e">
        <f>AND('STERLING CATALOG - FZN &amp; CHILL'!B3524,"AAAAAE8vWiw=")</f>
        <v>#VALUE!</v>
      </c>
      <c r="AT396" t="e">
        <f>AND('STERLING CATALOG - FZN &amp; CHILL'!C3524,"AAAAAE8vWi0=")</f>
        <v>#VALUE!</v>
      </c>
      <c r="AU396" t="e">
        <f>AND('STERLING CATALOG - FZN &amp; CHILL'!D3524,"AAAAAE8vWi4=")</f>
        <v>#VALUE!</v>
      </c>
      <c r="AV396" t="e">
        <f>AND('STERLING CATALOG - FZN &amp; CHILL'!E3524,"AAAAAE8vWi8=")</f>
        <v>#VALUE!</v>
      </c>
      <c r="AW396" t="e">
        <f>AND('STERLING CATALOG - FZN &amp; CHILL'!F3524,"AAAAAE8vWjA=")</f>
        <v>#VALUE!</v>
      </c>
      <c r="AX396" t="e">
        <f>AND('STERLING CATALOG - FZN &amp; CHILL'!G3524,"AAAAAE8vWjE=")</f>
        <v>#VALUE!</v>
      </c>
      <c r="AY396" t="e">
        <f>AND('STERLING CATALOG - FZN &amp; CHILL'!H3524,"AAAAAE8vWjI=")</f>
        <v>#VALUE!</v>
      </c>
      <c r="AZ396" t="e">
        <f>AND('STERLING CATALOG - FZN &amp; CHILL'!I3524,"AAAAAE8vWjM=")</f>
        <v>#VALUE!</v>
      </c>
      <c r="BA396" t="e">
        <f>AND('STERLING CATALOG - FZN &amp; CHILL'!J3524,"AAAAAE8vWjQ=")</f>
        <v>#VALUE!</v>
      </c>
      <c r="BB396">
        <f>IF('STERLING CATALOG - FZN &amp; CHILL'!3525:3525,"AAAAAE8vWjU=",0)</f>
        <v>0</v>
      </c>
      <c r="BC396" t="e">
        <f>AND('STERLING CATALOG - FZN &amp; CHILL'!A3525,"AAAAAE8vWjY=")</f>
        <v>#VALUE!</v>
      </c>
      <c r="BD396" t="e">
        <f>AND('STERLING CATALOG - FZN &amp; CHILL'!B3525,"AAAAAE8vWjc=")</f>
        <v>#VALUE!</v>
      </c>
      <c r="BE396" t="e">
        <f>AND('STERLING CATALOG - FZN &amp; CHILL'!C3525,"AAAAAE8vWjg=")</f>
        <v>#VALUE!</v>
      </c>
      <c r="BF396" t="e">
        <f>AND('STERLING CATALOG - FZN &amp; CHILL'!D3525,"AAAAAE8vWjk=")</f>
        <v>#VALUE!</v>
      </c>
      <c r="BG396" t="e">
        <f>AND('STERLING CATALOG - FZN &amp; CHILL'!E3525,"AAAAAE8vWjo=")</f>
        <v>#VALUE!</v>
      </c>
      <c r="BH396" t="e">
        <f>AND('STERLING CATALOG - FZN &amp; CHILL'!F3525,"AAAAAE8vWjs=")</f>
        <v>#VALUE!</v>
      </c>
      <c r="BI396" t="e">
        <f>AND('STERLING CATALOG - FZN &amp; CHILL'!G3525,"AAAAAE8vWjw=")</f>
        <v>#VALUE!</v>
      </c>
      <c r="BJ396" t="e">
        <f>AND('STERLING CATALOG - FZN &amp; CHILL'!H3525,"AAAAAE8vWj0=")</f>
        <v>#VALUE!</v>
      </c>
      <c r="BK396" t="e">
        <f>AND('STERLING CATALOG - FZN &amp; CHILL'!I3525,"AAAAAE8vWj4=")</f>
        <v>#VALUE!</v>
      </c>
      <c r="BL396" t="e">
        <f>AND('STERLING CATALOG - FZN &amp; CHILL'!J3525,"AAAAAE8vWj8=")</f>
        <v>#VALUE!</v>
      </c>
      <c r="BM396">
        <f>IF('STERLING CATALOG - FZN &amp; CHILL'!3526:3526,"AAAAAE8vWkA=",0)</f>
        <v>0</v>
      </c>
      <c r="BN396" t="e">
        <f>AND('STERLING CATALOG - FZN &amp; CHILL'!A3526,"AAAAAE8vWkE=")</f>
        <v>#VALUE!</v>
      </c>
      <c r="BO396" t="e">
        <f>AND('STERLING CATALOG - FZN &amp; CHILL'!B3526,"AAAAAE8vWkI=")</f>
        <v>#VALUE!</v>
      </c>
      <c r="BP396" t="e">
        <f>AND('STERLING CATALOG - FZN &amp; CHILL'!C3526,"AAAAAE8vWkM=")</f>
        <v>#VALUE!</v>
      </c>
      <c r="BQ396" t="e">
        <f>AND('STERLING CATALOG - FZN &amp; CHILL'!D3526,"AAAAAE8vWkQ=")</f>
        <v>#VALUE!</v>
      </c>
      <c r="BR396" t="e">
        <f>AND('STERLING CATALOG - FZN &amp; CHILL'!E3526,"AAAAAE8vWkU=")</f>
        <v>#VALUE!</v>
      </c>
      <c r="BS396" t="e">
        <f>AND('STERLING CATALOG - FZN &amp; CHILL'!F3526,"AAAAAE8vWkY=")</f>
        <v>#VALUE!</v>
      </c>
      <c r="BT396" t="e">
        <f>AND('STERLING CATALOG - FZN &amp; CHILL'!G3526,"AAAAAE8vWkc=")</f>
        <v>#VALUE!</v>
      </c>
      <c r="BU396" t="e">
        <f>AND('STERLING CATALOG - FZN &amp; CHILL'!H3526,"AAAAAE8vWkg=")</f>
        <v>#VALUE!</v>
      </c>
      <c r="BV396" t="e">
        <f>AND('STERLING CATALOG - FZN &amp; CHILL'!I3526,"AAAAAE8vWkk=")</f>
        <v>#VALUE!</v>
      </c>
      <c r="BW396" t="e">
        <f>AND('STERLING CATALOG - FZN &amp; CHILL'!J3526,"AAAAAE8vWko=")</f>
        <v>#VALUE!</v>
      </c>
      <c r="BX396">
        <f>IF('STERLING CATALOG - FZN &amp; CHILL'!3527:3527,"AAAAAE8vWks=",0)</f>
        <v>0</v>
      </c>
      <c r="BY396" t="e">
        <f>AND('STERLING CATALOG - FZN &amp; CHILL'!A3527,"AAAAAE8vWkw=")</f>
        <v>#VALUE!</v>
      </c>
      <c r="BZ396" t="e">
        <f>AND('STERLING CATALOG - FZN &amp; CHILL'!B3527,"AAAAAE8vWk0=")</f>
        <v>#VALUE!</v>
      </c>
      <c r="CA396" t="e">
        <f>AND('STERLING CATALOG - FZN &amp; CHILL'!C3527,"AAAAAE8vWk4=")</f>
        <v>#VALUE!</v>
      </c>
      <c r="CB396" t="e">
        <f>AND('STERLING CATALOG - FZN &amp; CHILL'!D3527,"AAAAAE8vWk8=")</f>
        <v>#VALUE!</v>
      </c>
      <c r="CC396" t="e">
        <f>AND('STERLING CATALOG - FZN &amp; CHILL'!E3527,"AAAAAE8vWlA=")</f>
        <v>#VALUE!</v>
      </c>
      <c r="CD396" t="e">
        <f>AND('STERLING CATALOG - FZN &amp; CHILL'!F3527,"AAAAAE8vWlE=")</f>
        <v>#VALUE!</v>
      </c>
      <c r="CE396" t="e">
        <f>AND('STERLING CATALOG - FZN &amp; CHILL'!G3527,"AAAAAE8vWlI=")</f>
        <v>#VALUE!</v>
      </c>
      <c r="CF396" t="e">
        <f>AND('STERLING CATALOG - FZN &amp; CHILL'!H3527,"AAAAAE8vWlM=")</f>
        <v>#VALUE!</v>
      </c>
      <c r="CG396" t="e">
        <f>AND('STERLING CATALOG - FZN &amp; CHILL'!I3527,"AAAAAE8vWlQ=")</f>
        <v>#VALUE!</v>
      </c>
      <c r="CH396" t="e">
        <f>AND('STERLING CATALOG - FZN &amp; CHILL'!J3527,"AAAAAE8vWlU=")</f>
        <v>#VALUE!</v>
      </c>
      <c r="CI396">
        <f>IF('STERLING CATALOG - FZN &amp; CHILL'!3528:3528,"AAAAAE8vWlY=",0)</f>
        <v>0</v>
      </c>
      <c r="CJ396" t="e">
        <f>AND('STERLING CATALOG - FZN &amp; CHILL'!A3528,"AAAAAE8vWlc=")</f>
        <v>#VALUE!</v>
      </c>
      <c r="CK396" t="e">
        <f>AND('STERLING CATALOG - FZN &amp; CHILL'!B3528,"AAAAAE8vWlg=")</f>
        <v>#VALUE!</v>
      </c>
      <c r="CL396" t="e">
        <f>AND('STERLING CATALOG - FZN &amp; CHILL'!C3528,"AAAAAE8vWlk=")</f>
        <v>#VALUE!</v>
      </c>
      <c r="CM396" t="e">
        <f>AND('STERLING CATALOG - FZN &amp; CHILL'!D3528,"AAAAAE8vWlo=")</f>
        <v>#VALUE!</v>
      </c>
      <c r="CN396" t="e">
        <f>AND('STERLING CATALOG - FZN &amp; CHILL'!E3528,"AAAAAE8vWls=")</f>
        <v>#VALUE!</v>
      </c>
      <c r="CO396" t="e">
        <f>AND('STERLING CATALOG - FZN &amp; CHILL'!F3528,"AAAAAE8vWlw=")</f>
        <v>#VALUE!</v>
      </c>
      <c r="CP396" t="e">
        <f>AND('STERLING CATALOG - FZN &amp; CHILL'!G3528,"AAAAAE8vWl0=")</f>
        <v>#VALUE!</v>
      </c>
      <c r="CQ396" t="e">
        <f>AND('STERLING CATALOG - FZN &amp; CHILL'!H3528,"AAAAAE8vWl4=")</f>
        <v>#VALUE!</v>
      </c>
      <c r="CR396" t="e">
        <f>AND('STERLING CATALOG - FZN &amp; CHILL'!I3528,"AAAAAE8vWl8=")</f>
        <v>#VALUE!</v>
      </c>
      <c r="CS396" t="e">
        <f>AND('STERLING CATALOG - FZN &amp; CHILL'!J3528,"AAAAAE8vWmA=")</f>
        <v>#VALUE!</v>
      </c>
      <c r="CT396">
        <f>IF('STERLING CATALOG - FZN &amp; CHILL'!3529:3529,"AAAAAE8vWmE=",0)</f>
        <v>0</v>
      </c>
      <c r="CU396" t="e">
        <f>AND('STERLING CATALOG - FZN &amp; CHILL'!A3529,"AAAAAE8vWmI=")</f>
        <v>#VALUE!</v>
      </c>
      <c r="CV396" t="e">
        <f>AND('STERLING CATALOG - FZN &amp; CHILL'!B3529,"AAAAAE8vWmM=")</f>
        <v>#VALUE!</v>
      </c>
      <c r="CW396" t="e">
        <f>AND('STERLING CATALOG - FZN &amp; CHILL'!C3529,"AAAAAE8vWmQ=")</f>
        <v>#VALUE!</v>
      </c>
      <c r="CX396" t="e">
        <f>AND('STERLING CATALOG - FZN &amp; CHILL'!D3529,"AAAAAE8vWmU=")</f>
        <v>#VALUE!</v>
      </c>
      <c r="CY396" t="e">
        <f>AND('STERLING CATALOG - FZN &amp; CHILL'!E3529,"AAAAAE8vWmY=")</f>
        <v>#VALUE!</v>
      </c>
      <c r="CZ396" t="e">
        <f>AND('STERLING CATALOG - FZN &amp; CHILL'!F3529,"AAAAAE8vWmc=")</f>
        <v>#VALUE!</v>
      </c>
      <c r="DA396" t="e">
        <f>AND('STERLING CATALOG - FZN &amp; CHILL'!G3529,"AAAAAE8vWmg=")</f>
        <v>#VALUE!</v>
      </c>
      <c r="DB396" t="e">
        <f>AND('STERLING CATALOG - FZN &amp; CHILL'!H3529,"AAAAAE8vWmk=")</f>
        <v>#VALUE!</v>
      </c>
      <c r="DC396" t="e">
        <f>AND('STERLING CATALOG - FZN &amp; CHILL'!I3529,"AAAAAE8vWmo=")</f>
        <v>#VALUE!</v>
      </c>
      <c r="DD396" t="e">
        <f>AND('STERLING CATALOG - FZN &amp; CHILL'!J3529,"AAAAAE8vWms=")</f>
        <v>#VALUE!</v>
      </c>
      <c r="DE396">
        <f>IF('STERLING CATALOG - FZN &amp; CHILL'!3530:3530,"AAAAAE8vWmw=",0)</f>
        <v>0</v>
      </c>
      <c r="DF396" t="e">
        <f>AND('STERLING CATALOG - FZN &amp; CHILL'!A3530,"AAAAAE8vWm0=")</f>
        <v>#VALUE!</v>
      </c>
      <c r="DG396" t="e">
        <f>AND('STERLING CATALOG - FZN &amp; CHILL'!B3530,"AAAAAE8vWm4=")</f>
        <v>#VALUE!</v>
      </c>
      <c r="DH396" t="e">
        <f>AND('STERLING CATALOG - FZN &amp; CHILL'!C3530,"AAAAAE8vWm8=")</f>
        <v>#VALUE!</v>
      </c>
      <c r="DI396" t="e">
        <f>AND('STERLING CATALOG - FZN &amp; CHILL'!D3530,"AAAAAE8vWnA=")</f>
        <v>#VALUE!</v>
      </c>
      <c r="DJ396" t="e">
        <f>AND('STERLING CATALOG - FZN &amp; CHILL'!E3530,"AAAAAE8vWnE=")</f>
        <v>#VALUE!</v>
      </c>
      <c r="DK396" t="e">
        <f>AND('STERLING CATALOG - FZN &amp; CHILL'!F3530,"AAAAAE8vWnI=")</f>
        <v>#VALUE!</v>
      </c>
      <c r="DL396" t="e">
        <f>AND('STERLING CATALOG - FZN &amp; CHILL'!G3530,"AAAAAE8vWnM=")</f>
        <v>#VALUE!</v>
      </c>
      <c r="DM396" t="e">
        <f>AND('STERLING CATALOG - FZN &amp; CHILL'!H3530,"AAAAAE8vWnQ=")</f>
        <v>#VALUE!</v>
      </c>
      <c r="DN396" t="e">
        <f>AND('STERLING CATALOG - FZN &amp; CHILL'!I3530,"AAAAAE8vWnU=")</f>
        <v>#VALUE!</v>
      </c>
      <c r="DO396" t="e">
        <f>AND('STERLING CATALOG - FZN &amp; CHILL'!J3530,"AAAAAE8vWnY=")</f>
        <v>#VALUE!</v>
      </c>
      <c r="DP396">
        <f>IF('STERLING CATALOG - FZN &amp; CHILL'!3531:3531,"AAAAAE8vWnc=",0)</f>
        <v>0</v>
      </c>
      <c r="DQ396" t="e">
        <f>AND('STERLING CATALOG - FZN &amp; CHILL'!A3531,"AAAAAE8vWng=")</f>
        <v>#VALUE!</v>
      </c>
      <c r="DR396" t="e">
        <f>AND('STERLING CATALOG - FZN &amp; CHILL'!B3531,"AAAAAE8vWnk=")</f>
        <v>#VALUE!</v>
      </c>
      <c r="DS396" t="e">
        <f>AND('STERLING CATALOG - FZN &amp; CHILL'!C3531,"AAAAAE8vWno=")</f>
        <v>#VALUE!</v>
      </c>
      <c r="DT396" t="e">
        <f>AND('STERLING CATALOG - FZN &amp; CHILL'!D3531,"AAAAAE8vWns=")</f>
        <v>#VALUE!</v>
      </c>
      <c r="DU396" t="e">
        <f>AND('STERLING CATALOG - FZN &amp; CHILL'!E3531,"AAAAAE8vWnw=")</f>
        <v>#VALUE!</v>
      </c>
      <c r="DV396" t="e">
        <f>AND('STERLING CATALOG - FZN &amp; CHILL'!F3531,"AAAAAE8vWn0=")</f>
        <v>#VALUE!</v>
      </c>
      <c r="DW396" t="e">
        <f>AND('STERLING CATALOG - FZN &amp; CHILL'!G3531,"AAAAAE8vWn4=")</f>
        <v>#VALUE!</v>
      </c>
      <c r="DX396" t="e">
        <f>AND('STERLING CATALOG - FZN &amp; CHILL'!H3531,"AAAAAE8vWn8=")</f>
        <v>#VALUE!</v>
      </c>
      <c r="DY396" t="e">
        <f>AND('STERLING CATALOG - FZN &amp; CHILL'!I3531,"AAAAAE8vWoA=")</f>
        <v>#VALUE!</v>
      </c>
      <c r="DZ396" t="e">
        <f>AND('STERLING CATALOG - FZN &amp; CHILL'!J3531,"AAAAAE8vWoE=")</f>
        <v>#VALUE!</v>
      </c>
      <c r="EA396">
        <f>IF('STERLING CATALOG - FZN &amp; CHILL'!3532:3532,"AAAAAE8vWoI=",0)</f>
        <v>0</v>
      </c>
      <c r="EB396" t="e">
        <f>AND('STERLING CATALOG - FZN &amp; CHILL'!A3532,"AAAAAE8vWoM=")</f>
        <v>#VALUE!</v>
      </c>
      <c r="EC396" t="e">
        <f>AND('STERLING CATALOG - FZN &amp; CHILL'!B3532,"AAAAAE8vWoQ=")</f>
        <v>#VALUE!</v>
      </c>
      <c r="ED396" t="e">
        <f>AND('STERLING CATALOG - FZN &amp; CHILL'!C3532,"AAAAAE8vWoU=")</f>
        <v>#VALUE!</v>
      </c>
      <c r="EE396" t="e">
        <f>AND('STERLING CATALOG - FZN &amp; CHILL'!D3532,"AAAAAE8vWoY=")</f>
        <v>#VALUE!</v>
      </c>
      <c r="EF396" t="e">
        <f>AND('STERLING CATALOG - FZN &amp; CHILL'!E3532,"AAAAAE8vWoc=")</f>
        <v>#VALUE!</v>
      </c>
      <c r="EG396" t="e">
        <f>AND('STERLING CATALOG - FZN &amp; CHILL'!F3532,"AAAAAE8vWog=")</f>
        <v>#VALUE!</v>
      </c>
      <c r="EH396" t="e">
        <f>AND('STERLING CATALOG - FZN &amp; CHILL'!G3532,"AAAAAE8vWok=")</f>
        <v>#VALUE!</v>
      </c>
      <c r="EI396" t="e">
        <f>AND('STERLING CATALOG - FZN &amp; CHILL'!H3532,"AAAAAE8vWoo=")</f>
        <v>#VALUE!</v>
      </c>
      <c r="EJ396" t="e">
        <f>AND('STERLING CATALOG - FZN &amp; CHILL'!I3532,"AAAAAE8vWos=")</f>
        <v>#VALUE!</v>
      </c>
      <c r="EK396" t="e">
        <f>AND('STERLING CATALOG - FZN &amp; CHILL'!J3532,"AAAAAE8vWow=")</f>
        <v>#VALUE!</v>
      </c>
      <c r="EL396">
        <f>IF('STERLING CATALOG - FZN &amp; CHILL'!3533:3533,"AAAAAE8vWo0=",0)</f>
        <v>0</v>
      </c>
      <c r="EM396" t="e">
        <f>AND('STERLING CATALOG - FZN &amp; CHILL'!A3533,"AAAAAE8vWo4=")</f>
        <v>#VALUE!</v>
      </c>
      <c r="EN396" t="e">
        <f>AND('STERLING CATALOG - FZN &amp; CHILL'!B3533,"AAAAAE8vWo8=")</f>
        <v>#VALUE!</v>
      </c>
      <c r="EO396" t="e">
        <f>AND('STERLING CATALOG - FZN &amp; CHILL'!C3533,"AAAAAE8vWpA=")</f>
        <v>#VALUE!</v>
      </c>
      <c r="EP396" t="e">
        <f>AND('STERLING CATALOG - FZN &amp; CHILL'!D3533,"AAAAAE8vWpE=")</f>
        <v>#VALUE!</v>
      </c>
      <c r="EQ396" t="e">
        <f>AND('STERLING CATALOG - FZN &amp; CHILL'!E3533,"AAAAAE8vWpI=")</f>
        <v>#VALUE!</v>
      </c>
      <c r="ER396" t="e">
        <f>AND('STERLING CATALOG - FZN &amp; CHILL'!F3533,"AAAAAE8vWpM=")</f>
        <v>#VALUE!</v>
      </c>
      <c r="ES396" t="e">
        <f>AND('STERLING CATALOG - FZN &amp; CHILL'!G3533,"AAAAAE8vWpQ=")</f>
        <v>#VALUE!</v>
      </c>
      <c r="ET396" t="e">
        <f>AND('STERLING CATALOG - FZN &amp; CHILL'!H3533,"AAAAAE8vWpU=")</f>
        <v>#VALUE!</v>
      </c>
      <c r="EU396" t="e">
        <f>AND('STERLING CATALOG - FZN &amp; CHILL'!I3533,"AAAAAE8vWpY=")</f>
        <v>#VALUE!</v>
      </c>
      <c r="EV396" t="e">
        <f>AND('STERLING CATALOG - FZN &amp; CHILL'!J3533,"AAAAAE8vWpc=")</f>
        <v>#VALUE!</v>
      </c>
      <c r="EW396">
        <f>IF('STERLING CATALOG - FZN &amp; CHILL'!3534:3534,"AAAAAE8vWpg=",0)</f>
        <v>0</v>
      </c>
      <c r="EX396" t="e">
        <f>AND('STERLING CATALOG - FZN &amp; CHILL'!A3534,"AAAAAE8vWpk=")</f>
        <v>#VALUE!</v>
      </c>
      <c r="EY396" t="e">
        <f>AND('STERLING CATALOG - FZN &amp; CHILL'!B3534,"AAAAAE8vWpo=")</f>
        <v>#VALUE!</v>
      </c>
      <c r="EZ396" t="e">
        <f>AND('STERLING CATALOG - FZN &amp; CHILL'!C3534,"AAAAAE8vWps=")</f>
        <v>#VALUE!</v>
      </c>
      <c r="FA396" t="e">
        <f>AND('STERLING CATALOG - FZN &amp; CHILL'!D3534,"AAAAAE8vWpw=")</f>
        <v>#VALUE!</v>
      </c>
      <c r="FB396" t="e">
        <f>AND('STERLING CATALOG - FZN &amp; CHILL'!E3534,"AAAAAE8vWp0=")</f>
        <v>#VALUE!</v>
      </c>
      <c r="FC396" t="e">
        <f>AND('STERLING CATALOG - FZN &amp; CHILL'!F3534,"AAAAAE8vWp4=")</f>
        <v>#VALUE!</v>
      </c>
      <c r="FD396" t="e">
        <f>AND('STERLING CATALOG - FZN &amp; CHILL'!G3534,"AAAAAE8vWp8=")</f>
        <v>#VALUE!</v>
      </c>
      <c r="FE396" t="e">
        <f>AND('STERLING CATALOG - FZN &amp; CHILL'!H3534,"AAAAAE8vWqA=")</f>
        <v>#VALUE!</v>
      </c>
      <c r="FF396" t="e">
        <f>AND('STERLING CATALOG - FZN &amp; CHILL'!I3534,"AAAAAE8vWqE=")</f>
        <v>#VALUE!</v>
      </c>
      <c r="FG396" t="e">
        <f>AND('STERLING CATALOG - FZN &amp; CHILL'!J3534,"AAAAAE8vWqI=")</f>
        <v>#VALUE!</v>
      </c>
      <c r="FH396">
        <f>IF('STERLING CATALOG - FZN &amp; CHILL'!3535:3535,"AAAAAE8vWqM=",0)</f>
        <v>0</v>
      </c>
      <c r="FI396" t="e">
        <f>AND('STERLING CATALOG - FZN &amp; CHILL'!A3535,"AAAAAE8vWqQ=")</f>
        <v>#VALUE!</v>
      </c>
      <c r="FJ396" t="e">
        <f>AND('STERLING CATALOG - FZN &amp; CHILL'!B3535,"AAAAAE8vWqU=")</f>
        <v>#VALUE!</v>
      </c>
      <c r="FK396" t="e">
        <f>AND('STERLING CATALOG - FZN &amp; CHILL'!C3535,"AAAAAE8vWqY=")</f>
        <v>#VALUE!</v>
      </c>
      <c r="FL396" t="e">
        <f>AND('STERLING CATALOG - FZN &amp; CHILL'!D3535,"AAAAAE8vWqc=")</f>
        <v>#VALUE!</v>
      </c>
      <c r="FM396" t="e">
        <f>AND('STERLING CATALOG - FZN &amp; CHILL'!E3535,"AAAAAE8vWqg=")</f>
        <v>#VALUE!</v>
      </c>
      <c r="FN396" t="e">
        <f>AND('STERLING CATALOG - FZN &amp; CHILL'!F3535,"AAAAAE8vWqk=")</f>
        <v>#VALUE!</v>
      </c>
      <c r="FO396" t="e">
        <f>AND('STERLING CATALOG - FZN &amp; CHILL'!G3535,"AAAAAE8vWqo=")</f>
        <v>#VALUE!</v>
      </c>
      <c r="FP396" t="e">
        <f>AND('STERLING CATALOG - FZN &amp; CHILL'!H3535,"AAAAAE8vWqs=")</f>
        <v>#VALUE!</v>
      </c>
      <c r="FQ396" t="e">
        <f>AND('STERLING CATALOG - FZN &amp; CHILL'!I3535,"AAAAAE8vWqw=")</f>
        <v>#VALUE!</v>
      </c>
      <c r="FR396" t="e">
        <f>AND('STERLING CATALOG - FZN &amp; CHILL'!J3535,"AAAAAE8vWq0=")</f>
        <v>#VALUE!</v>
      </c>
      <c r="FS396">
        <f>IF('STERLING CATALOG - FZN &amp; CHILL'!3536:3536,"AAAAAE8vWq4=",0)</f>
        <v>0</v>
      </c>
      <c r="FT396" t="e">
        <f>AND('STERLING CATALOG - FZN &amp; CHILL'!A3536,"AAAAAE8vWq8=")</f>
        <v>#VALUE!</v>
      </c>
      <c r="FU396" t="e">
        <f>AND('STERLING CATALOG - FZN &amp; CHILL'!B3536,"AAAAAE8vWrA=")</f>
        <v>#VALUE!</v>
      </c>
      <c r="FV396" t="e">
        <f>AND('STERLING CATALOG - FZN &amp; CHILL'!C3536,"AAAAAE8vWrE=")</f>
        <v>#VALUE!</v>
      </c>
      <c r="FW396" t="e">
        <f>AND('STERLING CATALOG - FZN &amp; CHILL'!D3536,"AAAAAE8vWrI=")</f>
        <v>#VALUE!</v>
      </c>
      <c r="FX396" t="e">
        <f>AND('STERLING CATALOG - FZN &amp; CHILL'!E3536,"AAAAAE8vWrM=")</f>
        <v>#VALUE!</v>
      </c>
      <c r="FY396" t="e">
        <f>AND('STERLING CATALOG - FZN &amp; CHILL'!F3536,"AAAAAE8vWrQ=")</f>
        <v>#VALUE!</v>
      </c>
      <c r="FZ396" t="e">
        <f>AND('STERLING CATALOG - FZN &amp; CHILL'!G3536,"AAAAAE8vWrU=")</f>
        <v>#VALUE!</v>
      </c>
      <c r="GA396" t="e">
        <f>AND('STERLING CATALOG - FZN &amp; CHILL'!H3536,"AAAAAE8vWrY=")</f>
        <v>#VALUE!</v>
      </c>
      <c r="GB396" t="e">
        <f>AND('STERLING CATALOG - FZN &amp; CHILL'!I3536,"AAAAAE8vWrc=")</f>
        <v>#VALUE!</v>
      </c>
      <c r="GC396" t="e">
        <f>AND('STERLING CATALOG - FZN &amp; CHILL'!J3536,"AAAAAE8vWrg=")</f>
        <v>#VALUE!</v>
      </c>
      <c r="GD396">
        <f>IF('STERLING CATALOG - FZN &amp; CHILL'!3537:3537,"AAAAAE8vWrk=",0)</f>
        <v>0</v>
      </c>
      <c r="GE396" t="e">
        <f>AND('STERLING CATALOG - FZN &amp; CHILL'!A3537,"AAAAAE8vWro=")</f>
        <v>#VALUE!</v>
      </c>
      <c r="GF396" t="e">
        <f>AND('STERLING CATALOG - FZN &amp; CHILL'!B3537,"AAAAAE8vWrs=")</f>
        <v>#VALUE!</v>
      </c>
      <c r="GG396" t="e">
        <f>AND('STERLING CATALOG - FZN &amp; CHILL'!C3537,"AAAAAE8vWrw=")</f>
        <v>#VALUE!</v>
      </c>
      <c r="GH396" t="e">
        <f>AND('STERLING CATALOG - FZN &amp; CHILL'!D3537,"AAAAAE8vWr0=")</f>
        <v>#VALUE!</v>
      </c>
      <c r="GI396" t="e">
        <f>AND('STERLING CATALOG - FZN &amp; CHILL'!E3537,"AAAAAE8vWr4=")</f>
        <v>#VALUE!</v>
      </c>
      <c r="GJ396" t="e">
        <f>AND('STERLING CATALOG - FZN &amp; CHILL'!F3537,"AAAAAE8vWr8=")</f>
        <v>#VALUE!</v>
      </c>
      <c r="GK396" t="e">
        <f>AND('STERLING CATALOG - FZN &amp; CHILL'!G3537,"AAAAAE8vWsA=")</f>
        <v>#VALUE!</v>
      </c>
      <c r="GL396" t="e">
        <f>AND('STERLING CATALOG - FZN &amp; CHILL'!H3537,"AAAAAE8vWsE=")</f>
        <v>#VALUE!</v>
      </c>
      <c r="GM396" t="e">
        <f>AND('STERLING CATALOG - FZN &amp; CHILL'!I3537,"AAAAAE8vWsI=")</f>
        <v>#VALUE!</v>
      </c>
      <c r="GN396" t="e">
        <f>AND('STERLING CATALOG - FZN &amp; CHILL'!J3537,"AAAAAE8vWsM=")</f>
        <v>#VALUE!</v>
      </c>
      <c r="GO396">
        <f>IF('STERLING CATALOG - FZN &amp; CHILL'!3538:3538,"AAAAAE8vWsQ=",0)</f>
        <v>0</v>
      </c>
      <c r="GP396" t="e">
        <f>AND('STERLING CATALOG - FZN &amp; CHILL'!A3538,"AAAAAE8vWsU=")</f>
        <v>#VALUE!</v>
      </c>
      <c r="GQ396" t="e">
        <f>AND('STERLING CATALOG - FZN &amp; CHILL'!B3538,"AAAAAE8vWsY=")</f>
        <v>#VALUE!</v>
      </c>
      <c r="GR396" t="e">
        <f>AND('STERLING CATALOG - FZN &amp; CHILL'!C3538,"AAAAAE8vWsc=")</f>
        <v>#VALUE!</v>
      </c>
      <c r="GS396" t="e">
        <f>AND('STERLING CATALOG - FZN &amp; CHILL'!D3538,"AAAAAE8vWsg=")</f>
        <v>#VALUE!</v>
      </c>
      <c r="GT396" t="e">
        <f>AND('STERLING CATALOG - FZN &amp; CHILL'!E3538,"AAAAAE8vWsk=")</f>
        <v>#VALUE!</v>
      </c>
      <c r="GU396" t="e">
        <f>AND('STERLING CATALOG - FZN &amp; CHILL'!F3538,"AAAAAE8vWso=")</f>
        <v>#VALUE!</v>
      </c>
      <c r="GV396" t="e">
        <f>AND('STERLING CATALOG - FZN &amp; CHILL'!G3538,"AAAAAE8vWss=")</f>
        <v>#VALUE!</v>
      </c>
      <c r="GW396" t="e">
        <f>AND('STERLING CATALOG - FZN &amp; CHILL'!H3538,"AAAAAE8vWsw=")</f>
        <v>#VALUE!</v>
      </c>
      <c r="GX396" t="e">
        <f>AND('STERLING CATALOG - FZN &amp; CHILL'!I3538,"AAAAAE8vWs0=")</f>
        <v>#VALUE!</v>
      </c>
      <c r="GY396" t="e">
        <f>AND('STERLING CATALOG - FZN &amp; CHILL'!J3538,"AAAAAE8vWs4=")</f>
        <v>#VALUE!</v>
      </c>
      <c r="GZ396">
        <f>IF('STERLING CATALOG - FZN &amp; CHILL'!3539:3539,"AAAAAE8vWs8=",0)</f>
        <v>0</v>
      </c>
      <c r="HA396" t="e">
        <f>AND('STERLING CATALOG - FZN &amp; CHILL'!A3539,"AAAAAE8vWtA=")</f>
        <v>#VALUE!</v>
      </c>
      <c r="HB396" t="e">
        <f>AND('STERLING CATALOG - FZN &amp; CHILL'!B3539,"AAAAAE8vWtE=")</f>
        <v>#VALUE!</v>
      </c>
      <c r="HC396" t="e">
        <f>AND('STERLING CATALOG - FZN &amp; CHILL'!C3539,"AAAAAE8vWtI=")</f>
        <v>#VALUE!</v>
      </c>
      <c r="HD396" t="e">
        <f>AND('STERLING CATALOG - FZN &amp; CHILL'!D3539,"AAAAAE8vWtM=")</f>
        <v>#VALUE!</v>
      </c>
      <c r="HE396" t="e">
        <f>AND('STERLING CATALOG - FZN &amp; CHILL'!E3539,"AAAAAE8vWtQ=")</f>
        <v>#VALUE!</v>
      </c>
      <c r="HF396" t="e">
        <f>AND('STERLING CATALOG - FZN &amp; CHILL'!F3539,"AAAAAE8vWtU=")</f>
        <v>#VALUE!</v>
      </c>
      <c r="HG396" t="e">
        <f>AND('STERLING CATALOG - FZN &amp; CHILL'!G3539,"AAAAAE8vWtY=")</f>
        <v>#VALUE!</v>
      </c>
      <c r="HH396" t="e">
        <f>AND('STERLING CATALOG - FZN &amp; CHILL'!H3539,"AAAAAE8vWtc=")</f>
        <v>#VALUE!</v>
      </c>
      <c r="HI396" t="e">
        <f>AND('STERLING CATALOG - FZN &amp; CHILL'!I3539,"AAAAAE8vWtg=")</f>
        <v>#VALUE!</v>
      </c>
      <c r="HJ396" t="e">
        <f>AND('STERLING CATALOG - FZN &amp; CHILL'!J3539,"AAAAAE8vWtk=")</f>
        <v>#VALUE!</v>
      </c>
      <c r="HK396">
        <f>IF('STERLING CATALOG - FZN &amp; CHILL'!3540:3540,"AAAAAE8vWto=",0)</f>
        <v>0</v>
      </c>
      <c r="HL396" t="e">
        <f>AND('STERLING CATALOG - FZN &amp; CHILL'!A3540,"AAAAAE8vWts=")</f>
        <v>#VALUE!</v>
      </c>
      <c r="HM396" t="e">
        <f>AND('STERLING CATALOG - FZN &amp; CHILL'!B3540,"AAAAAE8vWtw=")</f>
        <v>#VALUE!</v>
      </c>
      <c r="HN396" t="e">
        <f>AND('STERLING CATALOG - FZN &amp; CHILL'!C3540,"AAAAAE8vWt0=")</f>
        <v>#VALUE!</v>
      </c>
      <c r="HO396" t="e">
        <f>AND('STERLING CATALOG - FZN &amp; CHILL'!D3540,"AAAAAE8vWt4=")</f>
        <v>#VALUE!</v>
      </c>
      <c r="HP396" t="e">
        <f>AND('STERLING CATALOG - FZN &amp; CHILL'!E3540,"AAAAAE8vWt8=")</f>
        <v>#VALUE!</v>
      </c>
      <c r="HQ396" t="e">
        <f>AND('STERLING CATALOG - FZN &amp; CHILL'!F3540,"AAAAAE8vWuA=")</f>
        <v>#VALUE!</v>
      </c>
      <c r="HR396" t="e">
        <f>AND('STERLING CATALOG - FZN &amp; CHILL'!G3540,"AAAAAE8vWuE=")</f>
        <v>#VALUE!</v>
      </c>
      <c r="HS396" t="e">
        <f>AND('STERLING CATALOG - FZN &amp; CHILL'!H3540,"AAAAAE8vWuI=")</f>
        <v>#VALUE!</v>
      </c>
      <c r="HT396" t="e">
        <f>AND('STERLING CATALOG - FZN &amp; CHILL'!I3540,"AAAAAE8vWuM=")</f>
        <v>#VALUE!</v>
      </c>
      <c r="HU396" t="e">
        <f>AND('STERLING CATALOG - FZN &amp; CHILL'!J3540,"AAAAAE8vWuQ=")</f>
        <v>#VALUE!</v>
      </c>
      <c r="HV396">
        <f>IF('STERLING CATALOG - FZN &amp; CHILL'!3541:3541,"AAAAAE8vWuU=",0)</f>
        <v>0</v>
      </c>
      <c r="HW396" t="e">
        <f>AND('STERLING CATALOG - FZN &amp; CHILL'!A3541,"AAAAAE8vWuY=")</f>
        <v>#VALUE!</v>
      </c>
      <c r="HX396" t="e">
        <f>AND('STERLING CATALOG - FZN &amp; CHILL'!B3541,"AAAAAE8vWuc=")</f>
        <v>#VALUE!</v>
      </c>
      <c r="HY396" t="e">
        <f>AND('STERLING CATALOG - FZN &amp; CHILL'!C3541,"AAAAAE8vWug=")</f>
        <v>#VALUE!</v>
      </c>
      <c r="HZ396" t="e">
        <f>AND('STERLING CATALOG - FZN &amp; CHILL'!D3541,"AAAAAE8vWuk=")</f>
        <v>#VALUE!</v>
      </c>
      <c r="IA396" t="e">
        <f>AND('STERLING CATALOG - FZN &amp; CHILL'!E3541,"AAAAAE8vWuo=")</f>
        <v>#VALUE!</v>
      </c>
      <c r="IB396" t="e">
        <f>AND('STERLING CATALOG - FZN &amp; CHILL'!F3541,"AAAAAE8vWus=")</f>
        <v>#VALUE!</v>
      </c>
      <c r="IC396" t="e">
        <f>AND('STERLING CATALOG - FZN &amp; CHILL'!G3541,"AAAAAE8vWuw=")</f>
        <v>#VALUE!</v>
      </c>
      <c r="ID396" t="e">
        <f>AND('STERLING CATALOG - FZN &amp; CHILL'!H3541,"AAAAAE8vWu0=")</f>
        <v>#VALUE!</v>
      </c>
      <c r="IE396" t="e">
        <f>AND('STERLING CATALOG - FZN &amp; CHILL'!I3541,"AAAAAE8vWu4=")</f>
        <v>#VALUE!</v>
      </c>
      <c r="IF396" t="e">
        <f>AND('STERLING CATALOG - FZN &amp; CHILL'!J3541,"AAAAAE8vWu8=")</f>
        <v>#VALUE!</v>
      </c>
      <c r="IG396">
        <f>IF('STERLING CATALOG - FZN &amp; CHILL'!3542:3542,"AAAAAE8vWvA=",0)</f>
        <v>0</v>
      </c>
      <c r="IH396" t="e">
        <f>AND('STERLING CATALOG - FZN &amp; CHILL'!A3542,"AAAAAE8vWvE=")</f>
        <v>#VALUE!</v>
      </c>
      <c r="II396" t="e">
        <f>AND('STERLING CATALOG - FZN &amp; CHILL'!B3542,"AAAAAE8vWvI=")</f>
        <v>#VALUE!</v>
      </c>
      <c r="IJ396" t="e">
        <f>AND('STERLING CATALOG - FZN &amp; CHILL'!C3542,"AAAAAE8vWvM=")</f>
        <v>#VALUE!</v>
      </c>
      <c r="IK396" t="e">
        <f>AND('STERLING CATALOG - FZN &amp; CHILL'!D3542,"AAAAAE8vWvQ=")</f>
        <v>#VALUE!</v>
      </c>
      <c r="IL396" t="e">
        <f>AND('STERLING CATALOG - FZN &amp; CHILL'!E3542,"AAAAAE8vWvU=")</f>
        <v>#VALUE!</v>
      </c>
      <c r="IM396" t="e">
        <f>AND('STERLING CATALOG - FZN &amp; CHILL'!F3542,"AAAAAE8vWvY=")</f>
        <v>#VALUE!</v>
      </c>
      <c r="IN396" t="e">
        <f>AND('STERLING CATALOG - FZN &amp; CHILL'!G3542,"AAAAAE8vWvc=")</f>
        <v>#VALUE!</v>
      </c>
      <c r="IO396" t="e">
        <f>AND('STERLING CATALOG - FZN &amp; CHILL'!H3542,"AAAAAE8vWvg=")</f>
        <v>#VALUE!</v>
      </c>
      <c r="IP396" t="e">
        <f>AND('STERLING CATALOG - FZN &amp; CHILL'!I3542,"AAAAAE8vWvk=")</f>
        <v>#VALUE!</v>
      </c>
      <c r="IQ396" t="e">
        <f>AND('STERLING CATALOG - FZN &amp; CHILL'!J3542,"AAAAAE8vWvo=")</f>
        <v>#VALUE!</v>
      </c>
      <c r="IR396">
        <f>IF('STERLING CATALOG - FZN &amp; CHILL'!3543:3543,"AAAAAE8vWvs=",0)</f>
        <v>0</v>
      </c>
      <c r="IS396" t="e">
        <f>AND('STERLING CATALOG - FZN &amp; CHILL'!A3543,"AAAAAE8vWvw=")</f>
        <v>#VALUE!</v>
      </c>
      <c r="IT396" t="e">
        <f>AND('STERLING CATALOG - FZN &amp; CHILL'!B3543,"AAAAAE8vWv0=")</f>
        <v>#VALUE!</v>
      </c>
      <c r="IU396" t="e">
        <f>AND('STERLING CATALOG - FZN &amp; CHILL'!C3543,"AAAAAE8vWv4=")</f>
        <v>#VALUE!</v>
      </c>
      <c r="IV396" t="e">
        <f>AND('STERLING CATALOG - FZN &amp; CHILL'!D3543,"AAAAAE8vWv8=")</f>
        <v>#VALUE!</v>
      </c>
    </row>
    <row r="397" spans="1:256">
      <c r="A397" t="e">
        <f>AND('STERLING CATALOG - FZN &amp; CHILL'!E3543,"AAAAAB3r/gA=")</f>
        <v>#VALUE!</v>
      </c>
      <c r="B397" t="e">
        <f>AND('STERLING CATALOG - FZN &amp; CHILL'!F3543,"AAAAAB3r/gE=")</f>
        <v>#VALUE!</v>
      </c>
      <c r="C397" t="e">
        <f>AND('STERLING CATALOG - FZN &amp; CHILL'!G3543,"AAAAAB3r/gI=")</f>
        <v>#VALUE!</v>
      </c>
      <c r="D397" t="e">
        <f>AND('STERLING CATALOG - FZN &amp; CHILL'!H3543,"AAAAAB3r/gM=")</f>
        <v>#VALUE!</v>
      </c>
      <c r="E397" t="e">
        <f>AND('STERLING CATALOG - FZN &amp; CHILL'!I3543,"AAAAAB3r/gQ=")</f>
        <v>#VALUE!</v>
      </c>
      <c r="F397" t="e">
        <f>AND('STERLING CATALOG - FZN &amp; CHILL'!J3543,"AAAAAB3r/gU=")</f>
        <v>#VALUE!</v>
      </c>
      <c r="G397" t="str">
        <f>IF('STERLING CATALOG - FZN &amp; CHILL'!3544:3544,"AAAAAB3r/gY=",0)</f>
        <v>AAAAAB3r/gY=</v>
      </c>
      <c r="H397" t="e">
        <f>AND('STERLING CATALOG - FZN &amp; CHILL'!A3544,"AAAAAB3r/gc=")</f>
        <v>#VALUE!</v>
      </c>
      <c r="I397" t="e">
        <f>AND('STERLING CATALOG - FZN &amp; CHILL'!B3544,"AAAAAB3r/gg=")</f>
        <v>#VALUE!</v>
      </c>
      <c r="J397" t="e">
        <f>AND('STERLING CATALOG - FZN &amp; CHILL'!C3544,"AAAAAB3r/gk=")</f>
        <v>#VALUE!</v>
      </c>
      <c r="K397" t="e">
        <f>AND('STERLING CATALOG - FZN &amp; CHILL'!D3544,"AAAAAB3r/go=")</f>
        <v>#VALUE!</v>
      </c>
      <c r="L397" t="e">
        <f>AND('STERLING CATALOG - FZN &amp; CHILL'!E3544,"AAAAAB3r/gs=")</f>
        <v>#VALUE!</v>
      </c>
      <c r="M397" t="e">
        <f>AND('STERLING CATALOG - FZN &amp; CHILL'!F3544,"AAAAAB3r/gw=")</f>
        <v>#VALUE!</v>
      </c>
      <c r="N397" t="e">
        <f>AND('STERLING CATALOG - FZN &amp; CHILL'!G3544,"AAAAAB3r/g0=")</f>
        <v>#VALUE!</v>
      </c>
      <c r="O397" t="e">
        <f>AND('STERLING CATALOG - FZN &amp; CHILL'!H3544,"AAAAAB3r/g4=")</f>
        <v>#VALUE!</v>
      </c>
      <c r="P397" t="e">
        <f>AND('STERLING CATALOG - FZN &amp; CHILL'!I3544,"AAAAAB3r/g8=")</f>
        <v>#VALUE!</v>
      </c>
      <c r="Q397" t="e">
        <f>AND('STERLING CATALOG - FZN &amp; CHILL'!J3544,"AAAAAB3r/hA=")</f>
        <v>#VALUE!</v>
      </c>
      <c r="R397">
        <f>IF('STERLING CATALOG - FZN &amp; CHILL'!3545:3545,"AAAAAB3r/hE=",0)</f>
        <v>0</v>
      </c>
      <c r="S397" t="e">
        <f>AND('STERLING CATALOG - FZN &amp; CHILL'!A3545,"AAAAAB3r/hI=")</f>
        <v>#VALUE!</v>
      </c>
      <c r="T397" t="e">
        <f>AND('STERLING CATALOG - FZN &amp; CHILL'!B3545,"AAAAAB3r/hM=")</f>
        <v>#VALUE!</v>
      </c>
      <c r="U397" t="e">
        <f>AND('STERLING CATALOG - FZN &amp; CHILL'!C3545,"AAAAAB3r/hQ=")</f>
        <v>#VALUE!</v>
      </c>
      <c r="V397" t="e">
        <f>AND('STERLING CATALOG - FZN &amp; CHILL'!D3545,"AAAAAB3r/hU=")</f>
        <v>#VALUE!</v>
      </c>
      <c r="W397" t="e">
        <f>AND('STERLING CATALOG - FZN &amp; CHILL'!E3545,"AAAAAB3r/hY=")</f>
        <v>#VALUE!</v>
      </c>
      <c r="X397" t="e">
        <f>AND('STERLING CATALOG - FZN &amp; CHILL'!F3545,"AAAAAB3r/hc=")</f>
        <v>#VALUE!</v>
      </c>
      <c r="Y397" t="e">
        <f>AND('STERLING CATALOG - FZN &amp; CHILL'!G3545,"AAAAAB3r/hg=")</f>
        <v>#VALUE!</v>
      </c>
      <c r="Z397" t="e">
        <f>AND('STERLING CATALOG - FZN &amp; CHILL'!H3545,"AAAAAB3r/hk=")</f>
        <v>#VALUE!</v>
      </c>
      <c r="AA397" t="e">
        <f>AND('STERLING CATALOG - FZN &amp; CHILL'!I3545,"AAAAAB3r/ho=")</f>
        <v>#VALUE!</v>
      </c>
      <c r="AB397" t="e">
        <f>AND('STERLING CATALOG - FZN &amp; CHILL'!J3545,"AAAAAB3r/hs=")</f>
        <v>#VALUE!</v>
      </c>
      <c r="AC397">
        <f>IF('STERLING CATALOG - FZN &amp; CHILL'!3546:3546,"AAAAAB3r/hw=",0)</f>
        <v>0</v>
      </c>
      <c r="AD397" t="e">
        <f>AND('STERLING CATALOG - FZN &amp; CHILL'!A3546,"AAAAAB3r/h0=")</f>
        <v>#VALUE!</v>
      </c>
      <c r="AE397" t="e">
        <f>AND('STERLING CATALOG - FZN &amp; CHILL'!B3546,"AAAAAB3r/h4=")</f>
        <v>#VALUE!</v>
      </c>
      <c r="AF397" t="e">
        <f>AND('STERLING CATALOG - FZN &amp; CHILL'!C3546,"AAAAAB3r/h8=")</f>
        <v>#VALUE!</v>
      </c>
      <c r="AG397" t="e">
        <f>AND('STERLING CATALOG - FZN &amp; CHILL'!D3546,"AAAAAB3r/iA=")</f>
        <v>#VALUE!</v>
      </c>
      <c r="AH397" t="e">
        <f>AND('STERLING CATALOG - FZN &amp; CHILL'!E3546,"AAAAAB3r/iE=")</f>
        <v>#VALUE!</v>
      </c>
      <c r="AI397" t="e">
        <f>AND('STERLING CATALOG - FZN &amp; CHILL'!F3546,"AAAAAB3r/iI=")</f>
        <v>#VALUE!</v>
      </c>
      <c r="AJ397" t="e">
        <f>AND('STERLING CATALOG - FZN &amp; CHILL'!G3546,"AAAAAB3r/iM=")</f>
        <v>#VALUE!</v>
      </c>
      <c r="AK397" t="e">
        <f>AND('STERLING CATALOG - FZN &amp; CHILL'!H3546,"AAAAAB3r/iQ=")</f>
        <v>#VALUE!</v>
      </c>
      <c r="AL397" t="e">
        <f>AND('STERLING CATALOG - FZN &amp; CHILL'!I3546,"AAAAAB3r/iU=")</f>
        <v>#VALUE!</v>
      </c>
      <c r="AM397" t="e">
        <f>AND('STERLING CATALOG - FZN &amp; CHILL'!J3546,"AAAAAB3r/iY=")</f>
        <v>#VALUE!</v>
      </c>
      <c r="AN397">
        <f>IF('STERLING CATALOG - FZN &amp; CHILL'!3547:3547,"AAAAAB3r/ic=",0)</f>
        <v>0</v>
      </c>
      <c r="AO397" t="e">
        <f>AND('STERLING CATALOG - FZN &amp; CHILL'!A3547,"AAAAAB3r/ig=")</f>
        <v>#VALUE!</v>
      </c>
      <c r="AP397" t="e">
        <f>AND('STERLING CATALOG - FZN &amp; CHILL'!B3547,"AAAAAB3r/ik=")</f>
        <v>#VALUE!</v>
      </c>
      <c r="AQ397" t="e">
        <f>AND('STERLING CATALOG - FZN &amp; CHILL'!C3547,"AAAAAB3r/io=")</f>
        <v>#VALUE!</v>
      </c>
      <c r="AR397" t="e">
        <f>AND('STERLING CATALOG - FZN &amp; CHILL'!D3547,"AAAAAB3r/is=")</f>
        <v>#VALUE!</v>
      </c>
      <c r="AS397" t="e">
        <f>AND('STERLING CATALOG - FZN &amp; CHILL'!E3547,"AAAAAB3r/iw=")</f>
        <v>#VALUE!</v>
      </c>
      <c r="AT397" t="e">
        <f>AND('STERLING CATALOG - FZN &amp; CHILL'!F3547,"AAAAAB3r/i0=")</f>
        <v>#VALUE!</v>
      </c>
      <c r="AU397" t="e">
        <f>AND('STERLING CATALOG - FZN &amp; CHILL'!G3547,"AAAAAB3r/i4=")</f>
        <v>#VALUE!</v>
      </c>
      <c r="AV397" t="e">
        <f>AND('STERLING CATALOG - FZN &amp; CHILL'!H3547,"AAAAAB3r/i8=")</f>
        <v>#VALUE!</v>
      </c>
      <c r="AW397" t="e">
        <f>AND('STERLING CATALOG - FZN &amp; CHILL'!I3547,"AAAAAB3r/jA=")</f>
        <v>#VALUE!</v>
      </c>
      <c r="AX397" t="e">
        <f>AND('STERLING CATALOG - FZN &amp; CHILL'!J3547,"AAAAAB3r/jE=")</f>
        <v>#VALUE!</v>
      </c>
      <c r="AY397">
        <f>IF('STERLING CATALOG - FZN &amp; CHILL'!3548:3548,"AAAAAB3r/jI=",0)</f>
        <v>0</v>
      </c>
      <c r="AZ397" t="e">
        <f>AND('STERLING CATALOG - FZN &amp; CHILL'!A3548,"AAAAAB3r/jM=")</f>
        <v>#VALUE!</v>
      </c>
      <c r="BA397" t="e">
        <f>AND('STERLING CATALOG - FZN &amp; CHILL'!B3548,"AAAAAB3r/jQ=")</f>
        <v>#VALUE!</v>
      </c>
      <c r="BB397" t="e">
        <f>AND('STERLING CATALOG - FZN &amp; CHILL'!C3548,"AAAAAB3r/jU=")</f>
        <v>#VALUE!</v>
      </c>
      <c r="BC397" t="e">
        <f>AND('STERLING CATALOG - FZN &amp; CHILL'!D3548,"AAAAAB3r/jY=")</f>
        <v>#VALUE!</v>
      </c>
      <c r="BD397" t="e">
        <f>AND('STERLING CATALOG - FZN &amp; CHILL'!E3548,"AAAAAB3r/jc=")</f>
        <v>#VALUE!</v>
      </c>
      <c r="BE397" t="e">
        <f>AND('STERLING CATALOG - FZN &amp; CHILL'!F3548,"AAAAAB3r/jg=")</f>
        <v>#VALUE!</v>
      </c>
      <c r="BF397" t="e">
        <f>AND('STERLING CATALOG - FZN &amp; CHILL'!G3548,"AAAAAB3r/jk=")</f>
        <v>#VALUE!</v>
      </c>
      <c r="BG397" t="e">
        <f>AND('STERLING CATALOG - FZN &amp; CHILL'!H3548,"AAAAAB3r/jo=")</f>
        <v>#VALUE!</v>
      </c>
      <c r="BH397" t="e">
        <f>AND('STERLING CATALOG - FZN &amp; CHILL'!I3548,"AAAAAB3r/js=")</f>
        <v>#VALUE!</v>
      </c>
      <c r="BI397" t="e">
        <f>AND('STERLING CATALOG - FZN &amp; CHILL'!J3548,"AAAAAB3r/jw=")</f>
        <v>#VALUE!</v>
      </c>
      <c r="BJ397">
        <f>IF('STERLING CATALOG - FZN &amp; CHILL'!3549:3549,"AAAAAB3r/j0=",0)</f>
        <v>0</v>
      </c>
      <c r="BK397" t="e">
        <f>AND('STERLING CATALOG - FZN &amp; CHILL'!A3549,"AAAAAB3r/j4=")</f>
        <v>#VALUE!</v>
      </c>
      <c r="BL397" t="e">
        <f>AND('STERLING CATALOG - FZN &amp; CHILL'!B3549,"AAAAAB3r/j8=")</f>
        <v>#VALUE!</v>
      </c>
      <c r="BM397" t="e">
        <f>AND('STERLING CATALOG - FZN &amp; CHILL'!C3549,"AAAAAB3r/kA=")</f>
        <v>#VALUE!</v>
      </c>
      <c r="BN397" t="e">
        <f>AND('STERLING CATALOG - FZN &amp; CHILL'!D3549,"AAAAAB3r/kE=")</f>
        <v>#VALUE!</v>
      </c>
      <c r="BO397" t="e">
        <f>AND('STERLING CATALOG - FZN &amp; CHILL'!E3549,"AAAAAB3r/kI=")</f>
        <v>#VALUE!</v>
      </c>
      <c r="BP397" t="e">
        <f>AND('STERLING CATALOG - FZN &amp; CHILL'!F3549,"AAAAAB3r/kM=")</f>
        <v>#VALUE!</v>
      </c>
      <c r="BQ397" t="e">
        <f>AND('STERLING CATALOG - FZN &amp; CHILL'!G3549,"AAAAAB3r/kQ=")</f>
        <v>#VALUE!</v>
      </c>
      <c r="BR397" t="e">
        <f>AND('STERLING CATALOG - FZN &amp; CHILL'!H3549,"AAAAAB3r/kU=")</f>
        <v>#VALUE!</v>
      </c>
      <c r="BS397" t="e">
        <f>AND('STERLING CATALOG - FZN &amp; CHILL'!I3549,"AAAAAB3r/kY=")</f>
        <v>#VALUE!</v>
      </c>
      <c r="BT397" t="e">
        <f>AND('STERLING CATALOG - FZN &amp; CHILL'!J3549,"AAAAAB3r/kc=")</f>
        <v>#VALUE!</v>
      </c>
      <c r="BU397">
        <f>IF('STERLING CATALOG - FZN &amp; CHILL'!3550:3550,"AAAAAB3r/kg=",0)</f>
        <v>0</v>
      </c>
      <c r="BV397" t="e">
        <f>AND('STERLING CATALOG - FZN &amp; CHILL'!A3550,"AAAAAB3r/kk=")</f>
        <v>#VALUE!</v>
      </c>
      <c r="BW397" t="e">
        <f>AND('STERLING CATALOG - FZN &amp; CHILL'!B3550,"AAAAAB3r/ko=")</f>
        <v>#VALUE!</v>
      </c>
      <c r="BX397" t="e">
        <f>AND('STERLING CATALOG - FZN &amp; CHILL'!C3550,"AAAAAB3r/ks=")</f>
        <v>#VALUE!</v>
      </c>
      <c r="BY397" t="e">
        <f>AND('STERLING CATALOG - FZN &amp; CHILL'!D3550,"AAAAAB3r/kw=")</f>
        <v>#VALUE!</v>
      </c>
      <c r="BZ397" t="e">
        <f>AND('STERLING CATALOG - FZN &amp; CHILL'!E3550,"AAAAAB3r/k0=")</f>
        <v>#VALUE!</v>
      </c>
      <c r="CA397" t="e">
        <f>AND('STERLING CATALOG - FZN &amp; CHILL'!F3550,"AAAAAB3r/k4=")</f>
        <v>#VALUE!</v>
      </c>
      <c r="CB397" t="e">
        <f>AND('STERLING CATALOG - FZN &amp; CHILL'!G3550,"AAAAAB3r/k8=")</f>
        <v>#VALUE!</v>
      </c>
      <c r="CC397" t="e">
        <f>AND('STERLING CATALOG - FZN &amp; CHILL'!H3550,"AAAAAB3r/lA=")</f>
        <v>#VALUE!</v>
      </c>
      <c r="CD397" t="e">
        <f>AND('STERLING CATALOG - FZN &amp; CHILL'!I3550,"AAAAAB3r/lE=")</f>
        <v>#VALUE!</v>
      </c>
      <c r="CE397" t="e">
        <f>AND('STERLING CATALOG - FZN &amp; CHILL'!J3550,"AAAAAB3r/lI=")</f>
        <v>#VALUE!</v>
      </c>
      <c r="CF397">
        <f>IF('STERLING CATALOG - FZN &amp; CHILL'!3551:3551,"AAAAAB3r/lM=",0)</f>
        <v>0</v>
      </c>
      <c r="CG397" t="e">
        <f>AND('STERLING CATALOG - FZN &amp; CHILL'!A3551,"AAAAAB3r/lQ=")</f>
        <v>#VALUE!</v>
      </c>
      <c r="CH397" t="e">
        <f>AND('STERLING CATALOG - FZN &amp; CHILL'!B3551,"AAAAAB3r/lU=")</f>
        <v>#VALUE!</v>
      </c>
      <c r="CI397" t="e">
        <f>AND('STERLING CATALOG - FZN &amp; CHILL'!C3551,"AAAAAB3r/lY=")</f>
        <v>#VALUE!</v>
      </c>
      <c r="CJ397" t="e">
        <f>AND('STERLING CATALOG - FZN &amp; CHILL'!D3551,"AAAAAB3r/lc=")</f>
        <v>#VALUE!</v>
      </c>
      <c r="CK397" t="e">
        <f>AND('STERLING CATALOG - FZN &amp; CHILL'!E3551,"AAAAAB3r/lg=")</f>
        <v>#VALUE!</v>
      </c>
      <c r="CL397" t="e">
        <f>AND('STERLING CATALOG - FZN &amp; CHILL'!F3551,"AAAAAB3r/lk=")</f>
        <v>#VALUE!</v>
      </c>
      <c r="CM397" t="e">
        <f>AND('STERLING CATALOG - FZN &amp; CHILL'!G3551,"AAAAAB3r/lo=")</f>
        <v>#VALUE!</v>
      </c>
      <c r="CN397" t="e">
        <f>AND('STERLING CATALOG - FZN &amp; CHILL'!H3551,"AAAAAB3r/ls=")</f>
        <v>#VALUE!</v>
      </c>
      <c r="CO397" t="e">
        <f>AND('STERLING CATALOG - FZN &amp; CHILL'!I3551,"AAAAAB3r/lw=")</f>
        <v>#VALUE!</v>
      </c>
      <c r="CP397" t="e">
        <f>AND('STERLING CATALOG - FZN &amp; CHILL'!J3551,"AAAAAB3r/l0=")</f>
        <v>#VALUE!</v>
      </c>
      <c r="CQ397">
        <f>IF('STERLING CATALOG - FZN &amp; CHILL'!3552:3552,"AAAAAB3r/l4=",0)</f>
        <v>0</v>
      </c>
      <c r="CR397" t="e">
        <f>AND('STERLING CATALOG - FZN &amp; CHILL'!A3552,"AAAAAB3r/l8=")</f>
        <v>#VALUE!</v>
      </c>
      <c r="CS397" t="e">
        <f>AND('STERLING CATALOG - FZN &amp; CHILL'!B3552,"AAAAAB3r/mA=")</f>
        <v>#VALUE!</v>
      </c>
      <c r="CT397" t="e">
        <f>AND('STERLING CATALOG - FZN &amp; CHILL'!C3552,"AAAAAB3r/mE=")</f>
        <v>#VALUE!</v>
      </c>
      <c r="CU397" t="e">
        <f>AND('STERLING CATALOG - FZN &amp; CHILL'!D3552,"AAAAAB3r/mI=")</f>
        <v>#VALUE!</v>
      </c>
      <c r="CV397" t="e">
        <f>AND('STERLING CATALOG - FZN &amp; CHILL'!E3552,"AAAAAB3r/mM=")</f>
        <v>#VALUE!</v>
      </c>
      <c r="CW397" t="e">
        <f>AND('STERLING CATALOG - FZN &amp; CHILL'!F3552,"AAAAAB3r/mQ=")</f>
        <v>#VALUE!</v>
      </c>
      <c r="CX397" t="e">
        <f>AND('STERLING CATALOG - FZN &amp; CHILL'!G3552,"AAAAAB3r/mU=")</f>
        <v>#VALUE!</v>
      </c>
      <c r="CY397" t="e">
        <f>AND('STERLING CATALOG - FZN &amp; CHILL'!H3552,"AAAAAB3r/mY=")</f>
        <v>#VALUE!</v>
      </c>
      <c r="CZ397" t="e">
        <f>AND('STERLING CATALOG - FZN &amp; CHILL'!I3552,"AAAAAB3r/mc=")</f>
        <v>#VALUE!</v>
      </c>
      <c r="DA397" t="e">
        <f>AND('STERLING CATALOG - FZN &amp; CHILL'!J3552,"AAAAAB3r/mg=")</f>
        <v>#VALUE!</v>
      </c>
      <c r="DB397">
        <f>IF('STERLING CATALOG - FZN &amp; CHILL'!3553:3553,"AAAAAB3r/mk=",0)</f>
        <v>0</v>
      </c>
      <c r="DC397" t="e">
        <f>AND('STERLING CATALOG - FZN &amp; CHILL'!A3553,"AAAAAB3r/mo=")</f>
        <v>#VALUE!</v>
      </c>
      <c r="DD397" t="e">
        <f>AND('STERLING CATALOG - FZN &amp; CHILL'!B3553,"AAAAAB3r/ms=")</f>
        <v>#VALUE!</v>
      </c>
      <c r="DE397" t="e">
        <f>AND('STERLING CATALOG - FZN &amp; CHILL'!C3553,"AAAAAB3r/mw=")</f>
        <v>#VALUE!</v>
      </c>
      <c r="DF397" t="e">
        <f>AND('STERLING CATALOG - FZN &amp; CHILL'!D3553,"AAAAAB3r/m0=")</f>
        <v>#VALUE!</v>
      </c>
      <c r="DG397" t="e">
        <f>AND('STERLING CATALOG - FZN &amp; CHILL'!E3553,"AAAAAB3r/m4=")</f>
        <v>#VALUE!</v>
      </c>
      <c r="DH397" t="e">
        <f>AND('STERLING CATALOG - FZN &amp; CHILL'!F3553,"AAAAAB3r/m8=")</f>
        <v>#VALUE!</v>
      </c>
      <c r="DI397" t="e">
        <f>AND('STERLING CATALOG - FZN &amp; CHILL'!G3553,"AAAAAB3r/nA=")</f>
        <v>#VALUE!</v>
      </c>
      <c r="DJ397" t="e">
        <f>AND('STERLING CATALOG - FZN &amp; CHILL'!H3553,"AAAAAB3r/nE=")</f>
        <v>#VALUE!</v>
      </c>
      <c r="DK397" t="e">
        <f>AND('STERLING CATALOG - FZN &amp; CHILL'!I3553,"AAAAAB3r/nI=")</f>
        <v>#VALUE!</v>
      </c>
      <c r="DL397" t="e">
        <f>AND('STERLING CATALOG - FZN &amp; CHILL'!J3553,"AAAAAB3r/nM=")</f>
        <v>#VALUE!</v>
      </c>
      <c r="DM397">
        <f>IF('STERLING CATALOG - FZN &amp; CHILL'!3554:3554,"AAAAAB3r/nQ=",0)</f>
        <v>0</v>
      </c>
      <c r="DN397" t="e">
        <f>AND('STERLING CATALOG - FZN &amp; CHILL'!A3554,"AAAAAB3r/nU=")</f>
        <v>#VALUE!</v>
      </c>
      <c r="DO397" t="e">
        <f>AND('STERLING CATALOG - FZN &amp; CHILL'!B3554,"AAAAAB3r/nY=")</f>
        <v>#VALUE!</v>
      </c>
      <c r="DP397" t="e">
        <f>AND('STERLING CATALOG - FZN &amp; CHILL'!C3554,"AAAAAB3r/nc=")</f>
        <v>#VALUE!</v>
      </c>
      <c r="DQ397" t="e">
        <f>AND('STERLING CATALOG - FZN &amp; CHILL'!D3554,"AAAAAB3r/ng=")</f>
        <v>#VALUE!</v>
      </c>
      <c r="DR397" t="e">
        <f>AND('STERLING CATALOG - FZN &amp; CHILL'!E3554,"AAAAAB3r/nk=")</f>
        <v>#VALUE!</v>
      </c>
      <c r="DS397" t="e">
        <f>AND('STERLING CATALOG - FZN &amp; CHILL'!F3554,"AAAAAB3r/no=")</f>
        <v>#VALUE!</v>
      </c>
      <c r="DT397" t="e">
        <f>AND('STERLING CATALOG - FZN &amp; CHILL'!G3554,"AAAAAB3r/ns=")</f>
        <v>#VALUE!</v>
      </c>
      <c r="DU397" t="e">
        <f>AND('STERLING CATALOG - FZN &amp; CHILL'!H3554,"AAAAAB3r/nw=")</f>
        <v>#VALUE!</v>
      </c>
      <c r="DV397" t="e">
        <f>AND('STERLING CATALOG - FZN &amp; CHILL'!I3554,"AAAAAB3r/n0=")</f>
        <v>#VALUE!</v>
      </c>
      <c r="DW397" t="e">
        <f>AND('STERLING CATALOG - FZN &amp; CHILL'!J3554,"AAAAAB3r/n4=")</f>
        <v>#VALUE!</v>
      </c>
      <c r="DX397">
        <f>IF('STERLING CATALOG - FZN &amp; CHILL'!3555:3555,"AAAAAB3r/n8=",0)</f>
        <v>0</v>
      </c>
      <c r="DY397" t="e">
        <f>AND('STERLING CATALOG - FZN &amp; CHILL'!A3555,"AAAAAB3r/oA=")</f>
        <v>#VALUE!</v>
      </c>
      <c r="DZ397" t="e">
        <f>AND('STERLING CATALOG - FZN &amp; CHILL'!B3555,"AAAAAB3r/oE=")</f>
        <v>#VALUE!</v>
      </c>
      <c r="EA397" t="e">
        <f>AND('STERLING CATALOG - FZN &amp; CHILL'!C3555,"AAAAAB3r/oI=")</f>
        <v>#VALUE!</v>
      </c>
      <c r="EB397" t="e">
        <f>AND('STERLING CATALOG - FZN &amp; CHILL'!D3555,"AAAAAB3r/oM=")</f>
        <v>#VALUE!</v>
      </c>
      <c r="EC397" t="e">
        <f>AND('STERLING CATALOG - FZN &amp; CHILL'!E3555,"AAAAAB3r/oQ=")</f>
        <v>#VALUE!</v>
      </c>
      <c r="ED397" t="e">
        <f>AND('STERLING CATALOG - FZN &amp; CHILL'!F3555,"AAAAAB3r/oU=")</f>
        <v>#VALUE!</v>
      </c>
      <c r="EE397" t="e">
        <f>AND('STERLING CATALOG - FZN &amp; CHILL'!G3555,"AAAAAB3r/oY=")</f>
        <v>#VALUE!</v>
      </c>
      <c r="EF397" t="e">
        <f>AND('STERLING CATALOG - FZN &amp; CHILL'!H3555,"AAAAAB3r/oc=")</f>
        <v>#VALUE!</v>
      </c>
      <c r="EG397" t="e">
        <f>AND('STERLING CATALOG - FZN &amp; CHILL'!I3555,"AAAAAB3r/og=")</f>
        <v>#VALUE!</v>
      </c>
      <c r="EH397" t="e">
        <f>AND('STERLING CATALOG - FZN &amp; CHILL'!J3555,"AAAAAB3r/ok=")</f>
        <v>#VALUE!</v>
      </c>
      <c r="EI397">
        <f>IF('STERLING CATALOG - FZN &amp; CHILL'!3556:3556,"AAAAAB3r/oo=",0)</f>
        <v>0</v>
      </c>
      <c r="EJ397" t="e">
        <f>AND('STERLING CATALOG - FZN &amp; CHILL'!A3556,"AAAAAB3r/os=")</f>
        <v>#VALUE!</v>
      </c>
      <c r="EK397" t="e">
        <f>AND('STERLING CATALOG - FZN &amp; CHILL'!B3556,"AAAAAB3r/ow=")</f>
        <v>#VALUE!</v>
      </c>
      <c r="EL397" t="e">
        <f>AND('STERLING CATALOG - FZN &amp; CHILL'!C3556,"AAAAAB3r/o0=")</f>
        <v>#VALUE!</v>
      </c>
      <c r="EM397" t="e">
        <f>AND('STERLING CATALOG - FZN &amp; CHILL'!D3556,"AAAAAB3r/o4=")</f>
        <v>#VALUE!</v>
      </c>
      <c r="EN397" t="e">
        <f>AND('STERLING CATALOG - FZN &amp; CHILL'!E3556,"AAAAAB3r/o8=")</f>
        <v>#VALUE!</v>
      </c>
      <c r="EO397" t="e">
        <f>AND('STERLING CATALOG - FZN &amp; CHILL'!F3556,"AAAAAB3r/pA=")</f>
        <v>#VALUE!</v>
      </c>
      <c r="EP397" t="e">
        <f>AND('STERLING CATALOG - FZN &amp; CHILL'!G3556,"AAAAAB3r/pE=")</f>
        <v>#VALUE!</v>
      </c>
      <c r="EQ397" t="e">
        <f>AND('STERLING CATALOG - FZN &amp; CHILL'!H3556,"AAAAAB3r/pI=")</f>
        <v>#VALUE!</v>
      </c>
      <c r="ER397" t="e">
        <f>AND('STERLING CATALOG - FZN &amp; CHILL'!I3556,"AAAAAB3r/pM=")</f>
        <v>#VALUE!</v>
      </c>
      <c r="ES397" t="e">
        <f>AND('STERLING CATALOG - FZN &amp; CHILL'!J3556,"AAAAAB3r/pQ=")</f>
        <v>#VALUE!</v>
      </c>
      <c r="ET397">
        <f>IF('STERLING CATALOG - FZN &amp; CHILL'!3557:3557,"AAAAAB3r/pU=",0)</f>
        <v>0</v>
      </c>
      <c r="EU397" t="e">
        <f>AND('STERLING CATALOG - FZN &amp; CHILL'!A3557,"AAAAAB3r/pY=")</f>
        <v>#VALUE!</v>
      </c>
      <c r="EV397" t="e">
        <f>AND('STERLING CATALOG - FZN &amp; CHILL'!B3557,"AAAAAB3r/pc=")</f>
        <v>#VALUE!</v>
      </c>
      <c r="EW397" t="e">
        <f>AND('STERLING CATALOG - FZN &amp; CHILL'!C3557,"AAAAAB3r/pg=")</f>
        <v>#VALUE!</v>
      </c>
      <c r="EX397" t="e">
        <f>AND('STERLING CATALOG - FZN &amp; CHILL'!D3557,"AAAAAB3r/pk=")</f>
        <v>#VALUE!</v>
      </c>
      <c r="EY397" t="e">
        <f>AND('STERLING CATALOG - FZN &amp; CHILL'!E3557,"AAAAAB3r/po=")</f>
        <v>#VALUE!</v>
      </c>
      <c r="EZ397" t="e">
        <f>AND('STERLING CATALOG - FZN &amp; CHILL'!F3557,"AAAAAB3r/ps=")</f>
        <v>#VALUE!</v>
      </c>
      <c r="FA397" t="e">
        <f>AND('STERLING CATALOG - FZN &amp; CHILL'!G3557,"AAAAAB3r/pw=")</f>
        <v>#VALUE!</v>
      </c>
      <c r="FB397" t="e">
        <f>AND('STERLING CATALOG - FZN &amp; CHILL'!H3557,"AAAAAB3r/p0=")</f>
        <v>#VALUE!</v>
      </c>
      <c r="FC397" t="e">
        <f>AND('STERLING CATALOG - FZN &amp; CHILL'!I3557,"AAAAAB3r/p4=")</f>
        <v>#VALUE!</v>
      </c>
      <c r="FD397" t="e">
        <f>AND('STERLING CATALOG - FZN &amp; CHILL'!J3557,"AAAAAB3r/p8=")</f>
        <v>#VALUE!</v>
      </c>
      <c r="FE397">
        <f>IF('STERLING CATALOG - FZN &amp; CHILL'!3558:3558,"AAAAAB3r/qA=",0)</f>
        <v>0</v>
      </c>
      <c r="FF397" t="e">
        <f>AND('STERLING CATALOG - FZN &amp; CHILL'!A3558,"AAAAAB3r/qE=")</f>
        <v>#VALUE!</v>
      </c>
      <c r="FG397" t="e">
        <f>AND('STERLING CATALOG - FZN &amp; CHILL'!B3558,"AAAAAB3r/qI=")</f>
        <v>#VALUE!</v>
      </c>
      <c r="FH397" t="e">
        <f>AND('STERLING CATALOG - FZN &amp; CHILL'!C3558,"AAAAAB3r/qM=")</f>
        <v>#VALUE!</v>
      </c>
      <c r="FI397" t="e">
        <f>AND('STERLING CATALOG - FZN &amp; CHILL'!D3558,"AAAAAB3r/qQ=")</f>
        <v>#VALUE!</v>
      </c>
      <c r="FJ397" t="e">
        <f>AND('STERLING CATALOG - FZN &amp; CHILL'!E3558,"AAAAAB3r/qU=")</f>
        <v>#VALUE!</v>
      </c>
      <c r="FK397" t="e">
        <f>AND('STERLING CATALOG - FZN &amp; CHILL'!F3558,"AAAAAB3r/qY=")</f>
        <v>#VALUE!</v>
      </c>
      <c r="FL397" t="e">
        <f>AND('STERLING CATALOG - FZN &amp; CHILL'!G3558,"AAAAAB3r/qc=")</f>
        <v>#VALUE!</v>
      </c>
      <c r="FM397" t="e">
        <f>AND('STERLING CATALOG - FZN &amp; CHILL'!H3558,"AAAAAB3r/qg=")</f>
        <v>#VALUE!</v>
      </c>
      <c r="FN397" t="e">
        <f>AND('STERLING CATALOG - FZN &amp; CHILL'!I3558,"AAAAAB3r/qk=")</f>
        <v>#VALUE!</v>
      </c>
      <c r="FO397" t="e">
        <f>AND('STERLING CATALOG - FZN &amp; CHILL'!J3558,"AAAAAB3r/qo=")</f>
        <v>#VALUE!</v>
      </c>
      <c r="FP397">
        <f>IF('STERLING CATALOG - FZN &amp; CHILL'!3559:3559,"AAAAAB3r/qs=",0)</f>
        <v>0</v>
      </c>
      <c r="FQ397" t="e">
        <f>AND('STERLING CATALOG - FZN &amp; CHILL'!A3559,"AAAAAB3r/qw=")</f>
        <v>#VALUE!</v>
      </c>
      <c r="FR397" t="e">
        <f>AND('STERLING CATALOG - FZN &amp; CHILL'!B3559,"AAAAAB3r/q0=")</f>
        <v>#VALUE!</v>
      </c>
      <c r="FS397" t="e">
        <f>AND('STERLING CATALOG - FZN &amp; CHILL'!C3559,"AAAAAB3r/q4=")</f>
        <v>#VALUE!</v>
      </c>
      <c r="FT397" t="e">
        <f>AND('STERLING CATALOG - FZN &amp; CHILL'!D3559,"AAAAAB3r/q8=")</f>
        <v>#VALUE!</v>
      </c>
      <c r="FU397" t="e">
        <f>AND('STERLING CATALOG - FZN &amp; CHILL'!E3559,"AAAAAB3r/rA=")</f>
        <v>#VALUE!</v>
      </c>
      <c r="FV397" t="e">
        <f>AND('STERLING CATALOG - FZN &amp; CHILL'!F3559,"AAAAAB3r/rE=")</f>
        <v>#VALUE!</v>
      </c>
      <c r="FW397" t="e">
        <f>AND('STERLING CATALOG - FZN &amp; CHILL'!G3559,"AAAAAB3r/rI=")</f>
        <v>#VALUE!</v>
      </c>
      <c r="FX397" t="e">
        <f>AND('STERLING CATALOG - FZN &amp; CHILL'!H3559,"AAAAAB3r/rM=")</f>
        <v>#VALUE!</v>
      </c>
      <c r="FY397" t="e">
        <f>AND('STERLING CATALOG - FZN &amp; CHILL'!I3559,"AAAAAB3r/rQ=")</f>
        <v>#VALUE!</v>
      </c>
      <c r="FZ397" t="e">
        <f>AND('STERLING CATALOG - FZN &amp; CHILL'!J3559,"AAAAAB3r/rU=")</f>
        <v>#VALUE!</v>
      </c>
      <c r="GA397">
        <f>IF('STERLING CATALOG - FZN &amp; CHILL'!3560:3560,"AAAAAB3r/rY=",0)</f>
        <v>0</v>
      </c>
      <c r="GB397" t="e">
        <f>AND('STERLING CATALOG - FZN &amp; CHILL'!A3560,"AAAAAB3r/rc=")</f>
        <v>#VALUE!</v>
      </c>
      <c r="GC397" t="e">
        <f>AND('STERLING CATALOG - FZN &amp; CHILL'!B3560,"AAAAAB3r/rg=")</f>
        <v>#VALUE!</v>
      </c>
      <c r="GD397" t="e">
        <f>AND('STERLING CATALOG - FZN &amp; CHILL'!C3560,"AAAAAB3r/rk=")</f>
        <v>#VALUE!</v>
      </c>
      <c r="GE397" t="e">
        <f>AND('STERLING CATALOG - FZN &amp; CHILL'!D3560,"AAAAAB3r/ro=")</f>
        <v>#VALUE!</v>
      </c>
      <c r="GF397" t="e">
        <f>AND('STERLING CATALOG - FZN &amp; CHILL'!E3560,"AAAAAB3r/rs=")</f>
        <v>#VALUE!</v>
      </c>
      <c r="GG397" t="e">
        <f>AND('STERLING CATALOG - FZN &amp; CHILL'!F3560,"AAAAAB3r/rw=")</f>
        <v>#VALUE!</v>
      </c>
      <c r="GH397" t="e">
        <f>AND('STERLING CATALOG - FZN &amp; CHILL'!G3560,"AAAAAB3r/r0=")</f>
        <v>#VALUE!</v>
      </c>
      <c r="GI397" t="e">
        <f>AND('STERLING CATALOG - FZN &amp; CHILL'!H3560,"AAAAAB3r/r4=")</f>
        <v>#VALUE!</v>
      </c>
      <c r="GJ397" t="e">
        <f>AND('STERLING CATALOG - FZN &amp; CHILL'!I3560,"AAAAAB3r/r8=")</f>
        <v>#VALUE!</v>
      </c>
      <c r="GK397" t="e">
        <f>AND('STERLING CATALOG - FZN &amp; CHILL'!J3560,"AAAAAB3r/sA=")</f>
        <v>#VALUE!</v>
      </c>
      <c r="GL397">
        <f>IF('STERLING CATALOG - FZN &amp; CHILL'!3561:3561,"AAAAAB3r/sE=",0)</f>
        <v>0</v>
      </c>
      <c r="GM397" t="e">
        <f>AND('STERLING CATALOG - FZN &amp; CHILL'!A3561,"AAAAAB3r/sI=")</f>
        <v>#VALUE!</v>
      </c>
      <c r="GN397" t="e">
        <f>AND('STERLING CATALOG - FZN &amp; CHILL'!B3561,"AAAAAB3r/sM=")</f>
        <v>#VALUE!</v>
      </c>
      <c r="GO397" t="e">
        <f>AND('STERLING CATALOG - FZN &amp; CHILL'!C3561,"AAAAAB3r/sQ=")</f>
        <v>#VALUE!</v>
      </c>
      <c r="GP397" t="e">
        <f>AND('STERLING CATALOG - FZN &amp; CHILL'!D3561,"AAAAAB3r/sU=")</f>
        <v>#VALUE!</v>
      </c>
      <c r="GQ397" t="e">
        <f>AND('STERLING CATALOG - FZN &amp; CHILL'!E3561,"AAAAAB3r/sY=")</f>
        <v>#VALUE!</v>
      </c>
      <c r="GR397" t="e">
        <f>AND('STERLING CATALOG - FZN &amp; CHILL'!F3561,"AAAAAB3r/sc=")</f>
        <v>#VALUE!</v>
      </c>
      <c r="GS397" t="e">
        <f>AND('STERLING CATALOG - FZN &amp; CHILL'!G3561,"AAAAAB3r/sg=")</f>
        <v>#VALUE!</v>
      </c>
      <c r="GT397" t="e">
        <f>AND('STERLING CATALOG - FZN &amp; CHILL'!H3561,"AAAAAB3r/sk=")</f>
        <v>#VALUE!</v>
      </c>
      <c r="GU397" t="e">
        <f>AND('STERLING CATALOG - FZN &amp; CHILL'!I3561,"AAAAAB3r/so=")</f>
        <v>#VALUE!</v>
      </c>
      <c r="GV397" t="e">
        <f>AND('STERLING CATALOG - FZN &amp; CHILL'!J3561,"AAAAAB3r/ss=")</f>
        <v>#VALUE!</v>
      </c>
      <c r="GW397">
        <f>IF('STERLING CATALOG - FZN &amp; CHILL'!3562:3562,"AAAAAB3r/sw=",0)</f>
        <v>0</v>
      </c>
      <c r="GX397" t="e">
        <f>AND('STERLING CATALOG - FZN &amp; CHILL'!A3562,"AAAAAB3r/s0=")</f>
        <v>#VALUE!</v>
      </c>
      <c r="GY397" t="e">
        <f>AND('STERLING CATALOG - FZN &amp; CHILL'!B3562,"AAAAAB3r/s4=")</f>
        <v>#VALUE!</v>
      </c>
      <c r="GZ397" t="e">
        <f>AND('STERLING CATALOG - FZN &amp; CHILL'!C3562,"AAAAAB3r/s8=")</f>
        <v>#VALUE!</v>
      </c>
      <c r="HA397" t="e">
        <f>AND('STERLING CATALOG - FZN &amp; CHILL'!D3562,"AAAAAB3r/tA=")</f>
        <v>#VALUE!</v>
      </c>
      <c r="HB397" t="e">
        <f>AND('STERLING CATALOG - FZN &amp; CHILL'!E3562,"AAAAAB3r/tE=")</f>
        <v>#VALUE!</v>
      </c>
      <c r="HC397" t="e">
        <f>AND('STERLING CATALOG - FZN &amp; CHILL'!F3562,"AAAAAB3r/tI=")</f>
        <v>#VALUE!</v>
      </c>
      <c r="HD397" t="e">
        <f>AND('STERLING CATALOG - FZN &amp; CHILL'!G3562,"AAAAAB3r/tM=")</f>
        <v>#VALUE!</v>
      </c>
      <c r="HE397" t="e">
        <f>AND('STERLING CATALOG - FZN &amp; CHILL'!H3562,"AAAAAB3r/tQ=")</f>
        <v>#VALUE!</v>
      </c>
      <c r="HF397" t="e">
        <f>AND('STERLING CATALOG - FZN &amp; CHILL'!I3562,"AAAAAB3r/tU=")</f>
        <v>#VALUE!</v>
      </c>
      <c r="HG397" t="e">
        <f>AND('STERLING CATALOG - FZN &amp; CHILL'!J3562,"AAAAAB3r/tY=")</f>
        <v>#VALUE!</v>
      </c>
      <c r="HH397">
        <f>IF('STERLING CATALOG - FZN &amp; CHILL'!3563:3563,"AAAAAB3r/tc=",0)</f>
        <v>0</v>
      </c>
      <c r="HI397" t="e">
        <f>AND('STERLING CATALOG - FZN &amp; CHILL'!A3563,"AAAAAB3r/tg=")</f>
        <v>#VALUE!</v>
      </c>
      <c r="HJ397" t="e">
        <f>AND('STERLING CATALOG - FZN &amp; CHILL'!B3563,"AAAAAB3r/tk=")</f>
        <v>#VALUE!</v>
      </c>
      <c r="HK397" t="e">
        <f>AND('STERLING CATALOG - FZN &amp; CHILL'!C3563,"AAAAAB3r/to=")</f>
        <v>#VALUE!</v>
      </c>
      <c r="HL397" t="e">
        <f>AND('STERLING CATALOG - FZN &amp; CHILL'!D3563,"AAAAAB3r/ts=")</f>
        <v>#VALUE!</v>
      </c>
      <c r="HM397" t="e">
        <f>AND('STERLING CATALOG - FZN &amp; CHILL'!E3563,"AAAAAB3r/tw=")</f>
        <v>#VALUE!</v>
      </c>
      <c r="HN397" t="e">
        <f>AND('STERLING CATALOG - FZN &amp; CHILL'!F3563,"AAAAAB3r/t0=")</f>
        <v>#VALUE!</v>
      </c>
      <c r="HO397" t="e">
        <f>AND('STERLING CATALOG - FZN &amp; CHILL'!G3563,"AAAAAB3r/t4=")</f>
        <v>#VALUE!</v>
      </c>
      <c r="HP397" t="e">
        <f>AND('STERLING CATALOG - FZN &amp; CHILL'!H3563,"AAAAAB3r/t8=")</f>
        <v>#VALUE!</v>
      </c>
      <c r="HQ397" t="e">
        <f>AND('STERLING CATALOG - FZN &amp; CHILL'!I3563,"AAAAAB3r/uA=")</f>
        <v>#VALUE!</v>
      </c>
      <c r="HR397" t="e">
        <f>AND('STERLING CATALOG - FZN &amp; CHILL'!J3563,"AAAAAB3r/uE=")</f>
        <v>#VALUE!</v>
      </c>
      <c r="HS397">
        <f>IF('STERLING CATALOG - FZN &amp; CHILL'!3564:3564,"AAAAAB3r/uI=",0)</f>
        <v>0</v>
      </c>
      <c r="HT397" t="e">
        <f>AND('STERLING CATALOG - FZN &amp; CHILL'!A3564,"AAAAAB3r/uM=")</f>
        <v>#VALUE!</v>
      </c>
      <c r="HU397" t="e">
        <f>AND('STERLING CATALOG - FZN &amp; CHILL'!B3564,"AAAAAB3r/uQ=")</f>
        <v>#VALUE!</v>
      </c>
      <c r="HV397" t="e">
        <f>AND('STERLING CATALOG - FZN &amp; CHILL'!C3564,"AAAAAB3r/uU=")</f>
        <v>#VALUE!</v>
      </c>
      <c r="HW397" t="e">
        <f>AND('STERLING CATALOG - FZN &amp; CHILL'!D3564,"AAAAAB3r/uY=")</f>
        <v>#VALUE!</v>
      </c>
      <c r="HX397" t="e">
        <f>AND('STERLING CATALOG - FZN &amp; CHILL'!E3564,"AAAAAB3r/uc=")</f>
        <v>#VALUE!</v>
      </c>
      <c r="HY397" t="e">
        <f>AND('STERLING CATALOG - FZN &amp; CHILL'!F3564,"AAAAAB3r/ug=")</f>
        <v>#VALUE!</v>
      </c>
      <c r="HZ397" t="e">
        <f>AND('STERLING CATALOG - FZN &amp; CHILL'!G3564,"AAAAAB3r/uk=")</f>
        <v>#VALUE!</v>
      </c>
      <c r="IA397" t="e">
        <f>AND('STERLING CATALOG - FZN &amp; CHILL'!H3564,"AAAAAB3r/uo=")</f>
        <v>#VALUE!</v>
      </c>
      <c r="IB397" t="e">
        <f>AND('STERLING CATALOG - FZN &amp; CHILL'!I3564,"AAAAAB3r/us=")</f>
        <v>#VALUE!</v>
      </c>
      <c r="IC397" t="e">
        <f>AND('STERLING CATALOG - FZN &amp; CHILL'!J3564,"AAAAAB3r/uw=")</f>
        <v>#VALUE!</v>
      </c>
      <c r="ID397">
        <f>IF('STERLING CATALOG - FZN &amp; CHILL'!3565:3565,"AAAAAB3r/u0=",0)</f>
        <v>0</v>
      </c>
      <c r="IE397" t="e">
        <f>AND('STERLING CATALOG - FZN &amp; CHILL'!A3565,"AAAAAB3r/u4=")</f>
        <v>#VALUE!</v>
      </c>
      <c r="IF397" t="e">
        <f>AND('STERLING CATALOG - FZN &amp; CHILL'!B3565,"AAAAAB3r/u8=")</f>
        <v>#VALUE!</v>
      </c>
      <c r="IG397" t="e">
        <f>AND('STERLING CATALOG - FZN &amp; CHILL'!C3565,"AAAAAB3r/vA=")</f>
        <v>#VALUE!</v>
      </c>
      <c r="IH397" t="e">
        <f>AND('STERLING CATALOG - FZN &amp; CHILL'!D3565,"AAAAAB3r/vE=")</f>
        <v>#VALUE!</v>
      </c>
      <c r="II397" t="e">
        <f>AND('STERLING CATALOG - FZN &amp; CHILL'!E3565,"AAAAAB3r/vI=")</f>
        <v>#VALUE!</v>
      </c>
      <c r="IJ397" t="e">
        <f>AND('STERLING CATALOG - FZN &amp; CHILL'!F3565,"AAAAAB3r/vM=")</f>
        <v>#VALUE!</v>
      </c>
      <c r="IK397" t="e">
        <f>AND('STERLING CATALOG - FZN &amp; CHILL'!G3565,"AAAAAB3r/vQ=")</f>
        <v>#VALUE!</v>
      </c>
      <c r="IL397" t="e">
        <f>AND('STERLING CATALOG - FZN &amp; CHILL'!H3565,"AAAAAB3r/vU=")</f>
        <v>#VALUE!</v>
      </c>
      <c r="IM397" t="e">
        <f>AND('STERLING CATALOG - FZN &amp; CHILL'!I3565,"AAAAAB3r/vY=")</f>
        <v>#VALUE!</v>
      </c>
      <c r="IN397" t="e">
        <f>AND('STERLING CATALOG - FZN &amp; CHILL'!J3565,"AAAAAB3r/vc=")</f>
        <v>#VALUE!</v>
      </c>
      <c r="IO397">
        <f>IF('STERLING CATALOG - FZN &amp; CHILL'!3566:3566,"AAAAAB3r/vg=",0)</f>
        <v>0</v>
      </c>
      <c r="IP397" t="e">
        <f>AND('STERLING CATALOG - FZN &amp; CHILL'!A3566,"AAAAAB3r/vk=")</f>
        <v>#VALUE!</v>
      </c>
      <c r="IQ397" t="e">
        <f>AND('STERLING CATALOG - FZN &amp; CHILL'!B3566,"AAAAAB3r/vo=")</f>
        <v>#VALUE!</v>
      </c>
      <c r="IR397" t="e">
        <f>AND('STERLING CATALOG - FZN &amp; CHILL'!C3566,"AAAAAB3r/vs=")</f>
        <v>#VALUE!</v>
      </c>
      <c r="IS397" t="e">
        <f>AND('STERLING CATALOG - FZN &amp; CHILL'!D3566,"AAAAAB3r/vw=")</f>
        <v>#VALUE!</v>
      </c>
      <c r="IT397" t="e">
        <f>AND('STERLING CATALOG - FZN &amp; CHILL'!E3566,"AAAAAB3r/v0=")</f>
        <v>#VALUE!</v>
      </c>
      <c r="IU397" t="e">
        <f>AND('STERLING CATALOG - FZN &amp; CHILL'!F3566,"AAAAAB3r/v4=")</f>
        <v>#VALUE!</v>
      </c>
      <c r="IV397" t="e">
        <f>AND('STERLING CATALOG - FZN &amp; CHILL'!G3566,"AAAAAB3r/v8=")</f>
        <v>#VALUE!</v>
      </c>
    </row>
    <row r="398" spans="1:256">
      <c r="A398" t="e">
        <f>AND('STERLING CATALOG - FZN &amp; CHILL'!H3566,"AAAAADffWwA=")</f>
        <v>#VALUE!</v>
      </c>
      <c r="B398" t="e">
        <f>AND('STERLING CATALOG - FZN &amp; CHILL'!I3566,"AAAAADffWwE=")</f>
        <v>#VALUE!</v>
      </c>
      <c r="C398" t="e">
        <f>AND('STERLING CATALOG - FZN &amp; CHILL'!J3566,"AAAAADffWwI=")</f>
        <v>#VALUE!</v>
      </c>
      <c r="D398" t="e">
        <f>IF('STERLING CATALOG - FZN &amp; CHILL'!3567:3567,"AAAAADffWwM=",0)</f>
        <v>#VALUE!</v>
      </c>
      <c r="E398" t="e">
        <f>AND('STERLING CATALOG - FZN &amp; CHILL'!A3567,"AAAAADffWwQ=")</f>
        <v>#VALUE!</v>
      </c>
      <c r="F398" t="e">
        <f>AND('STERLING CATALOG - FZN &amp; CHILL'!B3567,"AAAAADffWwU=")</f>
        <v>#VALUE!</v>
      </c>
      <c r="G398" t="e">
        <f>AND('STERLING CATALOG - FZN &amp; CHILL'!C3567,"AAAAADffWwY=")</f>
        <v>#VALUE!</v>
      </c>
      <c r="H398" t="e">
        <f>AND('STERLING CATALOG - FZN &amp; CHILL'!D3567,"AAAAADffWwc=")</f>
        <v>#VALUE!</v>
      </c>
      <c r="I398" t="e">
        <f>AND('STERLING CATALOG - FZN &amp; CHILL'!E3567,"AAAAADffWwg=")</f>
        <v>#VALUE!</v>
      </c>
      <c r="J398" t="e">
        <f>AND('STERLING CATALOG - FZN &amp; CHILL'!F3567,"AAAAADffWwk=")</f>
        <v>#VALUE!</v>
      </c>
      <c r="K398" t="e">
        <f>AND('STERLING CATALOG - FZN &amp; CHILL'!G3567,"AAAAADffWwo=")</f>
        <v>#VALUE!</v>
      </c>
      <c r="L398" t="e">
        <f>AND('STERLING CATALOG - FZN &amp; CHILL'!H3567,"AAAAADffWws=")</f>
        <v>#VALUE!</v>
      </c>
      <c r="M398" t="e">
        <f>AND('STERLING CATALOG - FZN &amp; CHILL'!I3567,"AAAAADffWww=")</f>
        <v>#VALUE!</v>
      </c>
      <c r="N398" t="e">
        <f>AND('STERLING CATALOG - FZN &amp; CHILL'!J3567,"AAAAADffWw0=")</f>
        <v>#VALUE!</v>
      </c>
      <c r="O398">
        <f>IF('STERLING CATALOG - FZN &amp; CHILL'!3568:3568,"AAAAADffWw4=",0)</f>
        <v>0</v>
      </c>
      <c r="P398" t="e">
        <f>AND('STERLING CATALOG - FZN &amp; CHILL'!A3568,"AAAAADffWw8=")</f>
        <v>#VALUE!</v>
      </c>
      <c r="Q398" t="e">
        <f>AND('STERLING CATALOG - FZN &amp; CHILL'!B3568,"AAAAADffWxA=")</f>
        <v>#VALUE!</v>
      </c>
      <c r="R398" t="e">
        <f>AND('STERLING CATALOG - FZN &amp; CHILL'!C3568,"AAAAADffWxE=")</f>
        <v>#VALUE!</v>
      </c>
      <c r="S398" t="e">
        <f>AND('STERLING CATALOG - FZN &amp; CHILL'!D3568,"AAAAADffWxI=")</f>
        <v>#VALUE!</v>
      </c>
      <c r="T398" t="e">
        <f>AND('STERLING CATALOG - FZN &amp; CHILL'!E3568,"AAAAADffWxM=")</f>
        <v>#VALUE!</v>
      </c>
      <c r="U398" t="e">
        <f>AND('STERLING CATALOG - FZN &amp; CHILL'!F3568,"AAAAADffWxQ=")</f>
        <v>#VALUE!</v>
      </c>
      <c r="V398" t="e">
        <f>AND('STERLING CATALOG - FZN &amp; CHILL'!G3568,"AAAAADffWxU=")</f>
        <v>#VALUE!</v>
      </c>
      <c r="W398" t="e">
        <f>AND('STERLING CATALOG - FZN &amp; CHILL'!H3568,"AAAAADffWxY=")</f>
        <v>#VALUE!</v>
      </c>
      <c r="X398" t="e">
        <f>AND('STERLING CATALOG - FZN &amp; CHILL'!I3568,"AAAAADffWxc=")</f>
        <v>#VALUE!</v>
      </c>
      <c r="Y398" t="e">
        <f>AND('STERLING CATALOG - FZN &amp; CHILL'!J3568,"AAAAADffWxg=")</f>
        <v>#VALUE!</v>
      </c>
      <c r="Z398">
        <f>IF('STERLING CATALOG - FZN &amp; CHILL'!3569:3569,"AAAAADffWxk=",0)</f>
        <v>0</v>
      </c>
      <c r="AA398" t="e">
        <f>AND('STERLING CATALOG - FZN &amp; CHILL'!A3569,"AAAAADffWxo=")</f>
        <v>#VALUE!</v>
      </c>
      <c r="AB398" t="e">
        <f>AND('STERLING CATALOG - FZN &amp; CHILL'!B3569,"AAAAADffWxs=")</f>
        <v>#VALUE!</v>
      </c>
      <c r="AC398" t="e">
        <f>AND('STERLING CATALOG - FZN &amp; CHILL'!C3569,"AAAAADffWxw=")</f>
        <v>#VALUE!</v>
      </c>
      <c r="AD398" t="e">
        <f>AND('STERLING CATALOG - FZN &amp; CHILL'!D3569,"AAAAADffWx0=")</f>
        <v>#VALUE!</v>
      </c>
      <c r="AE398" t="e">
        <f>AND('STERLING CATALOG - FZN &amp; CHILL'!E3569,"AAAAADffWx4=")</f>
        <v>#VALUE!</v>
      </c>
      <c r="AF398" t="e">
        <f>AND('STERLING CATALOG - FZN &amp; CHILL'!F3569,"AAAAADffWx8=")</f>
        <v>#VALUE!</v>
      </c>
      <c r="AG398" t="e">
        <f>AND('STERLING CATALOG - FZN &amp; CHILL'!G3569,"AAAAADffWyA=")</f>
        <v>#VALUE!</v>
      </c>
      <c r="AH398" t="e">
        <f>AND('STERLING CATALOG - FZN &amp; CHILL'!H3569,"AAAAADffWyE=")</f>
        <v>#VALUE!</v>
      </c>
      <c r="AI398" t="e">
        <f>AND('STERLING CATALOG - FZN &amp; CHILL'!I3569,"AAAAADffWyI=")</f>
        <v>#VALUE!</v>
      </c>
      <c r="AJ398" t="e">
        <f>AND('STERLING CATALOG - FZN &amp; CHILL'!J3569,"AAAAADffWyM=")</f>
        <v>#VALUE!</v>
      </c>
      <c r="AK398">
        <f>IF('STERLING CATALOG - FZN &amp; CHILL'!3570:3570,"AAAAADffWyQ=",0)</f>
        <v>0</v>
      </c>
      <c r="AL398" t="e">
        <f>AND('STERLING CATALOG - FZN &amp; CHILL'!A3570,"AAAAADffWyU=")</f>
        <v>#VALUE!</v>
      </c>
      <c r="AM398" t="e">
        <f>AND('STERLING CATALOG - FZN &amp; CHILL'!B3570,"AAAAADffWyY=")</f>
        <v>#VALUE!</v>
      </c>
      <c r="AN398" t="e">
        <f>AND('STERLING CATALOG - FZN &amp; CHILL'!C3570,"AAAAADffWyc=")</f>
        <v>#VALUE!</v>
      </c>
      <c r="AO398" t="e">
        <f>AND('STERLING CATALOG - FZN &amp; CHILL'!D3570,"AAAAADffWyg=")</f>
        <v>#VALUE!</v>
      </c>
      <c r="AP398" t="e">
        <f>AND('STERLING CATALOG - FZN &amp; CHILL'!E3570,"AAAAADffWyk=")</f>
        <v>#VALUE!</v>
      </c>
      <c r="AQ398" t="e">
        <f>AND('STERLING CATALOG - FZN &amp; CHILL'!F3570,"AAAAADffWyo=")</f>
        <v>#VALUE!</v>
      </c>
      <c r="AR398" t="e">
        <f>AND('STERLING CATALOG - FZN &amp; CHILL'!G3570,"AAAAADffWys=")</f>
        <v>#VALUE!</v>
      </c>
      <c r="AS398" t="e">
        <f>AND('STERLING CATALOG - FZN &amp; CHILL'!H3570,"AAAAADffWyw=")</f>
        <v>#VALUE!</v>
      </c>
      <c r="AT398" t="e">
        <f>AND('STERLING CATALOG - FZN &amp; CHILL'!I3570,"AAAAADffWy0=")</f>
        <v>#VALUE!</v>
      </c>
      <c r="AU398" t="e">
        <f>AND('STERLING CATALOG - FZN &amp; CHILL'!J3570,"AAAAADffWy4=")</f>
        <v>#VALUE!</v>
      </c>
      <c r="AV398">
        <f>IF('STERLING CATALOG - FZN &amp; CHILL'!3571:3571,"AAAAADffWy8=",0)</f>
        <v>0</v>
      </c>
      <c r="AW398" t="e">
        <f>AND('STERLING CATALOG - FZN &amp; CHILL'!A3571,"AAAAADffWzA=")</f>
        <v>#VALUE!</v>
      </c>
      <c r="AX398" t="e">
        <f>AND('STERLING CATALOG - FZN &amp; CHILL'!B3571,"AAAAADffWzE=")</f>
        <v>#VALUE!</v>
      </c>
      <c r="AY398" t="e">
        <f>AND('STERLING CATALOG - FZN &amp; CHILL'!C3571,"AAAAADffWzI=")</f>
        <v>#VALUE!</v>
      </c>
      <c r="AZ398" t="e">
        <f>AND('STERLING CATALOG - FZN &amp; CHILL'!D3571,"AAAAADffWzM=")</f>
        <v>#VALUE!</v>
      </c>
      <c r="BA398" t="e">
        <f>AND('STERLING CATALOG - FZN &amp; CHILL'!E3571,"AAAAADffWzQ=")</f>
        <v>#VALUE!</v>
      </c>
      <c r="BB398" t="e">
        <f>AND('STERLING CATALOG - FZN &amp; CHILL'!F3571,"AAAAADffWzU=")</f>
        <v>#VALUE!</v>
      </c>
      <c r="BC398" t="e">
        <f>AND('STERLING CATALOG - FZN &amp; CHILL'!G3571,"AAAAADffWzY=")</f>
        <v>#VALUE!</v>
      </c>
      <c r="BD398" t="e">
        <f>AND('STERLING CATALOG - FZN &amp; CHILL'!H3571,"AAAAADffWzc=")</f>
        <v>#VALUE!</v>
      </c>
      <c r="BE398" t="e">
        <f>AND('STERLING CATALOG - FZN &amp; CHILL'!I3571,"AAAAADffWzg=")</f>
        <v>#VALUE!</v>
      </c>
      <c r="BF398" t="e">
        <f>AND('STERLING CATALOG - FZN &amp; CHILL'!J3571,"AAAAADffWzk=")</f>
        <v>#VALUE!</v>
      </c>
      <c r="BG398">
        <f>IF('STERLING CATALOG - FZN &amp; CHILL'!3572:3572,"AAAAADffWzo=",0)</f>
        <v>0</v>
      </c>
      <c r="BH398" t="e">
        <f>AND('STERLING CATALOG - FZN &amp; CHILL'!A3572,"AAAAADffWzs=")</f>
        <v>#VALUE!</v>
      </c>
      <c r="BI398" t="e">
        <f>AND('STERLING CATALOG - FZN &amp; CHILL'!B3572,"AAAAADffWzw=")</f>
        <v>#VALUE!</v>
      </c>
      <c r="BJ398" t="e">
        <f>AND('STERLING CATALOG - FZN &amp; CHILL'!C3572,"AAAAADffWz0=")</f>
        <v>#VALUE!</v>
      </c>
      <c r="BK398" t="e">
        <f>AND('STERLING CATALOG - FZN &amp; CHILL'!D3572,"AAAAADffWz4=")</f>
        <v>#VALUE!</v>
      </c>
      <c r="BL398" t="e">
        <f>AND('STERLING CATALOG - FZN &amp; CHILL'!E3572,"AAAAADffWz8=")</f>
        <v>#VALUE!</v>
      </c>
      <c r="BM398" t="e">
        <f>AND('STERLING CATALOG - FZN &amp; CHILL'!F3572,"AAAAADffW0A=")</f>
        <v>#VALUE!</v>
      </c>
      <c r="BN398" t="e">
        <f>AND('STERLING CATALOG - FZN &amp; CHILL'!G3572,"AAAAADffW0E=")</f>
        <v>#VALUE!</v>
      </c>
      <c r="BO398" t="e">
        <f>AND('STERLING CATALOG - FZN &amp; CHILL'!H3572,"AAAAADffW0I=")</f>
        <v>#VALUE!</v>
      </c>
      <c r="BP398" t="e">
        <f>AND('STERLING CATALOG - FZN &amp; CHILL'!I3572,"AAAAADffW0M=")</f>
        <v>#VALUE!</v>
      </c>
      <c r="BQ398" t="e">
        <f>AND('STERLING CATALOG - FZN &amp; CHILL'!J3572,"AAAAADffW0Q=")</f>
        <v>#VALUE!</v>
      </c>
      <c r="BR398">
        <f>IF('STERLING CATALOG - FZN &amp; CHILL'!3573:3573,"AAAAADffW0U=",0)</f>
        <v>0</v>
      </c>
      <c r="BS398" t="e">
        <f>AND('STERLING CATALOG - FZN &amp; CHILL'!A3573,"AAAAADffW0Y=")</f>
        <v>#VALUE!</v>
      </c>
      <c r="BT398" t="e">
        <f>AND('STERLING CATALOG - FZN &amp; CHILL'!B3573,"AAAAADffW0c=")</f>
        <v>#VALUE!</v>
      </c>
      <c r="BU398" t="e">
        <f>AND('STERLING CATALOG - FZN &amp; CHILL'!C3573,"AAAAADffW0g=")</f>
        <v>#VALUE!</v>
      </c>
      <c r="BV398" t="e">
        <f>AND('STERLING CATALOG - FZN &amp; CHILL'!D3573,"AAAAADffW0k=")</f>
        <v>#VALUE!</v>
      </c>
      <c r="BW398" t="e">
        <f>AND('STERLING CATALOG - FZN &amp; CHILL'!E3573,"AAAAADffW0o=")</f>
        <v>#VALUE!</v>
      </c>
      <c r="BX398" t="e">
        <f>AND('STERLING CATALOG - FZN &amp; CHILL'!F3573,"AAAAADffW0s=")</f>
        <v>#VALUE!</v>
      </c>
      <c r="BY398" t="e">
        <f>AND('STERLING CATALOG - FZN &amp; CHILL'!G3573,"AAAAADffW0w=")</f>
        <v>#VALUE!</v>
      </c>
      <c r="BZ398" t="e">
        <f>AND('STERLING CATALOG - FZN &amp; CHILL'!H3573,"AAAAADffW00=")</f>
        <v>#VALUE!</v>
      </c>
      <c r="CA398" t="e">
        <f>AND('STERLING CATALOG - FZN &amp; CHILL'!I3573,"AAAAADffW04=")</f>
        <v>#VALUE!</v>
      </c>
      <c r="CB398" t="e">
        <f>AND('STERLING CATALOG - FZN &amp; CHILL'!J3573,"AAAAADffW08=")</f>
        <v>#VALUE!</v>
      </c>
      <c r="CC398">
        <f>IF('STERLING CATALOG - FZN &amp; CHILL'!3574:3574,"AAAAADffW1A=",0)</f>
        <v>0</v>
      </c>
      <c r="CD398" t="e">
        <f>AND('STERLING CATALOG - FZN &amp; CHILL'!A3574,"AAAAADffW1E=")</f>
        <v>#VALUE!</v>
      </c>
      <c r="CE398" t="e">
        <f>AND('STERLING CATALOG - FZN &amp; CHILL'!B3574,"AAAAADffW1I=")</f>
        <v>#VALUE!</v>
      </c>
      <c r="CF398" t="e">
        <f>AND('STERLING CATALOG - FZN &amp; CHILL'!C3574,"AAAAADffW1M=")</f>
        <v>#VALUE!</v>
      </c>
      <c r="CG398" t="e">
        <f>AND('STERLING CATALOG - FZN &amp; CHILL'!D3574,"AAAAADffW1Q=")</f>
        <v>#VALUE!</v>
      </c>
      <c r="CH398" t="e">
        <f>AND('STERLING CATALOG - FZN &amp; CHILL'!E3574,"AAAAADffW1U=")</f>
        <v>#VALUE!</v>
      </c>
      <c r="CI398" t="e">
        <f>AND('STERLING CATALOG - FZN &amp; CHILL'!F3574,"AAAAADffW1Y=")</f>
        <v>#VALUE!</v>
      </c>
      <c r="CJ398" t="e">
        <f>AND('STERLING CATALOG - FZN &amp; CHILL'!G3574,"AAAAADffW1c=")</f>
        <v>#VALUE!</v>
      </c>
      <c r="CK398" t="e">
        <f>AND('STERLING CATALOG - FZN &amp; CHILL'!H3574,"AAAAADffW1g=")</f>
        <v>#VALUE!</v>
      </c>
      <c r="CL398" t="e">
        <f>AND('STERLING CATALOG - FZN &amp; CHILL'!I3574,"AAAAADffW1k=")</f>
        <v>#VALUE!</v>
      </c>
      <c r="CM398" t="e">
        <f>AND('STERLING CATALOG - FZN &amp; CHILL'!J3574,"AAAAADffW1o=")</f>
        <v>#VALUE!</v>
      </c>
      <c r="CN398">
        <f>IF('STERLING CATALOG - FZN &amp; CHILL'!3575:3575,"AAAAADffW1s=",0)</f>
        <v>0</v>
      </c>
      <c r="CO398" t="e">
        <f>AND('STERLING CATALOG - FZN &amp; CHILL'!A3575,"AAAAADffW1w=")</f>
        <v>#VALUE!</v>
      </c>
      <c r="CP398" t="e">
        <f>AND('STERLING CATALOG - FZN &amp; CHILL'!B3575,"AAAAADffW10=")</f>
        <v>#VALUE!</v>
      </c>
      <c r="CQ398" t="e">
        <f>AND('STERLING CATALOG - FZN &amp; CHILL'!C3575,"AAAAADffW14=")</f>
        <v>#VALUE!</v>
      </c>
      <c r="CR398" t="e">
        <f>AND('STERLING CATALOG - FZN &amp; CHILL'!D3575,"AAAAADffW18=")</f>
        <v>#VALUE!</v>
      </c>
      <c r="CS398" t="e">
        <f>AND('STERLING CATALOG - FZN &amp; CHILL'!E3575,"AAAAADffW2A=")</f>
        <v>#VALUE!</v>
      </c>
      <c r="CT398" t="e">
        <f>AND('STERLING CATALOG - FZN &amp; CHILL'!F3575,"AAAAADffW2E=")</f>
        <v>#VALUE!</v>
      </c>
      <c r="CU398" t="e">
        <f>AND('STERLING CATALOG - FZN &amp; CHILL'!G3575,"AAAAADffW2I=")</f>
        <v>#VALUE!</v>
      </c>
      <c r="CV398" t="e">
        <f>AND('STERLING CATALOG - FZN &amp; CHILL'!H3575,"AAAAADffW2M=")</f>
        <v>#VALUE!</v>
      </c>
      <c r="CW398" t="e">
        <f>AND('STERLING CATALOG - FZN &amp; CHILL'!I3575,"AAAAADffW2Q=")</f>
        <v>#VALUE!</v>
      </c>
      <c r="CX398" t="e">
        <f>AND('STERLING CATALOG - FZN &amp; CHILL'!J3575,"AAAAADffW2U=")</f>
        <v>#VALUE!</v>
      </c>
      <c r="CY398">
        <f>IF('STERLING CATALOG - FZN &amp; CHILL'!3576:3576,"AAAAADffW2Y=",0)</f>
        <v>0</v>
      </c>
      <c r="CZ398" t="e">
        <f>AND('STERLING CATALOG - FZN &amp; CHILL'!A3576,"AAAAADffW2c=")</f>
        <v>#VALUE!</v>
      </c>
      <c r="DA398" t="e">
        <f>AND('STERLING CATALOG - FZN &amp; CHILL'!B3576,"AAAAADffW2g=")</f>
        <v>#VALUE!</v>
      </c>
      <c r="DB398" t="e">
        <f>AND('STERLING CATALOG - FZN &amp; CHILL'!C3576,"AAAAADffW2k=")</f>
        <v>#VALUE!</v>
      </c>
      <c r="DC398" t="e">
        <f>AND('STERLING CATALOG - FZN &amp; CHILL'!D3576,"AAAAADffW2o=")</f>
        <v>#VALUE!</v>
      </c>
      <c r="DD398" t="e">
        <f>AND('STERLING CATALOG - FZN &amp; CHILL'!E3576,"AAAAADffW2s=")</f>
        <v>#VALUE!</v>
      </c>
      <c r="DE398" t="e">
        <f>AND('STERLING CATALOG - FZN &amp; CHILL'!F3576,"AAAAADffW2w=")</f>
        <v>#VALUE!</v>
      </c>
      <c r="DF398" t="e">
        <f>AND('STERLING CATALOG - FZN &amp; CHILL'!G3576,"AAAAADffW20=")</f>
        <v>#VALUE!</v>
      </c>
      <c r="DG398" t="e">
        <f>AND('STERLING CATALOG - FZN &amp; CHILL'!H3576,"AAAAADffW24=")</f>
        <v>#VALUE!</v>
      </c>
      <c r="DH398" t="e">
        <f>AND('STERLING CATALOG - FZN &amp; CHILL'!I3576,"AAAAADffW28=")</f>
        <v>#VALUE!</v>
      </c>
      <c r="DI398" t="e">
        <f>AND('STERLING CATALOG - FZN &amp; CHILL'!J3576,"AAAAADffW3A=")</f>
        <v>#VALUE!</v>
      </c>
      <c r="DJ398">
        <f>IF('STERLING CATALOG - FZN &amp; CHILL'!3577:3577,"AAAAADffW3E=",0)</f>
        <v>0</v>
      </c>
      <c r="DK398" t="e">
        <f>AND('STERLING CATALOG - FZN &amp; CHILL'!A3577,"AAAAADffW3I=")</f>
        <v>#VALUE!</v>
      </c>
      <c r="DL398" t="e">
        <f>AND('STERLING CATALOG - FZN &amp; CHILL'!B3577,"AAAAADffW3M=")</f>
        <v>#VALUE!</v>
      </c>
      <c r="DM398" t="e">
        <f>AND('STERLING CATALOG - FZN &amp; CHILL'!C3577,"AAAAADffW3Q=")</f>
        <v>#VALUE!</v>
      </c>
      <c r="DN398" t="e">
        <f>AND('STERLING CATALOG - FZN &amp; CHILL'!D3577,"AAAAADffW3U=")</f>
        <v>#VALUE!</v>
      </c>
      <c r="DO398" t="e">
        <f>AND('STERLING CATALOG - FZN &amp; CHILL'!E3577,"AAAAADffW3Y=")</f>
        <v>#VALUE!</v>
      </c>
      <c r="DP398" t="e">
        <f>AND('STERLING CATALOG - FZN &amp; CHILL'!F3577,"AAAAADffW3c=")</f>
        <v>#VALUE!</v>
      </c>
      <c r="DQ398" t="e">
        <f>AND('STERLING CATALOG - FZN &amp; CHILL'!G3577,"AAAAADffW3g=")</f>
        <v>#VALUE!</v>
      </c>
      <c r="DR398" t="e">
        <f>AND('STERLING CATALOG - FZN &amp; CHILL'!H3577,"AAAAADffW3k=")</f>
        <v>#VALUE!</v>
      </c>
      <c r="DS398" t="e">
        <f>AND('STERLING CATALOG - FZN &amp; CHILL'!I3577,"AAAAADffW3o=")</f>
        <v>#VALUE!</v>
      </c>
      <c r="DT398" t="e">
        <f>AND('STERLING CATALOG - FZN &amp; CHILL'!J3577,"AAAAADffW3s=")</f>
        <v>#VALUE!</v>
      </c>
      <c r="DU398">
        <f>IF('STERLING CATALOG - FZN &amp; CHILL'!3578:3578,"AAAAADffW3w=",0)</f>
        <v>0</v>
      </c>
      <c r="DV398" t="e">
        <f>AND('STERLING CATALOG - FZN &amp; CHILL'!A3578,"AAAAADffW30=")</f>
        <v>#VALUE!</v>
      </c>
      <c r="DW398" t="e">
        <f>AND('STERLING CATALOG - FZN &amp; CHILL'!B3578,"AAAAADffW34=")</f>
        <v>#VALUE!</v>
      </c>
      <c r="DX398" t="e">
        <f>AND('STERLING CATALOG - FZN &amp; CHILL'!C3578,"AAAAADffW38=")</f>
        <v>#VALUE!</v>
      </c>
      <c r="DY398" t="e">
        <f>AND('STERLING CATALOG - FZN &amp; CHILL'!D3578,"AAAAADffW4A=")</f>
        <v>#VALUE!</v>
      </c>
      <c r="DZ398" t="e">
        <f>AND('STERLING CATALOG - FZN &amp; CHILL'!E3578,"AAAAADffW4E=")</f>
        <v>#VALUE!</v>
      </c>
      <c r="EA398" t="e">
        <f>AND('STERLING CATALOG - FZN &amp; CHILL'!F3578,"AAAAADffW4I=")</f>
        <v>#VALUE!</v>
      </c>
      <c r="EB398" t="e">
        <f>AND('STERLING CATALOG - FZN &amp; CHILL'!G3578,"AAAAADffW4M=")</f>
        <v>#VALUE!</v>
      </c>
      <c r="EC398" t="e">
        <f>AND('STERLING CATALOG - FZN &amp; CHILL'!H3578,"AAAAADffW4Q=")</f>
        <v>#VALUE!</v>
      </c>
      <c r="ED398" t="e">
        <f>AND('STERLING CATALOG - FZN &amp; CHILL'!I3578,"AAAAADffW4U=")</f>
        <v>#VALUE!</v>
      </c>
      <c r="EE398" t="e">
        <f>AND('STERLING CATALOG - FZN &amp; CHILL'!J3578,"AAAAADffW4Y=")</f>
        <v>#VALUE!</v>
      </c>
      <c r="EF398">
        <f>IF('STERLING CATALOG - FZN &amp; CHILL'!3579:3579,"AAAAADffW4c=",0)</f>
        <v>0</v>
      </c>
      <c r="EG398" t="e">
        <f>AND('STERLING CATALOG - FZN &amp; CHILL'!A3579,"AAAAADffW4g=")</f>
        <v>#VALUE!</v>
      </c>
      <c r="EH398" t="e">
        <f>AND('STERLING CATALOG - FZN &amp; CHILL'!B3579,"AAAAADffW4k=")</f>
        <v>#VALUE!</v>
      </c>
      <c r="EI398" t="e">
        <f>AND('STERLING CATALOG - FZN &amp; CHILL'!C3579,"AAAAADffW4o=")</f>
        <v>#VALUE!</v>
      </c>
      <c r="EJ398" t="e">
        <f>AND('STERLING CATALOG - FZN &amp; CHILL'!D3579,"AAAAADffW4s=")</f>
        <v>#VALUE!</v>
      </c>
      <c r="EK398" t="e">
        <f>AND('STERLING CATALOG - FZN &amp; CHILL'!E3579,"AAAAADffW4w=")</f>
        <v>#VALUE!</v>
      </c>
      <c r="EL398" t="e">
        <f>AND('STERLING CATALOG - FZN &amp; CHILL'!F3579,"AAAAADffW40=")</f>
        <v>#VALUE!</v>
      </c>
      <c r="EM398" t="e">
        <f>AND('STERLING CATALOG - FZN &amp; CHILL'!G3579,"AAAAADffW44=")</f>
        <v>#VALUE!</v>
      </c>
      <c r="EN398" t="e">
        <f>AND('STERLING CATALOG - FZN &amp; CHILL'!H3579,"AAAAADffW48=")</f>
        <v>#VALUE!</v>
      </c>
      <c r="EO398" t="e">
        <f>AND('STERLING CATALOG - FZN &amp; CHILL'!I3579,"AAAAADffW5A=")</f>
        <v>#VALUE!</v>
      </c>
      <c r="EP398" t="e">
        <f>AND('STERLING CATALOG - FZN &amp; CHILL'!J3579,"AAAAADffW5E=")</f>
        <v>#VALUE!</v>
      </c>
      <c r="EQ398">
        <f>IF('STERLING CATALOG - FZN &amp; CHILL'!3580:3580,"AAAAADffW5I=",0)</f>
        <v>0</v>
      </c>
      <c r="ER398" t="e">
        <f>AND('STERLING CATALOG - FZN &amp; CHILL'!A3580,"AAAAADffW5M=")</f>
        <v>#VALUE!</v>
      </c>
      <c r="ES398" t="e">
        <f>AND('STERLING CATALOG - FZN &amp; CHILL'!B3580,"AAAAADffW5Q=")</f>
        <v>#VALUE!</v>
      </c>
      <c r="ET398" t="e">
        <f>AND('STERLING CATALOG - FZN &amp; CHILL'!C3580,"AAAAADffW5U=")</f>
        <v>#VALUE!</v>
      </c>
      <c r="EU398" t="e">
        <f>AND('STERLING CATALOG - FZN &amp; CHILL'!D3580,"AAAAADffW5Y=")</f>
        <v>#VALUE!</v>
      </c>
      <c r="EV398" t="e">
        <f>AND('STERLING CATALOG - FZN &amp; CHILL'!E3580,"AAAAADffW5c=")</f>
        <v>#VALUE!</v>
      </c>
      <c r="EW398" t="e">
        <f>AND('STERLING CATALOG - FZN &amp; CHILL'!F3580,"AAAAADffW5g=")</f>
        <v>#VALUE!</v>
      </c>
      <c r="EX398" t="e">
        <f>AND('STERLING CATALOG - FZN &amp; CHILL'!G3580,"AAAAADffW5k=")</f>
        <v>#VALUE!</v>
      </c>
      <c r="EY398" t="e">
        <f>AND('STERLING CATALOG - FZN &amp; CHILL'!H3580,"AAAAADffW5o=")</f>
        <v>#VALUE!</v>
      </c>
      <c r="EZ398" t="e">
        <f>AND('STERLING CATALOG - FZN &amp; CHILL'!I3580,"AAAAADffW5s=")</f>
        <v>#VALUE!</v>
      </c>
      <c r="FA398" t="e">
        <f>AND('STERLING CATALOG - FZN &amp; CHILL'!J3580,"AAAAADffW5w=")</f>
        <v>#VALUE!</v>
      </c>
      <c r="FB398">
        <f>IF('STERLING CATALOG - FZN &amp; CHILL'!3581:3581,"AAAAADffW50=",0)</f>
        <v>0</v>
      </c>
      <c r="FC398" t="e">
        <f>AND('STERLING CATALOG - FZN &amp; CHILL'!A3581,"AAAAADffW54=")</f>
        <v>#VALUE!</v>
      </c>
      <c r="FD398" t="e">
        <f>AND('STERLING CATALOG - FZN &amp; CHILL'!B3581,"AAAAADffW58=")</f>
        <v>#VALUE!</v>
      </c>
      <c r="FE398" t="e">
        <f>AND('STERLING CATALOG - FZN &amp; CHILL'!C3581,"AAAAADffW6A=")</f>
        <v>#VALUE!</v>
      </c>
      <c r="FF398" t="e">
        <f>AND('STERLING CATALOG - FZN &amp; CHILL'!D3581,"AAAAADffW6E=")</f>
        <v>#VALUE!</v>
      </c>
      <c r="FG398" t="e">
        <f>AND('STERLING CATALOG - FZN &amp; CHILL'!E3581,"AAAAADffW6I=")</f>
        <v>#VALUE!</v>
      </c>
      <c r="FH398" t="e">
        <f>AND('STERLING CATALOG - FZN &amp; CHILL'!F3581,"AAAAADffW6M=")</f>
        <v>#VALUE!</v>
      </c>
      <c r="FI398" t="e">
        <f>AND('STERLING CATALOG - FZN &amp; CHILL'!G3581,"AAAAADffW6Q=")</f>
        <v>#VALUE!</v>
      </c>
      <c r="FJ398" t="e">
        <f>AND('STERLING CATALOG - FZN &amp; CHILL'!H3581,"AAAAADffW6U=")</f>
        <v>#VALUE!</v>
      </c>
      <c r="FK398" t="e">
        <f>AND('STERLING CATALOG - FZN &amp; CHILL'!I3581,"AAAAADffW6Y=")</f>
        <v>#VALUE!</v>
      </c>
      <c r="FL398" t="e">
        <f>AND('STERLING CATALOG - FZN &amp; CHILL'!J3581,"AAAAADffW6c=")</f>
        <v>#VALUE!</v>
      </c>
      <c r="FM398">
        <f>IF('STERLING CATALOG - FZN &amp; CHILL'!3582:3582,"AAAAADffW6g=",0)</f>
        <v>0</v>
      </c>
      <c r="FN398" t="e">
        <f>AND('STERLING CATALOG - FZN &amp; CHILL'!A3582,"AAAAADffW6k=")</f>
        <v>#VALUE!</v>
      </c>
      <c r="FO398" t="e">
        <f>AND('STERLING CATALOG - FZN &amp; CHILL'!B3582,"AAAAADffW6o=")</f>
        <v>#VALUE!</v>
      </c>
      <c r="FP398" t="e">
        <f>AND('STERLING CATALOG - FZN &amp; CHILL'!C3582,"AAAAADffW6s=")</f>
        <v>#VALUE!</v>
      </c>
      <c r="FQ398" t="e">
        <f>AND('STERLING CATALOG - FZN &amp; CHILL'!D3582,"AAAAADffW6w=")</f>
        <v>#VALUE!</v>
      </c>
      <c r="FR398" t="e">
        <f>AND('STERLING CATALOG - FZN &amp; CHILL'!E3582,"AAAAADffW60=")</f>
        <v>#VALUE!</v>
      </c>
      <c r="FS398" t="e">
        <f>AND('STERLING CATALOG - FZN &amp; CHILL'!F3582,"AAAAADffW64=")</f>
        <v>#VALUE!</v>
      </c>
      <c r="FT398" t="e">
        <f>AND('STERLING CATALOG - FZN &amp; CHILL'!G3582,"AAAAADffW68=")</f>
        <v>#VALUE!</v>
      </c>
      <c r="FU398" t="e">
        <f>AND('STERLING CATALOG - FZN &amp; CHILL'!H3582,"AAAAADffW7A=")</f>
        <v>#VALUE!</v>
      </c>
      <c r="FV398" t="e">
        <f>AND('STERLING CATALOG - FZN &amp; CHILL'!I3582,"AAAAADffW7E=")</f>
        <v>#VALUE!</v>
      </c>
      <c r="FW398" t="e">
        <f>AND('STERLING CATALOG - FZN &amp; CHILL'!J3582,"AAAAADffW7I=")</f>
        <v>#VALUE!</v>
      </c>
      <c r="FX398">
        <f>IF('STERLING CATALOG - FZN &amp; CHILL'!3583:3583,"AAAAADffW7M=",0)</f>
        <v>0</v>
      </c>
      <c r="FY398" t="e">
        <f>AND('STERLING CATALOG - FZN &amp; CHILL'!A3583,"AAAAADffW7Q=")</f>
        <v>#VALUE!</v>
      </c>
      <c r="FZ398" t="e">
        <f>AND('STERLING CATALOG - FZN &amp; CHILL'!B3583,"AAAAADffW7U=")</f>
        <v>#VALUE!</v>
      </c>
      <c r="GA398" t="e">
        <f>AND('STERLING CATALOG - FZN &amp; CHILL'!C3583,"AAAAADffW7Y=")</f>
        <v>#VALUE!</v>
      </c>
      <c r="GB398" t="e">
        <f>AND('STERLING CATALOG - FZN &amp; CHILL'!D3583,"AAAAADffW7c=")</f>
        <v>#VALUE!</v>
      </c>
      <c r="GC398" t="e">
        <f>AND('STERLING CATALOG - FZN &amp; CHILL'!E3583,"AAAAADffW7g=")</f>
        <v>#VALUE!</v>
      </c>
      <c r="GD398" t="e">
        <f>AND('STERLING CATALOG - FZN &amp; CHILL'!F3583,"AAAAADffW7k=")</f>
        <v>#VALUE!</v>
      </c>
      <c r="GE398" t="e">
        <f>AND('STERLING CATALOG - FZN &amp; CHILL'!G3583,"AAAAADffW7o=")</f>
        <v>#VALUE!</v>
      </c>
      <c r="GF398" t="e">
        <f>AND('STERLING CATALOG - FZN &amp; CHILL'!H3583,"AAAAADffW7s=")</f>
        <v>#VALUE!</v>
      </c>
      <c r="GG398" t="e">
        <f>AND('STERLING CATALOG - FZN &amp; CHILL'!I3583,"AAAAADffW7w=")</f>
        <v>#VALUE!</v>
      </c>
      <c r="GH398" t="e">
        <f>AND('STERLING CATALOG - FZN &amp; CHILL'!J3583,"AAAAADffW70=")</f>
        <v>#VALUE!</v>
      </c>
      <c r="GI398">
        <f>IF('STERLING CATALOG - FZN &amp; CHILL'!3584:3584,"AAAAADffW74=",0)</f>
        <v>0</v>
      </c>
      <c r="GJ398" t="e">
        <f>AND('STERLING CATALOG - FZN &amp; CHILL'!A3584,"AAAAADffW78=")</f>
        <v>#VALUE!</v>
      </c>
      <c r="GK398" t="e">
        <f>AND('STERLING CATALOG - FZN &amp; CHILL'!B3584,"AAAAADffW8A=")</f>
        <v>#VALUE!</v>
      </c>
      <c r="GL398" t="e">
        <f>AND('STERLING CATALOG - FZN &amp; CHILL'!C3584,"AAAAADffW8E=")</f>
        <v>#VALUE!</v>
      </c>
      <c r="GM398" t="e">
        <f>AND('STERLING CATALOG - FZN &amp; CHILL'!D3584,"AAAAADffW8I=")</f>
        <v>#VALUE!</v>
      </c>
      <c r="GN398" t="e">
        <f>AND('STERLING CATALOG - FZN &amp; CHILL'!E3584,"AAAAADffW8M=")</f>
        <v>#VALUE!</v>
      </c>
      <c r="GO398" t="e">
        <f>AND('STERLING CATALOG - FZN &amp; CHILL'!F3584,"AAAAADffW8Q=")</f>
        <v>#VALUE!</v>
      </c>
      <c r="GP398" t="e">
        <f>AND('STERLING CATALOG - FZN &amp; CHILL'!G3584,"AAAAADffW8U=")</f>
        <v>#VALUE!</v>
      </c>
      <c r="GQ398" t="e">
        <f>AND('STERLING CATALOG - FZN &amp; CHILL'!H3584,"AAAAADffW8Y=")</f>
        <v>#VALUE!</v>
      </c>
      <c r="GR398" t="e">
        <f>AND('STERLING CATALOG - FZN &amp; CHILL'!I3584,"AAAAADffW8c=")</f>
        <v>#VALUE!</v>
      </c>
      <c r="GS398" t="e">
        <f>AND('STERLING CATALOG - FZN &amp; CHILL'!J3584,"AAAAADffW8g=")</f>
        <v>#VALUE!</v>
      </c>
      <c r="GT398">
        <f>IF('STERLING CATALOG - FZN &amp; CHILL'!3585:3585,"AAAAADffW8k=",0)</f>
        <v>0</v>
      </c>
      <c r="GU398" t="e">
        <f>AND('STERLING CATALOG - FZN &amp; CHILL'!A3585,"AAAAADffW8o=")</f>
        <v>#VALUE!</v>
      </c>
      <c r="GV398" t="e">
        <f>AND('STERLING CATALOG - FZN &amp; CHILL'!B3585,"AAAAADffW8s=")</f>
        <v>#VALUE!</v>
      </c>
      <c r="GW398" t="e">
        <f>AND('STERLING CATALOG - FZN &amp; CHILL'!C3585,"AAAAADffW8w=")</f>
        <v>#VALUE!</v>
      </c>
      <c r="GX398" t="e">
        <f>AND('STERLING CATALOG - FZN &amp; CHILL'!D3585,"AAAAADffW80=")</f>
        <v>#VALUE!</v>
      </c>
      <c r="GY398" t="e">
        <f>AND('STERLING CATALOG - FZN &amp; CHILL'!E3585,"AAAAADffW84=")</f>
        <v>#VALUE!</v>
      </c>
      <c r="GZ398" t="e">
        <f>AND('STERLING CATALOG - FZN &amp; CHILL'!F3585,"AAAAADffW88=")</f>
        <v>#VALUE!</v>
      </c>
      <c r="HA398" t="e">
        <f>AND('STERLING CATALOG - FZN &amp; CHILL'!G3585,"AAAAADffW9A=")</f>
        <v>#VALUE!</v>
      </c>
      <c r="HB398" t="e">
        <f>AND('STERLING CATALOG - FZN &amp; CHILL'!H3585,"AAAAADffW9E=")</f>
        <v>#VALUE!</v>
      </c>
      <c r="HC398" t="e">
        <f>AND('STERLING CATALOG - FZN &amp; CHILL'!I3585,"AAAAADffW9I=")</f>
        <v>#VALUE!</v>
      </c>
      <c r="HD398" t="e">
        <f>AND('STERLING CATALOG - FZN &amp; CHILL'!J3585,"AAAAADffW9M=")</f>
        <v>#VALUE!</v>
      </c>
      <c r="HE398">
        <f>IF('STERLING CATALOG - FZN &amp; CHILL'!3586:3586,"AAAAADffW9Q=",0)</f>
        <v>0</v>
      </c>
      <c r="HF398" t="e">
        <f>AND('STERLING CATALOG - FZN &amp; CHILL'!A3586,"AAAAADffW9U=")</f>
        <v>#VALUE!</v>
      </c>
      <c r="HG398" t="e">
        <f>AND('STERLING CATALOG - FZN &amp; CHILL'!B3586,"AAAAADffW9Y=")</f>
        <v>#VALUE!</v>
      </c>
      <c r="HH398" t="e">
        <f>AND('STERLING CATALOG - FZN &amp; CHILL'!C3586,"AAAAADffW9c=")</f>
        <v>#VALUE!</v>
      </c>
      <c r="HI398" t="e">
        <f>AND('STERLING CATALOG - FZN &amp; CHILL'!D3586,"AAAAADffW9g=")</f>
        <v>#VALUE!</v>
      </c>
      <c r="HJ398" t="e">
        <f>AND('STERLING CATALOG - FZN &amp; CHILL'!E3586,"AAAAADffW9k=")</f>
        <v>#VALUE!</v>
      </c>
      <c r="HK398" t="e">
        <f>AND('STERLING CATALOG - FZN &amp; CHILL'!F3586,"AAAAADffW9o=")</f>
        <v>#VALUE!</v>
      </c>
      <c r="HL398" t="e">
        <f>AND('STERLING CATALOG - FZN &amp; CHILL'!G3586,"AAAAADffW9s=")</f>
        <v>#VALUE!</v>
      </c>
      <c r="HM398" t="e">
        <f>AND('STERLING CATALOG - FZN &amp; CHILL'!H3586,"AAAAADffW9w=")</f>
        <v>#VALUE!</v>
      </c>
      <c r="HN398" t="e">
        <f>AND('STERLING CATALOG - FZN &amp; CHILL'!I3586,"AAAAADffW90=")</f>
        <v>#VALUE!</v>
      </c>
      <c r="HO398" t="e">
        <f>AND('STERLING CATALOG - FZN &amp; CHILL'!J3586,"AAAAADffW94=")</f>
        <v>#VALUE!</v>
      </c>
      <c r="HP398">
        <f>IF('STERLING CATALOG - FZN &amp; CHILL'!3587:3587,"AAAAADffW98=",0)</f>
        <v>0</v>
      </c>
      <c r="HQ398" t="e">
        <f>AND('STERLING CATALOG - FZN &amp; CHILL'!A3587,"AAAAADffW+A=")</f>
        <v>#VALUE!</v>
      </c>
      <c r="HR398" t="e">
        <f>AND('STERLING CATALOG - FZN &amp; CHILL'!B3587,"AAAAADffW+E=")</f>
        <v>#VALUE!</v>
      </c>
      <c r="HS398" t="e">
        <f>AND('STERLING CATALOG - FZN &amp; CHILL'!C3587,"AAAAADffW+I=")</f>
        <v>#VALUE!</v>
      </c>
      <c r="HT398" t="e">
        <f>AND('STERLING CATALOG - FZN &amp; CHILL'!D3587,"AAAAADffW+M=")</f>
        <v>#VALUE!</v>
      </c>
      <c r="HU398" t="e">
        <f>AND('STERLING CATALOG - FZN &amp; CHILL'!E3587,"AAAAADffW+Q=")</f>
        <v>#VALUE!</v>
      </c>
      <c r="HV398" t="e">
        <f>AND('STERLING CATALOG - FZN &amp; CHILL'!F3587,"AAAAADffW+U=")</f>
        <v>#VALUE!</v>
      </c>
      <c r="HW398" t="e">
        <f>AND('STERLING CATALOG - FZN &amp; CHILL'!G3587,"AAAAADffW+Y=")</f>
        <v>#VALUE!</v>
      </c>
      <c r="HX398" t="e">
        <f>AND('STERLING CATALOG - FZN &amp; CHILL'!H3587,"AAAAADffW+c=")</f>
        <v>#VALUE!</v>
      </c>
      <c r="HY398" t="e">
        <f>AND('STERLING CATALOG - FZN &amp; CHILL'!I3587,"AAAAADffW+g=")</f>
        <v>#VALUE!</v>
      </c>
      <c r="HZ398" t="e">
        <f>AND('STERLING CATALOG - FZN &amp; CHILL'!J3587,"AAAAADffW+k=")</f>
        <v>#VALUE!</v>
      </c>
      <c r="IA398">
        <f>IF('STERLING CATALOG - FZN &amp; CHILL'!3588:3588,"AAAAADffW+o=",0)</f>
        <v>0</v>
      </c>
      <c r="IB398" t="e">
        <f>AND('STERLING CATALOG - FZN &amp; CHILL'!A3588,"AAAAADffW+s=")</f>
        <v>#VALUE!</v>
      </c>
      <c r="IC398" t="e">
        <f>AND('STERLING CATALOG - FZN &amp; CHILL'!B3588,"AAAAADffW+w=")</f>
        <v>#VALUE!</v>
      </c>
      <c r="ID398" t="e">
        <f>AND('STERLING CATALOG - FZN &amp; CHILL'!C3588,"AAAAADffW+0=")</f>
        <v>#VALUE!</v>
      </c>
      <c r="IE398" t="e">
        <f>AND('STERLING CATALOG - FZN &amp; CHILL'!D3588,"AAAAADffW+4=")</f>
        <v>#VALUE!</v>
      </c>
      <c r="IF398" t="e">
        <f>AND('STERLING CATALOG - FZN &amp; CHILL'!E3588,"AAAAADffW+8=")</f>
        <v>#VALUE!</v>
      </c>
      <c r="IG398" t="e">
        <f>AND('STERLING CATALOG - FZN &amp; CHILL'!F3588,"AAAAADffW/A=")</f>
        <v>#VALUE!</v>
      </c>
      <c r="IH398" t="e">
        <f>AND('STERLING CATALOG - FZN &amp; CHILL'!G3588,"AAAAADffW/E=")</f>
        <v>#VALUE!</v>
      </c>
      <c r="II398" t="e">
        <f>AND('STERLING CATALOG - FZN &amp; CHILL'!H3588,"AAAAADffW/I=")</f>
        <v>#VALUE!</v>
      </c>
      <c r="IJ398" t="e">
        <f>AND('STERLING CATALOG - FZN &amp; CHILL'!I3588,"AAAAADffW/M=")</f>
        <v>#VALUE!</v>
      </c>
      <c r="IK398" t="e">
        <f>AND('STERLING CATALOG - FZN &amp; CHILL'!J3588,"AAAAADffW/Q=")</f>
        <v>#VALUE!</v>
      </c>
      <c r="IL398">
        <f>IF('STERLING CATALOG - FZN &amp; CHILL'!3589:3589,"AAAAADffW/U=",0)</f>
        <v>0</v>
      </c>
      <c r="IM398" t="e">
        <f>AND('STERLING CATALOG - FZN &amp; CHILL'!A3589,"AAAAADffW/Y=")</f>
        <v>#VALUE!</v>
      </c>
      <c r="IN398" t="e">
        <f>AND('STERLING CATALOG - FZN &amp; CHILL'!B3589,"AAAAADffW/c=")</f>
        <v>#VALUE!</v>
      </c>
      <c r="IO398" t="e">
        <f>AND('STERLING CATALOG - FZN &amp; CHILL'!C3589,"AAAAADffW/g=")</f>
        <v>#VALUE!</v>
      </c>
      <c r="IP398" t="e">
        <f>AND('STERLING CATALOG - FZN &amp; CHILL'!D3589,"AAAAADffW/k=")</f>
        <v>#VALUE!</v>
      </c>
      <c r="IQ398" t="e">
        <f>AND('STERLING CATALOG - FZN &amp; CHILL'!E3589,"AAAAADffW/o=")</f>
        <v>#VALUE!</v>
      </c>
      <c r="IR398" t="e">
        <f>AND('STERLING CATALOG - FZN &amp; CHILL'!F3589,"AAAAADffW/s=")</f>
        <v>#VALUE!</v>
      </c>
      <c r="IS398" t="e">
        <f>AND('STERLING CATALOG - FZN &amp; CHILL'!G3589,"AAAAADffW/w=")</f>
        <v>#VALUE!</v>
      </c>
      <c r="IT398" t="e">
        <f>AND('STERLING CATALOG - FZN &amp; CHILL'!H3589,"AAAAADffW/0=")</f>
        <v>#VALUE!</v>
      </c>
      <c r="IU398" t="e">
        <f>AND('STERLING CATALOG - FZN &amp; CHILL'!I3589,"AAAAADffW/4=")</f>
        <v>#VALUE!</v>
      </c>
      <c r="IV398" t="e">
        <f>AND('STERLING CATALOG - FZN &amp; CHILL'!J3589,"AAAAADffW/8=")</f>
        <v>#VALUE!</v>
      </c>
    </row>
    <row r="399" spans="1:256">
      <c r="A399" t="str">
        <f>IF('STERLING CATALOG - FZN &amp; CHILL'!3590:3590,"AAAAAGhrhQA=",0)</f>
        <v>AAAAAGhrhQA=</v>
      </c>
      <c r="B399" t="e">
        <f>AND('STERLING CATALOG - FZN &amp; CHILL'!A3590,"AAAAAGhrhQE=")</f>
        <v>#VALUE!</v>
      </c>
      <c r="C399" t="e">
        <f>AND('STERLING CATALOG - FZN &amp; CHILL'!B3590,"AAAAAGhrhQI=")</f>
        <v>#VALUE!</v>
      </c>
      <c r="D399" t="e">
        <f>AND('STERLING CATALOG - FZN &amp; CHILL'!C3590,"AAAAAGhrhQM=")</f>
        <v>#VALUE!</v>
      </c>
      <c r="E399" t="e">
        <f>AND('STERLING CATALOG - FZN &amp; CHILL'!D3590,"AAAAAGhrhQQ=")</f>
        <v>#VALUE!</v>
      </c>
      <c r="F399" t="e">
        <f>AND('STERLING CATALOG - FZN &amp; CHILL'!E3590,"AAAAAGhrhQU=")</f>
        <v>#VALUE!</v>
      </c>
      <c r="G399" t="e">
        <f>AND('STERLING CATALOG - FZN &amp; CHILL'!F3590,"AAAAAGhrhQY=")</f>
        <v>#VALUE!</v>
      </c>
      <c r="H399" t="e">
        <f>AND('STERLING CATALOG - FZN &amp; CHILL'!G3590,"AAAAAGhrhQc=")</f>
        <v>#VALUE!</v>
      </c>
      <c r="I399" t="e">
        <f>AND('STERLING CATALOG - FZN &amp; CHILL'!H3590,"AAAAAGhrhQg=")</f>
        <v>#VALUE!</v>
      </c>
      <c r="J399" t="e">
        <f>AND('STERLING CATALOG - FZN &amp; CHILL'!I3590,"AAAAAGhrhQk=")</f>
        <v>#VALUE!</v>
      </c>
      <c r="K399" t="e">
        <f>AND('STERLING CATALOG - FZN &amp; CHILL'!J3590,"AAAAAGhrhQo=")</f>
        <v>#VALUE!</v>
      </c>
      <c r="L399">
        <f>IF('STERLING CATALOG - FZN &amp; CHILL'!3591:3591,"AAAAAGhrhQs=",0)</f>
        <v>0</v>
      </c>
      <c r="M399" t="e">
        <f>AND('STERLING CATALOG - FZN &amp; CHILL'!A3591,"AAAAAGhrhQw=")</f>
        <v>#VALUE!</v>
      </c>
      <c r="N399" t="e">
        <f>AND('STERLING CATALOG - FZN &amp; CHILL'!B3591,"AAAAAGhrhQ0=")</f>
        <v>#VALUE!</v>
      </c>
      <c r="O399" t="e">
        <f>AND('STERLING CATALOG - FZN &amp; CHILL'!C3591,"AAAAAGhrhQ4=")</f>
        <v>#VALUE!</v>
      </c>
      <c r="P399" t="e">
        <f>AND('STERLING CATALOG - FZN &amp; CHILL'!D3591,"AAAAAGhrhQ8=")</f>
        <v>#VALUE!</v>
      </c>
      <c r="Q399" t="e">
        <f>AND('STERLING CATALOG - FZN &amp; CHILL'!E3591,"AAAAAGhrhRA=")</f>
        <v>#VALUE!</v>
      </c>
      <c r="R399" t="e">
        <f>AND('STERLING CATALOG - FZN &amp; CHILL'!F3591,"AAAAAGhrhRE=")</f>
        <v>#VALUE!</v>
      </c>
      <c r="S399" t="e">
        <f>AND('STERLING CATALOG - FZN &amp; CHILL'!G3591,"AAAAAGhrhRI=")</f>
        <v>#VALUE!</v>
      </c>
      <c r="T399" t="e">
        <f>AND('STERLING CATALOG - FZN &amp; CHILL'!H3591,"AAAAAGhrhRM=")</f>
        <v>#VALUE!</v>
      </c>
      <c r="U399" t="e">
        <f>AND('STERLING CATALOG - FZN &amp; CHILL'!I3591,"AAAAAGhrhRQ=")</f>
        <v>#VALUE!</v>
      </c>
      <c r="V399" t="e">
        <f>AND('STERLING CATALOG - FZN &amp; CHILL'!J3591,"AAAAAGhrhRU=")</f>
        <v>#VALUE!</v>
      </c>
      <c r="W399">
        <f>IF('STERLING CATALOG - FZN &amp; CHILL'!3592:3592,"AAAAAGhrhRY=",0)</f>
        <v>0</v>
      </c>
      <c r="X399" t="e">
        <f>AND('STERLING CATALOG - FZN &amp; CHILL'!A3592,"AAAAAGhrhRc=")</f>
        <v>#VALUE!</v>
      </c>
      <c r="Y399" t="e">
        <f>AND('STERLING CATALOG - FZN &amp; CHILL'!B3592,"AAAAAGhrhRg=")</f>
        <v>#VALUE!</v>
      </c>
      <c r="Z399" t="e">
        <f>AND('STERLING CATALOG - FZN &amp; CHILL'!C3592,"AAAAAGhrhRk=")</f>
        <v>#VALUE!</v>
      </c>
      <c r="AA399" t="e">
        <f>AND('STERLING CATALOG - FZN &amp; CHILL'!D3592,"AAAAAGhrhRo=")</f>
        <v>#VALUE!</v>
      </c>
      <c r="AB399" t="e">
        <f>AND('STERLING CATALOG - FZN &amp; CHILL'!E3592,"AAAAAGhrhRs=")</f>
        <v>#VALUE!</v>
      </c>
      <c r="AC399" t="e">
        <f>AND('STERLING CATALOG - FZN &amp; CHILL'!F3592,"AAAAAGhrhRw=")</f>
        <v>#VALUE!</v>
      </c>
      <c r="AD399" t="e">
        <f>AND('STERLING CATALOG - FZN &amp; CHILL'!G3592,"AAAAAGhrhR0=")</f>
        <v>#VALUE!</v>
      </c>
      <c r="AE399" t="e">
        <f>AND('STERLING CATALOG - FZN &amp; CHILL'!H3592,"AAAAAGhrhR4=")</f>
        <v>#VALUE!</v>
      </c>
      <c r="AF399" t="e">
        <f>AND('STERLING CATALOG - FZN &amp; CHILL'!I3592,"AAAAAGhrhR8=")</f>
        <v>#VALUE!</v>
      </c>
      <c r="AG399" t="e">
        <f>AND('STERLING CATALOG - FZN &amp; CHILL'!J3592,"AAAAAGhrhSA=")</f>
        <v>#VALUE!</v>
      </c>
      <c r="AH399">
        <f>IF('STERLING CATALOG - FZN &amp; CHILL'!3593:3593,"AAAAAGhrhSE=",0)</f>
        <v>0</v>
      </c>
      <c r="AI399" t="e">
        <f>AND('STERLING CATALOG - FZN &amp; CHILL'!A3593,"AAAAAGhrhSI=")</f>
        <v>#VALUE!</v>
      </c>
      <c r="AJ399" t="e">
        <f>AND('STERLING CATALOG - FZN &amp; CHILL'!B3593,"AAAAAGhrhSM=")</f>
        <v>#VALUE!</v>
      </c>
      <c r="AK399" t="e">
        <f>AND('STERLING CATALOG - FZN &amp; CHILL'!C3593,"AAAAAGhrhSQ=")</f>
        <v>#VALUE!</v>
      </c>
      <c r="AL399" t="e">
        <f>AND('STERLING CATALOG - FZN &amp; CHILL'!D3593,"AAAAAGhrhSU=")</f>
        <v>#VALUE!</v>
      </c>
      <c r="AM399" t="e">
        <f>AND('STERLING CATALOG - FZN &amp; CHILL'!E3593,"AAAAAGhrhSY=")</f>
        <v>#VALUE!</v>
      </c>
      <c r="AN399" t="e">
        <f>AND('STERLING CATALOG - FZN &amp; CHILL'!F3593,"AAAAAGhrhSc=")</f>
        <v>#VALUE!</v>
      </c>
      <c r="AO399" t="e">
        <f>AND('STERLING CATALOG - FZN &amp; CHILL'!G3593,"AAAAAGhrhSg=")</f>
        <v>#VALUE!</v>
      </c>
      <c r="AP399" t="e">
        <f>AND('STERLING CATALOG - FZN &amp; CHILL'!H3593,"AAAAAGhrhSk=")</f>
        <v>#VALUE!</v>
      </c>
      <c r="AQ399" t="e">
        <f>AND('STERLING CATALOG - FZN &amp; CHILL'!I3593,"AAAAAGhrhSo=")</f>
        <v>#VALUE!</v>
      </c>
      <c r="AR399" t="e">
        <f>AND('STERLING CATALOG - FZN &amp; CHILL'!J3593,"AAAAAGhrhSs=")</f>
        <v>#VALUE!</v>
      </c>
      <c r="AS399">
        <f>IF('STERLING CATALOG - FZN &amp; CHILL'!3594:3594,"AAAAAGhrhSw=",0)</f>
        <v>0</v>
      </c>
      <c r="AT399" t="e">
        <f>AND('STERLING CATALOG - FZN &amp; CHILL'!A3594,"AAAAAGhrhS0=")</f>
        <v>#VALUE!</v>
      </c>
      <c r="AU399" t="e">
        <f>AND('STERLING CATALOG - FZN &amp; CHILL'!B3594,"AAAAAGhrhS4=")</f>
        <v>#VALUE!</v>
      </c>
      <c r="AV399" t="e">
        <f>AND('STERLING CATALOG - FZN &amp; CHILL'!C3594,"AAAAAGhrhS8=")</f>
        <v>#VALUE!</v>
      </c>
      <c r="AW399" t="e">
        <f>AND('STERLING CATALOG - FZN &amp; CHILL'!D3594,"AAAAAGhrhTA=")</f>
        <v>#VALUE!</v>
      </c>
      <c r="AX399" t="e">
        <f>AND('STERLING CATALOG - FZN &amp; CHILL'!E3594,"AAAAAGhrhTE=")</f>
        <v>#VALUE!</v>
      </c>
      <c r="AY399" t="e">
        <f>AND('STERLING CATALOG - FZN &amp; CHILL'!F3594,"AAAAAGhrhTI=")</f>
        <v>#VALUE!</v>
      </c>
      <c r="AZ399" t="e">
        <f>AND('STERLING CATALOG - FZN &amp; CHILL'!G3594,"AAAAAGhrhTM=")</f>
        <v>#VALUE!</v>
      </c>
      <c r="BA399" t="e">
        <f>AND('STERLING CATALOG - FZN &amp; CHILL'!H3594,"AAAAAGhrhTQ=")</f>
        <v>#VALUE!</v>
      </c>
      <c r="BB399" t="e">
        <f>AND('STERLING CATALOG - FZN &amp; CHILL'!I3594,"AAAAAGhrhTU=")</f>
        <v>#VALUE!</v>
      </c>
      <c r="BC399" t="e">
        <f>AND('STERLING CATALOG - FZN &amp; CHILL'!J3594,"AAAAAGhrhTY=")</f>
        <v>#VALUE!</v>
      </c>
      <c r="BD399">
        <f>IF('STERLING CATALOG - FZN &amp; CHILL'!3595:3595,"AAAAAGhrhTc=",0)</f>
        <v>0</v>
      </c>
      <c r="BE399" t="e">
        <f>AND('STERLING CATALOG - FZN &amp; CHILL'!A3595,"AAAAAGhrhTg=")</f>
        <v>#VALUE!</v>
      </c>
      <c r="BF399" t="e">
        <f>AND('STERLING CATALOG - FZN &amp; CHILL'!B3595,"AAAAAGhrhTk=")</f>
        <v>#VALUE!</v>
      </c>
      <c r="BG399" t="e">
        <f>AND('STERLING CATALOG - FZN &amp; CHILL'!C3595,"AAAAAGhrhTo=")</f>
        <v>#VALUE!</v>
      </c>
      <c r="BH399" t="e">
        <f>AND('STERLING CATALOG - FZN &amp; CHILL'!D3595,"AAAAAGhrhTs=")</f>
        <v>#VALUE!</v>
      </c>
      <c r="BI399" t="e">
        <f>AND('STERLING CATALOG - FZN &amp; CHILL'!E3595,"AAAAAGhrhTw=")</f>
        <v>#VALUE!</v>
      </c>
      <c r="BJ399" t="e">
        <f>AND('STERLING CATALOG - FZN &amp; CHILL'!F3595,"AAAAAGhrhT0=")</f>
        <v>#VALUE!</v>
      </c>
      <c r="BK399" t="e">
        <f>AND('STERLING CATALOG - FZN &amp; CHILL'!G3595,"AAAAAGhrhT4=")</f>
        <v>#VALUE!</v>
      </c>
      <c r="BL399" t="e">
        <f>AND('STERLING CATALOG - FZN &amp; CHILL'!H3595,"AAAAAGhrhT8=")</f>
        <v>#VALUE!</v>
      </c>
      <c r="BM399" t="e">
        <f>AND('STERLING CATALOG - FZN &amp; CHILL'!I3595,"AAAAAGhrhUA=")</f>
        <v>#VALUE!</v>
      </c>
      <c r="BN399" t="e">
        <f>AND('STERLING CATALOG - FZN &amp; CHILL'!J3595,"AAAAAGhrhUE=")</f>
        <v>#VALUE!</v>
      </c>
      <c r="BO399">
        <f>IF('STERLING CATALOG - FZN &amp; CHILL'!3596:3596,"AAAAAGhrhUI=",0)</f>
        <v>0</v>
      </c>
      <c r="BP399" t="e">
        <f>AND('STERLING CATALOG - FZN &amp; CHILL'!A3596,"AAAAAGhrhUM=")</f>
        <v>#VALUE!</v>
      </c>
      <c r="BQ399" t="e">
        <f>AND('STERLING CATALOG - FZN &amp; CHILL'!B3596,"AAAAAGhrhUQ=")</f>
        <v>#VALUE!</v>
      </c>
      <c r="BR399" t="e">
        <f>AND('STERLING CATALOG - FZN &amp; CHILL'!C3596,"AAAAAGhrhUU=")</f>
        <v>#VALUE!</v>
      </c>
      <c r="BS399" t="e">
        <f>AND('STERLING CATALOG - FZN &amp; CHILL'!D3596,"AAAAAGhrhUY=")</f>
        <v>#VALUE!</v>
      </c>
      <c r="BT399" t="e">
        <f>AND('STERLING CATALOG - FZN &amp; CHILL'!E3596,"AAAAAGhrhUc=")</f>
        <v>#VALUE!</v>
      </c>
      <c r="BU399" t="e">
        <f>AND('STERLING CATALOG - FZN &amp; CHILL'!F3596,"AAAAAGhrhUg=")</f>
        <v>#VALUE!</v>
      </c>
      <c r="BV399" t="e">
        <f>AND('STERLING CATALOG - FZN &amp; CHILL'!G3596,"AAAAAGhrhUk=")</f>
        <v>#VALUE!</v>
      </c>
      <c r="BW399" t="e">
        <f>AND('STERLING CATALOG - FZN &amp; CHILL'!H3596,"AAAAAGhrhUo=")</f>
        <v>#VALUE!</v>
      </c>
      <c r="BX399" t="e">
        <f>AND('STERLING CATALOG - FZN &amp; CHILL'!I3596,"AAAAAGhrhUs=")</f>
        <v>#VALUE!</v>
      </c>
      <c r="BY399" t="e">
        <f>AND('STERLING CATALOG - FZN &amp; CHILL'!J3596,"AAAAAGhrhUw=")</f>
        <v>#VALUE!</v>
      </c>
      <c r="BZ399">
        <f>IF('STERLING CATALOG - FZN &amp; CHILL'!3597:3597,"AAAAAGhrhU0=",0)</f>
        <v>0</v>
      </c>
      <c r="CA399" t="e">
        <f>AND('STERLING CATALOG - FZN &amp; CHILL'!A3597,"AAAAAGhrhU4=")</f>
        <v>#VALUE!</v>
      </c>
      <c r="CB399" t="e">
        <f>AND('STERLING CATALOG - FZN &amp; CHILL'!B3597,"AAAAAGhrhU8=")</f>
        <v>#VALUE!</v>
      </c>
      <c r="CC399" t="e">
        <f>AND('STERLING CATALOG - FZN &amp; CHILL'!C3597,"AAAAAGhrhVA=")</f>
        <v>#VALUE!</v>
      </c>
      <c r="CD399" t="e">
        <f>AND('STERLING CATALOG - FZN &amp; CHILL'!D3597,"AAAAAGhrhVE=")</f>
        <v>#VALUE!</v>
      </c>
      <c r="CE399" t="e">
        <f>AND('STERLING CATALOG - FZN &amp; CHILL'!E3597,"AAAAAGhrhVI=")</f>
        <v>#VALUE!</v>
      </c>
      <c r="CF399" t="e">
        <f>AND('STERLING CATALOG - FZN &amp; CHILL'!F3597,"AAAAAGhrhVM=")</f>
        <v>#VALUE!</v>
      </c>
      <c r="CG399" t="e">
        <f>AND('STERLING CATALOG - FZN &amp; CHILL'!G3597,"AAAAAGhrhVQ=")</f>
        <v>#VALUE!</v>
      </c>
      <c r="CH399" t="e">
        <f>AND('STERLING CATALOG - FZN &amp; CHILL'!H3597,"AAAAAGhrhVU=")</f>
        <v>#VALUE!</v>
      </c>
      <c r="CI399" t="e">
        <f>AND('STERLING CATALOG - FZN &amp; CHILL'!I3597,"AAAAAGhrhVY=")</f>
        <v>#VALUE!</v>
      </c>
      <c r="CJ399" t="e">
        <f>AND('STERLING CATALOG - FZN &amp; CHILL'!J3597,"AAAAAGhrhVc=")</f>
        <v>#VALUE!</v>
      </c>
      <c r="CK399">
        <f>IF('STERLING CATALOG - FZN &amp; CHILL'!3598:3598,"AAAAAGhrhVg=",0)</f>
        <v>0</v>
      </c>
      <c r="CL399" t="e">
        <f>AND('STERLING CATALOG - FZN &amp; CHILL'!A3598,"AAAAAGhrhVk=")</f>
        <v>#VALUE!</v>
      </c>
      <c r="CM399" t="e">
        <f>AND('STERLING CATALOG - FZN &amp; CHILL'!B3598,"AAAAAGhrhVo=")</f>
        <v>#VALUE!</v>
      </c>
      <c r="CN399" t="e">
        <f>AND('STERLING CATALOG - FZN &amp; CHILL'!C3598,"AAAAAGhrhVs=")</f>
        <v>#VALUE!</v>
      </c>
      <c r="CO399" t="e">
        <f>AND('STERLING CATALOG - FZN &amp; CHILL'!D3598,"AAAAAGhrhVw=")</f>
        <v>#VALUE!</v>
      </c>
      <c r="CP399" t="e">
        <f>AND('STERLING CATALOG - FZN &amp; CHILL'!E3598,"AAAAAGhrhV0=")</f>
        <v>#VALUE!</v>
      </c>
      <c r="CQ399" t="e">
        <f>AND('STERLING CATALOG - FZN &amp; CHILL'!F3598,"AAAAAGhrhV4=")</f>
        <v>#VALUE!</v>
      </c>
      <c r="CR399" t="e">
        <f>AND('STERLING CATALOG - FZN &amp; CHILL'!G3598,"AAAAAGhrhV8=")</f>
        <v>#VALUE!</v>
      </c>
      <c r="CS399" t="e">
        <f>AND('STERLING CATALOG - FZN &amp; CHILL'!H3598,"AAAAAGhrhWA=")</f>
        <v>#VALUE!</v>
      </c>
      <c r="CT399" t="e">
        <f>AND('STERLING CATALOG - FZN &amp; CHILL'!I3598,"AAAAAGhrhWE=")</f>
        <v>#VALUE!</v>
      </c>
      <c r="CU399" t="e">
        <f>AND('STERLING CATALOG - FZN &amp; CHILL'!J3598,"AAAAAGhrhWI=")</f>
        <v>#VALUE!</v>
      </c>
      <c r="CV399">
        <f>IF('STERLING CATALOG - FZN &amp; CHILL'!3599:3599,"AAAAAGhrhWM=",0)</f>
        <v>0</v>
      </c>
      <c r="CW399" t="e">
        <f>AND('STERLING CATALOG - FZN &amp; CHILL'!A3599,"AAAAAGhrhWQ=")</f>
        <v>#VALUE!</v>
      </c>
      <c r="CX399" t="e">
        <f>AND('STERLING CATALOG - FZN &amp; CHILL'!B3599,"AAAAAGhrhWU=")</f>
        <v>#VALUE!</v>
      </c>
      <c r="CY399" t="e">
        <f>AND('STERLING CATALOG - FZN &amp; CHILL'!C3599,"AAAAAGhrhWY=")</f>
        <v>#VALUE!</v>
      </c>
      <c r="CZ399" t="e">
        <f>AND('STERLING CATALOG - FZN &amp; CHILL'!D3599,"AAAAAGhrhWc=")</f>
        <v>#VALUE!</v>
      </c>
      <c r="DA399" t="e">
        <f>AND('STERLING CATALOG - FZN &amp; CHILL'!E3599,"AAAAAGhrhWg=")</f>
        <v>#VALUE!</v>
      </c>
      <c r="DB399" t="e">
        <f>AND('STERLING CATALOG - FZN &amp; CHILL'!F3599,"AAAAAGhrhWk=")</f>
        <v>#VALUE!</v>
      </c>
      <c r="DC399" t="e">
        <f>AND('STERLING CATALOG - FZN &amp; CHILL'!G3599,"AAAAAGhrhWo=")</f>
        <v>#VALUE!</v>
      </c>
      <c r="DD399" t="e">
        <f>AND('STERLING CATALOG - FZN &amp; CHILL'!H3599,"AAAAAGhrhWs=")</f>
        <v>#VALUE!</v>
      </c>
      <c r="DE399" t="e">
        <f>AND('STERLING CATALOG - FZN &amp; CHILL'!I3599,"AAAAAGhrhWw=")</f>
        <v>#VALUE!</v>
      </c>
      <c r="DF399" t="e">
        <f>AND('STERLING CATALOG - FZN &amp; CHILL'!J3599,"AAAAAGhrhW0=")</f>
        <v>#VALUE!</v>
      </c>
      <c r="DG399">
        <f>IF('STERLING CATALOG - FZN &amp; CHILL'!3600:3600,"AAAAAGhrhW4=",0)</f>
        <v>0</v>
      </c>
      <c r="DH399" t="e">
        <f>AND('STERLING CATALOG - FZN &amp; CHILL'!A3600,"AAAAAGhrhW8=")</f>
        <v>#VALUE!</v>
      </c>
      <c r="DI399" t="e">
        <f>AND('STERLING CATALOG - FZN &amp; CHILL'!B3600,"AAAAAGhrhXA=")</f>
        <v>#VALUE!</v>
      </c>
      <c r="DJ399" t="e">
        <f>AND('STERLING CATALOG - FZN &amp; CHILL'!C3600,"AAAAAGhrhXE=")</f>
        <v>#VALUE!</v>
      </c>
      <c r="DK399" t="e">
        <f>AND('STERLING CATALOG - FZN &amp; CHILL'!D3600,"AAAAAGhrhXI=")</f>
        <v>#VALUE!</v>
      </c>
      <c r="DL399" t="e">
        <f>AND('STERLING CATALOG - FZN &amp; CHILL'!E3600,"AAAAAGhrhXM=")</f>
        <v>#VALUE!</v>
      </c>
      <c r="DM399" t="e">
        <f>AND('STERLING CATALOG - FZN &amp; CHILL'!F3600,"AAAAAGhrhXQ=")</f>
        <v>#VALUE!</v>
      </c>
      <c r="DN399" t="e">
        <f>AND('STERLING CATALOG - FZN &amp; CHILL'!G3600,"AAAAAGhrhXU=")</f>
        <v>#VALUE!</v>
      </c>
      <c r="DO399" t="e">
        <f>AND('STERLING CATALOG - FZN &amp; CHILL'!H3600,"AAAAAGhrhXY=")</f>
        <v>#VALUE!</v>
      </c>
      <c r="DP399" t="e">
        <f>AND('STERLING CATALOG - FZN &amp; CHILL'!I3600,"AAAAAGhrhXc=")</f>
        <v>#VALUE!</v>
      </c>
      <c r="DQ399" t="e">
        <f>AND('STERLING CATALOG - FZN &amp; CHILL'!J3600,"AAAAAGhrhXg=")</f>
        <v>#VALUE!</v>
      </c>
      <c r="DR399">
        <f>IF('STERLING CATALOG - FZN &amp; CHILL'!3601:3601,"AAAAAGhrhXk=",0)</f>
        <v>0</v>
      </c>
      <c r="DS399" t="e">
        <f>AND('STERLING CATALOG - FZN &amp; CHILL'!A3601,"AAAAAGhrhXo=")</f>
        <v>#VALUE!</v>
      </c>
      <c r="DT399" t="e">
        <f>AND('STERLING CATALOG - FZN &amp; CHILL'!B3601,"AAAAAGhrhXs=")</f>
        <v>#VALUE!</v>
      </c>
      <c r="DU399" t="e">
        <f>AND('STERLING CATALOG - FZN &amp; CHILL'!C3601,"AAAAAGhrhXw=")</f>
        <v>#VALUE!</v>
      </c>
      <c r="DV399" t="e">
        <f>AND('STERLING CATALOG - FZN &amp; CHILL'!D3601,"AAAAAGhrhX0=")</f>
        <v>#VALUE!</v>
      </c>
      <c r="DW399" t="e">
        <f>AND('STERLING CATALOG - FZN &amp; CHILL'!E3601,"AAAAAGhrhX4=")</f>
        <v>#VALUE!</v>
      </c>
      <c r="DX399" t="e">
        <f>AND('STERLING CATALOG - FZN &amp; CHILL'!F3601,"AAAAAGhrhX8=")</f>
        <v>#VALUE!</v>
      </c>
      <c r="DY399" t="e">
        <f>AND('STERLING CATALOG - FZN &amp; CHILL'!G3601,"AAAAAGhrhYA=")</f>
        <v>#VALUE!</v>
      </c>
      <c r="DZ399" t="e">
        <f>AND('STERLING CATALOG - FZN &amp; CHILL'!H3601,"AAAAAGhrhYE=")</f>
        <v>#VALUE!</v>
      </c>
      <c r="EA399" t="e">
        <f>AND('STERLING CATALOG - FZN &amp; CHILL'!I3601,"AAAAAGhrhYI=")</f>
        <v>#VALUE!</v>
      </c>
      <c r="EB399" t="e">
        <f>AND('STERLING CATALOG - FZN &amp; CHILL'!J3601,"AAAAAGhrhYM=")</f>
        <v>#VALUE!</v>
      </c>
      <c r="EC399">
        <f>IF('STERLING CATALOG - FZN &amp; CHILL'!3602:3602,"AAAAAGhrhYQ=",0)</f>
        <v>0</v>
      </c>
      <c r="ED399" t="e">
        <f>AND('STERLING CATALOG - FZN &amp; CHILL'!A3602,"AAAAAGhrhYU=")</f>
        <v>#VALUE!</v>
      </c>
      <c r="EE399" t="e">
        <f>AND('STERLING CATALOG - FZN &amp; CHILL'!B3602,"AAAAAGhrhYY=")</f>
        <v>#VALUE!</v>
      </c>
      <c r="EF399" t="e">
        <f>AND('STERLING CATALOG - FZN &amp; CHILL'!C3602,"AAAAAGhrhYc=")</f>
        <v>#VALUE!</v>
      </c>
      <c r="EG399" t="e">
        <f>AND('STERLING CATALOG - FZN &amp; CHILL'!D3602,"AAAAAGhrhYg=")</f>
        <v>#VALUE!</v>
      </c>
      <c r="EH399" t="e">
        <f>AND('STERLING CATALOG - FZN &amp; CHILL'!E3602,"AAAAAGhrhYk=")</f>
        <v>#VALUE!</v>
      </c>
      <c r="EI399" t="e">
        <f>AND('STERLING CATALOG - FZN &amp; CHILL'!F3602,"AAAAAGhrhYo=")</f>
        <v>#VALUE!</v>
      </c>
      <c r="EJ399" t="e">
        <f>AND('STERLING CATALOG - FZN &amp; CHILL'!G3602,"AAAAAGhrhYs=")</f>
        <v>#VALUE!</v>
      </c>
      <c r="EK399" t="e">
        <f>AND('STERLING CATALOG - FZN &amp; CHILL'!H3602,"AAAAAGhrhYw=")</f>
        <v>#VALUE!</v>
      </c>
      <c r="EL399" t="e">
        <f>AND('STERLING CATALOG - FZN &amp; CHILL'!I3602,"AAAAAGhrhY0=")</f>
        <v>#VALUE!</v>
      </c>
      <c r="EM399" t="e">
        <f>AND('STERLING CATALOG - FZN &amp; CHILL'!J3602,"AAAAAGhrhY4=")</f>
        <v>#VALUE!</v>
      </c>
      <c r="EN399">
        <f>IF('STERLING CATALOG - FZN &amp; CHILL'!3603:3603,"AAAAAGhrhY8=",0)</f>
        <v>0</v>
      </c>
      <c r="EO399" t="e">
        <f>AND('STERLING CATALOG - FZN &amp; CHILL'!A3603,"AAAAAGhrhZA=")</f>
        <v>#VALUE!</v>
      </c>
      <c r="EP399" t="e">
        <f>AND('STERLING CATALOG - FZN &amp; CHILL'!B3603,"AAAAAGhrhZE=")</f>
        <v>#VALUE!</v>
      </c>
      <c r="EQ399" t="e">
        <f>AND('STERLING CATALOG - FZN &amp; CHILL'!C3603,"AAAAAGhrhZI=")</f>
        <v>#VALUE!</v>
      </c>
      <c r="ER399" t="e">
        <f>AND('STERLING CATALOG - FZN &amp; CHILL'!D3603,"AAAAAGhrhZM=")</f>
        <v>#VALUE!</v>
      </c>
      <c r="ES399" t="e">
        <f>AND('STERLING CATALOG - FZN &amp; CHILL'!E3603,"AAAAAGhrhZQ=")</f>
        <v>#VALUE!</v>
      </c>
      <c r="ET399" t="e">
        <f>AND('STERLING CATALOG - FZN &amp; CHILL'!F3603,"AAAAAGhrhZU=")</f>
        <v>#VALUE!</v>
      </c>
      <c r="EU399" t="e">
        <f>AND('STERLING CATALOG - FZN &amp; CHILL'!G3603,"AAAAAGhrhZY=")</f>
        <v>#VALUE!</v>
      </c>
      <c r="EV399" t="e">
        <f>AND('STERLING CATALOG - FZN &amp; CHILL'!H3603,"AAAAAGhrhZc=")</f>
        <v>#VALUE!</v>
      </c>
      <c r="EW399" t="e">
        <f>AND('STERLING CATALOG - FZN &amp; CHILL'!I3603,"AAAAAGhrhZg=")</f>
        <v>#VALUE!</v>
      </c>
      <c r="EX399" t="e">
        <f>AND('STERLING CATALOG - FZN &amp; CHILL'!J3603,"AAAAAGhrhZk=")</f>
        <v>#VALUE!</v>
      </c>
      <c r="EY399">
        <f>IF('STERLING CATALOG - FZN &amp; CHILL'!3604:3604,"AAAAAGhrhZo=",0)</f>
        <v>0</v>
      </c>
      <c r="EZ399" t="e">
        <f>AND('STERLING CATALOG - FZN &amp; CHILL'!A3604,"AAAAAGhrhZs=")</f>
        <v>#VALUE!</v>
      </c>
      <c r="FA399" t="e">
        <f>AND('STERLING CATALOG - FZN &amp; CHILL'!B3604,"AAAAAGhrhZw=")</f>
        <v>#VALUE!</v>
      </c>
      <c r="FB399" t="e">
        <f>AND('STERLING CATALOG - FZN &amp; CHILL'!C3604,"AAAAAGhrhZ0=")</f>
        <v>#VALUE!</v>
      </c>
      <c r="FC399" t="e">
        <f>AND('STERLING CATALOG - FZN &amp; CHILL'!D3604,"AAAAAGhrhZ4=")</f>
        <v>#VALUE!</v>
      </c>
      <c r="FD399" t="e">
        <f>AND('STERLING CATALOG - FZN &amp; CHILL'!E3604,"AAAAAGhrhZ8=")</f>
        <v>#VALUE!</v>
      </c>
      <c r="FE399" t="e">
        <f>AND('STERLING CATALOG - FZN &amp; CHILL'!F3604,"AAAAAGhrhaA=")</f>
        <v>#VALUE!</v>
      </c>
      <c r="FF399" t="e">
        <f>AND('STERLING CATALOG - FZN &amp; CHILL'!G3604,"AAAAAGhrhaE=")</f>
        <v>#VALUE!</v>
      </c>
      <c r="FG399" t="e">
        <f>AND('STERLING CATALOG - FZN &amp; CHILL'!H3604,"AAAAAGhrhaI=")</f>
        <v>#VALUE!</v>
      </c>
      <c r="FH399" t="e">
        <f>AND('STERLING CATALOG - FZN &amp; CHILL'!I3604,"AAAAAGhrhaM=")</f>
        <v>#VALUE!</v>
      </c>
      <c r="FI399" t="e">
        <f>AND('STERLING CATALOG - FZN &amp; CHILL'!J3604,"AAAAAGhrhaQ=")</f>
        <v>#VALUE!</v>
      </c>
      <c r="FJ399">
        <f>IF('STERLING CATALOG - FZN &amp; CHILL'!3605:3605,"AAAAAGhrhaU=",0)</f>
        <v>0</v>
      </c>
      <c r="FK399" t="e">
        <f>AND('STERLING CATALOG - FZN &amp; CHILL'!A3605,"AAAAAGhrhaY=")</f>
        <v>#VALUE!</v>
      </c>
      <c r="FL399" t="e">
        <f>AND('STERLING CATALOG - FZN &amp; CHILL'!B3605,"AAAAAGhrhac=")</f>
        <v>#VALUE!</v>
      </c>
      <c r="FM399" t="e">
        <f>AND('STERLING CATALOG - FZN &amp; CHILL'!C3605,"AAAAAGhrhag=")</f>
        <v>#VALUE!</v>
      </c>
      <c r="FN399" t="e">
        <f>AND('STERLING CATALOG - FZN &amp; CHILL'!D3605,"AAAAAGhrhak=")</f>
        <v>#VALUE!</v>
      </c>
      <c r="FO399" t="e">
        <f>AND('STERLING CATALOG - FZN &amp; CHILL'!E3605,"AAAAAGhrhao=")</f>
        <v>#VALUE!</v>
      </c>
      <c r="FP399" t="e">
        <f>AND('STERLING CATALOG - FZN &amp; CHILL'!F3605,"AAAAAGhrhas=")</f>
        <v>#VALUE!</v>
      </c>
      <c r="FQ399" t="e">
        <f>AND('STERLING CATALOG - FZN &amp; CHILL'!G3605,"AAAAAGhrhaw=")</f>
        <v>#VALUE!</v>
      </c>
      <c r="FR399" t="e">
        <f>AND('STERLING CATALOG - FZN &amp; CHILL'!H3605,"AAAAAGhrha0=")</f>
        <v>#VALUE!</v>
      </c>
      <c r="FS399" t="e">
        <f>AND('STERLING CATALOG - FZN &amp; CHILL'!I3605,"AAAAAGhrha4=")</f>
        <v>#VALUE!</v>
      </c>
      <c r="FT399" t="e">
        <f>AND('STERLING CATALOG - FZN &amp; CHILL'!J3605,"AAAAAGhrha8=")</f>
        <v>#VALUE!</v>
      </c>
      <c r="FU399">
        <f>IF('STERLING CATALOG - FZN &amp; CHILL'!3606:3606,"AAAAAGhrhbA=",0)</f>
        <v>0</v>
      </c>
      <c r="FV399" t="e">
        <f>AND('STERLING CATALOG - FZN &amp; CHILL'!A3606,"AAAAAGhrhbE=")</f>
        <v>#VALUE!</v>
      </c>
      <c r="FW399" t="e">
        <f>AND('STERLING CATALOG - FZN &amp; CHILL'!B3606,"AAAAAGhrhbI=")</f>
        <v>#VALUE!</v>
      </c>
      <c r="FX399" t="e">
        <f>AND('STERLING CATALOG - FZN &amp; CHILL'!C3606,"AAAAAGhrhbM=")</f>
        <v>#VALUE!</v>
      </c>
      <c r="FY399" t="e">
        <f>AND('STERLING CATALOG - FZN &amp; CHILL'!D3606,"AAAAAGhrhbQ=")</f>
        <v>#VALUE!</v>
      </c>
      <c r="FZ399" t="e">
        <f>AND('STERLING CATALOG - FZN &amp; CHILL'!E3606,"AAAAAGhrhbU=")</f>
        <v>#VALUE!</v>
      </c>
      <c r="GA399" t="e">
        <f>AND('STERLING CATALOG - FZN &amp; CHILL'!F3606,"AAAAAGhrhbY=")</f>
        <v>#VALUE!</v>
      </c>
      <c r="GB399" t="e">
        <f>AND('STERLING CATALOG - FZN &amp; CHILL'!G3606,"AAAAAGhrhbc=")</f>
        <v>#VALUE!</v>
      </c>
      <c r="GC399" t="e">
        <f>AND('STERLING CATALOG - FZN &amp; CHILL'!H3606,"AAAAAGhrhbg=")</f>
        <v>#VALUE!</v>
      </c>
      <c r="GD399" t="e">
        <f>AND('STERLING CATALOG - FZN &amp; CHILL'!I3606,"AAAAAGhrhbk=")</f>
        <v>#VALUE!</v>
      </c>
      <c r="GE399" t="e">
        <f>AND('STERLING CATALOG - FZN &amp; CHILL'!J3606,"AAAAAGhrhbo=")</f>
        <v>#VALUE!</v>
      </c>
      <c r="GF399">
        <f>IF('STERLING CATALOG - FZN &amp; CHILL'!3607:3607,"AAAAAGhrhbs=",0)</f>
        <v>0</v>
      </c>
      <c r="GG399" t="e">
        <f>AND('STERLING CATALOG - FZN &amp; CHILL'!A3607,"AAAAAGhrhbw=")</f>
        <v>#VALUE!</v>
      </c>
      <c r="GH399" t="e">
        <f>AND('STERLING CATALOG - FZN &amp; CHILL'!B3607,"AAAAAGhrhb0=")</f>
        <v>#VALUE!</v>
      </c>
      <c r="GI399" t="e">
        <f>AND('STERLING CATALOG - FZN &amp; CHILL'!C3607,"AAAAAGhrhb4=")</f>
        <v>#VALUE!</v>
      </c>
      <c r="GJ399" t="e">
        <f>AND('STERLING CATALOG - FZN &amp; CHILL'!D3607,"AAAAAGhrhb8=")</f>
        <v>#VALUE!</v>
      </c>
      <c r="GK399" t="e">
        <f>AND('STERLING CATALOG - FZN &amp; CHILL'!E3607,"AAAAAGhrhcA=")</f>
        <v>#VALUE!</v>
      </c>
      <c r="GL399" t="e">
        <f>AND('STERLING CATALOG - FZN &amp; CHILL'!F3607,"AAAAAGhrhcE=")</f>
        <v>#VALUE!</v>
      </c>
      <c r="GM399" t="e">
        <f>AND('STERLING CATALOG - FZN &amp; CHILL'!G3607,"AAAAAGhrhcI=")</f>
        <v>#VALUE!</v>
      </c>
      <c r="GN399" t="e">
        <f>AND('STERLING CATALOG - FZN &amp; CHILL'!H3607,"AAAAAGhrhcM=")</f>
        <v>#VALUE!</v>
      </c>
      <c r="GO399" t="e">
        <f>AND('STERLING CATALOG - FZN &amp; CHILL'!I3607,"AAAAAGhrhcQ=")</f>
        <v>#VALUE!</v>
      </c>
      <c r="GP399" t="e">
        <f>AND('STERLING CATALOG - FZN &amp; CHILL'!J3607,"AAAAAGhrhcU=")</f>
        <v>#VALUE!</v>
      </c>
      <c r="GQ399">
        <f>IF('STERLING CATALOG - FZN &amp; CHILL'!3608:3608,"AAAAAGhrhcY=",0)</f>
        <v>0</v>
      </c>
      <c r="GR399" t="e">
        <f>AND('STERLING CATALOG - FZN &amp; CHILL'!A3608,"AAAAAGhrhcc=")</f>
        <v>#VALUE!</v>
      </c>
      <c r="GS399" t="e">
        <f>AND('STERLING CATALOG - FZN &amp; CHILL'!B3608,"AAAAAGhrhcg=")</f>
        <v>#VALUE!</v>
      </c>
      <c r="GT399" t="e">
        <f>AND('STERLING CATALOG - FZN &amp; CHILL'!C3608,"AAAAAGhrhck=")</f>
        <v>#VALUE!</v>
      </c>
      <c r="GU399" t="e">
        <f>AND('STERLING CATALOG - FZN &amp; CHILL'!D3608,"AAAAAGhrhco=")</f>
        <v>#VALUE!</v>
      </c>
      <c r="GV399" t="e">
        <f>AND('STERLING CATALOG - FZN &amp; CHILL'!E3608,"AAAAAGhrhcs=")</f>
        <v>#VALUE!</v>
      </c>
      <c r="GW399" t="e">
        <f>AND('STERLING CATALOG - FZN &amp; CHILL'!F3608,"AAAAAGhrhcw=")</f>
        <v>#VALUE!</v>
      </c>
      <c r="GX399" t="e">
        <f>AND('STERLING CATALOG - FZN &amp; CHILL'!G3608,"AAAAAGhrhc0=")</f>
        <v>#VALUE!</v>
      </c>
      <c r="GY399" t="e">
        <f>AND('STERLING CATALOG - FZN &amp; CHILL'!H3608,"AAAAAGhrhc4=")</f>
        <v>#VALUE!</v>
      </c>
      <c r="GZ399" t="e">
        <f>AND('STERLING CATALOG - FZN &amp; CHILL'!I3608,"AAAAAGhrhc8=")</f>
        <v>#VALUE!</v>
      </c>
      <c r="HA399" t="e">
        <f>AND('STERLING CATALOG - FZN &amp; CHILL'!J3608,"AAAAAGhrhdA=")</f>
        <v>#VALUE!</v>
      </c>
      <c r="HB399">
        <f>IF('STERLING CATALOG - FZN &amp; CHILL'!3609:3609,"AAAAAGhrhdE=",0)</f>
        <v>0</v>
      </c>
      <c r="HC399" t="e">
        <f>AND('STERLING CATALOG - FZN &amp; CHILL'!A3609,"AAAAAGhrhdI=")</f>
        <v>#VALUE!</v>
      </c>
      <c r="HD399" t="e">
        <f>AND('STERLING CATALOG - FZN &amp; CHILL'!B3609,"AAAAAGhrhdM=")</f>
        <v>#VALUE!</v>
      </c>
      <c r="HE399" t="e">
        <f>AND('STERLING CATALOG - FZN &amp; CHILL'!C3609,"AAAAAGhrhdQ=")</f>
        <v>#VALUE!</v>
      </c>
      <c r="HF399" t="e">
        <f>AND('STERLING CATALOG - FZN &amp; CHILL'!D3609,"AAAAAGhrhdU=")</f>
        <v>#VALUE!</v>
      </c>
      <c r="HG399" t="e">
        <f>AND('STERLING CATALOG - FZN &amp; CHILL'!E3609,"AAAAAGhrhdY=")</f>
        <v>#VALUE!</v>
      </c>
      <c r="HH399" t="e">
        <f>AND('STERLING CATALOG - FZN &amp; CHILL'!F3609,"AAAAAGhrhdc=")</f>
        <v>#VALUE!</v>
      </c>
      <c r="HI399" t="e">
        <f>AND('STERLING CATALOG - FZN &amp; CHILL'!G3609,"AAAAAGhrhdg=")</f>
        <v>#VALUE!</v>
      </c>
      <c r="HJ399" t="e">
        <f>AND('STERLING CATALOG - FZN &amp; CHILL'!H3609,"AAAAAGhrhdk=")</f>
        <v>#VALUE!</v>
      </c>
      <c r="HK399" t="e">
        <f>AND('STERLING CATALOG - FZN &amp; CHILL'!I3609,"AAAAAGhrhdo=")</f>
        <v>#VALUE!</v>
      </c>
      <c r="HL399" t="e">
        <f>AND('STERLING CATALOG - FZN &amp; CHILL'!J3609,"AAAAAGhrhds=")</f>
        <v>#VALUE!</v>
      </c>
      <c r="HM399">
        <f>IF('STERLING CATALOG - FZN &amp; CHILL'!3610:3610,"AAAAAGhrhdw=",0)</f>
        <v>0</v>
      </c>
      <c r="HN399" t="e">
        <f>AND('STERLING CATALOG - FZN &amp; CHILL'!A3610,"AAAAAGhrhd0=")</f>
        <v>#VALUE!</v>
      </c>
      <c r="HO399" t="e">
        <f>AND('STERLING CATALOG - FZN &amp; CHILL'!B3610,"AAAAAGhrhd4=")</f>
        <v>#VALUE!</v>
      </c>
      <c r="HP399" t="e">
        <f>AND('STERLING CATALOG - FZN &amp; CHILL'!C3610,"AAAAAGhrhd8=")</f>
        <v>#VALUE!</v>
      </c>
      <c r="HQ399" t="e">
        <f>AND('STERLING CATALOG - FZN &amp; CHILL'!D3610,"AAAAAGhrheA=")</f>
        <v>#VALUE!</v>
      </c>
      <c r="HR399" t="e">
        <f>AND('STERLING CATALOG - FZN &amp; CHILL'!E3610,"AAAAAGhrheE=")</f>
        <v>#VALUE!</v>
      </c>
      <c r="HS399" t="e">
        <f>AND('STERLING CATALOG - FZN &amp; CHILL'!F3610,"AAAAAGhrheI=")</f>
        <v>#VALUE!</v>
      </c>
      <c r="HT399" t="e">
        <f>AND('STERLING CATALOG - FZN &amp; CHILL'!G3610,"AAAAAGhrheM=")</f>
        <v>#VALUE!</v>
      </c>
      <c r="HU399" t="e">
        <f>AND('STERLING CATALOG - FZN &amp; CHILL'!H3610,"AAAAAGhrheQ=")</f>
        <v>#VALUE!</v>
      </c>
      <c r="HV399" t="e">
        <f>AND('STERLING CATALOG - FZN &amp; CHILL'!I3610,"AAAAAGhrheU=")</f>
        <v>#VALUE!</v>
      </c>
      <c r="HW399" t="e">
        <f>AND('STERLING CATALOG - FZN &amp; CHILL'!J3610,"AAAAAGhrheY=")</f>
        <v>#VALUE!</v>
      </c>
      <c r="HX399">
        <f>IF('STERLING CATALOG - FZN &amp; CHILL'!3611:3611,"AAAAAGhrhec=",0)</f>
        <v>0</v>
      </c>
      <c r="HY399" t="e">
        <f>AND('STERLING CATALOG - FZN &amp; CHILL'!A3611,"AAAAAGhrheg=")</f>
        <v>#VALUE!</v>
      </c>
      <c r="HZ399" t="e">
        <f>AND('STERLING CATALOG - FZN &amp; CHILL'!B3611,"AAAAAGhrhek=")</f>
        <v>#VALUE!</v>
      </c>
      <c r="IA399" t="e">
        <f>AND('STERLING CATALOG - FZN &amp; CHILL'!C3611,"AAAAAGhrheo=")</f>
        <v>#VALUE!</v>
      </c>
      <c r="IB399" t="e">
        <f>AND('STERLING CATALOG - FZN &amp; CHILL'!D3611,"AAAAAGhrhes=")</f>
        <v>#VALUE!</v>
      </c>
      <c r="IC399" t="e">
        <f>AND('STERLING CATALOG - FZN &amp; CHILL'!E3611,"AAAAAGhrhew=")</f>
        <v>#VALUE!</v>
      </c>
      <c r="ID399" t="e">
        <f>AND('STERLING CATALOG - FZN &amp; CHILL'!F3611,"AAAAAGhrhe0=")</f>
        <v>#VALUE!</v>
      </c>
      <c r="IE399" t="e">
        <f>AND('STERLING CATALOG - FZN &amp; CHILL'!G3611,"AAAAAGhrhe4=")</f>
        <v>#VALUE!</v>
      </c>
      <c r="IF399" t="e">
        <f>AND('STERLING CATALOG - FZN &amp; CHILL'!H3611,"AAAAAGhrhe8=")</f>
        <v>#VALUE!</v>
      </c>
      <c r="IG399" t="e">
        <f>AND('STERLING CATALOG - FZN &amp; CHILL'!I3611,"AAAAAGhrhfA=")</f>
        <v>#VALUE!</v>
      </c>
      <c r="IH399" t="e">
        <f>AND('STERLING CATALOG - FZN &amp; CHILL'!J3611,"AAAAAGhrhfE=")</f>
        <v>#VALUE!</v>
      </c>
      <c r="II399">
        <f>IF('STERLING CATALOG - FZN &amp; CHILL'!3612:3612,"AAAAAGhrhfI=",0)</f>
        <v>0</v>
      </c>
      <c r="IJ399" t="e">
        <f>AND('STERLING CATALOG - FZN &amp; CHILL'!A3612,"AAAAAGhrhfM=")</f>
        <v>#VALUE!</v>
      </c>
      <c r="IK399" t="e">
        <f>AND('STERLING CATALOG - FZN &amp; CHILL'!B3612,"AAAAAGhrhfQ=")</f>
        <v>#VALUE!</v>
      </c>
      <c r="IL399" t="e">
        <f>AND('STERLING CATALOG - FZN &amp; CHILL'!C3612,"AAAAAGhrhfU=")</f>
        <v>#VALUE!</v>
      </c>
      <c r="IM399" t="e">
        <f>AND('STERLING CATALOG - FZN &amp; CHILL'!D3612,"AAAAAGhrhfY=")</f>
        <v>#VALUE!</v>
      </c>
      <c r="IN399" t="e">
        <f>AND('STERLING CATALOG - FZN &amp; CHILL'!E3612,"AAAAAGhrhfc=")</f>
        <v>#VALUE!</v>
      </c>
      <c r="IO399" t="e">
        <f>AND('STERLING CATALOG - FZN &amp; CHILL'!F3612,"AAAAAGhrhfg=")</f>
        <v>#VALUE!</v>
      </c>
      <c r="IP399" t="e">
        <f>AND('STERLING CATALOG - FZN &amp; CHILL'!G3612,"AAAAAGhrhfk=")</f>
        <v>#VALUE!</v>
      </c>
      <c r="IQ399" t="e">
        <f>AND('STERLING CATALOG - FZN &amp; CHILL'!H3612,"AAAAAGhrhfo=")</f>
        <v>#VALUE!</v>
      </c>
      <c r="IR399" t="e">
        <f>AND('STERLING CATALOG - FZN &amp; CHILL'!I3612,"AAAAAGhrhfs=")</f>
        <v>#VALUE!</v>
      </c>
      <c r="IS399" t="e">
        <f>AND('STERLING CATALOG - FZN &amp; CHILL'!J3612,"AAAAAGhrhfw=")</f>
        <v>#VALUE!</v>
      </c>
      <c r="IT399">
        <f>IF('STERLING CATALOG - FZN &amp; CHILL'!3613:3613,"AAAAAGhrhf0=",0)</f>
        <v>0</v>
      </c>
      <c r="IU399" t="e">
        <f>AND('STERLING CATALOG - FZN &amp; CHILL'!A3613,"AAAAAGhrhf4=")</f>
        <v>#VALUE!</v>
      </c>
      <c r="IV399" t="e">
        <f>AND('STERLING CATALOG - FZN &amp; CHILL'!B3613,"AAAAAGhrhf8=")</f>
        <v>#VALUE!</v>
      </c>
    </row>
    <row r="400" spans="1:256">
      <c r="A400" t="e">
        <f>AND('STERLING CATALOG - FZN &amp; CHILL'!C3613,"AAAAAH9/OQA=")</f>
        <v>#VALUE!</v>
      </c>
      <c r="B400" t="e">
        <f>AND('STERLING CATALOG - FZN &amp; CHILL'!D3613,"AAAAAH9/OQE=")</f>
        <v>#VALUE!</v>
      </c>
      <c r="C400" t="e">
        <f>AND('STERLING CATALOG - FZN &amp; CHILL'!E3613,"AAAAAH9/OQI=")</f>
        <v>#VALUE!</v>
      </c>
      <c r="D400" t="e">
        <f>AND('STERLING CATALOG - FZN &amp; CHILL'!F3613,"AAAAAH9/OQM=")</f>
        <v>#VALUE!</v>
      </c>
      <c r="E400" t="e">
        <f>AND('STERLING CATALOG - FZN &amp; CHILL'!G3613,"AAAAAH9/OQQ=")</f>
        <v>#VALUE!</v>
      </c>
      <c r="F400" t="e">
        <f>AND('STERLING CATALOG - FZN &amp; CHILL'!H3613,"AAAAAH9/OQU=")</f>
        <v>#VALUE!</v>
      </c>
      <c r="G400" t="e">
        <f>AND('STERLING CATALOG - FZN &amp; CHILL'!I3613,"AAAAAH9/OQY=")</f>
        <v>#VALUE!</v>
      </c>
      <c r="H400" t="e">
        <f>AND('STERLING CATALOG - FZN &amp; CHILL'!J3613,"AAAAAH9/OQc=")</f>
        <v>#VALUE!</v>
      </c>
      <c r="I400" t="e">
        <f>IF('STERLING CATALOG - FZN &amp; CHILL'!3614:3614,"AAAAAH9/OQg=",0)</f>
        <v>#VALUE!</v>
      </c>
      <c r="J400" t="e">
        <f>AND('STERLING CATALOG - FZN &amp; CHILL'!A3614,"AAAAAH9/OQk=")</f>
        <v>#VALUE!</v>
      </c>
      <c r="K400" t="e">
        <f>AND('STERLING CATALOG - FZN &amp; CHILL'!B3614,"AAAAAH9/OQo=")</f>
        <v>#VALUE!</v>
      </c>
      <c r="L400" t="e">
        <f>AND('STERLING CATALOG - FZN &amp; CHILL'!C3614,"AAAAAH9/OQs=")</f>
        <v>#VALUE!</v>
      </c>
      <c r="M400" t="e">
        <f>AND('STERLING CATALOG - FZN &amp; CHILL'!D3614,"AAAAAH9/OQw=")</f>
        <v>#VALUE!</v>
      </c>
      <c r="N400" t="e">
        <f>AND('STERLING CATALOG - FZN &amp; CHILL'!E3614,"AAAAAH9/OQ0=")</f>
        <v>#VALUE!</v>
      </c>
      <c r="O400" t="e">
        <f>AND('STERLING CATALOG - FZN &amp; CHILL'!F3614,"AAAAAH9/OQ4=")</f>
        <v>#VALUE!</v>
      </c>
      <c r="P400" t="e">
        <f>AND('STERLING CATALOG - FZN &amp; CHILL'!G3614,"AAAAAH9/OQ8=")</f>
        <v>#VALUE!</v>
      </c>
      <c r="Q400" t="e">
        <f>AND('STERLING CATALOG - FZN &amp; CHILL'!H3614,"AAAAAH9/ORA=")</f>
        <v>#VALUE!</v>
      </c>
      <c r="R400" t="e">
        <f>AND('STERLING CATALOG - FZN &amp; CHILL'!I3614,"AAAAAH9/ORE=")</f>
        <v>#VALUE!</v>
      </c>
      <c r="S400" t="e">
        <f>AND('STERLING CATALOG - FZN &amp; CHILL'!J3614,"AAAAAH9/ORI=")</f>
        <v>#VALUE!</v>
      </c>
      <c r="T400">
        <f>IF('STERLING CATALOG - FZN &amp; CHILL'!3615:3615,"AAAAAH9/ORM=",0)</f>
        <v>0</v>
      </c>
      <c r="U400" t="e">
        <f>AND('STERLING CATALOG - FZN &amp; CHILL'!A3615,"AAAAAH9/ORQ=")</f>
        <v>#VALUE!</v>
      </c>
      <c r="V400" t="e">
        <f>AND('STERLING CATALOG - FZN &amp; CHILL'!B3615,"AAAAAH9/ORU=")</f>
        <v>#VALUE!</v>
      </c>
      <c r="W400" t="e">
        <f>AND('STERLING CATALOG - FZN &amp; CHILL'!C3615,"AAAAAH9/ORY=")</f>
        <v>#VALUE!</v>
      </c>
      <c r="X400" t="e">
        <f>AND('STERLING CATALOG - FZN &amp; CHILL'!D3615,"AAAAAH9/ORc=")</f>
        <v>#VALUE!</v>
      </c>
      <c r="Y400" t="e">
        <f>AND('STERLING CATALOG - FZN &amp; CHILL'!E3615,"AAAAAH9/ORg=")</f>
        <v>#VALUE!</v>
      </c>
      <c r="Z400" t="e">
        <f>AND('STERLING CATALOG - FZN &amp; CHILL'!F3615,"AAAAAH9/ORk=")</f>
        <v>#VALUE!</v>
      </c>
      <c r="AA400" t="e">
        <f>AND('STERLING CATALOG - FZN &amp; CHILL'!G3615,"AAAAAH9/ORo=")</f>
        <v>#VALUE!</v>
      </c>
      <c r="AB400" t="e">
        <f>AND('STERLING CATALOG - FZN &amp; CHILL'!H3615,"AAAAAH9/ORs=")</f>
        <v>#VALUE!</v>
      </c>
      <c r="AC400" t="e">
        <f>AND('STERLING CATALOG - FZN &amp; CHILL'!I3615,"AAAAAH9/ORw=")</f>
        <v>#VALUE!</v>
      </c>
      <c r="AD400" t="e">
        <f>AND('STERLING CATALOG - FZN &amp; CHILL'!J3615,"AAAAAH9/OR0=")</f>
        <v>#VALUE!</v>
      </c>
      <c r="AE400">
        <f>IF('STERLING CATALOG - FZN &amp; CHILL'!3616:3616,"AAAAAH9/OR4=",0)</f>
        <v>0</v>
      </c>
      <c r="AF400" t="e">
        <f>AND('STERLING CATALOG - FZN &amp; CHILL'!A3616,"AAAAAH9/OR8=")</f>
        <v>#VALUE!</v>
      </c>
      <c r="AG400" t="e">
        <f>AND('STERLING CATALOG - FZN &amp; CHILL'!B3616,"AAAAAH9/OSA=")</f>
        <v>#VALUE!</v>
      </c>
      <c r="AH400" t="e">
        <f>AND('STERLING CATALOG - FZN &amp; CHILL'!C3616,"AAAAAH9/OSE=")</f>
        <v>#VALUE!</v>
      </c>
      <c r="AI400" t="e">
        <f>AND('STERLING CATALOG - FZN &amp; CHILL'!D3616,"AAAAAH9/OSI=")</f>
        <v>#VALUE!</v>
      </c>
      <c r="AJ400" t="e">
        <f>AND('STERLING CATALOG - FZN &amp; CHILL'!E3616,"AAAAAH9/OSM=")</f>
        <v>#VALUE!</v>
      </c>
      <c r="AK400" t="e">
        <f>AND('STERLING CATALOG - FZN &amp; CHILL'!F3616,"AAAAAH9/OSQ=")</f>
        <v>#VALUE!</v>
      </c>
      <c r="AL400" t="e">
        <f>AND('STERLING CATALOG - FZN &amp; CHILL'!G3616,"AAAAAH9/OSU=")</f>
        <v>#VALUE!</v>
      </c>
      <c r="AM400" t="e">
        <f>AND('STERLING CATALOG - FZN &amp; CHILL'!H3616,"AAAAAH9/OSY=")</f>
        <v>#VALUE!</v>
      </c>
      <c r="AN400" t="e">
        <f>AND('STERLING CATALOG - FZN &amp; CHILL'!I3616,"AAAAAH9/OSc=")</f>
        <v>#VALUE!</v>
      </c>
      <c r="AO400" t="e">
        <f>AND('STERLING CATALOG - FZN &amp; CHILL'!J3616,"AAAAAH9/OSg=")</f>
        <v>#VALUE!</v>
      </c>
      <c r="AP400">
        <f>IF('STERLING CATALOG - FZN &amp; CHILL'!3617:3617,"AAAAAH9/OSk=",0)</f>
        <v>0</v>
      </c>
      <c r="AQ400" t="e">
        <f>AND('STERLING CATALOG - FZN &amp; CHILL'!A3617,"AAAAAH9/OSo=")</f>
        <v>#VALUE!</v>
      </c>
      <c r="AR400" t="e">
        <f>AND('STERLING CATALOG - FZN &amp; CHILL'!B3617,"AAAAAH9/OSs=")</f>
        <v>#VALUE!</v>
      </c>
      <c r="AS400" t="e">
        <f>AND('STERLING CATALOG - FZN &amp; CHILL'!C3617,"AAAAAH9/OSw=")</f>
        <v>#VALUE!</v>
      </c>
      <c r="AT400" t="e">
        <f>AND('STERLING CATALOG - FZN &amp; CHILL'!D3617,"AAAAAH9/OS0=")</f>
        <v>#VALUE!</v>
      </c>
      <c r="AU400" t="e">
        <f>AND('STERLING CATALOG - FZN &amp; CHILL'!E3617,"AAAAAH9/OS4=")</f>
        <v>#VALUE!</v>
      </c>
      <c r="AV400" t="e">
        <f>AND('STERLING CATALOG - FZN &amp; CHILL'!F3617,"AAAAAH9/OS8=")</f>
        <v>#VALUE!</v>
      </c>
      <c r="AW400" t="e">
        <f>AND('STERLING CATALOG - FZN &amp; CHILL'!G3617,"AAAAAH9/OTA=")</f>
        <v>#VALUE!</v>
      </c>
      <c r="AX400" t="e">
        <f>AND('STERLING CATALOG - FZN &amp; CHILL'!H3617,"AAAAAH9/OTE=")</f>
        <v>#VALUE!</v>
      </c>
      <c r="AY400" t="e">
        <f>AND('STERLING CATALOG - FZN &amp; CHILL'!I3617,"AAAAAH9/OTI=")</f>
        <v>#VALUE!</v>
      </c>
      <c r="AZ400" t="e">
        <f>AND('STERLING CATALOG - FZN &amp; CHILL'!J3617,"AAAAAH9/OTM=")</f>
        <v>#VALUE!</v>
      </c>
      <c r="BA400">
        <f>IF('STERLING CATALOG - FZN &amp; CHILL'!3618:3618,"AAAAAH9/OTQ=",0)</f>
        <v>0</v>
      </c>
      <c r="BB400" t="e">
        <f>AND('STERLING CATALOG - FZN &amp; CHILL'!A3618,"AAAAAH9/OTU=")</f>
        <v>#VALUE!</v>
      </c>
      <c r="BC400" t="e">
        <f>AND('STERLING CATALOG - FZN &amp; CHILL'!B3618,"AAAAAH9/OTY=")</f>
        <v>#VALUE!</v>
      </c>
      <c r="BD400" t="e">
        <f>AND('STERLING CATALOG - FZN &amp; CHILL'!C3618,"AAAAAH9/OTc=")</f>
        <v>#VALUE!</v>
      </c>
      <c r="BE400" t="e">
        <f>AND('STERLING CATALOG - FZN &amp; CHILL'!D3618,"AAAAAH9/OTg=")</f>
        <v>#VALUE!</v>
      </c>
      <c r="BF400" t="e">
        <f>AND('STERLING CATALOG - FZN &amp; CHILL'!E3618,"AAAAAH9/OTk=")</f>
        <v>#VALUE!</v>
      </c>
      <c r="BG400" t="e">
        <f>AND('STERLING CATALOG - FZN &amp; CHILL'!F3618,"AAAAAH9/OTo=")</f>
        <v>#VALUE!</v>
      </c>
      <c r="BH400" t="e">
        <f>AND('STERLING CATALOG - FZN &amp; CHILL'!G3618,"AAAAAH9/OTs=")</f>
        <v>#VALUE!</v>
      </c>
      <c r="BI400" t="e">
        <f>AND('STERLING CATALOG - FZN &amp; CHILL'!H3618,"AAAAAH9/OTw=")</f>
        <v>#VALUE!</v>
      </c>
      <c r="BJ400" t="e">
        <f>AND('STERLING CATALOG - FZN &amp; CHILL'!I3618,"AAAAAH9/OT0=")</f>
        <v>#VALUE!</v>
      </c>
      <c r="BK400" t="e">
        <f>AND('STERLING CATALOG - FZN &amp; CHILL'!J3618,"AAAAAH9/OT4=")</f>
        <v>#VALUE!</v>
      </c>
      <c r="BL400">
        <f>IF('STERLING CATALOG - FZN &amp; CHILL'!3619:3619,"AAAAAH9/OT8=",0)</f>
        <v>0</v>
      </c>
      <c r="BM400" t="e">
        <f>AND('STERLING CATALOG - FZN &amp; CHILL'!A3619,"AAAAAH9/OUA=")</f>
        <v>#VALUE!</v>
      </c>
      <c r="BN400" t="e">
        <f>AND('STERLING CATALOG - FZN &amp; CHILL'!B3619,"AAAAAH9/OUE=")</f>
        <v>#VALUE!</v>
      </c>
      <c r="BO400" t="e">
        <f>AND('STERLING CATALOG - FZN &amp; CHILL'!C3619,"AAAAAH9/OUI=")</f>
        <v>#VALUE!</v>
      </c>
      <c r="BP400" t="e">
        <f>AND('STERLING CATALOG - FZN &amp; CHILL'!D3619,"AAAAAH9/OUM=")</f>
        <v>#VALUE!</v>
      </c>
      <c r="BQ400" t="e">
        <f>AND('STERLING CATALOG - FZN &amp; CHILL'!E3619,"AAAAAH9/OUQ=")</f>
        <v>#VALUE!</v>
      </c>
      <c r="BR400" t="e">
        <f>AND('STERLING CATALOG - FZN &amp; CHILL'!F3619,"AAAAAH9/OUU=")</f>
        <v>#VALUE!</v>
      </c>
      <c r="BS400" t="e">
        <f>AND('STERLING CATALOG - FZN &amp; CHILL'!G3619,"AAAAAH9/OUY=")</f>
        <v>#VALUE!</v>
      </c>
      <c r="BT400" t="e">
        <f>AND('STERLING CATALOG - FZN &amp; CHILL'!H3619,"AAAAAH9/OUc=")</f>
        <v>#VALUE!</v>
      </c>
      <c r="BU400" t="e">
        <f>AND('STERLING CATALOG - FZN &amp; CHILL'!I3619,"AAAAAH9/OUg=")</f>
        <v>#VALUE!</v>
      </c>
      <c r="BV400" t="e">
        <f>AND('STERLING CATALOG - FZN &amp; CHILL'!J3619,"AAAAAH9/OUk=")</f>
        <v>#VALUE!</v>
      </c>
      <c r="BW400">
        <f>IF('STERLING CATALOG - FZN &amp; CHILL'!3620:3620,"AAAAAH9/OUo=",0)</f>
        <v>0</v>
      </c>
      <c r="BX400" t="e">
        <f>AND('STERLING CATALOG - FZN &amp; CHILL'!A3620,"AAAAAH9/OUs=")</f>
        <v>#VALUE!</v>
      </c>
      <c r="BY400" t="e">
        <f>AND('STERLING CATALOG - FZN &amp; CHILL'!B3620,"AAAAAH9/OUw=")</f>
        <v>#VALUE!</v>
      </c>
      <c r="BZ400" t="e">
        <f>AND('STERLING CATALOG - FZN &amp; CHILL'!C3620,"AAAAAH9/OU0=")</f>
        <v>#VALUE!</v>
      </c>
      <c r="CA400" t="e">
        <f>AND('STERLING CATALOG - FZN &amp; CHILL'!D3620,"AAAAAH9/OU4=")</f>
        <v>#VALUE!</v>
      </c>
      <c r="CB400" t="e">
        <f>AND('STERLING CATALOG - FZN &amp; CHILL'!E3620,"AAAAAH9/OU8=")</f>
        <v>#VALUE!</v>
      </c>
      <c r="CC400" t="e">
        <f>AND('STERLING CATALOG - FZN &amp; CHILL'!F3620,"AAAAAH9/OVA=")</f>
        <v>#VALUE!</v>
      </c>
      <c r="CD400" t="e">
        <f>AND('STERLING CATALOG - FZN &amp; CHILL'!G3620,"AAAAAH9/OVE=")</f>
        <v>#VALUE!</v>
      </c>
      <c r="CE400" t="e">
        <f>AND('STERLING CATALOG - FZN &amp; CHILL'!H3620,"AAAAAH9/OVI=")</f>
        <v>#VALUE!</v>
      </c>
      <c r="CF400" t="e">
        <f>AND('STERLING CATALOG - FZN &amp; CHILL'!I3620,"AAAAAH9/OVM=")</f>
        <v>#VALUE!</v>
      </c>
      <c r="CG400" t="e">
        <f>AND('STERLING CATALOG - FZN &amp; CHILL'!J3620,"AAAAAH9/OVQ=")</f>
        <v>#VALUE!</v>
      </c>
      <c r="CH400">
        <f>IF('STERLING CATALOG - FZN &amp; CHILL'!3621:3621,"AAAAAH9/OVU=",0)</f>
        <v>0</v>
      </c>
      <c r="CI400" t="e">
        <f>AND('STERLING CATALOG - FZN &amp; CHILL'!A3621,"AAAAAH9/OVY=")</f>
        <v>#VALUE!</v>
      </c>
      <c r="CJ400" t="e">
        <f>AND('STERLING CATALOG - FZN &amp; CHILL'!B3621,"AAAAAH9/OVc=")</f>
        <v>#VALUE!</v>
      </c>
      <c r="CK400" t="e">
        <f>AND('STERLING CATALOG - FZN &amp; CHILL'!C3621,"AAAAAH9/OVg=")</f>
        <v>#VALUE!</v>
      </c>
      <c r="CL400" t="e">
        <f>AND('STERLING CATALOG - FZN &amp; CHILL'!D3621,"AAAAAH9/OVk=")</f>
        <v>#VALUE!</v>
      </c>
      <c r="CM400" t="e">
        <f>AND('STERLING CATALOG - FZN &amp; CHILL'!E3621,"AAAAAH9/OVo=")</f>
        <v>#VALUE!</v>
      </c>
      <c r="CN400" t="e">
        <f>AND('STERLING CATALOG - FZN &amp; CHILL'!F3621,"AAAAAH9/OVs=")</f>
        <v>#VALUE!</v>
      </c>
      <c r="CO400" t="e">
        <f>AND('STERLING CATALOG - FZN &amp; CHILL'!G3621,"AAAAAH9/OVw=")</f>
        <v>#VALUE!</v>
      </c>
      <c r="CP400" t="e">
        <f>AND('STERLING CATALOG - FZN &amp; CHILL'!H3621,"AAAAAH9/OV0=")</f>
        <v>#VALUE!</v>
      </c>
      <c r="CQ400" t="e">
        <f>AND('STERLING CATALOG - FZN &amp; CHILL'!I3621,"AAAAAH9/OV4=")</f>
        <v>#VALUE!</v>
      </c>
      <c r="CR400" t="e">
        <f>AND('STERLING CATALOG - FZN &amp; CHILL'!J3621,"AAAAAH9/OV8=")</f>
        <v>#VALUE!</v>
      </c>
      <c r="CS400">
        <f>IF('STERLING CATALOG - FZN &amp; CHILL'!3622:3622,"AAAAAH9/OWA=",0)</f>
        <v>0</v>
      </c>
      <c r="CT400" t="e">
        <f>AND('STERLING CATALOG - FZN &amp; CHILL'!A3622,"AAAAAH9/OWE=")</f>
        <v>#VALUE!</v>
      </c>
      <c r="CU400" t="e">
        <f>AND('STERLING CATALOG - FZN &amp; CHILL'!B3622,"AAAAAH9/OWI=")</f>
        <v>#VALUE!</v>
      </c>
      <c r="CV400" t="e">
        <f>AND('STERLING CATALOG - FZN &amp; CHILL'!C3622,"AAAAAH9/OWM=")</f>
        <v>#VALUE!</v>
      </c>
      <c r="CW400" t="e">
        <f>AND('STERLING CATALOG - FZN &amp; CHILL'!D3622,"AAAAAH9/OWQ=")</f>
        <v>#VALUE!</v>
      </c>
      <c r="CX400" t="e">
        <f>AND('STERLING CATALOG - FZN &amp; CHILL'!E3622,"AAAAAH9/OWU=")</f>
        <v>#VALUE!</v>
      </c>
      <c r="CY400" t="e">
        <f>AND('STERLING CATALOG - FZN &amp; CHILL'!F3622,"AAAAAH9/OWY=")</f>
        <v>#VALUE!</v>
      </c>
      <c r="CZ400" t="e">
        <f>AND('STERLING CATALOG - FZN &amp; CHILL'!G3622,"AAAAAH9/OWc=")</f>
        <v>#VALUE!</v>
      </c>
      <c r="DA400" t="e">
        <f>AND('STERLING CATALOG - FZN &amp; CHILL'!H3622,"AAAAAH9/OWg=")</f>
        <v>#VALUE!</v>
      </c>
      <c r="DB400" t="e">
        <f>AND('STERLING CATALOG - FZN &amp; CHILL'!I3622,"AAAAAH9/OWk=")</f>
        <v>#VALUE!</v>
      </c>
      <c r="DC400" t="e">
        <f>AND('STERLING CATALOG - FZN &amp; CHILL'!J3622,"AAAAAH9/OWo=")</f>
        <v>#VALUE!</v>
      </c>
      <c r="DD400">
        <f>IF('STERLING CATALOG - FZN &amp; CHILL'!3623:3623,"AAAAAH9/OWs=",0)</f>
        <v>0</v>
      </c>
      <c r="DE400" t="e">
        <f>AND('STERLING CATALOG - FZN &amp; CHILL'!A3623,"AAAAAH9/OWw=")</f>
        <v>#VALUE!</v>
      </c>
      <c r="DF400" t="e">
        <f>AND('STERLING CATALOG - FZN &amp; CHILL'!B3623,"AAAAAH9/OW0=")</f>
        <v>#VALUE!</v>
      </c>
      <c r="DG400" t="e">
        <f>AND('STERLING CATALOG - FZN &amp; CHILL'!C3623,"AAAAAH9/OW4=")</f>
        <v>#VALUE!</v>
      </c>
      <c r="DH400" t="e">
        <f>AND('STERLING CATALOG - FZN &amp; CHILL'!D3623,"AAAAAH9/OW8=")</f>
        <v>#VALUE!</v>
      </c>
      <c r="DI400" t="e">
        <f>AND('STERLING CATALOG - FZN &amp; CHILL'!E3623,"AAAAAH9/OXA=")</f>
        <v>#VALUE!</v>
      </c>
      <c r="DJ400" t="e">
        <f>AND('STERLING CATALOG - FZN &amp; CHILL'!F3623,"AAAAAH9/OXE=")</f>
        <v>#VALUE!</v>
      </c>
      <c r="DK400" t="e">
        <f>AND('STERLING CATALOG - FZN &amp; CHILL'!G3623,"AAAAAH9/OXI=")</f>
        <v>#VALUE!</v>
      </c>
      <c r="DL400" t="e">
        <f>AND('STERLING CATALOG - FZN &amp; CHILL'!H3623,"AAAAAH9/OXM=")</f>
        <v>#VALUE!</v>
      </c>
      <c r="DM400" t="e">
        <f>AND('STERLING CATALOG - FZN &amp; CHILL'!I3623,"AAAAAH9/OXQ=")</f>
        <v>#VALUE!</v>
      </c>
      <c r="DN400" t="e">
        <f>AND('STERLING CATALOG - FZN &amp; CHILL'!J3623,"AAAAAH9/OXU=")</f>
        <v>#VALUE!</v>
      </c>
      <c r="DO400">
        <f>IF('STERLING CATALOG - FZN &amp; CHILL'!3624:3624,"AAAAAH9/OXY=",0)</f>
        <v>0</v>
      </c>
      <c r="DP400" t="e">
        <f>AND('STERLING CATALOG - FZN &amp; CHILL'!A3624,"AAAAAH9/OXc=")</f>
        <v>#VALUE!</v>
      </c>
      <c r="DQ400" t="e">
        <f>AND('STERLING CATALOG - FZN &amp; CHILL'!B3624,"AAAAAH9/OXg=")</f>
        <v>#VALUE!</v>
      </c>
      <c r="DR400" t="e">
        <f>AND('STERLING CATALOG - FZN &amp; CHILL'!C3624,"AAAAAH9/OXk=")</f>
        <v>#VALUE!</v>
      </c>
      <c r="DS400" t="e">
        <f>AND('STERLING CATALOG - FZN &amp; CHILL'!D3624,"AAAAAH9/OXo=")</f>
        <v>#VALUE!</v>
      </c>
      <c r="DT400" t="e">
        <f>AND('STERLING CATALOG - FZN &amp; CHILL'!E3624,"AAAAAH9/OXs=")</f>
        <v>#VALUE!</v>
      </c>
      <c r="DU400" t="e">
        <f>AND('STERLING CATALOG - FZN &amp; CHILL'!F3624,"AAAAAH9/OXw=")</f>
        <v>#VALUE!</v>
      </c>
      <c r="DV400" t="e">
        <f>AND('STERLING CATALOG - FZN &amp; CHILL'!G3624,"AAAAAH9/OX0=")</f>
        <v>#VALUE!</v>
      </c>
      <c r="DW400" t="e">
        <f>AND('STERLING CATALOG - FZN &amp; CHILL'!H3624,"AAAAAH9/OX4=")</f>
        <v>#VALUE!</v>
      </c>
      <c r="DX400" t="e">
        <f>AND('STERLING CATALOG - FZN &amp; CHILL'!I3624,"AAAAAH9/OX8=")</f>
        <v>#VALUE!</v>
      </c>
      <c r="DY400" t="e">
        <f>AND('STERLING CATALOG - FZN &amp; CHILL'!J3624,"AAAAAH9/OYA=")</f>
        <v>#VALUE!</v>
      </c>
      <c r="DZ400">
        <f>IF('STERLING CATALOG - FZN &amp; CHILL'!3625:3625,"AAAAAH9/OYE=",0)</f>
        <v>0</v>
      </c>
      <c r="EA400" t="e">
        <f>AND('STERLING CATALOG - FZN &amp; CHILL'!A3625,"AAAAAH9/OYI=")</f>
        <v>#VALUE!</v>
      </c>
      <c r="EB400" t="e">
        <f>AND('STERLING CATALOG - FZN &amp; CHILL'!B3625,"AAAAAH9/OYM=")</f>
        <v>#VALUE!</v>
      </c>
      <c r="EC400" t="e">
        <f>AND('STERLING CATALOG - FZN &amp; CHILL'!C3625,"AAAAAH9/OYQ=")</f>
        <v>#VALUE!</v>
      </c>
      <c r="ED400" t="e">
        <f>AND('STERLING CATALOG - FZN &amp; CHILL'!D3625,"AAAAAH9/OYU=")</f>
        <v>#VALUE!</v>
      </c>
      <c r="EE400" t="e">
        <f>AND('STERLING CATALOG - FZN &amp; CHILL'!E3625,"AAAAAH9/OYY=")</f>
        <v>#VALUE!</v>
      </c>
      <c r="EF400" t="e">
        <f>AND('STERLING CATALOG - FZN &amp; CHILL'!F3625,"AAAAAH9/OYc=")</f>
        <v>#VALUE!</v>
      </c>
      <c r="EG400" t="e">
        <f>AND('STERLING CATALOG - FZN &amp; CHILL'!G3625,"AAAAAH9/OYg=")</f>
        <v>#VALUE!</v>
      </c>
      <c r="EH400" t="e">
        <f>AND('STERLING CATALOG - FZN &amp; CHILL'!H3625,"AAAAAH9/OYk=")</f>
        <v>#VALUE!</v>
      </c>
      <c r="EI400" t="e">
        <f>AND('STERLING CATALOG - FZN &amp; CHILL'!I3625,"AAAAAH9/OYo=")</f>
        <v>#VALUE!</v>
      </c>
      <c r="EJ400" t="e">
        <f>AND('STERLING CATALOG - FZN &amp; CHILL'!J3625,"AAAAAH9/OYs=")</f>
        <v>#VALUE!</v>
      </c>
      <c r="EK400">
        <f>IF('STERLING CATALOG - FZN &amp; CHILL'!3626:3626,"AAAAAH9/OYw=",0)</f>
        <v>0</v>
      </c>
      <c r="EL400" t="e">
        <f>AND('STERLING CATALOG - FZN &amp; CHILL'!A3626,"AAAAAH9/OY0=")</f>
        <v>#VALUE!</v>
      </c>
      <c r="EM400" t="e">
        <f>AND('STERLING CATALOG - FZN &amp; CHILL'!B3626,"AAAAAH9/OY4=")</f>
        <v>#VALUE!</v>
      </c>
      <c r="EN400" t="e">
        <f>AND('STERLING CATALOG - FZN &amp; CHILL'!C3626,"AAAAAH9/OY8=")</f>
        <v>#VALUE!</v>
      </c>
      <c r="EO400" t="e">
        <f>AND('STERLING CATALOG - FZN &amp; CHILL'!D3626,"AAAAAH9/OZA=")</f>
        <v>#VALUE!</v>
      </c>
      <c r="EP400" t="e">
        <f>AND('STERLING CATALOG - FZN &amp; CHILL'!E3626,"AAAAAH9/OZE=")</f>
        <v>#VALUE!</v>
      </c>
      <c r="EQ400" t="e">
        <f>AND('STERLING CATALOG - FZN &amp; CHILL'!F3626,"AAAAAH9/OZI=")</f>
        <v>#VALUE!</v>
      </c>
      <c r="ER400" t="e">
        <f>AND('STERLING CATALOG - FZN &amp; CHILL'!G3626,"AAAAAH9/OZM=")</f>
        <v>#VALUE!</v>
      </c>
      <c r="ES400" t="e">
        <f>AND('STERLING CATALOG - FZN &amp; CHILL'!H3626,"AAAAAH9/OZQ=")</f>
        <v>#VALUE!</v>
      </c>
      <c r="ET400" t="e">
        <f>AND('STERLING CATALOG - FZN &amp; CHILL'!I3626,"AAAAAH9/OZU=")</f>
        <v>#VALUE!</v>
      </c>
      <c r="EU400" t="e">
        <f>AND('STERLING CATALOG - FZN &amp; CHILL'!J3626,"AAAAAH9/OZY=")</f>
        <v>#VALUE!</v>
      </c>
      <c r="EV400">
        <f>IF('STERLING CATALOG - FZN &amp; CHILL'!3627:3627,"AAAAAH9/OZc=",0)</f>
        <v>0</v>
      </c>
      <c r="EW400" t="e">
        <f>AND('STERLING CATALOG - FZN &amp; CHILL'!A3627,"AAAAAH9/OZg=")</f>
        <v>#VALUE!</v>
      </c>
      <c r="EX400" t="e">
        <f>AND('STERLING CATALOG - FZN &amp; CHILL'!B3627,"AAAAAH9/OZk=")</f>
        <v>#VALUE!</v>
      </c>
      <c r="EY400" t="e">
        <f>AND('STERLING CATALOG - FZN &amp; CHILL'!C3627,"AAAAAH9/OZo=")</f>
        <v>#VALUE!</v>
      </c>
      <c r="EZ400" t="e">
        <f>AND('STERLING CATALOG - FZN &amp; CHILL'!D3627,"AAAAAH9/OZs=")</f>
        <v>#VALUE!</v>
      </c>
      <c r="FA400" t="e">
        <f>AND('STERLING CATALOG - FZN &amp; CHILL'!E3627,"AAAAAH9/OZw=")</f>
        <v>#VALUE!</v>
      </c>
      <c r="FB400" t="e">
        <f>AND('STERLING CATALOG - FZN &amp; CHILL'!F3627,"AAAAAH9/OZ0=")</f>
        <v>#VALUE!</v>
      </c>
      <c r="FC400" t="e">
        <f>AND('STERLING CATALOG - FZN &amp; CHILL'!G3627,"AAAAAH9/OZ4=")</f>
        <v>#VALUE!</v>
      </c>
      <c r="FD400" t="e">
        <f>AND('STERLING CATALOG - FZN &amp; CHILL'!H3627,"AAAAAH9/OZ8=")</f>
        <v>#VALUE!</v>
      </c>
      <c r="FE400" t="e">
        <f>AND('STERLING CATALOG - FZN &amp; CHILL'!I3627,"AAAAAH9/OaA=")</f>
        <v>#VALUE!</v>
      </c>
      <c r="FF400" t="e">
        <f>AND('STERLING CATALOG - FZN &amp; CHILL'!J3627,"AAAAAH9/OaE=")</f>
        <v>#VALUE!</v>
      </c>
      <c r="FG400">
        <f>IF('STERLING CATALOG - FZN &amp; CHILL'!3628:3628,"AAAAAH9/OaI=",0)</f>
        <v>0</v>
      </c>
      <c r="FH400" t="e">
        <f>AND('STERLING CATALOG - FZN &amp; CHILL'!A3628,"AAAAAH9/OaM=")</f>
        <v>#VALUE!</v>
      </c>
      <c r="FI400" t="e">
        <f>AND('STERLING CATALOG - FZN &amp; CHILL'!B3628,"AAAAAH9/OaQ=")</f>
        <v>#VALUE!</v>
      </c>
      <c r="FJ400" t="e">
        <f>AND('STERLING CATALOG - FZN &amp; CHILL'!C3628,"AAAAAH9/OaU=")</f>
        <v>#VALUE!</v>
      </c>
      <c r="FK400" t="e">
        <f>AND('STERLING CATALOG - FZN &amp; CHILL'!D3628,"AAAAAH9/OaY=")</f>
        <v>#VALUE!</v>
      </c>
      <c r="FL400" t="e">
        <f>AND('STERLING CATALOG - FZN &amp; CHILL'!E3628,"AAAAAH9/Oac=")</f>
        <v>#VALUE!</v>
      </c>
      <c r="FM400" t="e">
        <f>AND('STERLING CATALOG - FZN &amp; CHILL'!F3628,"AAAAAH9/Oag=")</f>
        <v>#VALUE!</v>
      </c>
      <c r="FN400" t="e">
        <f>AND('STERLING CATALOG - FZN &amp; CHILL'!G3628,"AAAAAH9/Oak=")</f>
        <v>#VALUE!</v>
      </c>
      <c r="FO400" t="e">
        <f>AND('STERLING CATALOG - FZN &amp; CHILL'!H3628,"AAAAAH9/Oao=")</f>
        <v>#VALUE!</v>
      </c>
      <c r="FP400" t="e">
        <f>AND('STERLING CATALOG - FZN &amp; CHILL'!I3628,"AAAAAH9/Oas=")</f>
        <v>#VALUE!</v>
      </c>
      <c r="FQ400" t="e">
        <f>AND('STERLING CATALOG - FZN &amp; CHILL'!J3628,"AAAAAH9/Oaw=")</f>
        <v>#VALUE!</v>
      </c>
      <c r="FR400">
        <f>IF('STERLING CATALOG - FZN &amp; CHILL'!3629:3629,"AAAAAH9/Oa0=",0)</f>
        <v>0</v>
      </c>
      <c r="FS400" t="e">
        <f>AND('STERLING CATALOG - FZN &amp; CHILL'!A3629,"AAAAAH9/Oa4=")</f>
        <v>#VALUE!</v>
      </c>
      <c r="FT400" t="e">
        <f>AND('STERLING CATALOG - FZN &amp; CHILL'!B3629,"AAAAAH9/Oa8=")</f>
        <v>#VALUE!</v>
      </c>
      <c r="FU400" t="e">
        <f>AND('STERLING CATALOG - FZN &amp; CHILL'!C3629,"AAAAAH9/ObA=")</f>
        <v>#VALUE!</v>
      </c>
      <c r="FV400" t="e">
        <f>AND('STERLING CATALOG - FZN &amp; CHILL'!D3629,"AAAAAH9/ObE=")</f>
        <v>#VALUE!</v>
      </c>
      <c r="FW400" t="e">
        <f>AND('STERLING CATALOG - FZN &amp; CHILL'!E3629,"AAAAAH9/ObI=")</f>
        <v>#VALUE!</v>
      </c>
      <c r="FX400" t="e">
        <f>AND('STERLING CATALOG - FZN &amp; CHILL'!F3629,"AAAAAH9/ObM=")</f>
        <v>#VALUE!</v>
      </c>
      <c r="FY400" t="e">
        <f>AND('STERLING CATALOG - FZN &amp; CHILL'!G3629,"AAAAAH9/ObQ=")</f>
        <v>#VALUE!</v>
      </c>
      <c r="FZ400" t="e">
        <f>AND('STERLING CATALOG - FZN &amp; CHILL'!H3629,"AAAAAH9/ObU=")</f>
        <v>#VALUE!</v>
      </c>
      <c r="GA400" t="e">
        <f>AND('STERLING CATALOG - FZN &amp; CHILL'!I3629,"AAAAAH9/ObY=")</f>
        <v>#VALUE!</v>
      </c>
      <c r="GB400" t="e">
        <f>AND('STERLING CATALOG - FZN &amp; CHILL'!J3629,"AAAAAH9/Obc=")</f>
        <v>#VALUE!</v>
      </c>
      <c r="GC400">
        <f>IF('STERLING CATALOG - FZN &amp; CHILL'!3630:3630,"AAAAAH9/Obg=",0)</f>
        <v>0</v>
      </c>
      <c r="GD400" t="e">
        <f>AND('STERLING CATALOG - FZN &amp; CHILL'!A3630,"AAAAAH9/Obk=")</f>
        <v>#VALUE!</v>
      </c>
      <c r="GE400" t="e">
        <f>AND('STERLING CATALOG - FZN &amp; CHILL'!B3630,"AAAAAH9/Obo=")</f>
        <v>#VALUE!</v>
      </c>
      <c r="GF400" t="e">
        <f>AND('STERLING CATALOG - FZN &amp; CHILL'!C3630,"AAAAAH9/Obs=")</f>
        <v>#VALUE!</v>
      </c>
      <c r="GG400" t="e">
        <f>AND('STERLING CATALOG - FZN &amp; CHILL'!D3630,"AAAAAH9/Obw=")</f>
        <v>#VALUE!</v>
      </c>
      <c r="GH400" t="e">
        <f>AND('STERLING CATALOG - FZN &amp; CHILL'!E3630,"AAAAAH9/Ob0=")</f>
        <v>#VALUE!</v>
      </c>
      <c r="GI400" t="e">
        <f>AND('STERLING CATALOG - FZN &amp; CHILL'!F3630,"AAAAAH9/Ob4=")</f>
        <v>#VALUE!</v>
      </c>
      <c r="GJ400" t="e">
        <f>AND('STERLING CATALOG - FZN &amp; CHILL'!G3630,"AAAAAH9/Ob8=")</f>
        <v>#VALUE!</v>
      </c>
      <c r="GK400" t="e">
        <f>AND('STERLING CATALOG - FZN &amp; CHILL'!H3630,"AAAAAH9/OcA=")</f>
        <v>#VALUE!</v>
      </c>
      <c r="GL400" t="e">
        <f>AND('STERLING CATALOG - FZN &amp; CHILL'!I3630,"AAAAAH9/OcE=")</f>
        <v>#VALUE!</v>
      </c>
      <c r="GM400" t="e">
        <f>AND('STERLING CATALOG - FZN &amp; CHILL'!J3630,"AAAAAH9/OcI=")</f>
        <v>#VALUE!</v>
      </c>
      <c r="GN400">
        <f>IF('STERLING CATALOG - FZN &amp; CHILL'!3631:3631,"AAAAAH9/OcM=",0)</f>
        <v>0</v>
      </c>
      <c r="GO400" t="e">
        <f>AND('STERLING CATALOG - FZN &amp; CHILL'!A3631,"AAAAAH9/OcQ=")</f>
        <v>#VALUE!</v>
      </c>
      <c r="GP400" t="e">
        <f>AND('STERLING CATALOG - FZN &amp; CHILL'!B3631,"AAAAAH9/OcU=")</f>
        <v>#VALUE!</v>
      </c>
      <c r="GQ400" t="e">
        <f>AND('STERLING CATALOG - FZN &amp; CHILL'!C3631,"AAAAAH9/OcY=")</f>
        <v>#VALUE!</v>
      </c>
      <c r="GR400" t="e">
        <f>AND('STERLING CATALOG - FZN &amp; CHILL'!D3631,"AAAAAH9/Occ=")</f>
        <v>#VALUE!</v>
      </c>
      <c r="GS400" t="e">
        <f>AND('STERLING CATALOG - FZN &amp; CHILL'!E3631,"AAAAAH9/Ocg=")</f>
        <v>#VALUE!</v>
      </c>
      <c r="GT400" t="e">
        <f>AND('STERLING CATALOG - FZN &amp; CHILL'!F3631,"AAAAAH9/Ock=")</f>
        <v>#VALUE!</v>
      </c>
      <c r="GU400" t="e">
        <f>AND('STERLING CATALOG - FZN &amp; CHILL'!G3631,"AAAAAH9/Oco=")</f>
        <v>#VALUE!</v>
      </c>
      <c r="GV400" t="e">
        <f>AND('STERLING CATALOG - FZN &amp; CHILL'!H3631,"AAAAAH9/Ocs=")</f>
        <v>#VALUE!</v>
      </c>
      <c r="GW400" t="e">
        <f>AND('STERLING CATALOG - FZN &amp; CHILL'!I3631,"AAAAAH9/Ocw=")</f>
        <v>#VALUE!</v>
      </c>
      <c r="GX400" t="e">
        <f>AND('STERLING CATALOG - FZN &amp; CHILL'!J3631,"AAAAAH9/Oc0=")</f>
        <v>#VALUE!</v>
      </c>
      <c r="GY400">
        <f>IF('STERLING CATALOG - FZN &amp; CHILL'!3632:3632,"AAAAAH9/Oc4=",0)</f>
        <v>0</v>
      </c>
      <c r="GZ400" t="e">
        <f>AND('STERLING CATALOG - FZN &amp; CHILL'!A3632,"AAAAAH9/Oc8=")</f>
        <v>#VALUE!</v>
      </c>
      <c r="HA400" t="e">
        <f>AND('STERLING CATALOG - FZN &amp; CHILL'!B3632,"AAAAAH9/OdA=")</f>
        <v>#VALUE!</v>
      </c>
      <c r="HB400" t="e">
        <f>AND('STERLING CATALOG - FZN &amp; CHILL'!C3632,"AAAAAH9/OdE=")</f>
        <v>#VALUE!</v>
      </c>
      <c r="HC400" t="e">
        <f>AND('STERLING CATALOG - FZN &amp; CHILL'!D3632,"AAAAAH9/OdI=")</f>
        <v>#VALUE!</v>
      </c>
      <c r="HD400" t="e">
        <f>AND('STERLING CATALOG - FZN &amp; CHILL'!E3632,"AAAAAH9/OdM=")</f>
        <v>#VALUE!</v>
      </c>
      <c r="HE400" t="e">
        <f>AND('STERLING CATALOG - FZN &amp; CHILL'!F3632,"AAAAAH9/OdQ=")</f>
        <v>#VALUE!</v>
      </c>
      <c r="HF400" t="e">
        <f>AND('STERLING CATALOG - FZN &amp; CHILL'!G3632,"AAAAAH9/OdU=")</f>
        <v>#VALUE!</v>
      </c>
      <c r="HG400" t="e">
        <f>AND('STERLING CATALOG - FZN &amp; CHILL'!H3632,"AAAAAH9/OdY=")</f>
        <v>#VALUE!</v>
      </c>
      <c r="HH400" t="e">
        <f>AND('STERLING CATALOG - FZN &amp; CHILL'!I3632,"AAAAAH9/Odc=")</f>
        <v>#VALUE!</v>
      </c>
      <c r="HI400" t="e">
        <f>AND('STERLING CATALOG - FZN &amp; CHILL'!J3632,"AAAAAH9/Odg=")</f>
        <v>#VALUE!</v>
      </c>
      <c r="HJ400">
        <f>IF('STERLING CATALOG - FZN &amp; CHILL'!3633:3633,"AAAAAH9/Odk=",0)</f>
        <v>0</v>
      </c>
      <c r="HK400" t="e">
        <f>AND('STERLING CATALOG - FZN &amp; CHILL'!A3633,"AAAAAH9/Odo=")</f>
        <v>#VALUE!</v>
      </c>
      <c r="HL400" t="e">
        <f>AND('STERLING CATALOG - FZN &amp; CHILL'!B3633,"AAAAAH9/Ods=")</f>
        <v>#VALUE!</v>
      </c>
      <c r="HM400" t="e">
        <f>AND('STERLING CATALOG - FZN &amp; CHILL'!C3633,"AAAAAH9/Odw=")</f>
        <v>#VALUE!</v>
      </c>
      <c r="HN400" t="e">
        <f>AND('STERLING CATALOG - FZN &amp; CHILL'!D3633,"AAAAAH9/Od0=")</f>
        <v>#VALUE!</v>
      </c>
      <c r="HO400" t="e">
        <f>AND('STERLING CATALOG - FZN &amp; CHILL'!E3633,"AAAAAH9/Od4=")</f>
        <v>#VALUE!</v>
      </c>
      <c r="HP400" t="e">
        <f>AND('STERLING CATALOG - FZN &amp; CHILL'!F3633,"AAAAAH9/Od8=")</f>
        <v>#VALUE!</v>
      </c>
      <c r="HQ400" t="e">
        <f>AND('STERLING CATALOG - FZN &amp; CHILL'!G3633,"AAAAAH9/OeA=")</f>
        <v>#VALUE!</v>
      </c>
      <c r="HR400" t="e">
        <f>AND('STERLING CATALOG - FZN &amp; CHILL'!H3633,"AAAAAH9/OeE=")</f>
        <v>#VALUE!</v>
      </c>
      <c r="HS400" t="e">
        <f>AND('STERLING CATALOG - FZN &amp; CHILL'!I3633,"AAAAAH9/OeI=")</f>
        <v>#VALUE!</v>
      </c>
      <c r="HT400" t="e">
        <f>AND('STERLING CATALOG - FZN &amp; CHILL'!J3633,"AAAAAH9/OeM=")</f>
        <v>#VALUE!</v>
      </c>
      <c r="HU400">
        <f>IF('STERLING CATALOG - FZN &amp; CHILL'!3634:3634,"AAAAAH9/OeQ=",0)</f>
        <v>0</v>
      </c>
      <c r="HV400" t="e">
        <f>AND('STERLING CATALOG - FZN &amp; CHILL'!A3634,"AAAAAH9/OeU=")</f>
        <v>#VALUE!</v>
      </c>
      <c r="HW400" t="e">
        <f>AND('STERLING CATALOG - FZN &amp; CHILL'!B3634,"AAAAAH9/OeY=")</f>
        <v>#VALUE!</v>
      </c>
      <c r="HX400" t="e">
        <f>AND('STERLING CATALOG - FZN &amp; CHILL'!C3634,"AAAAAH9/Oec=")</f>
        <v>#VALUE!</v>
      </c>
      <c r="HY400" t="e">
        <f>AND('STERLING CATALOG - FZN &amp; CHILL'!D3634,"AAAAAH9/Oeg=")</f>
        <v>#VALUE!</v>
      </c>
      <c r="HZ400" t="e">
        <f>AND('STERLING CATALOG - FZN &amp; CHILL'!E3634,"AAAAAH9/Oek=")</f>
        <v>#VALUE!</v>
      </c>
      <c r="IA400" t="e">
        <f>AND('STERLING CATALOG - FZN &amp; CHILL'!F3634,"AAAAAH9/Oeo=")</f>
        <v>#VALUE!</v>
      </c>
      <c r="IB400" t="e">
        <f>AND('STERLING CATALOG - FZN &amp; CHILL'!G3634,"AAAAAH9/Oes=")</f>
        <v>#VALUE!</v>
      </c>
      <c r="IC400" t="e">
        <f>AND('STERLING CATALOG - FZN &amp; CHILL'!H3634,"AAAAAH9/Oew=")</f>
        <v>#VALUE!</v>
      </c>
      <c r="ID400" t="e">
        <f>AND('STERLING CATALOG - FZN &amp; CHILL'!I3634,"AAAAAH9/Oe0=")</f>
        <v>#VALUE!</v>
      </c>
      <c r="IE400" t="e">
        <f>AND('STERLING CATALOG - FZN &amp; CHILL'!J3634,"AAAAAH9/Oe4=")</f>
        <v>#VALUE!</v>
      </c>
      <c r="IF400">
        <f>IF('STERLING CATALOG - FZN &amp; CHILL'!3635:3635,"AAAAAH9/Oe8=",0)</f>
        <v>0</v>
      </c>
      <c r="IG400" t="e">
        <f>AND('STERLING CATALOG - FZN &amp; CHILL'!A3635,"AAAAAH9/OfA=")</f>
        <v>#VALUE!</v>
      </c>
      <c r="IH400" t="e">
        <f>AND('STERLING CATALOG - FZN &amp; CHILL'!B3635,"AAAAAH9/OfE=")</f>
        <v>#VALUE!</v>
      </c>
      <c r="II400" t="e">
        <f>AND('STERLING CATALOG - FZN &amp; CHILL'!C3635,"AAAAAH9/OfI=")</f>
        <v>#VALUE!</v>
      </c>
      <c r="IJ400" t="e">
        <f>AND('STERLING CATALOG - FZN &amp; CHILL'!D3635,"AAAAAH9/OfM=")</f>
        <v>#VALUE!</v>
      </c>
      <c r="IK400" t="e">
        <f>AND('STERLING CATALOG - FZN &amp; CHILL'!E3635,"AAAAAH9/OfQ=")</f>
        <v>#VALUE!</v>
      </c>
      <c r="IL400" t="e">
        <f>AND('STERLING CATALOG - FZN &amp; CHILL'!F3635,"AAAAAH9/OfU=")</f>
        <v>#VALUE!</v>
      </c>
      <c r="IM400" t="e">
        <f>AND('STERLING CATALOG - FZN &amp; CHILL'!G3635,"AAAAAH9/OfY=")</f>
        <v>#VALUE!</v>
      </c>
      <c r="IN400" t="e">
        <f>AND('STERLING CATALOG - FZN &amp; CHILL'!H3635,"AAAAAH9/Ofc=")</f>
        <v>#VALUE!</v>
      </c>
      <c r="IO400" t="e">
        <f>AND('STERLING CATALOG - FZN &amp; CHILL'!I3635,"AAAAAH9/Ofg=")</f>
        <v>#VALUE!</v>
      </c>
      <c r="IP400" t="e">
        <f>AND('STERLING CATALOG - FZN &amp; CHILL'!J3635,"AAAAAH9/Ofk=")</f>
        <v>#VALUE!</v>
      </c>
      <c r="IQ400">
        <f>IF('STERLING CATALOG - FZN &amp; CHILL'!3636:3636,"AAAAAH9/Ofo=",0)</f>
        <v>0</v>
      </c>
      <c r="IR400" t="e">
        <f>AND('STERLING CATALOG - FZN &amp; CHILL'!A3636,"AAAAAH9/Ofs=")</f>
        <v>#VALUE!</v>
      </c>
      <c r="IS400" t="e">
        <f>AND('STERLING CATALOG - FZN &amp; CHILL'!B3636,"AAAAAH9/Ofw=")</f>
        <v>#VALUE!</v>
      </c>
      <c r="IT400" t="e">
        <f>AND('STERLING CATALOG - FZN &amp; CHILL'!C3636,"AAAAAH9/Of0=")</f>
        <v>#VALUE!</v>
      </c>
      <c r="IU400" t="e">
        <f>AND('STERLING CATALOG - FZN &amp; CHILL'!D3636,"AAAAAH9/Of4=")</f>
        <v>#VALUE!</v>
      </c>
      <c r="IV400" t="e">
        <f>AND('STERLING CATALOG - FZN &amp; CHILL'!E3636,"AAAAAH9/Of8=")</f>
        <v>#VALUE!</v>
      </c>
    </row>
    <row r="401" spans="1:256">
      <c r="A401" t="e">
        <f>AND('STERLING CATALOG - FZN &amp; CHILL'!F3636,"AAAAAD7rDQA=")</f>
        <v>#VALUE!</v>
      </c>
      <c r="B401" t="e">
        <f>AND('STERLING CATALOG - FZN &amp; CHILL'!G3636,"AAAAAD7rDQE=")</f>
        <v>#VALUE!</v>
      </c>
      <c r="C401" t="e">
        <f>AND('STERLING CATALOG - FZN &amp; CHILL'!H3636,"AAAAAD7rDQI=")</f>
        <v>#VALUE!</v>
      </c>
      <c r="D401" t="e">
        <f>AND('STERLING CATALOG - FZN &amp; CHILL'!I3636,"AAAAAD7rDQM=")</f>
        <v>#VALUE!</v>
      </c>
      <c r="E401" t="e">
        <f>AND('STERLING CATALOG - FZN &amp; CHILL'!J3636,"AAAAAD7rDQQ=")</f>
        <v>#VALUE!</v>
      </c>
      <c r="F401" t="str">
        <f>IF('STERLING CATALOG - FZN &amp; CHILL'!3637:3637,"AAAAAD7rDQU=",0)</f>
        <v>AAAAAD7rDQU=</v>
      </c>
      <c r="G401" t="e">
        <f>AND('STERLING CATALOG - FZN &amp; CHILL'!A3637,"AAAAAD7rDQY=")</f>
        <v>#VALUE!</v>
      </c>
      <c r="H401" t="e">
        <f>AND('STERLING CATALOG - FZN &amp; CHILL'!B3637,"AAAAAD7rDQc=")</f>
        <v>#VALUE!</v>
      </c>
      <c r="I401" t="e">
        <f>AND('STERLING CATALOG - FZN &amp; CHILL'!C3637,"AAAAAD7rDQg=")</f>
        <v>#VALUE!</v>
      </c>
      <c r="J401" t="e">
        <f>AND('STERLING CATALOG - FZN &amp; CHILL'!D3637,"AAAAAD7rDQk=")</f>
        <v>#VALUE!</v>
      </c>
      <c r="K401" t="e">
        <f>AND('STERLING CATALOG - FZN &amp; CHILL'!E3637,"AAAAAD7rDQo=")</f>
        <v>#VALUE!</v>
      </c>
      <c r="L401" t="e">
        <f>AND('STERLING CATALOG - FZN &amp; CHILL'!F3637,"AAAAAD7rDQs=")</f>
        <v>#VALUE!</v>
      </c>
      <c r="M401" t="e">
        <f>AND('STERLING CATALOG - FZN &amp; CHILL'!G3637,"AAAAAD7rDQw=")</f>
        <v>#VALUE!</v>
      </c>
      <c r="N401" t="e">
        <f>AND('STERLING CATALOG - FZN &amp; CHILL'!H3637,"AAAAAD7rDQ0=")</f>
        <v>#VALUE!</v>
      </c>
      <c r="O401" t="e">
        <f>AND('STERLING CATALOG - FZN &amp; CHILL'!I3637,"AAAAAD7rDQ4=")</f>
        <v>#VALUE!</v>
      </c>
      <c r="P401" t="e">
        <f>AND('STERLING CATALOG - FZN &amp; CHILL'!J3637,"AAAAAD7rDQ8=")</f>
        <v>#VALUE!</v>
      </c>
      <c r="Q401">
        <f>IF('STERLING CATALOG - FZN &amp; CHILL'!3638:3638,"AAAAAD7rDRA=",0)</f>
        <v>0</v>
      </c>
      <c r="R401" t="e">
        <f>AND('STERLING CATALOG - FZN &amp; CHILL'!A3638,"AAAAAD7rDRE=")</f>
        <v>#VALUE!</v>
      </c>
      <c r="S401" t="e">
        <f>AND('STERLING CATALOG - FZN &amp; CHILL'!B3638,"AAAAAD7rDRI=")</f>
        <v>#VALUE!</v>
      </c>
      <c r="T401" t="e">
        <f>AND('STERLING CATALOG - FZN &amp; CHILL'!C3638,"AAAAAD7rDRM=")</f>
        <v>#VALUE!</v>
      </c>
      <c r="U401" t="e">
        <f>AND('STERLING CATALOG - FZN &amp; CHILL'!D3638,"AAAAAD7rDRQ=")</f>
        <v>#VALUE!</v>
      </c>
      <c r="V401" t="e">
        <f>AND('STERLING CATALOG - FZN &amp; CHILL'!E3638,"AAAAAD7rDRU=")</f>
        <v>#VALUE!</v>
      </c>
      <c r="W401" t="e">
        <f>AND('STERLING CATALOG - FZN &amp; CHILL'!F3638,"AAAAAD7rDRY=")</f>
        <v>#VALUE!</v>
      </c>
      <c r="X401" t="e">
        <f>AND('STERLING CATALOG - FZN &amp; CHILL'!G3638,"AAAAAD7rDRc=")</f>
        <v>#VALUE!</v>
      </c>
      <c r="Y401" t="e">
        <f>AND('STERLING CATALOG - FZN &amp; CHILL'!H3638,"AAAAAD7rDRg=")</f>
        <v>#VALUE!</v>
      </c>
      <c r="Z401" t="e">
        <f>AND('STERLING CATALOG - FZN &amp; CHILL'!I3638,"AAAAAD7rDRk=")</f>
        <v>#VALUE!</v>
      </c>
      <c r="AA401" t="e">
        <f>AND('STERLING CATALOG - FZN &amp; CHILL'!J3638,"AAAAAD7rDRo=")</f>
        <v>#VALUE!</v>
      </c>
      <c r="AB401">
        <f>IF('STERLING CATALOG - FZN &amp; CHILL'!3639:3639,"AAAAAD7rDRs=",0)</f>
        <v>0</v>
      </c>
      <c r="AC401" t="e">
        <f>AND('STERLING CATALOG - FZN &amp; CHILL'!A3639,"AAAAAD7rDRw=")</f>
        <v>#VALUE!</v>
      </c>
      <c r="AD401" t="e">
        <f>AND('STERLING CATALOG - FZN &amp; CHILL'!B3639,"AAAAAD7rDR0=")</f>
        <v>#VALUE!</v>
      </c>
      <c r="AE401" t="e">
        <f>AND('STERLING CATALOG - FZN &amp; CHILL'!C3639,"AAAAAD7rDR4=")</f>
        <v>#VALUE!</v>
      </c>
      <c r="AF401" t="e">
        <f>AND('STERLING CATALOG - FZN &amp; CHILL'!D3639,"AAAAAD7rDR8=")</f>
        <v>#VALUE!</v>
      </c>
      <c r="AG401" t="e">
        <f>AND('STERLING CATALOG - FZN &amp; CHILL'!E3639,"AAAAAD7rDSA=")</f>
        <v>#VALUE!</v>
      </c>
      <c r="AH401" t="e">
        <f>AND('STERLING CATALOG - FZN &amp; CHILL'!F3639,"AAAAAD7rDSE=")</f>
        <v>#VALUE!</v>
      </c>
      <c r="AI401" t="e">
        <f>AND('STERLING CATALOG - FZN &amp; CHILL'!G3639,"AAAAAD7rDSI=")</f>
        <v>#VALUE!</v>
      </c>
      <c r="AJ401" t="e">
        <f>AND('STERLING CATALOG - FZN &amp; CHILL'!H3639,"AAAAAD7rDSM=")</f>
        <v>#VALUE!</v>
      </c>
      <c r="AK401" t="e">
        <f>AND('STERLING CATALOG - FZN &amp; CHILL'!I3639,"AAAAAD7rDSQ=")</f>
        <v>#VALUE!</v>
      </c>
      <c r="AL401" t="e">
        <f>AND('STERLING CATALOG - FZN &amp; CHILL'!J3639,"AAAAAD7rDSU=")</f>
        <v>#VALUE!</v>
      </c>
      <c r="AM401">
        <f>IF('STERLING CATALOG - FZN &amp; CHILL'!3640:3640,"AAAAAD7rDSY=",0)</f>
        <v>0</v>
      </c>
      <c r="AN401" t="e">
        <f>AND('STERLING CATALOG - FZN &amp; CHILL'!A3640,"AAAAAD7rDSc=")</f>
        <v>#VALUE!</v>
      </c>
      <c r="AO401" t="e">
        <f>AND('STERLING CATALOG - FZN &amp; CHILL'!B3640,"AAAAAD7rDSg=")</f>
        <v>#VALUE!</v>
      </c>
      <c r="AP401" t="e">
        <f>AND('STERLING CATALOG - FZN &amp; CHILL'!C3640,"AAAAAD7rDSk=")</f>
        <v>#VALUE!</v>
      </c>
      <c r="AQ401" t="e">
        <f>AND('STERLING CATALOG - FZN &amp; CHILL'!D3640,"AAAAAD7rDSo=")</f>
        <v>#VALUE!</v>
      </c>
      <c r="AR401" t="e">
        <f>AND('STERLING CATALOG - FZN &amp; CHILL'!E3640,"AAAAAD7rDSs=")</f>
        <v>#VALUE!</v>
      </c>
      <c r="AS401" t="e">
        <f>AND('STERLING CATALOG - FZN &amp; CHILL'!F3640,"AAAAAD7rDSw=")</f>
        <v>#VALUE!</v>
      </c>
      <c r="AT401" t="e">
        <f>AND('STERLING CATALOG - FZN &amp; CHILL'!G3640,"AAAAAD7rDS0=")</f>
        <v>#VALUE!</v>
      </c>
      <c r="AU401" t="e">
        <f>AND('STERLING CATALOG - FZN &amp; CHILL'!H3640,"AAAAAD7rDS4=")</f>
        <v>#VALUE!</v>
      </c>
      <c r="AV401" t="e">
        <f>AND('STERLING CATALOG - FZN &amp; CHILL'!I3640,"AAAAAD7rDS8=")</f>
        <v>#VALUE!</v>
      </c>
      <c r="AW401" t="e">
        <f>AND('STERLING CATALOG - FZN &amp; CHILL'!J3640,"AAAAAD7rDTA=")</f>
        <v>#VALUE!</v>
      </c>
      <c r="AX401">
        <f>IF('STERLING CATALOG - FZN &amp; CHILL'!3641:3641,"AAAAAD7rDTE=",0)</f>
        <v>0</v>
      </c>
      <c r="AY401" t="e">
        <f>AND('STERLING CATALOG - FZN &amp; CHILL'!A3641,"AAAAAD7rDTI=")</f>
        <v>#VALUE!</v>
      </c>
      <c r="AZ401" t="e">
        <f>AND('STERLING CATALOG - FZN &amp; CHILL'!B3641,"AAAAAD7rDTM=")</f>
        <v>#VALUE!</v>
      </c>
      <c r="BA401" t="e">
        <f>AND('STERLING CATALOG - FZN &amp; CHILL'!C3641,"AAAAAD7rDTQ=")</f>
        <v>#VALUE!</v>
      </c>
      <c r="BB401" t="e">
        <f>AND('STERLING CATALOG - FZN &amp; CHILL'!D3641,"AAAAAD7rDTU=")</f>
        <v>#VALUE!</v>
      </c>
      <c r="BC401" t="e">
        <f>AND('STERLING CATALOG - FZN &amp; CHILL'!E3641,"AAAAAD7rDTY=")</f>
        <v>#VALUE!</v>
      </c>
      <c r="BD401" t="e">
        <f>AND('STERLING CATALOG - FZN &amp; CHILL'!F3641,"AAAAAD7rDTc=")</f>
        <v>#VALUE!</v>
      </c>
      <c r="BE401" t="e">
        <f>AND('STERLING CATALOG - FZN &amp; CHILL'!G3641,"AAAAAD7rDTg=")</f>
        <v>#VALUE!</v>
      </c>
      <c r="BF401" t="e">
        <f>AND('STERLING CATALOG - FZN &amp; CHILL'!H3641,"AAAAAD7rDTk=")</f>
        <v>#VALUE!</v>
      </c>
      <c r="BG401" t="e">
        <f>AND('STERLING CATALOG - FZN &amp; CHILL'!I3641,"AAAAAD7rDTo=")</f>
        <v>#VALUE!</v>
      </c>
      <c r="BH401" t="e">
        <f>AND('STERLING CATALOG - FZN &amp; CHILL'!J3641,"AAAAAD7rDTs=")</f>
        <v>#VALUE!</v>
      </c>
      <c r="BI401">
        <f>IF('STERLING CATALOG - FZN &amp; CHILL'!3642:3642,"AAAAAD7rDTw=",0)</f>
        <v>0</v>
      </c>
      <c r="BJ401" t="e">
        <f>AND('STERLING CATALOG - FZN &amp; CHILL'!A3642,"AAAAAD7rDT0=")</f>
        <v>#VALUE!</v>
      </c>
      <c r="BK401" t="e">
        <f>AND('STERLING CATALOG - FZN &amp; CHILL'!B3642,"AAAAAD7rDT4=")</f>
        <v>#VALUE!</v>
      </c>
      <c r="BL401" t="e">
        <f>AND('STERLING CATALOG - FZN &amp; CHILL'!C3642,"AAAAAD7rDT8=")</f>
        <v>#VALUE!</v>
      </c>
      <c r="BM401" t="e">
        <f>AND('STERLING CATALOG - FZN &amp; CHILL'!D3642,"AAAAAD7rDUA=")</f>
        <v>#VALUE!</v>
      </c>
      <c r="BN401" t="e">
        <f>AND('STERLING CATALOG - FZN &amp; CHILL'!E3642,"AAAAAD7rDUE=")</f>
        <v>#VALUE!</v>
      </c>
      <c r="BO401" t="e">
        <f>AND('STERLING CATALOG - FZN &amp; CHILL'!F3642,"AAAAAD7rDUI=")</f>
        <v>#VALUE!</v>
      </c>
      <c r="BP401" t="e">
        <f>AND('STERLING CATALOG - FZN &amp; CHILL'!G3642,"AAAAAD7rDUM=")</f>
        <v>#VALUE!</v>
      </c>
      <c r="BQ401" t="e">
        <f>AND('STERLING CATALOG - FZN &amp; CHILL'!H3642,"AAAAAD7rDUQ=")</f>
        <v>#VALUE!</v>
      </c>
      <c r="BR401" t="e">
        <f>AND('STERLING CATALOG - FZN &amp; CHILL'!I3642,"AAAAAD7rDUU=")</f>
        <v>#VALUE!</v>
      </c>
      <c r="BS401" t="e">
        <f>AND('STERLING CATALOG - FZN &amp; CHILL'!J3642,"AAAAAD7rDUY=")</f>
        <v>#VALUE!</v>
      </c>
      <c r="BT401">
        <f>IF('STERLING CATALOG - FZN &amp; CHILL'!3643:3643,"AAAAAD7rDUc=",0)</f>
        <v>0</v>
      </c>
      <c r="BU401" t="e">
        <f>AND('STERLING CATALOG - FZN &amp; CHILL'!A3643,"AAAAAD7rDUg=")</f>
        <v>#VALUE!</v>
      </c>
      <c r="BV401" t="e">
        <f>AND('STERLING CATALOG - FZN &amp; CHILL'!B3643,"AAAAAD7rDUk=")</f>
        <v>#VALUE!</v>
      </c>
      <c r="BW401" t="e">
        <f>AND('STERLING CATALOG - FZN &amp; CHILL'!C3643,"AAAAAD7rDUo=")</f>
        <v>#VALUE!</v>
      </c>
      <c r="BX401" t="e">
        <f>AND('STERLING CATALOG - FZN &amp; CHILL'!D3643,"AAAAAD7rDUs=")</f>
        <v>#VALUE!</v>
      </c>
      <c r="BY401" t="e">
        <f>AND('STERLING CATALOG - FZN &amp; CHILL'!E3643,"AAAAAD7rDUw=")</f>
        <v>#VALUE!</v>
      </c>
      <c r="BZ401" t="e">
        <f>AND('STERLING CATALOG - FZN &amp; CHILL'!F3643,"AAAAAD7rDU0=")</f>
        <v>#VALUE!</v>
      </c>
      <c r="CA401" t="e">
        <f>AND('STERLING CATALOG - FZN &amp; CHILL'!G3643,"AAAAAD7rDU4=")</f>
        <v>#VALUE!</v>
      </c>
      <c r="CB401" t="e">
        <f>AND('STERLING CATALOG - FZN &amp; CHILL'!H3643,"AAAAAD7rDU8=")</f>
        <v>#VALUE!</v>
      </c>
      <c r="CC401" t="e">
        <f>AND('STERLING CATALOG - FZN &amp; CHILL'!I3643,"AAAAAD7rDVA=")</f>
        <v>#VALUE!</v>
      </c>
      <c r="CD401" t="e">
        <f>AND('STERLING CATALOG - FZN &amp; CHILL'!J3643,"AAAAAD7rDVE=")</f>
        <v>#VALUE!</v>
      </c>
      <c r="CE401">
        <f>IF('STERLING CATALOG - FZN &amp; CHILL'!3644:3644,"AAAAAD7rDVI=",0)</f>
        <v>0</v>
      </c>
      <c r="CF401" t="e">
        <f>AND('STERLING CATALOG - FZN &amp; CHILL'!A3644,"AAAAAD7rDVM=")</f>
        <v>#VALUE!</v>
      </c>
      <c r="CG401" t="e">
        <f>AND('STERLING CATALOG - FZN &amp; CHILL'!B3644,"AAAAAD7rDVQ=")</f>
        <v>#VALUE!</v>
      </c>
      <c r="CH401" t="e">
        <f>AND('STERLING CATALOG - FZN &amp; CHILL'!C3644,"AAAAAD7rDVU=")</f>
        <v>#VALUE!</v>
      </c>
      <c r="CI401" t="e">
        <f>AND('STERLING CATALOG - FZN &amp; CHILL'!D3644,"AAAAAD7rDVY=")</f>
        <v>#VALUE!</v>
      </c>
      <c r="CJ401" t="e">
        <f>AND('STERLING CATALOG - FZN &amp; CHILL'!E3644,"AAAAAD7rDVc=")</f>
        <v>#VALUE!</v>
      </c>
      <c r="CK401" t="e">
        <f>AND('STERLING CATALOG - FZN &amp; CHILL'!F3644,"AAAAAD7rDVg=")</f>
        <v>#VALUE!</v>
      </c>
      <c r="CL401" t="e">
        <f>AND('STERLING CATALOG - FZN &amp; CHILL'!G3644,"AAAAAD7rDVk=")</f>
        <v>#VALUE!</v>
      </c>
      <c r="CM401" t="e">
        <f>AND('STERLING CATALOG - FZN &amp; CHILL'!H3644,"AAAAAD7rDVo=")</f>
        <v>#VALUE!</v>
      </c>
      <c r="CN401" t="e">
        <f>AND('STERLING CATALOG - FZN &amp; CHILL'!I3644,"AAAAAD7rDVs=")</f>
        <v>#VALUE!</v>
      </c>
      <c r="CO401" t="e">
        <f>AND('STERLING CATALOG - FZN &amp; CHILL'!J3644,"AAAAAD7rDVw=")</f>
        <v>#VALUE!</v>
      </c>
      <c r="CP401">
        <f>IF('STERLING CATALOG - FZN &amp; CHILL'!3645:3645,"AAAAAD7rDV0=",0)</f>
        <v>0</v>
      </c>
      <c r="CQ401" t="e">
        <f>AND('STERLING CATALOG - FZN &amp; CHILL'!A3645,"AAAAAD7rDV4=")</f>
        <v>#VALUE!</v>
      </c>
      <c r="CR401" t="e">
        <f>AND('STERLING CATALOG - FZN &amp; CHILL'!B3645,"AAAAAD7rDV8=")</f>
        <v>#VALUE!</v>
      </c>
      <c r="CS401" t="e">
        <f>AND('STERLING CATALOG - FZN &amp; CHILL'!C3645,"AAAAAD7rDWA=")</f>
        <v>#VALUE!</v>
      </c>
      <c r="CT401" t="e">
        <f>AND('STERLING CATALOG - FZN &amp; CHILL'!D3645,"AAAAAD7rDWE=")</f>
        <v>#VALUE!</v>
      </c>
      <c r="CU401" t="e">
        <f>AND('STERLING CATALOG - FZN &amp; CHILL'!E3645,"AAAAAD7rDWI=")</f>
        <v>#VALUE!</v>
      </c>
      <c r="CV401" t="e">
        <f>AND('STERLING CATALOG - FZN &amp; CHILL'!F3645,"AAAAAD7rDWM=")</f>
        <v>#VALUE!</v>
      </c>
      <c r="CW401" t="e">
        <f>AND('STERLING CATALOG - FZN &amp; CHILL'!G3645,"AAAAAD7rDWQ=")</f>
        <v>#VALUE!</v>
      </c>
      <c r="CX401" t="e">
        <f>AND('STERLING CATALOG - FZN &amp; CHILL'!H3645,"AAAAAD7rDWU=")</f>
        <v>#VALUE!</v>
      </c>
      <c r="CY401" t="e">
        <f>AND('STERLING CATALOG - FZN &amp; CHILL'!I3645,"AAAAAD7rDWY=")</f>
        <v>#VALUE!</v>
      </c>
      <c r="CZ401" t="e">
        <f>AND('STERLING CATALOG - FZN &amp; CHILL'!J3645,"AAAAAD7rDWc=")</f>
        <v>#VALUE!</v>
      </c>
      <c r="DA401">
        <f>IF('STERLING CATALOG - FZN &amp; CHILL'!3646:3646,"AAAAAD7rDWg=",0)</f>
        <v>0</v>
      </c>
      <c r="DB401" t="e">
        <f>AND('STERLING CATALOG - FZN &amp; CHILL'!A3646,"AAAAAD7rDWk=")</f>
        <v>#VALUE!</v>
      </c>
      <c r="DC401" t="e">
        <f>AND('STERLING CATALOG - FZN &amp; CHILL'!B3646,"AAAAAD7rDWo=")</f>
        <v>#VALUE!</v>
      </c>
      <c r="DD401" t="e">
        <f>AND('STERLING CATALOG - FZN &amp; CHILL'!C3646,"AAAAAD7rDWs=")</f>
        <v>#VALUE!</v>
      </c>
      <c r="DE401" t="e">
        <f>AND('STERLING CATALOG - FZN &amp; CHILL'!D3646,"AAAAAD7rDWw=")</f>
        <v>#VALUE!</v>
      </c>
      <c r="DF401" t="e">
        <f>AND('STERLING CATALOG - FZN &amp; CHILL'!E3646,"AAAAAD7rDW0=")</f>
        <v>#VALUE!</v>
      </c>
      <c r="DG401" t="e">
        <f>AND('STERLING CATALOG - FZN &amp; CHILL'!F3646,"AAAAAD7rDW4=")</f>
        <v>#VALUE!</v>
      </c>
      <c r="DH401" t="e">
        <f>AND('STERLING CATALOG - FZN &amp; CHILL'!G3646,"AAAAAD7rDW8=")</f>
        <v>#VALUE!</v>
      </c>
      <c r="DI401" t="e">
        <f>AND('STERLING CATALOG - FZN &amp; CHILL'!H3646,"AAAAAD7rDXA=")</f>
        <v>#VALUE!</v>
      </c>
      <c r="DJ401" t="e">
        <f>AND('STERLING CATALOG - FZN &amp; CHILL'!I3646,"AAAAAD7rDXE=")</f>
        <v>#VALUE!</v>
      </c>
      <c r="DK401" t="e">
        <f>AND('STERLING CATALOG - FZN &amp; CHILL'!J3646,"AAAAAD7rDXI=")</f>
        <v>#VALUE!</v>
      </c>
      <c r="DL401">
        <f>IF('STERLING CATALOG - FZN &amp; CHILL'!3647:3647,"AAAAAD7rDXM=",0)</f>
        <v>0</v>
      </c>
      <c r="DM401" t="e">
        <f>AND('STERLING CATALOG - FZN &amp; CHILL'!A3647,"AAAAAD7rDXQ=")</f>
        <v>#VALUE!</v>
      </c>
      <c r="DN401" t="e">
        <f>AND('STERLING CATALOG - FZN &amp; CHILL'!B3647,"AAAAAD7rDXU=")</f>
        <v>#VALUE!</v>
      </c>
      <c r="DO401" t="e">
        <f>AND('STERLING CATALOG - FZN &amp; CHILL'!C3647,"AAAAAD7rDXY=")</f>
        <v>#VALUE!</v>
      </c>
      <c r="DP401" t="e">
        <f>AND('STERLING CATALOG - FZN &amp; CHILL'!D3647,"AAAAAD7rDXc=")</f>
        <v>#VALUE!</v>
      </c>
      <c r="DQ401" t="e">
        <f>AND('STERLING CATALOG - FZN &amp; CHILL'!E3647,"AAAAAD7rDXg=")</f>
        <v>#VALUE!</v>
      </c>
      <c r="DR401" t="e">
        <f>AND('STERLING CATALOG - FZN &amp; CHILL'!F3647,"AAAAAD7rDXk=")</f>
        <v>#VALUE!</v>
      </c>
      <c r="DS401" t="e">
        <f>AND('STERLING CATALOG - FZN &amp; CHILL'!G3647,"AAAAAD7rDXo=")</f>
        <v>#VALUE!</v>
      </c>
      <c r="DT401" t="e">
        <f>AND('STERLING CATALOG - FZN &amp; CHILL'!H3647,"AAAAAD7rDXs=")</f>
        <v>#VALUE!</v>
      </c>
      <c r="DU401" t="e">
        <f>AND('STERLING CATALOG - FZN &amp; CHILL'!I3647,"AAAAAD7rDXw=")</f>
        <v>#VALUE!</v>
      </c>
      <c r="DV401" t="e">
        <f>AND('STERLING CATALOG - FZN &amp; CHILL'!J3647,"AAAAAD7rDX0=")</f>
        <v>#VALUE!</v>
      </c>
      <c r="DW401">
        <f>IF('STERLING CATALOG - FZN &amp; CHILL'!3648:3648,"AAAAAD7rDX4=",0)</f>
        <v>0</v>
      </c>
      <c r="DX401" t="e">
        <f>AND('STERLING CATALOG - FZN &amp; CHILL'!A3648,"AAAAAD7rDX8=")</f>
        <v>#VALUE!</v>
      </c>
      <c r="DY401" t="e">
        <f>AND('STERLING CATALOG - FZN &amp; CHILL'!B3648,"AAAAAD7rDYA=")</f>
        <v>#VALUE!</v>
      </c>
      <c r="DZ401" t="e">
        <f>AND('STERLING CATALOG - FZN &amp; CHILL'!C3648,"AAAAAD7rDYE=")</f>
        <v>#VALUE!</v>
      </c>
      <c r="EA401" t="e">
        <f>AND('STERLING CATALOG - FZN &amp; CHILL'!D3648,"AAAAAD7rDYI=")</f>
        <v>#VALUE!</v>
      </c>
      <c r="EB401" t="e">
        <f>AND('STERLING CATALOG - FZN &amp; CHILL'!E3648,"AAAAAD7rDYM=")</f>
        <v>#VALUE!</v>
      </c>
      <c r="EC401" t="e">
        <f>AND('STERLING CATALOG - FZN &amp; CHILL'!F3648,"AAAAAD7rDYQ=")</f>
        <v>#VALUE!</v>
      </c>
      <c r="ED401" t="e">
        <f>AND('STERLING CATALOG - FZN &amp; CHILL'!G3648,"AAAAAD7rDYU=")</f>
        <v>#VALUE!</v>
      </c>
      <c r="EE401" t="e">
        <f>AND('STERLING CATALOG - FZN &amp; CHILL'!H3648,"AAAAAD7rDYY=")</f>
        <v>#VALUE!</v>
      </c>
      <c r="EF401" t="e">
        <f>AND('STERLING CATALOG - FZN &amp; CHILL'!I3648,"AAAAAD7rDYc=")</f>
        <v>#VALUE!</v>
      </c>
      <c r="EG401" t="e">
        <f>AND('STERLING CATALOG - FZN &amp; CHILL'!J3648,"AAAAAD7rDYg=")</f>
        <v>#VALUE!</v>
      </c>
      <c r="EH401">
        <f>IF('STERLING CATALOG - FZN &amp; CHILL'!3649:3649,"AAAAAD7rDYk=",0)</f>
        <v>0</v>
      </c>
      <c r="EI401" t="e">
        <f>AND('STERLING CATALOG - FZN &amp; CHILL'!A3649,"AAAAAD7rDYo=")</f>
        <v>#VALUE!</v>
      </c>
      <c r="EJ401" t="e">
        <f>AND('STERLING CATALOG - FZN &amp; CHILL'!B3649,"AAAAAD7rDYs=")</f>
        <v>#VALUE!</v>
      </c>
      <c r="EK401" t="e">
        <f>AND('STERLING CATALOG - FZN &amp; CHILL'!C3649,"AAAAAD7rDYw=")</f>
        <v>#VALUE!</v>
      </c>
      <c r="EL401" t="e">
        <f>AND('STERLING CATALOG - FZN &amp; CHILL'!D3649,"AAAAAD7rDY0=")</f>
        <v>#VALUE!</v>
      </c>
      <c r="EM401" t="e">
        <f>AND('STERLING CATALOG - FZN &amp; CHILL'!E3649,"AAAAAD7rDY4=")</f>
        <v>#VALUE!</v>
      </c>
      <c r="EN401" t="e">
        <f>AND('STERLING CATALOG - FZN &amp; CHILL'!F3649,"AAAAAD7rDY8=")</f>
        <v>#VALUE!</v>
      </c>
      <c r="EO401" t="e">
        <f>AND('STERLING CATALOG - FZN &amp; CHILL'!G3649,"AAAAAD7rDZA=")</f>
        <v>#VALUE!</v>
      </c>
      <c r="EP401" t="e">
        <f>AND('STERLING CATALOG - FZN &amp; CHILL'!H3649,"AAAAAD7rDZE=")</f>
        <v>#VALUE!</v>
      </c>
      <c r="EQ401" t="e">
        <f>AND('STERLING CATALOG - FZN &amp; CHILL'!I3649,"AAAAAD7rDZI=")</f>
        <v>#VALUE!</v>
      </c>
      <c r="ER401" t="e">
        <f>AND('STERLING CATALOG - FZN &amp; CHILL'!J3649,"AAAAAD7rDZM=")</f>
        <v>#VALUE!</v>
      </c>
      <c r="ES401">
        <f>IF('STERLING CATALOG - FZN &amp; CHILL'!3650:3650,"AAAAAD7rDZQ=",0)</f>
        <v>0</v>
      </c>
      <c r="ET401" t="e">
        <f>AND('STERLING CATALOG - FZN &amp; CHILL'!A3650,"AAAAAD7rDZU=")</f>
        <v>#VALUE!</v>
      </c>
      <c r="EU401" t="e">
        <f>AND('STERLING CATALOG - FZN &amp; CHILL'!B3650,"AAAAAD7rDZY=")</f>
        <v>#VALUE!</v>
      </c>
      <c r="EV401" t="e">
        <f>AND('STERLING CATALOG - FZN &amp; CHILL'!C3650,"AAAAAD7rDZc=")</f>
        <v>#VALUE!</v>
      </c>
      <c r="EW401" t="e">
        <f>AND('STERLING CATALOG - FZN &amp; CHILL'!D3650,"AAAAAD7rDZg=")</f>
        <v>#VALUE!</v>
      </c>
      <c r="EX401" t="e">
        <f>AND('STERLING CATALOG - FZN &amp; CHILL'!E3650,"AAAAAD7rDZk=")</f>
        <v>#VALUE!</v>
      </c>
      <c r="EY401" t="e">
        <f>AND('STERLING CATALOG - FZN &amp; CHILL'!F3650,"AAAAAD7rDZo=")</f>
        <v>#VALUE!</v>
      </c>
      <c r="EZ401" t="e">
        <f>AND('STERLING CATALOG - FZN &amp; CHILL'!G3650,"AAAAAD7rDZs=")</f>
        <v>#VALUE!</v>
      </c>
      <c r="FA401" t="e">
        <f>AND('STERLING CATALOG - FZN &amp; CHILL'!H3650,"AAAAAD7rDZw=")</f>
        <v>#VALUE!</v>
      </c>
      <c r="FB401" t="e">
        <f>AND('STERLING CATALOG - FZN &amp; CHILL'!I3650,"AAAAAD7rDZ0=")</f>
        <v>#VALUE!</v>
      </c>
      <c r="FC401" t="e">
        <f>AND('STERLING CATALOG - FZN &amp; CHILL'!J3650,"AAAAAD7rDZ4=")</f>
        <v>#VALUE!</v>
      </c>
      <c r="FD401">
        <f>IF('STERLING CATALOG - FZN &amp; CHILL'!3651:3651,"AAAAAD7rDZ8=",0)</f>
        <v>0</v>
      </c>
      <c r="FE401" t="e">
        <f>AND('STERLING CATALOG - FZN &amp; CHILL'!A3651,"AAAAAD7rDaA=")</f>
        <v>#VALUE!</v>
      </c>
      <c r="FF401" t="e">
        <f>AND('STERLING CATALOG - FZN &amp; CHILL'!B3651,"AAAAAD7rDaE=")</f>
        <v>#VALUE!</v>
      </c>
      <c r="FG401" t="e">
        <f>AND('STERLING CATALOG - FZN &amp; CHILL'!C3651,"AAAAAD7rDaI=")</f>
        <v>#VALUE!</v>
      </c>
      <c r="FH401" t="e">
        <f>AND('STERLING CATALOG - FZN &amp; CHILL'!D3651,"AAAAAD7rDaM=")</f>
        <v>#VALUE!</v>
      </c>
      <c r="FI401" t="e">
        <f>AND('STERLING CATALOG - FZN &amp; CHILL'!E3651,"AAAAAD7rDaQ=")</f>
        <v>#VALUE!</v>
      </c>
      <c r="FJ401" t="e">
        <f>AND('STERLING CATALOG - FZN &amp; CHILL'!F3651,"AAAAAD7rDaU=")</f>
        <v>#VALUE!</v>
      </c>
      <c r="FK401" t="e">
        <f>AND('STERLING CATALOG - FZN &amp; CHILL'!G3651,"AAAAAD7rDaY=")</f>
        <v>#VALUE!</v>
      </c>
      <c r="FL401" t="e">
        <f>AND('STERLING CATALOG - FZN &amp; CHILL'!H3651,"AAAAAD7rDac=")</f>
        <v>#VALUE!</v>
      </c>
      <c r="FM401" t="e">
        <f>AND('STERLING CATALOG - FZN &amp; CHILL'!I3651,"AAAAAD7rDag=")</f>
        <v>#VALUE!</v>
      </c>
      <c r="FN401" t="e">
        <f>AND('STERLING CATALOG - FZN &amp; CHILL'!J3651,"AAAAAD7rDak=")</f>
        <v>#VALUE!</v>
      </c>
      <c r="FO401">
        <f>IF('STERLING CATALOG - FZN &amp; CHILL'!3652:3652,"AAAAAD7rDao=",0)</f>
        <v>0</v>
      </c>
      <c r="FP401" t="e">
        <f>AND('STERLING CATALOG - FZN &amp; CHILL'!A3652,"AAAAAD7rDas=")</f>
        <v>#VALUE!</v>
      </c>
      <c r="FQ401" t="e">
        <f>AND('STERLING CATALOG - FZN &amp; CHILL'!B3652,"AAAAAD7rDaw=")</f>
        <v>#VALUE!</v>
      </c>
      <c r="FR401" t="e">
        <f>AND('STERLING CATALOG - FZN &amp; CHILL'!C3652,"AAAAAD7rDa0=")</f>
        <v>#VALUE!</v>
      </c>
      <c r="FS401" t="e">
        <f>AND('STERLING CATALOG - FZN &amp; CHILL'!D3652,"AAAAAD7rDa4=")</f>
        <v>#VALUE!</v>
      </c>
      <c r="FT401" t="e">
        <f>AND('STERLING CATALOG - FZN &amp; CHILL'!E3652,"AAAAAD7rDa8=")</f>
        <v>#VALUE!</v>
      </c>
      <c r="FU401" t="e">
        <f>AND('STERLING CATALOG - FZN &amp; CHILL'!F3652,"AAAAAD7rDbA=")</f>
        <v>#VALUE!</v>
      </c>
      <c r="FV401" t="e">
        <f>AND('STERLING CATALOG - FZN &amp; CHILL'!G3652,"AAAAAD7rDbE=")</f>
        <v>#VALUE!</v>
      </c>
      <c r="FW401" t="e">
        <f>AND('STERLING CATALOG - FZN &amp; CHILL'!H3652,"AAAAAD7rDbI=")</f>
        <v>#VALUE!</v>
      </c>
      <c r="FX401" t="e">
        <f>AND('STERLING CATALOG - FZN &amp; CHILL'!I3652,"AAAAAD7rDbM=")</f>
        <v>#VALUE!</v>
      </c>
      <c r="FY401" t="e">
        <f>AND('STERLING CATALOG - FZN &amp; CHILL'!J3652,"AAAAAD7rDbQ=")</f>
        <v>#VALUE!</v>
      </c>
      <c r="FZ401">
        <f>IF('STERLING CATALOG - FZN &amp; CHILL'!3653:3653,"AAAAAD7rDbU=",0)</f>
        <v>0</v>
      </c>
      <c r="GA401" t="e">
        <f>AND('STERLING CATALOG - FZN &amp; CHILL'!A3653,"AAAAAD7rDbY=")</f>
        <v>#VALUE!</v>
      </c>
      <c r="GB401" t="e">
        <f>AND('STERLING CATALOG - FZN &amp; CHILL'!B3653,"AAAAAD7rDbc=")</f>
        <v>#VALUE!</v>
      </c>
      <c r="GC401" t="e">
        <f>AND('STERLING CATALOG - FZN &amp; CHILL'!C3653,"AAAAAD7rDbg=")</f>
        <v>#VALUE!</v>
      </c>
      <c r="GD401" t="e">
        <f>AND('STERLING CATALOG - FZN &amp; CHILL'!D3653,"AAAAAD7rDbk=")</f>
        <v>#VALUE!</v>
      </c>
      <c r="GE401" t="e">
        <f>AND('STERLING CATALOG - FZN &amp; CHILL'!E3653,"AAAAAD7rDbo=")</f>
        <v>#VALUE!</v>
      </c>
      <c r="GF401" t="e">
        <f>AND('STERLING CATALOG - FZN &amp; CHILL'!F3653,"AAAAAD7rDbs=")</f>
        <v>#VALUE!</v>
      </c>
      <c r="GG401" t="e">
        <f>AND('STERLING CATALOG - FZN &amp; CHILL'!G3653,"AAAAAD7rDbw=")</f>
        <v>#VALUE!</v>
      </c>
      <c r="GH401" t="e">
        <f>AND('STERLING CATALOG - FZN &amp; CHILL'!H3653,"AAAAAD7rDb0=")</f>
        <v>#VALUE!</v>
      </c>
      <c r="GI401" t="e">
        <f>AND('STERLING CATALOG - FZN &amp; CHILL'!I3653,"AAAAAD7rDb4=")</f>
        <v>#VALUE!</v>
      </c>
      <c r="GJ401" t="e">
        <f>AND('STERLING CATALOG - FZN &amp; CHILL'!J3653,"AAAAAD7rDb8=")</f>
        <v>#VALUE!</v>
      </c>
      <c r="GK401">
        <f>IF('STERLING CATALOG - FZN &amp; CHILL'!3654:3654,"AAAAAD7rDcA=",0)</f>
        <v>0</v>
      </c>
      <c r="GL401" t="e">
        <f>AND('STERLING CATALOG - FZN &amp; CHILL'!A3654,"AAAAAD7rDcE=")</f>
        <v>#VALUE!</v>
      </c>
      <c r="GM401" t="e">
        <f>AND('STERLING CATALOG - FZN &amp; CHILL'!B3654,"AAAAAD7rDcI=")</f>
        <v>#VALUE!</v>
      </c>
      <c r="GN401" t="e">
        <f>AND('STERLING CATALOG - FZN &amp; CHILL'!C3654,"AAAAAD7rDcM=")</f>
        <v>#VALUE!</v>
      </c>
      <c r="GO401" t="e">
        <f>AND('STERLING CATALOG - FZN &amp; CHILL'!D3654,"AAAAAD7rDcQ=")</f>
        <v>#VALUE!</v>
      </c>
      <c r="GP401" t="e">
        <f>AND('STERLING CATALOG - FZN &amp; CHILL'!E3654,"AAAAAD7rDcU=")</f>
        <v>#VALUE!</v>
      </c>
      <c r="GQ401" t="e">
        <f>AND('STERLING CATALOG - FZN &amp; CHILL'!F3654,"AAAAAD7rDcY=")</f>
        <v>#VALUE!</v>
      </c>
      <c r="GR401" t="e">
        <f>AND('STERLING CATALOG - FZN &amp; CHILL'!G3654,"AAAAAD7rDcc=")</f>
        <v>#VALUE!</v>
      </c>
      <c r="GS401" t="e">
        <f>AND('STERLING CATALOG - FZN &amp; CHILL'!H3654,"AAAAAD7rDcg=")</f>
        <v>#VALUE!</v>
      </c>
      <c r="GT401" t="e">
        <f>AND('STERLING CATALOG - FZN &amp; CHILL'!I3654,"AAAAAD7rDck=")</f>
        <v>#VALUE!</v>
      </c>
      <c r="GU401" t="e">
        <f>AND('STERLING CATALOG - FZN &amp; CHILL'!J3654,"AAAAAD7rDco=")</f>
        <v>#VALUE!</v>
      </c>
      <c r="GV401">
        <f>IF('STERLING CATALOG - FZN &amp; CHILL'!3655:3655,"AAAAAD7rDcs=",0)</f>
        <v>0</v>
      </c>
      <c r="GW401" t="e">
        <f>AND('STERLING CATALOG - FZN &amp; CHILL'!A3655,"AAAAAD7rDcw=")</f>
        <v>#VALUE!</v>
      </c>
      <c r="GX401" t="e">
        <f>AND('STERLING CATALOG - FZN &amp; CHILL'!B3655,"AAAAAD7rDc0=")</f>
        <v>#VALUE!</v>
      </c>
      <c r="GY401" t="e">
        <f>AND('STERLING CATALOG - FZN &amp; CHILL'!C3655,"AAAAAD7rDc4=")</f>
        <v>#VALUE!</v>
      </c>
      <c r="GZ401" t="e">
        <f>AND('STERLING CATALOG - FZN &amp; CHILL'!D3655,"AAAAAD7rDc8=")</f>
        <v>#VALUE!</v>
      </c>
      <c r="HA401" t="e">
        <f>AND('STERLING CATALOG - FZN &amp; CHILL'!E3655,"AAAAAD7rDdA=")</f>
        <v>#VALUE!</v>
      </c>
      <c r="HB401" t="e">
        <f>AND('STERLING CATALOG - FZN &amp; CHILL'!F3655,"AAAAAD7rDdE=")</f>
        <v>#VALUE!</v>
      </c>
      <c r="HC401" t="e">
        <f>AND('STERLING CATALOG - FZN &amp; CHILL'!G3655,"AAAAAD7rDdI=")</f>
        <v>#VALUE!</v>
      </c>
      <c r="HD401" t="e">
        <f>AND('STERLING CATALOG - FZN &amp; CHILL'!H3655,"AAAAAD7rDdM=")</f>
        <v>#VALUE!</v>
      </c>
      <c r="HE401" t="e">
        <f>AND('STERLING CATALOG - FZN &amp; CHILL'!I3655,"AAAAAD7rDdQ=")</f>
        <v>#VALUE!</v>
      </c>
      <c r="HF401" t="e">
        <f>AND('STERLING CATALOG - FZN &amp; CHILL'!J3655,"AAAAAD7rDdU=")</f>
        <v>#VALUE!</v>
      </c>
      <c r="HG401">
        <f>IF('STERLING CATALOG - FZN &amp; CHILL'!3656:3656,"AAAAAD7rDdY=",0)</f>
        <v>0</v>
      </c>
      <c r="HH401" t="e">
        <f>AND('STERLING CATALOG - FZN &amp; CHILL'!A3656,"AAAAAD7rDdc=")</f>
        <v>#VALUE!</v>
      </c>
      <c r="HI401" t="e">
        <f>AND('STERLING CATALOG - FZN &amp; CHILL'!B3656,"AAAAAD7rDdg=")</f>
        <v>#VALUE!</v>
      </c>
      <c r="HJ401" t="e">
        <f>AND('STERLING CATALOG - FZN &amp; CHILL'!C3656,"AAAAAD7rDdk=")</f>
        <v>#VALUE!</v>
      </c>
      <c r="HK401" t="e">
        <f>AND('STERLING CATALOG - FZN &amp; CHILL'!D3656,"AAAAAD7rDdo=")</f>
        <v>#VALUE!</v>
      </c>
      <c r="HL401" t="e">
        <f>AND('STERLING CATALOG - FZN &amp; CHILL'!E3656,"AAAAAD7rDds=")</f>
        <v>#VALUE!</v>
      </c>
      <c r="HM401" t="e">
        <f>AND('STERLING CATALOG - FZN &amp; CHILL'!F3656,"AAAAAD7rDdw=")</f>
        <v>#VALUE!</v>
      </c>
      <c r="HN401" t="e">
        <f>AND('STERLING CATALOG - FZN &amp; CHILL'!G3656,"AAAAAD7rDd0=")</f>
        <v>#VALUE!</v>
      </c>
      <c r="HO401" t="e">
        <f>AND('STERLING CATALOG - FZN &amp; CHILL'!H3656,"AAAAAD7rDd4=")</f>
        <v>#VALUE!</v>
      </c>
      <c r="HP401" t="e">
        <f>AND('STERLING CATALOG - FZN &amp; CHILL'!I3656,"AAAAAD7rDd8=")</f>
        <v>#VALUE!</v>
      </c>
      <c r="HQ401" t="e">
        <f>AND('STERLING CATALOG - FZN &amp; CHILL'!J3656,"AAAAAD7rDeA=")</f>
        <v>#VALUE!</v>
      </c>
      <c r="HR401">
        <f>IF('STERLING CATALOG - FZN &amp; CHILL'!3657:3657,"AAAAAD7rDeE=",0)</f>
        <v>0</v>
      </c>
      <c r="HS401" t="e">
        <f>AND('STERLING CATALOG - FZN &amp; CHILL'!A3657,"AAAAAD7rDeI=")</f>
        <v>#VALUE!</v>
      </c>
      <c r="HT401" t="e">
        <f>AND('STERLING CATALOG - FZN &amp; CHILL'!B3657,"AAAAAD7rDeM=")</f>
        <v>#VALUE!</v>
      </c>
      <c r="HU401" t="e">
        <f>AND('STERLING CATALOG - FZN &amp; CHILL'!C3657,"AAAAAD7rDeQ=")</f>
        <v>#VALUE!</v>
      </c>
      <c r="HV401" t="e">
        <f>AND('STERLING CATALOG - FZN &amp; CHILL'!D3657,"AAAAAD7rDeU=")</f>
        <v>#VALUE!</v>
      </c>
      <c r="HW401" t="e">
        <f>AND('STERLING CATALOG - FZN &amp; CHILL'!E3657,"AAAAAD7rDeY=")</f>
        <v>#VALUE!</v>
      </c>
      <c r="HX401" t="e">
        <f>AND('STERLING CATALOG - FZN &amp; CHILL'!F3657,"AAAAAD7rDec=")</f>
        <v>#VALUE!</v>
      </c>
      <c r="HY401" t="e">
        <f>AND('STERLING CATALOG - FZN &amp; CHILL'!G3657,"AAAAAD7rDeg=")</f>
        <v>#VALUE!</v>
      </c>
      <c r="HZ401" t="e">
        <f>AND('STERLING CATALOG - FZN &amp; CHILL'!H3657,"AAAAAD7rDek=")</f>
        <v>#VALUE!</v>
      </c>
      <c r="IA401" t="e">
        <f>AND('STERLING CATALOG - FZN &amp; CHILL'!I3657,"AAAAAD7rDeo=")</f>
        <v>#VALUE!</v>
      </c>
      <c r="IB401" t="e">
        <f>AND('STERLING CATALOG - FZN &amp; CHILL'!J3657,"AAAAAD7rDes=")</f>
        <v>#VALUE!</v>
      </c>
      <c r="IC401">
        <f>IF('STERLING CATALOG - FZN &amp; CHILL'!3658:3658,"AAAAAD7rDew=",0)</f>
        <v>0</v>
      </c>
      <c r="ID401" t="e">
        <f>AND('STERLING CATALOG - FZN &amp; CHILL'!A3658,"AAAAAD7rDe0=")</f>
        <v>#VALUE!</v>
      </c>
      <c r="IE401" t="e">
        <f>AND('STERLING CATALOG - FZN &amp; CHILL'!B3658,"AAAAAD7rDe4=")</f>
        <v>#VALUE!</v>
      </c>
      <c r="IF401" t="e">
        <f>AND('STERLING CATALOG - FZN &amp; CHILL'!C3658,"AAAAAD7rDe8=")</f>
        <v>#VALUE!</v>
      </c>
      <c r="IG401" t="e">
        <f>AND('STERLING CATALOG - FZN &amp; CHILL'!D3658,"AAAAAD7rDfA=")</f>
        <v>#VALUE!</v>
      </c>
      <c r="IH401" t="e">
        <f>AND('STERLING CATALOG - FZN &amp; CHILL'!E3658,"AAAAAD7rDfE=")</f>
        <v>#VALUE!</v>
      </c>
      <c r="II401" t="e">
        <f>AND('STERLING CATALOG - FZN &amp; CHILL'!F3658,"AAAAAD7rDfI=")</f>
        <v>#VALUE!</v>
      </c>
      <c r="IJ401" t="e">
        <f>AND('STERLING CATALOG - FZN &amp; CHILL'!G3658,"AAAAAD7rDfM=")</f>
        <v>#VALUE!</v>
      </c>
      <c r="IK401" t="e">
        <f>AND('STERLING CATALOG - FZN &amp; CHILL'!H3658,"AAAAAD7rDfQ=")</f>
        <v>#VALUE!</v>
      </c>
      <c r="IL401" t="e">
        <f>AND('STERLING CATALOG - FZN &amp; CHILL'!I3658,"AAAAAD7rDfU=")</f>
        <v>#VALUE!</v>
      </c>
      <c r="IM401" t="e">
        <f>AND('STERLING CATALOG - FZN &amp; CHILL'!J3658,"AAAAAD7rDfY=")</f>
        <v>#VALUE!</v>
      </c>
      <c r="IN401">
        <f>IF('STERLING CATALOG - FZN &amp; CHILL'!3659:3659,"AAAAAD7rDfc=",0)</f>
        <v>0</v>
      </c>
      <c r="IO401" t="e">
        <f>AND('STERLING CATALOG - FZN &amp; CHILL'!A3659,"AAAAAD7rDfg=")</f>
        <v>#VALUE!</v>
      </c>
      <c r="IP401" t="e">
        <f>AND('STERLING CATALOG - FZN &amp; CHILL'!B3659,"AAAAAD7rDfk=")</f>
        <v>#VALUE!</v>
      </c>
      <c r="IQ401" t="e">
        <f>AND('STERLING CATALOG - FZN &amp; CHILL'!C3659,"AAAAAD7rDfo=")</f>
        <v>#VALUE!</v>
      </c>
      <c r="IR401" t="e">
        <f>AND('STERLING CATALOG - FZN &amp; CHILL'!D3659,"AAAAAD7rDfs=")</f>
        <v>#VALUE!</v>
      </c>
      <c r="IS401" t="e">
        <f>AND('STERLING CATALOG - FZN &amp; CHILL'!E3659,"AAAAAD7rDfw=")</f>
        <v>#VALUE!</v>
      </c>
      <c r="IT401" t="e">
        <f>AND('STERLING CATALOG - FZN &amp; CHILL'!F3659,"AAAAAD7rDf0=")</f>
        <v>#VALUE!</v>
      </c>
      <c r="IU401" t="e">
        <f>AND('STERLING CATALOG - FZN &amp; CHILL'!G3659,"AAAAAD7rDf4=")</f>
        <v>#VALUE!</v>
      </c>
      <c r="IV401" t="e">
        <f>AND('STERLING CATALOG - FZN &amp; CHILL'!H3659,"AAAAAD7rDf8=")</f>
        <v>#VALUE!</v>
      </c>
    </row>
    <row r="402" spans="1:256">
      <c r="A402" t="e">
        <f>AND('STERLING CATALOG - FZN &amp; CHILL'!I3659,"AAAAAFPd+wA=")</f>
        <v>#VALUE!</v>
      </c>
      <c r="B402" t="e">
        <f>AND('STERLING CATALOG - FZN &amp; CHILL'!J3659,"AAAAAFPd+wE=")</f>
        <v>#VALUE!</v>
      </c>
      <c r="C402" t="str">
        <f>IF('STERLING CATALOG - FZN &amp; CHILL'!3660:3660,"AAAAAFPd+wI=",0)</f>
        <v>AAAAAFPd+wI=</v>
      </c>
      <c r="D402" t="e">
        <f>AND('STERLING CATALOG - FZN &amp; CHILL'!A3660,"AAAAAFPd+wM=")</f>
        <v>#VALUE!</v>
      </c>
      <c r="E402" t="e">
        <f>AND('STERLING CATALOG - FZN &amp; CHILL'!B3660,"AAAAAFPd+wQ=")</f>
        <v>#VALUE!</v>
      </c>
      <c r="F402" t="e">
        <f>AND('STERLING CATALOG - FZN &amp; CHILL'!C3660,"AAAAAFPd+wU=")</f>
        <v>#VALUE!</v>
      </c>
      <c r="G402" t="e">
        <f>AND('STERLING CATALOG - FZN &amp; CHILL'!D3660,"AAAAAFPd+wY=")</f>
        <v>#VALUE!</v>
      </c>
      <c r="H402" t="e">
        <f>AND('STERLING CATALOG - FZN &amp; CHILL'!E3660,"AAAAAFPd+wc=")</f>
        <v>#VALUE!</v>
      </c>
      <c r="I402" t="e">
        <f>AND('STERLING CATALOG - FZN &amp; CHILL'!F3660,"AAAAAFPd+wg=")</f>
        <v>#VALUE!</v>
      </c>
      <c r="J402" t="e">
        <f>AND('STERLING CATALOG - FZN &amp; CHILL'!G3660,"AAAAAFPd+wk=")</f>
        <v>#VALUE!</v>
      </c>
      <c r="K402" t="e">
        <f>AND('STERLING CATALOG - FZN &amp; CHILL'!H3660,"AAAAAFPd+wo=")</f>
        <v>#VALUE!</v>
      </c>
      <c r="L402" t="e">
        <f>AND('STERLING CATALOG - FZN &amp; CHILL'!I3660,"AAAAAFPd+ws=")</f>
        <v>#VALUE!</v>
      </c>
      <c r="M402" t="e">
        <f>AND('STERLING CATALOG - FZN &amp; CHILL'!J3660,"AAAAAFPd+ww=")</f>
        <v>#VALUE!</v>
      </c>
      <c r="N402">
        <f>IF('STERLING CATALOG - FZN &amp; CHILL'!3661:3661,"AAAAAFPd+w0=",0)</f>
        <v>0</v>
      </c>
      <c r="O402" t="e">
        <f>AND('STERLING CATALOG - FZN &amp; CHILL'!A3661,"AAAAAFPd+w4=")</f>
        <v>#VALUE!</v>
      </c>
      <c r="P402" t="e">
        <f>AND('STERLING CATALOG - FZN &amp; CHILL'!B3661,"AAAAAFPd+w8=")</f>
        <v>#VALUE!</v>
      </c>
      <c r="Q402" t="e">
        <f>AND('STERLING CATALOG - FZN &amp; CHILL'!C3661,"AAAAAFPd+xA=")</f>
        <v>#VALUE!</v>
      </c>
      <c r="R402" t="e">
        <f>AND('STERLING CATALOG - FZN &amp; CHILL'!D3661,"AAAAAFPd+xE=")</f>
        <v>#VALUE!</v>
      </c>
      <c r="S402" t="e">
        <f>AND('STERLING CATALOG - FZN &amp; CHILL'!E3661,"AAAAAFPd+xI=")</f>
        <v>#VALUE!</v>
      </c>
      <c r="T402" t="e">
        <f>AND('STERLING CATALOG - FZN &amp; CHILL'!F3661,"AAAAAFPd+xM=")</f>
        <v>#VALUE!</v>
      </c>
      <c r="U402" t="e">
        <f>AND('STERLING CATALOG - FZN &amp; CHILL'!G3661,"AAAAAFPd+xQ=")</f>
        <v>#VALUE!</v>
      </c>
      <c r="V402" t="e">
        <f>AND('STERLING CATALOG - FZN &amp; CHILL'!H3661,"AAAAAFPd+xU=")</f>
        <v>#VALUE!</v>
      </c>
      <c r="W402" t="e">
        <f>AND('STERLING CATALOG - FZN &amp; CHILL'!I3661,"AAAAAFPd+xY=")</f>
        <v>#VALUE!</v>
      </c>
      <c r="X402" t="e">
        <f>AND('STERLING CATALOG - FZN &amp; CHILL'!J3661,"AAAAAFPd+xc=")</f>
        <v>#VALUE!</v>
      </c>
      <c r="Y402">
        <f>IF('STERLING CATALOG - FZN &amp; CHILL'!3662:3662,"AAAAAFPd+xg=",0)</f>
        <v>0</v>
      </c>
      <c r="Z402" t="e">
        <f>AND('STERLING CATALOG - FZN &amp; CHILL'!A3662,"AAAAAFPd+xk=")</f>
        <v>#VALUE!</v>
      </c>
      <c r="AA402" t="e">
        <f>AND('STERLING CATALOG - FZN &amp; CHILL'!B3662,"AAAAAFPd+xo=")</f>
        <v>#VALUE!</v>
      </c>
      <c r="AB402" t="e">
        <f>AND('STERLING CATALOG - FZN &amp; CHILL'!C3662,"AAAAAFPd+xs=")</f>
        <v>#VALUE!</v>
      </c>
      <c r="AC402" t="e">
        <f>AND('STERLING CATALOG - FZN &amp; CHILL'!D3662,"AAAAAFPd+xw=")</f>
        <v>#VALUE!</v>
      </c>
      <c r="AD402" t="e">
        <f>AND('STERLING CATALOG - FZN &amp; CHILL'!E3662,"AAAAAFPd+x0=")</f>
        <v>#VALUE!</v>
      </c>
      <c r="AE402" t="e">
        <f>AND('STERLING CATALOG - FZN &amp; CHILL'!F3662,"AAAAAFPd+x4=")</f>
        <v>#VALUE!</v>
      </c>
      <c r="AF402" t="e">
        <f>AND('STERLING CATALOG - FZN &amp; CHILL'!G3662,"AAAAAFPd+x8=")</f>
        <v>#VALUE!</v>
      </c>
      <c r="AG402" t="e">
        <f>AND('STERLING CATALOG - FZN &amp; CHILL'!H3662,"AAAAAFPd+yA=")</f>
        <v>#VALUE!</v>
      </c>
      <c r="AH402" t="e">
        <f>AND('STERLING CATALOG - FZN &amp; CHILL'!I3662,"AAAAAFPd+yE=")</f>
        <v>#VALUE!</v>
      </c>
      <c r="AI402" t="e">
        <f>AND('STERLING CATALOG - FZN &amp; CHILL'!J3662,"AAAAAFPd+yI=")</f>
        <v>#VALUE!</v>
      </c>
      <c r="AJ402">
        <f>IF('STERLING CATALOG - FZN &amp; CHILL'!3663:3663,"AAAAAFPd+yM=",0)</f>
        <v>0</v>
      </c>
      <c r="AK402" t="e">
        <f>AND('STERLING CATALOG - FZN &amp; CHILL'!A3663,"AAAAAFPd+yQ=")</f>
        <v>#VALUE!</v>
      </c>
      <c r="AL402" t="e">
        <f>AND('STERLING CATALOG - FZN &amp; CHILL'!B3663,"AAAAAFPd+yU=")</f>
        <v>#VALUE!</v>
      </c>
      <c r="AM402" t="e">
        <f>AND('STERLING CATALOG - FZN &amp; CHILL'!C3663,"AAAAAFPd+yY=")</f>
        <v>#VALUE!</v>
      </c>
      <c r="AN402" t="e">
        <f>AND('STERLING CATALOG - FZN &amp; CHILL'!D3663,"AAAAAFPd+yc=")</f>
        <v>#VALUE!</v>
      </c>
      <c r="AO402" t="e">
        <f>AND('STERLING CATALOG - FZN &amp; CHILL'!E3663,"AAAAAFPd+yg=")</f>
        <v>#VALUE!</v>
      </c>
      <c r="AP402" t="e">
        <f>AND('STERLING CATALOG - FZN &amp; CHILL'!F3663,"AAAAAFPd+yk=")</f>
        <v>#VALUE!</v>
      </c>
      <c r="AQ402" t="e">
        <f>AND('STERLING CATALOG - FZN &amp; CHILL'!G3663,"AAAAAFPd+yo=")</f>
        <v>#VALUE!</v>
      </c>
      <c r="AR402" t="e">
        <f>AND('STERLING CATALOG - FZN &amp; CHILL'!H3663,"AAAAAFPd+ys=")</f>
        <v>#VALUE!</v>
      </c>
      <c r="AS402" t="e">
        <f>AND('STERLING CATALOG - FZN &amp; CHILL'!I3663,"AAAAAFPd+yw=")</f>
        <v>#VALUE!</v>
      </c>
      <c r="AT402" t="e">
        <f>AND('STERLING CATALOG - FZN &amp; CHILL'!J3663,"AAAAAFPd+y0=")</f>
        <v>#VALUE!</v>
      </c>
      <c r="AU402">
        <f>IF('STERLING CATALOG - FZN &amp; CHILL'!3664:3664,"AAAAAFPd+y4=",0)</f>
        <v>0</v>
      </c>
      <c r="AV402" t="e">
        <f>AND('STERLING CATALOG - FZN &amp; CHILL'!A3664,"AAAAAFPd+y8=")</f>
        <v>#VALUE!</v>
      </c>
      <c r="AW402" t="e">
        <f>AND('STERLING CATALOG - FZN &amp; CHILL'!B3664,"AAAAAFPd+zA=")</f>
        <v>#VALUE!</v>
      </c>
      <c r="AX402" t="e">
        <f>AND('STERLING CATALOG - FZN &amp; CHILL'!C3664,"AAAAAFPd+zE=")</f>
        <v>#VALUE!</v>
      </c>
      <c r="AY402" t="e">
        <f>AND('STERLING CATALOG - FZN &amp; CHILL'!D3664,"AAAAAFPd+zI=")</f>
        <v>#VALUE!</v>
      </c>
      <c r="AZ402" t="e">
        <f>AND('STERLING CATALOG - FZN &amp; CHILL'!E3664,"AAAAAFPd+zM=")</f>
        <v>#VALUE!</v>
      </c>
      <c r="BA402" t="e">
        <f>AND('STERLING CATALOG - FZN &amp; CHILL'!F3664,"AAAAAFPd+zQ=")</f>
        <v>#VALUE!</v>
      </c>
      <c r="BB402" t="e">
        <f>AND('STERLING CATALOG - FZN &amp; CHILL'!G3664,"AAAAAFPd+zU=")</f>
        <v>#VALUE!</v>
      </c>
      <c r="BC402" t="e">
        <f>AND('STERLING CATALOG - FZN &amp; CHILL'!H3664,"AAAAAFPd+zY=")</f>
        <v>#VALUE!</v>
      </c>
      <c r="BD402" t="e">
        <f>AND('STERLING CATALOG - FZN &amp; CHILL'!I3664,"AAAAAFPd+zc=")</f>
        <v>#VALUE!</v>
      </c>
      <c r="BE402" t="e">
        <f>AND('STERLING CATALOG - FZN &amp; CHILL'!J3664,"AAAAAFPd+zg=")</f>
        <v>#VALUE!</v>
      </c>
      <c r="BF402">
        <f>IF('STERLING CATALOG - FZN &amp; CHILL'!3665:3665,"AAAAAFPd+zk=",0)</f>
        <v>0</v>
      </c>
      <c r="BG402" t="e">
        <f>AND('STERLING CATALOG - FZN &amp; CHILL'!A3665,"AAAAAFPd+zo=")</f>
        <v>#VALUE!</v>
      </c>
      <c r="BH402" t="e">
        <f>AND('STERLING CATALOG - FZN &amp; CHILL'!B3665,"AAAAAFPd+zs=")</f>
        <v>#VALUE!</v>
      </c>
      <c r="BI402" t="e">
        <f>AND('STERLING CATALOG - FZN &amp; CHILL'!C3665,"AAAAAFPd+zw=")</f>
        <v>#VALUE!</v>
      </c>
      <c r="BJ402" t="e">
        <f>AND('STERLING CATALOG - FZN &amp; CHILL'!D3665,"AAAAAFPd+z0=")</f>
        <v>#VALUE!</v>
      </c>
      <c r="BK402" t="e">
        <f>AND('STERLING CATALOG - FZN &amp; CHILL'!E3665,"AAAAAFPd+z4=")</f>
        <v>#VALUE!</v>
      </c>
      <c r="BL402" t="e">
        <f>AND('STERLING CATALOG - FZN &amp; CHILL'!F3665,"AAAAAFPd+z8=")</f>
        <v>#VALUE!</v>
      </c>
      <c r="BM402" t="e">
        <f>AND('STERLING CATALOG - FZN &amp; CHILL'!G3665,"AAAAAFPd+0A=")</f>
        <v>#VALUE!</v>
      </c>
      <c r="BN402" t="e">
        <f>AND('STERLING CATALOG - FZN &amp; CHILL'!H3665,"AAAAAFPd+0E=")</f>
        <v>#VALUE!</v>
      </c>
      <c r="BO402" t="e">
        <f>AND('STERLING CATALOG - FZN &amp; CHILL'!I3665,"AAAAAFPd+0I=")</f>
        <v>#VALUE!</v>
      </c>
      <c r="BP402" t="e">
        <f>AND('STERLING CATALOG - FZN &amp; CHILL'!J3665,"AAAAAFPd+0M=")</f>
        <v>#VALUE!</v>
      </c>
      <c r="BQ402">
        <f>IF('STERLING CATALOG - FZN &amp; CHILL'!3666:3666,"AAAAAFPd+0Q=",0)</f>
        <v>0</v>
      </c>
      <c r="BR402" t="e">
        <f>AND('STERLING CATALOG - FZN &amp; CHILL'!A3666,"AAAAAFPd+0U=")</f>
        <v>#VALUE!</v>
      </c>
      <c r="BS402" t="e">
        <f>AND('STERLING CATALOG - FZN &amp; CHILL'!B3666,"AAAAAFPd+0Y=")</f>
        <v>#VALUE!</v>
      </c>
      <c r="BT402" t="e">
        <f>AND('STERLING CATALOG - FZN &amp; CHILL'!C3666,"AAAAAFPd+0c=")</f>
        <v>#VALUE!</v>
      </c>
      <c r="BU402" t="e">
        <f>AND('STERLING CATALOG - FZN &amp; CHILL'!D3666,"AAAAAFPd+0g=")</f>
        <v>#VALUE!</v>
      </c>
      <c r="BV402" t="e">
        <f>AND('STERLING CATALOG - FZN &amp; CHILL'!E3666,"AAAAAFPd+0k=")</f>
        <v>#VALUE!</v>
      </c>
      <c r="BW402" t="e">
        <f>AND('STERLING CATALOG - FZN &amp; CHILL'!F3666,"AAAAAFPd+0o=")</f>
        <v>#VALUE!</v>
      </c>
      <c r="BX402" t="e">
        <f>AND('STERLING CATALOG - FZN &amp; CHILL'!G3666,"AAAAAFPd+0s=")</f>
        <v>#VALUE!</v>
      </c>
      <c r="BY402" t="e">
        <f>AND('STERLING CATALOG - FZN &amp; CHILL'!H3666,"AAAAAFPd+0w=")</f>
        <v>#VALUE!</v>
      </c>
      <c r="BZ402" t="e">
        <f>AND('STERLING CATALOG - FZN &amp; CHILL'!I3666,"AAAAAFPd+00=")</f>
        <v>#VALUE!</v>
      </c>
      <c r="CA402" t="e">
        <f>AND('STERLING CATALOG - FZN &amp; CHILL'!J3666,"AAAAAFPd+04=")</f>
        <v>#VALUE!</v>
      </c>
      <c r="CB402">
        <f>IF('STERLING CATALOG - FZN &amp; CHILL'!3667:3667,"AAAAAFPd+08=",0)</f>
        <v>0</v>
      </c>
      <c r="CC402" t="e">
        <f>AND('STERLING CATALOG - FZN &amp; CHILL'!A3667,"AAAAAFPd+1A=")</f>
        <v>#VALUE!</v>
      </c>
      <c r="CD402" t="e">
        <f>AND('STERLING CATALOG - FZN &amp; CHILL'!B3667,"AAAAAFPd+1E=")</f>
        <v>#VALUE!</v>
      </c>
      <c r="CE402" t="e">
        <f>AND('STERLING CATALOG - FZN &amp; CHILL'!C3667,"AAAAAFPd+1I=")</f>
        <v>#VALUE!</v>
      </c>
      <c r="CF402" t="e">
        <f>AND('STERLING CATALOG - FZN &amp; CHILL'!D3667,"AAAAAFPd+1M=")</f>
        <v>#VALUE!</v>
      </c>
      <c r="CG402" t="e">
        <f>AND('STERLING CATALOG - FZN &amp; CHILL'!E3667,"AAAAAFPd+1Q=")</f>
        <v>#VALUE!</v>
      </c>
      <c r="CH402" t="e">
        <f>AND('STERLING CATALOG - FZN &amp; CHILL'!F3667,"AAAAAFPd+1U=")</f>
        <v>#VALUE!</v>
      </c>
      <c r="CI402" t="e">
        <f>AND('STERLING CATALOG - FZN &amp; CHILL'!G3667,"AAAAAFPd+1Y=")</f>
        <v>#VALUE!</v>
      </c>
      <c r="CJ402" t="e">
        <f>AND('STERLING CATALOG - FZN &amp; CHILL'!H3667,"AAAAAFPd+1c=")</f>
        <v>#VALUE!</v>
      </c>
      <c r="CK402" t="e">
        <f>AND('STERLING CATALOG - FZN &amp; CHILL'!I3667,"AAAAAFPd+1g=")</f>
        <v>#VALUE!</v>
      </c>
      <c r="CL402" t="e">
        <f>AND('STERLING CATALOG - FZN &amp; CHILL'!J3667,"AAAAAFPd+1k=")</f>
        <v>#VALUE!</v>
      </c>
      <c r="CM402">
        <f>IF('STERLING CATALOG - FZN &amp; CHILL'!3668:3668,"AAAAAFPd+1o=",0)</f>
        <v>0</v>
      </c>
      <c r="CN402" t="e">
        <f>AND('STERLING CATALOG - FZN &amp; CHILL'!A3668,"AAAAAFPd+1s=")</f>
        <v>#VALUE!</v>
      </c>
      <c r="CO402" t="e">
        <f>AND('STERLING CATALOG - FZN &amp; CHILL'!B3668,"AAAAAFPd+1w=")</f>
        <v>#VALUE!</v>
      </c>
      <c r="CP402" t="e">
        <f>AND('STERLING CATALOG - FZN &amp; CHILL'!C3668,"AAAAAFPd+10=")</f>
        <v>#VALUE!</v>
      </c>
      <c r="CQ402" t="e">
        <f>AND('STERLING CATALOG - FZN &amp; CHILL'!D3668,"AAAAAFPd+14=")</f>
        <v>#VALUE!</v>
      </c>
      <c r="CR402" t="e">
        <f>AND('STERLING CATALOG - FZN &amp; CHILL'!E3668,"AAAAAFPd+18=")</f>
        <v>#VALUE!</v>
      </c>
      <c r="CS402" t="e">
        <f>AND('STERLING CATALOG - FZN &amp; CHILL'!F3668,"AAAAAFPd+2A=")</f>
        <v>#VALUE!</v>
      </c>
      <c r="CT402" t="e">
        <f>AND('STERLING CATALOG - FZN &amp; CHILL'!G3668,"AAAAAFPd+2E=")</f>
        <v>#VALUE!</v>
      </c>
      <c r="CU402" t="e">
        <f>AND('STERLING CATALOG - FZN &amp; CHILL'!H3668,"AAAAAFPd+2I=")</f>
        <v>#VALUE!</v>
      </c>
      <c r="CV402" t="e">
        <f>AND('STERLING CATALOG - FZN &amp; CHILL'!I3668,"AAAAAFPd+2M=")</f>
        <v>#VALUE!</v>
      </c>
      <c r="CW402" t="e">
        <f>AND('STERLING CATALOG - FZN &amp; CHILL'!J3668,"AAAAAFPd+2Q=")</f>
        <v>#VALUE!</v>
      </c>
      <c r="CX402">
        <f>IF('STERLING CATALOG - FZN &amp; CHILL'!3669:3669,"AAAAAFPd+2U=",0)</f>
        <v>0</v>
      </c>
      <c r="CY402" t="e">
        <f>AND('STERLING CATALOG - FZN &amp; CHILL'!A3669,"AAAAAFPd+2Y=")</f>
        <v>#VALUE!</v>
      </c>
      <c r="CZ402" t="e">
        <f>AND('STERLING CATALOG - FZN &amp; CHILL'!B3669,"AAAAAFPd+2c=")</f>
        <v>#VALUE!</v>
      </c>
      <c r="DA402" t="e">
        <f>AND('STERLING CATALOG - FZN &amp; CHILL'!C3669,"AAAAAFPd+2g=")</f>
        <v>#VALUE!</v>
      </c>
      <c r="DB402" t="e">
        <f>AND('STERLING CATALOG - FZN &amp; CHILL'!D3669,"AAAAAFPd+2k=")</f>
        <v>#VALUE!</v>
      </c>
      <c r="DC402" t="e">
        <f>AND('STERLING CATALOG - FZN &amp; CHILL'!E3669,"AAAAAFPd+2o=")</f>
        <v>#VALUE!</v>
      </c>
      <c r="DD402" t="e">
        <f>AND('STERLING CATALOG - FZN &amp; CHILL'!F3669,"AAAAAFPd+2s=")</f>
        <v>#VALUE!</v>
      </c>
      <c r="DE402" t="e">
        <f>AND('STERLING CATALOG - FZN &amp; CHILL'!G3669,"AAAAAFPd+2w=")</f>
        <v>#VALUE!</v>
      </c>
      <c r="DF402" t="e">
        <f>AND('STERLING CATALOG - FZN &amp; CHILL'!H3669,"AAAAAFPd+20=")</f>
        <v>#VALUE!</v>
      </c>
      <c r="DG402" t="e">
        <f>AND('STERLING CATALOG - FZN &amp; CHILL'!I3669,"AAAAAFPd+24=")</f>
        <v>#VALUE!</v>
      </c>
      <c r="DH402" t="e">
        <f>AND('STERLING CATALOG - FZN &amp; CHILL'!J3669,"AAAAAFPd+28=")</f>
        <v>#VALUE!</v>
      </c>
      <c r="DI402">
        <f>IF('STERLING CATALOG - FZN &amp; CHILL'!3670:3670,"AAAAAFPd+3A=",0)</f>
        <v>0</v>
      </c>
      <c r="DJ402" t="e">
        <f>AND('STERLING CATALOG - FZN &amp; CHILL'!A3670,"AAAAAFPd+3E=")</f>
        <v>#VALUE!</v>
      </c>
      <c r="DK402" t="e">
        <f>AND('STERLING CATALOG - FZN &amp; CHILL'!B3670,"AAAAAFPd+3I=")</f>
        <v>#VALUE!</v>
      </c>
      <c r="DL402" t="e">
        <f>AND('STERLING CATALOG - FZN &amp; CHILL'!C3670,"AAAAAFPd+3M=")</f>
        <v>#VALUE!</v>
      </c>
      <c r="DM402" t="e">
        <f>AND('STERLING CATALOG - FZN &amp; CHILL'!D3670,"AAAAAFPd+3Q=")</f>
        <v>#VALUE!</v>
      </c>
      <c r="DN402" t="e">
        <f>AND('STERLING CATALOG - FZN &amp; CHILL'!E3670,"AAAAAFPd+3U=")</f>
        <v>#VALUE!</v>
      </c>
      <c r="DO402" t="e">
        <f>AND('STERLING CATALOG - FZN &amp; CHILL'!F3670,"AAAAAFPd+3Y=")</f>
        <v>#VALUE!</v>
      </c>
      <c r="DP402" t="e">
        <f>AND('STERLING CATALOG - FZN &amp; CHILL'!G3670,"AAAAAFPd+3c=")</f>
        <v>#VALUE!</v>
      </c>
      <c r="DQ402" t="e">
        <f>AND('STERLING CATALOG - FZN &amp; CHILL'!H3670,"AAAAAFPd+3g=")</f>
        <v>#VALUE!</v>
      </c>
      <c r="DR402" t="e">
        <f>AND('STERLING CATALOG - FZN &amp; CHILL'!I3670,"AAAAAFPd+3k=")</f>
        <v>#VALUE!</v>
      </c>
      <c r="DS402" t="e">
        <f>AND('STERLING CATALOG - FZN &amp; CHILL'!J3670,"AAAAAFPd+3o=")</f>
        <v>#VALUE!</v>
      </c>
      <c r="DT402">
        <f>IF('STERLING CATALOG - FZN &amp; CHILL'!3671:3671,"AAAAAFPd+3s=",0)</f>
        <v>0</v>
      </c>
      <c r="DU402" t="e">
        <f>AND('STERLING CATALOG - FZN &amp; CHILL'!A3671,"AAAAAFPd+3w=")</f>
        <v>#VALUE!</v>
      </c>
      <c r="DV402" t="e">
        <f>AND('STERLING CATALOG - FZN &amp; CHILL'!B3671,"AAAAAFPd+30=")</f>
        <v>#VALUE!</v>
      </c>
      <c r="DW402" t="e">
        <f>AND('STERLING CATALOG - FZN &amp; CHILL'!C3671,"AAAAAFPd+34=")</f>
        <v>#VALUE!</v>
      </c>
      <c r="DX402" t="e">
        <f>AND('STERLING CATALOG - FZN &amp; CHILL'!D3671,"AAAAAFPd+38=")</f>
        <v>#VALUE!</v>
      </c>
      <c r="DY402" t="e">
        <f>AND('STERLING CATALOG - FZN &amp; CHILL'!E3671,"AAAAAFPd+4A=")</f>
        <v>#VALUE!</v>
      </c>
      <c r="DZ402" t="e">
        <f>AND('STERLING CATALOG - FZN &amp; CHILL'!F3671,"AAAAAFPd+4E=")</f>
        <v>#VALUE!</v>
      </c>
      <c r="EA402" t="e">
        <f>AND('STERLING CATALOG - FZN &amp; CHILL'!G3671,"AAAAAFPd+4I=")</f>
        <v>#VALUE!</v>
      </c>
      <c r="EB402" t="e">
        <f>AND('STERLING CATALOG - FZN &amp; CHILL'!H3671,"AAAAAFPd+4M=")</f>
        <v>#VALUE!</v>
      </c>
      <c r="EC402" t="e">
        <f>AND('STERLING CATALOG - FZN &amp; CHILL'!I3671,"AAAAAFPd+4Q=")</f>
        <v>#VALUE!</v>
      </c>
      <c r="ED402" t="e">
        <f>AND('STERLING CATALOG - FZN &amp; CHILL'!J3671,"AAAAAFPd+4U=")</f>
        <v>#VALUE!</v>
      </c>
      <c r="EE402">
        <f>IF('STERLING CATALOG - FZN &amp; CHILL'!3672:3672,"AAAAAFPd+4Y=",0)</f>
        <v>0</v>
      </c>
      <c r="EF402" t="e">
        <f>AND('STERLING CATALOG - FZN &amp; CHILL'!A3672,"AAAAAFPd+4c=")</f>
        <v>#VALUE!</v>
      </c>
      <c r="EG402" t="e">
        <f>AND('STERLING CATALOG - FZN &amp; CHILL'!B3672,"AAAAAFPd+4g=")</f>
        <v>#VALUE!</v>
      </c>
      <c r="EH402" t="e">
        <f>AND('STERLING CATALOG - FZN &amp; CHILL'!C3672,"AAAAAFPd+4k=")</f>
        <v>#VALUE!</v>
      </c>
      <c r="EI402" t="e">
        <f>AND('STERLING CATALOG - FZN &amp; CHILL'!D3672,"AAAAAFPd+4o=")</f>
        <v>#VALUE!</v>
      </c>
      <c r="EJ402" t="e">
        <f>AND('STERLING CATALOG - FZN &amp; CHILL'!E3672,"AAAAAFPd+4s=")</f>
        <v>#VALUE!</v>
      </c>
      <c r="EK402" t="e">
        <f>AND('STERLING CATALOG - FZN &amp; CHILL'!F3672,"AAAAAFPd+4w=")</f>
        <v>#VALUE!</v>
      </c>
      <c r="EL402" t="e">
        <f>AND('STERLING CATALOG - FZN &amp; CHILL'!G3672,"AAAAAFPd+40=")</f>
        <v>#VALUE!</v>
      </c>
      <c r="EM402" t="e">
        <f>AND('STERLING CATALOG - FZN &amp; CHILL'!H3672,"AAAAAFPd+44=")</f>
        <v>#VALUE!</v>
      </c>
      <c r="EN402" t="e">
        <f>AND('STERLING CATALOG - FZN &amp; CHILL'!I3672,"AAAAAFPd+48=")</f>
        <v>#VALUE!</v>
      </c>
      <c r="EO402" t="e">
        <f>AND('STERLING CATALOG - FZN &amp; CHILL'!J3672,"AAAAAFPd+5A=")</f>
        <v>#VALUE!</v>
      </c>
      <c r="EP402">
        <f>IF('STERLING CATALOG - FZN &amp; CHILL'!3673:3673,"AAAAAFPd+5E=",0)</f>
        <v>0</v>
      </c>
      <c r="EQ402" t="e">
        <f>AND('STERLING CATALOG - FZN &amp; CHILL'!A3673,"AAAAAFPd+5I=")</f>
        <v>#VALUE!</v>
      </c>
      <c r="ER402" t="e">
        <f>AND('STERLING CATALOG - FZN &amp; CHILL'!B3673,"AAAAAFPd+5M=")</f>
        <v>#VALUE!</v>
      </c>
      <c r="ES402" t="e">
        <f>AND('STERLING CATALOG - FZN &amp; CHILL'!C3673,"AAAAAFPd+5Q=")</f>
        <v>#VALUE!</v>
      </c>
      <c r="ET402" t="e">
        <f>AND('STERLING CATALOG - FZN &amp; CHILL'!D3673,"AAAAAFPd+5U=")</f>
        <v>#VALUE!</v>
      </c>
      <c r="EU402" t="e">
        <f>AND('STERLING CATALOG - FZN &amp; CHILL'!E3673,"AAAAAFPd+5Y=")</f>
        <v>#VALUE!</v>
      </c>
      <c r="EV402" t="e">
        <f>AND('STERLING CATALOG - FZN &amp; CHILL'!F3673,"AAAAAFPd+5c=")</f>
        <v>#VALUE!</v>
      </c>
      <c r="EW402" t="e">
        <f>AND('STERLING CATALOG - FZN &amp; CHILL'!G3673,"AAAAAFPd+5g=")</f>
        <v>#VALUE!</v>
      </c>
      <c r="EX402" t="e">
        <f>AND('STERLING CATALOG - FZN &amp; CHILL'!H3673,"AAAAAFPd+5k=")</f>
        <v>#VALUE!</v>
      </c>
      <c r="EY402" t="e">
        <f>AND('STERLING CATALOG - FZN &amp; CHILL'!I3673,"AAAAAFPd+5o=")</f>
        <v>#VALUE!</v>
      </c>
      <c r="EZ402" t="e">
        <f>AND('STERLING CATALOG - FZN &amp; CHILL'!J3673,"AAAAAFPd+5s=")</f>
        <v>#VALUE!</v>
      </c>
      <c r="FA402">
        <f>IF('STERLING CATALOG - FZN &amp; CHILL'!3674:3674,"AAAAAFPd+5w=",0)</f>
        <v>0</v>
      </c>
      <c r="FB402" t="e">
        <f>AND('STERLING CATALOG - FZN &amp; CHILL'!A3674,"AAAAAFPd+50=")</f>
        <v>#VALUE!</v>
      </c>
      <c r="FC402" t="e">
        <f>AND('STERLING CATALOG - FZN &amp; CHILL'!B3674,"AAAAAFPd+54=")</f>
        <v>#VALUE!</v>
      </c>
      <c r="FD402" t="e">
        <f>AND('STERLING CATALOG - FZN &amp; CHILL'!C3674,"AAAAAFPd+58=")</f>
        <v>#VALUE!</v>
      </c>
      <c r="FE402" t="e">
        <f>AND('STERLING CATALOG - FZN &amp; CHILL'!D3674,"AAAAAFPd+6A=")</f>
        <v>#VALUE!</v>
      </c>
      <c r="FF402" t="e">
        <f>AND('STERLING CATALOG - FZN &amp; CHILL'!E3674,"AAAAAFPd+6E=")</f>
        <v>#VALUE!</v>
      </c>
      <c r="FG402" t="e">
        <f>AND('STERLING CATALOG - FZN &amp; CHILL'!F3674,"AAAAAFPd+6I=")</f>
        <v>#VALUE!</v>
      </c>
      <c r="FH402" t="e">
        <f>AND('STERLING CATALOG - FZN &amp; CHILL'!G3674,"AAAAAFPd+6M=")</f>
        <v>#VALUE!</v>
      </c>
      <c r="FI402" t="e">
        <f>AND('STERLING CATALOG - FZN &amp; CHILL'!H3674,"AAAAAFPd+6Q=")</f>
        <v>#VALUE!</v>
      </c>
      <c r="FJ402" t="e">
        <f>AND('STERLING CATALOG - FZN &amp; CHILL'!I3674,"AAAAAFPd+6U=")</f>
        <v>#VALUE!</v>
      </c>
      <c r="FK402" t="e">
        <f>AND('STERLING CATALOG - FZN &amp; CHILL'!J3674,"AAAAAFPd+6Y=")</f>
        <v>#VALUE!</v>
      </c>
      <c r="FL402">
        <f>IF('STERLING CATALOG - FZN &amp; CHILL'!3675:3675,"AAAAAFPd+6c=",0)</f>
        <v>0</v>
      </c>
      <c r="FM402" t="e">
        <f>AND('STERLING CATALOG - FZN &amp; CHILL'!A3675,"AAAAAFPd+6g=")</f>
        <v>#VALUE!</v>
      </c>
      <c r="FN402" t="e">
        <f>AND('STERLING CATALOG - FZN &amp; CHILL'!B3675,"AAAAAFPd+6k=")</f>
        <v>#VALUE!</v>
      </c>
      <c r="FO402" t="e">
        <f>AND('STERLING CATALOG - FZN &amp; CHILL'!C3675,"AAAAAFPd+6o=")</f>
        <v>#VALUE!</v>
      </c>
      <c r="FP402" t="e">
        <f>AND('STERLING CATALOG - FZN &amp; CHILL'!D3675,"AAAAAFPd+6s=")</f>
        <v>#VALUE!</v>
      </c>
      <c r="FQ402" t="e">
        <f>AND('STERLING CATALOG - FZN &amp; CHILL'!E3675,"AAAAAFPd+6w=")</f>
        <v>#VALUE!</v>
      </c>
      <c r="FR402" t="e">
        <f>AND('STERLING CATALOG - FZN &amp; CHILL'!F3675,"AAAAAFPd+60=")</f>
        <v>#VALUE!</v>
      </c>
      <c r="FS402" t="e">
        <f>AND('STERLING CATALOG - FZN &amp; CHILL'!G3675,"AAAAAFPd+64=")</f>
        <v>#VALUE!</v>
      </c>
      <c r="FT402" t="e">
        <f>AND('STERLING CATALOG - FZN &amp; CHILL'!H3675,"AAAAAFPd+68=")</f>
        <v>#VALUE!</v>
      </c>
      <c r="FU402" t="e">
        <f>AND('STERLING CATALOG - FZN &amp; CHILL'!I3675,"AAAAAFPd+7A=")</f>
        <v>#VALUE!</v>
      </c>
      <c r="FV402" t="e">
        <f>AND('STERLING CATALOG - FZN &amp; CHILL'!J3675,"AAAAAFPd+7E=")</f>
        <v>#VALUE!</v>
      </c>
      <c r="FW402">
        <f>IF('STERLING CATALOG - FZN &amp; CHILL'!3676:3676,"AAAAAFPd+7I=",0)</f>
        <v>0</v>
      </c>
      <c r="FX402" t="e">
        <f>AND('STERLING CATALOG - FZN &amp; CHILL'!A3676,"AAAAAFPd+7M=")</f>
        <v>#VALUE!</v>
      </c>
      <c r="FY402" t="e">
        <f>AND('STERLING CATALOG - FZN &amp; CHILL'!B3676,"AAAAAFPd+7Q=")</f>
        <v>#VALUE!</v>
      </c>
      <c r="FZ402" t="e">
        <f>AND('STERLING CATALOG - FZN &amp; CHILL'!C3676,"AAAAAFPd+7U=")</f>
        <v>#VALUE!</v>
      </c>
      <c r="GA402" t="e">
        <f>AND('STERLING CATALOG - FZN &amp; CHILL'!D3676,"AAAAAFPd+7Y=")</f>
        <v>#VALUE!</v>
      </c>
      <c r="GB402" t="e">
        <f>AND('STERLING CATALOG - FZN &amp; CHILL'!E3676,"AAAAAFPd+7c=")</f>
        <v>#VALUE!</v>
      </c>
      <c r="GC402" t="e">
        <f>AND('STERLING CATALOG - FZN &amp; CHILL'!F3676,"AAAAAFPd+7g=")</f>
        <v>#VALUE!</v>
      </c>
      <c r="GD402" t="e">
        <f>AND('STERLING CATALOG - FZN &amp; CHILL'!G3676,"AAAAAFPd+7k=")</f>
        <v>#VALUE!</v>
      </c>
      <c r="GE402" t="e">
        <f>AND('STERLING CATALOG - FZN &amp; CHILL'!H3676,"AAAAAFPd+7o=")</f>
        <v>#VALUE!</v>
      </c>
      <c r="GF402" t="e">
        <f>AND('STERLING CATALOG - FZN &amp; CHILL'!I3676,"AAAAAFPd+7s=")</f>
        <v>#VALUE!</v>
      </c>
      <c r="GG402" t="e">
        <f>AND('STERLING CATALOG - FZN &amp; CHILL'!J3676,"AAAAAFPd+7w=")</f>
        <v>#VALUE!</v>
      </c>
      <c r="GH402">
        <f>IF('STERLING CATALOG - FZN &amp; CHILL'!3677:3677,"AAAAAFPd+70=",0)</f>
        <v>0</v>
      </c>
      <c r="GI402" t="e">
        <f>AND('STERLING CATALOG - FZN &amp; CHILL'!A3677,"AAAAAFPd+74=")</f>
        <v>#VALUE!</v>
      </c>
      <c r="GJ402" t="e">
        <f>AND('STERLING CATALOG - FZN &amp; CHILL'!B3677,"AAAAAFPd+78=")</f>
        <v>#VALUE!</v>
      </c>
      <c r="GK402" t="e">
        <f>AND('STERLING CATALOG - FZN &amp; CHILL'!C3677,"AAAAAFPd+8A=")</f>
        <v>#VALUE!</v>
      </c>
      <c r="GL402" t="e">
        <f>AND('STERLING CATALOG - FZN &amp; CHILL'!D3677,"AAAAAFPd+8E=")</f>
        <v>#VALUE!</v>
      </c>
      <c r="GM402" t="e">
        <f>AND('STERLING CATALOG - FZN &amp; CHILL'!E3677,"AAAAAFPd+8I=")</f>
        <v>#VALUE!</v>
      </c>
      <c r="GN402" t="e">
        <f>AND('STERLING CATALOG - FZN &amp; CHILL'!F3677,"AAAAAFPd+8M=")</f>
        <v>#VALUE!</v>
      </c>
      <c r="GO402" t="e">
        <f>AND('STERLING CATALOG - FZN &amp; CHILL'!G3677,"AAAAAFPd+8Q=")</f>
        <v>#VALUE!</v>
      </c>
      <c r="GP402" t="e">
        <f>AND('STERLING CATALOG - FZN &amp; CHILL'!H3677,"AAAAAFPd+8U=")</f>
        <v>#VALUE!</v>
      </c>
      <c r="GQ402" t="e">
        <f>AND('STERLING CATALOG - FZN &amp; CHILL'!I3677,"AAAAAFPd+8Y=")</f>
        <v>#VALUE!</v>
      </c>
      <c r="GR402" t="e">
        <f>AND('STERLING CATALOG - FZN &amp; CHILL'!J3677,"AAAAAFPd+8c=")</f>
        <v>#VALUE!</v>
      </c>
      <c r="GS402">
        <f>IF('STERLING CATALOG - FZN &amp; CHILL'!3678:3678,"AAAAAFPd+8g=",0)</f>
        <v>0</v>
      </c>
      <c r="GT402" t="e">
        <f>AND('STERLING CATALOG - FZN &amp; CHILL'!A3678,"AAAAAFPd+8k=")</f>
        <v>#VALUE!</v>
      </c>
      <c r="GU402" t="e">
        <f>AND('STERLING CATALOG - FZN &amp; CHILL'!B3678,"AAAAAFPd+8o=")</f>
        <v>#VALUE!</v>
      </c>
      <c r="GV402" t="e">
        <f>AND('STERLING CATALOG - FZN &amp; CHILL'!C3678,"AAAAAFPd+8s=")</f>
        <v>#VALUE!</v>
      </c>
      <c r="GW402" t="e">
        <f>AND('STERLING CATALOG - FZN &amp; CHILL'!D3678,"AAAAAFPd+8w=")</f>
        <v>#VALUE!</v>
      </c>
      <c r="GX402" t="e">
        <f>AND('STERLING CATALOG - FZN &amp; CHILL'!E3678,"AAAAAFPd+80=")</f>
        <v>#VALUE!</v>
      </c>
      <c r="GY402" t="e">
        <f>AND('STERLING CATALOG - FZN &amp; CHILL'!F3678,"AAAAAFPd+84=")</f>
        <v>#VALUE!</v>
      </c>
      <c r="GZ402" t="e">
        <f>AND('STERLING CATALOG - FZN &amp; CHILL'!G3678,"AAAAAFPd+88=")</f>
        <v>#VALUE!</v>
      </c>
      <c r="HA402" t="e">
        <f>AND('STERLING CATALOG - FZN &amp; CHILL'!H3678,"AAAAAFPd+9A=")</f>
        <v>#VALUE!</v>
      </c>
      <c r="HB402" t="e">
        <f>AND('STERLING CATALOG - FZN &amp; CHILL'!I3678,"AAAAAFPd+9E=")</f>
        <v>#VALUE!</v>
      </c>
      <c r="HC402" t="e">
        <f>AND('STERLING CATALOG - FZN &amp; CHILL'!J3678,"AAAAAFPd+9I=")</f>
        <v>#VALUE!</v>
      </c>
      <c r="HD402">
        <f>IF('STERLING CATALOG - FZN &amp; CHILL'!3679:3679,"AAAAAFPd+9M=",0)</f>
        <v>0</v>
      </c>
      <c r="HE402" t="e">
        <f>AND('STERLING CATALOG - FZN &amp; CHILL'!A3679,"AAAAAFPd+9Q=")</f>
        <v>#VALUE!</v>
      </c>
      <c r="HF402" t="e">
        <f>AND('STERLING CATALOG - FZN &amp; CHILL'!B3679,"AAAAAFPd+9U=")</f>
        <v>#VALUE!</v>
      </c>
      <c r="HG402" t="e">
        <f>AND('STERLING CATALOG - FZN &amp; CHILL'!C3679,"AAAAAFPd+9Y=")</f>
        <v>#VALUE!</v>
      </c>
      <c r="HH402" t="e">
        <f>AND('STERLING CATALOG - FZN &amp; CHILL'!D3679,"AAAAAFPd+9c=")</f>
        <v>#VALUE!</v>
      </c>
      <c r="HI402" t="e">
        <f>AND('STERLING CATALOG - FZN &amp; CHILL'!E3679,"AAAAAFPd+9g=")</f>
        <v>#VALUE!</v>
      </c>
      <c r="HJ402" t="e">
        <f>AND('STERLING CATALOG - FZN &amp; CHILL'!F3679,"AAAAAFPd+9k=")</f>
        <v>#VALUE!</v>
      </c>
      <c r="HK402" t="e">
        <f>AND('STERLING CATALOG - FZN &amp; CHILL'!G3679,"AAAAAFPd+9o=")</f>
        <v>#VALUE!</v>
      </c>
      <c r="HL402" t="e">
        <f>AND('STERLING CATALOG - FZN &amp; CHILL'!H3679,"AAAAAFPd+9s=")</f>
        <v>#VALUE!</v>
      </c>
      <c r="HM402" t="e">
        <f>AND('STERLING CATALOG - FZN &amp; CHILL'!I3679,"AAAAAFPd+9w=")</f>
        <v>#VALUE!</v>
      </c>
      <c r="HN402" t="e">
        <f>AND('STERLING CATALOG - FZN &amp; CHILL'!J3679,"AAAAAFPd+90=")</f>
        <v>#VALUE!</v>
      </c>
      <c r="HO402">
        <f>IF('STERLING CATALOG - FZN &amp; CHILL'!3680:3680,"AAAAAFPd+94=",0)</f>
        <v>0</v>
      </c>
      <c r="HP402" t="e">
        <f>AND('STERLING CATALOG - FZN &amp; CHILL'!A3680,"AAAAAFPd+98=")</f>
        <v>#VALUE!</v>
      </c>
      <c r="HQ402" t="e">
        <f>AND('STERLING CATALOG - FZN &amp; CHILL'!B3680,"AAAAAFPd++A=")</f>
        <v>#VALUE!</v>
      </c>
      <c r="HR402" t="e">
        <f>AND('STERLING CATALOG - FZN &amp; CHILL'!C3680,"AAAAAFPd++E=")</f>
        <v>#VALUE!</v>
      </c>
      <c r="HS402" t="e">
        <f>AND('STERLING CATALOG - FZN &amp; CHILL'!D3680,"AAAAAFPd++I=")</f>
        <v>#VALUE!</v>
      </c>
      <c r="HT402" t="e">
        <f>AND('STERLING CATALOG - FZN &amp; CHILL'!E3680,"AAAAAFPd++M=")</f>
        <v>#VALUE!</v>
      </c>
      <c r="HU402" t="e">
        <f>AND('STERLING CATALOG - FZN &amp; CHILL'!F3680,"AAAAAFPd++Q=")</f>
        <v>#VALUE!</v>
      </c>
      <c r="HV402" t="e">
        <f>AND('STERLING CATALOG - FZN &amp; CHILL'!G3680,"AAAAAFPd++U=")</f>
        <v>#VALUE!</v>
      </c>
      <c r="HW402" t="e">
        <f>AND('STERLING CATALOG - FZN &amp; CHILL'!H3680,"AAAAAFPd++Y=")</f>
        <v>#VALUE!</v>
      </c>
      <c r="HX402" t="e">
        <f>AND('STERLING CATALOG - FZN &amp; CHILL'!I3680,"AAAAAFPd++c=")</f>
        <v>#VALUE!</v>
      </c>
      <c r="HY402" t="e">
        <f>AND('STERLING CATALOG - FZN &amp; CHILL'!J3680,"AAAAAFPd++g=")</f>
        <v>#VALUE!</v>
      </c>
      <c r="HZ402">
        <f>IF('STERLING CATALOG - FZN &amp; CHILL'!3681:3681,"AAAAAFPd++k=",0)</f>
        <v>0</v>
      </c>
      <c r="IA402" t="e">
        <f>AND('STERLING CATALOG - FZN &amp; CHILL'!A3681,"AAAAAFPd++o=")</f>
        <v>#VALUE!</v>
      </c>
      <c r="IB402" t="e">
        <f>AND('STERLING CATALOG - FZN &amp; CHILL'!B3681,"AAAAAFPd++s=")</f>
        <v>#VALUE!</v>
      </c>
      <c r="IC402" t="e">
        <f>AND('STERLING CATALOG - FZN &amp; CHILL'!C3681,"AAAAAFPd++w=")</f>
        <v>#VALUE!</v>
      </c>
      <c r="ID402" t="e">
        <f>AND('STERLING CATALOG - FZN &amp; CHILL'!D3681,"AAAAAFPd++0=")</f>
        <v>#VALUE!</v>
      </c>
      <c r="IE402" t="e">
        <f>AND('STERLING CATALOG - FZN &amp; CHILL'!E3681,"AAAAAFPd++4=")</f>
        <v>#VALUE!</v>
      </c>
      <c r="IF402" t="e">
        <f>AND('STERLING CATALOG - FZN &amp; CHILL'!F3681,"AAAAAFPd++8=")</f>
        <v>#VALUE!</v>
      </c>
      <c r="IG402" t="e">
        <f>AND('STERLING CATALOG - FZN &amp; CHILL'!G3681,"AAAAAFPd+/A=")</f>
        <v>#VALUE!</v>
      </c>
      <c r="IH402" t="e">
        <f>AND('STERLING CATALOG - FZN &amp; CHILL'!H3681,"AAAAAFPd+/E=")</f>
        <v>#VALUE!</v>
      </c>
      <c r="II402" t="e">
        <f>AND('STERLING CATALOG - FZN &amp; CHILL'!I3681,"AAAAAFPd+/I=")</f>
        <v>#VALUE!</v>
      </c>
      <c r="IJ402" t="e">
        <f>AND('STERLING CATALOG - FZN &amp; CHILL'!J3681,"AAAAAFPd+/M=")</f>
        <v>#VALUE!</v>
      </c>
      <c r="IK402">
        <f>IF('STERLING CATALOG - FZN &amp; CHILL'!3682:3682,"AAAAAFPd+/Q=",0)</f>
        <v>0</v>
      </c>
      <c r="IL402" t="e">
        <f>AND('STERLING CATALOG - FZN &amp; CHILL'!A3682,"AAAAAFPd+/U=")</f>
        <v>#VALUE!</v>
      </c>
      <c r="IM402" t="e">
        <f>AND('STERLING CATALOG - FZN &amp; CHILL'!B3682,"AAAAAFPd+/Y=")</f>
        <v>#VALUE!</v>
      </c>
      <c r="IN402" t="e">
        <f>AND('STERLING CATALOG - FZN &amp; CHILL'!C3682,"AAAAAFPd+/c=")</f>
        <v>#VALUE!</v>
      </c>
      <c r="IO402" t="e">
        <f>AND('STERLING CATALOG - FZN &amp; CHILL'!D3682,"AAAAAFPd+/g=")</f>
        <v>#VALUE!</v>
      </c>
      <c r="IP402" t="e">
        <f>AND('STERLING CATALOG - FZN &amp; CHILL'!E3682,"AAAAAFPd+/k=")</f>
        <v>#VALUE!</v>
      </c>
      <c r="IQ402" t="e">
        <f>AND('STERLING CATALOG - FZN &amp; CHILL'!F3682,"AAAAAFPd+/o=")</f>
        <v>#VALUE!</v>
      </c>
      <c r="IR402" t="e">
        <f>AND('STERLING CATALOG - FZN &amp; CHILL'!G3682,"AAAAAFPd+/s=")</f>
        <v>#VALUE!</v>
      </c>
      <c r="IS402" t="e">
        <f>AND('STERLING CATALOG - FZN &amp; CHILL'!H3682,"AAAAAFPd+/w=")</f>
        <v>#VALUE!</v>
      </c>
      <c r="IT402" t="e">
        <f>AND('STERLING CATALOG - FZN &amp; CHILL'!I3682,"AAAAAFPd+/0=")</f>
        <v>#VALUE!</v>
      </c>
      <c r="IU402" t="e">
        <f>AND('STERLING CATALOG - FZN &amp; CHILL'!J3682,"AAAAAFPd+/4=")</f>
        <v>#VALUE!</v>
      </c>
      <c r="IV402">
        <f>IF('STERLING CATALOG - FZN &amp; CHILL'!3683:3683,"AAAAAFPd+/8=",0)</f>
        <v>0</v>
      </c>
    </row>
    <row r="403" spans="1:256">
      <c r="A403" t="e">
        <f>AND('STERLING CATALOG - FZN &amp; CHILL'!A3683,"AAAAAHPdvwA=")</f>
        <v>#VALUE!</v>
      </c>
      <c r="B403" t="e">
        <f>AND('STERLING CATALOG - FZN &amp; CHILL'!B3683,"AAAAAHPdvwE=")</f>
        <v>#VALUE!</v>
      </c>
      <c r="C403" t="e">
        <f>AND('STERLING CATALOG - FZN &amp; CHILL'!C3683,"AAAAAHPdvwI=")</f>
        <v>#VALUE!</v>
      </c>
      <c r="D403" t="e">
        <f>AND('STERLING CATALOG - FZN &amp; CHILL'!D3683,"AAAAAHPdvwM=")</f>
        <v>#VALUE!</v>
      </c>
      <c r="E403" t="e">
        <f>AND('STERLING CATALOG - FZN &amp; CHILL'!E3683,"AAAAAHPdvwQ=")</f>
        <v>#VALUE!</v>
      </c>
      <c r="F403" t="e">
        <f>AND('STERLING CATALOG - FZN &amp; CHILL'!F3683,"AAAAAHPdvwU=")</f>
        <v>#VALUE!</v>
      </c>
      <c r="G403" t="e">
        <f>AND('STERLING CATALOG - FZN &amp; CHILL'!G3683,"AAAAAHPdvwY=")</f>
        <v>#VALUE!</v>
      </c>
      <c r="H403" t="e">
        <f>AND('STERLING CATALOG - FZN &amp; CHILL'!H3683,"AAAAAHPdvwc=")</f>
        <v>#VALUE!</v>
      </c>
      <c r="I403" t="e">
        <f>AND('STERLING CATALOG - FZN &amp; CHILL'!I3683,"AAAAAHPdvwg=")</f>
        <v>#VALUE!</v>
      </c>
      <c r="J403" t="e">
        <f>AND('STERLING CATALOG - FZN &amp; CHILL'!J3683,"AAAAAHPdvwk=")</f>
        <v>#VALUE!</v>
      </c>
      <c r="K403">
        <f>IF('STERLING CATALOG - FZN &amp; CHILL'!3684:3684,"AAAAAHPdvwo=",0)</f>
        <v>0</v>
      </c>
      <c r="L403" t="e">
        <f>AND('STERLING CATALOG - FZN &amp; CHILL'!A3684,"AAAAAHPdvws=")</f>
        <v>#VALUE!</v>
      </c>
      <c r="M403" t="e">
        <f>AND('STERLING CATALOG - FZN &amp; CHILL'!B3684,"AAAAAHPdvww=")</f>
        <v>#VALUE!</v>
      </c>
      <c r="N403" t="e">
        <f>AND('STERLING CATALOG - FZN &amp; CHILL'!C3684,"AAAAAHPdvw0=")</f>
        <v>#VALUE!</v>
      </c>
      <c r="O403" t="e">
        <f>AND('STERLING CATALOG - FZN &amp; CHILL'!D3684,"AAAAAHPdvw4=")</f>
        <v>#VALUE!</v>
      </c>
      <c r="P403" t="e">
        <f>AND('STERLING CATALOG - FZN &amp; CHILL'!E3684,"AAAAAHPdvw8=")</f>
        <v>#VALUE!</v>
      </c>
      <c r="Q403" t="e">
        <f>AND('STERLING CATALOG - FZN &amp; CHILL'!F3684,"AAAAAHPdvxA=")</f>
        <v>#VALUE!</v>
      </c>
      <c r="R403" t="e">
        <f>AND('STERLING CATALOG - FZN &amp; CHILL'!G3684,"AAAAAHPdvxE=")</f>
        <v>#VALUE!</v>
      </c>
      <c r="S403" t="e">
        <f>AND('STERLING CATALOG - FZN &amp; CHILL'!H3684,"AAAAAHPdvxI=")</f>
        <v>#VALUE!</v>
      </c>
      <c r="T403" t="e">
        <f>AND('STERLING CATALOG - FZN &amp; CHILL'!I3684,"AAAAAHPdvxM=")</f>
        <v>#VALUE!</v>
      </c>
      <c r="U403" t="e">
        <f>AND('STERLING CATALOG - FZN &amp; CHILL'!J3684,"AAAAAHPdvxQ=")</f>
        <v>#VALUE!</v>
      </c>
      <c r="V403">
        <f>IF('STERLING CATALOG - FZN &amp; CHILL'!3685:3685,"AAAAAHPdvxU=",0)</f>
        <v>0</v>
      </c>
      <c r="W403" t="e">
        <f>AND('STERLING CATALOG - FZN &amp; CHILL'!A3685,"AAAAAHPdvxY=")</f>
        <v>#VALUE!</v>
      </c>
      <c r="X403" t="e">
        <f>AND('STERLING CATALOG - FZN &amp; CHILL'!B3685,"AAAAAHPdvxc=")</f>
        <v>#VALUE!</v>
      </c>
      <c r="Y403" t="e">
        <f>AND('STERLING CATALOG - FZN &amp; CHILL'!C3685,"AAAAAHPdvxg=")</f>
        <v>#VALUE!</v>
      </c>
      <c r="Z403" t="e">
        <f>AND('STERLING CATALOG - FZN &amp; CHILL'!D3685,"AAAAAHPdvxk=")</f>
        <v>#VALUE!</v>
      </c>
      <c r="AA403" t="e">
        <f>AND('STERLING CATALOG - FZN &amp; CHILL'!E3685,"AAAAAHPdvxo=")</f>
        <v>#VALUE!</v>
      </c>
      <c r="AB403" t="e">
        <f>AND('STERLING CATALOG - FZN &amp; CHILL'!F3685,"AAAAAHPdvxs=")</f>
        <v>#VALUE!</v>
      </c>
      <c r="AC403" t="e">
        <f>AND('STERLING CATALOG - FZN &amp; CHILL'!G3685,"AAAAAHPdvxw=")</f>
        <v>#VALUE!</v>
      </c>
      <c r="AD403" t="e">
        <f>AND('STERLING CATALOG - FZN &amp; CHILL'!H3685,"AAAAAHPdvx0=")</f>
        <v>#VALUE!</v>
      </c>
      <c r="AE403" t="e">
        <f>AND('STERLING CATALOG - FZN &amp; CHILL'!I3685,"AAAAAHPdvx4=")</f>
        <v>#VALUE!</v>
      </c>
      <c r="AF403" t="e">
        <f>AND('STERLING CATALOG - FZN &amp; CHILL'!J3685,"AAAAAHPdvx8=")</f>
        <v>#VALUE!</v>
      </c>
      <c r="AG403">
        <f>IF('STERLING CATALOG - FZN &amp; CHILL'!3686:3686,"AAAAAHPdvyA=",0)</f>
        <v>0</v>
      </c>
      <c r="AH403" t="e">
        <f>AND('STERLING CATALOG - FZN &amp; CHILL'!A3686,"AAAAAHPdvyE=")</f>
        <v>#VALUE!</v>
      </c>
      <c r="AI403" t="e">
        <f>AND('STERLING CATALOG - FZN &amp; CHILL'!B3686,"AAAAAHPdvyI=")</f>
        <v>#VALUE!</v>
      </c>
      <c r="AJ403" t="e">
        <f>AND('STERLING CATALOG - FZN &amp; CHILL'!C3686,"AAAAAHPdvyM=")</f>
        <v>#VALUE!</v>
      </c>
      <c r="AK403" t="e">
        <f>AND('STERLING CATALOG - FZN &amp; CHILL'!D3686,"AAAAAHPdvyQ=")</f>
        <v>#VALUE!</v>
      </c>
      <c r="AL403" t="e">
        <f>AND('STERLING CATALOG - FZN &amp; CHILL'!E3686,"AAAAAHPdvyU=")</f>
        <v>#VALUE!</v>
      </c>
      <c r="AM403" t="e">
        <f>AND('STERLING CATALOG - FZN &amp; CHILL'!F3686,"AAAAAHPdvyY=")</f>
        <v>#VALUE!</v>
      </c>
      <c r="AN403" t="e">
        <f>AND('STERLING CATALOG - FZN &amp; CHILL'!G3686,"AAAAAHPdvyc=")</f>
        <v>#VALUE!</v>
      </c>
      <c r="AO403" t="e">
        <f>AND('STERLING CATALOG - FZN &amp; CHILL'!H3686,"AAAAAHPdvyg=")</f>
        <v>#VALUE!</v>
      </c>
      <c r="AP403" t="e">
        <f>AND('STERLING CATALOG - FZN &amp; CHILL'!I3686,"AAAAAHPdvyk=")</f>
        <v>#VALUE!</v>
      </c>
      <c r="AQ403" t="e">
        <f>AND('STERLING CATALOG - FZN &amp; CHILL'!J3686,"AAAAAHPdvyo=")</f>
        <v>#VALUE!</v>
      </c>
      <c r="AR403">
        <f>IF('STERLING CATALOG - FZN &amp; CHILL'!3687:3687,"AAAAAHPdvys=",0)</f>
        <v>0</v>
      </c>
      <c r="AS403" t="e">
        <f>AND('STERLING CATALOG - FZN &amp; CHILL'!A3687,"AAAAAHPdvyw=")</f>
        <v>#VALUE!</v>
      </c>
      <c r="AT403" t="e">
        <f>AND('STERLING CATALOG - FZN &amp; CHILL'!B3687,"AAAAAHPdvy0=")</f>
        <v>#VALUE!</v>
      </c>
      <c r="AU403" t="e">
        <f>AND('STERLING CATALOG - FZN &amp; CHILL'!C3687,"AAAAAHPdvy4=")</f>
        <v>#VALUE!</v>
      </c>
      <c r="AV403" t="e">
        <f>AND('STERLING CATALOG - FZN &amp; CHILL'!D3687,"AAAAAHPdvy8=")</f>
        <v>#VALUE!</v>
      </c>
      <c r="AW403" t="e">
        <f>AND('STERLING CATALOG - FZN &amp; CHILL'!E3687,"AAAAAHPdvzA=")</f>
        <v>#VALUE!</v>
      </c>
      <c r="AX403" t="e">
        <f>AND('STERLING CATALOG - FZN &amp; CHILL'!F3687,"AAAAAHPdvzE=")</f>
        <v>#VALUE!</v>
      </c>
      <c r="AY403" t="e">
        <f>AND('STERLING CATALOG - FZN &amp; CHILL'!G3687,"AAAAAHPdvzI=")</f>
        <v>#VALUE!</v>
      </c>
      <c r="AZ403" t="e">
        <f>AND('STERLING CATALOG - FZN &amp; CHILL'!H3687,"AAAAAHPdvzM=")</f>
        <v>#VALUE!</v>
      </c>
      <c r="BA403" t="e">
        <f>AND('STERLING CATALOG - FZN &amp; CHILL'!I3687,"AAAAAHPdvzQ=")</f>
        <v>#VALUE!</v>
      </c>
      <c r="BB403" t="e">
        <f>AND('STERLING CATALOG - FZN &amp; CHILL'!J3687,"AAAAAHPdvzU=")</f>
        <v>#VALUE!</v>
      </c>
      <c r="BC403">
        <f>IF('STERLING CATALOG - FZN &amp; CHILL'!3688:3688,"AAAAAHPdvzY=",0)</f>
        <v>0</v>
      </c>
      <c r="BD403" t="e">
        <f>AND('STERLING CATALOG - FZN &amp; CHILL'!A3688,"AAAAAHPdvzc=")</f>
        <v>#VALUE!</v>
      </c>
      <c r="BE403" t="e">
        <f>AND('STERLING CATALOG - FZN &amp; CHILL'!B3688,"AAAAAHPdvzg=")</f>
        <v>#VALUE!</v>
      </c>
      <c r="BF403" t="e">
        <f>AND('STERLING CATALOG - FZN &amp; CHILL'!C3688,"AAAAAHPdvzk=")</f>
        <v>#VALUE!</v>
      </c>
      <c r="BG403" t="e">
        <f>AND('STERLING CATALOG - FZN &amp; CHILL'!D3688,"AAAAAHPdvzo=")</f>
        <v>#VALUE!</v>
      </c>
      <c r="BH403" t="e">
        <f>AND('STERLING CATALOG - FZN &amp; CHILL'!E3688,"AAAAAHPdvzs=")</f>
        <v>#VALUE!</v>
      </c>
      <c r="BI403" t="e">
        <f>AND('STERLING CATALOG - FZN &amp; CHILL'!F3688,"AAAAAHPdvzw=")</f>
        <v>#VALUE!</v>
      </c>
      <c r="BJ403" t="e">
        <f>AND('STERLING CATALOG - FZN &amp; CHILL'!G3688,"AAAAAHPdvz0=")</f>
        <v>#VALUE!</v>
      </c>
      <c r="BK403" t="e">
        <f>AND('STERLING CATALOG - FZN &amp; CHILL'!H3688,"AAAAAHPdvz4=")</f>
        <v>#VALUE!</v>
      </c>
      <c r="BL403" t="e">
        <f>AND('STERLING CATALOG - FZN &amp; CHILL'!I3688,"AAAAAHPdvz8=")</f>
        <v>#VALUE!</v>
      </c>
      <c r="BM403" t="e">
        <f>AND('STERLING CATALOG - FZN &amp; CHILL'!J3688,"AAAAAHPdv0A=")</f>
        <v>#VALUE!</v>
      </c>
      <c r="BN403">
        <f>IF('STERLING CATALOG - FZN &amp; CHILL'!3689:3689,"AAAAAHPdv0E=",0)</f>
        <v>0</v>
      </c>
      <c r="BO403" t="e">
        <f>AND('STERLING CATALOG - FZN &amp; CHILL'!A3689,"AAAAAHPdv0I=")</f>
        <v>#VALUE!</v>
      </c>
      <c r="BP403" t="e">
        <f>AND('STERLING CATALOG - FZN &amp; CHILL'!B3689,"AAAAAHPdv0M=")</f>
        <v>#VALUE!</v>
      </c>
      <c r="BQ403" t="e">
        <f>AND('STERLING CATALOG - FZN &amp; CHILL'!C3689,"AAAAAHPdv0Q=")</f>
        <v>#VALUE!</v>
      </c>
      <c r="BR403" t="e">
        <f>AND('STERLING CATALOG - FZN &amp; CHILL'!D3689,"AAAAAHPdv0U=")</f>
        <v>#VALUE!</v>
      </c>
      <c r="BS403" t="e">
        <f>AND('STERLING CATALOG - FZN &amp; CHILL'!E3689,"AAAAAHPdv0Y=")</f>
        <v>#VALUE!</v>
      </c>
      <c r="BT403" t="e">
        <f>AND('STERLING CATALOG - FZN &amp; CHILL'!F3689,"AAAAAHPdv0c=")</f>
        <v>#VALUE!</v>
      </c>
      <c r="BU403" t="e">
        <f>AND('STERLING CATALOG - FZN &amp; CHILL'!G3689,"AAAAAHPdv0g=")</f>
        <v>#VALUE!</v>
      </c>
      <c r="BV403" t="e">
        <f>AND('STERLING CATALOG - FZN &amp; CHILL'!H3689,"AAAAAHPdv0k=")</f>
        <v>#VALUE!</v>
      </c>
      <c r="BW403" t="e">
        <f>AND('STERLING CATALOG - FZN &amp; CHILL'!I3689,"AAAAAHPdv0o=")</f>
        <v>#VALUE!</v>
      </c>
      <c r="BX403" t="e">
        <f>AND('STERLING CATALOG - FZN &amp; CHILL'!J3689,"AAAAAHPdv0s=")</f>
        <v>#VALUE!</v>
      </c>
      <c r="BY403">
        <f>IF('STERLING CATALOG - FZN &amp; CHILL'!3690:3690,"AAAAAHPdv0w=",0)</f>
        <v>0</v>
      </c>
      <c r="BZ403" t="e">
        <f>AND('STERLING CATALOG - FZN &amp; CHILL'!A3690,"AAAAAHPdv00=")</f>
        <v>#VALUE!</v>
      </c>
      <c r="CA403" t="e">
        <f>AND('STERLING CATALOG - FZN &amp; CHILL'!B3690,"AAAAAHPdv04=")</f>
        <v>#VALUE!</v>
      </c>
      <c r="CB403" t="e">
        <f>AND('STERLING CATALOG - FZN &amp; CHILL'!C3690,"AAAAAHPdv08=")</f>
        <v>#VALUE!</v>
      </c>
      <c r="CC403" t="e">
        <f>AND('STERLING CATALOG - FZN &amp; CHILL'!D3690,"AAAAAHPdv1A=")</f>
        <v>#VALUE!</v>
      </c>
      <c r="CD403" t="e">
        <f>AND('STERLING CATALOG - FZN &amp; CHILL'!E3690,"AAAAAHPdv1E=")</f>
        <v>#VALUE!</v>
      </c>
      <c r="CE403" t="e">
        <f>AND('STERLING CATALOG - FZN &amp; CHILL'!F3690,"AAAAAHPdv1I=")</f>
        <v>#VALUE!</v>
      </c>
      <c r="CF403" t="e">
        <f>AND('STERLING CATALOG - FZN &amp; CHILL'!G3690,"AAAAAHPdv1M=")</f>
        <v>#VALUE!</v>
      </c>
      <c r="CG403" t="e">
        <f>AND('STERLING CATALOG - FZN &amp; CHILL'!H3690,"AAAAAHPdv1Q=")</f>
        <v>#VALUE!</v>
      </c>
      <c r="CH403" t="e">
        <f>AND('STERLING CATALOG - FZN &amp; CHILL'!I3690,"AAAAAHPdv1U=")</f>
        <v>#VALUE!</v>
      </c>
      <c r="CI403" t="e">
        <f>AND('STERLING CATALOG - FZN &amp; CHILL'!J3690,"AAAAAHPdv1Y=")</f>
        <v>#VALUE!</v>
      </c>
      <c r="CJ403">
        <f>IF('STERLING CATALOG - FZN &amp; CHILL'!3691:3691,"AAAAAHPdv1c=",0)</f>
        <v>0</v>
      </c>
      <c r="CK403" t="e">
        <f>AND('STERLING CATALOG - FZN &amp; CHILL'!A3691,"AAAAAHPdv1g=")</f>
        <v>#VALUE!</v>
      </c>
      <c r="CL403" t="e">
        <f>AND('STERLING CATALOG - FZN &amp; CHILL'!B3691,"AAAAAHPdv1k=")</f>
        <v>#VALUE!</v>
      </c>
      <c r="CM403" t="e">
        <f>AND('STERLING CATALOG - FZN &amp; CHILL'!C3691,"AAAAAHPdv1o=")</f>
        <v>#VALUE!</v>
      </c>
      <c r="CN403" t="e">
        <f>AND('STERLING CATALOG - FZN &amp; CHILL'!D3691,"AAAAAHPdv1s=")</f>
        <v>#VALUE!</v>
      </c>
      <c r="CO403" t="e">
        <f>AND('STERLING CATALOG - FZN &amp; CHILL'!E3691,"AAAAAHPdv1w=")</f>
        <v>#VALUE!</v>
      </c>
      <c r="CP403" t="e">
        <f>AND('STERLING CATALOG - FZN &amp; CHILL'!F3691,"AAAAAHPdv10=")</f>
        <v>#VALUE!</v>
      </c>
      <c r="CQ403" t="e">
        <f>AND('STERLING CATALOG - FZN &amp; CHILL'!G3691,"AAAAAHPdv14=")</f>
        <v>#VALUE!</v>
      </c>
      <c r="CR403" t="e">
        <f>AND('STERLING CATALOG - FZN &amp; CHILL'!H3691,"AAAAAHPdv18=")</f>
        <v>#VALUE!</v>
      </c>
      <c r="CS403" t="e">
        <f>AND('STERLING CATALOG - FZN &amp; CHILL'!I3691,"AAAAAHPdv2A=")</f>
        <v>#VALUE!</v>
      </c>
      <c r="CT403" t="e">
        <f>AND('STERLING CATALOG - FZN &amp; CHILL'!J3691,"AAAAAHPdv2E=")</f>
        <v>#VALUE!</v>
      </c>
      <c r="CU403">
        <f>IF('STERLING CATALOG - FZN &amp; CHILL'!3692:3692,"AAAAAHPdv2I=",0)</f>
        <v>0</v>
      </c>
      <c r="CV403" t="e">
        <f>AND('STERLING CATALOG - FZN &amp; CHILL'!A3692,"AAAAAHPdv2M=")</f>
        <v>#VALUE!</v>
      </c>
      <c r="CW403" t="e">
        <f>AND('STERLING CATALOG - FZN &amp; CHILL'!B3692,"AAAAAHPdv2Q=")</f>
        <v>#VALUE!</v>
      </c>
      <c r="CX403" t="e">
        <f>AND('STERLING CATALOG - FZN &amp; CHILL'!C3692,"AAAAAHPdv2U=")</f>
        <v>#VALUE!</v>
      </c>
      <c r="CY403" t="e">
        <f>AND('STERLING CATALOG - FZN &amp; CHILL'!D3692,"AAAAAHPdv2Y=")</f>
        <v>#VALUE!</v>
      </c>
      <c r="CZ403" t="e">
        <f>AND('STERLING CATALOG - FZN &amp; CHILL'!E3692,"AAAAAHPdv2c=")</f>
        <v>#VALUE!</v>
      </c>
      <c r="DA403" t="e">
        <f>AND('STERLING CATALOG - FZN &amp; CHILL'!F3692,"AAAAAHPdv2g=")</f>
        <v>#VALUE!</v>
      </c>
      <c r="DB403" t="e">
        <f>AND('STERLING CATALOG - FZN &amp; CHILL'!G3692,"AAAAAHPdv2k=")</f>
        <v>#VALUE!</v>
      </c>
      <c r="DC403" t="e">
        <f>AND('STERLING CATALOG - FZN &amp; CHILL'!H3692,"AAAAAHPdv2o=")</f>
        <v>#VALUE!</v>
      </c>
      <c r="DD403" t="e">
        <f>AND('STERLING CATALOG - FZN &amp; CHILL'!I3692,"AAAAAHPdv2s=")</f>
        <v>#VALUE!</v>
      </c>
      <c r="DE403" t="e">
        <f>AND('STERLING CATALOG - FZN &amp; CHILL'!J3692,"AAAAAHPdv2w=")</f>
        <v>#VALUE!</v>
      </c>
      <c r="DF403">
        <f>IF('STERLING CATALOG - FZN &amp; CHILL'!3693:3693,"AAAAAHPdv20=",0)</f>
        <v>0</v>
      </c>
      <c r="DG403" t="e">
        <f>AND('STERLING CATALOG - FZN &amp; CHILL'!A3693,"AAAAAHPdv24=")</f>
        <v>#VALUE!</v>
      </c>
      <c r="DH403" t="e">
        <f>AND('STERLING CATALOG - FZN &amp; CHILL'!B3693,"AAAAAHPdv28=")</f>
        <v>#VALUE!</v>
      </c>
      <c r="DI403" t="e">
        <f>AND('STERLING CATALOG - FZN &amp; CHILL'!C3693,"AAAAAHPdv3A=")</f>
        <v>#VALUE!</v>
      </c>
      <c r="DJ403" t="e">
        <f>AND('STERLING CATALOG - FZN &amp; CHILL'!D3693,"AAAAAHPdv3E=")</f>
        <v>#VALUE!</v>
      </c>
      <c r="DK403" t="e">
        <f>AND('STERLING CATALOG - FZN &amp; CHILL'!E3693,"AAAAAHPdv3I=")</f>
        <v>#VALUE!</v>
      </c>
      <c r="DL403" t="e">
        <f>AND('STERLING CATALOG - FZN &amp; CHILL'!F3693,"AAAAAHPdv3M=")</f>
        <v>#VALUE!</v>
      </c>
      <c r="DM403" t="e">
        <f>AND('STERLING CATALOG - FZN &amp; CHILL'!G3693,"AAAAAHPdv3Q=")</f>
        <v>#VALUE!</v>
      </c>
      <c r="DN403" t="e">
        <f>AND('STERLING CATALOG - FZN &amp; CHILL'!H3693,"AAAAAHPdv3U=")</f>
        <v>#VALUE!</v>
      </c>
      <c r="DO403" t="e">
        <f>AND('STERLING CATALOG - FZN &amp; CHILL'!I3693,"AAAAAHPdv3Y=")</f>
        <v>#VALUE!</v>
      </c>
      <c r="DP403" t="e">
        <f>AND('STERLING CATALOG - FZN &amp; CHILL'!J3693,"AAAAAHPdv3c=")</f>
        <v>#VALUE!</v>
      </c>
      <c r="DQ403">
        <f>IF('STERLING CATALOG - FZN &amp; CHILL'!3694:3694,"AAAAAHPdv3g=",0)</f>
        <v>0</v>
      </c>
      <c r="DR403" t="e">
        <f>AND('STERLING CATALOG - FZN &amp; CHILL'!A3694,"AAAAAHPdv3k=")</f>
        <v>#VALUE!</v>
      </c>
      <c r="DS403" t="e">
        <f>AND('STERLING CATALOG - FZN &amp; CHILL'!B3694,"AAAAAHPdv3o=")</f>
        <v>#VALUE!</v>
      </c>
      <c r="DT403" t="e">
        <f>AND('STERLING CATALOG - FZN &amp; CHILL'!C3694,"AAAAAHPdv3s=")</f>
        <v>#VALUE!</v>
      </c>
      <c r="DU403" t="e">
        <f>AND('STERLING CATALOG - FZN &amp; CHILL'!D3694,"AAAAAHPdv3w=")</f>
        <v>#VALUE!</v>
      </c>
      <c r="DV403" t="e">
        <f>AND('STERLING CATALOG - FZN &amp; CHILL'!E3694,"AAAAAHPdv30=")</f>
        <v>#VALUE!</v>
      </c>
      <c r="DW403" t="e">
        <f>AND('STERLING CATALOG - FZN &amp; CHILL'!F3694,"AAAAAHPdv34=")</f>
        <v>#VALUE!</v>
      </c>
      <c r="DX403" t="e">
        <f>AND('STERLING CATALOG - FZN &amp; CHILL'!G3694,"AAAAAHPdv38=")</f>
        <v>#VALUE!</v>
      </c>
      <c r="DY403" t="e">
        <f>AND('STERLING CATALOG - FZN &amp; CHILL'!H3694,"AAAAAHPdv4A=")</f>
        <v>#VALUE!</v>
      </c>
      <c r="DZ403" t="e">
        <f>AND('STERLING CATALOG - FZN &amp; CHILL'!I3694,"AAAAAHPdv4E=")</f>
        <v>#VALUE!</v>
      </c>
      <c r="EA403" t="e">
        <f>AND('STERLING CATALOG - FZN &amp; CHILL'!J3694,"AAAAAHPdv4I=")</f>
        <v>#VALUE!</v>
      </c>
      <c r="EB403">
        <f>IF('STERLING CATALOG - FZN &amp; CHILL'!3695:3695,"AAAAAHPdv4M=",0)</f>
        <v>0</v>
      </c>
      <c r="EC403" t="e">
        <f>AND('STERLING CATALOG - FZN &amp; CHILL'!A3695,"AAAAAHPdv4Q=")</f>
        <v>#VALUE!</v>
      </c>
      <c r="ED403" t="e">
        <f>AND('STERLING CATALOG - FZN &amp; CHILL'!B3695,"AAAAAHPdv4U=")</f>
        <v>#VALUE!</v>
      </c>
      <c r="EE403" t="e">
        <f>AND('STERLING CATALOG - FZN &amp; CHILL'!C3695,"AAAAAHPdv4Y=")</f>
        <v>#VALUE!</v>
      </c>
      <c r="EF403" t="e">
        <f>AND('STERLING CATALOG - FZN &amp; CHILL'!D3695,"AAAAAHPdv4c=")</f>
        <v>#VALUE!</v>
      </c>
      <c r="EG403" t="e">
        <f>AND('STERLING CATALOG - FZN &amp; CHILL'!E3695,"AAAAAHPdv4g=")</f>
        <v>#VALUE!</v>
      </c>
      <c r="EH403" t="e">
        <f>AND('STERLING CATALOG - FZN &amp; CHILL'!F3695,"AAAAAHPdv4k=")</f>
        <v>#VALUE!</v>
      </c>
      <c r="EI403" t="e">
        <f>AND('STERLING CATALOG - FZN &amp; CHILL'!G3695,"AAAAAHPdv4o=")</f>
        <v>#VALUE!</v>
      </c>
      <c r="EJ403" t="e">
        <f>AND('STERLING CATALOG - FZN &amp; CHILL'!H3695,"AAAAAHPdv4s=")</f>
        <v>#VALUE!</v>
      </c>
      <c r="EK403" t="e">
        <f>AND('STERLING CATALOG - FZN &amp; CHILL'!I3695,"AAAAAHPdv4w=")</f>
        <v>#VALUE!</v>
      </c>
      <c r="EL403" t="e">
        <f>AND('STERLING CATALOG - FZN &amp; CHILL'!J3695,"AAAAAHPdv40=")</f>
        <v>#VALUE!</v>
      </c>
      <c r="EM403">
        <f>IF('STERLING CATALOG - FZN &amp; CHILL'!3696:3696,"AAAAAHPdv44=",0)</f>
        <v>0</v>
      </c>
      <c r="EN403" t="e">
        <f>AND('STERLING CATALOG - FZN &amp; CHILL'!A3696,"AAAAAHPdv48=")</f>
        <v>#VALUE!</v>
      </c>
      <c r="EO403" t="e">
        <f>AND('STERLING CATALOG - FZN &amp; CHILL'!B3696,"AAAAAHPdv5A=")</f>
        <v>#VALUE!</v>
      </c>
      <c r="EP403" t="e">
        <f>AND('STERLING CATALOG - FZN &amp; CHILL'!C3696,"AAAAAHPdv5E=")</f>
        <v>#VALUE!</v>
      </c>
      <c r="EQ403" t="e">
        <f>AND('STERLING CATALOG - FZN &amp; CHILL'!D3696,"AAAAAHPdv5I=")</f>
        <v>#VALUE!</v>
      </c>
      <c r="ER403" t="e">
        <f>AND('STERLING CATALOG - FZN &amp; CHILL'!E3696,"AAAAAHPdv5M=")</f>
        <v>#VALUE!</v>
      </c>
      <c r="ES403" t="e">
        <f>AND('STERLING CATALOG - FZN &amp; CHILL'!F3696,"AAAAAHPdv5Q=")</f>
        <v>#VALUE!</v>
      </c>
      <c r="ET403" t="e">
        <f>AND('STERLING CATALOG - FZN &amp; CHILL'!G3696,"AAAAAHPdv5U=")</f>
        <v>#VALUE!</v>
      </c>
      <c r="EU403" t="e">
        <f>AND('STERLING CATALOG - FZN &amp; CHILL'!H3696,"AAAAAHPdv5Y=")</f>
        <v>#VALUE!</v>
      </c>
      <c r="EV403" t="e">
        <f>AND('STERLING CATALOG - FZN &amp; CHILL'!I3696,"AAAAAHPdv5c=")</f>
        <v>#VALUE!</v>
      </c>
      <c r="EW403" t="e">
        <f>AND('STERLING CATALOG - FZN &amp; CHILL'!J3696,"AAAAAHPdv5g=")</f>
        <v>#VALUE!</v>
      </c>
      <c r="EX403">
        <f>IF('STERLING CATALOG - FZN &amp; CHILL'!3697:3697,"AAAAAHPdv5k=",0)</f>
        <v>0</v>
      </c>
      <c r="EY403" t="e">
        <f>AND('STERLING CATALOG - FZN &amp; CHILL'!A3697,"AAAAAHPdv5o=")</f>
        <v>#VALUE!</v>
      </c>
      <c r="EZ403" t="e">
        <f>AND('STERLING CATALOG - FZN &amp; CHILL'!B3697,"AAAAAHPdv5s=")</f>
        <v>#VALUE!</v>
      </c>
      <c r="FA403" t="e">
        <f>AND('STERLING CATALOG - FZN &amp; CHILL'!C3697,"AAAAAHPdv5w=")</f>
        <v>#VALUE!</v>
      </c>
      <c r="FB403" t="e">
        <f>AND('STERLING CATALOG - FZN &amp; CHILL'!D3697,"AAAAAHPdv50=")</f>
        <v>#VALUE!</v>
      </c>
      <c r="FC403" t="e">
        <f>AND('STERLING CATALOG - FZN &amp; CHILL'!E3697,"AAAAAHPdv54=")</f>
        <v>#VALUE!</v>
      </c>
      <c r="FD403" t="e">
        <f>AND('STERLING CATALOG - FZN &amp; CHILL'!F3697,"AAAAAHPdv58=")</f>
        <v>#VALUE!</v>
      </c>
      <c r="FE403" t="e">
        <f>AND('STERLING CATALOG - FZN &amp; CHILL'!G3697,"AAAAAHPdv6A=")</f>
        <v>#VALUE!</v>
      </c>
      <c r="FF403" t="e">
        <f>AND('STERLING CATALOG - FZN &amp; CHILL'!H3697,"AAAAAHPdv6E=")</f>
        <v>#VALUE!</v>
      </c>
      <c r="FG403" t="e">
        <f>AND('STERLING CATALOG - FZN &amp; CHILL'!I3697,"AAAAAHPdv6I=")</f>
        <v>#VALUE!</v>
      </c>
      <c r="FH403" t="e">
        <f>AND('STERLING CATALOG - FZN &amp; CHILL'!J3697,"AAAAAHPdv6M=")</f>
        <v>#VALUE!</v>
      </c>
      <c r="FI403">
        <f>IF('STERLING CATALOG - FZN &amp; CHILL'!3698:3698,"AAAAAHPdv6Q=",0)</f>
        <v>0</v>
      </c>
      <c r="FJ403" t="e">
        <f>AND('STERLING CATALOG - FZN &amp; CHILL'!A3698,"AAAAAHPdv6U=")</f>
        <v>#VALUE!</v>
      </c>
      <c r="FK403" t="e">
        <f>AND('STERLING CATALOG - FZN &amp; CHILL'!B3698,"AAAAAHPdv6Y=")</f>
        <v>#VALUE!</v>
      </c>
      <c r="FL403" t="e">
        <f>AND('STERLING CATALOG - FZN &amp; CHILL'!C3698,"AAAAAHPdv6c=")</f>
        <v>#VALUE!</v>
      </c>
      <c r="FM403" t="e">
        <f>AND('STERLING CATALOG - FZN &amp; CHILL'!D3698,"AAAAAHPdv6g=")</f>
        <v>#VALUE!</v>
      </c>
      <c r="FN403" t="e">
        <f>AND('STERLING CATALOG - FZN &amp; CHILL'!E3698,"AAAAAHPdv6k=")</f>
        <v>#VALUE!</v>
      </c>
      <c r="FO403" t="e">
        <f>AND('STERLING CATALOG - FZN &amp; CHILL'!F3698,"AAAAAHPdv6o=")</f>
        <v>#VALUE!</v>
      </c>
      <c r="FP403" t="e">
        <f>AND('STERLING CATALOG - FZN &amp; CHILL'!G3698,"AAAAAHPdv6s=")</f>
        <v>#VALUE!</v>
      </c>
      <c r="FQ403" t="e">
        <f>AND('STERLING CATALOG - FZN &amp; CHILL'!H3698,"AAAAAHPdv6w=")</f>
        <v>#VALUE!</v>
      </c>
      <c r="FR403" t="e">
        <f>AND('STERLING CATALOG - FZN &amp; CHILL'!I3698,"AAAAAHPdv60=")</f>
        <v>#VALUE!</v>
      </c>
      <c r="FS403" t="e">
        <f>AND('STERLING CATALOG - FZN &amp; CHILL'!J3698,"AAAAAHPdv64=")</f>
        <v>#VALUE!</v>
      </c>
      <c r="FT403">
        <f>IF('STERLING CATALOG - FZN &amp; CHILL'!3699:3699,"AAAAAHPdv68=",0)</f>
        <v>0</v>
      </c>
      <c r="FU403" t="e">
        <f>AND('STERLING CATALOG - FZN &amp; CHILL'!A3699,"AAAAAHPdv7A=")</f>
        <v>#VALUE!</v>
      </c>
      <c r="FV403" t="e">
        <f>AND('STERLING CATALOG - FZN &amp; CHILL'!B3699,"AAAAAHPdv7E=")</f>
        <v>#VALUE!</v>
      </c>
      <c r="FW403" t="e">
        <f>AND('STERLING CATALOG - FZN &amp; CHILL'!C3699,"AAAAAHPdv7I=")</f>
        <v>#VALUE!</v>
      </c>
      <c r="FX403" t="e">
        <f>AND('STERLING CATALOG - FZN &amp; CHILL'!D3699,"AAAAAHPdv7M=")</f>
        <v>#VALUE!</v>
      </c>
      <c r="FY403" t="e">
        <f>AND('STERLING CATALOG - FZN &amp; CHILL'!E3699,"AAAAAHPdv7Q=")</f>
        <v>#VALUE!</v>
      </c>
      <c r="FZ403" t="e">
        <f>AND('STERLING CATALOG - FZN &amp; CHILL'!F3699,"AAAAAHPdv7U=")</f>
        <v>#VALUE!</v>
      </c>
      <c r="GA403" t="e">
        <f>AND('STERLING CATALOG - FZN &amp; CHILL'!G3699,"AAAAAHPdv7Y=")</f>
        <v>#VALUE!</v>
      </c>
      <c r="GB403" t="e">
        <f>AND('STERLING CATALOG - FZN &amp; CHILL'!H3699,"AAAAAHPdv7c=")</f>
        <v>#VALUE!</v>
      </c>
      <c r="GC403" t="e">
        <f>AND('STERLING CATALOG - FZN &amp; CHILL'!I3699,"AAAAAHPdv7g=")</f>
        <v>#VALUE!</v>
      </c>
      <c r="GD403" t="e">
        <f>AND('STERLING CATALOG - FZN &amp; CHILL'!J3699,"AAAAAHPdv7k=")</f>
        <v>#VALUE!</v>
      </c>
      <c r="GE403">
        <f>IF('STERLING CATALOG - FZN &amp; CHILL'!3700:3700,"AAAAAHPdv7o=",0)</f>
        <v>0</v>
      </c>
      <c r="GF403" t="e">
        <f>AND('STERLING CATALOG - FZN &amp; CHILL'!A3700,"AAAAAHPdv7s=")</f>
        <v>#VALUE!</v>
      </c>
      <c r="GG403" t="e">
        <f>AND('STERLING CATALOG - FZN &amp; CHILL'!B3700,"AAAAAHPdv7w=")</f>
        <v>#VALUE!</v>
      </c>
      <c r="GH403" t="e">
        <f>AND('STERLING CATALOG - FZN &amp; CHILL'!C3700,"AAAAAHPdv70=")</f>
        <v>#VALUE!</v>
      </c>
      <c r="GI403" t="e">
        <f>AND('STERLING CATALOG - FZN &amp; CHILL'!D3700,"AAAAAHPdv74=")</f>
        <v>#VALUE!</v>
      </c>
      <c r="GJ403" t="e">
        <f>AND('STERLING CATALOG - FZN &amp; CHILL'!E3700,"AAAAAHPdv78=")</f>
        <v>#VALUE!</v>
      </c>
      <c r="GK403" t="e">
        <f>AND('STERLING CATALOG - FZN &amp; CHILL'!F3700,"AAAAAHPdv8A=")</f>
        <v>#VALUE!</v>
      </c>
      <c r="GL403" t="e">
        <f>AND('STERLING CATALOG - FZN &amp; CHILL'!G3700,"AAAAAHPdv8E=")</f>
        <v>#VALUE!</v>
      </c>
      <c r="GM403" t="e">
        <f>AND('STERLING CATALOG - FZN &amp; CHILL'!H3700,"AAAAAHPdv8I=")</f>
        <v>#VALUE!</v>
      </c>
      <c r="GN403" t="e">
        <f>AND('STERLING CATALOG - FZN &amp; CHILL'!I3700,"AAAAAHPdv8M=")</f>
        <v>#VALUE!</v>
      </c>
      <c r="GO403" t="e">
        <f>AND('STERLING CATALOG - FZN &amp; CHILL'!J3700,"AAAAAHPdv8Q=")</f>
        <v>#VALUE!</v>
      </c>
      <c r="GP403">
        <f>IF('STERLING CATALOG - FZN &amp; CHILL'!3701:3701,"AAAAAHPdv8U=",0)</f>
        <v>0</v>
      </c>
      <c r="GQ403" t="e">
        <f>AND('STERLING CATALOG - FZN &amp; CHILL'!A3701,"AAAAAHPdv8Y=")</f>
        <v>#VALUE!</v>
      </c>
      <c r="GR403" t="e">
        <f>AND('STERLING CATALOG - FZN &amp; CHILL'!B3701,"AAAAAHPdv8c=")</f>
        <v>#VALUE!</v>
      </c>
      <c r="GS403" t="e">
        <f>AND('STERLING CATALOG - FZN &amp; CHILL'!C3701,"AAAAAHPdv8g=")</f>
        <v>#VALUE!</v>
      </c>
      <c r="GT403" t="e">
        <f>AND('STERLING CATALOG - FZN &amp; CHILL'!D3701,"AAAAAHPdv8k=")</f>
        <v>#VALUE!</v>
      </c>
      <c r="GU403" t="e">
        <f>AND('STERLING CATALOG - FZN &amp; CHILL'!E3701,"AAAAAHPdv8o=")</f>
        <v>#VALUE!</v>
      </c>
      <c r="GV403" t="e">
        <f>AND('STERLING CATALOG - FZN &amp; CHILL'!F3701,"AAAAAHPdv8s=")</f>
        <v>#VALUE!</v>
      </c>
      <c r="GW403" t="e">
        <f>AND('STERLING CATALOG - FZN &amp; CHILL'!G3701,"AAAAAHPdv8w=")</f>
        <v>#VALUE!</v>
      </c>
      <c r="GX403" t="e">
        <f>AND('STERLING CATALOG - FZN &amp; CHILL'!H3701,"AAAAAHPdv80=")</f>
        <v>#VALUE!</v>
      </c>
      <c r="GY403" t="e">
        <f>AND('STERLING CATALOG - FZN &amp; CHILL'!I3701,"AAAAAHPdv84=")</f>
        <v>#VALUE!</v>
      </c>
      <c r="GZ403" t="e">
        <f>AND('STERLING CATALOG - FZN &amp; CHILL'!J3701,"AAAAAHPdv88=")</f>
        <v>#VALUE!</v>
      </c>
      <c r="HA403">
        <f>IF('STERLING CATALOG - FZN &amp; CHILL'!3702:3702,"AAAAAHPdv9A=",0)</f>
        <v>0</v>
      </c>
      <c r="HB403" t="e">
        <f>AND('STERLING CATALOG - FZN &amp; CHILL'!A3702,"AAAAAHPdv9E=")</f>
        <v>#VALUE!</v>
      </c>
      <c r="HC403" t="e">
        <f>AND('STERLING CATALOG - FZN &amp; CHILL'!B3702,"AAAAAHPdv9I=")</f>
        <v>#VALUE!</v>
      </c>
      <c r="HD403" t="e">
        <f>AND('STERLING CATALOG - FZN &amp; CHILL'!C3702,"AAAAAHPdv9M=")</f>
        <v>#VALUE!</v>
      </c>
      <c r="HE403" t="e">
        <f>AND('STERLING CATALOG - FZN &amp; CHILL'!D3702,"AAAAAHPdv9Q=")</f>
        <v>#VALUE!</v>
      </c>
      <c r="HF403" t="e">
        <f>AND('STERLING CATALOG - FZN &amp; CHILL'!E3702,"AAAAAHPdv9U=")</f>
        <v>#VALUE!</v>
      </c>
      <c r="HG403" t="e">
        <f>AND('STERLING CATALOG - FZN &amp; CHILL'!F3702,"AAAAAHPdv9Y=")</f>
        <v>#VALUE!</v>
      </c>
      <c r="HH403" t="e">
        <f>AND('STERLING CATALOG - FZN &amp; CHILL'!G3702,"AAAAAHPdv9c=")</f>
        <v>#VALUE!</v>
      </c>
      <c r="HI403" t="e">
        <f>AND('STERLING CATALOG - FZN &amp; CHILL'!H3702,"AAAAAHPdv9g=")</f>
        <v>#VALUE!</v>
      </c>
      <c r="HJ403" t="e">
        <f>AND('STERLING CATALOG - FZN &amp; CHILL'!I3702,"AAAAAHPdv9k=")</f>
        <v>#VALUE!</v>
      </c>
      <c r="HK403" t="e">
        <f>AND('STERLING CATALOG - FZN &amp; CHILL'!J3702,"AAAAAHPdv9o=")</f>
        <v>#VALUE!</v>
      </c>
      <c r="HL403">
        <f>IF('STERLING CATALOG - FZN &amp; CHILL'!3703:3703,"AAAAAHPdv9s=",0)</f>
        <v>0</v>
      </c>
      <c r="HM403" t="e">
        <f>AND('STERLING CATALOG - FZN &amp; CHILL'!A3703,"AAAAAHPdv9w=")</f>
        <v>#VALUE!</v>
      </c>
      <c r="HN403" t="e">
        <f>AND('STERLING CATALOG - FZN &amp; CHILL'!B3703,"AAAAAHPdv90=")</f>
        <v>#VALUE!</v>
      </c>
      <c r="HO403" t="e">
        <f>AND('STERLING CATALOG - FZN &amp; CHILL'!C3703,"AAAAAHPdv94=")</f>
        <v>#VALUE!</v>
      </c>
      <c r="HP403" t="e">
        <f>AND('STERLING CATALOG - FZN &amp; CHILL'!D3703,"AAAAAHPdv98=")</f>
        <v>#VALUE!</v>
      </c>
      <c r="HQ403" t="e">
        <f>AND('STERLING CATALOG - FZN &amp; CHILL'!E3703,"AAAAAHPdv+A=")</f>
        <v>#VALUE!</v>
      </c>
      <c r="HR403" t="e">
        <f>AND('STERLING CATALOG - FZN &amp; CHILL'!F3703,"AAAAAHPdv+E=")</f>
        <v>#VALUE!</v>
      </c>
      <c r="HS403" t="e">
        <f>AND('STERLING CATALOG - FZN &amp; CHILL'!G3703,"AAAAAHPdv+I=")</f>
        <v>#VALUE!</v>
      </c>
      <c r="HT403" t="e">
        <f>AND('STERLING CATALOG - FZN &amp; CHILL'!H3703,"AAAAAHPdv+M=")</f>
        <v>#VALUE!</v>
      </c>
      <c r="HU403" t="e">
        <f>AND('STERLING CATALOG - FZN &amp; CHILL'!I3703,"AAAAAHPdv+Q=")</f>
        <v>#VALUE!</v>
      </c>
      <c r="HV403" t="e">
        <f>AND('STERLING CATALOG - FZN &amp; CHILL'!J3703,"AAAAAHPdv+U=")</f>
        <v>#VALUE!</v>
      </c>
      <c r="HW403">
        <f>IF('STERLING CATALOG - FZN &amp; CHILL'!3704:3704,"AAAAAHPdv+Y=",0)</f>
        <v>0</v>
      </c>
      <c r="HX403" t="e">
        <f>AND('STERLING CATALOG - FZN &amp; CHILL'!A3704,"AAAAAHPdv+c=")</f>
        <v>#VALUE!</v>
      </c>
      <c r="HY403" t="e">
        <f>AND('STERLING CATALOG - FZN &amp; CHILL'!B3704,"AAAAAHPdv+g=")</f>
        <v>#VALUE!</v>
      </c>
      <c r="HZ403" t="e">
        <f>AND('STERLING CATALOG - FZN &amp; CHILL'!C3704,"AAAAAHPdv+k=")</f>
        <v>#VALUE!</v>
      </c>
      <c r="IA403" t="e">
        <f>AND('STERLING CATALOG - FZN &amp; CHILL'!D3704,"AAAAAHPdv+o=")</f>
        <v>#VALUE!</v>
      </c>
      <c r="IB403" t="e">
        <f>AND('STERLING CATALOG - FZN &amp; CHILL'!E3704,"AAAAAHPdv+s=")</f>
        <v>#VALUE!</v>
      </c>
      <c r="IC403" t="e">
        <f>AND('STERLING CATALOG - FZN &amp; CHILL'!F3704,"AAAAAHPdv+w=")</f>
        <v>#VALUE!</v>
      </c>
      <c r="ID403" t="e">
        <f>AND('STERLING CATALOG - FZN &amp; CHILL'!G3704,"AAAAAHPdv+0=")</f>
        <v>#VALUE!</v>
      </c>
      <c r="IE403" t="e">
        <f>AND('STERLING CATALOG - FZN &amp; CHILL'!H3704,"AAAAAHPdv+4=")</f>
        <v>#VALUE!</v>
      </c>
      <c r="IF403" t="e">
        <f>AND('STERLING CATALOG - FZN &amp; CHILL'!I3704,"AAAAAHPdv+8=")</f>
        <v>#VALUE!</v>
      </c>
      <c r="IG403" t="e">
        <f>AND('STERLING CATALOG - FZN &amp; CHILL'!J3704,"AAAAAHPdv/A=")</f>
        <v>#VALUE!</v>
      </c>
      <c r="IH403">
        <f>IF('STERLING CATALOG - FZN &amp; CHILL'!3705:3705,"AAAAAHPdv/E=",0)</f>
        <v>0</v>
      </c>
      <c r="II403" t="e">
        <f>AND('STERLING CATALOG - FZN &amp; CHILL'!A3705,"AAAAAHPdv/I=")</f>
        <v>#VALUE!</v>
      </c>
      <c r="IJ403" t="e">
        <f>AND('STERLING CATALOG - FZN &amp; CHILL'!B3705,"AAAAAHPdv/M=")</f>
        <v>#VALUE!</v>
      </c>
      <c r="IK403" t="e">
        <f>AND('STERLING CATALOG - FZN &amp; CHILL'!C3705,"AAAAAHPdv/Q=")</f>
        <v>#VALUE!</v>
      </c>
      <c r="IL403" t="e">
        <f>AND('STERLING CATALOG - FZN &amp; CHILL'!D3705,"AAAAAHPdv/U=")</f>
        <v>#VALUE!</v>
      </c>
      <c r="IM403" t="e">
        <f>AND('STERLING CATALOG - FZN &amp; CHILL'!E3705,"AAAAAHPdv/Y=")</f>
        <v>#VALUE!</v>
      </c>
      <c r="IN403" t="e">
        <f>AND('STERLING CATALOG - FZN &amp; CHILL'!F3705,"AAAAAHPdv/c=")</f>
        <v>#VALUE!</v>
      </c>
      <c r="IO403" t="e">
        <f>AND('STERLING CATALOG - FZN &amp; CHILL'!G3705,"AAAAAHPdv/g=")</f>
        <v>#VALUE!</v>
      </c>
      <c r="IP403" t="e">
        <f>AND('STERLING CATALOG - FZN &amp; CHILL'!H3705,"AAAAAHPdv/k=")</f>
        <v>#VALUE!</v>
      </c>
      <c r="IQ403" t="e">
        <f>AND('STERLING CATALOG - FZN &amp; CHILL'!I3705,"AAAAAHPdv/o=")</f>
        <v>#VALUE!</v>
      </c>
      <c r="IR403" t="e">
        <f>AND('STERLING CATALOG - FZN &amp; CHILL'!J3705,"AAAAAHPdv/s=")</f>
        <v>#VALUE!</v>
      </c>
      <c r="IS403">
        <f>IF('STERLING CATALOG - FZN &amp; CHILL'!3706:3706,"AAAAAHPdv/w=",0)</f>
        <v>0</v>
      </c>
      <c r="IT403" t="e">
        <f>AND('STERLING CATALOG - FZN &amp; CHILL'!A3706,"AAAAAHPdv/0=")</f>
        <v>#VALUE!</v>
      </c>
      <c r="IU403" t="e">
        <f>AND('STERLING CATALOG - FZN &amp; CHILL'!B3706,"AAAAAHPdv/4=")</f>
        <v>#VALUE!</v>
      </c>
      <c r="IV403" t="e">
        <f>AND('STERLING CATALOG - FZN &amp; CHILL'!C3706,"AAAAAHPdv/8=")</f>
        <v>#VALUE!</v>
      </c>
    </row>
    <row r="404" spans="1:256">
      <c r="A404" t="e">
        <f>AND('STERLING CATALOG - FZN &amp; CHILL'!D3706,"AAAAAHd/+wA=")</f>
        <v>#VALUE!</v>
      </c>
      <c r="B404" t="e">
        <f>AND('STERLING CATALOG - FZN &amp; CHILL'!E3706,"AAAAAHd/+wE=")</f>
        <v>#VALUE!</v>
      </c>
      <c r="C404" t="e">
        <f>AND('STERLING CATALOG - FZN &amp; CHILL'!F3706,"AAAAAHd/+wI=")</f>
        <v>#VALUE!</v>
      </c>
      <c r="D404" t="e">
        <f>AND('STERLING CATALOG - FZN &amp; CHILL'!G3706,"AAAAAHd/+wM=")</f>
        <v>#VALUE!</v>
      </c>
      <c r="E404" t="e">
        <f>AND('STERLING CATALOG - FZN &amp; CHILL'!H3706,"AAAAAHd/+wQ=")</f>
        <v>#VALUE!</v>
      </c>
      <c r="F404" t="e">
        <f>AND('STERLING CATALOG - FZN &amp; CHILL'!I3706,"AAAAAHd/+wU=")</f>
        <v>#VALUE!</v>
      </c>
      <c r="G404" t="e">
        <f>AND('STERLING CATALOG - FZN &amp; CHILL'!J3706,"AAAAAHd/+wY=")</f>
        <v>#VALUE!</v>
      </c>
      <c r="H404" t="e">
        <f>IF('STERLING CATALOG - FZN &amp; CHILL'!3707:3707,"AAAAAHd/+wc=",0)</f>
        <v>#VALUE!</v>
      </c>
      <c r="I404" t="e">
        <f>AND('STERLING CATALOG - FZN &amp; CHILL'!A3707,"AAAAAHd/+wg=")</f>
        <v>#VALUE!</v>
      </c>
      <c r="J404" t="e">
        <f>AND('STERLING CATALOG - FZN &amp; CHILL'!B3707,"AAAAAHd/+wk=")</f>
        <v>#VALUE!</v>
      </c>
      <c r="K404" t="e">
        <f>AND('STERLING CATALOG - FZN &amp; CHILL'!C3707,"AAAAAHd/+wo=")</f>
        <v>#VALUE!</v>
      </c>
      <c r="L404" t="e">
        <f>AND('STERLING CATALOG - FZN &amp; CHILL'!D3707,"AAAAAHd/+ws=")</f>
        <v>#VALUE!</v>
      </c>
      <c r="M404" t="e">
        <f>AND('STERLING CATALOG - FZN &amp; CHILL'!E3707,"AAAAAHd/+ww=")</f>
        <v>#VALUE!</v>
      </c>
      <c r="N404" t="e">
        <f>AND('STERLING CATALOG - FZN &amp; CHILL'!F3707,"AAAAAHd/+w0=")</f>
        <v>#VALUE!</v>
      </c>
      <c r="O404" t="e">
        <f>AND('STERLING CATALOG - FZN &amp; CHILL'!G3707,"AAAAAHd/+w4=")</f>
        <v>#VALUE!</v>
      </c>
      <c r="P404" t="e">
        <f>AND('STERLING CATALOG - FZN &amp; CHILL'!H3707,"AAAAAHd/+w8=")</f>
        <v>#VALUE!</v>
      </c>
      <c r="Q404" t="e">
        <f>AND('STERLING CATALOG - FZN &amp; CHILL'!I3707,"AAAAAHd/+xA=")</f>
        <v>#VALUE!</v>
      </c>
      <c r="R404" t="e">
        <f>AND('STERLING CATALOG - FZN &amp; CHILL'!J3707,"AAAAAHd/+xE=")</f>
        <v>#VALUE!</v>
      </c>
      <c r="S404">
        <f>IF('STERLING CATALOG - FZN &amp; CHILL'!3708:3708,"AAAAAHd/+xI=",0)</f>
        <v>0</v>
      </c>
      <c r="T404" t="e">
        <f>AND('STERLING CATALOG - FZN &amp; CHILL'!A3708,"AAAAAHd/+xM=")</f>
        <v>#VALUE!</v>
      </c>
      <c r="U404" t="e">
        <f>AND('STERLING CATALOG - FZN &amp; CHILL'!B3708,"AAAAAHd/+xQ=")</f>
        <v>#VALUE!</v>
      </c>
      <c r="V404" t="e">
        <f>AND('STERLING CATALOG - FZN &amp; CHILL'!C3708,"AAAAAHd/+xU=")</f>
        <v>#VALUE!</v>
      </c>
      <c r="W404" t="e">
        <f>AND('STERLING CATALOG - FZN &amp; CHILL'!D3708,"AAAAAHd/+xY=")</f>
        <v>#VALUE!</v>
      </c>
      <c r="X404" t="e">
        <f>AND('STERLING CATALOG - FZN &amp; CHILL'!E3708,"AAAAAHd/+xc=")</f>
        <v>#VALUE!</v>
      </c>
      <c r="Y404" t="e">
        <f>AND('STERLING CATALOG - FZN &amp; CHILL'!F3708,"AAAAAHd/+xg=")</f>
        <v>#VALUE!</v>
      </c>
      <c r="Z404" t="e">
        <f>AND('STERLING CATALOG - FZN &amp; CHILL'!G3708,"AAAAAHd/+xk=")</f>
        <v>#VALUE!</v>
      </c>
      <c r="AA404" t="e">
        <f>AND('STERLING CATALOG - FZN &amp; CHILL'!H3708,"AAAAAHd/+xo=")</f>
        <v>#VALUE!</v>
      </c>
      <c r="AB404" t="e">
        <f>AND('STERLING CATALOG - FZN &amp; CHILL'!I3708,"AAAAAHd/+xs=")</f>
        <v>#VALUE!</v>
      </c>
      <c r="AC404" t="e">
        <f>AND('STERLING CATALOG - FZN &amp; CHILL'!J3708,"AAAAAHd/+xw=")</f>
        <v>#VALUE!</v>
      </c>
      <c r="AD404">
        <f>IF('STERLING CATALOG - FZN &amp; CHILL'!3709:3709,"AAAAAHd/+x0=",0)</f>
        <v>0</v>
      </c>
      <c r="AE404" t="e">
        <f>AND('STERLING CATALOG - FZN &amp; CHILL'!A3709,"AAAAAHd/+x4=")</f>
        <v>#VALUE!</v>
      </c>
      <c r="AF404" t="e">
        <f>AND('STERLING CATALOG - FZN &amp; CHILL'!B3709,"AAAAAHd/+x8=")</f>
        <v>#VALUE!</v>
      </c>
      <c r="AG404" t="e">
        <f>AND('STERLING CATALOG - FZN &amp; CHILL'!C3709,"AAAAAHd/+yA=")</f>
        <v>#VALUE!</v>
      </c>
      <c r="AH404" t="e">
        <f>AND('STERLING CATALOG - FZN &amp; CHILL'!D3709,"AAAAAHd/+yE=")</f>
        <v>#VALUE!</v>
      </c>
      <c r="AI404" t="e">
        <f>AND('STERLING CATALOG - FZN &amp; CHILL'!E3709,"AAAAAHd/+yI=")</f>
        <v>#VALUE!</v>
      </c>
      <c r="AJ404" t="e">
        <f>AND('STERLING CATALOG - FZN &amp; CHILL'!F3709,"AAAAAHd/+yM=")</f>
        <v>#VALUE!</v>
      </c>
      <c r="AK404" t="e">
        <f>AND('STERLING CATALOG - FZN &amp; CHILL'!G3709,"AAAAAHd/+yQ=")</f>
        <v>#VALUE!</v>
      </c>
      <c r="AL404" t="e">
        <f>AND('STERLING CATALOG - FZN &amp; CHILL'!H3709,"AAAAAHd/+yU=")</f>
        <v>#VALUE!</v>
      </c>
      <c r="AM404" t="e">
        <f>AND('STERLING CATALOG - FZN &amp; CHILL'!I3709,"AAAAAHd/+yY=")</f>
        <v>#VALUE!</v>
      </c>
      <c r="AN404" t="e">
        <f>AND('STERLING CATALOG - FZN &amp; CHILL'!J3709,"AAAAAHd/+yc=")</f>
        <v>#VALUE!</v>
      </c>
      <c r="AO404">
        <f>IF('STERLING CATALOG - FZN &amp; CHILL'!3710:3710,"AAAAAHd/+yg=",0)</f>
        <v>0</v>
      </c>
      <c r="AP404" t="e">
        <f>AND('STERLING CATALOG - FZN &amp; CHILL'!A3710,"AAAAAHd/+yk=")</f>
        <v>#VALUE!</v>
      </c>
      <c r="AQ404" t="e">
        <f>AND('STERLING CATALOG - FZN &amp; CHILL'!B3710,"AAAAAHd/+yo=")</f>
        <v>#VALUE!</v>
      </c>
      <c r="AR404" t="e">
        <f>AND('STERLING CATALOG - FZN &amp; CHILL'!C3710,"AAAAAHd/+ys=")</f>
        <v>#VALUE!</v>
      </c>
      <c r="AS404" t="e">
        <f>AND('STERLING CATALOG - FZN &amp; CHILL'!D3710,"AAAAAHd/+yw=")</f>
        <v>#VALUE!</v>
      </c>
      <c r="AT404" t="e">
        <f>AND('STERLING CATALOG - FZN &amp; CHILL'!E3710,"AAAAAHd/+y0=")</f>
        <v>#VALUE!</v>
      </c>
      <c r="AU404" t="e">
        <f>AND('STERLING CATALOG - FZN &amp; CHILL'!F3710,"AAAAAHd/+y4=")</f>
        <v>#VALUE!</v>
      </c>
      <c r="AV404" t="e">
        <f>AND('STERLING CATALOG - FZN &amp; CHILL'!G3710,"AAAAAHd/+y8=")</f>
        <v>#VALUE!</v>
      </c>
      <c r="AW404" t="e">
        <f>AND('STERLING CATALOG - FZN &amp; CHILL'!H3710,"AAAAAHd/+zA=")</f>
        <v>#VALUE!</v>
      </c>
      <c r="AX404" t="e">
        <f>AND('STERLING CATALOG - FZN &amp; CHILL'!I3710,"AAAAAHd/+zE=")</f>
        <v>#VALUE!</v>
      </c>
      <c r="AY404" t="e">
        <f>AND('STERLING CATALOG - FZN &amp; CHILL'!J3710,"AAAAAHd/+zI=")</f>
        <v>#VALUE!</v>
      </c>
      <c r="AZ404">
        <f>IF('STERLING CATALOG - FZN &amp; CHILL'!3711:3711,"AAAAAHd/+zM=",0)</f>
        <v>0</v>
      </c>
      <c r="BA404" t="e">
        <f>AND('STERLING CATALOG - FZN &amp; CHILL'!A3711,"AAAAAHd/+zQ=")</f>
        <v>#VALUE!</v>
      </c>
      <c r="BB404" t="e">
        <f>AND('STERLING CATALOG - FZN &amp; CHILL'!B3711,"AAAAAHd/+zU=")</f>
        <v>#VALUE!</v>
      </c>
      <c r="BC404" t="e">
        <f>AND('STERLING CATALOG - FZN &amp; CHILL'!C3711,"AAAAAHd/+zY=")</f>
        <v>#VALUE!</v>
      </c>
      <c r="BD404" t="e">
        <f>AND('STERLING CATALOG - FZN &amp; CHILL'!D3711,"AAAAAHd/+zc=")</f>
        <v>#VALUE!</v>
      </c>
      <c r="BE404" t="e">
        <f>AND('STERLING CATALOG - FZN &amp; CHILL'!E3711,"AAAAAHd/+zg=")</f>
        <v>#VALUE!</v>
      </c>
      <c r="BF404" t="e">
        <f>AND('STERLING CATALOG - FZN &amp; CHILL'!F3711,"AAAAAHd/+zk=")</f>
        <v>#VALUE!</v>
      </c>
      <c r="BG404" t="e">
        <f>AND('STERLING CATALOG - FZN &amp; CHILL'!G3711,"AAAAAHd/+zo=")</f>
        <v>#VALUE!</v>
      </c>
      <c r="BH404" t="e">
        <f>AND('STERLING CATALOG - FZN &amp; CHILL'!H3711,"AAAAAHd/+zs=")</f>
        <v>#VALUE!</v>
      </c>
      <c r="BI404" t="e">
        <f>AND('STERLING CATALOG - FZN &amp; CHILL'!I3711,"AAAAAHd/+zw=")</f>
        <v>#VALUE!</v>
      </c>
      <c r="BJ404" t="e">
        <f>AND('STERLING CATALOG - FZN &amp; CHILL'!J3711,"AAAAAHd/+z0=")</f>
        <v>#VALUE!</v>
      </c>
      <c r="BK404">
        <f>IF('STERLING CATALOG - FZN &amp; CHILL'!3712:3712,"AAAAAHd/+z4=",0)</f>
        <v>0</v>
      </c>
      <c r="BL404" t="e">
        <f>AND('STERLING CATALOG - FZN &amp; CHILL'!A3712,"AAAAAHd/+z8=")</f>
        <v>#VALUE!</v>
      </c>
      <c r="BM404" t="e">
        <f>AND('STERLING CATALOG - FZN &amp; CHILL'!B3712,"AAAAAHd/+0A=")</f>
        <v>#VALUE!</v>
      </c>
      <c r="BN404" t="e">
        <f>AND('STERLING CATALOG - FZN &amp; CHILL'!C3712,"AAAAAHd/+0E=")</f>
        <v>#VALUE!</v>
      </c>
      <c r="BO404" t="e">
        <f>AND('STERLING CATALOG - FZN &amp; CHILL'!D3712,"AAAAAHd/+0I=")</f>
        <v>#VALUE!</v>
      </c>
      <c r="BP404" t="e">
        <f>AND('STERLING CATALOG - FZN &amp; CHILL'!E3712,"AAAAAHd/+0M=")</f>
        <v>#VALUE!</v>
      </c>
      <c r="BQ404" t="e">
        <f>AND('STERLING CATALOG - FZN &amp; CHILL'!F3712,"AAAAAHd/+0Q=")</f>
        <v>#VALUE!</v>
      </c>
      <c r="BR404" t="e">
        <f>AND('STERLING CATALOG - FZN &amp; CHILL'!G3712,"AAAAAHd/+0U=")</f>
        <v>#VALUE!</v>
      </c>
      <c r="BS404" t="e">
        <f>AND('STERLING CATALOG - FZN &amp; CHILL'!H3712,"AAAAAHd/+0Y=")</f>
        <v>#VALUE!</v>
      </c>
      <c r="BT404" t="e">
        <f>AND('STERLING CATALOG - FZN &amp; CHILL'!I3712,"AAAAAHd/+0c=")</f>
        <v>#VALUE!</v>
      </c>
      <c r="BU404" t="e">
        <f>AND('STERLING CATALOG - FZN &amp; CHILL'!J3712,"AAAAAHd/+0g=")</f>
        <v>#VALUE!</v>
      </c>
      <c r="BV404">
        <f>IF('STERLING CATALOG - FZN &amp; CHILL'!3713:3713,"AAAAAHd/+0k=",0)</f>
        <v>0</v>
      </c>
      <c r="BW404" t="e">
        <f>AND('STERLING CATALOG - FZN &amp; CHILL'!A3713,"AAAAAHd/+0o=")</f>
        <v>#VALUE!</v>
      </c>
      <c r="BX404" t="e">
        <f>AND('STERLING CATALOG - FZN &amp; CHILL'!B3713,"AAAAAHd/+0s=")</f>
        <v>#VALUE!</v>
      </c>
      <c r="BY404" t="e">
        <f>AND('STERLING CATALOG - FZN &amp; CHILL'!C3713,"AAAAAHd/+0w=")</f>
        <v>#VALUE!</v>
      </c>
      <c r="BZ404" t="e">
        <f>AND('STERLING CATALOG - FZN &amp; CHILL'!D3713,"AAAAAHd/+00=")</f>
        <v>#VALUE!</v>
      </c>
      <c r="CA404" t="e">
        <f>AND('STERLING CATALOG - FZN &amp; CHILL'!E3713,"AAAAAHd/+04=")</f>
        <v>#VALUE!</v>
      </c>
      <c r="CB404" t="e">
        <f>AND('STERLING CATALOG - FZN &amp; CHILL'!F3713,"AAAAAHd/+08=")</f>
        <v>#VALUE!</v>
      </c>
      <c r="CC404" t="e">
        <f>AND('STERLING CATALOG - FZN &amp; CHILL'!G3713,"AAAAAHd/+1A=")</f>
        <v>#VALUE!</v>
      </c>
      <c r="CD404" t="e">
        <f>AND('STERLING CATALOG - FZN &amp; CHILL'!H3713,"AAAAAHd/+1E=")</f>
        <v>#VALUE!</v>
      </c>
      <c r="CE404" t="e">
        <f>AND('STERLING CATALOG - FZN &amp; CHILL'!I3713,"AAAAAHd/+1I=")</f>
        <v>#VALUE!</v>
      </c>
      <c r="CF404" t="e">
        <f>AND('STERLING CATALOG - FZN &amp; CHILL'!J3713,"AAAAAHd/+1M=")</f>
        <v>#VALUE!</v>
      </c>
      <c r="CG404">
        <f>IF('STERLING CATALOG - FZN &amp; CHILL'!3714:3714,"AAAAAHd/+1Q=",0)</f>
        <v>0</v>
      </c>
      <c r="CH404" t="e">
        <f>AND('STERLING CATALOG - FZN &amp; CHILL'!A3714,"AAAAAHd/+1U=")</f>
        <v>#VALUE!</v>
      </c>
      <c r="CI404" t="e">
        <f>AND('STERLING CATALOG - FZN &amp; CHILL'!B3714,"AAAAAHd/+1Y=")</f>
        <v>#VALUE!</v>
      </c>
      <c r="CJ404" t="e">
        <f>AND('STERLING CATALOG - FZN &amp; CHILL'!C3714,"AAAAAHd/+1c=")</f>
        <v>#VALUE!</v>
      </c>
      <c r="CK404" t="e">
        <f>AND('STERLING CATALOG - FZN &amp; CHILL'!D3714,"AAAAAHd/+1g=")</f>
        <v>#VALUE!</v>
      </c>
      <c r="CL404" t="e">
        <f>AND('STERLING CATALOG - FZN &amp; CHILL'!E3714,"AAAAAHd/+1k=")</f>
        <v>#VALUE!</v>
      </c>
      <c r="CM404" t="e">
        <f>AND('STERLING CATALOG - FZN &amp; CHILL'!F3714,"AAAAAHd/+1o=")</f>
        <v>#VALUE!</v>
      </c>
      <c r="CN404" t="e">
        <f>AND('STERLING CATALOG - FZN &amp; CHILL'!G3714,"AAAAAHd/+1s=")</f>
        <v>#VALUE!</v>
      </c>
      <c r="CO404" t="e">
        <f>AND('STERLING CATALOG - FZN &amp; CHILL'!H3714,"AAAAAHd/+1w=")</f>
        <v>#VALUE!</v>
      </c>
      <c r="CP404" t="e">
        <f>AND('STERLING CATALOG - FZN &amp; CHILL'!I3714,"AAAAAHd/+10=")</f>
        <v>#VALUE!</v>
      </c>
      <c r="CQ404" t="e">
        <f>AND('STERLING CATALOG - FZN &amp; CHILL'!J3714,"AAAAAHd/+14=")</f>
        <v>#VALUE!</v>
      </c>
      <c r="CR404">
        <f>IF('STERLING CATALOG - FZN &amp; CHILL'!3715:3715,"AAAAAHd/+18=",0)</f>
        <v>0</v>
      </c>
      <c r="CS404" t="e">
        <f>AND('STERLING CATALOG - FZN &amp; CHILL'!A3715,"AAAAAHd/+2A=")</f>
        <v>#VALUE!</v>
      </c>
      <c r="CT404" t="e">
        <f>AND('STERLING CATALOG - FZN &amp; CHILL'!B3715,"AAAAAHd/+2E=")</f>
        <v>#VALUE!</v>
      </c>
      <c r="CU404" t="e">
        <f>AND('STERLING CATALOG - FZN &amp; CHILL'!C3715,"AAAAAHd/+2I=")</f>
        <v>#VALUE!</v>
      </c>
      <c r="CV404" t="e">
        <f>AND('STERLING CATALOG - FZN &amp; CHILL'!D3715,"AAAAAHd/+2M=")</f>
        <v>#VALUE!</v>
      </c>
      <c r="CW404" t="e">
        <f>AND('STERLING CATALOG - FZN &amp; CHILL'!E3715,"AAAAAHd/+2Q=")</f>
        <v>#VALUE!</v>
      </c>
      <c r="CX404" t="e">
        <f>AND('STERLING CATALOG - FZN &amp; CHILL'!F3715,"AAAAAHd/+2U=")</f>
        <v>#VALUE!</v>
      </c>
      <c r="CY404" t="e">
        <f>AND('STERLING CATALOG - FZN &amp; CHILL'!G3715,"AAAAAHd/+2Y=")</f>
        <v>#VALUE!</v>
      </c>
      <c r="CZ404" t="e">
        <f>AND('STERLING CATALOG - FZN &amp; CHILL'!H3715,"AAAAAHd/+2c=")</f>
        <v>#VALUE!</v>
      </c>
      <c r="DA404" t="e">
        <f>AND('STERLING CATALOG - FZN &amp; CHILL'!I3715,"AAAAAHd/+2g=")</f>
        <v>#VALUE!</v>
      </c>
      <c r="DB404" t="e">
        <f>AND('STERLING CATALOG - FZN &amp; CHILL'!J3715,"AAAAAHd/+2k=")</f>
        <v>#VALUE!</v>
      </c>
      <c r="DC404">
        <f>IF('STERLING CATALOG - FZN &amp; CHILL'!3716:3716,"AAAAAHd/+2o=",0)</f>
        <v>0</v>
      </c>
      <c r="DD404" t="e">
        <f>AND('STERLING CATALOG - FZN &amp; CHILL'!A3716,"AAAAAHd/+2s=")</f>
        <v>#VALUE!</v>
      </c>
      <c r="DE404" t="e">
        <f>AND('STERLING CATALOG - FZN &amp; CHILL'!B3716,"AAAAAHd/+2w=")</f>
        <v>#VALUE!</v>
      </c>
      <c r="DF404" t="e">
        <f>AND('STERLING CATALOG - FZN &amp; CHILL'!C3716,"AAAAAHd/+20=")</f>
        <v>#VALUE!</v>
      </c>
      <c r="DG404" t="e">
        <f>AND('STERLING CATALOG - FZN &amp; CHILL'!D3716,"AAAAAHd/+24=")</f>
        <v>#VALUE!</v>
      </c>
      <c r="DH404" t="e">
        <f>AND('STERLING CATALOG - FZN &amp; CHILL'!E3716,"AAAAAHd/+28=")</f>
        <v>#VALUE!</v>
      </c>
      <c r="DI404" t="e">
        <f>AND('STERLING CATALOG - FZN &amp; CHILL'!F3716,"AAAAAHd/+3A=")</f>
        <v>#VALUE!</v>
      </c>
      <c r="DJ404" t="e">
        <f>AND('STERLING CATALOG - FZN &amp; CHILL'!G3716,"AAAAAHd/+3E=")</f>
        <v>#VALUE!</v>
      </c>
      <c r="DK404" t="e">
        <f>AND('STERLING CATALOG - FZN &amp; CHILL'!H3716,"AAAAAHd/+3I=")</f>
        <v>#VALUE!</v>
      </c>
      <c r="DL404" t="e">
        <f>AND('STERLING CATALOG - FZN &amp; CHILL'!I3716,"AAAAAHd/+3M=")</f>
        <v>#VALUE!</v>
      </c>
      <c r="DM404" t="e">
        <f>AND('STERLING CATALOG - FZN &amp; CHILL'!J3716,"AAAAAHd/+3Q=")</f>
        <v>#VALUE!</v>
      </c>
      <c r="DN404">
        <f>IF('STERLING CATALOG - FZN &amp; CHILL'!3717:3717,"AAAAAHd/+3U=",0)</f>
        <v>0</v>
      </c>
      <c r="DO404" t="e">
        <f>AND('STERLING CATALOG - FZN &amp; CHILL'!A3717,"AAAAAHd/+3Y=")</f>
        <v>#VALUE!</v>
      </c>
      <c r="DP404" t="e">
        <f>AND('STERLING CATALOG - FZN &amp; CHILL'!B3717,"AAAAAHd/+3c=")</f>
        <v>#VALUE!</v>
      </c>
      <c r="DQ404" t="e">
        <f>AND('STERLING CATALOG - FZN &amp; CHILL'!C3717,"AAAAAHd/+3g=")</f>
        <v>#VALUE!</v>
      </c>
      <c r="DR404" t="e">
        <f>AND('STERLING CATALOG - FZN &amp; CHILL'!D3717,"AAAAAHd/+3k=")</f>
        <v>#VALUE!</v>
      </c>
      <c r="DS404" t="e">
        <f>AND('STERLING CATALOG - FZN &amp; CHILL'!E3717,"AAAAAHd/+3o=")</f>
        <v>#VALUE!</v>
      </c>
      <c r="DT404" t="e">
        <f>AND('STERLING CATALOG - FZN &amp; CHILL'!F3717,"AAAAAHd/+3s=")</f>
        <v>#VALUE!</v>
      </c>
      <c r="DU404" t="e">
        <f>AND('STERLING CATALOG - FZN &amp; CHILL'!G3717,"AAAAAHd/+3w=")</f>
        <v>#VALUE!</v>
      </c>
      <c r="DV404" t="e">
        <f>AND('STERLING CATALOG - FZN &amp; CHILL'!H3717,"AAAAAHd/+30=")</f>
        <v>#VALUE!</v>
      </c>
      <c r="DW404" t="e">
        <f>AND('STERLING CATALOG - FZN &amp; CHILL'!I3717,"AAAAAHd/+34=")</f>
        <v>#VALUE!</v>
      </c>
      <c r="DX404" t="e">
        <f>AND('STERLING CATALOG - FZN &amp; CHILL'!J3717,"AAAAAHd/+38=")</f>
        <v>#VALUE!</v>
      </c>
      <c r="DY404">
        <f>IF('STERLING CATALOG - FZN &amp; CHILL'!3718:3718,"AAAAAHd/+4A=",0)</f>
        <v>0</v>
      </c>
      <c r="DZ404" t="e">
        <f>AND('STERLING CATALOG - FZN &amp; CHILL'!A3718,"AAAAAHd/+4E=")</f>
        <v>#VALUE!</v>
      </c>
      <c r="EA404" t="e">
        <f>AND('STERLING CATALOG - FZN &amp; CHILL'!B3718,"AAAAAHd/+4I=")</f>
        <v>#VALUE!</v>
      </c>
      <c r="EB404" t="e">
        <f>AND('STERLING CATALOG - FZN &amp; CHILL'!C3718,"AAAAAHd/+4M=")</f>
        <v>#VALUE!</v>
      </c>
      <c r="EC404" t="e">
        <f>AND('STERLING CATALOG - FZN &amp; CHILL'!D3718,"AAAAAHd/+4Q=")</f>
        <v>#VALUE!</v>
      </c>
      <c r="ED404" t="e">
        <f>AND('STERLING CATALOG - FZN &amp; CHILL'!E3718,"AAAAAHd/+4U=")</f>
        <v>#VALUE!</v>
      </c>
      <c r="EE404" t="e">
        <f>AND('STERLING CATALOG - FZN &amp; CHILL'!F3718,"AAAAAHd/+4Y=")</f>
        <v>#VALUE!</v>
      </c>
      <c r="EF404" t="e">
        <f>AND('STERLING CATALOG - FZN &amp; CHILL'!G3718,"AAAAAHd/+4c=")</f>
        <v>#VALUE!</v>
      </c>
      <c r="EG404" t="e">
        <f>AND('STERLING CATALOG - FZN &amp; CHILL'!H3718,"AAAAAHd/+4g=")</f>
        <v>#VALUE!</v>
      </c>
      <c r="EH404" t="e">
        <f>AND('STERLING CATALOG - FZN &amp; CHILL'!I3718,"AAAAAHd/+4k=")</f>
        <v>#VALUE!</v>
      </c>
      <c r="EI404" t="e">
        <f>AND('STERLING CATALOG - FZN &amp; CHILL'!J3718,"AAAAAHd/+4o=")</f>
        <v>#VALUE!</v>
      </c>
      <c r="EJ404">
        <f>IF('STERLING CATALOG - FZN &amp; CHILL'!3719:3719,"AAAAAHd/+4s=",0)</f>
        <v>0</v>
      </c>
      <c r="EK404" t="e">
        <f>AND('STERLING CATALOG - FZN &amp; CHILL'!A3719,"AAAAAHd/+4w=")</f>
        <v>#VALUE!</v>
      </c>
      <c r="EL404" t="e">
        <f>AND('STERLING CATALOG - FZN &amp; CHILL'!B3719,"AAAAAHd/+40=")</f>
        <v>#VALUE!</v>
      </c>
      <c r="EM404" t="e">
        <f>AND('STERLING CATALOG - FZN &amp; CHILL'!C3719,"AAAAAHd/+44=")</f>
        <v>#VALUE!</v>
      </c>
      <c r="EN404" t="e">
        <f>AND('STERLING CATALOG - FZN &amp; CHILL'!D3719,"AAAAAHd/+48=")</f>
        <v>#VALUE!</v>
      </c>
      <c r="EO404" t="e">
        <f>AND('STERLING CATALOG - FZN &amp; CHILL'!E3719,"AAAAAHd/+5A=")</f>
        <v>#VALUE!</v>
      </c>
      <c r="EP404" t="e">
        <f>AND('STERLING CATALOG - FZN &amp; CHILL'!F3719,"AAAAAHd/+5E=")</f>
        <v>#VALUE!</v>
      </c>
      <c r="EQ404" t="e">
        <f>AND('STERLING CATALOG - FZN &amp; CHILL'!G3719,"AAAAAHd/+5I=")</f>
        <v>#VALUE!</v>
      </c>
      <c r="ER404" t="e">
        <f>AND('STERLING CATALOG - FZN &amp; CHILL'!H3719,"AAAAAHd/+5M=")</f>
        <v>#VALUE!</v>
      </c>
      <c r="ES404" t="e">
        <f>AND('STERLING CATALOG - FZN &amp; CHILL'!I3719,"AAAAAHd/+5Q=")</f>
        <v>#VALUE!</v>
      </c>
      <c r="ET404" t="e">
        <f>AND('STERLING CATALOG - FZN &amp; CHILL'!J3719,"AAAAAHd/+5U=")</f>
        <v>#VALUE!</v>
      </c>
      <c r="EU404">
        <f>IF('STERLING CATALOG - FZN &amp; CHILL'!3720:3720,"AAAAAHd/+5Y=",0)</f>
        <v>0</v>
      </c>
      <c r="EV404" t="e">
        <f>AND('STERLING CATALOG - FZN &amp; CHILL'!A3720,"AAAAAHd/+5c=")</f>
        <v>#VALUE!</v>
      </c>
      <c r="EW404" t="e">
        <f>AND('STERLING CATALOG - FZN &amp; CHILL'!B3720,"AAAAAHd/+5g=")</f>
        <v>#VALUE!</v>
      </c>
      <c r="EX404" t="e">
        <f>AND('STERLING CATALOG - FZN &amp; CHILL'!C3720,"AAAAAHd/+5k=")</f>
        <v>#VALUE!</v>
      </c>
      <c r="EY404" t="e">
        <f>AND('STERLING CATALOG - FZN &amp; CHILL'!D3720,"AAAAAHd/+5o=")</f>
        <v>#VALUE!</v>
      </c>
      <c r="EZ404" t="e">
        <f>AND('STERLING CATALOG - FZN &amp; CHILL'!E3720,"AAAAAHd/+5s=")</f>
        <v>#VALUE!</v>
      </c>
      <c r="FA404" t="e">
        <f>AND('STERLING CATALOG - FZN &amp; CHILL'!F3720,"AAAAAHd/+5w=")</f>
        <v>#VALUE!</v>
      </c>
      <c r="FB404" t="e">
        <f>AND('STERLING CATALOG - FZN &amp; CHILL'!G3720,"AAAAAHd/+50=")</f>
        <v>#VALUE!</v>
      </c>
      <c r="FC404" t="e">
        <f>AND('STERLING CATALOG - FZN &amp; CHILL'!H3720,"AAAAAHd/+54=")</f>
        <v>#VALUE!</v>
      </c>
      <c r="FD404" t="e">
        <f>AND('STERLING CATALOG - FZN &amp; CHILL'!I3720,"AAAAAHd/+58=")</f>
        <v>#VALUE!</v>
      </c>
      <c r="FE404" t="e">
        <f>AND('STERLING CATALOG - FZN &amp; CHILL'!J3720,"AAAAAHd/+6A=")</f>
        <v>#VALUE!</v>
      </c>
      <c r="FF404">
        <f>IF('STERLING CATALOG - FZN &amp; CHILL'!3721:3721,"AAAAAHd/+6E=",0)</f>
        <v>0</v>
      </c>
      <c r="FG404" t="e">
        <f>AND('STERLING CATALOG - FZN &amp; CHILL'!A3721,"AAAAAHd/+6I=")</f>
        <v>#VALUE!</v>
      </c>
      <c r="FH404" t="e">
        <f>AND('STERLING CATALOG - FZN &amp; CHILL'!B3721,"AAAAAHd/+6M=")</f>
        <v>#VALUE!</v>
      </c>
      <c r="FI404" t="e">
        <f>AND('STERLING CATALOG - FZN &amp; CHILL'!C3721,"AAAAAHd/+6Q=")</f>
        <v>#VALUE!</v>
      </c>
      <c r="FJ404" t="e">
        <f>AND('STERLING CATALOG - FZN &amp; CHILL'!D3721,"AAAAAHd/+6U=")</f>
        <v>#VALUE!</v>
      </c>
      <c r="FK404" t="e">
        <f>AND('STERLING CATALOG - FZN &amp; CHILL'!E3721,"AAAAAHd/+6Y=")</f>
        <v>#VALUE!</v>
      </c>
      <c r="FL404" t="e">
        <f>AND('STERLING CATALOG - FZN &amp; CHILL'!F3721,"AAAAAHd/+6c=")</f>
        <v>#VALUE!</v>
      </c>
      <c r="FM404" t="e">
        <f>AND('STERLING CATALOG - FZN &amp; CHILL'!G3721,"AAAAAHd/+6g=")</f>
        <v>#VALUE!</v>
      </c>
      <c r="FN404" t="e">
        <f>AND('STERLING CATALOG - FZN &amp; CHILL'!H3721,"AAAAAHd/+6k=")</f>
        <v>#VALUE!</v>
      </c>
      <c r="FO404" t="e">
        <f>AND('STERLING CATALOG - FZN &amp; CHILL'!I3721,"AAAAAHd/+6o=")</f>
        <v>#VALUE!</v>
      </c>
      <c r="FP404" t="e">
        <f>AND('STERLING CATALOG - FZN &amp; CHILL'!J3721,"AAAAAHd/+6s=")</f>
        <v>#VALUE!</v>
      </c>
      <c r="FQ404">
        <f>IF('STERLING CATALOG - FZN &amp; CHILL'!3722:3722,"AAAAAHd/+6w=",0)</f>
        <v>0</v>
      </c>
      <c r="FR404" t="e">
        <f>AND('STERLING CATALOG - FZN &amp; CHILL'!A3722,"AAAAAHd/+60=")</f>
        <v>#VALUE!</v>
      </c>
      <c r="FS404" t="e">
        <f>AND('STERLING CATALOG - FZN &amp; CHILL'!B3722,"AAAAAHd/+64=")</f>
        <v>#VALUE!</v>
      </c>
      <c r="FT404" t="e">
        <f>AND('STERLING CATALOG - FZN &amp; CHILL'!C3722,"AAAAAHd/+68=")</f>
        <v>#VALUE!</v>
      </c>
      <c r="FU404" t="e">
        <f>AND('STERLING CATALOG - FZN &amp; CHILL'!D3722,"AAAAAHd/+7A=")</f>
        <v>#VALUE!</v>
      </c>
      <c r="FV404" t="e">
        <f>AND('STERLING CATALOG - FZN &amp; CHILL'!E3722,"AAAAAHd/+7E=")</f>
        <v>#VALUE!</v>
      </c>
      <c r="FW404" t="e">
        <f>AND('STERLING CATALOG - FZN &amp; CHILL'!F3722,"AAAAAHd/+7I=")</f>
        <v>#VALUE!</v>
      </c>
      <c r="FX404" t="e">
        <f>AND('STERLING CATALOG - FZN &amp; CHILL'!G3722,"AAAAAHd/+7M=")</f>
        <v>#VALUE!</v>
      </c>
      <c r="FY404" t="e">
        <f>AND('STERLING CATALOG - FZN &amp; CHILL'!H3722,"AAAAAHd/+7Q=")</f>
        <v>#VALUE!</v>
      </c>
      <c r="FZ404" t="e">
        <f>AND('STERLING CATALOG - FZN &amp; CHILL'!I3722,"AAAAAHd/+7U=")</f>
        <v>#VALUE!</v>
      </c>
      <c r="GA404" t="e">
        <f>AND('STERLING CATALOG - FZN &amp; CHILL'!J3722,"AAAAAHd/+7Y=")</f>
        <v>#VALUE!</v>
      </c>
      <c r="GB404">
        <f>IF('STERLING CATALOG - FZN &amp; CHILL'!3723:3723,"AAAAAHd/+7c=",0)</f>
        <v>0</v>
      </c>
      <c r="GC404" t="e">
        <f>AND('STERLING CATALOG - FZN &amp; CHILL'!A3723,"AAAAAHd/+7g=")</f>
        <v>#VALUE!</v>
      </c>
      <c r="GD404" t="e">
        <f>AND('STERLING CATALOG - FZN &amp; CHILL'!B3723,"AAAAAHd/+7k=")</f>
        <v>#VALUE!</v>
      </c>
      <c r="GE404" t="e">
        <f>AND('STERLING CATALOG - FZN &amp; CHILL'!C3723,"AAAAAHd/+7o=")</f>
        <v>#VALUE!</v>
      </c>
      <c r="GF404" t="e">
        <f>AND('STERLING CATALOG - FZN &amp; CHILL'!D3723,"AAAAAHd/+7s=")</f>
        <v>#VALUE!</v>
      </c>
      <c r="GG404" t="e">
        <f>AND('STERLING CATALOG - FZN &amp; CHILL'!E3723,"AAAAAHd/+7w=")</f>
        <v>#VALUE!</v>
      </c>
      <c r="GH404" t="e">
        <f>AND('STERLING CATALOG - FZN &amp; CHILL'!F3723,"AAAAAHd/+70=")</f>
        <v>#VALUE!</v>
      </c>
      <c r="GI404" t="e">
        <f>AND('STERLING CATALOG - FZN &amp; CHILL'!G3723,"AAAAAHd/+74=")</f>
        <v>#VALUE!</v>
      </c>
      <c r="GJ404" t="e">
        <f>AND('STERLING CATALOG - FZN &amp; CHILL'!H3723,"AAAAAHd/+78=")</f>
        <v>#VALUE!</v>
      </c>
      <c r="GK404" t="e">
        <f>AND('STERLING CATALOG - FZN &amp; CHILL'!I3723,"AAAAAHd/+8A=")</f>
        <v>#VALUE!</v>
      </c>
      <c r="GL404" t="e">
        <f>AND('STERLING CATALOG - FZN &amp; CHILL'!J3723,"AAAAAHd/+8E=")</f>
        <v>#VALUE!</v>
      </c>
      <c r="GM404">
        <f>IF('STERLING CATALOG - FZN &amp; CHILL'!3724:3724,"AAAAAHd/+8I=",0)</f>
        <v>0</v>
      </c>
      <c r="GN404" t="e">
        <f>AND('STERLING CATALOG - FZN &amp; CHILL'!A3724,"AAAAAHd/+8M=")</f>
        <v>#VALUE!</v>
      </c>
      <c r="GO404" t="e">
        <f>AND('STERLING CATALOG - FZN &amp; CHILL'!B3724,"AAAAAHd/+8Q=")</f>
        <v>#VALUE!</v>
      </c>
      <c r="GP404" t="e">
        <f>AND('STERLING CATALOG - FZN &amp; CHILL'!C3724,"AAAAAHd/+8U=")</f>
        <v>#VALUE!</v>
      </c>
      <c r="GQ404" t="e">
        <f>AND('STERLING CATALOG - FZN &amp; CHILL'!D3724,"AAAAAHd/+8Y=")</f>
        <v>#VALUE!</v>
      </c>
      <c r="GR404" t="e">
        <f>AND('STERLING CATALOG - FZN &amp; CHILL'!E3724,"AAAAAHd/+8c=")</f>
        <v>#VALUE!</v>
      </c>
      <c r="GS404" t="e">
        <f>AND('STERLING CATALOG - FZN &amp; CHILL'!F3724,"AAAAAHd/+8g=")</f>
        <v>#VALUE!</v>
      </c>
      <c r="GT404" t="e">
        <f>AND('STERLING CATALOG - FZN &amp; CHILL'!G3724,"AAAAAHd/+8k=")</f>
        <v>#VALUE!</v>
      </c>
      <c r="GU404" t="e">
        <f>AND('STERLING CATALOG - FZN &amp; CHILL'!H3724,"AAAAAHd/+8o=")</f>
        <v>#VALUE!</v>
      </c>
      <c r="GV404" t="e">
        <f>AND('STERLING CATALOG - FZN &amp; CHILL'!I3724,"AAAAAHd/+8s=")</f>
        <v>#VALUE!</v>
      </c>
      <c r="GW404" t="e">
        <f>AND('STERLING CATALOG - FZN &amp; CHILL'!J3724,"AAAAAHd/+8w=")</f>
        <v>#VALUE!</v>
      </c>
      <c r="GX404">
        <f>IF('STERLING CATALOG - FZN &amp; CHILL'!3725:3725,"AAAAAHd/+80=",0)</f>
        <v>0</v>
      </c>
      <c r="GY404" t="e">
        <f>AND('STERLING CATALOG - FZN &amp; CHILL'!A3725,"AAAAAHd/+84=")</f>
        <v>#VALUE!</v>
      </c>
      <c r="GZ404" t="e">
        <f>AND('STERLING CATALOG - FZN &amp; CHILL'!B3725,"AAAAAHd/+88=")</f>
        <v>#VALUE!</v>
      </c>
      <c r="HA404" t="e">
        <f>AND('STERLING CATALOG - FZN &amp; CHILL'!C3725,"AAAAAHd/+9A=")</f>
        <v>#VALUE!</v>
      </c>
      <c r="HB404" t="e">
        <f>AND('STERLING CATALOG - FZN &amp; CHILL'!D3725,"AAAAAHd/+9E=")</f>
        <v>#VALUE!</v>
      </c>
      <c r="HC404" t="e">
        <f>AND('STERLING CATALOG - FZN &amp; CHILL'!E3725,"AAAAAHd/+9I=")</f>
        <v>#VALUE!</v>
      </c>
      <c r="HD404" t="e">
        <f>AND('STERLING CATALOG - FZN &amp; CHILL'!F3725,"AAAAAHd/+9M=")</f>
        <v>#VALUE!</v>
      </c>
      <c r="HE404" t="e">
        <f>AND('STERLING CATALOG - FZN &amp; CHILL'!G3725,"AAAAAHd/+9Q=")</f>
        <v>#VALUE!</v>
      </c>
      <c r="HF404" t="e">
        <f>AND('STERLING CATALOG - FZN &amp; CHILL'!H3725,"AAAAAHd/+9U=")</f>
        <v>#VALUE!</v>
      </c>
      <c r="HG404" t="e">
        <f>AND('STERLING CATALOG - FZN &amp; CHILL'!I3725,"AAAAAHd/+9Y=")</f>
        <v>#VALUE!</v>
      </c>
      <c r="HH404" t="e">
        <f>AND('STERLING CATALOG - FZN &amp; CHILL'!J3725,"AAAAAHd/+9c=")</f>
        <v>#VALUE!</v>
      </c>
      <c r="HI404">
        <f>IF('STERLING CATALOG - FZN &amp; CHILL'!3726:3726,"AAAAAHd/+9g=",0)</f>
        <v>0</v>
      </c>
      <c r="HJ404" t="e">
        <f>AND('STERLING CATALOG - FZN &amp; CHILL'!A3726,"AAAAAHd/+9k=")</f>
        <v>#VALUE!</v>
      </c>
      <c r="HK404" t="e">
        <f>AND('STERLING CATALOG - FZN &amp; CHILL'!B3726,"AAAAAHd/+9o=")</f>
        <v>#VALUE!</v>
      </c>
      <c r="HL404" t="e">
        <f>AND('STERLING CATALOG - FZN &amp; CHILL'!C3726,"AAAAAHd/+9s=")</f>
        <v>#VALUE!</v>
      </c>
      <c r="HM404" t="e">
        <f>AND('STERLING CATALOG - FZN &amp; CHILL'!D3726,"AAAAAHd/+9w=")</f>
        <v>#VALUE!</v>
      </c>
      <c r="HN404" t="e">
        <f>AND('STERLING CATALOG - FZN &amp; CHILL'!E3726,"AAAAAHd/+90=")</f>
        <v>#VALUE!</v>
      </c>
      <c r="HO404" t="e">
        <f>AND('STERLING CATALOG - FZN &amp; CHILL'!F3726,"AAAAAHd/+94=")</f>
        <v>#VALUE!</v>
      </c>
      <c r="HP404" t="e">
        <f>AND('STERLING CATALOG - FZN &amp; CHILL'!G3726,"AAAAAHd/+98=")</f>
        <v>#VALUE!</v>
      </c>
      <c r="HQ404" t="e">
        <f>AND('STERLING CATALOG - FZN &amp; CHILL'!H3726,"AAAAAHd/++A=")</f>
        <v>#VALUE!</v>
      </c>
      <c r="HR404" t="e">
        <f>AND('STERLING CATALOG - FZN &amp; CHILL'!I3726,"AAAAAHd/++E=")</f>
        <v>#VALUE!</v>
      </c>
      <c r="HS404" t="e">
        <f>AND('STERLING CATALOG - FZN &amp; CHILL'!J3726,"AAAAAHd/++I=")</f>
        <v>#VALUE!</v>
      </c>
      <c r="HT404">
        <f>IF('STERLING CATALOG - FZN &amp; CHILL'!3727:3727,"AAAAAHd/++M=",0)</f>
        <v>0</v>
      </c>
      <c r="HU404" t="e">
        <f>AND('STERLING CATALOG - FZN &amp; CHILL'!A3727,"AAAAAHd/++Q=")</f>
        <v>#VALUE!</v>
      </c>
      <c r="HV404" t="e">
        <f>AND('STERLING CATALOG - FZN &amp; CHILL'!B3727,"AAAAAHd/++U=")</f>
        <v>#VALUE!</v>
      </c>
      <c r="HW404" t="e">
        <f>AND('STERLING CATALOG - FZN &amp; CHILL'!C3727,"AAAAAHd/++Y=")</f>
        <v>#VALUE!</v>
      </c>
      <c r="HX404" t="e">
        <f>AND('STERLING CATALOG - FZN &amp; CHILL'!D3727,"AAAAAHd/++c=")</f>
        <v>#VALUE!</v>
      </c>
      <c r="HY404" t="e">
        <f>AND('STERLING CATALOG - FZN &amp; CHILL'!E3727,"AAAAAHd/++g=")</f>
        <v>#VALUE!</v>
      </c>
      <c r="HZ404" t="e">
        <f>AND('STERLING CATALOG - FZN &amp; CHILL'!F3727,"AAAAAHd/++k=")</f>
        <v>#VALUE!</v>
      </c>
      <c r="IA404" t="e">
        <f>AND('STERLING CATALOG - FZN &amp; CHILL'!G3727,"AAAAAHd/++o=")</f>
        <v>#VALUE!</v>
      </c>
      <c r="IB404" t="e">
        <f>AND('STERLING CATALOG - FZN &amp; CHILL'!H3727,"AAAAAHd/++s=")</f>
        <v>#VALUE!</v>
      </c>
      <c r="IC404" t="e">
        <f>AND('STERLING CATALOG - FZN &amp; CHILL'!I3727,"AAAAAHd/++w=")</f>
        <v>#VALUE!</v>
      </c>
      <c r="ID404" t="e">
        <f>AND('STERLING CATALOG - FZN &amp; CHILL'!J3727,"AAAAAHd/++0=")</f>
        <v>#VALUE!</v>
      </c>
      <c r="IE404">
        <f>IF('STERLING CATALOG - FZN &amp; CHILL'!3728:3728,"AAAAAHd/++4=",0)</f>
        <v>0</v>
      </c>
      <c r="IF404" t="e">
        <f>AND('STERLING CATALOG - FZN &amp; CHILL'!A3728,"AAAAAHd/++8=")</f>
        <v>#VALUE!</v>
      </c>
      <c r="IG404" t="e">
        <f>AND('STERLING CATALOG - FZN &amp; CHILL'!B3728,"AAAAAHd/+/A=")</f>
        <v>#VALUE!</v>
      </c>
      <c r="IH404" t="e">
        <f>AND('STERLING CATALOG - FZN &amp; CHILL'!C3728,"AAAAAHd/+/E=")</f>
        <v>#VALUE!</v>
      </c>
      <c r="II404" t="e">
        <f>AND('STERLING CATALOG - FZN &amp; CHILL'!D3728,"AAAAAHd/+/I=")</f>
        <v>#VALUE!</v>
      </c>
      <c r="IJ404" t="e">
        <f>AND('STERLING CATALOG - FZN &amp; CHILL'!E3728,"AAAAAHd/+/M=")</f>
        <v>#VALUE!</v>
      </c>
      <c r="IK404" t="e">
        <f>AND('STERLING CATALOG - FZN &amp; CHILL'!F3728,"AAAAAHd/+/Q=")</f>
        <v>#VALUE!</v>
      </c>
      <c r="IL404" t="e">
        <f>AND('STERLING CATALOG - FZN &amp; CHILL'!G3728,"AAAAAHd/+/U=")</f>
        <v>#VALUE!</v>
      </c>
      <c r="IM404" t="e">
        <f>AND('STERLING CATALOG - FZN &amp; CHILL'!H3728,"AAAAAHd/+/Y=")</f>
        <v>#VALUE!</v>
      </c>
      <c r="IN404" t="e">
        <f>AND('STERLING CATALOG - FZN &amp; CHILL'!I3728,"AAAAAHd/+/c=")</f>
        <v>#VALUE!</v>
      </c>
      <c r="IO404" t="e">
        <f>AND('STERLING CATALOG - FZN &amp; CHILL'!J3728,"AAAAAHd/+/g=")</f>
        <v>#VALUE!</v>
      </c>
      <c r="IP404">
        <f>IF('STERLING CATALOG - FZN &amp; CHILL'!3729:3729,"AAAAAHd/+/k=",0)</f>
        <v>0</v>
      </c>
      <c r="IQ404" t="e">
        <f>AND('STERLING CATALOG - FZN &amp; CHILL'!A3729,"AAAAAHd/+/o=")</f>
        <v>#VALUE!</v>
      </c>
      <c r="IR404" t="e">
        <f>AND('STERLING CATALOG - FZN &amp; CHILL'!B3729,"AAAAAHd/+/s=")</f>
        <v>#VALUE!</v>
      </c>
      <c r="IS404" t="e">
        <f>AND('STERLING CATALOG - FZN &amp; CHILL'!C3729,"AAAAAHd/+/w=")</f>
        <v>#VALUE!</v>
      </c>
      <c r="IT404" t="e">
        <f>AND('STERLING CATALOG - FZN &amp; CHILL'!D3729,"AAAAAHd/+/0=")</f>
        <v>#VALUE!</v>
      </c>
      <c r="IU404" t="e">
        <f>AND('STERLING CATALOG - FZN &amp; CHILL'!E3729,"AAAAAHd/+/4=")</f>
        <v>#VALUE!</v>
      </c>
      <c r="IV404" t="e">
        <f>AND('STERLING CATALOG - FZN &amp; CHILL'!F3729,"AAAAAHd/+/8=")</f>
        <v>#VALUE!</v>
      </c>
    </row>
    <row r="405" spans="1:256">
      <c r="A405" t="e">
        <f>AND('STERLING CATALOG - FZN &amp; CHILL'!G3729,"AAAAAH/10AA=")</f>
        <v>#VALUE!</v>
      </c>
      <c r="B405" t="e">
        <f>AND('STERLING CATALOG - FZN &amp; CHILL'!H3729,"AAAAAH/10AE=")</f>
        <v>#VALUE!</v>
      </c>
      <c r="C405" t="e">
        <f>AND('STERLING CATALOG - FZN &amp; CHILL'!I3729,"AAAAAH/10AI=")</f>
        <v>#VALUE!</v>
      </c>
      <c r="D405" t="e">
        <f>AND('STERLING CATALOG - FZN &amp; CHILL'!J3729,"AAAAAH/10AM=")</f>
        <v>#VALUE!</v>
      </c>
      <c r="E405" t="e">
        <f>IF('STERLING CATALOG - FZN &amp; CHILL'!3730:3730,"AAAAAH/10AQ=",0)</f>
        <v>#VALUE!</v>
      </c>
      <c r="F405" t="e">
        <f>AND('STERLING CATALOG - FZN &amp; CHILL'!A3730,"AAAAAH/10AU=")</f>
        <v>#VALUE!</v>
      </c>
      <c r="G405" t="e">
        <f>AND('STERLING CATALOG - FZN &amp; CHILL'!B3730,"AAAAAH/10AY=")</f>
        <v>#VALUE!</v>
      </c>
      <c r="H405" t="e">
        <f>AND('STERLING CATALOG - FZN &amp; CHILL'!C3730,"AAAAAH/10Ac=")</f>
        <v>#VALUE!</v>
      </c>
      <c r="I405" t="e">
        <f>AND('STERLING CATALOG - FZN &amp; CHILL'!D3730,"AAAAAH/10Ag=")</f>
        <v>#VALUE!</v>
      </c>
      <c r="J405" t="e">
        <f>AND('STERLING CATALOG - FZN &amp; CHILL'!E3730,"AAAAAH/10Ak=")</f>
        <v>#VALUE!</v>
      </c>
      <c r="K405" t="e">
        <f>AND('STERLING CATALOG - FZN &amp; CHILL'!F3730,"AAAAAH/10Ao=")</f>
        <v>#VALUE!</v>
      </c>
      <c r="L405" t="e">
        <f>AND('STERLING CATALOG - FZN &amp; CHILL'!G3730,"AAAAAH/10As=")</f>
        <v>#VALUE!</v>
      </c>
      <c r="M405" t="e">
        <f>AND('STERLING CATALOG - FZN &amp; CHILL'!H3730,"AAAAAH/10Aw=")</f>
        <v>#VALUE!</v>
      </c>
      <c r="N405" t="e">
        <f>AND('STERLING CATALOG - FZN &amp; CHILL'!I3730,"AAAAAH/10A0=")</f>
        <v>#VALUE!</v>
      </c>
      <c r="O405" t="e">
        <f>AND('STERLING CATALOG - FZN &amp; CHILL'!J3730,"AAAAAH/10A4=")</f>
        <v>#VALUE!</v>
      </c>
      <c r="P405">
        <f>IF('STERLING CATALOG - FZN &amp; CHILL'!3731:3731,"AAAAAH/10A8=",0)</f>
        <v>0</v>
      </c>
      <c r="Q405" t="e">
        <f>AND('STERLING CATALOG - FZN &amp; CHILL'!A3731,"AAAAAH/10BA=")</f>
        <v>#VALUE!</v>
      </c>
      <c r="R405" t="e">
        <f>AND('STERLING CATALOG - FZN &amp; CHILL'!B3731,"AAAAAH/10BE=")</f>
        <v>#VALUE!</v>
      </c>
      <c r="S405" t="e">
        <f>AND('STERLING CATALOG - FZN &amp; CHILL'!C3731,"AAAAAH/10BI=")</f>
        <v>#VALUE!</v>
      </c>
      <c r="T405" t="e">
        <f>AND('STERLING CATALOG - FZN &amp; CHILL'!D3731,"AAAAAH/10BM=")</f>
        <v>#VALUE!</v>
      </c>
      <c r="U405" t="e">
        <f>AND('STERLING CATALOG - FZN &amp; CHILL'!E3731,"AAAAAH/10BQ=")</f>
        <v>#VALUE!</v>
      </c>
      <c r="V405" t="e">
        <f>AND('STERLING CATALOG - FZN &amp; CHILL'!F3731,"AAAAAH/10BU=")</f>
        <v>#VALUE!</v>
      </c>
      <c r="W405" t="e">
        <f>AND('STERLING CATALOG - FZN &amp; CHILL'!G3731,"AAAAAH/10BY=")</f>
        <v>#VALUE!</v>
      </c>
      <c r="X405" t="e">
        <f>AND('STERLING CATALOG - FZN &amp; CHILL'!H3731,"AAAAAH/10Bc=")</f>
        <v>#VALUE!</v>
      </c>
      <c r="Y405" t="e">
        <f>AND('STERLING CATALOG - FZN &amp; CHILL'!I3731,"AAAAAH/10Bg=")</f>
        <v>#VALUE!</v>
      </c>
      <c r="Z405" t="e">
        <f>AND('STERLING CATALOG - FZN &amp; CHILL'!J3731,"AAAAAH/10Bk=")</f>
        <v>#VALUE!</v>
      </c>
      <c r="AA405">
        <f>IF('STERLING CATALOG - FZN &amp; CHILL'!3732:3732,"AAAAAH/10Bo=",0)</f>
        <v>0</v>
      </c>
      <c r="AB405" t="e">
        <f>AND('STERLING CATALOG - FZN &amp; CHILL'!A3732,"AAAAAH/10Bs=")</f>
        <v>#VALUE!</v>
      </c>
      <c r="AC405" t="e">
        <f>AND('STERLING CATALOG - FZN &amp; CHILL'!B3732,"AAAAAH/10Bw=")</f>
        <v>#VALUE!</v>
      </c>
      <c r="AD405" t="e">
        <f>AND('STERLING CATALOG - FZN &amp; CHILL'!C3732,"AAAAAH/10B0=")</f>
        <v>#VALUE!</v>
      </c>
      <c r="AE405" t="e">
        <f>AND('STERLING CATALOG - FZN &amp; CHILL'!D3732,"AAAAAH/10B4=")</f>
        <v>#VALUE!</v>
      </c>
      <c r="AF405" t="e">
        <f>AND('STERLING CATALOG - FZN &amp; CHILL'!E3732,"AAAAAH/10B8=")</f>
        <v>#VALUE!</v>
      </c>
      <c r="AG405" t="e">
        <f>AND('STERLING CATALOG - FZN &amp; CHILL'!F3732,"AAAAAH/10CA=")</f>
        <v>#VALUE!</v>
      </c>
      <c r="AH405" t="e">
        <f>AND('STERLING CATALOG - FZN &amp; CHILL'!G3732,"AAAAAH/10CE=")</f>
        <v>#VALUE!</v>
      </c>
      <c r="AI405" t="e">
        <f>AND('STERLING CATALOG - FZN &amp; CHILL'!H3732,"AAAAAH/10CI=")</f>
        <v>#VALUE!</v>
      </c>
      <c r="AJ405" t="e">
        <f>AND('STERLING CATALOG - FZN &amp; CHILL'!I3732,"AAAAAH/10CM=")</f>
        <v>#VALUE!</v>
      </c>
      <c r="AK405" t="e">
        <f>AND('STERLING CATALOG - FZN &amp; CHILL'!J3732,"AAAAAH/10CQ=")</f>
        <v>#VALUE!</v>
      </c>
      <c r="AL405">
        <f>IF('STERLING CATALOG - FZN &amp; CHILL'!3733:3733,"AAAAAH/10CU=",0)</f>
        <v>0</v>
      </c>
      <c r="AM405" t="e">
        <f>AND('STERLING CATALOG - FZN &amp; CHILL'!A3733,"AAAAAH/10CY=")</f>
        <v>#VALUE!</v>
      </c>
      <c r="AN405" t="e">
        <f>AND('STERLING CATALOG - FZN &amp; CHILL'!B3733,"AAAAAH/10Cc=")</f>
        <v>#VALUE!</v>
      </c>
      <c r="AO405" t="e">
        <f>AND('STERLING CATALOG - FZN &amp; CHILL'!C3733,"AAAAAH/10Cg=")</f>
        <v>#VALUE!</v>
      </c>
      <c r="AP405" t="e">
        <f>AND('STERLING CATALOG - FZN &amp; CHILL'!D3733,"AAAAAH/10Ck=")</f>
        <v>#VALUE!</v>
      </c>
      <c r="AQ405" t="e">
        <f>AND('STERLING CATALOG - FZN &amp; CHILL'!E3733,"AAAAAH/10Co=")</f>
        <v>#VALUE!</v>
      </c>
      <c r="AR405" t="e">
        <f>AND('STERLING CATALOG - FZN &amp; CHILL'!F3733,"AAAAAH/10Cs=")</f>
        <v>#VALUE!</v>
      </c>
      <c r="AS405" t="e">
        <f>AND('STERLING CATALOG - FZN &amp; CHILL'!G3733,"AAAAAH/10Cw=")</f>
        <v>#VALUE!</v>
      </c>
      <c r="AT405" t="e">
        <f>AND('STERLING CATALOG - FZN &amp; CHILL'!H3733,"AAAAAH/10C0=")</f>
        <v>#VALUE!</v>
      </c>
      <c r="AU405" t="e">
        <f>AND('STERLING CATALOG - FZN &amp; CHILL'!I3733,"AAAAAH/10C4=")</f>
        <v>#VALUE!</v>
      </c>
      <c r="AV405" t="e">
        <f>AND('STERLING CATALOG - FZN &amp; CHILL'!J3733,"AAAAAH/10C8=")</f>
        <v>#VALUE!</v>
      </c>
      <c r="AW405">
        <f>IF('STERLING CATALOG - FZN &amp; CHILL'!3734:3734,"AAAAAH/10DA=",0)</f>
        <v>0</v>
      </c>
      <c r="AX405" t="e">
        <f>AND('STERLING CATALOG - FZN &amp; CHILL'!A3734,"AAAAAH/10DE=")</f>
        <v>#VALUE!</v>
      </c>
      <c r="AY405" t="e">
        <f>AND('STERLING CATALOG - FZN &amp; CHILL'!B3734,"AAAAAH/10DI=")</f>
        <v>#VALUE!</v>
      </c>
      <c r="AZ405" t="e">
        <f>AND('STERLING CATALOG - FZN &amp; CHILL'!C3734,"AAAAAH/10DM=")</f>
        <v>#VALUE!</v>
      </c>
      <c r="BA405" t="e">
        <f>AND('STERLING CATALOG - FZN &amp; CHILL'!D3734,"AAAAAH/10DQ=")</f>
        <v>#VALUE!</v>
      </c>
      <c r="BB405" t="e">
        <f>AND('STERLING CATALOG - FZN &amp; CHILL'!E3734,"AAAAAH/10DU=")</f>
        <v>#VALUE!</v>
      </c>
      <c r="BC405" t="e">
        <f>AND('STERLING CATALOG - FZN &amp; CHILL'!F3734,"AAAAAH/10DY=")</f>
        <v>#VALUE!</v>
      </c>
      <c r="BD405" t="e">
        <f>AND('STERLING CATALOG - FZN &amp; CHILL'!G3734,"AAAAAH/10Dc=")</f>
        <v>#VALUE!</v>
      </c>
      <c r="BE405" t="e">
        <f>AND('STERLING CATALOG - FZN &amp; CHILL'!H3734,"AAAAAH/10Dg=")</f>
        <v>#VALUE!</v>
      </c>
      <c r="BF405" t="e">
        <f>AND('STERLING CATALOG - FZN &amp; CHILL'!I3734,"AAAAAH/10Dk=")</f>
        <v>#VALUE!</v>
      </c>
      <c r="BG405" t="e">
        <f>AND('STERLING CATALOG - FZN &amp; CHILL'!J3734,"AAAAAH/10Do=")</f>
        <v>#VALUE!</v>
      </c>
      <c r="BH405">
        <f>IF('STERLING CATALOG - FZN &amp; CHILL'!3735:3735,"AAAAAH/10Ds=",0)</f>
        <v>0</v>
      </c>
      <c r="BI405" t="e">
        <f>AND('STERLING CATALOG - FZN &amp; CHILL'!A3735,"AAAAAH/10Dw=")</f>
        <v>#VALUE!</v>
      </c>
      <c r="BJ405" t="e">
        <f>AND('STERLING CATALOG - FZN &amp; CHILL'!B3735,"AAAAAH/10D0=")</f>
        <v>#VALUE!</v>
      </c>
      <c r="BK405" t="e">
        <f>AND('STERLING CATALOG - FZN &amp; CHILL'!C3735,"AAAAAH/10D4=")</f>
        <v>#VALUE!</v>
      </c>
      <c r="BL405" t="e">
        <f>AND('STERLING CATALOG - FZN &amp; CHILL'!D3735,"AAAAAH/10D8=")</f>
        <v>#VALUE!</v>
      </c>
      <c r="BM405" t="e">
        <f>AND('STERLING CATALOG - FZN &amp; CHILL'!E3735,"AAAAAH/10EA=")</f>
        <v>#VALUE!</v>
      </c>
      <c r="BN405" t="e">
        <f>AND('STERLING CATALOG - FZN &amp; CHILL'!F3735,"AAAAAH/10EE=")</f>
        <v>#VALUE!</v>
      </c>
      <c r="BO405" t="e">
        <f>AND('STERLING CATALOG - FZN &amp; CHILL'!G3735,"AAAAAH/10EI=")</f>
        <v>#VALUE!</v>
      </c>
      <c r="BP405" t="e">
        <f>AND('STERLING CATALOG - FZN &amp; CHILL'!H3735,"AAAAAH/10EM=")</f>
        <v>#VALUE!</v>
      </c>
      <c r="BQ405" t="e">
        <f>AND('STERLING CATALOG - FZN &amp; CHILL'!I3735,"AAAAAH/10EQ=")</f>
        <v>#VALUE!</v>
      </c>
      <c r="BR405" t="e">
        <f>AND('STERLING CATALOG - FZN &amp; CHILL'!J3735,"AAAAAH/10EU=")</f>
        <v>#VALUE!</v>
      </c>
      <c r="BS405">
        <f>IF('STERLING CATALOG - FZN &amp; CHILL'!3736:3736,"AAAAAH/10EY=",0)</f>
        <v>0</v>
      </c>
      <c r="BT405" t="e">
        <f>AND('STERLING CATALOG - FZN &amp; CHILL'!A3736,"AAAAAH/10Ec=")</f>
        <v>#VALUE!</v>
      </c>
      <c r="BU405" t="e">
        <f>AND('STERLING CATALOG - FZN &amp; CHILL'!B3736,"AAAAAH/10Eg=")</f>
        <v>#VALUE!</v>
      </c>
      <c r="BV405" t="e">
        <f>AND('STERLING CATALOG - FZN &amp; CHILL'!C3736,"AAAAAH/10Ek=")</f>
        <v>#VALUE!</v>
      </c>
      <c r="BW405" t="e">
        <f>AND('STERLING CATALOG - FZN &amp; CHILL'!D3736,"AAAAAH/10Eo=")</f>
        <v>#VALUE!</v>
      </c>
      <c r="BX405" t="e">
        <f>AND('STERLING CATALOG - FZN &amp; CHILL'!E3736,"AAAAAH/10Es=")</f>
        <v>#VALUE!</v>
      </c>
      <c r="BY405" t="e">
        <f>AND('STERLING CATALOG - FZN &amp; CHILL'!F3736,"AAAAAH/10Ew=")</f>
        <v>#VALUE!</v>
      </c>
      <c r="BZ405" t="e">
        <f>AND('STERLING CATALOG - FZN &amp; CHILL'!G3736,"AAAAAH/10E0=")</f>
        <v>#VALUE!</v>
      </c>
      <c r="CA405" t="e">
        <f>AND('STERLING CATALOG - FZN &amp; CHILL'!H3736,"AAAAAH/10E4=")</f>
        <v>#VALUE!</v>
      </c>
      <c r="CB405" t="e">
        <f>AND('STERLING CATALOG - FZN &amp; CHILL'!I3736,"AAAAAH/10E8=")</f>
        <v>#VALUE!</v>
      </c>
      <c r="CC405" t="e">
        <f>AND('STERLING CATALOG - FZN &amp; CHILL'!J3736,"AAAAAH/10FA=")</f>
        <v>#VALUE!</v>
      </c>
      <c r="CD405">
        <f>IF('STERLING CATALOG - FZN &amp; CHILL'!3737:3737,"AAAAAH/10FE=",0)</f>
        <v>0</v>
      </c>
      <c r="CE405" t="e">
        <f>AND('STERLING CATALOG - FZN &amp; CHILL'!A3737,"AAAAAH/10FI=")</f>
        <v>#VALUE!</v>
      </c>
      <c r="CF405" t="e">
        <f>AND('STERLING CATALOG - FZN &amp; CHILL'!B3737,"AAAAAH/10FM=")</f>
        <v>#VALUE!</v>
      </c>
      <c r="CG405" t="e">
        <f>AND('STERLING CATALOG - FZN &amp; CHILL'!C3737,"AAAAAH/10FQ=")</f>
        <v>#VALUE!</v>
      </c>
      <c r="CH405" t="e">
        <f>AND('STERLING CATALOG - FZN &amp; CHILL'!D3737,"AAAAAH/10FU=")</f>
        <v>#VALUE!</v>
      </c>
      <c r="CI405" t="e">
        <f>AND('STERLING CATALOG - FZN &amp; CHILL'!E3737,"AAAAAH/10FY=")</f>
        <v>#VALUE!</v>
      </c>
      <c r="CJ405" t="e">
        <f>AND('STERLING CATALOG - FZN &amp; CHILL'!F3737,"AAAAAH/10Fc=")</f>
        <v>#VALUE!</v>
      </c>
      <c r="CK405" t="e">
        <f>AND('STERLING CATALOG - FZN &amp; CHILL'!G3737,"AAAAAH/10Fg=")</f>
        <v>#VALUE!</v>
      </c>
      <c r="CL405" t="e">
        <f>AND('STERLING CATALOG - FZN &amp; CHILL'!H3737,"AAAAAH/10Fk=")</f>
        <v>#VALUE!</v>
      </c>
      <c r="CM405" t="e">
        <f>AND('STERLING CATALOG - FZN &amp; CHILL'!I3737,"AAAAAH/10Fo=")</f>
        <v>#VALUE!</v>
      </c>
      <c r="CN405" t="e">
        <f>AND('STERLING CATALOG - FZN &amp; CHILL'!J3737,"AAAAAH/10Fs=")</f>
        <v>#VALUE!</v>
      </c>
      <c r="CO405">
        <f>IF('STERLING CATALOG - FZN &amp; CHILL'!3738:3738,"AAAAAH/10Fw=",0)</f>
        <v>0</v>
      </c>
      <c r="CP405" t="e">
        <f>AND('STERLING CATALOG - FZN &amp; CHILL'!A3738,"AAAAAH/10F0=")</f>
        <v>#VALUE!</v>
      </c>
      <c r="CQ405" t="e">
        <f>AND('STERLING CATALOG - FZN &amp; CHILL'!B3738,"AAAAAH/10F4=")</f>
        <v>#VALUE!</v>
      </c>
      <c r="CR405" t="e">
        <f>AND('STERLING CATALOG - FZN &amp; CHILL'!C3738,"AAAAAH/10F8=")</f>
        <v>#VALUE!</v>
      </c>
      <c r="CS405" t="e">
        <f>AND('STERLING CATALOG - FZN &amp; CHILL'!D3738,"AAAAAH/10GA=")</f>
        <v>#VALUE!</v>
      </c>
      <c r="CT405" t="e">
        <f>AND('STERLING CATALOG - FZN &amp; CHILL'!E3738,"AAAAAH/10GE=")</f>
        <v>#VALUE!</v>
      </c>
      <c r="CU405" t="e">
        <f>AND('STERLING CATALOG - FZN &amp; CHILL'!F3738,"AAAAAH/10GI=")</f>
        <v>#VALUE!</v>
      </c>
      <c r="CV405" t="e">
        <f>AND('STERLING CATALOG - FZN &amp; CHILL'!G3738,"AAAAAH/10GM=")</f>
        <v>#VALUE!</v>
      </c>
      <c r="CW405" t="e">
        <f>AND('STERLING CATALOG - FZN &amp; CHILL'!H3738,"AAAAAH/10GQ=")</f>
        <v>#VALUE!</v>
      </c>
      <c r="CX405" t="e">
        <f>AND('STERLING CATALOG - FZN &amp; CHILL'!I3738,"AAAAAH/10GU=")</f>
        <v>#VALUE!</v>
      </c>
      <c r="CY405" t="e">
        <f>AND('STERLING CATALOG - FZN &amp; CHILL'!J3738,"AAAAAH/10GY=")</f>
        <v>#VALUE!</v>
      </c>
      <c r="CZ405">
        <f>IF('STERLING CATALOG - FZN &amp; CHILL'!3739:3739,"AAAAAH/10Gc=",0)</f>
        <v>0</v>
      </c>
      <c r="DA405" t="e">
        <f>AND('STERLING CATALOG - FZN &amp; CHILL'!A3739,"AAAAAH/10Gg=")</f>
        <v>#VALUE!</v>
      </c>
      <c r="DB405" t="e">
        <f>AND('STERLING CATALOG - FZN &amp; CHILL'!B3739,"AAAAAH/10Gk=")</f>
        <v>#VALUE!</v>
      </c>
      <c r="DC405" t="e">
        <f>AND('STERLING CATALOG - FZN &amp; CHILL'!C3739,"AAAAAH/10Go=")</f>
        <v>#VALUE!</v>
      </c>
      <c r="DD405" t="e">
        <f>AND('STERLING CATALOG - FZN &amp; CHILL'!D3739,"AAAAAH/10Gs=")</f>
        <v>#VALUE!</v>
      </c>
      <c r="DE405" t="e">
        <f>AND('STERLING CATALOG - FZN &amp; CHILL'!E3739,"AAAAAH/10Gw=")</f>
        <v>#VALUE!</v>
      </c>
      <c r="DF405" t="e">
        <f>AND('STERLING CATALOG - FZN &amp; CHILL'!F3739,"AAAAAH/10G0=")</f>
        <v>#VALUE!</v>
      </c>
      <c r="DG405" t="e">
        <f>AND('STERLING CATALOG - FZN &amp; CHILL'!G3739,"AAAAAH/10G4=")</f>
        <v>#VALUE!</v>
      </c>
      <c r="DH405" t="e">
        <f>AND('STERLING CATALOG - FZN &amp; CHILL'!H3739,"AAAAAH/10G8=")</f>
        <v>#VALUE!</v>
      </c>
      <c r="DI405" t="e">
        <f>AND('STERLING CATALOG - FZN &amp; CHILL'!I3739,"AAAAAH/10HA=")</f>
        <v>#VALUE!</v>
      </c>
      <c r="DJ405" t="e">
        <f>AND('STERLING CATALOG - FZN &amp; CHILL'!J3739,"AAAAAH/10HE=")</f>
        <v>#VALUE!</v>
      </c>
      <c r="DK405">
        <f>IF('STERLING CATALOG - FZN &amp; CHILL'!3740:3740,"AAAAAH/10HI=",0)</f>
        <v>0</v>
      </c>
      <c r="DL405" t="e">
        <f>AND('STERLING CATALOG - FZN &amp; CHILL'!A3740,"AAAAAH/10HM=")</f>
        <v>#VALUE!</v>
      </c>
      <c r="DM405" t="e">
        <f>AND('STERLING CATALOG - FZN &amp; CHILL'!B3740,"AAAAAH/10HQ=")</f>
        <v>#VALUE!</v>
      </c>
      <c r="DN405" t="e">
        <f>AND('STERLING CATALOG - FZN &amp; CHILL'!C3740,"AAAAAH/10HU=")</f>
        <v>#VALUE!</v>
      </c>
      <c r="DO405" t="e">
        <f>AND('STERLING CATALOG - FZN &amp; CHILL'!D3740,"AAAAAH/10HY=")</f>
        <v>#VALUE!</v>
      </c>
      <c r="DP405" t="e">
        <f>AND('STERLING CATALOG - FZN &amp; CHILL'!E3740,"AAAAAH/10Hc=")</f>
        <v>#VALUE!</v>
      </c>
      <c r="DQ405" t="e">
        <f>AND('STERLING CATALOG - FZN &amp; CHILL'!F3740,"AAAAAH/10Hg=")</f>
        <v>#VALUE!</v>
      </c>
      <c r="DR405" t="e">
        <f>AND('STERLING CATALOG - FZN &amp; CHILL'!G3740,"AAAAAH/10Hk=")</f>
        <v>#VALUE!</v>
      </c>
      <c r="DS405" t="e">
        <f>AND('STERLING CATALOG - FZN &amp; CHILL'!H3740,"AAAAAH/10Ho=")</f>
        <v>#VALUE!</v>
      </c>
      <c r="DT405" t="e">
        <f>AND('STERLING CATALOG - FZN &amp; CHILL'!I3740,"AAAAAH/10Hs=")</f>
        <v>#VALUE!</v>
      </c>
      <c r="DU405" t="e">
        <f>AND('STERLING CATALOG - FZN &amp; CHILL'!J3740,"AAAAAH/10Hw=")</f>
        <v>#VALUE!</v>
      </c>
      <c r="DV405">
        <f>IF('STERLING CATALOG - FZN &amp; CHILL'!3741:3741,"AAAAAH/10H0=",0)</f>
        <v>0</v>
      </c>
      <c r="DW405" t="e">
        <f>AND('STERLING CATALOG - FZN &amp; CHILL'!A3741,"AAAAAH/10H4=")</f>
        <v>#VALUE!</v>
      </c>
      <c r="DX405" t="e">
        <f>AND('STERLING CATALOG - FZN &amp; CHILL'!B3741,"AAAAAH/10H8=")</f>
        <v>#VALUE!</v>
      </c>
      <c r="DY405" t="e">
        <f>AND('STERLING CATALOG - FZN &amp; CHILL'!C3741,"AAAAAH/10IA=")</f>
        <v>#VALUE!</v>
      </c>
      <c r="DZ405" t="e">
        <f>AND('STERLING CATALOG - FZN &amp; CHILL'!D3741,"AAAAAH/10IE=")</f>
        <v>#VALUE!</v>
      </c>
      <c r="EA405" t="e">
        <f>AND('STERLING CATALOG - FZN &amp; CHILL'!E3741,"AAAAAH/10II=")</f>
        <v>#VALUE!</v>
      </c>
      <c r="EB405" t="e">
        <f>AND('STERLING CATALOG - FZN &amp; CHILL'!F3741,"AAAAAH/10IM=")</f>
        <v>#VALUE!</v>
      </c>
      <c r="EC405" t="e">
        <f>AND('STERLING CATALOG - FZN &amp; CHILL'!G3741,"AAAAAH/10IQ=")</f>
        <v>#VALUE!</v>
      </c>
      <c r="ED405" t="e">
        <f>AND('STERLING CATALOG - FZN &amp; CHILL'!H3741,"AAAAAH/10IU=")</f>
        <v>#VALUE!</v>
      </c>
      <c r="EE405" t="e">
        <f>AND('STERLING CATALOG - FZN &amp; CHILL'!I3741,"AAAAAH/10IY=")</f>
        <v>#VALUE!</v>
      </c>
      <c r="EF405" t="e">
        <f>AND('STERLING CATALOG - FZN &amp; CHILL'!J3741,"AAAAAH/10Ic=")</f>
        <v>#VALUE!</v>
      </c>
      <c r="EG405">
        <f>IF('STERLING CATALOG - FZN &amp; CHILL'!3742:3742,"AAAAAH/10Ig=",0)</f>
        <v>0</v>
      </c>
      <c r="EH405" t="e">
        <f>AND('STERLING CATALOG - FZN &amp; CHILL'!A3742,"AAAAAH/10Ik=")</f>
        <v>#VALUE!</v>
      </c>
      <c r="EI405" t="e">
        <f>AND('STERLING CATALOG - FZN &amp; CHILL'!B3742,"AAAAAH/10Io=")</f>
        <v>#VALUE!</v>
      </c>
      <c r="EJ405" t="e">
        <f>AND('STERLING CATALOG - FZN &amp; CHILL'!C3742,"AAAAAH/10Is=")</f>
        <v>#VALUE!</v>
      </c>
      <c r="EK405" t="e">
        <f>AND('STERLING CATALOG - FZN &amp; CHILL'!D3742,"AAAAAH/10Iw=")</f>
        <v>#VALUE!</v>
      </c>
      <c r="EL405" t="e">
        <f>AND('STERLING CATALOG - FZN &amp; CHILL'!E3742,"AAAAAH/10I0=")</f>
        <v>#VALUE!</v>
      </c>
      <c r="EM405" t="e">
        <f>AND('STERLING CATALOG - FZN &amp; CHILL'!F3742,"AAAAAH/10I4=")</f>
        <v>#VALUE!</v>
      </c>
      <c r="EN405" t="e">
        <f>AND('STERLING CATALOG - FZN &amp; CHILL'!G3742,"AAAAAH/10I8=")</f>
        <v>#VALUE!</v>
      </c>
      <c r="EO405" t="e">
        <f>AND('STERLING CATALOG - FZN &amp; CHILL'!H3742,"AAAAAH/10JA=")</f>
        <v>#VALUE!</v>
      </c>
      <c r="EP405" t="e">
        <f>AND('STERLING CATALOG - FZN &amp; CHILL'!I3742,"AAAAAH/10JE=")</f>
        <v>#VALUE!</v>
      </c>
      <c r="EQ405" t="e">
        <f>AND('STERLING CATALOG - FZN &amp; CHILL'!J3742,"AAAAAH/10JI=")</f>
        <v>#VALUE!</v>
      </c>
      <c r="ER405">
        <f>IF('STERLING CATALOG - FZN &amp; CHILL'!3743:3743,"AAAAAH/10JM=",0)</f>
        <v>0</v>
      </c>
      <c r="ES405" t="e">
        <f>AND('STERLING CATALOG - FZN &amp; CHILL'!A3743,"AAAAAH/10JQ=")</f>
        <v>#VALUE!</v>
      </c>
      <c r="ET405" t="e">
        <f>AND('STERLING CATALOG - FZN &amp; CHILL'!B3743,"AAAAAH/10JU=")</f>
        <v>#VALUE!</v>
      </c>
      <c r="EU405" t="e">
        <f>AND('STERLING CATALOG - FZN &amp; CHILL'!C3743,"AAAAAH/10JY=")</f>
        <v>#VALUE!</v>
      </c>
      <c r="EV405" t="e">
        <f>AND('STERLING CATALOG - FZN &amp; CHILL'!D3743,"AAAAAH/10Jc=")</f>
        <v>#VALUE!</v>
      </c>
      <c r="EW405" t="e">
        <f>AND('STERLING CATALOG - FZN &amp; CHILL'!E3743,"AAAAAH/10Jg=")</f>
        <v>#VALUE!</v>
      </c>
      <c r="EX405" t="e">
        <f>AND('STERLING CATALOG - FZN &amp; CHILL'!F3743,"AAAAAH/10Jk=")</f>
        <v>#VALUE!</v>
      </c>
      <c r="EY405" t="e">
        <f>AND('STERLING CATALOG - FZN &amp; CHILL'!G3743,"AAAAAH/10Jo=")</f>
        <v>#VALUE!</v>
      </c>
      <c r="EZ405" t="e">
        <f>AND('STERLING CATALOG - FZN &amp; CHILL'!H3743,"AAAAAH/10Js=")</f>
        <v>#VALUE!</v>
      </c>
      <c r="FA405" t="e">
        <f>AND('STERLING CATALOG - FZN &amp; CHILL'!I3743,"AAAAAH/10Jw=")</f>
        <v>#VALUE!</v>
      </c>
      <c r="FB405" t="e">
        <f>AND('STERLING CATALOG - FZN &amp; CHILL'!J3743,"AAAAAH/10J0=")</f>
        <v>#VALUE!</v>
      </c>
      <c r="FC405">
        <f>IF('STERLING CATALOG - FZN &amp; CHILL'!3744:3744,"AAAAAH/10J4=",0)</f>
        <v>0</v>
      </c>
      <c r="FD405" t="e">
        <f>AND('STERLING CATALOG - FZN &amp; CHILL'!A3744,"AAAAAH/10J8=")</f>
        <v>#VALUE!</v>
      </c>
      <c r="FE405" t="e">
        <f>AND('STERLING CATALOG - FZN &amp; CHILL'!B3744,"AAAAAH/10KA=")</f>
        <v>#VALUE!</v>
      </c>
      <c r="FF405" t="e">
        <f>AND('STERLING CATALOG - FZN &amp; CHILL'!C3744,"AAAAAH/10KE=")</f>
        <v>#VALUE!</v>
      </c>
      <c r="FG405" t="e">
        <f>AND('STERLING CATALOG - FZN &amp; CHILL'!D3744,"AAAAAH/10KI=")</f>
        <v>#VALUE!</v>
      </c>
      <c r="FH405" t="e">
        <f>AND('STERLING CATALOG - FZN &amp; CHILL'!E3744,"AAAAAH/10KM=")</f>
        <v>#VALUE!</v>
      </c>
      <c r="FI405" t="e">
        <f>AND('STERLING CATALOG - FZN &amp; CHILL'!F3744,"AAAAAH/10KQ=")</f>
        <v>#VALUE!</v>
      </c>
      <c r="FJ405" t="e">
        <f>AND('STERLING CATALOG - FZN &amp; CHILL'!G3744,"AAAAAH/10KU=")</f>
        <v>#VALUE!</v>
      </c>
      <c r="FK405" t="e">
        <f>AND('STERLING CATALOG - FZN &amp; CHILL'!H3744,"AAAAAH/10KY=")</f>
        <v>#VALUE!</v>
      </c>
      <c r="FL405" t="e">
        <f>AND('STERLING CATALOG - FZN &amp; CHILL'!I3744,"AAAAAH/10Kc=")</f>
        <v>#VALUE!</v>
      </c>
      <c r="FM405" t="e">
        <f>AND('STERLING CATALOG - FZN &amp; CHILL'!J3744,"AAAAAH/10Kg=")</f>
        <v>#VALUE!</v>
      </c>
      <c r="FN405">
        <f>IF('STERLING CATALOG - FZN &amp; CHILL'!3745:3745,"AAAAAH/10Kk=",0)</f>
        <v>0</v>
      </c>
      <c r="FO405" t="e">
        <f>AND('STERLING CATALOG - FZN &amp; CHILL'!A3745,"AAAAAH/10Ko=")</f>
        <v>#VALUE!</v>
      </c>
      <c r="FP405" t="e">
        <f>AND('STERLING CATALOG - FZN &amp; CHILL'!B3745,"AAAAAH/10Ks=")</f>
        <v>#VALUE!</v>
      </c>
      <c r="FQ405" t="e">
        <f>AND('STERLING CATALOG - FZN &amp; CHILL'!C3745,"AAAAAH/10Kw=")</f>
        <v>#VALUE!</v>
      </c>
      <c r="FR405" t="e">
        <f>AND('STERLING CATALOG - FZN &amp; CHILL'!D3745,"AAAAAH/10K0=")</f>
        <v>#VALUE!</v>
      </c>
      <c r="FS405" t="e">
        <f>AND('STERLING CATALOG - FZN &amp; CHILL'!E3745,"AAAAAH/10K4=")</f>
        <v>#VALUE!</v>
      </c>
      <c r="FT405" t="e">
        <f>AND('STERLING CATALOG - FZN &amp; CHILL'!F3745,"AAAAAH/10K8=")</f>
        <v>#VALUE!</v>
      </c>
      <c r="FU405" t="e">
        <f>AND('STERLING CATALOG - FZN &amp; CHILL'!G3745,"AAAAAH/10LA=")</f>
        <v>#VALUE!</v>
      </c>
      <c r="FV405" t="e">
        <f>AND('STERLING CATALOG - FZN &amp; CHILL'!H3745,"AAAAAH/10LE=")</f>
        <v>#VALUE!</v>
      </c>
      <c r="FW405" t="e">
        <f>AND('STERLING CATALOG - FZN &amp; CHILL'!I3745,"AAAAAH/10LI=")</f>
        <v>#VALUE!</v>
      </c>
      <c r="FX405" t="e">
        <f>AND('STERLING CATALOG - FZN &amp; CHILL'!J3745,"AAAAAH/10LM=")</f>
        <v>#VALUE!</v>
      </c>
      <c r="FY405">
        <f>IF('STERLING CATALOG - FZN &amp; CHILL'!3746:3746,"AAAAAH/10LQ=",0)</f>
        <v>0</v>
      </c>
      <c r="FZ405" t="e">
        <f>AND('STERLING CATALOG - FZN &amp; CHILL'!A3746,"AAAAAH/10LU=")</f>
        <v>#VALUE!</v>
      </c>
      <c r="GA405" t="e">
        <f>AND('STERLING CATALOG - FZN &amp; CHILL'!B3746,"AAAAAH/10LY=")</f>
        <v>#VALUE!</v>
      </c>
      <c r="GB405" t="e">
        <f>AND('STERLING CATALOG - FZN &amp; CHILL'!C3746,"AAAAAH/10Lc=")</f>
        <v>#VALUE!</v>
      </c>
      <c r="GC405" t="e">
        <f>AND('STERLING CATALOG - FZN &amp; CHILL'!D3746,"AAAAAH/10Lg=")</f>
        <v>#VALUE!</v>
      </c>
      <c r="GD405" t="e">
        <f>AND('STERLING CATALOG - FZN &amp; CHILL'!E3746,"AAAAAH/10Lk=")</f>
        <v>#VALUE!</v>
      </c>
      <c r="GE405" t="e">
        <f>AND('STERLING CATALOG - FZN &amp; CHILL'!F3746,"AAAAAH/10Lo=")</f>
        <v>#VALUE!</v>
      </c>
      <c r="GF405" t="e">
        <f>AND('STERLING CATALOG - FZN &amp; CHILL'!G3746,"AAAAAH/10Ls=")</f>
        <v>#VALUE!</v>
      </c>
      <c r="GG405" t="e">
        <f>AND('STERLING CATALOG - FZN &amp; CHILL'!H3746,"AAAAAH/10Lw=")</f>
        <v>#VALUE!</v>
      </c>
      <c r="GH405" t="e">
        <f>AND('STERLING CATALOG - FZN &amp; CHILL'!I3746,"AAAAAH/10L0=")</f>
        <v>#VALUE!</v>
      </c>
      <c r="GI405" t="e">
        <f>AND('STERLING CATALOG - FZN &amp; CHILL'!J3746,"AAAAAH/10L4=")</f>
        <v>#VALUE!</v>
      </c>
      <c r="GJ405">
        <f>IF('STERLING CATALOG - FZN &amp; CHILL'!3747:3747,"AAAAAH/10L8=",0)</f>
        <v>0</v>
      </c>
      <c r="GK405" t="e">
        <f>AND('STERLING CATALOG - FZN &amp; CHILL'!A3747,"AAAAAH/10MA=")</f>
        <v>#VALUE!</v>
      </c>
      <c r="GL405" t="e">
        <f>AND('STERLING CATALOG - FZN &amp; CHILL'!B3747,"AAAAAH/10ME=")</f>
        <v>#VALUE!</v>
      </c>
      <c r="GM405" t="e">
        <f>AND('STERLING CATALOG - FZN &amp; CHILL'!C3747,"AAAAAH/10MI=")</f>
        <v>#VALUE!</v>
      </c>
      <c r="GN405" t="e">
        <f>AND('STERLING CATALOG - FZN &amp; CHILL'!D3747,"AAAAAH/10MM=")</f>
        <v>#VALUE!</v>
      </c>
      <c r="GO405" t="e">
        <f>AND('STERLING CATALOG - FZN &amp; CHILL'!E3747,"AAAAAH/10MQ=")</f>
        <v>#VALUE!</v>
      </c>
      <c r="GP405" t="e">
        <f>AND('STERLING CATALOG - FZN &amp; CHILL'!F3747,"AAAAAH/10MU=")</f>
        <v>#VALUE!</v>
      </c>
      <c r="GQ405" t="e">
        <f>AND('STERLING CATALOG - FZN &amp; CHILL'!G3747,"AAAAAH/10MY=")</f>
        <v>#VALUE!</v>
      </c>
      <c r="GR405" t="e">
        <f>AND('STERLING CATALOG - FZN &amp; CHILL'!H3747,"AAAAAH/10Mc=")</f>
        <v>#VALUE!</v>
      </c>
      <c r="GS405" t="e">
        <f>AND('STERLING CATALOG - FZN &amp; CHILL'!I3747,"AAAAAH/10Mg=")</f>
        <v>#VALUE!</v>
      </c>
      <c r="GT405" t="e">
        <f>AND('STERLING CATALOG - FZN &amp; CHILL'!J3747,"AAAAAH/10Mk=")</f>
        <v>#VALUE!</v>
      </c>
      <c r="GU405">
        <f>IF('STERLING CATALOG - FZN &amp; CHILL'!3748:3748,"AAAAAH/10Mo=",0)</f>
        <v>0</v>
      </c>
      <c r="GV405" t="e">
        <f>AND('STERLING CATALOG - FZN &amp; CHILL'!A3748,"AAAAAH/10Ms=")</f>
        <v>#VALUE!</v>
      </c>
      <c r="GW405" t="e">
        <f>AND('STERLING CATALOG - FZN &amp; CHILL'!B3748,"AAAAAH/10Mw=")</f>
        <v>#VALUE!</v>
      </c>
      <c r="GX405" t="e">
        <f>AND('STERLING CATALOG - FZN &amp; CHILL'!C3748,"AAAAAH/10M0=")</f>
        <v>#VALUE!</v>
      </c>
      <c r="GY405" t="e">
        <f>AND('STERLING CATALOG - FZN &amp; CHILL'!D3748,"AAAAAH/10M4=")</f>
        <v>#VALUE!</v>
      </c>
      <c r="GZ405" t="e">
        <f>AND('STERLING CATALOG - FZN &amp; CHILL'!E3748,"AAAAAH/10M8=")</f>
        <v>#VALUE!</v>
      </c>
      <c r="HA405" t="e">
        <f>AND('STERLING CATALOG - FZN &amp; CHILL'!F3748,"AAAAAH/10NA=")</f>
        <v>#VALUE!</v>
      </c>
      <c r="HB405" t="e">
        <f>AND('STERLING CATALOG - FZN &amp; CHILL'!G3748,"AAAAAH/10NE=")</f>
        <v>#VALUE!</v>
      </c>
      <c r="HC405" t="e">
        <f>AND('STERLING CATALOG - FZN &amp; CHILL'!H3748,"AAAAAH/10NI=")</f>
        <v>#VALUE!</v>
      </c>
      <c r="HD405" t="e">
        <f>AND('STERLING CATALOG - FZN &amp; CHILL'!I3748,"AAAAAH/10NM=")</f>
        <v>#VALUE!</v>
      </c>
      <c r="HE405" t="e">
        <f>AND('STERLING CATALOG - FZN &amp; CHILL'!J3748,"AAAAAH/10NQ=")</f>
        <v>#VALUE!</v>
      </c>
      <c r="HF405">
        <f>IF('STERLING CATALOG - FZN &amp; CHILL'!3749:3749,"AAAAAH/10NU=",0)</f>
        <v>0</v>
      </c>
      <c r="HG405" t="e">
        <f>AND('STERLING CATALOG - FZN &amp; CHILL'!A3749,"AAAAAH/10NY=")</f>
        <v>#VALUE!</v>
      </c>
      <c r="HH405" t="e">
        <f>AND('STERLING CATALOG - FZN &amp; CHILL'!B3749,"AAAAAH/10Nc=")</f>
        <v>#VALUE!</v>
      </c>
      <c r="HI405" t="e">
        <f>AND('STERLING CATALOG - FZN &amp; CHILL'!C3749,"AAAAAH/10Ng=")</f>
        <v>#VALUE!</v>
      </c>
      <c r="HJ405" t="e">
        <f>AND('STERLING CATALOG - FZN &amp; CHILL'!D3749,"AAAAAH/10Nk=")</f>
        <v>#VALUE!</v>
      </c>
      <c r="HK405" t="e">
        <f>AND('STERLING CATALOG - FZN &amp; CHILL'!E3749,"AAAAAH/10No=")</f>
        <v>#VALUE!</v>
      </c>
      <c r="HL405" t="e">
        <f>AND('STERLING CATALOG - FZN &amp; CHILL'!F3749,"AAAAAH/10Ns=")</f>
        <v>#VALUE!</v>
      </c>
      <c r="HM405" t="e">
        <f>AND('STERLING CATALOG - FZN &amp; CHILL'!G3749,"AAAAAH/10Nw=")</f>
        <v>#VALUE!</v>
      </c>
      <c r="HN405" t="e">
        <f>AND('STERLING CATALOG - FZN &amp; CHILL'!H3749,"AAAAAH/10N0=")</f>
        <v>#VALUE!</v>
      </c>
      <c r="HO405" t="e">
        <f>AND('STERLING CATALOG - FZN &amp; CHILL'!I3749,"AAAAAH/10N4=")</f>
        <v>#VALUE!</v>
      </c>
      <c r="HP405" t="e">
        <f>AND('STERLING CATALOG - FZN &amp; CHILL'!J3749,"AAAAAH/10N8=")</f>
        <v>#VALUE!</v>
      </c>
      <c r="HQ405">
        <f>IF('STERLING CATALOG - FZN &amp; CHILL'!3750:3750,"AAAAAH/10OA=",0)</f>
        <v>0</v>
      </c>
      <c r="HR405" t="e">
        <f>AND('STERLING CATALOG - FZN &amp; CHILL'!A3750,"AAAAAH/10OE=")</f>
        <v>#VALUE!</v>
      </c>
      <c r="HS405" t="e">
        <f>AND('STERLING CATALOG - FZN &amp; CHILL'!B3750,"AAAAAH/10OI=")</f>
        <v>#VALUE!</v>
      </c>
      <c r="HT405" t="e">
        <f>AND('STERLING CATALOG - FZN &amp; CHILL'!C3750,"AAAAAH/10OM=")</f>
        <v>#VALUE!</v>
      </c>
      <c r="HU405" t="e">
        <f>AND('STERLING CATALOG - FZN &amp; CHILL'!D3750,"AAAAAH/10OQ=")</f>
        <v>#VALUE!</v>
      </c>
      <c r="HV405" t="e">
        <f>AND('STERLING CATALOG - FZN &amp; CHILL'!E3750,"AAAAAH/10OU=")</f>
        <v>#VALUE!</v>
      </c>
      <c r="HW405" t="e">
        <f>AND('STERLING CATALOG - FZN &amp; CHILL'!F3750,"AAAAAH/10OY=")</f>
        <v>#VALUE!</v>
      </c>
      <c r="HX405" t="e">
        <f>AND('STERLING CATALOG - FZN &amp; CHILL'!G3750,"AAAAAH/10Oc=")</f>
        <v>#VALUE!</v>
      </c>
      <c r="HY405" t="e">
        <f>AND('STERLING CATALOG - FZN &amp; CHILL'!H3750,"AAAAAH/10Og=")</f>
        <v>#VALUE!</v>
      </c>
      <c r="HZ405" t="e">
        <f>AND('STERLING CATALOG - FZN &amp; CHILL'!I3750,"AAAAAH/10Ok=")</f>
        <v>#VALUE!</v>
      </c>
      <c r="IA405" t="e">
        <f>AND('STERLING CATALOG - FZN &amp; CHILL'!J3750,"AAAAAH/10Oo=")</f>
        <v>#VALUE!</v>
      </c>
      <c r="IB405">
        <f>IF('STERLING CATALOG - FZN &amp; CHILL'!3751:3751,"AAAAAH/10Os=",0)</f>
        <v>0</v>
      </c>
      <c r="IC405" t="e">
        <f>AND('STERLING CATALOG - FZN &amp; CHILL'!A3751,"AAAAAH/10Ow=")</f>
        <v>#VALUE!</v>
      </c>
      <c r="ID405" t="e">
        <f>AND('STERLING CATALOG - FZN &amp; CHILL'!B3751,"AAAAAH/10O0=")</f>
        <v>#VALUE!</v>
      </c>
      <c r="IE405" t="e">
        <f>AND('STERLING CATALOG - FZN &amp; CHILL'!C3751,"AAAAAH/10O4=")</f>
        <v>#VALUE!</v>
      </c>
      <c r="IF405" t="e">
        <f>AND('STERLING CATALOG - FZN &amp; CHILL'!D3751,"AAAAAH/10O8=")</f>
        <v>#VALUE!</v>
      </c>
      <c r="IG405" t="e">
        <f>AND('STERLING CATALOG - FZN &amp; CHILL'!E3751,"AAAAAH/10PA=")</f>
        <v>#VALUE!</v>
      </c>
      <c r="IH405" t="e">
        <f>AND('STERLING CATALOG - FZN &amp; CHILL'!F3751,"AAAAAH/10PE=")</f>
        <v>#VALUE!</v>
      </c>
      <c r="II405" t="e">
        <f>AND('STERLING CATALOG - FZN &amp; CHILL'!G3751,"AAAAAH/10PI=")</f>
        <v>#VALUE!</v>
      </c>
      <c r="IJ405" t="e">
        <f>AND('STERLING CATALOG - FZN &amp; CHILL'!H3751,"AAAAAH/10PM=")</f>
        <v>#VALUE!</v>
      </c>
      <c r="IK405" t="e">
        <f>AND('STERLING CATALOG - FZN &amp; CHILL'!I3751,"AAAAAH/10PQ=")</f>
        <v>#VALUE!</v>
      </c>
      <c r="IL405" t="e">
        <f>AND('STERLING CATALOG - FZN &amp; CHILL'!J3751,"AAAAAH/10PU=")</f>
        <v>#VALUE!</v>
      </c>
      <c r="IM405">
        <f>IF('STERLING CATALOG - FZN &amp; CHILL'!3752:3752,"AAAAAH/10PY=",0)</f>
        <v>0</v>
      </c>
      <c r="IN405" t="e">
        <f>AND('STERLING CATALOG - FZN &amp; CHILL'!A3752,"AAAAAH/10Pc=")</f>
        <v>#VALUE!</v>
      </c>
      <c r="IO405" t="e">
        <f>AND('STERLING CATALOG - FZN &amp; CHILL'!B3752,"AAAAAH/10Pg=")</f>
        <v>#VALUE!</v>
      </c>
      <c r="IP405" t="e">
        <f>AND('STERLING CATALOG - FZN &amp; CHILL'!C3752,"AAAAAH/10Pk=")</f>
        <v>#VALUE!</v>
      </c>
      <c r="IQ405" t="e">
        <f>AND('STERLING CATALOG - FZN &amp; CHILL'!D3752,"AAAAAH/10Po=")</f>
        <v>#VALUE!</v>
      </c>
      <c r="IR405" t="e">
        <f>AND('STERLING CATALOG - FZN &amp; CHILL'!E3752,"AAAAAH/10Ps=")</f>
        <v>#VALUE!</v>
      </c>
      <c r="IS405" t="e">
        <f>AND('STERLING CATALOG - FZN &amp; CHILL'!F3752,"AAAAAH/10Pw=")</f>
        <v>#VALUE!</v>
      </c>
      <c r="IT405" t="e">
        <f>AND('STERLING CATALOG - FZN &amp; CHILL'!G3752,"AAAAAH/10P0=")</f>
        <v>#VALUE!</v>
      </c>
      <c r="IU405" t="e">
        <f>AND('STERLING CATALOG - FZN &amp; CHILL'!H3752,"AAAAAH/10P4=")</f>
        <v>#VALUE!</v>
      </c>
      <c r="IV405" t="e">
        <f>AND('STERLING CATALOG - FZN &amp; CHILL'!I3752,"AAAAAH/10P8=")</f>
        <v>#VALUE!</v>
      </c>
    </row>
    <row r="406" spans="1:256">
      <c r="A406" t="e">
        <f>AND('STERLING CATALOG - FZN &amp; CHILL'!J3752,"AAAAAHv//wA=")</f>
        <v>#VALUE!</v>
      </c>
      <c r="B406" t="str">
        <f>IF('STERLING CATALOG - FZN &amp; CHILL'!3753:3753,"AAAAAHv//wE=",0)</f>
        <v>AAAAAHv//wE=</v>
      </c>
      <c r="C406" t="e">
        <f>AND('STERLING CATALOG - FZN &amp; CHILL'!A3753,"AAAAAHv//wI=")</f>
        <v>#VALUE!</v>
      </c>
      <c r="D406" t="e">
        <f>AND('STERLING CATALOG - FZN &amp; CHILL'!B3753,"AAAAAHv//wM=")</f>
        <v>#VALUE!</v>
      </c>
      <c r="E406" t="e">
        <f>AND('STERLING CATALOG - FZN &amp; CHILL'!C3753,"AAAAAHv//wQ=")</f>
        <v>#VALUE!</v>
      </c>
      <c r="F406" t="e">
        <f>AND('STERLING CATALOG - FZN &amp; CHILL'!D3753,"AAAAAHv//wU=")</f>
        <v>#VALUE!</v>
      </c>
      <c r="G406" t="e">
        <f>AND('STERLING CATALOG - FZN &amp; CHILL'!E3753,"AAAAAHv//wY=")</f>
        <v>#VALUE!</v>
      </c>
      <c r="H406" t="e">
        <f>AND('STERLING CATALOG - FZN &amp; CHILL'!F3753,"AAAAAHv//wc=")</f>
        <v>#VALUE!</v>
      </c>
      <c r="I406" t="e">
        <f>AND('STERLING CATALOG - FZN &amp; CHILL'!G3753,"AAAAAHv//wg=")</f>
        <v>#VALUE!</v>
      </c>
      <c r="J406" t="e">
        <f>AND('STERLING CATALOG - FZN &amp; CHILL'!H3753,"AAAAAHv//wk=")</f>
        <v>#VALUE!</v>
      </c>
      <c r="K406" t="e">
        <f>AND('STERLING CATALOG - FZN &amp; CHILL'!I3753,"AAAAAHv//wo=")</f>
        <v>#VALUE!</v>
      </c>
      <c r="L406" t="e">
        <f>AND('STERLING CATALOG - FZN &amp; CHILL'!J3753,"AAAAAHv//ws=")</f>
        <v>#VALUE!</v>
      </c>
      <c r="M406">
        <f>IF('STERLING CATALOG - FZN &amp; CHILL'!3754:3754,"AAAAAHv//ww=",0)</f>
        <v>0</v>
      </c>
      <c r="N406" t="e">
        <f>AND('STERLING CATALOG - FZN &amp; CHILL'!A3754,"AAAAAHv//w0=")</f>
        <v>#VALUE!</v>
      </c>
      <c r="O406" t="e">
        <f>AND('STERLING CATALOG - FZN &amp; CHILL'!B3754,"AAAAAHv//w4=")</f>
        <v>#VALUE!</v>
      </c>
      <c r="P406" t="e">
        <f>AND('STERLING CATALOG - FZN &amp; CHILL'!C3754,"AAAAAHv//w8=")</f>
        <v>#VALUE!</v>
      </c>
      <c r="Q406" t="e">
        <f>AND('STERLING CATALOG - FZN &amp; CHILL'!D3754,"AAAAAHv//xA=")</f>
        <v>#VALUE!</v>
      </c>
      <c r="R406" t="e">
        <f>AND('STERLING CATALOG - FZN &amp; CHILL'!E3754,"AAAAAHv//xE=")</f>
        <v>#VALUE!</v>
      </c>
      <c r="S406" t="e">
        <f>AND('STERLING CATALOG - FZN &amp; CHILL'!F3754,"AAAAAHv//xI=")</f>
        <v>#VALUE!</v>
      </c>
      <c r="T406" t="e">
        <f>AND('STERLING CATALOG - FZN &amp; CHILL'!G3754,"AAAAAHv//xM=")</f>
        <v>#VALUE!</v>
      </c>
      <c r="U406" t="e">
        <f>AND('STERLING CATALOG - FZN &amp; CHILL'!H3754,"AAAAAHv//xQ=")</f>
        <v>#VALUE!</v>
      </c>
      <c r="V406" t="e">
        <f>AND('STERLING CATALOG - FZN &amp; CHILL'!I3754,"AAAAAHv//xU=")</f>
        <v>#VALUE!</v>
      </c>
      <c r="W406" t="e">
        <f>AND('STERLING CATALOG - FZN &amp; CHILL'!J3754,"AAAAAHv//xY=")</f>
        <v>#VALUE!</v>
      </c>
      <c r="X406">
        <f>IF('STERLING CATALOG - FZN &amp; CHILL'!3755:3755,"AAAAAHv//xc=",0)</f>
        <v>0</v>
      </c>
      <c r="Y406" t="e">
        <f>AND('STERLING CATALOG - FZN &amp; CHILL'!A3755,"AAAAAHv//xg=")</f>
        <v>#VALUE!</v>
      </c>
      <c r="Z406" t="e">
        <f>AND('STERLING CATALOG - FZN &amp; CHILL'!B3755,"AAAAAHv//xk=")</f>
        <v>#VALUE!</v>
      </c>
      <c r="AA406" t="e">
        <f>AND('STERLING CATALOG - FZN &amp; CHILL'!C3755,"AAAAAHv//xo=")</f>
        <v>#VALUE!</v>
      </c>
      <c r="AB406" t="e">
        <f>AND('STERLING CATALOG - FZN &amp; CHILL'!D3755,"AAAAAHv//xs=")</f>
        <v>#VALUE!</v>
      </c>
      <c r="AC406" t="e">
        <f>AND('STERLING CATALOG - FZN &amp; CHILL'!E3755,"AAAAAHv//xw=")</f>
        <v>#VALUE!</v>
      </c>
      <c r="AD406" t="e">
        <f>AND('STERLING CATALOG - FZN &amp; CHILL'!F3755,"AAAAAHv//x0=")</f>
        <v>#VALUE!</v>
      </c>
      <c r="AE406" t="e">
        <f>AND('STERLING CATALOG - FZN &amp; CHILL'!G3755,"AAAAAHv//x4=")</f>
        <v>#VALUE!</v>
      </c>
      <c r="AF406" t="e">
        <f>AND('STERLING CATALOG - FZN &amp; CHILL'!H3755,"AAAAAHv//x8=")</f>
        <v>#VALUE!</v>
      </c>
      <c r="AG406" t="e">
        <f>AND('STERLING CATALOG - FZN &amp; CHILL'!I3755,"AAAAAHv//yA=")</f>
        <v>#VALUE!</v>
      </c>
      <c r="AH406" t="e">
        <f>AND('STERLING CATALOG - FZN &amp; CHILL'!J3755,"AAAAAHv//yE=")</f>
        <v>#VALUE!</v>
      </c>
      <c r="AI406">
        <f>IF('STERLING CATALOG - FZN &amp; CHILL'!3756:3756,"AAAAAHv//yI=",0)</f>
        <v>0</v>
      </c>
      <c r="AJ406" t="e">
        <f>AND('STERLING CATALOG - FZN &amp; CHILL'!A3756,"AAAAAHv//yM=")</f>
        <v>#VALUE!</v>
      </c>
      <c r="AK406" t="e">
        <f>AND('STERLING CATALOG - FZN &amp; CHILL'!B3756,"AAAAAHv//yQ=")</f>
        <v>#VALUE!</v>
      </c>
      <c r="AL406" t="e">
        <f>AND('STERLING CATALOG - FZN &amp; CHILL'!C3756,"AAAAAHv//yU=")</f>
        <v>#VALUE!</v>
      </c>
      <c r="AM406" t="e">
        <f>AND('STERLING CATALOG - FZN &amp; CHILL'!D3756,"AAAAAHv//yY=")</f>
        <v>#VALUE!</v>
      </c>
      <c r="AN406" t="e">
        <f>AND('STERLING CATALOG - FZN &amp; CHILL'!E3756,"AAAAAHv//yc=")</f>
        <v>#VALUE!</v>
      </c>
      <c r="AO406" t="e">
        <f>AND('STERLING CATALOG - FZN &amp; CHILL'!F3756,"AAAAAHv//yg=")</f>
        <v>#VALUE!</v>
      </c>
      <c r="AP406" t="e">
        <f>AND('STERLING CATALOG - FZN &amp; CHILL'!G3756,"AAAAAHv//yk=")</f>
        <v>#VALUE!</v>
      </c>
      <c r="AQ406" t="e">
        <f>AND('STERLING CATALOG - FZN &amp; CHILL'!H3756,"AAAAAHv//yo=")</f>
        <v>#VALUE!</v>
      </c>
      <c r="AR406" t="e">
        <f>AND('STERLING CATALOG - FZN &amp; CHILL'!I3756,"AAAAAHv//ys=")</f>
        <v>#VALUE!</v>
      </c>
      <c r="AS406" t="e">
        <f>AND('STERLING CATALOG - FZN &amp; CHILL'!J3756,"AAAAAHv//yw=")</f>
        <v>#VALUE!</v>
      </c>
      <c r="AT406">
        <f>IF('STERLING CATALOG - FZN &amp; CHILL'!3757:3757,"AAAAAHv//y0=",0)</f>
        <v>0</v>
      </c>
      <c r="AU406" t="e">
        <f>AND('STERLING CATALOG - FZN &amp; CHILL'!A3757,"AAAAAHv//y4=")</f>
        <v>#VALUE!</v>
      </c>
      <c r="AV406" t="e">
        <f>AND('STERLING CATALOG - FZN &amp; CHILL'!B3757,"AAAAAHv//y8=")</f>
        <v>#VALUE!</v>
      </c>
      <c r="AW406" t="e">
        <f>AND('STERLING CATALOG - FZN &amp; CHILL'!C3757,"AAAAAHv//zA=")</f>
        <v>#VALUE!</v>
      </c>
      <c r="AX406" t="e">
        <f>AND('STERLING CATALOG - FZN &amp; CHILL'!D3757,"AAAAAHv//zE=")</f>
        <v>#VALUE!</v>
      </c>
      <c r="AY406" t="e">
        <f>AND('STERLING CATALOG - FZN &amp; CHILL'!E3757,"AAAAAHv//zI=")</f>
        <v>#VALUE!</v>
      </c>
      <c r="AZ406" t="e">
        <f>AND('STERLING CATALOG - FZN &amp; CHILL'!F3757,"AAAAAHv//zM=")</f>
        <v>#VALUE!</v>
      </c>
      <c r="BA406" t="e">
        <f>AND('STERLING CATALOG - FZN &amp; CHILL'!G3757,"AAAAAHv//zQ=")</f>
        <v>#VALUE!</v>
      </c>
      <c r="BB406" t="e">
        <f>AND('STERLING CATALOG - FZN &amp; CHILL'!H3757,"AAAAAHv//zU=")</f>
        <v>#VALUE!</v>
      </c>
      <c r="BC406" t="e">
        <f>AND('STERLING CATALOG - FZN &amp; CHILL'!I3757,"AAAAAHv//zY=")</f>
        <v>#VALUE!</v>
      </c>
      <c r="BD406" t="e">
        <f>AND('STERLING CATALOG - FZN &amp; CHILL'!J3757,"AAAAAHv//zc=")</f>
        <v>#VALUE!</v>
      </c>
      <c r="BE406">
        <f>IF('STERLING CATALOG - FZN &amp; CHILL'!3758:3758,"AAAAAHv//zg=",0)</f>
        <v>0</v>
      </c>
      <c r="BF406" t="e">
        <f>AND('STERLING CATALOG - FZN &amp; CHILL'!A3758,"AAAAAHv//zk=")</f>
        <v>#VALUE!</v>
      </c>
      <c r="BG406" t="e">
        <f>AND('STERLING CATALOG - FZN &amp; CHILL'!B3758,"AAAAAHv//zo=")</f>
        <v>#VALUE!</v>
      </c>
      <c r="BH406" t="e">
        <f>AND('STERLING CATALOG - FZN &amp; CHILL'!C3758,"AAAAAHv//zs=")</f>
        <v>#VALUE!</v>
      </c>
      <c r="BI406" t="e">
        <f>AND('STERLING CATALOG - FZN &amp; CHILL'!D3758,"AAAAAHv//zw=")</f>
        <v>#VALUE!</v>
      </c>
      <c r="BJ406" t="e">
        <f>AND('STERLING CATALOG - FZN &amp; CHILL'!E3758,"AAAAAHv//z0=")</f>
        <v>#VALUE!</v>
      </c>
      <c r="BK406" t="e">
        <f>AND('STERLING CATALOG - FZN &amp; CHILL'!F3758,"AAAAAHv//z4=")</f>
        <v>#VALUE!</v>
      </c>
      <c r="BL406" t="e">
        <f>AND('STERLING CATALOG - FZN &amp; CHILL'!G3758,"AAAAAHv//z8=")</f>
        <v>#VALUE!</v>
      </c>
      <c r="BM406" t="e">
        <f>AND('STERLING CATALOG - FZN &amp; CHILL'!H3758,"AAAAAHv//0A=")</f>
        <v>#VALUE!</v>
      </c>
      <c r="BN406" t="e">
        <f>AND('STERLING CATALOG - FZN &amp; CHILL'!I3758,"AAAAAHv//0E=")</f>
        <v>#VALUE!</v>
      </c>
      <c r="BO406" t="e">
        <f>AND('STERLING CATALOG - FZN &amp; CHILL'!J3758,"AAAAAHv//0I=")</f>
        <v>#VALUE!</v>
      </c>
      <c r="BP406">
        <f>IF('STERLING CATALOG - FZN &amp; CHILL'!3759:3759,"AAAAAHv//0M=",0)</f>
        <v>0</v>
      </c>
      <c r="BQ406" t="e">
        <f>AND('STERLING CATALOG - FZN &amp; CHILL'!A3759,"AAAAAHv//0Q=")</f>
        <v>#VALUE!</v>
      </c>
      <c r="BR406" t="e">
        <f>AND('STERLING CATALOG - FZN &amp; CHILL'!B3759,"AAAAAHv//0U=")</f>
        <v>#VALUE!</v>
      </c>
      <c r="BS406" t="e">
        <f>AND('STERLING CATALOG - FZN &amp; CHILL'!C3759,"AAAAAHv//0Y=")</f>
        <v>#VALUE!</v>
      </c>
      <c r="BT406" t="e">
        <f>AND('STERLING CATALOG - FZN &amp; CHILL'!D3759,"AAAAAHv//0c=")</f>
        <v>#VALUE!</v>
      </c>
      <c r="BU406" t="e">
        <f>AND('STERLING CATALOG - FZN &amp; CHILL'!E3759,"AAAAAHv//0g=")</f>
        <v>#VALUE!</v>
      </c>
      <c r="BV406" t="e">
        <f>AND('STERLING CATALOG - FZN &amp; CHILL'!F3759,"AAAAAHv//0k=")</f>
        <v>#VALUE!</v>
      </c>
      <c r="BW406" t="e">
        <f>AND('STERLING CATALOG - FZN &amp; CHILL'!G3759,"AAAAAHv//0o=")</f>
        <v>#VALUE!</v>
      </c>
      <c r="BX406" t="e">
        <f>AND('STERLING CATALOG - FZN &amp; CHILL'!H3759,"AAAAAHv//0s=")</f>
        <v>#VALUE!</v>
      </c>
      <c r="BY406" t="e">
        <f>AND('STERLING CATALOG - FZN &amp; CHILL'!I3759,"AAAAAHv//0w=")</f>
        <v>#VALUE!</v>
      </c>
      <c r="BZ406" t="e">
        <f>AND('STERLING CATALOG - FZN &amp; CHILL'!J3759,"AAAAAHv//00=")</f>
        <v>#VALUE!</v>
      </c>
      <c r="CA406">
        <f>IF('STERLING CATALOG - FZN &amp; CHILL'!3760:3760,"AAAAAHv//04=",0)</f>
        <v>0</v>
      </c>
      <c r="CB406" t="e">
        <f>AND('STERLING CATALOG - FZN &amp; CHILL'!A3760,"AAAAAHv//08=")</f>
        <v>#VALUE!</v>
      </c>
      <c r="CC406" t="e">
        <f>AND('STERLING CATALOG - FZN &amp; CHILL'!B3760,"AAAAAHv//1A=")</f>
        <v>#VALUE!</v>
      </c>
      <c r="CD406" t="e">
        <f>AND('STERLING CATALOG - FZN &amp; CHILL'!C3760,"AAAAAHv//1E=")</f>
        <v>#VALUE!</v>
      </c>
      <c r="CE406" t="e">
        <f>AND('STERLING CATALOG - FZN &amp; CHILL'!D3760,"AAAAAHv//1I=")</f>
        <v>#VALUE!</v>
      </c>
      <c r="CF406" t="e">
        <f>AND('STERLING CATALOG - FZN &amp; CHILL'!E3760,"AAAAAHv//1M=")</f>
        <v>#VALUE!</v>
      </c>
      <c r="CG406" t="e">
        <f>AND('STERLING CATALOG - FZN &amp; CHILL'!F3760,"AAAAAHv//1Q=")</f>
        <v>#VALUE!</v>
      </c>
      <c r="CH406" t="e">
        <f>AND('STERLING CATALOG - FZN &amp; CHILL'!G3760,"AAAAAHv//1U=")</f>
        <v>#VALUE!</v>
      </c>
      <c r="CI406" t="e">
        <f>AND('STERLING CATALOG - FZN &amp; CHILL'!H3760,"AAAAAHv//1Y=")</f>
        <v>#VALUE!</v>
      </c>
      <c r="CJ406" t="e">
        <f>AND('STERLING CATALOG - FZN &amp; CHILL'!I3760,"AAAAAHv//1c=")</f>
        <v>#VALUE!</v>
      </c>
      <c r="CK406" t="e">
        <f>AND('STERLING CATALOG - FZN &amp; CHILL'!J3760,"AAAAAHv//1g=")</f>
        <v>#VALUE!</v>
      </c>
      <c r="CL406">
        <f>IF('STERLING CATALOG - FZN &amp; CHILL'!3761:3761,"AAAAAHv//1k=",0)</f>
        <v>0</v>
      </c>
      <c r="CM406" t="e">
        <f>AND('STERLING CATALOG - FZN &amp; CHILL'!A3761,"AAAAAHv//1o=")</f>
        <v>#VALUE!</v>
      </c>
      <c r="CN406" t="e">
        <f>AND('STERLING CATALOG - FZN &amp; CHILL'!B3761,"AAAAAHv//1s=")</f>
        <v>#VALUE!</v>
      </c>
      <c r="CO406" t="e">
        <f>AND('STERLING CATALOG - FZN &amp; CHILL'!C3761,"AAAAAHv//1w=")</f>
        <v>#VALUE!</v>
      </c>
      <c r="CP406" t="e">
        <f>AND('STERLING CATALOG - FZN &amp; CHILL'!D3761,"AAAAAHv//10=")</f>
        <v>#VALUE!</v>
      </c>
      <c r="CQ406" t="e">
        <f>AND('STERLING CATALOG - FZN &amp; CHILL'!E3761,"AAAAAHv//14=")</f>
        <v>#VALUE!</v>
      </c>
      <c r="CR406" t="e">
        <f>AND('STERLING CATALOG - FZN &amp; CHILL'!F3761,"AAAAAHv//18=")</f>
        <v>#VALUE!</v>
      </c>
      <c r="CS406" t="e">
        <f>AND('STERLING CATALOG - FZN &amp; CHILL'!G3761,"AAAAAHv//2A=")</f>
        <v>#VALUE!</v>
      </c>
      <c r="CT406" t="e">
        <f>AND('STERLING CATALOG - FZN &amp; CHILL'!H3761,"AAAAAHv//2E=")</f>
        <v>#VALUE!</v>
      </c>
      <c r="CU406" t="e">
        <f>AND('STERLING CATALOG - FZN &amp; CHILL'!I3761,"AAAAAHv//2I=")</f>
        <v>#VALUE!</v>
      </c>
      <c r="CV406" t="e">
        <f>AND('STERLING CATALOG - FZN &amp; CHILL'!J3761,"AAAAAHv//2M=")</f>
        <v>#VALUE!</v>
      </c>
      <c r="CW406">
        <f>IF('STERLING CATALOG - FZN &amp; CHILL'!3762:3762,"AAAAAHv//2Q=",0)</f>
        <v>0</v>
      </c>
      <c r="CX406" t="e">
        <f>AND('STERLING CATALOG - FZN &amp; CHILL'!A3762,"AAAAAHv//2U=")</f>
        <v>#VALUE!</v>
      </c>
      <c r="CY406" t="e">
        <f>AND('STERLING CATALOG - FZN &amp; CHILL'!B3762,"AAAAAHv//2Y=")</f>
        <v>#VALUE!</v>
      </c>
      <c r="CZ406" t="e">
        <f>AND('STERLING CATALOG - FZN &amp; CHILL'!C3762,"AAAAAHv//2c=")</f>
        <v>#VALUE!</v>
      </c>
      <c r="DA406" t="e">
        <f>AND('STERLING CATALOG - FZN &amp; CHILL'!D3762,"AAAAAHv//2g=")</f>
        <v>#VALUE!</v>
      </c>
      <c r="DB406" t="e">
        <f>AND('STERLING CATALOG - FZN &amp; CHILL'!E3762,"AAAAAHv//2k=")</f>
        <v>#VALUE!</v>
      </c>
      <c r="DC406" t="e">
        <f>AND('STERLING CATALOG - FZN &amp; CHILL'!F3762,"AAAAAHv//2o=")</f>
        <v>#VALUE!</v>
      </c>
      <c r="DD406" t="e">
        <f>AND('STERLING CATALOG - FZN &amp; CHILL'!G3762,"AAAAAHv//2s=")</f>
        <v>#VALUE!</v>
      </c>
      <c r="DE406" t="e">
        <f>AND('STERLING CATALOG - FZN &amp; CHILL'!H3762,"AAAAAHv//2w=")</f>
        <v>#VALUE!</v>
      </c>
      <c r="DF406" t="e">
        <f>AND('STERLING CATALOG - FZN &amp; CHILL'!I3762,"AAAAAHv//20=")</f>
        <v>#VALUE!</v>
      </c>
      <c r="DG406" t="e">
        <f>AND('STERLING CATALOG - FZN &amp; CHILL'!J3762,"AAAAAHv//24=")</f>
        <v>#VALUE!</v>
      </c>
      <c r="DH406">
        <f>IF('STERLING CATALOG - FZN &amp; CHILL'!3763:3763,"AAAAAHv//28=",0)</f>
        <v>0</v>
      </c>
      <c r="DI406" t="e">
        <f>AND('STERLING CATALOG - FZN &amp; CHILL'!A3763,"AAAAAHv//3A=")</f>
        <v>#VALUE!</v>
      </c>
      <c r="DJ406" t="e">
        <f>AND('STERLING CATALOG - FZN &amp; CHILL'!B3763,"AAAAAHv//3E=")</f>
        <v>#VALUE!</v>
      </c>
      <c r="DK406" t="e">
        <f>AND('STERLING CATALOG - FZN &amp; CHILL'!C3763,"AAAAAHv//3I=")</f>
        <v>#VALUE!</v>
      </c>
      <c r="DL406" t="e">
        <f>AND('STERLING CATALOG - FZN &amp; CHILL'!D3763,"AAAAAHv//3M=")</f>
        <v>#VALUE!</v>
      </c>
      <c r="DM406" t="e">
        <f>AND('STERLING CATALOG - FZN &amp; CHILL'!E3763,"AAAAAHv//3Q=")</f>
        <v>#VALUE!</v>
      </c>
      <c r="DN406" t="e">
        <f>AND('STERLING CATALOG - FZN &amp; CHILL'!F3763,"AAAAAHv//3U=")</f>
        <v>#VALUE!</v>
      </c>
      <c r="DO406" t="e">
        <f>AND('STERLING CATALOG - FZN &amp; CHILL'!G3763,"AAAAAHv//3Y=")</f>
        <v>#VALUE!</v>
      </c>
      <c r="DP406" t="e">
        <f>AND('STERLING CATALOG - FZN &amp; CHILL'!H3763,"AAAAAHv//3c=")</f>
        <v>#VALUE!</v>
      </c>
      <c r="DQ406" t="e">
        <f>AND('STERLING CATALOG - FZN &amp; CHILL'!I3763,"AAAAAHv//3g=")</f>
        <v>#VALUE!</v>
      </c>
      <c r="DR406" t="e">
        <f>AND('STERLING CATALOG - FZN &amp; CHILL'!J3763,"AAAAAHv//3k=")</f>
        <v>#VALUE!</v>
      </c>
      <c r="DS406">
        <f>IF('STERLING CATALOG - FZN &amp; CHILL'!3764:3764,"AAAAAHv//3o=",0)</f>
        <v>0</v>
      </c>
      <c r="DT406" t="e">
        <f>AND('STERLING CATALOG - FZN &amp; CHILL'!A3764,"AAAAAHv//3s=")</f>
        <v>#VALUE!</v>
      </c>
      <c r="DU406" t="e">
        <f>AND('STERLING CATALOG - FZN &amp; CHILL'!B3764,"AAAAAHv//3w=")</f>
        <v>#VALUE!</v>
      </c>
      <c r="DV406" t="e">
        <f>AND('STERLING CATALOG - FZN &amp; CHILL'!C3764,"AAAAAHv//30=")</f>
        <v>#VALUE!</v>
      </c>
      <c r="DW406" t="e">
        <f>AND('STERLING CATALOG - FZN &amp; CHILL'!D3764,"AAAAAHv//34=")</f>
        <v>#VALUE!</v>
      </c>
      <c r="DX406" t="e">
        <f>AND('STERLING CATALOG - FZN &amp; CHILL'!E3764,"AAAAAHv//38=")</f>
        <v>#VALUE!</v>
      </c>
      <c r="DY406" t="e">
        <f>AND('STERLING CATALOG - FZN &amp; CHILL'!F3764,"AAAAAHv//4A=")</f>
        <v>#VALUE!</v>
      </c>
      <c r="DZ406" t="e">
        <f>AND('STERLING CATALOG - FZN &amp; CHILL'!G3764,"AAAAAHv//4E=")</f>
        <v>#VALUE!</v>
      </c>
      <c r="EA406" t="e">
        <f>AND('STERLING CATALOG - FZN &amp; CHILL'!H3764,"AAAAAHv//4I=")</f>
        <v>#VALUE!</v>
      </c>
      <c r="EB406" t="e">
        <f>AND('STERLING CATALOG - FZN &amp; CHILL'!I3764,"AAAAAHv//4M=")</f>
        <v>#VALUE!</v>
      </c>
      <c r="EC406" t="e">
        <f>AND('STERLING CATALOG - FZN &amp; CHILL'!J3764,"AAAAAHv//4Q=")</f>
        <v>#VALUE!</v>
      </c>
      <c r="ED406">
        <f>IF('STERLING CATALOG - FZN &amp; CHILL'!3765:3765,"AAAAAHv//4U=",0)</f>
        <v>0</v>
      </c>
      <c r="EE406" t="e">
        <f>AND('STERLING CATALOG - FZN &amp; CHILL'!A3765,"AAAAAHv//4Y=")</f>
        <v>#VALUE!</v>
      </c>
      <c r="EF406" t="e">
        <f>AND('STERLING CATALOG - FZN &amp; CHILL'!B3765,"AAAAAHv//4c=")</f>
        <v>#VALUE!</v>
      </c>
      <c r="EG406" t="e">
        <f>AND('STERLING CATALOG - FZN &amp; CHILL'!C3765,"AAAAAHv//4g=")</f>
        <v>#VALUE!</v>
      </c>
      <c r="EH406" t="e">
        <f>AND('STERLING CATALOG - FZN &amp; CHILL'!D3765,"AAAAAHv//4k=")</f>
        <v>#VALUE!</v>
      </c>
      <c r="EI406" t="e">
        <f>AND('STERLING CATALOG - FZN &amp; CHILL'!E3765,"AAAAAHv//4o=")</f>
        <v>#VALUE!</v>
      </c>
      <c r="EJ406" t="e">
        <f>AND('STERLING CATALOG - FZN &amp; CHILL'!F3765,"AAAAAHv//4s=")</f>
        <v>#VALUE!</v>
      </c>
      <c r="EK406" t="e">
        <f>AND('STERLING CATALOG - FZN &amp; CHILL'!G3765,"AAAAAHv//4w=")</f>
        <v>#VALUE!</v>
      </c>
      <c r="EL406" t="e">
        <f>AND('STERLING CATALOG - FZN &amp; CHILL'!H3765,"AAAAAHv//40=")</f>
        <v>#VALUE!</v>
      </c>
      <c r="EM406" t="e">
        <f>AND('STERLING CATALOG - FZN &amp; CHILL'!I3765,"AAAAAHv//44=")</f>
        <v>#VALUE!</v>
      </c>
      <c r="EN406" t="e">
        <f>AND('STERLING CATALOG - FZN &amp; CHILL'!J3765,"AAAAAHv//48=")</f>
        <v>#VALUE!</v>
      </c>
      <c r="EO406">
        <f>IF('STERLING CATALOG - FZN &amp; CHILL'!3766:3766,"AAAAAHv//5A=",0)</f>
        <v>0</v>
      </c>
      <c r="EP406" t="e">
        <f>AND('STERLING CATALOG - FZN &amp; CHILL'!A3766,"AAAAAHv//5E=")</f>
        <v>#VALUE!</v>
      </c>
      <c r="EQ406" t="e">
        <f>AND('STERLING CATALOG - FZN &amp; CHILL'!B3766,"AAAAAHv//5I=")</f>
        <v>#VALUE!</v>
      </c>
      <c r="ER406" t="e">
        <f>AND('STERLING CATALOG - FZN &amp; CHILL'!C3766,"AAAAAHv//5M=")</f>
        <v>#VALUE!</v>
      </c>
      <c r="ES406" t="e">
        <f>AND('STERLING CATALOG - FZN &amp; CHILL'!D3766,"AAAAAHv//5Q=")</f>
        <v>#VALUE!</v>
      </c>
      <c r="ET406" t="e">
        <f>AND('STERLING CATALOG - FZN &amp; CHILL'!E3766,"AAAAAHv//5U=")</f>
        <v>#VALUE!</v>
      </c>
      <c r="EU406" t="e">
        <f>AND('STERLING CATALOG - FZN &amp; CHILL'!F3766,"AAAAAHv//5Y=")</f>
        <v>#VALUE!</v>
      </c>
      <c r="EV406" t="e">
        <f>AND('STERLING CATALOG - FZN &amp; CHILL'!G3766,"AAAAAHv//5c=")</f>
        <v>#VALUE!</v>
      </c>
      <c r="EW406" t="e">
        <f>AND('STERLING CATALOG - FZN &amp; CHILL'!H3766,"AAAAAHv//5g=")</f>
        <v>#VALUE!</v>
      </c>
      <c r="EX406" t="e">
        <f>AND('STERLING CATALOG - FZN &amp; CHILL'!I3766,"AAAAAHv//5k=")</f>
        <v>#VALUE!</v>
      </c>
      <c r="EY406" t="e">
        <f>AND('STERLING CATALOG - FZN &amp; CHILL'!J3766,"AAAAAHv//5o=")</f>
        <v>#VALUE!</v>
      </c>
      <c r="EZ406">
        <f>IF('STERLING CATALOG - FZN &amp; CHILL'!3767:3767,"AAAAAHv//5s=",0)</f>
        <v>0</v>
      </c>
      <c r="FA406" t="e">
        <f>AND('STERLING CATALOG - FZN &amp; CHILL'!A3767,"AAAAAHv//5w=")</f>
        <v>#VALUE!</v>
      </c>
      <c r="FB406" t="e">
        <f>AND('STERLING CATALOG - FZN &amp; CHILL'!B3767,"AAAAAHv//50=")</f>
        <v>#VALUE!</v>
      </c>
      <c r="FC406" t="e">
        <f>AND('STERLING CATALOG - FZN &amp; CHILL'!C3767,"AAAAAHv//54=")</f>
        <v>#VALUE!</v>
      </c>
      <c r="FD406" t="e">
        <f>AND('STERLING CATALOG - FZN &amp; CHILL'!D3767,"AAAAAHv//58=")</f>
        <v>#VALUE!</v>
      </c>
      <c r="FE406" t="e">
        <f>AND('STERLING CATALOG - FZN &amp; CHILL'!E3767,"AAAAAHv//6A=")</f>
        <v>#VALUE!</v>
      </c>
      <c r="FF406" t="e">
        <f>AND('STERLING CATALOG - FZN &amp; CHILL'!F3767,"AAAAAHv//6E=")</f>
        <v>#VALUE!</v>
      </c>
      <c r="FG406" t="e">
        <f>AND('STERLING CATALOG - FZN &amp; CHILL'!G3767,"AAAAAHv//6I=")</f>
        <v>#VALUE!</v>
      </c>
      <c r="FH406" t="e">
        <f>AND('STERLING CATALOG - FZN &amp; CHILL'!H3767,"AAAAAHv//6M=")</f>
        <v>#VALUE!</v>
      </c>
      <c r="FI406" t="e">
        <f>AND('STERLING CATALOG - FZN &amp; CHILL'!I3767,"AAAAAHv//6Q=")</f>
        <v>#VALUE!</v>
      </c>
      <c r="FJ406" t="e">
        <f>AND('STERLING CATALOG - FZN &amp; CHILL'!J3767,"AAAAAHv//6U=")</f>
        <v>#VALUE!</v>
      </c>
      <c r="FK406">
        <f>IF('STERLING CATALOG - FZN &amp; CHILL'!3768:3768,"AAAAAHv//6Y=",0)</f>
        <v>0</v>
      </c>
      <c r="FL406" t="e">
        <f>AND('STERLING CATALOG - FZN &amp; CHILL'!A3768,"AAAAAHv//6c=")</f>
        <v>#VALUE!</v>
      </c>
      <c r="FM406" t="e">
        <f>AND('STERLING CATALOG - FZN &amp; CHILL'!B3768,"AAAAAHv//6g=")</f>
        <v>#VALUE!</v>
      </c>
      <c r="FN406" t="e">
        <f>AND('STERLING CATALOG - FZN &amp; CHILL'!C3768,"AAAAAHv//6k=")</f>
        <v>#VALUE!</v>
      </c>
      <c r="FO406" t="e">
        <f>AND('STERLING CATALOG - FZN &amp; CHILL'!D3768,"AAAAAHv//6o=")</f>
        <v>#VALUE!</v>
      </c>
      <c r="FP406" t="e">
        <f>AND('STERLING CATALOG - FZN &amp; CHILL'!E3768,"AAAAAHv//6s=")</f>
        <v>#VALUE!</v>
      </c>
      <c r="FQ406" t="e">
        <f>AND('STERLING CATALOG - FZN &amp; CHILL'!F3768,"AAAAAHv//6w=")</f>
        <v>#VALUE!</v>
      </c>
      <c r="FR406" t="e">
        <f>AND('STERLING CATALOG - FZN &amp; CHILL'!G3768,"AAAAAHv//60=")</f>
        <v>#VALUE!</v>
      </c>
      <c r="FS406" t="e">
        <f>AND('STERLING CATALOG - FZN &amp; CHILL'!H3768,"AAAAAHv//64=")</f>
        <v>#VALUE!</v>
      </c>
      <c r="FT406" t="e">
        <f>AND('STERLING CATALOG - FZN &amp; CHILL'!I3768,"AAAAAHv//68=")</f>
        <v>#VALUE!</v>
      </c>
      <c r="FU406" t="e">
        <f>AND('STERLING CATALOG - FZN &amp; CHILL'!J3768,"AAAAAHv//7A=")</f>
        <v>#VALUE!</v>
      </c>
      <c r="FV406">
        <f>IF('STERLING CATALOG - FZN &amp; CHILL'!3769:3769,"AAAAAHv//7E=",0)</f>
        <v>0</v>
      </c>
      <c r="FW406" t="e">
        <f>AND('STERLING CATALOG - FZN &amp; CHILL'!A3769,"AAAAAHv//7I=")</f>
        <v>#VALUE!</v>
      </c>
      <c r="FX406" t="e">
        <f>AND('STERLING CATALOG - FZN &amp; CHILL'!B3769,"AAAAAHv//7M=")</f>
        <v>#VALUE!</v>
      </c>
      <c r="FY406" t="e">
        <f>AND('STERLING CATALOG - FZN &amp; CHILL'!C3769,"AAAAAHv//7Q=")</f>
        <v>#VALUE!</v>
      </c>
      <c r="FZ406" t="e">
        <f>AND('STERLING CATALOG - FZN &amp; CHILL'!D3769,"AAAAAHv//7U=")</f>
        <v>#VALUE!</v>
      </c>
      <c r="GA406" t="e">
        <f>AND('STERLING CATALOG - FZN &amp; CHILL'!E3769,"AAAAAHv//7Y=")</f>
        <v>#VALUE!</v>
      </c>
      <c r="GB406" t="e">
        <f>AND('STERLING CATALOG - FZN &amp; CHILL'!F3769,"AAAAAHv//7c=")</f>
        <v>#VALUE!</v>
      </c>
      <c r="GC406" t="e">
        <f>AND('STERLING CATALOG - FZN &amp; CHILL'!G3769,"AAAAAHv//7g=")</f>
        <v>#VALUE!</v>
      </c>
      <c r="GD406" t="e">
        <f>AND('STERLING CATALOG - FZN &amp; CHILL'!H3769,"AAAAAHv//7k=")</f>
        <v>#VALUE!</v>
      </c>
      <c r="GE406" t="e">
        <f>AND('STERLING CATALOG - FZN &amp; CHILL'!I3769,"AAAAAHv//7o=")</f>
        <v>#VALUE!</v>
      </c>
      <c r="GF406" t="e">
        <f>AND('STERLING CATALOG - FZN &amp; CHILL'!J3769,"AAAAAHv//7s=")</f>
        <v>#VALUE!</v>
      </c>
      <c r="GG406">
        <f>IF('STERLING CATALOG - FZN &amp; CHILL'!3770:3770,"AAAAAHv//7w=",0)</f>
        <v>0</v>
      </c>
      <c r="GH406" t="e">
        <f>AND('STERLING CATALOG - FZN &amp; CHILL'!A3770,"AAAAAHv//70=")</f>
        <v>#VALUE!</v>
      </c>
      <c r="GI406" t="e">
        <f>AND('STERLING CATALOG - FZN &amp; CHILL'!B3770,"AAAAAHv//74=")</f>
        <v>#VALUE!</v>
      </c>
      <c r="GJ406" t="e">
        <f>AND('STERLING CATALOG - FZN &amp; CHILL'!C3770,"AAAAAHv//78=")</f>
        <v>#VALUE!</v>
      </c>
      <c r="GK406" t="e">
        <f>AND('STERLING CATALOG - FZN &amp; CHILL'!D3770,"AAAAAHv//8A=")</f>
        <v>#VALUE!</v>
      </c>
      <c r="GL406" t="e">
        <f>AND('STERLING CATALOG - FZN &amp; CHILL'!E3770,"AAAAAHv//8E=")</f>
        <v>#VALUE!</v>
      </c>
      <c r="GM406" t="e">
        <f>AND('STERLING CATALOG - FZN &amp; CHILL'!F3770,"AAAAAHv//8I=")</f>
        <v>#VALUE!</v>
      </c>
      <c r="GN406" t="e">
        <f>AND('STERLING CATALOG - FZN &amp; CHILL'!G3770,"AAAAAHv//8M=")</f>
        <v>#VALUE!</v>
      </c>
      <c r="GO406" t="e">
        <f>AND('STERLING CATALOG - FZN &amp; CHILL'!H3770,"AAAAAHv//8Q=")</f>
        <v>#VALUE!</v>
      </c>
      <c r="GP406" t="e">
        <f>AND('STERLING CATALOG - FZN &amp; CHILL'!I3770,"AAAAAHv//8U=")</f>
        <v>#VALUE!</v>
      </c>
      <c r="GQ406" t="e">
        <f>AND('STERLING CATALOG - FZN &amp; CHILL'!J3770,"AAAAAHv//8Y=")</f>
        <v>#VALUE!</v>
      </c>
      <c r="GR406">
        <f>IF('STERLING CATALOG - FZN &amp; CHILL'!3771:3771,"AAAAAHv//8c=",0)</f>
        <v>0</v>
      </c>
      <c r="GS406" t="e">
        <f>AND('STERLING CATALOG - FZN &amp; CHILL'!A3771,"AAAAAHv//8g=")</f>
        <v>#VALUE!</v>
      </c>
      <c r="GT406" t="e">
        <f>AND('STERLING CATALOG - FZN &amp; CHILL'!B3771,"AAAAAHv//8k=")</f>
        <v>#VALUE!</v>
      </c>
      <c r="GU406" t="e">
        <f>AND('STERLING CATALOG - FZN &amp; CHILL'!C3771,"AAAAAHv//8o=")</f>
        <v>#VALUE!</v>
      </c>
      <c r="GV406" t="e">
        <f>AND('STERLING CATALOG - FZN &amp; CHILL'!D3771,"AAAAAHv//8s=")</f>
        <v>#VALUE!</v>
      </c>
      <c r="GW406" t="e">
        <f>AND('STERLING CATALOG - FZN &amp; CHILL'!E3771,"AAAAAHv//8w=")</f>
        <v>#VALUE!</v>
      </c>
      <c r="GX406" t="e">
        <f>AND('STERLING CATALOG - FZN &amp; CHILL'!F3771,"AAAAAHv//80=")</f>
        <v>#VALUE!</v>
      </c>
      <c r="GY406" t="e">
        <f>AND('STERLING CATALOG - FZN &amp; CHILL'!G3771,"AAAAAHv//84=")</f>
        <v>#VALUE!</v>
      </c>
      <c r="GZ406" t="e">
        <f>AND('STERLING CATALOG - FZN &amp; CHILL'!H3771,"AAAAAHv//88=")</f>
        <v>#VALUE!</v>
      </c>
      <c r="HA406" t="e">
        <f>AND('STERLING CATALOG - FZN &amp; CHILL'!I3771,"AAAAAHv//9A=")</f>
        <v>#VALUE!</v>
      </c>
      <c r="HB406" t="e">
        <f>AND('STERLING CATALOG - FZN &amp; CHILL'!J3771,"AAAAAHv//9E=")</f>
        <v>#VALUE!</v>
      </c>
      <c r="HC406">
        <f>IF('STERLING CATALOG - FZN &amp; CHILL'!3772:3772,"AAAAAHv//9I=",0)</f>
        <v>0</v>
      </c>
      <c r="HD406" t="e">
        <f>AND('STERLING CATALOG - FZN &amp; CHILL'!A3772,"AAAAAHv//9M=")</f>
        <v>#VALUE!</v>
      </c>
      <c r="HE406" t="e">
        <f>AND('STERLING CATALOG - FZN &amp; CHILL'!B3772,"AAAAAHv//9Q=")</f>
        <v>#VALUE!</v>
      </c>
      <c r="HF406" t="e">
        <f>AND('STERLING CATALOG - FZN &amp; CHILL'!C3772,"AAAAAHv//9U=")</f>
        <v>#VALUE!</v>
      </c>
      <c r="HG406" t="e">
        <f>AND('STERLING CATALOG - FZN &amp; CHILL'!D3772,"AAAAAHv//9Y=")</f>
        <v>#VALUE!</v>
      </c>
      <c r="HH406" t="e">
        <f>AND('STERLING CATALOG - FZN &amp; CHILL'!E3772,"AAAAAHv//9c=")</f>
        <v>#VALUE!</v>
      </c>
      <c r="HI406" t="e">
        <f>AND('STERLING CATALOG - FZN &amp; CHILL'!F3772,"AAAAAHv//9g=")</f>
        <v>#VALUE!</v>
      </c>
      <c r="HJ406" t="e">
        <f>AND('STERLING CATALOG - FZN &amp; CHILL'!G3772,"AAAAAHv//9k=")</f>
        <v>#VALUE!</v>
      </c>
      <c r="HK406" t="e">
        <f>AND('STERLING CATALOG - FZN &amp; CHILL'!H3772,"AAAAAHv//9o=")</f>
        <v>#VALUE!</v>
      </c>
      <c r="HL406" t="e">
        <f>AND('STERLING CATALOG - FZN &amp; CHILL'!I3772,"AAAAAHv//9s=")</f>
        <v>#VALUE!</v>
      </c>
      <c r="HM406" t="e">
        <f>AND('STERLING CATALOG - FZN &amp; CHILL'!J3772,"AAAAAHv//9w=")</f>
        <v>#VALUE!</v>
      </c>
      <c r="HN406">
        <f>IF('STERLING CATALOG - FZN &amp; CHILL'!3773:3773,"AAAAAHv//90=",0)</f>
        <v>0</v>
      </c>
      <c r="HO406" t="e">
        <f>AND('STERLING CATALOG - FZN &amp; CHILL'!A3773,"AAAAAHv//94=")</f>
        <v>#VALUE!</v>
      </c>
      <c r="HP406" t="e">
        <f>AND('STERLING CATALOG - FZN &amp; CHILL'!B3773,"AAAAAHv//98=")</f>
        <v>#VALUE!</v>
      </c>
      <c r="HQ406" t="e">
        <f>AND('STERLING CATALOG - FZN &amp; CHILL'!C3773,"AAAAAHv//+A=")</f>
        <v>#VALUE!</v>
      </c>
      <c r="HR406" t="e">
        <f>AND('STERLING CATALOG - FZN &amp; CHILL'!D3773,"AAAAAHv//+E=")</f>
        <v>#VALUE!</v>
      </c>
      <c r="HS406" t="e">
        <f>AND('STERLING CATALOG - FZN &amp; CHILL'!E3773,"AAAAAHv//+I=")</f>
        <v>#VALUE!</v>
      </c>
      <c r="HT406" t="e">
        <f>AND('STERLING CATALOG - FZN &amp; CHILL'!F3773,"AAAAAHv//+M=")</f>
        <v>#VALUE!</v>
      </c>
      <c r="HU406" t="e">
        <f>AND('STERLING CATALOG - FZN &amp; CHILL'!G3773,"AAAAAHv//+Q=")</f>
        <v>#VALUE!</v>
      </c>
      <c r="HV406" t="e">
        <f>AND('STERLING CATALOG - FZN &amp; CHILL'!H3773,"AAAAAHv//+U=")</f>
        <v>#VALUE!</v>
      </c>
      <c r="HW406" t="e">
        <f>AND('STERLING CATALOG - FZN &amp; CHILL'!I3773,"AAAAAHv//+Y=")</f>
        <v>#VALUE!</v>
      </c>
      <c r="HX406" t="e">
        <f>AND('STERLING CATALOG - FZN &amp; CHILL'!J3773,"AAAAAHv//+c=")</f>
        <v>#VALUE!</v>
      </c>
      <c r="HY406">
        <f>IF('STERLING CATALOG - FZN &amp; CHILL'!3774:3774,"AAAAAHv//+g=",0)</f>
        <v>0</v>
      </c>
      <c r="HZ406" t="e">
        <f>AND('STERLING CATALOG - FZN &amp; CHILL'!A3774,"AAAAAHv//+k=")</f>
        <v>#VALUE!</v>
      </c>
      <c r="IA406" t="e">
        <f>AND('STERLING CATALOG - FZN &amp; CHILL'!B3774,"AAAAAHv//+o=")</f>
        <v>#VALUE!</v>
      </c>
      <c r="IB406" t="e">
        <f>AND('STERLING CATALOG - FZN &amp; CHILL'!C3774,"AAAAAHv//+s=")</f>
        <v>#VALUE!</v>
      </c>
      <c r="IC406" t="e">
        <f>AND('STERLING CATALOG - FZN &amp; CHILL'!D3774,"AAAAAHv//+w=")</f>
        <v>#VALUE!</v>
      </c>
      <c r="ID406" t="e">
        <f>AND('STERLING CATALOG - FZN &amp; CHILL'!E3774,"AAAAAHv//+0=")</f>
        <v>#VALUE!</v>
      </c>
      <c r="IE406" t="e">
        <f>AND('STERLING CATALOG - FZN &amp; CHILL'!F3774,"AAAAAHv//+4=")</f>
        <v>#VALUE!</v>
      </c>
      <c r="IF406" t="e">
        <f>AND('STERLING CATALOG - FZN &amp; CHILL'!G3774,"AAAAAHv//+8=")</f>
        <v>#VALUE!</v>
      </c>
      <c r="IG406" t="e">
        <f>AND('STERLING CATALOG - FZN &amp; CHILL'!H3774,"AAAAAHv///A=")</f>
        <v>#VALUE!</v>
      </c>
      <c r="IH406" t="e">
        <f>AND('STERLING CATALOG - FZN &amp; CHILL'!I3774,"AAAAAHv///E=")</f>
        <v>#VALUE!</v>
      </c>
      <c r="II406" t="e">
        <f>AND('STERLING CATALOG - FZN &amp; CHILL'!J3774,"AAAAAHv///I=")</f>
        <v>#VALUE!</v>
      </c>
      <c r="IJ406">
        <f>IF('STERLING CATALOG - FZN &amp; CHILL'!3775:3775,"AAAAAHv///M=",0)</f>
        <v>0</v>
      </c>
      <c r="IK406" t="e">
        <f>AND('STERLING CATALOG - FZN &amp; CHILL'!A3775,"AAAAAHv///Q=")</f>
        <v>#VALUE!</v>
      </c>
      <c r="IL406" t="e">
        <f>AND('STERLING CATALOG - FZN &amp; CHILL'!B3775,"AAAAAHv///U=")</f>
        <v>#VALUE!</v>
      </c>
      <c r="IM406" t="e">
        <f>AND('STERLING CATALOG - FZN &amp; CHILL'!C3775,"AAAAAHv///Y=")</f>
        <v>#VALUE!</v>
      </c>
      <c r="IN406" t="e">
        <f>AND('STERLING CATALOG - FZN &amp; CHILL'!D3775,"AAAAAHv///c=")</f>
        <v>#VALUE!</v>
      </c>
      <c r="IO406" t="e">
        <f>AND('STERLING CATALOG - FZN &amp; CHILL'!E3775,"AAAAAHv///g=")</f>
        <v>#VALUE!</v>
      </c>
      <c r="IP406" t="e">
        <f>AND('STERLING CATALOG - FZN &amp; CHILL'!F3775,"AAAAAHv///k=")</f>
        <v>#VALUE!</v>
      </c>
      <c r="IQ406" t="e">
        <f>AND('STERLING CATALOG - FZN &amp; CHILL'!G3775,"AAAAAHv///o=")</f>
        <v>#VALUE!</v>
      </c>
      <c r="IR406" t="e">
        <f>AND('STERLING CATALOG - FZN &amp; CHILL'!H3775,"AAAAAHv///s=")</f>
        <v>#VALUE!</v>
      </c>
      <c r="IS406" t="e">
        <f>AND('STERLING CATALOG - FZN &amp; CHILL'!I3775,"AAAAAHv///w=")</f>
        <v>#VALUE!</v>
      </c>
      <c r="IT406" t="e">
        <f>AND('STERLING CATALOG - FZN &amp; CHILL'!J3775,"AAAAAHv///0=")</f>
        <v>#VALUE!</v>
      </c>
      <c r="IU406">
        <f>IF('STERLING CATALOG - FZN &amp; CHILL'!3776:3776,"AAAAAHv///4=",0)</f>
        <v>0</v>
      </c>
      <c r="IV406" t="e">
        <f>AND('STERLING CATALOG - FZN &amp; CHILL'!A3776,"AAAAAHv///8=")</f>
        <v>#VALUE!</v>
      </c>
    </row>
    <row r="407" spans="1:256">
      <c r="A407" t="e">
        <f>AND('STERLING CATALOG - FZN &amp; CHILL'!B3776,"AAAAAG596QA=")</f>
        <v>#VALUE!</v>
      </c>
      <c r="B407" t="e">
        <f>AND('STERLING CATALOG - FZN &amp; CHILL'!C3776,"AAAAAG596QE=")</f>
        <v>#VALUE!</v>
      </c>
      <c r="C407" t="e">
        <f>AND('STERLING CATALOG - FZN &amp; CHILL'!D3776,"AAAAAG596QI=")</f>
        <v>#VALUE!</v>
      </c>
      <c r="D407" t="e">
        <f>AND('STERLING CATALOG - FZN &amp; CHILL'!E3776,"AAAAAG596QM=")</f>
        <v>#VALUE!</v>
      </c>
      <c r="E407" t="e">
        <f>AND('STERLING CATALOG - FZN &amp; CHILL'!F3776,"AAAAAG596QQ=")</f>
        <v>#VALUE!</v>
      </c>
      <c r="F407" t="e">
        <f>AND('STERLING CATALOG - FZN &amp; CHILL'!G3776,"AAAAAG596QU=")</f>
        <v>#VALUE!</v>
      </c>
      <c r="G407" t="e">
        <f>AND('STERLING CATALOG - FZN &amp; CHILL'!H3776,"AAAAAG596QY=")</f>
        <v>#VALUE!</v>
      </c>
      <c r="H407" t="e">
        <f>AND('STERLING CATALOG - FZN &amp; CHILL'!I3776,"AAAAAG596Qc=")</f>
        <v>#VALUE!</v>
      </c>
      <c r="I407" t="e">
        <f>AND('STERLING CATALOG - FZN &amp; CHILL'!J3776,"AAAAAG596Qg=")</f>
        <v>#VALUE!</v>
      </c>
      <c r="J407" t="e">
        <f>IF('STERLING CATALOG - FZN &amp; CHILL'!3777:3777,"AAAAAG596Qk=",0)</f>
        <v>#VALUE!</v>
      </c>
      <c r="K407" t="e">
        <f>AND('STERLING CATALOG - FZN &amp; CHILL'!A3777,"AAAAAG596Qo=")</f>
        <v>#VALUE!</v>
      </c>
      <c r="L407" t="e">
        <f>AND('STERLING CATALOG - FZN &amp; CHILL'!B3777,"AAAAAG596Qs=")</f>
        <v>#VALUE!</v>
      </c>
      <c r="M407" t="e">
        <f>AND('STERLING CATALOG - FZN &amp; CHILL'!C3777,"AAAAAG596Qw=")</f>
        <v>#VALUE!</v>
      </c>
      <c r="N407" t="e">
        <f>AND('STERLING CATALOG - FZN &amp; CHILL'!D3777,"AAAAAG596Q0=")</f>
        <v>#VALUE!</v>
      </c>
      <c r="O407" t="e">
        <f>AND('STERLING CATALOG - FZN &amp; CHILL'!E3777,"AAAAAG596Q4=")</f>
        <v>#VALUE!</v>
      </c>
      <c r="P407" t="e">
        <f>AND('STERLING CATALOG - FZN &amp; CHILL'!F3777,"AAAAAG596Q8=")</f>
        <v>#VALUE!</v>
      </c>
      <c r="Q407" t="e">
        <f>AND('STERLING CATALOG - FZN &amp; CHILL'!G3777,"AAAAAG596RA=")</f>
        <v>#VALUE!</v>
      </c>
      <c r="R407" t="e">
        <f>AND('STERLING CATALOG - FZN &amp; CHILL'!H3777,"AAAAAG596RE=")</f>
        <v>#VALUE!</v>
      </c>
      <c r="S407" t="e">
        <f>AND('STERLING CATALOG - FZN &amp; CHILL'!I3777,"AAAAAG596RI=")</f>
        <v>#VALUE!</v>
      </c>
      <c r="T407" t="e">
        <f>AND('STERLING CATALOG - FZN &amp; CHILL'!J3777,"AAAAAG596RM=")</f>
        <v>#VALUE!</v>
      </c>
      <c r="U407">
        <f>IF('STERLING CATALOG - FZN &amp; CHILL'!3778:3778,"AAAAAG596RQ=",0)</f>
        <v>0</v>
      </c>
      <c r="V407" t="e">
        <f>AND('STERLING CATALOG - FZN &amp; CHILL'!A3778,"AAAAAG596RU=")</f>
        <v>#VALUE!</v>
      </c>
      <c r="W407" t="e">
        <f>AND('STERLING CATALOG - FZN &amp; CHILL'!B3778,"AAAAAG596RY=")</f>
        <v>#VALUE!</v>
      </c>
      <c r="X407" t="e">
        <f>AND('STERLING CATALOG - FZN &amp; CHILL'!C3778,"AAAAAG596Rc=")</f>
        <v>#VALUE!</v>
      </c>
      <c r="Y407" t="e">
        <f>AND('STERLING CATALOG - FZN &amp; CHILL'!D3778,"AAAAAG596Rg=")</f>
        <v>#VALUE!</v>
      </c>
      <c r="Z407" t="e">
        <f>AND('STERLING CATALOG - FZN &amp; CHILL'!E3778,"AAAAAG596Rk=")</f>
        <v>#VALUE!</v>
      </c>
      <c r="AA407" t="e">
        <f>AND('STERLING CATALOG - FZN &amp; CHILL'!F3778,"AAAAAG596Ro=")</f>
        <v>#VALUE!</v>
      </c>
      <c r="AB407" t="e">
        <f>AND('STERLING CATALOG - FZN &amp; CHILL'!G3778,"AAAAAG596Rs=")</f>
        <v>#VALUE!</v>
      </c>
      <c r="AC407" t="e">
        <f>AND('STERLING CATALOG - FZN &amp; CHILL'!H3778,"AAAAAG596Rw=")</f>
        <v>#VALUE!</v>
      </c>
      <c r="AD407" t="e">
        <f>AND('STERLING CATALOG - FZN &amp; CHILL'!I3778,"AAAAAG596R0=")</f>
        <v>#VALUE!</v>
      </c>
      <c r="AE407" t="e">
        <f>AND('STERLING CATALOG - FZN &amp; CHILL'!J3778,"AAAAAG596R4=")</f>
        <v>#VALUE!</v>
      </c>
      <c r="AF407">
        <f>IF('STERLING CATALOG - FZN &amp; CHILL'!3779:3779,"AAAAAG596R8=",0)</f>
        <v>0</v>
      </c>
      <c r="AG407" t="e">
        <f>AND('STERLING CATALOG - FZN &amp; CHILL'!A3779,"AAAAAG596SA=")</f>
        <v>#VALUE!</v>
      </c>
      <c r="AH407" t="e">
        <f>AND('STERLING CATALOG - FZN &amp; CHILL'!B3779,"AAAAAG596SE=")</f>
        <v>#VALUE!</v>
      </c>
      <c r="AI407" t="e">
        <f>AND('STERLING CATALOG - FZN &amp; CHILL'!C3779,"AAAAAG596SI=")</f>
        <v>#VALUE!</v>
      </c>
      <c r="AJ407" t="e">
        <f>AND('STERLING CATALOG - FZN &amp; CHILL'!D3779,"AAAAAG596SM=")</f>
        <v>#VALUE!</v>
      </c>
      <c r="AK407" t="e">
        <f>AND('STERLING CATALOG - FZN &amp; CHILL'!E3779,"AAAAAG596SQ=")</f>
        <v>#VALUE!</v>
      </c>
      <c r="AL407" t="e">
        <f>AND('STERLING CATALOG - FZN &amp; CHILL'!F3779,"AAAAAG596SU=")</f>
        <v>#VALUE!</v>
      </c>
      <c r="AM407" t="e">
        <f>AND('STERLING CATALOG - FZN &amp; CHILL'!G3779,"AAAAAG596SY=")</f>
        <v>#VALUE!</v>
      </c>
      <c r="AN407" t="e">
        <f>AND('STERLING CATALOG - FZN &amp; CHILL'!H3779,"AAAAAG596Sc=")</f>
        <v>#VALUE!</v>
      </c>
      <c r="AO407" t="e">
        <f>AND('STERLING CATALOG - FZN &amp; CHILL'!I3779,"AAAAAG596Sg=")</f>
        <v>#VALUE!</v>
      </c>
      <c r="AP407" t="e">
        <f>AND('STERLING CATALOG - FZN &amp; CHILL'!J3779,"AAAAAG596Sk=")</f>
        <v>#VALUE!</v>
      </c>
      <c r="AQ407">
        <f>IF('STERLING CATALOG - FZN &amp; CHILL'!3780:3780,"AAAAAG596So=",0)</f>
        <v>0</v>
      </c>
      <c r="AR407" t="e">
        <f>AND('STERLING CATALOG - FZN &amp; CHILL'!A3780,"AAAAAG596Ss=")</f>
        <v>#VALUE!</v>
      </c>
      <c r="AS407" t="e">
        <f>AND('STERLING CATALOG - FZN &amp; CHILL'!B3780,"AAAAAG596Sw=")</f>
        <v>#VALUE!</v>
      </c>
      <c r="AT407" t="e">
        <f>AND('STERLING CATALOG - FZN &amp; CHILL'!C3780,"AAAAAG596S0=")</f>
        <v>#VALUE!</v>
      </c>
      <c r="AU407" t="e">
        <f>AND('STERLING CATALOG - FZN &amp; CHILL'!D3780,"AAAAAG596S4=")</f>
        <v>#VALUE!</v>
      </c>
      <c r="AV407" t="e">
        <f>AND('STERLING CATALOG - FZN &amp; CHILL'!E3780,"AAAAAG596S8=")</f>
        <v>#VALUE!</v>
      </c>
      <c r="AW407" t="e">
        <f>AND('STERLING CATALOG - FZN &amp; CHILL'!F3780,"AAAAAG596TA=")</f>
        <v>#VALUE!</v>
      </c>
      <c r="AX407" t="e">
        <f>AND('STERLING CATALOG - FZN &amp; CHILL'!G3780,"AAAAAG596TE=")</f>
        <v>#VALUE!</v>
      </c>
      <c r="AY407" t="e">
        <f>AND('STERLING CATALOG - FZN &amp; CHILL'!H3780,"AAAAAG596TI=")</f>
        <v>#VALUE!</v>
      </c>
      <c r="AZ407" t="e">
        <f>AND('STERLING CATALOG - FZN &amp; CHILL'!I3780,"AAAAAG596TM=")</f>
        <v>#VALUE!</v>
      </c>
      <c r="BA407" t="e">
        <f>AND('STERLING CATALOG - FZN &amp; CHILL'!J3780,"AAAAAG596TQ=")</f>
        <v>#VALUE!</v>
      </c>
      <c r="BB407">
        <f>IF('STERLING CATALOG - FZN &amp; CHILL'!3781:3781,"AAAAAG596TU=",0)</f>
        <v>0</v>
      </c>
      <c r="BC407" t="e">
        <f>AND('STERLING CATALOG - FZN &amp; CHILL'!A3781,"AAAAAG596TY=")</f>
        <v>#VALUE!</v>
      </c>
      <c r="BD407" t="e">
        <f>AND('STERLING CATALOG - FZN &amp; CHILL'!B3781,"AAAAAG596Tc=")</f>
        <v>#VALUE!</v>
      </c>
      <c r="BE407" t="e">
        <f>AND('STERLING CATALOG - FZN &amp; CHILL'!C3781,"AAAAAG596Tg=")</f>
        <v>#VALUE!</v>
      </c>
      <c r="BF407" t="e">
        <f>AND('STERLING CATALOG - FZN &amp; CHILL'!D3781,"AAAAAG596Tk=")</f>
        <v>#VALUE!</v>
      </c>
      <c r="BG407" t="e">
        <f>AND('STERLING CATALOG - FZN &amp; CHILL'!E3781,"AAAAAG596To=")</f>
        <v>#VALUE!</v>
      </c>
      <c r="BH407" t="e">
        <f>AND('STERLING CATALOG - FZN &amp; CHILL'!F3781,"AAAAAG596Ts=")</f>
        <v>#VALUE!</v>
      </c>
      <c r="BI407" t="e">
        <f>AND('STERLING CATALOG - FZN &amp; CHILL'!G3781,"AAAAAG596Tw=")</f>
        <v>#VALUE!</v>
      </c>
      <c r="BJ407" t="e">
        <f>AND('STERLING CATALOG - FZN &amp; CHILL'!H3781,"AAAAAG596T0=")</f>
        <v>#VALUE!</v>
      </c>
      <c r="BK407" t="e">
        <f>AND('STERLING CATALOG - FZN &amp; CHILL'!I3781,"AAAAAG596T4=")</f>
        <v>#VALUE!</v>
      </c>
      <c r="BL407" t="e">
        <f>AND('STERLING CATALOG - FZN &amp; CHILL'!J3781,"AAAAAG596T8=")</f>
        <v>#VALUE!</v>
      </c>
      <c r="BM407">
        <f>IF('STERLING CATALOG - FZN &amp; CHILL'!3782:3782,"AAAAAG596UA=",0)</f>
        <v>0</v>
      </c>
      <c r="BN407" t="e">
        <f>AND('STERLING CATALOG - FZN &amp; CHILL'!A3782,"AAAAAG596UE=")</f>
        <v>#VALUE!</v>
      </c>
      <c r="BO407" t="e">
        <f>AND('STERLING CATALOG - FZN &amp; CHILL'!B3782,"AAAAAG596UI=")</f>
        <v>#VALUE!</v>
      </c>
      <c r="BP407" t="e">
        <f>AND('STERLING CATALOG - FZN &amp; CHILL'!C3782,"AAAAAG596UM=")</f>
        <v>#VALUE!</v>
      </c>
      <c r="BQ407" t="e">
        <f>AND('STERLING CATALOG - FZN &amp; CHILL'!D3782,"AAAAAG596UQ=")</f>
        <v>#VALUE!</v>
      </c>
      <c r="BR407" t="e">
        <f>AND('STERLING CATALOG - FZN &amp; CHILL'!E3782,"AAAAAG596UU=")</f>
        <v>#VALUE!</v>
      </c>
      <c r="BS407" t="e">
        <f>AND('STERLING CATALOG - FZN &amp; CHILL'!F3782,"AAAAAG596UY=")</f>
        <v>#VALUE!</v>
      </c>
      <c r="BT407" t="e">
        <f>AND('STERLING CATALOG - FZN &amp; CHILL'!G3782,"AAAAAG596Uc=")</f>
        <v>#VALUE!</v>
      </c>
      <c r="BU407" t="e">
        <f>AND('STERLING CATALOG - FZN &amp; CHILL'!H3782,"AAAAAG596Ug=")</f>
        <v>#VALUE!</v>
      </c>
      <c r="BV407" t="e">
        <f>AND('STERLING CATALOG - FZN &amp; CHILL'!I3782,"AAAAAG596Uk=")</f>
        <v>#VALUE!</v>
      </c>
      <c r="BW407" t="e">
        <f>AND('STERLING CATALOG - FZN &amp; CHILL'!J3782,"AAAAAG596Uo=")</f>
        <v>#VALUE!</v>
      </c>
      <c r="BX407">
        <f>IF('STERLING CATALOG - FZN &amp; CHILL'!3783:3783,"AAAAAG596Us=",0)</f>
        <v>0</v>
      </c>
      <c r="BY407" t="e">
        <f>AND('STERLING CATALOG - FZN &amp; CHILL'!A3783,"AAAAAG596Uw=")</f>
        <v>#VALUE!</v>
      </c>
      <c r="BZ407" t="e">
        <f>AND('STERLING CATALOG - FZN &amp; CHILL'!B3783,"AAAAAG596U0=")</f>
        <v>#VALUE!</v>
      </c>
      <c r="CA407" t="e">
        <f>AND('STERLING CATALOG - FZN &amp; CHILL'!C3783,"AAAAAG596U4=")</f>
        <v>#VALUE!</v>
      </c>
      <c r="CB407" t="e">
        <f>AND('STERLING CATALOG - FZN &amp; CHILL'!D3783,"AAAAAG596U8=")</f>
        <v>#VALUE!</v>
      </c>
      <c r="CC407" t="e">
        <f>AND('STERLING CATALOG - FZN &amp; CHILL'!E3783,"AAAAAG596VA=")</f>
        <v>#VALUE!</v>
      </c>
      <c r="CD407" t="e">
        <f>AND('STERLING CATALOG - FZN &amp; CHILL'!F3783,"AAAAAG596VE=")</f>
        <v>#VALUE!</v>
      </c>
      <c r="CE407" t="e">
        <f>AND('STERLING CATALOG - FZN &amp; CHILL'!G3783,"AAAAAG596VI=")</f>
        <v>#VALUE!</v>
      </c>
      <c r="CF407" t="e">
        <f>AND('STERLING CATALOG - FZN &amp; CHILL'!H3783,"AAAAAG596VM=")</f>
        <v>#VALUE!</v>
      </c>
      <c r="CG407" t="e">
        <f>AND('STERLING CATALOG - FZN &amp; CHILL'!I3783,"AAAAAG596VQ=")</f>
        <v>#VALUE!</v>
      </c>
      <c r="CH407" t="e">
        <f>AND('STERLING CATALOG - FZN &amp; CHILL'!J3783,"AAAAAG596VU=")</f>
        <v>#VALUE!</v>
      </c>
      <c r="CI407">
        <f>IF('STERLING CATALOG - FZN &amp; CHILL'!3784:3784,"AAAAAG596VY=",0)</f>
        <v>0</v>
      </c>
      <c r="CJ407" t="e">
        <f>AND('STERLING CATALOG - FZN &amp; CHILL'!A3784,"AAAAAG596Vc=")</f>
        <v>#VALUE!</v>
      </c>
      <c r="CK407" t="e">
        <f>AND('STERLING CATALOG - FZN &amp; CHILL'!B3784,"AAAAAG596Vg=")</f>
        <v>#VALUE!</v>
      </c>
      <c r="CL407" t="e">
        <f>AND('STERLING CATALOG - FZN &amp; CHILL'!C3784,"AAAAAG596Vk=")</f>
        <v>#VALUE!</v>
      </c>
      <c r="CM407" t="e">
        <f>AND('STERLING CATALOG - FZN &amp; CHILL'!D3784,"AAAAAG596Vo=")</f>
        <v>#VALUE!</v>
      </c>
      <c r="CN407" t="e">
        <f>AND('STERLING CATALOG - FZN &amp; CHILL'!E3784,"AAAAAG596Vs=")</f>
        <v>#VALUE!</v>
      </c>
      <c r="CO407" t="e">
        <f>AND('STERLING CATALOG - FZN &amp; CHILL'!F3784,"AAAAAG596Vw=")</f>
        <v>#VALUE!</v>
      </c>
      <c r="CP407" t="e">
        <f>AND('STERLING CATALOG - FZN &amp; CHILL'!G3784,"AAAAAG596V0=")</f>
        <v>#VALUE!</v>
      </c>
      <c r="CQ407" t="e">
        <f>AND('STERLING CATALOG - FZN &amp; CHILL'!H3784,"AAAAAG596V4=")</f>
        <v>#VALUE!</v>
      </c>
      <c r="CR407" t="e">
        <f>AND('STERLING CATALOG - FZN &amp; CHILL'!I3784,"AAAAAG596V8=")</f>
        <v>#VALUE!</v>
      </c>
      <c r="CS407" t="e">
        <f>AND('STERLING CATALOG - FZN &amp; CHILL'!J3784,"AAAAAG596WA=")</f>
        <v>#VALUE!</v>
      </c>
      <c r="CT407">
        <f>IF('STERLING CATALOG - FZN &amp; CHILL'!3785:3785,"AAAAAG596WE=",0)</f>
        <v>0</v>
      </c>
      <c r="CU407" t="e">
        <f>AND('STERLING CATALOG - FZN &amp; CHILL'!A3785,"AAAAAG596WI=")</f>
        <v>#VALUE!</v>
      </c>
      <c r="CV407" t="e">
        <f>AND('STERLING CATALOG - FZN &amp; CHILL'!B3785,"AAAAAG596WM=")</f>
        <v>#VALUE!</v>
      </c>
      <c r="CW407" t="e">
        <f>AND('STERLING CATALOG - FZN &amp; CHILL'!C3785,"AAAAAG596WQ=")</f>
        <v>#VALUE!</v>
      </c>
      <c r="CX407" t="e">
        <f>AND('STERLING CATALOG - FZN &amp; CHILL'!D3785,"AAAAAG596WU=")</f>
        <v>#VALUE!</v>
      </c>
      <c r="CY407" t="e">
        <f>AND('STERLING CATALOG - FZN &amp; CHILL'!E3785,"AAAAAG596WY=")</f>
        <v>#VALUE!</v>
      </c>
      <c r="CZ407" t="e">
        <f>AND('STERLING CATALOG - FZN &amp; CHILL'!F3785,"AAAAAG596Wc=")</f>
        <v>#VALUE!</v>
      </c>
      <c r="DA407" t="e">
        <f>AND('STERLING CATALOG - FZN &amp; CHILL'!G3785,"AAAAAG596Wg=")</f>
        <v>#VALUE!</v>
      </c>
      <c r="DB407" t="e">
        <f>AND('STERLING CATALOG - FZN &amp; CHILL'!H3785,"AAAAAG596Wk=")</f>
        <v>#VALUE!</v>
      </c>
      <c r="DC407" t="e">
        <f>AND('STERLING CATALOG - FZN &amp; CHILL'!I3785,"AAAAAG596Wo=")</f>
        <v>#VALUE!</v>
      </c>
      <c r="DD407" t="e">
        <f>AND('STERLING CATALOG - FZN &amp; CHILL'!J3785,"AAAAAG596Ws=")</f>
        <v>#VALUE!</v>
      </c>
      <c r="DE407">
        <f>IF('STERLING CATALOG - FZN &amp; CHILL'!3786:3786,"AAAAAG596Ww=",0)</f>
        <v>0</v>
      </c>
      <c r="DF407" t="e">
        <f>AND('STERLING CATALOG - FZN &amp; CHILL'!A3786,"AAAAAG596W0=")</f>
        <v>#VALUE!</v>
      </c>
      <c r="DG407" t="e">
        <f>AND('STERLING CATALOG - FZN &amp; CHILL'!B3786,"AAAAAG596W4=")</f>
        <v>#VALUE!</v>
      </c>
      <c r="DH407" t="e">
        <f>AND('STERLING CATALOG - FZN &amp; CHILL'!C3786,"AAAAAG596W8=")</f>
        <v>#VALUE!</v>
      </c>
      <c r="DI407" t="e">
        <f>AND('STERLING CATALOG - FZN &amp; CHILL'!D3786,"AAAAAG596XA=")</f>
        <v>#VALUE!</v>
      </c>
      <c r="DJ407" t="e">
        <f>AND('STERLING CATALOG - FZN &amp; CHILL'!E3786,"AAAAAG596XE=")</f>
        <v>#VALUE!</v>
      </c>
      <c r="DK407" t="e">
        <f>AND('STERLING CATALOG - FZN &amp; CHILL'!F3786,"AAAAAG596XI=")</f>
        <v>#VALUE!</v>
      </c>
      <c r="DL407" t="e">
        <f>AND('STERLING CATALOG - FZN &amp; CHILL'!G3786,"AAAAAG596XM=")</f>
        <v>#VALUE!</v>
      </c>
      <c r="DM407" t="e">
        <f>AND('STERLING CATALOG - FZN &amp; CHILL'!H3786,"AAAAAG596XQ=")</f>
        <v>#VALUE!</v>
      </c>
      <c r="DN407" t="e">
        <f>AND('STERLING CATALOG - FZN &amp; CHILL'!I3786,"AAAAAG596XU=")</f>
        <v>#VALUE!</v>
      </c>
      <c r="DO407" t="e">
        <f>AND('STERLING CATALOG - FZN &amp; CHILL'!J3786,"AAAAAG596XY=")</f>
        <v>#VALUE!</v>
      </c>
      <c r="DP407">
        <f>IF('STERLING CATALOG - FZN &amp; CHILL'!3787:3787,"AAAAAG596Xc=",0)</f>
        <v>0</v>
      </c>
      <c r="DQ407" t="e">
        <f>AND('STERLING CATALOG - FZN &amp; CHILL'!A3787,"AAAAAG596Xg=")</f>
        <v>#VALUE!</v>
      </c>
      <c r="DR407" t="e">
        <f>AND('STERLING CATALOG - FZN &amp; CHILL'!B3787,"AAAAAG596Xk=")</f>
        <v>#VALUE!</v>
      </c>
      <c r="DS407" t="e">
        <f>AND('STERLING CATALOG - FZN &amp; CHILL'!C3787,"AAAAAG596Xo=")</f>
        <v>#VALUE!</v>
      </c>
      <c r="DT407" t="e">
        <f>AND('STERLING CATALOG - FZN &amp; CHILL'!D3787,"AAAAAG596Xs=")</f>
        <v>#VALUE!</v>
      </c>
      <c r="DU407" t="e">
        <f>AND('STERLING CATALOG - FZN &amp; CHILL'!E3787,"AAAAAG596Xw=")</f>
        <v>#VALUE!</v>
      </c>
      <c r="DV407" t="e">
        <f>AND('STERLING CATALOG - FZN &amp; CHILL'!F3787,"AAAAAG596X0=")</f>
        <v>#VALUE!</v>
      </c>
      <c r="DW407" t="e">
        <f>AND('STERLING CATALOG - FZN &amp; CHILL'!G3787,"AAAAAG596X4=")</f>
        <v>#VALUE!</v>
      </c>
      <c r="DX407" t="e">
        <f>AND('STERLING CATALOG - FZN &amp; CHILL'!H3787,"AAAAAG596X8=")</f>
        <v>#VALUE!</v>
      </c>
      <c r="DY407" t="e">
        <f>AND('STERLING CATALOG - FZN &amp; CHILL'!I3787,"AAAAAG596YA=")</f>
        <v>#VALUE!</v>
      </c>
      <c r="DZ407" t="e">
        <f>AND('STERLING CATALOG - FZN &amp; CHILL'!J3787,"AAAAAG596YE=")</f>
        <v>#VALUE!</v>
      </c>
      <c r="EA407">
        <f>IF('STERLING CATALOG - FZN &amp; CHILL'!3788:3788,"AAAAAG596YI=",0)</f>
        <v>0</v>
      </c>
      <c r="EB407" t="e">
        <f>AND('STERLING CATALOG - FZN &amp; CHILL'!A3788,"AAAAAG596YM=")</f>
        <v>#VALUE!</v>
      </c>
      <c r="EC407" t="e">
        <f>AND('STERLING CATALOG - FZN &amp; CHILL'!B3788,"AAAAAG596YQ=")</f>
        <v>#VALUE!</v>
      </c>
      <c r="ED407" t="e">
        <f>AND('STERLING CATALOG - FZN &amp; CHILL'!C3788,"AAAAAG596YU=")</f>
        <v>#VALUE!</v>
      </c>
      <c r="EE407" t="e">
        <f>AND('STERLING CATALOG - FZN &amp; CHILL'!D3788,"AAAAAG596YY=")</f>
        <v>#VALUE!</v>
      </c>
      <c r="EF407" t="e">
        <f>AND('STERLING CATALOG - FZN &amp; CHILL'!E3788,"AAAAAG596Yc=")</f>
        <v>#VALUE!</v>
      </c>
      <c r="EG407" t="e">
        <f>AND('STERLING CATALOG - FZN &amp; CHILL'!F3788,"AAAAAG596Yg=")</f>
        <v>#VALUE!</v>
      </c>
      <c r="EH407" t="e">
        <f>AND('STERLING CATALOG - FZN &amp; CHILL'!G3788,"AAAAAG596Yk=")</f>
        <v>#VALUE!</v>
      </c>
      <c r="EI407" t="e">
        <f>AND('STERLING CATALOG - FZN &amp; CHILL'!H3788,"AAAAAG596Yo=")</f>
        <v>#VALUE!</v>
      </c>
      <c r="EJ407" t="e">
        <f>AND('STERLING CATALOG - FZN &amp; CHILL'!I3788,"AAAAAG596Ys=")</f>
        <v>#VALUE!</v>
      </c>
      <c r="EK407" t="e">
        <f>AND('STERLING CATALOG - FZN &amp; CHILL'!J3788,"AAAAAG596Yw=")</f>
        <v>#VALUE!</v>
      </c>
      <c r="EL407">
        <f>IF('STERLING CATALOG - FZN &amp; CHILL'!3789:3789,"AAAAAG596Y0=",0)</f>
        <v>0</v>
      </c>
      <c r="EM407" t="e">
        <f>AND('STERLING CATALOG - FZN &amp; CHILL'!A3789,"AAAAAG596Y4=")</f>
        <v>#VALUE!</v>
      </c>
      <c r="EN407" t="e">
        <f>AND('STERLING CATALOG - FZN &amp; CHILL'!B3789,"AAAAAG596Y8=")</f>
        <v>#VALUE!</v>
      </c>
      <c r="EO407" t="e">
        <f>AND('STERLING CATALOG - FZN &amp; CHILL'!C3789,"AAAAAG596ZA=")</f>
        <v>#VALUE!</v>
      </c>
      <c r="EP407" t="e">
        <f>AND('STERLING CATALOG - FZN &amp; CHILL'!D3789,"AAAAAG596ZE=")</f>
        <v>#VALUE!</v>
      </c>
      <c r="EQ407" t="e">
        <f>AND('STERLING CATALOG - FZN &amp; CHILL'!E3789,"AAAAAG596ZI=")</f>
        <v>#VALUE!</v>
      </c>
      <c r="ER407" t="e">
        <f>AND('STERLING CATALOG - FZN &amp; CHILL'!F3789,"AAAAAG596ZM=")</f>
        <v>#VALUE!</v>
      </c>
      <c r="ES407" t="e">
        <f>AND('STERLING CATALOG - FZN &amp; CHILL'!G3789,"AAAAAG596ZQ=")</f>
        <v>#VALUE!</v>
      </c>
      <c r="ET407" t="e">
        <f>AND('STERLING CATALOG - FZN &amp; CHILL'!H3789,"AAAAAG596ZU=")</f>
        <v>#VALUE!</v>
      </c>
      <c r="EU407" t="e">
        <f>AND('STERLING CATALOG - FZN &amp; CHILL'!I3789,"AAAAAG596ZY=")</f>
        <v>#VALUE!</v>
      </c>
      <c r="EV407" t="e">
        <f>AND('STERLING CATALOG - FZN &amp; CHILL'!J3789,"AAAAAG596Zc=")</f>
        <v>#VALUE!</v>
      </c>
      <c r="EW407">
        <f>IF('STERLING CATALOG - FZN &amp; CHILL'!3790:3790,"AAAAAG596Zg=",0)</f>
        <v>0</v>
      </c>
      <c r="EX407" t="e">
        <f>AND('STERLING CATALOG - FZN &amp; CHILL'!A3790,"AAAAAG596Zk=")</f>
        <v>#VALUE!</v>
      </c>
      <c r="EY407" t="e">
        <f>AND('STERLING CATALOG - FZN &amp; CHILL'!B3790,"AAAAAG596Zo=")</f>
        <v>#VALUE!</v>
      </c>
      <c r="EZ407" t="e">
        <f>AND('STERLING CATALOG - FZN &amp; CHILL'!C3790,"AAAAAG596Zs=")</f>
        <v>#VALUE!</v>
      </c>
      <c r="FA407" t="e">
        <f>AND('STERLING CATALOG - FZN &amp; CHILL'!D3790,"AAAAAG596Zw=")</f>
        <v>#VALUE!</v>
      </c>
      <c r="FB407" t="e">
        <f>AND('STERLING CATALOG - FZN &amp; CHILL'!E3790,"AAAAAG596Z0=")</f>
        <v>#VALUE!</v>
      </c>
      <c r="FC407" t="e">
        <f>AND('STERLING CATALOG - FZN &amp; CHILL'!F3790,"AAAAAG596Z4=")</f>
        <v>#VALUE!</v>
      </c>
      <c r="FD407" t="e">
        <f>AND('STERLING CATALOG - FZN &amp; CHILL'!G3790,"AAAAAG596Z8=")</f>
        <v>#VALUE!</v>
      </c>
      <c r="FE407" t="e">
        <f>AND('STERLING CATALOG - FZN &amp; CHILL'!H3790,"AAAAAG596aA=")</f>
        <v>#VALUE!</v>
      </c>
      <c r="FF407" t="e">
        <f>AND('STERLING CATALOG - FZN &amp; CHILL'!I3790,"AAAAAG596aE=")</f>
        <v>#VALUE!</v>
      </c>
      <c r="FG407" t="e">
        <f>AND('STERLING CATALOG - FZN &amp; CHILL'!J3790,"AAAAAG596aI=")</f>
        <v>#VALUE!</v>
      </c>
      <c r="FH407">
        <f>IF('STERLING CATALOG - FZN &amp; CHILL'!3791:3791,"AAAAAG596aM=",0)</f>
        <v>0</v>
      </c>
      <c r="FI407" t="e">
        <f>AND('STERLING CATALOG - FZN &amp; CHILL'!A3791,"AAAAAG596aQ=")</f>
        <v>#VALUE!</v>
      </c>
      <c r="FJ407" t="e">
        <f>AND('STERLING CATALOG - FZN &amp; CHILL'!B3791,"AAAAAG596aU=")</f>
        <v>#VALUE!</v>
      </c>
      <c r="FK407" t="e">
        <f>AND('STERLING CATALOG - FZN &amp; CHILL'!C3791,"AAAAAG596aY=")</f>
        <v>#VALUE!</v>
      </c>
      <c r="FL407" t="e">
        <f>AND('STERLING CATALOG - FZN &amp; CHILL'!D3791,"AAAAAG596ac=")</f>
        <v>#VALUE!</v>
      </c>
      <c r="FM407" t="e">
        <f>AND('STERLING CATALOG - FZN &amp; CHILL'!E3791,"AAAAAG596ag=")</f>
        <v>#VALUE!</v>
      </c>
      <c r="FN407" t="e">
        <f>AND('STERLING CATALOG - FZN &amp; CHILL'!F3791,"AAAAAG596ak=")</f>
        <v>#VALUE!</v>
      </c>
      <c r="FO407" t="e">
        <f>AND('STERLING CATALOG - FZN &amp; CHILL'!G3791,"AAAAAG596ao=")</f>
        <v>#VALUE!</v>
      </c>
      <c r="FP407" t="e">
        <f>AND('STERLING CATALOG - FZN &amp; CHILL'!H3791,"AAAAAG596as=")</f>
        <v>#VALUE!</v>
      </c>
      <c r="FQ407" t="e">
        <f>AND('STERLING CATALOG - FZN &amp; CHILL'!I3791,"AAAAAG596aw=")</f>
        <v>#VALUE!</v>
      </c>
      <c r="FR407" t="e">
        <f>AND('STERLING CATALOG - FZN &amp; CHILL'!J3791,"AAAAAG596a0=")</f>
        <v>#VALUE!</v>
      </c>
      <c r="FS407">
        <f>IF('STERLING CATALOG - FZN &amp; CHILL'!3792:3792,"AAAAAG596a4=",0)</f>
        <v>0</v>
      </c>
      <c r="FT407" t="e">
        <f>AND('STERLING CATALOG - FZN &amp; CHILL'!A3792,"AAAAAG596a8=")</f>
        <v>#VALUE!</v>
      </c>
      <c r="FU407" t="e">
        <f>AND('STERLING CATALOG - FZN &amp; CHILL'!B3792,"AAAAAG596bA=")</f>
        <v>#VALUE!</v>
      </c>
      <c r="FV407" t="e">
        <f>AND('STERLING CATALOG - FZN &amp; CHILL'!C3792,"AAAAAG596bE=")</f>
        <v>#VALUE!</v>
      </c>
      <c r="FW407" t="e">
        <f>AND('STERLING CATALOG - FZN &amp; CHILL'!D3792,"AAAAAG596bI=")</f>
        <v>#VALUE!</v>
      </c>
      <c r="FX407" t="e">
        <f>AND('STERLING CATALOG - FZN &amp; CHILL'!E3792,"AAAAAG596bM=")</f>
        <v>#VALUE!</v>
      </c>
      <c r="FY407" t="e">
        <f>AND('STERLING CATALOG - FZN &amp; CHILL'!F3792,"AAAAAG596bQ=")</f>
        <v>#VALUE!</v>
      </c>
      <c r="FZ407" t="e">
        <f>AND('STERLING CATALOG - FZN &amp; CHILL'!G3792,"AAAAAG596bU=")</f>
        <v>#VALUE!</v>
      </c>
      <c r="GA407" t="e">
        <f>AND('STERLING CATALOG - FZN &amp; CHILL'!H3792,"AAAAAG596bY=")</f>
        <v>#VALUE!</v>
      </c>
      <c r="GB407" t="e">
        <f>AND('STERLING CATALOG - FZN &amp; CHILL'!I3792,"AAAAAG596bc=")</f>
        <v>#VALUE!</v>
      </c>
      <c r="GC407" t="e">
        <f>AND('STERLING CATALOG - FZN &amp; CHILL'!J3792,"AAAAAG596bg=")</f>
        <v>#VALUE!</v>
      </c>
      <c r="GD407">
        <f>IF('STERLING CATALOG - FZN &amp; CHILL'!3793:3793,"AAAAAG596bk=",0)</f>
        <v>0</v>
      </c>
      <c r="GE407" t="e">
        <f>AND('STERLING CATALOG - FZN &amp; CHILL'!A3793,"AAAAAG596bo=")</f>
        <v>#VALUE!</v>
      </c>
      <c r="GF407" t="e">
        <f>AND('STERLING CATALOG - FZN &amp; CHILL'!B3793,"AAAAAG596bs=")</f>
        <v>#VALUE!</v>
      </c>
      <c r="GG407" t="e">
        <f>AND('STERLING CATALOG - FZN &amp; CHILL'!C3793,"AAAAAG596bw=")</f>
        <v>#VALUE!</v>
      </c>
      <c r="GH407" t="e">
        <f>AND('STERLING CATALOG - FZN &amp; CHILL'!D3793,"AAAAAG596b0=")</f>
        <v>#VALUE!</v>
      </c>
      <c r="GI407" t="e">
        <f>AND('STERLING CATALOG - FZN &amp; CHILL'!E3793,"AAAAAG596b4=")</f>
        <v>#VALUE!</v>
      </c>
      <c r="GJ407" t="e">
        <f>AND('STERLING CATALOG - FZN &amp; CHILL'!F3793,"AAAAAG596b8=")</f>
        <v>#VALUE!</v>
      </c>
      <c r="GK407" t="e">
        <f>AND('STERLING CATALOG - FZN &amp; CHILL'!G3793,"AAAAAG596cA=")</f>
        <v>#VALUE!</v>
      </c>
      <c r="GL407" t="e">
        <f>AND('STERLING CATALOG - FZN &amp; CHILL'!H3793,"AAAAAG596cE=")</f>
        <v>#VALUE!</v>
      </c>
      <c r="GM407" t="e">
        <f>AND('STERLING CATALOG - FZN &amp; CHILL'!I3793,"AAAAAG596cI=")</f>
        <v>#VALUE!</v>
      </c>
      <c r="GN407" t="e">
        <f>AND('STERLING CATALOG - FZN &amp; CHILL'!J3793,"AAAAAG596cM=")</f>
        <v>#VALUE!</v>
      </c>
      <c r="GO407">
        <f>IF('STERLING CATALOG - FZN &amp; CHILL'!3794:3794,"AAAAAG596cQ=",0)</f>
        <v>0</v>
      </c>
      <c r="GP407" t="e">
        <f>AND('STERLING CATALOG - FZN &amp; CHILL'!A3794,"AAAAAG596cU=")</f>
        <v>#VALUE!</v>
      </c>
      <c r="GQ407" t="e">
        <f>AND('STERLING CATALOG - FZN &amp; CHILL'!B3794,"AAAAAG596cY=")</f>
        <v>#VALUE!</v>
      </c>
      <c r="GR407" t="e">
        <f>AND('STERLING CATALOG - FZN &amp; CHILL'!C3794,"AAAAAG596cc=")</f>
        <v>#VALUE!</v>
      </c>
      <c r="GS407" t="e">
        <f>AND('STERLING CATALOG - FZN &amp; CHILL'!D3794,"AAAAAG596cg=")</f>
        <v>#VALUE!</v>
      </c>
      <c r="GT407" t="e">
        <f>AND('STERLING CATALOG - FZN &amp; CHILL'!E3794,"AAAAAG596ck=")</f>
        <v>#VALUE!</v>
      </c>
      <c r="GU407" t="e">
        <f>AND('STERLING CATALOG - FZN &amp; CHILL'!F3794,"AAAAAG596co=")</f>
        <v>#VALUE!</v>
      </c>
      <c r="GV407" t="e">
        <f>AND('STERLING CATALOG - FZN &amp; CHILL'!G3794,"AAAAAG596cs=")</f>
        <v>#VALUE!</v>
      </c>
      <c r="GW407" t="e">
        <f>AND('STERLING CATALOG - FZN &amp; CHILL'!H3794,"AAAAAG596cw=")</f>
        <v>#VALUE!</v>
      </c>
      <c r="GX407" t="e">
        <f>AND('STERLING CATALOG - FZN &amp; CHILL'!I3794,"AAAAAG596c0=")</f>
        <v>#VALUE!</v>
      </c>
      <c r="GY407" t="e">
        <f>AND('STERLING CATALOG - FZN &amp; CHILL'!J3794,"AAAAAG596c4=")</f>
        <v>#VALUE!</v>
      </c>
      <c r="GZ407">
        <f>IF('STERLING CATALOG - FZN &amp; CHILL'!3795:3795,"AAAAAG596c8=",0)</f>
        <v>0</v>
      </c>
      <c r="HA407" t="e">
        <f>AND('STERLING CATALOG - FZN &amp; CHILL'!A3795,"AAAAAG596dA=")</f>
        <v>#VALUE!</v>
      </c>
      <c r="HB407" t="e">
        <f>AND('STERLING CATALOG - FZN &amp; CHILL'!B3795,"AAAAAG596dE=")</f>
        <v>#VALUE!</v>
      </c>
      <c r="HC407" t="e">
        <f>AND('STERLING CATALOG - FZN &amp; CHILL'!C3795,"AAAAAG596dI=")</f>
        <v>#VALUE!</v>
      </c>
      <c r="HD407" t="e">
        <f>AND('STERLING CATALOG - FZN &amp; CHILL'!D3795,"AAAAAG596dM=")</f>
        <v>#VALUE!</v>
      </c>
      <c r="HE407" t="e">
        <f>AND('STERLING CATALOG - FZN &amp; CHILL'!E3795,"AAAAAG596dQ=")</f>
        <v>#VALUE!</v>
      </c>
      <c r="HF407" t="e">
        <f>AND('STERLING CATALOG - FZN &amp; CHILL'!F3795,"AAAAAG596dU=")</f>
        <v>#VALUE!</v>
      </c>
      <c r="HG407" t="e">
        <f>AND('STERLING CATALOG - FZN &amp; CHILL'!G3795,"AAAAAG596dY=")</f>
        <v>#VALUE!</v>
      </c>
      <c r="HH407" t="e">
        <f>AND('STERLING CATALOG - FZN &amp; CHILL'!H3795,"AAAAAG596dc=")</f>
        <v>#VALUE!</v>
      </c>
      <c r="HI407" t="e">
        <f>AND('STERLING CATALOG - FZN &amp; CHILL'!I3795,"AAAAAG596dg=")</f>
        <v>#VALUE!</v>
      </c>
      <c r="HJ407" t="e">
        <f>AND('STERLING CATALOG - FZN &amp; CHILL'!J3795,"AAAAAG596dk=")</f>
        <v>#VALUE!</v>
      </c>
      <c r="HK407">
        <f>IF('STERLING CATALOG - FZN &amp; CHILL'!3796:3796,"AAAAAG596do=",0)</f>
        <v>0</v>
      </c>
      <c r="HL407" t="e">
        <f>AND('STERLING CATALOG - FZN &amp; CHILL'!A3796,"AAAAAG596ds=")</f>
        <v>#VALUE!</v>
      </c>
      <c r="HM407" t="e">
        <f>AND('STERLING CATALOG - FZN &amp; CHILL'!B3796,"AAAAAG596dw=")</f>
        <v>#VALUE!</v>
      </c>
      <c r="HN407" t="e">
        <f>AND('STERLING CATALOG - FZN &amp; CHILL'!C3796,"AAAAAG596d0=")</f>
        <v>#VALUE!</v>
      </c>
      <c r="HO407" t="e">
        <f>AND('STERLING CATALOG - FZN &amp; CHILL'!D3796,"AAAAAG596d4=")</f>
        <v>#VALUE!</v>
      </c>
      <c r="HP407" t="e">
        <f>AND('STERLING CATALOG - FZN &amp; CHILL'!E3796,"AAAAAG596d8=")</f>
        <v>#VALUE!</v>
      </c>
      <c r="HQ407" t="e">
        <f>AND('STERLING CATALOG - FZN &amp; CHILL'!F3796,"AAAAAG596eA=")</f>
        <v>#VALUE!</v>
      </c>
      <c r="HR407" t="e">
        <f>AND('STERLING CATALOG - FZN &amp; CHILL'!G3796,"AAAAAG596eE=")</f>
        <v>#VALUE!</v>
      </c>
      <c r="HS407" t="e">
        <f>AND('STERLING CATALOG - FZN &amp; CHILL'!H3796,"AAAAAG596eI=")</f>
        <v>#VALUE!</v>
      </c>
      <c r="HT407" t="e">
        <f>AND('STERLING CATALOG - FZN &amp; CHILL'!I3796,"AAAAAG596eM=")</f>
        <v>#VALUE!</v>
      </c>
      <c r="HU407" t="e">
        <f>AND('STERLING CATALOG - FZN &amp; CHILL'!J3796,"AAAAAG596eQ=")</f>
        <v>#VALUE!</v>
      </c>
      <c r="HV407">
        <f>IF('STERLING CATALOG - FZN &amp; CHILL'!3797:3797,"AAAAAG596eU=",0)</f>
        <v>0</v>
      </c>
      <c r="HW407" t="e">
        <f>AND('STERLING CATALOG - FZN &amp; CHILL'!A3797,"AAAAAG596eY=")</f>
        <v>#VALUE!</v>
      </c>
      <c r="HX407" t="e">
        <f>AND('STERLING CATALOG - FZN &amp; CHILL'!B3797,"AAAAAG596ec=")</f>
        <v>#VALUE!</v>
      </c>
      <c r="HY407" t="e">
        <f>AND('STERLING CATALOG - FZN &amp; CHILL'!C3797,"AAAAAG596eg=")</f>
        <v>#VALUE!</v>
      </c>
      <c r="HZ407" t="e">
        <f>AND('STERLING CATALOG - FZN &amp; CHILL'!D3797,"AAAAAG596ek=")</f>
        <v>#VALUE!</v>
      </c>
      <c r="IA407" t="e">
        <f>AND('STERLING CATALOG - FZN &amp; CHILL'!E3797,"AAAAAG596eo=")</f>
        <v>#VALUE!</v>
      </c>
      <c r="IB407" t="e">
        <f>AND('STERLING CATALOG - FZN &amp; CHILL'!F3797,"AAAAAG596es=")</f>
        <v>#VALUE!</v>
      </c>
      <c r="IC407" t="e">
        <f>AND('STERLING CATALOG - FZN &amp; CHILL'!G3797,"AAAAAG596ew=")</f>
        <v>#VALUE!</v>
      </c>
      <c r="ID407" t="e">
        <f>AND('STERLING CATALOG - FZN &amp; CHILL'!H3797,"AAAAAG596e0=")</f>
        <v>#VALUE!</v>
      </c>
      <c r="IE407" t="e">
        <f>AND('STERLING CATALOG - FZN &amp; CHILL'!I3797,"AAAAAG596e4=")</f>
        <v>#VALUE!</v>
      </c>
      <c r="IF407" t="e">
        <f>AND('STERLING CATALOG - FZN &amp; CHILL'!J3797,"AAAAAG596e8=")</f>
        <v>#VALUE!</v>
      </c>
      <c r="IG407">
        <f>IF('STERLING CATALOG - FZN &amp; CHILL'!3798:3798,"AAAAAG596fA=",0)</f>
        <v>0</v>
      </c>
      <c r="IH407" t="e">
        <f>AND('STERLING CATALOG - FZN &amp; CHILL'!A3798,"AAAAAG596fE=")</f>
        <v>#VALUE!</v>
      </c>
      <c r="II407" t="e">
        <f>AND('STERLING CATALOG - FZN &amp; CHILL'!B3798,"AAAAAG596fI=")</f>
        <v>#VALUE!</v>
      </c>
      <c r="IJ407" t="e">
        <f>AND('STERLING CATALOG - FZN &amp; CHILL'!C3798,"AAAAAG596fM=")</f>
        <v>#VALUE!</v>
      </c>
      <c r="IK407" t="e">
        <f>AND('STERLING CATALOG - FZN &amp; CHILL'!D3798,"AAAAAG596fQ=")</f>
        <v>#VALUE!</v>
      </c>
      <c r="IL407" t="e">
        <f>AND('STERLING CATALOG - FZN &amp; CHILL'!E3798,"AAAAAG596fU=")</f>
        <v>#VALUE!</v>
      </c>
      <c r="IM407" t="e">
        <f>AND('STERLING CATALOG - FZN &amp; CHILL'!F3798,"AAAAAG596fY=")</f>
        <v>#VALUE!</v>
      </c>
      <c r="IN407" t="e">
        <f>AND('STERLING CATALOG - FZN &amp; CHILL'!G3798,"AAAAAG596fc=")</f>
        <v>#VALUE!</v>
      </c>
      <c r="IO407" t="e">
        <f>AND('STERLING CATALOG - FZN &amp; CHILL'!H3798,"AAAAAG596fg=")</f>
        <v>#VALUE!</v>
      </c>
      <c r="IP407" t="e">
        <f>AND('STERLING CATALOG - FZN &amp; CHILL'!I3798,"AAAAAG596fk=")</f>
        <v>#VALUE!</v>
      </c>
      <c r="IQ407" t="e">
        <f>AND('STERLING CATALOG - FZN &amp; CHILL'!J3798,"AAAAAG596fo=")</f>
        <v>#VALUE!</v>
      </c>
      <c r="IR407">
        <f>IF('STERLING CATALOG - FZN &amp; CHILL'!3799:3799,"AAAAAG596fs=",0)</f>
        <v>0</v>
      </c>
      <c r="IS407" t="e">
        <f>AND('STERLING CATALOG - FZN &amp; CHILL'!A3799,"AAAAAG596fw=")</f>
        <v>#VALUE!</v>
      </c>
      <c r="IT407" t="e">
        <f>AND('STERLING CATALOG - FZN &amp; CHILL'!B3799,"AAAAAG596f0=")</f>
        <v>#VALUE!</v>
      </c>
      <c r="IU407" t="e">
        <f>AND('STERLING CATALOG - FZN &amp; CHILL'!C3799,"AAAAAG596f4=")</f>
        <v>#VALUE!</v>
      </c>
      <c r="IV407" t="e">
        <f>AND('STERLING CATALOG - FZN &amp; CHILL'!D3799,"AAAAAG596f8=")</f>
        <v>#VALUE!</v>
      </c>
    </row>
    <row r="408" spans="1:256">
      <c r="A408" t="e">
        <f>AND('STERLING CATALOG - FZN &amp; CHILL'!E3799,"AAAAAHX39gA=")</f>
        <v>#VALUE!</v>
      </c>
      <c r="B408" t="e">
        <f>AND('STERLING CATALOG - FZN &amp; CHILL'!F3799,"AAAAAHX39gE=")</f>
        <v>#VALUE!</v>
      </c>
      <c r="C408" t="e">
        <f>AND('STERLING CATALOG - FZN &amp; CHILL'!G3799,"AAAAAHX39gI=")</f>
        <v>#VALUE!</v>
      </c>
      <c r="D408" t="e">
        <f>AND('STERLING CATALOG - FZN &amp; CHILL'!H3799,"AAAAAHX39gM=")</f>
        <v>#VALUE!</v>
      </c>
      <c r="E408" t="e">
        <f>AND('STERLING CATALOG - FZN &amp; CHILL'!I3799,"AAAAAHX39gQ=")</f>
        <v>#VALUE!</v>
      </c>
      <c r="F408" t="e">
        <f>AND('STERLING CATALOG - FZN &amp; CHILL'!J3799,"AAAAAHX39gU=")</f>
        <v>#VALUE!</v>
      </c>
      <c r="G408" t="str">
        <f>IF('STERLING CATALOG - FZN &amp; CHILL'!3800:3800,"AAAAAHX39gY=",0)</f>
        <v>AAAAAHX39gY=</v>
      </c>
      <c r="H408" t="e">
        <f>AND('STERLING CATALOG - FZN &amp; CHILL'!A3800,"AAAAAHX39gc=")</f>
        <v>#VALUE!</v>
      </c>
      <c r="I408" t="e">
        <f>AND('STERLING CATALOG - FZN &amp; CHILL'!B3800,"AAAAAHX39gg=")</f>
        <v>#VALUE!</v>
      </c>
      <c r="J408" t="e">
        <f>AND('STERLING CATALOG - FZN &amp; CHILL'!C3800,"AAAAAHX39gk=")</f>
        <v>#VALUE!</v>
      </c>
      <c r="K408" t="e">
        <f>AND('STERLING CATALOG - FZN &amp; CHILL'!D3800,"AAAAAHX39go=")</f>
        <v>#VALUE!</v>
      </c>
      <c r="L408" t="e">
        <f>AND('STERLING CATALOG - FZN &amp; CHILL'!E3800,"AAAAAHX39gs=")</f>
        <v>#VALUE!</v>
      </c>
      <c r="M408" t="e">
        <f>AND('STERLING CATALOG - FZN &amp; CHILL'!F3800,"AAAAAHX39gw=")</f>
        <v>#VALUE!</v>
      </c>
      <c r="N408" t="e">
        <f>AND('STERLING CATALOG - FZN &amp; CHILL'!G3800,"AAAAAHX39g0=")</f>
        <v>#VALUE!</v>
      </c>
      <c r="O408" t="e">
        <f>AND('STERLING CATALOG - FZN &amp; CHILL'!H3800,"AAAAAHX39g4=")</f>
        <v>#VALUE!</v>
      </c>
      <c r="P408" t="e">
        <f>AND('STERLING CATALOG - FZN &amp; CHILL'!I3800,"AAAAAHX39g8=")</f>
        <v>#VALUE!</v>
      </c>
      <c r="Q408" t="e">
        <f>AND('STERLING CATALOG - FZN &amp; CHILL'!J3800,"AAAAAHX39hA=")</f>
        <v>#VALUE!</v>
      </c>
      <c r="R408">
        <f>IF('STERLING CATALOG - FZN &amp; CHILL'!3801:3801,"AAAAAHX39hE=",0)</f>
        <v>0</v>
      </c>
      <c r="S408" t="e">
        <f>AND('STERLING CATALOG - FZN &amp; CHILL'!A3801,"AAAAAHX39hI=")</f>
        <v>#VALUE!</v>
      </c>
      <c r="T408" t="e">
        <f>AND('STERLING CATALOG - FZN &amp; CHILL'!B3801,"AAAAAHX39hM=")</f>
        <v>#VALUE!</v>
      </c>
      <c r="U408" t="e">
        <f>AND('STERLING CATALOG - FZN &amp; CHILL'!C3801,"AAAAAHX39hQ=")</f>
        <v>#VALUE!</v>
      </c>
      <c r="V408" t="e">
        <f>AND('STERLING CATALOG - FZN &amp; CHILL'!D3801,"AAAAAHX39hU=")</f>
        <v>#VALUE!</v>
      </c>
      <c r="W408" t="e">
        <f>AND('STERLING CATALOG - FZN &amp; CHILL'!E3801,"AAAAAHX39hY=")</f>
        <v>#VALUE!</v>
      </c>
      <c r="X408" t="e">
        <f>AND('STERLING CATALOG - FZN &amp; CHILL'!F3801,"AAAAAHX39hc=")</f>
        <v>#VALUE!</v>
      </c>
      <c r="Y408" t="e">
        <f>AND('STERLING CATALOG - FZN &amp; CHILL'!G3801,"AAAAAHX39hg=")</f>
        <v>#VALUE!</v>
      </c>
      <c r="Z408" t="e">
        <f>AND('STERLING CATALOG - FZN &amp; CHILL'!H3801,"AAAAAHX39hk=")</f>
        <v>#VALUE!</v>
      </c>
      <c r="AA408" t="e">
        <f>AND('STERLING CATALOG - FZN &amp; CHILL'!I3801,"AAAAAHX39ho=")</f>
        <v>#VALUE!</v>
      </c>
      <c r="AB408" t="e">
        <f>AND('STERLING CATALOG - FZN &amp; CHILL'!J3801,"AAAAAHX39hs=")</f>
        <v>#VALUE!</v>
      </c>
      <c r="AC408">
        <f>IF('STERLING CATALOG - FZN &amp; CHILL'!3802:3802,"AAAAAHX39hw=",0)</f>
        <v>0</v>
      </c>
      <c r="AD408" t="e">
        <f>AND('STERLING CATALOG - FZN &amp; CHILL'!A3802,"AAAAAHX39h0=")</f>
        <v>#VALUE!</v>
      </c>
      <c r="AE408" t="e">
        <f>AND('STERLING CATALOG - FZN &amp; CHILL'!B3802,"AAAAAHX39h4=")</f>
        <v>#VALUE!</v>
      </c>
      <c r="AF408" t="e">
        <f>AND('STERLING CATALOG - FZN &amp; CHILL'!C3802,"AAAAAHX39h8=")</f>
        <v>#VALUE!</v>
      </c>
      <c r="AG408" t="e">
        <f>AND('STERLING CATALOG - FZN &amp; CHILL'!D3802,"AAAAAHX39iA=")</f>
        <v>#VALUE!</v>
      </c>
      <c r="AH408" t="e">
        <f>AND('STERLING CATALOG - FZN &amp; CHILL'!E3802,"AAAAAHX39iE=")</f>
        <v>#VALUE!</v>
      </c>
      <c r="AI408" t="e">
        <f>AND('STERLING CATALOG - FZN &amp; CHILL'!F3802,"AAAAAHX39iI=")</f>
        <v>#VALUE!</v>
      </c>
      <c r="AJ408" t="e">
        <f>AND('STERLING CATALOG - FZN &amp; CHILL'!G3802,"AAAAAHX39iM=")</f>
        <v>#VALUE!</v>
      </c>
      <c r="AK408" t="e">
        <f>AND('STERLING CATALOG - FZN &amp; CHILL'!H3802,"AAAAAHX39iQ=")</f>
        <v>#VALUE!</v>
      </c>
      <c r="AL408" t="e">
        <f>AND('STERLING CATALOG - FZN &amp; CHILL'!I3802,"AAAAAHX39iU=")</f>
        <v>#VALUE!</v>
      </c>
      <c r="AM408" t="e">
        <f>AND('STERLING CATALOG - FZN &amp; CHILL'!J3802,"AAAAAHX39iY=")</f>
        <v>#VALUE!</v>
      </c>
      <c r="AN408">
        <f>IF('STERLING CATALOG - FZN &amp; CHILL'!3803:3803,"AAAAAHX39ic=",0)</f>
        <v>0</v>
      </c>
      <c r="AO408" t="e">
        <f>AND('STERLING CATALOG - FZN &amp; CHILL'!A3803,"AAAAAHX39ig=")</f>
        <v>#VALUE!</v>
      </c>
      <c r="AP408" t="e">
        <f>AND('STERLING CATALOG - FZN &amp; CHILL'!B3803,"AAAAAHX39ik=")</f>
        <v>#VALUE!</v>
      </c>
      <c r="AQ408" t="e">
        <f>AND('STERLING CATALOG - FZN &amp; CHILL'!C3803,"AAAAAHX39io=")</f>
        <v>#VALUE!</v>
      </c>
      <c r="AR408" t="e">
        <f>AND('STERLING CATALOG - FZN &amp; CHILL'!D3803,"AAAAAHX39is=")</f>
        <v>#VALUE!</v>
      </c>
      <c r="AS408" t="e">
        <f>AND('STERLING CATALOG - FZN &amp; CHILL'!E3803,"AAAAAHX39iw=")</f>
        <v>#VALUE!</v>
      </c>
      <c r="AT408" t="e">
        <f>AND('STERLING CATALOG - FZN &amp; CHILL'!F3803,"AAAAAHX39i0=")</f>
        <v>#VALUE!</v>
      </c>
      <c r="AU408" t="e">
        <f>AND('STERLING CATALOG - FZN &amp; CHILL'!G3803,"AAAAAHX39i4=")</f>
        <v>#VALUE!</v>
      </c>
      <c r="AV408" t="e">
        <f>AND('STERLING CATALOG - FZN &amp; CHILL'!H3803,"AAAAAHX39i8=")</f>
        <v>#VALUE!</v>
      </c>
      <c r="AW408" t="e">
        <f>AND('STERLING CATALOG - FZN &amp; CHILL'!I3803,"AAAAAHX39jA=")</f>
        <v>#VALUE!</v>
      </c>
      <c r="AX408" t="e">
        <f>AND('STERLING CATALOG - FZN &amp; CHILL'!J3803,"AAAAAHX39jE=")</f>
        <v>#VALUE!</v>
      </c>
      <c r="AY408">
        <f>IF('STERLING CATALOG - FZN &amp; CHILL'!3804:3804,"AAAAAHX39jI=",0)</f>
        <v>0</v>
      </c>
      <c r="AZ408" t="e">
        <f>AND('STERLING CATALOG - FZN &amp; CHILL'!A3804,"AAAAAHX39jM=")</f>
        <v>#VALUE!</v>
      </c>
      <c r="BA408" t="e">
        <f>AND('STERLING CATALOG - FZN &amp; CHILL'!B3804,"AAAAAHX39jQ=")</f>
        <v>#VALUE!</v>
      </c>
      <c r="BB408" t="e">
        <f>AND('STERLING CATALOG - FZN &amp; CHILL'!C3804,"AAAAAHX39jU=")</f>
        <v>#VALUE!</v>
      </c>
      <c r="BC408" t="e">
        <f>AND('STERLING CATALOG - FZN &amp; CHILL'!D3804,"AAAAAHX39jY=")</f>
        <v>#VALUE!</v>
      </c>
      <c r="BD408" t="e">
        <f>AND('STERLING CATALOG - FZN &amp; CHILL'!E3804,"AAAAAHX39jc=")</f>
        <v>#VALUE!</v>
      </c>
      <c r="BE408" t="e">
        <f>AND('STERLING CATALOG - FZN &amp; CHILL'!F3804,"AAAAAHX39jg=")</f>
        <v>#VALUE!</v>
      </c>
      <c r="BF408" t="e">
        <f>AND('STERLING CATALOG - FZN &amp; CHILL'!G3804,"AAAAAHX39jk=")</f>
        <v>#VALUE!</v>
      </c>
      <c r="BG408" t="e">
        <f>AND('STERLING CATALOG - FZN &amp; CHILL'!H3804,"AAAAAHX39jo=")</f>
        <v>#VALUE!</v>
      </c>
      <c r="BH408" t="e">
        <f>AND('STERLING CATALOG - FZN &amp; CHILL'!I3804,"AAAAAHX39js=")</f>
        <v>#VALUE!</v>
      </c>
      <c r="BI408" t="e">
        <f>AND('STERLING CATALOG - FZN &amp; CHILL'!J3804,"AAAAAHX39jw=")</f>
        <v>#VALUE!</v>
      </c>
      <c r="BJ408">
        <f>IF('STERLING CATALOG - FZN &amp; CHILL'!3805:3805,"AAAAAHX39j0=",0)</f>
        <v>0</v>
      </c>
      <c r="BK408" t="e">
        <f>AND('STERLING CATALOG - FZN &amp; CHILL'!A3805,"AAAAAHX39j4=")</f>
        <v>#VALUE!</v>
      </c>
      <c r="BL408" t="e">
        <f>AND('STERLING CATALOG - FZN &amp; CHILL'!B3805,"AAAAAHX39j8=")</f>
        <v>#VALUE!</v>
      </c>
      <c r="BM408" t="e">
        <f>AND('STERLING CATALOG - FZN &amp; CHILL'!C3805,"AAAAAHX39kA=")</f>
        <v>#VALUE!</v>
      </c>
      <c r="BN408" t="e">
        <f>AND('STERLING CATALOG - FZN &amp; CHILL'!D3805,"AAAAAHX39kE=")</f>
        <v>#VALUE!</v>
      </c>
      <c r="BO408" t="e">
        <f>AND('STERLING CATALOG - FZN &amp; CHILL'!E3805,"AAAAAHX39kI=")</f>
        <v>#VALUE!</v>
      </c>
      <c r="BP408" t="e">
        <f>AND('STERLING CATALOG - FZN &amp; CHILL'!F3805,"AAAAAHX39kM=")</f>
        <v>#VALUE!</v>
      </c>
      <c r="BQ408" t="e">
        <f>AND('STERLING CATALOG - FZN &amp; CHILL'!G3805,"AAAAAHX39kQ=")</f>
        <v>#VALUE!</v>
      </c>
      <c r="BR408" t="e">
        <f>AND('STERLING CATALOG - FZN &amp; CHILL'!H3805,"AAAAAHX39kU=")</f>
        <v>#VALUE!</v>
      </c>
      <c r="BS408" t="e">
        <f>AND('STERLING CATALOG - FZN &amp; CHILL'!I3805,"AAAAAHX39kY=")</f>
        <v>#VALUE!</v>
      </c>
      <c r="BT408" t="e">
        <f>AND('STERLING CATALOG - FZN &amp; CHILL'!J3805,"AAAAAHX39kc=")</f>
        <v>#VALUE!</v>
      </c>
      <c r="BU408">
        <f>IF('STERLING CATALOG - FZN &amp; CHILL'!3806:3806,"AAAAAHX39kg=",0)</f>
        <v>0</v>
      </c>
      <c r="BV408" t="e">
        <f>AND('STERLING CATALOG - FZN &amp; CHILL'!A3806,"AAAAAHX39kk=")</f>
        <v>#VALUE!</v>
      </c>
      <c r="BW408" t="e">
        <f>AND('STERLING CATALOG - FZN &amp; CHILL'!B3806,"AAAAAHX39ko=")</f>
        <v>#VALUE!</v>
      </c>
      <c r="BX408" t="e">
        <f>AND('STERLING CATALOG - FZN &amp; CHILL'!C3806,"AAAAAHX39ks=")</f>
        <v>#VALUE!</v>
      </c>
      <c r="BY408" t="e">
        <f>AND('STERLING CATALOG - FZN &amp; CHILL'!D3806,"AAAAAHX39kw=")</f>
        <v>#VALUE!</v>
      </c>
      <c r="BZ408" t="e">
        <f>AND('STERLING CATALOG - FZN &amp; CHILL'!E3806,"AAAAAHX39k0=")</f>
        <v>#VALUE!</v>
      </c>
      <c r="CA408" t="e">
        <f>AND('STERLING CATALOG - FZN &amp; CHILL'!F3806,"AAAAAHX39k4=")</f>
        <v>#VALUE!</v>
      </c>
      <c r="CB408" t="e">
        <f>AND('STERLING CATALOG - FZN &amp; CHILL'!G3806,"AAAAAHX39k8=")</f>
        <v>#VALUE!</v>
      </c>
      <c r="CC408" t="e">
        <f>AND('STERLING CATALOG - FZN &amp; CHILL'!H3806,"AAAAAHX39lA=")</f>
        <v>#VALUE!</v>
      </c>
      <c r="CD408" t="e">
        <f>AND('STERLING CATALOG - FZN &amp; CHILL'!I3806,"AAAAAHX39lE=")</f>
        <v>#VALUE!</v>
      </c>
      <c r="CE408" t="e">
        <f>AND('STERLING CATALOG - FZN &amp; CHILL'!J3806,"AAAAAHX39lI=")</f>
        <v>#VALUE!</v>
      </c>
      <c r="CF408">
        <f>IF('STERLING CATALOG - FZN &amp; CHILL'!3807:3807,"AAAAAHX39lM=",0)</f>
        <v>0</v>
      </c>
      <c r="CG408" t="e">
        <f>AND('STERLING CATALOG - FZN &amp; CHILL'!A3807,"AAAAAHX39lQ=")</f>
        <v>#VALUE!</v>
      </c>
      <c r="CH408" t="e">
        <f>AND('STERLING CATALOG - FZN &amp; CHILL'!B3807,"AAAAAHX39lU=")</f>
        <v>#VALUE!</v>
      </c>
      <c r="CI408" t="e">
        <f>AND('STERLING CATALOG - FZN &amp; CHILL'!C3807,"AAAAAHX39lY=")</f>
        <v>#VALUE!</v>
      </c>
      <c r="CJ408" t="e">
        <f>AND('STERLING CATALOG - FZN &amp; CHILL'!D3807,"AAAAAHX39lc=")</f>
        <v>#VALUE!</v>
      </c>
      <c r="CK408" t="e">
        <f>AND('STERLING CATALOG - FZN &amp; CHILL'!E3807,"AAAAAHX39lg=")</f>
        <v>#VALUE!</v>
      </c>
      <c r="CL408" t="e">
        <f>AND('STERLING CATALOG - FZN &amp; CHILL'!F3807,"AAAAAHX39lk=")</f>
        <v>#VALUE!</v>
      </c>
      <c r="CM408" t="e">
        <f>AND('STERLING CATALOG - FZN &amp; CHILL'!G3807,"AAAAAHX39lo=")</f>
        <v>#VALUE!</v>
      </c>
      <c r="CN408" t="e">
        <f>AND('STERLING CATALOG - FZN &amp; CHILL'!H3807,"AAAAAHX39ls=")</f>
        <v>#VALUE!</v>
      </c>
      <c r="CO408" t="e">
        <f>AND('STERLING CATALOG - FZN &amp; CHILL'!I3807,"AAAAAHX39lw=")</f>
        <v>#VALUE!</v>
      </c>
      <c r="CP408" t="e">
        <f>AND('STERLING CATALOG - FZN &amp; CHILL'!J3807,"AAAAAHX39l0=")</f>
        <v>#VALUE!</v>
      </c>
      <c r="CQ408">
        <f>IF('STERLING CATALOG - FZN &amp; CHILL'!3808:3808,"AAAAAHX39l4=",0)</f>
        <v>0</v>
      </c>
      <c r="CR408" t="e">
        <f>AND('STERLING CATALOG - FZN &amp; CHILL'!A3808,"AAAAAHX39l8=")</f>
        <v>#VALUE!</v>
      </c>
      <c r="CS408" t="e">
        <f>AND('STERLING CATALOG - FZN &amp; CHILL'!B3808,"AAAAAHX39mA=")</f>
        <v>#VALUE!</v>
      </c>
      <c r="CT408" t="e">
        <f>AND('STERLING CATALOG - FZN &amp; CHILL'!C3808,"AAAAAHX39mE=")</f>
        <v>#VALUE!</v>
      </c>
      <c r="CU408" t="e">
        <f>AND('STERLING CATALOG - FZN &amp; CHILL'!D3808,"AAAAAHX39mI=")</f>
        <v>#VALUE!</v>
      </c>
      <c r="CV408" t="e">
        <f>AND('STERLING CATALOG - FZN &amp; CHILL'!E3808,"AAAAAHX39mM=")</f>
        <v>#VALUE!</v>
      </c>
      <c r="CW408" t="e">
        <f>AND('STERLING CATALOG - FZN &amp; CHILL'!F3808,"AAAAAHX39mQ=")</f>
        <v>#VALUE!</v>
      </c>
      <c r="CX408" t="e">
        <f>AND('STERLING CATALOG - FZN &amp; CHILL'!G3808,"AAAAAHX39mU=")</f>
        <v>#VALUE!</v>
      </c>
      <c r="CY408" t="e">
        <f>AND('STERLING CATALOG - FZN &amp; CHILL'!H3808,"AAAAAHX39mY=")</f>
        <v>#VALUE!</v>
      </c>
      <c r="CZ408" t="e">
        <f>AND('STERLING CATALOG - FZN &amp; CHILL'!I3808,"AAAAAHX39mc=")</f>
        <v>#VALUE!</v>
      </c>
      <c r="DA408" t="e">
        <f>AND('STERLING CATALOG - FZN &amp; CHILL'!J3808,"AAAAAHX39mg=")</f>
        <v>#VALUE!</v>
      </c>
      <c r="DB408">
        <f>IF('STERLING CATALOG - FZN &amp; CHILL'!3809:3809,"AAAAAHX39mk=",0)</f>
        <v>0</v>
      </c>
      <c r="DC408" t="e">
        <f>AND('STERLING CATALOG - FZN &amp; CHILL'!A3809,"AAAAAHX39mo=")</f>
        <v>#VALUE!</v>
      </c>
      <c r="DD408" t="e">
        <f>AND('STERLING CATALOG - FZN &amp; CHILL'!B3809,"AAAAAHX39ms=")</f>
        <v>#VALUE!</v>
      </c>
      <c r="DE408" t="e">
        <f>AND('STERLING CATALOG - FZN &amp; CHILL'!C3809,"AAAAAHX39mw=")</f>
        <v>#VALUE!</v>
      </c>
      <c r="DF408" t="e">
        <f>AND('STERLING CATALOG - FZN &amp; CHILL'!D3809,"AAAAAHX39m0=")</f>
        <v>#VALUE!</v>
      </c>
      <c r="DG408" t="e">
        <f>AND('STERLING CATALOG - FZN &amp; CHILL'!E3809,"AAAAAHX39m4=")</f>
        <v>#VALUE!</v>
      </c>
      <c r="DH408" t="e">
        <f>AND('STERLING CATALOG - FZN &amp; CHILL'!F3809,"AAAAAHX39m8=")</f>
        <v>#VALUE!</v>
      </c>
      <c r="DI408" t="e">
        <f>AND('STERLING CATALOG - FZN &amp; CHILL'!G3809,"AAAAAHX39nA=")</f>
        <v>#VALUE!</v>
      </c>
      <c r="DJ408" t="e">
        <f>AND('STERLING CATALOG - FZN &amp; CHILL'!H3809,"AAAAAHX39nE=")</f>
        <v>#VALUE!</v>
      </c>
      <c r="DK408" t="e">
        <f>AND('STERLING CATALOG - FZN &amp; CHILL'!I3809,"AAAAAHX39nI=")</f>
        <v>#VALUE!</v>
      </c>
      <c r="DL408" t="e">
        <f>AND('STERLING CATALOG - FZN &amp; CHILL'!J3809,"AAAAAHX39nM=")</f>
        <v>#VALUE!</v>
      </c>
      <c r="DM408">
        <f>IF('STERLING CATALOG - FZN &amp; CHILL'!3810:3810,"AAAAAHX39nQ=",0)</f>
        <v>0</v>
      </c>
      <c r="DN408" t="e">
        <f>AND('STERLING CATALOG - FZN &amp; CHILL'!A3810,"AAAAAHX39nU=")</f>
        <v>#VALUE!</v>
      </c>
      <c r="DO408" t="e">
        <f>AND('STERLING CATALOG - FZN &amp; CHILL'!B3810,"AAAAAHX39nY=")</f>
        <v>#VALUE!</v>
      </c>
      <c r="DP408" t="e">
        <f>AND('STERLING CATALOG - FZN &amp; CHILL'!C3810,"AAAAAHX39nc=")</f>
        <v>#VALUE!</v>
      </c>
      <c r="DQ408" t="e">
        <f>AND('STERLING CATALOG - FZN &amp; CHILL'!D3810,"AAAAAHX39ng=")</f>
        <v>#VALUE!</v>
      </c>
      <c r="DR408" t="e">
        <f>AND('STERLING CATALOG - FZN &amp; CHILL'!E3810,"AAAAAHX39nk=")</f>
        <v>#VALUE!</v>
      </c>
      <c r="DS408" t="e">
        <f>AND('STERLING CATALOG - FZN &amp; CHILL'!F3810,"AAAAAHX39no=")</f>
        <v>#VALUE!</v>
      </c>
      <c r="DT408" t="e">
        <f>AND('STERLING CATALOG - FZN &amp; CHILL'!G3810,"AAAAAHX39ns=")</f>
        <v>#VALUE!</v>
      </c>
      <c r="DU408" t="e">
        <f>AND('STERLING CATALOG - FZN &amp; CHILL'!H3810,"AAAAAHX39nw=")</f>
        <v>#VALUE!</v>
      </c>
      <c r="DV408" t="e">
        <f>AND('STERLING CATALOG - FZN &amp; CHILL'!I3810,"AAAAAHX39n0=")</f>
        <v>#VALUE!</v>
      </c>
      <c r="DW408" t="e">
        <f>AND('STERLING CATALOG - FZN &amp; CHILL'!J3810,"AAAAAHX39n4=")</f>
        <v>#VALUE!</v>
      </c>
      <c r="DX408">
        <f>IF('STERLING CATALOG - FZN &amp; CHILL'!3811:3811,"AAAAAHX39n8=",0)</f>
        <v>0</v>
      </c>
      <c r="DY408" t="e">
        <f>AND('STERLING CATALOG - FZN &amp; CHILL'!A3811,"AAAAAHX39oA=")</f>
        <v>#VALUE!</v>
      </c>
      <c r="DZ408" t="e">
        <f>AND('STERLING CATALOG - FZN &amp; CHILL'!B3811,"AAAAAHX39oE=")</f>
        <v>#VALUE!</v>
      </c>
      <c r="EA408" t="e">
        <f>AND('STERLING CATALOG - FZN &amp; CHILL'!C3811,"AAAAAHX39oI=")</f>
        <v>#VALUE!</v>
      </c>
      <c r="EB408" t="e">
        <f>AND('STERLING CATALOG - FZN &amp; CHILL'!D3811,"AAAAAHX39oM=")</f>
        <v>#VALUE!</v>
      </c>
      <c r="EC408" t="e">
        <f>AND('STERLING CATALOG - FZN &amp; CHILL'!E3811,"AAAAAHX39oQ=")</f>
        <v>#VALUE!</v>
      </c>
      <c r="ED408" t="e">
        <f>AND('STERLING CATALOG - FZN &amp; CHILL'!F3811,"AAAAAHX39oU=")</f>
        <v>#VALUE!</v>
      </c>
      <c r="EE408" t="e">
        <f>AND('STERLING CATALOG - FZN &amp; CHILL'!G3811,"AAAAAHX39oY=")</f>
        <v>#VALUE!</v>
      </c>
      <c r="EF408" t="e">
        <f>AND('STERLING CATALOG - FZN &amp; CHILL'!H3811,"AAAAAHX39oc=")</f>
        <v>#VALUE!</v>
      </c>
      <c r="EG408" t="e">
        <f>AND('STERLING CATALOG - FZN &amp; CHILL'!I3811,"AAAAAHX39og=")</f>
        <v>#VALUE!</v>
      </c>
      <c r="EH408" t="e">
        <f>AND('STERLING CATALOG - FZN &amp; CHILL'!J3811,"AAAAAHX39ok=")</f>
        <v>#VALUE!</v>
      </c>
      <c r="EI408">
        <f>IF('STERLING CATALOG - FZN &amp; CHILL'!3812:3812,"AAAAAHX39oo=",0)</f>
        <v>0</v>
      </c>
      <c r="EJ408" t="e">
        <f>AND('STERLING CATALOG - FZN &amp; CHILL'!A3812,"AAAAAHX39os=")</f>
        <v>#VALUE!</v>
      </c>
      <c r="EK408" t="e">
        <f>AND('STERLING CATALOG - FZN &amp; CHILL'!B3812,"AAAAAHX39ow=")</f>
        <v>#VALUE!</v>
      </c>
      <c r="EL408" t="e">
        <f>AND('STERLING CATALOG - FZN &amp; CHILL'!C3812,"AAAAAHX39o0=")</f>
        <v>#VALUE!</v>
      </c>
      <c r="EM408" t="e">
        <f>AND('STERLING CATALOG - FZN &amp; CHILL'!D3812,"AAAAAHX39o4=")</f>
        <v>#VALUE!</v>
      </c>
      <c r="EN408" t="e">
        <f>AND('STERLING CATALOG - FZN &amp; CHILL'!E3812,"AAAAAHX39o8=")</f>
        <v>#VALUE!</v>
      </c>
      <c r="EO408" t="e">
        <f>AND('STERLING CATALOG - FZN &amp; CHILL'!F3812,"AAAAAHX39pA=")</f>
        <v>#VALUE!</v>
      </c>
      <c r="EP408" t="e">
        <f>AND('STERLING CATALOG - FZN &amp; CHILL'!G3812,"AAAAAHX39pE=")</f>
        <v>#VALUE!</v>
      </c>
      <c r="EQ408" t="e">
        <f>AND('STERLING CATALOG - FZN &amp; CHILL'!H3812,"AAAAAHX39pI=")</f>
        <v>#VALUE!</v>
      </c>
      <c r="ER408" t="e">
        <f>AND('STERLING CATALOG - FZN &amp; CHILL'!I3812,"AAAAAHX39pM=")</f>
        <v>#VALUE!</v>
      </c>
      <c r="ES408" t="e">
        <f>AND('STERLING CATALOG - FZN &amp; CHILL'!J3812,"AAAAAHX39pQ=")</f>
        <v>#VALUE!</v>
      </c>
      <c r="ET408">
        <f>IF('STERLING CATALOG - FZN &amp; CHILL'!3813:3813,"AAAAAHX39pU=",0)</f>
        <v>0</v>
      </c>
      <c r="EU408" t="e">
        <f>AND('STERLING CATALOG - FZN &amp; CHILL'!A3813,"AAAAAHX39pY=")</f>
        <v>#VALUE!</v>
      </c>
      <c r="EV408" t="e">
        <f>AND('STERLING CATALOG - FZN &amp; CHILL'!B3813,"AAAAAHX39pc=")</f>
        <v>#VALUE!</v>
      </c>
      <c r="EW408" t="e">
        <f>AND('STERLING CATALOG - FZN &amp; CHILL'!C3813,"AAAAAHX39pg=")</f>
        <v>#VALUE!</v>
      </c>
      <c r="EX408" t="e">
        <f>AND('STERLING CATALOG - FZN &amp; CHILL'!D3813,"AAAAAHX39pk=")</f>
        <v>#VALUE!</v>
      </c>
      <c r="EY408" t="e">
        <f>AND('STERLING CATALOG - FZN &amp; CHILL'!E3813,"AAAAAHX39po=")</f>
        <v>#VALUE!</v>
      </c>
      <c r="EZ408" t="e">
        <f>AND('STERLING CATALOG - FZN &amp; CHILL'!F3813,"AAAAAHX39ps=")</f>
        <v>#VALUE!</v>
      </c>
      <c r="FA408" t="e">
        <f>AND('STERLING CATALOG - FZN &amp; CHILL'!G3813,"AAAAAHX39pw=")</f>
        <v>#VALUE!</v>
      </c>
      <c r="FB408" t="e">
        <f>AND('STERLING CATALOG - FZN &amp; CHILL'!H3813,"AAAAAHX39p0=")</f>
        <v>#VALUE!</v>
      </c>
      <c r="FC408" t="e">
        <f>AND('STERLING CATALOG - FZN &amp; CHILL'!I3813,"AAAAAHX39p4=")</f>
        <v>#VALUE!</v>
      </c>
      <c r="FD408" t="e">
        <f>AND('STERLING CATALOG - FZN &amp; CHILL'!J3813,"AAAAAHX39p8=")</f>
        <v>#VALUE!</v>
      </c>
      <c r="FE408">
        <f>IF('STERLING CATALOG - FZN &amp; CHILL'!3814:3814,"AAAAAHX39qA=",0)</f>
        <v>0</v>
      </c>
      <c r="FF408" t="e">
        <f>AND('STERLING CATALOG - FZN &amp; CHILL'!A3814,"AAAAAHX39qE=")</f>
        <v>#VALUE!</v>
      </c>
      <c r="FG408" t="e">
        <f>AND('STERLING CATALOG - FZN &amp; CHILL'!B3814,"AAAAAHX39qI=")</f>
        <v>#VALUE!</v>
      </c>
      <c r="FH408" t="e">
        <f>AND('STERLING CATALOG - FZN &amp; CHILL'!C3814,"AAAAAHX39qM=")</f>
        <v>#VALUE!</v>
      </c>
      <c r="FI408" t="e">
        <f>AND('STERLING CATALOG - FZN &amp; CHILL'!D3814,"AAAAAHX39qQ=")</f>
        <v>#VALUE!</v>
      </c>
      <c r="FJ408" t="e">
        <f>AND('STERLING CATALOG - FZN &amp; CHILL'!E3814,"AAAAAHX39qU=")</f>
        <v>#VALUE!</v>
      </c>
      <c r="FK408" t="e">
        <f>AND('STERLING CATALOG - FZN &amp; CHILL'!F3814,"AAAAAHX39qY=")</f>
        <v>#VALUE!</v>
      </c>
      <c r="FL408" t="e">
        <f>AND('STERLING CATALOG - FZN &amp; CHILL'!G3814,"AAAAAHX39qc=")</f>
        <v>#VALUE!</v>
      </c>
      <c r="FM408" t="e">
        <f>AND('STERLING CATALOG - FZN &amp; CHILL'!H3814,"AAAAAHX39qg=")</f>
        <v>#VALUE!</v>
      </c>
      <c r="FN408" t="e">
        <f>AND('STERLING CATALOG - FZN &amp; CHILL'!I3814,"AAAAAHX39qk=")</f>
        <v>#VALUE!</v>
      </c>
      <c r="FO408" t="e">
        <f>AND('STERLING CATALOG - FZN &amp; CHILL'!J3814,"AAAAAHX39qo=")</f>
        <v>#VALUE!</v>
      </c>
      <c r="FP408">
        <f>IF('STERLING CATALOG - FZN &amp; CHILL'!3815:3815,"AAAAAHX39qs=",0)</f>
        <v>0</v>
      </c>
      <c r="FQ408" t="e">
        <f>AND('STERLING CATALOG - FZN &amp; CHILL'!A3815,"AAAAAHX39qw=")</f>
        <v>#VALUE!</v>
      </c>
      <c r="FR408" t="e">
        <f>AND('STERLING CATALOG - FZN &amp; CHILL'!B3815,"AAAAAHX39q0=")</f>
        <v>#VALUE!</v>
      </c>
      <c r="FS408" t="e">
        <f>AND('STERLING CATALOG - FZN &amp; CHILL'!C3815,"AAAAAHX39q4=")</f>
        <v>#VALUE!</v>
      </c>
      <c r="FT408" t="e">
        <f>AND('STERLING CATALOG - FZN &amp; CHILL'!D3815,"AAAAAHX39q8=")</f>
        <v>#VALUE!</v>
      </c>
      <c r="FU408" t="e">
        <f>AND('STERLING CATALOG - FZN &amp; CHILL'!E3815,"AAAAAHX39rA=")</f>
        <v>#VALUE!</v>
      </c>
      <c r="FV408">
        <f>IF('STERLING CATALOG - FZN &amp; CHILL'!3816:3816,"AAAAAHX39rE=",0)</f>
        <v>0</v>
      </c>
      <c r="FW408" t="e">
        <f>AND('STERLING CATALOG - FZN &amp; CHILL'!A3816,"AAAAAHX39rI=")</f>
        <v>#VALUE!</v>
      </c>
      <c r="FX408" t="e">
        <f>AND('STERLING CATALOG - FZN &amp; CHILL'!B3816,"AAAAAHX39rM=")</f>
        <v>#VALUE!</v>
      </c>
      <c r="FY408" t="e">
        <f>AND('STERLING CATALOG - FZN &amp; CHILL'!C3816,"AAAAAHX39rQ=")</f>
        <v>#VALUE!</v>
      </c>
      <c r="FZ408" t="e">
        <f>AND('STERLING CATALOG - FZN &amp; CHILL'!D3816,"AAAAAHX39rU=")</f>
        <v>#VALUE!</v>
      </c>
      <c r="GA408" t="e">
        <f>AND('STERLING CATALOG - FZN &amp; CHILL'!E3816,"AAAAAHX39rY=")</f>
        <v>#VALUE!</v>
      </c>
      <c r="GB408">
        <f>IF('STERLING CATALOG - FZN &amp; CHILL'!3817:3817,"AAAAAHX39rc=",0)</f>
        <v>0</v>
      </c>
      <c r="GC408" t="e">
        <f>AND('STERLING CATALOG - FZN &amp; CHILL'!A3817,"AAAAAHX39rg=")</f>
        <v>#VALUE!</v>
      </c>
      <c r="GD408" t="e">
        <f>AND('STERLING CATALOG - FZN &amp; CHILL'!B3817,"AAAAAHX39rk=")</f>
        <v>#VALUE!</v>
      </c>
      <c r="GE408" t="e">
        <f>AND('STERLING CATALOG - FZN &amp; CHILL'!C3817,"AAAAAHX39ro=")</f>
        <v>#VALUE!</v>
      </c>
      <c r="GF408" t="e">
        <f>AND('STERLING CATALOG - FZN &amp; CHILL'!D3817,"AAAAAHX39rs=")</f>
        <v>#VALUE!</v>
      </c>
      <c r="GG408" t="e">
        <f>AND('STERLING CATALOG - FZN &amp; CHILL'!E3817,"AAAAAHX39rw=")</f>
        <v>#VALUE!</v>
      </c>
      <c r="GH408">
        <f>IF('STERLING CATALOG - FZN &amp; CHILL'!3818:3818,"AAAAAHX39r0=",0)</f>
        <v>0</v>
      </c>
      <c r="GI408" t="e">
        <f>AND('STERLING CATALOG - FZN &amp; CHILL'!A3818,"AAAAAHX39r4=")</f>
        <v>#VALUE!</v>
      </c>
      <c r="GJ408" t="e">
        <f>AND('STERLING CATALOG - FZN &amp; CHILL'!B3818,"AAAAAHX39r8=")</f>
        <v>#VALUE!</v>
      </c>
      <c r="GK408" t="e">
        <f>AND('STERLING CATALOG - FZN &amp; CHILL'!C3818,"AAAAAHX39sA=")</f>
        <v>#VALUE!</v>
      </c>
      <c r="GL408" t="e">
        <f>AND('STERLING CATALOG - FZN &amp; CHILL'!D3818,"AAAAAHX39sE=")</f>
        <v>#VALUE!</v>
      </c>
      <c r="GM408" t="e">
        <f>AND('STERLING CATALOG - FZN &amp; CHILL'!E3818,"AAAAAHX39sI=")</f>
        <v>#VALUE!</v>
      </c>
      <c r="GN408">
        <f>IF('STERLING CATALOG - FZN &amp; CHILL'!3819:3819,"AAAAAHX39sM=",0)</f>
        <v>0</v>
      </c>
      <c r="GO408" t="e">
        <f>AND('STERLING CATALOG - FZN &amp; CHILL'!A3819,"AAAAAHX39sQ=")</f>
        <v>#VALUE!</v>
      </c>
      <c r="GP408" t="e">
        <f>AND('STERLING CATALOG - FZN &amp; CHILL'!B3819,"AAAAAHX39sU=")</f>
        <v>#VALUE!</v>
      </c>
      <c r="GQ408" t="e">
        <f>AND('STERLING CATALOG - FZN &amp; CHILL'!C3819,"AAAAAHX39sY=")</f>
        <v>#VALUE!</v>
      </c>
      <c r="GR408" t="e">
        <f>AND('STERLING CATALOG - FZN &amp; CHILL'!D3819,"AAAAAHX39sc=")</f>
        <v>#VALUE!</v>
      </c>
      <c r="GS408" t="e">
        <f>AND('STERLING CATALOG - FZN &amp; CHILL'!E3819,"AAAAAHX39sg=")</f>
        <v>#VALUE!</v>
      </c>
      <c r="GT408">
        <f>IF('STERLING CATALOG - FZN &amp; CHILL'!3820:3820,"AAAAAHX39sk=",0)</f>
        <v>0</v>
      </c>
      <c r="GU408" t="e">
        <f>AND('STERLING CATALOG - FZN &amp; CHILL'!A3820,"AAAAAHX39so=")</f>
        <v>#VALUE!</v>
      </c>
      <c r="GV408" t="e">
        <f>AND('STERLING CATALOG - FZN &amp; CHILL'!B3820,"AAAAAHX39ss=")</f>
        <v>#VALUE!</v>
      </c>
      <c r="GW408" t="e">
        <f>AND('STERLING CATALOG - FZN &amp; CHILL'!C3820,"AAAAAHX39sw=")</f>
        <v>#VALUE!</v>
      </c>
      <c r="GX408" t="e">
        <f>AND('STERLING CATALOG - FZN &amp; CHILL'!D3820,"AAAAAHX39s0=")</f>
        <v>#VALUE!</v>
      </c>
      <c r="GY408" t="e">
        <f>AND('STERLING CATALOG - FZN &amp; CHILL'!E3820,"AAAAAHX39s4=")</f>
        <v>#VALUE!</v>
      </c>
      <c r="GZ408">
        <f>IF('STERLING CATALOG - FZN &amp; CHILL'!3821:3821,"AAAAAHX39s8=",0)</f>
        <v>0</v>
      </c>
      <c r="HA408" t="e">
        <f>AND('STERLING CATALOG - FZN &amp; CHILL'!A3821,"AAAAAHX39tA=")</f>
        <v>#VALUE!</v>
      </c>
      <c r="HB408" t="e">
        <f>AND('STERLING CATALOG - FZN &amp; CHILL'!B3821,"AAAAAHX39tE=")</f>
        <v>#VALUE!</v>
      </c>
      <c r="HC408" t="e">
        <f>AND('STERLING CATALOG - FZN &amp; CHILL'!C3821,"AAAAAHX39tI=")</f>
        <v>#VALUE!</v>
      </c>
      <c r="HD408" t="e">
        <f>AND('STERLING CATALOG - FZN &amp; CHILL'!D3821,"AAAAAHX39tM=")</f>
        <v>#VALUE!</v>
      </c>
      <c r="HE408" t="e">
        <f>AND('STERLING CATALOG - FZN &amp; CHILL'!E3821,"AAAAAHX39tQ=")</f>
        <v>#VALUE!</v>
      </c>
      <c r="HF408">
        <f>IF('STERLING CATALOG - FZN &amp; CHILL'!3822:3822,"AAAAAHX39tU=",0)</f>
        <v>0</v>
      </c>
      <c r="HG408" t="e">
        <f>AND('STERLING CATALOG - FZN &amp; CHILL'!A3822,"AAAAAHX39tY=")</f>
        <v>#VALUE!</v>
      </c>
      <c r="HH408" t="e">
        <f>AND('STERLING CATALOG - FZN &amp; CHILL'!B3822,"AAAAAHX39tc=")</f>
        <v>#VALUE!</v>
      </c>
      <c r="HI408" t="e">
        <f>AND('STERLING CATALOG - FZN &amp; CHILL'!C3822,"AAAAAHX39tg=")</f>
        <v>#VALUE!</v>
      </c>
      <c r="HJ408" t="e">
        <f>AND('STERLING CATALOG - FZN &amp; CHILL'!D3822,"AAAAAHX39tk=")</f>
        <v>#VALUE!</v>
      </c>
      <c r="HK408" t="e">
        <f>AND('STERLING CATALOG - FZN &amp; CHILL'!E3822,"AAAAAHX39to=")</f>
        <v>#VALUE!</v>
      </c>
      <c r="HL408">
        <f>IF('STERLING CATALOG - FZN &amp; CHILL'!3823:3823,"AAAAAHX39ts=",0)</f>
        <v>0</v>
      </c>
      <c r="HM408" t="e">
        <f>AND('STERLING CATALOG - FZN &amp; CHILL'!A3823,"AAAAAHX39tw=")</f>
        <v>#VALUE!</v>
      </c>
      <c r="HN408" t="e">
        <f>AND('STERLING CATALOG - FZN &amp; CHILL'!B3823,"AAAAAHX39t0=")</f>
        <v>#VALUE!</v>
      </c>
      <c r="HO408" t="e">
        <f>AND('STERLING CATALOG - FZN &amp; CHILL'!C3823,"AAAAAHX39t4=")</f>
        <v>#VALUE!</v>
      </c>
      <c r="HP408" t="e">
        <f>AND('STERLING CATALOG - FZN &amp; CHILL'!D3823,"AAAAAHX39t8=")</f>
        <v>#VALUE!</v>
      </c>
      <c r="HQ408" t="e">
        <f>AND('STERLING CATALOG - FZN &amp; CHILL'!E3823,"AAAAAHX39uA=")</f>
        <v>#VALUE!</v>
      </c>
      <c r="HR408">
        <f>IF('STERLING CATALOG - FZN &amp; CHILL'!3824:3824,"AAAAAHX39uE=",0)</f>
        <v>0</v>
      </c>
      <c r="HS408" t="e">
        <f>AND('STERLING CATALOG - FZN &amp; CHILL'!A3824,"AAAAAHX39uI=")</f>
        <v>#VALUE!</v>
      </c>
      <c r="HT408" t="e">
        <f>AND('STERLING CATALOG - FZN &amp; CHILL'!B3824,"AAAAAHX39uM=")</f>
        <v>#VALUE!</v>
      </c>
      <c r="HU408" t="e">
        <f>AND('STERLING CATALOG - FZN &amp; CHILL'!C3824,"AAAAAHX39uQ=")</f>
        <v>#VALUE!</v>
      </c>
      <c r="HV408" t="e">
        <f>AND('STERLING CATALOG - FZN &amp; CHILL'!D3824,"AAAAAHX39uU=")</f>
        <v>#VALUE!</v>
      </c>
      <c r="HW408" t="e">
        <f>AND('STERLING CATALOG - FZN &amp; CHILL'!E3824,"AAAAAHX39uY=")</f>
        <v>#VALUE!</v>
      </c>
      <c r="HX408">
        <f>IF('STERLING CATALOG - FZN &amp; CHILL'!3825:3825,"AAAAAHX39uc=",0)</f>
        <v>0</v>
      </c>
      <c r="HY408" t="e">
        <f>AND('STERLING CATALOG - FZN &amp; CHILL'!A3825,"AAAAAHX39ug=")</f>
        <v>#VALUE!</v>
      </c>
      <c r="HZ408" t="e">
        <f>AND('STERLING CATALOG - FZN &amp; CHILL'!B3825,"AAAAAHX39uk=")</f>
        <v>#VALUE!</v>
      </c>
      <c r="IA408" t="e">
        <f>AND('STERLING CATALOG - FZN &amp; CHILL'!C3825,"AAAAAHX39uo=")</f>
        <v>#VALUE!</v>
      </c>
      <c r="IB408" t="e">
        <f>AND('STERLING CATALOG - FZN &amp; CHILL'!D3825,"AAAAAHX39us=")</f>
        <v>#VALUE!</v>
      </c>
      <c r="IC408" t="e">
        <f>AND('STERLING CATALOG - FZN &amp; CHILL'!E3825,"AAAAAHX39uw=")</f>
        <v>#VALUE!</v>
      </c>
      <c r="ID408">
        <f>IF('STERLING CATALOG - FZN &amp; CHILL'!3826:3826,"AAAAAHX39u0=",0)</f>
        <v>0</v>
      </c>
      <c r="IE408" t="e">
        <f>AND('STERLING CATALOG - FZN &amp; CHILL'!A3826,"AAAAAHX39u4=")</f>
        <v>#VALUE!</v>
      </c>
      <c r="IF408" t="e">
        <f>AND('STERLING CATALOG - FZN &amp; CHILL'!B3826,"AAAAAHX39u8=")</f>
        <v>#VALUE!</v>
      </c>
      <c r="IG408" t="e">
        <f>AND('STERLING CATALOG - FZN &amp; CHILL'!C3826,"AAAAAHX39vA=")</f>
        <v>#VALUE!</v>
      </c>
      <c r="IH408" t="e">
        <f>AND('STERLING CATALOG - FZN &amp; CHILL'!D3826,"AAAAAHX39vE=")</f>
        <v>#VALUE!</v>
      </c>
      <c r="II408" t="e">
        <f>AND('STERLING CATALOG - FZN &amp; CHILL'!E3826,"AAAAAHX39vI=")</f>
        <v>#VALUE!</v>
      </c>
      <c r="IJ408">
        <f>IF('STERLING CATALOG - FZN &amp; CHILL'!3827:3827,"AAAAAHX39vM=",0)</f>
        <v>0</v>
      </c>
      <c r="IK408" t="e">
        <f>AND('STERLING CATALOG - FZN &amp; CHILL'!A3827,"AAAAAHX39vQ=")</f>
        <v>#VALUE!</v>
      </c>
      <c r="IL408" t="e">
        <f>AND('STERLING CATALOG - FZN &amp; CHILL'!B3827,"AAAAAHX39vU=")</f>
        <v>#VALUE!</v>
      </c>
      <c r="IM408" t="e">
        <f>AND('STERLING CATALOG - FZN &amp; CHILL'!C3827,"AAAAAHX39vY=")</f>
        <v>#VALUE!</v>
      </c>
      <c r="IN408" t="e">
        <f>AND('STERLING CATALOG - FZN &amp; CHILL'!D3827,"AAAAAHX39vc=")</f>
        <v>#VALUE!</v>
      </c>
      <c r="IO408" t="e">
        <f>AND('STERLING CATALOG - FZN &amp; CHILL'!E3827,"AAAAAHX39vg=")</f>
        <v>#VALUE!</v>
      </c>
      <c r="IP408">
        <f>IF('STERLING CATALOG - FZN &amp; CHILL'!3828:3828,"AAAAAHX39vk=",0)</f>
        <v>0</v>
      </c>
      <c r="IQ408" t="e">
        <f>AND('STERLING CATALOG - FZN &amp; CHILL'!A3828,"AAAAAHX39vo=")</f>
        <v>#VALUE!</v>
      </c>
      <c r="IR408" t="e">
        <f>AND('STERLING CATALOG - FZN &amp; CHILL'!B3828,"AAAAAHX39vs=")</f>
        <v>#VALUE!</v>
      </c>
      <c r="IS408" t="e">
        <f>AND('STERLING CATALOG - FZN &amp; CHILL'!C3828,"AAAAAHX39vw=")</f>
        <v>#VALUE!</v>
      </c>
      <c r="IT408" t="e">
        <f>AND('STERLING CATALOG - FZN &amp; CHILL'!D3828,"AAAAAHX39v0=")</f>
        <v>#VALUE!</v>
      </c>
      <c r="IU408" t="e">
        <f>AND('STERLING CATALOG - FZN &amp; CHILL'!E3828,"AAAAAHX39v4=")</f>
        <v>#VALUE!</v>
      </c>
      <c r="IV408">
        <f>IF('STERLING CATALOG - FZN &amp; CHILL'!3829:3829,"AAAAAHX39v8=",0)</f>
        <v>0</v>
      </c>
    </row>
    <row r="409" spans="1:256">
      <c r="A409" t="e">
        <f>AND('STERLING CATALOG - FZN &amp; CHILL'!A3829,"AAAAAGTmlwA=")</f>
        <v>#VALUE!</v>
      </c>
      <c r="B409" t="e">
        <f>AND('STERLING CATALOG - FZN &amp; CHILL'!B3829,"AAAAAGTmlwE=")</f>
        <v>#VALUE!</v>
      </c>
      <c r="C409" t="e">
        <f>AND('STERLING CATALOG - FZN &amp; CHILL'!C3829,"AAAAAGTmlwI=")</f>
        <v>#VALUE!</v>
      </c>
      <c r="D409" t="e">
        <f>AND('STERLING CATALOG - FZN &amp; CHILL'!D3829,"AAAAAGTmlwM=")</f>
        <v>#VALUE!</v>
      </c>
      <c r="E409" t="e">
        <f>AND('STERLING CATALOG - FZN &amp; CHILL'!E3829,"AAAAAGTmlwQ=")</f>
        <v>#VALUE!</v>
      </c>
      <c r="F409">
        <f>IF('STERLING CATALOG - FZN &amp; CHILL'!3830:3830,"AAAAAGTmlwU=",0)</f>
        <v>0</v>
      </c>
      <c r="G409" t="e">
        <f>AND('STERLING CATALOG - FZN &amp; CHILL'!A3830,"AAAAAGTmlwY=")</f>
        <v>#VALUE!</v>
      </c>
      <c r="H409" t="e">
        <f>AND('STERLING CATALOG - FZN &amp; CHILL'!B3830,"AAAAAGTmlwc=")</f>
        <v>#VALUE!</v>
      </c>
      <c r="I409" t="e">
        <f>AND('STERLING CATALOG - FZN &amp; CHILL'!C3830,"AAAAAGTmlwg=")</f>
        <v>#VALUE!</v>
      </c>
      <c r="J409" t="e">
        <f>AND('STERLING CATALOG - FZN &amp; CHILL'!D3830,"AAAAAGTmlwk=")</f>
        <v>#VALUE!</v>
      </c>
      <c r="K409" t="e">
        <f>AND('STERLING CATALOG - FZN &amp; CHILL'!E3830,"AAAAAGTmlwo=")</f>
        <v>#VALUE!</v>
      </c>
      <c r="L409">
        <f>IF('STERLING CATALOG - FZN &amp; CHILL'!3831:3831,"AAAAAGTmlws=",0)</f>
        <v>0</v>
      </c>
      <c r="M409" t="e">
        <f>AND('STERLING CATALOG - FZN &amp; CHILL'!A3831,"AAAAAGTmlww=")</f>
        <v>#VALUE!</v>
      </c>
      <c r="N409" t="e">
        <f>AND('STERLING CATALOG - FZN &amp; CHILL'!B3831,"AAAAAGTmlw0=")</f>
        <v>#VALUE!</v>
      </c>
      <c r="O409" t="e">
        <f>AND('STERLING CATALOG - FZN &amp; CHILL'!C3831,"AAAAAGTmlw4=")</f>
        <v>#VALUE!</v>
      </c>
      <c r="P409" t="e">
        <f>AND('STERLING CATALOG - FZN &amp; CHILL'!D3831,"AAAAAGTmlw8=")</f>
        <v>#VALUE!</v>
      </c>
      <c r="Q409" t="e">
        <f>AND('STERLING CATALOG - FZN &amp; CHILL'!E3831,"AAAAAGTmlxA=")</f>
        <v>#VALUE!</v>
      </c>
      <c r="R409">
        <f>IF('STERLING CATALOG - FZN &amp; CHILL'!3832:3832,"AAAAAGTmlxE=",0)</f>
        <v>0</v>
      </c>
      <c r="S409" t="e">
        <f>AND('STERLING CATALOG - FZN &amp; CHILL'!A3832,"AAAAAGTmlxI=")</f>
        <v>#VALUE!</v>
      </c>
      <c r="T409" t="e">
        <f>AND('STERLING CATALOG - FZN &amp; CHILL'!B3832,"AAAAAGTmlxM=")</f>
        <v>#VALUE!</v>
      </c>
      <c r="U409" t="e">
        <f>AND('STERLING CATALOG - FZN &amp; CHILL'!C3832,"AAAAAGTmlxQ=")</f>
        <v>#VALUE!</v>
      </c>
      <c r="V409" t="e">
        <f>AND('STERLING CATALOG - FZN &amp; CHILL'!D3832,"AAAAAGTmlxU=")</f>
        <v>#VALUE!</v>
      </c>
      <c r="W409" t="e">
        <f>AND('STERLING CATALOG - FZN &amp; CHILL'!E3832,"AAAAAGTmlxY=")</f>
        <v>#VALUE!</v>
      </c>
      <c r="X409">
        <f>IF('STERLING CATALOG - FZN &amp; CHILL'!3833:3833,"AAAAAGTmlxc=",0)</f>
        <v>0</v>
      </c>
      <c r="Y409" t="e">
        <f>AND('STERLING CATALOG - FZN &amp; CHILL'!A3833,"AAAAAGTmlxg=")</f>
        <v>#VALUE!</v>
      </c>
      <c r="Z409" t="e">
        <f>AND('STERLING CATALOG - FZN &amp; CHILL'!B3833,"AAAAAGTmlxk=")</f>
        <v>#VALUE!</v>
      </c>
      <c r="AA409" t="e">
        <f>AND('STERLING CATALOG - FZN &amp; CHILL'!C3833,"AAAAAGTmlxo=")</f>
        <v>#VALUE!</v>
      </c>
      <c r="AB409" t="e">
        <f>AND('STERLING CATALOG - FZN &amp; CHILL'!D3833,"AAAAAGTmlxs=")</f>
        <v>#VALUE!</v>
      </c>
      <c r="AC409" t="e">
        <f>AND('STERLING CATALOG - FZN &amp; CHILL'!E3833,"AAAAAGTmlxw=")</f>
        <v>#VALUE!</v>
      </c>
      <c r="AD409">
        <f>IF('STERLING CATALOG - FZN &amp; CHILL'!3834:3834,"AAAAAGTmlx0=",0)</f>
        <v>0</v>
      </c>
      <c r="AE409" t="e">
        <f>AND('STERLING CATALOG - FZN &amp; CHILL'!A3834,"AAAAAGTmlx4=")</f>
        <v>#VALUE!</v>
      </c>
      <c r="AF409" t="e">
        <f>AND('STERLING CATALOG - FZN &amp; CHILL'!B3834,"AAAAAGTmlx8=")</f>
        <v>#VALUE!</v>
      </c>
      <c r="AG409" t="e">
        <f>AND('STERLING CATALOG - FZN &amp; CHILL'!C3834,"AAAAAGTmlyA=")</f>
        <v>#VALUE!</v>
      </c>
      <c r="AH409" t="e">
        <f>AND('STERLING CATALOG - FZN &amp; CHILL'!D3834,"AAAAAGTmlyE=")</f>
        <v>#VALUE!</v>
      </c>
      <c r="AI409" t="e">
        <f>AND('STERLING CATALOG - FZN &amp; CHILL'!E3834,"AAAAAGTmlyI=")</f>
        <v>#VALUE!</v>
      </c>
      <c r="AJ409">
        <f>IF('STERLING CATALOG - FZN &amp; CHILL'!3835:3835,"AAAAAGTmlyM=",0)</f>
        <v>0</v>
      </c>
      <c r="AK409" t="e">
        <f>AND('STERLING CATALOG - FZN &amp; CHILL'!A3835,"AAAAAGTmlyQ=")</f>
        <v>#VALUE!</v>
      </c>
      <c r="AL409" t="e">
        <f>AND('STERLING CATALOG - FZN &amp; CHILL'!B3835,"AAAAAGTmlyU=")</f>
        <v>#VALUE!</v>
      </c>
      <c r="AM409" t="e">
        <f>AND('STERLING CATALOG - FZN &amp; CHILL'!C3835,"AAAAAGTmlyY=")</f>
        <v>#VALUE!</v>
      </c>
      <c r="AN409" t="e">
        <f>AND('STERLING CATALOG - FZN &amp; CHILL'!D3835,"AAAAAGTmlyc=")</f>
        <v>#VALUE!</v>
      </c>
      <c r="AO409" t="e">
        <f>AND('STERLING CATALOG - FZN &amp; CHILL'!E3835,"AAAAAGTmlyg=")</f>
        <v>#VALUE!</v>
      </c>
      <c r="AP409">
        <f>IF('STERLING CATALOG - FZN &amp; CHILL'!3836:3836,"AAAAAGTmlyk=",0)</f>
        <v>0</v>
      </c>
      <c r="AQ409" t="e">
        <f>AND('STERLING CATALOG - FZN &amp; CHILL'!A3836,"AAAAAGTmlyo=")</f>
        <v>#VALUE!</v>
      </c>
      <c r="AR409" t="e">
        <f>AND('STERLING CATALOG - FZN &amp; CHILL'!B3836,"AAAAAGTmlys=")</f>
        <v>#VALUE!</v>
      </c>
      <c r="AS409" t="e">
        <f>AND('STERLING CATALOG - FZN &amp; CHILL'!C3836,"AAAAAGTmlyw=")</f>
        <v>#VALUE!</v>
      </c>
      <c r="AT409" t="e">
        <f>AND('STERLING CATALOG - FZN &amp; CHILL'!D3836,"AAAAAGTmly0=")</f>
        <v>#VALUE!</v>
      </c>
      <c r="AU409" t="e">
        <f>AND('STERLING CATALOG - FZN &amp; CHILL'!E3836,"AAAAAGTmly4=")</f>
        <v>#VALUE!</v>
      </c>
      <c r="AV409">
        <f>IF('STERLING CATALOG - FZN &amp; CHILL'!3837:3837,"AAAAAGTmly8=",0)</f>
        <v>0</v>
      </c>
      <c r="AW409" t="e">
        <f>AND('STERLING CATALOG - FZN &amp; CHILL'!A3837,"AAAAAGTmlzA=")</f>
        <v>#VALUE!</v>
      </c>
      <c r="AX409" t="e">
        <f>AND('STERLING CATALOG - FZN &amp; CHILL'!B3837,"AAAAAGTmlzE=")</f>
        <v>#VALUE!</v>
      </c>
      <c r="AY409" t="e">
        <f>AND('STERLING CATALOG - FZN &amp; CHILL'!C3837,"AAAAAGTmlzI=")</f>
        <v>#VALUE!</v>
      </c>
      <c r="AZ409" t="e">
        <f>AND('STERLING CATALOG - FZN &amp; CHILL'!D3837,"AAAAAGTmlzM=")</f>
        <v>#VALUE!</v>
      </c>
      <c r="BA409" t="e">
        <f>AND('STERLING CATALOG - FZN &amp; CHILL'!E3837,"AAAAAGTmlzQ=")</f>
        <v>#VALUE!</v>
      </c>
      <c r="BB409">
        <f>IF('STERLING CATALOG - FZN &amp; CHILL'!3838:3838,"AAAAAGTmlzU=",0)</f>
        <v>0</v>
      </c>
      <c r="BC409" t="e">
        <f>AND('STERLING CATALOG - FZN &amp; CHILL'!A3838,"AAAAAGTmlzY=")</f>
        <v>#VALUE!</v>
      </c>
      <c r="BD409" t="e">
        <f>AND('STERLING CATALOG - FZN &amp; CHILL'!B3838,"AAAAAGTmlzc=")</f>
        <v>#VALUE!</v>
      </c>
      <c r="BE409" t="e">
        <f>AND('STERLING CATALOG - FZN &amp; CHILL'!C3838,"AAAAAGTmlzg=")</f>
        <v>#VALUE!</v>
      </c>
      <c r="BF409" t="e">
        <f>AND('STERLING CATALOG - FZN &amp; CHILL'!D3838,"AAAAAGTmlzk=")</f>
        <v>#VALUE!</v>
      </c>
      <c r="BG409" t="e">
        <f>AND('STERLING CATALOG - FZN &amp; CHILL'!E3838,"AAAAAGTmlzo=")</f>
        <v>#VALUE!</v>
      </c>
      <c r="BH409" t="str">
        <f>IF('STERLING CATALOG - FZN &amp; CHILL'!A:A,"AAAAAGTmlzs=",0)</f>
        <v>AAAAAGTmlzs=</v>
      </c>
      <c r="BI409" t="str">
        <f>IF('STERLING CATALOG - FZN &amp; CHILL'!B:B,"AAAAAGTmlzw=",0)</f>
        <v>AAAAAGTmlzw=</v>
      </c>
      <c r="BJ409" t="str">
        <f>IF('STERLING CATALOG - FZN &amp; CHILL'!C:C,"AAAAAGTmlz0=",0)</f>
        <v>AAAAAGTmlz0=</v>
      </c>
      <c r="BK409" t="e">
        <f>IF('STERLING CATALOG - FZN &amp; CHILL'!D:D,"AAAAAGTmlz4=",0)</f>
        <v>#VALUE!</v>
      </c>
      <c r="BL409" t="e">
        <f>IF('STERLING CATALOG - FZN &amp; CHILL'!E:E,"AAAAAGTmlz8=",0)</f>
        <v>#VALUE!</v>
      </c>
      <c r="BM409" t="str">
        <f>IF('STERLING CATALOG - FZN &amp; CHILL'!F:F,"AAAAAGTml0A=",0)</f>
        <v>AAAAAGTml0A=</v>
      </c>
      <c r="BN409" t="str">
        <f>IF('STERLING CATALOG - FZN &amp; CHILL'!G:G,"AAAAAGTml0E=",0)</f>
        <v>AAAAAGTml0E=</v>
      </c>
      <c r="BO409" t="str">
        <f>IF('STERLING CATALOG - FZN &amp; CHILL'!H:H,"AAAAAGTml0I=",0)</f>
        <v>AAAAAGTml0I=</v>
      </c>
      <c r="BP409" t="e">
        <f>IF('STERLING CATALOG - FZN &amp; CHILL'!I:I,"AAAAAGTml0M=",0)</f>
        <v>#VALUE!</v>
      </c>
      <c r="BQ409" t="e">
        <f>IF('STERLING CATALOG - FZN &amp; CHILL'!J:J,"AAAAAGTml0Q=",0)</f>
        <v>#VALUE!</v>
      </c>
      <c r="BR409" t="s">
        <v>18391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 PAGE</vt:lpstr>
      <vt:lpstr>INDEX </vt:lpstr>
      <vt:lpstr>STERLING CATALOG - DRY </vt:lpstr>
      <vt:lpstr>STERLING CATALOG - FZN &amp; CHILL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ckissam</dc:creator>
  <cp:lastModifiedBy> </cp:lastModifiedBy>
  <cp:lastPrinted>2009-12-08T16:13:19Z</cp:lastPrinted>
  <dcterms:created xsi:type="dcterms:W3CDTF">2009-04-13T15:45:46Z</dcterms:created>
  <dcterms:modified xsi:type="dcterms:W3CDTF">2011-03-23T19:20:26Z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oogle.Documents.Tracking">
    <vt:lpwstr>true</vt:lpwstr>
  </property>
  <property fmtid="{D5CDD505-2E9C-101B-9397-08002B2CF9AE}" pid="3" name="Google.Documents.DocumentId">
    <vt:lpwstr>1qT2CA7Ay8AJNuZF0YlqhVVRG1p76T2CHFy5TCVOT58U</vt:lpwstr>
  </property>
  <property fmtid="{D5CDD505-2E9C-101B-9397-08002B2CF9AE}" pid="4" name="Google.Documents.RevisionId">
    <vt:lpwstr>04605729733897372933</vt:lpwstr>
  </property>
  <property fmtid="{D5CDD505-2E9C-101B-9397-08002B2CF9AE}" pid="5" name="Google.Documents.PluginVersion">
    <vt:lpwstr>2.0.1974.7364</vt:lpwstr>
  </property>
  <property fmtid="{D5CDD505-2E9C-101B-9397-08002B2CF9AE}" pid="6" name="Google.Documents.MergeIncapabilityFlags">
    <vt:i4>0</vt:i4>
  </property>
</Properties>
</file>